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puestas de formulario 1" sheetId="1" r:id="rId5"/>
    <sheet state="hidden" name="BASE T MPP" sheetId="2" r:id="rId6"/>
    <sheet state="visible" name="RECURSO ACTUAL" sheetId="3" r:id="rId7"/>
    <sheet state="visible" name="Q LUB" sheetId="4" r:id="rId8"/>
    <sheet state="visible" name="BD LUB" sheetId="5" r:id="rId9"/>
    <sheet state="visible" name="Q MPP" sheetId="6" r:id="rId10"/>
    <sheet state="visible" name="LUBRICACION" sheetId="7" r:id="rId11"/>
    <sheet state="hidden" name="BD MPP" sheetId="8" r:id="rId12"/>
    <sheet state="hidden" name="ANALISIS PREDICTIVO" sheetId="9" r:id="rId13"/>
    <sheet state="hidden" name="RTM" sheetId="10" r:id="rId14"/>
    <sheet state="visible" name="MPP" sheetId="11" r:id="rId15"/>
    <sheet state="visible" name="CALENDARIO" sheetId="12" r:id="rId16"/>
    <sheet state="visible" name="Correa" sheetId="13" r:id="rId17"/>
    <sheet state="visible" name="FILTROS A USAR" sheetId="14" r:id="rId18"/>
    <sheet state="visible" name="Hoja 37" sheetId="15" r:id="rId19"/>
    <sheet state="visible" name="Hoja 39" sheetId="16" r:id="rId20"/>
    <sheet state="visible" name="FILTROS" sheetId="17" r:id="rId21"/>
  </sheets>
  <definedNames>
    <definedName hidden="1" localSheetId="6" name="_xlnm._FilterDatabase">LUBRICACION!$A$1</definedName>
    <definedName hidden="1" localSheetId="7" name="_xlnm._FilterDatabase">'BD MPP'!$B$1:$L$613</definedName>
    <definedName hidden="1" localSheetId="8" name="_xlnm._FilterDatabase">'ANALISIS PREDICTIVO'!$A$1:$H$4</definedName>
  </definedNames>
  <calcPr/>
</workbook>
</file>

<file path=xl/sharedStrings.xml><?xml version="1.0" encoding="utf-8"?>
<sst xmlns="http://schemas.openxmlformats.org/spreadsheetml/2006/main" count="125412" uniqueCount="15475">
  <si>
    <t>Marca temporal</t>
  </si>
  <si>
    <t xml:space="preserve">MÓVIL </t>
  </si>
  <si>
    <t>CALIFIQUE QUE TAN SUCIO ESTABA EL VEHÍCULO ANTES DEL LAVADO. 
DONDE 1 ES MUY LIMPIO Y 5 ES MUY SUCIO.</t>
  </si>
  <si>
    <t>¿CUANTAS PERSONAS PARTICIPARON EN LA INTERVENCIÓN?</t>
  </si>
  <si>
    <t>Califique el servicio prestado en el lavadero externo (espacio único para satélite Rionegro)</t>
  </si>
  <si>
    <t>DICIEMBRE2563</t>
  </si>
  <si>
    <t>20</t>
  </si>
  <si>
    <t>12</t>
  </si>
  <si>
    <t>VEHÍCULO APROPIADO PARA LAVADO</t>
  </si>
  <si>
    <t>DICIEMBRE</t>
  </si>
  <si>
    <t>diciembre</t>
  </si>
  <si>
    <t>DICIEMBRE2628</t>
  </si>
  <si>
    <t>DICIEMBRE2469</t>
  </si>
  <si>
    <t>DICIEMBRE2677</t>
  </si>
  <si>
    <t>DICIEMBRE2194</t>
  </si>
  <si>
    <t>DICIEMBRE2460</t>
  </si>
  <si>
    <t>DICIEMBRE2669</t>
  </si>
  <si>
    <t>DICIEMBRE2189</t>
  </si>
  <si>
    <t>DICIEMBRE2629</t>
  </si>
  <si>
    <t>DICIEMBRE2367</t>
  </si>
  <si>
    <t>DICIEMBRE2400</t>
  </si>
  <si>
    <t>21</t>
  </si>
  <si>
    <t>DICIEMBRE2369</t>
  </si>
  <si>
    <t>DICIEMBRE2360</t>
  </si>
  <si>
    <t>DICIEMBRE2179</t>
  </si>
  <si>
    <t>DICIEMBRE2187</t>
  </si>
  <si>
    <t>DICIEMBRE2660</t>
  </si>
  <si>
    <t>DICIEMBRE2622</t>
  </si>
  <si>
    <t>DICIEMBRE2455</t>
  </si>
  <si>
    <t>DICIEMBRE2638</t>
  </si>
  <si>
    <t>DICIEMBRE2623</t>
  </si>
  <si>
    <t>DICIEMBRE2391</t>
  </si>
  <si>
    <t>26</t>
  </si>
  <si>
    <t>DICIEMBRE2225</t>
  </si>
  <si>
    <t>27</t>
  </si>
  <si>
    <t>DICIEMBRE2620</t>
  </si>
  <si>
    <t>DICIEMBRE2422</t>
  </si>
  <si>
    <t>DICIEMBRE2376</t>
  </si>
  <si>
    <t>DICIEMBRE2374</t>
  </si>
  <si>
    <t>DICIEMBRE2683</t>
  </si>
  <si>
    <t>EL VEHÍCULO SE ENCONTRABA MUY SUCIO</t>
  </si>
  <si>
    <t>DICIEMBRE2201</t>
  </si>
  <si>
    <t>28</t>
  </si>
  <si>
    <t>DICIEMBRE2241</t>
  </si>
  <si>
    <t>DICIEMBRE2462</t>
  </si>
  <si>
    <t>DICIEMBRE2196</t>
  </si>
  <si>
    <t>DICIEMBRE2388</t>
  </si>
  <si>
    <t>DICIEMBRE2197</t>
  </si>
  <si>
    <t>DICIEMBRE2401</t>
  </si>
  <si>
    <t>DICIEMBRE2379</t>
  </si>
  <si>
    <t>29</t>
  </si>
  <si>
    <t>DICIEMBRE2378</t>
  </si>
  <si>
    <t>DICIEMBRE2491</t>
  </si>
  <si>
    <t>DICIEMBRE2457</t>
  </si>
  <si>
    <t>DICIEMBRE2366</t>
  </si>
  <si>
    <t>DICIEMBRE2339</t>
  </si>
  <si>
    <t>DICIEMBRE2666</t>
  </si>
  <si>
    <t>DICIEMBRE2671</t>
  </si>
  <si>
    <t>DICIEMBRE2674</t>
  </si>
  <si>
    <t>DICIEMBRE2640</t>
  </si>
  <si>
    <t>DICIEMBRE2641</t>
  </si>
  <si>
    <t>DICIEMBRE2398</t>
  </si>
  <si>
    <t>DICIEMBRE2626</t>
  </si>
  <si>
    <t>30</t>
  </si>
  <si>
    <t>DICIEMBRE2680</t>
  </si>
  <si>
    <t>DICIEMBRE2392</t>
  </si>
  <si>
    <t>DICIEMBRE2424</t>
  </si>
  <si>
    <t>DICIEMBRE2419</t>
  </si>
  <si>
    <t>DICIEMBRE2233</t>
  </si>
  <si>
    <t>DICIEMBRE2663</t>
  </si>
  <si>
    <t>DICIEMBRE481</t>
  </si>
  <si>
    <t>31</t>
  </si>
  <si>
    <t>DICIEMBRE2385</t>
  </si>
  <si>
    <t>DICIEMBRE2384</t>
  </si>
  <si>
    <t>DICIEMBRE2672</t>
  </si>
  <si>
    <t>ENERO2450</t>
  </si>
  <si>
    <t>02</t>
  </si>
  <si>
    <t>01</t>
  </si>
  <si>
    <t>ENERO</t>
  </si>
  <si>
    <t>enero</t>
  </si>
  <si>
    <t>ENERO2669</t>
  </si>
  <si>
    <t>ENERO2462</t>
  </si>
  <si>
    <t>03</t>
  </si>
  <si>
    <t>ENERO2241</t>
  </si>
  <si>
    <t>ENERO2188</t>
  </si>
  <si>
    <t>ENERO2464</t>
  </si>
  <si>
    <t>ENERO2623</t>
  </si>
  <si>
    <t>ENERO2402</t>
  </si>
  <si>
    <t>ENERO2628</t>
  </si>
  <si>
    <t>04</t>
  </si>
  <si>
    <t>ENERO2572</t>
  </si>
  <si>
    <t>ENERO2369</t>
  </si>
  <si>
    <t>ENERO2457</t>
  </si>
  <si>
    <t>ENERO2421</t>
  </si>
  <si>
    <t>ENERO2339</t>
  </si>
  <si>
    <t>ENERO2671</t>
  </si>
  <si>
    <t>ENEROKHN937</t>
  </si>
  <si>
    <t>KHN937</t>
  </si>
  <si>
    <t>ENERO2460</t>
  </si>
  <si>
    <t>ENERO2458</t>
  </si>
  <si>
    <t>05</t>
  </si>
  <si>
    <t>ENERO2659</t>
  </si>
  <si>
    <t>ENERO2436</t>
  </si>
  <si>
    <t>ENERO2273</t>
  </si>
  <si>
    <t>ENERO2456</t>
  </si>
  <si>
    <t>ENERO2238</t>
  </si>
  <si>
    <t>ENERO1798</t>
  </si>
  <si>
    <t>ENERO2682</t>
  </si>
  <si>
    <t>ENERO2663</t>
  </si>
  <si>
    <t>06</t>
  </si>
  <si>
    <t>ENERO2355</t>
  </si>
  <si>
    <t>ENERO2262</t>
  </si>
  <si>
    <t>ENERO2423</t>
  </si>
  <si>
    <t>ENERO2404</t>
  </si>
  <si>
    <t>ENERO2656</t>
  </si>
  <si>
    <t>DICIEMBRE1200</t>
  </si>
  <si>
    <t>14</t>
  </si>
  <si>
    <t>DICIEMBRE2411</t>
  </si>
  <si>
    <t>23</t>
  </si>
  <si>
    <t>DICIEMBRE461</t>
  </si>
  <si>
    <t>07</t>
  </si>
  <si>
    <t>DICIEMBRE472</t>
  </si>
  <si>
    <t>13</t>
  </si>
  <si>
    <t>DICIEMBRE495</t>
  </si>
  <si>
    <t>15</t>
  </si>
  <si>
    <t>DICIEMBRE496</t>
  </si>
  <si>
    <t>22</t>
  </si>
  <si>
    <t>ENERO657</t>
  </si>
  <si>
    <t>ENERO2678</t>
  </si>
  <si>
    <t>ENERO2375</t>
  </si>
  <si>
    <t>ENERO2180</t>
  </si>
  <si>
    <t>ENERO2173</t>
  </si>
  <si>
    <t>ENERO2202</t>
  </si>
  <si>
    <t>ENERO2198</t>
  </si>
  <si>
    <t>ENERO2200</t>
  </si>
  <si>
    <t>ENERO2195</t>
  </si>
  <si>
    <t>ENERO2640</t>
  </si>
  <si>
    <t>ENERO2681</t>
  </si>
  <si>
    <t>ENERO2642</t>
  </si>
  <si>
    <t>ENERO2635</t>
  </si>
  <si>
    <t>ENERO2425</t>
  </si>
  <si>
    <t>ENERO2354</t>
  </si>
  <si>
    <t>ENERO2676</t>
  </si>
  <si>
    <t>ENERO2276</t>
  </si>
  <si>
    <t>ENERO2253</t>
  </si>
  <si>
    <t>ENERO2636</t>
  </si>
  <si>
    <t>ENERO2634</t>
  </si>
  <si>
    <t>ENERO2381</t>
  </si>
  <si>
    <t>ENERO2459</t>
  </si>
  <si>
    <t>ENERO2492</t>
  </si>
  <si>
    <t>ENERO2482</t>
  </si>
  <si>
    <t>ENERO2239</t>
  </si>
  <si>
    <t>10</t>
  </si>
  <si>
    <t>ENERO2391</t>
  </si>
  <si>
    <t>ENERO2515</t>
  </si>
  <si>
    <t>11</t>
  </si>
  <si>
    <t>ENERO2639</t>
  </si>
  <si>
    <t>ENERO2366</t>
  </si>
  <si>
    <t>ENERO2620</t>
  </si>
  <si>
    <t>ENERO2468</t>
  </si>
  <si>
    <t>ENERO2387</t>
  </si>
  <si>
    <t>ENERO2629</t>
  </si>
  <si>
    <t>ENERO2424</t>
  </si>
  <si>
    <t>ENERO2637</t>
  </si>
  <si>
    <t>ENERO2675</t>
  </si>
  <si>
    <t>ENERO2432</t>
  </si>
  <si>
    <t>ENERO2622</t>
  </si>
  <si>
    <t>ENERO2367</t>
  </si>
  <si>
    <t>ENERO2317</t>
  </si>
  <si>
    <t>ENERO2422</t>
  </si>
  <si>
    <t>ENERO2632</t>
  </si>
  <si>
    <t>ENERO2718</t>
  </si>
  <si>
    <t>ENERO2401</t>
  </si>
  <si>
    <t>ENERO2566</t>
  </si>
  <si>
    <t>ENERO2419</t>
  </si>
  <si>
    <t>ENERO2376</t>
  </si>
  <si>
    <t>ENERO2403</t>
  </si>
  <si>
    <t>ENERO2374</t>
  </si>
  <si>
    <t>ENERO2672</t>
  </si>
  <si>
    <t>ENERO2204</t>
  </si>
  <si>
    <t>ENERO2463</t>
  </si>
  <si>
    <t>ENERO2194</t>
  </si>
  <si>
    <t>ENERO2673</t>
  </si>
  <si>
    <t>ENERO2643</t>
  </si>
  <si>
    <t>ENERO2219</t>
  </si>
  <si>
    <t>ENERO2513</t>
  </si>
  <si>
    <t>ENERO2418</t>
  </si>
  <si>
    <t>ENERO2379</t>
  </si>
  <si>
    <t>ENERO2201</t>
  </si>
  <si>
    <t>ENERO2730</t>
  </si>
  <si>
    <t>ENERO2745</t>
  </si>
  <si>
    <t>ENERO2054</t>
  </si>
  <si>
    <t>ENERO2437</t>
  </si>
  <si>
    <t>16</t>
  </si>
  <si>
    <t>ENERO2627</t>
  </si>
  <si>
    <t>ENEROKHN152</t>
  </si>
  <si>
    <t>KHN152</t>
  </si>
  <si>
    <t>ENERO2666</t>
  </si>
  <si>
    <t>ENEROIAZ451</t>
  </si>
  <si>
    <t>IAZ451</t>
  </si>
  <si>
    <t>ENEROJHU739</t>
  </si>
  <si>
    <t>JHU739</t>
  </si>
  <si>
    <t>ENEROMNK264</t>
  </si>
  <si>
    <t>MNK264</t>
  </si>
  <si>
    <t>ENERO2679</t>
  </si>
  <si>
    <t>ENEROKHQ888</t>
  </si>
  <si>
    <t>KHQ888</t>
  </si>
  <si>
    <t>ENERO2630</t>
  </si>
  <si>
    <t>ENERO2677</t>
  </si>
  <si>
    <t>ENERO2206</t>
  </si>
  <si>
    <t>17</t>
  </si>
  <si>
    <t>ENERO2438</t>
  </si>
  <si>
    <t>ENERO2275</t>
  </si>
  <si>
    <t>ENERO2569</t>
  </si>
  <si>
    <t>ENERO2570</t>
  </si>
  <si>
    <t>ENERO2227</t>
  </si>
  <si>
    <t>ENERO2244</t>
  </si>
  <si>
    <t>ENERO2252</t>
  </si>
  <si>
    <t>ENERO2490</t>
  </si>
  <si>
    <t>ENERO2216</t>
  </si>
  <si>
    <t>ENEROITX257</t>
  </si>
  <si>
    <t>ITX257</t>
  </si>
  <si>
    <t>ENEROEWZ999</t>
  </si>
  <si>
    <t>EWZ999</t>
  </si>
  <si>
    <t>ENERO2380</t>
  </si>
  <si>
    <t>ENERO2454</t>
  </si>
  <si>
    <t>ENERO2359</t>
  </si>
  <si>
    <t>18</t>
  </si>
  <si>
    <t>ENERO2624</t>
  </si>
  <si>
    <t>ENERO2573</t>
  </si>
  <si>
    <t>ENERO2395</t>
  </si>
  <si>
    <t>ENERO2466</t>
  </si>
  <si>
    <t>ENERO2434</t>
  </si>
  <si>
    <t>ENERO2576</t>
  </si>
  <si>
    <t>ENERO2661</t>
  </si>
  <si>
    <t>ENERO2670</t>
  </si>
  <si>
    <t>ENERO2657</t>
  </si>
  <si>
    <t>ENEROLKN753</t>
  </si>
  <si>
    <t>LKN753</t>
  </si>
  <si>
    <t>ENERO2205</t>
  </si>
  <si>
    <t>ENERO2389</t>
  </si>
  <si>
    <t>ENERO2397</t>
  </si>
  <si>
    <t>ENERO2398</t>
  </si>
  <si>
    <t>ENERO2516</t>
  </si>
  <si>
    <t>ENERO2638</t>
  </si>
  <si>
    <t>ENERO2683</t>
  </si>
  <si>
    <t>ENERO472</t>
  </si>
  <si>
    <t>ENEROBSF857</t>
  </si>
  <si>
    <t>BSF857</t>
  </si>
  <si>
    <t>ENERO1900</t>
  </si>
  <si>
    <t>ENERO2563</t>
  </si>
  <si>
    <t>19</t>
  </si>
  <si>
    <t>ENERO2217</t>
  </si>
  <si>
    <t>ENERO461</t>
  </si>
  <si>
    <t>ENERO2633</t>
  </si>
  <si>
    <t>ENERO2187</t>
  </si>
  <si>
    <t>ENERO2625</t>
  </si>
  <si>
    <t>ENERO2179</t>
  </si>
  <si>
    <t>ENERO2680</t>
  </si>
  <si>
    <t>ENERO951</t>
  </si>
  <si>
    <t>ENERO2662</t>
  </si>
  <si>
    <t>ENEROKHN831</t>
  </si>
  <si>
    <t>KHN831</t>
  </si>
  <si>
    <t>ENEROIAU243</t>
  </si>
  <si>
    <t>IAU243</t>
  </si>
  <si>
    <t>ENEROJEN561</t>
  </si>
  <si>
    <t>JEN561</t>
  </si>
  <si>
    <t>ENEROJUZ290</t>
  </si>
  <si>
    <t>JUZ290</t>
  </si>
  <si>
    <t>ENERO481</t>
  </si>
  <si>
    <t>ENERO160</t>
  </si>
  <si>
    <t>Se le hizo el correcto lavado al trailer. por dentro .</t>
  </si>
  <si>
    <t>ENERO852</t>
  </si>
  <si>
    <t>ENERO2388</t>
  </si>
  <si>
    <t>ENERO2196</t>
  </si>
  <si>
    <t>ENERO2435</t>
  </si>
  <si>
    <t>ENERO2660</t>
  </si>
  <si>
    <t>ENERO2385</t>
  </si>
  <si>
    <t>ENERO2189</t>
  </si>
  <si>
    <t>ENERO2400</t>
  </si>
  <si>
    <t>ENERO2455</t>
  </si>
  <si>
    <t>ENERO2469</t>
  </si>
  <si>
    <t>ENERO2378</t>
  </si>
  <si>
    <t>ENERO2626</t>
  </si>
  <si>
    <t>ENERO2392</t>
  </si>
  <si>
    <t>ENERO2384</t>
  </si>
  <si>
    <t>ENERO2233</t>
  </si>
  <si>
    <t>ENEROINR714</t>
  </si>
  <si>
    <t>INR714</t>
  </si>
  <si>
    <t>ENERO2744</t>
  </si>
  <si>
    <t>ENERO682</t>
  </si>
  <si>
    <t>ENERO2701</t>
  </si>
  <si>
    <t>ENERO2741</t>
  </si>
  <si>
    <t>ENERO1343</t>
  </si>
  <si>
    <t>ENERO1288</t>
  </si>
  <si>
    <t>ENERO2508</t>
  </si>
  <si>
    <t>ENERO2383</t>
  </si>
  <si>
    <t>ENERO2230</t>
  </si>
  <si>
    <t>24</t>
  </si>
  <si>
    <t>ENERO1200</t>
  </si>
  <si>
    <t>ENERO496</t>
  </si>
  <si>
    <t>ENERO2411</t>
  </si>
  <si>
    <t>ENERO495</t>
  </si>
  <si>
    <t>ENEROMONTA CARGAS TOYOTA ROJO</t>
  </si>
  <si>
    <t>MONTA CARGAS TOYOTA ROJO</t>
  </si>
  <si>
    <t>25</t>
  </si>
  <si>
    <t>ENEROBNQ233</t>
  </si>
  <si>
    <t>BNQ233</t>
  </si>
  <si>
    <t>el vehiculo se lavo por dentro y por fuera</t>
  </si>
  <si>
    <t>ENERO1977</t>
  </si>
  <si>
    <t>ENERO2692</t>
  </si>
  <si>
    <t>ENERO2218</t>
  </si>
  <si>
    <t>ENEROP2</t>
  </si>
  <si>
    <t>P2</t>
  </si>
  <si>
    <t>ENEROlKN753</t>
  </si>
  <si>
    <t>lKN753</t>
  </si>
  <si>
    <t>ENEROJYX291</t>
  </si>
  <si>
    <t>JYX291</t>
  </si>
  <si>
    <t>ENERO2390</t>
  </si>
  <si>
    <t>ENERO524</t>
  </si>
  <si>
    <t xml:space="preserve">se lavo por dentro y por fuera </t>
  </si>
  <si>
    <t>ENERO2393</t>
  </si>
  <si>
    <t>ENERO222021</t>
  </si>
  <si>
    <t>ENEROkwm 195</t>
  </si>
  <si>
    <t>kwm 195</t>
  </si>
  <si>
    <t>ENERO2746</t>
  </si>
  <si>
    <t>ENERO2298</t>
  </si>
  <si>
    <t>ENEROEKT280</t>
  </si>
  <si>
    <t>EKT280</t>
  </si>
  <si>
    <t>FEBRERO2196</t>
  </si>
  <si>
    <t>FEBRERO</t>
  </si>
  <si>
    <t>febrero</t>
  </si>
  <si>
    <t>FEBRERO2660</t>
  </si>
  <si>
    <t>FEBRERO2425</t>
  </si>
  <si>
    <t>FEBRERO951</t>
  </si>
  <si>
    <t>FEBRERO2456</t>
  </si>
  <si>
    <t>FEBRERO2385</t>
  </si>
  <si>
    <t>FEBRERO2515</t>
  </si>
  <si>
    <t>FEBREROINR714</t>
  </si>
  <si>
    <t>FEBREROITX 257</t>
  </si>
  <si>
    <t>ITX 257</t>
  </si>
  <si>
    <t>FEBREROJIP 082</t>
  </si>
  <si>
    <t>JIP 082</t>
  </si>
  <si>
    <t>FEBREROFGS 459</t>
  </si>
  <si>
    <t>FGS 459</t>
  </si>
  <si>
    <t>FEBRERO2375</t>
  </si>
  <si>
    <t>FEBRERO2464</t>
  </si>
  <si>
    <t>FEBRERO2678</t>
  </si>
  <si>
    <t>FEBRERO2656</t>
  </si>
  <si>
    <t>FEBRERO2188</t>
  </si>
  <si>
    <t>FEBRERO2669</t>
  </si>
  <si>
    <t>FEBRERO2141</t>
  </si>
  <si>
    <t>FEBRERO2173</t>
  </si>
  <si>
    <t>FEBRERO2677</t>
  </si>
  <si>
    <t>FEBRERO2241</t>
  </si>
  <si>
    <t>FEBRERO2367</t>
  </si>
  <si>
    <t>FEBRERO2676</t>
  </si>
  <si>
    <t>FEBRERO2202</t>
  </si>
  <si>
    <t>FEBRERO2355</t>
  </si>
  <si>
    <t>FEBRERO2403</t>
  </si>
  <si>
    <t>FEBRERO2404</t>
  </si>
  <si>
    <t>FEBRERO2200</t>
  </si>
  <si>
    <t>FEBRERO2198</t>
  </si>
  <si>
    <t>FEBRERO2354</t>
  </si>
  <si>
    <t>FEBRERO2629</t>
  </si>
  <si>
    <t>FEBRERO2386</t>
  </si>
  <si>
    <t>FEBRERO2219</t>
  </si>
  <si>
    <t>FEBRERO2194</t>
  </si>
  <si>
    <t>FEBRERO2239</t>
  </si>
  <si>
    <t>FEBRERO2459</t>
  </si>
  <si>
    <t>FEBRERO2376</t>
  </si>
  <si>
    <t>FEBRERO2672</t>
  </si>
  <si>
    <t>FEBRERO2463</t>
  </si>
  <si>
    <t>FEBRERO2391</t>
  </si>
  <si>
    <t>FEBRERO2317</t>
  </si>
  <si>
    <t>FEBRERO2679</t>
  </si>
  <si>
    <t>FEBRERO2424</t>
  </si>
  <si>
    <t>FEBRERO2566</t>
  </si>
  <si>
    <t>FEBRERO2419</t>
  </si>
  <si>
    <t>FEBRERO2374</t>
  </si>
  <si>
    <t>FEBRERO2387</t>
  </si>
  <si>
    <t>FEBRERO2620</t>
  </si>
  <si>
    <t>FEBRERO2460</t>
  </si>
  <si>
    <t>FEBRERO2675</t>
  </si>
  <si>
    <t>FEBRERO2623</t>
  </si>
  <si>
    <t>FEBRERO2622</t>
  </si>
  <si>
    <t>FEBRERO222021</t>
  </si>
  <si>
    <t>FEBRERO484</t>
  </si>
  <si>
    <t>FEBRERO657</t>
  </si>
  <si>
    <t>FEBRERO2252</t>
  </si>
  <si>
    <t>FEBRERO2379</t>
  </si>
  <si>
    <t>FEBRERO2275</t>
  </si>
  <si>
    <t>FEBRERO2276</t>
  </si>
  <si>
    <t>FEBRERO2434</t>
  </si>
  <si>
    <t>FEBRERO2380</t>
  </si>
  <si>
    <t>FEBRERO2624</t>
  </si>
  <si>
    <t>FEBRERO2632</t>
  </si>
  <si>
    <t>FEBRERO2438</t>
  </si>
  <si>
    <t>FEBRERO2454</t>
  </si>
  <si>
    <t>FEBRERO2673</t>
  </si>
  <si>
    <t>FEBRERO2201</t>
  </si>
  <si>
    <t>FEBRERO2666</t>
  </si>
  <si>
    <t>FEBRERO2227</t>
  </si>
  <si>
    <t>FEBRERO2662</t>
  </si>
  <si>
    <t>FEBRERO2418</t>
  </si>
  <si>
    <t>FEBRERO2671</t>
  </si>
  <si>
    <t>FEBRERO2422</t>
  </si>
  <si>
    <t>FEBRERO2482</t>
  </si>
  <si>
    <t>FEBREROKWM185</t>
  </si>
  <si>
    <t>KWM185</t>
  </si>
  <si>
    <t>FEBREROIAU243</t>
  </si>
  <si>
    <t>FEBREROHAL465</t>
  </si>
  <si>
    <t>HAL465</t>
  </si>
  <si>
    <t>FEBREROMTZ361</t>
  </si>
  <si>
    <t>MTZ361</t>
  </si>
  <si>
    <t>FEBREROkwm185</t>
  </si>
  <si>
    <t>kwm185</t>
  </si>
  <si>
    <t>FEBRERO2462</t>
  </si>
  <si>
    <t>FEBRERO2450</t>
  </si>
  <si>
    <t>FEBRERO2339</t>
  </si>
  <si>
    <t>FEBRERO2395</t>
  </si>
  <si>
    <t>FEBRERO2421</t>
  </si>
  <si>
    <t>FEBRERO2381</t>
  </si>
  <si>
    <t>FEBRERO2253</t>
  </si>
  <si>
    <t>FEBRERO2206</t>
  </si>
  <si>
    <t>FEBRERO2187</t>
  </si>
  <si>
    <t>FEBRERO2625</t>
  </si>
  <si>
    <t>FEBRERO2423</t>
  </si>
  <si>
    <t>FEBRERO2643</t>
  </si>
  <si>
    <t>FEBRERO2205</t>
  </si>
  <si>
    <t>FEBRERO2238</t>
  </si>
  <si>
    <t>FEBREROitx257</t>
  </si>
  <si>
    <t>itx257</t>
  </si>
  <si>
    <t>FEBREROjyp081</t>
  </si>
  <si>
    <t>jyp081</t>
  </si>
  <si>
    <t>FEBRERO2746</t>
  </si>
  <si>
    <t>FEBREROmnk264</t>
  </si>
  <si>
    <t>mnk264</t>
  </si>
  <si>
    <t>FEBREROmxy401</t>
  </si>
  <si>
    <t>mxy401</t>
  </si>
  <si>
    <t>FEBRERO2700</t>
  </si>
  <si>
    <t>FEBRERO2217</t>
  </si>
  <si>
    <t>FEBRERO2207</t>
  </si>
  <si>
    <t>FEBRERO2195</t>
  </si>
  <si>
    <t>08</t>
  </si>
  <si>
    <t>FEBRERO2233</t>
  </si>
  <si>
    <t>FEBRERO2469</t>
  </si>
  <si>
    <t>FEBRERO2680</t>
  </si>
  <si>
    <t>FEBRERO2388</t>
  </si>
  <si>
    <t>FEBRERO2366</t>
  </si>
  <si>
    <t>FEBRERO2180</t>
  </si>
  <si>
    <t>FEBRERO2682</t>
  </si>
  <si>
    <t>FEBRERO2400</t>
  </si>
  <si>
    <t>FEBRERO2455</t>
  </si>
  <si>
    <t>FEBRERO2634</t>
  </si>
  <si>
    <t>FEBRERO2572</t>
  </si>
  <si>
    <t>FEBRERO2563</t>
  </si>
  <si>
    <t>FEBRERO2466</t>
  </si>
  <si>
    <t>FEBRERO2639</t>
  </si>
  <si>
    <t>FEBRERO2573</t>
  </si>
  <si>
    <t>09</t>
  </si>
  <si>
    <t>FEBRERO2468</t>
  </si>
  <si>
    <t>FEBRERO852</t>
  </si>
  <si>
    <t>FEBRERO2392</t>
  </si>
  <si>
    <t>FEBRERO2570</t>
  </si>
  <si>
    <t>FEBRERO2458</t>
  </si>
  <si>
    <t>FEBRERO2659</t>
  </si>
  <si>
    <t>FEBRERO2569</t>
  </si>
  <si>
    <t>FEBRERO2683</t>
  </si>
  <si>
    <t>FEBRERO2189</t>
  </si>
  <si>
    <t>FEBRERO2457</t>
  </si>
  <si>
    <t>FEBRERO2179</t>
  </si>
  <si>
    <t>FEBRERO2480</t>
  </si>
  <si>
    <t>FEBRERO2360</t>
  </si>
  <si>
    <t>FEBRERO2401</t>
  </si>
  <si>
    <t>FEBRERO2273</t>
  </si>
  <si>
    <t>FEBRERO2637</t>
  </si>
  <si>
    <t>FEBRERO2384</t>
  </si>
  <si>
    <t>FEBRERO2397</t>
  </si>
  <si>
    <t>FEBRERO2378</t>
  </si>
  <si>
    <t>FEBRERO2635</t>
  </si>
  <si>
    <t>FEBRERO2197</t>
  </si>
  <si>
    <t>FEBRERO2508</t>
  </si>
  <si>
    <t>FEBRERO2435</t>
  </si>
  <si>
    <t>FEBRERO2513</t>
  </si>
  <si>
    <t>FEBRERO2244</t>
  </si>
  <si>
    <t>FEBRERO2262</t>
  </si>
  <si>
    <t>FEBREROLGT755</t>
  </si>
  <si>
    <t>LGT755</t>
  </si>
  <si>
    <t>FEBRERO2390</t>
  </si>
  <si>
    <t>FEBRERO2369</t>
  </si>
  <si>
    <t>FEBRERO2670</t>
  </si>
  <si>
    <t>FEBRERO2359</t>
  </si>
  <si>
    <t>FEBRERO2627</t>
  </si>
  <si>
    <t>FEBRERO2663</t>
  </si>
  <si>
    <t>FEBRERO2432</t>
  </si>
  <si>
    <t>FEBRERO2576</t>
  </si>
  <si>
    <t>FEBRERO2641</t>
  </si>
  <si>
    <t>FEBRERO30336</t>
  </si>
  <si>
    <t>FEBRERO2492</t>
  </si>
  <si>
    <t>FEBRERO2661</t>
  </si>
  <si>
    <t>FEBRERO1900</t>
  </si>
  <si>
    <t>FEBRERO2490</t>
  </si>
  <si>
    <t>FEBRERO2204</t>
  </si>
  <si>
    <t>FEBRERO2389</t>
  </si>
  <si>
    <t>FEBRERO2398</t>
  </si>
  <si>
    <t>FEBRERO2436</t>
  </si>
  <si>
    <t>FEBRERO2516</t>
  </si>
  <si>
    <t>FEBRERO2628</t>
  </si>
  <si>
    <t>FEBRERO2638</t>
  </si>
  <si>
    <t>FEBRERO2640</t>
  </si>
  <si>
    <t>FEBRERO2674</t>
  </si>
  <si>
    <t>FEBRERO2681</t>
  </si>
  <si>
    <t>FEBRERO2648</t>
  </si>
  <si>
    <t>FEBRERO2642</t>
  </si>
  <si>
    <t>FEBRERO2626</t>
  </si>
  <si>
    <t>FEBRERO2230</t>
  </si>
  <si>
    <t>FEBRERO2394</t>
  </si>
  <si>
    <t/>
  </si>
  <si>
    <t xml:space="preserve">         </t>
  </si>
  <si>
    <t>Móvil</t>
  </si>
  <si>
    <t>Linea Vehículo</t>
  </si>
  <si>
    <t>Terminal</t>
  </si>
  <si>
    <t>Frecuencia KM</t>
  </si>
  <si>
    <t>Frecuencia Días</t>
  </si>
  <si>
    <t>Diferencia Días</t>
  </si>
  <si>
    <t>Diferencia KMs</t>
  </si>
  <si>
    <t>Fecha de Terminación de la Orden</t>
  </si>
  <si>
    <t>Fecha Actual</t>
  </si>
  <si>
    <t>Estado</t>
  </si>
  <si>
    <t>Orden de Trabajo</t>
  </si>
  <si>
    <t>KMs último LUB</t>
  </si>
  <si>
    <t>Última Ubicación</t>
  </si>
  <si>
    <t>Tractomula International Eagle 9400</t>
  </si>
  <si>
    <t>98. Ruta Nacional</t>
  </si>
  <si>
    <t>Vigente</t>
  </si>
  <si>
    <t>2. Medellin</t>
  </si>
  <si>
    <t>31. Copacabana</t>
  </si>
  <si>
    <t>24. Rionegro</t>
  </si>
  <si>
    <t>1. Bogota</t>
  </si>
  <si>
    <t>Pasado</t>
  </si>
  <si>
    <t>6. Bucaramanga</t>
  </si>
  <si>
    <t>4. Pereira</t>
  </si>
  <si>
    <t>7. Barranquilla</t>
  </si>
  <si>
    <t>Tractomula Kenworth T660</t>
  </si>
  <si>
    <t>14. Monteria</t>
  </si>
  <si>
    <t>29. Tunja</t>
  </si>
  <si>
    <t>32. Aguachica</t>
  </si>
  <si>
    <t>36. Riohacha</t>
  </si>
  <si>
    <t>3. Yumbo</t>
  </si>
  <si>
    <t>11. Pasto</t>
  </si>
  <si>
    <t>13. Manizales</t>
  </si>
  <si>
    <t>22. Santa Marta</t>
  </si>
  <si>
    <t>Van Chevrolet Carry</t>
  </si>
  <si>
    <t>Sin Última Ubicación</t>
  </si>
  <si>
    <t>Tractomula International Prostar</t>
  </si>
  <si>
    <t>19. Yopal</t>
  </si>
  <si>
    <t>Tractomula Kenworth T800</t>
  </si>
  <si>
    <t>8. Sincelejo</t>
  </si>
  <si>
    <t>20. Valledupar</t>
  </si>
  <si>
    <t>Van Foton Bj5023</t>
  </si>
  <si>
    <t>Tractomula Daf Cf480</t>
  </si>
  <si>
    <t>9. Turbaco</t>
  </si>
  <si>
    <t>5. Ibague</t>
  </si>
  <si>
    <t>12. Cucuta</t>
  </si>
  <si>
    <t>39. Pitalito</t>
  </si>
  <si>
    <t>Furgon Chevrolet Nkr Iii</t>
  </si>
  <si>
    <t>Furgon Hino Dutropack</t>
  </si>
  <si>
    <t>Van Renault Master</t>
  </si>
  <si>
    <t>Furgon Chevrolet Nkr Iiie</t>
  </si>
  <si>
    <t>27. Apartado</t>
  </si>
  <si>
    <t>Furgon Hino Dutropro</t>
  </si>
  <si>
    <t>Camion Chevrolet Frr</t>
  </si>
  <si>
    <t>Furgon Renault Master</t>
  </si>
  <si>
    <t>Camion Foton 1129</t>
  </si>
  <si>
    <t>Furgon Jac Jhr</t>
  </si>
  <si>
    <t>38. La Ceja</t>
  </si>
  <si>
    <t>Furgon Foton Ao 1030</t>
  </si>
  <si>
    <t>Furgon Foton Ao 1039</t>
  </si>
  <si>
    <t>Camion Foton 1128</t>
  </si>
  <si>
    <t>23. Neiva</t>
  </si>
  <si>
    <t>Furgon Foton 1065</t>
  </si>
  <si>
    <t>Tractomula Mack Anthem</t>
  </si>
  <si>
    <t>Tractomula International Lt</t>
  </si>
  <si>
    <t>41. Tulua</t>
  </si>
  <si>
    <t>30. Calarca</t>
  </si>
  <si>
    <t>Furgon Foton 1030</t>
  </si>
  <si>
    <t>Furgon Foton 1045</t>
  </si>
  <si>
    <t>Furgon Jmc 1054</t>
  </si>
  <si>
    <t>Tractomula Foton Bj4269</t>
  </si>
  <si>
    <t>Tractomula Dongfeng Dfh4250c7</t>
  </si>
  <si>
    <t>-</t>
  </si>
  <si>
    <t>Pendiente</t>
  </si>
  <si>
    <t>Van Citroen Berlingo</t>
  </si>
  <si>
    <t>MÓVIL</t>
  </si>
  <si>
    <t>DESCRIPCIÓN</t>
  </si>
  <si>
    <t>POBLACIÓN</t>
  </si>
  <si>
    <t>F ULTIMA LUBRICACIÒN MOTOR</t>
  </si>
  <si>
    <t>TIEMPO DEL ACEITE</t>
  </si>
  <si>
    <t>KM DEL ACEITE</t>
  </si>
  <si>
    <t>FRECUENCIA DIAS</t>
  </si>
  <si>
    <t>FRECUENCIA KM</t>
  </si>
  <si>
    <t>PRIORIDAD TIEMPO</t>
  </si>
  <si>
    <t>PRIORIDAD KM</t>
  </si>
  <si>
    <t>ESTADO TIEMPO</t>
  </si>
  <si>
    <t>ESTADO KM</t>
  </si>
  <si>
    <t>TIEMPO DE PRÓXIMO</t>
  </si>
  <si>
    <t>KM DE PRÓXIMO</t>
  </si>
  <si>
    <t>KMs último MPP</t>
  </si>
  <si>
    <t>LUBRICACIÒN MOTOR POR TIEMPO</t>
  </si>
  <si>
    <t>LUBRICACIÒN MOTOR POR KM</t>
  </si>
  <si>
    <t>GESTIÓN LUB</t>
  </si>
  <si>
    <t>LUBRICACIÒN CAJA Y TRA POR TIEMPO</t>
  </si>
  <si>
    <t>LUBRICACIÒN CAJA Y TRA POR KM</t>
  </si>
  <si>
    <t>ORDEN</t>
  </si>
  <si>
    <t>FECHA ULT LUB</t>
  </si>
  <si>
    <t>ORDEN PRIORIDAD</t>
  </si>
  <si>
    <t>ESTADO</t>
  </si>
  <si>
    <t>ESTADO GESTIÓN</t>
  </si>
  <si>
    <t>HECHOS</t>
  </si>
  <si>
    <t>PEDIDOS</t>
  </si>
  <si>
    <t>PROPORCIÓN</t>
  </si>
  <si>
    <t>24-Rionegro</t>
  </si>
  <si>
    <t>31-Copacabana</t>
  </si>
  <si>
    <t>BULTOS</t>
  </si>
  <si>
    <t>38-La ceja</t>
  </si>
  <si>
    <t>31-Copacabana QUIMICOS</t>
  </si>
  <si>
    <t>RN</t>
  </si>
  <si>
    <t>MAYORCA</t>
  </si>
  <si>
    <t>02-Medellin</t>
  </si>
  <si>
    <t>27-Apartado</t>
  </si>
  <si>
    <t>MOVIL</t>
  </si>
  <si>
    <t>F ULTIMA INSPECCION</t>
  </si>
  <si>
    <t>TIEMPO MPP</t>
  </si>
  <si>
    <t>KM U INSPECCIÓN</t>
  </si>
  <si>
    <t>KM ACTUAL</t>
  </si>
  <si>
    <t>KM DEL MPP</t>
  </si>
  <si>
    <t>Placa</t>
  </si>
  <si>
    <t>POBLACION</t>
  </si>
  <si>
    <t>TIPO</t>
  </si>
  <si>
    <t>CLASE</t>
  </si>
  <si>
    <t>FECHA ANALISIS</t>
  </si>
  <si>
    <t>FECHA Y KM MUESTRA</t>
  </si>
  <si>
    <t xml:space="preserve">HALLAZGOS </t>
  </si>
  <si>
    <t>CORRECIONES</t>
  </si>
  <si>
    <t>KM: 92385
VISC: 14.7
OXIDACIÓN: 16</t>
  </si>
  <si>
    <t xml:space="preserve">CABLES DE ALTA EN MAL ESTADO. BUJIAS. MANGUERA DE ADMISIÓN ROTA. TRABAJABA CON AGUA. </t>
  </si>
  <si>
    <t>CAMBIO BUJIAS . REFRIGERANTE. CABLES DE ALTA. MANGUERA ADMISIÓN Y TAPA RADIADOR.</t>
  </si>
  <si>
    <t xml:space="preserve">EN OBSERVACIÓN </t>
  </si>
  <si>
    <t>KM: 92385
VISC: 17.7
OXIDACIÓN: 32</t>
  </si>
  <si>
    <t>CABLES DE ALTA EN MAL ESTADO. BUJIAS. MANGUERA DE ADMISIÓN ROTA. TRABAJABA CON AGUA. RADIADOR POROSO</t>
  </si>
  <si>
    <t>CAMBIO BUJIAS . REFRIGERANTE. CABLES DE ALTA. MANGUERA ADMISIÓN. TAPA RADIADOR Y RADIADOR</t>
  </si>
  <si>
    <t>KM:83756
VISC: 17.7
OXIDACIÓN: 35</t>
  </si>
  <si>
    <t>DIA 1</t>
  </si>
  <si>
    <t>DIA 2</t>
  </si>
  <si>
    <t>DIA 3</t>
  </si>
  <si>
    <t>DIA 4</t>
  </si>
  <si>
    <t>DIA 5</t>
  </si>
  <si>
    <t>DIA 6</t>
  </si>
  <si>
    <t>DIA 7</t>
  </si>
  <si>
    <t>DIA 8</t>
  </si>
  <si>
    <t>MPP POR TIEMPO</t>
  </si>
  <si>
    <t>MPP POR KM</t>
  </si>
  <si>
    <t>Abreviaturas</t>
  </si>
  <si>
    <t>Medellin</t>
  </si>
  <si>
    <t>RIO</t>
  </si>
  <si>
    <t>Mayorca</t>
  </si>
  <si>
    <t>COP</t>
  </si>
  <si>
    <t>Tractomulas P2</t>
  </si>
  <si>
    <t>BULT</t>
  </si>
  <si>
    <t>Apartado</t>
  </si>
  <si>
    <t>CEJ</t>
  </si>
  <si>
    <t>Camiones ruta nacional</t>
  </si>
  <si>
    <t>COPQUI</t>
  </si>
  <si>
    <t>RIONEGRO</t>
  </si>
  <si>
    <t>COPACABANA</t>
  </si>
  <si>
    <t>MAY</t>
  </si>
  <si>
    <t>MED</t>
  </si>
  <si>
    <t>APART</t>
  </si>
  <si>
    <t xml:space="preserve">                                                                                                                                                                                                                                                                                                         </t>
  </si>
  <si>
    <t>MES</t>
  </si>
  <si>
    <t>AGOSTO</t>
  </si>
  <si>
    <t>AÑO</t>
  </si>
  <si>
    <t>CALENDARIO DINAMICO</t>
  </si>
  <si>
    <t>LUNES</t>
  </si>
  <si>
    <t>MARTES</t>
  </si>
  <si>
    <t>MIÉRCOLES</t>
  </si>
  <si>
    <t>JUEVES</t>
  </si>
  <si>
    <t>VIERNES</t>
  </si>
  <si>
    <t>SÁBADO</t>
  </si>
  <si>
    <t>DOMINGO</t>
  </si>
  <si>
    <t>2643 APART</t>
  </si>
  <si>
    <t>2640 MED</t>
  </si>
  <si>
    <t>2880 MAYORCA</t>
  </si>
  <si>
    <t>CALENDARIO MENSUAL DE MANTENIMIENTOS PREVENTIVOS Y PROACTIVOS</t>
  </si>
  <si>
    <t>GESTIÓN MPP</t>
  </si>
  <si>
    <t>A PEDIR</t>
  </si>
  <si>
    <t xml:space="preserve">PEDIDO </t>
  </si>
  <si>
    <t>HECHO</t>
  </si>
  <si>
    <t>DÍA</t>
  </si>
  <si>
    <t>MPP KM</t>
  </si>
  <si>
    <t>MPP</t>
  </si>
  <si>
    <t>LUB</t>
  </si>
  <si>
    <t>RTM</t>
  </si>
  <si>
    <t>Prioridad</t>
  </si>
  <si>
    <t>TRACTOMULA EAGLE 9400 ISX400</t>
  </si>
  <si>
    <t>ITEM</t>
  </si>
  <si>
    <t>SAP</t>
  </si>
  <si>
    <t>REPUESTO</t>
  </si>
  <si>
    <t>CANTIDAD</t>
  </si>
  <si>
    <t>Almacén</t>
  </si>
  <si>
    <t>Centro</t>
  </si>
  <si>
    <t>Albeiro Dejesus Garcia Lopez</t>
  </si>
  <si>
    <t>Mantenimiento</t>
  </si>
  <si>
    <t>121</t>
  </si>
  <si>
    <t>Feliciano Herrera Moncada</t>
  </si>
  <si>
    <t>12788</t>
  </si>
  <si>
    <t>Jhonny Alejandro Villa Villada</t>
  </si>
  <si>
    <t>15811</t>
  </si>
  <si>
    <t>Santiago Dejesus Ortiz Caicedo</t>
  </si>
  <si>
    <t>27635</t>
  </si>
  <si>
    <t>Johnny David Rodriguez Gomez</t>
  </si>
  <si>
    <t>30021</t>
  </si>
  <si>
    <t>Sergio Andrés Rodriguez Olarte</t>
  </si>
  <si>
    <t>33208</t>
  </si>
  <si>
    <t>Leider Ander Baltazar Sacramento</t>
  </si>
  <si>
    <t>33281</t>
  </si>
  <si>
    <t>Franklin Alexis Estrada Marin</t>
  </si>
  <si>
    <t>35368</t>
  </si>
  <si>
    <t>Yeiner Jirot Morales Mindiola</t>
  </si>
  <si>
    <t>45844</t>
  </si>
  <si>
    <t>Cristian Javier Baldovino Guerra</t>
  </si>
  <si>
    <t>47051</t>
  </si>
  <si>
    <t>Oscar Dario Hernandez Celis</t>
  </si>
  <si>
    <t>47107</t>
  </si>
  <si>
    <t>Danier Rojas Torres</t>
  </si>
  <si>
    <t>47108</t>
  </si>
  <si>
    <t>Kevin Janer Lopez Cogollo</t>
  </si>
  <si>
    <t>30592</t>
  </si>
  <si>
    <t>Adrian Mauricio Ramirez Vanegas</t>
  </si>
  <si>
    <t>Tanqueador</t>
  </si>
  <si>
    <t>8096</t>
  </si>
  <si>
    <t>Johan Sebastian Restrepo Gonzalez</t>
  </si>
  <si>
    <t>Auxiliar De Compras</t>
  </si>
  <si>
    <t>8255</t>
  </si>
  <si>
    <t>John Alexander Caro Lotero</t>
  </si>
  <si>
    <t>Gestor De Almacen</t>
  </si>
  <si>
    <t>16926</t>
  </si>
  <si>
    <t>Rolando Dejesus Hernandez Ramirez</t>
  </si>
  <si>
    <t>Auxiliar De Almacen</t>
  </si>
  <si>
    <t>27596</t>
  </si>
  <si>
    <t>Milton Alberto Munoz Araque</t>
  </si>
  <si>
    <t>34717</t>
  </si>
  <si>
    <t>Isaias De Jesus Franco Ceballos</t>
  </si>
  <si>
    <t>Auxiliar De Dotaciones Y Almacen</t>
  </si>
  <si>
    <t>42903</t>
  </si>
  <si>
    <t>Farid Alejandro Mesa Pulgarin</t>
  </si>
  <si>
    <t>Producto</t>
  </si>
  <si>
    <t>Tipo de producto</t>
  </si>
  <si>
    <t>Grupo de productos</t>
  </si>
  <si>
    <t>Unidad medida base</t>
  </si>
  <si>
    <t>Caract.planif.nec.</t>
  </si>
  <si>
    <t>Categoría valoración</t>
  </si>
  <si>
    <t>Control de precio</t>
  </si>
  <si>
    <t>Precio de stocks</t>
  </si>
  <si>
    <t>Unidad de precio</t>
  </si>
  <si>
    <t>Desengrasante Crema Cuñete X10 (10000503)</t>
  </si>
  <si>
    <t>MEDELLIN (1102)</t>
  </si>
  <si>
    <t>Insumos Administrativos (ZIAD)</t>
  </si>
  <si>
    <t>Aseo (ASEO)</t>
  </si>
  <si>
    <t>Barril (BLL)</t>
  </si>
  <si>
    <t>ND</t>
  </si>
  <si>
    <t>1001</t>
  </si>
  <si>
    <t>V</t>
  </si>
  <si>
    <t>Desengrasante Crema Manos Mecanicos Cuñ (10000614)</t>
  </si>
  <si>
    <t>Pintura Viniltex Gris Nube1569 (80000795)</t>
  </si>
  <si>
    <t>Repuestos Operativos (ZREO)</t>
  </si>
  <si>
    <t>Reparaciones Locativ (REPLOC)</t>
  </si>
  <si>
    <t>1014</t>
  </si>
  <si>
    <t>Pintura Koraza Gris Basal 2675 (80000825)</t>
  </si>
  <si>
    <t>Medidor De Distancia Laser 100 Metros (50000495)</t>
  </si>
  <si>
    <t>Insumos Mantenimiento (ZIMA)</t>
  </si>
  <si>
    <t>Insumos Mto Herr (INSMHERR)</t>
  </si>
  <si>
    <t>Centímetros (CM)</t>
  </si>
  <si>
    <t>1023</t>
  </si>
  <si>
    <t>Manguera Siliconada Alta Temp Azul 3" (70001381)</t>
  </si>
  <si>
    <t>Repuestos Vehículo (ZREV)</t>
  </si>
  <si>
    <t>Rtos Motor (REPMOT)</t>
  </si>
  <si>
    <t>1013</t>
  </si>
  <si>
    <t>Manguera Siliconada 1" RF26116 (70001556)</t>
  </si>
  <si>
    <t>Manguera Radiador Lisa Eagle 2 3/4" (70001652)</t>
  </si>
  <si>
    <t>Tubo Flexible En Centimetros 3 1/2" (70003057)</t>
  </si>
  <si>
    <t>Rtos Chasis y Cabina (REPCHCA)</t>
  </si>
  <si>
    <t>Tubo Flexible 5" En Centimetros (70003059)</t>
  </si>
  <si>
    <t>Clip Hoja Articulada Deflector Angular D (70006778)</t>
  </si>
  <si>
    <t>Empaque Tanque Acpm 4" 4" 0130 (70006873)</t>
  </si>
  <si>
    <t>Gancho Expediente # 9 X 100 (10000346)</t>
  </si>
  <si>
    <t>Insumos Oficina (INSOFI)</t>
  </si>
  <si>
    <t>Caja (CJ)</t>
  </si>
  <si>
    <t>1010</t>
  </si>
  <si>
    <t>Gancho Expediente # 7 X 100 (10000347)</t>
  </si>
  <si>
    <t>Plastilina Pelikan X 10 (10000389)</t>
  </si>
  <si>
    <t>Aromaticas Surtidas X 20 (10000419)</t>
  </si>
  <si>
    <t>Cafeteria (CAFETER)</t>
  </si>
  <si>
    <t>Gancho Legajador (10000463)</t>
  </si>
  <si>
    <t>Ganchos Para Cosedora (10000464)</t>
  </si>
  <si>
    <t>Chinches Plasticos X 12 (10000512)</t>
  </si>
  <si>
    <t>Clips Std (10000549)</t>
  </si>
  <si>
    <t>Aromaticas Hindu Frutales Surt (10000655)</t>
  </si>
  <si>
    <t>Curitas Caja X 100 (30000877)</t>
  </si>
  <si>
    <t>Dotación (ZDOT)</t>
  </si>
  <si>
    <t>Dotacion Impl De Seg (DOTSEG)</t>
  </si>
  <si>
    <t>1003</t>
  </si>
  <si>
    <t>Tapabocas-Mascarilla Caja X 50 (30000885)</t>
  </si>
  <si>
    <t>Aplicadores Madera Largos X100 (30000907)</t>
  </si>
  <si>
    <t>Cofias Caja X 100 Unidades (50001547)</t>
  </si>
  <si>
    <t>Insumos Mto Qui (INSMQUI)</t>
  </si>
  <si>
    <t>1007</t>
  </si>
  <si>
    <t>Remache Pop Ciego Standar 250 3/16 X 3/4 (50001865)</t>
  </si>
  <si>
    <t>Insumos Mto Tall (INSMTALL)</t>
  </si>
  <si>
    <t>Kit Oring Metrico (70003310)</t>
  </si>
  <si>
    <t>Colbon X Galon (10000265)</t>
  </si>
  <si>
    <t>Galón (EE.UU.) (GLN)</t>
  </si>
  <si>
    <t>Alcohol Industrial Mayor Al 80 (10000280)</t>
  </si>
  <si>
    <t>Kit Desmanchador Vehiculo X 2 (10000447)</t>
  </si>
  <si>
    <t>Varsol 500 Ml No Gravado (10000499)</t>
  </si>
  <si>
    <t>Shampoo Para Pisos Con Olor (10000615)</t>
  </si>
  <si>
    <t>Varsol Gravado (10000624)</t>
  </si>
  <si>
    <t>Shampoo Desinfectante Industri (10000794)</t>
  </si>
  <si>
    <t>Thinner Corriente (50000310)</t>
  </si>
  <si>
    <t>Rtos Suministros (REPSUV)</t>
  </si>
  <si>
    <t>Thinner Acrilico (50000311)</t>
  </si>
  <si>
    <t>Refrigerante Fleetguard Motor X13 (50001514)</t>
  </si>
  <si>
    <t>Insumos Mto Lub (INSMLUB)</t>
  </si>
  <si>
    <t>1008</t>
  </si>
  <si>
    <t>Peroxido De Hidrogeno Al 50% No Gravado (50001526)</t>
  </si>
  <si>
    <t>Pintura Pintucoat Gris Y Catalizador (50001552)</t>
  </si>
  <si>
    <t>Insumos Mto Pin (INSMPIN)</t>
  </si>
  <si>
    <t>Disolvente D - 20 D-20 (50001563)</t>
  </si>
  <si>
    <t>Pintura Laca Blanca. 7519 (50001565)</t>
  </si>
  <si>
    <t>Pintulaca Negro Brillante 7518 (50001568)</t>
  </si>
  <si>
    <t>Pintura Verde Oliva 513 (50001570)</t>
  </si>
  <si>
    <t>Pintura Base Gris 1 K Rf 5010 (50001571)</t>
  </si>
  <si>
    <t>Primer Fosfato Zinc Blanco 60 1250095631 (50001573)</t>
  </si>
  <si>
    <t>Uretano Gris U2 1250034194 (50001575)</t>
  </si>
  <si>
    <t>Impermeabilizante Pintuoxido Pintuco 100 (50001579)</t>
  </si>
  <si>
    <t>Pintura Pintura Amarillo Cr Mediano 7501 (50001585)</t>
  </si>
  <si>
    <t>Pintura Entonada Nkr Iii 113797-005 (50001591)</t>
  </si>
  <si>
    <t>Pintura Aluminio Fino 7540 (50001592)</t>
  </si>
  <si>
    <t>Pintura Azul Oscuro Laca Ento 118950-04 (50001594)</t>
  </si>
  <si>
    <t>Pintura Acoat Blanca Bt100 6002bt1061 (50001607)</t>
  </si>
  <si>
    <t>Pintura Primer Epoxica Bt331 6110033062 (50001608)</t>
  </si>
  <si>
    <t>Aditivo Refrigeran Rw 52067990 (50001614)</t>
  </si>
  <si>
    <t>Aceite Compresor T-30 (50001616)</t>
  </si>
  <si>
    <t>Aceite Varios (50001617)</t>
  </si>
  <si>
    <t>Aceite Mobil 15 W 40 Mx Delvac (50001618)</t>
  </si>
  <si>
    <t>Refrigerante Concentrado Fleetrite MOT X (50001619)</t>
  </si>
  <si>
    <t>Aceite Hidraulico Mobil Dte 26 Ultra (50001627)</t>
  </si>
  <si>
    <t>Aceite Caja Mobil Delvac 1-Go 75w90 Syn (50001629)</t>
  </si>
  <si>
    <t>Aceite MOT Mobil Delvac 15w40 - Ci4 Supe (50001630)</t>
  </si>
  <si>
    <t>Urea Liquido X Galon Interno A Granel (50001632)</t>
  </si>
  <si>
    <t>Insumos Mto Comb (INSMCOM)</t>
  </si>
  <si>
    <t>Refrigerante Organico Radiox Premium 50- (50001638)</t>
  </si>
  <si>
    <t>Refrigerante 50/50 Motor Daf Trp-Ece5001 (50001640)</t>
  </si>
  <si>
    <t>Aceite Transmision Axle Total 75w140 (50001647)</t>
  </si>
  <si>
    <t>Aceite Transmision Sae 75w80 Mack (50001652)</t>
  </si>
  <si>
    <t>Aceite Hidraulico Mobil Nuto H 68 (50001657)</t>
  </si>
  <si>
    <t>Aceite De MOT Mobil Delvac 15w40 - Ck4 S (50001658)</t>
  </si>
  <si>
    <t>Grasa Mobilux Ep2 181k Mobil (50001659)</t>
  </si>
  <si>
    <t>Aceite Transmision Mobil Delvac 1-Go 80w (50001660)</t>
  </si>
  <si>
    <t>Aceite Motor Rubia Tir 7400 15w40total (50001664)</t>
  </si>
  <si>
    <t>Aceite Caja Syn 75w90 Total (50001667)</t>
  </si>
  <si>
    <t>Aceite Caja Automa. Montacarga (50001669)</t>
  </si>
  <si>
    <t>Acei Aceite Hidraulicoazolla Zs 68 Total (50001674)</t>
  </si>
  <si>
    <t>Acpm Interno (60000444)</t>
  </si>
  <si>
    <t>Insumos Operación (ZIOP)</t>
  </si>
  <si>
    <t>1006</t>
  </si>
  <si>
    <t>Acpm Interno Biocem 20% Prueba (60000450)</t>
  </si>
  <si>
    <t>Biocombustible B100 (60000451)</t>
  </si>
  <si>
    <t>Biocombustible B40 (60000452)</t>
  </si>
  <si>
    <t>Acpm Externo (60000454)</t>
  </si>
  <si>
    <t>Acpm Ecologico Interno (60000571)</t>
  </si>
  <si>
    <t>Biocombustible B50 (60000625)</t>
  </si>
  <si>
    <t>Pintura Azul Mediterraneo Rpl (80000010)</t>
  </si>
  <si>
    <t>Disolvente Xilol 0104 (80000015)</t>
  </si>
  <si>
    <t>Pintura Demarcacion Amarillo (80000041)</t>
  </si>
  <si>
    <t>Pintura Gris Basalto Base Agua (80000042)</t>
  </si>
  <si>
    <t>Pintura Gris Plata Pintulux 84 (80000048)</t>
  </si>
  <si>
    <t>Pintura Blanca Viniltex Interi (80000051)</t>
  </si>
  <si>
    <t>Pintura Esmalte Gris Basalto (80000096)</t>
  </si>
  <si>
    <t>Pintura Pintulux Blanco Mate (80000097)</t>
  </si>
  <si>
    <t>Pintura Blanca A Base Aceite (80000110)</t>
  </si>
  <si>
    <t>Pintura Koraza Gr Plata 127475 (80000111)</t>
  </si>
  <si>
    <t>Pintura Viniltex Blanco Almend (80000118)</t>
  </si>
  <si>
    <t>Esmalte Sintetico Tipo 1 Color (80000132)</t>
  </si>
  <si>
    <t>Impermeabilizante Para Techo (80000776)</t>
  </si>
  <si>
    <t>Pintura Koraza Blanca (80000796)</t>
  </si>
  <si>
    <t>Esmalte Domestico Blaco Interi (80000804)</t>
  </si>
  <si>
    <t>Pintura Demarcacion Blanca 653 Blanca (80000806)</t>
  </si>
  <si>
    <t>Pintura Demarcacio Verde 13795 (80000828)</t>
  </si>
  <si>
    <t>Pintura Epóxica 2K Gr Colpisa 1411010004 (80000835)</t>
  </si>
  <si>
    <t>Pintura Acril Demar Rojo 13881 (80000837)</t>
  </si>
  <si>
    <t>Pintura Acril Demar Negr 13791 (80000838)</t>
  </si>
  <si>
    <t>Hidroxicloruro De Aluminio Gf (10000649)</t>
  </si>
  <si>
    <t>Kilogramo (KG)</t>
  </si>
  <si>
    <t>Banda Caucho (10000870)</t>
  </si>
  <si>
    <t>Fibra De Tela Mat 450 (50000204)</t>
  </si>
  <si>
    <t>Lamina Negra Lamina Negra C-16 (1.5 Mm) (50000370)</t>
  </si>
  <si>
    <t>Lamina Alumi Lamina Aluminio 1.22 Cal 16 (50000444)</t>
  </si>
  <si>
    <t>Poliester 809 (50001508)</t>
  </si>
  <si>
    <t>Talco Industrial Piram (50001509)</t>
  </si>
  <si>
    <t>Estireno Monometro (50001533)</t>
  </si>
  <si>
    <t>Octoato De Cohalto 706 (50001559)</t>
  </si>
  <si>
    <t>Grasa Mobil Xhp222 Balde 16 Kg (50001613)</t>
  </si>
  <si>
    <t>Estopa Limpia (50001702)</t>
  </si>
  <si>
    <t>Alambre Galvanizado # 14 (50001769)</t>
  </si>
  <si>
    <t>Soldadura Sw Super 6013 De 1/8 6013 1/8" (50001804)</t>
  </si>
  <si>
    <t>Soldadura Super Sw6013 De 3/3 6013 3/32" (50001805)</t>
  </si>
  <si>
    <t>Soldadura 6011 1/8" (50001806)</t>
  </si>
  <si>
    <t>Soldadura Whiz 18 7018 1/8" (50001814)</t>
  </si>
  <si>
    <t>Remache Aluminio Sol 3/16 X 1/2 (50001848)</t>
  </si>
  <si>
    <t>Soldadura 6011 De 3/32 (50001879)</t>
  </si>
  <si>
    <t>Grasa Mobil Xhp222 180 Kg (50001934)</t>
  </si>
  <si>
    <t>Carton Corrugado Rollo En Kilos (60000170)</t>
  </si>
  <si>
    <t>Material de empaque (MATOPE)</t>
  </si>
  <si>
    <t>1012</t>
  </si>
  <si>
    <t>Complemento Soporte Motor Del Kw K066404 (70007419)</t>
  </si>
  <si>
    <t>Carreta Bajo CJ EGL N14 Eaton 4300907 (70007440)</t>
  </si>
  <si>
    <t>Rtos Caja Velocidad (REPCAV)</t>
  </si>
  <si>
    <t>Rejilla Mofle 10" KW-Eagle K2132734 (70007442)</t>
  </si>
  <si>
    <t>Base Filtro Agua Eagle 427446c1 (70007499)</t>
  </si>
  <si>
    <t>Estucor Por Kilo (80000069)</t>
  </si>
  <si>
    <t>Desengrasante Liquido (10000504)</t>
  </si>
  <si>
    <t>Litro (L)</t>
  </si>
  <si>
    <t>Shampoo Industrial Tarena 60 L (10000796)</t>
  </si>
  <si>
    <t>Clavos Varios De Consumo Locat (80000070)</t>
  </si>
  <si>
    <t>Libra (pound) (LB)</t>
  </si>
  <si>
    <t>Manila Polipropileno 3/8 Carro (10000393)</t>
  </si>
  <si>
    <t>Metro (M)</t>
  </si>
  <si>
    <t>Manila Polipropileno 1/4 Carre (10000395)</t>
  </si>
  <si>
    <t>Manila Polipropileno De 1" (10000438)</t>
  </si>
  <si>
    <t>Dulce Abrigo Blanco (10000505)</t>
  </si>
  <si>
    <t>Dulce Abrigo Rojo (10000506)</t>
  </si>
  <si>
    <t>Manila Polipropileno 1/2" (10000562)</t>
  </si>
  <si>
    <t>Manila Polipropileno De 3/16 (10000759)</t>
  </si>
  <si>
    <t>Cinta Metalizada Para Regalo (10000873)</t>
  </si>
  <si>
    <t>Coraza Plastica De 1" Can 25 (50000170)</t>
  </si>
  <si>
    <t>Angulo Hierro 3/8 X 6" Mts (50000179)</t>
  </si>
  <si>
    <t>Tubo Est Rec 4mm 150x100mm-12MA500G (50000187)</t>
  </si>
  <si>
    <t>Cinta Antideslizante Negra Estribo 2" (50000188)</t>
  </si>
  <si>
    <t>Lamina Steeliner Exterior Trailer Mts (50000189)</t>
  </si>
  <si>
    <t>Cable Vehiculo N-10 (50000351)</t>
  </si>
  <si>
    <t>Tee Para Manguera Limpiabrisas 1/4" (50000360)</t>
  </si>
  <si>
    <t>Cable Vehiculo N-14 (50000384)</t>
  </si>
  <si>
    <t>Cable Vehiculos Gps N-20 (50000386)</t>
  </si>
  <si>
    <t>Aislante Termico 3482 (50000399)</t>
  </si>
  <si>
    <t>Tub Tubo Negro Red. 1.1/4 X 2.5mm X 6mts (50000400)</t>
  </si>
  <si>
    <t>Alicate Con Corta Frio Channelock Ck-348 (50000517)</t>
  </si>
  <si>
    <t>Copa Torx T 45 Tipo B (50000742)</t>
  </si>
  <si>
    <t>Copa Larga Cuadrante 3/8 X10mm Snapon (50000778)</t>
  </si>
  <si>
    <t>Exte Extension Cuadrante 3/8 X 12 Tipo B (50000820)</t>
  </si>
  <si>
    <t>Copa Cuadrante 1/2 X 10 Mm Snapon (50000990)</t>
  </si>
  <si>
    <t>Marcador Llantas Con Numeros 32a De 1" (50001128)</t>
  </si>
  <si>
    <t>Cadena Eslabonada 1/2 1/2" (50001167)</t>
  </si>
  <si>
    <t>Cadena Eslabonada 5/16 5/16" (50001169)</t>
  </si>
  <si>
    <t>Extension Cuad 1/2 X 5" Proto (50001236)</t>
  </si>
  <si>
    <t>Espatula Esquinera Interior Para Drywall (50001255)</t>
  </si>
  <si>
    <t>Medidor Compresion Diesel Kd Tools Tx346 (50001411)</t>
  </si>
  <si>
    <t>Aceite Motor Rimula R4 X 15w40 Shell (50001655)</t>
  </si>
  <si>
    <t>Manguera Surtidor Acpm De 1" (50001736)</t>
  </si>
  <si>
    <t>Crema Disipadora De Calor Artic Silver # (50001829)</t>
  </si>
  <si>
    <t>Tornillo 7/16 X 2 1/2 G8 Ro (50001915)</t>
  </si>
  <si>
    <t>Plastico Invernadero Carreta 2 X 2.20 C6 (60000161)</t>
  </si>
  <si>
    <t>Plastico C 2 De 3 X 3 Mts Negro (60000182)</t>
  </si>
  <si>
    <t>Plastico Burbuja (60000189)</t>
  </si>
  <si>
    <t>Banda E12/2 V5/V10 + K10 U65 W=100 Arp (60000236)</t>
  </si>
  <si>
    <t>Sorter Mecanico (SORMEC)</t>
  </si>
  <si>
    <t>Banda E8/2 U0/V5h Mt Negra W= 800 Bf/Prt (60000294)</t>
  </si>
  <si>
    <t>Banda E8/2 U0/V5h/Mt Negra W=1300 Bf (60000295)</t>
  </si>
  <si>
    <t>Banda E12/2 U0/V/U0 Antraci W=1300 Bm/Bf (60000296)</t>
  </si>
  <si>
    <t>Correa Fric Gg14p-30VerW=25SinFinRm/Sr7m (60000297)</t>
  </si>
  <si>
    <t>Correa Fric Gg14p-30VerW=25SinFinRm/Sr9m (60000298)</t>
  </si>
  <si>
    <t>Correa Fric Gg14p-30VerW=25SinFinRm/Sr8m (60000299)</t>
  </si>
  <si>
    <t>Correa Fric Gg14p30VerdeW25SinFinRm/Sr5m (60000300)</t>
  </si>
  <si>
    <t>Llanta 205/75r 17.5 Michelin (60000466)</t>
  </si>
  <si>
    <t>Llantas Nueva (LLANNUE)</t>
  </si>
  <si>
    <t>1009</t>
  </si>
  <si>
    <t>Llanta 295/80 R22.5 Good Year Kmax Ext (60000515)</t>
  </si>
  <si>
    <t>Manguera Transparente 3/4" (70001589)</t>
  </si>
  <si>
    <t>Rtos Man Abr Rac (REPMAR)</t>
  </si>
  <si>
    <t>Manguera Transparente 3/8 (70001605)</t>
  </si>
  <si>
    <t>Manguera Transparente 1/2" (70001615)</t>
  </si>
  <si>
    <t>Manguera Sinflex 1/4" (70001623)</t>
  </si>
  <si>
    <t>Manguera Sinflex 3/8" (70001627)</t>
  </si>
  <si>
    <t>Manguera Sinflex 5/8" (70001637)</t>
  </si>
  <si>
    <t>Manguera Sinflex 1/2" (70001644)</t>
  </si>
  <si>
    <t>Tapiz Piso Cabina Zapaton Negro (70001715)</t>
  </si>
  <si>
    <t>Coraza Plastica De 1/2 Can 13 1/2" Can-1 (70001729)</t>
  </si>
  <si>
    <t>Rtos Electrico (REPELE)</t>
  </si>
  <si>
    <t>Coraza Plastica De 3/4 Can 19 3/4" Can-1 (70001733)</t>
  </si>
  <si>
    <t>Coraza Plastica De 5/16 Can 06 5/16" Can (70001743)</t>
  </si>
  <si>
    <t>Coraza Plastica De 3/8 Can 10 3/8" Can-1 (70001759)</t>
  </si>
  <si>
    <t>Manguera Caucho Lona 3/8" (70001781)</t>
  </si>
  <si>
    <t>Manguera Caucho Lona 1" (70001786)</t>
  </si>
  <si>
    <t>Manguera Caucho Lona De 3/16 (70001791)</t>
  </si>
  <si>
    <t>Manguera Caucho Lona 2 1/2" (70001793)</t>
  </si>
  <si>
    <t>Manguera Caucho Lona 1/4 (70001797)</t>
  </si>
  <si>
    <t>Manguera Caucho Lona 3/4" (70001802)</t>
  </si>
  <si>
    <t>Manguera Caucho Lona 5/16" (70001808)</t>
  </si>
  <si>
    <t>Manguera Caucho Lona 1/2 1/2" (70001812)</t>
  </si>
  <si>
    <t>Manguera Caucho Lona 5/8" 5/8" (70001816)</t>
  </si>
  <si>
    <t>Manguera Sinflex 3/4 (70001933)</t>
  </si>
  <si>
    <t>Manguera Caucho 3/16 (70002497)</t>
  </si>
  <si>
    <t>Manguera Caucho 1/4 (70002498)</t>
  </si>
  <si>
    <t>Manguera Caucho 5/16 (70002499)</t>
  </si>
  <si>
    <t>Manguera Caucho 3/8 (70002500)</t>
  </si>
  <si>
    <t>Juego Pastas Tras R Master 440603321R (70003439)</t>
  </si>
  <si>
    <t>Rtos Frenos (REPFRE)</t>
  </si>
  <si>
    <t>Manguera Fabricada Montacargas (70003440)</t>
  </si>
  <si>
    <t>Guardapolvo Caja Direc Izq 485728 (70004001)</t>
  </si>
  <si>
    <t>Rtos Direccion (REPDIR)</t>
  </si>
  <si>
    <t>Cable Encauchetado 4 X 18 (70005498)</t>
  </si>
  <si>
    <t>Cable Bateria # 2 No2 (70005657)</t>
  </si>
  <si>
    <t>Cable Duplex 2 X 16 (70006106)</t>
  </si>
  <si>
    <t>Tubo Salida Agua Turbo Npr 8972100772 (70006148)</t>
  </si>
  <si>
    <t>Manguera Caucho 1/8 (70006171)</t>
  </si>
  <si>
    <t>Bomba Gasolina S Carry 1510085501 (70006186)</t>
  </si>
  <si>
    <t>Cable Encauchetado 3 X 12 (70006347)</t>
  </si>
  <si>
    <t>Cable Bateria Calibre 00 (70006358)</t>
  </si>
  <si>
    <t>SOP Estribo CAB Npr Der 8978929651 (70006437)</t>
  </si>
  <si>
    <t>AIR AC Gener Aire Acondicionado Generico (70006555)</t>
  </si>
  <si>
    <t>Rtos Accesorios (REPACC)</t>
  </si>
  <si>
    <t>Cable Encauchetado 3 X 16 (70006557)</t>
  </si>
  <si>
    <t>Coraza Americana De 1" (70006762)</t>
  </si>
  <si>
    <t>EMP Abrazadera TANQ COMB 2 1/2" (70006874)</t>
  </si>
  <si>
    <t>Lampara DIRal Del Der T Delta 8151087383 (70006880)</t>
  </si>
  <si>
    <t>Tapa Carcaza Filtro Aire Eag 2039515c1 (70007162)</t>
  </si>
  <si>
    <t>Cable Vehiculo N-18 (70007443)</t>
  </si>
  <si>
    <t>Tapa Cubo Rueda Del N14 9925 64249 (70007445)</t>
  </si>
  <si>
    <t>Rtos Suspension (REPSUS)</t>
  </si>
  <si>
    <t>VALV Reparticion Mang AIR TRL Tp 3c31493 (70007459)</t>
  </si>
  <si>
    <t>Manija Pta Exter Cabina S C 8282085000 (70007482)</t>
  </si>
  <si>
    <t>Manija Elevavidrio Npr 3550 Gp (70007509)</t>
  </si>
  <si>
    <t>Tapizado Cojineria (70007526)</t>
  </si>
  <si>
    <t>Leva Freno TRAS DER Prostar 2210m7631 (70007534)</t>
  </si>
  <si>
    <t>Moldura Persina Radiador Nkr 5867120520 (70007822)</t>
  </si>
  <si>
    <t>Bocin Rin De Disco Bendix Reparado (70007920)</t>
  </si>
  <si>
    <t>Banda Trasera Hi Supertrack Remachada (70008162)</t>
  </si>
  <si>
    <t>Caja Dir Internacional Prostar Reparado (70008203)</t>
  </si>
  <si>
    <t>Puntera Bomper Der Vw 8150 2rd807104 (70008742)</t>
  </si>
  <si>
    <t>Biela Motor Nhr-Nkr Reparado (70008838)</t>
  </si>
  <si>
    <t>Espejo Retrovisor Hi-Sb Reparado (70008856)</t>
  </si>
  <si>
    <t>Caucho Porta Sproket Akt125 714230 (70009028)</t>
  </si>
  <si>
    <t>Rollo De Cable 7 Hilos Calibr Blanco (80000025)</t>
  </si>
  <si>
    <t>Vinilo Esmerilado Opalizado De (80000145)</t>
  </si>
  <si>
    <t>Cadena Did 12B1- 3/4 Simplex B (80000237)</t>
  </si>
  <si>
    <t>Cadena Sh 10B1 5/8 Simplex Be (80000263)</t>
  </si>
  <si>
    <t>Cable Plano Cero Halogenos Ra- (80000408)</t>
  </si>
  <si>
    <t>Sorter Electrico (SORELE)</t>
  </si>
  <si>
    <t>Cable Maniobra Asi Interno 2X1 (80000442)</t>
  </si>
  <si>
    <t>Cable Potencia Asi Externo 2X1 (80000443)</t>
  </si>
  <si>
    <t>Cable Profinet Flexible 2X2X0, (80000518)</t>
  </si>
  <si>
    <t>Banda Ifz W=1180 El 0/V10 Np-S (80000630)</t>
  </si>
  <si>
    <t>Cadena Rodillo Tensor1-1/2Iso (80000634)</t>
  </si>
  <si>
    <t>Cadena Rodillo Tensor1-1/3 Iso (80000635)</t>
  </si>
  <si>
    <t>Cadena Rodillos Doble 2-1/2 Is (80000636)</t>
  </si>
  <si>
    <t>Banda E12/2 U0/V/U0 Antracita (80000647)</t>
  </si>
  <si>
    <t>Banda E8/2 U0/V15/Lg Negra W= (80000648)</t>
  </si>
  <si>
    <t>Banda E8/2 U0/V15/Lg-Se Negra (80000649)</t>
  </si>
  <si>
    <t>Banda E8/2 U0/V15/Lg Negra W=1 (80000650)</t>
  </si>
  <si>
    <t>Tubo Pvc 1 1/4 (80000742)</t>
  </si>
  <si>
    <t>Tubo Pvc 3/4" (80000786)</t>
  </si>
  <si>
    <t>Rejilla 3 X 2 Corriente (80000830)</t>
  </si>
  <si>
    <t>Yee 2" Sanitaria (80000844)</t>
  </si>
  <si>
    <t>Aditivo Acelerante Para Concre (80000119)</t>
  </si>
  <si>
    <t>Milímetro cúbico (MM3)</t>
  </si>
  <si>
    <t>Guante Poliester Poliuretano A9 (30000951)</t>
  </si>
  <si>
    <t>Impl Seg Industrial (IMPSEG)</t>
  </si>
  <si>
    <t>Par (PAA)</t>
  </si>
  <si>
    <t>Guante Poliester Poliuretano A7 (30000952)</t>
  </si>
  <si>
    <t>Guante Poliester Poliuretano A10 (30000953)</t>
  </si>
  <si>
    <t>Pila Energizer Ultimante Aa2 C (10000704)</t>
  </si>
  <si>
    <t>Guantes Latex Aseo Talla 8 C20 (30000181)</t>
  </si>
  <si>
    <t>Dotacion EPP (DOTEPP)</t>
  </si>
  <si>
    <t>1002</t>
  </si>
  <si>
    <t>Guantes Latex Aseo Talla 8 C35 (30000182)</t>
  </si>
  <si>
    <t>Polaines Carnaza Soldador (30000198)</t>
  </si>
  <si>
    <t>Mangas Carnaza Soldador (30000219)</t>
  </si>
  <si>
    <t>Zapatilla Aventura 45 (30000288)</t>
  </si>
  <si>
    <t>Dotacion Uniformes (DOTUNIF)</t>
  </si>
  <si>
    <t>Zapatilla Aventura 39 (30000289)</t>
  </si>
  <si>
    <t>Zapatilla Aventura 35 (30000291)</t>
  </si>
  <si>
    <t>Zapatilla Aventura 37 (30000292)</t>
  </si>
  <si>
    <t>Zapatilla Aventura 34 (30000293)</t>
  </si>
  <si>
    <t>Zapatilla Aventura 43 (30000294)</t>
  </si>
  <si>
    <t>Zapatilla Aventura 38 (30000313)</t>
  </si>
  <si>
    <t>Zapatilla Aventura 40 (30000314)</t>
  </si>
  <si>
    <t>Zapatilla Aventura 41 (30000315)</t>
  </si>
  <si>
    <t>Zapatilla Aventura 46 (30000316)</t>
  </si>
  <si>
    <t>Zapatilla Aventura 44 (30000317)</t>
  </si>
  <si>
    <t>Zapatilla Aventura 42 (30000318)</t>
  </si>
  <si>
    <t>Zapatilla Aventura 36 (30000319)</t>
  </si>
  <si>
    <t>Guantes Largos Soldador 11910777 (30000410)</t>
  </si>
  <si>
    <t>Botas Plasticas Con Puntera (Hub) 43 (30000416)</t>
  </si>
  <si>
    <t>Botas Plasticas Con Puntera (Hub) 38 (30000417)</t>
  </si>
  <si>
    <t>Guantes Operaciones 11480 Hyflex T8 (30000420)</t>
  </si>
  <si>
    <t>Guantes Operaciones 11480 Hyflex T7 (30000421)</t>
  </si>
  <si>
    <t>Guantes Operaciones 11480 Hyflex T9 (30000422)</t>
  </si>
  <si>
    <t>Guantes Operaciones 11480 Hyflex T10 (30000423)</t>
  </si>
  <si>
    <t>Botas Plasticas Con Puntera (Hub) 45 (30000439)</t>
  </si>
  <si>
    <t>Botas Plasticas Con Puntera (Hub) 40 (30000440)</t>
  </si>
  <si>
    <t>Botas Plasticas Con Puntera (Hub) 36 (30000441)</t>
  </si>
  <si>
    <t>Botas Plasticas Con Puntera (Hub) 41 (30000442)</t>
  </si>
  <si>
    <t>Botas Plasticas Con Puntera (Hub) 44 (30000443)</t>
  </si>
  <si>
    <t>Botas Plasticas Con Puntera (Hub) 42 (30000444)</t>
  </si>
  <si>
    <t>Botas Plasticas Con Puntera (Hub) 37 (30000446)</t>
  </si>
  <si>
    <t>Botas Plasticas Con Puntera (Hub) 39 (30000447)</t>
  </si>
  <si>
    <t>Zapato Evacol T36 (30000448)</t>
  </si>
  <si>
    <t>Zapato Evacol T35 (30000449)</t>
  </si>
  <si>
    <t>Zapato Evacol T34 (30000450)</t>
  </si>
  <si>
    <t>Zapato Evacol T42 (30000451)</t>
  </si>
  <si>
    <t>Bota Seguridad Sin Puntera 46 (30000457)</t>
  </si>
  <si>
    <t>Bota Seguridad Sin Puntera 43 (30000458)</t>
  </si>
  <si>
    <t>Bota Seguridad Sin Puntera 48 (30000459)</t>
  </si>
  <si>
    <t>Bota Seguridad Sin Puntera 45 (30000460)</t>
  </si>
  <si>
    <t>Bota Seguridad Sin Puntera 47 (30000461)</t>
  </si>
  <si>
    <t>Bota Seguridad Sin Puntera 44 (30000462)</t>
  </si>
  <si>
    <t>Tenis Roblo Jr Negro Ruta Nacional 46 (30000464)</t>
  </si>
  <si>
    <t>Tenis Roblo Jr Negro Ruta Nacional 39 (30000466)</t>
  </si>
  <si>
    <t>Tenis Roblo Jr Negro Ruta Nacional 41 (30000467)</t>
  </si>
  <si>
    <t>Tenis Roblo Jr Negro Ruta Nacional 40 (30000468)</t>
  </si>
  <si>
    <t>Tenis Roblo Jr Negro Ruta Nacional 43 (30000469)</t>
  </si>
  <si>
    <t>Tenis Roblo Jr Negro Ruta Nacional 36 (30000470)</t>
  </si>
  <si>
    <t>Tenis Roblo Jr Negro Ruta Nacional 45 (30000471)</t>
  </si>
  <si>
    <t>Tenis Roblo Jr Negro Ruta Nacional 44 (30000472)</t>
  </si>
  <si>
    <t>Zapato Evacol T43 (30000473)</t>
  </si>
  <si>
    <t>Zapato Evacol T38 (30000474)</t>
  </si>
  <si>
    <t>Zapato Evacol T39 (30000475)</t>
  </si>
  <si>
    <t>Zapato Evacol T37 (30000477)</t>
  </si>
  <si>
    <t>Zapato Evacol T40 (30000478)</t>
  </si>
  <si>
    <t>Zapato Evacol T41 (30000479)</t>
  </si>
  <si>
    <t>Tenis Roblo Jr Negro Ruta Nacional 37 (30000492)</t>
  </si>
  <si>
    <t>Tenis Roblo Jr Negro Ruta Nacional 42 (30000493)</t>
  </si>
  <si>
    <t>Tenis Roblo Jr Negro Ruta Nacional 38 (30000494)</t>
  </si>
  <si>
    <t>Tenis Roblo Jr Negro Ruta Nacional 47 (30000495)</t>
  </si>
  <si>
    <t>Guante Alphatec Solvex 37-185 Anzel (30000524)</t>
  </si>
  <si>
    <t>Botas Plasticas 43 (30000608)</t>
  </si>
  <si>
    <t>Botas Plasticas 44 (30000609)</t>
  </si>
  <si>
    <t>Botas Plasticas 45 (30000610)</t>
  </si>
  <si>
    <t>Botas Plasticas 40 (30000611)</t>
  </si>
  <si>
    <t>Bota Seguridad 47 (30000623)</t>
  </si>
  <si>
    <t>Bota Seguridad 34 (30000624)</t>
  </si>
  <si>
    <t>Bota Seguridad 48 (30000625)</t>
  </si>
  <si>
    <t>Bota Seguridad 38 (30000626)</t>
  </si>
  <si>
    <t>Bota Seguridad 39 (30000627)</t>
  </si>
  <si>
    <t>Botas Plasticas 42 (30000632)</t>
  </si>
  <si>
    <t>Botas Plasticas 46 (30000633)</t>
  </si>
  <si>
    <t>Botas Plasticas 39 (30000634)</t>
  </si>
  <si>
    <t>Botas Plasticas 38 (30000635)</t>
  </si>
  <si>
    <t>Botas Plasticas 37 (30000636)</t>
  </si>
  <si>
    <t>Botas Plasticas 41 (30000637)</t>
  </si>
  <si>
    <t>Botas Plasticas 36 (30000638)</t>
  </si>
  <si>
    <t>Bota Mounth Cuero 48 (30000639)</t>
  </si>
  <si>
    <t>Bota Mounth Cuero 44 (30000640)</t>
  </si>
  <si>
    <t>Bota Mounth Cuero 42 (30000641)</t>
  </si>
  <si>
    <t>Bota Mounth Cuero 36 (30000642)</t>
  </si>
  <si>
    <t>Bota Mounth Cuero 45 (30000643)</t>
  </si>
  <si>
    <t>Bota Seguridad 42 (30000644)</t>
  </si>
  <si>
    <t>Bota Seguridad 40 (30000645)</t>
  </si>
  <si>
    <t>Bota Seguridad 37 (30000646)</t>
  </si>
  <si>
    <t>Bota Seguridad 45 (30000647)</t>
  </si>
  <si>
    <t>Bota Seguridad 35 (30000648)</t>
  </si>
  <si>
    <t>Bota Seguridad 44 (30000650)</t>
  </si>
  <si>
    <t>Bota Seguridad 43 (30000651)</t>
  </si>
  <si>
    <t>Bota Seguridad 41 (30000652)</t>
  </si>
  <si>
    <t>Bota Seguridad 36 (30000653)</t>
  </si>
  <si>
    <t>Bota Seguridad 46 (30000654)</t>
  </si>
  <si>
    <t>Bota Mounth Cuero 30 (30000657)</t>
  </si>
  <si>
    <t>Bota Mounth Cuero 46 (30000658)</t>
  </si>
  <si>
    <t>Bota Mounth Cuero 32 (30000660)</t>
  </si>
  <si>
    <t>Bota Mounth Cuero 39 (30000661)</t>
  </si>
  <si>
    <t>Bota Mounth Cuero 35 (30000662)</t>
  </si>
  <si>
    <t>Bota Mounth Cuero 43 (30000663)</t>
  </si>
  <si>
    <t>Bota Mounth Cuero 38 (30000664)</t>
  </si>
  <si>
    <t>Bota Mounth Cuero 28 (30000665)</t>
  </si>
  <si>
    <t>Bota Mounth Cuero 40 (30000666)</t>
  </si>
  <si>
    <t>Bota Mounth Cuero 37 (30000667)</t>
  </si>
  <si>
    <t>Bota Mounth Cuero 34 (30000668)</t>
  </si>
  <si>
    <t>Bota Mounth Cuero 41 (30000669)</t>
  </si>
  <si>
    <t>Guante Poliester Poliuretano A8 (30000950)</t>
  </si>
  <si>
    <t>Papel Higienico Blanco R/Peque (10000381)</t>
  </si>
  <si>
    <t>Paquete (PAQ)</t>
  </si>
  <si>
    <t>Hoja Membretead Copia Paq X250 (10000480)</t>
  </si>
  <si>
    <t>Hoja Membretea Origin Paqx250 (10000481)</t>
  </si>
  <si>
    <t>Instacrem Bolsa X 100 Sobres (10000496)</t>
  </si>
  <si>
    <t>Palillo Mezclador Azucar X100 (10000497)</t>
  </si>
  <si>
    <t>Esponja De Brillo (10000517)</t>
  </si>
  <si>
    <t>Servilletas Paquete X 200 (10000792)</t>
  </si>
  <si>
    <t>Bolsa Azul 30 X 50 X 2 Paq X 100 (60000175)</t>
  </si>
  <si>
    <t>Bolsa Azul 50 X 60 X 2 Paq X 50 (60000176)</t>
  </si>
  <si>
    <t>Bolsa Azul 60 X 100 X 3 Paq X 50 (60000177)</t>
  </si>
  <si>
    <t>Caja De Paso 20X15X10 Tipo Int (80000748)</t>
  </si>
  <si>
    <t>Base Acondicionador Plasticos 90701001 (50001560)</t>
  </si>
  <si>
    <t>Cuarto galón, EE.UU., líquido (CTO)</t>
  </si>
  <si>
    <t>Compuesto Wash Primer 509 A Y B (50001561)</t>
  </si>
  <si>
    <t>Pintulaca Negro Mate 7549 (50001569)</t>
  </si>
  <si>
    <t>Barniz 70000 10067 (50001578)</t>
  </si>
  <si>
    <t>Masilla Duretan Dos Componente 119167 (50001581)</t>
  </si>
  <si>
    <t>Masilla Roja Rapid Dure 11916 Duretan119 (50001583)</t>
  </si>
  <si>
    <t>Pasta Pulidora Copao Rojo 120017 (50001587)</t>
  </si>
  <si>
    <t>Pintura Laca Roja 7213 (50001593)</t>
  </si>
  <si>
    <t>Pintura Blanco Arco Colpisa 1475 (50001595)</t>
  </si>
  <si>
    <t>Aceite 2 Tiempos Shell Adva (50001620)</t>
  </si>
  <si>
    <t>Liquido De Frenos Dot 4 (50001637)</t>
  </si>
  <si>
    <t>Lubrica Lubricante Herramienta Neumatica (50001646)</t>
  </si>
  <si>
    <t>Aceite Trans Montacarga Havoli Atf-Md3 (50001668)</t>
  </si>
  <si>
    <t>Papel Aluminio (10000378)</t>
  </si>
  <si>
    <t>Rollos (ROL)</t>
  </si>
  <si>
    <t>Rollo Adhesivo Termico 0x1 6.2 (10000382)</t>
  </si>
  <si>
    <t>Papel Sumadora 57 X 40 Rollo (10000384)</t>
  </si>
  <si>
    <t>Papel Registradora 57mm X 15 M (10000484)</t>
  </si>
  <si>
    <t>Cinta Transparente 12mm X 20m (10000547)</t>
  </si>
  <si>
    <t>Etiqueta 729 Rollo (10000608)</t>
  </si>
  <si>
    <t>Cabuya En Rollo (10001296)</t>
  </si>
  <si>
    <t>Eventos Mercadeo (EVENMER)</t>
  </si>
  <si>
    <t>1026</t>
  </si>
  <si>
    <t>Venda De Gasa 4" X 5" Yardas (30000887)</t>
  </si>
  <si>
    <t>Venda Elastica 4" X 5" Yardas (30000888)</t>
  </si>
  <si>
    <t>Cinta Reflectiva Peligro Advertencia (50000191)</t>
  </si>
  <si>
    <t>Cinta Asfaltica Multiseal Sika (50000254)</t>
  </si>
  <si>
    <t>Transfer P' Adhesivos Adhpt166 (50000269)</t>
  </si>
  <si>
    <t>Cinta Enmascarar 1/2" (50000367)</t>
  </si>
  <si>
    <t>Cinta Enmascarar 3/4" 3m (50000368)</t>
  </si>
  <si>
    <t>Cinta Aislante Super 33 3 (50000371)</t>
  </si>
  <si>
    <t>Cinta Enmascarar 1/4" (50000463)</t>
  </si>
  <si>
    <t>Lamina Galvanizada Techo Furgon C-16 (50000464)</t>
  </si>
  <si>
    <t>Cinta Teflon De 3/4 (50001708)</t>
  </si>
  <si>
    <t>MANG Toma Muestra Aceite 1/4 X 100mts (50001781)</t>
  </si>
  <si>
    <t>Cinta Doble Face Vhb 5952f 19mm X 33 Mt (50001925)</t>
  </si>
  <si>
    <t>Cinta Reempaque 36mm X 50m (60000179)</t>
  </si>
  <si>
    <t>Zuncho (60000194)</t>
  </si>
  <si>
    <t>Kit Regulador Y Portadiodo Npr Hi2019 (70003183)</t>
  </si>
  <si>
    <t>Cinta Led Rollo X 5 Metros 12 Voltios (70003608)</t>
  </si>
  <si>
    <t>Tensor Fijo Tensor Fijo Trailer 15. 1/2" (70007429)</t>
  </si>
  <si>
    <t>Guaya Acelerador Wolkswagen 2vb721555 (70007498)</t>
  </si>
  <si>
    <t>Empaque Vidrio Panoramico Nhr 8978902142 (70007514)</t>
  </si>
  <si>
    <t>Espejo Retrovisor KW T-800 Nuevo Md7165 (70007515)</t>
  </si>
  <si>
    <t>Cinta Doble Face De 1.1/2 Tesa (80000013)</t>
  </si>
  <si>
    <t>Cinta Vinilo Demarc Amaril 48m (80000049)</t>
  </si>
  <si>
    <t>Cinta Antideslizante Conformab 48X100 (80000076)</t>
  </si>
  <si>
    <t>Kit Induccion Desarrollo Human (10000706)</t>
  </si>
  <si>
    <t>Juego (SET)</t>
  </si>
  <si>
    <t>Juego Alicate Y Pinzas X 8 Pizas (50001329)</t>
  </si>
  <si>
    <t>Banderol Banderolas Triangulos Juego X 2 (50001332)</t>
  </si>
  <si>
    <t>Tacos Madera Jgo X 2 (50001333)</t>
  </si>
  <si>
    <t>Juego Destornilladores 6 Piezas (50001372)</t>
  </si>
  <si>
    <t>Juego Past Freno Del Foton BJ57705946204 (70002359)</t>
  </si>
  <si>
    <t>Juego Pastillas Freno X 4 Daf 1982826 (70004630)</t>
  </si>
  <si>
    <t>Juego Plumilla Limpiabrisas Daf Cf480 Ft (70005678)</t>
  </si>
  <si>
    <t>Kit Conectores Plasticos Unidad Gps Sp48 (70005758)</t>
  </si>
  <si>
    <t>Juego Puntilla Banda Freno Todos (70007195)</t>
  </si>
  <si>
    <t>Juego Parlante X 2 Redondo 4" (70007453)</t>
  </si>
  <si>
    <t>Pastillas Freno Tras Jac Sunray 21010191 (70008638)</t>
  </si>
  <si>
    <t>Pastillas Freno Del Jac Sunray 21008526 (70008665)</t>
  </si>
  <si>
    <t>Juego Sabana Y Funda Sencilla (80000836)</t>
  </si>
  <si>
    <t>Servicio Calibración Termómetro (41000170)</t>
  </si>
  <si>
    <t>Servicios Terceros (ZSET)</t>
  </si>
  <si>
    <t>UNIDAD (UN)</t>
  </si>
  <si>
    <t>6008</t>
  </si>
  <si>
    <t>S</t>
  </si>
  <si>
    <t>Servicio De Estampado (41000171)</t>
  </si>
  <si>
    <t>Dotacion Otros (DOTOTROS)</t>
  </si>
  <si>
    <t>Servicio Calibracion Tensiometro (41000172)</t>
  </si>
  <si>
    <t>Servicio Mantenimiento Tensiometro (41000173)</t>
  </si>
  <si>
    <t>Servicio Sacerdote (41000174)</t>
  </si>
  <si>
    <t>Gastos Dep Y Fiest (GASREEM)</t>
  </si>
  <si>
    <t>6001</t>
  </si>
  <si>
    <t>Servicio Mantenimiento Maquinaria Compre (41000175)</t>
  </si>
  <si>
    <t>Insumos Maq y Equ (INSMYQ)</t>
  </si>
  <si>
    <t>6004</t>
  </si>
  <si>
    <t>Servicio De Vulcanizado Bandas Sorter (41000176)</t>
  </si>
  <si>
    <t>Servicio De Reparacion Rodillo Sorter (41000177)</t>
  </si>
  <si>
    <t>Uniforme Ciclismo Hombre M (10001238)</t>
  </si>
  <si>
    <t>Material Publicitari (MATPUB)</t>
  </si>
  <si>
    <t>1018</t>
  </si>
  <si>
    <t>Uniforme Ciclismo Hombre L (10001239)</t>
  </si>
  <si>
    <t>Uniforme Ciclismo Hombre XL (10001240)</t>
  </si>
  <si>
    <t>Uniforme Ciclismo Dama XS (10001241)</t>
  </si>
  <si>
    <t>Uniforme Ciclismo Dama M (10001243)</t>
  </si>
  <si>
    <t>Uniforme Ciclismo Dama L (10001244)</t>
  </si>
  <si>
    <t>Uniforme Ciclismo Dama XL (10001245)</t>
  </si>
  <si>
    <t>Camibuso Aliados Droop L (10001246)</t>
  </si>
  <si>
    <t>Mtrl Publi Merchan (MATPMER)</t>
  </si>
  <si>
    <t>Camibuso Aliados Droop XL (10001247)</t>
  </si>
  <si>
    <t>BROCA MANPOSTERIA 1/4"X4" DE LARGO (50001942)</t>
  </si>
  <si>
    <t>REFUER PARED FRONT FOT1045 7700149220859 (70007889)</t>
  </si>
  <si>
    <t>PERSIANA FRONT FOT1045 EVI 7705946684552 (70007890)</t>
  </si>
  <si>
    <t>BLOQUE MOTOR 4JJ1 EURO 2 8982746620 (70007892)</t>
  </si>
  <si>
    <t>Cabezote Compresor Aire Montallantas (10000222)</t>
  </si>
  <si>
    <t>Llanta Neumatica Maquina Lavadora 8x2 (10000223)</t>
  </si>
  <si>
    <t>Filtro Sedimentos Dispensador Agua (10000224)</t>
  </si>
  <si>
    <t>Rueda Traccion M. Lavado Fabricada (10000225)</t>
  </si>
  <si>
    <t>Filtro Aire Compresor (10000226)</t>
  </si>
  <si>
    <t>Filtro Aceite Wd950 Compresor (10000227)</t>
  </si>
  <si>
    <t>Filtro Separadaor Agua Compresor (10000228)</t>
  </si>
  <si>
    <t>Motor Elect 110v-220vMonof Eje16MmCuñero (10000229)</t>
  </si>
  <si>
    <t>Silicona Liquida De 100ml (10000230)</t>
  </si>
  <si>
    <t>Papelera Pedal 10 Litros (10000231)</t>
  </si>
  <si>
    <t>Etiquetas Activos Fijos (10000232)</t>
  </si>
  <si>
    <t>Almohadilla Sello Numerad Auto (10000233)</t>
  </si>
  <si>
    <t>Modulo Para Droop (10000234)</t>
  </si>
  <si>
    <t>Bolsa Papel Kraft Varias (10000235)</t>
  </si>
  <si>
    <t>Aserrin Bulto (10000236)</t>
  </si>
  <si>
    <t>Cosedora (10000237)</t>
  </si>
  <si>
    <t>Vaso Desechable Transp Eventos (10000238)</t>
  </si>
  <si>
    <t>Recibo Caja Menor R-2002 (10000239)</t>
  </si>
  <si>
    <t>Recibo Caja Oficial R-2005 (10000240)</t>
  </si>
  <si>
    <t>Recogedor De Basura (10000241)</t>
  </si>
  <si>
    <t>Tijera Corta Dotacion 8-10 P (10000242)</t>
  </si>
  <si>
    <t>Bolsa Para Desecho Canin 10x14 (10000243)</t>
  </si>
  <si>
    <t>Tinta Hp 664 Xl Negra (10000244)</t>
  </si>
  <si>
    <t>Tinta Hp 664 Xl Color (10000245)</t>
  </si>
  <si>
    <t>Kit Escolar (10000246)</t>
  </si>
  <si>
    <t>Paral Estanteria Gris Cali 16 (10000247)</t>
  </si>
  <si>
    <t>Entrepaño De 30x90 Calibre 20 (10000248)</t>
  </si>
  <si>
    <t>Escuadras Para Estanteria (10000249)</t>
  </si>
  <si>
    <t>Etiqueta Rectan Termica 100x50 (10000250)</t>
  </si>
  <si>
    <t>Tonner Kyocera Tk 3162 (10000251)</t>
  </si>
  <si>
    <t>Palo De Escoba Y Trapero (10000252)</t>
  </si>
  <si>
    <t>Soda Caustica Liquida Planta D (10000253)</t>
  </si>
  <si>
    <t>Base Rueda 6-044f00tz 1/2 Fija (10000254)</t>
  </si>
  <si>
    <t>Base Rueda 6-044f00tz 1/2 Loca (10000255)</t>
  </si>
  <si>
    <t>Black Out Medidas Varias (10000256)</t>
  </si>
  <si>
    <t>Bolsillo Catalogo Carta (10000257)</t>
  </si>
  <si>
    <t>Sticker Circular Adhes Blan 2c (10000258)</t>
  </si>
  <si>
    <t>Filtro Tela Cafetera Grande (10000259)</t>
  </si>
  <si>
    <t>Archivador Fuelle Maletin Cart (10000260)</t>
  </si>
  <si>
    <t>Mercado Gravado Con 19% (10000261)</t>
  </si>
  <si>
    <t>Cuchillo Cocina (10000262)</t>
  </si>
  <si>
    <t>Pila Gp Alcalina (10000263)</t>
  </si>
  <si>
    <t>Bolsa Plast Transp Archiv10x14 (10000264)</t>
  </si>
  <si>
    <t>Bolsa Plast Transp Archiv14x20 (10000266)</t>
  </si>
  <si>
    <t>Mercado No Gravado (10000267)</t>
  </si>
  <si>
    <t>Cinta Impresora Zebra-Cera 110 (10000268)</t>
  </si>
  <si>
    <t>Bascula Electronica Pequeña Re (10000269)</t>
  </si>
  <si>
    <t>Oxilimpio 1 Galon (10000270)</t>
  </si>
  <si>
    <t>Tinta Epson Stylus To63 Yellow (10000271)</t>
  </si>
  <si>
    <t>Tinta Epson Stylus To63 Cyan (10000272)</t>
  </si>
  <si>
    <t>Tinta Epson Stylus To63 Magenta (10000273)</t>
  </si>
  <si>
    <t>Sello Nombre Coordinadora Merc (10000274)</t>
  </si>
  <si>
    <t>Formato Respo Emple Sg-Sst Bond 90 Gr (10000275)</t>
  </si>
  <si>
    <t>Porta Minas 0.5 (10000276)</t>
  </si>
  <si>
    <t>Tonner Kyocera Tk 3192 (10000277)</t>
  </si>
  <si>
    <t>Agua Botella Personal (10000278)</t>
  </si>
  <si>
    <t>Rotulo Laser 3558 71.9x25.4 (10000279)</t>
  </si>
  <si>
    <t>Recipiente Plastic Azucar/Cafe (10000281)</t>
  </si>
  <si>
    <t>Cubeta De Hielo (10000282)</t>
  </si>
  <si>
    <t>Bolsillo Catalogo Carta C4 (10000283)</t>
  </si>
  <si>
    <t>Cinta Rotul 4mx12mm Blanc Plas (10000284)</t>
  </si>
  <si>
    <t>Tonner Kyocera Tk 1175 (10000285)</t>
  </si>
  <si>
    <t>Tonner Hp C9351al N. 21 Negra (10000286)</t>
  </si>
  <si>
    <t>Tonner Hp C9352al N. 22 Color (10000287)</t>
  </si>
  <si>
    <t>Credenciales De Seguridad Esco (10000288)</t>
  </si>
  <si>
    <t>Boligrafo Desechable Colores (10000289)</t>
  </si>
  <si>
    <t>Cd R Spindle X25 Verbatim/Sony (10000290)</t>
  </si>
  <si>
    <t>Alcohol Isopropilico Gravado (10000291)</t>
  </si>
  <si>
    <t>Sello Retractil 13 X 54 Mm (10000292)</t>
  </si>
  <si>
    <t>Termo Para Cafe 1 Litro (10000293)</t>
  </si>
  <si>
    <t>Recibos Caja Por Terminal X100 Yopal (10000294)</t>
  </si>
  <si>
    <t>Recibos Caja Por Terminal X100 Monteria (10000295)</t>
  </si>
  <si>
    <t>Recibos Caja Por Terminal X100 B/quilla (10000296)</t>
  </si>
  <si>
    <t>Pastillero (10000297)</t>
  </si>
  <si>
    <t>Papel Kraft 60g 70 X 100 (10000298)</t>
  </si>
  <si>
    <t>Canela En Polvo X 453 Grs (10000299)</t>
  </si>
  <si>
    <t>Pila Pequeña Triple AAA (10000300)</t>
  </si>
  <si>
    <t>Sal Refisal (10000301)</t>
  </si>
  <si>
    <t>Zumo De Limon X Litro (10000302)</t>
  </si>
  <si>
    <t>Pila Mediana Tipo C 1035 (10000303)</t>
  </si>
  <si>
    <t>Pila Pequeña Doble AA (10000304)</t>
  </si>
  <si>
    <t>Pila Cuadrada 9 Voltios (10000305)</t>
  </si>
  <si>
    <t>Tarjeta En Blanco Para Carnet (10000306)</t>
  </si>
  <si>
    <t>Tonner Samsung Mlt-D205l/Xax (10000307)</t>
  </si>
  <si>
    <t>Cinta Datacard Cp 40 Plus Colo (10000308)</t>
  </si>
  <si>
    <t>Calculadora Max Electr Mx D58 (10000309)</t>
  </si>
  <si>
    <t>Recibos Caja Por Terminal X100 Cucuta (10000310)</t>
  </si>
  <si>
    <t>Recibos Caja Por Terminal X100 B/bermeja (10000311)</t>
  </si>
  <si>
    <t>Recibos Caja Por Terminal X100 Copacaban (10000312)</t>
  </si>
  <si>
    <t>Recibos Caja Por Terminal X100 Pasto (10000313)</t>
  </si>
  <si>
    <t>Recibos Caja Por Terminal X100 Riohacha (10000314)</t>
  </si>
  <si>
    <t>Recibos Caja Por Terminal X100 Pereira (10000315)</t>
  </si>
  <si>
    <t>Recibos Caja Por Terminal X100 Buenavent (10000316)</t>
  </si>
  <si>
    <t>Recibos Caja Por Terminal X100 B/manga (10000317)</t>
  </si>
  <si>
    <t>Recibos Caja Por Terminal X100 Pitalito (10000318)</t>
  </si>
  <si>
    <t>Recibos Caja Por Terminal X100 Rionegro (10000319)</t>
  </si>
  <si>
    <t>Recibos Caja Por Terminal X100 Neiva (10000320)</t>
  </si>
  <si>
    <t>Recibos Caja Por Terminal X100 Fusagasug (10000321)</t>
  </si>
  <si>
    <t>Recibos Caja Por Terminal X100 Sincelejo (10000322)</t>
  </si>
  <si>
    <t>Recibos Caja Por Terminal X100 Cienaga (10000323)</t>
  </si>
  <si>
    <t>Recibos Caja Por Terminal X100 DG (10000324)</t>
  </si>
  <si>
    <t>Recibos Caja Por Terminal X100 Tunja (10000325)</t>
  </si>
  <si>
    <t>Rotulo Las 3129 215.9x279.4x30 (10000326)</t>
  </si>
  <si>
    <t>Recibos Caja Por Terminal X100 Medellin (10000327)</t>
  </si>
  <si>
    <t>Recibos Caja Por Terminal X100 Villavo (10000328)</t>
  </si>
  <si>
    <t>Recibos Caja Por Terminal X100 Florencia (10000329)</t>
  </si>
  <si>
    <t>Recibos Caja Por Terminal X100 Ibague (10000330)</t>
  </si>
  <si>
    <t>Recibos Caja Por Terminal X100 Manizales (10000331)</t>
  </si>
  <si>
    <t>Recibos Caja Por Terminal X100 Flandes (10000332)</t>
  </si>
  <si>
    <t>Recibos Caja Por Terminal X100 Bosconia (10000333)</t>
  </si>
  <si>
    <t>Recibos Caja Por Terminal X100 Calarca (10000334)</t>
  </si>
  <si>
    <t>Recibos Caja Por Terminal X100 La Ceja (10000335)</t>
  </si>
  <si>
    <t>Recibos Caja Por Terminal X100 Apartado (10000336)</t>
  </si>
  <si>
    <t>Recibos Caja Por Terminal X100 Popayan (10000337)</t>
  </si>
  <si>
    <t>Recibos Caja Por Terminal X100 Bogota (10000338)</t>
  </si>
  <si>
    <t>Recibos Caja Por Terminal X100 Cartagena (10000339)</t>
  </si>
  <si>
    <t>Recibos Caja Por Terminal X100 Cali (10000340)</t>
  </si>
  <si>
    <t>Recibos Caja Por Terminal X100 Aguachica (10000341)</t>
  </si>
  <si>
    <t>Rueda Giratoria Con Freno 5 X 1x5/8 (10000342)</t>
  </si>
  <si>
    <t>Aviso Prevencion Piso Mojado (10000343)</t>
  </si>
  <si>
    <t>Tonner Ce278a Generico (10000344)</t>
  </si>
  <si>
    <t>Pegastic En Barra (10000345)</t>
  </si>
  <si>
    <t>Sacagrapa Industrial Wingo (10000348)</t>
  </si>
  <si>
    <t>Pinza Doble Clip 1 1/4 Cj X12 (10000349)</t>
  </si>
  <si>
    <t>Cinta Doble Face Transpa 12x10 (10000350)</t>
  </si>
  <si>
    <t>Pos-It Pequeño 3.8 X 5 (10000351)</t>
  </si>
  <si>
    <t>Pos-It Mediano 7.6 X 7 (10000352)</t>
  </si>
  <si>
    <t>Borrador Para Tablero En Vidri (10000353)</t>
  </si>
  <si>
    <t>Cartulina Opalina Carta X 500 Resma (10000354)</t>
  </si>
  <si>
    <t>Perforadora 2 Huecos (10000355)</t>
  </si>
  <si>
    <t>Tinta Hp Cn045al # 950xl Negro (10000356)</t>
  </si>
  <si>
    <t>Tonner Hp Cf217a Negro (10000357)</t>
  </si>
  <si>
    <t>Rueda Carreta 6 X 2 Fija Cc Co (10000358)</t>
  </si>
  <si>
    <t>Rueda Carreta 6 X 2 Giratoria (10000359)</t>
  </si>
  <si>
    <t>Bolsa Plastica Trans 4x6 Peaje Pq X 500 (10000360)</t>
  </si>
  <si>
    <t>Tinta Epson Stylus T133220 Yellow (10000361)</t>
  </si>
  <si>
    <t>Tinta Epson Stylus T133220 Cyan (10000362)</t>
  </si>
  <si>
    <t>Tinta Epson Stylus T133220 Magenta (10000363)</t>
  </si>
  <si>
    <t>Tinta Epson Botella T664 Yellow (10000364)</t>
  </si>
  <si>
    <t>Tinta Epson Botella T664 Cyan (10000365)</t>
  </si>
  <si>
    <t>Tinta Epson Botella T664 Magenta (10000366)</t>
  </si>
  <si>
    <t>Tinta Hp 8600 951 Yellow (10000367)</t>
  </si>
  <si>
    <t>Tinta Hp 8600 951 Cyan (10000368)</t>
  </si>
  <si>
    <t>Tinta Hp 8600 951 Magenta (10000369)</t>
  </si>
  <si>
    <t>Tonner Kyocera TK 322 (10000370)</t>
  </si>
  <si>
    <t>Tonner Hp Cb435a Laser (10000371)</t>
  </si>
  <si>
    <t>Tinta Hp Cz105al N662 Negra (10000372)</t>
  </si>
  <si>
    <t>Rueda Giratoria Sin Freno 5 X 1 X5/8 (10000373)</t>
  </si>
  <si>
    <t>Tonner Hp Q2612a Laser (10000374)</t>
  </si>
  <si>
    <t>Carreta Carga Centro Comercial (10000375)</t>
  </si>
  <si>
    <t>Paños Scoth Brite (10000376)</t>
  </si>
  <si>
    <t>Rueda Carreta C.C. 6x2-Nn-D (10000377)</t>
  </si>
  <si>
    <t>Papel Fotocopia Carta (10000379)</t>
  </si>
  <si>
    <t>Papel Fotocopia Oficio (10000380)</t>
  </si>
  <si>
    <t>Pocillo Y Plato Cafe Grande P (10000383)</t>
  </si>
  <si>
    <t>Cuchara Pequeña Para Tinto (10000385)</t>
  </si>
  <si>
    <t>Azucarera De Cristal (10000386)</t>
  </si>
  <si>
    <t>Rueda Carro Metalico 4 X 1.7/8 (10000387)</t>
  </si>
  <si>
    <t>Jarra Para Agua (10000388)</t>
  </si>
  <si>
    <t>Pila Recargable Aa (10000390)</t>
  </si>
  <si>
    <t>Papel Term Registrador 80 X 70 (10000391)</t>
  </si>
  <si>
    <t>Cordon Para Escarapela Visiran (10000392)</t>
  </si>
  <si>
    <t>Kit Vasos-Mezcladores Cafex300 (10000394)</t>
  </si>
  <si>
    <t>Marcador Negro (10000396)</t>
  </si>
  <si>
    <t>Marcador Seco (Borrable) (10000397)</t>
  </si>
  <si>
    <t>Bascula Electronic Tip Pes Rep (10000398)</t>
  </si>
  <si>
    <t>Ruta De Evacuación Hacia La De (10000399)</t>
  </si>
  <si>
    <t>Azucar Bolsa 5 Libras (10000400)</t>
  </si>
  <si>
    <t>Contrato Trabajo A Termino Fij (10000401)</t>
  </si>
  <si>
    <t>Tonner Hp Ce285a Laser (10000402)</t>
  </si>
  <si>
    <t>Tonner Samsung Mlt-101s/Xaa (10000403)</t>
  </si>
  <si>
    <t>Tonner Samsung Mlt-D111s/Xaa (10000404)</t>
  </si>
  <si>
    <t>Tinta Epson Botella T664120 Ne (10000405)</t>
  </si>
  <si>
    <t>Lavaplatos 500 Gramos (10000406)</t>
  </si>
  <si>
    <t>Locker Estra Con Tapa Transpar (10000407)</t>
  </si>
  <si>
    <t>Termo 1.9 Litros Administrativ (10000408)</t>
  </si>
  <si>
    <t>Acido Muriatico (10000409)</t>
  </si>
  <si>
    <t>Rueda Carreta Carga 8 Pb 2 1/4 (10000410)</t>
  </si>
  <si>
    <t>Rueda 10" Con Balin 22 Mm Vulc (10000411)</t>
  </si>
  <si>
    <t>Carreta Carga Pesada 8" Repara (10000412)</t>
  </si>
  <si>
    <t>Butaco Rimax Azul (10000413)</t>
  </si>
  <si>
    <t>Archivador Az Azul Carta (10000414)</t>
  </si>
  <si>
    <t>Bicarbonato De Sodio Al 99x25k (10000415)</t>
  </si>
  <si>
    <t>Silicona Emulsio Al 60 Gal X3 (10000416)</t>
  </si>
  <si>
    <t>Archivador Az Azul Oficio (10000417)</t>
  </si>
  <si>
    <t>Portadocumentos Vehiculo (10000418)</t>
  </si>
  <si>
    <t>Carnet Visitantes - Contratist (10000420)</t>
  </si>
  <si>
    <t>Porta Carnet Visistantes (10000421)</t>
  </si>
  <si>
    <t>Jabon Rey (10000422)</t>
  </si>
  <si>
    <t>Control Chequeo Gps Tal X 100 (10000423)</t>
  </si>
  <si>
    <t>Revision Vehiculo Locales X100 (10000424)</t>
  </si>
  <si>
    <t>Planilla Seguim Veh. Ruta Nal (10000425)</t>
  </si>
  <si>
    <t>Entrada Y Salida De Vehiculos (10000426)</t>
  </si>
  <si>
    <t>Control Descarg Y Cierr Plataf (10000427)</t>
  </si>
  <si>
    <t>Papelera Vaiven De 121 Litros (10000428)</t>
  </si>
  <si>
    <t>Papelera Vaiven De 53 Litros (10000429)</t>
  </si>
  <si>
    <t>Limpiavidrios Escualizable Mul (10000430)</t>
  </si>
  <si>
    <t>Cartulina Oficio X 100 (10000431)</t>
  </si>
  <si>
    <t>Sobre Media Carta (Factura) Re (10000432)</t>
  </si>
  <si>
    <t>Sobre Carta Correspondencia I (10000433)</t>
  </si>
  <si>
    <t>Soporte Para Escobas Y Trapero (10000434)</t>
  </si>
  <si>
    <t>Lapiz Negro (10000435)</t>
  </si>
  <si>
    <t>Lapiz Rojo (10000436)</t>
  </si>
  <si>
    <t>Lavaplatos 1000 Gramos (10000437)</t>
  </si>
  <si>
    <t>Gato Estibador Reparado (10000439)</t>
  </si>
  <si>
    <t>Puerta Locker Modular Transpar (10000440)</t>
  </si>
  <si>
    <t>Rueda Carreta 350 X 8 (10000441)</t>
  </si>
  <si>
    <t>Cartulina Sencilla X Pliego (10000442)</t>
  </si>
  <si>
    <t>Balde Escurridor Con Palanca 2 (10000443)</t>
  </si>
  <si>
    <t>Cloro Granulado Hth Al 90% (10000444)</t>
  </si>
  <si>
    <t>Perforadora 3 Huecos (10000445)</t>
  </si>
  <si>
    <t>Vaso Tinto Desechable 3.5 Onza (10000446)</t>
  </si>
  <si>
    <t>Borrador Tablero Felpa (10000448)</t>
  </si>
  <si>
    <t>Humedecedor Para Dedos (10000449)</t>
  </si>
  <si>
    <t>Papel Higienico Disp. Bco 200m (10000450)</t>
  </si>
  <si>
    <t>Jabon De Manos X Litro (10000451)</t>
  </si>
  <si>
    <t>Jabon Detergente Polvo X 20 Kg (10000452)</t>
  </si>
  <si>
    <t>Jabon Liquido Mano X 800 Ml (10000453)</t>
  </si>
  <si>
    <t>Recibo Mercancía Talonar X100 (10000454)</t>
  </si>
  <si>
    <t>Reporte Trabajo Daño Veh X 100 (10000455)</t>
  </si>
  <si>
    <t>Sobre Blanco Membreteado Cm (10000456)</t>
  </si>
  <si>
    <t>Tarjeta Control Almacén (10000457)</t>
  </si>
  <si>
    <t>Le Ha Llegado Un Envio Tal X50 (10000458)</t>
  </si>
  <si>
    <t>Guia 3 Partes Automat Resm 500 (10000459)</t>
  </si>
  <si>
    <t>Guia 5 Partes Manual Caja X 2.500 (10000460)</t>
  </si>
  <si>
    <t>Guia Mensajeria 5 Partes Resma (10000461)</t>
  </si>
  <si>
    <t>Papel Troquelado 2 Partes Fact Resma (10000462)</t>
  </si>
  <si>
    <t>Marcador Borrable Grueso 24596 (10000465)</t>
  </si>
  <si>
    <t>Reporte De Trabajo Daño Trayle (10000466)</t>
  </si>
  <si>
    <t>Rodachina 3pb 19e De 7/16 Bali (10000467)</t>
  </si>
  <si>
    <t>Papel Fotocopia Media Carta Resma (10000468)</t>
  </si>
  <si>
    <t>Bolsa Transp T Kardex 12x25 (10000469)</t>
  </si>
  <si>
    <t>Cinta Impreso Epson 8075 Lx810 (10000470)</t>
  </si>
  <si>
    <t>Cinta Impresora Erc 27 Epson (10000471)</t>
  </si>
  <si>
    <t>Frotex (10000472)</t>
  </si>
  <si>
    <t>Detergente Lavadora (10000473)</t>
  </si>
  <si>
    <t>Vaso De Cristal (10000474)</t>
  </si>
  <si>
    <t>Porta Vasos (10000475)</t>
  </si>
  <si>
    <t>Azucar Ligth En Sobre X 100 (10000476)</t>
  </si>
  <si>
    <t>Control Combust Talonar X 100 (10000477)</t>
  </si>
  <si>
    <t>Control Diario Port Talo X 100 (10000478)</t>
  </si>
  <si>
    <t>Control Entrega Guias Tal X 50 (10000479)</t>
  </si>
  <si>
    <t>Nota Autoriza Salidas Alm X 50 (10000482)</t>
  </si>
  <si>
    <t>Orden De Cargue Talonario X100 (10000483)</t>
  </si>
  <si>
    <t>Planilla Recaudos Talon X 100 (10000485)</t>
  </si>
  <si>
    <t>Esponja De Loza Suave (10000486)</t>
  </si>
  <si>
    <t>Desinfectante Con Olor Lavand (10000487)</t>
  </si>
  <si>
    <t>Ambientador Gel (10000488)</t>
  </si>
  <si>
    <t>Ambientador Aerosol (10000489)</t>
  </si>
  <si>
    <t>Cuchilla Bisturi L (10000490)</t>
  </si>
  <si>
    <t>Bisturi L-200 (10000491)</t>
  </si>
  <si>
    <t>Papel Papelografo 70x100 (10000492)</t>
  </si>
  <si>
    <t>Pitillos Paquete X 100 (10000493)</t>
  </si>
  <si>
    <t>Azucar En Sobre X 200 Uns (10000494)</t>
  </si>
  <si>
    <t>Talonario Verificacion Vehicul (10000495)</t>
  </si>
  <si>
    <t>Mercado Gravado Con 5% (10000498)</t>
  </si>
  <si>
    <t>Talonario Verificacion Trailer (10000500)</t>
  </si>
  <si>
    <t>Precintos De Seguridad Plastic (10000501)</t>
  </si>
  <si>
    <t>Dispensador Para Cinta Transp. (10000502)</t>
  </si>
  <si>
    <t>Candado Clave A Digitos 36mm (10000507)</t>
  </si>
  <si>
    <t>Ajax En Polvo 500 Gramos (10000508)</t>
  </si>
  <si>
    <t>Cartuchera Economica (10000509)</t>
  </si>
  <si>
    <t>Almohadilla Para Sellos (10000510)</t>
  </si>
  <si>
    <t>Huellero Dactilar (10000511)</t>
  </si>
  <si>
    <t>Escoba Blanda Oficina (10000513)</t>
  </si>
  <si>
    <t>Escoba De Paja (10000514)</t>
  </si>
  <si>
    <t>Escoba Para Barrer Trailer (10000515)</t>
  </si>
  <si>
    <t>Escobillon Para Baños (10000516)</t>
  </si>
  <si>
    <t>Clorox Garrafa (10000518)</t>
  </si>
  <si>
    <t>Toalla De Mano En Rollo X 100 (10000519)</t>
  </si>
  <si>
    <t>Broche Pin Oo Coordinadora (10000520)</t>
  </si>
  <si>
    <t>Caja Menor Metalica (10000521)</t>
  </si>
  <si>
    <t>Bisturi Fino Con Repusto (10000522)</t>
  </si>
  <si>
    <t>Escoba De Techo Aseo (10000523)</t>
  </si>
  <si>
    <t>Recipiente Plastico Atomizador (10000524)</t>
  </si>
  <si>
    <t>Grapa Industrial 5/16 Resisten (10000525)</t>
  </si>
  <si>
    <t>Papelera Vaiven De 35 Litros (10000526)</t>
  </si>
  <si>
    <t>Bisturi Punta De Lanza Ref8311 (10000527)</t>
  </si>
  <si>
    <t>Corrector Liquido (10000528)</t>
  </si>
  <si>
    <t>Cosedora Rank 340 Ergonom 550 (10000529)</t>
  </si>
  <si>
    <t>Crayola Color Caja X 10 (10000530)</t>
  </si>
  <si>
    <t>Con-Tact (10000531)</t>
  </si>
  <si>
    <t>Cuaderno Sencillo 100 Hojas (10000532)</t>
  </si>
  <si>
    <t>Archivador Fuelle Oficio (10000533)</t>
  </si>
  <si>
    <t>Folder Colgante Cafe (10000534)</t>
  </si>
  <si>
    <t>Carpeta Legajadora (10000535)</t>
  </si>
  <si>
    <t>Haragan 24-18 Brillador (10000536)</t>
  </si>
  <si>
    <t>Carreta Carga Pesada 8" (10000537)</t>
  </si>
  <si>
    <t>Porta Candado Varios (10000538)</t>
  </si>
  <si>
    <t>Bolsa Basura Paq. X 100 Baño (10000539)</t>
  </si>
  <si>
    <t>Aragan Para Piso (10000540)</t>
  </si>
  <si>
    <t>Cepillo De Mano (10000541)</t>
  </si>
  <si>
    <t>Cepillo Para Lavar Trailer (10000542)</t>
  </si>
  <si>
    <t>Cera Liquida (10000543)</t>
  </si>
  <si>
    <t>Cinta Nukote Calculador Grande (10000544)</t>
  </si>
  <si>
    <t>Cinta Nukote Calculado Pequeña (10000545)</t>
  </si>
  <si>
    <t>Impresion Formato Sst (10000546)</t>
  </si>
  <si>
    <t>Clips Mariposa (10000548)</t>
  </si>
  <si>
    <t>Neumatico Rueda Carreta 2.50x4 (10000550)</t>
  </si>
  <si>
    <t>Regla Plastica De 30 Cms (10000551)</t>
  </si>
  <si>
    <t>Palo Base Mojador Y Limpiavidr (10000552)</t>
  </si>
  <si>
    <t>Cepillo Telaraña (10000553)</t>
  </si>
  <si>
    <t>Cafe 5 Libras (10000554)</t>
  </si>
  <si>
    <t>Calculadora 8 Digital Bolsillo Casio (10000555)</t>
  </si>
  <si>
    <t>Cosedora Rapin Hd9 Industrial (10000556)</t>
  </si>
  <si>
    <t>Diablo Rojo (10000557)</t>
  </si>
  <si>
    <t>Plato Desechable Pequeño X Paq (10000558)</t>
  </si>
  <si>
    <t>Tenedor Y Cuchara Desechabl (10000559)</t>
  </si>
  <si>
    <t>Kit Cafe-Azucar Por 300 Tintos (10000560)</t>
  </si>
  <si>
    <t>Raid Mata Voladores-Sancudos (10000561)</t>
  </si>
  <si>
    <t>Candado B30 (10000563)</t>
  </si>
  <si>
    <t>Cartelera Corcho 45 X 32 (10000564)</t>
  </si>
  <si>
    <t>Cinta Magica Tesa (10000565)</t>
  </si>
  <si>
    <t>Vaso Desech 7 Onzas (10000566)</t>
  </si>
  <si>
    <t>Bomba Para Destaquear (10000567)</t>
  </si>
  <si>
    <t>Marcador Charpie (10000568)</t>
  </si>
  <si>
    <t>Coca Multiuso Pequeña (10000569)</t>
  </si>
  <si>
    <t>Limpiavidrios X Galon (10000570)</t>
  </si>
  <si>
    <t>Balde Con Escurridor Amarillo (10000571)</t>
  </si>
  <si>
    <t>Filtro Tela Cafetera 30 Tintos (10000572)</t>
  </si>
  <si>
    <t>Pocillo Y Plato Cafe Pequeño P (10000573)</t>
  </si>
  <si>
    <t>Colbon 125 Grs (10000574)</t>
  </si>
  <si>
    <t>Borrador De Nata (10000575)</t>
  </si>
  <si>
    <t>Mopa Aragan Trapera (10000576)</t>
  </si>
  <si>
    <t>Libro De 200 Folios Seguridad (10000577)</t>
  </si>
  <si>
    <t>Brillantina 600 Ml Super Blue (10000578)</t>
  </si>
  <si>
    <t>Papelera Piso Artecma Negra (10000579)</t>
  </si>
  <si>
    <t>Tajalapiz Metalico Sencillo (10000580)</t>
  </si>
  <si>
    <t>Tubo Galv. 1/2 X 2.0mm X 6mts (10000581)</t>
  </si>
  <si>
    <t>Trapero De Microfibra (10000582)</t>
  </si>
  <si>
    <t>Bisturi Cuchilla En Ceramica (10000583)</t>
  </si>
  <si>
    <t>Contenedor Plastico De 360 Lt (10000584)</t>
  </si>
  <si>
    <t>Celular Campaña Aliados (10000585)</t>
  </si>
  <si>
    <t>Capsulas De Cafe (10000586)</t>
  </si>
  <si>
    <t>Organizador De Cubiertos (10000587)</t>
  </si>
  <si>
    <t>Jaula Paquetera Malacate 1.30 (10000588)</t>
  </si>
  <si>
    <t>Botellon Agua Vacio (10000589)</t>
  </si>
  <si>
    <t>Resorte Brazo Transpaleta Hub (10000590)</t>
  </si>
  <si>
    <t>Tenedor Grande Restaurante (10000591)</t>
  </si>
  <si>
    <t>Cuchara Grande Restaurante (10000592)</t>
  </si>
  <si>
    <t>Bandeja Plastica Autoservicio (10000593)</t>
  </si>
  <si>
    <t>Plato Hondo Restaurante (10000594)</t>
  </si>
  <si>
    <t>Plato Pando Restaurante (10000595)</t>
  </si>
  <si>
    <t>Servilletero Generico (10000596)</t>
  </si>
  <si>
    <t>Rueda Inflable Con Buje Carret 250-280-4 (10000597)</t>
  </si>
  <si>
    <t>Modulo 1 Cuerpo Y 8 Canastas P (10000598)</t>
  </si>
  <si>
    <t>Boligrafo Negro (10000599)</t>
  </si>
  <si>
    <t>Contenedor Plástico De 600lt C (10000600)</t>
  </si>
  <si>
    <t>Dispensador De Agua Recargable (10000601)</t>
  </si>
  <si>
    <t>Hojas Casos Gestion Humana (10000602)</t>
  </si>
  <si>
    <t>Tablero Generico Impreso Gesti (10000603)</t>
  </si>
  <si>
    <t>Tarjetas Genericas Gestion Hum (10000604)</t>
  </si>
  <si>
    <t>Te Hatsu Dg (10000605)</t>
  </si>
  <si>
    <t>Soda Hatsu Dg Gravada (10000606)</t>
  </si>
  <si>
    <t>Boligrafo Rojo (10000607)</t>
  </si>
  <si>
    <t>Pila Camara Digital 1950 (10000609)</t>
  </si>
  <si>
    <t>Jabon Liquido Lavadora (10000610)</t>
  </si>
  <si>
    <t>Pila De Litio (10000611)</t>
  </si>
  <si>
    <t>Oxido De Hierro Sintetico (10000612)</t>
  </si>
  <si>
    <t>Snaks Piso 8 Dg Gravado 19% (10000613)</t>
  </si>
  <si>
    <t>Balde Plastico (10000616)</t>
  </si>
  <si>
    <t>Cepillo Mango Largo (10000617)</t>
  </si>
  <si>
    <t>Gavetero Plastico 45 Cms (10000618)</t>
  </si>
  <si>
    <t>Gavetero Plastico 35 Cms (10000619)</t>
  </si>
  <si>
    <t>Envase Dispensador Jabon Y Gel (10000620)</t>
  </si>
  <si>
    <t>Concentrado Para Gatos (10000621)</t>
  </si>
  <si>
    <t>Kit Ventiladores Transpaleta E (10000622)</t>
  </si>
  <si>
    <t>Insumos Varios Actividad Desar (10000623)</t>
  </si>
  <si>
    <t>Modulo De Estanteria Pesada En (10000625)</t>
  </si>
  <si>
    <t>Termo 3.0 Litros Administrativ (10000626)</t>
  </si>
  <si>
    <t>Paral Estanteria Modular 1.94 (10000627)</t>
  </si>
  <si>
    <t>Papelera Vaiven De 9- 10 Litro (10000628)</t>
  </si>
  <si>
    <t>Jarra Vidrio Cafetera (10000629)</t>
  </si>
  <si>
    <t>Vasos De Cristal 9.8 Oz Gestió (10000630)</t>
  </si>
  <si>
    <t>Papel Autoadhesivo Tamaño Cart (10000631)</t>
  </si>
  <si>
    <t>Jugos Hit En Caja (10000632)</t>
  </si>
  <si>
    <t>Gaseosa Caja X 30 De 250 Ml (10000633)</t>
  </si>
  <si>
    <t>Botellon Agua (10000634)</t>
  </si>
  <si>
    <t>Grapadora Trabajo Pesado (10000635)</t>
  </si>
  <si>
    <t>Raid Mata Cucarachas (10000636)</t>
  </si>
  <si>
    <t>Carros Paqueteros (10000637)</t>
  </si>
  <si>
    <t>Rollo Adhesivo Transparente Co (10000638)</t>
  </si>
  <si>
    <t>Soporte Punto Ecologico Con Ca (10000639)</t>
  </si>
  <si>
    <t>Isotanque Plastico 250 Galones (10000640)</t>
  </si>
  <si>
    <t>Algodon Siliconado (10000641)</t>
  </si>
  <si>
    <t>Mantenimiento Maquina Crispete (10000642)</t>
  </si>
  <si>
    <t>Limpiador De Tablero Acrilico (10000643)</t>
  </si>
  <si>
    <t>Caja Tipo Lonchera Desarrollo (10000644)</t>
  </si>
  <si>
    <t>Papel Celofan (10000645)</t>
  </si>
  <si>
    <t>Plumigrafos Faber X 20 (10000646)</t>
  </si>
  <si>
    <t>Gaseosa Litron No Gravada (10000647)</t>
  </si>
  <si>
    <t>Tablero Acrilico Borrable 120x (10000648)</t>
  </si>
  <si>
    <t>Aro Cafeteras Electricas (10000650)</t>
  </si>
  <si>
    <t>Tablero En Vidrio (Medidas Var (10000651)</t>
  </si>
  <si>
    <t>Pita Por Rollo Para Dh (10000652)</t>
  </si>
  <si>
    <t>Panzer Herbicida 480 (10000653)</t>
  </si>
  <si>
    <t>Tarjetas Campaña Desarrollo Hu (10000654)</t>
  </si>
  <si>
    <t>Shampoo Para Autos Linea Insti (10000656)</t>
  </si>
  <si>
    <t>Contenedor Plastico 600 Litros (10000657)</t>
  </si>
  <si>
    <t>Material Consurso Ventas (10000658)</t>
  </si>
  <si>
    <t>Rodamiento Rigido De Bolas (10000659)</t>
  </si>
  <si>
    <t>Sello Personalizado Campaña De (10000660)</t>
  </si>
  <si>
    <t>Mantel Blanco (10000661)</t>
  </si>
  <si>
    <t>Escobillon 24" (10000662)</t>
  </si>
  <si>
    <t>Folder Legajador Visor Largo O (10000663)</t>
  </si>
  <si>
    <t>Modulo De 9 Cuerpos Estanteria (10000664)</t>
  </si>
  <si>
    <t>Rueda Motriz Transpaleta Eléct (10000665)</t>
  </si>
  <si>
    <t>Tuerca Rueda Transpaleta Eléct (10000666)</t>
  </si>
  <si>
    <t>Swich De Llaves Transpaleta El (10000667)</t>
  </si>
  <si>
    <t>Eje Rueda De Carga Transpaleta (10000668)</t>
  </si>
  <si>
    <t>Rueda De Carga 85*100 Transpal (10000669)</t>
  </si>
  <si>
    <t>Sensor Plataforma Transpaleta (10000670)</t>
  </si>
  <si>
    <t>Contactor 24v Transpaleta Elec (10000671)</t>
  </si>
  <si>
    <t>Rueda De Apoyo Transpaleta Ele (10000672)</t>
  </si>
  <si>
    <t>Cableado Sensores Transpaleta (10000673)</t>
  </si>
  <si>
    <t>Rodamiento Transpaleta Electri (10000674)</t>
  </si>
  <si>
    <t>Amortigudor De Lanza Transpale (10000675)</t>
  </si>
  <si>
    <t>Tubo Aspersor Acero Inox 3/4" (10000676)</t>
  </si>
  <si>
    <t>Rollo Etiquetas Impresora Brot (10000677)</t>
  </si>
  <si>
    <t>Cinta Par Impresora Epson Erc (10000678)</t>
  </si>
  <si>
    <t>Perforadora Industrial Reparad (10000679)</t>
  </si>
  <si>
    <t>Sobremantel Azul (10000680)</t>
  </si>
  <si>
    <t>Rollo 1.000 Etiquetas Codigo D (10000681)</t>
  </si>
  <si>
    <t>Toner Hp Laser Jet Pro M102w (10000682)</t>
  </si>
  <si>
    <t>Sobre Carta Blanco Con Ventani (10000683)</t>
  </si>
  <si>
    <t>Limpiapisos X Galon (10000684)</t>
  </si>
  <si>
    <t>Mantenimiento Fuente De Agua (10000685)</t>
  </si>
  <si>
    <t>Cinta Epson 8750 - 2 (10000686)</t>
  </si>
  <si>
    <t>Soporte Punto Ecologico Caneca (10000687)</t>
  </si>
  <si>
    <t>Papel Para Laminar (10000688)</t>
  </si>
  <si>
    <t>Caja Fuerte Reparada (10000689)</t>
  </si>
  <si>
    <t>Organizador Escarapela (10000690)</t>
  </si>
  <si>
    <t>Cafe Pergamino (10000691)</t>
  </si>
  <si>
    <t>Papelera Con Ruedas De 121 Lit (10000692)</t>
  </si>
  <si>
    <t>Armario Metalico 180x93x45 Gri (10000693)</t>
  </si>
  <si>
    <t>Rotulo Laser 3129 (215.9x279.4 (10000694)</t>
  </si>
  <si>
    <t>Empastada (10000695)</t>
  </si>
  <si>
    <t>Talonario Letras De Cambio (10000696)</t>
  </si>
  <si>
    <t>Soporte Botellon De Agua (10000697)</t>
  </si>
  <si>
    <t>Cinta Impresora De Marcación E (10000698)</t>
  </si>
  <si>
    <t>Elementos Hotel Hub Especial (10000699)</t>
  </si>
  <si>
    <t>Etiqueta Prioridad (10000700)</t>
  </si>
  <si>
    <t>Ribbon Cinta Color Ymcko 200 I (10000701)</t>
  </si>
  <si>
    <t>Vinagre Blanco 3l (10000702)</t>
  </si>
  <si>
    <t>Tinta Para Improntas (10000703)</t>
  </si>
  <si>
    <t>Tinta Epson L5290 (10000705)</t>
  </si>
  <si>
    <t>Shampoo Cuñete X 20 Litro (10000707)</t>
  </si>
  <si>
    <t>Rueda Carreta Centro Comercial (10000708)</t>
  </si>
  <si>
    <t>Lapicero Con Logo Tim (10000709)</t>
  </si>
  <si>
    <t>Tinta Hp Gt52 Yellow (10000710)</t>
  </si>
  <si>
    <t>Tinta Hp Gt52 Cyan (10000711)</t>
  </si>
  <si>
    <t>Tinta Hp Gt52 Magenta (10000712)</t>
  </si>
  <si>
    <t>Contenedor Plastico 360 Litros (10000713)</t>
  </si>
  <si>
    <t>Escalera De 2 Pasos Rimax (10000714)</t>
  </si>
  <si>
    <t>Modulo De 3 Cuerpos Estanteria (10000715)</t>
  </si>
  <si>
    <t>Separador De Plastico Para A-Z (20) SST (10000716)</t>
  </si>
  <si>
    <t>Portapapeles Revistero (10000717)</t>
  </si>
  <si>
    <t>Secador De Manos Electrico (10000718)</t>
  </si>
  <si>
    <t>Escarapela Visitantes Verde (10000719)</t>
  </si>
  <si>
    <t>Escarapela Visitantes Amarillo (10000720)</t>
  </si>
  <si>
    <t>Escarapela Visitantes Negro (10000721)</t>
  </si>
  <si>
    <t>Escarapela Visitantes Rojo (10000722)</t>
  </si>
  <si>
    <t>Escarapela Visitantes Azul (10000723)</t>
  </si>
  <si>
    <t>Posit Banderitas 11.9mm X 43,2 (10000724)</t>
  </si>
  <si>
    <t>Rueda Traspaleta Pequeña (10000725)</t>
  </si>
  <si>
    <t>Tonner Kyocera Tk 362 (10000726)</t>
  </si>
  <si>
    <t>Tonner Kyocera Tk 3122 (10000727)</t>
  </si>
  <si>
    <t>Tonner Kyocera Tk 342 (10000728)</t>
  </si>
  <si>
    <t>Repuesto Trapera De Hilo (10000729)</t>
  </si>
  <si>
    <t>Caja Fuerte Digital Pequeña (10000730)</t>
  </si>
  <si>
    <t>Insecticidas Jardines (10000731)</t>
  </si>
  <si>
    <t>Tonner Kyocera Tk 3202 (10000732)</t>
  </si>
  <si>
    <t>Modulo Droop Reparado (10000733)</t>
  </si>
  <si>
    <t>Modulo De 4 Cuerpos Estanteria (10000734)</t>
  </si>
  <si>
    <t>Modulo De 2 Cuerpos Estanteria (10000735)</t>
  </si>
  <si>
    <t>Modulo De 6 Cuerpos Estanteria (10000736)</t>
  </si>
  <si>
    <t>Modulo De 5 Cuerpos Estanteria (10000737)</t>
  </si>
  <si>
    <t>Mesa Rimax Varias Locativos (10000738)</t>
  </si>
  <si>
    <t>Tarjeta Mifare (Rfid) Ref Acce (10000739)</t>
  </si>
  <si>
    <t>Tinta Canon Original 190 Negra (10000740)</t>
  </si>
  <si>
    <t>Tinta Hp Gt53 Negro (10000741)</t>
  </si>
  <si>
    <t>Bolsa Basura Papelera 35 Lts Negra (10000742)</t>
  </si>
  <si>
    <t>Bolsa Basura Papelera 35 Lts Blanca (10000743)</t>
  </si>
  <si>
    <t>Bolsa Basura Papelera 35 Lts Verde (10000744)</t>
  </si>
  <si>
    <t>Bolsa Basura Papelera 35 Lts Roja (10000745)</t>
  </si>
  <si>
    <t>Bolsa Basura Papelera 121 Lts Verde (10000746)</t>
  </si>
  <si>
    <t>Bolsa Basura Papelera 121 Lts Negra (10000747)</t>
  </si>
  <si>
    <t>Bolsa Basura Papelera 121 Lts Blanca (10000748)</t>
  </si>
  <si>
    <t>Tijera Oficina Generica (10000749)</t>
  </si>
  <si>
    <t>Contrato Trabajo A Termino Ind (10000750)</t>
  </si>
  <si>
    <t>Tinta Para Sello Pequeño (10000751)</t>
  </si>
  <si>
    <t>Tinta Sello Grande (10000752)</t>
  </si>
  <si>
    <t>Toallas De Mano (10000753)</t>
  </si>
  <si>
    <t>Tonner Kyocera Tk 1147 (10000754)</t>
  </si>
  <si>
    <t>Tonner Kyocera Tk 3102 (10000755)</t>
  </si>
  <si>
    <t>Tonner Kyocera Tk 172 (10000756)</t>
  </si>
  <si>
    <t>Tonner Kyocera Tk 3132 Original (10000757)</t>
  </si>
  <si>
    <t>Cartelera Corcho Terminal (10000758)</t>
  </si>
  <si>
    <t>Ganchos De Ropa En Madera Y/O (10000760)</t>
  </si>
  <si>
    <t>Tinta Hp 1105w (10000761)</t>
  </si>
  <si>
    <t>Tabla De Clips Oficio (10000762)</t>
  </si>
  <si>
    <t>Endredon Cama Sencilla (10000763)</t>
  </si>
  <si>
    <t>Vajilla 6 Puestos Especial (10000764)</t>
  </si>
  <si>
    <t>Cobija Termica Especial (10000765)</t>
  </si>
  <si>
    <t>Bolsa Basura Papelera 9 - 10 L Blanca (10000766)</t>
  </si>
  <si>
    <t>Bolsa Basura Papelera 9 - 10 L Negra (10000767)</t>
  </si>
  <si>
    <t>Bolsa Basura Papelera 9 - 10 L Verde (10000768)</t>
  </si>
  <si>
    <t>Bolsa Basura Papelera 9 - 10 L Roja (10000769)</t>
  </si>
  <si>
    <t>Bolsa Basura Papelera 26 Lts Blanca (10000770)</t>
  </si>
  <si>
    <t>Bolsa Basura Papelera 26 Lts Roja (10000771)</t>
  </si>
  <si>
    <t>Bolsa Basura Papelera 26 Lts Negra (10000772)</t>
  </si>
  <si>
    <t>Bolsa Basura Papelera 26 Lts Verde (10000773)</t>
  </si>
  <si>
    <t>Gel Antibacterial (10000774)</t>
  </si>
  <si>
    <t>Cargador Baterias Aa Y Aaa (10000775)</t>
  </si>
  <si>
    <t>Dispensador De Jabón / Antibac (10000776)</t>
  </si>
  <si>
    <t>Credencial De Acceso (10000777)</t>
  </si>
  <si>
    <t>Repuesto Balde Escurridor 36 L (10000778)</t>
  </si>
  <si>
    <t>Intercomunicador Atención A Cl (10000779)</t>
  </si>
  <si>
    <t>Bateria Super Alcalina 23a 12v (10000780)</t>
  </si>
  <si>
    <t>Tonner Kyocera Tk-3182 (10000781)</t>
  </si>
  <si>
    <t>Fotocopias Mercadeo (10000782)</t>
  </si>
  <si>
    <t>Etiqueta Ban Hub (10000783)</t>
  </si>
  <si>
    <t>Alcohol Isopropilico No Gravad (10000784)</t>
  </si>
  <si>
    <t>Paño Microfibra (10000785)</t>
  </si>
  <si>
    <t>Canasta Ropa Sucia (10000786)</t>
  </si>
  <si>
    <t>Abono Para Matas (10000787)</t>
  </si>
  <si>
    <t>Fotocopias Desarrollo Humano (10000788)</t>
  </si>
  <si>
    <t>Contenedor Plastico 120x114x86 (10000789)</t>
  </si>
  <si>
    <t>Jabon Liquido Manos Familia (10000790)</t>
  </si>
  <si>
    <t>Papel Hig P/Dispensador Blanco (10000791)</t>
  </si>
  <si>
    <t>Hipoclorito De Sodio Por Litro (10000793)</t>
  </si>
  <si>
    <t>Caneca 121 Litros Tapa Plana (10000795)</t>
  </si>
  <si>
    <t>Archivador Fuelle Maletin Ofic (10000797)</t>
  </si>
  <si>
    <t>Sobre Carabela Oficio Con Vent (10000798)</t>
  </si>
  <si>
    <t>Sobre Manila 1/2 Carta (10000799)</t>
  </si>
  <si>
    <t>Tetera Electrica (10000800)</t>
  </si>
  <si>
    <t>Sobre Manila Carta (10000801)</t>
  </si>
  <si>
    <t>Sobre Manila Oficio (10000802)</t>
  </si>
  <si>
    <t>Sobre Manila Radiografia (10000803)</t>
  </si>
  <si>
    <t>Entrepaño 100 X 43 Cm Calib 16 (10000804)</t>
  </si>
  <si>
    <t>Papelera Pedal 2o Litros (10000805)</t>
  </si>
  <si>
    <t>Dvd+R 4.7 Gb (10000806)</t>
  </si>
  <si>
    <t>Gancho Legajador Pplastico (Fr (10000807)</t>
  </si>
  <si>
    <t>Sabras Para Cocina (10000808)</t>
  </si>
  <si>
    <t>Sacagrapa (10000809)</t>
  </si>
  <si>
    <t>Base Plastica Para Locker (10000810)</t>
  </si>
  <si>
    <t>Tornillo Ensamble Modular Lock (10000811)</t>
  </si>
  <si>
    <t>Secador De Tela (10000812)</t>
  </si>
  <si>
    <t>Sello Segurid Cinta Metalic Cm (10000813)</t>
  </si>
  <si>
    <t>Sello Fechador (10000814)</t>
  </si>
  <si>
    <t>Tinta Epson Stylus T135120 Neg (10000815)</t>
  </si>
  <si>
    <t>Numerador Automático Nhitan (10000816)</t>
  </si>
  <si>
    <t>Bolsa Basura 65x90 Azul Paq X100 Cal 0.8 (10000817)</t>
  </si>
  <si>
    <t>Bolsa Basura 65x90 Crema PaqX100 Cal 0.8 (10000818)</t>
  </si>
  <si>
    <t>Balanza Electronica Tipo Cocin (10000819)</t>
  </si>
  <si>
    <t>Tonner Hp 280a (10000820)</t>
  </si>
  <si>
    <t>Toalla De Mano En Rollo Famili (10000821)</t>
  </si>
  <si>
    <t>Etiqueta Dumy Ibague Ibague (10000822)</t>
  </si>
  <si>
    <t>Etiqueta Dumy Ibague Barranquilla (10000823)</t>
  </si>
  <si>
    <t>Etiqueta Dumy Ibague Pasto (10000824)</t>
  </si>
  <si>
    <t>Etiqueta Dumy Ibague Pereira (10000825)</t>
  </si>
  <si>
    <t>Etiqueta Dumy Ibague Neiva (10000826)</t>
  </si>
  <si>
    <t>Etiqueta Dumy Ibague Bosconia (10000827)</t>
  </si>
  <si>
    <t>Etiqueta Dumy Ibague Cali (10000828)</t>
  </si>
  <si>
    <t>Etiqueta Dumy Ibague Sincelejo (10000829)</t>
  </si>
  <si>
    <t>Etiqueta Dumy Ibague Manizales (10000830)</t>
  </si>
  <si>
    <t>Etiqueta Dumy Ibague Rionegro (10000831)</t>
  </si>
  <si>
    <t>Etiqueta Dumy Ibague Cucuta (10000832)</t>
  </si>
  <si>
    <t>Etiqueta Dumy Ibague Cienaga (10000833)</t>
  </si>
  <si>
    <t>Etiqueta Dumy Ibague Bogota (10000834)</t>
  </si>
  <si>
    <t>Formato Consentimiento Informa (10000835)</t>
  </si>
  <si>
    <t>Escurridor De Platos (10000836)</t>
  </si>
  <si>
    <t>Papelera Vaiven De 26 Litros (10000837)</t>
  </si>
  <si>
    <t>Etiqueta Dumy Medellin Medellin (10000838)</t>
  </si>
  <si>
    <t>Etiqueta Dumy Medellin Bucaramanga (10000839)</t>
  </si>
  <si>
    <t>Etiqueta Dumy Medellin Bogota (10000840)</t>
  </si>
  <si>
    <t>Etiqueta Dumy Medellin Monteria (10000841)</t>
  </si>
  <si>
    <t>Etiqueta Dumy Medellin Cienaga (10000842)</t>
  </si>
  <si>
    <t>Etiqueta Dumy Medellin Manizales (10000843)</t>
  </si>
  <si>
    <t>Etiqueta Dumy Medellin Pereia (10000844)</t>
  </si>
  <si>
    <t>Etiqueta Dumy Medellin Rionegro (10000845)</t>
  </si>
  <si>
    <t>Etiqueta Dumy Medellin Cali (10000846)</t>
  </si>
  <si>
    <t>Etiqueta Dumy Medellin Cartagena (10000847)</t>
  </si>
  <si>
    <t>Etiqueta Dumy Medellin Ibague (10000848)</t>
  </si>
  <si>
    <t>Etiqueta Dumy Ibague Bucaramanga (10000849)</t>
  </si>
  <si>
    <t>Etiqueta Dumy Ibague Flandes (10000850)</t>
  </si>
  <si>
    <t>Etiqueta Dumy Ibague Monteria (10000851)</t>
  </si>
  <si>
    <t>Etiqueta Dumy Ibague Cartagena (10000852)</t>
  </si>
  <si>
    <t>Etiqueta Dumy Ibague Medellin (10000853)</t>
  </si>
  <si>
    <t>Contenedor Plastico Cnt 60*40* (10000854)</t>
  </si>
  <si>
    <t>Pastillas De Cloro Para Orinal (10000855)</t>
  </si>
  <si>
    <t>Bandeja Para Reuniones (10000856)</t>
  </si>
  <si>
    <t>Chupa Cafetera Mod 330,1100,31 (10000857)</t>
  </si>
  <si>
    <t>Tinta Epson Botella T544 Magenta (10000858)</t>
  </si>
  <si>
    <t>Tinta Epson Botella T544 Negro (10000859)</t>
  </si>
  <si>
    <t>Tinta Epson Botella T544 Cyan (10000860)</t>
  </si>
  <si>
    <t>Tinta Epson Botella T544 Yellow (10000861)</t>
  </si>
  <si>
    <t>Buje Rueda Carreta 40mm X 1" X 8" (10000862)</t>
  </si>
  <si>
    <t>Etiqueta Dumy Medellin Flandes (10000863)</t>
  </si>
  <si>
    <t>Etiqueta Dumy Medellin Sincelejo (10000864)</t>
  </si>
  <si>
    <t>Etiqueta Dumy Medellin Bosconia (10000865)</t>
  </si>
  <si>
    <t>Etiqueta Dumy Medellin Barranquilla (10000866)</t>
  </si>
  <si>
    <t>Etiqueta Dumy Medellin Cucuta (10000867)</t>
  </si>
  <si>
    <t>Etiqueta Dumy Medellin Pasto (10000868)</t>
  </si>
  <si>
    <t>Etiqueta Dumy Medellin Neiva (10000869)</t>
  </si>
  <si>
    <t>Pos-It 75mm X 75mm X 450 Hojas (10000871)</t>
  </si>
  <si>
    <t>Articulos Decorativos Desarrol (10000872)</t>
  </si>
  <si>
    <t>Formato Control De Asistencia (10000874)</t>
  </si>
  <si>
    <t>Pila Termometro Digital (10000875)</t>
  </si>
  <si>
    <t>Gaseosa Litron (10000876)</t>
  </si>
  <si>
    <t>Pad Mouse (10000877)</t>
  </si>
  <si>
    <t>Portalapiceros (10000878)</t>
  </si>
  <si>
    <t>Portapapeles (10000879)</t>
  </si>
  <si>
    <t>Tornillo Con Tuerca Para Estan (10000880)</t>
  </si>
  <si>
    <t>Paral Estanteria Gris Cal 14 (10000881)</t>
  </si>
  <si>
    <t>Butaco Plastico Fijo Azul Repa (10000882)</t>
  </si>
  <si>
    <t>Gaseosa X Unidad De 300 Ml (10000883)</t>
  </si>
  <si>
    <t>Rollo 500 Etiqueta 10x10 Zd420 (10000884)</t>
  </si>
  <si>
    <t>Formato Compromiso Seguridad V (10000885)</t>
  </si>
  <si>
    <t>Guillotina Fla 45x38 Cm 10 Hoj (10000886)</t>
  </si>
  <si>
    <t>Bisagra Puerta Locker Paq X50 (10000887)</t>
  </si>
  <si>
    <t>Silicona En Barra ( Para Pisto (10000888)</t>
  </si>
  <si>
    <t>Repuesto Portaminas 0.5 HB (10000889)</t>
  </si>
  <si>
    <t>Caja De Colores X 12 (10000890)</t>
  </si>
  <si>
    <t>Resaltador Color (10000891)</t>
  </si>
  <si>
    <t>Productos Panaderia Gravado (10000892)</t>
  </si>
  <si>
    <t>Productos Panaderia No Gravado (10000893)</t>
  </si>
  <si>
    <t>Tonner Kyocera Tk 1162 (10000894)</t>
  </si>
  <si>
    <t>Fotocopias Infraestructura (10000895)</t>
  </si>
  <si>
    <t>Cortina De Baño (10000896)</t>
  </si>
  <si>
    <t>Entrepaño De 44 X 90 Cm Cal 20 (10000897)</t>
  </si>
  <si>
    <t>Suavizante De Ropa 1000 Cc (10000898)</t>
  </si>
  <si>
    <t>Carpeta Desacificada 302grs Co (10000899)</t>
  </si>
  <si>
    <t>Vinilo Colores Varios (10000900)</t>
  </si>
  <si>
    <t>Bateria Cr1220 (10000901)</t>
  </si>
  <si>
    <t>Reloj De Pared Zona Ludica (10000902)</t>
  </si>
  <si>
    <t>Bomba Hidraulica Maq Lavado Trailer Rep (10000910)</t>
  </si>
  <si>
    <t>Motor Trif Elec Comp Weg 7.5 Hp 1800 Rpm (10000911)</t>
  </si>
  <si>
    <t>Rueda Traccion M. Lavadora (10000912)</t>
  </si>
  <si>
    <t>Porta Boquillas M. Lavadora (10000913)</t>
  </si>
  <si>
    <t>Boquilla Para Agua M. Lavadora (10000914)</t>
  </si>
  <si>
    <t>Boquilla Para Jabon M. Lavadora (10000915)</t>
  </si>
  <si>
    <t>Filtro Acpm Lombardini M. Lavadora (10000916)</t>
  </si>
  <si>
    <t>Rueda Sin Freno M. Lavadora (10000917)</t>
  </si>
  <si>
    <t>Parada Emergencia Maquina Lavadora (10000918)</t>
  </si>
  <si>
    <t>Filtro Aire Primario M. Lavadora Goby (10000919)</t>
  </si>
  <si>
    <t>Sticker Coordihalloween (10000920)</t>
  </si>
  <si>
    <t>Ploters Av y Acri CO (PLYAVCO)</t>
  </si>
  <si>
    <t>1022</t>
  </si>
  <si>
    <t>Cartelera Paño Terminal (10000921)</t>
  </si>
  <si>
    <t>Elementos Didácticos (10000922)</t>
  </si>
  <si>
    <t>Rompecabeza Poliest Desarrollo Humano (10000923)</t>
  </si>
  <si>
    <t>Estantería Tienda De La Confianza (10000924)</t>
  </si>
  <si>
    <t>Sticker Guardianes De Tu Corazón (10000925)</t>
  </si>
  <si>
    <t>Grafico Para Piso Desarrollo Humano (10000926)</t>
  </si>
  <si>
    <t>Sticker Estrella Azul (10000927)</t>
  </si>
  <si>
    <t>Tabla De Imo De Segregacion (10000928)</t>
  </si>
  <si>
    <t>Sticker Tarifas Puntos Droop (10000929)</t>
  </si>
  <si>
    <t>Chispa Consentido Animal (10000930)</t>
  </si>
  <si>
    <t>Adhesivo Consentido Animal Tripulaciones (10000931)</t>
  </si>
  <si>
    <t>Sticker Facturación Electrónica (10000932)</t>
  </si>
  <si>
    <t>Ploter Valla (10000933)</t>
  </si>
  <si>
    <t>Etiqueta Numerica Codigo Qr (10000934)</t>
  </si>
  <si>
    <t>Ploters Av y Acri LO (PLYAVLO)</t>
  </si>
  <si>
    <t>Etiqueta Código Qr Tinas Ruta (10000935)</t>
  </si>
  <si>
    <t>Plotter Varios Eds (10000936)</t>
  </si>
  <si>
    <t>Hablador Colgante 50X 20 Portico Octopus (10000937)</t>
  </si>
  <si>
    <t>Hablador 20 X 5 Canastillas Operaciones (10000938)</t>
  </si>
  <si>
    <t>Numeros Adhesivos Locker (10000939)</t>
  </si>
  <si>
    <t>Porta Pendon Enrollabl Desarrollo Humano (10000940)</t>
  </si>
  <si>
    <t>Pendon Con Ojalete Desarrollo (10000941)</t>
  </si>
  <si>
    <t>Pendon Con Tubo Cortinero (10000942)</t>
  </si>
  <si>
    <t>Volante Campaña Desarrollo Humano (10000943)</t>
  </si>
  <si>
    <t>Rompetrafico En Mdf Desarrollo Humano (10000944)</t>
  </si>
  <si>
    <t>Plotter Confianza (10000945)</t>
  </si>
  <si>
    <t>Plotter Inspiremos (10000946)</t>
  </si>
  <si>
    <t>Cuadro Imagen Base 120 X 100 (10000947)</t>
  </si>
  <si>
    <t>Cuadro Imagen Base 100 X 60 (10000948)</t>
  </si>
  <si>
    <t>Flanger Envios Internacionales (10000949)</t>
  </si>
  <si>
    <t>Hablador Para Base En Acrilico Cristal (10000950)</t>
  </si>
  <si>
    <t>Totem Publicitario (10000951)</t>
  </si>
  <si>
    <t>Pendon Tipo Enrollable (10000952)</t>
  </si>
  <si>
    <t>Aviso Led (10000953)</t>
  </si>
  <si>
    <t>Plotter Linea Nacional Vehiculos (10000954)</t>
  </si>
  <si>
    <t>Flanger Punto Droop (10000955)</t>
  </si>
  <si>
    <t>Plotter Poliestileno (10000956)</t>
  </si>
  <si>
    <t>Pendones Aliados Droop (10000957)</t>
  </si>
  <si>
    <t>Flanger Aliados Droop (Autorizados)60*35 (10000958)</t>
  </si>
  <si>
    <t>Impresión Lona Banner (10000959)</t>
  </si>
  <si>
    <t>Flanger Puntos Coordinadora (10000960)</t>
  </si>
  <si>
    <t>Microperforado Mercadeo (10000961)</t>
  </si>
  <si>
    <t>Tarjeteros En Acrilico Para Bases (10000962)</t>
  </si>
  <si>
    <t>Hablador Audio Para Base Y Texto Braile (10000963)</t>
  </si>
  <si>
    <t>Plotter Mercadeo Chispa (10000964)</t>
  </si>
  <si>
    <t>Tubo Con Carton De Tapitas (10000965)</t>
  </si>
  <si>
    <t>Rompetrafico En Mdf Mercadeo (10000966)</t>
  </si>
  <si>
    <t>Sticker Indicadores (10000967)</t>
  </si>
  <si>
    <t>Plotter Logo Coordinadora (10000968)</t>
  </si>
  <si>
    <t>Horario Bases (10000969)</t>
  </si>
  <si>
    <t>Plotter Mueble De Recibo (10000970)</t>
  </si>
  <si>
    <t>Cartelera Base En Mdf (10000971)</t>
  </si>
  <si>
    <t>Rompetrafico En Carton Mercadeo (10000972)</t>
  </si>
  <si>
    <t>Lona Banner (10000973)</t>
  </si>
  <si>
    <t>Letras Acrilicas Plata Para Bases (10000974)</t>
  </si>
  <si>
    <t>Pendón Con Ojalete Mercadeo (10000975)</t>
  </si>
  <si>
    <t>Plotter Innovemos (10000976)</t>
  </si>
  <si>
    <t>Señaletica Proh Pasar Sobre Banda Transp (10000977)</t>
  </si>
  <si>
    <t>Ploters Av y Acri SI (PLYAVSI)</t>
  </si>
  <si>
    <t>Señaletica Acrilico Canastilla Octopus (10000978)</t>
  </si>
  <si>
    <t>Señaletica Utiles De Aseo (10000979)</t>
  </si>
  <si>
    <t>Señaletica No Apilar Mercancia (10000980)</t>
  </si>
  <si>
    <t>Señaletica Baj Escalera Flec Izq23x33 (10000981)</t>
  </si>
  <si>
    <t>Señaletica Base Aten Prioritaria 14.5x20 (10000982)</t>
  </si>
  <si>
    <t>Señaletica Carreta Bases 14.5x20 (10000983)</t>
  </si>
  <si>
    <t>Señaletica Inflamable 23x33 (10000984)</t>
  </si>
  <si>
    <t>Señaletica Camilla De Emergencia 23x33 (10000985)</t>
  </si>
  <si>
    <t>Señaletica Extintor Multiproposito Base (10000986)</t>
  </si>
  <si>
    <t>Cono Tipo Baliza Para Señalización (10000987)</t>
  </si>
  <si>
    <t>Señaletica Capacidad Máxima 2 Beans (10000988)</t>
  </si>
  <si>
    <t>Señaletica Estándares Seg Octopus 50x70 (10000989)</t>
  </si>
  <si>
    <t>Señaletica Almac Tramos De Rodillos32x22 (10000990)</t>
  </si>
  <si>
    <t>Señaletica Deposito De Chatarra 32x22 (10000991)</t>
  </si>
  <si>
    <t>Señaletica De Herramientas 32x22 (10000992)</t>
  </si>
  <si>
    <t>Señaletica Extintor De Agua (10000993)</t>
  </si>
  <si>
    <t>Señaletica Extintor De Litio (10000994)</t>
  </si>
  <si>
    <t>Señaletica Riesgo De Atrapamiento (10000995)</t>
  </si>
  <si>
    <t>Señaletica Como Actuar En Un Derrame (10000996)</t>
  </si>
  <si>
    <t>Señaletica Op Segura De Montacargas (10000997)</t>
  </si>
  <si>
    <t>Señaletica Uso Seguro Bandas Transport (10000998)</t>
  </si>
  <si>
    <t>Señaletica Peaton Circule Con Precaucion (10000999)</t>
  </si>
  <si>
    <t>Señaletica Ries Mec Piezas En Movimiento (10001000)</t>
  </si>
  <si>
    <t>Señaletica Llave De Emergencias (10001001)</t>
  </si>
  <si>
    <t>Señaletica Prohibido Apoyars En La Pared (10001002)</t>
  </si>
  <si>
    <t>Señaletica Retirar Casco (10001003)</t>
  </si>
  <si>
    <t>Señaletica Hale Y Empuje (10001004)</t>
  </si>
  <si>
    <t>Señaletica Proh Realizar Mant Vehiculos (10001005)</t>
  </si>
  <si>
    <t>Señaletica Prohibido Botar Basura (10001006)</t>
  </si>
  <si>
    <t>Señaletica Gabinet Contra Incendio 23*33 (10001007)</t>
  </si>
  <si>
    <t>Señaletica Prohibido Uso De Celular23x33 (10001008)</t>
  </si>
  <si>
    <t>Señaletica Vestier Hombres (10001009)</t>
  </si>
  <si>
    <t>Señaletica Escaleras Cierre ValvulasRci (10001010)</t>
  </si>
  <si>
    <t>Señaletica Cuarto Baja Tensión 208v (10001011)</t>
  </si>
  <si>
    <t>Señaletica Transformador 500 Kva (10001012)</t>
  </si>
  <si>
    <t>Señaletica Valvulas Estación Control Rci (10001013)</t>
  </si>
  <si>
    <t>Señaletica Subestación Tensión 11.400 V (10001014)</t>
  </si>
  <si>
    <t>Señaletica Planta Electrica De 135 Kva (10001015)</t>
  </si>
  <si>
    <t>Señaletica Valvula De Gas (10001016)</t>
  </si>
  <si>
    <t>Señaletica Ries Elec Plantas300- 400Kva (10001017)</t>
  </si>
  <si>
    <t>Señaletica Cuarto Bomba Rci (10001018)</t>
  </si>
  <si>
    <t>Señaletica Vel Max5km/H 30*20 Reflectiva (10001019)</t>
  </si>
  <si>
    <t>Señaletica Zona Quimicos Ptar 14.5 X 20 (10001020)</t>
  </si>
  <si>
    <t>Señaletica Agua No Potable 20 X 15 (10001021)</t>
  </si>
  <si>
    <t>Señaletica Proced Carga Baterias Elect (10001022)</t>
  </si>
  <si>
    <t>Cartel Señalizacion Terminal Hub (10001023)</t>
  </si>
  <si>
    <t>Rompetrafico 5 Claves (10001024)</t>
  </si>
  <si>
    <t>Señaletica Cilindros De Gas Vacios (10001025)</t>
  </si>
  <si>
    <t>Señaletica Deslice Para Abrir 30*15 (10001026)</t>
  </si>
  <si>
    <t>Sticker Para Puerta Gire Y Empuje (10001027)</t>
  </si>
  <si>
    <t>Sticker Para Puerta Empuje (10001028)</t>
  </si>
  <si>
    <t>Sticker Para Puerta Gire Y Hale (10001029)</t>
  </si>
  <si>
    <t>Sticker Para Puerta Hale (10001030)</t>
  </si>
  <si>
    <t>Señaletica Use Pasamano En Las Escaleras (10001031)</t>
  </si>
  <si>
    <t>Señaletica Prec Al Bajar Las Escaleras (10001032)</t>
  </si>
  <si>
    <t>Adhesivo Demarcación Taller (10001033)</t>
  </si>
  <si>
    <t>Señaletica Uso Obligatorio De Epp (10001034)</t>
  </si>
  <si>
    <t>Señaletica Zona De Carga De Baterias (10001035)</t>
  </si>
  <si>
    <t>Señaletica Peligro Tablero Electrico (10001036)</t>
  </si>
  <si>
    <t>Señaletica Solo Personal Autorizado (10001037)</t>
  </si>
  <si>
    <t>Señaletica Planta Elec De Emerg 500kva (10001038)</t>
  </si>
  <si>
    <t>Señaletica Cuarto Baja Tensión 400v (10001039)</t>
  </si>
  <si>
    <t>Señaletica Vestier Damas (10001040)</t>
  </si>
  <si>
    <t>Señalética Aceite Usado 40x20cm (10001041)</t>
  </si>
  <si>
    <t>Señalética Filtros Usadoa 40x20cm (10001042)</t>
  </si>
  <si>
    <t>Señalética Res Contaminados Aceite40x20 (10001043)</t>
  </si>
  <si>
    <t>Señaletica Asdhesivo Acpm (10001044)</t>
  </si>
  <si>
    <t>Recomendaciones De Seguridad 50*125 (10001045)</t>
  </si>
  <si>
    <t>Señaletica Transporte De Alimentos 30x15 (10001046)</t>
  </si>
  <si>
    <t>Señaletica Pelig Entr Y Sal De Cam 60*50 (10001047)</t>
  </si>
  <si>
    <t>Señaletica Llave Hidrantes 14.5*20 (10001048)</t>
  </si>
  <si>
    <t>Señaletica Kit Control De Derrames 33*23 (10001049)</t>
  </si>
  <si>
    <t>Etiquetas Productos Quimicos (10001050)</t>
  </si>
  <si>
    <t>Señaletica Estaciones Serv Adhesiva (10001051)</t>
  </si>
  <si>
    <t>Señalética Parq Bicicletas Eléctric32*21 (10001052)</t>
  </si>
  <si>
    <t>Señalética Parq Motos Eléctricas 32*21 (10001053)</t>
  </si>
  <si>
    <t>Señalética Llave Paso Gas 14.5 * 20 (10001054)</t>
  </si>
  <si>
    <t>Señaletica Lav Manos AntesDe Comer30*25 (10001055)</t>
  </si>
  <si>
    <t>Señaletica Cilindros De Gas Llenos (10001056)</t>
  </si>
  <si>
    <t>Señaletica Azul Salida Parqueadero Pesv (10001057)</t>
  </si>
  <si>
    <t>Señaletica Ext Acetato Pot - Tipo K23*33 (10001058)</t>
  </si>
  <si>
    <t>Señaletica Azul Flecha Izq Pesv (10001059)</t>
  </si>
  <si>
    <t>Señaletica Salida Emergencias Der 23*33 (10001060)</t>
  </si>
  <si>
    <t>Señaletica Kit De Desvare (10001061)</t>
  </si>
  <si>
    <t>Señaletica Kit De Volcamiento (10001062)</t>
  </si>
  <si>
    <t>Señaletica Parq Bicicletas 23*33 (10001063)</t>
  </si>
  <si>
    <t>Señaletica Parq Aliados IndependintesGoo (10001064)</t>
  </si>
  <si>
    <t>Señaletica Sabanas Limpia Sabanas Sucia (10001065)</t>
  </si>
  <si>
    <t>Señalética Res Peligrosos Terminal40x30 (10001066)</t>
  </si>
  <si>
    <t>Señalética Numeros De Emergencia 40x25cm (10001067)</t>
  </si>
  <si>
    <t>Señalética Aceite Motor 40x20cm (10001068)</t>
  </si>
  <si>
    <t>Señalética Aceite Caja 40x20cm (10001069)</t>
  </si>
  <si>
    <t>Señalética Aceite Diferencial 40x20cm (10001070)</t>
  </si>
  <si>
    <t>Señalética Aceite Hidraulico 40x20cm (10001071)</t>
  </si>
  <si>
    <t>Señalética Grasa Multiproposito 40x20cm (10001072)</t>
  </si>
  <si>
    <t>Señalética Hablador Aten Pref Vent 14*20 (10001073)</t>
  </si>
  <si>
    <t>Señaletica Plano De Evacuación (10001074)</t>
  </si>
  <si>
    <t>Ft-Rh-020 Entrega Eq Protección Personal (10001075)</t>
  </si>
  <si>
    <t>Formato Protocolo Bios Con Firma (10001076)</t>
  </si>
  <si>
    <t>Formato Ft-Rh-173 Resp Empleados Frente (10001077)</t>
  </si>
  <si>
    <t>Formato FtRh026 Entre Pegl Est Pausas Ac (10001078)</t>
  </si>
  <si>
    <t>Formato Protocolo BioseguridaD Sin Firma (10001079)</t>
  </si>
  <si>
    <t>Formato Ft-Rh-10 Registro De Asistencia (10001080)</t>
  </si>
  <si>
    <t>Stiker Punto Ecologico (10001081)</t>
  </si>
  <si>
    <t>Señaletica Vel Max 5km/H 30*20 Reflec (10001082)</t>
  </si>
  <si>
    <t>Señaletica Extintor H2o 23 X 33 (10001083)</t>
  </si>
  <si>
    <t>Señaletica Alarma De Emergencias 23 X 33 (10001084)</t>
  </si>
  <si>
    <t>Señaletica Sala De Lactancia - 14*20 (10001085)</t>
  </si>
  <si>
    <t>Señaletica Arrojar Basura Caneca23*33 (10001086)</t>
  </si>
  <si>
    <t>Señaletica Pautas Convive Ruta NaL 23*33 (10001087)</t>
  </si>
  <si>
    <t>Señaletica Salida Emergencias Horizont (10001088)</t>
  </si>
  <si>
    <t>Señaletica Precaución Mont En Mov 40*40 (10001089)</t>
  </si>
  <si>
    <t>Señaletica Área Restringida 23*33 (10001090)</t>
  </si>
  <si>
    <t>Señaletica Estibas Terminal 23*33 (10001091)</t>
  </si>
  <si>
    <t>Señaletica Zona Peatonal 23*33 (10001092)</t>
  </si>
  <si>
    <t>Señaletica Zona De Parqueo 40*30 (10001093)</t>
  </si>
  <si>
    <t>Señaletica Parqueadero Motos 60*40 (10001094)</t>
  </si>
  <si>
    <t>Señaletica Punto Encuentro 40-30 Largo (10001095)</t>
  </si>
  <si>
    <t>Señaletica No Mover Vehiculo (10001096)</t>
  </si>
  <si>
    <t>Señaletica Horizontal Zona De Quimicos (10001097)</t>
  </si>
  <si>
    <t>Señaletica Caida Diferente Nivel 33* 23 (10001098)</t>
  </si>
  <si>
    <t>Señaletica Parada Emerg 33 X 23 (10001099)</t>
  </si>
  <si>
    <t>Señaletica Lavado Manos 15 x 25 (10001100)</t>
  </si>
  <si>
    <t>Normas SST Para Terminal 50 C (10001101)</t>
  </si>
  <si>
    <t>Tablero Indicador Sst (10001102)</t>
  </si>
  <si>
    <t>Señaletica Bebederos De Agua 14.5x20 Cm (10001103)</t>
  </si>
  <si>
    <t>Señaletica Punto Ecologico 50x40 (10001104)</t>
  </si>
  <si>
    <t>Señalización Punto Encuent Terminal23*33 (10001105)</t>
  </si>
  <si>
    <t>Señaletica Velocidad Maxima 60 X 60 Cms (10001106)</t>
  </si>
  <si>
    <t>Señaletica Base 14.5 X 20 (10001107)</t>
  </si>
  <si>
    <t>Señaletica Baño Terminal 23 X 33 (10001108)</t>
  </si>
  <si>
    <t>Señalética Espacio Libre Humo Base30X15 (10001109)</t>
  </si>
  <si>
    <t>Señaletica No Mover Vehiculo 23 X 33 (10001110)</t>
  </si>
  <si>
    <t>Volante Protocolo De Bioseguridad (10001111)</t>
  </si>
  <si>
    <t>Adhesivo Riesgo Electrico (10001112)</t>
  </si>
  <si>
    <t>Señaletica Via Ev Der Terminal 23x33 (10001113)</t>
  </si>
  <si>
    <t>Señaletica Uso Proteccion Facial 23x33 (10001114)</t>
  </si>
  <si>
    <t>Señaletica Uso Proteccion Oidos 23x33 (10001115)</t>
  </si>
  <si>
    <t>Señaletica Extintor Solkaflam 23x33 (10001116)</t>
  </si>
  <si>
    <t>Señaletica Proh Parquear-Largo 70* 40 (10001117)</t>
  </si>
  <si>
    <t>Señaletica 10/Vel Max10km/H Pared 70*40 (10001118)</t>
  </si>
  <si>
    <t>Señaletica Primeros Auxilios 23* 33 (10001119)</t>
  </si>
  <si>
    <t>Señaletica Ducha Lava Ojos Emerg40*50 (10001120)</t>
  </si>
  <si>
    <t>Señaletica Ruta Ev Izq Base 14.5 X 20 (10001121)</t>
  </si>
  <si>
    <t>Señaletica Ruta Ev Der Base 14.5 X 20 (10001122)</t>
  </si>
  <si>
    <t>Señaletica Salida Emerg Izq Base 14.5X20 (10001123)</t>
  </si>
  <si>
    <t>Señaletica Salida Emerg Der Base 14.5X20 (10001124)</t>
  </si>
  <si>
    <t>Señalética Uso Guantes Terminal 23 X 33 (10001125)</t>
  </si>
  <si>
    <t>Señalética Via Evac Izq Terminal 23 X 33 (10001126)</t>
  </si>
  <si>
    <t>Señalética Libre Humo Terminal 23 X 33 (10001127)</t>
  </si>
  <si>
    <t>Señalética Exti Multipro Terminal 23X33 (10001128)</t>
  </si>
  <si>
    <t>Señalética Caída Obj Terminal 23 X 33 (10001129)</t>
  </si>
  <si>
    <t>Señalética Riesgo Eléc Terminal 23 X 33 (10001130)</t>
  </si>
  <si>
    <t>Señalética Res Peligrosos Terminal 23X33 (10001131)</t>
  </si>
  <si>
    <t>Señalética Timbre Terminal 23 X 33 (10001132)</t>
  </si>
  <si>
    <t>Señalética Normas Seguridad Visitantes (10001133)</t>
  </si>
  <si>
    <t>Plegable Estándares De Seguridad Hub (10001134)</t>
  </si>
  <si>
    <t>Señaletica Proh Subir Bajar Plat T 23X33 (10001135)</t>
  </si>
  <si>
    <t>Señaletica Prohibido Paso Terminal 23X 3 (10001136)</t>
  </si>
  <si>
    <t>Señaletica Solido Reactivo Al Agua 4.3 (10001137)</t>
  </si>
  <si>
    <t>Señaletica Oxidante 5.1 (10001138)</t>
  </si>
  <si>
    <t>Señaletica Peroxido Organico 5.2 (10001139)</t>
  </si>
  <si>
    <t>Señaletica Gas Inflamable 2.1 (10001140)</t>
  </si>
  <si>
    <t>Señaletica Solido Inflamable 4.1 (10001141)</t>
  </si>
  <si>
    <t>Señaletica Toxico 6.1 (10001142)</t>
  </si>
  <si>
    <t>Señaletica Corrosivos 8 (10001143)</t>
  </si>
  <si>
    <t>Señaletica Mercancia Peligrosa Varia 9 (10001144)</t>
  </si>
  <si>
    <t>Señaleticas Varias (10001145)</t>
  </si>
  <si>
    <t>Señaletica Camara Base 14.5 X 20" (10001146)</t>
  </si>
  <si>
    <t>Señaletica Muelle 25 X 35 Cms (10001147)</t>
  </si>
  <si>
    <t>Señalética Baño Base - Dg 14.5 X 20 (10001148)</t>
  </si>
  <si>
    <t>Señalética Estanteria Base 14.5 X 20 (10001149)</t>
  </si>
  <si>
    <t>Señaletica Zona Botiquin Base 14.5 X 20 (10001150)</t>
  </si>
  <si>
    <t>Señaletica Prohibido Paso Base14.5 X 20 (10001151)</t>
  </si>
  <si>
    <t>Señaletica Riesgo Electri Base 14.5 X 20 (10001152)</t>
  </si>
  <si>
    <t>Señaletica Salida Emerg Izquierda 23x33 (10001153)</t>
  </si>
  <si>
    <t>Señaletica Extintor Co2 14.5x20 (10001154)</t>
  </si>
  <si>
    <t>Señaletica Bajando Esc Flecha Dere 23x33 (10001155)</t>
  </si>
  <si>
    <t>Señaletica Zona Botiquin Terminal 23x33 (10001156)</t>
  </si>
  <si>
    <t>Señaletica Cctv Bases 14.5 X 20 (10001157)</t>
  </si>
  <si>
    <t>Plegable Estándares De Seguridad (10001158)</t>
  </si>
  <si>
    <t>Placas Codigo Un Acrilico (10001159)</t>
  </si>
  <si>
    <t>Plegables Calentamiento Y Pausas Activas (10001160)</t>
  </si>
  <si>
    <t>Señaletica No Fumar Terminal 23 X 33 (10001161)</t>
  </si>
  <si>
    <t>Señaletica No Comer Terminal 23 X 33 (10001162)</t>
  </si>
  <si>
    <t>Señalizacion No Celular 23 X 33 (10001163)</t>
  </si>
  <si>
    <t>Señaletica No Soldar Terminal 23 X 33 (10001164)</t>
  </si>
  <si>
    <t>Señaletica Boton Emerg Terminal 23 X 33 (10001165)</t>
  </si>
  <si>
    <t>Señaletica Gas Inerte 2.2 (10001166)</t>
  </si>
  <si>
    <t>Señaletica Liquido Inflamable 3 (10001167)</t>
  </si>
  <si>
    <t>Señaletica Sol Comb Esponta-Autoinfl4.2 (10001168)</t>
  </si>
  <si>
    <t>Señalética Estibas Bases 14.5 X 20 (10001169)</t>
  </si>
  <si>
    <t>Pasador Electrom.Control Apert (10001173)</t>
  </si>
  <si>
    <t>Modulo Bloqueo Gps S-8/M8 (10001174)</t>
  </si>
  <si>
    <t>Cable De Audio 2x1 (10001175)</t>
  </si>
  <si>
    <t>Rollo Etiquetas 10x10 Impresor (10001176)</t>
  </si>
  <si>
    <t>Hablador Con Audio Para Base Y (10001177)</t>
  </si>
  <si>
    <t>Rollo Papel Kraft 30" (10001178)</t>
  </si>
  <si>
    <t>Bases Para Aps Aruba (10001179)</t>
  </si>
  <si>
    <t>Vaso Kug - Mercadeo (10001190)</t>
  </si>
  <si>
    <t>Sticker Aliados Droop (10001191)</t>
  </si>
  <si>
    <t>Agenda Mercadeo (10001192)</t>
  </si>
  <si>
    <t>Memoria Ram Ddr5 Para Portatil (10001193)</t>
  </si>
  <si>
    <t>Tarjeta Adhesiva Aliados (10001194)</t>
  </si>
  <si>
    <t>Afiche Hablador Acrilico Aliad (10001195)</t>
  </si>
  <si>
    <t>Contenedor Merchandising (10001196)</t>
  </si>
  <si>
    <t>Memoria Ram Ddr4 32gb Para Por (10001197)</t>
  </si>
  <si>
    <t>Camibuso Aliados Droop M (10001198)</t>
  </si>
  <si>
    <t>Gorra Aliados Droop (10001199)</t>
  </si>
  <si>
    <t>Bolsa No Tejida Beige - Disfru (10001200)</t>
  </si>
  <si>
    <t>Adaptador Carga Celular (10001201)</t>
  </si>
  <si>
    <t>Bandas Elasticas Padel Tour (10001202)</t>
  </si>
  <si>
    <t>Canguro Mercadeo (10001203)</t>
  </si>
  <si>
    <t>Actuador Lineal Micromotores 2 (10001204)</t>
  </si>
  <si>
    <t>Bolsa No Tejida (10001205)</t>
  </si>
  <si>
    <t>Bloqueo Actuador Micromotores (10001206)</t>
  </si>
  <si>
    <t>Celular Nokia 110 (10001207)</t>
  </si>
  <si>
    <t>Disco Ssd Para Portatil M2 De (10001208)</t>
  </si>
  <si>
    <t>Adaptador Multipuerto 8 En 1 H (10001209)</t>
  </si>
  <si>
    <t>Flexometro Publicitario (10001210)</t>
  </si>
  <si>
    <t>Parlante Cabina Gps (10001211)</t>
  </si>
  <si>
    <t>Estuche Regalo Especial (10001212)</t>
  </si>
  <si>
    <t>Afiche Tienda Virtual (10001213)</t>
  </si>
  <si>
    <t>Memoria Ram Ddr4 De 16 Gb Para (10001214)</t>
  </si>
  <si>
    <t>Unidad Gps Skypatrol Sp4824 (10001215)</t>
  </si>
  <si>
    <t>Flexometro Aliados Droop (10001216)</t>
  </si>
  <si>
    <t>Pasta Térmica Refrigerante Jer (10001217)</t>
  </si>
  <si>
    <t>Disco Duro De Estado Solido De (10001218)</t>
  </si>
  <si>
    <t>Micrófonos De Ensamble Accesor (10001219)</t>
  </si>
  <si>
    <t>Set Cuchillos X 5 Especiales (10001220)</t>
  </si>
  <si>
    <t>Bateria Computador Portatil (10001221)</t>
  </si>
  <si>
    <t>Cargador Computador Portatil (10001222)</t>
  </si>
  <si>
    <t>Teclado Para Portatil General (10001223)</t>
  </si>
  <si>
    <t>Bono De Pesame (10001224)</t>
  </si>
  <si>
    <t>Cable Hdmi De 3mts Kamyl (10001225)</t>
  </si>
  <si>
    <t>Base Portatil Con Extract Plas (10001226)</t>
  </si>
  <si>
    <t>Hub Usb (10001227)</t>
  </si>
  <si>
    <t>Convertidor De Hdmi A Vga (10001228)</t>
  </si>
  <si>
    <t>Kit De Teclado Y Mouse Inalamb (10001229)</t>
  </si>
  <si>
    <t>Hablador En Poliestireno (10001230)</t>
  </si>
  <si>
    <t>Llave Dallas Ibutton (10001231)</t>
  </si>
  <si>
    <t>Sensor Dallas Ibutton (10001232)</t>
  </si>
  <si>
    <t>Recibo Caja 2005a (10001233)</t>
  </si>
  <si>
    <t>Lapicero Tinta Humeda (10001234)</t>
  </si>
  <si>
    <t>Mouse Usb Genius (10001235)</t>
  </si>
  <si>
    <t>Teclado Usb Genius (10001236)</t>
  </si>
  <si>
    <t>Tarjeta De Presentación (10001237)</t>
  </si>
  <si>
    <t>Estrellas Leyendas Coordinador (10001260)</t>
  </si>
  <si>
    <t>Ploters Av y Acri (PLOTYAV)</t>
  </si>
  <si>
    <t>Snaks Y Frutas Piso 8 No Grava (10001261)</t>
  </si>
  <si>
    <t>Vaso De Carton Con Tapa Paquet (10001262)</t>
  </si>
  <si>
    <t>Volantes Aliados (10001263)</t>
  </si>
  <si>
    <t>Camiseta Agua Marina Guardiane (10001264)</t>
  </si>
  <si>
    <t>Gorra Generica (10001265)</t>
  </si>
  <si>
    <t>Calendario Mercadeo (10001266)</t>
  </si>
  <si>
    <t>Volante Kit Aliados Uso Camise (10001267)</t>
  </si>
  <si>
    <t>Tarjeta Fidelizacion Aliados C (10001268)</t>
  </si>
  <si>
    <t>Cartuchera Transparente Mercad (10001269)</t>
  </si>
  <si>
    <t>Estuche Rhode Obsequio Padel T (10001270)</t>
  </si>
  <si>
    <t>Obsequio Aliados Droop No Grav (10001271)</t>
  </si>
  <si>
    <t>Camisa Tipo Polo Aliados Droop (10001272)</t>
  </si>
  <si>
    <t>Obsequio Aliados Droop (10001273)</t>
  </si>
  <si>
    <t>Veleta Publicitaria (10001274)</t>
  </si>
  <si>
    <t>Adhesivo Garantia De Calidad Y (10001275)</t>
  </si>
  <si>
    <t>Mini Mug Fulfillment Mercadeo (10001276)</t>
  </si>
  <si>
    <t>Pr Bono Compra De $ 20.000 (10001277)</t>
  </si>
  <si>
    <t>Pr Bono Compra De $ 40.000 (10001278)</t>
  </si>
  <si>
    <t>Pr Bono Compra De $ 140.000 (10001279)</t>
  </si>
  <si>
    <t>Separadores Publicitarios (10001280)</t>
  </si>
  <si>
    <t>Obsequio Niño Cliente (10001281)</t>
  </si>
  <si>
    <t>Malla (10001282)</t>
  </si>
  <si>
    <t>Obsequio Cliente (10001283)</t>
  </si>
  <si>
    <t>Sobre Media Carta Mercadeo (10001284)</t>
  </si>
  <si>
    <t>Afiche Tabloide (10001285)</t>
  </si>
  <si>
    <t>Pr Bono Compra De $ 100.000 (10001286)</t>
  </si>
  <si>
    <t>Sobre Correspondencia Interna (10001287)</t>
  </si>
  <si>
    <t>Lona Banner Con Barilla 2X1 (10001288)</t>
  </si>
  <si>
    <t>Mug En Plastico Para Cafe (10001289)</t>
  </si>
  <si>
    <t>Impresión De Plotter (10001290)</t>
  </si>
  <si>
    <t>Botella De Vino (10001291)</t>
  </si>
  <si>
    <t>Camiseta Estampada Eventos (10001292)</t>
  </si>
  <si>
    <t>Dulce Con Logo De Coordinadora (10001293)</t>
  </si>
  <si>
    <t>Tarjeta Personalizadas Adhesivo (10001294)</t>
  </si>
  <si>
    <t>Talonario Facturas (10001295)</t>
  </si>
  <si>
    <t>Articulos Decorativos Varios M (10001297)</t>
  </si>
  <si>
    <t>Gorra Con Logo Cm Tp Camionera (10001298)</t>
  </si>
  <si>
    <t>Pr Bbq Grill (10001299)</t>
  </si>
  <si>
    <t>Volantes Ferias (10001300)</t>
  </si>
  <si>
    <t>Sticker Logo Coordi 5Cmx0,8Cm (10001301)</t>
  </si>
  <si>
    <t>Portamin Mates 1.3 Color Log (10001302)</t>
  </si>
  <si>
    <t>Tarjeta Iman Aliados Droop (10001303)</t>
  </si>
  <si>
    <t>Uniforme Ciclismo Hombre S (10001304)</t>
  </si>
  <si>
    <t>Uniforme Ciclismo Dama S (10001305)</t>
  </si>
  <si>
    <t>Pr Televisor Led 32" (10001306)</t>
  </si>
  <si>
    <t>Tarjetas Adhesivas Termin Carg Cali (10001307)</t>
  </si>
  <si>
    <t>Adhesivo Removible Carro-Ganch (10001308)</t>
  </si>
  <si>
    <t>Afiche Tabloide-Carta Pqr (10001309)</t>
  </si>
  <si>
    <t>Vaso Pitillo (10001310)</t>
  </si>
  <si>
    <t>Televisor 50" - 55" (11000120)</t>
  </si>
  <si>
    <t>Activos fijos (ZACF)</t>
  </si>
  <si>
    <t>AF Equipo de oficina (AFEYO)</t>
  </si>
  <si>
    <t>1502</t>
  </si>
  <si>
    <t>Bafle Profl Blue 15" 2800WPmpoBaf-1545bt (11000121)</t>
  </si>
  <si>
    <t>Gabinete A Pared 50*55 Cm 9rms (11000122)</t>
  </si>
  <si>
    <t>Gabinete A Pared 50*55 Cm 7rms (11000123)</t>
  </si>
  <si>
    <t>Contadora De Billetes Accubanker (11000124)</t>
  </si>
  <si>
    <t>Rack Hp De 42ru (11000125)</t>
  </si>
  <si>
    <t>Televisor 65" (11000126)</t>
  </si>
  <si>
    <t>Bafle 8" 1,800 W Pmpo BlueBaf0845bt Ste (11000127)</t>
  </si>
  <si>
    <t>Play Station 4 (11000128)</t>
  </si>
  <si>
    <t>Perforadora Ind 2Hue 100 Hojas Aprox (11000129)</t>
  </si>
  <si>
    <t>Sistema De Audio De Auditorio (11000130)</t>
  </si>
  <si>
    <t>Aspiradora Eléct Port 12 Galones–6Hp– 10 (11000131)</t>
  </si>
  <si>
    <t>Televisor 98"-100" (11000132)</t>
  </si>
  <si>
    <t>Aspiradora De Mano Inalambrica (11000133)</t>
  </si>
  <si>
    <t>Pit Tipo Bar 3 Bandejas Hub (11000134)</t>
  </si>
  <si>
    <t>Pit Tipo Bar 2 Bandejas (11000135)</t>
  </si>
  <si>
    <t>Panel Solar (11000136)</t>
  </si>
  <si>
    <t>AF Radio y Com (AFRCYC)</t>
  </si>
  <si>
    <t>1504</t>
  </si>
  <si>
    <t>Repuestos Varios Servidor Fisico (11000137)</t>
  </si>
  <si>
    <t>Lente Camara Fotografica (11000138)</t>
  </si>
  <si>
    <t>Tablet En General No Grav (11000139)</t>
  </si>
  <si>
    <t>Candado Electronic Satelital Thunderlock (11000140)</t>
  </si>
  <si>
    <t>Maquina Urovo Dt66 No Grav (11000141)</t>
  </si>
  <si>
    <t>Computador Imac En General (11000142)</t>
  </si>
  <si>
    <t>Camara Instantanea (11000143)</t>
  </si>
  <si>
    <t>Alcoholimetro Alco (11000144)</t>
  </si>
  <si>
    <t>Hielera Ice Maker As - 9 Kgr (11000145)</t>
  </si>
  <si>
    <t>Dispensador Fuente De Agua Bag 80 - Ibbl (11000146)</t>
  </si>
  <si>
    <t>Aspiradora Elite 6 Hp - 12 Galones (11000147)</t>
  </si>
  <si>
    <t>Televisor 42" - 43" (11000148)</t>
  </si>
  <si>
    <t>Xbox One 500gb (11000149)</t>
  </si>
  <si>
    <t>Video Proye Epson Powerlite S39Svga3lcd (11000150)</t>
  </si>
  <si>
    <t>Video Proyector Epson Powerlite W42+ (11000151)</t>
  </si>
  <si>
    <t>Dispositivo De Biometría Zktco (11000152)</t>
  </si>
  <si>
    <t>Pantalla Interactiva Led (11000153)</t>
  </si>
  <si>
    <t>Camara Web One Screen (11000154)</t>
  </si>
  <si>
    <t>Rotuladora O Marcadora Electronica Dymo (11000155)</t>
  </si>
  <si>
    <t>Teclado Apple Magic Keyboard (11000156)</t>
  </si>
  <si>
    <t>Switch 24 Puertos Poe Ruijie (11000157)</t>
  </si>
  <si>
    <t>Nvr Hikvision 64 Canales (11000158)</t>
  </si>
  <si>
    <t>Monitor Portatil Tripe Para Laptop (11000159)</t>
  </si>
  <si>
    <t>Maquina Zebra Tc27 (11000160)</t>
  </si>
  <si>
    <t>Radio Telefono Seguridad Kenwood (11000161)</t>
  </si>
  <si>
    <t>Parlante Portatil Conf Klip Xtreme (11000162)</t>
  </si>
  <si>
    <t>Estabilizador Dji Rs 4pro (11000163)</t>
  </si>
  <si>
    <t>Dji 2t +1rx+ Charging Case (11000164)</t>
  </si>
  <si>
    <t>Kit Camara Nikonz6iii Mas Lente 24/70f4 (11000165)</t>
  </si>
  <si>
    <t>Tablet En General Gravado (11000166)</t>
  </si>
  <si>
    <t>Nvr Hikvision 32ch (11000167)</t>
  </si>
  <si>
    <t>Ups De 6 Kva (11000168)</t>
  </si>
  <si>
    <t>Camara Perime Hikvision Ds-2cd2626g2-Izs (11000169)</t>
  </si>
  <si>
    <t>Impresora Para Carnet (11000170)</t>
  </si>
  <si>
    <t>Ups De 1 Kva (11000171)</t>
  </si>
  <si>
    <t>Ups 700w (11000172)</t>
  </si>
  <si>
    <t>Computador Portátil En General No Grav (11000173)</t>
  </si>
  <si>
    <t>Camara Fotografica Nikon (11000174)</t>
  </si>
  <si>
    <t>Servidor General (11000175)</t>
  </si>
  <si>
    <t>Computador Portatil General Gravado (11000176)</t>
  </si>
  <si>
    <t>Cloud Core Router Cpu 16 Núcleos (11000177)</t>
  </si>
  <si>
    <t>Camara Reconocimiento Fac Domo Hikvision (11000178)</t>
  </si>
  <si>
    <t>Bocina Ip Hikvision (11000179)</t>
  </si>
  <si>
    <t>Monitor Hikvision (11000180)</t>
  </si>
  <si>
    <t>Micorfono De Escrotorio Para Computador (11000181)</t>
  </si>
  <si>
    <t>Decodificador Videowall (11000182)</t>
  </si>
  <si>
    <t>Base Soporte Para Videowall (11000183)</t>
  </si>
  <si>
    <t>Impresora Mfp Epson Ecotank L5190 (11000184)</t>
  </si>
  <si>
    <t>Ups True Online Doble Conv Monof 2kva (11000185)</t>
  </si>
  <si>
    <t>Camara Ip Domo Hikvision Ds 2cd1123g0e (11000186)</t>
  </si>
  <si>
    <t>Grabador Nvr Hikvision Ds-7616ni-Q2/16p (11000187)</t>
  </si>
  <si>
    <t>Camara Bala Hikvision R Ds2cd2021g1i(W) (11000188)</t>
  </si>
  <si>
    <t>Camara Mini Domo AuHikvision Ds2cd2123g0 (11000189)</t>
  </si>
  <si>
    <t>Sistema Microfono Inalambrico Uhf (11000190)</t>
  </si>
  <si>
    <t>Pc Portatil Windows Gama Alta (11000191)</t>
  </si>
  <si>
    <t>Grabador Nvr Hikvision 16p (11000192)</t>
  </si>
  <si>
    <t>Impresora Epson Tm-U675 (11000193)</t>
  </si>
  <si>
    <t>Camara TipoBala Hikvision Ds2cd1023goe-1 (11000194)</t>
  </si>
  <si>
    <t>Disco Duro Externo Usb 3.0 (11000195)</t>
  </si>
  <si>
    <t>Monitor De 27" Con Puertos Hdmi (11000196)</t>
  </si>
  <si>
    <t>Terminal Reconocimiento Facial Hikvision (11000197)</t>
  </si>
  <si>
    <t>Cpu Características Especiales (11000198)</t>
  </si>
  <si>
    <t>Servidor Nas De 16 Tb (11000199)</t>
  </si>
  <si>
    <t>Monitor Con Ptos Vga Y Hdmi 19.5" (11000200)</t>
  </si>
  <si>
    <t>Ups Trifasica De 10 Kva (11000201)</t>
  </si>
  <si>
    <t>Aruba 2530 24g Switch (11000202)</t>
  </si>
  <si>
    <t>Pc Lenovo Thinkcentre M720q Tiny (11000203)</t>
  </si>
  <si>
    <t>Nvr 768mbps 256Ch IpVideoDs-96256niI2424 (11000204)</t>
  </si>
  <si>
    <t>Telefono Analogo Panasonic Ts500 Negro (11000205)</t>
  </si>
  <si>
    <t>Aruba Ap 345 (11000206)</t>
  </si>
  <si>
    <t>Parlante Jabra Speak 510 (11000207)</t>
  </si>
  <si>
    <t>Impresora Kyocera M2640idw (11000208)</t>
  </si>
  <si>
    <t>Tablet Lenovo Za5g0097co 8" (11000209)</t>
  </si>
  <si>
    <t>Impresora Kyocera Ecosys P3260dn (11000210)</t>
  </si>
  <si>
    <t>Computador Imac 21.5" Ci716 GbRamDd 1tb (11000211)</t>
  </si>
  <si>
    <t>Ups Apc Bv 1000 (11000212)</t>
  </si>
  <si>
    <t>Portatil Hp 245 Gravado (11000213)</t>
  </si>
  <si>
    <t>Router Lte D-Link (11000214)</t>
  </si>
  <si>
    <t>Switch Poe De 8 Puertos (11000215)</t>
  </si>
  <si>
    <t>Ups De 3kva A 110v Marca Eaton O Cdp (11000216)</t>
  </si>
  <si>
    <t>Web Cam Logitech (11000217)</t>
  </si>
  <si>
    <t>Grabador NvrHikvision 4Can Ds7604niQ1/4p (11000218)</t>
  </si>
  <si>
    <t>Disco Duro Externo 4 Tb (11000219)</t>
  </si>
  <si>
    <t>Portatil Hp Probook 450 Ultima Gen (11000220)</t>
  </si>
  <si>
    <t>Camara Mini Domo Hikvision Ds2cd1121i (11000221)</t>
  </si>
  <si>
    <t>Monitor Samsung 22'' Led Ls22f355fhlxzl (11000222)</t>
  </si>
  <si>
    <t>Mac Book Pro De 13" Ci5 7g512Ssd16gbRam (11000223)</t>
  </si>
  <si>
    <t>Juego Par Usb Pc Log S150(2.0) 1.2 VRms2 (11000224)</t>
  </si>
  <si>
    <t>Impresora Kyocera Fs-P2040dw (11000225)</t>
  </si>
  <si>
    <t>Impresora Zd420 (11000226)</t>
  </si>
  <si>
    <t>Impresora Fs-P3145dn (Impresora Sen) (11000227)</t>
  </si>
  <si>
    <t>Fortigate-200e Bdl-900-36 (11000228)</t>
  </si>
  <si>
    <t>Camara Reconocimi Fac Bala Hikvision (11000229)</t>
  </si>
  <si>
    <t>Zebra Tc20 (11000230)</t>
  </si>
  <si>
    <t>Interface De Conexión Nexiq (11000231)</t>
  </si>
  <si>
    <t>Tractocamion Daf (11000232)</t>
  </si>
  <si>
    <t>AF Vehiculo (AFVH)</t>
  </si>
  <si>
    <t>1505</t>
  </si>
  <si>
    <t>Van Electrica Jac Sunray (11000233)</t>
  </si>
  <si>
    <t>Remolque Tipo Furgon Tiro Arrastre Moto (11000234)</t>
  </si>
  <si>
    <t>Caja Seg Para Almacenar Armamento Inssat (11000235)</t>
  </si>
  <si>
    <t>AF Arma y Vigi (AFAYV)</t>
  </si>
  <si>
    <t>1501</t>
  </si>
  <si>
    <t>Radio Motorola Rva50 Vhf Antena Larga (11000236)</t>
  </si>
  <si>
    <t>Impresora Kyocera M-2040 Multifuncional (11000237)</t>
  </si>
  <si>
    <t>Access Point Ubiquiti Ac Pro (11000238)</t>
  </si>
  <si>
    <t>Escaner Fujitsu Fi-7160 (Usb 3.0) (11000239)</t>
  </si>
  <si>
    <t>Portatil De 13" Hp 430 (11000240)</t>
  </si>
  <si>
    <t>Mikrotik Mod: Rb951ui (11000241)</t>
  </si>
  <si>
    <t>Switch Tp-Link De 8ptos De Giga (11000242)</t>
  </si>
  <si>
    <t>Gateway De Voz Iag804 Openvox (4 Fxo) (11000243)</t>
  </si>
  <si>
    <t>Switch Poe De 24 Ptos 10/100/1000 (11000244)</t>
  </si>
  <si>
    <t>Lector Codigo De Barras Symbol Ls 2208 (11000245)</t>
  </si>
  <si>
    <t>Camara Fot Sony Cyber-Shot Dsc-W800 (11000246)</t>
  </si>
  <si>
    <t>Radio Motorola Walkie Talkie T400 (11000247)</t>
  </si>
  <si>
    <t>Contenedor 40 Pies (11000248)</t>
  </si>
  <si>
    <t>Furgon Camion Generico (11000249)</t>
  </si>
  <si>
    <t>Vehiculo Foton Frr Bj1128 (11000250)</t>
  </si>
  <si>
    <t>Furgon Foton Frr Bj 1128 (11000251)</t>
  </si>
  <si>
    <t>Furgon Foton Fkr Bj1065 E (11000252)</t>
  </si>
  <si>
    <t>Tractomula Prostar Internacional (11000253)</t>
  </si>
  <si>
    <t>Vehiculo Toyota Prado Gasolina (11000254)</t>
  </si>
  <si>
    <t>Contenedor 45 Pies (11000255)</t>
  </si>
  <si>
    <t>Vehiculo Foton Fkre 3.6ton Bj1065 Euro V (11000256)</t>
  </si>
  <si>
    <t>Furgon Foton Fhr Bj1045 (11000257)</t>
  </si>
  <si>
    <t>Furgon Foton Minitruck Bj1030 (11000258)</t>
  </si>
  <si>
    <t>Vehiculo Jmc Ckr (11000259)</t>
  </si>
  <si>
    <t>Furgon Jmc Ckr (11000260)</t>
  </si>
  <si>
    <t>Semirremolque Portacontenedor (11000261)</t>
  </si>
  <si>
    <t>Tractocamion Foton (11000262)</t>
  </si>
  <si>
    <t>Vehiculo Foton Minitruck Tm Bj1030 Euro5 (11000263)</t>
  </si>
  <si>
    <t>Pistola Neumatic Imp C-1/2 Ingersol Rand (11000264)</t>
  </si>
  <si>
    <t>AF Maq y Equ (AFMYQ)</t>
  </si>
  <si>
    <t>1503</t>
  </si>
  <si>
    <t>Pulidora Electrica 4" / 6" (11000265)</t>
  </si>
  <si>
    <t>Circular Bosch Gks65 (11000266)</t>
  </si>
  <si>
    <t>Pistola Neumatica ImpCuad3/4 Ingersolram (11000267)</t>
  </si>
  <si>
    <t>Taladro Inalambrico 3/8 2-Baterias (11000268)</t>
  </si>
  <si>
    <t>Gato Estibador Nike E 685 (11000269)</t>
  </si>
  <si>
    <t>Pistola Neumatica Cuadrante 1/2 (11000270)</t>
  </si>
  <si>
    <t>Taladro Con Mandril De 1/2 Industrial (11000271)</t>
  </si>
  <si>
    <t>Pistola Pintar Sagola 4001 (11000272)</t>
  </si>
  <si>
    <t>Electrobomba Modelo Me618 Barnes (11000273)</t>
  </si>
  <si>
    <t>Banda Rodillos Moviles (11000274)</t>
  </si>
  <si>
    <t>Unidad Condensadora Vrf 250000 Btu (11000275)</t>
  </si>
  <si>
    <t>Unidad Condensadora Vrf 115000 Btu (11000276)</t>
  </si>
  <si>
    <t>Gato Estibador 2.5 Toneladas (11000277)</t>
  </si>
  <si>
    <t>Apilador Electrico 1.2 Toneladas (11000278)</t>
  </si>
  <si>
    <t>Torque Cuadrante 3/8 X 80 Lbs Proto (11000279)</t>
  </si>
  <si>
    <t>Pistola De Impacto De 3/4 (11000280)</t>
  </si>
  <si>
    <t>Taladro De 1/2 Dewalt - Bosch (11000281)</t>
  </si>
  <si>
    <t>Lijadora Neumatica 6" 90 Psi (11000282)</t>
  </si>
  <si>
    <t>Torque Cuadrante 1/2 X 250 Lbs Proto (11000283)</t>
  </si>
  <si>
    <t>Extractor Electrico Con Rejilla (11000284)</t>
  </si>
  <si>
    <t>Trozadora Para Metal De 14" (11000285)</t>
  </si>
  <si>
    <t>Taladro Percutor De 1/2 Dw 515k (11000286)</t>
  </si>
  <si>
    <t>Pistola De Impacto 1" Ir285a-6 (11000287)</t>
  </si>
  <si>
    <t>Engrasadora Neumatica 400 Lbs Y Pistola (11000288)</t>
  </si>
  <si>
    <t>Gato Tipo Caiman 10 Toneladas Nike (11000289)</t>
  </si>
  <si>
    <t>Cargador De Bateria 1-5-31-1100 (11000290)</t>
  </si>
  <si>
    <t>Calibrador De Inyector Bosh (11000291)</t>
  </si>
  <si>
    <t>Torque Cuadrante 3/4 X 500 Lbs Proto (11000292)</t>
  </si>
  <si>
    <t>Bomba Vacio 2 3 Aire Acondicionado (11000293)</t>
  </si>
  <si>
    <t>Regrabadora De Llantas (11000294)</t>
  </si>
  <si>
    <t>Guadañadora Accesorios X 4 Unds (11000295)</t>
  </si>
  <si>
    <t>Banda Transpotadora Extensible (11000296)</t>
  </si>
  <si>
    <t>Bomba Sume DrenAguasLlu 0.5Hp TrabLivian (11000297)</t>
  </si>
  <si>
    <t>Aire Acondicionado TipoCasete 48.000 Btu (11000298)</t>
  </si>
  <si>
    <t>Tanque Floculador Plant Trat Fabricado (11000299)</t>
  </si>
  <si>
    <t>Bascula Portátil Pesa Caja 70kg Arrow (11000300)</t>
  </si>
  <si>
    <t>Bomba Sum Trif Ihm 2Hp 2Pulg H20mWqk15-1 (11000301)</t>
  </si>
  <si>
    <t>Tanque Hidroneumatico 100 L Diafragma (11000302)</t>
  </si>
  <si>
    <t>Estibador De Altura Hidraulico Manual (11000303)</t>
  </si>
  <si>
    <t>Prensa Hidraulica Industrial 30 Ton (11000304)</t>
  </si>
  <si>
    <t>Bomba Sum 5hpIhm220V SucDes 3" Ihm 5 Hp (11000305)</t>
  </si>
  <si>
    <t>Bomba Sum 1hpAceroInox Pearl110v Sd1 1/2 (11000306)</t>
  </si>
  <si>
    <t>Equipo Soldadura Autogena X 9 Piezas (11000307)</t>
  </si>
  <si>
    <t>Pistola Pintar Sagola-Devilbis (11000308)</t>
  </si>
  <si>
    <t>Pistola De Calor 1500w 50-600c° 250-500 (11000309)</t>
  </si>
  <si>
    <t>Lijadora O 1/4-Pulg240w16000opmStanley (11000310)</t>
  </si>
  <si>
    <t>Sistema Almacenamiento Loc Craftman (11000311)</t>
  </si>
  <si>
    <t>Pulidora Ang 4-1/2 Stanley 900w12'000rpm (11000312)</t>
  </si>
  <si>
    <t>Compresor Aire 20Ltr Mang Pistola Elite (11000313)</t>
  </si>
  <si>
    <t>Escalera Multip Aluminio 3.55mt 12 Pasos (11000314)</t>
  </si>
  <si>
    <t>Planta Eléctrica 18 Kw / 22 Kva (11000315)</t>
  </si>
  <si>
    <t>Maquina Para Hacer Crispetas (11000316)</t>
  </si>
  <si>
    <t>Maquina Lavado Remolques Bitimec Elect (11000317)</t>
  </si>
  <si>
    <t>Soldador Inversor 15-120amp 110v/220v (11000318)</t>
  </si>
  <si>
    <t>Dispensador Urea Speeddispenser1m1p10gpm (11000319)</t>
  </si>
  <si>
    <t>Regulador Vol Kenzor- ModeloKt-E 30Vol (11000320)</t>
  </si>
  <si>
    <t>Llave Impacto 1/2pulg Lxt18vBlxpt 330n.M (11000321)</t>
  </si>
  <si>
    <t>Gato Tipo Caiman 5 Toneladas (11000322)</t>
  </si>
  <si>
    <t>Escalera Cert Ext FibVidrio24 Peldaño (11000323)</t>
  </si>
  <si>
    <t>Maquina De Drenaje Destapa Tuberias (11000324)</t>
  </si>
  <si>
    <t>Trotadora Electrica Gimnasio Ruta Nal (11000325)</t>
  </si>
  <si>
    <t>Planta Electrica Diesel 50 Kva Trifasica (11000326)</t>
  </si>
  <si>
    <t>Equipo Soldador Tig 250 Ac/Dc (11000327)</t>
  </si>
  <si>
    <t>Herramienta Ajuste Bloq Quinta R Holland (11000328)</t>
  </si>
  <si>
    <t>Sistema Acc Andamios Mant 0.75m X3m (11000329)</t>
  </si>
  <si>
    <t>Sistema Acceso Andamio Infra 2.10mx2.10 (11000330)</t>
  </si>
  <si>
    <t>Mancuernas De 2x2 Kg (11000331)</t>
  </si>
  <si>
    <t>Disco Pesa 20 Kg (11000332)</t>
  </si>
  <si>
    <t>Tijera Plataforma Escualizable Tipo Ia (11000333)</t>
  </si>
  <si>
    <t>Tanque Agua 2000 Litros (11000334)</t>
  </si>
  <si>
    <t>Escalera Plat Escualizable De 14 Pasos (11000335)</t>
  </si>
  <si>
    <t>Serpentin 12000btu (11000336)</t>
  </si>
  <si>
    <t>Pulmon 80 Galones Vertical (11000337)</t>
  </si>
  <si>
    <t>Compresor 9000 Btu A 220v (11000338)</t>
  </si>
  <si>
    <t>Planta Electrica 14kw/18kva (11000339)</t>
  </si>
  <si>
    <t>Eliptica Magnetica Manual (11000340)</t>
  </si>
  <si>
    <t>Bicicleta Spinning Estructura En Hierro (11000341)</t>
  </si>
  <si>
    <t>Taladro Perc Recar DewaltDcd7781d/776 (11000342)</t>
  </si>
  <si>
    <t>Rotomartillo Sds-Plus 1500w 5j 800rpm (11000343)</t>
  </si>
  <si>
    <t>Compresor Tornillo 25 Hp Emax (11000344)</t>
  </si>
  <si>
    <t>Extractor Eolico De 24" (11000345)</t>
  </si>
  <si>
    <t>Compresor Port2.5 Hp(25 Litros) 110 Vol (11000346)</t>
  </si>
  <si>
    <t>Plataformas Y Pasarelas (11000347)</t>
  </si>
  <si>
    <t>Indicador Para Bascula Lp 7510 (11000348)</t>
  </si>
  <si>
    <t>Tanque Llenado Agua 2000 Galones (11000349)</t>
  </si>
  <si>
    <t>Prensa Hidraulica Tx Ty20003 (11000350)</t>
  </si>
  <si>
    <t>Bascula Portátil Cas Oiml 35 X 43 Cm (11000351)</t>
  </si>
  <si>
    <t>Ducha Mixta De Emergencia Portátil (11000352)</t>
  </si>
  <si>
    <t>Balanceadora Con Elevador Ref Cb460-B (11000353)</t>
  </si>
  <si>
    <t>Compresor 150G Cabezote 3Pistones 10H (11000354)</t>
  </si>
  <si>
    <t>Compresor 60G -2 Pistones Trifasico 220V (11000355)</t>
  </si>
  <si>
    <t>Equipo Sold Port Megaforce225 Lincoln (11000356)</t>
  </si>
  <si>
    <t>Bascula Electronica Paqueteo (11000357)</t>
  </si>
  <si>
    <t>Electrobomba Sumer Drenaje0.5hp Pedrollo (11000358)</t>
  </si>
  <si>
    <t>Bomba Disif Vco 502 Fp115 Vac Plant Trat (11000359)</t>
  </si>
  <si>
    <t>Desfibrilador Salud Ocupacional (11000360)</t>
  </si>
  <si>
    <t>AF Mueb y Ens (AFMYE)</t>
  </si>
  <si>
    <t>Unidad Cond Vrf 61,800 220v/60hz/1ph (11000361)</t>
  </si>
  <si>
    <t>Unidad Evaporadora Vrf 9.600 Btu Hisense (11000362)</t>
  </si>
  <si>
    <t>Unidad Evaporadora Vrf 15.400Btu Hisense (11000363)</t>
  </si>
  <si>
    <t>Ventilador Pequeño Garita (11000364)</t>
  </si>
  <si>
    <t>Equipo Soldadura Electrica Lincon Comp (11000365)</t>
  </si>
  <si>
    <t>Hidrolavadora (11000366)</t>
  </si>
  <si>
    <t>Estufa Cub Vitro Especial (11000367)</t>
  </si>
  <si>
    <t>Mesa Noche Cubiculos Ruta Nal Color Negr (11000368)</t>
  </si>
  <si>
    <t>Lijadora Orbital Neumatica 6" (11000369)</t>
  </si>
  <si>
    <t>Pistola Automática Surtidor De Acpm3/4 (11000370)</t>
  </si>
  <si>
    <t>Bascula Electronica Tipo Pesado (11000371)</t>
  </si>
  <si>
    <t>Pistola Termica 1500w Hg6020 (11000372)</t>
  </si>
  <si>
    <t>Moto Bomba De Agua (11000373)</t>
  </si>
  <si>
    <t>Pistola Pintura Gravedad Pop-700 (11000374)</t>
  </si>
  <si>
    <t>Pulidora Electrica 7"/ 9" Dewalt (11000375)</t>
  </si>
  <si>
    <t>Mesa Auxiliar Zona Multiple (11000376)</t>
  </si>
  <si>
    <t>Silla Base 4 Patas Uniconcha Z Multiple (11000377)</t>
  </si>
  <si>
    <t>Mesa Novel Ping Pong Zona Multiple (11000378)</t>
  </si>
  <si>
    <t>Mesa Cbp V2Redonda Formica Zona Multiple (11000379)</t>
  </si>
  <si>
    <t>Mesa Cuadrada Formica Zona Multiple (11000380)</t>
  </si>
  <si>
    <t>Puff Tipo Pera Lona Zona Multiple (11000381)</t>
  </si>
  <si>
    <t>Silla Poltrona Oliver Zona Multiple (11000382)</t>
  </si>
  <si>
    <t>Mesa Trabajo Formica75x45x45 Z Multiple (11000383)</t>
  </si>
  <si>
    <t>Mesa Centro Sup Form 50x45x45 Z Multiple (11000384)</t>
  </si>
  <si>
    <t>Poltrona Queen Base Trineo Zona Multiple (11000385)</t>
  </si>
  <si>
    <t>Puff Tipo Cama Zona Mutiple (11000386)</t>
  </si>
  <si>
    <t>Nevera Vertical Refrigeracion (11000387)</t>
  </si>
  <si>
    <t>Cafetera Espresso Perfect Brew15 Bares (11000388)</t>
  </si>
  <si>
    <t>Freidora Aire Oster7.5lts Dig Z Multiple (11000389)</t>
  </si>
  <si>
    <t>Carpa Kiosco Primeros Auxilios (11000390)</t>
  </si>
  <si>
    <t>Mesa Aliados Goo 2.00X0.80X1.00 (11000391)</t>
  </si>
  <si>
    <t>Silla Plastica Rimax (11000392)</t>
  </si>
  <si>
    <t>Estufa Gas Acero Inoxidable (11000393)</t>
  </si>
  <si>
    <t>Silla Para Stand Mercadeo (11000394)</t>
  </si>
  <si>
    <t>Espumadora Lavado Vehiculos 70gl-Nueva (11000395)</t>
  </si>
  <si>
    <t>Aire Acondicionado Port12000 Btu 110V (11000396)</t>
  </si>
  <si>
    <t>Ventilador Tipo Torre (11000397)</t>
  </si>
  <si>
    <t>Mesa Picnic De 150cm X 150cm (11000398)</t>
  </si>
  <si>
    <t>Mesa Mad Zona Lud 0.60 X 0.45 (11000399)</t>
  </si>
  <si>
    <t>Mesa De Planchar (11000400)</t>
  </si>
  <si>
    <t>Mueble Auxiliar De Aseo 181*51*36.8cm (11000401)</t>
  </si>
  <si>
    <t>Poltrona Luna Giratoria Base Zona Multi (11000402)</t>
  </si>
  <si>
    <t>Banco Base Madera Asiento Esp ZM (11000403)</t>
  </si>
  <si>
    <t>Pouf Doppio Diametro 0.5m Zona Multiple (11000404)</t>
  </si>
  <si>
    <t>Silla Multiproposito Zona Multiple (11000405)</t>
  </si>
  <si>
    <t>Banco Carcasa Plastica Zona Multiple (11000406)</t>
  </si>
  <si>
    <t>Banco Base Metálica Tap Zona Multiple (11000407)</t>
  </si>
  <si>
    <t>Sofa Para Sala (11000408)</t>
  </si>
  <si>
    <t>Sillón Para Sala (11000409)</t>
  </si>
  <si>
    <t>Base Cama Sencilla (11000410)</t>
  </si>
  <si>
    <t>Licuadora Especial (11000411)</t>
  </si>
  <si>
    <t>Cafetera Especial (11000412)</t>
  </si>
  <si>
    <t>Mesa Plastica Plegable (11000413)</t>
  </si>
  <si>
    <t>Aire Acondicionado Tipo Casete 36.000Btu (11000414)</t>
  </si>
  <si>
    <t>Aire Acondicionado 36000 Btu (11000415)</t>
  </si>
  <si>
    <t>Silla Tandem 3 Puestos (11000416)</t>
  </si>
  <si>
    <t>Silla Escritorio Malla Brazos Negros (11000417)</t>
  </si>
  <si>
    <t>Butaco Mitra Especiales (11000418)</t>
  </si>
  <si>
    <t>Mesa Para Sala Stand Mercadeo (11000419)</t>
  </si>
  <si>
    <t>Maceta Para Planta (11000420)</t>
  </si>
  <si>
    <t>Silla Restaurante Negra (11000421)</t>
  </si>
  <si>
    <t>Meson En Acero Inoxidable (11000422)</t>
  </si>
  <si>
    <t>Baúl Multiusos (11000423)</t>
  </si>
  <si>
    <t>Archivador Metalico 3 Gavetas (11000424)</t>
  </si>
  <si>
    <t>Cafetera Electrica Ref 1100 (11000425)</t>
  </si>
  <si>
    <t>Calefactor Cerámico De Torre (11000426)</t>
  </si>
  <si>
    <t>Caja Fuerte Mod 4500 Cerradura Mecanica (11000427)</t>
  </si>
  <si>
    <t>Dispensador De Agua Con Botellón 5 Gal (11000428)</t>
  </si>
  <si>
    <t>Extractor De Aire Siemens 16" - 220 V (11000429)</t>
  </si>
  <si>
    <t>Extractor De Aire Siemens 16" - 110 V (11000430)</t>
  </si>
  <si>
    <t>Sanduchera (11000431)</t>
  </si>
  <si>
    <t>Ventilador Industrial De Piso 20 Pulg (11000432)</t>
  </si>
  <si>
    <t>Nevera De 9 - 46 Lt Con Congelador (11000433)</t>
  </si>
  <si>
    <t>Carpa Blanca 4x4 (11000434)</t>
  </si>
  <si>
    <t>Sofa Cuarto De Conductores (11000435)</t>
  </si>
  <si>
    <t>Lavadora Secadora (11000436)</t>
  </si>
  <si>
    <t>Cafetera Eléctrica Ref 3100 (120 Tintos) (11000437)</t>
  </si>
  <si>
    <t>Ventilador Industrial De Pared De 26" (11000438)</t>
  </si>
  <si>
    <t>Carpa Blanca 6x4 (11000439)</t>
  </si>
  <si>
    <t>Silla Giratoria Paño Gris Oscuro Senc (11000440)</t>
  </si>
  <si>
    <t>Archivador Metálico 4 Gavetas Gris Nopal (11000441)</t>
  </si>
  <si>
    <t>Butaco Mov Concha Azul75 Tuberia Redonda (11000442)</t>
  </si>
  <si>
    <t>Modulo 2X1 Manija Metalica (Archivador) (11000443)</t>
  </si>
  <si>
    <t>Silla Interlocutora Negra (11000444)</t>
  </si>
  <si>
    <t>Gabinete Met 0.90Formica Crem A Pared (11000445)</t>
  </si>
  <si>
    <t>Carpa Lona Blan Agua Est Met Elect Neg (11000446)</t>
  </si>
  <si>
    <t>Horno Microondas Kmw07n 700w - 7ft3 (11000447)</t>
  </si>
  <si>
    <t>Puff Tipo Pera Cuero Sintetico (11000448)</t>
  </si>
  <si>
    <t>Aire Acondicionado 9.000 Btu 220 V (11000449)</t>
  </si>
  <si>
    <t>Cafetera Eléctrica 30 - 60 Tintos (11000450)</t>
  </si>
  <si>
    <t>Aire Acondicionado 24.000 Btu 220v (11000451)</t>
  </si>
  <si>
    <t>Aire Acondicionado 18.000 Btu 220 V (11000452)</t>
  </si>
  <si>
    <t>Camilla Najo Soporte Cuello Extr Arnes (11000453)</t>
  </si>
  <si>
    <t>Aire Acondicionado 12.000 Btu 220v (11000454)</t>
  </si>
  <si>
    <t>Ventilador Ind De Pared 30" Ref 30wl20 (11000455)</t>
  </si>
  <si>
    <t>Cama Sencilla Madera 1.0 X 1.90 Mt (11000456)</t>
  </si>
  <si>
    <t>Ventilador De Pie (11000457)</t>
  </si>
  <si>
    <t>Ventilador De Techo (11000458)</t>
  </si>
  <si>
    <t>Mesa Comedor En T 1.80x0.90 (11000459)</t>
  </si>
  <si>
    <t>Cajon Metalico Gris 60x70x1.00 Cal 22 (11000460)</t>
  </si>
  <si>
    <t>Mesa Sala Juntas Con Estructura (11000461)</t>
  </si>
  <si>
    <t>Tablero En Fórmica (Medidas Varias) (11000462)</t>
  </si>
  <si>
    <t>Antorcha Para Mig Equipo Cebora (11000468)</t>
  </si>
  <si>
    <t>Gabinete De Piso 1.80 X 0.58 (11000470)</t>
  </si>
  <si>
    <t>Silla Giratoria Reparada (11000471)</t>
  </si>
  <si>
    <t>Rifa Din De Año Asador Carbon (20000020)</t>
  </si>
  <si>
    <t>Campañas GH (ZCDH)</t>
  </si>
  <si>
    <t>1005</t>
  </si>
  <si>
    <t>Rifa Fin De Año Grill Asador (20000021)</t>
  </si>
  <si>
    <t>Dulces Evento Desarrollo Humano Gravado (20000022)</t>
  </si>
  <si>
    <t>Album Y Sticker Coordinadora En Familia (20000023)</t>
  </si>
  <si>
    <t>Aym Estufa A Gas (20000024)</t>
  </si>
  <si>
    <t>Campaña Ayuda Mutua (CAMAYM)</t>
  </si>
  <si>
    <t>1301</t>
  </si>
  <si>
    <t>Aym Lavadora (20000025)</t>
  </si>
  <si>
    <t>Aym Nevera (20000026)</t>
  </si>
  <si>
    <t>Aym Ventilador De Torre (20000027)</t>
  </si>
  <si>
    <t>Aym Freidora Electrica (20000028)</t>
  </si>
  <si>
    <t>Horno Tostador Campaña ayuda mutua (20000029)</t>
  </si>
  <si>
    <t>Aym Horno Microondas (20000030)</t>
  </si>
  <si>
    <t>Olla Multifuncional Aym (20000031)</t>
  </si>
  <si>
    <t>Enfriador De Aire Aym (20000032)</t>
  </si>
  <si>
    <t>Aym Colchon (20000033)</t>
  </si>
  <si>
    <t>Aym Televisor (20000034)</t>
  </si>
  <si>
    <t>Aym Portatil (20000035)</t>
  </si>
  <si>
    <t>Set Accesorios Bbq Regalos Empleados (20000036)</t>
  </si>
  <si>
    <t>Sartén Eléctrico Regalos Empleados (20000037)</t>
  </si>
  <si>
    <t>Plancha Grill Regalos Empleados (20000038)</t>
  </si>
  <si>
    <t>Prensa Francesa (20000039)</t>
  </si>
  <si>
    <t>Libreta Generica (20000040)</t>
  </si>
  <si>
    <t>Obsequio Rifas Fin De Año Set Cubiertos (20000041)</t>
  </si>
  <si>
    <t>Obsequio Rifas Fin De Año Olla Arrocera (20000042)</t>
  </si>
  <si>
    <t>Obsequio Rif Fin De Año Sarten Electrico (20000043)</t>
  </si>
  <si>
    <t>Obsequio Rifas Fin De Año Licuadora (20000044)</t>
  </si>
  <si>
    <t>Obsequio Rifas Fin De Año Feidora (20000045)</t>
  </si>
  <si>
    <t>Obsequio Rifas Fin De Año Cafetera (20000046)</t>
  </si>
  <si>
    <t>Obsequio Rifas Fin De Año Vajilla (20000047)</t>
  </si>
  <si>
    <t>Obsequio Rifas Fin De Año Olla Presion (20000048)</t>
  </si>
  <si>
    <t>Obsequio Rifas Fin De Año Picatodo (20000049)</t>
  </si>
  <si>
    <t>Obsequio Rifas Fin De Año Ventilador (20000050)</t>
  </si>
  <si>
    <t>Obsequio Rifas Fin De Año Set Sarten (20000051)</t>
  </si>
  <si>
    <t>Arbol Navideño (20000052)</t>
  </si>
  <si>
    <t>Obsequio Aliado Goo (20000053)</t>
  </si>
  <si>
    <t>Juego De Cuchillos (20000054)</t>
  </si>
  <si>
    <t>Obsequio Especial Dh (20000055)</t>
  </si>
  <si>
    <t>Reloj Smart - Estrategia Vive + (20000056)</t>
  </si>
  <si>
    <t>Papel Para Pesebre (20000057)</t>
  </si>
  <si>
    <t>Pesebre (20000058)</t>
  </si>
  <si>
    <t>Guirnalda Navideña (20000059)</t>
  </si>
  <si>
    <t>Inflador De Bomba Manual (20000060)</t>
  </si>
  <si>
    <t>Fomi Por Pliego (20000061)</t>
  </si>
  <si>
    <t>Cinta Doble Faz 3/4" (20000062)</t>
  </si>
  <si>
    <t>Decoracion Navideña (20000063)</t>
  </si>
  <si>
    <t>Papel Decorativo (20000064)</t>
  </si>
  <si>
    <t>Velas Navideñas (20000065)</t>
  </si>
  <si>
    <t>Pelicula Fifa Play 5 (20000066)</t>
  </si>
  <si>
    <t>Soda Hatsu (20000067)</t>
  </si>
  <si>
    <t>Cafetera Electrica (20000068)</t>
  </si>
  <si>
    <t>Bicicleta Electrica (20000069)</t>
  </si>
  <si>
    <t>Bono Producto (20000070)</t>
  </si>
  <si>
    <t>Botella Licor Dh (20000071)</t>
  </si>
  <si>
    <t>Guacal Licor (20000072)</t>
  </si>
  <si>
    <t>Medalla De Reconocimiento (20000073)</t>
  </si>
  <si>
    <t>Batidora Electrica (20000074)</t>
  </si>
  <si>
    <t>Ventilador Obsequio Empleado (20000075)</t>
  </si>
  <si>
    <t>Celular Excento (20000076)</t>
  </si>
  <si>
    <t>Olla Presión Corona L22400 (20000077)</t>
  </si>
  <si>
    <t>Freidora Electrica (20000078)</t>
  </si>
  <si>
    <t>Copa De Vino (20000079)</t>
  </si>
  <si>
    <t>Juego De Ollas Especial (20000080)</t>
  </si>
  <si>
    <t>Bono Valor (20000081)</t>
  </si>
  <si>
    <t>Virola Con Casillo Billar (20000082)</t>
  </si>
  <si>
    <t>Obsequio Jubilado (20000083)</t>
  </si>
  <si>
    <t>Audifonos Manos Libres (20000084)</t>
  </si>
  <si>
    <t>Adhesivo Removible Gancho Campañas DH (20000085)</t>
  </si>
  <si>
    <t>Gorro Fiesta Personalizado (20000086)</t>
  </si>
  <si>
    <t>Caja Dulces Coordinadora En Familia (20000087)</t>
  </si>
  <si>
    <t>Adhesivo Piso Campañas DH (20000088)</t>
  </si>
  <si>
    <t>Obsequio Dia Del Conductor (20000089)</t>
  </si>
  <si>
    <t>Tarjeta Fechas Especiales (20000090)</t>
  </si>
  <si>
    <t>Obsequio Dia Del Vendedor (20000091)</t>
  </si>
  <si>
    <t>Caja Obsequio Coordinadora En Familia (20000092)</t>
  </si>
  <si>
    <t>Dulces Evento Desarrollo Humano (20000093)</t>
  </si>
  <si>
    <t>Sanduchera (20000094)</t>
  </si>
  <si>
    <t>Juego De Cubiertos (20000095)</t>
  </si>
  <si>
    <t>Picatodo (20000096)</t>
  </si>
  <si>
    <t>Horno Tostador Rifas empleado (20000097)</t>
  </si>
  <si>
    <t>Asador De Carbon Bbq (20000098)</t>
  </si>
  <si>
    <t>Vajilla X 4 Puestos Regalos Empleados (20000099)</t>
  </si>
  <si>
    <t>Globo Coordinadora En Familia (20000100)</t>
  </si>
  <si>
    <t>Raquetas Tennis De Mesa (20000101)</t>
  </si>
  <si>
    <t>Disco Mesa Hockey (20000102)</t>
  </si>
  <si>
    <t>Juego De Mesa (20000103)</t>
  </si>
  <si>
    <t>Licuadora (20000104)</t>
  </si>
  <si>
    <t>Plancha A Vapor (20000105)</t>
  </si>
  <si>
    <t>Pelota Tennis De Mesa (20000106)</t>
  </si>
  <si>
    <t>Juego De Baterias (20000107)</t>
  </si>
  <si>
    <t>Set Disparadores Mesa Hockey (20000108)</t>
  </si>
  <si>
    <t>Tiza Mesa Billar Caja X 12 (20000109)</t>
  </si>
  <si>
    <t>Obsequio Evento Empresa Fin Año (20000110)</t>
  </si>
  <si>
    <t>Bicicleta Todo Terreno (20000111)</t>
  </si>
  <si>
    <t>Bolsa Para Regalo (20000112)</t>
  </si>
  <si>
    <t>Malla Tennis De Mesa (20000113)</t>
  </si>
  <si>
    <t>Papel Regalo (20000114)</t>
  </si>
  <si>
    <t>Fomi Esc.4/Cartas 2 Mm.(43.2x5) (20000115)</t>
  </si>
  <si>
    <t>Cinta Doble Face 1/2 (20000116)</t>
  </si>
  <si>
    <t>Trofeo De Reconocimiento (20000117)</t>
  </si>
  <si>
    <t>Cinta Dorativa (20000118)</t>
  </si>
  <si>
    <t>Exprimidor De Jugo (20000119)</t>
  </si>
  <si>
    <t>Cobija (20000120)</t>
  </si>
  <si>
    <t>Obsequio Brigadista (20000121)</t>
  </si>
  <si>
    <t>Tractomula A Escala (20000122)</t>
  </si>
  <si>
    <t>Instalaciones Navideñas (20000123)</t>
  </si>
  <si>
    <t>Plegable Inducción Coorporativa (20000124)</t>
  </si>
  <si>
    <t>Boton Publicitario (20000125)</t>
  </si>
  <si>
    <t>Torta (20000126)</t>
  </si>
  <si>
    <t>Pelicula Fifa 2023 Xbox (20000127)</t>
  </si>
  <si>
    <t>Obsequio Día De La Madre (20000128)</t>
  </si>
  <si>
    <t>Helado (20000129)</t>
  </si>
  <si>
    <t>Olla De Arroz (20000130)</t>
  </si>
  <si>
    <t>Cinta Metrica (20000131)</t>
  </si>
  <si>
    <t>Obsequio Fin De Año Waflera (20000140)</t>
  </si>
  <si>
    <t>Cafeteras 12 Tazas (20000141)</t>
  </si>
  <si>
    <t>Gastos Campañas DH (GASCAM)</t>
  </si>
  <si>
    <t>Chaqueta Institucional Con Logo 38 (30000160)</t>
  </si>
  <si>
    <t>Chaqueta Institucional Con Logo L (30000161)</t>
  </si>
  <si>
    <t>Guantes Lavador G80 Verde 13" (30000162)</t>
  </si>
  <si>
    <t>Guantes Mecanico Pintor Elec 11980075 (30000163)</t>
  </si>
  <si>
    <t>Guantes Mecanico Ajuste Piez G40 Poliur (30000164)</t>
  </si>
  <si>
    <t>Pantalon Lino Prenses 30 (30000165)</t>
  </si>
  <si>
    <t>Guantes G40 Latex Latonero (30000166)</t>
  </si>
  <si>
    <t>Mascarilla Desechable Con Respiradero (30000167)</t>
  </si>
  <si>
    <t>Gorro En Jean Soldador 8611056 (30000168)</t>
  </si>
  <si>
    <t>Camiseta Brigadista 40 (30000169)</t>
  </si>
  <si>
    <t>Camiseta Brigadista 38 (30000170)</t>
  </si>
  <si>
    <t>Camiseta Brigadista 42 (30000171)</t>
  </si>
  <si>
    <t>Camiseta Brigadista 36 (30000172)</t>
  </si>
  <si>
    <t>Camiseta Brigadista 44 (30000173)</t>
  </si>
  <si>
    <t>Felpa Filtro Careta Pintor P100 - 2091 (30000174)</t>
  </si>
  <si>
    <t>Retenedor Filtro Careta Pintura 502 (30000175)</t>
  </si>
  <si>
    <t>Camiseta Descargador Azul 36 (30000176)</t>
  </si>
  <si>
    <t>Chaqueta Institucional Con Logo 44 (30000177)</t>
  </si>
  <si>
    <t>Camiseta Descargador Azul 30 (30000178)</t>
  </si>
  <si>
    <t>Camiseta Descargador Azul 40 (30000179)</t>
  </si>
  <si>
    <t>Guantes Quirurgico Nitrilo Caja X 100 (30000180)</t>
  </si>
  <si>
    <t>Riñonera (30000183)</t>
  </si>
  <si>
    <t>Chaqueta Institucional Con Logo 36 (30000184)</t>
  </si>
  <si>
    <t>Chaqueta Institucional Con Logo Xl (30000185)</t>
  </si>
  <si>
    <t>Pantalon Lino Prenses 40 (30000186)</t>
  </si>
  <si>
    <t>Chaqueta Institucional Con Logo Xxl (30000187)</t>
  </si>
  <si>
    <t>Chaqueta Institucional Con Logo M (30000188)</t>
  </si>
  <si>
    <t>Chaqueta Institucional Con Logo 40 (30000189)</t>
  </si>
  <si>
    <t>Chaqueta Institucional Con Logo S (30000190)</t>
  </si>
  <si>
    <t>Chaqueta Institucional Con Logo 42 (30000191)</t>
  </si>
  <si>
    <t>Extintor Tipo K 20 Libras Recargado (30000192)</t>
  </si>
  <si>
    <t>Morral Mensajero Sin Logo (30000193)</t>
  </si>
  <si>
    <t>Cartucho Gases Careta 6001 (30000194)</t>
  </si>
  <si>
    <t>Guantes Nitrilo redador11925010 Talla 10 (30000195)</t>
  </si>
  <si>
    <t>Gafas Blancas Transparentes (30000196)</t>
  </si>
  <si>
    <t>Extintor Solkaflan 10 Libras Recargado (30000197)</t>
  </si>
  <si>
    <t>Camiseta Descargador Azul 28 (30000199)</t>
  </si>
  <si>
    <t>Camiseta Descargador Azul 50 (30000200)</t>
  </si>
  <si>
    <t>Camiseta Descargador Azul 44 (30000201)</t>
  </si>
  <si>
    <t>Camiseta Descargador Azul 48 (30000202)</t>
  </si>
  <si>
    <t>Camiseta Descargador Azul 34 (30000203)</t>
  </si>
  <si>
    <t>Camiseta Descargador Azul 38 (30000204)</t>
  </si>
  <si>
    <t>Camiseta Descargador Azul 42 (30000205)</t>
  </si>
  <si>
    <t>Camiseta Descargador Azul 46 (30000206)</t>
  </si>
  <si>
    <t>Camiseta Descargador Azul 32 (30000207)</t>
  </si>
  <si>
    <t>Gafas Oscuras Seguridad (30000208)</t>
  </si>
  <si>
    <t>Camiseta Blanca Base Recibo 40 (30000209)</t>
  </si>
  <si>
    <t>Camiseta Blanca Base Recibo 42 (30000210)</t>
  </si>
  <si>
    <t>Camiseta Blanca Base Recibo 38 (30000211)</t>
  </si>
  <si>
    <t>Camiseta Blanca Base Recibo M (30000212)</t>
  </si>
  <si>
    <t>Camiseta Blanca Base Recibo 50 (30000213)</t>
  </si>
  <si>
    <t>Camiseta Blanca Base Recibo L (30000214)</t>
  </si>
  <si>
    <t>Impermeable Moto Courrier L (30000215)</t>
  </si>
  <si>
    <t>Impermeable Moto Courrier 42 (30000216)</t>
  </si>
  <si>
    <t>Impermeable Moto Courrier 44 (30000217)</t>
  </si>
  <si>
    <t>Impermeable Moto Courrier Xl (30000218)</t>
  </si>
  <si>
    <t>Impermeable Moto Courrier 38 (30000220)</t>
  </si>
  <si>
    <t>Impermeable Moto Courrier 40 (30000221)</t>
  </si>
  <si>
    <t>Impermeable Moto Courrier M (30000222)</t>
  </si>
  <si>
    <t>Extintor Satelite Tipo Robot 150 Libras (30000223)</t>
  </si>
  <si>
    <t>Camiseta Distribucion Ml 34 (30000224)</t>
  </si>
  <si>
    <t>Camiseta Distribucion Ml 40 (30000225)</t>
  </si>
  <si>
    <t>Camiseta Distribucion Ml 46 (30000226)</t>
  </si>
  <si>
    <t>Camiseta Distribucion Ml 48 (30000227)</t>
  </si>
  <si>
    <t>Camiseta Distribucion Ml 36 (30000228)</t>
  </si>
  <si>
    <t>Boquillas Alcoholismo (30000229)</t>
  </si>
  <si>
    <t>Camiseta Distribucion Ml 44 (30000230)</t>
  </si>
  <si>
    <t>Camiseta Blanca Base Recibo 34 (30000231)</t>
  </si>
  <si>
    <t>Camiseta Blanca Base Recibo 30 (30000232)</t>
  </si>
  <si>
    <t>Camiseta Blanca Base Recibo 32 (30000233)</t>
  </si>
  <si>
    <t>Camiseta Blanca Base Recibo Xl (30000234)</t>
  </si>
  <si>
    <t>Camiseta Blanca Base Recibo 36 (30000235)</t>
  </si>
  <si>
    <t>Camiseta Blanca Base Recibo 44 (30000236)</t>
  </si>
  <si>
    <t>Camiseta Blanca Base Recibo 6 (30000237)</t>
  </si>
  <si>
    <t>Camiseta Blanca Base Recibo S (30000238)</t>
  </si>
  <si>
    <t>Camiseta Blanca Base Recibo 46 (30000239)</t>
  </si>
  <si>
    <t>Blusa Antifluido Mc Combinada Aseo 20 (30000240)</t>
  </si>
  <si>
    <t>Blusa Antifluido Mc Combinada Aseo 10 (30000241)</t>
  </si>
  <si>
    <t>Blusa Antifluido Mc Combinada Aseo 42 (30000242)</t>
  </si>
  <si>
    <t>Blusa Antifluido Mc Combinada Aseo 8 (30000243)</t>
  </si>
  <si>
    <t>Blusa Antifluido Mc Combinada Aseo 44 (30000244)</t>
  </si>
  <si>
    <t>Blusa Antifluido Mc Combinada Aseo Xl (30000245)</t>
  </si>
  <si>
    <t>Blusa Antifluido Mc Combinada Aseo 38 (30000246)</t>
  </si>
  <si>
    <t>Blusa Antifluido Mc Combinada Aseo 16 (30000247)</t>
  </si>
  <si>
    <t>Blusa Antifluido Mc Combinada Aseo M (30000248)</t>
  </si>
  <si>
    <t>Camiseta Distribucion Ml 30 (30000249)</t>
  </si>
  <si>
    <t>Contenedor Kit Derrame 55 Gln Negro (30000250)</t>
  </si>
  <si>
    <t>Camiseta Distribucion Ml 50 (30000251)</t>
  </si>
  <si>
    <t>Camiseta Distribucion Ml 38 (30000252)</t>
  </si>
  <si>
    <t>Camiseta Distribucion Ml 42 (30000253)</t>
  </si>
  <si>
    <t>Camiseta Distribucion Ml 32 (30000254)</t>
  </si>
  <si>
    <t>Camiseta Distribucion Ml 28 (30000255)</t>
  </si>
  <si>
    <t>Pantalon Antifluidos Dama Aseo 34 (30000256)</t>
  </si>
  <si>
    <t>Pantalon Antifluidos Dama Aseo 20 (30000257)</t>
  </si>
  <si>
    <t>Pantalon Antifluidos Dama Aseo 8 (30000258)</t>
  </si>
  <si>
    <t>Pantalon Lino Prenses 38 (30000259)</t>
  </si>
  <si>
    <t>Camisa Dacron Vigilan Dama Ml Logo 30 (30000260)</t>
  </si>
  <si>
    <t>Pantalon Antifluidos Dama Aseo 12 (30000261)</t>
  </si>
  <si>
    <t>Pantalon Antifluidos Dama Aseo 14 (30000262)</t>
  </si>
  <si>
    <t>Blusa Antifluido Mc Combinada Aseo 36 (30000263)</t>
  </si>
  <si>
    <t>Blusa Antifluido Mc Combinada Aseo 40 (30000264)</t>
  </si>
  <si>
    <t>Blusa Antifluido Mc Combinada Aseo S (30000265)</t>
  </si>
  <si>
    <t>Blusa Antifluido Mc Combinada Aseo L (30000266)</t>
  </si>
  <si>
    <t>Blusa Antifluido Mc Combinada Aseo 14 (30000267)</t>
  </si>
  <si>
    <t>Blusa Antifluido Mc Combinada Aseo 12 (30000268)</t>
  </si>
  <si>
    <t>Blusa Antifluido Mc Combinada Aseo 18 (30000269)</t>
  </si>
  <si>
    <t>Blusa Antifluido Mc Combinada Aseo 22 (30000270)</t>
  </si>
  <si>
    <t>Camisa Dacron Vigilan Dama Ml Logo 10 (30000271)</t>
  </si>
  <si>
    <t>Pantalon Dryl Gris 46 (30000272)</t>
  </si>
  <si>
    <t>Pantalon Dryl Gris 32 (30000273)</t>
  </si>
  <si>
    <t>Pantalon Dryl Gris 30 (30000274)</t>
  </si>
  <si>
    <t>Pantalon Dryl Gris 36 (30000275)</t>
  </si>
  <si>
    <t>Buso Reforzado Ml Nocturno Con Logo 46 (30000276)</t>
  </si>
  <si>
    <t>Buso Reforzado Ml Nocturno Con Logo 40 (30000277)</t>
  </si>
  <si>
    <t>Buso Reforzado Ml Nocturno Con Logo 44 (30000278)</t>
  </si>
  <si>
    <t>Buso Reforzado Ml Nocturno Con Logo 36 (30000279)</t>
  </si>
  <si>
    <t>Camisa Dacron Vigilan Dama Ml Logo 18 (30000280)</t>
  </si>
  <si>
    <t>Buso Reforzado Ml Nocturno Con Logo 38 (30000281)</t>
  </si>
  <si>
    <t>Buso Reforzado Ml Nocturno Con Logo 42 (30000282)</t>
  </si>
  <si>
    <t>Pantalon Antifluidos Dama Aseo 16 (30000283)</t>
  </si>
  <si>
    <t>Pantalon Antifluidos Dama Aseo 22 (30000284)</t>
  </si>
  <si>
    <t>Pantalon Antifluidos Dama Aseo 6 (30000285)</t>
  </si>
  <si>
    <t>Pantalon Antifluidos Dama Aseo 10 (30000286)</t>
  </si>
  <si>
    <t>Pantalon Antifluidos Dama Aseo 18 (30000287)</t>
  </si>
  <si>
    <t>Camisa Dacron Vigilan Dama Ml Logo 16 (30000290)</t>
  </si>
  <si>
    <t>Pantalon Dryl Gris 38 (30000295)</t>
  </si>
  <si>
    <t>Pantalon Dryl Gris 42 (30000296)</t>
  </si>
  <si>
    <t>Pantalon Dryl Gris 44 (30000297)</t>
  </si>
  <si>
    <t>Pantalon Dryl Gris 34 (30000298)</t>
  </si>
  <si>
    <t>Pantalon Dryl Gris 28 (30000299)</t>
  </si>
  <si>
    <t>Pantalon Dryl Gris 26 (30000300)</t>
  </si>
  <si>
    <t>Camisa Dacron Vigilan Dama Ml Logo 20 (30000301)</t>
  </si>
  <si>
    <t>Pantalon Dryl Gris 48 (30000302)</t>
  </si>
  <si>
    <t>Pantalon Dryl Gris 40 (30000303)</t>
  </si>
  <si>
    <t>Impermeable Poncho Con Capucha 44 (30000304)</t>
  </si>
  <si>
    <t>Impermeable Poncho Con Capucha 38 (30000305)</t>
  </si>
  <si>
    <t>Impermeable Poncho Con Capucha L (30000306)</t>
  </si>
  <si>
    <t>Impermeable Poncho Con Capucha 42 (30000307)</t>
  </si>
  <si>
    <t>Corbata Vigilante (30000308)</t>
  </si>
  <si>
    <t>Careta Para Soldar Arseg 9011 (30000309)</t>
  </si>
  <si>
    <t>Cachucha Dril Azul Oscuro Con Logo (30000310)</t>
  </si>
  <si>
    <t>Camisa Dacron Vigilan Dama Ml Logo 14 (30000311)</t>
  </si>
  <si>
    <t>Delantal Carnaza (30000312)</t>
  </si>
  <si>
    <t>Adaptador De Anclaje Arseg 2170052 (30000320)</t>
  </si>
  <si>
    <t>Camisa Dacron Vigilan Dama Ml Logo 8 (30000321)</t>
  </si>
  <si>
    <t>Chaqueta Vigilancia Larga Bogota 44 (30000322)</t>
  </si>
  <si>
    <t>Chaqueta Vigilancia Larga Bogota M (30000323)</t>
  </si>
  <si>
    <t>Chaqueta Vigilancia Larga Bogota Xl (30000324)</t>
  </si>
  <si>
    <t>Chaqueta Vigilancia Larga Bogota S (30000325)</t>
  </si>
  <si>
    <t>Chaqueta Vigilancia Larga Bogota 36 (30000326)</t>
  </si>
  <si>
    <t>Chaqueta Vigilancia Larga Bogota 42 (30000327)</t>
  </si>
  <si>
    <t>Chaqueta Vigilancia Larga Bogota 40 (30000328)</t>
  </si>
  <si>
    <t>Chaqueta Vigilancia Larga Bogota 38 (30000329)</t>
  </si>
  <si>
    <t>Chaqueta Vigilancia Larga Bogota L (30000330)</t>
  </si>
  <si>
    <t>Casco Protector Con Barbuquejo (30000331)</t>
  </si>
  <si>
    <t>Camisa Dacron Vigilan Dama Ml Logo 12 (30000332)</t>
  </si>
  <si>
    <t>Impermeable Poncho Con Capucha M (30000333)</t>
  </si>
  <si>
    <t>Impermeable Poncho Con Capucha Xl (30000334)</t>
  </si>
  <si>
    <t>Impermeable Poncho Con Capucha 40 (30000335)</t>
  </si>
  <si>
    <t>Camiseta Descargador Gris 32 (30000336)</t>
  </si>
  <si>
    <t>Camiseta Descargador Gris L (30000337)</t>
  </si>
  <si>
    <t>Camiseta Descargador Gris 42 (30000338)</t>
  </si>
  <si>
    <t>Pantalon Dryl Gris Dama U (30000339)</t>
  </si>
  <si>
    <t>Pantalon Dryl Gris Dama 28 (30000340)</t>
  </si>
  <si>
    <t>Pantalon Dryl Gris Dama 16 (30000341)</t>
  </si>
  <si>
    <t>Pantalon Vigilante Dama 16 (30000342)</t>
  </si>
  <si>
    <t>Pantalon Dryl Gris Dama 10 (30000343)</t>
  </si>
  <si>
    <t>Pantalon Dryl Gris Dama 20 (30000344)</t>
  </si>
  <si>
    <t>Pantalon Dryl Gris Dama 8 (30000345)</t>
  </si>
  <si>
    <t>Pantalon Dryl Gris Dama 6 (30000346)</t>
  </si>
  <si>
    <t>Pantalon Dryl Gris Dama 36 (30000347)</t>
  </si>
  <si>
    <t>Pantalon Dryl Gris Dama 12 (30000348)</t>
  </si>
  <si>
    <t>Pantalon Dryl Gris Dama 14 (30000349)</t>
  </si>
  <si>
    <t>Media Mascara Ref 6200m Pintor (30000350)</t>
  </si>
  <si>
    <t>Morral Tipo Courrier Con Logo (30000351)</t>
  </si>
  <si>
    <t>Pantalon Vigilante Dama 12 (30000352)</t>
  </si>
  <si>
    <t>Pantalon Vigilante 32 (30000353)</t>
  </si>
  <si>
    <t>Camiseta Descargador Gris 30 (30000354)</t>
  </si>
  <si>
    <t>Camiseta Descargador Gris 50 (30000355)</t>
  </si>
  <si>
    <t>Camiseta Descargador Gris 36 (30000356)</t>
  </si>
  <si>
    <t>Camiseta Descargador Gris Xl (30000357)</t>
  </si>
  <si>
    <t>Camiseta Descargador Gris 40 (30000358)</t>
  </si>
  <si>
    <t>Camiseta Descargador Gris 28 (30000359)</t>
  </si>
  <si>
    <t>Camiseta Descargador Gris 44 (30000360)</t>
  </si>
  <si>
    <t>Camiseta Descargador Gris M (30000361)</t>
  </si>
  <si>
    <t>Camiseta Descargador Gris 46 (30000362)</t>
  </si>
  <si>
    <t>Pantalon Vigilante Dama 18 (30000363)</t>
  </si>
  <si>
    <t>Camiseta Descargador Gris 34 (30000364)</t>
  </si>
  <si>
    <t>Camiseta Descargador Gris 48 (30000365)</t>
  </si>
  <si>
    <t>Camiseta Descargador Gris S (30000366)</t>
  </si>
  <si>
    <t>Camiseta Descargador Gris 38 (30000367)</t>
  </si>
  <si>
    <t>Vidrio Redondo Claro Autogena (30000368)</t>
  </si>
  <si>
    <t>Arnes Cuerpo Entero 90594 (30000369)</t>
  </si>
  <si>
    <t>Extintor Tipo Robot 100-150 Libras Recar (30000370)</t>
  </si>
  <si>
    <t>Protector Auditivo Tipo Copa (30000371)</t>
  </si>
  <si>
    <t>Pantalon Lino Prenses 34 (30000372)</t>
  </si>
  <si>
    <t>Pantalon Vigilante Dama 14 (30000373)</t>
  </si>
  <si>
    <t>Gorra Tipo Zafari (30000374)</t>
  </si>
  <si>
    <t>Casco Para Motociclista (30000375)</t>
  </si>
  <si>
    <t>Pantalon Vigilante 28 (30000376)</t>
  </si>
  <si>
    <t>Pantalon Vigilante 36 (30000377)</t>
  </si>
  <si>
    <t>Pantalon Vigilante 38 (30000378)</t>
  </si>
  <si>
    <t>Pantalon Vigilante 34 (30000379)</t>
  </si>
  <si>
    <t>Pantalon Vigilante 42 (30000380)</t>
  </si>
  <si>
    <t>Pantalon Vigilante 30 (30000381)</t>
  </si>
  <si>
    <t>Pantalon Vigilante 40 (30000382)</t>
  </si>
  <si>
    <t>Pantalon Vigilante 44 (30000383)</t>
  </si>
  <si>
    <t>Camisa Para Mensajero Mc 36 (30000384)</t>
  </si>
  <si>
    <t>Camisa Para Mensajero Mc 44 (30000385)</t>
  </si>
  <si>
    <t>Careta Esmeril (30000386)</t>
  </si>
  <si>
    <t>Soporte Base Extintor 10 Lbs (30000387)</t>
  </si>
  <si>
    <t>Barbuquejo Para Cascos 9021-4 (30000388)</t>
  </si>
  <si>
    <t>Forro Para Chaleco Blindado (30000389)</t>
  </si>
  <si>
    <t>Implementos Botiquin Base (30000390)</t>
  </si>
  <si>
    <t>Buso Con Logo 44 (30000391)</t>
  </si>
  <si>
    <t>Buso Con Logo 36 (30000392)</t>
  </si>
  <si>
    <t>Pantalon Vigilante Dama 10 (30000393)</t>
  </si>
  <si>
    <t>Buso Con Logo 38 (30000394)</t>
  </si>
  <si>
    <t>Buso Con Logo 42 (30000395)</t>
  </si>
  <si>
    <t>Buso Con Logo 48 (30000396)</t>
  </si>
  <si>
    <t>Buso Con Logo 46 (30000397)</t>
  </si>
  <si>
    <t>Buso Con Logo 40 (30000398)</t>
  </si>
  <si>
    <t>Vidrio Redondo Oscuro Autogena (30000399)</t>
  </si>
  <si>
    <t>Batola Dryl Azul Ml 48 (30000400)</t>
  </si>
  <si>
    <t>Batola Dryl Azul Ml 42 (30000401)</t>
  </si>
  <si>
    <t>Fumigadora Manual 2 Litros (30000402)</t>
  </si>
  <si>
    <t>Apellidos Bordados (30000403)</t>
  </si>
  <si>
    <t>Estuche Protector Unidad Tim Urovo (30000404)</t>
  </si>
  <si>
    <t>Matamoscas Electrico Led Uv (30000405)</t>
  </si>
  <si>
    <t>Guante Lavador Verde G40 13" Nitrilo T9 (30000406)</t>
  </si>
  <si>
    <t>Guante Lavador Verde G40 13" Nitrilo T10 (30000407)</t>
  </si>
  <si>
    <t>Guante Lavador Verde G40 13" Nitrilo T8 (30000408)</t>
  </si>
  <si>
    <t>Pito Brigada (30000409)</t>
  </si>
  <si>
    <t>Camisa Para Mensajero Mc 34 (30000411)</t>
  </si>
  <si>
    <t>Camisa Para Mensajero Mc 38 (30000412)</t>
  </si>
  <si>
    <t>Camisa Para Mensajero Mc 42 (30000413)</t>
  </si>
  <si>
    <t>Pantalon Vigilante Dama 20 (30000414)</t>
  </si>
  <si>
    <t>Camisa Para Mensajero Mc 40 (30000415)</t>
  </si>
  <si>
    <t>Maletín Aliados Goo Nuevo (30000418)</t>
  </si>
  <si>
    <t>Mascara De Respiracion Rcp (30000419)</t>
  </si>
  <si>
    <t>Mocasin Dama Negro 34 (30000424)</t>
  </si>
  <si>
    <t>Batola Dryl Azul Ml 44 (30000425)</t>
  </si>
  <si>
    <t>Batola Dryl Azul Ml 34 (30000426)</t>
  </si>
  <si>
    <t>Batola Dryl Azul Ml 38 (30000427)</t>
  </si>
  <si>
    <t>Batola Dryl Azul Ml 46 (30000428)</t>
  </si>
  <si>
    <t>Batola Dryl Azul Ml 36 (30000429)</t>
  </si>
  <si>
    <t>Batola Dryl Azul Ml 40 (30000430)</t>
  </si>
  <si>
    <t>Batola Dryl Azul Ml 52 (30000431)</t>
  </si>
  <si>
    <t>Baul Para Distribución En Motocicleta (30000432)</t>
  </si>
  <si>
    <t>Cartucho Gases Careta 6003 (30000433)</t>
  </si>
  <si>
    <t>Mocasin Dama Negro 39 (30000434)</t>
  </si>
  <si>
    <t>Extintor Bc 5 Libras Recargado (30000435)</t>
  </si>
  <si>
    <t>Extintor Bc 20 Libras Recargado (30000436)</t>
  </si>
  <si>
    <t>Extintor Co2 15 Libras Nuevo (30000437)</t>
  </si>
  <si>
    <t>Extintor Co2 20 Libras Recargado (30000438)</t>
  </si>
  <si>
    <t>Mocasin Dama Negro 41 (30000445)</t>
  </si>
  <si>
    <t>Filtro Careta 2096 Ptar (30000452)</t>
  </si>
  <si>
    <t>Mangas Protectoras De Sol (30000453)</t>
  </si>
  <si>
    <t>Extintor C02 15 Libras Recargado (30000454)</t>
  </si>
  <si>
    <t>Mocasin Dama Negro 37 (30000455)</t>
  </si>
  <si>
    <t>Extintor C02 50 Lb Tipo Carretilla Recar (30000456)</t>
  </si>
  <si>
    <t>Tula Transporte De Paquetes 20-00 (30000463)</t>
  </si>
  <si>
    <t>Mocasin Dama Negro 35 (30000465)</t>
  </si>
  <si>
    <t>Mocasin Dama Negro 38 (30000476)</t>
  </si>
  <si>
    <t>Chaqueta Observador De Ruta Sin Logo Xl (30000480)</t>
  </si>
  <si>
    <t>Chaqueta Observador De Ruta Sin Logo M (30000481)</t>
  </si>
  <si>
    <t>Chaqueta Observador De Ruta Sin Logo 40 (30000482)</t>
  </si>
  <si>
    <t>Chaqueta Observador Ruta Sin Logo L (30000483)</t>
  </si>
  <si>
    <t>Chaqueta Observador Ruta Sin Logo S (30000484)</t>
  </si>
  <si>
    <t>Pantalon Lino Prenses 36 (30000485)</t>
  </si>
  <si>
    <t>Mocasin Dama Negro 40 (30000486)</t>
  </si>
  <si>
    <t>Chaqueta Observador Ruta Sin Logo 38 (30000487)</t>
  </si>
  <si>
    <t>Chaqueta Observador Ruta Sin Logo 36 (30000488)</t>
  </si>
  <si>
    <t>Chaqueta Observador Ruta Sin Logo 44 (30000489)</t>
  </si>
  <si>
    <t>Chaqueta Observador Ruta Sin Logo 42 (30000490)</t>
  </si>
  <si>
    <t>Careta De Soldar Para Casco (30000491)</t>
  </si>
  <si>
    <t>Soporte Base Extintor 15 Lb (30000496)</t>
  </si>
  <si>
    <t>Chaleco Blindado (30000497)</t>
  </si>
  <si>
    <t>Arrestador De Alturas (30000498)</t>
  </si>
  <si>
    <t>Certificación Equipos Protección Alturas (30000499)</t>
  </si>
  <si>
    <t>Jean Con Reflectivos (30000500)</t>
  </si>
  <si>
    <t>Eslinga Dielectrica (30000501)</t>
  </si>
  <si>
    <t>Extintor Bc 10 Libras Recargado (30000502)</t>
  </si>
  <si>
    <t>Mantenimiento Fonendoscopio (30000503)</t>
  </si>
  <si>
    <t>Estuche Protector Combo Tim Zebra Tc27 (30000504)</t>
  </si>
  <si>
    <t>Extintor Avd Iones De Litio 6 Lts Nuevo (30000505)</t>
  </si>
  <si>
    <t>Mocasin Dama Negro 36 (30000506)</t>
  </si>
  <si>
    <t>Adaptador De Careta Para Cascos (30000507)</t>
  </si>
  <si>
    <t>Protector Auditivo Tipo Copa Para Casco (30000508)</t>
  </si>
  <si>
    <t>Careta Esmeril Para Casco (30000509)</t>
  </si>
  <si>
    <t>Arnes Para Trabajos Con Soldadura (30000510)</t>
  </si>
  <si>
    <t>Eslinga Para Trabajos Con Soldadura (30000511)</t>
  </si>
  <si>
    <t>Estuche Protector Unidad Tim Tc 21 (30000512)</t>
  </si>
  <si>
    <t>Acetato Transparente Careta Esmeril (30000513)</t>
  </si>
  <si>
    <t>Extintor Polvo Seco Certif 10 Lb Recar (30000514)</t>
  </si>
  <si>
    <t>Inmovilizador Cervical Ajustable (30000515)</t>
  </si>
  <si>
    <t>Blusa Oxfor Dama Mc Con Logo 10 (30000516)</t>
  </si>
  <si>
    <t>Bata Quirúrgica (30000517)</t>
  </si>
  <si>
    <t>Adaptador De Cuerda Ref Ac202d/0 (30000518)</t>
  </si>
  <si>
    <t>Mosqueton 45 Kn Ref 2000112 (30000519)</t>
  </si>
  <si>
    <t>Cinta De Anclaje Ref 217052 (30000520)</t>
  </si>
  <si>
    <t>Inmovilizador Cervical Para Camilla (30000521)</t>
  </si>
  <si>
    <t>Tafilete Rep Casco 6 Pun Apoyo 11880005 (30000522)</t>
  </si>
  <si>
    <t>Prueba Hidrostatica Extintor (30000523)</t>
  </si>
  <si>
    <t>Araña Para Casco (30000525)</t>
  </si>
  <si>
    <t>Mocasin Dama Negro 33 (30000526)</t>
  </si>
  <si>
    <t>Chaqueta Vigilancia Con Logo 42 (30000527)</t>
  </si>
  <si>
    <t>Chaqueta Vigilancia Con Logo Xxl (30000528)</t>
  </si>
  <si>
    <t>Chaqueta Vigilancia Con Logo 40 (30000529)</t>
  </si>
  <si>
    <t>Impermeable Moto Bota Latex Sin Logo 44 (30000530)</t>
  </si>
  <si>
    <t>Impermeable Moto Bota Latex Sin Logo 38 (30000531)</t>
  </si>
  <si>
    <t>Impermeable Moto Bota Latex Sin Logo U (30000532)</t>
  </si>
  <si>
    <t>Impermeable Moto Bota Latex Sin Logo 40 (30000533)</t>
  </si>
  <si>
    <t>Impermeable Moto Bota Latex Sin Logo 42 (30000534)</t>
  </si>
  <si>
    <t>Mosquetón Con Cumpuerta 11/16 In (30000535)</t>
  </si>
  <si>
    <t>Blusa Oxfor Dama Mc Con Logo 36 (30000536)</t>
  </si>
  <si>
    <t>Eslinga Arseg 1228287 (30000537)</t>
  </si>
  <si>
    <t>Fonendoscopio (30000538)</t>
  </si>
  <si>
    <t>Correa Estuche Unidad Tim Tc25 (30000539)</t>
  </si>
  <si>
    <t>Correa Estuche Unidad Tim Eda51 (30000540)</t>
  </si>
  <si>
    <t>Anclaje Estuche Unidad Tim Tc 21 (30000541)</t>
  </si>
  <si>
    <t>Correa Estuche Unidad Tim Tc 21 (30000542)</t>
  </si>
  <si>
    <t>Batola En Indigo Cerrajero 54 (30000543)</t>
  </si>
  <si>
    <t>Batola En Indigo Cerrajero 34 (30000544)</t>
  </si>
  <si>
    <t>Batola En Indigo Cerrajero 42 (30000545)</t>
  </si>
  <si>
    <t>Blusa Oxfor Dama Mc Con Logo 22 (30000546)</t>
  </si>
  <si>
    <t>Batola En Indigo Cerrajero 44 (30000547)</t>
  </si>
  <si>
    <t>Batola En Indigo Cerrajero 38 (30000548)</t>
  </si>
  <si>
    <t>Chaqueta Vigilancia Con Logo 36 (30000549)</t>
  </si>
  <si>
    <t>Chaqueta Vigilancia Con Logo Xl (30000550)</t>
  </si>
  <si>
    <t>Chaqueta Vigilancia Con Logo 44 (30000551)</t>
  </si>
  <si>
    <t>Chaqueta Vigilancia Con Logo 38 (30000552)</t>
  </si>
  <si>
    <t>Chaqueta Vigilancia Con Logo S (30000553)</t>
  </si>
  <si>
    <t>Chaqueta Vigilancia Con Logo M (30000554)</t>
  </si>
  <si>
    <t>Chaqueta Vigilancia Con Logo L (30000555)</t>
  </si>
  <si>
    <t>Chaqueta Vigilancia Con Logo 50 (30000556)</t>
  </si>
  <si>
    <t>Blusa Oxfor Dama Mc Con Logo 26 (30000557)</t>
  </si>
  <si>
    <t>Chaqueta Vigilancia Con Logo 48 (30000558)</t>
  </si>
  <si>
    <t>Batola Dril Gris 3/4 Ml 38 (30000559)</t>
  </si>
  <si>
    <t>Batola Dril Gris 3/4 Ml 36 (30000560)</t>
  </si>
  <si>
    <t>Batola Dacron Azul 3/4 Mc 54 (30000561)</t>
  </si>
  <si>
    <t>Batola Dacron Azul 3/4 Mc 34 (30000562)</t>
  </si>
  <si>
    <t>Batola Dacron Azul 3/4 Mc 36 (30000563)</t>
  </si>
  <si>
    <t>Batola Dacron Azul 3/4 Mc 46 (30000564)</t>
  </si>
  <si>
    <t>Batola Dacron Azul 3/4 Mc 42 (30000565)</t>
  </si>
  <si>
    <t>Batola Dacron Azul 3/4 Mc 38 (30000566)</t>
  </si>
  <si>
    <t>Blusa Oxfor Dama Mc Con Logo 18 (30000567)</t>
  </si>
  <si>
    <t>Batola Dacron Azul 3/4 Mc 52 (30000568)</t>
  </si>
  <si>
    <t>Batola Dacron Azul 3/4 Mc 44 (30000569)</t>
  </si>
  <si>
    <t>Batola Dacron Azul 3/4 Mc 40 (30000570)</t>
  </si>
  <si>
    <t>Batola En Indigo Cerrajero 56 (30000571)</t>
  </si>
  <si>
    <t>Batola En Indigo Cerrajero 52 (30000572)</t>
  </si>
  <si>
    <t>Batola En Indigo Cerrajero 40 (30000573)</t>
  </si>
  <si>
    <t>Batola En Indigo Cerrajero 36 (30000574)</t>
  </si>
  <si>
    <t>Overol Azul Mc 50 (30000575)</t>
  </si>
  <si>
    <t>Overol Azul Mc 32 (30000576)</t>
  </si>
  <si>
    <t>Blusa Oxfor Dama Mc Con Logo 8 (30000577)</t>
  </si>
  <si>
    <t>Eslinga Restric Y Sin Absorbedor Gen (30000578)</t>
  </si>
  <si>
    <t>Batola Dacron Gris 3/4 Mc 42 (30000579)</t>
  </si>
  <si>
    <t>Batola Dacron Gris 3/4 Mc 46 (30000580)</t>
  </si>
  <si>
    <t>Batola Dacron Gris 3/4 Mc 44 (30000581)</t>
  </si>
  <si>
    <t>Batola Dacron Gris 3/4 Mc 40 (30000582)</t>
  </si>
  <si>
    <t>Batola Dacron Gris 3/4 Mc 38 (30000583)</t>
  </si>
  <si>
    <t>Batola Dacron Gris 3/4 Mc 34 (30000584)</t>
  </si>
  <si>
    <t>Batola Dacron Gris 3/4 Mc 36 (30000585)</t>
  </si>
  <si>
    <t>Batola Dril Gris 3/4 Ml 34 (30000586)</t>
  </si>
  <si>
    <t>Batola Dril Gris 3/4 Ml 40 (30000587)</t>
  </si>
  <si>
    <t>Blusa Oxfor Dama Mc Con Logo 16 (30000588)</t>
  </si>
  <si>
    <t>Batola Dril Gris 3/4 Ml 44 (30000589)</t>
  </si>
  <si>
    <t>Batola Dril Gris 3/4 Ml 42 (30000590)</t>
  </si>
  <si>
    <t>Overol Azul Ml 48 (30000591)</t>
  </si>
  <si>
    <t>Overol Azul Ml 36 (30000592)</t>
  </si>
  <si>
    <t>Overol Azul Ml 46 (30000593)</t>
  </si>
  <si>
    <t>Overol Azul Ml 40 (30000594)</t>
  </si>
  <si>
    <t>Overol Azul Mc 46 (30000595)</t>
  </si>
  <si>
    <t>Overol Azul Mc 52 (30000596)</t>
  </si>
  <si>
    <t>Pantalon Lino Prenses 28 (30000597)</t>
  </si>
  <si>
    <t>Blusa Oxfor Dama Mc Con Logo 38 (30000598)</t>
  </si>
  <si>
    <t>Overol Azul Mc 36 (30000599)</t>
  </si>
  <si>
    <t>Overol Azul Mc 44 (30000600)</t>
  </si>
  <si>
    <t>Overol Azul Mc 42 (30000601)</t>
  </si>
  <si>
    <t>Overol Azul Mc 54 (30000602)</t>
  </si>
  <si>
    <t>Overol Azul Mc 34 (30000603)</t>
  </si>
  <si>
    <t>Overol Azul Mc 48 (30000604)</t>
  </si>
  <si>
    <t>Overol Azul Mc 38 (30000605)</t>
  </si>
  <si>
    <t>Overol Azul Mc 40 (30000606)</t>
  </si>
  <si>
    <t>Blusa Oxfor Dama Mc Con Logo 20 (30000607)</t>
  </si>
  <si>
    <t>Chaleco Brigadista Rojo 44 (30000612)</t>
  </si>
  <si>
    <t>Chaleco Brigadista Rojo 36 (30000613)</t>
  </si>
  <si>
    <t>Chaleco Brigadista Rojo 42 (30000614)</t>
  </si>
  <si>
    <t>Chaleco Brigadista Rojo 38 (30000615)</t>
  </si>
  <si>
    <t>Chaleco Brigadista Rojo 40 (30000616)</t>
  </si>
  <si>
    <t>Overol Azul Ml 50 (30000617)</t>
  </si>
  <si>
    <t>Blusa Oxfor Dama Mc Con Logo 6 (30000618)</t>
  </si>
  <si>
    <t>Overol Azul Ml 54 (30000619)</t>
  </si>
  <si>
    <t>Overol Azul Ml 44 (30000620)</t>
  </si>
  <si>
    <t>Overol Azul Ml 38 (30000621)</t>
  </si>
  <si>
    <t>Overol Azul Ml 42 (30000622)</t>
  </si>
  <si>
    <t>Blusa Oxfor Dama Mc Con Logo 14 (30000628)</t>
  </si>
  <si>
    <t>Chaleco Tipo Arnes Verde (30000629)</t>
  </si>
  <si>
    <t>Brazalete Coordinador De Evacuacion (30000630)</t>
  </si>
  <si>
    <t>Brazalete Comite De Emergencias (30000631)</t>
  </si>
  <si>
    <t>Blusa Oxfor Dama Mc Con Logo 12 (30000649)</t>
  </si>
  <si>
    <t>Blue Jeans 30 (30000655)</t>
  </si>
  <si>
    <t>Blue Jeans 34 (30000656)</t>
  </si>
  <si>
    <t>Pantalon Lino Dama Azul 22 (30000659)</t>
  </si>
  <si>
    <t>Pantalon Lino Dama Azul 10 (30000670)</t>
  </si>
  <si>
    <t>Pantalon Conductor 38 (30000671)</t>
  </si>
  <si>
    <t>Pantalon Conductor 34 (30000672)</t>
  </si>
  <si>
    <t>Pantalon Conductor 44 (30000673)</t>
  </si>
  <si>
    <t>Pantalon Conductor 28 (30000674)</t>
  </si>
  <si>
    <t>Pantalon Conductor 42 (30000675)</t>
  </si>
  <si>
    <t>Pantalon Conductor 50 (30000676)</t>
  </si>
  <si>
    <t>Pantalon Conductor 36 (30000677)</t>
  </si>
  <si>
    <t>Blue Jeans 42 (30000678)</t>
  </si>
  <si>
    <t>Blue Jeans 28 (30000679)</t>
  </si>
  <si>
    <t>Pantalon Lino Dama Azul 16 (30000680)</t>
  </si>
  <si>
    <t>Blue Jeans 46 (30000681)</t>
  </si>
  <si>
    <t>Blue Jeans 40 (30000682)</t>
  </si>
  <si>
    <t>Blue Jeans 36 (30000683)</t>
  </si>
  <si>
    <t>Blue Jeans 38 (30000684)</t>
  </si>
  <si>
    <t>Blue Jeans 44 (30000685)</t>
  </si>
  <si>
    <t>Blue Jeans 32 (30000686)</t>
  </si>
  <si>
    <t>Camisa Dacron Vigilancia Mc Con Logo 52 (30000687)</t>
  </si>
  <si>
    <t>Camisa Dacron Vigilancia Mc Con Logo 48 (30000688)</t>
  </si>
  <si>
    <t>Camisa Dacron Vigilancia Mc Con Logo 36 (30000689)</t>
  </si>
  <si>
    <t>Pantalon Lino Dama Azul 6 (30000690)</t>
  </si>
  <si>
    <t>Camisa Dacron Vigilancia Mc Con Logo 42 (30000691)</t>
  </si>
  <si>
    <t>Camisa Dacron Vigilancia Mc Con Logo 38 (30000692)</t>
  </si>
  <si>
    <t>Camisa Dacron Vigilancia Mc Con Logo 50 (30000693)</t>
  </si>
  <si>
    <t>Camisa Dacron Vigilancia Mc Con Logo 40 (30000694)</t>
  </si>
  <si>
    <t>Camisa Dacron Vigilancia Mc Con Logo 34 (30000695)</t>
  </si>
  <si>
    <t>Camisa Dacron Vigilancia Mc Con Logo (30000696)</t>
  </si>
  <si>
    <t>Camisa Dacron Vigilancia Mc Con Logo 44 (30000697)</t>
  </si>
  <si>
    <t>Camisa Dacron Vigilancia Mc Con Logo 46 (30000698)</t>
  </si>
  <si>
    <t>Pantalon Conductor 32 (30000699)</t>
  </si>
  <si>
    <t>Pantalon Conductor 40 (30000700)</t>
  </si>
  <si>
    <t>Pantalon Lino Dama Azul 8 (30000701)</t>
  </si>
  <si>
    <t>Pantalon Conductor 30 (30000702)</t>
  </si>
  <si>
    <t>Camisa Dacron Conductor Con Logo 34 (30000703)</t>
  </si>
  <si>
    <t>Camisa Dacron Conductor Con Logo 42 (30000704)</t>
  </si>
  <si>
    <t>Camisa Dacron Conductor Con Logo 36 (30000705)</t>
  </si>
  <si>
    <t>Camisa Dacron Conductor Con Logo 50 (30000706)</t>
  </si>
  <si>
    <t>Camisa Dacron Conductor Con Logo 46 (30000707)</t>
  </si>
  <si>
    <t>Camisa Dacron Conductor Con Logo 40 (30000708)</t>
  </si>
  <si>
    <t>Camisa Dacron Conductor Con Logo 48 (30000709)</t>
  </si>
  <si>
    <t>Pantalon Lino Prenses 32 (30000710)</t>
  </si>
  <si>
    <t>Pantalon Lino Dama Azul 4 (30000711)</t>
  </si>
  <si>
    <t>Camisa Dril Vigilancia Ml Con Logo 46 (30000712)</t>
  </si>
  <si>
    <t>Camisa Dril Vigilancia Ml Con Logo 44 (30000713)</t>
  </si>
  <si>
    <t>Camisa Dril Vigilancia Ml Con Logo 40 (30000714)</t>
  </si>
  <si>
    <t>Camisa Dril Vigilancia Ml Con Logo 42 (30000715)</t>
  </si>
  <si>
    <t>Camisa Dril Vigilancia Ml Con Logo 36 (30000716)</t>
  </si>
  <si>
    <t>Camisa Dril Vigilancia Ml Con Logo 38 (30000717)</t>
  </si>
  <si>
    <t>Camisa Dril Vigilancia Ml Con Logo 34 (30000718)</t>
  </si>
  <si>
    <t>Chaleco Administrativo Negro 36 (30000719)</t>
  </si>
  <si>
    <t>Pantalon Lino Dama Azul 20 (30000720)</t>
  </si>
  <si>
    <t>Chaleco Administrativo Negro 44 (30000721)</t>
  </si>
  <si>
    <t>Chaleco Administrativo Negro 38 (30000722)</t>
  </si>
  <si>
    <t>Chaleco Administrativo Negro 46 (30000723)</t>
  </si>
  <si>
    <t>Chaleco Administrativo Negro 40 (30000724)</t>
  </si>
  <si>
    <t>Chaleco Administrativo Negro 42 (30000725)</t>
  </si>
  <si>
    <t>Vidrio Careta Claro Rectangular (30000726)</t>
  </si>
  <si>
    <t>Vidrio Careta Oscuro Rectangular N.11 (30000727)</t>
  </si>
  <si>
    <t>Pera Para Tensiometro (30000728)</t>
  </si>
  <si>
    <t>Traje A20 Fibra De Vidrio (30000729)</t>
  </si>
  <si>
    <t>Traje A40 Pintor (30000730)</t>
  </si>
  <si>
    <t>Pantalon Lino Dama Azul 26 (30000731)</t>
  </si>
  <si>
    <t>Reata Para Carga Con Rache 2" (30000732)</t>
  </si>
  <si>
    <t>Camisa Dacron Conductor Con Logo 44 (30000733)</t>
  </si>
  <si>
    <t>Camisa Dacron Conductor Con Logo 38 (30000734)</t>
  </si>
  <si>
    <t>Chaleco Operaciones Verde 38 (30000735)</t>
  </si>
  <si>
    <t>Chaleco Operaciones Verde 44 (30000736)</t>
  </si>
  <si>
    <t>Chaleco Operaciones Verde 36 (30000737)</t>
  </si>
  <si>
    <t>Chaleco Operaciones Gris 44 (30000738)</t>
  </si>
  <si>
    <t>Chaleco Operaciones Gris 38 (30000739)</t>
  </si>
  <si>
    <t>Chaleco Operaciones Gris 36 (30000740)</t>
  </si>
  <si>
    <t>Pantalon Lino Dama Azul 18 (30000741)</t>
  </si>
  <si>
    <t>Chaleco Operaciones Gris 46 (30000742)</t>
  </si>
  <si>
    <t>Chaleco Operaciones Gris 42 (30000743)</t>
  </si>
  <si>
    <t>Chaleco Operaciones Gris 40 (30000744)</t>
  </si>
  <si>
    <t>Chaleco Operaciones Azul Claro 46 (30000745)</t>
  </si>
  <si>
    <t>Chaleco Operaciones Azul Claro 40 (30000746)</t>
  </si>
  <si>
    <t>Chaleco Operaciones Azul Claro 36 (30000747)</t>
  </si>
  <si>
    <t>Chaleco Operaciones Azul Claro 42 (30000748)</t>
  </si>
  <si>
    <t>Chaleco Operaciones Azul Claro 44 (30000749)</t>
  </si>
  <si>
    <t>Chaleco Operaciones Azul Claro 38 (30000750)</t>
  </si>
  <si>
    <t>Pantalon Lino Dama Azul 12 (30000751)</t>
  </si>
  <si>
    <t>Correa Al Hombro Tim Tc20 (30000752)</t>
  </si>
  <si>
    <t>Eslinga Arseg 1228178 (30000753)</t>
  </si>
  <si>
    <t>Arnes Arseg 1170210 (30000754)</t>
  </si>
  <si>
    <t>Extintor Multiproposito 10lb - Ntc 2885 (30000755)</t>
  </si>
  <si>
    <t>Termómetro Dig Sonda De -40 A 70 °c (30000756)</t>
  </si>
  <si>
    <t>Chaleco Operaciones Naranja 42 (30000757)</t>
  </si>
  <si>
    <t>Chaleco Operaciones Naranja 36 (30000758)</t>
  </si>
  <si>
    <t>Chaleco Operaciones Naranja 44 (30000759)</t>
  </si>
  <si>
    <t>Chaleco Operaciones Naranja 38 (30000760)</t>
  </si>
  <si>
    <t>Chaleco Operaciones Naranja 46 (30000761)</t>
  </si>
  <si>
    <t>Pantalon Lino Dama Azul 14 (30000762)</t>
  </si>
  <si>
    <t>Chaleco Operaciones Naranja 40 (30000763)</t>
  </si>
  <si>
    <t>Chaleco Operaciones Verde 42 (30000764)</t>
  </si>
  <si>
    <t>Chaleco Operaciones Verde 40 (30000765)</t>
  </si>
  <si>
    <t>Chaleco Operaciones Verde 46 (30000766)</t>
  </si>
  <si>
    <t>Manta Termica (30000767)</t>
  </si>
  <si>
    <t>Forro Para Extintor (30000768)</t>
  </si>
  <si>
    <t>Gasa Esteril 7.5*7.5 Cm 2 Unid (30000769)</t>
  </si>
  <si>
    <t>Camisa Dacron Vigilancia Ml Logo 40 (30000770)</t>
  </si>
  <si>
    <t>Camisa Dacron Vigilancia Ml Logo 44 (30000771)</t>
  </si>
  <si>
    <t>Guantes Tipo Ingeniero Reforzado (30000772)</t>
  </si>
  <si>
    <t>Camisa Dacron Vigilancia Ml Logo 48 (30000773)</t>
  </si>
  <si>
    <t>Camisa Dacron Vigilancia Ml Logo 52 (30000774)</t>
  </si>
  <si>
    <t>Camisa Dacron Vigilancia Ml Logo 36 (30000775)</t>
  </si>
  <si>
    <t>Camisa Dacron Vigilancia Ml Logo 42 (30000776)</t>
  </si>
  <si>
    <t>Camisa Dacron Vigilancia Ml Logo 46 (30000777)</t>
  </si>
  <si>
    <t>Camisa Dacron Vigilancia Ml Logo 34 (30000778)</t>
  </si>
  <si>
    <t>Camisa Dacron Vigilancia Ml Logo 38 (30000779)</t>
  </si>
  <si>
    <t>Camisa Dacron Vigilancia Ml Logo 50 (30000780)</t>
  </si>
  <si>
    <t>Implementos Botiquin Terminal (30000781)</t>
  </si>
  <si>
    <t>Tapon Auditivo 1515 De Cordon (30000782)</t>
  </si>
  <si>
    <t>Cordon Porta Carnets Abrazadera Metalica (30000783)</t>
  </si>
  <si>
    <t>Gafas Solda Autogen Lentes Correc Visual (30000784)</t>
  </si>
  <si>
    <t>Visor Acetato Careta Electronica (30000785)</t>
  </si>
  <si>
    <t>Arnes Cuerpo Completo En X 1171253 Arseg (30000786)</t>
  </si>
  <si>
    <t>Eslinga Absorvedor Gradu 1228037 Arseg (30000787)</t>
  </si>
  <si>
    <t>Eslinga De Posicionamiento 1231016 Arseg (30000788)</t>
  </si>
  <si>
    <t>Alcohol Antiseptico 70% X1000cc (30000789)</t>
  </si>
  <si>
    <t>Careta Antifluidos (30000790)</t>
  </si>
  <si>
    <t>Chaleco Red De Aliados Coordinadora T40 (30000791)</t>
  </si>
  <si>
    <t>Chaleco Red De Aliados Coordinadora T42 (30000792)</t>
  </si>
  <si>
    <t>Estuche Botiquin Base 21x26 (30000793)</t>
  </si>
  <si>
    <t>Chaleco Red De Aliados Coordinadora T44 (30000794)</t>
  </si>
  <si>
    <t>Traje Antifluidos Covid - 19 T40 (30000795)</t>
  </si>
  <si>
    <t>Traje Antifluidos Covid - 19 T38 (30000796)</t>
  </si>
  <si>
    <t>Traje Antifluidos Covid - 19 T44 (30000797)</t>
  </si>
  <si>
    <t>Traje Antifluidos Covid - 19 T42 (30000798)</t>
  </si>
  <si>
    <t>Extintor Co2 5 Libras Recargado (30000799)</t>
  </si>
  <si>
    <t>Barbuquejo Tres Puntos Reata 5011580 (30000800)</t>
  </si>
  <si>
    <t>Arnes Arseg 1170209 (30000801)</t>
  </si>
  <si>
    <t>Estuche Protector Tim Honeywell Eda51 (30000802)</t>
  </si>
  <si>
    <t>Camisa Oxford A Raya MC 38 (30000803)</t>
  </si>
  <si>
    <t>Gel Frio Calor En Bolsa 12 X 18 (30000804)</t>
  </si>
  <si>
    <t>Forro Impresora Zebra Zd420 (30000805)</t>
  </si>
  <si>
    <t>Bolsa De Agua Caliente O Fria (30000806)</t>
  </si>
  <si>
    <t>Implementos Botiquin Brigadista (30000807)</t>
  </si>
  <si>
    <t>Rollo De Tela Azul Para Camilla (30000808)</t>
  </si>
  <si>
    <t>Venda De Gasa 3" X 5" Yardas (30000809)</t>
  </si>
  <si>
    <t>Solucion Salina 0.9% De 100 Ml (30000810)</t>
  </si>
  <si>
    <t>Felpa Filtro Careta Soldador P100 - 2097 (30000811)</t>
  </si>
  <si>
    <t>Implementos Botiquin Conductor Bogota (30000812)</t>
  </si>
  <si>
    <t>Camisa Oxford A Raya MC 44 (30000813)</t>
  </si>
  <si>
    <t>Estuche Botiquin Terminal 23x28 (30000814)</t>
  </si>
  <si>
    <t>Extintor Co2 10 Libras Nuevo (30000815)</t>
  </si>
  <si>
    <t>Implementos Botiquin Centro Operativo (30000816)</t>
  </si>
  <si>
    <t>Implementos Botiquin Conductor (30000817)</t>
  </si>
  <si>
    <t>Forro Para Camilla Najo (30000818)</t>
  </si>
  <si>
    <t>Extintor Abc 20 Libras Nuevo (30000819)</t>
  </si>
  <si>
    <t>Estuche Protector Unidad Tim Ct 60 (30000820)</t>
  </si>
  <si>
    <t>Correa Estuche Unidad Tim Ct 60 (30000821)</t>
  </si>
  <si>
    <t>Pantalon Lino Prenses 42 (30000822)</t>
  </si>
  <si>
    <t>Camisa Oxford A Raya MC 36 (30000823)</t>
  </si>
  <si>
    <t>Extintor Multi Abc 30 Libras Recargado (30000824)</t>
  </si>
  <si>
    <t>Kit Derrame (30000825)</t>
  </si>
  <si>
    <t>Puntera De Seguridad Visitante (30000826)</t>
  </si>
  <si>
    <t>Rodilleras (30000827)</t>
  </si>
  <si>
    <t>Cuña De Madera Para Filtracion (30000828)</t>
  </si>
  <si>
    <t>Estuche Protector Unidad Tim Tc 25 (30000829)</t>
  </si>
  <si>
    <t>Tula Correspondencia Interna (30000830)</t>
  </si>
  <si>
    <t>Tensiometro Analogo (30000831)</t>
  </si>
  <si>
    <t>Camisa Oxford A Raya MC 40 (30000832)</t>
  </si>
  <si>
    <t>Soporte De Pared Extintor 5 A 30 Lbs (30000833)</t>
  </si>
  <si>
    <t>Extintor Tipo K 20 Libras Nuevo (30000834)</t>
  </si>
  <si>
    <t>Estuche Protector Unidad Tim Tc 56 (30000835)</t>
  </si>
  <si>
    <t>Carnet Brigadista (30000836)</t>
  </si>
  <si>
    <t>Overol Manejador Canino Ml 34 (30000837)</t>
  </si>
  <si>
    <t>Overol Manejador Canino Ml 44 (30000838)</t>
  </si>
  <si>
    <t>Overol Manejador Canino Ml 40 (30000839)</t>
  </si>
  <si>
    <t>Overol Manejador Canino Ml 38 (30000840)</t>
  </si>
  <si>
    <t>Overol Manejador Canino Ml 36 (30000841)</t>
  </si>
  <si>
    <t>Overol Manejador Canino Ml 42 (30000842)</t>
  </si>
  <si>
    <t>Camisa Oxford A Raya MC 42 (30000843)</t>
  </si>
  <si>
    <t>Termometro Digital Botiquin (30000844)</t>
  </si>
  <si>
    <t>Arnes Media Cara L 6200 (30000845)</t>
  </si>
  <si>
    <t>Chaleco Reflectivo Verde Naranja (30000846)</t>
  </si>
  <si>
    <t>Casco Mountain Trabajo Alturas (30000847)</t>
  </si>
  <si>
    <t>Sensor Alcoholimetro 7000-6000-3100 (30000848)</t>
  </si>
  <si>
    <t>Morral Targus Cvr600 Groove PC 15,4" (30000849)</t>
  </si>
  <si>
    <t>Casco Protect Dielectrico Sin Barbuquejo (30000850)</t>
  </si>
  <si>
    <t>Extintor Agua Penetrante Recar 2.5 Gal (30000851)</t>
  </si>
  <si>
    <t>Extintor Abc 5 Libras Recargado (30000852)</t>
  </si>
  <si>
    <t>Camisa Oxford A Raya MC 34 (30000853)</t>
  </si>
  <si>
    <t>Extintor Abc 10 Libras Recargado (30000854)</t>
  </si>
  <si>
    <t>Extintor Abc 20 Libras Recargado (30000855)</t>
  </si>
  <si>
    <t>Extintor Abc 10 Libras Nuevo (30000856)</t>
  </si>
  <si>
    <t>Tapabocas Individual Desechable (30000857)</t>
  </si>
  <si>
    <t>Solucion Yodada 30cc (30000858)</t>
  </si>
  <si>
    <t>Extintor Abc 5 Libras Nuevo (30000859)</t>
  </si>
  <si>
    <t>Soporte Base Extintor 20 Lbs (30000860)</t>
  </si>
  <si>
    <t>Extintor Co2 10 Libras Recargado (30000861)</t>
  </si>
  <si>
    <t>Botas Soldador Rh245 Negra 40 (30000862)</t>
  </si>
  <si>
    <t>Botas Soldador Rh245 Negra 45 (30000863)</t>
  </si>
  <si>
    <t>Botas Soldador Rh245 Negra 42 (30000864)</t>
  </si>
  <si>
    <t>Botas Soldador Rh245 Negra 41 (30000865)</t>
  </si>
  <si>
    <t>Botas Soldador Rh245 Negra 44 (30000866)</t>
  </si>
  <si>
    <t>Botas Soldador Rh245 Negra 43 (30000867)</t>
  </si>
  <si>
    <t>Botas Soldador Rh245 Negra 38 (30000868)</t>
  </si>
  <si>
    <t>Botas Soldador Rh245 Negra 39 (30000869)</t>
  </si>
  <si>
    <t>Botas Soldador Rh245 Negra 37 (30000870)</t>
  </si>
  <si>
    <t>Eslinga Detencion Caida Graduable (30000871)</t>
  </si>
  <si>
    <t>Extintor Solkaflam 10 Libras Nuevo (30000872)</t>
  </si>
  <si>
    <t>Vaso Prueba De Drogas Drugsmart (30000873)</t>
  </si>
  <si>
    <t>Estuche Lona Botiquin Conductor (30000874)</t>
  </si>
  <si>
    <t>Jeringa Desechable (30000875)</t>
  </si>
  <si>
    <t>Baja Lenguas X 20 (30000876)</t>
  </si>
  <si>
    <t>Diclofenalco Gel Al 1% (30000878)</t>
  </si>
  <si>
    <t>Gasa Aseptica Sobre X 5 3"X3" (30000879)</t>
  </si>
  <si>
    <t>Micropore Piel De 1" (30000880)</t>
  </si>
  <si>
    <t>Yodopovidona De 30ml (30000881)</t>
  </si>
  <si>
    <t>Camisa Cuello Corbata Azul Oxford ML 34 (30000882)</t>
  </si>
  <si>
    <t>Suero Oral En Sobre (30000883)</t>
  </si>
  <si>
    <t>Sulfaplata 30g (30000884)</t>
  </si>
  <si>
    <t>Tijera Corta Todo Botiquin (30000886)</t>
  </si>
  <si>
    <t>Venda Triangular 90x90x150 (30000889)</t>
  </si>
  <si>
    <t>Aguja Hipodermica 20 38ml (30000890)</t>
  </si>
  <si>
    <t>Alcohol X 120 Cc Plastico (30000891)</t>
  </si>
  <si>
    <t>Camisa Cuello Corbata Azul Oxford ML 38 (30000892)</t>
  </si>
  <si>
    <t>Extintor Co2 5 Libras Nuevo (30000893)</t>
  </si>
  <si>
    <t>Reata Para Carga Con Rache 1" (30000894)</t>
  </si>
  <si>
    <t>Delantal Industrial Lavador Amarillo (30000895)</t>
  </si>
  <si>
    <t>Estuche Protector Unidad Tc 55 (30000896)</t>
  </si>
  <si>
    <t>Correa Estuche Unidad Tim Ct 55 - 56 (30000897)</t>
  </si>
  <si>
    <t>Anclaje De Seguridad Estuche Tim (30000898)</t>
  </si>
  <si>
    <t>Arnes Sujecion Camilla Najo (30000899)</t>
  </si>
  <si>
    <t>Cabezal Para Careta Soldar (30000900)</t>
  </si>
  <si>
    <t>Chaleco Reflectivo Naranjado Sst (30000901)</t>
  </si>
  <si>
    <t>Extintor Agua Penetrante Nuevo (30000902)</t>
  </si>
  <si>
    <t>Camisa Cuello Corbata Azul Oxford ML 36 (30000903)</t>
  </si>
  <si>
    <t>Agua Destilada 500 Ml (30000904)</t>
  </si>
  <si>
    <t>Algodon Bolsa Pequeña En Motas Blanco (30000905)</t>
  </si>
  <si>
    <t>Aposito Ocular X 20 (30000906)</t>
  </si>
  <si>
    <t>Eslinga Arseg 1228099 (30000908)</t>
  </si>
  <si>
    <t>Inmovilizador Extremidades Carton (30000909)</t>
  </si>
  <si>
    <t>Maletin Con Logo Operaciones Nuevo (30000910)</t>
  </si>
  <si>
    <t>Collar Ajustable Ambu F2034 (30000911)</t>
  </si>
  <si>
    <t>Mochila Multiuso (30000912)</t>
  </si>
  <si>
    <t>Camisa Cuello Corbata Azul Oxford ML 42 (30000913)</t>
  </si>
  <si>
    <t>Chaqueta Conductor Patio Local M (30000914)</t>
  </si>
  <si>
    <t>Chaqueta Conductor Patio Local S (30000915)</t>
  </si>
  <si>
    <t>Chaqueta Conductor Patio Local 40 (30000916)</t>
  </si>
  <si>
    <t>Chaqueta Conductor Patio Local XXL (30000917)</t>
  </si>
  <si>
    <t>Chaqueta Conductor Patio Local L (30000918)</t>
  </si>
  <si>
    <t>Chaqueta Conductor Patio Local 36 (30000919)</t>
  </si>
  <si>
    <t>Chaqueta Conductor Patio Local 38 (30000920)</t>
  </si>
  <si>
    <t>Chaqueta Conductor Patio Local 44 (30000921)</t>
  </si>
  <si>
    <t>Chaqueta Conductor Patio Local 42 (30000922)</t>
  </si>
  <si>
    <t>Chaqueta Conductor Patio Local Xl (30000923)</t>
  </si>
  <si>
    <t>Oximetro De Pulso (30000924)</t>
  </si>
  <si>
    <t>Camisa Cuello Corbata Azul Oxford ML 40 (30000925)</t>
  </si>
  <si>
    <t>Maletin Con Logo Quimicos (30000926)</t>
  </si>
  <si>
    <t>Eslinga Absorvefor Doble En Y Arseg (30000927)</t>
  </si>
  <si>
    <t>Brazalete Verti Transparente Carnet (30000928)</t>
  </si>
  <si>
    <t>Porta Carnet Vertical Azul Dotacion (30000929)</t>
  </si>
  <si>
    <t>Yoyo Retractil Azul (30000930)</t>
  </si>
  <si>
    <t>Camiseta Distribucion Ml Mater 12 (30000960)</t>
  </si>
  <si>
    <t>Pantalon Dryl Gris Materno 14 (30000961)</t>
  </si>
  <si>
    <t>Estuche Protector Impresor Tim (30000962)</t>
  </si>
  <si>
    <t>Adhesivo Deflector Aire Pequeño (50000171)</t>
  </si>
  <si>
    <t>Llavero Para Vehículos (50000172)</t>
  </si>
  <si>
    <t>Calcomania Como Conduzco #767 (50000173)</t>
  </si>
  <si>
    <t>Tornillo Goloso 10x 3/4 (50000174)</t>
  </si>
  <si>
    <t>Calcomania Placa Techo Cabina (50000175)</t>
  </si>
  <si>
    <t>Angulo Hierro 3/8 X 3" X 6 Mts (50000176)</t>
  </si>
  <si>
    <t>Adhesivo Para Furgon Nkr - Npr (50000177)</t>
  </si>
  <si>
    <t>Adhesivo N 200 (50000178)</t>
  </si>
  <si>
    <t>Canal En U Varios X 6 Metros (50000180)</t>
  </si>
  <si>
    <t>Adhesivo Para Contenedores (50000181)</t>
  </si>
  <si>
    <t>Platina Hierro 1/4 X 3" X 6 Mts (50000182)</t>
  </si>
  <si>
    <t>Platina Hierro 1/4 X 1 1/2 X 6mts (50000183)</t>
  </si>
  <si>
    <t>Adhesivo Para Camion Hi - FRR (50000184)</t>
  </si>
  <si>
    <t>Adhesivo Furgon Para Nhr (50000185)</t>
  </si>
  <si>
    <t>Adhesivo "Peligro Carga Larga (50000186)</t>
  </si>
  <si>
    <t>Adhesivo Para Furgon Hino (50000190)</t>
  </si>
  <si>
    <t>Perfil Estructural Cuadrado 30x30x2 5 mm (50000192)</t>
  </si>
  <si>
    <t>Tubo Redondo Negro C 0 128 2 1/2x6mts (50000193)</t>
  </si>
  <si>
    <t>Lamina Negra Calibre 18 (50000194)</t>
  </si>
  <si>
    <t>Barra Aluminio Stdar Ajustable FE8066-3 (50000195)</t>
  </si>
  <si>
    <t>Riel Horizontal Serie E 10 FEET 43001 (50000196)</t>
  </si>
  <si>
    <t>Calcomania "Nkr" En Frontal 98/2006 (50000197)</t>
  </si>
  <si>
    <t>Adhesivo Deflector Aire Grande (50000198)</t>
  </si>
  <si>
    <t>Lamina Steeliner Exterior Lateral Mts (50000199)</t>
  </si>
  <si>
    <t>Lamina Steeliner Exterior Frente Mts (50000200)</t>
  </si>
  <si>
    <t>Duplicado Llave Candado Vehiculo (50000201)</t>
  </si>
  <si>
    <t>Tuerca 3/4 Artillera 3/4" (50000202)</t>
  </si>
  <si>
    <t>Tuerca Alta Rosca Fina 7/8" (50000203)</t>
  </si>
  <si>
    <t>Racor 3/4 X 7/8 (50000205)</t>
  </si>
  <si>
    <t>Sellante Gasoila Para Tuberia (50000206)</t>
  </si>
  <si>
    <t>Platina Hierro 1/8 X 1 1/4 X 6mts (50000207)</t>
  </si>
  <si>
    <t>Angulo Hierro De 1/4 X 1 1/2 X 6 Mts (50000208)</t>
  </si>
  <si>
    <t>Angulo Hierro 1/4 X 3" X 6mts (50000209)</t>
  </si>
  <si>
    <t>Tornillo G8 Ro 3/8" X 2 1/2" (50000210)</t>
  </si>
  <si>
    <t>Tornillo G8 Ro 3/8" X 3 T A (50000211)</t>
  </si>
  <si>
    <t>Tornillo R O Galvaniz 5/16 X 1.1/2 T Y A (50000212)</t>
  </si>
  <si>
    <t>Tornillo G5 Ro 1/2 X 4 1/2" (50000213)</t>
  </si>
  <si>
    <t>Wasa De 3/8 (50000214)</t>
  </si>
  <si>
    <t>Wasa De 5/8 (50000215)</t>
  </si>
  <si>
    <t>Tuerca G5 Ro 3/8 (50000216)</t>
  </si>
  <si>
    <t>Tornillo Avellanado Piso R0 5/16 X 2" (50000217)</t>
  </si>
  <si>
    <t>Numero Movil (50000218)</t>
  </si>
  <si>
    <t>Adhesivo Furgon Jac Grande (50000219)</t>
  </si>
  <si>
    <t>Adhesivo Furgon Jac Pequeño (50000220)</t>
  </si>
  <si>
    <t>Adhesivo MT 300 (50000221)</t>
  </si>
  <si>
    <t>Arandela 1/4" Galvanizada (50000222)</t>
  </si>
  <si>
    <t>Arandela 3/8" Galvanizada (50000223)</t>
  </si>
  <si>
    <t>Tuerca Seguridad R O 1/2" (50000224)</t>
  </si>
  <si>
    <t>Tuerca Seguridad R O 5/8" (50000225)</t>
  </si>
  <si>
    <t>Plastigate (50000226)</t>
  </si>
  <si>
    <t>Viga En I De 6" X 6 Mts (50000227)</t>
  </si>
  <si>
    <t>Varilla Calibrada 3/4 X 3 Mt X 19mm (50000228)</t>
  </si>
  <si>
    <t>Tubo Negro Red 4" X 3 Mm X 6 (50000229)</t>
  </si>
  <si>
    <t>Tuerca Seguridad R O 1/4" (50000230)</t>
  </si>
  <si>
    <t>Tuerca Seguridad R O 3/4" (50000231)</t>
  </si>
  <si>
    <t>Pomos Lana Para Brillar 5701-7" 3 (50000232)</t>
  </si>
  <si>
    <t>Arandela 3/4" Galvanizada (50000233)</t>
  </si>
  <si>
    <t>Platina Hierro De 3/8 X 5" X 6 Mt (50000234)</t>
  </si>
  <si>
    <t>Tubo Negro Redondo 1.1/2X1 9Mm Calibre14 (50000235)</t>
  </si>
  <si>
    <t>Reata 2" Polipropileno Metros Montacarga (50000236)</t>
  </si>
  <si>
    <t>Tornillo Galva 6mm X 25mm Tuerca Y Arand (50000237)</t>
  </si>
  <si>
    <t>Tuerca G5 Ro 5/8 (50000238)</t>
  </si>
  <si>
    <t>Tornillo G8 Ro1/2 X 2" Tuerca Y Arandela (50000239)</t>
  </si>
  <si>
    <t>Tornillo G8 Ro 1/2X 2 1/2 Tuerca Y Arand (50000240)</t>
  </si>
  <si>
    <t>Tornillo G8 Ro 1/2 X 3" Tuerca Y Arand (50000241)</t>
  </si>
  <si>
    <t>Tornillo G8 Ro De 5/16 X 2" T A (50000242)</t>
  </si>
  <si>
    <t>Tornillo G8 Ro De 1/4 X 1" (50000243)</t>
  </si>
  <si>
    <t>Tornillo G8 Rf 3/8 X 1" (50000244)</t>
  </si>
  <si>
    <t>Tornillo G8 Rf 1/2 X 2" (50000245)</t>
  </si>
  <si>
    <t>Tuerca G5 Ro De 5/16 (50000246)</t>
  </si>
  <si>
    <t>Tuerca G5 Ro 1/4 (50000247)</t>
  </si>
  <si>
    <t>Tuerca G5 Rf 3/8" (50000248)</t>
  </si>
  <si>
    <t>Tuerca Rf 1/2" Seguridad Galvanizada (50000249)</t>
  </si>
  <si>
    <t>Tornillo 10 X 3/4" Lamina (50000250)</t>
  </si>
  <si>
    <t>Arandela 3/16" Galvanizada (50000251)</t>
  </si>
  <si>
    <t>Arandela 1/2" Galvanizada (50000252)</t>
  </si>
  <si>
    <t>Arandela 5/16" Galvanizada (50000253)</t>
  </si>
  <si>
    <t>Tornillo G8 Ro 1/4 X 3 1/2 (50000255)</t>
  </si>
  <si>
    <t>Tornillo G8 Ro 5/16 X 3 1/2 (50000256)</t>
  </si>
  <si>
    <t>Tuerca Seguridad R O 3/8" (50000257)</t>
  </si>
  <si>
    <t>Pila Grande Linterna 1050 (50000258)</t>
  </si>
  <si>
    <t>Perfiles Varios Furgon Fabricados (50000259)</t>
  </si>
  <si>
    <t>Platina Hierro 1/8 X 3" X 6mts (50000260)</t>
  </si>
  <si>
    <t>Pin Chaveta 1/4 X 2" (50000261)</t>
  </si>
  <si>
    <t>Pin Chaveta 1/4 X 4" (50000262)</t>
  </si>
  <si>
    <t>Tubo Cuadrado 1" C-20 X 6mts (50000263)</t>
  </si>
  <si>
    <t>Pin Chaveta Trailer 1/4 X 3 1/2 (50000264)</t>
  </si>
  <si>
    <t>Tornillo G5 Ro 5/16 X 1 1/2 (50000265)</t>
  </si>
  <si>
    <t>Tuerca G5 Ro 5/16 Hexagonal (50000266)</t>
  </si>
  <si>
    <t>Arandela 5/8" Galvanizada (50000267)</t>
  </si>
  <si>
    <t>Tornillo G5 Ro 5/16 X 1" (50000268)</t>
  </si>
  <si>
    <t>Tuerca Seguridad R O 5/16" (50000270)</t>
  </si>
  <si>
    <t>Varilla G40 1/2 X 6 Mts Redonda 1/2x6mt (50000271)</t>
  </si>
  <si>
    <t>Calcomania Coordinadora Puerta Lateral (50000272)</t>
  </si>
  <si>
    <t>Platina Hierro 3/16 X 2 X 6 M 3/16x2x6mt (50000273)</t>
  </si>
  <si>
    <t>Tornillo G8 Ro 9/16 X 4 1/2 9/16x4 1/2 (50000274)</t>
  </si>
  <si>
    <t>Tornillo G5 Ro 1/2 X 4" 1/2x4" (50000275)</t>
  </si>
  <si>
    <t>Malla De Carga 120x180cm (50000276)</t>
  </si>
  <si>
    <t>Lamina Super T Formaleta 18 Mm 1.22x2.44 (50000277)</t>
  </si>
  <si>
    <t>Tornillo G8 12 Mm X 40 Mmm Con Tuerca Y (50000278)</t>
  </si>
  <si>
    <t>Limpiador De Conductos Aire Acondicionad (50000279)</t>
  </si>
  <si>
    <t>Conector Plastico Varios (50000280)</t>
  </si>
  <si>
    <t>Tornillo Cat 1/2 X 2 Tuerca Se (50000281)</t>
  </si>
  <si>
    <t>Tornillo G8 Rf 3/4 X 2" (50000282)</t>
  </si>
  <si>
    <t>Tornillo G8 Ro 5/8X 3" Tuerca Y Arandela (50000283)</t>
  </si>
  <si>
    <t>Tornillo G8 Rf 5/8 X 3 1/2 (50000284)</t>
  </si>
  <si>
    <t>Tornillo G8 Rf 5/8 X 4" (50000285)</t>
  </si>
  <si>
    <t>Tornillo G8 Rf 5/8 X 4 1/2 (50000286)</t>
  </si>
  <si>
    <t>Tornillo G8 Ro 1/2 X6" Tuerca Y Arandela (50000287)</t>
  </si>
  <si>
    <t>Tornillo G8 Ro 3/4 X2" Tuerca Y Arandela (50000288)</t>
  </si>
  <si>
    <t>Tornillo G8 Ro 3/4 X 2 1/2 Tca Y Arandel (50000289)</t>
  </si>
  <si>
    <t>Tornillo G8 Ro 5/8 X4" Tuerca Y Arandela (50000290)</t>
  </si>
  <si>
    <t>Tornillo G8 Ro 5/8 X 1 1/2 (50000291)</t>
  </si>
  <si>
    <t>Tornillo G8 Ro 5/8 X 2 1/2 Tca Y Arandel (50000292)</t>
  </si>
  <si>
    <t>Tornillo G8 Ro 5/8 X 3 1/2 Tca Y Arandel (50000293)</t>
  </si>
  <si>
    <t>Tornillo G8 Ro 5/8 X6" Tuerca Y Arandela (50000294)</t>
  </si>
  <si>
    <t>Tornillo G8 Ro 1/2 X7" Tuerca Y Arandela (50000295)</t>
  </si>
  <si>
    <t>Wasa De 5/16 (50000296)</t>
  </si>
  <si>
    <t>Tuerca Rf De 5/8 (50000297)</t>
  </si>
  <si>
    <t>Tornillo G8 Rf De 5/8 X 3 (50000298)</t>
  </si>
  <si>
    <t>Tuerca Rf De 1/2 (50000299)</t>
  </si>
  <si>
    <t>Tornillo G8 Rf De 1/2 X 3 (50000300)</t>
  </si>
  <si>
    <t>Tuerca Rf De 7/16 (50000301)</t>
  </si>
  <si>
    <t>Tornillo G8 Rf De 7/16 X 3 (50000302)</t>
  </si>
  <si>
    <t>Arandela 5/8 Industrial (50000303)</t>
  </si>
  <si>
    <t>Tornillo G8 Ro 5/8 X 9 (50000304)</t>
  </si>
  <si>
    <t>Tornillo G8 Ro 7/16 X 1' T A (50000305)</t>
  </si>
  <si>
    <t>Repuestos Varios (50000306)</t>
  </si>
  <si>
    <t>Tornillo Hexag 8X30 Mm Galvan Completo (50000307)</t>
  </si>
  <si>
    <t>Arandela 1" Galvanizada (50000308)</t>
  </si>
  <si>
    <t>Tornillo G8 Ro 3/4 X 6 Tuerca Y Arandela (50000309)</t>
  </si>
  <si>
    <t>Tornillo G5 Ro De 1/4 X 1 1/2 (50000312)</t>
  </si>
  <si>
    <t>Tornillo G5 Ro De 1/4 X 2 1/2 (50000313)</t>
  </si>
  <si>
    <t>Tornillo G5 Ro De 1/4 X 2 (50000314)</t>
  </si>
  <si>
    <t>Tornillo G5 Ro De 1/4 X 3 (50000315)</t>
  </si>
  <si>
    <t>Tornillo G5 Ro De 3/8 X 1 (50000316)</t>
  </si>
  <si>
    <t>Tornillo G5 Ro De 3/8 X 1 1/2 (50000317)</t>
  </si>
  <si>
    <t>Tornillo G5 Ro De 3/8 X 2 (50000318)</t>
  </si>
  <si>
    <t>Tonillo G5 Ro De 3/8 X 3 1/2 (50000319)</t>
  </si>
  <si>
    <t>Tornillo G5 Ro De 3/4 X 3 (50000320)</t>
  </si>
  <si>
    <t>Wasa De 3/4 (50000321)</t>
  </si>
  <si>
    <t>Tornillo G5 Ro 1/2 X 1 1/2" (50000322)</t>
  </si>
  <si>
    <t>Tuerca G5 Ro 1/2 (50000323)</t>
  </si>
  <si>
    <t>Tuerca G5 Ro 3/4 (50000324)</t>
  </si>
  <si>
    <t>Tornillo G5 Ro De 3/8 X 2 1/2 (50000325)</t>
  </si>
  <si>
    <t>Wasa De 1/4 (50000326)</t>
  </si>
  <si>
    <t>Tornillo G8 Ro 7/16 X 1" 1/2 (50000327)</t>
  </si>
  <si>
    <t>Resorte Puerta Cortina Metálica 330x47x5 (50000328)</t>
  </si>
  <si>
    <t>Bisagra Capsula 3/8 3-Cuerpos 3/8" (50000329)</t>
  </si>
  <si>
    <t>Bisagra Capsula 1"- 3 Cuer (50000330)</t>
  </si>
  <si>
    <t>Bisagra Capsula 1/2 -3 Cue (50000331)</t>
  </si>
  <si>
    <t>Breakeway 3/4" Ul (50000332)</t>
  </si>
  <si>
    <t>Tornillo G8 Ro 9/16 X 4" (50000333)</t>
  </si>
  <si>
    <t>Numeracion Parqueo Muelle (50000334)</t>
  </si>
  <si>
    <t>Resortes Conicos Varios (50000335)</t>
  </si>
  <si>
    <t>Cinta Para Marcion Dimo (50000336)</t>
  </si>
  <si>
    <t>Tornillo G8 Ro 1/2 X 5" (50000337)</t>
  </si>
  <si>
    <t>Varilla Calibrada 19 Mm X 6mts (50000338)</t>
  </si>
  <si>
    <t>Canal Canal En U A36 3"X36x4.3x4.1lb/Pie (50000339)</t>
  </si>
  <si>
    <t>Racor En T 504 3/8" (50000340)</t>
  </si>
  <si>
    <t>Terminal Macho 7641 (50000341)</t>
  </si>
  <si>
    <t>Tornillo Varios Consumo Vehiculos (50000342)</t>
  </si>
  <si>
    <t>Cable Vehiculo N-8 En Metros (50000343)</t>
  </si>
  <si>
    <t>Cable Vehiculo #12 No12 (50000344)</t>
  </si>
  <si>
    <t>Pin Chaveta 3/16 X 3" (50000345)</t>
  </si>
  <si>
    <t>Adhesivo Permiso Especial Pico Y Placa A (50000346)</t>
  </si>
  <si>
    <t>Bombillo N-57 12 Vol. (50000347)</t>
  </si>
  <si>
    <t>Tornillo Ro 3/4 X 4" Tuerca Y Arandela (50000348)</t>
  </si>
  <si>
    <t>Tornillo Ro 3/4 X 3 1/2 Tuerca Y Arandel (50000349)</t>
  </si>
  <si>
    <t>Lamina Negra 1/4" Hr 4 X 8 (50000350)</t>
  </si>
  <si>
    <t>Balinera Bomba Agua 6205 2rs (50000352)</t>
  </si>
  <si>
    <t>Malla Malla Zaranda Prot. Radiador 14x4 (50000353)</t>
  </si>
  <si>
    <t>Laminas Y Hierros Varios Vehículos (50000354)</t>
  </si>
  <si>
    <t>Perfil En U De 3/8 X 12 X 12 Fabricado (50000355)</t>
  </si>
  <si>
    <t>Lamina Lamina Negra 3/16 De 1.20 X 2.40 (50000356)</t>
  </si>
  <si>
    <t>Viga En I De 3/16x3"X2 1/2x6m (50000357)</t>
  </si>
  <si>
    <t>Riel S Riel Superior Furgon Trailer 3/16 (50000358)</t>
  </si>
  <si>
    <t>Lamina Galvanizada Cal-22 1.22x2.44 (50000359)</t>
  </si>
  <si>
    <t>Inserto 3/8 Consumo (50000361)</t>
  </si>
  <si>
    <t>Inserto 1/2 Consumo (50000362)</t>
  </si>
  <si>
    <t>Resortes Varios Vehiculo (50000363)</t>
  </si>
  <si>
    <t>Balinera Sello Metalico 6202 Zz (50000364)</t>
  </si>
  <si>
    <t>Varilla Calibrada 13 Mm X 6mts (50000365)</t>
  </si>
  <si>
    <t>L Lamina Negra Calibre 14 De 1.22 X 2.60 (50000366)</t>
  </si>
  <si>
    <t>Lamina Galvanizada C-16 X 120 (50000369)</t>
  </si>
  <si>
    <t>Platin Platina Hierro 1/8 X 1.1/2 X 6mts (50000372)</t>
  </si>
  <si>
    <t>Cinta Autofundente 18mm X 9.1 (50000373)</t>
  </si>
  <si>
    <t>Lamina Neg Lamina Negra 9.00mm 1.20x2.40 (50000374)</t>
  </si>
  <si>
    <t>Tubo Negr Tubo Negro Red 1.1/2" 2.5mm 6m (50000375)</t>
  </si>
  <si>
    <t>Racor Recto 1/4 X 1/8 B-66 (50000376)</t>
  </si>
  <si>
    <t>Candado Flexible 666002 (50000377)</t>
  </si>
  <si>
    <t>Pegantes Varios (50000378)</t>
  </si>
  <si>
    <t>Angulo Hierro 3/16" X 2" X 6 Mts (50000379)</t>
  </si>
  <si>
    <t>Cana Canal En U 4 X 3/16 X 1.1/2 X 6 Mts (50000380)</t>
  </si>
  <si>
    <t>Viga En I De 4" X 3/16 X 2 X 6mts (50000381)</t>
  </si>
  <si>
    <t>Cinta Doble Face Roja De 12mm (50000382)</t>
  </si>
  <si>
    <t>Lamina De Lamina De Piso Gav. C-14 X 120 (50000383)</t>
  </si>
  <si>
    <t>Tubo Cuadrado 1/2 C-16 X 6mts (50000385)</t>
  </si>
  <si>
    <t>Cable Coaxial Varios Rg 58 (50000387)</t>
  </si>
  <si>
    <t>Tubo Negro Tubo Negro Red 2" 1.5mm X 6mt (50000388)</t>
  </si>
  <si>
    <t>Tornillo G8 Ro 5/8" X 2" (50000389)</t>
  </si>
  <si>
    <t>Calcomania Placa Puerta Latera (50000390)</t>
  </si>
  <si>
    <t>Punteras Surtidas Para Mangueras De Aire (50000391)</t>
  </si>
  <si>
    <t>Garbanzos Para Mangueras De Aire (50000392)</t>
  </si>
  <si>
    <t>Lamina De Aluminio 1mm X 1mt (50000393)</t>
  </si>
  <si>
    <t>Tubo Negr Tubo Negro Red 1" 2.5mm X 6mts (50000394)</t>
  </si>
  <si>
    <t>Tubo Negr Tubo Negro Red 3/4 1.9mm X 6mt (50000395)</t>
  </si>
  <si>
    <t>Tubo Cuadrado 1" C-18 X 6mts (50000396)</t>
  </si>
  <si>
    <t>Perfiles Varios (50000397)</t>
  </si>
  <si>
    <t>Tubo Rectangular De 1" X 2" (50000398)</t>
  </si>
  <si>
    <t>Platina Hierro 1/4 X 2" X 6mt (50000401)</t>
  </si>
  <si>
    <t>C Canal En U 3 X 1.1/2 X 3/16 X 6 Metros (50000402)</t>
  </si>
  <si>
    <t>Cinta Doble Face De 1" (50000403)</t>
  </si>
  <si>
    <t>Lamina Hierro 1/2" 4 X 8 (50000404)</t>
  </si>
  <si>
    <t>Pin Chavetas Varios (50000405)</t>
  </si>
  <si>
    <t>Lamina Galvanizada Cal 20 X Kilo (50000406)</t>
  </si>
  <si>
    <t>Angulo Hierro 1/8 X 2" X 6mts (50000407)</t>
  </si>
  <si>
    <t>Angulo Hierro 3/16 X 1" X 6 Mts (50000408)</t>
  </si>
  <si>
    <t>Angulo Hierro 1/8" X 3/4" X 6 Mts (50000409)</t>
  </si>
  <si>
    <t>Angulo Hierro 3/16 X 2 1/2 X 6 Mts (50000410)</t>
  </si>
  <si>
    <t>Racores Varios (50000411)</t>
  </si>
  <si>
    <t>Socket Lente Guia (50000412)</t>
  </si>
  <si>
    <t>Coraza Pl Coraza Plastica De 1.1/4 - 32m (50000413)</t>
  </si>
  <si>
    <t>Platinas Varias Vehiculos (50000414)</t>
  </si>
  <si>
    <t>Arandelas Varias De Consumo (50000415)</t>
  </si>
  <si>
    <t>Tuercas Varias De Consumo (50000416)</t>
  </si>
  <si>
    <t>Oring Varios Consumo (50000417)</t>
  </si>
  <si>
    <t>Tornillo 7/16 X 2 1/2 G8 Ro (50000418)</t>
  </si>
  <si>
    <t>Canal En U 3 X 3/6 X 4 3 X 4 3x36x4.3x4 (50000419)</t>
  </si>
  <si>
    <t>Wasa De 1/2 (50000420)</t>
  </si>
  <si>
    <t>Inserto 1/4 Y 5/8 Consumo (50000421)</t>
  </si>
  <si>
    <t>Lamina Negra 3/8 Hr 4 X 8 (50000422)</t>
  </si>
  <si>
    <t>Calcomania Velocidad Maxima Vehiculos (50000423)</t>
  </si>
  <si>
    <t>Adhesivo Van Electrica Jac Sunray (50000424)</t>
  </si>
  <si>
    <t>Tornillo G8 Ro 7/16 X 3 1/2 7/16x3 1/2 (50000425)</t>
  </si>
  <si>
    <t>Tornillo G8 Ro 5/16 X 2 1/2 5/16x2 1/2 (50000426)</t>
  </si>
  <si>
    <t>Tablones Logisticos 15mm De 2.40 Mts X 1 (50000427)</t>
  </si>
  <si>
    <t>Tubo Cuadrado 120 X 120 X 3mm X 6m (50000428)</t>
  </si>
  <si>
    <t>Tu Tubo Redondo 1" X 1.5mm X 6m Colroled (50000429)</t>
  </si>
  <si>
    <t>Platina Hierro 2 3/4" X 3/16 X 240cm (50000430)</t>
  </si>
  <si>
    <t>Platina Hierro 3 1/4" X 1/8" X 240cm (50000431)</t>
  </si>
  <si>
    <t>Platina Hierro 5" X 1/8" X 240cm (50000432)</t>
  </si>
  <si>
    <t>Angulo Hierro 4" X 3/8" X 6 Mts (50000433)</t>
  </si>
  <si>
    <t>Platina Hierro 5" X 3/16" X 240cm (50000434)</t>
  </si>
  <si>
    <t>Angulo Hierro 1/4 X 4 X 6 Mt 1/4x4x6mt (50000435)</t>
  </si>
  <si>
    <t>Bombillo Lampara Cab Ge-561 Hi (50000436)</t>
  </si>
  <si>
    <t>Bombillo Halogeno 1500w A 22 (50000437)</t>
  </si>
  <si>
    <t>Cincel 3/4 Proto (50000438)</t>
  </si>
  <si>
    <t>Lima Cuadrada 3/8 X 11 (50000439)</t>
  </si>
  <si>
    <t>Esparrago Cono Y Tuerca 5/8x3" Sb (50000440)</t>
  </si>
  <si>
    <t>Esparragos Con Tuerca Varios (50000441)</t>
  </si>
  <si>
    <t>Guaya Alma Acero Varias (50000442)</t>
  </si>
  <si>
    <t>Bisagras Puertas Varias (50000443)</t>
  </si>
  <si>
    <t>Cable Guaya Acero De 1/8 Furgon (50000445)</t>
  </si>
  <si>
    <t>Platina Hierro 1/8 X 2" X 6mts (50000446)</t>
  </si>
  <si>
    <t>Angulo Hierro 3/16 X 1 1/2 X 6 Mts (50000447)</t>
  </si>
  <si>
    <t>Grilletes Varios (50000448)</t>
  </si>
  <si>
    <t>Platina Hierro 3/8 X 1" X 6 Mts (50000449)</t>
  </si>
  <si>
    <t>Platina Hierro 3/16 X 3 X 6 Mts (50000450)</t>
  </si>
  <si>
    <t>Platina Hierro 3/8 X 2 1/2 X 6 Mts (50000451)</t>
  </si>
  <si>
    <t>Varilla G-40 1" X 6 Mts Redonda (50000452)</t>
  </si>
  <si>
    <t>Agua Desmineralizada Bateria (50000453)</t>
  </si>
  <si>
    <t>Lamina Negra Calibre 22 (50000454)</t>
  </si>
  <si>
    <t>Viga Ipe 160 X 6 M (50000455)</t>
  </si>
  <si>
    <t>Angulo Hierro 1/4 X 2" X 6mm (50000456)</t>
  </si>
  <si>
    <t>Lamina De Alfajor 3/16 3x1mts (50000457)</t>
  </si>
  <si>
    <t>Viga De Madera Varias (50000458)</t>
  </si>
  <si>
    <t>Viga En I De 4" X 3/16 X 2 1/2 X 6mts (50000459)</t>
  </si>
  <si>
    <t>Platina Hierro 3/8 X 4 X 6mts (50000460)</t>
  </si>
  <si>
    <t>Candado Yale 870 Maestro (50000461)</t>
  </si>
  <si>
    <t>Duplicado Llaves Vehiculo (50000462)</t>
  </si>
  <si>
    <t>Liston Made Liston Madera 7.5x2x7 Metros (50000465)</t>
  </si>
  <si>
    <t>Cable Vehiculo N-16 (50000466)</t>
  </si>
  <si>
    <t>Tee En Hierro De 1/8 X1 6 Mts (50000467)</t>
  </si>
  <si>
    <t>Coraza Plastica De 1/4 (50000468)</t>
  </si>
  <si>
    <t>Cable Cobre Bateria 3/000 3/000-450a (50000469)</t>
  </si>
  <si>
    <t>Platina Hierro 1/8 X 4" X 6mts (50000470)</t>
  </si>
  <si>
    <t>Platina Hierro 1/4 X 1 1/4 X 6mts (50000471)</t>
  </si>
  <si>
    <t>Plati Platina Hierro 3/16 X 1.1/2 X 6mts (50000472)</t>
  </si>
  <si>
    <t>Platina Hierro 1/8 X 1" X 6 Mts (50000473)</t>
  </si>
  <si>
    <t>Platina Hierro 3/16 X 1" X 6 Mts (50000474)</t>
  </si>
  <si>
    <t>Tubo Negro Tubo Negro Red.2" 2.5mm X 6mt (50000475)</t>
  </si>
  <si>
    <t>Tubo Negro Red 1/2" 2mm 6mts (50000476)</t>
  </si>
  <si>
    <t>Empaque Varios Papel Humedo (50000477)</t>
  </si>
  <si>
    <t>Switch Luces 2 Tiempos Hs-68 (50000478)</t>
  </si>
  <si>
    <t>Tornillo Hexagonal 8 Mm X 25mm Tuerca Ar (50000479)</t>
  </si>
  <si>
    <t>Correa Logistica 2" Rachet 642001 (50000480)</t>
  </si>
  <si>
    <t>Tornillo Goloso 8 X 5/8 (50000481)</t>
  </si>
  <si>
    <t>Tubo Estruc Cuad 100 X 100 X 4 Mm (50000482)</t>
  </si>
  <si>
    <t>Platina Hierro De 1/4 X 1" X 6mts (50000483)</t>
  </si>
  <si>
    <t>La Lamina Aluminio C18 X 1.22 Mt 9030007 (50000484)</t>
  </si>
  <si>
    <t>Alcohol Desmoldalte Polivinilico 118 (50000485)</t>
  </si>
  <si>
    <t>Tor Tornillo Cabeza Plana 5/16 X 2" R.O. (50000486)</t>
  </si>
  <si>
    <t>Cinta Enmascarar De 2" (50000487)</t>
  </si>
  <si>
    <t>Rastreador Electrico De Breaker Ut25a (50000490)</t>
  </si>
  <si>
    <t>Rastreador Cables De Red Datos (50000491)</t>
  </si>
  <si>
    <t>Ponchadora Hidraulica 16 Ton Electricida (50000492)</t>
  </si>
  <si>
    <t>Kit De Herramienta Para Redes (50000493)</t>
  </si>
  <si>
    <t>Copa Impacto 3/4" 21 Mm Tipo A (50000494)</t>
  </si>
  <si>
    <t>Escalera Plegable 4 Pasos Acero Capacida (50000496)</t>
  </si>
  <si>
    <t>Juego Palas Plasticas Latonero (50000497)</t>
  </si>
  <si>
    <t>Unidad De Mantenimi Engrasadora Reparado (50000498)</t>
  </si>
  <si>
    <t>Marcador Electrico Llanta Reparado (50000499)</t>
  </si>
  <si>
    <t>Portapower Varios Reparado (50000500)</t>
  </si>
  <si>
    <t>Hidrolavadora Reparado (50000501)</t>
  </si>
  <si>
    <t>Balanceadora Reparado (50000502)</t>
  </si>
  <si>
    <t>Manometro Presion Reparado (50000503)</t>
  </si>
  <si>
    <t>Pistola Surtidor Acpm Reparado (50000504)</t>
  </si>
  <si>
    <t>Gato Botella 20 Ton Reparado (50000505)</t>
  </si>
  <si>
    <t>Sentador Para Sellomatic (Hachita) (50000506)</t>
  </si>
  <si>
    <t>Extractor Tornillo #6 13/32 Snapon (50000507)</t>
  </si>
  <si>
    <t>Gato Botella Hidraulico Nike 5 Tonelada (50000508)</t>
  </si>
  <si>
    <t>Gato Botella Hco Nuev 20 Nike 20 Tonelad (50000509)</t>
  </si>
  <si>
    <t>Cizalla Manual De 36" Nk-Cz36r (50000510)</t>
  </si>
  <si>
    <t>Espatula Plastica Para Masillar (50000511)</t>
  </si>
  <si>
    <t>Regulador Presion Acetileno Ox L11136266 (50000512)</t>
  </si>
  <si>
    <t>Copa Cuadrante 21 Mm X De 1" (50000513)</t>
  </si>
  <si>
    <t>Copa Impacto Alta Cuadrante 1" X 1.5/8 T (50000514)</t>
  </si>
  <si>
    <t>Copa Torx E20 Cuadrante 1/2 Tipo A (50000515)</t>
  </si>
  <si>
    <t>Llave Estrella 7/16 X 1/2 Snapon (50000516)</t>
  </si>
  <si>
    <t>Gato Hidraulico Para Caja Velocidades (50000518)</t>
  </si>
  <si>
    <t>Motortool De Aire (50000519)</t>
  </si>
  <si>
    <t>Llave Expansion 15" Proto (50000520)</t>
  </si>
  <si>
    <t>Fresas Varias Motortull (50000521)</t>
  </si>
  <si>
    <t>Rell Cepillo Tipo Lapiz En Espiral (50000522)</t>
  </si>
  <si>
    <t>Rell Raspa Acampanada Gr-36 (50000523)</t>
  </si>
  <si>
    <t>Rell Po Rell Portaherramienta Rapida 1/4 (50000524)</t>
  </si>
  <si>
    <t>Re Rell Portaherramieta Rapido 3/8 Corto (50000525)</t>
  </si>
  <si>
    <t>Rell Lezna En Espiral (50000526)</t>
  </si>
  <si>
    <t>Rell Cuchillo Recto Punta Redonda (50000527)</t>
  </si>
  <si>
    <t>Rell Raspador Para Llanta-Neumatico (50000528)</t>
  </si>
  <si>
    <t>Rell Rodillo Grueso 6mm - 1/4 (50000529)</t>
  </si>
  <si>
    <t>Rell Lezna Indicadora Hueco Clavo (50000530)</t>
  </si>
  <si>
    <t>Rell Tanque Rociador A Presion (50000531)</t>
  </si>
  <si>
    <t>Llave Para Pernos Para Cuadrante De 1 5/ (50000532)</t>
  </si>
  <si>
    <t>Copa Adptador De 5/16 Tipo B (50000533)</t>
  </si>
  <si>
    <t>Flexometro M. Forte Por 3 Mts 3mts (50000534)</t>
  </si>
  <si>
    <t>Punta De Punta De Impacto Pala Tor 14-16 (50000535)</t>
  </si>
  <si>
    <t>Punta Estriada 16mm Cuad.1/2 Ampro (50000536)</t>
  </si>
  <si>
    <t>Juego 8 Puntas Torx Adaptador T08 A T40 (50000537)</t>
  </si>
  <si>
    <t>Nivel Pasta 14" (50000538)</t>
  </si>
  <si>
    <t>Juego De Abocardar (50000539)</t>
  </si>
  <si>
    <t>Copa Larga Impacto Cuadrante 3/8 X 5/16 (50000540)</t>
  </si>
  <si>
    <t>Llave Mixta 6mm Tipo B (50000541)</t>
  </si>
  <si>
    <t>Llave Mixta 8mm Tipo B (50000542)</t>
  </si>
  <si>
    <t>Llave Estrella 14 X 15mm Snapon (50000543)</t>
  </si>
  <si>
    <t>Calibrador Aire Reloj Schraderbridgeport (50000544)</t>
  </si>
  <si>
    <t>Rell Inspeccionadora Manual (50000545)</t>
  </si>
  <si>
    <t>Rell Aspiradora Neumatica Portatil (50000546)</t>
  </si>
  <si>
    <t>Rell Taladro Neumatico Con Exosto 500rpm (50000547)</t>
  </si>
  <si>
    <t>Rell Motottool S1036-S1045-S1037 (50000548)</t>
  </si>
  <si>
    <t>Rell Cortador Baja Velocidad Uniseal 250 (50000549)</t>
  </si>
  <si>
    <t>Rell Cortador Baja Velocidad Uniseal 251 (50000550)</t>
  </si>
  <si>
    <t>Rell Cortador Baja Velocidad Uniseal 291 (50000551)</t>
  </si>
  <si>
    <t>Rell Cortador Baja Velocidades Uniseal 2 (50000552)</t>
  </si>
  <si>
    <t>Rell Cepillo Fino (50000553)</t>
  </si>
  <si>
    <t>Copa Cuadrante 3/4 X 15/16" Tipo B (50000554)</t>
  </si>
  <si>
    <t>Palanca Fuerza Corrediza Cuadrante 3/4 X (50000555)</t>
  </si>
  <si>
    <t>Llave B Llave Boca Fija 10 X 13mm Tipo B (50000556)</t>
  </si>
  <si>
    <t>Copa L Copa Larga Cuadrante 1/4 X 8mm Tb (50000557)</t>
  </si>
  <si>
    <t>Copa Larga Impacto Cuadrante 3/4 X 33mm (50000558)</t>
  </si>
  <si>
    <t>Llave Torx Varias (50000559)</t>
  </si>
  <si>
    <t>Copa Cuadrante 1/4 X 8mm Tipo B (50000560)</t>
  </si>
  <si>
    <t>Copa Larga Cuadrante 1/2 X 14mm Tipo B (50000561)</t>
  </si>
  <si>
    <t>Escuadra De 9" Stanley (50000562)</t>
  </si>
  <si>
    <t>Destornillador Estrella 5/16 X 8" Tipo B (50000563)</t>
  </si>
  <si>
    <t>Prensa De Banco # 7 Ursus (50000564)</t>
  </si>
  <si>
    <t>Copa Cuadrante 3/4 X 36mm Proto (50000565)</t>
  </si>
  <si>
    <t>Destornillador Estrella 1/4 X 1 1/2" Pro (50000566)</t>
  </si>
  <si>
    <t>Llave Cadena 9" Proto (50000567)</t>
  </si>
  <si>
    <t>Manguera Doble Equipo Oxicort 1/4 -300ps (50000568)</t>
  </si>
  <si>
    <t>Copa Torx T 30 Cuadrante 3/8 Tipo B (50000569)</t>
  </si>
  <si>
    <t>Copa Impacto Cuadrante 1/2 X 9/16 Tipo B (50000570)</t>
  </si>
  <si>
    <t>Diferencial Manual 2.0 Toneladas (50000571)</t>
  </si>
  <si>
    <t>Exte Extension Cuadrante 1/2 X 11" Proto (50000572)</t>
  </si>
  <si>
    <t>Llave Mixta 9mm Tipo B (50000573)</t>
  </si>
  <si>
    <t>Prensa De Banco # 6 Ursus (50000574)</t>
  </si>
  <si>
    <t>Exte Extension Cuadrante 1/2 X 9" Tipo B (50000575)</t>
  </si>
  <si>
    <t>Nivel Aluminio 10" (50000576)</t>
  </si>
  <si>
    <t>Extractor Cola Raton Varios (50000577)</t>
  </si>
  <si>
    <t>Calibrador De Galgas Tipo B (50000578)</t>
  </si>
  <si>
    <t>Serrucho (50000579)</t>
  </si>
  <si>
    <t>Exte Extension Cuadrante 3/4 X 6" Snapon (50000580)</t>
  </si>
  <si>
    <t>Llave Cadena 15" Tipo B (50000581)</t>
  </si>
  <si>
    <t>Brocas Varias Para Concreto (50000582)</t>
  </si>
  <si>
    <t>Juego Machuelo 1/2 Ro X 3 Und (50000583)</t>
  </si>
  <si>
    <t>Copa Cuadrante 1/2 X 29mm Tipo B (50000584)</t>
  </si>
  <si>
    <t>Palanca Fuerza Cuadrante 3/8 X 9" Tipo B (50000585)</t>
  </si>
  <si>
    <t>Martillo Latonero Grafilado Desabollador (50000586)</t>
  </si>
  <si>
    <t>Copa Larga Cuadrante 3/8 X 19/32 Snapon (50000587)</t>
  </si>
  <si>
    <t>Destornillador Estrella 3/16 X 6" Tipo B (50000588)</t>
  </si>
  <si>
    <t>Copa Torx T 20 Snapon (50000589)</t>
  </si>
  <si>
    <t>Copa Torx T 8 Snapon (50000590)</t>
  </si>
  <si>
    <t>Llave Boca Fija 8 X 9mm Tipo B (50000591)</t>
  </si>
  <si>
    <t>Llave Mixta 24mm Tipo B (50000592)</t>
  </si>
  <si>
    <t>Llave Mixta 21mm Tipo B (50000593)</t>
  </si>
  <si>
    <t>Pesca Iman X 17" Tipo B (50000594)</t>
  </si>
  <si>
    <t>Botador 3/4 Proto (50000595)</t>
  </si>
  <si>
    <t>Llave Hexagona 7mm Tipo B (50000596)</t>
  </si>
  <si>
    <t>Copa Punta Hexagona Cuadrante 3/8 X 8mm (50000597)</t>
  </si>
  <si>
    <t>Copa Impacto Cuadrante 1/2 X 15/16 Tipo (50000598)</t>
  </si>
  <si>
    <t>Copa Larga Cuadrante 1/2 X 13/16 Tipob (50000599)</t>
  </si>
  <si>
    <t>Copa Cuadrante 3/4 X 1 7/8 Tipo B (50000600)</t>
  </si>
  <si>
    <t>Copa Cuadrante 1/4 X 7mm Proto (50000601)</t>
  </si>
  <si>
    <t>Copa Larga Cuadrante 3/8 X 11mm Tipo B (50000602)</t>
  </si>
  <si>
    <t>Gato Gato Botella Hidraulico 10 Ton Nike (50000603)</t>
  </si>
  <si>
    <t>Palanca Fuerza Cuadrante 3/4 X 19" Proto (50000604)</t>
  </si>
  <si>
    <t>Dedo Magnetico (50000605)</t>
  </si>
  <si>
    <t>Destornillador Pala 3/8 X 9" Tipo B (50000606)</t>
  </si>
  <si>
    <t>Sacabocado 3/8 (50000607)</t>
  </si>
  <si>
    <t>Palanca Fuerza Cuadrante 1/2 X 14" Snapo (50000608)</t>
  </si>
  <si>
    <t>Copa Larga Impacto Cuadrante 3/4 X 1 1/1 (50000609)</t>
  </si>
  <si>
    <t>Copa Cuadrante 1" X 33mm Snapon (50000610)</t>
  </si>
  <si>
    <t>Copa Cuadrante 3/4 X 13/16 Proto (50000611)</t>
  </si>
  <si>
    <t>Destornillador Pala 1/4 X 3 Proto (50000612)</t>
  </si>
  <si>
    <t>Palanca Fuerza Cuadrante 1" X 32" Snapon (50000613)</t>
  </si>
  <si>
    <t>Copa Cuadrante 1/2 X 28 Mm Proto (50000614)</t>
  </si>
  <si>
    <t>Llave Mixta 27mm Tipo B (50000615)</t>
  </si>
  <si>
    <t>Copa Cuadrante 1/2 X 10mm Tipo B (50000616)</t>
  </si>
  <si>
    <t>Copa Cuadrante 1/2 X 25mm Tipo B (50000617)</t>
  </si>
  <si>
    <t>Tijera Podadora (50000618)</t>
  </si>
  <si>
    <t>Carreta De Obra (50000619)</t>
  </si>
  <si>
    <t>Copa Cuadrante 3/4 X 1 3/8 Tipo B (50000620)</t>
  </si>
  <si>
    <t>Copa Impacto Cuadrante 1/2 X 24mm Snapon (50000621)</t>
  </si>
  <si>
    <t>Llave Mixta 11 Mm Tipo B (50000622)</t>
  </si>
  <si>
    <t>Copa Cuadrante 1 X 33mm Tipo B (50000623)</t>
  </si>
  <si>
    <t>Llave Llave Boca Fija 5/8 X 9/16 Tipo B (50000624)</t>
  </si>
  <si>
    <t>Copa Cuadrante 1/2 X 13mm Tipo B (50000625)</t>
  </si>
  <si>
    <t>Copa Cuadrante 1/2 X 30mm Proto (50000626)</t>
  </si>
  <si>
    <t>Copa Cuadrante 1/2 X 36mm Proto (50000627)</t>
  </si>
  <si>
    <t>Llave De Tubo 24" Urrea (50000628)</t>
  </si>
  <si>
    <t>Palanca Fuerza Cuadrante 1/2 X 16" Tipo (50000629)</t>
  </si>
  <si>
    <t>Cruceta Pernos Universal (50000630)</t>
  </si>
  <si>
    <t>Llave Punta Torx T-7 (50000631)</t>
  </si>
  <si>
    <t>Destornillador Impacto Cuadrante 1/2 (50000632)</t>
  </si>
  <si>
    <t>Copa Larga Cuadrante 3/8 X 14mm Tipo B (50000633)</t>
  </si>
  <si>
    <t>Palanca Fuerza Cuadrante 3/4 X 19" Tipo (50000634)</t>
  </si>
  <si>
    <t>Pinza Pin De Ojo (50000635)</t>
  </si>
  <si>
    <t>Destornillador Pala 1/4 X 1" Snapon (50000636)</t>
  </si>
  <si>
    <t>Motortool Electrico (50000637)</t>
  </si>
  <si>
    <t>Copa Impacto Cuadrante 1/2 X 1/2 Snapon (50000638)</t>
  </si>
  <si>
    <t>Copa Cuadrante 3/4 X 7/8 Snapon (50000639)</t>
  </si>
  <si>
    <t>Llave Boca Fija 16 X 18mm Snapon (50000640)</t>
  </si>
  <si>
    <t>Llav Llave Estrella 1 1/2 X 1 7/16 Proto (50000641)</t>
  </si>
  <si>
    <t>Llave Mixta 30mm Proto (50000642)</t>
  </si>
  <si>
    <t>Palanca Fuerza Cuadrante 3/4 X 16 Proto (50000643)</t>
  </si>
  <si>
    <t>Reduccion 3/4 A 1/2 Tipo B (50000644)</t>
  </si>
  <si>
    <t>Lima Redonda 1/4 X 9" (50000645)</t>
  </si>
  <si>
    <t>Bomba Fumigacion (50000646)</t>
  </si>
  <si>
    <t>Azadon (50000647)</t>
  </si>
  <si>
    <t>Pala Sencilla (50000648)</t>
  </si>
  <si>
    <t>Pala Escavadora (50000649)</t>
  </si>
  <si>
    <t>Llave Hexagona 5/16 Proto (50000650)</t>
  </si>
  <si>
    <t>Palanca Fuerza Cuadrante 3/8 X 8" Urrea (50000651)</t>
  </si>
  <si>
    <t>Destornillador Pala 3/16 X 4" Tipo A (50000652)</t>
  </si>
  <si>
    <t>Destornillador Pala 3/16 X 3" Tipo A (50000653)</t>
  </si>
  <si>
    <t>Destornillador Estrella 1/4 X 3" Snapon (50000654)</t>
  </si>
  <si>
    <t>Destornillador Estrella 5/16 X 5" Tipo A (50000655)</t>
  </si>
  <si>
    <t>Copa Larga Cuadrante 3/8 X 5/16 Snapon (50000656)</t>
  </si>
  <si>
    <t>Copa Larga Cuadrante 3/8 X 3/8 Snapon (50000657)</t>
  </si>
  <si>
    <t>Copa Larga Cuadrante 3/8 X 1/2 Snapon (50000658)</t>
  </si>
  <si>
    <t>Copa Larga Cuadrante 3/8 X 9/16 Snapon (50000659)</t>
  </si>
  <si>
    <t>Copa Larga Cuadrante 3/8 X 7/8 Snapon (50000660)</t>
  </si>
  <si>
    <t>Copa Larga Cuadrante 3/8 X 10mm Tipo B (50000661)</t>
  </si>
  <si>
    <t>Copa Larga Cuadrante 1/2 X 5/8 Snapon (50000662)</t>
  </si>
  <si>
    <t>Copa Impacto Cuadrante 3/4 X 1 1/8 Proto (50000663)</t>
  </si>
  <si>
    <t>Exte Extension Cuadrante 3/4 X 3" Snapon (50000664)</t>
  </si>
  <si>
    <t>Cincel 1/2 Proto (50000665)</t>
  </si>
  <si>
    <t>Copa Larga Cuadrante 1/2 X 23mm Proto (50000666)</t>
  </si>
  <si>
    <t>Destornillador Estrella 3/16 X 3" Tipo B (50000667)</t>
  </si>
  <si>
    <t>Destornillador Estrella 5/16 X 5" - 6" (50000668)</t>
  </si>
  <si>
    <t>Destornillador Pala 1/8 X 2 Tipo B (50000669)</t>
  </si>
  <si>
    <t>Llave B Llave Boca Fija 13 X 15mm Tipo B (50000670)</t>
  </si>
  <si>
    <t>Llave B Llave Boca Fija 21 X 23mm Tipo B (50000671)</t>
  </si>
  <si>
    <t>Rache C Rache Cuadrante 3/4 X 24" Snapon (50000672)</t>
  </si>
  <si>
    <t>Pinza Punta Intercambiable (50000673)</t>
  </si>
  <si>
    <t>Copa Impacto Cuadrante 1/2 X 14mm Snapon (50000674)</t>
  </si>
  <si>
    <t>Llave Hexagona 6mm Snapon (50000675)</t>
  </si>
  <si>
    <t>Llave De Tubo 8" Urrea (50000676)</t>
  </si>
  <si>
    <t>Palanca Uña 650 Tipo B (50000677)</t>
  </si>
  <si>
    <t>Cincel 7/16 Urrea (50000678)</t>
  </si>
  <si>
    <t>Cincel 3/8 Urrea (50000679)</t>
  </si>
  <si>
    <t>Exte Extension Cuadrante 3/8 X 10" Urrea (50000680)</t>
  </si>
  <si>
    <t>Llave Mixta 6mm Urrea (50000681)</t>
  </si>
  <si>
    <t>Copa Cuadrante 3/8 X 18mm Proto (50000682)</t>
  </si>
  <si>
    <t>Copa Impacto Cuadrante 1/2 X 10mm Tb (50000683)</t>
  </si>
  <si>
    <t>Copa Impacto Cuadrante 1/2 X 19mm Tipo A (50000684)</t>
  </si>
  <si>
    <t>Copa Impacto Cuadrante 1/2 X 22mm Proto (50000685)</t>
  </si>
  <si>
    <t>Copa Impacto Cuadrante 1/2 X 24mm Tipo B (50000686)</t>
  </si>
  <si>
    <t>Cable Para Iniciar (50000687)</t>
  </si>
  <si>
    <t>Llave Hexagona 5mm Snapon (50000688)</t>
  </si>
  <si>
    <t>Destornillador Estrella 1/4 X 1" Tipo B (50000689)</t>
  </si>
  <si>
    <t>Copa Impacto Cuadrante 3/4 X 1 1/4 Snapo (50000690)</t>
  </si>
  <si>
    <t>Bomba De Agua Electrica 110v (50000691)</t>
  </si>
  <si>
    <t>Almadana De 18 Lbs (50000692)</t>
  </si>
  <si>
    <t>Destornillador Pala 3/16 X 6" Tipo B (50000693)</t>
  </si>
  <si>
    <t>Copa Impacto Cuadrante 1/2 X 5/8 Snapon (50000694)</t>
  </si>
  <si>
    <t>Llave Llave Estrella 7/8 X 13/16 Tipo B (50000695)</t>
  </si>
  <si>
    <t>Alicate 5 Posiciones (50000696)</t>
  </si>
  <si>
    <t>Copa Cuadrante 1/2 X 12mm T B (50000697)</t>
  </si>
  <si>
    <t>Copa Cuadrante 1/2 X 19mm Tipo B (50000698)</t>
  </si>
  <si>
    <t>Copa Cuadrante 1/2 X 22mm Tipo B (50000699)</t>
  </si>
  <si>
    <t>Copa Cuadrante 1/2 X 24mm Tipo B (50000700)</t>
  </si>
  <si>
    <t>Copa Cuadrante 1/2 X 27mm Tipo B (50000701)</t>
  </si>
  <si>
    <t>Copa Cuadrante 1/2 X 28mm Tipo B (50000702)</t>
  </si>
  <si>
    <t>Palanca Fuerza Escualizable Cuadrante 1/ (50000703)</t>
  </si>
  <si>
    <t>Llave Mixta 7mm Tipo B (50000704)</t>
  </si>
  <si>
    <t>Llave Mixta 18mm Tipo B (50000705)</t>
  </si>
  <si>
    <t>Llave Mixta 20mm Tipo B (50000706)</t>
  </si>
  <si>
    <t>Llave Mixta 22mm Tipo B (50000707)</t>
  </si>
  <si>
    <t>Llave Mixta 23mm Tipo B (50000708)</t>
  </si>
  <si>
    <t>Llave Mixta 30mm Tipo B (50000709)</t>
  </si>
  <si>
    <t>Barra (50000710)</t>
  </si>
  <si>
    <t>Caja De Herramienta Fabricada (50000711)</t>
  </si>
  <si>
    <t>Copa Cuadrante 3/8 X 9mm Proto (50000712)</t>
  </si>
  <si>
    <t>Copa Cuadrante 3/8 X 16mm Proto (50000713)</t>
  </si>
  <si>
    <t>Copa Torx T 25 Tipo B (50000714)</t>
  </si>
  <si>
    <t>Copa Torx T 20 Tipo B (50000715)</t>
  </si>
  <si>
    <t>Copa Torx T 15 Tipo B (50000716)</t>
  </si>
  <si>
    <t>Copa Torx T 10 Tipo B (50000717)</t>
  </si>
  <si>
    <t>Copa Torx T 47 Tipo B (50000718)</t>
  </si>
  <si>
    <t>Llave Estrella 12 X 13 Mm Snapon (50000719)</t>
  </si>
  <si>
    <t>Llave Llave Boca Fija 7/16 X 1/2 Tipo B (50000720)</t>
  </si>
  <si>
    <t>Almadana De 10 Libras (50000721)</t>
  </si>
  <si>
    <t>Ampliacion 1/2 A 3/4 Snapon (50000722)</t>
  </si>
  <si>
    <t>Embudo Plastico (50000723)</t>
  </si>
  <si>
    <t>Ga Gato Tipo Caiman 3.2 Toneladas Tipo B (50000724)</t>
  </si>
  <si>
    <t>Copa Larga Cuadrante 1/2 X 1/2 Tipo B (50000725)</t>
  </si>
  <si>
    <t>Copa Cuadrante 3/4 X 1 5/8 Proto (50000726)</t>
  </si>
  <si>
    <t>Copa Cuadrante 3/4 X 1 1/16 Tipo B (50000727)</t>
  </si>
  <si>
    <t>Copa Cuadrante 1/2 X 8mm Tipo B (50000728)</t>
  </si>
  <si>
    <t>Copa Cuadrante 1/2 X 17mm Tipo B (50000729)</t>
  </si>
  <si>
    <t>Copa Cuadrante 1/4 X 9/16 Tipo B (50000730)</t>
  </si>
  <si>
    <t>Exte Extension Cuadrante 1/2 X 10" Proto (50000731)</t>
  </si>
  <si>
    <t>Copa Cuadrante 1/2 X 3/4 Tipo B (50000732)</t>
  </si>
  <si>
    <t>Copa Cuadrante 1/2 X 5/8 Tipo B (50000733)</t>
  </si>
  <si>
    <t>Llave De Tubo 14" Tipo B (50000734)</t>
  </si>
  <si>
    <t>Destornillador Impacto Cuadrante 3/8 (50000735)</t>
  </si>
  <si>
    <t>Punta Plana Cuadrante 3/8 (50000736)</t>
  </si>
  <si>
    <t>Punta Estrella Cuadrante 3/8 (50000737)</t>
  </si>
  <si>
    <t>Llave Mixta 5/16 Tipo B (50000738)</t>
  </si>
  <si>
    <t>Juego Machuelo 3/4 Ro X 3 Und (50000739)</t>
  </si>
  <si>
    <t>Copa Torx T 55 Tipo B (50000740)</t>
  </si>
  <si>
    <t>Copa Torx T 50 Tipo B (50000741)</t>
  </si>
  <si>
    <t>Copa Torx T 40 Tipo B (50000743)</t>
  </si>
  <si>
    <t>Copa Torx T 30 Tipo B (50000744)</t>
  </si>
  <si>
    <t>Copa Torx T 27 Tipo B (50000745)</t>
  </si>
  <si>
    <t>Extension Cuadrante 1/4 X 4 Snapon (50000746)</t>
  </si>
  <si>
    <t>Exte Extension Cuadrante 1/4 X 2" Snapon (50000747)</t>
  </si>
  <si>
    <t>Llave Expansion 10-12" Tipo A (50000748)</t>
  </si>
  <si>
    <t>Remachadora Pop Manual (50000749)</t>
  </si>
  <si>
    <t>Ponchadora Pines Molex (50000750)</t>
  </si>
  <si>
    <t>Limpiador Desoldar Estaño (50000751)</t>
  </si>
  <si>
    <t>Multimetro Digital (50000752)</t>
  </si>
  <si>
    <t>Lienza (50000753)</t>
  </si>
  <si>
    <t>Pinza Pinza Contraria Pin De Ojo Tipo B (50000754)</t>
  </si>
  <si>
    <t>Cincel Varios (50000755)</t>
  </si>
  <si>
    <t>Redu Reduccion Cuadrante 1" A 3/4 Snapon (50000756)</t>
  </si>
  <si>
    <t>Almadana De 8 Libras (50000757)</t>
  </si>
  <si>
    <t>Llave Llave Estrella 1 3/8 X 1 1/4 Proto (50000758)</t>
  </si>
  <si>
    <t>Destornillador Estrella 3/16 X 5" Proto (50000759)</t>
  </si>
  <si>
    <t>Destornillador Pala 1/4 X 4" Tipo B (50000760)</t>
  </si>
  <si>
    <t>Copa Cuadrante 1/4 X 10mm Williams (50000761)</t>
  </si>
  <si>
    <t>Copa Cuadrante 3/8 X 9 Mm Tipo B (50000762)</t>
  </si>
  <si>
    <t>Copa Cuadrante 3/8 X 10 Mm Tipo B (50000763)</t>
  </si>
  <si>
    <t>Copa Cuadrante 3/8 X 12mm Tipo B (50000764)</t>
  </si>
  <si>
    <t>Copa Cuadrante 3/8 X 13 Mm Tipo B (50000765)</t>
  </si>
  <si>
    <t>Copa Cuadrante 3/8 X 14 Mm Tipo B (50000766)</t>
  </si>
  <si>
    <t>Copa Cuadrante 3/8 X 19 Mm Tipo B (50000767)</t>
  </si>
  <si>
    <t>Exte Extension Cuadrante 3/8 X 6" Tipo B (50000768)</t>
  </si>
  <si>
    <t>Exte Extension Cuadrante 3/8 X 3" Tipo B (50000769)</t>
  </si>
  <si>
    <t>Llave Punta Torx T-30 (50000770)</t>
  </si>
  <si>
    <t>Llave Punta Torx T-27 (50000771)</t>
  </si>
  <si>
    <t>Llave Punta Torx T-25 (50000772)</t>
  </si>
  <si>
    <t>Llave Punta Torx T-20 (50000773)</t>
  </si>
  <si>
    <t>Llave Mixta 10 Mm Tipo B (50000774)</t>
  </si>
  <si>
    <t>Llave Expansion 6" Tipo B (50000775)</t>
  </si>
  <si>
    <t>Ponchadora Cable Coaxial (50000776)</t>
  </si>
  <si>
    <t>Copa Cuadrante 1/4 X 11/32 Snapon (50000777)</t>
  </si>
  <si>
    <t>Copa Larga Cuadrante 3/8 X 11mm Snapon (50000779)</t>
  </si>
  <si>
    <t>Copa Larga Cuadrante 3/8 X 12 Mm Snapon (50000780)</t>
  </si>
  <si>
    <t>Copa Larga Cuadrante 3/8 X 13 Mm Snapon (50000781)</t>
  </si>
  <si>
    <t>Copa Larga Cuadrante 3/8 X 16 Mm Snapon (50000782)</t>
  </si>
  <si>
    <t>Copa Larga Cuadrante 3/8 X 18 Mm Snapon (50000783)</t>
  </si>
  <si>
    <t>Copa Larga Cuadrante 3/8 X 19 Mm Snapon (50000784)</t>
  </si>
  <si>
    <t>Cortador De Tubo 30mm (50000785)</t>
  </si>
  <si>
    <t>Destronillador Pala 5/16 X 10" Tipo B (50000786)</t>
  </si>
  <si>
    <t>Exten Extension Cuadrante 3/4 X 8 Tipo B (50000787)</t>
  </si>
  <si>
    <t>Gat Gato Botella Hidraulico 25 Toneladas (50000788)</t>
  </si>
  <si>
    <t>Lima Plana De 14" (50000789)</t>
  </si>
  <si>
    <t>Llave Llave Boca Fija 5/16 X 1/4 Tipo B (50000790)</t>
  </si>
  <si>
    <t>Llav Llave Estrella 1 1/16 X 1 1/8 Proto (50000791)</t>
  </si>
  <si>
    <t>Copa Cuadrante 3/4 X 1 5/8 Tipo B (50000792)</t>
  </si>
  <si>
    <t>Copa Cuadrante 1/2 X 9/16 Tipo B (50000793)</t>
  </si>
  <si>
    <t>Extractor De Guillotina Proto (50000794)</t>
  </si>
  <si>
    <t>Destornillador Pala 1/8 X 8" Tipo B (50000795)</t>
  </si>
  <si>
    <t>Destornillador Estrella 1/8 X 3" Tipo B (50000796)</t>
  </si>
  <si>
    <t>Pistola Soldadura Estaño (50000797)</t>
  </si>
  <si>
    <t>Llave Mixta 7mm Proto (50000798)</t>
  </si>
  <si>
    <t>Destornillador Impacto Cuadrante 5/16 Le (50000799)</t>
  </si>
  <si>
    <t>Llave Hexagona 12mm Tipo B (50000800)</t>
  </si>
  <si>
    <t>Llave Hexagona 8mm Tipo B (50000801)</t>
  </si>
  <si>
    <t>Copa Cuadrante 1/2 X 1 7/16 Proto (50000802)</t>
  </si>
  <si>
    <t>Copa Impacto Cuadrante 1/2 X 14 Mm Prot (50000803)</t>
  </si>
  <si>
    <t>Copa Cuadrante 1/2 X 15mm Snapon (50000804)</t>
  </si>
  <si>
    <t>Copa Impacto Cuadrante 1/2 X 17 Mm Snapo (50000805)</t>
  </si>
  <si>
    <t>Copa Cuadrante 3/4 X 1 13/16 Tipo B (50000806)</t>
  </si>
  <si>
    <t>Copa Larga Impacto Cuadrante 1/2 X 21 Mm (50000807)</t>
  </si>
  <si>
    <t>Copa Larga Impacto Cuadrante 3/4 X 1 1/8 (50000808)</t>
  </si>
  <si>
    <t>Copa Larga Impacto Cuadrante 3/4 X 15/16 (50000809)</t>
  </si>
  <si>
    <t>Llave Estrella 8 X 9mm Tipo B (50000810)</t>
  </si>
  <si>
    <t>Llave E Llave Estrella 24 X 26 Mm Tipo B (50000811)</t>
  </si>
  <si>
    <t>Llave Estrella 21 X 23 Tipo B (50000812)</t>
  </si>
  <si>
    <t>Llave Estrella 16 X 17 Tipo B (50000813)</t>
  </si>
  <si>
    <t>Copa Impacto Cuadrante 1/2 X 18 Mm Snapo (50000814)</t>
  </si>
  <si>
    <t>Copa Cuadrante 1/2 X 23mm Tipo B (50000815)</t>
  </si>
  <si>
    <t>Copa Cuadrante 1/2 X 26 Mm Tipo B (50000816)</t>
  </si>
  <si>
    <t>Copa Cuadrante 1/2 X 30 Mm Tipo B (50000817)</t>
  </si>
  <si>
    <t>Copa Cuadrante 1/2 X 32mm Tipo B (50000818)</t>
  </si>
  <si>
    <t>Copa Cuadrante 3/8 X 13 Mm Snapon (50000819)</t>
  </si>
  <si>
    <t>Palanca Fuerza Cuadrante 1/2 X 10" Willi (50000821)</t>
  </si>
  <si>
    <t>Palanca Fuerza Corrediza Cuadrante 3/8 (50000822)</t>
  </si>
  <si>
    <t>Manometro Medir Compresion (50000823)</t>
  </si>
  <si>
    <t>Red Reduccion Cuadrante 1/2 A 3/8 Tipo B (50000824)</t>
  </si>
  <si>
    <t>Extractor De Uña Snapon (50000825)</t>
  </si>
  <si>
    <t>Llave Estrella 20 X 22 Tipo B (50000826)</t>
  </si>
  <si>
    <t>Juego Juego Pinzas Cambiables X 4 Tipo A (50000827)</t>
  </si>
  <si>
    <t>Rache Cuadrante 1/2 X 6 Proto (50000828)</t>
  </si>
  <si>
    <t>Rache Cuadrante 3/4 X 14" Proto (50000829)</t>
  </si>
  <si>
    <t>Reduccion Impacto Cuadrante 3/4 A 1/2 Sn (50000830)</t>
  </si>
  <si>
    <t>Torque Cuadrante 1/2 X 150 Lbs Proto (50000831)</t>
  </si>
  <si>
    <t>Torquimetro De Caratula (50000832)</t>
  </si>
  <si>
    <t>Copa Cuadrante 3/8 X 14mm Snapon (50000833)</t>
  </si>
  <si>
    <t>Copa Cuadrante 3/8 X 17mm Tipo B (50000834)</t>
  </si>
  <si>
    <t>Copa Larga Cuadrante 3/8 X 15mm Snapon (50000835)</t>
  </si>
  <si>
    <t>Destornillador Pala 5/16 X 5-6" Tipo B (50000836)</t>
  </si>
  <si>
    <t>Llave Mixta 9mm Proto (50000837)</t>
  </si>
  <si>
    <t>Llave Mixta 13mm Tipo B (50000838)</t>
  </si>
  <si>
    <t>Llave Llave Boca Fija 16 X 17 Mm Tipo B (50000839)</t>
  </si>
  <si>
    <t>Llave Llave Boca Fija 18 X 19 Mm Tipo B (50000840)</t>
  </si>
  <si>
    <t>Llave Llave Boca Fija 20 X 22 Mm Tipo B (50000841)</t>
  </si>
  <si>
    <t>Destornillador Pala 5/16 X 5" - 6" Tipo (50000842)</t>
  </si>
  <si>
    <t>Destornillador Estrella 1/4 X 4"-6" Tipo (50000843)</t>
  </si>
  <si>
    <t>Destornillador Estrella 3/16 X 8" Tipo B (50000844)</t>
  </si>
  <si>
    <t>Destornillador Estrella 1/4 X 1" Proto (50000845)</t>
  </si>
  <si>
    <t>Destornillador Pala 1/4 X 10-12" Tipo B (50000846)</t>
  </si>
  <si>
    <t>Estetoscopio Para Mecanico (50000847)</t>
  </si>
  <si>
    <t>Exte Extension Cuadrante 3/4 X 6" Tipo B (50000848)</t>
  </si>
  <si>
    <t>Extractor Retenedor Cigueñal S60 Fabrica (50000849)</t>
  </si>
  <si>
    <t>Gato Botella Hidraulico 12 Toneladas Nik (50000850)</t>
  </si>
  <si>
    <t>Copa Cuadrante 3/8 X 19mm Snapon (50000851)</t>
  </si>
  <si>
    <t>Copa Cuadrante 3/8 X 1/2 Proto (50000852)</t>
  </si>
  <si>
    <t>Copa Cuadrante 3/8 X 9/16 Proto (50000853)</t>
  </si>
  <si>
    <t>Palanca Fuerza Cuadrante 3/8 X 5" Snapon (50000854)</t>
  </si>
  <si>
    <t>Llave Boca Fija 30 X 32 Williams (50000855)</t>
  </si>
  <si>
    <t>Llave Es Llave Estrella 10 X 11mm Tipo B (50000856)</t>
  </si>
  <si>
    <t>Llave Expansion 8" Tipo B (50000857)</t>
  </si>
  <si>
    <t>Extractor Muestra De Aceite (50000858)</t>
  </si>
  <si>
    <t>Jue Juego Extractor Cola Raton X 10 Unds (50000859)</t>
  </si>
  <si>
    <t>Llave Cadena 12" Tipo B (50000860)</t>
  </si>
  <si>
    <t>Llave Expansion 8" Snapon (50000861)</t>
  </si>
  <si>
    <t>Llave E Llave Estrella 18 X 19 Mm Tipo B (50000862)</t>
  </si>
  <si>
    <t>Llave Mixta 17mm Tipo B (50000863)</t>
  </si>
  <si>
    <t>Palanca Fuerza Cuadrante 1/2 X 12" Tipo (50000864)</t>
  </si>
  <si>
    <t>Llave Hexagona 10 Mm Tipo B (50000865)</t>
  </si>
  <si>
    <t>Copa Cuadrante 1/2 X 1" Tipo B (50000866)</t>
  </si>
  <si>
    <t>Copa Cuadrante 1/2 X 1/2 Tipo B (50000867)</t>
  </si>
  <si>
    <t>Copa Cuadrante 1/2 X 14mm Tipo B (50000868)</t>
  </si>
  <si>
    <t>Copa Cuadrante 1/2 X 15mm Tipo B (50000869)</t>
  </si>
  <si>
    <t>Copa Cuadrante 1/2 X 16mm Tipob (50000870)</t>
  </si>
  <si>
    <t>Copa Cuadrante 1/2 X 3/8 Tipo B (50000871)</t>
  </si>
  <si>
    <t>Copa Larga Impacto Cuadrante 1/2 X 5/8 S (50000872)</t>
  </si>
  <si>
    <t>Copa Larga Cuadrante 1/2 X 7/8 Snapon (50000873)</t>
  </si>
  <si>
    <t>Nivel Aluminio De 18" (50000874)</t>
  </si>
  <si>
    <t>Remachadora Pop Neumatica 7 Kg/Cm2 (50000875)</t>
  </si>
  <si>
    <t>Martillo De Caucho (50000876)</t>
  </si>
  <si>
    <t>Destornillador Pala 3/8 X 10" X 12" Tipo (50000877)</t>
  </si>
  <si>
    <t>Destornillador Pala 3/16 X 4"- 5" Tipo B (50000878)</t>
  </si>
  <si>
    <t>Plomada Varias (50000879)</t>
  </si>
  <si>
    <t>Esmeril (50000880)</t>
  </si>
  <si>
    <t>Colilladora 14" Dewalt (50000881)</t>
  </si>
  <si>
    <t>Valvulinera (Galon) (50000882)</t>
  </si>
  <si>
    <t>Cincel 1" Snapon (50000883)</t>
  </si>
  <si>
    <t>Copa Cuadrante 1/2 X 1 1/4 Tipo B (50000884)</t>
  </si>
  <si>
    <t>Copa Cuadrante 1/2 X 13/16 Tipo B (50000885)</t>
  </si>
  <si>
    <t>Copa Cuadrante 1/2 X 15/16 Tipo B (50000886)</t>
  </si>
  <si>
    <t>Copa Cuadrante 1/2 X 7/16 Tipo B (50000887)</t>
  </si>
  <si>
    <t>Copa Cuadrante 3/8 X 5/16 Snapon (50000888)</t>
  </si>
  <si>
    <t>Copa Cuadrante 3/8 X 8mm Tipo B (50000889)</t>
  </si>
  <si>
    <t>Llave B Llave Boca Fija 1 X 1 1/8 Tipo B (50000890)</t>
  </si>
  <si>
    <t>Llave Llave Estrella 15/16 X 7/8 Tipo B (50000891)</t>
  </si>
  <si>
    <t>Llave Mixta 1" Tipo B (50000892)</t>
  </si>
  <si>
    <t>Llave Mixta 11/16 Tipo B (50000893)</t>
  </si>
  <si>
    <t>Llave Mixta 15mm Tipo B (50000894)</t>
  </si>
  <si>
    <t>Llave Mixta 15mm Proto (50000895)</t>
  </si>
  <si>
    <t>Plancha Latonero Lengua (50000896)</t>
  </si>
  <si>
    <t>Plancha Latonero Lengueta (50000897)</t>
  </si>
  <si>
    <t>Plancha Latonero Plana (50000898)</t>
  </si>
  <si>
    <t>Plancha Latonero Plana Tacon (50000899)</t>
  </si>
  <si>
    <t>Plancha Latonero Plana Curva (50000900)</t>
  </si>
  <si>
    <t>Plancha Latonero Riel (50000901)</t>
  </si>
  <si>
    <t>Prensa En C De 10" (50000902)</t>
  </si>
  <si>
    <t>Rache Cuadrante 1/2 X 8" Proto (50000903)</t>
  </si>
  <si>
    <t>Manguera Aire De 3/8 Acoplada (50000904)</t>
  </si>
  <si>
    <t>Almadana De 2 Libras (50000905)</t>
  </si>
  <si>
    <t>Mar Martillo Latonero Acabado Liso Proto (50000906)</t>
  </si>
  <si>
    <t>Tensor Gancho - Gancho (50000907)</t>
  </si>
  <si>
    <t>Destornillador Estrella 3/16 X 9 (50000908)</t>
  </si>
  <si>
    <t>Gafas Soldadura Autogena (50000909)</t>
  </si>
  <si>
    <t>Alicate Presion Boca De Pato (50000910)</t>
  </si>
  <si>
    <t>Punta Torx T10 (50000911)</t>
  </si>
  <si>
    <t>Punta Torx T15 (50000912)</t>
  </si>
  <si>
    <t>Punta Torx T20 (50000913)</t>
  </si>
  <si>
    <t>Punta Torx T25 (50000914)</t>
  </si>
  <si>
    <t>Punta Torx T27 (50000915)</t>
  </si>
  <si>
    <t>Punta Torx T30 (50000916)</t>
  </si>
  <si>
    <t>Punta Torx T40 (50000917)</t>
  </si>
  <si>
    <t>Punta Torx T50 (50000918)</t>
  </si>
  <si>
    <t>Punta Torx T45 (50000919)</t>
  </si>
  <si>
    <t>Sacabocado 12mm (50000920)</t>
  </si>
  <si>
    <t>Sacabocado 11/32 (50000921)</t>
  </si>
  <si>
    <t>Copa Cuadrante 3/8 X 7/16 Tipo B (50000922)</t>
  </si>
  <si>
    <t>Copa Cuadrante 3/8 X 1/2 Tipo B (50000923)</t>
  </si>
  <si>
    <t>Copa Cuadrante 3/8 X 5/8 Tipo B (50000924)</t>
  </si>
  <si>
    <t>Rac Rache Cuadrante 3/8 X 6" - 8" Tipo B (50000925)</t>
  </si>
  <si>
    <t>Llave Mixta 1 1/16 Tipo B (50000926)</t>
  </si>
  <si>
    <t>Llave Mixta 7/16 Tipo B (50000927)</t>
  </si>
  <si>
    <t>Martillo De Bola De 3 - 4 Lbs (50000928)</t>
  </si>
  <si>
    <t>Calibrador Pie De Rey (50000929)</t>
  </si>
  <si>
    <t>Pinza Contraria Pin De Ojo Snapon (50000930)</t>
  </si>
  <si>
    <t>Pinza Contraria Punta Plana Caja Snapon (50000931)</t>
  </si>
  <si>
    <t>Pinza Punta Plana (50000932)</t>
  </si>
  <si>
    <t>Rache Cuadrante 1" X 28" Snapon (50000933)</t>
  </si>
  <si>
    <t>Escobillas Para Taladro Black Deke (50000934)</t>
  </si>
  <si>
    <t>Polea De 6" (50000935)</t>
  </si>
  <si>
    <t>Copa Cuadrante 1/2 X 20mm Proto (50000936)</t>
  </si>
  <si>
    <t>Copa Cuadrante 1/2 X 21mm Proto (50000937)</t>
  </si>
  <si>
    <t>Copa Cuadrante 1/2 X 3/4 Proto (50000938)</t>
  </si>
  <si>
    <t>Manometro R134 Aire Acondicionado (50000939)</t>
  </si>
  <si>
    <t>Copa Cuadrante 1/2 X 5/8 Snapon (50000940)</t>
  </si>
  <si>
    <t>Copa Cuadrante 1/2 X 7/16 Proto (50000941)</t>
  </si>
  <si>
    <t>Llave Mixta 1/2 Tipo B (50000942)</t>
  </si>
  <si>
    <t>Copa Cuadrante 1/2 X 7/8 Snapon (50000943)</t>
  </si>
  <si>
    <t>Copa Cuadrante 1/2 X 7/8 Tipo B (50000944)</t>
  </si>
  <si>
    <t>Copa Cuadrante 3/4 X 1 1/4 Proto (50000945)</t>
  </si>
  <si>
    <t>Copa Cuadrante 3/4 X 1 1/8 Tipo B (50000946)</t>
  </si>
  <si>
    <t>Exten Extension Cuadrante 1/2 X 2" Proto (50000947)</t>
  </si>
  <si>
    <t>Extractor Retenedores (50000948)</t>
  </si>
  <si>
    <t>Gato Botella Cremallera 20 Toneladas (50000949)</t>
  </si>
  <si>
    <t>Gato Botella De 15 Toneladas (50000950)</t>
  </si>
  <si>
    <t>Gato Cremallera Ferrocarril 15 Toneladas (50000951)</t>
  </si>
  <si>
    <t>Llave Torx Tipo Navaja (50000952)</t>
  </si>
  <si>
    <t>Copa Cuadrante 3/8 X 3/8 Tipo B (50000953)</t>
  </si>
  <si>
    <t>Copa Torx T 40 Snapon (50000954)</t>
  </si>
  <si>
    <t>Encendedor Autogena Chispero (50000955)</t>
  </si>
  <si>
    <t>Copa Torx T 50 Snapon (50000956)</t>
  </si>
  <si>
    <t>Lima Redonda 1/2 X 10 (50000957)</t>
  </si>
  <si>
    <t>Llave Mixta 13/16 Proto (50000958)</t>
  </si>
  <si>
    <t>Llave Mixta 13/16 Tipo B (50000959)</t>
  </si>
  <si>
    <t>Llave Mixta 3/4 Tipo B (50000960)</t>
  </si>
  <si>
    <t>Llave Mixta 5/8 Tipo B (50000961)</t>
  </si>
  <si>
    <t>Llave Mixta 7/8 Proto (50000962)</t>
  </si>
  <si>
    <t>Marco Escofina (50000963)</t>
  </si>
  <si>
    <t>Juego Mangueras 60" Aire Acondicionado (50000964)</t>
  </si>
  <si>
    <t>Palanca De Uña Hechiza (50000965)</t>
  </si>
  <si>
    <t>Llave Mixta 1 1/8 Tipo B (50000966)</t>
  </si>
  <si>
    <t>Taladro De 7/8 Black Deker (50000967)</t>
  </si>
  <si>
    <t>Copa Cuadrante 1" X 2 3/4 Proto (50000968)</t>
  </si>
  <si>
    <t>Copa Cuadrante 1/2 X 1 1/8 Snapon (50000969)</t>
  </si>
  <si>
    <t>Copa Cuadrante 1/2 X 20mm Tipo B (50000970)</t>
  </si>
  <si>
    <t>Copa Cuadrante 1/2 X 22mm Proto (50000971)</t>
  </si>
  <si>
    <t>Copa Cuadrante 1/2 X 23mm Proto (50000972)</t>
  </si>
  <si>
    <t>Copa Cuadrante 1/2 X 24mm Proto (50000973)</t>
  </si>
  <si>
    <t>Copa Larga Cuadrante 1/2 X 1/2 Proto (50000974)</t>
  </si>
  <si>
    <t>Copa Hexagona Cuadrante 1/2 X 15mm Proto (50000975)</t>
  </si>
  <si>
    <t>Copa Larga Impacto Cuadrante 1/2 X 15/16 (50000976)</t>
  </si>
  <si>
    <t>Copa Larga Cuadrante 1/2 X 7/16 Snapon (50000977)</t>
  </si>
  <si>
    <t>Cortafrio Lateral De 8" (50000978)</t>
  </si>
  <si>
    <t>Escuadra De 12" Stanley (50000979)</t>
  </si>
  <si>
    <t>Escual Escualizador Cuadrante 1/2 Tipo B (50000980)</t>
  </si>
  <si>
    <t>Gato Botella Hidraulico 1/2 Tonelas (50000981)</t>
  </si>
  <si>
    <t>Botadores Varios (50000982)</t>
  </si>
  <si>
    <t>Llave Hexagona Surtidas (50000983)</t>
  </si>
  <si>
    <t>Juego Machuelo 5/16 Ro X 3 Und (50000984)</t>
  </si>
  <si>
    <t>Copa Torx T 30 Snapon (50000985)</t>
  </si>
  <si>
    <t>Camilla Mecanico 2-Secciones Ref.Tr6440 (50000986)</t>
  </si>
  <si>
    <t>Centro Punto De 7/16 Proto (50000987)</t>
  </si>
  <si>
    <t>Taladro De Arbol 3/4 (50000988)</t>
  </si>
  <si>
    <t>Copa Cuadrante 1/2 X 1 1/8 Tipo B (50000989)</t>
  </si>
  <si>
    <t>Copa Cuadrante 1/2 X 11 Mm Snapon (50000991)</t>
  </si>
  <si>
    <t>Copa Cuadrante 1/2 X 11 Mm Tipo B (50000992)</t>
  </si>
  <si>
    <t>Copa Cuadrante 1/2 X 11/16 Proto (50000993)</t>
  </si>
  <si>
    <t>Copa Cuadrante 1/2 X 12mm Snapon (50000994)</t>
  </si>
  <si>
    <t>Copa Cuadrante 1/2 X 14mm Snapon (50000995)</t>
  </si>
  <si>
    <t>Cargador Manometro Baja Azul A/C (50000996)</t>
  </si>
  <si>
    <t>Copa Cuadrante 1/2 X 16mm Snapon (50000997)</t>
  </si>
  <si>
    <t>Copa Cuadrante 1/2 X 17mm Snapon (50000998)</t>
  </si>
  <si>
    <t>Copa Cuadrante 1/2 X 18mm Tipo B (50000999)</t>
  </si>
  <si>
    <t>Copa Cuadrante 1/2 X 18mm Snapon (50001000)</t>
  </si>
  <si>
    <t>Copa Cuadrante 1/2 X 19mm Snapon (50001001)</t>
  </si>
  <si>
    <t>Kit Reparacion Rache 3/4 (5649) (50001002)</t>
  </si>
  <si>
    <t>Martillo De Uña (50001003)</t>
  </si>
  <si>
    <t>Extension Electrica Varias (50001004)</t>
  </si>
  <si>
    <t>Boquilla De Aire Larga 14" (50001005)</t>
  </si>
  <si>
    <t>Copa Impacto Cuadrante 1/2 X 1 1/4 Snapo (50001006)</t>
  </si>
  <si>
    <t>Copa Larga Impacto Cuadrante 1/2 X 9/16 (50001007)</t>
  </si>
  <si>
    <t>Llave Expansion 15" Tipo B (50001008)</t>
  </si>
  <si>
    <t>Cargador Manometro Alta Rojo A/C (50001009)</t>
  </si>
  <si>
    <t>Llave Mixta 12mm Tipo B (50001010)</t>
  </si>
  <si>
    <t>Llave Mixta 14mm Tipo B (50001011)</t>
  </si>
  <si>
    <t>Llave Mixta 15/16 Tipo B (50001012)</t>
  </si>
  <si>
    <t>Llave Mixta 19mm Snapon (50001013)</t>
  </si>
  <si>
    <t>Palanca Uña 652/24 Tipo B (50001014)</t>
  </si>
  <si>
    <t>Reduccion Impacto Cuadrante 1" A 3/4 Sna (50001015)</t>
  </si>
  <si>
    <t>Boquilla Para Inflar Seguridad Con Clip (50001016)</t>
  </si>
  <si>
    <t>Llave Pernos 41 X 21 De Npr (50001017)</t>
  </si>
  <si>
    <t>Equipo Lubricacion Con Bomba Carrete Y P (50001018)</t>
  </si>
  <si>
    <t>Remachadora Pop Cabeza Flexible (50001019)</t>
  </si>
  <si>
    <t>Llave Mixta 7/8" Tipo B (50001020)</t>
  </si>
  <si>
    <t>Pistola Surtidor 1" Nueva (50001021)</t>
  </si>
  <si>
    <t>Destornillador Estrella 1/4 X 8-9" Tipo (50001022)</t>
  </si>
  <si>
    <t>Almadana De 6 Libras (50001023)</t>
  </si>
  <si>
    <t>Almadana De 3 Libras (50001024)</t>
  </si>
  <si>
    <t>Martill Neumatico Remach Snapon Sph3050 (50001025)</t>
  </si>
  <si>
    <t>Butorola De 1/4 (50001026)</t>
  </si>
  <si>
    <t>Butorola De 3/16 (50001027)</t>
  </si>
  <si>
    <t>Escuadra De 24" Metalica Stanley (50001028)</t>
  </si>
  <si>
    <t>Escuadra De 10" Metalica Stanley (50001029)</t>
  </si>
  <si>
    <t>Destornillador Pala 1/4 X 6"-8" Tipo B (50001030)</t>
  </si>
  <si>
    <t>Nivel Aluminio De 24 " (50001031)</t>
  </si>
  <si>
    <t>Alicate De 2 Posiciones (50001032)</t>
  </si>
  <si>
    <t>Llave Estrella 1/2 X 9/16 Urre (50001033)</t>
  </si>
  <si>
    <t>Copa Corta Cuadrante 3/4 X 7/8 Proto (50001034)</t>
  </si>
  <si>
    <t>Llave Mixta 1 1/2 Tipo B (50001035)</t>
  </si>
  <si>
    <t>Alicate Sencillo Universal 8" (50001036)</t>
  </si>
  <si>
    <t>Copa Corta Cuadrante 3/4 X 1 5/8 Proto (50001037)</t>
  </si>
  <si>
    <t>Juego Copa Cuadrante 3/8 X 6mm-19mm Tip (50001038)</t>
  </si>
  <si>
    <t>Martil Martillo De Caucho De 2 Lbs Proto (50001039)</t>
  </si>
  <si>
    <t>Sopladora Eléctrica 530 W (50001040)</t>
  </si>
  <si>
    <t>Destornillador Estrella 3/16 X 3" Tipo A (50001041)</t>
  </si>
  <si>
    <t>Destornillador Estrella 1/4 X 4" Tipo A (50001042)</t>
  </si>
  <si>
    <t>Destornillador Pala 1/4 X 4" Tipo A (50001043)</t>
  </si>
  <si>
    <t>Exten Extension Cuadrante 1/4 X 6" Proto (50001044)</t>
  </si>
  <si>
    <t>Linterna Recargable # 2611 (50001045)</t>
  </si>
  <si>
    <t>Llave Mixta 19mm Tipo B (50001046)</t>
  </si>
  <si>
    <t>Copa Impacto Cuad 3/4 1 5 Snapon S-Im522 (50001047)</t>
  </si>
  <si>
    <t>Llave Seguro Puerta Contenedor (50001048)</t>
  </si>
  <si>
    <t>Llave Filtro Cadena 23" Blue Point (50001049)</t>
  </si>
  <si>
    <t>Unidad De Mtto Engrsa Equipetrol Mato-14 (50001050)</t>
  </si>
  <si>
    <t>Juego Copa Cuad 3/8 T40-55 Tor T33240 (50001051)</t>
  </si>
  <si>
    <t>Kit Reparacion Rache De 1/ Proto P5449rk (50001052)</t>
  </si>
  <si>
    <t>Aerografo Abanico (50001053)</t>
  </si>
  <si>
    <t>Juego De Limas 8" Nicholson (50001054)</t>
  </si>
  <si>
    <t>Juego Llave Mixta 10mm-1 Proto 10mma19mm (50001055)</t>
  </si>
  <si>
    <t>Copa Cuadrante 1/2 X 11/16 Tipo B (50001056)</t>
  </si>
  <si>
    <t>Escob Escobilla Pulidora Dewalt 40523328 (50001057)</t>
  </si>
  <si>
    <t>Porta Power Varios 3163581 (50001058)</t>
  </si>
  <si>
    <t>Copa Impacto Cuadrante 3/4 X 1 1/16 Snap (50001059)</t>
  </si>
  <si>
    <t>Llave Mixta 16mm Tipo B (50001060)</t>
  </si>
  <si>
    <t>Engrasad Neumat Port Equipetrol Greas-03 (50001061)</t>
  </si>
  <si>
    <t>Destor Impacto Cdte 3/8 X 7uds Tx1140 (50001062)</t>
  </si>
  <si>
    <t>Vara Medicion Tanque Acpm 3.5 Rv59 (50001063)</t>
  </si>
  <si>
    <t>Alicate Presion Visegrip (50001064)</t>
  </si>
  <si>
    <t>Copa Impacto Cuad 1" X Snapon S-Simm333 (50001065)</t>
  </si>
  <si>
    <t>Extension Impac Cuad 3/4 X 10" Sim92a (50001066)</t>
  </si>
  <si>
    <t>Juego De Machos R.F. 3/4 (50001067)</t>
  </si>
  <si>
    <t>Broca Con Reduccion 11/16 (50001068)</t>
  </si>
  <si>
    <t>Pistola Para Lavado Hqp0012 (50001069)</t>
  </si>
  <si>
    <t>Copa Cuadrante 3/8 X 3/8 Proto (50001070)</t>
  </si>
  <si>
    <t>Copa Cuadrante 3/8 X 7/16 Proto Snapon (50001071)</t>
  </si>
  <si>
    <t>Copa Cuadrante 3/8 X 8mm Proto (50001072)</t>
  </si>
  <si>
    <t>Llave Mixta 5/16 1210 Proto (50001073)</t>
  </si>
  <si>
    <t>Llave Mixta 3/8 Proto (50001074)</t>
  </si>
  <si>
    <t>Llave Mixta 5/8 Proto (50001075)</t>
  </si>
  <si>
    <t>Llave Mixta 8mm Proto (50001076)</t>
  </si>
  <si>
    <t>Equipo Alineacion Llantas X 2 Piezas (50001077)</t>
  </si>
  <si>
    <t>Juego Llaves Hexagona Mm Chesco 98040 (50001078)</t>
  </si>
  <si>
    <t>Diferencial Manual De 1.0 Ton Dp0512 (50001079)</t>
  </si>
  <si>
    <t>Destornillador Estre 1/4 Senci Estrella (50001080)</t>
  </si>
  <si>
    <t>Destornillador Pala 1/4 Sencil (50001081)</t>
  </si>
  <si>
    <t>Escuadra De 1/2" St 46-040 Stanley (50001082)</t>
  </si>
  <si>
    <t>Lima Plana De 8" (50001083)</t>
  </si>
  <si>
    <t>Copa Cuadrante 1/2 X 3/4 Hexagona Proto (50001084)</t>
  </si>
  <si>
    <t>Mango Fuerza Cuadrante 3/8 X 7" Escualiz (50001085)</t>
  </si>
  <si>
    <t>Llave Filtro Correa (50001086)</t>
  </si>
  <si>
    <t>Copa Cuadrante 3/8 X 10mm Proto (50001087)</t>
  </si>
  <si>
    <t>Llave Mixta 1/2 Proto (50001088)</t>
  </si>
  <si>
    <t>Almadana De 4 Libras (50001089)</t>
  </si>
  <si>
    <t>Remachadora Pop Acordeon (50001090)</t>
  </si>
  <si>
    <t>Prensa En C De 8", 83508 (50001091)</t>
  </si>
  <si>
    <t>Pistola Silicona En Barra Gr25 (50001092)</t>
  </si>
  <si>
    <t>Aceitera Metalica Manual Pequeña (50001093)</t>
  </si>
  <si>
    <t>Rache Cu Rache Cuadrante 1/2 X 10 Tipo B (50001094)</t>
  </si>
  <si>
    <t>Llave Estrella 5/8 X 3/4 Williams W8729 (50001095)</t>
  </si>
  <si>
    <t>Punta Para Cautin Weller Nkpwwc (50001096)</t>
  </si>
  <si>
    <t>Kit Reparacion Rache De 3/8 (50001097)</t>
  </si>
  <si>
    <t>Pinza Caiman Varias (50001098)</t>
  </si>
  <si>
    <t>Vaso Aerografo Pintura 125cc (50001099)</t>
  </si>
  <si>
    <t>Llave Mixta 10mm Proto (50001100)</t>
  </si>
  <si>
    <t>Martillo Latonero Grafilado 16 Tx-8031 (50001101)</t>
  </si>
  <si>
    <t>Exte Extension Cuadrante 1/2 X 3" Snapon (50001102)</t>
  </si>
  <si>
    <t>Llave Mixta 9/16 Tipo B (50001103)</t>
  </si>
  <si>
    <t>Alicate Presion Tipo Prensa C Tx-Vp11sp (50001104)</t>
  </si>
  <si>
    <t>Patecabra 16" - 20" S-1650/ Palanca Dese (50001105)</t>
  </si>
  <si>
    <t>Juego Copa Cuadrante 1/2 X 3/8 A 1" Prot (50001106)</t>
  </si>
  <si>
    <t>Llave Mixta 11mm Proto (50001107)</t>
  </si>
  <si>
    <t>Llave Llave Boca Fija 3/8 X 7/16 Tipo B (50001108)</t>
  </si>
  <si>
    <t>Copa Impacto Cuadrante 1/2 X 17mm Tipo B (50001109)</t>
  </si>
  <si>
    <t>Copa Cuadrante 1/2 X 15/16 Snapon (50001110)</t>
  </si>
  <si>
    <t>Lima Escofina De 14" (50001111)</t>
  </si>
  <si>
    <t>Cortador Acetileno Nuevo (50001112)</t>
  </si>
  <si>
    <t>Pi Pinza Pines Interna Externa Doble Uso (50001113)</t>
  </si>
  <si>
    <t>Acidometro Para Baterias (50001114)</t>
  </si>
  <si>
    <t>Lubricante W-D40 15w40 (50001115)</t>
  </si>
  <si>
    <t>Adaptador Broca Sierra A1 (50001116)</t>
  </si>
  <si>
    <t>Lima Triangular 7" - 10" (50001117)</t>
  </si>
  <si>
    <t>Brocas Varias (50001118)</t>
  </si>
  <si>
    <t>Extractor Tornillos X 4 Piezas Kd Tx2419 (50001119)</t>
  </si>
  <si>
    <t>Jgo Brocas Hss De 1/16" A 1/2" (50001120)</t>
  </si>
  <si>
    <t>Lima Re Lima Redonda 3/8 X 6" Nicholson (50001121)</t>
  </si>
  <si>
    <t>Manometro Presion 2 X 1/2" (50001122)</t>
  </si>
  <si>
    <t>Compara Comparador Caratulas De 0-100 Mm (50001123)</t>
  </si>
  <si>
    <t>Mango Mezclador Oxicorte 315 (50001124)</t>
  </si>
  <si>
    <t>Taladro Con Mandril De 3/8 (50001125)</t>
  </si>
  <si>
    <t>Boquilla Para Soldador S101-1 Victor (50001126)</t>
  </si>
  <si>
    <t>Boquilla Para Soldador S101-3 Victor (50001127)</t>
  </si>
  <si>
    <t>Copa Larga Cuadrante 3/8 X 10mm Snapon (50001129)</t>
  </si>
  <si>
    <t>Lima Redonda 3 Lima Redonda 3/8 X 8"-10" (50001130)</t>
  </si>
  <si>
    <t>Rache Cuadrante 1/4 X 5" Urrea (50001131)</t>
  </si>
  <si>
    <t>Broca 5/8" Con Espigo De 1/2" (50001132)</t>
  </si>
  <si>
    <t>Embudo Grande Lubricacion (50001133)</t>
  </si>
  <si>
    <t>Llave Pernos Nhr 9851139350e (50001134)</t>
  </si>
  <si>
    <t>Kit Reparacion Torque De 1/2 5449 Rk (50001135)</t>
  </si>
  <si>
    <t>Boquilla Pistola Pintar Sprit (50001136)</t>
  </si>
  <si>
    <t>Pistola Para Pintura Sprayit 527 Thomas (50001137)</t>
  </si>
  <si>
    <t>Copa Estriada Cuadrante 1/2 X 1/2 12p Pr (50001138)</t>
  </si>
  <si>
    <t>Engrasadora Manual Presol (50001139)</t>
  </si>
  <si>
    <t>Copa Estriada Cuadrante 1/2 X 5/8 12p Pr (50001140)</t>
  </si>
  <si>
    <t>Fri Aug 01 2025 00:00:00 GMT-0500 (hora (50001141)</t>
  </si>
  <si>
    <t>Llave Mixta 7/16 Snapon (50001142)</t>
  </si>
  <si>
    <t>Rastrillo Agricola 989119 (50001143)</t>
  </si>
  <si>
    <t>Cautin Soldadura De Estaño Varios Watios (50001144)</t>
  </si>
  <si>
    <t>Escalera De Tijera En Aluminio Tal3 (50001145)</t>
  </si>
  <si>
    <t>Candado B-50 Yale 110-50 (50001146)</t>
  </si>
  <si>
    <t>Pistola Petrolizadora (50001147)</t>
  </si>
  <si>
    <t>Pistola Para Engrase Greas 15 (50001148)</t>
  </si>
  <si>
    <t>Copa Impacto Cuad 1/2 X 3/4 Urrea U7324h (50001149)</t>
  </si>
  <si>
    <t>Palanca Destalonadora Llanta Tec T-26b (50001150)</t>
  </si>
  <si>
    <t>Palanca Desmotadora Camion Tec Tnt-200 (50001151)</t>
  </si>
  <si>
    <t>Copa Impacto Cuadrante 1/2 X 13mm Snapon (50001152)</t>
  </si>
  <si>
    <t>Llave Mixta 15/16" Proto (50001153)</t>
  </si>
  <si>
    <t>Pinza Pela Cable 6" A 9" (50001154)</t>
  </si>
  <si>
    <t>Probador De Circuito 12v Lisle (50001155)</t>
  </si>
  <si>
    <t>Llave Mixta 3/8 Tipo B (50001156)</t>
  </si>
  <si>
    <t>Llana Metalica Lisa (50001157)</t>
  </si>
  <si>
    <t>Pinza De Punta Fina 8.3/8 (50001158)</t>
  </si>
  <si>
    <t>Lima Re Lima Redonda 1/2 X 12" Nicholson (50001159)</t>
  </si>
  <si>
    <t>Juego Llave T7 - T55 Torx Allen X 10 (50001160)</t>
  </si>
  <si>
    <t>Multimet Multimetro Digital Ut50c, Ut60a (50001161)</t>
  </si>
  <si>
    <t>Lima Plana De 12" (50001162)</t>
  </si>
  <si>
    <t>Tijera Corta Lamina 10" - 14" (50001163)</t>
  </si>
  <si>
    <t>Punta Impacto No2 Estrella Snap-On 30180 (50001164)</t>
  </si>
  <si>
    <t>Reduccion 3/4 A 1/2 Tipo A (50001165)</t>
  </si>
  <si>
    <t>Copa Impacto Cuadrante 1/2 X 15mm Snapon (50001166)</t>
  </si>
  <si>
    <t>Cadena Eslabonada 3/8 3/8" (50001168)</t>
  </si>
  <si>
    <t>Copa Impacto Cuadrante 1" X 1 1/4 Proto (50001170)</t>
  </si>
  <si>
    <t>Copa Cuadrante 3/4 X 15/16 Snapon (50001171)</t>
  </si>
  <si>
    <t>Pistola Soldadura Weller200w D550/260 (50001172)</t>
  </si>
  <si>
    <t>Calibrador Aire Llantas Recto 54860 Rect (50001173)</t>
  </si>
  <si>
    <t>Calibrador Aire Pesado 150 Lbs (50001174)</t>
  </si>
  <si>
    <t>Copa Cuadran 1/2 X 9/16 Prot 9/16 C 1/2 (50001175)</t>
  </si>
  <si>
    <t>Llave Mixta 9/16 Proto (50001176)</t>
  </si>
  <si>
    <t>Paleta Pare Y Siga (50001177)</t>
  </si>
  <si>
    <t>Copa Cuadrante 1/2 X 13mm Tipo A (50001178)</t>
  </si>
  <si>
    <t>Pinza Convertible 0.36" Snapon (50001179)</t>
  </si>
  <si>
    <t>Copa Cuadrante 3/8 X 11mm Proto (50001180)</t>
  </si>
  <si>
    <t>Copa Cuadrante 3/8 X 7mm Proto (50001181)</t>
  </si>
  <si>
    <t>Exten Extension Cuadrante 3/8 X 3" Proto (50001182)</t>
  </si>
  <si>
    <t>Exten Extension Cuadrante 3/8 X 6" Proto (50001183)</t>
  </si>
  <si>
    <t>Ext Extension Cuadrante 3/8 X 12" Snapon (50001184)</t>
  </si>
  <si>
    <t>Llave Mixta 17mm Proto (50001185)</t>
  </si>
  <si>
    <t>Calibrador De Galgas Tipo A (50001186)</t>
  </si>
  <si>
    <t>Copa Cuadrante 3/4 X 1 1/8 Proto (50001187)</t>
  </si>
  <si>
    <t>Llave Mixta 18mm Proto (50001188)</t>
  </si>
  <si>
    <t>Probador De Corriente De 110 (50001189)</t>
  </si>
  <si>
    <t>Punta De Impacto Estrella Tor (50001190)</t>
  </si>
  <si>
    <t>Correa Carga Quimicos Jgo X 2 M 5 Mts (50001191)</t>
  </si>
  <si>
    <t>Lima Mediacaña De Lima Mediacaña De 12" (50001192)</t>
  </si>
  <si>
    <t>Lima Plana De 10" (50001193)</t>
  </si>
  <si>
    <t>Martillo Herragro Pulido 150125mm (50001194)</t>
  </si>
  <si>
    <t>Broca Sierra 1" (50001195)</t>
  </si>
  <si>
    <t>Broca Sierra 5/8 5/8" (50001196)</t>
  </si>
  <si>
    <t>LINTna Dinamo Led Brigadista Tipo Minero (50001197)</t>
  </si>
  <si>
    <t>Broca Sierra 3/4 3/4" (50001198)</t>
  </si>
  <si>
    <t>Broca Sierra 7/8 7/8" (50001199)</t>
  </si>
  <si>
    <t>Cortafrio Frontal 8" Ck3258 (50001200)</t>
  </si>
  <si>
    <t>Broca Sierra 1 1/8 1 1/8" (50001201)</t>
  </si>
  <si>
    <t>Flexometro De 5 Mts (50001202)</t>
  </si>
  <si>
    <t>Caja De Herramienta Generico 40x20x16 (50001203)</t>
  </si>
  <si>
    <t>Juego De Limpia-Boquilla (50001204)</t>
  </si>
  <si>
    <t>Cautin De Soldar 60w (50001205)</t>
  </si>
  <si>
    <t>Copa Impacto Cuad 3/4 X 15/16 Proto (50001206)</t>
  </si>
  <si>
    <t>Llave Mixta 3/4 Proto (50001207)</t>
  </si>
  <si>
    <t>Copa Cuadrante 3/8 X 12mm Proto (50001208)</t>
  </si>
  <si>
    <t>Ext Extension Cuadrante 1/2 X 10" Tipo B (50001209)</t>
  </si>
  <si>
    <t>Botiquin Primeros Auxilios (50001210)</t>
  </si>
  <si>
    <t>Copa Cuad 1/2 X 1/2 Tipo A (50001211)</t>
  </si>
  <si>
    <t>Mandril Taladro Cuad 1/2 Rohm 5/8cuad1/2 (50001212)</t>
  </si>
  <si>
    <t>Reduccion De 1/2 X 3/8 Snapon (50001213)</t>
  </si>
  <si>
    <t>Reduccion De 1" X 3/4 Snapon (50001214)</t>
  </si>
  <si>
    <t>Broca 1/4 Hss Negra 1/4" (50001215)</t>
  </si>
  <si>
    <t>Pinza Vo Pinza Voltiamperimetrica Ut 205 (50001216)</t>
  </si>
  <si>
    <t>Broca 1/8 Hss Negra 1/8" (50001217)</t>
  </si>
  <si>
    <t>Espatulas Varias (50001218)</t>
  </si>
  <si>
    <t>Broca 3/8 Hss Negra 3/8" (50001219)</t>
  </si>
  <si>
    <t>Copa Cuadrante 3/8 X 1/4 Tipo B (50001220)</t>
  </si>
  <si>
    <t>Broca 3/16 Hss Negra 3/16" (50001221)</t>
  </si>
  <si>
    <t>Broca 5/16 Hss Negra 5/16" (50001222)</t>
  </si>
  <si>
    <t>Broca 7/16 Hss Negra 7/16" (50001223)</t>
  </si>
  <si>
    <t>Broca 7/32 Hss Negra 7/32" (50001224)</t>
  </si>
  <si>
    <t>Broca 5/32 Hss Negra 5/32" (50001225)</t>
  </si>
  <si>
    <t>Prensa De Banco # 8 Ursus (50001226)</t>
  </si>
  <si>
    <t>Llave De Tubo 24" Proto (50001227)</t>
  </si>
  <si>
    <t>Llave De Tubo 14" Proto (50001228)</t>
  </si>
  <si>
    <t>Pinza Convertible Recta Proto 7.6/16 (50001229)</t>
  </si>
  <si>
    <t>Llave Mixta 13mm Proto (50001230)</t>
  </si>
  <si>
    <t>Llave Mixta 12mm Proto (50001231)</t>
  </si>
  <si>
    <t>Copa Estriad Larg Cuad 1/2x1/ Proto 1/2" (50001232)</t>
  </si>
  <si>
    <t>Rache Cuadrante 3/8 X 6"-8" P Proto 3/8" (50001233)</t>
  </si>
  <si>
    <t>Pistola Sikaflex - Silicona (50001234)</t>
  </si>
  <si>
    <t>Rache Cuadrante 1/2 X 10" Prot Proto (50001235)</t>
  </si>
  <si>
    <t>Marco Para Segueta (50001237)</t>
  </si>
  <si>
    <t>Copa Estriada Cuad 1/2 X 16 M Proto 16mm (50001238)</t>
  </si>
  <si>
    <t>Llave Mixta 14mm Proto Urrea (50001239)</t>
  </si>
  <si>
    <t>Cadena Eslabonada 1/4 1/4" (50001240)</t>
  </si>
  <si>
    <t>Boquilla Doble Servicio 13" Larga (50001241)</t>
  </si>
  <si>
    <t>Soporte Movil Para Pistola De Impacto (50001242)</t>
  </si>
  <si>
    <t>Palustre # 7 (50001243)</t>
  </si>
  <si>
    <t>Juego Copas De 10 A 32 Mm X 18 Piezas (50001244)</t>
  </si>
  <si>
    <t>Copa Sierra Para Metal 2" (50001245)</t>
  </si>
  <si>
    <t>Arbol Para Copa Sierra De Metal 2" (50001246)</t>
  </si>
  <si>
    <t>Juego Machuelo Para Roscas 1960029-10 (50001247)</t>
  </si>
  <si>
    <t>Pinza Para Masa De 300 Amperios (50001248)</t>
  </si>
  <si>
    <t>Calibrador Fijador Tiempo (50001249)</t>
  </si>
  <si>
    <t>Broca Sierra Blumol 2 1/2 (50001250)</t>
  </si>
  <si>
    <t>Copa Impact Cuad 1/2 X 12m Snap-On 12 Mm (50001251)</t>
  </si>
  <si>
    <t>Cortador Tipo Tijera Tubo Pvc Plastico 1 (50001252)</t>
  </si>
  <si>
    <t>Serrucho Sierra Para Drywall (50001253)</t>
  </si>
  <si>
    <t>Espatula Esquinera Exterior Para Drywall (50001254)</t>
  </si>
  <si>
    <t>Codal Tubo Rectangular Cerrajeria 76 X 3 (50001256)</t>
  </si>
  <si>
    <t>Cimbra Albañil 1w91411 (50001257)</t>
  </si>
  <si>
    <t>Alicate Pelacable Automatico (50001258)</t>
  </si>
  <si>
    <t>Candado De Seguridad 850 500-50 (50001259)</t>
  </si>
  <si>
    <t>BMB Presurizable Para Limpieza A/C-Fs-39 (50001260)</t>
  </si>
  <si>
    <t>Regulador Presion Co2- G-307 Air Produce (50001261)</t>
  </si>
  <si>
    <t>Instalador RET DEL MOT CUMM X15 4918991 (50001262)</t>
  </si>
  <si>
    <t>Herramienta De Giro Volante Paccar Mx13 (50001263)</t>
  </si>
  <si>
    <t>Rueda Camilla Mecanico Imsa 04 2" (50001264)</t>
  </si>
  <si>
    <t>Palanca Montaje Llantas Sellomatic R17.5 (50001265)</t>
  </si>
  <si>
    <t>Llave Pernos 22mm Foton 1039 (50001266)</t>
  </si>
  <si>
    <t>Medidor De Distancia Digital 16-18 M (50001267)</t>
  </si>
  <si>
    <t>Mototool Mini Taladro Recargable (50001268)</t>
  </si>
  <si>
    <t>Mini Pinza De Punta 5" (50001269)</t>
  </si>
  <si>
    <t>BMB De Lubricacion Neumatica Caneca 55 G (50001270)</t>
  </si>
  <si>
    <t>Palanca Fuerza Cuad 1 Snap-On 18" A 1/2" (50001271)</t>
  </si>
  <si>
    <t>Cono Reflectivo Retractil 60 Cm (50001272)</t>
  </si>
  <si>
    <t>Cuchillo Zapatero #2 (50001273)</t>
  </si>
  <si>
    <t>Estación De Soldadura Y Calor (50001274)</t>
  </si>
  <si>
    <t>BMB Manual Tipo Manivela Caneca 55 Galon (50001275)</t>
  </si>
  <si>
    <t>Filamento Pla Para Impresora 3d Hatcchbo (50001276)</t>
  </si>
  <si>
    <t>Soporte Conos Demarcacion Vial Vehiculo (50001277)</t>
  </si>
  <si>
    <t>Soldador De Punto Para Baterias 18650 (50001278)</t>
  </si>
  <si>
    <t>Medidor De Distancia Laser 50 M (50001279)</t>
  </si>
  <si>
    <t>Calibrador De Roscas En Mm Y Pulg Td1040 (50001280)</t>
  </si>
  <si>
    <t>Set 3 Cinceles Sds - Plus Bosch (50001281)</t>
  </si>
  <si>
    <t>Set Copa De Impacto 1/2-Pulg Métricas De (50001282)</t>
  </si>
  <si>
    <t>Copa Cuadrante 3/4 X 30mm Tipo B (50001283)</t>
  </si>
  <si>
    <t>Kit De Galgas Ajuste Para Válvulas Pacca (50001284)</t>
  </si>
  <si>
    <t>Juego De Llaves Bristol (Hexagonal Allen (50001285)</t>
  </si>
  <si>
    <t>Cubierta Balanceadora Montallantas Fabri (50001286)</t>
  </si>
  <si>
    <t>Juego De Herramienta Infraestructura (50001287)</t>
  </si>
  <si>
    <t>Juego Copas 10 A 32 Mm De 1/2" 8 Piezas (50001288)</t>
  </si>
  <si>
    <t>Tijera Aviacion (50001289)</t>
  </si>
  <si>
    <t>Doblador De Tubo 3 4'' Y 1 2'' Conduit (50001290)</t>
  </si>
  <si>
    <t>Probador De Polaridad De Contactos 125v (50001291)</t>
  </si>
  <si>
    <t>Barra De Acero 14 Pulgadas (50001292)</t>
  </si>
  <si>
    <t>Pala Redonda No. 2 Con Cabo (50001293)</t>
  </si>
  <si>
    <t>Llana De Madera 10.5 X 6.6 Pulgadas (50001294)</t>
  </si>
  <si>
    <t>Llana Dentada 10x10 Mango Plastico (50001295)</t>
  </si>
  <si>
    <t>Estuche Brocas Madera- Muro - Metal X 18 (50001296)</t>
  </si>
  <si>
    <t>Decametro 100 Metros Fibra De Vidrio (50001297)</t>
  </si>
  <si>
    <t>Cinturón Porta Herramientas Ref 19322002 (50001298)</t>
  </si>
  <si>
    <t>Copa Larga Cuadrante 1/2 X 9/16 Tipo B (50001299)</t>
  </si>
  <si>
    <t>Llave Mixta 2 1/2 Tipo B (50001300)</t>
  </si>
  <si>
    <t>Llave Mixta 1 1/4 Tipo B (50001301)</t>
  </si>
  <si>
    <t>Llave T Mango Girat Cuadrante 1/2 Tipo (50001302)</t>
  </si>
  <si>
    <t>Kit Arrestador De Llamas Para Regulador (50001303)</t>
  </si>
  <si>
    <t>Regulador Presion Oxigeno Oxicorte Edge (50001304)</t>
  </si>
  <si>
    <t>Kit Mantenimiento Y Desarme De Portatile (50001305)</t>
  </si>
  <si>
    <t>Extractor De Rodamiento Transmision Eato (50001306)</t>
  </si>
  <si>
    <t>Kit De Accesorios Motortool (50001307)</t>
  </si>
  <si>
    <t>Serrucho Para Drywall (50001308)</t>
  </si>
  <si>
    <t>Juego X 11 Llaves Hexagonas En Pulgadas (50001309)</t>
  </si>
  <si>
    <t>Ajuste Clutch Glfltct7028 (50001310)</t>
  </si>
  <si>
    <t>Dispositivo Luminoso Para Cono Reflectiv (50001311)</t>
  </si>
  <si>
    <t>Copa Impacto Mixta 41 X 21 Mm Cuadrante (50001312)</t>
  </si>
  <si>
    <t>Generador Y Rastreador De Tonos Mt7029 (50001313)</t>
  </si>
  <si>
    <t>Profundimetro Digital Llantas (50001314)</t>
  </si>
  <si>
    <t>Copa Magnetica Para Taladro (50001315)</t>
  </si>
  <si>
    <t>Sat Feb 01 2025 00:00:00 GMT-0500 (hora (50001316)</t>
  </si>
  <si>
    <t>Broca Para Hierro De 1.1/8" Espigada (50001317)</t>
  </si>
  <si>
    <t>Boquilla Cortador Acetileno Victor 1101 (50001318)</t>
  </si>
  <si>
    <t>Cadena Eslabonada 3/16 Metros 3/16" (50001319)</t>
  </si>
  <si>
    <t>Corta Vidrios (50001320)</t>
  </si>
  <si>
    <t>Doblador De Tubo De 1'' Y 3 4'' Conduit (50001321)</t>
  </si>
  <si>
    <t>Pinza Ponchadora Y Cortadora (50001322)</t>
  </si>
  <si>
    <t>Pinza Pico Loro De 10" (50001323)</t>
  </si>
  <si>
    <t>Chequeador De Corriente 110 V (50001324)</t>
  </si>
  <si>
    <t>Juego De Puntas Para Taladro 1/4" 33pz (50001325)</t>
  </si>
  <si>
    <t>Cono Reflectivo Señalización 70 Cms (50001326)</t>
  </si>
  <si>
    <t>Juego Botadores Cilindrico 2-8 Mm (50001327)</t>
  </si>
  <si>
    <t>Disco Corte Madera 4 1/2 Carbono Tusteno (50001328)</t>
  </si>
  <si>
    <t>Juego Llaves Reversible 8 A 19 Mm (50001330)</t>
  </si>
  <si>
    <t>Arbol P/Sierra Copa 9/16" A 1.1/8 A 3/8 (50001331)</t>
  </si>
  <si>
    <t>Tarraja 27-119 (50001334)</t>
  </si>
  <si>
    <t>Kit Destornilladores Electronica (50001335)</t>
  </si>
  <si>
    <t>Gato Botella Hidraulico 7 Toneladas (50001336)</t>
  </si>
  <si>
    <t>Unidad Mantenimiento Engrasadora 1/4 Npt (50001337)</t>
  </si>
  <si>
    <t>Llave Boca Fija 1 1/8 X 1 1/16 Tb (50001338)</t>
  </si>
  <si>
    <t>Rache Cuadrante 1/2 X 8" Tipo B (50001339)</t>
  </si>
  <si>
    <t>Copa Larga Cuadrante 3/8 X 13 Mm Tipo B (50001340)</t>
  </si>
  <si>
    <t>Copa Larga Cuadrante 3/8 X 17mm Tipo B (50001341)</t>
  </si>
  <si>
    <t>Juego Llave T10- T40 Torx Force (50001342)</t>
  </si>
  <si>
    <t>Kit Equipo Oxicorte Serie 2.0 Victor (50001343)</t>
  </si>
  <si>
    <t>Boquilla Calentador Acetileno (50001344)</t>
  </si>
  <si>
    <t>Seguro King Pin Trailer (50001345)</t>
  </si>
  <si>
    <t>Copa Thermal Equipo Plasma (50001346)</t>
  </si>
  <si>
    <t>Ordenador De Llaves (48 Ganchos) Metalic (50001347)</t>
  </si>
  <si>
    <t>Motoventilador Para Soldador (50001348)</t>
  </si>
  <si>
    <t>Manómetro Medidor De Fugas RAD Snap-On (50001349)</t>
  </si>
  <si>
    <t>Bisturi Industrial (50001350)</t>
  </si>
  <si>
    <t>Regulador Argon Purox 580 (50001351)</t>
  </si>
  <si>
    <t>Copa Punta Hexagona 5/16” X 1/2 Snapon (50001352)</t>
  </si>
  <si>
    <t>Jgo Copas Completo 1/4,3/8,1/2, 120 Piez (50001353)</t>
  </si>
  <si>
    <t>Copa Estriad Cuad 3/4x13/16 Tb (50001354)</t>
  </si>
  <si>
    <t>Exten Extension Cuadrante 3/8 X 10" T.B. (50001355)</t>
  </si>
  <si>
    <t>Marcador De Llantas Rediser (50001356)</t>
  </si>
  <si>
    <t>Multiplicador De Torque X 4 Pz (50001357)</t>
  </si>
  <si>
    <t>Broca Taladro Hilti Concreto 3/4 X 10" (50001358)</t>
  </si>
  <si>
    <t>Bomba Manual Caneca 55 Groz (50001359)</t>
  </si>
  <si>
    <t>Juego Cables Para Tester (50001360)</t>
  </si>
  <si>
    <t>Destornillador Estre 1/8 X 4 Tb (50001361)</t>
  </si>
  <si>
    <t>Destornillador Pala 1/8 X 4 Tb (50001362)</t>
  </si>
  <si>
    <t>Destornillador Estre 3/16 X 6 Tb (50001363)</t>
  </si>
  <si>
    <t>Destornillador Estre 1/4 X 4 T B (50001364)</t>
  </si>
  <si>
    <t>Adaptador Tapa Radiador Nkr Svt26229 (50001365)</t>
  </si>
  <si>
    <t>Porta Electrodo Jackson 300amp 300 Amp (50001366)</t>
  </si>
  <si>
    <t>Profundimetro Llanta 34056454 (50001367)</t>
  </si>
  <si>
    <t>Probador Cable De Red (50001368)</t>
  </si>
  <si>
    <t>Kit Herramientas Soporte Sistemas (50001369)</t>
  </si>
  <si>
    <t>Palanca Para Bajar Repuesto 9231100180 (50001370)</t>
  </si>
  <si>
    <t>Grab Grabador Electrico P. Carburo 290aa (50001371)</t>
  </si>
  <si>
    <t>Llave Allen Larga 5/8 Snapon (50001373)</t>
  </si>
  <si>
    <t>Kit Para Medir El Ph (50001374)</t>
  </si>
  <si>
    <t>Medidor De Ph Digital H198103 (50001375)</t>
  </si>
  <si>
    <t>Vasija Plastico De 1000ml (50001376)</t>
  </si>
  <si>
    <t>Palanca Gato Llanta 60368240 (50001377)</t>
  </si>
  <si>
    <t>Punta Estrella Ph1-5/16x3 (50001378)</t>
  </si>
  <si>
    <t>Punta Estrella Ph2-5/16x1 (50001379)</t>
  </si>
  <si>
    <t>Llave Filtro Cinta Metalica Tx-53500 (50001380)</t>
  </si>
  <si>
    <t>Machete Incolma 18" (50001381)</t>
  </si>
  <si>
    <t>Copa Larga Cuad 3/8 X 12mm Tb (50001382)</t>
  </si>
  <si>
    <t>Cuadrante De 1/2 Para Adaptador (50001383)</t>
  </si>
  <si>
    <t>Copa La Copa Larga Cdte 3/4 X 15/16 T.A. (50001384)</t>
  </si>
  <si>
    <t>Copa Pun Hexag Cuad 3/8x6mm Tb (50001385)</t>
  </si>
  <si>
    <t>Llave Pernos 1.5/8 X 3/ Mazda 1 5/8 X 3/ (50001386)</t>
  </si>
  <si>
    <t>Llave FILT Cinta Metali Surtek Tk-107315 (50001387)</t>
  </si>
  <si>
    <t>Llave Pernos Art 1 1/ Germany 1 1/16*1 1 (50001388)</t>
  </si>
  <si>
    <t>Reduccion Impacto Cuadradante 3/4 X 1" (50001389)</t>
  </si>
  <si>
    <t>Palaca Fuerza Cuad 3/4 X 20 (50001390)</t>
  </si>
  <si>
    <t>Copa Impacto Cuad 1" X 2.1/4 Proto (50001391)</t>
  </si>
  <si>
    <t>Gato 20 Toneladas Oleoneumatico (50001392)</t>
  </si>
  <si>
    <t>Lupa O Lampara Lente Banco (50001393)</t>
  </si>
  <si>
    <t>Marcador De Metal 6082 (50001394)</t>
  </si>
  <si>
    <t>Martillo De Bola De 1 A 2 Lbs 1 Y 2 Lbs (50001395)</t>
  </si>
  <si>
    <t>Gato Tipo Zorra 3 Toneladas (50001396)</t>
  </si>
  <si>
    <t>Torre De Elevacion Vehiculos (50001397)</t>
  </si>
  <si>
    <t>Medidor De Torque Angular De 1/2 Tx9g108 (50001398)</t>
  </si>
  <si>
    <t>Juego Copa Cuadrante 1/2 De 10 -22 Mm 14 (50001399)</t>
  </si>
  <si>
    <t>Cable Skypatrol Cbl072 Gps (50001400)</t>
  </si>
  <si>
    <t>Kit Manometro Con Acoples 1/4 AIR Acondi (50001401)</t>
  </si>
  <si>
    <t>Llave Boca Fija 1/2 X 9/16 Tb Stanley (50001402)</t>
  </si>
  <si>
    <t>Llave De Tubo 10" - 12" Tipo B Stanley (50001403)</t>
  </si>
  <si>
    <t>Llave Estrella 1/2 X 9/ Bahco 1/2 A 9/16 (50001404)</t>
  </si>
  <si>
    <t>Llave Estrella 3/8 X 7/16 Tb Bahco (50001405)</t>
  </si>
  <si>
    <t>Llave Estrella 12 X 13mm Tipob Zubi-Hola (50001406)</t>
  </si>
  <si>
    <t>Flexometro De 8 Mts (50001407)</t>
  </si>
  <si>
    <t>Llave Estrella 14 X 15mm Tipob Zubi-Hola (50001408)</t>
  </si>
  <si>
    <t>Llave Expansion 10" A 12" Bahco 10"/12" (50001409)</t>
  </si>
  <si>
    <t>Llave Hexagona 1/2 Tipo B 1/2" (50001410)</t>
  </si>
  <si>
    <t>Punta De 12 Estrias 12mm L60790 (50001412)</t>
  </si>
  <si>
    <t>Llave Hexagona 5/16 Tipo B Chesco 5/16" (50001413)</t>
  </si>
  <si>
    <t>Copa Cuad 1"-21mm S6 - L01005 (50001414)</t>
  </si>
  <si>
    <t>Destornillador Punta Torx T25 Tx-Dep603 (50001415)</t>
  </si>
  <si>
    <t>Hubodometro Para Prueba Llantas Trailer (50001416)</t>
  </si>
  <si>
    <t>Llave Hexagona 3/8 Tb 3/8" (50001417)</t>
  </si>
  <si>
    <t>Copa Impacto Cuadrante 1" X 19 Mm Nkr Tb (50001418)</t>
  </si>
  <si>
    <t>Multiplicador Torque Manual Tb (50001419)</t>
  </si>
  <si>
    <t>Juego Destornilladores Manuales Estrella (50001420)</t>
  </si>
  <si>
    <t>Acople Rapido Aire 3/4 Pistola Impacto 1 (50001421)</t>
  </si>
  <si>
    <t>Llave Boca Fija 8 X 10mm Tipo B (50001422)</t>
  </si>
  <si>
    <t>Gato Tipo Tijera 1 Ton (50001423)</t>
  </si>
  <si>
    <t>Lezna Para Llanta 47024 (50001424)</t>
  </si>
  <si>
    <t>Linterna Dos Tacos 1550 (50001425)</t>
  </si>
  <si>
    <t>Linterna Led Recargable 5110 (50001426)</t>
  </si>
  <si>
    <t>Cono Reflectivo Señalizacion 80-90 Cms (50001427)</t>
  </si>
  <si>
    <t>Gato Botella Hidraulico 2 Toneladas (50001428)</t>
  </si>
  <si>
    <t>Copa Impacto 8p 13/16" C.3/4 Tipo A (50001429)</t>
  </si>
  <si>
    <t>Soplete Gas 2,5 - 3,5 - 5 Cm Boquilla Di (50001430)</t>
  </si>
  <si>
    <t>Copa Impacto Corta Hex Cuad 1" X 2-15/16 (50001431)</t>
  </si>
  <si>
    <t>MANG Hid Manguera Hidrolavadora R2 -5/16 (50001432)</t>
  </si>
  <si>
    <t>Llave Pernos Rin Dis Ken-Tool 1 3/16*15/ (50001433)</t>
  </si>
  <si>
    <t>Llave Pernos Nkr 8943864901 (50001434)</t>
  </si>
  <si>
    <t>Llave Estrella Acodada 1/2x9/16 Tipo B (50001435)</t>
  </si>
  <si>
    <t>Manguera Aire Presion 3/4" Acoplada (50001436)</t>
  </si>
  <si>
    <t>Asenta Asentador Masilla 5x3 Extra Largo (50001437)</t>
  </si>
  <si>
    <t>Copa Impacto Larga Snapon Cuad,1"X1.5/16 (50001438)</t>
  </si>
  <si>
    <t>Blower (Soplador) (50001439)</t>
  </si>
  <si>
    <t>Destornillador Electrico (50001440)</t>
  </si>
  <si>
    <t>Desoldador (50001441)</t>
  </si>
  <si>
    <t>Pinza Para Computadores Pros Kit (50001442)</t>
  </si>
  <si>
    <t>Copa Cuadrante 3/4 X 1 1/8 Snapon (50001443)</t>
  </si>
  <si>
    <t>E Extractor Rodillos Caja Nkr 5884020780 (50001444)</t>
  </si>
  <si>
    <t>Palanca Para Montaje Llanta Tnt200-M (50001445)</t>
  </si>
  <si>
    <t>Estuche Herramienta (50001446)</t>
  </si>
  <si>
    <t>Probador De Sistema Enf Snapon S-Svts262 (50001447)</t>
  </si>
  <si>
    <t>Tijera Jardinera (50001448)</t>
  </si>
  <si>
    <t>Pinza E Pinza Electronica Roja Juego X 2 (50001449)</t>
  </si>
  <si>
    <t>Impresora Completa Surtidor COMB Sca2 (50001450)</t>
  </si>
  <si>
    <t>Insumos Mto Elec (INSMELE)</t>
  </si>
  <si>
    <t>Fuente De Poder 110/220 - 5v Surtidor De (50001451)</t>
  </si>
  <si>
    <t>Switch Para Taladro Dewalt 147653 (50001452)</t>
  </si>
  <si>
    <t>Cable Cobre Soldador 1/0 300a (50001453)</t>
  </si>
  <si>
    <t>Bateria Seca Surtidor Acpm Gtx2.5-Bsxl12 (50001454)</t>
  </si>
  <si>
    <t>Tela O Banda De Esmeril N.180 (50001455)</t>
  </si>
  <si>
    <t>Insumos Mto Gen (INSMGEN)</t>
  </si>
  <si>
    <t>Tela O Banda De Esmeril N.36 N. 100 (50001456)</t>
  </si>
  <si>
    <t>Juego Sierra Caladora Varias 30026 (50001457)</t>
  </si>
  <si>
    <t>Pit Tipo Bar 3 Bandejas Hub (50001458)</t>
  </si>
  <si>
    <t>Jaula Irregular Modificada 1.20 X 1.25 X (50001459)</t>
  </si>
  <si>
    <t>Jaula Paquetera Con Entrepaño 1.0 X 1.2 (50001460)</t>
  </si>
  <si>
    <t>Jaula Irregular 1.20 X 1.25 X 2.00 Mt (50001461)</t>
  </si>
  <si>
    <t>Jaula Paquetera 1.0 X 1.2 X 2.3 Mt (50001462)</t>
  </si>
  <si>
    <t>Pistola Electron Surtido Alemite Ela3671 (50001463)</t>
  </si>
  <si>
    <t>Diferencial De 5.0 Ton. Yale (50001464)</t>
  </si>
  <si>
    <t>Prensa De Banco # 1 (50001465)</t>
  </si>
  <si>
    <t>Tramo De Acero 1 1/2 X 4 3/4 Pasador PTA (50001466)</t>
  </si>
  <si>
    <t>Kit De Sonda Para Tanque Con B R114.12 (50001467)</t>
  </si>
  <si>
    <t>Scanet100 Safe Barrier (Hasta R111.23 (50001468)</t>
  </si>
  <si>
    <t>Sensor Nivel De Inventario Spe R114.47 (50001469)</t>
  </si>
  <si>
    <t>Valvula Anti Retorno Tanque Acpm (50001470)</t>
  </si>
  <si>
    <t>Valvula Cierre Tanque Combustible 1 1/2 (50001471)</t>
  </si>
  <si>
    <t>Valvula Cierre Tanque Combustible 1/2 (50001472)</t>
  </si>
  <si>
    <t>Kit Mantenimiento De Bomba R101 24 1 (50001473)</t>
  </si>
  <si>
    <t>Display Surtidor Eds Smartdispenser K08. (50001474)</t>
  </si>
  <si>
    <t>Tarjeta Potencia 1 Producto Surtidor COM (50001475)</t>
  </si>
  <si>
    <t>Tarjeta De Panel Sin Display Surtidor CO (50001476)</t>
  </si>
  <si>
    <t>Tarjeta Sca2 INTface Net Surtidor COMB (50001477)</t>
  </si>
  <si>
    <t>Cincel 3/8 Tipo B (50001480)</t>
  </si>
  <si>
    <t>Llave Mixta 16 Mm Proto (50001481)</t>
  </si>
  <si>
    <t>Exte Extension Cuadrante 1/2 X 5" Tipo B (50001482)</t>
  </si>
  <si>
    <t>Juego 10 Piezas Brocas Sds Plus D-45820 (50001483)</t>
  </si>
  <si>
    <t>Juego Puntas De Impacto 5 Piezas Estrell (50001484)</t>
  </si>
  <si>
    <t>Baliza Giratoria Led Flash 12/24v Ambar (50001485)</t>
  </si>
  <si>
    <t>Tarraja Manual 3 Cabezales De 1/2" A 1" (50001486)</t>
  </si>
  <si>
    <t>Instalador RET Cigueñal Daf Cf 480 14531 (50001487)</t>
  </si>
  <si>
    <t>Cinta De Medicion Nivel De Tanques (50001488)</t>
  </si>
  <si>
    <t>Vidrio Mirilla Compresor Aire 2hp Taller (50001489)</t>
  </si>
  <si>
    <t>Punta Logica Vehiculos 12v - 24v (50001490)</t>
  </si>
  <si>
    <t>Candado Aticizalla 70mm (50001491)</t>
  </si>
  <si>
    <t>Gas Liquido Propano CIL De 100 Libras (50001492)</t>
  </si>
  <si>
    <t>Barra Logistica Contenedores (50001493)</t>
  </si>
  <si>
    <t>Minio Para Ajuste Trasmicion (50001494)</t>
  </si>
  <si>
    <t>Bro Broca Acero Rapido 7/8 Espiga De 1/2 (50001495)</t>
  </si>
  <si>
    <t>Marcador De Metal Electrico Tx290 (50001496)</t>
  </si>
  <si>
    <t>Llave Mixta 11/16 Proto (50001497)</t>
  </si>
  <si>
    <t>Disco Stikit Grano 80 (50001498)</t>
  </si>
  <si>
    <t>Disco Stikit Grano 180 (50001499)</t>
  </si>
  <si>
    <t>Compresor De Taller 15 Hp (50001500)</t>
  </si>
  <si>
    <t>Plantas Artificiales Decorativas (50001501)</t>
  </si>
  <si>
    <t>TANQ Granizadora 12lt - 02.Ba0021.001 Fr (50001502)</t>
  </si>
  <si>
    <t>Jardín Vertical Artificial Bosque 100x10 (50001503)</t>
  </si>
  <si>
    <t>Guaya Flexible Guadaña Bp35 (50001504)</t>
  </si>
  <si>
    <t>Adaptador Yoyo Guadaña (50001505)</t>
  </si>
  <si>
    <t>Cuchilla Guadaña Stihl 20m 12" Varc-08 (50001506)</t>
  </si>
  <si>
    <t>Repuestos Varios Guadañadora (50001507)</t>
  </si>
  <si>
    <t>Refrigerante Marca Cat Elc Premezclado 5 (50001510)</t>
  </si>
  <si>
    <t>Preservador De Agua Duchas Quimicos (50001511)</t>
  </si>
  <si>
    <t>Vaso Vidrio Toma Muestra Acpm 1000 Ml (50001512)</t>
  </si>
  <si>
    <t>Refractometro (50001513)</t>
  </si>
  <si>
    <t>Pala Cuadrada (50001515)</t>
  </si>
  <si>
    <t>Pistola Surtidor Urea (50001516)</t>
  </si>
  <si>
    <t>Peroxido De Hidrogeno Al 50% (50001517)</t>
  </si>
  <si>
    <t>Cal Hidratada Tipo M (50001518)</t>
  </si>
  <si>
    <t>Barra De Contencion (50001519)</t>
  </si>
  <si>
    <t>Alumbre De Potasio - Piedra Lumbre (50001520)</t>
  </si>
  <si>
    <t>Cloro En Pasitllas (50001521)</t>
  </si>
  <si>
    <t>Envase Químicos 1 Litro (50001522)</t>
  </si>
  <si>
    <t>Envase Químicos Medio Litro (50001523)</t>
  </si>
  <si>
    <t>Envase Quimicos 1 Galon (50001524)</t>
  </si>
  <si>
    <t>Kit Biodyne 301 X 4 Litros Con Alimento (50001525)</t>
  </si>
  <si>
    <t>Envase Químicos Galón (50001527)</t>
  </si>
  <si>
    <t>Carpeta Portapictogramas (50001528)</t>
  </si>
  <si>
    <t>Sulfato De Aluminio 17% Ag 257 (50001529)</t>
  </si>
  <si>
    <t>Perfil En Pvc Piso Stand (50001530)</t>
  </si>
  <si>
    <t>Arnes Para Guadañadora Doble (50001531)</t>
  </si>
  <si>
    <t>Piso Grama O Laminado (50001532)</t>
  </si>
  <si>
    <t>Pasta Pulidora Copao Glassury (50001534)</t>
  </si>
  <si>
    <t>Pintura Pintucoat Amarilla Y Catalizador (50001535)</t>
  </si>
  <si>
    <t>Pintura Base Gris Y Catal. Epoxipoliamda (50001536)</t>
  </si>
  <si>
    <t>Disolvente Epoxicas 21209 (50001537)</t>
  </si>
  <si>
    <t>Brocha China De 5" (50001538)</t>
  </si>
  <si>
    <t>Porta Pictograma Vehicular X 3 (50001539)</t>
  </si>
  <si>
    <t>Portapictograma Vehicular X 1 (50001540)</t>
  </si>
  <si>
    <t>Pig Masilla Epoxy Putty 010800 (50001541)</t>
  </si>
  <si>
    <t>Pala Antichispa (Polipropileno) (50001542)</t>
  </si>
  <si>
    <t>Cojines Absorbentes Tipo Universal 25x25 (50001543)</t>
  </si>
  <si>
    <t>Bolsa Para Residuos Tipo Hazmat (50001544)</t>
  </si>
  <si>
    <t>Paños Absorbentes Tipo Universal 10x13 (50001545)</t>
  </si>
  <si>
    <t>Traje Tipo Hazmat (50001546)</t>
  </si>
  <si>
    <t>Policloruro De Aluminio Para (Ptar) (50001548)</t>
  </si>
  <si>
    <t>Hoja Lija 1500 (50001549)</t>
  </si>
  <si>
    <t>Brocha China De 3" (50001550)</t>
  </si>
  <si>
    <t>Hoja Lija N-240 (50001551)</t>
  </si>
  <si>
    <t>Pintura Pintucoat Blanco Y Catalizador (50001553)</t>
  </si>
  <si>
    <t>Kit Pintura Epoxica Anticorrosiva Pintuc (50001554)</t>
  </si>
  <si>
    <t>Pintura Vehiculos Entonada (50001555)</t>
  </si>
  <si>
    <t>Masilla Construmatic X 28 Kg 50748501 (50001556)</t>
  </si>
  <si>
    <t>Mec Peroxido 80 (50001557)</t>
  </si>
  <si>
    <t>Brocha China De 4" (50001558)</t>
  </si>
  <si>
    <t>Pintu Pintura Base Amarilla Duretan 9213 (50001562)</t>
  </si>
  <si>
    <t>Endurecedor X-20 (1/16 gln) (50001564)</t>
  </si>
  <si>
    <t>Pintura Blanco Bicapa Poliest 10340 Agra (50001566)</t>
  </si>
  <si>
    <t>Pintura Base Laca Gris 7200 (50001567)</t>
  </si>
  <si>
    <t>Removedor R-1020 (50001572)</t>
  </si>
  <si>
    <t>Primer Thinner 3602sm Scn705 1250012630 (50001574)</t>
  </si>
  <si>
    <t>Catalizador Cromacryl Iw205 1250028411 (50001576)</t>
  </si>
  <si>
    <t>Brocha China De 6" (50001577)</t>
  </si>
  <si>
    <t>Lija Esmeril (50001580)</t>
  </si>
  <si>
    <t>Masilla Epoxica Rally (50001582)</t>
  </si>
  <si>
    <t>Kit Pintura 1/1 Primer 2k+1/8 Endurec. E (50001584)</t>
  </si>
  <si>
    <t>Pintura Entonada Moto (50001586)</t>
  </si>
  <si>
    <t>Pintura Laca Varias Vehiculo (50001588)</t>
  </si>
  <si>
    <t>Carpincol Pegante Para Madera (50001589)</t>
  </si>
  <si>
    <t>Pasta Copao Blanco 120025 1/4" (50001590)</t>
  </si>
  <si>
    <t>Pintura Blanco Cristal 10513 (50001596)</t>
  </si>
  <si>
    <t>Hoja Lija N-80 (50001597)</t>
  </si>
  <si>
    <t>Hoja Lija N-120 (50001598)</t>
  </si>
  <si>
    <t>Hoja Lija N-150 (50001599)</t>
  </si>
  <si>
    <t>Hoja Lija N-180 (50001600)</t>
  </si>
  <si>
    <t>Hoja Lija N-220 (50001601)</t>
  </si>
  <si>
    <t>Hoja Lija N-280 (50001602)</t>
  </si>
  <si>
    <t>Hoja Lija N-320 (50001603)</t>
  </si>
  <si>
    <t>Hoja Lija N-360 (50001604)</t>
  </si>
  <si>
    <t>Hoja Lija N-400 (50001605)</t>
  </si>
  <si>
    <t>Impermeabilizante Impercryl B.Agua Blanc (50001606)</t>
  </si>
  <si>
    <t>Catalizador 5100(Primer/Barni 4180309003 (50001609)</t>
  </si>
  <si>
    <t>Thinner Para Poliester/Pu 4070403015 (50001610)</t>
  </si>
  <si>
    <t>Endurecedor Para Primer Epoxi 6150055003 (50001611)</t>
  </si>
  <si>
    <t>Impermeabilizante P7 (50001612)</t>
  </si>
  <si>
    <t>Aceite 3 En 1 (50001615)</t>
  </si>
  <si>
    <t>Aceite Aceite Cuatro Tiempos Moto 20w50 (50001621)</t>
  </si>
  <si>
    <t>Limpiador De Carburador 600ml Simoniz (50001622)</t>
  </si>
  <si>
    <t>Aditivo Refrigeran Fleetguard Dca-65 (Lt (50001623)</t>
  </si>
  <si>
    <t>Aceite Spirax Caja S6 Axme 75w90 (50001624)</t>
  </si>
  <si>
    <t>Aceite Aceite Hidraulico Tellus S2 M 68 (50001625)</t>
  </si>
  <si>
    <t>Grasa Dialectrica Internatio 1831731 C1 (50001626)</t>
  </si>
  <si>
    <t>Aceite Caja Mobil Delvac 1-Tf Gl4 75w80 (50001628)</t>
  </si>
  <si>
    <t>Aceite Motor E6 208l 10w-40 Daf-09201xx (50001631)</t>
  </si>
  <si>
    <t>Urea Liquida Por Galon Externa (50001633)</t>
  </si>
  <si>
    <t>Aceite CJ 75w90 Mdrive MCK Anthem 9853-M (50001634)</t>
  </si>
  <si>
    <t>Aceite Sintetico Engranaje MOTeductor So (50001635)</t>
  </si>
  <si>
    <t>Aceite Sintetico Compresor R134a Pag 46 (50001636)</t>
  </si>
  <si>
    <t>Refrigerante Para Plantas ELECs Quanchai (50001639)</t>
  </si>
  <si>
    <t>Líquido Limpiador Dpf 5861-014-500 (50001641)</t>
  </si>
  <si>
    <t>Aceite Caja Automatica Daf 75w80 09069eu (50001642)</t>
  </si>
  <si>
    <t>Aceite MOT Mobil MOTreductores Sorter M- (50001643)</t>
  </si>
  <si>
    <t>Aceite Sintetico R134a Pag 150 (50001644)</t>
  </si>
  <si>
    <t>Aceite Spirax Transmision Shell 75 W 140 (50001645)</t>
  </si>
  <si>
    <t>Grasa Elf Multiplex Ep2 180 Kilos Total (50001648)</t>
  </si>
  <si>
    <t>Aceite Motor 4t/10w40 Susuki Dr650 (50001649)</t>
  </si>
  <si>
    <t>Aceite MOT Chevron 15w40 Ck4 Ursa Super (50001650)</t>
  </si>
  <si>
    <t>Catalizador Aditivo Combustible Colvecar (50001651)</t>
  </si>
  <si>
    <t>Limpiador De Particulas (50001653)</t>
  </si>
  <si>
    <t>Aceite MOT Chevron 15w40/Ci4 Ursa Premiu (50001654)</t>
  </si>
  <si>
    <t>Lubricante Multiproposito 5-56 (50001656)</t>
  </si>
  <si>
    <t>Liquido Penetrante Free (50001661)</t>
  </si>
  <si>
    <t>Aceite Sintetico R134a Pag100 (50001662)</t>
  </si>
  <si>
    <t>Aditivo Refrigeran Radiad Rojo 95629356 (50001663)</t>
  </si>
  <si>
    <t>Aceite Texaco 20w50 Montacarga (50001665)</t>
  </si>
  <si>
    <t>Urea Liquido X Galon Interno (50001666)</t>
  </si>
  <si>
    <t>Aditivo Refrigerante Montacarg (50001670)</t>
  </si>
  <si>
    <t>Aceite Hidraulico Montacarga (50001671)</t>
  </si>
  <si>
    <t>Grasas Varias Genericas (50001672)</t>
  </si>
  <si>
    <t>Grasa M Grasa Multis Ep2 180 Kilos Total (50001673)</t>
  </si>
  <si>
    <t>Aceite Rimula R5 E 10w40 Prueba Shell (50001675)</t>
  </si>
  <si>
    <t>Aceite Bomba Vacio Para Aire Acondiciona (50001676)</t>
  </si>
  <si>
    <t>Compuesto Lubrillantas 46632 (50001677)</t>
  </si>
  <si>
    <t>Punta Estrella Cuadrante 1/4 X Dw2022 (50001678)</t>
  </si>
  <si>
    <t>Regulador Presion Pistola Hidr 836951900 (50001679)</t>
  </si>
  <si>
    <t>Acople Rapido Boquilla Pistola 20089420 (50001680)</t>
  </si>
  <si>
    <t>Boquilla Pistola A 25 Grados 6008gwh150 (50001681)</t>
  </si>
  <si>
    <t>Switch Cuelgue Pistola Urea (50001682)</t>
  </si>
  <si>
    <t>Antorcha Magnum Mig 350 Pro K2652 (50001683)</t>
  </si>
  <si>
    <t>Aporte Aluminio Tig 3/32 T-Er 4043 (50001684)</t>
  </si>
  <si>
    <t>Loctite 243 Traba Roscas Fuerza Media 24 (50001685)</t>
  </si>
  <si>
    <t>Grata Alambre Ondulante 3x3/4x5/8 (50001686)</t>
  </si>
  <si>
    <t>Módulo De Impresión Completo Surtidor (50001687)</t>
  </si>
  <si>
    <t>Display Teclado Surtidor (50001688)</t>
  </si>
  <si>
    <t>Grasa Gadus S3 V220c 2 180 Shell 8370938 (50001689)</t>
  </si>
  <si>
    <t>Limpiador De Contactos Seco El 681158 (50001690)</t>
  </si>
  <si>
    <t>Liquido De Frenos Dot 3sp Dot 3 S. P (50001691)</t>
  </si>
  <si>
    <t>Disco Pulidora T27 7 1/4 7/ (50001692)</t>
  </si>
  <si>
    <t>Disco Desbastante / Flap De 7/ 7 X 7/8" (50001693)</t>
  </si>
  <si>
    <t>Silicona En Spray 354 Cc (50001694)</t>
  </si>
  <si>
    <t>Correa Compresor Aire 17480 (50001695)</t>
  </si>
  <si>
    <t>Remache Aluminio Solido 3/16 X 3/4 (50001696)</t>
  </si>
  <si>
    <t>Adhesiv Adhesivo Velcro Plato Soporte 6" (50001697)</t>
  </si>
  <si>
    <t>Manguera Surtidor Acpm De 3/4 (50001698)</t>
  </si>
  <si>
    <t>Graseras Varias (50001699)</t>
  </si>
  <si>
    <t>Pomada Esmeril Asentar Valvulas (50001700)</t>
  </si>
  <si>
    <t>Escobilla Colilladora 79105400 (50001701)</t>
  </si>
  <si>
    <t>Remache Varios Solido Pop (50001703)</t>
  </si>
  <si>
    <t>Sellador En Polvo Para Radiadores (50001704)</t>
  </si>
  <si>
    <t>Frasco Muestra De Aceite (50001705)</t>
  </si>
  <si>
    <t>Kit De Empaquetadura Hidrolava K08010 (50001706)</t>
  </si>
  <si>
    <t>Valvula De Presion Ip Hidrolav 36703201 (50001707)</t>
  </si>
  <si>
    <t>Remache 5/32 X 3/4 (50001709)</t>
  </si>
  <si>
    <t>Anil Anillo Y Refuerzo De 1/2 P/Sinfllex (50001710)</t>
  </si>
  <si>
    <t>Anillo Y Refuerzo De 3/8 P/Sinfllex (50001711)</t>
  </si>
  <si>
    <t>Silicona Ultra Grey 70 Mil. 5699 (50001712)</t>
  </si>
  <si>
    <t>Acetileno (50001713)</t>
  </si>
  <si>
    <t>Pomada P/Prueba Agua Combus Rv 12 (50001714)</t>
  </si>
  <si>
    <t>Chupa Gato Hidraulico 5-10-15 Toneladas (50001715)</t>
  </si>
  <si>
    <t>Grata Copa Ondulada 5x2x5/8" (50001716)</t>
  </si>
  <si>
    <t>Silicona Termica Gris 20gr (50001717)</t>
  </si>
  <si>
    <t>Limpiador Espumoso Para Partes De Comput (50001718)</t>
  </si>
  <si>
    <t>Disco Colilladora Metal 14" 3/32" (50001719)</t>
  </si>
  <si>
    <t>Disco Para Corte Metal 7x1/8x7/8" (50001720)</t>
  </si>
  <si>
    <t>Disco De Corte 7" X 1/16 X 7/8 P 80 (50001721)</t>
  </si>
  <si>
    <t>Disco Fibra P 150 (50001722)</t>
  </si>
  <si>
    <t>Disco Pulidora 629x17" (50001723)</t>
  </si>
  <si>
    <t>Grata Para Esmeril 8 X3 X 5/8 (50001724)</t>
  </si>
  <si>
    <t>Piedra Motortul Varias (50001725)</t>
  </si>
  <si>
    <t>Acople Manguera Engrasadora (50001726)</t>
  </si>
  <si>
    <t>Grasera 1/4 A 90 Grados (50001727)</t>
  </si>
  <si>
    <t>Grasera 1/8 Npt X 1/4 (50001728)</t>
  </si>
  <si>
    <t>Discos Varios Pulidora Mototul (50001729)</t>
  </si>
  <si>
    <t>Disco Pad 6" Mjq5656 (50001730)</t>
  </si>
  <si>
    <t>Piedra Esmeril A 60 8x3/4x1.1/ 8x1x1.1/4 (50001731)</t>
  </si>
  <si>
    <t>Piedra Esmeril 2" X 1.3/4, 1/4 (50001732)</t>
  </si>
  <si>
    <t>Taco Mecha Para Autos Patchrubbe 15051 (50001733)</t>
  </si>
  <si>
    <t>Cabo Madera Mango Varios (50001734)</t>
  </si>
  <si>
    <t>Loctite 290 De 50 Ml (50001735)</t>
  </si>
  <si>
    <t>Cepillo Alambre 4761 (50001737)</t>
  </si>
  <si>
    <t>Cilindro Co2 Para Soldador Mic (50001738)</t>
  </si>
  <si>
    <t>Cilindro Nitrogeno Gaseoso (50001739)</t>
  </si>
  <si>
    <t>Abrazadera Plastica 10 Cms (50001740)</t>
  </si>
  <si>
    <t>Abrazadera Plastica 15 Cms (50001741)</t>
  </si>
  <si>
    <t>Abrazadera Plastica 20 Cms (50001742)</t>
  </si>
  <si>
    <t>Abrazadera Plastica 30 Cms (50001743)</t>
  </si>
  <si>
    <t>Abrazadera Plastica 35 Cms (50001744)</t>
  </si>
  <si>
    <t>Abrazadera Plastica 40 Cms (50001745)</t>
  </si>
  <si>
    <t>Correa Surtidor Acpm A24-17380 (50001746)</t>
  </si>
  <si>
    <t>Boquilla Equipo Solda Mig 0.35 Mig-0.35 (50001747)</t>
  </si>
  <si>
    <t>Boquilla Manguera De Aire Seguridad (50001748)</t>
  </si>
  <si>
    <t>Grafito (50001749)</t>
  </si>
  <si>
    <t>Boquilla Manguera De Engrase Rea 26 (50001750)</t>
  </si>
  <si>
    <t>Pegante Sintesolda Rapido P0270 (50001751)</t>
  </si>
  <si>
    <t>Soldadura Mig Wa86-0.35 (50001752)</t>
  </si>
  <si>
    <t>Tiza Industrial (50001753)</t>
  </si>
  <si>
    <t>Grata Lengueta Grano 60 6x2x 1.1/4 (50001754)</t>
  </si>
  <si>
    <t>Soldadura 308l 3/32 (50001755)</t>
  </si>
  <si>
    <t>Tungsteno Punto Verde 1/8 Para Equipo So (50001756)</t>
  </si>
  <si>
    <t>Portaboquilla 1/8 Para Equipo Soldadura (50001757)</t>
  </si>
  <si>
    <t>Tungsteno Punto Gris 1/8 Para Equipo De (50001758)</t>
  </si>
  <si>
    <t>Porta Tungsteno De 1/8 Para Equipo De So (50001759)</t>
  </si>
  <si>
    <t>Aporte Acero Inoxidable Tig 2,40 Mm X 91 (50001760)</t>
  </si>
  <si>
    <t>Aporte Acero Al Carbon 2,40 Mm X 1000 Mm (50001761)</t>
  </si>
  <si>
    <t>Grata Tela Dim 2" Ancho 1" Sfw 50-6 (50001762)</t>
  </si>
  <si>
    <t>Boquilla Ceramica 3/8#6 Equipo Tig (50001763)</t>
  </si>
  <si>
    <t>FILT BMB Cp8 Surtidor COMB F10.12 (50001764)</t>
  </si>
  <si>
    <t>Soldadura Aporte Aluminio 2,40mm X 1000m (50001765)</t>
  </si>
  <si>
    <t>Tapa Antorchatungsteno Larga Equipo Tic (50001766)</t>
  </si>
  <si>
    <t>Funda Para Alambre Sm250 X 5 Metros Equi (50001767)</t>
  </si>
  <si>
    <t>Papel Humedo Fabricar Empaques (50001768)</t>
  </si>
  <si>
    <t>Piedra Chispero Oxicorte (50001770)</t>
  </si>
  <si>
    <t>Anillo Y Refuerzo De 3/4 Sinflex (50001771)</t>
  </si>
  <si>
    <t>Disco Lija 4 1/2 X 7/8 (50001772)</t>
  </si>
  <si>
    <t>Loctite 609 Fijador Piezas Cilindricas (50001773)</t>
  </si>
  <si>
    <t>Silicona Crc (50001774)</t>
  </si>
  <si>
    <t>Loctite Teflon Liquido 567 (50001775)</t>
  </si>
  <si>
    <t>Kit Reparacion CIL Hidraulico Quimicos 6 (50001776)</t>
  </si>
  <si>
    <t>Disco De Corte 5" X 3/64" X 7/8" - 225 X (50001777)</t>
  </si>
  <si>
    <t>Disco Desbatante O Flap 4,5" (50001778)</t>
  </si>
  <si>
    <t>Desincrustante De Aluminio Para A/C Bril (50001779)</t>
  </si>
  <si>
    <t>Tira De Niquel Para Soldadura De Punto (50001780)</t>
  </si>
  <si>
    <t>Disco Sierra Radial Madera De 7.1/4'' Ce (50001782)</t>
  </si>
  <si>
    <t>Pegante Instantaneo Wurth Bonder 2g (50001783)</t>
  </si>
  <si>
    <t>Empaque Pistola Sagola (50001784)</t>
  </si>
  <si>
    <t>Pomada Medicion Acpm (50001785)</t>
  </si>
  <si>
    <t>Kit Prueba Liquida De Aditivos Cc 2602 M (50001786)</t>
  </si>
  <si>
    <t>Cilindro Argon Capacidad 2000 Psi (50001787)</t>
  </si>
  <si>
    <t>Tiza Para Marcar Llanta 45100 (50001788)</t>
  </si>
  <si>
    <t>Remache Pop Estandar 500 1/8 X 1/4 (50001789)</t>
  </si>
  <si>
    <t>Tarjeta Control Ibutton Reparado (50001790)</t>
  </si>
  <si>
    <t>Disco Abracol G36 X 7" (50001791)</t>
  </si>
  <si>
    <t>Disco Corte Metal 7" X 1/16" X 7/8" Dewa (50001792)</t>
  </si>
  <si>
    <t>Disco Para Corte De Metal 7 X 1/16 X 7/8 (50001793)</t>
  </si>
  <si>
    <t>Repuestos Varios Batallon (50001794)</t>
  </si>
  <si>
    <t>Disco De Corte 4 1/2 X 3/64 X 7/8 (50001795)</t>
  </si>
  <si>
    <t>Solenoide Hidrolavadora (50001796)</t>
  </si>
  <si>
    <t>Disco Corte Metal 7" X 0.55" X 7/8" (50001797)</t>
  </si>
  <si>
    <t>Manguera Transparente De 1" (50001798)</t>
  </si>
  <si>
    <t>Vaselina Pura De 500 Ml Aproxi Cero (50001799)</t>
  </si>
  <si>
    <t>Correa Surtidor De Combustible Ax35bl (50001800)</t>
  </si>
  <si>
    <t>Pasta Loctite Ea3478 Superior Metal Sort (50001801)</t>
  </si>
  <si>
    <t>Racor Swivel 3/4" MANG Surtidor Eds Con (50001802)</t>
  </si>
  <si>
    <t>Disco Pulidora Grano T40 7 X 7/8" Fibrod (50001803)</t>
  </si>
  <si>
    <t>Soldadura Aluminio Electrico 1/8" (50001807)</t>
  </si>
  <si>
    <t>Soldadura Aluminio Autogena 1/8" (50001808)</t>
  </si>
  <si>
    <t>Soldadura Bronce 1/8" (50001809)</t>
  </si>
  <si>
    <t>Soldadura Bronce 3/32" (50001810)</t>
  </si>
  <si>
    <t>Soldadura Estaño Kester (50001811)</t>
  </si>
  <si>
    <t>Soldadura Estaño 3070 (50001812)</t>
  </si>
  <si>
    <t>Soldadura Niquel 100 1/8" (50001813)</t>
  </si>
  <si>
    <t>Soldadura Whiz 18 7018 3/32 (50001815)</t>
  </si>
  <si>
    <t>Soldadura Acero Plata 1/8 (50001816)</t>
  </si>
  <si>
    <t>Difusor Para Mig 0.35 (50001817)</t>
  </si>
  <si>
    <t>Tobera Para Mig 0.35 (50001818)</t>
  </si>
  <si>
    <t>Punta Para Mig 0.35 (50001819)</t>
  </si>
  <si>
    <t>Remache Pop C. Grande 3/16 X 1/2 (50001820)</t>
  </si>
  <si>
    <t>Remache Pop C. Grande 3/16 X 3/4 (50001821)</t>
  </si>
  <si>
    <t>Remache Pop Ciego Standar 500 1/8 X 1/2" (50001822)</t>
  </si>
  <si>
    <t>Anillo Y Refuerzo De 5/8 Sinflex (50001823)</t>
  </si>
  <si>
    <t>Anillo Y Refuerzo De 1/4 Sinflex (50001824)</t>
  </si>
  <si>
    <t>Punta Estrella Cuadrante 1/4 X 1 (50001825)</t>
  </si>
  <si>
    <t>Rodachina Carro Mecanicos 2" (50001826)</t>
  </si>
  <si>
    <t>Tornillo De 3/16 X 2 Con Tuerca Y Arande (50001827)</t>
  </si>
  <si>
    <t>Valvula Cheque Retencion Para Compresor (50001828)</t>
  </si>
  <si>
    <t>Sikaflex Fix Blanca 30ml 221 (50001830)</t>
  </si>
  <si>
    <t>Silicona Blanca 310ml (50001831)</t>
  </si>
  <si>
    <t>Silicona Roja Automotriz (50001832)</t>
  </si>
  <si>
    <t>Silicona Transparente 310 Ml (50001833)</t>
  </si>
  <si>
    <t>Tornillo De 3/16 X 1 Con Tuerca Y Arande (50001834)</t>
  </si>
  <si>
    <t>Soldadura 680 1/8" (50001835)</t>
  </si>
  <si>
    <t>Steel/Pegante Industrial 4787 (50001836)</t>
  </si>
  <si>
    <t>Disco Corte Madera 7 1/4 (50001837)</t>
  </si>
  <si>
    <t>Hielo Seco (50001838)</t>
  </si>
  <si>
    <t>Wed Sep 01 8213 00:00:00 GMT-0500 (hora (50001839)</t>
  </si>
  <si>
    <t>Sun Sep 01 8211 00:00:00 GMT-0500 (hora (50001840)</t>
  </si>
  <si>
    <t>Fri Sep 01 8215 00:00:00 GMT-0500 (hora (50001841)</t>
  </si>
  <si>
    <t>Thu Sep 01 8281 00:00:00 GMT-0500 (hora (50001842)</t>
  </si>
  <si>
    <t>Rueda 4 X 1 1/8 Pu 6019360 Ims (50001843)</t>
  </si>
  <si>
    <t>Pomada Para Estañar (50001844)</t>
  </si>
  <si>
    <t>Fundente De Aluminio 8 Onzas (50001845)</t>
  </si>
  <si>
    <t>Punta Para Estañar (50001846)</t>
  </si>
  <si>
    <t>Soporte Giratorio Rueda Carreta Taller (50001847)</t>
  </si>
  <si>
    <t>Remache Aluminio Sol 1/4 X 1/2" (50001849)</t>
  </si>
  <si>
    <t>Remache Aluminio Sol 1/4 X 3/4" (50001850)</t>
  </si>
  <si>
    <t>Remache Pop C. Grande 3/16 X15/1 (50001851)</t>
  </si>
  <si>
    <t>Cabezote Hidrolavadora 1800 Rpm 7.5 Hp 2 (50001852)</t>
  </si>
  <si>
    <t>Lamin Lamina Triplex 2.44 X 1.15 De 20mm (50001853)</t>
  </si>
  <si>
    <t>Manguera Lavado Taller Reparado (50001854)</t>
  </si>
  <si>
    <t>Retenedor Banda Transportadora (50001855)</t>
  </si>
  <si>
    <t>Polimero Cationico Fo-4190 (50001856)</t>
  </si>
  <si>
    <t>Disco P Disco Pulidora 4 1/2 X 1/4 X 7/8 (50001857)</t>
  </si>
  <si>
    <t>Guaya Teflon Linconl M17714-1m (50001858)</t>
  </si>
  <si>
    <t>Cilindro de Oxigeno (50001859)</t>
  </si>
  <si>
    <t>Sikaflex Negra 221 300ml (50001860)</t>
  </si>
  <si>
    <t>FILT Filtro Bronce De 1/2 Hidrolavadora (50001861)</t>
  </si>
  <si>
    <t>Pega Instantanea Loctite 404 (50001862)</t>
  </si>
  <si>
    <t>Remache Pop Ciego Standar 250 3/16x1/2 (50001863)</t>
  </si>
  <si>
    <t>Piedra Para Esmeril A36 8" 1 1 1/ (50001864)</t>
  </si>
  <si>
    <t>Remache Pop Sencillo 1/4 X 5/8 (50001866)</t>
  </si>
  <si>
    <t>Acople Rapido 1/2 Tipo Tru-Fla (50001867)</t>
  </si>
  <si>
    <t>Lijadora Neumatica Reparado (50001868)</t>
  </si>
  <si>
    <t>Aerografo Reparado (50001869)</t>
  </si>
  <si>
    <t>Torque Reparado (50001870)</t>
  </si>
  <si>
    <t>Motortool Reparado (50001871)</t>
  </si>
  <si>
    <t>Pistola Para Lavado Reparado (50001872)</t>
  </si>
  <si>
    <t>Hoja De Sierra 18t X 12" Sandflex (50001873)</t>
  </si>
  <si>
    <t>Paleta Felpa Asentador Logos (50001874)</t>
  </si>
  <si>
    <t>Valvula Cheque Agua 1.1/4 Hidrolavadora (50001875)</t>
  </si>
  <si>
    <t>Pipe Pipeta De Gas Refrigerante R134 A/C (50001876)</t>
  </si>
  <si>
    <t>Abrazadera Tornillo T503 (50001877)</t>
  </si>
  <si>
    <t>Acoples Para Manguera Varios (50001878)</t>
  </si>
  <si>
    <t>Empaque Puerta Contenedor (50001880)</t>
  </si>
  <si>
    <t>Loctite 277 Traba Roscas (50001881)</t>
  </si>
  <si>
    <t>Disco Abrasivo Helan P080 Catalfer (50001882)</t>
  </si>
  <si>
    <t>Disco Abrasivo Helan P180 Catalfer (50001883)</t>
  </si>
  <si>
    <t>Polichadora Reparado (50001884)</t>
  </si>
  <si>
    <t>Pistola Para Engrase Reparado (50001885)</t>
  </si>
  <si>
    <t>Cortador Acetileno Reparado (50001886)</t>
  </si>
  <si>
    <t>Cargador De Baterias Reparado (50001887)</t>
  </si>
  <si>
    <t>Engrasadora Neumatica Reparado (50001888)</t>
  </si>
  <si>
    <t>Gato Tipo Zorra Reparado (50001889)</t>
  </si>
  <si>
    <t>Pistola De Impacto Reparado (50001890)</t>
  </si>
  <si>
    <t>Pulidora Reparado (50001891)</t>
  </si>
  <si>
    <t>Taladro Reparado (50001892)</t>
  </si>
  <si>
    <t>Soldador Electrico Reparado (50001893)</t>
  </si>
  <si>
    <t>Manguera Antorcha Soldadura Mig Reparado (50001894)</t>
  </si>
  <si>
    <t>Trozadora Para Metal Reparado (50001895)</t>
  </si>
  <si>
    <t>Pistola De Pintura Reparado (50001896)</t>
  </si>
  <si>
    <t>Equipo Soldadura Lincon Reparado (50001897)</t>
  </si>
  <si>
    <t>Remachadora Pop Neumatica Reparado (50001898)</t>
  </si>
  <si>
    <t>Equipo Oxicorte Reparado (50001899)</t>
  </si>
  <si>
    <t>Gato Botella 5-6 Toneladas Reparado (50001900)</t>
  </si>
  <si>
    <t>Gato Botella 10-12 Toneladas Reparado (50001901)</t>
  </si>
  <si>
    <t>Regulador Oxicorte Reparado (50001902)</t>
  </si>
  <si>
    <t>MOT ELEC Probador Alternador Reparado (50001903)</t>
  </si>
  <si>
    <t>Prensa De Banco Reparado (50001904)</t>
  </si>
  <si>
    <t>Esmeril Reparado (50001905)</t>
  </si>
  <si>
    <t>Taladro De Banco Reparado (50001906)</t>
  </si>
  <si>
    <t>Pistola De Calor 1500w Reparado (50001907)</t>
  </si>
  <si>
    <t>Copa Cuadrante 3/4x 1 13/16 Sn (50001910)</t>
  </si>
  <si>
    <t>Punta Para Mecha Sellomatic (50001911)</t>
  </si>
  <si>
    <t>Malla Tipo Doble J Con 2 Punto (50001912)</t>
  </si>
  <si>
    <t>Calcomania Velocidad Max Resol (50001913)</t>
  </si>
  <si>
    <t>Pistola Automática Surtidor De (50001914)</t>
  </si>
  <si>
    <t>Platina Acero Inox 2x3/16x6 (50001916)</t>
  </si>
  <si>
    <t>Angulo Acero Inox 2x3/16 (50001917)</t>
  </si>
  <si>
    <t>Maya Expandida Rombo 31.4x20.38 C12 122x (50001918)</t>
  </si>
  <si>
    <t>Cinta Enmascarar De 1" (50001919)</t>
  </si>
  <si>
    <t>Pin Chaveta 1/4 X 3" (50001920)</t>
  </si>
  <si>
    <t>Buje Bloqueo Puerta Trailer Varios (50001921)</t>
  </si>
  <si>
    <t>Tubo Negro Red 3/4 2.5mm 6mts (50001922)</t>
  </si>
  <si>
    <t>Tubo Galv 1" 2.0mm X 6mt (50001923)</t>
  </si>
  <si>
    <t>Bisagra Capsula 3 Cuerpos 5/8 (50001924)</t>
  </si>
  <si>
    <t>Varilla Varilla G-40 1/4 X 6 Mts Redonda (50001926)</t>
  </si>
  <si>
    <t>Copa Impact Cuad 1/2 X 13Mm Tb (50001930)</t>
  </si>
  <si>
    <t>Copa Larg Cdte 3/4 X 1 1/16 Pr (50001931)</t>
  </si>
  <si>
    <t>Juego Copa Cuad 1/4 3/16 Proto 3/16A9/16 (50001932)</t>
  </si>
  <si>
    <t>Lamina Negra Lisa 2 X 3 X 3/8 (50001933)</t>
  </si>
  <si>
    <t>Extractor Polea 3 Patas 6" For (50001935)</t>
  </si>
  <si>
    <t>Destornillador Punta Torx T8 (50001936)</t>
  </si>
  <si>
    <t>Llanta Ps3 Mixt 155/70r13 Good Year (60000089)</t>
  </si>
  <si>
    <t>Llanta Vikrant Star Lug Tracción 700-15 (60000090)</t>
  </si>
  <si>
    <t>Llant 295/80 TracBd175 52/149m18prBlackl (60000091)</t>
  </si>
  <si>
    <t>Llant 295/80 Dir Bt165 154/149m18prBlack (60000092)</t>
  </si>
  <si>
    <t>Llanta Sailun S702 Tracción 205/75r17.5 (60000093)</t>
  </si>
  <si>
    <t>Llanta Direcciona 295/80r22.5 Zeta Dr966 (60000094)</t>
  </si>
  <si>
    <t>Llanta Dir 295/80r22. 5 Linglong Kta303 (60000095)</t>
  </si>
  <si>
    <t>Llanta Delantera Trasera 215/75r16 Lt (60000096)</t>
  </si>
  <si>
    <t>Llanta 700-15 Mixta Goodyear Chm 189 (60000097)</t>
  </si>
  <si>
    <t>Llanta 295/80 M729 Ez Traccio Brigestone (60000098)</t>
  </si>
  <si>
    <t>Llanta Kenda Kr12 Direccional (60000099)</t>
  </si>
  <si>
    <t>Llanta Dir GY Caminera 10 Lonas 700r16 (60000100)</t>
  </si>
  <si>
    <t>Llanta Goodyear Ct-162 700-15 Traccion (60000101)</t>
  </si>
  <si>
    <t>Llanta 750-16 Ctt122/118j 14 Ct52 (60000102)</t>
  </si>
  <si>
    <t>Llanta Numa Del Montacarga 21x8x15 (60000103)</t>
  </si>
  <si>
    <t>Llanta 275/80r22.5 Direccio Pirelli MC01 (60000104)</t>
  </si>
  <si>
    <t>Llanta 275/80r22.5 Tracción Pirelli Tr01 (60000105)</t>
  </si>
  <si>
    <t>Llanta 275/80r22.5 Dir XMultiZ Michellin (60000106)</t>
  </si>
  <si>
    <t>Llanta 205/75 R17.5 Dir S637+14pr Sailun (60000107)</t>
  </si>
  <si>
    <t>Llanta 235/75r17.5 Dir S637 16pr Sailun (60000108)</t>
  </si>
  <si>
    <t>Llanta 235/75r17.5 Trac S702 16pr Sailun (60000109)</t>
  </si>
  <si>
    <t>Llanta Direccion 295/80r22.5 Sailun S606 (60000110)</t>
  </si>
  <si>
    <t>Llanta Traccion 295/80r22.5 Sailun S702 (60000111)</t>
  </si>
  <si>
    <t>Llanta Direccional Ct52 750-16 Pirelli (60000112)</t>
  </si>
  <si>
    <t>Llanta 295/80 Direccional Falken Ri151 (60000113)</t>
  </si>
  <si>
    <t>Llanta 295/80 Traccion Falken Bi852 (60000114)</t>
  </si>
  <si>
    <t>Llanta 295/80 Kaspen S02 Trailer (60000115)</t>
  </si>
  <si>
    <t>Llanta Kapsen Hs202 Trac 295/80r22.5 (60000116)</t>
  </si>
  <si>
    <t>Llanta Delantera Trasera 175/70r14 C (60000117)</t>
  </si>
  <si>
    <t>Llanta Micheli XmultiZ2 Dir 295/80 R22.5 (60000118)</t>
  </si>
  <si>
    <t>Llanta Pirelli U02 Direcci 295/80 R 22.5 (60000119)</t>
  </si>
  <si>
    <t>Llanta 750-16 Reencauchada Mixta Cb (60000120)</t>
  </si>
  <si>
    <t>Llanta 205/75r 17.5 Traccion Tr85 Nkr Rw (60000121)</t>
  </si>
  <si>
    <t>Llanta 295/80 R22.5 Dir Michelin XmultiZ (60000122)</t>
  </si>
  <si>
    <t>Llanta 295/80 Direcci Good Year KmaxS (60000123)</t>
  </si>
  <si>
    <t>Llanta 235/75r17.5 Direc GY Rhs Regional (60000124)</t>
  </si>
  <si>
    <t>Llanta 295/80 Tracción Good Year KmaxD (60000125)</t>
  </si>
  <si>
    <t>Llanta 175/70r14 Giti Confort T20 GY (60000126)</t>
  </si>
  <si>
    <t>Llanta 295/80 Direccio Pirelli MC01 Plus (60000127)</t>
  </si>
  <si>
    <t>Llanta 295/80 Direccio Bridgestone R269 (60000128)</t>
  </si>
  <si>
    <t>Llanta 750r16 Mixta Samson 671a (60000129)</t>
  </si>
  <si>
    <t>Llanta 445/50r22.5 Eje Lib Samson Gl251t (60000130)</t>
  </si>
  <si>
    <t>Llanta 295/80 Traccion Samson Gl268d (60000131)</t>
  </si>
  <si>
    <t>Llanta 215/70r15c Direccional Michelin (60000132)</t>
  </si>
  <si>
    <t>Llanta 295/80 Traccion Samson Gl299d (60000133)</t>
  </si>
  <si>
    <t>Llanta 750/15 Traccion Hi Miler Ct162 GY (60000134)</t>
  </si>
  <si>
    <t>Llanta 750/15 Direcc Hi Miler Ct176 GY (60000135)</t>
  </si>
  <si>
    <t>Llanta 235/75r17.5 Ree Mix Cb Chevro Frr (60000136)</t>
  </si>
  <si>
    <t>Llantas Reencauche (LLANREEN)</t>
  </si>
  <si>
    <t>1011</t>
  </si>
  <si>
    <t>Llanta 235/75r17.5 Reen Bandag Brlt2 (60000137)</t>
  </si>
  <si>
    <t>Llanta 295/80 Reencauchada Trailer Avtp (60000138)</t>
  </si>
  <si>
    <t>Llanta Reenca 295/80 Trac Bdr-Ht2 Bandag (60000139)</t>
  </si>
  <si>
    <t>Llanta Reen 295/80 Traile Btl-Sa2 Bandag (60000140)</t>
  </si>
  <si>
    <t>Llanta 295/80 Reencauchada Trailer (Tre) (60000141)</t>
  </si>
  <si>
    <t>Llanta Reencauchada Tracción Ht3 275/80 (60000142)</t>
  </si>
  <si>
    <t>Llanta Reencauchad Trac B736 295/80r22.5 (60000143)</t>
  </si>
  <si>
    <t>Llanta 750 -15 Reencauche Mixto (60000144)</t>
  </si>
  <si>
    <t>Llanta 205/75r17.5 Vcb Reencauche Mixto (60000145)</t>
  </si>
  <si>
    <t>Llanta 205/75 R17.5 Nkr Iii Reward (60000146)</t>
  </si>
  <si>
    <t>Llanta Ps3 Mixt 165/70r13 Good Year (60000147)</t>
  </si>
  <si>
    <t>Llanta 750-16 Mixta Goodyear (60000148)</t>
  </si>
  <si>
    <t>Llanta 205/75r16c Good Year G32 Cargo (60000149)</t>
  </si>
  <si>
    <t>Llanta Goodyear Rhs 205/75 17.5 (60000150)</t>
  </si>
  <si>
    <t>Llanta Talon Tras Monta16x6x10 (60000151)</t>
  </si>
  <si>
    <t>Llanta 445/50r Reenca Marangoni (60000152)</t>
  </si>
  <si>
    <t>Llanta 295/80 Traccion Ht3 Reencauchada (60000153)</t>
  </si>
  <si>
    <t>Llanta 295/80 Reencauchada Trailer Ts (60000154)</t>
  </si>
  <si>
    <t>Llanta 700-15 Reencauchada Mixta Cb (60000155)</t>
  </si>
  <si>
    <t>Llanta 700-16 Reencauchada Mixta Cb (60000156)</t>
  </si>
  <si>
    <t>Llanta 205/75 R17.5 Reencauchada Mix Cb (60000157)</t>
  </si>
  <si>
    <t>Bolsa Tranparente 30 X 45 X 100 (60000158)</t>
  </si>
  <si>
    <t>Cinta De Empaque Preimpresa Cm (60000159)</t>
  </si>
  <si>
    <t>Sobre Radicacion Firma Documento (60000160)</t>
  </si>
  <si>
    <t>Grapa Para Zuncho (60000162)</t>
  </si>
  <si>
    <t>Bolsa Transparente Baja 15 X 20 (60000163)</t>
  </si>
  <si>
    <t>Cinta Trasparente De 48 Mm X 100 Metros (60000164)</t>
  </si>
  <si>
    <t>Colmenas De Carton Para Almacenamiento (60000165)</t>
  </si>
  <si>
    <t>Bolsa Plastica Blue Jean 14 X 20 X1 (60000166)</t>
  </si>
  <si>
    <t>Sobre Radicacion Tornaguia (60000167)</t>
  </si>
  <si>
    <t>Caja De Carton 40x40x35 Localiza (60000168)</t>
  </si>
  <si>
    <t>Bolsa Plast Transp Adhesivo Nys 25 X 20 (60000169)</t>
  </si>
  <si>
    <t>Bolsa Invisible Peq 17 X 27 Cms Paq X 50 (60000171)</t>
  </si>
  <si>
    <t>Caja 50x40x38 30 Pv Interno (60000172)</t>
  </si>
  <si>
    <t>Costal En Fibra (60000173)</t>
  </si>
  <si>
    <t>Bolsa Transparente 13 X 28 X 1 Paq X 100 (60000174)</t>
  </si>
  <si>
    <t>Bolsa Polipropileno Transparente X 100 (60000178)</t>
  </si>
  <si>
    <t>Bolsa Transpar Baja 25 X 35 Cm Paq X 100 (60000180)</t>
  </si>
  <si>
    <t>Bolsa Plastica Transp Sello Hermetico (60000181)</t>
  </si>
  <si>
    <t>Bolsa De Seguridad Mediana (60000183)</t>
  </si>
  <si>
    <t>Bolsa De Seguridad Grande (60000184)</t>
  </si>
  <si>
    <t>Bolsa De Seguridad Pequeña (60000185)</t>
  </si>
  <si>
    <t>Caja Archivo Inactivo (60000186)</t>
  </si>
  <si>
    <t>Caja 50x40x55 45 Pv Interno (60000187)</t>
  </si>
  <si>
    <t>Caja 55x35x26 20 Pv Interno (60000188)</t>
  </si>
  <si>
    <t>Nevera En Icopor (60000190)</t>
  </si>
  <si>
    <t>Caja 30 X 27 X 15 5 Pv Interno (60000191)</t>
  </si>
  <si>
    <t>Bolsa De Tela Azul 21x28 Con Tira (60000192)</t>
  </si>
  <si>
    <t>Bolsa Invisible Mediana 32X42Cms PaqX50 (60000193)</t>
  </si>
  <si>
    <t>Bolsillo PortaSobre Radicacion Document (60000195)</t>
  </si>
  <si>
    <t>Caja Blanca Ecologica Con Tapa (60000196)</t>
  </si>
  <si>
    <t>Cortacircui 230/400v1p10aB-Char15kaTerTo (60000197)</t>
  </si>
  <si>
    <t>Cortacircui 230/400v2p10aC-Char20kaTerTo (60000198)</t>
  </si>
  <si>
    <t>Sirena Sonido Conf 100db 24vdc (60000199)</t>
  </si>
  <si>
    <t>Pulsador Emergencia Hongo Rotable D40mm (60000200)</t>
  </si>
  <si>
    <t>Pulsador Parada Emergencia 2 Elementos (60000201)</t>
  </si>
  <si>
    <t>Pulsador Metal Negro Mate D22mm (60000202)</t>
  </si>
  <si>
    <t>Bornera Para 3 Contactos (60000203)</t>
  </si>
  <si>
    <t>Inversor Mini 3kw Be (60000204)</t>
  </si>
  <si>
    <t>Variador De Frecuencia 2,2 Kw Abb 3f Be (60000205)</t>
  </si>
  <si>
    <t>Pulsador Verde Be (60000206)</t>
  </si>
  <si>
    <t>Brida Ina Schaeffler (60000207)</t>
  </si>
  <si>
    <t>Tablero Electrico Para Rampa Rh1v (60000208)</t>
  </si>
  <si>
    <t>Plastico Vinipel Stretch De 2.25 Mts (60000209)</t>
  </si>
  <si>
    <t>Bolsa Transparente 30 X 35 X 100 (60000210)</t>
  </si>
  <si>
    <t>Bolsa Transparente Baja 23 X 30 (60000211)</t>
  </si>
  <si>
    <t>Bolsa Plastica Transparente Sencilla (60000212)</t>
  </si>
  <si>
    <t>Rod. De Rodi. A Rotula Skf 22206 E/C3 (60000213)</t>
  </si>
  <si>
    <t>Valvula Purgado W4087 M10x1-M 130303 (60000214)</t>
  </si>
  <si>
    <t>Rodillo Rig Bol Skf6206-2z/C3gjnSorter (60000215)</t>
  </si>
  <si>
    <t>Filtro Tablero Fsc-In Feed De 29x29 Cm (60000216)</t>
  </si>
  <si>
    <t>Sorter Filtracion (SORFIL)</t>
  </si>
  <si>
    <t>Filtro Tablero Lcc De 20x5x21.5 Cm (60000217)</t>
  </si>
  <si>
    <t>Filtro Tablero Rpo De 17x17.5 Cm (60000218)</t>
  </si>
  <si>
    <t>Tomacorriente Carrier (60000219)</t>
  </si>
  <si>
    <t>Ccc Transmisor Ure (60000220)</t>
  </si>
  <si>
    <t>Fuente De Poder Asi 4a (60000221)</t>
  </si>
  <si>
    <t>Variador Norda Lms-V400v3,0kwAsiDc-Brake (60000222)</t>
  </si>
  <si>
    <t>Variador Norda Lms-V400v7,5kwAsiDc-Brake (60000223)</t>
  </si>
  <si>
    <t>Fuente De Poder 100-240vac/24vdc 10a (60000224)</t>
  </si>
  <si>
    <t>Fuente De Poder 24vdc 3p 150w (60000225)</t>
  </si>
  <si>
    <t>Cable Blin L=4MM12Mac5p./M12Hembr5p./H.F (60000226)</t>
  </si>
  <si>
    <t>Rodamiento Rig Bol Sello Flag6011-Z/C3 (60000227)</t>
  </si>
  <si>
    <t>Rodamiento Cojini Sorter Grae35-Xlnpp-B (60000228)</t>
  </si>
  <si>
    <t>Tapon De Aceite Motoreductor Sorter 52-7 (60000229)</t>
  </si>
  <si>
    <t>Tapon De Aceite Motoreductor Sorter 47-7 (60000230)</t>
  </si>
  <si>
    <t>Retenedor Motoreductor Sorter 40-56-8 (60000231)</t>
  </si>
  <si>
    <t>Retenedor Motoreductor Sorter 35-55-7 (60000232)</t>
  </si>
  <si>
    <t>Retenedor Motoreductor Sorter 50-80-10 (60000233)</t>
  </si>
  <si>
    <t>Gancho Glipper#6cajax12tiras12" (60000234)</t>
  </si>
  <si>
    <t>Guayas De 1/4 Ponchada Puerta Sorter (60000235)</t>
  </si>
  <si>
    <t>Correa Dentada L=1270 Rpp5-25 Cas/Prt (60000237)</t>
  </si>
  <si>
    <t>Rodillos Snubber D85 (60000238)</t>
  </si>
  <si>
    <t>Banda Cur Kt96 Ri=1000 Bn=1100 Wn=45° Bc (60000239)</t>
  </si>
  <si>
    <t>Tensor Cadena 5/8x125mm 8.8 Fzb Be (60000240)</t>
  </si>
  <si>
    <t>Valvula Purgado W4087 M12x1,5 130311 (60000241)</t>
  </si>
  <si>
    <t>Rodamiento Rigid Bolas Skf 6308-2z/C3gjn (60000242)</t>
  </si>
  <si>
    <t>Banda Infe 60L2210E8/2U0/V5hMtNegra W=45 (60000243)</t>
  </si>
  <si>
    <t>Correa Dentada L=544 Rpp-Slv8-30 Pto (60000244)</t>
  </si>
  <si>
    <t>Correa Dentada L720 Rpp-Slv8-30 Bf/ Ifz4 (60000245)</t>
  </si>
  <si>
    <t>Correa Dentada L=800 Rpp-Slv8-30 Bj (60000246)</t>
  </si>
  <si>
    <t>Cojinete Embridado Pme-30n Rnd Bf (60000247)</t>
  </si>
  <si>
    <t>Cojinete Embri Pme-35n Rnd Bf(Chumacera) (60000248)</t>
  </si>
  <si>
    <t>Correa Poly V 2pj (60000249)</t>
  </si>
  <si>
    <t>Mototambor Poly V Ec310 16:1 L=959 (60000250)</t>
  </si>
  <si>
    <t>Mototambor Poly V Ec310 24:1 L=859 (60000251)</t>
  </si>
  <si>
    <t>Mototambor Poly V Ec310 24:1 L=959 (60000252)</t>
  </si>
  <si>
    <t>Rodillo Guiado D70 W1000 Power Feeder (60000253)</t>
  </si>
  <si>
    <t>Graceras Varias Sorter (60000254)</t>
  </si>
  <si>
    <t>Retenedor Motorreducto Del Sorter (60000255)</t>
  </si>
  <si>
    <t>Retenedor Motoreductor Sorter40-60-6 (60000256)</t>
  </si>
  <si>
    <t>Retenedor Motoreductor Sorter 55-90-10 (60000257)</t>
  </si>
  <si>
    <t>Retenedor Motoreductor Sorter 58-80-10 (60000258)</t>
  </si>
  <si>
    <t>Banda Infe 30L42808/2U0/V5hMtNegraW=45 (60000259)</t>
  </si>
  <si>
    <t>Banda Infe 30L4454E8/2U0/V5hMtNegraW=45 (60000260)</t>
  </si>
  <si>
    <t>Banda Infe 30L4797E8/2U0/V5hMtNegraW=45 (60000261)</t>
  </si>
  <si>
    <t>Banda Infe 30L4969E8/2U0/V5hMtNegraW=45 (60000262)</t>
  </si>
  <si>
    <t>Banda Infe 30L5319E8/2U0/V5hMtNegraW=45 (60000263)</t>
  </si>
  <si>
    <t>Banda Infe 60L1464E8/2U0/V5hMtNegraW=45 (60000264)</t>
  </si>
  <si>
    <t>Banda Infe 60L15798/2U0/V5hMtNegraW=45 (60000265)</t>
  </si>
  <si>
    <t>Banda Infe 60L1636E8/2U0/V5hMtNegraW=45 (60000266)</t>
  </si>
  <si>
    <t>Banda Infe 60L1694E8/2U0/V5hMtNegra W=45 (60000267)</t>
  </si>
  <si>
    <t>Banda Infe 60L1751E8/2U0/V5hMt NegraW=45 (60000268)</t>
  </si>
  <si>
    <t>Banda Infe 60L1866E8/2U0/V5hMtNegra W=45 (60000269)</t>
  </si>
  <si>
    <t>Banda Infe 60L1923E8/2U0/V5hMt NegraW=45 (60000270)</t>
  </si>
  <si>
    <t>Banda Infe 60L1981E8/2 U0/V5hMtNegraW=45 (60000271)</t>
  </si>
  <si>
    <t>Banda Infe 60L2038E8/2U0/V5hMtNegraW=45 (60000272)</t>
  </si>
  <si>
    <t>Banda Infe 60L2096E8/2U0/V5hMtNegraW=45 (60000273)</t>
  </si>
  <si>
    <t>Banda Infe 60L2153E8/2U0/V5hMtNegra W=45 (60000274)</t>
  </si>
  <si>
    <t>Banda Infe 30L1523E8/2U0/V5h MtNegraW=45 (60000275)</t>
  </si>
  <si>
    <t>Banda Infe 30L1695E8/2U0/V5hMtNegra W=45 (60000276)</t>
  </si>
  <si>
    <t>Banda Inf 30L1868E8/2U0/V5hMtNegra W=45 (60000277)</t>
  </si>
  <si>
    <t>Banda Infe 30L2040E8/2U0/V5hMtNegra W=45 (60000278)</t>
  </si>
  <si>
    <t>Banda Infe 30L2212E8/2U0/V5hMtNegra W=45 (60000279)</t>
  </si>
  <si>
    <t>Banda Infe 30L2384E8/2U0/V5hMtNegra W=45 (60000280)</t>
  </si>
  <si>
    <t>Banda Infe 30L2557E8/2U0/V5hMtNegra W=45 (60000281)</t>
  </si>
  <si>
    <t>Banda Infe 30L2729E8/2U0/V5hMtNegraW=45. (60000282)</t>
  </si>
  <si>
    <t>Banda Infe 30L=2901E8/2U0/V5hMtNegraW=45 (60000283)</t>
  </si>
  <si>
    <t>Banda Infe 30L3074E8/2U0/V5hMtNegraW=45 (60000284)</t>
  </si>
  <si>
    <t>Banda Infe 30L3246E8/2U0/V5hMNegraW=45 (60000285)</t>
  </si>
  <si>
    <t>Banda Infe303418E8/2U0/V5hMtNegraW=45 (60000286)</t>
  </si>
  <si>
    <t>Banda Infe 30L3591E8/2U0/V5hMtNegraW=45 (60000287)</t>
  </si>
  <si>
    <t>Banda Infe 30L3763E8/2U0/V5hMtNegraW=45 (60000288)</t>
  </si>
  <si>
    <t>Banda Infe 30L3935E8/2U0/V5hMtNegraW=45 (60000289)</t>
  </si>
  <si>
    <t>Banda Infe 30L4108E8/2U0/V5hMtNegra W=45 (60000290)</t>
  </si>
  <si>
    <t>Estera Filtrante 289X289 X 17 Mm 3173100 (60000291)</t>
  </si>
  <si>
    <t>Sorter Neumatico (SORNEU)</t>
  </si>
  <si>
    <t>Aceite Piston Fluid (5 Litros) Comp (60000292)</t>
  </si>
  <si>
    <t>Rodillo D50 Eje D14 Ext15 Mm (2x), M8 Rm (60000293)</t>
  </si>
  <si>
    <t>Banda Infe 30L1351 E8/2U0/V5hMtNegraW=45 (60000301)</t>
  </si>
  <si>
    <t>Neumatico 750 X 16 (60000310)</t>
  </si>
  <si>
    <t>Llantas Insumos (LLANINS)</t>
  </si>
  <si>
    <t>Neumatico Nhr 700-15 Nhr (60000311)</t>
  </si>
  <si>
    <t>Rin De Disco Americano 445/50 R22 5X14 " (60000312)</t>
  </si>
  <si>
    <t>Aro Suplemento Rin 1/2" (60000313)</t>
  </si>
  <si>
    <t>Capuchon Rueda Tras Izq Hino 4263255031 (60000314)</t>
  </si>
  <si>
    <t>Tuerca Rueda Tras Izq Hino DPC4263455030 (60000315)</t>
  </si>
  <si>
    <t>Esparrag Rda Tras Izq Hino DPC9094202072 (60000316)</t>
  </si>
  <si>
    <t>Capuch Esparr Rda Tras Izq Npr8973598060 (60000317)</t>
  </si>
  <si>
    <t>Banda Para Llanta (60000318)</t>
  </si>
  <si>
    <t>Rin Chevrolet Frr 17 5 X 6 75 6-Huecos (60000319)</t>
  </si>
  <si>
    <t>Rin Sellomatic Chevrolet N200 24525839 (60000320)</t>
  </si>
  <si>
    <t>Perno Cubo Rueda Del Izq Nkr 8943834372 (60000321)</t>
  </si>
  <si>
    <t>Tuerca Externa Del Izq Nkr 8980079080 (60000322)</t>
  </si>
  <si>
    <t>Pesa Gancho Aro 6 Onzas Tipo Pesado (60000323)</t>
  </si>
  <si>
    <t>Pesa Barra Adhesiv 1/2-14grX12 R/Alumini (60000324)</t>
  </si>
  <si>
    <t>Gusanillo Neumatico (60000325)</t>
  </si>
  <si>
    <t>Rin Disco 22.5 Trailer Extr Larg 02117RC (60000326)</t>
  </si>
  <si>
    <t>Rin 17.5 Sellomatic Rw Nkr III (60000327)</t>
  </si>
  <si>
    <t>Pesa Gancho Aro 1 Onza Tipo Pesado (60000328)</t>
  </si>
  <si>
    <t>Pesa Gancho Aro 2 Onza Tipo Pesado (60000329)</t>
  </si>
  <si>
    <t>Pesa Gancho Aro 3 Onzas Tipo Pesado (60000330)</t>
  </si>
  <si>
    <t>Pesa Gancho Aro 4 Onzas Tipo Pesado (60000331)</t>
  </si>
  <si>
    <t>Pesa Gancho Aro 5 Onzas Tipo Pesado (60000332)</t>
  </si>
  <si>
    <t>Parche Pang PP-5 (60000333)</t>
  </si>
  <si>
    <t>Parche Pang PP-8 (60000334)</t>
  </si>
  <si>
    <t>Pega Para Parche (60000335)</t>
  </si>
  <si>
    <t>Protector L-16 (60000336)</t>
  </si>
  <si>
    <t>Protector Nhr R-15 (60000337)</t>
  </si>
  <si>
    <t>Aro Rin 15 Nkr III - Nkr (60000338)</t>
  </si>
  <si>
    <t>Rin 17 5 Sellomatic Chevrolet Nhr (60000339)</t>
  </si>
  <si>
    <t>Perno Del Rin Disco Hi -W1324 2007175 C- (60000340)</t>
  </si>
  <si>
    <t>Esparrago Mixto 3/4 X 3 1/2" (60000341)</t>
  </si>
  <si>
    <t>Dispositivo Llantas Ibutton Con Soporte (60000342)</t>
  </si>
  <si>
    <t>Dispositivo Llantas Parches Rfid (60000343)</t>
  </si>
  <si>
    <t>Parche Pang PP-1 (60000344)</t>
  </si>
  <si>
    <t>Parche Pang PP-2 (60000345)</t>
  </si>
  <si>
    <t>Parche Pang PP-3 (60000346)</t>
  </si>
  <si>
    <t>Parche Pang PP-4 (60000347)</t>
  </si>
  <si>
    <t>Capuchon Rueda Tras Dcha Hino 4263155031 (60000348)</t>
  </si>
  <si>
    <t>Tuerca Esparrago Tras Der Hino4263355030 (60000349)</t>
  </si>
  <si>
    <t>Esparrago Rueda Tras Der Hino9094202045 (60000350)</t>
  </si>
  <si>
    <t>Tuerca RDA Del Rin Internatio 1649492 C- (60000351)</t>
  </si>
  <si>
    <t>Perno Rueda Derecha Jac 1042 Yf30sl03052 (60000352)</t>
  </si>
  <si>
    <t>Perno RDA IZQ Jac 1042 Yf30sl03051 (60000353)</t>
  </si>
  <si>
    <t>Tuerca Externa RDA Del Izq Jac 3103204n (60000354)</t>
  </si>
  <si>
    <t>Tuerca Externa RDA Del Der Jac 3103104n (60000355)</t>
  </si>
  <si>
    <t>Perno RDA DEL Jac Jhr 3103103ld320 (60000356)</t>
  </si>
  <si>
    <t>Tuerca Perno Jac Jhr 3101060r00 (60000357)</t>
  </si>
  <si>
    <t>Tuerca Interior Campana Jac Jhr 99301400 (60000358)</t>
  </si>
  <si>
    <t>Perno Rueda Trasera Jac Jhr 9920160140 (60000359)</t>
  </si>
  <si>
    <t>Tapa Valvula Metalica 21532 (60000360)</t>
  </si>
  <si>
    <t>Rin De Disco Sellomatic R22.5 8x25x22.5 (60000361)</t>
  </si>
  <si>
    <t>Rin 17.5" Foton 7701023166386 (60000362)</t>
  </si>
  <si>
    <t>Rin 17.5" Foton 1039 (60000363)</t>
  </si>
  <si>
    <t>Perno Rueda Del Der FRR 1423311481 (60000364)</t>
  </si>
  <si>
    <t>Aro Separador Rueda R 20 4 1/2" (60000365)</t>
  </si>
  <si>
    <t>Pesa Gancho Cte 1 3/4 Tipo Liviano (60000366)</t>
  </si>
  <si>
    <t>Tripa De Camion(Gusano Sellomatic) 50963 (60000367)</t>
  </si>
  <si>
    <t>Reten Tras Ext CA6 Foton 1129 7701023082 (60000368)</t>
  </si>
  <si>
    <t>Aro Suplemento Rin (60000369)</t>
  </si>
  <si>
    <t>Rin Artillero Sellomatic R22 5 8x25x22.5 (60000370)</t>
  </si>
  <si>
    <t>Perno De RDA DEL Jac 1120 3103103k3240zh (60000371)</t>
  </si>
  <si>
    <t>Parche Ct - 10hd 65mm X 80mm (60000372)</t>
  </si>
  <si>
    <t>Rin 17.5 X 6.75 Foton 1128 - 77059467667 (60000373)</t>
  </si>
  <si>
    <t>Perno RDA TRAS FT 1128 - 7705946724517 (60000374)</t>
  </si>
  <si>
    <t>Tuerca Conica RDA FT Mv5 7705946027250 (60000375)</t>
  </si>
  <si>
    <t>Valvula Rin Sellomatic R-17 5 115 Ms-27 (60000376)</t>
  </si>
  <si>
    <t>Valvula Rin Sellomatic Tr-573 (60000377)</t>
  </si>
  <si>
    <t>Perno Rda Tras Con Tuercas Fot 1128 7705 (60000378)</t>
  </si>
  <si>
    <t>Valvula Sellomatic Sc 21173 (60000379)</t>
  </si>
  <si>
    <t>Ri Rin 17.5 Ca3 Foton 1065 7701023775069 (60000380)</t>
  </si>
  <si>
    <t>Rin 15 Con Anillo Nkr (60000381)</t>
  </si>
  <si>
    <t>Cuchillas P/Regrabe R 4-3 7mm Caja X 20 (60000382)</t>
  </si>
  <si>
    <t>Neumat Neumatico Moto Furgon 4.50-12 Akt (60000383)</t>
  </si>
  <si>
    <t>Pesa Gancho Cte 3 Onzas Tipo Liviano (60000384)</t>
  </si>
  <si>
    <t>Esparrago De Esparrago De 7/8x3/4x3.1/2 (60000385)</t>
  </si>
  <si>
    <t>Pesa Gancho Cte 5 Tipo Liviano (60000386)</t>
  </si>
  <si>
    <t>Perno Rueda Del Nhr 8971264860 (60000387)</t>
  </si>
  <si>
    <t>Rin Rueda 700-15 De Nhr 8941199440 (60000388)</t>
  </si>
  <si>
    <t>Caucho Valvula Sellomatic 24-166 Hi (60000389)</t>
  </si>
  <si>
    <t>Rin Sellomatic Van Foton Mv5 14" (60000390)</t>
  </si>
  <si>
    <t>V Valvula Rin Sellomatic R22.5 Daf Vh769 (60000391)</t>
  </si>
  <si>
    <t>Capuchon Esparrago RDA Tras D 8973598050 (60000392)</t>
  </si>
  <si>
    <t>Esparrago Con Tuerca Rin Disco (60000393)</t>
  </si>
  <si>
    <t>Capuchon Perno RDA Tras Der N 8970815842 (60000394)</t>
  </si>
  <si>
    <t>Juego Pernos Tras Izq Delta 102-D621 (60000395)</t>
  </si>
  <si>
    <t>Capuchon Perno RDA Tras Izq N 8980078110 (60000396)</t>
  </si>
  <si>
    <t>Parche Ct22 75mm-165mm (60000397)</t>
  </si>
  <si>
    <t>Liquido Vulcanizante 2946ml (60000398)</t>
  </si>
  <si>
    <t>Sellador Para Capa De Butilo 470ml (60000399)</t>
  </si>
  <si>
    <t>Neumatico Moto 300-18, 400-18 (60000400)</t>
  </si>
  <si>
    <t>Pesa Gancho Cte 2 Tipo Liviano (60000401)</t>
  </si>
  <si>
    <t>Pesa Gancho Cte 1/2 Acero (60000402)</t>
  </si>
  <si>
    <t>Tuerca Perno Rda Tras Der Nhr 5423330080 (60000403)</t>
  </si>
  <si>
    <t>Perno Tras Der Nhr 8971264880 (60000404)</t>
  </si>
  <si>
    <t>Pesa Gancho Cte 3/4 Tipo Liviano (60000405)</t>
  </si>
  <si>
    <t>Aro Rin 16 Npr - T Delta R-16 (60000406)</t>
  </si>
  <si>
    <t>Taco Parche Llantas (60000407)</t>
  </si>
  <si>
    <t>Pesa Pesa Gancho Cte 4. 1/2 Tipo Liviano (60000408)</t>
  </si>
  <si>
    <t>Rin 16 Con Anillo Npr 94438670 (60000409)</t>
  </si>
  <si>
    <t>Perno RDA DEL FT 1128 7705946768009 (60000410)</t>
  </si>
  <si>
    <t>Tuerca INTna Eje De RDA DEL Jac 1120 310 (60000411)</t>
  </si>
  <si>
    <t>Llanta Moto Trasera 300/18 300x18 (60000412)</t>
  </si>
  <si>
    <t>Llanta Moto Pir Tras 130/70r17 250x18 (60000413)</t>
  </si>
  <si>
    <t>Llanta Giti Gar 820 DIRal 235/75r17.5 (60000414)</t>
  </si>
  <si>
    <t>Llanta Giti Gar 820 DIRal 205/75r17.5 (60000415)</t>
  </si>
  <si>
    <t>Llanta 275/80r22.5 Traccion X Multi D Mi (60000416)</t>
  </si>
  <si>
    <t>Llanta Reencauchada Vcb Vipal 750-16 (60000417)</t>
  </si>
  <si>
    <t>Llanta 215/75r17.5 Cb Reencauc (60000418)</t>
  </si>
  <si>
    <t>Llanta 295/80 Reencauchadavl110 (60000419)</t>
  </si>
  <si>
    <t>Limpiador Rubomatic 945ml (60000420)</t>
  </si>
  <si>
    <t>Taco Parche Radial Seal 15mm (60000421)</t>
  </si>
  <si>
    <t>Parche Ct12 60mm X 110mm (60000422)</t>
  </si>
  <si>
    <t>Taco Parche Radial-Seal 13mm 291/38 (60000423)</t>
  </si>
  <si>
    <t>Parche Ct14 75mm*145mm /169 (60000424)</t>
  </si>
  <si>
    <t>Parche Ct20 75mm*145mm /170 (60000425)</t>
  </si>
  <si>
    <t>Liquido Vulcanizante 235ml -760 (60000426)</t>
  </si>
  <si>
    <t>Taco Parche Uni-Sealultra 6mm /250ul (60000427)</t>
  </si>
  <si>
    <t>Taco Parche Uni-Sealultra 9mm /251ul (60000428)</t>
  </si>
  <si>
    <t>Perno Rueda Tras Izq Turbo 9004912066 (60000429)</t>
  </si>
  <si>
    <t>Pesa Pesa Gancho Cte 5. 1/2 Tipo Liviano (60000430)</t>
  </si>
  <si>
    <t>Perno Rueda Del Izq T Delta 9004912068 (60000431)</t>
  </si>
  <si>
    <t>Pesa Gancho Cte 6 Tipo Liviano (60000432)</t>
  </si>
  <si>
    <t>Pesa Gancho Cte 4 Tipo Liviano (60000433)</t>
  </si>
  <si>
    <t>Valvula Sellomatic 413 (60000434)</t>
  </si>
  <si>
    <t>Perno Rueda Tras Izq Nkr 8943834371 (60000435)</t>
  </si>
  <si>
    <t>Perno Rueda Tras Dcha Nkr 8943834361 (60000436)</t>
  </si>
  <si>
    <t>Talco Para Llantas Y Neumaticos (60000437)</t>
  </si>
  <si>
    <t>Vastago De 1/4 6mm 250-1 (60000438)</t>
  </si>
  <si>
    <t>Vastago De 5/16 Mm 251-1ul (60000439)</t>
  </si>
  <si>
    <t>Vastago De 3/8 10mm 291-Ul (60000440)</t>
  </si>
  <si>
    <t>Vastago De 1/2 13mm 252-1 (60000441)</t>
  </si>
  <si>
    <t>Limpiador Spray Reparar Llanta (60000442)</t>
  </si>
  <si>
    <t>Tuerca Rin Aro Tras Izq NkrII 8980078250 (60000443)</t>
  </si>
  <si>
    <t>Gasolina Corriente Externa (60000445)</t>
  </si>
  <si>
    <t>Gasolina Interna (60000446)</t>
  </si>
  <si>
    <t>Gas Liquido Propano Cilindro 30 Libras (60000447)</t>
  </si>
  <si>
    <t>Gas Gas Liquido Propano Cilindro 40 Lbrs (60000448)</t>
  </si>
  <si>
    <t>Acpm Interno Bioacem 20% (60000449)</t>
  </si>
  <si>
    <t>Acpm INTno Aditivado Starfuel En Prueba (60000453)</t>
  </si>
  <si>
    <t>Llanta Reencauche Tm22 Trac 29 (60000455)</t>
  </si>
  <si>
    <t>Llanta 295/80 Dir Interstate Tires (60000456)</t>
  </si>
  <si>
    <t>Llanta 295/80 Traccion Kelly Ks481 (60000457)</t>
  </si>
  <si>
    <t>Llanta 295/80 Traccion Yokohama Ty607 (60000458)</t>
  </si>
  <si>
    <t>Llanta 215/75r17.5 Cb Reencauche Frio (60000459)</t>
  </si>
  <si>
    <t>Llanta 165/70 R13 175/70 R12 Reparado (60000460)</t>
  </si>
  <si>
    <t>Llanta 295/80 Direccional Interstate Tir (60000461)</t>
  </si>
  <si>
    <t>Llanta 295/80 Traccion Kelly Ks481 (60000462)</t>
  </si>
  <si>
    <t>Llanta 295/80 Traccion Yokohama Ty607 (60000463)</t>
  </si>
  <si>
    <t>Llanta 205/75 R17.5 Traccion M729 Bridge (60000464)</t>
  </si>
  <si>
    <t>Llanta 235/75r 17.5 Dir Michelin (60000465)</t>
  </si>
  <si>
    <t>Llanta 295/80 Direccional Continental Hs (60000467)</t>
  </si>
  <si>
    <t>L Llanta 295/80 Direccion Yokohama 104zr (60000468)</t>
  </si>
  <si>
    <t>Llanta 205/75 R15 Sc/Atr Pirelli (60000469)</t>
  </si>
  <si>
    <t>Llanta Talon Del Monta 21x7x15 (60000470)</t>
  </si>
  <si>
    <t>Llanta 265/70 R16 Pirelli (60000471)</t>
  </si>
  <si>
    <t>Llanta 275/65 R17 Yokohama (60000472)</t>
  </si>
  <si>
    <t>Llanta 295/80 R22.5 Traccion Michelin Xm (60000473)</t>
  </si>
  <si>
    <t>Llanta 295/80 R22.5 Traccion Pirelli Tr0 (60000474)</t>
  </si>
  <si>
    <t>L Llanta 295/80 Direccional Pirelli Fr01 (60000475)</t>
  </si>
  <si>
    <t>Llanta 235/75r 17.5 Traccion Regional Rh (60000476)</t>
  </si>
  <si>
    <t>Llanta 295/80 R22.5 Good Year Kmax Extre (60000477)</t>
  </si>
  <si>
    <t>Neumat Neumatico Moto 400/460 X 17 Dr650 (60000478)</t>
  </si>
  <si>
    <t>Llanta 700-15 Reenc Mix Vhw (60000479)</t>
  </si>
  <si>
    <t>Llanta 295/80r22.5 Tracción Reenc Vbd (60000480)</t>
  </si>
  <si>
    <t>Llanta 90-90-21 Pirellli Mt60 Dr650 (60000481)</t>
  </si>
  <si>
    <t>Neumatico Moto Suzuki 275*18 (60000482)</t>
  </si>
  <si>
    <t>Llanta REP Externa 295/80 R 2 Reparado (60000483)</t>
  </si>
  <si>
    <t>Llanta 750r16 750r 16 Reparado (60000484)</t>
  </si>
  <si>
    <t>Llanta 205/75 R17.5 Nkr Iii Reward Delan (60000485)</t>
  </si>
  <si>
    <t>Llanta Ohero Moto Furgon 4.50-12 (60000486)</t>
  </si>
  <si>
    <t>Llanta 295/80 Xde2 Reencaucha 295/80 R 2 (60000487)</t>
  </si>
  <si>
    <t>Llanta Moto Delantera 275/18 275x18 (60000488)</t>
  </si>
  <si>
    <t>Llanta 700r16 Reencauche Mixto (60000489)</t>
  </si>
  <si>
    <t>Llanta DIRal Ct-176 Good 700-15 Nhr (60000490)</t>
  </si>
  <si>
    <t>Llanta 205/75r16c Reencauchada (60000491)</t>
  </si>
  <si>
    <t>Llanta 235/75r17.5 Reen Mix Vcb (60000492)</t>
  </si>
  <si>
    <t>Llanta 700 R 15 Reparado (60000493)</t>
  </si>
  <si>
    <t>Llanta 295/80 DIRal Reen 295/80 R 2 (60000494)</t>
  </si>
  <si>
    <t>Kilowatio / Hora Kilovatio / Hora (60000495)</t>
  </si>
  <si>
    <t>Insumos Mto KVH (INSMKVH)</t>
  </si>
  <si>
    <t>Llanta 295/80 Reencauchadavl110 (60000500)</t>
  </si>
  <si>
    <t>Llanta 275/80r22.5 TracXMultiD Michellin (60000501)</t>
  </si>
  <si>
    <t>Llanta Reencauchada Vcb Vipal 750-16 (60000502)</t>
  </si>
  <si>
    <t>Llanta Giti Gar 820 Dir 205/75r17.5 (60000503)</t>
  </si>
  <si>
    <t>Llanta Giti Gar 820 Dir 235/75r17.5 (60000504)</t>
  </si>
  <si>
    <t>Llanta 255/665 - 70 Rin 16 Generico (60000505)</t>
  </si>
  <si>
    <t>Llanta 700-15 Reencauchada En Frio Mixta (60000506)</t>
  </si>
  <si>
    <t>Llanta 295/80 Trac Continental Hdr2sa (60000507)</t>
  </si>
  <si>
    <t>Llanta 215/75 R17.5 Mixta Brid (60000508)</t>
  </si>
  <si>
    <t>Llanta 700-15 Reenc Mix Vhw (60000509)</t>
  </si>
  <si>
    <t>Llanta 295/80r22.5 Tracción Reenc Vbd (60000510)</t>
  </si>
  <si>
    <t>Llanta 295/80 R22.5 Trac MichelinXmultiD (60000511)</t>
  </si>
  <si>
    <t>Llanta 295/80 R22.5 Trac Pirelli Tr01 (60000512)</t>
  </si>
  <si>
    <t>Llanta 295/80 Direccional Pirelli Fr01 (60000513)</t>
  </si>
  <si>
    <t>Llanta 235/75r 17.5 Trac Reg Rhd GoodY (60000514)</t>
  </si>
  <si>
    <t>Llanta Talon Del Monta 21x7x15 (60000516)</t>
  </si>
  <si>
    <t>Llanta 265/70 R16 Pirelli (60000517)</t>
  </si>
  <si>
    <t>Llanta 275/65 R17 Yokohama (60000518)</t>
  </si>
  <si>
    <t>Llanta 205/75 R15 Sc/Atr Pirelli (60000519)</t>
  </si>
  <si>
    <t>Llanta 295/80 Dir Continental Hsr3 (60000520)</t>
  </si>
  <si>
    <t>Llanta 295/80 Direccion Yokohama 104zr (60000521)</t>
  </si>
  <si>
    <t>Llanta 205/75 R17.5 Trac M729 Bridgeston (60000522)</t>
  </si>
  <si>
    <t>Llanta 235/75r 17.5 Dir Michelin (60000523)</t>
  </si>
  <si>
    <t>Llanta 205/75r 17.5 Michelin (60000524)</t>
  </si>
  <si>
    <t>Llanta 235/75r17.5 Reen Mix Vcb (60000525)</t>
  </si>
  <si>
    <t>Llanta 700R16 Reencauche Mixto (60000526)</t>
  </si>
  <si>
    <t>Llanta Direccional CT-176 Good Y 700-15 (60000527)</t>
  </si>
  <si>
    <t>Llanta 205/75R16C Reencauchada (60000528)</t>
  </si>
  <si>
    <t>Llanta 295/80 X2 Reencauchada R 2 (60000529)</t>
  </si>
  <si>
    <t>Llanta 205/75 R17.5 Nkr III Reward Del (60000530)</t>
  </si>
  <si>
    <t>Taco Parche Uni-Sealultra 6mm /250ul (60000531)</t>
  </si>
  <si>
    <t>Llanta Reencauche 205/75 R17.5 Chao Yang (60000532)</t>
  </si>
  <si>
    <t>Llanta 165/70 R13 175/70 R12 Reparado (60000533)</t>
  </si>
  <si>
    <t>Llanta 750r16 750r 16 Reparado (60000534)</t>
  </si>
  <si>
    <t>Llanta 700 R 15 Reparado (60000535)</t>
  </si>
  <si>
    <t>Llanta 215/70 R15 Reparado (60000536)</t>
  </si>
  <si>
    <t>Llanta 750/16 Reparado (60000537)</t>
  </si>
  <si>
    <t>Llanta 295/80 R22.5 Reparrado (60000538)</t>
  </si>
  <si>
    <t>Llanta 275/80 R22.5 Reparado (60000539)</t>
  </si>
  <si>
    <t>Llanta 215/75 R16 Reparado (60000540)</t>
  </si>
  <si>
    <t>Llanta 175/70 R14 Reparado (60000541)</t>
  </si>
  <si>
    <t>Llanta 235/75 R17.5 Reparado (60000542)</t>
  </si>
  <si>
    <t>Llanta 205/75 R17.5 Reparado (60000543)</t>
  </si>
  <si>
    <t>Llanta 700/15 Reparado (60000544)</t>
  </si>
  <si>
    <t>Llanta 445/50 R22.5 Reparado (60000545)</t>
  </si>
  <si>
    <t>Llanta 295/80r22.5 Tracc Milever Mdr816 (60000546)</t>
  </si>
  <si>
    <t>Llanta 295/80r22.5 Direccion Milever G06 (60000547)</t>
  </si>
  <si>
    <t>Llanta 295/80 Traccion Continental Hdr2s (60000548)</t>
  </si>
  <si>
    <t>Parche Ct40 100mm-200mm /180 (60000549)</t>
  </si>
  <si>
    <t>Neumatico Moto 275/300 X 21 (60000550)</t>
  </si>
  <si>
    <t>Esparrago Artillero 3/4x3" G- (60000551)</t>
  </si>
  <si>
    <t>Llanta 295/80 Xteb Reencauchada (60000552)</t>
  </si>
  <si>
    <t>Llanta Tras.Moto Suzuki 650 130/80 17m (60000553)</t>
  </si>
  <si>
    <t>Llanta 275/65r17 Camioneta (60000554)</t>
  </si>
  <si>
    <t>Llanta 700-15 Reenc Frio Mixt Nhr 700-15 (60000555)</t>
  </si>
  <si>
    <t>Eje Rueda Trasera Suzuki (60000556)</t>
  </si>
  <si>
    <t>Llanta 2.50-17 Moto Triciclo 250x17 (60000557)</t>
  </si>
  <si>
    <t>Llanta Reparada 205/75r17.5 (60000558)</t>
  </si>
  <si>
    <t>Llanta 255/665 - 70 Michelin 255/65 R16 (60000559)</t>
  </si>
  <si>
    <t>Recuperacion Banda Llanta (60000560)</t>
  </si>
  <si>
    <t>Rin Sellomatic R22.5 Reparado (60000561)</t>
  </si>
  <si>
    <t>Llanta Delantera Xl Honda 275x21 (60000562)</t>
  </si>
  <si>
    <t>Llanta Trasera Xl200 Honda 410x18 (60000563)</t>
  </si>
  <si>
    <t>Antena Max Rad Vhf-5/8 (60000570)</t>
  </si>
  <si>
    <t>Diadema Radio Pro 1150 Y Xtn Bdn-6773 (60000572)</t>
  </si>
  <si>
    <t>Tuerca Perno Rda.Tras.Izq.Tur 4263487302 (60000573)</t>
  </si>
  <si>
    <t>Alarma Buzzer 12 V Bz001 44880606B0 (60000574)</t>
  </si>
  <si>
    <t>Pila Transmisor Control Gps Cr2032 (60000575)</t>
  </si>
  <si>
    <t>Llanta 205/75R17.5 Direccion B (60000576)</t>
  </si>
  <si>
    <t>Llanta Reencauche Tracc Rt70 2 (60000577)</t>
  </si>
  <si>
    <t>Caja Mantenimiento Impresora G (60000578)</t>
  </si>
  <si>
    <t>Almohadillas Diademas Monoaura (60000579)</t>
  </si>
  <si>
    <t>Llanta Trasera 195/75R 16Lt (60000580)</t>
  </si>
  <si>
    <t>Cargador Maquina Zebra Tc27 Gr (60000581)</t>
  </si>
  <si>
    <t>Bateria Para Mainboard (60000582)</t>
  </si>
  <si>
    <t>Unidad Gps Ruptela Pro5Lite (60000583)</t>
  </si>
  <si>
    <t>Bloqueo Contenedor Actuador 5K (60000584)</t>
  </si>
  <si>
    <t>Bobina-Latigo Para Antena 601 Mhb580 (60000585)</t>
  </si>
  <si>
    <t>Cable Adaptador Convertidor Us (60000586)</t>
  </si>
  <si>
    <t>Cable Conversor Vga Macho A Hd (60000587)</t>
  </si>
  <si>
    <t>Lector Adaptador Usb De Memori (60000588)</t>
  </si>
  <si>
    <t>Inyector Poe Estandar Ruijie (60000589)</t>
  </si>
  <si>
    <t>Caja Externa Para Discos Pcie (60000590)</t>
  </si>
  <si>
    <t>Cable De Datos Tipo C 6A A Usb (60000591)</t>
  </si>
  <si>
    <t>Cable De Datos Micro Usb A Usb (60000592)</t>
  </si>
  <si>
    <t>Temporizador (Timer) Digital D (60000593)</t>
  </si>
  <si>
    <t>Cargador Cigarrera Doble Punto (60000594)</t>
  </si>
  <si>
    <t>Cable Extensión Displayport (60000595)</t>
  </si>
  <si>
    <t>Convertidor De Usb C A Dp (Dis (60000596)</t>
  </si>
  <si>
    <t>Teclado Numérico Usb (60000597)</t>
  </si>
  <si>
    <t>Splitter Hdmi Multipuerto (60000598)</t>
  </si>
  <si>
    <t>Estuche Celular (60000599)</t>
  </si>
  <si>
    <t>Pantalla Para Portatil (60000600)</t>
  </si>
  <si>
    <t>Diadema Binaural Practica Sp12 (60000601)</t>
  </si>
  <si>
    <t>Extension Usb 15M, Macho/Hembr (60000602)</t>
  </si>
  <si>
    <t>Cable Usb Macho A Macho (60000603)</t>
  </si>
  <si>
    <t>Servicio De Montallantas En Ca (60000604)</t>
  </si>
  <si>
    <t>Jack De Carga O Poder De Carga (60000605)</t>
  </si>
  <si>
    <t>Adaptador Sata A Usb Para Disc (60000606)</t>
  </si>
  <si>
    <t>Adaptador Inalámbrico Nano Usb (60000607)</t>
  </si>
  <si>
    <t>Unión Cables Hdmi (60000608)</t>
  </si>
  <si>
    <t>Cable Para Micrófono (60000609)</t>
  </si>
  <si>
    <t>Bandeja Para Escaners (60000610)</t>
  </si>
  <si>
    <t>Cargador Radio Rva50” (60000611)</t>
  </si>
  <si>
    <t>Disco Duro Para Planta Mx250 (60000612)</t>
  </si>
  <si>
    <t>Extension Usb 3 Mts , Macho/He (60000613)</t>
  </si>
  <si>
    <t>Celular Galaxy A03 Core 32Gb (60000614)</t>
  </si>
  <si>
    <t>Protector Celular (60000615)</t>
  </si>
  <si>
    <t>Touch Pad Mouse Portatil (60000616)</t>
  </si>
  <si>
    <t>Adaptador Ac Punta Azul 19.5V (60000617)</t>
  </si>
  <si>
    <t>Repuestos Para Biometricos Var (60000618)</t>
  </si>
  <si>
    <t>Memoria Ram Ddr3 8Gb Pc Escrit (60000619)</t>
  </si>
  <si>
    <t>Bateria Celular (60000620)</t>
  </si>
  <si>
    <t>Pulsador Botón Solicitud De Ll (60000621)</t>
  </si>
  <si>
    <t>Docking De Lectura De Discos D (60000622)</t>
  </si>
  <si>
    <t>Cable Cargador Maquinas Tc55 ( (60000623)</t>
  </si>
  <si>
    <t>Cable Usb Tipo C 1.5 Mts Tc56 (60000624)</t>
  </si>
  <si>
    <t>Kit De Audio Para Unidades Gps (60000626)</t>
  </si>
  <si>
    <t>Convertidor De Display Port A (60000627)</t>
  </si>
  <si>
    <t>Memoria Usb 3.0 De 16Gb (60000628)</t>
  </si>
  <si>
    <t>Cable Hdmi De 10 Mts Kamyl (60000629)</t>
  </si>
  <si>
    <t>Convertidor De Usb A Serial (60000630)</t>
  </si>
  <si>
    <t>Micrófono Alambrico Shure Mode (60000631)</t>
  </si>
  <si>
    <t>Fuente Atx Para Pc (60000632)</t>
  </si>
  <si>
    <t>Bateria Portatil Hp 430 G3 (60000633)</t>
  </si>
  <si>
    <t>Disco Duro Sata De 1Tb 3.5 (60000634)</t>
  </si>
  <si>
    <t>Mesa Graduable Artecma 5 Nivel (60000635)</t>
  </si>
  <si>
    <t>Cable Hdmi De 1.8 Mts Kamyl (60000636)</t>
  </si>
  <si>
    <t>Cable Hdmi 5 Mts Kamyl (60000637)</t>
  </si>
  <si>
    <t>Convertidor Thunderbolt A Hdmi (60000638)</t>
  </si>
  <si>
    <t>Convertidor Display Port A Vga (60000639)</t>
  </si>
  <si>
    <t>Micro Sd 8Gb (60000640)</t>
  </si>
  <si>
    <t>Cable Hdmi De 15Mts Kamyl (60000641)</t>
  </si>
  <si>
    <t>Sop Mot M.Lavadora Fabri H30Mm 37Mm (60000642)</t>
  </si>
  <si>
    <t>Electronica Inclinacion M. Lav M08491 (60000643)</t>
  </si>
  <si>
    <t>Relay 12V Boma De Agua M. Lava M02182 (60000644)</t>
  </si>
  <si>
    <t>Set De Fusibles M. Lavadora A225 (60000645)</t>
  </si>
  <si>
    <t>Neumatico 8X2 Maquina Lavadora (60000646)</t>
  </si>
  <si>
    <t>Receptor Apertura Puerta Trail (60000647)</t>
  </si>
  <si>
    <t>Control Remoto Apertu Pta Trai (60000648)</t>
  </si>
  <si>
    <t>Desmonte Y Montaje De Llanta (60000649)</t>
  </si>
  <si>
    <t>Neumatico Moto Suzuki 250*17 (60000650)</t>
  </si>
  <si>
    <t>Interruptor Encendido M. Lavad M04379 (60000651)</t>
  </si>
  <si>
    <t>Guaya Acelerador M. Lavadora M03589 (60000652)</t>
  </si>
  <si>
    <t>Guaya Para Computador (60000653)</t>
  </si>
  <si>
    <t>Tensor Correa A/C Isx 3690067 (70000130)</t>
  </si>
  <si>
    <t>Paral Izq Parabrisas Eagle Isx 3512443C1 (70000131)</t>
  </si>
  <si>
    <t>Bastidor Susp Tras Isx H50501019 (70000132)</t>
  </si>
  <si>
    <t>Codo Tubo Mofle Isx Eagle 9400 3539838C2 (70000133)</t>
  </si>
  <si>
    <t>Espaciador Volante Motor Isx 4026528 (70000134)</t>
  </si>
  <si>
    <t>Disyuntor Luces 5 Patas 24v 4RD9333320 (70000135)</t>
  </si>
  <si>
    <t>Manguera Superior Radiador N200 24536054 (70000136)</t>
  </si>
  <si>
    <t>Pasador Central Nkr III Fabricado (70000137)</t>
  </si>
  <si>
    <t>Cuña Muelle Delantero Eagle Isx 692453R1 (70000138)</t>
  </si>
  <si>
    <t>Arandela Conica Inyector Nkr 900027 (70000139)</t>
  </si>
  <si>
    <t>Amortiguador Silla Eag SK582-2 507831C91 (70000140)</t>
  </si>
  <si>
    <t>Termostato Motor Nkr RW 980170271 (70000141)</t>
  </si>
  <si>
    <t>Plato Freno Parqueo Nkr-RW 8980299220 (70000142)</t>
  </si>
  <si>
    <t>Porta Leva Freno Del Izq Eag E813299P62 (70000143)</t>
  </si>
  <si>
    <t>Porta Leva Freno Del Der Eag A993299A67 (70000144)</t>
  </si>
  <si>
    <t>Abrazadera Rejilla Mofle Eagle 3566595C1 (70000145)</t>
  </si>
  <si>
    <t>Manguera Evaporador A/C Eagle 3592145C92 (70000146)</t>
  </si>
  <si>
    <t>Switch Actuador A/C 2503207C1 (70000147)</t>
  </si>
  <si>
    <t>Motor Calefaccion Eagle 1699949C1 (70000148)</t>
  </si>
  <si>
    <t>Sensor Cabin Alta Pres A/C Eagl1676787C1 (70000149)</t>
  </si>
  <si>
    <t>Emblema International 2007339C1 (70000150)</t>
  </si>
  <si>
    <t>Rejilla Evaporadora A/C Eagle 2501251C1 (70000151)</t>
  </si>
  <si>
    <t>Panel Calefaccion A/C Eagle ZGG710082 (70000152)</t>
  </si>
  <si>
    <t>Valvula Expansión A/C KW22352 (70000153)</t>
  </si>
  <si>
    <t>Manija Elevavidrio MEV-073 Hi 1649776 (70000154)</t>
  </si>
  <si>
    <t>Compresor Aire Acond KWF696003122 (70000155)</t>
  </si>
  <si>
    <t>Pelicula Seguridad Vidrio Tras Cabina (70000156)</t>
  </si>
  <si>
    <t>Unidad Calefaccion Nkr Rewar 8981835940 (70000157)</t>
  </si>
  <si>
    <t>Modulo Accesorios Puerta KWQ211051001 (70000158)</t>
  </si>
  <si>
    <t>Palanca Actuador Aire Ac Eagle 2503730C1 (70000159)</t>
  </si>
  <si>
    <t>Manguera Presion Hco Nkr 8973583280 (70000160)</t>
  </si>
  <si>
    <t>Conjun Mangu Salida Radiad N200 24527520 (70000161)</t>
  </si>
  <si>
    <t>Valvula Purga Secador Aire KW K022105-BX (70000162)</t>
  </si>
  <si>
    <t>Sensor Frenos Abs Eagle Isx (70000163)</t>
  </si>
  <si>
    <t>Sopore Derecho Capo Eagle Isx 3506126C1 (70000164)</t>
  </si>
  <si>
    <t>Panel Tras Izq Eagle Isx3540097C2 (70000165)</t>
  </si>
  <si>
    <t>Valvula Tanque Bajo HI4700 2585470C91 (70000166)</t>
  </si>
  <si>
    <t>Espaciador Muelle Del Der Isx (70000167)</t>
  </si>
  <si>
    <t>Base Grapa Muelle Del Isx (70000168)</t>
  </si>
  <si>
    <t>Collarin Del derecho Isx (70000169)</t>
  </si>
  <si>
    <t>Bomba Vacio Alternador Npr 8981061340 (70000170)</t>
  </si>
  <si>
    <t>Empaquetadura Bomba Ppal Clutc Nk Nh-Npr (70000171)</t>
  </si>
  <si>
    <t>Rtos Embrague (REPEMB)</t>
  </si>
  <si>
    <t>Termostato Hino SZ91046034 (70000172)</t>
  </si>
  <si>
    <t>Kit Suspension Cabina Eagle Isx (70000173)</t>
  </si>
  <si>
    <t>Parasol Cabina Izq Nkr (70000174)</t>
  </si>
  <si>
    <t>Kit Rodamiento Embrague Master (70000175)</t>
  </si>
  <si>
    <t>Soporte Alternador Eagle Isx (70000176)</t>
  </si>
  <si>
    <t>Panel Trasero Cabina Eagle Isx (70000177)</t>
  </si>
  <si>
    <t>Espaciador Del Tope Capo Bracket Eagle (70000178)</t>
  </si>
  <si>
    <t>Panel Soporte Techo Cabina Eagle Isx (70000179)</t>
  </si>
  <si>
    <t>Guaya Tensora Puerta Tipo Cortina Furgon (70000180)</t>
  </si>
  <si>
    <t>Soporte Izq Cabina Eagle (70000181)</t>
  </si>
  <si>
    <t>Esquinero Cabina Derecho Eagle (70000182)</t>
  </si>
  <si>
    <t>Pin Tensor Freno N200 160456009 (70000183)</t>
  </si>
  <si>
    <t>Riel Largo Pta Cortina Nkr-Npr 103193 (70000184)</t>
  </si>
  <si>
    <t>Oring Bomba Vacio Grande Nkr 8970833040 (70000185)</t>
  </si>
  <si>
    <t>Oring Bomba Vacio Pequeño Nkr 8941566080 (70000186)</t>
  </si>
  <si>
    <t>Cilindro Mono Caja16918 KW-A6690-4303595 (70000187)</t>
  </si>
  <si>
    <t>Culata Motor Nkr RW 8981756061 (70000188)</t>
  </si>
  <si>
    <t>Bomba Agua Nkr RW 8980042922 (70000189)</t>
  </si>
  <si>
    <t>Culata Motor Nkr III 8972043765 (70000190)</t>
  </si>
  <si>
    <t>Extension Tras G/Fango Delantero Nkr III (70000191)</t>
  </si>
  <si>
    <t>Arandela Satelite Diferencial Hino (70000192)</t>
  </si>
  <si>
    <t>Rtos Eje Diferencial (REPEJEDI)</t>
  </si>
  <si>
    <t>Tuerca Esparrago Rueda Del Der Nkr III (70000193)</t>
  </si>
  <si>
    <t>Retenedor Rueda Delantera Hino (70000194)</t>
  </si>
  <si>
    <t>Retenedor Rueda Trasera Hino (70000195)</t>
  </si>
  <si>
    <t>Retenedor Hausin Hino 105025 (70000196)</t>
  </si>
  <si>
    <t>Sincronizador De Rev Hino (70000197)</t>
  </si>
  <si>
    <t>Emblema Puerta Hi Isx 3550918C2 (70000198)</t>
  </si>
  <si>
    <t>Empaque Culata 2 Muesca NkrRW 8973288672 (70000199)</t>
  </si>
  <si>
    <t>Biela Caja Direccion Nkr-Nhr 8971092891 (70000200)</t>
  </si>
  <si>
    <t>Monoshock 200XM Akt200 (70000201)</t>
  </si>
  <si>
    <t>Farola Completa 200xm Akt200 (70000202)</t>
  </si>
  <si>
    <t>Bomba Freno Delantero 200xm Akt200 (70000203)</t>
  </si>
  <si>
    <t>Switch Encendido Akt 125 200 XM 200 (70000204)</t>
  </si>
  <si>
    <t>Valvula Control Egr Nkr-Nhr 8971710300 (70000205)</t>
  </si>
  <si>
    <t>Cubierta Inf Dir Nkr III 8973984500 (70000206)</t>
  </si>
  <si>
    <t>Panel Frontal Cab NkrIII 2010 8975828712 (70000207)</t>
  </si>
  <si>
    <t>Emblema Chevrolet Npr Nkr Nhr 8980058411 (70000208)</t>
  </si>
  <si>
    <t>Panel Front Cab NkrIII 2010 8975828680 (70000209)</t>
  </si>
  <si>
    <t>Sensor Temp Diferencial Eagle 1675751C1 (70000210)</t>
  </si>
  <si>
    <t>Switch Pito Cabrill Izq Hi4300 2590922C1 (70000211)</t>
  </si>
  <si>
    <t>Valvula Selenoide Fanclucht KW 993308 (70000212)</t>
  </si>
  <si>
    <t>Switch Ignicion KW T800 CAT7S6402 (70000213)</t>
  </si>
  <si>
    <t>Terminal Ext Caja Dir N200 24510351 (70000214)</t>
  </si>
  <si>
    <t>Leva Freno Mula-- Gruesa/Men (70000215)</t>
  </si>
  <si>
    <t>Kit Cilindros Puerta Eagle 1682044C92 (70000216)</t>
  </si>
  <si>
    <t>Hoja Resorte Trasera KW 59009/10 (70000217)</t>
  </si>
  <si>
    <t>Hoja Resorte Trasera KW 59009/11 (70000218)</t>
  </si>
  <si>
    <t>Kit Embrague Hyundai (70000219)</t>
  </si>
  <si>
    <t>Kit Rep Menor Freno HD6-1/2 Eag KIT8002H (70000220)</t>
  </si>
  <si>
    <t>Sello Valvula Moto Xl200 Honda (70000221)</t>
  </si>
  <si>
    <t>Corona Y Speed Hino 4120180641 (70000222)</t>
  </si>
  <si>
    <t>Rodillo Diferencial Hino 9036635108 (70000223)</t>
  </si>
  <si>
    <t>Rodillo Diferencial Hino 9036640100 (70000224)</t>
  </si>
  <si>
    <t>Rodillo Diferencial Hino 9036652004 (70000225)</t>
  </si>
  <si>
    <t>Acople Diferencial Hino 4120437100 (70000226)</t>
  </si>
  <si>
    <t>Cruceta Cardan N 200 9026216 (70000227)</t>
  </si>
  <si>
    <t>Reten Enflache Caja Full 14718 KW K-2918 (70000228)</t>
  </si>
  <si>
    <t>Bocin Rueda Delantera Eagle 2591735C91 (70000229)</t>
  </si>
  <si>
    <t>Gaveta Consola Cabina Eagle 3517150C1 (70000230)</t>
  </si>
  <si>
    <t>Empaque Conexión Aire Motor Isx 3102173 (70000231)</t>
  </si>
  <si>
    <t>Kit Amortiguador Del Nkr III-52036348 (70000232)</t>
  </si>
  <si>
    <t>Sensor Baja Pres Isx 1676786c2 (70000233)</t>
  </si>
  <si>
    <t>Conector Mang L/brisas Nkr 8972161150 (70000234)</t>
  </si>
  <si>
    <t>Retenedor Rueda Trasera Hino SZ31101049 (70000235)</t>
  </si>
  <si>
    <t>Guaya Control Cambios Nkr 898146890 (70000236)</t>
  </si>
  <si>
    <t>Empaque Conexión Bomba ACPM KW 4965689 (70000237)</t>
  </si>
  <si>
    <t>Balancin Admisión Tras Isx 4298642 (70000238)</t>
  </si>
  <si>
    <t>Sensor Temp Aceite Carter Eag 3527342C2 (70000239)</t>
  </si>
  <si>
    <t>Oring Tapa Tras Eje Leva Iny Eag 4985661 (70000240)</t>
  </si>
  <si>
    <t>Oring Eje De Levas Motor Eag 4985660 (70000241)</t>
  </si>
  <si>
    <t>Oring Tapa Eje Levas Motor Eagle 4299124 (70000242)</t>
  </si>
  <si>
    <t>Buje Susp Del T Delta 9004385046 (70000243)</t>
  </si>
  <si>
    <t>Enflanche Caja Full 15915/16918 6544631 (70000244)</t>
  </si>
  <si>
    <t>Valvula Magnetica ahogo Nkr Rw8980433440 (70000245)</t>
  </si>
  <si>
    <t>Guaya Control Cambio Nkr RW 8981468251 (70000246)</t>
  </si>
  <si>
    <t>Seguro Columna Direccion Nkr 8971703640 (70000247)</t>
  </si>
  <si>
    <t>Direccional Del Izq RW 22021308 (70000248)</t>
  </si>
  <si>
    <t>Correa Ventilador 7PK990 RW 8973629260 (70000249)</t>
  </si>
  <si>
    <t>Tensora Apertura Puerta Nkr 8975816811 (70000250)</t>
  </si>
  <si>
    <t>Conector Sensor Refrigerante Eag 6539735 (70000251)</t>
  </si>
  <si>
    <t>Acople Rod Piñon Corona Nhr 9412196341 (70000252)</t>
  </si>
  <si>
    <t>Arandela Ajuste Planetar Nhr 9415626020 (70000253)</t>
  </si>
  <si>
    <t>Pin Trasero Corredizo 12515 Hi4900 16723 (70000254)</t>
  </si>
  <si>
    <t>Terminal Dir Der N200 24549031 (70000255)</t>
  </si>
  <si>
    <t>Arandela Buje Trifuncional Trailer 94122 (70000256)</t>
  </si>
  <si>
    <t>Buje Pasador Trifuncional Traile 9412201 (70000257)</t>
  </si>
  <si>
    <t>Cuña Cigüeñal Nkr III 9080307430 (70000258)</t>
  </si>
  <si>
    <t>Damper Cigüeñal Nkr III 8972299002 (70000259)</t>
  </si>
  <si>
    <t>Kit Chapeta Cardan Npr 37028 (70000260)</t>
  </si>
  <si>
    <t>Bomba Hidraulica Toyota 4432087304 (70000261)</t>
  </si>
  <si>
    <t>Piña Corredizo Rt-7608ll Hi 4900-21662 (70000262)</t>
  </si>
  <si>
    <t>Tapa Caja Bateria Isx Eagle 3596207C1 (70000263)</t>
  </si>
  <si>
    <t>Stop Tras Redondo Trailer 420 (70000264)</t>
  </si>
  <si>
    <t>Cremallera Pta Der Nkr RW 8980292333 (70000265)</t>
  </si>
  <si>
    <t>Manija Elevavidrio Nkr RW 8979053133 (70000266)</t>
  </si>
  <si>
    <t>Mang sup Enfriador Caja Eag 3689055C1 (70000267)</t>
  </si>
  <si>
    <t>Mang Inf Enfriador Caja Eag 3825473C1 (70000268)</t>
  </si>
  <si>
    <t>Puente Traser Chasis Eag 9400 3539166C2 (70000269)</t>
  </si>
  <si>
    <t>Corona y Speed Trasera 9X41 KW 121890 (70000270)</t>
  </si>
  <si>
    <t>Kit Tornillos Corona 38 Lbs KW 70745 (70000271)</t>
  </si>
  <si>
    <t>Jgo Rodillo 1/2 Caja Mono SB N14-5556503 (70000272)</t>
  </si>
  <si>
    <t>Buje Tijera Inferior Del N200-9026454 (70000273)</t>
  </si>
  <si>
    <t>Campana Rueda Tras N200 24529028 (70000274)</t>
  </si>
  <si>
    <t>Miona Agua L/Brisa Nkr-Npr 8980291391 (70000275)</t>
  </si>
  <si>
    <t>Tuerca mang L/Brisas Nkr-Npr 8980790300 (70000276)</t>
  </si>
  <si>
    <t>Separador Diferencial Eaton KW 78904 (70000277)</t>
  </si>
  <si>
    <t>Amortiguador Del Nkr-RW 8980857090 (70000278)</t>
  </si>
  <si>
    <t>Lampara Led 24v Furg Nkr RW-FRR 37050172 (70000279)</t>
  </si>
  <si>
    <t>Tubo Bomba Inyeccion N-4 Nkr 8972239261 (70000280)</t>
  </si>
  <si>
    <t>Cabrilla Direccion Van N-200-24520291 (70000281)</t>
  </si>
  <si>
    <t>Valvula Reguladora Aire Isx BX801479 (70000282)</t>
  </si>
  <si>
    <t>Grapa Muelle Tras 3/4x2 3/4x11 T Delta (70000283)</t>
  </si>
  <si>
    <t>Soporte Cardan Nkr 90234KT2X (70000284)</t>
  </si>
  <si>
    <t>Lampara Lateral Amarilla 4-080- 480 (70000285)</t>
  </si>
  <si>
    <t>Perno Culata Nkr III RW 8982010190 (70000286)</t>
  </si>
  <si>
    <t>Actuador De Dosifica Isx KW 408998000R (70000287)</t>
  </si>
  <si>
    <t>Actuador De Tiempo Isx KW 408998100R (70000288)</t>
  </si>
  <si>
    <t>Tubo En L Inyector Nkr 8973152302 (70000289)</t>
  </si>
  <si>
    <t>Tubo En T Inyector Nkr 8973152312 (70000290)</t>
  </si>
  <si>
    <t>Radiador Motor N200 Nuevo 9015625 (70000291)</t>
  </si>
  <si>
    <t>Stop Trasero Super Brigadier R-479 (70000292)</t>
  </si>
  <si>
    <t>Valvula Control Flujo Aire N200 19255925 (70000293)</t>
  </si>
  <si>
    <t>Tuerca Perno Rueda Van N200 94515470 (70000294)</t>
  </si>
  <si>
    <t>Moldura Vidrio Pta Der Nkr RW 8980291921 (70000295)</t>
  </si>
  <si>
    <t>Balinera Motor De Arranque Nkr 6904-2RS (70000296)</t>
  </si>
  <si>
    <t>Laminilla Selenoide Bobina 129839 SB (70000297)</t>
  </si>
  <si>
    <t>Piñon Aux Caja 16718 Eagle 4303422 (70000298)</t>
  </si>
  <si>
    <t>Acople 90Gd Mang acpm 5/8"Eag 3559213C2 (70000299)</t>
  </si>
  <si>
    <t>Acople 90Gd Mang acpm 1/2"Eag 3533425C3 (70000300)</t>
  </si>
  <si>
    <t>Empaque Carter Motor Isx 4026684 (70000301)</t>
  </si>
  <si>
    <t>Hoja Resorte Tras T Delta 5ta 4821060290 (70000302)</t>
  </si>
  <si>
    <t>Hoja Resorte Tras T Delta 6ta 4821060100 (70000303)</t>
  </si>
  <si>
    <t>Abrazadera Espejo Dt466-4300-2507274C1 (70000304)</t>
  </si>
  <si>
    <t>Kit Piston 0 50 Akt 200 (70000305)</t>
  </si>
  <si>
    <t>Cruceta Divisor Rockwell Isx 3278N300 (70000306)</t>
  </si>
  <si>
    <t>Arandela Can DivisorRockwel Isx1229Q2929 (70000307)</t>
  </si>
  <si>
    <t>Tuerca Diviso/Speed Rockwel Isx 40x1233A (70000308)</t>
  </si>
  <si>
    <t>Piñon 2da Eje despla Nkr 8943167643 (70000309)</t>
  </si>
  <si>
    <t>Sincro 5ta/Rev Nkr 8970487500 (70000310)</t>
  </si>
  <si>
    <t>Arandela Susp Neumatica 1/8"-Fabricado (70000311)</t>
  </si>
  <si>
    <t>Cremallera Pta Izq Nkr RW 8980292342 (70000312)</t>
  </si>
  <si>
    <t>Guardabarro Nkr III RW 8980013025 (70000313)</t>
  </si>
  <si>
    <t>Pisadera Lateral Izq Nkr RW 8980227753 (70000314)</t>
  </si>
  <si>
    <t>Pisadera Lateral Der Nkr RW 8980227743 (70000315)</t>
  </si>
  <si>
    <t>Cerradura Puerta Izq Nkr RW 8980290532 (70000316)</t>
  </si>
  <si>
    <t>Horquilla Rache Atomatico Eagle 01RV789 (70000317)</t>
  </si>
  <si>
    <t>Reten Cigueñal Del R Master 7700103945 (70000318)</t>
  </si>
  <si>
    <t>Jgo Correa Y Acceso R Master8200833558 (70000319)</t>
  </si>
  <si>
    <t>Direccional Izq Pta Nkr 2012 8980397772 (70000320)</t>
  </si>
  <si>
    <t>Kit Rodilleria Caja 16918 Isx K3340 (70000321)</t>
  </si>
  <si>
    <t>Automatico Arranque Hi 4300 661601 (70000322)</t>
  </si>
  <si>
    <t>Panel Del Izq Nkr 2012 8974056258 (70000323)</t>
  </si>
  <si>
    <t>Direccional Del Izq Nkr RW 8981554590 (70000324)</t>
  </si>
  <si>
    <t>Tubo Soporte Bayoneta Isx 4059199 (70000325)</t>
  </si>
  <si>
    <t>Brazo Espejo Ext Izq Nkr RW 8980705030 (70000326)</t>
  </si>
  <si>
    <t>Manguera Freno Delantero Npr 8941145250 (70000327)</t>
  </si>
  <si>
    <t>Respiradero Diferencial Eag AMA1199W40 (70000328)</t>
  </si>
  <si>
    <t>Diferencial Del con divisor 9x41 674517 (70000329)</t>
  </si>
  <si>
    <t>Retenedor Sinfín Caja Dir Npr 8970817460 (70000330)</t>
  </si>
  <si>
    <t>Panel Esquinero Lado Der Hino 5380137021 (70000331)</t>
  </si>
  <si>
    <t>Bocel Panel Der Cab Hino 300 5392125011 (70000332)</t>
  </si>
  <si>
    <t>Bocel Panel Izq cab Hino 300 5392225011 (70000333)</t>
  </si>
  <si>
    <t>Tapa Bas Retrovisor Hino 8791637010 (70000334)</t>
  </si>
  <si>
    <t>Moldura Izq Techo Cabina Isx 3518012C2 (70000335)</t>
  </si>
  <si>
    <t>Esquinero Del Techo Der Cab Isx3513633C2 (70000336)</t>
  </si>
  <si>
    <t>Brazo Plumilla Limpiabrisa N200 24530132 (70000337)</t>
  </si>
  <si>
    <t>Kit Guardapol Del/Tras Pasta ZFA0310040 (70000338)</t>
  </si>
  <si>
    <t>Lampara Torpedo Eagle 9400 2593600C91 (70000339)</t>
  </si>
  <si>
    <t>Radiador Motor Nkr III-Reward 8973863181 (70000340)</t>
  </si>
  <si>
    <t>Tapa Filtro Aire Eagle P548910 2585269C1 (70000341)</t>
  </si>
  <si>
    <t>Convertidor De Radio Nkr III 94778514 (70000342)</t>
  </si>
  <si>
    <t>Radiador Aire Motor Renault 7701057121 (70000343)</t>
  </si>
  <si>
    <t>Deposito Limpiabrisa R Master 8200146985 (70000344)</t>
  </si>
  <si>
    <t>Farola Derecha Renault Master 8200163518 (70000345)</t>
  </si>
  <si>
    <t>Direccional Del Der R Master 8200163918 (70000346)</t>
  </si>
  <si>
    <t>Refuerzo Del Cabina Renault 8200187228 (70000347)</t>
  </si>
  <si>
    <t>Fachada Del Cabina R Master 8200187234 (70000348)</t>
  </si>
  <si>
    <t>Parachoque Del R Master 8200394563 (70000349)</t>
  </si>
  <si>
    <t>Bomba Dir Asistida R Master 8201183788 (70000350)</t>
  </si>
  <si>
    <t>Kit Correa Distrib Renault 7701477380 (70000351)</t>
  </si>
  <si>
    <t>Kit Correa Acc Alt R Master 7701475193 (70000352)</t>
  </si>
  <si>
    <t>Tubo De Agua Compresor Isx 3682978 (70000353)</t>
  </si>
  <si>
    <t>Base Retrovisor Izq T Delta 8790587329 (70000354)</t>
  </si>
  <si>
    <t>Palanca Cambios Eagle Isx FUL4303528 (70000355)</t>
  </si>
  <si>
    <t>Kit Reparacion Palanca Cambios K 3399 SB (70000356)</t>
  </si>
  <si>
    <t>Cojin Conductor Alto Eag M3570858C9 (70000357)</t>
  </si>
  <si>
    <t>Ventilador Radiador Nkr III 8973302070 (70000358)</t>
  </si>
  <si>
    <t>Farola Del Izq Nkr III 2010 8980984842 (70000359)</t>
  </si>
  <si>
    <t>Seguro Compuerta Trasera N-200 24539856 (70000360)</t>
  </si>
  <si>
    <t>Lampara Direccional Izq N200-5496714 (70000361)</t>
  </si>
  <si>
    <t>Espejo Exterior Izq N200 24529555 (70000362)</t>
  </si>
  <si>
    <t>Filtro Elem Evaporador Eagle1699956C1 (70000363)</t>
  </si>
  <si>
    <t>Rtos Filtros (REPFIL)</t>
  </si>
  <si>
    <t>Interruptor Direccionales N-200 5497157 (70000364)</t>
  </si>
  <si>
    <t>Compresor Aire Isx Eagle 9400 3104216RX (70000365)</t>
  </si>
  <si>
    <t>Kit Motor Arranque 42MT 791116 SB (70000366)</t>
  </si>
  <si>
    <t>Kit Soportes Condensador Isx 2591597C91 (70000367)</t>
  </si>
  <si>
    <t>Tapa Eje De Levas Isx 4026588 (70000368)</t>
  </si>
  <si>
    <t>Juego De Anillos Motor Std Isx 5633496 (70000369)</t>
  </si>
  <si>
    <t>Tapa Inferior Distribución Isx 4973081 (70000370)</t>
  </si>
  <si>
    <t>Tubo Llenado Aceite Carter Isx 4962606 (70000371)</t>
  </si>
  <si>
    <t>Tapon Desfogue Tapa Frontal Isx 3683695 (70000372)</t>
  </si>
  <si>
    <t>Tapa deposito Radiador Renault 700805031 (70000373)</t>
  </si>
  <si>
    <t>Radiador Motor Renault Master 7701057119 (70000374)</t>
  </si>
  <si>
    <t>Kit Embrague 15" Eagle S60-C-10839174 (70000375)</t>
  </si>
  <si>
    <t>Cinta Reflectiva Blanco Rojo Metros (70000376)</t>
  </si>
  <si>
    <t>Booster Frenos Nkr 8970339861 (70000377)</t>
  </si>
  <si>
    <t>Base Torpedo Cabina Eagle Isx 3571812C94 (70000378)</t>
  </si>
  <si>
    <t>Panel Sup Izq Techo Cabina Eag 3562325C1 (70000379)</t>
  </si>
  <si>
    <t>Brazo Bomper Sup Der Isx 3554715C3 (70000380)</t>
  </si>
  <si>
    <t>Brazo Bomper Sup Izq Isx 3554714C3 (70000381)</t>
  </si>
  <si>
    <t>Soporte Inter Persiana Eag 3516950C2 (70000382)</t>
  </si>
  <si>
    <t>Multiple Sensor Pres Aire Eag 3520124C1 (70000383)</t>
  </si>
  <si>
    <t>Soporte Bomper Lado Der 5214137180 Hino (70000384)</t>
  </si>
  <si>
    <t>Soporte Pta Izq tras N200 24543796 (70000385)</t>
  </si>
  <si>
    <t>Balinera Tras Eje despla Nkr 8970959131 (70000386)</t>
  </si>
  <si>
    <t>Ducto Aire Purificador Isx 3521986C94 (70000387)</t>
  </si>
  <si>
    <t>Mang Codo Salida Termostato Isx2003569C1 (70000388)</t>
  </si>
  <si>
    <t>Rodamiento Tras Eje despl Nkr 8941787322 (70000389)</t>
  </si>
  <si>
    <t>Kit Gancho Capot Eagle 1699930 C2 (70000390)</t>
  </si>
  <si>
    <t>Parabrisas Laminado Nkr RW (70000391)</t>
  </si>
  <si>
    <t>Buje Arbol De Leva Motor Isx 3680580 (70000392)</t>
  </si>
  <si>
    <t>Buje Arbol De Leva Motor Isx 3680581 (70000393)</t>
  </si>
  <si>
    <t>Buje Arbol De Leva Motor Isx 3680582 (70000394)</t>
  </si>
  <si>
    <t>Kit Bujes Trifuncional (70000395)</t>
  </si>
  <si>
    <t>Guia De Pistoncillo Eagle Isx 3413137 (70000396)</t>
  </si>
  <si>
    <t>Kit Bujes Leva Freno Eagle ETN-012780 (70000397)</t>
  </si>
  <si>
    <t>Cruceta Cardan Delante KW SPL-250X (70000398)</t>
  </si>
  <si>
    <t>Sello Bomba Agua Isx 4059172 (70000399)</t>
  </si>
  <si>
    <t>Talco Stop Tricolor Nhr R04-112 (70000400)</t>
  </si>
  <si>
    <t>Piñon Cigüeñal Nkr 8972295931 (70000401)</t>
  </si>
  <si>
    <t>Kit Repacion Freno Mano Nkr 70016007 (70000402)</t>
  </si>
  <si>
    <t>Base Soporte Caja Nkr 8941333932 (70000403)</t>
  </si>
  <si>
    <t>Soporte Trasero Der Caja Nkr 8941119082 (70000404)</t>
  </si>
  <si>
    <t>Soporte Caja Trasero Nkr 8941119031 (70000405)</t>
  </si>
  <si>
    <t>Retrovisor Completo Izq Eag 3573708C93 (70000406)</t>
  </si>
  <si>
    <t>Rodamiento Caja 9036340075 (70000407)</t>
  </si>
  <si>
    <t>Switch Manual Fan Clutch Isx 2031489C1 (70000408)</t>
  </si>
  <si>
    <t>Arandela Pinadora Trasera 11245 (70000409)</t>
  </si>
  <si>
    <t>Sincronizador 4Ta Hino 3338137050 (70000410)</t>
  </si>
  <si>
    <t>Rodamiento Caja Hino 9036655060 (70000411)</t>
  </si>
  <si>
    <t>Tornillo Polea Tensora Nkr 5090002732 (70000412)</t>
  </si>
  <si>
    <t>Disco Freno Del R Master D1952XT (70000413)</t>
  </si>
  <si>
    <t>Post Enfriador Aire Nkr-Nhr 8973870330 (70000414)</t>
  </si>
  <si>
    <t>Varilla Tensora Radiador KW K20224211 (70000415)</t>
  </si>
  <si>
    <t>Bicel Parabrisas Nkr (70000416)</t>
  </si>
  <si>
    <t>Panel Paral Sup Izq Cabina Eag 3563205C1 (70000417)</t>
  </si>
  <si>
    <t>Chapa Interna Pta Izq Eagle 2513642c3 (70000418)</t>
  </si>
  <si>
    <t>Carcasa Filtro Aire Npr 8972280842 (70000419)</t>
  </si>
  <si>
    <t>Bombillo Halogeno 48892 Hino P43-24V7 (70000420)</t>
  </si>
  <si>
    <t>Kit Bujes Bastidor Central 30437 SB N (70000421)</t>
  </si>
  <si>
    <t>Base Filtro Agua Isx 4386673 (70000422)</t>
  </si>
  <si>
    <t>Tapa Frontal Super Motor Isx9400 3684273 (70000423)</t>
  </si>
  <si>
    <t>Polea Loca Alternador KW T800 4026886 (70000424)</t>
  </si>
  <si>
    <t>Kit Ventila/FClutch Agr-Volks 9410040100 (70000425)</t>
  </si>
  <si>
    <t>Cubo Sincro 1ra Hino 3336137060 (70000426)</t>
  </si>
  <si>
    <t>Soporte Trasero Caja Isx 481273C1 (70000427)</t>
  </si>
  <si>
    <t>King Ping Con Arandela Cambiable (70000428)</t>
  </si>
  <si>
    <t>Radiador Enfriador/A Caja Eag 2601446C91 (70000429)</t>
  </si>
  <si>
    <t>Vaso Trampa S3226P KW SK21527 (70000430)</t>
  </si>
  <si>
    <t>Correa Alternador 9051950 N200 (70000431)</t>
  </si>
  <si>
    <t>Filtro Separador Agua Isx FS1040 (70000432)</t>
  </si>
  <si>
    <t>Tanque Acpm Derecho KW K4240737N0 (70000433)</t>
  </si>
  <si>
    <t>Campana Delantera Akt 200 (70000434)</t>
  </si>
  <si>
    <t>Switch vidrio Pta Der Freigth RA06307690 (70000435)</t>
  </si>
  <si>
    <t>Embellecedor Depo L/Freno Nkr 8978574995 (70000436)</t>
  </si>
  <si>
    <t>Filtro A/C Metalico Isx 1693117C1 (70000437)</t>
  </si>
  <si>
    <t>Barra Direccion Corta 415701-2po (70000438)</t>
  </si>
  <si>
    <t>Brazo Espejo Lado Der Hino D P8791037570 (70000439)</t>
  </si>
  <si>
    <t>Lampara Farola Lado Der Hino 8113037120 (70000440)</t>
  </si>
  <si>
    <t>Bomba Freno Super Carry (70000441)</t>
  </si>
  <si>
    <t>Explordora Der Hino 8121137051 (70000442)</t>
  </si>
  <si>
    <t>Reten Reflector Pernos Eje Tras 24513745 (70000443)</t>
  </si>
  <si>
    <t>Anillo Separador Rodami Eje N200 9026276 (70000444)</t>
  </si>
  <si>
    <t>Rodamiento Eje Trasero N200 9026279 (70000445)</t>
  </si>
  <si>
    <t>Retenedor Eje Trasero N200 9026284 (70000446)</t>
  </si>
  <si>
    <t>Jgo Casquetes Bancada T1170456032 (70000447)</t>
  </si>
  <si>
    <t>Kit Embrague Renault Master 7701479080 (70000448)</t>
  </si>
  <si>
    <t>Eje Mono Media Caja 14915 N14 4303359 (70000449)</t>
  </si>
  <si>
    <t>Tuerca Eje Mono 14915 N14 21365 (70000450)</t>
  </si>
  <si>
    <t>Arandela Acople Mono 14915 N14 21347 (70000451)</t>
  </si>
  <si>
    <t>Pin Arandela Mono 14915 N14 17332 (70000452)</t>
  </si>
  <si>
    <t>Tuerca Del Mono 14915 N14 4302321 (70000453)</t>
  </si>
  <si>
    <t>Jgo Patas Freno Nissan Pat B410605W585 (70000454)</t>
  </si>
  <si>
    <t>Balinera Embrague Van N200-24521039 (70000455)</t>
  </si>
  <si>
    <t>Jgo Splinder Nhr 5878310290 (70000456)</t>
  </si>
  <si>
    <t>Deposito Agua Limpiabrisa Isx 3514727C92 (70000457)</t>
  </si>
  <si>
    <t>Tapa Tanque Limpiabrisas Isx 2504149C1 (70000458)</t>
  </si>
  <si>
    <t>Soporte Eje Levas Isx 4331386 (70000459)</t>
  </si>
  <si>
    <t>Empaque Cabecevaca Caja Isx KW 4306584 (70000460)</t>
  </si>
  <si>
    <t>Juego Splinder Npr 5878309782 (70000461)</t>
  </si>
  <si>
    <t>Brazo Bastidor Susp Hendrick 252090R (70000462)</t>
  </si>
  <si>
    <t>Retrovisor Der Desem Eag 2503924C91 (70000463)</t>
  </si>
  <si>
    <t>Campana Rueda Del Eagle Isx FCG100133B (70000464)</t>
  </si>
  <si>
    <t>Vidrio Puerta Trasera Van-N200 (70000465)</t>
  </si>
  <si>
    <t>Arandela Ajuste Caja Hino 3334237010 (70000466)</t>
  </si>
  <si>
    <t>Lampara Direccional Dere Hino 8161125031 (70000467)</t>
  </si>
  <si>
    <t>Bomper Delantero Hino 5211137300 (70000468)</t>
  </si>
  <si>
    <t>Puerta Lado Der Hino 6700137291 (70000469)</t>
  </si>
  <si>
    <t>Juego Cables Alta SC 95616972 (70000470)</t>
  </si>
  <si>
    <t>Cubierta Bomper Trasero N200 5496099 (70000471)</t>
  </si>
  <si>
    <t>Empaque Compuerta Trasera N200 5496470 (70000472)</t>
  </si>
  <si>
    <t>Termostato Motor N200 24521479 (70000473)</t>
  </si>
  <si>
    <t>Trapecio Limpiabrisas Isx 3596296C94 (70000474)</t>
  </si>
  <si>
    <t>Jgo Splinder Hi-FAK 5455 (70000475)</t>
  </si>
  <si>
    <t>Sensor Velocimetro Isx 3610797C91 (70000476)</t>
  </si>
  <si>
    <t>Guardafango Delantero Izq N200 5496672 (70000477)</t>
  </si>
  <si>
    <t>Termostato Enfriador Aceite Isx 4952631 (70000478)</t>
  </si>
  <si>
    <t>Direccional Del Izq Nkr 2011-8980108900 (70000479)</t>
  </si>
  <si>
    <t>Amortiguador Izq Pta Tras N200 9023969 (70000480)</t>
  </si>
  <si>
    <t>Amortiguador Der PtaTras N200 9023970 (70000481)</t>
  </si>
  <si>
    <t>Interruptor Neutra Caja Nkr 8980230500 (70000482)</t>
  </si>
  <si>
    <t>Camara Freno Del T20 Isx 2602424C91 (70000483)</t>
  </si>
  <si>
    <t>Manija Pta Izq Eagle(Descansab)3518423C1 (70000484)</t>
  </si>
  <si>
    <t>Disco Embrague Van N200 24520557 (70000485)</t>
  </si>
  <si>
    <t>Prensa Embrague Van N200 24540519 (70000486)</t>
  </si>
  <si>
    <t>Lampara Exploradora Izq N200 5496710 (70000487)</t>
  </si>
  <si>
    <t>Cubierta Bomper Del N200 5496098 (70000488)</t>
  </si>
  <si>
    <t>Caucho Empaq Enfriador/A Nkr 8970470000 (70000489)</t>
  </si>
  <si>
    <t>Caucho Enfriador/A Grande Nkr 8943837200 (70000490)</t>
  </si>
  <si>
    <t>Soporte Buje Esferico T/INCA ACF0040249 (70000491)</t>
  </si>
  <si>
    <t>Kit Chupas Freno Del Npr 5878307141 (70000492)</t>
  </si>
  <si>
    <t>Guaya Acelerador N200 24519715 (70000493)</t>
  </si>
  <si>
    <t>Forro Cabrilla (70000494)</t>
  </si>
  <si>
    <t>Guardapolvo Tras Logo Inter 3557863C1 (70000495)</t>
  </si>
  <si>
    <t>Soporte Tubo Escape N200 Nuevo (70000496)</t>
  </si>
  <si>
    <t>Juego Sellos Bomba Inyeccion 3803477 SB (70000497)</t>
  </si>
  <si>
    <t>Bisagra Tapa Motor Derecha N200 5496903 (70000498)</t>
  </si>
  <si>
    <t>Travesaño Trasero Inferior N200 19246330 (70000499)</t>
  </si>
  <si>
    <t>Compuerta Trasera N200 19246332 (70000500)</t>
  </si>
  <si>
    <t>Persiana Radiador N200 24521798 (70000501)</t>
  </si>
  <si>
    <t>Lampara Delantera Izq N200 24552609 (70000502)</t>
  </si>
  <si>
    <t>Mang Retorno Bomba Dir HCO Npr 970969491 (70000503)</t>
  </si>
  <si>
    <t>Tapon Carter Hino SZ34118014 (70000504)</t>
  </si>
  <si>
    <t>Buje Caucho Palanca Camb Nhr 8970914260 (70000505)</t>
  </si>
  <si>
    <t>Buje Metal Palanca Camb Nhr 8970914270 (70000506)</t>
  </si>
  <si>
    <t>Arandela Pinadora Hausing F800 Fabricado (70000507)</t>
  </si>
  <si>
    <t>Mang Retorno Bomba Dir HCO Npr 970801081 (70000508)</t>
  </si>
  <si>
    <t>Panel Frontal Del Nkr RW 8981226920 (70000509)</t>
  </si>
  <si>
    <t>Valvula Tanque Acpm Eagle 9400 203608C1 (70000510)</t>
  </si>
  <si>
    <t>Buje Trapecio Clutch Eag 9400 3515308C1 (70000511)</t>
  </si>
  <si>
    <t>Retenedor Rueda Tras Ext Nkr 8943363151 (70000512)</t>
  </si>
  <si>
    <t>Empaque Bomba Fren Nkr (1 1/8)8971304700 (70000513)</t>
  </si>
  <si>
    <t>Zapa Muelle Izq Tras Tras Nkr 8941820981 (70000514)</t>
  </si>
  <si>
    <t>Funda Varilla Aceite Volksw 115629TAP (70000515)</t>
  </si>
  <si>
    <t>Rache Fren AUT 6 0"X28 Hi 4300 R802487 (70000516)</t>
  </si>
  <si>
    <t>Espaciador Propulso Caja 14915-16463 (70000517)</t>
  </si>
  <si>
    <t>Lampara Exploradora Der N200 24552606 (70000518)</t>
  </si>
  <si>
    <t>Kit Embrague Npr 2000/2005 95631144 (70000519)</t>
  </si>
  <si>
    <t>Banda Freno Del Eagle Isx KSMA212472 (70000520)</t>
  </si>
  <si>
    <t>Tapa Deposito HCO Nkr-Npr 8941461532 (70000521)</t>
  </si>
  <si>
    <t>Tapizado Pta Izq T Delta 6761087311 (70000522)</t>
  </si>
  <si>
    <t>Buje Metal Leva Freno Portacont C13-0301 (70000523)</t>
  </si>
  <si>
    <t>Retrovisor Izq Desem Eag 2503925C91 (70000524)</t>
  </si>
  <si>
    <t>Porta Escobilla alternador 4700-39104 (70000525)</t>
  </si>
  <si>
    <t>Tapa Guantera Nkr Iii 8975821995 (70000526)</t>
  </si>
  <si>
    <t>Soporte Palanca Cambio Nk-Npr 8972045051 (70000527)</t>
  </si>
  <si>
    <t>Relay Bomba Transferencia Isx 3658948 (70000528)</t>
  </si>
  <si>
    <t>Filtro Secador A/C (70000529)</t>
  </si>
  <si>
    <t>Brazo Axial De Direccion N 200 24543445 (70000530)</t>
  </si>
  <si>
    <t>Reten Tapa Caja vel T Delta 9031122009 (70000531)</t>
  </si>
  <si>
    <t>Mecanismo llanta Repuesto Nkr 8943828751 (70000532)</t>
  </si>
  <si>
    <t>Buje Caucho Chapa Puerta Npr 8942797320 (70000533)</t>
  </si>
  <si>
    <t>Clips Farola Npr 8944520950 (70000534)</t>
  </si>
  <si>
    <t>Bomper Del Central Nkr 2012 8974068194 (70000535)</t>
  </si>
  <si>
    <t>Direccional Del Der Nkr RW 8981554580 (70000536)</t>
  </si>
  <si>
    <t>Pito Rev 24 Voltios (70000537)</t>
  </si>
  <si>
    <t>Tapa Filtro Aire Nkr RW 8980504341 (70000538)</t>
  </si>
  <si>
    <t>Puntera Bomper Izq Volkswagen 8071032RD8 (70000539)</t>
  </si>
  <si>
    <t>Palanca Limpiabrisa Volkswagen 535192RD9 (70000540)</t>
  </si>
  <si>
    <t>Semieje Tras 8970830941 Nkr III (70000541)</t>
  </si>
  <si>
    <t>Cilindro Freno Tras Izq N200 24512233 (70000542)</t>
  </si>
  <si>
    <t>Mang Retorno Enfriador/A Nkr 8971761381 (70000543)</t>
  </si>
  <si>
    <t>Fusible 30 Amperios 8980791910 (70000544)</t>
  </si>
  <si>
    <t>Guaya Freno Parqueo N-200 9001679 (70000545)</t>
  </si>
  <si>
    <t>Tuerca Housing Trasero Npr 8971370930 (70000546)</t>
  </si>
  <si>
    <t>Arandela Housing Trasero Npr 9096530020 (70000547)</t>
  </si>
  <si>
    <t>Bombona Suspension Cabina Eag 2500012C1 (70000548)</t>
  </si>
  <si>
    <t>Kit Carcasa Filtro Aire Eagle 3529036C92 (70000549)</t>
  </si>
  <si>
    <t>Hoja Muelle Ppal Del KW 59400/1 (70000550)</t>
  </si>
  <si>
    <t>Anillo Bronce Sincro 5ta Hino 3339637020 (70000551)</t>
  </si>
  <si>
    <t>Anillo Bronce Sincro Hino 3303837030 (70000552)</t>
  </si>
  <si>
    <t>Cubo Sincro Hino 3336437040 (70000553)</t>
  </si>
  <si>
    <t>Cuña Sincro 1ra Hino 3336537050 (70000554)</t>
  </si>
  <si>
    <t>Anillo Bronce Sincro 3da Hino 3336937020 (70000555)</t>
  </si>
  <si>
    <t>Piñon 2da Hino 3342437010 (70000556)</t>
  </si>
  <si>
    <t>Bocel Farola Izq Npr-Nhr 8978983671 (70000557)</t>
  </si>
  <si>
    <t>Cilindro Fren Tra Der S/PG N200 24512236 (70000558)</t>
  </si>
  <si>
    <t>Kit Sellos Caja Dir Eag 2585853C91 (70000559)</t>
  </si>
  <si>
    <t>Horquilla Embrague Npr 98/04 8971879360 (70000560)</t>
  </si>
  <si>
    <t>Panel Lateral Frontal Izq Nkr 8975824715 (70000561)</t>
  </si>
  <si>
    <t>Platina Soporte Caja Vel Nkr 8970292860 (70000562)</t>
  </si>
  <si>
    <t>Clip Sujecion Moldura Nkr III 1099831610 (70000563)</t>
  </si>
  <si>
    <t>Tapa Soporte Espejo Nkr 2012 8980275522 (70000564)</t>
  </si>
  <si>
    <t>Clip Fijacion Tapiz Nkr 2012 8982213001 (70000565)</t>
  </si>
  <si>
    <t>Soporte Bomper Der Nkr RW 8980252114 (70000566)</t>
  </si>
  <si>
    <t>Tapa Llenado Aceite N200 24540995 (70000567)</t>
  </si>
  <si>
    <t>Interruptor Vidrio Puerta N200 5498450 (70000568)</t>
  </si>
  <si>
    <t>Banda Freno Emergencia Nkr 8970429331 (70000569)</t>
  </si>
  <si>
    <t>Inducido Arranque 42mt 1987989 (70000570)</t>
  </si>
  <si>
    <t>Inyector Motor T Delta 2360059245 (70000571)</t>
  </si>
  <si>
    <t>Esparrago Rueda Del Izq Nhr 8971264871 (70000572)</t>
  </si>
  <si>
    <t>Filtro Comb Elem 876100931 Rw 8981628970 (70000573)</t>
  </si>
  <si>
    <t>Filtro Aceite Elem Nkr2012 8980188580 (70000574)</t>
  </si>
  <si>
    <t>Buje Bisagra Capot Freigh 1714250000 (70000575)</t>
  </si>
  <si>
    <t>Minifusible Aton De 10 A 30 Amperios (70000576)</t>
  </si>
  <si>
    <t>Rejilla Ventilacion Cabina Eag 3529263C1 (70000577)</t>
  </si>
  <si>
    <t>Anillo Bronce Sincro Hino 3303737050 (70000578)</t>
  </si>
  <si>
    <t>Piñon 3ra Hino 3304437020 (70000579)</t>
  </si>
  <si>
    <t>Interruptor Luces SB- V 3081574 (70000580)</t>
  </si>
  <si>
    <t>Cubo Sincro Hino 3336337060 (70000581)</t>
  </si>
  <si>
    <t>Cubo Sincro Hino 3339537030 (70000582)</t>
  </si>
  <si>
    <t>Fusible 30 Amperios Isx 3529690C1 (70000583)</t>
  </si>
  <si>
    <t>Fusible Termico 20 Amperio Isx 3529688C1 (70000584)</t>
  </si>
  <si>
    <t>Oring Divisor De Potencia Eag 1670307C1 (70000585)</t>
  </si>
  <si>
    <t>Motor Arranque 24V Hino Dutro Wte2271A00 (70000586)</t>
  </si>
  <si>
    <t>Post Enfriador Aire Motor Eag 2596587C91 (70000587)</t>
  </si>
  <si>
    <t>Guardafango Izq Capo Hi 466 1657763C2 (70000588)</t>
  </si>
  <si>
    <t>Disco Separador Embrague Akt 200 (70000589)</t>
  </si>
  <si>
    <t>Guaya Clutch Akt 200 (70000590)</t>
  </si>
  <si>
    <t>Switch Freno Trasero Akt 200 (70000591)</t>
  </si>
  <si>
    <t>Buje Quinta Rueda Holland M-Nuevo 10605 (70000592)</t>
  </si>
  <si>
    <t>Manguera De Alta 50Cm Isx Eagle 394372c2 (70000593)</t>
  </si>
  <si>
    <t>Caucho Descansapie Moto Varias4355135500 (70000594)</t>
  </si>
  <si>
    <t>Empaque Bomba Hidraulica 4700 5915597C2 (70000595)</t>
  </si>
  <si>
    <t>Enfocado Radiador Nkr Mod2007 8970660110 (70000596)</t>
  </si>
  <si>
    <t>Tubo Refrigeracion Turbo Nkr 8972079540 (70000597)</t>
  </si>
  <si>
    <t>Arandela Piñon 2da Nkr 5332710070 (70000598)</t>
  </si>
  <si>
    <t>Empaqueta Culata Del Nkr Rw 8973288282 (70000599)</t>
  </si>
  <si>
    <t>Interruptor Lampara Rev N200-24516990 (70000600)</t>
  </si>
  <si>
    <t>Kit Art Espejo Eagle 2508186C91 (70000601)</t>
  </si>
  <si>
    <t>Brazo Espejo Ext Der Nkr Rw 8980705080 (70000602)</t>
  </si>
  <si>
    <t>Manija Int Puerta Izq N200 9001818 (70000603)</t>
  </si>
  <si>
    <t>Manija Int Puerta Der N200 9001819 (70000604)</t>
  </si>
  <si>
    <t>Tanque Aceite Hco Isx Eag 1680448C92 (70000605)</t>
  </si>
  <si>
    <t>Manguera Admision Isx Eagle 3539944C2 (70000606)</t>
  </si>
  <si>
    <t>Cauchos Inyector Isx Eagle 3330537 (70000607)</t>
  </si>
  <si>
    <t>Guardabarro Del Der N200 19246374 (70000608)</t>
  </si>
  <si>
    <t>Estribo Derecho Hino 5177137110 (70000609)</t>
  </si>
  <si>
    <t>Lampara Del Der N200 24552610 (70000610)</t>
  </si>
  <si>
    <t>Sensor Nivel Agua Isx Kw T800 86714A1 (70000611)</t>
  </si>
  <si>
    <t>Abrazadera Cremallera 28 (70000612)</t>
  </si>
  <si>
    <t>Arandela Leva Exterior 1 1/2"1 1/2" (70000613)</t>
  </si>
  <si>
    <t>Soporte Trasero Cabina Npr 8980215611 (70000614)</t>
  </si>
  <si>
    <t>Soporte Sup Pta Der Tras N200 24543797 (70000615)</t>
  </si>
  <si>
    <t>Biela Motor Nkr III Reward 8973889212 (70000616)</t>
  </si>
  <si>
    <t>Jgo Cables Alta 24531323/26 N200 (70000617)</t>
  </si>
  <si>
    <t>Bujia Motor 9002811 N200 (70000618)</t>
  </si>
  <si>
    <t>Rodamiento Ext Piñon Entr Npr 5098120621 (70000619)</t>
  </si>
  <si>
    <t>Buje Balancin Muelle Tras S N200 5497019 (70000620)</t>
  </si>
  <si>
    <t>Buje Balancin Muelle Tras I N200 5497024 (70000621)</t>
  </si>
  <si>
    <t>Carcasa Termostato Nkr 8971396031 (70000622)</t>
  </si>
  <si>
    <t>Piñon Rev Caja Hino 3342537020 (70000623)</t>
  </si>
  <si>
    <t>Manzana Rueda Delantera N-200 5497147 (70000624)</t>
  </si>
  <si>
    <t>Buje Selector Cambio T Delta 9004386041 (70000625)</t>
  </si>
  <si>
    <t>Kit Buje Central Bastidor Eag H30437000l (70000626)</t>
  </si>
  <si>
    <t>Kit Buje Lateral Bastidor Eag H34013088l (70000627)</t>
  </si>
  <si>
    <t>Lampara Interior Cabina Eagle 2005463C91 (70000628)</t>
  </si>
  <si>
    <t>Paral Tras Der Cabina Eagle 3616403C91 (70000629)</t>
  </si>
  <si>
    <t>Pasador Sus Bombona 1 1/8X10-9093 (70000630)</t>
  </si>
  <si>
    <t>Anillo Piston Nkr III 2012 8980535790 (70000631)</t>
  </si>
  <si>
    <t>Empaque Culata Nkr III 2012 8981359550 (70000632)</t>
  </si>
  <si>
    <t>Tapa cubo Rda Del Foton 1039 1023981101 (70000633)</t>
  </si>
  <si>
    <t>Abrazadera Tanque Aceite Hco Eagle Fabr (70000634)</t>
  </si>
  <si>
    <t>Soporte Exosto Hi Eagle 9400 3542132c1 (70000635)</t>
  </si>
  <si>
    <t>Hoja Resorte Trasera SB N14E 22705/7 (70000636)</t>
  </si>
  <si>
    <t>Empaque Lateral T Cortina 105" Pta 5377 (70000637)</t>
  </si>
  <si>
    <t>Pin Pasador Guaya T Cortina Pta 1010097 (70000638)</t>
  </si>
  <si>
    <t>Caja Direccion N200 23885494 (70000639)</t>
  </si>
  <si>
    <t>Cauchos Inyector Isx Eagle 3347937 (70000640)</t>
  </si>
  <si>
    <t>Cauchos Inyector Isx Eagle 3330538 (70000641)</t>
  </si>
  <si>
    <t>Cauchos Inyector Isx Eagle 3347939 (70000642)</t>
  </si>
  <si>
    <t>Tuerca Campana Freno Inter Npr 911105220 (70000643)</t>
  </si>
  <si>
    <t>Base Caucho Palanca Cambio Eag 3540459C1 (70000644)</t>
  </si>
  <si>
    <t>Carter Aceite Motor Nkr RW 8973830673 (70000645)</t>
  </si>
  <si>
    <t>Manija Puerta Izq N200 24529019 (70000646)</t>
  </si>
  <si>
    <t>Piñon 3ra 33 Dientes Nhr Turb 8943167610 (70000647)</t>
  </si>
  <si>
    <t>Clip Aro Enf Rad Nkr-Npr-Nhr 8970888100 (70000648)</t>
  </si>
  <si>
    <t>Recibidor Chapa Puerta Npr-Delta (70000649)</t>
  </si>
  <si>
    <t>Guaya Embrague N200 24561046-24525676 (70000650)</t>
  </si>
  <si>
    <t>Interruptor Luces Parqueo Nkr 8972024790 (70000651)</t>
  </si>
  <si>
    <t>Pasador Punta Muelle Delantero Nkr 6103 (70000652)</t>
  </si>
  <si>
    <t>Hoja Resorte Trasera SB N14E 22705/4 (70000653)</t>
  </si>
  <si>
    <t>Cartucho Secador Aire Isx Core BX107794X (70000654)</t>
  </si>
  <si>
    <t>Panel Torpedo Cab Pta Izq Eag 3558749C1 (70000655)</t>
  </si>
  <si>
    <t>Conjunto Pedal Acelerador Npr 8978591000 (70000656)</t>
  </si>
  <si>
    <t>Puerta Izq Eagle 3544586C96 (70000657)</t>
  </si>
  <si>
    <t>Arandela Housing Inca COA 017601 (70000658)</t>
  </si>
  <si>
    <t>Hoja Resorte Trasera SB N14E 22705/5 (70000659)</t>
  </si>
  <si>
    <t>Mang A/C Compre -Conden Eag 3626418C91 (70000660)</t>
  </si>
  <si>
    <t>Pasador Piston Nkr Model 2012 8980151931 (70000661)</t>
  </si>
  <si>
    <t>Piston Motor Grado B Nkr 2012 8980437040 (70000662)</t>
  </si>
  <si>
    <t>Empaque Vidrio Hi 4700-449683c2 (70000663)</t>
  </si>
  <si>
    <t>Horquilla 1ra Y 2da Volswagen 3344414 (70000664)</t>
  </si>
  <si>
    <t>Caja Direccion KW Tas85062aexch (70000665)</t>
  </si>
  <si>
    <t>Manija Exte Pta Der Np-Nh-Nkr 8978677211 (70000666)</t>
  </si>
  <si>
    <t>Sensor Velocimetro Akt 200 (70000667)</t>
  </si>
  <si>
    <t>Codo Admision Aire Culata Isx 3680742 (70000668)</t>
  </si>
  <si>
    <t>Empaquetadura Motor T Delta 411187348 (70000669)</t>
  </si>
  <si>
    <t>Tapa Radiador T Delta 1640167150 (70000670)</t>
  </si>
  <si>
    <t>Amortiguador T Delta 4853087315 (70000671)</t>
  </si>
  <si>
    <t>Manguera Radiador Curva Toyota 626156012 (70000672)</t>
  </si>
  <si>
    <t>Empaque Multiple Admision Nkr (70000673)</t>
  </si>
  <si>
    <t>Sincro 5ta Y Rev Nhr 8973731440 (70000674)</t>
  </si>
  <si>
    <t>Pasador 5ta Y Rev Nhr 8973731440 (70000675)</t>
  </si>
  <si>
    <t>Pasador Horquilla 1ra/2da Nhr 8970113701 (70000676)</t>
  </si>
  <si>
    <t>Pasador Horquilla 3ra Nhr Tur 8970113711 (70000677)</t>
  </si>
  <si>
    <t>Eje Toma 30 Dientes Nhr Turb 8971036320 (70000678)</t>
  </si>
  <si>
    <t>Jgo Pasta Freno Tras R Master 7701206763 (70000679)</t>
  </si>
  <si>
    <t>Mang Sup Radiador T Delta 1657187327 (70000680)</t>
  </si>
  <si>
    <t>Mang Inf Radiador T Delta 1657387311 (70000681)</t>
  </si>
  <si>
    <t>Motor Deposito Limpbrisas Eag 2585375C91 (70000682)</t>
  </si>
  <si>
    <t>Tapon Tapa Rueda Bocin Eagle 902071 (70000683)</t>
  </si>
  <si>
    <t>Kit Pasador Pedal Eagle 9400-1681938C92 (70000684)</t>
  </si>
  <si>
    <t>Hoja Resorte Trasera Hi 9400-55119/1 (70000685)</t>
  </si>
  <si>
    <t>Deposito Agua Limpiabrisas N200-24521111 (70000686)</t>
  </si>
  <si>
    <t>Oring Soport Filtro Aceite Npr 943993990 (70000687)</t>
  </si>
  <si>
    <t>Brazo Corto Dir Eagle 9400 3564389C91 (70000688)</t>
  </si>
  <si>
    <t>Guia Tope Capo Isx 3559239C3 (70000689)</t>
  </si>
  <si>
    <t>Cruceta Cardan Nkr III 8972111350 (70000690)</t>
  </si>
  <si>
    <t>Tapa Deposito Agua Exp N200 93288274 (70000691)</t>
  </si>
  <si>
    <t>Hoja Resorte Del T Delta 07078/2cv (70000692)</t>
  </si>
  <si>
    <t>Zapa Muelle Trasera Trasera Hi 481223c1 (70000693)</t>
  </si>
  <si>
    <t>Caña Direccion Isx 3819792c91 (70000694)</t>
  </si>
  <si>
    <t>Hoja Resorte Tras Hi Aux 43185/1 (70000695)</t>
  </si>
  <si>
    <t>Retenedor Leva Frenos Eagle A1205V1556 (70000696)</t>
  </si>
  <si>
    <t>Manguera Engrase Rodillo Cluth 586529c1 (70000697)</t>
  </si>
  <si>
    <t>Hoja Resorte Tras Hi Eagle S60 59007/1 (70000698)</t>
  </si>
  <si>
    <t>Culata Compr Isx Eagle 4309440-4936225 (70000699)</t>
  </si>
  <si>
    <t>Stop Trasero Der N200 5496716 (70000700)</t>
  </si>
  <si>
    <t>Soporte Cardan Isx 9400-2008 S7926 (70000701)</t>
  </si>
  <si>
    <t>Bombillo Halogeno 71255 N200 H7 12V 55W (70000702)</t>
  </si>
  <si>
    <t>Varilla Control Cambio T Delta 385087311 (70000703)</t>
  </si>
  <si>
    <t>Esparrago Bomba Agua Nkr II 9041106180 (70000704)</t>
  </si>
  <si>
    <t>Arandela Plana De Caucho Isx 3936876 (70000705)</t>
  </si>
  <si>
    <t>Tubo Llenado De Aceite Isx 3914738 (70000706)</t>
  </si>
  <si>
    <t>Buje Balancin Porta Contenedor T-5524 (70000707)</t>
  </si>
  <si>
    <t>Direccional G/Barro Freight A064013100 (70000708)</t>
  </si>
  <si>
    <t>Sello Reten Caja Veloc Delta 9031135023 (70000709)</t>
  </si>
  <si>
    <t>Cilindro Freno T/Der S Pga Hino 56036200 (70000710)</t>
  </si>
  <si>
    <t>Tubo Retorno Aceite Eagle S60 23518514 (70000711)</t>
  </si>
  <si>
    <t>Pacha Conector Sensor Vel Nkr 8971297040 (70000712)</t>
  </si>
  <si>
    <t>Resorte Horquilla Embrague Nkr 898025314 (70000713)</t>
  </si>
  <si>
    <t>Tensor Correa Ventilador Isx 2871292 (70000714)</t>
  </si>
  <si>
    <t>Amortiguador Del Izq Van200 5496831 (70000715)</t>
  </si>
  <si>
    <t>Amortiguador Del Der Van200 5496832 (70000716)</t>
  </si>
  <si>
    <t>Tijera Inferior Del Izq N200 5497127 (70000717)</t>
  </si>
  <si>
    <t>Sensor Bomba Inyeccion Nkr 8943433070 (70000718)</t>
  </si>
  <si>
    <t>Correa Ventilador Hino Sz91049181 Jgo X2 (70000719)</t>
  </si>
  <si>
    <t>Cuña Sincro 3ra/4ta Nkr 5332630010 (70000720)</t>
  </si>
  <si>
    <t>Pin Seguro Sincro Nkr 8970237100 (70000721)</t>
  </si>
  <si>
    <t>Pin Eje Caja 9091800320 Nkr (70000722)</t>
  </si>
  <si>
    <t>Rodillo Agujas 1ra Nkr 8970105470 (70000723)</t>
  </si>
  <si>
    <t>Rodillo Agujas 2da Nkr 5098110140 (70000724)</t>
  </si>
  <si>
    <t>Rodamiento Agujas 3ra Nkr 8943171580 (70000725)</t>
  </si>
  <si>
    <t>Soporte enfriador Aceite Eag 2591599C1 (70000726)</t>
  </si>
  <si>
    <t>Kit Soporte Radiador Eagle 2591574C91 (70000727)</t>
  </si>
  <si>
    <t>Tubo Sup Radiador Isx Eagle 3605242C1 (70000728)</t>
  </si>
  <si>
    <t>Retenedo Cigueñal Tras FRL-A025997504 (70000729)</t>
  </si>
  <si>
    <t>Hoja Resorte Trasera Hi 55029/3 (70000730)</t>
  </si>
  <si>
    <t>Deposito Agua Radiador Freitg R052304500 (70000731)</t>
  </si>
  <si>
    <t>Pin Piñon Copa Caja 16918 Eagle 4303424 (70000732)</t>
  </si>
  <si>
    <t>Sensor Carter Temp Aceite Isx 4088750 (70000733)</t>
  </si>
  <si>
    <t>Tapa Llenado Depo Radiador N200 24527665 (70000734)</t>
  </si>
  <si>
    <t>Carter Aceite Motor N 200 9052786 (70000735)</t>
  </si>
  <si>
    <t>Switch parqueo 24560593 N200 5496017 (70000736)</t>
  </si>
  <si>
    <t>Resorte Bandas Freno Nkr III 9099410621 (70000737)</t>
  </si>
  <si>
    <t>Resorte Freno Emerg NkrIII 9099423401 (70000738)</t>
  </si>
  <si>
    <t>Pasador Puntilla Freno NkrIII 9471620340 (70000739)</t>
  </si>
  <si>
    <t>Aro Sincroc 1a/3a Caja Nkr 8970746193 (70000740)</t>
  </si>
  <si>
    <t>Lente Luz Techo Cabina Eag Isx1665532C1 (70000741)</t>
  </si>
  <si>
    <t>Filtro Comb Elem Renault 7701208613 (70000742)</t>
  </si>
  <si>
    <t>Filtro Aceite Elem Renault 7701479124 (70000743)</t>
  </si>
  <si>
    <t>Filtro Aire Motor Renault 8200505566 (70000744)</t>
  </si>
  <si>
    <t>Guaya Corta Bomba Inyec Npr 8971157300 (70000745)</t>
  </si>
  <si>
    <t>Piñon Rev Trans Nkr 8972060060 (70000746)</t>
  </si>
  <si>
    <t>Soporte Radiador Isx Eag 9400 3560217C1 (70000747)</t>
  </si>
  <si>
    <t>Fan Cluth Hyundai H100 Porter (70000748)</t>
  </si>
  <si>
    <t>Hoja Resorte Trasera Hi 55029/1 (70000749)</t>
  </si>
  <si>
    <t>Tornillo Tubo rociador NkrIII 5096750430 (70000750)</t>
  </si>
  <si>
    <t>Parabrisas Laminado Hino (70000751)</t>
  </si>
  <si>
    <t>Jgo Pastas Freno Del R Master 7701207339 (70000752)</t>
  </si>
  <si>
    <t>Kit Soporte Inf Radiador Eag 2591572C92 (70000753)</t>
  </si>
  <si>
    <t>Kit Soporte Radiador Der Eag 2591567C91 (70000754)</t>
  </si>
  <si>
    <t>Kit Soporte Sup Radiador Eag 2591570C91 (70000755)</t>
  </si>
  <si>
    <t>Hoja Resorte Trasera Hi 55029/2 Vu (70000756)</t>
  </si>
  <si>
    <t>Kit Soporte Radiador Izq Eag 2591564C91 (70000757)</t>
  </si>
  <si>
    <t>Empaque Descarga Turbo Isx 3680324 (70000758)</t>
  </si>
  <si>
    <t>Kit Motor 4h L:1xC:Std Npr 4hg1 95630904 (70000759)</t>
  </si>
  <si>
    <t>Parabrisas Laminado N-200 5496874 (70000760)</t>
  </si>
  <si>
    <t>Bomba Aceite Motor Npr-4hg1 8971473384 (70000761)</t>
  </si>
  <si>
    <t>Tope Suspension Cabina Isx 2501303C1 (70000762)</t>
  </si>
  <si>
    <t>Espejo Completo Der Eag 9400 3573713C93 (70000763)</t>
  </si>
  <si>
    <t>Silenciador Mofle Eagle 9400 3511320C2 (70000764)</t>
  </si>
  <si>
    <t>Caja Direccion Npr 8973050476 (70000765)</t>
  </si>
  <si>
    <t>Soporte Eje Leva Freno Gran Danes 2288 (70000766)</t>
  </si>
  <si>
    <t>Valvula Seguridad Mv3 Eag S60-800516 (70000767)</t>
  </si>
  <si>
    <t>Yoke Divisor KW T 800 1425041011 (70000768)</t>
  </si>
  <si>
    <t>Base Filtro Combustible Hino 2330078252 (70000769)</t>
  </si>
  <si>
    <t>Kit Arrastre Akt 200 (70000770)</t>
  </si>
  <si>
    <t>Manigueta Freno Delantero Akt 200 (70000771)</t>
  </si>
  <si>
    <t>Juego Pastas Freno Trasero Akt 200 (70000772)</t>
  </si>
  <si>
    <t>Enfocador Radiador KW T800 K2162007 (70000773)</t>
  </si>
  <si>
    <t>Eje De Leva Valvulas Motor Isx 4059333 (70000774)</t>
  </si>
  <si>
    <t>Caucho T/Fron eje Levas Tri Isx 5719778 (70000775)</t>
  </si>
  <si>
    <t>Caucho T/Fron eje Levas Red Isx 4299125 (70000776)</t>
  </si>
  <si>
    <t>Empaque Tapa Distr Super Isx 4962721 (70000777)</t>
  </si>
  <si>
    <t>Balancin Admision Isx 5484230-4972818 (70000778)</t>
  </si>
  <si>
    <t>Barra Base Susp Cabina Eagle 2507760C1 (70000779)</t>
  </si>
  <si>
    <t>Arandela Caja 14718 4300382 (70000780)</t>
  </si>
  <si>
    <t>Hoja Resorte Trailer 2463/10 (70000781)</t>
  </si>
  <si>
    <t>Stop Trasero Derecho Renault 8200171478 (70000782)</t>
  </si>
  <si>
    <t>Tijera Inferior Del Der N200 5497128 (70000783)</t>
  </si>
  <si>
    <t>Aro De Tono Isx 3681194 (70000784)</t>
  </si>
  <si>
    <t>Jgo Casquete Biela X2 Isx Ser 79 4089405 (70000785)</t>
  </si>
  <si>
    <t>Jgo Casquete Bancada Std X7 Isx 5406110 (70000786)</t>
  </si>
  <si>
    <t>Empaquetadura Inferior Isx 4955590 (70000787)</t>
  </si>
  <si>
    <t>Caucho T/Fron eje Leva Tri Isx 5658176 (70000788)</t>
  </si>
  <si>
    <t>Caucho T/Fron eje Leva Isx Red 4299124 (70000789)</t>
  </si>
  <si>
    <t>Valvula Moduladora Abs Isx 801481 (70000790)</t>
  </si>
  <si>
    <t>Valvula Control Sus Cabina Eag 2507757C1 (70000791)</t>
  </si>
  <si>
    <t>Hoja Resorte Trailer 2463/7 (70000792)</t>
  </si>
  <si>
    <t>Hoja Resorte Trasera KW 59009/3 (70000793)</t>
  </si>
  <si>
    <t>Hoja Resorte Trasera KW 59009/5 (70000794)</t>
  </si>
  <si>
    <t>Hoja Resorte Trasera KW 59009/6 (70000795)</t>
  </si>
  <si>
    <t>Correa Bomba Direc Hca Npr-Nkr8970851310 (70000796)</t>
  </si>
  <si>
    <t>Bomba Aux Clutch T Delta 3147087311 (70000797)</t>
  </si>
  <si>
    <t>Bisagra Exter Puerta Tipo Cortina Nkr-52 (70000798)</t>
  </si>
  <si>
    <t>Tapa Rodamiento Puerta Cortina Nkr 54 (70000799)</t>
  </si>
  <si>
    <t>Flasher Direcional Eagle 9400 1680870C1 (70000800)</t>
  </si>
  <si>
    <t>Manguera Superi Radiador 1" Hyundai H100 (70000801)</t>
  </si>
  <si>
    <t>Switch Limpiaparabrisas Eagle 3534329C1 (70000802)</t>
  </si>
  <si>
    <t>Sensor Posicion Ism Motor Isx 4921599 (70000803)</t>
  </si>
  <si>
    <t>Tubo Bomba Inyeccion N-1 Nkr 8972239231 (70000804)</t>
  </si>
  <si>
    <t>Hoja Resorte Trailer 2463/9 (70000805)</t>
  </si>
  <si>
    <t>Mang Entrada Bomba Dir Nkr 8971075241 (70000806)</t>
  </si>
  <si>
    <t>Hoja Resorte Trailer 2463/4 (70000807)</t>
  </si>
  <si>
    <t>Barra Transversal Tensora Eag 3581270C1 (70000808)</t>
  </si>
  <si>
    <t>Tubo Telesco Amorti SuzkAx100-51511H2345 (70000809)</t>
  </si>
  <si>
    <t>Hoja Resorte Trailer 2463/5 (70000810)</t>
  </si>
  <si>
    <t>Tapon Carter Npr (70000811)</t>
  </si>
  <si>
    <t>Harnes Sensor Temp Difere Isx 3539065C92 (70000812)</t>
  </si>
  <si>
    <t>Toberas Inyector Sin Turbo Nhr 897109671 (70000813)</t>
  </si>
  <si>
    <t>Kit Arrastre Moto Suzuki Dr650 (70000814)</t>
  </si>
  <si>
    <t>Hoja Resorte Trailer 2463/6 (70000815)</t>
  </si>
  <si>
    <t>Tornillo Volante Motor Nkr 8970659841 (70000816)</t>
  </si>
  <si>
    <t>Juego Pastas Freno N200 19245629 (70000817)</t>
  </si>
  <si>
    <t>Resorte Freno Del Eagle Isx 2258Y1273 (70000818)</t>
  </si>
  <si>
    <t>Enfriador Aceite Motor Isx 2508699C91 (70000819)</t>
  </si>
  <si>
    <t>Cubierta Direccion T Delta 4528787313 (70000820)</t>
  </si>
  <si>
    <t>Muelle Delantero KW T-800 59400 (70000821)</t>
  </si>
  <si>
    <t>Racor En T Sistema Freno Eag 3520923C1 (70000822)</t>
  </si>
  <si>
    <t>Sello Manguera Cabina Eag 3/4 3543882C1 (70000823)</t>
  </si>
  <si>
    <t>Hoja Resorte Ppal Trailer 2463/1 (70000824)</t>
  </si>
  <si>
    <t>Tubo Inferior Radiadior Eag Isx3605235C1 (70000825)</t>
  </si>
  <si>
    <t>Abrazadera Manguera Eagle Isx 3519061C1 (70000826)</t>
  </si>
  <si>
    <t>Acople Recto Mang ACPM 5/8" Eag 559214C2 (70000827)</t>
  </si>
  <si>
    <t>Bisagras Capo Eagle Isx 3555176C3 (70000828)</t>
  </si>
  <si>
    <t>Empaque Caja Termostatica Eag 3684336 (70000829)</t>
  </si>
  <si>
    <t>Empaque Caja Termostatica Eag 3682673 (70000830)</t>
  </si>
  <si>
    <t>Mang Radiador Eagle Isx 2 1/2 GY57240 (70000831)</t>
  </si>
  <si>
    <t>Hoja Resorte Tercera Trailer 2463/3 (70000832)</t>
  </si>
  <si>
    <t>Motor Deposito Agua Limpiabrisas KW (70000833)</t>
  </si>
  <si>
    <t>Modulo Control Ecm Motor Isx 3408501RX (70000834)</t>
  </si>
  <si>
    <t>Manguera Compresor Dt408 Hi466 1821023C1 (70000835)</t>
  </si>
  <si>
    <t>Lampara Direccion Del Der Hino8161037130 (70000836)</t>
  </si>
  <si>
    <t>Resistencia Velocidad A/C Eag 2503727C1 (70000837)</t>
  </si>
  <si>
    <t>Amortiguador Delantero T Delta (70000838)</t>
  </si>
  <si>
    <t>Grapa Muelle Del Tuerca Eagle 465916C1 (70000839)</t>
  </si>
  <si>
    <t>Soporte Amortiguador Del Eag 3661382C1 (70000840)</t>
  </si>
  <si>
    <t>Emblema Compuerta Trasera N200 24520317 (70000841)</t>
  </si>
  <si>
    <t>Arandela Caja 14718 4303603 (70000842)</t>
  </si>
  <si>
    <t>Tornillo Largo Soporte Isx 3681057 (70000843)</t>
  </si>
  <si>
    <t>Soporte Motor N14 - 9400- 503580C1 (70000844)</t>
  </si>
  <si>
    <t>Empaque Carcasa Volante Isx 4393176 (70000845)</t>
  </si>
  <si>
    <t>Motor Limpiabrisas Nkr-Nhr 8972163500 (70000846)</t>
  </si>
  <si>
    <t>Tornillo Culata Motor Nkr-Nhr 8971334161 (70000847)</t>
  </si>
  <si>
    <t>Hoja Resorte Tras Tensora Hi 0755029/12 (70000848)</t>
  </si>
  <si>
    <t>Racor Reduccion 3/8 X 1/2 Tuerca (70000849)</t>
  </si>
  <si>
    <t>Tuerca perno Rda Tras Izq Nhr 8980079060 (70000850)</t>
  </si>
  <si>
    <t>Perno Rda Tras Izq Nhr 8971264890 (70000851)</t>
  </si>
  <si>
    <t>Seguro Tanque Acpm Aluminio (70000852)</t>
  </si>
  <si>
    <t>Puente Capo Eagle 9400 Isx 3501453C1 (70000853)</t>
  </si>
  <si>
    <t>Clip Cable Cambios Grande Npr 8972110110 (70000854)</t>
  </si>
  <si>
    <t>Hoja Resorte Delantera Sb N14e- 22502/3 (70000855)</t>
  </si>
  <si>
    <t>Carcasa Switch Encendido 4300 4545580C1 (70000856)</t>
  </si>
  <si>
    <t>Cable Encauchetado 2 X 16 (70000857)</t>
  </si>
  <si>
    <t>Valvula Pivote Freno Aire Trailer 109389 (70000858)</t>
  </si>
  <si>
    <t>Empaque Tapa Tanque Acpm De 3" 941218 (70000859)</t>
  </si>
  <si>
    <t>Harnes Freno Motor Eagle Isx 4331306 (70000860)</t>
  </si>
  <si>
    <t>Caja Velocidad T Prado (70000861)</t>
  </si>
  <si>
    <t>Mang Retorno Bomba Vacio Nhr 8970739202 (70000862)</t>
  </si>
  <si>
    <t>Soporte Gancho Capo KW L030001 (70000863)</t>
  </si>
  <si>
    <t>Buje Largo Muelle Delantero Volsw H30 (70000864)</t>
  </si>
  <si>
    <t>Switch Luces Parqueo Volswagen 2RD953235 (70000865)</t>
  </si>
  <si>
    <t>Radiador Motor Isx Hi 9400 435 19" (70000866)</t>
  </si>
  <si>
    <t>Stop Trasero Izq N200 5496715 (70000867)</t>
  </si>
  <si>
    <t>Lampara Principal Del Der N200 24521374 (70000868)</t>
  </si>
  <si>
    <t>Banda Freno Tras Eagle Isx 4707d (70000869)</t>
  </si>
  <si>
    <t>Pin Balinera Tren Fijo Npr 1095881770 (70000870)</t>
  </si>
  <si>
    <t>Pin Balinera Prop Caja Npr 8970350400 (70000871)</t>
  </si>
  <si>
    <t>Balinera Propulsor Caja Npr 8970350470 (70000872)</t>
  </si>
  <si>
    <t>Balinera Del T/Fijo Caja Npr 8970350480 (70000873)</t>
  </si>
  <si>
    <t>Camara Freno Escape Nkr-Npr 8971733270 (70000874)</t>
  </si>
  <si>
    <t>Racor Torpedo Codo 45dg-1/2 2029565C1 (70000875)</t>
  </si>
  <si>
    <t>Campana Freno Delantero KW T800 160 (70000876)</t>
  </si>
  <si>
    <t>Ramal Encendido Motor Npr 8970882680 (70000877)</t>
  </si>
  <si>
    <t>Cojineria Nkr Completo (70000878)</t>
  </si>
  <si>
    <t>Cable Encauchetado 4 X 14 (70000879)</t>
  </si>
  <si>
    <t>Flauta Balancin Valvula Tras Isx 2882571 (70000880)</t>
  </si>
  <si>
    <t>Flauta Balancin Valvula Del Isx 2882592 (70000881)</t>
  </si>
  <si>
    <t>Campana Freno Delantero Npr 129502 (70000882)</t>
  </si>
  <si>
    <t>Tuerca Troque Trailer Dyte 4494974 (70000883)</t>
  </si>
  <si>
    <t>Correa Bomba Hidraulico Nkr III 17335 (70000884)</t>
  </si>
  <si>
    <t>Clip Cable Cambios Pequeño Npr 897011448 (70000885)</t>
  </si>
  <si>
    <t>Anillo Sincro Caja T Delta 3A-3303936010 (70000886)</t>
  </si>
  <si>
    <t>Refuerzo Espaldar KW T800 R391081 (70000887)</t>
  </si>
  <si>
    <t>Arandela Caja 14718 4302398 (70000888)</t>
  </si>
  <si>
    <t>Sopor Pasamano Sup Izq KW T800 K2755473 (70000889)</t>
  </si>
  <si>
    <t>Brazo Limpiabrisas T Delta B5222PD008 (70000890)</t>
  </si>
  <si>
    <t>Base Gancho Capot KW T800 K277304 (70000891)</t>
  </si>
  <si>
    <t>Talco Direccional Cab Volkswa 2TA953161 (70000892)</t>
  </si>
  <si>
    <t>Cubierta Espejo Exter Der Nkr 8975828315 (70000893)</t>
  </si>
  <si>
    <t>Tapa Brazo Ext Espejo Nkr III 8975816312 (70000894)</t>
  </si>
  <si>
    <t>Tapa Caja Baterias KW T800 K0972704 (70000895)</t>
  </si>
  <si>
    <t>Lampara Direccional KW T800 K256554 (70000896)</t>
  </si>
  <si>
    <t>Rodamiento Eje Corredizo Npr 8941787310 (70000897)</t>
  </si>
  <si>
    <t>Propulsor Caja Velocidad Npr 8971689800 (70000898)</t>
  </si>
  <si>
    <t>Balinera Caja Npr 6306-2RS D25 C3 (70000899)</t>
  </si>
  <si>
    <t>Empaque Parabrisas Curvo KW T800 R421098 (70000900)</t>
  </si>
  <si>
    <t>Pistoncillo Freno Motor Isx 3413129 (70000901)</t>
  </si>
  <si>
    <t>Sensor Temp Agua Volkswague TE3919501 (70000902)</t>
  </si>
  <si>
    <t>Filtro De Combustible N 200-5496962 (70000903)</t>
  </si>
  <si>
    <t>Filtro Aire Motor N 200-24512521 (70000904)</t>
  </si>
  <si>
    <t>Valvula Magnetica Npr 8973741601 (70000905)</t>
  </si>
  <si>
    <t>Enflanche Divisor Del 46 Dientes KW800 (70000906)</t>
  </si>
  <si>
    <t>Manija Paral Cabina Nhr 8978672091 (70000907)</t>
  </si>
  <si>
    <t>Kit Empaque Turbo Hi DT 466E-1823181C92 (70000908)</t>
  </si>
  <si>
    <t>Direccional Del Izq Hino 8162125020 (70000909)</t>
  </si>
  <si>
    <t>Rodamiento Speed Diferencial Nkr 8100090 (70000910)</t>
  </si>
  <si>
    <t>Arandela Aju Speed Difer Nkr 9415626010 (70000911)</t>
  </si>
  <si>
    <t>Engrane Planetario Difer Nkr 8973625990 (70000912)</t>
  </si>
  <si>
    <t>Piñon Planetario Difer Nkr 8980152020 (70000913)</t>
  </si>
  <si>
    <t>Reten Speed Eje/Tr Difer Nkr 8944080830 (70000914)</t>
  </si>
  <si>
    <t>Soporte Caja T Delta 1237187309 (70000915)</t>
  </si>
  <si>
    <t>Bocin Rueda Delera Nhr 8970347690 (70000916)</t>
  </si>
  <si>
    <t>Vidrio Trasero Cabina Eagle 9400 (70000917)</t>
  </si>
  <si>
    <t>Platina Muelle Del/Tra Eag 3525664C1 (70000918)</t>
  </si>
  <si>
    <t>Empaquetadura Motor Nkr 5878151752 (70000919)</t>
  </si>
  <si>
    <t>Horquilla 3ra Y 4ta Volkswagen 3344343 (70000920)</t>
  </si>
  <si>
    <t>Anillo Sincr 3ra/4ta Volkswagen 3344220 (70000921)</t>
  </si>
  <si>
    <t>Anillo Sincr 3ra/4ta Volkswagen 3344328 (70000922)</t>
  </si>
  <si>
    <t>Anillo Sincro Rev Volkswgen 3341371 (70000923)</t>
  </si>
  <si>
    <t>Anillo Sincro 1ra/2da Volkswgen 3344274 (70000924)</t>
  </si>
  <si>
    <t>Piñon 5ta Corredizo Volkswagen 3344769 (70000925)</t>
  </si>
  <si>
    <t>Sincro 5ta/Rev Volkswagen 3344243 (70000926)</t>
  </si>
  <si>
    <t>Carreta Compuerta Contenedor Fabricada (70000927)</t>
  </si>
  <si>
    <t>Tornillo Bal Muelle Del Eag1669965C1 (70000928)</t>
  </si>
  <si>
    <t>Termostato Agua Motor Isx 4318947 (70000929)</t>
  </si>
  <si>
    <t>Turbo Alimentador Motor Nkr 95627480 (70000930)</t>
  </si>
  <si>
    <t>Soporte Central Capo Eagle 3514021C6 (70000931)</t>
  </si>
  <si>
    <t>Bujia Precalentamiento Nhr 8941751581 (70000932)</t>
  </si>
  <si>
    <t>Cruceta Cardan 330 Nkr 1099338A (70000933)</t>
  </si>
  <si>
    <t>Cuna Infer Direc Uteco Agility503022H6-0 (70000934)</t>
  </si>
  <si>
    <t>Cuna Espiga Dire Uteco Agility532122l500 (70000935)</t>
  </si>
  <si>
    <t>Brazo Plumilla Limpiabrisa Eag 3527221C1 (70000936)</t>
  </si>
  <si>
    <t>Filtro Aire Volkswagen Goby AG971031A (70000937)</t>
  </si>
  <si>
    <t>Filtro Aire Hino Dutro Goby AG971048A (70000938)</t>
  </si>
  <si>
    <t>Buje Piñon Bajo Caja 16918 4301844 (70000939)</t>
  </si>
  <si>
    <t>Empaque Bomba Alta Pres KW T800-2872195 (70000940)</t>
  </si>
  <si>
    <t>Talco Direc Del Der Nkr M2003-8978551280 (70000941)</t>
  </si>
  <si>
    <t>Talco Direc Del Izq Nkr M2003-8978551310 (70000942)</t>
  </si>
  <si>
    <t>Portadiodo Alternador Npr- IHR 783299 (70000943)</t>
  </si>
  <si>
    <t>Porta Escobillas Alternador Npr 841206 (70000944)</t>
  </si>
  <si>
    <t>Regulador Alternador Npr- IH 7833079 (70000945)</t>
  </si>
  <si>
    <t>Fusible De 10 Amperios (70000946)</t>
  </si>
  <si>
    <t>Balancin Valvula Motor Isx KWor5484231 (70000947)</t>
  </si>
  <si>
    <t>Motor Limpiabrisas 9400 Isx 2597906C91 (70000948)</t>
  </si>
  <si>
    <t>Buje Muelle Del/Tras Eag 3525665C1 (70000949)</t>
  </si>
  <si>
    <t>Kit Aislador Radiador Eagle 2594821C91 (70000950)</t>
  </si>
  <si>
    <t>Inyector Motor Npr 8972005703 (70000951)</t>
  </si>
  <si>
    <t>Bomper Del Freightliner M2RA21281840 (70000952)</t>
  </si>
  <si>
    <t>Tapa Tanque Expans Freightlin R051722300 (70000953)</t>
  </si>
  <si>
    <t>Alternador Motor Nkr Generico (70000954)</t>
  </si>
  <si>
    <t>Sop Guardapo Del Izq Nkr-Nhr 8972252721 (70000955)</t>
  </si>
  <si>
    <t>Farola Capo Izq Hi Eagle3502928C95 (70000956)</t>
  </si>
  <si>
    <t>Empaqu Carcaza Pto Mack Anthem2330004649 (70000957)</t>
  </si>
  <si>
    <t>Hoja Resorte Tras Eagle 759007/3 (70000958)</t>
  </si>
  <si>
    <t>Varil Contr Cambi Cort T Dta3387087304 (70000959)</t>
  </si>
  <si>
    <t>Terminal Varilla Embrague Izq KW K124122 (70000960)</t>
  </si>
  <si>
    <t>Manguera Turbo Cargador Nkr-Nhr (70000961)</t>
  </si>
  <si>
    <t>Caja Dir Eagle 9400 Isx 3558088C91 (70000962)</t>
  </si>
  <si>
    <t>Aspa Ventilador Cal Nkr Nhr 8970960670 (70000963)</t>
  </si>
  <si>
    <t>Banda Trasera Uteco Agility 4312akudu9 (70000964)</t>
  </si>
  <si>
    <t>Cuna Super Direc Uteco Agility50301glmo0 (70000965)</t>
  </si>
  <si>
    <t>Piñon 2da Eje T/Fijo Caja 16918-Ful21264 (70000966)</t>
  </si>
  <si>
    <t>Piñon Eje T/Fijo Caja 16918 4304508 (70000967)</t>
  </si>
  <si>
    <t>Rodillo T/Fijo Caja 16918 4304599 (70000968)</t>
  </si>
  <si>
    <t>Piñon 3ra T/Fijo Caja 16918-4304060 (70000969)</t>
  </si>
  <si>
    <t>Horquilla Caja Full A7012-16718b 4304710 (70000970)</t>
  </si>
  <si>
    <t>Tapon Carter Isx 492656500 (70000971)</t>
  </si>
  <si>
    <t>Leva Control Cambios Nkr 8970362210 (70000972)</t>
  </si>
  <si>
    <t>Hoja Resorte Auxiliar Tras Nkr 22905/1 (70000973)</t>
  </si>
  <si>
    <t>Hoja Resorte Auxiliar Tras Nkr 22905/2 (70000974)</t>
  </si>
  <si>
    <t>Hoja Resorte Auxiliar Tras Nkr 22905/3 (70000975)</t>
  </si>
  <si>
    <t>Hoja Resorte Auxiliar Tras Nkr 22905/4 (70000976)</t>
  </si>
  <si>
    <t>Barra Direccion Corta T Delta 4544087327 (70000977)</t>
  </si>
  <si>
    <t>Banda Freno Emerg T Delta 4653087307 (70000978)</t>
  </si>
  <si>
    <t>Tapon Caja Velocidades Nkr 8943407181 (70000979)</t>
  </si>
  <si>
    <t>Tornillo Multiple Escape Nkr 8971315971 (70000980)</t>
  </si>
  <si>
    <t>Stop Tras Izq Nkr-Nhr 414813 (70000981)</t>
  </si>
  <si>
    <t>Mang Admision Turbo Codo eagle 546687C1 (70000982)</t>
  </si>
  <si>
    <t>Amortiguador Cabina Eagle 2008-2508327C1 (70000983)</t>
  </si>
  <si>
    <t>Actuador Tiempo Motor KW T800-408998100 (70000984)</t>
  </si>
  <si>
    <t>Zapa Muelle Tras Tras Npr-SSX021SC (70000985)</t>
  </si>
  <si>
    <t>Diafragma Filtro Aire Nkr 8941601870 (70000986)</t>
  </si>
  <si>
    <t>Stop Trasero Derecho Nkr 51120101 (70000987)</t>
  </si>
  <si>
    <t>Leva Freno Trailer Der "Z"-COA006804 (70000988)</t>
  </si>
  <si>
    <t>Leva Freno Trailer Izq "S"-COA006803 (70000989)</t>
  </si>
  <si>
    <t>Rotor Alternador Npr (70000990)</t>
  </si>
  <si>
    <t>Base Soporte Fan Clutch Eagle 2509385C91 (70000991)</t>
  </si>
  <si>
    <t>Hoja Resorte Del Nkr 22934/2pal (70000992)</t>
  </si>
  <si>
    <t>Carcasa Distribución Motor Nkr8972190014 (70000993)</t>
  </si>
  <si>
    <t>Empaque Central Mult Escp KW Isx 4907448 (70000994)</t>
  </si>
  <si>
    <t>Empaque Mult Escp KW Isx 4907447 (70000995)</t>
  </si>
  <si>
    <t>Arandela Alumin Solar Diferenc Tras43271 (70000996)</t>
  </si>
  <si>
    <t>Cerrojo Puerta Tipo Cortina Furgon 0060 (70000997)</t>
  </si>
  <si>
    <t>Piñon Eje Propuls Caja 16918b-Ful4304510 (70000998)</t>
  </si>
  <si>
    <t>Lampara Vicera T600 KW 19200Y (70000999)</t>
  </si>
  <si>
    <t>Retenedor Cigüeñal Tras NHR 8970715611 (70001000)</t>
  </si>
  <si>
    <t>Bomba Ppal Embrague T Delta 31410B3020 (70001001)</t>
  </si>
  <si>
    <t>Panel Instru Cabina Eagle 3562568C92 (70001002)</t>
  </si>
  <si>
    <t>Bomba Freno Volswaguen 1138190 (70001003)</t>
  </si>
  <si>
    <t>Rodillo Rda Tras Inter T Delta 30212 (70001004)</t>
  </si>
  <si>
    <t>Arande Ajuste Rda Tras Delta 9004214003 (70001005)</t>
  </si>
  <si>
    <t>Enfocador Radiador Nhr 97223685 (70001006)</t>
  </si>
  <si>
    <t>Soporte Cardan Eagle 9400 DS10094142 (70001007)</t>
  </si>
  <si>
    <t>Caja Soporte Muelle Trailer Dite (70001008)</t>
  </si>
  <si>
    <t>Tapa Soporte Muelle Trailer Dite (70001009)</t>
  </si>
  <si>
    <t>Chumasera Con Vena Trailer Dite (70001010)</t>
  </si>
  <si>
    <t>Base Fija Eje Cuadrado Trailer Dite (70001011)</t>
  </si>
  <si>
    <t>Placa Alineacion Base Eje Trailer Dite (70001012)</t>
  </si>
  <si>
    <t>Empaque Codo Turbo Foton 1128 1023513616 (70001013)</t>
  </si>
  <si>
    <t>Empaque Tapa Valvula Motor Isx 310439200 (70001014)</t>
  </si>
  <si>
    <t>Brazo Direccion Pitman Nhr 8971753230 (70001015)</t>
  </si>
  <si>
    <t>Oring Tapa Del Reparticion Nkr8972876940 (70001016)</t>
  </si>
  <si>
    <t>Filtro Aire Npr-Nkr RW Goby AG961007R (70001017)</t>
  </si>
  <si>
    <t>Radiador Motor T Delta Turbo 1640087360 (70001018)</t>
  </si>
  <si>
    <t>Arandela Ajuste Bastidor Eagle 2022655C2 (70001019)</t>
  </si>
  <si>
    <t>Carter Aceite Motor Nkr 8980001230 (70001020)</t>
  </si>
  <si>
    <t>Bendix Motor Arranque Nkr (70001021)</t>
  </si>
  <si>
    <t>Horquilla Embrague Nkr II 8970337010 (70001022)</t>
  </si>
  <si>
    <t>Boquilla Mang Parabrisas Eagle 2588068C1 (70001023)</t>
  </si>
  <si>
    <t>Trampa Combustible Nkr 8970818140 (70001024)</t>
  </si>
  <si>
    <t>Kit Reparacion Turbo Isx Eag-KW HX55W (70001025)</t>
  </si>
  <si>
    <t>Guantera Derecha Cabina Eagle 3562561C92 (70001026)</t>
  </si>
  <si>
    <t>Mang Admision Compresor KW-Eagle 4972995 (70001027)</t>
  </si>
  <si>
    <t>Piñon Desplazable Caja 16918b-Ful4304514 (70001028)</t>
  </si>
  <si>
    <t>Baline Tras Eje T/Fijo-16918b-Ful4302712 (70001029)</t>
  </si>
  <si>
    <t>Eje Toma Caja Cambios Nkr 8970915581 (70001030)</t>
  </si>
  <si>
    <t>Sincro 5taY Rev Caja Nkr 8972060100 (70001031)</t>
  </si>
  <si>
    <t>Sincro 1raY 2da Caja Nkr 8970487480 (70001032)</t>
  </si>
  <si>
    <t>Sensor Temp Caja Nkr 8941211521 (70001033)</t>
  </si>
  <si>
    <t>Sensor Pres Aceite Motor Nkr 8970729470 (70001034)</t>
  </si>
  <si>
    <t>Buje Roscado Balancin Del KW (70001035)</t>
  </si>
  <si>
    <t>Guaya Tanque Aire Hi 1658609 (70001036)</t>
  </si>
  <si>
    <t>Clip Cubierta Tensor Pta Nkr 8942799890 (70001037)</t>
  </si>
  <si>
    <t>Manguera Descargue Tubo Nkr 8971761410 (70001038)</t>
  </si>
  <si>
    <t>Sensor Freno Parqueo Nkr 8979958281 (70001039)</t>
  </si>
  <si>
    <t>Carcasa Enfriador Aceite Isx 4965896 (70001040)</t>
  </si>
  <si>
    <t>Grapa Muelle Trasero 5/8 X 3 X 11 nkr (70001041)</t>
  </si>
  <si>
    <t>Kit Enfriador Aceite KW Isx 400-4955830 (70001042)</t>
  </si>
  <si>
    <t>Buje Capo Eagle 1668950C1 (70001043)</t>
  </si>
  <si>
    <t>Buje Espaciador Capo Eagle 1668955C2 (70001044)</t>
  </si>
  <si>
    <t>Muelle Delantero Eagle 38006667C91 (70001045)</t>
  </si>
  <si>
    <t>Chapa Puerta Del Der T Delta 6931087301 (70001046)</t>
  </si>
  <si>
    <t>Anillo Soncronizador T Delta 3303836010 (70001047)</t>
  </si>
  <si>
    <t>Filtro Aire Motor KW Goby AG841015R (70001048)</t>
  </si>
  <si>
    <t>Asiento Inferior Valvula Nkr 5125630010 (70001049)</t>
  </si>
  <si>
    <t>Kit Motor 4J Nkr 95630910 (70001050)</t>
  </si>
  <si>
    <t>Pin Pasador Horquilla Rev Eagle 10019 (70001051)</t>
  </si>
  <si>
    <t>Resorte Horquilla Rev Eagle 6392 (70001052)</t>
  </si>
  <si>
    <t>Tapon Horquilla Rev Eagle 8968 (70001053)</t>
  </si>
  <si>
    <t>Rodillo Agujas EjeToma Cj Nkr 9000966060 (70001054)</t>
  </si>
  <si>
    <t>Trenfijo Caja Nkr 8970308710 (70001055)</t>
  </si>
  <si>
    <t>Pin Pasador Horquilla Caj Nkr 8941357710 (70001056)</t>
  </si>
  <si>
    <t>Anillo Sincro 3raY4ta Nkr 8970746191 (70001057)</t>
  </si>
  <si>
    <t>Pin Plato Tren Fijo Caja Nkr 8941464830 (70001058)</t>
  </si>
  <si>
    <t>Pin Eje Corredizo Caja Nkr 8941515220 (70001059)</t>
  </si>
  <si>
    <t>Abrazadera T44 (70001060)</t>
  </si>
  <si>
    <t>Abrazadera Cremallera 24 (70001061)</t>
  </si>
  <si>
    <t>Guaya Acelerador AKT 200 (70001062)</t>
  </si>
  <si>
    <t>Tapizado Techo Cabina Fabricado N200 (70001063)</t>
  </si>
  <si>
    <t>Estribo Plast Izq T Delta 5177295406 (70001064)</t>
  </si>
  <si>
    <t>Espejo Int Cabina T Delta 8781095418 (70001065)</t>
  </si>
  <si>
    <t>Filtro Aire Motor Nhr-Nkr Goby AG971003A (70001066)</t>
  </si>
  <si>
    <t>Tubo Bomba Inyeccion N2 NKR 8972239241 (70001067)</t>
  </si>
  <si>
    <t>Tapon Llenado Trans Carry 6910032830 (70001068)</t>
  </si>
  <si>
    <t>Guaya Conector Apagado Npr 8971260380 (70001069)</t>
  </si>
  <si>
    <t>Retenedor Trasero Caja SB 20807 (70001070)</t>
  </si>
  <si>
    <t>Filtro Air Prim Isx Eagle Goby AG961010R (70001071)</t>
  </si>
  <si>
    <t>Sensor Velocimetro KW Q216005 (70001072)</t>
  </si>
  <si>
    <t>Harness Sensor Velocimetro KW P921571060 (70001073)</t>
  </si>
  <si>
    <t>Filtro Air Prim H466 Meca Goby AG971005A (70001074)</t>
  </si>
  <si>
    <t>Lampara Direc Der Tras AKT125 06-1910-35 (70001075)</t>
  </si>
  <si>
    <t>Manguera A/C Compresor Eagle 3626421C1 (70001076)</t>
  </si>
  <si>
    <t>Pelicula Seguridad Parabrisas (70001077)</t>
  </si>
  <si>
    <t>Valvula Expancion A/C Eagle 2501794C92 (70001078)</t>
  </si>
  <si>
    <t>Motor Calefaccion Aire KW T800 HB1610 (70001079)</t>
  </si>
  <si>
    <t>Manguera A/C Isx Eagle 3590900C91 (70001080)</t>
  </si>
  <si>
    <t>Termostato A/C Isx 2607881C1 (70001081)</t>
  </si>
  <si>
    <t>Control Electronico A/C 3518702C93 (70001082)</t>
  </si>
  <si>
    <t>Tubo Entrada Radiador RMaster 8200243677 (70001083)</t>
  </si>
  <si>
    <t>Tubo Entrada cabina R Master 8200261961 (70001084)</t>
  </si>
  <si>
    <t>Evaporador A/C Isx 1699950C1 (70001085)</t>
  </si>
  <si>
    <t>Compresor A/C Freight ABP8330454 (70001086)</t>
  </si>
  <si>
    <t>Balinera Compresor A/C Eagle 35BG05S1G (70001087)</t>
  </si>
  <si>
    <t>Actuador Motor Ventilador A/C Eagle Isx (70001088)</t>
  </si>
  <si>
    <t>Cable Bateria Int 4700 2001939C91 (70001089)</t>
  </si>
  <si>
    <t>Filtro Combustible Full Pro Mac 70052020 (70001090)</t>
  </si>
  <si>
    <t>Tramo Madera 28x1220x2440mm (70001091)</t>
  </si>
  <si>
    <t>Interrup Indicador Neu Reward 8982421731 (70001092)</t>
  </si>
  <si>
    <t>Rodillo Caja Nkr Redward HTF045.7.N (70001093)</t>
  </si>
  <si>
    <t>Tubo Entrada Agua Nkr Redward 8973816500 (70001094)</t>
  </si>
  <si>
    <t>Caña Direc Parte Inferior N-200 23913667 (70001095)</t>
  </si>
  <si>
    <t>Kit Sellos Inyector Isx 402506300 (70001096)</t>
  </si>
  <si>
    <t>Kit Enfriador De Aceite Kewort 289230400 (70001097)</t>
  </si>
  <si>
    <t>Kit Piston Motor Isx 4376241 (70001098)</t>
  </si>
  <si>
    <t>Kit Bujes Motor Isx 4309097 (70001099)</t>
  </si>
  <si>
    <t>Cauchos Camisa Motor Isx Azul 3685234 (70001100)</t>
  </si>
  <si>
    <t>Kit Casqueteria Motor Isx 2882087 (70001101)</t>
  </si>
  <si>
    <t>Tuerca Eje Corred Trans Npr 3973604100 (70001102)</t>
  </si>
  <si>
    <t>Kit Camisa Motor Isx Kw T-800 4376392 (70001103)</t>
  </si>
  <si>
    <t>Barra Direccion Corta Hino300 4544039216 (70001104)</t>
  </si>
  <si>
    <t>Abrazadera Cremallera 40 (70001105)</t>
  </si>
  <si>
    <t>Medidor De Combustible Prostar3864401C91 (70001106)</t>
  </si>
  <si>
    <t>Filtro Aceite Nhr Nkr Con Turb5876100210 (70001107)</t>
  </si>
  <si>
    <t>Valvula Pcv Aire Motor Van N200 24516476 (70001108)</t>
  </si>
  <si>
    <t>Amortig Tras Motofurgon 3W180 1023504867 (70001109)</t>
  </si>
  <si>
    <t>Correa Motor 6BT Planta Electrica3911560 (70001110)</t>
  </si>
  <si>
    <t>Empaq Vidrio Panor Hino Dutro 5612125040 (70001111)</t>
  </si>
  <si>
    <t>Soporte Motor Izq N200 24539460 (70001112)</t>
  </si>
  <si>
    <t>Bomba Freno Ssabs Mt Master 7701208176 (70001113)</t>
  </si>
  <si>
    <t>Polea Cigueñal Motor R Master 8200802666 (70001114)</t>
  </si>
  <si>
    <t>Valvula Susp Cabina Prostar 2591915C1 (70001115)</t>
  </si>
  <si>
    <t>Bisel Manija Puerta Izq Prostar3613326C2 (70001116)</t>
  </si>
  <si>
    <t>Buje Eje Horquilla Van N200 24555398 (70001117)</t>
  </si>
  <si>
    <t>Bombona Susp Cabina Prostar 2591909C2 (70001118)</t>
  </si>
  <si>
    <t>Filtro Combustible Mack 20972295 (70001119)</t>
  </si>
  <si>
    <t>Filtro Aceite Mack 21707135 (70001120)</t>
  </si>
  <si>
    <t>Filtro Aceite Mack 23658111 21707136 (70001121)</t>
  </si>
  <si>
    <t>Empaq Metal Carcaz Dist Nkr Rw8979452980 (70001122)</t>
  </si>
  <si>
    <t>Filtro Aire AC Prostar 3670134C1 (70001123)</t>
  </si>
  <si>
    <t>Rejilla Guardamofle Prostar 1647828C2 (70001124)</t>
  </si>
  <si>
    <t>Tubo Escape Motor Nkr 8971026690 (70001125)</t>
  </si>
  <si>
    <t>Hoja Resorte Trasera Eagle 59009/9 (70001126)</t>
  </si>
  <si>
    <t>Amort Susp Cab Prostar29910069 2595314C1 (70001127)</t>
  </si>
  <si>
    <t>Soporte Cabina Del Prostar 3595976C5 (70001128)</t>
  </si>
  <si>
    <t>Cardan Completo Nhr Sin Turbo 95621659 (70001129)</t>
  </si>
  <si>
    <t>Barra Templete Tandem Mack 3972682 (70001130)</t>
  </si>
  <si>
    <t>Sensor Pres Aire De 0 A 150Psi Kw-Q21104 (70001131)</t>
  </si>
  <si>
    <t>Amortiguador Trasero Mack 65484 (70001132)</t>
  </si>
  <si>
    <t>Eje Horqui Mono Caja 16918 Eagle 4303596 (70001133)</t>
  </si>
  <si>
    <t>Balinera Propulsor Nkr III 6308 ZNR C3 (70001134)</t>
  </si>
  <si>
    <t>Tornillo Tapa Bancada Motor Isx 3678506 (70001135)</t>
  </si>
  <si>
    <t>Tornillo Culata Motor Isx 3678804 (70001136)</t>
  </si>
  <si>
    <t>Malacate Llanta Repuesto FRR 8980363830 (70001137)</t>
  </si>
  <si>
    <t>Empaque Culata Nkr Reward G2 8982916840 (70001138)</t>
  </si>
  <si>
    <t>Amortiguador Delantero Prostar 3606859C2 (70001139)</t>
  </si>
  <si>
    <t>Cardan Completo Tras Eagle (70001140)</t>
  </si>
  <si>
    <t>Valv Control Aire Susp Eagle 2505183C92 (70001141)</t>
  </si>
  <si>
    <t>Muelle Trasero Nkr III 22395 (70001142)</t>
  </si>
  <si>
    <t>Amortig Tras 1-3/4 Prostar HD60675003 (70001143)</t>
  </si>
  <si>
    <t>Calefactor Cabina Hino DP 8701037300 (70001144)</t>
  </si>
  <si>
    <t>Tapa Tanque Hidraulico Hino S443051260 (70001145)</t>
  </si>
  <si>
    <t>Yugo Deslizante Cardan Nkr 8972111310 (70001146)</t>
  </si>
  <si>
    <t>Brazo Espejo Ext Der Nkr III 8980395721 (70001147)</t>
  </si>
  <si>
    <t>Correa Ventilador FRR 8980202470 (70001148)</t>
  </si>
  <si>
    <t>Manija Puerta Der Ext Prostar 2594006C1 (70001149)</t>
  </si>
  <si>
    <t>Filtro Elem Aire A/C Prostar DONP614221 (70001150)</t>
  </si>
  <si>
    <t>Motor Limpiabrisas Eagle 4300 2594086C91 (70001151)</t>
  </si>
  <si>
    <t>Talco Stop Hin Dutro Pro (Kia) (70001152)</t>
  </si>
  <si>
    <t>Empaq Tapa Distrib Nkr Reward 8973122212 (70001153)</t>
  </si>
  <si>
    <t>Valvula Expan Aire AC Prostar 3660853C2 (70001154)</t>
  </si>
  <si>
    <t>Mang AC Comp A Cond Prostar 3612296C92 (70001155)</t>
  </si>
  <si>
    <t>Juego Parlante X2 Radio Pasac 6" TS-1631 (70001156)</t>
  </si>
  <si>
    <t>Tapa Base Radio Pasacinta Eagle1649506C1 (70001157)</t>
  </si>
  <si>
    <t>Bicel Tapa Base Radi Pasa Eagle1649502C1 (70001158)</t>
  </si>
  <si>
    <t>Condesador Aire A/C T800 K122-125 (70001159)</t>
  </si>
  <si>
    <t>Polea Estriada Aire AC Eagle Isx 3689465 (70001160)</t>
  </si>
  <si>
    <t>Persiana Mack CXU-613 804013 (70001161)</t>
  </si>
  <si>
    <t>Radio Pasacinta Nuevo (70001162)</t>
  </si>
  <si>
    <t>Control A/C Kenworth F21101321000 (70001163)</t>
  </si>
  <si>
    <t>Empaq Multiple Adm Nkr Reward 8982129990 (70001164)</t>
  </si>
  <si>
    <t>Switch Plataforma De 2 Posiciones (70001165)</t>
  </si>
  <si>
    <t>Depos Aux Radiador Nkr Reward 8981781790 (70001166)</t>
  </si>
  <si>
    <t>Switch Espejo Hi Prostar 2505204C1 (70001167)</t>
  </si>
  <si>
    <t>Harnes Sensor Temp Dif Prostar3609846C92 (70001168)</t>
  </si>
  <si>
    <t>Sensor Temp Diferencial Prostar3536822C1 (70001169)</t>
  </si>
  <si>
    <t>Soporte Llanta Repuesto Nkr 8972303550 (70001170)</t>
  </si>
  <si>
    <t>Empaq Culata Distrib Nkr Rewar8973316312 (70001171)</t>
  </si>
  <si>
    <t>Valvula Descar Chasis 802744 Eagle802744 (70001172)</t>
  </si>
  <si>
    <t>Gancho Remolque Bomper Eagle 503505C1 (70001173)</t>
  </si>
  <si>
    <t>Stop Trasero Izq Nkr Rw SJ410 (70001174)</t>
  </si>
  <si>
    <t>Stop Trasero Derecho Nkr Rw SJ410 (70001175)</t>
  </si>
  <si>
    <t>Parabrisas Laminado Hi Prostar (70001176)</t>
  </si>
  <si>
    <t>Espejo Inferior Derecho FRR 8983097250 (70001177)</t>
  </si>
  <si>
    <t>Filtro Aire Mack Granite Goby AG961125R (70001178)</t>
  </si>
  <si>
    <t>Filtro Aire Motor Prostar Isx MAG961020R (70001179)</t>
  </si>
  <si>
    <t>Eje De Leva Motor Isx KW 4298627 (70001180)</t>
  </si>
  <si>
    <t>Marco Pta Izq Cabina Nkr Rewar8975860478 (70001181)</t>
  </si>
  <si>
    <t>Persiana Capo Inter Prostar 3612816C93 (70001182)</t>
  </si>
  <si>
    <t>Balancin Escape Tras Isx - T800 4298640 (70001183)</t>
  </si>
  <si>
    <t>Cubo Sincroniz Caja Hino Dutro3336237030 (70001184)</t>
  </si>
  <si>
    <t>Nucleo De 2daY3ra Cja Dir Hino3336437052 (70001185)</t>
  </si>
  <si>
    <t>Sincroniz De 5ta Caja Dir Hino3339636010 (70001186)</t>
  </si>
  <si>
    <t>Pasador Balanc Muelle Del T800 MR894-Aut (70001187)</t>
  </si>
  <si>
    <t>Riel Central Puerta Lat N200 Izq24520526 (70001188)</t>
  </si>
  <si>
    <t>Caucho Gancho Tapa Cja Bateria 777812C91 (70001189)</t>
  </si>
  <si>
    <t>Pin Tuerca Eje Delantero KW T800 4504837 (70001190)</t>
  </si>
  <si>
    <t>Brazo Plumilla Der Freightlin A227200900 (70001191)</t>
  </si>
  <si>
    <t>Valvula Segurid Tque Aire Eagle3820172C1 (70001192)</t>
  </si>
  <si>
    <t>Manguera Sup Freno Del N200 23912219 (70001193)</t>
  </si>
  <si>
    <t>Bomba De Gasolina N200 9050418 (70001194)</t>
  </si>
  <si>
    <t>Muelle Delantero Nkr 22934 (70001195)</t>
  </si>
  <si>
    <t>Soporte Inf Panel Cabina Der 3502890C1 (70001196)</t>
  </si>
  <si>
    <t>Filtro Deposito Hidraulic Nkr 8970947320 (70001197)</t>
  </si>
  <si>
    <t>Soporte Bomba Inyeccion Nkr 8941337611 (70001198)</t>
  </si>
  <si>
    <t>Soporte Bba Iny Al Bloque Nkr 8941337622 (70001199)</t>
  </si>
  <si>
    <t>Porta Rodillo Mono Caja 16918 4304499 (70001200)</t>
  </si>
  <si>
    <t>Inyect Aceite Caden Repart Rew8973560611 (70001201)</t>
  </si>
  <si>
    <t>Jgo Separ Hombro Qta Rueda HollandPKPKT2 (70001202)</t>
  </si>
  <si>
    <t>Valv Contr Alt Susp Inter LT 2505186C91 (70001203)</t>
  </si>
  <si>
    <t>Retenedor Rueda Trasera Externo FTR (70001204)</t>
  </si>
  <si>
    <t>Kit Reparacion Culata Isx (70001205)</t>
  </si>
  <si>
    <t>Filtro Aceite 4Y Convertidor Montacarga (70001206)</t>
  </si>
  <si>
    <t>Rache Freno Automatico 6 0" X 28 Izq (70001207)</t>
  </si>
  <si>
    <t>Guaya Select De Cambios Hino33830-37640 (70001208)</t>
  </si>
  <si>
    <t>Retenedor Rued Del FTR 1096250410 (70001209)</t>
  </si>
  <si>
    <t>Cremall Elevav Elec Izq Eagle3662377C91 (70001210)</t>
  </si>
  <si>
    <t>Empaque Puerta Corrediza N200 24546374 (70001211)</t>
  </si>
  <si>
    <t>Recibidor Puerta Trasera N200 24523933 (70001212)</t>
  </si>
  <si>
    <t>Enfocador Ventilador Refrig N200 5497096 (70001213)</t>
  </si>
  <si>
    <t>Pasador Punta Muelle Tras FTR (70001214)</t>
  </si>
  <si>
    <t>Buje Muelle Trasero FTR (70001215)</t>
  </si>
  <si>
    <t>Pasador Central Muelle Tras FTR 12X300mm (70001216)</t>
  </si>
  <si>
    <t>Empaquetadura Sup Motor Isx KW 4352144 (70001217)</t>
  </si>
  <si>
    <t>Balancin Corto Trailer 17 (70001218)</t>
  </si>
  <si>
    <t>Motor Arranque Renault Master 8200634602 (70001219)</t>
  </si>
  <si>
    <t>Vaso Filtro Sedimentador FTR 8980924821 (70001220)</t>
  </si>
  <si>
    <t>Switch Exploradora FTR 8973870314 (70001221)</t>
  </si>
  <si>
    <t>Purificador Aire Motor Hino 1770078281 (70001222)</t>
  </si>
  <si>
    <t>Trapecio Limpiabrisas N200 5496063 (70001223)</t>
  </si>
  <si>
    <t>Valv Alivio Bba Aceite Nhr Nkr8973119761 (70001224)</t>
  </si>
  <si>
    <t>Kit Embrague Nkr Reward 52034053 (70001225)</t>
  </si>
  <si>
    <t>Correa Alternador Monta Carga 9001A96003 (70001226)</t>
  </si>
  <si>
    <t>Switch Elevavidros KW T800 Izq P271069 (70001227)</t>
  </si>
  <si>
    <t>Abrazadera Turbo Motor 3529852 Isx (70001228)</t>
  </si>
  <si>
    <t>Buje Hoja Trasero 9513510400 FTR (70001229)</t>
  </si>
  <si>
    <t>Banda Freno Delantero FRR 9318 Nueva (70001230)</t>
  </si>
  <si>
    <t>Banda Freno Trasero FRR 9217 Nueva (70001231)</t>
  </si>
  <si>
    <t>Resorte Banda Freno Delantero FRR RE2044 (70001232)</t>
  </si>
  <si>
    <t>Oring Tapa Caja Velocidad 4301211 SB (70001233)</t>
  </si>
  <si>
    <t>Resorte Banda Freno Trasero FRR (70001234)</t>
  </si>
  <si>
    <t>Juego Cilindros Pta Encendo Hino (70001235)</t>
  </si>
  <si>
    <t>Trinquete Seguro Cabin Nkr Rew8971209400 (70001236)</t>
  </si>
  <si>
    <t>Puerta Del Izq Nkr Reward 8982605940 (70001237)</t>
  </si>
  <si>
    <t>Moldura Parabrisas Externa FTR8982221590 (70001238)</t>
  </si>
  <si>
    <t>Cubierta Bomba Agua N200 23864518 (70001239)</t>
  </si>
  <si>
    <t>Platina Soporte Cardan Isx 485163C1 (70001240)</t>
  </si>
  <si>
    <t>Rejilla Guarda Mofle Isx 557279C3 (70001241)</t>
  </si>
  <si>
    <t>Hoja Resorte Ppal Del Nkr Reward 22076/1 (70001242)</t>
  </si>
  <si>
    <t>Embrag Termico o F Clutch Hino 1,63E+255 (70001243)</t>
  </si>
  <si>
    <t>Ventilador Radiador Hino Dutro1636178100 (70001244)</t>
  </si>
  <si>
    <t>Cremallera Elevavid Delta Izq 6982087301 (70001245)</t>
  </si>
  <si>
    <t>Refuerzo Hombro Quinta Rueda 9400 14677 (70001246)</t>
  </si>
  <si>
    <t>Oring Piñon Central Caja 17453 SB N (70001247)</t>
  </si>
  <si>
    <t>Varilla Pedal Clutch 9400 3541947C1 (70001248)</t>
  </si>
  <si>
    <t>Marco Puerta Der Nkr Reward 8975860306 (70001249)</t>
  </si>
  <si>
    <t>Parasol Cabina Derecho Npr 8978683422 (70001250)</t>
  </si>
  <si>
    <t>Parasol Cabina Izq Npr 8978683431 (70001251)</t>
  </si>
  <si>
    <t>Estribo Lado Izq FTR 1534141810 (70001252)</t>
  </si>
  <si>
    <t>Estribo Lado Der FTR 1435141800 (70001253)</t>
  </si>
  <si>
    <t>Manilla Izq Capot FTR 8980365651 (70001254)</t>
  </si>
  <si>
    <t>Manilla Der Capot FTR 8980365661 (70001255)</t>
  </si>
  <si>
    <t>Platina Estribo Principal FTR 8980175363 (70001256)</t>
  </si>
  <si>
    <t>Farola Del Izq Nkr Reward 8982413280 (70001257)</t>
  </si>
  <si>
    <t>Lampara Señal Del Izq FTR 8974101813 (70001258)</t>
  </si>
  <si>
    <t>Bisel Izq Parachoque Del FTR 8976115312 (70001259)</t>
  </si>
  <si>
    <t>Moldura Paso Rda Ext Izq FTR 8980413993 (70001260)</t>
  </si>
  <si>
    <t>Oring Caja Direc Chepa M100 S60 2210342 (70001261)</t>
  </si>
  <si>
    <t>Lampara Delantera Izq FTR 8982386310 (70001262)</t>
  </si>
  <si>
    <t>Clip Fijacion Varios FTR FRR 8982419840 (70001263)</t>
  </si>
  <si>
    <t>Sopor Tras Cabina Izq Nkr Rewa8980014442 (70001264)</t>
  </si>
  <si>
    <t>Chapa Capo Van N200 24534862S (70001265)</t>
  </si>
  <si>
    <t>Retenedor Cigüeñal Trasero N200 9052783 (70001266)</t>
  </si>
  <si>
    <t>Pasad Buje Mue Sus Del Nkr Nhr8941179001 (70001267)</t>
  </si>
  <si>
    <t>Alternador Nkr Reward 24 V (70001268)</t>
  </si>
  <si>
    <t>Cilindro Encendido 6905737120 Hino (70001269)</t>
  </si>
  <si>
    <t>Ramal Encendido 8445037161 Hino (70001270)</t>
  </si>
  <si>
    <t>Cuerpo Aceleracion N200 24556341 (70001271)</t>
  </si>
  <si>
    <t>Pivote Rev Cja Full16918 Eagl15899-15898 (70001272)</t>
  </si>
  <si>
    <t>Set Rod Rda Del Int33210J Hino9036650069 (70001273)</t>
  </si>
  <si>
    <t>Porta Repuesto Hino 5190037160 (70001274)</t>
  </si>
  <si>
    <t>Actuador Seguro Puerta KWR566012 (70001275)</t>
  </si>
  <si>
    <t>Kit Clutch N200 19315183 (70001276)</t>
  </si>
  <si>
    <t>Tapa Depos Aux Radiador Nkr Rew898178074 (70001277)</t>
  </si>
  <si>
    <t>Manija Ext Puerta Izq T Delta 6922095400 (70001278)</t>
  </si>
  <si>
    <t>Relay Motor Arranq Nkr Rew24V 8981671730 (70001279)</t>
  </si>
  <si>
    <t>Gorro Economizador Culata N200 24517862 (70001280)</t>
  </si>
  <si>
    <t>Bombillo Halogeno H11 24v T Osram Hino (70001281)</t>
  </si>
  <si>
    <t>Kit Anillos Piston Van N200 24545481 (70001282)</t>
  </si>
  <si>
    <t>Guardafango Delantero Der N200 5496702 (70001283)</t>
  </si>
  <si>
    <t>Talco Stop Trasero FTR FVR 2131907RL (70001284)</t>
  </si>
  <si>
    <t>Filtro Aire Motor Hino FC 2015 AG961051R (70001285)</t>
  </si>
  <si>
    <t>Rejilla Calandria Mt R.Master 8200426365 (70001286)</t>
  </si>
  <si>
    <t>Persiana Mt Renault Master 7701065760 (70001287)</t>
  </si>
  <si>
    <t>Interrupt Vidrio Puerta Der N200 5498451 (70001288)</t>
  </si>
  <si>
    <t>Platina Soporte Der Capo Eagle 3531123C2 (70001289)</t>
  </si>
  <si>
    <t>Electro Valv 4 Vias Del Bajo A121977910 (70001290)</t>
  </si>
  <si>
    <t>Arandela Rodam Ext Trans Nkr 9098532140 (70001291)</t>
  </si>
  <si>
    <t>Bateria T Tornillo 31-1250 Duncan (70001292)</t>
  </si>
  <si>
    <t>Soporte Buje Caña Direccion KWR131014 (70001293)</t>
  </si>
  <si>
    <t>Motor Arranque 39mt Ketworth (70001294)</t>
  </si>
  <si>
    <t>Empaq Culata Motor Cummins Isx4926316-FP (70001295)</t>
  </si>
  <si>
    <t>Relay Caja Fusible Nkr Reward 8971730351 (70001296)</t>
  </si>
  <si>
    <t>Rodillo Y Pista De Agujas 81212 MR122012 (70001297)</t>
  </si>
  <si>
    <t>Deposito Hidraulico KW91410J (70001298)</t>
  </si>
  <si>
    <t>Moldura Tapizado Techo Npr 8978676114 (70001299)</t>
  </si>
  <si>
    <t>Moldura Marco Pta Izq Nkr Rew 8980227411 (70001300)</t>
  </si>
  <si>
    <t>Valvula Susp Kenw T800-Nuevas KD1099097 (70001301)</t>
  </si>
  <si>
    <t>Pin Sincronizador Caja N200 24517046 (70001302)</t>
  </si>
  <si>
    <t>Rodamiento Agujas Caja T Delta9036454003 (70001303)</t>
  </si>
  <si>
    <t>Harnes Direccional Cummins Isx3530094C96 (70001304)</t>
  </si>
  <si>
    <t>Harnes Motor Cummins Isx 3599424C92 (70001305)</t>
  </si>
  <si>
    <t>Panel Lateral Frontal Der Nkr 8975824555 (70001306)</t>
  </si>
  <si>
    <t>Racor Codo 90º 5/8 PTC X3/8NPT 2017516C1 (70001307)</t>
  </si>
  <si>
    <t>Buje Resort Pedal Embr Nkr Npr8942385960 (70001308)</t>
  </si>
  <si>
    <t>Buje Pedal Embrague Nkr Npr 8978536190 (70001309)</t>
  </si>
  <si>
    <t>Soporte Base Filtro Comb Isx 3589207C3 (70001310)</t>
  </si>
  <si>
    <t>Empaque Multiple Escape N200 24539878 (70001311)</t>
  </si>
  <si>
    <t>Rac Cod Tanq Aire Isx 1/2 X5/8 2017519C1 (70001312)</t>
  </si>
  <si>
    <t>Filtro Aceite Eagle y Kentwort LF14000NN (70001313)</t>
  </si>
  <si>
    <t>Sensor Pedal Acelerador 2587164C91Eagle (70001314)</t>
  </si>
  <si>
    <t>Soporte En U Para Cardan Isx 2015412C2 (70001315)</t>
  </si>
  <si>
    <t>Bombona Suspension KW68357-Con (70001316)</t>
  </si>
  <si>
    <t>Tapa Espejo Lado Izq FTR 8980318032 (70001317)</t>
  </si>
  <si>
    <t>Cubierta Espejo Ext Lado Der 8980318050 (70001318)</t>
  </si>
  <si>
    <t>Soporte Frontal Motor Eagle 3508218C1 (70001319)</t>
  </si>
  <si>
    <t>Kit Sopor Radiador Ang Izq Isx2591563C91 (70001320)</t>
  </si>
  <si>
    <t>Espejo Retrovis Completo Der 857514-2RO (70001321)</t>
  </si>
  <si>
    <t>Cadena Reparticion Motor N200 24518546 (70001322)</t>
  </si>
  <si>
    <t>Tensor Correa Repart Motor N200 96416303 (70001323)</t>
  </si>
  <si>
    <t>Guardapolvo Barra Cambios N200 5496059 (70001324)</t>
  </si>
  <si>
    <t>Gancho Cierre Capo Izq Freightl155553000 (70001325)</t>
  </si>
  <si>
    <t>Filtro Combustible Hino 500 23304EV360 (70001326)</t>
  </si>
  <si>
    <t>Filtro Aceite Hino 500 S156072051 (70001327)</t>
  </si>
  <si>
    <t>Empaquetadura Motor Nkr Reward5878168781 (70001328)</t>
  </si>
  <si>
    <t>Cubiert Protec Inf Pta Nkr Rew8980227611 (70001329)</t>
  </si>
  <si>
    <t>Kit Embrague FTR 52034056 (70001330)</t>
  </si>
  <si>
    <t>Balinera Embrague FTR 1313100260 (70001331)</t>
  </si>
  <si>
    <t>Plato Y Acces Freno Emergencia T Delta (70001332)</t>
  </si>
  <si>
    <t>Resort Pistoncillo Fren Motor Isx2892986 (70001333)</t>
  </si>
  <si>
    <t>Muelle Trailer 2463 (70001334)</t>
  </si>
  <si>
    <t>Anillos Motor Std N200 93744884 (70001335)</t>
  </si>
  <si>
    <t>Casquetes Bancada Std N200 9002793 (70001336)</t>
  </si>
  <si>
    <t>Casquetes Biela Std N200 9002792 (70001337)</t>
  </si>
  <si>
    <t>Tubo De Liga Frenos Npr 8971922150 (70001338)</t>
  </si>
  <si>
    <t>Impulsador Varilla Valvula Nkr8944383051 (70001339)</t>
  </si>
  <si>
    <t>Soport Amortig Del Der Sup Nkr8973160151 (70001340)</t>
  </si>
  <si>
    <t>Muelle Del Principal Eagle 1690075C91 (70001341)</t>
  </si>
  <si>
    <t>Balancin Freno Motor Isx 4298199 (70001342)</t>
  </si>
  <si>
    <t>Empaque Lateral Torpedo Isx 3572512C1 (70001343)</t>
  </si>
  <si>
    <t>Moldu Ext Vidr Pta Izq Nkr Rew8980291931 (70001344)</t>
  </si>
  <si>
    <t>Manija Ext Pta Izq Nkr Reward 8980371002 (70001345)</t>
  </si>
  <si>
    <t>Interruptor Vacio 9091012076 T Delta (70001346)</t>
  </si>
  <si>
    <t>Unidad Licuadora Raya 4416 12V 30W (70001347)</t>
  </si>
  <si>
    <t>Tubo Sup Enfriador Aceite Nkr 8980660891 (70001348)</t>
  </si>
  <si>
    <t>Filtro Combustible Hino 2330478091 (70001349)</t>
  </si>
  <si>
    <t>Cremallera Elevavidrio Der N200 5496079 (70001350)</t>
  </si>
  <si>
    <t>Tapa Cabrilla Direccion Isx 2010921C1 (70001351)</t>
  </si>
  <si>
    <t>Tapa Columna Direccion Isx 2024431C2 (70001352)</t>
  </si>
  <si>
    <t>Sensor Alarma Refrigerante Nkr8970845520 (70001353)</t>
  </si>
  <si>
    <t>Cableado Motor Isx Eagle 4952742 (70001354)</t>
  </si>
  <si>
    <t>Empaque Compresor Isx Eagle 4965690 (70001355)</t>
  </si>
  <si>
    <t>Refuerzo Bomper Isx 3577813C2 (70001356)</t>
  </si>
  <si>
    <t>Corbatin Barra Tensora Kentwoht 836940 (70001357)</t>
  </si>
  <si>
    <t>Emblema Capo Parte Frontal Isx 3550916C1 (70001358)</t>
  </si>
  <si>
    <t>Amortig Tras Tipo Corbat KW T800 85937gb (70001359)</t>
  </si>
  <si>
    <t>Guardapolv Botella Y Espigo KW 211959XSP (70001360)</t>
  </si>
  <si>
    <t>Arandela Leva Interior 1 5/8" (70001361)</t>
  </si>
  <si>
    <t>Guaya Freno Parqueo Nkr Rewar 8980571124 (70001362)</t>
  </si>
  <si>
    <t>Sensor Velocimetro T Delta (70001363)</t>
  </si>
  <si>
    <t>Switch Control Crucero Isx 2007303C1 (70001364)</t>
  </si>
  <si>
    <t>Swtich Desempañante Espejo KWP271098004 (70001365)</t>
  </si>
  <si>
    <t>Tornillo Tapa Valvula Motor Isx 3100895 (70001366)</t>
  </si>
  <si>
    <t>Filtro Comb Hino 23304-EV390 2330478091 (70001367)</t>
  </si>
  <si>
    <t>Antidesgast Cuadr Later Capot KW K274181 (70001368)</t>
  </si>
  <si>
    <t>Tub Agua Sal Turb Refr Nkr Rew8981137100 (70001369)</t>
  </si>
  <si>
    <t>Parabrisas Laminado FRR (70001370)</t>
  </si>
  <si>
    <t>Moldura Vidrio Parabrisas FRR (70001371)</t>
  </si>
  <si>
    <t>Motor Arranque Hino 2810078113 (70001372)</t>
  </si>
  <si>
    <t>Varilla Medid Aceite Nkr Rewar8981127771 (70001373)</t>
  </si>
  <si>
    <t>Brazo Direccion Corto Npr 8971701601 (70001374)</t>
  </si>
  <si>
    <t>Alternador Motor N200 24538278 (70001375)</t>
  </si>
  <si>
    <t>Tornillo Tope De Direccion Isx 1665529C1 (70001376)</t>
  </si>
  <si>
    <t>Tornillo Cacho Direccion Isx 1668561C1 (70001377)</t>
  </si>
  <si>
    <t>Bomper Delantero FTR 8974099031 (70001378)</t>
  </si>
  <si>
    <t>Tubo Inf Enfriador Aceite Nkr 8980096763 (70001379)</t>
  </si>
  <si>
    <t>Racor Valvula Tanque Aire Eagle3826346C1 (70001380)</t>
  </si>
  <si>
    <t>Micro Switch 1 Contac SW7102l SMW512 Gps (70001382)</t>
  </si>
  <si>
    <t>Bocin Rueda Delantera N200 23866120 (70001383)</t>
  </si>
  <si>
    <t>Sincronismo 2daY3ra Nkr Reward8982582790 (70001384)</t>
  </si>
  <si>
    <t>Automatico Motor Arranque 42MT 1115593 (70001385)</t>
  </si>
  <si>
    <t>Microswi Freno Motor 2-Cables Hi 1622366 (70001386)</t>
  </si>
  <si>
    <t>Guaya Control Cambios Hino 33820-37m7 (70001387)</t>
  </si>
  <si>
    <t>Jgo Cilindros Pta Encend Nkr 8970956852 (70001388)</t>
  </si>
  <si>
    <t>Parabrisas Laminado Nhr-Rewar (70001389)</t>
  </si>
  <si>
    <t>Filtro Hco Kemworth 9424-LF634 (70001390)</t>
  </si>
  <si>
    <t>Lampara Direcc Lateral Izq N200 23887173 (70001391)</t>
  </si>
  <si>
    <t>Lampara Direcc Lateral Der N200 23887174 (70001392)</t>
  </si>
  <si>
    <t>Bomba Freno 3624400C91 Isx 800629 (70001393)</t>
  </si>
  <si>
    <t>Horqui Cambio 1raY2da Cja Nkr 8970113651 (70001394)</t>
  </si>
  <si>
    <t>Swtich Freno Mtor Isx2007306C1 (70001395)</t>
  </si>
  <si>
    <t>Reten Difer Rockwell Eagle 1205A2731 (70001396)</t>
  </si>
  <si>
    <t>Palanca Freno Emerg Nkr Nhr 8974275430 (70001397)</t>
  </si>
  <si>
    <t>Perilla Palanca Cambios N200 5496508 (70001398)</t>
  </si>
  <si>
    <t>Tuerca Eje Tras Eagle 9400 2591985C91 (70001399)</t>
  </si>
  <si>
    <t>Overhaul Motor Isx 4089405 (70001400)</t>
  </si>
  <si>
    <t>Esparrago Eje Rueda Tras Eagle 588760C1 (70001401)</t>
  </si>
  <si>
    <t>Empaque Multiple Escape Hino S171041880 (70001402)</t>
  </si>
  <si>
    <t>Eje Levas Inyector Motor Isx 4101476 (70001403)</t>
  </si>
  <si>
    <t>Filtro Aire Motor Hino M2015 AG961231R (70001404)</t>
  </si>
  <si>
    <t>Balancin Inyector Motor Isx 4311990 (70001405)</t>
  </si>
  <si>
    <t>Manguera Calefactor Nkr 8972390840 (70001406)</t>
  </si>
  <si>
    <t>Multiple Escape Npr 8943662470 (70001407)</t>
  </si>
  <si>
    <t>Base Caja Bateria Isx 1666473c6 (70001408)</t>
  </si>
  <si>
    <t>Micro Switch Freno Motor 1218 (70001409)</t>
  </si>
  <si>
    <t>Soporte Lat Izq Cja Bateria Isx1515928C2 (70001410)</t>
  </si>
  <si>
    <t>Soporte Lat Der Cja Bateria Isx1517004C2 (70001411)</t>
  </si>
  <si>
    <t>Empaq Cubierta Tapa Valvul N200 24527955 (70001412)</t>
  </si>
  <si>
    <t>Tensor Correa Alternador N200 96416331 (70001413)</t>
  </si>
  <si>
    <t>Retenedor Cigueñal Del N-200 9020305 (70001414)</t>
  </si>
  <si>
    <t>Muelle Delantero T Delta 901492 (70001415)</t>
  </si>
  <si>
    <t>Cerradura Pta Tras Ren Master 7700352464 (70001416)</t>
  </si>
  <si>
    <t>Manija Ext Pta Der Ren Master 7700352489 (70001417)</t>
  </si>
  <si>
    <t>Terminal Axial Cja Dir Der N200 19245641 (70001418)</t>
  </si>
  <si>
    <t>Terminal Axial Cja Dir Izq N200 23870236 (70001419)</t>
  </si>
  <si>
    <t>Acople Eje Caja 16718 Isx 4304500 (70001420)</t>
  </si>
  <si>
    <t>Parasol Izq Isx 3571948C1 (70001421)</t>
  </si>
  <si>
    <t>Bisagra Puerta Delantera Nkr 8981913020 (70001422)</t>
  </si>
  <si>
    <t>Carcaza Termostato Nhr 8942546011 (70001423)</t>
  </si>
  <si>
    <t>Buje Soporte Cabina Nkr Rewar 8980070371 (70001424)</t>
  </si>
  <si>
    <t>Bomba Aceite Isx 5680039 (70001425)</t>
  </si>
  <si>
    <t>Oring Tubo Succion Aceite Isx 3678756 (70001426)</t>
  </si>
  <si>
    <t>Rodillo Speed Difer Rockwell Eagle 9278 (70001427)</t>
  </si>
  <si>
    <t>Soporte Cabina Eagle 3502888C1 (70001428)</t>
  </si>
  <si>
    <t>Empaque Block Motor Nkr Rewar 8973316322 (70001429)</t>
  </si>
  <si>
    <t>Empaque Culata Motor Nkr Rewar8982410390 (70001430)</t>
  </si>
  <si>
    <t>Tornillo Corto Soporte Isx 3681056 (70001431)</t>
  </si>
  <si>
    <t>Retenedor Trasero Semieje Nkr 8982029110 (70001432)</t>
  </si>
  <si>
    <t>Terminal Direccion Izq Eagle R230068 (70001433)</t>
  </si>
  <si>
    <t>Terminal Direccion Der Eagle R230069 (70001434)</t>
  </si>
  <si>
    <t>Retenedor Caja 24516979 N200 (70001435)</t>
  </si>
  <si>
    <t>Rodamiento Eje Del Caja N200 24517022 (70001436)</t>
  </si>
  <si>
    <t>Lampara Direccional Der Nkr 8980539770 (70001437)</t>
  </si>
  <si>
    <t>Pedal Embrague Npr 8978579842 (70001438)</t>
  </si>
  <si>
    <t>Valvula Admision Culata N200 24530497 (70001439)</t>
  </si>
  <si>
    <t>Valvula Escape Culata N200 9002817 (70001440)</t>
  </si>
  <si>
    <t>Card Yoke Larg Del Sr1810 Eagl429DTL1165 (70001441)</t>
  </si>
  <si>
    <t>Fan Clutch Nkr Reward 8980246840 (70001442)</t>
  </si>
  <si>
    <t>Tren Fijo Caja Rtlo-16918 Eagle K-2947 (70001443)</t>
  </si>
  <si>
    <t>Tapa Control Cambios Nkr 8943401450 (70001444)</t>
  </si>
  <si>
    <t>Tapa Portavasos Isx 3526814C2 (70001445)</t>
  </si>
  <si>
    <t>Balinera Cardan Hino 3720137020 (70001446)</t>
  </si>
  <si>
    <t>Caucho Cardan Hino 3723537030 (70001447)</t>
  </si>
  <si>
    <t>Bombona Aire Cabina Freightli R182991900 (70001448)</t>
  </si>
  <si>
    <t>Refuerzo Montaje Capot Isx 3577816C2 (70001449)</t>
  </si>
  <si>
    <t>Platina Soporte Frontal Der Isx3606437C1 (70001450)</t>
  </si>
  <si>
    <t>Tornillo Tabiq Y Flanc Cja Vel8971096961 (70001451)</t>
  </si>
  <si>
    <t>Soporte Frontal Motor Isx 3102796 (70001452)</t>
  </si>
  <si>
    <t>Switch Encend Motofurgon 3W180 84205003W (70001453)</t>
  </si>
  <si>
    <t>Cabrilla Direccion Eagle 9400 2017594C2 (70001454)</t>
  </si>
  <si>
    <t>Correa Alternad 7PK1030 Reward8980031870 (70001455)</t>
  </si>
  <si>
    <t>Empaquetadura Transmisión Nkr 5878319820 (70001456)</t>
  </si>
  <si>
    <t>Hoja Muelle Tras Nkr Reward 22007/4 (70001457)</t>
  </si>
  <si>
    <t>Comando Plumillas Y Direccion KW P271067 (70001458)</t>
  </si>
  <si>
    <t>Cremall Elevav Electr Der Eagl3662378C91 (70001459)</t>
  </si>
  <si>
    <t>Lampara Direccional Der FTR 8982386300 (70001460)</t>
  </si>
  <si>
    <t>Lampara Principal Derecha FTR 8982256240 (70001461)</t>
  </si>
  <si>
    <t>Panel Inferior Izq Cabina Eagle3563690C2 (70001462)</t>
  </si>
  <si>
    <t>Panel Aislad Izq Cabina Eagle 3563698C91 (70001463)</t>
  </si>
  <si>
    <t>Bomba Tanque Agua Limpiabr Hi 3604375C1 (70001464)</t>
  </si>
  <si>
    <t>Sopor Clip Vidrio Pta Nkr Rew 8982117620 (70001465)</t>
  </si>
  <si>
    <t>Sensor Posición Cigüeñal N200 8982117620 (70001466)</t>
  </si>
  <si>
    <t>Lampara Lateral Puerta Der FTR8974101804 (70001467)</t>
  </si>
  <si>
    <t>Tapa Espejo Lado Derecho FTR 8980318022 (70001468)</t>
  </si>
  <si>
    <t>Deposito Refrigerante N200 24539203 (70001469)</t>
  </si>
  <si>
    <t>Rodamiento Piñon Diferenc N200 24528005 (70001470)</t>
  </si>
  <si>
    <t>Rodamiento Diferencial N200 24528006 (70001471)</t>
  </si>
  <si>
    <t>Kit Sopor Radiador Ang Der Isx2591568C91 (70001472)</t>
  </si>
  <si>
    <t>Amortiguador Trasero N-200 24540456 (70001473)</t>
  </si>
  <si>
    <t>Balancin Muelle Trasero N-200 5497022 (70001474)</t>
  </si>
  <si>
    <t>Base Soporte Cabina Eagle 9400 3508249C3 (70001475)</t>
  </si>
  <si>
    <t>Rodillo Tren Fijo Npr 8972531051 (70001476)</t>
  </si>
  <si>
    <t>Retenedor Eje Toma Npr 8972535500 (70001477)</t>
  </si>
  <si>
    <t>Retenedor Extencion Caja Npr 8972535521 (70001478)</t>
  </si>
  <si>
    <t>Cubo Sincroni Caja 2daY3ra Npr8972412961 (70001479)</t>
  </si>
  <si>
    <t>Horquilla Embrague Npr 8972553030 (70001480)</t>
  </si>
  <si>
    <t>Balin Sincroniz 1ra Y 2da Npr 8972529350 (70001481)</t>
  </si>
  <si>
    <t>Rodillo Interno Toma Caja Npr 8972531021 (70001482)</t>
  </si>
  <si>
    <t>Pin Piñon 3ra Caja Npr 8972547430 (70001483)</t>
  </si>
  <si>
    <t>Pin Rodillo Inter Toma Cja Npr8972547280 (70001484)</t>
  </si>
  <si>
    <t>Anillo Sinc Plat Int 2dY3r Npr8972413091 (70001485)</t>
  </si>
  <si>
    <t>Jgo Puntilla Banda Freno Todos (70001486)</t>
  </si>
  <si>
    <t>Guaya Ppal Freno Emergencia 3W180 (70001487)</t>
  </si>
  <si>
    <t>Kit Buje Central Susp Neumatic KWC131007 (70001488)</t>
  </si>
  <si>
    <t>Corbatin Suspensión Neumatica KW839310 (70001489)</t>
  </si>
  <si>
    <t>Inducido Motor Arranque Hino (70001490)</t>
  </si>
  <si>
    <t>Panel Lat Cabina Lado Der FTR 8974082464 (70001491)</t>
  </si>
  <si>
    <t>Trapecio Clutch Eagle 9400 3541949C1 (70001492)</t>
  </si>
  <si>
    <t>Cremallera Eleva Der Elec KWR21-1005 (70001493)</t>
  </si>
  <si>
    <t>Rodillo Tras Tren Fijo Cj Nkr 8981897440 (70001494)</t>
  </si>
  <si>
    <t>Eje Divis Difer Rockwel Eagle AMA3297X11 (70001495)</t>
  </si>
  <si>
    <t>Espaciad Ajus Speed Rockw EaglAM1244W176 (70001496)</t>
  </si>
  <si>
    <t>Shim Ajuste Difer Rockwe Eagle1670293C1 (70001497)</t>
  </si>
  <si>
    <t>Baline Divis Pot Dif Rockw EaglJLM714149 (70001498)</t>
  </si>
  <si>
    <t>Kit Baliner Y Cuna Dif JLM714149/714110 (70001499)</t>
  </si>
  <si>
    <t>Kit Balinera Cuna Dif HM813843/813810 (70001500)</t>
  </si>
  <si>
    <t>Eje Dif Rockwel Larg 43" EagleAM3202Z912 (70001501)</t>
  </si>
  <si>
    <t>Anillo Sincr Inter 2daY3ra Npr8972413121 (70001502)</t>
  </si>
  <si>
    <t>Bronce Sincro 1,2d,3ra Npr FTR8972413061 (70001503)</t>
  </si>
  <si>
    <t>Bronce Sincroniz 4taY5ta Npr 8973095320 (70001504)</t>
  </si>
  <si>
    <t>Piñon De 2da Eje Corredizo Npr8972412371 (70001505)</t>
  </si>
  <si>
    <t>Rodillo Eje Toma Npr 8972530981 (70001506)</t>
  </si>
  <si>
    <t>Rodillo Eje Corredizo Npr 8972531051 (70001507)</t>
  </si>
  <si>
    <t>Flasher 3 Patas Nkr STO303 (70001508)</t>
  </si>
  <si>
    <t>Tubo Inyeccion Nkr Rewarth 8980116080 (70001509)</t>
  </si>
  <si>
    <t>Chapa Inter Puerta Der KW T800 R56-1122 (70001510)</t>
  </si>
  <si>
    <t>Espejo Retrovisor FTR 8980559921 (70001511)</t>
  </si>
  <si>
    <t>Tubo Drenaje Turbo Isx 3412353 (70001512)</t>
  </si>
  <si>
    <t>Manivela Patin (70001513)</t>
  </si>
  <si>
    <t>Parabrisas Laminado FTR (70001514)</t>
  </si>
  <si>
    <t>Valvula Descargue Aire Para Trayler 3591 (70001515)</t>
  </si>
  <si>
    <t>Bombillo Direccional 24vol Nkr 17649 (70001516)</t>
  </si>
  <si>
    <t>Brazo Plumilla R-23102913 Kew (70001517)</t>
  </si>
  <si>
    <t>Mano Acople Aire Trailer 24-272 (70001518)</t>
  </si>
  <si>
    <t>Discos Freno Del Van N200 9053749 (70001519)</t>
  </si>
  <si>
    <t>Harnes Stop Trasero Isx 1515172C91 (70001520)</t>
  </si>
  <si>
    <t>Soporte Punta Chasis Izq Isx 3563986C2 (70001521)</t>
  </si>
  <si>
    <t>Soporte Punta Chasis Der Isx 3563987C2 (70001522)</t>
  </si>
  <si>
    <t>Pedal Clutch Embrague Eagle 2024427C1 (70001523)</t>
  </si>
  <si>
    <t>Soport Barra Transv Susp EagleHD22186000 (70001524)</t>
  </si>
  <si>
    <t>Horquilla Del Mono Caja 16918 Isx 22823 (70001525)</t>
  </si>
  <si>
    <t>Piñon Cj Fuller 4302242 16718 Isx S-2501 (70001526)</t>
  </si>
  <si>
    <t>Guaya Freno Tras Parque Der N200 9026132 (70001527)</t>
  </si>
  <si>
    <t>Cerradura Pta Corred Izq N200 24525626 (70001528)</t>
  </si>
  <si>
    <t>Cerradura Pta Corrediz Der N200 24525625 (70001529)</t>
  </si>
  <si>
    <t>Estribo Plastico Izq Hino 5177237091 (70001530)</t>
  </si>
  <si>
    <t>Ccaza Porta Reten Eag Cja16918B FULS2809 (70001531)</t>
  </si>
  <si>
    <t>Switch Lamp Luz Int Cabina KW P-27104010 (70001532)</t>
  </si>
  <si>
    <t>Guaya Control Cambios N200 24528069 (70001533)</t>
  </si>
  <si>
    <t>Piñon Velocimetro Caja Hino 3348239225 (70001534)</t>
  </si>
  <si>
    <t>Soporte Cardan Hino S372321150 (70001535)</t>
  </si>
  <si>
    <t>Tapa Porta Reten Caja Isx 16918 4305830 (70001536)</t>
  </si>
  <si>
    <t>Boton Interrup Luces Parq Hino8433237090 (70001537)</t>
  </si>
  <si>
    <t>Empaq Multiple Escape Nkr Rew 8982157520 (70001538)</t>
  </si>
  <si>
    <t>Bujia Precalent Motor Nkr Rew 8943907775 (70001539)</t>
  </si>
  <si>
    <t>Sincronizador 4ta Y 5ta Npr 8973665260 (70001540)</t>
  </si>
  <si>
    <t>Piñon Veloc Eje Corredizo Npr 8970348740 (70001541)</t>
  </si>
  <si>
    <t>Cruceta Cardan Largo Eagle SD5676X281 (70001542)</t>
  </si>
  <si>
    <t>Bobina Encendido Motor N200 24531916 (70001543)</t>
  </si>
  <si>
    <t>Culata Motor N200 24542619 (70001544)</t>
  </si>
  <si>
    <t>Empaque Culata N200 25184663 (70001545)</t>
  </si>
  <si>
    <t>Motor Bloqueo Puerta Kenworth (70001546)</t>
  </si>
  <si>
    <t>Canal Vidrio Puerta Nkr-Npr 8978984250 (70001547)</t>
  </si>
  <si>
    <t>Empaq Tapa Volante Akt Carguer7701023459 (70001548)</t>
  </si>
  <si>
    <t>Filtro Aire Acondicionado KWh103817 (70001549)</t>
  </si>
  <si>
    <t>Manguera Valvula Gama Eagle FULL55528 (70001550)</t>
  </si>
  <si>
    <t>Emblema Persiana Hino 7531537022 (70001551)</t>
  </si>
  <si>
    <t>Guaya Fren Tras Parqueo Izq N200 9026131 (70001552)</t>
  </si>
  <si>
    <t>Abrazadera Cremallera 36 (70001553)</t>
  </si>
  <si>
    <t>Enfocador Radiador Nkr Rewar 8973870811 (70001554)</t>
  </si>
  <si>
    <t>Caucho Enfocador Nkr Rewar 8973870851 (70001555)</t>
  </si>
  <si>
    <t>Harnes Medidor Comb KW T800 P927180065 (70001557)</t>
  </si>
  <si>
    <t>Sensor Temperatura Agua N200 9052862 (70001558)</t>
  </si>
  <si>
    <t>Tobera Limpiabrisas Hino 8538137020 (70001559)</t>
  </si>
  <si>
    <t>Deposito Exp Agua Radiador N200-5497104 (70001560)</t>
  </si>
  <si>
    <t>Tubo Manguera Bba Aux Embr Nkr8970637562 (70001561)</t>
  </si>
  <si>
    <t>Hoja Resorte Trasera Isx 55119/5 (70001562)</t>
  </si>
  <si>
    <t>Valvula Pedal Freno Eagle Isx BX802753 (70001563)</t>
  </si>
  <si>
    <t>Varilla Tijera Inferior Der N200 9027321 (70001564)</t>
  </si>
  <si>
    <t>Terminal Inter Caja Direc N200 24512554 (70001565)</t>
  </si>
  <si>
    <t>Sensor Freno Tras Moto Furgon 7701023734 (70001566)</t>
  </si>
  <si>
    <t>Muelle Trasero Completo Super Carry (70001567)</t>
  </si>
  <si>
    <t>Buje Barra Tensora KW839310 (70001568)</t>
  </si>
  <si>
    <t>Sincronizador 1raY Rev Npr8970914340 (70001569)</t>
  </si>
  <si>
    <t>Piñon 1ra Eje Corredizo Npr 8970843771 (70001570)</t>
  </si>
  <si>
    <t>Anillo Bronce Sincronizad 8970617520 Npr (70001571)</t>
  </si>
  <si>
    <t>Cubierta Sello Difusor Nkr Rew8980375430 (70001572)</t>
  </si>
  <si>
    <t>Empaq Cierre Eje d Leva Nkr Rw8982162690 (70001573)</t>
  </si>
  <si>
    <t>Empaq Inyector Comb Nkr Rewar 9095661110 (70001574)</t>
  </si>
  <si>
    <t>Manija Agarradera Pta Der Nkr 8975823091 (70001575)</t>
  </si>
  <si>
    <t>Oring Base Filtro Npr 8943993390 (70001576)</t>
  </si>
  <si>
    <t>Sensor Velocimet 24v Nkr-Rewar8973280581 (70001577)</t>
  </si>
  <si>
    <t>Motor Arranque Nkr Reward 8982220181 (70001578)</t>
  </si>
  <si>
    <t>Disco Clucth Motocarguero Akt 180 (70001579)</t>
  </si>
  <si>
    <t>Lente Nkr Reward 8980544310 (70001580)</t>
  </si>
  <si>
    <t>Vaso Filtro Aceite Nkr-Rewar 8980188620 (70001581)</t>
  </si>
  <si>
    <t>Pin Pasador Horqui Cja Volswag 1JMO-3528 (70001582)</t>
  </si>
  <si>
    <t>Pin Pasador Horqui Cja Volswag 1JMO-6028 (70001583)</t>
  </si>
  <si>
    <t>Guaya Freno Mano Hino 4643037570 (70001584)</t>
  </si>
  <si>
    <t>Arandela Tapon Carter S413506 Montacarga (70001585)</t>
  </si>
  <si>
    <t>Filtro Aceite Motor Montacarga (70001586)</t>
  </si>
  <si>
    <t>Manguera Hidraulica S413507 Montacarga (70001587)</t>
  </si>
  <si>
    <t>Yoke Acople Cardan 6 5-4-3591-1 Eagle (70001588)</t>
  </si>
  <si>
    <t>Acople Fijo Cardan(Oreja)Eagle6 5-28-117 (70001590)</t>
  </si>
  <si>
    <t>Empaq Sello Ext Vidrio Pta N200-5496231 (70001591)</t>
  </si>
  <si>
    <t>Cremallera Puerta Izq Eagle 3515114C91 (70001592)</t>
  </si>
  <si>
    <t>Piñon Rev Corredizo 16918 Isx 16756 (70001593)</t>
  </si>
  <si>
    <t>Pasador Clutch Largo 16918 Isx Hi-210888 (70001594)</t>
  </si>
  <si>
    <t>Pasador Clutch Corto 16918 Isx C-1142 (70001595)</t>
  </si>
  <si>
    <t>Panel Plywo 0.3X2.40 Pta Cort PU-80874/4 (70001596)</t>
  </si>
  <si>
    <t>Guardapolv Del Der Eag-Prostar3557926C92 (70001597)</t>
  </si>
  <si>
    <t>Reloj Aire Eagle 2023358C1 (70001598)</t>
  </si>
  <si>
    <t>Sensor Velocimetro Hino 8318137120 (70001599)</t>
  </si>
  <si>
    <t>Banda Freno Emergencia Hino 4653037030 (70001600)</t>
  </si>
  <si>
    <t>Asiento Grapa Muelle Trailer Generico (70001601)</t>
  </si>
  <si>
    <t>Manguera Turbo Tubo Salida 2014134C2 (70001602)</t>
  </si>
  <si>
    <t>Sello Inyector Nkr Reward 1096390340 (70001603)</t>
  </si>
  <si>
    <t>Racor Acople Rapido Isx 2029563C1 (70001604)</t>
  </si>
  <si>
    <t>Racor Conec Aire Torped Cab Isx2029564C1 (70001606)</t>
  </si>
  <si>
    <t>Soporte Pedal Embrague Nkr-Npr8978928513 (70001607)</t>
  </si>
  <si>
    <t>Valvula Reg Bomba Freno Eagle 3530140C1 (70001608)</t>
  </si>
  <si>
    <t>Valv Dren Cheque Tanq Aire Eagl3825830C1 (70001609)</t>
  </si>
  <si>
    <t>Disco Embrague Nkr Reward 8980370042 (70001610)</t>
  </si>
  <si>
    <t>Camisa Cilind Piston Nkr Rewar8971767000 (70001611)</t>
  </si>
  <si>
    <t>Reten Cigueñal Del Nkr Reward 8981581100 (70001612)</t>
  </si>
  <si>
    <t>Valvula Purga Secador Freno Isx BX800405 (70001613)</t>
  </si>
  <si>
    <t>Tornillo Enfr Aceite Motor Isx 4965483 (70001614)</t>
  </si>
  <si>
    <t>Oring Enfriador Aceite Motor Isx 4966084 (70001616)</t>
  </si>
  <si>
    <t>Lampara Principal Del Izq Nkr 8973695713 (70001617)</t>
  </si>
  <si>
    <t>Sensor Cigüeñal Nkr III 89731121081 (70001618)</t>
  </si>
  <si>
    <t>Soporte Depos Hidraulico Eagle 3667192C1 (70001619)</t>
  </si>
  <si>
    <t>Moldura Parabrisas Nkr Reward 8980290781 (70001620)</t>
  </si>
  <si>
    <t>Puerta Del Derecha Nkr Reward 8981712200 (70001621)</t>
  </si>
  <si>
    <t>Unidad Lampara Direc Nkr Rewar8980514190 (70001622)</t>
  </si>
  <si>
    <t>Freno Ahogo Con Chapola Nkr 8971023723 (70001624)</t>
  </si>
  <si>
    <t>Pedal Acelerador Eagle Isx 3525640C92 (70001625)</t>
  </si>
  <si>
    <t>Balancin Muelle Del Eagle Isx 3613592C1 (70001626)</t>
  </si>
  <si>
    <t>Racor Codo Caja Dir Hidr Isx 3613592C1 (70001628)</t>
  </si>
  <si>
    <t>Brazo Espejo Der Nkr T/Nuevo 8978567358 (70001629)</t>
  </si>
  <si>
    <t>Soporte Amortig Dir Nkr Rewar 8980727970 (70001630)</t>
  </si>
  <si>
    <t>Transmision 9x41 Del Completa KWor 2da (70001631)</t>
  </si>
  <si>
    <t>Clip Puntera Npr-Reward 8980213001 (70001632)</t>
  </si>
  <si>
    <t>Reloj Fuel 2674 Hi 4700 1690273C1 (70001633)</t>
  </si>
  <si>
    <t>Fusible 15 Amp Luz Media Eagle 3529687C1 (70001634)</t>
  </si>
  <si>
    <t>Valvula Drenaje Tanq Aire Eagle545906C91 (70001635)</t>
  </si>
  <si>
    <t>Tapa Filtro Comb Full Pro Eagle1694754C1 (70001636)</t>
  </si>
  <si>
    <t>Lampara Lat Pta Der Nhr Rewar 8974101844 (70001638)</t>
  </si>
  <si>
    <t>Lampara Lat Pta Izq FRR FTR 8974101853 (70001639)</t>
  </si>
  <si>
    <t>Sensor Temperatura Motor Isx 4954905 (70001640)</t>
  </si>
  <si>
    <t>Guaya Selectora Cambio Van-N200-24528068 (70001641)</t>
  </si>
  <si>
    <t>Campana Trailer Romarco 10 Hcos 16 5"X8" (70001642)</t>
  </si>
  <si>
    <t>Bocin Eje Trailer Rom Pro Par ET621-3003 (70001643)</t>
  </si>
  <si>
    <t>Tapa Inf Cab C Porta Vaso Eagl3573297C91 (70001645)</t>
  </si>
  <si>
    <t>Buje Terminal Barra Estab N200-24540490 (70001646)</t>
  </si>
  <si>
    <t>Emblema Compuerta Trasera N200 24542613 (70001647)</t>
  </si>
  <si>
    <t>Buje Delantero Tijera Inf N200 24568641 (70001648)</t>
  </si>
  <si>
    <t>Buje Muelle Tras Parte Tras N200 5497025 (70001649)</t>
  </si>
  <si>
    <t>Tuerca Terminal Barra Tensora Isx 95205 (70001650)</t>
  </si>
  <si>
    <t>Clip Moldura Techo Nhr-Nkr 8978672400 (70001651)</t>
  </si>
  <si>
    <t>Angulo Montaje Puerta Tip Cortina PU6196 (70001653)</t>
  </si>
  <si>
    <t>Manguera Alimentador Hco Nkr 8972056350 (70001654)</t>
  </si>
  <si>
    <t>Tubo Entrada Bomba Agua N200 9052481 (70001655)</t>
  </si>
  <si>
    <t>Bomba Agua Con Polea N200 9052806 (70001656)</t>
  </si>
  <si>
    <t>Cruceta Cardan 19" 1/2 Columbi 5-281 XSP (70001657)</t>
  </si>
  <si>
    <t>Sensor Rev Caja Fuller M2 22940 FULL (70001658)</t>
  </si>
  <si>
    <t>Secador De Aire KW801147 (70001659)</t>
  </si>
  <si>
    <t>Modulo Luz Dia Isx 3613356C1 (70001660)</t>
  </si>
  <si>
    <t>Reten Del Caja Direc Nkr-Nhr 8970173500 (70001661)</t>
  </si>
  <si>
    <t>Tanque Combustible Nkr Reward 94771195 (70001662)</t>
  </si>
  <si>
    <t>Piston Maestro Freno Motor Isx 2882738 (70001663)</t>
  </si>
  <si>
    <t>Manija Ext Pta Izq T Delta (70001664)</t>
  </si>
  <si>
    <t>Kit Rodamiento Dl Trm Isx 46-160 KIT4423 (70001665)</t>
  </si>
  <si>
    <t>Tuerca Eje Salida Trm Isx KIT2637 (70001666)</t>
  </si>
  <si>
    <t>Juego Shims Divisor 46160 Isx KIT2429 (70001667)</t>
  </si>
  <si>
    <t>Canastilla Divisor Isx A13235A239 (70001668)</t>
  </si>
  <si>
    <t>Satelites Divisor 46160 Isx 2233K245 (70001669)</t>
  </si>
  <si>
    <t>Arandela Planetario 46160 Isx 1229l3002 (70001670)</t>
  </si>
  <si>
    <t>Arandela Satelite Escualiz Isx 1229K3001 (70001671)</t>
  </si>
  <si>
    <t>Arandela Bronce Divi Isx 46160-1229S4985 (70001672)</t>
  </si>
  <si>
    <t>Corona Y Speed Delantera Isx9*41-A398821 (70001673)</t>
  </si>
  <si>
    <t>Cruceta Escualizacion Tras,Isx 3278W335 (70001674)</t>
  </si>
  <si>
    <t>Planetario Escualizac Isx Ppal 2234C1069 (70001675)</t>
  </si>
  <si>
    <t>Satelite Escualizacion Ppal Isx2233M1001 (70001676)</t>
  </si>
  <si>
    <t>Bomba Aceite Divisor Del Isx A3303P1030 (70001677)</t>
  </si>
  <si>
    <t>Retenedor Eje Salida Del Isx A11205Y272 (70001678)</t>
  </si>
  <si>
    <t>Riel Control Pta Corred N200Der 24520527 (70001679)</t>
  </si>
  <si>
    <t>Motor Arranque Delta 12 Vol STR6067 (70001680)</t>
  </si>
  <si>
    <t>Arand Piñon Extra Cja 16918 Isx 4301843 (70001681)</t>
  </si>
  <si>
    <t>Rele Alambr Carga Alternad Nkr8970634412 (70001682)</t>
  </si>
  <si>
    <t>Tablero Puerta Lado Derecho Nkr II (70001683)</t>
  </si>
  <si>
    <t>Tapa Tanque Acpm Nkr- Rewar 8981460140 (70001684)</t>
  </si>
  <si>
    <t>Kit Repar Bba Inyec Nkr Rewar8981455011 (70001685)</t>
  </si>
  <si>
    <t>Manguera Hidraulica R-5 1/2 Larga (70001686)</t>
  </si>
  <si>
    <t>Guardafango Izq Cabina Reward 8980040304 (70001687)</t>
  </si>
  <si>
    <t>Silenciador Escape N-200 Chev 24519272 (70001688)</t>
  </si>
  <si>
    <t>Guaya Selectora Cambio Nkr 8980217002 (70001689)</t>
  </si>
  <si>
    <t>Resorte Pedal Embrague Nkr 8978532211 (70001690)</t>
  </si>
  <si>
    <t>Acople Cono Diferencial Nkr 8944267874 (70001691)</t>
  </si>
  <si>
    <t>Filtro Aceite Hco Eagle Goby HG971001 (70001692)</t>
  </si>
  <si>
    <t>Cuerpo Acelerado Nkr 8980400034 (70001693)</t>
  </si>
  <si>
    <t>Conjunto Motor Ventilador N200 5496980 (70001694)</t>
  </si>
  <si>
    <t>Zapa Mlle Tras Parte Tras Isx SS0645CHE (70001695)</t>
  </si>
  <si>
    <t>Manguera Mono Ship 32" Eaton 25674 (70001696)</t>
  </si>
  <si>
    <t>Carcaza Termostato Motor N200 9052872 (70001697)</t>
  </si>
  <si>
    <t>Pivote Horquilla Embrague Nkr 8970728270 (70001698)</t>
  </si>
  <si>
    <t>Juego Cilindros Puerta Van N200 24547984 (70001699)</t>
  </si>
  <si>
    <t>Manguera Hidraulica R5 13/32" Corta (70001700)</t>
  </si>
  <si>
    <t>Deposito Aceite Hidr Direc Nkr8971079870 (70001701)</t>
  </si>
  <si>
    <t>Disyuntor 4patas D/Nal 70amp 12V2270 Kw (70001702)</t>
  </si>
  <si>
    <t>Cilindro Freno Trasero Hyundai (70001703)</t>
  </si>
  <si>
    <t>Interrup Pedal Freno Nkr-Rewar8980000280 (70001704)</t>
  </si>
  <si>
    <t>Multiple Admision Nkr II 8971923271 (70001705)</t>
  </si>
  <si>
    <t>Polea Damper Cigüeñal Nkr II 8972042040 (70001706)</t>
  </si>
  <si>
    <t>Kit Buje Leva Trasero Volsw KIT-8042 (70001707)</t>
  </si>
  <si>
    <t>Portadiodo Alternador 33 SI10512371 (70001708)</t>
  </si>
  <si>
    <t>Piñon Overdrive Tr Fijo 16918 Isx4303666 (70001709)</t>
  </si>
  <si>
    <t>Arandela Caja 16918 Isx 4303185 (70001710)</t>
  </si>
  <si>
    <t>Manguera Hidraulica R-5 1/2 Corta 1/2" (70001711)</t>
  </si>
  <si>
    <t>Resorte Valv Pizarra Cja 16918 Isx 21268 (70001712)</t>
  </si>
  <si>
    <t>Caucho Aislador Exosto Inf Nkr8944572781 (70001713)</t>
  </si>
  <si>
    <t>Buje Barra Torsion Eagle Isx HD44697000 (70001714)</t>
  </si>
  <si>
    <t>Automatico Motor Arranqu Nkr-Nhr MAAU016 (70001716)</t>
  </si>
  <si>
    <t>Manguera Aire Freno 3/8 Trailer 13/13" (70001717)</t>
  </si>
  <si>
    <t>Hoja Resorte Delantera Delta 07078-1 (70001718)</t>
  </si>
  <si>
    <t>Bocin Rueda Del Nkr Rewar 8943654590 (70001719)</t>
  </si>
  <si>
    <t>Exosto Nkr Rewar 8972549790 (70001720)</t>
  </si>
  <si>
    <t>Camara Freno Ahogo Motor Nkr Rew 07078-1 (70001721)</t>
  </si>
  <si>
    <t>Soporte Filtro Aire Nkr Rewar 8971071390 (70001722)</t>
  </si>
  <si>
    <t>Talco Stop Tricolor Nkr (SJ410) 12181905 (70001723)</t>
  </si>
  <si>
    <t>Soporte Guia Capot Isx 3560567C3 (70001724)</t>
  </si>
  <si>
    <t>Cilin Fre Del Der C.Purga Hino4751036170 (70001725)</t>
  </si>
  <si>
    <t>Cilin Fre Del Der S.Purga Hino4752036180 (70001726)</t>
  </si>
  <si>
    <t>Empaque Multiple Admision N200 9052825 (70001727)</t>
  </si>
  <si>
    <t>Manguera Bypass Motor N200 24527700 (70001728)</t>
  </si>
  <si>
    <t>Pasador Trapecio Embrague Isx 2005334C1 (70001730)</t>
  </si>
  <si>
    <t>Tubo Abatible Cabina Nkr III 8973284851 (70001731)</t>
  </si>
  <si>
    <t>Caña Terminal Direccion Nkr 8971420230 (70001732)</t>
  </si>
  <si>
    <t>Tanque Vacio Freno Nkr III 8971298871 (70001734)</t>
  </si>
  <si>
    <t>Gancho Riel Compuerta Contenedor 80023 (70001735)</t>
  </si>
  <si>
    <t>Cardan Nkr III 2010 Largo 8972116610 (70001736)</t>
  </si>
  <si>
    <t>Soporte Tanque Comb Largo Isx 3525130C5 (70001737)</t>
  </si>
  <si>
    <t>Soporte Tanque Combustible Isx 3524666C3 (70001738)</t>
  </si>
  <si>
    <t>Soporte Tanque Comb Redondo Isx3524670C3 (70001739)</t>
  </si>
  <si>
    <t>Flang Card Eag 6.5-4-2711-1XR 3595283C91 (70001740)</t>
  </si>
  <si>
    <t>Kit Tuerca Arandela Difer Eagle KIT2638 (70001741)</t>
  </si>
  <si>
    <t>Reten Divisor Difer Eagle Isx A11205X272 (70001742)</t>
  </si>
  <si>
    <t>Caucho Aislador Exosto Sup Nkr8944572771 (70001744)</t>
  </si>
  <si>
    <t>Manguera Codo Radiador Eagle 485794 C1 (70001745)</t>
  </si>
  <si>
    <t>Freno Ahog Con Chapola Nkr-Rew8980332001 (70001746)</t>
  </si>
  <si>
    <t>Brazo Plumilla Derecho Nkr 8980537870 (70001747)</t>
  </si>
  <si>
    <t>Brazo Plumilla Izq Nkr 8980537860 (70001748)</t>
  </si>
  <si>
    <t>Tubo Freno Delantero Nkr Rewar8970192250 (70001749)</t>
  </si>
  <si>
    <t>Manguera Comb 1/2" Corta 1/2" Acopl (70001750)</t>
  </si>
  <si>
    <t>Inyector Combustible Nkr 8980116045 (70001751)</t>
  </si>
  <si>
    <t>Manguera Enfr Aceite Nkr S T 8970223140 (70001752)</t>
  </si>
  <si>
    <t>Caja Direccion Hidraulica Nkr 8971734660 (70001753)</t>
  </si>
  <si>
    <t>Bomba Direccion Hidraulica Nkr8973547301 (70001754)</t>
  </si>
  <si>
    <t>Carevaca Caja Nkr 8970348792 (70001755)</t>
  </si>
  <si>
    <t>Manguera Conexion Aire JgoX 2-11950-Roja (70001756)</t>
  </si>
  <si>
    <t>Motor Limpiabrisas 24544087 N 200 (70001757)</t>
  </si>
  <si>
    <t>Tubo Succion Motor Isx 4918022 (70001758)</t>
  </si>
  <si>
    <t>Sensor Freno N200 5498452 (70001760)</t>
  </si>
  <si>
    <t>Cubierta Panel Sup Izq Nkr-Rew8980365203 (70001761)</t>
  </si>
  <si>
    <t>Tanque Vacio Nkr-Rewar 8980091241 (70001762)</t>
  </si>
  <si>
    <t>Tanque Limpiabrizas Nkr-Rewar 8980291362 (70001763)</t>
  </si>
  <si>
    <t>Cubierta Palan Camb Nkr-Rewar 8974116750 (70001764)</t>
  </si>
  <si>
    <t>Bocel Pisa Alfombra Nkr-Rewar 8974053891 (70001765)</t>
  </si>
  <si>
    <t>Protect Guardab Der Nkr-Rewar 8980107411 (70001766)</t>
  </si>
  <si>
    <t>Guardap Guard Der Nkr-Rewar 8980556202 (70001767)</t>
  </si>
  <si>
    <t>Prensa Embrague Dutro 3121036310 (70001768)</t>
  </si>
  <si>
    <t>Disco Embrague Dutr 3125037170 (70001769)</t>
  </si>
  <si>
    <t>Retenedor Cerrojo Tipo Cortina 61 (70001770)</t>
  </si>
  <si>
    <t>Tornillo Volante Motor Hino S134551820 (70001771)</t>
  </si>
  <si>
    <t>Balinera Volante Motor Hino SZ37117009 (70001772)</t>
  </si>
  <si>
    <t>Tapa Muerto Motor Isx 3526818C5 (70001773)</t>
  </si>
  <si>
    <t>Resorte Oscil T Cortina Fabricado Izq 40 (70001774)</t>
  </si>
  <si>
    <t>Valvula Descargue Rapido Trailer 229859 (70001775)</t>
  </si>
  <si>
    <t>Polea Damper Motor Isx 3682627 (70001776)</t>
  </si>
  <si>
    <t>Puntera Trasera Cabina Isx 598537C2 (70001777)</t>
  </si>
  <si>
    <t>Correa Premiun Puerta Tipo Cortina Nkr (70001778)</t>
  </si>
  <si>
    <t>Varilla Medid Aceite Motor FTR8980926000 (70001779)</t>
  </si>
  <si>
    <t>Tubo Pasamanos Exosto Isx 3571682C2 (70001780)</t>
  </si>
  <si>
    <t>Carburador Moto Varias (70001782)</t>
  </si>
  <si>
    <t>Tablero Tacom Veloc Eagle 3670057C93 (70001783)</t>
  </si>
  <si>
    <t>Clip Mascarilla Radiad Nkr-Rew8980256980 (70001784)</t>
  </si>
  <si>
    <t>Bombillo Cabina 204136 Nkr-Rew 10x31 24v (70001785)</t>
  </si>
  <si>
    <t>Embolo Motor Arranque 37-41-42mt 661607 (70001787)</t>
  </si>
  <si>
    <t>Manguera Inf Radiador Nkr-Rewa8973838141 (70001788)</t>
  </si>
  <si>
    <t>Soporte Bomper Izq Nkr-Rewar 8980252124 (70001789)</t>
  </si>
  <si>
    <t>Horquilla Cja Cambio 3Y4ta N200 23865104 (70001790)</t>
  </si>
  <si>
    <t>Guardap Barra Cambios Nkr-Rew8970662872 (70001792)</t>
  </si>
  <si>
    <t>Rele Elevavidrios N-200 24525342 (70001794)</t>
  </si>
  <si>
    <t>Cabina 700p Nkr-Rewar 8982292390 (70001795)</t>
  </si>
  <si>
    <t>Tornillo Volante Motor Isx 3678740 (70001796)</t>
  </si>
  <si>
    <t>Unidad Control Cabina Nkr-Rewa8974110043 (70001798)</t>
  </si>
  <si>
    <t>Gorro Valvula Culata Nkr Rewar8973286470 (70001799)</t>
  </si>
  <si>
    <t>Valvula Admis Culata Nkr Rewar8980169730 (70001800)</t>
  </si>
  <si>
    <t>Valvula Escape Culata Nkr Rewa8980169741 (70001801)</t>
  </si>
  <si>
    <t>Empaq Tapa Valv Motor R.Master7701472450 (70001803)</t>
  </si>
  <si>
    <t>Filtro Combustib Full Pro Goby AG-971001 (70001804)</t>
  </si>
  <si>
    <t>Lampara Led Rda 2 1/2 12v Cauch 8l-113-A (70001805)</t>
  </si>
  <si>
    <t>Panel Superior Tablero Izq Isx 3562521C3 (70001806)</t>
  </si>
  <si>
    <t>Panel Superior Tablero Der Isx 3562522C3 (70001807)</t>
  </si>
  <si>
    <t>Terminal Barra Estabiliz N200 23868732 (70001809)</t>
  </si>
  <si>
    <t>Sensor Presion Aire Freno Eagle2035007C2 (70001810)</t>
  </si>
  <si>
    <t>Baline Eje Prop Cja16918 Eagl FUL4301417 (70001811)</t>
  </si>
  <si>
    <t>Volante Motor Isx 3680922 (70001813)</t>
  </si>
  <si>
    <t>Vaso Filtro Comb Tramp Nkr Rew8980960040 (70001814)</t>
  </si>
  <si>
    <t>Empaque Tapa Valvulas Nkr 8979453380 (70001815)</t>
  </si>
  <si>
    <t>Sello Loza Bomba Agua Eagle 302909900 (70001817)</t>
  </si>
  <si>
    <t>Soporte Lampara Ovalada Fabricada (70001818)</t>
  </si>
  <si>
    <t>Turbo Descargad Foton 1120-7705946175685 (70001819)</t>
  </si>
  <si>
    <t>Caja Direccion Nkr Reward 8981012981 (70001820)</t>
  </si>
  <si>
    <t>Barra Torcion Cabina Nkr-Rewar 898020954 (70001821)</t>
  </si>
  <si>
    <t>Eje Barra Torcion Cab Nkr-Rew 8980210330 (70001822)</t>
  </si>
  <si>
    <t>Soport Montaje Cab Der Nkr-Rew8980214095 (70001823)</t>
  </si>
  <si>
    <t>Soport Montaje Cab Izq Nkr-Rew8980214085 (70001824)</t>
  </si>
  <si>
    <t>Tapa Torre Mono Caja 16918 Eagle 4302320 (70001825)</t>
  </si>
  <si>
    <t>Manguera Aire 1/4 150PSI Acopl X14Mts (70001826)</t>
  </si>
  <si>
    <t>Eje Corredizo Caja Nkr 8973688370 (70001827)</t>
  </si>
  <si>
    <t>Relay Luz Parqueo N200 9053268 (70001828)</t>
  </si>
  <si>
    <t>Exploradora Retangular Hella 450 (70001829)</t>
  </si>
  <si>
    <t>Bombillo Exploradora H3 24 Volt 48700 (70001830)</t>
  </si>
  <si>
    <t>Acople Cruceta Cardan Nkr 8972111160 (70001831)</t>
  </si>
  <si>
    <t>Manguera Aire Presion 1/2 1/2" Acopl (70001832)</t>
  </si>
  <si>
    <t>Piñon Reduc Media Cja 16718 Eagle4301795 (70001833)</t>
  </si>
  <si>
    <t>Hoja Muelle Del Principal T 07078/1 (70001834)</t>
  </si>
  <si>
    <t>Espiral Amortiguador Del N200 24536569 (70001835)</t>
  </si>
  <si>
    <t>Bombona Aire Silla Eagle 1696990C91 (70001836)</t>
  </si>
  <si>
    <t>Manguera Blindada 1/2" (70001837)</t>
  </si>
  <si>
    <t>Tensor Cadena Shimano 307480 Bicifurgon (70001838)</t>
  </si>
  <si>
    <t>Cadenilla Bicifurgon (70001839)</t>
  </si>
  <si>
    <t>Enfriador Aceite Caja Isx 2508806C92 (70001840)</t>
  </si>
  <si>
    <t>Pacha Conec Sensor Trasmis EaglePA66111B (70001841)</t>
  </si>
  <si>
    <t>Manija Pta Der Eagle(Descanzab)3518424C1 (70001842)</t>
  </si>
  <si>
    <t>Kit Empaque Motor Hino 300 041117C061 (70001843)</t>
  </si>
  <si>
    <t>Bomba De Agua Hino 16100-E0780 (70001844)</t>
  </si>
  <si>
    <t>Valvula Retorno Comb Nhr Nkr 8972145090 (70001845)</t>
  </si>
  <si>
    <t>Tapa Frontal Motor Hino 11310E0150 (70001846)</t>
  </si>
  <si>
    <t>Casquete Biela Hino 13041E0610 (70001847)</t>
  </si>
  <si>
    <t>Camisa Hino 13041E0610 (70001848)</t>
  </si>
  <si>
    <t>Piston + Anillo Hino 13041E0610 (70001849)</t>
  </si>
  <si>
    <t>Bomba Hidraulica Direc Volswagen451572RO (70001850)</t>
  </si>
  <si>
    <t>Manguera Admis Turbo Hi 466E-1658485C1 (70001851)</t>
  </si>
  <si>
    <t>Perno Rueda Del Der Nkr 8943834362 (70001852)</t>
  </si>
  <si>
    <t>Tuerca Perno Rueda Del Der Nkr8980079070 (70001853)</t>
  </si>
  <si>
    <t>Manguera Enfri Interculer Nkr 8972286571 (70001854)</t>
  </si>
  <si>
    <t>Pastillas Freno Nissan Urvan (70001855)</t>
  </si>
  <si>
    <t>Disco Freno Nissan Urvan (70001856)</t>
  </si>
  <si>
    <t>Vidrio Puerta Lado Der Izq Nkr-Rew (70001857)</t>
  </si>
  <si>
    <t>Tubo Silenciador Parte Delantera Nkr III (70001858)</t>
  </si>
  <si>
    <t>Capuch Espar Rda Tras Izq Nkr 8943651441 (70001859)</t>
  </si>
  <si>
    <t>Capuch Espar Rda Tras Der Nkr 8943651431 (70001860)</t>
  </si>
  <si>
    <t>Sensor Velocidad Lado Caja N200 9053592 (70001861)</t>
  </si>
  <si>
    <t>Chapa Exterior Puerta Eagle 3550930C91 (70001862)</t>
  </si>
  <si>
    <t>Filtro Elemento Sedimentador FTR52059227 (70001863)</t>
  </si>
  <si>
    <t>Filtro Combustible FTR 8982035990 (70001864)</t>
  </si>
  <si>
    <t>Vidrio Trasero Cabina Nhr-Rewar (70001865)</t>
  </si>
  <si>
    <t>Relay Bujia Precalent Nkr Rew 8971739470 (70001866)</t>
  </si>
  <si>
    <t>Relay Ppal Ecm 24V Nkr Reward 8978339870 (70001867)</t>
  </si>
  <si>
    <t>Relay Motor De Partida Nkr Rew8972649470 (70001868)</t>
  </si>
  <si>
    <t>Tapa Cja Fusib Y Relay Nkr Rew8980813670 (70001869)</t>
  </si>
  <si>
    <t>Juego Escobilla Arranque Nkr IR1058A (70001870)</t>
  </si>
  <si>
    <t>Contacto M Arranque Abier Nkr Jgo X 2 (70001871)</t>
  </si>
  <si>
    <t>Cabina Sin Puertas Eagle Shell (70001872)</t>
  </si>
  <si>
    <t>Chapa Puerta Del Derecha N200 24525622 (70001873)</t>
  </si>
  <si>
    <t>Manija Ext Puerta Del Der N200 24529020 (70001874)</t>
  </si>
  <si>
    <t>Soporte Eje Balancin Isx Eagle 367942700 (70001875)</t>
  </si>
  <si>
    <t>Bomba Hidraulica Direc KWPS251613R1 (70001876)</t>
  </si>
  <si>
    <t>Conex Tubo Llen Aceite Motor Isx 4962605 (70001877)</t>
  </si>
  <si>
    <t>Filtro Comb Nhr-Rew5876101570-8980374810 (70001878)</t>
  </si>
  <si>
    <t>Relay Tablero Instrumentos Nkr8971855200 (70001879)</t>
  </si>
  <si>
    <t>Tapon Caja Fuller 16918 KW4304023 (70001880)</t>
  </si>
  <si>
    <t>Panel Esquin Front Der Nkr-Rew8974056218 (70001881)</t>
  </si>
  <si>
    <t>Cubiert Lat Espejo Der Nkr-Rew8980365213 (70001882)</t>
  </si>
  <si>
    <t>Kit Embrague Nkr Reward 95631143 (70001883)</t>
  </si>
  <si>
    <t>Tapa Carcaza Mono Caja 16918 KW 4303926 (70001884)</t>
  </si>
  <si>
    <t>Carter Motor Ixs Eagle 3687414 (70001885)</t>
  </si>
  <si>
    <t>Contacto Tapa Pito Nkr III 8970766881 (70001886)</t>
  </si>
  <si>
    <t>Balancin Muelle Del Kw T800-600 (70001887)</t>
  </si>
  <si>
    <t>Zapa Muelle Del Par Tras KW T800 MK19625 (70001888)</t>
  </si>
  <si>
    <t>Pisa Alfombra Lat Izq Nkr III 8974094790 (70001889)</t>
  </si>
  <si>
    <t>Puerta Delantera Izq Nkr III 8975814432 (70001890)</t>
  </si>
  <si>
    <t>Brazo Espejo Ext Izq Nkr III 8980395761 (70001891)</t>
  </si>
  <si>
    <t>Emblema "Tecnologia Isuzu" Nkr 95629429 (70001892)</t>
  </si>
  <si>
    <t>Horquilla Embrague Volswagen 141857 (70001893)</t>
  </si>
  <si>
    <t>Piñon Engranaje Motor Isx 3681674 (70001894)</t>
  </si>
  <si>
    <t>Manguera Sup Radiador Nkr-Rew 8973838121 (70001895)</t>
  </si>
  <si>
    <t>Farola Ppal Del Der FTR FRR RW8980984832 (70001896)</t>
  </si>
  <si>
    <t>Asiento Tornillo Eje Balancin Isx3679427 (70001897)</t>
  </si>
  <si>
    <t>Persiana Radiador Nk Reward 8980254653 (70001898)</t>
  </si>
  <si>
    <t>Filtro Combust Principal Columbia FF5206 (70001899)</t>
  </si>
  <si>
    <t>Empaq Carcaza Engranaje Motor Isx4985562 (70001900)</t>
  </si>
  <si>
    <t>Ventilador Radiador Eagle Isx 3625639C1 (70001901)</t>
  </si>
  <si>
    <t>Filtro Aire Motor FTR 3571552C1 (70001902)</t>
  </si>
  <si>
    <t>Mangu Freno Del Cincovias Nkr 8971710310 (70001903)</t>
  </si>
  <si>
    <t>Oring Tapa Del Eje Levas Iny Isx 4299125 (70001904)</t>
  </si>
  <si>
    <t>Kit Lainas Transmision Del Eagle 2429 (70001905)</t>
  </si>
  <si>
    <t>Secador De Aire Eagle 9400 BX065225 (70001906)</t>
  </si>
  <si>
    <t>Farola Derecha Foton 1030 7705946718813 (70001907)</t>
  </si>
  <si>
    <t>Porta Diodo Alternador 34SI DR-5186 (70001908)</t>
  </si>
  <si>
    <t>Bandas Freno Del Hino Nueva 449436210 (70001909)</t>
  </si>
  <si>
    <t>Guaya Freno Mano Nhr-Nkr GMCFP1961 (70001910)</t>
  </si>
  <si>
    <t>Polea Bomba Hidraulica Nkr 8941288660 (70001911)</t>
  </si>
  <si>
    <t>Valvula Control Flujo Aire N200 9017509 (70001912)</t>
  </si>
  <si>
    <t>Tornillo Tubo Turbo Nkr 8943328311 (70001913)</t>
  </si>
  <si>
    <t>Retenedor Cigueñal Delantero Isx 4955383 (70001914)</t>
  </si>
  <si>
    <t>Empaque Tapa Reparticion Inf Isx 4962722 (70001915)</t>
  </si>
  <si>
    <t>Piñon Eje Levas Iny Motor Isx 4101852 (70001916)</t>
  </si>
  <si>
    <t>Buje Balancin Del Tras T Delta9004385181 (70001917)</t>
  </si>
  <si>
    <t>Kit Sinfín Caja Direcc Eagle M2502494C9 (70001918)</t>
  </si>
  <si>
    <t>Sello Anillo Tapa Llen Aceit Eagl4962610 (70001919)</t>
  </si>
  <si>
    <t>Guaya Control Selec Cambio Nkr8973504360 (70001920)</t>
  </si>
  <si>
    <t>Motor Arranque 24538276 N-200 (70001921)</t>
  </si>
  <si>
    <t>Tuerca Eje Trasero Nhr 8941782780 (70001922)</t>
  </si>
  <si>
    <t>Tuerca Ajuste Chumacera Dif Isx2214J1128 (70001923)</t>
  </si>
  <si>
    <t>Pin Canastilla Divisor Dif Isx 2297S5349 (70001924)</t>
  </si>
  <si>
    <t>Ventilador Calefaccion Eagle 1699947C1 (70001925)</t>
  </si>
  <si>
    <t>Carcaza Ventilador Calef Eagle1699948C1 (70001926)</t>
  </si>
  <si>
    <t>Porta Corona Dif Rokwel Eagle A2323E2111 (70001927)</t>
  </si>
  <si>
    <t>Rodillo Speed Dif Rokwel Eag 9400 65237 (70001928)</t>
  </si>
  <si>
    <t>Cuna Speed Dif Rokwel Eag 9400 65500 (70001929)</t>
  </si>
  <si>
    <t>Rodillo Speed Dif Rokwel Eag 9400 715343 (70001930)</t>
  </si>
  <si>
    <t>Cuna Speed Dif Rokwel Eag 9400 715311 (70001931)</t>
  </si>
  <si>
    <t>Bloque Motor Nkr Nuevo 4JB1 (70001932)</t>
  </si>
  <si>
    <t>Muelle Trasero Eagle H47057000 (70001934)</t>
  </si>
  <si>
    <t>Bomba Aux Embr Nkr Nhr Md2000 8980412921 (70001935)</t>
  </si>
  <si>
    <t>Bocin Rueda Tras Isx 2596612C91 Perno5/8 (70001936)</t>
  </si>
  <si>
    <t>Kit Amortiguador Tras Nkr-RW 52036352 (70001937)</t>
  </si>
  <si>
    <t>Inyector Motor Isx 4088327 PX (70001938)</t>
  </si>
  <si>
    <t>Caucho Bobina Exhosto KW K221-3684 (70001939)</t>
  </si>
  <si>
    <t>Soporte Exhosto Cabina KW K054-2150 (70001940)</t>
  </si>
  <si>
    <t>Cremallera Elevavidrio Izq N200 5496078 (70001941)</t>
  </si>
  <si>
    <t>Base Enfriador Aceite Nkr 8971664971 (70001942)</t>
  </si>
  <si>
    <t>Lampara Techo Cab Volkswag 2T09471053 (70001943)</t>
  </si>
  <si>
    <t>Culata Motor Isx 5658283 (70001944)</t>
  </si>
  <si>
    <t>Espejo Int Techo Np Nk Nhr 8975829262 (70001945)</t>
  </si>
  <si>
    <t>Interruptor Bujia Precal Nkr 8944575110 (70001946)</t>
  </si>
  <si>
    <t>Corbatin Barra Trasv Tens Isx HD44694000 (70001947)</t>
  </si>
  <si>
    <t>Harnes Modulo Ecm Isx 3526642C91 (70001948)</t>
  </si>
  <si>
    <t>Kit Chupa Cilind Fren Tras Nkr5878316210 (70001949)</t>
  </si>
  <si>
    <t>Cilindro Ppal Embrague Hino 3142037141 (70001950)</t>
  </si>
  <si>
    <t>Palanca Freno Parqueo Npr 8978904390 (70001951)</t>
  </si>
  <si>
    <t>Cremallera Elevavid Der Volksw 8375022RO (70001952)</t>
  </si>
  <si>
    <t>Amortiguador Delantero Hino 4851180119 (70001953)</t>
  </si>
  <si>
    <t>Empaque Motor Nhr Sin Turbo 5878128929 (70001954)</t>
  </si>
  <si>
    <t>Oring Bomba Inye Nh Nkr S/Tur 5156191560 (70001955)</t>
  </si>
  <si>
    <t>Amortiguador Dir Nkr RW 8980467412 (70001956)</t>
  </si>
  <si>
    <t>Piñon Loco Rev Caja N200 24512549 (70001957)</t>
  </si>
  <si>
    <t>Balinera Eje Entrada Caja N200 24516986 (70001958)</t>
  </si>
  <si>
    <t>Pin Sincronizador Caja N200 24517015 (70001959)</t>
  </si>
  <si>
    <t>Piñon De 3ra Caja N200 24517016 (70001960)</t>
  </si>
  <si>
    <t>Sincronizador Piñon De 3ra N200 24517020 (70001961)</t>
  </si>
  <si>
    <t>Balinera Eje Primario Tras N200 24517023 (70001962)</t>
  </si>
  <si>
    <t>Balinera Eje Del Caja N200 24517029 (70001963)</t>
  </si>
  <si>
    <t>Piñon 1ra Caja N200 24517031 (70001964)</t>
  </si>
  <si>
    <t>Sincronizador Piñon De 2da N200 24517043 (70001965)</t>
  </si>
  <si>
    <t>Balinera Eje Primario Tras N200 24517051 (70001966)</t>
  </si>
  <si>
    <t>Piñon 2da Caja N200 24531245 (70001967)</t>
  </si>
  <si>
    <t>Cilindro Aux Embrague Hino 31470-E0042 (70001968)</t>
  </si>
  <si>
    <t>Tope Muelle Delantero Npr 8944223804 (70001969)</t>
  </si>
  <si>
    <t>Soporte Puente Motor Del Nkr 8942461277 (70001970)</t>
  </si>
  <si>
    <t>Esparrago Carter Motor Nkr 8941339732 (70001971)</t>
  </si>
  <si>
    <t>Plato Empuje Eje Levas Nkr 8941104801 (70001972)</t>
  </si>
  <si>
    <t>Direccional Pta Der Nkr RW8980397762 (70001973)</t>
  </si>
  <si>
    <t>Switch Luces Parqueo Npr 8972024760 (70001974)</t>
  </si>
  <si>
    <t>Empaques Bomba Agua Nkr RW 8973121560 (70001975)</t>
  </si>
  <si>
    <t>Embolo Motor Arranque Nkr 6682603 (70001976)</t>
  </si>
  <si>
    <t>Cilindro Fre Del Izq C/P Hino 4753036170 (70001977)</t>
  </si>
  <si>
    <t>Cilindro Fre Del Izq S/P Hino 4754036180 (70001978)</t>
  </si>
  <si>
    <t>Balinera Embrague Hino 3123036200 (70001979)</t>
  </si>
  <si>
    <t>Balancin Muelle Trasero Toyota 100331 (70001980)</t>
  </si>
  <si>
    <t>Retenedor Speed Transmision N200 9026270 (70001981)</t>
  </si>
  <si>
    <t>Buje Balancin Resorte Tra Nhr 8941133232 (70001982)</t>
  </si>
  <si>
    <t>Tapa Tanque Combustible Hino 6905837080 (70001983)</t>
  </si>
  <si>
    <t>Kit CauchoRodamiento Cardan Nkr 232615KX (70001984)</t>
  </si>
  <si>
    <t>Pin Eje Caja 14915 Sb-N14 21652 (70001985)</t>
  </si>
  <si>
    <t>Tuerca Grapa Muelle Del Eagle HD49685000 (70001986)</t>
  </si>
  <si>
    <t>Cruceta Cardan Nkr RW 95615969 (70001987)</t>
  </si>
  <si>
    <t>Soporte Caucho Radiador KW M500-70NR (70001988)</t>
  </si>
  <si>
    <t>Palanca Emergencia N-200 24530914 (70001989)</t>
  </si>
  <si>
    <t>Pasador Roscado Muelle Del KW 6250 (70001990)</t>
  </si>
  <si>
    <t>Asiento Eje Redondo Trailer 454877 (70001991)</t>
  </si>
  <si>
    <t>Guardapolvo Inter Capo Izq Isx 3502327C3 (70001992)</t>
  </si>
  <si>
    <t>Guardapolvo Inter Capo Der Isx 3565256C3 (70001993)</t>
  </si>
  <si>
    <t>Extension Capo Lado Izq Isx M3518979C3 (70001994)</t>
  </si>
  <si>
    <t>Cartera Puerta Vehiculo Fabricada (70001995)</t>
  </si>
  <si>
    <t>Buje Barra Estab Dir Volkswag 2RF411041 (70001996)</t>
  </si>
  <si>
    <t>Amortiguador Delantero Volkswagen 12040 (70001997)</t>
  </si>
  <si>
    <t>Amortiguador Trasero Volkswagen 66812 (70001998)</t>
  </si>
  <si>
    <t>Terminal Dir Der Volkswagen T06415712 (70001999)</t>
  </si>
  <si>
    <t>Araña Rueda 6 Esparragos (70002000)</t>
  </si>
  <si>
    <t>Tuberia Refrigerante Motor N200 24527514 (70002001)</t>
  </si>
  <si>
    <t>Cigüeñal Motor Isx 4393462 (70002002)</t>
  </si>
  <si>
    <t>Hoja Muelle Trasero Volkswagen 98007/1 (70002003)</t>
  </si>
  <si>
    <t>Hoja Muelle Trasero Volkswagen 98007/2 (70002004)</t>
  </si>
  <si>
    <t>Hoja Muelle Trasero Volkswagen 98007/3 (70002005)</t>
  </si>
  <si>
    <t>Rociador De Aceite Motor Isx 3687058 (70002006)</t>
  </si>
  <si>
    <t>Caucho Camisa Motor Isx 3678738 Rosado (70002007)</t>
  </si>
  <si>
    <t>Sensor Temp Motor Nkr RW 8980237170 (70002008)</t>
  </si>
  <si>
    <t>Anillo Sincro 3ra/4ta/5ta N200 24517013 (70002009)</t>
  </si>
  <si>
    <t>Anillo Sincro 1ra/2da N200 24517047 (70002010)</t>
  </si>
  <si>
    <t>Hoja Resorte Delantera Npr 22916/1 (70002011)</t>
  </si>
  <si>
    <t>Bomba Aceite Caja 16918 Sb-N14 K-3367 (70002012)</t>
  </si>
  <si>
    <t>Piñon De Rev Caja 11615-12515 SB-16949 (70002013)</t>
  </si>
  <si>
    <t>Torre Mono 14915 Sb-N14 A6848 (70002014)</t>
  </si>
  <si>
    <t>Piñon Mono 14915 Sb-N14 21319 (70002015)</t>
  </si>
  <si>
    <t>Chorote Mono 14915 Sb-N14 A5156 (70002016)</t>
  </si>
  <si>
    <t>Empaque Tubo Llenado Aceite Motor Isx (70002017)</t>
  </si>
  <si>
    <t>Gorro Valvula Culata Motor Isx 4026791 (70002018)</t>
  </si>
  <si>
    <t>Pin Eje T/Fijo Caja 14915 Eag 4302082 (70002019)</t>
  </si>
  <si>
    <t>Camisa Motor Nkr 8971766870-50 (70002020)</t>
  </si>
  <si>
    <t>Balancin Trailer Utility 9116 (70002021)</t>
  </si>
  <si>
    <t>Buje Balancin Utility 1 1/8 Ref 9955 (70002022)</t>
  </si>
  <si>
    <t>Grapa Muelle 7/8X5X15 Trailer Recta 1826 (70002023)</t>
  </si>
  <si>
    <t>Abrazdera Tanque Acpm Isx 3566134C1 (70002024)</t>
  </si>
  <si>
    <t>Tubo Suministro Aceite Turbo Isx 3681718 (70002025)</t>
  </si>
  <si>
    <t>Hoja Resorte Trasera Isx 55119/2V (70002026)</t>
  </si>
  <si>
    <t>Balinera Cardan T S374041061 (70002027)</t>
  </si>
  <si>
    <t>Kit Corona/Speed Trasm N200 24528000 (70002028)</t>
  </si>
  <si>
    <t>Tubo Rociador Aceite M Nkr 8944697093 (70002029)</t>
  </si>
  <si>
    <t>Juego Anillos Piston Nkr 5873110820 (70002030)</t>
  </si>
  <si>
    <t>Biela Motor Isx 405942900RX (70002031)</t>
  </si>
  <si>
    <t>Cacho Cardan Toyota 3723537020 (70002032)</t>
  </si>
  <si>
    <t>Caucho Soporte Tanque Acpm Eag 3547709C2 (70002033)</t>
  </si>
  <si>
    <t>Kit Lock Porta Contenedor 628 (70002034)</t>
  </si>
  <si>
    <t>Panel Lateral Inf Cabina Eag 598536P4 (70002035)</t>
  </si>
  <si>
    <t>Lampara Luz Puerta Isx 1658560C91 (70002036)</t>
  </si>
  <si>
    <t>Empaque Inf Tipo Cortina Nkr PU-5735 (70002037)</t>
  </si>
  <si>
    <t>Bisagra Central Tipo Cortina Nkr PU-15 (70002038)</t>
  </si>
  <si>
    <t>Rache Freno Del Izq Eagle Isx R802688 (70002039)</t>
  </si>
  <si>
    <t>Rache Freno Del Der Eagle Isx R802689 (70002040)</t>
  </si>
  <si>
    <t>Leva Freno Tras Izq Eagle Isx 2210W7537 (70002041)</t>
  </si>
  <si>
    <t>Piñon T/Fijo Caja 16918 Sb N14 20840 (70002042)</t>
  </si>
  <si>
    <t>Panel Frontal Cabina Hino 5570037120 (70002043)</t>
  </si>
  <si>
    <t>Racor Acople Rapido Isx 3825833C1 (70002044)</t>
  </si>
  <si>
    <t>Valvula Escape Culata Motor Isx 4101454 (70002045)</t>
  </si>
  <si>
    <t>Valvula Admision Culata Isx 4965868 (70002046)</t>
  </si>
  <si>
    <t>Conector Arnes Modulo Cab Isx 598332C1 (70002047)</t>
  </si>
  <si>
    <t>Abrazadera Cremallera 32 (70002048)</t>
  </si>
  <si>
    <t>Correa Bomba Hidraulica Hyundai (70002049)</t>
  </si>
  <si>
    <t>Barra Direccion Larga Eagle AM-A3102P3 (70002050)</t>
  </si>
  <si>
    <t>Abrazade Exosto Eagle Isx 503310C1 (70002051)</t>
  </si>
  <si>
    <t>Tubo Compresor Motor Eagle Isx 3525307C6 (70002052)</t>
  </si>
  <si>
    <t>Tubo Aire Turbo Eagle Isx 3589401C1 (70002053)</t>
  </si>
  <si>
    <t>Codo Turbo Eagle Isx 3682674 (70002054)</t>
  </si>
  <si>
    <t>Leva Freno Del Izq Eagle Isx 2210l7500 (70002055)</t>
  </si>
  <si>
    <t>Leva Freno Del Der Eagle Isx 5907717C1 (70002056)</t>
  </si>
  <si>
    <t>Piñon 4ta Ftr 8981685000 (70002057)</t>
  </si>
  <si>
    <t>Piñon 3ra Ftr 8981684990 (70002058)</t>
  </si>
  <si>
    <t>Manga 1 Y 2 Ftr 8982584790 (70002059)</t>
  </si>
  <si>
    <t>Manija Ext Pta Der Nkr Rewar 8980371012 (70002060)</t>
  </si>
  <si>
    <t>Carpa Techo Fabricada Trailer Aluminio (70002061)</t>
  </si>
  <si>
    <t>Puerta Shell Izq Foton 1039 7701023079 (70002062)</t>
  </si>
  <si>
    <t>Bomper Frontal Foton 1039 7701023554 (70002063)</t>
  </si>
  <si>
    <t>Estribo Izq Foton 1039 7701023164030 (70002064)</t>
  </si>
  <si>
    <t>Bisagra Puerta Izq Foton 1039 7701023695 (70002065)</t>
  </si>
  <si>
    <t>Vidrio Tras Cabina Nkr (70002066)</t>
  </si>
  <si>
    <t>Tapa Combustible Foton 1039 7705946322 (70002067)</t>
  </si>
  <si>
    <t>Parabrisas Laminado Foton 1039 (70002068)</t>
  </si>
  <si>
    <t>Crem Pta Der Eagle Isx Md2007 3515115C91 (70002069)</t>
  </si>
  <si>
    <t>Parabrisas Laminado Foton 1186 (70002070)</t>
  </si>
  <si>
    <t>Persiana Frontal MV5 Foton 7705946036405 (70002071)</t>
  </si>
  <si>
    <t>Silla Copiloto Foton 1039 7705946305037 (70002072)</t>
  </si>
  <si>
    <t>Abrazadera Depos Aceite Hidraul Eagle-KW (70002073)</t>
  </si>
  <si>
    <t>Soporte Bisagra Capo Izq KW T800 A851242 (70002074)</t>
  </si>
  <si>
    <t>Soporte Bisagra Der Capot KWh A851242R (70002075)</t>
  </si>
  <si>
    <t>Empaque Luneta Vidrio Tras Nkr (70002076)</t>
  </si>
  <si>
    <t>Canal Vidrio Puerta Der Nhr 8981884180 (70002077)</t>
  </si>
  <si>
    <t>Rodillo Pata Trailer T - 127 (70002078)</t>
  </si>
  <si>
    <t>Rodillo Puerta Trailer Hk 1212B (70002079)</t>
  </si>
  <si>
    <t>Brazo Espejo Izq Hino Dutro 700016827 (70002080)</t>
  </si>
  <si>
    <t>Cilindro Puerta Izq Nkr Rewar 8982013540 (70002081)</t>
  </si>
  <si>
    <t>Cilindro Puerta Der Nkr Rewar 8902013530 (70002082)</t>
  </si>
  <si>
    <t>Buje Capo Prostar 3839701C1 (70002083)</t>
  </si>
  <si>
    <t>Bomper Eagle Petrolera 3502873C1 (70002084)</t>
  </si>
  <si>
    <t>Mold Manij Int Pta Del Izq N200 24520558 (70002085)</t>
  </si>
  <si>
    <t>Manija Izq Pta Corrediz Foton 7010234866 (70002086)</t>
  </si>
  <si>
    <t>Conjunto Casco Esqui Der Jack 5302200LE0 (70002087)</t>
  </si>
  <si>
    <t>Estribo Der Jack 8405200LD010 (70002088)</t>
  </si>
  <si>
    <t>Lampara Direc Der Jack 4111020LE1 (70002089)</t>
  </si>
  <si>
    <t>Tapa Tanque Comb Hino Dutro500 77310E024 (70002090)</t>
  </si>
  <si>
    <t>Clip Manija Ext Puerta Izq Nkr8978526521 (70002091)</t>
  </si>
  <si>
    <t>Guaya Select Cambio Jac 1042 1703200LD3 (70002092)</t>
  </si>
  <si>
    <t>Soporte Base Bombona Prostar 2593809C1 (70002093)</t>
  </si>
  <si>
    <t>Silla Conductor Npr/Nkr 8973827262 (70002094)</t>
  </si>
  <si>
    <t>Silenciador Mofle Nkr 95621565 (70002095)</t>
  </si>
  <si>
    <t>Espejo Ext Der N200 D06243007R (70002096)</t>
  </si>
  <si>
    <t>Puerta Corrediza Izq N200 (70002097)</t>
  </si>
  <si>
    <t>Puerta Corrediza Der N200 (70002098)</t>
  </si>
  <si>
    <t>Puerta Del Izq N200 (70002099)</t>
  </si>
  <si>
    <t>Manija Apertura Capo 9035850 N 200 (70002100)</t>
  </si>
  <si>
    <t>Puntera Chasis Izq KW B111026 (70002101)</t>
  </si>
  <si>
    <t>Puntera Chasis Der KW B111026 (70002102)</t>
  </si>
  <si>
    <t>Cable Aire Tanque Prostar 455415C1 (70002103)</t>
  </si>
  <si>
    <t>Tanque Aire Prim Y Sec Prostar 3832973C1 (70002104)</t>
  </si>
  <si>
    <t>Bomper Kenworth T800 (70002105)</t>
  </si>
  <si>
    <t>Cinta Reflectiva Roja Metros (70002106)</t>
  </si>
  <si>
    <t>Valvula Suspens Cabina Prostar LCV3409 (70002107)</t>
  </si>
  <si>
    <t>Horquilla Rango Media Caja 16915 A-5159 (70002108)</t>
  </si>
  <si>
    <t>Pin Eje Corredizo Caja 16915 62054 (70002109)</t>
  </si>
  <si>
    <t>Engranaje Primera Caja 16915 4305905 (70002110)</t>
  </si>
  <si>
    <t>Pin Guaya Selec Cambi Nkr Rew 1097012091 (70002111)</t>
  </si>
  <si>
    <t>Carcasa Media Caja 16918 Eagle 4303586 (70002112)</t>
  </si>
  <si>
    <t>Cubo Desliz Sincron Nkr Rewar 8972412983 (70002113)</t>
  </si>
  <si>
    <t>Kit Rodilleria Caja Fuller 16915 K3233 (70002114)</t>
  </si>
  <si>
    <t>Rodillo Propul Caja Nkr Rewar 8972530981 (70002115)</t>
  </si>
  <si>
    <t>Horquilla 3 Y 4 FTR FRR 8983098610 (70002116)</t>
  </si>
  <si>
    <t>Guardap Pal Cambio Foton BJ50 1023489065 (70002117)</t>
  </si>
  <si>
    <t>Guaya Control Cambio Jac1120 1703040LE70 (70002118)</t>
  </si>
  <si>
    <t>Guaya Neutro(Ojo/Ojo)Fot 1039 5946205177 (70002119)</t>
  </si>
  <si>
    <t>Guaya Selec Cambio Foton 1039 1023145183 (70002120)</t>
  </si>
  <si>
    <t>Mangu Aire Rango Bajo Fuller 16918 55509 (70002121)</t>
  </si>
  <si>
    <t>Mecan Palan Cambios Foton1129 1023110549 (70002122)</t>
  </si>
  <si>
    <t>Guaya Control Cambios Jac1042 1703300LD3 (70002123)</t>
  </si>
  <si>
    <t>Piñon Copa 34D 16975 Eagle 4303357 (70002124)</t>
  </si>
  <si>
    <t>Soporte Guardap Palan Camb Nkr8970662881 (70002125)</t>
  </si>
  <si>
    <t>Guaya Controlcambios Hino 500 33820E0Y51 (70002126)</t>
  </si>
  <si>
    <t>Caja Velocidad Nkr Rewar 8973738980 (70002127)</t>
  </si>
  <si>
    <t>Arandela Lisa Mono 14715 Eagle 21358 (70002128)</t>
  </si>
  <si>
    <t>Carreta Mono 14715 Eagle 21360 (70002129)</t>
  </si>
  <si>
    <t>Arandela Dentada Mono 14715 Eagle 21350 (70002130)</t>
  </si>
  <si>
    <t>Rodillo Torre 14715(21343) Eagle 4302074 (70002131)</t>
  </si>
  <si>
    <t>Arandela Torre Mono 14715 Eagle 21342 (70002132)</t>
  </si>
  <si>
    <t>Arandela Piñon Mono Eagle 21354 (70002133)</t>
  </si>
  <si>
    <t>Guaya Selectora Foton 1129 1023077903 (70002134)</t>
  </si>
  <si>
    <t>Sincronizador 2y 3 Nkr III 8971909920 (70002135)</t>
  </si>
  <si>
    <t>Piñon 3 Eje Corredizo 38D Nkr 8972080210 (70002136)</t>
  </si>
  <si>
    <t>Balinera Eje Toma Nkr III SB0910 (70002137)</t>
  </si>
  <si>
    <t>Retenedor Extension Caja Nkr 8981894430 (70002138)</t>
  </si>
  <si>
    <t>Eje Corredizo Caja N200 24531244 (70002139)</t>
  </si>
  <si>
    <t>Pin Pasador Horquilla N200 24517068 (70002140)</t>
  </si>
  <si>
    <t>Retenedor Extension Caja N200 24516993 (70002141)</t>
  </si>
  <si>
    <t>Reten Tapa Tras Caja FotonMV5 1023485081 (70002142)</t>
  </si>
  <si>
    <t>Roda Fron Propul Cja FotonMV5 1023482561 (70002143)</t>
  </si>
  <si>
    <t>Rodami Frontal Caja Foton MV5 1023048259 (70002144)</t>
  </si>
  <si>
    <t>Anillo De Ara Sincr 5 Fot MV5 1023482127 (70002145)</t>
  </si>
  <si>
    <t>Rodam Front Tr Fijo Foton MV5 1023484701 (70002146)</t>
  </si>
  <si>
    <t>Pin Sincronismo Baja FotonMV5 1023484756 (70002147)</t>
  </si>
  <si>
    <t>Sincronismo Baja Foton MV5 5946039918 (70002148)</t>
  </si>
  <si>
    <t>Pin Sincronismo 5ta Foton MV5 1023482202 (70002149)</t>
  </si>
  <si>
    <t>Rodam Tras Tr Fijo Foton MV5 1023484800 (70002150)</t>
  </si>
  <si>
    <t>Piñon De 2da Foton MV5 1023484763 (70002151)</t>
  </si>
  <si>
    <t>Rodamiento Tras Foton MV5 1023484688 (70002152)</t>
  </si>
  <si>
    <t>Reten Del Propulsor Foton MV5 1023482585 (70002153)</t>
  </si>
  <si>
    <t>Arande Sincron Baja Foton MV5 1023484749 (70002154)</t>
  </si>
  <si>
    <t>Carcaza Ppal Caja 16918 Eagle 4304498 (70002155)</t>
  </si>
  <si>
    <t>Compresor Aire AC 4546 (70002156)</t>
  </si>
  <si>
    <t>Suiche Cabi Alta Pres A/C Eagle2614390C1 (70002157)</t>
  </si>
  <si>
    <t>Correa Aire AC Fot BJ1039 7701023521147 (70002158)</t>
  </si>
  <si>
    <t>Sensor Aire AC KW T800 652578 (70002159)</t>
  </si>
  <si>
    <t>Tapiz Cabina (70002160)</t>
  </si>
  <si>
    <t>Guaya Selec Cambios Foton MV5 7705946325 (70002161)</t>
  </si>
  <si>
    <t>Guardapolvo Palanca Cambios Delta (70002162)</t>
  </si>
  <si>
    <t>Piñon Conductor Velocimet Nkr 8972535621 (70002163)</t>
  </si>
  <si>
    <t>Buje Piñon Impulsor Veloc Nkr 8962531250 (70002164)</t>
  </si>
  <si>
    <t>Piñon De 5 Eje Corredizo Npr 8970348560 (70002165)</t>
  </si>
  <si>
    <t>Rodillo Tren Fijo Hi 4300 25590 (70002166)</t>
  </si>
  <si>
    <t>Soporte Caja N200 24518496 (70002167)</t>
  </si>
  <si>
    <t>Rodamiento Tras Tren Fijo FTR 8973779571 (70002168)</t>
  </si>
  <si>
    <t>Eje De Toma Cja Camb Nkr Rewar8973500060 (70002169)</t>
  </si>
  <si>
    <t>Pin Rodillo Tren Fijo Eagle 4304080P (70002170)</t>
  </si>
  <si>
    <t>Horquilla De 5ta Y Revso N200 24563212 (70002171)</t>
  </si>
  <si>
    <t>Actuador A/C Valvula Heater 651261 (70002172)</t>
  </si>
  <si>
    <t>Tubo Aire AC Pres Baja Prostar3670136C91 (70002173)</t>
  </si>
  <si>
    <t>Sensor Presion Aire AC Prostar R134A (70002174)</t>
  </si>
  <si>
    <t>Sensor Presion Aire AC KWh P271051 (70002175)</t>
  </si>
  <si>
    <t>Motor Ventilador Aire AC T800 205780/Hb1 (70002176)</t>
  </si>
  <si>
    <t>Manguera Aire AC KW T800 F501142001 (70002177)</t>
  </si>
  <si>
    <t>Condensador Aire AC KW102345 (70002178)</t>
  </si>
  <si>
    <t>Socket Dos Contactos Bombillo1034 (70002179)</t>
  </si>
  <si>
    <t>Socket Un Contacto Bombillo 1141 (70002180)</t>
  </si>
  <si>
    <t>Socket Bombillo Gotera 17177 (70002181)</t>
  </si>
  <si>
    <t>Valvula Cheque Impacto 1 1/2" (70002182)</t>
  </si>
  <si>
    <t>Balinera Alternador 6305 2RS (70002183)</t>
  </si>
  <si>
    <t>Deposito Aux Radiador KW T800 Crmn534600 (70002184)</t>
  </si>
  <si>
    <t>Reten Eje Rueda Del Volkswage 4002010059 (70002185)</t>
  </si>
  <si>
    <t>Empaque Base Compres Sup FRR 1191150150 (70002186)</t>
  </si>
  <si>
    <t>Empaq Base Compresor Inf FRR 1191150160 (70002187)</t>
  </si>
  <si>
    <t>Suiche Clutch Prostar 2505658C91 (70002188)</t>
  </si>
  <si>
    <t>Mang Sal Dep Agua Radiador N200 24527524 (70002189)</t>
  </si>
  <si>
    <t>Varilla Acelerador Montacarga Ref 2601 (70002190)</t>
  </si>
  <si>
    <t>Separad Speed Dif Tras Meritor 2803H2504 (70002191)</t>
  </si>
  <si>
    <t>Retenedor Eje Trasero Nhr 8942481161 (70002192)</t>
  </si>
  <si>
    <t>TP-5 Valvula De Proteccion Eagle 800024 (70002193)</t>
  </si>
  <si>
    <t>Mangera Bomba De Agua N200 9052482 (70002194)</t>
  </si>
  <si>
    <t>Bateria NS60-650T Willard Foton (70002195)</t>
  </si>
  <si>
    <t>Secador Aire Completo FTR 1481902871 (70002196)</t>
  </si>
  <si>
    <t>Templete Cxu Mack 3972682 (70002197)</t>
  </si>
  <si>
    <t>Radiador Foton -MV3 5946025492 (70002198)</t>
  </si>
  <si>
    <t>Cubier Lat Dep Liq Fren Nkr Rw8974060031 (70002199)</t>
  </si>
  <si>
    <t>Turbo Alimentador FRR 8983520881 (70002200)</t>
  </si>
  <si>
    <t>Radiador Foton MV5 58cm 7701023488 (70002201)</t>
  </si>
  <si>
    <t>Lamp Techo Univer Led Nkr-T Delta1000952 (70002202)</t>
  </si>
  <si>
    <t>Rodillo Reserva Caja Eagle 14287 (70002203)</t>
  </si>
  <si>
    <t>Alternador Hino Dutro 300 2706078210 (70002204)</t>
  </si>
  <si>
    <t>Pin Tren Fijo 14715 Eagle 19198 (70002205)</t>
  </si>
  <si>
    <t>Diferencial Completa Nkr 2da 7x43 (70002206)</t>
  </si>
  <si>
    <t>Bobina De Ignicion Foton 7705946023146 (70002207)</t>
  </si>
  <si>
    <t>Reten Divisor Tras Del SB N14 210737-119 (70002208)</t>
  </si>
  <si>
    <t>Cilindro Freno Trasero Ts 7705946261227 (70002209)</t>
  </si>
  <si>
    <t>Valvula Reguladora Freno N200 5496970 (70002210)</t>
  </si>
  <si>
    <t>Enfriador De Aceite KW T800 K3478 (70002211)</t>
  </si>
  <si>
    <t>Tope Muelle KW T800 C831036 (70002212)</t>
  </si>
  <si>
    <t>Barra Tensora Suspension KW T800 C651009 (70002213)</t>
  </si>
  <si>
    <t>Suiche Direccional Prostar 3587009C92 (70002214)</t>
  </si>
  <si>
    <t>Interruptor Combinado 7701023489386 (70002215)</t>
  </si>
  <si>
    <t>Tornillo Piñon Bomba Combu Eagle 3330022 (70002216)</t>
  </si>
  <si>
    <t>Bateria 27-1000 Willard (70002217)</t>
  </si>
  <si>
    <t>Bateria 31h - 1150 T/P Willard (70002218)</t>
  </si>
  <si>
    <t>Mangu Bypass Salida Motor FRR 8980105732 (70002219)</t>
  </si>
  <si>
    <t>Manguera Salida Radiado Van N200 9053362 (70002220)</t>
  </si>
  <si>
    <t>Lamp Farola Izq 7705946041256 Foton MV5 (70002221)</t>
  </si>
  <si>
    <t>Bateria Montacarga 55D-700 Willard (70002222)</t>
  </si>
  <si>
    <t>Patin Tens Correa Venti KW T800 Cmr89440 (70002223)</t>
  </si>
  <si>
    <t>Esquinero Alumin Furgon Vehiculo Mediano (70002224)</t>
  </si>
  <si>
    <t>Perfil Aerodinam Furgon Vehiculo Mediano (70002225)</t>
  </si>
  <si>
    <t>Sensor Rev 7701023485197 Foton MV5 (70002226)</t>
  </si>
  <si>
    <t>Farola Derecha Foton MV5 5946041248 (70002227)</t>
  </si>
  <si>
    <t>Capo Foton MV5 7705946040 (70002228)</t>
  </si>
  <si>
    <t>Condensador Del A/C Foton MV5 7705946194 (70002229)</t>
  </si>
  <si>
    <t>Resorte Retor Pedal Freno Nhr 8978532121 (70002230)</t>
  </si>
  <si>
    <t>Barra Tens Sistema Neum KW T800 C651001 (70002231)</t>
  </si>
  <si>
    <t>Lamevidrio Puerta Der Hi 9400 3513547C1 (70002232)</t>
  </si>
  <si>
    <t>Codo Silicon Intercool KW T800 D1024494 (70002233)</t>
  </si>
  <si>
    <t>Aline Buj Zapa Susp Neum EagleSAF9000812 (70002234)</t>
  </si>
  <si>
    <t>Interrup Luz Parqueo Nkr Rewar8973869221 (70002235)</t>
  </si>
  <si>
    <t>Parabrisas Laminado Jack (70002236)</t>
  </si>
  <si>
    <t>Balinera Volante 6203 2RS 6203 LLU C (70002237)</t>
  </si>
  <si>
    <t>Hoja Muel Tras Ppal Inter Prostar50389/1 (70002238)</t>
  </si>
  <si>
    <t>Tuerca Caja Hino 9017936007 (70002239)</t>
  </si>
  <si>
    <t>Base Piñon Vel Hino Dutro Pack3340436020 (70002240)</t>
  </si>
  <si>
    <t>Resorte Tapa Caja Veloc Verde 15918-1591 (70002241)</t>
  </si>
  <si>
    <t>Kit Respiradero Difer Eagle 2604307C91 (70002242)</t>
  </si>
  <si>
    <t>Resorte Picaporte Bloqueo Puerta Grande (70002243)</t>
  </si>
  <si>
    <t>Correa Aire Acondicionado Foton 4PK875 (70002244)</t>
  </si>
  <si>
    <t>Enfriad Aceite Lado Cja KW T800 Crm18025 (70002245)</t>
  </si>
  <si>
    <t>Resorte Banda F900 (70002246)</t>
  </si>
  <si>
    <t>Resorte Banda Corto Sb/Eagle (70002247)</t>
  </si>
  <si>
    <t>Anillo De Sello Mack 21780376 (70002248)</t>
  </si>
  <si>
    <t>Resorte Banda Freno Delantero FA-1012 SB (70002249)</t>
  </si>
  <si>
    <t>Balinera Volante Hi 6206 ZZ (70002250)</t>
  </si>
  <si>
    <t>Resorte Banda Trailer Largo CR-1152/10 (70002251)</t>
  </si>
  <si>
    <t>Empaque Carter Mack 21293367 (70002252)</t>
  </si>
  <si>
    <t>Retenedor Cigueñal Del Mack 21347087 (70002253)</t>
  </si>
  <si>
    <t>Resorte Banda Tras Corto Kenw ETN 081972 (70002254)</t>
  </si>
  <si>
    <t>Valv Prot Fre TP5 Inter Prostar BX802926 (70002255)</t>
  </si>
  <si>
    <t>Cabina Completa Remanufactur Eagle 9400 (70002256)</t>
  </si>
  <si>
    <t>Resorte Banda Tras Eagle Inter 1693182C1 (70002257)</t>
  </si>
  <si>
    <t>Valvula Relay Eagle 9400 294859 (70002258)</t>
  </si>
  <si>
    <t>Retenedor Dif Hino Dutro Pack 9030114802 (70002259)</t>
  </si>
  <si>
    <t>Soporte Fan Clutch Prostar 2591652C91 (70002260)</t>
  </si>
  <si>
    <t>Resorte Banda Trasero Eagle ETN 081827 (70002261)</t>
  </si>
  <si>
    <t>Grapa Corred Vidrio Nkr Reward8981341940 (70002262)</t>
  </si>
  <si>
    <t>Manguera Freno Delantero N200 23978257 (70002263)</t>
  </si>
  <si>
    <t>Bomba Principal Freno N200 9054148 (70002264)</t>
  </si>
  <si>
    <t>Buje Balan Muelle Tras Volksw8150 511181 (70002265)</t>
  </si>
  <si>
    <t>Filtro Secad AD-9 BX Freight Colum(Compl (70002266)</t>
  </si>
  <si>
    <t>Tornillo Damper Isx Eagle 9400 3680750 (70002267)</t>
  </si>
  <si>
    <t>Lampar Farola Der7705946041249 Foton MV5 (70002268)</t>
  </si>
  <si>
    <t>Manguera Freno Tras Nkr Npr 8970890610 (70002269)</t>
  </si>
  <si>
    <t>Reten Rda Tras Ext Hino Dutro 903103803 (70002270)</t>
  </si>
  <si>
    <t>Guaya Cluch Foton MV3 MV5, 7705946025072 (70002271)</t>
  </si>
  <si>
    <t>Balinera Volante Y Bba De Agua 6306LLU C (70002272)</t>
  </si>
  <si>
    <t>Parabrisas Delantero Foton MV5 (70002273)</t>
  </si>
  <si>
    <t>Vidrio Trasero Cabina Kenworth T800 (70002274)</t>
  </si>
  <si>
    <t>Racor Recto B68R 3/8 Sinflex X 3/8 NPT (70002275)</t>
  </si>
  <si>
    <t>Tubo Mofle 5" Eagle 9400 (70002276)</t>
  </si>
  <si>
    <t>Guay Del Fren Man FotonMV5 7705946043083 (70002277)</t>
  </si>
  <si>
    <t>Correa Alternador Foton 5946023085 (70002278)</t>
  </si>
  <si>
    <t>Lampara Direc Lateral Izq FRR 8874101813 (70002279)</t>
  </si>
  <si>
    <t>Sensor Rev 815/04 Volksw9.150 1552088HUA (70002280)</t>
  </si>
  <si>
    <t>Balinera Volante Generico 6205 ZZ (70002281)</t>
  </si>
  <si>
    <t>Termostato Enfr Aceite Isx(215F)4952631 (70002282)</t>
  </si>
  <si>
    <t>Retenedor Rueda Tras Int FRR 8971229370 (70002283)</t>
  </si>
  <si>
    <t>Terminal Direcc Lado Izq N200 24512555 (70002284)</t>
  </si>
  <si>
    <t>Palanca Ctrol Cambios Nkr-Npr 8972045080 (70002285)</t>
  </si>
  <si>
    <t>Bomper Frontal Foton MV3 7705946036375 (70002286)</t>
  </si>
  <si>
    <t>Direccional Del Izq R Master 5511609LUE (70002287)</t>
  </si>
  <si>
    <t>Emp Ducto Esca A Turbo Nkr Rew8980151163 (70002288)</t>
  </si>
  <si>
    <t>Mecanis Seg Pta Tras FotonMV3 5946024433 (70002289)</t>
  </si>
  <si>
    <t>Sopor Bomp Der Front FotonMV3 5946036429 (70002290)</t>
  </si>
  <si>
    <t>Caucho Soporte Mofle Tipo B Ren Master (70002291)</t>
  </si>
  <si>
    <t>Tornillo Soporte Bobina De Campo Eagle (70002292)</t>
  </si>
  <si>
    <t>Retenedor Inter Rueda Tras FRR1096255690 (70002293)</t>
  </si>
  <si>
    <t>Bomba De Gasolina Van N200 19237645 (70002294)</t>
  </si>
  <si>
    <t>Tapa Radiador TR 33 Titan FRR (70002295)</t>
  </si>
  <si>
    <t>Perilla Palanca Cambios Eagle FULA6918 (70002296)</t>
  </si>
  <si>
    <t>Suiche Elevav Puerta Der Eagle 3536495C1 (70002297)</t>
  </si>
  <si>
    <t>Regulador Alternador Sb Hi 1116433 (70002298)</t>
  </si>
  <si>
    <t>Filtro Aceite BD50000 Kenworth T800 (70002299)</t>
  </si>
  <si>
    <t>Chupas Freno Npr Trasero 5878320510 (70002300)</t>
  </si>
  <si>
    <t>Bomba De Embrague Nkr Rw 8981176430 (70002301)</t>
  </si>
  <si>
    <t>Pasador Pedal Embrague Nkr Rw 8981476570 (70002302)</t>
  </si>
  <si>
    <t>Pedal Embrague Nkr Rw 8983744340 (70002303)</t>
  </si>
  <si>
    <t>Polea Balanc Cigueñal Nkr Rw 8981549431 (70002304)</t>
  </si>
  <si>
    <t>Bomper Frontal Foton MV3 5946024013 (70002305)</t>
  </si>
  <si>
    <t>Esquin RH Nave Foton MV3-MV5 5946040488 (70002306)</t>
  </si>
  <si>
    <t>Bomper Trasero Foton MV3 5946024068 (70002307)</t>
  </si>
  <si>
    <t>Brazo Limpiabrisas Izq Kenwor R23102912V (70002308)</t>
  </si>
  <si>
    <t>Brazo Limpiabrisas Der Kenwor R23102913V (70002309)</t>
  </si>
  <si>
    <t>Vidrio Trasero Foton MV5 Nl 5946175395 (70002310)</t>
  </si>
  <si>
    <t>Puerta Trasera Foton MV3 5946024372 (70002311)</t>
  </si>
  <si>
    <t>Manguera Inf Radiador Eagle 3840364C1 (70002312)</t>
  </si>
  <si>
    <t>Trapecio Brazo Limpiab Prostar3554255C96 (70002313)</t>
  </si>
  <si>
    <t>Pin Select Cambios Transm FRR 8970115962 (70002314)</t>
  </si>
  <si>
    <t>Rodillo Propulsor Npr 6309000 (70002315)</t>
  </si>
  <si>
    <t>Racor Reduccion De 3/4 X 1/2 (70002316)</t>
  </si>
  <si>
    <t>Kit Cilind Pta Ignici C Llave 3546619C91 (70002317)</t>
  </si>
  <si>
    <t>Bocin Rueda Del Renaul Master 8200807882 (70002318)</t>
  </si>
  <si>
    <t>Kit Lainas Divisor Difer Kw T800 78920 (70002319)</t>
  </si>
  <si>
    <t>Planetario Divis Rockwel 46160 2234T1190 (70002320)</t>
  </si>
  <si>
    <t>Eje Lat Recto Dif Corto Eagle 3202Y9125 (70002321)</t>
  </si>
  <si>
    <t>Booster Freno 9054154 Van N200 (70002322)</t>
  </si>
  <si>
    <t>Buje Termi Barra Estabi Van N200 5497133 (70002323)</t>
  </si>
  <si>
    <t>Stop Izq Foton 7705946041 (70002324)</t>
  </si>
  <si>
    <t>Reflectivo Trasero Izq Foton 5946041287 (70002325)</t>
  </si>
  <si>
    <t>Panel Frontal Derecho Nhr 8978966530 (70002326)</t>
  </si>
  <si>
    <t>Vidrio Puerta Lado Derecho N200 (70002327)</t>
  </si>
  <si>
    <t>Canastilla Piñon De Sexta Npr 8971475720 (70002328)</t>
  </si>
  <si>
    <t>Tanque Lava Parabrisas Eagle 3596180C95 (70002329)</t>
  </si>
  <si>
    <t>Manija Externa Del Izq Foton 1023486590 (70002330)</t>
  </si>
  <si>
    <t>Balinera Seguro Puerta 6202 RS LLU C (70002331)</t>
  </si>
  <si>
    <t>Rodami Axial Trans Nkr Reward 8972531231 (70002332)</t>
  </si>
  <si>
    <t>Tuer Despla Y T Fijo Nkr Rewar8973604100 (70002333)</t>
  </si>
  <si>
    <t>Automatico Arranqu 39MT Prostar 10511408 (70002334)</t>
  </si>
  <si>
    <t>Amortiguador Delantero FTR 8980633680 (70002335)</t>
  </si>
  <si>
    <t>Recibidor Templete Capot 671123801 (70002336)</t>
  </si>
  <si>
    <t>Sensor Acelerador Nkr Reward 8981312630 (70002337)</t>
  </si>
  <si>
    <t>Empaque Freno Ahogo Nkr Reward8943283540 (70002338)</t>
  </si>
  <si>
    <t>Cone Sens Tem Aceit Cja Prostar3803848C1 (70002339)</t>
  </si>
  <si>
    <t>Cigueñal Motor Nkr 8973318530 (70002340)</t>
  </si>
  <si>
    <t>Conec Brazo Cja Dir Nkr Reward8980220721 (70002341)</t>
  </si>
  <si>
    <t>Rache Estria Menuda Trailer K-44041 (70002342)</t>
  </si>
  <si>
    <t>Kit Swit Baja Pres A/C Cab Isx2611208C91 (70002343)</t>
  </si>
  <si>
    <t>Kit Brazo Tens Bomper Prostar 3720641C1 (70002344)</t>
  </si>
  <si>
    <t>Kit Brazo Tens Bomper Prostar 3720642C1 (70002345)</t>
  </si>
  <si>
    <t>Kit Brazo Tens Bomper Prostar 3720643C3 (70002346)</t>
  </si>
  <si>
    <t>Espejo Derecho Hino 500 8,79E+75 (70002347)</t>
  </si>
  <si>
    <t>Soporte Sup Amortiguador N200 23972563 (70002348)</t>
  </si>
  <si>
    <t>Filtro Aceite HCX2977A Veh Jac 1010301FA (70002349)</t>
  </si>
  <si>
    <t>Filtro Aceite 1010320FE010 Jac (70002350)</t>
  </si>
  <si>
    <t>Filtro Comb Ev 110 Jac 1105102LD300 (70002351)</t>
  </si>
  <si>
    <t>Filtro Aire 1035 1109130B Jac (70002352)</t>
  </si>
  <si>
    <t>Filtro Separador Agua 1105100LD393 Jac (70002353)</t>
  </si>
  <si>
    <t>Filtro Aspir Crafstman 9-17816 / 9-38754 (70002354)</t>
  </si>
  <si>
    <t>Filtro Secador Aire Eagle 9400 SA474 (70002355)</t>
  </si>
  <si>
    <t>Kit Embrague Foton MV3-MV5 7705946335 (70002356)</t>
  </si>
  <si>
    <t>Tornillo Rociador Motor Isx 3679037 (70002357)</t>
  </si>
  <si>
    <t>Cremallera Electrica Izq KW T800 R211004 (70002358)</t>
  </si>
  <si>
    <t>Disco De Freno Foton BJ5 7705946315 (70002360)</t>
  </si>
  <si>
    <t>Cabrilla Direccion Nkr III E 8974125561 (70002361)</t>
  </si>
  <si>
    <t>Pin Eje De Salida Eagle 9400 1229W413 (70002362)</t>
  </si>
  <si>
    <t>Pin De Rodillo Eje Salida Eagle1229P2590 (70002363)</t>
  </si>
  <si>
    <t>Eje De Salida Divisor Eagle 3297V1010 (70002364)</t>
  </si>
  <si>
    <t>Empaq Turbo Cargad Nkr Reward 8944336050 (70002365)</t>
  </si>
  <si>
    <t>Abrazadera Cremallera 52 (70002366)</t>
  </si>
  <si>
    <t>Balinera Puerta Trailer 6202ZZ 6202 LLU (70002367)</t>
  </si>
  <si>
    <t>Rache Tras Estria Gruesa SB 47001 (70002368)</t>
  </si>
  <si>
    <t>Bomper Central Prostar 3720614C2 (70002369)</t>
  </si>
  <si>
    <t>Espiga Botella Carda 7 1/2 Eagle 6540191 (70002370)</t>
  </si>
  <si>
    <t>Rache Tras Estria Menuda Sb-Hi 44051-28 (70002371)</t>
  </si>
  <si>
    <t>Valvula Niveladora Trailer Inca 9005400 (70002372)</t>
  </si>
  <si>
    <t>Puntera Bomper Derecha Prostar 3720618C2 (70002373)</t>
  </si>
  <si>
    <t>Camara De Freno Tras Cargo Wolkswa24-20C (70002374)</t>
  </si>
  <si>
    <t>Racor Tapon 540 3/8" (70002375)</t>
  </si>
  <si>
    <t>Inyector Hino 23670-79027 (70002376)</t>
  </si>
  <si>
    <t>Racor Tapon 540 1/4" (70002377)</t>
  </si>
  <si>
    <t>Racor Union Rapido 3/8" (70002378)</t>
  </si>
  <si>
    <t>Perno Mixto Generico 5/8 X 4 1/2 (70002379)</t>
  </si>
  <si>
    <t>Filtro Aceite Renault Master 152093920R (70002380)</t>
  </si>
  <si>
    <t>Filtro Comb Renault Master 164039587R (70002381)</t>
  </si>
  <si>
    <t>Filtro Aire Renault Master 165465171R (70002382)</t>
  </si>
  <si>
    <t>Racor Union Rapido De 1/2" (70002383)</t>
  </si>
  <si>
    <t>Pivote Embrague Nkr Reward 8972553841 (70002384)</t>
  </si>
  <si>
    <t>Racor Union Rapido De 1/4" (70002385)</t>
  </si>
  <si>
    <t>Biela Piston Motor Nhr S Turbo8980126072 (70002386)</t>
  </si>
  <si>
    <t>Interrup Lampara Luz Freno FTR8980108570 (70002387)</t>
  </si>
  <si>
    <t>Cilind Freno Del Der C P Hino 47510EV100 (70002388)</t>
  </si>
  <si>
    <t>Cilind Freno Del Der S P Hino 47520EV040 (70002389)</t>
  </si>
  <si>
    <t>Codo Superior Radiador KW T800 F04-6006 (70002390)</t>
  </si>
  <si>
    <t>Rejilla Plastica Bomper Prostar3720638C1 (70002391)</t>
  </si>
  <si>
    <t>Rodamie Tras Eje Corredizo Nkr8981897420 (70002392)</t>
  </si>
  <si>
    <t>Rodamie Eje Corredizo Caja Nkr8981897430 (70002393)</t>
  </si>
  <si>
    <t>Balinera Del Tren Fijo Nkr 8981897450 (70002394)</t>
  </si>
  <si>
    <t>Anillo Sincron Baja Y 2da Nkr8981904280 (70002395)</t>
  </si>
  <si>
    <t>Kit Empaquetadura Hino SDS40100 (70002396)</t>
  </si>
  <si>
    <t>Pin Recibi Pta Izq/Der Hi 4300 3509094C1 (70002397)</t>
  </si>
  <si>
    <t>Panel Frontal Hino 5571137110 (70002398)</t>
  </si>
  <si>
    <t>Guia Valvula Hino S111221220 (70002399)</t>
  </si>
  <si>
    <t>Sello Aceite Valvula Hino S137191470 (70002400)</t>
  </si>
  <si>
    <t>Banda Freno Tras Foton BJ5-Vulcaniz 8124 (70002401)</t>
  </si>
  <si>
    <t>Racor Tapon 540 1/2" (70002402)</t>
  </si>
  <si>
    <t>Sopor Muelle Del Izq Nkr Rewar8980291260 (70002403)</t>
  </si>
  <si>
    <t>Racor Tapon 540 1/8" (70002404)</t>
  </si>
  <si>
    <t>Portaleva Izq Trasera Eagle E823299P62 (70002405)</t>
  </si>
  <si>
    <t>Persiana O Grilla Radiador FRR8974078675 (70002406)</t>
  </si>
  <si>
    <t>Racor Recto 507 1/2 X 1/2" (70002407)</t>
  </si>
  <si>
    <t>Estribo Izq FRR 8980373293 (70002408)</t>
  </si>
  <si>
    <t>Banda Freno Trasero Foton BJ5 7705946031 (70002409)</t>
  </si>
  <si>
    <t>Racor Recto 507 3/8 X 1/2" (70002410)</t>
  </si>
  <si>
    <t>Freno De Ahogo Motor FRR 8980541728 (70002411)</t>
  </si>
  <si>
    <t>Panel Frontal Cabina Izq FRR 8974099014 (70002412)</t>
  </si>
  <si>
    <t>Racor Recto 507 3/8 X 3/8" (70002413)</t>
  </si>
  <si>
    <t>Bombona Suspension Prostar HD57122002 (70002414)</t>
  </si>
  <si>
    <t>Tuerca Grapa Tras Eagle 9400 144425H (70002415)</t>
  </si>
  <si>
    <t>Grapa Suspension Eagle 9400 H47417008 (70002416)</t>
  </si>
  <si>
    <t>Arandela Conica De Ajuste EagleH48574000 (70002417)</t>
  </si>
  <si>
    <t>Racor Recto B68R 1/4 Sinflex X 3/8 Npt (70002418)</t>
  </si>
  <si>
    <t>Racor Recto B68R 1/4 Sinflex X 1/4 Npt (70002419)</t>
  </si>
  <si>
    <t>Corona Speed 9 X 41plana Del Kw 122337 (70002420)</t>
  </si>
  <si>
    <t>Racor Reduccion Tuerca 1/2 X 1/4 (70002421)</t>
  </si>
  <si>
    <t>Turbo Alimentad Nkr Rw Euro4 8981654483 (70002422)</t>
  </si>
  <si>
    <t>Switch Bloqueo Puerta Eagle 3536496C1 (70002423)</t>
  </si>
  <si>
    <t>Switch Puerta Isx 3536493C1 (70002424)</t>
  </si>
  <si>
    <t>Racor En T 536 1/4" (70002425)</t>
  </si>
  <si>
    <t>Pin Termostato Motor Isx 341188100 (70002426)</t>
  </si>
  <si>
    <t>Suiche Puerta Eagle 9400 3536494C1 (70002427)</t>
  </si>
  <si>
    <t>Resorte Tapa Caja Fuller Naranja (70002428)</t>
  </si>
  <si>
    <t>Balinera Fan Clutch 6005 2RS S (70002429)</t>
  </si>
  <si>
    <t>Racor En T B-101 1/2" (70002430)</t>
  </si>
  <si>
    <t>Medidor De Comb Nkr Reward 8980567030 (70002431)</t>
  </si>
  <si>
    <t>Pasador Muelle Delantero Nkr 36900046 (70002432)</t>
  </si>
  <si>
    <t>Pasador Muelle Trasero Nkr 43820101 (70002433)</t>
  </si>
  <si>
    <t>Vidrio Puerta Delantera Izq FRR 95629930 (70002434)</t>
  </si>
  <si>
    <t>Racor Recto B68R 1/2 Sinflex X 1/4 Npt (70002435)</t>
  </si>
  <si>
    <t>Clip Boceles Puerta FRR 1099831740 (70002436)</t>
  </si>
  <si>
    <t>Cubierta Inf Izq Tapiz FRR 8974074131 (70002437)</t>
  </si>
  <si>
    <t>Cilin Freno LH H.Dutro C Purga4757037080 (70002438)</t>
  </si>
  <si>
    <t>Racor Codo B69R 90° 1/8 Sinflex X 3/8Npt (70002439)</t>
  </si>
  <si>
    <t>Racor Rociador Piston Npr 8973296180 (70002440)</t>
  </si>
  <si>
    <t>Buje Quinta Rueda XB-0011-2 (70002441)</t>
  </si>
  <si>
    <t>Racor Codo B69R 90° 1/4 Sinflex X 1/4Npt (70002442)</t>
  </si>
  <si>
    <t>Espejo Retrov Der Completo Mack 82713445 (70002443)</t>
  </si>
  <si>
    <t>Espejo Retrov LH MTG MV3 Foton7701023487 (70002444)</t>
  </si>
  <si>
    <t>Racor De Empalme 1/2" (70002445)</t>
  </si>
  <si>
    <t>Valvul Selen Fren Ahog H Dutro2769078140 (70002446)</t>
  </si>
  <si>
    <t>Racor De Empalme B-62 5/8 B-62 (70002447)</t>
  </si>
  <si>
    <t>Bombillo Exploradora 24v Hino 64216 (70002448)</t>
  </si>
  <si>
    <t>Chapa Puerta Delantera Izq N200 24525621 (70002449)</t>
  </si>
  <si>
    <t>Interr Direc Y Luces Nkr Rewar8982437480 (70002450)</t>
  </si>
  <si>
    <t>Racor Codo B69R 90° 1/8 Sinflex X 1/4Npt (70002451)</t>
  </si>
  <si>
    <t>Palan Switch Direc Volksw8150 953513-2R0 (70002452)</t>
  </si>
  <si>
    <t>Mang Conect Purificad Aire FRR8980106433 (70002453)</t>
  </si>
  <si>
    <t>Tubo Retor Inyec N4 Nkr Reward8981610620 (70002454)</t>
  </si>
  <si>
    <t>Tensor Cade De Tiempo Nkr Rewa8980397541 (70002455)</t>
  </si>
  <si>
    <t>Balinera Fan Clucht 6209 2RS E (70002456)</t>
  </si>
  <si>
    <t>Racor Codo 3/8 X 3/8" (70002457)</t>
  </si>
  <si>
    <t>Filtro Secador Mack Granite R950068 (70002458)</t>
  </si>
  <si>
    <t>Cable Batería Doble Fusible 3548966C92 (70002459)</t>
  </si>
  <si>
    <t>Cable Bateria Negativo 3545881C92 (70002460)</t>
  </si>
  <si>
    <t>Botella Cardan Larga 5-580 633441-K (70002461)</t>
  </si>
  <si>
    <t>Ventilador Motor Prostar 3809753C2 (70002462)</t>
  </si>
  <si>
    <t>Racor Codo 3/8 X 1/4" (70002463)</t>
  </si>
  <si>
    <t>Luna Espejo Retrovisor Prostar 2505818C2 (70002464)</t>
  </si>
  <si>
    <t>Bateria 24MR 1150 Duncan Toyota Prado (70002465)</t>
  </si>
  <si>
    <t>Racor Codo 1/2 X 1/4" (70002466)</t>
  </si>
  <si>
    <t>Interruptor Luz Rev Nkr Rewar 8982564180 (70002467)</t>
  </si>
  <si>
    <t>Cilin Freno LH H.Dutro S Purga4758036200 (70002468)</t>
  </si>
  <si>
    <t>Cilindro Freno RH Hino Dutro 4755037120 (70002469)</t>
  </si>
  <si>
    <t>Valvula Repartid Aire Prostar 3584247C1 (70002470)</t>
  </si>
  <si>
    <t>Balinera Fan Clucht Y Eje Cja 6207 LLUC3 (70002471)</t>
  </si>
  <si>
    <t>Valvula Relay Trailer 110415 1530110415 (70002472)</t>
  </si>
  <si>
    <t>Valvula Modulad Abs Tras Eagle 3600213C1 (70002473)</t>
  </si>
  <si>
    <t>Eje Difer Tras De 23 Estrias 8970324960 (70002474)</t>
  </si>
  <si>
    <t>Plato Freno Trasero Izq Nhr 8970786800 (70002475)</t>
  </si>
  <si>
    <t>Bisagra Lado Izq FRR 8981913020 (70002476)</t>
  </si>
  <si>
    <t>Manija Ext Del Der Foton 7701023486606 (70002477)</t>
  </si>
  <si>
    <t>Automatico Auxiliar Arra Freightliner (70002478)</t>
  </si>
  <si>
    <t>Cruceta Cardan Nkr 2001 Pin Inter XIS152 (70002479)</t>
  </si>
  <si>
    <t>Espejo Retrov Der Foton 7702023487498 (70002480)</t>
  </si>
  <si>
    <t>Cable Bateria Rojo R106601036 (70002481)</t>
  </si>
  <si>
    <t>Racor Recto B68R 1/2 Sinflex X 3/8 Npt (70002482)</t>
  </si>
  <si>
    <t>Fusible 80 Ap 8943883051 Npr Nkr (70002483)</t>
  </si>
  <si>
    <t>Guia Cadena Repart Nkr Reward 8979450690 (70002484)</t>
  </si>
  <si>
    <t>Buje Amortiguador Del Conico Nkr Rw (70002485)</t>
  </si>
  <si>
    <t>Buje Anclaje Suspens Tras FTR 8980818300 (70002486)</t>
  </si>
  <si>
    <t>Deposito Refriger Mack 23915461 22564837 (70002487)</t>
  </si>
  <si>
    <t>Regulad Alter 24v Nkr Reward Hitac488100 (70002488)</t>
  </si>
  <si>
    <t>Bomba Freno Npr 8972243720 (70002489)</t>
  </si>
  <si>
    <t>Tuerca Yoke Cardan Eagle 231502 (70002490)</t>
  </si>
  <si>
    <t>Stop Rh Mv5 Foton 7705946041270 41270 (70002491)</t>
  </si>
  <si>
    <t>Manija Ext Del Izq Foton 7701023486590 (70002492)</t>
  </si>
  <si>
    <t>Freno De Ahogo Motor Hino 4670037100 (70002493)</t>
  </si>
  <si>
    <t>Bocin Rda Tras Eagl Perno 3/4 2589468C91 (70002494)</t>
  </si>
  <si>
    <t>Bomper Tras Foton 7705946036436 (70002495)</t>
  </si>
  <si>
    <t>Farola Derecha Hino Dutro Pro 81100-3712 (70002496)</t>
  </si>
  <si>
    <t>Enflanche Cardan Nkr III 8972252540 (70002501)</t>
  </si>
  <si>
    <t>Buje Punta Bastidor Susp Neumat 90008252 (70002502)</t>
  </si>
  <si>
    <t>Cremallera Vol Motor Hino Dpc 1,35E+84 (70002503)</t>
  </si>
  <si>
    <t>Bendix Mt Arranq Hino Dpc 300 2801178111 (70002504)</t>
  </si>
  <si>
    <t>Oring Enfriador De Aceite Npr 8980454470 (70002505)</t>
  </si>
  <si>
    <t>Tuerca Eje Tren Fijo FTR 8980058940 (70002506)</t>
  </si>
  <si>
    <t>Filtro Aceite Foton 7705946019552 (70002507)</t>
  </si>
  <si>
    <t>Filtro Combustible Foton 7705946023832 (70002508)</t>
  </si>
  <si>
    <t>Filtro Aire 6323222 Foton (70002509)</t>
  </si>
  <si>
    <t>Kit Valvula Bba Inyeccion FTR 8981454491 (70002510)</t>
  </si>
  <si>
    <t>Empaque Carter Npr Delgado 8973643860 (70002511)</t>
  </si>
  <si>
    <t>Panel Enfriad Aceite Motor Npr8973341011 (70002512)</t>
  </si>
  <si>
    <t>Bateria N200 43R-700 (70002513)</t>
  </si>
  <si>
    <t>Buje Rebote Muelle Tras ProstarH57989000 (70002514)</t>
  </si>
  <si>
    <t>Barra Tens Dif Prostar/Inter LT3580088C1 (70002515)</t>
  </si>
  <si>
    <t>Acople Yoke Divis Isx 46 Estr 6.5-4-3721 (70002516)</t>
  </si>
  <si>
    <t>Pasador Balan Resorte Tras FTR1513610150 (70002517)</t>
  </si>
  <si>
    <t>Caucho Soporte Intercooler Kenw M20070NR (70002518)</t>
  </si>
  <si>
    <t>Valvula Expans A/C Inter LT 2516574C91 (70002519)</t>
  </si>
  <si>
    <t>Porta Escobilla Arranque 42MT N14-198812 (70002520)</t>
  </si>
  <si>
    <t>Electro Valvula F.Clut KW T800 CMR993284 (70002521)</t>
  </si>
  <si>
    <t>Balinera Embrague Nhr 531314001 (70002522)</t>
  </si>
  <si>
    <t>Rodillo Caja Velocidad FTR-FRR HTF03521G (70002523)</t>
  </si>
  <si>
    <t>Correa Motor Kenworth T800 12PK2180 (70002524)</t>
  </si>
  <si>
    <t>Conector Hembra Acople Rapido Aire 1/4 (70002525)</t>
  </si>
  <si>
    <t>Acople Rapido Hidraulico 08 1/2 (70002526)</t>
  </si>
  <si>
    <t>Valvula Niveladora Aire Kenworth KD2445 (70002527)</t>
  </si>
  <si>
    <t>Porta Escobillas Alternador 39104 Hi-S (70002528)</t>
  </si>
  <si>
    <t>Varilla Medidora Aceite FRR 8982455140 (70002529)</t>
  </si>
  <si>
    <t>Carcaza Cabeza De Vaca N200 23884355 (70002530)</t>
  </si>
  <si>
    <t>Guaya Emergencia N200 Izq 24558888 (70002531)</t>
  </si>
  <si>
    <t>Guaya Emergencia N200 23863657 (70002532)</t>
  </si>
  <si>
    <t>Porta Fusible Eaton Aereo 4119 (70002533)</t>
  </si>
  <si>
    <t>Abrazadera Admision Motor Isx 2002612C1 (70002534)</t>
  </si>
  <si>
    <t>Bomba Ppal De Embrag Prostar 3868300C92 (70002535)</t>
  </si>
  <si>
    <t>Plumilla Limpiabrisa Bosch 18" (70002536)</t>
  </si>
  <si>
    <t>Juego Escualizable KW T800 K19708 (70002537)</t>
  </si>
  <si>
    <t>Adaptador 3/8 Tanque Comb Eagle3680926C1 (70002538)</t>
  </si>
  <si>
    <t>Adaptador Tanque Comb Eagle 3680923C1 (70002539)</t>
  </si>
  <si>
    <t>Cilin Chap Pta Del Izq Nkr-Npr8982013620 (70002540)</t>
  </si>
  <si>
    <t>Cilin Chap Pta Del Der Nkr-Npr8980551610 (70002541)</t>
  </si>
  <si>
    <t>Cilin Fre Tras Der Npr S Purga8971398240 (70002542)</t>
  </si>
  <si>
    <t>Tornillo Brida Harness Isx 433670600 (70002543)</t>
  </si>
  <si>
    <t>Tuerca Brida Harness Isx 3902662 (70002544)</t>
  </si>
  <si>
    <t>Lampara Direccional Izq Npr98 2131518 LH (70002545)</t>
  </si>
  <si>
    <t>Porta Diodo Alternador DR5080 (70002546)</t>
  </si>
  <si>
    <t>Porta Disyuntor De Ramal AR-161 (70002547)</t>
  </si>
  <si>
    <t>Bba Aux Cluch Nkr Reward /Npr 8980400431 (70002548)</t>
  </si>
  <si>
    <t>Empaquetadura Secador Mack 8235R95001 (70002549)</t>
  </si>
  <si>
    <t>Farola Delantera Derecha FTR 8982413270 (70002550)</t>
  </si>
  <si>
    <t>Grasera Eje Pedal Embrague FTR 903016100 (70002551)</t>
  </si>
  <si>
    <t>Pin Articulacion Resorte FTR 1511610431 (70002552)</t>
  </si>
  <si>
    <t>Balinera 6304 2RS (70002553)</t>
  </si>
  <si>
    <t>Clip Boceles Puertas FTR (70002554)</t>
  </si>
  <si>
    <t>Pañoleta De Chasis Sup KW T800 K1402468 (70002555)</t>
  </si>
  <si>
    <t>Plumilla Limpiabrisa Bosch 16" (70002556)</t>
  </si>
  <si>
    <t>Barra Torsion Nkr-Nhr 8972618730 (70002557)</t>
  </si>
  <si>
    <t>Sensor Temp Motor H Dutro 300 S834201250 (70002558)</t>
  </si>
  <si>
    <t>Plumilla Limpiabrisa Bosch 20" (70002559)</t>
  </si>
  <si>
    <t>Trompo Rev Neutro Npr 8983248780 (70002560)</t>
  </si>
  <si>
    <t>Tuerca Tren Corredizo Cja Npr 8980141400 (70002561)</t>
  </si>
  <si>
    <t>Rodamiento Tren Caja Npr 8973779760 (70002562)</t>
  </si>
  <si>
    <t>Resorte Sincronizador Cja Npr 8980321970 (70002563)</t>
  </si>
  <si>
    <t>Retenedor Tras Caja Npr FTR 8973779480 (70002564)</t>
  </si>
  <si>
    <t>Retenedor Del Caja Npr FTR 8973779470 (70002565)</t>
  </si>
  <si>
    <t>Juego Cilindros Puerta Kenworth R5610650 (70002566)</t>
  </si>
  <si>
    <t>Panel De Instrument Nkr Reward8980980263 (70002567)</t>
  </si>
  <si>
    <t>Guaya Control Camb Nhr Reward 8982235821 (70002568)</t>
  </si>
  <si>
    <t>Kit Embrague Renault Master 8201516550 (70002569)</t>
  </si>
  <si>
    <t>Reten Trasero Externo FRR 1096253312 (70002570)</t>
  </si>
  <si>
    <t>Caja De Velocidad Van N200 (70002571)</t>
  </si>
  <si>
    <t>Manguera Secador Aire Acoplada 1/2 (70002572)</t>
  </si>
  <si>
    <t>Empaque Superior Puerta Tipo Cortina Nkr (70002573)</t>
  </si>
  <si>
    <t>Kit Valvula Tanque Aire Eag 2506990C91 (70002574)</t>
  </si>
  <si>
    <t>Bateria 4D 1250 Duncan Planta Electrica (70002575)</t>
  </si>
  <si>
    <t>Manija Agarrader Puerta Volkswagen 9.150 (70002576)</t>
  </si>
  <si>
    <t>Zapa Delantera Izq Nkr CH746OPO (70002577)</t>
  </si>
  <si>
    <t>Zapa Delantera Derecha Nkr Ch745opor (70002578)</t>
  </si>
  <si>
    <t>Pito 12v 400hrz Hella 3Al0029520 (70002579)</t>
  </si>
  <si>
    <t>Extension Guardafango Der FTR 8974153641 (70002580)</t>
  </si>
  <si>
    <t>Buje Anclaje Suspension FTR 8980818290 (70002581)</t>
  </si>
  <si>
    <t>Lampara Direc Der Nkr Npr 213-1530RH (70002582)</t>
  </si>
  <si>
    <t>Filtro Aire Planta Electrica 135326205 (70002583)</t>
  </si>
  <si>
    <t>Filtro Aceite Planta Electrica 2654407 (70002584)</t>
  </si>
  <si>
    <t>Filtro Comb Planta Electrica 26561117 (70002585)</t>
  </si>
  <si>
    <t>Buje Muelle Del Con Pasador Integ 482-Kw (70002586)</t>
  </si>
  <si>
    <t>Abrazadera Cremallera 48 (70002587)</t>
  </si>
  <si>
    <t>Balinera Arranque 6002 2RSR (70002588)</t>
  </si>
  <si>
    <t>Anillo Diferencial Hino Dpc 4111537010 (70002589)</t>
  </si>
  <si>
    <t>Sensor Alta Presion A/C Kenw K301 - 401 (70002590)</t>
  </si>
  <si>
    <t>Switch Elevavidrios Mack 2105059 (70002591)</t>
  </si>
  <si>
    <t>Filtro Aceite Elemento FTR 1876100640 (70002592)</t>
  </si>
  <si>
    <t>Valvu Desf Tapa Valv Motor Nkr8971198870 (70002593)</t>
  </si>
  <si>
    <t>Cabrilla Direcc Chevrolet Nkr 8974003990 (70002594)</t>
  </si>
  <si>
    <t>Bombona Aire Suspensión Mack T8 CXU613 (70002595)</t>
  </si>
  <si>
    <t>Juego Splinder Kemworth M2012 R201309 (70002596)</t>
  </si>
  <si>
    <t>Sensor Posición Cigüeñal FTR 8976069430 (70002597)</t>
  </si>
  <si>
    <t>Espiga Centr 46 Estr Tubo 4 1/2 6553171X (70002598)</t>
  </si>
  <si>
    <t>Botella Cardan 7 1/2" Eagle 6531371K (70002599)</t>
  </si>
  <si>
    <t>Manguera Multiple Adm Nhr-Nkr 8972286582 (70002600)</t>
  </si>
  <si>
    <t>Kit Chupas Freno Trasero Hino 04476-3705 (70002601)</t>
  </si>
  <si>
    <t>Base Filtro Agua Isx 438663 (70002602)</t>
  </si>
  <si>
    <t>Kit Embrague Nkr Reward 52092444 (70002603)</t>
  </si>
  <si>
    <t>Brazo Direccion Volkwagen 8007027003 (70002604)</t>
  </si>
  <si>
    <t>Conector Macho De 1/2 VHC817 (70002605)</t>
  </si>
  <si>
    <t>Tope Der Capo Prostar/Inter LT 3810979C4 (70002606)</t>
  </si>
  <si>
    <t>Tope Izq Capo Prostar/Inter LT 3810978C4 (70002607)</t>
  </si>
  <si>
    <t>Sensor Aire Bombonas Mack 22443498 (70002608)</t>
  </si>
  <si>
    <t>Empaq Lamevid Pta Lat Izq N200 24544787 (70002609)</t>
  </si>
  <si>
    <t>Empaq Lamevid Pta Lat Der N200 24544788 (70002610)</t>
  </si>
  <si>
    <t>Empaque Vidrio Pta Lat Izq N200 24544944 (70002611)</t>
  </si>
  <si>
    <t>Ventilador Radiador Nkr 8970946600 (70002612)</t>
  </si>
  <si>
    <t>Separador Speed Hino 300 4121437010 (70002613)</t>
  </si>
  <si>
    <t>Interrup Luces Parqueo R Master25290488R (70002614)</t>
  </si>
  <si>
    <t>Punta Eje Izq Renault Master 3000485578 (70002615)</t>
  </si>
  <si>
    <t>Punta Eje Der Renault Master 3000499895 (70002616)</t>
  </si>
  <si>
    <t>Pasador Central Con Tuerca 5/8 X 8" (70002617)</t>
  </si>
  <si>
    <t>Valvula Nivelad Cabina KW T-800 90555376 (70002618)</t>
  </si>
  <si>
    <t>Guaya Fren Tras Parqueo DerN200 24558889 (70002619)</t>
  </si>
  <si>
    <t>Gancho Capo Mack CXU613 25159428 (70002620)</t>
  </si>
  <si>
    <t>Manguera Mono Ship Eaton 15" 55527 (70002621)</t>
  </si>
  <si>
    <t>Juego Pastas Freno 10211 N200 (70002622)</t>
  </si>
  <si>
    <t>Pulmon Lumbar Aire Silla Eagle 22779903 (70002623)</t>
  </si>
  <si>
    <t>Kit Terminal Direc Izq Y Der Npr94775022 (70002624)</t>
  </si>
  <si>
    <t>Interruptur Luz Rev Isx 2038062C1 (70002625)</t>
  </si>
  <si>
    <t>Kit Bujes Leva Freno R615002 Meritor (70002626)</t>
  </si>
  <si>
    <t>Espejo Auxiliar Prostar 2507272C1 (70002627)</t>
  </si>
  <si>
    <t>Farola Ppal Del Der FTR FRR RW8982413270 (70002628)</t>
  </si>
  <si>
    <t>Parasol Cabina Izq Nkr 8979975050 (70002629)</t>
  </si>
  <si>
    <t>Cruceta Cardan 6" Mixta Eagle SPL100-1X (70002630)</t>
  </si>
  <si>
    <t>Parabrisas Laminado R Master 1W3022vvl7 (70002631)</t>
  </si>
  <si>
    <t>Cilin Fren Tras Der Del Nkr Rw8971398400 (70002632)</t>
  </si>
  <si>
    <t>Cilind Freno Tras Der Tras Rw 8971398410 (70002633)</t>
  </si>
  <si>
    <t>Soporte Platina Inf Exosto Isx 3539102C2 (70002634)</t>
  </si>
  <si>
    <t>Caucho Abrazadera Tque Acpm Isx 596590C1 (70002635)</t>
  </si>
  <si>
    <t>Pin Prensa Embrague Hi 04-2005 (70002636)</t>
  </si>
  <si>
    <t>Brazo Caja Direccion Kenworth L24VU8432B (70002637)</t>
  </si>
  <si>
    <t>Tapizado Piso Toyota Delta (70002638)</t>
  </si>
  <si>
    <t>Cilin Fren Del Tras Der Nkr Rw8971398400 (70002639)</t>
  </si>
  <si>
    <t>Base Filtro Agua Isx - Kw 3681446 (70002640)</t>
  </si>
  <si>
    <t>Indicador Restrictor Aire Eagle3876780C1 (70002641)</t>
  </si>
  <si>
    <t>Filtro Combustible Planta ElectricFF5088 (70002642)</t>
  </si>
  <si>
    <t>Varilla Transv Tensor Exosto 3539106C1 (70002643)</t>
  </si>
  <si>
    <t>Tque Acpm Izq Alum Eagl 100gl M2611720C9 (70002644)</t>
  </si>
  <si>
    <t>Tque Acpm Der Alum Eagl 100gl M3662315C9 (70002645)</t>
  </si>
  <si>
    <t>Juego Cables De Alta Montacarg8091976103 (70002646)</t>
  </si>
  <si>
    <t>Pin De Ojo Generico (70002647)</t>
  </si>
  <si>
    <t>Hoja Pricipal Muelle Auxiliar Tras Delta (70002648)</t>
  </si>
  <si>
    <t>Hoja Tercera Muelle Aux Tras Delta (70002649)</t>
  </si>
  <si>
    <t>Hoja Cuarta Muelle Aux Tras T (70002650)</t>
  </si>
  <si>
    <t>Pin Eje Patin Trailer 5/16" (70002651)</t>
  </si>
  <si>
    <t>Hoja Resorte Trasera Toyota 4ta (70002652)</t>
  </si>
  <si>
    <t>Buje Muelle Tras Delan T Delta (70002653)</t>
  </si>
  <si>
    <t>Retenedor Sinfin Cja Direc Nkr 22X35X7 (70002654)</t>
  </si>
  <si>
    <t>Cruceta Cardan Nkr III 8979451010 (70002655)</t>
  </si>
  <si>
    <t>Guardapolvo Eje Del R Master 7701207566 (70002656)</t>
  </si>
  <si>
    <t>Guardapolvo Eje L R Master 7701472975 (70002657)</t>
  </si>
  <si>
    <t>Terminal Direccion R Master 7701470363 (70002658)</t>
  </si>
  <si>
    <t>Tanque Aire Secundario Der Isx3546069C92 (70002659)</t>
  </si>
  <si>
    <t>Lampara Jabonera Led (70002660)</t>
  </si>
  <si>
    <t>Acople Rapido Alta De 1/4 A/C (70002661)</t>
  </si>
  <si>
    <t>Tubo Aceite Bba Vacio Nkr Rw 8980389290 (70002662)</t>
  </si>
  <si>
    <t>Soporte Difusor Radiad Nkr Rw 8943957660 (70002663)</t>
  </si>
  <si>
    <t>Empaque Culata Motor Hino 1,11E+34 (70002664)</t>
  </si>
  <si>
    <t>Brazo Caja Direccion FRR 1443803030 (70002665)</t>
  </si>
  <si>
    <t>Breakaway De 1" Surtidor Acpm (70002666)</t>
  </si>
  <si>
    <t>Cortafuego 3/4" Surtidor Acpm (70002667)</t>
  </si>
  <si>
    <t>Mang Conec Multip Admis Nkr Rw8980485400 (70002668)</t>
  </si>
  <si>
    <t>Mang Hidr Caja Direc Nkr Rw 8980950500 (70002669)</t>
  </si>
  <si>
    <t>Kit Amortiguador Trasero Reward 52036351 (70002670)</t>
  </si>
  <si>
    <t>Filtro Aire Acondicionado KWh K251-571 (70002671)</t>
  </si>
  <si>
    <t>Gancho Cierre Capo Der Freightl 17-13815 (70002672)</t>
  </si>
  <si>
    <t>Oreja Cardan 6" Tubo 4" Eagle 5-280 X 4" (70002673)</t>
  </si>
  <si>
    <t>Automat Arranq Npr/Nkr Reward 2012-2014R (70002674)</t>
  </si>
  <si>
    <t>Lampara Direccional Der Hino 8,15E+95 (70002675)</t>
  </si>
  <si>
    <t>Torni De Paso Panel Puert Prem PU1010038 (70002676)</t>
  </si>
  <si>
    <t>Radiador En Cobre Mack MT8 (70002677)</t>
  </si>
  <si>
    <t>Kit Chupa Cilind Freno Del FRR1878313090 (70002678)</t>
  </si>
  <si>
    <t>Arandela Espaciadora Trm Isx SAF9001205 (70002679)</t>
  </si>
  <si>
    <t>Lampara Aux Espejo Led T Delta (70002680)</t>
  </si>
  <si>
    <t>Carcaza Housing Trasera Nhr 8970479803 (70002681)</t>
  </si>
  <si>
    <t>Sensor Aire AC Kw T800 K-301-70 (70002682)</t>
  </si>
  <si>
    <t>Transmision Completa Nhr (70002683)</t>
  </si>
  <si>
    <t>Racor Union B68 1/4 X 1/8 Npt (70002684)</t>
  </si>
  <si>
    <t>Racor Union B103 1/8 Npt X 1/8 Npt (70002685)</t>
  </si>
  <si>
    <t>Manguera Hidraulica R-5 1/4 L X Metros (70002686)</t>
  </si>
  <si>
    <t>Tapa Deposito Hidr Nkr Reward 8971033940 (70002687)</t>
  </si>
  <si>
    <t>Balinera Alternador 6204 2RS (70002688)</t>
  </si>
  <si>
    <t>Chapa Interna Puerta Izq Kenwor R56-1114 (70002689)</t>
  </si>
  <si>
    <t>Yoke Cardan Nhr TP-81055 (70002690)</t>
  </si>
  <si>
    <t>Cruceta Cardan Nhr 5-153/521 (70002691)</t>
  </si>
  <si>
    <t>Clip Aislad Panel Del Nkr Rw 8974107380 (70002692)</t>
  </si>
  <si>
    <t>Valvula Antipatinaje Eagle 9400 (70002693)</t>
  </si>
  <si>
    <t>Piñon Reductor Eje Corto SXA 0202-1 (70002694)</t>
  </si>
  <si>
    <t>Balinera Cardan Nkr 95626906 (70002695)</t>
  </si>
  <si>
    <t>Hoja Resorte Ppal Tras Hino 4820137F40 (70002696)</t>
  </si>
  <si>
    <t>Buje Muelle Trasero Cauchometal Hino 391 (70002697)</t>
  </si>
  <si>
    <t>Piñon Reductor Eje Trailer XD-V-06602 (70002698)</t>
  </si>
  <si>
    <t>Soporte Cardan FTR 8980208810 (70002699)</t>
  </si>
  <si>
    <t>Manguera Superior Radiador Mack 22891948 (70002700)</t>
  </si>
  <si>
    <t>Sensor Nivel Refrigerante Mack 22564822 (70002701)</t>
  </si>
  <si>
    <t>Filtro Comb Planta Electrica FF42000 (70002702)</t>
  </si>
  <si>
    <t>Sopo Cabi Del Prostar4063291C2 3595980C4 (70002703)</t>
  </si>
  <si>
    <t>Puntera Bomper Izq Hi Prostar 3720617C2 (70002704)</t>
  </si>
  <si>
    <t>Conector TT Tt10035 (70002705)</t>
  </si>
  <si>
    <t>Bombillo Lampara Cabina 17104 24V (70002706)</t>
  </si>
  <si>
    <t>Cruceta Cardan Largo Prostar SDSPL2503X (70002707)</t>
  </si>
  <si>
    <t>Soporte Central Bomper Prostar3720623C93 (70002708)</t>
  </si>
  <si>
    <t>Kit Chupa Cilind Fren Tras FRR1878313230 (70002709)</t>
  </si>
  <si>
    <t>Kit Cami Pisto G°2 Nhr S Turbo5878131822 (70002710)</t>
  </si>
  <si>
    <t>Balancin Inyector Motor Isx 431199000 (70002711)</t>
  </si>
  <si>
    <t>Balancin Tras Escape Isx438604 431820500 (70002712)</t>
  </si>
  <si>
    <t>Culata Motor Isx 5658283 541378200 (70002713)</t>
  </si>
  <si>
    <t>Balinera Alternador 6303 2RS Generico (70002714)</t>
  </si>
  <si>
    <t>Piñon Pata Trailer XD-V06604- (70002715)</t>
  </si>
  <si>
    <t>Overhaul Motor Isx KISX4376429BC (70002716)</t>
  </si>
  <si>
    <t>Jgo Pastas Freno Del R Master K23613-HD (70002717)</t>
  </si>
  <si>
    <t>Juego Splinder Nkr Reward 5878309789 (70002718)</t>
  </si>
  <si>
    <t>Culata Compresor Isx Eagle 9111539212 (70002719)</t>
  </si>
  <si>
    <t>Resorte Banda Trasero Kenwort MP10197ESP (70002720)</t>
  </si>
  <si>
    <t>Piñon Principal Pata Trailer SXA-0203 (70002721)</t>
  </si>
  <si>
    <t>Lampara Int Techo Cabi Nkr Rw 8980134213 (70002722)</t>
  </si>
  <si>
    <t>Bombona Suspensión Cabina Mack 21128983 (70002723)</t>
  </si>
  <si>
    <t>Filtro Aire Kenworth P616056 (70002724)</t>
  </si>
  <si>
    <t>Bombillo Direccional Del Hi 917945N12V (70002725)</t>
  </si>
  <si>
    <t>Kit Valv Sol Susp Aire Prostar2506712C91 (70002726)</t>
  </si>
  <si>
    <t>Juego Splinder Nhr 5878323141 (70002727)</t>
  </si>
  <si>
    <t>Pasador Muelle Tras FRR1513610170 PA0080 (70002728)</t>
  </si>
  <si>
    <t>Buje Bimetalico Muelle Trasero FRR (70002729)</t>
  </si>
  <si>
    <t>Soport Tras Recib Capot Freigtl A1714706 (70002730)</t>
  </si>
  <si>
    <t>Filtro Aire 7FG30 Montacargas 7432360071 (70002731)</t>
  </si>
  <si>
    <t>Filtro Aceite Diferencial Hi 3280V8394 (70002732)</t>
  </si>
  <si>
    <t>Hoja Muelle Tras Principal Nhr 22937/1 (70002733)</t>
  </si>
  <si>
    <t>Filtro Aceite Motor T Delta OLP-001 (70002734)</t>
  </si>
  <si>
    <t>Reflectivo Amarillo Izq Nhr Nkr Npr (70002735)</t>
  </si>
  <si>
    <t>Juego Cilindro Puerta Nkr III CP-115 X 2 (70002736)</t>
  </si>
  <si>
    <t>Amortiguador Del Eagle Isx 65147-MR (70002737)</t>
  </si>
  <si>
    <t>Interruptor Rev Cj Vel Npr 8981809730 (70002738)</t>
  </si>
  <si>
    <t>Manija Elevavidrio Nhr MEV-079 (70002739)</t>
  </si>
  <si>
    <t>Manija Elevavidrio Puerta Mack 20QX33AM2 (70002740)</t>
  </si>
  <si>
    <t>Aro Pin Rodam Eje Corre Nkr Rw8972547220 (70002741)</t>
  </si>
  <si>
    <t>Rodamiento Externo Speed N200 24528004 (70002742)</t>
  </si>
  <si>
    <t>Arandela Plana Cigueñal Isx 2869656 (70002743)</t>
  </si>
  <si>
    <t>Guaya Palanca Cambios R Master 349359903 (70002744)</t>
  </si>
  <si>
    <t>Kit Soporte Motor Del KWh M203039K2H (70002745)</t>
  </si>
  <si>
    <t>Balancin Inyector Motor Isx 4311990 (70002746)</t>
  </si>
  <si>
    <t>Balancin Escape Trasero Isx-T800 4318205 (70002747)</t>
  </si>
  <si>
    <t>Culata Motor Isx 5658283 (70002748)</t>
  </si>
  <si>
    <t>Tapa Llenado Aceite Eagle 9400 4962608 (70002749)</t>
  </si>
  <si>
    <t>Cruceta Cardan Nkr Redward 8980336050 (70002750)</t>
  </si>
  <si>
    <t>Conector Hembra Sensor Refrige 3823254 (70002751)</t>
  </si>
  <si>
    <t>Polea Damper Cigüeñal Npr 8972220313 (70002752)</t>
  </si>
  <si>
    <t>Bobina De Encendid Moto 3w180 1023459129 (70002753)</t>
  </si>
  <si>
    <t>Ramal De Encendido Moto 3w180 1023476690 (70002754)</t>
  </si>
  <si>
    <t>Soporte Acople Del Capot Kw K273-180 (70002755)</t>
  </si>
  <si>
    <t>Piña Divisor Alta 16918 Eagle 3002432 (70002756)</t>
  </si>
  <si>
    <t>Campana Freno Del Isx 16.5"X5" 2605076C1 (70002757)</t>
  </si>
  <si>
    <t>Prensa Clutch Moto 3w180 7010235551 (70002758)</t>
  </si>
  <si>
    <t>Modulo Cont Ecm 8981189434 FRR8981818280 (70002759)</t>
  </si>
  <si>
    <t>Enflanche Card Cruceta Nkr Rewar C3-2631 (70002760)</t>
  </si>
  <si>
    <t>Percha Delantera (70002761)</t>
  </si>
  <si>
    <t>Botella Cardan Tipo Nuevo Kw 2505531XSP (70002762)</t>
  </si>
  <si>
    <t>Espiga Card T Nuevo SPL250 Kw 2508221XSP (70002763)</t>
  </si>
  <si>
    <t>Filtro Comb Ppal Motor Hino 23355EV012 (70002764)</t>
  </si>
  <si>
    <t>Filtro Aceite Motor Hino 15613 EV015 (70002765)</t>
  </si>
  <si>
    <t>Caña Direccion Prostar 3825664C91 (70002766)</t>
  </si>
  <si>
    <t>Modulo Control Nkr Reward 8980660505 (70002767)</t>
  </si>
  <si>
    <t>Sensor Posicion Motor R Master7701477748 (70002768)</t>
  </si>
  <si>
    <t>Percha Suspension Neumatica Fabricada (70002769)</t>
  </si>
  <si>
    <t>Bombin De Motor Volswagen 9052020800 (70002770)</t>
  </si>
  <si>
    <t>Perilla Seguro Puerta Hi Fabricado (70002771)</t>
  </si>
  <si>
    <t>Soporte Cabina Trasero Nkr 8970353103 (70002772)</t>
  </si>
  <si>
    <t>Carter Aceit Motor Isx 3690567 (70002773)</t>
  </si>
  <si>
    <t>Filtro Aceite Nhr Sin Turbo 8973299420 (70002774)</t>
  </si>
  <si>
    <t>Filtro Aceite Npr Original 1876100570 (70002775)</t>
  </si>
  <si>
    <t>Kit Sop Cardan Spicer Nkr Npr 230119K-1X (70002776)</t>
  </si>
  <si>
    <t>Filtro Aire Motor T Sahara 1780117020 (70002777)</t>
  </si>
  <si>
    <t>Sensor Temperat Reloj Nkr-Nhr 8943685910 (70002778)</t>
  </si>
  <si>
    <t>Filtro Aceite N 200 52077411 (70002779)</t>
  </si>
  <si>
    <t>Limpiador Cuerpo Aceleracion AXLCA400 (70002780)</t>
  </si>
  <si>
    <t>Limpiador Inyectores Artlux Nimexu03Q9 (70002781)</t>
  </si>
  <si>
    <t>Brazo Valvula Suspension Eag 1699069C1 (70002782)</t>
  </si>
  <si>
    <t>Lampara Led 4" Emp Caucho 12v 1007 (70002783)</t>
  </si>
  <si>
    <t>Kit Reparacion Mayor Cja Dir Eagle S1730 (70002784)</t>
  </si>
  <si>
    <t>Motor Arranque Volkswagen 12V29MT10D (70002785)</t>
  </si>
  <si>
    <t>Amortiguador Delantero Nkr-Rew 98085709 (70002786)</t>
  </si>
  <si>
    <t>Filtro Comb Sec Motor Hino 23304-EV052 (70002787)</t>
  </si>
  <si>
    <t>Cable Conector Luces 7 Vias 200155AKTC (70002788)</t>
  </si>
  <si>
    <t>Portadiscos Clutch Moto 3w180 7701023555 (70002789)</t>
  </si>
  <si>
    <t>Campana 10h 22cm Trasera 153002MB (70002790)</t>
  </si>
  <si>
    <t>Amortiguador Trasero Nkr II 95620956 (70002791)</t>
  </si>
  <si>
    <t>Tapa Radia Mot Nkr Nara 108Kpa8971778720 (70002792)</t>
  </si>
  <si>
    <t>Guardapolvo Horquilla Embrag 8970348800 (70002793)</t>
  </si>
  <si>
    <t>Recibidor Chapa Pta Npr-Delt 8972217020 (70002794)</t>
  </si>
  <si>
    <t>Brazo Curvo Direccion 1658095C2 (70002795)</t>
  </si>
  <si>
    <t>Bomba Aux Embrague Prostar S970051512 (70002796)</t>
  </si>
  <si>
    <t>Parabrisas Laminado Mack MT8 (70002797)</t>
  </si>
  <si>
    <t>Automatico Auxiliar Arranque Kw 1116387 (70002798)</t>
  </si>
  <si>
    <t>Seguro Quinta Rueda Fabricado (70002799)</t>
  </si>
  <si>
    <t>Juego Pastas Freno S Carry 10203 Gama (70002800)</t>
  </si>
  <si>
    <t>Brazo Plumilla Der T Delta 85211PD005 (70002801)</t>
  </si>
  <si>
    <t>Harness Freno Motor Eagle Isx Kisx433130 (70002802)</t>
  </si>
  <si>
    <t>Empaquet Bba Direc Hidr KenworSK000131TR (70002803)</t>
  </si>
  <si>
    <t>Corbatin Barra Tensora Prostar 47691000l (70002804)</t>
  </si>
  <si>
    <t>Juego Pata Patin Trailer X 2 344106 (70002805)</t>
  </si>
  <si>
    <t>Pasador Servo Clucht Fabricado (70002806)</t>
  </si>
  <si>
    <t>Sincroniz 2da Hino Dutro Pro 3303837040 (70002807)</t>
  </si>
  <si>
    <t>Resistencia Motor Nkr Reward 8973576130 (70002808)</t>
  </si>
  <si>
    <t>Lampara Led Rda 2 1/2 24V Bisel Metalic (70002809)</t>
  </si>
  <si>
    <t>Soporte Trasero Motor Prostar 3613279C4 (70002810)</t>
  </si>
  <si>
    <t>Cilindro Embrag Accion Aire (Aux)Prostar (70002811)</t>
  </si>
  <si>
    <t>Tapa Tanque Auxiliar Radiador Hino Dp (70002812)</t>
  </si>
  <si>
    <t>Pasador Zapa Tras-Del D C (70002813)</t>
  </si>
  <si>
    <t>Valvula De Alivio De 1/4 Compresor (70002814)</t>
  </si>
  <si>
    <t>Pasador Zapata Patin (70002815)</t>
  </si>
  <si>
    <t>Correa Ventilador Motor Prostar4019203C1 (70002816)</t>
  </si>
  <si>
    <t>Freno Embrague Desarmado SB (70002817)</t>
  </si>
  <si>
    <t>Buje Figurado Quinta Rueda 107 (70002818)</t>
  </si>
  <si>
    <t>Regulador Alternador Nkr F042320278 (70002819)</t>
  </si>
  <si>
    <t>Porta Diodo Alternador De Nhr F042310250 (70002820)</t>
  </si>
  <si>
    <t>Bombona Aire Suspension Eagle 69662 (70002821)</t>
  </si>
  <si>
    <t>Mang Agua Radiador R Master 8200120216 (70002822)</t>
  </si>
  <si>
    <t>Empaque Culata Motor R Master 8200406743 (70002823)</t>
  </si>
  <si>
    <t>Oring Motor Renault Master 7701474135 (70002824)</t>
  </si>
  <si>
    <t>Sensor Velocidad Eagle 9400 3528003C1 (70002825)</t>
  </si>
  <si>
    <t>Pasador Pata Trailer Fabricado (70002826)</t>
  </si>
  <si>
    <t>Eje Desplazable Cja 14718-16718 (70002827)</t>
  </si>
  <si>
    <t>Termostato Motor FRR 8973007903 (70002828)</t>
  </si>
  <si>
    <t>Termostato Motor FRR 8973007873 (70002829)</t>
  </si>
  <si>
    <t>Guardap Palanca Cambios Hino 5880837021 (70002830)</t>
  </si>
  <si>
    <t>Bomba Principal Embrague FRR 1475002502 (70002831)</t>
  </si>
  <si>
    <t>Pasador Punta Muelle Tras Tensora 07 Hi (70002832)</t>
  </si>
  <si>
    <t>Bomba De Agua FRR 8980788312 (70002833)</t>
  </si>
  <si>
    <t>Polea Tensora Isx 3691283 (70002834)</t>
  </si>
  <si>
    <t>Manguera Freno Delantera Nkr 8941145250 (70002835)</t>
  </si>
  <si>
    <t>Empaque Puerta Delantera N200 24520968 (70002836)</t>
  </si>
  <si>
    <t>Carevaca Caja Fuller Int Prostar A-7803 (70002837)</t>
  </si>
  <si>
    <t>Pedal Acelerador Nkr 8978591010 (70002838)</t>
  </si>
  <si>
    <t>Guardapolvo Guardaba Izq Nkr 8978530724 (70002839)</t>
  </si>
  <si>
    <t>Hoja Resorte Del Hino Dutro Pro 54052/3 (70002840)</t>
  </si>
  <si>
    <t>Hoja Resorte Del Hino Dutro Pro 5402/4 (70002841)</t>
  </si>
  <si>
    <t>Hoja Resorte Del Hino Dutro Pro 54052/5 (70002842)</t>
  </si>
  <si>
    <t>Vidrio Puerta Lado Derecho FRR (70002843)</t>
  </si>
  <si>
    <t>Guardapolvo Eje C9GDA05U87 Nissan (70002844)</t>
  </si>
  <si>
    <t>Cilindro Embrague 306104W00A Nissan (70002845)</t>
  </si>
  <si>
    <t>Buje Caja Nissan 32861H7305 (70002846)</t>
  </si>
  <si>
    <t>Pasador Largo 5ª Rda 1 1/8 X 7" (70002847)</t>
  </si>
  <si>
    <t>Tijera Suspension Der Nissan 545000W001 (70002848)</t>
  </si>
  <si>
    <t>Bobina Encedido Nissan 224488J11C (70002849)</t>
  </si>
  <si>
    <t>Tapasol Izq Isx 3661772C1 (70002850)</t>
  </si>
  <si>
    <t>Varilla Medid Aceite Hino Dpc 15301E0870 (70002851)</t>
  </si>
  <si>
    <t>Empaquetadura Motor R Master 7701477813 (70002852)</t>
  </si>
  <si>
    <t>Pasador Muelle Delantero 1 1/8 X 7" (70002853)</t>
  </si>
  <si>
    <t>Moldura Ext Izq Parabris Nkr 8978537874 (70002854)</t>
  </si>
  <si>
    <t>Juego Splinder FRR 1878312953 (70002855)</t>
  </si>
  <si>
    <t>Pasador Central Trasero 3/8 X 5 3/8 X 5" (70002856)</t>
  </si>
  <si>
    <t>Juego Splinder Eagle R201319 2603340C91 (70002857)</t>
  </si>
  <si>
    <t>Balinera Cardan Nkr Reward 52067835 (70002858)</t>
  </si>
  <si>
    <t>Hausing Trasero Nkr Reward 8970328615 (70002859)</t>
  </si>
  <si>
    <t>Tapa Filtro Separador Sup Eag 1694745C91 (70002860)</t>
  </si>
  <si>
    <t>Bomba Direc Hidraul Nkr Rewar 8980432053 (70002861)</t>
  </si>
  <si>
    <t>Espejo Retrovisor Izq Volswagen 857507 (70002862)</t>
  </si>
  <si>
    <t>Pasador Central SB 1/2 X 10" (70002863)</t>
  </si>
  <si>
    <t>Mordaza Freno Delantero 3W180 7701023504 (70002864)</t>
  </si>
  <si>
    <t>Guaya Freno Parqueo FRR 8983476780 (70002865)</t>
  </si>
  <si>
    <t>Guardapolvo Del Derecho FRR 8981526460 (70002866)</t>
  </si>
  <si>
    <t>Espejo Exterior Derecho FRR 8980559911 (70002867)</t>
  </si>
  <si>
    <t>Soporte Bomper Izq FRR 8976115164 (70002868)</t>
  </si>
  <si>
    <t>Pasador Central SB 1/2 X 8" (70002869)</t>
  </si>
  <si>
    <t>Guaya Control Cambios FRR 8981672372 (70002870)</t>
  </si>
  <si>
    <t>Valvula EGR FRR 8980982575 (70002871)</t>
  </si>
  <si>
    <t>Carcaza Purificador Aire FRR 8980821651 (70002872)</t>
  </si>
  <si>
    <t>Pasador Central 5/8 X 10" (70002873)</t>
  </si>
  <si>
    <t>Kit Sellos Valvula Secador Mack 3918353 (70002874)</t>
  </si>
  <si>
    <t>Multiple Admision N200 9052823 (70002875)</t>
  </si>
  <si>
    <t>Juego Hombros Quinta Rueda (70002876)</t>
  </si>
  <si>
    <t>Pasador Central Hi 1/2 X 7" (70002877)</t>
  </si>
  <si>
    <t>Amortiguador Trasero Hino 4853180796 (70002878)</t>
  </si>
  <si>
    <t>Brazo Direccion Pitman T Delta (70002879)</t>
  </si>
  <si>
    <t>Tanque Depos Hidr Prostar -LT 3836348C91 (70002880)</t>
  </si>
  <si>
    <t>Torre Hous Term Barra Ten Eagle1668798C1 (70002881)</t>
  </si>
  <si>
    <t>Pasador Central Delantero 3/8 X 4" (70002882)</t>
  </si>
  <si>
    <t>Bateria Duncan 22MR800 Montacarga (70002883)</t>
  </si>
  <si>
    <t>Arand Punta Inyector Nkr Rewar8981815400 (70002884)</t>
  </si>
  <si>
    <t>Tapa Valvula Motor Isx 3104387 3689759 (70002885)</t>
  </si>
  <si>
    <t>Alternador N200 24538278 (70002886)</t>
  </si>
  <si>
    <t>Kit Repar Valvula Freno De Segurid Eagle (70002887)</t>
  </si>
  <si>
    <t>Juego Bobinas De Campo Nkr (70002888)</t>
  </si>
  <si>
    <t>Yoke Caja Eagle 940016918 3507640C1 (70002889)</t>
  </si>
  <si>
    <t>Kit Sincr Media Caja 16918 EagleFULK3497 (70002890)</t>
  </si>
  <si>
    <t>Empaq Carcaza Enfriad Aceite Isx 4376196 (70002891)</t>
  </si>
  <si>
    <t>Clip Cubierta Lateral Nkr III 8980138230 (70002892)</t>
  </si>
  <si>
    <t>Lamp Dir Pta Izq Foton1065 7705946684521 (70002893)</t>
  </si>
  <si>
    <t>Pasador Central 9/16 X 12" (70002894)</t>
  </si>
  <si>
    <t>Porta Repuesto Hino 51902E0010 (70002895)</t>
  </si>
  <si>
    <t>Torre Con Piñon Aux RTLO 14718B FULK3220 (70002896)</t>
  </si>
  <si>
    <t>Disco Embrague Hino 582035 (70002897)</t>
  </si>
  <si>
    <t>Prensa Embrague Hino 562035 (70002898)</t>
  </si>
  <si>
    <t>Balinera Embrague Hino 65TNK20 (70002899)</t>
  </si>
  <si>
    <t>Pasador Central 3/8 X 8" (70002900)</t>
  </si>
  <si>
    <t>Retenedor Del Cigüeñal Hino SZ31358001 (70002901)</t>
  </si>
  <si>
    <t>Barra Tens Susp Cabina Prostar 2593805C1 (70002902)</t>
  </si>
  <si>
    <t>Base Torpedo Cabina Prostar 3863865C91 (70002903)</t>
  </si>
  <si>
    <t>Abrazadera Soporte Guardap 9400 576241C1 (70002904)</t>
  </si>
  <si>
    <t>Caja De Velocidades Nkr 8982038580 (70002905)</t>
  </si>
  <si>
    <t>Racor Tque De Aire 3/8 X1/2 Npt2017490C1 (70002906)</t>
  </si>
  <si>
    <t>Bombillo Halogeno Con Patas 3W180-35W (70002907)</t>
  </si>
  <si>
    <t>Bocin Rueda Trasera Nkr (70002908)</t>
  </si>
  <si>
    <t>Carcaza Filtro Comb Nkr Rewar 8981629031 (70002909)</t>
  </si>
  <si>
    <t>Unidad Flasher Nkr Reward 8980255331 (70002910)</t>
  </si>
  <si>
    <t>Eje Diferencial Hi 4300 577506C1 (70002911)</t>
  </si>
  <si>
    <t>Caja De Velocid 18Camb Kw-EagleRTLO16918 (70002912)</t>
  </si>
  <si>
    <t>Bomper Delantero FRR 8974077253 (70002913)</t>
  </si>
  <si>
    <t>Soporte Montaje Cabina Nkr 8970353104 (70002914)</t>
  </si>
  <si>
    <t>Pasador Buje Tensor Corto (70002915)</t>
  </si>
  <si>
    <t>Estribo Plast Der FRR Forward 8980373273 (70002916)</t>
  </si>
  <si>
    <t>Rodillo Y Cuna Dif Hi 4300 56425/650 (70002917)</t>
  </si>
  <si>
    <t>Retenedor Rueda Delantera FRR 69094 (70002918)</t>
  </si>
  <si>
    <t>Set Rodillo Rueda Del Ext FRR ST4090 (70002919)</t>
  </si>
  <si>
    <t>Set Rodillo Rueda Del Interior FRR 32310 (70002920)</t>
  </si>
  <si>
    <t>Lamevidrio Puerta Izq Hi 9400 3513546C1 (70002921)</t>
  </si>
  <si>
    <t>Pasador De Pin Banda Largo 1 1/4 3 1/ (70002922)</t>
  </si>
  <si>
    <t>Cadena Distrib Nkr III Reward 8979450670 (70002923)</t>
  </si>
  <si>
    <t>Sello Rect Codo Llen Aceite Isx 4962609 (70002924)</t>
  </si>
  <si>
    <t>Fan Clutch Prostar 10900965001 (70002925)</t>
  </si>
  <si>
    <t>Pasador Banda Pin Trailer 1 1/4-3 1/2 (70002926)</t>
  </si>
  <si>
    <t>Marco Puerta Izq Nkr Reward 8975860479 (70002927)</t>
  </si>
  <si>
    <t>Esparrago Rueda Tras Der FRR 1423311062 (70002928)</t>
  </si>
  <si>
    <t>Tuerca Interna Campana FRR 1094400650 (70002929)</t>
  </si>
  <si>
    <t>Guia Valvula Culata Nkr Rewar 8942394230 (70002930)</t>
  </si>
  <si>
    <t>Sensor Revoluciones Npr 8972143250 (70002931)</t>
  </si>
  <si>
    <t>Lampara Led Redond 4" De 24vol (70002932)</t>
  </si>
  <si>
    <t>Pasador De Pin Banda Trailer 1 1/4" (70002933)</t>
  </si>
  <si>
    <t>Conjunto Eje Direccion FRR 8974156172 (70002934)</t>
  </si>
  <si>
    <t>Deposito Auxiliar Radiador FRR8981717570 (70002935)</t>
  </si>
  <si>
    <t>Tapa Tanque Limpiabrisas Nkr 8978551400 (70002936)</t>
  </si>
  <si>
    <t>Empaque Marco Puerta Derecho 3602208C1 (70002937)</t>
  </si>
  <si>
    <t>Bomba Suspension Petrolera SAF9055721 (70002938)</t>
  </si>
  <si>
    <t>Radiador En Cobre FRR (70002939)</t>
  </si>
  <si>
    <t>Pasador Balancin Delantero 3511254 C1 (70002940)</t>
  </si>
  <si>
    <t>Hoja Muelle Trasero Nkr Reward 22077 / 2 (70002941)</t>
  </si>
  <si>
    <t>Pasador Balancin Trailer 168702 (70002942)</t>
  </si>
  <si>
    <t>Piñon Cuerpo Aceler Nkr III E Fabricado (70002943)</t>
  </si>
  <si>
    <t>Empaque Marco Puerta Izq 9400 3602207C1 (70002944)</t>
  </si>
  <si>
    <t>Panel Inferior Cabina 9400 3616415C91 (70002945)</t>
  </si>
  <si>
    <t>Conector Manguera Bypass N200 23864520 (70002946)</t>
  </si>
  <si>
    <t>Enfriador EGR Motor FRR 8980252485 (70002947)</t>
  </si>
  <si>
    <t>Techo Cabina Nkr Reward 8982873430 (70002948)</t>
  </si>
  <si>
    <t>Prisi Pas Ban Fot1128 Fab14X1.5 1 1/4-2 (70002949)</t>
  </si>
  <si>
    <t>Empaque Puerta Der T Delta 678613701 (70002950)</t>
  </si>
  <si>
    <t>Empaque Puerta Izq T Delta 678613701 (70002951)</t>
  </si>
  <si>
    <t>Manguera Bomba Embrag Prostar 3953848C1 (70002952)</t>
  </si>
  <si>
    <t>Cigüeñal Nkr Reward 8981549502 (70002953)</t>
  </si>
  <si>
    <t>Kit Clutch T Delta 510138B (70002954)</t>
  </si>
  <si>
    <t>Kit Piston Nkr 98/G3 5878131834 (70002955)</t>
  </si>
  <si>
    <t>Tuerca Eje Corredizo Volswagen 21937 (70002956)</t>
  </si>
  <si>
    <t>Kit Control Dirección Prostar 2611199C91 (70002957)</t>
  </si>
  <si>
    <t>Interruptor Luz Freno N200 5498452 (70002958)</t>
  </si>
  <si>
    <t>Aro Sincroniz 3aY 4a Caja Nkr 8981904260 (70002959)</t>
  </si>
  <si>
    <t>Tubo Entrada Agua Turbo Motor 8972290360 (70002960)</t>
  </si>
  <si>
    <t>Panel Espaldar Cabina Eagle 3573549C1 (70002961)</t>
  </si>
  <si>
    <t>Tren Fijo Caja 49x34x22x14 Nhr8973339150 (70002962)</t>
  </si>
  <si>
    <t>Sedimentador Combustible FRR 8980861931 (70002963)</t>
  </si>
  <si>
    <t>Guardabarro Delantero Izq FRR 8981526470 (70002964)</t>
  </si>
  <si>
    <t>Guardapolvo Delantero Izq FRR 8980934630 (70002965)</t>
  </si>
  <si>
    <t>Biela Piston N 200 24512528 (70002966)</t>
  </si>
  <si>
    <t>Guia Capo Derecha Mack 20802362 (70002967)</t>
  </si>
  <si>
    <t>Rache Freno Trasero Mack 40910635 (70002968)</t>
  </si>
  <si>
    <t>Correa Ventilador Motor Toyot 9091602585 (70002969)</t>
  </si>
  <si>
    <t>Tapa Tanque De Combustible N200 24540817 (70002970)</t>
  </si>
  <si>
    <t>Piñon 3ra Eje Corred 34 Dtes 8972412340 (70002971)</t>
  </si>
  <si>
    <t>Guardap Del Izq Eagle-Prostar 3557925C92 (70002972)</t>
  </si>
  <si>
    <t>Ventil Cabi Prostar(Blower)A/C 3674285C1 (70002973)</t>
  </si>
  <si>
    <t>Tapa Cubo Eje Delantero FRR 1423130320 (70002974)</t>
  </si>
  <si>
    <t>Eje Mono Media Caja Eagle Isx 4303705 (70002975)</t>
  </si>
  <si>
    <t>Tubo Tandem Eagle 9400 124896R2 (70002976)</t>
  </si>
  <si>
    <t>Guardapolvo Tras Der Con Logo 3560970C1 (70002977)</t>
  </si>
  <si>
    <t>Guardapolvo Tras Izq Con Logo 3560969C1 (70002978)</t>
  </si>
  <si>
    <t>Kit Gancho Bateria Eagle 9400 491668C92 (70002979)</t>
  </si>
  <si>
    <t>Soporte Guardapolvo Tras Der 3593170C91 (70002980)</t>
  </si>
  <si>
    <t>Soporte Guardapolvo Tras Izq 3593169C91 (70002981)</t>
  </si>
  <si>
    <t>Lampara Farola Lado Izq Hino 8117037121 (70002982)</t>
  </si>
  <si>
    <t>Espejo Completo Izq Prostar 3604446C94 (70002983)</t>
  </si>
  <si>
    <t>Bombillo Halogeno HB3 9005 12V (70002984)</t>
  </si>
  <si>
    <t>Bombillo Halogeno HB4 9006 12V (70002985)</t>
  </si>
  <si>
    <t>Switch Direccional Mack 82406821 (70002986)</t>
  </si>
  <si>
    <t>Filtro Hidraulico Montacarga (70002987)</t>
  </si>
  <si>
    <t>Bujia Motor 4Y Montacarga (70002988)</t>
  </si>
  <si>
    <t>Cilindro Aux Embrague Prostar 3866376C91 (70002989)</t>
  </si>
  <si>
    <t>Racor Recto B68r 3/8 Sinflex X 1/4 Npt (70002990)</t>
  </si>
  <si>
    <t>Bomper Del Jac 1120 2803100le0 (70002991)</t>
  </si>
  <si>
    <t>Brazo Plumilla Izq Foton 5946694728 (70002992)</t>
  </si>
  <si>
    <t>Farola Izq Mack Cxu 21836340 (70002993)</t>
  </si>
  <si>
    <t>Brazo Plumilla Der Foton 1065 5946694735 (70002994)</t>
  </si>
  <si>
    <t>Juego CILs PTA FT MV5 5946806459 (70002995)</t>
  </si>
  <si>
    <t>Seguro Pasador Piston MOT Nkr 8944606870 (70002996)</t>
  </si>
  <si>
    <t>Tapa Del TANQ De Gasolina FT 1023489393 (70002997)</t>
  </si>
  <si>
    <t>Tubo BMB Inyectora Nkr Rewar 8973889020 (70002998)</t>
  </si>
  <si>
    <t>BRR Corta DIR Jac Jhr 3003600ld010a (70002999)</t>
  </si>
  <si>
    <t>Rodamiento Volante Jac 1120 5402826 (70003000)</t>
  </si>
  <si>
    <t>Prensa Embrague Jac 1120 1601100le352xz (70003001)</t>
  </si>
  <si>
    <t>Tornillo MOT De ARR Nkr 8972126020 (70003002)</t>
  </si>
  <si>
    <t>Banda Freno Trasero Foton 1128 Remachada (70003003)</t>
  </si>
  <si>
    <t>Banda Freno Tras Foton 1128 5946326544 (70003004)</t>
  </si>
  <si>
    <t>Guaya CTRL Cambios FT 1128 1023387781 (70003005)</t>
  </si>
  <si>
    <t>Tuerca Eje Trailer Inca Coa000601 (70003006)</t>
  </si>
  <si>
    <t>Cigüeñal N200 24519247 (70003007)</t>
  </si>
  <si>
    <t>Sensor Abs Tras Foton 1128 5946783132 (70003008)</t>
  </si>
  <si>
    <t>Reten Tras Int Foton 1128 Nl 5946840743 (70003009)</t>
  </si>
  <si>
    <t>Manija Externa Izq Foton 1039 1023698863 (70003010)</t>
  </si>
  <si>
    <t>Manija Externa Der Foton 1039 1023698870 (70003011)</t>
  </si>
  <si>
    <t>Juego CILs PTA FT 1039 1023696159 (70003012)</t>
  </si>
  <si>
    <t>Farola Der Foton 1065 5946675284 (70003013)</t>
  </si>
  <si>
    <t>Tuerca Pinadora Ho Internatio 2032055 C1 (70003014)</t>
  </si>
  <si>
    <t>CIL Freno Tubo Sangria Tras F 5946321594 (70003015)</t>
  </si>
  <si>
    <t>CIL Freno Tubo Tras FT 5946321617 (70003016)</t>
  </si>
  <si>
    <t>Tapa Manija Frontal Lateral F 1719987892 (70003017)</t>
  </si>
  <si>
    <t>Brazo Limpiabrisas Ftr 8980789751 (70003018)</t>
  </si>
  <si>
    <t>Bombillo 24 V 70w H713972 (70003019)</t>
  </si>
  <si>
    <t>Buje De Quinta RDA Compensador Xb0011-Us (70003020)</t>
  </si>
  <si>
    <t>INTruptor CTRL PTA Izq MCK Anth 23929131 (70003021)</t>
  </si>
  <si>
    <t>Valvula De Alivio Inyeccion Foton 1039 (70003022)</t>
  </si>
  <si>
    <t>Bombillo 24 V 70 W Luces Bajas F H164155 (70003023)</t>
  </si>
  <si>
    <t>Fanclutch Con VENT FT 1065 5946892971 (70003024)</t>
  </si>
  <si>
    <t>MANG Retorno BMB Agua FT 1039 Fabricada (70003025)</t>
  </si>
  <si>
    <t>Bomper Frontal Foton 1128 5946724869 (70003026)</t>
  </si>
  <si>
    <t>Farola Der Foton 1128 5946724845 (70003027)</t>
  </si>
  <si>
    <t>Exploradora Der Foton 1228 5946242448 (70003028)</t>
  </si>
  <si>
    <t>Puerta Der Foton 1228 5946684491 (70003029)</t>
  </si>
  <si>
    <t>Soporte Del Motor Isx Prostar 1664724c3 (70003030)</t>
  </si>
  <si>
    <t>Amortiguador Tras Foton 1039 1023085328 (70003031)</t>
  </si>
  <si>
    <t>CIL Freno DEL IZQ Jac Jhr D8401 3501330 (70003032)</t>
  </si>
  <si>
    <t>CIL Freno DEL IZQ Jac D8401 3501030 (70003033)</t>
  </si>
  <si>
    <t>Bomba Aux Embrague Foton 1039 1023521154 (70003034)</t>
  </si>
  <si>
    <t>MANG Codo Enfriador Aceite Nk 8980660910 (70003035)</t>
  </si>
  <si>
    <t>Tapa TANQ COMB FT 1128 5946720854 (70003036)</t>
  </si>
  <si>
    <t>Filtro Aceite Foton - Frr 7701023566841 (70003037)</t>
  </si>
  <si>
    <t>Filtro Aire Foton - Frr 7705946334563 (70003038)</t>
  </si>
  <si>
    <t>Filtro Combustible Jac 1042 Fs36209 (70003039)</t>
  </si>
  <si>
    <t>Filtro Aire Jac 1042 Loc0555 (70003040)</t>
  </si>
  <si>
    <t>Filtro Aceite Foton 1065 7701023369527 (70003041)</t>
  </si>
  <si>
    <t>FILT COMB Sec FT 1065 7701023959568 (70003042)</t>
  </si>
  <si>
    <t>Elementro FILT AIR PRIM INTnac 2515573c1 (70003043)</t>
  </si>
  <si>
    <t>Elementro FILT AIR Secundario 2515575c2 (70003044)</t>
  </si>
  <si>
    <t>Filtro Separador Def As2474 (70003045)</t>
  </si>
  <si>
    <t>Guaya Capot Frontal Ftr 8980365742 (70003046)</t>
  </si>
  <si>
    <t>Guardapolvo FTR Forward I 8980398511 (70003047)</t>
  </si>
  <si>
    <t>Tuerca Cacho RDA Del Nkr III 8942473571 (70003048)</t>
  </si>
  <si>
    <t>Tuerca Perno Tras Der Nkr 911105200 (70003049)</t>
  </si>
  <si>
    <t>Bomba Agua Freighliner Cl120 R23539602 (70003050)</t>
  </si>
  <si>
    <t>Barra Tensora Mack 25168255 (70003051)</t>
  </si>
  <si>
    <t>Soporte Muelle Cxu Mack 400-56929000 (70003052)</t>
  </si>
  <si>
    <t>Pin Acero Muelle Cxu Mack 400-58287001 (70003053)</t>
  </si>
  <si>
    <t>Tubo Base Termostato N200 24536907 (70003054)</t>
  </si>
  <si>
    <t>Turbo Jac 1042 Kn Modelo 2018 1118010fa1 (70003055)</t>
  </si>
  <si>
    <t>Parabrisas Foton 1128 5946727273 (70003056)</t>
  </si>
  <si>
    <t>Disyuntor Mini 12 V 4Patas 30 Amp226-0 (70003058)</t>
  </si>
  <si>
    <t>Valvula Reguladora Keworth T800 K2170 (70003060)</t>
  </si>
  <si>
    <t>Buje Palanca Cambios Nkr Reward (70003061)</t>
  </si>
  <si>
    <t>Inyector Motor Nhr Nkr St 8971229390 (70003062)</t>
  </si>
  <si>
    <t>Bombillo Exploradora H3 12v/55 12v-55w (70003063)</t>
  </si>
  <si>
    <t>Tornillo Arandela Piñon CJ 16918 X71007 (70003064)</t>
  </si>
  <si>
    <t>Brazo Corto Direc Foton 1039 5946305884 (70003065)</t>
  </si>
  <si>
    <t>Prensa Embrague Jac Jhr 1600100le190 (70003066)</t>
  </si>
  <si>
    <t>CAM De Re Camara De Reversa Toyota Prado (70003067)</t>
  </si>
  <si>
    <t>Luna Espejo Retrovisor Der Peq 2514726c3 (70003068)</t>
  </si>
  <si>
    <t>Exploradora IZQ Jac 110 4116910le010 (70003069)</t>
  </si>
  <si>
    <t>Correa Alternador Jac Jhr 3407400fa01xz (70003070)</t>
  </si>
  <si>
    <t>Bombillo Doble Contacto 17925 24 Voltios (70003071)</t>
  </si>
  <si>
    <t>Correa Alternador Internatio 1841563 C1 (70003072)</t>
  </si>
  <si>
    <t>DEP Recuperacion Agua RAD S C 1793180001 (70003073)</t>
  </si>
  <si>
    <t>Abrazadera MANG AIR EGL 1517672c91 (70003074)</t>
  </si>
  <si>
    <t>VALV Silla AIR Alta Presion Ro 2505475c1 (70003075)</t>
  </si>
  <si>
    <t>Balinera Motor Arranque Nhr 638 2rs (70003076)</t>
  </si>
  <si>
    <t>SOP Montaje CAB Der Nkr-Nhr 8970333485 (70003077)</t>
  </si>
  <si>
    <t>SOP Montaje CAB Izq Nkr-Nhr 8970333503 (70003078)</t>
  </si>
  <si>
    <t>Hoja Resorte Del Npr 22916/4 (70003079)</t>
  </si>
  <si>
    <t>Slipper Pad Prostar Hendricks Hd47905000 (70003080)</t>
  </si>
  <si>
    <t>Juego Casquetes Bancada Std H S117012420 (70003081)</t>
  </si>
  <si>
    <t>Conjunto Sincronizador 5/6 Jac 1120 6ds5 (70003082)</t>
  </si>
  <si>
    <t>Suiche Ajuste Espejos Prostar (70003083)</t>
  </si>
  <si>
    <t>Bocel Pisa Alfombra Izq Nhr 8942622430 (70003084)</t>
  </si>
  <si>
    <t>Percha Tras Trailer Inca Sof047001 (70003085)</t>
  </si>
  <si>
    <t>Chapeta Chasis9300-507387c1 (70003086)</t>
  </si>
  <si>
    <t>Clip Platina Cubierta Palanca 8970985230 (70003087)</t>
  </si>
  <si>
    <t>Grapa Muelle Trailer 7/8 3 17 (70003088)</t>
  </si>
  <si>
    <t>Grapa MUE TRL Con Tuerca 7/8x3x15" (70003089)</t>
  </si>
  <si>
    <t>Empaque Vidrio Trasero Cabina Hino 500 (70003090)</t>
  </si>
  <si>
    <t>Termostato Foton 1039 1023729376 (70003091)</t>
  </si>
  <si>
    <t>Relay Luz Dia Mack Cxu 2330000524 (70003092)</t>
  </si>
  <si>
    <t>Soporte Cardan Foton 1128 7705946948685 (70003093)</t>
  </si>
  <si>
    <t>Tornillo Culata Motor N200 96416362 (70003094)</t>
  </si>
  <si>
    <t>Espejo Retrovisor Con Con Desemp Zee356h (70003095)</t>
  </si>
  <si>
    <t>MANG Pres BMB Vacio Nkr-Nhr 8944436441 (70003096)</t>
  </si>
  <si>
    <t>FILT COMB Planta E Fleetguard Fs1280 Pla (70003097)</t>
  </si>
  <si>
    <t>Acople Fijo Cardan (Oreja) Nhr-N 2284371 (70003098)</t>
  </si>
  <si>
    <t>Acople Brida Cardan Nhr-Nkr 2215191 (70003099)</t>
  </si>
  <si>
    <t>Amortiguador Tras Internatio 1667520 C1 (70003100)</t>
  </si>
  <si>
    <t>FILT COMB Paifander Nissan 16400 41 B (70003101)</t>
  </si>
  <si>
    <t>CIL Freno Tras Der Nkr Sin Pu 8970786820 (70003102)</t>
  </si>
  <si>
    <t>Leva Freno Tras Der Eagle 2210v7536 (70003103)</t>
  </si>
  <si>
    <t>Buje Leva Tras Eagle Am1225c127 (70003104)</t>
  </si>
  <si>
    <t>Soporte Espejo Izq Npr 8978562697 (70003105)</t>
  </si>
  <si>
    <t>Cojin Conductor Hi (70003106)</t>
  </si>
  <si>
    <t>Brazo Limpiabrisas Ftr 8980789741 (70003107)</t>
  </si>
  <si>
    <t>Bomba Principal Embrague Npr 8971674060 (70003108)</t>
  </si>
  <si>
    <t>Switch Freno Motr Eagle 2007308c1 (70003109)</t>
  </si>
  <si>
    <t>Manija Completa INTna PTA Der VW 21976 (70003110)</t>
  </si>
  <si>
    <t>Guaya Acelerador Npr 8971224942 (70003111)</t>
  </si>
  <si>
    <t>Codo Der Cromado KW 18014764cp (70003112)</t>
  </si>
  <si>
    <t>Amortiguad Amortiguador Del. Suzuki Fr80 (70003113)</t>
  </si>
  <si>
    <t>Oring Tapa Arranque Akt 125 (70003114)</t>
  </si>
  <si>
    <t>Rodamiento Eje Tras Volswaguen 3920/3982 (70003115)</t>
  </si>
  <si>
    <t>Hoja Resorte Delantera Eagle 2sv (70003116)</t>
  </si>
  <si>
    <t>Tornillo Graduacion VALV Npr 8943675262 (70003117)</t>
  </si>
  <si>
    <t>EMP Metalico Distrib Nh Isuzu 8971294271 (70003118)</t>
  </si>
  <si>
    <t>Hoja Resorte Del KWh 59400/3 (70003119)</t>
  </si>
  <si>
    <t>Cilindro Freno Tras-Der Nh 8971793360 (70003120)</t>
  </si>
  <si>
    <t>Farola Der Izq 3 Pin Cuadrada T Del 4652 (70003121)</t>
  </si>
  <si>
    <t>Acople MANG TANQ Acpm 9400 6910032830 (70003122)</t>
  </si>
  <si>
    <t>Piñon 5ta DeSplazabe Nkr III 8973730080 (70003123)</t>
  </si>
  <si>
    <t>FILT COMB Planta ELEC Fleetguard Fs 5052 (70003124)</t>
  </si>
  <si>
    <t>Cabina KWh (70003125)</t>
  </si>
  <si>
    <t>Yoke Hembra Deslizante Nhr-Nkr- 95615970 (70003126)</t>
  </si>
  <si>
    <t>Fusible Electronico 7.5 Amperi (70003127)</t>
  </si>
  <si>
    <t>Puerta Izquierda Jac Jhr 100030ld390nxa (70003128)</t>
  </si>
  <si>
    <t>Tapa DEP Agua RAD Hi 15 Psi 3578833c3 (70003129)</t>
  </si>
  <si>
    <t>Kit Camisa Isx 150mm Sin Apr 4376430 (70003130)</t>
  </si>
  <si>
    <t>Antena Radio Pasacintas (70003131)</t>
  </si>
  <si>
    <t>Conjunto Perno RDA Tras FT 11 1023083430 (70003132)</t>
  </si>
  <si>
    <t>Guaya Neutro Cambios Ftr Mod 2012 898041 (70003133)</t>
  </si>
  <si>
    <t>Switch P/Freno Sg8jf7b/S 700 H 2.82e+106 (70003134)</t>
  </si>
  <si>
    <t>Rodamiento Del Externo FT 112 1023331227 (70003135)</t>
  </si>
  <si>
    <t>CIL EMB Jac Jhr 1035 1609010ld0 (70003136)</t>
  </si>
  <si>
    <t>Lampara Farola IZQ HN 500 81150e0671 (70003137)</t>
  </si>
  <si>
    <t>Barra Corta Direc Hino 500 45440e0v50 (70003138)</t>
  </si>
  <si>
    <t>Amortiguador Silla Int Prostar 23252101 (70003139)</t>
  </si>
  <si>
    <t>Soporte Cardan Isx 9400 Ds10094142 (70003140)</t>
  </si>
  <si>
    <t>Empaque Tapa Palanca Cambios SB N14 1642 (70003141)</t>
  </si>
  <si>
    <t>Capuchon Bujia Moto Varias B0110616 (70003142)</t>
  </si>
  <si>
    <t>Bendix De 10 Dientes Delco Remy 1113277 (70003143)</t>
  </si>
  <si>
    <t>MANG AIR AC Baja Presion KW T F501089112 (70003144)</t>
  </si>
  <si>
    <t>Caucho Suspens Neway Eagle 90008151 (70003145)</t>
  </si>
  <si>
    <t>Microsuiche Clutch 3-Cables 2041792c91 (70003146)</t>
  </si>
  <si>
    <t>Disco Freno Trasero Moto Akt200xm (70003147)</t>
  </si>
  <si>
    <t>Cable Encauchetado 2 X 14 (70003148)</t>
  </si>
  <si>
    <t>Balancin Muelle Del Nhr 8941133223 (70003149)</t>
  </si>
  <si>
    <t>Yoke Tras Yoke Tras. Kenworth 1704361 Ix (70003150)</t>
  </si>
  <si>
    <t>Eje De Toma Transmision Nkr I 8971776830 (70003151)</t>
  </si>
  <si>
    <t>Tren Fijo Trasmision Nkr III 8972041040 (70003152)</t>
  </si>
  <si>
    <t>Carcaza Caja Nkr III 8972041080 (70003153)</t>
  </si>
  <si>
    <t>Tablero Cabina KWh (70003154)</t>
  </si>
  <si>
    <t>Cabrilla Direc Kemworth J916000100 (70003155)</t>
  </si>
  <si>
    <t>Guaya Corta Freno Emergencia FT Mv5 7705 (70003156)</t>
  </si>
  <si>
    <t>BRR Corta De DIR INTnacional 3595265c92 (70003157)</t>
  </si>
  <si>
    <t>CAM Freno Tras Izq Jac 1120 Bq01290450 (70003158)</t>
  </si>
  <si>
    <t>Recibidor Tapasol Izq INT Lt 3715185c2 (70003159)</t>
  </si>
  <si>
    <t>Manguera Inf Radiador Nhr 97089916 (70003160)</t>
  </si>
  <si>
    <t>Hoja Resorte Del Der FT 1128 5946769839 (70003161)</t>
  </si>
  <si>
    <t>Pedal Acelerador Con SENS FT 7705946304 (70003162)</t>
  </si>
  <si>
    <t>Juego Escobillas Arranque Npr Ktc 211-44 (70003163)</t>
  </si>
  <si>
    <t>Juego Escobillas ARR Npr 69-8113 Carbon (70003164)</t>
  </si>
  <si>
    <t>Disco Embregue Jac 1120 1601200le352xz (70003165)</t>
  </si>
  <si>
    <t>Gorro Valvula Culata Motor Isx 4356366 (70003166)</t>
  </si>
  <si>
    <t>Diferencial Completa HN 300 6x35 Remanuf (70003167)</t>
  </si>
  <si>
    <t>Chapeta Ext Frontal CAB Npr 8942798140 (70003168)</t>
  </si>
  <si>
    <t>Clip Panel Tapizado Techo N200 9001853 (70003169)</t>
  </si>
  <si>
    <t>Base Filtro Acpm/Cxu Gu Mack 2330000268 (70003170)</t>
  </si>
  <si>
    <t>Carcaza Carevaca KW RTO 16915 A6064 (70003171)</t>
  </si>
  <si>
    <t>Separador Embrague SB 125327 E (70003172)</t>
  </si>
  <si>
    <t>Sensor Pres Aceite Motor Npr 8971762301 (70003173)</t>
  </si>
  <si>
    <t>Valvula De Seguridad Eagle 5003911 (70003174)</t>
  </si>
  <si>
    <t>Radiador Aceite Caja Prostar 2602982C91 (70003175)</t>
  </si>
  <si>
    <t>Tapa Radiador SB V21208-320 (70003176)</t>
  </si>
  <si>
    <t>Swich Elevavidrio Der FT 1039 7705946305 (70003177)</t>
  </si>
  <si>
    <t>Bomper Frontal Foton 1065 5946858274 (70003178)</t>
  </si>
  <si>
    <t>SENS Posicion Cigüeñal HY H10 3965042600 (70003179)</t>
  </si>
  <si>
    <t>Espejo IZQ Completo INTn Lt 4188588c91 (70003180)</t>
  </si>
  <si>
    <t>Direcal Puerta Rh Hino 500 8.17e+44 (70003181)</t>
  </si>
  <si>
    <t>Kit Cauchos Sellos BMB Engran 4089431rki (70003182)</t>
  </si>
  <si>
    <t>MANG ENT Agua MOT FT MV5 5946027137 (70003184)</t>
  </si>
  <si>
    <t>Retenedor Cigueñal Tras 3006737 (70003185)</t>
  </si>
  <si>
    <t>Rodamiento Tras Ext Foton1039 1023676472 (70003186)</t>
  </si>
  <si>
    <t>Soporte Barra Tensora KW T800 750220 (70003187)</t>
  </si>
  <si>
    <t>Grapa 1 Ballest Del Foton1039 1023085250 (70003188)</t>
  </si>
  <si>
    <t>Tope Ballesta Del Foton 1039 5946463676 (70003189)</t>
  </si>
  <si>
    <t>Buje Cent Cauch Basti Eagl KW H29483005l (70003190)</t>
  </si>
  <si>
    <t>Rodamiento Int Tras Jac 1120 9707510900 (70003191)</t>
  </si>
  <si>
    <t>Rodamiento Ext Tras Jac 1120 9706510810 (70003192)</t>
  </si>
  <si>
    <t>Pasador Muelle Del KW T800 B65-1002 (70003193)</t>
  </si>
  <si>
    <t>Amortiguador Del Foton 1039 1023085205 (70003194)</t>
  </si>
  <si>
    <t>Corbatin Barra Tensora KW T800 90008265 (70003195)</t>
  </si>
  <si>
    <t>Aran Buje Sus Nw Tras Barr V KW 93600561 (70003196)</t>
  </si>
  <si>
    <t>Arand Plana Torni Susp KW T800 93600168 (70003197)</t>
  </si>
  <si>
    <t>Tornillo Hexag 18x6 Gr8 Adz KW 93004301 (70003198)</t>
  </si>
  <si>
    <t>Arandel Tornillo Zapa Susp KW 1123000101 (70003199)</t>
  </si>
  <si>
    <t>Tornillo Para Buje Trifunsion 1 1/8" X 1 (70003200)</t>
  </si>
  <si>
    <t>Tornillo Suspens Neumat Eagle 2022650 C1 (70003201)</t>
  </si>
  <si>
    <t>Rodamiento Tras Int Foton1039 1023774888 (70003202)</t>
  </si>
  <si>
    <t>Buje Muelle Del FRR 8980821760 (70003203)</t>
  </si>
  <si>
    <t>Pasador Mulle Del FRR 8983742810 (70003204)</t>
  </si>
  <si>
    <t>Varilla Regulac Valvula Eagle 2597087C1 (70003205)</t>
  </si>
  <si>
    <t>Set Rodill/Cuna 653/663 Trail Dit SET405 (70003206)</t>
  </si>
  <si>
    <t>Ballesta Del Foton 1039 7701023085199 (70003207)</t>
  </si>
  <si>
    <t>Buje Barra Estabilizad En V KW 90008264 (70003208)</t>
  </si>
  <si>
    <t>Reten Rueda Del Foton BJ1039 1023998475 (70003209)</t>
  </si>
  <si>
    <t>Rodamien Del Ext Foton BJ1039 1023981187 (70003210)</t>
  </si>
  <si>
    <t>Rodamiento Del Ext Foton 1039 5946720830 (70003211)</t>
  </si>
  <si>
    <t>Rodamiento Del Int Foton 1065 1023706698 (70003212)</t>
  </si>
  <si>
    <t>Soporte Amortig Tras Prostar 2036086C91 (70003213)</t>
  </si>
  <si>
    <t>Buje Tijera Hyundai (70003214)</t>
  </si>
  <si>
    <t>Amortiguador Del Hyundai (70003215)</t>
  </si>
  <si>
    <t>Tensor Ajustable Trailer 12" 2199/01 (70003216)</t>
  </si>
  <si>
    <t>Tensor Fijo Corto 4201 (70003217)</t>
  </si>
  <si>
    <t>Barra Torsion Nkr Rewar 8980200954 (70003218)</t>
  </si>
  <si>
    <t>Rodillo Rueda Del Externo Hino 500 30310 (70003219)</t>
  </si>
  <si>
    <t>Rodillo Rueda Del Intero Hino 500 32307 (70003220)</t>
  </si>
  <si>
    <t>Rodillo Rueda Tras Int Hino 500 32213 (70003221)</t>
  </si>
  <si>
    <t>Rodillo Rueda Tras Ext Hino 500 32215 (70003222)</t>
  </si>
  <si>
    <t>Retenedor Rueda Del Hino 500 S300FC4JJU (70003223)</t>
  </si>
  <si>
    <t>Retenedor Rda Tras Int Hino 500 S720FB4J (70003224)</t>
  </si>
  <si>
    <t>Retenedor Rda Tras Ext Hino 500 FC9JS730 (70003225)</t>
  </si>
  <si>
    <t>Tapa Cubo Contenedor (70003226)</t>
  </si>
  <si>
    <t>Set Rodillo 75 Diferencial Nhr 382S 387A (70003227)</t>
  </si>
  <si>
    <t>Tijera Izq Foton MV5 5946027464 (70003228)</t>
  </si>
  <si>
    <t>Tijera Der Foton MV5 5946027496 (70003229)</t>
  </si>
  <si>
    <t>Caucho Buje Amortig Nkr Reward8943821490 (70003230)</t>
  </si>
  <si>
    <t>Tuerca Eje Hino Dutro Pro 9017828001 (70003231)</t>
  </si>
  <si>
    <t>Hoja Resorte Del KW59400/1 (70003232)</t>
  </si>
  <si>
    <t>Amortiguador Cabina Mack 20874147 (70003233)</t>
  </si>
  <si>
    <t>Balancin Muelle Del FRR 1511620370 (70003234)</t>
  </si>
  <si>
    <t>Cono Esparrago Npr 8973600040 (70003235)</t>
  </si>
  <si>
    <t>Tuerca Esparrago Npr 911802100 (70003236)</t>
  </si>
  <si>
    <t>Set Rodillo Rueda Tras 403 594A SET40 (70003237)</t>
  </si>
  <si>
    <t>Set Rodillo Rda Del Inter Nhr 32208 (70003238)</t>
  </si>
  <si>
    <t>Set Rodi Rda Del Ext Hi466 SET406 K3782 (70003239)</t>
  </si>
  <si>
    <t>Set Rodillo Rda Tras SB N14 SET403 594-A (70003240)</t>
  </si>
  <si>
    <t>Tope Caucho Muelle Tras Nkr 8983350390 (70003241)</t>
  </si>
  <si>
    <t>Perno Rueda Tras Foton MV5 7705946033251 (70003242)</t>
  </si>
  <si>
    <t>Buje Inf Tras Balle Foton MV5 5946027229 (70003243)</t>
  </si>
  <si>
    <t>Tijera Suspens Renault Master (70003244)</t>
  </si>
  <si>
    <t>Bombona Suspens Cabina KW T800 CMR7001P (70003245)</t>
  </si>
  <si>
    <t>Buje De Ballesta 7701023434379 Foton1039 (70003246)</t>
  </si>
  <si>
    <t>Buje Barra Estab 7701023085342 Foton1039 (70003247)</t>
  </si>
  <si>
    <t>Rodillo Rueda Del Renault (70003248)</t>
  </si>
  <si>
    <t>Base Asiento Sup Grapa KW H56805000 (70003249)</t>
  </si>
  <si>
    <t>Bomba Suspens Cabina KW T800 WO13587001 (70003250)</t>
  </si>
  <si>
    <t>Cuñas De Valvulas Culata Eagle 3680883 (70003251)</t>
  </si>
  <si>
    <t>Culata Motor Foton MV5 5946015776 (70003252)</t>
  </si>
  <si>
    <t>Rodillo Externo Rueda Tras FRR 57072JR (70003253)</t>
  </si>
  <si>
    <t>Retenedor Extreno Rueda Tras FRR 69095 (70003254)</t>
  </si>
  <si>
    <t>Rodillo Rueda Tras FRR 32213 (70003255)</t>
  </si>
  <si>
    <t>Retenedor Rueda Del Nhr R63x80x9 S (70003256)</t>
  </si>
  <si>
    <t>Retenedor Rueda Del Hi 6638 (70003257)</t>
  </si>
  <si>
    <t>Retenedor Rda Del Npr-Nkr 8942481171 (70003258)</t>
  </si>
  <si>
    <t>Reten Rueda Tras Camion Y Mula 370003-A (70003259)</t>
  </si>
  <si>
    <t>Retenedor Rueda Tras Traile 370036A (70003260)</t>
  </si>
  <si>
    <t>Retenedor Rueda National Trailer 376590A (70003261)</t>
  </si>
  <si>
    <t>Set Rodillos Conicos Foton 112 33114FAG (70003262)</t>
  </si>
  <si>
    <t>Set Rodillos Conicos Foton 1129 33116FAG (70003263)</t>
  </si>
  <si>
    <t>Rodillo Rda Del Exter SB N14 K-555 S.B (70003264)</t>
  </si>
  <si>
    <t>Set Rodillo Rda Tras Exter SB N14 SET401 (70003265)</t>
  </si>
  <si>
    <t>Set Rodillo Rda Del Ext Nhr 32206 (70003266)</t>
  </si>
  <si>
    <t>Tubo Compresor Isx9400 4059312 (70003267)</t>
  </si>
  <si>
    <t>Tapa Depos Hidr Foton BJ1129 1023722438 (70003268)</t>
  </si>
  <si>
    <t>Tubo Inyecc Comb N2 Nkr Rewar 8982037200 (70003269)</t>
  </si>
  <si>
    <t>Soporte Tras Der Motor Eagle 3524036C1 (70003270)</t>
  </si>
  <si>
    <t>Tubo Refrigeracion Turbo FRR 8973872710 (70003271)</t>
  </si>
  <si>
    <t>Tubo De Lubricac Rtlo16918 Eagle 4305715 (70003272)</t>
  </si>
  <si>
    <t>Chavet D Retenc Bulon Motor Eagle3064305 (70003273)</t>
  </si>
  <si>
    <t>Deposito De Expansion Jac Jkr 1311010LE0 (70003274)</t>
  </si>
  <si>
    <t>Modulo Ecu Foton MV5 5946027571 (70003275)</t>
  </si>
  <si>
    <t>Bomba Aceite Motor Nkr Rewar 8982326241 (70003276)</t>
  </si>
  <si>
    <t>Piñon Cade Distr Motor Nkr Rew8973123301 (70003277)</t>
  </si>
  <si>
    <t>Cauc Mont Cub Tapa Válv Nkr Rw8973815240 (70003278)</t>
  </si>
  <si>
    <t>Correa Alternador Mack Cxu-Gu 2330000312 (70003279)</t>
  </si>
  <si>
    <t>Culata Compresor Mack Cxu-Gu 912955 (70003280)</t>
  </si>
  <si>
    <t>Esparrago Multiple Escape Isx 4965698 (70003281)</t>
  </si>
  <si>
    <t>Arbol Levas Hyund Porter H100 G241104250 (70003282)</t>
  </si>
  <si>
    <t>Tubo Retor Aceit Turbo Nkr Rew8973814892 (70003283)</t>
  </si>
  <si>
    <t>Culata Compresor Aire FRR 1191100750 (70003284)</t>
  </si>
  <si>
    <t>Rele Limpiabris Mtg Foton MV5 1023491389 (70003285)</t>
  </si>
  <si>
    <t>Plato Compresor Aire FRR 8982717130 (70003286)</t>
  </si>
  <si>
    <t>Cuerpo De Acel Compl Motor N200 24556341 (70003287)</t>
  </si>
  <si>
    <t>Media Luna Tapa Valvulas Npr 8981639130 (70003288)</t>
  </si>
  <si>
    <t>Asiento Valvula Escape Isx Eagle 3679537 (70003289)</t>
  </si>
  <si>
    <t>Asiento Valvula Admis Isx Eagle 3104445 (70003290)</t>
  </si>
  <si>
    <t>Tanque Aire Fabricado (70003291)</t>
  </si>
  <si>
    <t>Tapa Llen Acei Mot Fot BJ1039 1023521185 (70003292)</t>
  </si>
  <si>
    <t>Tapa Llenado Aceite 3081143 (70003293)</t>
  </si>
  <si>
    <t>Tapa Dep Agua Radiad Hi 10Psi 2039390C1 (70003294)</t>
  </si>
  <si>
    <t>Tapa Radiador 10 Psi 130704 C1 (70003295)</t>
  </si>
  <si>
    <t>Tapon Carter Hi 466 1841264 C1 (70003296)</t>
  </si>
  <si>
    <t>Tapon Filtro Acpm Isx 4059445 Generico (70003297)</t>
  </si>
  <si>
    <t>Bomba De Agua Hyundai (70003298)</t>
  </si>
  <si>
    <t>Guia Cadena Inf Distribuc N200 24518548 (70003299)</t>
  </si>
  <si>
    <t>Guia Cadena Sup Distribuc N200 24518549 (70003300)</t>
  </si>
  <si>
    <t>Carcaza Filtro Aire N200 24540989 (70003301)</t>
  </si>
  <si>
    <t>Carcaza Filtro Aire Jack 1120 1109100LE0 (70003302)</t>
  </si>
  <si>
    <t>Oring Base Termostato Mack 20479636 (70003303)</t>
  </si>
  <si>
    <t>Tubo Base Termostato Mack 21021925 (70003304)</t>
  </si>
  <si>
    <t>Rociador Aceite Isx Eagle3687058 3412860 (70003305)</t>
  </si>
  <si>
    <t>Tapa De Balancin Motor Isx Eagle 4026587 (70003306)</t>
  </si>
  <si>
    <t>Cremallera Volante Nkr Rewar 8970463661 (70003307)</t>
  </si>
  <si>
    <t>Oring Tubo Caja Termostatica Mack1547554 (70003308)</t>
  </si>
  <si>
    <t>Oring Codo Turbo Eagle Isx 3682177 (70003309)</t>
  </si>
  <si>
    <t>Kit Oring Pulgadas (70003311)</t>
  </si>
  <si>
    <t>Bomba Vacio Motor Nkr Rewar 8982517640 (70003312)</t>
  </si>
  <si>
    <t>Piñon Cigueñal Motor Nkr Rewar8981549451 (70003313)</t>
  </si>
  <si>
    <t>Radiador Mot Foton BJ1039 7701023775328 (70003314)</t>
  </si>
  <si>
    <t>Manguera Depos Hidraul Prostar 3611990C2 (70003315)</t>
  </si>
  <si>
    <t>Soporte Motor Izq Nkr Redward 8980430010 (70003316)</t>
  </si>
  <si>
    <t>Soporte Motor Der Nkr Redward 8980430000 (70003317)</t>
  </si>
  <si>
    <t>Bomba De Agua Foton MV5 7705946019569 (70003318)</t>
  </si>
  <si>
    <t>Conec Bomba Agua Foton MV5 7705946023030 (70003319)</t>
  </si>
  <si>
    <t>Tapa Radiador Foton 1039 7701023618113 (70003320)</t>
  </si>
  <si>
    <t>Tapa Radiadoe Foton 1039 7701023618113 (70003321)</t>
  </si>
  <si>
    <t>Tapa Combustible Foton 1129 1023543293 (70003322)</t>
  </si>
  <si>
    <t>Varilla Int Radiador Prostar 3838980C1 (70003323)</t>
  </si>
  <si>
    <t>Soporte Motor Tras R Master 8200675206 (70003324)</t>
  </si>
  <si>
    <t>Coraza Ventilador Prostar 2591615C91 (70003325)</t>
  </si>
  <si>
    <t>Piñon Eje Levas Valvu Motor Eagle3680522 (70003326)</t>
  </si>
  <si>
    <t>Carcaza Repartic Motor Isx Eagle 4059396 (70003327)</t>
  </si>
  <si>
    <t>Correa Bba Hidra Foton BJ1039 5946312943 (70003328)</t>
  </si>
  <si>
    <t>Correa Venti Alter Fot BJ1039 1023521758 (70003329)</t>
  </si>
  <si>
    <t>Bomba Aceite N200 24558579 (70003330)</t>
  </si>
  <si>
    <t>Piñon Spedd Del De 46 Dientes 3892QN94 (70003331)</t>
  </si>
  <si>
    <t>Sopor Tras Motor KW T800 Mod Nuev 116811 (70003332)</t>
  </si>
  <si>
    <t>Culata Motor FRR 8981706190 (70003333)</t>
  </si>
  <si>
    <t>Soporte Motor Der R Master 8200022596 (70003334)</t>
  </si>
  <si>
    <t>Soporte Motor Del Eagle 1664724 C3 (70003335)</t>
  </si>
  <si>
    <t>Valvula De Admision Motor FRR 8943958822 (70003336)</t>
  </si>
  <si>
    <t>Valvula De Escape Motor FRR 8972098764 (70003337)</t>
  </si>
  <si>
    <t>Sellos Valvula Culata FRR 8973767200 (70003338)</t>
  </si>
  <si>
    <t>Polea Tens Cadenilla Nkr Rewar8979450700 (70003339)</t>
  </si>
  <si>
    <t>Harnes Bomba De Levante Eagle Isx4973486 (70003340)</t>
  </si>
  <si>
    <t>Tornillo Base Fancluch Eagle 30748R2 (70003341)</t>
  </si>
  <si>
    <t>Reten Tras Cigueñal Nkr / Lub 8970252060 (70003342)</t>
  </si>
  <si>
    <t>Guia Valvula Motor Isx Eagle 4026657 (70003343)</t>
  </si>
  <si>
    <t>Soporte Motor Tras Origin Eagle 8077380 (70003344)</t>
  </si>
  <si>
    <t>Manguera Inf Radiador N200 (70003345)</t>
  </si>
  <si>
    <t>Valvula Control Egr Nkr Rewar 8982382591 (70003346)</t>
  </si>
  <si>
    <t>Cigueñal Nhr Sin Turbo 8971909282 (70003347)</t>
  </si>
  <si>
    <t>Carcaza Sistema Combustible Isx 4025255 (70003348)</t>
  </si>
  <si>
    <t>Arand Sopor Motor Tras Prostar 1664730C5 (70003349)</t>
  </si>
  <si>
    <t>Tubo Aceite Alim Turbo Nkr Rew8973814880 (70003350)</t>
  </si>
  <si>
    <t>Carcaza Filtro Aire Foton1039 7701023775 (70003351)</t>
  </si>
  <si>
    <t>Soporte Protec Motor Nkr Rewar8980062241 (70003352)</t>
  </si>
  <si>
    <t>Bombin Nkr Rewar 8979488920 (70003353)</t>
  </si>
  <si>
    <t>Empaq Ducto Escape A Turbo FRR8973767580 (70003354)</t>
  </si>
  <si>
    <t>Valvula Limitad Comb Nkr Rewar8980325490 (70003355)</t>
  </si>
  <si>
    <t>Tubo Esca Freno Ahogo Nkr Rew 8980759660 (70003356)</t>
  </si>
  <si>
    <t>Soporte Montaje Motor N200 24530204 (70003357)</t>
  </si>
  <si>
    <t>Tornillo Volanta Motor FRR 8943348701 (70003358)</t>
  </si>
  <si>
    <t>Bujia De Encendido Foton 5946023153 (70003359)</t>
  </si>
  <si>
    <t>Manguera Calefactor Nkr Rewar 8973830481 (70003360)</t>
  </si>
  <si>
    <t>Tubo Intercooler KW T800 D661019 (70003361)</t>
  </si>
  <si>
    <t>Cuerpo De Acelerac Foton MV5 5946019484 (70003362)</t>
  </si>
  <si>
    <t>Carca Filtr Aire KW T800 G112504 D140069 (70003363)</t>
  </si>
  <si>
    <t>Intercooler KWork T800 S23794 (70003364)</t>
  </si>
  <si>
    <t>Inyector Vans N200 (70003365)</t>
  </si>
  <si>
    <t>Inyecctor Renault Master (70003366)</t>
  </si>
  <si>
    <t>Soporte Sup Radiador KW T800 A241218 (70003367)</t>
  </si>
  <si>
    <t>Kit Super Overjol Isx SKISX4376171BC (70003368)</t>
  </si>
  <si>
    <t>Volante Motor FRR 8980563552 (70003369)</t>
  </si>
  <si>
    <t>Tornillo Eje Piñon D Levas FRR8971131670 (70003370)</t>
  </si>
  <si>
    <t>Casque Eje De Levas Motor FRR 8973861890 (70003371)</t>
  </si>
  <si>
    <t>Empaquetadura Motor FRR 5878179581 (70003372)</t>
  </si>
  <si>
    <t>Canasti Propul De 5ta Npr Nkr 8981899700 (70003373)</t>
  </si>
  <si>
    <t>Pin Pasador Selector Nkr 1097480320 (70003374)</t>
  </si>
  <si>
    <t>Casquetes Biela Isx 3686435 (70003375)</t>
  </si>
  <si>
    <t>Emblem Reflec Persiana KW T800 L53100210 (70003376)</t>
  </si>
  <si>
    <t>Sop Inf Radia Frente Chasi KW800 A241219 (70003377)</t>
  </si>
  <si>
    <t>Kit De Reparticion T Prado (70003378)</t>
  </si>
  <si>
    <t>Carcasa Purificadora Jack 1109100LD4 (70003379)</t>
  </si>
  <si>
    <t>Tapa Tque Aux Radiad FotonMV5 1023488419 (70003380)</t>
  </si>
  <si>
    <t>Clip Inyector Comb Nkr Rewar 8973152860 (70003381)</t>
  </si>
  <si>
    <t>Te Tubo Inyector Nkr Rewar 8981610610 (70003382)</t>
  </si>
  <si>
    <t>Buje Tapa Valvulas Nkr Rewar 8980361200 (70003383)</t>
  </si>
  <si>
    <t>Aro Enfoc Ventilad Nkr Rewar 8980546590 (70003384)</t>
  </si>
  <si>
    <t>Carcaza Reparticion Nkr Rewar 8998074747 (70003385)</t>
  </si>
  <si>
    <t>Riel De Inyeccion MV5 7705946019514 (70003386)</t>
  </si>
  <si>
    <t>Sensor Cigueñal Nkr Rewar 8973121081 (70003387)</t>
  </si>
  <si>
    <t>Sello Del Termostato 186780 (70003388)</t>
  </si>
  <si>
    <t>Indicador Restric Aire Eagle 3612631C91 (70003389)</t>
  </si>
  <si>
    <t>Enfria Aceite Nkr Rew Mod2014 8981967390 (70003390)</t>
  </si>
  <si>
    <t>Buje Bomba De Aceite Npr 8980915660 (70003391)</t>
  </si>
  <si>
    <t>Oring Inyector Motor MV5 (70003392)</t>
  </si>
  <si>
    <t>Eje Arbol De Levas Admision/Escape N200 (70003393)</t>
  </si>
  <si>
    <t>Templete Radiador KW T800 F651080637 (70003394)</t>
  </si>
  <si>
    <t>Empaque Tapa Valvula 4HK1 FRR 8973313591 (70003395)</t>
  </si>
  <si>
    <t>Empaq Culata 4HK1T 1 Muesc FRR8982885020 (70003396)</t>
  </si>
  <si>
    <t>Manguera Inf Radiador FRR 8980074530 (70003397)</t>
  </si>
  <si>
    <t>Repuestos Varios Nissan Pathfinder (70003398)</t>
  </si>
  <si>
    <t>Tubo Salida Tanque Comb MV5 7705946027 (70003399)</t>
  </si>
  <si>
    <t>Tapa Deposito Aux Radiado KW800 N5348001 (70003400)</t>
  </si>
  <si>
    <t>Tapa Depos Llena Aux Radiado KW800 RC006 (70003401)</t>
  </si>
  <si>
    <t>Tubo Agua Enfriador Aceite Nkr8972256041 (70003402)</t>
  </si>
  <si>
    <t>Camisilla Culata Motor Isx Eagle (70003403)</t>
  </si>
  <si>
    <t>Culata Compresor FTR 8981670130 (70003404)</t>
  </si>
  <si>
    <t>Torni Bristol Balan Nkr Rewar 8X40 mm G5 (70003405)</t>
  </si>
  <si>
    <t>Carcaz Filtro Foton BJ1039 7701023775137 (70003406)</t>
  </si>
  <si>
    <t>Manguera Purificadora Aire N200 24512523 (70003407)</t>
  </si>
  <si>
    <t>Piñon Cigueñal 24518544 N200 (70003408)</t>
  </si>
  <si>
    <t>Varilla Medidora De Aceite N200 9052799 (70003409)</t>
  </si>
  <si>
    <t>Bomba De Agua Foton 7705946019569 (70003410)</t>
  </si>
  <si>
    <t>Racor Recto B68r 3/8 Sinflex X 1/2 Npt (70003411)</t>
  </si>
  <si>
    <t>Racor Recto B68r 1/2 Sinflex X 1/2 Npt (70003412)</t>
  </si>
  <si>
    <t>Racor Union Rapido 4mm (70003413)</t>
  </si>
  <si>
    <t>Racor Union Bronce 3/4 (70003414)</t>
  </si>
  <si>
    <t>Racor Union Bronce 4mm (70003415)</t>
  </si>
  <si>
    <t>Racor B 122 1/2 X 1/4 544A (70003416)</t>
  </si>
  <si>
    <t>Conector Rapido Rosca Macho 1/4 Man 3/8 (70003417)</t>
  </si>
  <si>
    <t>Abrazadera Cremallera 104 (70003418)</t>
  </si>
  <si>
    <t>Abrazadera Cremallera 128 (70003419)</t>
  </si>
  <si>
    <t>Racor Codo B69R 90° 1/8 Sinfle X 4mm Npt (70003420)</t>
  </si>
  <si>
    <t>Varilla Medid Aceite R Master 200676299 (70003421)</t>
  </si>
  <si>
    <t>Radiador Agua Motor Eagle 2591560C91 (70003422)</t>
  </si>
  <si>
    <t>Enfriadora Aceite Nkr Rewar 8982704970 (70003423)</t>
  </si>
  <si>
    <t>Tubo Retor Riel Inyec Nkr Rew 8980096990 (70003424)</t>
  </si>
  <si>
    <t>Piston Motor Std N200 90002783 (70003425)</t>
  </si>
  <si>
    <t>Guaya Acelerador Foton MV5 5946027533 (70003426)</t>
  </si>
  <si>
    <t>Palanca Freno Parqu Foton MV5 1023488037 (70003427)</t>
  </si>
  <si>
    <t>Camara Tras Der Fre Foton1120 1023775274 (70003428)</t>
  </si>
  <si>
    <t>Disco De Freno Fotom 1030 5946451734 (70003429)</t>
  </si>
  <si>
    <t>Juego Pastas Dels Doonfeng 7570 (70003430)</t>
  </si>
  <si>
    <t>Cilin Freno Del Der Jac Jhr D84013501340 (70003431)</t>
  </si>
  <si>
    <t>Tornillo Tensor Trailer COA0163-01 (70003432)</t>
  </si>
  <si>
    <t>Cilind Fre Del Der Jac Jhr D84013501040 (70003433)</t>
  </si>
  <si>
    <t>Campana Tras Foton 1039 1023777292 (70003434)</t>
  </si>
  <si>
    <t>Cili Fre Tras Izq C P Fot1039 5946321587 (70003435)</t>
  </si>
  <si>
    <t>Disco Freno Del Der Jac Jhr 3501020D84 (70003436)</t>
  </si>
  <si>
    <t>Disco Freno Del Izq Jac Jhr 3501010D84 (70003437)</t>
  </si>
  <si>
    <t>Rache Freno Tras Izq Jac 1120 BV00010410 (70003438)</t>
  </si>
  <si>
    <t>Racor Recto B68r 1/4 Sinflex X 1/8 Npt (70003441)</t>
  </si>
  <si>
    <t>Racor Codo B68r 3/8 Sinflex X 3/8 Npt (70003442)</t>
  </si>
  <si>
    <t>Bocin Del Izq Renault Master (70003443)</t>
  </si>
  <si>
    <t>Campana Freno Del Jac 1120 2100320400 (70003444)</t>
  </si>
  <si>
    <t>Cili Fre Tub Sang Del Fot1039 5946484862 (70003445)</t>
  </si>
  <si>
    <t>Kit Chu Cilin Fre Del Fot1039 5946037945 (70003446)</t>
  </si>
  <si>
    <t>Disco De Freno MV3 Nl 7705946028073 (70003447)</t>
  </si>
  <si>
    <t>Cilin Fren Del Rh Fot 1039 7705946484879 (70003448)</t>
  </si>
  <si>
    <t>Disco Freno MV5 Nl 7705946315050 (70003449)</t>
  </si>
  <si>
    <t>Bomba Alta Presion Nkr Rewar 8973815555 (70003450)</t>
  </si>
  <si>
    <t>Resorte Zapata Freno Eagle 2258H1230 (70003451)</t>
  </si>
  <si>
    <t>Perno Rda Tca Tras Fotón MV5 1023706407 (70003452)</t>
  </si>
  <si>
    <t>Juego Pastas Freno Del Hyundai (70003453)</t>
  </si>
  <si>
    <t>Bocin Rueda Del KWhb-676 (70003454)</t>
  </si>
  <si>
    <t>Cilind Freno Del Lh Foton1039 5946484862 (70003455)</t>
  </si>
  <si>
    <t>Conjunto Freno De Parqueo Jac R170171600 (70003456)</t>
  </si>
  <si>
    <t>Banda Fre Tras Lh Fot 1030 7701023485883 (70003457)</t>
  </si>
  <si>
    <t>Banda Fre Tras Rh Fot 1030 7701023485890 (70003458)</t>
  </si>
  <si>
    <t>Cilindr Freno Tras Izq Cp Jac BJ1029AG-E (70003459)</t>
  </si>
  <si>
    <t>Disco Freno Jac Jkr 1035 YF35A104 1075 (70003460)</t>
  </si>
  <si>
    <t>Banda Portacontenedor 4718 Supertrack (70003461)</t>
  </si>
  <si>
    <t>Campana Bocin Europeo Trailer (70003462)</t>
  </si>
  <si>
    <t>Resorte Freno Tras Foton 1129 (70003463)</t>
  </si>
  <si>
    <t>Banda Tras Foton 1039 7705946655804 (70003464)</t>
  </si>
  <si>
    <t>Banda Del Foton 1039 7705946655798 (70003465)</t>
  </si>
  <si>
    <t>Banda Inf Tras Foton 1129 7705946326 (70003466)</t>
  </si>
  <si>
    <t>Banda Del Foton 1129 7701023082082 (70003467)</t>
  </si>
  <si>
    <t>Banda Sup Tras Foton 1129 770594632653 (70003468)</t>
  </si>
  <si>
    <t>Banda Freno Tras Jack 1120 - 9308 (70003469)</t>
  </si>
  <si>
    <t>Depos Liqui De Freno Nkr Rewar8973872193 (70003470)</t>
  </si>
  <si>
    <t>Banda Freno Emergencia Jac (70003471)</t>
  </si>
  <si>
    <t>Campana Freno Del Foton 1039 1023780575 (70003472)</t>
  </si>
  <si>
    <t>Sello Retenedor Hino 700018817 (70003473)</t>
  </si>
  <si>
    <t>Banda Freno Tras Nissan Urvan (70003474)</t>
  </si>
  <si>
    <t>Campana Tras Freno Foton 1129 7701023125 (70003475)</t>
  </si>
  <si>
    <t>Freno De Parqueo T Delta Completo (70003476)</t>
  </si>
  <si>
    <t>Cilindro Del Izq FRR 1476011750 (70003477)</t>
  </si>
  <si>
    <t>Cilin Fren Del Izq FRR Tub/Tub1476011740 (70003478)</t>
  </si>
  <si>
    <t>Cilindro Del Der FRR Tubo/Tub 1476011730 (70003479)</t>
  </si>
  <si>
    <t>Cilin Fren Del Der FRR Tub/Tub1476011720 (70003480)</t>
  </si>
  <si>
    <t>Valvula Relay Trailer 110700 (70003481)</t>
  </si>
  <si>
    <t>Banda Freno Del FTR 9006 (70003482)</t>
  </si>
  <si>
    <t>Banda Freno Tras FTR 9004 (70003483)</t>
  </si>
  <si>
    <t>Bocin Del 5 Hcos H Dutro Pro 4351137120 (70003484)</t>
  </si>
  <si>
    <t>Bomba Freno Principal Hino Dp 4720137290 (70003485)</t>
  </si>
  <si>
    <t>Valv Freno Protec 7 Ptos Eagle BX802701 (70003486)</t>
  </si>
  <si>
    <t>Cilin Fre Tras Der S Purga FRR1476011701 (70003487)</t>
  </si>
  <si>
    <t>Valv Fren Seg Botón Amar Freig RBW801315 (70003488)</t>
  </si>
  <si>
    <t>Banda Tras Nhr Nueva 8970350840 (70003489)</t>
  </si>
  <si>
    <t>Camar Freno Aho Jac1120 Ref 1203120LE399 (70003490)</t>
  </si>
  <si>
    <t>Guaya LH Fr Mano Foton MV5 7705946033244 (70003491)</t>
  </si>
  <si>
    <t>Set Rodillo Rda Del Ext Nkr 32207 (70003492)</t>
  </si>
  <si>
    <t>Bomba Freno Nkr 8972243740 (70003493)</t>
  </si>
  <si>
    <t>Esparrago Bocin Npr 8973598030 (70003494)</t>
  </si>
  <si>
    <t>Rodamiento Rueda Hino Dutro 700018743 (70003495)</t>
  </si>
  <si>
    <t>Collarin Tras Izq Eagle (70003496)</t>
  </si>
  <si>
    <t>Base Conexion Mang Aire Eagle 3590549C2 (70003497)</t>
  </si>
  <si>
    <t>Cilin Fre Tras Izq C Purga FRR1476011711 (70003498)</t>
  </si>
  <si>
    <t>Banda Trailer Nueva 4515 (70003499)</t>
  </si>
  <si>
    <t>Retenedor Bocin Montacarga (70003500)</t>
  </si>
  <si>
    <t>Limpiador De Frenos Montacarga (70003501)</t>
  </si>
  <si>
    <t>Cilin Fre Tras Der-Izq S P FRR1476011690 (70003502)</t>
  </si>
  <si>
    <t>Banda Freno 9403 Supertrack Jac (70003503)</t>
  </si>
  <si>
    <t>Banda Freno Tras Jac 1120 3502080E300TBK (70003504)</t>
  </si>
  <si>
    <t>Campana Tras MV5 Foton 7705946044738 (70003505)</t>
  </si>
  <si>
    <t>Reten Semieje 35x46x7 7701023086332 (70003506)</t>
  </si>
  <si>
    <t>Pin De Ojo Ext Leva Trailer (70003507)</t>
  </si>
  <si>
    <t>Racor 3/4 Valvu Aire Tanq Eagle3826347C1 (70003508)</t>
  </si>
  <si>
    <t>Rodaja Barril Corto 1 1/4" (70003509)</t>
  </si>
  <si>
    <t>Rodaja Barril Corto 1 1/4" 1 3/8" (70003510)</t>
  </si>
  <si>
    <t>Rodaja Barril Largo 1 1/2" (70003511)</t>
  </si>
  <si>
    <t>Bomba Freno KW T800 102626 (70003512)</t>
  </si>
  <si>
    <t>Rodaja Barril Largo 1 1/4" (70003513)</t>
  </si>
  <si>
    <t>Rodaja Barril Largo 1 3/4" (70003514)</t>
  </si>
  <si>
    <t>Rodaja Barril Largo 1 3/8" (70003515)</t>
  </si>
  <si>
    <t>Rodaja Barril Largo 1 7/8" (70003516)</t>
  </si>
  <si>
    <t>Rodaja Barril Largo 2" (70003517)</t>
  </si>
  <si>
    <t>Rodaja Barril Largo 1 5/8" (70003518)</t>
  </si>
  <si>
    <t>Rodaja Barril Largo 1" (70003519)</t>
  </si>
  <si>
    <t>Rache Automatic 10 Estri Tipo 3 Meritor (70003520)</t>
  </si>
  <si>
    <t>Guaya RH Freno Mano Foton MV5 7705946033 (70003521)</t>
  </si>
  <si>
    <t>Pasador Zapata Tipo Rodaja 1 1/4 (70003522)</t>
  </si>
  <si>
    <t>Filtro Aire AG961124R KW T800 (70003523)</t>
  </si>
  <si>
    <t>Filtro Aire KW T 800 AG961124R (70003524)</t>
  </si>
  <si>
    <t>Filtro Aire Fot BJ1039 Md2020 MAG961341R (70003525)</t>
  </si>
  <si>
    <t>Filtro Aire Hyundai H100 Porter (70003526)</t>
  </si>
  <si>
    <t>Filtro Aceite Hyundai H100 Porter (70003527)</t>
  </si>
  <si>
    <t>Filtro Combustible Hyundai H100 Porter (70003528)</t>
  </si>
  <si>
    <t>Filtro Combustible Renault Duster FF5857 (70003529)</t>
  </si>
  <si>
    <t>Filtro Aceite Renault Duster (70003530)</t>
  </si>
  <si>
    <t>Filtro De Aire Renault Duster (70003531)</t>
  </si>
  <si>
    <t>Filtro De Aire Mack Anthem 219125042054 (70003532)</t>
  </si>
  <si>
    <t>Filtro Aire Mack Anthem Goby AG871378A (70003533)</t>
  </si>
  <si>
    <t>Valvula Descargue Chasis KWh 289714 (70003534)</t>
  </si>
  <si>
    <t>Bomba Freno Eagle Prostar 800647 (70003535)</t>
  </si>
  <si>
    <t>Soporte Mangueras Freno Eagle 332088 (70003536)</t>
  </si>
  <si>
    <t>Retenedor Leva Frenos Eagle-SB 56121 (70003537)</t>
  </si>
  <si>
    <t>Pin De Ojo Int Leva Trailer (70003538)</t>
  </si>
  <si>
    <t>Filtro Separador Comb R90 Nkr 5876102200 (70003539)</t>
  </si>
  <si>
    <t>Filtro Aceite MF 65 Nissan Pathfinder (70003540)</t>
  </si>
  <si>
    <t>Filtro Comb Fip 311 Nissan Pathfinder (70003541)</t>
  </si>
  <si>
    <t>Filtro Aire Aip 554m Nissan Pathfinder (70003542)</t>
  </si>
  <si>
    <t>Filtro Aceite A 20 Nissan Urban (70003543)</t>
  </si>
  <si>
    <t>Filtro Comb Separador FS 18291 Nissan (70003544)</t>
  </si>
  <si>
    <t>Filtro Combustible A 5368 Nissan Urban (70003545)</t>
  </si>
  <si>
    <t>Filtro Aire Interno LF253 K Nissan Urban (70003546)</t>
  </si>
  <si>
    <t>Filtro Aire Externo LF2253 Nissan Urban (70003547)</t>
  </si>
  <si>
    <t>Filtro Aire Goby AG961234R (70003548)</t>
  </si>
  <si>
    <t>Filtro Aire Goby AG961239R (70003549)</t>
  </si>
  <si>
    <t>Filtro Aire Goby AG961087R (70003550)</t>
  </si>
  <si>
    <t>Filtro Aire Goby AG971263A (70003551)</t>
  </si>
  <si>
    <t>Filtro Aceite Foton 677868 Tm 30 (70003552)</t>
  </si>
  <si>
    <t>Filtro Aire Foton 677844 Tm 30 (70003553)</t>
  </si>
  <si>
    <t>Filtro Combustible Foton 677851 Tm 30 (70003554)</t>
  </si>
  <si>
    <t>Filtro Aceite Eagle 57746XD WIX KW800 (70003555)</t>
  </si>
  <si>
    <t>Filtro Aceite Transmision Mack2330000403 (70003556)</t>
  </si>
  <si>
    <t>Filtro Combustible Varios (70003557)</t>
  </si>
  <si>
    <t>Filtro Aceite Varios (70003558)</t>
  </si>
  <si>
    <t>Filtro Aire Varios (70003559)</t>
  </si>
  <si>
    <t>Filtro Comb Primario Foton BJ1039 158459 (70003560)</t>
  </si>
  <si>
    <t>Filtro Aceite Foton BJ 1039 455527 (70003561)</t>
  </si>
  <si>
    <t>Filtro Aire Foton BJ 1129 584685 (70003562)</t>
  </si>
  <si>
    <t>Filtro Comb Secund Foton BJ 1129 559164 (70003563)</t>
  </si>
  <si>
    <t>Filtro Comb Primar Foton BJ 1129 432030 (70003564)</t>
  </si>
  <si>
    <t>Filtro Aceite Foton BJ 1129 559171 (70003565)</t>
  </si>
  <si>
    <t>Filtro Secundario Jac 1120 1105030LE7 (70003566)</t>
  </si>
  <si>
    <t>Filtro De Combustible 526231 Jac FF5706 (70003567)</t>
  </si>
  <si>
    <t>Filtro De Aceite 5399594 Jac LF17535 (70003568)</t>
  </si>
  <si>
    <t>Filtro Trampa Comb Foton BJ 1129 556422 (70003569)</t>
  </si>
  <si>
    <t>Filtro Combustible Jac Jhr 1105010LD30J (70003570)</t>
  </si>
  <si>
    <t>Disco Embrague FRR 1312409493 (70003571)</t>
  </si>
  <si>
    <t>Balinera Embrague FRR 1876101100 (70003572)</t>
  </si>
  <si>
    <t>Prensa Embrague Hino Dutropro 700009654 (70003573)</t>
  </si>
  <si>
    <t>Balinera Embrague Hino 700009665 (70003574)</t>
  </si>
  <si>
    <t>Disco Embrague Hino 700007533 (70003575)</t>
  </si>
  <si>
    <t>Horquilla Embrague N200 24516970 (70003576)</t>
  </si>
  <si>
    <t>Balinera Embr Foton MV3-MV5 7701023485 (70003577)</t>
  </si>
  <si>
    <t>Cilindro Aux De Embr Hino 300 700009696 (70003578)</t>
  </si>
  <si>
    <t>Prensa Embrague Jack Jkr 1600100LE190 (70003579)</t>
  </si>
  <si>
    <t>Disco Embrague Jack Jkr 1600200LE190 (70003580)</t>
  </si>
  <si>
    <t>Kit Embrague Nkr Rewar / BWB 52135460 (70003581)</t>
  </si>
  <si>
    <t>Kit Embrague Foton BJ1039 5946329361 (70003582)</t>
  </si>
  <si>
    <t>Balinera Embrag Foton BJ1039 1023465083 (70003583)</t>
  </si>
  <si>
    <t>Manguera Pres De Embrag Nkr 8980839070 (70003584)</t>
  </si>
  <si>
    <t>Bomba Aux Embrag Hyundai H100 417004F000 (70003585)</t>
  </si>
  <si>
    <t>Filtro Carter PCV FRR 8980023460 (70003586)</t>
  </si>
  <si>
    <t>Exploradora Der Foton BJ1039 5946304948 (70003587)</t>
  </si>
  <si>
    <t>Exploradora Izq Foton 1039 5946304931 (70003588)</t>
  </si>
  <si>
    <t>Motor Tanque Limpiab Nkr Rewar8978551390 (70003589)</t>
  </si>
  <si>
    <t>Switch Direc Y Luces Van N200 5499648 (70003590)</t>
  </si>
  <si>
    <t>Sens Pres Atmosf/Barom Nkr Rew8980205140 (70003591)</t>
  </si>
  <si>
    <t>Pera Luz Rev Hino FC9J S842101400 (70003592)</t>
  </si>
  <si>
    <t>Solenoide Embrag Mack Md/Cxu 2330000312 (70003593)</t>
  </si>
  <si>
    <t>Farola Der Jac 1120 4121920LE010 (70003594)</t>
  </si>
  <si>
    <t>Stop Tras Izq Dongfen 4133100-BB010-A000 (70003595)</t>
  </si>
  <si>
    <t>Stop Tras Der Dongfen 4133200-BB010-A000 (70003596)</t>
  </si>
  <si>
    <t>Sensor Agua Jac Jkr Euro V 1105013LD393 (70003597)</t>
  </si>
  <si>
    <t>Tornillo Masa Arranque 42mt 76-1605 (70003598)</t>
  </si>
  <si>
    <t>Tornillo Motor De Arranque SB 5/8 X 2 1/ (70003599)</t>
  </si>
  <si>
    <t>Terminal Electrica De Ojo Faston 3/8 (70003600)</t>
  </si>
  <si>
    <t>Cilindro Embrague Jac 1609010LD291 (70003601)</t>
  </si>
  <si>
    <t>Prensa Embrague FRR 1312204540 (70003602)</t>
  </si>
  <si>
    <t>Exploradora Tras Lh Foton MV5 5946041300 (70003603)</t>
  </si>
  <si>
    <t>Exploradora Tras Rh FotonMV5 5946041317 (70003604)</t>
  </si>
  <si>
    <t>Talco Lampara Lateral Amarillo 480 (70003605)</t>
  </si>
  <si>
    <t>Talco Stop Tras S B R04-079 479 (70003606)</t>
  </si>
  <si>
    <t>Talco Stop Trailer R-485 (70003607)</t>
  </si>
  <si>
    <t>Switch Embrague KW T800 P27-1036 (70003609)</t>
  </si>
  <si>
    <t>Motor Elevavidrio KW T800 12716l (70003610)</t>
  </si>
  <si>
    <t>Bateria Planta Electrica 4D-1350 Willard (70003611)</t>
  </si>
  <si>
    <t>Tapa Alternador SB 33 SI (70003612)</t>
  </si>
  <si>
    <t>Valvula Selen Corneta Prostar 2506713C91 (70003613)</t>
  </si>
  <si>
    <t>Lampara Direcal Del Izq FRR 2131531R (70003614)</t>
  </si>
  <si>
    <t>Farola Del Izq FRR 2131139R (70003615)</t>
  </si>
  <si>
    <t>Motor Arranque 12v 42mt 1615186C91 (70003616)</t>
  </si>
  <si>
    <t>Terminal De Ojo 3/8 125 Am (70003617)</t>
  </si>
  <si>
    <t>Terminal De Ojo De 175-200 Amp 3/8" 200A (70003618)</t>
  </si>
  <si>
    <t>Sensor Posic Arbol Lev MV5 7705946023276 (70003619)</t>
  </si>
  <si>
    <t>Suiche Luces Int 9400/96 2007295C1 (70003620)</t>
  </si>
  <si>
    <t>Switch Redondo Rojo (70003621)</t>
  </si>
  <si>
    <t>Farola Del Der Foton 1129 7701023080767 (70003622)</t>
  </si>
  <si>
    <t>Talco Stop Triple Transparente Lor-1484 (70003623)</t>
  </si>
  <si>
    <t>Talco Stop Triple Rojo R-620 Rojo (70003624)</t>
  </si>
  <si>
    <t>Lampara Dir Pta Izq Fotón1039 1023095549 (70003625)</t>
  </si>
  <si>
    <t>Pacha Sensor Cigueñal 3 Vias Gris (70003626)</t>
  </si>
  <si>
    <t>Pito Plastico 12-24 V (70003627)</t>
  </si>
  <si>
    <t>Talco Stop Triple Amarillo R-618 Amar (70003628)</t>
  </si>
  <si>
    <t>Kit Transmisor Aire Prostar 2505669C91 (70003629)</t>
  </si>
  <si>
    <t>Direcal Puerta Izq Foton 1129 1B18037120 (70003630)</t>
  </si>
  <si>
    <t>Sens Pres Comb Nkr FRR Npr Rew8981197900 (70003631)</t>
  </si>
  <si>
    <t>Valv Contro Flujo Aire Min N200 23596266 (70003632)</t>
  </si>
  <si>
    <t>Stop Der Foton 7705946041270 (70003633)</t>
  </si>
  <si>
    <t>Cuerpo Aceler Mecan Foton MV5 5946019484 (70003634)</t>
  </si>
  <si>
    <t>Arnes Elect Motor FotonMV5 7705946027540 (70003635)</t>
  </si>
  <si>
    <t>Socket Bombillo Halogeno (70003636)</t>
  </si>
  <si>
    <t>Sensor Rev Foton 1078 7701023481595 (70003637)</t>
  </si>
  <si>
    <t>Lampara De Giro Izq Jac1120 4111010LE010 (70003638)</t>
  </si>
  <si>
    <t>Socket Bombillo Halogeno 8JA0019001 (70003639)</t>
  </si>
  <si>
    <t>Bateria Willard 24AD-900 T (70003640)</t>
  </si>
  <si>
    <t>Switch Encendido Hi Con Llaves 1652306C9 (70003641)</t>
  </si>
  <si>
    <t>Switch Encendido SB Generico (70003642)</t>
  </si>
  <si>
    <t>Exploradora Izq Foton BJ 1039 7705946304 (70003643)</t>
  </si>
  <si>
    <t>Farola Lh Foton 1039 7701023085748 (70003644)</t>
  </si>
  <si>
    <t>Sensor Pres Admi MV3 FotonMV5 5946023269 (70003645)</t>
  </si>
  <si>
    <t>Motor Arranque Foton 1129 7701023559317 (70003646)</t>
  </si>
  <si>
    <t>Switch Codillo Dos Posiciones Ref 34-212 (70003647)</t>
  </si>
  <si>
    <t>Switch Codillo Tres Posiciones 34577 (70003648)</t>
  </si>
  <si>
    <t>Modulo Elevavidrios Foton MV5 (70003649)</t>
  </si>
  <si>
    <t>Switch Exploradora 35306 (70003650)</t>
  </si>
  <si>
    <t>Regul Altern 12v Internation 235-4157-14 (70003651)</t>
  </si>
  <si>
    <t>Relay Principal Nkr Rewar 8982597790 (70003652)</t>
  </si>
  <si>
    <t>Tapa Pito Volante Direc Nkr 8974000490 (70003653)</t>
  </si>
  <si>
    <t>Cebolla Encendido Van N200 23884392 (70003654)</t>
  </si>
  <si>
    <t>Alternador FTR 24 V (70003655)</t>
  </si>
  <si>
    <t>Lampara Stop Izq Nissan Urban 265503XA0B (70003656)</t>
  </si>
  <si>
    <t>Interruptor Elevavid Izq FRR 8982987510 (70003657)</t>
  </si>
  <si>
    <t>Mini Relay 12v Prostar 13500113 (70003658)</t>
  </si>
  <si>
    <t>Herradura Portadiodo Altenador 24v (70003659)</t>
  </si>
  <si>
    <t>Motor Arra Foton 1039/1065 7701023474801 (70003660)</t>
  </si>
  <si>
    <t>Motor Arranque Jac 1120 5268413 (70003661)</t>
  </si>
  <si>
    <t>Sensor Map FRR 8980094180 (70003662)</t>
  </si>
  <si>
    <t>Sensor Maf Flujo Aire FRR 8976019670 (70003663)</t>
  </si>
  <si>
    <t>Suiche Pres Aire Freno Prostar2505670C92 (70003664)</t>
  </si>
  <si>
    <t>Portaescobillas Arranque Nkr Rewar (70003665)</t>
  </si>
  <si>
    <t>Kit Cilin Pta Ignic Nh Nkr Npr8970924061 (70003666)</t>
  </si>
  <si>
    <t>Interr Estacion Mtg Foton MV5 7701023489 (70003667)</t>
  </si>
  <si>
    <t>Sensor Presion Aceite Detroit 23511176 (70003668)</t>
  </si>
  <si>
    <t>Stop Der Metal Conec Redo Jac 3773920E0X (70003669)</t>
  </si>
  <si>
    <t>Sensor Temperatura Aceite 139028001 (70003670)</t>
  </si>
  <si>
    <t>Automático Arranque 24 V FTR (70003671)</t>
  </si>
  <si>
    <t>Kit Piñon 12 Dient Arranque 39MT 105264 (70003672)</t>
  </si>
  <si>
    <t>Porta Escobi Motor Arranque 39MT 362577 (70003673)</t>
  </si>
  <si>
    <t>Suiche Limpiabrisas Hi 4700 1661237C2 (70003674)</t>
  </si>
  <si>
    <t>Sensor Presion Aire KW T800 80685 (70003675)</t>
  </si>
  <si>
    <t>Switch Luz Tras Jac 3750710LE010XZ (70003676)</t>
  </si>
  <si>
    <t>Multiple Recto Sensor Hi Eagle 3520123C1 (70003677)</t>
  </si>
  <si>
    <t>Inducido Motor Arranque Nkr Rewar (70003678)</t>
  </si>
  <si>
    <t>Bateria N60M-660 Duncan Foton (70003679)</t>
  </si>
  <si>
    <t>Micros Clutch 2 Cables Eagle 1622366C91 (70003680)</t>
  </si>
  <si>
    <t>Stop Lh Foton MV5 7705946041263 (70003681)</t>
  </si>
  <si>
    <t>Relay Encendido 24V Nkr Rewar 8972629330 (70003682)</t>
  </si>
  <si>
    <t>Mini Relay 24v Hino 300 (70003683)</t>
  </si>
  <si>
    <t>Caja De Fusibles Foton 1039 7701023697 (70003684)</t>
  </si>
  <si>
    <t>Exploradora Izq Foton 1039 7701023551250 (70003685)</t>
  </si>
  <si>
    <t>Interrup Ppal Elevavidrio Jac 3746930LD0 (70003686)</t>
  </si>
  <si>
    <t>Sensor Temperat R/Cxu Gu Mack 2330000569 (70003687)</t>
  </si>
  <si>
    <t>Farola Rh CO2EA Foton 7701023085755 (70003688)</t>
  </si>
  <si>
    <t>Sensor Alta Presion A/C Eagle 3521729C1 (70003689)</t>
  </si>
  <si>
    <t>Sensor Cpm Hi 1885812C91 1807339 C9 (70003690)</t>
  </si>
  <si>
    <t>Suiche Exploradora Eagle 2007300C1 (70003691)</t>
  </si>
  <si>
    <t>Alternador T Delta 12v (70003692)</t>
  </si>
  <si>
    <t>Sensor Baja Presion Compresor 1658820 Hi (70003693)</t>
  </si>
  <si>
    <t>Sens Temp Aceite Difer N14 Eagle479758C1 (70003694)</t>
  </si>
  <si>
    <t>Motor Arranque Jac Jkr Euro V 1043100FE0 (70003695)</t>
  </si>
  <si>
    <t>Sensor Temperatura Aceite S60 23518092 E (70003696)</t>
  </si>
  <si>
    <t>Stop RH CA6 1078 Foton1129 7705946330 (70003697)</t>
  </si>
  <si>
    <t>Sens Pres Acei Motor Nkr Rewar8971762300 (70003698)</t>
  </si>
  <si>
    <t>Motor Arranque Maquina Lavado ED00564021 (70003699)</t>
  </si>
  <si>
    <t>Telecomando S 720 Hino Dutro (70003700)</t>
  </si>
  <si>
    <t>Sensor Pres Aceite Foton MV5 5946023214 (70003701)</t>
  </si>
  <si>
    <t>Sensor Temp Motor FotonMV5 7705946023221 (70003702)</t>
  </si>
  <si>
    <t>Motor Limpiabrisas FRR 8980701700 (70003703)</t>
  </si>
  <si>
    <t>Rotor Alternador Nkr Nhr 12v (70003704)</t>
  </si>
  <si>
    <t>Sensor Nivel Refriger KW T800 VSX1193 (70003705)</t>
  </si>
  <si>
    <t>Sensor Oxigeno Van N200 9052870 (70003706)</t>
  </si>
  <si>
    <t>Lampara Led 12v Furg Nkr Rewar FRR 1017 (70003707)</t>
  </si>
  <si>
    <t>Contacto Tapa Pito Prostar 2592604C91 (70003708)</t>
  </si>
  <si>
    <t>Farola Izq Completa Prostar 3596015C93 (70003709)</t>
  </si>
  <si>
    <t>Farola Der Completa Prostar 3596016C93 (70003710)</t>
  </si>
  <si>
    <t>Alternador Arranque Jac 12v 3701170FA0 (70003711)</t>
  </si>
  <si>
    <t>Flasher 24v Hino Dutro 8198037300 (70003712)</t>
  </si>
  <si>
    <t>Direcal Del Foton MV5 7701023489294 (70003713)</t>
  </si>
  <si>
    <t>Sensor Posc Cigueñ Mvp MV5 7705946023313 (70003714)</t>
  </si>
  <si>
    <t>Botella Cardan Nkr Rewar C3-3929 Spicer (70003715)</t>
  </si>
  <si>
    <t>Piñon 4ta 28 Diente Nkr Rewar 8972412300 (70003716)</t>
  </si>
  <si>
    <t>Piñon Piña Divisor Eagle 3892S5947 (70003717)</t>
  </si>
  <si>
    <t>Difer Del Comp 10X43 Eagle/KW A3200K2117 (70003718)</t>
  </si>
  <si>
    <t>Speed Corona 35x6 Foton 1039 1023087070 (70003719)</t>
  </si>
  <si>
    <t>Rodamiento Ext Rueda Del Foton MV5 30306 (70003720)</t>
  </si>
  <si>
    <t>Retenedor Rda Tras Foton MV5 1023715973 (70003721)</t>
  </si>
  <si>
    <t>Rodillo Rueda Del Foton MV5 8942270410 (70003722)</t>
  </si>
  <si>
    <t>Difer Tras Comp 9X41 Eagle KW A13200P170 (70003723)</t>
  </si>
  <si>
    <t>Terminal Der Barra Direc FRR 1431507481 (70003724)</t>
  </si>
  <si>
    <t>Terminal Izq Barra Direc FRR 1431050749 (70003725)</t>
  </si>
  <si>
    <t>Arandela Pinadora Nkr Ill E 9098532141 (70003726)</t>
  </si>
  <si>
    <t>Sensor Velocimet Caja Fuller Eagle K4148 (70003727)</t>
  </si>
  <si>
    <t>Trompo Aceite N200 9052669 (70003728)</t>
  </si>
  <si>
    <t>Bateria 42D-750 Willard N200 (70003729)</t>
  </si>
  <si>
    <t>Bendix Motor Arr Nkr-Npr Rew 8982221000 (70003730)</t>
  </si>
  <si>
    <t>Horquill Mas Eje 3Y4 FotonMV5 1023484916 (70003731)</t>
  </si>
  <si>
    <t>Yoke Cardan ESpl250 KW T800 (70003732)</t>
  </si>
  <si>
    <t>Eje Difer Largo Eagle Petrolera3202G9003 (70003733)</t>
  </si>
  <si>
    <t>Eje Difer Corto Eagle Petrolera3202Q8805 (70003734)</t>
  </si>
  <si>
    <t>Tuerca Spedd Diferenc Del Eagle 40x1145 (70003735)</t>
  </si>
  <si>
    <t>Kit Rodamiento Diferenc Tras Eagle 4426 (70003736)</t>
  </si>
  <si>
    <t>Kit Escualizacion Npr 42170050 (70003737)</t>
  </si>
  <si>
    <t>Reten Spedd Difer Del Eagle 2589851C91 (70003738)</t>
  </si>
  <si>
    <t>Diferencial 8x41 Nkr Rewar 8980151390 (70003739)</t>
  </si>
  <si>
    <t>Caucho Cardan Jack 1120 ZF0196 (70003740)</t>
  </si>
  <si>
    <t>Diferen Complet Foton BJ1039 5946305181 (70003741)</t>
  </si>
  <si>
    <t>Cruceta Cardan Jack 1120 UW41118PH (70003742)</t>
  </si>
  <si>
    <t>Tapa Graser Eje Con Empaq Trailer Alumin (70003743)</t>
  </si>
  <si>
    <t>Kit Sopor Cardan Foton BJ1120 1023109178 (70003744)</t>
  </si>
  <si>
    <t>Cruce Card 41x118 Fot BJ1120 1023110105 (70003745)</t>
  </si>
  <si>
    <t>Imanes De Diferen Caja 16918 Eagle 14373 (70003746)</t>
  </si>
  <si>
    <t>Card Yok Corto Del Serie 1810 429DTA0670 (70003747)</t>
  </si>
  <si>
    <t>Caracaz Caja Cambios FotonMV5 1023485173 (70003748)</t>
  </si>
  <si>
    <t>Corona Y Speed Del 10x43 Eagle A398801 (70003749)</t>
  </si>
  <si>
    <t>Piñon Speed Rockewell Del Isx 3892U4909 (70003750)</t>
  </si>
  <si>
    <t>Cruceta Escuali Difer Nkr Rew 5415210080 (70003751)</t>
  </si>
  <si>
    <t>Diferenc Tras Comple Nkr Rewar8972112370 (70003752)</t>
  </si>
  <si>
    <t>Juego Lainas Nkr (70003753)</t>
  </si>
  <si>
    <t>Separador Diferencial Eagle 93600502 (70003754)</t>
  </si>
  <si>
    <t>Separador Diferencial Eagle 93600498 (70003755)</t>
  </si>
  <si>
    <t>Separador Espaciador Nkr Rewar9412196031 (70003756)</t>
  </si>
  <si>
    <t>Corona Y Speed 8x41 Nkr Rewar 8980920430 (70003757)</t>
  </si>
  <si>
    <t>Card Corto Com KW T800 SPL170 C17082001S (70003758)</t>
  </si>
  <si>
    <t>Arandela Ajuste Buje Eagle 90536006 (70003759)</t>
  </si>
  <si>
    <t>Arandela Ajuste Cuadrante Eagle 93600533 (70003760)</t>
  </si>
  <si>
    <t>Horquilla De 1 Y 2 Foton MV5 1023484893 (70003761)</t>
  </si>
  <si>
    <t>Piñon Neutro Rev Foton MV5 1023485494 (70003762)</t>
  </si>
  <si>
    <t>Enflanche Divis Tras 39 Estr KW 1704641 (70003763)</t>
  </si>
  <si>
    <t>Electrov Bajo Hi430-Prostar 2506711C91 (70003764)</t>
  </si>
  <si>
    <t>Horquilla Divisor 9400/98 3296B1328 (70003765)</t>
  </si>
  <si>
    <t>Set Rodillo Eje Trailer Set415 HM-518445 (70003766)</t>
  </si>
  <si>
    <t>Corona Y Spedd Tras 10x43 Eagle A398885 (70003767)</t>
  </si>
  <si>
    <t>Tuerca Ajuste Chumacera Eagle 2214G112 (70003768)</t>
  </si>
  <si>
    <t>Pin Rodillo Speed Eagle 46x1029 (70003769)</t>
  </si>
  <si>
    <t>Soporte Cardan Volswagen 210391 (70003770)</t>
  </si>
  <si>
    <t>Cruceta Cardan Volswagen 351 (70003771)</t>
  </si>
  <si>
    <t>Botell Carda 34 Estr SPL170 Eagle1705521 (70003772)</t>
  </si>
  <si>
    <t>Espig Cardan 34Estr SPL170 Eagle1708271X (70003773)</t>
  </si>
  <si>
    <t>Corona Y Spedd De Nkr 7x43 8973201030 (70003774)</t>
  </si>
  <si>
    <t>Set Rodillo Lateral Nhr 32211 (70003775)</t>
  </si>
  <si>
    <t>Set Rodillos Nhr 32308-JR (70003776)</t>
  </si>
  <si>
    <t>Set Rodillos Speed Nhr TR 0608A (70003777)</t>
  </si>
  <si>
    <t>Oreja Cardan 71/2" Eagle 6528117 (70003778)</t>
  </si>
  <si>
    <t>Arandela Cacho Direc Eagle 1663196C1 (70003779)</t>
  </si>
  <si>
    <t>Enfriador Caja Direc Prostar 2612040C91 (70003780)</t>
  </si>
  <si>
    <t>Cacho Direc Eje Der KWh 973280ETN (70003781)</t>
  </si>
  <si>
    <t>Caña Direc Foton MV5 5946043151 (70003782)</t>
  </si>
  <si>
    <t>Tapas Complem Caucho Lado Izq KW 226351 (70003783)</t>
  </si>
  <si>
    <t>Cacho Direc Lado Izq KW T800 5219176 (70003784)</t>
  </si>
  <si>
    <t>Terminal Barra Direc Larga FRT411R H (70003785)</t>
  </si>
  <si>
    <t>Terminal Barra Tensora 44697 (70003786)</t>
  </si>
  <si>
    <t>Bomba Direc Hidra Prostar LH 2113809/185 (70003787)</t>
  </si>
  <si>
    <t>Columna De Direc Foton 1039 1023683760 (70003788)</t>
  </si>
  <si>
    <t>Horquilla 4 Y Rev Hyundai M5ZR1 (70003789)</t>
  </si>
  <si>
    <t>Guaya Contol Cambio Foton MV5 5946325325 (70003790)</t>
  </si>
  <si>
    <t>Pasador Splinder Foton BJ1039 1023086233 (70003791)</t>
  </si>
  <si>
    <t>Buje Splinder Foton BJ1039 1023086226 (70003792)</t>
  </si>
  <si>
    <t>Rodami Splinder Foton BJ1039 1023981194 (70003793)</t>
  </si>
  <si>
    <t>Retenedor Enflanche 4 SB 210724 (70003794)</t>
  </si>
  <si>
    <t>Esquinero Inf Der Jacjhr 5302217LE0 (70003795)</t>
  </si>
  <si>
    <t>Estribo Izq Jac Jhr 8405100LD010 (70003796)</t>
  </si>
  <si>
    <t>Cortaviento Cabina Foton 1039 5946175616 (70003797)</t>
  </si>
  <si>
    <t>Retenedor Sinfin SB N14 Tass-65 9376 (70003798)</t>
  </si>
  <si>
    <t>Kit Sello Caja Dir Shep HD94 Prostar4060 (70003799)</t>
  </si>
  <si>
    <t>Cruceta Caña Direc KW T800 1081948 (70003800)</t>
  </si>
  <si>
    <t>Empaq Caja Direc Nkr Rewar8981717360 (70003801)</t>
  </si>
  <si>
    <t>Cabrilla Direc Inter Prostar 3770925C92 (70003802)</t>
  </si>
  <si>
    <t>Deposito Hidraulico KW T800 J86-6005 (70003803)</t>
  </si>
  <si>
    <t>Barra Comp Direc Foton BJ1039 1032308619 (70003804)</t>
  </si>
  <si>
    <t>Arandela Pinad Cacho Direc Eagle 1663197 (70003805)</t>
  </si>
  <si>
    <t>Columna Eje Direc Nkr 8974023451 (70003806)</t>
  </si>
  <si>
    <t>Seguro Carcaza Ignicion Nkr 8971703650 (70003807)</t>
  </si>
  <si>
    <t>Perno De Ajuste De Repart Nkr 8973123280 (70003808)</t>
  </si>
  <si>
    <t>Tuerca Caho Direc Eagle 1663195C1 (70003809)</t>
  </si>
  <si>
    <t>Cacho Direc Izq Eagle A23111A353 (70003810)</t>
  </si>
  <si>
    <t>Esqui Der Espejo Foton BJ1039 1023684170 (70003811)</t>
  </si>
  <si>
    <t>Mecani Varill Limpiab Fot1129 1023080859 (70003812)</t>
  </si>
  <si>
    <t>Amortiguador Cabina KW T800 M2012 83025 (70003813)</t>
  </si>
  <si>
    <t>Correa Tanq Comb Foton BJ1129 1023544856 (70003814)</t>
  </si>
  <si>
    <t>Soport Tanq Comb Foton BJ1129 110090013A (70003815)</t>
  </si>
  <si>
    <t>Caucho Tanq Comb Foton BJ1129 1023081092 (70003816)</t>
  </si>
  <si>
    <t>Barra Susp Cabina KW T800 M2012 29934010 (70003817)</t>
  </si>
  <si>
    <t>Guardabarro Del Der Jac Jhr 8403201LE0 (70003818)</t>
  </si>
  <si>
    <t>Sop Purif Filtro Aire Nkr Rew 8980677682 (70003819)</t>
  </si>
  <si>
    <t>Sop Der Bomper Front Fot MV5 5946036412 (70003820)</t>
  </si>
  <si>
    <t>Silenciad De Escape Foton MV5 5946041379 (70003821)</t>
  </si>
  <si>
    <t>Luna Espe Sup Jac1120 8202100LE170XA F0 (70003822)</t>
  </si>
  <si>
    <t>Guardap Palan Cambi Foton1039 5946304887 (70003823)</t>
  </si>
  <si>
    <t>Base Kin Pin Fabricado (70003824)</t>
  </si>
  <si>
    <t>Tornillo Sillin Con Tca Y Arand 1 X 11" (70003825)</t>
  </si>
  <si>
    <t>Brazo Espej Der Compl Fot1039 1023683814 (70003826)</t>
  </si>
  <si>
    <t>Parasol Izq Foton 1039 5946341219 (70003827)</t>
  </si>
  <si>
    <t>Brazo Plumilla Der Foton 1129 1023079280 (70003828)</t>
  </si>
  <si>
    <t>Manija Elevavidrio Foton 1129 1B18061400 (70003829)</t>
  </si>
  <si>
    <t>Logo Persiana Foton 1039 1023121705 (70003830)</t>
  </si>
  <si>
    <t>Brazo Plumilla Izq Foton 1039 1023164184 (70003831)</t>
  </si>
  <si>
    <t>Pisa Alfombra Izq Nkr Rewar 8974053881 (70003832)</t>
  </si>
  <si>
    <t>Cubierta Tapa Muerto Eagle 3577387C91 (70003833)</t>
  </si>
  <si>
    <t>Espejo Retro Izq Foton BJ1030 5946758956 (70003834)</t>
  </si>
  <si>
    <t>Clip Panel Tapizado Paral Nkr 8974064210 (70003835)</t>
  </si>
  <si>
    <t>Clip Cubierta Tapizado Nkr 8974077680 (70003836)</t>
  </si>
  <si>
    <t>Moldura Panoramico FTR FRR 8975194560 (70003837)</t>
  </si>
  <si>
    <t>Espejo Retrov Der/ Izq Hyundai Hy070309 (70003838)</t>
  </si>
  <si>
    <t>Bisagra Pta Der Foton BJ1039 1023695305 (70003839)</t>
  </si>
  <si>
    <t>Bicel Farola Der Foton BJ1039 1023699198 (70003840)</t>
  </si>
  <si>
    <t>Bicel Farola Izq Foton BJ1039 1023683661 (70003841)</t>
  </si>
  <si>
    <t>Estribo Der Foton BJ1039 1023164047 (70003842)</t>
  </si>
  <si>
    <t>Pared Front Cabi Foton BJ1039 1023552493 (70003843)</t>
  </si>
  <si>
    <t>Parabris Laminad Foton BJ1030 5946741668 (70003844)</t>
  </si>
  <si>
    <t>Manija Carte Lado Der Jac Jhr 6102021LD0 (70003845)</t>
  </si>
  <si>
    <t>Espejo Panoramico Jac Jhr 8202120LE0 (70003846)</t>
  </si>
  <si>
    <t>Apoyabr Lado Der Foton BJ1039 5946623551 (70003847)</t>
  </si>
  <si>
    <t>Tablero Instrumentos Nkr 2006 8973812941 (70003848)</t>
  </si>
  <si>
    <t>Tuerc Boq Limpi Hino Dutropro 8538337010 (70003849)</t>
  </si>
  <si>
    <t>Boquilla Limpiab Foton BJ1039 1023683418 (70003850)</t>
  </si>
  <si>
    <t>Esquin Izq Farola Foton 1039 1023699198 (70003851)</t>
  </si>
  <si>
    <t>Bocel Izq Farola Foton 1039 1023699174 (70003852)</t>
  </si>
  <si>
    <t>Barra Estabilizadora 0844643-9 (70003853)</t>
  </si>
  <si>
    <t>Barra Estabilizadora SB-Cabina (70003854)</t>
  </si>
  <si>
    <t>Tapa Tanque Acpm Eagle 2040851C91 (70003855)</t>
  </si>
  <si>
    <t>Tapa Tanque Limpiabrisas 1514465 C1 (70003856)</t>
  </si>
  <si>
    <t>Brazo Plumilla Der Foton 1039 1023164191 (70003857)</t>
  </si>
  <si>
    <t>Agarrad Int Pta Der Foton1039 5946623551 (70003858)</t>
  </si>
  <si>
    <t>Bomper Front Foton BJ 1039 7705946305143 (70003859)</t>
  </si>
  <si>
    <t>Persian Front Logo Red BJ1039 7705946298 (70003860)</t>
  </si>
  <si>
    <t>Kit Suspens Tras Cabina Eagle 3816911C91 (70003861)</t>
  </si>
  <si>
    <t>Manija Puerta Tras Foton MV5 5946024440 (70003862)</t>
  </si>
  <si>
    <t>Vidrio Tras Foton MV5 7705946175395 (70003863)</t>
  </si>
  <si>
    <t>Vidrio Puerta Der Foton 1039 (70003864)</t>
  </si>
  <si>
    <t>Vidrio Puerta Izq Foton 1039 (70003865)</t>
  </si>
  <si>
    <t>Sopor Cauch Cabi KW T800 Md2012 R13-1011 (70003866)</t>
  </si>
  <si>
    <t>Pin Persiana Foton 1129 1023973588 (70003867)</t>
  </si>
  <si>
    <t>Boton Persiana Foton 1129 1023714303 (70003868)</t>
  </si>
  <si>
    <t>Decora Farola Del Der Fot1129 1023521123 (70003869)</t>
  </si>
  <si>
    <t>Persiana Camion Foton 1129 1023079297 (70003870)</t>
  </si>
  <si>
    <t>Bomper Camion Foton 1129 1023079303 (70003871)</t>
  </si>
  <si>
    <t>Manija Int Del Der Foton 1129 1023822169 (70003872)</t>
  </si>
  <si>
    <t>Tapa Combustible Jac Jhr 1103010LD291 (70003873)</t>
  </si>
  <si>
    <t>Bomper Del Jac Jhr 2803101LD010-1R00 (70003874)</t>
  </si>
  <si>
    <t>Espejo Retrovisor Der Prostar 3594844C3 (70003875)</t>
  </si>
  <si>
    <t>Espejo Der Hino 500 8,79E+75 (70003876)</t>
  </si>
  <si>
    <t>Valvula Suspen Cabina KW T800 CRM171HOO6 (70003877)</t>
  </si>
  <si>
    <t>Extension Izq Capo Prostar 3608905C5 (70003878)</t>
  </si>
  <si>
    <t>Persiana Cromada Prostar 36128816C93 (70003879)</t>
  </si>
  <si>
    <t>Soporte Bomper Prostar 3606462C7 (70003880)</t>
  </si>
  <si>
    <t>Manija Int Pta Der Foton 1129 1023344531 (70003881)</t>
  </si>
  <si>
    <t>Manija Int Pta Izq Foton 1129 1023344524 (70003882)</t>
  </si>
  <si>
    <t>Tubo Sistema De Escape Prostar3710656C91 (70003883)</t>
  </si>
  <si>
    <t>Tapasol Cabina Der MV5 Foton 5946039970 (70003884)</t>
  </si>
  <si>
    <t>Manija Apoyo Pta Izq Jack Jhr 6102011LT0 (70003885)</t>
  </si>
  <si>
    <t>Espejo Izq Jack Jhr 8202100LE094 (70003886)</t>
  </si>
  <si>
    <t>Sop Ctral Pta Desl Der FotMV5 5946023375 (70003887)</t>
  </si>
  <si>
    <t>Clip Sello Puerta Nkr 1099872560 (70003888)</t>
  </si>
  <si>
    <t>Sopor Front Bomper Izq Prostar 3720651C1 (70003889)</t>
  </si>
  <si>
    <t>Sopor Front Bomper Der Prostar 3720652C1 (70003890)</t>
  </si>
  <si>
    <t>Tapizado Piso Cabina Nkr (70003891)</t>
  </si>
  <si>
    <t>Varilla Corta Limpiabr Nkr Rew8980537680 (70003892)</t>
  </si>
  <si>
    <t>Varilla Larga Limpiabr Nkr Rew8980537720 (70003893)</t>
  </si>
  <si>
    <t>Pivote Der Nkr Rewar 8980537630 (70003894)</t>
  </si>
  <si>
    <t>Pivote Izq Nkr Rewar 8980537640 (70003895)</t>
  </si>
  <si>
    <t>Sopor Pin Lad Der Hood KW T800 K2751516R (70003896)</t>
  </si>
  <si>
    <t>Persia Fron Log Red Foton1039 5946298797 (70003897)</t>
  </si>
  <si>
    <t>Moldura Lamev Pta Int Izq FRR 8980292021 (70003898)</t>
  </si>
  <si>
    <t>Guaya Capo N200 (70003899)</t>
  </si>
  <si>
    <t>Carcaza Pta Izq H Dutropack 6700237322 (70003900)</t>
  </si>
  <si>
    <t>Soporte Parasol 1650244 C1 (70003901)</t>
  </si>
  <si>
    <t>Juego Loderas KW T800 12053 (70003902)</t>
  </si>
  <si>
    <t>Soporte Lodera Metalica KW T800 Q302468 (70003903)</t>
  </si>
  <si>
    <t>Luna Espejo Retro Con Des Eagle2595727C1 (70003904)</t>
  </si>
  <si>
    <t>Ducto Escape KW T800 Mod 2012 K18018028 (70003905)</t>
  </si>
  <si>
    <t>Bisagra Capo Prostar 3612866C2 (70003906)</t>
  </si>
  <si>
    <t>Emp Marc Pta Der Nkr Rew Y FRR8984849190 (70003907)</t>
  </si>
  <si>
    <t>Emp Marc Pta Izq Nkr Rew Y FRR8984849200 (70003908)</t>
  </si>
  <si>
    <t>Soporte Tque Acpm KW Petroler K851005020 (70003909)</t>
  </si>
  <si>
    <t>Manija Bloqu Cabina Nkr Rewar 8978530519 (70003910)</t>
  </si>
  <si>
    <t>Bombona Aire Silla Prostar 2595130C91 (70003911)</t>
  </si>
  <si>
    <t>Evaporador Aire AC Prostar 3670132C1 (70003912)</t>
  </si>
  <si>
    <t>Vidrio Tras Cabina FRR (70003913)</t>
  </si>
  <si>
    <t>Cremallera Elevavidri Der Npr 8978521158 (70003914)</t>
  </si>
  <si>
    <t>Soporte Exosto Fotom MV5 (70003915)</t>
  </si>
  <si>
    <t>Amortiguador Del Hino 500 48500-EOA5 (70003916)</t>
  </si>
  <si>
    <t>Soporte Cabina Del H-3/4 Eagle 3509427C2 (70003917)</t>
  </si>
  <si>
    <t>Cartera Pta Izq Cabina Eagle 3575486C92 (70003918)</t>
  </si>
  <si>
    <t>Cartera Puerta Der Eagle 3575506C92 (70003919)</t>
  </si>
  <si>
    <t>Panel Cabina Eagle 3543898C3 (70003920)</t>
  </si>
  <si>
    <t>Bisel Panel Der Tablero Eagle 3592439C3 (70003921)</t>
  </si>
  <si>
    <t>Mangu Condens Evap Aire Eagle 3612297C92 (70003922)</t>
  </si>
  <si>
    <t>Panel Inf Marco Puerta Eagle 3558746C1 (70003923)</t>
  </si>
  <si>
    <t>Panel Torpedo Cabina Eagle 3558750C3 (70003924)</t>
  </si>
  <si>
    <t>Gato Der Puerta Tras FotonMV5 5946024365 (70003925)</t>
  </si>
  <si>
    <t>Gato Izq Puerta Tras FotonMV5 5946024402 (70003926)</t>
  </si>
  <si>
    <t>Espejo Retrov Izq Foton 7701023487573 (70003927)</t>
  </si>
  <si>
    <t>Silenciador Mofle SB 10" (70003928)</t>
  </si>
  <si>
    <t>Motor Bloque Puerta Eagle 3662381C1 (70003929)</t>
  </si>
  <si>
    <t>Soporte Centr Puerta MV5 Foton 946023375 (70003930)</t>
  </si>
  <si>
    <t>Buje MUE TRAS VW 8150 Fabricado (70003931)</t>
  </si>
  <si>
    <t>Panel Torpedo CAB INTnaciona Lt 4060741c (70003932)</t>
  </si>
  <si>
    <t>Tapa Central Consola Techo INTnacional L (70003933)</t>
  </si>
  <si>
    <t>CAM Freno Del Der FT 1065e 7705946694759 (70003934)</t>
  </si>
  <si>
    <t>Recibidor Tapasol Der INT Lt 3715186c2 (70003935)</t>
  </si>
  <si>
    <t>Panel Torpedo CAB INT Lt 4060741c95 (70003936)</t>
  </si>
  <si>
    <t>Amortiguador Del Foton 1065 5946689991 (70003937)</t>
  </si>
  <si>
    <t>K Kit Empaque Superior Motor Isx 4352144 (70003938)</t>
  </si>
  <si>
    <t>Chapa PTA DER VW 2vb831402bra (70003939)</t>
  </si>
  <si>
    <t>Relay 24v 4 Pines 70 Amp FT 110493663001 (70003940)</t>
  </si>
  <si>
    <t>Tapa DEP Urea INT Lt 4189138c2 (70003941)</t>
  </si>
  <si>
    <t>Carcasa Volante Chevrolet Ftr 8976099969 (70003942)</t>
  </si>
  <si>
    <t>Varilla Medidora Aceite Nkr 8972312950 (70003943)</t>
  </si>
  <si>
    <t>Tijera Derecha Hyundai Porter H100 (70003944)</t>
  </si>
  <si>
    <t>Guardapolvo Izq Direc N200 23868908 (70003945)</t>
  </si>
  <si>
    <t>Anillo Sincronismo De 5ta FT 1023482264 (70003946)</t>
  </si>
  <si>
    <t>Volante Completa Foton Mv5 7705946019309 (70003947)</t>
  </si>
  <si>
    <t>Terminal BRR DIR Larga Der Jac 3003520m1 (70003948)</t>
  </si>
  <si>
    <t>Terminal BRR DIR Larga Izq Jac 3003510m1 (70003949)</t>
  </si>
  <si>
    <t>Soporte Guaya Cambios N200 24517075 (70003950)</t>
  </si>
  <si>
    <t>Garra Bloqueo CJ FT Mv5 7701023484886 (70003951)</t>
  </si>
  <si>
    <t>Sincronismo De 5ta FT Mv5 7701023482219 (70003952)</t>
  </si>
  <si>
    <t>EMP Enfriador De Aceite HN Dutropack 157 (70003953)</t>
  </si>
  <si>
    <t>Eje Balancines MOT HN Dutropack 13901-14 (70003954)</t>
  </si>
  <si>
    <t>Brazo Corto De DIRción Daf Cf480 2144067 (70003955)</t>
  </si>
  <si>
    <t>Cable Bateria N-0 (70003956)</t>
  </si>
  <si>
    <t>Clip SOP Persiana FT 1039 7701023549042 (70003957)</t>
  </si>
  <si>
    <t>Booster De EMB Jac 1042 1608020le010 (70003958)</t>
  </si>
  <si>
    <t>Pin Persiana Foton 1039 7701023973588 (70003959)</t>
  </si>
  <si>
    <t>VALV Niveleladora Bombona MCK Anthem 851 (70003960)</t>
  </si>
  <si>
    <t>Compresor Aire Acondicionado Foton Repar (70003961)</t>
  </si>
  <si>
    <t>Modulo BMB Dosificadora Def INTn 5273337 (70003962)</t>
  </si>
  <si>
    <t>Racor 45 Grados TANQ AIR PRIM 4058157c1 (70003963)</t>
  </si>
  <si>
    <t>Cinta Timon DIR FT MV5 Pito A 5946309172 (70003964)</t>
  </si>
  <si>
    <t>Sensor Reversa Foton 1065 Wk118 77059468 (70003965)</t>
  </si>
  <si>
    <t>Bateria ELEC Montacarga 24-125t-13 Coexi (70003966)</t>
  </si>
  <si>
    <t>Switch Exploradora Jac 1120 3750950le010 (70003967)</t>
  </si>
  <si>
    <t>FILT Def BMB Dosificadora MCK 2330000289 (70003968)</t>
  </si>
  <si>
    <t>Kit FILT TANQ Def MCK Anthem 2330006271 (70003969)</t>
  </si>
  <si>
    <t>RET Tras Cigüeñal CH FTR 8983343390 (70003970)</t>
  </si>
  <si>
    <t>Cruceta Cardan Chevrolet Ftr 8980489251 (70003971)</t>
  </si>
  <si>
    <t>Bloque Motor Hino Dutropack 11410-78461 (70003972)</t>
  </si>
  <si>
    <t>Rodamiento SOP Cardan HN 500 700007883 (70003973)</t>
  </si>
  <si>
    <t>Conducto De Aire KW T800 Mod 2011 589480 (70003974)</t>
  </si>
  <si>
    <t>Sensor Reversa Foton 1039 7705946900843 (70003975)</t>
  </si>
  <si>
    <t>Chapa PTA IZQ INTnacional Lt 4055109c97 (70003976)</t>
  </si>
  <si>
    <t>Cinta Led Blanca X 5 Metros 24 Voltios (70003977)</t>
  </si>
  <si>
    <t>Rodamiento Piñon ARR Fot 1039 6004rs (70003978)</t>
  </si>
  <si>
    <t>SENS Re Sensor Reversa Jac 1120 0068ds-1 (70003979)</t>
  </si>
  <si>
    <t>Tubo Flexible Fot 1039-1065 Nkr Iii Fabr (70003980)</t>
  </si>
  <si>
    <t>Tapa Radiador Hino 500 16401e0030 (70003981)</t>
  </si>
  <si>
    <t>Anillo Piston 1 Jac Euro V 1004025fe010 (70003982)</t>
  </si>
  <si>
    <t>Tapa Válvulas Jac Euro V 1014100fe010x (70003983)</t>
  </si>
  <si>
    <t>Multiple Admision Jac Euro V 1008101fe01 (70003984)</t>
  </si>
  <si>
    <t>Cremallera Elec Elevavidrio Izq Fot 1039 (70003985)</t>
  </si>
  <si>
    <t>Buje BRR Estabilizadora FT 106 594669471 (70003986)</t>
  </si>
  <si>
    <t>Brazo Plumilla Izq Foton 1129 1023079273 (70003987)</t>
  </si>
  <si>
    <t>MANG INF RAD HN Dpc 16572-78251 (70003988)</t>
  </si>
  <si>
    <t>Amortiguador DEL INT Lt 4050444c2 (70003989)</t>
  </si>
  <si>
    <t>Bocel Sup Persiana Kw T800 Mod 2 K212205 (70003990)</t>
  </si>
  <si>
    <t>Abrazadera Buje BRR Estabiliz 5946269858 (70003991)</t>
  </si>
  <si>
    <t>Blower Aire AC Foton 1065 7705946741 (70003992)</t>
  </si>
  <si>
    <t>SOP BRR Estabilizadora FT 103 5946269865 (70003993)</t>
  </si>
  <si>
    <t>Arandela Sujetadora Persiana 1023973601 (70003994)</t>
  </si>
  <si>
    <t>Resorte Freno RDA DEL FT 1039 7701023086 (70003995)</t>
  </si>
  <si>
    <t>Kit EMP De Reparacion Secador 1855764800 (70003996)</t>
  </si>
  <si>
    <t>Rodamiento Arranque Foton 1039 6903-2rs (70003997)</t>
  </si>
  <si>
    <t>Guardapolvo Caja Direc Der 485718 (70003998)</t>
  </si>
  <si>
    <t>VALV CTRL Suspens Chasis FRL Kd2205 (70003999)</t>
  </si>
  <si>
    <t>VALV Aceite MOT HN Dutropack 1570378060 (70004000)</t>
  </si>
  <si>
    <t>Adaptacion SOP De MOT KWX 4 P Ssx4603sk- (70004002)</t>
  </si>
  <si>
    <t>Tornillo Torx M8 X 1 25 X 30 M 3588153c1 (70004003)</t>
  </si>
  <si>
    <t>SENS FILT COMB Con Tazon FT 1 1023403856 (70004004)</t>
  </si>
  <si>
    <t>Guaya Freno Parqueo Hino 500 700010234 (70004005)</t>
  </si>
  <si>
    <t>Rache Freno Del Tras INT Lt Fltas1140 (70004006)</t>
  </si>
  <si>
    <t>Bisel Tablero Instrumentos Lh 3592463c1 (70004007)</t>
  </si>
  <si>
    <t>SENS Presion Diferencial Gases E 2894872 (70004008)</t>
  </si>
  <si>
    <t>Abrazadera Admision 5" T 521 (70004009)</t>
  </si>
  <si>
    <t>VENT Con Fanclutch FT 1129 1023358958 (70004010)</t>
  </si>
  <si>
    <t>Mecanismo Limpiabrisas FT 103 7701023164 (70004011)</t>
  </si>
  <si>
    <t>Patin Tensor Jac 1042 1025300fe1 (70004012)</t>
  </si>
  <si>
    <t>Anillo 2d0 Piston Jac Euro V 1004026fe0 (70004013)</t>
  </si>
  <si>
    <t>Tapa Balancin MUE Del Jac 104 2902050ld0 (70004014)</t>
  </si>
  <si>
    <t>Anillo Aceite Pistón Jac Euro 1004030fe0 (70004015)</t>
  </si>
  <si>
    <t>Bomba Vacio Jac Euro V 1025506fe0 (70004016)</t>
  </si>
  <si>
    <t>Semicodo Turbo - Admision Kw T8 K4316822 (70004017)</t>
  </si>
  <si>
    <t>Extensión Sup CAB Der Kw T800 R641151100 (70004018)</t>
  </si>
  <si>
    <t>BRR SOP Capo Kw T 800 Mod 2011 K3615651 (70004019)</t>
  </si>
  <si>
    <t>Enflanche Cardan Cruceta Npr 3210021 (70004020)</t>
  </si>
  <si>
    <t>Bocin Del Foton 1039 7705946305 (70004021)</t>
  </si>
  <si>
    <t>Guaya CTRL Selector Cambios 8972056580 (70004022)</t>
  </si>
  <si>
    <t>Oring Multiple Admision Jac E 1008202fe0 (70004023)</t>
  </si>
  <si>
    <t>Mando DIRales Y Luces FT 1039 7705946305 (70004024)</t>
  </si>
  <si>
    <t>Tobera Inyector #2 Foton 1039 Fabricada (70004025)</t>
  </si>
  <si>
    <t>Tijera IZQ FT 1030 7705946836470 (70004026)</t>
  </si>
  <si>
    <t>Kit Reparacion Amortiguador S Kisx100099 (70004027)</t>
  </si>
  <si>
    <t>DEP Limpiabrisas FT 1129 1023683678 (70004028)</t>
  </si>
  <si>
    <t>Separador Rodamiento RDA Del Npr Tkz0375 (70004029)</t>
  </si>
  <si>
    <t>Secador AIR Frenos CH Frr 8982533690 (70004030)</t>
  </si>
  <si>
    <t>Retenedor Speed Jac Jhr 4204810248 (70004031)</t>
  </si>
  <si>
    <t>BMB Agua MOT CUMM Isf 3 8 Jac 5333035 (70004032)</t>
  </si>
  <si>
    <t>FILT Separador COMB Jac 1120 Mod Fs1003 (70004033)</t>
  </si>
  <si>
    <t>Farola Derecha Hyundai H100 921014f010 (70004034)</t>
  </si>
  <si>
    <t>Guaya Freno Tras Der HY H100 5991243450 (70004035)</t>
  </si>
  <si>
    <t>Cartera Puerta Izq Foton 1039 7705946396 (70004036)</t>
  </si>
  <si>
    <t>Tapa Radiador Jac 1042 1301030d80 (70004037)</t>
  </si>
  <si>
    <t>Tubo De Aceite Tensor Nkr Rew 8980395670 (70004038)</t>
  </si>
  <si>
    <t>Bisagra Capot Dcha Kw T800 Mod 2011 M137 (70004039)</t>
  </si>
  <si>
    <t>Banda Freno TRAS HY H100 Fabricada (70004040)</t>
  </si>
  <si>
    <t>Soporte Altenador Foton MV5 5946036351 (70004041)</t>
  </si>
  <si>
    <t>Guaya CTRL Selector Cambios N 8972056590 (70004042)</t>
  </si>
  <si>
    <t>Tapa CJ De Velocidades Eaton Kw T8 S2129 (70004043)</t>
  </si>
  <si>
    <t>Caña Direc KWMod 2012 418050-1 (70004044)</t>
  </si>
  <si>
    <t>Sellos Valvula Jac Euro V 1003040fe130 (70004045)</t>
  </si>
  <si>
    <t>Tope Muelle Tras N200 9026225 (70004046)</t>
  </si>
  <si>
    <t>Bomba Agua Jac Euro V 1041100fe010 (70004047)</t>
  </si>
  <si>
    <t>Termostato Jac Euro V 1041050fe010 (70004048)</t>
  </si>
  <si>
    <t>BMB ELEC COMB FT MV5 5946027311 (70004049)</t>
  </si>
  <si>
    <t>Empaque Multiple Escape Jac 1044202fe010 (70004050)</t>
  </si>
  <si>
    <t>Marco PTA Izq CAB FT 1039 7701023123 (70004051)</t>
  </si>
  <si>
    <t>FILT A/C CAB INT Lt 4070948c1 (70004052)</t>
  </si>
  <si>
    <t>Rodamiento Tras Externo FT 11 7701023773 (70004053)</t>
  </si>
  <si>
    <t>Rodamiento Tras INTno FT 1128 7701023690 (70004054)</t>
  </si>
  <si>
    <t>Panel Tablero Instrumentos FT 7701023582 (70004055)</t>
  </si>
  <si>
    <t>Tuerca Pin Brazo De DIR En U 7705946394 (70004056)</t>
  </si>
  <si>
    <t>Arandela Inf Amortiguador FT 7701023972 (70004057)</t>
  </si>
  <si>
    <t>Cilindro Freno Tras Der 53401-50f0 (70004058)</t>
  </si>
  <si>
    <t>Brazo Espejo Izq Completo FT 7701023683 (70004059)</t>
  </si>
  <si>
    <t>Compresor Aire Foton 1065 7705946317 (70004060)</t>
  </si>
  <si>
    <t>Sensor Nox Mack Anthem 22303391 (70004061)</t>
  </si>
  <si>
    <t>Filtro Urea Mack Anthem 23381558 (70004062)</t>
  </si>
  <si>
    <t>SENS Presion Y TEMP A/C INT Lt 4051001c1 (70004063)</t>
  </si>
  <si>
    <t>Cremallera Elevavidrio Izq FT 7701023683 (70004064)</t>
  </si>
  <si>
    <t>Filtro Cabina A/C Mack Anthem 85151124 (70004065)</t>
  </si>
  <si>
    <t>Bisagra Capot Izq KW T800 Mod 2 M137293l (70004066)</t>
  </si>
  <si>
    <t>Pasador Del Del MUE De Hoja T 29110033ld (70004067)</t>
  </si>
  <si>
    <t>Valvula Admision Jac Euro V 1003014fe3 (70004068)</t>
  </si>
  <si>
    <t>RET Tras Cigüeñal Jac Euro V 1002060fe0 (70004069)</t>
  </si>
  <si>
    <t>Cartera Puerta Izq Inter Lt 3765604c93 (70004070)</t>
  </si>
  <si>
    <t>Tapa Revisor Inf Izq Inter Lt 4196872c91 (70004071)</t>
  </si>
  <si>
    <t>Acople Flexible Bba INY CUMM 30462000 (70004072)</t>
  </si>
  <si>
    <t>Valvula Escape Jac Euro V 1003015fe0 (70004073)</t>
  </si>
  <si>
    <t>Empaque Culata Jac Euro V 1002050fe0 (70004074)</t>
  </si>
  <si>
    <t>Buje De MUE De Hoja Tras Jac 2912040ld0 (70004075)</t>
  </si>
  <si>
    <t>Brazo DIR En U Lh Fot 7705946305853 (70004076)</t>
  </si>
  <si>
    <t>Panel Consola Sup Techo CAB Lt 6715847c1 (70004077)</t>
  </si>
  <si>
    <t>Booster Clutch Jac 1120 1607300g1g (70004078)</t>
  </si>
  <si>
    <t>Tapa DEP Liquido Frenos HN 50 44305ev020 (70004079)</t>
  </si>
  <si>
    <t>Cilindro Freno Tras Izq 53402-50f0 (70004080)</t>
  </si>
  <si>
    <t>Extension Tras Der CAB Kw T800 K0312251 (70004081)</t>
  </si>
  <si>
    <t>Bocel Sup Farola Der FT 1039 7701023699 (70004082)</t>
  </si>
  <si>
    <t>Reloj Medidor Voltaje Eagle 2023357c1 (70004083)</t>
  </si>
  <si>
    <t>Reloj TEMP Aceite MOT EGL 2023361c2 (70004084)</t>
  </si>
  <si>
    <t>Tornillo Pasador Inf Amortigu 7701023085 (70004085)</t>
  </si>
  <si>
    <t>TANQ De COMB FT 1039 7701023083 (70004086)</t>
  </si>
  <si>
    <t>Manija INTna PTA Der FT 1039 7705946362 (70004087)</t>
  </si>
  <si>
    <t>Volante Motor Foton 1039 1023521239 (70004088)</t>
  </si>
  <si>
    <t>Carcasa Retrovisor Daf Cf480 1644325 (70004089)</t>
  </si>
  <si>
    <t>Tapa Retrovisor Sup Izq INT L 4196871c91 (70004090)</t>
  </si>
  <si>
    <t>Puerta Izq Inter Lt 4172798w91 (70004091)</t>
  </si>
  <si>
    <t>EMP Tapa Frontal Jac Euro V 1010013fe0 (70004092)</t>
  </si>
  <si>
    <t>EMP Multiple De Admision Jac 1008102fe0 (70004093)</t>
  </si>
  <si>
    <t>RET Del Cigueñal Jac Euro V 1002070fe0 (70004094)</t>
  </si>
  <si>
    <t>Buje De MUE De Hoja Del Jac 1 2902044ld0 (70004095)</t>
  </si>
  <si>
    <t>Pasador Del Del MUE De Hoja D 2902040ld0 (70004096)</t>
  </si>
  <si>
    <t>Empaque Carter Jac Euro V 1009011fe0 (70004097)</t>
  </si>
  <si>
    <t>Caja De Dirección Inter Lt 3844903c92 (70004098)</t>
  </si>
  <si>
    <t>Condensador A/C Foton 1129 5946308847 (70004099)</t>
  </si>
  <si>
    <t>Picaporte Furgon Nhr Fabricado (70004100)</t>
  </si>
  <si>
    <t>Base Tras Cabina Kw T800 K235-1436 (70004101)</t>
  </si>
  <si>
    <t>MOT 7/8 CH N200 1200cc B12ek20221 (70004102)</t>
  </si>
  <si>
    <t>Bocin Delantero Hino Dutro 435112371 (70004103)</t>
  </si>
  <si>
    <t>SENS Nivel Refrigerante INT Lt 3810327c2 (70004104)</t>
  </si>
  <si>
    <t>ReCAM De Freno T16/24 VW Sapad1624e (70004105)</t>
  </si>
  <si>
    <t>Abrazadera Buje Terminal BRR Est 5497136 (70004106)</t>
  </si>
  <si>
    <t>Silla Conductor Foton BJ5 MV5 7701023487 (70004107)</t>
  </si>
  <si>
    <t>Silla Aux Foton BJ5 MV5 7701023487 (70004108)</t>
  </si>
  <si>
    <t>Bisagra PTA CAB INT Lt 4061060c1 (70004109)</t>
  </si>
  <si>
    <t>Caja De Velocidades Jac Jhr 1701001ld30q (70004110)</t>
  </si>
  <si>
    <t>Termostato Foton 1128 7701023595 (70004111)</t>
  </si>
  <si>
    <t>Anillo Bronce Sincronizador 5 R170826600 (70004112)</t>
  </si>
  <si>
    <t>Piñón Rev Jac Jhr R17012900003 (70004113)</t>
  </si>
  <si>
    <t>Tope Aux Ballesta Tras FT 106 1023355506 (70004114)</t>
  </si>
  <si>
    <t>Corona Y Speed 8:39 Jac 1120 Be33480470 (70004115)</t>
  </si>
  <si>
    <t>TANQ Y MOT Agua Limpiabrisas Fot 1128 77 (70004116)</t>
  </si>
  <si>
    <t>Manguera Sup Radiador FRR 8982058730 (70004117)</t>
  </si>
  <si>
    <t>Campana Tras HN Dutro Eje Sen 4243137080 (70004118)</t>
  </si>
  <si>
    <t>Bombillo Redondo H4 P45t 12 V (70004119)</t>
  </si>
  <si>
    <t>Estribo Sup CJ Bateria INT Lt 3758534c1 (70004120)</t>
  </si>
  <si>
    <t>Manija Ext PTA Izq INT Lt 4053943c93 (70004121)</t>
  </si>
  <si>
    <t>INTruptor Estacionarias FT 10 7701492178 (70004122)</t>
  </si>
  <si>
    <t>Evaporador Aire AC Foton 1065 5946673365 (70004123)</t>
  </si>
  <si>
    <t>Ratche Freno Trasero Der Foton 1128 (70004124)</t>
  </si>
  <si>
    <t>Guardapolvo Splinder FT 1039 7701023981 (70004125)</t>
  </si>
  <si>
    <t>Ratche Freno Trasero Izq Foton 1128 (70004126)</t>
  </si>
  <si>
    <t>Grapa Curva Trayler 7/8 X 3 X (70004127)</t>
  </si>
  <si>
    <t>Enfocador RAD KW T800 REP (70004128)</t>
  </si>
  <si>
    <t>Anillo Sincronizador 6 Caj Vel Fot 1129 (70004129)</t>
  </si>
  <si>
    <t>Manzana Sincronismo 1-2 Fot 1129 5946220 (70004130)</t>
  </si>
  <si>
    <t>INTruptor Estacionarias Jac Jhr 3750910L (70004131)</t>
  </si>
  <si>
    <t>Tapa Pin Caja Vel Fot 1129 5646002790 (70004132)</t>
  </si>
  <si>
    <t>Guaya Freno Parqueo Tras Izq FT 1030 770 (70004133)</t>
  </si>
  <si>
    <t>Talco Stop Der Daf Cf480 1914691 (70004134)</t>
  </si>
  <si>
    <t>Anillo Sincronizador 4 Caj Vel Fot 1129 (70004135)</t>
  </si>
  <si>
    <t>Mangura Termostato Tubo Cale N200 905248 (70004136)</t>
  </si>
  <si>
    <t>Disco De Freno Tras Der Daf Cf48 1812563 (70004137)</t>
  </si>
  <si>
    <t>Indicador De Desgaste Pastilla D 2255921 (70004138)</t>
  </si>
  <si>
    <t>Diafragma ReCAM De Freno Del FT 1129 (70004139)</t>
  </si>
  <si>
    <t>Palanca Freno De Parqueo FT 1 5946961233 (70004140)</t>
  </si>
  <si>
    <t>Brazo Plumilla Der KWDoble Par R23103523 (70004141)</t>
  </si>
  <si>
    <t>Soporte Izq Sup Techo Inter Lt 3517267c2 (70004142)</t>
  </si>
  <si>
    <t>Cilindro Aux Embrague Jac Jhr 1609010ld3 (70004143)</t>
  </si>
  <si>
    <t>Anillo De Contacto Pito Eagle 9400 20109 (70004144)</t>
  </si>
  <si>
    <t>Soporte Cabina Der Kw T800 A85-1277r (70004145)</t>
  </si>
  <si>
    <t>Tubo Flexible Exosto MCK Anthem 23137065 (70004146)</t>
  </si>
  <si>
    <t>Anillo Propulsor Caj Vel Fot 1129 594600 (70004147)</t>
  </si>
  <si>
    <t>Buje 2 Eje De Clutch FT MV5 1023485562 (70004148)</t>
  </si>
  <si>
    <t>Buje 1 Eje De Clutch FT MV5 1023485555 (70004149)</t>
  </si>
  <si>
    <t>Anillo Sincronizador 1-2 Caj Vel Fot 112 (70004150)</t>
  </si>
  <si>
    <t>Sincronismo 3-4 Caj Velfot 1129 59460025 (70004151)</t>
  </si>
  <si>
    <t>Anillo Sincronizador 3 Caj Vel Fot 1129 (70004152)</t>
  </si>
  <si>
    <t>Sensor Nivel De Agua Jac 3820015le310 (70004153)</t>
  </si>
  <si>
    <t>Piñon Bendix Hyundai Porter H100 (70004154)</t>
  </si>
  <si>
    <t>Arnes Eléctrico CAB FT 1065 770594686237 (70004155)</t>
  </si>
  <si>
    <t>Sincronismo 1-2 Caj Vel Fot 1129 5946002 (70004156)</t>
  </si>
  <si>
    <t>Camisa Sincronismo 1-2 Fot 1129 59462207 (70004157)</t>
  </si>
  <si>
    <t>Correa Accesorios Foton 1030 5946760027 (70004158)</t>
  </si>
  <si>
    <t>Anillo Caucho Mack Cxu 2330001501 (70004159)</t>
  </si>
  <si>
    <t>Hoja Resorte Trasera 4 Ftr 56265/4 (70004160)</t>
  </si>
  <si>
    <t>Hoja Resorte Trasera 5 Ftr 56265/5 (70004161)</t>
  </si>
  <si>
    <t>Hoja Resorte Trasera 6 Ftr 56265/6 (70004162)</t>
  </si>
  <si>
    <t>Tubo De Freno Del Foton 1039 1023086295 (70004163)</t>
  </si>
  <si>
    <t>Grapa 1 MUE Tras FT 1039 1023774598 (70004164)</t>
  </si>
  <si>
    <t>Grapa 2 MUE Tras FT 1039 1023085335 (70004165)</t>
  </si>
  <si>
    <t>Kit Camisa Piston MOT G1 Nhr N 587813193 (70004166)</t>
  </si>
  <si>
    <t>Recamara Freno Delantero Daf Cf480 (70004167)</t>
  </si>
  <si>
    <t>ReCAM Freno DEL Daf Cf480 REP (70004168)</t>
  </si>
  <si>
    <t>Motor Limpiabrisas Foton 1129 1023545099 (70004169)</t>
  </si>
  <si>
    <t>Eje De Levas Hino Dutropack 13501-E0612 (70004170)</t>
  </si>
  <si>
    <t>Correa BMB Hidráulica Jac Jhr 3407210fa0 (70004171)</t>
  </si>
  <si>
    <t>SOP Caucho MOT Del Kw T800 0703286rub (70004172)</t>
  </si>
  <si>
    <t>Sincronismo 5-6 Caj Vel Fot 1129 5946002 (70004173)</t>
  </si>
  <si>
    <t>Tubo Refrigeracion CJ Termost 2330000134 (70004174)</t>
  </si>
  <si>
    <t>Correa Ventilador Foton 1065 5946316996 (70004175)</t>
  </si>
  <si>
    <t>Campana Del Freno Foton 1129 1023311040 (70004176)</t>
  </si>
  <si>
    <t>Resorte Freno RDA Del FT 1129 1023082105 (70004177)</t>
  </si>
  <si>
    <t>Guaya Freno Parqueo FT 1039 1023475631 (70004178)</t>
  </si>
  <si>
    <t>Riel Elevavidrios TRAS Prostar 2506021c1 (70004179)</t>
  </si>
  <si>
    <t>Abrazadera T515 (70004180)</t>
  </si>
  <si>
    <t>Inyector COMB MOT FT 1039 5946436656 (70004181)</t>
  </si>
  <si>
    <t>Riel Elevavidrios DEL Prostar 2506042c2 (70004182)</t>
  </si>
  <si>
    <t>Valvula De Freno Frr 89822278924107027 (70004183)</t>
  </si>
  <si>
    <t>Punta Eje Del Der Foton 1128 5946752114 (70004184)</t>
  </si>
  <si>
    <t>Sello Vastago Válvula Culata Isf 3955393 (70004185)</t>
  </si>
  <si>
    <t>EMP Culata MOT Isf 3 8 CUMM Jac 5345648 (70004186)</t>
  </si>
  <si>
    <t>Cuña Splinder Foton 1128 1023326285 (70004187)</t>
  </si>
  <si>
    <t>Anillo Bocin Del Foton 1128 1023339025 (70004188)</t>
  </si>
  <si>
    <t>Correa AIR AC 5pk840 FT 1030 5946760034 (70004189)</t>
  </si>
  <si>
    <t>Mordaza Freno DEL IZQ HY H100 (70004190)</t>
  </si>
  <si>
    <t>Panel Esquinero DER FT 1030 5946735087 (70004191)</t>
  </si>
  <si>
    <t>Arandela Sincronismo 1-2 Fot 1129 564600 (70004192)</t>
  </si>
  <si>
    <t>Biela Fracturada Motor Isx Eagle 3689108 (70004193)</t>
  </si>
  <si>
    <t>Retenedor Bocín Daf Cf480 1398725 (70004194)</t>
  </si>
  <si>
    <t>Timon De Direccion Foton 1039 5946305006 (70004195)</t>
  </si>
  <si>
    <t>Riel De Inyeccion Foton 1039 1023083737 (70004196)</t>
  </si>
  <si>
    <t>CTRL Comando Luces HY H100 Porter (70004197)</t>
  </si>
  <si>
    <t>BMB Bomba Vacio 1.0t Dong Feng 11054164 (70004198)</t>
  </si>
  <si>
    <t>Kit Reparación Con Pistón Mordaza De Fre (70004199)</t>
  </si>
  <si>
    <t>EMPtadura Reparación Mordaza De Freno Da (70004200)</t>
  </si>
  <si>
    <t>Tapa CJ Bateria Lt INTnacional 3999393c3 (70004201)</t>
  </si>
  <si>
    <t>Racor Adaptador 1/2 Npt X 3/8 Npt (70004202)</t>
  </si>
  <si>
    <t>Flasher Jac Jhr 3735950ld010 (70004203)</t>
  </si>
  <si>
    <t>Sello Inf Tubo Refrigeracion 2330000131 (70004204)</t>
  </si>
  <si>
    <t>Sello Sup Tubo Refrigeracion 2330000148 (70004205)</t>
  </si>
  <si>
    <t>Motor Limpiabrisas Foton Mv5 (70004206)</t>
  </si>
  <si>
    <t>Mecanismo Seguro PTA Deslizan 5946023511 (70004207)</t>
  </si>
  <si>
    <t>Parasol Interno Izq Foton BJ5 5946039963 (70004208)</t>
  </si>
  <si>
    <t>Control Aire Acondicionado Protar 354554 (70004209)</t>
  </si>
  <si>
    <t>Empaque Bomba Aceite Hino S1511-91121 (70004210)</t>
  </si>
  <si>
    <t>Tapa Cubo RDA Del FT 1129 1023545174 (70004211)</t>
  </si>
  <si>
    <t>MANG Engrase 3/16 X 0 5 Nissan 4621085 E (70004212)</t>
  </si>
  <si>
    <t>RET Tras Caj Vel Fot 1129 5946002394 (70004213)</t>
  </si>
  <si>
    <t>Panel Tablero Indicadores EGL 3592583c91 (70004214)</t>
  </si>
  <si>
    <t>Vidrio Puerta Izquierda Kenworth T800 (70004215)</t>
  </si>
  <si>
    <t>MOT Elevavidrio PTA Der FT 10 1023528450 (70004216)</t>
  </si>
  <si>
    <t>Carter Aceite MOT HN Dutropack 12101-E04 (70004217)</t>
  </si>
  <si>
    <t>Comando Luces Jac Jhr 3774910le17003 (70004218)</t>
  </si>
  <si>
    <t>Templete Inf PTA Izq FT 1039 1023500029 (70004219)</t>
  </si>
  <si>
    <t>Columna Dirección Completa N200 24521100 (70004220)</t>
  </si>
  <si>
    <t>Bomba Aceite Hino Dutropack 15110-E0321 (70004221)</t>
  </si>
  <si>
    <t>Tuerca Punta Eje Del FT 1128 1023331203 (70004222)</t>
  </si>
  <si>
    <t>Filtro Secador Daf Cf480 1925363 (70004223)</t>
  </si>
  <si>
    <t>Switch CTRL Freno De MOT Lt X1 4095306c2 (70004224)</t>
  </si>
  <si>
    <t>Evaporador AIR AC INT Lt 4068875c2 (70004225)</t>
  </si>
  <si>
    <t>Sello BMB Refrigerante MCK Cxu 233000036 (70004226)</t>
  </si>
  <si>
    <t>Termostato Renault Master 8200978549 (70004227)</t>
  </si>
  <si>
    <t>BMB REN Master Principal Cluch 820045915 (70004228)</t>
  </si>
  <si>
    <t>Base SOP Eje De Levas Isx EGL 3679930 (70004229)</t>
  </si>
  <si>
    <t>Empaque Bomba Agua Mack Cxu 2330000891 (70004230)</t>
  </si>
  <si>
    <t>Sello Bomba Mach Cxu 2330000198 (70004231)</t>
  </si>
  <si>
    <t>Arandela Punta Eje Del FT 112 1023331197 (70004232)</t>
  </si>
  <si>
    <t>Buje BRR Estabilizadora Tras 1023085342 (70004233)</t>
  </si>
  <si>
    <t>Buje Tras De Ballesta Tras FT 5946259910 (70004234)</t>
  </si>
  <si>
    <t>Cuñero Splinder Foton 1039 1023983365 (70004235)</t>
  </si>
  <si>
    <t>Anillo Tubo De Escape INT Lt 2866337 (70004236)</t>
  </si>
  <si>
    <t>CAM Freno Del Izq FT 1065e 5946694742 (70004237)</t>
  </si>
  <si>
    <t>Bombillo 1 Contacto Pata Parejo 24v N67 (70004238)</t>
  </si>
  <si>
    <t>Housing Diferencial TRAS Nkr Modelo 2006 (70004239)</t>
  </si>
  <si>
    <t>Cerradura Cabina Volkswagen 2rg899371 (70004240)</t>
  </si>
  <si>
    <t>Kit Camisa Isx Eagle 9400 152mm Sin Apr (70004241)</t>
  </si>
  <si>
    <t>Arandela Yoke Cardan Eagle D2301236 (70004242)</t>
  </si>
  <si>
    <t>Tensor Correa A/C NS Pathfinder 82001047 (70004243)</t>
  </si>
  <si>
    <t>Perno RDA Tras Izq FT 1030 5946015578 (70004244)</t>
  </si>
  <si>
    <t>Guantera Foton 1129 7705946330442 (70004245)</t>
  </si>
  <si>
    <t>RAD Calefaccion INTnacional L 4068877c92 (70004246)</t>
  </si>
  <si>
    <t>Conjunto Sincronizador 3/4 Jac 1120 6ds5 (70004247)</t>
  </si>
  <si>
    <t>Rodamiento Splinder FT 1128 1023310376 (70004248)</t>
  </si>
  <si>
    <t>Conjunto Sincronizador 1/2 Jac 1120 6ds5 (70004249)</t>
  </si>
  <si>
    <t>Buje Splinder Foton 1128 1023310383 (70004250)</t>
  </si>
  <si>
    <t>Pasador Splinder Foton 1128 5946870689 (70004251)</t>
  </si>
  <si>
    <t>BMB Hidraulica DIR INT Lt 3624643c91 (70004252)</t>
  </si>
  <si>
    <t>BRR Corta DIRción FT 1128 149111393 (70004253)</t>
  </si>
  <si>
    <t>Pivote IZQ Limpiabrisas Nkr 8980030740 (70004254)</t>
  </si>
  <si>
    <t>Riel De Combustible Jac Jhr 1042400fe010 (70004255)</t>
  </si>
  <si>
    <t>Tuerca Terminal Derecha Nkr Reward 89804 (70004256)</t>
  </si>
  <si>
    <t>Tuerca Terminal Izquierda Nkr Reward 894 (70004257)</t>
  </si>
  <si>
    <t>Adaptador Turbo Escape Nkr Co 8971923320 (70004258)</t>
  </si>
  <si>
    <t>Kit Overhaul MOT Isx Camisa 152 Mm Kisx4 (70004259)</t>
  </si>
  <si>
    <t>Tornillo Montaje BMB Aceite MOT 3102651 (70004260)</t>
  </si>
  <si>
    <t>Filtro Aire T Automovil 1780161030 (70004261)</t>
  </si>
  <si>
    <t>Bomba Agua Daf Cf 480 2267066 (70004262)</t>
  </si>
  <si>
    <t>Oring Bomba Agua Daf Cf 480 2130588 (70004263)</t>
  </si>
  <si>
    <t>Caucho Cardan Hino Dutro 37235-37030 (70004264)</t>
  </si>
  <si>
    <t>Diafragma Tipo 16 (70004265)</t>
  </si>
  <si>
    <t>Columna De DIRción Asistida F 5946215381 (70004266)</t>
  </si>
  <si>
    <t>Conector 15 Pines Nexiq Pass Test Drs 14 (70004267)</t>
  </si>
  <si>
    <t>Filtro Combustible T Car/Vaca 2330069045 (70004268)</t>
  </si>
  <si>
    <t>FILT Aceite Generador Forte Fdg30gf-S Pl (70004269)</t>
  </si>
  <si>
    <t>FILT COMB Generador Forte Fdg30gf-S (70004270)</t>
  </si>
  <si>
    <t>Tubo Presion INY N°4 FT 1039 1023083775 (70004271)</t>
  </si>
  <si>
    <t>Cruceta Columna Direccion N200 Trst1640 (70004272)</t>
  </si>
  <si>
    <t>Freno De Parqueo Con Guaya FT 1039 77001 (70004273)</t>
  </si>
  <si>
    <t>Tobera Limpiabrisas FT 1128 1023559188 (70004274)</t>
  </si>
  <si>
    <t>MOT ARR FT Minitruck 5946743167 (70004275)</t>
  </si>
  <si>
    <t>Post Enfriador De AIR FT 1128 5946799096 (70004276)</t>
  </si>
  <si>
    <t>Patin Tensor Correa MOT Cummm 1023513463 (70004277)</t>
  </si>
  <si>
    <t>Cinturon Rectractil COND Y Au 1023683548 (70004278)</t>
  </si>
  <si>
    <t>Riel Solenoides AIR INT Prosta 2505594c1 (70004279)</t>
  </si>
  <si>
    <t>Motor Hyundai Modelo 2012 D4bh (70004280)</t>
  </si>
  <si>
    <t>Conector SENS Admision De AIR Dj0090hla (70004281)</t>
  </si>
  <si>
    <t>Pared Frontal Foton 1129 1023079181 (70004282)</t>
  </si>
  <si>
    <t>Hoja Soporte Caja Eagle 59002 (70004283)</t>
  </si>
  <si>
    <t>Pivote DER Limpiabrisas Nkr 8978551451 (70004284)</t>
  </si>
  <si>
    <t>TANQ Líquido De Frenos Prostar 3879178c1 (70004285)</t>
  </si>
  <si>
    <t>CIL Freno Tras Izq Sin Purga 47550ev270 (70004286)</t>
  </si>
  <si>
    <t>CIL Freno Tras Der Con Purga 47560ev300 (70004287)</t>
  </si>
  <si>
    <t>Kit Tuercas Perno RDA Del Der FRR Pv0333 (70004288)</t>
  </si>
  <si>
    <t>Guardapolvo Torre Palanca CJ Rtlo 10427 (70004289)</t>
  </si>
  <si>
    <t>Buje MUE DEL FT 1039 Fabricado (70004290)</t>
  </si>
  <si>
    <t>Kit Embrague Nissan Urvan Pqembrae26 (70004291)</t>
  </si>
  <si>
    <t>Radiador Motor Nissan Urvan 214103xgoa (70004292)</t>
  </si>
  <si>
    <t>Turbo Cargador Foton 1039 5946623032 (70004293)</t>
  </si>
  <si>
    <t>Aro Enfocador Mack Cxu 21411441 (70004294)</t>
  </si>
  <si>
    <t>CIL Freno Izq Con Purga FT BJ 5946186889 (70004295)</t>
  </si>
  <si>
    <t>Tuerca Biela CJ De DIR EGL 1695398c91 (70004296)</t>
  </si>
  <si>
    <t>Codo Turbo Foton 1039/1065 1023521635 (70004297)</t>
  </si>
  <si>
    <t>Carter Motor Cummins Isf 3.8 Foton 1129 (70004298)</t>
  </si>
  <si>
    <t>SENS Posicion Cigueñal NS Urvan 3731ec01 (70004299)</t>
  </si>
  <si>
    <t>FILT AIR Generador Forte Fdg30gf-S Plant (70004300)</t>
  </si>
  <si>
    <t>Carcasa Balinera EMB Jac Jhr 1602051z1 (70004301)</t>
  </si>
  <si>
    <t>CJ Porta Fusibles Jac 1120 4003930lg023 (70004302)</t>
  </si>
  <si>
    <t>Campana Freno Delantero Jac 3501015ld422 (70004303)</t>
  </si>
  <si>
    <t>SENS Catalizador Escape FT103 5946305099 (70004304)</t>
  </si>
  <si>
    <t>VALV Freno Ahogo FT 1039 5946744034 (70004305)</t>
  </si>
  <si>
    <t>Volante Embrague Ftr 897602463 (70004306)</t>
  </si>
  <si>
    <t>EMP Vidrio Tras CAB Jac 1120 5603102le0 (70004307)</t>
  </si>
  <si>
    <t>Vidrio Parabrisas Tras Jac 11 5603101le0 (70004308)</t>
  </si>
  <si>
    <t>Exploradora Izq Foton 1065 5946583701 (70004309)</t>
  </si>
  <si>
    <t>Exploradora Der Foton 1065 5946335256 (70004310)</t>
  </si>
  <si>
    <t>Pulverizador Agua Limpiabrisas 149003469 (70004311)</t>
  </si>
  <si>
    <t>SOP Base Alternador Van N200 24559069 (70004312)</t>
  </si>
  <si>
    <t>BMB Principal EMB HY H100 416004b001 (70004313)</t>
  </si>
  <si>
    <t>Carcazo Espejo Retrovizor Capo 23749807 (70004314)</t>
  </si>
  <si>
    <t>MANG A/C Condensador A Evapor 4093743c92 (70004315)</t>
  </si>
  <si>
    <t>Panel Inf Izq Cabina 9400i 3558745c1 (70004316)</t>
  </si>
  <si>
    <t>Sensor Presion Presostato Aire Acondicio (70004317)</t>
  </si>
  <si>
    <t>SENS TEMP MOT FT 1039 7701023474955 (70004318)</t>
  </si>
  <si>
    <t>Persiana Frontal CAB Jac Jkr 8401100ld0 (70004319)</t>
  </si>
  <si>
    <t>Sensor Baja Presion A/C Kw T800 (70004320)</t>
  </si>
  <si>
    <t>Protector Puerta Izq Nkr Nhr 8978521292 (70004321)</t>
  </si>
  <si>
    <t>Filtro Hidrolavadora (70004322)</t>
  </si>
  <si>
    <t>BMB Principal Freno Jac 1042 Mod 2018 35 (70004323)</t>
  </si>
  <si>
    <t>Sensor Freno Hino 300 Pa66 (70004324)</t>
  </si>
  <si>
    <t>Carcasa FILT De AIR Jac 1042 1109100ld3 (70004325)</t>
  </si>
  <si>
    <t>SENS Posición Árbol De LevasR 8200 67414 (70004326)</t>
  </si>
  <si>
    <t>Bateria 27m-1000 Duncan (70004327)</t>
  </si>
  <si>
    <t>Kit Reparacion Servo EMB Ftr 1318296110 (70004328)</t>
  </si>
  <si>
    <t>P Perno Exterior Culata Hino Sh552-11000 (70004329)</t>
  </si>
  <si>
    <t>Guaya CTRL Cambios NS Urvan 344133xa4d (70004330)</t>
  </si>
  <si>
    <t>Rodamiento Balinera EMB Jac Jhr 986809k2 (70004331)</t>
  </si>
  <si>
    <t>Disco Embrague Jac Jhr 1600200le190 (70004332)</t>
  </si>
  <si>
    <t>Lampara DIRal Der Tras Moto A 35603c2346 (70004333)</t>
  </si>
  <si>
    <t>Caucho Cardan Hino 37235e0010 (70004334)</t>
  </si>
  <si>
    <t>Agarradera PTA Der Fot 1129 770594650175 (70004335)</t>
  </si>
  <si>
    <t>Coraza Radiador Lt Int 4059933c1 (70004336)</t>
  </si>
  <si>
    <t>CTRL Vidrios Y Espejo Izq Int Lt 4061965 (70004337)</t>
  </si>
  <si>
    <t>Diferencial Completa Jac 1120 Bb33480010 (70004338)</t>
  </si>
  <si>
    <t>Resorte De Caja Nkr Rewart 897254835 (70004339)</t>
  </si>
  <si>
    <t>Carcasa Caja Embrague Nkr Reward 8972370 (70004340)</t>
  </si>
  <si>
    <t>Cremallera Volante FT 7701023327909 1128 (70004341)</t>
  </si>
  <si>
    <t>Arandela Pin Bocin Del FT 1039 770102398 (70004342)</t>
  </si>
  <si>
    <t>Turbo Alimentador FT 1065 - 1039 7705946 (70004343)</t>
  </si>
  <si>
    <t>Farola Derecha Jac Jhr 4121920le190 (70004344)</t>
  </si>
  <si>
    <t>Suplemento Motor Arranque Nkr 1j0065 (70004345)</t>
  </si>
  <si>
    <t>Tensor Damper Mack Cxu 21714847 (70004346)</t>
  </si>
  <si>
    <t>Alternador Nissan Urban 23100 3xnoa (70004347)</t>
  </si>
  <si>
    <t>Protector Puerta Der Nkr Nhr 8978521282 (70004348)</t>
  </si>
  <si>
    <t>Silla Copiloto Jac 1120 Fabricada (70004349)</t>
  </si>
  <si>
    <t>Sensor Knock Motor Foton MV5 5946023238 (70004350)</t>
  </si>
  <si>
    <t>Kit De Reparticion NS Pathfinder 1323 (70004351)</t>
  </si>
  <si>
    <t>Fan Cluth Nissan Pathfinder 1372 (70004352)</t>
  </si>
  <si>
    <t>Pisa Alfombra Izq Prostar 3596473c5 (70004353)</t>
  </si>
  <si>
    <t>Correa Accesorios Nissan Pathfinder 1460 (70004354)</t>
  </si>
  <si>
    <t>RET Del Cigueñal NS Pathfinder 37011398 (70004355)</t>
  </si>
  <si>
    <t>Amortiguador Del Der/Izq NS Pathfinder 1 (70004356)</t>
  </si>
  <si>
    <t>Amortiguador Tras Der/Izq NS Pathfinder (70004357)</t>
  </si>
  <si>
    <t>Correa A/C Nissan Pathfinder 1334 (70004358)</t>
  </si>
  <si>
    <t>Caja Fusibles Foton 1039 5946329231 (70004359)</t>
  </si>
  <si>
    <t>Sensor Temperatura Renault 8200650777 (70004360)</t>
  </si>
  <si>
    <t>Puente Montaje Capot INT Lt 3987735c4 (70004361)</t>
  </si>
  <si>
    <t>Resorte Freno RDA Del FT BJ11 5946256520 (70004362)</t>
  </si>
  <si>
    <t>Booster Freno Pedal FT 1039 1023559706 (70004363)</t>
  </si>
  <si>
    <t>Deposito De Expansion Jac 1120 1.31e+91 (70004364)</t>
  </si>
  <si>
    <t>Capo Tracto Lt625 4036099c99 (70004365)</t>
  </si>
  <si>
    <t>Buje Eje De Levas N1 HN Dutropack 11811e (70004366)</t>
  </si>
  <si>
    <t>Buje Eje De Levas N2 HN Dutropack 11821e (70004367)</t>
  </si>
  <si>
    <t>Buje Eje De Levas N3 HN Dutropack 11831e (70004368)</t>
  </si>
  <si>
    <t>Bloque Motor Van Foton Bj5 5946015882 (70004369)</t>
  </si>
  <si>
    <t>Cabeza De Vaca Lado CJ Int Lt6 Fula8437 (70004370)</t>
  </si>
  <si>
    <t>Manija Ext Puerta Izq Hino 500 6.92e+34 (70004371)</t>
  </si>
  <si>
    <t>Kit CILs Ignicion Y PTAs HN 5 69005e0540 (70004372)</t>
  </si>
  <si>
    <t>Rodillo Central Riel PTA Izq 824113xa9e (70004373)</t>
  </si>
  <si>
    <t>Rodillo Sup Riel PTA Izq NS 824013xaob (70004374)</t>
  </si>
  <si>
    <t>Rejilla Frontal CAB Int Lt6 4059083c93 (70004375)</t>
  </si>
  <si>
    <t>SENS Pedal EMB FT 1129 1023691017 (70004376)</t>
  </si>
  <si>
    <t>Control Luces Foton 1129 5946354080 (70004377)</t>
  </si>
  <si>
    <t>Kit SOPs Trass CAB VW 899397 (70004378)</t>
  </si>
  <si>
    <t>Chapa TRAS CAB VW Tjg899371ebra (70004379)</t>
  </si>
  <si>
    <t>Sticker Vin Cabina (70004380)</t>
  </si>
  <si>
    <t>Harness Farola INT Lt 6128959c93 (70004381)</t>
  </si>
  <si>
    <t>Cigueñal Motor Hino Dutropac 13411e0181 (70004382)</t>
  </si>
  <si>
    <t>FILT Hidraulico Hi Internatio 2503221 C1 (70004383)</t>
  </si>
  <si>
    <t>Biela Motor Hino Dutropack 13260e0052 (70004384)</t>
  </si>
  <si>
    <t>Lamevidrio PTA Der FT 1065 5946714846 (70004385)</t>
  </si>
  <si>
    <t>Vidrio Puerta Izquierda International Lt (70004386)</t>
  </si>
  <si>
    <t>Seguro Puerta Der Foton 1039 5946331401 (70004387)</t>
  </si>
  <si>
    <t>Cilindro Puerta Prostar 2506723c91 (70004388)</t>
  </si>
  <si>
    <t>Polea Tensora Ac Isx Prostar 3689465 (70004389)</t>
  </si>
  <si>
    <t>Deflector Radiador Izq Lt 4059848c93 (70004390)</t>
  </si>
  <si>
    <t>Rodamiento Caucho Cardan HN D 3720137020 (70004391)</t>
  </si>
  <si>
    <t>Deflector Radiador Der Lt 4059849c93 (70004392)</t>
  </si>
  <si>
    <t>Hoja Z Suspension Trasera Mack 4000-5694 (70004393)</t>
  </si>
  <si>
    <t>Filtro Agua Kentwort Fleetguard Wf 2127 (70004394)</t>
  </si>
  <si>
    <t>Compresor Aire AC Foton FRR 5946781435 (70004395)</t>
  </si>
  <si>
    <t>MOT Agua Limpiabrisas HN Dutr 8531090b00 (70004396)</t>
  </si>
  <si>
    <t>Disco Embrague Foton 1128 5946784245 (70004397)</t>
  </si>
  <si>
    <t>Balinera Embrague Foton 1128 1023481601 (70004398)</t>
  </si>
  <si>
    <t>Disyuntor Luces 5 Patas 12v INT Lt 871-1 (70004399)</t>
  </si>
  <si>
    <t>Lamevidrio PTA Der Jac 1120 6103205le0 (70004400)</t>
  </si>
  <si>
    <t>Alternador 35si 12v/140amp (J180) Dra860 (70004401)</t>
  </si>
  <si>
    <t>SENS Velocidad FT 1039 7705946304979 (70004402)</t>
  </si>
  <si>
    <t>Lamevidrio PTA Izq Jac 1120 6103105le0 (70004403)</t>
  </si>
  <si>
    <t>Hoja Segunda Resorte MUE Tras H 54-027/2 (70004404)</t>
  </si>
  <si>
    <t>Hoja Principal Resorte MUE Tras 54-027/1 (70004405)</t>
  </si>
  <si>
    <t>Tornillo Central Resorte MUE HN 500 1/2 (70004406)</t>
  </si>
  <si>
    <t>PTA TRAS IZQ REN 7751477911 (70004407)</t>
  </si>
  <si>
    <t>Barra Tensora Pequeña Prostar 3581266c2 (70004408)</t>
  </si>
  <si>
    <t>PTA TRAS DER REN 7751477915 (70004409)</t>
  </si>
  <si>
    <t>Correa VENT MOT MCK Anthem 23961839 (70004410)</t>
  </si>
  <si>
    <t>Tapa Caja Bateria Prostar 3626455c91 (70004411)</t>
  </si>
  <si>
    <t>Grapa Resorte MUE TRAS HN 500 12" X 11 (70004412)</t>
  </si>
  <si>
    <t>Emblema Tapa Cabrilla Nkr Rw 8974059870 (70004413)</t>
  </si>
  <si>
    <t>Bombona Bombona Trailer Inca 1k19zk-5.7 (70004414)</t>
  </si>
  <si>
    <t>Balancin Motor Nkr 8941523440 (70004415)</t>
  </si>
  <si>
    <t>Eje Flauta Balancines Nkr 8979158330 (70004416)</t>
  </si>
  <si>
    <t>Caucho Tornillo Persiana INT L 6113408c2 (70004417)</t>
  </si>
  <si>
    <t>Tapa Pito Cabrilla CH N200 24520296 (70004418)</t>
  </si>
  <si>
    <t>Juego Splinder Hino 300 700009086 (70004419)</t>
  </si>
  <si>
    <t>Carcasa FILT AIR MOT FT 1065 5946506113 (70004420)</t>
  </si>
  <si>
    <t>VALV CTRL Freno Seguridad Jac 3526010le1 (70004421)</t>
  </si>
  <si>
    <t>Motor Arranque Jac 1042 1043100fe010 (70004422)</t>
  </si>
  <si>
    <t>FILT Aceite Super Car Luberfiner Ph 2816 (70004423)</t>
  </si>
  <si>
    <t>MOT ELEC Compresor AIR Three Trypey100l2 (70004424)</t>
  </si>
  <si>
    <t>Tee Suministro COMB EGL 3559587c1 (70004425)</t>
  </si>
  <si>
    <t>Piñon De 6ta Nkr III Rewar 20 8972412661 (70004426)</t>
  </si>
  <si>
    <t>Engranaje IMPUL Nkr III Rewar 8972535560 (70004427)</t>
  </si>
  <si>
    <t>Kit EMB REN Master Mod 2017 302057590r (70004428)</t>
  </si>
  <si>
    <t>Refuerzo Bomper Renault 7700352729 (70004429)</t>
  </si>
  <si>
    <t>Empaque Carter Motor Cummins Isf 3.8 Fot (70004430)</t>
  </si>
  <si>
    <t>Palanca Freno De Mano S-720 HN 700014858 (70004431)</t>
  </si>
  <si>
    <t>Desfogue Caja Velocidades Renault Duster (70004432)</t>
  </si>
  <si>
    <t>SOP INF Izq Pta Deslizante Bj5 594602349 (70004433)</t>
  </si>
  <si>
    <t>Caja Direccion Prostar 3596197c92 (70004434)</t>
  </si>
  <si>
    <t>Silla Conductor Jac 1042 6800100le010 (70004435)</t>
  </si>
  <si>
    <t>Silla AUX Completa Jac 1042 7200100ld010 (70004436)</t>
  </si>
  <si>
    <t>Termostato De MOT 6bt CUMM Plant 5292738 (70004437)</t>
  </si>
  <si>
    <t>Base De Alternador MOT 6bt CUMM 3287096 (70004438)</t>
  </si>
  <si>
    <t>Espejo Aux Redondo Jac Jhr 11 8202300le1 (70004439)</t>
  </si>
  <si>
    <t>SENS Posición Arbol De Levas N200 900298 (70004440)</t>
  </si>
  <si>
    <t>Retenedor Del Foton 1128 1023333337 (70004441)</t>
  </si>
  <si>
    <t>Correa Alternador/Cxu-Gu Mack 23961764 (70004442)</t>
  </si>
  <si>
    <t>Ballesta DEL Lh Fot 1128 5946769848 (70004443)</t>
  </si>
  <si>
    <t>Fan Cluth Completo Mack Cxu 23585940 (70004444)</t>
  </si>
  <si>
    <t>Gancho Capo Lt Int 3544924c1 (70004445)</t>
  </si>
  <si>
    <t>Tuerca Rueda Del Foton 1039 1023467551 (70004446)</t>
  </si>
  <si>
    <t>Esparrago RDA Del Y Tras FT 1 1023559722 (70004447)</t>
  </si>
  <si>
    <t>Panel Guardabarro IZQ REN 7751475533 (70004448)</t>
  </si>
  <si>
    <t>Panel Guardabarro DER REN 7751475534 (70004449)</t>
  </si>
  <si>
    <t>Base Soporte Motor Mack Cxu 2330000682 (70004450)</t>
  </si>
  <si>
    <t>Soporte Motor ,Ack Cxu 2330000047 (70004451)</t>
  </si>
  <si>
    <t>Kit Prensa Embrague Mack Cxu 2330000672 (70004452)</t>
  </si>
  <si>
    <t>Exploradora Izq Foton 1129 7701023078924 (70004453)</t>
  </si>
  <si>
    <t>Exploradora Der Foton 1129 7701023078931 (70004454)</t>
  </si>
  <si>
    <t>Switch DIRales Y Luces DFENG 3774100-Ba0 (70004455)</t>
  </si>
  <si>
    <t>MANG A/C Presion De Alta KW T F506242147 (70004456)</t>
  </si>
  <si>
    <t>Sensor De Oxigeno Mv3.Mv5 7705946023306 (70004457)</t>
  </si>
  <si>
    <t>Cable Desgaste Pastillas Freno REN 41068 (70004458)</t>
  </si>
  <si>
    <t>Stop Tras Carroceria FRR 24v Der 4010315 (70004459)</t>
  </si>
  <si>
    <t>Switch Elevavidrios Kw T800 Der P271070 (70004460)</t>
  </si>
  <si>
    <t>Guía De Escape Motor N200 25182065 (70004461)</t>
  </si>
  <si>
    <t>Bombillo Halogeno 12v H1 55w DFENG 1 Pat (70004462)</t>
  </si>
  <si>
    <t>Repuestos Varios Vehiculo Fundador (70004463)</t>
  </si>
  <si>
    <t>Puntera DER Bomper Chasis Lt Int 4057029 (70004464)</t>
  </si>
  <si>
    <t>Sensor Pedal Freno Fot Bj5 7705946027670 (70004465)</t>
  </si>
  <si>
    <t>Soporte Inferior Capo Kw T800 L77144 (70004466)</t>
  </si>
  <si>
    <t>Tubo Salida RAD REN Master Mo 8200655255 (70004467)</t>
  </si>
  <si>
    <t>Tubo AIR Turbo REN Master Mod 8200730589 (70004468)</t>
  </si>
  <si>
    <t>Tubo Gases Turbo REN Master M 223214864r (70004469)</t>
  </si>
  <si>
    <t>Puntera IZQ Bomper Chasis Lt Int 4057028 (70004470)</t>
  </si>
  <si>
    <t>Cubierta Decorativa Bomper Cha 4112020c1 (70004471)</t>
  </si>
  <si>
    <t>Bobina Ignicion FT Tm 30 7705946726689 (70004472)</t>
  </si>
  <si>
    <t>Tornillo Lubricacion BMB De Vacio Npr 20 (70004473)</t>
  </si>
  <si>
    <t>Tuerca Rueda Tras Foton 1039 1023086363 (70004474)</t>
  </si>
  <si>
    <t>Esquinero Cabina Der FRR 8974075094 (70004475)</t>
  </si>
  <si>
    <t>INTruptor De Vidrio ELEC Fot Mv5 7705946 (70004476)</t>
  </si>
  <si>
    <t>INTruptor EMB Jac Jhr 3750720le010 (70004477)</t>
  </si>
  <si>
    <t>Tapon Magnetico Diferencial EGL 586049c1 (70004478)</t>
  </si>
  <si>
    <t>Sensor Rev Foton 1065 Ca3dc 5946654227 (70004479)</t>
  </si>
  <si>
    <t>Amortiguador Del Con Espiral 5946043205 (70004480)</t>
  </si>
  <si>
    <t>Amortiguador Del Con Espiral 5946043199 (70004481)</t>
  </si>
  <si>
    <t>SENS Presion Aceite Isf3 8 FT 1023331494 (70004482)</t>
  </si>
  <si>
    <t>Valvula Relay Mack Sr-7 7600 2596561c91 (70004483)</t>
  </si>
  <si>
    <t>Bombillo Lampara Halogena H11 1525806 (70004484)</t>
  </si>
  <si>
    <t>Bombillo Lampara Hgena H7 Masterlife 24 (70004485)</t>
  </si>
  <si>
    <t>Conector SENS Posición MOT FT 103 Dj0040 (70004486)</t>
  </si>
  <si>
    <t>Harnes Motor Chevrolet N200 24533101 (70004487)</t>
  </si>
  <si>
    <t>Banda Freno DEL FT 1128 Remachada (70004488)</t>
  </si>
  <si>
    <t>Switch Elevavidrios Master Izq 3544934c6 (70004489)</t>
  </si>
  <si>
    <t>Guaya Freno Parqueo FT Minitr 5946764254 (70004490)</t>
  </si>
  <si>
    <t>Parabrisas Laminado Daf Cf480 Ftt Fabric (70004491)</t>
  </si>
  <si>
    <t>Guaya Cambios Foton Mv5 5946025096 (70004492)</t>
  </si>
  <si>
    <t>Relay Pito Hino 4 Patas 24v 9098702017 (70004493)</t>
  </si>
  <si>
    <t>Conjunto Carcasa Sello Aceite Cigueñal N (70004494)</t>
  </si>
  <si>
    <t>RAD MOT FT Minitruck / Tm30 REP (70004495)</t>
  </si>
  <si>
    <t>SOP Amort Super Tras Izq Newal EGL 35141 (70004496)</t>
  </si>
  <si>
    <t>SOP Amort Super Tras Dcho Neway EGL 3514 (70004497)</t>
  </si>
  <si>
    <t>Bombillo Lampara Halogena H1 24v 70w P14 (70004498)</t>
  </si>
  <si>
    <t>Compresor Aire Acondicionado Lt Inter 38 (70004499)</t>
  </si>
  <si>
    <t>MANG Compresor Condensador A/C Lt Int 40 (70004500)</t>
  </si>
  <si>
    <t>Farola Izq Lt Inter 4049969c97 (70004501)</t>
  </si>
  <si>
    <t>MANG VALV Expan-Condens A/C Lt Int 41672 (70004502)</t>
  </si>
  <si>
    <t>Farola Derecha Lt Int 4049970c97 (70004503)</t>
  </si>
  <si>
    <t>Par Parasol Lh Tm1.5 Foton 7705946770774 (70004504)</t>
  </si>
  <si>
    <t>Tubo Enfriador De Aceite DIRci 6136193c1 (70004505)</t>
  </si>
  <si>
    <t>Deposito Hidraulico Direc Lt 4043002c91 (70004506)</t>
  </si>
  <si>
    <t>Tope MUE Aux Tras Nkr Rewar 8972543870 (70004507)</t>
  </si>
  <si>
    <t>Cardan Completo N200 9001686 (70004508)</t>
  </si>
  <si>
    <t>Plato Freno Del Izq Nkr -Nhr 8973025870 (70004509)</t>
  </si>
  <si>
    <t>Cruceta Cardan Hyundai H100 Porter (70004510)</t>
  </si>
  <si>
    <t>Shims Camisa MOT VW 8185 5610034002 (70004511)</t>
  </si>
  <si>
    <t>Agarradera INTna PTA Izq FT 1 5948754965 (70004512)</t>
  </si>
  <si>
    <t>Tubo Respiradero Foton Mv5 5946027984 (70004513)</t>
  </si>
  <si>
    <t>MANG Respiradero MOT Fotton MV 596015752 (70004514)</t>
  </si>
  <si>
    <t>Válvula Pcv Motor Foton Mv5 5946015745 (70004515)</t>
  </si>
  <si>
    <t>Enfocador Radiador Mack Cxu 20971031 (70004516)</t>
  </si>
  <si>
    <t>Tapa Deposito Hidraulico Hino 44305e0010 (70004517)</t>
  </si>
  <si>
    <t>Reloj TEMP H2o 9400/97 (°f) 2023355c1 (70004518)</t>
  </si>
  <si>
    <t>BMB Fr Bomba Freno Nkr Reward 8980326170 (70004519)</t>
  </si>
  <si>
    <t>SOP RAD Der INT Lt 2516093c91 (70004520)</t>
  </si>
  <si>
    <t>Tubo Refrigeración INT Lt 4055392c1 (70004521)</t>
  </si>
  <si>
    <t>Soporte Radiador Sup Int Lt 2516090c91 (70004522)</t>
  </si>
  <si>
    <t>Juego Media Luna Std HN Dutro S110111240 (70004523)</t>
  </si>
  <si>
    <t>RAD AIR INT Lt 2516097c91 (70004524)</t>
  </si>
  <si>
    <t>Fan Clutch Cum18361 Motor Lt 99a82402 (70004525)</t>
  </si>
  <si>
    <t>Empaque Carcasa Volante Isx Lt 4393176 (70004526)</t>
  </si>
  <si>
    <t>Medidor COMB 26 Pul Eage 3596382c92 (70004527)</t>
  </si>
  <si>
    <t>Bisel Inf Puerta Izq Jac Jhr 6102142le0 (70004528)</t>
  </si>
  <si>
    <t>Espejo Retrovisor Montacargas Eléctrica (70004529)</t>
  </si>
  <si>
    <t>Sensor Crucero KW T800 17109am (70004530)</t>
  </si>
  <si>
    <t>Tensor Correa Alternador FT B 5946023092 (70004531)</t>
  </si>
  <si>
    <t>Bocin Tras Foton 1039 1023086400 (70004532)</t>
  </si>
  <si>
    <t>Plato Freno Del Der Nkr -Nhr 8973025860 (70004533)</t>
  </si>
  <si>
    <t>Tapa Tapa Guantera Nkr Reward 8974095100 (70004534)</t>
  </si>
  <si>
    <t>Tirador Manija INTna PTA Izq P 3597152c2 (70004535)</t>
  </si>
  <si>
    <t>Tanque Auxiliar Radiador Lt 4062314c1 (70004536)</t>
  </si>
  <si>
    <t>Varilla Tensora RAD Izq Lt 4060417c1 (70004537)</t>
  </si>
  <si>
    <t>Tubo Derecho Intercooler Lt 4124716c91 (70004538)</t>
  </si>
  <si>
    <t>Enfocador RAD INT Lt 4060129c1 (70004539)</t>
  </si>
  <si>
    <t>Cenicero PTA Der HN Dutropack 74110-3701 (70004540)</t>
  </si>
  <si>
    <t>Manija INTna PTA Lateral Der NS Urvan 82 (70004541)</t>
  </si>
  <si>
    <t>Varilla Tensora RAD Der Lt 4060416c1 (70004542)</t>
  </si>
  <si>
    <t>Tapon De Vaciado Carter Daf 1982821 (70004543)</t>
  </si>
  <si>
    <t>Indicador Restrictor AIR Prost 3945690c1 (70004544)</t>
  </si>
  <si>
    <t>Banda Freno Delantera Jac 1120 (70004545)</t>
  </si>
  <si>
    <t>Rodamiento Del INTno FT1128 1023294225 (70004546)</t>
  </si>
  <si>
    <t>Tubo Soporte Guardabarro Eagle 578047c2 (70004547)</t>
  </si>
  <si>
    <t>SOP Guardapolvo Tras Izq EGL 3593191c92 (70004548)</t>
  </si>
  <si>
    <t>SOP Central RAD Int Lt 2516109c91 (70004549)</t>
  </si>
  <si>
    <t>Soporte Radiador Inf Int Lt 2516091c91 (70004550)</t>
  </si>
  <si>
    <t>SOP RAD Izq INT Lt 2516092c91 (70004551)</t>
  </si>
  <si>
    <t>Buje Amortiguador Delantero Foton 1129 (70004552)</t>
  </si>
  <si>
    <t>Agarradera Manija Apoyo PTA De 2021ld060 (70004553)</t>
  </si>
  <si>
    <t>Parabrisas Laminado Foton 1065 - 1045 (70004554)</t>
  </si>
  <si>
    <t>Hoja Muelle Ppal Trasera Nkr Reward 2207 (70004555)</t>
  </si>
  <si>
    <t>Parabrisas Blindado Toyota Prado Vxa (70004556)</t>
  </si>
  <si>
    <t>Axial Direc Fotn MV5 5946754293 (70004557)</t>
  </si>
  <si>
    <t>Bomba Combustible Jac 1106010ld30m (70004558)</t>
  </si>
  <si>
    <t>Conector Actuador 2 Puestos Isx (70004559)</t>
  </si>
  <si>
    <t>Espejo Capo Izquierdo Mack 2330002639 (70004560)</t>
  </si>
  <si>
    <t>Luna Espejo Capo Mack 2330005331 (70004561)</t>
  </si>
  <si>
    <t>Cabrilla Multifuncional FT 11 5946048934 (70004562)</t>
  </si>
  <si>
    <t>Balinera Embrague Jac 1042 R1603543 (70004563)</t>
  </si>
  <si>
    <t>Retenedor Trasero Caja Jac 1042 C1701702 (70004564)</t>
  </si>
  <si>
    <t>Correa Ventilador Lt 4120384c1 (70004565)</t>
  </si>
  <si>
    <t>MANG Manguera Agua Superior Lt 6129126c2 (70004566)</t>
  </si>
  <si>
    <t>CTRL VidrioCOND FT 1039 5946305112 (70004567)</t>
  </si>
  <si>
    <t>Filtro Antipolucion A/C Daf 1953595 (70004568)</t>
  </si>
  <si>
    <t>Tope MUE Suspensión Del Nkr R 8980091140 (70004569)</t>
  </si>
  <si>
    <t>Tapa DEP AUX HN Dutropack 1640578010 (70004570)</t>
  </si>
  <si>
    <t>Esquinero Frontal Rh Hino 500 5.38e+174 (70004571)</t>
  </si>
  <si>
    <t>Housing Trasera Delantera Eagle 9400 312 (70004572)</t>
  </si>
  <si>
    <t>Elemento FILT De COMB Daf Cf480 2277129 (70004573)</t>
  </si>
  <si>
    <t>FILT Separador COMB Daf Cf480 1433649 (70004574)</t>
  </si>
  <si>
    <t>FILT De Aceite Centrífugo Daf Cf480 1922 (70004575)</t>
  </si>
  <si>
    <t>Filtro De Aire Motor Daf Cf480 2169184 (70004576)</t>
  </si>
  <si>
    <t>Filtro Aceite Motor Daf Cf480 2234788 (70004577)</t>
  </si>
  <si>
    <t>CJ De Fusible CAB Int Nkr III 8980676191 (70004578)</t>
  </si>
  <si>
    <t>Par Parasol Rh Tm1.5 Foton 7705946770781 (70004579)</t>
  </si>
  <si>
    <t>Piston Motor 4jb1 Nkr Iii 8944608871 (70004580)</t>
  </si>
  <si>
    <t>Hoja MUE TRAS Principal Ftr 8980519960 (70004581)</t>
  </si>
  <si>
    <t>Tapa TANQ De COMB FT 1065 5946581318 (70004582)</t>
  </si>
  <si>
    <t>Emp Culata 3 Muescas Siliconado FT 1039 (70004583)</t>
  </si>
  <si>
    <t>Bateria Tractomula Daf 12v 175ah 900a (70004584)</t>
  </si>
  <si>
    <t>RET Deductor Diferencial Jac 24028r1006 (70004585)</t>
  </si>
  <si>
    <t>SOP Caucho CAB FT 1039 7701023700429 (70004586)</t>
  </si>
  <si>
    <t>SOP Línea De COMB EGL 3565711c2 (70004587)</t>
  </si>
  <si>
    <t>Canal Inferior Premium Pu-8280-5 (70004588)</t>
  </si>
  <si>
    <t>Automatico Arranque Foton 1039 12v Zm691 (70004589)</t>
  </si>
  <si>
    <t>Extension Del Izq INTnacional 4054647c96 (70004590)</t>
  </si>
  <si>
    <t>CIL Principal Clutch Camion F 5946328265 (70004591)</t>
  </si>
  <si>
    <t>Booster Clutch Camion FT Bj1129 77010230 (70004592)</t>
  </si>
  <si>
    <t>MANG ENT Booster Liquido Fot Bj1129 7701 (70004593)</t>
  </si>
  <si>
    <t>Base Termostatica Nkr Iii 8971396042 (70004594)</t>
  </si>
  <si>
    <t>Tornillo Arranque Hi 37mt (70004595)</t>
  </si>
  <si>
    <t>Agarradera PTA Izq Jac 1120 6102011ld0 (70004596)</t>
  </si>
  <si>
    <t>Cremallera Volante Hyunday 23212-42000 (70004597)</t>
  </si>
  <si>
    <t>Kit CILs Encendido Y PTAs Jac 3704910le0 (70004598)</t>
  </si>
  <si>
    <t>INTcambiador De Calor Sup CJ 915 K K3955 (70004599)</t>
  </si>
  <si>
    <t>BMB DIR Hidraulica NS Urvan 491103xnod (70004600)</t>
  </si>
  <si>
    <t>Guia Valvula Hyundai Porter H100 (70004601)</t>
  </si>
  <si>
    <t>Correa Bomba Hidraulica Jac 1042 (70004602)</t>
  </si>
  <si>
    <t>Grapa Muelle Tras Hino 300 700017777 (70004603)</t>
  </si>
  <si>
    <t>Flotador COMB FT BJ1129 102308170 (70004604)</t>
  </si>
  <si>
    <t>Caña DIRción FT Minutruck / Tm30 7705946 (70004605)</t>
  </si>
  <si>
    <t>RAD MOT FT Minitruck / Tm30 770594676937 (70004606)</t>
  </si>
  <si>
    <t>Carcasa Piñon Velocimetro Nqr 8972531250 (70004607)</t>
  </si>
  <si>
    <t>Juego Pastillas Freno Del REN Duste 8553 (70004608)</t>
  </si>
  <si>
    <t>Witch CAB CTRL VALV Suspens KW G90106602 (70004609)</t>
  </si>
  <si>
    <t>Witch CAB Bloqueo Diferencial G90106601 (70004610)</t>
  </si>
  <si>
    <t>Kit Reparacion MAY Quinta RDA Ho Rk351al (70004611)</t>
  </si>
  <si>
    <t>Base Soporte Cabina Nkr Rewar 8980064551 (70004612)</t>
  </si>
  <si>
    <t>Buje De Caucho Foton 1039 7701023809597 (70004613)</t>
  </si>
  <si>
    <t>Portaleva Izq Del Eagle 2504125c91 (70004614)</t>
  </si>
  <si>
    <t>Terminal Direc Der Foton 1129 1023310352 (70004615)</t>
  </si>
  <si>
    <t>Terminal Direc Izq Foton 1129 1023310369 (70004616)</t>
  </si>
  <si>
    <t>VALV CTRL Suspens Chasis INTn 2607243c94 (70004617)</t>
  </si>
  <si>
    <t>Espejo Der Completo INTnacion 4188589c91 (70004618)</t>
  </si>
  <si>
    <t>Trapecio Limpiabrisas HN Dutro Pro 85150 (70004619)</t>
  </si>
  <si>
    <t>Esquinero Izq HN Dutro Pro Mo 5381437100 (70004620)</t>
  </si>
  <si>
    <t>Recibidor Capot Renault 7700352729 (70004621)</t>
  </si>
  <si>
    <t>Separador Inf 1" Suspens MUE De K2214737 (70004622)</t>
  </si>
  <si>
    <t>Tuerca Guaya Tanque Aire Eagle 124925 (70004623)</t>
  </si>
  <si>
    <t>Parasol Izq KW T800 Modelo 20 S731029601 (70004624)</t>
  </si>
  <si>
    <t>Caja Direccion Renault 490018112r (70004625)</t>
  </si>
  <si>
    <t>Porta Escobillas MOT ARR FT Mb5 Ir81193 (70004626)</t>
  </si>
  <si>
    <t>Separador Sup 1/2" Suspens MUE K2214785 (70004627)</t>
  </si>
  <si>
    <t>Tuerca Tope Direccion Nkr Reward 9111151 (70004628)</t>
  </si>
  <si>
    <t>Tornillo Tope Direccion Nkr Reward 89736 (70004629)</t>
  </si>
  <si>
    <t>Bomper Central Chasis Lt Int 4057030c2 (70004631)</t>
  </si>
  <si>
    <t>Sobre Tapa Transmi Palanca Cambios 16918 (70004632)</t>
  </si>
  <si>
    <t>Bean Clamp 3/8 (70004633)</t>
  </si>
  <si>
    <t>SOP Puntera Der Bomper Chasis 4058384c2 (70004634)</t>
  </si>
  <si>
    <t>Cremallera Volante MOT Jac 1120 3908546 (70004635)</t>
  </si>
  <si>
    <t>Templete De PTA Jac Jhr 6109100le01006 (70004636)</t>
  </si>
  <si>
    <t>Extension Derecha Capo Prostar 3608906c5 (70004637)</t>
  </si>
  <si>
    <t>Espejo Capo Derecho Mack Anthem 78620288 (70004638)</t>
  </si>
  <si>
    <t>Tornillo Tope DIR Nkr Rewar 1 8973600590 (70004639)</t>
  </si>
  <si>
    <t>Buje TRAS MUE DEL HN Sz38225001 (70004640)</t>
  </si>
  <si>
    <t>Pasador MUE Del Parte Tras HN 4.84e+164 (70004641)</t>
  </si>
  <si>
    <t>Pasador MUE Del Parte Del HN S484232670 (70004642)</t>
  </si>
  <si>
    <t>Buje Tras MUE Tras HN 500 Sz38230002 (70004643)</t>
  </si>
  <si>
    <t>Pasador MUE Tras Parte Tras HN 4.84e+204 (70004644)</t>
  </si>
  <si>
    <t>Bendix Motor Arranque 42mt 480321 (70004645)</t>
  </si>
  <si>
    <t>BRR Corta De DIR FT 1129 1023082068 (70004646)</t>
  </si>
  <si>
    <t>Balinera Clutch Foton BJ 1129 1023481601 (70004647)</t>
  </si>
  <si>
    <t>Disco Clutch Foton BJ 1129 1023775281 (70004648)</t>
  </si>
  <si>
    <t>Tapa Del Hidraulico KW2012 5724006 (70004649)</t>
  </si>
  <si>
    <t>Guardabarros Intermedio Izq KW2012 Mp742 (70004650)</t>
  </si>
  <si>
    <t>Cubierta Manija INTna PTA KWh 310cab045 (70004651)</t>
  </si>
  <si>
    <t>Zapata Patin Trailer Sox-401102 (70004652)</t>
  </si>
  <si>
    <t>Bocel DER Farola FT 1039 102369544 (70004653)</t>
  </si>
  <si>
    <t>Booster Freno Hino Dutro 16807700 (70004654)</t>
  </si>
  <si>
    <t>Guardabarro Del INTnacional Lt 6123822c3 (70004655)</t>
  </si>
  <si>
    <t>Rache Del Lh Ca6 Foton 1129 5946033138 (70004656)</t>
  </si>
  <si>
    <t>Rache Del Rh Ca6 Foton 1129 5946033145 (70004657)</t>
  </si>
  <si>
    <t>Manija Elevavidrio Hyunday (70004658)</t>
  </si>
  <si>
    <t>Espejo Retro Lh Con Brazo Fot 1129 77010 (70004659)</t>
  </si>
  <si>
    <t>Laina Antiruido Mordaza Freno NS Urban D (70004660)</t>
  </si>
  <si>
    <t>Tiras De Rubatex A/C Oficina (70004661)</t>
  </si>
  <si>
    <t>SOP Puntera Izq Bomper Chasis 4058383c2 (70004662)</t>
  </si>
  <si>
    <t>Cenicero Puerta Del Nkr Rw 8974053201 (70004663)</t>
  </si>
  <si>
    <t>Ventilador Motor Mack Cxu 23150045 (70004664)</t>
  </si>
  <si>
    <t>RET Tras Cigueñal HN Dutropack 700005919 (70004665)</t>
  </si>
  <si>
    <t>CTRL DIRales FRL Cl 120 A063695603 (70004666)</t>
  </si>
  <si>
    <t>Puntera Bomper Der INT Lt 4057029c2 (70004667)</t>
  </si>
  <si>
    <t>Gancho Bomper Remolque KW T800 A20-1012 (70004668)</t>
  </si>
  <si>
    <t>Puente Capo Prostar 3612054c5 (70004669)</t>
  </si>
  <si>
    <t>Arandela Separadora Piñon Rev 700016559 (70004670)</t>
  </si>
  <si>
    <t>Exploradora Toyota Prado Derecha 212207 (70004671)</t>
  </si>
  <si>
    <t>Base Inf Lampara Techo CAB Eag 3572980c1 (70004672)</t>
  </si>
  <si>
    <t>Estribo Puerta Der Foton 1129 1023079549 (70004673)</t>
  </si>
  <si>
    <t>BMB Principal EMB FT 1129 1023077880 (70004674)</t>
  </si>
  <si>
    <t>Parabrisas Internacional Lt (70004675)</t>
  </si>
  <si>
    <t>Tapa TANQ COMB Jac 1120 3704930le0 (70004676)</t>
  </si>
  <si>
    <t>Bomper Jac 1042 803101ld010-1r00 (70004677)</t>
  </si>
  <si>
    <t>Prensa Embrague Foton BJ 1129 1023081276 (70004678)</t>
  </si>
  <si>
    <t>SO Soporte Bateria Nkr Reward 8973840682 (70004679)</t>
  </si>
  <si>
    <t>Terminal Direc Izq Foton MV5 5946043175 (70004680)</t>
  </si>
  <si>
    <t>Tapa DEP Hidraulico INTnaciona 2602170c1 (70004681)</t>
  </si>
  <si>
    <t>Tubo Inyectores Retorno Jac 1 1042160fe0 (70004682)</t>
  </si>
  <si>
    <t>Bombillo Cabina Jac 072017351 (70004683)</t>
  </si>
  <si>
    <t>Tapon FILT COMB Jac 1042 1105160ld393 (70004684)</t>
  </si>
  <si>
    <t>Kit Piston MOT VW 8185 9410801900 (70004685)</t>
  </si>
  <si>
    <t>EMP MOT Completo VW 8185 80277 (70004686)</t>
  </si>
  <si>
    <t>Conjunto Templete Mecanismo A 8981412292 (70004687)</t>
  </si>
  <si>
    <t>Campana Freno Tras Jac Jhr 2100300070 (70004688)</t>
  </si>
  <si>
    <t>Brazo Caja Direc Prostar 3596199c2 (70004689)</t>
  </si>
  <si>
    <t>Tapa Inf FILT COMB Jac 1042 1105150ld3 (70004690)</t>
  </si>
  <si>
    <t>Sensor Rev Freno Foton 1129 1023477567 (70004691)</t>
  </si>
  <si>
    <t>Tuerca Brazo Escualizador Suspe 93400607 (70004692)</t>
  </si>
  <si>
    <t>Cremallera Elevavidrios Dcha FT 1039 102 (70004693)</t>
  </si>
  <si>
    <t>SENS Posicion Acelerador HY H100 110418 (70004694)</t>
  </si>
  <si>
    <t>EMB Termico VENT FRR 8980197430 (70004695)</t>
  </si>
  <si>
    <t>Inserto Sincronizador 1ra Y 2 8981899650 (70004696)</t>
  </si>
  <si>
    <t>Bocin Tras Jac 1120 Pista Gra 2100320440 (70004697)</t>
  </si>
  <si>
    <t>Esquinero Der Foton 1128 5946583695 (70004698)</t>
  </si>
  <si>
    <t>Gorro Culata Hyundai H100 Porter (70004699)</t>
  </si>
  <si>
    <t>Bocín Rueda Trasera Jac Jhr 2203020060 (70004700)</t>
  </si>
  <si>
    <t>CTRL Comandos CAB Prostar 3549776c4 (70004701)</t>
  </si>
  <si>
    <t>Manija Int PTA Der FT MV5 1023486583 (70004702)</t>
  </si>
  <si>
    <t>Guardapolvo Palanca Cambios N 8980350630 (70004703)</t>
  </si>
  <si>
    <t>CAM Freno Tras Lh FT 1065e 5946694773 (70004704)</t>
  </si>
  <si>
    <t>CAM Freno Tras FT Rh 1065e 5946694766 (70004705)</t>
  </si>
  <si>
    <t>Tuerca Brazo Escualizador Suspen 9340067 (70004706)</t>
  </si>
  <si>
    <t>Balancin Muelle Tras FTR 1513620492 (70004707)</t>
  </si>
  <si>
    <t>Tapa Cubierta Diferencial Divi 3266c1095 (70004708)</t>
  </si>
  <si>
    <t>Terminal DIR Drecha FT MV5 5946043182 (70004709)</t>
  </si>
  <si>
    <t>Buje Puerta Volkswaguen 8150 (70004710)</t>
  </si>
  <si>
    <t>Pasador Puerta Volkswaguen 8150 (70004711)</t>
  </si>
  <si>
    <t>Guardabarro Del Izq Jac Jhr 8403101le0 (70004712)</t>
  </si>
  <si>
    <t>Condensador A/C INT Lt 2518753c91 (70004713)</t>
  </si>
  <si>
    <t>Tapa Carcasa FILT AIR Prostar 3551811c1 (70004714)</t>
  </si>
  <si>
    <t>Manija PTA INTna Der HN Dutrop 692053701 (70004715)</t>
  </si>
  <si>
    <t>Brake Caliper Chevrolet N200 19245626 (70004716)</t>
  </si>
  <si>
    <t>Retenedor Alternador Hyundai H100 30x15 (70004717)</t>
  </si>
  <si>
    <t>Cremallera Elevavidrio PTA La 3713145c91 (70004718)</t>
  </si>
  <si>
    <t>EMP Marco PTA Izq Prostar 3508972c6 (70004719)</t>
  </si>
  <si>
    <t>MANG Presion Hidraulico FT 10 5946304924 (70004720)</t>
  </si>
  <si>
    <t>Valvula Egr Foton 1039 1023083720 (70004721)</t>
  </si>
  <si>
    <t>Silla Copiloto Foton 1129 1023079426 (70004722)</t>
  </si>
  <si>
    <t>Puente VALV Escape MOT Isx EGL 4059329 (70004723)</t>
  </si>
  <si>
    <t>Diferencial Completa Nhr Mod 2000 De Seg (70004724)</t>
  </si>
  <si>
    <t>Rodamiento Infer Riel Pta Dcha NS Urban (70004725)</t>
  </si>
  <si>
    <t>Correa Accesorios Motor Isf 3.8 Fot 1129 (70004726)</t>
  </si>
  <si>
    <t>Manija Der Acceso CAB Nkr Rew 8974052492 (70004727)</t>
  </si>
  <si>
    <t>Ma Manija Superior Jac 1120 8215200le010 (70004728)</t>
  </si>
  <si>
    <t>MANG Admision Purificadora T Vxa 17882- (70004729)</t>
  </si>
  <si>
    <t>Varilla Medidor Aceite Cummins 199445 Sb (70004730)</t>
  </si>
  <si>
    <t>Guaya Neutro Cambios HY H100 4377048260 (70004731)</t>
  </si>
  <si>
    <t>Guaya CTRL Cambios Hyunday H1 437944f210 (70004732)</t>
  </si>
  <si>
    <t>Amortiguador Del FRR Mod 2015 8983899730 (70004733)</t>
  </si>
  <si>
    <t>Cremallera PTA Der FT MV5 5946193375 (70004734)</t>
  </si>
  <si>
    <t>VALV Freno De Ahogo FT 1108 1 5946740937 (70004735)</t>
  </si>
  <si>
    <t>Exploradora Bomper INT L 4079807c93 (70004736)</t>
  </si>
  <si>
    <t>RAD Agua INT Lt 2516107c91 (70004737)</t>
  </si>
  <si>
    <t>Resorte Pedal Embrague FRR 8983679670 (70004738)</t>
  </si>
  <si>
    <t>Swich Elevavidrios Der FTR Mo 8983164180 (70004739)</t>
  </si>
  <si>
    <t>Diferencial Tras Jac 1042kn M Bb29616330 (70004740)</t>
  </si>
  <si>
    <t>Resorte Pedal De EMB Jac Jhr 1602011le0 (70004741)</t>
  </si>
  <si>
    <t>Guaya CTRL Cambios FTR Mod 20 8980413815 (70004742)</t>
  </si>
  <si>
    <t>Tubo Retorno INY COMB HY H100 3151742002 (70004743)</t>
  </si>
  <si>
    <t>Modulo Cabina Foton 1039 5946305105 (70004744)</t>
  </si>
  <si>
    <t>Rodamiento Rueda Del Nissan Urvan 10210n (70004745)</t>
  </si>
  <si>
    <t>BMB Principal Clucth Booster 1023477451 (70004746)</t>
  </si>
  <si>
    <t>Portaescobillas Alternador Jac (70004747)</t>
  </si>
  <si>
    <t>Mini Relay N200 12v (70004748)</t>
  </si>
  <si>
    <t>Kit Graduacion Freno Der CH N200 62070np (70004749)</t>
  </si>
  <si>
    <t>Switch Panel Encendido KW T800 S64112312 (70004750)</t>
  </si>
  <si>
    <t>Luna Espejo Retrovizor Izq Peq 2514728c3 (70004751)</t>
  </si>
  <si>
    <t>Luna Espejo Retrovizor Izq Gra 2514725c3 (70004752)</t>
  </si>
  <si>
    <t>Eje Bomba De Engranaje Isx Eagle 3801002 (70004753)</t>
  </si>
  <si>
    <t>EMP BMB De Engranaje Isx EGL 287 4954472 (70004754)</t>
  </si>
  <si>
    <t>Cruceta Cardan Pequeña FT BJ1 5946806473 (70004755)</t>
  </si>
  <si>
    <t>Timon Direc Fotn MV5 5946328241 (70004756)</t>
  </si>
  <si>
    <t>Terminal Direc Foton MV5 5946758314 (70004757)</t>
  </si>
  <si>
    <t>CIL Freno Del Izq Sin Purga H 47540ev040 (70004758)</t>
  </si>
  <si>
    <t>MANG Salida FILT AIR FT MV5 5946027977 (70004759)</t>
  </si>
  <si>
    <t>Carcasa CJ FILT AIR FT MV5 5946027960 (70004760)</t>
  </si>
  <si>
    <t>SOP Caucho Inf RAD KWModelo 2011 M17412 (70004761)</t>
  </si>
  <si>
    <t>Manija Externa PTA Izq Prostar 2594003c1 (70004762)</t>
  </si>
  <si>
    <t>RET INTno RDA Tras HN 500 700006004 (70004763)</t>
  </si>
  <si>
    <t>Alternador Montacarga 70a (70004764)</t>
  </si>
  <si>
    <t>VALV Selenoide INY Cummins Sb 4024808 (70004765)</t>
  </si>
  <si>
    <t>Buje Biela HY H100 Porter Pb-1802jsf (70004766)</t>
  </si>
  <si>
    <t>VALV De Doble Retencion Dc4 Bend 5019291 (70004767)</t>
  </si>
  <si>
    <t>Camara De Freno Tras Der Jac Bq01290460 (70004768)</t>
  </si>
  <si>
    <t>SENS Presion Egr Isf38e4 FT 1 1023494519 (70004769)</t>
  </si>
  <si>
    <t>Kit Arandelas Tubo Retorno 4hk1t X4 Frr (70004770)</t>
  </si>
  <si>
    <t>Oring Cuerpo Inyector 4hk1t X4 Frr 89417 (70004771)</t>
  </si>
  <si>
    <t>Lampara Lateral Amarilla CAB Prostar 388 (70004772)</t>
  </si>
  <si>
    <t>Oring ENT COMB Inyector 4hk1t Frr 956901 (70004773)</t>
  </si>
  <si>
    <t>TANQ Vacio Freno FT Bj1039 7701023164092 (70004774)</t>
  </si>
  <si>
    <t>Tubo Boquilla Inj Frr 8980184620 (70004775)</t>
  </si>
  <si>
    <t>Filtro Sensor Def Ssi 2518086c1 (70004776)</t>
  </si>
  <si>
    <t>Empaque Enfriador Egr Frr 8982007530 (70004777)</t>
  </si>
  <si>
    <t>Oring Camisilla Interior Culata Frr 8976 (70004778)</t>
  </si>
  <si>
    <t>Condensador Y VENT A/C Fot 1128 77059467 (70004779)</t>
  </si>
  <si>
    <t>Espejo Retrovisor Dcho Fot 1030 77059467 (70004780)</t>
  </si>
  <si>
    <t>Switch Pedal Embrague Hino 500 8.83e+55 (70004781)</t>
  </si>
  <si>
    <t>RET RDA Tras Jac 1120 Grande 4212740940 (70004782)</t>
  </si>
  <si>
    <t>Piñon Caja Aux FTR 8973805680 (70004783)</t>
  </si>
  <si>
    <t>Engranaje Caja Auxuliar FTR 8973805710 (70004784)</t>
  </si>
  <si>
    <t>CIL Freno Del Izq Con Purga H 47530ev090 (70004785)</t>
  </si>
  <si>
    <t>CIL Freno Tras Tubo A Tubo Izq Fot 1039 (70004786)</t>
  </si>
  <si>
    <t>Tapa Caja Fusibles Nkr Reward 8974236590 (70004787)</t>
  </si>
  <si>
    <t>Filtro Aceite Planta Electrica Jx0814d (70004788)</t>
  </si>
  <si>
    <t>FILT COMB Planta ELEC Cx0708b (70004789)</t>
  </si>
  <si>
    <t>Filtro Aire Planta Electrica Nl2117h1 (70004790)</t>
  </si>
  <si>
    <t>Puente Soporte Caja Kw T800 K101106 (70004791)</t>
  </si>
  <si>
    <t>VALV De Seguridad Doble Isx 3592131c91 (70004792)</t>
  </si>
  <si>
    <t>SENS Flujometro HN 500 222000000000000 (70004793)</t>
  </si>
  <si>
    <t>Piñon Externo Cigueñal HY Porter H100 (70004794)</t>
  </si>
  <si>
    <t>Juego Switch Iniciacion Con C P271028008 (70004795)</t>
  </si>
  <si>
    <t>Kit Repar Frr Camisa-Piston-Anillo-Bulon (70004796)</t>
  </si>
  <si>
    <t>Casquetes De Biela Std Frr 8976163580 (70004797)</t>
  </si>
  <si>
    <t>EMP De Culata 4hk1t 2 Muescas Frr 898288 (70004798)</t>
  </si>
  <si>
    <t>Kit Arandelas Retorno Combus Agujero 4hk (70004799)</t>
  </si>
  <si>
    <t>Tubo Refrigeracion Turbo Frr 8976062040 (70004800)</t>
  </si>
  <si>
    <t>Eje CTRL Cambios Npr CJ Alum 8973627442 (70004801)</t>
  </si>
  <si>
    <t>RAD Nhr Rew Radiador Nhr Reward 98090740 (70004802)</t>
  </si>
  <si>
    <t>Correa De Reparticion Acces NS Urban 117 (70004803)</t>
  </si>
  <si>
    <t>Casqueteria Biela 0.25 Hyundai Porter H1 (70004804)</t>
  </si>
  <si>
    <t>Casqueteria Bancada Hyundai Porter H100 (70004805)</t>
  </si>
  <si>
    <t>Valvula Admision Hyundai Porter H100 (70004806)</t>
  </si>
  <si>
    <t>Valvula Escape Hyundai Porter H100 (70004807)</t>
  </si>
  <si>
    <t>Camisas Std Hyundai Porter H100 (70004808)</t>
  </si>
  <si>
    <t>Empaquetadura Motor Hyundai Porter H100 (70004809)</t>
  </si>
  <si>
    <t>Piñon Eje De Levas Externo HY Porter H10 (70004810)</t>
  </si>
  <si>
    <t>Base FILT PRIM Comb HN 300 Sencillo 7000 (70004811)</t>
  </si>
  <si>
    <t>Base FILT Secun Comb HN 300 Sencillo 700 (70004812)</t>
  </si>
  <si>
    <t>Persiana Frontal Foton Tm30 5946718790 (70004813)</t>
  </si>
  <si>
    <t>MOT ARR FTR Forward 2012 24 V 8981412063 (70004814)</t>
  </si>
  <si>
    <t>Carcasa Freno De Seguridad Ftr 897407974 (70004815)</t>
  </si>
  <si>
    <t>Caja De Velocidades Renault Duster 2017 (70004816)</t>
  </si>
  <si>
    <t>Parasol Interno Izq Prostar 236215 (70004817)</t>
  </si>
  <si>
    <t>Cartera Completa Pta Izq CAB Prostar 135 (70004818)</t>
  </si>
  <si>
    <t>Soporte Bisagra Derecho A851242 (70004819)</t>
  </si>
  <si>
    <t>Tanque Aire Primario Eagle 9400 3831228c (70004820)</t>
  </si>
  <si>
    <t>Tapizado Piso CAB FT 1039 Fabricado (70004821)</t>
  </si>
  <si>
    <t>Grapa Muelle Trasera N200 (70004822)</t>
  </si>
  <si>
    <t>Parabrisas Laminado Jac Jhr (70004823)</t>
  </si>
  <si>
    <t>BMB AUX EMB NS Urban 30620l (70004824)</t>
  </si>
  <si>
    <t>Base Tablero Completo Kw T800 S621034143 (70004825)</t>
  </si>
  <si>
    <t>Chapa Completa Pta Lateral FT Mv5 594641 (70004826)</t>
  </si>
  <si>
    <t>Guaya Neutra Foton 1129 1023545297 (70004827)</t>
  </si>
  <si>
    <t>BMB AUX Boster EMB Frr 1318003832 (70004828)</t>
  </si>
  <si>
    <t>Buje BRR Estabilizadora HN 300 700016919 (70004829)</t>
  </si>
  <si>
    <t>Farola IZQ FT 1065 7705946675291 (70004830)</t>
  </si>
  <si>
    <t>Valvula Descargue Chasis 221992 (70004831)</t>
  </si>
  <si>
    <t>Camisa Inyector HN Dutropack S111761200 (70004832)</t>
  </si>
  <si>
    <t>CIL Freno Tras Izq NS Urvan 4410005n14 (70004833)</t>
  </si>
  <si>
    <t>SOP Inf Lh MUE Del Suspens Kw B801005404 (70004834)</t>
  </si>
  <si>
    <t>SOP Inf Rh MUE Del Suspens Kw B801005304 (70004835)</t>
  </si>
  <si>
    <t>Guaya Freno Mano Jac 1042 201 3508100ld3 (70004836)</t>
  </si>
  <si>
    <t>Motor Arranque 39mt Eagle 8200308 (70004837)</t>
  </si>
  <si>
    <t>Tope Cabina De Npr 8971133400 (70004838)</t>
  </si>
  <si>
    <t>VALV De Alivio BMB De INY FT 5946236157 (70004839)</t>
  </si>
  <si>
    <t>Guardapolvo Caucho Carcasa FIL 2503911c1 (70004840)</t>
  </si>
  <si>
    <t>Direcal Puerta Rh Foton 1128 5946492409 (70004841)</t>
  </si>
  <si>
    <t>SOP Der Mecanismo CAB FT 1129 1023081788 (70004842)</t>
  </si>
  <si>
    <t>VALV Nivel AIR Susp Neumatica Cou 0052-0 (70004843)</t>
  </si>
  <si>
    <t>Disco De EMB Jac 1042kn Model 1600200ld3 (70004844)</t>
  </si>
  <si>
    <t>Balinera EMB Jac 1042kn Mod 2 C160562000 (70004845)</t>
  </si>
  <si>
    <t>Prensa EMB Jac 1042kn Mod 2018 1600100ld (70004846)</t>
  </si>
  <si>
    <t>Retenedor Int Rueda Tras Jac 31c89g04080 (70004847)</t>
  </si>
  <si>
    <t>Parabrisas Mack Anthem (70004848)</t>
  </si>
  <si>
    <t>Racor En T Rapido 3/8 B64r (70004849)</t>
  </si>
  <si>
    <t>Tubo BRR Tensora Longitudinal H 62007365 (70004850)</t>
  </si>
  <si>
    <t>Correa BMB Hidráulica Y AIR A 5946767323 (70004851)</t>
  </si>
  <si>
    <t>Set Rodillo RDA Tras INTna Nkr 28985/20 (70004852)</t>
  </si>
  <si>
    <t>SENS Presion Y TEMP AIR Jac J 1026130fe0 (70004853)</t>
  </si>
  <si>
    <t>Suiche CTRL Vidrio PTA Pasajer 3544936c6 (70004854)</t>
  </si>
  <si>
    <t>Estribo PTA Dcha FT 1128 5946796637 (70004855)</t>
  </si>
  <si>
    <t>Eje Rueda Izquierda N200 Mod 2010 (70004856)</t>
  </si>
  <si>
    <t>Bujia Precalentamiento MOT HY H 100 Kp05 (70004857)</t>
  </si>
  <si>
    <t>SENS Freno Parqueo Jac 1120 2018 3757920 (70004858)</t>
  </si>
  <si>
    <t>Cruceta Cardan Foton 1039 5946210034 (70004859)</t>
  </si>
  <si>
    <t>VALV Selenoide Cor Internatio 2034053 C1 (70004860)</t>
  </si>
  <si>
    <t>Cabina Completa Foton 1129 5946048750 (70004861)</t>
  </si>
  <si>
    <t>Timon Direccion Foton Mv5 5946028004 (70004862)</t>
  </si>
  <si>
    <t>Brazo Oscilante Der DFENG Tijera 2904400 (70004863)</t>
  </si>
  <si>
    <t>Brazo Oscilante Izq DFENG Tijera 2904010 (70004864)</t>
  </si>
  <si>
    <t>Soporte Bomper Izquierdo Donfeng (70004865)</t>
  </si>
  <si>
    <t>Bomper Delantero Dongfeng (70004866)</t>
  </si>
  <si>
    <t>Balinera Volante Hino 500 Sz37120022 (70004867)</t>
  </si>
  <si>
    <t>TANQ Aux RAD FT 1039 1023559683 (70004868)</t>
  </si>
  <si>
    <t>Terminal Direc Der Foton 1039 1023612517 (70004869)</t>
  </si>
  <si>
    <t>Terminal Direc Izq Foton 1039 1023612500 (70004870)</t>
  </si>
  <si>
    <t>Chapa INTna PTA Der VW 2r0837016 (70004871)</t>
  </si>
  <si>
    <t>Acople Cardan Tras Jac 1120 2035645 (70004872)</t>
  </si>
  <si>
    <t>Tornillo Con Tuerca Acople Cardan 51641 (70004873)</t>
  </si>
  <si>
    <t>Tensor Correa Alternador FT M 5946023209 (70004874)</t>
  </si>
  <si>
    <t>Espejo Retrovisor Der FT 1128 5946719148 (70004875)</t>
  </si>
  <si>
    <t>VALV Descargue MANG Azul Servicio S-C069 (70004876)</t>
  </si>
  <si>
    <t>Chapa Puerta Traser Foton Mv5 5946040051 (70004877)</t>
  </si>
  <si>
    <t>Estribo Izquierdo Nissan Urban 188235 (70004878)</t>
  </si>
  <si>
    <t>Conector Rapido Fitin De 1/4 144 (70004879)</t>
  </si>
  <si>
    <t>Filtro Aire KWRanchera T800 P625128 (70004880)</t>
  </si>
  <si>
    <t>Alternador Hyundai Porter H100 22862n (70004881)</t>
  </si>
  <si>
    <t>Bocin Rueda Trasera Jac 1120 (70004882)</t>
  </si>
  <si>
    <t>Tuerca Esparrago RDA Tras Jac 9930220050 (70004883)</t>
  </si>
  <si>
    <t>Esparrago RDA Tras Jac 1120 2 9920220210 (70004884)</t>
  </si>
  <si>
    <t>Esparrago RDA Tras Jac 1120 2 9920220020 (70004885)</t>
  </si>
  <si>
    <t>Luz Dia Luz Dia Rh Tm1.5, 7705946760133 (70004886)</t>
  </si>
  <si>
    <t>Bombillo Exploradora Int Lt 1 Psx26w1227 (70004887)</t>
  </si>
  <si>
    <t>Mini Relay 4 Patas 24 V Foton Ge0034 (70004888)</t>
  </si>
  <si>
    <t>Tubo Inyector # 1 Nkr Reward 8982037190 (70004889)</t>
  </si>
  <si>
    <t>Base FILT Pri COMB FT 1039 1023083836 (70004890)</t>
  </si>
  <si>
    <t>Tubo Agua Motor Foton MV5 5946025584 (70004891)</t>
  </si>
  <si>
    <t>Terminal BRR Estabilizadora DFEN 2906112 (70004892)</t>
  </si>
  <si>
    <t>Buje Terminal DFENG 2906114-Ba010-A000. (70004893)</t>
  </si>
  <si>
    <t>Brazo Oscilante Izq Dongfen 2904300 (70004894)</t>
  </si>
  <si>
    <t>Tablero De Instrumentos FT 1039 77059463 (70004895)</t>
  </si>
  <si>
    <t>Mecanismo Seguro PTA Corrediz 5946470445 (70004896)</t>
  </si>
  <si>
    <t>Exploradora Redonda Bomper Izq F 3402005 (70004897)</t>
  </si>
  <si>
    <t>Switch Elevavidrio Der FRL Cl A063076900 (70004898)</t>
  </si>
  <si>
    <t>Zapata Freno DEL 1 Cca FT 1128 770102334 (70004899)</t>
  </si>
  <si>
    <t>Racor En T Prestoloock EGL 3/8x 1/4 X3/8 (70004900)</t>
  </si>
  <si>
    <t>Alternador 12v Foton 1039 7701023775304 (70004901)</t>
  </si>
  <si>
    <t>Hoja Resorte Del Nhr Imal 22934/5 (70004902)</t>
  </si>
  <si>
    <t>Abrazadera Conexión Mofle Turbo MOT Isx (70004903)</t>
  </si>
  <si>
    <t>Lampara DIRal Capo Der Int EG 2505369c91 (70004904)</t>
  </si>
  <si>
    <t>Campana Freno Tras Npr 97081219 (70004905)</t>
  </si>
  <si>
    <t>Disco Embrague Nkr III Nuevo 8972571240 (70004906)</t>
  </si>
  <si>
    <t>Switch Boton Alarma 24-360p (70004907)</t>
  </si>
  <si>
    <t>Acople Manguera Jardin 1/2" (70004908)</t>
  </si>
  <si>
    <t>Bombillo Cabina 17315 (Npr-Nkr-Mz) (70004909)</t>
  </si>
  <si>
    <t>Hoja Articulada Deflector Angular Izq Da (70004910)</t>
  </si>
  <si>
    <t>Soporte Farola Daf Izq 2107374 (70004911)</t>
  </si>
  <si>
    <t>RET TRAS Cigueñal MOT Daf 1876190 (70004912)</t>
  </si>
  <si>
    <t>SENS FILT De COMB FT 1039 7705946249515 (70004913)</t>
  </si>
  <si>
    <t>Conjunto Freno Delantero Derecho Dongfen (70004914)</t>
  </si>
  <si>
    <t>SOP Farola DER Daf Cf480 Frr 2107375 (70004915)</t>
  </si>
  <si>
    <t>Cuerpo Swich Encendido HN 3004528037100 (70004916)</t>
  </si>
  <si>
    <t>Empaque Carter Foton 1039 7701023521338 (70004917)</t>
  </si>
  <si>
    <t>EMP Multiple Admision FT 1039 7710235213 (70004918)</t>
  </si>
  <si>
    <t>Empaque Multiple Admision Npr 8970849382 (70004919)</t>
  </si>
  <si>
    <t>Prensa Embrague Nkr Ii Con Turbo 561040 (70004920)</t>
  </si>
  <si>
    <t>Enfriador Aceite CH Nhr 8972263910 (70004921)</t>
  </si>
  <si>
    <t>SOP Puente MOT Der KW T800 A11-1367r (70004922)</t>
  </si>
  <si>
    <t>Terminal BRR Estabilizadora HY H100 Port (70004923)</t>
  </si>
  <si>
    <t>Tijera Izquierda Hyundai Porter H100 (70004924)</t>
  </si>
  <si>
    <t>Perno Rueda Trailer Rin Disco (70004925)</t>
  </si>
  <si>
    <t>INTruptor Ppal Elevavidrios Jac 1042 Mod (70004926)</t>
  </si>
  <si>
    <t>FILT COMB Surtidor Wayne A70015sp (70004927)</t>
  </si>
  <si>
    <t>carcasa Termostato FT 1039 7705946355452 (70004928)</t>
  </si>
  <si>
    <t>Ndicador Restrictor AIR INT Lt 3566635c1 (70004929)</t>
  </si>
  <si>
    <t>Farola Izquierda Mack Anthem 2330005012 (70004930)</t>
  </si>
  <si>
    <t>Varilla Medidora Aceite REN Duster 77010 (70004931)</t>
  </si>
  <si>
    <t>Resorte PTA Camion Tipo Cortina Pu-2376/ (70004932)</t>
  </si>
  <si>
    <t>Balancin Muelle Trasero Frr 1513620382 (70004933)</t>
  </si>
  <si>
    <t>Sensor Presion Egr Fot1128/Jac1120 Isf3. (70004934)</t>
  </si>
  <si>
    <t>Carter Del Piñon Rodamiento Externo Spee (70004935)</t>
  </si>
  <si>
    <t>Cremallera Volante Completa FT 1065 E Iv (70004936)</t>
  </si>
  <si>
    <t>Valvula Pcv Foton 1030 7700149012331 (70004937)</t>
  </si>
  <si>
    <t>Brazo Plumilla Izq Kenworth Doble Parabr (70004938)</t>
  </si>
  <si>
    <t>Trapecio Completo Kenworth Doble Parabri (70004939)</t>
  </si>
  <si>
    <t>Alternador 24v 100a VW Jsr-P-0002 (70004940)</t>
  </si>
  <si>
    <t>Freno De Parqueo Jac Euro V 1042 R170171 (70004941)</t>
  </si>
  <si>
    <t>Banda Freno DEL FT 1065 Remachada (70004942)</t>
  </si>
  <si>
    <t>Banda Freno DEL FT 1065 7705946680042 (70004943)</t>
  </si>
  <si>
    <t>MANG ENT RAD FT Mv5 7705946025522 (70004944)</t>
  </si>
  <si>
    <t>Mecanismo Cierre PTA Izq FT 1039 7701023 (70004945)</t>
  </si>
  <si>
    <t>Perno Mecanismo De Cambios FT Mv5 770594 (70004946)</t>
  </si>
  <si>
    <t>SOP MUE DEL Parte TRAS Frr 1533521542 (70004947)</t>
  </si>
  <si>
    <t>Farola Izquierda Daf Cf 480ftt 1835874 (70004948)</t>
  </si>
  <si>
    <t>EMP BMB Agua FT 1039 7701023521765 (70004949)</t>
  </si>
  <si>
    <t>Corona Alternador Volkswagen 8150 Rep (70004950)</t>
  </si>
  <si>
    <t>Tapa TRAS Alternador VW 8150 Rep (70004951)</t>
  </si>
  <si>
    <t>Amortiguador PTA TRAS T Txl Pa66-Gf30 (70004952)</t>
  </si>
  <si>
    <t>Bateria 24bd-950 12 V Willard Planta ELE (70004953)</t>
  </si>
  <si>
    <t>Vidrio Blindado PTA IZQ NS Pathfinder (70004954)</t>
  </si>
  <si>
    <t>Rodamiento Patin Correa T Tx-L 6302rmx (70004955)</t>
  </si>
  <si>
    <t>Trapecio Limpiabrisas INT Lt Sin MOT 258 (70004956)</t>
  </si>
  <si>
    <t>Parlante Kenworth T800 Pp307007 (70004957)</t>
  </si>
  <si>
    <t>Piston Motor Foton 1030 7705946686136 (70004958)</t>
  </si>
  <si>
    <t>SOP TRAS MOT MCK Anthem 20499469 (70004959)</t>
  </si>
  <si>
    <t>Tornillo SOP TRAS MOT MCK Anthem 2106293 (70004960)</t>
  </si>
  <si>
    <t>MANG Termostato FT Mv5 7705946023009 (70004961)</t>
  </si>
  <si>
    <t>MANG ENT BMB Agua FT Mv5 7705946019637 (70004962)</t>
  </si>
  <si>
    <t>MANG Salida BMB Agua FT Mv5 770594601964 (70004963)</t>
  </si>
  <si>
    <t>MANG 1 INF RAD FT Mv5 7705946025553 (70004964)</t>
  </si>
  <si>
    <t>MANG 2 INF RAD FT Mv5 7705946025560 (70004965)</t>
  </si>
  <si>
    <t>MANG 3 INF RAD FT Mv5 7705946025577 (70004966)</t>
  </si>
  <si>
    <t>EMP Multiple Escape FT Mv5 7705946019491 (70004967)</t>
  </si>
  <si>
    <t>EMP Tapa VALVs FT Mv5 7705946015769 (70004968)</t>
  </si>
  <si>
    <t>Termostato Foton Mv5 7705946023023 (70004969)</t>
  </si>
  <si>
    <t>Bulon De Piston Foton 1030 7705946760294 (70004970)</t>
  </si>
  <si>
    <t>Pin De Bulon Foton 1030 7705946760300 (70004971)</t>
  </si>
  <si>
    <t>Junta Empaque Tubo Escape Daf 136x116x1 (70004972)</t>
  </si>
  <si>
    <t>Panel Farola DER Daf Cf480 Ftt 2246198 (70004973)</t>
  </si>
  <si>
    <t>Bocel Exploradora Izq Daf 1848557 (70004974)</t>
  </si>
  <si>
    <t>Palanca Freno De Emergencia Nkr Reward 2 (70004975)</t>
  </si>
  <si>
    <t>Riel De INY MOT Denso Isf 3 8e4 77010234 (70004976)</t>
  </si>
  <si>
    <t>BMB Hidraulico HN 300 Dutropack 44310-37 (70004977)</t>
  </si>
  <si>
    <t>SOP En Z Alargador PTA Izq Daf 1926386 (70004978)</t>
  </si>
  <si>
    <t>Bobina Encendido MOT T Prado Tx-L 90919- (70004979)</t>
  </si>
  <si>
    <t>Bujia Motor Toyota Prado Tx-L Ikh20tt (70004980)</t>
  </si>
  <si>
    <t>Persian Frontal Jac 1120 8401100le010 (70004981)</t>
  </si>
  <si>
    <t>Rodaja Freno Foton 1065 Fabricada (70004982)</t>
  </si>
  <si>
    <t>Soporte Peldaño Inferior Izq Daf 1952791 (70004983)</t>
  </si>
  <si>
    <t>Riel Alta Presion COMB Frr 8980118882 (70004984)</t>
  </si>
  <si>
    <t>MOT ARR FT 1065 Aucan Evi 7700149203098 (70004985)</t>
  </si>
  <si>
    <t>Exploradora Derecha Daf 2032702 (70004986)</t>
  </si>
  <si>
    <t>Tapa TANQ COMB MCK Anthem 2330002916 (70004987)</t>
  </si>
  <si>
    <t>Tubo MANG Linea Def 3mm INT Lt625 412891 (70004988)</t>
  </si>
  <si>
    <t>SENS De TEMP Ambiente INT Lt 40499893c1 (70004989)</t>
  </si>
  <si>
    <t>Panel Almacenamiento Puerta Derecha Eagl (70004990)</t>
  </si>
  <si>
    <t>Adaptador Tanque Combustible 3/8 Retorno (70004991)</t>
  </si>
  <si>
    <t>Mecanismo Palanca Cambios HN Dutropack 3 (70004992)</t>
  </si>
  <si>
    <t>SOP Inf Espejo Retrovisor DER HN 500 S87 (70004993)</t>
  </si>
  <si>
    <t>Rodamiento INTno RDA DEL HY H100 Porter (70004994)</t>
  </si>
  <si>
    <t>Rodamiento Externo RDA DEL HY H100 Porte (70004995)</t>
  </si>
  <si>
    <t>Arnes ELEC MOT FT 1039 7705946331425 (70004996)</t>
  </si>
  <si>
    <t>Kit CILs Ignicion Y PTAs HN 300 70001071 (70004997)</t>
  </si>
  <si>
    <t>Collarin Delantero Izquierdo Eagle 9400 (70004998)</t>
  </si>
  <si>
    <t>Repuestos Varios Concesionario Foton (70004999)</t>
  </si>
  <si>
    <t>Conector Inyector FT 1039 7705946836494 (70005000)</t>
  </si>
  <si>
    <t>Terminal DIR DER FT 1065 7705946870665 (70005001)</t>
  </si>
  <si>
    <t>Empaque Parabrisas Foton 1039 (70005002)</t>
  </si>
  <si>
    <t>Amortiguador Trasero Jac Jkr 2915010d800 (70005003)</t>
  </si>
  <si>
    <t>Amortiguador DEL FT 1129 7701023774987 (70005004)</t>
  </si>
  <si>
    <t>Espejo Retrovisor Izq Completo MCK Anthe (70005005)</t>
  </si>
  <si>
    <t>Deflector Angular Izquierdo Daf 1844275 (70005006)</t>
  </si>
  <si>
    <t>Embellecedor Superior Persiana Daf 18940 (70005007)</t>
  </si>
  <si>
    <t>Seccion De Fijacion Alargador PTA Izq Da (70005008)</t>
  </si>
  <si>
    <t>MANG Salida Termostato FT Mv5 7705946023 (70005009)</t>
  </si>
  <si>
    <t>Alargador Puerta Interior Izq Daf 183518 (70005010)</t>
  </si>
  <si>
    <t>Bateria 4dtl 1450 Duncan (70005011)</t>
  </si>
  <si>
    <t>Alargador Puerta Exterior Izq Daf 183516 (70005012)</t>
  </si>
  <si>
    <t>Horquilla 1ra Y 2da Jac Jhr Jkr R1702554 (70005013)</t>
  </si>
  <si>
    <t>Placa Peldaño Inferior Izq Daf 1945873 (70005014)</t>
  </si>
  <si>
    <t>Amortiguador TRAS FT 1065 7705946689984 (70005015)</t>
  </si>
  <si>
    <t>Placa De Obturacion Peldaño Izq Daf 1881 (70005016)</t>
  </si>
  <si>
    <t>SENS FILT De COMB FT 1129 7701023110150 (70005017)</t>
  </si>
  <si>
    <t>Bobina Timon DIR FT 1128 7705946546430 (70005018)</t>
  </si>
  <si>
    <t>Empaque Montaje Bomba Auxiliar Combustib (70005019)</t>
  </si>
  <si>
    <t>Piñon De 3ra Tren Fijo CJ FT 1129 770594 (70005020)</t>
  </si>
  <si>
    <t>Tubo Agua Radiador-Culata Inferior Nkr R (70005021)</t>
  </si>
  <si>
    <t>Cargador A Bordo 3.3kw Dong Feng 1.0t 11 (70005022)</t>
  </si>
  <si>
    <t>Mecanismo Chapa PTA TRAS Carga DFENG 110 (70005023)</t>
  </si>
  <si>
    <t>Mecanismo Cambios CJ FT Bj5 770594601535 (70005024)</t>
  </si>
  <si>
    <t>FILT De AIR Cartucho Aspiradora Sorter (70005025)</t>
  </si>
  <si>
    <t>Tubo ENT De BMB De Agua Nkr Iii 89706363 (70005026)</t>
  </si>
  <si>
    <t>SENS Luz Freno FT 1030 7701023498760 (70005027)</t>
  </si>
  <si>
    <t>Perno SOP TRAS MOT Daf M16x102 1897638 (70005028)</t>
  </si>
  <si>
    <t>Persiana Frontal FT 1065 7705946585965 (70005029)</t>
  </si>
  <si>
    <t>CIL Freno TRAS Izq Con Purga HN Dutropro (70005030)</t>
  </si>
  <si>
    <t>Evaporador A/C Foton Bj5 7705946193450 (70005031)</t>
  </si>
  <si>
    <t>Terminal De DIR NS Urban D8e203xa0a (70005032)</t>
  </si>
  <si>
    <t>Rodillo Conico Tren Fijo CJ FT 1129 7705 (70005033)</t>
  </si>
  <si>
    <t>Espaciador Rodamientos Bocin Delantero E (70005034)</t>
  </si>
  <si>
    <t>Buje DEL MUE FT 1129 7700149084154 (70005035)</t>
  </si>
  <si>
    <t>MANG Inyector De Urea MCK Anthem 2330005 (70005036)</t>
  </si>
  <si>
    <t>Ballesta DEL Completa FT 1129 7701023081 (70005037)</t>
  </si>
  <si>
    <t>Tapa Espejo IZQ MCK Anthem 23749785 (70005038)</t>
  </si>
  <si>
    <t>Espejo Retrovisor Montacarga T 58720-233 (70005039)</t>
  </si>
  <si>
    <t>SENS De TEMP Y Presion Admision INT Lt 2 (70005040)</t>
  </si>
  <si>
    <t>Cavidad Termostato FT Mv5 7705946019576 (70005041)</t>
  </si>
  <si>
    <t>Pedal Acelerador FT 1065 7705946886994 (70005042)</t>
  </si>
  <si>
    <t>EMP Carcasa Separador Gases Aceite MCK A (70005043)</t>
  </si>
  <si>
    <t>Engranaje De 3a - Eje Corredizo CJ FT 11 (70005044)</t>
  </si>
  <si>
    <t>Campana Freno TRAS FT 1065 7705946670982 (70005045)</t>
  </si>
  <si>
    <t>Correa Accesorios Jac Jkr 1042 1025018fe (70005046)</t>
  </si>
  <si>
    <t>Tijera Suspension Delantera Der Toyota V (70005047)</t>
  </si>
  <si>
    <t>Tijera Suspension Delantera Izq Toyota V (70005048)</t>
  </si>
  <si>
    <t>Grapa MUE TRAS FT 1128 3/4"X4"X19" (70005049)</t>
  </si>
  <si>
    <t>Bomba Auxiliar De Combustible Planta Ele (70005050)</t>
  </si>
  <si>
    <t>FILT COMB Cartucho Nkr Iii Rw -Frr Fg941 (70005051)</t>
  </si>
  <si>
    <t>FILT AIR MOT Daf Cf480 Mag961402r Goby (70005052)</t>
  </si>
  <si>
    <t>FILT COMB Full Pro MCK Fg941378 Goby (70005053)</t>
  </si>
  <si>
    <t>FILT Aceite Planta ELEC Manizales B7451 (70005054)</t>
  </si>
  <si>
    <t>FILT Aceite Planta ELEC B7172 Monteria B (70005055)</t>
  </si>
  <si>
    <t>FILT Elemento Sedimentador Ftr-Frr Fg941 (70005056)</t>
  </si>
  <si>
    <t>Rotula Suspension Superior Toyota Vxa 43 (70005057)</t>
  </si>
  <si>
    <t>Resorte PTA Cortina Fabricado IZQ Camion (70005058)</t>
  </si>
  <si>
    <t>Resorte PTA Cortina Fabricado DER Camion (70005059)</t>
  </si>
  <si>
    <t>Cortavientos CAB FT 1129 7705946175623 (70005060)</t>
  </si>
  <si>
    <t>Silla COND HY Porter H100 REP (70005061)</t>
  </si>
  <si>
    <t>Silla AUX HY Porter H100 REP (70005062)</t>
  </si>
  <si>
    <t>Modulo CTRL PTA COND KW T660 Q21-1050 (70005063)</t>
  </si>
  <si>
    <t>Chapa PTA IZQ HN Dutropro 69320-37060 (70005064)</t>
  </si>
  <si>
    <t>Mecanismo Seguro Y Elevavidrio PTA Izq M (70005065)</t>
  </si>
  <si>
    <t>Parabrisas Laminado Dongfeng Modelo 2020 (70005066)</t>
  </si>
  <si>
    <t>Tapacubo Delantero Nhr Reward 8983312421 (70005067)</t>
  </si>
  <si>
    <t>Rejilla CTRL Sobrellenado TANQ COMB Gene (70005068)</t>
  </si>
  <si>
    <t>EMP Parabrisas Laminado DFENG Mod 2020 (70005069)</t>
  </si>
  <si>
    <t>Arnes ELEC DEP Adblue Daf 2038408 (70005070)</t>
  </si>
  <si>
    <t>Retenedor Ciguenal Trasero Chev. Nkr Sin (70005071)</t>
  </si>
  <si>
    <t>Terminal De DIR IZQ HN 300 4504737042 (70005072)</t>
  </si>
  <si>
    <t>Terminal De DIR DER HN 300 4504637042 (70005073)</t>
  </si>
  <si>
    <t>Espejo Retrovisor DER DFENG Modelo 2020 (70005074)</t>
  </si>
  <si>
    <t>Manija Ext PTA DEL Izq DFENG Modelo 2020 (70005075)</t>
  </si>
  <si>
    <t>Carcasa Separador Gases Aceite MCK Anthe (70005076)</t>
  </si>
  <si>
    <t>Modulo CAB INT Prostar 4044470c7 (70005077)</t>
  </si>
  <si>
    <t>MANG BMB Dosificadora Adblue Daf 2010012 (70005078)</t>
  </si>
  <si>
    <t>Base SOP Actuadores MOT Isx 4076597 (70005079)</t>
  </si>
  <si>
    <t>Rotula Suspension Inferior Der Toyota Vx (70005080)</t>
  </si>
  <si>
    <t>Actuador Selector Rango Transmision Trax (70005081)</t>
  </si>
  <si>
    <t>BRR DIR Corta Jac 1042 3003600ld304a (70005082)</t>
  </si>
  <si>
    <t>VALV Descarga De COMB MCK Cxu 21458307 (70005083)</t>
  </si>
  <si>
    <t>Oreja Cardan Spl250 Kw/Lt/Prostar 250281 (70005084)</t>
  </si>
  <si>
    <t>SENS Nivel Refrigerante Daf Cf480 Ftt 21 (70005085)</t>
  </si>
  <si>
    <t>Rodamiento Volante Daf Cf480 Ftt 661319 (70005086)</t>
  </si>
  <si>
    <t>Abrazadera SOP Catalizador INT Lt 399869 (70005087)</t>
  </si>
  <si>
    <t>SENS Altura Del Chasis Daf Cf480 2021549 (70005088)</t>
  </si>
  <si>
    <t>DEP AUX Refrigerante Van FT Bj5 77010234 (70005089)</t>
  </si>
  <si>
    <t>Exploradora IZQ Daf Cf480 Ftt 2032701 (70005090)</t>
  </si>
  <si>
    <t>Base Filtro Bombin Mack Anthem 21870635 (70005091)</t>
  </si>
  <si>
    <t>Stop TRAS DER FT 1030 7705946734639 (70005092)</t>
  </si>
  <si>
    <t>Rodillo Agujas Tapa TRAS CJ Nkr Rw Db505 (70005093)</t>
  </si>
  <si>
    <t>Volante MOT HY Porter H100 232004a500 (70005094)</t>
  </si>
  <si>
    <t>Tapa TANQ COMB INT Lt 3591619c2 (70005095)</t>
  </si>
  <si>
    <t>Interruptor Comb. Luces Y Plumillas Foto (70005096)</t>
  </si>
  <si>
    <t>BMB COMB FT 1030 7705946762472 (70005097)</t>
  </si>
  <si>
    <t>MANG Retorno COMB Inyectore Nkr Rw 89735 (70005098)</t>
  </si>
  <si>
    <t>Bomba De Agua Foton 1030 7705946760423 (70005099)</t>
  </si>
  <si>
    <t>Guaya Selectora De Cambios FT 1030 77059 (70005100)</t>
  </si>
  <si>
    <t>Termostato Foton 1030 7705946760430 (70005101)</t>
  </si>
  <si>
    <t>MANG ENT AIR MOT FT 1030 7700149467315 (70005102)</t>
  </si>
  <si>
    <t>Tornillo Graduacion Balancin VALVs CH Fr (70005103)</t>
  </si>
  <si>
    <t>Abrazadera Clip MANG Inyectore Nkr Rw 89 (70005104)</t>
  </si>
  <si>
    <t>Hoja Resorte 1ra Del KW Tipo Volqueta 59 (70005105)</t>
  </si>
  <si>
    <t>Hoja Resorte 2sv Del KW Tipo Volqueta 59 (70005106)</t>
  </si>
  <si>
    <t>VALV AIR Freno MOT MCK Anthem 23992701 (70005107)</t>
  </si>
  <si>
    <t>Vidro PTA IZQ DFENG Modelo 2020 (70005108)</t>
  </si>
  <si>
    <t>SENS TEMP Refrigerante FT 1030 770594680 (70005109)</t>
  </si>
  <si>
    <t>Rodamiento Inducido Arranque Nkr 6200-Rs (70005110)</t>
  </si>
  <si>
    <t>Kit Graduacion Freno Izq CH N200 62069np (70005111)</t>
  </si>
  <si>
    <t>Culata Motor Foton 1030 7705946845786 (70005112)</t>
  </si>
  <si>
    <t>Cremallera Volante Daf Cf480 Ftt 1606305 (70005113)</t>
  </si>
  <si>
    <t>Arandela Reten Del Propulsor FT 1129 770 (70005114)</t>
  </si>
  <si>
    <t>Arandela Sincronismo 3, 4, 5 Y 6ta FT 11 (70005115)</t>
  </si>
  <si>
    <t>Bomba Agua Motor Isf 3.8 Foton 770102355 (70005116)</t>
  </si>
  <si>
    <t>Boquilla TANQ COMB Nkr Fabricado (70005117)</t>
  </si>
  <si>
    <t>Base Trampa FILT Completo COMB MCK Cxu 2 (70005118)</t>
  </si>
  <si>
    <t>Gorro Valvula Foton 1030 7705946760362 (70005119)</t>
  </si>
  <si>
    <t>Guaya Acelerador FT 1030 7705946760102 (70005120)</t>
  </si>
  <si>
    <t>FILT COMB Planta ELEC Ff167 Fleetguard (70005121)</t>
  </si>
  <si>
    <t>FILT AIR Planta ELEC Af26659 Monteria (70005122)</t>
  </si>
  <si>
    <t>SENS Sensor Reversa Jac 1042 7018174000 (70005123)</t>
  </si>
  <si>
    <t>Disco Embrague Daf Cf480 Ftt 2208754 (70005124)</t>
  </si>
  <si>
    <t>Bandas De Freno TRAS Van DFENG Ev 550060 (70005125)</t>
  </si>
  <si>
    <t>Visera Parasol Daf Cf480 Ftt 2303006 (70005126)</t>
  </si>
  <si>
    <t>Cremallera Elevavidrio PTA DER Prostar 3 (70005127)</t>
  </si>
  <si>
    <t>Puente Valvula Admision Motor Isx Eagle (70005128)</t>
  </si>
  <si>
    <t>Portaescobillas MOT ARR Jac 1042 698302 (70005129)</t>
  </si>
  <si>
    <t>Enfriador Completo Aceite MOT Npr 897385 (70005130)</t>
  </si>
  <si>
    <t>Perno Culata Foton 1030 7700149448666 (70005131)</t>
  </si>
  <si>
    <t>RET Der Cigueñal FT 1030 7700149338448 (70005132)</t>
  </si>
  <si>
    <t>RET Tracero Cigueñal FT 1030 77059467603 (70005133)</t>
  </si>
  <si>
    <t>EMP Tapa VALVs FT 1030 7705946760270 (70005134)</t>
  </si>
  <si>
    <t>EMP Multiple Escape FT 1030 770594676041 (70005135)</t>
  </si>
  <si>
    <t>Vidro PTA DER DFENG Modelo 2020 (70005136)</t>
  </si>
  <si>
    <t>Repuestos Varios Van Dongfeng Electrica (70005137)</t>
  </si>
  <si>
    <t>Bocin RDA DEL Jac 1042 Yf31a10403015 (70005138)</t>
  </si>
  <si>
    <t>CAM Freno Tras Lh FT 1129 7701023620031 (70005139)</t>
  </si>
  <si>
    <t>SENS TEMP Agua Jac Jkr 1026310fa040 (70005140)</t>
  </si>
  <si>
    <t>Filtro Aiere Planta Ibague Da2772 (70005141)</t>
  </si>
  <si>
    <t>FILT AIR Planta ELEC Pasto Landini Da266 (70005142)</t>
  </si>
  <si>
    <t>Tubo Flexible De Escape 4" Cabezote Fabr (70005143)</t>
  </si>
  <si>
    <t>CAM Freno Tracero Rh FT 1128 77059468009 (70005144)</t>
  </si>
  <si>
    <t>FILT AIR Planta Manizales Ag971392a Goby (70005145)</t>
  </si>
  <si>
    <t>FILT AIR Planta Cucuta Da2671 Donsson Wm (70005146)</t>
  </si>
  <si>
    <t>Tapa TANQ COMB MCK Cxu613e 20770679 (70005147)</t>
  </si>
  <si>
    <t>Valvula Egr Cummins Isf 3.8 Foton 770102 (70005148)</t>
  </si>
  <si>
    <t>Amortiguador De Vibraciones Daf 1929558 (70005149)</t>
  </si>
  <si>
    <t>FILT COMB Secundario Jmc 1054 Eng1-9456- (70005150)</t>
  </si>
  <si>
    <t>FILT De COMB PRIM Jmc 1054 1100500020 (70005151)</t>
  </si>
  <si>
    <t>Parabrisas Laminado Sc 1157 (70005152)</t>
  </si>
  <si>
    <t>FILT De Aceite MOT Jmc 1054 Gn1-6614-Cb (70005153)</t>
  </si>
  <si>
    <t>Reten 48x65x9 Propulsor CJ FT 1129 77059 (70005154)</t>
  </si>
  <si>
    <t>Cinturon Seguridad Retractil INT Lt 2515 (70005155)</t>
  </si>
  <si>
    <t>FILT De AIR MOT Jmc 1054 Mn1-9601-44 (70005156)</t>
  </si>
  <si>
    <t>SENS Presion De Aceite CH Ftr 1824101701 (70005157)</t>
  </si>
  <si>
    <t>Rodamiento Volante FT 1030 7705946902083 (70005158)</t>
  </si>
  <si>
    <t>Empaque Culata Foton 1030 7705946760263 (70005159)</t>
  </si>
  <si>
    <t>MOT DEP Limpiabrisas MCK Anthem 216-2211 (70005160)</t>
  </si>
  <si>
    <t>Bateria 4dbtd Willard (70005161)</t>
  </si>
  <si>
    <t>Perno Volante MOT CH Ftr 8943930702 (70005162)</t>
  </si>
  <si>
    <t>MANG ENT Agua CH Ftr 8943910911 (70005163)</t>
  </si>
  <si>
    <t>Cable CTRL Seguro INTno PTA Nkr Rw 89805 (70005164)</t>
  </si>
  <si>
    <t>Kit EMP MOT Completo CH Ftr 1878150862 (70005165)</t>
  </si>
  <si>
    <t>Arandela Pin Espaciador Cigüeñal CH Ftr (70005166)</t>
  </si>
  <si>
    <t>Arandela Espaciador Cigueñal CH Ftr 8973 (70005167)</t>
  </si>
  <si>
    <t>Fitro COMB Planta Eelctrica Ff5089 (70005168)</t>
  </si>
  <si>
    <t>Bocin RDA DEL HN 500 43511-E0030 (70005169)</t>
  </si>
  <si>
    <t>MOT Agua Limpiabrisas INT Lt 2511834c1 (70005170)</t>
  </si>
  <si>
    <t>Bomba Hidraulico Jac Jhr 3407010ld300 (70005171)</t>
  </si>
  <si>
    <t>Filtro Aceite Planta Electrica Lf3591 (70005172)</t>
  </si>
  <si>
    <t>Conjunto Tubos INY FT 1039 7705946964180 (70005173)</t>
  </si>
  <si>
    <t>Cojin Cond/Pasajero T Prado REP (70005174)</t>
  </si>
  <si>
    <t>Kit CILs PTAs CAB INT Lt 2517407c91 (70005175)</t>
  </si>
  <si>
    <t>Juego CILs PTA/Ignicio FT 1128 770594694 (70005176)</t>
  </si>
  <si>
    <t>Conector MANG Plumillas FT 1128 77001490 (70005177)</t>
  </si>
  <si>
    <t>SENS Del Catalizador FT 1129 77059461806 (70005178)</t>
  </si>
  <si>
    <t>TANQ DEP Liquido De Frenos FT 7701023085 (70005179)</t>
  </si>
  <si>
    <t>Conjunto Arandela Sincro 3ra Y 4ta Fot 1 (70005180)</t>
  </si>
  <si>
    <t>Juego Anillos Piston CH Ftr 8980401250 (70005181)</t>
  </si>
  <si>
    <t>Aro Bronce 3ra CJ CH Ftr 8980347700 (70005182)</t>
  </si>
  <si>
    <t>Casquetes Bancada CH Ftr 8973720771 (70005183)</t>
  </si>
  <si>
    <t>Cabina Chevrolet N200 Remanufacturada (70005184)</t>
  </si>
  <si>
    <t>Motor Arranque Daf Cf 480 Ftt 2134699 (70005185)</t>
  </si>
  <si>
    <t>FILT AIR Planta ELEC Shf-2806 Calle 13 (70005186)</t>
  </si>
  <si>
    <t>FILT AIR Planta ELEC V10c30 / Uf2756 Car (70005187)</t>
  </si>
  <si>
    <t>FILT COMB Planta Ff5461 Cartagena (70005188)</t>
  </si>
  <si>
    <t>Amortiguador Capot DER KW T660 Mss1046-0 (70005189)</t>
  </si>
  <si>
    <t>RAD MOT HN 500 En Cobre Fabricado (70005190)</t>
  </si>
  <si>
    <t>Bloque Motor Chevrolet Ftr 8982069600 (70005191)</t>
  </si>
  <si>
    <t>Unidad Secadora Aire Daf Cf480 2330100 (70005192)</t>
  </si>
  <si>
    <t>Platina SOP Inf Guardabarro Izq FT 1128 (70005193)</t>
  </si>
  <si>
    <t>Platina SOP Sup Guardabarro Izq FT 1128 (70005194)</t>
  </si>
  <si>
    <t>Guardabarro DEL Izq FT 1128 770594677544 (70005195)</t>
  </si>
  <si>
    <t>SENS De Posicion Arbol De Levas HN Dutro (70005196)</t>
  </si>
  <si>
    <t>Exploradora Led Redonda MCK Anthem Al-91 (70005197)</t>
  </si>
  <si>
    <t>Guardabarro DEL Der FT 11208 77059467835 (70005198)</t>
  </si>
  <si>
    <t>Amortiguador Capot Izq KW T660 Mss1046-0 (70005199)</t>
  </si>
  <si>
    <t>Farola Principal Derecha Kenwort T660 P5 (70005200)</t>
  </si>
  <si>
    <t>Farola Principal IZQ KW T660 Repeleken80 (70005201)</t>
  </si>
  <si>
    <t>FILT AIR Planta ELEC If1544k BRRnquilla (70005202)</t>
  </si>
  <si>
    <t>MANG ENT INTcooler FT 1039 7701023774796 (70005203)</t>
  </si>
  <si>
    <t>Vidrio Puerta Der Renault Master (70005204)</t>
  </si>
  <si>
    <t>Camisa Sincro 3ra Y 4ta Fot 1128 7705946 (70005205)</t>
  </si>
  <si>
    <t>Tapa Bateria Mack Anthem 20769166 (70005206)</t>
  </si>
  <si>
    <t>Volante Chevrolet Nkr Reward 8981480632 (70005207)</t>
  </si>
  <si>
    <t>Buje Tras. Muelle Delantero Hino Dutropa (70005208)</t>
  </si>
  <si>
    <t>FILT Aceite Planta ELEC Lf3345 Fleetguar (70005209)</t>
  </si>
  <si>
    <t>carcasa FILT De AIR FT 1129 770102355046 (70005210)</t>
  </si>
  <si>
    <t>Tuberia De Refrigerante En U Compresor D (70005211)</t>
  </si>
  <si>
    <t>Filtro Aire Planta Electrica If2873 (70005212)</t>
  </si>
  <si>
    <t>CTRL Elevavidrios DER INT Lt 4061968c4 (70005213)</t>
  </si>
  <si>
    <t>Conector Hembra SENS Presion COMB Nkr Ii (70005214)</t>
  </si>
  <si>
    <t>Estribo DER Con Bisel FT 1128 7705946797 (70005215)</t>
  </si>
  <si>
    <t>Filtro Pequeño Adblue Daf 2127614 (70005216)</t>
  </si>
  <si>
    <t>Kit Completo Filtro Adblue Daf 2122909pe (70005217)</t>
  </si>
  <si>
    <t>VALV Relay De Freno INT Lt 2515899c91 (70005218)</t>
  </si>
  <si>
    <t>Tijera Derecha Foton 1030 7705946979016 (70005219)</t>
  </si>
  <si>
    <t>Conector Hembra SENS Temp COMB Nkr Iiie (70005220)</t>
  </si>
  <si>
    <t>Polea Mastil Montacarga Bt ELEC S90f (70005221)</t>
  </si>
  <si>
    <t>Recibidor Cinturon De Seguridad Daf Cf 4 (70005222)</t>
  </si>
  <si>
    <t>INTruptores Cabrilla INT Lt 4057703c94 (70005223)</t>
  </si>
  <si>
    <t>Esquinero Superior Izquierdo Hino Dutrop (70005224)</t>
  </si>
  <si>
    <t>Rodamiento MOT De ARR Nkr 16101 2rs (70005225)</t>
  </si>
  <si>
    <t>Abrazadera Escape Turbo Motor Isf 3.8 39 (70005226)</t>
  </si>
  <si>
    <t>To Tornillo Cartera Eagle 9400 2029410c4 (70005227)</t>
  </si>
  <si>
    <t>Tornillos Tapizado Techo Eagle 9400 3508 (70005228)</t>
  </si>
  <si>
    <t>DEP Agua Limpiabrisas Daf Cf 480ftt 2048 (70005229)</t>
  </si>
  <si>
    <t>Guaya Neutra Foton 1128 7705946893336 (70005230)</t>
  </si>
  <si>
    <t>Guaya Selectora Foton 1128 7705946893329 (70005231)</t>
  </si>
  <si>
    <t>Bomba Docificadora Urea Daf 2208766rn (70005232)</t>
  </si>
  <si>
    <t>Resorte Retención Freno TRAS Jac 1120 50 (70005233)</t>
  </si>
  <si>
    <t>Espejo Retrovisor IZQ FT 1128 7705946714 (70005234)</t>
  </si>
  <si>
    <t>Espejo Superior Puerta Foton 1128 770594 (70005235)</t>
  </si>
  <si>
    <t>Vidrio Pueta FT IZQ 1128 7705946416023 (70005236)</t>
  </si>
  <si>
    <t>Persiana Foton 1128 7705946684620 (70005237)</t>
  </si>
  <si>
    <t>Manguera Termoencogible (70005238)</t>
  </si>
  <si>
    <t>Cartera PTA DER FT 1128 7705946463287 (70005239)</t>
  </si>
  <si>
    <t>Agarradera Frontal CAB HN 500 S5575-E001 (70005240)</t>
  </si>
  <si>
    <t>Panel Superior Frontal Cabina Hino 500 5 (70005241)</t>
  </si>
  <si>
    <t>FILT INTno TANQ De COMB Daf 1334250 (70005242)</t>
  </si>
  <si>
    <t>Emblema Persiana Frontal CAB HN 500 7531 (70005243)</t>
  </si>
  <si>
    <t>Panel INF Persiana Frontal CAB HN 500 55 (70005244)</t>
  </si>
  <si>
    <t>Persiana Frontal CAB HN 500 53111-E0190 (70005245)</t>
  </si>
  <si>
    <t>Cinturon Seguridad Xl (70005246)</t>
  </si>
  <si>
    <t>Logo 500 Frontal CAB HN 500 75338-Ew020 (70005247)</t>
  </si>
  <si>
    <t>Clip Persiana Frontal CAB HN 500 Sz950-3 (70005248)</t>
  </si>
  <si>
    <t>Clip Cubierta Frontal CAB HN 500 Sz167-0 (70005249)</t>
  </si>
  <si>
    <t>Grifo Aspersor Limpiabrisas HN 500 S8535 (70005250)</t>
  </si>
  <si>
    <t>Guardabarro INTmedio Der KW Tf012430-2c (70005251)</t>
  </si>
  <si>
    <t>Logo Persiana Foton 1128 7701023110006 (70005252)</t>
  </si>
  <si>
    <t>FILT AIR Kl1317 Cilindrico Quanchai Qc38 (70005253)</t>
  </si>
  <si>
    <t>VALV Pcv MOT FT 1039 -1065 Euro Iv 77010 (70005254)</t>
  </si>
  <si>
    <t>Caucho SOP Silenciador Escape Van N200 2 (70005255)</t>
  </si>
  <si>
    <t>Control Aire Acondicionado Calefactor Nk (70005256)</t>
  </si>
  <si>
    <t>Bateria 27- 700 Fleetrite (70005257)</t>
  </si>
  <si>
    <t>Radiador Aluminio Planta Electrica (70005258)</t>
  </si>
  <si>
    <t>Tapa DER Cubierta Sup Espejo INT Lt 4196 (70005259)</t>
  </si>
  <si>
    <t>Espejo Capot DER INT Lt 3787835c93 (70005260)</t>
  </si>
  <si>
    <t>Termostato Motor Hino 500 S1632-E9040 (70005261)</t>
  </si>
  <si>
    <t>Tapa DER Cubierta Inf Espejo INT Lt 4196 (70005262)</t>
  </si>
  <si>
    <t>Luz Techo CAB INT Lt 4069822c3 (70005263)</t>
  </si>
  <si>
    <t>Filtro Combustible M16x1.5 Metal, Atorni (70005264)</t>
  </si>
  <si>
    <t>Filtro Aceite Jx0706p1 M20x1.5 Planta El (70005265)</t>
  </si>
  <si>
    <t>FILT AIR Ag971442a Goby Hongo Planta Qua (70005266)</t>
  </si>
  <si>
    <t>SENS Baja Presion A/C INT Lt 4053471c1 (70005267)</t>
  </si>
  <si>
    <t>Compresor Aire Acondicionado Foton 1065 (70005268)</t>
  </si>
  <si>
    <t>Tapa Deposito Refrigerante Daf 2115958 (70005269)</t>
  </si>
  <si>
    <t>Chapa DER Cierre Capot MCK Anthem 239439 (70005270)</t>
  </si>
  <si>
    <t>FILT Refrigerante Roscado Planta ELEC Ca (70005271)</t>
  </si>
  <si>
    <t>FILT COMB Planta Electica Cl 13 Fleetgua (70005272)</t>
  </si>
  <si>
    <t>FILT Aceite Planta ELEC Cl 13 Fleetguard (70005273)</t>
  </si>
  <si>
    <t>SENS Presion Turbocompresor Dafcf480 212 (70005274)</t>
  </si>
  <si>
    <t>Tapa Llenado De Aceite Foton 1045/1065 M (70005275)</t>
  </si>
  <si>
    <t>Collarin TRAS DER FT 1129- 7701023261265 (70005276)</t>
  </si>
  <si>
    <t>EMP Culata MOT HN 500 11115-E0151 (70005277)</t>
  </si>
  <si>
    <t>Piñon De 5ta Caja Jac Jhr R17014110001 (70005278)</t>
  </si>
  <si>
    <t>Luna Redonda Frontal Sup Espejo Jac 8202 (70005279)</t>
  </si>
  <si>
    <t>Pin Pasador Cilindrico Estrido 3 X 30mm (70005280)</t>
  </si>
  <si>
    <t>Conjunto Secador FT 1065 7700149430173 (70005281)</t>
  </si>
  <si>
    <t>Vidrio Lateral Fijo PTA IZQ Daf Cf 480 F (70005282)</t>
  </si>
  <si>
    <t>Espejo Retrovisor Izq. Completo Daf Cf 4 (70005283)</t>
  </si>
  <si>
    <t>Tapa Cubo RDA DEL Jac 1042 3103109n (70005284)</t>
  </si>
  <si>
    <t>carcasa Filtro Aire Acondicionado Inter (70005285)</t>
  </si>
  <si>
    <t>Espejo Superior Puerta Der International (70005286)</t>
  </si>
  <si>
    <t>FILT Secador AIR FT 1065 7701023330343 (70005287)</t>
  </si>
  <si>
    <t>Tornillo Con Arandela Caracaza Distri Cu (70005288)</t>
  </si>
  <si>
    <t>RAD FT 1128 Euro Vi Fabricado-7700149386 (70005289)</t>
  </si>
  <si>
    <t>Ahogador Chevrolet Npr 8972550731 (70005290)</t>
  </si>
  <si>
    <t>SOP DER Bomper Chasis INT Lt 4063339c1 (70005291)</t>
  </si>
  <si>
    <t>SOP IZQ Bomper Chasis INT Lt 4063336c1 (70005292)</t>
  </si>
  <si>
    <t>Bocin Trasero Foton 1129 7701023775113 (70005293)</t>
  </si>
  <si>
    <t>Guantera Foton Bj5 7701023486910 (70005294)</t>
  </si>
  <si>
    <t>SOP Izq Bomper TRAS FT Bj5 7705946036443 (70005295)</t>
  </si>
  <si>
    <t>MANG Sup RAD FT 1039 7705946316828 (70005296)</t>
  </si>
  <si>
    <t>Correa Compresor A/C FT Bj5 770594630886 (70005297)</t>
  </si>
  <si>
    <t>Válvula CTRL AIR MCK Anthem 21065585 (70005298)</t>
  </si>
  <si>
    <t>Canastilla Punta Desplazable FT 1039 770 (70005299)</t>
  </si>
  <si>
    <t>Recibidor DER Capot MCK Anthem 23824542 (70005300)</t>
  </si>
  <si>
    <t>Tapa Plástica Induma Flush 4x4 (70005301)</t>
  </si>
  <si>
    <t>Empaque Vidrio Trasero Eagle 9400 403336 (70005302)</t>
  </si>
  <si>
    <t>Piston Motor Foton 1065 7701023083485 (70005303)</t>
  </si>
  <si>
    <t>Espaciador De Rebote Muelle Tras Suspens (70005304)</t>
  </si>
  <si>
    <t>Base Grapa Inferior Trasera Suspension H (70005305)</t>
  </si>
  <si>
    <t>Soporte Muelle Trasero Suspension Has 50 (70005306)</t>
  </si>
  <si>
    <t>Adaptador Tapa Tanque Acpm Eagle/Kenwort (70005307)</t>
  </si>
  <si>
    <t>SOP MOT DEL Daf Cf480 Ftt 2395981 (70005308)</t>
  </si>
  <si>
    <t>SOP MOT TRAS Daf Cf480 Ftt 2136889 (70005309)</t>
  </si>
  <si>
    <t>Motor Arranque Foton Mv5 7705946023054 (70005310)</t>
  </si>
  <si>
    <t>Guaya Freno Parqueo Tras Der FT 1030 770 (70005311)</t>
  </si>
  <si>
    <t>FILT AIR Planta ELEC Yumbo Fleetguard Ah (70005312)</t>
  </si>
  <si>
    <t>Ducto ENT De AIR INT Lt 4126810c92 (70005313)</t>
  </si>
  <si>
    <t>Abrazadera Buje Barra Estab. Foton 1065/ (70005314)</t>
  </si>
  <si>
    <t>Buje TRAS Arbol De Levas FT 1065 7701023 (70005315)</t>
  </si>
  <si>
    <t>Vidrio Trasero Cabina International Lt (70005316)</t>
  </si>
  <si>
    <t>Sincronismo 3-4 CJ FT 1039 7705946204491 (70005317)</t>
  </si>
  <si>
    <t>Rodamiento Piñon De 5ta FT 1039 77010235 (70005318)</t>
  </si>
  <si>
    <t>Pasador Piñon Loco Reversa Jac Jhr-J1701 (70005319)</t>
  </si>
  <si>
    <t>Rodillo De Agujas Piñon Loco Reversa Jac (70005320)</t>
  </si>
  <si>
    <t>MANG Carcasa Admision CH Frr 8980106434 (70005321)</t>
  </si>
  <si>
    <t>Tapa Combustible Foton Mv5 7705946027403 (70005322)</t>
  </si>
  <si>
    <t>Asiento Muelle Trasero Suspension Has 50 (70005323)</t>
  </si>
  <si>
    <t>MANG Entra-Válvula Calefac Mv5 770102349 (70005324)</t>
  </si>
  <si>
    <t>Conjunto Perno RDA Del FT 1039 770594625 (70005325)</t>
  </si>
  <si>
    <t>Exploradora Led Rectangular 5" 45w 5rec- (70005326)</t>
  </si>
  <si>
    <t>SENS Nivel Aceite Carter Dafcf480 212583 (70005327)</t>
  </si>
  <si>
    <t>Conector Db-26 Macho Cubierta De Plástic (70005328)</t>
  </si>
  <si>
    <t>Camisa CIL MOT FT 1065 7701023509084 (70005329)</t>
  </si>
  <si>
    <t>SOP Guia IZQ Capot KW T660 L11-1380 (70005330)</t>
  </si>
  <si>
    <t>Campana Freno TRAS FT 1128 7705946778893 (70005331)</t>
  </si>
  <si>
    <t>Bomper INT Lt Completo Con SOPs 4169765c (70005332)</t>
  </si>
  <si>
    <t>Kit Reparacion CJ De DIR Daf Cf480 23540 (70005333)</t>
  </si>
  <si>
    <t>Manija INTna PTA Der FT Minitruck-770014 (70005334)</t>
  </si>
  <si>
    <t>Bloque De Cambios FT Mv5 7701023485012 (70005335)</t>
  </si>
  <si>
    <t>Garra De Cambios Foton Mv5 7701023484947 (70005336)</t>
  </si>
  <si>
    <t>Conjunto Perno RDA Del FT 1065 770594668 (70005337)</t>
  </si>
  <si>
    <t>Escuadra INF Chasis KW T800 K1402465 (70005338)</t>
  </si>
  <si>
    <t>Arnes De Motor Jac 1120 5319319 (70005339)</t>
  </si>
  <si>
    <t>Logo Persiana Foton Mv5- 7701023487931 (70005340)</t>
  </si>
  <si>
    <t>Caja Direccion Foton Mv5 7705946328234 (70005341)</t>
  </si>
  <si>
    <t>Cruceta Cardan Jac Jhr Zw0008 (70005342)</t>
  </si>
  <si>
    <t>Bujia De Precalentamiento FT 1039/1065 7 (70005343)</t>
  </si>
  <si>
    <t>SENS Velocidad RDA Daf Cf480 Ftt 1862600 (70005344)</t>
  </si>
  <si>
    <t>Jgo Pastillas Traseras Toyota Prado 4466 (70005345)</t>
  </si>
  <si>
    <t>Jgo Pastillas DELs T Prado 4465 (70005346)</t>
  </si>
  <si>
    <t>Tuerca De Flanche CJ FT 1039 77010231642 (70005347)</t>
  </si>
  <si>
    <t>Tornillo Base Bomba Agua Isx-X15 3914407 (70005348)</t>
  </si>
  <si>
    <t>Tornillo Espaciador Alternador Isx-X15 3 (70005349)</t>
  </si>
  <si>
    <t>Trapecio Limpiabrisas INT Lt 4055124c92 (70005350)</t>
  </si>
  <si>
    <t>SENS Posición Cigueñal X15 5594275/55942 (70005351)</t>
  </si>
  <si>
    <t>SENS Posicion Arbol De Levas X15 5594276 (70005352)</t>
  </si>
  <si>
    <t>Alternador 12 Volt 200 Amp INT Lt 610205 (70005353)</t>
  </si>
  <si>
    <t>Junta Piñon Engranaje Inyeccióx15 368555 (70005354)</t>
  </si>
  <si>
    <t>Espejo Derecho Jac Jhr 8202110le094 (70005355)</t>
  </si>
  <si>
    <t>Manija ComPTA TRAS DFENG 11054595 (70005356)</t>
  </si>
  <si>
    <t>Carcasa MOT Frontal Distribucion X15 546 (70005357)</t>
  </si>
  <si>
    <t>Tapón De La Cubierta De Engranajes X15 3 (70005358)</t>
  </si>
  <si>
    <t>Varilla Horquilla EMB FT 1039 Fabricada (70005359)</t>
  </si>
  <si>
    <t>Hoja Resorte TRAS Principal Nhre 2208/1 (70005360)</t>
  </si>
  <si>
    <t>Espaciador Alternador Isx-X15 3688049 (70005361)</t>
  </si>
  <si>
    <t>Tapa Tanque De Combustible Daf 2293403 (70005362)</t>
  </si>
  <si>
    <t>Rodillo Del Int Eje Propulsor CJ FT 1129 (70005363)</t>
  </si>
  <si>
    <t>FILT Aceite FT Aucan 1045 7700149203272 (70005364)</t>
  </si>
  <si>
    <t>FILT COMB FT Aucan 1045/1065 Evi 7700149 (70005365)</t>
  </si>
  <si>
    <t>VALV Purga Automatica TANQ AIR INT 28192 (70005366)</t>
  </si>
  <si>
    <t>FILT De Aceite FT 1128 Euro Vi 770014930 (70005367)</t>
  </si>
  <si>
    <t>Racor Union Bronce 1/4" (70005368)</t>
  </si>
  <si>
    <t>Filtro Comb. Primario Foton 1128 Euro 6 (70005369)</t>
  </si>
  <si>
    <t>Enfocador RAD T Prado 671131491 (70005370)</t>
  </si>
  <si>
    <t>Retenedor Cigueñal Delantero X15 3685173 (70005371)</t>
  </si>
  <si>
    <t>Cable De Alta Largo FT 1030 770594672666 (70005372)</t>
  </si>
  <si>
    <t>Empaque Bomba Inyeccion X15 5414049 (70005373)</t>
  </si>
  <si>
    <t>EMP Metalico Carcasa De Engranajes X15 4 (70005374)</t>
  </si>
  <si>
    <t>Cable De Alta Corto FT 1030 770594672667 (70005375)</t>
  </si>
  <si>
    <t>Diferencial Completa FT 1030 77059468039 (70005376)</t>
  </si>
  <si>
    <t>EMP Tapa Frontal Engranaje X15 3687007 (70005377)</t>
  </si>
  <si>
    <t>Tornillo Mediano CJ Termostatica Isx-X15 (70005378)</t>
  </si>
  <si>
    <t>Tornillo Corto CJ Termostatica Isx-X15 3 (70005379)</t>
  </si>
  <si>
    <t>Filtro Urea Daf Cf 480ftt 1532419 (70005380)</t>
  </si>
  <si>
    <t>Fusible Principal Mini 100 Amp L100pc (70005381)</t>
  </si>
  <si>
    <t>Racor Union Bronce 3/8" (70005382)</t>
  </si>
  <si>
    <t>Tapacubo RDA Del FT 1128 7705946925402 (70005383)</t>
  </si>
  <si>
    <t>Manija Externa PTA TRAS Corrediza DFENG (70005384)</t>
  </si>
  <si>
    <t>Electrovalvula Atc Mack Cxu 21396762 (70005385)</t>
  </si>
  <si>
    <t>Modulo Cinta Volante DIR Daf 2234934 (70005386)</t>
  </si>
  <si>
    <t>VENT RAD T Prado 636131060 (70005387)</t>
  </si>
  <si>
    <t>DEP Aux RAD T Prado 647031050 (70005388)</t>
  </si>
  <si>
    <t>Luna Espejo Retrovisor Izq. Daf Cf 480ft (70005389)</t>
  </si>
  <si>
    <t>Sun Feb 01 2026 00:00:00 GMT-0500 (hora (70005390)</t>
  </si>
  <si>
    <t>Racor Union Bronce 5/8" (70005391)</t>
  </si>
  <si>
    <t>Comando De Luces DIRales INT Lt 4057711c (70005392)</t>
  </si>
  <si>
    <t>Caja Direccion DFENG ELEC 11054120 (70005393)</t>
  </si>
  <si>
    <t>Embellecedor Tapa Superior Motor Toyota (70005394)</t>
  </si>
  <si>
    <t>Manguera Blindada R115 5/8" (70005395)</t>
  </si>
  <si>
    <t>Fusible Externo Pack Baterias Van DFENG (70005396)</t>
  </si>
  <si>
    <t>Base SOP MUE DEL MCK Anthem 20435533 (70005397)</t>
  </si>
  <si>
    <t>Bisagra Izq Capot FT Mv5 7701023486217 (70005398)</t>
  </si>
  <si>
    <t>Bisagra Der Capot FT Mv5 7701023486200 (70005399)</t>
  </si>
  <si>
    <t>Hoja 4ta MUE DEL HN Dutro Pro 22-916/4 (70005400)</t>
  </si>
  <si>
    <t>Stop Derecho Foton 1065 7705946575461 (70005401)</t>
  </si>
  <si>
    <t>Arnes Completo Unidad Dosificadora INT L (70005402)</t>
  </si>
  <si>
    <t>Empaque Vidrio Panoramico Foton Mv5 (70005403)</t>
  </si>
  <si>
    <t>Tapa Cubo Rueda Del Hino 300 43514-37050 (70005404)</t>
  </si>
  <si>
    <t>SENS Restrictor FILT AIR MCK Anthem 2517 (70005405)</t>
  </si>
  <si>
    <t>Pasador INF Amortiguador Del FT 1128 770 (70005406)</t>
  </si>
  <si>
    <t>Paral INTno PTA Der INT Lt 6127691c1 (70005407)</t>
  </si>
  <si>
    <t>Carcasa Espejo Retrovisor Der INT Lt 251 (70005408)</t>
  </si>
  <si>
    <t>Condensdor A/C Kenworth 2012 Trp Pa01250 (70005409)</t>
  </si>
  <si>
    <t>Sensor Abs Trasero Izq Mack Cxu 23964965 (70005410)</t>
  </si>
  <si>
    <t>PTA IZQ FT 1128 7705946668279 (70005411)</t>
  </si>
  <si>
    <t>CAB Shell Sin PTAs FT 1128 7700149371667 (70005412)</t>
  </si>
  <si>
    <t>Lamina Fabricada Luz TRAS Tractomula Gen (70005413)</t>
  </si>
  <si>
    <t>Mecanismo Abatimiento CAB FT 1128 770594 (70005414)</t>
  </si>
  <si>
    <t>SOP Central De Bomper DEL FT Mv5 7705946 (70005415)</t>
  </si>
  <si>
    <t>Bocel Persiana Superior Der Foton 1065 7 (70005416)</t>
  </si>
  <si>
    <t>Panel DER Persiana FT 1065 770594875233 (70005417)</t>
  </si>
  <si>
    <t>Mecanismo + Guaya Seguro Capot FT Mv5 77 (70005418)</t>
  </si>
  <si>
    <t>Viga Superior Radiador Foton Mv5 7705946 (70005419)</t>
  </si>
  <si>
    <t>Extension Capot DEL Der INT Lt 4085493c9 (70005420)</t>
  </si>
  <si>
    <t>Volante Motor Jac 104 1005030fe010 (70005421)</t>
  </si>
  <si>
    <t>Blower Aire Acondicionado Jac 1042 81041 (70005422)</t>
  </si>
  <si>
    <t>Valvula Desfogue Tapa Valvula Motor Nkr (70005423)</t>
  </si>
  <si>
    <t>Kit Reparacion Fan Clutch Inter Lt 2s-Dp (70005424)</t>
  </si>
  <si>
    <t>MANG ENT Postenfriador FT 1128 770102309 (70005425)</t>
  </si>
  <si>
    <t>Aspersor Lubricacion CJ FT Mv5 770594634 (70005426)</t>
  </si>
  <si>
    <t>DEP AUX RAD FT 1128 7705946923996 (70005427)</t>
  </si>
  <si>
    <t>Enfriador Egr MOT FT 1039 - 1065 7701023 (70005428)</t>
  </si>
  <si>
    <t>Gorro VALV Culata MOT FT 1065 Juego X 8 (70005429)</t>
  </si>
  <si>
    <t>EMP Vidrio Panoramico FT 1128-1129 (70005430)</t>
  </si>
  <si>
    <t>Eje TRAS Nhr Con Turbo De 23 Estrias 897 (70005431)</t>
  </si>
  <si>
    <t>Espaldar Silla Foton 1065 Fabricado (70005432)</t>
  </si>
  <si>
    <t>Cojin AUX Silla FT 1065 Fabricado (70005433)</t>
  </si>
  <si>
    <t>Buje Capo Eagle Ref 1668950C1 S/M (70005434)</t>
  </si>
  <si>
    <t>Sentadero Silla Foton 1065 Fabricado (70005435)</t>
  </si>
  <si>
    <t>Silla Conductor Foton 1065 Fabricada (70005436)</t>
  </si>
  <si>
    <t>Reloj Presion Pisada Freno AIR Tablero E (70005437)</t>
  </si>
  <si>
    <t>Empaque Vidrio Panoramico Daf (70005438)</t>
  </si>
  <si>
    <t>Columna De DIR FT 1128 7705946816113 (70005439)</t>
  </si>
  <si>
    <t>Mecanismo Palanca De Cambios FT 1128 770 (70005440)</t>
  </si>
  <si>
    <t>Rodamiento Planetario Divisor Diferencia (70005441)</t>
  </si>
  <si>
    <t>Rodillo/Cuna Diferencial Daf Cf480 65500 (70005442)</t>
  </si>
  <si>
    <t>Pasador MUE TRAS FT 1128 7701023081443 (70005443)</t>
  </si>
  <si>
    <t>Camara Freno Tras Del T-12 Trail (70005444)</t>
  </si>
  <si>
    <t>Volante Motor Hino 500 13450-E0b21 (70005445)</t>
  </si>
  <si>
    <t>SOP Caucho Refrigerante VW Fabricado (70005446)</t>
  </si>
  <si>
    <t>Alternador Motor Cummins Isf 3.8 Generic (70005447)</t>
  </si>
  <si>
    <t>EMP Culata MOT FT 1065 7705946735131 (70005448)</t>
  </si>
  <si>
    <t>Kit EMP MOT FT 1065 7701023148726 (70005449)</t>
  </si>
  <si>
    <t>Terminal BRR Corta DIR Daf Cf 480ftt 168 (70005450)</t>
  </si>
  <si>
    <t>Switch CTRL Fan Clutch INT Lt 4102413c1 (70005451)</t>
  </si>
  <si>
    <t>Cojinete Rodillo Afilado Speed Diferenci (70005452)</t>
  </si>
  <si>
    <t>Cojinete Rodillo Afilado Divisor Diferen (70005453)</t>
  </si>
  <si>
    <t>Tuberia Refrigerante VW Fabricado (70005454)</t>
  </si>
  <si>
    <t>Eje Fijo Mod. Caja De Velocidades Jac Jh (70005455)</t>
  </si>
  <si>
    <t>Tubo Hidraulico DIR HY H100 Fabricado (70005456)</t>
  </si>
  <si>
    <t>Polea Alternador International 3565205c1 (70005457)</t>
  </si>
  <si>
    <t>Bombillo Luces INT Prostar Jgox2 Led 180 (70005458)</t>
  </si>
  <si>
    <t>Sensor Nox International Lt 2894943 (70005459)</t>
  </si>
  <si>
    <t>Propulsor CJ Velocidades Jac Jhr R170111 (70005460)</t>
  </si>
  <si>
    <t>Manija INTna PTA IZQ EGL 1649759c1 (70005461)</t>
  </si>
  <si>
    <t>Amortiguador Lateral CAB TRAS Daf Rf9557 (70005462)</t>
  </si>
  <si>
    <t>Amortiguador Del CAB Daf Cf 480ftt 19364 (70005463)</t>
  </si>
  <si>
    <t>Kit Anillos MOT X 4 Pistones FT 1065 770 (70005464)</t>
  </si>
  <si>
    <t>Eje Fijo CJ De Velocidades Jac Jhr R1701 (70005465)</t>
  </si>
  <si>
    <t>Conjunto Sincronizador 3ra/4ta Jac Jhr A (70005466)</t>
  </si>
  <si>
    <t>MANG INTcooler FT 1129 7701023979160 (70005467)</t>
  </si>
  <si>
    <t>Tapon Culata Nkr Reward - 18 Mm 51121900 (70005468)</t>
  </si>
  <si>
    <t>Brazo Inferior Amortiguador Tras. Foton (70005469)</t>
  </si>
  <si>
    <t>BRR Estabilizadora DEL FT 1128 770594669 (70005470)</t>
  </si>
  <si>
    <t>Rodamiento INTno Diferencial Daf Cf480 1 (70005471)</t>
  </si>
  <si>
    <t>Rodamiento Diferencial Daf Cf480 1912037 (70005472)</t>
  </si>
  <si>
    <t>SOP BRR Estabilizadora FT 1128 770594671 (70005473)</t>
  </si>
  <si>
    <t>EMP Tubo De Escape INT Lt Fabricado (70005474)</t>
  </si>
  <si>
    <t>Troque DEL Completo FT 1128 770594699499 (70005475)</t>
  </si>
  <si>
    <t>Caja Direccion FT 1128 7705946882644 (70005476)</t>
  </si>
  <si>
    <t>Guardabarro DEL Izq FT 1128 770014912314 (70005477)</t>
  </si>
  <si>
    <t>Caja FILT De AIR FT 1128 7705946735148 (70005478)</t>
  </si>
  <si>
    <t>Terminal Izq. Barra Dirección Larga Daf (70005479)</t>
  </si>
  <si>
    <t>Piñon 3ra Caja Jac Jhr R17012400002 (70005480)</t>
  </si>
  <si>
    <t>Terminal Der. Barra Direccion Larga Daf (70005481)</t>
  </si>
  <si>
    <t>Jgo Pastillas Freno Montacargas T Gas (70005482)</t>
  </si>
  <si>
    <t>Kit Chupas Freno Montacargas Toyota Gas (70005483)</t>
  </si>
  <si>
    <t>Kit EMPs Compresor AIR MCK Cxu 912400 (70005484)</t>
  </si>
  <si>
    <t>Soporte Caja Montacargas Toyota Gas (70005485)</t>
  </si>
  <si>
    <t>Retenedor Caja Montacargas Toyota Gas (70005486)</t>
  </si>
  <si>
    <t>Rodamiento Torre Montacargas Toyota Gas (70005487)</t>
  </si>
  <si>
    <t>Resorte Valvula Culata Motor Isx 3679551 (70005488)</t>
  </si>
  <si>
    <t>Rodamiento RDA Tras Externo Jac 1042 970 (70005489)</t>
  </si>
  <si>
    <t>Rodamiento RDA Tras INTno Jac 1042 97063 (70005490)</t>
  </si>
  <si>
    <t>Válvula Retención De COMB S60 Detroit 23 (70005491)</t>
  </si>
  <si>
    <t>Damper Cigueñal Foton Mv5 7705946019330 (70005492)</t>
  </si>
  <si>
    <t>Buje Ext Limpiabrisas Mazda Wb0276604 (70005493)</t>
  </si>
  <si>
    <t>ReCAM Freno Tras Der CH Ftr 1482508774 (70005494)</t>
  </si>
  <si>
    <t>Manija Externa PTA DER FT Minitruck 7700 (70005495)</t>
  </si>
  <si>
    <t>CAM Freno Tras Lh FT 1128 7705946915427 (70005496)</t>
  </si>
  <si>
    <t>VALV De Regulacion Egr Daf Cf 480ftt 225 (70005497)</t>
  </si>
  <si>
    <t>Apoyo Soporte Barra Estab. Foton 1128 77 (70005499)</t>
  </si>
  <si>
    <t>Grapa Grapa Muelle Kenworth 3/4 X 4 X 12 (70005500)</t>
  </si>
  <si>
    <t>RAD Con Enfocador FT 1128 7705946766623 (70005501)</t>
  </si>
  <si>
    <t>MANG INF RAD FT 1128 7705946923934 (70005502)</t>
  </si>
  <si>
    <t>Juego Splinder International Lt R201614 (70005503)</t>
  </si>
  <si>
    <t>Perilla Palanca Cambios HN 500 S3350-427 (70005504)</t>
  </si>
  <si>
    <t>BRR De Torsion DER Capot Prostar 3808430 (70005505)</t>
  </si>
  <si>
    <t>Anillo Bronce Sincronizador 3ra/4ta CJ J (70005506)</t>
  </si>
  <si>
    <t>Campana Delantero Hino 500 43512-5030 (70005507)</t>
  </si>
  <si>
    <t>Eje Desplazable CJ Jac Jhr R17012010001 (70005508)</t>
  </si>
  <si>
    <t>Housing Diferencial Trasero Nkr Reward M (70005509)</t>
  </si>
  <si>
    <t>Arnes De Motor Chevrolet Nkr Iii Reward (70005510)</t>
  </si>
  <si>
    <t>Tuerca RDA TRAS Daf Cf480 Ftt 1263488 (70005511)</t>
  </si>
  <si>
    <t>Tuerca RDA DEL Daf Cf480 Ftt 1263487 (70005512)</t>
  </si>
  <si>
    <t>Esparrago RDA TRAS Daf Cf480 Ftt 1309191 (70005513)</t>
  </si>
  <si>
    <t>Esparrago RDA DEL Daf Cf480 Ftt 1337020g (70005514)</t>
  </si>
  <si>
    <t>Grapa MUE TRAS MCK Anthem 20872768 (70005515)</t>
  </si>
  <si>
    <t>Esquinero IZQ FT 1128 / 1065 77059466714 (70005516)</t>
  </si>
  <si>
    <t>Vidrio PTA DER FT 1128 / 1065 7705946416 (70005517)</t>
  </si>
  <si>
    <t>Tubo Flexible Fot 1128 Frr Jac 1120 Fabr (70005518)</t>
  </si>
  <si>
    <t>Tuerca Enflanche CJ Jac Jhr N17013740500 (70005519)</t>
  </si>
  <si>
    <t>RET INTno RDA Tras Jac 1042 4208040740 (70005520)</t>
  </si>
  <si>
    <t>Deposito De Refrigerante Daf 1960437 (70005521)</t>
  </si>
  <si>
    <t>Vidrio PTA IZQ INT Prostar 3546062c1 (70005522)</t>
  </si>
  <si>
    <t>Bocin RDA TRAS FT 1065 7700149127813 (70005523)</t>
  </si>
  <si>
    <t>Carter Aceite Con Tapon Jac 1042 1009100 (70005524)</t>
  </si>
  <si>
    <t>SOP BRR De Torsion Izq Capot Prostar 361 (70005525)</t>
  </si>
  <si>
    <t>SOP BRR De Torsion Der Capot Prostar 361 (70005526)</t>
  </si>
  <si>
    <t>SENS Presion De Aceite FT 1039 770102354 (70005527)</t>
  </si>
  <si>
    <t>Rodamiento TRAS Eje Fijo CJ Jac Jhr C300 (70005528)</t>
  </si>
  <si>
    <t>Rodamiento Frontal Eje Fijo CJ Jac Jhr N (70005529)</t>
  </si>
  <si>
    <t>Rodamiento ENT Eje Desplazable CJ Jac Jh (70005530)</t>
  </si>
  <si>
    <t>Rodamiento Piñon De 5ta CJ Jac Jhr C0000 (70005531)</t>
  </si>
  <si>
    <t>Carter Aceite MOT Daf Cf480 Ftt 1866891 (70005532)</t>
  </si>
  <si>
    <t>RET DEL CJ Jac Jhr X16013101307 (70005533)</t>
  </si>
  <si>
    <t>Rodamiento Propulsor CJ Jac Jhr Tm6308ya (70005534)</t>
  </si>
  <si>
    <t>Casquetes Bancada Std X10 FT Mv5 7705946 (70005535)</t>
  </si>
  <si>
    <t>BRR De Torsion IZQ Capot Prostar 3808429 (70005536)</t>
  </si>
  <si>
    <t>Palanca Freno Pivote V76603-500 (70005537)</t>
  </si>
  <si>
    <t>Bombillo Farola Tipo Led 12/24v 18w DFEN (70005538)</t>
  </si>
  <si>
    <t>Secador De AIR Completo MCK Anthem 85122 (70005539)</t>
  </si>
  <si>
    <t>Tubo Refrigeracion Compresor Daf 2111410 (70005540)</t>
  </si>
  <si>
    <t>Tapa Fusible Tablero Instrumentos FT 103 (70005541)</t>
  </si>
  <si>
    <t>Rodamiento TRAS Externo FT 1065 77010230 (70005542)</t>
  </si>
  <si>
    <t>Rodamiento TRAS INTno FT 1065 7701023099 (70005543)</t>
  </si>
  <si>
    <t>Esparrago Semieje TRAS FT 1065 770102357 (70005544)</t>
  </si>
  <si>
    <t>Arandela Pinadora Eje TRAS FT 1065 77010 (70005545)</t>
  </si>
  <si>
    <t>Piñon Acople BMB COMB Detroit S60 235052 (70005546)</t>
  </si>
  <si>
    <t>Manivela Porta Repuesto HN Dutro 09187-3 (70005547)</t>
  </si>
  <si>
    <t>PTA DER INTnationa Lt 4172880c91 (70005548)</t>
  </si>
  <si>
    <t>Empaque Carter Daf Cf480 Ftt 1853603 (70005549)</t>
  </si>
  <si>
    <t>Buje MUE DEL Daf Cf480 Ftt 1890049 (70005550)</t>
  </si>
  <si>
    <t>Sun Jun 01 1400 00:00:00 GMT-0456 (hora (70005551)</t>
  </si>
  <si>
    <t>Bocin RDA TRAS 5 Huecos HN Dutro 42411-3 (70005552)</t>
  </si>
  <si>
    <t>Gorros VALVs X16 FT Mv5 7705946507899 (70005553)</t>
  </si>
  <si>
    <t>Bomper Trasero Dong Feng 11054089 (70005554)</t>
  </si>
  <si>
    <t>Conjunto CIL Freno Booster DFENG ELEC 11 (70005555)</t>
  </si>
  <si>
    <t>Caña DIR DFENG ELEC 11054125 (70005556)</t>
  </si>
  <si>
    <t>Filtro Combustible Toyota Vxa 2330062030 (70005557)</t>
  </si>
  <si>
    <t>Filtro Aire Toyota Vxa 1780162010 (70005558)</t>
  </si>
  <si>
    <t>FILT Aceite T Prado Vxa 90915yyzzd2 (70005559)</t>
  </si>
  <si>
    <t>FILT COMB T Tx-L 2330031160 (70005560)</t>
  </si>
  <si>
    <t>Filtro Aire Toyota Tx-L 1780138051 (70005561)</t>
  </si>
  <si>
    <t>Guaya Capot Hi Internatio 483687c2.H (70005562)</t>
  </si>
  <si>
    <t>FILT Aceite T Prado Tx-L 415238010 (70005563)</t>
  </si>
  <si>
    <t>Casquetes De Biela Std Jgo X8 FT Mv5 770 (70005564)</t>
  </si>
  <si>
    <t>EMP Inf Vidrio PTA Der Prostar 3557123c2 (70005565)</t>
  </si>
  <si>
    <t>Casqu. Axiales "Medialuna" X2 Cigueñal F (70005566)</t>
  </si>
  <si>
    <t>Mega Fusible 125 Amp Daf Cf480 Ftt 13766 (70005567)</t>
  </si>
  <si>
    <t>RET TRAS Externo FT 1065 7701023096959 (70005568)</t>
  </si>
  <si>
    <t>Guaya Selector Cambios HN 500 33830-E0a8 (70005569)</t>
  </si>
  <si>
    <t>Eje Piñon Loco Distribucion CUMM Isx 368 (70005570)</t>
  </si>
  <si>
    <t>CTRL Elevavidrio PTA DER Jac 1120 374600 (70005571)</t>
  </si>
  <si>
    <t>Bocin Delantero Dongfeng 1.0 T 11068259 (70005572)</t>
  </si>
  <si>
    <t>Modulo Chasis TRAS Daf Cf480 Ftt 2335963 (70005573)</t>
  </si>
  <si>
    <t>Cigueñal Motor Foton Mv5 7705946019316 (70005574)</t>
  </si>
  <si>
    <t>Empaque Culata Foton Mv5 7705946015875 (70005575)</t>
  </si>
  <si>
    <t>Pasador Corto 5 Rueda (70005576)</t>
  </si>
  <si>
    <t>Compresor Aire Acondicionado Foton 1039 (70005577)</t>
  </si>
  <si>
    <t>Anillo Anti Pulido Camisa MOT Isx 368987 (70005578)</t>
  </si>
  <si>
    <t>BMB Inyección COMB Detroit S60 R23537686 (70005579)</t>
  </si>
  <si>
    <t>Condensador A/C Prostar 2601444c91 (70005580)</t>
  </si>
  <si>
    <t>Bombillo Hella 5627 24v5w Luces Tras Daf (70005581)</t>
  </si>
  <si>
    <t>Anillos X1 Piston Std FT Mv5 77059460159 (70005582)</t>
  </si>
  <si>
    <t>Piston Std Foton Mv5 7705946015936 (70005583)</t>
  </si>
  <si>
    <t>Switch Comando Limpiabrisas HN Dutro 846 (70005584)</t>
  </si>
  <si>
    <t>Mon Mar 16 2026 00:00:00 GMT-0500 (hora (70005585)</t>
  </si>
  <si>
    <t>Terminal Electrica De Ojo Faston Wed (70005586)</t>
  </si>
  <si>
    <t>Suiche De Encendido KW T800 P271048 (70005587)</t>
  </si>
  <si>
    <t>SENS TEMP Scr INT Lt 2872468 (70005588)</t>
  </si>
  <si>
    <t>Filtro Aceite Caja Mack Anthem 22038908 (70005589)</t>
  </si>
  <si>
    <t>Racor Union Rapido 1/8" (70005590)</t>
  </si>
  <si>
    <t>Tapa Radiador Foton 1030 13psi (70005591)</t>
  </si>
  <si>
    <t>Sat May 16 2026 00:00:00 GMT-0500 (hora (70005592)</t>
  </si>
  <si>
    <t>Stop Completo TRAS Izq Daf Cf480 1875577 (70005593)</t>
  </si>
  <si>
    <t>Mecanismo Abatible CAB FT 1129 770102308 (70005594)</t>
  </si>
  <si>
    <t>Manguera Admision Salida Intercooler Nkr (70005595)</t>
  </si>
  <si>
    <t>Decoracion Farola Del Iz FT 1129 7701023 (70005596)</t>
  </si>
  <si>
    <t>Conector Luces Bombillo Farola INT Lt Ge (70005597)</t>
  </si>
  <si>
    <t>RET TRAS INTno FT 1065 7701023099530 (70005598)</t>
  </si>
  <si>
    <t>Anillo EMP Tubo Exosto A Turbo Nkr Iii 8 (70005599)</t>
  </si>
  <si>
    <t>Mano Acople AIR Linea Servicio Daf Cf480 (70005600)</t>
  </si>
  <si>
    <t>Balin Tapa Caja De Cambios 16918 X14-800 (70005601)</t>
  </si>
  <si>
    <t>Guardabarro Delantero Nkr Reward Fabrica (70005602)</t>
  </si>
  <si>
    <t>Juego Escobillas Ventilador A/C (70005603)</t>
  </si>
  <si>
    <t>Rele De Encendido 12v/24v HN Dutro 85900 (70005604)</t>
  </si>
  <si>
    <t>Terminal De DIR Lh FT 1128 7700149277648 (70005605)</t>
  </si>
  <si>
    <t>Eje De Levas Inyectores MOT Isx REP (70005606)</t>
  </si>
  <si>
    <t>CTRL Principal Elevavidrio Jac 1042 3746 (70005607)</t>
  </si>
  <si>
    <t>VALV Alivio Secador MCK Anthem 6300-2206 (70005608)</t>
  </si>
  <si>
    <t>MUE Deltantero FT 1065 Completo 77059466 (70005609)</t>
  </si>
  <si>
    <t>Tapa Timon Mack Cxu 25110834 (70005610)</t>
  </si>
  <si>
    <t>Modulo De SENSes CJ Velocidades Daf Cf48 (70005611)</t>
  </si>
  <si>
    <t>CTRL INTruptor Monitor Tablero MCK Cxu 2 (70005612)</t>
  </si>
  <si>
    <t>Tubo Salida Admision Turbo KW T800 D6612 (70005613)</t>
  </si>
  <si>
    <t>Rache Freno TRAS IZQ FT 1128 77059469888 (70005614)</t>
  </si>
  <si>
    <t>Rache Freno TRAS DER FT 1128 77059469889 (70005615)</t>
  </si>
  <si>
    <t>Racor B-21 3/16 Largo Macho Acero Motoca (70005616)</t>
  </si>
  <si>
    <t>Tubo Freno De Cobre 3/16 Por Metros (70005617)</t>
  </si>
  <si>
    <t>Sensor Temp Agua Kw 1002051137 (70005618)</t>
  </si>
  <si>
    <t>BMB De Agua FT 1039/1065 7705946694780 (70005619)</t>
  </si>
  <si>
    <t>TANQ Acpm DER EGL 150 Galones 4184806c1s (70005620)</t>
  </si>
  <si>
    <t>Eje Horquilla 1ra Y 2da FT 1039 77010234 (70005621)</t>
  </si>
  <si>
    <t>Correa VENT HN 500 Jgo X 2 Sz910-49142 (70005622)</t>
  </si>
  <si>
    <t>Tubo Conector Egr FT 1039-1065 770594639 (70005623)</t>
  </si>
  <si>
    <t>Switch Comando Freno De Ahogo HN 500 846 (70005624)</t>
  </si>
  <si>
    <t>Filtro Refrigerante Daf Cf480 1843659 (70005625)</t>
  </si>
  <si>
    <t>Eje Horquilla 3ra Y 4ta FT 1039 77010234 (70005626)</t>
  </si>
  <si>
    <t>Parabrisas Fabricado Dong Feng Electrica (70005627)</t>
  </si>
  <si>
    <t>Pin Sincronismo 3ra Y 4ta FT 1039 770102 (70005628)</t>
  </si>
  <si>
    <t>Mano Acople AIR Linea Emergencia Daf Cf4 (70005629)</t>
  </si>
  <si>
    <t>Rotula Retrack Montacarga ELEC Bt T (70005630)</t>
  </si>
  <si>
    <t>Rodamiento Frontal Tren Fijo FT 1039 770 (70005631)</t>
  </si>
  <si>
    <t>Rodamiento Eje Propulsor FT 1039 7701023 (70005632)</t>
  </si>
  <si>
    <t>Bujes Varios Motor Arranque (70005633)</t>
  </si>
  <si>
    <t>Rotula CIL Central Montacargas ELEC T (70005634)</t>
  </si>
  <si>
    <t>MANG Conexion AIR Emergencia Daf Cf480 F (70005635)</t>
  </si>
  <si>
    <t>Shin Ajuste Porta Horquilla Montacargas (70005636)</t>
  </si>
  <si>
    <t>Tecla Bt Marcha Montacargas ELEC T (70005637)</t>
  </si>
  <si>
    <t>Harness Farola Capot INT Prostar 6116197 (70005638)</t>
  </si>
  <si>
    <t>Acople Recto MANG COMB 1/2" EGL 3533426c (70005639)</t>
  </si>
  <si>
    <t>Tablero De Instrumentos Completo Nkr Rew (70005640)</t>
  </si>
  <si>
    <t>Bombona Suspension Cabina Mack Anthem 21 (70005641)</t>
  </si>
  <si>
    <t>Eje Horquilla 5ta Y Rev FT 1039 77010234 (70005642)</t>
  </si>
  <si>
    <t>Resorte Oscilacion Tipo Cortina Fabricad (70005643)</t>
  </si>
  <si>
    <t>Reten Tapa TRAS CJ FT 1039 7701023556859 (70005644)</t>
  </si>
  <si>
    <t>SOP CJ Velocidades FT 1039 7701023701587 (70005645)</t>
  </si>
  <si>
    <t>BRR Tensora Dif TRAS FRL Cl 120 6666 (70005646)</t>
  </si>
  <si>
    <t>Luz Externa Techo FT 1128 7701023691758 (70005647)</t>
  </si>
  <si>
    <t>Base Caja Bateria Kenworth T800 N06-1094 (70005648)</t>
  </si>
  <si>
    <t>Pin INTno Persiana KW T800 Hwc03010 (70005649)</t>
  </si>
  <si>
    <t>Guaya Neutra FT Minitruck 7705946760096 (70005650)</t>
  </si>
  <si>
    <t>Espaciador Tornillo Multiple Escape MOT (70005651)</t>
  </si>
  <si>
    <t>Motor Arranque Mack Anthem 22398223 (70005652)</t>
  </si>
  <si>
    <t>MANG INTcooler 3 Anillos 4" X 8" Prostar (70005653)</t>
  </si>
  <si>
    <t>Leva Freno TRAS IZQ Prostar 2210n7632 (70005654)</t>
  </si>
  <si>
    <t>RET Eje Propulsor FT 1039 7701023578899 (70005655)</t>
  </si>
  <si>
    <t>Rodamiento Piñon De 5ta Tren Despl FT 10 (70005656)</t>
  </si>
  <si>
    <t>Tuberia De Agua Turbo Chevrolet Frr (70005658)</t>
  </si>
  <si>
    <t>Bujia Motor Renault Duster 7700500155 (70005659)</t>
  </si>
  <si>
    <t>Arandela De Sincronismo 3ra Y 4ta FT 103 (70005660)</t>
  </si>
  <si>
    <t>SOP Paso Lateral Estribo Izq KW T800 N47 (70005661)</t>
  </si>
  <si>
    <t>SOP Paso Lateral Estribo Der KW T800 N47 (70005662)</t>
  </si>
  <si>
    <t>Estribo Paso Baterias KW T800 N82-1001-1 (70005663)</t>
  </si>
  <si>
    <t>Eje Embrague Kenworth T800 106c617 (70005664)</t>
  </si>
  <si>
    <t>Pin Carcasa CJ FT 1129 7705946002783 (70005665)</t>
  </si>
  <si>
    <t>SOP Inf Izq Condensador A/C KW T800 K275 (70005666)</t>
  </si>
  <si>
    <t>Rache Freno TRAS Der FT 1129 77059463283 (70005667)</t>
  </si>
  <si>
    <t>Rache Freno TRAS Izq FT 1129 77059463283 (70005668)</t>
  </si>
  <si>
    <t>MANG De Alta A/C KW T800 Mod 2010 D9031- (70005669)</t>
  </si>
  <si>
    <t>Manija Exterior Puerta Der Kenwort T800 (70005670)</t>
  </si>
  <si>
    <t>Porta Escobillas ARR FT 1039 Ir81051 (70005671)</t>
  </si>
  <si>
    <t>Porta Escobillas ARR Nkr Generico 223-63 (70005672)</t>
  </si>
  <si>
    <t>Banda Freno Trasero Foton 1065 Remachada (70005673)</t>
  </si>
  <si>
    <t>Valvula Presion Alivio Isx12/Isx15/Qsx11 (70005674)</t>
  </si>
  <si>
    <t>Resorte Eje Horquilla CJ FT 1129 7701023 (70005675)</t>
  </si>
  <si>
    <t>Condensador A/C Kenworth Mod 2012 Pa7800 (70005676)</t>
  </si>
  <si>
    <t>Seguro Completo PTA IZQ FT 1030 77059467 (70005677)</t>
  </si>
  <si>
    <t>Automatico AUX ARR 39mt 105m414 (70005679)</t>
  </si>
  <si>
    <t>CIL AUX Clutch FT 1030 7700149039628 (70005680)</t>
  </si>
  <si>
    <t>Exploradora Izq Foton 1128 7705946242585 (70005681)</t>
  </si>
  <si>
    <t>Hoja Resorte TRAS 3ra Nhr Rw 22081/3 220 (70005682)</t>
  </si>
  <si>
    <t>Biela Clutch Kenworth T800 K160-2380 (70005683)</t>
  </si>
  <si>
    <t>Pin Varilla Persiana KW T800 K028-2344 (70005684)</t>
  </si>
  <si>
    <t>Moldura PTA INTna KW T800 S60-1278-100 (70005685)</t>
  </si>
  <si>
    <t>SOP INF Persiana Capot KW T800 K046-1845 (70005686)</t>
  </si>
  <si>
    <t>Zapa Tope Muelle Auxiliar Nkr 8972237490 (70005687)</t>
  </si>
  <si>
    <t>Resorte Azul Capot Corto KW T800 K224-86 (70005688)</t>
  </si>
  <si>
    <t>SOP DER Condensador A/C KW T800 K275-651 (70005689)</t>
  </si>
  <si>
    <t>Diferencial Completa Jac Jhr Bb27610080 (70005690)</t>
  </si>
  <si>
    <t>Anillo Ajuste RDA DEL Daf Cf 480 Ftt 126 (70005691)</t>
  </si>
  <si>
    <t>Intermitente De Direccion Rh Daf 1846492 (70005692)</t>
  </si>
  <si>
    <t>Tubo Calefaccion REN Duster 8200134513 (70005693)</t>
  </si>
  <si>
    <t>Termostato MOT REN Duster 8200772985 (70005694)</t>
  </si>
  <si>
    <t>Correa BMB Agua Daf Cf480 8pk L2069mm 20 (70005695)</t>
  </si>
  <si>
    <t>Set Rodillo Rda Del Int Npr Nk 32210 Set (70005696)</t>
  </si>
  <si>
    <t>Carcasa Protectora Espejo DER INT Lt 251 (70005697)</t>
  </si>
  <si>
    <t>Banda De Freno DEL MCK Anthem Remachada (70005698)</t>
  </si>
  <si>
    <t>Campana Freno TRAS Jac 1042 2100320230 (70005699)</t>
  </si>
  <si>
    <t>Chapa PTA IZQ FRL Cl 120 A18-43367-002 (70005700)</t>
  </si>
  <si>
    <t>CAM Freno Del Der FT 1129 7701023310451 (70005701)</t>
  </si>
  <si>
    <t>Sensor Temperatura Escape Isf 3.8 Foton (70005702)</t>
  </si>
  <si>
    <t>Manija INTna PTA Del Izq REN Duster 8267 (70005703)</t>
  </si>
  <si>
    <t>Vidrio Puerta Derecha Daf (70005704)</t>
  </si>
  <si>
    <t>Cubierta Parrilla/Peldaño Frontal Daf Cf (70005705)</t>
  </si>
  <si>
    <t>Shim Camisa Motor Cummins Isx 5298565 (70005706)</t>
  </si>
  <si>
    <t>Guaya CTRL Cambio Jac Jkr Mod 2022 17033 (70005707)</t>
  </si>
  <si>
    <t>Refrigerante MOT MCK Cxu 9854-Mnf5050jug (70005708)</t>
  </si>
  <si>
    <t>Cable Espiral Toyota Prado (70005709)</t>
  </si>
  <si>
    <t>Cableado Motor Mack Mp8/Cxu 23334281 (70005710)</t>
  </si>
  <si>
    <t>Sensor Aire Acondicionado Cabina Inter L (70005711)</t>
  </si>
  <si>
    <t>Grapa Muelle 1/2x2.1/2x (70005712)</t>
  </si>
  <si>
    <t>Relé De Monitoreo De Voltaje Monofásico (70005713)</t>
  </si>
  <si>
    <t>VALV AIR Freno MOT MCK Anthem 1825876 (70005714)</t>
  </si>
  <si>
    <t>Evaporador A/C Kenworth T800 Sr2000012 (70005715)</t>
  </si>
  <si>
    <t>Esquinero Lateral INF Furgon Logo "Cp" P (70005716)</t>
  </si>
  <si>
    <t>Panel Inf Cartera PTA DER EGL 3575509c92 (70005717)</t>
  </si>
  <si>
    <t>Manija INTna PTA Izq FRL Cl 120 A18-6586 (70005718)</t>
  </si>
  <si>
    <t>SENS Presión Diferencial Jac 1042 Euro V (70005719)</t>
  </si>
  <si>
    <t>Portaleva Tras Derecha Eagle 9400 251207 (70005720)</t>
  </si>
  <si>
    <t>Sensor Presion Aceite Daf 2127356 (70005721)</t>
  </si>
  <si>
    <t>Conector Sensor De Posición Cigueñal Nkr (70005722)</t>
  </si>
  <si>
    <t>Sincronizador 4 Y 5 Npr CJ Hierro 897034 (70005723)</t>
  </si>
  <si>
    <t>Fusible 60 Amperios 8972194070 (70005724)</t>
  </si>
  <si>
    <t>Hoja 4ta Muelle Trasero Hino 300 Dutro (70005725)</t>
  </si>
  <si>
    <t>Hoja 3ra Muelle Trasero Hino 300 Dutro (70005726)</t>
  </si>
  <si>
    <t>FILT Antipolen A/C T Prado A-0535c (70005727)</t>
  </si>
  <si>
    <t>SOP Estribo DER Daf Cf 480 Ftt 2035146 (70005728)</t>
  </si>
  <si>
    <t>Buje MUE DEL MCK Anthem 20908841 (70005729)</t>
  </si>
  <si>
    <t>CTRL Comando Luces Hin 500 84112-Ev030 (70005730)</t>
  </si>
  <si>
    <t>Cremallera Elevavidrio Izq Jac 1120 6104 (70005731)</t>
  </si>
  <si>
    <t>Ki Kit Calefacción Eagle 9400 4140513c91 (70005732)</t>
  </si>
  <si>
    <t>Pedal De Freno Con Base Eagle 9400 20050 (70005733)</t>
  </si>
  <si>
    <t>carcasa Inf Retovisor Daf Cf480 Ftt 1644 (70005734)</t>
  </si>
  <si>
    <t>Bocel Exploradora DER Daf Cf 480 Ftt 184 (70005735)</t>
  </si>
  <si>
    <t>Tapa DEP Expansion Jac 1120 1304010d8bd0 (70005736)</t>
  </si>
  <si>
    <t>Tapa Inf FILT COMB Jac Jkr Euro V 110515 (70005737)</t>
  </si>
  <si>
    <t>Termostato A/C Universal 12v Generico 1- (70005738)</t>
  </si>
  <si>
    <t>Tubo De Aceite Sec2 Tensor Nkr Reward 89 (70005739)</t>
  </si>
  <si>
    <t>Arandela Pasador Splinder 131633057 (70005740)</t>
  </si>
  <si>
    <t>Rejilla Aluminio Estribo Inf Der Daf Cf4 (70005741)</t>
  </si>
  <si>
    <t>Tapa Lateral Estribo Inf DER Daf Cf480 1 (70005742)</t>
  </si>
  <si>
    <t>Kit Camisilla Cxu + Anillo Mack 85116162 (70005743)</t>
  </si>
  <si>
    <t>carcasa Bomba Agua Mack Cxu 22195464 (70005744)</t>
  </si>
  <si>
    <t>Disco Embrague Chevrolet Ftr 1876101190 (70005745)</t>
  </si>
  <si>
    <t>BMB Hidraulico DIR HN 500 44310-E0125 (70005746)</t>
  </si>
  <si>
    <t>Empaque Inyector Mack Cxu 276948 (70005747)</t>
  </si>
  <si>
    <t>Kit Completo FILT Urea Daf Cf 480 Ftt 21 (70005748)</t>
  </si>
  <si>
    <t>Empaque Tapa Valvulas Mack Cxu 20538793 (70005749)</t>
  </si>
  <si>
    <t>Pedal Acelerador Hino 300 78010-37040 (70005750)</t>
  </si>
  <si>
    <t>Bomper Izquierdo Mack Anthem 23356090 (70005751)</t>
  </si>
  <si>
    <t>TANQ AUX RAD Con Tapa FT 1129 7701023294 (70005752)</t>
  </si>
  <si>
    <t>Amortiguador TRAS FT 1128 7705946766722 (70005753)</t>
  </si>
  <si>
    <t>Embellecedor Plastico Negro F 5392837011 (70005754)</t>
  </si>
  <si>
    <t>Panel Esquinero IZQ HN 300 Dutro 53802-3 (70005755)</t>
  </si>
  <si>
    <t>Panel Frontal Superior Hino 300 Dutro 55 (70005756)</t>
  </si>
  <si>
    <t>Amortiguador Del FT 1128 7705946767996 (70005757)</t>
  </si>
  <si>
    <t>VALV Moduladora Abs Del Der FT 1128 7705 (70005759)</t>
  </si>
  <si>
    <t>Aro Pin Sincronismo 5ta Y Rev Nkr 898189 (70005760)</t>
  </si>
  <si>
    <t>INTruptor Elevavidrio PTA Der Jac 1042 3 (70005761)</t>
  </si>
  <si>
    <t>Cuña De Sincronismo 5ta Y Rev Nkr 898190 (70005762)</t>
  </si>
  <si>
    <t>Piñon Lo Gran Primera Caja 16918 4303409 (70005763)</t>
  </si>
  <si>
    <t>Manzana De Sincronismo 5ta Y Rev Nkr 897 (70005764)</t>
  </si>
  <si>
    <t>Bombillo Luces INT Lt Mrz Pro Ultra H11 (70005765)</t>
  </si>
  <si>
    <t>MotoVENT Condensador A/C FT 1128 REP (70005766)</t>
  </si>
  <si>
    <t>Separador Engranaje Del Distrbucion Isx (70005767)</t>
  </si>
  <si>
    <t>Racor Tanque Aire 3830946c1 (70005768)</t>
  </si>
  <si>
    <t>Esquinero Frontal Lh HN 500 53814-E0110 (70005769)</t>
  </si>
  <si>
    <t>SENS Velocidad Vehiculo FT Bj5 770594602 (70005770)</t>
  </si>
  <si>
    <t>SENS Presión Luz De Freno INT Lt 2505850 (70005771)</t>
  </si>
  <si>
    <t>Vidrio TRAS CAB FT 1039 7705946173803 (70005772)</t>
  </si>
  <si>
    <t>Caja Direccion Toyota Vxa 1330 (70005773)</t>
  </si>
  <si>
    <t>Bujes Inserto Horquilla 4 Y 5 Npr CJ Hie (70005774)</t>
  </si>
  <si>
    <t>Conector Inyector Motor Nkr Reward (70005775)</t>
  </si>
  <si>
    <t>MOT ARR CH Frr Nuevo 8982452600 (70005776)</t>
  </si>
  <si>
    <t>MMANG A/C Compresor - Conde Baja FT 1128 (70005777)</t>
  </si>
  <si>
    <t>Estribo INF DER Daf Cf480 1952792 (70005778)</t>
  </si>
  <si>
    <t>Cilindro De Elevacion Cabina Daf 2117329 (70005779)</t>
  </si>
  <si>
    <t>MOT Limpiabrisas FT 1128 7700149016438 (70005780)</t>
  </si>
  <si>
    <t>Farola Derecha Mack Anthem 23992218 (70005781)</t>
  </si>
  <si>
    <t>Condensador A/C Foton 1128 7705946759564 (70005782)</t>
  </si>
  <si>
    <t>Arandela Espaciadora Piñon Loco Distri F (70005783)</t>
  </si>
  <si>
    <t>Automático ARR 24v HN 300 Saw-2010 (70005784)</t>
  </si>
  <si>
    <t>Soporte Cardan Kenworth T660 K257-223-6 (70005785)</t>
  </si>
  <si>
    <t>Caucho SOP Izq CAB HN 500 S5220-31520 (70005786)</t>
  </si>
  <si>
    <t>Suavizador Embrague Foton 1039 (70005787)</t>
  </si>
  <si>
    <t>Bateria MOT Red Contra Incendio Duncan 8 (70005788)</t>
  </si>
  <si>
    <t>Transformador De Voltaje Hino 700011041 (70005789)</t>
  </si>
  <si>
    <t>Tapa Radiador Foton 1129 7703304002550 (70005790)</t>
  </si>
  <si>
    <t>Bombillo DIRal T20 Prostar 12v 1 F 17632 (70005791)</t>
  </si>
  <si>
    <t>Selector Marcha CJ Mdrive MCK 2330005270 (70005792)</t>
  </si>
  <si>
    <t>CIL Principal Freno FT Mv5 7705946458597 (70005793)</t>
  </si>
  <si>
    <t>Bisagra PTA TRL Fabricada Fabricado (70005794)</t>
  </si>
  <si>
    <t>Cableado Tapa CJ Mdrive MCK 2330000700 (70005795)</t>
  </si>
  <si>
    <t>Insumos Genericos Mack (70005796)</t>
  </si>
  <si>
    <t>Tapa CJ Baterias KW T800 N22-1025-1 (70005797)</t>
  </si>
  <si>
    <t>SENS Presion Freno Stop INT Lt 4200246c1 (70005798)</t>
  </si>
  <si>
    <t>VALV Freno De Ahogo FT 1065 770594669487 (70005799)</t>
  </si>
  <si>
    <t>BMB Principal Clutch FT 1128 77059469889 (70005800)</t>
  </si>
  <si>
    <t>INTruptor Ignicion FT 1128 7705946944250 (70005801)</t>
  </si>
  <si>
    <t>Booster Embrague Foton 1128 770594624554 (70005802)</t>
  </si>
  <si>
    <t>RAD MOT REN Master Mod 2017 214108535r (70005803)</t>
  </si>
  <si>
    <t>EMP Multiple De Escape A Turbo Frr 89804 (70005804)</t>
  </si>
  <si>
    <t>Panel Frontal CAB Jac Jkr 1042 5301100ld (70005805)</t>
  </si>
  <si>
    <t>MANG Flexible EMB HN 500 Sz940-72219 (70005806)</t>
  </si>
  <si>
    <t>Kit Bomba Agua Mack Mp8 21103569 (70005807)</t>
  </si>
  <si>
    <t>SOP Bomper IZQ HN 500 52082-E0010 (70005808)</t>
  </si>
  <si>
    <t>Bomper Frontal Hino 500 52101-E0c90 (70005809)</t>
  </si>
  <si>
    <t>Ajustador Freno TRAS IZQ NS Urvan 44201 (70005810)</t>
  </si>
  <si>
    <t>Conjunto Perno RDA Tras FT 1065 77059466 (70005811)</t>
  </si>
  <si>
    <t>Conector SENS De Presión A/C INT Lt 2514 (70005812)</t>
  </si>
  <si>
    <t>Porta Escobilla Arranque Hino 500 223-25 (70005813)</t>
  </si>
  <si>
    <t>Inducido MOT ARR HN 500 Ar0355-502-0016 (70005814)</t>
  </si>
  <si>
    <t>Conjunto Regulador Alternador Npr Con Ba (70005815)</t>
  </si>
  <si>
    <t>Lampara Farola DER HN 500 81110e0671 (70005816)</t>
  </si>
  <si>
    <t>Piñon Eje De Levas CH N200 24518545 (70005817)</t>
  </si>
  <si>
    <t>Tapon Tapa Frontal Inf Cubierta 3688114 (70005818)</t>
  </si>
  <si>
    <t>Juego Conectores Modulo MOT HN 300 Recon (70005819)</t>
  </si>
  <si>
    <t>CJ DIR DFENG ELEC REP (70005820)</t>
  </si>
  <si>
    <t>VALV Presion BMB INY HN Dutropack 04226- (70005821)</t>
  </si>
  <si>
    <t>Gancho Capot Kw T660 S-23780 (70005822)</t>
  </si>
  <si>
    <t>Manija INTna PTA Izq FT Minitruck 770014 (70005823)</t>
  </si>
  <si>
    <t>Convertidor 24v A 12v Daf Cf480 Ftt Otr- (70005824)</t>
  </si>
  <si>
    <t>Valvula Cheque SB 22521 (70005825)</t>
  </si>
  <si>
    <t>CIL Principal Clutch FT 1030 77059469229 (70005826)</t>
  </si>
  <si>
    <t>Bombin Vaso Sedimentador FRR 8981629044 (70005827)</t>
  </si>
  <si>
    <t>Tensor Correa VENT Isx Kw T800 Mod 2012 (70005828)</t>
  </si>
  <si>
    <t>Manija Descansabrazo PTA EGL REP (70005829)</t>
  </si>
  <si>
    <t>Tanque De Aire Foton 1128 7705946732901 (70005830)</t>
  </si>
  <si>
    <t>Cuña De Splinder FT 1065 7701023690461 (70005831)</t>
  </si>
  <si>
    <t>Terminal DIRción IZQ Jac 1042 3003520n (70005832)</t>
  </si>
  <si>
    <t>Correa Ventilador Npr 17420 (70005833)</t>
  </si>
  <si>
    <t>Terminal DIRción DER Jac 1042 3003510n (70005834)</t>
  </si>
  <si>
    <t>Cartera PTA Deslizante Izq FT 5946023535 (70005835)</t>
  </si>
  <si>
    <t>Cartera PTA Deslizante Der FT 5946023542 (70005836)</t>
  </si>
  <si>
    <t>Bobina De Ignicion FT Mv5 7705946023146 (70005837)</t>
  </si>
  <si>
    <t>Manguera Acoplada Freno Nkr Iii Rw (70005838)</t>
  </si>
  <si>
    <t>carcasa Filtro Aire Ftr 8983888890 (70005839)</t>
  </si>
  <si>
    <t>Modulo CTRL MOT Ecu HN 300 89661-3755 (70005840)</t>
  </si>
  <si>
    <t>Bastidor Sistema Neumatico New 90516740 (70005841)</t>
  </si>
  <si>
    <t>Bastidor Sistema Neumatico Neway Iz 9051 (70005842)</t>
  </si>
  <si>
    <t>Piñon Cigueñal Foton 1039 7705946395410 (70005843)</t>
  </si>
  <si>
    <t>Rodamiento Piñon Loco Distribucion FT 10 (70005844)</t>
  </si>
  <si>
    <t>Piñon Arbol De Levas FT 1039 77010234936 (70005845)</t>
  </si>
  <si>
    <t>Piñon Loco Sup. Distribucion Foton 1039 (70005846)</t>
  </si>
  <si>
    <t>Piñon Loco Inf Distribucion FT 1039 7701 (70005847)</t>
  </si>
  <si>
    <t>Rodamiento De Agujas 4ta Y 5t 8972531120 (70005848)</t>
  </si>
  <si>
    <t>Reflectivo TRAS DER FT Mv5 7705946041294 (70005849)</t>
  </si>
  <si>
    <t>Pasamanos IZQ CAB INT Lt 3840988c4 (70005850)</t>
  </si>
  <si>
    <t>RET Speed FT 1039 47x84x10 1023087148 (70005851)</t>
  </si>
  <si>
    <t>Juego Bandas Freno REN Duster 7701210109 (70005852)</t>
  </si>
  <si>
    <t>SOP Tensor Correa VENT Isx Kw T800 36811 (70005853)</t>
  </si>
  <si>
    <t>Inducudo Arranque Nkr Ref 618207 (70005854)</t>
  </si>
  <si>
    <t>Rodamiento Splinder FT 1065 770102354906 (70005855)</t>
  </si>
  <si>
    <t>Buje Splinder Foton 1065 7701023695794 (70005856)</t>
  </si>
  <si>
    <t>Lamina Fabricada Luz TRAS Furgon Generic (70005857)</t>
  </si>
  <si>
    <t>Pasador Splinder FT 1065 7701023700214 (70005858)</t>
  </si>
  <si>
    <t>Turbo Cargador Motor Cummins Isf 3.8 Rep (70005859)</t>
  </si>
  <si>
    <t>Plato Freno De Mano HN Dutropack 46503-3 (70005860)</t>
  </si>
  <si>
    <t>Mecanismo Seguro PTA Izq FT 11 149030199 (70005861)</t>
  </si>
  <si>
    <t>Resorte Superior Ajustador Freno Tras Ni (70005862)</t>
  </si>
  <si>
    <t>Tuerca Exterior Ajuste Bocin Tras 1128 7 (70005863)</t>
  </si>
  <si>
    <t>Balancin Escape MOT HN Dutropack 13811-E (70005864)</t>
  </si>
  <si>
    <t>Balancin Admisión MOT HN Dutropack 13811 (70005865)</t>
  </si>
  <si>
    <t>Modulo CTRL Luces INT Lt 4080940c3 (70005866)</t>
  </si>
  <si>
    <t>Amortiguador ComPTA PTA Tras 5946040037 (70005867)</t>
  </si>
  <si>
    <t>Resorte Actuador Freno De Ahogo FT 1128 (70005868)</t>
  </si>
  <si>
    <t>Juego Escobilla Arranque Nkr Iii Ir1088a (70005869)</t>
  </si>
  <si>
    <t>Buje Guia Frontal Distribucion MOT Isx 3 (70005870)</t>
  </si>
  <si>
    <t>Resorte Pedal EMB FT 1039 Fabricado (70005871)</t>
  </si>
  <si>
    <t>Terminal Axial Hembra DIR FT Bj5 7705946 (70005872)</t>
  </si>
  <si>
    <t>Vaso Racor Trampa MCK Anthem 7005-Rk1116 (70005873)</t>
  </si>
  <si>
    <t>Rache Freno Del IZQ Jac 1120 3501200e834 (70005874)</t>
  </si>
  <si>
    <t>Filtro Tanque Def Mack Anthem 2330005491 (70005875)</t>
  </si>
  <si>
    <t>SENS TEMP Aceite MCK Cxu 2330000287 (70005876)</t>
  </si>
  <si>
    <t>Cremallera Volante Motor Isx 3680913 (70005877)</t>
  </si>
  <si>
    <t>Modulo CTRL DIR FT Mv5 7705946028028 (70005878)</t>
  </si>
  <si>
    <t>Rodamiento De Agujas Piñon Re 8972531140 (70005879)</t>
  </si>
  <si>
    <t>Cabina Nhr Convencional Reman 8975812980 (70005880)</t>
  </si>
  <si>
    <t>Sensor Freno Jac 1042 1635050u1050 (70005881)</t>
  </si>
  <si>
    <t>MANG TANQ Aux RAD FT MV5 5946027144 (70005882)</t>
  </si>
  <si>
    <t>Racor T MANG RAD FT MV5 5946040679 (70005883)</t>
  </si>
  <si>
    <t>MANG Salida RAD FT MV5 5946025515 (70005884)</t>
  </si>
  <si>
    <t>MANG Salida Refrigeracion MOT 5946025591 (70005885)</t>
  </si>
  <si>
    <t>Tensor Correa Ventilador Isx 3691282 (70005886)</t>
  </si>
  <si>
    <t>Sincronizador De 3ra Y 4ta Nk 8970487452 (70005887)</t>
  </si>
  <si>
    <t>Piñon 5ta DeSplazable CJ Fuller 4302381 (70005888)</t>
  </si>
  <si>
    <t>Hoja Resorte Del Nkr 0722934/2s (70005889)</t>
  </si>
  <si>
    <t>Bombillos Varios (70005890)</t>
  </si>
  <si>
    <t>Oring Termostato Npr 8972318480 (70005891)</t>
  </si>
  <si>
    <t>Diafragma VALV Descargue Bajo 245835 Sb (70005892)</t>
  </si>
  <si>
    <t>Ban Banda Del.Tras. Nkr 20104x Remachada (70005893)</t>
  </si>
  <si>
    <t>Varilla Suspens NeumaticaEGL 2022081c91 (70005894)</t>
  </si>
  <si>
    <t>Guaya Acelerador Akat125 (70005895)</t>
  </si>
  <si>
    <t>Chapa Puerta Super Carry 8250085811 (70005896)</t>
  </si>
  <si>
    <t>Retenedor Caja 14718 Eagle K2262 (70005897)</t>
  </si>
  <si>
    <t>Hoja Resorte Tras Npr 5ta 22917/5 (70005898)</t>
  </si>
  <si>
    <t>Hoja Resorte Tras Npr 6ta 22917/6 (70005899)</t>
  </si>
  <si>
    <t>Cabeza De Vaca Caja Eagle S60 23522643 (70005900)</t>
  </si>
  <si>
    <t>Sirena 6 Tonos Nkr Yh4627 (70005901)</t>
  </si>
  <si>
    <t>Grapa Muelle 7/8x5x13 Trailer (70005902)</t>
  </si>
  <si>
    <t>Plumilla Limpiabrisas Nkr 8971374692 (70005903)</t>
  </si>
  <si>
    <t>Soporte Motor Tras KWh 11540 (70005904)</t>
  </si>
  <si>
    <t>Brazo Plumilla Izuierdo Limpi 8971845551 (70005905)</t>
  </si>
  <si>
    <t>Luna Espejo Convexo Hi 4300 S 2505815 C2 (70005906)</t>
  </si>
  <si>
    <t>Rodillo Rda Del Inter Nhr (70005907)</t>
  </si>
  <si>
    <t>Rodillo Rda Del Exter Nhr (70005908)</t>
  </si>
  <si>
    <t>Filtros Varios (70005909)</t>
  </si>
  <si>
    <t>Empaque Multiple Escape Npr 8971464990 (70005910)</t>
  </si>
  <si>
    <t>Empaque Tapa Valvulas Npr 8917056902 (70005911)</t>
  </si>
  <si>
    <t>Brazo Plumilla Der Limpiabris 8971845561 (70005912)</t>
  </si>
  <si>
    <t>Palanca Der Limpiabrisas Nkr 8978551500 (70005913)</t>
  </si>
  <si>
    <t>Cilindro Freno Del Der Npr 8971398200 (70005914)</t>
  </si>
  <si>
    <t>Palanca Izq Limpiabrisas Nkr 8978551530 (70005915)</t>
  </si>
  <si>
    <t>Caucho Zapata Muelle Trailer Tl08032 (70005916)</t>
  </si>
  <si>
    <t>Balancin Fundido Trailer Dite Tl15006 (70005917)</t>
  </si>
  <si>
    <t>Torre Central Trailer Dite Tl20002 (70005918)</t>
  </si>
  <si>
    <t>Chumasera Sin Vena Trailer Dite Tl18024 (70005919)</t>
  </si>
  <si>
    <t>Tapa Caja Bateria Hi-4300 3535374c2 (70005920)</t>
  </si>
  <si>
    <t>Biela Piston Motor Nkr 8980132901 (70005921)</t>
  </si>
  <si>
    <t>Balinera 6204 Zz (70005922)</t>
  </si>
  <si>
    <t>Anillo Standar Nkr 8942478671 (70005923)</t>
  </si>
  <si>
    <t>Bomba Hidraulica Hi Eagle 542013010 (70005924)</t>
  </si>
  <si>
    <t>Pasador Balancin MUE EGL 2674 507203c1 (70005925)</t>
  </si>
  <si>
    <t>Juego Splinder Nkr III Isuzu 5878321830 (70005926)</t>
  </si>
  <si>
    <t>Horquilla Extrabajo CJ 14718 EGL A7011 (70005927)</t>
  </si>
  <si>
    <t>Dam Damper Vibr. Motor Eagle Isx 4101884 (70005928)</t>
  </si>
  <si>
    <t>Retenedor Speed Npr 1096254840 (70005929)</t>
  </si>
  <si>
    <t>CIL Freno Tras Der Npr Con Pu 8973322250 (70005930)</t>
  </si>
  <si>
    <t>Palanca Corta 14715 Eagle Isx40 21236 (70005931)</t>
  </si>
  <si>
    <t>Llave Paso 3/8 X 5/8 Calefaccio 157098fp (70005932)</t>
  </si>
  <si>
    <t>Espejo Retrovisor Externo Nkr 8942625423 (70005933)</t>
  </si>
  <si>
    <t>MANG Siliconada 2 1/2 EGL- En Centimetro (70005934)</t>
  </si>
  <si>
    <t>Relay 4 Pines 70 Amp 12v (70005935)</t>
  </si>
  <si>
    <t>Clip Panel Instrumentos Nhr 8978531705 (70005936)</t>
  </si>
  <si>
    <t>Ducto Central Calefactor Nkr 8972626970 (70005937)</t>
  </si>
  <si>
    <t>Tuerca Fija Esparrago RDA Npr 1094000370 (70005938)</t>
  </si>
  <si>
    <t>Tuerca Esparrago Izq Npr 1423340230 (70005939)</t>
  </si>
  <si>
    <t>CIL Freno Izq Tras Sin Purga 8973322270 (70005940)</t>
  </si>
  <si>
    <t>Casquetes Biela Motor Nhr-Nkr 8973582340 (70005941)</t>
  </si>
  <si>
    <t>Bomba Aceite Nhr-Nkr 8973859840 (70005942)</t>
  </si>
  <si>
    <t>Persiana Capo Eagle 3566927c91 (70005943)</t>
  </si>
  <si>
    <t>Brazo Bomper Inf Der Isx 3508351c1 (70005944)</t>
  </si>
  <si>
    <t>Termostato Bomba Agua Nhr 8944822772 (70005945)</t>
  </si>
  <si>
    <t>Balinera Piñon Loco Distribucion Nhr (70005946)</t>
  </si>
  <si>
    <t>Cuna Rueda Ext Del K-552a Sb (70005947)</t>
  </si>
  <si>
    <t>Buje Barra Estabilizadora Nhr Generico (70005948)</t>
  </si>
  <si>
    <t>Cabeza De Vaca Caja Eagle Fula3713p (70005949)</t>
  </si>
  <si>
    <t>Servo Freno Nkr Nuevo 8971627981 (70005950)</t>
  </si>
  <si>
    <t>Eje Sup Columna Dir Nkr 8972011070 (70005951)</t>
  </si>
  <si>
    <t>Amortiguador Tras Nhr 358025 (70005952)</t>
  </si>
  <si>
    <t>Hoja Soporte Amort Del KWh K324-383 (70005953)</t>
  </si>
  <si>
    <t>Set Rodillo Rda Del INT Hi466-4 Hm212049 (70005954)</t>
  </si>
  <si>
    <t>Caja Dir Hidraulica Nkr Nueva 8973561051 (70005955)</t>
  </si>
  <si>
    <t>Chapeta Rueda Del SB Dstz 1042 (70005956)</t>
  </si>
  <si>
    <t>Chapeta Rueda Del Trailer 213435r2 (70005957)</t>
  </si>
  <si>
    <t>carcasa Columna Direc Nkr 8978683587 (70005958)</t>
  </si>
  <si>
    <t>Cuna Rodillo Trailer Hm-518410 (70005959)</t>
  </si>
  <si>
    <t>Codo Punta Mofle 5" (70005960)</t>
  </si>
  <si>
    <t>Cuna Del Int Rueda Wolskwagen 25522 (70005961)</t>
  </si>
  <si>
    <t>Talco Stop Dir Mz T45 R04-084 R 475-1 (70005962)</t>
  </si>
  <si>
    <t>Talco Lampara Forgon R04075 4-148-13 (70005963)</t>
  </si>
  <si>
    <t>Retenedor Rueda Del KWh B370001a (70005964)</t>
  </si>
  <si>
    <t>Sensor Velocimetro Nhr 8973779200 (70005965)</t>
  </si>
  <si>
    <t>Muelle Del Eagle M2004524c9 (70005966)</t>
  </si>
  <si>
    <t>Tuerca Cacho Rueda Del KWorht 4484837 (70005967)</t>
  </si>
  <si>
    <t>Banda Tras P Banda Tras. Paif. Remachada (70005968)</t>
  </si>
  <si>
    <t>Cojin C Cojin Cond-Ayud R.Master Repardo (70005969)</t>
  </si>
  <si>
    <t>Cuna Rueda Del Hi K 3720 Tim (70005970)</t>
  </si>
  <si>
    <t>Puente Bomper De Eagle 3501125c94 (70005971)</t>
  </si>
  <si>
    <t>Bomper Alumi Base Negra Eagle 3502238c2 (70005972)</t>
  </si>
  <si>
    <t>Manguera Radiador Recta Eagle 503232c1 (70005973)</t>
  </si>
  <si>
    <t>Brazo Bomper Inf Izq Isx 3508350c1 (70005974)</t>
  </si>
  <si>
    <t>Lampara Lateral Furgon Nhr Pequeña (70005975)</t>
  </si>
  <si>
    <t>Conector Rapido Rosca Hembra 1/4" Mangu (70005976)</t>
  </si>
  <si>
    <t>Tuerca Cabrilla Direc Hi 4700 384725c1 (70005977)</t>
  </si>
  <si>
    <t>Encendedor Para Cigarrilos V022001 (70005978)</t>
  </si>
  <si>
    <t>Codo Conector Turbo SB 214038a 214024 (70005979)</t>
  </si>
  <si>
    <t>Unidad Calefaccion Npr 8971747336 (70005980)</t>
  </si>
  <si>
    <t>Bocel Farola Del Der Npr 8975810880 (70005981)</t>
  </si>
  <si>
    <t>Pivote Brazo Limpiabrisas Izq 8978551471 (70005982)</t>
  </si>
  <si>
    <t>Empaque Bomba Agua Npr (70005983)</t>
  </si>
  <si>
    <t>Codo Mofle Eagle 5" (70005984)</t>
  </si>
  <si>
    <t>Pivote Brazo Limpiabrisas Der 8978551482 (70005985)</t>
  </si>
  <si>
    <t>Cuna Rodillo Suspens Hi Hm 212011 (70005986)</t>
  </si>
  <si>
    <t>Motor Calefaccion Npr 8972881670 (70005987)</t>
  </si>
  <si>
    <t>Codo Mofle Eagle Recto 5" (70005988)</t>
  </si>
  <si>
    <t>Oring Conector Deus Hi 4700 1824908c1 (70005989)</t>
  </si>
  <si>
    <t>CIL Freno Del Sin Purga Npr 8970220300 (70005990)</t>
  </si>
  <si>
    <t>Stop Completo Akt Carguero B19201001 (70005991)</t>
  </si>
  <si>
    <t>Retenedor Speed 41x8 Nhr 8944080840 (70005992)</t>
  </si>
  <si>
    <t>Tuerca Speed 41x8 Nhr (70005993)</t>
  </si>
  <si>
    <t>Rodillo Speed Ext 41x8 Nhr 9000930780 (70005994)</t>
  </si>
  <si>
    <t>Rodillo Speed 41x8 Nhr 0203000b (70005995)</t>
  </si>
  <si>
    <t>Cuna Ext Rueda Tras SB 572 Sb (70005996)</t>
  </si>
  <si>
    <t>Lente Guia Bomper KWh B1103a (70005997)</t>
  </si>
  <si>
    <t>Cuna Int Rueda Del SB 6420 Sb (70005998)</t>
  </si>
  <si>
    <t>Cilindro Con Llave Pta Nhr-Npr Cp-112 (70005999)</t>
  </si>
  <si>
    <t>Cuna Int Rueda Tras 592-A (70006000)</t>
  </si>
  <si>
    <t>Fri Feb 01 6307 00:00:00 GMT-0500 (hora (70006001)</t>
  </si>
  <si>
    <t>Reflectivo Amarillo Der Nhr N 8978550094 (70006002)</t>
  </si>
  <si>
    <t>Amortiguador Del Kw Mod 2013 8507 385305 (70006003)</t>
  </si>
  <si>
    <t>Pasador Central 1/2 X 12" (70006004)</t>
  </si>
  <si>
    <t>Cacho Direccion Derecho Nkr M2010 (70006005)</t>
  </si>
  <si>
    <t>Conector Rapido Rosca Macho 1 1/4" Rosca (70006006)</t>
  </si>
  <si>
    <t>Lampara Dire Tras Der 3w180 B06201160 (70006007)</t>
  </si>
  <si>
    <t>Rejilla Frontal A/C Kw S45-1023 (70006008)</t>
  </si>
  <si>
    <t>Kit Reparticion MOT HY H100 Porter (70006009)</t>
  </si>
  <si>
    <t>Tapa Palanca Cambios EGL Fulk2973 K1630 (70006010)</t>
  </si>
  <si>
    <t>Cilindro Freno Del Der Nhr 8941281620 (70006011)</t>
  </si>
  <si>
    <t>Retenedor Eje Tras Int Nhr 5096250920 (70006012)</t>
  </si>
  <si>
    <t>Retenedor Rda Tras Ext Nhr 9097240221 (70006013)</t>
  </si>
  <si>
    <t>Persiana Del Nhr 8978685803 (70006014)</t>
  </si>
  <si>
    <t>Vaso Sedimetador COMB Nhr 8973166300 (70006015)</t>
  </si>
  <si>
    <t>Hoja Resorte Del Nkr-Npr 0722934/5 (70006016)</t>
  </si>
  <si>
    <t>Pasador SOP Amortiguador Kw 3000100562 (70006017)</t>
  </si>
  <si>
    <t>Bomper Del Nhr 8975826310 (70006018)</t>
  </si>
  <si>
    <t>Abrazadera Cremallera 8 (70006019)</t>
  </si>
  <si>
    <t>Lampara Principal Izq Nhr 8978550484 (70006020)</t>
  </si>
  <si>
    <t>Piñon Pata Trailer Inca Xd-V06606 (70006021)</t>
  </si>
  <si>
    <t>Piñon Pata Trailer Inca Xd-V06603 (70006022)</t>
  </si>
  <si>
    <t>Terminal BRR Transversal Izq E3hz3a131a (70006023)</t>
  </si>
  <si>
    <t>Oring Tapa Frontal Npr 8970287481 (70006024)</t>
  </si>
  <si>
    <t>Oring Tapa Del Reparticion Np 9095613180 (70006025)</t>
  </si>
  <si>
    <t>Boton Valvula Seguridad Amarillo 248433 (70006026)</t>
  </si>
  <si>
    <t>Set Rodillo Trailer 414 218248/10 (70006027)</t>
  </si>
  <si>
    <t>Boton Valvula Seguridad Rojo 4175 (70006028)</t>
  </si>
  <si>
    <t>Reata Cinturon Seguridad De 5 Cms (70006029)</t>
  </si>
  <si>
    <t>Empaquet Valvula Mono-Extra SB N14 K2054 (70006030)</t>
  </si>
  <si>
    <t>Rodillo Agujas Alternador SB N14 Sch1413 (70006031)</t>
  </si>
  <si>
    <t>Varilla Medidora Aceite Hi466 1820396c3 (70006032)</t>
  </si>
  <si>
    <t>Medidor De COMB Nhr-Nkr Isuzu 94316190 (70006033)</t>
  </si>
  <si>
    <t>Bomba Agua Motor Nhr 8971050123 (70006034)</t>
  </si>
  <si>
    <t>Terminal Control Cambios Nhr 1097601181 (70006035)</t>
  </si>
  <si>
    <t>Gancho Tensor Capo KWh L56 0001 (70006036)</t>
  </si>
  <si>
    <t>RET Sin Fin CJ DIRc Npr Nkr 8941180910 (70006037)</t>
  </si>
  <si>
    <t>Bocel Farola KWh 320483 (70006038)</t>
  </si>
  <si>
    <t>Sensor Temperatura Agua Npr 8971703270 (70006039)</t>
  </si>
  <si>
    <t>Unidad Farola Con carcasa KWh 9k2568802 (70006040)</t>
  </si>
  <si>
    <t>Amortiguador Del Hi4300 3533357c1 (70006041)</t>
  </si>
  <si>
    <t>Manija Ext Pta Manija Exterior Pta S. C. (70006042)</t>
  </si>
  <si>
    <t>Brazo Plumilla Limpiabrisas SB 628060007 (70006043)</t>
  </si>
  <si>
    <t>Tobera Inyector Npr 1050173250 (70006044)</t>
  </si>
  <si>
    <t>Grapa MUE Del 9/16C2 1/2x6 Nk 9/16x21/2x (70006045)</t>
  </si>
  <si>
    <t>Tope Montaje Cabina Nkr 8970951481 (70006046)</t>
  </si>
  <si>
    <t>Terminal BRR Transversal Der E3hz3a130a (70006047)</t>
  </si>
  <si>
    <t>Rodamiento Eje Tras Volswaguen 362a/368a (70006048)</t>
  </si>
  <si>
    <t>Oring Base Enfriador Aceite Gran 21254r1 (70006049)</t>
  </si>
  <si>
    <t>Disco Embrague Volkswagen 8 5 333006811 (70006050)</t>
  </si>
  <si>
    <t>Manguera Hidraulica R-5 De 5/16" (70006051)</t>
  </si>
  <si>
    <t>Prensa Embrague Volkswagen 8 5 133001012 (70006052)</t>
  </si>
  <si>
    <t>Gancho Tapa Caja Bateria Eagle 359074c1 (70006053)</t>
  </si>
  <si>
    <t>Grapa Grapa Muelle Del. 9/16x2.3/4x5 Npr (70006054)</t>
  </si>
  <si>
    <t>Rodillo Tras Externo Npr 28680 (70006055)</t>
  </si>
  <si>
    <t>carcasa FILTm AIR MOT Nhr- Nk 8970620531 (70006056)</t>
  </si>
  <si>
    <t>Amortiguador Del Npr 8972536170 (70006057)</t>
  </si>
  <si>
    <t>Caucho Suspens Neway Eagle S 60 90008175 (70006058)</t>
  </si>
  <si>
    <t>Empaque Media Caja Fuller Eagle Ful14335 (70006059)</t>
  </si>
  <si>
    <t>Empaque Monoshift Caja Hi4700 Ful4302246 (70006060)</t>
  </si>
  <si>
    <t>Panel Frontal Cabina Npr 8978592563 (70006061)</t>
  </si>
  <si>
    <t>Silenciador Mofle Nhr (70006062)</t>
  </si>
  <si>
    <t>Filtro Secador Aire Acondicionado Inter (70006063)</t>
  </si>
  <si>
    <t>Cojin Cond-Ayudante Npr Repardo (70006064)</t>
  </si>
  <si>
    <t>Retenedor Speed Del Eagle 2502762c1 (70006065)</t>
  </si>
  <si>
    <t>Retenedor Speed Tras Eagle 2502764c1 (70006066)</t>
  </si>
  <si>
    <t>Bocel Persiana KWh K212-189 (70006067)</t>
  </si>
  <si>
    <t>Barra Direc Corta Nhr 8972225020 (70006068)</t>
  </si>
  <si>
    <t>Caucho Pedal S Car Caucho Pedal S. Carry (70006069)</t>
  </si>
  <si>
    <t>Bronce Diferencial Hi 466 Mjass100 (70006070)</t>
  </si>
  <si>
    <t>Fusible Rojo 50 Amp Nkr III 8944686630 (70006071)</t>
  </si>
  <si>
    <t>Relay Motor Arranque Nkr III 8971739510 (70006072)</t>
  </si>
  <si>
    <t>Tapa Fusibles Nkr III 8970631521 (70006073)</t>
  </si>
  <si>
    <t>Fusible Amarillo 60amp Nkr II 8943883031 (70006074)</t>
  </si>
  <si>
    <t>Buje Muelle Npr Rb-414 (70006075)</t>
  </si>
  <si>
    <t>Empaque Culata Npr 8973494900 (70006076)</t>
  </si>
  <si>
    <t>Cerradura Chapa Tras S Carry 8251085500 (70006077)</t>
  </si>
  <si>
    <t>Zapa MUE Tras Parte Del Izq E Hd50181004 (70006078)</t>
  </si>
  <si>
    <t>Retenedor Rueda Trasera Ftr 1096253500 (70006079)</t>
  </si>
  <si>
    <t>Perno Rueda Trasera Npr Izq. (70006080)</t>
  </si>
  <si>
    <t>Plato Sincronizador CJ 14915 SB N1 20323 (70006081)</t>
  </si>
  <si>
    <t>Switch CTRL Luz Tablero EGL 2029843c3 (70006082)</t>
  </si>
  <si>
    <t>Corbatin Barra Tensora Eagle 44695 Hi E (70006083)</t>
  </si>
  <si>
    <t>Juego Pastas Freno Motofurgon 3w180 (70006084)</t>
  </si>
  <si>
    <t>Motor Arranque Nkr Nhr Turbo 8970429972 (70006085)</t>
  </si>
  <si>
    <t>Tapa Tanque Acpm Npr-Nkr 8970956862 (70006086)</t>
  </si>
  <si>
    <t>Complemento Soporte Motor Tras Kw 11541 (70006087)</t>
  </si>
  <si>
    <t>Bicel Direcal Der Int Eagle 2505371c1 (70006088)</t>
  </si>
  <si>
    <t>Cuna Splinder Nkr (70006089)</t>
  </si>
  <si>
    <t>Bateria Mack 42650m N200 (70006090)</t>
  </si>
  <si>
    <t>Brazo DIR Npr Isuzu 897170160 8972225080 (70006091)</t>
  </si>
  <si>
    <t>Unidad Farola Pqueña 3177001 K256-880-2 (70006092)</t>
  </si>
  <si>
    <t>RET RDA Tras VW 2re501317p (70006093)</t>
  </si>
  <si>
    <t>Aro Farola Sellada KWh 3-2048-3 (70006094)</t>
  </si>
  <si>
    <t>Conector Luces 4 Sal Tc-46 (70006095)</t>
  </si>
  <si>
    <t>Conector Luces 6 Salidas Polla C/12600 (70006096)</t>
  </si>
  <si>
    <t>Conector Luces Hembra 11720 (70006097)</t>
  </si>
  <si>
    <t>Clip Cojin Asiento Pasajero N 8942799770 (70006098)</t>
  </si>
  <si>
    <t>Retenedor Rueda Tras Nhr 57x72x10 (70006099)</t>
  </si>
  <si>
    <t>Retenedor Rueda Tras Nhr 40x60x10 (70006100)</t>
  </si>
  <si>
    <t>Conector Luces Macho 11702 (70006101)</t>
  </si>
  <si>
    <t>Unidad Sellada Eagle 4411 (70006102)</t>
  </si>
  <si>
    <t>Grapa Muelle Trailer 7/8x5x7 (70006103)</t>
  </si>
  <si>
    <t>Caucho Soporte Radiador Fabricado (70006104)</t>
  </si>
  <si>
    <t>Amortiguador Del Paifander 543023w485 (70006105)</t>
  </si>
  <si>
    <t>Pin Tras Salida Caja 14915 SB N14 16763 (70006107)</t>
  </si>
  <si>
    <t>Balinera Manzana VENT Hi Koyo 3564a1cs31 (70006108)</t>
  </si>
  <si>
    <t>Piñon Limpiabrisas Hi Fabricado (70006109)</t>
  </si>
  <si>
    <t>Valvula Doble Boton Raparada N14 (70006110)</t>
  </si>
  <si>
    <t>Valvula Reguladora Caja SB N14 A4740-1 (70006111)</t>
  </si>
  <si>
    <t>Soporte Eje Leva Trailer Coa001302 (70006112)</t>
  </si>
  <si>
    <t>Tapa Deposito Radiador Eagle 6 Psi (70006113)</t>
  </si>
  <si>
    <t>Motor Arranque Montacarga Rep (70006114)</t>
  </si>
  <si>
    <t>Acoplamiento Ensamble Quinta RDA 5 Rueda (70006115)</t>
  </si>
  <si>
    <t>Hoja Resorte Tras Eagle T800/2v (70006116)</t>
  </si>
  <si>
    <t>Switch Direcal S Carry 3740083223 (70006117)</t>
  </si>
  <si>
    <t>Varilla Medidora Aceite Npr 8970944602 (70006118)</t>
  </si>
  <si>
    <t>Pasador Balancin Trailer H-830 (70006119)</t>
  </si>
  <si>
    <t>Kit EMB Con Turbo Nhr 521 Isuzu 95622588 (70006120)</t>
  </si>
  <si>
    <t>Barra Direc Eagle 3500966c91 (70006121)</t>
  </si>
  <si>
    <t>Capo Eagle 3521969c91 (70006122)</t>
  </si>
  <si>
    <t>Enfocador Radiador Eagle 3501656c2 (70006123)</t>
  </si>
  <si>
    <t>Moldura Limpiabrisas Npr 8978579801 (70006124)</t>
  </si>
  <si>
    <t>Complemento SOP MOT Chevrolet 12005-3208 (70006125)</t>
  </si>
  <si>
    <t>Kit Piston Moto Fr100 (70006126)</t>
  </si>
  <si>
    <t>Emblema Persiana Eagle 3506645c3 (70006127)</t>
  </si>
  <si>
    <t>Tapa Tanque Expansion Npr 8972177960 (70006128)</t>
  </si>
  <si>
    <t>Placa Riel De 3/16 X 3mts Trailer (70006129)</t>
  </si>
  <si>
    <t>Rodillo Caja Fuller 14718b 4303031 (70006130)</t>
  </si>
  <si>
    <t>Deposito Aux Radiador Eagle 1675831c1 (70006131)</t>
  </si>
  <si>
    <t>Eje Balancines Hyundai H100 Porter (70006132)</t>
  </si>
  <si>
    <t>Sello Bobina Freno MO Cummins Sb-3871218 (70006133)</t>
  </si>
  <si>
    <t>Buje BRR Torsion T 562000000000000000000 (70006134)</t>
  </si>
  <si>
    <t>Cable Encauchetado 3 X 14 (70006135)</t>
  </si>
  <si>
    <t>Plumilla Limpiabrisas Hi4300 22" (70006136)</t>
  </si>
  <si>
    <t>Cremallera Elevavidrio Izq VW 2vc837501p (70006137)</t>
  </si>
  <si>
    <t>Kit Embrague Nhr Sin Turbo 95622584 (70006138)</t>
  </si>
  <si>
    <t>Switch Presion Valvula Hi 2021313c1 (70006139)</t>
  </si>
  <si>
    <t>Empaque Turbo Foton 7701023331548 (70006140)</t>
  </si>
  <si>
    <t>Balinera Arranque 608 Rs 608rs (70006141)</t>
  </si>
  <si>
    <t>Pasador Balancin DEL En Rosca EGL (70006142)</t>
  </si>
  <si>
    <t>Manguera Bomba Agua Motor Nhr 8970374640 (70006143)</t>
  </si>
  <si>
    <t>Empaque Parabrisas Sb N14 (70006144)</t>
  </si>
  <si>
    <t>Cable Du Cable Duplex Para Vehiculo N.20 (70006145)</t>
  </si>
  <si>
    <t>Paral Costado Furgon C-14 (70006146)</t>
  </si>
  <si>
    <t>Motor Corte Combustible Npr 8972550730 (70006147)</t>
  </si>
  <si>
    <t>Emblema Logo Chevrolet Del Nhr 95610098 (70006149)</t>
  </si>
  <si>
    <t>Brazo Plumilla Der Npr 8971194901 (70006150)</t>
  </si>
  <si>
    <t>Brazo Plumilla Izq Npr 8971194881 (70006151)</t>
  </si>
  <si>
    <t>Asiento Valvula Admision Npr 8943941270 (70006152)</t>
  </si>
  <si>
    <t>RET Aceite RDA Tras Npr Isuzu 8943363172 (70006153)</t>
  </si>
  <si>
    <t>Cinturon Seguridad Retractil Nal 05c040 (70006154)</t>
  </si>
  <si>
    <t>Campana Del Nhr 1295 Chevrolet 129506 Lr (70006155)</t>
  </si>
  <si>
    <t>Banda Freno Del 4719d Kw Remac (70006156)</t>
  </si>
  <si>
    <t>Guias Valvulas Npr 8943965980 (70006157)</t>
  </si>
  <si>
    <t>Campana 10 H 24cms Trailer 10 Hue 24c (70006158)</t>
  </si>
  <si>
    <t>Pera De Pera De Reversahino 84210-37020 (70006159)</t>
  </si>
  <si>
    <t>Empaque Exosto Hi 466 E111005101 (70006160)</t>
  </si>
  <si>
    <t>Bomba Principal Freno SB N14 286171 (70006161)</t>
  </si>
  <si>
    <t>Vidrio Puerta Der Nhr A163bv (70006162)</t>
  </si>
  <si>
    <t>Tapon Valvula Motor Npr 8943960132 (70006163)</t>
  </si>
  <si>
    <t>Damper Vibracion Hi4700 1820855c92 (70006164)</t>
  </si>
  <si>
    <t>Kit Sproket Akt (70006165)</t>
  </si>
  <si>
    <t>Camara Freno Con Horquilla Trailer T-30 (70006166)</t>
  </si>
  <si>
    <t>Retenedor Caja Direc SBn14 Hs2908 (70006167)</t>
  </si>
  <si>
    <t>Campana Del Nhr 97034798 (70006168)</t>
  </si>
  <si>
    <t>Grapa Furgon 3/4 X 3 X 15" (70006169)</t>
  </si>
  <si>
    <t>Bombillo Cabina Eagle Ref17314 1004 (70006170)</t>
  </si>
  <si>
    <t>Motor Elevavidrio Van N200 Ok57767350 (70006172)</t>
  </si>
  <si>
    <t>Balinera 6004 Zz (70006173)</t>
  </si>
  <si>
    <t>Plumilla Limpiabrisas NS Paif B8890u52xb (70006174)</t>
  </si>
  <si>
    <t>Muelle Tras Aux Npr 22917 (70006175)</t>
  </si>
  <si>
    <t>Speed Y Corona Diferencial Nh 8972112380 (70006176)</t>
  </si>
  <si>
    <t>Campana 6 Huecos Trailer 308-1 (70006177)</t>
  </si>
  <si>
    <t>Cable Duplex 2 X 22 (70006178)</t>
  </si>
  <si>
    <t>Freno Sincronismo Caja Fuller K1946 (70006179)</t>
  </si>
  <si>
    <t>Guaya Apagado Npr 11161 (70006180)</t>
  </si>
  <si>
    <t>Conector Solenoide Bomba Combustible Nkr (70006181)</t>
  </si>
  <si>
    <t>Diafragma Freno Ahogo Nhr (70006182)</t>
  </si>
  <si>
    <t>Stop Trasero Nhr (70006183)</t>
  </si>
  <si>
    <t>Retenedor Rueda Tras Npr 8943363161 (70006184)</t>
  </si>
  <si>
    <t>Lente Tablero Instrumentos Np 8971854520 (70006185)</t>
  </si>
  <si>
    <t>Perfil Techo Furgon Nkr-Nhr (70006187)</t>
  </si>
  <si>
    <t>Automatico ARR Super Carry 3122051a10 (70006188)</t>
  </si>
  <si>
    <t>Arco Techo Furgon C-14 (70006189)</t>
  </si>
  <si>
    <t>Jgo Bobinas De Campo M ARR 42mt 59136 (70006190)</t>
  </si>
  <si>
    <t>Juego Bandas Motofurgon 3w180 (70006191)</t>
  </si>
  <si>
    <t>Tuerca Suspens EGL/ Internatio 2022653c1 (70006192)</t>
  </si>
  <si>
    <t>Empaquetadura Motor Npr Isuzu 5878139563 (70006193)</t>
  </si>
  <si>
    <t>Camara Freno Aire Seguridad 3030 286366 (70006194)</t>
  </si>
  <si>
    <t>Motor Limpiabrisas S Carry 46 (70006195)</t>
  </si>
  <si>
    <t>Valvula Admision Culata Npr 8971713980 (70006196)</t>
  </si>
  <si>
    <t>Valvula Escape Culata Npr 8971713990 (70006197)</t>
  </si>
  <si>
    <t>Buje Base Palanca Cambios Gra 8971740570 (70006198)</t>
  </si>
  <si>
    <t>Tapa Termostato Nhr-Npr 8972041990 (70006199)</t>
  </si>
  <si>
    <t>Motor Arranque Npr Isuzu 8972077862 (70006200)</t>
  </si>
  <si>
    <t>Empaque Mofle Motos Varias S147711730 (70006201)</t>
  </si>
  <si>
    <t>Lampara DIRal Frontal Der Vols Tac953041 (70006202)</t>
  </si>
  <si>
    <t>Balancin Largo Trailer 017 (70006203)</t>
  </si>
  <si>
    <t>Grapa Furgon Npr De 5/8x3x14 (70006204)</t>
  </si>
  <si>
    <t>Espejo Convexo Aux Internatio 2589242c1 (70006205)</t>
  </si>
  <si>
    <t>Culata Motor Npr Isuzu 8973583680 (70006206)</t>
  </si>
  <si>
    <t>Tapa Bocin RDA Del EGL Internatio Cr1630 (70006207)</t>
  </si>
  <si>
    <t>Manija Int Pta Der Npr Rmh28fanam (70006208)</t>
  </si>
  <si>
    <t>Manija Int Pta Izq Npr Rmh29fanam (70006209)</t>
  </si>
  <si>
    <t>Fusible Enlace 50 Amperios Npr (70006210)</t>
  </si>
  <si>
    <t>Abrazadera Cremallera 6 (70006211)</t>
  </si>
  <si>
    <t>Bujia Encendido Motor Nissan 2240153j06 (70006212)</t>
  </si>
  <si>
    <t>Juego Guia Acero Bomper KWh 99027 (70006213)</t>
  </si>
  <si>
    <t>Balinera 6301-2rs (70006214)</t>
  </si>
  <si>
    <t>Terminal Electrica Plana Faston (70006215)</t>
  </si>
  <si>
    <t>Buje Tensor Pequeño Inca (70006216)</t>
  </si>
  <si>
    <t>Buje Trapecio Embrague 12815 Sb C (70006217)</t>
  </si>
  <si>
    <t>Soporte Caucho Cabina KWh K066176 (70006218)</t>
  </si>
  <si>
    <t>Protector Guardabarro D Isuzu 8970487283 (70006219)</t>
  </si>
  <si>
    <t>Cigueñal Cigueñal Motor S. Carry Repara (70006220)</t>
  </si>
  <si>
    <t>Sello VALV Oil Dt 4 Internatio 1820907c2 (70006221)</t>
  </si>
  <si>
    <t>Correa Alternador Agrale 8pk 1285 (70006222)</t>
  </si>
  <si>
    <t>Pito 24 V Pito 24 Vol. 3ba002768431 Hell (70006223)</t>
  </si>
  <si>
    <t>G Grapa Muelle Tras 3/4 X 2.3/4 X 13 Npr (70006224)</t>
  </si>
  <si>
    <t>Oring Eje Divisor Diferen De Eaton 78931 (70006225)</t>
  </si>
  <si>
    <t>Bomba Agua Hi 466 Nueva Internatio 06c93 (70006226)</t>
  </si>
  <si>
    <t>Retenedor Alternador Npr-Nhr 8941565890 (70006227)</t>
  </si>
  <si>
    <t>Kit Bujes Palanca Cambios S B K Sb 63274 (70006228)</t>
  </si>
  <si>
    <t>Bateria Paifander D27f 25650t (70006229)</t>
  </si>
  <si>
    <t>Percha Central Trailer 43" (70006230)</t>
  </si>
  <si>
    <t>Caucho Buje Tensor Radiador Fabricado (70006231)</t>
  </si>
  <si>
    <t>Abrazadera Fijacion 1,3/4,1/2,3/8 Varias (70006232)</t>
  </si>
  <si>
    <t>Caucho Pedal Freno-Clucht Npr-Nkr 2117 (70006233)</t>
  </si>
  <si>
    <t>Abrazadera Espejo Aluminio 1" (70006234)</t>
  </si>
  <si>
    <t>Tope MUE Tras Suspens Npr-Nkr 8941185104 (70006235)</t>
  </si>
  <si>
    <t>Caucho Mano Trailer Pai 248579 (70006236)</t>
  </si>
  <si>
    <t>Jgo Bobinas De Campo M ARR Hi 4 10468110 (70006237)</t>
  </si>
  <si>
    <t>Tapa Cabrilla Columna DIR Npr 8970985260 (70006238)</t>
  </si>
  <si>
    <t>Empaque Carter Npr Grueso 8971461482 (70006239)</t>
  </si>
  <si>
    <t>Racor 3/8x1/4 547 (70006240)</t>
  </si>
  <si>
    <t>Guia Valvula Motor S Carry 1111582000 (70006241)</t>
  </si>
  <si>
    <t>Balinera 6201 2rsC3 Koyo (70006242)</t>
  </si>
  <si>
    <t>Perno Rueda Del-Tras Int Eagle 2010358c1 (70006243)</t>
  </si>
  <si>
    <t>Abrazadera Turbo M Internatio 2015699 C1 (70006244)</t>
  </si>
  <si>
    <t>Buje Leva Estriado Trailer (70006245)</t>
  </si>
  <si>
    <t>Buje Leva Freno SB N14 E536 (70006246)</t>
  </si>
  <si>
    <t>Electrovalvula Fanclutch SB N14 993281 (70006247)</t>
  </si>
  <si>
    <t>Switch Luces Eagle Internatio 2007296c1 (70006248)</t>
  </si>
  <si>
    <t>Valvula Perilla Doble SB N14 Eaton A6915 (70006249)</t>
  </si>
  <si>
    <t>Pasador Biela Npr 8943965891 (70006250)</t>
  </si>
  <si>
    <t>Buje Biela Npr 1122510360 (70006251)</t>
  </si>
  <si>
    <t>Embolo Motor Arranque Npr Delta Np130 (70006252)</t>
  </si>
  <si>
    <t>Carreta Caja Fuller 14718b 16118 (70006253)</t>
  </si>
  <si>
    <t>Pin Caja Fuller 14718b 4301254 (70006254)</t>
  </si>
  <si>
    <t>Tapa Radiador Npr 15 Psi (70006255)</t>
  </si>
  <si>
    <t>Balinera Volante Npr 8970317410 (70006256)</t>
  </si>
  <si>
    <t>Banda Freno Emergencia Nkr Vulca (70006257)</t>
  </si>
  <si>
    <t>Abrazadera Turbo 4" SB 3067979 (70006258)</t>
  </si>
  <si>
    <t>Buje Central Basti Internatio 2501025 C1 (70006259)</t>
  </si>
  <si>
    <t>Soporte Motor Super Carry 1164085201 (70006260)</t>
  </si>
  <si>
    <t>Stop Tras Der S C 3565085521 (70006261)</t>
  </si>
  <si>
    <t>EMPtadura VALV Seguridad EGL 107217 (70006262)</t>
  </si>
  <si>
    <t>Lampara Direcal Tras Yamaha 3tlh334070 (70006263)</t>
  </si>
  <si>
    <t>Varilla Pin DeSplazable SB N14 4300890 (70006264)</t>
  </si>
  <si>
    <t>Piñon 5ta Corredizo 54 Dientes SB 22025 (70006265)</t>
  </si>
  <si>
    <t>Puerta Del Der Npr 8978928851 (70006266)</t>
  </si>
  <si>
    <t>Arandela Caja Fuller SB N14 4300830 (70006267)</t>
  </si>
  <si>
    <t>Amortiguador ComPTA Tras S C 8180185501 (70006268)</t>
  </si>
  <si>
    <t>Buje Leva Bola Trailer (70006269)</t>
  </si>
  <si>
    <t>Embolo Motor Arranque 42mt 1948522 (70006270)</t>
  </si>
  <si>
    <t>Talco Furgon Npr FRR 0106-018b (70006271)</t>
  </si>
  <si>
    <t>Buje Arranque Pequeño 4284 Hi-Sb (70006272)</t>
  </si>
  <si>
    <t>Buje Balancin Pasador U-X0004 (70006273)</t>
  </si>
  <si>
    <t>Buje Bastidor Lateral SB 3401388l N (70006274)</t>
  </si>
  <si>
    <t>Pin Guaya Control Cambios Npr 04cc01/02 (70006275)</t>
  </si>
  <si>
    <t>Deposito Aux Radiador Npr 8972108440 (70006276)</t>
  </si>
  <si>
    <t>Buje Bronce Principal Tras Tpk (70006277)</t>
  </si>
  <si>
    <t>Aislante Varios Arranque-Alternador (70006278)</t>
  </si>
  <si>
    <t>Tapizado PTA Der Izq Super Carr 95617106 (70006279)</t>
  </si>
  <si>
    <t>Tapa Frontal Bloque Npr 8970748593 (70006280)</t>
  </si>
  <si>
    <t>Hoja Resorte Del Nhr 22934-1 (70006281)</t>
  </si>
  <si>
    <t>Buje Caucho 5 Rueda Nylon Rojo (70006282)</t>
  </si>
  <si>
    <t>Vidrio Puerta Izquierda Mack Mt8 (70006283)</t>
  </si>
  <si>
    <t>Porta Disyuntor De Regleta 201192 (70006284)</t>
  </si>
  <si>
    <t>Racor Union En T Rapida 1/4 X 1/4 X 1/4 (70006285)</t>
  </si>
  <si>
    <t>Tapa Bocin Rueda Del Eagle Kw 1695989c91 (70006286)</t>
  </si>
  <si>
    <t>Hoja Resorte Tras Hi 466 55029/8 (70006287)</t>
  </si>
  <si>
    <t>Felpa Vidrio Puerta Generico Varios (70006288)</t>
  </si>
  <si>
    <t>Resorte Sincronismo EGL N14 Eaton 14897 (70006289)</t>
  </si>
  <si>
    <t>Buje Arranque Grande 4332 Sb (70006290)</t>
  </si>
  <si>
    <t>Felpa Puerta Vidrio Eagle Mts (70006291)</t>
  </si>
  <si>
    <t>Buje Arranque Mediano 4245 S.B. (70006292)</t>
  </si>
  <si>
    <t>Tensor Correa VENT EGL 1687801c91 (70006293)</t>
  </si>
  <si>
    <t>VALV CTRL AIR Suspens EGL N14 Had500rs (70006294)</t>
  </si>
  <si>
    <t>Interruptor Freno Super Carry 3774066010 (70006295)</t>
  </si>
  <si>
    <t>Abrazadera Tornillo T-517 (70006296)</t>
  </si>
  <si>
    <t>Paral Esquinero Furgon Nkr-Nhr (70006297)</t>
  </si>
  <si>
    <t>Capo Renault 7751474717 (70006298)</t>
  </si>
  <si>
    <t>Caucho Amortiguador Nkr Npr (70006299)</t>
  </si>
  <si>
    <t>SENS Nivel Refrigerante EGL 2005190c1 (70006300)</t>
  </si>
  <si>
    <t>Estribo Izq Metalico Mod Viej 8978679691 (70006301)</t>
  </si>
  <si>
    <t>Chapa Puerta Izq Npr-Nhr 8978921981 (70006302)</t>
  </si>
  <si>
    <t>Bisagra Puerta Izq Npr-Nhr 8978520075 (70006303)</t>
  </si>
  <si>
    <t>Amortiguador Del Kwt800 Mod 2005 85001 (70006304)</t>
  </si>
  <si>
    <t>Triodo Alternador SBn14 33si 5270 (70006305)</t>
  </si>
  <si>
    <t>Tapa Deposito Hidraulico Sb N14 (70006306)</t>
  </si>
  <si>
    <t>Piñon DeSplazable Eagle N14 4302393 (70006307)</t>
  </si>
  <si>
    <t>Piñon 2da Eje DeSplazable EGL N1 4302394 (70006308)</t>
  </si>
  <si>
    <t>Varilla CJ DeSplazable EGL N14 4304615 (70006309)</t>
  </si>
  <si>
    <t>Arandela Caja Eagle N14 Zbf4301842 (70006310)</t>
  </si>
  <si>
    <t>Socket Farola Nhr-Npr (70006311)</t>
  </si>
  <si>
    <t>Correa Alternador VENT Nhr-Nkr 22400 (70006312)</t>
  </si>
  <si>
    <t>Rodillo Agujas Alternador Hi Tnd79 (70006313)</t>
  </si>
  <si>
    <t>Control Direcal Npr 8972878900 (70006314)</t>
  </si>
  <si>
    <t>Filtro Combustible Volkswagen 9054115100 (70006315)</t>
  </si>
  <si>
    <t>Bloque Banda Reposicion 4515 Af600 (70006316)</t>
  </si>
  <si>
    <t>Tubo Aceite Bomba Vacio Npr 8972286700 (70006317)</t>
  </si>
  <si>
    <t>Retenedor Eje Cambios Akt200 744246 (70006318)</t>
  </si>
  <si>
    <t>Piñon Salida Caja Moto Akt125 713149 (70006319)</t>
  </si>
  <si>
    <t>Termostato De Baja Npr 8973007891 (70006320)</t>
  </si>
  <si>
    <t>Termostato De Alta Motor Npr 8973007872 (70006321)</t>
  </si>
  <si>
    <t>Hoja Resorte Del Nhr 22940/2 (70006322)</t>
  </si>
  <si>
    <t>Bombillo Gotera Ref 17919 2626189947 (70006323)</t>
  </si>
  <si>
    <t>Kit De Tuercas Eje Trailer 79560 (70006324)</t>
  </si>
  <si>
    <t>Cilindro Freno Del Der Nkr 8970220290 (70006325)</t>
  </si>
  <si>
    <t>Cable Alambre # 14 (70006326)</t>
  </si>
  <si>
    <t>Recibidor Cinturon Seguridad Ref 009065 (70006327)</t>
  </si>
  <si>
    <t>Tornillo SOP Amortiguador KWh K233509 (70006328)</t>
  </si>
  <si>
    <t>Chupa Chupa Cilindro Toyota Delta 1.1/4 (70006329)</t>
  </si>
  <si>
    <t>SOP Puente MOT Izq KW T800 A11-1367 (70006330)</t>
  </si>
  <si>
    <t>Correa Planta Electrica Cummins B5.9 Ref (70006331)</t>
  </si>
  <si>
    <t>Selenoide BMB INY Agrale 1466500720 (70006332)</t>
  </si>
  <si>
    <t>Stop Tras Izq S C Isuzu 3567085521 (70006333)</t>
  </si>
  <si>
    <t>Correa Compresor Lubric Good Year A062gy (70006334)</t>
  </si>
  <si>
    <t>Bajo AIR Der Diferencia SB- Spicer 73507 (70006335)</t>
  </si>
  <si>
    <t>Parabrisas Laminado T800 KWh (70006336)</t>
  </si>
  <si>
    <t>Buje Muelle Tras Del S C 931912032 (70006337)</t>
  </si>
  <si>
    <t>Hoja Resorte Tras Eagle 4ta 59007/4 (70006338)</t>
  </si>
  <si>
    <t>Bomba Agua De Super Carry 1740078821 (70006339)</t>
  </si>
  <si>
    <t>Bujia Motor S Carry 9482001310 (70006340)</t>
  </si>
  <si>
    <t>Vidrio Vidrio Puerta Der. Izq. S.Carrry (70006341)</t>
  </si>
  <si>
    <t>Cable Bateria # 4 En Metros #4 (70006342)</t>
  </si>
  <si>
    <t>Cinturon Tanque Combustible K23140413 (70006343)</t>
  </si>
  <si>
    <t>Silenciador Del Exosto KW M10196 (70006344)</t>
  </si>
  <si>
    <t>Cable Conector Luces 7 Vias V-15212 (70006345)</t>
  </si>
  <si>
    <t>Guaya Clucht Moto Akt 125 H22870kbb9 (70006346)</t>
  </si>
  <si>
    <t>Balinera Sello Metalico 6300zz (70006348)</t>
  </si>
  <si>
    <t>Balinera Arranque 6200 Zz 6200zz (70006349)</t>
  </si>
  <si>
    <t>Zapa Tensor Trailer (70006350)</t>
  </si>
  <si>
    <t>Empaque Tapa Sup Caja SB N14 14918 (70006351)</t>
  </si>
  <si>
    <t>Anillo Piston Npr 8972190540 (70006352)</t>
  </si>
  <si>
    <t>Piston Motor Npr 8972190320 (70006353)</t>
  </si>
  <si>
    <t>Guardapolvo Palanca Cambios Nhr (70006354)</t>
  </si>
  <si>
    <t>Juego Casquetes Biela Npr Ama 8970458000 (70006355)</t>
  </si>
  <si>
    <t>Tapa Llenado Aceite Motor Npr 8941332075 (70006356)</t>
  </si>
  <si>
    <t>Pin Propulsor Caja Fuller 14718b 16980 (70006357)</t>
  </si>
  <si>
    <t>Interruptor Encendido 24527383 N200 (70006359)</t>
  </si>
  <si>
    <t>BRR DIR Barra Direccion Kenworth Ds-1279 (70006360)</t>
  </si>
  <si>
    <t>Bombona Trailer Con Tuercas 1380608 (70006361)</t>
  </si>
  <si>
    <t>Puerta Der Super Carry Suzuki 6800171d00 (70006362)</t>
  </si>
  <si>
    <t>Stop Trasero Izquierdo Npr (70006363)</t>
  </si>
  <si>
    <t>Abrazadera Tanque Acpm Cinta 95615481 S (70006364)</t>
  </si>
  <si>
    <t>Tapa Propulsor SB N14 20550 (70006365)</t>
  </si>
  <si>
    <t>Brazo Espejo Ext Der Npr/Nkr 8978565588 (70006366)</t>
  </si>
  <si>
    <t>Tapa Torre Mono 14718 Eag 900 Isx (70006367)</t>
  </si>
  <si>
    <t>Tobera Npr 1050172650 (70006368)</t>
  </si>
  <si>
    <t>Camisa Bloque Motor Npr 8973515580 (70006369)</t>
  </si>
  <si>
    <t>Switch Parqueo Nhr Nkr 897202476 (70006370)</t>
  </si>
  <si>
    <t>Guardapolvo Embrague Nissan 3054212u00 (70006371)</t>
  </si>
  <si>
    <t>Unidad Sellada Bomper KWh M-4701 (70006372)</t>
  </si>
  <si>
    <t>Bombillo Halogeno Sin Patas 90 H-4/ P45t (70006373)</t>
  </si>
  <si>
    <t>Plato Sincronismo EGL N14 Eaton 4301840 (70006374)</t>
  </si>
  <si>
    <t>Valvula Egr Para Npr 8971155333 (70006375)</t>
  </si>
  <si>
    <t>Tapa Sincronismo Eagle N14 Eaton A007254 (70006376)</t>
  </si>
  <si>
    <t>Valvula Freno Aire Hi 466 Zac065661 (70006377)</t>
  </si>
  <si>
    <t>Parabrisas Laminado Nhr- Nkr 97114295 (70006378)</t>
  </si>
  <si>
    <t>Moldura Vidrio Panoramico Nhr 8978902141 (70006379)</t>
  </si>
  <si>
    <t>Tapa Sincronismo Eagle N14 Eaton A007331 (70006380)</t>
  </si>
  <si>
    <t>Hoja Resorte Tras Eagle T800/6 (70006381)</t>
  </si>
  <si>
    <t>Tensor Prensa SB N14 Eaton 125489 (70006382)</t>
  </si>
  <si>
    <t>Bombillo Gotera Pequeño 17037 158 Ge-37 (70006383)</t>
  </si>
  <si>
    <t>Bombillo Unidad Optica Del Moto 62x25 (70006384)</t>
  </si>
  <si>
    <t>Rodaja Rodaja Banda Kenworth B.L. 1 1/4 (70006385)</t>
  </si>
  <si>
    <t>Tapa Bocin Rueda Del Hi 4300 3531209c91 (70006386)</t>
  </si>
  <si>
    <t>Cilindro Freno Del Izq Nkr Cp 8971793590 (70006387)</t>
  </si>
  <si>
    <t>Bocin Rueda Del Der Eagle 3533019c91 (70006388)</t>
  </si>
  <si>
    <t>Bombillo Moto Farola 1154x6v (70006389)</t>
  </si>
  <si>
    <t>Retenedor Diferencial 9412276010 Npr (70006390)</t>
  </si>
  <si>
    <t>Eje Embrague Eagle N14 Eaton 2005406c1 (70006391)</t>
  </si>
  <si>
    <t>Radiador Motor Hino Nuevo (70006392)</t>
  </si>
  <si>
    <t>Bombillo Piloto N-53 12 Voltios (70006393)</t>
  </si>
  <si>
    <t>Chapa Puerta Der Nhr 8978920981 (70006394)</t>
  </si>
  <si>
    <t>Eje Embrague Eagle N14 309129c1 (70006395)</t>
  </si>
  <si>
    <t>Carreta DeSplazable CJ EGL Eaton 220026 (70006396)</t>
  </si>
  <si>
    <t>Abrazadera Cremallera 4 (70006397)</t>
  </si>
  <si>
    <t>Abrazadera Muelle Tras 4 1/2 X 5 (70006398)</t>
  </si>
  <si>
    <t>Abrazadera Tornillo T510 (70006399)</t>
  </si>
  <si>
    <t>Buje Suspens Neumati Internatio 90008219 (70006400)</t>
  </si>
  <si>
    <t>Bendix MOT ARR Super Carr Zen 3132051a10 (70006401)</t>
  </si>
  <si>
    <t>Bombillo Unidad Halogeno Hi Ge 9007 (70006402)</t>
  </si>
  <si>
    <t>Clip Persiana Radiador Nhr 8978927290 (70006403)</t>
  </si>
  <si>
    <t>Medidor Tanque Combustible Npr 95617872 (70006404)</t>
  </si>
  <si>
    <t>Bombillo Halogeno Sin Patas 5 48884 12 V (70006405)</t>
  </si>
  <si>
    <t>Tapa Tanque Acpm Volswagen 6007006321 (70006406)</t>
  </si>
  <si>
    <t>Brazo Plumilla Hi Internatio 2015296 C1 (70006407)</t>
  </si>
  <si>
    <t>Tensor Embrague Fabricado Nkr (70006408)</t>
  </si>
  <si>
    <t>SOP Estribo CAB Nhr Izq 8978929661 (70006409)</t>
  </si>
  <si>
    <t>Hoja Resorte Del Nhr Imal 22940/3 (70006410)</t>
  </si>
  <si>
    <t>Hoja Resorte Del Nhr Imal 22940/4 (70006411)</t>
  </si>
  <si>
    <t>Bomper Npr 8979990130 (70006412)</t>
  </si>
  <si>
    <t>Clip Int Panel Nhr 8978532495 (70006413)</t>
  </si>
  <si>
    <t>Bombillo Farola Moto 35-35p/ 12 (70006414)</t>
  </si>
  <si>
    <t>Brazo Espejo Nhr (70006415)</t>
  </si>
  <si>
    <t>Lampara Direcal Der Nhr 8978550052 (70006416)</t>
  </si>
  <si>
    <t>Tope Muelle Del Npr 8941013474 (70006417)</t>
  </si>
  <si>
    <t>Abrazadera Mofle 5" SB 5" Ecl 194 (70006418)</t>
  </si>
  <si>
    <t>Bombillo Gotera Grande 17177 158 12 Vol (70006419)</t>
  </si>
  <si>
    <t>Bombillo Gotera 17197 24v 906 (70006420)</t>
  </si>
  <si>
    <t>Empaque Puerta Sup Izq Nhr 8978521185 (70006421)</t>
  </si>
  <si>
    <t>Sello Puerta Izq Nhr 8978929030 (70006422)</t>
  </si>
  <si>
    <t>Lampara Direcal Izq Nhr 8978550062 (70006423)</t>
  </si>
  <si>
    <t>SOP CAB Del Izq Nhr-Nkr 8970968971 (70006424)</t>
  </si>
  <si>
    <t>Vidrio Puerta Izq Npr 97123507 (70006425)</t>
  </si>
  <si>
    <t>FILT AIR Planta ELEC Fleetguard Af1855 (70006426)</t>
  </si>
  <si>
    <t>Base Manija Tras Cabina Eagle 1663492c1 (70006427)</t>
  </si>
  <si>
    <t>Base Farola Interna Cabina Nhr (70006428)</t>
  </si>
  <si>
    <t>Persiana Capot Eagle 3566927c91 (70006429)</t>
  </si>
  <si>
    <t>Tablero Instrumentos CAB Nhr 8971959612 (70006430)</t>
  </si>
  <si>
    <t>Grifo Limpiabrisas Nhr 8978551341 (70006431)</t>
  </si>
  <si>
    <t>Embellecedor Frontal De Nhr (70006432)</t>
  </si>
  <si>
    <t>Buje Del Templete Nissan 55045w023 (70006433)</t>
  </si>
  <si>
    <t>Stop Tras Izq Eagle Internatio Zbj53762 (70006434)</t>
  </si>
  <si>
    <t>Espejo Retrovisor Npr 8942625433 (70006435)</t>
  </si>
  <si>
    <t>Lampara Ppal Der Completa Npr 8978550447 (70006436)</t>
  </si>
  <si>
    <t>Clip Embellecedor Nhr 8978531690 (70006438)</t>
  </si>
  <si>
    <t>Bombillo Un Contacto 1141- 17 12 Voltios (70006439)</t>
  </si>
  <si>
    <t>Freno Parqueo Npr 8971002123 (70006440)</t>
  </si>
  <si>
    <t>Clip Persiana Radiador Nhr 8971024150 (70006441)</t>
  </si>
  <si>
    <t>Bombillo Un Contacto 24 Vol 24 Voltios (70006442)</t>
  </si>
  <si>
    <t>Puerta Izq Npr- Nkr 8975814431 (70006443)</t>
  </si>
  <si>
    <t>Abrazadera Mofle Turbo Cum-186917 (70006444)</t>
  </si>
  <si>
    <t>Bombillo Cabina 1248 (70006445)</t>
  </si>
  <si>
    <t>MANG Sup RAD Super Carry 95617027 (70006446)</t>
  </si>
  <si>
    <t>Guaya Selector Cambios Nhr 8970899872 (70006447)</t>
  </si>
  <si>
    <t>Guaya Control Cambios Nhr 8970899863 (70006448)</t>
  </si>
  <si>
    <t>Bombillo Lampara Cabina Hi Ge2112 211-2 (70006449)</t>
  </si>
  <si>
    <t>Espejo Retrovisor Nhr (70006450)</t>
  </si>
  <si>
    <t>Buje Templete Sup Nissan 550460w001 (70006451)</t>
  </si>
  <si>
    <t>Bombillo D Contacto Pata Parejo Hi 1142 (70006452)</t>
  </si>
  <si>
    <t>Base Farola Cabina Nhr (70006453)</t>
  </si>
  <si>
    <t>Piñon Divisor De Potencia Eaton Eg113328 (70006454)</t>
  </si>
  <si>
    <t>Varilla Cilindro Embrague Nhr 8944596980 (70006455)</t>
  </si>
  <si>
    <t>SOP Palanca EMB Nhr - Nkr 8971821660 (70006456)</t>
  </si>
  <si>
    <t>Perno Rueda Del Tras S C 911912012 (70006457)</t>
  </si>
  <si>
    <t>Abrazadera Tubo Agua EGL Tipo Her 2 1/2" (70006458)</t>
  </si>
  <si>
    <t>Vidrio Seguridad Puerta Izquierda Nkr (70006459)</t>
  </si>
  <si>
    <t>Tope Muelle Del Npr 51372059 (70006460)</t>
  </si>
  <si>
    <t>Tope Caucho Suspens Paitnfind 540500w002 (70006461)</t>
  </si>
  <si>
    <t>Hoja Resorte Tras KWh T800-007/4 (70006462)</t>
  </si>
  <si>
    <t>Puente Rectificador Alternador Nhr D-056 (70006463)</t>
  </si>
  <si>
    <t>Corona Alternador Nhr Remanufact (70006464)</t>
  </si>
  <si>
    <t>Bombillo Doble Contacto 1034 12 Voltios (70006465)</t>
  </si>
  <si>
    <t>Espejo Retrovisor Izq Completo Jmc 1054 (70006466)</t>
  </si>
  <si>
    <t>Amortiguador Tras KWh 74003-P900 (70006467)</t>
  </si>
  <si>
    <t>Panel Frontal Cabi Nhr Nkr M 8978690301 (70006468)</t>
  </si>
  <si>
    <t>Bocel Farola Del Izq Nhr 8975810890 (70006469)</t>
  </si>
  <si>
    <t>Bomba Aire Freno Trailer Kn-30300 (70006470)</t>
  </si>
  <si>
    <t>Embellecedor Lampara Principa 8978636230 (70006471)</t>
  </si>
  <si>
    <t>Bomba Aire Freno Tras Repar Kn-30300 (70006472)</t>
  </si>
  <si>
    <t>Farola Capo Der EG Internatio 3502929c94 (70006473)</t>
  </si>
  <si>
    <t>Pivote Brazo Plumilla Izq Nhr 8978551480 (70006474)</t>
  </si>
  <si>
    <t>Caja Direc Mecanica Nhr Nkr 8970697060 (70006475)</t>
  </si>
  <si>
    <t>Cruceta Cardan KWh Spicer Spl170x (70006476)</t>
  </si>
  <si>
    <t>Guaya Velocimetro Moto Varias Ofk 767110 (70006477)</t>
  </si>
  <si>
    <t>Soporte Oreja Housing SB N14 305351 (70006478)</t>
  </si>
  <si>
    <t>Tuerca Ventilador 911801060 Npr Nkr (70006479)</t>
  </si>
  <si>
    <t>Rodillo Eje Salida Divisor 9 Tkn K104949 (70006480)</t>
  </si>
  <si>
    <t>Disco EMB Paintfinder Nissan 30100aa068 (70006481)</t>
  </si>
  <si>
    <t>Farola Rewa Farola Reward Ftr 8982413170 (70006482)</t>
  </si>
  <si>
    <t>Valvula Dosificadora Urea 2115847rn (70006483)</t>
  </si>
  <si>
    <t>Acople Reusable Manguera R5 (70006484)</t>
  </si>
  <si>
    <t>Cruceta Cardan Npr 5-160 (70006485)</t>
  </si>
  <si>
    <t>Pelicula Seguridad Ventana (70006486)</t>
  </si>
  <si>
    <t>Kit Reparacion Distribucion S 1138073000 (70006487)</t>
  </si>
  <si>
    <t>Empaque Mofle Super Carry 1418185200 (70006488)</t>
  </si>
  <si>
    <t>Cremallera Elevavidrio Izq Nh 8978521165 (70006489)</t>
  </si>
  <si>
    <t>Kit Empaques Aire Acondicionado Inter Lt (70006490)</t>
  </si>
  <si>
    <t>Racor Codo B69r 90 Grado 1/2 Sinflex X 3 (70006491)</t>
  </si>
  <si>
    <t>Embellecedor Lampara Principa 8978983911 (70006492)</t>
  </si>
  <si>
    <t>Kit Chapetas Cruceta Ca Cummins 657018xa (70006493)</t>
  </si>
  <si>
    <t>Panel Frontal Cabina Nhr 8978966530 (70006494)</t>
  </si>
  <si>
    <t>Balinera Embrague Agrale 7003048005 (70006495)</t>
  </si>
  <si>
    <t>Bocel Farola Der Npr - Nhr 8978983661 (70006496)</t>
  </si>
  <si>
    <t>SOP Lateral Izq Bomper Jac Sunray 280300 (70006497)</t>
  </si>
  <si>
    <t>Kit Reparacion MAY MOT Jac Jhr Ev Jac309 (70006498)</t>
  </si>
  <si>
    <t>Vidrio Puerta Der Npr 97123506 (70006499)</t>
  </si>
  <si>
    <t>Piñon BMB COMB Jac Jhr Ev 1021080fe030 (70006500)</t>
  </si>
  <si>
    <t>Piñon Engranaje Relenti Jac Jhr Ev 10210 (70006501)</t>
  </si>
  <si>
    <t>Biela Motor Jac Jhr Ev 1004010fe010 (70006502)</t>
  </si>
  <si>
    <t>Arandela Bronce 1ra Y 2da Jac 1035 R1708 (70006503)</t>
  </si>
  <si>
    <t>EMPtadura BMB Principal EMB Frr 18557646 (70006504)</t>
  </si>
  <si>
    <t>Farola Izq Jac Sunray 4121100r001 (70006505)</t>
  </si>
  <si>
    <t>SENS Posicion Cigueñal FT 1030 770594687 (70006506)</t>
  </si>
  <si>
    <t>Panel Frontal Izq Nhr 8978966540 (70006507)</t>
  </si>
  <si>
    <t>Marco Puerta Izq Nkr 8978903961 (70006508)</t>
  </si>
  <si>
    <t>VENT RAD FT Mv5 7705946025508 (70006509)</t>
  </si>
  <si>
    <t>Bocel Farola Izq Nhr 8978983871 (70006510)</t>
  </si>
  <si>
    <t>Manija Int PTA Der Van DFENG 11054533 (70006511)</t>
  </si>
  <si>
    <t>Kit Pistones Mordaza Jac 1042- Yf3501a10 (70006512)</t>
  </si>
  <si>
    <t>Yoke Cardan Lado Caja SB N14 6531371 (70006513)</t>
  </si>
  <si>
    <t>Bocel Unidad Optica Izq Eagle 2505370c1 (70006514)</t>
  </si>
  <si>
    <t>Leva Freno Del Der Inter Lt 2210k7473 (70006515)</t>
  </si>
  <si>
    <t>Panel Perciana Eagle 3501482c1 (70006516)</t>
  </si>
  <si>
    <t>Mico Amarre General (70006517)</t>
  </si>
  <si>
    <t>Guaya CTRL Cambios FT 1045 7700149106832 (70006518)</t>
  </si>
  <si>
    <t>Guaya Neutra Foton 1046 7700149106849 (70006519)</t>
  </si>
  <si>
    <t>TANQ COMB Der 100gl INT Lt 2516133c91 (70006520)</t>
  </si>
  <si>
    <t>TANQ COMB Izq 100gl INT Lt 4184159c1s (70006521)</t>
  </si>
  <si>
    <t>Base FILT COMB INT Lt 3989924c92 (70006522)</t>
  </si>
  <si>
    <t>RET Diferencial FT 1128 7705946730747 (70006523)</t>
  </si>
  <si>
    <t>Caja Portafusible Ato 5p 30amp 10-P /12v (70006524)</t>
  </si>
  <si>
    <t>Espejo Retrovisor Der Completo Daf Cf 48 (70006525)</t>
  </si>
  <si>
    <t>Piñon De Hierro 2da Eje Corredizo 37 Die (70006526)</t>
  </si>
  <si>
    <t>Bomper Der Mack Anthem 23356091 (70006527)</t>
  </si>
  <si>
    <t>Bomper Central Mack Anthem 23367142 (70006528)</t>
  </si>
  <si>
    <t>Diafragma Freno De Ahogo 8944197491 (70006529)</t>
  </si>
  <si>
    <t>Luna Espejo Retrovisor Sup DER FT 4269 H (70006530)</t>
  </si>
  <si>
    <t>Luna Espejo Retrovisor Infe Izq FT 4269 (70006531)</t>
  </si>
  <si>
    <t>Bomba Agua Motor Isx15 Inter Lt 4386570 (70006532)</t>
  </si>
  <si>
    <t>Plumilla Limpiabrisas Kentworth Anco 18" (70006533)</t>
  </si>
  <si>
    <t>Hoja 2da MUE DEL FT 1039 7701023528252 (70006534)</t>
  </si>
  <si>
    <t>Hoja 3ra MUE DEL FT 1039 7701023528269 (70006535)</t>
  </si>
  <si>
    <t>Chapeta Seguro Vidrio Fabricad (70006536)</t>
  </si>
  <si>
    <t>Amortiguador Trasero Daf Cf480 2027152 (70006537)</t>
  </si>
  <si>
    <t>Switch Retrovisores FT Est Amt H43730400 (70006538)</t>
  </si>
  <si>
    <t>Asiento Muelle Trailer Inca Coa004501 (70006539)</t>
  </si>
  <si>
    <t>Tapa Tanque Acpm Nhr 8971158561 (70006540)</t>
  </si>
  <si>
    <t>Cable Duplex 2 X 14 (70006541)</t>
  </si>
  <si>
    <t>Sensor De Velocidad Jac 1042 Dllg901q4a (70006542)</t>
  </si>
  <si>
    <t>Prensa Embrague Agrale Nueva 8003715007 (70006543)</t>
  </si>
  <si>
    <t>Kit SOP Cardan FT 1030 7705946980982 (70006544)</t>
  </si>
  <si>
    <t>Disco Embrague Agrale 9003502007 (70006545)</t>
  </si>
  <si>
    <t>Rodamiento Tren Desplazable FT 1129 7705 (70006546)</t>
  </si>
  <si>
    <t>Soporte Trasero Cabina Volkswagen 899397 (70006547)</t>
  </si>
  <si>
    <t>BMB De Freno REN Nueva Master 460110032r (70006548)</t>
  </si>
  <si>
    <t>Fusible Varios Miniato (70006549)</t>
  </si>
  <si>
    <t>Cuna Eje Salida Divisor 9400 Tkn K104910 (70006550)</t>
  </si>
  <si>
    <t>Bombillo H4 Led (70006551)</t>
  </si>
  <si>
    <t>Manija INTna Izq FT 1128 7700149106894 (70006552)</t>
  </si>
  <si>
    <t>Guaya Acelerador Super Suzuki 1591085611 (70006553)</t>
  </si>
  <si>
    <t>DEP Limpia Parabrisas FT 1030 7700149143 (70006554)</t>
  </si>
  <si>
    <t>Troque Trasero Cuadrado Trailer Nuevo (70006556)</t>
  </si>
  <si>
    <t>Base SOP De MOT TRAS IZQ X15 4056601c3 (70006558)</t>
  </si>
  <si>
    <t>Base SOP MOT TRAS DER X15 4056602c2 (70006559)</t>
  </si>
  <si>
    <t>Amortiguador Asiento COND Daf Cf480 1893 (70006560)</t>
  </si>
  <si>
    <t>Caucho Cardan Npr Nkr 101390 (70006561)</t>
  </si>
  <si>
    <t>Pasador MUE Del Parte Tras FT 1129 77010 (70006562)</t>
  </si>
  <si>
    <t>Pasador MUE Del Parte Del FT 1129 770102 (70006563)</t>
  </si>
  <si>
    <t>Bombona Suspension Cabina Inter Lt 25106 (70006564)</t>
  </si>
  <si>
    <t>Pines Plasticos Generico (70006565)</t>
  </si>
  <si>
    <t>SOP Capo DER MCK Anthem 23631164 (70006566)</t>
  </si>
  <si>
    <t>Persiana Capo Mack Anthem 23809750 (70006567)</t>
  </si>
  <si>
    <t>Amortiguador Pta Tr Chevrolet 8180185550 (70006568)</t>
  </si>
  <si>
    <t>SOP DER RAD MCK Anthem 20976567 (70006569)</t>
  </si>
  <si>
    <t>Amortiguador Trasero Dongfeng 11054113 (70006570)</t>
  </si>
  <si>
    <t>Semieje Trasero Foton 1039 7701023086349 (70006571)</t>
  </si>
  <si>
    <t>Bombillo Luz Freno 1 Fil 24v 10w FT Amt (70006572)</t>
  </si>
  <si>
    <t>Cremallera Elevavidrio Der Dongfeng 1.0 (70006573)</t>
  </si>
  <si>
    <t>Puerta Izq Foton 1030 7705946735117 (70006574)</t>
  </si>
  <si>
    <t>Panel Esquinero Izq FT 1030 770014942957 (70006575)</t>
  </si>
  <si>
    <t>Tapa DEP Urea FT 4269 H4125133010a0 (70006576)</t>
  </si>
  <si>
    <t>Cigueñal Jac Jhr Ev 1005010fe030 (70006577)</t>
  </si>
  <si>
    <t>Silla COND INT Lt 4080282c92 (70006578)</t>
  </si>
  <si>
    <t>Bocin Trasero Foton 1128 7705946766586 (70006579)</t>
  </si>
  <si>
    <t>Farola Izquierda Jac 1042 4121910le010 (70006580)</t>
  </si>
  <si>
    <t>Acople Hembra Recto COMB INT Lt 3551188c (70006581)</t>
  </si>
  <si>
    <t>TANQ Vapor COMB FT Mv5 7701023488235 (70006582)</t>
  </si>
  <si>
    <t>Porta Leva Freno Del Der INT Lt 2587567c (70006583)</t>
  </si>
  <si>
    <t>Rejilla Motor Derecha Dongfeng 11054488 (70006584)</t>
  </si>
  <si>
    <t>CIL Freno Tras DER Cp Jac Jhr Bj1029agfa (70006585)</t>
  </si>
  <si>
    <t>Kit Presion Aceite Bomba Divisor Eagle/K (70006586)</t>
  </si>
  <si>
    <t>SOP MUE Del Tra CH Frr 1533521542 (70006587)</t>
  </si>
  <si>
    <t>SOP MUE Del Del Izq CH Frr 8980592010 (70006588)</t>
  </si>
  <si>
    <t>SOP MUE Del Del Der CH Frr 8980592030 (70006589)</t>
  </si>
  <si>
    <t>Base Silla Conductor Prostar 3624377c93 (70006590)</t>
  </si>
  <si>
    <t>SOP DEP Refrigeracion INT Lt 4225127c1 (70006591)</t>
  </si>
  <si>
    <t>MANG INF Base FILT Agua INT Lt 4060106c1 (70006592)</t>
  </si>
  <si>
    <t>Oring Adaptador ENT De AIR X15 3033247 (70006593)</t>
  </si>
  <si>
    <t>Panel Frontal CAB FT 1030 7705946735056 (70006594)</t>
  </si>
  <si>
    <t>Empaque Multiple De Admisión X15 3688347 (70006595)</t>
  </si>
  <si>
    <t>carcasa Espejo Retrovisor Sup Daf Cf 480 (70006596)</t>
  </si>
  <si>
    <t>Oring Bomba De Agua Motor X15 3685456 (70006597)</t>
  </si>
  <si>
    <t>Conjunto Sincronizador 1ra/2da Jac 1035 (70006598)</t>
  </si>
  <si>
    <t>Tubo Llenado De Aceite Motor X15 3686344 (70006599)</t>
  </si>
  <si>
    <t>Oring Adaptador Del Respiradero MOT X15 (70006600)</t>
  </si>
  <si>
    <t>MANG Tapa VALVs - Respiradero MOT X15 36 (70006601)</t>
  </si>
  <si>
    <t>Puente DEL Chasis INT Lt 3882617c4 (70006602)</t>
  </si>
  <si>
    <t>Abrazadera Mofle Tipo Herradur 5" 186917 (70006603)</t>
  </si>
  <si>
    <t>Pin Biela Piston Npr 8943187982 (70006604)</t>
  </si>
  <si>
    <t>Cartera Izq Foton 4269 H4610160101a0 (70006605)</t>
  </si>
  <si>
    <t>Trapecio Limpia Parabrisas FT 1039 77010 (70006606)</t>
  </si>
  <si>
    <t>RET Booster HN Dutro Pack 86024101 (70006607)</t>
  </si>
  <si>
    <t>Tubo Succión/Retorno COMB INT Lt 4176455 (70006608)</t>
  </si>
  <si>
    <t>Reductor CJ DIR FT 1030 7705946764261 (70006609)</t>
  </si>
  <si>
    <t>EMPtadura Servo Booster EMB CH Frr 13182 (70006610)</t>
  </si>
  <si>
    <t>Hoja Principal MUE DEL Frr 8980642670 (70006611)</t>
  </si>
  <si>
    <t>Juego Parlante X 2 Ovalado 5" X 7" (70006612)</t>
  </si>
  <si>
    <t>MANG INF RAD INT Lt 4060108c1 (70006613)</t>
  </si>
  <si>
    <t>MANG Hidraulico DEP A Enfriador INT Lt 4 (70006614)</t>
  </si>
  <si>
    <t>MANG Hidraulico DEP A BMB INT Lt 4069661 (70006615)</t>
  </si>
  <si>
    <t>Swich Luz Puerta Inter Lt 4091611c1 (70006616)</t>
  </si>
  <si>
    <t>Tapa carcasa FILT AIR FT 1129 7701023333 (70006617)</t>
  </si>
  <si>
    <t>Pin Torre Palanca Cambios Eagle 4303030 (70006618)</t>
  </si>
  <si>
    <t>EMP Base FILT Aceite FT 1039 77010235217 (70006619)</t>
  </si>
  <si>
    <t>Condensador Mack Anthem 22386057 (70006620)</t>
  </si>
  <si>
    <t>Bloque Hidraulico Montacargas T S90f (70006621)</t>
  </si>
  <si>
    <t>Disco De Freno Van Dongfeng 21009171 (70006622)</t>
  </si>
  <si>
    <t>Manija Externa Izq FT 1030 7700149248402 (70006623)</t>
  </si>
  <si>
    <t>Disco Freno Delantero Hyundai (70006624)</t>
  </si>
  <si>
    <t>Sensor Freno Abs Inter Lt Bx801549 (70006625)</t>
  </si>
  <si>
    <t>EMP Termostato FT 1039 7701023517249 (70006626)</t>
  </si>
  <si>
    <t>EMP CJ Termostatica FT 1039 770102351726 (70006627)</t>
  </si>
  <si>
    <t>Tubo Calefaccion FT 1039 7705946609517 (70006628)</t>
  </si>
  <si>
    <t>Racor Codo 45 Direccion Hidr. Eagle 9400 (70006629)</t>
  </si>
  <si>
    <t>Racor Codo 90 Bomba Hidaulica Eagle 9400 (70006630)</t>
  </si>
  <si>
    <t>Tubo Flex Aire Motor Vw Worker Tat129625 (70006631)</t>
  </si>
  <si>
    <t>Puente Central Chasis Inter Lt 3616006c4 (70006632)</t>
  </si>
  <si>
    <t>Amortiguador + Resorte Del Iz FT 1030 77 (70006633)</t>
  </si>
  <si>
    <t>Servo Booster EMB CH Frr REP (70006634)</t>
  </si>
  <si>
    <t>Grapa 1 Muelle Delantero Foton 1065 3" X (70006635)</t>
  </si>
  <si>
    <t>Grapa 2 MUE DEL FT 1065 3" X 6" X 9/16" (70006636)</t>
  </si>
  <si>
    <t>Disco Freno Tras Ventilado T Prado Df-05 (70006637)</t>
  </si>
  <si>
    <t>Lampara Led Rectangular 12v Techo Furgon (70006638)</t>
  </si>
  <si>
    <t>SOP MOT DER FT Mv5 7705946023122 (70006639)</t>
  </si>
  <si>
    <t>SOP MOT Izq FT Mv5 7705946023115 (70006640)</t>
  </si>
  <si>
    <t>CIL Freno TRAS Van DFENG Wc5659bex (70006641)</t>
  </si>
  <si>
    <t>EMP Carter HY H100 Porter 020340590 (70006642)</t>
  </si>
  <si>
    <t>Tapa Selectora De Cambios FT 1129 770594 (70006643)</t>
  </si>
  <si>
    <t>Caja Direccion Jac Jhr Jkr 3401000ld010 (70006644)</t>
  </si>
  <si>
    <t>Switch Desempañante Espejos KW T800 2007 (70006645)</t>
  </si>
  <si>
    <t>Freno De Ahogo Jac Jhr Jkr 1203120ld300 (70006646)</t>
  </si>
  <si>
    <t>Caja Direccion FT 1039 7701023085380 (70006647)</t>
  </si>
  <si>
    <t>Abrazadera Tubo Llenado Aceite MOT Isx 3 (70006648)</t>
  </si>
  <si>
    <t>Respiradero Carter Motor X15 5679573 (70006649)</t>
  </si>
  <si>
    <t>Adaptador Del Respiradero MOT X15 369232 (70006650)</t>
  </si>
  <si>
    <t>SENS CTRL Velocidad A/C MCK Anthem 85115 (70006651)</t>
  </si>
  <si>
    <t>Tapa Carcasa Distribución MOT X15 369101 (70006652)</t>
  </si>
  <si>
    <t>Ducto Turbo - Carcasa FILT AIR INT Lt 41 (70006653)</t>
  </si>
  <si>
    <t>Tubo Codo INF Escape MCK Anthem 21801778 (70006654)</t>
  </si>
  <si>
    <t>Cacho Direccion Derecho Eagle 9400 A2311 (70006655)</t>
  </si>
  <si>
    <t>Manija Externa PTA Iz FT 1065 7700149051 (70006656)</t>
  </si>
  <si>
    <t>Tuerca Bocin DEL Daf Cf 480 1396606 (70006657)</t>
  </si>
  <si>
    <t>FILT De Aceite FT Emt Ast MOT X13 Lf1400 (70006658)</t>
  </si>
  <si>
    <t>FILT COMB FT Est Amt MOT X13 H4110000005 (70006659)</t>
  </si>
  <si>
    <t>FILT Separador COMB FT Est Amt Fs53040nn (70006660)</t>
  </si>
  <si>
    <t>Kit FILT AIR FT Est Amt H411900001225zh (70006661)</t>
  </si>
  <si>
    <t>Filtro De Aceite Eagle Y Kenworth Fleetr (70006662)</t>
  </si>
  <si>
    <t>Cigueñal Motor Chevrolet Npr 8971129813 (70006663)</t>
  </si>
  <si>
    <t>Amortiguador + Resorte Del Dere FT 1030 (70006664)</t>
  </si>
  <si>
    <t>Parabrisas Laminado FT Est Amt H45210000 (70006665)</t>
  </si>
  <si>
    <t>FILT De AIR Donsson Da3113 Planta ELEC (70006666)</t>
  </si>
  <si>
    <t>FILT De AIR Donsson Da2695 Planta ELEC (70006667)</t>
  </si>
  <si>
    <t>FILT De AIR Af25539 O Perkins 26510362 (70006668)</t>
  </si>
  <si>
    <t>Filtro De Aire Af 4060 Planta Electrica (70006669)</t>
  </si>
  <si>
    <t>FILT De AIR Af26207 O Rs4989 Planta ELEC (70006670)</t>
  </si>
  <si>
    <t>Filtro De Aceite Lf699 Planta Electrica (70006671)</t>
  </si>
  <si>
    <t>Camisilla Inyector X15 (70006672)</t>
  </si>
  <si>
    <t>FILT De Aceite Perkins Ch10929 Planta EL (70006673)</t>
  </si>
  <si>
    <t>FILT De COMB Planta ELEC Ff5040 (70006674)</t>
  </si>
  <si>
    <t>FILT De COMB PRIM Perkins Ch10930 (70006675)</t>
  </si>
  <si>
    <t>FILT De COMB Secundario Perkins Ch10931 (70006676)</t>
  </si>
  <si>
    <t>Adaptador Entrada De Aire X15 4316715 (70006677)</t>
  </si>
  <si>
    <t>Multiple De Admision X15 5440760 (70006678)</t>
  </si>
  <si>
    <t>Sensor Maf Hino 500 89421-E0050 (70006679)</t>
  </si>
  <si>
    <t>Kit Rodillos RDA DEL Daf Cf 480 1801594 (70006680)</t>
  </si>
  <si>
    <t>FILT De AIR Goby Ag961276r Planta ELEC (70006681)</t>
  </si>
  <si>
    <t>FILT De AIR Goby Ag961264r Planta ELEC (70006682)</t>
  </si>
  <si>
    <t>FILT De AIR Goby Ag971855a Planta ELEC (70006683)</t>
  </si>
  <si>
    <t>FILT De AIR Goby Ag971541a Planta ELEC (70006684)</t>
  </si>
  <si>
    <t>Compresor Sistema Neumatico FT 1128 5693 (70006685)</t>
  </si>
  <si>
    <t>Damper Amort De Embrague Npr - Nkr Rewar (70006686)</t>
  </si>
  <si>
    <t>FILT Turbina Gases De Carter Daf Cf 480 (70006687)</t>
  </si>
  <si>
    <t>Bloque Motor Isx 288208800nx (70006688)</t>
  </si>
  <si>
    <t>Antena Radio Mack Anthem 22478499 (70006689)</t>
  </si>
  <si>
    <t>Servo Booster EMB CH Frr 1318005103 (70006690)</t>
  </si>
  <si>
    <t>SENS De Presion Posterior A La Bpv Daf C (70006691)</t>
  </si>
  <si>
    <t>Polea Loca Motor Foton Mv5 7705946036368 (70006692)</t>
  </si>
  <si>
    <t>CTRLador Bujias Precalentamiento FT 1065 (70006693)</t>
  </si>
  <si>
    <t>Cacho DIR DER FT 1039 7705946305839 (70006694)</t>
  </si>
  <si>
    <t>Cacho DIR IZQ FT 1039 7705946305860 (70006695)</t>
  </si>
  <si>
    <t>Banda Delantera Jac 1120 Remachada (70006696)</t>
  </si>
  <si>
    <t>Brazo DIR DER FT 1039 7705946305846 (70006697)</t>
  </si>
  <si>
    <t>Actuador De Dosificación MOT Isx REP (70006698)</t>
  </si>
  <si>
    <t>Kit Tablero Instrumentos Completo Eagle (70006699)</t>
  </si>
  <si>
    <t>INTruptor Estacionarias INT Lt 4057706c3 (70006700)</t>
  </si>
  <si>
    <t>Valvula 2 Vias Volkswagen Knorr Ae-4258 (70006701)</t>
  </si>
  <si>
    <t>Empaque Vidrio Panoramico Jac (70006702)</t>
  </si>
  <si>
    <t>Balancin Escape DEL MOT Isx 4059294 (70006703)</t>
  </si>
  <si>
    <t>Rele Ppal De ARR 12v 70a FT 1039-1065 77 (70006704)</t>
  </si>
  <si>
    <t>Guardabarro TRAS Der Daf Cf 480 1875550 (70006705)</t>
  </si>
  <si>
    <t>Caja Direccion Foton 1030 (70006706)</t>
  </si>
  <si>
    <t>Reductor Caja Direccion Foton 1030 (70006707)</t>
  </si>
  <si>
    <t>MOT Elevavidrio DER CH Frr 8980584290 (70006708)</t>
  </si>
  <si>
    <t>SOP En Z Alargador PTA DER Daf 1926387 (70006709)</t>
  </si>
  <si>
    <t>Bocel Inferior Persiana Kenworth K213-90 (70006710)</t>
  </si>
  <si>
    <t>Puente Pescado Fabricado (70006711)</t>
  </si>
  <si>
    <t>Bocin Delantero Daf Cf 480 2019789 (70006712)</t>
  </si>
  <si>
    <t>Disco Freno Delantero Daf Cf 480 1812563 (70006713)</t>
  </si>
  <si>
    <t>INTruptor Pedal EMB INT Lt 4219604c1 (70006714)</t>
  </si>
  <si>
    <t>Polarizado Parabrisas Vehiculo (70006715)</t>
  </si>
  <si>
    <t>Inyector Urea International Lt 5307918 (70006716)</t>
  </si>
  <si>
    <t>Soporte Caucho Cardan Jac 1042 Zf0194 (70006717)</t>
  </si>
  <si>
    <t>Polarizado Ventana Vehiculo (70006718)</t>
  </si>
  <si>
    <t>Correa VENT Planta ELEC 8pk1460 Dayco 8p (70006719)</t>
  </si>
  <si>
    <t>Horquilla Rodamiento EMB FT 1039 7701023 (70006720)</t>
  </si>
  <si>
    <t>Modulo Abs Inter Lt K168419sc010 (70006721)</t>
  </si>
  <si>
    <t>Tapa Valvulas Foton Mv5 7705946015721 (70006722)</t>
  </si>
  <si>
    <t>Compresor A/C Foton Mv5 7705946193443 (70006723)</t>
  </si>
  <si>
    <t>EMP Vidrio TRAS MCK Anthem 25170843 (70006724)</t>
  </si>
  <si>
    <t>Sensor Flujo Aire Maf Nkr Reward 8981132 (70006725)</t>
  </si>
  <si>
    <t>Fan Clutch Termico T Prado 16210-62011 (70006726)</t>
  </si>
  <si>
    <t>Alargador Puerta Exterior Derecha Daf 18 (70006727)</t>
  </si>
  <si>
    <t>SENS De Temp Y Pres De Admision 1128 / 1 (70006728)</t>
  </si>
  <si>
    <t>Jaula De Cojinete De Impulsión Diferenci (70006729)</t>
  </si>
  <si>
    <t>Exploradora Rectangular Led 9 X 15 Cm (70006730)</t>
  </si>
  <si>
    <t>SENS Flujo AIR Maf FT 1039/1065 E Iv 770 (70006731)</t>
  </si>
  <si>
    <t>Tubo De Conexion BMB De Agua Daf Cf480 1 (70006732)</t>
  </si>
  <si>
    <t>VALV Moduladora Freno Bendix M10 3/8" IN (70006733)</t>
  </si>
  <si>
    <t>SENS Presion Riel De INY FT 1039 7705946 (70006734)</t>
  </si>
  <si>
    <t>Modulo Ecu Daf Cf 480ftt 2298833rn (70006735)</t>
  </si>
  <si>
    <t>Perno Culata MOT FT Mv5 7705946015851 (70006736)</t>
  </si>
  <si>
    <t>Zapa DEL Der MUE DEL INT Lt 3843482c4 (70006737)</t>
  </si>
  <si>
    <t>Columna DIR FT Mv5 7705946028011 (70006738)</t>
  </si>
  <si>
    <t>Refuerzo Apertura Rejilla Capo INT Lt 41 (70006739)</t>
  </si>
  <si>
    <t>Relay Hino 300 24v 90987-02018 (70006740)</t>
  </si>
  <si>
    <t>Manija Interior Derecha Nkr Iii 89740938 (70006741)</t>
  </si>
  <si>
    <t>Varilla Medidora Aceite HN 500 15301e087 (70006742)</t>
  </si>
  <si>
    <t>Blower Aire Acondicionado Inter Lt 40688 (70006743)</t>
  </si>
  <si>
    <t>Base Fan Clutch Kenworth T800 010024118 (70006744)</t>
  </si>
  <si>
    <t>Polea Cigueñal Damper FT 1039 7701023551 (70006745)</t>
  </si>
  <si>
    <t>Tanque De Vacio Dong Feng 1.0t 11054168 (70006746)</t>
  </si>
  <si>
    <t>Alargador Puerta Interior Derecha Daf 18 (70006747)</t>
  </si>
  <si>
    <t>Seccion De Fijacion Alargador PTA DER Da (70006748)</t>
  </si>
  <si>
    <t>DEP Liquido De Frenos Nhr/Nkr Hasta 2011 (70006749)</t>
  </si>
  <si>
    <t>Grapa 1 MUE DEL FT 1128 5/8" X3" X7" (70006750)</t>
  </si>
  <si>
    <t>Varilla CTRL Altura CAB EGL 2586494c1 (70006751)</t>
  </si>
  <si>
    <t>Grapa 2 MUE DEL FT 1128 5/8" X3" X9" (70006752)</t>
  </si>
  <si>
    <t>Tuerca De Brida Diferencial Daf Cf480- 1 (70006753)</t>
  </si>
  <si>
    <t>Arandela De Empuje Diferencial Daf Cf480 (70006754)</t>
  </si>
  <si>
    <t>FILT AIR Secundario Planta Sincelejo Gob (70006755)</t>
  </si>
  <si>
    <t>Kit Graduacion Freno Tras Izq FT 1030 77 (70006756)</t>
  </si>
  <si>
    <t>Kit Graduacion Freno Tras Der FT 1030 77 (70006757)</t>
  </si>
  <si>
    <t>Riel Silla International Lt 2614642c91 (70006758)</t>
  </si>
  <si>
    <t>SOP MUE TRAS Parte DEL Frr 1533530904 (70006759)</t>
  </si>
  <si>
    <t>Barra Tensora Troque Traser0 29" Eagle 9 (70006760)</t>
  </si>
  <si>
    <t>Hoja Principal MUE TRAS Frr 8980816350 (70006761)</t>
  </si>
  <si>
    <t>Intercooler Kenworth T800 Fabricado (70006763)</t>
  </si>
  <si>
    <t>Rodamiento INTno Eje Diferencial Daf 203 (70006764)</t>
  </si>
  <si>
    <t>FILT COMB Bf825 Planta ELEC Pasto (70006765)</t>
  </si>
  <si>
    <t>FILT Aceite Bt237 Planta ELEC Pasto (70006766)</t>
  </si>
  <si>
    <t>Juego INTruptores Cabrilla INT Lt 439258 (70006767)</t>
  </si>
  <si>
    <t>Correa VENT Planta ELEC 6ct CUMM 3288944 (70006768)</t>
  </si>
  <si>
    <t>Varilla Medidora Aceite MOT FRL Cl120- 2 (70006769)</t>
  </si>
  <si>
    <t>Espejo Frontal Sup DER FT Est Amt H48210 (70006770)</t>
  </si>
  <si>
    <t>Rodillo Agujas 1ra CJ HN 300- 90364-4900 (70006771)</t>
  </si>
  <si>
    <t>Kit Empaquetadura Superior Motor Isf 3.8 (70006772)</t>
  </si>
  <si>
    <t>Correa VENT CUMM 5690177 MOT B3.9 569017 (70006774)</t>
  </si>
  <si>
    <t>Exosto De Nhr Reparado (70006775)</t>
  </si>
  <si>
    <t>Banda Del. Vol. Remachada Reparado (70006776)</t>
  </si>
  <si>
    <t>Hoja Articulada Deflector Angular Der Da (70006777)</t>
  </si>
  <si>
    <t>Motor Arranque Foton 1128 Reparado (70006779)</t>
  </si>
  <si>
    <t>Banda Freno Del 4719d Kw (70006780)</t>
  </si>
  <si>
    <t>EMPtadura VALV Doble Tablero Rn31bf Sb (70006781)</t>
  </si>
  <si>
    <t>Empaquetadura Valvula Relay SB Rn10hm (70006782)</t>
  </si>
  <si>
    <t>Anillo Bronce Sincronizmo De 8941287752 (70006783)</t>
  </si>
  <si>
    <t>Base Quinta Rueda Fabricad (70006784)</t>
  </si>
  <si>
    <t>Regulador Moto Akt 200 31600 (70006785)</t>
  </si>
  <si>
    <t>Hoja Resorte Tras Nkr 22935/1 (70006786)</t>
  </si>
  <si>
    <t>Rodillo Rueda Tras Externa Canter 30211 (70006787)</t>
  </si>
  <si>
    <t>Hoja Resorte Trasera 22917/4 Npr (70006788)</t>
  </si>
  <si>
    <t>Espejo Panoramico INTnacional 6 6" Nk Sb (70006789)</t>
  </si>
  <si>
    <t>VALV Descargue Freno VW 2vc607271b (70006790)</t>
  </si>
  <si>
    <t>Radiador Motor Eagle 9400 (70006791)</t>
  </si>
  <si>
    <t>RAD MOT NS Pathfinder Pa66-Gf30 (70006792)</t>
  </si>
  <si>
    <t>Balinera Piñon Loco Distrib Nk 60/28nr-2 (70006793)</t>
  </si>
  <si>
    <t>Manguera Agua By-Pass Npr 8972099480 (70006794)</t>
  </si>
  <si>
    <t>Kit Reparacion MOT Nhr Sin Turb 95622028 (70006795)</t>
  </si>
  <si>
    <t>EMPtadura Secador AIR S60 N14 322-Eagle (70006796)</t>
  </si>
  <si>
    <t>Soporte Muelle Tras Izq Npr 8941820991 (70006797)</t>
  </si>
  <si>
    <t>Soporte Muelle Del Npr 8944434060 (70006798)</t>
  </si>
  <si>
    <t>Arandela Axial Ajuste Cigueña 8973837400 (70006799)</t>
  </si>
  <si>
    <t>Biela Caja Direc Eagle 3571525c1 (70006800)</t>
  </si>
  <si>
    <t>Lampara Oval Led Amarilla 4172 12v 9017 (70006801)</t>
  </si>
  <si>
    <t>Enfriador Aceite Motor KWIsx 4965870 (70006802)</t>
  </si>
  <si>
    <t>Bocin Rueda Tras Npr 8970813232 Mb6b081 (70006803)</t>
  </si>
  <si>
    <t>Campana Trasera Nkr Iii Nueva 617 (70006804)</t>
  </si>
  <si>
    <t>CJ DIR Hidraulica Nhr-Nkr REP (70006805)</t>
  </si>
  <si>
    <t>Fusible Termico 30 Amp 12v 54725 (70006806)</t>
  </si>
  <si>
    <t>Bombillo Unidad Halogena Bajas Hb3-9005 (70006807)</t>
  </si>
  <si>
    <t>Unidad Hologena Der FRL Ra06510410 (70006808)</t>
  </si>
  <si>
    <t>Fusible Vidrio (70006809)</t>
  </si>
  <si>
    <t>Gancho Capot (70006810)</t>
  </si>
  <si>
    <t>Gancho Capot Hi4700 Internatio 499523 C3 (70006811)</t>
  </si>
  <si>
    <t>Empaquetadura Fan Clucht SB 3918365 (70006812)</t>
  </si>
  <si>
    <t>Gancho Tapa Bateria V8075993 (70006813)</t>
  </si>
  <si>
    <t>Lampara Furgon 4-075-6-1 Grande (70006814)</t>
  </si>
  <si>
    <t>Empaquetadura Gobernador Aire Sb-276121 (70006815)</t>
  </si>
  <si>
    <t>Porta Escobillas Arranque T D Alpe046 (70006816)</t>
  </si>
  <si>
    <t>Gancho Tensor Capot SB 671010008 (70006817)</t>
  </si>
  <si>
    <t>Soporte Guaradpolvo Tras Der 3593192c92 (70006818)</t>
  </si>
  <si>
    <t>Interruptor Rev Caja Vel Npr 8980371600 (70006819)</t>
  </si>
  <si>
    <t>Hoja Resorte Ppal Tras Kw W-900tra/1 (70006820)</t>
  </si>
  <si>
    <t>EMP Bba COMB Isx EGL 4954473 (70006821)</t>
  </si>
  <si>
    <t>Automatico Aux Arranqu Eagle Sw15330-1 (70006822)</t>
  </si>
  <si>
    <t>Parabrisas Laminado Hi Eagle 2008 (70006823)</t>
  </si>
  <si>
    <t>Boquilla MANG Limpia Parabris 8980101720 (70006824)</t>
  </si>
  <si>
    <t>Perilla Aire AC Eagle Isx 2587970c1 (70006825)</t>
  </si>
  <si>
    <t>Fusible EGL 150 Am Internatio 3500133 C2 (70006826)</t>
  </si>
  <si>
    <t>EMPtadura VALV Doble EGL 5002741 (70006827)</t>
  </si>
  <si>
    <t>Malla Protector RAD Acero Inoxidable KWh (70006828)</t>
  </si>
  <si>
    <t>Manguera Salida Radiador Eagle 3606264c1 (70006829)</t>
  </si>
  <si>
    <t>Fan Clucht Nkr 8971297350 (70006830)</t>
  </si>
  <si>
    <t>EMPt Cja DIRc Chep Internatio 2502008 C9 (70006831)</t>
  </si>
  <si>
    <t>Bocel Lateral Perciana KWh K212189r (70006832)</t>
  </si>
  <si>
    <t>Empaquetadura Valvula Relay KWh 102802 (70006833)</t>
  </si>
  <si>
    <t>EMPtadura BMB Principal Freno 287368 Sb (70006834)</t>
  </si>
  <si>
    <t>SENS Neumatico Stop Crucero FRL 17492134 (70006835)</t>
  </si>
  <si>
    <t>Borne Bateria Cruzado Torre Tornillo (70006836)</t>
  </si>
  <si>
    <t>Bobina Freno Motor Eagle S60 1024612 (70006837)</t>
  </si>
  <si>
    <t>Manija Ext Pta Der T Delta 6921095400 (70006838)</t>
  </si>
  <si>
    <t>TANQ Recuperacion Agua RAD Nh 8972051361 (70006839)</t>
  </si>
  <si>
    <t>Piñon 1ra DeSplazable CJ 14718 I 4303420 (70006840)</t>
  </si>
  <si>
    <t>Termostato Motor Volskwagen 9610075701 (70006841)</t>
  </si>
  <si>
    <t>Banda Freno Tras 24545660 N200 (70006842)</t>
  </si>
  <si>
    <t>Empaquetadura Bomba Freno Trailer Rn10hl (70006843)</t>
  </si>
  <si>
    <t>Terminales Electricas Varias (70006844)</t>
  </si>
  <si>
    <t>Correa Alternador Hyundai (70006845)</t>
  </si>
  <si>
    <t>Empaque Puerta Trasera Van N200 (70006846)</t>
  </si>
  <si>
    <t>CIL Freno Tras Nkr Sin Purga 8970786830 (70006847)</t>
  </si>
  <si>
    <t>Fusible Varios Aton 15 A 30 Am (70006848)</t>
  </si>
  <si>
    <t>Panel Sup Der Cabina Eagle Isx 3563207c1 (70006849)</t>
  </si>
  <si>
    <t>Buje Base Palanca CTRL Camb N 8970118951 (70006850)</t>
  </si>
  <si>
    <t>Vidrio Puerta Der Eagle Isx 3516213c2 (70006851)</t>
  </si>
  <si>
    <t>RET Eje Toma CJ 14915 SB N14 23559 (70006852)</t>
  </si>
  <si>
    <t>Emblema Capo Eagle Isx 3550924c1 (70006853)</t>
  </si>
  <si>
    <t>Buje Eje De Toma Caja 14915 SB N14 16566 (70006854)</t>
  </si>
  <si>
    <t>Pasador Corto EMB CJ 14915 SB N 106c1185 (70006855)</t>
  </si>
  <si>
    <t>Rodamiento Nylon Puerta Cortina Tr 3228 (70006856)</t>
  </si>
  <si>
    <t>Carcaza Infer Espejo Der Isx 3535076c2 (70006857)</t>
  </si>
  <si>
    <t>Juego Splinder T Delta 443187304 (70006858)</t>
  </si>
  <si>
    <t>Palanca Selector CTRL Cambios 8971740552 (70006859)</t>
  </si>
  <si>
    <t>Estribo Derecho Nkr 8978679681 (70006860)</t>
  </si>
  <si>
    <t>Empaquetadura Bajo Aire Int SB 73507 (70006861)</t>
  </si>
  <si>
    <t>Filtro Aire Secador KWh Donalson P781466 (70006862)</t>
  </si>
  <si>
    <t>Soporte Caucho Cab Del KW800 7000100425 (70006863)</t>
  </si>
  <si>
    <t>Freno Embrague Desarmado SB 20371883 N (70006864)</t>
  </si>
  <si>
    <t>Templete Ajuste Alternador Nk 8970805561 (70006865)</t>
  </si>
  <si>
    <t>Abrazadera Tanque Comb Nkr 95614258 (70006866)</t>
  </si>
  <si>
    <t>Paral Parabrisas Der Eagle 3512442c2 (70006867)</t>
  </si>
  <si>
    <t>Flasher Corto 2 Patas Hd12trid Dh-552 12 (70006868)</t>
  </si>
  <si>
    <t>Palanca Selectora Npr 8971431990 (70006869)</t>
  </si>
  <si>
    <t>Sensor Stop Aire Freno Eagle 2035006c2 (70006870)</t>
  </si>
  <si>
    <t>Resorte Capo Eagle 3588532c1 (70006871)</t>
  </si>
  <si>
    <t>Carter Aceite Motor Isx 4952540 (70006872)</t>
  </si>
  <si>
    <t>Juego Escobillas M ARR Hi 4300 Zln225267 (70006875)</t>
  </si>
  <si>
    <t>Pasta Puerta Izq Eagle Isx 3516218c93 (70006876)</t>
  </si>
  <si>
    <t>Panel Der Cabina Eagle Isx M3515932c1 (70006877)</t>
  </si>
  <si>
    <t>Soporte Cabina T Delta 5222387303 (70006878)</t>
  </si>
  <si>
    <t>Soporte Caucho Cabina T Delta 5222487302 (70006879)</t>
  </si>
  <si>
    <t>Empaque Multiple Admision Nhr 8973018381 (70006881)</t>
  </si>
  <si>
    <t>Empaque Caja Termostatica Nhr 8972161560 (70006882)</t>
  </si>
  <si>
    <t>Bomba Aux Embrague Volswagen 2sl721261 (70006883)</t>
  </si>
  <si>
    <t>Campana RDA Del Y Tras Volwsw 6007700548 (70006884)</t>
  </si>
  <si>
    <t>Tapa Guantera T Delta 5550187306 (70006885)</t>
  </si>
  <si>
    <t>Cruceta Caña Direc Npr St1640 (70006886)</t>
  </si>
  <si>
    <t>Kit Caucho Rodamiento Cardan Nkr-Npr (70006887)</t>
  </si>
  <si>
    <t>Balinera Cardan Nkr 88107 Completo Con C (70006888)</t>
  </si>
  <si>
    <t>Hoja Resorte Trailer Dite 3ra Tl644a 4/3 (70006889)</t>
  </si>
  <si>
    <t>Puerta Der Cabina Eagle 3570697c94 (70006890)</t>
  </si>
  <si>
    <t>Bombillo Halogeno Hb4 9006 12v Hb4-9006 (70006891)</t>
  </si>
  <si>
    <t>Flasher Direcal 3-Patas 12v 4lz961553 (70006892)</t>
  </si>
  <si>
    <t>Deposito Lavaparabrisas Npr 8978550656 (70006893)</t>
  </si>
  <si>
    <t>Guaya Acelerador Nkr 8971185372 (70006894)</t>
  </si>
  <si>
    <t>Varilla Medidora TANQ Hidrauli 1681924c3 (70006895)</t>
  </si>
  <si>
    <t>Empaque Plano Puerta Esponjoso 266 (70006896)</t>
  </si>
  <si>
    <t>Banda Tras Nueva T Delta 449487315 (70006897)</t>
  </si>
  <si>
    <t>Campana Tras T Delta 4243187308 (70006898)</t>
  </si>
  <si>
    <t>Pivote Valvula Selectora Cj 14715 20490 (70006899)</t>
  </si>
  <si>
    <t>Valvula Freno Doble Parqueo Eagle 800257 (70006900)</t>
  </si>
  <si>
    <t>Balinera Embraguem Npr 8972553130 (70006901)</t>
  </si>
  <si>
    <t>Valvula Admision Culata Nhr 8944649212 (70006902)</t>
  </si>
  <si>
    <t>Barra Estabilizadora Del Nhr 8971796570 (70006903)</t>
  </si>
  <si>
    <t>Enflanche Divisor Potencia N14 4 6543911 (70006904)</t>
  </si>
  <si>
    <t>Biela Direccion Kemworth 844328-02 (70006905)</t>
  </si>
  <si>
    <t>Oring Tapa Frontal Repart Nhr 8941097070 (70006906)</t>
  </si>
  <si>
    <t>Panel Casco Tras Cabina Eagle 3540098c2 (70006907)</t>
  </si>
  <si>
    <t>Espaldar Cabina Eagle 3536506c93 (70006908)</t>
  </si>
  <si>
    <t>Empaque Tapa Valvulas Nhr 8973494161 (70006909)</t>
  </si>
  <si>
    <t>Empaque Culata Nhr Nkr 2010 8973503190 (70006910)</t>
  </si>
  <si>
    <t>Empaque Multiple Escape Nhr 8973503170 (70006911)</t>
  </si>
  <si>
    <t>Corneta Kenworth Tn M/93 2000grv (70006912)</t>
  </si>
  <si>
    <t>Empaque Deposito Hidraulico Nitrilo (70006913)</t>
  </si>
  <si>
    <t>Guaya TANQ AIR Hi Internatio Intta21771 (70006914)</t>
  </si>
  <si>
    <t>Guardapolvo Palanca Cambios K 3001004849 (70006915)</t>
  </si>
  <si>
    <t>Parabrisas Laminado Delta 78610233 (70006916)</t>
  </si>
  <si>
    <t>Eje Columna Infererior Dccion 8970946251 (70006917)</t>
  </si>
  <si>
    <t>Empaque Eje Tras SB Int F 900 (70006918)</t>
  </si>
  <si>
    <t>Kit Reparacion MOT ARR Hi4300 Zln120455 (70006919)</t>
  </si>
  <si>
    <t>Campana Trasera Mb628 Nhr (70006920)</t>
  </si>
  <si>
    <t>Niple Galvanizado 3/4 X 6 (70006921)</t>
  </si>
  <si>
    <t>Yoke TRAS Transm DEL 6" 646371-1r (70006922)</t>
  </si>
  <si>
    <t>Talco Direc Del Der Nhr-Npr 012131518r (70006923)</t>
  </si>
  <si>
    <t>Tapa TANQ Recuperacion Nkr II 8972177990 (70006924)</t>
  </si>
  <si>
    <t>Empaque Freno Ahogo Hi 18963 (70006925)</t>
  </si>
  <si>
    <t>Banda Tras Del Npr Nueva 8941547730 (70006926)</t>
  </si>
  <si>
    <t>Empaquetadura Bomba Ppal Eagle 289335 (70006927)</t>
  </si>
  <si>
    <t>Condensador AIR A/C Isx Hi 94 2591621c91 (70006928)</t>
  </si>
  <si>
    <t>Hoja Resorte Tras KWh 759007/8 (70006929)</t>
  </si>
  <si>
    <t>Kit Splinder Jac 1042 Loc0561 (70006930)</t>
  </si>
  <si>
    <t>Abrazadera Cremallera 12 (70006931)</t>
  </si>
  <si>
    <t>Filtro Magnetico Motor Ken Isx 3090769 (70006932)</t>
  </si>
  <si>
    <t>Cilindro Freno Del Izq Npr 8971398190 (70006933)</t>
  </si>
  <si>
    <t>Guaya Acelerador T Delta 7815087383 (70006934)</t>
  </si>
  <si>
    <t>Cilindro Freno Tras Der Npr 8973322260 (70006935)</t>
  </si>
  <si>
    <t>Guaya Tanque Aire Hi 4300 455538c1 (70006936)</t>
  </si>
  <si>
    <t>Piñon 2da Del Corredizo 57 Dient 4303428 (70006937)</t>
  </si>
  <si>
    <t>Hoja Resorte Tras Volkswagen 98007/4 (70006938)</t>
  </si>
  <si>
    <t>Switch Luz Cortesia Cabina KWh Ba2860 (70006939)</t>
  </si>
  <si>
    <t>Coraza RAD Isx Hi 9400-2008 2591606c91 (70006940)</t>
  </si>
  <si>
    <t>Tubo Freno Tras 1/4 Npr Fabric (70006941)</t>
  </si>
  <si>
    <t>Kit Bujes Pasador Splinder VW 805709 (70006942)</t>
  </si>
  <si>
    <t>Retenedor Cigueñal Tras Npr 8976023790 (70006943)</t>
  </si>
  <si>
    <t>Interruptor Encendido S Carry 371108200 (70006944)</t>
  </si>
  <si>
    <t>Hoja Resorte Tras Nkr 22935/5 (70006945)</t>
  </si>
  <si>
    <t>Hoja Resorte Trasera Npr 22917/3 (70006946)</t>
  </si>
  <si>
    <t>Cabeza De Vaca MOT Isx Hi 9400-2 3103584 (70006947)</t>
  </si>
  <si>
    <t>Arandela Ajuste Piñon 3ra Agr 23127 (70006948)</t>
  </si>
  <si>
    <t>Tubo BMB INY N-3 Nkr III 897223925 (70006949)</t>
  </si>
  <si>
    <t>SOP Caucho Tubo AIR Npr 89708 8970801490 (70006950)</t>
  </si>
  <si>
    <t>Empaquetadura Bba Freno Npr 8971304710 (70006951)</t>
  </si>
  <si>
    <t>Turbo Alimentador MOT Isx Hi 9 4089754rx (70006952)</t>
  </si>
  <si>
    <t>Hoja Resorte Trailer Dite 4ta Tl644a4/4 (70006953)</t>
  </si>
  <si>
    <t>SENS Presion AIR Ambient Cummins 4076493 (70006954)</t>
  </si>
  <si>
    <t>Tuerca Speed Del SB N14 126182 (70006955)</t>
  </si>
  <si>
    <t>Amortiguador Tras Npr 8971600940 (70006956)</t>
  </si>
  <si>
    <t>VALV Multiple Admsion Nhr-Npr 8972086563 (70006957)</t>
  </si>
  <si>
    <t>Correa Alternador 6pk1740 KWh 4060685dyc (70006958)</t>
  </si>
  <si>
    <t>EMP Base Turbo Hi Internatio 1822120c1 (70006959)</t>
  </si>
  <si>
    <t>RET INTno RDA Tras Npr 8970239771 (70006960)</t>
  </si>
  <si>
    <t>Chapa INTna Izq PTA EGL 251364 1677432c1 (70006961)</t>
  </si>
  <si>
    <t>Sensor Temperatura Motor Nkr 8942378610 (70006962)</t>
  </si>
  <si>
    <t>Piñon 3ra CJ Fuller 14915 SB N14 4302484 (70006963)</t>
  </si>
  <si>
    <t>Pasador Pasador Central Del. Nkr 5" X 10 (70006964)</t>
  </si>
  <si>
    <t>SOP MUE Del Izq FRL 1615773000 (70006965)</t>
  </si>
  <si>
    <t>Vidrio Puerta Cabina Kemworth (70006966)</t>
  </si>
  <si>
    <t>Rodillo Central Cj Fuller 14718 5566508 (70006967)</t>
  </si>
  <si>
    <t>Polea Alternador Nhr 8970290040 (70006968)</t>
  </si>
  <si>
    <t>Medidor De Combustible Hi 9400 3595187c2 (70006969)</t>
  </si>
  <si>
    <t>Caucho Pedal Freno/Clutch Toyota D. 2118 (70006970)</t>
  </si>
  <si>
    <t>EMP Lateral Base Turbo Isuzu 8971397260 (70006971)</t>
  </si>
  <si>
    <t>RET Cigueñal Del Nhr Isuzu 8970491450 (70006972)</t>
  </si>
  <si>
    <t>Set Rodillo Transmicion N Koyo 30309d Jr (70006973)</t>
  </si>
  <si>
    <t>Radiador Nhr-Nkr Nuevo 95621328 Isuzu (70006974)</t>
  </si>
  <si>
    <t>Buje Soporte Tras Motor Eagle 503579c1 (70006975)</t>
  </si>
  <si>
    <t>SOP CJ Soporte Caja Vs Kenworth K223-974 (70006976)</t>
  </si>
  <si>
    <t>Bomba Inyeccion Nkr Iii 8972630863 (70006977)</t>
  </si>
  <si>
    <t>Kit EMP Compresor VW 1131374006 (70006978)</t>
  </si>
  <si>
    <t>Bombillo Tablero Hi 4300 2506796c1 (70006979)</t>
  </si>
  <si>
    <t>Termostato Motor Nkr III 8972548160 (70006980)</t>
  </si>
  <si>
    <t>Terminal Barra Direc Izq Npr 8972225100 (70006981)</t>
  </si>
  <si>
    <t>Bomba Aux Pedal Clucht Agrale 6007003334 (70006982)</t>
  </si>
  <si>
    <t>Empaquetadura Valvula Pt5 SB 289061 (70006983)</t>
  </si>
  <si>
    <t>Retenedor Propulsor Nkr 8943264410 (70006984)</t>
  </si>
  <si>
    <t>SENS Presion Temp Admision AIR I 4921473 (70006985)</t>
  </si>
  <si>
    <t>Escotilla Der Aire Eagle 3660647c1 (70006986)</t>
  </si>
  <si>
    <t>INTruptor Pedal EMB Nkr 8943317231 (70006987)</t>
  </si>
  <si>
    <t>Guaya Capo KWh 3000100345 (70006988)</t>
  </si>
  <si>
    <t>EMPtadura BMB Aux Clucht Nhr 5878314020 (70006989)</t>
  </si>
  <si>
    <t>Correa Ventilador KWh 4100660 Dy (70006990)</t>
  </si>
  <si>
    <t>Resorte Banda Corto KWh Fabricado (70006991)</t>
  </si>
  <si>
    <t>Hoja Resorte Del KWh 59400/2 (70006992)</t>
  </si>
  <si>
    <t>Soporte Tope Caucho Capo KWo K179-450 (70006993)</t>
  </si>
  <si>
    <t>SENS TEMP MOT Isx KW4954905 3865346 (70006994)</t>
  </si>
  <si>
    <t>Caucho Barra Torcion S Carry 4534150f10 (70006995)</t>
  </si>
  <si>
    <t>Cremallera Elevavidrio Delta 6981087301 (70006996)</t>
  </si>
  <si>
    <t>Espaciador Ajuste Media CJ 14718 4300912 (70006997)</t>
  </si>
  <si>
    <t>Disyuntor Luces 5 Patas 12v 4rd0077940 (70006998)</t>
  </si>
  <si>
    <t>Manguera Sup Radiador Nkr 8971474730 (70006999)</t>
  </si>
  <si>
    <t>Biela Piston Motor Npr 8971350321 (70007000)</t>
  </si>
  <si>
    <t>Bujia Precalentamiento Npr 8941337599 (70007001)</t>
  </si>
  <si>
    <t>Arandela Axial Cigueñal Isuzu 8943992770 (70007002)</t>
  </si>
  <si>
    <t>Arandela Axial Cigueñal Isuzu 8943992830 (70007003)</t>
  </si>
  <si>
    <t>Alternador Npr 8971896500 (70007004)</t>
  </si>
  <si>
    <t>Kit Chapeta Cruceta Cardan KW T 1707018x (70007005)</t>
  </si>
  <si>
    <t>Soporte Motor Izq Npr Isuzu 897201671 (70007006)</t>
  </si>
  <si>
    <t>Soporte Motor Der Npr Isuzu 897201669 (70007007)</t>
  </si>
  <si>
    <t>Manguera Inf Radiador Npr Isuzu 97177372 (70007008)</t>
  </si>
  <si>
    <t>Actuador De Sincronizacion KWh 4089540rv (70007009)</t>
  </si>
  <si>
    <t>Terminal Barra Direc Der Npr 8972225090 (70007010)</t>
  </si>
  <si>
    <t>Correa Ventilador Freighliner 8pk1700 (70007011)</t>
  </si>
  <si>
    <t>Manija Elevavidrio PTA Hi4300 3508990c4 (70007012)</t>
  </si>
  <si>
    <t>Carbura Carburador Motor S.C. Y Van N200 (70007013)</t>
  </si>
  <si>
    <t>Borne De P Borne De Plomo S.Carry 903100 (70007014)</t>
  </si>
  <si>
    <t>Extension Der Capo Hi 4300 3566717c2 (70007015)</t>
  </si>
  <si>
    <t>EMP Inf Vidrio PTA Hi4300 3557122c2- (70007016)</t>
  </si>
  <si>
    <t>EMP Sup Vidrio PTA Hi4300 3588772c1 (70007017)</t>
  </si>
  <si>
    <t>Motor Limpiabrisas Eagle 900 2015299c1 (70007018)</t>
  </si>
  <si>
    <t>Bocel Inf Capo Kemworth K2122900 (70007019)</t>
  </si>
  <si>
    <t>Tuerca Base Muelle Del Hi 4300 416743c1 (70007020)</t>
  </si>
  <si>
    <t>Ele Bisagra Capo Kemworth K282352 (70007021)</t>
  </si>
  <si>
    <t>RAD Co Radiador Con Panal Kenworth Nuevo (70007022)</t>
  </si>
  <si>
    <t>Cilindro Freno Del Izq Nhr 8971793580 (70007023)</t>
  </si>
  <si>
    <t>Base Emblema Frontal Capo KWh K170461 (70007024)</t>
  </si>
  <si>
    <t>Lampara Techo Ext Hi4300 3524553c94 (70007025)</t>
  </si>
  <si>
    <t>Disyuntor Luces 4 Patas 00351-0081 (70007026)</t>
  </si>
  <si>
    <t>Fan Clucht Npr 8971392990 (70007027)</t>
  </si>
  <si>
    <t>EMP Tapa VALVs Isx KWh Cummins 4026507 (70007028)</t>
  </si>
  <si>
    <t>Esparrago Rueda Tras Dcha Npr 8970815841 (70007029)</t>
  </si>
  <si>
    <t>Tuerca Esparrago RDA Tras Npr 9091105220 (70007030)</t>
  </si>
  <si>
    <t>Pivote Valvula Suspens Eagle 2501304c1 (70007031)</t>
  </si>
  <si>
    <t>Alternador Nhr Recom (70007032)</t>
  </si>
  <si>
    <t>Balinera Tapa Propulsor 6212-Znbr 6212zz (70007033)</t>
  </si>
  <si>
    <t>EMPtadura CJ 14915 SB N14 Fuller K2061 (70007034)</t>
  </si>
  <si>
    <t>Piñon 2da Tren Fijo Cj14915 Fuller 20380 (70007035)</t>
  </si>
  <si>
    <t>Troque Redondo Spicer Inca Nuevo Wn6775 (70007036)</t>
  </si>
  <si>
    <t>Valvula Pivote Freno SB N14 101860 (70007037)</t>
  </si>
  <si>
    <t>Esparrago Eje Nkrii 5093000661 (70007038)</t>
  </si>
  <si>
    <t>Tuerca Esparrago Nkrii 911802100 (70007039)</t>
  </si>
  <si>
    <t>Arandela Fijacion Esparrago N 9098552070 (70007040)</t>
  </si>
  <si>
    <t>Volante Motor Npr 8971157820 (70007041)</t>
  </si>
  <si>
    <t>Porta Escobillas ARR 41495 Nk 8971128730 (70007042)</t>
  </si>
  <si>
    <t>Empaquetadura Bomba Auxiliar Clucht Nhr (70007043)</t>
  </si>
  <si>
    <t>Abrazadera Mofle 5" Ref Ab-5 Tipo Herrad (70007044)</t>
  </si>
  <si>
    <t>Panel Lateral Izq NkrIII 8975821693 (70007045)</t>
  </si>
  <si>
    <t>Cubierta Espejo Ext Izq Nkr I 8975828404 (70007046)</t>
  </si>
  <si>
    <t>Tapa Llenado Aceite Eagle 3914136 (70007047)</t>
  </si>
  <si>
    <t>Kit Chapetas Cardan Hi 4300/4700 (70007048)</t>
  </si>
  <si>
    <t>Tapon Carter Nkr Iii 8943168000 (70007049)</t>
  </si>
  <si>
    <t>Puerta Cortina Accesorios Sencilla (70007050)</t>
  </si>
  <si>
    <t>BMB Agua VW 919052930 9610873100 (70007051)</t>
  </si>
  <si>
    <t>Codo Entrada Turbo Hi Eagle 1687612c1 (70007052)</t>
  </si>
  <si>
    <t>Sedimentador Combustible Npr 8970818142 (70007053)</t>
  </si>
  <si>
    <t>Soporte Camara Freno Tras Rh KWh 805944 (70007054)</t>
  </si>
  <si>
    <t>Chapa Puerta Der S Carry 8220170d00 (70007055)</t>
  </si>
  <si>
    <t>Lampara Luz Del Techo S Carry 3621085040 (70007056)</t>
  </si>
  <si>
    <t>Brazo Valvula Suspens Eagle 15000240 (70007057)</t>
  </si>
  <si>
    <t>Esquinero Frontal De Trailer (70007058)</t>
  </si>
  <si>
    <t>Lampara DIRal Lateral Sup VW 3a0949101a (70007059)</t>
  </si>
  <si>
    <t>Chapa PTA Tras S Carry Suzuki 316070d007 (70007060)</t>
  </si>
  <si>
    <t>Empaquetadura De Motor Nkr 5878147340 (70007061)</t>
  </si>
  <si>
    <t>Buje Biela Motor Nkr 8974574580 (70007062)</t>
  </si>
  <si>
    <t>Unidad Farola Grande 3427011 Iae-003427 (70007063)</t>
  </si>
  <si>
    <t>Puerta Der Nkr-Nhr 8975814441 (70007064)</t>
  </si>
  <si>
    <t>VALV Admision Culata Nk Isuzu 8941332752 (70007065)</t>
  </si>
  <si>
    <t>Tablero Odometro Cabina Nkrii 6910032830 (70007066)</t>
  </si>
  <si>
    <t>Grapa Muelle Tras Hi 4700 7/8x3x19" (70007067)</t>
  </si>
  <si>
    <t>Porta Repuesto Nkrii 8970158831 (70007068)</t>
  </si>
  <si>
    <t>Disco Embrague T Delta 3125036570 (70007069)</t>
  </si>
  <si>
    <t>Soporte Caucho Radiador KWh 3000100515 (70007070)</t>
  </si>
  <si>
    <t>Prensa Embrague T Delta 3121037030 (70007071)</t>
  </si>
  <si>
    <t>Set Rodillo Eje Nhr Foton 32209 Timken (70007072)</t>
  </si>
  <si>
    <t>Retenedores Varios Vehículos (70007073)</t>
  </si>
  <si>
    <t>Lampara DIRal Del Internatio 1661761 C- (70007074)</t>
  </si>
  <si>
    <t>Sensor Presion Combustible KWh 4921499 (70007075)</t>
  </si>
  <si>
    <t>Hoja Resorte Tras Nkr 3ra 22935/3 (70007076)</t>
  </si>
  <si>
    <t>Rache Freno Tras Eagle Hal4001014 (70007077)</t>
  </si>
  <si>
    <t>Tornillo Central MUE Del Nkr I Fabricado (70007078)</t>
  </si>
  <si>
    <t>Set Rodillo Rda Del Ex Timken 15106/250x (70007079)</t>
  </si>
  <si>
    <t>Bocin Rin Disco Nuevo Trailer B-12 (70007080)</t>
  </si>
  <si>
    <t>Set Rodillo Rda Ext Del KWh 807040/10 (70007081)</t>
  </si>
  <si>
    <t>Volante Motor N200 9016610 (70007082)</t>
  </si>
  <si>
    <t>Empaque Carter Nkr 8970801940 (70007083)</t>
  </si>
  <si>
    <t>Manguera Sup Radiador Npr 97210676 (70007084)</t>
  </si>
  <si>
    <t>Automatico Aux Arranq Eag 1693494c91 (70007085)</t>
  </si>
  <si>
    <t>Tapa DEP Limpiabrisas Kemwort C5720s (70007086)</t>
  </si>
  <si>
    <t>Tope Tope Muelle Trasero Toy Delta 1471 (70007087)</t>
  </si>
  <si>
    <t>Juego Escobillas X 4 M ARR 42mt 1852892 (70007088)</t>
  </si>
  <si>
    <t>Banda Tras Eagle - Kw T800 4709 (70007089)</t>
  </si>
  <si>
    <t>Hoja Resorte Tras Nkr 4ta 22935/4 (70007090)</t>
  </si>
  <si>
    <t>Balinera Polea Tensora KW Df0617llv (70007091)</t>
  </si>
  <si>
    <t>Lampara Ppal Izq Completa Nkr (70007092)</t>
  </si>
  <si>
    <t>Kit Sellos BMB Hidraulica Luk 1669456c91 (70007093)</t>
  </si>
  <si>
    <t>Hoja Resorte Del Nkrii 3ra 22934/3 (70007094)</t>
  </si>
  <si>
    <t>Hoja Resorte Del Nkrii 4ta 22934/4 (70007095)</t>
  </si>
  <si>
    <t>FILT COMB VW Tecfil Psc491 (70007096)</t>
  </si>
  <si>
    <t>Tapizado Techo Cabina Nhr Nkr (70007097)</t>
  </si>
  <si>
    <t>Lampara DIRal Del Internatio 1661762 C- (70007098)</t>
  </si>
  <si>
    <t>Resorte Banda Freno Del Nkr 8970787390 (70007099)</t>
  </si>
  <si>
    <t>Balancin Muelle Tras Npr 15530009 (70007100)</t>
  </si>
  <si>
    <t>Juego Casquete Bancada Nkrii 8970632600 (70007101)</t>
  </si>
  <si>
    <t>Retenedor Rueda Tras Nkr III 8943363141 (70007102)</t>
  </si>
  <si>
    <t>Tobera Inyector Nkr 1050172380 (70007103)</t>
  </si>
  <si>
    <t>Kit Mayor Fan Clucht KWh 994985 (70007104)</t>
  </si>
  <si>
    <t>Empaquetadura Secador Aire KWh 109495bxw (70007105)</t>
  </si>
  <si>
    <t>Deposito Liquido Freno Moto 3w180 (70007106)</t>
  </si>
  <si>
    <t>Campana Freno Trasera Jac 1120 (70007107)</t>
  </si>
  <si>
    <t>Banda Del Tras Jack 9146 Remachada (70007108)</t>
  </si>
  <si>
    <t>Juego Escobillas Arranque Npr Bye-65 (70007109)</t>
  </si>
  <si>
    <t>Codo Escualizable Manguera Acpm Husk-05 (70007110)</t>
  </si>
  <si>
    <t>Juego Contacto Arranque Npr Cat (70007111)</t>
  </si>
  <si>
    <t>Mon Jan 01 8125 00:00:00 GMT-0500 (hora (70007112)</t>
  </si>
  <si>
    <t>Eje Corredizo Caja 14915 SB N14 S2688 (70007113)</t>
  </si>
  <si>
    <t>Diafragma Camara Aire Tipo 30 (70007114)</t>
  </si>
  <si>
    <t>Plato Freno Parqueo Nkr 8970345532 (70007115)</t>
  </si>
  <si>
    <t>Hoja Resorte Delantera Nkr 22934/6 (70007116)</t>
  </si>
  <si>
    <t>VALV Silla AIR Baja Presion EG 2505476c1 (70007117)</t>
  </si>
  <si>
    <t>Diafragma Camara Del Tipo 24 (70007118)</t>
  </si>
  <si>
    <t>BMB Transferencia Isx EGL 536225 4935094 (70007119)</t>
  </si>
  <si>
    <t>Tope Bomper Octagonal Contenedor 1583 (70007120)</t>
  </si>
  <si>
    <t>Bomba Freno Npr - 8972243710 (70007121)</t>
  </si>
  <si>
    <t>Kit Reparacion Motor 3 Nkr 5878131950 (70007122)</t>
  </si>
  <si>
    <t>Clip Mascarilla Radiad Npr-Nk 8978927300 (70007123)</t>
  </si>
  <si>
    <t>Empaque Culata N-1 Nkr 8973503180 (70007124)</t>
  </si>
  <si>
    <t>Racor Mano Trailer Especial 248 (70007125)</t>
  </si>
  <si>
    <t>Cremallera Puerta Der Eagle M2009876c1 (70007126)</t>
  </si>
  <si>
    <t>Cerradura INTna PTA Dcha Delt 6931097301 (70007127)</t>
  </si>
  <si>
    <t>Panel CTRL AIR Calefacción KWh F2110073 (70007128)</t>
  </si>
  <si>
    <t>Pasador Central Nkr III 12mmx140mm (70007129)</t>
  </si>
  <si>
    <t>Acople Divisor Potencia SB N1 6.5-4-3911 (70007130)</t>
  </si>
  <si>
    <t>Sensor Crucero Hi 4700 Eagle 2042478c2 (70007131)</t>
  </si>
  <si>
    <t>Manguera Siliconada 1 3/4 (70007132)</t>
  </si>
  <si>
    <t>Pin Piñon DeSplazable CJ 14718 EGL 14750 (70007133)</t>
  </si>
  <si>
    <t>Balinera Torre CJ 14718 EGL Ful4301851 (70007134)</t>
  </si>
  <si>
    <t>Hoja Resorte Del Npr 22916/6 (70007135)</t>
  </si>
  <si>
    <t>RET Tras CJ Nkr-Nhr 898189443 8972572960 (70007136)</t>
  </si>
  <si>
    <t>Varilla Cilindro Embrague Npr 8944578600 (70007137)</t>
  </si>
  <si>
    <t>Piñon Torre 1ra Cj 14718 EGL Eaton 21025 (70007138)</t>
  </si>
  <si>
    <t>Piñon Doble Bajo Cj 14718 Eaton 4300938 (70007139)</t>
  </si>
  <si>
    <t>Desfogue Tanque Acpm SB N14 3587712c1 (70007140)</t>
  </si>
  <si>
    <t>Cremallera Volante Motor Nhr 8944196021 (70007141)</t>
  </si>
  <si>
    <t>Fan Clucht Nhr 8942444090 8978551530 (70007142)</t>
  </si>
  <si>
    <t>Unidad Optica Rectangular Delta 4651 (70007143)</t>
  </si>
  <si>
    <t>Buje Balancin Nylon Trailer Dite Tl08006 (70007144)</t>
  </si>
  <si>
    <t>Deposito Liquido De Frenos 3985063 Sb (70007145)</t>
  </si>
  <si>
    <t>Buje Caucho Balancin TRL Dite Tl08003 (70007146)</t>
  </si>
  <si>
    <t>RET Externo Resorte Caucho Dite Tl01062 (70007147)</t>
  </si>
  <si>
    <t>Zapa Del Tras Izq Eagle 3500954c1 (70007148)</t>
  </si>
  <si>
    <t>Resorte Tapa Torre 2536 (70007149)</t>
  </si>
  <si>
    <t>Carcaza Infer Espejo Izq Isx 3535075c2 (70007150)</t>
  </si>
  <si>
    <t>Soporte Del Motor Eagle 23509771 (70007151)</t>
  </si>
  <si>
    <t>Seguro Persiana T Delta 9004468328 (70007152)</t>
  </si>
  <si>
    <t>Balinera Fan Clucht Y Eje Caja 6207 2rs (70007153)</t>
  </si>
  <si>
    <t>Harness Freno Motor Isx KWh 4059210 (70007154)</t>
  </si>
  <si>
    <t>Pin Eje Revso Caja 14915 SB N14 4303336 (70007155)</t>
  </si>
  <si>
    <t>Bracket Sup Tipo Cortina Pta 6943 (70007156)</t>
  </si>
  <si>
    <t>Switch Direcales KWh 480796 (70007157)</t>
  </si>
  <si>
    <t>Deposito Aceite Hidraulico SB N14 3530 (70007158)</t>
  </si>
  <si>
    <t>Buje Tensor Trailer Gran Danes Usa300 (70007159)</t>
  </si>
  <si>
    <t>Bateria 31h - 1250 T/P Willard (70007160)</t>
  </si>
  <si>
    <t>Kit Camisa Piston Mot G 4 Nhr 5878131960 (70007161)</t>
  </si>
  <si>
    <t>Conector MANG Desfogue S Carr 8970777131 (70007163)</t>
  </si>
  <si>
    <t>Bomba Vacio Nhr - 8973513410 (70007164)</t>
  </si>
  <si>
    <t>Guaya Control Acelerador Nkr 8978562234 (70007165)</t>
  </si>
  <si>
    <t>Paral Frente Trailer Fabricado (70007166)</t>
  </si>
  <si>
    <t>SENS TEMP MOT Agrale 7001523009 (70007167)</t>
  </si>
  <si>
    <t>Propulsor 2" Caja 1715 Eagle 20535 (70007168)</t>
  </si>
  <si>
    <t>Pin Tren Fijo Rt 906 Eagle 14317 (70007169)</t>
  </si>
  <si>
    <t>Tuerca Caja Fuller 14718 Eagle 22254 (70007170)</t>
  </si>
  <si>
    <t>Buje CTRL Cambios Pequeño Nhr 8970851570 (70007171)</t>
  </si>
  <si>
    <t>Tapa Filtro Combustible Npr 8971725431 (70007172)</t>
  </si>
  <si>
    <t>CIL Freno Del Sin Purga Npr 8971398210 (70007173)</t>
  </si>
  <si>
    <t>Cruceta Cardan Nkr Ii 95607079 (70007174)</t>
  </si>
  <si>
    <t>Kit Embrague Nhr Nuevo (70007175)</t>
  </si>
  <si>
    <t>Campana Freno Parqueo Npr 8970339891 (70007176)</t>
  </si>
  <si>
    <t>Valvula Palanca Cambios KWh A6918 (70007177)</t>
  </si>
  <si>
    <t>Barra Direccion Npr 8970618690 (70007178)</t>
  </si>
  <si>
    <t>Resorte Capot Eagle 598574c3 (70007179)</t>
  </si>
  <si>
    <t>Kit Embrague Eagle 10893582mo (70007180)</t>
  </si>
  <si>
    <t>Recibidor Chapa Puerta KW 7000100673 (70007181)</t>
  </si>
  <si>
    <t>Extension Capot Izq Eagle 3518981c3 (70007182)</t>
  </si>
  <si>
    <t>Tapa Cubo Rueda Del Npr 8973601010 (70007183)</t>
  </si>
  <si>
    <t>Cruceta Cardan Mixta Del Spl250x Kw (70007184)</t>
  </si>
  <si>
    <t>Lampara Lateral Dir Eagle 2001304c92 (70007185)</t>
  </si>
  <si>
    <t>Kit Em Kit Embrag.Con Turbo Nkrii 510035 (70007186)</t>
  </si>
  <si>
    <t>Soporte Tope Capo Izquiero KWh K179-481 (70007187)</t>
  </si>
  <si>
    <t>Exploradora Pequeña Redonda 8 2031355c91 (70007188)</t>
  </si>
  <si>
    <t>Guardapolvo Columna Dir Nkr 8970768220 (70007189)</t>
  </si>
  <si>
    <t>Base Espejo Retrovisor Dcho D 8790287329 (70007190)</t>
  </si>
  <si>
    <t>Guardafango Del Der Npr 8975812400 (70007191)</t>
  </si>
  <si>
    <t>Guardapolvo Columna Direc Nkr 8972011150 (70007192)</t>
  </si>
  <si>
    <t>Manguera Agua Motor Nkr 8972216760 (70007193)</t>
  </si>
  <si>
    <t>Bomba Principal Freno Nkr 8973151640 (70007194)</t>
  </si>
  <si>
    <t>Amortiguador Capot Eagle 3501427c1 (70007196)</t>
  </si>
  <si>
    <t>Graduacion Freno Trasero Toyota Delta (70007197)</t>
  </si>
  <si>
    <t>Asiento Valvulas Admision Nhr 8972312280 (70007198)</t>
  </si>
  <si>
    <t>Fan Clutch Eagle Isx 10900950001 (70007199)</t>
  </si>
  <si>
    <t>Asiento Valvulas Escape Nhr 8972312290 (70007200)</t>
  </si>
  <si>
    <t>Relay Intermitente Nhr 8972283980 (70007201)</t>
  </si>
  <si>
    <t>Manguera Pos-Enfriador Eagle 1673866c1 (70007202)</t>
  </si>
  <si>
    <t>Terminal Barra Dccion Dcha KWh Es2091r (70007203)</t>
  </si>
  <si>
    <t>Arandela SOP Del CAB EGL 3514218c1 (70007204)</t>
  </si>
  <si>
    <t>Extension Capot Der Eagle 3518982c3 (70007205)</t>
  </si>
  <si>
    <t>Horquilla Eje Clutch Eagle 3523967c2 (70007206)</t>
  </si>
  <si>
    <t>Sello Bomper Izq Eagle 3590925c1 (70007207)</t>
  </si>
  <si>
    <t>Sello Bomper Der Eagle 3590926c1 (70007208)</t>
  </si>
  <si>
    <t>Soporte Tras Motor Eagle 507569c91 (70007209)</t>
  </si>
  <si>
    <t>Estribo TANQ Combus EGL 3585893 556680c3 (70007210)</t>
  </si>
  <si>
    <t>Motor Tanque Limpiabrisas Npr 8978551380 (70007211)</t>
  </si>
  <si>
    <t>BRR Estabilizadora Tandem EGL 1516350c91 (70007212)</t>
  </si>
  <si>
    <t>Sillin Tandem Suspencion EGL Hd31017096 (70007213)</t>
  </si>
  <si>
    <t>Varilla Mecanismo Limpiab Izq 8978551540 (70007214)</t>
  </si>
  <si>
    <t>Pasador Central 7/16 X 8" Nkr (70007215)</t>
  </si>
  <si>
    <t>BRR Estabilizadora Tandem EGL Hd44643009 (70007216)</t>
  </si>
  <si>
    <t>Caja Direc T Delta 4411087303 (70007217)</t>
  </si>
  <si>
    <t>Barra Torcion Cabina Npr 8972618720 (70007218)</t>
  </si>
  <si>
    <t>Quinta Rueda Holland Inca Fw357801xr (70007219)</t>
  </si>
  <si>
    <t>Bomba Direc Hidraulica Npr 8971365741 (70007220)</t>
  </si>
  <si>
    <t>Eje De Toma S1659 Caja SB N14 20535 (70007221)</t>
  </si>
  <si>
    <t>Kit Embrague Foton 1030 5946758178 (70007222)</t>
  </si>
  <si>
    <t>Vidrio Puerta Izquierda Delta (70007223)</t>
  </si>
  <si>
    <t>Kit Soporte Radiador Eagle M1693647c9 (70007224)</t>
  </si>
  <si>
    <t>Tapa Tras Motor Arranque SBn14 42-Mt (70007225)</t>
  </si>
  <si>
    <t>Bomba Direc Hca Eagle S60 791114 (70007226)</t>
  </si>
  <si>
    <t>Eliminador Empaque 515 (70007227)</t>
  </si>
  <si>
    <t>Kit Soporte Cardan Npr 95615972 (70007228)</t>
  </si>
  <si>
    <t>Puerta Del Izq Super Carry 6800271d00 (70007229)</t>
  </si>
  <si>
    <t>Arandela Picaporte TRL Fabric 1.7/16x7/8 (70007230)</t>
  </si>
  <si>
    <t>Disco Embrague Npr 9" Nuevo 581039 (70007231)</t>
  </si>
  <si>
    <t>Kit Bujes Levas Hi 4700 Fp 680117 (70007232)</t>
  </si>
  <si>
    <t>Abrazadera Cremallera 10 (70007233)</t>
  </si>
  <si>
    <t>Recibidor Cinturon Seguridad Mula (70007234)</t>
  </si>
  <si>
    <t>Ador Adorno Faro Del. Nkr Iii 8979947930 (70007235)</t>
  </si>
  <si>
    <t>EMP Lamevidrio PTA Izq Nkr Nh 8978521186 (70007236)</t>
  </si>
  <si>
    <t>EMP Lamevidrio Pta Int Izq Nk 8978552936 (70007237)</t>
  </si>
  <si>
    <t>Stop Der Nissan Pathfinder 265502w625 (70007238)</t>
  </si>
  <si>
    <t>Hoja Resorte Ppal Trailer Dite Tl644 E3h (70007239)</t>
  </si>
  <si>
    <t>Bomba Freno Nhr 8970706280 (70007240)</t>
  </si>
  <si>
    <t>Tapa Tanque Acpm T Delta 7730187309 (70007241)</t>
  </si>
  <si>
    <t>Juego Casquetes Cigueña Isuzu 8972194570 (70007242)</t>
  </si>
  <si>
    <t>Lampara DIRal Capo Izq EGL 2505366c91 (70007243)</t>
  </si>
  <si>
    <t>Kit Chupas Freno Del Nhr 5878316020 (70007244)</t>
  </si>
  <si>
    <t>Kit Chupas Freno Tras Nhr 5878316250 (70007245)</t>
  </si>
  <si>
    <t>Balancin Muelle Tras Nhr 8944382352 (70007246)</t>
  </si>
  <si>
    <t>Tapa Baja Caja Fuller SB N14 K 1476 (70007247)</t>
  </si>
  <si>
    <t>Kit Bujes Leva Motor Isx 368058000 (70007248)</t>
  </si>
  <si>
    <t>Kit Empaque Yamaha Dt 175 (70007249)</t>
  </si>
  <si>
    <t>Kit Retenedores Caja Akt 125 (70007250)</t>
  </si>
  <si>
    <t>Kit Embrague Yamaha Dt 175 (70007251)</t>
  </si>
  <si>
    <t>Bocin Eje Rueda Tras KWh Hr 935 (70007252)</t>
  </si>
  <si>
    <t>Piñon 4ta Fijo Caja 14715 KWh 20378 (70007253)</t>
  </si>
  <si>
    <t>Piñon 5ta Fijo Caja 14715 SB350 20459 (70007254)</t>
  </si>
  <si>
    <t>Juego Cilindro Puerta Nkr III 897095870 (70007255)</t>
  </si>
  <si>
    <t>ElectroVALV Freno Internatio 288905 C-1 (70007256)</t>
  </si>
  <si>
    <t>Base Muelle Del Hi 4300 3533236c1 (70007257)</t>
  </si>
  <si>
    <t>Tope Muelle Del Hi 4300 3534827c1 (70007258)</t>
  </si>
  <si>
    <t>Seguro Puerta Hi4300 3511058c2 (70007259)</t>
  </si>
  <si>
    <t>Hoja Resorte Tras 4ta S Carry 4131063710 (70007260)</t>
  </si>
  <si>
    <t>Cruceta Mixta Cardan SB 5-281x 5-510x 8" (70007261)</t>
  </si>
  <si>
    <t>Gancho Capo Hi4300 3544924c1 (70007262)</t>
  </si>
  <si>
    <t>EMP Lamevidrio Pta Ext Der Np 8978552926 (70007263)</t>
  </si>
  <si>
    <t>Balinera Piñon Loco Nkr Jgox2 8972189471 (70007264)</t>
  </si>
  <si>
    <t>Tubo Inyector Aceite Dist Piñ 8971607060 (70007265)</t>
  </si>
  <si>
    <t>Recibidor Gancho Hi 4300 3544925c2 (70007266)</t>
  </si>
  <si>
    <t>Bomba Aux Clutch Nhr-Nkr 8970479710 (70007267)</t>
  </si>
  <si>
    <t>Turbo Alimentador MOT Garret 8973311850 (70007268)</t>
  </si>
  <si>
    <t>VALV Freno Estacionamiento Vol 2vc607403 (70007269)</t>
  </si>
  <si>
    <t>Broche Sujetador Panel CAB Hi4 3548696c3 (70007270)</t>
  </si>
  <si>
    <t>Juego Splinder KW800 328347etn (70007271)</t>
  </si>
  <si>
    <t>SOP Bomper Del Der Nhr Isuzu 8970357516 (70007272)</t>
  </si>
  <si>
    <t>SOP Bomper Del Izq Nhr Isuzu 8970357526 (70007273)</t>
  </si>
  <si>
    <t>Yoke Del Yoke Delan. Kenworth 1704341 Ix (70007274)</t>
  </si>
  <si>
    <t>Terminal Mando CJ Volskwagen Ap2rp71155 (70007275)</t>
  </si>
  <si>
    <t>Tapa TANQ COMB Freigthliner R033446700 (70007276)</t>
  </si>
  <si>
    <t>Kin Ping De Plato Con Tornillo Pr1012-01 (70007277)</t>
  </si>
  <si>
    <t>Trapecio Brazo Limpiabrisas KWh K339-861 (70007278)</t>
  </si>
  <si>
    <t>Kit Valvula Divisor KWh Fulk3331 (70007279)</t>
  </si>
  <si>
    <t>Caja Guantera Panel Nkr 8978531505 (70007280)</t>
  </si>
  <si>
    <t>RET Divisor Tras Del EGL A1120 1205p2590 (70007281)</t>
  </si>
  <si>
    <t>EMPtadura VALV Selectora SB N14 K1935 (70007282)</t>
  </si>
  <si>
    <t>Vidrio Puerta Izquierda Nkrii (70007283)</t>
  </si>
  <si>
    <t>Brazo Plumilla Izq Hi4300 3535049c2 (70007284)</t>
  </si>
  <si>
    <t>Brazo Plumilla Der Hi4300 3535050c3 (70007285)</t>
  </si>
  <si>
    <t>Panel Techo Cabina Hi4300 2506061c91 (70007286)</t>
  </si>
  <si>
    <t>Zapa Del Tras Hi 4300 3527264c91 (70007287)</t>
  </si>
  <si>
    <t>Correa VENT Nhr Ref 897315153 8971415140 (70007288)</t>
  </si>
  <si>
    <t>Kit Amortiguador Tras Npr 95622276 (70007289)</t>
  </si>
  <si>
    <t>Tapa CJ Bateria EGL 3578369C2 2001527c94 (70007290)</t>
  </si>
  <si>
    <t>FILT Separ Combu Frei Fleetguard Fs19593 (70007291)</t>
  </si>
  <si>
    <t>EMP Base Lateral Turbo Npr 8971466830 (70007292)</t>
  </si>
  <si>
    <t>Correa Ventilador Nhr 22405 (70007293)</t>
  </si>
  <si>
    <t>Juego Splinder Nkr Ii 5878316082 (70007294)</t>
  </si>
  <si>
    <t>Manija Ext Puerta Izq Npr 8978677221 (70007295)</t>
  </si>
  <si>
    <t>Hoja Resort Tras KW-Eagle 0759007/7 (70007296)</t>
  </si>
  <si>
    <t>Hoja Resorte Tras Nkr 22935/2cv (70007297)</t>
  </si>
  <si>
    <t>Acople Rapido Hembra 91404 (70007298)</t>
  </si>
  <si>
    <t>Cardan Co Cardan Corto Kenwort C-1708239 (70007299)</t>
  </si>
  <si>
    <t>Terminal Direc Der Nhr Isuzu 8971073482 (70007300)</t>
  </si>
  <si>
    <t>Terminal Direc Izq Nhr Isuzu 8971073492 (70007301)</t>
  </si>
  <si>
    <t>DEP Agua Limpiabrisas EGL 497961c91 (70007302)</t>
  </si>
  <si>
    <t>Guia VALV Culata Nkr II Isuzu 5117210160 (70007303)</t>
  </si>
  <si>
    <t>VALV Escape Culata Nkr Isuzu 8942478752 (70007304)</t>
  </si>
  <si>
    <t>Balinera Embrague Volkswagen 8 5 3367 (70007305)</t>
  </si>
  <si>
    <t>Correa VENT 8pk1855 Internatio 8pk 1855 (70007306)</t>
  </si>
  <si>
    <t>Termostato Motor Nhr 897367700 (70007307)</t>
  </si>
  <si>
    <t>Stop Tras Izq Eagle 1661281c91 (70007308)</t>
  </si>
  <si>
    <t>Tapa Guantera Npr 8971821900 (70007309)</t>
  </si>
  <si>
    <t>CIL Freno Del Trs Izq Nh Nk S 8971793600 (70007310)</t>
  </si>
  <si>
    <t>Tapa RAD MOT Nkr Conven Isuzu 8971829350 (70007311)</t>
  </si>
  <si>
    <t>Hoja Resorte Del Npr 22918/2 (70007312)</t>
  </si>
  <si>
    <t>Oring Enfriador Aceite Npr 8973841300 (70007313)</t>
  </si>
  <si>
    <t>Oring Enfriador Aceite Npr 8943388781 (70007314)</t>
  </si>
  <si>
    <t>Tapiz Piso Cabina Nhr-Nkr 97070834 (70007315)</t>
  </si>
  <si>
    <t>Manguera Enfriador Aceite Nhr 8941744641 (70007316)</t>
  </si>
  <si>
    <t>Piñon Velocimetro Cj 14715 N Eaton 20191 (70007317)</t>
  </si>
  <si>
    <t>Tubo Terminal Mofle 5" Cromado 207002 (70007318)</t>
  </si>
  <si>
    <t>Modulo Alarma CTRL Nivel Refr 8970632730 (70007319)</t>
  </si>
  <si>
    <t>Bomba Aux Clutch Npr 8970328471 (70007320)</t>
  </si>
  <si>
    <t>Bomba Engranaje Asx KWh 4089431rx (70007321)</t>
  </si>
  <si>
    <t>Amortiguador Del Nhr-Nkr 8972536150 (70007322)</t>
  </si>
  <si>
    <t>BMB Transferencia Elect Isx KWh 4076580 (70007323)</t>
  </si>
  <si>
    <t>Acople Rapido Aire Ara-06 3/8 (70007324)</t>
  </si>
  <si>
    <t>Multiple Sensores 2015711c1 Hi 9400 (70007325)</t>
  </si>
  <si>
    <t>Bomba Agua Toyota Delta 161005916600 (70007326)</t>
  </si>
  <si>
    <t>Medidor Tanque Combustible Kw 3000100331 (70007327)</t>
  </si>
  <si>
    <t>Juego Guardapolvo Tras KWh Gmx1900 (70007328)</t>
  </si>
  <si>
    <t>Cremallera Elevavidrio Dcho N 8978521155 (70007329)</t>
  </si>
  <si>
    <t>Enflanche Trasm Tras SB Spicer 6-4-7561x (70007330)</t>
  </si>
  <si>
    <t>Thu Feb 01 2463 00:00:00 GMT-0500 (hora (70007331)</t>
  </si>
  <si>
    <t>Balancin Motor Hyundai H100 Poter (70007332)</t>
  </si>
  <si>
    <t>Radiador Npr Nuevo 95620780 (70007333)</t>
  </si>
  <si>
    <t>Tapon Conducto Admision Nkr Fabricado (70007334)</t>
  </si>
  <si>
    <t>Tapa Radiador Motor KWh Acx1852 (70007335)</t>
  </si>
  <si>
    <t>Lampara Direcal KWh 55340 (70007336)</t>
  </si>
  <si>
    <t>Buje Bisagra Capo KWh M300-70nr (70007337)</t>
  </si>
  <si>
    <t>Correa Bomba Agua 6pk-1040 (70007338)</t>
  </si>
  <si>
    <t>Varilla Sup Espejo KWh 9-K053-562 (70007339)</t>
  </si>
  <si>
    <t>Buje Central Bastidor SB N14 5919 (70007340)</t>
  </si>
  <si>
    <t>Piñon Corredizo SB N14 4ta Eaton 4304317 (70007341)</t>
  </si>
  <si>
    <t>Pasador Horquilla 3-4 N200 24517070 (70007342)</t>
  </si>
  <si>
    <t>Terminal Direc Der S Carry 4881079000 (70007343)</t>
  </si>
  <si>
    <t>Terminal Direc Izq S Carry 4882079000 (70007344)</t>
  </si>
  <si>
    <t>Guaya Selectora Cambios Nkr 8970899864 (70007345)</t>
  </si>
  <si>
    <t>Horquilla Bendix ARR SB 42mt 1945484 (70007346)</t>
  </si>
  <si>
    <t>Horquilla CJ 14715 SB N14 Eaton 105c137 (70007347)</t>
  </si>
  <si>
    <t>Balinera Volante Nkr Rewar 5876101100 (70007348)</t>
  </si>
  <si>
    <t>RET Tras Externo FT BJ 1128 5946737425 (70007349)</t>
  </si>
  <si>
    <t>Swicht Selector Velocidad Cruc P27104015 (70007350)</t>
  </si>
  <si>
    <t>Filtro Aire KW T800 Goby Ag961194r (70007351)</t>
  </si>
  <si>
    <t>Tapiz Interior Pilar Cabina Nkr Rw 89740 (70007352)</t>
  </si>
  <si>
    <t>Tapiz Puerta Derecha Nkr Rw 8974053056 (70007353)</t>
  </si>
  <si>
    <t>Panel Lateral Carroceria Nkr Rw 89749876 (70007354)</t>
  </si>
  <si>
    <t>Moldura Puerta Rh Nmr Nkr Rw 8980227601 (70007355)</t>
  </si>
  <si>
    <t>Tapon Agujero Pta Del Der Nkr Rw 8980299 (70007356)</t>
  </si>
  <si>
    <t>Moldura INF Farolma Nkr Rw 8980340561 (70007357)</t>
  </si>
  <si>
    <t>RET 60x90x12 Bocin Del FT 7701023998475 (70007358)</t>
  </si>
  <si>
    <t>RET 100x120x13 Tras FT 7701023493512 (70007359)</t>
  </si>
  <si>
    <t>RET 35x46x7 Sem Tras FT 7701023086332 (70007360)</t>
  </si>
  <si>
    <t>Horquilla Embrague Nhr 8970245280 (70007361)</t>
  </si>
  <si>
    <t>Esparrago Eje 10 X 50 Y Tuerca Nkr (70007362)</t>
  </si>
  <si>
    <t>Tapa Valvula Motor Npr 8943960152 (70007363)</t>
  </si>
  <si>
    <t>FILT Secador AIR Prostar Wabco Bx5008414 (70007364)</t>
  </si>
  <si>
    <t>Piñón Tercera Ftr 8981685010 (70007365)</t>
  </si>
  <si>
    <t>Alternador 100a Mack Cxu 21286172 (70007366)</t>
  </si>
  <si>
    <t>Tubo BRR Tensora Corta Prosta Hd64473000 (70007367)</t>
  </si>
  <si>
    <t>Buje Xtrb Corbatin Barpin Pro Hd66649002 (70007368)</t>
  </si>
  <si>
    <t>Buje Xtrb Conico Prostar Hend Hd66649004 (70007369)</t>
  </si>
  <si>
    <t>Grapa Muelle Tras FTR 1878702681 (70007370)</t>
  </si>
  <si>
    <t>VALV Seguro TANQ AIR MCK Anthem 23300004 (70007371)</t>
  </si>
  <si>
    <t>Camara Freno Ahogo Nkr III 8980435960 (70007372)</t>
  </si>
  <si>
    <t>Retrovisor Con Desempañante KW T8 Sh716s (70007373)</t>
  </si>
  <si>
    <t>Barra Corta Direccion Mack Cxu 25190682 (70007374)</t>
  </si>
  <si>
    <t>BMB Principal EMB Jac 1042 1605010le0 (70007375)</t>
  </si>
  <si>
    <t>Zapata 1 Freno Tras FT 1128 770594692708 (70007376)</t>
  </si>
  <si>
    <t>Zapata 2 Freno Tras FT 1128 770594692709 (70007377)</t>
  </si>
  <si>
    <t>Pin Plastico Esquinero Jac 1120 5302103l (70007378)</t>
  </si>
  <si>
    <t>SOP Sup Amortiguador/Cxu 8083 2330000297 (70007379)</t>
  </si>
  <si>
    <t>Zapa Muelle Tras Part. Del Derecha Ftr 1 (70007380)</t>
  </si>
  <si>
    <t>Carcasa Espejo Retrovisor Izq INT Lt 251 (70007381)</t>
  </si>
  <si>
    <t>Anillos X 1 Piston FT 1030 7705946686143 (70007382)</t>
  </si>
  <si>
    <t>Casquetes De Bancada FT 1030 77095946760 (70007383)</t>
  </si>
  <si>
    <t>Casquetes De Biela FT 1030 7709594676028 (70007384)</t>
  </si>
  <si>
    <t>BMB Transferencia CUMM 4983584 Planta EL (70007385)</t>
  </si>
  <si>
    <t>Carcasa Switch Encendido INT Lt 3545580c (70007386)</t>
  </si>
  <si>
    <t>Medidor De COMB Hi Internatio 1684364c7 (70007387)</t>
  </si>
  <si>
    <t>BMB Hidraulica Plataforma Quimicos 12v 0 (70007388)</t>
  </si>
  <si>
    <t>Tuerca Tornillo Su Internatio 2022651 C1 (70007389)</t>
  </si>
  <si>
    <t>Balinera Embrague Jac 1120 J7516010307 (70007390)</t>
  </si>
  <si>
    <t>Tornillo Tapa Distribucion Nkr Rw Fabric (70007391)</t>
  </si>
  <si>
    <t>Sensor Freno Mack Cxu 25165995 (70007392)</t>
  </si>
  <si>
    <t>Interruptor Encendido Nkr III 8975567310 (70007393)</t>
  </si>
  <si>
    <t>Luna Espejo Sup Eagle 2514725c2 (70007394)</t>
  </si>
  <si>
    <t>Resorte Zapata Freno Tras FT 1023082433 (70007395)</t>
  </si>
  <si>
    <t>Tubo De Inyeccion N-3 Hi466 1817933c4 (70007396)</t>
  </si>
  <si>
    <t>Tornillo Carcaza Volante Isx EGL 3022148 (70007397)</t>
  </si>
  <si>
    <t>Arandela Carcaza Volante Isx EGL 127316 (70007398)</t>
  </si>
  <si>
    <t>Oring Bomba Hidraulico Npr 8971018752 (70007399)</t>
  </si>
  <si>
    <t>SOP INTno Sup Persiana KW T800 N77-1167 (70007400)</t>
  </si>
  <si>
    <t>Buje Frontal Arbol De Levas FT 1065 7701 (70007401)</t>
  </si>
  <si>
    <t>FILT AIR Da2671 Planta ELEC Pasto Da2671 (70007402)</t>
  </si>
  <si>
    <t>Piñon De 3ra Eje Corredizo CJ FT 1129 77 (70007403)</t>
  </si>
  <si>
    <t>Varilla Nivel De Aceite T Prado 53015014 (70007404)</t>
  </si>
  <si>
    <t>Espejo Retrovisor Izq DFENG ELEC 1105465 (70007405)</t>
  </si>
  <si>
    <t>EMP Silenciador Escape Van N200 24515268 (70007406)</t>
  </si>
  <si>
    <t>INTruptor Ignicion FT Mv5 7705946027663 (70007407)</t>
  </si>
  <si>
    <t>RET DEL Cigueñal Daf Cf480 1876189 (70007408)</t>
  </si>
  <si>
    <t>Rodamiento DEL Tren Fijo CJ 16918 430602 (70007409)</t>
  </si>
  <si>
    <t>Rodamiento Eje Toma Caja 16918 81504 (70007410)</t>
  </si>
  <si>
    <t>Rodamiento TRAS Tren Fijo CJ 16918 43060 (70007411)</t>
  </si>
  <si>
    <t>Recibidor Chapa Puerta Eagle 1677462c1 (70007412)</t>
  </si>
  <si>
    <t>Bujias Moto (70007413)</t>
  </si>
  <si>
    <t>Boquilla Salida Turbo 3540376c1 (70007414)</t>
  </si>
  <si>
    <t>Cremallera Vidrio Pta Izq Npr 8978521167 (70007415)</t>
  </si>
  <si>
    <t>Disco Embrague SB N14 128257-258 (70007416)</t>
  </si>
  <si>
    <t>Joke Cardan Central Npr 14342002kt (70007417)</t>
  </si>
  <si>
    <t>Tapa Bocin RDA Del EGL Kw Eaton 1613chr (70007418)</t>
  </si>
  <si>
    <t>Jgo Bobinas De Campo Motor Arranque Nkr (70007420)</t>
  </si>
  <si>
    <t>Trampa Filtro Fuel Pro SB N14 Fh23029flg (70007421)</t>
  </si>
  <si>
    <t>Grifo Tanque Aire 59211 (70007422)</t>
  </si>
  <si>
    <t>Lampara Direcal Izq Nkr 8980539780 (70007423)</t>
  </si>
  <si>
    <t>Buje Eje Levas Motor Nkr III 8973781480 (70007424)</t>
  </si>
  <si>
    <t>Sensor Presion Crucero SB N14 76061 (70007425)</t>
  </si>
  <si>
    <t>Carcaza Reparticion Isx 4059396 (70007426)</t>
  </si>
  <si>
    <t>Juego Escobillas Arranque Motor Npr 3411 (70007427)</t>
  </si>
  <si>
    <t>Tapa Filtro Aire Npr 8972280900 (70007428)</t>
  </si>
  <si>
    <t>Cable Duplex 2 X 18 Negro (70007430)</t>
  </si>
  <si>
    <t>Pedal Clucht S Carry 4981085311 (70007431)</t>
  </si>
  <si>
    <t>Asiento Valvula Escape Npr 8943961720 (70007432)</t>
  </si>
  <si>
    <t>Brazo Espejo Izq Nkr 8978562698 (70007433)</t>
  </si>
  <si>
    <t>Bocin Con Campana Y Esparrago Rin-Disco (70007434)</t>
  </si>
  <si>
    <t>Tapa Grasera Del Nhr 8970126200 (70007435)</t>
  </si>
  <si>
    <t>Brazo Plumilla Hi Internatio 1690024 C9 (70007436)</t>
  </si>
  <si>
    <t>Porta Diodo Alternador De Nhr 8942336470 (70007437)</t>
  </si>
  <si>
    <t>Caja Direc Super Carry Dw48500a85 (70007438)</t>
  </si>
  <si>
    <t>Pulverizador Limpiavidrios Nk Aa33167510 (70007439)</t>
  </si>
  <si>
    <t>Flasher Direcales Tres Patas S 712 (70007441)</t>
  </si>
  <si>
    <t>BMB Principal EMB Nkr III Con 8981176440 (70007444)</t>
  </si>
  <si>
    <t>Terminal Electrica Redonda Hem (70007446)</t>
  </si>
  <si>
    <t>Terminal Electrico Redondo Macho (70007447)</t>
  </si>
  <si>
    <t>MOT 3/4 REN Master Mod 2017 8201627658 (70007448)</t>
  </si>
  <si>
    <t>Transmision DEL T Vxa Remanufacturada (70007449)</t>
  </si>
  <si>
    <t>Conector BMB De Agua FT Mv5 770594601959 (70007450)</t>
  </si>
  <si>
    <t>Cubierta Externa Base Trapecio Plumillas (70007451)</t>
  </si>
  <si>
    <t>Zapa DEL Izq MUE DEL INT Lt 3839131c4 (70007452)</t>
  </si>
  <si>
    <t>Pin Eje ENT Divisor KW T 800 Eaton 78909 (70007454)</t>
  </si>
  <si>
    <t>Protector Guardabarro Izq Npr 8973669881 (70007455)</t>
  </si>
  <si>
    <t>EMPt BMB Ppal BX28 Internatio 464903 C-2 (70007456)</t>
  </si>
  <si>
    <t>Resorte PTA Furgon Tipocortina 2376/162 (70007457)</t>
  </si>
  <si>
    <t>Hoja Resorte Tras 3ra Suzuki 43-136/2ad (70007458)</t>
  </si>
  <si>
    <t>Balinera Splinder Npr 8971419430 (70007460)</t>
  </si>
  <si>
    <t>Post E Post Enfriador Aire Rep. Kenworth (70007461)</t>
  </si>
  <si>
    <t>Buje Largo Muelle Tras Npr 41413 (70007462)</t>
  </si>
  <si>
    <t>Empaque Tubo De Escape Nhr 8973814560 (70007463)</t>
  </si>
  <si>
    <t>Valvula Freno Seguridad Hi 466 65661 (70007464)</t>
  </si>
  <si>
    <t>Conjunto Sincronizador 5ta/Re R170825000 (70007465)</t>
  </si>
  <si>
    <t>CJ Panel De Instrumentos Lh EG 2023427c1 (70007466)</t>
  </si>
  <si>
    <t>Anillo Sincronismo Alta FT MV 1023482134 (70007467)</t>
  </si>
  <si>
    <t>Panel INTno Marco PTA Izq INT 6127680c2 (70007468)</t>
  </si>
  <si>
    <t>Tapa Sup DEP Refrigerante MCK Cxu 230590 (70007469)</t>
  </si>
  <si>
    <t>Emblema Lateral Capot Kenworth K281-1348 (70007470)</t>
  </si>
  <si>
    <t>Brazo Espejo Izq Completo KW T800 30cc8 (70007471)</t>
  </si>
  <si>
    <t>Empaquetadura Mono Y Bajo KWh Fulk 3341 (70007472)</t>
  </si>
  <si>
    <t>Piñon Sencillo Pata Holland TRL V-1927 (70007473)</t>
  </si>
  <si>
    <t>Valvula Relay Trailer 110200 (70007474)</t>
  </si>
  <si>
    <t>Horquilla Mono Caja 14915 SB N14 A 5160 (70007475)</t>
  </si>
  <si>
    <t>Buje BRR Tensora TRL Utility 620625 (70007476)</t>
  </si>
  <si>
    <t>Interruptor Luz Rev Nhr 8971659471 (70007477)</t>
  </si>
  <si>
    <t>Juego Pastas Freno Del T 446660020 (70007478)</t>
  </si>
  <si>
    <t>Juego Pastas Freno Tras T 446560020 (70007479)</t>
  </si>
  <si>
    <t>Varilla Mecanismo Limpiab Der 8978551520 (70007480)</t>
  </si>
  <si>
    <t>RAD MOT Radiador Motor Kenwort Raparado (70007481)</t>
  </si>
  <si>
    <t>Manija Int Puerta S Carry 8311085000 (70007483)</t>
  </si>
  <si>
    <t>Sensor Nivel Refrigerante KWh 3000100587 (70007484)</t>
  </si>
  <si>
    <t>Varilla Impulsadora VALVs Nkr 8970716730 (70007485)</t>
  </si>
  <si>
    <t>Retenedor Palanca Cambios Nhr 8973040680 (70007486)</t>
  </si>
  <si>
    <t>Bateria Moto Akt 125 - 200 (70007487)</t>
  </si>
  <si>
    <t>SOP Eje Rana Cuadrada TRL Ss5203sfr (70007488)</t>
  </si>
  <si>
    <t>Tornillo Tuerca Bastidor Neway Eagle (70007489)</t>
  </si>
  <si>
    <t>Campana 5-Huecos Trailer 1520004 (70007490)</t>
  </si>
  <si>
    <t>Retenedor Cigueñal Del Npr Bz-4219 (70007491)</t>
  </si>
  <si>
    <t>Empaque Vidrio Panoramico Npr 8978561525 (70007492)</t>
  </si>
  <si>
    <t>Parabrisas Laminado Npr (70007493)</t>
  </si>
  <si>
    <t>Buje Metalico Hoja Principal 8944630200 (70007494)</t>
  </si>
  <si>
    <t>Balinera Polea Tensora W5206 W 5206 (70007495)</t>
  </si>
  <si>
    <t>Interruptor Control Direc Nhr 8972878820 (70007496)</t>
  </si>
  <si>
    <t>Rodamiento Rueda Trasera Akt (70007497)</t>
  </si>
  <si>
    <t>Retenedor Rueda Porta Contenedor 370025a (70007500)</t>
  </si>
  <si>
    <t>Tuerca Y Pin Cacho Rda Del KWh 4484836 (70007501)</t>
  </si>
  <si>
    <t>VALV Bajo Palanca Cambios Hi 466 U24877 (70007502)</t>
  </si>
  <si>
    <t>Stop Tras Der EGL Internatio 1661282c91 (70007503)</t>
  </si>
  <si>
    <t>Silla Conductor Foton 1039 7705946305020 (70007504)</t>
  </si>
  <si>
    <t>Regulador Alternador Nhr 8942059562 (70007505)</t>
  </si>
  <si>
    <t>Buje Muelle Tras Balancin S C 9030513002 (70007506)</t>
  </si>
  <si>
    <t>Abrazadera Tornillo T-512 (70007507)</t>
  </si>
  <si>
    <t>Kit Chupas CIL Freno Tras Npr 5878307140 (70007508)</t>
  </si>
  <si>
    <t>Campana Trasera Moto Akt200 (70007510)</t>
  </si>
  <si>
    <t>Estribo Tanque KWh K22911695 (70007511)</t>
  </si>
  <si>
    <t>Camara Freno Del T20 SB 288808 (70007512)</t>
  </si>
  <si>
    <t>Espejo Retrovisor Der Izq Akt (70007513)</t>
  </si>
  <si>
    <t>Correa Accesorios Motor Isf 3.8 Fot 1128 (70007516)</t>
  </si>
  <si>
    <t>SOP MOT IZQ FT 1039 7701023474849 (70007517)</t>
  </si>
  <si>
    <t>INTruptor Elevavidrios Jac 1042 Mod 2018 (70007518)</t>
  </si>
  <si>
    <t>FILT De COMB Ff5052 Planta ELEC (70007519)</t>
  </si>
  <si>
    <t>Balinera Volante Super Carry 6000 (70007520)</t>
  </si>
  <si>
    <t>Abrazadera Mofle 4" Ecl 1939 (70007521)</t>
  </si>
  <si>
    <t>Bombillo Halogeno Con Patas 90 H-4/ P43t (70007522)</t>
  </si>
  <si>
    <t>Bombillo Direcal Del Hi 3157 (70007523)</t>
  </si>
  <si>
    <t>Bombillo N-67 1-Contacto Pata 12 Voltios (70007524)</t>
  </si>
  <si>
    <t>Kit Arrastre Moto Akt125 696a H41200kbb9 (70007525)</t>
  </si>
  <si>
    <t>Borne Bateria Pesado Torre Plomo 7710 (70007527)</t>
  </si>
  <si>
    <t>Balinera Cigueñal Moto B03100338 (70007528)</t>
  </si>
  <si>
    <t>Borne Bateria Liviano 7610 (70007529)</t>
  </si>
  <si>
    <t>Amortiguador Del Daf Cf 480ft Ok67734700 (70007530)</t>
  </si>
  <si>
    <t>Buje Brazo Loco Super Carry 4875085001 (70007531)</t>
  </si>
  <si>
    <t>SOP IZQ Condensador A/C KW T800 K275-651 (70007532)</t>
  </si>
  <si>
    <t>MANG A/C FILT-Evaporador KW T800 Mod 201 (70007533)</t>
  </si>
  <si>
    <t>Piñon De 3ra Td Foton 1039 7701023086073 (70007535)</t>
  </si>
  <si>
    <t>MANG Conexion AIR Daf Cf480 Ftt (70007536)</t>
  </si>
  <si>
    <t>Kit Overhaul MOT Isx Camisa 150 Mm Kisx4 (70007537)</t>
  </si>
  <si>
    <t>Rache Freno Del DER Jac 1120 3501210e834 (70007538)</t>
  </si>
  <si>
    <t>Racor Union Rapido 5/8" (70007539)</t>
  </si>
  <si>
    <t>Stop Izquierdo Foton 1065 7705946334570 (70007540)</t>
  </si>
  <si>
    <t>Sensor Abs Frontal Mack Cxu 745k181265 (70007541)</t>
  </si>
  <si>
    <t>FILT Urea FT 1045/1065/1128 Evi 77001492 (70007542)</t>
  </si>
  <si>
    <t>Empaque Compresor Motor X15 3685614 (70007543)</t>
  </si>
  <si>
    <t>Sello Anillo Rectangular Piñon Loco X15 (70007544)</t>
  </si>
  <si>
    <t>Tornillo Base Alternador Largo Isx-X15 3 (70007545)</t>
  </si>
  <si>
    <t>DEP Aceite Hidraulico HN 4436037180 (70007546)</t>
  </si>
  <si>
    <t>Turbo Nkr Rewar 8980540111 (70007547)</t>
  </si>
  <si>
    <t>GY Capot Hi Larga Internatio 1677457c1 (70007548)</t>
  </si>
  <si>
    <t>Soporte Espejo Izq Npr 8978562697 (70007549)</t>
  </si>
  <si>
    <t>Deposito Expansivo RAD REN 8200595002 (70007550)</t>
  </si>
  <si>
    <t>Culata Motor Hyundai Porter H100 (70007551)</t>
  </si>
  <si>
    <t>Chapa Puerta Izq Foton 1039 1023706124 (70007552)</t>
  </si>
  <si>
    <t>Tubo BRR Tensora Larga Prosta Hd64474000 (70007553)</t>
  </si>
  <si>
    <t>Guardapolvo Guardabarro Del F 5946036542 (70007554)</t>
  </si>
  <si>
    <t>RET Tras Cigueñal HY H100 2132142041 (70007555)</t>
  </si>
  <si>
    <t>DIRal PTA Rh C04 FT 1039 1023684019 (70007556)</t>
  </si>
  <si>
    <t>Bateria Super Carry Ns40-550 N40bdm (70007557)</t>
  </si>
  <si>
    <t>BRR DIRción Completa FT 1128 946752121 (70007558)</t>
  </si>
  <si>
    <t>Automatico MOT ARR 24v FT 1129 Scn-2028 (70007559)</t>
  </si>
  <si>
    <t>Valvula Iac Foton Mv5 7705946695770 (70007560)</t>
  </si>
  <si>
    <t>Rodillo Inf Riel PTA Izq NS U 824213xa0c (70007561)</t>
  </si>
  <si>
    <t>MANG Sup TANQ Aux RAD FT MV5 5946025539 (70007562)</t>
  </si>
  <si>
    <t>Guaya Acelerador H Internatio 2010529 C9 (70007563)</t>
  </si>
  <si>
    <t>Bombillo Direcional 17638n 12v Nkr (70007564)</t>
  </si>
  <si>
    <t>Booster Freno Nhr - Nkr 8970917062 (70007565)</t>
  </si>
  <si>
    <t>Rodillo Piloto Speed Nkr 70081 (70007566)</t>
  </si>
  <si>
    <t>Reloj Presion De Aceite Eagle 2023356c1 (70007567)</t>
  </si>
  <si>
    <t>Filtro Agua Vaso Transpar F5l Hidrola (70007568)</t>
  </si>
  <si>
    <t>Varilla CTRL Cambios Nhr-Nkr 8970851580 (70007569)</t>
  </si>
  <si>
    <t>Guaya Capot Hi Larg Internatio 1677457c1 (70007570)</t>
  </si>
  <si>
    <t>SENS TEMP Trans-Cj EGL Q21-1002 (70007571)</t>
  </si>
  <si>
    <t>Termostato Motor T Delta 1634058010 (70007572)</t>
  </si>
  <si>
    <t>Switch CTRL DIRal T Delta 9331915014 (70007573)</t>
  </si>
  <si>
    <t>Soporte Pedal Ftr Frr 8980719721 (70007574)</t>
  </si>
  <si>
    <t>DEP Expansivo RAD REN 8200595002 (70007575)</t>
  </si>
  <si>
    <t>Manguera Retorno Hco Nkr 8972113100 (70007576)</t>
  </si>
  <si>
    <t>Horquilla Embrague Hco Prostar Fula7786 (70007577)</t>
  </si>
  <si>
    <t>Empaque Soporte Isx 4954472 (70007578)</t>
  </si>
  <si>
    <t>Varilla Medidora Aceite Isx 9400 4026889 (70007579)</t>
  </si>
  <si>
    <t>Sensor Pedal Acelerador KW T800 131973 (70007580)</t>
  </si>
  <si>
    <t>Clip Tapizado Puerta Nkr III 8978934820 (70007581)</t>
  </si>
  <si>
    <t>Tuerca Clip Guardapolvo Nkr I 8942795260 (70007582)</t>
  </si>
  <si>
    <t>Empaquetadura Cj 16718 Eagle K3288 (70007583)</t>
  </si>
  <si>
    <t>Buje Leva Freno Kemworth 1000035 (70007584)</t>
  </si>
  <si>
    <t>Hoja Muelle Tras Volkswagen 98007/5 (70007585)</t>
  </si>
  <si>
    <t>Motor Arranque Hyundai (70007586)</t>
  </si>
  <si>
    <t>VALV 4 Vias TANQ AIR VW 2vc607359 (70007587)</t>
  </si>
  <si>
    <t>Inyector Motor Nkr 8973829450 (70007588)</t>
  </si>
  <si>
    <t>Soporte Motor Izq Nhr Nkr Npr 8970806210 (70007589)</t>
  </si>
  <si>
    <t>Soporte Guardapolvo Tras Izq (70007590)</t>
  </si>
  <si>
    <t>Guardapolvo Caucho Tras Mula (70007591)</t>
  </si>
  <si>
    <t>Retenedor Aceite Caja T Delta 9031148011 (70007592)</t>
  </si>
  <si>
    <t>Camara Freno Del T24 SB N14 Sap1024l (70007593)</t>
  </si>
  <si>
    <t>FILT COMB Ppal MOT H Original 2335578020 (70007594)</t>
  </si>
  <si>
    <t>FILT COMB Secundario Original 2339078221 (70007595)</t>
  </si>
  <si>
    <t>Filtro Aceite Motor Hino S156072391 (70007596)</t>
  </si>
  <si>
    <t>SOP Guardapolvo Tras Hi 4300 3545459c91 (70007597)</t>
  </si>
  <si>
    <t>SENS L Sensor Luz Reversa Renault Master (70007598)</t>
  </si>
  <si>
    <t>Empaque Tapa Termostato Nkr 8943656742 (70007599)</t>
  </si>
  <si>
    <t>Soporte Sup Tras Cabina Nhr 8980215610 (70007600)</t>
  </si>
  <si>
    <t>Piñon De 2da Tren Fijo CJ 14715 SB 20382 (70007601)</t>
  </si>
  <si>
    <t>Banda Freno Emergencia Npr Vulca (70007602)</t>
  </si>
  <si>
    <t>Kit Splinder FT 1039 X 2 RDAs 7705946756 (70007603)</t>
  </si>
  <si>
    <t>Hoja Resorte Del Eagle 551218/1 (70007604)</t>
  </si>
  <si>
    <t>Estribo Plastico Der Nkr III 8979978530 (70007605)</t>
  </si>
  <si>
    <t>Lampara Principal Del Der Nkr 8973695703 (70007606)</t>
  </si>
  <si>
    <t>Guardapolvo Palanc Internatio 556778c1 E (70007607)</t>
  </si>
  <si>
    <t>Persiana Radiador Nkr III 8975818252 (70007608)</t>
  </si>
  <si>
    <t>SOP Guardapolvo Tras Der EGL 3545460c91 (70007609)</t>
  </si>
  <si>
    <t>Manguera Sinflex 1/8 (70007610)</t>
  </si>
  <si>
    <t>Tuerca Tapa Carca FILT AIR Nk 1142170680 (70007611)</t>
  </si>
  <si>
    <t>Valvula Spliter Cj Fuller N14 Ful19974 (70007612)</t>
  </si>
  <si>
    <t>Bomba Freno T Delta 4720187312 (70007613)</t>
  </si>
  <si>
    <t>BMB Agua MOT Isx EGL 5473365 4089911nx (70007614)</t>
  </si>
  <si>
    <t>Bomba Agua Motor Isx KW 402509700r (70007615)</t>
  </si>
  <si>
    <t>Buje Central Tras Eje Leva Nk 8973781470 (70007616)</t>
  </si>
  <si>
    <t>Tuerca Rueda Tras Der Nkr 8980078240 (70007617)</t>
  </si>
  <si>
    <t>Kit Sellos Secador Freno Eagle 5005037 (70007618)</t>
  </si>
  <si>
    <t>SOP Tras Izq Montaje MOT EGL 3524034c2 (70007619)</t>
  </si>
  <si>
    <t>Base Vaso SOP Sedimentador Nk 8970818143 (70007620)</t>
  </si>
  <si>
    <t>Kit Amortiguador Del Npr 95622278 (70007621)</t>
  </si>
  <si>
    <t>Hoja Resorte Del Npr 22918/3 (70007622)</t>
  </si>
  <si>
    <t>Buje Susp Cauch Traser T Del 9004385049 (70007623)</t>
  </si>
  <si>
    <t>Tapizado Puerta Der Nhr 8978526444 (70007624)</t>
  </si>
  <si>
    <t>Balinera Eje Corredizo CJ Nkr 63/3235tm2 (70007625)</t>
  </si>
  <si>
    <t>Disyuntor Luces 4 Patas KWh 4ra0077930 (70007626)</t>
  </si>
  <si>
    <t>Bombillo De Un Contacto 67-24 Vol. (70007627)</t>
  </si>
  <si>
    <t>Interruptor Rev T Delta 8421087305 (70007628)</t>
  </si>
  <si>
    <t>Empaquetadura Caja Direc KWh Tas850005 (70007629)</t>
  </si>
  <si>
    <t>Tuerca Ajuste Eje CIL Npr 9096440050 (70007630)</t>
  </si>
  <si>
    <t>Tuerca Ajuste Embrague Npr 911115080 (70007631)</t>
  </si>
  <si>
    <t>Tubo Lubricacion Turbo Npr 8972320150 (70007632)</t>
  </si>
  <si>
    <t>Buje Leva Freno 1 5/8 Esferico TRL 2286 (70007633)</t>
  </si>
  <si>
    <t>EMP Tapa VALVs HY H100 Porter (70007634)</t>
  </si>
  <si>
    <t>Booster Freno Nuevo Npr 8970369290 (70007635)</t>
  </si>
  <si>
    <t>Resorte Banda Freno Tras Npr Fabri (70007636)</t>
  </si>
  <si>
    <t>Buje Muelle Del Eagle S5601 (70007637)</t>
  </si>
  <si>
    <t>Buje Balancin Muelle Tras Npr 8971846991 (70007638)</t>
  </si>
  <si>
    <t>Empaque Bomba Agua Kemwort Isx 3684338 (70007639)</t>
  </si>
  <si>
    <t>Stop Tras Sobreponer Nk Nhr 4-161 (70007640)</t>
  </si>
  <si>
    <t>EMP Carcaza Enfriador Aceite K 4955592cl (70007641)</t>
  </si>
  <si>
    <t>DEP Agua Limpiabrisas KW T-800 K114-20 (70007642)</t>
  </si>
  <si>
    <t>Bomba Agua Nkr 8971050125 8973768510 (70007643)</t>
  </si>
  <si>
    <t>CIL Freno Del Der Nkr Con Pur 8971793570 (70007644)</t>
  </si>
  <si>
    <t>Oring Inyector Motor Npr 8943264390 (70007645)</t>
  </si>
  <si>
    <t>Esparrago Eje Npr 8973598030 (70007646)</t>
  </si>
  <si>
    <t>Oring Bomba Aceite Volswagen Tae115107 (70007647)</t>
  </si>
  <si>
    <t>Kit Reparacion Fanclutch- 940 1033093390 (70007648)</t>
  </si>
  <si>
    <t>Campana Freno Nissan Urvan (70007649)</t>
  </si>
  <si>
    <t>Resorte Plato Piñon Tren Fijo 8941321680 (70007650)</t>
  </si>
  <si>
    <t>Arandela Plato Tren Fijo Nkr 8941287901 (70007651)</t>
  </si>
  <si>
    <t>Pin Pasador Piñon Rev Nkr 8941287940 (70007652)</t>
  </si>
  <si>
    <t>EMP Retorno Turbo FT 7701023510356 (70007653)</t>
  </si>
  <si>
    <t>Rache Freno Tras Der Izq EGL R80 R803112 (70007654)</t>
  </si>
  <si>
    <t>Radiador Motor KW T800 1a020256 (70007655)</t>
  </si>
  <si>
    <t>MANG Turbo Tubo Salidad Nkr 8972179112 (70007656)</t>
  </si>
  <si>
    <t>Rodillo Interno Eje Toma Nkr 8971616580 (70007657)</t>
  </si>
  <si>
    <t>Piñon 5ta Tren Fijo Nkr 8943167861 (70007658)</t>
  </si>
  <si>
    <t>Tubo Desfogue Tapa VALV SB N14 3047134 (70007659)</t>
  </si>
  <si>
    <t>Tuerca Capuchon RDA Tras Der 8973598090 (70007660)</t>
  </si>
  <si>
    <t>Tuerca Capuchon RDA Tras Izq 8973598100 (70007661)</t>
  </si>
  <si>
    <t>Cruceta Cardan Corto Mixta 15 5515 X 6" (70007662)</t>
  </si>
  <si>
    <t>EMPtadura Reparacion Turbo Nkr II 661255 (70007663)</t>
  </si>
  <si>
    <t>Piñon Engranaje 2da CJ T Delt 3303336100 (70007664)</t>
  </si>
  <si>
    <t>Switch Clutch Eagle 3538410c91 (70007665)</t>
  </si>
  <si>
    <t>Lampara Direcal Der Nkr Rw 8980108890 (70007666)</t>
  </si>
  <si>
    <t>CIL Freno Del Der T/Delta 4752087304 (70007667)</t>
  </si>
  <si>
    <t>Correa Para Hidrolavadora A-43 (70007668)</t>
  </si>
  <si>
    <t>Amortiguador Del Eagle Isx 3581109c4 (70007669)</t>
  </si>
  <si>
    <t>Empaque Turbo Motor KWIsx 4026884cl (70007670)</t>
  </si>
  <si>
    <t>Empaque Enfriador Aceite KWIsx 4973532cl (70007671)</t>
  </si>
  <si>
    <t>Tuerca Eje Corredizo Nkr 8970877500 (70007672)</t>
  </si>
  <si>
    <t>VALV Selectora CJ Vs 14718 EGL A5000 (70007673)</t>
  </si>
  <si>
    <t>Tuerca Boquilla MANG L/Parabr 8978550221 (70007674)</t>
  </si>
  <si>
    <t>Switch Luz Puerta Eagle Isx 2037331c1 (70007675)</t>
  </si>
  <si>
    <t>Persiana Radiador Nkr 8979957580 (70007676)</t>
  </si>
  <si>
    <t>Sensor Velocidad Nkr 8972565250 (70007677)</t>
  </si>
  <si>
    <t>SENS Bajo Nivel Refrigerante E 3572012c1 (70007678)</t>
  </si>
  <si>
    <t>VALV AIR Suspencion Tr Inca Cou006001 (70007679)</t>
  </si>
  <si>
    <t>Racor Reduccion 1/4 X 3/8 (70007680)</t>
  </si>
  <si>
    <t>Racor Recto 507 1/4 X 3/8 (70007681)</t>
  </si>
  <si>
    <t>Cilindro Freno Tras Izq Nkr 8971398420 (70007682)</t>
  </si>
  <si>
    <t>Manija Elevavidr Pta Der Delta (70007683)</t>
  </si>
  <si>
    <t>Kit Reparacion Culata Compresor 4089238 (70007684)</t>
  </si>
  <si>
    <t>Micro Switch Pedal Embrague SB N14 12246 (70007685)</t>
  </si>
  <si>
    <t>Resorte Tornillo Graduacion F 8941076180 (70007686)</t>
  </si>
  <si>
    <t>Tapizado Techo Cabina T Delta 6762587301 (70007687)</t>
  </si>
  <si>
    <t>Chapa INTna Der CAB EGL Isx 1677435c2 (70007688)</t>
  </si>
  <si>
    <t>Chapa INTna Drecha CAB EGL Isx 1677433c1 (70007689)</t>
  </si>
  <si>
    <t>BMB De Agua Npr Con Turbo 897 8972126751 (70007690)</t>
  </si>
  <si>
    <t>Lampara Ext Techo Eagle Isx 3529900c94 (70007691)</t>
  </si>
  <si>
    <t>SENS Presion Y TEMP Aceite KWIsx 4921475 (70007692)</t>
  </si>
  <si>
    <t>Balinera MOT ARR T Delta 6003zz 6003.2zr (70007693)</t>
  </si>
  <si>
    <t>Balinera Motor Arranque Delta 6200.2zr (70007694)</t>
  </si>
  <si>
    <t>Empaques Ajuste Puerta Nk Nh Npr (70007695)</t>
  </si>
  <si>
    <t>EMPs Ajuste PTA Nk Nh Npr 95624863 (70007696)</t>
  </si>
  <si>
    <t>Tanque Combustible Npr 95624863 (70007697)</t>
  </si>
  <si>
    <t>Kit Reparacion MAY Cja Dir EG 2592442c91 (70007698)</t>
  </si>
  <si>
    <t>Kit Reparacion Bba Agua Isx Kw 409002200 (70007699)</t>
  </si>
  <si>
    <t>Pin Ajuste Torre Caja 14718 Zbf4303124 (70007700)</t>
  </si>
  <si>
    <t>Varilla Tensora Clucht Eag S60 3523977c1 (70007701)</t>
  </si>
  <si>
    <t>Rodillo Interno Rueda Tras Npr 29586 (70007702)</t>
  </si>
  <si>
    <t>Tornillo SOP Amortiguador Tra 8973169720 (70007703)</t>
  </si>
  <si>
    <t>Soporte Der Cabina Eagle 3513631c1 (70007704)</t>
  </si>
  <si>
    <t>Soporte Cabina Del Eagle Isx 3515345c1 (70007705)</t>
  </si>
  <si>
    <t>Tanque Combustible Nkr 95618450 (70007706)</t>
  </si>
  <si>
    <t>Arandela Pinadora Cacho DIR N 8942473561 (70007707)</t>
  </si>
  <si>
    <t>Banda Freno Emergencia Npr Nu 8970202502 (70007708)</t>
  </si>
  <si>
    <t>FILT Maquina Surtidora Pf Esso Hcx-70016 (70007709)</t>
  </si>
  <si>
    <t>Oring Inyector Motor Nkr 8972874022 (70007710)</t>
  </si>
  <si>
    <t>FILT Separador Agua Fleetguard Fs-19547 (70007711)</t>
  </si>
  <si>
    <t>Espejo Sup Ext Der CAB EGL 3571502c2 (70007712)</t>
  </si>
  <si>
    <t>Tapizado PTA Der Rh T Delta 6761587308 (70007713)</t>
  </si>
  <si>
    <t>Lampara DIRal Del Izq T Delta 8152087383 (70007714)</t>
  </si>
  <si>
    <t>Moldura Der Techo Cabina Eagle 3518013c2 (70007715)</t>
  </si>
  <si>
    <t>Varilla Tensora Clutch Eagle 2006333c2 (70007716)</t>
  </si>
  <si>
    <t>Tornillo Graduacion Banda Fre 5471650250 (70007717)</t>
  </si>
  <si>
    <t>MANG A/C Condensador Hi 9400 3626426c91 (70007718)</t>
  </si>
  <si>
    <t>Soporte Espejo Retrovisor Kemwor 30cc15 (70007719)</t>
  </si>
  <si>
    <t>Buje Base Palanca Cambios Npr 8970491470 (70007720)</t>
  </si>
  <si>
    <t>EMPtadura BMB Aux Clucht Npr 5878312040 (70007721)</t>
  </si>
  <si>
    <t>Tapizado Pi Tapizado Piso S.C. Van N.200 (70007722)</t>
  </si>
  <si>
    <t>Retenedor Rueda Del T Delta 9004311102 (70007723)</t>
  </si>
  <si>
    <t>Piñon 5ta 48d CJ Fs 6305 Freighl 3316196 (70007724)</t>
  </si>
  <si>
    <t>VALV Reguladora De Frenado Nh 8943684552 (70007725)</t>
  </si>
  <si>
    <t>FILT Hidraulico Fr Internatio 1698964 C- (70007726)</t>
  </si>
  <si>
    <t>CIL Freno Del Der Sin Purga N 8970811480 (70007727)</t>
  </si>
  <si>
    <t>SENS Nivel Agua Isx-Kw T800 4 1673785c92 (70007728)</t>
  </si>
  <si>
    <t>FILT Hidraulico Hi4 Fleetguard Hf - 6162 (70007729)</t>
  </si>
  <si>
    <t>Luna Es Luna Espejo Generico 17.5 X 0.40 (70007730)</t>
  </si>
  <si>
    <t>Campana Freno De Mano T Delta 4650187303 (70007731)</t>
  </si>
  <si>
    <t>Tuerca Eje Corredizo T Delta 9017924008 (70007732)</t>
  </si>
  <si>
    <t>Retenedor Rueda Tras T Delta 9004311053 (70007733)</t>
  </si>
  <si>
    <t>VENT RAD Isx 32" 9400 3625639c1 (70007734)</t>
  </si>
  <si>
    <t>Correa VENT 12pk2310 Hi 9400-2 3565410c3 (70007735)</t>
  </si>
  <si>
    <t>Correa A/C Isx Hi 9400-2008 6p 3565412c1 (70007736)</t>
  </si>
  <si>
    <t>Manguera Radiador 4" Roja Isx 3558834c2 (70007737)</t>
  </si>
  <si>
    <t>Post Enfriador AIR MOT Hi 940 2591600c91 (70007738)</t>
  </si>
  <si>
    <t>RAD MOT Isx Hi 9400-2008 20" 2591559c91 (70007739)</t>
  </si>
  <si>
    <t>Tubo Salida RAD De AIR Isx Hi 3808579c1 (70007740)</t>
  </si>
  <si>
    <t>FILT COMB S Carry Chevrolet 15410-8520 (70007741)</t>
  </si>
  <si>
    <t>BMB Principal Pedal Clucth VW 2vb721405 (70007742)</t>
  </si>
  <si>
    <t>DEP Refrigerante Hi 9400/2008 M2591620c9 (70007743)</t>
  </si>
  <si>
    <t>Varilla Tensora RAD Hi9400/200 3541975c3 (70007744)</t>
  </si>
  <si>
    <t>Tornillo Base Enfriador Aceite 1817962c1 (70007745)</t>
  </si>
  <si>
    <t>Guaya Selectora Cambios Nkr I 8970899873 (70007746)</t>
  </si>
  <si>
    <t>Pito Reversa (70007747)</t>
  </si>
  <si>
    <t>Manguera Bomba Vacio Npr 94339073 (70007748)</t>
  </si>
  <si>
    <t>Set Rodillo Rda Tras Int NkrIII 28985/21 (70007749)</t>
  </si>
  <si>
    <t>Amortiguador Apertura Capot F A171429700 (70007750)</t>
  </si>
  <si>
    <t>Soporte Cabrilla Direc Hi 9400 2017902c2 (70007751)</t>
  </si>
  <si>
    <t>Balinera Tren Fijo Nkr III 35mt22nr (70007752)</t>
  </si>
  <si>
    <t>Abrazadera Cremallera 20 (70007753)</t>
  </si>
  <si>
    <t>Amortiguador Trailer Inca S-20126 (70007754)</t>
  </si>
  <si>
    <t>Balinera Drover Nkr III 8941787321 (70007755)</t>
  </si>
  <si>
    <t>Bombillo Halogeno C Patas 488 12v 60/55w (70007756)</t>
  </si>
  <si>
    <t>INTruptor Neutro Nkr III 8981 8980371590 (70007757)</t>
  </si>
  <si>
    <t>Esparrago RDA Del Izq Nkr III 8970815852 (70007758)</t>
  </si>
  <si>
    <t>Tuerca Esparrago RDA Del Izq 8973598080 (70007759)</t>
  </si>
  <si>
    <t>Arandela Ajuste Caja 14718 4302047 (70007760)</t>
  </si>
  <si>
    <t>Eje Pata Ampro Contenedor 1 X 9 3/4 3289 (70007761)</t>
  </si>
  <si>
    <t>Juego Rodillo Y Cuna Transmisi K29590/22 (70007762)</t>
  </si>
  <si>
    <t>Guaya Acelerador Akt 3w180 Motofurgon (70007763)</t>
  </si>
  <si>
    <t>CIL Freno Tras Izq Sin Purga 4758087308 (70007764)</t>
  </si>
  <si>
    <t>Kit Chapetas Cruceta Kem Spicer 2507018x (70007765)</t>
  </si>
  <si>
    <t>Retenedor Rueda Porta Contenedor 370065a (70007766)</t>
  </si>
  <si>
    <t>Barra Direc Corta Nkr 8970342852 (70007767)</t>
  </si>
  <si>
    <t>Sincronizmo 2da Y 3ra Caja Toyota Delta (70007768)</t>
  </si>
  <si>
    <t>Sensor Temperatura Nkr 8943366680 (70007769)</t>
  </si>
  <si>
    <t>INTruptor Pedal Freno Nkr III 8978551870 (70007770)</t>
  </si>
  <si>
    <t>Brazo Espejo Izq Npr 8978562697 (70007771)</t>
  </si>
  <si>
    <t>Piñon 3ra Eje Corredizo CJ Nk 8971749230 (70007772)</t>
  </si>
  <si>
    <t>Tornillo Pasador Central Tc-1/2 X 6 (70007773)</t>
  </si>
  <si>
    <t>Guardapolvo Del Npr 8972180800 (70007774)</t>
  </si>
  <si>
    <t>Inducido Motor Arranque Npr Main295 (70007775)</t>
  </si>
  <si>
    <t>MANG Agua Calefactor NkrIII T 8972046061 (70007776)</t>
  </si>
  <si>
    <t>Amortiguador Del Nhr Chevrolet 356074 (70007777)</t>
  </si>
  <si>
    <t>Vidrio Puerta Izquierda Eagle 9400 (70007778)</t>
  </si>
  <si>
    <t>Tapa Timon Kw T800 S631010 (70007779)</t>
  </si>
  <si>
    <t>Conector Rapido Fitting De 3/8 (70007780)</t>
  </si>
  <si>
    <t>Silenciador Mofle Nhr Nkr Repado (70007781)</t>
  </si>
  <si>
    <t>Tuerca Eje Trailer Dite R.Gruesa 449-497 (70007782)</t>
  </si>
  <si>
    <t>Farola Del Izq Volswagen 2rd941007 (70007783)</t>
  </si>
  <si>
    <t>CIL Freno Tras Der Con Purga 4755087312 (70007784)</t>
  </si>
  <si>
    <t>CIL Freno Tras Der Sin Purga 4756087308 (70007785)</t>
  </si>
  <si>
    <t>Tubo ENT Turbo Cargador Nkrll 8972242970 (70007786)</t>
  </si>
  <si>
    <t>Oring Base Enfriador Aceite N 8980879650 (70007787)</t>
  </si>
  <si>
    <t>Campana Delantera Nkriii C618 (70007788)</t>
  </si>
  <si>
    <t>Terminal BRR DIR Der T Delta 4504687380 (70007789)</t>
  </si>
  <si>
    <t>Terminal BRR DIR Izq T Delta 4504787381 (70007790)</t>
  </si>
  <si>
    <t>Clip Persiana RAD Nkr III 8975816512 (70007791)</t>
  </si>
  <si>
    <t>Sincronismo Caja 16718 Eagle K3492 (70007792)</t>
  </si>
  <si>
    <t>Manguera Radiador 4" Azul Isx 3625343c1 (70007793)</t>
  </si>
  <si>
    <t>Switch Limpiabrisas Volswagen 2r09535199 (70007794)</t>
  </si>
  <si>
    <t>Soporte Motor Del Kemwort K066405 (70007795)</t>
  </si>
  <si>
    <t>Torre Monoshift Cj16718 Eagle K3220 (70007796)</t>
  </si>
  <si>
    <t>Post Enfriador Motor Kemworth F3110361ex (70007797)</t>
  </si>
  <si>
    <t>Fan Clutch Drive Kemworth 999168hor (70007798)</t>
  </si>
  <si>
    <t>MANG Admision Turbo Kemworth D10298699 (70007799)</t>
  </si>
  <si>
    <t>VENT RAD Isx Kemworth 39225630 (70007800)</t>
  </si>
  <si>
    <t>Persiana Sin Aire Capo Kemworth K137269 (70007801)</t>
  </si>
  <si>
    <t>Inducido Motor Arraque Nkr Nhr Mape214 (70007802)</t>
  </si>
  <si>
    <t>Tensor Correa VENT Isx KWh 4059201cl (70007803)</t>
  </si>
  <si>
    <t>Jgo Bobinas De Campo M ARR Npr Maca084 (70007804)</t>
  </si>
  <si>
    <t>Soporte Bisagra Capo Kemworth 9k3615651 (70007805)</t>
  </si>
  <si>
    <t>Cuna Rodillo Rda Tras Int NkrIII 28920 (70007806)</t>
  </si>
  <si>
    <t>Grapa Corredera Vidrio Pta Np 8978520761 (70007807)</t>
  </si>
  <si>
    <t>Capuchon Rueda Tras Der Nkr 8980078100 (70007808)</t>
  </si>
  <si>
    <t>Juego Pastas Freno Del Akt200 (70007809)</t>
  </si>
  <si>
    <t>Eje De Levas Motor Nkr 8972876571 (70007810)</t>
  </si>
  <si>
    <t>Marco Puerta Der Nhr 8978903991 (70007811)</t>
  </si>
  <si>
    <t>RET Cigüeñal Tras EGL Isx 4965569 (70007812)</t>
  </si>
  <si>
    <t>Bocel Pisa Alfombras Der Nkr 8974094780 (70007813)</t>
  </si>
  <si>
    <t>Panel Lateral Del CAB Nkr III 8975824554 (70007814)</t>
  </si>
  <si>
    <t>Sinfín Caja Direc Nhr 8971082180 (70007815)</t>
  </si>
  <si>
    <t>Cilindro Freno Del Izq Delta 4754087304 (70007816)</t>
  </si>
  <si>
    <t>Regulador Alternador Nkr 8941674100 (70007817)</t>
  </si>
  <si>
    <t>Retenedor Cigüeñal Del Nkrii 8973517040 (70007818)</t>
  </si>
  <si>
    <t>Switch CTRL DIRal T Delta 8431087335 (70007819)</t>
  </si>
  <si>
    <t>Clip Panel Lateral Izq Nkr II 8975816321 (70007820)</t>
  </si>
  <si>
    <t>Banda Delantera Hino Remachada (70007821)</t>
  </si>
  <si>
    <t>Tubo Freno Tras Nhr 97105827 (70007823)</t>
  </si>
  <si>
    <t>Caña Direc Kemworth T-800 91665765sx (70007824)</t>
  </si>
  <si>
    <t>Grapa Furgon 3/4x4x19" (70007825)</t>
  </si>
  <si>
    <t>Rodillo Piñon Central CJ Rtlo Zbf5566510 (70007826)</t>
  </si>
  <si>
    <t>Perilla Palanca Cambios Nkr 8971962851 (70007827)</t>
  </si>
  <si>
    <t>Tapon Vaso Trampa COMB Nkr 8944537460 (70007828)</t>
  </si>
  <si>
    <t>Empaque Enfriador Aceite Npr 9095662260 (70007829)</t>
  </si>
  <si>
    <t>Grapa Muelle Del KW 3/4x4x10.1 (70007830)</t>
  </si>
  <si>
    <t>RET Ext RDA Tras Delta Xhm5510147 (70007831)</t>
  </si>
  <si>
    <t>Tapon Filtro Magnetico Isx Ken 3014575 (70007832)</t>
  </si>
  <si>
    <t>Filtro Aire Paifander Nissan 16546 Y 03 (70007833)</t>
  </si>
  <si>
    <t>Cojin C Cojin Cond-Ayudante H.I. Repardo (70007834)</t>
  </si>
  <si>
    <t>Pasador Buje Palanca Cambios SB N K-2003 (70007835)</t>
  </si>
  <si>
    <t>Tuerca Eje Tras Housing T Del 4242787301 (70007836)</t>
  </si>
  <si>
    <t>CIL Freno Tras Delanter Izq T 4757087312 (70007837)</t>
  </si>
  <si>
    <t>Switch DIRales Nkr 8973835130 8970710072 (70007838)</t>
  </si>
  <si>
    <t>FILT Aceite NS 1520865foe 15208-T54s (70007839)</t>
  </si>
  <si>
    <t>FILT Aceite Paifander Nissan 15208-9e00 (70007840)</t>
  </si>
  <si>
    <t>MANG AIR Compresor Gobernador X 3/16 X 5 (70007841)</t>
  </si>
  <si>
    <t>FILT Aceite Planta EL Fleetguard Lf 3349 (70007842)</t>
  </si>
  <si>
    <t>Buje Pasador Collarin Eagle (70007843)</t>
  </si>
  <si>
    <t>FILT COMB Ppal Hi466 Fleetguard Ff 5078 (70007844)</t>
  </si>
  <si>
    <t>Eje Bomba Engrane Motor Isx Fabricado (70007845)</t>
  </si>
  <si>
    <t>Tope MUE Suspensión Del Nkr 8941502653 (70007846)</t>
  </si>
  <si>
    <t>Buje MUE Tras Parte Del Nkr 89707 Rb413b (70007847)</t>
  </si>
  <si>
    <t>Pasador Muelle Tras Parte Del Nkr Dp809s (70007848)</t>
  </si>
  <si>
    <t>EMPtadura VALV Relay Trayler 110201 (70007849)</t>
  </si>
  <si>
    <t>FILT Agua SB - EGL Mo Fleetguard Wf 2071 (70007850)</t>
  </si>
  <si>
    <t>Filtro Aire Compresor 32170979 I (70007851)</t>
  </si>
  <si>
    <t>Lampara Reflectiva Nkr-Nhr 3119126 (70007852)</t>
  </si>
  <si>
    <t>Kit Toberas Nkr-Nhrdlla145pn-238 (70007853)</t>
  </si>
  <si>
    <t>Switch Direcal Eagle M3544933c9 (70007854)</t>
  </si>
  <si>
    <t>Switch Encendido Volswagen T00905855a (70007855)</t>
  </si>
  <si>
    <t>FILT COMB Nhr-Npr-Nkr-D Isuzu 5876100110 (70007856)</t>
  </si>
  <si>
    <t>FILT Aceite Diferen Internatio 1685141 C (70007857)</t>
  </si>
  <si>
    <t>Tapizado Piso Cabina Eagle Fabricado (70007858)</t>
  </si>
  <si>
    <t>Guaya Freno Parqueo Nhr-Nkr 8971842720 (70007859)</t>
  </si>
  <si>
    <t>Motor Limpiabrisas KWh 600228s (70007860)</t>
  </si>
  <si>
    <t>FILT Aceite EGL Detro Fleetguard Lf-3620 (70007861)</t>
  </si>
  <si>
    <t>Tapa Filtro Aire Nkr III 8941560500 (70007862)</t>
  </si>
  <si>
    <t>Cilindro Encendido Nkr 8970958690 (70007863)</t>
  </si>
  <si>
    <t>Balinera Embrague T Delta 3123037010 (70007864)</t>
  </si>
  <si>
    <t>Viser Visera Cabina Eagle 9400 3561065c2 (70007865)</t>
  </si>
  <si>
    <t>Hoja Resorte Ppal TRL Dite 7644a4lt/1 (70007866)</t>
  </si>
  <si>
    <t>Hoja Resorte TRL Dite 2gda 7644a4lt/2 (70007867)</t>
  </si>
  <si>
    <t>Gobernador Aire Hi 275461 (70007868)</t>
  </si>
  <si>
    <t>Gobernador Aire SB 18530/2754 (70007869)</t>
  </si>
  <si>
    <t>Relay Luces Principal Nkr III 8971730371 (70007870)</t>
  </si>
  <si>
    <t>Niple Galv Niple Galvanizado 1.1/4"X5cms (70007871)</t>
  </si>
  <si>
    <t>EMP Lamevidrio PTA Der Nkr Nh 8978521176 (70007872)</t>
  </si>
  <si>
    <t>EMP Lamevidrio Ext Nkr Nhr 8978552923 (70007873)</t>
  </si>
  <si>
    <t>FILT COMB Planta ELE Luberfiner Lff 3417 (70007874)</t>
  </si>
  <si>
    <t>FILT COMB Planta ELEC Donalson P553004 (70007875)</t>
  </si>
  <si>
    <t>SOP Montaje CAB Der Nkr-Nhr 8970951460 (70007876)</t>
  </si>
  <si>
    <t>Filtro Sepador Aire Eagle Isx 107796 (70007877)</t>
  </si>
  <si>
    <t>Rodillo Tras Tren Fijo Trasmi 8970959130 (70007878)</t>
  </si>
  <si>
    <t>Rodillo Del Tren Fijo Trasmis 5098000621 (70007879)</t>
  </si>
  <si>
    <t>Campana Freno De Parqueo Nkr 5462100053 (70007880)</t>
  </si>
  <si>
    <t>Tapon Galvaniza Tapon Galvanizado 1.1/4" (70007881)</t>
  </si>
  <si>
    <t>Exploradora Rectangular Hella 550 (70007882)</t>
  </si>
  <si>
    <t>Exploradora Redonda Hella 500 (70007883)</t>
  </si>
  <si>
    <t>Terminal CJ Velocidades VW 6008004031 (70007884)</t>
  </si>
  <si>
    <t>Alternador SB N14 35-Si Delco Remy 33si (70007885)</t>
  </si>
  <si>
    <t>Valvula Paso Aire Sb - Trailer (70007893)</t>
  </si>
  <si>
    <t>Seguro Gancho Capo Hi466 (70007894)</t>
  </si>
  <si>
    <t>Laina Ajuste Rodillo Speed Nhr (70007895)</t>
  </si>
  <si>
    <t>Tapa Frontal Motor Npr (70007896)</t>
  </si>
  <si>
    <t>Valvula De Paso Trailer Sealco (70007897)</t>
  </si>
  <si>
    <t>Empaque Turbo Daf Cf 480 21062 (70007898)</t>
  </si>
  <si>
    <t>Empaque Multiple Escape Dafcf4 (70007899)</t>
  </si>
  <si>
    <t>Bomba De Agua Mack Anthem Reparado (70007900)</t>
  </si>
  <si>
    <t>BRR Corta DIR Jac 1120 3003600le740 (70007901)</t>
  </si>
  <si>
    <t>Guardapolvo Tapa Cubo Jac 1120 3103109m1 (70007902)</t>
  </si>
  <si>
    <t>Caja De Velocidades N200 Reparado (70007903)</t>
  </si>
  <si>
    <t>Pedal EMB Con Base CH Nkr 8978569790 (70007904)</t>
  </si>
  <si>
    <t>Radiador Motor Jac 1120 Reparado (70007905)</t>
  </si>
  <si>
    <t>Juego Rueda Dentada Satelite Daf 1012509 (70007906)</t>
  </si>
  <si>
    <t>Cabrilla Direccion Reparado (70007907)</t>
  </si>
  <si>
    <t>Radiador Npr Reparado (70007908)</t>
  </si>
  <si>
    <t>Bocin Eje Trasero Eagle Reparado (70007909)</t>
  </si>
  <si>
    <t>Modulo Cabina Prostar Reparado (70007910)</t>
  </si>
  <si>
    <t>FILT AIR FT 1128-1065-1045 Mag961390r Go (70007911)</t>
  </si>
  <si>
    <t>CJ Velocidades HN Dutropack Remanufactur (70007912)</t>
  </si>
  <si>
    <t>Caja De Direccion Mack Cxu Reparado (70007913)</t>
  </si>
  <si>
    <t>Inyector Motor Mack Anthem Reparado (70007914)</t>
  </si>
  <si>
    <t>Kit Graduacion Freno Izq TRAS FT Mv5 770 (70007915)</t>
  </si>
  <si>
    <t>Kit Graduacion Freno DER TRAS FT Mv5 770 (70007916)</t>
  </si>
  <si>
    <t>Rotula Suspension INF Izq T Vxa 43330 (70007917)</t>
  </si>
  <si>
    <t>BRR De DIR Larga KW T800 Mod 2012 817755 (70007918)</t>
  </si>
  <si>
    <t>Bomba De Agua International Lt Reparado (70007919)</t>
  </si>
  <si>
    <t>Banda Freno TRAS FT 1065 7705946680059 (70007921)</t>
  </si>
  <si>
    <t>Deflector Cabina Eagle Reparado (70007922)</t>
  </si>
  <si>
    <t>Banda Freno TRAS Jac Jkr L1300061102b134 (70007923)</t>
  </si>
  <si>
    <t>Tubo 1 Presion INY FT 1039/1065- 7701023 (70007924)</t>
  </si>
  <si>
    <t>Inducido MOT ARR MOT 39mt Generico 61-15 (70007925)</t>
  </si>
  <si>
    <t>Parasol Derecho Foton Mv5- 7705946039970 (70007926)</t>
  </si>
  <si>
    <t>Parasol IZQ FT Mv5- 7705946039963 (70007927)</t>
  </si>
  <si>
    <t>Arnes De Chasis Jac 1120- 4010910le74020 (70007928)</t>
  </si>
  <si>
    <t>Modulo Motor Ecu Jac 1120- 5293524 (70007929)</t>
  </si>
  <si>
    <t>Troque Trailer Reparado (70007930)</t>
  </si>
  <si>
    <t>Espaciador INF 1" MUE Tras Suspension Ha (70007931)</t>
  </si>
  <si>
    <t>Motor Arranque Foton Bj5 Reparado (70007932)</t>
  </si>
  <si>
    <t>Bateria T.Tornillo 31-925 Fleetrite (70007933)</t>
  </si>
  <si>
    <t>Tarjeta Unidad De Urea Inter Lt Reparado (70007934)</t>
  </si>
  <si>
    <t>Protector Columna DIRción FT 1128 770014 (70007935)</t>
  </si>
  <si>
    <t>Pedal Freno Reparado Eagle Reparado (70007936)</t>
  </si>
  <si>
    <t>BRR Corta DIR FT 1065 7705946655842 (70007937)</t>
  </si>
  <si>
    <t>Filtro Aire Planta Bucaramanga P526505 (70007938)</t>
  </si>
  <si>
    <t>VALV Escape X1 FT Mv5 7705946015790 (70007939)</t>
  </si>
  <si>
    <t>Botador X1 Motor Foton Mv5 7705946015837 (70007940)</t>
  </si>
  <si>
    <t>RET TRAS Cigueñal FT Mv5 7705946015899 (70007941)</t>
  </si>
  <si>
    <t>Caja De Velocidades Foton 1039 Reparado (70007942)</t>
  </si>
  <si>
    <t>Troque Delantero Nkr Reward Mod 2016 (70007943)</t>
  </si>
  <si>
    <t>Caña Direccion Volkswagen Reparado (70007944)</t>
  </si>
  <si>
    <t>Stop Completo TRAS Der Daf Cf480 1875576 (70007945)</t>
  </si>
  <si>
    <t>Sensor Nox International Lt Reparado (70007946)</t>
  </si>
  <si>
    <t>MANG Bypass Termostato FT 1039 770059466 (70007947)</t>
  </si>
  <si>
    <t>Silla Nissan Urban Reparado (70007948)</t>
  </si>
  <si>
    <t>Radiador Motor X15 Inter Lt Reparado (70007949)</t>
  </si>
  <si>
    <t>Gobernador Aire Reparado (70007950)</t>
  </si>
  <si>
    <t>Condensador A/C Inter Lt Reparado (70007951)</t>
  </si>
  <si>
    <t>Enfocador Radiador Inter Lt Reparado (70007952)</t>
  </si>
  <si>
    <t>Turbo Alimentador Hino Reparado (70007953)</t>
  </si>
  <si>
    <t>Tapizado Piso CAB FT 1128 Fabricado (70007954)</t>
  </si>
  <si>
    <t>Inyector Cummins Isf 3.8 Reparado (70007955)</t>
  </si>
  <si>
    <t>Terminal De DIR Rh FT 1128 7700149277655 (70007956)</t>
  </si>
  <si>
    <t>Radiador Ftr Reparado (70007957)</t>
  </si>
  <si>
    <t>DEP Agua Limpiabrisas INT Lt 3979542c93 (70007958)</t>
  </si>
  <si>
    <t>Base Caja Bateria Kenworth T800 Reparado (70007959)</t>
  </si>
  <si>
    <t>Motor Arranque Daf Reparado (70007960)</t>
  </si>
  <si>
    <t>Caja Direccion Foton 1039 Reparado (70007961)</t>
  </si>
  <si>
    <t>SENS Nivel COMB Daf Cf480 1785832 (70007962)</t>
  </si>
  <si>
    <t>Cojin Auxiliar Silla Foton 1065 Reparado (70007963)</t>
  </si>
  <si>
    <t>Espaldar Silla Foton 1065 Reparado (70007964)</t>
  </si>
  <si>
    <t>Silla Conductor Foton 1065 Reparado (70007965)</t>
  </si>
  <si>
    <t>Sentadero Silla Foton 1065 Reparado (70007966)</t>
  </si>
  <si>
    <t>Valvula Admision X1 Foton Mv5 770594601 (70007967)</t>
  </si>
  <si>
    <t>MOT ARR Jac Jhr Mod 2017 3701200fa171 (70007968)</t>
  </si>
  <si>
    <t>SOP Guayas Cambios FT 1039 7701023523073 (70007969)</t>
  </si>
  <si>
    <t>Radiador Motor Hino Reparado (70007970)</t>
  </si>
  <si>
    <t>BMB Principal Freno Nhr Con Turbo 894441 (70007971)</t>
  </si>
  <si>
    <t>Compresor AIR Acondicionado Daf Cf 480 F (70007972)</t>
  </si>
  <si>
    <t>CJ De Velocidades FT 1039 7701023085144 (70007973)</t>
  </si>
  <si>
    <t>Modulo Control Motor Nkr Reward Reparado (70007974)</t>
  </si>
  <si>
    <t>Modulo Control Motor Frr Reparado (70007975)</t>
  </si>
  <si>
    <t>Turbo Alimentador Foton 1039 Reparado (70007976)</t>
  </si>
  <si>
    <t>Capot Prostar Reparado (70007977)</t>
  </si>
  <si>
    <t>Recibidor Chapa PTA FRL Cl 120 A60-81000 (70007978)</t>
  </si>
  <si>
    <t>Banda De Freno TRAS MCK Anthem Remachado (70007979)</t>
  </si>
  <si>
    <t>Motor Arranque Foton 1065 Reparado (70007980)</t>
  </si>
  <si>
    <t>Correa A/C Foton 1065 7705946361194 (70007981)</t>
  </si>
  <si>
    <t>Tapa Pin Carcasa CJ FT 1129 770594600279 (70007982)</t>
  </si>
  <si>
    <t>Manija Exterior Puerta Izq Kenworth T800 (70007983)</t>
  </si>
  <si>
    <t>Oring BMB INY CH Ftr 1096234640 (70007984)</t>
  </si>
  <si>
    <t>Radiador Foton Mv5 Reparado (70007985)</t>
  </si>
  <si>
    <t>Tuerca Ajuste Bocin TRAS Fo 7701023082 (70007986)</t>
  </si>
  <si>
    <t>Oring Compresor Chevrolet Ftr 8981924630 (70007987)</t>
  </si>
  <si>
    <t>RET RDA Tras INTno FT 1129 7701023706650 (70007988)</t>
  </si>
  <si>
    <t>Horquilla Caja Velocidades Nkr Reparado (70007989)</t>
  </si>
  <si>
    <t>Tuerca Speed 4700 Internatio 16966471c1 (70007990)</t>
  </si>
  <si>
    <t>Valvula Descargue Chasis 288251 (70007991)</t>
  </si>
  <si>
    <t>Cargador De Bateria Montacarga Reparado (70007992)</t>
  </si>
  <si>
    <t>Lampara DIRal IZQ HN 500 81520-E0091 (70007993)</t>
  </si>
  <si>
    <t>Motor Limpiabrisas Foton 1128 Reparado (70007994)</t>
  </si>
  <si>
    <t>Parabrisas Laminado Nissan Urvan (70007995)</t>
  </si>
  <si>
    <t>Panel Plastico Vehiculo Reparado (70007996)</t>
  </si>
  <si>
    <t>Diferencial Nkr Reward 8x41 Reparado (70007997)</t>
  </si>
  <si>
    <t>FILT Silenciador Secador AIR Daf Cf480 F (70007998)</t>
  </si>
  <si>
    <t>Bocin Rueda Trasera Jac Jhr Reparado (70007999)</t>
  </si>
  <si>
    <t>Marco PTA IZQ INT L 4069566c93 (70008000)</t>
  </si>
  <si>
    <t>Ballestatrasera Foton 1039 7701023085311 (70008001)</t>
  </si>
  <si>
    <t>Abrazadera Tanque Acpm Reparado (70008002)</t>
  </si>
  <si>
    <t>Manija INTna PTA Izquierd 7705946362 (70008003)</t>
  </si>
  <si>
    <t>Caja De Velocidades Jac Jhr Reparado (70008004)</t>
  </si>
  <si>
    <t>Alternador Foton 1039 Reparado (70008005)</t>
  </si>
  <si>
    <t>Motor Arranque Foton 1030 Reparado (70008006)</t>
  </si>
  <si>
    <t>Moldura Lamevidrio INTna Der 8980292011 (70008007)</t>
  </si>
  <si>
    <t>Broche Nylon Accesorios Cabina 3548695c1 (70008008)</t>
  </si>
  <si>
    <t>Bisagra Puerta Furgon Aluminio (70008009)</t>
  </si>
  <si>
    <t>Empaque Enf Aceite Jac 1042 1041050fe010 (70008010)</t>
  </si>
  <si>
    <t>MANG Superior RAD Hin 16571-7843 (70008011)</t>
  </si>
  <si>
    <t>Modulo Control Motor Hino 500 Reparado (70008012)</t>
  </si>
  <si>
    <t>Hoja Muelle Trasera 2da Nhr Rw 22/081 (70008013)</t>
  </si>
  <si>
    <t>Bisagra Puerta Varias Reparado (70008014)</t>
  </si>
  <si>
    <t>Motor Arranque Hino 500 28100-E0082 (70008015)</t>
  </si>
  <si>
    <t>Correa TANQ Comb Media Int Lt 4062596c3 (70008016)</t>
  </si>
  <si>
    <t>Caja Direccion Mecanica Nhr Nkr Reparado (70008017)</t>
  </si>
  <si>
    <t>Extension Cabina Kenworth T800 Reparado (70008018)</t>
  </si>
  <si>
    <t>Exploradora Derecha Jac 110 4116920le010 (70008019)</t>
  </si>
  <si>
    <t>Pin Resorte Banda Freno Foton 1128 (70008020)</t>
  </si>
  <si>
    <t>Farola IZQ FT 1128 7705946724838 (70008021)</t>
  </si>
  <si>
    <t>Radiador Foton 1129 Reparado (70008022)</t>
  </si>
  <si>
    <t>Motor Arranque N200 Reparado (70008023)</t>
  </si>
  <si>
    <t>Silla Conductor Dong Feng Reparado (70008024)</t>
  </si>
  <si>
    <t>Silla Ayudante Dong Feng Reparado (70008025)</t>
  </si>
  <si>
    <t>Talco Stop Izquierdo Daf Cf480 1914690 (70008026)</t>
  </si>
  <si>
    <t>Arranque Jac 1042 Reparado (70008027)</t>
  </si>
  <si>
    <t>Espejo Capot Lado IZQ In 3787834c92 (70008028)</t>
  </si>
  <si>
    <t>Espaldar Cabina Inter Lt 4078280w92 (70008029)</t>
  </si>
  <si>
    <t>Tornillo Montaje Enfriador De 4101867 (70008030)</t>
  </si>
  <si>
    <t>Alternador Planta Eletrica Reparado (70008031)</t>
  </si>
  <si>
    <t>Tapa Cabrilla DIR Nkr Rw 8974059851 (70008032)</t>
  </si>
  <si>
    <t>Bateria Montacarga Electrico Reparado (70008033)</t>
  </si>
  <si>
    <t>Correa Motor Isf 3.8 Cummins J 5690221 (70008034)</t>
  </si>
  <si>
    <t>Inyector Vans N200 Reparado (70008035)</t>
  </si>
  <si>
    <t>Palanca Freno De Mano FT 1039 7701023698 (70008036)</t>
  </si>
  <si>
    <t>Comando Luces Moto Ax 100 57300h20715h00 (70008037)</t>
  </si>
  <si>
    <t>Modulo Control Jac Reparado (70008038)</t>
  </si>
  <si>
    <t>Arranque Jac Reparado (70008039)</t>
  </si>
  <si>
    <t>Rodamiento Polea VENT Fo Bd3512du8a (70008040)</t>
  </si>
  <si>
    <t>Bomba De Combustible Motor Frr Reparado (70008041)</t>
  </si>
  <si>
    <t>Esquinero Superior DER Hin 8791537020 (70008042)</t>
  </si>
  <si>
    <t>Kit Rodillos CJ Fuller Hi Eaton 4300902 (70008043)</t>
  </si>
  <si>
    <t>Radiador Motor Foton 1039 Reparado (70008044)</t>
  </si>
  <si>
    <t>Ensor Reversa HY H100 Por 938604a010 (70008045)</t>
  </si>
  <si>
    <t>Caja Hidraulica Renault Master J004 (70008046)</t>
  </si>
  <si>
    <t>Bomba Inyeccion Hyundai H100 Reparado (70008047)</t>
  </si>
  <si>
    <t>Bloque Motor Hyundai H100 Reparado (70008048)</t>
  </si>
  <si>
    <t>DIRal PTA DER Fot 1023095556 (70008049)</t>
  </si>
  <si>
    <t>Multiple Admision Foton Mv5 5946036344 (70008050)</t>
  </si>
  <si>
    <t>Inyector Hyundai H100 Reparado (70008051)</t>
  </si>
  <si>
    <t>Cremallera Vidrio Elec DEL Mv5 770594619 (70008052)</t>
  </si>
  <si>
    <t>Cuna Direccion Moto Dr650 (70008053)</t>
  </si>
  <si>
    <t>Fan Clutch Completo Con Tornillos Lt Int (70008054)</t>
  </si>
  <si>
    <t>Manubrio Moto Suzuki Dr 650 (70008055)</t>
  </si>
  <si>
    <t>VALV Freno De Ahogo FT C 1023294362 (70008056)</t>
  </si>
  <si>
    <t>Capot International Lt Reparado (70008057)</t>
  </si>
  <si>
    <t>Tuberia Del RAD REN M 924108925r (70008058)</t>
  </si>
  <si>
    <t>Juego Pastillas Freno Delante Yf3501a104 (70008059)</t>
  </si>
  <si>
    <t>Modulo Uch Sagem REN Maste 8200943288 (70008060)</t>
  </si>
  <si>
    <t>Valvula Descargue Freno Delant 229844 (70008061)</t>
  </si>
  <si>
    <t>Biela Motor Frr Reparado (70008062)</t>
  </si>
  <si>
    <t>Valvula Fan Clucht Internatio 1689785 C9 (70008063)</t>
  </si>
  <si>
    <t>Intercooler International Lt Reparado (70008064)</t>
  </si>
  <si>
    <t>Gancho Seguro Bomper Prostar 3674781c1 (70008065)</t>
  </si>
  <si>
    <t>Alternador N200 Reparado (70008066)</t>
  </si>
  <si>
    <t>Cigueñal Motor Hino Dutro Reparado (70008067)</t>
  </si>
  <si>
    <t>Bloque Motor Hino Reparado (70008068)</t>
  </si>
  <si>
    <t>Volante Motor Hi Reparado (70008069)</t>
  </si>
  <si>
    <t>Juego Media Luna Std Motor N20 9002794 (70008070)</t>
  </si>
  <si>
    <t>Rodillo Caja Hino Dutropack St Stb5590 (70008071)</t>
  </si>
  <si>
    <t>Soporte Radiador Mack Cxu 20976700 (70008072)</t>
  </si>
  <si>
    <t>Farola Toyota Prado Der 212-11p8 (70008073)</t>
  </si>
  <si>
    <t>Radiador International Lt Reparado (70008074)</t>
  </si>
  <si>
    <t>Chasis Nkr Rewart Reparado (70008075)</t>
  </si>
  <si>
    <t>Vidrio Puerta Derecha Hyundai H100 (70008076)</t>
  </si>
  <si>
    <t>Alternador Nkr 12v Reparado (70008077)</t>
  </si>
  <si>
    <t>Bombillo Luces Alto Lt H11 12v 55w 48072 (70008078)</t>
  </si>
  <si>
    <t>Inyector Motor Frr Reparado (70008079)</t>
  </si>
  <si>
    <t>Silla Auxiliar Foton 1129 Reparado (70008080)</t>
  </si>
  <si>
    <t>Silla Conductor Foton 1129 Reparado (70008081)</t>
  </si>
  <si>
    <t>Juego De Anillos Std HY Porter H100 3386 (70008082)</t>
  </si>
  <si>
    <t>EMP Multiple De Espape Frr 8971464992 (70008083)</t>
  </si>
  <si>
    <t>Guia Valvula Frr 8973767192 (70008084)</t>
  </si>
  <si>
    <t>Compresor Isx Reparado (70008085)</t>
  </si>
  <si>
    <t>Manguera Aire Reparado (70008086)</t>
  </si>
  <si>
    <t>Manguera Agua Reparado (70008087)</t>
  </si>
  <si>
    <t>Motor Arranque Foton 1129 Reparado (70008088)</t>
  </si>
  <si>
    <t>Bastidores Sb Hendrickso Reparado (70008089)</t>
  </si>
  <si>
    <t>FILT COMB Pri FT 1065 7705946343176 (70008090)</t>
  </si>
  <si>
    <t>Filtro Combustible Euro V Ff5825nn (70008091)</t>
  </si>
  <si>
    <t>Bomba De Inyeccion Foton 1039 Reparado (70008092)</t>
  </si>
  <si>
    <t>Inyector Foton 1039 Reparado (70008093)</t>
  </si>
  <si>
    <t>Repuesto Varios Akt (70008094)</t>
  </si>
  <si>
    <t>Banda Trasera Freno Mv5 5946366939 (70008095)</t>
  </si>
  <si>
    <t>Sello Llave Filtro Agua Isx 3818885 (70008096)</t>
  </si>
  <si>
    <t>Post Enfriador Aire Motor Foton Reparado (70008097)</t>
  </si>
  <si>
    <t>Tuerca Perno Rin Disco TRL 450-500 Lb (70008098)</t>
  </si>
  <si>
    <t>Caja De Cambios Nkriii Reparado (70008099)</t>
  </si>
  <si>
    <t>Vidrio Trasero Mack Anthem (70008100)</t>
  </si>
  <si>
    <t>Bomper Frontal Foton Tm30 5946718783 (70008101)</t>
  </si>
  <si>
    <t>Turbo Alimentador Npr Reparado (70008102)</t>
  </si>
  <si>
    <t>Guardapolvo Derecho Direccion 23870237 (70008103)</t>
  </si>
  <si>
    <t>Bombillo T20 Nissan Sentra (70008104)</t>
  </si>
  <si>
    <t>Alternador Foton Mv5 7705946023061 (70008105)</t>
  </si>
  <si>
    <t>Manija INTior PTA Izquier 1023486576 (70008106)</t>
  </si>
  <si>
    <t>Catalizador Tubo De Escape N20 19246340 (70008107)</t>
  </si>
  <si>
    <t>RET INTno TRAS FT 1039 7701023086417 (70008108)</t>
  </si>
  <si>
    <t>Sensor Reversa Sb 21-363 (70008109)</t>
  </si>
  <si>
    <t>Base Silla Frr Reparado (70008110)</t>
  </si>
  <si>
    <t>Kit Reparacion Culta Isx EGL Kisx557943 (70008111)</t>
  </si>
  <si>
    <t>Barra Direccion Foton 1129 01023326261 (70008112)</t>
  </si>
  <si>
    <t>Enfriador Suspencion Egr MOT 8982127180 (70008113)</t>
  </si>
  <si>
    <t>FILT COMB Sellado Jac 1105012ld2 (70008114)</t>
  </si>
  <si>
    <t>FILT De COMB Vaso Jac 1105120ld3 (70008115)</t>
  </si>
  <si>
    <t>Kit Guardapolvo De Califer Akt200 K-000 (70008116)</t>
  </si>
  <si>
    <t>Motor Arranque Foton 1129 - 1128 770594 (70008117)</t>
  </si>
  <si>
    <t>Sensor Nivel De Agua Jac Jhr 1105015ld3 (70008118)</t>
  </si>
  <si>
    <t>Resorte Filtro Aceite Nkr Rw 8980188500 (70008119)</t>
  </si>
  <si>
    <t>Bomper Delantero Foton 1129 Reparado (70008120)</t>
  </si>
  <si>
    <t>Banda Freno TRAS Jac 1120 9308 Remachada (70008121)</t>
  </si>
  <si>
    <t>Colector Alter Freighliner 12v Reparado (70008122)</t>
  </si>
  <si>
    <t>Banda Freno Trasero Hyundai Remachada (70008123)</t>
  </si>
  <si>
    <t>Cojin Conductor Jac 1120 Reparado (70008124)</t>
  </si>
  <si>
    <t>Cojin Auxiliar Jac 1120 Reparado (70008125)</t>
  </si>
  <si>
    <t>Panel Frontal Izq Der Nkr Reparado (70008126)</t>
  </si>
  <si>
    <t>Barra Tensora Hi Reparado (70008127)</t>
  </si>
  <si>
    <t>Puntera Bomber Varios Reparado (70008128)</t>
  </si>
  <si>
    <t>Piñon Del Bendix Suzuki Dr650 P0000 (70008129)</t>
  </si>
  <si>
    <t>Reten 35x46x7 Semieje FT 10 5946243285 (70008130)</t>
  </si>
  <si>
    <t>SENS Reversa Hi EG Internatio 1699216 C9 (70008131)</t>
  </si>
  <si>
    <t>Sensor Reversa Super Carry 3761080023 (70008132)</t>
  </si>
  <si>
    <t>Bomba De Agua Planta Electrica Reparado (70008133)</t>
  </si>
  <si>
    <t>Tubo Exosto Reparado (70008134)</t>
  </si>
  <si>
    <t>Banda Tras. S.C. Remachada (70008135)</t>
  </si>
  <si>
    <t>Farolas Varias Reparado (70008136)</t>
  </si>
  <si>
    <t>Carcaza Palanca Cambios Varios Reparado (70008137)</t>
  </si>
  <si>
    <t>Banda Freno Trasero Foton 1129 Remachado (70008138)</t>
  </si>
  <si>
    <t>Banda Freno DEL FT 1129 Remachada (70008139)</t>
  </si>
  <si>
    <t>Eje Traile Reparado Varios (70008140)</t>
  </si>
  <si>
    <t>Caja Direccion Hino Reparado (70008141)</t>
  </si>
  <si>
    <t>Banda Del Tras Npr Remachado (70008142)</t>
  </si>
  <si>
    <t>Cremallera Elevavidrio Ftr Reparado (70008143)</t>
  </si>
  <si>
    <t>Bomba Agua Frr Reparado (70008144)</t>
  </si>
  <si>
    <t>Cigueñal Isx Reparado (70008145)</t>
  </si>
  <si>
    <t>Persiana Foton 1129 Reparado (70008146)</t>
  </si>
  <si>
    <t>Banda Trasera Hino 500 9217 Remachada (70008147)</t>
  </si>
  <si>
    <t>Banda DEL HN 500 20192 Remachada (70008148)</t>
  </si>
  <si>
    <t>Catalizadores Varios Reparados (70008149)</t>
  </si>
  <si>
    <t>Varilla Empujadora Akt 200 (70008150)</t>
  </si>
  <si>
    <t>Balinera 6328 Akt 200 (70008151)</t>
  </si>
  <si>
    <t>Piñon Balance Cigueñal Akt 200 (70008152)</t>
  </si>
  <si>
    <t>Balinera 6006 Akt 200 (70008153)</t>
  </si>
  <si>
    <t>Banda Trasera Hi Remachada (70008154)</t>
  </si>
  <si>
    <t>Cojin COND Y Ayudante FT Reparado (70008155)</t>
  </si>
  <si>
    <t>Persiana Nkr Reparado (70008156)</t>
  </si>
  <si>
    <t>Banda Tras. Eagle - Kw T800 47 Remachada (70008157)</t>
  </si>
  <si>
    <t>Millare Reparado (70008158)</t>
  </si>
  <si>
    <t>Banda Freno Emerg Vucan Nkr Rw Remachada (70008159)</t>
  </si>
  <si>
    <t>Bomba Agua Hino Reparado (70008160)</t>
  </si>
  <si>
    <t>Carenaje Farola Akt 125 (70008161)</t>
  </si>
  <si>
    <t>Banda Freno Npr Supertrack 20101 Remacha (70008163)</t>
  </si>
  <si>
    <t>Banda Del Tras Toyota 2137l Remachada (70008164)</t>
  </si>
  <si>
    <t>Banda Del EGL 4720 Supertrack Remachada (70008165)</t>
  </si>
  <si>
    <t>Banda Tras Eagle Kenworth 4709 Remachda (70008166)</t>
  </si>
  <si>
    <t>Banda Porta Contenedor 4718 Remachada (70008167)</t>
  </si>
  <si>
    <t>Juego Bandas Moto SZ Nueva S54400-010 (70008168)</t>
  </si>
  <si>
    <t>Banda Del-Tras Nhr Vulcanizada Remachada (70008169)</t>
  </si>
  <si>
    <t>Banda Freno DEL Frr 9318 Remachada (70008170)</t>
  </si>
  <si>
    <t>Inyector Motor Hino 300 Reparado (70008171)</t>
  </si>
  <si>
    <t>Alternador Montacarga Reparado (70008172)</t>
  </si>
  <si>
    <t>Guaya Varias Reparado (70008173)</t>
  </si>
  <si>
    <t>Bendix Completo Moto Dr 650 963852 (70008174)</t>
  </si>
  <si>
    <t>Cadena Moto Dr 650 147852 (70008175)</t>
  </si>
  <si>
    <t>Separadores De Discos EMB 2145144b00 (70008176)</t>
  </si>
  <si>
    <t>Tapa Prensa De EMB Dr 650 2146231d00 (70008177)</t>
  </si>
  <si>
    <t>Furgon Nkr Reparado (70008178)</t>
  </si>
  <si>
    <t>Alternador Reparado Hino (70008179)</t>
  </si>
  <si>
    <t>Banda Del.Tras. Npr Remachada (70008180)</t>
  </si>
  <si>
    <t>Bomba Agua T. Delta Reparado (70008181)</t>
  </si>
  <si>
    <t>Alternador Renault Master Reparado (70008182)</t>
  </si>
  <si>
    <t>Banda Del. Sb Remachada (70008183)</t>
  </si>
  <si>
    <t>Radiador Motor Jac Reparado (70008184)</t>
  </si>
  <si>
    <t>Banda Freno Trasero Foton 1030 Remachada (70008185)</t>
  </si>
  <si>
    <t>Juego Bandas Tras Moto Remacha Remachada (70008186)</t>
  </si>
  <si>
    <t>Banda Freno Emerg 1081 5/32 Td Remachada (70008187)</t>
  </si>
  <si>
    <t>Alternador Reparado Jac (70008188)</t>
  </si>
  <si>
    <t>Banda Freno TRL 4515 Supertrack Reparado (70008189)</t>
  </si>
  <si>
    <t>Banda Freno Nhr-FT 1039 2025x Reparado (70008190)</t>
  </si>
  <si>
    <t>Banda Freno Nkr 20104d Reparado (70008191)</t>
  </si>
  <si>
    <t>Banda Freno DEL HN 20188 Remachada (70008192)</t>
  </si>
  <si>
    <t>Banda Freno TRAS Supertrack Isx 4707 Rem (70008193)</t>
  </si>
  <si>
    <t>Cojin Cond-Ayudante Volswagen reparado (70008194)</t>
  </si>
  <si>
    <t>Banda Freno Emergencia Hino Vulcanizada (70008195)</t>
  </si>
  <si>
    <t>Motor Arra Nissan Pat M1t60281 Reparado (70008196)</t>
  </si>
  <si>
    <t>Kit Medio Empaques Moto Dr650 (70008197)</t>
  </si>
  <si>
    <t>Jgo Gorros Economiz Moto Dr650 (70008198)</t>
  </si>
  <si>
    <t>Filtro Aceite Moto Dr650 (70008199)</t>
  </si>
  <si>
    <t>Banda Freno Trasero Jac 1042 Remachada (70008200)</t>
  </si>
  <si>
    <t>Tapizado Piso Cabina Npr Reparado (70008201)</t>
  </si>
  <si>
    <t>BMB De Alta Precion Nkr Reward Reparado (70008202)</t>
  </si>
  <si>
    <t>Extencion Capot Eagle Reparado (70008204)</t>
  </si>
  <si>
    <t>Banda Del. Hi 4300 Remachada (70008205)</t>
  </si>
  <si>
    <t>Banda Del Eagle 4720 Remachada (70008206)</t>
  </si>
  <si>
    <t>Quinta Rueda Reparado (70008207)</t>
  </si>
  <si>
    <t>Chapa Vehiculo Reparado (70008208)</t>
  </si>
  <si>
    <t>Carter Aceite Motor Reparado Eagle 9400 (70008209)</t>
  </si>
  <si>
    <t>Turbo Alimentador Frr Reparado (70008210)</t>
  </si>
  <si>
    <t>Caja Dirección Renault Master Reparado (70008211)</t>
  </si>
  <si>
    <t>Bomba Inyeccion Hino Reparado (70008212)</t>
  </si>
  <si>
    <t>Culata Hino Dutro Reparada (70008213)</t>
  </si>
  <si>
    <t>Bloque Motor Nhr Sin Turbo Reparado (70008214)</t>
  </si>
  <si>
    <t>Tubo Tubo Aceite Renalt Master Reparado (70008215)</t>
  </si>
  <si>
    <t>Radiador Eagle Reparado (70008216)</t>
  </si>
  <si>
    <t>Motor Arranque Moto Akt200 (70008217)</t>
  </si>
  <si>
    <t>Radiador Sb Reparado (70008218)</t>
  </si>
  <si>
    <t>Radio Pasacinta A160 Reparado (70008219)</t>
  </si>
  <si>
    <t>Banda Freno Tras Foton Remachada (70008220)</t>
  </si>
  <si>
    <t>Kit EMP Kit Empaquetadura Completa Dr650 (70008221)</t>
  </si>
  <si>
    <t>Gorros Economizadores Dr650 (70008222)</t>
  </si>
  <si>
    <t>Amortiguador Trasero Suzuki Dr650 (70008223)</t>
  </si>
  <si>
    <t>Radiador Planta Electrica Reparado (70008224)</t>
  </si>
  <si>
    <t>Radiador Reparado Mack (70008225)</t>
  </si>
  <si>
    <t>Cojin Conductor Montacarga Repadado (70008226)</t>
  </si>
  <si>
    <t>Inyector Motor Reparado Renault Master (70008227)</t>
  </si>
  <si>
    <t>Motor Arranque R. Master Reparado (70008228)</t>
  </si>
  <si>
    <t>Post Enfriador Aceite Reparado (70008229)</t>
  </si>
  <si>
    <t>Prensa Embrague Hi Reparado Eaton (70008230)</t>
  </si>
  <si>
    <t>CJ Caja Direccion Toyota Delta Reparado (70008231)</t>
  </si>
  <si>
    <t>Cordon Elastico Para Pulpo (70008232)</t>
  </si>
  <si>
    <t>Biela Caja Moto Suzuki Ax 100 (70008233)</t>
  </si>
  <si>
    <t>Caucho Torque Caja Ax 100 (70008234)</t>
  </si>
  <si>
    <t>Enfriador Gases Escape Frr Reparado (70008235)</t>
  </si>
  <si>
    <t>Alternador Volswagen Reparado (70008236)</t>
  </si>
  <si>
    <t>Cojin Cond Ayudante Frr Reparado (70008237)</t>
  </si>
  <si>
    <t>Media Caja 16918 Eagle Reparado (70008238)</t>
  </si>
  <si>
    <t>Caja Velocidades Eagle Reparado (70008239)</t>
  </si>
  <si>
    <t>Bloque Motor Isx Reparado (70008240)</t>
  </si>
  <si>
    <t>Motor Arranque 39mt Kw Reparado (70008241)</t>
  </si>
  <si>
    <t>Caja Direccion Npr Reparado (70008242)</t>
  </si>
  <si>
    <t>Modulo Control Cabina Kw Reparado (70008243)</t>
  </si>
  <si>
    <t>Radiador Motor Frr Reparado (70008244)</t>
  </si>
  <si>
    <t>Alternador Reparado Nissan Pathfinder (70008245)</t>
  </si>
  <si>
    <t>Relay Arranque Moto Akt 3w180 23515122 (70008246)</t>
  </si>
  <si>
    <t>Llave Gasolina Moto 4430032e00 (70008247)</t>
  </si>
  <si>
    <t>Tu Turbo Alimentador Reparado Nkr Reward (70008248)</t>
  </si>
  <si>
    <t>Carcaza Motor Moto Honda Xl200 (70008249)</t>
  </si>
  <si>
    <t>Extension Cabina Eagle Reparado (70008250)</t>
  </si>
  <si>
    <t>Jgo Pastillas Freno Akt125 (70008251)</t>
  </si>
  <si>
    <t>Palanca Pedal Cambios Akt125 (70008252)</t>
  </si>
  <si>
    <t>Ci Cinturon Seguridad Retractil Reparado (70008253)</t>
  </si>
  <si>
    <t>Motor Arranque Moto Suzuki 650 (70008254)</t>
  </si>
  <si>
    <t>Banda Freno Delantero Frr Remachada (70008255)</t>
  </si>
  <si>
    <t>Banda Freno Trasero Frr Remachada (70008256)</t>
  </si>
  <si>
    <t>Alternador Nkr Reward 24v Reparado (70008257)</t>
  </si>
  <si>
    <t>Motor Limpiabrisas Ixs Reparado (70008258)</t>
  </si>
  <si>
    <t>Culata Motcicleta Suzuki Dr650 (70008259)</t>
  </si>
  <si>
    <t>Caja Direccion Hca Nkr Rw Reparado (70008260)</t>
  </si>
  <si>
    <t>Culata Nkr Reward Reparado (70008261)</t>
  </si>
  <si>
    <t>Cremallera Elect Izq Der KW Reparado (70008262)</t>
  </si>
  <si>
    <t>Bloque Motor N200 Reparado (70008263)</t>
  </si>
  <si>
    <t>Culata Motor N200 Reparado (70008264)</t>
  </si>
  <si>
    <t>Bielas Motor N200 Reparado (70008265)</t>
  </si>
  <si>
    <t>Cigüeñal Motor N200 Reparado (70008266)</t>
  </si>
  <si>
    <t>Manguera Hidrolavadora Recub Reparado (70008267)</t>
  </si>
  <si>
    <t>Posapie Moto Akt 3w180 2347601 23772211 (70008268)</t>
  </si>
  <si>
    <t>Medidor Aceite Moto Akt125 23881425 (70008269)</t>
  </si>
  <si>
    <t>Pedal Cambios Moto Akt 200 23622592 (70008270)</t>
  </si>
  <si>
    <t>Cabeza De Vaca Motor Isx Repar G - 14 (70008271)</t>
  </si>
  <si>
    <t>Tapa Clutch Moto Akt 200 23909648 (70008272)</t>
  </si>
  <si>
    <t>Filtro Gasolona Moto Akt100s 23459808 (70008273)</t>
  </si>
  <si>
    <t>Conector Carburador Akt 3w180 23459518 (70008274)</t>
  </si>
  <si>
    <t>Empaque Culata Motor Akt 3w180 23459952 (70008275)</t>
  </si>
  <si>
    <t>Inyector Motor Nkr Redwar Reparado (70008276)</t>
  </si>
  <si>
    <t>Bujia Encendido Motor Akt 200 (70008277)</t>
  </si>
  <si>
    <t>Espuma Filtro Aire Motor Akt 200 (70008278)</t>
  </si>
  <si>
    <t>Presa Cluth Akt 200 (70008279)</t>
  </si>
  <si>
    <t>Bomba Freno Akt (70008280)</t>
  </si>
  <si>
    <t>Radiador Motor Hiunday Reparado (70008281)</t>
  </si>
  <si>
    <t>Post Enfriador Aire Ftr Reparado (70008282)</t>
  </si>
  <si>
    <t>Hausing Nhr Nkr Npr Reparado (70008283)</t>
  </si>
  <si>
    <t>Culata Xr 200 Honda (70008284)</t>
  </si>
  <si>
    <t>Culata Motor Van N200 Reparada (70008285)</t>
  </si>
  <si>
    <t>Troq Troque Delantero T. Delta Reparado (70008286)</t>
  </si>
  <si>
    <t>Motor Arranque Hi Reparado Delco Remy (70008287)</t>
  </si>
  <si>
    <t>Motor Arranque Mack Reparado (70008288)</t>
  </si>
  <si>
    <t>Motor Arranque 42mt Eagle Reparado (70008289)</t>
  </si>
  <si>
    <t>Motor De Arranque Frr Reparado (70008290)</t>
  </si>
  <si>
    <t>Bomba Agua Motor Reward Reparado (70008291)</t>
  </si>
  <si>
    <t>Compresor Aire Kenworth Reparado (70008292)</t>
  </si>
  <si>
    <t>Piñon C Piñon Conducido Arranque Akt 200 (70008293)</t>
  </si>
  <si>
    <t>Piño Piñon Velocimetro Suzuki 5460005d00 (70008294)</t>
  </si>
  <si>
    <t>Bomper Delantero Isx Reparado (70008295)</t>
  </si>
  <si>
    <t>Cojin Conductor Y Ayudante Hino Reparado (70008296)</t>
  </si>
  <si>
    <t>Banda Portacontenedor Remach. 4718 Rom. (70008297)</t>
  </si>
  <si>
    <t>Manguera Acoplada Varias A/C Reparado (70008298)</t>
  </si>
  <si>
    <t>Cr Cremallera Elevavidrio Delta Reparado (70008299)</t>
  </si>
  <si>
    <t>Cardan Reparado Varios (70008300)</t>
  </si>
  <si>
    <t>Suspensión Delantera Akt 200 (70008301)</t>
  </si>
  <si>
    <t>Carter Varios Reparado (70008302)</t>
  </si>
  <si>
    <t>Rodamiento Cigüeñal Akt 200 (70008303)</t>
  </si>
  <si>
    <t>Valvula Escape Motor Akt 200 (70008304)</t>
  </si>
  <si>
    <t>Bomba Lubricacion Motor Akt 200 (70008305)</t>
  </si>
  <si>
    <t>Sistema Electrico Akt125sl (70008306)</t>
  </si>
  <si>
    <t>Filtro Aceite Motor Akt 3w180 14210me130 (70008307)</t>
  </si>
  <si>
    <t>Garra Selectora Akt 200 (70008308)</t>
  </si>
  <si>
    <t>Arbol De Levas Akt 200 (70008309)</t>
  </si>
  <si>
    <t>Balancines Inferiores Akt 200 (70008310)</t>
  </si>
  <si>
    <t>Manzana De Cluch Akt 200 (70008311)</t>
  </si>
  <si>
    <t>Kit Biela Akt 200 (70008312)</t>
  </si>
  <si>
    <t>Cilindro Motor Akt 200 (70008313)</t>
  </si>
  <si>
    <t>Modulo Cdi Akt 200 (70008314)</t>
  </si>
  <si>
    <t>Trompo Stop 125 Akt Moto Furgon (70008315)</t>
  </si>
  <si>
    <t>Bomba Freno 3w180 Akt Moto Furgon (70008316)</t>
  </si>
  <si>
    <t>Cilindro Hidrulico Plataf Carga Reparado (70008317)</t>
  </si>
  <si>
    <t>Calapie Moto Akt (70008318)</t>
  </si>
  <si>
    <t>Crank Moto Akt200 (70008319)</t>
  </si>
  <si>
    <t>Compresor A/A Isx Reparado (70008320)</t>
  </si>
  <si>
    <t>Tur Turbo Alimentador Volswagen Reparado (70008321)</t>
  </si>
  <si>
    <t>Turbo Alimentador Motor Renault Reparado (70008322)</t>
  </si>
  <si>
    <t>Velocimetro Akt (70008323)</t>
  </si>
  <si>
    <t>Bomba Freno Delantero Akt (70008324)</t>
  </si>
  <si>
    <t>Plato Bobinas Akt (70008325)</t>
  </si>
  <si>
    <t>Arbol De Levas Akt (70008326)</t>
  </si>
  <si>
    <t>Sellos Valvulas Akt 200 (70008327)</t>
  </si>
  <si>
    <t>Buje Piñon Caja Akt (70008328)</t>
  </si>
  <si>
    <t>Kit Empaques Motor Akt200 (70008329)</t>
  </si>
  <si>
    <t>Motor Arranque Nkr Rewar Repar (70008330)</t>
  </si>
  <si>
    <t>Trompo Neutro Moto Honda (70008331)</t>
  </si>
  <si>
    <t>FILT AIR MOT Sup Carry Goby Ag971201a (70008332)</t>
  </si>
  <si>
    <t>Cigüeñal Motor Isx Reparado (70008333)</t>
  </si>
  <si>
    <t>E Evaporador Aire Acondicionado Reparado (70008334)</t>
  </si>
  <si>
    <t>Motor Arranque Hino Dutro Reparado (70008335)</t>
  </si>
  <si>
    <t>Modulo Control Ecm Eagle Reparado (70008336)</t>
  </si>
  <si>
    <t>Culata Compresor Isx Eagle 9400 Reparado (70008337)</t>
  </si>
  <si>
    <t>Tablero Instrumentos Cabina Hi Reparado (70008338)</t>
  </si>
  <si>
    <t>Motor Aire A/C Reparado (70008339)</t>
  </si>
  <si>
    <t>Bomper Bomper Delantero Nkr Nhr Reparado (70008340)</t>
  </si>
  <si>
    <t>Post Enfria Aire Mot Nkr111 Rew Reparado (70008341)</t>
  </si>
  <si>
    <t>Luna Espejo Retrovisor Reparado (70008342)</t>
  </si>
  <si>
    <t>Exosto Hino Reparado (70008343)</t>
  </si>
  <si>
    <t>Radiador Enfriador Aceite Caja Reparado (70008344)</t>
  </si>
  <si>
    <t>Trapecio Brazo Limpiabrisas Toy Reparado (70008345)</t>
  </si>
  <si>
    <t>Caja Direccion Volswagen Reparado (70008346)</t>
  </si>
  <si>
    <t>Inyector Motor Isx Kw Reparado (70008347)</t>
  </si>
  <si>
    <t>Hausing Reparado Trailer (70008348)</t>
  </si>
  <si>
    <t>Fan Clucth Eagle Isx Reparado (70008349)</t>
  </si>
  <si>
    <t>Condensador A/Acondicionado Isx Reparado (70008350)</t>
  </si>
  <si>
    <t>Bomba Hidraulica Npr Reparado (70008351)</t>
  </si>
  <si>
    <t>Tanque Acpm Eagle Reparado (70008352)</t>
  </si>
  <si>
    <t>Inducido Arranque Sb Reparado (70008353)</t>
  </si>
  <si>
    <t>RAD Re Radiador Panal Nuev Nkr Reparado (70008354)</t>
  </si>
  <si>
    <t>Varilla Mecanismo Limpiabrisas Reparado (70008355)</t>
  </si>
  <si>
    <t>Troque Delantero Npr Reparado (70008356)</t>
  </si>
  <si>
    <t>Campana Delantera Npr Reparado (70008357)</t>
  </si>
  <si>
    <t>Tab Tablero Instrumentos Sb-N14 Reparado (70008358)</t>
  </si>
  <si>
    <t>Radiador Motor N 200 Reparado (70008359)</t>
  </si>
  <si>
    <t>Cojin Cond-Ayudante N200 Reparado (70008360)</t>
  </si>
  <si>
    <t>Corona Alternador Npr Reparado (70008361)</t>
  </si>
  <si>
    <t>Culata Motor Isx Reparado (70008362)</t>
  </si>
  <si>
    <t>Turbo Motor Isx Hi9400 Reparado (70008363)</t>
  </si>
  <si>
    <t>Guaya Acelerador Nkr Reparado (70008364)</t>
  </si>
  <si>
    <t>Bisagra Puerta Npr Reparado (70008365)</t>
  </si>
  <si>
    <t>P Post Enfriador Aire Motor Isx Reparado (70008366)</t>
  </si>
  <si>
    <t>Motor Arranque T. Delta Reparado (70008367)</t>
  </si>
  <si>
    <t>Multiple De Admision Nkr - Nhr Reparado (70008368)</t>
  </si>
  <si>
    <t>Caja Direc Cm-100 Hi466-Eagle Reparado (70008369)</t>
  </si>
  <si>
    <t>TANQ Tanque Combustible Reparado Hi466 (70008370)</t>
  </si>
  <si>
    <t>Tablero Instrumentos Cabina Nkr Reparado (70008371)</t>
  </si>
  <si>
    <t>Multiple Escape Npr Reparado (70008372)</t>
  </si>
  <si>
    <t>Caja Direccion Tass 65 Sb- N14 Reparado (70008373)</t>
  </si>
  <si>
    <t>Caja Direc Tas 85062a Kenworth Reparado (70008374)</t>
  </si>
  <si>
    <t>Cojin Cond-Ayudante T.Delta Reparado (70008375)</t>
  </si>
  <si>
    <t>Banda Trasera Van N-200 Remachada (70008376)</t>
  </si>
  <si>
    <t>Radiador Toyota Delta Reparado (70008377)</t>
  </si>
  <si>
    <t>FILT AIR FRL Donaldson P607955 (70008378)</t>
  </si>
  <si>
    <t>Motor Arranque 42 Mt Delco Remy 10461052 (70008379)</t>
  </si>
  <si>
    <t>FILT Aceite Sumergible Donalson P550761 (70008380)</t>
  </si>
  <si>
    <t>FILT Elememto Acpm Freightl Mann Pu1046x (70008381)</t>
  </si>
  <si>
    <t>Filtro Aceite Sb Lf 3000 Fleetguard (70008382)</t>
  </si>
  <si>
    <t>Lampara Led 4" Emp. Caucho 12v 9006 (70008383)</t>
  </si>
  <si>
    <t>FILT COMB Fs1212 Sb35 Fleetguard (70008384)</t>
  </si>
  <si>
    <t>Compresor Aire Isx A/C Hi 9400 3628699c1 (70008385)</t>
  </si>
  <si>
    <t>FILT COMB Sb N14 Fleetguard Fs 1000 (70008386)</t>
  </si>
  <si>
    <t>Post Enfriador Aire Freig.Rep (70008387)</t>
  </si>
  <si>
    <t>Volante Embrague Eagle 9400 Reparado (70008388)</t>
  </si>
  <si>
    <t>Tanque De Acpm Kenworth Reparado (70008389)</t>
  </si>
  <si>
    <t>RAD Radiador Motor Isx Hi 9400 Reparado (70008390)</t>
  </si>
  <si>
    <t>Mofle Van N200 Y S.C. Reparado (70008391)</t>
  </si>
  <si>
    <t>Inyector Motor Nhr Sin Turbo Reparado (70008392)</t>
  </si>
  <si>
    <t>Radiador Motor Reparado Hi 4300 (70008393)</t>
  </si>
  <si>
    <t>Modulo Lectora Ibutton Complet Ca 404 C (70008394)</t>
  </si>
  <si>
    <t>Modulo Expansor De Puerto Seri Ca 732 (70008395)</t>
  </si>
  <si>
    <t>Filtro Aceite Elemento Freight Hu945/2x (70008396)</t>
  </si>
  <si>
    <t>Retenedor Rueda Delantera Sb 370048-A (70008397)</t>
  </si>
  <si>
    <t>Filtro Combustible Secundario 959568 (70008398)</t>
  </si>
  <si>
    <t>Filtro Aire Foto Bj 1039 988094 (70008399)</t>
  </si>
  <si>
    <t>Banda Freno Tras 4515 Trai Rem Remachada (70008400)</t>
  </si>
  <si>
    <t>Casquetes Tapa Biela Fracturad 3686436 (70008401)</t>
  </si>
  <si>
    <t>Tapacubo Cf Co2e4 Co2e3 Foton 1023981101 (70008402)</t>
  </si>
  <si>
    <t>Mecanismo Palanca Cambios Fot 1023085892 (70008403)</t>
  </si>
  <si>
    <t>FILT COMB PRIM Ja 1105102ld3 (70008404)</t>
  </si>
  <si>
    <t>Kit MOT Actuadores Isx EGL Kisx408998 (70008405)</t>
  </si>
  <si>
    <t>Parabrisas Laminado FT Est Amt H45210000 (70008406)</t>
  </si>
  <si>
    <t>Resorte Capo Eagle 9400 1666752c3 (70008407)</t>
  </si>
  <si>
    <t>Arandela Reten Del Propulsor FT 1129 770 (70008408)</t>
  </si>
  <si>
    <t>Carcaza INF Retovisor Daf Cf480 Ftt 1644 (70008409)</t>
  </si>
  <si>
    <t>Corona Y Speed 8:39 Jac 1120 Be33480470 (70008410)</t>
  </si>
  <si>
    <t>Filtro Aire Motor Sb N14 Goby Ag971001a (70008411)</t>
  </si>
  <si>
    <t>Filtro Aire Motor Hi 4300 Goby Ag961012r (70008412)</t>
  </si>
  <si>
    <t>FILT AIR Hi 4700 Electron Goby Ag971011r (70008413)</t>
  </si>
  <si>
    <t>Cable Resorte Pta Tipo Cort Nk 300 (70008414)</t>
  </si>
  <si>
    <t>Juego Cornetas Nk (70008415)</t>
  </si>
  <si>
    <t>Kit Empaque Superior Motor Isx 4955595 (70008416)</t>
  </si>
  <si>
    <t>Tubo Retorno Combustible Frr 8 (70008420)</t>
  </si>
  <si>
    <t>Soporte Motor Tras Der Nkr 100 (70008421)</t>
  </si>
  <si>
    <t>Rodamiento Int Rueda Del Ftr H (70008422)</t>
  </si>
  <si>
    <t>Rodamiento Ext Rueda Del Ftr H (70008423)</t>
  </si>
  <si>
    <t>Stop Izquierdo Foton 1030 7705 (70008424)</t>
  </si>
  <si>
    <t>Sensor Nivel Refri Foton 1128 (70008425)</t>
  </si>
  <si>
    <t>Escotilla Izq. Aire Eagle (70008426)</t>
  </si>
  <si>
    <t>Evaporador A/C Foton 1128 7705 (70008427)</t>
  </si>
  <si>
    <t>Manija Ext Puerta Tras Sunray (70008428)</t>
  </si>
  <si>
    <t>Exploradora Izq Foton 4269 H43 (70008429)</t>
  </si>
  <si>
    <t>Tuerca Inyector Urea Lt Fabric (70008430)</t>
  </si>
  <si>
    <t>Caucho Pedal Freno/Clucth Lt 4 (70008431)</t>
  </si>
  <si>
    <t>Guardabarro Del Der Daf Cf480 (70008432)</t>
  </si>
  <si>
    <t>Stop Izquierdo Jac Sunray 1105 (70008433)</t>
  </si>
  <si>
    <t>Carcaza Central Caja Vel 16918 (70008434)</t>
  </si>
  <si>
    <t>Aro Reten Rod Fuller 16918 430 (70008435)</t>
  </si>
  <si>
    <t>Tapa Caja Eagle Fuller 16918 4 (70008436)</t>
  </si>
  <si>
    <t>Casquet Inf Biela Jac Jhr 1004 (70008437)</t>
  </si>
  <si>
    <t>Base Cili Bloq Puer Tras Sunra (70008438)</t>
  </si>
  <si>
    <t>Bocel Lat Tras Izq Jac Sunray (70008439)</t>
  </si>
  <si>
    <t>Bocel Inf Stop Izq Jac Sunray (70008440)</t>
  </si>
  <si>
    <t>Bomper Trasero Jac Sunray 1105 (70008441)</t>
  </si>
  <si>
    <t>Abrazadera Tanque Comb Foton 4 (70008442)</t>
  </si>
  <si>
    <t>Espejo Sup Front Fot 1128 7705 (70008443)</t>
  </si>
  <si>
    <t>Terminal Direccion Izquierda F (70008444)</t>
  </si>
  <si>
    <t>Valvula Niveladora Aire Eagle (70008445)</t>
  </si>
  <si>
    <t>Soporte Cabina Mack 20975428 (70008446)</t>
  </si>
  <si>
    <t>Empaque Tubo Valvula Frr (70008447)</t>
  </si>
  <si>
    <t>Empaque Multiple Escape Hi 46 (70008448)</t>
  </si>
  <si>
    <t>Tensor Fijo Trail Utility 4743 (70008449)</t>
  </si>
  <si>
    <t>Abrazadera Tubo Agua Isx (70008450)</t>
  </si>
  <si>
    <t>Cabezote Bomba Inyeccion Nhr (70008451)</t>
  </si>
  <si>
    <t>Kit Derecho Puerta Cabina Isx (70008452)</t>
  </si>
  <si>
    <t>Guaya Neutra Foton 1046 7700149106849 (70008453)</t>
  </si>
  <si>
    <t>Guaya CTRL Cambios FT 1045 7700149106832 (70008454)</t>
  </si>
  <si>
    <t>Panel Esquinero Izq FT 1030 770014942957 (70008455)</t>
  </si>
  <si>
    <t>Puerta Izq Foton 1030 7705946735117 (70008456)</t>
  </si>
  <si>
    <t>Leva Freno Del Der Inter Lt 2210k7473 (70008457)</t>
  </si>
  <si>
    <t>Tapa Palanca Cambios K1630 (70008458)</t>
  </si>
  <si>
    <t>Crema Elevavidrio Der DFENG 11054539 (70008459)</t>
  </si>
  <si>
    <t>Tanque Combustible Foton 1128 Reparado (70008460)</t>
  </si>
  <si>
    <t>Kit Pistones Mordaza Jac 1042- Yf3501a10 (70008461)</t>
  </si>
  <si>
    <t>EMPtadura BMB Principal EMB Frr 18557646 (70008462)</t>
  </si>
  <si>
    <t>Arandela Bronce 1ra Y 2da Jac 1035 R1708 (70008463)</t>
  </si>
  <si>
    <t>Biela Motor Jac Jhr Ev 1004010fe010 (70008464)</t>
  </si>
  <si>
    <t>Piñon Engranaje Relenti Jac Jhr Ev 10210 (70008465)</t>
  </si>
  <si>
    <t>Piñon BMB COMB Jac Jhr Ev 1021080fe030 (70008466)</t>
  </si>
  <si>
    <t>Cigueñal Jac Jhr Ev 1005010fe030 (70008467)</t>
  </si>
  <si>
    <t>Kit Reparacion MAY MOT Jac Jhr Ev Jac309 (70008468)</t>
  </si>
  <si>
    <t>SOP Lateral Izq Bomper Jac Sunray 280300 (70008469)</t>
  </si>
  <si>
    <t>Piñon De Hierro 2da Eje Corredizo 37 Die (70008470)</t>
  </si>
  <si>
    <t>Espejo Retrovisor Der Completo Daf Cf 48 (70008471)</t>
  </si>
  <si>
    <t>Carcaza Retrovisor Daf Cf480 1644325 (70008472)</t>
  </si>
  <si>
    <t>RET Diferencial FT 1128 7705946730747 (70008473)</t>
  </si>
  <si>
    <t>Base FILT COMB INT Lt 3989924c92 (70008474)</t>
  </si>
  <si>
    <t>TANQ COMB Izq 100gl INT Lt 4184159c1s (70008475)</t>
  </si>
  <si>
    <t>TANQ COMB Der 100gl INT Lt 2516133c91 (70008476)</t>
  </si>
  <si>
    <t>Ramal Encendido HN 300 Dutro Pro 84450-E (70008477)</t>
  </si>
  <si>
    <t>Harness INTruptor De Encendido MCK Anthe (70008478)</t>
  </si>
  <si>
    <t>Valvula Dosificadora Urea 2115847rn (70008479)</t>
  </si>
  <si>
    <t>Catalizador Foton 1128 Evi 7700149312035 (70008480)</t>
  </si>
  <si>
    <t>Kit Calefacion A/C Frontal INT Lt 412228 (70008481)</t>
  </si>
  <si>
    <t>Racor Codo B69r 90 Grados 1/2 Sinflex X (70008482)</t>
  </si>
  <si>
    <t>Cubierta Motor Inter Lt 3771270c94 (70008483)</t>
  </si>
  <si>
    <t>Rejilla Motor Derecha Dongfeng 11054488 (70008484)</t>
  </si>
  <si>
    <t>Manija Int PTA Der Van DFENG 11054533 (70008485)</t>
  </si>
  <si>
    <t>Porta Leva Freno Del Der INT Lt 2587567c (70008486)</t>
  </si>
  <si>
    <t>Guaya CTRL Selector Cambios 8972056590 (70008487)</t>
  </si>
  <si>
    <t>VENT RAD FT Mv5 7705946025508 (70008488)</t>
  </si>
  <si>
    <t>TANQ Vapor COMB FT Mv5 7701023488235 (70008489)</t>
  </si>
  <si>
    <t>Bocin Trasero Foton 1128 7705946766586 (70008490)</t>
  </si>
  <si>
    <t>Carcasa Switch Encendido INT Lt 3545580c (70008491)</t>
  </si>
  <si>
    <t>SENS Posicion Cigueñal FT 1030 770594687 (70008492)</t>
  </si>
  <si>
    <t>Farola Izq Jac Sunray 4121100r001 (70008493)</t>
  </si>
  <si>
    <t>Jgo Gorros De VALV (X8) FT 1039 77010234 (70008494)</t>
  </si>
  <si>
    <t>Jgo Guias De VALV (X8) FT 1039 770594626 (70008495)</t>
  </si>
  <si>
    <t>Casquete Axial Cigueñal (X2) FT 1039 770 (70008496)</t>
  </si>
  <si>
    <t>Casquetes Biela Std (X8) FT 1039 7701023 (70008497)</t>
  </si>
  <si>
    <t>Casquetes Bancada Std (X10) FT 1039 7700 (70008498)</t>
  </si>
  <si>
    <t>Tapa DEP Urea FT 1128 E6 7700149203630 (70008499)</t>
  </si>
  <si>
    <t>Tapa DEP Urea Tractomula FT 4269 H412500 (70008500)</t>
  </si>
  <si>
    <t>Tubo ENT FILT COMB FT 1129 7701023494960 (70008501)</t>
  </si>
  <si>
    <t>MUE Completo TRAS FT 1030 7705946870696 (70008502)</t>
  </si>
  <si>
    <t>Motor Arranque Foton Mvv Reparado (70008503)</t>
  </si>
  <si>
    <t>Carcasa Filtro Aire Inter Lt 4063329c96 (70008504)</t>
  </si>
  <si>
    <t>Turbo Alimentador Mack Anthem Reparado (70008505)</t>
  </si>
  <si>
    <t>Arnes Pn Alto Voltaje Van DFENG 550251-0 (70008506)</t>
  </si>
  <si>
    <t>Conector Msd Bateria Alto Voltaje DFENG (70008507)</t>
  </si>
  <si>
    <t>Tapa COMB Tractomula FT 4269 Amt H411003 (70008508)</t>
  </si>
  <si>
    <t>CIL De Encendido MCK Anthem 25624514 (70008509)</t>
  </si>
  <si>
    <t>Bisagra PTA DEL FT Mv 7701023486040 (70008510)</t>
  </si>
  <si>
    <t>Palanca Larga Caja Inter Lt Ful21236 (70008511)</t>
  </si>
  <si>
    <t>Palanca Corta Caja Inter Lt Ful4000078 (70008512)</t>
  </si>
  <si>
    <t>Guardapolvo Der INTno Capo INT Lt 404543 (70008513)</t>
  </si>
  <si>
    <t>Guardapolvo Izq INTno Capo INT Lt 404543 (70008514)</t>
  </si>
  <si>
    <t>Tubo Hidraulico CJ Dir-BMB INT Lt 406536 (70008515)</t>
  </si>
  <si>
    <t>Panel Central Millare MCK Anthem 2333552 (70008516)</t>
  </si>
  <si>
    <t>Espejo Frontal Foton 1129 7701023566612 (70008517)</t>
  </si>
  <si>
    <t>Silla Pasajero Tractomula Prostar 366405 (70008518)</t>
  </si>
  <si>
    <t>CIL De Ajuste Silla Daf Cf 480 2424316 (70008519)</t>
  </si>
  <si>
    <t>Balinera Embrague Jac 1035 M16048543000 (70008520)</t>
  </si>
  <si>
    <t>Cable Seguro PTA INT Lt 4056798c92 (70008521)</t>
  </si>
  <si>
    <t>Asiento VALV Admision FT 1039 7701023508 (70008522)</t>
  </si>
  <si>
    <t>Asiento VALV Escape FT 1039 770102350898 (70008523)</t>
  </si>
  <si>
    <t>Valvula Escape Foton 1039 7701023474672 (70008524)</t>
  </si>
  <si>
    <t>VALV Admision FT 1039 7701023474689 (70008525)</t>
  </si>
  <si>
    <t>Enfriador Aceite CJ De Vel KW K3967 (70008526)</t>
  </si>
  <si>
    <t>Convertidor De Voltaje 24v - 12v 50 Amp (70008527)</t>
  </si>
  <si>
    <t>Silla Conductor Tractomula Reparado (70008528)</t>
  </si>
  <si>
    <t>Resorte PTA Cortina Rojo FT 1030 52cm (70008529)</t>
  </si>
  <si>
    <t>BMB Aceite MOT FT 1039 7701023521673 (70008530)</t>
  </si>
  <si>
    <t>Manija Eleva Vidrios HN 300 Dutro Pack 6 (70008531)</t>
  </si>
  <si>
    <t>EMP BMB De Agua FT Mv5 7705946019606 (70008532)</t>
  </si>
  <si>
    <t>EMP VALV Egr FT Mv5 7705946023290 (70008533)</t>
  </si>
  <si>
    <t>Riel Tensor Cadena Arbol De Levas FT Mv5 (70008534)</t>
  </si>
  <si>
    <t>Cadena Arbol De Levas FT Mv5 77059460194 (70008535)</t>
  </si>
  <si>
    <t>Zapata Freno Del FT 1045 7700149139328 (70008536)</t>
  </si>
  <si>
    <t>Zapata Freno TRAS FT 1045 7700149444224 (70008537)</t>
  </si>
  <si>
    <t>Hoja 1ra MUE DEL FT 1039 7701023528245 (70008538)</t>
  </si>
  <si>
    <t>Manguera Succión Urea Inter Lt 4095999c2 (70008539)</t>
  </si>
  <si>
    <t>Manguera Retorno Urea Inter Lt 4096000c2 (70008540)</t>
  </si>
  <si>
    <t>Chapa Completa PTA Izq Jac Jhr 6105300ld (70008541)</t>
  </si>
  <si>
    <t>Bulon De Piston Van FT Mv5 - 77059460159 (70008542)</t>
  </si>
  <si>
    <t>Lampara Stop TRAS Der FT Bj4269 -H436501 (70008543)</t>
  </si>
  <si>
    <t>Lampara Stop TRAS Izq FT Bj4269 - H43650 (70008544)</t>
  </si>
  <si>
    <t>SENS De Reversa FT 1045 - 7705946654227 (70008545)</t>
  </si>
  <si>
    <t>Kit EMB FT 1045 31cm - 7700149288187 (70008546)</t>
  </si>
  <si>
    <t>INTruptor DIRales Combinado FT 1129-7701 (70008547)</t>
  </si>
  <si>
    <t>TANQ Carbono FT 1030 - 7705946734431 (70008548)</t>
  </si>
  <si>
    <t>Balinera EMB FT 1045 - 7701023481618 (70008549)</t>
  </si>
  <si>
    <t>Kit Embrague Foton 1045 -7700149288309 (70008550)</t>
  </si>
  <si>
    <t>Yoke Diferencial TRAS EGL Petrolera 2603 (70008551)</t>
  </si>
  <si>
    <t>Tapa Control Cambios Inter Lt K3635 (70008552)</t>
  </si>
  <si>
    <t>Conector Obd Daf Cf480 Ftt 2124738 (70008553)</t>
  </si>
  <si>
    <t>Pin Obd Daf Cf480 Ftt 1638729 (70008554)</t>
  </si>
  <si>
    <t>Brazo Derecho Espejo Electrico 2503953c1 (70008555)</t>
  </si>
  <si>
    <t>SOP De Sujecion MANGs TRL 577769c2 (70008556)</t>
  </si>
  <si>
    <t>VALV Solenoide Canister Emision Gases N2 (70008557)</t>
  </si>
  <si>
    <t>Retrovisor Der Completo KW T660 330-201- (70008558)</t>
  </si>
  <si>
    <t>Kit Lainas Diferencial TRAS Meritor Kit1 (70008559)</t>
  </si>
  <si>
    <t>Turbo Hyundai H100 Reparado (70008560)</t>
  </si>
  <si>
    <t>Plumilla Limpiaparabrisas 26" (70008561)</t>
  </si>
  <si>
    <t>VALV Reg Presion De Riel Comb Jac 1042 2 (70008562)</t>
  </si>
  <si>
    <t>Inyector Jac 1042 Reparado (70008563)</t>
  </si>
  <si>
    <t>RET TRAS CJ Jac 1120 6j55t1701161 (70008564)</t>
  </si>
  <si>
    <t>Anillo Multiple Escape MOT Isx - X15 -36 (70008565)</t>
  </si>
  <si>
    <t>Salida Central Escape MOT Isx- X15- 4386 (70008566)</t>
  </si>
  <si>
    <t>Angulo Der SOP Quinta RDA EGL 3503197c1 (70008567)</t>
  </si>
  <si>
    <t>Angulo Izq SOP Quinta RDA EGL 3503196c1 (70008568)</t>
  </si>
  <si>
    <t>TANQ Y MOT Agua Limpiaparabrisa FT 1065- (70008569)</t>
  </si>
  <si>
    <t>Manguera 3/4 Surtidor Reparado (70008570)</t>
  </si>
  <si>
    <t>Arandela Leva Exterior 1.1/4" (70008571)</t>
  </si>
  <si>
    <t>Kit Reparacion MAY Freno Del INT Lt - Ki (70008572)</t>
  </si>
  <si>
    <t>Kit Reparacion MAY Freno TRAS INT Lt-Kit (70008573)</t>
  </si>
  <si>
    <t>Empaque Escape Egr Daf 2035973 (70008574)</t>
  </si>
  <si>
    <t>Abrazadera Fijacion DEP Urea Daf 2381693 (70008575)</t>
  </si>
  <si>
    <t>Tuberia Llenado De Aceite Daf 2124382 (70008576)</t>
  </si>
  <si>
    <t>Cubierta De Proteccion DEP Urea Daf 1902 (70008577)</t>
  </si>
  <si>
    <t>Kit Tapa FILT COMB EGL Sp1244 / 2603439c (70008578)</t>
  </si>
  <si>
    <t>VALV Anti Retorno COMB KW 2252-1d (70008579)</t>
  </si>
  <si>
    <t>Balinera Base VENT FT 1128 Bd35-12du8a (70008580)</t>
  </si>
  <si>
    <t>SOP Der Viga Bomper FT 4269 H4831020306a (70008581)</t>
  </si>
  <si>
    <t>Viga SOP Bomper FT 4269 H4831022600a0 (70008582)</t>
  </si>
  <si>
    <t>SOP Giratorio Farola FT 4269 H4831022002 (70008583)</t>
  </si>
  <si>
    <t>SOP Der Conexion Bomper FT 4269 H4831023 (70008584)</t>
  </si>
  <si>
    <t>Estribo CAB Inf Der FT 4269 H4845010801a (70008585)</t>
  </si>
  <si>
    <t>Puntera Der Inf Bomper FT 4269 H48310122 (70008586)</t>
  </si>
  <si>
    <t>Puntera Der Sup Bomper FT 4269 H48310105 (70008587)</t>
  </si>
  <si>
    <t>INTruptor CTRL Luces Daf Cf 480 2188714 (70008588)</t>
  </si>
  <si>
    <t>Retrovisor Izq Completo KW T660 330-200- (70008589)</t>
  </si>
  <si>
    <t>Perno RDA TRAS FT Bj4269 10081740 (70008590)</t>
  </si>
  <si>
    <t>Perno RDA DEL FT Bj4269 Qt65cq69-3103051 (70008591)</t>
  </si>
  <si>
    <t>Solenoide Motor Foton Mv5 (70008592)</t>
  </si>
  <si>
    <t>Tubo Respiradero Admision FT Mv5 7705946 (70008593)</t>
  </si>
  <si>
    <t>MANG Respiradero MOT FT Mv5 770594601575 (70008594)</t>
  </si>
  <si>
    <t>Compresor Aire Motor X15 Reparado (70008595)</t>
  </si>
  <si>
    <t>Espejo Retrovisor Der Completo FT 4269 H (70008596)</t>
  </si>
  <si>
    <t>Pared Lateral Der FT 1128 7700149136594 (70008597)</t>
  </si>
  <si>
    <t>Filtro Urea Foton 4269 Fltfdef106 (70008598)</t>
  </si>
  <si>
    <t>Filtro Sensor Urea Foton 4269 A059s482 (70008599)</t>
  </si>
  <si>
    <t>Protector INF Farola Der FT 4269 H483101 (70008600)</t>
  </si>
  <si>
    <t>Amortiguador Cabina Mack Anthem 22662259 (70008601)</t>
  </si>
  <si>
    <t>Conjunto Central Bomper Del FT 4269 H483 (70008602)</t>
  </si>
  <si>
    <t>Exploradora Der Foton 4269 H4364020402a0 (70008603)</t>
  </si>
  <si>
    <t>Empaques Ajuste Puerta Nknhnpr 95624863 (70008604)</t>
  </si>
  <si>
    <t>Abrazadera Tubo Escape Egr Daf 1979191 (70008605)</t>
  </si>
  <si>
    <t>Sensor Ckp Foton 1129 7701023230704 (70008606)</t>
  </si>
  <si>
    <t>Bomper Frontal Jac Sunray 2803010r001 (70008607)</t>
  </si>
  <si>
    <t>Terminal DIR Jac Sunray S34020010-A6 (70008608)</t>
  </si>
  <si>
    <t>BRR CJ DIR Jac Sunray 3402300r001-01 (70008609)</t>
  </si>
  <si>
    <t>CIL Freno Del Lh Con Purga FT 1039 77059 (70008610)</t>
  </si>
  <si>
    <t>CIL Freno Del Rh Sin Purga FT 1039 77059 (70008611)</t>
  </si>
  <si>
    <t>Zapa Delantera Derecha Prostar 3919613c2 (70008612)</t>
  </si>
  <si>
    <t>Zapa DEL IZQ Prostar 3625690c5 (70008613)</t>
  </si>
  <si>
    <t>Solenoide Motor Foton Mv5 7705946023245 (70008614)</t>
  </si>
  <si>
    <t>Catalizador Chevrolet Nkriii 898118541 (70008615)</t>
  </si>
  <si>
    <t>Grapa Muelle 7/8x5x17 Trailer (70008616)</t>
  </si>
  <si>
    <t>Tuerca Perno RDA TRAS FT Bj4269 H4311000 (70008617)</t>
  </si>
  <si>
    <t>Tuerca Perno RDA DEL FT Bj4269 H43110000 (70008618)</t>
  </si>
  <si>
    <t>Correa Sujecion TANQ COMB FT Bj4269 H411 (70008619)</t>
  </si>
  <si>
    <t>Modulo Ecu Motor Hino 500 89661-E0010 (70008620)</t>
  </si>
  <si>
    <t>Lampara Stop DER Jac Qx500 4133200y8010 (70008621)</t>
  </si>
  <si>
    <t>Bateria Duncan Para Montacarga ELEC 24-S (70008622)</t>
  </si>
  <si>
    <t>Kit VALV + Inyector Urea MCK Anthem 2164 (70008623)</t>
  </si>
  <si>
    <t>Stop Superior PTA Tras FT Mv5 7705946041 (70008624)</t>
  </si>
  <si>
    <t>Reten Tras Cigueñal FT 1039 770102316559 (70008625)</t>
  </si>
  <si>
    <t>Reten Brazo Lateral CJ FT 1039 770102347 (70008626)</t>
  </si>
  <si>
    <t>Base Estribo Der FT 4269 H4845011603a0 (70008627)</t>
  </si>
  <si>
    <t>Bisagra Puerta Cabina Eagle 3513636c4 (70008628)</t>
  </si>
  <si>
    <t>Vidrio PTA Izq FT 4269 - H4610130001a0 (70008629)</t>
  </si>
  <si>
    <t>Filtro Aceite Nkr Iiie Goby Og961007 (70008630)</t>
  </si>
  <si>
    <t>Filtro Comb Nhr-Nkr-Npr Goby Fg971003 (70008631)</t>
  </si>
  <si>
    <t>Tubo Enfriador CJ-RAD Prostar 6098680c1 (70008632)</t>
  </si>
  <si>
    <t>Decoracion Luz Placa TRAS FT Mv5 7705946 (70008633)</t>
  </si>
  <si>
    <t>Valvula Altura Cabina Inter Lt 2510655c1 (70008634)</t>
  </si>
  <si>
    <t>DEP AUX RAD FT Mv5 7705946025546 (70008635)</t>
  </si>
  <si>
    <t>Disco Delantero Jac Sunray 21009175 (70008636)</t>
  </si>
  <si>
    <t>Disco Trasero Jac Sunray 2009176 (70008637)</t>
  </si>
  <si>
    <t>Leva Horquilla Emb Foton Mv5 5946015400 (70008639)</t>
  </si>
  <si>
    <t>Valvula Relay Freno Inter Lt K071866 (70008640)</t>
  </si>
  <si>
    <t>Kit Splinder Foton 1065 7700149088763 (70008641)</t>
  </si>
  <si>
    <t>Luz Led Lateral Daf Cf480 Ftt 1880520 (70008642)</t>
  </si>
  <si>
    <t>Abrazadera Tubo Flexible Mack 25174573 (70008643)</t>
  </si>
  <si>
    <t>Rodaja Freno Del Jac 1120 Fabricada (70008644)</t>
  </si>
  <si>
    <t>Varilla Medidora Aceite FT 1128 77010234 (70008645)</t>
  </si>
  <si>
    <t>VALV Freno Ahogo FT 1065 Evi 7700149297 (70008646)</t>
  </si>
  <si>
    <t>Rejilla Frontal Izq Capo KW T660 L451020 (70008647)</t>
  </si>
  <si>
    <t>Rejilla Frontal Der Capo KW T660 L451020 (70008648)</t>
  </si>
  <si>
    <t>Luna Espejo Inf Der Daf Cf480 1685331 (70008649)</t>
  </si>
  <si>
    <t>Parabrisas Jac Sunray (70008650)</t>
  </si>
  <si>
    <t>Juego Pata Trailer Romarco 19" Fuwa (70008651)</t>
  </si>
  <si>
    <t>Sensor Nox Daf Cf 480 2429860rn (70008652)</t>
  </si>
  <si>
    <t>Tornillo Prensa EMB Daf Cf480 M10x80 124 (70008653)</t>
  </si>
  <si>
    <t>Bomba Inyeccion Inter Lt X15 Reparado (70008654)</t>
  </si>
  <si>
    <t>BRR Estabili DIRc REN Nueva Master 54611 (70008655)</t>
  </si>
  <si>
    <t>Bieleta BRR Estabili REN Nueva Master 54 (70008656)</t>
  </si>
  <si>
    <t>Modulo Select Trans Mack Anthem 21194165 (70008657)</t>
  </si>
  <si>
    <t>Culata Compresor Mack Anthem 9125129352 (70008658)</t>
  </si>
  <si>
    <t>Conector De Carga Montacarga ELEC Byd 12 (70008659)</t>
  </si>
  <si>
    <t>Tubo Inyector N.4 Nkr Reward 8980116090 (70008660)</t>
  </si>
  <si>
    <t>Pasad Inf Amort Del Jac 1042 2905158d814 (70008661)</t>
  </si>
  <si>
    <t>Amortiguador Del Jac 1042 2905010d800 (70008662)</t>
  </si>
  <si>
    <t>Panel Frontal Jac Sunray 8400500r001e (70008663)</t>
  </si>
  <si>
    <t>Farola Del Der Foton 4269 H4364010221a0 (70008664)</t>
  </si>
  <si>
    <t>Catalizador Esc Foton 1039 7701023084024 (70008666)</t>
  </si>
  <si>
    <t>Correa Ventilador Motor Prosta 4019203c1 (70008667)</t>
  </si>
  <si>
    <t>Panel Control A/C Foton 1065 149499323 (70008668)</t>
  </si>
  <si>
    <t>Filtro Deposito Urea Daf Cf 480 2126570 (70008669)</t>
  </si>
  <si>
    <t>Guardabarro Del Der Prostar 33608427c1 (70008670)</t>
  </si>
  <si>
    <t>Extension INTna Capo DER Prostar 3628698 (70008671)</t>
  </si>
  <si>
    <t>Riel Medio PTA Deslizante Izq FT Mv5 770 (70008672)</t>
  </si>
  <si>
    <t>Fusible Tipo Cartucho 40 Amperios (70008673)</t>
  </si>
  <si>
    <t>Perilla Palanca Jac Jkr 1703030le310 (70008674)</t>
  </si>
  <si>
    <t>Panel Frontal Jac 1120 5301100le010 (70008675)</t>
  </si>
  <si>
    <t>Soporte Amort Der Caja Daf Cf480 2204077 (70008676)</t>
  </si>
  <si>
    <t>Soporte Amort Izq Caja Daf Cf480 2204076 (70008677)</t>
  </si>
  <si>
    <t>Amortiguador Caja Daf 2048704 (70008678)</t>
  </si>
  <si>
    <t>Rache Freno Del Izq Foton 1065 149269339 (70008679)</t>
  </si>
  <si>
    <t>Base Montaje VALV Expansion EGL 2502132c (70008680)</t>
  </si>
  <si>
    <t>Stop Derecho Jac Sunray 4133200r001 (70008681)</t>
  </si>
  <si>
    <t>Base Cabina Der Foton 4269 H450200000055 (70008682)</t>
  </si>
  <si>
    <t>Base Cabina Izq Foton 4269 H450200000054 (70008683)</t>
  </si>
  <si>
    <t>Forro Cabrilla 18 (70008684)</t>
  </si>
  <si>
    <t>Volante Direcc Jac 1042 3402010le050xe (70008685)</t>
  </si>
  <si>
    <t>Deposito Hidraulico R Master 7700795347 (70008686)</t>
  </si>
  <si>
    <t>Piñon Sencillo Distrib Frr 8976067670 (70008687)</t>
  </si>
  <si>
    <t>Piñon Triple Distribucion Frr 8982549700 (70008688)</t>
  </si>
  <si>
    <t>Cerradura Puerta Der Nkr Iiie 8980290533 (70008689)</t>
  </si>
  <si>
    <t>Rodaja Freno Foton 1128 Fabricada (70008690)</t>
  </si>
  <si>
    <t>Sensor Reversa Jac 1120 0068ds-1 (70008691)</t>
  </si>
  <si>
    <t>Moldura Aleta Cabina Inter Lt 3840954c2 (70008692)</t>
  </si>
  <si>
    <t>Enfriador Egr Nkr Iiie E Iv 8980632838 (70008693)</t>
  </si>
  <si>
    <t>Rache Freno Del Der FT 1065 0149269322 (70008694)</t>
  </si>
  <si>
    <t>Bomba Urea Mack Anthem 24344201 (70008695)</t>
  </si>
  <si>
    <t>SENS Nox Despues Del Catalizador Daf Cf (70008696)</t>
  </si>
  <si>
    <t>Doc Escape Foton 1128 Euro Vi 149555975 (70008697)</t>
  </si>
  <si>
    <t>Buje Del Suspension Neway Adz 90008279 (70008698)</t>
  </si>
  <si>
    <t>Espejo Lateral Sup Der Daf Cf 1949304 (70008699)</t>
  </si>
  <si>
    <t>Turbo Jac Jhr Reparado (70008700)</t>
  </si>
  <si>
    <t>Buje Ballesta Foton 1065 7701023972413 (70008701)</t>
  </si>
  <si>
    <t>Bomba Hidr Direccion Foton 1129 23081559 (70008702)</t>
  </si>
  <si>
    <t>Espejo Ext Izq Jac Sunray 8202100r004 (70008703)</t>
  </si>
  <si>
    <t>Bisagra Puerta Izq Vw Worker 2vb831401 (70008704)</t>
  </si>
  <si>
    <t>Tuberia Vent Aire Carter Daf Cf 2383392 (70008705)</t>
  </si>
  <si>
    <t>Manija Int Pta Der Ft 4269 H4610152300a0 (70008706)</t>
  </si>
  <si>
    <t>Manija Int Pta Izq Ft 4269 H4610150600a0 (70008707)</t>
  </si>
  <si>
    <t>Soporte Cabina Izq Mack Anthem 23438332 (70008708)</t>
  </si>
  <si>
    <t>Soporte Cabina Der Mack Anthem 23438331 (70008709)</t>
  </si>
  <si>
    <t>Ctrl Elevavidr Der Jac Jkr 3746940ld060 (70008710)</t>
  </si>
  <si>
    <t>Forro Cabrilla 16" (70008711)</t>
  </si>
  <si>
    <t>Barra Estab Del Foton 4269 H4502a01120a0 (70008712)</t>
  </si>
  <si>
    <t>Sop Intercooler Ft 4269 H4119310000a0 (70008713)</t>
  </si>
  <si>
    <t>Panel Int Esqu Der Ft 4269 H4531017200a0 (70008714)</t>
  </si>
  <si>
    <t>Intercooler Foton 4269 H413000000167 (70008715)</t>
  </si>
  <si>
    <t>Sop Cent Izq Bomp Ft 4269 H4831020803a0 (70008716)</t>
  </si>
  <si>
    <t>Enfocador Rad Foton 4269 H413000000182 (70008717)</t>
  </si>
  <si>
    <t>Rejilla Bomper Foton 4269 H4831013501a0 (70008718)</t>
  </si>
  <si>
    <t>Panel Cent Bomper Ft 4269 H4831010606a0 (70008719)</t>
  </si>
  <si>
    <t>Panel Esqu Der Foton 4269 H4531017400a0 (70008720)</t>
  </si>
  <si>
    <t>Sop Cent Der Bomp Ft 4269 H4831020902a0 (70008721)</t>
  </si>
  <si>
    <t>Manija Front Cab Ft 4269 H4531010011a0 (70008722)</t>
  </si>
  <si>
    <t>Cubierta Filtr A/C Ft 4269 H481100000124 (70008723)</t>
  </si>
  <si>
    <t>Ducto Baj Pres A/C Ft 4269 H4812064408a0 (70008724)</t>
  </si>
  <si>
    <t>Ducto Alt Pres A/C Ft 4269 H4812060302a0 (70008725)</t>
  </si>
  <si>
    <t>Condensador A/C Ft 4269 H4812020001a0 (70008726)</t>
  </si>
  <si>
    <t>Persiana Foton 4269 H4531013100a0 (70008727)</t>
  </si>
  <si>
    <t>Sop Bloqu Persiana Ft 4269 H4531051000a0 (70008728)</t>
  </si>
  <si>
    <t>Tuerca Int Campana Del Ftr 1094000710 (70008729)</t>
  </si>
  <si>
    <t>Luz De Conduccion Diurna DER Daf Cf 480 (70008730)</t>
  </si>
  <si>
    <t>Tapa Llen Aceite Mot Foton 1129 23513395 (70008731)</t>
  </si>
  <si>
    <t>Arandela Del Susp Neway Adz 93600534 (70008732)</t>
  </si>
  <si>
    <t>Arandela Alin Susp Neway Adz 90001760 (70008733)</t>
  </si>
  <si>
    <t>Bloqueo Persiana Ft 4269 H4531050900a0 (70008734)</t>
  </si>
  <si>
    <t>Caja Direccion Jac Jhr Reparado (70008735)</t>
  </si>
  <si>
    <t>Culata Motor Jac Hfc 1035 1003100fe010b2 (70008736)</t>
  </si>
  <si>
    <t>Bomper Completo Vw Worker 2004 2rd807106 (70008737)</t>
  </si>
  <si>
    <t>Guaya Capot Mack Anthem 84753242 (70008738)</t>
  </si>
  <si>
    <t>Jgo Casquete Bancada 0.25 Npr R4547k1 (70008739)</t>
  </si>
  <si>
    <t>Jgo Casquete Biela 0.25 Npr R4547k (70008740)</t>
  </si>
  <si>
    <t>Buje Biela Chevrolet Npr 8981213090 (70008741)</t>
  </si>
  <si>
    <t>Caucho Enfocador Mack Anthem 22385444 (70008743)</t>
  </si>
  <si>
    <t>Sop Cardan Completo Chevr Ftr 8975039020 (70008744)</t>
  </si>
  <si>
    <t>Muelle Del Jac Jhr 2902010d800 (70008745)</t>
  </si>
  <si>
    <t>Zapa Del Muelle Del Ftr 8980436490 (70008746)</t>
  </si>
  <si>
    <t>Zapa Tra Muelle Del Ftr 898436480 (70008747)</t>
  </si>
  <si>
    <t>Zapa Del Muelle Tra Ftr 8980188410 (70008748)</t>
  </si>
  <si>
    <t>Zapa Tra Muelle Tra Ftr 8980188400 (70008749)</t>
  </si>
  <si>
    <t>Buje Muelle Trasero Ftr 1876101630 (70008750)</t>
  </si>
  <si>
    <t>Campana Del Ftr 1423153650 (70008751)</t>
  </si>
  <si>
    <t>Esparrago Campana Del Ftr 1423370371 (70008752)</t>
  </si>
  <si>
    <t>Tuerca Espar Campana Del Ftr 1423330550 (70008753)</t>
  </si>
  <si>
    <t>Embellecedor Sup Izq Nkr 8978677740 (70008754)</t>
  </si>
  <si>
    <t>Embellecedor Sup Der Nkr 8978677750 (70008755)</t>
  </si>
  <si>
    <t>Graduacion Balancin Nkr 2010 8941522831 (70008756)</t>
  </si>
  <si>
    <t>Condensador A/C Mack Reparado (70008757)</t>
  </si>
  <si>
    <t>Tubo Refriger Mack Anthem/Cxu 20555313 (70008758)</t>
  </si>
  <si>
    <t>Mangue Enfr Aire Mack Anthem/Cxu 5md599m (70008759)</t>
  </si>
  <si>
    <t>Grapa Muelle Del Mack Anthem 20560240 (70008760)</t>
  </si>
  <si>
    <t>Radiador Motor Foton Amt Reparado (70008761)</t>
  </si>
  <si>
    <t>Interruptor Der Freno Motor Daf 2011540 (70008762)</t>
  </si>
  <si>
    <t>Oring Nivel Urea Daf Cf 480 1993963 (70008763)</t>
  </si>
  <si>
    <t>Acople Rapido Recto 10 Mm (70008764)</t>
  </si>
  <si>
    <t>Balancin Muelle Delantero Ftr 1511620294 (70008765)</t>
  </si>
  <si>
    <t>Balancin Muelle Trasero Ftr 1511620295 (70008766)</t>
  </si>
  <si>
    <t>Rociador Aceite Piston Nkr Rw 8973121323 (70008767)</t>
  </si>
  <si>
    <t>Caja Direccion Hidraulica Ftr Reparado (70008768)</t>
  </si>
  <si>
    <t>Tapa Depo Limpiaparab Daf Cf 480 1933040 (70008769)</t>
  </si>
  <si>
    <t>Multiple Admision Jac Jhr 1008101fe014 (70008770)</t>
  </si>
  <si>
    <t>Banda Trasera Foton 1039 7700149140041 (70008771)</t>
  </si>
  <si>
    <t>Oring Tubo Ref Mack Anthem/Cxu 586am5008 (70008772)</t>
  </si>
  <si>
    <t>Mando A Distancia Ecas Dafcf 480 2038921 (70008773)</t>
  </si>
  <si>
    <t>Modulo Cds-4 Daf Cf480 2299252 (70008774)</t>
  </si>
  <si>
    <t>Empaque Int Puerta Kenworth T660 R421084 (70008775)</t>
  </si>
  <si>
    <t>Pedal Acelerador Van N200 24519713 (70008776)</t>
  </si>
  <si>
    <t>Manguera Sili 4" 3 Aros Admision Kw (70008777)</t>
  </si>
  <si>
    <t>Carcaza Tras Caja Fot 1030 7705946777407 (70008778)</t>
  </si>
  <si>
    <t>Reten Tras Caja Foton 1030 7705946777421 (70008779)</t>
  </si>
  <si>
    <t>Valvula Escape Foton 1030 7705946760348 (70008780)</t>
  </si>
  <si>
    <t>Valvula Admisio Foton 1030 7705946760355 (70008781)</t>
  </si>
  <si>
    <t>PTA DER FT 1128 5946 5946684491 (70008782)</t>
  </si>
  <si>
    <t>Arnes Externo Bomba Urea Lt 3784625c91 (70008783)</t>
  </si>
  <si>
    <t>PTA DER VW Worker 8150 2r0831052a (70008784)</t>
  </si>
  <si>
    <t>Manija Ext Puerta Izq Daf Cf 480 1872740 (70008785)</t>
  </si>
  <si>
    <t>Sensor Pres A/C Foton Amt H0812080014a0 (70008786)</t>
  </si>
  <si>
    <t>Espejo Capo Izq Mack Anthem 84749244 (70008787)</t>
  </si>
  <si>
    <t>Espejo Puerta Izq Mack Anthem 84719467 (70008788)</t>
  </si>
  <si>
    <t>Sop Manija Cab Izq Ft 4269 H4531010107a0 (70008789)</t>
  </si>
  <si>
    <t>Sop Manija Cab Der Ft 4269 H4531010108a0 (70008790)</t>
  </si>
  <si>
    <t>Manguera Sinflex 12 Mm (70008791)</t>
  </si>
  <si>
    <t>Manguera Sinflex 10 Mm (70008792)</t>
  </si>
  <si>
    <t>Acople Rapido Recto 12 Mm (70008793)</t>
  </si>
  <si>
    <t>Tanque Combustible Npr Reparado (70008794)</t>
  </si>
  <si>
    <t>Rin Nkr - Nhr Reparado (70008795)</t>
  </si>
  <si>
    <t>Caja Direccion Daf Cf 480 2405464rn (70008796)</t>
  </si>
  <si>
    <t>Persiana Mack Anthem Reparado (70008797)</t>
  </si>
  <si>
    <t>Guardabarro Mack Anthem Reparado (70008798)</t>
  </si>
  <si>
    <t>Arnes Cabina Chevrolet Nkr Iiie 98158762 (70008799)</t>
  </si>
  <si>
    <t>Bisagra Puerta Cab Foton 1128 5946766708 (70008800)</t>
  </si>
  <si>
    <t>Camara Fre Tra Tra Iz Foton 4269 3530030 (70008801)</t>
  </si>
  <si>
    <t>Kit Repara Caja Direccion Inter Lt Hd94 (70008802)</t>
  </si>
  <si>
    <t>Booster Freno Nkr Reward 8971 8971627981 (70008803)</t>
  </si>
  <si>
    <t>Actuador Combust Inter Lt X15 4307411 (70008804)</t>
  </si>
  <si>
    <t>Capo Mack Anthem Reparado (70008805)</t>
  </si>
  <si>
    <t>Postenfriador Aire Mack Anthem Reparado (70008806)</t>
  </si>
  <si>
    <t>Lampara Lateral Foton 4269 H436500000025 (70008807)</t>
  </si>
  <si>
    <t>Bloque Motor Jac Jhr Reparado (70008808)</t>
  </si>
  <si>
    <t>Manguera Engrase Clutch Prostar K3732 (70008809)</t>
  </si>
  <si>
    <t>Inducido Motor Arranque Nkr Reparado (70008810)</t>
  </si>
  <si>
    <t>Booster Freno Npr Reparado (70008811)</t>
  </si>
  <si>
    <t>Cilindro Freno Del Der Toyota 8972046065 (70008812)</t>
  </si>
  <si>
    <t>Interruptor Direccional Luces 8973640700 (70008813)</t>
  </si>
  <si>
    <t>Fan Clucht Kenw. Reparado (70008814)</t>
  </si>
  <si>
    <t>C Cremallera Puerta Izq-Der Nkr Reparado (70008815)</t>
  </si>
  <si>
    <t>Filtro Aceite Nhr-Nkr Con Turb 95628738 (70008816)</t>
  </si>
  <si>
    <t>Rotor Alternador Nkr Reparado (70008817)</t>
  </si>
  <si>
    <t>Guardapolvo Neolite Nkr-Nhr 40 X 46cm (70008818)</t>
  </si>
  <si>
    <t>Bomper Delantero Nkr Iii 8975824220 (70008819)</t>
  </si>
  <si>
    <t>Tanque De Combustible Reparado (70008820)</t>
  </si>
  <si>
    <t>Malacate Llanta Repuesto Npr 1536301883 (70008821)</t>
  </si>
  <si>
    <t>Porta Escobillas M Arranque Np Main279 (70008822)</t>
  </si>
  <si>
    <t>Filtro Aire Toyota Delta Goby Ag971004a (70008823)</t>
  </si>
  <si>
    <t>Cardan Nhr-Nkr-Npr Reparado (70008824)</t>
  </si>
  <si>
    <t>BMB Agu Bomba Agua Isx Kenworth Reparado (70008825)</t>
  </si>
  <si>
    <t>Soporte Cardan Isx 9400-2008 Sd5003323 (70008826)</t>
  </si>
  <si>
    <t>Set Rodillo Rda Tras Ext Nkr 28584/21 (70008827)</t>
  </si>
  <si>
    <t>Cacho Direccion Nkr Ii Reparado (70008828)</t>
  </si>
  <si>
    <t>Paral Derecho Parabrisas Eagle 3512444c1 (70008829)</t>
  </si>
  <si>
    <t>Turbo Alimentador Delta Reparado (70008830)</t>
  </si>
  <si>
    <t>Vidrio Puerta Derecha Mack (70008831)</t>
  </si>
  <si>
    <t>EMP Culata Tres Muesca Nkr 8973503200 (70008832)</t>
  </si>
  <si>
    <t>Volante Motor Nkr-Nhr Reparado (70008833)</t>
  </si>
  <si>
    <t>Post Enfriador Aceite Kenworth Reparado (70008834)</t>
  </si>
  <si>
    <t>Tapa Cabrilla Direccion Volswa 2rd419669 (70008835)</t>
  </si>
  <si>
    <t>Motor Arranque Foton 1039 Reparado (70008836)</t>
  </si>
  <si>
    <t>Soporte Tope Capo Eagle 2008 3560568c2 (70008837)</t>
  </si>
  <si>
    <t>Farola Delantera Derecha Nkr (70008839)</t>
  </si>
  <si>
    <t>Desfogue Tanque Acpm Kenworth 21131 (70008840)</t>
  </si>
  <si>
    <t>Volante Motor Kemworth Reparado (70008841)</t>
  </si>
  <si>
    <t>Terminal Templete Radiador Eag Ffs86r (70008842)</t>
  </si>
  <si>
    <t>Bocin Rueda Delantera Reparado (70008843)</t>
  </si>
  <si>
    <t>Piñon V Piñon Velocimetro Nkr 8942490650 (70008844)</t>
  </si>
  <si>
    <t>Bomba Inyeccion Npr Reparado (70008845)</t>
  </si>
  <si>
    <t>Cilind Fre Tras Del Der Nkr C 8971793350 (70008846)</t>
  </si>
  <si>
    <t>Bocel Central Capo Kemworth K167347 (70008847)</t>
  </si>
  <si>
    <t>Bocel Lateral Capo Kemworth K167348 (70008848)</t>
  </si>
  <si>
    <t>Pines Bocel Capo Kemworth Ed41650 (70008849)</t>
  </si>
  <si>
    <t>Troque Reparado (70008850)</t>
  </si>
  <si>
    <t>Mordaza Freno Moto Honda Xr200 (70008851)</t>
  </si>
  <si>
    <t>Estribo Plastico IZQ Npr 8979978540 (70008852)</t>
  </si>
  <si>
    <t>Motor Arranque Nhr Nkr Reparado (70008853)</t>
  </si>
  <si>
    <t>Alternador Hi Y Sb Delco Remy Reparado (70008854)</t>
  </si>
  <si>
    <t>Alternador S. Carry Reparado (70008855)</t>
  </si>
  <si>
    <t>Espejo Retrovisor Izq 2008943 Reparado (70008857)</t>
  </si>
  <si>
    <t>Abrazadera Cremallera 16 (70008858)</t>
  </si>
  <si>
    <t>Disco Freno Delantero 5922032e00 Suzuki (70008859)</t>
  </si>
  <si>
    <t>Manguera Aire Turbo Nhr 8972057710 (70008860)</t>
  </si>
  <si>
    <t>Volante Embrague Hi Reparado (70008861)</t>
  </si>
  <si>
    <t>Filtro Aceite Volswagen W 962 9054118800 (70008862)</t>
  </si>
  <si>
    <t>Bomba Inyeccion Nhr Reparado (70008863)</t>
  </si>
  <si>
    <t>Cremallera Pta Izq-Der. Npr Reparado (70008864)</t>
  </si>
  <si>
    <t>CIL AUX Embr Nhr-Nkr 8980412920 (70008865)</t>
  </si>
  <si>
    <t>Arandela Pinadora Rued Del Vol 9602 (70008866)</t>
  </si>
  <si>
    <t>FILT Aceite Hi 466 Y Fleetguard Lf-3883 (70008867)</t>
  </si>
  <si>
    <t>Cigüeñal Motor Nhr-Nkr Reparado (70008868)</t>
  </si>
  <si>
    <t>Interruptor Encendido Npr 8970956822 (70008869)</t>
  </si>
  <si>
    <t>Pasador Central 7/16 X 5 " (70008870)</t>
  </si>
  <si>
    <t>Campana Campana Delantera Nhr Reparado (70008871)</t>
  </si>
  <si>
    <t>Banda Del Tras Toyota Remacha Reparado (70008872)</t>
  </si>
  <si>
    <t>Bomba Inyeccion Delta Reparado (70008873)</t>
  </si>
  <si>
    <t>Valvula Escape Culata Nhr 8944332451 (70008874)</t>
  </si>
  <si>
    <t>Terminal Barra Dccion Izq.Kenw Es2090l (70008875)</t>
  </si>
  <si>
    <t>Correa Vent. T. Delta Ref1546 9091602497 (70008876)</t>
  </si>
  <si>
    <t>Mango Mango Manurio Izq. Der. Moto Honda (70008877)</t>
  </si>
  <si>
    <t>Banda Tras Eagle Isx 4707d Rem Reparado (70008878)</t>
  </si>
  <si>
    <t>Espejo Panoramico Sb 8" (70008879)</t>
  </si>
  <si>
    <t>Culata Motor Nhr Nkr Reparado (70008880)</t>
  </si>
  <si>
    <t>Bloque Motor Nkr Iii Reparado (70008881)</t>
  </si>
  <si>
    <t>Alternador Hi Delco Remy 10459050 (70008882)</t>
  </si>
  <si>
    <t>Rodillo Embrague Nkr Tkz3503r (70008883)</t>
  </si>
  <si>
    <t>Banda Tras. Remachada Volwag Reparado (70008884)</t>
  </si>
  <si>
    <t>VALV Mang.BMB Comb.Nkriii 8942393720 (70008885)</t>
  </si>
  <si>
    <t>Asiento Ayudante Foton 1039 Reparado (70008886)</t>
  </si>
  <si>
    <t>Kit E Kit Empaque Motor Moto Xl200 Honda (70008887)</t>
  </si>
  <si>
    <t>Guia Valvula Moto Xl200 Honda (70008888)</t>
  </si>
  <si>
    <t>EMP Carcaza Distrib. Nh Isuzu 8972386310 (70008889)</t>
  </si>
  <si>
    <t>Post-Enfriador Aire Nhr Reparado (70008890)</t>
  </si>
  <si>
    <t>Cacho Direccion Varias Reparado (70008891)</t>
  </si>
  <si>
    <t>SOP MOT DER Nhr Nkr Npr 5876101870 (70008892)</t>
  </si>
  <si>
    <t>Valvula Regulad. Presion Fr.Vo 1138201 (70008893)</t>
  </si>
  <si>
    <t>Enf Enfriador Aceite Caja Eagle Reparado (70008894)</t>
  </si>
  <si>
    <t>Retenedor Trasero Caja Volks 4300203 (70008895)</t>
  </si>
  <si>
    <t>EMP BMB DIR Hi Internatio 591597c2 (70008896)</t>
  </si>
  <si>
    <t>Motor Arranque Npr Reparado (70008897)</t>
  </si>
  <si>
    <t>Bomba Agua Nkr Reparado (70008898)</t>
  </si>
  <si>
    <t>Post Enfriador Motor Foton Reparado (70008899)</t>
  </si>
  <si>
    <t>Ducto Calefact Ventilacion Nk 8972516290 (70008900)</t>
  </si>
  <si>
    <t>Inyector Motor Nkr Reparado (70008901)</t>
  </si>
  <si>
    <t>Juego Pastas Freno Del. SZ 5930013830 (70008902)</t>
  </si>
  <si>
    <t>Amortiguador Trasero Nkr Ii 8972536510 (70008903)</t>
  </si>
  <si>
    <t>Hoja Resorte Delantera Npr 22916/5 (70008904)</t>
  </si>
  <si>
    <t>Juego Pastas Freno Tras. Suzu 6910032830 (70008905)</t>
  </si>
  <si>
    <t>Piston (100.00mm)Suzuki Dr 650 (70008906)</t>
  </si>
  <si>
    <t>Sello Aceite Valv.Culata Nkri 8971203070 (70008907)</t>
  </si>
  <si>
    <t>Culata Motor Nkr Reparado (70008908)</t>
  </si>
  <si>
    <t>Disco Embrague Nhr 8970706570 (70008909)</t>
  </si>
  <si>
    <t>Valvula Moto Xl200 Honda (70008910)</t>
  </si>
  <si>
    <t>Cacho Direccion Hi4700 Reparado (70008911)</t>
  </si>
  <si>
    <t>Bloque Motor Npr Reparado (70008912)</t>
  </si>
  <si>
    <t>VALV Selenoide Fren Mt I Cummins 3800942 (70008913)</t>
  </si>
  <si>
    <t>Bomba Inyeccion Nkr Iii Reparado (70008914)</t>
  </si>
  <si>
    <t>Gua Guaya Selectora Cambios Nkr Reparado (70008915)</t>
  </si>
  <si>
    <t>Capo Kenworth Reparado (70008916)</t>
  </si>
  <si>
    <t>Buje BRR Estabilizadora Tras 6006014059 (70008917)</t>
  </si>
  <si>
    <t>Correa Ventilador 8pk 1180 N (70008918)</t>
  </si>
  <si>
    <t>Telescopico Del. Dir. Suzuki Fr80 (70008919)</t>
  </si>
  <si>
    <t>Empaque Tapa Embrague Suzuki 11482-4870 (70008920)</t>
  </si>
  <si>
    <t>Turbo Alimentador Nkr Reparado (70008921)</t>
  </si>
  <si>
    <t>EM Empaque Conector Exosto Suzuki Fr 100 (70008922)</t>
  </si>
  <si>
    <t>Rodaja Barril Largo 1 1/8 (70008923)</t>
  </si>
  <si>
    <t>Alternador Npr Reparado (70008924)</t>
  </si>
  <si>
    <t>Cacho Direccion Volkswagen Reparado (70008925)</t>
  </si>
  <si>
    <t>Complemento Soporte Motor Del. 1664726c2 (70008926)</t>
  </si>
  <si>
    <t>Escotilla Der. Aire Cabina Eag 2005078c4 (70008927)</t>
  </si>
  <si>
    <t>Punta Eje Varios Reparado (70008928)</t>
  </si>
  <si>
    <t>Grapa Delantera 7/8x4x9 Eagle (70008929)</t>
  </si>
  <si>
    <t>Compresor Hi-466 Reparado (70008930)</t>
  </si>
  <si>
    <t>Farola Del Foton Mv5 Reparado (70008931)</t>
  </si>
  <si>
    <t>Rache Del.Estria Gruesa Sb N14 Kn47011 (70008932)</t>
  </si>
  <si>
    <t>Anillos Std Suzuki Dr 650 (70008933)</t>
  </si>
  <si>
    <t>Comando Luces Derecho Moto Akt200 (70008934)</t>
  </si>
  <si>
    <t>Alternador Nhr Reparado (70008935)</t>
  </si>
  <si>
    <t>Juego Es Juego Escobillas Alternador Nhr (70008936)</t>
  </si>
  <si>
    <t>Buje Suspensión 6268440a10 Suzuki (70008937)</t>
  </si>
  <si>
    <t>Esparrago Cubo Rda Tras.Iz.Np 8970815851 (70008938)</t>
  </si>
  <si>
    <t>Camara Freno Volswagen Reparado (70008939)</t>
  </si>
  <si>
    <t>Bateria 27950m Nkr Nhr Npr (70008940)</t>
  </si>
  <si>
    <t>Cojin Cond-Ayudante Nhr-Nkr Reparado (70008941)</t>
  </si>
  <si>
    <t>Banda Del-Tras. Nkr Nuevo 95622586 (70008942)</t>
  </si>
  <si>
    <t>SENS TEMP Agua Nhr Isuzu 8970688040 (70008943)</t>
  </si>
  <si>
    <t>Rodami Rodamiento Bola Suzuki 0812362047 (70008944)</t>
  </si>
  <si>
    <t>Buje Babero Moto Suzuki Fr80 504145 (70008945)</t>
  </si>
  <si>
    <t>Bomba Agua Nhr Reparado (70008946)</t>
  </si>
  <si>
    <t>Motor Arranque S.C. Reparado (70008947)</t>
  </si>
  <si>
    <t>Espaldar Ayudante Foton 1039 Reparado (70008948)</t>
  </si>
  <si>
    <t>Horq Horquilla 2da Y 3ra Hino 3322037020 (70008949)</t>
  </si>
  <si>
    <t>Valvula De Escape Suzuki Dr 65 90193282 (70008950)</t>
  </si>
  <si>
    <t>Tapon Caja 0925012006 Suzuki (70008951)</t>
  </si>
  <si>
    <t>Talco Direccional Fr80 Suzuki 717120 (70008952)</t>
  </si>
  <si>
    <t>Bomba Aceite Suzuki S161003532 (70008953)</t>
  </si>
  <si>
    <t>Espe Espejo Retrovisor Suzuki 5660006g30 (70008954)</t>
  </si>
  <si>
    <t>Bobina Encendido Suzuki Ax100 3341035330 (70008955)</t>
  </si>
  <si>
    <t>Tapa Tanque Gasolina Moto Suzu 747205 (70008956)</t>
  </si>
  <si>
    <t>Cojin Cond-Ayudante Eag-Kw Reparado (70008957)</t>
  </si>
  <si>
    <t>Manija Freno Suzuki 5742113001 (70008958)</t>
  </si>
  <si>
    <t>Cojin Sillin Moto Reparado (70008959)</t>
  </si>
  <si>
    <t>Chapa Izq. Der. Hi Reparado (70008960)</t>
  </si>
  <si>
    <t>Cremallera Izq. Der. Hi Reparado (70008961)</t>
  </si>
  <si>
    <t>Lam Lampara Direccional Del. Izq. Akt Sl (70008962)</t>
  </si>
  <si>
    <t>Filtro Aire Suzuki Fr100-Dr650 (70008963)</t>
  </si>
  <si>
    <t>Espejo Retrovisor Izq.Comp.Hi 3561587c94 (70008964)</t>
  </si>
  <si>
    <t>Espejo Retrovisor Moto Honda 610116 (70008965)</t>
  </si>
  <si>
    <t>FI Filtro Bomba Aceite Suzuki 1651037450 (70008966)</t>
  </si>
  <si>
    <t>Piño Piñon Rueda Libre Suzuki 2751131d00 (70008967)</t>
  </si>
  <si>
    <t>Cadena Suzuki 2760032c10 (70008968)</t>
  </si>
  <si>
    <t>Disco Embraque Suzuki Dr 650 (70008969)</t>
  </si>
  <si>
    <t>Cadena Arrastre Motor Suzuki 30727 (70008970)</t>
  </si>
  <si>
    <t>Piñon TR Piñon Trasero Suzuki 6451132e00 (70008971)</t>
  </si>
  <si>
    <t>Condensador A/C Kenworth Reparado (70008972)</t>
  </si>
  <si>
    <t>Ventilador Radiador Motor Npr 8971408540 (70008973)</t>
  </si>
  <si>
    <t>Tapizado Tapizado Puerta Izq-Der. Sb N14 (70008974)</t>
  </si>
  <si>
    <t>Palanca Cambios Akat200 (70008975)</t>
  </si>
  <si>
    <t>Kit Empaque Suzuki Fr100 (70008976)</t>
  </si>
  <si>
    <t>Flasher Moto Suzuki Ax100 (70008977)</t>
  </si>
  <si>
    <t>Switch Moto Suzuki Ax100 (70008978)</t>
  </si>
  <si>
    <t>Motor Arranque Volkswagen Reparado (70008979)</t>
  </si>
  <si>
    <t>Radiador Volkswagen Reparado (70008980)</t>
  </si>
  <si>
    <t>Retenedor Cigueñal Del. S.C 928332042 (70008981)</t>
  </si>
  <si>
    <t>Espejo Interior Cabina Nhr 8978683482 (70008982)</t>
  </si>
  <si>
    <t>Caucho Pedal Frenoclucth Hi466 (70008983)</t>
  </si>
  <si>
    <t>Manija Elevavidrio Nhr 8970984530 (70008984)</t>
  </si>
  <si>
    <t>Bloque Motor S. Carry Reparado (70008985)</t>
  </si>
  <si>
    <t>Manigueta Izqui Clutch Akt 125 B05191024 (70008986)</t>
  </si>
  <si>
    <t>Biela Motor Npr Reparado (70008987)</t>
  </si>
  <si>
    <t>Cigueñal Motor Hi 466 Reparado (70008988)</t>
  </si>
  <si>
    <t>Hoja Resorte Trasera Npr Imal 22917/2 (70008989)</t>
  </si>
  <si>
    <t>Juego Bandas Tras Honda Moto H06430kbr0 (70008990)</t>
  </si>
  <si>
    <t>Conden Condensador A/C Kenworth Reparado (70008991)</t>
  </si>
  <si>
    <t>Esquinero Manpara Trailer (70008992)</t>
  </si>
  <si>
    <t>Kit Tijeras Susp. Suzuki Fr80 (70008993)</t>
  </si>
  <si>
    <t>Motor Arranque Hyundai Reparado (70008994)</t>
  </si>
  <si>
    <t>Caucho Campana Suzuki Ax 100 (70008995)</t>
  </si>
  <si>
    <t>Retenedor Piñon Suzuki Ax 100 (70008996)</t>
  </si>
  <si>
    <t>Retenedor 15x31x3 Suzuki Ax100 (70008997)</t>
  </si>
  <si>
    <t>Retenedor 42x58x7 Suzuki Ax100 (70008998)</t>
  </si>
  <si>
    <t>Campana Reparado (70008999)</t>
  </si>
  <si>
    <t>Campana Trasera Nhr Reparado (70009000)</t>
  </si>
  <si>
    <t>Campana 10h 22cm Trasera Zbr-3600a (70009001)</t>
  </si>
  <si>
    <t>Inyector Motor Nhr St Reparado (70009002)</t>
  </si>
  <si>
    <t>EMP De Culata SZ Dr 65 S111414801 (70009003)</t>
  </si>
  <si>
    <t>Empaque Cilindro Motor Suzuki S112414132 (70009004)</t>
  </si>
  <si>
    <t>Caucho Manigueta Moto Suzuki (70009005)</t>
  </si>
  <si>
    <t>Buje Muelle Delant. Nhr 8970815310 (70009006)</t>
  </si>
  <si>
    <t>Culata Motor Frr Reparado (70009007)</t>
  </si>
  <si>
    <t>Buje Estriado Quinta Rueda Hlh-Xb 1 1 (70009008)</t>
  </si>
  <si>
    <t>Valvula De Admision Suzuki Dr 90409996 (70009009)</t>
  </si>
  <si>
    <t>Culata Motor Npr Reparado (70009010)</t>
  </si>
  <si>
    <t>Guaya Freno De Seguridad Npr 97215434 (70009011)</t>
  </si>
  <si>
    <t>Grapa Muelle Tras 7/16x2 3/4x6 (70009012)</t>
  </si>
  <si>
    <t>Eje De Cluth Akt 200 (70009013)</t>
  </si>
  <si>
    <t>Bujia Moto Dr-650 0948200461 Ngk-Bp 6 H (70009014)</t>
  </si>
  <si>
    <t>Guar Guarda Cadena Moto Dr650 6131101a03 (70009015)</t>
  </si>
  <si>
    <t>Sensor Nivel Agua Nhr 8970614920 (70009016)</t>
  </si>
  <si>
    <t>Bastidor Neumatico Eag S60 Reparado (70009017)</t>
  </si>
  <si>
    <t>Soporte Silenciador Super Carr 95617237 (70009018)</t>
  </si>
  <si>
    <t>Cadena Moto Honda Kc520x110l (70009019)</t>
  </si>
  <si>
    <t>Buje Volante Motor Pathfinder 32202b9500 (70009020)</t>
  </si>
  <si>
    <t>Bujia Moto Honda Xr 200 X24es-U (70009021)</t>
  </si>
  <si>
    <t>Canastilla Eje Salida Moto 125 B03100609 (70009022)</t>
  </si>
  <si>
    <t>Retenedor Moto Suzuki 15319.5 (70009023)</t>
  </si>
  <si>
    <t>Farola Moto Suzuki (70009024)</t>
  </si>
  <si>
    <t>Silla Conductor Reparado Foton 1039 (70009025)</t>
  </si>
  <si>
    <t>Hoja Resorte Trasera Eagle 5ta 59007/5 (70009026)</t>
  </si>
  <si>
    <t>Leva Freno Trasro Moto Suzuki (70009027)</t>
  </si>
  <si>
    <t>Empaque Tapa Caja Torre 19871 (70009029)</t>
  </si>
  <si>
    <t>Filtro Aceite Toyota 90915yzzb7 (70009030)</t>
  </si>
  <si>
    <t>Rodillo Rda Del S.C. Dac2858 (70009031)</t>
  </si>
  <si>
    <t>Porta Diodo Alternador Delco Remy Dr5173 (70009032)</t>
  </si>
  <si>
    <t>Guia Cable Acelerador Moto S570035820 (70009033)</t>
  </si>
  <si>
    <t>Carretel Acelerador Moto S571103504 (70009034)</t>
  </si>
  <si>
    <t>Guaya Embrague Suzuki S582002342 (70009035)</t>
  </si>
  <si>
    <t>Volante Motor Super Carry Reparado (70009036)</t>
  </si>
  <si>
    <t>Juego Pastas Freno Del. Honda 2302 (70009037)</t>
  </si>
  <si>
    <t>Bombillo Exploradora H3 48351 H-3 12 Vol (70009038)</t>
  </si>
  <si>
    <t>Capot Eagle Reparado (70009039)</t>
  </si>
  <si>
    <t>Disco Embrague Moto Honda 222016fg60 (70009040)</t>
  </si>
  <si>
    <t>Base Espejo Exterior Der. Nh 8978567357 (70009041)</t>
  </si>
  <si>
    <t>Radiador Nhr-Nkr-Rewa Reparado (70009042)</t>
  </si>
  <si>
    <t>Bomba Agua Npr Reparado (70009043)</t>
  </si>
  <si>
    <t>Manguera Hidraulica Blindada Reparado (70009044)</t>
  </si>
  <si>
    <t>Estator Suzuki Dr 650 (70009045)</t>
  </si>
  <si>
    <t>Biela Motor Isx Reparado (70009046)</t>
  </si>
  <si>
    <t>Guia Pin Recto Volante Nkr Reward 894410 (70009047)</t>
  </si>
  <si>
    <t>Bomba Agua Isx Eagle Reparado (70009048)</t>
  </si>
  <si>
    <t>Bomba Agua Sb N-14 Reparado (70009049)</t>
  </si>
  <si>
    <t>Leva Freno Varias Reparado (70009050)</t>
  </si>
  <si>
    <t>Bomba Agua Super Carry Reparado (70009051)</t>
  </si>
  <si>
    <t>Hausing Sb N14 Reparado (70009052)</t>
  </si>
  <si>
    <t>Guaya Freno Delantero Suzuki (70009053)</t>
  </si>
  <si>
    <t>Diafragma Camara Tipo 20 (70009054)</t>
  </si>
  <si>
    <t>Empaque Tanque Acpm 3" 0164a (70009055)</t>
  </si>
  <si>
    <t>Bateria Moto Suzuki (70009056)</t>
  </si>
  <si>
    <t>Manija Interior Izquierda Reparado (70009057)</t>
  </si>
  <si>
    <t>Bombona AIR Suspens Internatio 3514180c1 (70009058)</t>
  </si>
  <si>
    <t>Radiador Super Carry Reparado (70009059)</t>
  </si>
  <si>
    <t>SOP Peldaños DER Daf Cf 480 1835071 (70009060)</t>
  </si>
  <si>
    <t>Modulo Carroceria Inter Lt Reparado (70009061)</t>
  </si>
  <si>
    <t>Modulo Abs Inter Lt Reparado (70009062)</t>
  </si>
  <si>
    <t>Recibidor Capo Inter Lt Reparado (70009063)</t>
  </si>
  <si>
    <t>Actuador De Tiempo Motor Isx Reparado (70009064)</t>
  </si>
  <si>
    <t>Espejo Retrovisor Der Completo Jmc 1054 (70009065)</t>
  </si>
  <si>
    <t>DIRional PTA Izq FT 1128 7705946684590 (70009066)</t>
  </si>
  <si>
    <t>Sensor Velocidad Abs Inter Lt 3836515c91 (70009067)</t>
  </si>
  <si>
    <t>Rodamiento Speed FT 1039 30307p6 7701023 (70009068)</t>
  </si>
  <si>
    <t>Cacho Direccion Izq Foton 1039 Reparado (70009069)</t>
  </si>
  <si>
    <t>Cacho Direccion Der Foton 1039 Reparado (70009070)</t>
  </si>
  <si>
    <t>Valvula Expansion Mack Anthem 85150463 (70009071)</t>
  </si>
  <si>
    <t>Buje Arbol De Levas Motor X15 3685690 (70009072)</t>
  </si>
  <si>
    <t>Intercooler Daf Cf480 Ftt 2204692 (70009073)</t>
  </si>
  <si>
    <t>Guardapolvo Tapa Cubo Jac 1120 3103109m1 (70009074)</t>
  </si>
  <si>
    <t>Caja De Velocidades N200 Reparado (70009075)</t>
  </si>
  <si>
    <t>Pedal EMB Con Base CH Nkr 8978569790 (70009076)</t>
  </si>
  <si>
    <t>Radiador Motor Jac 1120 Reparado (70009077)</t>
  </si>
  <si>
    <t>Juego Rueda Dentada Satelite Daf 1012509 (70009078)</t>
  </si>
  <si>
    <t>Cabrilla Direccion Reparado (70009079)</t>
  </si>
  <si>
    <t>Radiador Npr Reparado (70009080)</t>
  </si>
  <si>
    <t>Manija Exterior PT Internatio 3550925c91 (70009081)</t>
  </si>
  <si>
    <t>Convertidor Voltaje Hino 300 Reparado (70009082)</t>
  </si>
  <si>
    <t>Juego CILs Pta Ence Internatio 588717c91 (70009083)</t>
  </si>
  <si>
    <t>Rodamiento DEL Eje Corredizo CJ HN 300 9 (70009084)</t>
  </si>
  <si>
    <t>Condensador A/C Foton Mv5 Reparado (70009085)</t>
  </si>
  <si>
    <t>Deposito De Urea Daf Cf480 2303396 (70009086)</t>
  </si>
  <si>
    <t>Tapa DEP Hidraulico Jac 1120 3408510e0qz (70009087)</t>
  </si>
  <si>
    <t>Intercooler Daf Cf480 Reparado (70009088)</t>
  </si>
  <si>
    <t>Oring Booster Embrague Jac 1035kn 1002ch (70009089)</t>
  </si>
  <si>
    <t>Bomba De Agua Mack Anthem Reparado (70009090)</t>
  </si>
  <si>
    <t>BRR Corta DIR Jac 1120 3003600le740 (70009091)</t>
  </si>
  <si>
    <t>Fusible Termico 30Amp-24V.Sb N 54331 (70009100)</t>
  </si>
  <si>
    <t>Motor Deposito Limpiab Toyota 8531022080 (70009101)</t>
  </si>
  <si>
    <t>Cruceta Cardan Agrale 801001 (70009102)</t>
  </si>
  <si>
    <t>Tapa Bocin Rueda Delant Delta 4351487304 (70009103)</t>
  </si>
  <si>
    <t>Cerradura Pta Izqui Volswag Tac 837015 (70009104)</t>
  </si>
  <si>
    <t>Dep Agua Limpiabrisa Toyo 8533025040 (70009105)</t>
  </si>
  <si>
    <t>Manija Elevavidrio Freghthlin Ra18435630 (70009106)</t>
  </si>
  <si>
    <t>Codo Mang Admision T Cummins 95609686 S (70009107)</t>
  </si>
  <si>
    <t>Soporte Radiador Eagle 503401C2 (70009108)</t>
  </si>
  <si>
    <t>Talco Stop Triple Crista 4-161 139151161 (70009109)</t>
  </si>
  <si>
    <t>Correa Ventilador Hi Eagle 10Pk1370 D (70009110)</t>
  </si>
  <si>
    <t>Empaquet Valv. Freno Seg. Hi 5006939 (70009111)</t>
  </si>
  <si>
    <t>Terminal Dir. Der. Eag.Ftr8408 (70009112)</t>
  </si>
  <si>
    <t>Terminal Dir. Izq. Eag.Ftr8407 (70009113)</t>
  </si>
  <si>
    <t>Banda Freno Tras Ftr Rema 9004 (70009114)</t>
  </si>
  <si>
    <t>Bafle Recibidor Parabrisas Hi 3550838C95 (70009115)</t>
  </si>
  <si>
    <t>Puente Platina Arranque 42Mt Dr1988126 (70009116)</t>
  </si>
  <si>
    <t>Rache Freno Trasero Derecho Ja (70009117)</t>
  </si>
  <si>
    <t>Sensor Indicador Temp.Agua Hi 1661837C1 (70009118)</t>
  </si>
  <si>
    <t>Porta Escobillas Arranque Hi Rs212 (70009119)</t>
  </si>
  <si>
    <t>Buje Bronce Principal Delanter Plk Sb (70009120)</t>
  </si>
  <si>
    <t>Buje Horquilla Trailer Inca (70009121)</t>
  </si>
  <si>
    <t>Emptadura Inf Mot N Cummins 3803613 (70009122)</t>
  </si>
  <si>
    <t>Contacto Arranque T. Delta (70009123)</t>
  </si>
  <si>
    <t>Empaque Int Puerta Kenwort T80 (70009124)</t>
  </si>
  <si>
    <t>Kit Deflector Der Cab Daf Cf 4 (70009125)</t>
  </si>
  <si>
    <t>Guardabarro Del Izq Daf Cf480 (70009126)</t>
  </si>
  <si>
    <t>Tapa Pito Inter Lt 3770887C1 (70009127)</t>
  </si>
  <si>
    <t>Columna Direccion Fot 1128 770 (70009128)</t>
  </si>
  <si>
    <t>Racor Recto B68R 5/8 Sinflex X (70009129)</t>
  </si>
  <si>
    <t>Racor Recto B68R 3/4 Sinflex X (70009130)</t>
  </si>
  <si>
    <t>Silla Ayudante Foton 1065 7705 (70009131)</t>
  </si>
  <si>
    <t>Jgo Pastas Freno Foton 1030 14 (70009132)</t>
  </si>
  <si>
    <t>Banda Freno Delantera Ftr Rema (70009133)</t>
  </si>
  <si>
    <t>Kit Tapa Luz Guia Bomper Ktc X (70009134)</t>
  </si>
  <si>
    <t>Speed Y Corona Jac Jhr (70009135)</t>
  </si>
  <si>
    <t>Relay Luces Hi 470 Internatio 1688314C-1 (70009136)</t>
  </si>
  <si>
    <t>Talco Stop Trasero 4-79 Hi 410 (70009137)</t>
  </si>
  <si>
    <t>Bombillo Halogeno Un G Electric G E 9007 (70009138)</t>
  </si>
  <si>
    <t>Soporte-Pivote Derecho Capot K A85-1255R (70009139)</t>
  </si>
  <si>
    <t>Unidad Espejo Escaner Vitronic (70009140)</t>
  </si>
  <si>
    <t>Tapa Dep Hidraulico Ft 5946351904 (70009141)</t>
  </si>
  <si>
    <t>Guaya Selectora Cambios Jac 1 1703030Le7 (70009142)</t>
  </si>
  <si>
    <t>Buje Pasador Barra Suspension 90008267 (70009143)</t>
  </si>
  <si>
    <t>Switch Cambia Luces Pie T Pesa Ds-7 (70009144)</t>
  </si>
  <si>
    <t>Yoke Caja Direccion Hino 300 D (70009145)</t>
  </si>
  <si>
    <t>Talco Furgon Nhr Saep2Pc93 (70009146)</t>
  </si>
  <si>
    <t>Talco Stop Redondo R4-20 420 (70009147)</t>
  </si>
  <si>
    <t>Valvula Seguridad Aire, Mack S963830012 (70009148)</t>
  </si>
  <si>
    <t>Guaya Corredera Asiento Cond 1755182891 (70009149)</t>
  </si>
  <si>
    <t>Servic Empacada Cilindro Freno (70009150)</t>
  </si>
  <si>
    <t>Switch Lampara Luz Cabina Sc 302 (70009151)</t>
  </si>
  <si>
    <t>Sens Alarma Stop Hi Internatio 598860 C1 (70009152)</t>
  </si>
  <si>
    <t>Filtro Combustible 33386 Wix (70009153)</t>
  </si>
  <si>
    <t>Ret Cigueñal Del Cummins 3020183 (70009154)</t>
  </si>
  <si>
    <t>Anillo Caucho Mack 944126 (70009155)</t>
  </si>
  <si>
    <t>Empaquetadura Bomba Freno Volk Ii-38287 (70009156)</t>
  </si>
  <si>
    <t>Filtro Aceite Elemento Wl10007 (70009157)</t>
  </si>
  <si>
    <t>Filtro Combustible Elemento 33 (70009158)</t>
  </si>
  <si>
    <t>Filtro Combustibl 1105012L Jac (70009159)</t>
  </si>
  <si>
    <t>Filtro Aire Externo 1035Kn Jac (70009160)</t>
  </si>
  <si>
    <t>Manjia Pta Exterior Derec Hino 6.921E+34 (70009161)</t>
  </si>
  <si>
    <t>Switch Crucero Hi Eagle 9400 2007305C1 (70009162)</t>
  </si>
  <si>
    <t>Swich Control A/C Kenworth T80 79Psl34 (70009163)</t>
  </si>
  <si>
    <t>Switch Freno Motor Kenw T800 P27104016 (70009164)</t>
  </si>
  <si>
    <t>Motor Limpiabrisas Nkr Reward 8980291243 (70009165)</t>
  </si>
  <si>
    <t>Oring Bomba Freno Trailer 199 (70009166)</t>
  </si>
  <si>
    <t>Gancho Capo Mack Cxu613 84710395 (70009167)</t>
  </si>
  <si>
    <t>Switch Luz Puerta Eagle 3527361C1 (70009168)</t>
  </si>
  <si>
    <t>Automatico Arranque Hi 1115609 (70009169)</t>
  </si>
  <si>
    <t>Soporte Estribo Cj.Bat.Izq Isx 3566526C3 (70009170)</t>
  </si>
  <si>
    <t>Guaya Emergencia Asistido3W18 7701023538 (70009171)</t>
  </si>
  <si>
    <t>Switch Direccionales Frr 8982437490 (70009172)</t>
  </si>
  <si>
    <t>Talco Stop Tricolor Dir Delta 3171137 (70009173)</t>
  </si>
  <si>
    <t>Tornillo Pole Tensora Eagle 94 3093936 (70009174)</t>
  </si>
  <si>
    <t>Tapa Bracket Infer Tip Cort Nk Pu-5502 (70009175)</t>
  </si>
  <si>
    <t>Rodillo Agujas Alternador 34Si Db-70142 (70009176)</t>
  </si>
  <si>
    <t>Manija Externa Puerta Tras Der 24518184 (70009177)</t>
  </si>
  <si>
    <t>Rodillo Caja Y Diferencial Nhr 31306 (70009178)</t>
  </si>
  <si>
    <t>Valvula Silla Kenworth 22969701 (70009179)</t>
  </si>
  <si>
    <t>Sop Aislador Cab Front Fre R184746300 (70009180)</t>
  </si>
  <si>
    <t>Kit Tuerca Eje Trl Dite 5 Inca C0A0167 - (70009181)</t>
  </si>
  <si>
    <t>Tobera Inyector Toyota Delta Dlla150P66 (70009182)</t>
  </si>
  <si>
    <t>Juego Splinder Eagle Fak-5456 (70009183)</t>
  </si>
  <si>
    <t>Kit Motor Arranque Hi 79-1123 (70009184)</t>
  </si>
  <si>
    <t>Cubo Sincronizador 4Ta 5Ta Hi 3339337050 (70009185)</t>
  </si>
  <si>
    <t>Tapon Bloque Carcaz Enfria Ken 3678921 (70009186)</t>
  </si>
  <si>
    <t>Empaque Caja Termostatica Isx 3680602 (70009187)</t>
  </si>
  <si>
    <t>Lampara Hermetica 2x32w Polica (80000011)</t>
  </si>
  <si>
    <t>Canilla Para Agua (80000012)</t>
  </si>
  <si>
    <t>Panel Led 24w Redondo Incrusta (80000014)</t>
  </si>
  <si>
    <t>Tubo Cuadrado 1.1/2 C-16 X 6mt (80000016)</t>
  </si>
  <si>
    <t>Interruptor Doble 110v Leviton (80000017)</t>
  </si>
  <si>
    <t>Bisagra Capsula De 3/8" 2-Cuer (80000018)</t>
  </si>
  <si>
    <t>Brocha China De 1" (80000019)</t>
  </si>
  <si>
    <t>Brocha China De 2" (80000020)</t>
  </si>
  <si>
    <t>Bisagra Plana De 3 X 3 (80000021)</t>
  </si>
  <si>
    <t>Medidor De Energia Inteligente (80000022)</t>
  </si>
  <si>
    <t>Multitoma (80000023)</t>
  </si>
  <si>
    <t>Rodillo Pintura B.Agua 9" Rdx (80000024)</t>
  </si>
  <si>
    <t>Lampara Led Bodega Redonda Tip (80000026)</t>
  </si>
  <si>
    <t>Luz Led Redonda 18 W 85 - 265 (80000027)</t>
  </si>
  <si>
    <t>Panel Led 24w Redondo Sobrepon (80000028)</t>
  </si>
  <si>
    <t>Botón Push Tanque Sanitario (80000029)</t>
  </si>
  <si>
    <t>Union Dresser 4" (80000030)</t>
  </si>
  <si>
    <t>Sifón Plástico Flexible Gris 8 (80000031)</t>
  </si>
  <si>
    <t>Interruptor Sencillo Mwd130237 (80000032)</t>
  </si>
  <si>
    <t>Cerradura De Sobreponer Puerta (80000033)</t>
  </si>
  <si>
    <t>Cenefa Azul Punto Droop (80000034)</t>
  </si>
  <si>
    <t>Tubo Lampara 4 X 17w (80000035)</t>
  </si>
  <si>
    <t>Tubo Led 18w - T8 Ecotube (80000036)</t>
  </si>
  <si>
    <t>Caneca Masilla Supermastick (80000037)</t>
  </si>
  <si>
    <t>Bombillo Led En Globo 25 V (80000038)</t>
  </si>
  <si>
    <t>Lector Ibutton Surtidores Acpm (80000039)</t>
  </si>
  <si>
    <t>Panel Led Cuadrado 48w 100 - 2 (80000040)</t>
  </si>
  <si>
    <t>Luz Led Incrustar 18w Ojo De B (80000043)</t>
  </si>
  <si>
    <t>Lampara Hermétic Tubo Led 2x18 (80000044)</t>
  </si>
  <si>
    <t>Cerradura Puerta Tipo Pomo (80000045)</t>
  </si>
  <si>
    <t>Materiales Electri Varios Loca (80000046)</t>
  </si>
  <si>
    <t>Llave Paso De Bola De 1/2" Met (80000047)</t>
  </si>
  <si>
    <t>Adaptador Macho Pvc 1/2 (80000050)</t>
  </si>
  <si>
    <t>Rodillo Pintura B.Agua 3" Rdx (80000052)</t>
  </si>
  <si>
    <t>Paraguas Tredy So-17 (80000053)</t>
  </si>
  <si>
    <t>Perfil Cuadrado Alum Anolok (80000054)</t>
  </si>
  <si>
    <t>Riel Puerta Corred Alum Ps3911 (80000060)</t>
  </si>
  <si>
    <t>Canaleta Con Adhesivo Varias (80000061)</t>
  </si>
  <si>
    <t>Enchufe Plastico Polo A Tierra Macho (80000062)</t>
  </si>
  <si>
    <t>Interruptor Electrico Varios (80000063)</t>
  </si>
  <si>
    <t>Caja Metalica 12X12 Tapa Lisa (80000064)</t>
  </si>
  <si>
    <t>Bombillo Ahorrador 20W (80000065)</t>
  </si>
  <si>
    <t>Tubo Led De 22 W T8 G5Pin 1.17 (80000066)</t>
  </si>
  <si>
    <t>Correa Banda Transp. B310-360 (80000067)</t>
  </si>
  <si>
    <t>Tapa Troquel Para Tomacorrient (80000068)</t>
  </si>
  <si>
    <t>Toma De Caja Trifasico 3X50A (80000071)</t>
  </si>
  <si>
    <t>Caja Galvanizada Rect. 2 X 4 (80000072)</t>
  </si>
  <si>
    <t>Tubo Galvanizado 2" 2.0Mm X 6M (80000073)</t>
  </si>
  <si>
    <t>Caucho Tope Muelle Descargue (80000074)</t>
  </si>
  <si>
    <t>Lamina Alfajor 1/8" De 1X3 Mts (80000075)</t>
  </si>
  <si>
    <t>Tubo Conduit 3/4" Emt (80000077)</t>
  </si>
  <si>
    <t>Cable Acero De 5/16 (80000078)</t>
  </si>
  <si>
    <t>Enchufe Trifasic 125-250V 50Ap (80000079)</t>
  </si>
  <si>
    <t>Riel Puerta Corrediza Cal.18X2 (80000080)</t>
  </si>
  <si>
    <t>Chazo Anclaje Dry Wall 335506 (80000081)</t>
  </si>
  <si>
    <t>Chazo Pared Muro De 5/16 (80000082)</t>
  </si>
  <si>
    <t>Llave Paso De Cortina De 1.1/2 (80000083)</t>
  </si>
  <si>
    <t>Soldadura Pvc Pegante (80000084)</t>
  </si>
  <si>
    <t>Desague Sencillo Lavamanos (80000085)</t>
  </si>
  <si>
    <t>Canastilla Gris 60X40X41 Base (80000086)</t>
  </si>
  <si>
    <t>Balasto Electronico 4X32 (80000087)</t>
  </si>
  <si>
    <t>Balasto De 2 X 54 Ip54 (80000088)</t>
  </si>
  <si>
    <t>Placa Metalica 2X4 (80000089)</t>
  </si>
  <si>
    <t>Placa Toma Doble Plastica (80000090)</t>
  </si>
  <si>
    <t>Balasto Electronico 120V 2X32 (80000091)</t>
  </si>
  <si>
    <t>Pintura Varia Locativa (80000092)</t>
  </si>
  <si>
    <t>Bombillo Doble Twin 13W/840/2 5003040 13 (80000093)</t>
  </si>
  <si>
    <t>Chazo Plastico 5/16''X 2'' (80000094)</t>
  </si>
  <si>
    <t>Bombillo Ahorrador 25 W 110V 50W Traile (80000095)</t>
  </si>
  <si>
    <t>Llave Paso De Bola De 3/4 (80000098)</t>
  </si>
  <si>
    <t>Breake Varios Amp 15 Amp A 6 (80000099)</t>
  </si>
  <si>
    <t>Adaptador Macho Pvc Presión 1" (80000100)</t>
  </si>
  <si>
    <t>Rueda Andamio 8" Tornillo Nive (80000101)</t>
  </si>
  <si>
    <t>Patchpanel De 12 Puertos Pandu (80000102)</t>
  </si>
  <si>
    <t>Jack Panduit Cat 6 (80000103)</t>
  </si>
  <si>
    <t>Faceplate Doble Cat 6 En Gener (80000104)</t>
  </si>
  <si>
    <t>Aspa Ventilador Industrial 26 (80000105)</t>
  </si>
  <si>
    <t>Accesorios Plomeria Varios (80000106)</t>
  </si>
  <si>
    <t>Cartucho Sedimentos 20 Pulg Pp (80000107)</t>
  </si>
  <si>
    <t>Cable Utp Cat 6 Panduit (80000108)</t>
  </si>
  <si>
    <t>Valvula Cheque Horizontal 1" (80000109)</t>
  </si>
  <si>
    <t>Codo Pvc 1/2 " Liso Presion (80000112)</t>
  </si>
  <si>
    <t>Drenaje Plastico Fuente De Agu (80000113)</t>
  </si>
  <si>
    <t>Niple Metálico 1/4 Ref 10.210. (80000114)</t>
  </si>
  <si>
    <t>Tapon De Fuente Paleta Ref 10. (80000115)</t>
  </si>
  <si>
    <t>Panel Led Back Light 0.30X1.20 (80000116)</t>
  </si>
  <si>
    <t>Chazo Plastico Multiuso 3/8" (80000117)</t>
  </si>
  <si>
    <t>Cemento Gris Bulto (80000120)</t>
  </si>
  <si>
    <t>Reflector Led Jeta Pro 400W (80000121)</t>
  </si>
  <si>
    <t>Sensor Lightgrid Receptor Cml (80000122)</t>
  </si>
  <si>
    <t>Sensor Lightgrid Emisor Cml 72 (80000123)</t>
  </si>
  <si>
    <t>Mantenimiento Correctivo Aires (80000124)</t>
  </si>
  <si>
    <t>Detector De Humo Simplex (80000125)</t>
  </si>
  <si>
    <t>Base Para Detector De Humo Si (80000126)</t>
  </si>
  <si>
    <t>Modulo De Monitoreo Simplex (80000127)</t>
  </si>
  <si>
    <t>Estación Manual Simplex (80000128)</t>
  </si>
  <si>
    <t>Sirena Estroboscopica Simplex (80000129)</t>
  </si>
  <si>
    <t>Modulo De Control Simplex (80000130)</t>
  </si>
  <si>
    <t>Stopper Sti 1230 (80000131)</t>
  </si>
  <si>
    <t>Sika Emulsion Asfaltica Imperm (80000133)</t>
  </si>
  <si>
    <t>Cuchilla Para Cortatubo 2Pzs (80000134)</t>
  </si>
  <si>
    <t>Ventilador Para Gabinete (Ra (80000135)</t>
  </si>
  <si>
    <t>Cable Plug A Plug Monofónico 6 (80000136)</t>
  </si>
  <si>
    <t>Chazo Metalico Expansivo 1/2 X (80000137)</t>
  </si>
  <si>
    <t>Superficie Aglomerado Cubierta (80000138)</t>
  </si>
  <si>
    <t>Union Pvc 1" 1/2 Lisa (80000139)</t>
  </si>
  <si>
    <t>Union Pvc Universal Lisa (80000140)</t>
  </si>
  <si>
    <t>Niple Plastico Roscado 3/4" Pa (80000141)</t>
  </si>
  <si>
    <t>Limpiador Acero Inoxidable Des (80000142)</t>
  </si>
  <si>
    <t>Griferia Lavamanos Doble 8 Pul (80000143)</t>
  </si>
  <si>
    <t>Parada De Emergencia Tipo Hong (80000144)</t>
  </si>
  <si>
    <t>Codo 45° X 4" Cxc Sanitaria (80000146)</t>
  </si>
  <si>
    <t>Bisagra Puerta Acero Inox Bali (80000147)</t>
  </si>
  <si>
    <t>Disco Diamantado Continuo 4 1/ (80000148)</t>
  </si>
  <si>
    <t>Disco Diamantado Segmentado 4 (80000149)</t>
  </si>
  <si>
    <t>Sifón 2" Sanitaria (80000150)</t>
  </si>
  <si>
    <t>Acople Rápido Conexión Espigo (80000151)</t>
  </si>
  <si>
    <t>Reflector Led 50W Lfria 4250 L (80000152)</t>
  </si>
  <si>
    <t>Grapa Para Tubo Emt 3/4 (80000153)</t>
  </si>
  <si>
    <t>Toma Aereo Con Polo A Tierra (80000154)</t>
  </si>
  <si>
    <t>Soporte De Pared Para Lavamano (80000155)</t>
  </si>
  <si>
    <t>Protector Rj45 (80000156)</t>
  </si>
  <si>
    <t>Motorreductor Banda Transporta (80000157)</t>
  </si>
  <si>
    <t>Conector Emt De 3/4" (80000158)</t>
  </si>
  <si>
    <t>Lampara De Emergencia Tipo Mic (80000159)</t>
  </si>
  <si>
    <t>Chapa De Seguridad Para Entrad (80000160)</t>
  </si>
  <si>
    <t>Manguera Acople Lavamanos/Lava (80000161)</t>
  </si>
  <si>
    <t>Piragua Para Enchape Ceramica (80000162)</t>
  </si>
  <si>
    <t>Condensador Capacitor 680 Uf (80000163)</t>
  </si>
  <si>
    <t>Rj45 Categoria 5E (80000164)</t>
  </si>
  <si>
    <t>Jack Cat 6A Siemons (80000165)</t>
  </si>
  <si>
    <t>Fotocelda Access Eye.30 Metros (80000166)</t>
  </si>
  <si>
    <t>Cargador Smartool (80000167)</t>
  </si>
  <si>
    <t>Cinta Papel Para Drywall (80000168)</t>
  </si>
  <si>
    <t>Unidad Encoder Camaras 575,00 (80000169)</t>
  </si>
  <si>
    <t>Switch 8Puertos 6 X 10/100/100 (80000170)</t>
  </si>
  <si>
    <t>Router 450G Soporte Camaras (80000171)</t>
  </si>
  <si>
    <t>Light Barrier Unit Ssmd Vander (80000172)</t>
  </si>
  <si>
    <t>Temostato Digital Aire Acondic (80000173)</t>
  </si>
  <si>
    <t>Guaya Plastificada 1/4" (80000174)</t>
  </si>
  <si>
    <t>Tubo Fluorescente F17T8/Xlsp65 17 Wat (80000175)</t>
  </si>
  <si>
    <t>Tubo Fluorescente F32T8/Sp65/ 2 X 32 Wat (80000176)</t>
  </si>
  <si>
    <t>Juego Juntas Hidraulicas Itl (80000177)</t>
  </si>
  <si>
    <t>Perno Itl (80000178)</t>
  </si>
  <si>
    <t>Rodillo Itl (80000179)</t>
  </si>
  <si>
    <t>Piston Itl (80000180)</t>
  </si>
  <si>
    <t>Piston Itl (80000181)</t>
  </si>
  <si>
    <t>Electrovalvula Hidraulica Itl (80000182)</t>
  </si>
  <si>
    <t>Valvula Venturi Hid Engrase It (80000183)</t>
  </si>
  <si>
    <t>Unidad Barrera Luminosa (80000184)</t>
  </si>
  <si>
    <t>Patro Calibracion Camaras 7/2- (80000185)</t>
  </si>
  <si>
    <t>Patro Calibracion Camaras 7/2- (80000186)</t>
  </si>
  <si>
    <t>Camara Vicam 3S 8K F135 Blanco (80000187)</t>
  </si>
  <si>
    <t>Modulo Remoto Can-Io (80000188)</t>
  </si>
  <si>
    <t>Cable Network Camaras 10M Plug (80000189)</t>
  </si>
  <si>
    <t>Medidor Alturas Vidu Dim 3.X-P (80000190)</t>
  </si>
  <si>
    <t>Volumetrico Volumec Hd V.2.5 (80000191)</t>
  </si>
  <si>
    <t>Pasador Cadena Itl (80000192)</t>
  </si>
  <si>
    <t>Perno Arrastre Itl (80000193)</t>
  </si>
  <si>
    <t>Maneta Itl (80000194)</t>
  </si>
  <si>
    <t>Anel Itl (80000195)</t>
  </si>
  <si>
    <t>Perno Itl (80000196)</t>
  </si>
  <si>
    <t>Molla Itl (80000197)</t>
  </si>
  <si>
    <t>Proteccion Itl (80000198)</t>
  </si>
  <si>
    <t>Tornillo Especial Itl (80000199)</t>
  </si>
  <si>
    <t>Guia Itl (80000200)</t>
  </si>
  <si>
    <t>Fijacion Itl (80000201)</t>
  </si>
  <si>
    <t>Pasador Itl (80000202)</t>
  </si>
  <si>
    <t>Seguro Itl (80000203)</t>
  </si>
  <si>
    <t>Guia Itl (80000204)</t>
  </si>
  <si>
    <t>Soporte Bomba Engrase Itl (80000205)</t>
  </si>
  <si>
    <t>Rueda Itl (80000206)</t>
  </si>
  <si>
    <t>Pulsador Rojo Be (80000207)</t>
  </si>
  <si>
    <t>Testigo Pulsador Verde 24V Be (80000208)</t>
  </si>
  <si>
    <t>Scanner Codigo Barras Resoluci (80000209)</t>
  </si>
  <si>
    <t>Controlador Scanner Sc5000-100 (80000210)</t>
  </si>
  <si>
    <t>Fuente Poder Scanner 110/230Va (80000211)</t>
  </si>
  <si>
    <t>Cable Potencia As-I M12 Recto- (80000212)</t>
  </si>
  <si>
    <t>Cable Ethernet M12-M12 3Mt Rec (80000213)</t>
  </si>
  <si>
    <t>Cable Ethernet M12-M12 5Mt Cod (80000214)</t>
  </si>
  <si>
    <t>Cable Ethernet M12-Rj45 5Mt Le (80000215)</t>
  </si>
  <si>
    <t>Scanner Codigo Barras Stnd (80000216)</t>
  </si>
  <si>
    <t>Kit Encoder Pnp 250Ppr+M12 (80000217)</t>
  </si>
  <si>
    <t>Pistola 1D/2D Ethernet (80000218)</t>
  </si>
  <si>
    <t>Cadena Transmision Itl (80000219)</t>
  </si>
  <si>
    <t>Soporte Transmision Itl (80000220)</t>
  </si>
  <si>
    <t>Soporte Proteccion Itl (80000221)</t>
  </si>
  <si>
    <t>Cortacircuito Automatico 5Sl65 (80000222)</t>
  </si>
  <si>
    <t>Plc Logo Siemens Be (80000223)</t>
  </si>
  <si>
    <t>Modulo Extension Plc Logo Siem (80000224)</t>
  </si>
  <si>
    <t>Cortacircuito Automatico 5Sl63 (80000225)</t>
  </si>
  <si>
    <t>Cortacircuito Motor 1,4-2,0 A (80000226)</t>
  </si>
  <si>
    <t>Arrancador Suave 480V 15A Be (80000227)</t>
  </si>
  <si>
    <t>Bloque Auxiliar Arrancador Mot (80000228)</t>
  </si>
  <si>
    <t>Joystick, 4-Dir, Retorno Muell (80000229)</t>
  </si>
  <si>
    <t>Puente Contactor Be (80000230)</t>
  </si>
  <si>
    <t>Contacto No Be (80000231)</t>
  </si>
  <si>
    <t>Señaletica Redonda 80Mm Amaril (80000232)</t>
  </si>
  <si>
    <t>Switch Limitador-Cable-S16 Be (80000233)</t>
  </si>
  <si>
    <t>Final De Carrera-Cable-S17 Be (80000234)</t>
  </si>
  <si>
    <t>Bloque Contactor 1No,Pulsador (80000235)</t>
  </si>
  <si>
    <t>Final De Carrera-Rodillo Be (80000236)</t>
  </si>
  <si>
    <t>Union Cadena 3/4 Did Simplex B (80000238)</t>
  </si>
  <si>
    <t>Motorreductor R77Drn100Ls4 Tel (80000239)</t>
  </si>
  <si>
    <t>Piñon Cadena Z21 12B2Ø45H7 N+2 (80000240)</t>
  </si>
  <si>
    <t>Piñon Cadena Z21 12B2 Casq. Co (80000241)</t>
  </si>
  <si>
    <t>Union Cadena 3/4 Duplex Be (80000242)</t>
  </si>
  <si>
    <t>Relé Ems Pilz 1Canal Be (80000243)</t>
  </si>
  <si>
    <t>Fuente Alimentacion Meanwell B (80000244)</t>
  </si>
  <si>
    <t>Relé Terminal Be (80000245)</t>
  </si>
  <si>
    <t>Contactor Mini 11Kw 1Xno+1Xnc (80000246)</t>
  </si>
  <si>
    <t>Interruptor Principal 4 Polos (80000247)</t>
  </si>
  <si>
    <t>Selector Frontal Negro Be (80000248)</t>
  </si>
  <si>
    <t>Barra Interruptor Principal 18 (80000249)</t>
  </si>
  <si>
    <t>Paro Emergencia 22Mm 2Xnc Be (80000250)</t>
  </si>
  <si>
    <t>Contacto Cierre Idec Ems Be (80000251)</t>
  </si>
  <si>
    <t>Rueda Dentada Apriete 5/8" - D (80000252)</t>
  </si>
  <si>
    <t>Eje Motriz/Telescopico S2 Cb4 (80000253)</t>
  </si>
  <si>
    <t>Cojinete Embridado D40Mm Ucp2 (80000254)</t>
  </si>
  <si>
    <t>Piñon Cadena D23.10B1 D40H7 Be (80000255)</t>
  </si>
  <si>
    <t>Piñon Cadena Z23.12B1 Ø40H7 Be (80000256)</t>
  </si>
  <si>
    <t>Modulo Guia Extensible S2 Cb4 (80000257)</t>
  </si>
  <si>
    <t>Polea Fija Para Cadena 5/8'' D (80000258)</t>
  </si>
  <si>
    <t>Conjunto Rueda Motriz S3 Bw=60 (80000259)</t>
  </si>
  <si>
    <t>Modulo Guia Extensible S3 Bw=6 (80000260)</t>
  </si>
  <si>
    <t>Conjunto Rueda Superior Derech (80000261)</t>
  </si>
  <si>
    <t>Conjunto Rueda Superior Izquie (80000262)</t>
  </si>
  <si>
    <t>Union Cadena 5/8 Simplex Be (80000264)</t>
  </si>
  <si>
    <t>Motorreductor R47Drs71M4Be1Hf/ (80000265)</t>
  </si>
  <si>
    <t>Piñon Cadena Z16 12B1 Ø30H7 Be (80000266)</t>
  </si>
  <si>
    <t>Motorreduct Ka29B/Drs71M4/0.55 (80000267)</t>
  </si>
  <si>
    <t>Filtro Ventilador Atlas Copco (80000268)</t>
  </si>
  <si>
    <t>Juego Filtros Cartuchos Dd 10+ (80000269)</t>
  </si>
  <si>
    <t>Juego Filtros Cartuchos Pd 10+ (80000270)</t>
  </si>
  <si>
    <t>Kit Reparacion Bascula Dinamic (80000271)</t>
  </si>
  <si>
    <t>Conjunto Polea Motriz S1 Bw=60 (80000272)</t>
  </si>
  <si>
    <t>Polea Motriz D180 Bw=600 Cb3-4 (80000273)</t>
  </si>
  <si>
    <t>Cojinete Embridado D45Mm Ucp20 (80000274)</t>
  </si>
  <si>
    <t>Conjunto Polea+Eje Cb3-4 D80 B (80000275)</t>
  </si>
  <si>
    <t>Conjunto Polea+Eje+Postizo D80 (80000276)</t>
  </si>
  <si>
    <t>Rodillo D50 X 630 Eje D17 Be (80000277)</t>
  </si>
  <si>
    <t>Conjunto De Rueda Lateral R&amp;L (80000278)</t>
  </si>
  <si>
    <t>Conjunto Inferior Rueda Derech (80000279)</t>
  </si>
  <si>
    <t>Conjunto Inferior Rueda Izquie (80000280)</t>
  </si>
  <si>
    <t>Conjunto Polea Motriz S2 Bw=60 (80000281)</t>
  </si>
  <si>
    <t>Cojinete Embridado Cara Plana (80000282)</t>
  </si>
  <si>
    <t>Rodillo De Retorno Bc (80000283)</t>
  </si>
  <si>
    <t>Rodillo Retorno Ri=1000 Bn=110 (80000284)</t>
  </si>
  <si>
    <t>Rodillo Retorno Ri=1000 Bn=110 (80000285)</t>
  </si>
  <si>
    <t>Motorreduct Ka29B/Drn80M4/0,75 (80000286)</t>
  </si>
  <si>
    <t>Motorreduct Ka29B/Drn80M4/0,75 (80000287)</t>
  </si>
  <si>
    <t>Motorreduct Ka29B/Drn80M4/0,75 (80000288)</t>
  </si>
  <si>
    <t>Motorreductor Ka29B/T Drn80/0, (80000289)</t>
  </si>
  <si>
    <t>Motorreductor Ka29B/T Drn90/1, (80000290)</t>
  </si>
  <si>
    <t>Motorredutor Ka29B/Drn80M4/1,1 (80000291)</t>
  </si>
  <si>
    <t>Motorreduct Ka29B/Drn80M4/1,1/ (80000292)</t>
  </si>
  <si>
    <t>Motorreduct Ka29B/Drn80M4/1,1/ (80000293)</t>
  </si>
  <si>
    <t>Motorreduct Ka29B/Drn80M4/1,1/ (80000294)</t>
  </si>
  <si>
    <t>Motorreductor Ka29B/T Drs71/0, (80000295)</t>
  </si>
  <si>
    <t>Motorreduct Ka29B/Drs71M4/0.55 (80000296)</t>
  </si>
  <si>
    <t>Banda Curva Kt96 Ri=1000 Bn=11 (80000297)</t>
  </si>
  <si>
    <t>Banda Curva Kt96 Ri=1000 Bn=11 (80000298)</t>
  </si>
  <si>
    <t>Banda Curva Helix Ts 1600-105 (80000299)</t>
  </si>
  <si>
    <t>Banda Curva Helix Ts 1600-105 (80000300)</t>
  </si>
  <si>
    <t>Banda Curva Helix Ts 1600-105 (80000301)</t>
  </si>
  <si>
    <t>Banda Curva Helix Ts 1600-105 (80000302)</t>
  </si>
  <si>
    <t>Banda Curva Helix Ts 1600-105 (80000303)</t>
  </si>
  <si>
    <t>Soporte Para Cojinete Inferior (80000304)</t>
  </si>
  <si>
    <t>Soporte Para Cojinete Superior (80000305)</t>
  </si>
  <si>
    <t>Tambor Motriz Conico Salida Ri (80000306)</t>
  </si>
  <si>
    <t>Tambor Motriz Conico Salida Ts (80000307)</t>
  </si>
  <si>
    <t>Tambor Motriz Conico Entrada R (80000308)</t>
  </si>
  <si>
    <t>Tambor Motriz Conico Salida Ts (80000309)</t>
  </si>
  <si>
    <t>Cojinete Embridado D40Mm Bc (80000310)</t>
  </si>
  <si>
    <t>Bloqueador De Soporte Gris Ts (80000311)</t>
  </si>
  <si>
    <t>Cable Tierra Litz 10Mm²/M6 - M (80000312)</t>
  </si>
  <si>
    <t>Ppi Sensor Encoder (80000313)</t>
  </si>
  <si>
    <t>Display Towline Dn-109/3Dne Et (80000314)</t>
  </si>
  <si>
    <t>Sirena Towline 14015050 24Vdc (80000315)</t>
  </si>
  <si>
    <t>Switch Limitador Towline Xckm1 (80000316)</t>
  </si>
  <si>
    <t>Tag Radiofrecuencia Simec Rfid (80000317)</t>
  </si>
  <si>
    <t>Acoplador Profibus/Profinet (80000318)</t>
  </si>
  <si>
    <t>Modulo De Diodos Emg 45-Dio8E (80000319)</t>
  </si>
  <si>
    <t>Rele De Fallo De Fase 160...69 (80000320)</t>
  </si>
  <si>
    <t>Supresor Varistor 24-48 Vac-24 (80000321)</t>
  </si>
  <si>
    <t>Supresor Varistor 24-48 Vac-24 (80000322)</t>
  </si>
  <si>
    <t>Interruptor Principal 3Polos 6 (80000323)</t>
  </si>
  <si>
    <t>Relé Opto Tf/Itl (80000324)</t>
  </si>
  <si>
    <t>Gui/Hmi Del Fsc Tf/Itl (80000325)</t>
  </si>
  <si>
    <t>Banda Curva Kt96 Ri=1000 Bn=11 (80000326)</t>
  </si>
  <si>
    <t>Caja Pulsadores Lcd (80000327)</t>
  </si>
  <si>
    <t>Barrera De Control Lightgrid V (80000328)</t>
  </si>
  <si>
    <t>Caja De Fusibles Em Sorter Ul (80000329)</t>
  </si>
  <si>
    <t>Fc Array Pec 10°/30° Con Pec (80000330)</t>
  </si>
  <si>
    <t>Fc Array Recta Con Pec (80000331)</t>
  </si>
  <si>
    <t>Fotocelula Y Reflecotor Con So (80000332)</t>
  </si>
  <si>
    <t>Paro De Emergencia Tf (80000333)</t>
  </si>
  <si>
    <t>Cable Potencia Motor Lineal Lm (80000334)</t>
  </si>
  <si>
    <t>Cable Potencia Motor Lineal Lm (80000335)</t>
  </si>
  <si>
    <t>Cable Potencia Motor Lineal Lm (80000336)</t>
  </si>
  <si>
    <t>Cable Potencia Motor Lineal Lm (80000337)</t>
  </si>
  <si>
    <t>Cable Potencia Motor Lineal Lm (80000338)</t>
  </si>
  <si>
    <t>Cable Potencia Motor Lineal Lm (80000339)</t>
  </si>
  <si>
    <t>Cable Potencia Motor Lineal Lm (80000340)</t>
  </si>
  <si>
    <t>Cable Tierra Litz 10Mm²/M6 - W (80000341)</t>
  </si>
  <si>
    <t>Fcs Modulo Conexion 4 7 Si Fk (80000342)</t>
  </si>
  <si>
    <t>Indicador De Presion 0,6-10 Ba (80000343)</t>
  </si>
  <si>
    <t>I/O Mod Digital Et200Sp 4X Sal (80000344)</t>
  </si>
  <si>
    <t>Adaptador Ba 2X Rj45 Profinet (80000345)</t>
  </si>
  <si>
    <t>Controlador Motor Generico Bpn (80000346)</t>
  </si>
  <si>
    <t>Cable Motor Apantallado (80000347)</t>
  </si>
  <si>
    <t>Motor Bandas Carros Crossorter (80000348)</t>
  </si>
  <si>
    <t>I/O Modulo Digital Et200Sp 8X (80000349)</t>
  </si>
  <si>
    <t>I/O Modulo Digital Et200Sp 0,5 (80000350)</t>
  </si>
  <si>
    <t>Interface Drivecontrol 20 1 Di (80000351)</t>
  </si>
  <si>
    <t>Cable Potencia Interface Drive (80000352)</t>
  </si>
  <si>
    <t>Modulo Desvio Sorter (Scn) Hw (80000353)</t>
  </si>
  <si>
    <t>Unidad Control De Carros (Ccu) (80000354)</t>
  </si>
  <si>
    <t>Cable Para Motor Lineal Lsm (80000355)</t>
  </si>
  <si>
    <t>Cable Armario Rpo A Tomacorrie (80000356)</t>
  </si>
  <si>
    <t>Seletor D22Mm Pos 0-I (80000357)</t>
  </si>
  <si>
    <t>Ccc Corta Circuitos 3Va 56...8 (80000358)</t>
  </si>
  <si>
    <t>Cor Circ415V4P160Air=63A160A55 (80000359)</t>
  </si>
  <si>
    <t>Pulsador Metal Azul Mate D22Mm (80000360)</t>
  </si>
  <si>
    <t>Pusador Iluminado Azul D22Mm A (80000361)</t>
  </si>
  <si>
    <t>Cerradura 3 Posiciones Key I- (80000362)</t>
  </si>
  <si>
    <t>Selector 2 Posiciones 0-I Cont (80000363)</t>
  </si>
  <si>
    <t>Selector 3 Posiciones 0-I Cont (80000364)</t>
  </si>
  <si>
    <t>Indicador Señal Amarillo D22Mm (80000365)</t>
  </si>
  <si>
    <t>Indicador Señal Verde D22Mm Su (80000366)</t>
  </si>
  <si>
    <t>Mod Baliza Led Blanca 24Vac/Dc (80000367)</t>
  </si>
  <si>
    <t>Modulo Baliza Led Azul 24Vac/D (80000368)</t>
  </si>
  <si>
    <t>Modulo Contacto Tipo Resorte 5 (80000369)</t>
  </si>
  <si>
    <t>Procesador De Comunicaciones C (80000370)</t>
  </si>
  <si>
    <t>Resistor Terminal Vaz-G10-Term (80000371)</t>
  </si>
  <si>
    <t>Baliza Roja Led Rd 24Vac/Dc (80000372)</t>
  </si>
  <si>
    <t>Baliza Azul Led Bl 24Vac/Dc (80000373)</t>
  </si>
  <si>
    <t>Baliza Amarilla Led Yl 24Vac/D (80000374)</t>
  </si>
  <si>
    <t>Conector Para Baliza Tubo (80000375)</t>
  </si>
  <si>
    <t>Conector Balizas Asi X4 (80000376)</t>
  </si>
  <si>
    <t>Pulsador Plastico Negro D22Mm (80000377)</t>
  </si>
  <si>
    <t>Pulsador Plastico Rojo D22Mm A (80000378)</t>
  </si>
  <si>
    <t>Pulsador Plastico Verde D22Mm (80000379)</t>
  </si>
  <si>
    <t>Pulsador Plastico Azul D22Mm A (80000380)</t>
  </si>
  <si>
    <t>Selector 1No (80000381)</t>
  </si>
  <si>
    <t>Selector 1Ncc (80000382)</t>
  </si>
  <si>
    <t>Pulsador Luz Blanca 24Vac/Dc T (80000383)</t>
  </si>
  <si>
    <t>Luz Led Amarilla 130Vac/Dc Ter (80000384)</t>
  </si>
  <si>
    <t>Pulsador Iluminado Azul (80000385)</t>
  </si>
  <si>
    <t>Pulsador Iluminado Blanco (80000386)</t>
  </si>
  <si>
    <t>Cortacircuitos 230/400V 1P 6A (80000387)</t>
  </si>
  <si>
    <t>Unidad Corriente Residual Rcd (80000388)</t>
  </si>
  <si>
    <t>Bloque Aux 2No Terminal Tornil (80000389)</t>
  </si>
  <si>
    <t>Ccc Acoplador Profinet Disy Rc (80000390)</t>
  </si>
  <si>
    <t>Cortacircuitos 4A 230/400V 6Ka (80000391)</t>
  </si>
  <si>
    <t>Cortacircuitos 6A 230/400V 6Ka (80000392)</t>
  </si>
  <si>
    <t>Ccc Pieza Conexión Laminada (80000393)</t>
  </si>
  <si>
    <t>Cortacircuitos 230/400V 1P 16A (80000394)</t>
  </si>
  <si>
    <t>Cortacircuitos 230/400V 1P 16A (80000395)</t>
  </si>
  <si>
    <t>Cortacircuitos 230/400V 2P 40A (80000396)</t>
  </si>
  <si>
    <t>Cortacircuitos 230/400V 3P 25A (80000397)</t>
  </si>
  <si>
    <t>Cortacircuitos 230/400V 4P 32A (80000398)</t>
  </si>
  <si>
    <t>Cortacircuitos 230/400V 4P 63A (80000399)</t>
  </si>
  <si>
    <t>Baliza Amarilla 24Vdc Solo Fla (80000400)</t>
  </si>
  <si>
    <t>Baliza Verde Led Gr 24Vac/Dc (80000401)</t>
  </si>
  <si>
    <t>Tapa Ventilador 3243. 3244, 32 (80000402)</t>
  </si>
  <si>
    <t>Filt Ventil 20/25M3/H 200/240V (80000403)</t>
  </si>
  <si>
    <t>Rele Terminal Plc-Rsc-24Dc/21 (80000404)</t>
  </si>
  <si>
    <t>Optoacoplador Dek-Oe-5Dc/24Dc/ (80000405)</t>
  </si>
  <si>
    <t>Rele Terminal Plc-Rsc-24Dc/21- (80000406)</t>
  </si>
  <si>
    <t>Conector Riel Tomacorriente 08 (80000407)</t>
  </si>
  <si>
    <t>Cable Plano Salida Alim Ra-C1- (80000409)</t>
  </si>
  <si>
    <t>Rele 4No 24Vdc Terminal Abraza (80000410)</t>
  </si>
  <si>
    <t>Contac400V3P11,0Kw25Aac-3Aux1N (80000411)</t>
  </si>
  <si>
    <t>Contac 400V3P3,0Kw7A Ac3Aux1Nc (80000412)</t>
  </si>
  <si>
    <t>Cortacircuitos Corriente Res R (80000413)</t>
  </si>
  <si>
    <t>Bloque Auxiliar 2No+ 2Nc Term (80000414)</t>
  </si>
  <si>
    <t>Rele Contactor 2No+2Nc 24V Ter (80000415)</t>
  </si>
  <si>
    <t>Cortacircuitos 0.45-0.63A (80000416)</t>
  </si>
  <si>
    <t>Cab Dist Rosca Simple Asi L=2M (80000417)</t>
  </si>
  <si>
    <t>Cable Dist Doble L=1M M12 Vaz- (80000418)</t>
  </si>
  <si>
    <t>Cable Dist Doble L=2M M12 Vaz- (80000419)</t>
  </si>
  <si>
    <t>Cable Dist Doble L=5M M12 Vaz- (80000420)</t>
  </si>
  <si>
    <t>Reflector 47X47Mm (80000421)</t>
  </si>
  <si>
    <t>Reflector 80X80Mm (80000422)</t>
  </si>
  <si>
    <t>Sensor Prox Induc L=0,5Mm M8Ma (80000423)</t>
  </si>
  <si>
    <t>Sensor Prox Inductivo M12 Mach (80000424)</t>
  </si>
  <si>
    <t>Cable Negro L=1M Macho/Hembra (80000425)</t>
  </si>
  <si>
    <t>Conector Winsta H-Distributor (80000426)</t>
  </si>
  <si>
    <t>Filtro Ventilador 550/600M3/H (80000427)</t>
  </si>
  <si>
    <t>Filtro Ventilador 55/66M3/H 23 (80000428)</t>
  </si>
  <si>
    <t>Filtro Ventilador 105/120M3/H (80000429)</t>
  </si>
  <si>
    <t>Tapa Filtro Ral 7035 Sk 3238.2 (80000430)</t>
  </si>
  <si>
    <t>Tapa Filtro Ral 7035 Sk 3239.2 (80000431)</t>
  </si>
  <si>
    <t>Cable L=5M M12 Macho 4P. Recto (80000432)</t>
  </si>
  <si>
    <t>Cable L=0,2M M12 Macho 3P./M12 (80000433)</t>
  </si>
  <si>
    <t>Cable L=15M M12 Macho 4P./M12 (80000434)</t>
  </si>
  <si>
    <t>Cable Sens L=0,3M M8Hembra3Pre (80000435)</t>
  </si>
  <si>
    <t>Cable L=10M M12 Hembra 8P./Wir (80000436)</t>
  </si>
  <si>
    <t>Cable Sens Blindado L=20M M12 (80000437)</t>
  </si>
  <si>
    <t>Cable Foto Sensor L=0,27M M12 (80000438)</t>
  </si>
  <si>
    <t>Reflector 40X60Mm (80000439)</t>
  </si>
  <si>
    <t>Reflector 10X35Mm (80000440)</t>
  </si>
  <si>
    <t>Fotocelula Ml-Tipo Pigtail L=0 (80000441)</t>
  </si>
  <si>
    <t>Conector Asi A M12 Vaz-G6F-V1 (80000444)</t>
  </si>
  <si>
    <t>Terminal Cable Asi (80000445)</t>
  </si>
  <si>
    <t>Caja Distribucion Asi Vaz-2Fk- (80000446)</t>
  </si>
  <si>
    <t>Fuente De Poder Mgv 340-550Vac (80000447)</t>
  </si>
  <si>
    <t>Sensor Analogo Dist/Altura M12 (80000448)</t>
  </si>
  <si>
    <t>Optoacoplador M12 Macho/Hembra (80000449)</t>
  </si>
  <si>
    <t>Cable L=20M M12 Hembra 4P./ Wi (80000450)</t>
  </si>
  <si>
    <t>Cable L=2M M12 4P / M12 Hembra (80000451)</t>
  </si>
  <si>
    <t>Cable L=5M M12 4P / M12 Hembra (80000452)</t>
  </si>
  <si>
    <t>Cable L=3M M12 4P / M12 Hembra (80000453)</t>
  </si>
  <si>
    <t>Cable L=7M M12 4P / M12 Hembra (80000454)</t>
  </si>
  <si>
    <t>Cable L=10M M12 4P / M12 Hembr (80000455)</t>
  </si>
  <si>
    <t>Cable L=20M M12 4P / M12 Hembr (80000456)</t>
  </si>
  <si>
    <t>Cable L=1M M12 4P / M12 Hembra (80000457)</t>
  </si>
  <si>
    <t>Cable L=2M M12 5P / M12 Hembra (80000458)</t>
  </si>
  <si>
    <t>Cable L=2M M12 Macho 4P./ Wire (80000459)</t>
  </si>
  <si>
    <t>Cable L=5M M12 Macho 4P./ Wire (80000460)</t>
  </si>
  <si>
    <t>Cable L=10M M12 Macho 4P./ Wir (80000461)</t>
  </si>
  <si>
    <t>Modulo Movidrive Doble Eje 4A (80000462)</t>
  </si>
  <si>
    <t>Variador Frecuencia 380-500V 3 (80000463)</t>
  </si>
  <si>
    <t>Tarjeta Profinet Dfe32B (80000464)</t>
  </si>
  <si>
    <t>Lcc Controlador Accionamiento (80000465)</t>
  </si>
  <si>
    <t>Var Eaton Lms-V(V4.0)0,75Kw/Br (80000466)</t>
  </si>
  <si>
    <t>Var Eaton Lms-V(V4.0)1.1Kw/Bra (80000467)</t>
  </si>
  <si>
    <t>Var Eaton Lms-V(V4.0)1,5Kw/Bra (80000468)</t>
  </si>
  <si>
    <t>Var Eaton Lms-V(V4.0)2.2Kw/Bra (80000469)</t>
  </si>
  <si>
    <t>Ccc Convertidor De Frecuencia (80000470)</t>
  </si>
  <si>
    <t>Ccc Filtro Variador Frecuencia (80000471)</t>
  </si>
  <si>
    <t>Ccc Cable Filtro Ferrita 15Kw (80000472)</t>
  </si>
  <si>
    <t>Fuente De Poder 100-240Vac/24V (80000473)</t>
  </si>
  <si>
    <t>Proteccion De Potencia 24Vdc 4 (80000474)</t>
  </si>
  <si>
    <t>Fuente De Poder 400-500V 3P / (80000475)</t>
  </si>
  <si>
    <t>Fuente De Poder 120-230V 1P / (80000476)</t>
  </si>
  <si>
    <t>I/O Modulo Et200S Profisafe 4- (80000477)</t>
  </si>
  <si>
    <t>I/O Modulo Et200S Profissafe 4 (80000478)</t>
  </si>
  <si>
    <t>Panel Operador Hmiktp400 4"Tft (80000479)</t>
  </si>
  <si>
    <t>Pasarela Asi-Profineti/O2Canal (80000480)</t>
  </si>
  <si>
    <t>Modulo De Sensor Interfaz Vaa- (80000481)</t>
  </si>
  <si>
    <t>Lcc Rele Digital Asi 4X Entrad (80000482)</t>
  </si>
  <si>
    <t>Cccswitetherxb008 8Xrj45 10-10 (80000483)</t>
  </si>
  <si>
    <t>Ccc Acoplador Profinet Pn/Pn 2 (80000484)</t>
  </si>
  <si>
    <t>Ccc Generador De Impulsos Watc (80000485)</t>
  </si>
  <si>
    <t>Encoder Lineal Nl16 Motor Indu (80000486)</t>
  </si>
  <si>
    <t>Resistencia De Frenado R=100 O (80000487)</t>
  </si>
  <si>
    <t>Amortiguador Bm (80000488)</t>
  </si>
  <si>
    <t>Modulo Movidrive Doble Eje 8A (80000489)</t>
  </si>
  <si>
    <t>Fuente De Poder Movidrive 10Kw (80000490)</t>
  </si>
  <si>
    <t>Modulo Movidrive Un Solo Eje (80000491)</t>
  </si>
  <si>
    <t>Ccc Rele Cks (80000492)</t>
  </si>
  <si>
    <t>Ccc Tarjeta Memoria Micro 2Mb (80000493)</t>
  </si>
  <si>
    <t>Tarjeta Memoria Micro 64Kb (80000494)</t>
  </si>
  <si>
    <t>Ccc Conector Profibus Rs485 12 (80000495)</t>
  </si>
  <si>
    <t>Ccc I/O Mod Et200Eco Pn Digit (80000496)</t>
  </si>
  <si>
    <t>Ccc Modulo Interface Im151 Par (80000497)</t>
  </si>
  <si>
    <t>Modulo Interface Im151-3 Prof (80000498)</t>
  </si>
  <si>
    <t>Modulo De Potencia Pm-E 24Vdc (80000499)</t>
  </si>
  <si>
    <t>Modulo Terminal Tm-P15S23-A1 P (80000500)</t>
  </si>
  <si>
    <t>Lcc Modulo Terminal Tm-E15C26- (80000501)</t>
  </si>
  <si>
    <t>Ico Modulo Interface Im155-6Pn (80000502)</t>
  </si>
  <si>
    <t>I/O Modulo Digital Et200S 4X S (80000503)</t>
  </si>
  <si>
    <t>I/O Modulo Digital 4X Entradas (80000504)</t>
  </si>
  <si>
    <t>Modulo Terminal Tm-E15S26-A1 P (80000505)</t>
  </si>
  <si>
    <t>Modulo Terminal Tm-E30S44-01 P (80000506)</t>
  </si>
  <si>
    <t>Muelle Micro Final Carrera (80000507)</t>
  </si>
  <si>
    <t>Cadena Itl K-5050-20 A=6096 (80000508)</t>
  </si>
  <si>
    <t>Cilindro Smc C92 Sdb 125-250 I (80000509)</t>
  </si>
  <si>
    <t>Volante P-1156-06A/8-1 Id9 Itl (80000510)</t>
  </si>
  <si>
    <t>Lcc Switch Ethernet Xb005 5Xrj (80000511)</t>
  </si>
  <si>
    <t>Ccc Swit Ether Xb005G5Xrj4510- (80000512)</t>
  </si>
  <si>
    <t>Ccc Receptor 12-24Vdc Con Elec (80000513)</t>
  </si>
  <si>
    <t>Ccc Fuente De Poder 24Vdc/5Vdc (80000514)</t>
  </si>
  <si>
    <t>Ccc Swit Ether X216 16Xrj45 10 (80000515)</t>
  </si>
  <si>
    <t>Conector M12 Macho 4P 180° Sal (80000516)</t>
  </si>
  <si>
    <t>Conector Ethernet Rj45 2X2P 10 (80000517)</t>
  </si>
  <si>
    <t>Carcasa De Accesorio Hanq 8/0- (80000519)</t>
  </si>
  <si>
    <t>Ccc Bloqueo Transpondedor / Ke (80000520)</t>
  </si>
  <si>
    <t>Ccc Unidad De Lectura Adaptado (80000521)</t>
  </si>
  <si>
    <t>Rodillo Extremo Etu D75 W1300 (80000522)</t>
  </si>
  <si>
    <t>Rueda Extrema D50 Sr (80000523)</t>
  </si>
  <si>
    <t>Polea Motriz Sr (80000524)</t>
  </si>
  <si>
    <t>Polea Transmision Sr/Rm W=24.5 (80000525)</t>
  </si>
  <si>
    <t>Polea Transmision Sr/Rm W=24.5 (80000526)</t>
  </si>
  <si>
    <t>Rueda De Presion Sr (80000527)</t>
  </si>
  <si>
    <t>Eje Polea De Presion Tf (80000528)</t>
  </si>
  <si>
    <t>Rueda De La Polea Tensora Bj D (80000529)</t>
  </si>
  <si>
    <t>Rueda Tensora Power Feeder (80000530)</t>
  </si>
  <si>
    <t>Eje Rodillo D30 H7 Cr C45K Bf (80000531)</t>
  </si>
  <si>
    <t>Rueda Bajo Ruido D55X20X16 Arp (80000532)</t>
  </si>
  <si>
    <t>Tambor Motriz Drop Belt D75 L= (80000533)</t>
  </si>
  <si>
    <t>Tapa De Seguridad Nose Over (80000534)</t>
  </si>
  <si>
    <t>Rueda Deslizamiento Curva Cade (80000535)</t>
  </si>
  <si>
    <t>Eje Rueda Deslizamiento Curva (80000536)</t>
  </si>
  <si>
    <t>Tambor Motriz Bandas Cortas If (80000537)</t>
  </si>
  <si>
    <t>Polea Motriz Vulcanizada (80000538)</t>
  </si>
  <si>
    <t>Cadena Para Rodillos Take Up B (80000539)</t>
  </si>
  <si>
    <t>Cadena Para Rodillos Take Up B (80000540)</t>
  </si>
  <si>
    <t>Cadena Para Rodillos Take Up B (80000541)</t>
  </si>
  <si>
    <t>Cadena Para Rodillos Take Up B (80000542)</t>
  </si>
  <si>
    <t>Rodillo Guiado D71 Bf (80000543)</t>
  </si>
  <si>
    <t>Rodillo Guiado D71 Bm (80000544)</t>
  </si>
  <si>
    <t>Rueda D50X16 Con Adaptador Int (80000545)</t>
  </si>
  <si>
    <t>Rodillo Tensor D72 Bf (80000546)</t>
  </si>
  <si>
    <t>Rodillo Guiado D20 Bf (80000547)</t>
  </si>
  <si>
    <t>Rodillo Guiado D70 W1500 Power (80000548)</t>
  </si>
  <si>
    <t>Polea Tensora D205 Mm (80000549)</t>
  </si>
  <si>
    <t>Polea Transmision D60X50 Agl=5 (80000550)</t>
  </si>
  <si>
    <t>Polea Transmision D60X50 Agl=4 (80000551)</t>
  </si>
  <si>
    <t>Lama Loop Hipodromo (80000552)</t>
  </si>
  <si>
    <t>Tira Imanes Carros Sorter (80000553)</t>
  </si>
  <si>
    <t>Rueda Convexa D100X25 (80000554)</t>
  </si>
  <si>
    <t>Soporte Rueda Carrier (80000555)</t>
  </si>
  <si>
    <t>Perfil Proteccion Tira Imanes (80000556)</t>
  </si>
  <si>
    <t>Brazo De Reaccion Motores (80000557)</t>
  </si>
  <si>
    <t>Tambor Motriz D100 Bfcd900 (80000558)</t>
  </si>
  <si>
    <t>Rodillo Extremo Etu Bf D75 (80000559)</t>
  </si>
  <si>
    <t>Tambor Motriz D75 Power Feeder (80000560)</t>
  </si>
  <si>
    <t>Anillo Separador Mototambor D1 (80000561)</t>
  </si>
  <si>
    <t>Tambor Motriz D150 Bfcd1500 W1 (80000562)</t>
  </si>
  <si>
    <t>Tambor Motriz D150 Bfcd1500 W1 (80000563)</t>
  </si>
  <si>
    <t>Medidor Altura Bf (80000564)</t>
  </si>
  <si>
    <t>Anillo Detector Bj (80000565)</t>
  </si>
  <si>
    <t>Pin Centrador Bf (80000566)</t>
  </si>
  <si>
    <t>Rodillo Tensor D100 Bm/Bf (80000567)</t>
  </si>
  <si>
    <t>Rodillo Reenvio D71 W=1000 (80000568)</t>
  </si>
  <si>
    <t>Anillo Separador D230 (80000569)</t>
  </si>
  <si>
    <t>Anillo Separador D100 (80000570)</t>
  </si>
  <si>
    <t>Tambor Motriz D230 Bf (80000571)</t>
  </si>
  <si>
    <t>Valvula Neumatica Assy (80000572)</t>
  </si>
  <si>
    <t>Mototambor Poly V Ec310 16:1 L (80000573)</t>
  </si>
  <si>
    <t>Rodillo Extremo Etu Lr/Arp (80000574)</t>
  </si>
  <si>
    <t>Rodillo Esclavo Ligero D50 Hex (80000575)</t>
  </si>
  <si>
    <t>Valvula Neumatica 5/2 Assy (80000576)</t>
  </si>
  <si>
    <t>Cable Alimentacion Ccu (80000577)</t>
  </si>
  <si>
    <t>Rodillo Tensor Carrier (80000578)</t>
  </si>
  <si>
    <t>Rodillo De Accionamiento Scs (80000579)</t>
  </si>
  <si>
    <t>Carro Triplanar Assy (80000580)</t>
  </si>
  <si>
    <t>Union Cadena Assy (80000581)</t>
  </si>
  <si>
    <t>Tambor Mot Bj W1300 (80000582)</t>
  </si>
  <si>
    <t>Freno Movil (80000583)</t>
  </si>
  <si>
    <t>Reflector Fotocelulas Adhesivo (80000584)</t>
  </si>
  <si>
    <t>Rodillo Grv D50 Ligero L=358 (80000585)</t>
  </si>
  <si>
    <t>Rodillo Grv D50 Ligero L=758 (80000586)</t>
  </si>
  <si>
    <t>Rodillo Grv D50 Ligero L=958 (80000587)</t>
  </si>
  <si>
    <t>Rodillo Grv D50 Ligero L=1458 (80000588)</t>
  </si>
  <si>
    <t>Polea Assy Tensora D120 (80000589)</t>
  </si>
  <si>
    <t>Polea Assy Motriz D135 (80000590)</t>
  </si>
  <si>
    <t>Polea Assy D120 (80000591)</t>
  </si>
  <si>
    <t>Rodillo Esclavo Poly V (80000592)</t>
  </si>
  <si>
    <t>Rodillo Esclavo Poly V (80000593)</t>
  </si>
  <si>
    <t>Piñon (80000594)</t>
  </si>
  <si>
    <t>Piñon (80000595)</t>
  </si>
  <si>
    <t>Rodillo Tensor D100 Bf (80000596)</t>
  </si>
  <si>
    <t>Rueda Extrema Tensora Bj (80000597)</t>
  </si>
  <si>
    <t>Soporte Adaptador Sr (80000598)</t>
  </si>
  <si>
    <t>Proteccion Rodillo Extremo Der (80000599)</t>
  </si>
  <si>
    <t>Proteccion Rodillo Extremo Izq (80000600)</t>
  </si>
  <si>
    <t>Interruptor Electrico 230/400V (80000601)</t>
  </si>
  <si>
    <t>Interruptor Electrico 400V 10K (80000602)</t>
  </si>
  <si>
    <t>Base Gris Unidad Et200Sp Bu-T (80000603)</t>
  </si>
  <si>
    <t>Base Blanca Unidad Et200Sp Bu- (80000604)</t>
  </si>
  <si>
    <t>Protector Toque Amarillo (80000605)</t>
  </si>
  <si>
    <t>Conjunto Rueda Alineacion Corr (80000606)</t>
  </si>
  <si>
    <t>Rodillo Reenvio D103 L=1360 Bf (80000607)</t>
  </si>
  <si>
    <t>Rodillo De Presion Tf (80000608)</t>
  </si>
  <si>
    <t>Polea Rnd 55 (80000609)</t>
  </si>
  <si>
    <t>Tambor Mot Bj W900 (80000610)</t>
  </si>
  <si>
    <t>Tambor Mot Bj W1000 (80000611)</t>
  </si>
  <si>
    <t>Casquillo Conico Tlock 2517-35 (80000612)</t>
  </si>
  <si>
    <t>Polea Dentada Tb Tl 38-8M-20/2 (80000613)</t>
  </si>
  <si>
    <t>Polea Dentada Tb Tl 28-8M-30/2 (80000614)</t>
  </si>
  <si>
    <t>Polea Dentada Tb Kw 22-8M-20/1 (80000615)</t>
  </si>
  <si>
    <t>Polea Dentada Tb Kw 22-8M-30/1 (80000616)</t>
  </si>
  <si>
    <t>Polea Dentada Tb Kw 32-8M-30/1 (80000617)</t>
  </si>
  <si>
    <t>Polea Poly-V Stc: 205Mm Type: (80000618)</t>
  </si>
  <si>
    <t>Correa Dentada L=720 Rpp-Slv8- (80000619)</t>
  </si>
  <si>
    <t>Correa Acanalada Poly-V Pl, L= (80000620)</t>
  </si>
  <si>
    <t>Cojinete Embridado Ovl Pcjt-30 (80000621)</t>
  </si>
  <si>
    <t>Cojinete Embridadopme-50N Rnd (80000622)</t>
  </si>
  <si>
    <t>Cojinete Embridado Pme-60N Rnd (80000623)</t>
  </si>
  <si>
    <t>Cerradura Interlock Slo (80000624)</t>
  </si>
  <si>
    <t>Aislamiento Tierra Stnd L=4M C (80000625)</t>
  </si>
  <si>
    <t>Aislamiento Fase Stnd L=4M Cr (80000626)</t>
  </si>
  <si>
    <t>Banda Infeed 60 L=1407 E 8/2 U (80000627)</t>
  </si>
  <si>
    <t>Banda Infeed 60 L=1522 E 8/2 U (80000628)</t>
  </si>
  <si>
    <t>Banda Infeed 60 L=1809 E 8/2 U (80000629)</t>
  </si>
  <si>
    <t>Soporte Rosta Se-18 Tf (80000631)</t>
  </si>
  <si>
    <t>Piñon Cadena Kw 1/2 X17X30, Di (80000632)</t>
  </si>
  <si>
    <t>Piñon Cadena Kw 1/2 X18X25, Di (80000633)</t>
  </si>
  <si>
    <t>Union Cadena Simple 1 (1/2)Iso (80000637)</t>
  </si>
  <si>
    <t>Union Cadena Doble 2 (1/2) Iso (80000638)</t>
  </si>
  <si>
    <t>Union Cadena Ext(1/2X5/16")Iso (80000639)</t>
  </si>
  <si>
    <t>Casquillo Conico Tlock 1210-25 (80000640)</t>
  </si>
  <si>
    <t>Casquillo Conico Tlock 1610-25 (80000641)</t>
  </si>
  <si>
    <t>Rodillo Cond D50 Eje D14 Ext15 (80000642)</t>
  </si>
  <si>
    <t>Rodillo Cond D50 Eje D14 Ext15 (80000643)</t>
  </si>
  <si>
    <t>Rodillo Cond D50 Eje D14 Ext15 (80000644)</t>
  </si>
  <si>
    <t>Regulador Neumatico 004350-030 (80000645)</t>
  </si>
  <si>
    <t>Regulador De Presion Mas Filtr (80000646)</t>
  </si>
  <si>
    <t>Toma Corriente Monofasico Hemb Aereo (80000651)</t>
  </si>
  <si>
    <t>Toma Doble Levinton Blanco Polo Tierr (80000652)</t>
  </si>
  <si>
    <t>Banda Infeed 30 L=4625 E 8/2 U (80000653)</t>
  </si>
  <si>
    <t>Banda Infeed 60 L=1235 E 8/2 U (80000654)</t>
  </si>
  <si>
    <t>Banda Infeed 60 L=1292 E 8/2 U (80000655)</t>
  </si>
  <si>
    <t>Banda Infeed 60 L=1350 E 8/2 U (80000656)</t>
  </si>
  <si>
    <t>Rodillo Cond D50 Eje D14 Ext15 (80000657)</t>
  </si>
  <si>
    <t>Rodillo Cond D50 Eje D14 Ext15 (80000658)</t>
  </si>
  <si>
    <t>Rodillo Cond D50 Eje D14 Ext15 (80000659)</t>
  </si>
  <si>
    <t>Rodillo Cond D50 L = 473Mm Eje (80000660)</t>
  </si>
  <si>
    <t>Rodillo Cond D50 Eje D14 Ext15 (80000661)</t>
  </si>
  <si>
    <t>Rodillo Cond D50 Eje D14 Ext15 (80000662)</t>
  </si>
  <si>
    <t>Rodillo Cond D50 Eje D14 Ext15 (80000663)</t>
  </si>
  <si>
    <t>Rodillo Cond D50 Eje D14 Ext15 (80000664)</t>
  </si>
  <si>
    <t>Rodillo Cond D50 Eje D14 Ext15 (80000665)</t>
  </si>
  <si>
    <t>Rodillo Cond D50 Eje D14 Ext15 (80000666)</t>
  </si>
  <si>
    <t>Rodillo Cond D50 Eje D14 Ext15 (80000667)</t>
  </si>
  <si>
    <t>Rodillo Cond D50 Eje D14 Ext15 (80000668)</t>
  </si>
  <si>
    <t>Rodillo Cond D50 Eje D14 Ext15 (80000669)</t>
  </si>
  <si>
    <t>Rodillo Cond D50 Eje D14 Ext15 (80000670)</t>
  </si>
  <si>
    <t>Rodillo Cond D50 Eje D14 Ext15 (80000671)</t>
  </si>
  <si>
    <t>Rodillo Grv D60 L= 1380 Mm Eje (80000672)</t>
  </si>
  <si>
    <t>Rodillo D60 Agl= 598 Mm Eje D1 (80000673)</t>
  </si>
  <si>
    <t>Rodillo D60 Agl= 838 Mm Eje D1 (80000674)</t>
  </si>
  <si>
    <t>Rodillo Grv D20 L= 859 Eje Con (80000675)</t>
  </si>
  <si>
    <t>Rodillo Grv D20 L= 959 Eje Con (80000676)</t>
  </si>
  <si>
    <t>Gancho De Red 6X60 Mm Trs (80000677)</t>
  </si>
  <si>
    <t>Resorte De Compresion C 25X20 (80000678)</t>
  </si>
  <si>
    <t>Resorte De Compresion A 50X30A (80000679)</t>
  </si>
  <si>
    <t>Resorte De Compresion A 50X30 (80000680)</t>
  </si>
  <si>
    <t>Tensor De Resorte 3020Bf 55° S (80000681)</t>
  </si>
  <si>
    <t>Tensor De Resorte 3021Bf 70° S (80000682)</t>
  </si>
  <si>
    <t>Rodillo Cond D50 Eje D14 Ext15 (80000683)</t>
  </si>
  <si>
    <t>Rodillo Cond D50 Eje D14 Ext15 (80000684)</t>
  </si>
  <si>
    <t>Rodillo Cond D50 Eje D14 Ext15 (80000685)</t>
  </si>
  <si>
    <t>Rodillo Cond D50 Eje D14 Ext15 (80000686)</t>
  </si>
  <si>
    <t>Rodillo Grv Res D50 L=140Mm Ej (80000687)</t>
  </si>
  <si>
    <t>Rodillo Cond D50 L=172Mm Eje D (80000688)</t>
  </si>
  <si>
    <t>Rodillo Cond D50 L= 265 Mm Eje (80000689)</t>
  </si>
  <si>
    <t>Rodillo Cond D50 L= 270 Mm Eje (80000690)</t>
  </si>
  <si>
    <t>Rodillo Cond D50 L= 489 Mm Eje (80000691)</t>
  </si>
  <si>
    <t>Rodillo Cond D50 L= 582 Mm Eje (80000692)</t>
  </si>
  <si>
    <t>Rodillo Cond D50 L= 591 Mm Eje (80000693)</t>
  </si>
  <si>
    <t>Rodillo Cond D50 L= 806 Mm Eje (80000694)</t>
  </si>
  <si>
    <t>Rodillo Cond D50 L= 845 Mm Eje (80000695)</t>
  </si>
  <si>
    <t>Rodillo Cond D50 L= 912 Mm Eje (80000696)</t>
  </si>
  <si>
    <t>Rodillo Cond D50 L= 946 Mm Eje (80000697)</t>
  </si>
  <si>
    <t>Rodillo Cond D50 L= 1234 Mm Ej (80000698)</t>
  </si>
  <si>
    <t>Rodillo Cond D50 L= 1370 Mm Ej (80000699)</t>
  </si>
  <si>
    <t>Rodillo Cond D50 L= 840 Mm Eje (80000700)</t>
  </si>
  <si>
    <t>Rodillo Grv D60 L= 880 Mm Eje (80000701)</t>
  </si>
  <si>
    <t>Motorreduc Ka39/Drs71M4/0,55/1 (80000702)</t>
  </si>
  <si>
    <t>Motorreduc Ka39/Drn80M4/0.75/ (80000703)</t>
  </si>
  <si>
    <t>Motorreductor Ka39/Drn90S4/1,1 (80000704)</t>
  </si>
  <si>
    <t>Motorreduc Ka39/Drn100L4/2.2/2 (80000705)</t>
  </si>
  <si>
    <t>Motorreductor Ka39/Drn90L4/1,5 (80000706)</t>
  </si>
  <si>
    <t>Motorreduc Ka39/Drn100L4/2.2/3 (80000707)</t>
  </si>
  <si>
    <t>Motorreductor Ka49/Drn90S4/1,1 (80000708)</t>
  </si>
  <si>
    <t>Motorreductor Ka49/Drn90L4/1,5 (80000709)</t>
  </si>
  <si>
    <t>Motorreductor Ka49/Drn90L4/1,5 (80000710)</t>
  </si>
  <si>
    <t>Motorreduc Ka49/Drn100L4/2.2/1 (80000711)</t>
  </si>
  <si>
    <t>Motorreductor Ka49/Drn100L4/3/ (80000712)</t>
  </si>
  <si>
    <t>Motorreductor Ka49/Drn112M4/4/ (80000713)</t>
  </si>
  <si>
    <t>Motorreductor Ka77/Drn90L4/1,5 (80000714)</t>
  </si>
  <si>
    <t>Motorreductor Drn90L4/Ft/And8 (80000715)</t>
  </si>
  <si>
    <t>Ruedas Roldanas Wheel 1-15/16X (80000716)</t>
  </si>
  <si>
    <t>Rueda 8 X 2 -Pr/ Bp-1/2-Pl-Ne (80000717)</t>
  </si>
  <si>
    <t>Motor Lineal Slcp050M025 Sdo (80000718)</t>
  </si>
  <si>
    <t>Motorreductor R17/Drs71M4/0,55 (80000719)</t>
  </si>
  <si>
    <t>Motorreductor R27/Drs71S4/0,37 (80000720)</t>
  </si>
  <si>
    <t>Motorreductor K57/Drn90L4/1,5/ (80000721)</t>
  </si>
  <si>
    <t>Motorreductor R17/Drn80M4/0.75 (80000722)</t>
  </si>
  <si>
    <t>Motorreductor Rf37/Drn90S4/1,1 (80000723)</t>
  </si>
  <si>
    <t>Motorreductor Rf37/Drn90S4/1,1 (80000724)</t>
  </si>
  <si>
    <t>Motorreductor Rf37/Drn90S4/1,1 (80000725)</t>
  </si>
  <si>
    <t>Motorreductor Rxf67/Drn90S4/1, (80000726)</t>
  </si>
  <si>
    <t>Motorreductor Rf37/Drn90S4/1,1 (80000727)</t>
  </si>
  <si>
    <t>Motorreductor R27/Drn90S4/1,1/ (80000728)</t>
  </si>
  <si>
    <t>Motorreductor Ka39/Drs71M4/0,5 (80000729)</t>
  </si>
  <si>
    <t>Unión Emt 3/4 (80000730)</t>
  </si>
  <si>
    <t>Control Remoto Televisor (80000731)</t>
  </si>
  <si>
    <t>Clavija Codelca Con Polo Tierr (80000732)</t>
  </si>
  <si>
    <t>Jack Cat 6 Amp (80000733)</t>
  </si>
  <si>
    <t>Face Plate Sencillo Simon (80000734)</t>
  </si>
  <si>
    <t>Modulo Cat6 Varios (80000735)</t>
  </si>
  <si>
    <t>Herraje Plano Cat6 Varios (80000736)</t>
  </si>
  <si>
    <t>Soporte Mensula (80000737)</t>
  </si>
  <si>
    <t>Codo Pvc 1 1/4 (80000738)</t>
  </si>
  <si>
    <t>Tubo Polipropileno 32Mm X 4 Mt (80000739)</t>
  </si>
  <si>
    <t>Codo Polipropileno De 32 Mm (R (80000740)</t>
  </si>
  <si>
    <t>Buje Soldado 3X2 Sanitaria (80000741)</t>
  </si>
  <si>
    <t>Cenefa Samblastic Punto Droop (80000743)</t>
  </si>
  <si>
    <t>Tee 1/2 Presión (80000744)</t>
  </si>
  <si>
    <t>Riel Cajones Escritorio 2 X 1 (80000745)</t>
  </si>
  <si>
    <t>Poste Plastico Señalización Vi (80000746)</t>
  </si>
  <si>
    <t>Servicio Mantenimiento Prevent (80000747)</t>
  </si>
  <si>
    <t>Gas De Soldadura Aire Acondici (80000749)</t>
  </si>
  <si>
    <t>Caja Empalme 30 X 30 X 15 (80000750)</t>
  </si>
  <si>
    <t>Tornillo G5 Ro De 5/8 X 5" (80000751)</t>
  </si>
  <si>
    <t>Suiche 3 Posiciones Para Cafet (80000752)</t>
  </si>
  <si>
    <t>Tornillo 8 X 3/" Cabeza Lentej (80000753)</t>
  </si>
  <si>
    <t>Pomo Universal Para Lavamanos (80000754)</t>
  </si>
  <si>
    <t>Llave Lavamanos Grival (80000755)</t>
  </si>
  <si>
    <t>Rodillo Epóxico 9? (80000756)</t>
  </si>
  <si>
    <t>Coraza Americana De 1 1 /2 (80000757)</t>
  </si>
  <si>
    <t>Bandeja Para Rack Ref. Bv 1017 (80000758)</t>
  </si>
  <si>
    <t>Filtro Omnipure Usa Sediemntos (80000759)</t>
  </si>
  <si>
    <t>Sifón Tipo Botella Lavamanos U (80000760)</t>
  </si>
  <si>
    <t>Alarma Sonora De Emergencia (80000761)</t>
  </si>
  <si>
    <t>Bomba De Agua Ftr Reparada (80000762)</t>
  </si>
  <si>
    <t>Tubo Imc De 3/4 Tipo Pesado (80000763)</t>
  </si>
  <si>
    <t>Niple Galvanizado 1" X 10 Cm (80000764)</t>
  </si>
  <si>
    <t>Colchon De 1.00 X 1.90 (80000765)</t>
  </si>
  <si>
    <t>Caja Rawelt 4 X 4 Salida 3/4 (80000766)</t>
  </si>
  <si>
    <t>Tapa Rawelt 4 X 4 Ciega (80000767)</t>
  </si>
  <si>
    <t>Mini Brake 3 X 20 Amp. De Riel (80000768)</t>
  </si>
  <si>
    <t>Bombillo Led 9 W 120 V (80000769)</t>
  </si>
  <si>
    <t>Piso Plastico Para Bases (80X8 (80000770)</t>
  </si>
  <si>
    <t>Terminal Cobre Para Cable # 4 (80000771)</t>
  </si>
  <si>
    <t>Soporte De Pared Para Tv (80000772)</t>
  </si>
  <si>
    <t>Asiento Sanitario (80000773)</t>
  </si>
  <si>
    <t>Herraje Mueble Sanitario (80000774)</t>
  </si>
  <si>
    <t>Valvula Fluidmaster Sanitario (80000775)</t>
  </si>
  <si>
    <t>Contactor 32 Amp 220 V (80000777)</t>
  </si>
  <si>
    <t>Llave Lavaplatos Cromad Varias (80000778)</t>
  </si>
  <si>
    <t>Adaptador Pvc 1" (80000779)</t>
  </si>
  <si>
    <t>Tubo Pvc Verde 3/4 (80000780)</t>
  </si>
  <si>
    <t>Curva Pvc Verde 3/4 (80000781)</t>
  </si>
  <si>
    <t>Coraza Americana De 3/4 (80000782)</t>
  </si>
  <si>
    <t>Curva Emt De 3/4 (80000783)</t>
  </si>
  <si>
    <t>Tubo Pvc 1/2" (80000784)</t>
  </si>
  <si>
    <t>Unión Emt De 1/2" (80000785)</t>
  </si>
  <si>
    <t>Patch Cor 3 Mt Cat6 Azul Utp (80000787)</t>
  </si>
  <si>
    <t>Reflector Led 200W 100- 277 V (80000788)</t>
  </si>
  <si>
    <t>Superficie Recta 0.70X0.60Mt G (80000789)</t>
  </si>
  <si>
    <t>Superficie Recta 0.80X0.80M G2 (80000790)</t>
  </si>
  <si>
    <t>Superficie Recta Medidas Varia (80000791)</t>
  </si>
  <si>
    <t>Tubo Pvc 1" (80000792)</t>
  </si>
  <si>
    <t>Perno Expansión 5/8 X 5" (80000793)</t>
  </si>
  <si>
    <t>Cancamo Abierto (80000794)</t>
  </si>
  <si>
    <t>Interruptor Sencillo 110V Levi (80000797)</t>
  </si>
  <si>
    <t>Velcro Por Rollo (80000798)</t>
  </si>
  <si>
    <t>Chumacera Con Rodami Ucf20824 (80000799)</t>
  </si>
  <si>
    <t>Tornillo 8 X 1.3/4" Placa Avel (80000800)</t>
  </si>
  <si>
    <t>Union Pvc 1/2 Lisa (80000801)</t>
  </si>
  <si>
    <t>Union Pvc 1" Lisa (80000802)</t>
  </si>
  <si>
    <t>Multitoma Horizontal 6 Entrada (80000803)</t>
  </si>
  <si>
    <t>Llave Abasto Metalico Grival (80000805)</t>
  </si>
  <si>
    <t>Tela Tipo T (Polisombra) (80000807)</t>
  </si>
  <si>
    <t>Tee Pvc Sanitaria De 2" (80000808)</t>
  </si>
  <si>
    <t>Union Pvc Sanitaria De 2" (80000809)</t>
  </si>
  <si>
    <t>Accesorios Union Emt De 3/4" (80000810)</t>
  </si>
  <si>
    <t>Manija Tanque Sanitario Codo (80000811)</t>
  </si>
  <si>
    <t>Tornillo Tanque Sanitario (80000812)</t>
  </si>
  <si>
    <t>Empaque Canilla/Manguera 1/2 (80000813)</t>
  </si>
  <si>
    <t>Adaptador Macho Pvc 1.1/2 (80000814)</t>
  </si>
  <si>
    <t>Adaptador Hembra Pvc 1.1/2 (80000815)</t>
  </si>
  <si>
    <t>Tapon Copa Roscado Pvc 1.1/2 (80000816)</t>
  </si>
  <si>
    <t>Adaptador Hembra Pvc 1/2 (80000817)</t>
  </si>
  <si>
    <t>Sellador Poliuretano Construcc (80000818)</t>
  </si>
  <si>
    <t>Lampara Hermetica 2X54W Polica (80000819)</t>
  </si>
  <si>
    <t>Rele Termico 30-43 A Ref113721 (80000820)</t>
  </si>
  <si>
    <t>Contactor Electrico 80A 10958 (80000821)</t>
  </si>
  <si>
    <t>Plug Rj45 Cat 6 (80000822)</t>
  </si>
  <si>
    <t>Caja Empalme Doble 12 X 12 (80000823)</t>
  </si>
  <si>
    <t>Balasto 2 X 48 (80000824)</t>
  </si>
  <si>
    <t>Perro Ajustable Para Guaya 1/4 (80000826)</t>
  </si>
  <si>
    <t>Union Universal Imc 1 (80000827)</t>
  </si>
  <si>
    <t>Manto Aluminio 3Mm (80000829)</t>
  </si>
  <si>
    <t>Esquinero Plastico 244 M (80000831)</t>
  </si>
  <si>
    <t>Tapón Soldado 1/2 Presión (80000832)</t>
  </si>
  <si>
    <t>Bisagra Capsula De 3/4" 3 Cuer (80000833)</t>
  </si>
  <si>
    <t>Broncoelástico Ladrillo (80000834)</t>
  </si>
  <si>
    <t>Bombillo Ahorrador 32W K-Bae3 (80000839)</t>
  </si>
  <si>
    <t>Antifluidos En Acrilico (80000840)</t>
  </si>
  <si>
    <t>Acople Plástico Sanitario 1/2" (80000841)</t>
  </si>
  <si>
    <t>Tornillo Avellanado Varios (80000842)</t>
  </si>
  <si>
    <t>Pasacables Varios (80000843)</t>
  </si>
  <si>
    <t>Valvula Registro Bola 1/2" Pvc (80000845)</t>
  </si>
  <si>
    <t>Bombillo Ahorrador 14-15 W 110 (80000846)</t>
  </si>
  <si>
    <t>LÍNEAS DE FLOTA ACTUAL REG. ANTIOQUIA</t>
  </si>
  <si>
    <t>FURGON FOTON 1030</t>
  </si>
  <si>
    <t>FURGON JMC 1054 VI</t>
  </si>
  <si>
    <t>FURGON JMC 1054</t>
  </si>
  <si>
    <t>ÍTEM</t>
  </si>
  <si>
    <t>FURGON FOTON 1065</t>
  </si>
  <si>
    <t>FILTRO ACEITE FOTON 677868 TM 30</t>
  </si>
  <si>
    <t>110A</t>
  </si>
  <si>
    <t>Aceite De MOT Mobil Delvac 15w40 - Ck4 S</t>
  </si>
  <si>
    <t>FURGON FOTON 1045</t>
  </si>
  <si>
    <t>FILTRO AIRE FOTON 677844 TM 30</t>
  </si>
  <si>
    <t>FILT COMB Secundario Jmc 1054 Eng1-9456-</t>
  </si>
  <si>
    <t>CAMION FOTON BJ1128</t>
  </si>
  <si>
    <t>FILTRO COMBUSTIBLE FOTON 677851 TM 30</t>
  </si>
  <si>
    <t>FILT de COMB PRIM JMC 1054 1100500020</t>
  </si>
  <si>
    <t>FURGON FOTON 1039 AO</t>
  </si>
  <si>
    <t>ACEITE MOTOR MOBIL DELVAC 15W40 - CI4 SUPER DEFENSE V3</t>
  </si>
  <si>
    <t>FILT DE ACEIte MOT JMC 1054 GN1-6614-CB</t>
  </si>
  <si>
    <t>FURGON JAC JHR</t>
  </si>
  <si>
    <t>FRASCO MUESTRA DE ACEITE</t>
  </si>
  <si>
    <t>FILT DE AIR MOT JMC 1054 MN1-9601-44</t>
  </si>
  <si>
    <t>CAMION FOTON 1129</t>
  </si>
  <si>
    <t>FURGON RENAULT MASTER</t>
  </si>
  <si>
    <t>VAN FOTON BJ5</t>
  </si>
  <si>
    <t>FURGON FOTON 1065 VI</t>
  </si>
  <si>
    <t>FURGON FOTON 1065 IV</t>
  </si>
  <si>
    <t>FURGON CHEVROLET NKR IIIE</t>
  </si>
  <si>
    <t>CAMION CHEVROLET FRR</t>
  </si>
  <si>
    <t>ACEITE DE MOTOR MOBIL DELVAC 15W40 - CK4 SEMISINT</t>
  </si>
  <si>
    <t>FILTRO ACEITE FOTON BJ 1039 455527</t>
  </si>
  <si>
    <t>FURGON HINO DUTRO PRO EJE SENCILLO</t>
  </si>
  <si>
    <t>FILTRO ACEITE FOTON AUCAN 1045 7700149203272</t>
  </si>
  <si>
    <t>FILT AIR FT 1128-1065-1045 Mag961390r Go</t>
  </si>
  <si>
    <t>FURGON CHEVROLET NKR III</t>
  </si>
  <si>
    <t>FILTRO COMBUSTIBLE FOTON AUCAN 1045/1065 EVI 7700149223409</t>
  </si>
  <si>
    <t>FILT COMB Pri FT 1065 7705946343176</t>
  </si>
  <si>
    <t>FURGON HINO DUTROPACK</t>
  </si>
  <si>
    <t>FILTRO COMBUSTIBLE SEC FOTON 1065 7701023959568</t>
  </si>
  <si>
    <t>VAN CHEVROLET CARRY</t>
  </si>
  <si>
    <t>FILTRO AIRE FOTON 1128-1065--1045- MAG961390R GOBY</t>
  </si>
  <si>
    <t>TRACTOMULA PROSTAR</t>
  </si>
  <si>
    <t>TRACTOMULA KENWORTH T800 EURO II</t>
  </si>
  <si>
    <t>FURGON FOTON 1045 VI</t>
  </si>
  <si>
    <t>CAMION FOTON BJ1128 IV</t>
  </si>
  <si>
    <t>TRACTOMULA DAF CF480 FTT EURO V</t>
  </si>
  <si>
    <t>TRACTOMULA DAF CF480 FTT EURO VI</t>
  </si>
  <si>
    <t>FILTRO COMBUSTIBLE SECUNDARIO FOTON BJ 1129</t>
  </si>
  <si>
    <t>TRACTOMULA MACK ANTHEM</t>
  </si>
  <si>
    <t>FILTRO TRAMPA COMBUSTIBLE FOTON BJ 1129</t>
  </si>
  <si>
    <t>TRACTOMULA  INTERNATIONAL LT</t>
  </si>
  <si>
    <t>FILTRO DE ACEITE FOTON 1128 EURO VI 7700149309592</t>
  </si>
  <si>
    <t>TRACTOMULA FOTON EST AMT BJ4269</t>
  </si>
  <si>
    <t>TRACTOMULA  FREIGHTLINER CL 120</t>
  </si>
  <si>
    <t>CAMION FOTON BJ1128 VI</t>
  </si>
  <si>
    <t>FURGON FOTON 1039 AO  IV</t>
  </si>
  <si>
    <t>FILTRO COMBUSTIBLE PRIMARIO FOTON BJ1039</t>
  </si>
  <si>
    <t>FILTRO ACEITE FOTON BJ 1039</t>
  </si>
  <si>
    <t>FILTRO AIRE GOBY AG971263A</t>
  </si>
  <si>
    <t>FILTRO COMB. PRIMARIO FOTON 1128 EURO 6 7705946719124</t>
  </si>
  <si>
    <t>FURGON JAC JHR IV</t>
  </si>
  <si>
    <t>CAMION FOTON 1129 IV</t>
  </si>
  <si>
    <t>FILTRO ACEITE 1010320FE010 JAC</t>
  </si>
  <si>
    <t>FILTRO COMBUSTIBLE PRIMARIO FOTON BJ1129</t>
  </si>
  <si>
    <t>FILTRO COMBUSTIBLE JAC JHR 1105010LD30J</t>
  </si>
  <si>
    <t>FILTRO AIRE GOBY AG961087R</t>
  </si>
  <si>
    <t>FILTRO AIRE GOBY AG961234R</t>
  </si>
  <si>
    <t>FILTRO ACEITE FOTON - FRR 7701023566841</t>
  </si>
  <si>
    <t>FILTRO ACEITE RENAULT</t>
  </si>
  <si>
    <t>FILTRO COMBUSTIBLE ELEMENTO RENAULT</t>
  </si>
  <si>
    <t xml:space="preserve">FILTRO ACEITE FOTON 7705946019552 </t>
  </si>
  <si>
    <t>FILTRO AIRE  RENAULT</t>
  </si>
  <si>
    <t>FILTRO COMBUSTIBLE FOTON 7705946023832</t>
  </si>
  <si>
    <t>FILTRO AIRE 6323222 FOTON</t>
  </si>
  <si>
    <t>FILTRO AIRE NPR - NKR REWAR GOBY</t>
  </si>
  <si>
    <t>FILTRO ACEITE ELEMENTO NKR III 2012</t>
  </si>
  <si>
    <t>FILTRO AIRE MOTOR FTR</t>
  </si>
  <si>
    <t>FILTRO COMBUSTIBLE FULL PRO GOBY</t>
  </si>
  <si>
    <t>FILTRO ELEMENTO SEDIMENTADOR  FTR-FRR FG941011GOBY</t>
  </si>
  <si>
    <t>FILTRO SEPARADOR COMBUSTILE R90 NKR</t>
  </si>
  <si>
    <t xml:space="preserve">FILTRO ACEITE ELEMENTO FTR. </t>
  </si>
  <si>
    <t>FILTRO AIRE MOTOR HINO M2015 GOBY</t>
  </si>
  <si>
    <t>FILTRO COMBUSTIBLE HINO 23304-EV390</t>
  </si>
  <si>
    <t>FILTRO AIRE MOTOR NHR-NKR GOBY</t>
  </si>
  <si>
    <t>FILTRO COMBUSTIBLE SECUND MOTOR HINO 23304-EV052</t>
  </si>
  <si>
    <t>FILTRO ACEITE NHR NKR CON TURB</t>
  </si>
  <si>
    <t>FILTRO ACEITE MOTOR HINO 23304-EV015</t>
  </si>
  <si>
    <t>FILTRO AIRE HINO DUTRO GOBY</t>
  </si>
  <si>
    <t>FILTRO AIRE MOTOR SUP CARRY GOBY</t>
  </si>
  <si>
    <t>FILTRO ACEITE SUPER CARRY LF 3338</t>
  </si>
  <si>
    <t>FILTRO COMBUSTIBLE S. CARRY</t>
  </si>
  <si>
    <t>FILTRO COMBUSTIBLE PPAL MOTOR HINO 23355-EV013</t>
  </si>
  <si>
    <t>FILTRO AIRE PRIM.ISX EAGLE GOBY</t>
  </si>
  <si>
    <t>FILTRO ACEITE EAGLE Y KENTWORTH</t>
  </si>
  <si>
    <t>FILTRO AIRE MOTOR PROSTAR ISX</t>
  </si>
  <si>
    <t>FILTRO AGUA KENTWORT</t>
  </si>
  <si>
    <t>FILTRO AIRE MOTOR KENWORTH GOBY</t>
  </si>
  <si>
    <t>ELEMENTO FILTRO DE COMBUSTIBLE DAF CF480</t>
  </si>
  <si>
    <t>FILTRO SEPARADOR COMBUSTIBLE DAF CF480 1433649</t>
  </si>
  <si>
    <t>FILTRO DE ACEITE CENTRÍFUGO DAF CF480 1922496</t>
  </si>
  <si>
    <t>FILTRO DE AIRE MOTOR DAF CF480 MAG961402R GOBY</t>
  </si>
  <si>
    <t>FILTRO ACEITE MOTOR DAF CF480 2234788</t>
  </si>
  <si>
    <t>TAPON DE VACIADO CARTER DAF 1982821</t>
  </si>
  <si>
    <t>FILTRO COMBUSTIBLE MACK</t>
  </si>
  <si>
    <t>FILTRO ACEITE MACK</t>
  </si>
  <si>
    <t>FILTRO ACEITE MACK 23658111</t>
  </si>
  <si>
    <t>FILTRO COMBUSTIBLE FULL PRO MAC</t>
  </si>
  <si>
    <t>FILTRO AIRE MACK ANTHEM GOBY AG871378A</t>
  </si>
  <si>
    <t>FILTRO COMBUSTIBLE EURO V FF5825NN</t>
  </si>
  <si>
    <t>FILTRO DE ACEITE FOTON EMT AST MOTOR X13 LF14004NN</t>
  </si>
  <si>
    <t>FILTRO COMBUSTIBLE FOTON EST AMT MOTOR X13 H411000000513</t>
  </si>
  <si>
    <t>ELEMENTO FILTRO AIRE PRIMARIO INTERNACIONAL LT</t>
  </si>
  <si>
    <t>FILTRO SEPARADOR COMBUSTIBLE FOTON EST AMT FS53040NN</t>
  </si>
  <si>
    <t>KIT FILTRO AIRE FOTON EST AMT H411900001225ZH</t>
  </si>
  <si>
    <t>FILTRO COMBUSTIBLE PRINCIPAL COLUMBIA</t>
  </si>
  <si>
    <t>FILTRO SEPAR.COMBU FREIGHLINER</t>
  </si>
  <si>
    <t>FILTRO ACEITE EAGLE DETROIT LF 3620</t>
  </si>
  <si>
    <t>FILTRO AGUA SB - EAGLE MOT N14</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</si>
</sst>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M/yyyy"/>
    <numFmt numFmtId="165" formatCode="m/d/yyyy h:mm:ss"/>
    <numFmt numFmtId="166" formatCode="d/m/yyyy"/>
    <numFmt numFmtId="167" formatCode="yyyy-mm-dd"/>
    <numFmt numFmtId="168" formatCode="d/M/yyyy"/>
    <numFmt numFmtId="169" formatCode="###0"/>
    <numFmt numFmtId="170" formatCode="dd/mm/yyyy"/>
    <numFmt numFmtId="171" formatCode="0.00000"/>
    <numFmt numFmtId="172" formatCode="0.000"/>
    <numFmt numFmtId="173" formatCode="d"/>
    <numFmt numFmtId="174" formatCode="* #,##0_._0_0_0_0\ &quot;COP&quot;;* \-\ #,##0_._0_0_0_0\ &quot;COP&quot;"/>
  </numFmts>
  <fonts count="32">
    <font>
      <sz val="10.0"/>
      <color rgb="FF000000"/>
      <name val="Arial"/>
      <scheme val="minor"/>
    </font>
    <font>
      <sz val="11.0"/>
      <color rgb="FF000000"/>
      <name val="Inconsolata"/>
    </font>
    <font>
      <color theme="1"/>
      <name val="Arial"/>
      <scheme val="minor"/>
    </font>
    <font>
      <b/>
      <sz val="10.0"/>
      <color rgb="FFFFFFFF"/>
      <name val="Arial"/>
      <scheme val="minor"/>
    </font>
    <font>
      <b/>
      <sz val="9.0"/>
      <color rgb="FFFFFFFF"/>
      <name val="Arial"/>
      <scheme val="minor"/>
    </font>
    <font>
      <sz val="9.0"/>
      <color rgb="FF2C2C2C"/>
      <name val="Arial"/>
      <scheme val="minor"/>
    </font>
    <font>
      <sz val="9.0"/>
      <color rgb="FF000000"/>
      <name val="&quot;Google Sans Mono&quot;"/>
    </font>
    <font>
      <b/>
      <color theme="1"/>
      <name val="Arial"/>
    </font>
    <font>
      <sz val="11.0"/>
      <color rgb="FF222222"/>
      <name val="Arial"/>
    </font>
    <font>
      <sz val="12.0"/>
      <color rgb="FF222222"/>
      <name val="Arial"/>
    </font>
    <font>
      <color theme="1"/>
      <name val="Arial"/>
    </font>
    <font>
      <sz val="11.0"/>
      <color rgb="FF000000"/>
      <name val="Calibri"/>
    </font>
    <font>
      <sz val="11.0"/>
      <color theme="1"/>
      <name val="Calibri"/>
    </font>
    <font>
      <b/>
      <color theme="1"/>
      <name val="Arial"/>
      <scheme val="minor"/>
    </font>
    <font/>
    <font>
      <sz val="12.0"/>
      <color theme="1"/>
      <name val="Arial"/>
    </font>
    <font>
      <color rgb="FF000000"/>
      <name val="Arial"/>
      <scheme val="minor"/>
    </font>
    <font>
      <b/>
      <sz val="11.0"/>
      <color rgb="FF000000"/>
      <name val="Calibri"/>
    </font>
    <font>
      <b/>
      <sz val="10.0"/>
      <color rgb="FF000000"/>
      <name val="Arial"/>
      <scheme val="minor"/>
    </font>
    <font>
      <color rgb="FFFFFFFF"/>
      <name val="Calibri"/>
    </font>
    <font>
      <b/>
      <color theme="1"/>
      <name val="Calibri"/>
    </font>
    <font>
      <color rgb="FFFFFFFF"/>
      <name val="Arial"/>
      <scheme val="minor"/>
    </font>
    <font>
      <b/>
      <sz val="11.0"/>
      <color rgb="FFFFFFFF"/>
      <name val="Arial"/>
      <scheme val="minor"/>
    </font>
    <font>
      <b/>
      <sz val="10.0"/>
      <color rgb="FFFFFFFF"/>
      <name val="Arial"/>
    </font>
    <font>
      <b/>
      <sz val="9.0"/>
      <color rgb="FF000000"/>
      <name val="Arial"/>
      <scheme val="minor"/>
    </font>
    <font>
      <b/>
      <sz val="11.0"/>
      <color theme="1"/>
      <name val="Calibri"/>
    </font>
    <font>
      <b/>
      <sz val="11.0"/>
      <color theme="1"/>
      <name val="Arial"/>
    </font>
    <font>
      <sz val="11.0"/>
      <color theme="1"/>
      <name val="Arial"/>
    </font>
    <font>
      <sz val="11.0"/>
      <color rgb="FF000000"/>
      <name val="&quot;Segoe UI&quot;"/>
    </font>
    <font>
      <b/>
      <sz val="12.0"/>
      <color rgb="FF0F172A"/>
      <name val="&quot;Segoe UI&quot;"/>
    </font>
    <font>
      <sz val="11.0"/>
      <color rgb="FF000000"/>
      <name val="Arial"/>
    </font>
    <font>
      <color rgb="FF000000"/>
      <name val="&quot;Segoe UI&quot;"/>
    </font>
  </fonts>
  <fills count="32">
    <fill>
      <patternFill patternType="none"/>
    </fill>
    <fill>
      <patternFill patternType="lightGray"/>
    </fill>
    <fill>
      <patternFill patternType="solid">
        <fgColor rgb="FFFFFFFF"/>
        <bgColor rgb="FFFFFFFF"/>
      </patternFill>
    </fill>
    <fill>
      <patternFill patternType="solid">
        <fgColor rgb="FF1B2A4A"/>
        <bgColor rgb="FF1B2A4A"/>
      </patternFill>
    </fill>
    <fill>
      <patternFill patternType="solid">
        <fgColor rgb="FF2E4A7A"/>
        <bgColor rgb="FF2E4A7A"/>
      </patternFill>
    </fill>
    <fill>
      <patternFill patternType="solid">
        <fgColor rgb="FFF5F7FA"/>
        <bgColor rgb="FFF5F7FA"/>
      </patternFill>
    </fill>
    <fill>
      <patternFill patternType="solid">
        <fgColor rgb="FFFF0000"/>
        <bgColor rgb="FFFF0000"/>
      </patternFill>
    </fill>
    <fill>
      <patternFill patternType="solid">
        <fgColor rgb="FF46BDC6"/>
        <bgColor rgb="FF46BDC6"/>
      </patternFill>
    </fill>
    <fill>
      <patternFill patternType="solid">
        <fgColor rgb="FFF6F8F9"/>
        <bgColor rgb="FFF6F8F9"/>
      </patternFill>
    </fill>
    <fill>
      <patternFill patternType="solid">
        <fgColor theme="9"/>
        <bgColor theme="9"/>
      </patternFill>
    </fill>
    <fill>
      <patternFill patternType="solid">
        <fgColor rgb="FF34A853"/>
        <bgColor rgb="FF34A853"/>
      </patternFill>
    </fill>
    <fill>
      <patternFill patternType="solid">
        <fgColor theme="5"/>
        <bgColor theme="5"/>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CFE2F3"/>
        <bgColor rgb="FFCFE2F3"/>
      </patternFill>
    </fill>
    <fill>
      <patternFill patternType="solid">
        <fgColor theme="7"/>
        <bgColor theme="7"/>
      </patternFill>
    </fill>
    <fill>
      <patternFill patternType="solid">
        <fgColor rgb="FF4A86E8"/>
        <bgColor rgb="FF4A86E8"/>
      </patternFill>
    </fill>
    <fill>
      <patternFill patternType="solid">
        <fgColor rgb="FFC9DAF8"/>
        <bgColor rgb="FFC9DAF8"/>
      </patternFill>
    </fill>
    <fill>
      <patternFill patternType="solid">
        <fgColor rgb="FFD9D9D9"/>
        <bgColor rgb="FFD9D9D9"/>
      </patternFill>
    </fill>
    <fill>
      <patternFill patternType="solid">
        <fgColor rgb="FFFFE599"/>
        <bgColor rgb="FFFFE599"/>
      </patternFill>
    </fill>
    <fill>
      <patternFill patternType="solid">
        <fgColor rgb="FFFF6D01"/>
        <bgColor rgb="FFFF6D01"/>
      </patternFill>
    </fill>
    <fill>
      <patternFill patternType="solid">
        <fgColor theme="8"/>
        <bgColor theme="8"/>
      </patternFill>
    </fill>
    <fill>
      <patternFill patternType="solid">
        <fgColor rgb="FF00FF00"/>
        <bgColor rgb="FF00FF00"/>
      </patternFill>
    </fill>
    <fill>
      <patternFill patternType="solid">
        <fgColor rgb="FFFFD966"/>
        <bgColor rgb="FFFFD966"/>
      </patternFill>
    </fill>
    <fill>
      <patternFill patternType="solid">
        <fgColor rgb="FF999999"/>
        <bgColor rgb="FF999999"/>
      </patternFill>
    </fill>
    <fill>
      <patternFill patternType="solid">
        <fgColor rgb="FF6AA84F"/>
        <bgColor rgb="FF6AA84F"/>
      </patternFill>
    </fill>
    <fill>
      <patternFill patternType="solid">
        <fgColor rgb="FF3C78D8"/>
        <bgColor rgb="FF3C78D8"/>
      </patternFill>
    </fill>
    <fill>
      <patternFill patternType="solid">
        <fgColor rgb="FFC27BA0"/>
        <bgColor rgb="FFC27BA0"/>
      </patternFill>
    </fill>
    <fill>
      <patternFill patternType="solid">
        <fgColor rgb="FF073763"/>
        <bgColor rgb="FF073763"/>
      </patternFill>
    </fill>
    <fill>
      <patternFill patternType="solid">
        <fgColor rgb="FFF7F7F7"/>
        <bgColor rgb="FFF7F7F7"/>
      </patternFill>
    </fill>
    <fill>
      <patternFill patternType="solid">
        <fgColor rgb="FFF8FAFC"/>
        <bgColor rgb="FFF8FAFC"/>
      </patternFill>
    </fill>
  </fills>
  <borders count="55">
    <border/>
    <border>
      <left style="thin">
        <color rgb="FFD0D7E3"/>
      </left>
      <right style="thin">
        <color rgb="FFD0D7E3"/>
      </right>
      <top style="thin">
        <color rgb="FFD0D7E3"/>
      </top>
      <bottom style="thin">
        <color rgb="FFD0D7E3"/>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medium">
        <color rgb="FF000000"/>
      </left>
      <right style="thin">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rder>
    <border>
      <left style="medium">
        <color rgb="FF000000"/>
      </left>
      <right style="medium">
        <color rgb="FF000000"/>
      </right>
      <top style="medium">
        <color rgb="FF000000"/>
      </top>
      <bottom style="medium">
        <color rgb="FF000000"/>
      </bottom>
    </border>
    <border>
      <left style="thin">
        <color rgb="FFD0D7E3"/>
      </left>
      <right style="thin">
        <color rgb="FFD0D7E3"/>
      </right>
      <top style="thin">
        <color rgb="FFD0D7E3"/>
      </top>
    </border>
    <border>
      <right style="thin">
        <color rgb="FFD0D7E3"/>
      </right>
      <top style="thin">
        <color rgb="FFD0D7E3"/>
      </top>
    </border>
    <border>
      <left style="medium">
        <color rgb="FF000000"/>
      </left>
      <top style="medium">
        <color rgb="FF000000"/>
      </top>
      <bottom style="medium">
        <color rgb="FF000000"/>
      </bottom>
    </border>
    <border>
      <right style="medium">
        <color rgb="FF000000"/>
      </right>
      <bottom style="medium">
        <color rgb="FF000000"/>
      </bottom>
    </border>
    <border>
      <right style="thin">
        <color rgb="FFD0D7E3"/>
      </right>
      <bottom style="thin">
        <color rgb="FFD0D7E3"/>
      </bottom>
    </border>
    <border>
      <left style="thin">
        <color rgb="FFD0D7E3"/>
      </left>
      <right style="thin">
        <color rgb="FFD0D7E3"/>
      </right>
      <bottom style="thin">
        <color rgb="FFD0D7E3"/>
      </bottom>
    </border>
    <border>
      <left style="thin">
        <color rgb="FFD0D7E3"/>
      </left>
      <bottom style="thin">
        <color rgb="FFD0D7E3"/>
      </bottom>
    </border>
    <border>
      <right style="thin">
        <color rgb="FFD0D7E3"/>
      </right>
      <top style="thin">
        <color rgb="FFD0D7E3"/>
      </top>
      <bottom style="thin">
        <color rgb="FFD0D7E3"/>
      </bottom>
    </border>
    <border>
      <left style="thin">
        <color rgb="FFD0D7E3"/>
      </left>
      <top style="thin">
        <color rgb="FFD0D7E3"/>
      </top>
      <bottom style="thin">
        <color rgb="FFD0D7E3"/>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top/>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rder>
    <border>
      <bottom style="thin">
        <color rgb="FFF1F5F9"/>
      </bottom>
    </border>
  </borders>
  <cellStyleXfs count="1">
    <xf borderId="0" fillId="0" fontId="0" numFmtId="0" applyAlignment="1" applyFont="1"/>
  </cellStyleXfs>
  <cellXfs count="410">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0" xfId="0" applyAlignment="1" applyFont="1">
      <alignment readingOrder="0"/>
    </xf>
    <xf borderId="0" fillId="0" fontId="2" numFmtId="1" xfId="0" applyAlignment="1" applyFont="1" applyNumberFormat="1">
      <alignment readingOrder="0"/>
    </xf>
    <xf borderId="0" fillId="0" fontId="2" numFmtId="0" xfId="0" applyFont="1"/>
    <xf borderId="0" fillId="0" fontId="2" numFmtId="164" xfId="0" applyFont="1" applyNumberFormat="1"/>
    <xf borderId="0" fillId="0" fontId="2" numFmtId="0" xfId="0" applyAlignment="1" applyFont="1">
      <alignment readingOrder="0"/>
    </xf>
    <xf borderId="0" fillId="0" fontId="2" numFmtId="0" xfId="0" applyFont="1"/>
    <xf borderId="0" fillId="0" fontId="2" numFmtId="164" xfId="0" applyFont="1" applyNumberFormat="1"/>
    <xf borderId="0" fillId="0" fontId="2" numFmtId="165" xfId="0" applyAlignment="1" applyFont="1" applyNumberFormat="1">
      <alignment readingOrder="0"/>
    </xf>
    <xf borderId="0" fillId="0" fontId="2" numFmtId="1" xfId="0" applyFont="1" applyNumberFormat="1"/>
    <xf borderId="0" fillId="0" fontId="2" numFmtId="164" xfId="0" applyAlignment="1" applyFont="1" applyNumberFormat="1">
      <alignment readingOrder="0"/>
    </xf>
    <xf borderId="0" fillId="0" fontId="2" numFmtId="0" xfId="0" applyAlignment="1" applyFont="1">
      <alignment readingOrder="0"/>
    </xf>
    <xf borderId="1" fillId="3" fontId="3" numFmtId="0" xfId="0" applyAlignment="1" applyBorder="1" applyFill="1" applyFont="1">
      <alignment horizontal="center" vertical="center"/>
    </xf>
    <xf borderId="1" fillId="3" fontId="3" numFmtId="165" xfId="0" applyAlignment="1" applyBorder="1" applyFont="1" applyNumberFormat="1">
      <alignment horizontal="center" readingOrder="0" vertical="center"/>
    </xf>
    <xf borderId="1" fillId="3" fontId="3" numFmtId="1" xfId="0" applyAlignment="1" applyBorder="1" applyFont="1" applyNumberFormat="1">
      <alignment horizontal="center" vertical="center"/>
    </xf>
    <xf borderId="1" fillId="3" fontId="3" numFmtId="0" xfId="0" applyAlignment="1" applyBorder="1" applyFont="1">
      <alignment horizontal="center" readingOrder="0" vertical="center"/>
    </xf>
    <xf borderId="1" fillId="3" fontId="3" numFmtId="164" xfId="0" applyAlignment="1" applyBorder="1" applyFont="1" applyNumberFormat="1">
      <alignment horizontal="center" readingOrder="0" vertical="center"/>
    </xf>
    <xf borderId="1" fillId="3" fontId="3" numFmtId="0" xfId="0" applyAlignment="1" applyBorder="1" applyFont="1">
      <alignment horizontal="center" readingOrder="0" vertical="center"/>
    </xf>
    <xf borderId="1" fillId="3" fontId="3" numFmtId="164" xfId="0" applyAlignment="1" applyBorder="1" applyFont="1" applyNumberFormat="1">
      <alignment horizontal="center" vertical="center"/>
    </xf>
    <xf borderId="1" fillId="4" fontId="4" numFmtId="0" xfId="0" applyAlignment="1" applyBorder="1" applyFill="1" applyFont="1">
      <alignment horizontal="center" vertical="center"/>
    </xf>
    <xf borderId="1" fillId="4" fontId="4" numFmtId="165" xfId="0" applyAlignment="1" applyBorder="1" applyFont="1" applyNumberFormat="1">
      <alignment horizontal="center" readingOrder="0" vertical="center"/>
    </xf>
    <xf borderId="1" fillId="4" fontId="4" numFmtId="1" xfId="0" applyAlignment="1" applyBorder="1" applyFont="1" applyNumberFormat="1">
      <alignment horizontal="center" vertical="center"/>
    </xf>
    <xf borderId="1" fillId="4" fontId="4" numFmtId="0" xfId="0" applyAlignment="1" applyBorder="1" applyFont="1">
      <alignment horizontal="center" readingOrder="0" vertical="center"/>
    </xf>
    <xf borderId="1" fillId="4" fontId="4" numFmtId="164" xfId="0" applyAlignment="1" applyBorder="1" applyFont="1" applyNumberFormat="1">
      <alignment horizontal="center" readingOrder="0" vertical="center"/>
    </xf>
    <xf borderId="1" fillId="4" fontId="4" numFmtId="0" xfId="0" applyAlignment="1" applyBorder="1" applyFont="1">
      <alignment horizontal="center" readingOrder="0" vertical="center"/>
    </xf>
    <xf borderId="1" fillId="4" fontId="4" numFmtId="164" xfId="0" applyAlignment="1" applyBorder="1" applyFont="1" applyNumberFormat="1">
      <alignment horizontal="center" vertical="center"/>
    </xf>
    <xf borderId="1" fillId="2" fontId="5" numFmtId="0" xfId="0" applyAlignment="1" applyBorder="1" applyFont="1">
      <alignment vertical="center"/>
    </xf>
    <xf borderId="1" fillId="2" fontId="5" numFmtId="165" xfId="0" applyAlignment="1" applyBorder="1" applyFont="1" applyNumberFormat="1">
      <alignment readingOrder="0" vertical="center"/>
    </xf>
    <xf borderId="1" fillId="2" fontId="5" numFmtId="1" xfId="0" applyAlignment="1" applyBorder="1" applyFont="1" applyNumberFormat="1">
      <alignment vertical="center"/>
    </xf>
    <xf borderId="1" fillId="2" fontId="5" numFmtId="0" xfId="0" applyAlignment="1" applyBorder="1" applyFont="1">
      <alignment readingOrder="0" vertical="center"/>
    </xf>
    <xf borderId="1" fillId="2" fontId="5" numFmtId="164" xfId="0" applyAlignment="1" applyBorder="1" applyFont="1" applyNumberFormat="1">
      <alignment readingOrder="0" vertical="center"/>
    </xf>
    <xf borderId="1" fillId="2" fontId="5" numFmtId="0" xfId="0" applyAlignment="1" applyBorder="1" applyFont="1">
      <alignment readingOrder="0" vertical="center"/>
    </xf>
    <xf borderId="1" fillId="2" fontId="5" numFmtId="164" xfId="0" applyAlignment="1" applyBorder="1" applyFont="1" applyNumberFormat="1">
      <alignment vertical="center"/>
    </xf>
    <xf borderId="1" fillId="5" fontId="5" numFmtId="0" xfId="0" applyAlignment="1" applyBorder="1" applyFill="1" applyFont="1">
      <alignment vertical="center"/>
    </xf>
    <xf borderId="1" fillId="5" fontId="5" numFmtId="165" xfId="0" applyAlignment="1" applyBorder="1" applyFont="1" applyNumberFormat="1">
      <alignment readingOrder="0" vertical="center"/>
    </xf>
    <xf borderId="1" fillId="5" fontId="5" numFmtId="1" xfId="0" applyAlignment="1" applyBorder="1" applyFont="1" applyNumberFormat="1">
      <alignment vertical="center"/>
    </xf>
    <xf borderId="1" fillId="5" fontId="5" numFmtId="0" xfId="0" applyAlignment="1" applyBorder="1" applyFont="1">
      <alignment readingOrder="0" vertical="center"/>
    </xf>
    <xf borderId="1" fillId="5" fontId="5" numFmtId="164" xfId="0" applyAlignment="1" applyBorder="1" applyFont="1" applyNumberFormat="1">
      <alignment readingOrder="0" vertical="center"/>
    </xf>
    <xf borderId="1" fillId="5" fontId="5" numFmtId="0" xfId="0" applyAlignment="1" applyBorder="1" applyFont="1">
      <alignment readingOrder="0" vertical="center"/>
    </xf>
    <xf borderId="1" fillId="5" fontId="5" numFmtId="164" xfId="0" applyAlignment="1" applyBorder="1" applyFont="1" applyNumberFormat="1">
      <alignment vertical="center"/>
    </xf>
    <xf borderId="1" fillId="2" fontId="5" numFmtId="165" xfId="0" applyAlignment="1" applyBorder="1" applyFont="1" applyNumberFormat="1">
      <alignment vertical="center"/>
    </xf>
    <xf borderId="1" fillId="5" fontId="5" numFmtId="165" xfId="0" applyAlignment="1" applyBorder="1" applyFont="1" applyNumberFormat="1">
      <alignment vertical="center"/>
    </xf>
    <xf borderId="1" fillId="2" fontId="5" numFmtId="166" xfId="0" applyAlignment="1" applyBorder="1" applyFont="1" applyNumberFormat="1">
      <alignment readingOrder="0" vertical="center"/>
    </xf>
    <xf borderId="0" fillId="2" fontId="6" numFmtId="0" xfId="0" applyFont="1"/>
    <xf borderId="2" fillId="0" fontId="7" numFmtId="0" xfId="0" applyAlignment="1" applyBorder="1" applyFont="1">
      <alignment horizontal="center" vertical="bottom"/>
    </xf>
    <xf borderId="2" fillId="2" fontId="7" numFmtId="0" xfId="0" applyAlignment="1" applyBorder="1" applyFont="1">
      <alignment horizontal="center" vertical="bottom"/>
    </xf>
    <xf borderId="0" fillId="2" fontId="8" numFmtId="0" xfId="0" applyAlignment="1" applyFont="1">
      <alignment horizontal="center" readingOrder="0" vertical="bottom"/>
    </xf>
    <xf borderId="0" fillId="2" fontId="9" numFmtId="0" xfId="0" applyAlignment="1" applyFont="1">
      <alignment readingOrder="0" vertical="bottom"/>
    </xf>
    <xf borderId="0" fillId="2" fontId="8" numFmtId="167" xfId="0" applyAlignment="1" applyFont="1" applyNumberFormat="1">
      <alignment horizontal="center" readingOrder="0" vertical="bottom"/>
    </xf>
    <xf borderId="2" fillId="0" fontId="10" numFmtId="0" xfId="0" applyAlignment="1" applyBorder="1" applyFont="1">
      <alignment horizontal="center" vertical="bottom"/>
    </xf>
    <xf borderId="2" fillId="2" fontId="10" numFmtId="0" xfId="0" applyAlignment="1" applyBorder="1" applyFont="1">
      <alignment horizontal="center" vertical="bottom"/>
    </xf>
    <xf borderId="2" fillId="0" fontId="10" numFmtId="164" xfId="0" applyAlignment="1" applyBorder="1" applyFont="1" applyNumberFormat="1">
      <alignment horizontal="center" vertical="bottom"/>
    </xf>
    <xf borderId="3" fillId="0" fontId="10" numFmtId="0" xfId="0" applyAlignment="1" applyBorder="1" applyFont="1">
      <alignment horizontal="center" vertical="bottom"/>
    </xf>
    <xf borderId="4" fillId="0" fontId="10" numFmtId="0" xfId="0" applyAlignment="1" applyBorder="1" applyFont="1">
      <alignment horizontal="center" vertical="bottom"/>
    </xf>
    <xf borderId="0" fillId="0" fontId="10" numFmtId="0" xfId="0" applyAlignment="1" applyFont="1">
      <alignment horizontal="center" vertical="bottom"/>
    </xf>
    <xf borderId="2" fillId="2" fontId="10" numFmtId="164" xfId="0" applyAlignment="1" applyBorder="1" applyFont="1" applyNumberFormat="1">
      <alignment horizontal="center" vertical="bottom"/>
    </xf>
    <xf borderId="3" fillId="2" fontId="10" numFmtId="0" xfId="0" applyAlignment="1" applyBorder="1" applyFont="1">
      <alignment horizontal="center" vertical="bottom"/>
    </xf>
    <xf borderId="2" fillId="6" fontId="10" numFmtId="0" xfId="0" applyAlignment="1" applyBorder="1" applyFill="1" applyFont="1">
      <alignment horizontal="center" vertical="bottom"/>
    </xf>
    <xf borderId="2" fillId="6" fontId="10" numFmtId="164" xfId="0" applyAlignment="1" applyBorder="1" applyFont="1" applyNumberFormat="1">
      <alignment horizontal="center" vertical="bottom"/>
    </xf>
    <xf borderId="3" fillId="6" fontId="10" numFmtId="0" xfId="0" applyAlignment="1" applyBorder="1" applyFont="1">
      <alignment horizontal="center" vertical="bottom"/>
    </xf>
    <xf borderId="2" fillId="0" fontId="10" numFmtId="164" xfId="0" applyAlignment="1" applyBorder="1" applyFont="1" applyNumberFormat="1">
      <alignment horizontal="center" readingOrder="0" vertical="bottom"/>
    </xf>
    <xf borderId="0" fillId="0" fontId="10" numFmtId="20" xfId="0" applyAlignment="1" applyFont="1" applyNumberFormat="1">
      <alignment horizontal="center" vertical="bottom"/>
    </xf>
    <xf borderId="2" fillId="0" fontId="10" numFmtId="0" xfId="0" applyAlignment="1" applyBorder="1" applyFont="1">
      <alignment horizontal="center" vertical="bottom"/>
    </xf>
    <xf borderId="2" fillId="7" fontId="10" numFmtId="0" xfId="0" applyAlignment="1" applyBorder="1" applyFill="1" applyFont="1">
      <alignment horizontal="center" vertical="bottom"/>
    </xf>
    <xf borderId="2" fillId="7" fontId="10" numFmtId="164" xfId="0" applyAlignment="1" applyBorder="1" applyFont="1" applyNumberFormat="1">
      <alignment horizontal="center" vertical="bottom"/>
    </xf>
    <xf borderId="3" fillId="7" fontId="10" numFmtId="0" xfId="0" applyAlignment="1" applyBorder="1" applyFont="1">
      <alignment horizontal="center" vertical="bottom"/>
    </xf>
    <xf borderId="2" fillId="0" fontId="10" numFmtId="0" xfId="0" applyAlignment="1" applyBorder="1" applyFont="1">
      <alignment horizontal="center" readingOrder="0" vertical="bottom"/>
    </xf>
    <xf borderId="2" fillId="2" fontId="10" numFmtId="0" xfId="0" applyAlignment="1" applyBorder="1" applyFont="1">
      <alignment horizontal="center" readingOrder="0" vertical="bottom"/>
    </xf>
    <xf borderId="2" fillId="8" fontId="10" numFmtId="0" xfId="0" applyAlignment="1" applyBorder="1" applyFill="1" applyFont="1">
      <alignment horizontal="center" vertical="bottom"/>
    </xf>
    <xf borderId="2" fillId="8" fontId="10" numFmtId="164" xfId="0" applyAlignment="1" applyBorder="1" applyFont="1" applyNumberFormat="1">
      <alignment horizontal="center" vertical="bottom"/>
    </xf>
    <xf borderId="2" fillId="9" fontId="10" numFmtId="0" xfId="0" applyAlignment="1" applyBorder="1" applyFill="1" applyFont="1">
      <alignment horizontal="center" vertical="bottom"/>
    </xf>
    <xf borderId="2" fillId="9" fontId="10" numFmtId="164" xfId="0" applyAlignment="1" applyBorder="1" applyFont="1" applyNumberFormat="1">
      <alignment horizontal="center" vertical="bottom"/>
    </xf>
    <xf borderId="2" fillId="10" fontId="10" numFmtId="0" xfId="0" applyAlignment="1" applyBorder="1" applyFill="1" applyFont="1">
      <alignment horizontal="center" vertical="bottom"/>
    </xf>
    <xf borderId="2" fillId="11" fontId="10" numFmtId="0" xfId="0" applyAlignment="1" applyBorder="1" applyFill="1" applyFont="1">
      <alignment horizontal="center" vertical="bottom"/>
    </xf>
    <xf borderId="2" fillId="11" fontId="10" numFmtId="0" xfId="0" applyAlignment="1" applyBorder="1" applyFont="1">
      <alignment horizontal="center" readingOrder="0" vertical="bottom"/>
    </xf>
    <xf borderId="2" fillId="2" fontId="8" numFmtId="0" xfId="0" applyAlignment="1" applyBorder="1" applyFont="1">
      <alignment horizontal="center" readingOrder="0" vertical="bottom"/>
    </xf>
    <xf borderId="2" fillId="0" fontId="2" numFmtId="0" xfId="0" applyAlignment="1" applyBorder="1" applyFont="1">
      <alignment horizontal="center"/>
    </xf>
    <xf borderId="0" fillId="2" fontId="10" numFmtId="0" xfId="0" applyAlignment="1" applyFont="1">
      <alignment vertical="bottom"/>
    </xf>
    <xf borderId="0" fillId="0" fontId="10" numFmtId="0" xfId="0" applyAlignment="1" applyFont="1">
      <alignment vertical="bottom"/>
    </xf>
    <xf borderId="0" fillId="0" fontId="10" numFmtId="3" xfId="0" applyAlignment="1" applyFont="1" applyNumberFormat="1">
      <alignment vertical="bottom"/>
    </xf>
    <xf borderId="0" fillId="0" fontId="10" numFmtId="0" xfId="0" applyAlignment="1" applyFont="1">
      <alignment vertical="bottom"/>
    </xf>
    <xf borderId="0" fillId="0" fontId="10" numFmtId="168" xfId="0" applyAlignment="1" applyFont="1" applyNumberFormat="1">
      <alignment vertical="bottom"/>
    </xf>
    <xf borderId="0" fillId="0" fontId="10" numFmtId="3" xfId="0" applyAlignment="1" applyFont="1" applyNumberFormat="1">
      <alignment horizontal="right" vertical="bottom"/>
    </xf>
    <xf borderId="0" fillId="0" fontId="10" numFmtId="168" xfId="0" applyAlignment="1" applyFont="1" applyNumberFormat="1">
      <alignment horizontal="right" vertical="bottom"/>
    </xf>
    <xf borderId="0" fillId="0" fontId="10" numFmtId="169" xfId="0" applyAlignment="1" applyFont="1" applyNumberFormat="1">
      <alignment horizontal="right" vertical="bottom"/>
    </xf>
    <xf borderId="0" fillId="0" fontId="10" numFmtId="1" xfId="0" applyAlignment="1" applyFont="1" applyNumberFormat="1">
      <alignment vertical="bottom"/>
    </xf>
    <xf borderId="0" fillId="0" fontId="10" numFmtId="4" xfId="0" applyAlignment="1" applyFont="1" applyNumberFormat="1">
      <alignment vertical="bottom"/>
    </xf>
    <xf borderId="0" fillId="0" fontId="10" numFmtId="169" xfId="0" applyAlignment="1" applyFont="1" applyNumberFormat="1">
      <alignment vertical="bottom"/>
    </xf>
    <xf borderId="2" fillId="12" fontId="11" numFmtId="0" xfId="0" applyAlignment="1" applyBorder="1" applyFill="1" applyFont="1">
      <alignment horizontal="center" readingOrder="0" shrinkToFit="0" vertical="bottom" wrapText="0"/>
    </xf>
    <xf borderId="2" fillId="12" fontId="11" numFmtId="164" xfId="0" applyAlignment="1" applyBorder="1" applyFont="1" applyNumberFormat="1">
      <alignment horizontal="center" readingOrder="0" shrinkToFit="0" vertical="bottom" wrapText="0"/>
    </xf>
    <xf borderId="2" fillId="12" fontId="11" numFmtId="3" xfId="0" applyAlignment="1" applyBorder="1" applyFont="1" applyNumberFormat="1">
      <alignment horizontal="center" readingOrder="0" shrinkToFit="0" vertical="bottom" wrapText="0"/>
    </xf>
    <xf borderId="2" fillId="0" fontId="11" numFmtId="0" xfId="0" applyAlignment="1" applyBorder="1" applyFont="1">
      <alignment horizontal="center" readingOrder="0" shrinkToFit="0" vertical="bottom" wrapText="0"/>
    </xf>
    <xf borderId="0" fillId="0" fontId="11" numFmtId="0" xfId="0" applyAlignment="1" applyFont="1">
      <alignment horizontal="center" readingOrder="0" shrinkToFit="0" vertical="bottom" wrapText="0"/>
    </xf>
    <xf borderId="2" fillId="12" fontId="12" numFmtId="0" xfId="0" applyAlignment="1" applyBorder="1" applyFont="1">
      <alignment horizontal="center" vertical="bottom"/>
    </xf>
    <xf borderId="2" fillId="12" fontId="12" numFmtId="164" xfId="0" applyAlignment="1" applyBorder="1" applyFont="1" applyNumberFormat="1">
      <alignment horizontal="center" vertical="bottom"/>
    </xf>
    <xf borderId="2" fillId="12" fontId="11" numFmtId="170" xfId="0" applyAlignment="1" applyBorder="1" applyFont="1" applyNumberFormat="1">
      <alignment horizontal="center" readingOrder="0" shrinkToFit="0" vertical="bottom" wrapText="0"/>
    </xf>
    <xf borderId="2" fillId="13" fontId="12" numFmtId="0" xfId="0" applyAlignment="1" applyBorder="1" applyFill="1" applyFont="1">
      <alignment horizontal="center" readingOrder="0" vertical="bottom"/>
    </xf>
    <xf borderId="0" fillId="0" fontId="12" numFmtId="0" xfId="0" applyAlignment="1" applyFont="1">
      <alignment vertical="bottom"/>
    </xf>
    <xf borderId="0" fillId="12" fontId="2" numFmtId="0" xfId="0" applyAlignment="1" applyFont="1">
      <alignment horizontal="center" readingOrder="0"/>
    </xf>
    <xf borderId="0" fillId="0" fontId="2" numFmtId="0" xfId="0" applyAlignment="1" applyFont="1">
      <alignment horizontal="center" readingOrder="0"/>
    </xf>
    <xf borderId="0" fillId="14" fontId="2" numFmtId="0" xfId="0" applyAlignment="1" applyFill="1" applyFont="1">
      <alignment horizontal="center" readingOrder="0"/>
    </xf>
    <xf borderId="0" fillId="0" fontId="2" numFmtId="0" xfId="0" applyAlignment="1" applyFont="1">
      <alignment horizontal="center"/>
    </xf>
    <xf borderId="0" fillId="2" fontId="2" numFmtId="0" xfId="0" applyAlignment="1" applyFont="1">
      <alignment horizontal="center"/>
    </xf>
    <xf borderId="5" fillId="12" fontId="12" numFmtId="0" xfId="0" applyAlignment="1" applyBorder="1" applyFont="1">
      <alignment horizontal="center" vertical="bottom"/>
    </xf>
    <xf borderId="0" fillId="12" fontId="2" numFmtId="164" xfId="0" applyAlignment="1" applyFont="1" applyNumberFormat="1">
      <alignment horizontal="center"/>
    </xf>
    <xf borderId="0" fillId="12" fontId="2" numFmtId="0" xfId="0" applyAlignment="1" applyFont="1">
      <alignment horizontal="center"/>
    </xf>
    <xf borderId="0" fillId="12" fontId="2" numFmtId="3" xfId="0" applyAlignment="1" applyFont="1" applyNumberFormat="1">
      <alignment horizontal="center"/>
    </xf>
    <xf borderId="0" fillId="12" fontId="12" numFmtId="0" xfId="0" applyAlignment="1" applyFont="1">
      <alignment horizontal="center" vertical="bottom"/>
    </xf>
    <xf borderId="0" fillId="0" fontId="10" numFmtId="1" xfId="0" applyAlignment="1" applyFont="1" applyNumberFormat="1">
      <alignment horizontal="right" vertical="bottom"/>
    </xf>
    <xf borderId="0" fillId="0" fontId="13" numFmtId="0" xfId="0" applyAlignment="1" applyFont="1">
      <alignment horizontal="center" readingOrder="0"/>
    </xf>
    <xf borderId="3" fillId="9" fontId="13" numFmtId="0" xfId="0" applyAlignment="1" applyBorder="1" applyFont="1">
      <alignment horizontal="center" readingOrder="0"/>
    </xf>
    <xf borderId="6" fillId="0" fontId="14" numFmtId="0" xfId="0" applyBorder="1" applyFont="1"/>
    <xf borderId="7" fillId="0" fontId="14" numFmtId="0" xfId="0" applyBorder="1" applyFont="1"/>
    <xf borderId="3" fillId="15" fontId="13" numFmtId="0" xfId="0" applyAlignment="1" applyBorder="1" applyFill="1" applyFont="1">
      <alignment horizontal="center" readingOrder="0"/>
    </xf>
    <xf borderId="0" fillId="12" fontId="10" numFmtId="0" xfId="0" applyAlignment="1" applyFont="1">
      <alignment vertical="bottom"/>
    </xf>
    <xf borderId="0" fillId="12" fontId="13" numFmtId="0" xfId="0" applyAlignment="1" applyFont="1">
      <alignment horizontal="center" readingOrder="0"/>
    </xf>
    <xf borderId="3" fillId="16" fontId="13" numFmtId="0" xfId="0" applyAlignment="1" applyBorder="1" applyFill="1" applyFont="1">
      <alignment horizontal="center" readingOrder="0"/>
    </xf>
    <xf borderId="3" fillId="17" fontId="13" numFmtId="0" xfId="0" applyAlignment="1" applyBorder="1" applyFill="1" applyFont="1">
      <alignment horizontal="center" readingOrder="0"/>
    </xf>
    <xf borderId="0" fillId="0" fontId="2" numFmtId="0" xfId="0" applyAlignment="1" applyFont="1">
      <alignment horizontal="left" readingOrder="0"/>
    </xf>
    <xf borderId="2" fillId="0" fontId="13"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 fillId="0" fontId="13" numFmtId="0" xfId="0" applyAlignment="1" applyBorder="1" applyFont="1">
      <alignment horizontal="center" readingOrder="0" vertical="center"/>
    </xf>
    <xf borderId="3" fillId="15" fontId="13" numFmtId="0" xfId="0" applyAlignment="1" applyBorder="1" applyFont="1">
      <alignment horizontal="center" readingOrder="0" vertical="center"/>
    </xf>
    <xf borderId="0" fillId="12" fontId="15" numFmtId="0" xfId="0" applyAlignment="1" applyFont="1">
      <alignment readingOrder="0" vertical="bottom"/>
    </xf>
    <xf borderId="2" fillId="0" fontId="13" numFmtId="0" xfId="0" applyAlignment="1" applyBorder="1" applyFont="1">
      <alignment horizontal="center" readingOrder="0"/>
    </xf>
    <xf borderId="2" fillId="2" fontId="6" numFmtId="0" xfId="0" applyBorder="1" applyFont="1"/>
    <xf borderId="2" fillId="0" fontId="2" numFmtId="0" xfId="0" applyBorder="1" applyFont="1"/>
    <xf borderId="2" fillId="2" fontId="2" numFmtId="0" xfId="0" applyAlignment="1" applyBorder="1" applyFont="1">
      <alignment horizontal="center"/>
    </xf>
    <xf borderId="2" fillId="2" fontId="2" numFmtId="164" xfId="0" applyAlignment="1" applyBorder="1" applyFont="1" applyNumberFormat="1">
      <alignment horizontal="center"/>
    </xf>
    <xf borderId="2" fillId="12" fontId="2" numFmtId="3" xfId="0" applyAlignment="1" applyBorder="1" applyFont="1" applyNumberFormat="1">
      <alignment horizontal="center" readingOrder="0"/>
    </xf>
    <xf borderId="2" fillId="2" fontId="2" numFmtId="0" xfId="0" applyAlignment="1" applyBorder="1" applyFont="1">
      <alignment horizontal="center" readingOrder="0"/>
    </xf>
    <xf borderId="0" fillId="2" fontId="2" numFmtId="0" xfId="0" applyAlignment="1" applyFont="1">
      <alignment horizontal="left" readingOrder="0"/>
    </xf>
    <xf borderId="2" fillId="0" fontId="2" numFmtId="0" xfId="0" applyAlignment="1" applyBorder="1" applyFont="1">
      <alignment horizontal="center" readingOrder="0"/>
    </xf>
    <xf borderId="2" fillId="2" fontId="16" numFmtId="0" xfId="0" applyAlignment="1" applyBorder="1" applyFont="1">
      <alignment horizontal="center"/>
    </xf>
    <xf borderId="2" fillId="0" fontId="2" numFmtId="4" xfId="0" applyAlignment="1" applyBorder="1" applyFont="1" applyNumberFormat="1">
      <alignment horizontal="center"/>
    </xf>
    <xf borderId="8" fillId="12" fontId="2" numFmtId="0" xfId="0" applyAlignment="1" applyBorder="1" applyFont="1">
      <alignment horizontal="center" readingOrder="0"/>
    </xf>
    <xf borderId="7" fillId="12" fontId="2" numFmtId="0" xfId="0" applyAlignment="1" applyBorder="1" applyFont="1">
      <alignment horizontal="center" readingOrder="0"/>
    </xf>
    <xf borderId="2" fillId="0" fontId="2" numFmtId="4" xfId="0" applyAlignment="1" applyBorder="1" applyFont="1" applyNumberFormat="1">
      <alignment horizontal="center" readingOrder="0"/>
    </xf>
    <xf borderId="0" fillId="12" fontId="10" numFmtId="0" xfId="0" applyAlignment="1" applyFont="1">
      <alignment horizontal="center" vertical="bottom"/>
    </xf>
    <xf borderId="2" fillId="0" fontId="2" numFmtId="164" xfId="0" applyBorder="1" applyFont="1" applyNumberFormat="1"/>
    <xf borderId="2" fillId="0" fontId="2" numFmtId="3" xfId="0" applyBorder="1" applyFont="1" applyNumberFormat="1"/>
    <xf borderId="0" fillId="12" fontId="15" numFmtId="0" xfId="0" applyAlignment="1" applyFont="1">
      <alignment vertical="bottom"/>
    </xf>
    <xf borderId="2" fillId="12" fontId="16" numFmtId="0" xfId="0" applyAlignment="1" applyBorder="1" applyFont="1">
      <alignment horizontal="center"/>
    </xf>
    <xf borderId="2" fillId="2" fontId="16" numFmtId="164" xfId="0" applyAlignment="1" applyBorder="1" applyFont="1" applyNumberFormat="1">
      <alignment horizontal="center"/>
    </xf>
    <xf borderId="2" fillId="2" fontId="2" numFmtId="3" xfId="0" applyAlignment="1" applyBorder="1" applyFont="1" applyNumberFormat="1">
      <alignment horizontal="center" readingOrder="0"/>
    </xf>
    <xf borderId="2" fillId="2" fontId="16" numFmtId="164" xfId="0" applyAlignment="1" applyBorder="1" applyFont="1" applyNumberFormat="1">
      <alignment horizontal="center" readingOrder="0"/>
    </xf>
    <xf borderId="0" fillId="12" fontId="2" numFmtId="0" xfId="0" applyAlignment="1" applyFont="1">
      <alignment readingOrder="0"/>
    </xf>
    <xf borderId="2" fillId="0" fontId="16" numFmtId="164" xfId="0" applyAlignment="1" applyBorder="1" applyFont="1" applyNumberFormat="1">
      <alignment horizontal="center"/>
    </xf>
    <xf borderId="2" fillId="0" fontId="16" numFmtId="0" xfId="0" applyAlignment="1" applyBorder="1" applyFont="1">
      <alignment horizontal="center"/>
    </xf>
    <xf borderId="2" fillId="0" fontId="2" numFmtId="3" xfId="0" applyAlignment="1" applyBorder="1" applyFont="1" applyNumberFormat="1">
      <alignment horizontal="center" readingOrder="0"/>
    </xf>
    <xf borderId="0" fillId="2" fontId="16" numFmtId="0" xfId="0" applyAlignment="1" applyFont="1">
      <alignment horizontal="center"/>
    </xf>
    <xf borderId="0" fillId="2" fontId="16" numFmtId="0" xfId="0" applyAlignment="1" applyFont="1">
      <alignment horizontal="center" readingOrder="0"/>
    </xf>
    <xf borderId="2" fillId="0" fontId="15" numFmtId="0" xfId="0" applyAlignment="1" applyBorder="1" applyFont="1">
      <alignment horizontal="center" readingOrder="0" vertical="bottom"/>
    </xf>
    <xf borderId="2" fillId="12" fontId="2" numFmtId="0" xfId="0" applyAlignment="1" applyBorder="1" applyFont="1">
      <alignment horizontal="center"/>
    </xf>
    <xf borderId="2" fillId="0" fontId="2" numFmtId="164" xfId="0" applyAlignment="1" applyBorder="1" applyFont="1" applyNumberFormat="1">
      <alignment horizontal="center"/>
    </xf>
    <xf borderId="0" fillId="2" fontId="2" numFmtId="0" xfId="0" applyFont="1"/>
    <xf borderId="0" fillId="0" fontId="2" numFmtId="0" xfId="0" applyAlignment="1" applyFont="1">
      <alignment horizontal="left"/>
    </xf>
    <xf borderId="2" fillId="0" fontId="2" numFmtId="3" xfId="0" applyAlignment="1" applyBorder="1" applyFont="1" applyNumberFormat="1">
      <alignment horizontal="center"/>
    </xf>
    <xf borderId="0" fillId="0" fontId="13" numFmtId="0" xfId="0" applyAlignment="1" applyFont="1">
      <alignment horizontal="center"/>
    </xf>
    <xf borderId="3" fillId="12" fontId="2" numFmtId="0" xfId="0" applyAlignment="1" applyBorder="1" applyFont="1">
      <alignment horizontal="center" readingOrder="0"/>
    </xf>
    <xf borderId="2" fillId="12" fontId="2" numFmtId="0" xfId="0" applyAlignment="1" applyBorder="1" applyFont="1">
      <alignment horizontal="center" readingOrder="0"/>
    </xf>
    <xf borderId="2" fillId="0" fontId="13" numFmtId="0" xfId="0" applyAlignment="1" applyBorder="1" applyFont="1">
      <alignment horizontal="center"/>
    </xf>
    <xf borderId="9" fillId="0" fontId="13" numFmtId="0" xfId="0" applyAlignment="1" applyBorder="1" applyFont="1">
      <alignment horizontal="center" readingOrder="0"/>
    </xf>
    <xf borderId="9" fillId="0" fontId="2" numFmtId="0" xfId="0" applyAlignment="1" applyBorder="1" applyFont="1">
      <alignment horizontal="center"/>
    </xf>
    <xf borderId="9" fillId="0" fontId="2" numFmtId="164" xfId="0" applyAlignment="1" applyBorder="1" applyFont="1" applyNumberFormat="1">
      <alignment horizontal="center"/>
    </xf>
    <xf borderId="9" fillId="0" fontId="2" numFmtId="3" xfId="0" applyAlignment="1" applyBorder="1" applyFont="1" applyNumberFormat="1">
      <alignment horizontal="center"/>
    </xf>
    <xf borderId="9" fillId="2" fontId="2" numFmtId="0" xfId="0" applyAlignment="1" applyBorder="1" applyFont="1">
      <alignment horizontal="center" readingOrder="0"/>
    </xf>
    <xf borderId="5" fillId="0" fontId="13" numFmtId="0" xfId="0" applyAlignment="1" applyBorder="1" applyFont="1">
      <alignment horizontal="center" readingOrder="0"/>
    </xf>
    <xf borderId="5" fillId="0" fontId="2" numFmtId="0" xfId="0" applyAlignment="1" applyBorder="1" applyFont="1">
      <alignment horizontal="center"/>
    </xf>
    <xf borderId="5" fillId="2" fontId="2" numFmtId="0" xfId="0" applyAlignment="1" applyBorder="1" applyFont="1">
      <alignment horizontal="center" readingOrder="0"/>
    </xf>
    <xf borderId="0" fillId="0" fontId="2" numFmtId="4" xfId="0" applyAlignment="1" applyFont="1" applyNumberFormat="1">
      <alignment horizontal="center"/>
    </xf>
    <xf borderId="0" fillId="0" fontId="2" numFmtId="4" xfId="0" applyAlignment="1" applyFont="1" applyNumberFormat="1">
      <alignment horizontal="center" readingOrder="0"/>
    </xf>
    <xf borderId="10" fillId="0" fontId="11" numFmtId="0" xfId="0" applyAlignment="1" applyBorder="1" applyFont="1">
      <alignment horizontal="center" readingOrder="0" shrinkToFit="0" vertical="bottom" wrapText="0"/>
    </xf>
    <xf borderId="2" fillId="18" fontId="11" numFmtId="0" xfId="0" applyAlignment="1" applyBorder="1" applyFill="1" applyFont="1">
      <alignment horizontal="center" readingOrder="0" shrinkToFit="0" vertical="bottom" wrapText="0"/>
    </xf>
    <xf borderId="2" fillId="18" fontId="11" numFmtId="1" xfId="0" applyAlignment="1" applyBorder="1" applyFont="1" applyNumberFormat="1">
      <alignment horizontal="center" readingOrder="0" shrinkToFit="0" vertical="bottom" wrapText="0"/>
    </xf>
    <xf borderId="2" fillId="0" fontId="11" numFmtId="1" xfId="0" applyAlignment="1" applyBorder="1" applyFont="1" applyNumberFormat="1">
      <alignment horizontal="center" readingOrder="0" shrinkToFit="0" vertical="bottom" wrapText="0"/>
    </xf>
    <xf borderId="2" fillId="0" fontId="17" numFmtId="0" xfId="0" applyAlignment="1" applyBorder="1" applyFont="1">
      <alignment horizontal="center" readingOrder="0" shrinkToFit="0" vertical="bottom" wrapText="0"/>
    </xf>
    <xf borderId="0" fillId="0" fontId="12" numFmtId="0" xfId="0" applyAlignment="1" applyFont="1">
      <alignment horizontal="center" vertical="bottom"/>
    </xf>
    <xf borderId="2" fillId="0" fontId="12" numFmtId="0" xfId="0" applyAlignment="1" applyBorder="1" applyFont="1">
      <alignment horizontal="center" vertical="bottom"/>
    </xf>
    <xf borderId="2" fillId="0" fontId="12" numFmtId="164" xfId="0" applyAlignment="1" applyBorder="1" applyFont="1" applyNumberFormat="1">
      <alignment horizontal="center" vertical="bottom"/>
    </xf>
    <xf borderId="2" fillId="9" fontId="11" numFmtId="164" xfId="0" applyAlignment="1" applyBorder="1" applyFont="1" applyNumberFormat="1">
      <alignment horizontal="center" readingOrder="0" shrinkToFit="0" vertical="bottom" wrapText="0"/>
    </xf>
    <xf borderId="2" fillId="0" fontId="11" numFmtId="3" xfId="0" applyAlignment="1" applyBorder="1" applyFont="1" applyNumberFormat="1">
      <alignment horizontal="center" readingOrder="0" shrinkToFit="0" vertical="bottom" wrapText="0"/>
    </xf>
    <xf borderId="2" fillId="0" fontId="12" numFmtId="0" xfId="0" applyAlignment="1" applyBorder="1" applyFont="1">
      <alignment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11" fillId="11" fontId="2" numFmtId="0" xfId="0" applyAlignment="1" applyBorder="1" applyFont="1">
      <alignment horizontal="center" readingOrder="0"/>
    </xf>
    <xf borderId="0" fillId="12" fontId="2" numFmtId="1" xfId="0" applyAlignment="1" applyFont="1" applyNumberFormat="1">
      <alignment horizontal="center"/>
    </xf>
    <xf borderId="2" fillId="19" fontId="2" numFmtId="0" xfId="0" applyAlignment="1" applyBorder="1" applyFill="1" applyFont="1">
      <alignment horizontal="center" readingOrder="0"/>
    </xf>
    <xf borderId="2" fillId="0" fontId="2" numFmtId="0" xfId="0" applyAlignment="1" applyBorder="1" applyFont="1">
      <alignment horizontal="center" readingOrder="0" vertical="center"/>
    </xf>
    <xf borderId="2" fillId="0" fontId="2" numFmtId="164" xfId="0" applyAlignment="1" applyBorder="1" applyFont="1" applyNumberFormat="1">
      <alignment horizontal="center" vertical="center"/>
    </xf>
    <xf borderId="2" fillId="0" fontId="2" numFmtId="170" xfId="0" applyAlignment="1" applyBorder="1" applyFont="1" applyNumberFormat="1">
      <alignment horizontal="center" readingOrder="0" vertical="center"/>
    </xf>
    <xf borderId="2" fillId="20" fontId="2" numFmtId="0" xfId="0" applyAlignment="1" applyBorder="1" applyFill="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2" numFmtId="0" xfId="0" applyAlignment="1" applyFont="1">
      <alignment horizontal="center" vertical="center"/>
    </xf>
    <xf borderId="2" fillId="0" fontId="2" numFmtId="0" xfId="0" applyAlignment="1" applyBorder="1" applyFont="1">
      <alignment horizontal="center" vertical="center"/>
    </xf>
    <xf borderId="2" fillId="21" fontId="2" numFmtId="0" xfId="0" applyAlignment="1" applyBorder="1" applyFill="1" applyFont="1">
      <alignment horizontal="center" readingOrder="0" shrinkToFit="0" vertical="center" wrapText="1"/>
    </xf>
    <xf borderId="2" fillId="22" fontId="2" numFmtId="0" xfId="0" applyAlignment="1" applyBorder="1" applyFill="1" applyFont="1">
      <alignment horizontal="center" readingOrder="0" shrinkToFit="0" vertical="center" wrapText="1"/>
    </xf>
    <xf borderId="0" fillId="23" fontId="2" numFmtId="0" xfId="0" applyAlignment="1" applyFill="1" applyFont="1">
      <alignment horizontal="center" readingOrder="0"/>
    </xf>
    <xf borderId="0" fillId="0" fontId="2" numFmtId="171" xfId="0" applyFont="1" applyNumberFormat="1"/>
    <xf borderId="12" fillId="16" fontId="13" numFmtId="0" xfId="0" applyAlignment="1" applyBorder="1" applyFont="1">
      <alignment horizontal="center" readingOrder="0"/>
    </xf>
    <xf borderId="13" fillId="0" fontId="14" numFmtId="0" xfId="0" applyBorder="1" applyFont="1"/>
    <xf borderId="14" fillId="0" fontId="14" numFmtId="0" xfId="0" applyBorder="1" applyFont="1"/>
    <xf borderId="15" fillId="16" fontId="13" numFmtId="0" xfId="0" applyAlignment="1" applyBorder="1" applyFont="1">
      <alignment horizontal="center" readingOrder="0"/>
    </xf>
    <xf borderId="16" fillId="16" fontId="13" numFmtId="0" xfId="0" applyAlignment="1" applyBorder="1" applyFont="1">
      <alignment horizontal="center" readingOrder="0"/>
    </xf>
    <xf borderId="0" fillId="16" fontId="2" numFmtId="0" xfId="0" applyAlignment="1" applyFont="1">
      <alignment horizontal="center" readingOrder="0"/>
    </xf>
    <xf borderId="12" fillId="17" fontId="13" numFmtId="0" xfId="0" applyAlignment="1" applyBorder="1" applyFont="1">
      <alignment horizontal="center" readingOrder="0"/>
    </xf>
    <xf borderId="16" fillId="17" fontId="13" numFmtId="0" xfId="0" applyAlignment="1" applyBorder="1" applyFont="1">
      <alignment horizontal="center" readingOrder="0"/>
    </xf>
    <xf borderId="0" fillId="0" fontId="2" numFmtId="0" xfId="0" applyAlignment="1" applyFont="1">
      <alignment horizontal="left" readingOrder="0" shrinkToFit="0" vertical="center" wrapText="1"/>
    </xf>
    <xf borderId="17" fillId="0" fontId="13"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2" fillId="2" fontId="18" numFmtId="0" xfId="0" applyAlignment="1" applyBorder="1" applyFont="1">
      <alignment horizontal="center" shrinkToFit="0" vertical="center" wrapText="1"/>
    </xf>
    <xf borderId="0" fillId="0" fontId="2" numFmtId="0" xfId="0" applyAlignment="1" applyFont="1">
      <alignment shrinkToFit="0" vertical="center" wrapText="1"/>
    </xf>
    <xf borderId="3" fillId="15" fontId="7" numFmtId="0" xfId="0" applyAlignment="1" applyBorder="1" applyFont="1">
      <alignment horizontal="center" vertical="bottom"/>
    </xf>
    <xf borderId="19" fillId="15" fontId="13" numFmtId="0" xfId="0" applyAlignment="1" applyBorder="1" applyFont="1">
      <alignment horizontal="center" readingOrder="0" vertical="center"/>
    </xf>
    <xf borderId="5" fillId="0" fontId="14" numFmtId="0" xfId="0" applyBorder="1" applyFont="1"/>
    <xf borderId="20" fillId="0" fontId="14" numFmtId="0" xfId="0" applyBorder="1" applyFont="1"/>
    <xf borderId="3" fillId="0" fontId="2" numFmtId="0" xfId="0" applyAlignment="1" applyBorder="1" applyFont="1">
      <alignment horizontal="center" readingOrder="0" shrinkToFit="0" vertical="center" wrapText="1"/>
    </xf>
    <xf borderId="17" fillId="0" fontId="13" numFmtId="0" xfId="0" applyAlignment="1" applyBorder="1" applyFont="1">
      <alignment horizontal="center" readingOrder="0"/>
    </xf>
    <xf borderId="2" fillId="0" fontId="2" numFmtId="164" xfId="0" applyAlignment="1" applyBorder="1" applyFont="1" applyNumberFormat="1">
      <alignment horizontal="left"/>
    </xf>
    <xf borderId="18" fillId="0" fontId="2" numFmtId="0" xfId="0" applyAlignment="1" applyBorder="1" applyFont="1">
      <alignment horizontal="center"/>
    </xf>
    <xf borderId="21" fillId="0" fontId="10" numFmtId="0" xfId="0" applyAlignment="1" applyBorder="1" applyFont="1">
      <alignment vertical="bottom"/>
    </xf>
    <xf borderId="16" fillId="0" fontId="15" numFmtId="0" xfId="0" applyAlignment="1" applyBorder="1" applyFont="1">
      <alignment vertical="bottom"/>
    </xf>
    <xf borderId="2" fillId="0" fontId="7" numFmtId="0" xfId="0" applyAlignment="1" applyBorder="1" applyFont="1">
      <alignment horizontal="center"/>
    </xf>
    <xf borderId="21" fillId="0" fontId="2" numFmtId="0" xfId="0" applyAlignment="1" applyBorder="1" applyFont="1">
      <alignment horizontal="center"/>
    </xf>
    <xf borderId="15" fillId="0" fontId="2" numFmtId="172" xfId="0" applyAlignment="1" applyBorder="1" applyFont="1" applyNumberFormat="1">
      <alignment horizontal="center"/>
    </xf>
    <xf borderId="16" fillId="0" fontId="2" numFmtId="0" xfId="0" applyAlignment="1" applyBorder="1" applyFont="1">
      <alignment horizontal="center"/>
    </xf>
    <xf borderId="22" fillId="0" fontId="2" numFmtId="0" xfId="0" applyAlignment="1" applyBorder="1" applyFont="1">
      <alignment horizontal="center"/>
    </xf>
    <xf borderId="23" fillId="0" fontId="2" numFmtId="171" xfId="0" applyAlignment="1" applyBorder="1" applyFont="1" applyNumberFormat="1">
      <alignment horizontal="center"/>
    </xf>
    <xf borderId="24" fillId="0" fontId="2" numFmtId="0" xfId="0" applyAlignment="1" applyBorder="1" applyFont="1">
      <alignment horizontal="center"/>
    </xf>
    <xf borderId="15" fillId="0" fontId="2" numFmtId="0" xfId="0" applyAlignment="1" applyBorder="1" applyFont="1">
      <alignment horizontal="center"/>
    </xf>
    <xf borderId="2" fillId="0" fontId="10" numFmtId="0" xfId="0" applyAlignment="1" applyBorder="1" applyFont="1">
      <alignment horizontal="center" shrinkToFit="0" vertical="bottom" wrapText="1"/>
    </xf>
    <xf borderId="2" fillId="0" fontId="2" numFmtId="0" xfId="0" applyAlignment="1" applyBorder="1" applyFont="1">
      <alignment horizontal="center" readingOrder="0" shrinkToFit="0" wrapText="1"/>
    </xf>
    <xf borderId="17" fillId="24" fontId="10" numFmtId="0" xfId="0" applyAlignment="1" applyBorder="1" applyFill="1" applyFont="1">
      <alignment vertical="bottom"/>
    </xf>
    <xf borderId="18" fillId="0" fontId="15" numFmtId="0" xfId="0" applyAlignment="1" applyBorder="1" applyFont="1">
      <alignment vertical="bottom"/>
    </xf>
    <xf borderId="0" fillId="0" fontId="2" numFmtId="0" xfId="0" applyAlignment="1" applyFont="1">
      <alignment readingOrder="0" shrinkToFit="0" wrapText="1"/>
    </xf>
    <xf borderId="17" fillId="0" fontId="2" numFmtId="0" xfId="0" applyAlignment="1" applyBorder="1" applyFont="1">
      <alignment horizontal="center"/>
    </xf>
    <xf borderId="2" fillId="0" fontId="2" numFmtId="172" xfId="0" applyAlignment="1" applyBorder="1" applyFont="1" applyNumberFormat="1">
      <alignment horizontal="center"/>
    </xf>
    <xf borderId="25" fillId="0" fontId="2" numFmtId="0" xfId="0" applyAlignment="1" applyBorder="1" applyFont="1">
      <alignment horizontal="center"/>
    </xf>
    <xf borderId="0" fillId="0" fontId="2" numFmtId="171" xfId="0" applyAlignment="1" applyFont="1" applyNumberFormat="1">
      <alignment horizontal="center"/>
    </xf>
    <xf borderId="26" fillId="0" fontId="2" numFmtId="0" xfId="0" applyAlignment="1" applyBorder="1" applyFont="1">
      <alignment horizontal="center"/>
    </xf>
    <xf borderId="2" fillId="0" fontId="16" numFmtId="164" xfId="0" applyAlignment="1" applyBorder="1" applyFont="1" applyNumberFormat="1">
      <alignment horizontal="left"/>
    </xf>
    <xf borderId="2" fillId="0" fontId="16" numFmtId="3" xfId="0" applyAlignment="1" applyBorder="1" applyFont="1" applyNumberFormat="1">
      <alignment horizontal="center"/>
    </xf>
    <xf borderId="18" fillId="0" fontId="16" numFmtId="0" xfId="0" applyAlignment="1" applyBorder="1" applyFont="1">
      <alignment horizontal="center"/>
    </xf>
    <xf borderId="17" fillId="25" fontId="10" numFmtId="0" xfId="0" applyAlignment="1" applyBorder="1" applyFill="1" applyFont="1">
      <alignment vertical="bottom"/>
    </xf>
    <xf borderId="2" fillId="0" fontId="16" numFmtId="164" xfId="0" applyAlignment="1" applyBorder="1" applyFont="1" applyNumberFormat="1">
      <alignment horizontal="left" readingOrder="0"/>
    </xf>
    <xf borderId="17" fillId="26" fontId="10" numFmtId="0" xfId="0" applyAlignment="1" applyBorder="1" applyFill="1" applyFont="1">
      <alignment vertical="bottom"/>
    </xf>
    <xf borderId="17" fillId="27" fontId="10" numFmtId="0" xfId="0" applyAlignment="1" applyBorder="1" applyFill="1" applyFont="1">
      <alignment vertical="bottom"/>
    </xf>
    <xf borderId="17" fillId="28" fontId="10" numFmtId="0" xfId="0" applyAlignment="1" applyBorder="1" applyFill="1" applyFont="1">
      <alignment vertical="bottom"/>
    </xf>
    <xf borderId="18" fillId="0" fontId="10" numFmtId="0" xfId="0" applyAlignment="1" applyBorder="1" applyFont="1">
      <alignment vertical="bottom"/>
    </xf>
    <xf borderId="27" fillId="21" fontId="10" numFmtId="0" xfId="0" applyAlignment="1" applyBorder="1" applyFont="1">
      <alignment vertical="bottom"/>
    </xf>
    <xf borderId="28" fillId="0" fontId="10" numFmtId="0" xfId="0" applyAlignment="1" applyBorder="1" applyFont="1">
      <alignment readingOrder="0" vertical="bottom"/>
    </xf>
    <xf borderId="2" fillId="0" fontId="15" numFmtId="0" xfId="0" applyAlignment="1" applyBorder="1" applyFont="1">
      <alignment horizontal="center" shrinkToFit="0" vertical="bottom" wrapText="1"/>
    </xf>
    <xf borderId="2" fillId="23" fontId="2" numFmtId="0" xfId="0" applyAlignment="1" applyBorder="1" applyFont="1">
      <alignment horizontal="center"/>
    </xf>
    <xf borderId="29" fillId="0" fontId="2" numFmtId="0" xfId="0" applyAlignment="1" applyBorder="1" applyFont="1">
      <alignment horizontal="center"/>
    </xf>
    <xf borderId="30" fillId="0" fontId="2" numFmtId="171" xfId="0" applyAlignment="1" applyBorder="1" applyFont="1" applyNumberFormat="1">
      <alignment horizontal="center"/>
    </xf>
    <xf borderId="31" fillId="0" fontId="2" numFmtId="0" xfId="0" applyAlignment="1" applyBorder="1" applyFont="1">
      <alignment horizontal="center"/>
    </xf>
    <xf borderId="2" fillId="0" fontId="2" numFmtId="171" xfId="0" applyAlignment="1" applyBorder="1" applyFont="1" applyNumberFormat="1">
      <alignment horizontal="center"/>
    </xf>
    <xf borderId="3" fillId="0" fontId="2" numFmtId="0" xfId="0" applyAlignment="1" applyBorder="1" applyFont="1">
      <alignment horizontal="center"/>
    </xf>
    <xf borderId="7" fillId="0" fontId="2" numFmtId="0" xfId="0" applyAlignment="1" applyBorder="1" applyFont="1">
      <alignment horizontal="center"/>
    </xf>
    <xf borderId="27" fillId="0" fontId="2" numFmtId="0" xfId="0" applyAlignment="1" applyBorder="1" applyFont="1">
      <alignment horizontal="center"/>
    </xf>
    <xf borderId="32" fillId="0" fontId="2" numFmtId="0" xfId="0" applyAlignment="1" applyBorder="1" applyFont="1">
      <alignment horizontal="center"/>
    </xf>
    <xf borderId="28" fillId="0" fontId="2" numFmtId="0" xfId="0" applyAlignment="1" applyBorder="1" applyFont="1">
      <alignment horizontal="center"/>
    </xf>
    <xf borderId="33" fillId="0" fontId="2" numFmtId="0" xfId="0" applyAlignment="1" applyBorder="1" applyFont="1">
      <alignment horizontal="center"/>
    </xf>
    <xf borderId="32" fillId="0" fontId="2" numFmtId="171" xfId="0" applyAlignment="1" applyBorder="1" applyFont="1" applyNumberFormat="1">
      <alignment horizontal="center"/>
    </xf>
    <xf borderId="9" fillId="0" fontId="2" numFmtId="164" xfId="0" applyAlignment="1" applyBorder="1" applyFont="1" applyNumberFormat="1">
      <alignment horizontal="left"/>
    </xf>
    <xf borderId="34" fillId="0" fontId="2" numFmtId="0" xfId="0" applyAlignment="1" applyBorder="1" applyFont="1">
      <alignment horizontal="center"/>
    </xf>
    <xf borderId="2" fillId="0" fontId="2" numFmtId="0" xfId="0" applyAlignment="1" applyBorder="1" applyFont="1">
      <alignment horizontal="left"/>
    </xf>
    <xf borderId="0" fillId="0" fontId="2" numFmtId="0" xfId="0" applyAlignment="1" applyFont="1">
      <alignment horizontal="center" shrinkToFit="0" wrapText="1"/>
    </xf>
    <xf borderId="0" fillId="0" fontId="2" numFmtId="0" xfId="0" applyAlignment="1" applyFont="1">
      <alignment horizontal="center"/>
    </xf>
    <xf borderId="2" fillId="29" fontId="19" numFmtId="0" xfId="0" applyAlignment="1" applyBorder="1" applyFill="1" applyFont="1">
      <alignment horizontal="center" readingOrder="0"/>
    </xf>
    <xf borderId="2" fillId="9" fontId="20" numFmtId="0" xfId="0" applyAlignment="1" applyBorder="1" applyFont="1">
      <alignment horizontal="center" readingOrder="0"/>
    </xf>
    <xf borderId="0" fillId="2" fontId="19" numFmtId="0" xfId="0" applyAlignment="1" applyFont="1">
      <alignment horizontal="center" readingOrder="0"/>
    </xf>
    <xf borderId="0" fillId="2" fontId="21" numFmtId="0" xfId="0" applyAlignment="1" applyFont="1">
      <alignment horizontal="center" readingOrder="0"/>
    </xf>
    <xf borderId="3" fillId="29" fontId="21" numFmtId="0" xfId="0" applyAlignment="1" applyBorder="1" applyFont="1">
      <alignment horizontal="center" readingOrder="0"/>
    </xf>
    <xf borderId="0" fillId="2" fontId="2" numFmtId="0" xfId="0" applyAlignment="1" applyFont="1">
      <alignment readingOrder="0"/>
    </xf>
    <xf borderId="2" fillId="9" fontId="2" numFmtId="0" xfId="0" applyAlignment="1" applyBorder="1" applyFont="1">
      <alignment readingOrder="0"/>
    </xf>
    <xf borderId="2" fillId="9" fontId="2" numFmtId="0" xfId="0" applyAlignment="1" applyBorder="1" applyFont="1">
      <alignment readingOrder="0" shrinkToFit="0" wrapText="0"/>
    </xf>
    <xf borderId="2" fillId="0" fontId="2" numFmtId="173" xfId="0" applyBorder="1" applyFont="1" applyNumberFormat="1"/>
    <xf borderId="2" fillId="13" fontId="2" numFmtId="49" xfId="0" applyAlignment="1" applyBorder="1" applyFont="1" applyNumberFormat="1">
      <alignment horizontal="center" readingOrder="0"/>
    </xf>
    <xf borderId="35" fillId="0" fontId="2" numFmtId="14" xfId="0" applyAlignment="1" applyBorder="1" applyFont="1" applyNumberFormat="1">
      <alignment horizontal="center"/>
    </xf>
    <xf borderId="2" fillId="6" fontId="2" numFmtId="0" xfId="0" applyAlignment="1" applyBorder="1" applyFont="1">
      <alignment horizontal="center" readingOrder="0"/>
    </xf>
    <xf borderId="22" fillId="9" fontId="2" numFmtId="0" xfId="0" applyAlignment="1" applyBorder="1" applyFont="1">
      <alignment horizontal="center" readingOrder="0"/>
    </xf>
    <xf borderId="23" fillId="0" fontId="14" numFmtId="0" xfId="0" applyBorder="1" applyFont="1"/>
    <xf borderId="24" fillId="0" fontId="14" numFmtId="0" xfId="0" applyBorder="1" applyFont="1"/>
    <xf borderId="22" fillId="29" fontId="22" numFmtId="0" xfId="0" applyAlignment="1" applyBorder="1" applyFont="1">
      <alignment horizontal="center" readingOrder="0"/>
    </xf>
    <xf borderId="22" fillId="7" fontId="10" numFmtId="0" xfId="0" applyAlignment="1" applyBorder="1" applyFont="1">
      <alignment horizontal="center" readingOrder="0" shrinkToFit="0" vertical="bottom" wrapText="1"/>
    </xf>
    <xf borderId="36" fillId="3" fontId="3" numFmtId="0" xfId="0" applyAlignment="1" applyBorder="1" applyFont="1">
      <alignment horizontal="center" readingOrder="0" vertical="center"/>
    </xf>
    <xf borderId="1" fillId="3" fontId="23" numFmtId="0" xfId="0" applyAlignment="1" applyBorder="1" applyFont="1">
      <alignment horizontal="center" shrinkToFit="0" vertical="center" wrapText="1"/>
    </xf>
    <xf borderId="1" fillId="3" fontId="23" numFmtId="0" xfId="0" applyAlignment="1" applyBorder="1" applyFont="1">
      <alignment horizontal="center" vertical="center"/>
    </xf>
    <xf borderId="1" fillId="3" fontId="23" numFmtId="0" xfId="0" applyAlignment="1" applyBorder="1" applyFont="1">
      <alignment horizontal="center" vertical="center"/>
    </xf>
    <xf borderId="2" fillId="2" fontId="24" numFmtId="0" xfId="0" applyAlignment="1" applyBorder="1" applyFont="1">
      <alignment horizontal="center" vertical="center"/>
    </xf>
    <xf borderId="2" fillId="13" fontId="10" numFmtId="0" xfId="0" applyAlignment="1" applyBorder="1" applyFont="1">
      <alignment horizontal="center" readingOrder="0" vertical="bottom"/>
    </xf>
    <xf borderId="37" fillId="4" fontId="4" numFmtId="0" xfId="0" applyAlignment="1" applyBorder="1" applyFont="1">
      <alignment horizontal="center" readingOrder="0" vertical="center"/>
    </xf>
    <xf borderId="36" fillId="4" fontId="4" numFmtId="173" xfId="0" applyAlignment="1" applyBorder="1" applyFont="1" applyNumberFormat="1">
      <alignment horizontal="center" vertical="center"/>
    </xf>
    <xf borderId="36" fillId="4" fontId="4" numFmtId="0" xfId="0" applyAlignment="1" applyBorder="1" applyFont="1">
      <alignment horizontal="center" shrinkToFit="0" vertical="center" wrapText="1"/>
    </xf>
    <xf borderId="36" fillId="4" fontId="4" numFmtId="0" xfId="0" applyAlignment="1" applyBorder="1" applyFont="1">
      <alignment horizontal="center" vertical="center"/>
    </xf>
    <xf borderId="36" fillId="4" fontId="4" numFmtId="0" xfId="0" applyAlignment="1" applyBorder="1" applyFont="1">
      <alignment horizontal="center" vertical="center"/>
    </xf>
    <xf borderId="36" fillId="4" fontId="4" numFmtId="0" xfId="0" applyAlignment="1" applyBorder="1" applyFont="1">
      <alignment horizontal="center" readingOrder="0" vertical="center"/>
    </xf>
    <xf borderId="2" fillId="2" fontId="5" numFmtId="0" xfId="0" applyAlignment="1" applyBorder="1" applyFont="1">
      <alignment horizontal="center" readingOrder="0" vertical="center"/>
    </xf>
    <xf borderId="2" fillId="2" fontId="5" numFmtId="0" xfId="0" applyAlignment="1" applyBorder="1" applyFont="1">
      <alignment horizontal="center" vertical="center"/>
    </xf>
    <xf borderId="11" fillId="2" fontId="5" numFmtId="1" xfId="0" applyAlignment="1" applyBorder="1" applyFont="1" applyNumberFormat="1">
      <alignment horizontal="center" readingOrder="0" vertical="center"/>
    </xf>
    <xf borderId="35" fillId="2" fontId="5" numFmtId="49" xfId="0" applyAlignment="1" applyBorder="1" applyFont="1" applyNumberFormat="1">
      <alignment horizontal="center" vertical="center"/>
    </xf>
    <xf borderId="35" fillId="2" fontId="5" numFmtId="49" xfId="0" applyAlignment="1" applyBorder="1" applyFont="1" applyNumberFormat="1">
      <alignment vertical="center"/>
    </xf>
    <xf borderId="35" fillId="2" fontId="5" numFmtId="1" xfId="0" applyAlignment="1" applyBorder="1" applyFont="1" applyNumberFormat="1">
      <alignment horizontal="center" vertical="center"/>
    </xf>
    <xf borderId="35" fillId="2" fontId="5" numFmtId="0" xfId="0" applyAlignment="1" applyBorder="1" applyFont="1">
      <alignment horizontal="center" vertical="center"/>
    </xf>
    <xf borderId="35" fillId="2" fontId="5" numFmtId="173" xfId="0" applyAlignment="1" applyBorder="1" applyFont="1" applyNumberFormat="1">
      <alignment horizontal="center" vertical="center"/>
    </xf>
    <xf borderId="38" fillId="2" fontId="5" numFmtId="173" xfId="0" applyAlignment="1" applyBorder="1" applyFont="1" applyNumberFormat="1">
      <alignment horizontal="center" vertical="center"/>
    </xf>
    <xf borderId="2" fillId="2" fontId="5" numFmtId="0" xfId="0" applyAlignment="1" applyBorder="1" applyFont="1">
      <alignment horizontal="center" shrinkToFit="0" vertical="center" wrapText="1"/>
    </xf>
    <xf borderId="2" fillId="2" fontId="5" numFmtId="0" xfId="0" applyAlignment="1" applyBorder="1" applyFont="1">
      <alignment vertical="center"/>
    </xf>
    <xf borderId="2" fillId="5" fontId="5" numFmtId="0" xfId="0" applyAlignment="1" applyBorder="1" applyFont="1">
      <alignment horizontal="center" vertical="center"/>
    </xf>
    <xf borderId="11" fillId="5" fontId="5" numFmtId="1" xfId="0" applyAlignment="1" applyBorder="1" applyFont="1" applyNumberFormat="1">
      <alignment horizontal="center" readingOrder="0" vertical="center"/>
    </xf>
    <xf borderId="35" fillId="5" fontId="5" numFmtId="0" xfId="0" applyAlignment="1" applyBorder="1" applyFont="1">
      <alignment vertical="center"/>
    </xf>
    <xf borderId="35" fillId="5" fontId="5" numFmtId="49" xfId="0" applyAlignment="1" applyBorder="1" applyFont="1" applyNumberFormat="1">
      <alignment horizontal="center" vertical="center"/>
    </xf>
    <xf borderId="35" fillId="5" fontId="5" numFmtId="1" xfId="0" applyAlignment="1" applyBorder="1" applyFont="1" applyNumberFormat="1">
      <alignment horizontal="center" vertical="center"/>
    </xf>
    <xf borderId="38" fillId="5" fontId="5" numFmtId="1" xfId="0" applyAlignment="1" applyBorder="1" applyFont="1" applyNumberFormat="1">
      <alignment horizontal="center" vertical="center"/>
    </xf>
    <xf borderId="2" fillId="5" fontId="5" numFmtId="0" xfId="0" applyAlignment="1" applyBorder="1" applyFont="1">
      <alignment horizontal="center" shrinkToFit="0" vertical="center" wrapText="1"/>
    </xf>
    <xf borderId="2" fillId="5" fontId="5" numFmtId="0" xfId="0" applyAlignment="1" applyBorder="1" applyFont="1">
      <alignment vertical="center"/>
    </xf>
    <xf borderId="2" fillId="5" fontId="5" numFmtId="0" xfId="0" applyAlignment="1" applyBorder="1" applyFont="1">
      <alignment horizontal="center" readingOrder="0" vertical="center"/>
    </xf>
    <xf borderId="35" fillId="2" fontId="5" numFmtId="1" xfId="0" applyAlignment="1" applyBorder="1" applyFont="1" applyNumberFormat="1">
      <alignment horizontal="center" vertical="center"/>
    </xf>
    <xf borderId="38" fillId="2" fontId="5" numFmtId="1" xfId="0" applyAlignment="1" applyBorder="1" applyFont="1" applyNumberFormat="1">
      <alignment horizontal="center" vertical="center"/>
    </xf>
    <xf borderId="24" fillId="5" fontId="5" numFmtId="1" xfId="0" applyAlignment="1" applyBorder="1" applyFont="1" applyNumberFormat="1">
      <alignment horizontal="center" readingOrder="0" vertical="center"/>
    </xf>
    <xf borderId="35" fillId="5" fontId="5" numFmtId="49" xfId="0" applyAlignment="1" applyBorder="1" applyFont="1" applyNumberFormat="1">
      <alignment horizontal="center" readingOrder="0" vertical="center"/>
    </xf>
    <xf borderId="35" fillId="5" fontId="5" numFmtId="173" xfId="0" applyAlignment="1" applyBorder="1" applyFont="1" applyNumberFormat="1">
      <alignment horizontal="center" vertical="center"/>
    </xf>
    <xf borderId="38" fillId="5" fontId="5" numFmtId="173" xfId="0" applyAlignment="1" applyBorder="1" applyFont="1" applyNumberFormat="1">
      <alignment horizontal="center" vertical="center"/>
    </xf>
    <xf borderId="2" fillId="2" fontId="5" numFmtId="1" xfId="0" applyAlignment="1" applyBorder="1" applyFont="1" applyNumberFormat="1">
      <alignment horizontal="center" readingOrder="0" vertical="center"/>
    </xf>
    <xf borderId="11" fillId="2" fontId="5" numFmtId="49" xfId="0" applyAlignment="1" applyBorder="1" applyFont="1" applyNumberFormat="1">
      <alignment horizontal="center" vertical="center"/>
    </xf>
    <xf borderId="35" fillId="2" fontId="5" numFmtId="4" xfId="0" applyAlignment="1" applyBorder="1" applyFont="1" applyNumberFormat="1">
      <alignment horizontal="center" vertical="center"/>
    </xf>
    <xf borderId="39" fillId="5" fontId="5" numFmtId="1" xfId="0" applyAlignment="1" applyBorder="1" applyFont="1" applyNumberFormat="1">
      <alignment horizontal="center" readingOrder="0" vertical="center"/>
    </xf>
    <xf borderId="35" fillId="2" fontId="5" numFmtId="4" xfId="0" applyAlignment="1" applyBorder="1" applyFont="1" applyNumberFormat="1">
      <alignment horizontal="center" readingOrder="0" vertical="center"/>
    </xf>
    <xf borderId="35" fillId="2" fontId="5" numFmtId="4" xfId="0" applyAlignment="1" applyBorder="1" applyFont="1" applyNumberFormat="1">
      <alignment vertical="center"/>
    </xf>
    <xf borderId="35" fillId="2" fontId="5" numFmtId="0" xfId="0" applyAlignment="1" applyBorder="1" applyFont="1">
      <alignment vertical="center"/>
    </xf>
    <xf borderId="38" fillId="2" fontId="5" numFmtId="0" xfId="0" applyAlignment="1" applyBorder="1" applyFont="1">
      <alignment vertical="center"/>
    </xf>
    <xf borderId="38" fillId="5" fontId="5" numFmtId="0" xfId="0" applyAlignment="1" applyBorder="1" applyFont="1">
      <alignment vertical="center"/>
    </xf>
    <xf borderId="11" fillId="2" fontId="5" numFmtId="0" xfId="0" applyAlignment="1" applyBorder="1" applyFont="1">
      <alignment horizontal="center" readingOrder="0" vertical="center"/>
    </xf>
    <xf borderId="40" fillId="5" fontId="5" numFmtId="0" xfId="0" applyAlignment="1" applyBorder="1" applyFont="1">
      <alignment vertical="center"/>
    </xf>
    <xf borderId="41" fillId="5" fontId="5" numFmtId="49" xfId="0" applyAlignment="1" applyBorder="1" applyFont="1" applyNumberFormat="1">
      <alignment horizontal="center" readingOrder="0" vertical="center"/>
    </xf>
    <xf borderId="41" fillId="5" fontId="5" numFmtId="0" xfId="0" applyAlignment="1" applyBorder="1" applyFont="1">
      <alignment vertical="center"/>
    </xf>
    <xf borderId="42" fillId="5" fontId="5" numFmtId="0" xfId="0" applyAlignment="1" applyBorder="1" applyFont="1">
      <alignment vertical="center"/>
    </xf>
    <xf borderId="43" fillId="2" fontId="5" numFmtId="0" xfId="0" applyAlignment="1" applyBorder="1" applyFont="1">
      <alignment vertical="center"/>
    </xf>
    <xf borderId="44" fillId="2" fontId="5" numFmtId="0" xfId="0" applyAlignment="1" applyBorder="1" applyFont="1">
      <alignment vertical="center"/>
    </xf>
    <xf borderId="43" fillId="5" fontId="5" numFmtId="0" xfId="0" applyAlignment="1" applyBorder="1" applyFont="1">
      <alignment vertical="center"/>
    </xf>
    <xf borderId="44" fillId="5" fontId="5" numFmtId="0" xfId="0" applyAlignment="1" applyBorder="1" applyFont="1">
      <alignment vertical="center"/>
    </xf>
    <xf borderId="43" fillId="2" fontId="5" numFmtId="0" xfId="0" applyAlignment="1" applyBorder="1" applyFont="1">
      <alignment readingOrder="0" vertical="center"/>
    </xf>
    <xf borderId="1" fillId="5" fontId="5" numFmtId="0" xfId="0" applyAlignment="1" applyBorder="1" applyFont="1">
      <alignment horizontal="center" readingOrder="0" vertical="center"/>
    </xf>
    <xf borderId="1" fillId="2" fontId="5" numFmtId="0" xfId="0" applyAlignment="1" applyBorder="1" applyFont="1">
      <alignment horizontal="center" readingOrder="0" vertical="center"/>
    </xf>
    <xf borderId="1" fillId="5" fontId="5" numFmtId="173" xfId="0" applyAlignment="1" applyBorder="1" applyFont="1" applyNumberFormat="1">
      <alignment horizontal="center" vertical="center"/>
    </xf>
    <xf borderId="44" fillId="5" fontId="5" numFmtId="173" xfId="0" applyAlignment="1" applyBorder="1" applyFont="1" applyNumberFormat="1">
      <alignment horizontal="center" vertical="center"/>
    </xf>
    <xf borderId="1" fillId="2" fontId="5" numFmtId="0" xfId="0" applyAlignment="1" applyBorder="1" applyFont="1">
      <alignment horizontal="center" vertical="center"/>
    </xf>
    <xf borderId="44" fillId="2" fontId="5" numFmtId="0" xfId="0" applyAlignment="1" applyBorder="1" applyFont="1">
      <alignment horizontal="center" vertical="center"/>
    </xf>
    <xf borderId="1" fillId="5" fontId="5" numFmtId="0" xfId="0" applyAlignment="1" applyBorder="1" applyFont="1">
      <alignment horizontal="center" vertical="center"/>
    </xf>
    <xf borderId="44" fillId="5" fontId="5" numFmtId="0" xfId="0" applyAlignment="1" applyBorder="1" applyFont="1">
      <alignment horizontal="center" vertical="center"/>
    </xf>
    <xf borderId="2" fillId="5" fontId="5" numFmtId="0" xfId="0" applyAlignment="1" applyBorder="1" applyFont="1">
      <alignment horizontal="center" vertical="center"/>
    </xf>
    <xf borderId="2" fillId="2" fontId="5" numFmtId="0" xfId="0" applyAlignment="1" applyBorder="1" applyFont="1">
      <alignment horizontal="center" vertical="center"/>
    </xf>
    <xf borderId="41" fillId="2" fontId="5" numFmtId="0" xfId="0" applyAlignment="1" applyBorder="1" applyFont="1">
      <alignment horizontal="center" shrinkToFit="0" vertical="center" wrapText="1"/>
    </xf>
    <xf borderId="41" fillId="2" fontId="5" numFmtId="0" xfId="0" applyAlignment="1" applyBorder="1" applyFont="1">
      <alignment horizontal="center" vertical="center"/>
    </xf>
    <xf borderId="41" fillId="2" fontId="5" numFmtId="0" xfId="0" applyAlignment="1" applyBorder="1" applyFont="1">
      <alignment horizontal="center" vertical="center"/>
    </xf>
    <xf borderId="41" fillId="2" fontId="5" numFmtId="0" xfId="0" applyAlignment="1" applyBorder="1" applyFont="1">
      <alignment vertical="center"/>
    </xf>
    <xf borderId="1" fillId="5"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2" fontId="5" numFmtId="0" xfId="0" applyAlignment="1" applyBorder="1" applyFont="1">
      <alignment horizontal="center" shrinkToFit="0" vertical="center" wrapText="1"/>
    </xf>
    <xf borderId="1" fillId="2" fontId="5" numFmtId="0" xfId="0" applyAlignment="1" applyBorder="1" applyFont="1">
      <alignment horizontal="center" vertical="center"/>
    </xf>
    <xf borderId="2" fillId="0" fontId="10" numFmtId="0" xfId="0" applyAlignment="1" applyBorder="1" applyFont="1">
      <alignment vertical="bottom"/>
    </xf>
    <xf borderId="41" fillId="5" fontId="5" numFmtId="0" xfId="0" applyAlignment="1" applyBorder="1" applyFont="1">
      <alignment horizontal="center" vertical="center"/>
    </xf>
    <xf borderId="0" fillId="0" fontId="10" numFmtId="0" xfId="0" applyAlignment="1" applyFont="1">
      <alignment readingOrder="0" vertical="bottom"/>
    </xf>
    <xf borderId="0" fillId="0" fontId="2" numFmtId="3" xfId="0" applyFont="1" applyNumberFormat="1"/>
    <xf borderId="0" fillId="0" fontId="2" numFmtId="168" xfId="0" applyFont="1" applyNumberFormat="1"/>
    <xf borderId="0" fillId="0" fontId="2" numFmtId="169" xfId="0" applyFont="1" applyNumberFormat="1"/>
    <xf borderId="45" fillId="23" fontId="2" numFmtId="0" xfId="0" applyAlignment="1" applyBorder="1" applyFont="1">
      <alignment readingOrder="0"/>
    </xf>
    <xf borderId="46" fillId="23" fontId="7" numFmtId="0" xfId="0" applyAlignment="1" applyBorder="1" applyFont="1">
      <alignment horizontal="center" readingOrder="0" vertical="bottom"/>
    </xf>
    <xf borderId="47" fillId="0" fontId="14" numFmtId="0" xfId="0" applyBorder="1" applyFont="1"/>
    <xf borderId="48" fillId="0" fontId="14" numFmtId="0" xfId="0" applyBorder="1" applyFont="1"/>
    <xf borderId="2" fillId="0" fontId="2" numFmtId="0" xfId="0" applyAlignment="1" applyBorder="1" applyFont="1">
      <alignment readingOrder="0"/>
    </xf>
    <xf borderId="2" fillId="0" fontId="25" numFmtId="0" xfId="0" applyAlignment="1" applyBorder="1" applyFont="1">
      <alignment horizontal="center" readingOrder="0" vertical="bottom"/>
    </xf>
    <xf borderId="2" fillId="0" fontId="13" numFmtId="0" xfId="0" applyAlignment="1" applyBorder="1" applyFont="1">
      <alignment readingOrder="0"/>
    </xf>
    <xf borderId="2" fillId="2" fontId="2" numFmtId="0" xfId="0" applyBorder="1" applyFont="1"/>
    <xf borderId="2" fillId="2" fontId="10" numFmtId="0" xfId="0" applyAlignment="1" applyBorder="1" applyFont="1">
      <alignment vertical="bottom"/>
    </xf>
    <xf borderId="49" fillId="30" fontId="26" numFmtId="0" xfId="0" applyAlignment="1" applyBorder="1" applyFill="1" applyFont="1">
      <alignment vertical="bottom"/>
    </xf>
    <xf borderId="0" fillId="0" fontId="27" numFmtId="0" xfId="0" applyAlignment="1" applyFont="1">
      <alignment vertical="bottom"/>
    </xf>
    <xf borderId="0" fillId="0" fontId="27" numFmtId="174" xfId="0" applyAlignment="1" applyFont="1" applyNumberFormat="1">
      <alignment horizontal="right" vertical="bottom"/>
    </xf>
    <xf borderId="0" fillId="0" fontId="27" numFmtId="1" xfId="0" applyAlignment="1" applyFont="1" applyNumberFormat="1">
      <alignment horizontal="right" vertical="bottom"/>
    </xf>
    <xf borderId="2" fillId="15" fontId="2" numFmtId="0" xfId="0" applyAlignment="1" applyBorder="1" applyFont="1">
      <alignment horizontal="center" readingOrder="0"/>
    </xf>
    <xf borderId="2" fillId="23" fontId="10" numFmtId="0" xfId="0" applyAlignment="1" applyBorder="1" applyFont="1">
      <alignment horizontal="left" vertical="bottom"/>
    </xf>
    <xf borderId="50" fillId="23" fontId="7" numFmtId="0" xfId="0" applyAlignment="1" applyBorder="1" applyFont="1">
      <alignment horizontal="center" vertical="bottom"/>
    </xf>
    <xf borderId="51" fillId="0" fontId="14" numFmtId="0" xfId="0" applyBorder="1" applyFont="1"/>
    <xf borderId="52" fillId="0" fontId="14" numFmtId="0" xfId="0" applyBorder="1" applyFont="1"/>
    <xf borderId="50" fillId="23" fontId="7" numFmtId="0" xfId="0" applyAlignment="1" applyBorder="1" applyFont="1">
      <alignment horizontal="center" readingOrder="0" vertical="bottom"/>
    </xf>
    <xf borderId="53" fillId="0" fontId="25" numFmtId="0" xfId="0" applyAlignment="1" applyBorder="1" applyFont="1">
      <alignment horizontal="center" readingOrder="0" vertical="bottom"/>
    </xf>
    <xf borderId="53" fillId="0" fontId="13" numFmtId="0" xfId="0" applyAlignment="1" applyBorder="1" applyFont="1">
      <alignment horizontal="center" readingOrder="0"/>
    </xf>
    <xf borderId="30" fillId="0" fontId="25" numFmtId="0" xfId="0" applyAlignment="1" applyBorder="1" applyFont="1">
      <alignment horizontal="center" readingOrder="0" vertical="bottom"/>
    </xf>
    <xf borderId="2" fillId="0" fontId="12" numFmtId="0" xfId="0" applyAlignment="1" applyBorder="1" applyFont="1">
      <alignment horizontal="center" vertical="bottom"/>
    </xf>
    <xf borderId="2" fillId="2" fontId="28" numFmtId="0" xfId="0" applyAlignment="1" applyBorder="1" applyFont="1">
      <alignment horizontal="center" readingOrder="0"/>
    </xf>
    <xf borderId="2" fillId="0" fontId="12" numFmtId="0" xfId="0" applyAlignment="1" applyBorder="1" applyFont="1">
      <alignment horizontal="center" readingOrder="0" vertical="bottom"/>
    </xf>
    <xf borderId="2" fillId="23" fontId="10" numFmtId="0" xfId="0" applyAlignment="1" applyBorder="1" applyFont="1">
      <alignment horizontal="left" readingOrder="0" vertical="bottom"/>
    </xf>
    <xf borderId="0" fillId="2" fontId="28" numFmtId="0" xfId="0" applyAlignment="1" applyFont="1">
      <alignment horizontal="left" readingOrder="0"/>
    </xf>
    <xf borderId="30" fillId="0" fontId="13" numFmtId="0" xfId="0" applyAlignment="1" applyBorder="1" applyFont="1">
      <alignment horizontal="center" readingOrder="0"/>
    </xf>
    <xf borderId="54" fillId="0" fontId="28" numFmtId="0" xfId="0" applyAlignment="1" applyBorder="1" applyFont="1">
      <alignment horizontal="left" readingOrder="0"/>
    </xf>
    <xf borderId="2" fillId="23" fontId="2" numFmtId="0" xfId="0" applyAlignment="1" applyBorder="1" applyFont="1">
      <alignment readingOrder="0"/>
    </xf>
    <xf borderId="0" fillId="31" fontId="29" numFmtId="0" xfId="0" applyAlignment="1" applyFill="1" applyFont="1">
      <alignment readingOrder="0"/>
    </xf>
    <xf borderId="0" fillId="2" fontId="30" numFmtId="0" xfId="0" applyAlignment="1" applyFont="1">
      <alignment horizontal="left" readingOrder="0"/>
    </xf>
    <xf borderId="50" fillId="6" fontId="7" numFmtId="0" xfId="0" applyAlignment="1" applyBorder="1" applyFont="1">
      <alignment horizontal="center" readingOrder="0" vertical="bottom"/>
    </xf>
    <xf borderId="2" fillId="0" fontId="7" numFmtId="0" xfId="0" applyAlignment="1" applyBorder="1" applyFont="1">
      <alignment vertical="bottom"/>
    </xf>
    <xf borderId="0" fillId="2" fontId="28" numFmtId="0" xfId="0" applyAlignment="1" applyFont="1">
      <alignment horizontal="center" readingOrder="0"/>
    </xf>
    <xf borderId="2" fillId="0" fontId="10" numFmtId="0" xfId="0" applyAlignment="1" applyBorder="1" applyFont="1">
      <alignment horizontal="right" vertical="bottom"/>
    </xf>
    <xf borderId="2" fillId="2" fontId="28" numFmtId="0" xfId="0" applyAlignment="1" applyBorder="1" applyFont="1">
      <alignment horizontal="left" readingOrder="0"/>
    </xf>
    <xf borderId="2" fillId="31" fontId="31" numFmtId="0" xfId="0" applyAlignment="1" applyBorder="1" applyFont="1">
      <alignment readingOrder="0"/>
    </xf>
    <xf borderId="2" fillId="2" fontId="30" numFmtId="0" xfId="0" applyAlignment="1" applyBorder="1" applyFont="1">
      <alignment horizontal="left" readingOrder="0"/>
    </xf>
    <xf borderId="50" fillId="23" fontId="13" numFmtId="0" xfId="0" applyAlignment="1" applyBorder="1" applyFont="1">
      <alignment horizontal="center" readingOrder="0"/>
    </xf>
  </cellXfs>
  <cellStyles count="1">
    <cellStyle xfId="0" name="Normal" builtinId="0"/>
  </cellStyles>
  <dxfs count="11">
    <dxf>
      <font/>
      <fill>
        <patternFill patternType="solid">
          <fgColor rgb="FFB7E1CD"/>
          <bgColor rgb="FFB7E1CD"/>
        </patternFill>
      </fill>
      <border/>
    </dxf>
    <dxf>
      <font/>
      <fill>
        <patternFill patternType="solid">
          <fgColor rgb="FF6AA84F"/>
          <bgColor rgb="FF6AA84F"/>
        </patternFill>
      </fill>
      <border/>
    </dxf>
    <dxf>
      <font/>
      <fill>
        <patternFill patternType="solid">
          <fgColor rgb="FFFF0000"/>
          <bgColor rgb="FFFF0000"/>
        </patternFill>
      </fill>
      <border/>
    </dxf>
    <dxf>
      <font>
        <color rgb="FF000000"/>
      </font>
      <fill>
        <patternFill patternType="solid">
          <fgColor rgb="FFFFFF00"/>
          <bgColor rgb="FFFFFF00"/>
        </patternFill>
      </fill>
      <border/>
    </dxf>
    <dxf>
      <font/>
      <fill>
        <patternFill patternType="solid">
          <fgColor rgb="FF00FF00"/>
          <bgColor rgb="FF00FF00"/>
        </patternFill>
      </fill>
      <border/>
    </dxf>
    <dxf>
      <font>
        <color theme="1"/>
      </font>
      <fill>
        <patternFill patternType="solid">
          <fgColor rgb="FFFFFF00"/>
          <bgColor rgb="FFFFFF00"/>
        </patternFill>
      </fill>
      <border/>
    </dxf>
    <dxf>
      <font/>
      <fill>
        <patternFill patternType="solid">
          <fgColor rgb="FFD5A6BD"/>
          <bgColor rgb="FFD5A6BD"/>
        </patternFill>
      </fill>
      <border/>
    </dxf>
    <dxf>
      <font/>
      <fill>
        <patternFill patternType="solid">
          <fgColor rgb="FFB7B7B7"/>
          <bgColor rgb="FFB7B7B7"/>
        </patternFill>
      </fill>
      <border/>
    </dxf>
    <dxf>
      <font/>
      <fill>
        <patternFill patternType="solid">
          <fgColor theme="6"/>
          <bgColor theme="6"/>
        </patternFill>
      </fill>
      <border/>
    </dxf>
    <dxf>
      <font/>
      <fill>
        <patternFill patternType="solid">
          <fgColor rgb="FF3C78D8"/>
          <bgColor rgb="FF3C78D8"/>
        </patternFill>
      </fill>
      <border/>
    </dxf>
    <dxf>
      <font/>
      <fill>
        <patternFill patternType="solid">
          <fgColor theme="8"/>
          <bgColor them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561975</xdr:colOff>
      <xdr:row>5</xdr:row>
      <xdr:rowOff>295275</xdr:rowOff>
    </xdr:from>
    <xdr:ext cx="1390650" cy="714375"/>
    <xdr:sp>
      <xdr:nvSpPr>
        <xdr:cNvPr id="3" name="Shape 3"/>
        <xdr:cNvSpPr/>
      </xdr:nvSpPr>
      <xdr:spPr>
        <a:xfrm>
          <a:off x="255650" y="572625"/>
          <a:ext cx="1370225" cy="695350"/>
        </a:xfrm>
        <a:prstGeom prst="flowChartProcess">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LIMPIAR LUB</a:t>
          </a:r>
          <a:endParaRPr sz="1400"/>
        </a:p>
      </xdr:txBody>
    </xdr:sp>
    <xdr:clientData fLocksWithSheet="0"/>
  </xdr:oneCellAnchor>
  <xdr:oneCellAnchor>
    <xdr:from>
      <xdr:col>20</xdr:col>
      <xdr:colOff>38100</xdr:colOff>
      <xdr:row>6</xdr:row>
      <xdr:rowOff>180975</xdr:rowOff>
    </xdr:from>
    <xdr:ext cx="1666875" cy="790575"/>
    <xdr:grpSp>
      <xdr:nvGrpSpPr>
        <xdr:cNvPr id="2" name="Shape 2" title="Dibujo"/>
        <xdr:cNvGrpSpPr/>
      </xdr:nvGrpSpPr>
      <xdr:grpSpPr>
        <a:xfrm>
          <a:off x="2578900" y="1658600"/>
          <a:ext cx="2352000" cy="1094100"/>
          <a:chOff x="2578900" y="1658600"/>
          <a:chExt cx="2352000" cy="1094100"/>
        </a:xfrm>
      </xdr:grpSpPr>
      <xdr:sp>
        <xdr:nvSpPr>
          <xdr:cNvPr id="4" name="Shape 4"/>
          <xdr:cNvSpPr/>
        </xdr:nvSpPr>
        <xdr:spPr>
          <a:xfrm>
            <a:off x="2578900" y="1658600"/>
            <a:ext cx="2352000" cy="10941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txBox="1"/>
        </xdr:nvSpPr>
        <xdr:spPr>
          <a:xfrm>
            <a:off x="3018700" y="2005550"/>
            <a:ext cx="1472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Borrado MPP</a:t>
            </a:r>
            <a:endParaRPr sz="1400"/>
          </a:p>
        </xdr:txBody>
      </xdr: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6.0" topLeftCell="A17" activePane="bottomLeft" state="frozen"/>
      <selection activeCell="B18" sqref="B18" pane="bottomLeft"/>
    </sheetView>
  </sheetViews>
  <sheetFormatPr customHeight="1" defaultColWidth="12.63" defaultRowHeight="15.75"/>
  <cols>
    <col customWidth="1" min="1" max="7" width="18.88"/>
    <col customWidth="1" min="8" max="8" width="38.25"/>
    <col customWidth="1" min="9" max="16" width="18.88"/>
  </cols>
  <sheetData>
    <row r="1">
      <c r="A1" s="1" t="str">
        <f t="array" ref="A1:A900">L:L&amp;G:G</f>
        <v>MARCA TEMPORALMÓVIL </v>
      </c>
      <c r="B1" s="2" t="s">
        <v>0</v>
      </c>
      <c r="C1" s="3" t="str">
        <f t="array" ref="C1:C900">IFERROR(IF(B:B="","",TEXT(B:B,"dd")),"DIA")</f>
        <v>Marca temporal</v>
      </c>
      <c r="D1" s="4" t="str">
        <f t="array" ref="D1:D900">IFERROR(IF(B:B="","",TEXT(B:B,"mm")),"MES")</f>
        <v>Marca temporal</v>
      </c>
      <c r="E1" s="5" t="str">
        <f t="array" ref="E1:E900">IFERROR(IF(B:B="","",YEAR(B:B)),"AÑO")</f>
        <v>AÑO</v>
      </c>
      <c r="F1" s="6" t="str">
        <f t="array" ref="F1:F900">B:B</f>
        <v>Marca temporal</v>
      </c>
      <c r="G1" s="5" t="s">
        <v>1</v>
      </c>
      <c r="H1" s="5" t="s">
        <v>2</v>
      </c>
      <c r="I1" s="3" t="s">
        <v>3</v>
      </c>
      <c r="J1" s="3" t="s">
        <v>4</v>
      </c>
      <c r="L1" s="7" t="str">
        <f t="array" ref="L1:L900">UPPER(M:M)</f>
        <v>MARCA TEMPORAL</v>
      </c>
      <c r="M1" s="8" t="str">
        <f t="array" ref="M1:M900">IF(B:B="","",TEXT(B:B,"MMMM"))</f>
        <v>Marca temporal</v>
      </c>
      <c r="N1" s="9"/>
    </row>
    <row r="2">
      <c r="A2" s="8" t="s">
        <v>5</v>
      </c>
      <c r="B2" s="10">
        <v>44915.40996292824</v>
      </c>
      <c r="C2" s="8" t="s">
        <v>6</v>
      </c>
      <c r="D2" s="11" t="s">
        <v>7</v>
      </c>
      <c r="E2" s="7">
        <v>2022.0</v>
      </c>
      <c r="F2" s="12">
        <v>44915.40996292824</v>
      </c>
      <c r="G2" s="7">
        <v>2563.0</v>
      </c>
      <c r="H2" s="7" t="s">
        <v>8</v>
      </c>
      <c r="I2" s="13"/>
      <c r="J2" s="13"/>
      <c r="L2" s="8" t="s">
        <v>9</v>
      </c>
      <c r="M2" s="8" t="s">
        <v>10</v>
      </c>
      <c r="N2" s="9">
        <f>B2</f>
        <v>44915.40996</v>
      </c>
    </row>
    <row r="3">
      <c r="A3" s="8" t="s">
        <v>11</v>
      </c>
      <c r="B3" s="10">
        <v>44915.4100984838</v>
      </c>
      <c r="C3" s="8" t="s">
        <v>6</v>
      </c>
      <c r="D3" s="11" t="s">
        <v>7</v>
      </c>
      <c r="E3" s="7">
        <v>2022.0</v>
      </c>
      <c r="F3" s="12">
        <v>44915.4100984838</v>
      </c>
      <c r="G3" s="7">
        <v>2628.0</v>
      </c>
      <c r="H3" s="7" t="s">
        <v>8</v>
      </c>
      <c r="I3" s="13"/>
      <c r="J3" s="13"/>
      <c r="L3" s="8" t="s">
        <v>9</v>
      </c>
      <c r="M3" s="8" t="s">
        <v>10</v>
      </c>
      <c r="N3" s="9"/>
    </row>
    <row r="4">
      <c r="A4" s="8" t="s">
        <v>12</v>
      </c>
      <c r="B4" s="10">
        <v>44915.410259502314</v>
      </c>
      <c r="C4" s="8" t="s">
        <v>6</v>
      </c>
      <c r="D4" s="11" t="s">
        <v>7</v>
      </c>
      <c r="E4" s="7">
        <v>2022.0</v>
      </c>
      <c r="F4" s="12">
        <v>44915.410259502314</v>
      </c>
      <c r="G4" s="7">
        <v>2469.0</v>
      </c>
      <c r="H4" s="7" t="s">
        <v>8</v>
      </c>
      <c r="I4" s="13"/>
      <c r="J4" s="13"/>
      <c r="L4" s="8" t="s">
        <v>9</v>
      </c>
      <c r="M4" s="8" t="s">
        <v>10</v>
      </c>
      <c r="N4" s="9"/>
    </row>
    <row r="5">
      <c r="A5" s="8" t="s">
        <v>13</v>
      </c>
      <c r="B5" s="10">
        <v>44915.410406435185</v>
      </c>
      <c r="C5" s="8" t="s">
        <v>6</v>
      </c>
      <c r="D5" s="11" t="s">
        <v>7</v>
      </c>
      <c r="E5" s="7">
        <v>2022.0</v>
      </c>
      <c r="F5" s="12">
        <v>44915.410406435185</v>
      </c>
      <c r="G5" s="7">
        <v>2677.0</v>
      </c>
      <c r="H5" s="7" t="s">
        <v>8</v>
      </c>
      <c r="I5" s="13"/>
      <c r="J5" s="13"/>
      <c r="L5" s="8" t="s">
        <v>9</v>
      </c>
      <c r="M5" s="8" t="s">
        <v>10</v>
      </c>
      <c r="N5" s="9"/>
    </row>
    <row r="6">
      <c r="A6" s="8" t="s">
        <v>14</v>
      </c>
      <c r="B6" s="10">
        <v>44915.410555787035</v>
      </c>
      <c r="C6" s="8" t="s">
        <v>6</v>
      </c>
      <c r="D6" s="11" t="s">
        <v>7</v>
      </c>
      <c r="E6" s="7">
        <v>2022.0</v>
      </c>
      <c r="F6" s="12">
        <v>44915.410555787035</v>
      </c>
      <c r="G6" s="7">
        <v>2194.0</v>
      </c>
      <c r="H6" s="7" t="s">
        <v>8</v>
      </c>
      <c r="I6" s="13"/>
      <c r="J6" s="13"/>
      <c r="L6" s="8" t="s">
        <v>9</v>
      </c>
      <c r="M6" s="8" t="s">
        <v>10</v>
      </c>
      <c r="N6" s="9"/>
    </row>
    <row r="7">
      <c r="A7" s="8" t="s">
        <v>15</v>
      </c>
      <c r="B7" s="10">
        <v>44915.41068395833</v>
      </c>
      <c r="C7" s="8" t="s">
        <v>6</v>
      </c>
      <c r="D7" s="11" t="s">
        <v>7</v>
      </c>
      <c r="E7" s="7">
        <v>2022.0</v>
      </c>
      <c r="F7" s="12">
        <v>44915.41068395833</v>
      </c>
      <c r="G7" s="7">
        <v>2460.0</v>
      </c>
      <c r="H7" s="7" t="s">
        <v>8</v>
      </c>
      <c r="I7" s="13"/>
      <c r="J7" s="13"/>
      <c r="L7" s="8" t="s">
        <v>9</v>
      </c>
      <c r="M7" s="8" t="s">
        <v>10</v>
      </c>
      <c r="N7" s="9"/>
    </row>
    <row r="8">
      <c r="A8" s="8" t="s">
        <v>16</v>
      </c>
      <c r="B8" s="10">
        <v>44915.41083436343</v>
      </c>
      <c r="C8" s="8" t="s">
        <v>6</v>
      </c>
      <c r="D8" s="11" t="s">
        <v>7</v>
      </c>
      <c r="E8" s="7">
        <v>2022.0</v>
      </c>
      <c r="F8" s="12">
        <v>44915.41083436343</v>
      </c>
      <c r="G8" s="7">
        <v>2669.0</v>
      </c>
      <c r="H8" s="7" t="s">
        <v>8</v>
      </c>
      <c r="I8" s="13"/>
      <c r="J8" s="13"/>
      <c r="L8" s="8" t="s">
        <v>9</v>
      </c>
      <c r="M8" s="8" t="s">
        <v>10</v>
      </c>
      <c r="N8" s="9"/>
    </row>
    <row r="9">
      <c r="A9" s="8" t="s">
        <v>17</v>
      </c>
      <c r="B9" s="10">
        <v>44915.41094962963</v>
      </c>
      <c r="C9" s="8" t="s">
        <v>6</v>
      </c>
      <c r="D9" s="11" t="s">
        <v>7</v>
      </c>
      <c r="E9" s="7">
        <v>2022.0</v>
      </c>
      <c r="F9" s="12">
        <v>44915.41094962963</v>
      </c>
      <c r="G9" s="7">
        <v>2189.0</v>
      </c>
      <c r="H9" s="7" t="s">
        <v>8</v>
      </c>
      <c r="I9" s="13"/>
      <c r="J9" s="13"/>
      <c r="L9" s="8" t="s">
        <v>9</v>
      </c>
      <c r="M9" s="8" t="s">
        <v>10</v>
      </c>
      <c r="N9" s="9"/>
    </row>
    <row r="10">
      <c r="A10" s="8" t="s">
        <v>18</v>
      </c>
      <c r="B10" s="10">
        <v>44915.41109006944</v>
      </c>
      <c r="C10" s="8" t="s">
        <v>6</v>
      </c>
      <c r="D10" s="11" t="s">
        <v>7</v>
      </c>
      <c r="E10" s="7">
        <v>2022.0</v>
      </c>
      <c r="F10" s="12">
        <v>44915.41109006944</v>
      </c>
      <c r="G10" s="7">
        <v>2629.0</v>
      </c>
      <c r="H10" s="7" t="s">
        <v>8</v>
      </c>
      <c r="I10" s="13"/>
      <c r="J10" s="13"/>
      <c r="L10" s="8" t="s">
        <v>9</v>
      </c>
      <c r="M10" s="8" t="s">
        <v>10</v>
      </c>
      <c r="N10" s="9"/>
    </row>
    <row r="11">
      <c r="A11" s="8" t="s">
        <v>19</v>
      </c>
      <c r="B11" s="10">
        <v>44915.41124793982</v>
      </c>
      <c r="C11" s="8" t="s">
        <v>6</v>
      </c>
      <c r="D11" s="11" t="s">
        <v>7</v>
      </c>
      <c r="E11" s="7">
        <v>2022.0</v>
      </c>
      <c r="F11" s="12">
        <v>44915.41124793982</v>
      </c>
      <c r="G11" s="7">
        <v>2367.0</v>
      </c>
      <c r="H11" s="7" t="s">
        <v>8</v>
      </c>
      <c r="I11" s="13"/>
      <c r="J11" s="13"/>
      <c r="L11" s="8" t="s">
        <v>9</v>
      </c>
      <c r="M11" s="8" t="s">
        <v>10</v>
      </c>
      <c r="N11" s="9"/>
    </row>
    <row r="12">
      <c r="A12" s="8" t="s">
        <v>5</v>
      </c>
      <c r="B12" s="10">
        <v>44915.412418935186</v>
      </c>
      <c r="C12" s="8" t="s">
        <v>6</v>
      </c>
      <c r="D12" s="11" t="s">
        <v>7</v>
      </c>
      <c r="E12" s="7">
        <v>2022.0</v>
      </c>
      <c r="F12" s="12">
        <v>44915.412418935186</v>
      </c>
      <c r="G12" s="7">
        <v>2563.0</v>
      </c>
      <c r="H12" s="7" t="s">
        <v>8</v>
      </c>
      <c r="I12" s="13"/>
      <c r="J12" s="13"/>
      <c r="L12" s="8" t="s">
        <v>9</v>
      </c>
      <c r="M12" s="8" t="s">
        <v>10</v>
      </c>
      <c r="N12" s="9"/>
    </row>
    <row r="13">
      <c r="A13" s="8" t="s">
        <v>20</v>
      </c>
      <c r="B13" s="10">
        <v>44916.27055140046</v>
      </c>
      <c r="C13" s="8" t="s">
        <v>21</v>
      </c>
      <c r="D13" s="11" t="s">
        <v>7</v>
      </c>
      <c r="E13" s="7">
        <v>2022.0</v>
      </c>
      <c r="F13" s="12">
        <v>44916.27055140046</v>
      </c>
      <c r="G13" s="7">
        <v>2400.0</v>
      </c>
      <c r="H13" s="7" t="s">
        <v>8</v>
      </c>
      <c r="I13" s="13"/>
      <c r="J13" s="13"/>
      <c r="L13" s="8" t="s">
        <v>9</v>
      </c>
      <c r="M13" s="8" t="s">
        <v>10</v>
      </c>
      <c r="N13" s="9"/>
    </row>
    <row r="14">
      <c r="A14" s="8" t="s">
        <v>22</v>
      </c>
      <c r="B14" s="10">
        <v>44916.27244263889</v>
      </c>
      <c r="C14" s="8" t="s">
        <v>21</v>
      </c>
      <c r="D14" s="11" t="s">
        <v>7</v>
      </c>
      <c r="E14" s="7">
        <v>2022.0</v>
      </c>
      <c r="F14" s="12">
        <v>44916.27244263889</v>
      </c>
      <c r="G14" s="7">
        <v>2369.0</v>
      </c>
      <c r="H14" s="7" t="s">
        <v>8</v>
      </c>
      <c r="I14" s="13"/>
      <c r="J14" s="13"/>
      <c r="L14" s="8" t="s">
        <v>9</v>
      </c>
      <c r="M14" s="8" t="s">
        <v>10</v>
      </c>
      <c r="N14" s="9"/>
    </row>
    <row r="15" ht="21.0" customHeight="1">
      <c r="A15" s="14" t="s">
        <v>23</v>
      </c>
      <c r="B15" s="15">
        <v>44916.273107615736</v>
      </c>
      <c r="C15" s="14" t="s">
        <v>21</v>
      </c>
      <c r="D15" s="16" t="s">
        <v>7</v>
      </c>
      <c r="E15" s="17">
        <v>2022.0</v>
      </c>
      <c r="F15" s="18">
        <v>44916.273107615736</v>
      </c>
      <c r="G15" s="17">
        <v>2360.0</v>
      </c>
      <c r="H15" s="17" t="s">
        <v>8</v>
      </c>
      <c r="I15" s="19"/>
      <c r="J15" s="19"/>
      <c r="K15" s="14"/>
      <c r="L15" s="14" t="s">
        <v>9</v>
      </c>
      <c r="M15" s="14" t="s">
        <v>10</v>
      </c>
      <c r="N15" s="20"/>
    </row>
    <row r="16" ht="19.5" customHeight="1">
      <c r="A16" s="21" t="s">
        <v>24</v>
      </c>
      <c r="B16" s="22">
        <v>44916.27319497685</v>
      </c>
      <c r="C16" s="21" t="s">
        <v>21</v>
      </c>
      <c r="D16" s="23" t="s">
        <v>7</v>
      </c>
      <c r="E16" s="24">
        <v>2022.0</v>
      </c>
      <c r="F16" s="25">
        <v>44916.27319497685</v>
      </c>
      <c r="G16" s="24">
        <v>2179.0</v>
      </c>
      <c r="H16" s="24" t="s">
        <v>8</v>
      </c>
      <c r="I16" s="26"/>
      <c r="J16" s="26"/>
      <c r="K16" s="21"/>
      <c r="L16" s="21" t="s">
        <v>9</v>
      </c>
      <c r="M16" s="21" t="s">
        <v>10</v>
      </c>
      <c r="N16" s="27"/>
    </row>
    <row r="17" ht="16.5" customHeight="1">
      <c r="A17" s="28" t="s">
        <v>25</v>
      </c>
      <c r="B17" s="29">
        <v>44916.27329045139</v>
      </c>
      <c r="C17" s="28" t="s">
        <v>21</v>
      </c>
      <c r="D17" s="30" t="s">
        <v>7</v>
      </c>
      <c r="E17" s="31">
        <v>2022.0</v>
      </c>
      <c r="F17" s="32">
        <v>44916.27329045139</v>
      </c>
      <c r="G17" s="31">
        <v>2187.0</v>
      </c>
      <c r="H17" s="31" t="s">
        <v>8</v>
      </c>
      <c r="I17" s="33"/>
      <c r="J17" s="33"/>
      <c r="K17" s="28"/>
      <c r="L17" s="28" t="s">
        <v>9</v>
      </c>
      <c r="M17" s="28" t="s">
        <v>10</v>
      </c>
      <c r="N17" s="34"/>
    </row>
    <row r="18" ht="16.5" customHeight="1">
      <c r="A18" s="35" t="s">
        <v>26</v>
      </c>
      <c r="B18" s="36">
        <v>44916.273385057866</v>
      </c>
      <c r="C18" s="35" t="s">
        <v>21</v>
      </c>
      <c r="D18" s="37" t="s">
        <v>7</v>
      </c>
      <c r="E18" s="38">
        <v>2022.0</v>
      </c>
      <c r="F18" s="39">
        <v>44916.273385057866</v>
      </c>
      <c r="G18" s="38">
        <v>2660.0</v>
      </c>
      <c r="H18" s="38" t="s">
        <v>8</v>
      </c>
      <c r="I18" s="40"/>
      <c r="J18" s="40"/>
      <c r="K18" s="35"/>
      <c r="L18" s="35" t="s">
        <v>9</v>
      </c>
      <c r="M18" s="35" t="s">
        <v>10</v>
      </c>
      <c r="N18" s="41"/>
    </row>
    <row r="19" ht="16.5" customHeight="1">
      <c r="A19" s="28" t="s">
        <v>27</v>
      </c>
      <c r="B19" s="29">
        <v>44916.273508576385</v>
      </c>
      <c r="C19" s="28" t="s">
        <v>21</v>
      </c>
      <c r="D19" s="30" t="s">
        <v>7</v>
      </c>
      <c r="E19" s="31">
        <v>2022.0</v>
      </c>
      <c r="F19" s="32">
        <v>44916.273508576385</v>
      </c>
      <c r="G19" s="31">
        <v>2622.0</v>
      </c>
      <c r="H19" s="31" t="s">
        <v>8</v>
      </c>
      <c r="I19" s="33"/>
      <c r="J19" s="33"/>
      <c r="K19" s="28"/>
      <c r="L19" s="28" t="s">
        <v>9</v>
      </c>
      <c r="M19" s="28" t="s">
        <v>10</v>
      </c>
      <c r="N19" s="34"/>
    </row>
    <row r="20" ht="16.5" customHeight="1">
      <c r="A20" s="35" t="s">
        <v>28</v>
      </c>
      <c r="B20" s="36">
        <v>44916.27360144676</v>
      </c>
      <c r="C20" s="35" t="s">
        <v>21</v>
      </c>
      <c r="D20" s="37" t="s">
        <v>7</v>
      </c>
      <c r="E20" s="38">
        <v>2022.0</v>
      </c>
      <c r="F20" s="39">
        <v>44916.27360144676</v>
      </c>
      <c r="G20" s="38">
        <v>2455.0</v>
      </c>
      <c r="H20" s="38" t="s">
        <v>8</v>
      </c>
      <c r="I20" s="40"/>
      <c r="J20" s="40"/>
      <c r="K20" s="35"/>
      <c r="L20" s="35" t="s">
        <v>9</v>
      </c>
      <c r="M20" s="35" t="s">
        <v>10</v>
      </c>
      <c r="N20" s="41"/>
    </row>
    <row r="21" ht="16.5" customHeight="1">
      <c r="A21" s="28" t="s">
        <v>29</v>
      </c>
      <c r="B21" s="29">
        <v>44916.2737383912</v>
      </c>
      <c r="C21" s="28" t="s">
        <v>21</v>
      </c>
      <c r="D21" s="30" t="s">
        <v>7</v>
      </c>
      <c r="E21" s="31">
        <v>2022.0</v>
      </c>
      <c r="F21" s="32">
        <v>44916.2737383912</v>
      </c>
      <c r="G21" s="31">
        <v>2638.0</v>
      </c>
      <c r="H21" s="31" t="s">
        <v>8</v>
      </c>
      <c r="I21" s="33"/>
      <c r="J21" s="33"/>
      <c r="K21" s="28"/>
      <c r="L21" s="28" t="s">
        <v>9</v>
      </c>
      <c r="M21" s="28" t="s">
        <v>10</v>
      </c>
      <c r="N21" s="34"/>
    </row>
    <row r="22" ht="16.5" customHeight="1">
      <c r="A22" s="35" t="s">
        <v>30</v>
      </c>
      <c r="B22" s="36">
        <v>44916.273818877315</v>
      </c>
      <c r="C22" s="35" t="s">
        <v>21</v>
      </c>
      <c r="D22" s="37" t="s">
        <v>7</v>
      </c>
      <c r="E22" s="38">
        <v>2022.0</v>
      </c>
      <c r="F22" s="39">
        <v>44916.273818877315</v>
      </c>
      <c r="G22" s="38">
        <v>2623.0</v>
      </c>
      <c r="H22" s="38" t="s">
        <v>8</v>
      </c>
      <c r="I22" s="40"/>
      <c r="J22" s="40"/>
      <c r="K22" s="35"/>
      <c r="L22" s="35" t="s">
        <v>9</v>
      </c>
      <c r="M22" s="35" t="s">
        <v>10</v>
      </c>
      <c r="N22" s="41"/>
    </row>
    <row r="23" ht="16.5" customHeight="1">
      <c r="A23" s="28" t="s">
        <v>31</v>
      </c>
      <c r="B23" s="29">
        <v>44921.97537959491</v>
      </c>
      <c r="C23" s="28" t="s">
        <v>32</v>
      </c>
      <c r="D23" s="30" t="s">
        <v>7</v>
      </c>
      <c r="E23" s="31">
        <v>2022.0</v>
      </c>
      <c r="F23" s="32">
        <v>44921.97537959491</v>
      </c>
      <c r="G23" s="31">
        <v>2391.0</v>
      </c>
      <c r="H23" s="31" t="s">
        <v>8</v>
      </c>
      <c r="I23" s="33"/>
      <c r="J23" s="33"/>
      <c r="K23" s="28"/>
      <c r="L23" s="28" t="s">
        <v>9</v>
      </c>
      <c r="M23" s="28" t="s">
        <v>10</v>
      </c>
      <c r="N23" s="34"/>
    </row>
    <row r="24" ht="16.5" customHeight="1">
      <c r="A24" s="35" t="s">
        <v>33</v>
      </c>
      <c r="B24" s="36">
        <v>44922.00879802083</v>
      </c>
      <c r="C24" s="35" t="s">
        <v>34</v>
      </c>
      <c r="D24" s="37" t="s">
        <v>7</v>
      </c>
      <c r="E24" s="38">
        <v>2022.0</v>
      </c>
      <c r="F24" s="39">
        <v>44922.00879802083</v>
      </c>
      <c r="G24" s="38">
        <v>2225.0</v>
      </c>
      <c r="H24" s="38" t="s">
        <v>8</v>
      </c>
      <c r="I24" s="40"/>
      <c r="J24" s="40"/>
      <c r="K24" s="35"/>
      <c r="L24" s="35" t="s">
        <v>9</v>
      </c>
      <c r="M24" s="35" t="s">
        <v>10</v>
      </c>
      <c r="N24" s="41"/>
    </row>
    <row r="25" ht="16.5" customHeight="1">
      <c r="A25" s="28" t="s">
        <v>35</v>
      </c>
      <c r="B25" s="29">
        <v>44922.0626057176</v>
      </c>
      <c r="C25" s="28" t="s">
        <v>34</v>
      </c>
      <c r="D25" s="30" t="s">
        <v>7</v>
      </c>
      <c r="E25" s="31">
        <v>2022.0</v>
      </c>
      <c r="F25" s="32">
        <v>44922.0626057176</v>
      </c>
      <c r="G25" s="31">
        <v>2620.0</v>
      </c>
      <c r="H25" s="31" t="s">
        <v>8</v>
      </c>
      <c r="I25" s="33"/>
      <c r="J25" s="33"/>
      <c r="K25" s="28"/>
      <c r="L25" s="28" t="s">
        <v>9</v>
      </c>
      <c r="M25" s="28" t="s">
        <v>10</v>
      </c>
      <c r="N25" s="34"/>
    </row>
    <row r="26" ht="16.5" customHeight="1">
      <c r="A26" s="35" t="s">
        <v>36</v>
      </c>
      <c r="B26" s="36">
        <v>44922.12066965278</v>
      </c>
      <c r="C26" s="35" t="s">
        <v>34</v>
      </c>
      <c r="D26" s="37" t="s">
        <v>7</v>
      </c>
      <c r="E26" s="38">
        <v>2022.0</v>
      </c>
      <c r="F26" s="39">
        <v>44922.12066965278</v>
      </c>
      <c r="G26" s="38">
        <v>2422.0</v>
      </c>
      <c r="H26" s="38" t="s">
        <v>8</v>
      </c>
      <c r="I26" s="40"/>
      <c r="J26" s="40"/>
      <c r="K26" s="35"/>
      <c r="L26" s="35" t="s">
        <v>9</v>
      </c>
      <c r="M26" s="35" t="s">
        <v>10</v>
      </c>
      <c r="N26" s="41"/>
    </row>
    <row r="27" ht="16.5" customHeight="1">
      <c r="A27" s="28" t="s">
        <v>37</v>
      </c>
      <c r="B27" s="29">
        <v>44922.16588681713</v>
      </c>
      <c r="C27" s="28" t="s">
        <v>34</v>
      </c>
      <c r="D27" s="30" t="s">
        <v>7</v>
      </c>
      <c r="E27" s="31">
        <v>2022.0</v>
      </c>
      <c r="F27" s="32">
        <v>44922.16588681713</v>
      </c>
      <c r="G27" s="31">
        <v>2376.0</v>
      </c>
      <c r="H27" s="31" t="s">
        <v>8</v>
      </c>
      <c r="I27" s="33"/>
      <c r="J27" s="33"/>
      <c r="K27" s="28"/>
      <c r="L27" s="28" t="s">
        <v>9</v>
      </c>
      <c r="M27" s="28" t="s">
        <v>10</v>
      </c>
      <c r="N27" s="34"/>
    </row>
    <row r="28" ht="16.5" customHeight="1">
      <c r="A28" s="35" t="s">
        <v>38</v>
      </c>
      <c r="B28" s="36">
        <v>44922.22321538195</v>
      </c>
      <c r="C28" s="35" t="s">
        <v>34</v>
      </c>
      <c r="D28" s="37" t="s">
        <v>7</v>
      </c>
      <c r="E28" s="38">
        <v>2022.0</v>
      </c>
      <c r="F28" s="39">
        <v>44922.22321538195</v>
      </c>
      <c r="G28" s="38">
        <v>2374.0</v>
      </c>
      <c r="H28" s="38" t="s">
        <v>8</v>
      </c>
      <c r="I28" s="40"/>
      <c r="J28" s="40"/>
      <c r="K28" s="35"/>
      <c r="L28" s="35" t="s">
        <v>9</v>
      </c>
      <c r="M28" s="35" t="s">
        <v>10</v>
      </c>
      <c r="N28" s="41"/>
    </row>
    <row r="29" ht="16.5" customHeight="1">
      <c r="A29" s="28" t="s">
        <v>39</v>
      </c>
      <c r="B29" s="29">
        <v>44922.958148460646</v>
      </c>
      <c r="C29" s="28" t="s">
        <v>34</v>
      </c>
      <c r="D29" s="30" t="s">
        <v>7</v>
      </c>
      <c r="E29" s="31">
        <v>2022.0</v>
      </c>
      <c r="F29" s="32">
        <v>44922.958148460646</v>
      </c>
      <c r="G29" s="31">
        <v>2683.0</v>
      </c>
      <c r="H29" s="31" t="s">
        <v>40</v>
      </c>
      <c r="I29" s="33"/>
      <c r="J29" s="33"/>
      <c r="K29" s="28"/>
      <c r="L29" s="28" t="s">
        <v>9</v>
      </c>
      <c r="M29" s="28" t="s">
        <v>10</v>
      </c>
      <c r="N29" s="34"/>
    </row>
    <row r="30" ht="16.5" customHeight="1">
      <c r="A30" s="35" t="s">
        <v>41</v>
      </c>
      <c r="B30" s="36">
        <v>44923.0154262037</v>
      </c>
      <c r="C30" s="35" t="s">
        <v>42</v>
      </c>
      <c r="D30" s="37" t="s">
        <v>7</v>
      </c>
      <c r="E30" s="38">
        <v>2022.0</v>
      </c>
      <c r="F30" s="39">
        <v>44923.0154262037</v>
      </c>
      <c r="G30" s="38">
        <v>2201.0</v>
      </c>
      <c r="H30" s="38" t="s">
        <v>8</v>
      </c>
      <c r="I30" s="40"/>
      <c r="J30" s="40"/>
      <c r="K30" s="35"/>
      <c r="L30" s="35" t="s">
        <v>9</v>
      </c>
      <c r="M30" s="35" t="s">
        <v>10</v>
      </c>
      <c r="N30" s="41"/>
    </row>
    <row r="31" ht="16.5" customHeight="1">
      <c r="A31" s="28" t="s">
        <v>43</v>
      </c>
      <c r="B31" s="29">
        <v>44923.053454953704</v>
      </c>
      <c r="C31" s="28" t="s">
        <v>42</v>
      </c>
      <c r="D31" s="30" t="s">
        <v>7</v>
      </c>
      <c r="E31" s="31">
        <v>2022.0</v>
      </c>
      <c r="F31" s="32">
        <v>44923.053454953704</v>
      </c>
      <c r="G31" s="31">
        <v>2241.0</v>
      </c>
      <c r="H31" s="31" t="s">
        <v>8</v>
      </c>
      <c r="I31" s="33"/>
      <c r="J31" s="33"/>
      <c r="K31" s="28"/>
      <c r="L31" s="28" t="s">
        <v>9</v>
      </c>
      <c r="M31" s="28" t="s">
        <v>10</v>
      </c>
      <c r="N31" s="34"/>
    </row>
    <row r="32" ht="16.5" customHeight="1">
      <c r="A32" s="35" t="s">
        <v>44</v>
      </c>
      <c r="B32" s="36">
        <v>44923.08534164352</v>
      </c>
      <c r="C32" s="35" t="s">
        <v>42</v>
      </c>
      <c r="D32" s="37" t="s">
        <v>7</v>
      </c>
      <c r="E32" s="38">
        <v>2022.0</v>
      </c>
      <c r="F32" s="39">
        <v>44923.08534164352</v>
      </c>
      <c r="G32" s="38">
        <v>2462.0</v>
      </c>
      <c r="H32" s="38" t="s">
        <v>8</v>
      </c>
      <c r="I32" s="40"/>
      <c r="J32" s="40"/>
      <c r="K32" s="35"/>
      <c r="L32" s="35" t="s">
        <v>9</v>
      </c>
      <c r="M32" s="35" t="s">
        <v>10</v>
      </c>
      <c r="N32" s="41"/>
    </row>
    <row r="33" ht="16.5" customHeight="1">
      <c r="A33" s="28" t="s">
        <v>45</v>
      </c>
      <c r="B33" s="29">
        <v>44923.15130650463</v>
      </c>
      <c r="C33" s="28" t="s">
        <v>42</v>
      </c>
      <c r="D33" s="30" t="s">
        <v>7</v>
      </c>
      <c r="E33" s="31">
        <v>2022.0</v>
      </c>
      <c r="F33" s="32">
        <v>44923.15130650463</v>
      </c>
      <c r="G33" s="31">
        <v>2196.0</v>
      </c>
      <c r="H33" s="31" t="s">
        <v>8</v>
      </c>
      <c r="I33" s="33"/>
      <c r="J33" s="33"/>
      <c r="K33" s="28"/>
      <c r="L33" s="28" t="s">
        <v>9</v>
      </c>
      <c r="M33" s="28" t="s">
        <v>10</v>
      </c>
      <c r="N33" s="34"/>
    </row>
    <row r="34" ht="16.5" customHeight="1">
      <c r="A34" s="35" t="s">
        <v>46</v>
      </c>
      <c r="B34" s="36">
        <v>44923.1861035301</v>
      </c>
      <c r="C34" s="35" t="s">
        <v>42</v>
      </c>
      <c r="D34" s="37" t="s">
        <v>7</v>
      </c>
      <c r="E34" s="38">
        <v>2022.0</v>
      </c>
      <c r="F34" s="39">
        <v>44923.1861035301</v>
      </c>
      <c r="G34" s="38">
        <v>2388.0</v>
      </c>
      <c r="H34" s="38" t="s">
        <v>8</v>
      </c>
      <c r="I34" s="40"/>
      <c r="J34" s="40"/>
      <c r="K34" s="35"/>
      <c r="L34" s="35" t="s">
        <v>9</v>
      </c>
      <c r="M34" s="35" t="s">
        <v>10</v>
      </c>
      <c r="N34" s="41"/>
    </row>
    <row r="35" ht="16.5" customHeight="1">
      <c r="A35" s="28" t="s">
        <v>47</v>
      </c>
      <c r="B35" s="29">
        <v>44923.220787638886</v>
      </c>
      <c r="C35" s="28" t="s">
        <v>42</v>
      </c>
      <c r="D35" s="30" t="s">
        <v>7</v>
      </c>
      <c r="E35" s="31">
        <v>2022.0</v>
      </c>
      <c r="F35" s="32">
        <v>44923.220787638886</v>
      </c>
      <c r="G35" s="31">
        <v>2197.0</v>
      </c>
      <c r="H35" s="31" t="s">
        <v>8</v>
      </c>
      <c r="I35" s="33"/>
      <c r="J35" s="33"/>
      <c r="K35" s="28"/>
      <c r="L35" s="28" t="s">
        <v>9</v>
      </c>
      <c r="M35" s="28" t="s">
        <v>10</v>
      </c>
      <c r="N35" s="34"/>
    </row>
    <row r="36" ht="16.5" customHeight="1">
      <c r="A36" s="35" t="s">
        <v>48</v>
      </c>
      <c r="B36" s="36">
        <v>44923.972929386575</v>
      </c>
      <c r="C36" s="35" t="s">
        <v>42</v>
      </c>
      <c r="D36" s="37" t="s">
        <v>7</v>
      </c>
      <c r="E36" s="35">
        <v>2022.0</v>
      </c>
      <c r="F36" s="41">
        <v>44923.972929386575</v>
      </c>
      <c r="G36" s="38">
        <v>2401.0</v>
      </c>
      <c r="H36" s="38" t="s">
        <v>8</v>
      </c>
      <c r="I36" s="40"/>
      <c r="J36" s="40"/>
      <c r="K36" s="35"/>
      <c r="L36" s="35" t="s">
        <v>9</v>
      </c>
      <c r="M36" s="35" t="s">
        <v>10</v>
      </c>
      <c r="N36" s="41"/>
    </row>
    <row r="37" ht="16.5" customHeight="1">
      <c r="A37" s="28" t="s">
        <v>49</v>
      </c>
      <c r="B37" s="29">
        <v>44924.020132060185</v>
      </c>
      <c r="C37" s="28" t="s">
        <v>50</v>
      </c>
      <c r="D37" s="30" t="s">
        <v>7</v>
      </c>
      <c r="E37" s="28">
        <v>2022.0</v>
      </c>
      <c r="F37" s="34">
        <v>44924.020132060185</v>
      </c>
      <c r="G37" s="31">
        <v>2379.0</v>
      </c>
      <c r="H37" s="31" t="s">
        <v>8</v>
      </c>
      <c r="I37" s="33"/>
      <c r="J37" s="33"/>
      <c r="K37" s="28"/>
      <c r="L37" s="28" t="s">
        <v>9</v>
      </c>
      <c r="M37" s="28" t="s">
        <v>10</v>
      </c>
      <c r="N37" s="34"/>
    </row>
    <row r="38" ht="16.5" customHeight="1">
      <c r="A38" s="35" t="s">
        <v>51</v>
      </c>
      <c r="B38" s="36">
        <v>44924.06118547454</v>
      </c>
      <c r="C38" s="35" t="s">
        <v>50</v>
      </c>
      <c r="D38" s="37" t="s">
        <v>7</v>
      </c>
      <c r="E38" s="35">
        <v>2022.0</v>
      </c>
      <c r="F38" s="41">
        <v>44924.06118547454</v>
      </c>
      <c r="G38" s="38">
        <v>2378.0</v>
      </c>
      <c r="H38" s="38" t="s">
        <v>8</v>
      </c>
      <c r="I38" s="40"/>
      <c r="J38" s="40"/>
      <c r="K38" s="35"/>
      <c r="L38" s="35" t="s">
        <v>9</v>
      </c>
      <c r="M38" s="35" t="s">
        <v>10</v>
      </c>
      <c r="N38" s="41"/>
    </row>
    <row r="39" ht="16.5" customHeight="1">
      <c r="A39" s="28" t="s">
        <v>52</v>
      </c>
      <c r="B39" s="29">
        <v>44924.107302627315</v>
      </c>
      <c r="C39" s="28" t="s">
        <v>50</v>
      </c>
      <c r="D39" s="30" t="s">
        <v>7</v>
      </c>
      <c r="E39" s="28">
        <v>2022.0</v>
      </c>
      <c r="F39" s="34">
        <v>44924.107302627315</v>
      </c>
      <c r="G39" s="31">
        <v>2491.0</v>
      </c>
      <c r="H39" s="31" t="s">
        <v>8</v>
      </c>
      <c r="I39" s="33"/>
      <c r="J39" s="33"/>
      <c r="K39" s="28"/>
      <c r="L39" s="28" t="s">
        <v>9</v>
      </c>
      <c r="M39" s="28" t="s">
        <v>10</v>
      </c>
      <c r="N39" s="34"/>
    </row>
    <row r="40" ht="16.5" customHeight="1">
      <c r="A40" s="35" t="s">
        <v>53</v>
      </c>
      <c r="B40" s="36">
        <v>44924.1398040625</v>
      </c>
      <c r="C40" s="35" t="s">
        <v>50</v>
      </c>
      <c r="D40" s="37" t="s">
        <v>7</v>
      </c>
      <c r="E40" s="35">
        <v>2022.0</v>
      </c>
      <c r="F40" s="41">
        <v>44924.1398040625</v>
      </c>
      <c r="G40" s="38">
        <v>2457.0</v>
      </c>
      <c r="H40" s="38" t="s">
        <v>8</v>
      </c>
      <c r="I40" s="40"/>
      <c r="J40" s="40"/>
      <c r="K40" s="35"/>
      <c r="L40" s="35" t="s">
        <v>9</v>
      </c>
      <c r="M40" s="35" t="s">
        <v>10</v>
      </c>
      <c r="N40" s="41"/>
    </row>
    <row r="41" ht="16.5" customHeight="1">
      <c r="A41" s="28" t="s">
        <v>25</v>
      </c>
      <c r="B41" s="29">
        <v>44924.18168900463</v>
      </c>
      <c r="C41" s="28" t="s">
        <v>50</v>
      </c>
      <c r="D41" s="30" t="s">
        <v>7</v>
      </c>
      <c r="E41" s="28">
        <v>2022.0</v>
      </c>
      <c r="F41" s="34">
        <v>44924.18168900463</v>
      </c>
      <c r="G41" s="31">
        <v>2187.0</v>
      </c>
      <c r="H41" s="31" t="s">
        <v>8</v>
      </c>
      <c r="I41" s="33"/>
      <c r="J41" s="33"/>
      <c r="K41" s="28"/>
      <c r="L41" s="28" t="s">
        <v>9</v>
      </c>
      <c r="M41" s="28" t="s">
        <v>10</v>
      </c>
      <c r="N41" s="34"/>
    </row>
    <row r="42" ht="16.5" customHeight="1">
      <c r="A42" s="35" t="s">
        <v>54</v>
      </c>
      <c r="B42" s="36">
        <v>44924.223553460644</v>
      </c>
      <c r="C42" s="35" t="s">
        <v>50</v>
      </c>
      <c r="D42" s="37" t="s">
        <v>7</v>
      </c>
      <c r="E42" s="35">
        <v>2022.0</v>
      </c>
      <c r="F42" s="41">
        <v>44924.223553460644</v>
      </c>
      <c r="G42" s="38">
        <v>2366.0</v>
      </c>
      <c r="H42" s="38" t="s">
        <v>8</v>
      </c>
      <c r="I42" s="40"/>
      <c r="J42" s="40"/>
      <c r="K42" s="35"/>
      <c r="L42" s="35" t="s">
        <v>9</v>
      </c>
      <c r="M42" s="35" t="s">
        <v>10</v>
      </c>
      <c r="N42" s="41"/>
    </row>
    <row r="43" ht="16.5" customHeight="1">
      <c r="A43" s="28" t="s">
        <v>55</v>
      </c>
      <c r="B43" s="29">
        <v>44924.36001771991</v>
      </c>
      <c r="C43" s="28" t="s">
        <v>50</v>
      </c>
      <c r="D43" s="30" t="s">
        <v>7</v>
      </c>
      <c r="E43" s="28">
        <v>2022.0</v>
      </c>
      <c r="F43" s="34">
        <v>44924.36001771991</v>
      </c>
      <c r="G43" s="31">
        <v>2339.0</v>
      </c>
      <c r="H43" s="31" t="s">
        <v>8</v>
      </c>
      <c r="I43" s="33"/>
      <c r="J43" s="33"/>
      <c r="K43" s="28"/>
      <c r="L43" s="28" t="s">
        <v>9</v>
      </c>
      <c r="M43" s="28" t="s">
        <v>10</v>
      </c>
      <c r="N43" s="34"/>
    </row>
    <row r="44" ht="16.5" customHeight="1">
      <c r="A44" s="35" t="s">
        <v>56</v>
      </c>
      <c r="B44" s="36">
        <v>44924.36112261574</v>
      </c>
      <c r="C44" s="35" t="s">
        <v>50</v>
      </c>
      <c r="D44" s="37" t="s">
        <v>7</v>
      </c>
      <c r="E44" s="35">
        <v>2022.0</v>
      </c>
      <c r="F44" s="41">
        <v>44924.36112261574</v>
      </c>
      <c r="G44" s="38">
        <v>2666.0</v>
      </c>
      <c r="H44" s="38" t="s">
        <v>40</v>
      </c>
      <c r="I44" s="40"/>
      <c r="J44" s="40"/>
      <c r="K44" s="35"/>
      <c r="L44" s="35" t="s">
        <v>9</v>
      </c>
      <c r="M44" s="35" t="s">
        <v>10</v>
      </c>
      <c r="N44" s="41"/>
    </row>
    <row r="45" ht="16.5" customHeight="1">
      <c r="A45" s="28" t="s">
        <v>57</v>
      </c>
      <c r="B45" s="29">
        <v>44924.36130361111</v>
      </c>
      <c r="C45" s="28" t="s">
        <v>50</v>
      </c>
      <c r="D45" s="30" t="s">
        <v>7</v>
      </c>
      <c r="E45" s="28">
        <v>2022.0</v>
      </c>
      <c r="F45" s="34">
        <v>44924.36130361111</v>
      </c>
      <c r="G45" s="31">
        <v>2671.0</v>
      </c>
      <c r="H45" s="31" t="s">
        <v>40</v>
      </c>
      <c r="I45" s="33"/>
      <c r="J45" s="33"/>
      <c r="K45" s="28"/>
      <c r="L45" s="28" t="s">
        <v>9</v>
      </c>
      <c r="M45" s="28" t="s">
        <v>10</v>
      </c>
      <c r="N45" s="34"/>
    </row>
    <row r="46" ht="16.5" customHeight="1">
      <c r="A46" s="35" t="s">
        <v>16</v>
      </c>
      <c r="B46" s="36">
        <v>44924.36151827546</v>
      </c>
      <c r="C46" s="35" t="s">
        <v>50</v>
      </c>
      <c r="D46" s="37" t="s">
        <v>7</v>
      </c>
      <c r="E46" s="35">
        <v>2022.0</v>
      </c>
      <c r="F46" s="41">
        <v>44924.36151827546</v>
      </c>
      <c r="G46" s="38">
        <v>2669.0</v>
      </c>
      <c r="H46" s="38" t="s">
        <v>40</v>
      </c>
      <c r="I46" s="40"/>
      <c r="J46" s="40"/>
      <c r="K46" s="35"/>
      <c r="L46" s="35" t="s">
        <v>9</v>
      </c>
      <c r="M46" s="35" t="s">
        <v>10</v>
      </c>
      <c r="N46" s="41"/>
    </row>
    <row r="47" ht="16.5" customHeight="1">
      <c r="A47" s="28" t="s">
        <v>58</v>
      </c>
      <c r="B47" s="29">
        <v>44924.47006290509</v>
      </c>
      <c r="C47" s="28" t="s">
        <v>50</v>
      </c>
      <c r="D47" s="30" t="s">
        <v>7</v>
      </c>
      <c r="E47" s="28">
        <v>2022.0</v>
      </c>
      <c r="F47" s="34">
        <v>44924.47006290509</v>
      </c>
      <c r="G47" s="31">
        <v>2674.0</v>
      </c>
      <c r="H47" s="31" t="s">
        <v>40</v>
      </c>
      <c r="I47" s="33"/>
      <c r="J47" s="33"/>
      <c r="K47" s="28"/>
      <c r="L47" s="28" t="s">
        <v>9</v>
      </c>
      <c r="M47" s="28" t="s">
        <v>10</v>
      </c>
      <c r="N47" s="34"/>
    </row>
    <row r="48" ht="16.5" customHeight="1">
      <c r="A48" s="35" t="s">
        <v>59</v>
      </c>
      <c r="B48" s="36">
        <v>44924.47020865741</v>
      </c>
      <c r="C48" s="35" t="s">
        <v>50</v>
      </c>
      <c r="D48" s="37" t="s">
        <v>7</v>
      </c>
      <c r="E48" s="35">
        <v>2022.0</v>
      </c>
      <c r="F48" s="41">
        <v>44924.47020865741</v>
      </c>
      <c r="G48" s="38">
        <v>2640.0</v>
      </c>
      <c r="H48" s="38" t="s">
        <v>40</v>
      </c>
      <c r="I48" s="40"/>
      <c r="J48" s="40"/>
      <c r="K48" s="35"/>
      <c r="L48" s="35" t="s">
        <v>9</v>
      </c>
      <c r="M48" s="35" t="s">
        <v>10</v>
      </c>
      <c r="N48" s="41"/>
    </row>
    <row r="49" ht="16.5" customHeight="1">
      <c r="A49" s="28" t="s">
        <v>60</v>
      </c>
      <c r="B49" s="29">
        <v>44924.47033633102</v>
      </c>
      <c r="C49" s="28" t="s">
        <v>50</v>
      </c>
      <c r="D49" s="30" t="s">
        <v>7</v>
      </c>
      <c r="E49" s="28">
        <v>2022.0</v>
      </c>
      <c r="F49" s="34">
        <v>44924.47033633102</v>
      </c>
      <c r="G49" s="31">
        <v>2641.0</v>
      </c>
      <c r="H49" s="31" t="s">
        <v>40</v>
      </c>
      <c r="I49" s="33"/>
      <c r="J49" s="33"/>
      <c r="K49" s="28"/>
      <c r="L49" s="28" t="s">
        <v>9</v>
      </c>
      <c r="M49" s="28" t="s">
        <v>10</v>
      </c>
      <c r="N49" s="34"/>
    </row>
    <row r="50" ht="16.5" customHeight="1">
      <c r="A50" s="35" t="s">
        <v>61</v>
      </c>
      <c r="B50" s="36">
        <v>44924.973384467594</v>
      </c>
      <c r="C50" s="35" t="s">
        <v>50</v>
      </c>
      <c r="D50" s="37" t="s">
        <v>7</v>
      </c>
      <c r="E50" s="35">
        <v>2022.0</v>
      </c>
      <c r="F50" s="41">
        <v>44924.973384467594</v>
      </c>
      <c r="G50" s="38">
        <v>2398.0</v>
      </c>
      <c r="H50" s="38" t="s">
        <v>8</v>
      </c>
      <c r="I50" s="40"/>
      <c r="J50" s="40"/>
      <c r="K50" s="35"/>
      <c r="L50" s="35" t="s">
        <v>9</v>
      </c>
      <c r="M50" s="35" t="s">
        <v>10</v>
      </c>
      <c r="N50" s="41"/>
    </row>
    <row r="51" ht="16.5" customHeight="1">
      <c r="A51" s="28" t="s">
        <v>62</v>
      </c>
      <c r="B51" s="29">
        <v>44925.01895978009</v>
      </c>
      <c r="C51" s="28" t="s">
        <v>63</v>
      </c>
      <c r="D51" s="30" t="s">
        <v>7</v>
      </c>
      <c r="E51" s="28">
        <v>2022.0</v>
      </c>
      <c r="F51" s="34">
        <v>44925.01895978009</v>
      </c>
      <c r="G51" s="31">
        <v>2626.0</v>
      </c>
      <c r="H51" s="31" t="s">
        <v>8</v>
      </c>
      <c r="I51" s="33"/>
      <c r="J51" s="33"/>
      <c r="K51" s="28"/>
      <c r="L51" s="28" t="s">
        <v>9</v>
      </c>
      <c r="M51" s="28" t="s">
        <v>10</v>
      </c>
      <c r="N51" s="34"/>
    </row>
    <row r="52" ht="16.5" customHeight="1">
      <c r="A52" s="35" t="s">
        <v>64</v>
      </c>
      <c r="B52" s="36">
        <v>44925.06044789352</v>
      </c>
      <c r="C52" s="35" t="s">
        <v>63</v>
      </c>
      <c r="D52" s="37" t="s">
        <v>7</v>
      </c>
      <c r="E52" s="35">
        <v>2022.0</v>
      </c>
      <c r="F52" s="41">
        <v>44925.06044789352</v>
      </c>
      <c r="G52" s="38">
        <v>2680.0</v>
      </c>
      <c r="H52" s="38" t="s">
        <v>8</v>
      </c>
      <c r="I52" s="40"/>
      <c r="J52" s="40"/>
      <c r="K52" s="35"/>
      <c r="L52" s="35" t="s">
        <v>9</v>
      </c>
      <c r="M52" s="35" t="s">
        <v>10</v>
      </c>
      <c r="N52" s="41"/>
    </row>
    <row r="53" ht="16.5" customHeight="1">
      <c r="A53" s="28" t="s">
        <v>65</v>
      </c>
      <c r="B53" s="29">
        <v>44925.09777314815</v>
      </c>
      <c r="C53" s="28" t="s">
        <v>63</v>
      </c>
      <c r="D53" s="30" t="s">
        <v>7</v>
      </c>
      <c r="E53" s="28">
        <v>2022.0</v>
      </c>
      <c r="F53" s="34">
        <v>44925.09777314815</v>
      </c>
      <c r="G53" s="31">
        <v>2392.0</v>
      </c>
      <c r="H53" s="31" t="s">
        <v>8</v>
      </c>
      <c r="I53" s="33"/>
      <c r="J53" s="33"/>
      <c r="K53" s="28"/>
      <c r="L53" s="28" t="s">
        <v>9</v>
      </c>
      <c r="M53" s="28" t="s">
        <v>10</v>
      </c>
      <c r="N53" s="34"/>
    </row>
    <row r="54" ht="16.5" customHeight="1">
      <c r="A54" s="35" t="s">
        <v>66</v>
      </c>
      <c r="B54" s="36">
        <v>44925.15593194445</v>
      </c>
      <c r="C54" s="35" t="s">
        <v>63</v>
      </c>
      <c r="D54" s="37" t="s">
        <v>7</v>
      </c>
      <c r="E54" s="35">
        <v>2022.0</v>
      </c>
      <c r="F54" s="41">
        <v>44925.15593194445</v>
      </c>
      <c r="G54" s="38">
        <v>2424.0</v>
      </c>
      <c r="H54" s="38" t="s">
        <v>8</v>
      </c>
      <c r="I54" s="40"/>
      <c r="J54" s="40"/>
      <c r="K54" s="35"/>
      <c r="L54" s="35" t="s">
        <v>9</v>
      </c>
      <c r="M54" s="35" t="s">
        <v>10</v>
      </c>
      <c r="N54" s="41"/>
    </row>
    <row r="55" ht="16.5" customHeight="1">
      <c r="A55" s="28" t="s">
        <v>67</v>
      </c>
      <c r="B55" s="29">
        <v>44925.19481385416</v>
      </c>
      <c r="C55" s="28" t="s">
        <v>63</v>
      </c>
      <c r="D55" s="30" t="s">
        <v>7</v>
      </c>
      <c r="E55" s="28">
        <v>2022.0</v>
      </c>
      <c r="F55" s="34">
        <v>44925.19481385416</v>
      </c>
      <c r="G55" s="31">
        <v>2419.0</v>
      </c>
      <c r="H55" s="31" t="s">
        <v>8</v>
      </c>
      <c r="I55" s="33"/>
      <c r="J55" s="33"/>
      <c r="K55" s="28"/>
      <c r="L55" s="28" t="s">
        <v>9</v>
      </c>
      <c r="M55" s="28" t="s">
        <v>10</v>
      </c>
      <c r="N55" s="34"/>
    </row>
    <row r="56" ht="16.5" customHeight="1">
      <c r="A56" s="35" t="s">
        <v>68</v>
      </c>
      <c r="B56" s="36">
        <v>44925.22548320601</v>
      </c>
      <c r="C56" s="35" t="s">
        <v>63</v>
      </c>
      <c r="D56" s="37" t="s">
        <v>7</v>
      </c>
      <c r="E56" s="35">
        <v>2022.0</v>
      </c>
      <c r="F56" s="41">
        <v>44925.22548320601</v>
      </c>
      <c r="G56" s="38">
        <v>2233.0</v>
      </c>
      <c r="H56" s="38" t="s">
        <v>8</v>
      </c>
      <c r="I56" s="40"/>
      <c r="J56" s="40"/>
      <c r="K56" s="35"/>
      <c r="L56" s="35" t="s">
        <v>9</v>
      </c>
      <c r="M56" s="35" t="s">
        <v>10</v>
      </c>
      <c r="N56" s="41"/>
    </row>
    <row r="57" ht="16.5" customHeight="1">
      <c r="A57" s="28" t="s">
        <v>69</v>
      </c>
      <c r="B57" s="29">
        <v>44925.306158391206</v>
      </c>
      <c r="C57" s="28" t="s">
        <v>63</v>
      </c>
      <c r="D57" s="30" t="s">
        <v>7</v>
      </c>
      <c r="E57" s="28">
        <v>2022.0</v>
      </c>
      <c r="F57" s="34">
        <v>44925.306158391206</v>
      </c>
      <c r="G57" s="31">
        <v>2663.0</v>
      </c>
      <c r="H57" s="31" t="s">
        <v>8</v>
      </c>
      <c r="I57" s="33"/>
      <c r="J57" s="33"/>
      <c r="K57" s="28"/>
      <c r="L57" s="28" t="s">
        <v>9</v>
      </c>
      <c r="M57" s="28" t="s">
        <v>10</v>
      </c>
      <c r="N57" s="34"/>
    </row>
    <row r="58" ht="16.5" customHeight="1">
      <c r="A58" s="35" t="s">
        <v>70</v>
      </c>
      <c r="B58" s="36">
        <v>44925.44764240741</v>
      </c>
      <c r="C58" s="35" t="s">
        <v>63</v>
      </c>
      <c r="D58" s="37" t="s">
        <v>7</v>
      </c>
      <c r="E58" s="35">
        <v>2022.0</v>
      </c>
      <c r="F58" s="41">
        <v>44925.44764240741</v>
      </c>
      <c r="G58" s="38">
        <v>481.0</v>
      </c>
      <c r="H58" s="38" t="s">
        <v>8</v>
      </c>
      <c r="I58" s="40"/>
      <c r="J58" s="40"/>
      <c r="K58" s="35"/>
      <c r="L58" s="35" t="s">
        <v>9</v>
      </c>
      <c r="M58" s="35" t="s">
        <v>10</v>
      </c>
      <c r="N58" s="41"/>
    </row>
    <row r="59" ht="16.5" customHeight="1">
      <c r="A59" s="28" t="s">
        <v>5</v>
      </c>
      <c r="B59" s="29">
        <v>44926.09614032407</v>
      </c>
      <c r="C59" s="28" t="s">
        <v>71</v>
      </c>
      <c r="D59" s="30" t="s">
        <v>7</v>
      </c>
      <c r="E59" s="28">
        <v>2022.0</v>
      </c>
      <c r="F59" s="34">
        <v>44926.09614032407</v>
      </c>
      <c r="G59" s="31">
        <v>2563.0</v>
      </c>
      <c r="H59" s="31" t="s">
        <v>8</v>
      </c>
      <c r="I59" s="33"/>
      <c r="J59" s="33"/>
      <c r="K59" s="28"/>
      <c r="L59" s="28" t="s">
        <v>9</v>
      </c>
      <c r="M59" s="28" t="s">
        <v>10</v>
      </c>
      <c r="N59" s="34"/>
    </row>
    <row r="60" ht="16.5" customHeight="1">
      <c r="A60" s="35" t="s">
        <v>72</v>
      </c>
      <c r="B60" s="36">
        <v>44926.15614295139</v>
      </c>
      <c r="C60" s="35" t="s">
        <v>71</v>
      </c>
      <c r="D60" s="37" t="s">
        <v>7</v>
      </c>
      <c r="E60" s="35">
        <v>2022.0</v>
      </c>
      <c r="F60" s="41">
        <v>44926.15614295139</v>
      </c>
      <c r="G60" s="38">
        <v>2385.0</v>
      </c>
      <c r="H60" s="38" t="s">
        <v>8</v>
      </c>
      <c r="I60" s="40"/>
      <c r="J60" s="40"/>
      <c r="K60" s="35"/>
      <c r="L60" s="35" t="s">
        <v>9</v>
      </c>
      <c r="M60" s="35" t="s">
        <v>10</v>
      </c>
      <c r="N60" s="41"/>
    </row>
    <row r="61" ht="16.5" customHeight="1">
      <c r="A61" s="28" t="s">
        <v>31</v>
      </c>
      <c r="B61" s="29">
        <v>44926.204042314814</v>
      </c>
      <c r="C61" s="28" t="s">
        <v>71</v>
      </c>
      <c r="D61" s="30" t="s">
        <v>7</v>
      </c>
      <c r="E61" s="28">
        <v>2022.0</v>
      </c>
      <c r="F61" s="34">
        <v>44926.204042314814</v>
      </c>
      <c r="G61" s="31">
        <v>2391.0</v>
      </c>
      <c r="H61" s="31" t="s">
        <v>8</v>
      </c>
      <c r="I61" s="33"/>
      <c r="J61" s="33"/>
      <c r="K61" s="28"/>
      <c r="L61" s="28" t="s">
        <v>9</v>
      </c>
      <c r="M61" s="28" t="s">
        <v>10</v>
      </c>
      <c r="N61" s="34"/>
    </row>
    <row r="62" ht="16.5" customHeight="1">
      <c r="A62" s="35" t="s">
        <v>73</v>
      </c>
      <c r="B62" s="36">
        <v>44926.23845038195</v>
      </c>
      <c r="C62" s="35" t="s">
        <v>71</v>
      </c>
      <c r="D62" s="37" t="s">
        <v>7</v>
      </c>
      <c r="E62" s="35">
        <v>2022.0</v>
      </c>
      <c r="F62" s="41">
        <v>44926.23845038195</v>
      </c>
      <c r="G62" s="38">
        <v>2384.0</v>
      </c>
      <c r="H62" s="38" t="s">
        <v>8</v>
      </c>
      <c r="I62" s="40"/>
      <c r="J62" s="40"/>
      <c r="K62" s="35"/>
      <c r="L62" s="35" t="s">
        <v>9</v>
      </c>
      <c r="M62" s="35" t="s">
        <v>10</v>
      </c>
      <c r="N62" s="41"/>
    </row>
    <row r="63" ht="16.5" customHeight="1">
      <c r="A63" s="28" t="s">
        <v>74</v>
      </c>
      <c r="B63" s="29">
        <v>44926.2779715625</v>
      </c>
      <c r="C63" s="28" t="s">
        <v>71</v>
      </c>
      <c r="D63" s="30" t="s">
        <v>7</v>
      </c>
      <c r="E63" s="28">
        <v>2022.0</v>
      </c>
      <c r="F63" s="34">
        <v>44926.2779715625</v>
      </c>
      <c r="G63" s="31">
        <v>2672.0</v>
      </c>
      <c r="H63" s="31" t="s">
        <v>8</v>
      </c>
      <c r="I63" s="33"/>
      <c r="J63" s="33"/>
      <c r="K63" s="28"/>
      <c r="L63" s="28" t="s">
        <v>9</v>
      </c>
      <c r="M63" s="28" t="s">
        <v>10</v>
      </c>
      <c r="N63" s="34"/>
    </row>
    <row r="64" ht="16.5" customHeight="1">
      <c r="A64" s="35" t="s">
        <v>75</v>
      </c>
      <c r="B64" s="36">
        <v>44928.434986238426</v>
      </c>
      <c r="C64" s="35" t="s">
        <v>76</v>
      </c>
      <c r="D64" s="37" t="s">
        <v>77</v>
      </c>
      <c r="E64" s="35">
        <v>2023.0</v>
      </c>
      <c r="F64" s="41">
        <v>44928.434986238426</v>
      </c>
      <c r="G64" s="38">
        <v>2450.0</v>
      </c>
      <c r="H64" s="38" t="s">
        <v>8</v>
      </c>
      <c r="I64" s="40"/>
      <c r="J64" s="40"/>
      <c r="K64" s="35"/>
      <c r="L64" s="35" t="s">
        <v>78</v>
      </c>
      <c r="M64" s="35" t="s">
        <v>79</v>
      </c>
      <c r="N64" s="41"/>
    </row>
    <row r="65" ht="16.5" customHeight="1">
      <c r="A65" s="28" t="s">
        <v>80</v>
      </c>
      <c r="B65" s="29">
        <v>44928.97703400463</v>
      </c>
      <c r="C65" s="28" t="s">
        <v>76</v>
      </c>
      <c r="D65" s="30" t="s">
        <v>77</v>
      </c>
      <c r="E65" s="28">
        <v>2023.0</v>
      </c>
      <c r="F65" s="34">
        <v>44928.97703400463</v>
      </c>
      <c r="G65" s="31">
        <v>2669.0</v>
      </c>
      <c r="H65" s="31" t="s">
        <v>8</v>
      </c>
      <c r="I65" s="33"/>
      <c r="J65" s="33"/>
      <c r="K65" s="28"/>
      <c r="L65" s="28" t="s">
        <v>78</v>
      </c>
      <c r="M65" s="28" t="s">
        <v>79</v>
      </c>
      <c r="N65" s="34"/>
    </row>
    <row r="66" ht="16.5" customHeight="1">
      <c r="A66" s="35" t="s">
        <v>81</v>
      </c>
      <c r="B66" s="36">
        <v>44929.01357951389</v>
      </c>
      <c r="C66" s="35" t="s">
        <v>82</v>
      </c>
      <c r="D66" s="37" t="s">
        <v>77</v>
      </c>
      <c r="E66" s="35">
        <v>2023.0</v>
      </c>
      <c r="F66" s="41">
        <v>44929.01357951389</v>
      </c>
      <c r="G66" s="38">
        <v>2462.0</v>
      </c>
      <c r="H66" s="38" t="s">
        <v>8</v>
      </c>
      <c r="I66" s="40"/>
      <c r="J66" s="40"/>
      <c r="K66" s="35"/>
      <c r="L66" s="35" t="s">
        <v>78</v>
      </c>
      <c r="M66" s="35" t="s">
        <v>79</v>
      </c>
      <c r="N66" s="41"/>
    </row>
    <row r="67" ht="16.5" customHeight="1">
      <c r="A67" s="28" t="s">
        <v>83</v>
      </c>
      <c r="B67" s="29">
        <v>44929.06393570601</v>
      </c>
      <c r="C67" s="28" t="s">
        <v>82</v>
      </c>
      <c r="D67" s="30" t="s">
        <v>77</v>
      </c>
      <c r="E67" s="28">
        <v>2023.0</v>
      </c>
      <c r="F67" s="34">
        <v>44929.06393570601</v>
      </c>
      <c r="G67" s="31">
        <v>2241.0</v>
      </c>
      <c r="H67" s="31" t="s">
        <v>8</v>
      </c>
      <c r="I67" s="33"/>
      <c r="J67" s="33"/>
      <c r="K67" s="28"/>
      <c r="L67" s="28" t="s">
        <v>78</v>
      </c>
      <c r="M67" s="28" t="s">
        <v>79</v>
      </c>
      <c r="N67" s="34"/>
    </row>
    <row r="68" ht="16.5" customHeight="1">
      <c r="A68" s="35" t="s">
        <v>84</v>
      </c>
      <c r="B68" s="36">
        <v>44929.12167142361</v>
      </c>
      <c r="C68" s="35" t="s">
        <v>82</v>
      </c>
      <c r="D68" s="37" t="s">
        <v>77</v>
      </c>
      <c r="E68" s="35">
        <v>2023.0</v>
      </c>
      <c r="F68" s="41">
        <v>44929.12167142361</v>
      </c>
      <c r="G68" s="38">
        <v>2188.0</v>
      </c>
      <c r="H68" s="38" t="s">
        <v>8</v>
      </c>
      <c r="I68" s="40"/>
      <c r="J68" s="40"/>
      <c r="K68" s="35"/>
      <c r="L68" s="35" t="s">
        <v>78</v>
      </c>
      <c r="M68" s="35" t="s">
        <v>79</v>
      </c>
      <c r="N68" s="41"/>
    </row>
    <row r="69" ht="16.5" customHeight="1">
      <c r="A69" s="28" t="s">
        <v>85</v>
      </c>
      <c r="B69" s="29">
        <v>44929.180847905096</v>
      </c>
      <c r="C69" s="28" t="s">
        <v>82</v>
      </c>
      <c r="D69" s="30" t="s">
        <v>77</v>
      </c>
      <c r="E69" s="28">
        <v>2023.0</v>
      </c>
      <c r="F69" s="34">
        <v>44929.180847905096</v>
      </c>
      <c r="G69" s="31">
        <v>2464.0</v>
      </c>
      <c r="H69" s="31" t="s">
        <v>8</v>
      </c>
      <c r="I69" s="33"/>
      <c r="J69" s="33"/>
      <c r="K69" s="28"/>
      <c r="L69" s="28" t="s">
        <v>78</v>
      </c>
      <c r="M69" s="28" t="s">
        <v>79</v>
      </c>
      <c r="N69" s="34"/>
    </row>
    <row r="70" ht="16.5" customHeight="1">
      <c r="A70" s="35" t="s">
        <v>86</v>
      </c>
      <c r="B70" s="36">
        <v>44929.230431874996</v>
      </c>
      <c r="C70" s="35" t="s">
        <v>82</v>
      </c>
      <c r="D70" s="37" t="s">
        <v>77</v>
      </c>
      <c r="E70" s="35">
        <v>2023.0</v>
      </c>
      <c r="F70" s="41">
        <v>44929.230431874996</v>
      </c>
      <c r="G70" s="38">
        <v>2623.0</v>
      </c>
      <c r="H70" s="38" t="s">
        <v>8</v>
      </c>
      <c r="I70" s="40"/>
      <c r="J70" s="40"/>
      <c r="K70" s="35"/>
      <c r="L70" s="35" t="s">
        <v>78</v>
      </c>
      <c r="M70" s="35" t="s">
        <v>79</v>
      </c>
      <c r="N70" s="41"/>
    </row>
    <row r="71" ht="16.5" customHeight="1">
      <c r="A71" s="28" t="s">
        <v>87</v>
      </c>
      <c r="B71" s="29">
        <v>44929.98681047454</v>
      </c>
      <c r="C71" s="28" t="s">
        <v>82</v>
      </c>
      <c r="D71" s="28" t="s">
        <v>77</v>
      </c>
      <c r="E71" s="28">
        <v>2023.0</v>
      </c>
      <c r="F71" s="42">
        <v>44929.98681047454</v>
      </c>
      <c r="G71" s="31">
        <v>2402.0</v>
      </c>
      <c r="H71" s="31" t="s">
        <v>8</v>
      </c>
      <c r="I71" s="33"/>
      <c r="J71" s="33"/>
      <c r="K71" s="28"/>
      <c r="L71" s="28" t="s">
        <v>78</v>
      </c>
      <c r="M71" s="28" t="s">
        <v>79</v>
      </c>
      <c r="N71" s="28"/>
    </row>
    <row r="72" ht="16.5" customHeight="1">
      <c r="A72" s="35" t="s">
        <v>88</v>
      </c>
      <c r="B72" s="36">
        <v>44930.022961180555</v>
      </c>
      <c r="C72" s="35" t="s">
        <v>89</v>
      </c>
      <c r="D72" s="35" t="s">
        <v>77</v>
      </c>
      <c r="E72" s="35">
        <v>2023.0</v>
      </c>
      <c r="F72" s="43">
        <v>44930.022961180555</v>
      </c>
      <c r="G72" s="38">
        <v>2628.0</v>
      </c>
      <c r="H72" s="38" t="s">
        <v>8</v>
      </c>
      <c r="I72" s="40"/>
      <c r="J72" s="40"/>
      <c r="K72" s="35"/>
      <c r="L72" s="35" t="s">
        <v>78</v>
      </c>
      <c r="M72" s="35" t="s">
        <v>79</v>
      </c>
      <c r="N72" s="35"/>
    </row>
    <row r="73" ht="16.5" customHeight="1">
      <c r="A73" s="28" t="s">
        <v>90</v>
      </c>
      <c r="B73" s="29">
        <v>44930.06410726852</v>
      </c>
      <c r="C73" s="28" t="s">
        <v>89</v>
      </c>
      <c r="D73" s="28" t="s">
        <v>77</v>
      </c>
      <c r="E73" s="28">
        <v>2023.0</v>
      </c>
      <c r="F73" s="42">
        <v>44930.06410726852</v>
      </c>
      <c r="G73" s="31">
        <v>2572.0</v>
      </c>
      <c r="H73" s="31" t="s">
        <v>8</v>
      </c>
      <c r="I73" s="33"/>
      <c r="J73" s="33"/>
      <c r="K73" s="28"/>
      <c r="L73" s="28" t="s">
        <v>78</v>
      </c>
      <c r="M73" s="28" t="s">
        <v>79</v>
      </c>
      <c r="N73" s="28"/>
    </row>
    <row r="74" ht="16.5" customHeight="1">
      <c r="A74" s="35" t="s">
        <v>91</v>
      </c>
      <c r="B74" s="36">
        <v>44930.097732615744</v>
      </c>
      <c r="C74" s="35" t="s">
        <v>89</v>
      </c>
      <c r="D74" s="35" t="s">
        <v>77</v>
      </c>
      <c r="E74" s="35">
        <v>2023.0</v>
      </c>
      <c r="F74" s="43">
        <v>44930.097732615744</v>
      </c>
      <c r="G74" s="38">
        <v>2369.0</v>
      </c>
      <c r="H74" s="38" t="s">
        <v>8</v>
      </c>
      <c r="I74" s="40"/>
      <c r="J74" s="40"/>
      <c r="K74" s="35"/>
      <c r="L74" s="35" t="s">
        <v>78</v>
      </c>
      <c r="M74" s="35" t="s">
        <v>79</v>
      </c>
      <c r="N74" s="35"/>
    </row>
    <row r="75" ht="16.5" customHeight="1">
      <c r="A75" s="28" t="s">
        <v>92</v>
      </c>
      <c r="B75" s="29">
        <v>44930.15041545139</v>
      </c>
      <c r="C75" s="28" t="s">
        <v>89</v>
      </c>
      <c r="D75" s="28" t="s">
        <v>77</v>
      </c>
      <c r="E75" s="28">
        <v>2023.0</v>
      </c>
      <c r="F75" s="42">
        <v>44930.15041545139</v>
      </c>
      <c r="G75" s="31">
        <v>2457.0</v>
      </c>
      <c r="H75" s="31" t="s">
        <v>8</v>
      </c>
      <c r="I75" s="33"/>
      <c r="J75" s="33"/>
      <c r="K75" s="28"/>
      <c r="L75" s="28" t="s">
        <v>78</v>
      </c>
      <c r="M75" s="28" t="s">
        <v>79</v>
      </c>
      <c r="N75" s="28"/>
    </row>
    <row r="76" ht="16.5" customHeight="1">
      <c r="A76" s="35" t="s">
        <v>93</v>
      </c>
      <c r="B76" s="36">
        <v>44930.18244908565</v>
      </c>
      <c r="C76" s="35" t="s">
        <v>89</v>
      </c>
      <c r="D76" s="35" t="s">
        <v>77</v>
      </c>
      <c r="E76" s="35">
        <v>2023.0</v>
      </c>
      <c r="F76" s="43">
        <v>44930.18244908565</v>
      </c>
      <c r="G76" s="38">
        <v>2421.0</v>
      </c>
      <c r="H76" s="38" t="s">
        <v>8</v>
      </c>
      <c r="I76" s="40"/>
      <c r="J76" s="40"/>
      <c r="K76" s="35"/>
      <c r="L76" s="35" t="s">
        <v>78</v>
      </c>
      <c r="M76" s="35" t="s">
        <v>79</v>
      </c>
      <c r="N76" s="35"/>
    </row>
    <row r="77" ht="16.5" customHeight="1">
      <c r="A77" s="28" t="s">
        <v>94</v>
      </c>
      <c r="B77" s="29">
        <v>44930.22660010417</v>
      </c>
      <c r="C77" s="28" t="s">
        <v>89</v>
      </c>
      <c r="D77" s="28" t="s">
        <v>77</v>
      </c>
      <c r="E77" s="28">
        <v>2023.0</v>
      </c>
      <c r="F77" s="42">
        <v>44930.22660010417</v>
      </c>
      <c r="G77" s="31">
        <v>2339.0</v>
      </c>
      <c r="H77" s="31" t="s">
        <v>8</v>
      </c>
      <c r="I77" s="33"/>
      <c r="J77" s="33"/>
      <c r="K77" s="28"/>
      <c r="L77" s="28" t="s">
        <v>78</v>
      </c>
      <c r="M77" s="28" t="s">
        <v>79</v>
      </c>
      <c r="N77" s="28"/>
    </row>
    <row r="78" ht="16.5" customHeight="1">
      <c r="A78" s="35" t="s">
        <v>95</v>
      </c>
      <c r="B78" s="36">
        <v>44930.274660717594</v>
      </c>
      <c r="C78" s="35" t="s">
        <v>89</v>
      </c>
      <c r="D78" s="35" t="s">
        <v>77</v>
      </c>
      <c r="E78" s="35">
        <v>2023.0</v>
      </c>
      <c r="F78" s="43">
        <v>44930.274660717594</v>
      </c>
      <c r="G78" s="38">
        <v>2671.0</v>
      </c>
      <c r="H78" s="38" t="s">
        <v>40</v>
      </c>
      <c r="I78" s="40"/>
      <c r="J78" s="40"/>
      <c r="K78" s="35"/>
      <c r="L78" s="35" t="s">
        <v>78</v>
      </c>
      <c r="M78" s="35" t="s">
        <v>79</v>
      </c>
      <c r="N78" s="35"/>
    </row>
    <row r="79" ht="16.5" customHeight="1">
      <c r="A79" s="28" t="s">
        <v>96</v>
      </c>
      <c r="B79" s="29">
        <v>44930.60104334491</v>
      </c>
      <c r="C79" s="28" t="s">
        <v>89</v>
      </c>
      <c r="D79" s="28" t="s">
        <v>77</v>
      </c>
      <c r="E79" s="28">
        <v>2023.0</v>
      </c>
      <c r="F79" s="42">
        <v>44930.60104334491</v>
      </c>
      <c r="G79" s="31" t="s">
        <v>97</v>
      </c>
      <c r="H79" s="31" t="s">
        <v>40</v>
      </c>
      <c r="I79" s="33"/>
      <c r="J79" s="33"/>
      <c r="K79" s="28"/>
      <c r="L79" s="28" t="s">
        <v>78</v>
      </c>
      <c r="M79" s="28" t="s">
        <v>79</v>
      </c>
      <c r="N79" s="28"/>
    </row>
    <row r="80" ht="16.5" customHeight="1">
      <c r="A80" s="35" t="s">
        <v>98</v>
      </c>
      <c r="B80" s="36">
        <v>44930.97040167824</v>
      </c>
      <c r="C80" s="35" t="s">
        <v>89</v>
      </c>
      <c r="D80" s="35" t="s">
        <v>77</v>
      </c>
      <c r="E80" s="35">
        <v>2023.0</v>
      </c>
      <c r="F80" s="43">
        <v>44930.97040167824</v>
      </c>
      <c r="G80" s="38">
        <v>2460.0</v>
      </c>
      <c r="H80" s="38" t="s">
        <v>8</v>
      </c>
      <c r="I80" s="40"/>
      <c r="J80" s="40"/>
      <c r="K80" s="35"/>
      <c r="L80" s="35" t="s">
        <v>78</v>
      </c>
      <c r="M80" s="35" t="s">
        <v>79</v>
      </c>
      <c r="N80" s="35"/>
    </row>
    <row r="81" ht="16.5" customHeight="1">
      <c r="A81" s="28" t="s">
        <v>99</v>
      </c>
      <c r="B81" s="29">
        <v>44931.028697291666</v>
      </c>
      <c r="C81" s="28" t="s">
        <v>100</v>
      </c>
      <c r="D81" s="28" t="s">
        <v>77</v>
      </c>
      <c r="E81" s="28">
        <v>2023.0</v>
      </c>
      <c r="F81" s="42">
        <v>44931.028697291666</v>
      </c>
      <c r="G81" s="31">
        <v>2458.0</v>
      </c>
      <c r="H81" s="31" t="s">
        <v>8</v>
      </c>
      <c r="I81" s="33"/>
      <c r="J81" s="33"/>
      <c r="K81" s="28"/>
      <c r="L81" s="28" t="s">
        <v>78</v>
      </c>
      <c r="M81" s="28" t="s">
        <v>79</v>
      </c>
      <c r="N81" s="28"/>
    </row>
    <row r="82" ht="16.5" customHeight="1">
      <c r="A82" s="35" t="s">
        <v>101</v>
      </c>
      <c r="B82" s="36">
        <v>44931.06432474537</v>
      </c>
      <c r="C82" s="35" t="s">
        <v>100</v>
      </c>
      <c r="D82" s="35" t="s">
        <v>77</v>
      </c>
      <c r="E82" s="35">
        <v>2023.0</v>
      </c>
      <c r="F82" s="43">
        <v>44931.06432474537</v>
      </c>
      <c r="G82" s="38">
        <v>2659.0</v>
      </c>
      <c r="H82" s="38" t="s">
        <v>8</v>
      </c>
      <c r="I82" s="40"/>
      <c r="J82" s="40"/>
      <c r="K82" s="35"/>
      <c r="L82" s="35" t="s">
        <v>78</v>
      </c>
      <c r="M82" s="35" t="s">
        <v>79</v>
      </c>
      <c r="N82" s="35"/>
    </row>
    <row r="83" ht="16.5" customHeight="1">
      <c r="A83" s="28" t="s">
        <v>102</v>
      </c>
      <c r="B83" s="29">
        <v>44931.10320252315</v>
      </c>
      <c r="C83" s="28" t="s">
        <v>100</v>
      </c>
      <c r="D83" s="28" t="s">
        <v>77</v>
      </c>
      <c r="E83" s="28">
        <v>2023.0</v>
      </c>
      <c r="F83" s="42">
        <v>44931.10320252315</v>
      </c>
      <c r="G83" s="31">
        <v>2436.0</v>
      </c>
      <c r="H83" s="31" t="s">
        <v>8</v>
      </c>
      <c r="I83" s="33"/>
      <c r="J83" s="33"/>
      <c r="K83" s="28"/>
      <c r="L83" s="28" t="s">
        <v>78</v>
      </c>
      <c r="M83" s="28" t="s">
        <v>79</v>
      </c>
      <c r="N83" s="28"/>
    </row>
    <row r="84" ht="16.5" customHeight="1">
      <c r="A84" s="35" t="s">
        <v>94</v>
      </c>
      <c r="B84" s="36">
        <v>44931.158166967594</v>
      </c>
      <c r="C84" s="35" t="s">
        <v>100</v>
      </c>
      <c r="D84" s="35" t="s">
        <v>77</v>
      </c>
      <c r="E84" s="35">
        <v>2023.0</v>
      </c>
      <c r="F84" s="43">
        <v>44931.158166967594</v>
      </c>
      <c r="G84" s="38">
        <v>2339.0</v>
      </c>
      <c r="H84" s="38" t="s">
        <v>8</v>
      </c>
      <c r="I84" s="40"/>
      <c r="J84" s="40"/>
      <c r="K84" s="35"/>
      <c r="L84" s="35" t="s">
        <v>78</v>
      </c>
      <c r="M84" s="35" t="s">
        <v>79</v>
      </c>
      <c r="N84" s="35"/>
    </row>
    <row r="85" ht="16.5" customHeight="1">
      <c r="A85" s="28" t="s">
        <v>103</v>
      </c>
      <c r="B85" s="29">
        <v>44931.18584564815</v>
      </c>
      <c r="C85" s="28" t="s">
        <v>100</v>
      </c>
      <c r="D85" s="28" t="s">
        <v>77</v>
      </c>
      <c r="E85" s="28">
        <v>2023.0</v>
      </c>
      <c r="F85" s="42">
        <v>44931.18584564815</v>
      </c>
      <c r="G85" s="31">
        <v>2273.0</v>
      </c>
      <c r="H85" s="31" t="s">
        <v>8</v>
      </c>
      <c r="I85" s="33"/>
      <c r="J85" s="33"/>
      <c r="K85" s="28"/>
      <c r="L85" s="28" t="s">
        <v>78</v>
      </c>
      <c r="M85" s="28" t="s">
        <v>79</v>
      </c>
      <c r="N85" s="28"/>
    </row>
    <row r="86" ht="16.5" customHeight="1">
      <c r="A86" s="35" t="s">
        <v>104</v>
      </c>
      <c r="B86" s="36">
        <v>44931.22142340278</v>
      </c>
      <c r="C86" s="35" t="s">
        <v>100</v>
      </c>
      <c r="D86" s="35" t="s">
        <v>77</v>
      </c>
      <c r="E86" s="35">
        <v>2023.0</v>
      </c>
      <c r="F86" s="43">
        <v>44931.22142340278</v>
      </c>
      <c r="G86" s="38">
        <v>2456.0</v>
      </c>
      <c r="H86" s="38" t="s">
        <v>8</v>
      </c>
      <c r="I86" s="40"/>
      <c r="J86" s="40"/>
      <c r="K86" s="35"/>
      <c r="L86" s="35" t="s">
        <v>78</v>
      </c>
      <c r="M86" s="35" t="s">
        <v>79</v>
      </c>
      <c r="N86" s="35"/>
    </row>
    <row r="87" ht="16.5" customHeight="1">
      <c r="A87" s="28" t="s">
        <v>105</v>
      </c>
      <c r="B87" s="29">
        <v>44931.38186934028</v>
      </c>
      <c r="C87" s="28" t="s">
        <v>100</v>
      </c>
      <c r="D87" s="28" t="s">
        <v>77</v>
      </c>
      <c r="E87" s="28">
        <v>2023.0</v>
      </c>
      <c r="F87" s="42">
        <v>44931.38186934028</v>
      </c>
      <c r="G87" s="31">
        <v>2238.0</v>
      </c>
      <c r="H87" s="31" t="s">
        <v>8</v>
      </c>
      <c r="I87" s="33"/>
      <c r="J87" s="33"/>
      <c r="K87" s="28"/>
      <c r="L87" s="28" t="s">
        <v>78</v>
      </c>
      <c r="M87" s="28" t="s">
        <v>79</v>
      </c>
      <c r="N87" s="28"/>
    </row>
    <row r="88" ht="16.5" customHeight="1">
      <c r="A88" s="35" t="s">
        <v>106</v>
      </c>
      <c r="B88" s="36">
        <v>44931.46388303241</v>
      </c>
      <c r="C88" s="35" t="s">
        <v>100</v>
      </c>
      <c r="D88" s="35" t="s">
        <v>77</v>
      </c>
      <c r="E88" s="35">
        <v>2023.0</v>
      </c>
      <c r="F88" s="43">
        <v>44931.46388303241</v>
      </c>
      <c r="G88" s="38">
        <v>1798.0</v>
      </c>
      <c r="H88" s="38" t="s">
        <v>8</v>
      </c>
      <c r="I88" s="40"/>
      <c r="J88" s="40"/>
      <c r="K88" s="35"/>
      <c r="L88" s="35" t="s">
        <v>78</v>
      </c>
      <c r="M88" s="35" t="s">
        <v>79</v>
      </c>
      <c r="N88" s="35"/>
    </row>
    <row r="89" ht="16.5" customHeight="1">
      <c r="A89" s="28" t="s">
        <v>107</v>
      </c>
      <c r="B89" s="29">
        <v>44931.98575519676</v>
      </c>
      <c r="C89" s="28" t="s">
        <v>100</v>
      </c>
      <c r="D89" s="28" t="s">
        <v>77</v>
      </c>
      <c r="E89" s="28">
        <v>2023.0</v>
      </c>
      <c r="F89" s="42">
        <v>44931.98575519676</v>
      </c>
      <c r="G89" s="31">
        <v>2682.0</v>
      </c>
      <c r="H89" s="31" t="s">
        <v>8</v>
      </c>
      <c r="I89" s="33"/>
      <c r="J89" s="33"/>
      <c r="K89" s="28"/>
      <c r="L89" s="28" t="s">
        <v>78</v>
      </c>
      <c r="M89" s="28" t="s">
        <v>79</v>
      </c>
      <c r="N89" s="28"/>
    </row>
    <row r="90" ht="16.5" customHeight="1">
      <c r="A90" s="35" t="s">
        <v>108</v>
      </c>
      <c r="B90" s="36">
        <v>44932.02106652778</v>
      </c>
      <c r="C90" s="35" t="s">
        <v>109</v>
      </c>
      <c r="D90" s="35" t="s">
        <v>77</v>
      </c>
      <c r="E90" s="35">
        <v>2023.0</v>
      </c>
      <c r="F90" s="43">
        <v>44932.02106652778</v>
      </c>
      <c r="G90" s="38">
        <v>2663.0</v>
      </c>
      <c r="H90" s="38" t="s">
        <v>8</v>
      </c>
      <c r="I90" s="40"/>
      <c r="J90" s="40"/>
      <c r="K90" s="35"/>
      <c r="L90" s="35" t="s">
        <v>78</v>
      </c>
      <c r="M90" s="35" t="s">
        <v>79</v>
      </c>
      <c r="N90" s="35"/>
    </row>
    <row r="91" ht="16.5" customHeight="1">
      <c r="A91" s="28" t="s">
        <v>110</v>
      </c>
      <c r="B91" s="29">
        <v>44932.05288877315</v>
      </c>
      <c r="C91" s="28" t="s">
        <v>109</v>
      </c>
      <c r="D91" s="28" t="s">
        <v>77</v>
      </c>
      <c r="E91" s="28">
        <v>2023.0</v>
      </c>
      <c r="F91" s="42">
        <v>44932.05288877315</v>
      </c>
      <c r="G91" s="31">
        <v>2355.0</v>
      </c>
      <c r="H91" s="31" t="s">
        <v>8</v>
      </c>
      <c r="I91" s="33"/>
      <c r="J91" s="33"/>
      <c r="K91" s="28"/>
      <c r="L91" s="28" t="s">
        <v>78</v>
      </c>
      <c r="M91" s="28" t="s">
        <v>79</v>
      </c>
      <c r="N91" s="28"/>
    </row>
    <row r="92" ht="16.5" customHeight="1">
      <c r="A92" s="35" t="s">
        <v>111</v>
      </c>
      <c r="B92" s="36">
        <v>44932.104664583334</v>
      </c>
      <c r="C92" s="35" t="s">
        <v>109</v>
      </c>
      <c r="D92" s="35" t="s">
        <v>77</v>
      </c>
      <c r="E92" s="35">
        <v>2023.0</v>
      </c>
      <c r="F92" s="43">
        <v>44932.104664583334</v>
      </c>
      <c r="G92" s="38">
        <v>2262.0</v>
      </c>
      <c r="H92" s="38" t="s">
        <v>8</v>
      </c>
      <c r="I92" s="40"/>
      <c r="J92" s="40"/>
      <c r="K92" s="35"/>
      <c r="L92" s="35" t="s">
        <v>78</v>
      </c>
      <c r="M92" s="35" t="s">
        <v>79</v>
      </c>
      <c r="N92" s="35"/>
    </row>
    <row r="93" ht="16.5" customHeight="1">
      <c r="A93" s="28" t="s">
        <v>112</v>
      </c>
      <c r="B93" s="29">
        <v>44932.143937071756</v>
      </c>
      <c r="C93" s="28" t="s">
        <v>109</v>
      </c>
      <c r="D93" s="28" t="s">
        <v>77</v>
      </c>
      <c r="E93" s="28">
        <v>2023.0</v>
      </c>
      <c r="F93" s="42">
        <v>44932.143937071756</v>
      </c>
      <c r="G93" s="31">
        <v>2423.0</v>
      </c>
      <c r="H93" s="31" t="s">
        <v>8</v>
      </c>
      <c r="I93" s="33"/>
      <c r="J93" s="33"/>
      <c r="K93" s="28"/>
      <c r="L93" s="28" t="s">
        <v>78</v>
      </c>
      <c r="M93" s="28" t="s">
        <v>79</v>
      </c>
      <c r="N93" s="28"/>
    </row>
    <row r="94" ht="16.5" customHeight="1">
      <c r="A94" s="35" t="s">
        <v>113</v>
      </c>
      <c r="B94" s="36">
        <v>44932.186371550924</v>
      </c>
      <c r="C94" s="35" t="s">
        <v>109</v>
      </c>
      <c r="D94" s="35" t="s">
        <v>77</v>
      </c>
      <c r="E94" s="35">
        <v>2023.0</v>
      </c>
      <c r="F94" s="43">
        <v>44932.186371550924</v>
      </c>
      <c r="G94" s="38">
        <v>2404.0</v>
      </c>
      <c r="H94" s="38" t="s">
        <v>8</v>
      </c>
      <c r="I94" s="40"/>
      <c r="J94" s="40"/>
      <c r="K94" s="35"/>
      <c r="L94" s="35" t="s">
        <v>78</v>
      </c>
      <c r="M94" s="35" t="s">
        <v>79</v>
      </c>
      <c r="N94" s="35"/>
    </row>
    <row r="95" ht="16.5" customHeight="1">
      <c r="A95" s="28" t="s">
        <v>114</v>
      </c>
      <c r="B95" s="29">
        <v>44932.220983796295</v>
      </c>
      <c r="C95" s="28" t="s">
        <v>109</v>
      </c>
      <c r="D95" s="28" t="s">
        <v>77</v>
      </c>
      <c r="E95" s="28">
        <v>2023.0</v>
      </c>
      <c r="F95" s="42">
        <v>44932.220983796295</v>
      </c>
      <c r="G95" s="31">
        <v>2656.0</v>
      </c>
      <c r="H95" s="31" t="s">
        <v>8</v>
      </c>
      <c r="I95" s="33"/>
      <c r="J95" s="33"/>
      <c r="K95" s="28"/>
      <c r="L95" s="28" t="s">
        <v>78</v>
      </c>
      <c r="M95" s="28" t="s">
        <v>79</v>
      </c>
      <c r="N95" s="28"/>
    </row>
    <row r="96" ht="16.5" customHeight="1">
      <c r="A96" s="35" t="s">
        <v>115</v>
      </c>
      <c r="B96" s="36">
        <v>44909.30405092592</v>
      </c>
      <c r="C96" s="35" t="s">
        <v>116</v>
      </c>
      <c r="D96" s="35" t="s">
        <v>7</v>
      </c>
      <c r="E96" s="35">
        <v>2022.0</v>
      </c>
      <c r="F96" s="43">
        <v>44909.30405092592</v>
      </c>
      <c r="G96" s="38">
        <v>1200.0</v>
      </c>
      <c r="H96" s="38" t="s">
        <v>8</v>
      </c>
      <c r="I96" s="40"/>
      <c r="J96" s="40"/>
      <c r="K96" s="35"/>
      <c r="L96" s="35" t="s">
        <v>9</v>
      </c>
      <c r="M96" s="35" t="s">
        <v>10</v>
      </c>
      <c r="N96" s="35"/>
    </row>
    <row r="97" ht="16.5" customHeight="1">
      <c r="A97" s="28" t="s">
        <v>117</v>
      </c>
      <c r="B97" s="29">
        <v>44918.305983796294</v>
      </c>
      <c r="C97" s="28" t="s">
        <v>118</v>
      </c>
      <c r="D97" s="28" t="s">
        <v>7</v>
      </c>
      <c r="E97" s="28">
        <v>2022.0</v>
      </c>
      <c r="F97" s="42">
        <v>44918.305983796294</v>
      </c>
      <c r="G97" s="31">
        <v>2411.0</v>
      </c>
      <c r="H97" s="31" t="s">
        <v>8</v>
      </c>
      <c r="I97" s="33"/>
      <c r="J97" s="33"/>
      <c r="K97" s="28"/>
      <c r="L97" s="28" t="s">
        <v>9</v>
      </c>
      <c r="M97" s="28" t="s">
        <v>10</v>
      </c>
      <c r="N97" s="28"/>
    </row>
    <row r="98" ht="16.5" customHeight="1">
      <c r="A98" s="35" t="s">
        <v>119</v>
      </c>
      <c r="B98" s="36">
        <v>44902.30771990741</v>
      </c>
      <c r="C98" s="35" t="s">
        <v>120</v>
      </c>
      <c r="D98" s="35" t="s">
        <v>7</v>
      </c>
      <c r="E98" s="35">
        <v>2022.0</v>
      </c>
      <c r="F98" s="43">
        <v>44902.30771990741</v>
      </c>
      <c r="G98" s="38">
        <v>461.0</v>
      </c>
      <c r="H98" s="38" t="s">
        <v>8</v>
      </c>
      <c r="I98" s="40"/>
      <c r="J98" s="40"/>
      <c r="K98" s="35"/>
      <c r="L98" s="35" t="s">
        <v>9</v>
      </c>
      <c r="M98" s="35" t="s">
        <v>10</v>
      </c>
      <c r="N98" s="35"/>
    </row>
    <row r="99" ht="16.5" customHeight="1">
      <c r="A99" s="28" t="s">
        <v>121</v>
      </c>
      <c r="B99" s="29">
        <v>44908.30835648148</v>
      </c>
      <c r="C99" s="28" t="s">
        <v>122</v>
      </c>
      <c r="D99" s="28" t="s">
        <v>7</v>
      </c>
      <c r="E99" s="28">
        <v>2022.0</v>
      </c>
      <c r="F99" s="42">
        <v>44908.30835648148</v>
      </c>
      <c r="G99" s="31">
        <v>472.0</v>
      </c>
      <c r="H99" s="31" t="s">
        <v>8</v>
      </c>
      <c r="I99" s="33"/>
      <c r="J99" s="33"/>
      <c r="K99" s="28"/>
      <c r="L99" s="28" t="s">
        <v>9</v>
      </c>
      <c r="M99" s="28" t="s">
        <v>10</v>
      </c>
      <c r="N99" s="28"/>
    </row>
    <row r="100" ht="16.5" customHeight="1">
      <c r="A100" s="35" t="s">
        <v>123</v>
      </c>
      <c r="B100" s="36">
        <v>44910.30883101852</v>
      </c>
      <c r="C100" s="35" t="s">
        <v>124</v>
      </c>
      <c r="D100" s="35" t="s">
        <v>7</v>
      </c>
      <c r="E100" s="35">
        <v>2022.0</v>
      </c>
      <c r="F100" s="43">
        <v>44910.30883101852</v>
      </c>
      <c r="G100" s="38">
        <v>495.0</v>
      </c>
      <c r="H100" s="38" t="s">
        <v>8</v>
      </c>
      <c r="I100" s="40"/>
      <c r="J100" s="40"/>
      <c r="K100" s="35"/>
      <c r="L100" s="35" t="s">
        <v>9</v>
      </c>
      <c r="M100" s="35" t="s">
        <v>10</v>
      </c>
      <c r="N100" s="35"/>
    </row>
    <row r="101" ht="16.5" customHeight="1">
      <c r="A101" s="28" t="s">
        <v>125</v>
      </c>
      <c r="B101" s="29">
        <v>44917.309386574074</v>
      </c>
      <c r="C101" s="28" t="s">
        <v>126</v>
      </c>
      <c r="D101" s="28" t="s">
        <v>7</v>
      </c>
      <c r="E101" s="28">
        <v>2022.0</v>
      </c>
      <c r="F101" s="42">
        <v>44917.309386574074</v>
      </c>
      <c r="G101" s="31">
        <v>496.0</v>
      </c>
      <c r="H101" s="31" t="s">
        <v>8</v>
      </c>
      <c r="I101" s="33"/>
      <c r="J101" s="33"/>
      <c r="K101" s="28"/>
      <c r="L101" s="28" t="s">
        <v>9</v>
      </c>
      <c r="M101" s="28" t="s">
        <v>10</v>
      </c>
      <c r="N101" s="28"/>
    </row>
    <row r="102" ht="16.5" customHeight="1">
      <c r="A102" s="35" t="s">
        <v>127</v>
      </c>
      <c r="B102" s="36">
        <v>44932.309947789356</v>
      </c>
      <c r="C102" s="35" t="s">
        <v>109</v>
      </c>
      <c r="D102" s="35" t="s">
        <v>77</v>
      </c>
      <c r="E102" s="35">
        <v>2023.0</v>
      </c>
      <c r="F102" s="43">
        <v>44932.309947789356</v>
      </c>
      <c r="G102" s="38">
        <v>657.0</v>
      </c>
      <c r="H102" s="38" t="s">
        <v>8</v>
      </c>
      <c r="I102" s="40"/>
      <c r="J102" s="40"/>
      <c r="K102" s="35"/>
      <c r="L102" s="35" t="s">
        <v>78</v>
      </c>
      <c r="M102" s="35" t="s">
        <v>79</v>
      </c>
      <c r="N102" s="35"/>
    </row>
    <row r="103" ht="16.5" customHeight="1">
      <c r="A103" s="28" t="s">
        <v>128</v>
      </c>
      <c r="B103" s="29">
        <v>44932.921748877314</v>
      </c>
      <c r="C103" s="28" t="s">
        <v>109</v>
      </c>
      <c r="D103" s="28" t="s">
        <v>77</v>
      </c>
      <c r="E103" s="28">
        <v>2023.0</v>
      </c>
      <c r="F103" s="42">
        <v>44932.921748877314</v>
      </c>
      <c r="G103" s="31">
        <v>2678.0</v>
      </c>
      <c r="H103" s="31" t="s">
        <v>8</v>
      </c>
      <c r="I103" s="33"/>
      <c r="J103" s="33"/>
      <c r="K103" s="28"/>
      <c r="L103" s="28" t="s">
        <v>78</v>
      </c>
      <c r="M103" s="28" t="s">
        <v>79</v>
      </c>
      <c r="N103" s="28"/>
    </row>
    <row r="104" ht="16.5" customHeight="1">
      <c r="A104" s="35" t="s">
        <v>129</v>
      </c>
      <c r="B104" s="36">
        <v>44932.949235381944</v>
      </c>
      <c r="C104" s="35" t="s">
        <v>109</v>
      </c>
      <c r="D104" s="35" t="s">
        <v>77</v>
      </c>
      <c r="E104" s="35">
        <v>2023.0</v>
      </c>
      <c r="F104" s="43">
        <v>44932.949235381944</v>
      </c>
      <c r="G104" s="38">
        <v>2375.0</v>
      </c>
      <c r="H104" s="38" t="s">
        <v>8</v>
      </c>
      <c r="I104" s="40"/>
      <c r="J104" s="40"/>
      <c r="K104" s="35"/>
      <c r="L104" s="35" t="s">
        <v>78</v>
      </c>
      <c r="M104" s="35" t="s">
        <v>79</v>
      </c>
      <c r="N104" s="35"/>
    </row>
    <row r="105" ht="16.5" customHeight="1">
      <c r="A105" s="28" t="s">
        <v>130</v>
      </c>
      <c r="B105" s="29">
        <v>44932.98207648148</v>
      </c>
      <c r="C105" s="28" t="s">
        <v>109</v>
      </c>
      <c r="D105" s="28" t="s">
        <v>77</v>
      </c>
      <c r="E105" s="28">
        <v>2023.0</v>
      </c>
      <c r="F105" s="42">
        <v>44932.98207648148</v>
      </c>
      <c r="G105" s="31">
        <v>2180.0</v>
      </c>
      <c r="H105" s="31" t="s">
        <v>8</v>
      </c>
      <c r="I105" s="33"/>
      <c r="J105" s="33"/>
      <c r="K105" s="28"/>
      <c r="L105" s="28" t="s">
        <v>78</v>
      </c>
      <c r="M105" s="28" t="s">
        <v>79</v>
      </c>
      <c r="N105" s="28"/>
    </row>
    <row r="106" ht="16.5" customHeight="1">
      <c r="A106" s="35" t="s">
        <v>131</v>
      </c>
      <c r="B106" s="36">
        <v>44933.014920127316</v>
      </c>
      <c r="C106" s="35" t="s">
        <v>120</v>
      </c>
      <c r="D106" s="35" t="s">
        <v>77</v>
      </c>
      <c r="E106" s="35">
        <v>2023.0</v>
      </c>
      <c r="F106" s="43">
        <v>44933.014920127316</v>
      </c>
      <c r="G106" s="38">
        <v>2173.0</v>
      </c>
      <c r="H106" s="38" t="s">
        <v>8</v>
      </c>
      <c r="I106" s="40"/>
      <c r="J106" s="40"/>
      <c r="K106" s="35"/>
      <c r="L106" s="35" t="s">
        <v>78</v>
      </c>
      <c r="M106" s="35" t="s">
        <v>79</v>
      </c>
      <c r="N106" s="35"/>
    </row>
    <row r="107" ht="16.5" customHeight="1">
      <c r="A107" s="28" t="s">
        <v>132</v>
      </c>
      <c r="B107" s="29">
        <v>44933.06269115741</v>
      </c>
      <c r="C107" s="28" t="s">
        <v>120</v>
      </c>
      <c r="D107" s="28" t="s">
        <v>77</v>
      </c>
      <c r="E107" s="28">
        <v>2023.0</v>
      </c>
      <c r="F107" s="42">
        <v>44933.06269115741</v>
      </c>
      <c r="G107" s="31">
        <v>2202.0</v>
      </c>
      <c r="H107" s="31" t="s">
        <v>8</v>
      </c>
      <c r="I107" s="33"/>
      <c r="J107" s="33"/>
      <c r="K107" s="28"/>
      <c r="L107" s="28" t="s">
        <v>78</v>
      </c>
      <c r="M107" s="28" t="s">
        <v>79</v>
      </c>
      <c r="N107" s="28"/>
    </row>
    <row r="108" ht="16.5" customHeight="1">
      <c r="A108" s="35" t="s">
        <v>133</v>
      </c>
      <c r="B108" s="36">
        <v>44933.10085377315</v>
      </c>
      <c r="C108" s="35" t="s">
        <v>120</v>
      </c>
      <c r="D108" s="35" t="s">
        <v>77</v>
      </c>
      <c r="E108" s="35">
        <v>2023.0</v>
      </c>
      <c r="F108" s="43">
        <v>44933.10085377315</v>
      </c>
      <c r="G108" s="38">
        <v>2198.0</v>
      </c>
      <c r="H108" s="38" t="s">
        <v>8</v>
      </c>
      <c r="I108" s="40"/>
      <c r="J108" s="40"/>
      <c r="K108" s="35"/>
      <c r="L108" s="35" t="s">
        <v>78</v>
      </c>
      <c r="M108" s="35" t="s">
        <v>79</v>
      </c>
      <c r="N108" s="35"/>
    </row>
    <row r="109" ht="16.5" customHeight="1">
      <c r="A109" s="28" t="s">
        <v>134</v>
      </c>
      <c r="B109" s="29">
        <v>44933.14227739583</v>
      </c>
      <c r="C109" s="28" t="s">
        <v>120</v>
      </c>
      <c r="D109" s="28" t="s">
        <v>77</v>
      </c>
      <c r="E109" s="28">
        <v>2023.0</v>
      </c>
      <c r="F109" s="42">
        <v>44933.14227739583</v>
      </c>
      <c r="G109" s="31">
        <v>2200.0</v>
      </c>
      <c r="H109" s="31" t="s">
        <v>8</v>
      </c>
      <c r="I109" s="33"/>
      <c r="J109" s="33"/>
      <c r="K109" s="28"/>
      <c r="L109" s="28" t="s">
        <v>78</v>
      </c>
      <c r="M109" s="28" t="s">
        <v>79</v>
      </c>
      <c r="N109" s="28"/>
    </row>
    <row r="110" ht="16.5" customHeight="1">
      <c r="A110" s="35" t="s">
        <v>135</v>
      </c>
      <c r="B110" s="36">
        <v>44933.185381365736</v>
      </c>
      <c r="C110" s="35" t="s">
        <v>120</v>
      </c>
      <c r="D110" s="35" t="s">
        <v>77</v>
      </c>
      <c r="E110" s="35">
        <v>2023.0</v>
      </c>
      <c r="F110" s="43">
        <v>44933.185381365736</v>
      </c>
      <c r="G110" s="38">
        <v>2195.0</v>
      </c>
      <c r="H110" s="38" t="s">
        <v>8</v>
      </c>
      <c r="I110" s="40"/>
      <c r="J110" s="40"/>
      <c r="K110" s="35"/>
      <c r="L110" s="35" t="s">
        <v>78</v>
      </c>
      <c r="M110" s="35" t="s">
        <v>79</v>
      </c>
      <c r="N110" s="35"/>
    </row>
    <row r="111" ht="16.5" customHeight="1">
      <c r="A111" s="28" t="s">
        <v>136</v>
      </c>
      <c r="B111" s="29">
        <v>44933.34564438657</v>
      </c>
      <c r="C111" s="28" t="s">
        <v>120</v>
      </c>
      <c r="D111" s="28" t="s">
        <v>77</v>
      </c>
      <c r="E111" s="28">
        <v>2023.0</v>
      </c>
      <c r="F111" s="42">
        <v>44933.34564438657</v>
      </c>
      <c r="G111" s="31">
        <v>2640.0</v>
      </c>
      <c r="H111" s="31" t="s">
        <v>40</v>
      </c>
      <c r="I111" s="33"/>
      <c r="J111" s="33"/>
      <c r="K111" s="28"/>
      <c r="L111" s="28" t="s">
        <v>78</v>
      </c>
      <c r="M111" s="28" t="s">
        <v>79</v>
      </c>
      <c r="N111" s="28"/>
    </row>
    <row r="112" ht="16.5" customHeight="1">
      <c r="A112" s="35" t="s">
        <v>137</v>
      </c>
      <c r="B112" s="36">
        <v>44933.52575475695</v>
      </c>
      <c r="C112" s="35" t="s">
        <v>120</v>
      </c>
      <c r="D112" s="35" t="s">
        <v>77</v>
      </c>
      <c r="E112" s="35">
        <v>2023.0</v>
      </c>
      <c r="F112" s="43">
        <v>44933.52575475695</v>
      </c>
      <c r="G112" s="38">
        <v>2681.0</v>
      </c>
      <c r="H112" s="38" t="s">
        <v>8</v>
      </c>
      <c r="I112" s="40"/>
      <c r="J112" s="40"/>
      <c r="K112" s="35"/>
      <c r="L112" s="35" t="s">
        <v>78</v>
      </c>
      <c r="M112" s="35" t="s">
        <v>79</v>
      </c>
      <c r="N112" s="35"/>
    </row>
    <row r="113" ht="16.5" customHeight="1">
      <c r="A113" s="28" t="s">
        <v>136</v>
      </c>
      <c r="B113" s="29">
        <v>44933.525991215276</v>
      </c>
      <c r="C113" s="28" t="s">
        <v>120</v>
      </c>
      <c r="D113" s="28" t="s">
        <v>77</v>
      </c>
      <c r="E113" s="28">
        <v>2023.0</v>
      </c>
      <c r="F113" s="42">
        <v>44933.525991215276</v>
      </c>
      <c r="G113" s="31">
        <v>2640.0</v>
      </c>
      <c r="H113" s="31" t="s">
        <v>8</v>
      </c>
      <c r="I113" s="33"/>
      <c r="J113" s="33"/>
      <c r="K113" s="28"/>
      <c r="L113" s="28" t="s">
        <v>78</v>
      </c>
      <c r="M113" s="28" t="s">
        <v>79</v>
      </c>
      <c r="N113" s="28"/>
    </row>
    <row r="114" ht="16.5" customHeight="1">
      <c r="A114" s="35" t="s">
        <v>138</v>
      </c>
      <c r="B114" s="36">
        <v>44933.53430832176</v>
      </c>
      <c r="C114" s="35" t="s">
        <v>120</v>
      </c>
      <c r="D114" s="35" t="s">
        <v>77</v>
      </c>
      <c r="E114" s="35">
        <v>2023.0</v>
      </c>
      <c r="F114" s="43">
        <v>44933.53430832176</v>
      </c>
      <c r="G114" s="38">
        <v>2642.0</v>
      </c>
      <c r="H114" s="38" t="s">
        <v>8</v>
      </c>
      <c r="I114" s="40"/>
      <c r="J114" s="40"/>
      <c r="K114" s="35"/>
      <c r="L114" s="35" t="s">
        <v>78</v>
      </c>
      <c r="M114" s="35" t="s">
        <v>79</v>
      </c>
      <c r="N114" s="35"/>
    </row>
    <row r="115" ht="16.5" customHeight="1">
      <c r="A115" s="28" t="s">
        <v>139</v>
      </c>
      <c r="B115" s="29">
        <v>44933.60681229166</v>
      </c>
      <c r="C115" s="28" t="s">
        <v>120</v>
      </c>
      <c r="D115" s="28" t="s">
        <v>77</v>
      </c>
      <c r="E115" s="28">
        <v>2023.0</v>
      </c>
      <c r="F115" s="42">
        <v>44933.60681229166</v>
      </c>
      <c r="G115" s="31">
        <v>2635.0</v>
      </c>
      <c r="H115" s="31" t="s">
        <v>8</v>
      </c>
      <c r="I115" s="33"/>
      <c r="J115" s="33"/>
      <c r="K115" s="28"/>
      <c r="L115" s="28" t="s">
        <v>78</v>
      </c>
      <c r="M115" s="28" t="s">
        <v>79</v>
      </c>
      <c r="N115" s="28"/>
    </row>
    <row r="116" ht="16.5" customHeight="1">
      <c r="A116" s="35" t="s">
        <v>140</v>
      </c>
      <c r="B116" s="36">
        <v>44933.63968071759</v>
      </c>
      <c r="C116" s="35" t="s">
        <v>120</v>
      </c>
      <c r="D116" s="35" t="s">
        <v>77</v>
      </c>
      <c r="E116" s="35">
        <v>2023.0</v>
      </c>
      <c r="F116" s="43">
        <v>44933.63968071759</v>
      </c>
      <c r="G116" s="38">
        <v>2425.0</v>
      </c>
      <c r="H116" s="38" t="s">
        <v>8</v>
      </c>
      <c r="I116" s="40"/>
      <c r="J116" s="40"/>
      <c r="K116" s="35"/>
      <c r="L116" s="35" t="s">
        <v>78</v>
      </c>
      <c r="M116" s="35" t="s">
        <v>79</v>
      </c>
      <c r="N116" s="35"/>
    </row>
    <row r="117" ht="16.5" customHeight="1">
      <c r="A117" s="28" t="s">
        <v>140</v>
      </c>
      <c r="B117" s="29">
        <v>44933.64039886574</v>
      </c>
      <c r="C117" s="28" t="s">
        <v>120</v>
      </c>
      <c r="D117" s="28" t="s">
        <v>77</v>
      </c>
      <c r="E117" s="28">
        <v>2023.0</v>
      </c>
      <c r="F117" s="42">
        <v>44933.64039886574</v>
      </c>
      <c r="G117" s="31">
        <v>2425.0</v>
      </c>
      <c r="H117" s="31" t="s">
        <v>8</v>
      </c>
      <c r="I117" s="33"/>
      <c r="J117" s="33"/>
      <c r="K117" s="28"/>
      <c r="L117" s="28" t="s">
        <v>78</v>
      </c>
      <c r="M117" s="28" t="s">
        <v>79</v>
      </c>
      <c r="N117" s="28"/>
    </row>
    <row r="118" ht="16.5" customHeight="1">
      <c r="A118" s="35" t="s">
        <v>141</v>
      </c>
      <c r="B118" s="36">
        <v>44933.668563287036</v>
      </c>
      <c r="C118" s="35" t="s">
        <v>120</v>
      </c>
      <c r="D118" s="35" t="s">
        <v>77</v>
      </c>
      <c r="E118" s="35">
        <v>2023.0</v>
      </c>
      <c r="F118" s="43">
        <v>44933.668563287036</v>
      </c>
      <c r="G118" s="38">
        <v>2354.0</v>
      </c>
      <c r="H118" s="38" t="s">
        <v>8</v>
      </c>
      <c r="I118" s="40"/>
      <c r="J118" s="40"/>
      <c r="K118" s="35"/>
      <c r="L118" s="35" t="s">
        <v>78</v>
      </c>
      <c r="M118" s="35" t="s">
        <v>79</v>
      </c>
      <c r="N118" s="35"/>
    </row>
    <row r="119" ht="16.5" customHeight="1">
      <c r="A119" s="28" t="s">
        <v>142</v>
      </c>
      <c r="B119" s="29">
        <v>44933.69614594907</v>
      </c>
      <c r="C119" s="28" t="s">
        <v>120</v>
      </c>
      <c r="D119" s="28" t="s">
        <v>77</v>
      </c>
      <c r="E119" s="28">
        <v>2023.0</v>
      </c>
      <c r="F119" s="42">
        <v>44933.69614594907</v>
      </c>
      <c r="G119" s="31">
        <v>2676.0</v>
      </c>
      <c r="H119" s="31" t="s">
        <v>8</v>
      </c>
      <c r="I119" s="33"/>
      <c r="J119" s="33"/>
      <c r="K119" s="28"/>
      <c r="L119" s="28" t="s">
        <v>78</v>
      </c>
      <c r="M119" s="28" t="s">
        <v>79</v>
      </c>
      <c r="N119" s="28"/>
    </row>
    <row r="120" ht="16.5" customHeight="1">
      <c r="A120" s="35" t="s">
        <v>143</v>
      </c>
      <c r="B120" s="36">
        <v>44933.71889960648</v>
      </c>
      <c r="C120" s="35" t="s">
        <v>120</v>
      </c>
      <c r="D120" s="35" t="s">
        <v>77</v>
      </c>
      <c r="E120" s="35">
        <v>2023.0</v>
      </c>
      <c r="F120" s="43">
        <v>44933.71889960648</v>
      </c>
      <c r="G120" s="38">
        <v>2276.0</v>
      </c>
      <c r="H120" s="38" t="s">
        <v>8</v>
      </c>
      <c r="I120" s="40"/>
      <c r="J120" s="40"/>
      <c r="K120" s="35"/>
      <c r="L120" s="35" t="s">
        <v>78</v>
      </c>
      <c r="M120" s="35" t="s">
        <v>79</v>
      </c>
      <c r="N120" s="35"/>
    </row>
    <row r="121" ht="16.5" customHeight="1">
      <c r="A121" s="28" t="s">
        <v>144</v>
      </c>
      <c r="B121" s="29">
        <v>44933.742663321755</v>
      </c>
      <c r="C121" s="28" t="s">
        <v>120</v>
      </c>
      <c r="D121" s="28" t="s">
        <v>77</v>
      </c>
      <c r="E121" s="28">
        <v>2023.0</v>
      </c>
      <c r="F121" s="42">
        <v>44933.742663321755</v>
      </c>
      <c r="G121" s="31">
        <v>2253.0</v>
      </c>
      <c r="H121" s="31" t="s">
        <v>8</v>
      </c>
      <c r="I121" s="33"/>
      <c r="J121" s="33"/>
      <c r="K121" s="28"/>
      <c r="L121" s="28" t="s">
        <v>78</v>
      </c>
      <c r="M121" s="28" t="s">
        <v>79</v>
      </c>
      <c r="N121" s="28"/>
    </row>
    <row r="122" ht="16.5" customHeight="1">
      <c r="A122" s="35" t="s">
        <v>145</v>
      </c>
      <c r="B122" s="36">
        <v>44933.76080240741</v>
      </c>
      <c r="C122" s="35" t="s">
        <v>120</v>
      </c>
      <c r="D122" s="35" t="s">
        <v>77</v>
      </c>
      <c r="E122" s="35">
        <v>2023.0</v>
      </c>
      <c r="F122" s="43">
        <v>44933.76080240741</v>
      </c>
      <c r="G122" s="38">
        <v>2636.0</v>
      </c>
      <c r="H122" s="38" t="s">
        <v>8</v>
      </c>
      <c r="I122" s="40"/>
      <c r="J122" s="40"/>
      <c r="K122" s="35"/>
      <c r="L122" s="35" t="s">
        <v>78</v>
      </c>
      <c r="M122" s="35" t="s">
        <v>79</v>
      </c>
      <c r="N122" s="35"/>
    </row>
    <row r="123" ht="16.5" customHeight="1">
      <c r="A123" s="28" t="s">
        <v>146</v>
      </c>
      <c r="B123" s="29">
        <v>44933.78230881944</v>
      </c>
      <c r="C123" s="28" t="s">
        <v>120</v>
      </c>
      <c r="D123" s="28" t="s">
        <v>77</v>
      </c>
      <c r="E123" s="28">
        <v>2023.0</v>
      </c>
      <c r="F123" s="42">
        <v>44933.78230881944</v>
      </c>
      <c r="G123" s="31">
        <v>2634.0</v>
      </c>
      <c r="H123" s="31" t="s">
        <v>8</v>
      </c>
      <c r="I123" s="33"/>
      <c r="J123" s="33"/>
      <c r="K123" s="28"/>
      <c r="L123" s="28" t="s">
        <v>78</v>
      </c>
      <c r="M123" s="28" t="s">
        <v>79</v>
      </c>
      <c r="N123" s="28"/>
    </row>
    <row r="124" ht="16.5" customHeight="1">
      <c r="A124" s="35" t="s">
        <v>147</v>
      </c>
      <c r="B124" s="36">
        <v>44933.79871658565</v>
      </c>
      <c r="C124" s="35" t="s">
        <v>120</v>
      </c>
      <c r="D124" s="35" t="s">
        <v>77</v>
      </c>
      <c r="E124" s="35">
        <v>2023.0</v>
      </c>
      <c r="F124" s="43">
        <v>44933.79871658565</v>
      </c>
      <c r="G124" s="38">
        <v>2381.0</v>
      </c>
      <c r="H124" s="38" t="s">
        <v>8</v>
      </c>
      <c r="I124" s="40"/>
      <c r="J124" s="40"/>
      <c r="K124" s="35"/>
      <c r="L124" s="35" t="s">
        <v>78</v>
      </c>
      <c r="M124" s="35" t="s">
        <v>79</v>
      </c>
      <c r="N124" s="35"/>
    </row>
    <row r="125" ht="16.5" customHeight="1">
      <c r="A125" s="28" t="s">
        <v>148</v>
      </c>
      <c r="B125" s="29">
        <v>44933.80879805556</v>
      </c>
      <c r="C125" s="28" t="s">
        <v>120</v>
      </c>
      <c r="D125" s="28" t="s">
        <v>77</v>
      </c>
      <c r="E125" s="28">
        <v>2023.0</v>
      </c>
      <c r="F125" s="42">
        <v>44933.80879805556</v>
      </c>
      <c r="G125" s="31">
        <v>2459.0</v>
      </c>
      <c r="H125" s="31" t="s">
        <v>8</v>
      </c>
      <c r="I125" s="33"/>
      <c r="J125" s="33"/>
      <c r="K125" s="28"/>
      <c r="L125" s="28" t="s">
        <v>78</v>
      </c>
      <c r="M125" s="28" t="s">
        <v>79</v>
      </c>
      <c r="N125" s="28"/>
    </row>
    <row r="126" ht="16.5" customHeight="1">
      <c r="A126" s="35" t="s">
        <v>149</v>
      </c>
      <c r="B126" s="36">
        <v>44933.82573935185</v>
      </c>
      <c r="C126" s="35" t="s">
        <v>120</v>
      </c>
      <c r="D126" s="35" t="s">
        <v>77</v>
      </c>
      <c r="E126" s="35">
        <v>2023.0</v>
      </c>
      <c r="F126" s="43">
        <v>44933.82573935185</v>
      </c>
      <c r="G126" s="38">
        <v>2492.0</v>
      </c>
      <c r="H126" s="38" t="s">
        <v>8</v>
      </c>
      <c r="I126" s="40"/>
      <c r="J126" s="40"/>
      <c r="K126" s="35"/>
      <c r="L126" s="35" t="s">
        <v>78</v>
      </c>
      <c r="M126" s="35" t="s">
        <v>79</v>
      </c>
      <c r="N126" s="35"/>
    </row>
    <row r="127" ht="16.5" customHeight="1">
      <c r="A127" s="28" t="s">
        <v>150</v>
      </c>
      <c r="B127" s="29">
        <v>44933.83481233796</v>
      </c>
      <c r="C127" s="28" t="s">
        <v>120</v>
      </c>
      <c r="D127" s="28" t="s">
        <v>77</v>
      </c>
      <c r="E127" s="28">
        <v>2023.0</v>
      </c>
      <c r="F127" s="42">
        <v>44933.83481233796</v>
      </c>
      <c r="G127" s="31">
        <v>2482.0</v>
      </c>
      <c r="H127" s="31" t="s">
        <v>8</v>
      </c>
      <c r="I127" s="33"/>
      <c r="J127" s="33"/>
      <c r="K127" s="28"/>
      <c r="L127" s="28" t="s">
        <v>78</v>
      </c>
      <c r="M127" s="28" t="s">
        <v>79</v>
      </c>
      <c r="N127" s="28"/>
    </row>
    <row r="128" ht="16.5" customHeight="1">
      <c r="A128" s="35" t="s">
        <v>151</v>
      </c>
      <c r="B128" s="36">
        <v>44933.840439583335</v>
      </c>
      <c r="C128" s="35" t="s">
        <v>120</v>
      </c>
      <c r="D128" s="35" t="s">
        <v>77</v>
      </c>
      <c r="E128" s="35">
        <v>2023.0</v>
      </c>
      <c r="F128" s="43">
        <v>44933.840439583335</v>
      </c>
      <c r="G128" s="38">
        <v>2239.0</v>
      </c>
      <c r="H128" s="38" t="s">
        <v>8</v>
      </c>
      <c r="I128" s="40"/>
      <c r="J128" s="40"/>
      <c r="K128" s="35"/>
      <c r="L128" s="35" t="s">
        <v>78</v>
      </c>
      <c r="M128" s="35" t="s">
        <v>79</v>
      </c>
      <c r="N128" s="35"/>
    </row>
    <row r="129" ht="16.5" customHeight="1">
      <c r="A129" s="28" t="s">
        <v>84</v>
      </c>
      <c r="B129" s="29">
        <v>44936.94694418981</v>
      </c>
      <c r="C129" s="28" t="s">
        <v>152</v>
      </c>
      <c r="D129" s="28" t="s">
        <v>77</v>
      </c>
      <c r="E129" s="28">
        <v>2023.0</v>
      </c>
      <c r="F129" s="42">
        <v>44936.94694418981</v>
      </c>
      <c r="G129" s="31">
        <v>2188.0</v>
      </c>
      <c r="H129" s="31" t="s">
        <v>8</v>
      </c>
      <c r="I129" s="33"/>
      <c r="J129" s="33"/>
      <c r="K129" s="28"/>
      <c r="L129" s="28" t="s">
        <v>78</v>
      </c>
      <c r="M129" s="28" t="s">
        <v>79</v>
      </c>
      <c r="N129" s="28"/>
    </row>
    <row r="130" ht="16.5" customHeight="1">
      <c r="A130" s="35" t="s">
        <v>153</v>
      </c>
      <c r="B130" s="36">
        <v>44936.98383513889</v>
      </c>
      <c r="C130" s="35" t="s">
        <v>152</v>
      </c>
      <c r="D130" s="35" t="s">
        <v>77</v>
      </c>
      <c r="E130" s="35">
        <v>2023.0</v>
      </c>
      <c r="F130" s="43">
        <v>44936.98383513889</v>
      </c>
      <c r="G130" s="38">
        <v>2391.0</v>
      </c>
      <c r="H130" s="38" t="s">
        <v>8</v>
      </c>
      <c r="I130" s="40"/>
      <c r="J130" s="40"/>
      <c r="K130" s="35"/>
      <c r="L130" s="35" t="s">
        <v>78</v>
      </c>
      <c r="M130" s="35" t="s">
        <v>79</v>
      </c>
      <c r="N130" s="35"/>
    </row>
    <row r="131" ht="16.5" customHeight="1">
      <c r="A131" s="28" t="s">
        <v>154</v>
      </c>
      <c r="B131" s="29">
        <v>44937.01451554398</v>
      </c>
      <c r="C131" s="28" t="s">
        <v>155</v>
      </c>
      <c r="D131" s="28" t="s">
        <v>77</v>
      </c>
      <c r="E131" s="28">
        <v>2023.0</v>
      </c>
      <c r="F131" s="42">
        <v>44937.01451554398</v>
      </c>
      <c r="G131" s="31">
        <v>2515.0</v>
      </c>
      <c r="H131" s="31" t="s">
        <v>8</v>
      </c>
      <c r="I131" s="33"/>
      <c r="J131" s="33"/>
      <c r="K131" s="28"/>
      <c r="L131" s="28" t="s">
        <v>78</v>
      </c>
      <c r="M131" s="28" t="s">
        <v>79</v>
      </c>
      <c r="N131" s="28"/>
    </row>
    <row r="132" ht="16.5" customHeight="1">
      <c r="A132" s="35" t="s">
        <v>156</v>
      </c>
      <c r="B132" s="36">
        <v>44937.03326982639</v>
      </c>
      <c r="C132" s="35" t="s">
        <v>155</v>
      </c>
      <c r="D132" s="35" t="s">
        <v>77</v>
      </c>
      <c r="E132" s="35">
        <v>2023.0</v>
      </c>
      <c r="F132" s="43">
        <v>44937.03326982639</v>
      </c>
      <c r="G132" s="38">
        <v>2639.0</v>
      </c>
      <c r="H132" s="38" t="s">
        <v>8</v>
      </c>
      <c r="I132" s="40"/>
      <c r="J132" s="40"/>
      <c r="K132" s="35"/>
      <c r="L132" s="35" t="s">
        <v>78</v>
      </c>
      <c r="M132" s="35" t="s">
        <v>79</v>
      </c>
      <c r="N132" s="35"/>
    </row>
    <row r="133" ht="16.5" customHeight="1">
      <c r="A133" s="28" t="s">
        <v>140</v>
      </c>
      <c r="B133" s="29">
        <v>44937.051373379625</v>
      </c>
      <c r="C133" s="28" t="s">
        <v>155</v>
      </c>
      <c r="D133" s="28" t="s">
        <v>77</v>
      </c>
      <c r="E133" s="28">
        <v>2023.0</v>
      </c>
      <c r="F133" s="42">
        <v>44937.051373379625</v>
      </c>
      <c r="G133" s="31">
        <v>2425.0</v>
      </c>
      <c r="H133" s="31" t="s">
        <v>8</v>
      </c>
      <c r="I133" s="33"/>
      <c r="J133" s="33"/>
      <c r="K133" s="28"/>
      <c r="L133" s="28" t="s">
        <v>78</v>
      </c>
      <c r="M133" s="28" t="s">
        <v>79</v>
      </c>
      <c r="N133" s="28"/>
    </row>
    <row r="134" ht="16.5" customHeight="1">
      <c r="A134" s="35" t="s">
        <v>157</v>
      </c>
      <c r="B134" s="36">
        <v>44937.07338453704</v>
      </c>
      <c r="C134" s="35" t="s">
        <v>155</v>
      </c>
      <c r="D134" s="35" t="s">
        <v>77</v>
      </c>
      <c r="E134" s="35">
        <v>2023.0</v>
      </c>
      <c r="F134" s="43">
        <v>44937.07338453704</v>
      </c>
      <c r="G134" s="38">
        <v>2366.0</v>
      </c>
      <c r="H134" s="38" t="s">
        <v>8</v>
      </c>
      <c r="I134" s="40"/>
      <c r="J134" s="40"/>
      <c r="K134" s="35"/>
      <c r="L134" s="35" t="s">
        <v>78</v>
      </c>
      <c r="M134" s="35" t="s">
        <v>79</v>
      </c>
      <c r="N134" s="35"/>
    </row>
    <row r="135" ht="16.5" customHeight="1">
      <c r="A135" s="28" t="s">
        <v>103</v>
      </c>
      <c r="B135" s="29">
        <v>44937.09755628472</v>
      </c>
      <c r="C135" s="28" t="s">
        <v>155</v>
      </c>
      <c r="D135" s="28" t="s">
        <v>77</v>
      </c>
      <c r="E135" s="28">
        <v>2023.0</v>
      </c>
      <c r="F135" s="42">
        <v>44937.09755628472</v>
      </c>
      <c r="G135" s="31">
        <v>2273.0</v>
      </c>
      <c r="H135" s="31" t="s">
        <v>8</v>
      </c>
      <c r="I135" s="33"/>
      <c r="J135" s="33"/>
      <c r="K135" s="28"/>
      <c r="L135" s="28" t="s">
        <v>78</v>
      </c>
      <c r="M135" s="28" t="s">
        <v>79</v>
      </c>
      <c r="N135" s="28"/>
    </row>
    <row r="136" ht="16.5" customHeight="1">
      <c r="A136" s="35" t="s">
        <v>158</v>
      </c>
      <c r="B136" s="36">
        <v>44937.11297405093</v>
      </c>
      <c r="C136" s="35" t="s">
        <v>155</v>
      </c>
      <c r="D136" s="35" t="s">
        <v>77</v>
      </c>
      <c r="E136" s="35">
        <v>2023.0</v>
      </c>
      <c r="F136" s="43">
        <v>44937.11297405093</v>
      </c>
      <c r="G136" s="38">
        <v>2620.0</v>
      </c>
      <c r="H136" s="38" t="s">
        <v>8</v>
      </c>
      <c r="I136" s="40"/>
      <c r="J136" s="40"/>
      <c r="K136" s="35"/>
      <c r="L136" s="35" t="s">
        <v>78</v>
      </c>
      <c r="M136" s="35" t="s">
        <v>79</v>
      </c>
      <c r="N136" s="35"/>
    </row>
    <row r="137" ht="16.5" customHeight="1">
      <c r="A137" s="28" t="s">
        <v>159</v>
      </c>
      <c r="B137" s="29">
        <v>44937.13525712963</v>
      </c>
      <c r="C137" s="28" t="s">
        <v>155</v>
      </c>
      <c r="D137" s="28" t="s">
        <v>77</v>
      </c>
      <c r="E137" s="28">
        <v>2023.0</v>
      </c>
      <c r="F137" s="42">
        <v>44937.13525712963</v>
      </c>
      <c r="G137" s="31">
        <v>2468.0</v>
      </c>
      <c r="H137" s="31" t="s">
        <v>8</v>
      </c>
      <c r="I137" s="33"/>
      <c r="J137" s="33"/>
      <c r="K137" s="28"/>
      <c r="L137" s="28" t="s">
        <v>78</v>
      </c>
      <c r="M137" s="28" t="s">
        <v>79</v>
      </c>
      <c r="N137" s="28"/>
    </row>
    <row r="138" ht="16.5" customHeight="1">
      <c r="A138" s="35" t="s">
        <v>98</v>
      </c>
      <c r="B138" s="36">
        <v>44937.1638956713</v>
      </c>
      <c r="C138" s="35" t="s">
        <v>155</v>
      </c>
      <c r="D138" s="35" t="s">
        <v>77</v>
      </c>
      <c r="E138" s="35">
        <v>2023.0</v>
      </c>
      <c r="F138" s="43">
        <v>44937.1638956713</v>
      </c>
      <c r="G138" s="38">
        <v>2460.0</v>
      </c>
      <c r="H138" s="38" t="s">
        <v>8</v>
      </c>
      <c r="I138" s="40"/>
      <c r="J138" s="40"/>
      <c r="K138" s="35"/>
      <c r="L138" s="35" t="s">
        <v>78</v>
      </c>
      <c r="M138" s="35" t="s">
        <v>79</v>
      </c>
      <c r="N138" s="35"/>
    </row>
    <row r="139" ht="16.5" customHeight="1">
      <c r="A139" s="28" t="s">
        <v>160</v>
      </c>
      <c r="B139" s="29">
        <v>44937.18543482639</v>
      </c>
      <c r="C139" s="28" t="s">
        <v>155</v>
      </c>
      <c r="D139" s="28" t="s">
        <v>77</v>
      </c>
      <c r="E139" s="28">
        <v>2023.0</v>
      </c>
      <c r="F139" s="42">
        <v>44937.18543482639</v>
      </c>
      <c r="G139" s="31">
        <v>2387.0</v>
      </c>
      <c r="H139" s="31" t="s">
        <v>8</v>
      </c>
      <c r="I139" s="33"/>
      <c r="J139" s="33"/>
      <c r="K139" s="28"/>
      <c r="L139" s="28" t="s">
        <v>78</v>
      </c>
      <c r="M139" s="28" t="s">
        <v>79</v>
      </c>
      <c r="N139" s="28"/>
    </row>
    <row r="140" ht="16.5" customHeight="1">
      <c r="A140" s="35" t="s">
        <v>161</v>
      </c>
      <c r="B140" s="36">
        <v>44937.19989578704</v>
      </c>
      <c r="C140" s="35" t="s">
        <v>155</v>
      </c>
      <c r="D140" s="35" t="s">
        <v>77</v>
      </c>
      <c r="E140" s="35">
        <v>2023.0</v>
      </c>
      <c r="F140" s="43">
        <v>44937.19989578704</v>
      </c>
      <c r="G140" s="38">
        <v>2629.0</v>
      </c>
      <c r="H140" s="38" t="s">
        <v>8</v>
      </c>
      <c r="I140" s="40"/>
      <c r="J140" s="40"/>
      <c r="K140" s="35"/>
      <c r="L140" s="35" t="s">
        <v>78</v>
      </c>
      <c r="M140" s="35" t="s">
        <v>79</v>
      </c>
      <c r="N140" s="35"/>
    </row>
    <row r="141" ht="16.5" customHeight="1">
      <c r="A141" s="28" t="s">
        <v>162</v>
      </c>
      <c r="B141" s="29">
        <v>44937.22727296296</v>
      </c>
      <c r="C141" s="28" t="s">
        <v>155</v>
      </c>
      <c r="D141" s="28" t="s">
        <v>77</v>
      </c>
      <c r="E141" s="28">
        <v>2023.0</v>
      </c>
      <c r="F141" s="42">
        <v>44937.22727296296</v>
      </c>
      <c r="G141" s="31">
        <v>2424.0</v>
      </c>
      <c r="H141" s="31" t="s">
        <v>8</v>
      </c>
      <c r="I141" s="33"/>
      <c r="J141" s="33"/>
      <c r="K141" s="28"/>
      <c r="L141" s="28" t="s">
        <v>78</v>
      </c>
      <c r="M141" s="28" t="s">
        <v>79</v>
      </c>
      <c r="N141" s="28"/>
    </row>
    <row r="142" ht="16.5" customHeight="1">
      <c r="A142" s="35" t="s">
        <v>163</v>
      </c>
      <c r="B142" s="36">
        <v>44937.95007253472</v>
      </c>
      <c r="C142" s="35" t="s">
        <v>155</v>
      </c>
      <c r="D142" s="35" t="s">
        <v>77</v>
      </c>
      <c r="E142" s="35">
        <v>2023.0</v>
      </c>
      <c r="F142" s="43">
        <v>44937.95007253472</v>
      </c>
      <c r="G142" s="38">
        <v>2637.0</v>
      </c>
      <c r="H142" s="38" t="s">
        <v>8</v>
      </c>
      <c r="I142" s="40"/>
      <c r="J142" s="40"/>
      <c r="K142" s="35"/>
      <c r="L142" s="35" t="s">
        <v>78</v>
      </c>
      <c r="M142" s="35" t="s">
        <v>79</v>
      </c>
      <c r="N142" s="35"/>
    </row>
    <row r="143" ht="16.5" customHeight="1">
      <c r="A143" s="28" t="s">
        <v>164</v>
      </c>
      <c r="B143" s="29">
        <v>44938.02746920139</v>
      </c>
      <c r="C143" s="28" t="s">
        <v>7</v>
      </c>
      <c r="D143" s="28" t="s">
        <v>77</v>
      </c>
      <c r="E143" s="28">
        <v>2023.0</v>
      </c>
      <c r="F143" s="42">
        <v>44938.02746920139</v>
      </c>
      <c r="G143" s="31">
        <v>2675.0</v>
      </c>
      <c r="H143" s="31" t="s">
        <v>8</v>
      </c>
      <c r="I143" s="33"/>
      <c r="J143" s="33"/>
      <c r="K143" s="28"/>
      <c r="L143" s="28" t="s">
        <v>78</v>
      </c>
      <c r="M143" s="28" t="s">
        <v>79</v>
      </c>
      <c r="N143" s="28"/>
    </row>
    <row r="144" ht="16.5" customHeight="1">
      <c r="A144" s="35" t="s">
        <v>83</v>
      </c>
      <c r="B144" s="36">
        <v>44938.04312753472</v>
      </c>
      <c r="C144" s="35" t="s">
        <v>7</v>
      </c>
      <c r="D144" s="35" t="s">
        <v>77</v>
      </c>
      <c r="E144" s="35">
        <v>2023.0</v>
      </c>
      <c r="F144" s="43">
        <v>44938.04312753472</v>
      </c>
      <c r="G144" s="38">
        <v>2241.0</v>
      </c>
      <c r="H144" s="38" t="s">
        <v>8</v>
      </c>
      <c r="I144" s="40"/>
      <c r="J144" s="40"/>
      <c r="K144" s="35"/>
      <c r="L144" s="35" t="s">
        <v>78</v>
      </c>
      <c r="M144" s="35" t="s">
        <v>79</v>
      </c>
      <c r="N144" s="35"/>
    </row>
    <row r="145" ht="16.5" customHeight="1">
      <c r="A145" s="28" t="s">
        <v>165</v>
      </c>
      <c r="B145" s="29">
        <v>44938.06940230324</v>
      </c>
      <c r="C145" s="28" t="s">
        <v>7</v>
      </c>
      <c r="D145" s="28" t="s">
        <v>77</v>
      </c>
      <c r="E145" s="28">
        <v>2023.0</v>
      </c>
      <c r="F145" s="42">
        <v>44938.06940230324</v>
      </c>
      <c r="G145" s="31">
        <v>2432.0</v>
      </c>
      <c r="H145" s="31" t="s">
        <v>8</v>
      </c>
      <c r="I145" s="33"/>
      <c r="J145" s="33"/>
      <c r="K145" s="28"/>
      <c r="L145" s="28" t="s">
        <v>78</v>
      </c>
      <c r="M145" s="28" t="s">
        <v>79</v>
      </c>
      <c r="N145" s="28"/>
    </row>
    <row r="146" ht="16.5" customHeight="1">
      <c r="A146" s="35" t="s">
        <v>166</v>
      </c>
      <c r="B146" s="36">
        <v>44938.08477741898</v>
      </c>
      <c r="C146" s="35" t="s">
        <v>7</v>
      </c>
      <c r="D146" s="35" t="s">
        <v>77</v>
      </c>
      <c r="E146" s="35">
        <v>2023.0</v>
      </c>
      <c r="F146" s="43">
        <v>44938.08477741898</v>
      </c>
      <c r="G146" s="38">
        <v>2622.0</v>
      </c>
      <c r="H146" s="38" t="s">
        <v>8</v>
      </c>
      <c r="I146" s="40"/>
      <c r="J146" s="40"/>
      <c r="K146" s="35"/>
      <c r="L146" s="35" t="s">
        <v>78</v>
      </c>
      <c r="M146" s="35" t="s">
        <v>79</v>
      </c>
      <c r="N146" s="35"/>
    </row>
    <row r="147" ht="16.5" customHeight="1">
      <c r="A147" s="28" t="s">
        <v>167</v>
      </c>
      <c r="B147" s="29">
        <v>44938.103708344905</v>
      </c>
      <c r="C147" s="28" t="s">
        <v>7</v>
      </c>
      <c r="D147" s="28" t="s">
        <v>77</v>
      </c>
      <c r="E147" s="28">
        <v>2023.0</v>
      </c>
      <c r="F147" s="42">
        <v>44938.103708344905</v>
      </c>
      <c r="G147" s="31">
        <v>2367.0</v>
      </c>
      <c r="H147" s="31" t="s">
        <v>8</v>
      </c>
      <c r="I147" s="33"/>
      <c r="J147" s="33"/>
      <c r="K147" s="28"/>
      <c r="L147" s="28" t="s">
        <v>78</v>
      </c>
      <c r="M147" s="28" t="s">
        <v>79</v>
      </c>
      <c r="N147" s="28"/>
    </row>
    <row r="148" ht="16.5" customHeight="1">
      <c r="A148" s="35" t="s">
        <v>168</v>
      </c>
      <c r="B148" s="36">
        <v>44938.13180974537</v>
      </c>
      <c r="C148" s="35" t="s">
        <v>7</v>
      </c>
      <c r="D148" s="35" t="s">
        <v>77</v>
      </c>
      <c r="E148" s="35">
        <v>2023.0</v>
      </c>
      <c r="F148" s="43">
        <v>44938.13180974537</v>
      </c>
      <c r="G148" s="38">
        <v>2317.0</v>
      </c>
      <c r="H148" s="38" t="s">
        <v>8</v>
      </c>
      <c r="I148" s="40"/>
      <c r="J148" s="40"/>
      <c r="K148" s="35"/>
      <c r="L148" s="35" t="s">
        <v>78</v>
      </c>
      <c r="M148" s="35" t="s">
        <v>79</v>
      </c>
      <c r="N148" s="35"/>
    </row>
    <row r="149" ht="16.5" customHeight="1">
      <c r="A149" s="28" t="s">
        <v>169</v>
      </c>
      <c r="B149" s="29">
        <v>44938.15493549769</v>
      </c>
      <c r="C149" s="28" t="s">
        <v>7</v>
      </c>
      <c r="D149" s="28" t="s">
        <v>77</v>
      </c>
      <c r="E149" s="28">
        <v>2023.0</v>
      </c>
      <c r="F149" s="42">
        <v>44938.15493549769</v>
      </c>
      <c r="G149" s="31">
        <v>2422.0</v>
      </c>
      <c r="H149" s="31" t="s">
        <v>8</v>
      </c>
      <c r="I149" s="33"/>
      <c r="J149" s="33"/>
      <c r="K149" s="28"/>
      <c r="L149" s="28" t="s">
        <v>78</v>
      </c>
      <c r="M149" s="28" t="s">
        <v>79</v>
      </c>
      <c r="N149" s="28"/>
    </row>
    <row r="150" ht="16.5" customHeight="1">
      <c r="A150" s="35" t="s">
        <v>132</v>
      </c>
      <c r="B150" s="36">
        <v>44938.16801458334</v>
      </c>
      <c r="C150" s="35" t="s">
        <v>7</v>
      </c>
      <c r="D150" s="35" t="s">
        <v>77</v>
      </c>
      <c r="E150" s="35">
        <v>2023.0</v>
      </c>
      <c r="F150" s="43">
        <v>44938.16801458334</v>
      </c>
      <c r="G150" s="38">
        <v>2202.0</v>
      </c>
      <c r="H150" s="38" t="s">
        <v>8</v>
      </c>
      <c r="I150" s="40"/>
      <c r="J150" s="40"/>
      <c r="K150" s="35"/>
      <c r="L150" s="35" t="s">
        <v>78</v>
      </c>
      <c r="M150" s="35" t="s">
        <v>79</v>
      </c>
      <c r="N150" s="35"/>
    </row>
    <row r="151" ht="16.5" customHeight="1">
      <c r="A151" s="28" t="s">
        <v>132</v>
      </c>
      <c r="B151" s="29">
        <v>44938.1695849074</v>
      </c>
      <c r="C151" s="28" t="s">
        <v>7</v>
      </c>
      <c r="D151" s="28" t="s">
        <v>77</v>
      </c>
      <c r="E151" s="28">
        <v>2023.0</v>
      </c>
      <c r="F151" s="42">
        <v>44938.1695849074</v>
      </c>
      <c r="G151" s="31">
        <v>2202.0</v>
      </c>
      <c r="H151" s="31" t="s">
        <v>8</v>
      </c>
      <c r="I151" s="33"/>
      <c r="J151" s="33"/>
      <c r="K151" s="28"/>
      <c r="L151" s="28" t="s">
        <v>78</v>
      </c>
      <c r="M151" s="28" t="s">
        <v>79</v>
      </c>
      <c r="N151" s="28"/>
    </row>
    <row r="152" ht="16.5" customHeight="1">
      <c r="A152" s="35" t="s">
        <v>141</v>
      </c>
      <c r="B152" s="36">
        <v>44938.18261548611</v>
      </c>
      <c r="C152" s="35" t="s">
        <v>7</v>
      </c>
      <c r="D152" s="35" t="s">
        <v>77</v>
      </c>
      <c r="E152" s="35">
        <v>2023.0</v>
      </c>
      <c r="F152" s="43">
        <v>44938.18261548611</v>
      </c>
      <c r="G152" s="38">
        <v>2354.0</v>
      </c>
      <c r="H152" s="38" t="s">
        <v>8</v>
      </c>
      <c r="I152" s="40"/>
      <c r="J152" s="40"/>
      <c r="K152" s="35"/>
      <c r="L152" s="35" t="s">
        <v>78</v>
      </c>
      <c r="M152" s="35" t="s">
        <v>79</v>
      </c>
      <c r="N152" s="35"/>
    </row>
    <row r="153" ht="16.5" customHeight="1">
      <c r="A153" s="28" t="s">
        <v>170</v>
      </c>
      <c r="B153" s="29">
        <v>44938.212232418984</v>
      </c>
      <c r="C153" s="28" t="s">
        <v>7</v>
      </c>
      <c r="D153" s="28" t="s">
        <v>77</v>
      </c>
      <c r="E153" s="28">
        <v>2023.0</v>
      </c>
      <c r="F153" s="42">
        <v>44938.212232418984</v>
      </c>
      <c r="G153" s="31">
        <v>2632.0</v>
      </c>
      <c r="H153" s="31" t="s">
        <v>8</v>
      </c>
      <c r="I153" s="33"/>
      <c r="J153" s="33"/>
      <c r="K153" s="28"/>
      <c r="L153" s="28" t="s">
        <v>78</v>
      </c>
      <c r="M153" s="28" t="s">
        <v>79</v>
      </c>
      <c r="N153" s="28"/>
    </row>
    <row r="154" ht="16.5" customHeight="1">
      <c r="A154" s="35" t="s">
        <v>85</v>
      </c>
      <c r="B154" s="36">
        <v>44938.226707615744</v>
      </c>
      <c r="C154" s="35" t="s">
        <v>7</v>
      </c>
      <c r="D154" s="35" t="s">
        <v>77</v>
      </c>
      <c r="E154" s="35">
        <v>2023.0</v>
      </c>
      <c r="F154" s="43">
        <v>44938.226707615744</v>
      </c>
      <c r="G154" s="38">
        <v>2464.0</v>
      </c>
      <c r="H154" s="38" t="s">
        <v>8</v>
      </c>
      <c r="I154" s="40"/>
      <c r="J154" s="40"/>
      <c r="K154" s="35"/>
      <c r="L154" s="35" t="s">
        <v>78</v>
      </c>
      <c r="M154" s="35" t="s">
        <v>79</v>
      </c>
      <c r="N154" s="35"/>
    </row>
    <row r="155" ht="16.5" customHeight="1">
      <c r="A155" s="28" t="s">
        <v>171</v>
      </c>
      <c r="B155" s="29">
        <v>44938.31040366898</v>
      </c>
      <c r="C155" s="28" t="s">
        <v>7</v>
      </c>
      <c r="D155" s="28" t="s">
        <v>77</v>
      </c>
      <c r="E155" s="28">
        <v>2023.0</v>
      </c>
      <c r="F155" s="42">
        <v>44938.31040366898</v>
      </c>
      <c r="G155" s="31">
        <v>2718.0</v>
      </c>
      <c r="H155" s="31" t="s">
        <v>8</v>
      </c>
      <c r="I155" s="33"/>
      <c r="J155" s="33"/>
      <c r="K155" s="28"/>
      <c r="L155" s="28" t="s">
        <v>78</v>
      </c>
      <c r="M155" s="28" t="s">
        <v>79</v>
      </c>
      <c r="N155" s="28"/>
    </row>
    <row r="156" ht="16.5" customHeight="1">
      <c r="A156" s="35" t="s">
        <v>172</v>
      </c>
      <c r="B156" s="36">
        <v>44938.95709481482</v>
      </c>
      <c r="C156" s="35" t="s">
        <v>7</v>
      </c>
      <c r="D156" s="35" t="s">
        <v>77</v>
      </c>
      <c r="E156" s="35">
        <v>2023.0</v>
      </c>
      <c r="F156" s="43">
        <v>44938.95709481482</v>
      </c>
      <c r="G156" s="38">
        <v>2401.0</v>
      </c>
      <c r="H156" s="38" t="s">
        <v>40</v>
      </c>
      <c r="I156" s="40"/>
      <c r="J156" s="40"/>
      <c r="K156" s="35"/>
      <c r="L156" s="35" t="s">
        <v>78</v>
      </c>
      <c r="M156" s="35" t="s">
        <v>79</v>
      </c>
      <c r="N156" s="35"/>
    </row>
    <row r="157" ht="16.5" customHeight="1">
      <c r="A157" s="28" t="s">
        <v>173</v>
      </c>
      <c r="B157" s="29">
        <v>44938.97221768519</v>
      </c>
      <c r="C157" s="28" t="s">
        <v>7</v>
      </c>
      <c r="D157" s="28" t="s">
        <v>77</v>
      </c>
      <c r="E157" s="28">
        <v>2023.0</v>
      </c>
      <c r="F157" s="42">
        <v>44938.97221768519</v>
      </c>
      <c r="G157" s="31">
        <v>2566.0</v>
      </c>
      <c r="H157" s="31" t="s">
        <v>8</v>
      </c>
      <c r="I157" s="33"/>
      <c r="J157" s="33"/>
      <c r="K157" s="28"/>
      <c r="L157" s="28" t="s">
        <v>78</v>
      </c>
      <c r="M157" s="28" t="s">
        <v>79</v>
      </c>
      <c r="N157" s="28"/>
    </row>
    <row r="158" ht="16.5" customHeight="1">
      <c r="A158" s="35" t="s">
        <v>75</v>
      </c>
      <c r="B158" s="36">
        <v>44938.99027594907</v>
      </c>
      <c r="C158" s="35" t="s">
        <v>7</v>
      </c>
      <c r="D158" s="35" t="s">
        <v>77</v>
      </c>
      <c r="E158" s="35">
        <v>2023.0</v>
      </c>
      <c r="F158" s="43">
        <v>44938.99027594907</v>
      </c>
      <c r="G158" s="38">
        <v>2450.0</v>
      </c>
      <c r="H158" s="38" t="s">
        <v>8</v>
      </c>
      <c r="I158" s="40"/>
      <c r="J158" s="40"/>
      <c r="K158" s="35"/>
      <c r="L158" s="35" t="s">
        <v>78</v>
      </c>
      <c r="M158" s="35" t="s">
        <v>79</v>
      </c>
      <c r="N158" s="35"/>
    </row>
    <row r="159" ht="16.5" customHeight="1">
      <c r="A159" s="28" t="s">
        <v>160</v>
      </c>
      <c r="B159" s="29">
        <v>44939.05454357639</v>
      </c>
      <c r="C159" s="28" t="s">
        <v>122</v>
      </c>
      <c r="D159" s="28" t="s">
        <v>77</v>
      </c>
      <c r="E159" s="28">
        <v>2023.0</v>
      </c>
      <c r="F159" s="42">
        <v>44939.05454357639</v>
      </c>
      <c r="G159" s="31">
        <v>2387.0</v>
      </c>
      <c r="H159" s="31" t="s">
        <v>8</v>
      </c>
      <c r="I159" s="33"/>
      <c r="J159" s="33"/>
      <c r="K159" s="28"/>
      <c r="L159" s="28" t="s">
        <v>78</v>
      </c>
      <c r="M159" s="28" t="s">
        <v>79</v>
      </c>
      <c r="N159" s="28"/>
    </row>
    <row r="160" ht="16.5" customHeight="1">
      <c r="A160" s="35" t="s">
        <v>174</v>
      </c>
      <c r="B160" s="36">
        <v>44939.0707309375</v>
      </c>
      <c r="C160" s="35" t="s">
        <v>122</v>
      </c>
      <c r="D160" s="35" t="s">
        <v>77</v>
      </c>
      <c r="E160" s="35">
        <v>2023.0</v>
      </c>
      <c r="F160" s="43">
        <v>44939.0707309375</v>
      </c>
      <c r="G160" s="38">
        <v>2419.0</v>
      </c>
      <c r="H160" s="38" t="s">
        <v>8</v>
      </c>
      <c r="I160" s="40"/>
      <c r="J160" s="40"/>
      <c r="K160" s="35"/>
      <c r="L160" s="35" t="s">
        <v>78</v>
      </c>
      <c r="M160" s="35" t="s">
        <v>79</v>
      </c>
      <c r="N160" s="35"/>
    </row>
    <row r="161" ht="16.5" customHeight="1">
      <c r="A161" s="28" t="s">
        <v>175</v>
      </c>
      <c r="B161" s="29">
        <v>44939.08667978009</v>
      </c>
      <c r="C161" s="28" t="s">
        <v>122</v>
      </c>
      <c r="D161" s="28" t="s">
        <v>77</v>
      </c>
      <c r="E161" s="28">
        <v>2023.0</v>
      </c>
      <c r="F161" s="42">
        <v>44939.08667978009</v>
      </c>
      <c r="G161" s="31">
        <v>2376.0</v>
      </c>
      <c r="H161" s="31" t="s">
        <v>8</v>
      </c>
      <c r="I161" s="33"/>
      <c r="J161" s="33"/>
      <c r="K161" s="28"/>
      <c r="L161" s="28" t="s">
        <v>78</v>
      </c>
      <c r="M161" s="28" t="s">
        <v>79</v>
      </c>
      <c r="N161" s="28"/>
    </row>
    <row r="162" ht="16.5" customHeight="1">
      <c r="A162" s="35" t="s">
        <v>176</v>
      </c>
      <c r="B162" s="36">
        <v>44939.10286067129</v>
      </c>
      <c r="C162" s="35" t="s">
        <v>122</v>
      </c>
      <c r="D162" s="35" t="s">
        <v>77</v>
      </c>
      <c r="E162" s="35">
        <v>2023.0</v>
      </c>
      <c r="F162" s="43">
        <v>44939.10286067129</v>
      </c>
      <c r="G162" s="38">
        <v>2403.0</v>
      </c>
      <c r="H162" s="38" t="s">
        <v>8</v>
      </c>
      <c r="I162" s="40"/>
      <c r="J162" s="40"/>
      <c r="K162" s="35"/>
      <c r="L162" s="35" t="s">
        <v>78</v>
      </c>
      <c r="M162" s="35" t="s">
        <v>79</v>
      </c>
      <c r="N162" s="35"/>
    </row>
    <row r="163" ht="16.5" customHeight="1">
      <c r="A163" s="28" t="s">
        <v>177</v>
      </c>
      <c r="B163" s="29">
        <v>44939.12699613426</v>
      </c>
      <c r="C163" s="28" t="s">
        <v>122</v>
      </c>
      <c r="D163" s="28" t="s">
        <v>77</v>
      </c>
      <c r="E163" s="28">
        <v>2023.0</v>
      </c>
      <c r="F163" s="42">
        <v>44939.12699613426</v>
      </c>
      <c r="G163" s="31">
        <v>2374.0</v>
      </c>
      <c r="H163" s="31" t="s">
        <v>8</v>
      </c>
      <c r="I163" s="33"/>
      <c r="J163" s="33"/>
      <c r="K163" s="28"/>
      <c r="L163" s="28" t="s">
        <v>78</v>
      </c>
      <c r="M163" s="28" t="s">
        <v>79</v>
      </c>
      <c r="N163" s="28"/>
    </row>
    <row r="164" ht="16.5" customHeight="1">
      <c r="A164" s="35" t="s">
        <v>178</v>
      </c>
      <c r="B164" s="36">
        <v>44939.14496615741</v>
      </c>
      <c r="C164" s="35" t="s">
        <v>122</v>
      </c>
      <c r="D164" s="35" t="s">
        <v>77</v>
      </c>
      <c r="E164" s="35">
        <v>2023.0</v>
      </c>
      <c r="F164" s="43">
        <v>44939.14496615741</v>
      </c>
      <c r="G164" s="38">
        <v>2672.0</v>
      </c>
      <c r="H164" s="38" t="s">
        <v>8</v>
      </c>
      <c r="I164" s="40"/>
      <c r="J164" s="40"/>
      <c r="K164" s="35"/>
      <c r="L164" s="35" t="s">
        <v>78</v>
      </c>
      <c r="M164" s="35" t="s">
        <v>79</v>
      </c>
      <c r="N164" s="35"/>
    </row>
    <row r="165" ht="16.5" customHeight="1">
      <c r="A165" s="28" t="s">
        <v>86</v>
      </c>
      <c r="B165" s="29">
        <v>44939.16626979166</v>
      </c>
      <c r="C165" s="28" t="s">
        <v>122</v>
      </c>
      <c r="D165" s="28" t="s">
        <v>77</v>
      </c>
      <c r="E165" s="28">
        <v>2023.0</v>
      </c>
      <c r="F165" s="42">
        <v>44939.16626979166</v>
      </c>
      <c r="G165" s="31">
        <v>2623.0</v>
      </c>
      <c r="H165" s="31" t="s">
        <v>8</v>
      </c>
      <c r="I165" s="33"/>
      <c r="J165" s="33"/>
      <c r="K165" s="28"/>
      <c r="L165" s="28" t="s">
        <v>78</v>
      </c>
      <c r="M165" s="28" t="s">
        <v>79</v>
      </c>
      <c r="N165" s="28"/>
    </row>
    <row r="166" ht="16.5" customHeight="1">
      <c r="A166" s="35" t="s">
        <v>84</v>
      </c>
      <c r="B166" s="36">
        <v>44939.20554199074</v>
      </c>
      <c r="C166" s="35" t="s">
        <v>122</v>
      </c>
      <c r="D166" s="35" t="s">
        <v>77</v>
      </c>
      <c r="E166" s="35">
        <v>2023.0</v>
      </c>
      <c r="F166" s="43">
        <v>44939.20554199074</v>
      </c>
      <c r="G166" s="38">
        <v>2188.0</v>
      </c>
      <c r="H166" s="38" t="s">
        <v>8</v>
      </c>
      <c r="I166" s="40"/>
      <c r="J166" s="40"/>
      <c r="K166" s="35"/>
      <c r="L166" s="35" t="s">
        <v>78</v>
      </c>
      <c r="M166" s="35" t="s">
        <v>79</v>
      </c>
      <c r="N166" s="35"/>
    </row>
    <row r="167" ht="16.5" customHeight="1">
      <c r="A167" s="28" t="s">
        <v>162</v>
      </c>
      <c r="B167" s="29">
        <v>44939.228541516204</v>
      </c>
      <c r="C167" s="28" t="s">
        <v>122</v>
      </c>
      <c r="D167" s="28" t="s">
        <v>77</v>
      </c>
      <c r="E167" s="28">
        <v>2023.0</v>
      </c>
      <c r="F167" s="42">
        <v>44939.228541516204</v>
      </c>
      <c r="G167" s="31">
        <v>2424.0</v>
      </c>
      <c r="H167" s="31" t="s">
        <v>8</v>
      </c>
      <c r="I167" s="33"/>
      <c r="J167" s="33"/>
      <c r="K167" s="28"/>
      <c r="L167" s="28" t="s">
        <v>78</v>
      </c>
      <c r="M167" s="28" t="s">
        <v>79</v>
      </c>
      <c r="N167" s="28"/>
    </row>
    <row r="168" ht="16.5" customHeight="1">
      <c r="A168" s="35" t="s">
        <v>179</v>
      </c>
      <c r="B168" s="36">
        <v>44939.907821597226</v>
      </c>
      <c r="C168" s="35" t="s">
        <v>122</v>
      </c>
      <c r="D168" s="35" t="s">
        <v>77</v>
      </c>
      <c r="E168" s="35">
        <v>2023.0</v>
      </c>
      <c r="F168" s="43">
        <v>44939.907821597226</v>
      </c>
      <c r="G168" s="38">
        <v>2204.0</v>
      </c>
      <c r="H168" s="38" t="s">
        <v>8</v>
      </c>
      <c r="I168" s="40"/>
      <c r="J168" s="40"/>
      <c r="K168" s="35"/>
      <c r="L168" s="35" t="s">
        <v>78</v>
      </c>
      <c r="M168" s="35" t="s">
        <v>79</v>
      </c>
      <c r="N168" s="35"/>
    </row>
    <row r="169" ht="16.5" customHeight="1">
      <c r="A169" s="28" t="s">
        <v>180</v>
      </c>
      <c r="B169" s="29">
        <v>44939.95035554398</v>
      </c>
      <c r="C169" s="28" t="s">
        <v>122</v>
      </c>
      <c r="D169" s="28" t="s">
        <v>77</v>
      </c>
      <c r="E169" s="28">
        <v>2023.0</v>
      </c>
      <c r="F169" s="42">
        <v>44939.95035554398</v>
      </c>
      <c r="G169" s="31">
        <v>2463.0</v>
      </c>
      <c r="H169" s="31" t="s">
        <v>8</v>
      </c>
      <c r="I169" s="33"/>
      <c r="J169" s="33"/>
      <c r="K169" s="28"/>
      <c r="L169" s="28" t="s">
        <v>78</v>
      </c>
      <c r="M169" s="28" t="s">
        <v>79</v>
      </c>
      <c r="N169" s="28"/>
    </row>
    <row r="170" ht="16.5" customHeight="1">
      <c r="A170" s="35" t="s">
        <v>153</v>
      </c>
      <c r="B170" s="36">
        <v>44939.992714629625</v>
      </c>
      <c r="C170" s="35" t="s">
        <v>122</v>
      </c>
      <c r="D170" s="35" t="s">
        <v>77</v>
      </c>
      <c r="E170" s="35">
        <v>2023.0</v>
      </c>
      <c r="F170" s="43">
        <v>44939.992714629625</v>
      </c>
      <c r="G170" s="38">
        <v>2391.0</v>
      </c>
      <c r="H170" s="38" t="s">
        <v>8</v>
      </c>
      <c r="I170" s="40"/>
      <c r="J170" s="40"/>
      <c r="K170" s="35"/>
      <c r="L170" s="35" t="s">
        <v>78</v>
      </c>
      <c r="M170" s="35" t="s">
        <v>79</v>
      </c>
      <c r="N170" s="35"/>
    </row>
    <row r="171" ht="16.5" customHeight="1">
      <c r="A171" s="28" t="s">
        <v>181</v>
      </c>
      <c r="B171" s="29">
        <v>44940.03258576389</v>
      </c>
      <c r="C171" s="28" t="s">
        <v>116</v>
      </c>
      <c r="D171" s="28" t="s">
        <v>77</v>
      </c>
      <c r="E171" s="28">
        <v>2023.0</v>
      </c>
      <c r="F171" s="42">
        <v>44940.03258576389</v>
      </c>
      <c r="G171" s="31">
        <v>2194.0</v>
      </c>
      <c r="H171" s="31" t="s">
        <v>8</v>
      </c>
      <c r="I171" s="33"/>
      <c r="J171" s="33"/>
      <c r="K171" s="28"/>
      <c r="L171" s="28" t="s">
        <v>78</v>
      </c>
      <c r="M171" s="28" t="s">
        <v>79</v>
      </c>
      <c r="N171" s="28"/>
    </row>
    <row r="172" ht="16.5" customHeight="1">
      <c r="A172" s="35" t="s">
        <v>182</v>
      </c>
      <c r="B172" s="36">
        <v>44940.067903414354</v>
      </c>
      <c r="C172" s="35" t="s">
        <v>116</v>
      </c>
      <c r="D172" s="35" t="s">
        <v>77</v>
      </c>
      <c r="E172" s="35">
        <v>2023.0</v>
      </c>
      <c r="F172" s="43">
        <v>44940.067903414354</v>
      </c>
      <c r="G172" s="38">
        <v>2673.0</v>
      </c>
      <c r="H172" s="38" t="s">
        <v>8</v>
      </c>
      <c r="I172" s="40"/>
      <c r="J172" s="40"/>
      <c r="K172" s="35"/>
      <c r="L172" s="35" t="s">
        <v>78</v>
      </c>
      <c r="M172" s="35" t="s">
        <v>79</v>
      </c>
      <c r="N172" s="35"/>
    </row>
    <row r="173" ht="16.5" customHeight="1">
      <c r="A173" s="28" t="s">
        <v>183</v>
      </c>
      <c r="B173" s="29">
        <v>44940.07623961805</v>
      </c>
      <c r="C173" s="28" t="s">
        <v>116</v>
      </c>
      <c r="D173" s="28" t="s">
        <v>77</v>
      </c>
      <c r="E173" s="28">
        <v>2023.0</v>
      </c>
      <c r="F173" s="42">
        <v>44940.07623961805</v>
      </c>
      <c r="G173" s="31">
        <v>2643.0</v>
      </c>
      <c r="H173" s="31" t="s">
        <v>8</v>
      </c>
      <c r="I173" s="33"/>
      <c r="J173" s="33"/>
      <c r="K173" s="28"/>
      <c r="L173" s="28" t="s">
        <v>78</v>
      </c>
      <c r="M173" s="28" t="s">
        <v>79</v>
      </c>
      <c r="N173" s="28"/>
    </row>
    <row r="174" ht="16.5" customHeight="1">
      <c r="A174" s="35" t="s">
        <v>184</v>
      </c>
      <c r="B174" s="36">
        <v>44940.097991620365</v>
      </c>
      <c r="C174" s="35" t="s">
        <v>116</v>
      </c>
      <c r="D174" s="35" t="s">
        <v>77</v>
      </c>
      <c r="E174" s="35">
        <v>2023.0</v>
      </c>
      <c r="F174" s="43">
        <v>44940.097991620365</v>
      </c>
      <c r="G174" s="38">
        <v>2219.0</v>
      </c>
      <c r="H174" s="38" t="s">
        <v>8</v>
      </c>
      <c r="I174" s="40"/>
      <c r="J174" s="40"/>
      <c r="K174" s="35"/>
      <c r="L174" s="35" t="s">
        <v>78</v>
      </c>
      <c r="M174" s="35" t="s">
        <v>79</v>
      </c>
      <c r="N174" s="35"/>
    </row>
    <row r="175" ht="16.5" customHeight="1">
      <c r="A175" s="28" t="s">
        <v>185</v>
      </c>
      <c r="B175" s="29">
        <v>44940.10676679398</v>
      </c>
      <c r="C175" s="28" t="s">
        <v>116</v>
      </c>
      <c r="D175" s="28" t="s">
        <v>77</v>
      </c>
      <c r="E175" s="28">
        <v>2023.0</v>
      </c>
      <c r="F175" s="42">
        <v>44940.10676679398</v>
      </c>
      <c r="G175" s="31">
        <v>2513.0</v>
      </c>
      <c r="H175" s="31" t="s">
        <v>8</v>
      </c>
      <c r="I175" s="33"/>
      <c r="J175" s="33"/>
      <c r="K175" s="28"/>
      <c r="L175" s="28" t="s">
        <v>78</v>
      </c>
      <c r="M175" s="28" t="s">
        <v>79</v>
      </c>
      <c r="N175" s="28"/>
    </row>
    <row r="176" ht="16.5" customHeight="1">
      <c r="A176" s="35" t="s">
        <v>186</v>
      </c>
      <c r="B176" s="36">
        <v>44940.11707666666</v>
      </c>
      <c r="C176" s="35" t="s">
        <v>116</v>
      </c>
      <c r="D176" s="35" t="s">
        <v>77</v>
      </c>
      <c r="E176" s="35">
        <v>2023.0</v>
      </c>
      <c r="F176" s="43">
        <v>44940.11707666666</v>
      </c>
      <c r="G176" s="38">
        <v>2418.0</v>
      </c>
      <c r="H176" s="38" t="s">
        <v>8</v>
      </c>
      <c r="I176" s="40"/>
      <c r="J176" s="40"/>
      <c r="K176" s="35"/>
      <c r="L176" s="35" t="s">
        <v>78</v>
      </c>
      <c r="M176" s="35" t="s">
        <v>79</v>
      </c>
      <c r="N176" s="35"/>
    </row>
    <row r="177" ht="16.5" customHeight="1">
      <c r="A177" s="28" t="s">
        <v>187</v>
      </c>
      <c r="B177" s="29">
        <v>44940.140231412035</v>
      </c>
      <c r="C177" s="28" t="s">
        <v>116</v>
      </c>
      <c r="D177" s="28" t="s">
        <v>77</v>
      </c>
      <c r="E177" s="28">
        <v>2023.0</v>
      </c>
      <c r="F177" s="42">
        <v>44940.140231412035</v>
      </c>
      <c r="G177" s="31">
        <v>2379.0</v>
      </c>
      <c r="H177" s="31" t="s">
        <v>8</v>
      </c>
      <c r="I177" s="33"/>
      <c r="J177" s="33"/>
      <c r="K177" s="28"/>
      <c r="L177" s="28" t="s">
        <v>78</v>
      </c>
      <c r="M177" s="28" t="s">
        <v>79</v>
      </c>
      <c r="N177" s="28"/>
    </row>
    <row r="178" ht="16.5" customHeight="1">
      <c r="A178" s="35" t="s">
        <v>188</v>
      </c>
      <c r="B178" s="36">
        <v>44940.1578990625</v>
      </c>
      <c r="C178" s="35" t="s">
        <v>116</v>
      </c>
      <c r="D178" s="35" t="s">
        <v>77</v>
      </c>
      <c r="E178" s="35">
        <v>2023.0</v>
      </c>
      <c r="F178" s="43">
        <v>44940.1578990625</v>
      </c>
      <c r="G178" s="38">
        <v>2201.0</v>
      </c>
      <c r="H178" s="38" t="s">
        <v>8</v>
      </c>
      <c r="I178" s="40"/>
      <c r="J178" s="40"/>
      <c r="K178" s="35"/>
      <c r="L178" s="35" t="s">
        <v>78</v>
      </c>
      <c r="M178" s="35" t="s">
        <v>79</v>
      </c>
      <c r="N178" s="35"/>
    </row>
    <row r="179" ht="16.5" customHeight="1">
      <c r="A179" s="28" t="s">
        <v>189</v>
      </c>
      <c r="B179" s="29">
        <v>44940.314647673615</v>
      </c>
      <c r="C179" s="28" t="s">
        <v>116</v>
      </c>
      <c r="D179" s="28" t="s">
        <v>77</v>
      </c>
      <c r="E179" s="28">
        <v>2023.0</v>
      </c>
      <c r="F179" s="42">
        <v>44940.314647673615</v>
      </c>
      <c r="G179" s="31">
        <v>2730.0</v>
      </c>
      <c r="H179" s="31" t="s">
        <v>8</v>
      </c>
      <c r="I179" s="33"/>
      <c r="J179" s="33"/>
      <c r="K179" s="28"/>
      <c r="L179" s="28" t="s">
        <v>78</v>
      </c>
      <c r="M179" s="28" t="s">
        <v>79</v>
      </c>
      <c r="N179" s="28"/>
    </row>
    <row r="180" ht="16.5" customHeight="1">
      <c r="A180" s="35" t="s">
        <v>190</v>
      </c>
      <c r="B180" s="36">
        <v>44940.619809571755</v>
      </c>
      <c r="C180" s="35" t="s">
        <v>116</v>
      </c>
      <c r="D180" s="35" t="s">
        <v>77</v>
      </c>
      <c r="E180" s="35">
        <v>2023.0</v>
      </c>
      <c r="F180" s="43">
        <v>44940.619809571755</v>
      </c>
      <c r="G180" s="38">
        <v>2745.0</v>
      </c>
      <c r="H180" s="38" t="s">
        <v>8</v>
      </c>
      <c r="I180" s="40"/>
      <c r="J180" s="40"/>
      <c r="K180" s="35"/>
      <c r="L180" s="35" t="s">
        <v>78</v>
      </c>
      <c r="M180" s="35" t="s">
        <v>79</v>
      </c>
      <c r="N180" s="35"/>
    </row>
    <row r="181" ht="16.5" customHeight="1">
      <c r="A181" s="28" t="s">
        <v>191</v>
      </c>
      <c r="B181" s="29">
        <v>44940.63230471065</v>
      </c>
      <c r="C181" s="28" t="s">
        <v>116</v>
      </c>
      <c r="D181" s="28" t="s">
        <v>77</v>
      </c>
      <c r="E181" s="28">
        <v>2023.0</v>
      </c>
      <c r="F181" s="42">
        <v>44940.63230471065</v>
      </c>
      <c r="G181" s="31">
        <v>2054.0</v>
      </c>
      <c r="H181" s="31" t="s">
        <v>8</v>
      </c>
      <c r="I181" s="33"/>
      <c r="J181" s="33"/>
      <c r="K181" s="28"/>
      <c r="L181" s="28" t="s">
        <v>78</v>
      </c>
      <c r="M181" s="28" t="s">
        <v>79</v>
      </c>
      <c r="N181" s="28"/>
    </row>
    <row r="182" ht="16.5" customHeight="1">
      <c r="A182" s="35" t="s">
        <v>91</v>
      </c>
      <c r="B182" s="36">
        <v>44940.64955212963</v>
      </c>
      <c r="C182" s="35" t="s">
        <v>116</v>
      </c>
      <c r="D182" s="35" t="s">
        <v>77</v>
      </c>
      <c r="E182" s="35">
        <v>2023.0</v>
      </c>
      <c r="F182" s="43">
        <v>44940.64955212963</v>
      </c>
      <c r="G182" s="38">
        <v>2369.0</v>
      </c>
      <c r="H182" s="38" t="s">
        <v>8</v>
      </c>
      <c r="I182" s="40"/>
      <c r="J182" s="40"/>
      <c r="K182" s="35"/>
      <c r="L182" s="35" t="s">
        <v>78</v>
      </c>
      <c r="M182" s="35" t="s">
        <v>79</v>
      </c>
      <c r="N182" s="35"/>
    </row>
    <row r="183" ht="16.5" customHeight="1">
      <c r="A183" s="28" t="s">
        <v>169</v>
      </c>
      <c r="B183" s="29">
        <v>44940.67585318287</v>
      </c>
      <c r="C183" s="28" t="s">
        <v>116</v>
      </c>
      <c r="D183" s="28" t="s">
        <v>77</v>
      </c>
      <c r="E183" s="28">
        <v>2023.0</v>
      </c>
      <c r="F183" s="42">
        <v>44940.67585318287</v>
      </c>
      <c r="G183" s="31">
        <v>2422.0</v>
      </c>
      <c r="H183" s="31" t="s">
        <v>8</v>
      </c>
      <c r="I183" s="33"/>
      <c r="J183" s="33"/>
      <c r="K183" s="28"/>
      <c r="L183" s="28" t="s">
        <v>78</v>
      </c>
      <c r="M183" s="28" t="s">
        <v>79</v>
      </c>
      <c r="N183" s="28"/>
    </row>
    <row r="184" ht="16.5" customHeight="1">
      <c r="A184" s="35" t="s">
        <v>188</v>
      </c>
      <c r="B184" s="36">
        <v>44940.68945900463</v>
      </c>
      <c r="C184" s="35" t="s">
        <v>116</v>
      </c>
      <c r="D184" s="35" t="s">
        <v>77</v>
      </c>
      <c r="E184" s="35">
        <v>2023.0</v>
      </c>
      <c r="F184" s="43">
        <v>44940.68945900463</v>
      </c>
      <c r="G184" s="38">
        <v>2201.0</v>
      </c>
      <c r="H184" s="38" t="s">
        <v>8</v>
      </c>
      <c r="I184" s="40"/>
      <c r="J184" s="40"/>
      <c r="K184" s="35"/>
      <c r="L184" s="35" t="s">
        <v>78</v>
      </c>
      <c r="M184" s="35" t="s">
        <v>79</v>
      </c>
      <c r="N184" s="35"/>
    </row>
    <row r="185" ht="16.5" customHeight="1">
      <c r="A185" s="28" t="s">
        <v>192</v>
      </c>
      <c r="B185" s="29">
        <v>44940.73080636574</v>
      </c>
      <c r="C185" s="28" t="s">
        <v>116</v>
      </c>
      <c r="D185" s="28" t="s">
        <v>77</v>
      </c>
      <c r="E185" s="28">
        <v>2023.0</v>
      </c>
      <c r="F185" s="42">
        <v>44940.73080636574</v>
      </c>
      <c r="G185" s="31">
        <v>2437.0</v>
      </c>
      <c r="H185" s="31" t="s">
        <v>8</v>
      </c>
      <c r="I185" s="33"/>
      <c r="J185" s="33"/>
      <c r="K185" s="28"/>
      <c r="L185" s="28" t="s">
        <v>78</v>
      </c>
      <c r="M185" s="28" t="s">
        <v>79</v>
      </c>
      <c r="N185" s="28"/>
    </row>
    <row r="186" ht="16.5" customHeight="1">
      <c r="A186" s="35" t="s">
        <v>170</v>
      </c>
      <c r="B186" s="36">
        <v>44940.78048100694</v>
      </c>
      <c r="C186" s="35" t="s">
        <v>116</v>
      </c>
      <c r="D186" s="35" t="s">
        <v>77</v>
      </c>
      <c r="E186" s="35">
        <v>2023.0</v>
      </c>
      <c r="F186" s="43">
        <v>44940.78048100694</v>
      </c>
      <c r="G186" s="38">
        <v>2632.0</v>
      </c>
      <c r="H186" s="38" t="s">
        <v>8</v>
      </c>
      <c r="I186" s="40"/>
      <c r="J186" s="40"/>
      <c r="K186" s="35"/>
      <c r="L186" s="35" t="s">
        <v>78</v>
      </c>
      <c r="M186" s="35" t="s">
        <v>79</v>
      </c>
      <c r="N186" s="35"/>
    </row>
    <row r="187" ht="16.5" customHeight="1">
      <c r="A187" s="28" t="s">
        <v>151</v>
      </c>
      <c r="B187" s="29">
        <v>44940.78223822916</v>
      </c>
      <c r="C187" s="28" t="s">
        <v>116</v>
      </c>
      <c r="D187" s="28" t="s">
        <v>77</v>
      </c>
      <c r="E187" s="28">
        <v>2023.0</v>
      </c>
      <c r="F187" s="42">
        <v>44940.78223822916</v>
      </c>
      <c r="G187" s="31">
        <v>2239.0</v>
      </c>
      <c r="H187" s="31" t="s">
        <v>8</v>
      </c>
      <c r="I187" s="33"/>
      <c r="J187" s="33"/>
      <c r="K187" s="28"/>
      <c r="L187" s="28" t="s">
        <v>78</v>
      </c>
      <c r="M187" s="28" t="s">
        <v>79</v>
      </c>
      <c r="N187" s="28"/>
    </row>
    <row r="188" ht="16.5" customHeight="1">
      <c r="A188" s="35" t="s">
        <v>129</v>
      </c>
      <c r="B188" s="36">
        <v>44942.27504298611</v>
      </c>
      <c r="C188" s="35" t="s">
        <v>193</v>
      </c>
      <c r="D188" s="35" t="s">
        <v>77</v>
      </c>
      <c r="E188" s="35">
        <v>2023.0</v>
      </c>
      <c r="F188" s="43">
        <v>44942.27504298611</v>
      </c>
      <c r="G188" s="38">
        <v>2375.0</v>
      </c>
      <c r="H188" s="38" t="s">
        <v>8</v>
      </c>
      <c r="I188" s="40"/>
      <c r="J188" s="40"/>
      <c r="K188" s="35"/>
      <c r="L188" s="35" t="s">
        <v>78</v>
      </c>
      <c r="M188" s="35" t="s">
        <v>79</v>
      </c>
      <c r="N188" s="35"/>
    </row>
    <row r="189" ht="16.5" customHeight="1">
      <c r="A189" s="28" t="s">
        <v>194</v>
      </c>
      <c r="B189" s="29">
        <v>44942.304986469906</v>
      </c>
      <c r="C189" s="28" t="s">
        <v>193</v>
      </c>
      <c r="D189" s="28" t="s">
        <v>77</v>
      </c>
      <c r="E189" s="28">
        <v>2023.0</v>
      </c>
      <c r="F189" s="42">
        <v>44942.304986469906</v>
      </c>
      <c r="G189" s="31">
        <v>2627.0</v>
      </c>
      <c r="H189" s="31" t="s">
        <v>8</v>
      </c>
      <c r="I189" s="33"/>
      <c r="J189" s="33"/>
      <c r="K189" s="28"/>
      <c r="L189" s="28" t="s">
        <v>78</v>
      </c>
      <c r="M189" s="28" t="s">
        <v>79</v>
      </c>
      <c r="N189" s="28"/>
    </row>
    <row r="190" ht="16.5" customHeight="1">
      <c r="A190" s="35" t="s">
        <v>163</v>
      </c>
      <c r="B190" s="36">
        <v>44942.339494733795</v>
      </c>
      <c r="C190" s="35" t="s">
        <v>193</v>
      </c>
      <c r="D190" s="35" t="s">
        <v>77</v>
      </c>
      <c r="E190" s="35">
        <v>2023.0</v>
      </c>
      <c r="F190" s="43">
        <v>44942.339494733795</v>
      </c>
      <c r="G190" s="38">
        <v>2637.0</v>
      </c>
      <c r="H190" s="38" t="s">
        <v>8</v>
      </c>
      <c r="I190" s="40"/>
      <c r="J190" s="40"/>
      <c r="K190" s="35"/>
      <c r="L190" s="35" t="s">
        <v>78</v>
      </c>
      <c r="M190" s="35" t="s">
        <v>79</v>
      </c>
      <c r="N190" s="35"/>
    </row>
    <row r="191" ht="16.5" customHeight="1">
      <c r="A191" s="28" t="s">
        <v>195</v>
      </c>
      <c r="B191" s="29">
        <v>44942.35596399306</v>
      </c>
      <c r="C191" s="28" t="s">
        <v>193</v>
      </c>
      <c r="D191" s="28" t="s">
        <v>77</v>
      </c>
      <c r="E191" s="28">
        <v>2023.0</v>
      </c>
      <c r="F191" s="42">
        <v>44942.35596399306</v>
      </c>
      <c r="G191" s="31" t="s">
        <v>196</v>
      </c>
      <c r="H191" s="31" t="s">
        <v>8</v>
      </c>
      <c r="I191" s="33"/>
      <c r="J191" s="33"/>
      <c r="K191" s="28"/>
      <c r="L191" s="28" t="s">
        <v>78</v>
      </c>
      <c r="M191" s="28" t="s">
        <v>79</v>
      </c>
      <c r="N191" s="28"/>
    </row>
    <row r="192" ht="16.5" customHeight="1">
      <c r="A192" s="35" t="s">
        <v>197</v>
      </c>
      <c r="B192" s="36">
        <v>44942.37986690972</v>
      </c>
      <c r="C192" s="35" t="s">
        <v>193</v>
      </c>
      <c r="D192" s="35" t="s">
        <v>77</v>
      </c>
      <c r="E192" s="35">
        <v>2023.0</v>
      </c>
      <c r="F192" s="43">
        <v>44942.37986690972</v>
      </c>
      <c r="G192" s="38">
        <v>2666.0</v>
      </c>
      <c r="H192" s="38" t="s">
        <v>40</v>
      </c>
      <c r="I192" s="40"/>
      <c r="J192" s="40"/>
      <c r="K192" s="35"/>
      <c r="L192" s="35" t="s">
        <v>78</v>
      </c>
      <c r="M192" s="35" t="s">
        <v>79</v>
      </c>
      <c r="N192" s="35"/>
    </row>
    <row r="193" ht="16.5" customHeight="1">
      <c r="A193" s="28" t="s">
        <v>198</v>
      </c>
      <c r="B193" s="29">
        <v>44942.394705196755</v>
      </c>
      <c r="C193" s="28" t="s">
        <v>193</v>
      </c>
      <c r="D193" s="28" t="s">
        <v>77</v>
      </c>
      <c r="E193" s="28">
        <v>2023.0</v>
      </c>
      <c r="F193" s="42">
        <v>44942.394705196755</v>
      </c>
      <c r="G193" s="31" t="s">
        <v>199</v>
      </c>
      <c r="H193" s="31" t="s">
        <v>8</v>
      </c>
      <c r="I193" s="33"/>
      <c r="J193" s="33"/>
      <c r="K193" s="28"/>
      <c r="L193" s="28" t="s">
        <v>78</v>
      </c>
      <c r="M193" s="28" t="s">
        <v>79</v>
      </c>
      <c r="N193" s="28"/>
    </row>
    <row r="194" ht="16.5" customHeight="1">
      <c r="A194" s="35" t="s">
        <v>200</v>
      </c>
      <c r="B194" s="36">
        <v>44942.482208194444</v>
      </c>
      <c r="C194" s="35" t="s">
        <v>193</v>
      </c>
      <c r="D194" s="35" t="s">
        <v>77</v>
      </c>
      <c r="E194" s="35">
        <v>2023.0</v>
      </c>
      <c r="F194" s="43">
        <v>44942.482208194444</v>
      </c>
      <c r="G194" s="38" t="s">
        <v>201</v>
      </c>
      <c r="H194" s="38" t="s">
        <v>8</v>
      </c>
      <c r="I194" s="40"/>
      <c r="J194" s="40"/>
      <c r="K194" s="35"/>
      <c r="L194" s="35" t="s">
        <v>78</v>
      </c>
      <c r="M194" s="35" t="s">
        <v>79</v>
      </c>
      <c r="N194" s="35"/>
    </row>
    <row r="195" ht="16.5" customHeight="1">
      <c r="A195" s="28" t="s">
        <v>202</v>
      </c>
      <c r="B195" s="29">
        <v>44942.53537607639</v>
      </c>
      <c r="C195" s="28" t="s">
        <v>193</v>
      </c>
      <c r="D195" s="28" t="s">
        <v>77</v>
      </c>
      <c r="E195" s="28">
        <v>2023.0</v>
      </c>
      <c r="F195" s="42">
        <v>44942.53537607639</v>
      </c>
      <c r="G195" s="31" t="s">
        <v>203</v>
      </c>
      <c r="H195" s="31" t="s">
        <v>8</v>
      </c>
      <c r="I195" s="33"/>
      <c r="J195" s="33"/>
      <c r="K195" s="28"/>
      <c r="L195" s="28" t="s">
        <v>78</v>
      </c>
      <c r="M195" s="28" t="s">
        <v>79</v>
      </c>
      <c r="N195" s="28"/>
    </row>
    <row r="196" ht="16.5" customHeight="1">
      <c r="A196" s="35" t="s">
        <v>204</v>
      </c>
      <c r="B196" s="36">
        <v>44942.55791944444</v>
      </c>
      <c r="C196" s="35" t="s">
        <v>193</v>
      </c>
      <c r="D196" s="35" t="s">
        <v>77</v>
      </c>
      <c r="E196" s="35">
        <v>2023.0</v>
      </c>
      <c r="F196" s="43">
        <v>44942.55791944444</v>
      </c>
      <c r="G196" s="38">
        <v>2679.0</v>
      </c>
      <c r="H196" s="38" t="s">
        <v>8</v>
      </c>
      <c r="I196" s="40"/>
      <c r="J196" s="40"/>
      <c r="K196" s="35"/>
      <c r="L196" s="35" t="s">
        <v>78</v>
      </c>
      <c r="M196" s="35" t="s">
        <v>79</v>
      </c>
      <c r="N196" s="35"/>
    </row>
    <row r="197" ht="16.5" customHeight="1">
      <c r="A197" s="28" t="s">
        <v>205</v>
      </c>
      <c r="B197" s="29">
        <v>44942.613751446755</v>
      </c>
      <c r="C197" s="28" t="s">
        <v>193</v>
      </c>
      <c r="D197" s="28" t="s">
        <v>77</v>
      </c>
      <c r="E197" s="28">
        <v>2023.0</v>
      </c>
      <c r="F197" s="42">
        <v>44942.613751446755</v>
      </c>
      <c r="G197" s="31" t="s">
        <v>206</v>
      </c>
      <c r="H197" s="31" t="s">
        <v>8</v>
      </c>
      <c r="I197" s="33"/>
      <c r="J197" s="33"/>
      <c r="K197" s="28"/>
      <c r="L197" s="28" t="s">
        <v>78</v>
      </c>
      <c r="M197" s="28" t="s">
        <v>79</v>
      </c>
      <c r="N197" s="28"/>
    </row>
    <row r="198" ht="16.5" customHeight="1">
      <c r="A198" s="35" t="s">
        <v>96</v>
      </c>
      <c r="B198" s="36">
        <v>44942.639592175925</v>
      </c>
      <c r="C198" s="35" t="s">
        <v>193</v>
      </c>
      <c r="D198" s="35" t="s">
        <v>77</v>
      </c>
      <c r="E198" s="35">
        <v>2023.0</v>
      </c>
      <c r="F198" s="43">
        <v>44942.639592175925</v>
      </c>
      <c r="G198" s="38" t="s">
        <v>97</v>
      </c>
      <c r="H198" s="38" t="s">
        <v>8</v>
      </c>
      <c r="I198" s="40"/>
      <c r="J198" s="40"/>
      <c r="K198" s="35"/>
      <c r="L198" s="35" t="s">
        <v>78</v>
      </c>
      <c r="M198" s="35" t="s">
        <v>79</v>
      </c>
      <c r="N198" s="35"/>
    </row>
    <row r="199" ht="16.5" customHeight="1">
      <c r="A199" s="28" t="s">
        <v>207</v>
      </c>
      <c r="B199" s="29">
        <v>44942.94991993056</v>
      </c>
      <c r="C199" s="28" t="s">
        <v>193</v>
      </c>
      <c r="D199" s="28" t="s">
        <v>77</v>
      </c>
      <c r="E199" s="28">
        <v>2023.0</v>
      </c>
      <c r="F199" s="42">
        <v>44942.94991993056</v>
      </c>
      <c r="G199" s="31">
        <v>2630.0</v>
      </c>
      <c r="H199" s="31" t="s">
        <v>8</v>
      </c>
      <c r="I199" s="33"/>
      <c r="J199" s="33"/>
      <c r="K199" s="28"/>
      <c r="L199" s="28" t="s">
        <v>78</v>
      </c>
      <c r="M199" s="28" t="s">
        <v>79</v>
      </c>
      <c r="N199" s="28"/>
    </row>
    <row r="200" ht="16.5" customHeight="1">
      <c r="A200" s="35" t="s">
        <v>208</v>
      </c>
      <c r="B200" s="36">
        <v>44942.98244114583</v>
      </c>
      <c r="C200" s="35" t="s">
        <v>193</v>
      </c>
      <c r="D200" s="35" t="s">
        <v>77</v>
      </c>
      <c r="E200" s="35">
        <v>2023.0</v>
      </c>
      <c r="F200" s="43">
        <v>44942.98244114583</v>
      </c>
      <c r="G200" s="38">
        <v>2677.0</v>
      </c>
      <c r="H200" s="38" t="s">
        <v>8</v>
      </c>
      <c r="I200" s="40"/>
      <c r="J200" s="40"/>
      <c r="K200" s="35"/>
      <c r="L200" s="35" t="s">
        <v>78</v>
      </c>
      <c r="M200" s="35" t="s">
        <v>79</v>
      </c>
      <c r="N200" s="35"/>
    </row>
    <row r="201" ht="16.5" customHeight="1">
      <c r="A201" s="28" t="s">
        <v>209</v>
      </c>
      <c r="B201" s="29">
        <v>44943.01263211806</v>
      </c>
      <c r="C201" s="28" t="s">
        <v>210</v>
      </c>
      <c r="D201" s="28" t="s">
        <v>77</v>
      </c>
      <c r="E201" s="28">
        <v>2023.0</v>
      </c>
      <c r="F201" s="42">
        <v>44943.01263211806</v>
      </c>
      <c r="G201" s="31">
        <v>2206.0</v>
      </c>
      <c r="H201" s="31" t="s">
        <v>8</v>
      </c>
      <c r="I201" s="33"/>
      <c r="J201" s="33"/>
      <c r="K201" s="28"/>
      <c r="L201" s="28" t="s">
        <v>78</v>
      </c>
      <c r="M201" s="28" t="s">
        <v>79</v>
      </c>
      <c r="N201" s="28"/>
    </row>
    <row r="202" ht="16.5" customHeight="1">
      <c r="A202" s="35" t="s">
        <v>211</v>
      </c>
      <c r="B202" s="36">
        <v>44943.0289578588</v>
      </c>
      <c r="C202" s="35" t="s">
        <v>210</v>
      </c>
      <c r="D202" s="35" t="s">
        <v>77</v>
      </c>
      <c r="E202" s="35">
        <v>2023.0</v>
      </c>
      <c r="F202" s="43">
        <v>44943.0289578588</v>
      </c>
      <c r="G202" s="38">
        <v>2438.0</v>
      </c>
      <c r="H202" s="38" t="s">
        <v>8</v>
      </c>
      <c r="I202" s="40"/>
      <c r="J202" s="40"/>
      <c r="K202" s="35"/>
      <c r="L202" s="35" t="s">
        <v>78</v>
      </c>
      <c r="M202" s="35" t="s">
        <v>79</v>
      </c>
      <c r="N202" s="35"/>
    </row>
    <row r="203" ht="16.5" customHeight="1">
      <c r="A203" s="28" t="s">
        <v>212</v>
      </c>
      <c r="B203" s="29">
        <v>44943.05761565972</v>
      </c>
      <c r="C203" s="28" t="s">
        <v>210</v>
      </c>
      <c r="D203" s="28" t="s">
        <v>77</v>
      </c>
      <c r="E203" s="28">
        <v>2023.0</v>
      </c>
      <c r="F203" s="42">
        <v>44943.05761565972</v>
      </c>
      <c r="G203" s="31">
        <v>2275.0</v>
      </c>
      <c r="H203" s="31" t="s">
        <v>8</v>
      </c>
      <c r="I203" s="33"/>
      <c r="J203" s="33"/>
      <c r="K203" s="28"/>
      <c r="L203" s="28" t="s">
        <v>78</v>
      </c>
      <c r="M203" s="28" t="s">
        <v>79</v>
      </c>
      <c r="N203" s="28"/>
    </row>
    <row r="204" ht="16.5" customHeight="1">
      <c r="A204" s="35" t="s">
        <v>213</v>
      </c>
      <c r="B204" s="36">
        <v>44943.071791319446</v>
      </c>
      <c r="C204" s="35" t="s">
        <v>210</v>
      </c>
      <c r="D204" s="35" t="s">
        <v>77</v>
      </c>
      <c r="E204" s="35">
        <v>2023.0</v>
      </c>
      <c r="F204" s="43">
        <v>44943.071791319446</v>
      </c>
      <c r="G204" s="38">
        <v>2569.0</v>
      </c>
      <c r="H204" s="38" t="s">
        <v>8</v>
      </c>
      <c r="I204" s="40"/>
      <c r="J204" s="40"/>
      <c r="K204" s="35"/>
      <c r="L204" s="35" t="s">
        <v>78</v>
      </c>
      <c r="M204" s="35" t="s">
        <v>79</v>
      </c>
      <c r="N204" s="35"/>
    </row>
    <row r="205" ht="16.5" customHeight="1">
      <c r="A205" s="28" t="s">
        <v>214</v>
      </c>
      <c r="B205" s="29">
        <v>44943.10769960648</v>
      </c>
      <c r="C205" s="28" t="s">
        <v>210</v>
      </c>
      <c r="D205" s="28" t="s">
        <v>77</v>
      </c>
      <c r="E205" s="28">
        <v>2023.0</v>
      </c>
      <c r="F205" s="42">
        <v>44943.10769960648</v>
      </c>
      <c r="G205" s="31">
        <v>2570.0</v>
      </c>
      <c r="H205" s="31" t="s">
        <v>8</v>
      </c>
      <c r="I205" s="33"/>
      <c r="J205" s="33"/>
      <c r="K205" s="28"/>
      <c r="L205" s="28" t="s">
        <v>78</v>
      </c>
      <c r="M205" s="28" t="s">
        <v>79</v>
      </c>
      <c r="N205" s="28"/>
    </row>
    <row r="206" ht="16.5" customHeight="1">
      <c r="A206" s="35" t="s">
        <v>215</v>
      </c>
      <c r="B206" s="36">
        <v>44943.146341053245</v>
      </c>
      <c r="C206" s="35" t="s">
        <v>210</v>
      </c>
      <c r="D206" s="35" t="s">
        <v>77</v>
      </c>
      <c r="E206" s="35">
        <v>2023.0</v>
      </c>
      <c r="F206" s="43">
        <v>44943.146341053245</v>
      </c>
      <c r="G206" s="38">
        <v>2227.0</v>
      </c>
      <c r="H206" s="38" t="s">
        <v>8</v>
      </c>
      <c r="I206" s="40"/>
      <c r="J206" s="40"/>
      <c r="K206" s="35"/>
      <c r="L206" s="35" t="s">
        <v>78</v>
      </c>
      <c r="M206" s="35" t="s">
        <v>79</v>
      </c>
      <c r="N206" s="35"/>
    </row>
    <row r="207" ht="16.5" customHeight="1">
      <c r="A207" s="28" t="s">
        <v>216</v>
      </c>
      <c r="B207" s="29">
        <v>44943.16635291667</v>
      </c>
      <c r="C207" s="28" t="s">
        <v>210</v>
      </c>
      <c r="D207" s="28" t="s">
        <v>77</v>
      </c>
      <c r="E207" s="28">
        <v>2023.0</v>
      </c>
      <c r="F207" s="42">
        <v>44943.16635291667</v>
      </c>
      <c r="G207" s="31">
        <v>2244.0</v>
      </c>
      <c r="H207" s="31" t="s">
        <v>8</v>
      </c>
      <c r="I207" s="33"/>
      <c r="J207" s="33"/>
      <c r="K207" s="28"/>
      <c r="L207" s="28" t="s">
        <v>78</v>
      </c>
      <c r="M207" s="28" t="s">
        <v>79</v>
      </c>
      <c r="N207" s="28"/>
    </row>
    <row r="208" ht="16.5" customHeight="1">
      <c r="A208" s="35" t="s">
        <v>192</v>
      </c>
      <c r="B208" s="36">
        <v>44943.179249629626</v>
      </c>
      <c r="C208" s="35" t="s">
        <v>210</v>
      </c>
      <c r="D208" s="35" t="s">
        <v>77</v>
      </c>
      <c r="E208" s="35">
        <v>2023.0</v>
      </c>
      <c r="F208" s="43">
        <v>44943.179249629626</v>
      </c>
      <c r="G208" s="38">
        <v>2437.0</v>
      </c>
      <c r="H208" s="38" t="s">
        <v>8</v>
      </c>
      <c r="I208" s="40"/>
      <c r="J208" s="40"/>
      <c r="K208" s="35"/>
      <c r="L208" s="35" t="s">
        <v>78</v>
      </c>
      <c r="M208" s="35" t="s">
        <v>79</v>
      </c>
      <c r="N208" s="35"/>
    </row>
    <row r="209" ht="16.5" customHeight="1">
      <c r="A209" s="28" t="s">
        <v>217</v>
      </c>
      <c r="B209" s="29">
        <v>44943.19307876157</v>
      </c>
      <c r="C209" s="28" t="s">
        <v>210</v>
      </c>
      <c r="D209" s="28" t="s">
        <v>77</v>
      </c>
      <c r="E209" s="28">
        <v>2023.0</v>
      </c>
      <c r="F209" s="42">
        <v>44943.19307876157</v>
      </c>
      <c r="G209" s="31">
        <v>2252.0</v>
      </c>
      <c r="H209" s="31" t="s">
        <v>8</v>
      </c>
      <c r="I209" s="33"/>
      <c r="J209" s="33"/>
      <c r="K209" s="28"/>
      <c r="L209" s="28" t="s">
        <v>78</v>
      </c>
      <c r="M209" s="28" t="s">
        <v>79</v>
      </c>
      <c r="N209" s="28"/>
    </row>
    <row r="210" ht="16.5" customHeight="1">
      <c r="A210" s="35" t="s">
        <v>218</v>
      </c>
      <c r="B210" s="36">
        <v>44943.215605289355</v>
      </c>
      <c r="C210" s="35" t="s">
        <v>210</v>
      </c>
      <c r="D210" s="35" t="s">
        <v>77</v>
      </c>
      <c r="E210" s="35">
        <v>2023.0</v>
      </c>
      <c r="F210" s="43">
        <v>44943.215605289355</v>
      </c>
      <c r="G210" s="38">
        <v>2490.0</v>
      </c>
      <c r="H210" s="38" t="s">
        <v>8</v>
      </c>
      <c r="I210" s="40"/>
      <c r="J210" s="40"/>
      <c r="K210" s="35"/>
      <c r="L210" s="35" t="s">
        <v>78</v>
      </c>
      <c r="M210" s="35" t="s">
        <v>79</v>
      </c>
      <c r="N210" s="35"/>
    </row>
    <row r="211" ht="16.5" customHeight="1">
      <c r="A211" s="28" t="s">
        <v>219</v>
      </c>
      <c r="B211" s="29">
        <v>44943.22708428241</v>
      </c>
      <c r="C211" s="28" t="s">
        <v>210</v>
      </c>
      <c r="D211" s="28" t="s">
        <v>77</v>
      </c>
      <c r="E211" s="28">
        <v>2023.0</v>
      </c>
      <c r="F211" s="42">
        <v>44943.22708428241</v>
      </c>
      <c r="G211" s="31">
        <v>2216.0</v>
      </c>
      <c r="H211" s="31" t="s">
        <v>8</v>
      </c>
      <c r="I211" s="33"/>
      <c r="J211" s="33"/>
      <c r="K211" s="28"/>
      <c r="L211" s="28" t="s">
        <v>78</v>
      </c>
      <c r="M211" s="28" t="s">
        <v>79</v>
      </c>
      <c r="N211" s="28"/>
    </row>
    <row r="212" ht="16.5" customHeight="1">
      <c r="A212" s="35" t="s">
        <v>220</v>
      </c>
      <c r="B212" s="36">
        <v>44943.30509555555</v>
      </c>
      <c r="C212" s="35" t="s">
        <v>210</v>
      </c>
      <c r="D212" s="35" t="s">
        <v>77</v>
      </c>
      <c r="E212" s="35">
        <v>2023.0</v>
      </c>
      <c r="F212" s="43">
        <v>44943.30509555555</v>
      </c>
      <c r="G212" s="38" t="s">
        <v>221</v>
      </c>
      <c r="H212" s="38" t="s">
        <v>8</v>
      </c>
      <c r="I212" s="40"/>
      <c r="J212" s="40"/>
      <c r="K212" s="35"/>
      <c r="L212" s="35" t="s">
        <v>78</v>
      </c>
      <c r="M212" s="35" t="s">
        <v>79</v>
      </c>
      <c r="N212" s="35"/>
    </row>
    <row r="213" ht="16.5" customHeight="1">
      <c r="A213" s="28" t="s">
        <v>222</v>
      </c>
      <c r="B213" s="29">
        <v>44943.38039993055</v>
      </c>
      <c r="C213" s="28" t="s">
        <v>210</v>
      </c>
      <c r="D213" s="28" t="s">
        <v>77</v>
      </c>
      <c r="E213" s="28">
        <v>2023.0</v>
      </c>
      <c r="F213" s="42">
        <v>44943.38039993055</v>
      </c>
      <c r="G213" s="31" t="s">
        <v>223</v>
      </c>
      <c r="H213" s="31" t="s">
        <v>8</v>
      </c>
      <c r="I213" s="33"/>
      <c r="J213" s="33"/>
      <c r="K213" s="28"/>
      <c r="L213" s="28" t="s">
        <v>78</v>
      </c>
      <c r="M213" s="28" t="s">
        <v>79</v>
      </c>
      <c r="N213" s="28"/>
    </row>
    <row r="214" ht="16.5" customHeight="1">
      <c r="A214" s="35" t="s">
        <v>224</v>
      </c>
      <c r="B214" s="36">
        <v>44943.95428560185</v>
      </c>
      <c r="C214" s="35" t="s">
        <v>210</v>
      </c>
      <c r="D214" s="35" t="s">
        <v>77</v>
      </c>
      <c r="E214" s="35">
        <v>2023.0</v>
      </c>
      <c r="F214" s="43">
        <v>44943.95428560185</v>
      </c>
      <c r="G214" s="38">
        <v>2380.0</v>
      </c>
      <c r="H214" s="38" t="s">
        <v>8</v>
      </c>
      <c r="I214" s="40"/>
      <c r="J214" s="40"/>
      <c r="K214" s="35"/>
      <c r="L214" s="35" t="s">
        <v>78</v>
      </c>
      <c r="M214" s="35" t="s">
        <v>79</v>
      </c>
      <c r="N214" s="35"/>
    </row>
    <row r="215" ht="16.5" customHeight="1">
      <c r="A215" s="28" t="s">
        <v>225</v>
      </c>
      <c r="B215" s="29">
        <v>44943.975991087966</v>
      </c>
      <c r="C215" s="28" t="s">
        <v>210</v>
      </c>
      <c r="D215" s="28" t="s">
        <v>77</v>
      </c>
      <c r="E215" s="28">
        <v>2023.0</v>
      </c>
      <c r="F215" s="42">
        <v>44943.975991087966</v>
      </c>
      <c r="G215" s="31">
        <v>2454.0</v>
      </c>
      <c r="H215" s="31" t="s">
        <v>8</v>
      </c>
      <c r="I215" s="33"/>
      <c r="J215" s="33"/>
      <c r="K215" s="28"/>
      <c r="L215" s="28" t="s">
        <v>78</v>
      </c>
      <c r="M215" s="28" t="s">
        <v>79</v>
      </c>
      <c r="N215" s="28"/>
    </row>
    <row r="216" ht="16.5" customHeight="1">
      <c r="A216" s="35" t="s">
        <v>226</v>
      </c>
      <c r="B216" s="36">
        <v>44944.001992523146</v>
      </c>
      <c r="C216" s="35" t="s">
        <v>227</v>
      </c>
      <c r="D216" s="35" t="s">
        <v>77</v>
      </c>
      <c r="E216" s="35">
        <v>2023.0</v>
      </c>
      <c r="F216" s="43">
        <v>44944.001992523146</v>
      </c>
      <c r="G216" s="38">
        <v>2359.0</v>
      </c>
      <c r="H216" s="38" t="s">
        <v>8</v>
      </c>
      <c r="I216" s="40"/>
      <c r="J216" s="40"/>
      <c r="K216" s="35"/>
      <c r="L216" s="35" t="s">
        <v>78</v>
      </c>
      <c r="M216" s="35" t="s">
        <v>79</v>
      </c>
      <c r="N216" s="35"/>
    </row>
    <row r="217" ht="16.5" customHeight="1">
      <c r="A217" s="28" t="s">
        <v>228</v>
      </c>
      <c r="B217" s="29">
        <v>44944.02269496528</v>
      </c>
      <c r="C217" s="28" t="s">
        <v>227</v>
      </c>
      <c r="D217" s="28" t="s">
        <v>77</v>
      </c>
      <c r="E217" s="28">
        <v>2023.0</v>
      </c>
      <c r="F217" s="42">
        <v>44944.02269496528</v>
      </c>
      <c r="G217" s="31">
        <v>2624.0</v>
      </c>
      <c r="H217" s="31" t="s">
        <v>8</v>
      </c>
      <c r="I217" s="33"/>
      <c r="J217" s="33"/>
      <c r="K217" s="28"/>
      <c r="L217" s="28" t="s">
        <v>78</v>
      </c>
      <c r="M217" s="28" t="s">
        <v>79</v>
      </c>
      <c r="N217" s="28"/>
    </row>
    <row r="218" ht="16.5" customHeight="1">
      <c r="A218" s="35" t="s">
        <v>229</v>
      </c>
      <c r="B218" s="36">
        <v>44944.05009103009</v>
      </c>
      <c r="C218" s="35" t="s">
        <v>227</v>
      </c>
      <c r="D218" s="35" t="s">
        <v>77</v>
      </c>
      <c r="E218" s="35">
        <v>2023.0</v>
      </c>
      <c r="F218" s="43">
        <v>44944.05009103009</v>
      </c>
      <c r="G218" s="38">
        <v>2573.0</v>
      </c>
      <c r="H218" s="38" t="s">
        <v>8</v>
      </c>
      <c r="I218" s="40"/>
      <c r="J218" s="40"/>
      <c r="K218" s="35"/>
      <c r="L218" s="35" t="s">
        <v>78</v>
      </c>
      <c r="M218" s="35" t="s">
        <v>79</v>
      </c>
      <c r="N218" s="35"/>
    </row>
    <row r="219" ht="16.5" customHeight="1">
      <c r="A219" s="28" t="s">
        <v>230</v>
      </c>
      <c r="B219" s="29">
        <v>44944.07138228009</v>
      </c>
      <c r="C219" s="28" t="s">
        <v>227</v>
      </c>
      <c r="D219" s="28" t="s">
        <v>77</v>
      </c>
      <c r="E219" s="28">
        <v>2023.0</v>
      </c>
      <c r="F219" s="42">
        <v>44944.07138228009</v>
      </c>
      <c r="G219" s="31">
        <v>2395.0</v>
      </c>
      <c r="H219" s="31" t="s">
        <v>8</v>
      </c>
      <c r="I219" s="33"/>
      <c r="J219" s="33"/>
      <c r="K219" s="28"/>
      <c r="L219" s="28" t="s">
        <v>78</v>
      </c>
      <c r="M219" s="28" t="s">
        <v>79</v>
      </c>
      <c r="N219" s="28"/>
    </row>
    <row r="220" ht="16.5" customHeight="1">
      <c r="A220" s="35" t="s">
        <v>231</v>
      </c>
      <c r="B220" s="36">
        <v>44944.10035523148</v>
      </c>
      <c r="C220" s="35" t="s">
        <v>227</v>
      </c>
      <c r="D220" s="35" t="s">
        <v>77</v>
      </c>
      <c r="E220" s="35">
        <v>2023.0</v>
      </c>
      <c r="F220" s="43">
        <v>44944.10035523148</v>
      </c>
      <c r="G220" s="38">
        <v>2466.0</v>
      </c>
      <c r="H220" s="38" t="s">
        <v>8</v>
      </c>
      <c r="I220" s="40"/>
      <c r="J220" s="40"/>
      <c r="K220" s="35"/>
      <c r="L220" s="35" t="s">
        <v>78</v>
      </c>
      <c r="M220" s="35" t="s">
        <v>79</v>
      </c>
      <c r="N220" s="35"/>
    </row>
    <row r="221" ht="16.5" customHeight="1">
      <c r="A221" s="28" t="s">
        <v>232</v>
      </c>
      <c r="B221" s="29">
        <v>44944.13841517361</v>
      </c>
      <c r="C221" s="28" t="s">
        <v>227</v>
      </c>
      <c r="D221" s="28" t="s">
        <v>77</v>
      </c>
      <c r="E221" s="28">
        <v>2023.0</v>
      </c>
      <c r="F221" s="42">
        <v>44944.13841517361</v>
      </c>
      <c r="G221" s="31">
        <v>2434.0</v>
      </c>
      <c r="H221" s="31" t="s">
        <v>8</v>
      </c>
      <c r="I221" s="33"/>
      <c r="J221" s="33"/>
      <c r="K221" s="28"/>
      <c r="L221" s="28" t="s">
        <v>78</v>
      </c>
      <c r="M221" s="28" t="s">
        <v>79</v>
      </c>
      <c r="N221" s="28"/>
    </row>
    <row r="222" ht="16.5" customHeight="1">
      <c r="A222" s="35" t="s">
        <v>233</v>
      </c>
      <c r="B222" s="36">
        <v>44944.16214451389</v>
      </c>
      <c r="C222" s="35" t="s">
        <v>227</v>
      </c>
      <c r="D222" s="35" t="s">
        <v>77</v>
      </c>
      <c r="E222" s="35">
        <v>2023.0</v>
      </c>
      <c r="F222" s="43">
        <v>44944.16214451389</v>
      </c>
      <c r="G222" s="38">
        <v>2576.0</v>
      </c>
      <c r="H222" s="38" t="s">
        <v>8</v>
      </c>
      <c r="I222" s="40"/>
      <c r="J222" s="40"/>
      <c r="K222" s="35"/>
      <c r="L222" s="35" t="s">
        <v>78</v>
      </c>
      <c r="M222" s="35" t="s">
        <v>79</v>
      </c>
      <c r="N222" s="35"/>
    </row>
    <row r="223" ht="16.5" customHeight="1">
      <c r="A223" s="28" t="s">
        <v>234</v>
      </c>
      <c r="B223" s="29">
        <v>44944.19276922454</v>
      </c>
      <c r="C223" s="28" t="s">
        <v>227</v>
      </c>
      <c r="D223" s="28" t="s">
        <v>77</v>
      </c>
      <c r="E223" s="28">
        <v>2023.0</v>
      </c>
      <c r="F223" s="42">
        <v>44944.19276922454</v>
      </c>
      <c r="G223" s="31">
        <v>2661.0</v>
      </c>
      <c r="H223" s="31" t="s">
        <v>8</v>
      </c>
      <c r="I223" s="33"/>
      <c r="J223" s="33"/>
      <c r="K223" s="28"/>
      <c r="L223" s="28" t="s">
        <v>78</v>
      </c>
      <c r="M223" s="28" t="s">
        <v>79</v>
      </c>
      <c r="N223" s="28"/>
    </row>
    <row r="224" ht="16.5" customHeight="1">
      <c r="A224" s="35" t="s">
        <v>235</v>
      </c>
      <c r="B224" s="36">
        <v>44944.20852153935</v>
      </c>
      <c r="C224" s="35" t="s">
        <v>227</v>
      </c>
      <c r="D224" s="35" t="s">
        <v>77</v>
      </c>
      <c r="E224" s="35">
        <v>2023.0</v>
      </c>
      <c r="F224" s="43">
        <v>44944.20852153935</v>
      </c>
      <c r="G224" s="38">
        <v>2670.0</v>
      </c>
      <c r="H224" s="38" t="s">
        <v>8</v>
      </c>
      <c r="I224" s="40"/>
      <c r="J224" s="40"/>
      <c r="K224" s="35"/>
      <c r="L224" s="35" t="s">
        <v>78</v>
      </c>
      <c r="M224" s="35" t="s">
        <v>79</v>
      </c>
      <c r="N224" s="35"/>
    </row>
    <row r="225" ht="16.5" customHeight="1">
      <c r="A225" s="28" t="s">
        <v>236</v>
      </c>
      <c r="B225" s="29">
        <v>44944.23187690972</v>
      </c>
      <c r="C225" s="28" t="s">
        <v>227</v>
      </c>
      <c r="D225" s="28" t="s">
        <v>77</v>
      </c>
      <c r="E225" s="28">
        <v>2023.0</v>
      </c>
      <c r="F225" s="42">
        <v>44944.23187690972</v>
      </c>
      <c r="G225" s="31">
        <v>2657.0</v>
      </c>
      <c r="H225" s="31" t="s">
        <v>8</v>
      </c>
      <c r="I225" s="33"/>
      <c r="J225" s="33"/>
      <c r="K225" s="28"/>
      <c r="L225" s="28" t="s">
        <v>78</v>
      </c>
      <c r="M225" s="28" t="s">
        <v>79</v>
      </c>
      <c r="N225" s="28"/>
    </row>
    <row r="226" ht="16.5" customHeight="1">
      <c r="A226" s="35" t="s">
        <v>237</v>
      </c>
      <c r="B226" s="36">
        <v>44944.30353125</v>
      </c>
      <c r="C226" s="35" t="s">
        <v>227</v>
      </c>
      <c r="D226" s="35" t="s">
        <v>77</v>
      </c>
      <c r="E226" s="35">
        <v>2023.0</v>
      </c>
      <c r="F226" s="43">
        <v>44944.30353125</v>
      </c>
      <c r="G226" s="38" t="s">
        <v>238</v>
      </c>
      <c r="H226" s="38" t="s">
        <v>8</v>
      </c>
      <c r="I226" s="40"/>
      <c r="J226" s="40"/>
      <c r="K226" s="35"/>
      <c r="L226" s="35" t="s">
        <v>78</v>
      </c>
      <c r="M226" s="35" t="s">
        <v>79</v>
      </c>
      <c r="N226" s="35"/>
    </row>
    <row r="227" ht="16.5" customHeight="1">
      <c r="A227" s="28" t="s">
        <v>179</v>
      </c>
      <c r="B227" s="29">
        <v>44944.31619049769</v>
      </c>
      <c r="C227" s="28" t="s">
        <v>227</v>
      </c>
      <c r="D227" s="28" t="s">
        <v>77</v>
      </c>
      <c r="E227" s="28">
        <v>2023.0</v>
      </c>
      <c r="F227" s="42">
        <v>44944.31619049769</v>
      </c>
      <c r="G227" s="31">
        <v>2204.0</v>
      </c>
      <c r="H227" s="31" t="s">
        <v>8</v>
      </c>
      <c r="I227" s="33"/>
      <c r="J227" s="33"/>
      <c r="K227" s="28"/>
      <c r="L227" s="28" t="s">
        <v>78</v>
      </c>
      <c r="M227" s="28" t="s">
        <v>79</v>
      </c>
      <c r="N227" s="28"/>
    </row>
    <row r="228" ht="16.5" customHeight="1">
      <c r="A228" s="35" t="s">
        <v>239</v>
      </c>
      <c r="B228" s="36">
        <v>44944.316343495375</v>
      </c>
      <c r="C228" s="35" t="s">
        <v>227</v>
      </c>
      <c r="D228" s="35" t="s">
        <v>77</v>
      </c>
      <c r="E228" s="35">
        <v>2023.0</v>
      </c>
      <c r="F228" s="43">
        <v>44944.316343495375</v>
      </c>
      <c r="G228" s="38">
        <v>2205.0</v>
      </c>
      <c r="H228" s="38" t="s">
        <v>8</v>
      </c>
      <c r="I228" s="40"/>
      <c r="J228" s="40"/>
      <c r="K228" s="35"/>
      <c r="L228" s="35" t="s">
        <v>78</v>
      </c>
      <c r="M228" s="35" t="s">
        <v>79</v>
      </c>
      <c r="N228" s="35"/>
    </row>
    <row r="229" ht="16.5" customHeight="1">
      <c r="A229" s="28" t="s">
        <v>240</v>
      </c>
      <c r="B229" s="29">
        <v>44944.316543043984</v>
      </c>
      <c r="C229" s="28" t="s">
        <v>227</v>
      </c>
      <c r="D229" s="28" t="s">
        <v>77</v>
      </c>
      <c r="E229" s="28">
        <v>2023.0</v>
      </c>
      <c r="F229" s="42">
        <v>44944.316543043984</v>
      </c>
      <c r="G229" s="31">
        <v>2389.0</v>
      </c>
      <c r="H229" s="31" t="s">
        <v>8</v>
      </c>
      <c r="I229" s="33"/>
      <c r="J229" s="33"/>
      <c r="K229" s="28"/>
      <c r="L229" s="28" t="s">
        <v>78</v>
      </c>
      <c r="M229" s="28" t="s">
        <v>79</v>
      </c>
      <c r="N229" s="28"/>
    </row>
    <row r="230" ht="16.5" customHeight="1">
      <c r="A230" s="35" t="s">
        <v>241</v>
      </c>
      <c r="B230" s="36">
        <v>44944.31669738426</v>
      </c>
      <c r="C230" s="35" t="s">
        <v>227</v>
      </c>
      <c r="D230" s="35" t="s">
        <v>77</v>
      </c>
      <c r="E230" s="35">
        <v>2023.0</v>
      </c>
      <c r="F230" s="43">
        <v>44944.31669738426</v>
      </c>
      <c r="G230" s="38">
        <v>2397.0</v>
      </c>
      <c r="H230" s="38" t="s">
        <v>8</v>
      </c>
      <c r="I230" s="40"/>
      <c r="J230" s="40"/>
      <c r="K230" s="35"/>
      <c r="L230" s="35" t="s">
        <v>78</v>
      </c>
      <c r="M230" s="35" t="s">
        <v>79</v>
      </c>
      <c r="N230" s="35"/>
    </row>
    <row r="231" ht="16.5" customHeight="1">
      <c r="A231" s="28" t="s">
        <v>242</v>
      </c>
      <c r="B231" s="29">
        <v>44944.31682765046</v>
      </c>
      <c r="C231" s="28" t="s">
        <v>227</v>
      </c>
      <c r="D231" s="28" t="s">
        <v>77</v>
      </c>
      <c r="E231" s="28">
        <v>2023.0</v>
      </c>
      <c r="F231" s="42">
        <v>44944.31682765046</v>
      </c>
      <c r="G231" s="31">
        <v>2398.0</v>
      </c>
      <c r="H231" s="31" t="s">
        <v>8</v>
      </c>
      <c r="I231" s="33"/>
      <c r="J231" s="33"/>
      <c r="K231" s="28"/>
      <c r="L231" s="28" t="s">
        <v>78</v>
      </c>
      <c r="M231" s="28" t="s">
        <v>79</v>
      </c>
      <c r="N231" s="28"/>
    </row>
    <row r="232" ht="16.5" customHeight="1">
      <c r="A232" s="35" t="s">
        <v>102</v>
      </c>
      <c r="B232" s="36">
        <v>44944.316982916665</v>
      </c>
      <c r="C232" s="35" t="s">
        <v>227</v>
      </c>
      <c r="D232" s="35" t="s">
        <v>77</v>
      </c>
      <c r="E232" s="35">
        <v>2023.0</v>
      </c>
      <c r="F232" s="43">
        <v>44944.316982916665</v>
      </c>
      <c r="G232" s="38">
        <v>2436.0</v>
      </c>
      <c r="H232" s="38" t="s">
        <v>8</v>
      </c>
      <c r="I232" s="40"/>
      <c r="J232" s="40"/>
      <c r="K232" s="35"/>
      <c r="L232" s="35" t="s">
        <v>78</v>
      </c>
      <c r="M232" s="35" t="s">
        <v>79</v>
      </c>
      <c r="N232" s="35"/>
    </row>
    <row r="233" ht="16.5" customHeight="1">
      <c r="A233" s="28" t="s">
        <v>243</v>
      </c>
      <c r="B233" s="29">
        <v>44944.31714569444</v>
      </c>
      <c r="C233" s="28" t="s">
        <v>227</v>
      </c>
      <c r="D233" s="28" t="s">
        <v>77</v>
      </c>
      <c r="E233" s="28">
        <v>2023.0</v>
      </c>
      <c r="F233" s="42">
        <v>44944.31714569444</v>
      </c>
      <c r="G233" s="31">
        <v>2516.0</v>
      </c>
      <c r="H233" s="31" t="s">
        <v>8</v>
      </c>
      <c r="I233" s="33"/>
      <c r="J233" s="33"/>
      <c r="K233" s="28"/>
      <c r="L233" s="28" t="s">
        <v>78</v>
      </c>
      <c r="M233" s="28" t="s">
        <v>79</v>
      </c>
      <c r="N233" s="28"/>
    </row>
    <row r="234" ht="16.5" customHeight="1">
      <c r="A234" s="35" t="s">
        <v>88</v>
      </c>
      <c r="B234" s="36">
        <v>44944.31731109954</v>
      </c>
      <c r="C234" s="35" t="s">
        <v>227</v>
      </c>
      <c r="D234" s="35" t="s">
        <v>77</v>
      </c>
      <c r="E234" s="35">
        <v>2023.0</v>
      </c>
      <c r="F234" s="43">
        <v>44944.31731109954</v>
      </c>
      <c r="G234" s="38">
        <v>2628.0</v>
      </c>
      <c r="H234" s="38" t="s">
        <v>8</v>
      </c>
      <c r="I234" s="40"/>
      <c r="J234" s="40"/>
      <c r="K234" s="35"/>
      <c r="L234" s="35" t="s">
        <v>78</v>
      </c>
      <c r="M234" s="35" t="s">
        <v>79</v>
      </c>
      <c r="N234" s="35"/>
    </row>
    <row r="235" ht="16.5" customHeight="1">
      <c r="A235" s="28" t="s">
        <v>244</v>
      </c>
      <c r="B235" s="29">
        <v>44944.317444722226</v>
      </c>
      <c r="C235" s="28" t="s">
        <v>227</v>
      </c>
      <c r="D235" s="28" t="s">
        <v>77</v>
      </c>
      <c r="E235" s="28">
        <v>2023.0</v>
      </c>
      <c r="F235" s="42">
        <v>44944.317444722226</v>
      </c>
      <c r="G235" s="31">
        <v>2638.0</v>
      </c>
      <c r="H235" s="31" t="s">
        <v>8</v>
      </c>
      <c r="I235" s="33"/>
      <c r="J235" s="33"/>
      <c r="K235" s="28"/>
      <c r="L235" s="28" t="s">
        <v>78</v>
      </c>
      <c r="M235" s="28" t="s">
        <v>79</v>
      </c>
      <c r="N235" s="28"/>
    </row>
    <row r="236" ht="16.5" customHeight="1">
      <c r="A236" s="35" t="s">
        <v>107</v>
      </c>
      <c r="B236" s="36">
        <v>44944.317599305556</v>
      </c>
      <c r="C236" s="35" t="s">
        <v>227</v>
      </c>
      <c r="D236" s="35" t="s">
        <v>77</v>
      </c>
      <c r="E236" s="35">
        <v>2023.0</v>
      </c>
      <c r="F236" s="43">
        <v>44944.317599305556</v>
      </c>
      <c r="G236" s="38">
        <v>2682.0</v>
      </c>
      <c r="H236" s="38" t="s">
        <v>8</v>
      </c>
      <c r="I236" s="40"/>
      <c r="J236" s="40"/>
      <c r="K236" s="35"/>
      <c r="L236" s="35" t="s">
        <v>78</v>
      </c>
      <c r="M236" s="35" t="s">
        <v>79</v>
      </c>
      <c r="N236" s="35"/>
    </row>
    <row r="237" ht="16.5" customHeight="1">
      <c r="A237" s="28" t="s">
        <v>245</v>
      </c>
      <c r="B237" s="29">
        <v>44944.31778188657</v>
      </c>
      <c r="C237" s="28" t="s">
        <v>227</v>
      </c>
      <c r="D237" s="28" t="s">
        <v>77</v>
      </c>
      <c r="E237" s="28">
        <v>2023.0</v>
      </c>
      <c r="F237" s="42">
        <v>44944.31778188657</v>
      </c>
      <c r="G237" s="31">
        <v>2683.0</v>
      </c>
      <c r="H237" s="31" t="s">
        <v>8</v>
      </c>
      <c r="I237" s="33"/>
      <c r="J237" s="33"/>
      <c r="K237" s="28"/>
      <c r="L237" s="28" t="s">
        <v>78</v>
      </c>
      <c r="M237" s="28" t="s">
        <v>79</v>
      </c>
      <c r="N237" s="28"/>
    </row>
    <row r="238" ht="16.5" customHeight="1">
      <c r="A238" s="35" t="s">
        <v>246</v>
      </c>
      <c r="B238" s="36">
        <v>44944.35195465278</v>
      </c>
      <c r="C238" s="35" t="s">
        <v>227</v>
      </c>
      <c r="D238" s="35" t="s">
        <v>77</v>
      </c>
      <c r="E238" s="35">
        <v>2023.0</v>
      </c>
      <c r="F238" s="43">
        <v>44944.35195465278</v>
      </c>
      <c r="G238" s="38">
        <v>472.0</v>
      </c>
      <c r="H238" s="38" t="s">
        <v>8</v>
      </c>
      <c r="I238" s="40"/>
      <c r="J238" s="40"/>
      <c r="K238" s="35"/>
      <c r="L238" s="35" t="s">
        <v>78</v>
      </c>
      <c r="M238" s="35" t="s">
        <v>79</v>
      </c>
      <c r="N238" s="35"/>
    </row>
    <row r="239" ht="16.5" customHeight="1">
      <c r="A239" s="28" t="s">
        <v>247</v>
      </c>
      <c r="B239" s="29">
        <v>44944.60580971064</v>
      </c>
      <c r="C239" s="28" t="s">
        <v>227</v>
      </c>
      <c r="D239" s="28" t="s">
        <v>77</v>
      </c>
      <c r="E239" s="28">
        <v>2023.0</v>
      </c>
      <c r="F239" s="42">
        <v>44944.60580971064</v>
      </c>
      <c r="G239" s="31" t="s">
        <v>248</v>
      </c>
      <c r="H239" s="31" t="s">
        <v>8</v>
      </c>
      <c r="I239" s="33"/>
      <c r="J239" s="33"/>
      <c r="K239" s="28"/>
      <c r="L239" s="28" t="s">
        <v>78</v>
      </c>
      <c r="M239" s="28" t="s">
        <v>79</v>
      </c>
      <c r="N239" s="28"/>
    </row>
    <row r="240" ht="16.5" customHeight="1">
      <c r="A240" s="35" t="s">
        <v>244</v>
      </c>
      <c r="B240" s="36">
        <v>44944.954779479165</v>
      </c>
      <c r="C240" s="35" t="s">
        <v>227</v>
      </c>
      <c r="D240" s="35" t="s">
        <v>77</v>
      </c>
      <c r="E240" s="35">
        <v>2023.0</v>
      </c>
      <c r="F240" s="43">
        <v>44944.954779479165</v>
      </c>
      <c r="G240" s="38">
        <v>2638.0</v>
      </c>
      <c r="H240" s="38" t="s">
        <v>8</v>
      </c>
      <c r="I240" s="40"/>
      <c r="J240" s="40"/>
      <c r="K240" s="35"/>
      <c r="L240" s="35" t="s">
        <v>78</v>
      </c>
      <c r="M240" s="35" t="s">
        <v>79</v>
      </c>
      <c r="N240" s="35"/>
    </row>
    <row r="241" ht="16.5" customHeight="1">
      <c r="A241" s="28" t="s">
        <v>249</v>
      </c>
      <c r="B241" s="29">
        <v>44944.98107349537</v>
      </c>
      <c r="C241" s="28" t="s">
        <v>227</v>
      </c>
      <c r="D241" s="28" t="s">
        <v>77</v>
      </c>
      <c r="E241" s="28">
        <v>2023.0</v>
      </c>
      <c r="F241" s="42">
        <v>44944.98107349537</v>
      </c>
      <c r="G241" s="31">
        <v>1900.0</v>
      </c>
      <c r="H241" s="31" t="s">
        <v>8</v>
      </c>
      <c r="I241" s="33"/>
      <c r="J241" s="33"/>
      <c r="K241" s="28"/>
      <c r="L241" s="28" t="s">
        <v>78</v>
      </c>
      <c r="M241" s="28" t="s">
        <v>79</v>
      </c>
      <c r="N241" s="28"/>
    </row>
    <row r="242" ht="16.5" customHeight="1">
      <c r="A242" s="35" t="s">
        <v>250</v>
      </c>
      <c r="B242" s="36">
        <v>44945.004043692126</v>
      </c>
      <c r="C242" s="35" t="s">
        <v>251</v>
      </c>
      <c r="D242" s="35" t="s">
        <v>77</v>
      </c>
      <c r="E242" s="35">
        <v>2023.0</v>
      </c>
      <c r="F242" s="43">
        <v>44945.004043692126</v>
      </c>
      <c r="G242" s="38">
        <v>2563.0</v>
      </c>
      <c r="H242" s="38" t="s">
        <v>8</v>
      </c>
      <c r="I242" s="40"/>
      <c r="J242" s="40"/>
      <c r="K242" s="35"/>
      <c r="L242" s="35" t="s">
        <v>78</v>
      </c>
      <c r="M242" s="35" t="s">
        <v>79</v>
      </c>
      <c r="N242" s="35"/>
    </row>
    <row r="243" ht="16.5" customHeight="1">
      <c r="A243" s="28" t="s">
        <v>156</v>
      </c>
      <c r="B243" s="29">
        <v>44945.035329375</v>
      </c>
      <c r="C243" s="28" t="s">
        <v>251</v>
      </c>
      <c r="D243" s="28" t="s">
        <v>77</v>
      </c>
      <c r="E243" s="28">
        <v>2023.0</v>
      </c>
      <c r="F243" s="42">
        <v>44945.035329375</v>
      </c>
      <c r="G243" s="31">
        <v>2639.0</v>
      </c>
      <c r="H243" s="31" t="s">
        <v>8</v>
      </c>
      <c r="I243" s="33"/>
      <c r="J243" s="33"/>
      <c r="K243" s="28"/>
      <c r="L243" s="28" t="s">
        <v>78</v>
      </c>
      <c r="M243" s="28" t="s">
        <v>79</v>
      </c>
      <c r="N243" s="28"/>
    </row>
    <row r="244" ht="16.5" customHeight="1">
      <c r="A244" s="35" t="s">
        <v>252</v>
      </c>
      <c r="B244" s="36">
        <v>44945.054728449075</v>
      </c>
      <c r="C244" s="35" t="s">
        <v>251</v>
      </c>
      <c r="D244" s="35" t="s">
        <v>77</v>
      </c>
      <c r="E244" s="35">
        <v>2023.0</v>
      </c>
      <c r="F244" s="43">
        <v>44945.054728449075</v>
      </c>
      <c r="G244" s="38">
        <v>2217.0</v>
      </c>
      <c r="H244" s="38" t="s">
        <v>8</v>
      </c>
      <c r="I244" s="40"/>
      <c r="J244" s="40"/>
      <c r="K244" s="35"/>
      <c r="L244" s="35" t="s">
        <v>78</v>
      </c>
      <c r="M244" s="35" t="s">
        <v>79</v>
      </c>
      <c r="N244" s="35"/>
    </row>
    <row r="245" ht="16.5" customHeight="1">
      <c r="A245" s="28" t="s">
        <v>253</v>
      </c>
      <c r="B245" s="29">
        <v>44945.07920097222</v>
      </c>
      <c r="C245" s="28" t="s">
        <v>251</v>
      </c>
      <c r="D245" s="28" t="s">
        <v>77</v>
      </c>
      <c r="E245" s="28">
        <v>2023.0</v>
      </c>
      <c r="F245" s="42">
        <v>44945.07920097222</v>
      </c>
      <c r="G245" s="31">
        <v>461.0</v>
      </c>
      <c r="H245" s="31" t="s">
        <v>8</v>
      </c>
      <c r="I245" s="33"/>
      <c r="J245" s="33"/>
      <c r="K245" s="28"/>
      <c r="L245" s="28" t="s">
        <v>78</v>
      </c>
      <c r="M245" s="28" t="s">
        <v>79</v>
      </c>
      <c r="N245" s="28"/>
    </row>
    <row r="246" ht="16.5" customHeight="1">
      <c r="A246" s="35" t="s">
        <v>254</v>
      </c>
      <c r="B246" s="36">
        <v>44945.10072657408</v>
      </c>
      <c r="C246" s="35" t="s">
        <v>251</v>
      </c>
      <c r="D246" s="35" t="s">
        <v>77</v>
      </c>
      <c r="E246" s="35">
        <v>2023.0</v>
      </c>
      <c r="F246" s="43">
        <v>44945.10072657408</v>
      </c>
      <c r="G246" s="38">
        <v>2633.0</v>
      </c>
      <c r="H246" s="38" t="s">
        <v>8</v>
      </c>
      <c r="I246" s="40"/>
      <c r="J246" s="40"/>
      <c r="K246" s="35"/>
      <c r="L246" s="35" t="s">
        <v>78</v>
      </c>
      <c r="M246" s="35" t="s">
        <v>79</v>
      </c>
      <c r="N246" s="35"/>
    </row>
    <row r="247" ht="16.5" customHeight="1">
      <c r="A247" s="28" t="s">
        <v>255</v>
      </c>
      <c r="B247" s="29">
        <v>44945.11503490741</v>
      </c>
      <c r="C247" s="28" t="s">
        <v>251</v>
      </c>
      <c r="D247" s="28" t="s">
        <v>77</v>
      </c>
      <c r="E247" s="28">
        <v>2023.0</v>
      </c>
      <c r="F247" s="42">
        <v>44945.11503490741</v>
      </c>
      <c r="G247" s="31">
        <v>2187.0</v>
      </c>
      <c r="H247" s="31" t="s">
        <v>8</v>
      </c>
      <c r="I247" s="33"/>
      <c r="J247" s="33"/>
      <c r="K247" s="28"/>
      <c r="L247" s="28" t="s">
        <v>78</v>
      </c>
      <c r="M247" s="28" t="s">
        <v>79</v>
      </c>
      <c r="N247" s="28"/>
    </row>
    <row r="248" ht="16.5" customHeight="1">
      <c r="A248" s="35" t="s">
        <v>256</v>
      </c>
      <c r="B248" s="36">
        <v>44945.13560892361</v>
      </c>
      <c r="C248" s="35" t="s">
        <v>251</v>
      </c>
      <c r="D248" s="35" t="s">
        <v>77</v>
      </c>
      <c r="E248" s="35">
        <v>2023.0</v>
      </c>
      <c r="F248" s="43">
        <v>44945.13560892361</v>
      </c>
      <c r="G248" s="38">
        <v>2625.0</v>
      </c>
      <c r="H248" s="38" t="s">
        <v>8</v>
      </c>
      <c r="I248" s="40"/>
      <c r="J248" s="40"/>
      <c r="K248" s="35"/>
      <c r="L248" s="35" t="s">
        <v>78</v>
      </c>
      <c r="M248" s="35" t="s">
        <v>79</v>
      </c>
      <c r="N248" s="35"/>
    </row>
    <row r="249" ht="16.5" customHeight="1">
      <c r="A249" s="28" t="s">
        <v>257</v>
      </c>
      <c r="B249" s="29">
        <v>44945.152321643516</v>
      </c>
      <c r="C249" s="28" t="s">
        <v>251</v>
      </c>
      <c r="D249" s="28" t="s">
        <v>77</v>
      </c>
      <c r="E249" s="28">
        <v>2023.0</v>
      </c>
      <c r="F249" s="42">
        <v>44945.152321643516</v>
      </c>
      <c r="G249" s="31">
        <v>2179.0</v>
      </c>
      <c r="H249" s="31" t="s">
        <v>8</v>
      </c>
      <c r="I249" s="33"/>
      <c r="J249" s="33"/>
      <c r="K249" s="28"/>
      <c r="L249" s="28" t="s">
        <v>78</v>
      </c>
      <c r="M249" s="28" t="s">
        <v>79</v>
      </c>
      <c r="N249" s="28"/>
    </row>
    <row r="250" ht="16.5" customHeight="1">
      <c r="A250" s="35" t="s">
        <v>258</v>
      </c>
      <c r="B250" s="36">
        <v>44945.17751653935</v>
      </c>
      <c r="C250" s="35" t="s">
        <v>251</v>
      </c>
      <c r="D250" s="35" t="s">
        <v>77</v>
      </c>
      <c r="E250" s="35">
        <v>2023.0</v>
      </c>
      <c r="F250" s="43">
        <v>44945.17751653935</v>
      </c>
      <c r="G250" s="38">
        <v>2680.0</v>
      </c>
      <c r="H250" s="38" t="s">
        <v>8</v>
      </c>
      <c r="I250" s="40"/>
      <c r="J250" s="40"/>
      <c r="K250" s="35"/>
      <c r="L250" s="35" t="s">
        <v>78</v>
      </c>
      <c r="M250" s="35" t="s">
        <v>79</v>
      </c>
      <c r="N250" s="35"/>
    </row>
    <row r="251" ht="16.5" customHeight="1">
      <c r="A251" s="28" t="s">
        <v>259</v>
      </c>
      <c r="B251" s="29">
        <v>44945.20232354167</v>
      </c>
      <c r="C251" s="28" t="s">
        <v>251</v>
      </c>
      <c r="D251" s="28" t="s">
        <v>77</v>
      </c>
      <c r="E251" s="28">
        <v>2023.0</v>
      </c>
      <c r="F251" s="42">
        <v>44945.20232354167</v>
      </c>
      <c r="G251" s="31">
        <v>951.0</v>
      </c>
      <c r="H251" s="31" t="s">
        <v>8</v>
      </c>
      <c r="I251" s="33"/>
      <c r="J251" s="33"/>
      <c r="K251" s="28"/>
      <c r="L251" s="28" t="s">
        <v>78</v>
      </c>
      <c r="M251" s="28" t="s">
        <v>79</v>
      </c>
      <c r="N251" s="28"/>
    </row>
    <row r="252" ht="16.5" customHeight="1">
      <c r="A252" s="35" t="s">
        <v>260</v>
      </c>
      <c r="B252" s="36">
        <v>44945.232464664354</v>
      </c>
      <c r="C252" s="35" t="s">
        <v>251</v>
      </c>
      <c r="D252" s="35" t="s">
        <v>77</v>
      </c>
      <c r="E252" s="35">
        <v>2023.0</v>
      </c>
      <c r="F252" s="43">
        <v>44945.232464664354</v>
      </c>
      <c r="G252" s="38">
        <v>2662.0</v>
      </c>
      <c r="H252" s="38" t="s">
        <v>8</v>
      </c>
      <c r="I252" s="40"/>
      <c r="J252" s="40"/>
      <c r="K252" s="35"/>
      <c r="L252" s="35" t="s">
        <v>78</v>
      </c>
      <c r="M252" s="35" t="s">
        <v>79</v>
      </c>
      <c r="N252" s="35"/>
    </row>
    <row r="253" ht="16.5" customHeight="1">
      <c r="A253" s="28" t="s">
        <v>95</v>
      </c>
      <c r="B253" s="29">
        <v>44945.30204502315</v>
      </c>
      <c r="C253" s="28" t="s">
        <v>251</v>
      </c>
      <c r="D253" s="28" t="s">
        <v>77</v>
      </c>
      <c r="E253" s="28">
        <v>2023.0</v>
      </c>
      <c r="F253" s="42">
        <v>44945.30204502315</v>
      </c>
      <c r="G253" s="31">
        <v>2671.0</v>
      </c>
      <c r="H253" s="31" t="s">
        <v>40</v>
      </c>
      <c r="I253" s="33"/>
      <c r="J253" s="33"/>
      <c r="K253" s="28"/>
      <c r="L253" s="28" t="s">
        <v>78</v>
      </c>
      <c r="M253" s="28" t="s">
        <v>79</v>
      </c>
      <c r="N253" s="28"/>
    </row>
    <row r="254" ht="16.5" customHeight="1">
      <c r="A254" s="35" t="s">
        <v>261</v>
      </c>
      <c r="B254" s="36">
        <v>44945.35581017361</v>
      </c>
      <c r="C254" s="35" t="s">
        <v>251</v>
      </c>
      <c r="D254" s="35" t="s">
        <v>77</v>
      </c>
      <c r="E254" s="35">
        <v>2023.0</v>
      </c>
      <c r="F254" s="43">
        <v>44945.35581017361</v>
      </c>
      <c r="G254" s="38" t="s">
        <v>262</v>
      </c>
      <c r="H254" s="38" t="s">
        <v>8</v>
      </c>
      <c r="I254" s="40"/>
      <c r="J254" s="40"/>
      <c r="K254" s="35"/>
      <c r="L254" s="35" t="s">
        <v>78</v>
      </c>
      <c r="M254" s="35" t="s">
        <v>79</v>
      </c>
      <c r="N254" s="35"/>
    </row>
    <row r="255" ht="16.5" customHeight="1">
      <c r="A255" s="28" t="s">
        <v>263</v>
      </c>
      <c r="B255" s="29">
        <v>44945.36951780092</v>
      </c>
      <c r="C255" s="28" t="s">
        <v>251</v>
      </c>
      <c r="D255" s="28" t="s">
        <v>77</v>
      </c>
      <c r="E255" s="28">
        <v>2023.0</v>
      </c>
      <c r="F255" s="42">
        <v>44945.36951780092</v>
      </c>
      <c r="G255" s="31" t="s">
        <v>264</v>
      </c>
      <c r="H255" s="31" t="s">
        <v>8</v>
      </c>
      <c r="I255" s="33"/>
      <c r="J255" s="33"/>
      <c r="K255" s="28"/>
      <c r="L255" s="28" t="s">
        <v>78</v>
      </c>
      <c r="M255" s="28" t="s">
        <v>79</v>
      </c>
      <c r="N255" s="28"/>
    </row>
    <row r="256" ht="16.5" customHeight="1">
      <c r="A256" s="35" t="s">
        <v>108</v>
      </c>
      <c r="B256" s="36">
        <v>44945.39760494213</v>
      </c>
      <c r="C256" s="35" t="s">
        <v>251</v>
      </c>
      <c r="D256" s="35" t="s">
        <v>77</v>
      </c>
      <c r="E256" s="35">
        <v>2023.0</v>
      </c>
      <c r="F256" s="43">
        <v>44945.39760494213</v>
      </c>
      <c r="G256" s="38">
        <v>2663.0</v>
      </c>
      <c r="H256" s="38" t="s">
        <v>40</v>
      </c>
      <c r="I256" s="40"/>
      <c r="J256" s="40"/>
      <c r="K256" s="35"/>
      <c r="L256" s="35" t="s">
        <v>78</v>
      </c>
      <c r="M256" s="35" t="s">
        <v>79</v>
      </c>
      <c r="N256" s="35"/>
    </row>
    <row r="257" ht="16.5" customHeight="1">
      <c r="A257" s="28" t="s">
        <v>265</v>
      </c>
      <c r="B257" s="29">
        <v>44945.39801478009</v>
      </c>
      <c r="C257" s="28" t="s">
        <v>251</v>
      </c>
      <c r="D257" s="28" t="s">
        <v>77</v>
      </c>
      <c r="E257" s="28">
        <v>2023.0</v>
      </c>
      <c r="F257" s="42">
        <v>44945.39801478009</v>
      </c>
      <c r="G257" s="31" t="s">
        <v>266</v>
      </c>
      <c r="H257" s="31" t="s">
        <v>8</v>
      </c>
      <c r="I257" s="33"/>
      <c r="J257" s="33"/>
      <c r="K257" s="28"/>
      <c r="L257" s="28" t="s">
        <v>78</v>
      </c>
      <c r="M257" s="28" t="s">
        <v>79</v>
      </c>
      <c r="N257" s="28"/>
    </row>
    <row r="258" ht="16.5" customHeight="1">
      <c r="A258" s="35" t="s">
        <v>267</v>
      </c>
      <c r="B258" s="36">
        <v>44945.44254149306</v>
      </c>
      <c r="C258" s="35" t="s">
        <v>251</v>
      </c>
      <c r="D258" s="35" t="s">
        <v>77</v>
      </c>
      <c r="E258" s="35">
        <v>2023.0</v>
      </c>
      <c r="F258" s="43">
        <v>44945.44254149306</v>
      </c>
      <c r="G258" s="38" t="s">
        <v>268</v>
      </c>
      <c r="H258" s="38" t="s">
        <v>8</v>
      </c>
      <c r="I258" s="40"/>
      <c r="J258" s="40"/>
      <c r="K258" s="35"/>
      <c r="L258" s="35" t="s">
        <v>78</v>
      </c>
      <c r="M258" s="35" t="s">
        <v>79</v>
      </c>
      <c r="N258" s="35"/>
    </row>
    <row r="259" ht="16.5" customHeight="1">
      <c r="A259" s="28" t="s">
        <v>269</v>
      </c>
      <c r="B259" s="29">
        <v>44945.44823980324</v>
      </c>
      <c r="C259" s="28" t="s">
        <v>251</v>
      </c>
      <c r="D259" s="28" t="s">
        <v>77</v>
      </c>
      <c r="E259" s="28">
        <v>2023.0</v>
      </c>
      <c r="F259" s="42">
        <v>44945.44823980324</v>
      </c>
      <c r="G259" s="31">
        <v>481.0</v>
      </c>
      <c r="H259" s="31" t="s">
        <v>8</v>
      </c>
      <c r="I259" s="33"/>
      <c r="J259" s="33"/>
      <c r="K259" s="28"/>
      <c r="L259" s="28" t="s">
        <v>78</v>
      </c>
      <c r="M259" s="28" t="s">
        <v>79</v>
      </c>
      <c r="N259" s="28"/>
    </row>
    <row r="260" ht="16.5" customHeight="1">
      <c r="A260" s="35" t="s">
        <v>96</v>
      </c>
      <c r="B260" s="36">
        <v>44945.594330810185</v>
      </c>
      <c r="C260" s="35" t="s">
        <v>251</v>
      </c>
      <c r="D260" s="35" t="s">
        <v>77</v>
      </c>
      <c r="E260" s="35">
        <v>2023.0</v>
      </c>
      <c r="F260" s="43">
        <v>44945.594330810185</v>
      </c>
      <c r="G260" s="38" t="s">
        <v>97</v>
      </c>
      <c r="H260" s="38" t="s">
        <v>8</v>
      </c>
      <c r="I260" s="40"/>
      <c r="J260" s="40"/>
      <c r="K260" s="35"/>
      <c r="L260" s="35" t="s">
        <v>78</v>
      </c>
      <c r="M260" s="35" t="s">
        <v>79</v>
      </c>
      <c r="N260" s="35"/>
    </row>
    <row r="261" ht="16.5" customHeight="1">
      <c r="A261" s="28" t="s">
        <v>270</v>
      </c>
      <c r="B261" s="29">
        <v>44945.6371740162</v>
      </c>
      <c r="C261" s="28" t="s">
        <v>251</v>
      </c>
      <c r="D261" s="28" t="s">
        <v>77</v>
      </c>
      <c r="E261" s="28">
        <v>2023.0</v>
      </c>
      <c r="F261" s="42">
        <v>44945.6371740162</v>
      </c>
      <c r="G261" s="31">
        <v>160.0</v>
      </c>
      <c r="H261" s="31" t="s">
        <v>271</v>
      </c>
      <c r="I261" s="33"/>
      <c r="J261" s="33"/>
      <c r="K261" s="28"/>
      <c r="L261" s="28" t="s">
        <v>78</v>
      </c>
      <c r="M261" s="28" t="s">
        <v>79</v>
      </c>
      <c r="N261" s="28"/>
    </row>
    <row r="262" ht="16.5" customHeight="1">
      <c r="A262" s="35" t="s">
        <v>272</v>
      </c>
      <c r="B262" s="36">
        <v>44945.94912041667</v>
      </c>
      <c r="C262" s="35" t="s">
        <v>251</v>
      </c>
      <c r="D262" s="35" t="s">
        <v>77</v>
      </c>
      <c r="E262" s="35">
        <v>2023.0</v>
      </c>
      <c r="F262" s="43">
        <v>44945.94912041667</v>
      </c>
      <c r="G262" s="38">
        <v>852.0</v>
      </c>
      <c r="H262" s="38" t="s">
        <v>8</v>
      </c>
      <c r="I262" s="40"/>
      <c r="J262" s="40"/>
      <c r="K262" s="35"/>
      <c r="L262" s="35" t="s">
        <v>78</v>
      </c>
      <c r="M262" s="35" t="s">
        <v>79</v>
      </c>
      <c r="N262" s="35"/>
    </row>
    <row r="263" ht="16.5" customHeight="1">
      <c r="A263" s="28" t="s">
        <v>102</v>
      </c>
      <c r="B263" s="29">
        <v>44945.96366984954</v>
      </c>
      <c r="C263" s="28" t="s">
        <v>251</v>
      </c>
      <c r="D263" s="28" t="s">
        <v>77</v>
      </c>
      <c r="E263" s="28">
        <v>2023.0</v>
      </c>
      <c r="F263" s="42">
        <v>44945.96366984954</v>
      </c>
      <c r="G263" s="31">
        <v>2436.0</v>
      </c>
      <c r="H263" s="31" t="s">
        <v>8</v>
      </c>
      <c r="I263" s="33"/>
      <c r="J263" s="33"/>
      <c r="K263" s="28"/>
      <c r="L263" s="28" t="s">
        <v>78</v>
      </c>
      <c r="M263" s="28" t="s">
        <v>79</v>
      </c>
      <c r="N263" s="28"/>
    </row>
    <row r="264" ht="16.5" customHeight="1">
      <c r="A264" s="35" t="s">
        <v>273</v>
      </c>
      <c r="B264" s="36">
        <v>44946.00078887731</v>
      </c>
      <c r="C264" s="35" t="s">
        <v>6</v>
      </c>
      <c r="D264" s="35" t="s">
        <v>77</v>
      </c>
      <c r="E264" s="35">
        <v>2023.0</v>
      </c>
      <c r="F264" s="43">
        <v>44946.00078887731</v>
      </c>
      <c r="G264" s="38">
        <v>2388.0</v>
      </c>
      <c r="H264" s="38" t="s">
        <v>8</v>
      </c>
      <c r="I264" s="40"/>
      <c r="J264" s="40"/>
      <c r="K264" s="35"/>
      <c r="L264" s="35" t="s">
        <v>78</v>
      </c>
      <c r="M264" s="35" t="s">
        <v>79</v>
      </c>
      <c r="N264" s="35"/>
    </row>
    <row r="265" ht="16.5" customHeight="1">
      <c r="A265" s="28" t="s">
        <v>80</v>
      </c>
      <c r="B265" s="29">
        <v>44946.01532417824</v>
      </c>
      <c r="C265" s="28" t="s">
        <v>6</v>
      </c>
      <c r="D265" s="28" t="s">
        <v>77</v>
      </c>
      <c r="E265" s="28">
        <v>2023.0</v>
      </c>
      <c r="F265" s="42">
        <v>44946.01532417824</v>
      </c>
      <c r="G265" s="31">
        <v>2669.0</v>
      </c>
      <c r="H265" s="31" t="s">
        <v>8</v>
      </c>
      <c r="I265" s="33"/>
      <c r="J265" s="33"/>
      <c r="K265" s="28"/>
      <c r="L265" s="28" t="s">
        <v>78</v>
      </c>
      <c r="M265" s="28" t="s">
        <v>79</v>
      </c>
      <c r="N265" s="28"/>
    </row>
    <row r="266" ht="16.5" customHeight="1">
      <c r="A266" s="35" t="s">
        <v>274</v>
      </c>
      <c r="B266" s="36">
        <v>44946.03930469908</v>
      </c>
      <c r="C266" s="35" t="s">
        <v>6</v>
      </c>
      <c r="D266" s="35" t="s">
        <v>77</v>
      </c>
      <c r="E266" s="35">
        <v>2023.0</v>
      </c>
      <c r="F266" s="43">
        <v>44946.03930469908</v>
      </c>
      <c r="G266" s="38">
        <v>2196.0</v>
      </c>
      <c r="H266" s="38" t="s">
        <v>8</v>
      </c>
      <c r="I266" s="40"/>
      <c r="J266" s="40"/>
      <c r="K266" s="35"/>
      <c r="L266" s="35" t="s">
        <v>78</v>
      </c>
      <c r="M266" s="35" t="s">
        <v>79</v>
      </c>
      <c r="N266" s="35"/>
    </row>
    <row r="267" ht="16.5" customHeight="1">
      <c r="A267" s="28" t="s">
        <v>275</v>
      </c>
      <c r="B267" s="29">
        <v>44946.06142100695</v>
      </c>
      <c r="C267" s="28" t="s">
        <v>6</v>
      </c>
      <c r="D267" s="28" t="s">
        <v>77</v>
      </c>
      <c r="E267" s="28">
        <v>2023.0</v>
      </c>
      <c r="F267" s="42">
        <v>44946.06142100695</v>
      </c>
      <c r="G267" s="31">
        <v>2435.0</v>
      </c>
      <c r="H267" s="31" t="s">
        <v>8</v>
      </c>
      <c r="I267" s="33"/>
      <c r="J267" s="33"/>
      <c r="K267" s="28"/>
      <c r="L267" s="28" t="s">
        <v>78</v>
      </c>
      <c r="M267" s="28" t="s">
        <v>79</v>
      </c>
      <c r="N267" s="28"/>
    </row>
    <row r="268" ht="16.5" customHeight="1">
      <c r="A268" s="35" t="s">
        <v>276</v>
      </c>
      <c r="B268" s="36">
        <v>44946.110755104164</v>
      </c>
      <c r="C268" s="35" t="s">
        <v>6</v>
      </c>
      <c r="D268" s="35" t="s">
        <v>77</v>
      </c>
      <c r="E268" s="35">
        <v>2023.0</v>
      </c>
      <c r="F268" s="43">
        <v>44946.110755104164</v>
      </c>
      <c r="G268" s="38">
        <v>2660.0</v>
      </c>
      <c r="H268" s="38" t="s">
        <v>8</v>
      </c>
      <c r="I268" s="40"/>
      <c r="J268" s="40"/>
      <c r="K268" s="35"/>
      <c r="L268" s="35" t="s">
        <v>78</v>
      </c>
      <c r="M268" s="35" t="s">
        <v>79</v>
      </c>
      <c r="N268" s="35"/>
    </row>
    <row r="269" ht="16.5" customHeight="1">
      <c r="A269" s="28" t="s">
        <v>277</v>
      </c>
      <c r="B269" s="29">
        <v>44946.131180972225</v>
      </c>
      <c r="C269" s="28" t="s">
        <v>6</v>
      </c>
      <c r="D269" s="28" t="s">
        <v>77</v>
      </c>
      <c r="E269" s="28">
        <v>2023.0</v>
      </c>
      <c r="F269" s="42">
        <v>44946.131180972225</v>
      </c>
      <c r="G269" s="31">
        <v>2385.0</v>
      </c>
      <c r="H269" s="31" t="s">
        <v>8</v>
      </c>
      <c r="I269" s="33"/>
      <c r="J269" s="33"/>
      <c r="K269" s="28"/>
      <c r="L269" s="28" t="s">
        <v>78</v>
      </c>
      <c r="M269" s="28" t="s">
        <v>79</v>
      </c>
      <c r="N269" s="28"/>
    </row>
    <row r="270" ht="16.5" customHeight="1">
      <c r="A270" s="35" t="s">
        <v>278</v>
      </c>
      <c r="B270" s="36">
        <v>44946.159777442124</v>
      </c>
      <c r="C270" s="35" t="s">
        <v>6</v>
      </c>
      <c r="D270" s="35" t="s">
        <v>77</v>
      </c>
      <c r="E270" s="35">
        <v>2023.0</v>
      </c>
      <c r="F270" s="43">
        <v>44946.159777442124</v>
      </c>
      <c r="G270" s="38">
        <v>2189.0</v>
      </c>
      <c r="H270" s="38" t="s">
        <v>8</v>
      </c>
      <c r="I270" s="40"/>
      <c r="J270" s="40"/>
      <c r="K270" s="35"/>
      <c r="L270" s="35" t="s">
        <v>78</v>
      </c>
      <c r="M270" s="35" t="s">
        <v>79</v>
      </c>
      <c r="N270" s="35"/>
    </row>
    <row r="271" ht="16.5" customHeight="1">
      <c r="A271" s="28" t="s">
        <v>279</v>
      </c>
      <c r="B271" s="29">
        <v>44946.186875914354</v>
      </c>
      <c r="C271" s="28" t="s">
        <v>6</v>
      </c>
      <c r="D271" s="28" t="s">
        <v>77</v>
      </c>
      <c r="E271" s="28">
        <v>2023.0</v>
      </c>
      <c r="F271" s="42">
        <v>44946.186875914354</v>
      </c>
      <c r="G271" s="31">
        <v>2400.0</v>
      </c>
      <c r="H271" s="31" t="s">
        <v>8</v>
      </c>
      <c r="I271" s="33"/>
      <c r="J271" s="33"/>
      <c r="K271" s="28"/>
      <c r="L271" s="28" t="s">
        <v>78</v>
      </c>
      <c r="M271" s="28" t="s">
        <v>79</v>
      </c>
      <c r="N271" s="28"/>
    </row>
    <row r="272" ht="16.5" customHeight="1">
      <c r="A272" s="35" t="s">
        <v>280</v>
      </c>
      <c r="B272" s="36">
        <v>44946.2054350463</v>
      </c>
      <c r="C272" s="35" t="s">
        <v>6</v>
      </c>
      <c r="D272" s="35" t="s">
        <v>77</v>
      </c>
      <c r="E272" s="35">
        <v>2023.0</v>
      </c>
      <c r="F272" s="43">
        <v>44946.2054350463</v>
      </c>
      <c r="G272" s="38">
        <v>2455.0</v>
      </c>
      <c r="H272" s="38" t="s">
        <v>8</v>
      </c>
      <c r="I272" s="40"/>
      <c r="J272" s="40"/>
      <c r="K272" s="35"/>
      <c r="L272" s="35" t="s">
        <v>78</v>
      </c>
      <c r="M272" s="35" t="s">
        <v>79</v>
      </c>
      <c r="N272" s="35"/>
    </row>
    <row r="273" ht="16.5" customHeight="1">
      <c r="A273" s="28" t="s">
        <v>281</v>
      </c>
      <c r="B273" s="29">
        <v>44946.227790902776</v>
      </c>
      <c r="C273" s="28" t="s">
        <v>6</v>
      </c>
      <c r="D273" s="28" t="s">
        <v>77</v>
      </c>
      <c r="E273" s="28">
        <v>2023.0</v>
      </c>
      <c r="F273" s="42">
        <v>44946.227790902776</v>
      </c>
      <c r="G273" s="31">
        <v>2469.0</v>
      </c>
      <c r="H273" s="31" t="s">
        <v>8</v>
      </c>
      <c r="I273" s="33"/>
      <c r="J273" s="33"/>
      <c r="K273" s="28"/>
      <c r="L273" s="28" t="s">
        <v>78</v>
      </c>
      <c r="M273" s="28" t="s">
        <v>79</v>
      </c>
      <c r="N273" s="28"/>
    </row>
    <row r="274" ht="16.5" customHeight="1">
      <c r="A274" s="35" t="s">
        <v>282</v>
      </c>
      <c r="B274" s="36">
        <v>44946.85891473379</v>
      </c>
      <c r="C274" s="35" t="s">
        <v>6</v>
      </c>
      <c r="D274" s="35" t="s">
        <v>77</v>
      </c>
      <c r="E274" s="35">
        <v>2023.0</v>
      </c>
      <c r="F274" s="43">
        <v>44946.85891473379</v>
      </c>
      <c r="G274" s="38">
        <v>2378.0</v>
      </c>
      <c r="H274" s="38" t="s">
        <v>8</v>
      </c>
      <c r="I274" s="40"/>
      <c r="J274" s="40"/>
      <c r="K274" s="35"/>
      <c r="L274" s="35" t="s">
        <v>78</v>
      </c>
      <c r="M274" s="35" t="s">
        <v>79</v>
      </c>
      <c r="N274" s="35"/>
    </row>
    <row r="275" ht="16.5" customHeight="1">
      <c r="A275" s="28" t="s">
        <v>283</v>
      </c>
      <c r="B275" s="29">
        <v>44946.883757337964</v>
      </c>
      <c r="C275" s="28" t="s">
        <v>6</v>
      </c>
      <c r="D275" s="28" t="s">
        <v>77</v>
      </c>
      <c r="E275" s="28">
        <v>2023.0</v>
      </c>
      <c r="F275" s="42">
        <v>44946.883757337964</v>
      </c>
      <c r="G275" s="31">
        <v>2626.0</v>
      </c>
      <c r="H275" s="31" t="s">
        <v>8</v>
      </c>
      <c r="I275" s="33"/>
      <c r="J275" s="33"/>
      <c r="K275" s="28"/>
      <c r="L275" s="28" t="s">
        <v>78</v>
      </c>
      <c r="M275" s="28" t="s">
        <v>79</v>
      </c>
      <c r="N275" s="28"/>
    </row>
    <row r="276" ht="16.5" customHeight="1">
      <c r="A276" s="35" t="s">
        <v>81</v>
      </c>
      <c r="B276" s="36">
        <v>44946.952566782405</v>
      </c>
      <c r="C276" s="35" t="s">
        <v>6</v>
      </c>
      <c r="D276" s="35" t="s">
        <v>77</v>
      </c>
      <c r="E276" s="35">
        <v>2023.0</v>
      </c>
      <c r="F276" s="43">
        <v>44946.952566782405</v>
      </c>
      <c r="G276" s="38">
        <v>2462.0</v>
      </c>
      <c r="H276" s="38" t="s">
        <v>8</v>
      </c>
      <c r="I276" s="40"/>
      <c r="J276" s="40"/>
      <c r="K276" s="35"/>
      <c r="L276" s="35" t="s">
        <v>78</v>
      </c>
      <c r="M276" s="35" t="s">
        <v>79</v>
      </c>
      <c r="N276" s="35"/>
    </row>
    <row r="277" ht="16.5" customHeight="1">
      <c r="A277" s="28" t="s">
        <v>94</v>
      </c>
      <c r="B277" s="29">
        <v>44946.97425971065</v>
      </c>
      <c r="C277" s="28" t="s">
        <v>6</v>
      </c>
      <c r="D277" s="28" t="s">
        <v>77</v>
      </c>
      <c r="E277" s="28">
        <v>2023.0</v>
      </c>
      <c r="F277" s="42">
        <v>44946.97425971065</v>
      </c>
      <c r="G277" s="31">
        <v>2339.0</v>
      </c>
      <c r="H277" s="31" t="s">
        <v>8</v>
      </c>
      <c r="I277" s="33"/>
      <c r="J277" s="33"/>
      <c r="K277" s="28"/>
      <c r="L277" s="28" t="s">
        <v>78</v>
      </c>
      <c r="M277" s="28" t="s">
        <v>79</v>
      </c>
      <c r="N277" s="28"/>
    </row>
    <row r="278" ht="16.5" customHeight="1">
      <c r="A278" s="35" t="s">
        <v>93</v>
      </c>
      <c r="B278" s="36">
        <v>44947.01636334491</v>
      </c>
      <c r="C278" s="35" t="s">
        <v>21</v>
      </c>
      <c r="D278" s="35" t="s">
        <v>77</v>
      </c>
      <c r="E278" s="35">
        <v>2023.0</v>
      </c>
      <c r="F278" s="43">
        <v>44947.01636334491</v>
      </c>
      <c r="G278" s="38">
        <v>2421.0</v>
      </c>
      <c r="H278" s="38" t="s">
        <v>8</v>
      </c>
      <c r="I278" s="40"/>
      <c r="J278" s="40"/>
      <c r="K278" s="35"/>
      <c r="L278" s="35" t="s">
        <v>78</v>
      </c>
      <c r="M278" s="35" t="s">
        <v>79</v>
      </c>
      <c r="N278" s="35"/>
    </row>
    <row r="279" ht="16.5" customHeight="1">
      <c r="A279" s="28" t="s">
        <v>93</v>
      </c>
      <c r="B279" s="29">
        <v>44947.04043934028</v>
      </c>
      <c r="C279" s="28" t="s">
        <v>21</v>
      </c>
      <c r="D279" s="28" t="s">
        <v>77</v>
      </c>
      <c r="E279" s="28">
        <v>2023.0</v>
      </c>
      <c r="F279" s="42">
        <v>44947.04043934028</v>
      </c>
      <c r="G279" s="31">
        <v>2421.0</v>
      </c>
      <c r="H279" s="31" t="s">
        <v>8</v>
      </c>
      <c r="I279" s="33"/>
      <c r="J279" s="33"/>
      <c r="K279" s="28"/>
      <c r="L279" s="28" t="s">
        <v>78</v>
      </c>
      <c r="M279" s="28" t="s">
        <v>79</v>
      </c>
      <c r="N279" s="28"/>
    </row>
    <row r="280" ht="16.5" customHeight="1">
      <c r="A280" s="35" t="s">
        <v>284</v>
      </c>
      <c r="B280" s="36">
        <v>44947.08399989583</v>
      </c>
      <c r="C280" s="35" t="s">
        <v>21</v>
      </c>
      <c r="D280" s="35" t="s">
        <v>77</v>
      </c>
      <c r="E280" s="35">
        <v>2023.0</v>
      </c>
      <c r="F280" s="43">
        <v>44947.08399989583</v>
      </c>
      <c r="G280" s="38">
        <v>2392.0</v>
      </c>
      <c r="H280" s="38" t="s">
        <v>8</v>
      </c>
      <c r="I280" s="40"/>
      <c r="J280" s="40"/>
      <c r="K280" s="35"/>
      <c r="L280" s="35" t="s">
        <v>78</v>
      </c>
      <c r="M280" s="35" t="s">
        <v>79</v>
      </c>
      <c r="N280" s="35"/>
    </row>
    <row r="281" ht="16.5" customHeight="1">
      <c r="A281" s="28" t="s">
        <v>285</v>
      </c>
      <c r="B281" s="29">
        <v>44947.10959173611</v>
      </c>
      <c r="C281" s="28" t="s">
        <v>21</v>
      </c>
      <c r="D281" s="28" t="s">
        <v>77</v>
      </c>
      <c r="E281" s="28">
        <v>2023.0</v>
      </c>
      <c r="F281" s="42">
        <v>44947.10959173611</v>
      </c>
      <c r="G281" s="31">
        <v>2384.0</v>
      </c>
      <c r="H281" s="31" t="s">
        <v>8</v>
      </c>
      <c r="I281" s="33"/>
      <c r="J281" s="33"/>
      <c r="K281" s="28"/>
      <c r="L281" s="28" t="s">
        <v>78</v>
      </c>
      <c r="M281" s="28" t="s">
        <v>79</v>
      </c>
      <c r="N281" s="28"/>
    </row>
    <row r="282" ht="16.5" customHeight="1">
      <c r="A282" s="35" t="s">
        <v>286</v>
      </c>
      <c r="B282" s="36">
        <v>44947.123983576384</v>
      </c>
      <c r="C282" s="35" t="s">
        <v>21</v>
      </c>
      <c r="D282" s="35" t="s">
        <v>77</v>
      </c>
      <c r="E282" s="35">
        <v>2023.0</v>
      </c>
      <c r="F282" s="43">
        <v>44947.123983576384</v>
      </c>
      <c r="G282" s="38">
        <v>2233.0</v>
      </c>
      <c r="H282" s="38" t="s">
        <v>8</v>
      </c>
      <c r="I282" s="40"/>
      <c r="J282" s="40"/>
      <c r="K282" s="35"/>
      <c r="L282" s="35" t="s">
        <v>78</v>
      </c>
      <c r="M282" s="35" t="s">
        <v>79</v>
      </c>
      <c r="N282" s="35"/>
    </row>
    <row r="283" ht="16.5" customHeight="1">
      <c r="A283" s="28" t="s">
        <v>240</v>
      </c>
      <c r="B283" s="29">
        <v>44947.12475570602</v>
      </c>
      <c r="C283" s="28" t="s">
        <v>21</v>
      </c>
      <c r="D283" s="28" t="s">
        <v>77</v>
      </c>
      <c r="E283" s="28">
        <v>2023.0</v>
      </c>
      <c r="F283" s="42">
        <v>44947.12475570602</v>
      </c>
      <c r="G283" s="31">
        <v>2389.0</v>
      </c>
      <c r="H283" s="31" t="s">
        <v>8</v>
      </c>
      <c r="I283" s="33"/>
      <c r="J283" s="33"/>
      <c r="K283" s="28"/>
      <c r="L283" s="28" t="s">
        <v>78</v>
      </c>
      <c r="M283" s="28" t="s">
        <v>79</v>
      </c>
      <c r="N283" s="28"/>
    </row>
    <row r="284" ht="16.5" customHeight="1">
      <c r="A284" s="35" t="s">
        <v>101</v>
      </c>
      <c r="B284" s="36">
        <v>44947.14226335648</v>
      </c>
      <c r="C284" s="35" t="s">
        <v>21</v>
      </c>
      <c r="D284" s="35" t="s">
        <v>77</v>
      </c>
      <c r="E284" s="35">
        <v>2023.0</v>
      </c>
      <c r="F284" s="43">
        <v>44947.14226335648</v>
      </c>
      <c r="G284" s="38">
        <v>2659.0</v>
      </c>
      <c r="H284" s="38" t="s">
        <v>8</v>
      </c>
      <c r="I284" s="40"/>
      <c r="J284" s="40"/>
      <c r="K284" s="35"/>
      <c r="L284" s="35" t="s">
        <v>78</v>
      </c>
      <c r="M284" s="35" t="s">
        <v>79</v>
      </c>
      <c r="N284" s="35"/>
    </row>
    <row r="285" ht="16.5" customHeight="1">
      <c r="A285" s="28" t="s">
        <v>92</v>
      </c>
      <c r="B285" s="29">
        <v>44947.15542594907</v>
      </c>
      <c r="C285" s="28" t="s">
        <v>21</v>
      </c>
      <c r="D285" s="28" t="s">
        <v>77</v>
      </c>
      <c r="E285" s="28">
        <v>2023.0</v>
      </c>
      <c r="F285" s="42">
        <v>44947.15542594907</v>
      </c>
      <c r="G285" s="31">
        <v>2457.0</v>
      </c>
      <c r="H285" s="31" t="s">
        <v>8</v>
      </c>
      <c r="I285" s="33"/>
      <c r="J285" s="33"/>
      <c r="K285" s="28"/>
      <c r="L285" s="28" t="s">
        <v>78</v>
      </c>
      <c r="M285" s="28" t="s">
        <v>79</v>
      </c>
      <c r="N285" s="28"/>
    </row>
    <row r="286" ht="16.5" customHeight="1">
      <c r="A286" s="35" t="s">
        <v>99</v>
      </c>
      <c r="B286" s="36">
        <v>44947.17966435185</v>
      </c>
      <c r="C286" s="35" t="s">
        <v>21</v>
      </c>
      <c r="D286" s="35" t="s">
        <v>77</v>
      </c>
      <c r="E286" s="35">
        <v>2023.0</v>
      </c>
      <c r="F286" s="43">
        <v>44947.17966435185</v>
      </c>
      <c r="G286" s="38">
        <v>2458.0</v>
      </c>
      <c r="H286" s="38" t="s">
        <v>8</v>
      </c>
      <c r="I286" s="40"/>
      <c r="J286" s="40"/>
      <c r="K286" s="35"/>
      <c r="L286" s="35" t="s">
        <v>78</v>
      </c>
      <c r="M286" s="35" t="s">
        <v>79</v>
      </c>
      <c r="N286" s="35"/>
    </row>
    <row r="287" ht="16.5" customHeight="1">
      <c r="A287" s="28" t="s">
        <v>90</v>
      </c>
      <c r="B287" s="29">
        <v>44947.18005458333</v>
      </c>
      <c r="C287" s="28" t="s">
        <v>21</v>
      </c>
      <c r="D287" s="28" t="s">
        <v>77</v>
      </c>
      <c r="E287" s="28">
        <v>2023.0</v>
      </c>
      <c r="F287" s="42">
        <v>44947.18005458333</v>
      </c>
      <c r="G287" s="31">
        <v>2572.0</v>
      </c>
      <c r="H287" s="31" t="s">
        <v>8</v>
      </c>
      <c r="I287" s="33"/>
      <c r="J287" s="33"/>
      <c r="K287" s="28"/>
      <c r="L287" s="28" t="s">
        <v>78</v>
      </c>
      <c r="M287" s="28" t="s">
        <v>79</v>
      </c>
      <c r="N287" s="28"/>
    </row>
    <row r="288" ht="16.5" customHeight="1">
      <c r="A288" s="35" t="s">
        <v>95</v>
      </c>
      <c r="B288" s="36">
        <v>44947.28826255787</v>
      </c>
      <c r="C288" s="35" t="s">
        <v>21</v>
      </c>
      <c r="D288" s="35" t="s">
        <v>77</v>
      </c>
      <c r="E288" s="35">
        <v>2023.0</v>
      </c>
      <c r="F288" s="43">
        <v>44947.28826255787</v>
      </c>
      <c r="G288" s="38">
        <v>2671.0</v>
      </c>
      <c r="H288" s="38" t="s">
        <v>8</v>
      </c>
      <c r="I288" s="40"/>
      <c r="J288" s="40"/>
      <c r="K288" s="35"/>
      <c r="L288" s="35" t="s">
        <v>78</v>
      </c>
      <c r="M288" s="35" t="s">
        <v>79</v>
      </c>
      <c r="N288" s="35"/>
    </row>
    <row r="289" ht="16.5" customHeight="1">
      <c r="A289" s="28" t="s">
        <v>111</v>
      </c>
      <c r="B289" s="29">
        <v>44947.34690822917</v>
      </c>
      <c r="C289" s="28" t="s">
        <v>21</v>
      </c>
      <c r="D289" s="28" t="s">
        <v>77</v>
      </c>
      <c r="E289" s="28">
        <v>2023.0</v>
      </c>
      <c r="F289" s="42">
        <v>44947.34690822917</v>
      </c>
      <c r="G289" s="31">
        <v>2262.0</v>
      </c>
      <c r="H289" s="31" t="s">
        <v>8</v>
      </c>
      <c r="I289" s="33"/>
      <c r="J289" s="33"/>
      <c r="K289" s="28"/>
      <c r="L289" s="28" t="s">
        <v>78</v>
      </c>
      <c r="M289" s="28" t="s">
        <v>79</v>
      </c>
      <c r="N289" s="28"/>
    </row>
    <row r="290" ht="16.5" customHeight="1">
      <c r="A290" s="35" t="s">
        <v>287</v>
      </c>
      <c r="B290" s="36">
        <v>44947.39701674768</v>
      </c>
      <c r="C290" s="35" t="s">
        <v>21</v>
      </c>
      <c r="D290" s="35" t="s">
        <v>77</v>
      </c>
      <c r="E290" s="35">
        <v>2023.0</v>
      </c>
      <c r="F290" s="43">
        <v>44947.39701674768</v>
      </c>
      <c r="G290" s="38" t="s">
        <v>288</v>
      </c>
      <c r="H290" s="38" t="s">
        <v>8</v>
      </c>
      <c r="I290" s="40"/>
      <c r="J290" s="40"/>
      <c r="K290" s="35"/>
      <c r="L290" s="35" t="s">
        <v>78</v>
      </c>
      <c r="M290" s="35" t="s">
        <v>79</v>
      </c>
      <c r="N290" s="35"/>
    </row>
    <row r="291" ht="16.5" customHeight="1">
      <c r="A291" s="28" t="s">
        <v>289</v>
      </c>
      <c r="B291" s="29">
        <v>44947.6214124074</v>
      </c>
      <c r="C291" s="28" t="s">
        <v>21</v>
      </c>
      <c r="D291" s="28" t="s">
        <v>77</v>
      </c>
      <c r="E291" s="28">
        <v>2023.0</v>
      </c>
      <c r="F291" s="42">
        <v>44947.6214124074</v>
      </c>
      <c r="G291" s="31">
        <v>2744.0</v>
      </c>
      <c r="H291" s="31" t="s">
        <v>8</v>
      </c>
      <c r="I291" s="33"/>
      <c r="J291" s="33"/>
      <c r="K291" s="28"/>
      <c r="L291" s="28" t="s">
        <v>78</v>
      </c>
      <c r="M291" s="28" t="s">
        <v>79</v>
      </c>
      <c r="N291" s="28"/>
    </row>
    <row r="292" ht="16.5" customHeight="1">
      <c r="A292" s="35" t="s">
        <v>290</v>
      </c>
      <c r="B292" s="36">
        <v>44947.63599568287</v>
      </c>
      <c r="C292" s="35" t="s">
        <v>21</v>
      </c>
      <c r="D292" s="35" t="s">
        <v>77</v>
      </c>
      <c r="E292" s="35">
        <v>2023.0</v>
      </c>
      <c r="F292" s="43">
        <v>44947.63599568287</v>
      </c>
      <c r="G292" s="38">
        <v>682.0</v>
      </c>
      <c r="H292" s="38" t="s">
        <v>8</v>
      </c>
      <c r="I292" s="40"/>
      <c r="J292" s="40"/>
      <c r="K292" s="35"/>
      <c r="L292" s="35" t="s">
        <v>78</v>
      </c>
      <c r="M292" s="35" t="s">
        <v>79</v>
      </c>
      <c r="N292" s="35"/>
    </row>
    <row r="293" ht="16.5" customHeight="1">
      <c r="A293" s="28" t="s">
        <v>291</v>
      </c>
      <c r="B293" s="29">
        <v>44947.673347812495</v>
      </c>
      <c r="C293" s="28" t="s">
        <v>21</v>
      </c>
      <c r="D293" s="28" t="s">
        <v>77</v>
      </c>
      <c r="E293" s="28">
        <v>2023.0</v>
      </c>
      <c r="F293" s="42">
        <v>44947.673347812495</v>
      </c>
      <c r="G293" s="31">
        <v>2701.0</v>
      </c>
      <c r="H293" s="31" t="s">
        <v>8</v>
      </c>
      <c r="I293" s="33"/>
      <c r="J293" s="33"/>
      <c r="K293" s="28"/>
      <c r="L293" s="28" t="s">
        <v>78</v>
      </c>
      <c r="M293" s="28" t="s">
        <v>79</v>
      </c>
      <c r="N293" s="28"/>
    </row>
    <row r="294" ht="16.5" customHeight="1">
      <c r="A294" s="35" t="s">
        <v>292</v>
      </c>
      <c r="B294" s="36">
        <v>44947.72741422454</v>
      </c>
      <c r="C294" s="35" t="s">
        <v>21</v>
      </c>
      <c r="D294" s="35" t="s">
        <v>77</v>
      </c>
      <c r="E294" s="35">
        <v>2023.0</v>
      </c>
      <c r="F294" s="43">
        <v>44947.72741422454</v>
      </c>
      <c r="G294" s="38">
        <v>2741.0</v>
      </c>
      <c r="H294" s="38" t="s">
        <v>8</v>
      </c>
      <c r="I294" s="40"/>
      <c r="J294" s="40"/>
      <c r="K294" s="35"/>
      <c r="L294" s="35" t="s">
        <v>78</v>
      </c>
      <c r="M294" s="35" t="s">
        <v>79</v>
      </c>
      <c r="N294" s="35"/>
    </row>
    <row r="295" ht="16.5" customHeight="1">
      <c r="A295" s="28" t="s">
        <v>293</v>
      </c>
      <c r="B295" s="29">
        <v>44947.73457480324</v>
      </c>
      <c r="C295" s="28" t="s">
        <v>21</v>
      </c>
      <c r="D295" s="28" t="s">
        <v>77</v>
      </c>
      <c r="E295" s="28">
        <v>2023.0</v>
      </c>
      <c r="F295" s="42">
        <v>44947.73457480324</v>
      </c>
      <c r="G295" s="31">
        <v>1343.0</v>
      </c>
      <c r="H295" s="31" t="s">
        <v>8</v>
      </c>
      <c r="I295" s="33"/>
      <c r="J295" s="33"/>
      <c r="K295" s="28"/>
      <c r="L295" s="28" t="s">
        <v>78</v>
      </c>
      <c r="M295" s="28" t="s">
        <v>79</v>
      </c>
      <c r="N295" s="28"/>
    </row>
    <row r="296" ht="16.5" customHeight="1">
      <c r="A296" s="35" t="s">
        <v>294</v>
      </c>
      <c r="B296" s="36">
        <v>44947.748591689815</v>
      </c>
      <c r="C296" s="35" t="s">
        <v>21</v>
      </c>
      <c r="D296" s="35" t="s">
        <v>77</v>
      </c>
      <c r="E296" s="35">
        <v>2023.0</v>
      </c>
      <c r="F296" s="43">
        <v>44947.748591689815</v>
      </c>
      <c r="G296" s="38">
        <v>1288.0</v>
      </c>
      <c r="H296" s="38" t="s">
        <v>8</v>
      </c>
      <c r="I296" s="40"/>
      <c r="J296" s="40"/>
      <c r="K296" s="35"/>
      <c r="L296" s="35" t="s">
        <v>78</v>
      </c>
      <c r="M296" s="35" t="s">
        <v>79</v>
      </c>
      <c r="N296" s="35"/>
    </row>
    <row r="297" ht="16.5" customHeight="1">
      <c r="A297" s="28" t="s">
        <v>169</v>
      </c>
      <c r="B297" s="29">
        <v>44947.78261702546</v>
      </c>
      <c r="C297" s="28" t="s">
        <v>21</v>
      </c>
      <c r="D297" s="28" t="s">
        <v>77</v>
      </c>
      <c r="E297" s="28">
        <v>2023.0</v>
      </c>
      <c r="F297" s="42">
        <v>44947.78261702546</v>
      </c>
      <c r="G297" s="31">
        <v>2422.0</v>
      </c>
      <c r="H297" s="31" t="s">
        <v>8</v>
      </c>
      <c r="I297" s="33"/>
      <c r="J297" s="33"/>
      <c r="K297" s="28"/>
      <c r="L297" s="28" t="s">
        <v>78</v>
      </c>
      <c r="M297" s="28" t="s">
        <v>79</v>
      </c>
      <c r="N297" s="28"/>
    </row>
    <row r="298" ht="16.5" customHeight="1">
      <c r="A298" s="35" t="s">
        <v>105</v>
      </c>
      <c r="B298" s="36">
        <v>44947.85706199074</v>
      </c>
      <c r="C298" s="35" t="s">
        <v>21</v>
      </c>
      <c r="D298" s="35" t="s">
        <v>77</v>
      </c>
      <c r="E298" s="35">
        <v>2023.0</v>
      </c>
      <c r="F298" s="43">
        <v>44947.85706199074</v>
      </c>
      <c r="G298" s="38">
        <v>2238.0</v>
      </c>
      <c r="H298" s="38" t="s">
        <v>8</v>
      </c>
      <c r="I298" s="40"/>
      <c r="J298" s="40"/>
      <c r="K298" s="35"/>
      <c r="L298" s="35" t="s">
        <v>78</v>
      </c>
      <c r="M298" s="35" t="s">
        <v>79</v>
      </c>
      <c r="N298" s="35"/>
    </row>
    <row r="299" ht="16.5" customHeight="1">
      <c r="A299" s="28" t="s">
        <v>130</v>
      </c>
      <c r="B299" s="29">
        <v>44947.857290914355</v>
      </c>
      <c r="C299" s="28" t="s">
        <v>21</v>
      </c>
      <c r="D299" s="28" t="s">
        <v>77</v>
      </c>
      <c r="E299" s="28">
        <v>2023.0</v>
      </c>
      <c r="F299" s="42">
        <v>44947.857290914355</v>
      </c>
      <c r="G299" s="31">
        <v>2180.0</v>
      </c>
      <c r="H299" s="31" t="s">
        <v>8</v>
      </c>
      <c r="I299" s="33"/>
      <c r="J299" s="33"/>
      <c r="K299" s="28"/>
      <c r="L299" s="28" t="s">
        <v>78</v>
      </c>
      <c r="M299" s="28" t="s">
        <v>79</v>
      </c>
      <c r="N299" s="28"/>
    </row>
    <row r="300" ht="16.5" customHeight="1">
      <c r="A300" s="35" t="s">
        <v>295</v>
      </c>
      <c r="B300" s="36">
        <v>44949.30748725694</v>
      </c>
      <c r="C300" s="35" t="s">
        <v>118</v>
      </c>
      <c r="D300" s="35" t="s">
        <v>77</v>
      </c>
      <c r="E300" s="35">
        <v>2023.0</v>
      </c>
      <c r="F300" s="43">
        <v>44949.30748725694</v>
      </c>
      <c r="G300" s="38">
        <v>2508.0</v>
      </c>
      <c r="H300" s="38" t="s">
        <v>8</v>
      </c>
      <c r="I300" s="40"/>
      <c r="J300" s="40"/>
      <c r="K300" s="35"/>
      <c r="L300" s="35" t="s">
        <v>78</v>
      </c>
      <c r="M300" s="35" t="s">
        <v>79</v>
      </c>
      <c r="N300" s="35"/>
    </row>
    <row r="301" ht="16.5" customHeight="1">
      <c r="A301" s="28" t="s">
        <v>237</v>
      </c>
      <c r="B301" s="29">
        <v>44949.337127453706</v>
      </c>
      <c r="C301" s="28" t="s">
        <v>118</v>
      </c>
      <c r="D301" s="28" t="s">
        <v>77</v>
      </c>
      <c r="E301" s="28">
        <v>2023.0</v>
      </c>
      <c r="F301" s="42">
        <v>44949.337127453706</v>
      </c>
      <c r="G301" s="31" t="s">
        <v>238</v>
      </c>
      <c r="H301" s="31" t="s">
        <v>8</v>
      </c>
      <c r="I301" s="33"/>
      <c r="J301" s="33"/>
      <c r="K301" s="28"/>
      <c r="L301" s="28" t="s">
        <v>78</v>
      </c>
      <c r="M301" s="28" t="s">
        <v>79</v>
      </c>
      <c r="N301" s="28"/>
    </row>
    <row r="302" ht="16.5" customHeight="1">
      <c r="A302" s="35" t="s">
        <v>179</v>
      </c>
      <c r="B302" s="36">
        <v>44949.87332712963</v>
      </c>
      <c r="C302" s="35" t="s">
        <v>118</v>
      </c>
      <c r="D302" s="35" t="s">
        <v>77</v>
      </c>
      <c r="E302" s="35">
        <v>2023.0</v>
      </c>
      <c r="F302" s="43">
        <v>44949.87332712963</v>
      </c>
      <c r="G302" s="38">
        <v>2204.0</v>
      </c>
      <c r="H302" s="38" t="s">
        <v>8</v>
      </c>
      <c r="I302" s="40"/>
      <c r="J302" s="40"/>
      <c r="K302" s="35"/>
      <c r="L302" s="35" t="s">
        <v>78</v>
      </c>
      <c r="M302" s="35" t="s">
        <v>79</v>
      </c>
      <c r="N302" s="35"/>
    </row>
    <row r="303" ht="16.5" customHeight="1">
      <c r="A303" s="28" t="s">
        <v>296</v>
      </c>
      <c r="B303" s="29">
        <v>44949.873635972224</v>
      </c>
      <c r="C303" s="28" t="s">
        <v>118</v>
      </c>
      <c r="D303" s="28" t="s">
        <v>77</v>
      </c>
      <c r="E303" s="28">
        <v>2023.0</v>
      </c>
      <c r="F303" s="42">
        <v>44949.873635972224</v>
      </c>
      <c r="G303" s="31">
        <v>2383.0</v>
      </c>
      <c r="H303" s="31" t="s">
        <v>8</v>
      </c>
      <c r="I303" s="33"/>
      <c r="J303" s="33"/>
      <c r="K303" s="28"/>
      <c r="L303" s="28" t="s">
        <v>78</v>
      </c>
      <c r="M303" s="28" t="s">
        <v>79</v>
      </c>
      <c r="N303" s="28"/>
    </row>
    <row r="304" ht="16.5" customHeight="1">
      <c r="A304" s="35" t="s">
        <v>297</v>
      </c>
      <c r="B304" s="36">
        <v>44949.9014549537</v>
      </c>
      <c r="C304" s="35" t="s">
        <v>118</v>
      </c>
      <c r="D304" s="35" t="s">
        <v>77</v>
      </c>
      <c r="E304" s="35">
        <v>2023.0</v>
      </c>
      <c r="F304" s="43">
        <v>44949.9014549537</v>
      </c>
      <c r="G304" s="38">
        <v>2230.0</v>
      </c>
      <c r="H304" s="38" t="s">
        <v>8</v>
      </c>
      <c r="I304" s="40"/>
      <c r="J304" s="40"/>
      <c r="K304" s="35"/>
      <c r="L304" s="35" t="s">
        <v>78</v>
      </c>
      <c r="M304" s="35" t="s">
        <v>79</v>
      </c>
      <c r="N304" s="35"/>
    </row>
    <row r="305" ht="16.5" customHeight="1">
      <c r="A305" s="28" t="s">
        <v>103</v>
      </c>
      <c r="B305" s="29">
        <v>44949.93294195602</v>
      </c>
      <c r="C305" s="28" t="s">
        <v>118</v>
      </c>
      <c r="D305" s="28" t="s">
        <v>77</v>
      </c>
      <c r="E305" s="28">
        <v>2023.0</v>
      </c>
      <c r="F305" s="42">
        <v>44949.93294195602</v>
      </c>
      <c r="G305" s="31">
        <v>2273.0</v>
      </c>
      <c r="H305" s="31" t="s">
        <v>8</v>
      </c>
      <c r="I305" s="33"/>
      <c r="J305" s="33"/>
      <c r="K305" s="28"/>
      <c r="L305" s="28" t="s">
        <v>78</v>
      </c>
      <c r="M305" s="28" t="s">
        <v>79</v>
      </c>
      <c r="N305" s="28"/>
    </row>
    <row r="306" ht="16.5" customHeight="1">
      <c r="A306" s="35" t="s">
        <v>112</v>
      </c>
      <c r="B306" s="36">
        <v>44949.94630512732</v>
      </c>
      <c r="C306" s="35" t="s">
        <v>118</v>
      </c>
      <c r="D306" s="35" t="s">
        <v>77</v>
      </c>
      <c r="E306" s="35">
        <v>2023.0</v>
      </c>
      <c r="F306" s="43">
        <v>44949.94630512732</v>
      </c>
      <c r="G306" s="38">
        <v>2423.0</v>
      </c>
      <c r="H306" s="38" t="s">
        <v>8</v>
      </c>
      <c r="I306" s="40"/>
      <c r="J306" s="40"/>
      <c r="K306" s="35"/>
      <c r="L306" s="35" t="s">
        <v>78</v>
      </c>
      <c r="M306" s="35" t="s">
        <v>79</v>
      </c>
      <c r="N306" s="35"/>
    </row>
    <row r="307" ht="16.5" customHeight="1">
      <c r="A307" s="28" t="s">
        <v>139</v>
      </c>
      <c r="B307" s="29">
        <v>44949.95618420139</v>
      </c>
      <c r="C307" s="28" t="s">
        <v>118</v>
      </c>
      <c r="D307" s="28" t="s">
        <v>77</v>
      </c>
      <c r="E307" s="28">
        <v>2023.0</v>
      </c>
      <c r="F307" s="42">
        <v>44949.95618420139</v>
      </c>
      <c r="G307" s="31">
        <v>2635.0</v>
      </c>
      <c r="H307" s="31" t="s">
        <v>8</v>
      </c>
      <c r="I307" s="33"/>
      <c r="J307" s="33"/>
      <c r="K307" s="28"/>
      <c r="L307" s="28" t="s">
        <v>78</v>
      </c>
      <c r="M307" s="28" t="s">
        <v>79</v>
      </c>
      <c r="N307" s="28"/>
    </row>
    <row r="308" ht="16.5" customHeight="1">
      <c r="A308" s="35" t="s">
        <v>147</v>
      </c>
      <c r="B308" s="36">
        <v>44949.968475671296</v>
      </c>
      <c r="C308" s="35" t="s">
        <v>118</v>
      </c>
      <c r="D308" s="35" t="s">
        <v>77</v>
      </c>
      <c r="E308" s="35">
        <v>2023.0</v>
      </c>
      <c r="F308" s="43">
        <v>44949.968475671296</v>
      </c>
      <c r="G308" s="38">
        <v>2381.0</v>
      </c>
      <c r="H308" s="38" t="s">
        <v>8</v>
      </c>
      <c r="I308" s="40"/>
      <c r="J308" s="40"/>
      <c r="K308" s="35"/>
      <c r="L308" s="35" t="s">
        <v>78</v>
      </c>
      <c r="M308" s="35" t="s">
        <v>79</v>
      </c>
      <c r="N308" s="35"/>
    </row>
    <row r="309" ht="16.5" customHeight="1">
      <c r="A309" s="28" t="s">
        <v>157</v>
      </c>
      <c r="B309" s="29">
        <v>44949.978646585645</v>
      </c>
      <c r="C309" s="28" t="s">
        <v>118</v>
      </c>
      <c r="D309" s="28" t="s">
        <v>77</v>
      </c>
      <c r="E309" s="28">
        <v>2023.0</v>
      </c>
      <c r="F309" s="42">
        <v>44949.978646585645</v>
      </c>
      <c r="G309" s="31">
        <v>2366.0</v>
      </c>
      <c r="H309" s="31" t="s">
        <v>8</v>
      </c>
      <c r="I309" s="33"/>
      <c r="J309" s="33"/>
      <c r="K309" s="28"/>
      <c r="L309" s="28" t="s">
        <v>78</v>
      </c>
      <c r="M309" s="28" t="s">
        <v>79</v>
      </c>
      <c r="N309" s="28"/>
    </row>
    <row r="310" ht="16.5" customHeight="1">
      <c r="A310" s="35" t="s">
        <v>140</v>
      </c>
      <c r="B310" s="36">
        <v>44949.986855358795</v>
      </c>
      <c r="C310" s="35" t="s">
        <v>118</v>
      </c>
      <c r="D310" s="35" t="s">
        <v>77</v>
      </c>
      <c r="E310" s="35">
        <v>2023.0</v>
      </c>
      <c r="F310" s="43">
        <v>44949.986855358795</v>
      </c>
      <c r="G310" s="38">
        <v>2425.0</v>
      </c>
      <c r="H310" s="38" t="s">
        <v>8</v>
      </c>
      <c r="I310" s="40"/>
      <c r="J310" s="40"/>
      <c r="K310" s="35"/>
      <c r="L310" s="35" t="s">
        <v>78</v>
      </c>
      <c r="M310" s="35" t="s">
        <v>79</v>
      </c>
      <c r="N310" s="35"/>
    </row>
    <row r="311" ht="16.5" customHeight="1">
      <c r="A311" s="28" t="s">
        <v>144</v>
      </c>
      <c r="B311" s="29">
        <v>44950.00692748843</v>
      </c>
      <c r="C311" s="28" t="s">
        <v>298</v>
      </c>
      <c r="D311" s="28" t="s">
        <v>77</v>
      </c>
      <c r="E311" s="28">
        <v>2023.0</v>
      </c>
      <c r="F311" s="42">
        <v>44950.00692748843</v>
      </c>
      <c r="G311" s="31">
        <v>2253.0</v>
      </c>
      <c r="H311" s="31" t="s">
        <v>8</v>
      </c>
      <c r="I311" s="33"/>
      <c r="J311" s="33"/>
      <c r="K311" s="28"/>
      <c r="L311" s="28" t="s">
        <v>78</v>
      </c>
      <c r="M311" s="28" t="s">
        <v>79</v>
      </c>
      <c r="N311" s="28"/>
    </row>
    <row r="312" ht="16.5" customHeight="1">
      <c r="A312" s="35" t="s">
        <v>159</v>
      </c>
      <c r="B312" s="36">
        <v>44950.01582877315</v>
      </c>
      <c r="C312" s="35" t="s">
        <v>298</v>
      </c>
      <c r="D312" s="35" t="s">
        <v>77</v>
      </c>
      <c r="E312" s="35">
        <v>2023.0</v>
      </c>
      <c r="F312" s="43">
        <v>44950.01582877315</v>
      </c>
      <c r="G312" s="38">
        <v>2468.0</v>
      </c>
      <c r="H312" s="38" t="s">
        <v>8</v>
      </c>
      <c r="I312" s="40"/>
      <c r="J312" s="40"/>
      <c r="K312" s="35"/>
      <c r="L312" s="35" t="s">
        <v>78</v>
      </c>
      <c r="M312" s="35" t="s">
        <v>79</v>
      </c>
      <c r="N312" s="35"/>
    </row>
    <row r="313" ht="16.5" customHeight="1">
      <c r="A313" s="28" t="s">
        <v>135</v>
      </c>
      <c r="B313" s="29">
        <v>44950.034362210645</v>
      </c>
      <c r="C313" s="28" t="s">
        <v>298</v>
      </c>
      <c r="D313" s="28" t="s">
        <v>77</v>
      </c>
      <c r="E313" s="28">
        <v>2023.0</v>
      </c>
      <c r="F313" s="42">
        <v>44950.034362210645</v>
      </c>
      <c r="G313" s="31">
        <v>2195.0</v>
      </c>
      <c r="H313" s="31" t="s">
        <v>8</v>
      </c>
      <c r="I313" s="33"/>
      <c r="J313" s="33"/>
      <c r="K313" s="28"/>
      <c r="L313" s="28" t="s">
        <v>78</v>
      </c>
      <c r="M313" s="28" t="s">
        <v>79</v>
      </c>
      <c r="N313" s="28"/>
    </row>
    <row r="314" ht="16.5" customHeight="1">
      <c r="A314" s="35" t="s">
        <v>104</v>
      </c>
      <c r="B314" s="36">
        <v>44950.09756945602</v>
      </c>
      <c r="C314" s="35" t="s">
        <v>298</v>
      </c>
      <c r="D314" s="35" t="s">
        <v>77</v>
      </c>
      <c r="E314" s="35">
        <v>2023.0</v>
      </c>
      <c r="F314" s="43">
        <v>44950.09756945602</v>
      </c>
      <c r="G314" s="38">
        <v>2456.0</v>
      </c>
      <c r="H314" s="38" t="s">
        <v>8</v>
      </c>
      <c r="I314" s="40"/>
      <c r="J314" s="40"/>
      <c r="K314" s="35"/>
      <c r="L314" s="35" t="s">
        <v>78</v>
      </c>
      <c r="M314" s="35" t="s">
        <v>79</v>
      </c>
      <c r="N314" s="35"/>
    </row>
    <row r="315" ht="16.5" customHeight="1">
      <c r="A315" s="28" t="s">
        <v>110</v>
      </c>
      <c r="B315" s="29">
        <v>44950.114424444444</v>
      </c>
      <c r="C315" s="28" t="s">
        <v>298</v>
      </c>
      <c r="D315" s="28" t="s">
        <v>77</v>
      </c>
      <c r="E315" s="28">
        <v>2023.0</v>
      </c>
      <c r="F315" s="42">
        <v>44950.114424444444</v>
      </c>
      <c r="G315" s="31">
        <v>2355.0</v>
      </c>
      <c r="H315" s="31" t="s">
        <v>8</v>
      </c>
      <c r="I315" s="33"/>
      <c r="J315" s="33"/>
      <c r="K315" s="28"/>
      <c r="L315" s="28" t="s">
        <v>78</v>
      </c>
      <c r="M315" s="28" t="s">
        <v>79</v>
      </c>
      <c r="N315" s="28"/>
    </row>
    <row r="316" ht="16.5" customHeight="1">
      <c r="A316" s="35" t="s">
        <v>113</v>
      </c>
      <c r="B316" s="36">
        <v>44950.12307417824</v>
      </c>
      <c r="C316" s="35" t="s">
        <v>298</v>
      </c>
      <c r="D316" s="35" t="s">
        <v>77</v>
      </c>
      <c r="E316" s="35">
        <v>2023.0</v>
      </c>
      <c r="F316" s="43">
        <v>44950.12307417824</v>
      </c>
      <c r="G316" s="38">
        <v>2404.0</v>
      </c>
      <c r="H316" s="38" t="s">
        <v>8</v>
      </c>
      <c r="I316" s="40"/>
      <c r="J316" s="40"/>
      <c r="K316" s="35"/>
      <c r="L316" s="35" t="s">
        <v>78</v>
      </c>
      <c r="M316" s="35" t="s">
        <v>79</v>
      </c>
      <c r="N316" s="35"/>
    </row>
    <row r="317" ht="16.5" customHeight="1">
      <c r="A317" s="28" t="s">
        <v>154</v>
      </c>
      <c r="B317" s="29">
        <v>44950.13005209491</v>
      </c>
      <c r="C317" s="28" t="s">
        <v>298</v>
      </c>
      <c r="D317" s="28" t="s">
        <v>77</v>
      </c>
      <c r="E317" s="28">
        <v>2023.0</v>
      </c>
      <c r="F317" s="42">
        <v>44950.13005209491</v>
      </c>
      <c r="G317" s="31">
        <v>2515.0</v>
      </c>
      <c r="H317" s="31" t="s">
        <v>8</v>
      </c>
      <c r="I317" s="33"/>
      <c r="J317" s="33"/>
      <c r="K317" s="28"/>
      <c r="L317" s="28" t="s">
        <v>78</v>
      </c>
      <c r="M317" s="28" t="s">
        <v>79</v>
      </c>
      <c r="N317" s="28"/>
    </row>
    <row r="318" ht="16.5" customHeight="1">
      <c r="A318" s="35" t="s">
        <v>133</v>
      </c>
      <c r="B318" s="36">
        <v>44950.159748680555</v>
      </c>
      <c r="C318" s="35" t="s">
        <v>298</v>
      </c>
      <c r="D318" s="35" t="s">
        <v>77</v>
      </c>
      <c r="E318" s="35">
        <v>2023.0</v>
      </c>
      <c r="F318" s="43">
        <v>44950.159748680555</v>
      </c>
      <c r="G318" s="38">
        <v>2198.0</v>
      </c>
      <c r="H318" s="38" t="s">
        <v>8</v>
      </c>
      <c r="I318" s="40"/>
      <c r="J318" s="40"/>
      <c r="K318" s="35"/>
      <c r="L318" s="35" t="s">
        <v>78</v>
      </c>
      <c r="M318" s="35" t="s">
        <v>79</v>
      </c>
      <c r="N318" s="35"/>
    </row>
    <row r="319" ht="16.5" customHeight="1">
      <c r="A319" s="28" t="s">
        <v>134</v>
      </c>
      <c r="B319" s="29">
        <v>44950.16150216435</v>
      </c>
      <c r="C319" s="28" t="s">
        <v>298</v>
      </c>
      <c r="D319" s="28" t="s">
        <v>77</v>
      </c>
      <c r="E319" s="28">
        <v>2023.0</v>
      </c>
      <c r="F319" s="42">
        <v>44950.16150216435</v>
      </c>
      <c r="G319" s="31">
        <v>2200.0</v>
      </c>
      <c r="H319" s="31" t="s">
        <v>8</v>
      </c>
      <c r="I319" s="33"/>
      <c r="J319" s="33"/>
      <c r="K319" s="28"/>
      <c r="L319" s="28" t="s">
        <v>78</v>
      </c>
      <c r="M319" s="28" t="s">
        <v>79</v>
      </c>
      <c r="N319" s="28"/>
    </row>
    <row r="320" ht="16.5" customHeight="1">
      <c r="A320" s="35" t="s">
        <v>142</v>
      </c>
      <c r="B320" s="36">
        <v>44950.19152247685</v>
      </c>
      <c r="C320" s="35" t="s">
        <v>298</v>
      </c>
      <c r="D320" s="35" t="s">
        <v>77</v>
      </c>
      <c r="E320" s="35">
        <v>2023.0</v>
      </c>
      <c r="F320" s="43">
        <v>44950.19152247685</v>
      </c>
      <c r="G320" s="38">
        <v>2676.0</v>
      </c>
      <c r="H320" s="38" t="s">
        <v>8</v>
      </c>
      <c r="I320" s="40"/>
      <c r="J320" s="40"/>
      <c r="K320" s="35"/>
      <c r="L320" s="35" t="s">
        <v>78</v>
      </c>
      <c r="M320" s="35" t="s">
        <v>79</v>
      </c>
      <c r="N320" s="35"/>
    </row>
    <row r="321" ht="16.5" customHeight="1">
      <c r="A321" s="28" t="s">
        <v>150</v>
      </c>
      <c r="B321" s="29">
        <v>44950.214195486114</v>
      </c>
      <c r="C321" s="28" t="s">
        <v>298</v>
      </c>
      <c r="D321" s="28" t="s">
        <v>77</v>
      </c>
      <c r="E321" s="28">
        <v>2023.0</v>
      </c>
      <c r="F321" s="42">
        <v>44950.214195486114</v>
      </c>
      <c r="G321" s="31">
        <v>2482.0</v>
      </c>
      <c r="H321" s="31" t="s">
        <v>8</v>
      </c>
      <c r="I321" s="33"/>
      <c r="J321" s="33"/>
      <c r="K321" s="28"/>
      <c r="L321" s="28" t="s">
        <v>78</v>
      </c>
      <c r="M321" s="28" t="s">
        <v>79</v>
      </c>
      <c r="N321" s="28"/>
    </row>
    <row r="322" ht="16.5" customHeight="1">
      <c r="A322" s="35" t="s">
        <v>146</v>
      </c>
      <c r="B322" s="36">
        <v>44950.231985879625</v>
      </c>
      <c r="C322" s="35" t="s">
        <v>298</v>
      </c>
      <c r="D322" s="35" t="s">
        <v>77</v>
      </c>
      <c r="E322" s="35">
        <v>2023.0</v>
      </c>
      <c r="F322" s="43">
        <v>44950.231985879625</v>
      </c>
      <c r="G322" s="38">
        <v>2634.0</v>
      </c>
      <c r="H322" s="38" t="s">
        <v>8</v>
      </c>
      <c r="I322" s="40"/>
      <c r="J322" s="40"/>
      <c r="K322" s="35"/>
      <c r="L322" s="35" t="s">
        <v>78</v>
      </c>
      <c r="M322" s="35" t="s">
        <v>79</v>
      </c>
      <c r="N322" s="35"/>
    </row>
    <row r="323" ht="16.5" customHeight="1">
      <c r="A323" s="28" t="s">
        <v>299</v>
      </c>
      <c r="B323" s="29">
        <v>44933.25871527778</v>
      </c>
      <c r="C323" s="28" t="s">
        <v>120</v>
      </c>
      <c r="D323" s="28" t="s">
        <v>77</v>
      </c>
      <c r="E323" s="28">
        <v>2023.0</v>
      </c>
      <c r="F323" s="42">
        <v>44933.25871527778</v>
      </c>
      <c r="G323" s="31">
        <v>1200.0</v>
      </c>
      <c r="H323" s="31" t="s">
        <v>8</v>
      </c>
      <c r="I323" s="33"/>
      <c r="J323" s="33"/>
      <c r="K323" s="28"/>
      <c r="L323" s="28" t="s">
        <v>78</v>
      </c>
      <c r="M323" s="28" t="s">
        <v>79</v>
      </c>
      <c r="N323" s="28"/>
    </row>
    <row r="324" ht="16.5" customHeight="1">
      <c r="A324" s="35" t="s">
        <v>300</v>
      </c>
      <c r="B324" s="36">
        <v>44943.26020833333</v>
      </c>
      <c r="C324" s="35" t="s">
        <v>210</v>
      </c>
      <c r="D324" s="35" t="s">
        <v>77</v>
      </c>
      <c r="E324" s="35">
        <v>2023.0</v>
      </c>
      <c r="F324" s="43">
        <v>44943.26020833333</v>
      </c>
      <c r="G324" s="38">
        <v>496.0</v>
      </c>
      <c r="H324" s="38" t="s">
        <v>8</v>
      </c>
      <c r="I324" s="40"/>
      <c r="J324" s="40"/>
      <c r="K324" s="35"/>
      <c r="L324" s="35" t="s">
        <v>78</v>
      </c>
      <c r="M324" s="35" t="s">
        <v>79</v>
      </c>
      <c r="N324" s="35"/>
    </row>
    <row r="325" ht="16.5" customHeight="1">
      <c r="A325" s="28" t="s">
        <v>301</v>
      </c>
      <c r="B325" s="29">
        <v>44944.26133101852</v>
      </c>
      <c r="C325" s="28" t="s">
        <v>227</v>
      </c>
      <c r="D325" s="28" t="s">
        <v>77</v>
      </c>
      <c r="E325" s="28">
        <v>2023.0</v>
      </c>
      <c r="F325" s="42">
        <v>44944.26133101852</v>
      </c>
      <c r="G325" s="31">
        <v>2411.0</v>
      </c>
      <c r="H325" s="31" t="s">
        <v>8</v>
      </c>
      <c r="I325" s="33"/>
      <c r="J325" s="33"/>
      <c r="K325" s="28"/>
      <c r="L325" s="28" t="s">
        <v>78</v>
      </c>
      <c r="M325" s="28" t="s">
        <v>79</v>
      </c>
      <c r="N325" s="28"/>
    </row>
    <row r="326" ht="16.5" customHeight="1">
      <c r="A326" s="35" t="s">
        <v>163</v>
      </c>
      <c r="B326" s="36">
        <v>44950.32923908565</v>
      </c>
      <c r="C326" s="35" t="s">
        <v>298</v>
      </c>
      <c r="D326" s="35" t="s">
        <v>77</v>
      </c>
      <c r="E326" s="35">
        <v>2023.0</v>
      </c>
      <c r="F326" s="43">
        <v>44950.32923908565</v>
      </c>
      <c r="G326" s="38">
        <v>2637.0</v>
      </c>
      <c r="H326" s="38" t="s">
        <v>8</v>
      </c>
      <c r="I326" s="40"/>
      <c r="J326" s="40"/>
      <c r="K326" s="35"/>
      <c r="L326" s="35" t="s">
        <v>78</v>
      </c>
      <c r="M326" s="35" t="s">
        <v>79</v>
      </c>
      <c r="N326" s="35"/>
    </row>
    <row r="327" ht="16.5" customHeight="1">
      <c r="A327" s="28" t="s">
        <v>197</v>
      </c>
      <c r="B327" s="29">
        <v>44950.358945914355</v>
      </c>
      <c r="C327" s="28" t="s">
        <v>298</v>
      </c>
      <c r="D327" s="28" t="s">
        <v>77</v>
      </c>
      <c r="E327" s="28">
        <v>2023.0</v>
      </c>
      <c r="F327" s="42">
        <v>44950.358945914355</v>
      </c>
      <c r="G327" s="31">
        <v>2666.0</v>
      </c>
      <c r="H327" s="31" t="s">
        <v>8</v>
      </c>
      <c r="I327" s="33"/>
      <c r="J327" s="33"/>
      <c r="K327" s="28"/>
      <c r="L327" s="28" t="s">
        <v>78</v>
      </c>
      <c r="M327" s="28" t="s">
        <v>79</v>
      </c>
      <c r="N327" s="28"/>
    </row>
    <row r="328" ht="16.5" customHeight="1">
      <c r="A328" s="35" t="s">
        <v>302</v>
      </c>
      <c r="B328" s="36">
        <v>44950.58699498842</v>
      </c>
      <c r="C328" s="35" t="s">
        <v>298</v>
      </c>
      <c r="D328" s="35" t="s">
        <v>77</v>
      </c>
      <c r="E328" s="35">
        <v>2023.0</v>
      </c>
      <c r="F328" s="43">
        <v>44950.58699498842</v>
      </c>
      <c r="G328" s="38">
        <v>495.0</v>
      </c>
      <c r="H328" s="38" t="s">
        <v>40</v>
      </c>
      <c r="I328" s="40"/>
      <c r="J328" s="40"/>
      <c r="K328" s="35"/>
      <c r="L328" s="35" t="s">
        <v>78</v>
      </c>
      <c r="M328" s="35" t="s">
        <v>79</v>
      </c>
      <c r="N328" s="35"/>
    </row>
    <row r="329" ht="16.5" customHeight="1">
      <c r="A329" s="28" t="s">
        <v>303</v>
      </c>
      <c r="B329" s="29">
        <v>44950.62891114583</v>
      </c>
      <c r="C329" s="28" t="s">
        <v>298</v>
      </c>
      <c r="D329" s="28" t="s">
        <v>77</v>
      </c>
      <c r="E329" s="28">
        <v>2023.0</v>
      </c>
      <c r="F329" s="42">
        <v>44950.62891114583</v>
      </c>
      <c r="G329" s="31" t="s">
        <v>304</v>
      </c>
      <c r="H329" s="31" t="s">
        <v>8</v>
      </c>
      <c r="I329" s="33"/>
      <c r="J329" s="33"/>
      <c r="K329" s="28"/>
      <c r="L329" s="28" t="s">
        <v>78</v>
      </c>
      <c r="M329" s="28" t="s">
        <v>79</v>
      </c>
      <c r="N329" s="28"/>
    </row>
    <row r="330" ht="16.5" customHeight="1">
      <c r="A330" s="35" t="s">
        <v>75</v>
      </c>
      <c r="B330" s="36">
        <v>44950.850212060184</v>
      </c>
      <c r="C330" s="35" t="s">
        <v>298</v>
      </c>
      <c r="D330" s="35" t="s">
        <v>77</v>
      </c>
      <c r="E330" s="35">
        <v>2023.0</v>
      </c>
      <c r="F330" s="43">
        <v>44950.850212060184</v>
      </c>
      <c r="G330" s="38">
        <v>2450.0</v>
      </c>
      <c r="H330" s="38" t="s">
        <v>8</v>
      </c>
      <c r="I330" s="40"/>
      <c r="J330" s="40"/>
      <c r="K330" s="35"/>
      <c r="L330" s="35" t="s">
        <v>78</v>
      </c>
      <c r="M330" s="35" t="s">
        <v>79</v>
      </c>
      <c r="N330" s="35"/>
    </row>
    <row r="331" ht="16.5" customHeight="1">
      <c r="A331" s="28" t="s">
        <v>143</v>
      </c>
      <c r="B331" s="29">
        <v>44950.863826782406</v>
      </c>
      <c r="C331" s="28" t="s">
        <v>298</v>
      </c>
      <c r="D331" s="28" t="s">
        <v>77</v>
      </c>
      <c r="E331" s="28">
        <v>2023.0</v>
      </c>
      <c r="F331" s="42">
        <v>44950.863826782406</v>
      </c>
      <c r="G331" s="31">
        <v>2276.0</v>
      </c>
      <c r="H331" s="31" t="s">
        <v>8</v>
      </c>
      <c r="I331" s="33"/>
      <c r="J331" s="33"/>
      <c r="K331" s="28"/>
      <c r="L331" s="28" t="s">
        <v>78</v>
      </c>
      <c r="M331" s="28" t="s">
        <v>79</v>
      </c>
      <c r="N331" s="28"/>
    </row>
    <row r="332" ht="16.5" customHeight="1">
      <c r="A332" s="35" t="s">
        <v>239</v>
      </c>
      <c r="B332" s="36">
        <v>44950.90951415509</v>
      </c>
      <c r="C332" s="35" t="s">
        <v>298</v>
      </c>
      <c r="D332" s="35" t="s">
        <v>77</v>
      </c>
      <c r="E332" s="35">
        <v>2023.0</v>
      </c>
      <c r="F332" s="43">
        <v>44950.90951415509</v>
      </c>
      <c r="G332" s="38">
        <v>2205.0</v>
      </c>
      <c r="H332" s="38" t="s">
        <v>8</v>
      </c>
      <c r="I332" s="40"/>
      <c r="J332" s="40"/>
      <c r="K332" s="35"/>
      <c r="L332" s="35" t="s">
        <v>78</v>
      </c>
      <c r="M332" s="35" t="s">
        <v>79</v>
      </c>
      <c r="N332" s="35"/>
    </row>
    <row r="333" ht="16.5" customHeight="1">
      <c r="A333" s="28" t="s">
        <v>177</v>
      </c>
      <c r="B333" s="29">
        <v>44950.92131467593</v>
      </c>
      <c r="C333" s="28" t="s">
        <v>298</v>
      </c>
      <c r="D333" s="28" t="s">
        <v>77</v>
      </c>
      <c r="E333" s="28">
        <v>2023.0</v>
      </c>
      <c r="F333" s="42">
        <v>44950.92131467593</v>
      </c>
      <c r="G333" s="31">
        <v>2374.0</v>
      </c>
      <c r="H333" s="31" t="s">
        <v>8</v>
      </c>
      <c r="I333" s="33"/>
      <c r="J333" s="33"/>
      <c r="K333" s="28"/>
      <c r="L333" s="28" t="s">
        <v>78</v>
      </c>
      <c r="M333" s="28" t="s">
        <v>79</v>
      </c>
      <c r="N333" s="28"/>
    </row>
    <row r="334" ht="16.5" customHeight="1">
      <c r="A334" s="35" t="s">
        <v>161</v>
      </c>
      <c r="B334" s="36">
        <v>44950.941713935186</v>
      </c>
      <c r="C334" s="35" t="s">
        <v>298</v>
      </c>
      <c r="D334" s="35" t="s">
        <v>77</v>
      </c>
      <c r="E334" s="35">
        <v>2023.0</v>
      </c>
      <c r="F334" s="43">
        <v>44950.941713935186</v>
      </c>
      <c r="G334" s="38">
        <v>2629.0</v>
      </c>
      <c r="H334" s="38" t="s">
        <v>8</v>
      </c>
      <c r="I334" s="40"/>
      <c r="J334" s="40"/>
      <c r="K334" s="35"/>
      <c r="L334" s="35" t="s">
        <v>78</v>
      </c>
      <c r="M334" s="35" t="s">
        <v>79</v>
      </c>
      <c r="N334" s="35"/>
    </row>
    <row r="335" ht="16.5" customHeight="1">
      <c r="A335" s="28" t="s">
        <v>178</v>
      </c>
      <c r="B335" s="29">
        <v>44950.96473721065</v>
      </c>
      <c r="C335" s="28" t="s">
        <v>298</v>
      </c>
      <c r="D335" s="28" t="s">
        <v>77</v>
      </c>
      <c r="E335" s="28">
        <v>2023.0</v>
      </c>
      <c r="F335" s="42">
        <v>44950.96473721065</v>
      </c>
      <c r="G335" s="31">
        <v>2672.0</v>
      </c>
      <c r="H335" s="31" t="s">
        <v>8</v>
      </c>
      <c r="I335" s="33"/>
      <c r="J335" s="33"/>
      <c r="K335" s="28"/>
      <c r="L335" s="28" t="s">
        <v>78</v>
      </c>
      <c r="M335" s="28" t="s">
        <v>79</v>
      </c>
      <c r="N335" s="28"/>
    </row>
    <row r="336" ht="16.5" customHeight="1">
      <c r="A336" s="35" t="s">
        <v>83</v>
      </c>
      <c r="B336" s="36">
        <v>44950.97447209491</v>
      </c>
      <c r="C336" s="35" t="s">
        <v>298</v>
      </c>
      <c r="D336" s="35" t="s">
        <v>77</v>
      </c>
      <c r="E336" s="35">
        <v>2023.0</v>
      </c>
      <c r="F336" s="43">
        <v>44950.97447209491</v>
      </c>
      <c r="G336" s="38">
        <v>2241.0</v>
      </c>
      <c r="H336" s="38" t="s">
        <v>8</v>
      </c>
      <c r="I336" s="40"/>
      <c r="J336" s="40"/>
      <c r="K336" s="35"/>
      <c r="L336" s="35" t="s">
        <v>78</v>
      </c>
      <c r="M336" s="35" t="s">
        <v>79</v>
      </c>
      <c r="N336" s="35"/>
    </row>
    <row r="337" ht="16.5" customHeight="1">
      <c r="A337" s="28" t="s">
        <v>176</v>
      </c>
      <c r="B337" s="29">
        <v>44950.99884069445</v>
      </c>
      <c r="C337" s="28" t="s">
        <v>298</v>
      </c>
      <c r="D337" s="28" t="s">
        <v>77</v>
      </c>
      <c r="E337" s="28">
        <v>2023.0</v>
      </c>
      <c r="F337" s="42">
        <v>44950.99884069445</v>
      </c>
      <c r="G337" s="31">
        <v>2403.0</v>
      </c>
      <c r="H337" s="31" t="s">
        <v>8</v>
      </c>
      <c r="I337" s="33"/>
      <c r="J337" s="33"/>
      <c r="K337" s="28"/>
      <c r="L337" s="28" t="s">
        <v>78</v>
      </c>
      <c r="M337" s="28" t="s">
        <v>79</v>
      </c>
      <c r="N337" s="28"/>
    </row>
    <row r="338" ht="16.5" customHeight="1">
      <c r="A338" s="35" t="s">
        <v>85</v>
      </c>
      <c r="B338" s="36">
        <v>44951.04101568287</v>
      </c>
      <c r="C338" s="35" t="s">
        <v>305</v>
      </c>
      <c r="D338" s="35" t="s">
        <v>77</v>
      </c>
      <c r="E338" s="35">
        <v>2023.0</v>
      </c>
      <c r="F338" s="43">
        <v>44951.04101568287</v>
      </c>
      <c r="G338" s="38">
        <v>2464.0</v>
      </c>
      <c r="H338" s="38" t="s">
        <v>8</v>
      </c>
      <c r="I338" s="40"/>
      <c r="J338" s="40"/>
      <c r="K338" s="35"/>
      <c r="L338" s="35" t="s">
        <v>78</v>
      </c>
      <c r="M338" s="35" t="s">
        <v>79</v>
      </c>
      <c r="N338" s="35"/>
    </row>
    <row r="339" ht="16.5" customHeight="1">
      <c r="A339" s="28" t="s">
        <v>114</v>
      </c>
      <c r="B339" s="29">
        <v>44951.05543827546</v>
      </c>
      <c r="C339" s="28" t="s">
        <v>305</v>
      </c>
      <c r="D339" s="28" t="s">
        <v>77</v>
      </c>
      <c r="E339" s="28">
        <v>2023.0</v>
      </c>
      <c r="F339" s="42">
        <v>44951.05543827546</v>
      </c>
      <c r="G339" s="31">
        <v>2656.0</v>
      </c>
      <c r="H339" s="31" t="s">
        <v>8</v>
      </c>
      <c r="I339" s="33"/>
      <c r="J339" s="33"/>
      <c r="K339" s="28"/>
      <c r="L339" s="28" t="s">
        <v>78</v>
      </c>
      <c r="M339" s="28" t="s">
        <v>79</v>
      </c>
      <c r="N339" s="28"/>
    </row>
    <row r="340" ht="16.5" customHeight="1">
      <c r="A340" s="35" t="s">
        <v>131</v>
      </c>
      <c r="B340" s="36">
        <v>44951.06239831018</v>
      </c>
      <c r="C340" s="35" t="s">
        <v>305</v>
      </c>
      <c r="D340" s="35" t="s">
        <v>77</v>
      </c>
      <c r="E340" s="35">
        <v>2023.0</v>
      </c>
      <c r="F340" s="43">
        <v>44951.06239831018</v>
      </c>
      <c r="G340" s="38">
        <v>2173.0</v>
      </c>
      <c r="H340" s="38" t="s">
        <v>8</v>
      </c>
      <c r="I340" s="40"/>
      <c r="J340" s="40"/>
      <c r="K340" s="35"/>
      <c r="L340" s="35" t="s">
        <v>78</v>
      </c>
      <c r="M340" s="35" t="s">
        <v>79</v>
      </c>
      <c r="N340" s="35"/>
    </row>
    <row r="341" ht="16.5" customHeight="1">
      <c r="A341" s="28" t="s">
        <v>141</v>
      </c>
      <c r="B341" s="29">
        <v>44951.07092496528</v>
      </c>
      <c r="C341" s="28" t="s">
        <v>305</v>
      </c>
      <c r="D341" s="28" t="s">
        <v>77</v>
      </c>
      <c r="E341" s="28">
        <v>2023.0</v>
      </c>
      <c r="F341" s="42">
        <v>44951.07092496528</v>
      </c>
      <c r="G341" s="31">
        <v>2354.0</v>
      </c>
      <c r="H341" s="31" t="s">
        <v>8</v>
      </c>
      <c r="I341" s="33"/>
      <c r="J341" s="33"/>
      <c r="K341" s="28"/>
      <c r="L341" s="28" t="s">
        <v>78</v>
      </c>
      <c r="M341" s="28" t="s">
        <v>79</v>
      </c>
      <c r="N341" s="28"/>
    </row>
    <row r="342" ht="16.5" customHeight="1">
      <c r="A342" s="35" t="s">
        <v>129</v>
      </c>
      <c r="B342" s="36">
        <v>44951.07856732639</v>
      </c>
      <c r="C342" s="35" t="s">
        <v>305</v>
      </c>
      <c r="D342" s="35" t="s">
        <v>77</v>
      </c>
      <c r="E342" s="35">
        <v>2023.0</v>
      </c>
      <c r="F342" s="43">
        <v>44951.07856732639</v>
      </c>
      <c r="G342" s="38">
        <v>2375.0</v>
      </c>
      <c r="H342" s="38" t="s">
        <v>8</v>
      </c>
      <c r="I342" s="40"/>
      <c r="J342" s="40"/>
      <c r="K342" s="35"/>
      <c r="L342" s="35" t="s">
        <v>78</v>
      </c>
      <c r="M342" s="35" t="s">
        <v>79</v>
      </c>
      <c r="N342" s="35"/>
    </row>
    <row r="343" ht="16.5" customHeight="1">
      <c r="A343" s="28" t="s">
        <v>132</v>
      </c>
      <c r="B343" s="29">
        <v>44951.10509438657</v>
      </c>
      <c r="C343" s="28" t="s">
        <v>305</v>
      </c>
      <c r="D343" s="28" t="s">
        <v>77</v>
      </c>
      <c r="E343" s="28">
        <v>2023.0</v>
      </c>
      <c r="F343" s="42">
        <v>44951.10509438657</v>
      </c>
      <c r="G343" s="31">
        <v>2202.0</v>
      </c>
      <c r="H343" s="31" t="s">
        <v>8</v>
      </c>
      <c r="I343" s="33"/>
      <c r="J343" s="33"/>
      <c r="K343" s="28"/>
      <c r="L343" s="28" t="s">
        <v>78</v>
      </c>
      <c r="M343" s="28" t="s">
        <v>79</v>
      </c>
      <c r="N343" s="28"/>
    </row>
    <row r="344" ht="16.5" customHeight="1">
      <c r="A344" s="35" t="s">
        <v>168</v>
      </c>
      <c r="B344" s="36">
        <v>44951.1166921875</v>
      </c>
      <c r="C344" s="35" t="s">
        <v>305</v>
      </c>
      <c r="D344" s="35" t="s">
        <v>77</v>
      </c>
      <c r="E344" s="35">
        <v>2023.0</v>
      </c>
      <c r="F344" s="43">
        <v>44951.1166921875</v>
      </c>
      <c r="G344" s="38">
        <v>2317.0</v>
      </c>
      <c r="H344" s="38" t="s">
        <v>8</v>
      </c>
      <c r="I344" s="40"/>
      <c r="J344" s="40"/>
      <c r="K344" s="35"/>
      <c r="L344" s="35" t="s">
        <v>78</v>
      </c>
      <c r="M344" s="35" t="s">
        <v>79</v>
      </c>
      <c r="N344" s="35"/>
    </row>
    <row r="345" ht="16.5" customHeight="1">
      <c r="A345" s="28" t="s">
        <v>98</v>
      </c>
      <c r="B345" s="29">
        <v>44951.116919444445</v>
      </c>
      <c r="C345" s="28" t="s">
        <v>305</v>
      </c>
      <c r="D345" s="28" t="s">
        <v>77</v>
      </c>
      <c r="E345" s="28">
        <v>2023.0</v>
      </c>
      <c r="F345" s="42">
        <v>44951.116919444445</v>
      </c>
      <c r="G345" s="31">
        <v>2460.0</v>
      </c>
      <c r="H345" s="31" t="s">
        <v>8</v>
      </c>
      <c r="I345" s="33"/>
      <c r="J345" s="33"/>
      <c r="K345" s="28"/>
      <c r="L345" s="28" t="s">
        <v>78</v>
      </c>
      <c r="M345" s="28" t="s">
        <v>79</v>
      </c>
      <c r="N345" s="28"/>
    </row>
    <row r="346" ht="16.5" customHeight="1">
      <c r="A346" s="35" t="s">
        <v>164</v>
      </c>
      <c r="B346" s="36">
        <v>44951.17540525463</v>
      </c>
      <c r="C346" s="35" t="s">
        <v>305</v>
      </c>
      <c r="D346" s="35" t="s">
        <v>77</v>
      </c>
      <c r="E346" s="35">
        <v>2023.0</v>
      </c>
      <c r="F346" s="43">
        <v>44951.17540525463</v>
      </c>
      <c r="G346" s="38">
        <v>2675.0</v>
      </c>
      <c r="H346" s="38" t="s">
        <v>8</v>
      </c>
      <c r="I346" s="40"/>
      <c r="J346" s="40"/>
      <c r="K346" s="35"/>
      <c r="L346" s="35" t="s">
        <v>78</v>
      </c>
      <c r="M346" s="35" t="s">
        <v>79</v>
      </c>
      <c r="N346" s="35"/>
    </row>
    <row r="347" ht="16.5" customHeight="1">
      <c r="A347" s="28" t="s">
        <v>167</v>
      </c>
      <c r="B347" s="29">
        <v>44951.195305</v>
      </c>
      <c r="C347" s="28" t="s">
        <v>305</v>
      </c>
      <c r="D347" s="28" t="s">
        <v>77</v>
      </c>
      <c r="E347" s="28">
        <v>2023.0</v>
      </c>
      <c r="F347" s="42">
        <v>44951.195305</v>
      </c>
      <c r="G347" s="31">
        <v>2367.0</v>
      </c>
      <c r="H347" s="31" t="s">
        <v>8</v>
      </c>
      <c r="I347" s="33"/>
      <c r="J347" s="33"/>
      <c r="K347" s="28"/>
      <c r="L347" s="28" t="s">
        <v>78</v>
      </c>
      <c r="M347" s="28" t="s">
        <v>79</v>
      </c>
      <c r="N347" s="28"/>
    </row>
    <row r="348" ht="16.5" customHeight="1">
      <c r="A348" s="35" t="s">
        <v>166</v>
      </c>
      <c r="B348" s="36">
        <v>44951.20899079861</v>
      </c>
      <c r="C348" s="35" t="s">
        <v>305</v>
      </c>
      <c r="D348" s="35" t="s">
        <v>77</v>
      </c>
      <c r="E348" s="35">
        <v>2023.0</v>
      </c>
      <c r="F348" s="43">
        <v>44951.20899079861</v>
      </c>
      <c r="G348" s="38">
        <v>2622.0</v>
      </c>
      <c r="H348" s="38" t="s">
        <v>8</v>
      </c>
      <c r="I348" s="40"/>
      <c r="J348" s="40"/>
      <c r="K348" s="35"/>
      <c r="L348" s="35" t="s">
        <v>78</v>
      </c>
      <c r="M348" s="35" t="s">
        <v>79</v>
      </c>
      <c r="N348" s="35"/>
    </row>
    <row r="349" ht="16.5" customHeight="1">
      <c r="A349" s="28" t="s">
        <v>158</v>
      </c>
      <c r="B349" s="29">
        <v>44951.22265265047</v>
      </c>
      <c r="C349" s="28" t="s">
        <v>305</v>
      </c>
      <c r="D349" s="28" t="s">
        <v>77</v>
      </c>
      <c r="E349" s="28">
        <v>2023.0</v>
      </c>
      <c r="F349" s="42">
        <v>44951.22265265047</v>
      </c>
      <c r="G349" s="31">
        <v>2620.0</v>
      </c>
      <c r="H349" s="31" t="s">
        <v>8</v>
      </c>
      <c r="I349" s="33"/>
      <c r="J349" s="33"/>
      <c r="K349" s="28"/>
      <c r="L349" s="28" t="s">
        <v>78</v>
      </c>
      <c r="M349" s="28" t="s">
        <v>79</v>
      </c>
      <c r="N349" s="28"/>
    </row>
    <row r="350" ht="16.5" customHeight="1">
      <c r="A350" s="35" t="s">
        <v>306</v>
      </c>
      <c r="B350" s="36">
        <v>44951.257663310185</v>
      </c>
      <c r="C350" s="35" t="s">
        <v>305</v>
      </c>
      <c r="D350" s="35" t="s">
        <v>77</v>
      </c>
      <c r="E350" s="35">
        <v>2023.0</v>
      </c>
      <c r="F350" s="43">
        <v>44951.257663310185</v>
      </c>
      <c r="G350" s="38" t="s">
        <v>307</v>
      </c>
      <c r="H350" s="38" t="s">
        <v>8</v>
      </c>
      <c r="I350" s="40"/>
      <c r="J350" s="40"/>
      <c r="K350" s="35"/>
      <c r="L350" s="35" t="s">
        <v>78</v>
      </c>
      <c r="M350" s="35" t="s">
        <v>79</v>
      </c>
      <c r="N350" s="35"/>
    </row>
    <row r="351" ht="16.5" customHeight="1">
      <c r="A351" s="28" t="s">
        <v>237</v>
      </c>
      <c r="B351" s="29">
        <v>44951.307112361115</v>
      </c>
      <c r="C351" s="28" t="s">
        <v>305</v>
      </c>
      <c r="D351" s="28" t="s">
        <v>77</v>
      </c>
      <c r="E351" s="28">
        <v>2023.0</v>
      </c>
      <c r="F351" s="42">
        <v>44951.307112361115</v>
      </c>
      <c r="G351" s="31" t="s">
        <v>238</v>
      </c>
      <c r="H351" s="31" t="s">
        <v>40</v>
      </c>
      <c r="I351" s="33"/>
      <c r="J351" s="33"/>
      <c r="K351" s="28"/>
      <c r="L351" s="28" t="s">
        <v>78</v>
      </c>
      <c r="M351" s="28" t="s">
        <v>79</v>
      </c>
      <c r="N351" s="28"/>
    </row>
    <row r="352" ht="16.5" customHeight="1">
      <c r="A352" s="35" t="s">
        <v>184</v>
      </c>
      <c r="B352" s="36">
        <v>44951.33733571759</v>
      </c>
      <c r="C352" s="35" t="s">
        <v>305</v>
      </c>
      <c r="D352" s="35" t="s">
        <v>77</v>
      </c>
      <c r="E352" s="35">
        <v>2023.0</v>
      </c>
      <c r="F352" s="43">
        <v>44951.33733571759</v>
      </c>
      <c r="G352" s="38">
        <v>2219.0</v>
      </c>
      <c r="H352" s="38" t="s">
        <v>308</v>
      </c>
      <c r="I352" s="40"/>
      <c r="J352" s="40"/>
      <c r="K352" s="35"/>
      <c r="L352" s="35" t="s">
        <v>78</v>
      </c>
      <c r="M352" s="35" t="s">
        <v>79</v>
      </c>
      <c r="N352" s="35"/>
    </row>
    <row r="353" ht="16.5" customHeight="1">
      <c r="A353" s="28" t="s">
        <v>309</v>
      </c>
      <c r="B353" s="29">
        <v>44951.40117773148</v>
      </c>
      <c r="C353" s="28" t="s">
        <v>305</v>
      </c>
      <c r="D353" s="28" t="s">
        <v>77</v>
      </c>
      <c r="E353" s="28">
        <v>2023.0</v>
      </c>
      <c r="F353" s="42">
        <v>44951.40117773148</v>
      </c>
      <c r="G353" s="31">
        <v>1977.0</v>
      </c>
      <c r="H353" s="31" t="s">
        <v>8</v>
      </c>
      <c r="I353" s="33"/>
      <c r="J353" s="33"/>
      <c r="K353" s="28"/>
      <c r="L353" s="28" t="s">
        <v>78</v>
      </c>
      <c r="M353" s="28" t="s">
        <v>79</v>
      </c>
      <c r="N353" s="28"/>
    </row>
    <row r="354" ht="16.5" customHeight="1">
      <c r="A354" s="35" t="s">
        <v>310</v>
      </c>
      <c r="B354" s="36">
        <v>44951.42684760416</v>
      </c>
      <c r="C354" s="35" t="s">
        <v>305</v>
      </c>
      <c r="D354" s="35" t="s">
        <v>77</v>
      </c>
      <c r="E354" s="35">
        <v>2023.0</v>
      </c>
      <c r="F354" s="43">
        <v>44951.42684760416</v>
      </c>
      <c r="G354" s="38">
        <v>2692.0</v>
      </c>
      <c r="H354" s="38" t="s">
        <v>8</v>
      </c>
      <c r="I354" s="40"/>
      <c r="J354" s="40"/>
      <c r="K354" s="35"/>
      <c r="L354" s="35" t="s">
        <v>78</v>
      </c>
      <c r="M354" s="35" t="s">
        <v>79</v>
      </c>
      <c r="N354" s="35"/>
    </row>
    <row r="355" ht="16.5" customHeight="1">
      <c r="A355" s="28" t="s">
        <v>241</v>
      </c>
      <c r="B355" s="29">
        <v>44951.899954803244</v>
      </c>
      <c r="C355" s="28" t="s">
        <v>305</v>
      </c>
      <c r="D355" s="28" t="s">
        <v>77</v>
      </c>
      <c r="E355" s="28">
        <v>2023.0</v>
      </c>
      <c r="F355" s="42">
        <v>44951.899954803244</v>
      </c>
      <c r="G355" s="31">
        <v>2397.0</v>
      </c>
      <c r="H355" s="31" t="s">
        <v>8</v>
      </c>
      <c r="I355" s="33"/>
      <c r="J355" s="33"/>
      <c r="K355" s="28"/>
      <c r="L355" s="28" t="s">
        <v>78</v>
      </c>
      <c r="M355" s="28" t="s">
        <v>79</v>
      </c>
      <c r="N355" s="28"/>
    </row>
    <row r="356" ht="16.5" customHeight="1">
      <c r="A356" s="35" t="s">
        <v>208</v>
      </c>
      <c r="B356" s="36">
        <v>44951.92719418982</v>
      </c>
      <c r="C356" s="35" t="s">
        <v>305</v>
      </c>
      <c r="D356" s="35" t="s">
        <v>77</v>
      </c>
      <c r="E356" s="35">
        <v>2023.0</v>
      </c>
      <c r="F356" s="43">
        <v>44951.92719418982</v>
      </c>
      <c r="G356" s="38">
        <v>2677.0</v>
      </c>
      <c r="H356" s="38" t="s">
        <v>8</v>
      </c>
      <c r="I356" s="40"/>
      <c r="J356" s="40"/>
      <c r="K356" s="35"/>
      <c r="L356" s="35" t="s">
        <v>78</v>
      </c>
      <c r="M356" s="35" t="s">
        <v>79</v>
      </c>
      <c r="N356" s="35"/>
    </row>
    <row r="357" ht="16.5" customHeight="1">
      <c r="A357" s="28" t="s">
        <v>173</v>
      </c>
      <c r="B357" s="29">
        <v>44951.927748125</v>
      </c>
      <c r="C357" s="28" t="s">
        <v>305</v>
      </c>
      <c r="D357" s="28" t="s">
        <v>77</v>
      </c>
      <c r="E357" s="28">
        <v>2023.0</v>
      </c>
      <c r="F357" s="42">
        <v>44951.927748125</v>
      </c>
      <c r="G357" s="31">
        <v>2566.0</v>
      </c>
      <c r="H357" s="31" t="s">
        <v>8</v>
      </c>
      <c r="I357" s="33"/>
      <c r="J357" s="33"/>
      <c r="K357" s="28"/>
      <c r="L357" s="28" t="s">
        <v>78</v>
      </c>
      <c r="M357" s="28" t="s">
        <v>79</v>
      </c>
      <c r="N357" s="28"/>
    </row>
    <row r="358" ht="16.5" customHeight="1">
      <c r="A358" s="35" t="s">
        <v>175</v>
      </c>
      <c r="B358" s="36">
        <v>44951.94707422453</v>
      </c>
      <c r="C358" s="35" t="s">
        <v>305</v>
      </c>
      <c r="D358" s="35" t="s">
        <v>77</v>
      </c>
      <c r="E358" s="35">
        <v>2023.0</v>
      </c>
      <c r="F358" s="43">
        <v>44951.94707422453</v>
      </c>
      <c r="G358" s="38">
        <v>2376.0</v>
      </c>
      <c r="H358" s="38" t="s">
        <v>8</v>
      </c>
      <c r="I358" s="40"/>
      <c r="J358" s="40"/>
      <c r="K358" s="35"/>
      <c r="L358" s="35" t="s">
        <v>78</v>
      </c>
      <c r="M358" s="35" t="s">
        <v>79</v>
      </c>
      <c r="N358" s="35"/>
    </row>
    <row r="359" ht="16.5" customHeight="1">
      <c r="A359" s="28" t="s">
        <v>148</v>
      </c>
      <c r="B359" s="29">
        <v>44951.958431273146</v>
      </c>
      <c r="C359" s="28" t="s">
        <v>305</v>
      </c>
      <c r="D359" s="28" t="s">
        <v>77</v>
      </c>
      <c r="E359" s="28">
        <v>2023.0</v>
      </c>
      <c r="F359" s="42">
        <v>44951.958431273146</v>
      </c>
      <c r="G359" s="31">
        <v>2459.0</v>
      </c>
      <c r="H359" s="31" t="s">
        <v>8</v>
      </c>
      <c r="I359" s="33"/>
      <c r="J359" s="33"/>
      <c r="K359" s="28"/>
      <c r="L359" s="28" t="s">
        <v>78</v>
      </c>
      <c r="M359" s="28" t="s">
        <v>79</v>
      </c>
      <c r="N359" s="28"/>
    </row>
    <row r="360" ht="16.5" customHeight="1">
      <c r="A360" s="35" t="s">
        <v>174</v>
      </c>
      <c r="B360" s="36">
        <v>44952.002531921295</v>
      </c>
      <c r="C360" s="35" t="s">
        <v>32</v>
      </c>
      <c r="D360" s="35" t="s">
        <v>77</v>
      </c>
      <c r="E360" s="35">
        <v>2023.0</v>
      </c>
      <c r="F360" s="43">
        <v>44952.002531921295</v>
      </c>
      <c r="G360" s="38">
        <v>2419.0</v>
      </c>
      <c r="H360" s="38" t="s">
        <v>8</v>
      </c>
      <c r="I360" s="40"/>
      <c r="J360" s="40"/>
      <c r="K360" s="35"/>
      <c r="L360" s="35" t="s">
        <v>78</v>
      </c>
      <c r="M360" s="35" t="s">
        <v>79</v>
      </c>
      <c r="N360" s="35"/>
    </row>
    <row r="361" ht="16.5" customHeight="1">
      <c r="A361" s="28" t="s">
        <v>180</v>
      </c>
      <c r="B361" s="29">
        <v>44952.01740357639</v>
      </c>
      <c r="C361" s="28" t="s">
        <v>32</v>
      </c>
      <c r="D361" s="28" t="s">
        <v>77</v>
      </c>
      <c r="E361" s="28">
        <v>2023.0</v>
      </c>
      <c r="F361" s="42">
        <v>44952.01740357639</v>
      </c>
      <c r="G361" s="31">
        <v>2463.0</v>
      </c>
      <c r="H361" s="31" t="s">
        <v>8</v>
      </c>
      <c r="I361" s="33"/>
      <c r="J361" s="33"/>
      <c r="K361" s="28"/>
      <c r="L361" s="28" t="s">
        <v>78</v>
      </c>
      <c r="M361" s="28" t="s">
        <v>79</v>
      </c>
      <c r="N361" s="28"/>
    </row>
    <row r="362" ht="16.5" customHeight="1">
      <c r="A362" s="35" t="s">
        <v>153</v>
      </c>
      <c r="B362" s="36">
        <v>44952.01815325231</v>
      </c>
      <c r="C362" s="35" t="s">
        <v>32</v>
      </c>
      <c r="D362" s="35" t="s">
        <v>77</v>
      </c>
      <c r="E362" s="35">
        <v>2023.0</v>
      </c>
      <c r="F362" s="43">
        <v>44952.01815325231</v>
      </c>
      <c r="G362" s="38">
        <v>2391.0</v>
      </c>
      <c r="H362" s="38" t="s">
        <v>8</v>
      </c>
      <c r="I362" s="40"/>
      <c r="J362" s="40"/>
      <c r="K362" s="35"/>
      <c r="L362" s="35" t="s">
        <v>78</v>
      </c>
      <c r="M362" s="35" t="s">
        <v>79</v>
      </c>
      <c r="N362" s="35"/>
    </row>
    <row r="363" ht="16.5" customHeight="1">
      <c r="A363" s="28" t="s">
        <v>151</v>
      </c>
      <c r="B363" s="29">
        <v>44952.02899481481</v>
      </c>
      <c r="C363" s="28" t="s">
        <v>32</v>
      </c>
      <c r="D363" s="28" t="s">
        <v>77</v>
      </c>
      <c r="E363" s="28">
        <v>2023.0</v>
      </c>
      <c r="F363" s="42">
        <v>44952.02899481481</v>
      </c>
      <c r="G363" s="31">
        <v>2239.0</v>
      </c>
      <c r="H363" s="31" t="s">
        <v>8</v>
      </c>
      <c r="I363" s="33"/>
      <c r="J363" s="33"/>
      <c r="K363" s="28"/>
      <c r="L363" s="28" t="s">
        <v>78</v>
      </c>
      <c r="M363" s="28" t="s">
        <v>79</v>
      </c>
      <c r="N363" s="28"/>
    </row>
    <row r="364" ht="16.5" customHeight="1">
      <c r="A364" s="35" t="s">
        <v>162</v>
      </c>
      <c r="B364" s="36">
        <v>44952.04247078704</v>
      </c>
      <c r="C364" s="35" t="s">
        <v>32</v>
      </c>
      <c r="D364" s="35" t="s">
        <v>77</v>
      </c>
      <c r="E364" s="35">
        <v>2023.0</v>
      </c>
      <c r="F364" s="43">
        <v>44952.04247078704</v>
      </c>
      <c r="G364" s="38">
        <v>2424.0</v>
      </c>
      <c r="H364" s="38" t="s">
        <v>8</v>
      </c>
      <c r="I364" s="40"/>
      <c r="J364" s="40"/>
      <c r="K364" s="35"/>
      <c r="L364" s="35" t="s">
        <v>78</v>
      </c>
      <c r="M364" s="35" t="s">
        <v>79</v>
      </c>
      <c r="N364" s="35"/>
    </row>
    <row r="365" ht="16.5" customHeight="1">
      <c r="A365" s="28" t="s">
        <v>86</v>
      </c>
      <c r="B365" s="29">
        <v>44952.04361954861</v>
      </c>
      <c r="C365" s="28" t="s">
        <v>32</v>
      </c>
      <c r="D365" s="28" t="s">
        <v>77</v>
      </c>
      <c r="E365" s="28">
        <v>2023.0</v>
      </c>
      <c r="F365" s="42">
        <v>44952.04361954861</v>
      </c>
      <c r="G365" s="31">
        <v>2623.0</v>
      </c>
      <c r="H365" s="31" t="s">
        <v>8</v>
      </c>
      <c r="I365" s="33"/>
      <c r="J365" s="33"/>
      <c r="K365" s="28"/>
      <c r="L365" s="28" t="s">
        <v>78</v>
      </c>
      <c r="M365" s="28" t="s">
        <v>79</v>
      </c>
      <c r="N365" s="28"/>
    </row>
    <row r="366" ht="16.5" customHeight="1">
      <c r="A366" s="35" t="s">
        <v>204</v>
      </c>
      <c r="B366" s="36">
        <v>44952.05543842593</v>
      </c>
      <c r="C366" s="35" t="s">
        <v>32</v>
      </c>
      <c r="D366" s="35" t="s">
        <v>77</v>
      </c>
      <c r="E366" s="35">
        <v>2023.0</v>
      </c>
      <c r="F366" s="43">
        <v>44952.05543842593</v>
      </c>
      <c r="G366" s="38">
        <v>2679.0</v>
      </c>
      <c r="H366" s="38" t="s">
        <v>8</v>
      </c>
      <c r="I366" s="40"/>
      <c r="J366" s="40"/>
      <c r="K366" s="35"/>
      <c r="L366" s="35" t="s">
        <v>78</v>
      </c>
      <c r="M366" s="35" t="s">
        <v>79</v>
      </c>
      <c r="N366" s="35"/>
    </row>
    <row r="367" ht="16.5" customHeight="1">
      <c r="A367" s="28" t="s">
        <v>181</v>
      </c>
      <c r="B367" s="29">
        <v>44952.08037001158</v>
      </c>
      <c r="C367" s="28" t="s">
        <v>32</v>
      </c>
      <c r="D367" s="28" t="s">
        <v>77</v>
      </c>
      <c r="E367" s="28">
        <v>2023.0</v>
      </c>
      <c r="F367" s="42">
        <v>44952.08037001158</v>
      </c>
      <c r="G367" s="31">
        <v>2194.0</v>
      </c>
      <c r="H367" s="31" t="s">
        <v>8</v>
      </c>
      <c r="I367" s="33"/>
      <c r="J367" s="33"/>
      <c r="K367" s="28"/>
      <c r="L367" s="28" t="s">
        <v>78</v>
      </c>
      <c r="M367" s="28" t="s">
        <v>79</v>
      </c>
      <c r="N367" s="28"/>
    </row>
    <row r="368" ht="16.5" customHeight="1">
      <c r="A368" s="35" t="s">
        <v>182</v>
      </c>
      <c r="B368" s="36">
        <v>44952.08069246528</v>
      </c>
      <c r="C368" s="35" t="s">
        <v>32</v>
      </c>
      <c r="D368" s="35" t="s">
        <v>77</v>
      </c>
      <c r="E368" s="35">
        <v>2023.0</v>
      </c>
      <c r="F368" s="43">
        <v>44952.08069246528</v>
      </c>
      <c r="G368" s="38">
        <v>2673.0</v>
      </c>
      <c r="H368" s="38" t="s">
        <v>8</v>
      </c>
      <c r="I368" s="40"/>
      <c r="J368" s="40"/>
      <c r="K368" s="35"/>
      <c r="L368" s="35" t="s">
        <v>78</v>
      </c>
      <c r="M368" s="35" t="s">
        <v>79</v>
      </c>
      <c r="N368" s="35"/>
    </row>
    <row r="369" ht="16.5" customHeight="1">
      <c r="A369" s="28" t="s">
        <v>187</v>
      </c>
      <c r="B369" s="29">
        <v>44952.11787194444</v>
      </c>
      <c r="C369" s="28" t="s">
        <v>32</v>
      </c>
      <c r="D369" s="28" t="s">
        <v>77</v>
      </c>
      <c r="E369" s="28">
        <v>2023.0</v>
      </c>
      <c r="F369" s="42">
        <v>44952.11787194444</v>
      </c>
      <c r="G369" s="31">
        <v>2379.0</v>
      </c>
      <c r="H369" s="31" t="s">
        <v>8</v>
      </c>
      <c r="I369" s="33"/>
      <c r="J369" s="33"/>
      <c r="K369" s="28"/>
      <c r="L369" s="28" t="s">
        <v>78</v>
      </c>
      <c r="M369" s="28" t="s">
        <v>79</v>
      </c>
      <c r="N369" s="28"/>
    </row>
    <row r="370" ht="16.5" customHeight="1">
      <c r="A370" s="35" t="s">
        <v>186</v>
      </c>
      <c r="B370" s="36">
        <v>44952.11817239583</v>
      </c>
      <c r="C370" s="35" t="s">
        <v>32</v>
      </c>
      <c r="D370" s="35" t="s">
        <v>77</v>
      </c>
      <c r="E370" s="35">
        <v>2023.0</v>
      </c>
      <c r="F370" s="43">
        <v>44952.11817239583</v>
      </c>
      <c r="G370" s="38">
        <v>2418.0</v>
      </c>
      <c r="H370" s="38" t="s">
        <v>8</v>
      </c>
      <c r="I370" s="40"/>
      <c r="J370" s="40"/>
      <c r="K370" s="35"/>
      <c r="L370" s="35" t="s">
        <v>78</v>
      </c>
      <c r="M370" s="35" t="s">
        <v>79</v>
      </c>
      <c r="N370" s="35"/>
    </row>
    <row r="371" ht="16.5" customHeight="1">
      <c r="A371" s="28" t="s">
        <v>183</v>
      </c>
      <c r="B371" s="29">
        <v>44952.180311331016</v>
      </c>
      <c r="C371" s="28" t="s">
        <v>32</v>
      </c>
      <c r="D371" s="28" t="s">
        <v>77</v>
      </c>
      <c r="E371" s="28">
        <v>2023.0</v>
      </c>
      <c r="F371" s="42">
        <v>44952.180311331016</v>
      </c>
      <c r="G371" s="31">
        <v>2643.0</v>
      </c>
      <c r="H371" s="31" t="s">
        <v>8</v>
      </c>
      <c r="I371" s="33"/>
      <c r="J371" s="33"/>
      <c r="K371" s="28"/>
      <c r="L371" s="28" t="s">
        <v>78</v>
      </c>
      <c r="M371" s="28" t="s">
        <v>79</v>
      </c>
      <c r="N371" s="28"/>
    </row>
    <row r="372" ht="16.5" customHeight="1">
      <c r="A372" s="35" t="s">
        <v>160</v>
      </c>
      <c r="B372" s="36">
        <v>44952.186904201386</v>
      </c>
      <c r="C372" s="35" t="s">
        <v>32</v>
      </c>
      <c r="D372" s="35" t="s">
        <v>77</v>
      </c>
      <c r="E372" s="35">
        <v>2023.0</v>
      </c>
      <c r="F372" s="43">
        <v>44952.186904201386</v>
      </c>
      <c r="G372" s="38">
        <v>2387.0</v>
      </c>
      <c r="H372" s="38" t="s">
        <v>8</v>
      </c>
      <c r="I372" s="40"/>
      <c r="J372" s="40"/>
      <c r="K372" s="35"/>
      <c r="L372" s="35" t="s">
        <v>78</v>
      </c>
      <c r="M372" s="35" t="s">
        <v>79</v>
      </c>
      <c r="N372" s="35"/>
    </row>
    <row r="373" ht="16.5" customHeight="1">
      <c r="A373" s="28" t="s">
        <v>311</v>
      </c>
      <c r="B373" s="29">
        <v>44952.207548969905</v>
      </c>
      <c r="C373" s="28" t="s">
        <v>32</v>
      </c>
      <c r="D373" s="28" t="s">
        <v>77</v>
      </c>
      <c r="E373" s="28">
        <v>2023.0</v>
      </c>
      <c r="F373" s="42">
        <v>44952.207548969905</v>
      </c>
      <c r="G373" s="31">
        <v>2218.0</v>
      </c>
      <c r="H373" s="31" t="s">
        <v>8</v>
      </c>
      <c r="I373" s="33"/>
      <c r="J373" s="33"/>
      <c r="K373" s="28"/>
      <c r="L373" s="28" t="s">
        <v>78</v>
      </c>
      <c r="M373" s="28" t="s">
        <v>79</v>
      </c>
      <c r="N373" s="28"/>
    </row>
    <row r="374" ht="16.5" customHeight="1">
      <c r="A374" s="35" t="s">
        <v>127</v>
      </c>
      <c r="B374" s="36">
        <v>44952.228241793986</v>
      </c>
      <c r="C374" s="35" t="s">
        <v>32</v>
      </c>
      <c r="D374" s="35" t="s">
        <v>77</v>
      </c>
      <c r="E374" s="35">
        <v>2023.0</v>
      </c>
      <c r="F374" s="43">
        <v>44952.228241793986</v>
      </c>
      <c r="G374" s="38">
        <v>657.0</v>
      </c>
      <c r="H374" s="38" t="s">
        <v>8</v>
      </c>
      <c r="I374" s="40"/>
      <c r="J374" s="40"/>
      <c r="K374" s="35"/>
      <c r="L374" s="35" t="s">
        <v>78</v>
      </c>
      <c r="M374" s="35" t="s">
        <v>79</v>
      </c>
      <c r="N374" s="35"/>
    </row>
    <row r="375" ht="16.5" customHeight="1">
      <c r="A375" s="28" t="s">
        <v>165</v>
      </c>
      <c r="B375" s="29">
        <v>44952.228593506945</v>
      </c>
      <c r="C375" s="28" t="s">
        <v>32</v>
      </c>
      <c r="D375" s="28" t="s">
        <v>77</v>
      </c>
      <c r="E375" s="28">
        <v>2023.0</v>
      </c>
      <c r="F375" s="42">
        <v>44952.228593506945</v>
      </c>
      <c r="G375" s="31">
        <v>2432.0</v>
      </c>
      <c r="H375" s="31" t="s">
        <v>8</v>
      </c>
      <c r="I375" s="33"/>
      <c r="J375" s="33"/>
      <c r="K375" s="28"/>
      <c r="L375" s="28" t="s">
        <v>78</v>
      </c>
      <c r="M375" s="28" t="s">
        <v>79</v>
      </c>
      <c r="N375" s="28"/>
    </row>
    <row r="376" ht="16.5" customHeight="1">
      <c r="A376" s="35" t="s">
        <v>197</v>
      </c>
      <c r="B376" s="36">
        <v>44952.29871166666</v>
      </c>
      <c r="C376" s="35" t="s">
        <v>32</v>
      </c>
      <c r="D376" s="35" t="s">
        <v>77</v>
      </c>
      <c r="E376" s="35">
        <v>2023.0</v>
      </c>
      <c r="F376" s="43">
        <v>44952.29871166666</v>
      </c>
      <c r="G376" s="38">
        <v>2666.0</v>
      </c>
      <c r="H376" s="38" t="s">
        <v>8</v>
      </c>
      <c r="I376" s="40"/>
      <c r="J376" s="40"/>
      <c r="K376" s="35"/>
      <c r="L376" s="35" t="s">
        <v>78</v>
      </c>
      <c r="M376" s="35" t="s">
        <v>79</v>
      </c>
      <c r="N376" s="35"/>
    </row>
    <row r="377" ht="16.5" customHeight="1">
      <c r="A377" s="28" t="s">
        <v>312</v>
      </c>
      <c r="B377" s="29">
        <v>44952.46899283565</v>
      </c>
      <c r="C377" s="28" t="s">
        <v>32</v>
      </c>
      <c r="D377" s="28" t="s">
        <v>77</v>
      </c>
      <c r="E377" s="28">
        <v>2023.0</v>
      </c>
      <c r="F377" s="42">
        <v>44952.46899283565</v>
      </c>
      <c r="G377" s="31" t="s">
        <v>313</v>
      </c>
      <c r="H377" s="31" t="s">
        <v>8</v>
      </c>
      <c r="I377" s="33"/>
      <c r="J377" s="33"/>
      <c r="K377" s="28"/>
      <c r="L377" s="28" t="s">
        <v>78</v>
      </c>
      <c r="M377" s="28" t="s">
        <v>79</v>
      </c>
      <c r="N377" s="28"/>
    </row>
    <row r="378" ht="16.5" customHeight="1">
      <c r="A378" s="35" t="s">
        <v>217</v>
      </c>
      <c r="B378" s="36">
        <v>44952.86508012732</v>
      </c>
      <c r="C378" s="35" t="s">
        <v>32</v>
      </c>
      <c r="D378" s="35" t="s">
        <v>77</v>
      </c>
      <c r="E378" s="35">
        <v>2023.0</v>
      </c>
      <c r="F378" s="43">
        <v>44952.86508012732</v>
      </c>
      <c r="G378" s="38">
        <v>2252.0</v>
      </c>
      <c r="H378" s="38" t="s">
        <v>8</v>
      </c>
      <c r="I378" s="40"/>
      <c r="J378" s="40"/>
      <c r="K378" s="35"/>
      <c r="L378" s="35" t="s">
        <v>78</v>
      </c>
      <c r="M378" s="35" t="s">
        <v>79</v>
      </c>
      <c r="N378" s="35"/>
    </row>
    <row r="379" ht="16.5" customHeight="1">
      <c r="A379" s="28" t="s">
        <v>242</v>
      </c>
      <c r="B379" s="29">
        <v>44952.86810690972</v>
      </c>
      <c r="C379" s="28" t="s">
        <v>32</v>
      </c>
      <c r="D379" s="28" t="s">
        <v>77</v>
      </c>
      <c r="E379" s="28">
        <v>2023.0</v>
      </c>
      <c r="F379" s="42">
        <v>44952.86810690972</v>
      </c>
      <c r="G379" s="31">
        <v>2398.0</v>
      </c>
      <c r="H379" s="31" t="s">
        <v>8</v>
      </c>
      <c r="I379" s="33"/>
      <c r="J379" s="33"/>
      <c r="K379" s="28"/>
      <c r="L379" s="28" t="s">
        <v>78</v>
      </c>
      <c r="M379" s="28" t="s">
        <v>79</v>
      </c>
      <c r="N379" s="28"/>
    </row>
    <row r="380" ht="16.5" customHeight="1">
      <c r="A380" s="35" t="s">
        <v>232</v>
      </c>
      <c r="B380" s="36">
        <v>44952.90815099537</v>
      </c>
      <c r="C380" s="35" t="s">
        <v>32</v>
      </c>
      <c r="D380" s="35" t="s">
        <v>77</v>
      </c>
      <c r="E380" s="35">
        <v>2023.0</v>
      </c>
      <c r="F380" s="43">
        <v>44952.90815099537</v>
      </c>
      <c r="G380" s="38">
        <v>2434.0</v>
      </c>
      <c r="H380" s="38" t="s">
        <v>8</v>
      </c>
      <c r="I380" s="40"/>
      <c r="J380" s="40"/>
      <c r="K380" s="35"/>
      <c r="L380" s="35" t="s">
        <v>78</v>
      </c>
      <c r="M380" s="35" t="s">
        <v>79</v>
      </c>
      <c r="N380" s="35"/>
    </row>
    <row r="381" ht="16.5" customHeight="1">
      <c r="A381" s="28" t="s">
        <v>84</v>
      </c>
      <c r="B381" s="29">
        <v>44952.91126194445</v>
      </c>
      <c r="C381" s="28" t="s">
        <v>32</v>
      </c>
      <c r="D381" s="28" t="s">
        <v>77</v>
      </c>
      <c r="E381" s="28">
        <v>2023.0</v>
      </c>
      <c r="F381" s="42">
        <v>44952.91126194445</v>
      </c>
      <c r="G381" s="31">
        <v>2188.0</v>
      </c>
      <c r="H381" s="31" t="s">
        <v>8</v>
      </c>
      <c r="I381" s="33"/>
      <c r="J381" s="33"/>
      <c r="K381" s="28"/>
      <c r="L381" s="28" t="s">
        <v>78</v>
      </c>
      <c r="M381" s="28" t="s">
        <v>79</v>
      </c>
      <c r="N381" s="28"/>
    </row>
    <row r="382" ht="16.5" customHeight="1">
      <c r="A382" s="35" t="s">
        <v>218</v>
      </c>
      <c r="B382" s="36">
        <v>44952.92193239584</v>
      </c>
      <c r="C382" s="35" t="s">
        <v>32</v>
      </c>
      <c r="D382" s="35" t="s">
        <v>77</v>
      </c>
      <c r="E382" s="35">
        <v>2023.0</v>
      </c>
      <c r="F382" s="43">
        <v>44952.92193239584</v>
      </c>
      <c r="G382" s="38">
        <v>2490.0</v>
      </c>
      <c r="H382" s="38" t="s">
        <v>8</v>
      </c>
      <c r="I382" s="40"/>
      <c r="J382" s="40"/>
      <c r="K382" s="35"/>
      <c r="L382" s="35" t="s">
        <v>78</v>
      </c>
      <c r="M382" s="35" t="s">
        <v>79</v>
      </c>
      <c r="N382" s="35"/>
    </row>
    <row r="383" ht="16.5" customHeight="1">
      <c r="A383" s="28" t="s">
        <v>212</v>
      </c>
      <c r="B383" s="29">
        <v>44952.92679150463</v>
      </c>
      <c r="C383" s="28" t="s">
        <v>32</v>
      </c>
      <c r="D383" s="28" t="s">
        <v>77</v>
      </c>
      <c r="E383" s="28">
        <v>2023.0</v>
      </c>
      <c r="F383" s="42">
        <v>44952.92679150463</v>
      </c>
      <c r="G383" s="31">
        <v>2275.0</v>
      </c>
      <c r="H383" s="31" t="s">
        <v>8</v>
      </c>
      <c r="I383" s="33"/>
      <c r="J383" s="33"/>
      <c r="K383" s="28"/>
      <c r="L383" s="28" t="s">
        <v>78</v>
      </c>
      <c r="M383" s="28" t="s">
        <v>79</v>
      </c>
      <c r="N383" s="28"/>
    </row>
    <row r="384" ht="16.5" customHeight="1">
      <c r="A384" s="35" t="s">
        <v>224</v>
      </c>
      <c r="B384" s="36">
        <v>44952.93818813657</v>
      </c>
      <c r="C384" s="35" t="s">
        <v>32</v>
      </c>
      <c r="D384" s="35" t="s">
        <v>77</v>
      </c>
      <c r="E384" s="35">
        <v>2023.0</v>
      </c>
      <c r="F384" s="43">
        <v>44952.93818813657</v>
      </c>
      <c r="G384" s="38">
        <v>2380.0</v>
      </c>
      <c r="H384" s="35"/>
      <c r="I384" s="35"/>
      <c r="J384" s="35"/>
      <c r="K384" s="35"/>
      <c r="L384" s="35" t="s">
        <v>78</v>
      </c>
      <c r="M384" s="35" t="s">
        <v>79</v>
      </c>
      <c r="N384" s="35"/>
    </row>
    <row r="385" ht="16.5" customHeight="1">
      <c r="A385" s="28" t="s">
        <v>228</v>
      </c>
      <c r="B385" s="29">
        <v>44952.93983609954</v>
      </c>
      <c r="C385" s="28" t="s">
        <v>32</v>
      </c>
      <c r="D385" s="28" t="s">
        <v>77</v>
      </c>
      <c r="E385" s="28">
        <v>2023.0</v>
      </c>
      <c r="F385" s="42">
        <v>44952.93983609954</v>
      </c>
      <c r="G385" s="31">
        <v>2624.0</v>
      </c>
      <c r="H385" s="31" t="s">
        <v>8</v>
      </c>
      <c r="I385" s="33"/>
      <c r="J385" s="33"/>
      <c r="K385" s="28"/>
      <c r="L385" s="28" t="s">
        <v>78</v>
      </c>
      <c r="M385" s="28" t="s">
        <v>79</v>
      </c>
      <c r="N385" s="28"/>
    </row>
    <row r="386" ht="16.5" customHeight="1">
      <c r="A386" s="35" t="s">
        <v>225</v>
      </c>
      <c r="B386" s="36">
        <v>44952.94632659722</v>
      </c>
      <c r="C386" s="35" t="s">
        <v>32</v>
      </c>
      <c r="D386" s="35" t="s">
        <v>77</v>
      </c>
      <c r="E386" s="35">
        <v>2023.0</v>
      </c>
      <c r="F386" s="43">
        <v>44952.94632659722</v>
      </c>
      <c r="G386" s="38">
        <v>2454.0</v>
      </c>
      <c r="H386" s="38" t="s">
        <v>8</v>
      </c>
      <c r="I386" s="40"/>
      <c r="J386" s="40"/>
      <c r="K386" s="35"/>
      <c r="L386" s="35" t="s">
        <v>78</v>
      </c>
      <c r="M386" s="35" t="s">
        <v>79</v>
      </c>
      <c r="N386" s="35"/>
    </row>
    <row r="387" ht="16.5" customHeight="1">
      <c r="A387" s="28" t="s">
        <v>226</v>
      </c>
      <c r="B387" s="29">
        <v>44952.95508104167</v>
      </c>
      <c r="C387" s="28" t="s">
        <v>32</v>
      </c>
      <c r="D387" s="28" t="s">
        <v>77</v>
      </c>
      <c r="E387" s="28">
        <v>2023.0</v>
      </c>
      <c r="F387" s="42">
        <v>44952.95508104167</v>
      </c>
      <c r="G387" s="31">
        <v>2359.0</v>
      </c>
      <c r="H387" s="31" t="s">
        <v>8</v>
      </c>
      <c r="I387" s="33"/>
      <c r="J387" s="33"/>
      <c r="K387" s="28"/>
      <c r="L387" s="28" t="s">
        <v>78</v>
      </c>
      <c r="M387" s="28" t="s">
        <v>79</v>
      </c>
      <c r="N387" s="28"/>
    </row>
    <row r="388" ht="16.5" customHeight="1">
      <c r="A388" s="35" t="s">
        <v>230</v>
      </c>
      <c r="B388" s="36">
        <v>44952.96601646991</v>
      </c>
      <c r="C388" s="35" t="s">
        <v>32</v>
      </c>
      <c r="D388" s="35" t="s">
        <v>77</v>
      </c>
      <c r="E388" s="35">
        <v>2023.0</v>
      </c>
      <c r="F388" s="43">
        <v>44952.96601646991</v>
      </c>
      <c r="G388" s="38">
        <v>2395.0</v>
      </c>
      <c r="H388" s="38" t="s">
        <v>8</v>
      </c>
      <c r="I388" s="40"/>
      <c r="J388" s="40"/>
      <c r="K388" s="35"/>
      <c r="L388" s="35" t="s">
        <v>78</v>
      </c>
      <c r="M388" s="35" t="s">
        <v>79</v>
      </c>
      <c r="N388" s="35"/>
    </row>
    <row r="389" ht="16.5" customHeight="1">
      <c r="A389" s="28" t="s">
        <v>188</v>
      </c>
      <c r="B389" s="29">
        <v>44952.96935296296</v>
      </c>
      <c r="C389" s="28" t="s">
        <v>32</v>
      </c>
      <c r="D389" s="28" t="s">
        <v>77</v>
      </c>
      <c r="E389" s="28">
        <v>2023.0</v>
      </c>
      <c r="F389" s="42">
        <v>44952.96935296296</v>
      </c>
      <c r="G389" s="31">
        <v>2201.0</v>
      </c>
      <c r="H389" s="31" t="s">
        <v>8</v>
      </c>
      <c r="I389" s="33"/>
      <c r="J389" s="33"/>
      <c r="K389" s="28"/>
      <c r="L389" s="28" t="s">
        <v>78</v>
      </c>
      <c r="M389" s="28" t="s">
        <v>79</v>
      </c>
      <c r="N389" s="28"/>
    </row>
    <row r="390" ht="16.5" customHeight="1">
      <c r="A390" s="35" t="s">
        <v>236</v>
      </c>
      <c r="B390" s="36">
        <v>44952.97904082176</v>
      </c>
      <c r="C390" s="35" t="s">
        <v>32</v>
      </c>
      <c r="D390" s="35" t="s">
        <v>77</v>
      </c>
      <c r="E390" s="35">
        <v>2023.0</v>
      </c>
      <c r="F390" s="43">
        <v>44952.97904082176</v>
      </c>
      <c r="G390" s="38">
        <v>2657.0</v>
      </c>
      <c r="H390" s="38" t="s">
        <v>8</v>
      </c>
      <c r="I390" s="40"/>
      <c r="J390" s="40"/>
      <c r="K390" s="35"/>
      <c r="L390" s="35" t="s">
        <v>78</v>
      </c>
      <c r="M390" s="35" t="s">
        <v>79</v>
      </c>
      <c r="N390" s="35"/>
    </row>
    <row r="391" ht="16.5" customHeight="1">
      <c r="A391" s="28" t="s">
        <v>229</v>
      </c>
      <c r="B391" s="29">
        <v>44953.00951466435</v>
      </c>
      <c r="C391" s="28" t="s">
        <v>34</v>
      </c>
      <c r="D391" s="28" t="s">
        <v>77</v>
      </c>
      <c r="E391" s="28">
        <v>2023.0</v>
      </c>
      <c r="F391" s="42">
        <v>44953.00951466435</v>
      </c>
      <c r="G391" s="31">
        <v>2573.0</v>
      </c>
      <c r="H391" s="31" t="s">
        <v>8</v>
      </c>
      <c r="I391" s="33"/>
      <c r="J391" s="33"/>
      <c r="K391" s="28"/>
      <c r="L391" s="28" t="s">
        <v>78</v>
      </c>
      <c r="M391" s="28" t="s">
        <v>79</v>
      </c>
      <c r="N391" s="28"/>
    </row>
    <row r="392" ht="16.5" customHeight="1">
      <c r="A392" s="35" t="s">
        <v>215</v>
      </c>
      <c r="B392" s="36">
        <v>44953.01934579861</v>
      </c>
      <c r="C392" s="35" t="s">
        <v>34</v>
      </c>
      <c r="D392" s="35" t="s">
        <v>77</v>
      </c>
      <c r="E392" s="35">
        <v>2023.0</v>
      </c>
      <c r="F392" s="43">
        <v>44953.01934579861</v>
      </c>
      <c r="G392" s="38">
        <v>2227.0</v>
      </c>
      <c r="H392" s="38" t="s">
        <v>8</v>
      </c>
      <c r="I392" s="40"/>
      <c r="J392" s="40"/>
      <c r="K392" s="35"/>
      <c r="L392" s="35" t="s">
        <v>78</v>
      </c>
      <c r="M392" s="35" t="s">
        <v>79</v>
      </c>
      <c r="N392" s="35"/>
    </row>
    <row r="393" ht="16.5" customHeight="1">
      <c r="A393" s="28" t="s">
        <v>211</v>
      </c>
      <c r="B393" s="29">
        <v>44953.05852096065</v>
      </c>
      <c r="C393" s="28" t="s">
        <v>34</v>
      </c>
      <c r="D393" s="28" t="s">
        <v>77</v>
      </c>
      <c r="E393" s="28">
        <v>2023.0</v>
      </c>
      <c r="F393" s="42">
        <v>44953.05852096065</v>
      </c>
      <c r="G393" s="31">
        <v>2438.0</v>
      </c>
      <c r="H393" s="31" t="s">
        <v>8</v>
      </c>
      <c r="I393" s="33"/>
      <c r="J393" s="33"/>
      <c r="K393" s="28"/>
      <c r="L393" s="28" t="s">
        <v>78</v>
      </c>
      <c r="M393" s="28" t="s">
        <v>79</v>
      </c>
      <c r="N393" s="28"/>
    </row>
    <row r="394" ht="16.5" customHeight="1">
      <c r="A394" s="35" t="s">
        <v>209</v>
      </c>
      <c r="B394" s="36">
        <v>44953.07768266204</v>
      </c>
      <c r="C394" s="35" t="s">
        <v>34</v>
      </c>
      <c r="D394" s="35" t="s">
        <v>77</v>
      </c>
      <c r="E394" s="35">
        <v>2023.0</v>
      </c>
      <c r="F394" s="43">
        <v>44953.07768266204</v>
      </c>
      <c r="G394" s="38">
        <v>2206.0</v>
      </c>
      <c r="H394" s="38" t="s">
        <v>8</v>
      </c>
      <c r="I394" s="40"/>
      <c r="J394" s="40"/>
      <c r="K394" s="35"/>
      <c r="L394" s="35" t="s">
        <v>78</v>
      </c>
      <c r="M394" s="35" t="s">
        <v>79</v>
      </c>
      <c r="N394" s="35"/>
    </row>
    <row r="395" ht="16.5" customHeight="1">
      <c r="A395" s="28" t="s">
        <v>209</v>
      </c>
      <c r="B395" s="29">
        <v>44953.07851697916</v>
      </c>
      <c r="C395" s="28" t="s">
        <v>34</v>
      </c>
      <c r="D395" s="28" t="s">
        <v>77</v>
      </c>
      <c r="E395" s="28">
        <v>2023.0</v>
      </c>
      <c r="F395" s="42">
        <v>44953.07851697916</v>
      </c>
      <c r="G395" s="31">
        <v>2206.0</v>
      </c>
      <c r="H395" s="31" t="s">
        <v>8</v>
      </c>
      <c r="I395" s="33"/>
      <c r="J395" s="33"/>
      <c r="K395" s="28"/>
      <c r="L395" s="28" t="s">
        <v>78</v>
      </c>
      <c r="M395" s="28" t="s">
        <v>79</v>
      </c>
      <c r="N395" s="28"/>
    </row>
    <row r="396" ht="16.5" customHeight="1">
      <c r="A396" s="35" t="s">
        <v>185</v>
      </c>
      <c r="B396" s="36">
        <v>44953.12739010417</v>
      </c>
      <c r="C396" s="35" t="s">
        <v>34</v>
      </c>
      <c r="D396" s="35" t="s">
        <v>77</v>
      </c>
      <c r="E396" s="35">
        <v>2023.0</v>
      </c>
      <c r="F396" s="43">
        <v>44953.12739010417</v>
      </c>
      <c r="G396" s="38">
        <v>2513.0</v>
      </c>
      <c r="H396" s="38" t="s">
        <v>8</v>
      </c>
      <c r="I396" s="40"/>
      <c r="J396" s="40"/>
      <c r="K396" s="35"/>
      <c r="L396" s="35" t="s">
        <v>78</v>
      </c>
      <c r="M396" s="35" t="s">
        <v>79</v>
      </c>
      <c r="N396" s="35"/>
    </row>
    <row r="397" ht="16.5" customHeight="1">
      <c r="A397" s="28" t="s">
        <v>234</v>
      </c>
      <c r="B397" s="29">
        <v>44953.16731936343</v>
      </c>
      <c r="C397" s="28" t="s">
        <v>34</v>
      </c>
      <c r="D397" s="28" t="s">
        <v>77</v>
      </c>
      <c r="E397" s="28">
        <v>2023.0</v>
      </c>
      <c r="F397" s="42">
        <v>44953.16731936343</v>
      </c>
      <c r="G397" s="31">
        <v>2661.0</v>
      </c>
      <c r="H397" s="31" t="s">
        <v>8</v>
      </c>
      <c r="I397" s="33"/>
      <c r="J397" s="33"/>
      <c r="K397" s="28"/>
      <c r="L397" s="28" t="s">
        <v>78</v>
      </c>
      <c r="M397" s="28" t="s">
        <v>79</v>
      </c>
      <c r="N397" s="28"/>
    </row>
    <row r="398" ht="16.5" customHeight="1">
      <c r="A398" s="35" t="s">
        <v>216</v>
      </c>
      <c r="B398" s="36">
        <v>44953.19838494213</v>
      </c>
      <c r="C398" s="35" t="s">
        <v>34</v>
      </c>
      <c r="D398" s="35" t="s">
        <v>77</v>
      </c>
      <c r="E398" s="35">
        <v>2023.0</v>
      </c>
      <c r="F398" s="43">
        <v>44953.19838494213</v>
      </c>
      <c r="G398" s="38">
        <v>2244.0</v>
      </c>
      <c r="H398" s="38" t="s">
        <v>8</v>
      </c>
      <c r="I398" s="40"/>
      <c r="J398" s="40"/>
      <c r="K398" s="35"/>
      <c r="L398" s="35" t="s">
        <v>78</v>
      </c>
      <c r="M398" s="35" t="s">
        <v>79</v>
      </c>
      <c r="N398" s="35"/>
    </row>
    <row r="399" ht="16.5" customHeight="1">
      <c r="A399" s="28" t="s">
        <v>219</v>
      </c>
      <c r="B399" s="29">
        <v>44953.21002627315</v>
      </c>
      <c r="C399" s="28" t="s">
        <v>34</v>
      </c>
      <c r="D399" s="28" t="s">
        <v>77</v>
      </c>
      <c r="E399" s="28">
        <v>2023.0</v>
      </c>
      <c r="F399" s="42">
        <v>44953.21002627315</v>
      </c>
      <c r="G399" s="31">
        <v>2216.0</v>
      </c>
      <c r="H399" s="31" t="s">
        <v>8</v>
      </c>
      <c r="I399" s="33"/>
      <c r="J399" s="33"/>
      <c r="K399" s="28"/>
      <c r="L399" s="28" t="s">
        <v>78</v>
      </c>
      <c r="M399" s="28" t="s">
        <v>79</v>
      </c>
      <c r="N399" s="28"/>
    </row>
    <row r="400" ht="16.5" customHeight="1">
      <c r="A400" s="35" t="s">
        <v>170</v>
      </c>
      <c r="B400" s="36">
        <v>44953.223207523144</v>
      </c>
      <c r="C400" s="35" t="s">
        <v>34</v>
      </c>
      <c r="D400" s="35" t="s">
        <v>77</v>
      </c>
      <c r="E400" s="35">
        <v>2023.0</v>
      </c>
      <c r="F400" s="43">
        <v>44953.223207523144</v>
      </c>
      <c r="G400" s="38">
        <v>2632.0</v>
      </c>
      <c r="H400" s="38" t="s">
        <v>8</v>
      </c>
      <c r="I400" s="40"/>
      <c r="J400" s="40"/>
      <c r="K400" s="35"/>
      <c r="L400" s="35" t="s">
        <v>78</v>
      </c>
      <c r="M400" s="35" t="s">
        <v>79</v>
      </c>
      <c r="N400" s="35"/>
    </row>
    <row r="401" ht="16.5" customHeight="1">
      <c r="A401" s="28" t="s">
        <v>314</v>
      </c>
      <c r="B401" s="29">
        <v>44953.297643391204</v>
      </c>
      <c r="C401" s="28" t="s">
        <v>34</v>
      </c>
      <c r="D401" s="28" t="s">
        <v>77</v>
      </c>
      <c r="E401" s="28">
        <v>2023.0</v>
      </c>
      <c r="F401" s="42">
        <v>44953.297643391204</v>
      </c>
      <c r="G401" s="31" t="s">
        <v>315</v>
      </c>
      <c r="H401" s="31" t="s">
        <v>8</v>
      </c>
      <c r="I401" s="33"/>
      <c r="J401" s="33"/>
      <c r="K401" s="28"/>
      <c r="L401" s="28" t="s">
        <v>78</v>
      </c>
      <c r="M401" s="28" t="s">
        <v>79</v>
      </c>
      <c r="N401" s="28"/>
    </row>
    <row r="402" ht="16.5" customHeight="1">
      <c r="A402" s="35" t="s">
        <v>194</v>
      </c>
      <c r="B402" s="36">
        <v>44953.31720952546</v>
      </c>
      <c r="C402" s="35" t="s">
        <v>34</v>
      </c>
      <c r="D402" s="35" t="s">
        <v>77</v>
      </c>
      <c r="E402" s="35">
        <v>2023.0</v>
      </c>
      <c r="F402" s="43">
        <v>44953.31720952546</v>
      </c>
      <c r="G402" s="38">
        <v>2627.0</v>
      </c>
      <c r="H402" s="38" t="s">
        <v>8</v>
      </c>
      <c r="I402" s="40"/>
      <c r="J402" s="40"/>
      <c r="K402" s="35"/>
      <c r="L402" s="35" t="s">
        <v>78</v>
      </c>
      <c r="M402" s="35" t="s">
        <v>79</v>
      </c>
      <c r="N402" s="35"/>
    </row>
    <row r="403" ht="16.5" customHeight="1">
      <c r="A403" s="28" t="s">
        <v>316</v>
      </c>
      <c r="B403" s="29">
        <v>44953.37500885417</v>
      </c>
      <c r="C403" s="28" t="s">
        <v>34</v>
      </c>
      <c r="D403" s="28" t="s">
        <v>77</v>
      </c>
      <c r="E403" s="28">
        <v>2023.0</v>
      </c>
      <c r="F403" s="42">
        <v>44953.37500885417</v>
      </c>
      <c r="G403" s="31" t="s">
        <v>317</v>
      </c>
      <c r="H403" s="31" t="s">
        <v>8</v>
      </c>
      <c r="I403" s="33"/>
      <c r="J403" s="33"/>
      <c r="K403" s="28"/>
      <c r="L403" s="28" t="s">
        <v>78</v>
      </c>
      <c r="M403" s="28" t="s">
        <v>79</v>
      </c>
      <c r="N403" s="28"/>
    </row>
    <row r="404" ht="16.5" customHeight="1">
      <c r="A404" s="35" t="s">
        <v>318</v>
      </c>
      <c r="B404" s="36">
        <v>44953.388304699074</v>
      </c>
      <c r="C404" s="35" t="s">
        <v>34</v>
      </c>
      <c r="D404" s="35" t="s">
        <v>77</v>
      </c>
      <c r="E404" s="35">
        <v>2023.0</v>
      </c>
      <c r="F404" s="43">
        <v>44953.388304699074</v>
      </c>
      <c r="G404" s="38">
        <v>2390.0</v>
      </c>
      <c r="H404" s="38" t="s">
        <v>8</v>
      </c>
      <c r="I404" s="40"/>
      <c r="J404" s="40"/>
      <c r="K404" s="35"/>
      <c r="L404" s="35" t="s">
        <v>78</v>
      </c>
      <c r="M404" s="35" t="s">
        <v>79</v>
      </c>
      <c r="N404" s="35"/>
    </row>
    <row r="405" ht="16.5" customHeight="1">
      <c r="A405" s="28" t="s">
        <v>267</v>
      </c>
      <c r="B405" s="29">
        <v>44953.44037887732</v>
      </c>
      <c r="C405" s="28" t="s">
        <v>34</v>
      </c>
      <c r="D405" s="28" t="s">
        <v>77</v>
      </c>
      <c r="E405" s="28">
        <v>2023.0</v>
      </c>
      <c r="F405" s="42">
        <v>44953.44037887732</v>
      </c>
      <c r="G405" s="31" t="s">
        <v>268</v>
      </c>
      <c r="H405" s="31" t="s">
        <v>8</v>
      </c>
      <c r="I405" s="33"/>
      <c r="J405" s="33"/>
      <c r="K405" s="28"/>
      <c r="L405" s="28" t="s">
        <v>78</v>
      </c>
      <c r="M405" s="28" t="s">
        <v>79</v>
      </c>
      <c r="N405" s="28"/>
    </row>
    <row r="406" ht="16.5" customHeight="1">
      <c r="A406" s="35" t="s">
        <v>319</v>
      </c>
      <c r="B406" s="36">
        <v>44953.66215076389</v>
      </c>
      <c r="C406" s="35" t="s">
        <v>34</v>
      </c>
      <c r="D406" s="35" t="s">
        <v>77</v>
      </c>
      <c r="E406" s="35">
        <v>2023.0</v>
      </c>
      <c r="F406" s="43">
        <v>44953.66215076389</v>
      </c>
      <c r="G406" s="38">
        <v>524.0</v>
      </c>
      <c r="H406" s="38" t="s">
        <v>320</v>
      </c>
      <c r="I406" s="40"/>
      <c r="J406" s="40"/>
      <c r="K406" s="35"/>
      <c r="L406" s="35" t="s">
        <v>78</v>
      </c>
      <c r="M406" s="35" t="s">
        <v>79</v>
      </c>
      <c r="N406" s="35"/>
    </row>
    <row r="407" ht="16.5" customHeight="1">
      <c r="A407" s="28" t="s">
        <v>321</v>
      </c>
      <c r="B407" s="29">
        <v>44953.870716377314</v>
      </c>
      <c r="C407" s="28" t="s">
        <v>34</v>
      </c>
      <c r="D407" s="28" t="s">
        <v>77</v>
      </c>
      <c r="E407" s="28">
        <v>2023.0</v>
      </c>
      <c r="F407" s="42">
        <v>44953.870716377314</v>
      </c>
      <c r="G407" s="31">
        <v>2393.0</v>
      </c>
      <c r="H407" s="31" t="s">
        <v>8</v>
      </c>
      <c r="I407" s="33"/>
      <c r="J407" s="33"/>
      <c r="K407" s="28"/>
      <c r="L407" s="28" t="s">
        <v>78</v>
      </c>
      <c r="M407" s="28" t="s">
        <v>79</v>
      </c>
      <c r="N407" s="28"/>
    </row>
    <row r="408" ht="16.5" customHeight="1">
      <c r="A408" s="35" t="s">
        <v>255</v>
      </c>
      <c r="B408" s="36">
        <v>44953.90087011574</v>
      </c>
      <c r="C408" s="35" t="s">
        <v>34</v>
      </c>
      <c r="D408" s="35" t="s">
        <v>77</v>
      </c>
      <c r="E408" s="35">
        <v>2023.0</v>
      </c>
      <c r="F408" s="43">
        <v>44953.90087011574</v>
      </c>
      <c r="G408" s="38">
        <v>2187.0</v>
      </c>
      <c r="H408" s="38" t="s">
        <v>8</v>
      </c>
      <c r="I408" s="40"/>
      <c r="J408" s="40"/>
      <c r="K408" s="35"/>
      <c r="L408" s="35" t="s">
        <v>78</v>
      </c>
      <c r="M408" s="35" t="s">
        <v>79</v>
      </c>
      <c r="N408" s="35"/>
    </row>
    <row r="409" ht="16.5" customHeight="1">
      <c r="A409" s="28" t="s">
        <v>272</v>
      </c>
      <c r="B409" s="29">
        <v>44953.93914667824</v>
      </c>
      <c r="C409" s="28" t="s">
        <v>34</v>
      </c>
      <c r="D409" s="28" t="s">
        <v>77</v>
      </c>
      <c r="E409" s="28">
        <v>2023.0</v>
      </c>
      <c r="F409" s="42">
        <v>44953.93914667824</v>
      </c>
      <c r="G409" s="31">
        <v>852.0</v>
      </c>
      <c r="H409" s="31" t="s">
        <v>8</v>
      </c>
      <c r="I409" s="33"/>
      <c r="J409" s="33"/>
      <c r="K409" s="28"/>
      <c r="L409" s="28" t="s">
        <v>78</v>
      </c>
      <c r="M409" s="28" t="s">
        <v>79</v>
      </c>
      <c r="N409" s="28"/>
    </row>
    <row r="410" ht="16.5" customHeight="1">
      <c r="A410" s="35" t="s">
        <v>281</v>
      </c>
      <c r="B410" s="36">
        <v>44953.958170729165</v>
      </c>
      <c r="C410" s="35" t="s">
        <v>34</v>
      </c>
      <c r="D410" s="35" t="s">
        <v>77</v>
      </c>
      <c r="E410" s="35">
        <v>2023.0</v>
      </c>
      <c r="F410" s="43">
        <v>44953.958170729165</v>
      </c>
      <c r="G410" s="38">
        <v>2469.0</v>
      </c>
      <c r="H410" s="38" t="s">
        <v>8</v>
      </c>
      <c r="I410" s="40"/>
      <c r="J410" s="40"/>
      <c r="K410" s="35"/>
      <c r="L410" s="35" t="s">
        <v>78</v>
      </c>
      <c r="M410" s="35" t="s">
        <v>79</v>
      </c>
      <c r="N410" s="35"/>
    </row>
    <row r="411" ht="16.5" customHeight="1">
      <c r="A411" s="28" t="s">
        <v>81</v>
      </c>
      <c r="B411" s="29">
        <v>44953.98493586805</v>
      </c>
      <c r="C411" s="28" t="s">
        <v>34</v>
      </c>
      <c r="D411" s="28" t="s">
        <v>77</v>
      </c>
      <c r="E411" s="28">
        <v>2023.0</v>
      </c>
      <c r="F411" s="42">
        <v>44953.98493586805</v>
      </c>
      <c r="G411" s="31">
        <v>2462.0</v>
      </c>
      <c r="H411" s="31" t="s">
        <v>8</v>
      </c>
      <c r="I411" s="33"/>
      <c r="J411" s="33"/>
      <c r="K411" s="28"/>
      <c r="L411" s="28" t="s">
        <v>78</v>
      </c>
      <c r="M411" s="28" t="s">
        <v>79</v>
      </c>
      <c r="N411" s="28"/>
    </row>
    <row r="412" ht="16.5" customHeight="1">
      <c r="A412" s="35" t="s">
        <v>93</v>
      </c>
      <c r="B412" s="36">
        <v>44954.02057533565</v>
      </c>
      <c r="C412" s="35" t="s">
        <v>42</v>
      </c>
      <c r="D412" s="35" t="s">
        <v>77</v>
      </c>
      <c r="E412" s="35">
        <v>2023.0</v>
      </c>
      <c r="F412" s="43">
        <v>44954.02057533565</v>
      </c>
      <c r="G412" s="38">
        <v>2421.0</v>
      </c>
      <c r="H412" s="38" t="s">
        <v>8</v>
      </c>
      <c r="I412" s="40"/>
      <c r="J412" s="40"/>
      <c r="K412" s="35"/>
      <c r="L412" s="35" t="s">
        <v>78</v>
      </c>
      <c r="M412" s="35" t="s">
        <v>79</v>
      </c>
      <c r="N412" s="35"/>
    </row>
    <row r="413" ht="16.5" customHeight="1">
      <c r="A413" s="28" t="s">
        <v>284</v>
      </c>
      <c r="B413" s="29">
        <v>44954.03136574074</v>
      </c>
      <c r="C413" s="28" t="s">
        <v>42</v>
      </c>
      <c r="D413" s="28" t="s">
        <v>77</v>
      </c>
      <c r="E413" s="28">
        <v>2023.0</v>
      </c>
      <c r="F413" s="42">
        <v>44954.03136574074</v>
      </c>
      <c r="G413" s="31">
        <v>2392.0</v>
      </c>
      <c r="H413" s="31" t="s">
        <v>8</v>
      </c>
      <c r="I413" s="33"/>
      <c r="J413" s="33"/>
      <c r="K413" s="28"/>
      <c r="L413" s="28" t="s">
        <v>78</v>
      </c>
      <c r="M413" s="28" t="s">
        <v>79</v>
      </c>
      <c r="N413" s="28"/>
    </row>
    <row r="414" ht="16.5" customHeight="1">
      <c r="A414" s="35" t="s">
        <v>273</v>
      </c>
      <c r="B414" s="36">
        <v>44954.05741363426</v>
      </c>
      <c r="C414" s="35" t="s">
        <v>42</v>
      </c>
      <c r="D414" s="35" t="s">
        <v>77</v>
      </c>
      <c r="E414" s="35">
        <v>2023.0</v>
      </c>
      <c r="F414" s="43">
        <v>44954.05741363426</v>
      </c>
      <c r="G414" s="38">
        <v>2388.0</v>
      </c>
      <c r="H414" s="38" t="s">
        <v>8</v>
      </c>
      <c r="I414" s="40"/>
      <c r="J414" s="40"/>
      <c r="K414" s="35"/>
      <c r="L414" s="35" t="s">
        <v>78</v>
      </c>
      <c r="M414" s="35" t="s">
        <v>79</v>
      </c>
      <c r="N414" s="35"/>
    </row>
    <row r="415" ht="16.5" customHeight="1">
      <c r="A415" s="28" t="s">
        <v>252</v>
      </c>
      <c r="B415" s="29">
        <v>44954.081941956014</v>
      </c>
      <c r="C415" s="28" t="s">
        <v>42</v>
      </c>
      <c r="D415" s="28" t="s">
        <v>77</v>
      </c>
      <c r="E415" s="28">
        <v>2023.0</v>
      </c>
      <c r="F415" s="42">
        <v>44954.081941956014</v>
      </c>
      <c r="G415" s="31">
        <v>2217.0</v>
      </c>
      <c r="H415" s="31" t="s">
        <v>8</v>
      </c>
      <c r="I415" s="33"/>
      <c r="J415" s="33"/>
      <c r="K415" s="28"/>
      <c r="L415" s="28" t="s">
        <v>78</v>
      </c>
      <c r="M415" s="28" t="s">
        <v>79</v>
      </c>
      <c r="N415" s="28"/>
    </row>
    <row r="416" ht="16.5" customHeight="1">
      <c r="A416" s="35" t="s">
        <v>279</v>
      </c>
      <c r="B416" s="36">
        <v>44954.10481438658</v>
      </c>
      <c r="C416" s="35" t="s">
        <v>42</v>
      </c>
      <c r="D416" s="35" t="s">
        <v>77</v>
      </c>
      <c r="E416" s="35">
        <v>2023.0</v>
      </c>
      <c r="F416" s="43">
        <v>44954.10481438658</v>
      </c>
      <c r="G416" s="38">
        <v>2400.0</v>
      </c>
      <c r="H416" s="38" t="s">
        <v>8</v>
      </c>
      <c r="I416" s="40"/>
      <c r="J416" s="40"/>
      <c r="K416" s="35"/>
      <c r="L416" s="35" t="s">
        <v>78</v>
      </c>
      <c r="M416" s="35" t="s">
        <v>79</v>
      </c>
      <c r="N416" s="35"/>
    </row>
    <row r="417" ht="16.5" customHeight="1">
      <c r="A417" s="28" t="s">
        <v>280</v>
      </c>
      <c r="B417" s="29">
        <v>44954.118935185186</v>
      </c>
      <c r="C417" s="28" t="s">
        <v>42</v>
      </c>
      <c r="D417" s="28" t="s">
        <v>77</v>
      </c>
      <c r="E417" s="28">
        <v>2023.0</v>
      </c>
      <c r="F417" s="42">
        <v>44954.118935185186</v>
      </c>
      <c r="G417" s="31">
        <v>2455.0</v>
      </c>
      <c r="H417" s="31" t="s">
        <v>8</v>
      </c>
      <c r="I417" s="33"/>
      <c r="J417" s="33"/>
      <c r="K417" s="28"/>
      <c r="L417" s="28" t="s">
        <v>78</v>
      </c>
      <c r="M417" s="28" t="s">
        <v>79</v>
      </c>
      <c r="N417" s="28"/>
    </row>
    <row r="418" ht="16.5" customHeight="1">
      <c r="A418" s="35" t="s">
        <v>256</v>
      </c>
      <c r="B418" s="36">
        <v>44954.1270621875</v>
      </c>
      <c r="C418" s="35" t="s">
        <v>42</v>
      </c>
      <c r="D418" s="35" t="s">
        <v>77</v>
      </c>
      <c r="E418" s="35">
        <v>2023.0</v>
      </c>
      <c r="F418" s="43">
        <v>44954.1270621875</v>
      </c>
      <c r="G418" s="38">
        <v>2625.0</v>
      </c>
      <c r="H418" s="38" t="s">
        <v>8</v>
      </c>
      <c r="I418" s="40"/>
      <c r="J418" s="40"/>
      <c r="K418" s="35"/>
      <c r="L418" s="35" t="s">
        <v>78</v>
      </c>
      <c r="M418" s="35" t="s">
        <v>79</v>
      </c>
      <c r="N418" s="35"/>
    </row>
    <row r="419" ht="16.5" customHeight="1">
      <c r="A419" s="28" t="s">
        <v>257</v>
      </c>
      <c r="B419" s="29">
        <v>44954.14305064815</v>
      </c>
      <c r="C419" s="28" t="s">
        <v>42</v>
      </c>
      <c r="D419" s="28" t="s">
        <v>77</v>
      </c>
      <c r="E419" s="28">
        <v>2023.0</v>
      </c>
      <c r="F419" s="42">
        <v>44954.14305064815</v>
      </c>
      <c r="G419" s="31">
        <v>2179.0</v>
      </c>
      <c r="H419" s="31" t="s">
        <v>8</v>
      </c>
      <c r="I419" s="33"/>
      <c r="J419" s="33"/>
      <c r="K419" s="28"/>
      <c r="L419" s="28" t="s">
        <v>78</v>
      </c>
      <c r="M419" s="28" t="s">
        <v>79</v>
      </c>
      <c r="N419" s="28"/>
    </row>
    <row r="420" ht="16.5" customHeight="1">
      <c r="A420" s="35" t="s">
        <v>322</v>
      </c>
      <c r="B420" s="36">
        <v>44956.32535509259</v>
      </c>
      <c r="C420" s="35" t="s">
        <v>63</v>
      </c>
      <c r="D420" s="35" t="s">
        <v>77</v>
      </c>
      <c r="E420" s="35">
        <v>2023.0</v>
      </c>
      <c r="F420" s="43">
        <v>44956.32535509259</v>
      </c>
      <c r="G420" s="38">
        <v>222021.0</v>
      </c>
      <c r="H420" s="38" t="s">
        <v>8</v>
      </c>
      <c r="I420" s="40"/>
      <c r="J420" s="40"/>
      <c r="K420" s="35"/>
      <c r="L420" s="35" t="s">
        <v>78</v>
      </c>
      <c r="M420" s="35" t="s">
        <v>79</v>
      </c>
      <c r="N420" s="35"/>
    </row>
    <row r="421" ht="16.5" customHeight="1">
      <c r="A421" s="28" t="s">
        <v>323</v>
      </c>
      <c r="B421" s="29">
        <v>44956.43447702547</v>
      </c>
      <c r="C421" s="28" t="s">
        <v>63</v>
      </c>
      <c r="D421" s="28" t="s">
        <v>77</v>
      </c>
      <c r="E421" s="28">
        <v>2023.0</v>
      </c>
      <c r="F421" s="42">
        <v>44956.43447702547</v>
      </c>
      <c r="G421" s="31" t="s">
        <v>324</v>
      </c>
      <c r="H421" s="31" t="s">
        <v>8</v>
      </c>
      <c r="I421" s="33"/>
      <c r="J421" s="33"/>
      <c r="K421" s="28"/>
      <c r="L421" s="28" t="s">
        <v>78</v>
      </c>
      <c r="M421" s="28" t="s">
        <v>79</v>
      </c>
      <c r="N421" s="28"/>
    </row>
    <row r="422" ht="16.5" customHeight="1">
      <c r="A422" s="35" t="s">
        <v>325</v>
      </c>
      <c r="B422" s="36">
        <v>44956.45696730324</v>
      </c>
      <c r="C422" s="35" t="s">
        <v>63</v>
      </c>
      <c r="D422" s="35" t="s">
        <v>77</v>
      </c>
      <c r="E422" s="35">
        <v>2023.0</v>
      </c>
      <c r="F422" s="43">
        <v>44956.45696730324</v>
      </c>
      <c r="G422" s="38">
        <v>2746.0</v>
      </c>
      <c r="H422" s="38" t="s">
        <v>8</v>
      </c>
      <c r="I422" s="40"/>
      <c r="J422" s="40"/>
      <c r="K422" s="35"/>
      <c r="L422" s="35" t="s">
        <v>78</v>
      </c>
      <c r="M422" s="35" t="s">
        <v>79</v>
      </c>
      <c r="N422" s="35"/>
    </row>
    <row r="423" ht="16.5" customHeight="1">
      <c r="A423" s="28" t="s">
        <v>75</v>
      </c>
      <c r="B423" s="29">
        <v>44956.87857725694</v>
      </c>
      <c r="C423" s="28" t="s">
        <v>63</v>
      </c>
      <c r="D423" s="28" t="s">
        <v>77</v>
      </c>
      <c r="E423" s="28">
        <v>2023.0</v>
      </c>
      <c r="F423" s="42">
        <v>44956.87857725694</v>
      </c>
      <c r="G423" s="31">
        <v>2450.0</v>
      </c>
      <c r="H423" s="31" t="s">
        <v>8</v>
      </c>
      <c r="I423" s="33"/>
      <c r="J423" s="33"/>
      <c r="K423" s="28"/>
      <c r="L423" s="28" t="s">
        <v>78</v>
      </c>
      <c r="M423" s="28" t="s">
        <v>79</v>
      </c>
      <c r="N423" s="28"/>
    </row>
    <row r="424" ht="16.5" customHeight="1">
      <c r="A424" s="35" t="s">
        <v>88</v>
      </c>
      <c r="B424" s="36">
        <v>44956.879102499995</v>
      </c>
      <c r="C424" s="35" t="s">
        <v>63</v>
      </c>
      <c r="D424" s="35" t="s">
        <v>77</v>
      </c>
      <c r="E424" s="35">
        <v>2023.0</v>
      </c>
      <c r="F424" s="43">
        <v>44956.879102499995</v>
      </c>
      <c r="G424" s="38">
        <v>2628.0</v>
      </c>
      <c r="H424" s="38" t="s">
        <v>8</v>
      </c>
      <c r="I424" s="40"/>
      <c r="J424" s="40"/>
      <c r="K424" s="35"/>
      <c r="L424" s="35" t="s">
        <v>78</v>
      </c>
      <c r="M424" s="35" t="s">
        <v>79</v>
      </c>
      <c r="N424" s="35"/>
    </row>
    <row r="425" ht="16.5" customHeight="1">
      <c r="A425" s="28" t="s">
        <v>260</v>
      </c>
      <c r="B425" s="29">
        <v>44956.92656497685</v>
      </c>
      <c r="C425" s="28" t="s">
        <v>63</v>
      </c>
      <c r="D425" s="28" t="s">
        <v>77</v>
      </c>
      <c r="E425" s="28">
        <v>2023.0</v>
      </c>
      <c r="F425" s="42">
        <v>44956.92656497685</v>
      </c>
      <c r="G425" s="31">
        <v>2662.0</v>
      </c>
      <c r="H425" s="31" t="s">
        <v>8</v>
      </c>
      <c r="I425" s="33"/>
      <c r="J425" s="33"/>
      <c r="K425" s="28"/>
      <c r="L425" s="28" t="s">
        <v>78</v>
      </c>
      <c r="M425" s="28" t="s">
        <v>79</v>
      </c>
      <c r="N425" s="28"/>
    </row>
    <row r="426" ht="16.5" customHeight="1">
      <c r="A426" s="35" t="s">
        <v>286</v>
      </c>
      <c r="B426" s="36">
        <v>44956.9270703588</v>
      </c>
      <c r="C426" s="35" t="s">
        <v>63</v>
      </c>
      <c r="D426" s="35" t="s">
        <v>77</v>
      </c>
      <c r="E426" s="35">
        <v>2023.0</v>
      </c>
      <c r="F426" s="43">
        <v>44956.9270703588</v>
      </c>
      <c r="G426" s="38">
        <v>2233.0</v>
      </c>
      <c r="H426" s="38" t="s">
        <v>8</v>
      </c>
      <c r="I426" s="40"/>
      <c r="J426" s="40"/>
      <c r="K426" s="35"/>
      <c r="L426" s="35" t="s">
        <v>78</v>
      </c>
      <c r="M426" s="35" t="s">
        <v>79</v>
      </c>
      <c r="N426" s="35"/>
    </row>
    <row r="427" ht="16.5" customHeight="1">
      <c r="A427" s="28" t="s">
        <v>112</v>
      </c>
      <c r="B427" s="29">
        <v>44956.948694606486</v>
      </c>
      <c r="C427" s="28" t="s">
        <v>63</v>
      </c>
      <c r="D427" s="28" t="s">
        <v>77</v>
      </c>
      <c r="E427" s="28">
        <v>2023.0</v>
      </c>
      <c r="F427" s="42">
        <v>44956.948694606486</v>
      </c>
      <c r="G427" s="31">
        <v>2423.0</v>
      </c>
      <c r="H427" s="31" t="s">
        <v>8</v>
      </c>
      <c r="I427" s="33"/>
      <c r="J427" s="33"/>
      <c r="K427" s="28"/>
      <c r="L427" s="28" t="s">
        <v>78</v>
      </c>
      <c r="M427" s="28" t="s">
        <v>79</v>
      </c>
      <c r="N427" s="28"/>
    </row>
    <row r="428" ht="16.5" customHeight="1">
      <c r="A428" s="35" t="s">
        <v>214</v>
      </c>
      <c r="B428" s="36">
        <v>44956.949246724536</v>
      </c>
      <c r="C428" s="35" t="s">
        <v>63</v>
      </c>
      <c r="D428" s="35" t="s">
        <v>77</v>
      </c>
      <c r="E428" s="35">
        <v>2023.0</v>
      </c>
      <c r="F428" s="43">
        <v>44956.949246724536</v>
      </c>
      <c r="G428" s="38">
        <v>2570.0</v>
      </c>
      <c r="H428" s="38" t="s">
        <v>8</v>
      </c>
      <c r="I428" s="40"/>
      <c r="J428" s="40"/>
      <c r="K428" s="35"/>
      <c r="L428" s="35" t="s">
        <v>78</v>
      </c>
      <c r="M428" s="35" t="s">
        <v>79</v>
      </c>
      <c r="N428" s="35"/>
    </row>
    <row r="429" ht="16.5" customHeight="1">
      <c r="A429" s="28" t="s">
        <v>231</v>
      </c>
      <c r="B429" s="29">
        <v>44957.00632221065</v>
      </c>
      <c r="C429" s="28" t="s">
        <v>71</v>
      </c>
      <c r="D429" s="28" t="s">
        <v>77</v>
      </c>
      <c r="E429" s="28">
        <v>2023.0</v>
      </c>
      <c r="F429" s="42">
        <v>44957.00632221065</v>
      </c>
      <c r="G429" s="31">
        <v>2466.0</v>
      </c>
      <c r="H429" s="31" t="s">
        <v>8</v>
      </c>
      <c r="I429" s="33"/>
      <c r="J429" s="33"/>
      <c r="K429" s="28"/>
      <c r="L429" s="28" t="s">
        <v>78</v>
      </c>
      <c r="M429" s="28" t="s">
        <v>79</v>
      </c>
      <c r="N429" s="28"/>
    </row>
    <row r="430" ht="16.5" customHeight="1">
      <c r="A430" s="35" t="s">
        <v>144</v>
      </c>
      <c r="B430" s="36">
        <v>44957.010512106484</v>
      </c>
      <c r="C430" s="35" t="s">
        <v>71</v>
      </c>
      <c r="D430" s="35" t="s">
        <v>77</v>
      </c>
      <c r="E430" s="35">
        <v>2023.0</v>
      </c>
      <c r="F430" s="43">
        <v>44957.010512106484</v>
      </c>
      <c r="G430" s="38">
        <v>2253.0</v>
      </c>
      <c r="H430" s="38" t="s">
        <v>8</v>
      </c>
      <c r="I430" s="40"/>
      <c r="J430" s="40"/>
      <c r="K430" s="35"/>
      <c r="L430" s="35" t="s">
        <v>78</v>
      </c>
      <c r="M430" s="35" t="s">
        <v>79</v>
      </c>
      <c r="N430" s="35"/>
    </row>
    <row r="431" ht="16.5" customHeight="1">
      <c r="A431" s="28" t="s">
        <v>213</v>
      </c>
      <c r="B431" s="29">
        <v>44957.02347079861</v>
      </c>
      <c r="C431" s="28" t="s">
        <v>71</v>
      </c>
      <c r="D431" s="28" t="s">
        <v>77</v>
      </c>
      <c r="E431" s="28">
        <v>2023.0</v>
      </c>
      <c r="F431" s="42">
        <v>44957.02347079861</v>
      </c>
      <c r="G431" s="31">
        <v>2569.0</v>
      </c>
      <c r="H431" s="31" t="s">
        <v>8</v>
      </c>
      <c r="I431" s="33"/>
      <c r="J431" s="33"/>
      <c r="K431" s="28"/>
      <c r="L431" s="28" t="s">
        <v>78</v>
      </c>
      <c r="M431" s="28" t="s">
        <v>79</v>
      </c>
      <c r="N431" s="28"/>
    </row>
    <row r="432" ht="16.5" customHeight="1">
      <c r="A432" s="35" t="s">
        <v>130</v>
      </c>
      <c r="B432" s="36">
        <v>44957.02400049768</v>
      </c>
      <c r="C432" s="35" t="s">
        <v>71</v>
      </c>
      <c r="D432" s="35" t="s">
        <v>77</v>
      </c>
      <c r="E432" s="35">
        <v>2023.0</v>
      </c>
      <c r="F432" s="43">
        <v>44957.02400049768</v>
      </c>
      <c r="G432" s="38">
        <v>2180.0</v>
      </c>
      <c r="H432" s="38" t="s">
        <v>8</v>
      </c>
      <c r="I432" s="40"/>
      <c r="J432" s="40"/>
      <c r="K432" s="35"/>
      <c r="L432" s="35" t="s">
        <v>78</v>
      </c>
      <c r="M432" s="35" t="s">
        <v>79</v>
      </c>
      <c r="N432" s="35"/>
    </row>
    <row r="433" ht="16.5" customHeight="1">
      <c r="A433" s="28" t="s">
        <v>147</v>
      </c>
      <c r="B433" s="29">
        <v>44957.03461094908</v>
      </c>
      <c r="C433" s="28" t="s">
        <v>71</v>
      </c>
      <c r="D433" s="28" t="s">
        <v>77</v>
      </c>
      <c r="E433" s="28">
        <v>2023.0</v>
      </c>
      <c r="F433" s="42">
        <v>44957.03461094908</v>
      </c>
      <c r="G433" s="31">
        <v>2381.0</v>
      </c>
      <c r="H433" s="31" t="s">
        <v>8</v>
      </c>
      <c r="I433" s="33"/>
      <c r="J433" s="33"/>
      <c r="K433" s="28"/>
      <c r="L433" s="28" t="s">
        <v>78</v>
      </c>
      <c r="M433" s="28" t="s">
        <v>79</v>
      </c>
      <c r="N433" s="28"/>
    </row>
    <row r="434" ht="16.5" customHeight="1">
      <c r="A434" s="35" t="s">
        <v>99</v>
      </c>
      <c r="B434" s="36">
        <v>44957.049970300926</v>
      </c>
      <c r="C434" s="35" t="s">
        <v>71</v>
      </c>
      <c r="D434" s="35" t="s">
        <v>77</v>
      </c>
      <c r="E434" s="35">
        <v>2023.0</v>
      </c>
      <c r="F434" s="43">
        <v>44957.049970300926</v>
      </c>
      <c r="G434" s="38">
        <v>2458.0</v>
      </c>
      <c r="H434" s="38" t="s">
        <v>8</v>
      </c>
      <c r="I434" s="40"/>
      <c r="J434" s="40"/>
      <c r="K434" s="35"/>
      <c r="L434" s="35" t="s">
        <v>78</v>
      </c>
      <c r="M434" s="35" t="s">
        <v>79</v>
      </c>
      <c r="N434" s="35"/>
    </row>
    <row r="435" ht="16.5" customHeight="1">
      <c r="A435" s="28" t="s">
        <v>235</v>
      </c>
      <c r="B435" s="29">
        <v>44957.084220289355</v>
      </c>
      <c r="C435" s="28" t="s">
        <v>71</v>
      </c>
      <c r="D435" s="28" t="s">
        <v>77</v>
      </c>
      <c r="E435" s="28">
        <v>2023.0</v>
      </c>
      <c r="F435" s="42">
        <v>44957.084220289355</v>
      </c>
      <c r="G435" s="31">
        <v>2670.0</v>
      </c>
      <c r="H435" s="31" t="s">
        <v>8</v>
      </c>
      <c r="I435" s="33"/>
      <c r="J435" s="33"/>
      <c r="K435" s="28"/>
      <c r="L435" s="28" t="s">
        <v>78</v>
      </c>
      <c r="M435" s="28" t="s">
        <v>79</v>
      </c>
      <c r="N435" s="28"/>
    </row>
    <row r="436" ht="16.5" customHeight="1">
      <c r="A436" s="35" t="s">
        <v>235</v>
      </c>
      <c r="B436" s="36">
        <v>44957.08500732639</v>
      </c>
      <c r="C436" s="35" t="s">
        <v>71</v>
      </c>
      <c r="D436" s="35" t="s">
        <v>77</v>
      </c>
      <c r="E436" s="35">
        <v>2023.0</v>
      </c>
      <c r="F436" s="43">
        <v>44957.08500732639</v>
      </c>
      <c r="G436" s="38">
        <v>2670.0</v>
      </c>
      <c r="H436" s="38" t="s">
        <v>8</v>
      </c>
      <c r="I436" s="40"/>
      <c r="J436" s="40"/>
      <c r="K436" s="35"/>
      <c r="L436" s="35" t="s">
        <v>78</v>
      </c>
      <c r="M436" s="35" t="s">
        <v>79</v>
      </c>
      <c r="N436" s="35"/>
    </row>
    <row r="437" ht="16.5" customHeight="1">
      <c r="A437" s="28" t="s">
        <v>169</v>
      </c>
      <c r="B437" s="29">
        <v>44957.09982481481</v>
      </c>
      <c r="C437" s="28" t="s">
        <v>71</v>
      </c>
      <c r="D437" s="28" t="s">
        <v>77</v>
      </c>
      <c r="E437" s="28">
        <v>2023.0</v>
      </c>
      <c r="F437" s="42">
        <v>44957.09982481481</v>
      </c>
      <c r="G437" s="31">
        <v>2422.0</v>
      </c>
      <c r="H437" s="31" t="s">
        <v>8</v>
      </c>
      <c r="I437" s="33"/>
      <c r="J437" s="33"/>
      <c r="K437" s="28"/>
      <c r="L437" s="28" t="s">
        <v>78</v>
      </c>
      <c r="M437" s="28" t="s">
        <v>79</v>
      </c>
      <c r="N437" s="28"/>
    </row>
    <row r="438" ht="16.5" customHeight="1">
      <c r="A438" s="35" t="s">
        <v>90</v>
      </c>
      <c r="B438" s="36">
        <v>44957.107647233795</v>
      </c>
      <c r="C438" s="35" t="s">
        <v>71</v>
      </c>
      <c r="D438" s="35" t="s">
        <v>77</v>
      </c>
      <c r="E438" s="35">
        <v>2023.0</v>
      </c>
      <c r="F438" s="43">
        <v>44957.107647233795</v>
      </c>
      <c r="G438" s="38">
        <v>2572.0</v>
      </c>
      <c r="H438" s="38" t="s">
        <v>8</v>
      </c>
      <c r="I438" s="40"/>
      <c r="J438" s="40"/>
      <c r="K438" s="35"/>
      <c r="L438" s="35" t="s">
        <v>78</v>
      </c>
      <c r="M438" s="35" t="s">
        <v>79</v>
      </c>
      <c r="N438" s="35"/>
    </row>
    <row r="439" ht="16.5" customHeight="1">
      <c r="A439" s="28" t="s">
        <v>258</v>
      </c>
      <c r="B439" s="29">
        <v>44957.148859733796</v>
      </c>
      <c r="C439" s="28" t="s">
        <v>71</v>
      </c>
      <c r="D439" s="28" t="s">
        <v>77</v>
      </c>
      <c r="E439" s="28">
        <v>2023.0</v>
      </c>
      <c r="F439" s="42">
        <v>44957.148859733796</v>
      </c>
      <c r="G439" s="31">
        <v>2680.0</v>
      </c>
      <c r="H439" s="31" t="s">
        <v>8</v>
      </c>
      <c r="I439" s="33"/>
      <c r="J439" s="33"/>
      <c r="K439" s="28"/>
      <c r="L439" s="28" t="s">
        <v>78</v>
      </c>
      <c r="M439" s="28" t="s">
        <v>79</v>
      </c>
      <c r="N439" s="28"/>
    </row>
    <row r="440" ht="16.5" customHeight="1">
      <c r="A440" s="35" t="s">
        <v>101</v>
      </c>
      <c r="B440" s="36">
        <v>44957.15438633102</v>
      </c>
      <c r="C440" s="35" t="s">
        <v>71</v>
      </c>
      <c r="D440" s="35" t="s">
        <v>77</v>
      </c>
      <c r="E440" s="35">
        <v>2023.0</v>
      </c>
      <c r="F440" s="43">
        <v>44957.15438633102</v>
      </c>
      <c r="G440" s="38">
        <v>2659.0</v>
      </c>
      <c r="H440" s="38" t="s">
        <v>8</v>
      </c>
      <c r="I440" s="40"/>
      <c r="J440" s="40"/>
      <c r="K440" s="35"/>
      <c r="L440" s="35" t="s">
        <v>78</v>
      </c>
      <c r="M440" s="35" t="s">
        <v>79</v>
      </c>
      <c r="N440" s="35"/>
    </row>
    <row r="441" ht="16.5" customHeight="1">
      <c r="A441" s="28" t="s">
        <v>92</v>
      </c>
      <c r="B441" s="29">
        <v>44957.174032650466</v>
      </c>
      <c r="C441" s="28" t="s">
        <v>71</v>
      </c>
      <c r="D441" s="28" t="s">
        <v>77</v>
      </c>
      <c r="E441" s="28">
        <v>2023.0</v>
      </c>
      <c r="F441" s="42">
        <v>44957.174032650466</v>
      </c>
      <c r="G441" s="31">
        <v>2457.0</v>
      </c>
      <c r="H441" s="31" t="s">
        <v>8</v>
      </c>
      <c r="I441" s="33"/>
      <c r="J441" s="33"/>
      <c r="K441" s="28"/>
      <c r="L441" s="28" t="s">
        <v>78</v>
      </c>
      <c r="M441" s="28" t="s">
        <v>79</v>
      </c>
      <c r="N441" s="28"/>
    </row>
    <row r="442" ht="16.5" customHeight="1">
      <c r="A442" s="35" t="s">
        <v>157</v>
      </c>
      <c r="B442" s="36">
        <v>44957.19376390046</v>
      </c>
      <c r="C442" s="35" t="s">
        <v>71</v>
      </c>
      <c r="D442" s="35" t="s">
        <v>77</v>
      </c>
      <c r="E442" s="35">
        <v>2023.0</v>
      </c>
      <c r="F442" s="43">
        <v>44957.19376390046</v>
      </c>
      <c r="G442" s="38">
        <v>2366.0</v>
      </c>
      <c r="H442" s="38" t="s">
        <v>8</v>
      </c>
      <c r="I442" s="40"/>
      <c r="J442" s="40"/>
      <c r="K442" s="35"/>
      <c r="L442" s="35" t="s">
        <v>78</v>
      </c>
      <c r="M442" s="35" t="s">
        <v>79</v>
      </c>
      <c r="N442" s="35"/>
    </row>
    <row r="443" ht="16.5" customHeight="1">
      <c r="A443" s="28" t="s">
        <v>326</v>
      </c>
      <c r="B443" s="29">
        <v>44957.22833745371</v>
      </c>
      <c r="C443" s="28" t="s">
        <v>71</v>
      </c>
      <c r="D443" s="28" t="s">
        <v>77</v>
      </c>
      <c r="E443" s="28">
        <v>2023.0</v>
      </c>
      <c r="F443" s="42">
        <v>44957.22833745371</v>
      </c>
      <c r="G443" s="31">
        <v>2298.0</v>
      </c>
      <c r="H443" s="31" t="s">
        <v>8</v>
      </c>
      <c r="I443" s="33"/>
      <c r="J443" s="33"/>
      <c r="K443" s="28"/>
      <c r="L443" s="28" t="s">
        <v>78</v>
      </c>
      <c r="M443" s="28" t="s">
        <v>79</v>
      </c>
      <c r="N443" s="28"/>
    </row>
    <row r="444" ht="16.5" customHeight="1">
      <c r="A444" s="35" t="s">
        <v>246</v>
      </c>
      <c r="B444" s="36">
        <v>44957.23043178241</v>
      </c>
      <c r="C444" s="35" t="s">
        <v>71</v>
      </c>
      <c r="D444" s="35" t="s">
        <v>77</v>
      </c>
      <c r="E444" s="35">
        <v>2023.0</v>
      </c>
      <c r="F444" s="43">
        <v>44957.23043178241</v>
      </c>
      <c r="G444" s="38">
        <v>472.0</v>
      </c>
      <c r="H444" s="38" t="s">
        <v>8</v>
      </c>
      <c r="I444" s="40"/>
      <c r="J444" s="40"/>
      <c r="K444" s="35"/>
      <c r="L444" s="35" t="s">
        <v>78</v>
      </c>
      <c r="M444" s="35" t="s">
        <v>79</v>
      </c>
      <c r="N444" s="35"/>
    </row>
    <row r="445" ht="16.5" customHeight="1">
      <c r="A445" s="28" t="s">
        <v>254</v>
      </c>
      <c r="B445" s="29">
        <v>44957.231171377316</v>
      </c>
      <c r="C445" s="28" t="s">
        <v>71</v>
      </c>
      <c r="D445" s="28" t="s">
        <v>77</v>
      </c>
      <c r="E445" s="28">
        <v>2023.0</v>
      </c>
      <c r="F445" s="42">
        <v>44957.231171377316</v>
      </c>
      <c r="G445" s="31">
        <v>2633.0</v>
      </c>
      <c r="H445" s="31" t="s">
        <v>8</v>
      </c>
      <c r="I445" s="33"/>
      <c r="J445" s="33"/>
      <c r="K445" s="28"/>
      <c r="L445" s="28" t="s">
        <v>78</v>
      </c>
      <c r="M445" s="28" t="s">
        <v>79</v>
      </c>
      <c r="N445" s="28"/>
    </row>
    <row r="446" ht="16.5" customHeight="1">
      <c r="A446" s="35" t="s">
        <v>278</v>
      </c>
      <c r="B446" s="36">
        <v>44957.336146064816</v>
      </c>
      <c r="C446" s="35" t="s">
        <v>71</v>
      </c>
      <c r="D446" s="35" t="s">
        <v>77</v>
      </c>
      <c r="E446" s="35">
        <v>2023.0</v>
      </c>
      <c r="F446" s="43">
        <v>44957.336146064816</v>
      </c>
      <c r="G446" s="38">
        <v>2189.0</v>
      </c>
      <c r="H446" s="38" t="s">
        <v>40</v>
      </c>
      <c r="I446" s="40"/>
      <c r="J446" s="40"/>
      <c r="K446" s="35"/>
      <c r="L446" s="35" t="s">
        <v>78</v>
      </c>
      <c r="M446" s="35" t="s">
        <v>79</v>
      </c>
      <c r="N446" s="35"/>
    </row>
    <row r="447" ht="16.5" customHeight="1">
      <c r="A447" s="28" t="s">
        <v>234</v>
      </c>
      <c r="B447" s="29">
        <v>44957.41491328704</v>
      </c>
      <c r="C447" s="28" t="s">
        <v>71</v>
      </c>
      <c r="D447" s="28" t="s">
        <v>77</v>
      </c>
      <c r="E447" s="28">
        <v>2023.0</v>
      </c>
      <c r="F447" s="42">
        <v>44957.41491328704</v>
      </c>
      <c r="G447" s="31">
        <v>2661.0</v>
      </c>
      <c r="H447" s="31" t="s">
        <v>40</v>
      </c>
      <c r="I447" s="33"/>
      <c r="J447" s="33"/>
      <c r="K447" s="28"/>
      <c r="L447" s="28" t="s">
        <v>78</v>
      </c>
      <c r="M447" s="28" t="s">
        <v>79</v>
      </c>
      <c r="N447" s="28"/>
    </row>
    <row r="448" ht="16.5" customHeight="1">
      <c r="A448" s="35" t="s">
        <v>159</v>
      </c>
      <c r="B448" s="36">
        <v>44957.64521215278</v>
      </c>
      <c r="C448" s="35" t="s">
        <v>71</v>
      </c>
      <c r="D448" s="35" t="s">
        <v>77</v>
      </c>
      <c r="E448" s="35">
        <v>2023.0</v>
      </c>
      <c r="F448" s="43">
        <v>44957.64521215278</v>
      </c>
      <c r="G448" s="38">
        <v>2468.0</v>
      </c>
      <c r="H448" s="38" t="s">
        <v>8</v>
      </c>
      <c r="I448" s="40"/>
      <c r="J448" s="40"/>
      <c r="K448" s="35"/>
      <c r="L448" s="35" t="s">
        <v>78</v>
      </c>
      <c r="M448" s="35" t="s">
        <v>79</v>
      </c>
      <c r="N448" s="35"/>
    </row>
    <row r="449" ht="16.5" customHeight="1">
      <c r="A449" s="28" t="s">
        <v>327</v>
      </c>
      <c r="B449" s="29">
        <v>44957.64564350694</v>
      </c>
      <c r="C449" s="28" t="s">
        <v>71</v>
      </c>
      <c r="D449" s="28" t="s">
        <v>77</v>
      </c>
      <c r="E449" s="28">
        <v>2023.0</v>
      </c>
      <c r="F449" s="42">
        <v>44957.64564350694</v>
      </c>
      <c r="G449" s="31" t="s">
        <v>328</v>
      </c>
      <c r="H449" s="31" t="s">
        <v>8</v>
      </c>
      <c r="I449" s="33"/>
      <c r="J449" s="33"/>
      <c r="K449" s="28"/>
      <c r="L449" s="28" t="s">
        <v>78</v>
      </c>
      <c r="M449" s="28" t="s">
        <v>79</v>
      </c>
      <c r="N449" s="28"/>
    </row>
    <row r="450" ht="16.5" customHeight="1">
      <c r="A450" s="35" t="s">
        <v>91</v>
      </c>
      <c r="B450" s="36">
        <v>44957.86391324074</v>
      </c>
      <c r="C450" s="35" t="s">
        <v>71</v>
      </c>
      <c r="D450" s="35" t="s">
        <v>77</v>
      </c>
      <c r="E450" s="35">
        <v>2023.0</v>
      </c>
      <c r="F450" s="43">
        <v>44957.86391324074</v>
      </c>
      <c r="G450" s="38">
        <v>2369.0</v>
      </c>
      <c r="H450" s="38" t="s">
        <v>8</v>
      </c>
      <c r="I450" s="40"/>
      <c r="J450" s="40"/>
      <c r="K450" s="35"/>
      <c r="L450" s="35" t="s">
        <v>78</v>
      </c>
      <c r="M450" s="35" t="s">
        <v>79</v>
      </c>
      <c r="N450" s="35"/>
    </row>
    <row r="451" ht="16.5" customHeight="1">
      <c r="A451" s="28" t="s">
        <v>194</v>
      </c>
      <c r="B451" s="29">
        <v>44957.870567962964</v>
      </c>
      <c r="C451" s="28" t="s">
        <v>71</v>
      </c>
      <c r="D451" s="28" t="s">
        <v>77</v>
      </c>
      <c r="E451" s="28">
        <v>2023.0</v>
      </c>
      <c r="F451" s="42">
        <v>44957.870567962964</v>
      </c>
      <c r="G451" s="31">
        <v>2627.0</v>
      </c>
      <c r="H451" s="31" t="s">
        <v>8</v>
      </c>
      <c r="I451" s="33"/>
      <c r="J451" s="33"/>
      <c r="K451" s="28"/>
      <c r="L451" s="28" t="s">
        <v>78</v>
      </c>
      <c r="M451" s="28" t="s">
        <v>79</v>
      </c>
      <c r="N451" s="28"/>
    </row>
    <row r="452" ht="16.5" customHeight="1">
      <c r="A452" s="35" t="s">
        <v>192</v>
      </c>
      <c r="B452" s="36">
        <v>44957.8823040625</v>
      </c>
      <c r="C452" s="35" t="s">
        <v>71</v>
      </c>
      <c r="D452" s="35" t="s">
        <v>77</v>
      </c>
      <c r="E452" s="35">
        <v>2023.0</v>
      </c>
      <c r="F452" s="43">
        <v>44957.8823040625</v>
      </c>
      <c r="G452" s="38">
        <v>2437.0</v>
      </c>
      <c r="H452" s="38" t="s">
        <v>8</v>
      </c>
      <c r="I452" s="40"/>
      <c r="J452" s="40"/>
      <c r="K452" s="35"/>
      <c r="L452" s="35" t="s">
        <v>78</v>
      </c>
      <c r="M452" s="35" t="s">
        <v>79</v>
      </c>
      <c r="N452" s="35"/>
    </row>
    <row r="453" ht="16.5" customHeight="1">
      <c r="A453" s="28" t="s">
        <v>108</v>
      </c>
      <c r="B453" s="29">
        <v>44957.90620398148</v>
      </c>
      <c r="C453" s="28" t="s">
        <v>71</v>
      </c>
      <c r="D453" s="28" t="s">
        <v>77</v>
      </c>
      <c r="E453" s="28">
        <v>2023.0</v>
      </c>
      <c r="F453" s="42">
        <v>44957.90620398148</v>
      </c>
      <c r="G453" s="31">
        <v>2663.0</v>
      </c>
      <c r="H453" s="31" t="s">
        <v>8</v>
      </c>
      <c r="I453" s="33"/>
      <c r="J453" s="33"/>
      <c r="K453" s="28"/>
      <c r="L453" s="28" t="s">
        <v>78</v>
      </c>
      <c r="M453" s="28" t="s">
        <v>79</v>
      </c>
      <c r="N453" s="28"/>
    </row>
    <row r="454" ht="16.5" customHeight="1">
      <c r="A454" s="35" t="s">
        <v>139</v>
      </c>
      <c r="B454" s="36">
        <v>44957.91793059028</v>
      </c>
      <c r="C454" s="35" t="s">
        <v>71</v>
      </c>
      <c r="D454" s="35" t="s">
        <v>77</v>
      </c>
      <c r="E454" s="35">
        <v>2023.0</v>
      </c>
      <c r="F454" s="43">
        <v>44957.91793059028</v>
      </c>
      <c r="G454" s="38">
        <v>2635.0</v>
      </c>
      <c r="H454" s="38" t="s">
        <v>8</v>
      </c>
      <c r="I454" s="40"/>
      <c r="J454" s="40"/>
      <c r="K454" s="35"/>
      <c r="L454" s="35" t="s">
        <v>78</v>
      </c>
      <c r="M454" s="35" t="s">
        <v>79</v>
      </c>
      <c r="N454" s="35"/>
    </row>
    <row r="455" ht="16.5" customHeight="1">
      <c r="A455" s="28" t="s">
        <v>108</v>
      </c>
      <c r="B455" s="29">
        <v>44957.918220312495</v>
      </c>
      <c r="C455" s="28" t="s">
        <v>71</v>
      </c>
      <c r="D455" s="28" t="s">
        <v>77</v>
      </c>
      <c r="E455" s="28">
        <v>2023.0</v>
      </c>
      <c r="F455" s="42">
        <v>44957.918220312495</v>
      </c>
      <c r="G455" s="31">
        <v>2663.0</v>
      </c>
      <c r="H455" s="31" t="s">
        <v>8</v>
      </c>
      <c r="I455" s="33"/>
      <c r="J455" s="33"/>
      <c r="K455" s="28"/>
      <c r="L455" s="28" t="s">
        <v>78</v>
      </c>
      <c r="M455" s="28" t="s">
        <v>79</v>
      </c>
      <c r="N455" s="28"/>
    </row>
    <row r="456" ht="16.5" customHeight="1">
      <c r="A456" s="35" t="s">
        <v>105</v>
      </c>
      <c r="B456" s="36">
        <v>44957.918948969906</v>
      </c>
      <c r="C456" s="35" t="s">
        <v>71</v>
      </c>
      <c r="D456" s="35" t="s">
        <v>77</v>
      </c>
      <c r="E456" s="35">
        <v>2023.0</v>
      </c>
      <c r="F456" s="43">
        <v>44957.918948969906</v>
      </c>
      <c r="G456" s="38">
        <v>2238.0</v>
      </c>
      <c r="H456" s="38" t="s">
        <v>8</v>
      </c>
      <c r="I456" s="40"/>
      <c r="J456" s="40"/>
      <c r="K456" s="35"/>
      <c r="L456" s="35" t="s">
        <v>78</v>
      </c>
      <c r="M456" s="35" t="s">
        <v>79</v>
      </c>
      <c r="N456" s="35"/>
    </row>
    <row r="457" ht="16.5" customHeight="1">
      <c r="A457" s="28" t="s">
        <v>285</v>
      </c>
      <c r="B457" s="29">
        <v>44957.91923068287</v>
      </c>
      <c r="C457" s="28" t="s">
        <v>71</v>
      </c>
      <c r="D457" s="28" t="s">
        <v>77</v>
      </c>
      <c r="E457" s="28">
        <v>2023.0</v>
      </c>
      <c r="F457" s="42">
        <v>44957.91923068287</v>
      </c>
      <c r="G457" s="31">
        <v>2384.0</v>
      </c>
      <c r="H457" s="31" t="s">
        <v>8</v>
      </c>
      <c r="I457" s="33"/>
      <c r="J457" s="33"/>
      <c r="K457" s="28"/>
      <c r="L457" s="28" t="s">
        <v>78</v>
      </c>
      <c r="M457" s="28" t="s">
        <v>79</v>
      </c>
      <c r="N457" s="28"/>
    </row>
    <row r="458" ht="16.5" customHeight="1">
      <c r="A458" s="35" t="s">
        <v>233</v>
      </c>
      <c r="B458" s="36">
        <v>44957.920066527775</v>
      </c>
      <c r="C458" s="35" t="s">
        <v>71</v>
      </c>
      <c r="D458" s="35" t="s">
        <v>77</v>
      </c>
      <c r="E458" s="35">
        <v>2023.0</v>
      </c>
      <c r="F458" s="43">
        <v>44957.920066527775</v>
      </c>
      <c r="G458" s="38">
        <v>2576.0</v>
      </c>
      <c r="H458" s="38" t="s">
        <v>8</v>
      </c>
      <c r="I458" s="40"/>
      <c r="J458" s="40"/>
      <c r="K458" s="35"/>
      <c r="L458" s="35" t="s">
        <v>78</v>
      </c>
      <c r="M458" s="35" t="s">
        <v>79</v>
      </c>
      <c r="N458" s="35"/>
    </row>
    <row r="459" ht="16.5" customHeight="1">
      <c r="A459" s="28" t="s">
        <v>103</v>
      </c>
      <c r="B459" s="29">
        <v>44957.934671400464</v>
      </c>
      <c r="C459" s="28" t="s">
        <v>71</v>
      </c>
      <c r="D459" s="28" t="s">
        <v>77</v>
      </c>
      <c r="E459" s="28">
        <v>2023.0</v>
      </c>
      <c r="F459" s="42">
        <v>44957.934671400464</v>
      </c>
      <c r="G459" s="31">
        <v>2273.0</v>
      </c>
      <c r="H459" s="31" t="s">
        <v>8</v>
      </c>
      <c r="I459" s="33"/>
      <c r="J459" s="33"/>
      <c r="K459" s="28"/>
      <c r="L459" s="28" t="s">
        <v>78</v>
      </c>
      <c r="M459" s="28" t="s">
        <v>79</v>
      </c>
      <c r="N459" s="28"/>
    </row>
    <row r="460" ht="16.5" customHeight="1">
      <c r="A460" s="35" t="s">
        <v>135</v>
      </c>
      <c r="B460" s="36">
        <v>44957.95036141203</v>
      </c>
      <c r="C460" s="35" t="s">
        <v>71</v>
      </c>
      <c r="D460" s="35" t="s">
        <v>77</v>
      </c>
      <c r="E460" s="35">
        <v>2023.0</v>
      </c>
      <c r="F460" s="43">
        <v>44957.95036141203</v>
      </c>
      <c r="G460" s="38">
        <v>2195.0</v>
      </c>
      <c r="H460" s="38" t="s">
        <v>8</v>
      </c>
      <c r="I460" s="40"/>
      <c r="J460" s="40"/>
      <c r="K460" s="35"/>
      <c r="L460" s="35" t="s">
        <v>78</v>
      </c>
      <c r="M460" s="35" t="s">
        <v>79</v>
      </c>
      <c r="N460" s="35"/>
    </row>
    <row r="461" ht="16.5" customHeight="1">
      <c r="A461" s="28" t="s">
        <v>275</v>
      </c>
      <c r="B461" s="29">
        <v>44957.96842452546</v>
      </c>
      <c r="C461" s="28" t="s">
        <v>71</v>
      </c>
      <c r="D461" s="28" t="s">
        <v>77</v>
      </c>
      <c r="E461" s="28">
        <v>2023.0</v>
      </c>
      <c r="F461" s="42">
        <v>44957.96842452546</v>
      </c>
      <c r="G461" s="31">
        <v>2435.0</v>
      </c>
      <c r="H461" s="31" t="s">
        <v>8</v>
      </c>
      <c r="I461" s="33"/>
      <c r="J461" s="33"/>
      <c r="K461" s="28"/>
      <c r="L461" s="28" t="s">
        <v>78</v>
      </c>
      <c r="M461" s="28" t="s">
        <v>79</v>
      </c>
      <c r="N461" s="28"/>
    </row>
    <row r="462" ht="16.5" customHeight="1">
      <c r="A462" s="35" t="s">
        <v>94</v>
      </c>
      <c r="B462" s="36">
        <v>44957.99262013889</v>
      </c>
      <c r="C462" s="35" t="s">
        <v>71</v>
      </c>
      <c r="D462" s="35" t="s">
        <v>77</v>
      </c>
      <c r="E462" s="35">
        <v>2023.0</v>
      </c>
      <c r="F462" s="43">
        <v>44957.99262013889</v>
      </c>
      <c r="G462" s="38">
        <v>2339.0</v>
      </c>
      <c r="H462" s="38" t="s">
        <v>8</v>
      </c>
      <c r="I462" s="40"/>
      <c r="J462" s="40"/>
      <c r="K462" s="35"/>
      <c r="L462" s="35" t="s">
        <v>78</v>
      </c>
      <c r="M462" s="35" t="s">
        <v>79</v>
      </c>
      <c r="N462" s="35"/>
    </row>
    <row r="463" ht="16.5" customHeight="1">
      <c r="A463" s="28" t="s">
        <v>329</v>
      </c>
      <c r="B463" s="29">
        <v>44958.05063614583</v>
      </c>
      <c r="C463" s="28" t="s">
        <v>77</v>
      </c>
      <c r="D463" s="28" t="s">
        <v>76</v>
      </c>
      <c r="E463" s="28">
        <v>2023.0</v>
      </c>
      <c r="F463" s="42">
        <v>44958.05063614583</v>
      </c>
      <c r="G463" s="31">
        <v>2196.0</v>
      </c>
      <c r="H463" s="31" t="s">
        <v>8</v>
      </c>
      <c r="I463" s="33"/>
      <c r="J463" s="33"/>
      <c r="K463" s="28"/>
      <c r="L463" s="28" t="s">
        <v>330</v>
      </c>
      <c r="M463" s="28" t="s">
        <v>331</v>
      </c>
      <c r="N463" s="28"/>
    </row>
    <row r="464" ht="16.5" customHeight="1">
      <c r="A464" s="35" t="s">
        <v>332</v>
      </c>
      <c r="B464" s="36">
        <v>44958.100028773144</v>
      </c>
      <c r="C464" s="35" t="s">
        <v>77</v>
      </c>
      <c r="D464" s="35" t="s">
        <v>76</v>
      </c>
      <c r="E464" s="35">
        <v>2023.0</v>
      </c>
      <c r="F464" s="43">
        <v>44958.100028773144</v>
      </c>
      <c r="G464" s="38">
        <v>2660.0</v>
      </c>
      <c r="H464" s="38" t="s">
        <v>8</v>
      </c>
      <c r="I464" s="40"/>
      <c r="J464" s="40"/>
      <c r="K464" s="35"/>
      <c r="L464" s="35" t="s">
        <v>330</v>
      </c>
      <c r="M464" s="35" t="s">
        <v>331</v>
      </c>
      <c r="N464" s="35"/>
    </row>
    <row r="465" ht="16.5" customHeight="1">
      <c r="A465" s="28" t="s">
        <v>333</v>
      </c>
      <c r="B465" s="29">
        <v>44958.13024596065</v>
      </c>
      <c r="C465" s="28" t="s">
        <v>77</v>
      </c>
      <c r="D465" s="28" t="s">
        <v>76</v>
      </c>
      <c r="E465" s="28">
        <v>2023.0</v>
      </c>
      <c r="F465" s="42">
        <v>44958.13024596065</v>
      </c>
      <c r="G465" s="31">
        <v>2425.0</v>
      </c>
      <c r="H465" s="31" t="s">
        <v>8</v>
      </c>
      <c r="I465" s="33"/>
      <c r="J465" s="33"/>
      <c r="K465" s="28"/>
      <c r="L465" s="28" t="s">
        <v>330</v>
      </c>
      <c r="M465" s="28" t="s">
        <v>331</v>
      </c>
      <c r="N465" s="28"/>
    </row>
    <row r="466" ht="16.5" customHeight="1">
      <c r="A466" s="35" t="s">
        <v>334</v>
      </c>
      <c r="B466" s="36">
        <v>44958.1518003588</v>
      </c>
      <c r="C466" s="35" t="s">
        <v>77</v>
      </c>
      <c r="D466" s="35" t="s">
        <v>76</v>
      </c>
      <c r="E466" s="35">
        <v>2023.0</v>
      </c>
      <c r="F466" s="43">
        <v>44958.1518003588</v>
      </c>
      <c r="G466" s="38">
        <v>951.0</v>
      </c>
      <c r="H466" s="38" t="s">
        <v>8</v>
      </c>
      <c r="I466" s="40"/>
      <c r="J466" s="40"/>
      <c r="K466" s="35"/>
      <c r="L466" s="35" t="s">
        <v>330</v>
      </c>
      <c r="M466" s="35" t="s">
        <v>331</v>
      </c>
      <c r="N466" s="35"/>
    </row>
    <row r="467" ht="16.5" customHeight="1">
      <c r="A467" s="28" t="s">
        <v>335</v>
      </c>
      <c r="B467" s="29">
        <v>44958.168326631945</v>
      </c>
      <c r="C467" s="28" t="s">
        <v>77</v>
      </c>
      <c r="D467" s="28" t="s">
        <v>76</v>
      </c>
      <c r="E467" s="28">
        <v>2023.0</v>
      </c>
      <c r="F467" s="42">
        <v>44958.168326631945</v>
      </c>
      <c r="G467" s="31">
        <v>2456.0</v>
      </c>
      <c r="H467" s="31" t="s">
        <v>8</v>
      </c>
      <c r="I467" s="33"/>
      <c r="J467" s="33"/>
      <c r="K467" s="28"/>
      <c r="L467" s="28" t="s">
        <v>330</v>
      </c>
      <c r="M467" s="28" t="s">
        <v>331</v>
      </c>
      <c r="N467" s="28"/>
    </row>
    <row r="468" ht="16.5" customHeight="1">
      <c r="A468" s="35" t="s">
        <v>336</v>
      </c>
      <c r="B468" s="36">
        <v>44958.21150751157</v>
      </c>
      <c r="C468" s="35" t="s">
        <v>77</v>
      </c>
      <c r="D468" s="35" t="s">
        <v>76</v>
      </c>
      <c r="E468" s="35">
        <v>2023.0</v>
      </c>
      <c r="F468" s="43">
        <v>44958.21150751157</v>
      </c>
      <c r="G468" s="38">
        <v>2385.0</v>
      </c>
      <c r="H468" s="38" t="s">
        <v>8</v>
      </c>
      <c r="I468" s="40"/>
      <c r="J468" s="40"/>
      <c r="K468" s="35"/>
      <c r="L468" s="35" t="s">
        <v>330</v>
      </c>
      <c r="M468" s="35" t="s">
        <v>331</v>
      </c>
      <c r="N468" s="35"/>
    </row>
    <row r="469" ht="16.5" customHeight="1">
      <c r="A469" s="28" t="s">
        <v>337</v>
      </c>
      <c r="B469" s="29">
        <v>44958.216564745366</v>
      </c>
      <c r="C469" s="28" t="s">
        <v>77</v>
      </c>
      <c r="D469" s="28" t="s">
        <v>76</v>
      </c>
      <c r="E469" s="28">
        <v>2023.0</v>
      </c>
      <c r="F469" s="42">
        <v>44958.216564745366</v>
      </c>
      <c r="G469" s="31">
        <v>2515.0</v>
      </c>
      <c r="H469" s="31" t="s">
        <v>8</v>
      </c>
      <c r="I469" s="33"/>
      <c r="J469" s="33"/>
      <c r="K469" s="28"/>
      <c r="L469" s="28" t="s">
        <v>330</v>
      </c>
      <c r="M469" s="28" t="s">
        <v>331</v>
      </c>
      <c r="N469" s="28"/>
    </row>
    <row r="470" ht="16.5" customHeight="1">
      <c r="A470" s="35" t="s">
        <v>338</v>
      </c>
      <c r="B470" s="36">
        <v>44958.297841064814</v>
      </c>
      <c r="C470" s="35" t="s">
        <v>77</v>
      </c>
      <c r="D470" s="35" t="s">
        <v>76</v>
      </c>
      <c r="E470" s="35">
        <v>2023.0</v>
      </c>
      <c r="F470" s="43">
        <v>44958.297841064814</v>
      </c>
      <c r="G470" s="38" t="s">
        <v>288</v>
      </c>
      <c r="H470" s="38" t="s">
        <v>8</v>
      </c>
      <c r="I470" s="40"/>
      <c r="J470" s="40"/>
      <c r="K470" s="35"/>
      <c r="L470" s="35" t="s">
        <v>330</v>
      </c>
      <c r="M470" s="35" t="s">
        <v>331</v>
      </c>
      <c r="N470" s="35"/>
    </row>
    <row r="471" ht="16.5" customHeight="1">
      <c r="A471" s="28" t="s">
        <v>339</v>
      </c>
      <c r="B471" s="29">
        <v>44958.31835306713</v>
      </c>
      <c r="C471" s="28" t="s">
        <v>77</v>
      </c>
      <c r="D471" s="28" t="s">
        <v>76</v>
      </c>
      <c r="E471" s="28">
        <v>2023.0</v>
      </c>
      <c r="F471" s="42">
        <v>44958.31835306713</v>
      </c>
      <c r="G471" s="31" t="s">
        <v>340</v>
      </c>
      <c r="H471" s="31" t="s">
        <v>8</v>
      </c>
      <c r="I471" s="33"/>
      <c r="J471" s="33"/>
      <c r="K471" s="28"/>
      <c r="L471" s="28" t="s">
        <v>330</v>
      </c>
      <c r="M471" s="28" t="s">
        <v>331</v>
      </c>
      <c r="N471" s="28"/>
    </row>
    <row r="472" ht="16.5" customHeight="1">
      <c r="A472" s="35" t="s">
        <v>341</v>
      </c>
      <c r="B472" s="36">
        <v>44958.342186863425</v>
      </c>
      <c r="C472" s="35" t="s">
        <v>77</v>
      </c>
      <c r="D472" s="35" t="s">
        <v>76</v>
      </c>
      <c r="E472" s="35">
        <v>2023.0</v>
      </c>
      <c r="F472" s="43">
        <v>44958.342186863425</v>
      </c>
      <c r="G472" s="38" t="s">
        <v>342</v>
      </c>
      <c r="H472" s="38" t="s">
        <v>8</v>
      </c>
      <c r="I472" s="40"/>
      <c r="J472" s="40"/>
      <c r="K472" s="35"/>
      <c r="L472" s="35" t="s">
        <v>330</v>
      </c>
      <c r="M472" s="35" t="s">
        <v>331</v>
      </c>
      <c r="N472" s="35"/>
    </row>
    <row r="473" ht="16.5" customHeight="1">
      <c r="A473" s="28" t="s">
        <v>343</v>
      </c>
      <c r="B473" s="29">
        <v>44958.56910449074</v>
      </c>
      <c r="C473" s="28" t="s">
        <v>77</v>
      </c>
      <c r="D473" s="28" t="s">
        <v>76</v>
      </c>
      <c r="E473" s="28">
        <v>2023.0</v>
      </c>
      <c r="F473" s="42">
        <v>44958.56910449074</v>
      </c>
      <c r="G473" s="31" t="s">
        <v>344</v>
      </c>
      <c r="H473" s="31" t="s">
        <v>8</v>
      </c>
      <c r="I473" s="33"/>
      <c r="J473" s="33"/>
      <c r="K473" s="28"/>
      <c r="L473" s="28" t="s">
        <v>330</v>
      </c>
      <c r="M473" s="28" t="s">
        <v>331</v>
      </c>
      <c r="N473" s="28"/>
    </row>
    <row r="474" ht="16.5" customHeight="1">
      <c r="A474" s="35" t="s">
        <v>345</v>
      </c>
      <c r="B474" s="36">
        <v>44959.213902766205</v>
      </c>
      <c r="C474" s="35" t="s">
        <v>76</v>
      </c>
      <c r="D474" s="35" t="s">
        <v>76</v>
      </c>
      <c r="E474" s="35">
        <v>2023.0</v>
      </c>
      <c r="F474" s="43">
        <v>44959.213902766205</v>
      </c>
      <c r="G474" s="38">
        <v>2375.0</v>
      </c>
      <c r="H474" s="38" t="s">
        <v>8</v>
      </c>
      <c r="I474" s="40"/>
      <c r="J474" s="40"/>
      <c r="K474" s="35"/>
      <c r="L474" s="35" t="s">
        <v>330</v>
      </c>
      <c r="M474" s="35" t="s">
        <v>331</v>
      </c>
      <c r="N474" s="35"/>
    </row>
    <row r="475" ht="16.5" customHeight="1">
      <c r="A475" s="28" t="s">
        <v>346</v>
      </c>
      <c r="B475" s="29">
        <v>44959.21405638889</v>
      </c>
      <c r="C475" s="28" t="s">
        <v>76</v>
      </c>
      <c r="D475" s="28" t="s">
        <v>76</v>
      </c>
      <c r="E475" s="28">
        <v>2023.0</v>
      </c>
      <c r="F475" s="42">
        <v>44959.21405638889</v>
      </c>
      <c r="G475" s="31">
        <v>2464.0</v>
      </c>
      <c r="H475" s="31" t="s">
        <v>8</v>
      </c>
      <c r="I475" s="33"/>
      <c r="J475" s="33"/>
      <c r="K475" s="28"/>
      <c r="L475" s="28" t="s">
        <v>330</v>
      </c>
      <c r="M475" s="28" t="s">
        <v>331</v>
      </c>
      <c r="N475" s="28"/>
    </row>
    <row r="476" ht="16.5" customHeight="1">
      <c r="A476" s="35" t="s">
        <v>347</v>
      </c>
      <c r="B476" s="36">
        <v>44959.21421719907</v>
      </c>
      <c r="C476" s="35" t="s">
        <v>76</v>
      </c>
      <c r="D476" s="35" t="s">
        <v>76</v>
      </c>
      <c r="E476" s="35">
        <v>2023.0</v>
      </c>
      <c r="F476" s="43">
        <v>44959.21421719907</v>
      </c>
      <c r="G476" s="38">
        <v>2678.0</v>
      </c>
      <c r="H476" s="38" t="s">
        <v>8</v>
      </c>
      <c r="I476" s="40"/>
      <c r="J476" s="40"/>
      <c r="K476" s="35"/>
      <c r="L476" s="35" t="s">
        <v>330</v>
      </c>
      <c r="M476" s="35" t="s">
        <v>331</v>
      </c>
      <c r="N476" s="35"/>
    </row>
    <row r="477" ht="16.5" customHeight="1">
      <c r="A477" s="28" t="s">
        <v>348</v>
      </c>
      <c r="B477" s="29">
        <v>44959.21438385417</v>
      </c>
      <c r="C477" s="28" t="s">
        <v>76</v>
      </c>
      <c r="D477" s="28" t="s">
        <v>76</v>
      </c>
      <c r="E477" s="28">
        <v>2023.0</v>
      </c>
      <c r="F477" s="42">
        <v>44959.21438385417</v>
      </c>
      <c r="G477" s="31">
        <v>2656.0</v>
      </c>
      <c r="H477" s="31" t="s">
        <v>8</v>
      </c>
      <c r="I477" s="33"/>
      <c r="J477" s="33"/>
      <c r="K477" s="28"/>
      <c r="L477" s="28" t="s">
        <v>330</v>
      </c>
      <c r="M477" s="28" t="s">
        <v>331</v>
      </c>
      <c r="N477" s="28"/>
    </row>
    <row r="478" ht="16.5" customHeight="1">
      <c r="A478" s="35" t="s">
        <v>349</v>
      </c>
      <c r="B478" s="36">
        <v>44959.21453834491</v>
      </c>
      <c r="C478" s="35" t="s">
        <v>76</v>
      </c>
      <c r="D478" s="35" t="s">
        <v>76</v>
      </c>
      <c r="E478" s="35">
        <v>2023.0</v>
      </c>
      <c r="F478" s="43">
        <v>44959.21453834491</v>
      </c>
      <c r="G478" s="38">
        <v>2188.0</v>
      </c>
      <c r="H478" s="38" t="s">
        <v>8</v>
      </c>
      <c r="I478" s="40"/>
      <c r="J478" s="40"/>
      <c r="K478" s="35"/>
      <c r="L478" s="35" t="s">
        <v>330</v>
      </c>
      <c r="M478" s="35" t="s">
        <v>331</v>
      </c>
      <c r="N478" s="35"/>
    </row>
    <row r="479" ht="16.5" customHeight="1">
      <c r="A479" s="28" t="s">
        <v>350</v>
      </c>
      <c r="B479" s="29">
        <v>44959.21469228009</v>
      </c>
      <c r="C479" s="28" t="s">
        <v>76</v>
      </c>
      <c r="D479" s="28" t="s">
        <v>76</v>
      </c>
      <c r="E479" s="28">
        <v>2023.0</v>
      </c>
      <c r="F479" s="42">
        <v>44959.21469228009</v>
      </c>
      <c r="G479" s="31">
        <v>2669.0</v>
      </c>
      <c r="H479" s="31" t="s">
        <v>8</v>
      </c>
      <c r="I479" s="33"/>
      <c r="J479" s="33"/>
      <c r="K479" s="28"/>
      <c r="L479" s="28" t="s">
        <v>330</v>
      </c>
      <c r="M479" s="28" t="s">
        <v>331</v>
      </c>
      <c r="N479" s="28"/>
    </row>
    <row r="480" ht="16.5" customHeight="1">
      <c r="A480" s="35" t="s">
        <v>351</v>
      </c>
      <c r="B480" s="36">
        <v>44959.21486478009</v>
      </c>
      <c r="C480" s="35" t="s">
        <v>76</v>
      </c>
      <c r="D480" s="35" t="s">
        <v>76</v>
      </c>
      <c r="E480" s="35">
        <v>2023.0</v>
      </c>
      <c r="F480" s="43">
        <v>44959.21486478009</v>
      </c>
      <c r="G480" s="38">
        <v>2141.0</v>
      </c>
      <c r="H480" s="38" t="s">
        <v>8</v>
      </c>
      <c r="I480" s="40"/>
      <c r="J480" s="40"/>
      <c r="K480" s="35"/>
      <c r="L480" s="35" t="s">
        <v>330</v>
      </c>
      <c r="M480" s="35" t="s">
        <v>331</v>
      </c>
      <c r="N480" s="35"/>
    </row>
    <row r="481" ht="16.5" customHeight="1">
      <c r="A481" s="28" t="s">
        <v>352</v>
      </c>
      <c r="B481" s="29">
        <v>44959.21501114583</v>
      </c>
      <c r="C481" s="28" t="s">
        <v>76</v>
      </c>
      <c r="D481" s="28" t="s">
        <v>76</v>
      </c>
      <c r="E481" s="28">
        <v>2023.0</v>
      </c>
      <c r="F481" s="42">
        <v>44959.21501114583</v>
      </c>
      <c r="G481" s="31">
        <v>2173.0</v>
      </c>
      <c r="H481" s="31" t="s">
        <v>8</v>
      </c>
      <c r="I481" s="33"/>
      <c r="J481" s="33"/>
      <c r="K481" s="28"/>
      <c r="L481" s="28" t="s">
        <v>330</v>
      </c>
      <c r="M481" s="28" t="s">
        <v>331</v>
      </c>
      <c r="N481" s="28"/>
    </row>
    <row r="482" ht="16.5" customHeight="1">
      <c r="A482" s="35" t="s">
        <v>353</v>
      </c>
      <c r="B482" s="36">
        <v>44959.21515376157</v>
      </c>
      <c r="C482" s="35" t="s">
        <v>76</v>
      </c>
      <c r="D482" s="35" t="s">
        <v>76</v>
      </c>
      <c r="E482" s="35">
        <v>2023.0</v>
      </c>
      <c r="F482" s="43">
        <v>44959.21515376157</v>
      </c>
      <c r="G482" s="38">
        <v>2677.0</v>
      </c>
      <c r="H482" s="38" t="s">
        <v>8</v>
      </c>
      <c r="I482" s="40"/>
      <c r="J482" s="40"/>
      <c r="K482" s="35"/>
      <c r="L482" s="35" t="s">
        <v>330</v>
      </c>
      <c r="M482" s="35" t="s">
        <v>331</v>
      </c>
      <c r="N482" s="35"/>
    </row>
    <row r="483" ht="16.5" customHeight="1">
      <c r="A483" s="28" t="s">
        <v>354</v>
      </c>
      <c r="B483" s="29">
        <v>44959.21529861111</v>
      </c>
      <c r="C483" s="28" t="s">
        <v>76</v>
      </c>
      <c r="D483" s="28" t="s">
        <v>76</v>
      </c>
      <c r="E483" s="28">
        <v>2023.0</v>
      </c>
      <c r="F483" s="42">
        <v>44959.21529861111</v>
      </c>
      <c r="G483" s="31">
        <v>2241.0</v>
      </c>
      <c r="H483" s="31" t="s">
        <v>8</v>
      </c>
      <c r="I483" s="33"/>
      <c r="J483" s="33"/>
      <c r="K483" s="28"/>
      <c r="L483" s="28" t="s">
        <v>330</v>
      </c>
      <c r="M483" s="28" t="s">
        <v>331</v>
      </c>
      <c r="N483" s="28"/>
    </row>
    <row r="484" ht="16.5" customHeight="1">
      <c r="A484" s="35" t="s">
        <v>355</v>
      </c>
      <c r="B484" s="36">
        <v>44959.21549753472</v>
      </c>
      <c r="C484" s="35" t="s">
        <v>76</v>
      </c>
      <c r="D484" s="35" t="s">
        <v>76</v>
      </c>
      <c r="E484" s="35">
        <v>2023.0</v>
      </c>
      <c r="F484" s="43">
        <v>44959.21549753472</v>
      </c>
      <c r="G484" s="38">
        <v>2367.0</v>
      </c>
      <c r="H484" s="38" t="s">
        <v>8</v>
      </c>
      <c r="I484" s="40"/>
      <c r="J484" s="40"/>
      <c r="K484" s="35"/>
      <c r="L484" s="35" t="s">
        <v>330</v>
      </c>
      <c r="M484" s="35" t="s">
        <v>331</v>
      </c>
      <c r="N484" s="35"/>
    </row>
    <row r="485" ht="16.5" customHeight="1">
      <c r="A485" s="28" t="s">
        <v>356</v>
      </c>
      <c r="B485" s="29">
        <v>44959.215643495365</v>
      </c>
      <c r="C485" s="28" t="s">
        <v>76</v>
      </c>
      <c r="D485" s="28" t="s">
        <v>76</v>
      </c>
      <c r="E485" s="28">
        <v>2023.0</v>
      </c>
      <c r="F485" s="42">
        <v>44959.215643495365</v>
      </c>
      <c r="G485" s="31">
        <v>2676.0</v>
      </c>
      <c r="H485" s="31" t="s">
        <v>8</v>
      </c>
      <c r="I485" s="33"/>
      <c r="J485" s="33"/>
      <c r="K485" s="28"/>
      <c r="L485" s="28" t="s">
        <v>330</v>
      </c>
      <c r="M485" s="28" t="s">
        <v>331</v>
      </c>
      <c r="N485" s="28"/>
    </row>
    <row r="486" ht="16.5" customHeight="1">
      <c r="A486" s="35" t="s">
        <v>357</v>
      </c>
      <c r="B486" s="36">
        <v>44959.21574127315</v>
      </c>
      <c r="C486" s="35" t="s">
        <v>76</v>
      </c>
      <c r="D486" s="35" t="s">
        <v>76</v>
      </c>
      <c r="E486" s="35">
        <v>2023.0</v>
      </c>
      <c r="F486" s="43">
        <v>44959.21574127315</v>
      </c>
      <c r="G486" s="38">
        <v>2202.0</v>
      </c>
      <c r="H486" s="38" t="s">
        <v>8</v>
      </c>
      <c r="I486" s="40"/>
      <c r="J486" s="40"/>
      <c r="K486" s="35"/>
      <c r="L486" s="35" t="s">
        <v>330</v>
      </c>
      <c r="M486" s="35" t="s">
        <v>331</v>
      </c>
      <c r="N486" s="35"/>
    </row>
    <row r="487" ht="16.5" customHeight="1">
      <c r="A487" s="28" t="s">
        <v>358</v>
      </c>
      <c r="B487" s="29">
        <v>44959.21586350694</v>
      </c>
      <c r="C487" s="28" t="s">
        <v>76</v>
      </c>
      <c r="D487" s="28" t="s">
        <v>76</v>
      </c>
      <c r="E487" s="28">
        <v>2023.0</v>
      </c>
      <c r="F487" s="42">
        <v>44959.21586350694</v>
      </c>
      <c r="G487" s="31">
        <v>2355.0</v>
      </c>
      <c r="H487" s="31" t="s">
        <v>8</v>
      </c>
      <c r="I487" s="33"/>
      <c r="J487" s="33"/>
      <c r="K487" s="28"/>
      <c r="L487" s="28" t="s">
        <v>330</v>
      </c>
      <c r="M487" s="28" t="s">
        <v>331</v>
      </c>
      <c r="N487" s="28"/>
    </row>
    <row r="488" ht="16.5" customHeight="1">
      <c r="A488" s="35" t="s">
        <v>359</v>
      </c>
      <c r="B488" s="36">
        <v>44959.21601496528</v>
      </c>
      <c r="C488" s="35" t="s">
        <v>76</v>
      </c>
      <c r="D488" s="35" t="s">
        <v>76</v>
      </c>
      <c r="E488" s="35">
        <v>2023.0</v>
      </c>
      <c r="F488" s="43">
        <v>44959.21601496528</v>
      </c>
      <c r="G488" s="38">
        <v>2403.0</v>
      </c>
      <c r="H488" s="38" t="s">
        <v>8</v>
      </c>
      <c r="I488" s="40"/>
      <c r="J488" s="40"/>
      <c r="K488" s="35"/>
      <c r="L488" s="35" t="s">
        <v>330</v>
      </c>
      <c r="M488" s="35" t="s">
        <v>331</v>
      </c>
      <c r="N488" s="35"/>
    </row>
    <row r="489" ht="16.5" customHeight="1">
      <c r="A489" s="28" t="s">
        <v>360</v>
      </c>
      <c r="B489" s="29">
        <v>44959.21615431713</v>
      </c>
      <c r="C489" s="28" t="s">
        <v>76</v>
      </c>
      <c r="D489" s="28" t="s">
        <v>76</v>
      </c>
      <c r="E489" s="28">
        <v>2023.0</v>
      </c>
      <c r="F489" s="42">
        <v>44959.21615431713</v>
      </c>
      <c r="G489" s="31">
        <v>2404.0</v>
      </c>
      <c r="H489" s="31" t="s">
        <v>8</v>
      </c>
      <c r="I489" s="33"/>
      <c r="J489" s="33"/>
      <c r="K489" s="28"/>
      <c r="L489" s="28" t="s">
        <v>330</v>
      </c>
      <c r="M489" s="28" t="s">
        <v>331</v>
      </c>
      <c r="N489" s="28"/>
    </row>
    <row r="490" ht="16.5" customHeight="1">
      <c r="A490" s="35" t="s">
        <v>361</v>
      </c>
      <c r="B490" s="36">
        <v>44959.21626043982</v>
      </c>
      <c r="C490" s="35" t="s">
        <v>76</v>
      </c>
      <c r="D490" s="35" t="s">
        <v>76</v>
      </c>
      <c r="E490" s="35">
        <v>2023.0</v>
      </c>
      <c r="F490" s="43">
        <v>44959.21626043982</v>
      </c>
      <c r="G490" s="38">
        <v>2200.0</v>
      </c>
      <c r="H490" s="38" t="s">
        <v>8</v>
      </c>
      <c r="I490" s="40"/>
      <c r="J490" s="40"/>
      <c r="K490" s="35"/>
      <c r="L490" s="35" t="s">
        <v>330</v>
      </c>
      <c r="M490" s="35" t="s">
        <v>331</v>
      </c>
      <c r="N490" s="35"/>
    </row>
    <row r="491" ht="16.5" customHeight="1">
      <c r="A491" s="28" t="s">
        <v>362</v>
      </c>
      <c r="B491" s="29">
        <v>44959.21642138889</v>
      </c>
      <c r="C491" s="28" t="s">
        <v>76</v>
      </c>
      <c r="D491" s="28" t="s">
        <v>76</v>
      </c>
      <c r="E491" s="28">
        <v>2023.0</v>
      </c>
      <c r="F491" s="42">
        <v>44959.21642138889</v>
      </c>
      <c r="G491" s="31">
        <v>2198.0</v>
      </c>
      <c r="H491" s="31" t="s">
        <v>8</v>
      </c>
      <c r="I491" s="33"/>
      <c r="J491" s="33"/>
      <c r="K491" s="28"/>
      <c r="L491" s="28" t="s">
        <v>330</v>
      </c>
      <c r="M491" s="28" t="s">
        <v>331</v>
      </c>
      <c r="N491" s="28"/>
    </row>
    <row r="492" ht="16.5" customHeight="1">
      <c r="A492" s="35" t="s">
        <v>363</v>
      </c>
      <c r="B492" s="36">
        <v>44959.21655498842</v>
      </c>
      <c r="C492" s="35" t="s">
        <v>76</v>
      </c>
      <c r="D492" s="35" t="s">
        <v>76</v>
      </c>
      <c r="E492" s="35">
        <v>2023.0</v>
      </c>
      <c r="F492" s="43">
        <v>44959.21655498842</v>
      </c>
      <c r="G492" s="38">
        <v>2354.0</v>
      </c>
      <c r="H492" s="38" t="s">
        <v>8</v>
      </c>
      <c r="I492" s="40"/>
      <c r="J492" s="40"/>
      <c r="K492" s="35"/>
      <c r="L492" s="35" t="s">
        <v>330</v>
      </c>
      <c r="M492" s="35" t="s">
        <v>331</v>
      </c>
      <c r="N492" s="35"/>
    </row>
    <row r="493" ht="16.5" customHeight="1">
      <c r="A493" s="28" t="s">
        <v>364</v>
      </c>
      <c r="B493" s="29">
        <v>44959.21670351852</v>
      </c>
      <c r="C493" s="28" t="s">
        <v>76</v>
      </c>
      <c r="D493" s="28" t="s">
        <v>76</v>
      </c>
      <c r="E493" s="28">
        <v>2023.0</v>
      </c>
      <c r="F493" s="42">
        <v>44959.21670351852</v>
      </c>
      <c r="G493" s="31">
        <v>2629.0</v>
      </c>
      <c r="H493" s="31" t="s">
        <v>8</v>
      </c>
      <c r="I493" s="33"/>
      <c r="J493" s="33"/>
      <c r="K493" s="28"/>
      <c r="L493" s="28" t="s">
        <v>330</v>
      </c>
      <c r="M493" s="28" t="s">
        <v>331</v>
      </c>
      <c r="N493" s="28"/>
    </row>
    <row r="494" ht="16.5" customHeight="1">
      <c r="A494" s="35" t="s">
        <v>365</v>
      </c>
      <c r="B494" s="36">
        <v>44959.866417233796</v>
      </c>
      <c r="C494" s="35" t="s">
        <v>76</v>
      </c>
      <c r="D494" s="35" t="s">
        <v>76</v>
      </c>
      <c r="E494" s="35">
        <v>2023.0</v>
      </c>
      <c r="F494" s="43">
        <v>44959.866417233796</v>
      </c>
      <c r="G494" s="38">
        <v>2386.0</v>
      </c>
      <c r="H494" s="38" t="s">
        <v>8</v>
      </c>
      <c r="I494" s="40"/>
      <c r="J494" s="40"/>
      <c r="K494" s="35"/>
      <c r="L494" s="35" t="s">
        <v>330</v>
      </c>
      <c r="M494" s="35" t="s">
        <v>331</v>
      </c>
      <c r="N494" s="35"/>
    </row>
    <row r="495" ht="16.5" customHeight="1">
      <c r="A495" s="28" t="s">
        <v>366</v>
      </c>
      <c r="B495" s="29">
        <v>44959.89460892361</v>
      </c>
      <c r="C495" s="28" t="s">
        <v>76</v>
      </c>
      <c r="D495" s="28" t="s">
        <v>76</v>
      </c>
      <c r="E495" s="28">
        <v>2023.0</v>
      </c>
      <c r="F495" s="42">
        <v>44959.89460892361</v>
      </c>
      <c r="G495" s="31">
        <v>2219.0</v>
      </c>
      <c r="H495" s="31" t="s">
        <v>8</v>
      </c>
      <c r="I495" s="33"/>
      <c r="J495" s="33"/>
      <c r="K495" s="28"/>
      <c r="L495" s="28" t="s">
        <v>330</v>
      </c>
      <c r="M495" s="28" t="s">
        <v>331</v>
      </c>
      <c r="N495" s="28"/>
    </row>
    <row r="496" ht="16.5" customHeight="1">
      <c r="A496" s="35" t="s">
        <v>366</v>
      </c>
      <c r="B496" s="36">
        <v>44959.89510447917</v>
      </c>
      <c r="C496" s="35" t="s">
        <v>76</v>
      </c>
      <c r="D496" s="35" t="s">
        <v>76</v>
      </c>
      <c r="E496" s="35">
        <v>2023.0</v>
      </c>
      <c r="F496" s="43">
        <v>44959.89510447917</v>
      </c>
      <c r="G496" s="38">
        <v>2219.0</v>
      </c>
      <c r="H496" s="38" t="s">
        <v>8</v>
      </c>
      <c r="I496" s="40"/>
      <c r="J496" s="40"/>
      <c r="K496" s="35"/>
      <c r="L496" s="35" t="s">
        <v>330</v>
      </c>
      <c r="M496" s="35" t="s">
        <v>331</v>
      </c>
      <c r="N496" s="35"/>
    </row>
    <row r="497" ht="16.5" customHeight="1">
      <c r="A497" s="28" t="s">
        <v>367</v>
      </c>
      <c r="B497" s="29">
        <v>44959.8959921412</v>
      </c>
      <c r="C497" s="28" t="s">
        <v>76</v>
      </c>
      <c r="D497" s="28" t="s">
        <v>76</v>
      </c>
      <c r="E497" s="28">
        <v>2023.0</v>
      </c>
      <c r="F497" s="42">
        <v>44959.8959921412</v>
      </c>
      <c r="G497" s="31">
        <v>2194.0</v>
      </c>
      <c r="H497" s="31" t="s">
        <v>8</v>
      </c>
      <c r="I497" s="33"/>
      <c r="J497" s="33"/>
      <c r="K497" s="28"/>
      <c r="L497" s="28" t="s">
        <v>330</v>
      </c>
      <c r="M497" s="28" t="s">
        <v>331</v>
      </c>
      <c r="N497" s="28"/>
    </row>
    <row r="498" ht="16.5" customHeight="1">
      <c r="A498" s="35" t="s">
        <v>368</v>
      </c>
      <c r="B498" s="36">
        <v>44959.93610265046</v>
      </c>
      <c r="C498" s="35" t="s">
        <v>76</v>
      </c>
      <c r="D498" s="35" t="s">
        <v>76</v>
      </c>
      <c r="E498" s="35">
        <v>2023.0</v>
      </c>
      <c r="F498" s="43">
        <v>44959.93610265046</v>
      </c>
      <c r="G498" s="38">
        <v>2239.0</v>
      </c>
      <c r="H498" s="38" t="s">
        <v>8</v>
      </c>
      <c r="I498" s="40"/>
      <c r="J498" s="40"/>
      <c r="K498" s="35"/>
      <c r="L498" s="35" t="s">
        <v>330</v>
      </c>
      <c r="M498" s="35" t="s">
        <v>331</v>
      </c>
      <c r="N498" s="35"/>
    </row>
    <row r="499" ht="16.5" customHeight="1">
      <c r="A499" s="28" t="s">
        <v>369</v>
      </c>
      <c r="B499" s="29">
        <v>44959.94003449074</v>
      </c>
      <c r="C499" s="28" t="s">
        <v>76</v>
      </c>
      <c r="D499" s="28" t="s">
        <v>76</v>
      </c>
      <c r="E499" s="28">
        <v>2023.0</v>
      </c>
      <c r="F499" s="42">
        <v>44959.94003449074</v>
      </c>
      <c r="G499" s="31">
        <v>2459.0</v>
      </c>
      <c r="H499" s="31" t="s">
        <v>8</v>
      </c>
      <c r="I499" s="33"/>
      <c r="J499" s="33"/>
      <c r="K499" s="28"/>
      <c r="L499" s="28" t="s">
        <v>330</v>
      </c>
      <c r="M499" s="28" t="s">
        <v>331</v>
      </c>
      <c r="N499" s="28"/>
    </row>
    <row r="500" ht="16.5" customHeight="1">
      <c r="A500" s="35" t="s">
        <v>370</v>
      </c>
      <c r="B500" s="36">
        <v>44959.955054687496</v>
      </c>
      <c r="C500" s="35" t="s">
        <v>76</v>
      </c>
      <c r="D500" s="35" t="s">
        <v>76</v>
      </c>
      <c r="E500" s="35">
        <v>2023.0</v>
      </c>
      <c r="F500" s="43">
        <v>44959.955054687496</v>
      </c>
      <c r="G500" s="38">
        <v>2376.0</v>
      </c>
      <c r="H500" s="38" t="s">
        <v>8</v>
      </c>
      <c r="I500" s="40"/>
      <c r="J500" s="40"/>
      <c r="K500" s="35"/>
      <c r="L500" s="35" t="s">
        <v>330</v>
      </c>
      <c r="M500" s="35" t="s">
        <v>331</v>
      </c>
      <c r="N500" s="35"/>
    </row>
    <row r="501" ht="16.5" customHeight="1">
      <c r="A501" s="28" t="s">
        <v>371</v>
      </c>
      <c r="B501" s="29">
        <v>44959.959650902776</v>
      </c>
      <c r="C501" s="28" t="s">
        <v>76</v>
      </c>
      <c r="D501" s="28" t="s">
        <v>76</v>
      </c>
      <c r="E501" s="28">
        <v>2023.0</v>
      </c>
      <c r="F501" s="42">
        <v>44959.959650902776</v>
      </c>
      <c r="G501" s="31">
        <v>2672.0</v>
      </c>
      <c r="H501" s="31" t="s">
        <v>8</v>
      </c>
      <c r="I501" s="33"/>
      <c r="J501" s="33"/>
      <c r="K501" s="28"/>
      <c r="L501" s="28" t="s">
        <v>330</v>
      </c>
      <c r="M501" s="28" t="s">
        <v>331</v>
      </c>
      <c r="N501" s="28"/>
    </row>
    <row r="502" ht="16.5" customHeight="1">
      <c r="A502" s="35" t="s">
        <v>372</v>
      </c>
      <c r="B502" s="36">
        <v>44959.99012703703</v>
      </c>
      <c r="C502" s="35" t="s">
        <v>76</v>
      </c>
      <c r="D502" s="35" t="s">
        <v>76</v>
      </c>
      <c r="E502" s="35">
        <v>2023.0</v>
      </c>
      <c r="F502" s="43">
        <v>44959.99012703703</v>
      </c>
      <c r="G502" s="38">
        <v>2463.0</v>
      </c>
      <c r="H502" s="38" t="s">
        <v>8</v>
      </c>
      <c r="I502" s="40"/>
      <c r="J502" s="40"/>
      <c r="K502" s="35"/>
      <c r="L502" s="35" t="s">
        <v>330</v>
      </c>
      <c r="M502" s="35" t="s">
        <v>331</v>
      </c>
      <c r="N502" s="35"/>
    </row>
    <row r="503" ht="16.5" customHeight="1">
      <c r="A503" s="28" t="s">
        <v>373</v>
      </c>
      <c r="B503" s="29">
        <v>44959.99066541667</v>
      </c>
      <c r="C503" s="28" t="s">
        <v>76</v>
      </c>
      <c r="D503" s="28" t="s">
        <v>76</v>
      </c>
      <c r="E503" s="28">
        <v>2023.0</v>
      </c>
      <c r="F503" s="42">
        <v>44959.99066541667</v>
      </c>
      <c r="G503" s="31">
        <v>2391.0</v>
      </c>
      <c r="H503" s="31" t="s">
        <v>8</v>
      </c>
      <c r="I503" s="33"/>
      <c r="J503" s="33"/>
      <c r="K503" s="28"/>
      <c r="L503" s="28" t="s">
        <v>330</v>
      </c>
      <c r="M503" s="28" t="s">
        <v>331</v>
      </c>
      <c r="N503" s="28"/>
    </row>
    <row r="504" ht="16.5" customHeight="1">
      <c r="A504" s="35" t="s">
        <v>374</v>
      </c>
      <c r="B504" s="36">
        <v>44960.01319028935</v>
      </c>
      <c r="C504" s="35" t="s">
        <v>82</v>
      </c>
      <c r="D504" s="35" t="s">
        <v>76</v>
      </c>
      <c r="E504" s="35">
        <v>2023.0</v>
      </c>
      <c r="F504" s="43">
        <v>44960.01319028935</v>
      </c>
      <c r="G504" s="38">
        <v>2317.0</v>
      </c>
      <c r="H504" s="38" t="s">
        <v>8</v>
      </c>
      <c r="I504" s="40"/>
      <c r="J504" s="40"/>
      <c r="K504" s="35"/>
      <c r="L504" s="35" t="s">
        <v>330</v>
      </c>
      <c r="M504" s="35" t="s">
        <v>331</v>
      </c>
      <c r="N504" s="35"/>
    </row>
    <row r="505" ht="16.5" customHeight="1">
      <c r="A505" s="28" t="s">
        <v>375</v>
      </c>
      <c r="B505" s="29">
        <v>44960.02058765046</v>
      </c>
      <c r="C505" s="28" t="s">
        <v>82</v>
      </c>
      <c r="D505" s="28" t="s">
        <v>76</v>
      </c>
      <c r="E505" s="28">
        <v>2023.0</v>
      </c>
      <c r="F505" s="42">
        <v>44960.02058765046</v>
      </c>
      <c r="G505" s="31">
        <v>2679.0</v>
      </c>
      <c r="H505" s="31" t="s">
        <v>8</v>
      </c>
      <c r="I505" s="33"/>
      <c r="J505" s="33"/>
      <c r="K505" s="28"/>
      <c r="L505" s="28" t="s">
        <v>330</v>
      </c>
      <c r="M505" s="28" t="s">
        <v>331</v>
      </c>
      <c r="N505" s="28"/>
    </row>
    <row r="506" ht="16.5" customHeight="1">
      <c r="A506" s="35" t="s">
        <v>376</v>
      </c>
      <c r="B506" s="36">
        <v>44960.036413587964</v>
      </c>
      <c r="C506" s="35" t="s">
        <v>82</v>
      </c>
      <c r="D506" s="35" t="s">
        <v>76</v>
      </c>
      <c r="E506" s="35">
        <v>2023.0</v>
      </c>
      <c r="F506" s="43">
        <v>44960.036413587964</v>
      </c>
      <c r="G506" s="38">
        <v>2424.0</v>
      </c>
      <c r="H506" s="38" t="s">
        <v>8</v>
      </c>
      <c r="I506" s="40"/>
      <c r="J506" s="40"/>
      <c r="K506" s="35"/>
      <c r="L506" s="35" t="s">
        <v>330</v>
      </c>
      <c r="M506" s="35" t="s">
        <v>331</v>
      </c>
      <c r="N506" s="35"/>
    </row>
    <row r="507" ht="16.5" customHeight="1">
      <c r="A507" s="28" t="s">
        <v>377</v>
      </c>
      <c r="B507" s="29">
        <v>44960.0538962037</v>
      </c>
      <c r="C507" s="28" t="s">
        <v>82</v>
      </c>
      <c r="D507" s="28" t="s">
        <v>76</v>
      </c>
      <c r="E507" s="28">
        <v>2023.0</v>
      </c>
      <c r="F507" s="42">
        <v>44960.0538962037</v>
      </c>
      <c r="G507" s="31">
        <v>2566.0</v>
      </c>
      <c r="H507" s="31" t="s">
        <v>8</v>
      </c>
      <c r="I507" s="33"/>
      <c r="J507" s="33"/>
      <c r="K507" s="28"/>
      <c r="L507" s="28" t="s">
        <v>330</v>
      </c>
      <c r="M507" s="28" t="s">
        <v>331</v>
      </c>
      <c r="N507" s="28"/>
    </row>
    <row r="508" ht="16.5" customHeight="1">
      <c r="A508" s="35" t="s">
        <v>378</v>
      </c>
      <c r="B508" s="36">
        <v>44960.07913940972</v>
      </c>
      <c r="C508" s="35" t="s">
        <v>82</v>
      </c>
      <c r="D508" s="35" t="s">
        <v>76</v>
      </c>
      <c r="E508" s="35">
        <v>2023.0</v>
      </c>
      <c r="F508" s="43">
        <v>44960.07913940972</v>
      </c>
      <c r="G508" s="38">
        <v>2419.0</v>
      </c>
      <c r="H508" s="38" t="s">
        <v>8</v>
      </c>
      <c r="I508" s="40"/>
      <c r="J508" s="40"/>
      <c r="K508" s="35"/>
      <c r="L508" s="35" t="s">
        <v>330</v>
      </c>
      <c r="M508" s="35" t="s">
        <v>331</v>
      </c>
      <c r="N508" s="35"/>
    </row>
    <row r="509" ht="16.5" customHeight="1">
      <c r="A509" s="28" t="s">
        <v>379</v>
      </c>
      <c r="B509" s="29">
        <v>44960.097179097225</v>
      </c>
      <c r="C509" s="28" t="s">
        <v>82</v>
      </c>
      <c r="D509" s="28" t="s">
        <v>76</v>
      </c>
      <c r="E509" s="28">
        <v>2023.0</v>
      </c>
      <c r="F509" s="42">
        <v>44960.097179097225</v>
      </c>
      <c r="G509" s="31">
        <v>2374.0</v>
      </c>
      <c r="H509" s="31" t="s">
        <v>8</v>
      </c>
      <c r="I509" s="33"/>
      <c r="J509" s="33"/>
      <c r="K509" s="28"/>
      <c r="L509" s="28" t="s">
        <v>330</v>
      </c>
      <c r="M509" s="28" t="s">
        <v>331</v>
      </c>
      <c r="N509" s="28"/>
    </row>
    <row r="510" ht="16.5" customHeight="1">
      <c r="A510" s="35" t="s">
        <v>380</v>
      </c>
      <c r="B510" s="36">
        <v>44960.140064085645</v>
      </c>
      <c r="C510" s="35" t="s">
        <v>82</v>
      </c>
      <c r="D510" s="35" t="s">
        <v>76</v>
      </c>
      <c r="E510" s="35">
        <v>2023.0</v>
      </c>
      <c r="F510" s="43">
        <v>44960.140064085645</v>
      </c>
      <c r="G510" s="38">
        <v>2387.0</v>
      </c>
      <c r="H510" s="38" t="s">
        <v>8</v>
      </c>
      <c r="I510" s="40"/>
      <c r="J510" s="40"/>
      <c r="K510" s="35"/>
      <c r="L510" s="35" t="s">
        <v>330</v>
      </c>
      <c r="M510" s="35" t="s">
        <v>331</v>
      </c>
      <c r="N510" s="35"/>
    </row>
    <row r="511" ht="16.5" customHeight="1">
      <c r="A511" s="28" t="s">
        <v>381</v>
      </c>
      <c r="B511" s="29">
        <v>44960.149873807866</v>
      </c>
      <c r="C511" s="28" t="s">
        <v>82</v>
      </c>
      <c r="D511" s="28" t="s">
        <v>76</v>
      </c>
      <c r="E511" s="28">
        <v>2023.0</v>
      </c>
      <c r="F511" s="42">
        <v>44960.149873807866</v>
      </c>
      <c r="G511" s="31">
        <v>2620.0</v>
      </c>
      <c r="H511" s="31" t="s">
        <v>8</v>
      </c>
      <c r="I511" s="33"/>
      <c r="J511" s="33"/>
      <c r="K511" s="28"/>
      <c r="L511" s="28" t="s">
        <v>330</v>
      </c>
      <c r="M511" s="28" t="s">
        <v>331</v>
      </c>
      <c r="N511" s="28"/>
    </row>
    <row r="512" ht="16.5" customHeight="1">
      <c r="A512" s="35" t="s">
        <v>382</v>
      </c>
      <c r="B512" s="36">
        <v>44960.170118877315</v>
      </c>
      <c r="C512" s="35" t="s">
        <v>82</v>
      </c>
      <c r="D512" s="35" t="s">
        <v>76</v>
      </c>
      <c r="E512" s="35">
        <v>2023.0</v>
      </c>
      <c r="F512" s="43">
        <v>44960.170118877315</v>
      </c>
      <c r="G512" s="38">
        <v>2460.0</v>
      </c>
      <c r="H512" s="38" t="s">
        <v>8</v>
      </c>
      <c r="I512" s="40"/>
      <c r="J512" s="40"/>
      <c r="K512" s="35"/>
      <c r="L512" s="35" t="s">
        <v>330</v>
      </c>
      <c r="M512" s="35" t="s">
        <v>331</v>
      </c>
      <c r="N512" s="35"/>
    </row>
    <row r="513" ht="16.5" customHeight="1">
      <c r="A513" s="28" t="s">
        <v>383</v>
      </c>
      <c r="B513" s="29">
        <v>44960.19580526621</v>
      </c>
      <c r="C513" s="28" t="s">
        <v>82</v>
      </c>
      <c r="D513" s="28" t="s">
        <v>76</v>
      </c>
      <c r="E513" s="28">
        <v>2023.0</v>
      </c>
      <c r="F513" s="42">
        <v>44960.19580526621</v>
      </c>
      <c r="G513" s="31">
        <v>2675.0</v>
      </c>
      <c r="H513" s="31" t="s">
        <v>8</v>
      </c>
      <c r="I513" s="33"/>
      <c r="J513" s="33"/>
      <c r="K513" s="28"/>
      <c r="L513" s="28" t="s">
        <v>330</v>
      </c>
      <c r="M513" s="28" t="s">
        <v>331</v>
      </c>
      <c r="N513" s="28"/>
    </row>
    <row r="514" ht="16.5" customHeight="1">
      <c r="A514" s="35" t="s">
        <v>384</v>
      </c>
      <c r="B514" s="36">
        <v>44960.203444259256</v>
      </c>
      <c r="C514" s="35" t="s">
        <v>82</v>
      </c>
      <c r="D514" s="35" t="s">
        <v>76</v>
      </c>
      <c r="E514" s="35">
        <v>2023.0</v>
      </c>
      <c r="F514" s="43">
        <v>44960.203444259256</v>
      </c>
      <c r="G514" s="38">
        <v>2623.0</v>
      </c>
      <c r="H514" s="38" t="s">
        <v>8</v>
      </c>
      <c r="I514" s="40"/>
      <c r="J514" s="40"/>
      <c r="K514" s="35"/>
      <c r="L514" s="35" t="s">
        <v>330</v>
      </c>
      <c r="M514" s="35" t="s">
        <v>331</v>
      </c>
      <c r="N514" s="35"/>
    </row>
    <row r="515" ht="16.5" customHeight="1">
      <c r="A515" s="28" t="s">
        <v>385</v>
      </c>
      <c r="B515" s="29">
        <v>44960.21678965278</v>
      </c>
      <c r="C515" s="28" t="s">
        <v>82</v>
      </c>
      <c r="D515" s="28" t="s">
        <v>76</v>
      </c>
      <c r="E515" s="28">
        <v>2023.0</v>
      </c>
      <c r="F515" s="42">
        <v>44960.21678965278</v>
      </c>
      <c r="G515" s="31">
        <v>2622.0</v>
      </c>
      <c r="H515" s="31" t="s">
        <v>8</v>
      </c>
      <c r="I515" s="33"/>
      <c r="J515" s="33"/>
      <c r="K515" s="28"/>
      <c r="L515" s="28" t="s">
        <v>330</v>
      </c>
      <c r="M515" s="28" t="s">
        <v>331</v>
      </c>
      <c r="N515" s="28"/>
    </row>
    <row r="516" ht="16.5" customHeight="1">
      <c r="A516" s="35" t="s">
        <v>386</v>
      </c>
      <c r="B516" s="36">
        <v>44960.319627731486</v>
      </c>
      <c r="C516" s="35" t="s">
        <v>82</v>
      </c>
      <c r="D516" s="35" t="s">
        <v>76</v>
      </c>
      <c r="E516" s="35">
        <v>2023.0</v>
      </c>
      <c r="F516" s="43">
        <v>44960.319627731486</v>
      </c>
      <c r="G516" s="38">
        <v>222021.0</v>
      </c>
      <c r="H516" s="38" t="s">
        <v>8</v>
      </c>
      <c r="I516" s="40"/>
      <c r="J516" s="40"/>
      <c r="K516" s="35"/>
      <c r="L516" s="35" t="s">
        <v>330</v>
      </c>
      <c r="M516" s="35" t="s">
        <v>331</v>
      </c>
      <c r="N516" s="35"/>
    </row>
    <row r="517" ht="16.5" customHeight="1">
      <c r="A517" s="28" t="s">
        <v>387</v>
      </c>
      <c r="B517" s="29">
        <v>44960.6380734375</v>
      </c>
      <c r="C517" s="28" t="s">
        <v>82</v>
      </c>
      <c r="D517" s="28" t="s">
        <v>76</v>
      </c>
      <c r="E517" s="28">
        <v>2023.0</v>
      </c>
      <c r="F517" s="42">
        <v>44960.6380734375</v>
      </c>
      <c r="G517" s="31">
        <v>484.0</v>
      </c>
      <c r="H517" s="31" t="s">
        <v>8</v>
      </c>
      <c r="I517" s="33"/>
      <c r="J517" s="33"/>
      <c r="K517" s="28"/>
      <c r="L517" s="28" t="s">
        <v>330</v>
      </c>
      <c r="M517" s="28" t="s">
        <v>331</v>
      </c>
      <c r="N517" s="28"/>
    </row>
    <row r="518" ht="16.5" customHeight="1">
      <c r="A518" s="35" t="s">
        <v>388</v>
      </c>
      <c r="B518" s="36">
        <v>44960.87205917824</v>
      </c>
      <c r="C518" s="35" t="s">
        <v>82</v>
      </c>
      <c r="D518" s="35" t="s">
        <v>76</v>
      </c>
      <c r="E518" s="35">
        <v>2023.0</v>
      </c>
      <c r="F518" s="43">
        <v>44960.87205917824</v>
      </c>
      <c r="G518" s="38">
        <v>657.0</v>
      </c>
      <c r="H518" s="38" t="s">
        <v>8</v>
      </c>
      <c r="I518" s="40"/>
      <c r="J518" s="40"/>
      <c r="K518" s="35"/>
      <c r="L518" s="35" t="s">
        <v>330</v>
      </c>
      <c r="M518" s="35" t="s">
        <v>331</v>
      </c>
      <c r="N518" s="35"/>
    </row>
    <row r="519" ht="16.5" customHeight="1">
      <c r="A519" s="28" t="s">
        <v>389</v>
      </c>
      <c r="B519" s="29">
        <v>44960.89623053241</v>
      </c>
      <c r="C519" s="28" t="s">
        <v>82</v>
      </c>
      <c r="D519" s="28" t="s">
        <v>76</v>
      </c>
      <c r="E519" s="28">
        <v>2023.0</v>
      </c>
      <c r="F519" s="42">
        <v>44960.89623053241</v>
      </c>
      <c r="G519" s="31">
        <v>2252.0</v>
      </c>
      <c r="H519" s="31" t="s">
        <v>8</v>
      </c>
      <c r="I519" s="33"/>
      <c r="J519" s="33"/>
      <c r="K519" s="28"/>
      <c r="L519" s="28" t="s">
        <v>330</v>
      </c>
      <c r="M519" s="28" t="s">
        <v>331</v>
      </c>
      <c r="N519" s="28"/>
    </row>
    <row r="520" ht="16.5" customHeight="1">
      <c r="A520" s="35" t="s">
        <v>390</v>
      </c>
      <c r="B520" s="36">
        <v>44960.909812488426</v>
      </c>
      <c r="C520" s="35" t="s">
        <v>82</v>
      </c>
      <c r="D520" s="35" t="s">
        <v>76</v>
      </c>
      <c r="E520" s="35">
        <v>2023.0</v>
      </c>
      <c r="F520" s="43">
        <v>44960.909812488426</v>
      </c>
      <c r="G520" s="38">
        <v>2379.0</v>
      </c>
      <c r="H520" s="38" t="s">
        <v>8</v>
      </c>
      <c r="I520" s="40"/>
      <c r="J520" s="40"/>
      <c r="K520" s="35"/>
      <c r="L520" s="35" t="s">
        <v>330</v>
      </c>
      <c r="M520" s="35" t="s">
        <v>331</v>
      </c>
      <c r="N520" s="35"/>
    </row>
    <row r="521" ht="16.5" customHeight="1">
      <c r="A521" s="28" t="s">
        <v>391</v>
      </c>
      <c r="B521" s="29">
        <v>44960.99718320602</v>
      </c>
      <c r="C521" s="28" t="s">
        <v>82</v>
      </c>
      <c r="D521" s="28" t="s">
        <v>76</v>
      </c>
      <c r="E521" s="28">
        <v>2023.0</v>
      </c>
      <c r="F521" s="42">
        <v>44960.99718320602</v>
      </c>
      <c r="G521" s="31">
        <v>2275.0</v>
      </c>
      <c r="H521" s="31" t="s">
        <v>8</v>
      </c>
      <c r="I521" s="33"/>
      <c r="J521" s="33"/>
      <c r="K521" s="28"/>
      <c r="L521" s="28" t="s">
        <v>330</v>
      </c>
      <c r="M521" s="28" t="s">
        <v>331</v>
      </c>
      <c r="N521" s="28"/>
    </row>
    <row r="522" ht="16.5" customHeight="1">
      <c r="A522" s="35" t="s">
        <v>392</v>
      </c>
      <c r="B522" s="36">
        <v>44960.997288530096</v>
      </c>
      <c r="C522" s="35" t="s">
        <v>82</v>
      </c>
      <c r="D522" s="35" t="s">
        <v>76</v>
      </c>
      <c r="E522" s="35">
        <v>2023.0</v>
      </c>
      <c r="F522" s="43">
        <v>44960.997288530096</v>
      </c>
      <c r="G522" s="38">
        <v>2276.0</v>
      </c>
      <c r="H522" s="38" t="s">
        <v>8</v>
      </c>
      <c r="I522" s="40"/>
      <c r="J522" s="40"/>
      <c r="K522" s="35"/>
      <c r="L522" s="35" t="s">
        <v>330</v>
      </c>
      <c r="M522" s="35" t="s">
        <v>331</v>
      </c>
      <c r="N522" s="35"/>
    </row>
    <row r="523" ht="16.5" customHeight="1">
      <c r="A523" s="28" t="s">
        <v>393</v>
      </c>
      <c r="B523" s="29">
        <v>44960.99740958333</v>
      </c>
      <c r="C523" s="28" t="s">
        <v>82</v>
      </c>
      <c r="D523" s="28" t="s">
        <v>76</v>
      </c>
      <c r="E523" s="28">
        <v>2023.0</v>
      </c>
      <c r="F523" s="42">
        <v>44960.99740958333</v>
      </c>
      <c r="G523" s="31">
        <v>2434.0</v>
      </c>
      <c r="H523" s="31" t="s">
        <v>8</v>
      </c>
      <c r="I523" s="33"/>
      <c r="J523" s="33"/>
      <c r="K523" s="28"/>
      <c r="L523" s="28" t="s">
        <v>330</v>
      </c>
      <c r="M523" s="28" t="s">
        <v>331</v>
      </c>
      <c r="N523" s="28"/>
    </row>
    <row r="524" ht="16.5" customHeight="1">
      <c r="A524" s="35" t="s">
        <v>394</v>
      </c>
      <c r="B524" s="36">
        <v>44960.99751065973</v>
      </c>
      <c r="C524" s="35" t="s">
        <v>82</v>
      </c>
      <c r="D524" s="35" t="s">
        <v>76</v>
      </c>
      <c r="E524" s="35">
        <v>2023.0</v>
      </c>
      <c r="F524" s="43">
        <v>44960.99751065973</v>
      </c>
      <c r="G524" s="38">
        <v>2380.0</v>
      </c>
      <c r="H524" s="38" t="s">
        <v>8</v>
      </c>
      <c r="I524" s="40"/>
      <c r="J524" s="40"/>
      <c r="K524" s="35"/>
      <c r="L524" s="35" t="s">
        <v>330</v>
      </c>
      <c r="M524" s="35" t="s">
        <v>331</v>
      </c>
      <c r="N524" s="35"/>
    </row>
    <row r="525" ht="16.5" customHeight="1">
      <c r="A525" s="28" t="s">
        <v>395</v>
      </c>
      <c r="B525" s="29">
        <v>44960.997642256945</v>
      </c>
      <c r="C525" s="28" t="s">
        <v>82</v>
      </c>
      <c r="D525" s="28" t="s">
        <v>76</v>
      </c>
      <c r="E525" s="28">
        <v>2023.0</v>
      </c>
      <c r="F525" s="42">
        <v>44960.997642256945</v>
      </c>
      <c r="G525" s="31">
        <v>2624.0</v>
      </c>
      <c r="H525" s="31" t="s">
        <v>8</v>
      </c>
      <c r="I525" s="33"/>
      <c r="J525" s="33"/>
      <c r="K525" s="28"/>
      <c r="L525" s="28" t="s">
        <v>330</v>
      </c>
      <c r="M525" s="28" t="s">
        <v>331</v>
      </c>
      <c r="N525" s="28"/>
    </row>
    <row r="526" ht="16.5" customHeight="1">
      <c r="A526" s="35" t="s">
        <v>396</v>
      </c>
      <c r="B526" s="36">
        <v>44960.99773854167</v>
      </c>
      <c r="C526" s="35" t="s">
        <v>82</v>
      </c>
      <c r="D526" s="35" t="s">
        <v>76</v>
      </c>
      <c r="E526" s="35">
        <v>2023.0</v>
      </c>
      <c r="F526" s="43">
        <v>44960.99773854167</v>
      </c>
      <c r="G526" s="38">
        <v>2632.0</v>
      </c>
      <c r="H526" s="38" t="s">
        <v>8</v>
      </c>
      <c r="I526" s="40"/>
      <c r="J526" s="40"/>
      <c r="K526" s="35"/>
      <c r="L526" s="35" t="s">
        <v>330</v>
      </c>
      <c r="M526" s="35" t="s">
        <v>331</v>
      </c>
      <c r="N526" s="35"/>
    </row>
    <row r="527" ht="16.5" customHeight="1">
      <c r="A527" s="28" t="s">
        <v>397</v>
      </c>
      <c r="B527" s="29">
        <v>44961.02708421296</v>
      </c>
      <c r="C527" s="28" t="s">
        <v>89</v>
      </c>
      <c r="D527" s="28" t="s">
        <v>76</v>
      </c>
      <c r="E527" s="28">
        <v>2023.0</v>
      </c>
      <c r="F527" s="42">
        <v>44961.02708421296</v>
      </c>
      <c r="G527" s="31">
        <v>2438.0</v>
      </c>
      <c r="H527" s="31" t="s">
        <v>8</v>
      </c>
      <c r="I527" s="33"/>
      <c r="J527" s="33"/>
      <c r="K527" s="28"/>
      <c r="L527" s="28" t="s">
        <v>330</v>
      </c>
      <c r="M527" s="28" t="s">
        <v>331</v>
      </c>
      <c r="N527" s="28"/>
    </row>
    <row r="528" ht="16.5" customHeight="1">
      <c r="A528" s="35" t="s">
        <v>398</v>
      </c>
      <c r="B528" s="36">
        <v>44961.027534583336</v>
      </c>
      <c r="C528" s="35" t="s">
        <v>89</v>
      </c>
      <c r="D528" s="35" t="s">
        <v>76</v>
      </c>
      <c r="E528" s="35">
        <v>2023.0</v>
      </c>
      <c r="F528" s="43">
        <v>44961.027534583336</v>
      </c>
      <c r="G528" s="38">
        <v>2454.0</v>
      </c>
      <c r="H528" s="38" t="s">
        <v>8</v>
      </c>
      <c r="I528" s="40"/>
      <c r="J528" s="40"/>
      <c r="K528" s="35"/>
      <c r="L528" s="35" t="s">
        <v>330</v>
      </c>
      <c r="M528" s="35" t="s">
        <v>331</v>
      </c>
      <c r="N528" s="35"/>
    </row>
    <row r="529" ht="16.5" customHeight="1">
      <c r="A529" s="28" t="s">
        <v>399</v>
      </c>
      <c r="B529" s="29">
        <v>44961.02776295139</v>
      </c>
      <c r="C529" s="28" t="s">
        <v>89</v>
      </c>
      <c r="D529" s="28" t="s">
        <v>76</v>
      </c>
      <c r="E529" s="28">
        <v>2023.0</v>
      </c>
      <c r="F529" s="42">
        <v>44961.02776295139</v>
      </c>
      <c r="G529" s="31">
        <v>2673.0</v>
      </c>
      <c r="H529" s="31" t="s">
        <v>8</v>
      </c>
      <c r="I529" s="33"/>
      <c r="J529" s="33"/>
      <c r="K529" s="28"/>
      <c r="L529" s="28" t="s">
        <v>330</v>
      </c>
      <c r="M529" s="28" t="s">
        <v>331</v>
      </c>
      <c r="N529" s="28"/>
    </row>
    <row r="530" ht="16.5" customHeight="1">
      <c r="A530" s="35" t="s">
        <v>400</v>
      </c>
      <c r="B530" s="36">
        <v>44961.02784846065</v>
      </c>
      <c r="C530" s="35" t="s">
        <v>89</v>
      </c>
      <c r="D530" s="35" t="s">
        <v>76</v>
      </c>
      <c r="E530" s="35">
        <v>2023.0</v>
      </c>
      <c r="F530" s="43">
        <v>44961.02784846065</v>
      </c>
      <c r="G530" s="38">
        <v>2201.0</v>
      </c>
      <c r="H530" s="38" t="s">
        <v>8</v>
      </c>
      <c r="I530" s="40"/>
      <c r="J530" s="40"/>
      <c r="K530" s="35"/>
      <c r="L530" s="35" t="s">
        <v>330</v>
      </c>
      <c r="M530" s="35" t="s">
        <v>331</v>
      </c>
      <c r="N530" s="35"/>
    </row>
    <row r="531" ht="16.5" customHeight="1">
      <c r="A531" s="28" t="s">
        <v>401</v>
      </c>
      <c r="B531" s="29">
        <v>44961.0282138426</v>
      </c>
      <c r="C531" s="28" t="s">
        <v>89</v>
      </c>
      <c r="D531" s="28" t="s">
        <v>76</v>
      </c>
      <c r="E531" s="28">
        <v>2023.0</v>
      </c>
      <c r="F531" s="42">
        <v>44961.0282138426</v>
      </c>
      <c r="G531" s="31">
        <v>2666.0</v>
      </c>
      <c r="H531" s="31" t="s">
        <v>8</v>
      </c>
      <c r="I531" s="33"/>
      <c r="J531" s="33"/>
      <c r="K531" s="28"/>
      <c r="L531" s="28" t="s">
        <v>330</v>
      </c>
      <c r="M531" s="28" t="s">
        <v>331</v>
      </c>
      <c r="N531" s="28"/>
    </row>
    <row r="532" ht="16.5" customHeight="1">
      <c r="A532" s="35" t="s">
        <v>402</v>
      </c>
      <c r="B532" s="36">
        <v>44961.050122002314</v>
      </c>
      <c r="C532" s="35" t="s">
        <v>89</v>
      </c>
      <c r="D532" s="35" t="s">
        <v>76</v>
      </c>
      <c r="E532" s="35">
        <v>2023.0</v>
      </c>
      <c r="F532" s="43">
        <v>44961.050122002314</v>
      </c>
      <c r="G532" s="38">
        <v>2227.0</v>
      </c>
      <c r="H532" s="38" t="s">
        <v>8</v>
      </c>
      <c r="I532" s="40"/>
      <c r="J532" s="40"/>
      <c r="K532" s="35"/>
      <c r="L532" s="35" t="s">
        <v>330</v>
      </c>
      <c r="M532" s="35" t="s">
        <v>331</v>
      </c>
      <c r="N532" s="35"/>
    </row>
    <row r="533" ht="16.5" customHeight="1">
      <c r="A533" s="28" t="s">
        <v>403</v>
      </c>
      <c r="B533" s="29">
        <v>44961.09651880787</v>
      </c>
      <c r="C533" s="28" t="s">
        <v>89</v>
      </c>
      <c r="D533" s="28" t="s">
        <v>76</v>
      </c>
      <c r="E533" s="28">
        <v>2023.0</v>
      </c>
      <c r="F533" s="42">
        <v>44961.09651880787</v>
      </c>
      <c r="G533" s="31">
        <v>2662.0</v>
      </c>
      <c r="H533" s="31" t="s">
        <v>8</v>
      </c>
      <c r="I533" s="33"/>
      <c r="J533" s="33"/>
      <c r="K533" s="28"/>
      <c r="L533" s="28" t="s">
        <v>330</v>
      </c>
      <c r="M533" s="28" t="s">
        <v>331</v>
      </c>
      <c r="N533" s="28"/>
    </row>
    <row r="534" ht="16.5" customHeight="1">
      <c r="A534" s="35" t="s">
        <v>404</v>
      </c>
      <c r="B534" s="36">
        <v>44961.12510131944</v>
      </c>
      <c r="C534" s="35" t="s">
        <v>89</v>
      </c>
      <c r="D534" s="35" t="s">
        <v>76</v>
      </c>
      <c r="E534" s="35">
        <v>2023.0</v>
      </c>
      <c r="F534" s="43">
        <v>44961.12510131944</v>
      </c>
      <c r="G534" s="38">
        <v>2418.0</v>
      </c>
      <c r="H534" s="38" t="s">
        <v>8</v>
      </c>
      <c r="I534" s="40"/>
      <c r="J534" s="40"/>
      <c r="K534" s="35"/>
      <c r="L534" s="35" t="s">
        <v>330</v>
      </c>
      <c r="M534" s="35" t="s">
        <v>331</v>
      </c>
      <c r="N534" s="35"/>
    </row>
    <row r="535" ht="16.5" customHeight="1">
      <c r="A535" s="28" t="s">
        <v>405</v>
      </c>
      <c r="B535" s="29">
        <v>44961.27041725694</v>
      </c>
      <c r="C535" s="28" t="s">
        <v>89</v>
      </c>
      <c r="D535" s="28" t="s">
        <v>76</v>
      </c>
      <c r="E535" s="28">
        <v>2023.0</v>
      </c>
      <c r="F535" s="42">
        <v>44961.27041725694</v>
      </c>
      <c r="G535" s="31">
        <v>2671.0</v>
      </c>
      <c r="H535" s="28"/>
      <c r="I535" s="28"/>
      <c r="J535" s="28"/>
      <c r="K535" s="28"/>
      <c r="L535" s="28" t="s">
        <v>330</v>
      </c>
      <c r="M535" s="28" t="s">
        <v>331</v>
      </c>
      <c r="N535" s="28"/>
    </row>
    <row r="536" ht="16.5" customHeight="1">
      <c r="A536" s="35" t="s">
        <v>406</v>
      </c>
      <c r="B536" s="36">
        <v>44961.31571778935</v>
      </c>
      <c r="C536" s="35" t="s">
        <v>89</v>
      </c>
      <c r="D536" s="35" t="s">
        <v>76</v>
      </c>
      <c r="E536" s="35">
        <v>2023.0</v>
      </c>
      <c r="F536" s="43">
        <v>44961.31571778935</v>
      </c>
      <c r="G536" s="38">
        <v>2422.0</v>
      </c>
      <c r="H536" s="35"/>
      <c r="I536" s="35"/>
      <c r="J536" s="35"/>
      <c r="K536" s="35"/>
      <c r="L536" s="35" t="s">
        <v>330</v>
      </c>
      <c r="M536" s="35" t="s">
        <v>331</v>
      </c>
      <c r="N536" s="35"/>
    </row>
    <row r="537" ht="16.5" customHeight="1">
      <c r="A537" s="28" t="s">
        <v>407</v>
      </c>
      <c r="B537" s="29">
        <v>44961.40115777778</v>
      </c>
      <c r="C537" s="28" t="s">
        <v>89</v>
      </c>
      <c r="D537" s="28" t="s">
        <v>76</v>
      </c>
      <c r="E537" s="28">
        <v>2023.0</v>
      </c>
      <c r="F537" s="42">
        <v>44961.40115777778</v>
      </c>
      <c r="G537" s="31">
        <v>2482.0</v>
      </c>
      <c r="H537" s="28"/>
      <c r="I537" s="28"/>
      <c r="J537" s="28"/>
      <c r="K537" s="28"/>
      <c r="L537" s="28" t="s">
        <v>330</v>
      </c>
      <c r="M537" s="28" t="s">
        <v>331</v>
      </c>
      <c r="N537" s="28"/>
    </row>
    <row r="538" ht="16.5" customHeight="1">
      <c r="A538" s="35" t="s">
        <v>408</v>
      </c>
      <c r="B538" s="36">
        <v>44963.36405556713</v>
      </c>
      <c r="C538" s="35" t="s">
        <v>109</v>
      </c>
      <c r="D538" s="35" t="s">
        <v>76</v>
      </c>
      <c r="E538" s="35">
        <v>2023.0</v>
      </c>
      <c r="F538" s="43">
        <v>44963.36405556713</v>
      </c>
      <c r="G538" s="38" t="s">
        <v>409</v>
      </c>
      <c r="H538" s="38" t="s">
        <v>8</v>
      </c>
      <c r="I538" s="40"/>
      <c r="J538" s="40"/>
      <c r="K538" s="35"/>
      <c r="L538" s="35" t="s">
        <v>330</v>
      </c>
      <c r="M538" s="35" t="s">
        <v>331</v>
      </c>
      <c r="N538" s="35"/>
    </row>
    <row r="539" ht="16.5" customHeight="1">
      <c r="A539" s="28" t="s">
        <v>410</v>
      </c>
      <c r="B539" s="29">
        <v>44963.396075833334</v>
      </c>
      <c r="C539" s="28" t="s">
        <v>109</v>
      </c>
      <c r="D539" s="28" t="s">
        <v>76</v>
      </c>
      <c r="E539" s="28">
        <v>2023.0</v>
      </c>
      <c r="F539" s="42">
        <v>44963.396075833334</v>
      </c>
      <c r="G539" s="31" t="s">
        <v>264</v>
      </c>
      <c r="H539" s="31" t="s">
        <v>8</v>
      </c>
      <c r="I539" s="33"/>
      <c r="J539" s="33"/>
      <c r="K539" s="28"/>
      <c r="L539" s="28" t="s">
        <v>330</v>
      </c>
      <c r="M539" s="28" t="s">
        <v>331</v>
      </c>
      <c r="N539" s="28"/>
    </row>
    <row r="540" ht="16.5" customHeight="1">
      <c r="A540" s="35" t="s">
        <v>411</v>
      </c>
      <c r="B540" s="36">
        <v>44963.39627496528</v>
      </c>
      <c r="C540" s="35" t="s">
        <v>109</v>
      </c>
      <c r="D540" s="35" t="s">
        <v>76</v>
      </c>
      <c r="E540" s="35">
        <v>2023.0</v>
      </c>
      <c r="F540" s="43">
        <v>44963.39627496528</v>
      </c>
      <c r="G540" s="38" t="s">
        <v>412</v>
      </c>
      <c r="H540" s="38" t="s">
        <v>8</v>
      </c>
      <c r="I540" s="40"/>
      <c r="J540" s="40"/>
      <c r="K540" s="35"/>
      <c r="L540" s="35" t="s">
        <v>330</v>
      </c>
      <c r="M540" s="35" t="s">
        <v>331</v>
      </c>
      <c r="N540" s="35"/>
    </row>
    <row r="541" ht="16.5" customHeight="1">
      <c r="A541" s="28" t="s">
        <v>413</v>
      </c>
      <c r="B541" s="29">
        <v>44963.40325174769</v>
      </c>
      <c r="C541" s="28" t="s">
        <v>109</v>
      </c>
      <c r="D541" s="28" t="s">
        <v>76</v>
      </c>
      <c r="E541" s="28">
        <v>2023.0</v>
      </c>
      <c r="F541" s="42">
        <v>44963.40325174769</v>
      </c>
      <c r="G541" s="31" t="s">
        <v>414</v>
      </c>
      <c r="H541" s="31" t="s">
        <v>8</v>
      </c>
      <c r="I541" s="33"/>
      <c r="J541" s="33"/>
      <c r="K541" s="28"/>
      <c r="L541" s="28" t="s">
        <v>330</v>
      </c>
      <c r="M541" s="28" t="s">
        <v>331</v>
      </c>
      <c r="N541" s="28"/>
    </row>
    <row r="542" ht="16.5" customHeight="1">
      <c r="A542" s="35" t="s">
        <v>386</v>
      </c>
      <c r="B542" s="36">
        <v>44963.42860576389</v>
      </c>
      <c r="C542" s="35" t="s">
        <v>109</v>
      </c>
      <c r="D542" s="35" t="s">
        <v>76</v>
      </c>
      <c r="E542" s="35">
        <v>2023.0</v>
      </c>
      <c r="F542" s="43">
        <v>44963.42860576389</v>
      </c>
      <c r="G542" s="38">
        <v>222021.0</v>
      </c>
      <c r="H542" s="38" t="s">
        <v>8</v>
      </c>
      <c r="I542" s="40"/>
      <c r="J542" s="40"/>
      <c r="K542" s="35"/>
      <c r="L542" s="35" t="s">
        <v>330</v>
      </c>
      <c r="M542" s="35" t="s">
        <v>331</v>
      </c>
      <c r="N542" s="35"/>
    </row>
    <row r="543" ht="16.5" customHeight="1">
      <c r="A543" s="28" t="s">
        <v>415</v>
      </c>
      <c r="B543" s="29">
        <v>44963.475883391206</v>
      </c>
      <c r="C543" s="28" t="s">
        <v>109</v>
      </c>
      <c r="D543" s="28" t="s">
        <v>76</v>
      </c>
      <c r="E543" s="28">
        <v>2023.0</v>
      </c>
      <c r="F543" s="42">
        <v>44963.475883391206</v>
      </c>
      <c r="G543" s="31" t="s">
        <v>416</v>
      </c>
      <c r="H543" s="31" t="s">
        <v>8</v>
      </c>
      <c r="I543" s="33"/>
      <c r="J543" s="33"/>
      <c r="K543" s="28"/>
      <c r="L543" s="28" t="s">
        <v>330</v>
      </c>
      <c r="M543" s="28" t="s">
        <v>331</v>
      </c>
      <c r="N543" s="28"/>
    </row>
    <row r="544" ht="16.5" customHeight="1">
      <c r="A544" s="35" t="s">
        <v>345</v>
      </c>
      <c r="B544" s="36">
        <v>44963.86830987269</v>
      </c>
      <c r="C544" s="35" t="s">
        <v>109</v>
      </c>
      <c r="D544" s="35" t="s">
        <v>76</v>
      </c>
      <c r="E544" s="35">
        <v>2023.0</v>
      </c>
      <c r="F544" s="43">
        <v>44963.86830987269</v>
      </c>
      <c r="G544" s="38">
        <v>2375.0</v>
      </c>
      <c r="H544" s="38" t="s">
        <v>8</v>
      </c>
      <c r="I544" s="40"/>
      <c r="J544" s="40"/>
      <c r="K544" s="35"/>
      <c r="L544" s="35" t="s">
        <v>330</v>
      </c>
      <c r="M544" s="35" t="s">
        <v>331</v>
      </c>
      <c r="N544" s="35"/>
    </row>
    <row r="545" ht="16.5" customHeight="1">
      <c r="A545" s="28" t="s">
        <v>345</v>
      </c>
      <c r="B545" s="29">
        <v>44963.868779282406</v>
      </c>
      <c r="C545" s="28" t="s">
        <v>109</v>
      </c>
      <c r="D545" s="28" t="s">
        <v>76</v>
      </c>
      <c r="E545" s="28">
        <v>2023.0</v>
      </c>
      <c r="F545" s="42">
        <v>44963.868779282406</v>
      </c>
      <c r="G545" s="31">
        <v>2375.0</v>
      </c>
      <c r="H545" s="31" t="s">
        <v>8</v>
      </c>
      <c r="I545" s="33"/>
      <c r="J545" s="33"/>
      <c r="K545" s="28"/>
      <c r="L545" s="28" t="s">
        <v>330</v>
      </c>
      <c r="M545" s="28" t="s">
        <v>331</v>
      </c>
      <c r="N545" s="28"/>
    </row>
    <row r="546" ht="16.5" customHeight="1">
      <c r="A546" s="35" t="s">
        <v>417</v>
      </c>
      <c r="B546" s="36">
        <v>44963.872768587964</v>
      </c>
      <c r="C546" s="35" t="s">
        <v>109</v>
      </c>
      <c r="D546" s="35" t="s">
        <v>76</v>
      </c>
      <c r="E546" s="35">
        <v>2023.0</v>
      </c>
      <c r="F546" s="43">
        <v>44963.872768587964</v>
      </c>
      <c r="G546" s="38">
        <v>2462.0</v>
      </c>
      <c r="H546" s="38" t="s">
        <v>8</v>
      </c>
      <c r="I546" s="40"/>
      <c r="J546" s="40"/>
      <c r="K546" s="35"/>
      <c r="L546" s="35" t="s">
        <v>330</v>
      </c>
      <c r="M546" s="35" t="s">
        <v>331</v>
      </c>
      <c r="N546" s="35"/>
    </row>
    <row r="547" ht="16.5" customHeight="1">
      <c r="A547" s="28" t="s">
        <v>418</v>
      </c>
      <c r="B547" s="29">
        <v>44963.88452555556</v>
      </c>
      <c r="C547" s="28" t="s">
        <v>109</v>
      </c>
      <c r="D547" s="28" t="s">
        <v>76</v>
      </c>
      <c r="E547" s="28">
        <v>2023.0</v>
      </c>
      <c r="F547" s="42">
        <v>44963.88452555556</v>
      </c>
      <c r="G547" s="31">
        <v>2450.0</v>
      </c>
      <c r="H547" s="31" t="s">
        <v>8</v>
      </c>
      <c r="I547" s="33"/>
      <c r="J547" s="33"/>
      <c r="K547" s="28"/>
      <c r="L547" s="28" t="s">
        <v>330</v>
      </c>
      <c r="M547" s="28" t="s">
        <v>331</v>
      </c>
      <c r="N547" s="28"/>
    </row>
    <row r="548" ht="16.5" customHeight="1">
      <c r="A548" s="35" t="s">
        <v>419</v>
      </c>
      <c r="B548" s="36">
        <v>44963.89467648148</v>
      </c>
      <c r="C548" s="35" t="s">
        <v>109</v>
      </c>
      <c r="D548" s="35" t="s">
        <v>76</v>
      </c>
      <c r="E548" s="35">
        <v>2023.0</v>
      </c>
      <c r="F548" s="43">
        <v>44963.89467648148</v>
      </c>
      <c r="G548" s="38">
        <v>2339.0</v>
      </c>
      <c r="H548" s="38" t="s">
        <v>8</v>
      </c>
      <c r="I548" s="40"/>
      <c r="J548" s="40"/>
      <c r="K548" s="35"/>
      <c r="L548" s="35" t="s">
        <v>330</v>
      </c>
      <c r="M548" s="35" t="s">
        <v>331</v>
      </c>
      <c r="N548" s="35"/>
    </row>
    <row r="549" ht="16.5" customHeight="1">
      <c r="A549" s="28" t="s">
        <v>420</v>
      </c>
      <c r="B549" s="29">
        <v>44963.927166354166</v>
      </c>
      <c r="C549" s="28" t="s">
        <v>109</v>
      </c>
      <c r="D549" s="28" t="s">
        <v>76</v>
      </c>
      <c r="E549" s="28">
        <v>2023.0</v>
      </c>
      <c r="F549" s="42">
        <v>44963.927166354166</v>
      </c>
      <c r="G549" s="31">
        <v>2395.0</v>
      </c>
      <c r="H549" s="31" t="s">
        <v>8</v>
      </c>
      <c r="I549" s="33"/>
      <c r="J549" s="33"/>
      <c r="K549" s="28"/>
      <c r="L549" s="28" t="s">
        <v>330</v>
      </c>
      <c r="M549" s="28" t="s">
        <v>331</v>
      </c>
      <c r="N549" s="28"/>
    </row>
    <row r="550" ht="16.5" customHeight="1">
      <c r="A550" s="35" t="s">
        <v>418</v>
      </c>
      <c r="B550" s="36">
        <v>44963.93263606481</v>
      </c>
      <c r="C550" s="35" t="s">
        <v>109</v>
      </c>
      <c r="D550" s="35" t="s">
        <v>76</v>
      </c>
      <c r="E550" s="35">
        <v>2023.0</v>
      </c>
      <c r="F550" s="43">
        <v>44963.93263606481</v>
      </c>
      <c r="G550" s="38">
        <v>2450.0</v>
      </c>
      <c r="H550" s="38" t="s">
        <v>8</v>
      </c>
      <c r="I550" s="40"/>
      <c r="J550" s="40"/>
      <c r="K550" s="35"/>
      <c r="L550" s="35" t="s">
        <v>330</v>
      </c>
      <c r="M550" s="35" t="s">
        <v>331</v>
      </c>
      <c r="N550" s="35"/>
    </row>
    <row r="551" ht="16.5" customHeight="1">
      <c r="A551" s="28" t="s">
        <v>421</v>
      </c>
      <c r="B551" s="29">
        <v>44963.942688090276</v>
      </c>
      <c r="C551" s="28" t="s">
        <v>109</v>
      </c>
      <c r="D551" s="28" t="s">
        <v>76</v>
      </c>
      <c r="E551" s="28">
        <v>2023.0</v>
      </c>
      <c r="F551" s="42">
        <v>44963.942688090276</v>
      </c>
      <c r="G551" s="31">
        <v>2421.0</v>
      </c>
      <c r="H551" s="31" t="s">
        <v>8</v>
      </c>
      <c r="I551" s="33"/>
      <c r="J551" s="33"/>
      <c r="K551" s="28"/>
      <c r="L551" s="28" t="s">
        <v>330</v>
      </c>
      <c r="M551" s="28" t="s">
        <v>331</v>
      </c>
      <c r="N551" s="28"/>
    </row>
    <row r="552" ht="16.5" customHeight="1">
      <c r="A552" s="35" t="s">
        <v>376</v>
      </c>
      <c r="B552" s="36">
        <v>44963.95479216435</v>
      </c>
      <c r="C552" s="35" t="s">
        <v>109</v>
      </c>
      <c r="D552" s="35" t="s">
        <v>76</v>
      </c>
      <c r="E552" s="35">
        <v>2023.0</v>
      </c>
      <c r="F552" s="43">
        <v>44963.95479216435</v>
      </c>
      <c r="G552" s="38">
        <v>2424.0</v>
      </c>
      <c r="H552" s="38" t="s">
        <v>8</v>
      </c>
      <c r="I552" s="40"/>
      <c r="J552" s="40"/>
      <c r="K552" s="35"/>
      <c r="L552" s="35" t="s">
        <v>330</v>
      </c>
      <c r="M552" s="35" t="s">
        <v>331</v>
      </c>
      <c r="N552" s="35"/>
    </row>
    <row r="553" ht="16.5" customHeight="1">
      <c r="A553" s="28" t="s">
        <v>422</v>
      </c>
      <c r="B553" s="29">
        <v>44963.967253703704</v>
      </c>
      <c r="C553" s="28" t="s">
        <v>109</v>
      </c>
      <c r="D553" s="28" t="s">
        <v>76</v>
      </c>
      <c r="E553" s="28">
        <v>2023.0</v>
      </c>
      <c r="F553" s="42">
        <v>44963.967253703704</v>
      </c>
      <c r="G553" s="31">
        <v>2381.0</v>
      </c>
      <c r="H553" s="31" t="s">
        <v>8</v>
      </c>
      <c r="I553" s="33"/>
      <c r="J553" s="33"/>
      <c r="K553" s="28"/>
      <c r="L553" s="28" t="s">
        <v>330</v>
      </c>
      <c r="M553" s="28" t="s">
        <v>331</v>
      </c>
      <c r="N553" s="28"/>
    </row>
    <row r="554" ht="16.5" customHeight="1">
      <c r="A554" s="35" t="s">
        <v>423</v>
      </c>
      <c r="B554" s="36">
        <v>44963.990651597225</v>
      </c>
      <c r="C554" s="35" t="s">
        <v>109</v>
      </c>
      <c r="D554" s="35" t="s">
        <v>76</v>
      </c>
      <c r="E554" s="35">
        <v>2023.0</v>
      </c>
      <c r="F554" s="43">
        <v>44963.990651597225</v>
      </c>
      <c r="G554" s="38">
        <v>2253.0</v>
      </c>
      <c r="H554" s="38" t="s">
        <v>8</v>
      </c>
      <c r="I554" s="40"/>
      <c r="J554" s="40"/>
      <c r="K554" s="35"/>
      <c r="L554" s="35" t="s">
        <v>330</v>
      </c>
      <c r="M554" s="35" t="s">
        <v>331</v>
      </c>
      <c r="N554" s="35"/>
    </row>
    <row r="555" ht="16.5" customHeight="1">
      <c r="A555" s="28" t="s">
        <v>424</v>
      </c>
      <c r="B555" s="29">
        <v>44964.018370844904</v>
      </c>
      <c r="C555" s="28" t="s">
        <v>120</v>
      </c>
      <c r="D555" s="28" t="s">
        <v>76</v>
      </c>
      <c r="E555" s="28">
        <v>2023.0</v>
      </c>
      <c r="F555" s="42">
        <v>44964.018370844904</v>
      </c>
      <c r="G555" s="31">
        <v>2206.0</v>
      </c>
      <c r="H555" s="31" t="s">
        <v>8</v>
      </c>
      <c r="I555" s="33"/>
      <c r="J555" s="33"/>
      <c r="K555" s="28"/>
      <c r="L555" s="28" t="s">
        <v>330</v>
      </c>
      <c r="M555" s="28" t="s">
        <v>331</v>
      </c>
      <c r="N555" s="28"/>
    </row>
    <row r="556" ht="16.5" customHeight="1">
      <c r="A556" s="35" t="s">
        <v>425</v>
      </c>
      <c r="B556" s="36">
        <v>44964.036553819446</v>
      </c>
      <c r="C556" s="35" t="s">
        <v>120</v>
      </c>
      <c r="D556" s="35" t="s">
        <v>76</v>
      </c>
      <c r="E556" s="35">
        <v>2023.0</v>
      </c>
      <c r="F556" s="43">
        <v>44964.036553819446</v>
      </c>
      <c r="G556" s="38">
        <v>2187.0</v>
      </c>
      <c r="H556" s="38" t="s">
        <v>8</v>
      </c>
      <c r="I556" s="40"/>
      <c r="J556" s="40"/>
      <c r="K556" s="35"/>
      <c r="L556" s="35" t="s">
        <v>330</v>
      </c>
      <c r="M556" s="35" t="s">
        <v>331</v>
      </c>
      <c r="N556" s="35"/>
    </row>
    <row r="557" ht="16.5" customHeight="1">
      <c r="A557" s="28" t="s">
        <v>360</v>
      </c>
      <c r="B557" s="29">
        <v>44964.05200344908</v>
      </c>
      <c r="C557" s="28" t="s">
        <v>120</v>
      </c>
      <c r="D557" s="28" t="s">
        <v>76</v>
      </c>
      <c r="E557" s="28">
        <v>2023.0</v>
      </c>
      <c r="F557" s="42">
        <v>44964.05200344908</v>
      </c>
      <c r="G557" s="31">
        <v>2404.0</v>
      </c>
      <c r="H557" s="31" t="s">
        <v>8</v>
      </c>
      <c r="I557" s="33"/>
      <c r="J557" s="33"/>
      <c r="K557" s="28"/>
      <c r="L557" s="28" t="s">
        <v>330</v>
      </c>
      <c r="M557" s="28" t="s">
        <v>331</v>
      </c>
      <c r="N557" s="28"/>
    </row>
    <row r="558" ht="16.5" customHeight="1">
      <c r="A558" s="35" t="s">
        <v>426</v>
      </c>
      <c r="B558" s="36">
        <v>44964.05555625</v>
      </c>
      <c r="C558" s="35" t="s">
        <v>120</v>
      </c>
      <c r="D558" s="35" t="s">
        <v>76</v>
      </c>
      <c r="E558" s="35">
        <v>2023.0</v>
      </c>
      <c r="F558" s="43">
        <v>44964.05555625</v>
      </c>
      <c r="G558" s="38">
        <v>2625.0</v>
      </c>
      <c r="H558" s="38" t="s">
        <v>8</v>
      </c>
      <c r="I558" s="40"/>
      <c r="J558" s="40"/>
      <c r="K558" s="35"/>
      <c r="L558" s="35" t="s">
        <v>330</v>
      </c>
      <c r="M558" s="35" t="s">
        <v>331</v>
      </c>
      <c r="N558" s="35"/>
    </row>
    <row r="559" ht="16.5" customHeight="1">
      <c r="A559" s="28" t="s">
        <v>332</v>
      </c>
      <c r="B559" s="29">
        <v>44964.065991157404</v>
      </c>
      <c r="C559" s="28" t="s">
        <v>120</v>
      </c>
      <c r="D559" s="28" t="s">
        <v>76</v>
      </c>
      <c r="E559" s="28">
        <v>2023.0</v>
      </c>
      <c r="F559" s="42">
        <v>44964.065991157404</v>
      </c>
      <c r="G559" s="31">
        <v>2660.0</v>
      </c>
      <c r="H559" s="31" t="s">
        <v>8</v>
      </c>
      <c r="I559" s="33"/>
      <c r="J559" s="33"/>
      <c r="K559" s="28"/>
      <c r="L559" s="28" t="s">
        <v>330</v>
      </c>
      <c r="M559" s="28" t="s">
        <v>331</v>
      </c>
      <c r="N559" s="28"/>
    </row>
    <row r="560" ht="16.5" customHeight="1">
      <c r="A560" s="35" t="s">
        <v>427</v>
      </c>
      <c r="B560" s="36">
        <v>44964.073729826385</v>
      </c>
      <c r="C560" s="35" t="s">
        <v>120</v>
      </c>
      <c r="D560" s="35" t="s">
        <v>76</v>
      </c>
      <c r="E560" s="35">
        <v>2023.0</v>
      </c>
      <c r="F560" s="43">
        <v>44964.073729826385</v>
      </c>
      <c r="G560" s="38">
        <v>2423.0</v>
      </c>
      <c r="H560" s="38" t="s">
        <v>8</v>
      </c>
      <c r="I560" s="40"/>
      <c r="J560" s="40"/>
      <c r="K560" s="35"/>
      <c r="L560" s="35" t="s">
        <v>330</v>
      </c>
      <c r="M560" s="35" t="s">
        <v>331</v>
      </c>
      <c r="N560" s="35"/>
    </row>
    <row r="561" ht="16.5" customHeight="1">
      <c r="A561" s="28" t="s">
        <v>428</v>
      </c>
      <c r="B561" s="29">
        <v>44964.124424548616</v>
      </c>
      <c r="C561" s="28" t="s">
        <v>120</v>
      </c>
      <c r="D561" s="28" t="s">
        <v>76</v>
      </c>
      <c r="E561" s="28">
        <v>2023.0</v>
      </c>
      <c r="F561" s="42">
        <v>44964.124424548616</v>
      </c>
      <c r="G561" s="31">
        <v>2643.0</v>
      </c>
      <c r="H561" s="31" t="s">
        <v>8</v>
      </c>
      <c r="I561" s="33"/>
      <c r="J561" s="33"/>
      <c r="K561" s="28"/>
      <c r="L561" s="28" t="s">
        <v>330</v>
      </c>
      <c r="M561" s="28" t="s">
        <v>331</v>
      </c>
      <c r="N561" s="28"/>
    </row>
    <row r="562" ht="16.5" customHeight="1">
      <c r="A562" s="35" t="s">
        <v>381</v>
      </c>
      <c r="B562" s="36">
        <v>44964.132260439816</v>
      </c>
      <c r="C562" s="35" t="s">
        <v>120</v>
      </c>
      <c r="D562" s="35" t="s">
        <v>76</v>
      </c>
      <c r="E562" s="35">
        <v>2023.0</v>
      </c>
      <c r="F562" s="43">
        <v>44964.132260439816</v>
      </c>
      <c r="G562" s="38">
        <v>2620.0</v>
      </c>
      <c r="H562" s="38" t="s">
        <v>8</v>
      </c>
      <c r="I562" s="40"/>
      <c r="J562" s="40"/>
      <c r="K562" s="35"/>
      <c r="L562" s="35" t="s">
        <v>330</v>
      </c>
      <c r="M562" s="35" t="s">
        <v>331</v>
      </c>
      <c r="N562" s="35"/>
    </row>
    <row r="563" ht="16.5" customHeight="1">
      <c r="A563" s="28" t="s">
        <v>429</v>
      </c>
      <c r="B563" s="29">
        <v>44964.13486959491</v>
      </c>
      <c r="C563" s="28" t="s">
        <v>120</v>
      </c>
      <c r="D563" s="28" t="s">
        <v>76</v>
      </c>
      <c r="E563" s="28">
        <v>2023.0</v>
      </c>
      <c r="F563" s="42">
        <v>44964.13486959491</v>
      </c>
      <c r="G563" s="31">
        <v>2205.0</v>
      </c>
      <c r="H563" s="31" t="s">
        <v>8</v>
      </c>
      <c r="I563" s="33"/>
      <c r="J563" s="33"/>
      <c r="K563" s="28"/>
      <c r="L563" s="28" t="s">
        <v>330</v>
      </c>
      <c r="M563" s="28" t="s">
        <v>331</v>
      </c>
      <c r="N563" s="28"/>
    </row>
    <row r="564" ht="16.5" customHeight="1">
      <c r="A564" s="35" t="s">
        <v>430</v>
      </c>
      <c r="B564" s="36">
        <v>44964.15989836806</v>
      </c>
      <c r="C564" s="35" t="s">
        <v>120</v>
      </c>
      <c r="D564" s="35" t="s">
        <v>76</v>
      </c>
      <c r="E564" s="35">
        <v>2023.0</v>
      </c>
      <c r="F564" s="43">
        <v>44964.15989836806</v>
      </c>
      <c r="G564" s="38">
        <v>2238.0</v>
      </c>
      <c r="H564" s="38" t="s">
        <v>8</v>
      </c>
      <c r="I564" s="40"/>
      <c r="J564" s="40"/>
      <c r="K564" s="35"/>
      <c r="L564" s="35" t="s">
        <v>330</v>
      </c>
      <c r="M564" s="35" t="s">
        <v>331</v>
      </c>
      <c r="N564" s="35"/>
    </row>
    <row r="565" ht="16.5" customHeight="1">
      <c r="A565" s="28" t="s">
        <v>391</v>
      </c>
      <c r="B565" s="29">
        <v>44964.22172239583</v>
      </c>
      <c r="C565" s="28" t="s">
        <v>120</v>
      </c>
      <c r="D565" s="28" t="s">
        <v>76</v>
      </c>
      <c r="E565" s="28">
        <v>2023.0</v>
      </c>
      <c r="F565" s="42">
        <v>44964.22172239583</v>
      </c>
      <c r="G565" s="31">
        <v>2275.0</v>
      </c>
      <c r="H565" s="31" t="s">
        <v>8</v>
      </c>
      <c r="I565" s="33"/>
      <c r="J565" s="33"/>
      <c r="K565" s="28"/>
      <c r="L565" s="28" t="s">
        <v>330</v>
      </c>
      <c r="M565" s="28" t="s">
        <v>331</v>
      </c>
      <c r="N565" s="28"/>
    </row>
    <row r="566" ht="16.5" customHeight="1">
      <c r="A566" s="35" t="s">
        <v>403</v>
      </c>
      <c r="B566" s="36">
        <v>44964.222809722225</v>
      </c>
      <c r="C566" s="35" t="s">
        <v>120</v>
      </c>
      <c r="D566" s="35" t="s">
        <v>76</v>
      </c>
      <c r="E566" s="35">
        <v>2023.0</v>
      </c>
      <c r="F566" s="43">
        <v>44964.222809722225</v>
      </c>
      <c r="G566" s="38">
        <v>2662.0</v>
      </c>
      <c r="H566" s="38" t="s">
        <v>8</v>
      </c>
      <c r="I566" s="40"/>
      <c r="J566" s="40"/>
      <c r="K566" s="35"/>
      <c r="L566" s="35" t="s">
        <v>330</v>
      </c>
      <c r="M566" s="35" t="s">
        <v>331</v>
      </c>
      <c r="N566" s="35"/>
    </row>
    <row r="567" ht="16.5" customHeight="1">
      <c r="A567" s="28" t="s">
        <v>431</v>
      </c>
      <c r="B567" s="29">
        <v>44964.33946030092</v>
      </c>
      <c r="C567" s="28" t="s">
        <v>120</v>
      </c>
      <c r="D567" s="28" t="s">
        <v>76</v>
      </c>
      <c r="E567" s="28">
        <v>2023.0</v>
      </c>
      <c r="F567" s="42">
        <v>44964.33946030092</v>
      </c>
      <c r="G567" s="31" t="s">
        <v>432</v>
      </c>
      <c r="H567" s="31" t="s">
        <v>8</v>
      </c>
      <c r="I567" s="33"/>
      <c r="J567" s="33"/>
      <c r="K567" s="28"/>
      <c r="L567" s="28" t="s">
        <v>330</v>
      </c>
      <c r="M567" s="28" t="s">
        <v>331</v>
      </c>
      <c r="N567" s="28"/>
    </row>
    <row r="568" ht="16.5" customHeight="1">
      <c r="A568" s="35" t="s">
        <v>433</v>
      </c>
      <c r="B568" s="36">
        <v>44964.35971326389</v>
      </c>
      <c r="C568" s="35" t="s">
        <v>120</v>
      </c>
      <c r="D568" s="35" t="s">
        <v>76</v>
      </c>
      <c r="E568" s="35">
        <v>2023.0</v>
      </c>
      <c r="F568" s="43">
        <v>44964.35971326389</v>
      </c>
      <c r="G568" s="38" t="s">
        <v>434</v>
      </c>
      <c r="H568" s="38" t="s">
        <v>8</v>
      </c>
      <c r="I568" s="40"/>
      <c r="J568" s="40"/>
      <c r="K568" s="35"/>
      <c r="L568" s="35" t="s">
        <v>330</v>
      </c>
      <c r="M568" s="35" t="s">
        <v>331</v>
      </c>
      <c r="N568" s="35"/>
    </row>
    <row r="569" ht="16.5" customHeight="1">
      <c r="A569" s="28" t="s">
        <v>435</v>
      </c>
      <c r="B569" s="29">
        <v>44964.37560600694</v>
      </c>
      <c r="C569" s="28" t="s">
        <v>120</v>
      </c>
      <c r="D569" s="28" t="s">
        <v>76</v>
      </c>
      <c r="E569" s="28">
        <v>2023.0</v>
      </c>
      <c r="F569" s="42">
        <v>44964.37560600694</v>
      </c>
      <c r="G569" s="31">
        <v>2746.0</v>
      </c>
      <c r="H569" s="31" t="s">
        <v>8</v>
      </c>
      <c r="I569" s="33"/>
      <c r="J569" s="33"/>
      <c r="K569" s="28"/>
      <c r="L569" s="28" t="s">
        <v>330</v>
      </c>
      <c r="M569" s="28" t="s">
        <v>331</v>
      </c>
      <c r="N569" s="28"/>
    </row>
    <row r="570" ht="16.5" customHeight="1">
      <c r="A570" s="35" t="s">
        <v>405</v>
      </c>
      <c r="B570" s="36">
        <v>44964.38293613426</v>
      </c>
      <c r="C570" s="35" t="s">
        <v>120</v>
      </c>
      <c r="D570" s="35" t="s">
        <v>76</v>
      </c>
      <c r="E570" s="35">
        <v>2023.0</v>
      </c>
      <c r="F570" s="43">
        <v>44964.38293613426</v>
      </c>
      <c r="G570" s="38">
        <v>2671.0</v>
      </c>
      <c r="H570" s="38" t="s">
        <v>8</v>
      </c>
      <c r="I570" s="40"/>
      <c r="J570" s="40"/>
      <c r="K570" s="35"/>
      <c r="L570" s="35" t="s">
        <v>330</v>
      </c>
      <c r="M570" s="35" t="s">
        <v>331</v>
      </c>
      <c r="N570" s="35"/>
    </row>
    <row r="571" ht="16.5" customHeight="1">
      <c r="A571" s="28" t="s">
        <v>436</v>
      </c>
      <c r="B571" s="29">
        <v>44964.439598125</v>
      </c>
      <c r="C571" s="28" t="s">
        <v>120</v>
      </c>
      <c r="D571" s="28" t="s">
        <v>76</v>
      </c>
      <c r="E571" s="28">
        <v>2023.0</v>
      </c>
      <c r="F571" s="42">
        <v>44964.439598125</v>
      </c>
      <c r="G571" s="31" t="s">
        <v>437</v>
      </c>
      <c r="H571" s="31" t="s">
        <v>8</v>
      </c>
      <c r="I571" s="33"/>
      <c r="J571" s="33"/>
      <c r="K571" s="28"/>
      <c r="L571" s="28" t="s">
        <v>330</v>
      </c>
      <c r="M571" s="28" t="s">
        <v>331</v>
      </c>
      <c r="N571" s="28"/>
    </row>
    <row r="572" ht="16.5" customHeight="1">
      <c r="A572" s="35" t="s">
        <v>438</v>
      </c>
      <c r="B572" s="36">
        <v>44964.45967444444</v>
      </c>
      <c r="C572" s="35" t="s">
        <v>120</v>
      </c>
      <c r="D572" s="35" t="s">
        <v>76</v>
      </c>
      <c r="E572" s="35">
        <v>2023.0</v>
      </c>
      <c r="F572" s="43">
        <v>44964.45967444444</v>
      </c>
      <c r="G572" s="38" t="s">
        <v>439</v>
      </c>
      <c r="H572" s="38" t="s">
        <v>8</v>
      </c>
      <c r="I572" s="40"/>
      <c r="J572" s="40"/>
      <c r="K572" s="35"/>
      <c r="L572" s="35" t="s">
        <v>330</v>
      </c>
      <c r="M572" s="35" t="s">
        <v>331</v>
      </c>
      <c r="N572" s="35"/>
    </row>
    <row r="573" ht="16.5" customHeight="1">
      <c r="A573" s="28" t="s">
        <v>440</v>
      </c>
      <c r="B573" s="29">
        <v>44964.64766038195</v>
      </c>
      <c r="C573" s="28" t="s">
        <v>120</v>
      </c>
      <c r="D573" s="28" t="s">
        <v>76</v>
      </c>
      <c r="E573" s="28">
        <v>2023.0</v>
      </c>
      <c r="F573" s="42">
        <v>44964.64766038195</v>
      </c>
      <c r="G573" s="31">
        <v>2700.0</v>
      </c>
      <c r="H573" s="28"/>
      <c r="I573" s="28"/>
      <c r="J573" s="28"/>
      <c r="K573" s="28"/>
      <c r="L573" s="28" t="s">
        <v>330</v>
      </c>
      <c r="M573" s="28" t="s">
        <v>331</v>
      </c>
      <c r="N573" s="28"/>
    </row>
    <row r="574" ht="16.5" customHeight="1">
      <c r="A574" s="35" t="s">
        <v>441</v>
      </c>
      <c r="B574" s="36">
        <v>44964.86473864583</v>
      </c>
      <c r="C574" s="35" t="s">
        <v>120</v>
      </c>
      <c r="D574" s="35" t="s">
        <v>76</v>
      </c>
      <c r="E574" s="35">
        <v>2023.0</v>
      </c>
      <c r="F574" s="43">
        <v>44964.86473864583</v>
      </c>
      <c r="G574" s="38">
        <v>2217.0</v>
      </c>
      <c r="H574" s="38" t="s">
        <v>8</v>
      </c>
      <c r="I574" s="40"/>
      <c r="J574" s="40"/>
      <c r="K574" s="35"/>
      <c r="L574" s="35" t="s">
        <v>330</v>
      </c>
      <c r="M574" s="35" t="s">
        <v>331</v>
      </c>
      <c r="N574" s="35"/>
    </row>
    <row r="575" ht="16.5" customHeight="1">
      <c r="A575" s="28" t="s">
        <v>441</v>
      </c>
      <c r="B575" s="29">
        <v>44964.86534559028</v>
      </c>
      <c r="C575" s="28" t="s">
        <v>120</v>
      </c>
      <c r="D575" s="28" t="s">
        <v>76</v>
      </c>
      <c r="E575" s="28">
        <v>2023.0</v>
      </c>
      <c r="F575" s="42">
        <v>44964.86534559028</v>
      </c>
      <c r="G575" s="31">
        <v>2217.0</v>
      </c>
      <c r="H575" s="31" t="s">
        <v>8</v>
      </c>
      <c r="I575" s="33"/>
      <c r="J575" s="33"/>
      <c r="K575" s="28"/>
      <c r="L575" s="28" t="s">
        <v>330</v>
      </c>
      <c r="M575" s="28" t="s">
        <v>331</v>
      </c>
      <c r="N575" s="28"/>
    </row>
    <row r="576" ht="16.5" customHeight="1">
      <c r="A576" s="35" t="s">
        <v>442</v>
      </c>
      <c r="B576" s="36">
        <v>44964.87202388889</v>
      </c>
      <c r="C576" s="35" t="s">
        <v>120</v>
      </c>
      <c r="D576" s="35" t="s">
        <v>76</v>
      </c>
      <c r="E576" s="35">
        <v>2023.0</v>
      </c>
      <c r="F576" s="43">
        <v>44964.87202388889</v>
      </c>
      <c r="G576" s="38">
        <v>2207.0</v>
      </c>
      <c r="H576" s="38" t="s">
        <v>8</v>
      </c>
      <c r="I576" s="40"/>
      <c r="J576" s="40"/>
      <c r="K576" s="35"/>
      <c r="L576" s="35" t="s">
        <v>330</v>
      </c>
      <c r="M576" s="35" t="s">
        <v>331</v>
      </c>
      <c r="N576" s="35"/>
    </row>
    <row r="577" ht="16.5" customHeight="1">
      <c r="A577" s="28" t="s">
        <v>442</v>
      </c>
      <c r="B577" s="29">
        <v>44964.8725927662</v>
      </c>
      <c r="C577" s="28" t="s">
        <v>120</v>
      </c>
      <c r="D577" s="28" t="s">
        <v>76</v>
      </c>
      <c r="E577" s="28">
        <v>2023.0</v>
      </c>
      <c r="F577" s="42">
        <v>44964.8725927662</v>
      </c>
      <c r="G577" s="31">
        <v>2207.0</v>
      </c>
      <c r="H577" s="31" t="s">
        <v>8</v>
      </c>
      <c r="I577" s="33"/>
      <c r="J577" s="33"/>
      <c r="K577" s="28"/>
      <c r="L577" s="28" t="s">
        <v>330</v>
      </c>
      <c r="M577" s="28" t="s">
        <v>331</v>
      </c>
      <c r="N577" s="28"/>
    </row>
    <row r="578" ht="16.5" customHeight="1">
      <c r="A578" s="35" t="s">
        <v>429</v>
      </c>
      <c r="B578" s="36">
        <v>44964.87418204861</v>
      </c>
      <c r="C578" s="35" t="s">
        <v>120</v>
      </c>
      <c r="D578" s="35" t="s">
        <v>76</v>
      </c>
      <c r="E578" s="35">
        <v>2023.0</v>
      </c>
      <c r="F578" s="43">
        <v>44964.87418204861</v>
      </c>
      <c r="G578" s="38">
        <v>2205.0</v>
      </c>
      <c r="H578" s="38" t="s">
        <v>8</v>
      </c>
      <c r="I578" s="40"/>
      <c r="J578" s="40"/>
      <c r="K578" s="35"/>
      <c r="L578" s="35" t="s">
        <v>330</v>
      </c>
      <c r="M578" s="35" t="s">
        <v>331</v>
      </c>
      <c r="N578" s="35"/>
    </row>
    <row r="579" ht="16.5" customHeight="1">
      <c r="A579" s="28" t="s">
        <v>429</v>
      </c>
      <c r="B579" s="29">
        <v>44964.874471041665</v>
      </c>
      <c r="C579" s="28" t="s">
        <v>120</v>
      </c>
      <c r="D579" s="28" t="s">
        <v>76</v>
      </c>
      <c r="E579" s="28">
        <v>2023.0</v>
      </c>
      <c r="F579" s="42">
        <v>44964.874471041665</v>
      </c>
      <c r="G579" s="31">
        <v>2205.0</v>
      </c>
      <c r="H579" s="31" t="s">
        <v>8</v>
      </c>
      <c r="I579" s="33"/>
      <c r="J579" s="33"/>
      <c r="K579" s="28"/>
      <c r="L579" s="28" t="s">
        <v>330</v>
      </c>
      <c r="M579" s="28" t="s">
        <v>331</v>
      </c>
      <c r="N579" s="28"/>
    </row>
    <row r="580" ht="16.5" customHeight="1">
      <c r="A580" s="35" t="s">
        <v>398</v>
      </c>
      <c r="B580" s="36">
        <v>44964.92707168982</v>
      </c>
      <c r="C580" s="35" t="s">
        <v>120</v>
      </c>
      <c r="D580" s="35" t="s">
        <v>76</v>
      </c>
      <c r="E580" s="35">
        <v>2023.0</v>
      </c>
      <c r="F580" s="43">
        <v>44964.92707168982</v>
      </c>
      <c r="G580" s="38">
        <v>2454.0</v>
      </c>
      <c r="H580" s="38" t="s">
        <v>8</v>
      </c>
      <c r="I580" s="40"/>
      <c r="J580" s="40"/>
      <c r="K580" s="35"/>
      <c r="L580" s="35" t="s">
        <v>330</v>
      </c>
      <c r="M580" s="35" t="s">
        <v>331</v>
      </c>
      <c r="N580" s="35"/>
    </row>
    <row r="581" ht="16.5" customHeight="1">
      <c r="A581" s="28" t="s">
        <v>372</v>
      </c>
      <c r="B581" s="29">
        <v>44964.958882499996</v>
      </c>
      <c r="C581" s="28" t="s">
        <v>120</v>
      </c>
      <c r="D581" s="28" t="s">
        <v>76</v>
      </c>
      <c r="E581" s="28">
        <v>2023.0</v>
      </c>
      <c r="F581" s="42">
        <v>44964.958882499996</v>
      </c>
      <c r="G581" s="31">
        <v>2463.0</v>
      </c>
      <c r="H581" s="31" t="s">
        <v>8</v>
      </c>
      <c r="I581" s="33"/>
      <c r="J581" s="33"/>
      <c r="K581" s="28"/>
      <c r="L581" s="28" t="s">
        <v>330</v>
      </c>
      <c r="M581" s="28" t="s">
        <v>331</v>
      </c>
      <c r="N581" s="28"/>
    </row>
    <row r="582" ht="16.5" customHeight="1">
      <c r="A582" s="35" t="s">
        <v>367</v>
      </c>
      <c r="B582" s="36">
        <v>44964.96460216436</v>
      </c>
      <c r="C582" s="35" t="s">
        <v>120</v>
      </c>
      <c r="D582" s="35" t="s">
        <v>76</v>
      </c>
      <c r="E582" s="35">
        <v>2023.0</v>
      </c>
      <c r="F582" s="43">
        <v>44964.96460216436</v>
      </c>
      <c r="G582" s="38">
        <v>2194.0</v>
      </c>
      <c r="H582" s="38" t="s">
        <v>8</v>
      </c>
      <c r="I582" s="40"/>
      <c r="J582" s="40"/>
      <c r="K582" s="35"/>
      <c r="L582" s="35" t="s">
        <v>330</v>
      </c>
      <c r="M582" s="35" t="s">
        <v>331</v>
      </c>
      <c r="N582" s="35"/>
    </row>
    <row r="583" ht="16.5" customHeight="1">
      <c r="A583" s="28" t="s">
        <v>402</v>
      </c>
      <c r="B583" s="29">
        <v>44964.994146446756</v>
      </c>
      <c r="C583" s="28" t="s">
        <v>120</v>
      </c>
      <c r="D583" s="28" t="s">
        <v>76</v>
      </c>
      <c r="E583" s="28">
        <v>2023.0</v>
      </c>
      <c r="F583" s="42">
        <v>44964.994146446756</v>
      </c>
      <c r="G583" s="31">
        <v>2227.0</v>
      </c>
      <c r="H583" s="31" t="s">
        <v>8</v>
      </c>
      <c r="I583" s="33"/>
      <c r="J583" s="33"/>
      <c r="K583" s="28"/>
      <c r="L583" s="28" t="s">
        <v>330</v>
      </c>
      <c r="M583" s="28" t="s">
        <v>331</v>
      </c>
      <c r="N583" s="28"/>
    </row>
    <row r="584" ht="16.5" customHeight="1">
      <c r="A584" s="35" t="s">
        <v>443</v>
      </c>
      <c r="B584" s="36">
        <v>44964.996775011576</v>
      </c>
      <c r="C584" s="35" t="s">
        <v>120</v>
      </c>
      <c r="D584" s="35" t="s">
        <v>76</v>
      </c>
      <c r="E584" s="35">
        <v>2023.0</v>
      </c>
      <c r="F584" s="43">
        <v>44964.996775011576</v>
      </c>
      <c r="G584" s="38">
        <v>2195.0</v>
      </c>
      <c r="H584" s="38" t="s">
        <v>8</v>
      </c>
      <c r="I584" s="40"/>
      <c r="J584" s="40"/>
      <c r="K584" s="35"/>
      <c r="L584" s="35" t="s">
        <v>330</v>
      </c>
      <c r="M584" s="35" t="s">
        <v>331</v>
      </c>
      <c r="N584" s="35"/>
    </row>
    <row r="585" ht="16.5" customHeight="1">
      <c r="A585" s="28" t="s">
        <v>346</v>
      </c>
      <c r="B585" s="29">
        <v>44965.022069548606</v>
      </c>
      <c r="C585" s="28" t="s">
        <v>444</v>
      </c>
      <c r="D585" s="28" t="s">
        <v>76</v>
      </c>
      <c r="E585" s="28">
        <v>2023.0</v>
      </c>
      <c r="F585" s="42">
        <v>44965.022069548606</v>
      </c>
      <c r="G585" s="31">
        <v>2464.0</v>
      </c>
      <c r="H585" s="31" t="s">
        <v>8</v>
      </c>
      <c r="I585" s="33"/>
      <c r="J585" s="33"/>
      <c r="K585" s="28"/>
      <c r="L585" s="28" t="s">
        <v>330</v>
      </c>
      <c r="M585" s="28" t="s">
        <v>331</v>
      </c>
      <c r="N585" s="28"/>
    </row>
    <row r="586" ht="16.5" customHeight="1">
      <c r="A586" s="35" t="s">
        <v>445</v>
      </c>
      <c r="B586" s="36">
        <v>44965.029712083335</v>
      </c>
      <c r="C586" s="35" t="s">
        <v>444</v>
      </c>
      <c r="D586" s="35" t="s">
        <v>76</v>
      </c>
      <c r="E586" s="35">
        <v>2023.0</v>
      </c>
      <c r="F586" s="43">
        <v>44965.029712083335</v>
      </c>
      <c r="G586" s="38">
        <v>2233.0</v>
      </c>
      <c r="H586" s="38" t="s">
        <v>8</v>
      </c>
      <c r="I586" s="40"/>
      <c r="J586" s="40"/>
      <c r="K586" s="35"/>
      <c r="L586" s="35" t="s">
        <v>330</v>
      </c>
      <c r="M586" s="35" t="s">
        <v>331</v>
      </c>
      <c r="N586" s="35"/>
    </row>
    <row r="587" ht="16.5" customHeight="1">
      <c r="A587" s="28" t="s">
        <v>446</v>
      </c>
      <c r="B587" s="29">
        <v>44965.04667880787</v>
      </c>
      <c r="C587" s="28" t="s">
        <v>444</v>
      </c>
      <c r="D587" s="28" t="s">
        <v>76</v>
      </c>
      <c r="E587" s="28">
        <v>2023.0</v>
      </c>
      <c r="F587" s="42">
        <v>44965.04667880787</v>
      </c>
      <c r="G587" s="31">
        <v>2469.0</v>
      </c>
      <c r="H587" s="31" t="s">
        <v>8</v>
      </c>
      <c r="I587" s="33"/>
      <c r="J587" s="33"/>
      <c r="K587" s="28"/>
      <c r="L587" s="28" t="s">
        <v>330</v>
      </c>
      <c r="M587" s="28" t="s">
        <v>331</v>
      </c>
      <c r="N587" s="28"/>
    </row>
    <row r="588" ht="16.5" customHeight="1">
      <c r="A588" s="35" t="s">
        <v>447</v>
      </c>
      <c r="B588" s="36">
        <v>44965.058929606486</v>
      </c>
      <c r="C588" s="35" t="s">
        <v>444</v>
      </c>
      <c r="D588" s="35" t="s">
        <v>76</v>
      </c>
      <c r="E588" s="35">
        <v>2023.0</v>
      </c>
      <c r="F588" s="43">
        <v>44965.058929606486</v>
      </c>
      <c r="G588" s="38">
        <v>2680.0</v>
      </c>
      <c r="H588" s="38" t="s">
        <v>8</v>
      </c>
      <c r="I588" s="40"/>
      <c r="J588" s="40"/>
      <c r="K588" s="35"/>
      <c r="L588" s="35" t="s">
        <v>330</v>
      </c>
      <c r="M588" s="35" t="s">
        <v>331</v>
      </c>
      <c r="N588" s="35"/>
    </row>
    <row r="589" ht="16.5" customHeight="1">
      <c r="A589" s="28" t="s">
        <v>404</v>
      </c>
      <c r="B589" s="29">
        <v>44965.06588589121</v>
      </c>
      <c r="C589" s="28" t="s">
        <v>444</v>
      </c>
      <c r="D589" s="28" t="s">
        <v>76</v>
      </c>
      <c r="E589" s="28">
        <v>2023.0</v>
      </c>
      <c r="F589" s="42">
        <v>44965.06588589121</v>
      </c>
      <c r="G589" s="31">
        <v>2418.0</v>
      </c>
      <c r="H589" s="31" t="s">
        <v>8</v>
      </c>
      <c r="I589" s="33"/>
      <c r="J589" s="33"/>
      <c r="K589" s="28"/>
      <c r="L589" s="28" t="s">
        <v>330</v>
      </c>
      <c r="M589" s="28" t="s">
        <v>331</v>
      </c>
      <c r="N589" s="28"/>
    </row>
    <row r="590" ht="16.5" customHeight="1">
      <c r="A590" s="35" t="s">
        <v>362</v>
      </c>
      <c r="B590" s="36">
        <v>44965.07583400463</v>
      </c>
      <c r="C590" s="35" t="s">
        <v>444</v>
      </c>
      <c r="D590" s="35" t="s">
        <v>76</v>
      </c>
      <c r="E590" s="35">
        <v>2023.0</v>
      </c>
      <c r="F590" s="43">
        <v>44965.07583400463</v>
      </c>
      <c r="G590" s="38">
        <v>2198.0</v>
      </c>
      <c r="H590" s="38" t="s">
        <v>8</v>
      </c>
      <c r="I590" s="40"/>
      <c r="J590" s="40"/>
      <c r="K590" s="35"/>
      <c r="L590" s="35" t="s">
        <v>330</v>
      </c>
      <c r="M590" s="35" t="s">
        <v>331</v>
      </c>
      <c r="N590" s="35"/>
    </row>
    <row r="591" ht="16.5" customHeight="1">
      <c r="A591" s="28" t="s">
        <v>448</v>
      </c>
      <c r="B591" s="29">
        <v>44965.0879737963</v>
      </c>
      <c r="C591" s="28" t="s">
        <v>444</v>
      </c>
      <c r="D591" s="28" t="s">
        <v>76</v>
      </c>
      <c r="E591" s="28">
        <v>2023.0</v>
      </c>
      <c r="F591" s="42">
        <v>44965.0879737963</v>
      </c>
      <c r="G591" s="31">
        <v>2388.0</v>
      </c>
      <c r="H591" s="31" t="s">
        <v>8</v>
      </c>
      <c r="I591" s="33"/>
      <c r="J591" s="33"/>
      <c r="K591" s="28"/>
      <c r="L591" s="28" t="s">
        <v>330</v>
      </c>
      <c r="M591" s="28" t="s">
        <v>331</v>
      </c>
      <c r="N591" s="28"/>
    </row>
    <row r="592" ht="16.5" customHeight="1">
      <c r="A592" s="35" t="s">
        <v>449</v>
      </c>
      <c r="B592" s="36">
        <v>44965.09692887732</v>
      </c>
      <c r="C592" s="35" t="s">
        <v>444</v>
      </c>
      <c r="D592" s="35" t="s">
        <v>76</v>
      </c>
      <c r="E592" s="35">
        <v>2023.0</v>
      </c>
      <c r="F592" s="43">
        <v>44965.09692887732</v>
      </c>
      <c r="G592" s="38">
        <v>2366.0</v>
      </c>
      <c r="H592" s="38" t="s">
        <v>8</v>
      </c>
      <c r="I592" s="40"/>
      <c r="J592" s="40"/>
      <c r="K592" s="35"/>
      <c r="L592" s="35" t="s">
        <v>330</v>
      </c>
      <c r="M592" s="35" t="s">
        <v>331</v>
      </c>
      <c r="N592" s="35"/>
    </row>
    <row r="593" ht="16.5" customHeight="1">
      <c r="A593" s="28" t="s">
        <v>425</v>
      </c>
      <c r="B593" s="29">
        <v>44965.111029629625</v>
      </c>
      <c r="C593" s="28" t="s">
        <v>444</v>
      </c>
      <c r="D593" s="28" t="s">
        <v>76</v>
      </c>
      <c r="E593" s="28">
        <v>2023.0</v>
      </c>
      <c r="F593" s="42">
        <v>44965.111029629625</v>
      </c>
      <c r="G593" s="31">
        <v>2187.0</v>
      </c>
      <c r="H593" s="31" t="s">
        <v>8</v>
      </c>
      <c r="I593" s="33"/>
      <c r="J593" s="33"/>
      <c r="K593" s="28"/>
      <c r="L593" s="28" t="s">
        <v>330</v>
      </c>
      <c r="M593" s="28" t="s">
        <v>331</v>
      </c>
      <c r="N593" s="28"/>
    </row>
    <row r="594" ht="16.5" customHeight="1">
      <c r="A594" s="35" t="s">
        <v>450</v>
      </c>
      <c r="B594" s="36">
        <v>44965.11134646991</v>
      </c>
      <c r="C594" s="35" t="s">
        <v>444</v>
      </c>
      <c r="D594" s="35" t="s">
        <v>76</v>
      </c>
      <c r="E594" s="35">
        <v>2023.0</v>
      </c>
      <c r="F594" s="43">
        <v>44965.11134646991</v>
      </c>
      <c r="G594" s="38">
        <v>2180.0</v>
      </c>
      <c r="H594" s="38" t="s">
        <v>8</v>
      </c>
      <c r="I594" s="40"/>
      <c r="J594" s="40"/>
      <c r="K594" s="35"/>
      <c r="L594" s="35" t="s">
        <v>330</v>
      </c>
      <c r="M594" s="35" t="s">
        <v>331</v>
      </c>
      <c r="N594" s="35"/>
    </row>
    <row r="595" ht="16.5" customHeight="1">
      <c r="A595" s="28" t="s">
        <v>451</v>
      </c>
      <c r="B595" s="29">
        <v>44965.11589901621</v>
      </c>
      <c r="C595" s="28" t="s">
        <v>444</v>
      </c>
      <c r="D595" s="28" t="s">
        <v>76</v>
      </c>
      <c r="E595" s="28">
        <v>2023.0</v>
      </c>
      <c r="F595" s="42">
        <v>44965.11589901621</v>
      </c>
      <c r="G595" s="31">
        <v>2682.0</v>
      </c>
      <c r="H595" s="31" t="s">
        <v>8</v>
      </c>
      <c r="I595" s="33"/>
      <c r="J595" s="33"/>
      <c r="K595" s="28"/>
      <c r="L595" s="28" t="s">
        <v>330</v>
      </c>
      <c r="M595" s="28" t="s">
        <v>331</v>
      </c>
      <c r="N595" s="28"/>
    </row>
    <row r="596" ht="16.5" customHeight="1">
      <c r="A596" s="35" t="s">
        <v>452</v>
      </c>
      <c r="B596" s="36">
        <v>44965.15412172454</v>
      </c>
      <c r="C596" s="35" t="s">
        <v>444</v>
      </c>
      <c r="D596" s="35" t="s">
        <v>76</v>
      </c>
      <c r="E596" s="35">
        <v>2023.0</v>
      </c>
      <c r="F596" s="43">
        <v>44965.15412172454</v>
      </c>
      <c r="G596" s="38">
        <v>2400.0</v>
      </c>
      <c r="H596" s="38" t="s">
        <v>8</v>
      </c>
      <c r="I596" s="40"/>
      <c r="J596" s="40"/>
      <c r="K596" s="35"/>
      <c r="L596" s="35" t="s">
        <v>330</v>
      </c>
      <c r="M596" s="35" t="s">
        <v>331</v>
      </c>
      <c r="N596" s="35"/>
    </row>
    <row r="597" ht="16.5" customHeight="1">
      <c r="A597" s="28" t="s">
        <v>383</v>
      </c>
      <c r="B597" s="29">
        <v>44965.18319827547</v>
      </c>
      <c r="C597" s="28" t="s">
        <v>444</v>
      </c>
      <c r="D597" s="28" t="s">
        <v>76</v>
      </c>
      <c r="E597" s="28">
        <v>2023.0</v>
      </c>
      <c r="F597" s="42">
        <v>44965.18319827547</v>
      </c>
      <c r="G597" s="31">
        <v>2675.0</v>
      </c>
      <c r="H597" s="31" t="s">
        <v>8</v>
      </c>
      <c r="I597" s="33"/>
      <c r="J597" s="33"/>
      <c r="K597" s="28"/>
      <c r="L597" s="28" t="s">
        <v>330</v>
      </c>
      <c r="M597" s="28" t="s">
        <v>331</v>
      </c>
      <c r="N597" s="28"/>
    </row>
    <row r="598" ht="16.5" customHeight="1">
      <c r="A598" s="35" t="s">
        <v>453</v>
      </c>
      <c r="B598" s="36">
        <v>44965.18432349537</v>
      </c>
      <c r="C598" s="35" t="s">
        <v>444</v>
      </c>
      <c r="D598" s="35" t="s">
        <v>76</v>
      </c>
      <c r="E598" s="35">
        <v>2023.0</v>
      </c>
      <c r="F598" s="43">
        <v>44965.18432349537</v>
      </c>
      <c r="G598" s="38">
        <v>2455.0</v>
      </c>
      <c r="H598" s="38" t="s">
        <v>8</v>
      </c>
      <c r="I598" s="40"/>
      <c r="J598" s="40"/>
      <c r="K598" s="35"/>
      <c r="L598" s="35" t="s">
        <v>330</v>
      </c>
      <c r="M598" s="35" t="s">
        <v>331</v>
      </c>
      <c r="N598" s="35"/>
    </row>
    <row r="599" ht="16.5" customHeight="1">
      <c r="A599" s="28" t="s">
        <v>454</v>
      </c>
      <c r="B599" s="29">
        <v>44965.20155922454</v>
      </c>
      <c r="C599" s="28" t="s">
        <v>444</v>
      </c>
      <c r="D599" s="28" t="s">
        <v>76</v>
      </c>
      <c r="E599" s="28">
        <v>2023.0</v>
      </c>
      <c r="F599" s="42">
        <v>44965.20155922454</v>
      </c>
      <c r="G599" s="31">
        <v>2634.0</v>
      </c>
      <c r="H599" s="31" t="s">
        <v>8</v>
      </c>
      <c r="I599" s="33"/>
      <c r="J599" s="33"/>
      <c r="K599" s="28"/>
      <c r="L599" s="28" t="s">
        <v>330</v>
      </c>
      <c r="M599" s="28" t="s">
        <v>331</v>
      </c>
      <c r="N599" s="28"/>
    </row>
    <row r="600" ht="16.5" customHeight="1">
      <c r="A600" s="35" t="s">
        <v>382</v>
      </c>
      <c r="B600" s="36">
        <v>44965.22066457176</v>
      </c>
      <c r="C600" s="35" t="s">
        <v>444</v>
      </c>
      <c r="D600" s="35" t="s">
        <v>76</v>
      </c>
      <c r="E600" s="35">
        <v>2023.0</v>
      </c>
      <c r="F600" s="43">
        <v>44965.22066457176</v>
      </c>
      <c r="G600" s="38">
        <v>2460.0</v>
      </c>
      <c r="H600" s="38" t="s">
        <v>8</v>
      </c>
      <c r="I600" s="40"/>
      <c r="J600" s="40"/>
      <c r="K600" s="35"/>
      <c r="L600" s="35" t="s">
        <v>330</v>
      </c>
      <c r="M600" s="35" t="s">
        <v>331</v>
      </c>
      <c r="N600" s="35"/>
    </row>
    <row r="601" ht="16.5" customHeight="1">
      <c r="A601" s="28" t="s">
        <v>455</v>
      </c>
      <c r="B601" s="29">
        <v>44965.87618427083</v>
      </c>
      <c r="C601" s="28" t="s">
        <v>444</v>
      </c>
      <c r="D601" s="28" t="s">
        <v>76</v>
      </c>
      <c r="E601" s="28">
        <v>2023.0</v>
      </c>
      <c r="F601" s="42">
        <v>44965.87618427083</v>
      </c>
      <c r="G601" s="31">
        <v>2572.0</v>
      </c>
      <c r="H601" s="31" t="s">
        <v>8</v>
      </c>
      <c r="I601" s="33"/>
      <c r="J601" s="33"/>
      <c r="K601" s="28"/>
      <c r="L601" s="28" t="s">
        <v>330</v>
      </c>
      <c r="M601" s="28" t="s">
        <v>331</v>
      </c>
      <c r="N601" s="28"/>
    </row>
    <row r="602" ht="16.5" customHeight="1">
      <c r="A602" s="35" t="s">
        <v>456</v>
      </c>
      <c r="B602" s="36">
        <v>44965.87761447916</v>
      </c>
      <c r="C602" s="35" t="s">
        <v>444</v>
      </c>
      <c r="D602" s="35" t="s">
        <v>76</v>
      </c>
      <c r="E602" s="35">
        <v>2023.0</v>
      </c>
      <c r="F602" s="43">
        <v>44965.87761447916</v>
      </c>
      <c r="G602" s="38">
        <v>2563.0</v>
      </c>
      <c r="H602" s="38" t="s">
        <v>8</v>
      </c>
      <c r="I602" s="40"/>
      <c r="J602" s="40"/>
      <c r="K602" s="35"/>
      <c r="L602" s="35" t="s">
        <v>330</v>
      </c>
      <c r="M602" s="35" t="s">
        <v>331</v>
      </c>
      <c r="N602" s="35"/>
    </row>
    <row r="603" ht="16.5" customHeight="1">
      <c r="A603" s="28" t="s">
        <v>457</v>
      </c>
      <c r="B603" s="29">
        <v>44965.91524729166</v>
      </c>
      <c r="C603" s="28" t="s">
        <v>444</v>
      </c>
      <c r="D603" s="28" t="s">
        <v>76</v>
      </c>
      <c r="E603" s="28">
        <v>2023.0</v>
      </c>
      <c r="F603" s="42">
        <v>44965.91524729166</v>
      </c>
      <c r="G603" s="31">
        <v>2466.0</v>
      </c>
      <c r="H603" s="31" t="s">
        <v>8</v>
      </c>
      <c r="I603" s="33"/>
      <c r="J603" s="33"/>
      <c r="K603" s="28"/>
      <c r="L603" s="28" t="s">
        <v>330</v>
      </c>
      <c r="M603" s="28" t="s">
        <v>331</v>
      </c>
      <c r="N603" s="28"/>
    </row>
    <row r="604" ht="16.5" customHeight="1">
      <c r="A604" s="35" t="s">
        <v>458</v>
      </c>
      <c r="B604" s="36">
        <v>44965.948992986116</v>
      </c>
      <c r="C604" s="35" t="s">
        <v>444</v>
      </c>
      <c r="D604" s="35" t="s">
        <v>76</v>
      </c>
      <c r="E604" s="35">
        <v>2023.0</v>
      </c>
      <c r="F604" s="43">
        <v>44965.948992986116</v>
      </c>
      <c r="G604" s="38">
        <v>2639.0</v>
      </c>
      <c r="H604" s="38" t="s">
        <v>8</v>
      </c>
      <c r="I604" s="40"/>
      <c r="J604" s="40"/>
      <c r="K604" s="35"/>
      <c r="L604" s="35" t="s">
        <v>330</v>
      </c>
      <c r="M604" s="35" t="s">
        <v>331</v>
      </c>
      <c r="N604" s="35"/>
    </row>
    <row r="605" ht="16.5" customHeight="1">
      <c r="A605" s="28" t="s">
        <v>459</v>
      </c>
      <c r="B605" s="29">
        <v>44966.00105744213</v>
      </c>
      <c r="C605" s="28" t="s">
        <v>460</v>
      </c>
      <c r="D605" s="28" t="s">
        <v>76</v>
      </c>
      <c r="E605" s="28">
        <v>2023.0</v>
      </c>
      <c r="F605" s="42">
        <v>44966.00105744213</v>
      </c>
      <c r="G605" s="31">
        <v>2573.0</v>
      </c>
      <c r="H605" s="31" t="s">
        <v>8</v>
      </c>
      <c r="I605" s="33"/>
      <c r="J605" s="33"/>
      <c r="K605" s="28"/>
      <c r="L605" s="28" t="s">
        <v>330</v>
      </c>
      <c r="M605" s="28" t="s">
        <v>331</v>
      </c>
      <c r="N605" s="28"/>
    </row>
    <row r="606" ht="16.5" customHeight="1">
      <c r="A606" s="35" t="s">
        <v>461</v>
      </c>
      <c r="B606" s="36">
        <v>44966.00300269676</v>
      </c>
      <c r="C606" s="35" t="s">
        <v>460</v>
      </c>
      <c r="D606" s="35" t="s">
        <v>76</v>
      </c>
      <c r="E606" s="35">
        <v>2023.0</v>
      </c>
      <c r="F606" s="43">
        <v>44966.00300269676</v>
      </c>
      <c r="G606" s="38">
        <v>2468.0</v>
      </c>
      <c r="H606" s="38" t="s">
        <v>8</v>
      </c>
      <c r="I606" s="40"/>
      <c r="J606" s="40"/>
      <c r="K606" s="35"/>
      <c r="L606" s="35" t="s">
        <v>330</v>
      </c>
      <c r="M606" s="35" t="s">
        <v>331</v>
      </c>
      <c r="N606" s="35"/>
    </row>
    <row r="607" ht="16.5" customHeight="1">
      <c r="A607" s="28" t="s">
        <v>462</v>
      </c>
      <c r="B607" s="29">
        <v>44966.009707986115</v>
      </c>
      <c r="C607" s="28" t="s">
        <v>460</v>
      </c>
      <c r="D607" s="28" t="s">
        <v>76</v>
      </c>
      <c r="E607" s="28">
        <v>2023.0</v>
      </c>
      <c r="F607" s="42">
        <v>44966.009707986115</v>
      </c>
      <c r="G607" s="31">
        <v>852.0</v>
      </c>
      <c r="H607" s="31" t="s">
        <v>8</v>
      </c>
      <c r="I607" s="33"/>
      <c r="J607" s="33"/>
      <c r="K607" s="28"/>
      <c r="L607" s="28" t="s">
        <v>330</v>
      </c>
      <c r="M607" s="28" t="s">
        <v>331</v>
      </c>
      <c r="N607" s="28"/>
    </row>
    <row r="608" ht="16.5" customHeight="1">
      <c r="A608" s="35" t="s">
        <v>463</v>
      </c>
      <c r="B608" s="36">
        <v>44966.022135023144</v>
      </c>
      <c r="C608" s="35" t="s">
        <v>460</v>
      </c>
      <c r="D608" s="35" t="s">
        <v>76</v>
      </c>
      <c r="E608" s="35">
        <v>2023.0</v>
      </c>
      <c r="F608" s="43">
        <v>44966.022135023144</v>
      </c>
      <c r="G608" s="38">
        <v>2392.0</v>
      </c>
      <c r="H608" s="38" t="s">
        <v>8</v>
      </c>
      <c r="I608" s="40"/>
      <c r="J608" s="40"/>
      <c r="K608" s="35"/>
      <c r="L608" s="35" t="s">
        <v>330</v>
      </c>
      <c r="M608" s="35" t="s">
        <v>331</v>
      </c>
      <c r="N608" s="35"/>
    </row>
    <row r="609" ht="16.5" customHeight="1">
      <c r="A609" s="28" t="s">
        <v>464</v>
      </c>
      <c r="B609" s="29">
        <v>44966.02641648148</v>
      </c>
      <c r="C609" s="28" t="s">
        <v>460</v>
      </c>
      <c r="D609" s="28" t="s">
        <v>76</v>
      </c>
      <c r="E609" s="28">
        <v>2023.0</v>
      </c>
      <c r="F609" s="42">
        <v>44966.02641648148</v>
      </c>
      <c r="G609" s="31">
        <v>2570.0</v>
      </c>
      <c r="H609" s="31" t="s">
        <v>8</v>
      </c>
      <c r="I609" s="33"/>
      <c r="J609" s="33"/>
      <c r="K609" s="28"/>
      <c r="L609" s="28" t="s">
        <v>330</v>
      </c>
      <c r="M609" s="28" t="s">
        <v>331</v>
      </c>
      <c r="N609" s="28"/>
    </row>
    <row r="610" ht="16.5" customHeight="1">
      <c r="A610" s="35" t="s">
        <v>465</v>
      </c>
      <c r="B610" s="36">
        <v>44966.03482962963</v>
      </c>
      <c r="C610" s="35" t="s">
        <v>460</v>
      </c>
      <c r="D610" s="35" t="s">
        <v>76</v>
      </c>
      <c r="E610" s="35">
        <v>2023.0</v>
      </c>
      <c r="F610" s="43">
        <v>44966.03482962963</v>
      </c>
      <c r="G610" s="38">
        <v>2458.0</v>
      </c>
      <c r="H610" s="38" t="s">
        <v>8</v>
      </c>
      <c r="I610" s="40"/>
      <c r="J610" s="40"/>
      <c r="K610" s="35"/>
      <c r="L610" s="35" t="s">
        <v>330</v>
      </c>
      <c r="M610" s="35" t="s">
        <v>331</v>
      </c>
      <c r="N610" s="35"/>
    </row>
    <row r="611" ht="16.5" customHeight="1">
      <c r="A611" s="28" t="s">
        <v>466</v>
      </c>
      <c r="B611" s="29">
        <v>44966.04108296296</v>
      </c>
      <c r="C611" s="28" t="s">
        <v>460</v>
      </c>
      <c r="D611" s="28" t="s">
        <v>76</v>
      </c>
      <c r="E611" s="28">
        <v>2023.0</v>
      </c>
      <c r="F611" s="42">
        <v>44966.04108296296</v>
      </c>
      <c r="G611" s="31">
        <v>2659.0</v>
      </c>
      <c r="H611" s="31" t="s">
        <v>8</v>
      </c>
      <c r="I611" s="33"/>
      <c r="J611" s="33"/>
      <c r="K611" s="28"/>
      <c r="L611" s="28" t="s">
        <v>330</v>
      </c>
      <c r="M611" s="28" t="s">
        <v>331</v>
      </c>
      <c r="N611" s="28"/>
    </row>
    <row r="612" ht="16.5" customHeight="1">
      <c r="A612" s="35" t="s">
        <v>467</v>
      </c>
      <c r="B612" s="36">
        <v>44966.04931487268</v>
      </c>
      <c r="C612" s="35" t="s">
        <v>460</v>
      </c>
      <c r="D612" s="35" t="s">
        <v>76</v>
      </c>
      <c r="E612" s="35">
        <v>2023.0</v>
      </c>
      <c r="F612" s="43">
        <v>44966.04931487268</v>
      </c>
      <c r="G612" s="38">
        <v>2569.0</v>
      </c>
      <c r="H612" s="38" t="s">
        <v>8</v>
      </c>
      <c r="I612" s="40"/>
      <c r="J612" s="40"/>
      <c r="K612" s="35"/>
      <c r="L612" s="35" t="s">
        <v>330</v>
      </c>
      <c r="M612" s="35" t="s">
        <v>331</v>
      </c>
      <c r="N612" s="35"/>
    </row>
    <row r="613" ht="16.5" customHeight="1">
      <c r="A613" s="28" t="s">
        <v>468</v>
      </c>
      <c r="B613" s="29">
        <v>44966.05834002315</v>
      </c>
      <c r="C613" s="28" t="s">
        <v>460</v>
      </c>
      <c r="D613" s="28" t="s">
        <v>76</v>
      </c>
      <c r="E613" s="28">
        <v>2023.0</v>
      </c>
      <c r="F613" s="42">
        <v>44966.05834002315</v>
      </c>
      <c r="G613" s="31">
        <v>2683.0</v>
      </c>
      <c r="H613" s="31" t="s">
        <v>8</v>
      </c>
      <c r="I613" s="33"/>
      <c r="J613" s="33"/>
      <c r="K613" s="28"/>
      <c r="L613" s="28" t="s">
        <v>330</v>
      </c>
      <c r="M613" s="28" t="s">
        <v>331</v>
      </c>
      <c r="N613" s="28"/>
    </row>
    <row r="614" ht="16.5" customHeight="1">
      <c r="A614" s="35" t="s">
        <v>469</v>
      </c>
      <c r="B614" s="36">
        <v>44966.07146337963</v>
      </c>
      <c r="C614" s="35" t="s">
        <v>460</v>
      </c>
      <c r="D614" s="35" t="s">
        <v>76</v>
      </c>
      <c r="E614" s="35">
        <v>2023.0</v>
      </c>
      <c r="F614" s="43">
        <v>44966.07146337963</v>
      </c>
      <c r="G614" s="38">
        <v>2189.0</v>
      </c>
      <c r="H614" s="38" t="s">
        <v>8</v>
      </c>
      <c r="I614" s="40"/>
      <c r="J614" s="40"/>
      <c r="K614" s="35"/>
      <c r="L614" s="35" t="s">
        <v>330</v>
      </c>
      <c r="M614" s="35" t="s">
        <v>331</v>
      </c>
      <c r="N614" s="35"/>
    </row>
    <row r="615" ht="16.5" customHeight="1">
      <c r="A615" s="28" t="s">
        <v>406</v>
      </c>
      <c r="B615" s="29">
        <v>44966.084665682865</v>
      </c>
      <c r="C615" s="28" t="s">
        <v>460</v>
      </c>
      <c r="D615" s="28" t="s">
        <v>76</v>
      </c>
      <c r="E615" s="28">
        <v>2023.0</v>
      </c>
      <c r="F615" s="42">
        <v>44966.084665682865</v>
      </c>
      <c r="G615" s="31">
        <v>2422.0</v>
      </c>
      <c r="H615" s="31" t="s">
        <v>8</v>
      </c>
      <c r="I615" s="33"/>
      <c r="J615" s="33"/>
      <c r="K615" s="28"/>
      <c r="L615" s="28" t="s">
        <v>330</v>
      </c>
      <c r="M615" s="28" t="s">
        <v>331</v>
      </c>
      <c r="N615" s="28"/>
    </row>
    <row r="616" ht="16.5" customHeight="1">
      <c r="A616" s="35" t="s">
        <v>426</v>
      </c>
      <c r="B616" s="36">
        <v>44966.09913973379</v>
      </c>
      <c r="C616" s="35" t="s">
        <v>460</v>
      </c>
      <c r="D616" s="35" t="s">
        <v>76</v>
      </c>
      <c r="E616" s="35">
        <v>2023.0</v>
      </c>
      <c r="F616" s="43">
        <v>44966.09913973379</v>
      </c>
      <c r="G616" s="38">
        <v>2625.0</v>
      </c>
      <c r="H616" s="38" t="s">
        <v>8</v>
      </c>
      <c r="I616" s="40"/>
      <c r="J616" s="40"/>
      <c r="K616" s="35"/>
      <c r="L616" s="35" t="s">
        <v>330</v>
      </c>
      <c r="M616" s="35" t="s">
        <v>331</v>
      </c>
      <c r="N616" s="35"/>
    </row>
    <row r="617" ht="16.5" customHeight="1">
      <c r="A617" s="28" t="s">
        <v>352</v>
      </c>
      <c r="B617" s="29">
        <v>44966.105805370375</v>
      </c>
      <c r="C617" s="28" t="s">
        <v>460</v>
      </c>
      <c r="D617" s="28" t="s">
        <v>76</v>
      </c>
      <c r="E617" s="28">
        <v>2023.0</v>
      </c>
      <c r="F617" s="42">
        <v>44966.105805370375</v>
      </c>
      <c r="G617" s="31">
        <v>2173.0</v>
      </c>
      <c r="H617" s="31" t="s">
        <v>8</v>
      </c>
      <c r="I617" s="33"/>
      <c r="J617" s="33"/>
      <c r="K617" s="28"/>
      <c r="L617" s="28" t="s">
        <v>330</v>
      </c>
      <c r="M617" s="28" t="s">
        <v>331</v>
      </c>
      <c r="N617" s="28"/>
    </row>
    <row r="618" ht="16.5" customHeight="1">
      <c r="A618" s="35" t="s">
        <v>355</v>
      </c>
      <c r="B618" s="36">
        <v>44966.11899754629</v>
      </c>
      <c r="C618" s="35" t="s">
        <v>460</v>
      </c>
      <c r="D618" s="35" t="s">
        <v>76</v>
      </c>
      <c r="E618" s="35">
        <v>2023.0</v>
      </c>
      <c r="F618" s="43">
        <v>44966.11899754629</v>
      </c>
      <c r="G618" s="38">
        <v>2367.0</v>
      </c>
      <c r="H618" s="38" t="s">
        <v>8</v>
      </c>
      <c r="I618" s="40"/>
      <c r="J618" s="40"/>
      <c r="K618" s="35"/>
      <c r="L618" s="35" t="s">
        <v>330</v>
      </c>
      <c r="M618" s="35" t="s">
        <v>331</v>
      </c>
      <c r="N618" s="35"/>
    </row>
    <row r="619" ht="16.5" customHeight="1">
      <c r="A619" s="28" t="s">
        <v>470</v>
      </c>
      <c r="B619" s="29">
        <v>44966.13326418982</v>
      </c>
      <c r="C619" s="28" t="s">
        <v>460</v>
      </c>
      <c r="D619" s="28" t="s">
        <v>76</v>
      </c>
      <c r="E619" s="28">
        <v>2023.0</v>
      </c>
      <c r="F619" s="42">
        <v>44966.13326418982</v>
      </c>
      <c r="G619" s="31">
        <v>2457.0</v>
      </c>
      <c r="H619" s="31" t="s">
        <v>8</v>
      </c>
      <c r="I619" s="33"/>
      <c r="J619" s="33"/>
      <c r="K619" s="28"/>
      <c r="L619" s="28" t="s">
        <v>330</v>
      </c>
      <c r="M619" s="28" t="s">
        <v>331</v>
      </c>
      <c r="N619" s="28"/>
    </row>
    <row r="620" ht="16.5" customHeight="1">
      <c r="A620" s="35" t="s">
        <v>385</v>
      </c>
      <c r="B620" s="36">
        <v>44966.155465613425</v>
      </c>
      <c r="C620" s="35" t="s">
        <v>460</v>
      </c>
      <c r="D620" s="35" t="s">
        <v>76</v>
      </c>
      <c r="E620" s="35">
        <v>2023.0</v>
      </c>
      <c r="F620" s="43">
        <v>44966.155465613425</v>
      </c>
      <c r="G620" s="38">
        <v>2622.0</v>
      </c>
      <c r="H620" s="38" t="s">
        <v>8</v>
      </c>
      <c r="I620" s="40"/>
      <c r="J620" s="40"/>
      <c r="K620" s="35"/>
      <c r="L620" s="35" t="s">
        <v>330</v>
      </c>
      <c r="M620" s="35" t="s">
        <v>331</v>
      </c>
      <c r="N620" s="35"/>
    </row>
    <row r="621" ht="16.5" customHeight="1">
      <c r="A621" s="28" t="s">
        <v>357</v>
      </c>
      <c r="B621" s="29">
        <v>44966.16175422454</v>
      </c>
      <c r="C621" s="28" t="s">
        <v>460</v>
      </c>
      <c r="D621" s="28" t="s">
        <v>76</v>
      </c>
      <c r="E621" s="28">
        <v>2023.0</v>
      </c>
      <c r="F621" s="42">
        <v>44966.16175422454</v>
      </c>
      <c r="G621" s="31">
        <v>2202.0</v>
      </c>
      <c r="H621" s="31" t="s">
        <v>8</v>
      </c>
      <c r="I621" s="33"/>
      <c r="J621" s="33"/>
      <c r="K621" s="28"/>
      <c r="L621" s="28" t="s">
        <v>330</v>
      </c>
      <c r="M621" s="28" t="s">
        <v>331</v>
      </c>
      <c r="N621" s="28"/>
    </row>
    <row r="622" ht="16.5" customHeight="1">
      <c r="A622" s="35" t="s">
        <v>471</v>
      </c>
      <c r="B622" s="36">
        <v>44966.16333296296</v>
      </c>
      <c r="C622" s="35" t="s">
        <v>460</v>
      </c>
      <c r="D622" s="35" t="s">
        <v>76</v>
      </c>
      <c r="E622" s="35">
        <v>2023.0</v>
      </c>
      <c r="F622" s="43">
        <v>44966.16333296296</v>
      </c>
      <c r="G622" s="38">
        <v>2179.0</v>
      </c>
      <c r="H622" s="38" t="s">
        <v>8</v>
      </c>
      <c r="I622" s="40"/>
      <c r="J622" s="40"/>
      <c r="K622" s="35"/>
      <c r="L622" s="35" t="s">
        <v>330</v>
      </c>
      <c r="M622" s="35" t="s">
        <v>331</v>
      </c>
      <c r="N622" s="35"/>
    </row>
    <row r="623" ht="16.5" customHeight="1">
      <c r="A623" s="28" t="s">
        <v>336</v>
      </c>
      <c r="B623" s="29">
        <v>44966.21650101852</v>
      </c>
      <c r="C623" s="28" t="s">
        <v>460</v>
      </c>
      <c r="D623" s="28" t="s">
        <v>76</v>
      </c>
      <c r="E623" s="28">
        <v>2023.0</v>
      </c>
      <c r="F623" s="42">
        <v>44966.21650101852</v>
      </c>
      <c r="G623" s="31">
        <v>2385.0</v>
      </c>
      <c r="H623" s="31" t="s">
        <v>8</v>
      </c>
      <c r="I623" s="33"/>
      <c r="J623" s="33"/>
      <c r="K623" s="28"/>
      <c r="L623" s="28" t="s">
        <v>330</v>
      </c>
      <c r="M623" s="28" t="s">
        <v>331</v>
      </c>
      <c r="N623" s="28"/>
    </row>
    <row r="624" ht="16.5" customHeight="1">
      <c r="A624" s="35" t="s">
        <v>395</v>
      </c>
      <c r="B624" s="36">
        <v>44966.217926666664</v>
      </c>
      <c r="C624" s="35" t="s">
        <v>460</v>
      </c>
      <c r="D624" s="35" t="s">
        <v>76</v>
      </c>
      <c r="E624" s="35">
        <v>2023.0</v>
      </c>
      <c r="F624" s="43">
        <v>44966.217926666664</v>
      </c>
      <c r="G624" s="38">
        <v>2624.0</v>
      </c>
      <c r="H624" s="38" t="s">
        <v>8</v>
      </c>
      <c r="I624" s="40"/>
      <c r="J624" s="40"/>
      <c r="K624" s="35"/>
      <c r="L624" s="35" t="s">
        <v>330</v>
      </c>
      <c r="M624" s="35" t="s">
        <v>331</v>
      </c>
      <c r="N624" s="35"/>
    </row>
    <row r="625" ht="16.5" customHeight="1">
      <c r="A625" s="28" t="s">
        <v>472</v>
      </c>
      <c r="B625" s="29">
        <v>44966.54211239584</v>
      </c>
      <c r="C625" s="28" t="s">
        <v>460</v>
      </c>
      <c r="D625" s="28" t="s">
        <v>76</v>
      </c>
      <c r="E625" s="28">
        <v>2023.0</v>
      </c>
      <c r="F625" s="42">
        <v>44966.54211239584</v>
      </c>
      <c r="G625" s="31">
        <v>2480.0</v>
      </c>
      <c r="H625" s="31" t="s">
        <v>8</v>
      </c>
      <c r="I625" s="33"/>
      <c r="J625" s="33"/>
      <c r="K625" s="28"/>
      <c r="L625" s="28" t="s">
        <v>330</v>
      </c>
      <c r="M625" s="28" t="s">
        <v>331</v>
      </c>
      <c r="N625" s="28"/>
    </row>
    <row r="626" ht="16.5" customHeight="1">
      <c r="A626" s="35" t="s">
        <v>473</v>
      </c>
      <c r="B626" s="36">
        <v>44966.78115693287</v>
      </c>
      <c r="C626" s="35" t="s">
        <v>460</v>
      </c>
      <c r="D626" s="35" t="s">
        <v>76</v>
      </c>
      <c r="E626" s="35">
        <v>2023.0</v>
      </c>
      <c r="F626" s="43">
        <v>44966.78115693287</v>
      </c>
      <c r="G626" s="38">
        <v>2360.0</v>
      </c>
      <c r="H626" s="38" t="s">
        <v>8</v>
      </c>
      <c r="I626" s="40"/>
      <c r="J626" s="40"/>
      <c r="K626" s="35"/>
      <c r="L626" s="35" t="s">
        <v>330</v>
      </c>
      <c r="M626" s="35" t="s">
        <v>331</v>
      </c>
      <c r="N626" s="35"/>
    </row>
    <row r="627" ht="16.5" customHeight="1">
      <c r="A627" s="28" t="s">
        <v>474</v>
      </c>
      <c r="B627" s="29">
        <v>44966.8906149074</v>
      </c>
      <c r="C627" s="28" t="s">
        <v>460</v>
      </c>
      <c r="D627" s="28" t="s">
        <v>76</v>
      </c>
      <c r="E627" s="28">
        <v>2023.0</v>
      </c>
      <c r="F627" s="42">
        <v>44966.8906149074</v>
      </c>
      <c r="G627" s="31">
        <v>2401.0</v>
      </c>
      <c r="H627" s="31" t="s">
        <v>8</v>
      </c>
      <c r="I627" s="33"/>
      <c r="J627" s="33"/>
      <c r="K627" s="28"/>
      <c r="L627" s="28" t="s">
        <v>330</v>
      </c>
      <c r="M627" s="28" t="s">
        <v>331</v>
      </c>
      <c r="N627" s="28"/>
    </row>
    <row r="628" ht="16.5" customHeight="1">
      <c r="A628" s="35" t="s">
        <v>329</v>
      </c>
      <c r="B628" s="36">
        <v>44966.92489746527</v>
      </c>
      <c r="C628" s="35" t="s">
        <v>460</v>
      </c>
      <c r="D628" s="35" t="s">
        <v>76</v>
      </c>
      <c r="E628" s="35">
        <v>2023.0</v>
      </c>
      <c r="F628" s="43">
        <v>44966.92489746527</v>
      </c>
      <c r="G628" s="38">
        <v>2196.0</v>
      </c>
      <c r="H628" s="38" t="s">
        <v>8</v>
      </c>
      <c r="I628" s="40"/>
      <c r="J628" s="40"/>
      <c r="K628" s="35"/>
      <c r="L628" s="35" t="s">
        <v>330</v>
      </c>
      <c r="M628" s="35" t="s">
        <v>331</v>
      </c>
      <c r="N628" s="35"/>
    </row>
    <row r="629" ht="16.5" customHeight="1">
      <c r="A629" s="28" t="s">
        <v>475</v>
      </c>
      <c r="B629" s="29">
        <v>44966.94980396991</v>
      </c>
      <c r="C629" s="28" t="s">
        <v>460</v>
      </c>
      <c r="D629" s="28" t="s">
        <v>76</v>
      </c>
      <c r="E629" s="28">
        <v>2023.0</v>
      </c>
      <c r="F629" s="42">
        <v>44966.94980396991</v>
      </c>
      <c r="G629" s="31">
        <v>2273.0</v>
      </c>
      <c r="H629" s="31" t="s">
        <v>8</v>
      </c>
      <c r="I629" s="33"/>
      <c r="J629" s="33"/>
      <c r="K629" s="28"/>
      <c r="L629" s="28" t="s">
        <v>330</v>
      </c>
      <c r="M629" s="28" t="s">
        <v>331</v>
      </c>
      <c r="N629" s="28"/>
    </row>
    <row r="630" ht="16.5" customHeight="1">
      <c r="A630" s="35" t="s">
        <v>398</v>
      </c>
      <c r="B630" s="36">
        <v>44966.97247065972</v>
      </c>
      <c r="C630" s="35" t="s">
        <v>460</v>
      </c>
      <c r="D630" s="35" t="s">
        <v>76</v>
      </c>
      <c r="E630" s="35">
        <v>2023.0</v>
      </c>
      <c r="F630" s="43">
        <v>44966.97247065972</v>
      </c>
      <c r="G630" s="38">
        <v>2454.0</v>
      </c>
      <c r="H630" s="38" t="s">
        <v>8</v>
      </c>
      <c r="I630" s="40"/>
      <c r="J630" s="40"/>
      <c r="K630" s="35"/>
      <c r="L630" s="35" t="s">
        <v>330</v>
      </c>
      <c r="M630" s="35" t="s">
        <v>331</v>
      </c>
      <c r="N630" s="35"/>
    </row>
    <row r="631" ht="16.5" customHeight="1">
      <c r="A631" s="28" t="s">
        <v>476</v>
      </c>
      <c r="B631" s="29">
        <v>44967.00056712963</v>
      </c>
      <c r="C631" s="28" t="s">
        <v>152</v>
      </c>
      <c r="D631" s="28" t="s">
        <v>76</v>
      </c>
      <c r="E631" s="28">
        <v>2023.0</v>
      </c>
      <c r="F631" s="42">
        <v>44967.00056712963</v>
      </c>
      <c r="G631" s="31">
        <v>2637.0</v>
      </c>
      <c r="H631" s="31" t="s">
        <v>8</v>
      </c>
      <c r="I631" s="33"/>
      <c r="J631" s="33"/>
      <c r="K631" s="28"/>
      <c r="L631" s="28" t="s">
        <v>330</v>
      </c>
      <c r="M631" s="28" t="s">
        <v>331</v>
      </c>
      <c r="N631" s="28"/>
    </row>
    <row r="632" ht="16.5" customHeight="1">
      <c r="A632" s="35" t="s">
        <v>477</v>
      </c>
      <c r="B632" s="36">
        <v>44967.013095104165</v>
      </c>
      <c r="C632" s="35" t="s">
        <v>152</v>
      </c>
      <c r="D632" s="35" t="s">
        <v>76</v>
      </c>
      <c r="E632" s="35">
        <v>2023.0</v>
      </c>
      <c r="F632" s="43">
        <v>44967.013095104165</v>
      </c>
      <c r="G632" s="38">
        <v>2384.0</v>
      </c>
      <c r="H632" s="38" t="s">
        <v>8</v>
      </c>
      <c r="I632" s="40"/>
      <c r="J632" s="40"/>
      <c r="K632" s="35"/>
      <c r="L632" s="35" t="s">
        <v>330</v>
      </c>
      <c r="M632" s="35" t="s">
        <v>331</v>
      </c>
      <c r="N632" s="35"/>
    </row>
    <row r="633" ht="16.5" customHeight="1">
      <c r="A633" s="28" t="s">
        <v>332</v>
      </c>
      <c r="B633" s="29">
        <v>44967.030767627315</v>
      </c>
      <c r="C633" s="28" t="s">
        <v>152</v>
      </c>
      <c r="D633" s="28" t="s">
        <v>76</v>
      </c>
      <c r="E633" s="28">
        <v>2023.0</v>
      </c>
      <c r="F633" s="42">
        <v>44967.030767627315</v>
      </c>
      <c r="G633" s="31">
        <v>2660.0</v>
      </c>
      <c r="H633" s="31" t="s">
        <v>8</v>
      </c>
      <c r="I633" s="33"/>
      <c r="J633" s="33"/>
      <c r="K633" s="28"/>
      <c r="L633" s="28" t="s">
        <v>330</v>
      </c>
      <c r="M633" s="28" t="s">
        <v>331</v>
      </c>
      <c r="N633" s="28"/>
    </row>
    <row r="634" ht="16.5" customHeight="1">
      <c r="A634" s="35" t="s">
        <v>445</v>
      </c>
      <c r="B634" s="36">
        <v>44967.03973041667</v>
      </c>
      <c r="C634" s="35" t="s">
        <v>152</v>
      </c>
      <c r="D634" s="35" t="s">
        <v>76</v>
      </c>
      <c r="E634" s="35">
        <v>2023.0</v>
      </c>
      <c r="F634" s="43">
        <v>44967.03973041667</v>
      </c>
      <c r="G634" s="38">
        <v>2233.0</v>
      </c>
      <c r="H634" s="38" t="s">
        <v>8</v>
      </c>
      <c r="I634" s="40"/>
      <c r="J634" s="40"/>
      <c r="K634" s="35"/>
      <c r="L634" s="35" t="s">
        <v>330</v>
      </c>
      <c r="M634" s="35" t="s">
        <v>331</v>
      </c>
      <c r="N634" s="35"/>
    </row>
    <row r="635" ht="16.5" customHeight="1">
      <c r="A635" s="28" t="s">
        <v>337</v>
      </c>
      <c r="B635" s="29">
        <v>44967.067715833335</v>
      </c>
      <c r="C635" s="28" t="s">
        <v>152</v>
      </c>
      <c r="D635" s="28" t="s">
        <v>76</v>
      </c>
      <c r="E635" s="28">
        <v>2023.0</v>
      </c>
      <c r="F635" s="42">
        <v>44967.067715833335</v>
      </c>
      <c r="G635" s="31">
        <v>2515.0</v>
      </c>
      <c r="H635" s="31" t="s">
        <v>8</v>
      </c>
      <c r="I635" s="33"/>
      <c r="J635" s="33"/>
      <c r="K635" s="28"/>
      <c r="L635" s="28" t="s">
        <v>330</v>
      </c>
      <c r="M635" s="28" t="s">
        <v>331</v>
      </c>
      <c r="N635" s="28"/>
    </row>
    <row r="636" ht="16.5" customHeight="1">
      <c r="A636" s="35" t="s">
        <v>379</v>
      </c>
      <c r="B636" s="36">
        <v>44967.073067777776</v>
      </c>
      <c r="C636" s="35" t="s">
        <v>152</v>
      </c>
      <c r="D636" s="35" t="s">
        <v>76</v>
      </c>
      <c r="E636" s="35">
        <v>2023.0</v>
      </c>
      <c r="F636" s="43">
        <v>44967.073067777776</v>
      </c>
      <c r="G636" s="38">
        <v>2374.0</v>
      </c>
      <c r="H636" s="38" t="s">
        <v>8</v>
      </c>
      <c r="I636" s="40"/>
      <c r="J636" s="40"/>
      <c r="K636" s="35"/>
      <c r="L636" s="35" t="s">
        <v>330</v>
      </c>
      <c r="M636" s="35" t="s">
        <v>331</v>
      </c>
      <c r="N636" s="35"/>
    </row>
    <row r="637" ht="16.5" customHeight="1">
      <c r="A637" s="28" t="s">
        <v>384</v>
      </c>
      <c r="B637" s="29">
        <v>44967.10221261574</v>
      </c>
      <c r="C637" s="28" t="s">
        <v>152</v>
      </c>
      <c r="D637" s="28" t="s">
        <v>76</v>
      </c>
      <c r="E637" s="28">
        <v>2023.0</v>
      </c>
      <c r="F637" s="42">
        <v>44967.10221261574</v>
      </c>
      <c r="G637" s="31">
        <v>2623.0</v>
      </c>
      <c r="H637" s="31" t="s">
        <v>8</v>
      </c>
      <c r="I637" s="33"/>
      <c r="J637" s="33"/>
      <c r="K637" s="28"/>
      <c r="L637" s="28" t="s">
        <v>330</v>
      </c>
      <c r="M637" s="28" t="s">
        <v>331</v>
      </c>
      <c r="N637" s="28"/>
    </row>
    <row r="638" ht="16.5" customHeight="1">
      <c r="A638" s="35" t="s">
        <v>390</v>
      </c>
      <c r="B638" s="36">
        <v>44967.11530618055</v>
      </c>
      <c r="C638" s="35" t="s">
        <v>152</v>
      </c>
      <c r="D638" s="35" t="s">
        <v>76</v>
      </c>
      <c r="E638" s="35">
        <v>2023.0</v>
      </c>
      <c r="F638" s="43">
        <v>44967.11530618055</v>
      </c>
      <c r="G638" s="38">
        <v>2379.0</v>
      </c>
      <c r="H638" s="38" t="s">
        <v>8</v>
      </c>
      <c r="I638" s="40"/>
      <c r="J638" s="40"/>
      <c r="K638" s="35"/>
      <c r="L638" s="35" t="s">
        <v>330</v>
      </c>
      <c r="M638" s="35" t="s">
        <v>331</v>
      </c>
      <c r="N638" s="35"/>
    </row>
    <row r="639" ht="16.5" customHeight="1">
      <c r="A639" s="28" t="s">
        <v>456</v>
      </c>
      <c r="B639" s="29">
        <v>44967.321153275465</v>
      </c>
      <c r="C639" s="28" t="s">
        <v>152</v>
      </c>
      <c r="D639" s="28" t="s">
        <v>76</v>
      </c>
      <c r="E639" s="28">
        <v>2023.0</v>
      </c>
      <c r="F639" s="42">
        <v>44967.321153275465</v>
      </c>
      <c r="G639" s="31">
        <v>2563.0</v>
      </c>
      <c r="H639" s="31">
        <v>4.0</v>
      </c>
      <c r="I639" s="31">
        <v>4.0</v>
      </c>
      <c r="J639" s="33"/>
      <c r="K639" s="28"/>
      <c r="L639" s="28" t="s">
        <v>330</v>
      </c>
      <c r="M639" s="28" t="s">
        <v>331</v>
      </c>
      <c r="N639" s="28"/>
    </row>
    <row r="640" ht="16.5" customHeight="1">
      <c r="A640" s="35" t="s">
        <v>386</v>
      </c>
      <c r="B640" s="36">
        <v>44967.334869467595</v>
      </c>
      <c r="C640" s="35" t="s">
        <v>152</v>
      </c>
      <c r="D640" s="35" t="s">
        <v>76</v>
      </c>
      <c r="E640" s="35">
        <v>2023.0</v>
      </c>
      <c r="F640" s="43">
        <v>44967.334869467595</v>
      </c>
      <c r="G640" s="38">
        <v>222021.0</v>
      </c>
      <c r="H640" s="38">
        <v>1.0</v>
      </c>
      <c r="I640" s="38">
        <v>4.0</v>
      </c>
      <c r="J640" s="40"/>
      <c r="K640" s="35"/>
      <c r="L640" s="35" t="s">
        <v>330</v>
      </c>
      <c r="M640" s="35" t="s">
        <v>331</v>
      </c>
      <c r="N640" s="35"/>
    </row>
    <row r="641" ht="16.5" customHeight="1">
      <c r="A641" s="28" t="s">
        <v>381</v>
      </c>
      <c r="B641" s="29">
        <v>44967.88421584491</v>
      </c>
      <c r="C641" s="28" t="s">
        <v>152</v>
      </c>
      <c r="D641" s="28" t="s">
        <v>76</v>
      </c>
      <c r="E641" s="28">
        <v>2023.0</v>
      </c>
      <c r="F641" s="42">
        <v>44967.88421584491</v>
      </c>
      <c r="G641" s="31">
        <v>2620.0</v>
      </c>
      <c r="H641" s="31">
        <v>2.0</v>
      </c>
      <c r="I641" s="31">
        <v>3.0</v>
      </c>
      <c r="J641" s="33"/>
      <c r="K641" s="28"/>
      <c r="L641" s="28" t="s">
        <v>330</v>
      </c>
      <c r="M641" s="28" t="s">
        <v>331</v>
      </c>
      <c r="N641" s="28"/>
    </row>
    <row r="642" ht="16.5" customHeight="1">
      <c r="A642" s="35" t="s">
        <v>478</v>
      </c>
      <c r="B642" s="36">
        <v>44967.885834305554</v>
      </c>
      <c r="C642" s="35" t="s">
        <v>152</v>
      </c>
      <c r="D642" s="35" t="s">
        <v>76</v>
      </c>
      <c r="E642" s="35">
        <v>2023.0</v>
      </c>
      <c r="F642" s="43">
        <v>44967.885834305554</v>
      </c>
      <c r="G642" s="38">
        <v>2397.0</v>
      </c>
      <c r="H642" s="38">
        <v>2.0</v>
      </c>
      <c r="I642" s="38">
        <v>3.0</v>
      </c>
      <c r="J642" s="40"/>
      <c r="K642" s="35"/>
      <c r="L642" s="35" t="s">
        <v>330</v>
      </c>
      <c r="M642" s="35" t="s">
        <v>331</v>
      </c>
      <c r="N642" s="35"/>
    </row>
    <row r="643" ht="16.5" customHeight="1">
      <c r="A643" s="28" t="s">
        <v>456</v>
      </c>
      <c r="B643" s="29">
        <v>44967.89270671296</v>
      </c>
      <c r="C643" s="28" t="s">
        <v>152</v>
      </c>
      <c r="D643" s="28" t="s">
        <v>76</v>
      </c>
      <c r="E643" s="28">
        <v>2023.0</v>
      </c>
      <c r="F643" s="42">
        <v>44967.89270671296</v>
      </c>
      <c r="G643" s="31">
        <v>2563.0</v>
      </c>
      <c r="H643" s="31">
        <v>2.0</v>
      </c>
      <c r="I643" s="31">
        <v>4.0</v>
      </c>
      <c r="J643" s="33"/>
      <c r="K643" s="28"/>
      <c r="L643" s="28" t="s">
        <v>330</v>
      </c>
      <c r="M643" s="28" t="s">
        <v>331</v>
      </c>
      <c r="N643" s="28"/>
    </row>
    <row r="644" ht="16.5" customHeight="1">
      <c r="A644" s="35" t="s">
        <v>420</v>
      </c>
      <c r="B644" s="36">
        <v>44967.94743410879</v>
      </c>
      <c r="C644" s="35" t="s">
        <v>152</v>
      </c>
      <c r="D644" s="35" t="s">
        <v>76</v>
      </c>
      <c r="E644" s="35">
        <v>2023.0</v>
      </c>
      <c r="F644" s="43">
        <v>44967.94743410879</v>
      </c>
      <c r="G644" s="38">
        <v>2395.0</v>
      </c>
      <c r="H644" s="38">
        <v>2.0</v>
      </c>
      <c r="I644" s="38">
        <v>4.0</v>
      </c>
      <c r="J644" s="40"/>
      <c r="K644" s="35"/>
      <c r="L644" s="35" t="s">
        <v>330</v>
      </c>
      <c r="M644" s="35" t="s">
        <v>331</v>
      </c>
      <c r="N644" s="35"/>
    </row>
    <row r="645" ht="16.5" customHeight="1">
      <c r="A645" s="28" t="s">
        <v>473</v>
      </c>
      <c r="B645" s="29">
        <v>44967.9689424074</v>
      </c>
      <c r="C645" s="28" t="s">
        <v>152</v>
      </c>
      <c r="D645" s="28" t="s">
        <v>76</v>
      </c>
      <c r="E645" s="28">
        <v>2023.0</v>
      </c>
      <c r="F645" s="42">
        <v>44967.9689424074</v>
      </c>
      <c r="G645" s="31">
        <v>2360.0</v>
      </c>
      <c r="H645" s="31">
        <v>2.0</v>
      </c>
      <c r="I645" s="31">
        <v>4.0</v>
      </c>
      <c r="J645" s="33"/>
      <c r="K645" s="28"/>
      <c r="L645" s="28" t="s">
        <v>330</v>
      </c>
      <c r="M645" s="28" t="s">
        <v>331</v>
      </c>
      <c r="N645" s="28"/>
    </row>
    <row r="646" ht="16.5" customHeight="1">
      <c r="A646" s="35" t="s">
        <v>421</v>
      </c>
      <c r="B646" s="36">
        <v>44967.97825936343</v>
      </c>
      <c r="C646" s="35" t="s">
        <v>152</v>
      </c>
      <c r="D646" s="35" t="s">
        <v>76</v>
      </c>
      <c r="E646" s="35">
        <v>2023.0</v>
      </c>
      <c r="F646" s="43">
        <v>44967.97825936343</v>
      </c>
      <c r="G646" s="38">
        <v>2421.0</v>
      </c>
      <c r="H646" s="38">
        <v>3.0</v>
      </c>
      <c r="I646" s="38">
        <v>4.0</v>
      </c>
      <c r="J646" s="40"/>
      <c r="K646" s="35"/>
      <c r="L646" s="35" t="s">
        <v>330</v>
      </c>
      <c r="M646" s="35" t="s">
        <v>331</v>
      </c>
      <c r="N646" s="35"/>
    </row>
    <row r="647" ht="16.5" customHeight="1">
      <c r="A647" s="28" t="s">
        <v>422</v>
      </c>
      <c r="B647" s="29">
        <v>44968.00010119213</v>
      </c>
      <c r="C647" s="28" t="s">
        <v>155</v>
      </c>
      <c r="D647" s="28" t="s">
        <v>76</v>
      </c>
      <c r="E647" s="28">
        <v>2023.0</v>
      </c>
      <c r="F647" s="42">
        <v>44968.00010119213</v>
      </c>
      <c r="G647" s="31">
        <v>2381.0</v>
      </c>
      <c r="H647" s="31">
        <v>3.0</v>
      </c>
      <c r="I647" s="31">
        <v>4.0</v>
      </c>
      <c r="J647" s="33"/>
      <c r="K647" s="28"/>
      <c r="L647" s="28" t="s">
        <v>330</v>
      </c>
      <c r="M647" s="28" t="s">
        <v>331</v>
      </c>
      <c r="N647" s="28"/>
    </row>
    <row r="648" ht="16.5" customHeight="1">
      <c r="A648" s="35" t="s">
        <v>423</v>
      </c>
      <c r="B648" s="36">
        <v>44968.03608821759</v>
      </c>
      <c r="C648" s="35" t="s">
        <v>155</v>
      </c>
      <c r="D648" s="35" t="s">
        <v>76</v>
      </c>
      <c r="E648" s="35">
        <v>2023.0</v>
      </c>
      <c r="F648" s="43">
        <v>44968.03608821759</v>
      </c>
      <c r="G648" s="38">
        <v>2253.0</v>
      </c>
      <c r="H648" s="38">
        <v>3.0</v>
      </c>
      <c r="I648" s="38">
        <v>4.0</v>
      </c>
      <c r="J648" s="40"/>
      <c r="K648" s="35"/>
      <c r="L648" s="35" t="s">
        <v>330</v>
      </c>
      <c r="M648" s="35" t="s">
        <v>331</v>
      </c>
      <c r="N648" s="35"/>
    </row>
    <row r="649" ht="16.5" customHeight="1">
      <c r="A649" s="28" t="s">
        <v>335</v>
      </c>
      <c r="B649" s="29">
        <v>44968.056840150464</v>
      </c>
      <c r="C649" s="28" t="s">
        <v>155</v>
      </c>
      <c r="D649" s="28" t="s">
        <v>76</v>
      </c>
      <c r="E649" s="28">
        <v>2023.0</v>
      </c>
      <c r="F649" s="42">
        <v>44968.056840150464</v>
      </c>
      <c r="G649" s="31">
        <v>2456.0</v>
      </c>
      <c r="H649" s="31">
        <v>3.0</v>
      </c>
      <c r="I649" s="31">
        <v>4.0</v>
      </c>
      <c r="J649" s="33"/>
      <c r="K649" s="28"/>
      <c r="L649" s="28" t="s">
        <v>330</v>
      </c>
      <c r="M649" s="28" t="s">
        <v>331</v>
      </c>
      <c r="N649" s="28"/>
    </row>
    <row r="650" ht="16.5" customHeight="1">
      <c r="A650" s="35" t="s">
        <v>358</v>
      </c>
      <c r="B650" s="36">
        <v>44968.05717043982</v>
      </c>
      <c r="C650" s="35" t="s">
        <v>155</v>
      </c>
      <c r="D650" s="35" t="s">
        <v>76</v>
      </c>
      <c r="E650" s="35">
        <v>2023.0</v>
      </c>
      <c r="F650" s="43">
        <v>44968.05717043982</v>
      </c>
      <c r="G650" s="38">
        <v>2355.0</v>
      </c>
      <c r="H650" s="38">
        <v>3.0</v>
      </c>
      <c r="I650" s="38">
        <v>4.0</v>
      </c>
      <c r="J650" s="40"/>
      <c r="K650" s="35"/>
      <c r="L650" s="35" t="s">
        <v>330</v>
      </c>
      <c r="M650" s="35" t="s">
        <v>331</v>
      </c>
      <c r="N650" s="35"/>
    </row>
    <row r="651" ht="16.5" customHeight="1">
      <c r="A651" s="28" t="s">
        <v>378</v>
      </c>
      <c r="B651" s="29">
        <v>44968.06757483796</v>
      </c>
      <c r="C651" s="28" t="s">
        <v>155</v>
      </c>
      <c r="D651" s="28" t="s">
        <v>76</v>
      </c>
      <c r="E651" s="28">
        <v>2023.0</v>
      </c>
      <c r="F651" s="42">
        <v>44968.06757483796</v>
      </c>
      <c r="G651" s="31">
        <v>2419.0</v>
      </c>
      <c r="H651" s="31">
        <v>3.0</v>
      </c>
      <c r="I651" s="31">
        <v>4.0</v>
      </c>
      <c r="J651" s="33"/>
      <c r="K651" s="28"/>
      <c r="L651" s="28" t="s">
        <v>330</v>
      </c>
      <c r="M651" s="28" t="s">
        <v>331</v>
      </c>
      <c r="N651" s="28"/>
    </row>
    <row r="652" ht="16.5" customHeight="1">
      <c r="A652" s="35" t="s">
        <v>362</v>
      </c>
      <c r="B652" s="36">
        <v>44968.09017538195</v>
      </c>
      <c r="C652" s="35" t="s">
        <v>155</v>
      </c>
      <c r="D652" s="35" t="s">
        <v>76</v>
      </c>
      <c r="E652" s="35">
        <v>2023.0</v>
      </c>
      <c r="F652" s="43">
        <v>44968.09017538195</v>
      </c>
      <c r="G652" s="38">
        <v>2198.0</v>
      </c>
      <c r="H652" s="38">
        <v>3.0</v>
      </c>
      <c r="I652" s="38">
        <v>4.0</v>
      </c>
      <c r="J652" s="40"/>
      <c r="K652" s="35"/>
      <c r="L652" s="35" t="s">
        <v>330</v>
      </c>
      <c r="M652" s="35" t="s">
        <v>331</v>
      </c>
      <c r="N652" s="35"/>
    </row>
    <row r="653" ht="16.5" customHeight="1">
      <c r="A653" s="28" t="s">
        <v>446</v>
      </c>
      <c r="B653" s="29">
        <v>44968.090690833335</v>
      </c>
      <c r="C653" s="28" t="s">
        <v>155</v>
      </c>
      <c r="D653" s="28" t="s">
        <v>76</v>
      </c>
      <c r="E653" s="28">
        <v>2023.0</v>
      </c>
      <c r="F653" s="42">
        <v>44968.090690833335</v>
      </c>
      <c r="G653" s="31">
        <v>2469.0</v>
      </c>
      <c r="H653" s="31">
        <v>3.0</v>
      </c>
      <c r="I653" s="31">
        <v>4.0</v>
      </c>
      <c r="J653" s="33"/>
      <c r="K653" s="28"/>
      <c r="L653" s="28" t="s">
        <v>330</v>
      </c>
      <c r="M653" s="28" t="s">
        <v>331</v>
      </c>
      <c r="N653" s="28"/>
    </row>
    <row r="654" ht="16.5" customHeight="1">
      <c r="A654" s="35" t="s">
        <v>363</v>
      </c>
      <c r="B654" s="36">
        <v>44968.09562202546</v>
      </c>
      <c r="C654" s="35" t="s">
        <v>155</v>
      </c>
      <c r="D654" s="35" t="s">
        <v>76</v>
      </c>
      <c r="E654" s="35">
        <v>2023.0</v>
      </c>
      <c r="F654" s="43">
        <v>44968.09562202546</v>
      </c>
      <c r="G654" s="38">
        <v>2354.0</v>
      </c>
      <c r="H654" s="38">
        <v>3.0</v>
      </c>
      <c r="I654" s="38">
        <v>4.0</v>
      </c>
      <c r="J654" s="40"/>
      <c r="K654" s="35"/>
      <c r="L654" s="35" t="s">
        <v>330</v>
      </c>
      <c r="M654" s="35" t="s">
        <v>331</v>
      </c>
      <c r="N654" s="35"/>
    </row>
    <row r="655" ht="16.5" customHeight="1">
      <c r="A655" s="28" t="s">
        <v>400</v>
      </c>
      <c r="B655" s="29">
        <v>44968.12386305556</v>
      </c>
      <c r="C655" s="28" t="s">
        <v>155</v>
      </c>
      <c r="D655" s="28" t="s">
        <v>76</v>
      </c>
      <c r="E655" s="28">
        <v>2023.0</v>
      </c>
      <c r="F655" s="42">
        <v>44968.12386305556</v>
      </c>
      <c r="G655" s="31">
        <v>2201.0</v>
      </c>
      <c r="H655" s="31">
        <v>3.0</v>
      </c>
      <c r="I655" s="31">
        <v>4.0</v>
      </c>
      <c r="J655" s="33"/>
      <c r="K655" s="28"/>
      <c r="L655" s="28" t="s">
        <v>330</v>
      </c>
      <c r="M655" s="28" t="s">
        <v>331</v>
      </c>
      <c r="N655" s="28"/>
    </row>
    <row r="656" ht="16.5" customHeight="1">
      <c r="A656" s="35" t="s">
        <v>376</v>
      </c>
      <c r="B656" s="36">
        <v>44968.13884068287</v>
      </c>
      <c r="C656" s="35" t="s">
        <v>155</v>
      </c>
      <c r="D656" s="35" t="s">
        <v>76</v>
      </c>
      <c r="E656" s="35">
        <v>2023.0</v>
      </c>
      <c r="F656" s="43">
        <v>44968.13884068287</v>
      </c>
      <c r="G656" s="38">
        <v>2424.0</v>
      </c>
      <c r="H656" s="38">
        <v>3.0</v>
      </c>
      <c r="I656" s="38">
        <v>4.0</v>
      </c>
      <c r="J656" s="40"/>
      <c r="K656" s="35"/>
      <c r="L656" s="35" t="s">
        <v>330</v>
      </c>
      <c r="M656" s="35" t="s">
        <v>331</v>
      </c>
      <c r="N656" s="35"/>
    </row>
    <row r="657" ht="16.5" customHeight="1">
      <c r="A657" s="28" t="s">
        <v>478</v>
      </c>
      <c r="B657" s="29">
        <v>44968.64145127315</v>
      </c>
      <c r="C657" s="28" t="s">
        <v>155</v>
      </c>
      <c r="D657" s="28" t="s">
        <v>76</v>
      </c>
      <c r="E657" s="28">
        <v>2023.0</v>
      </c>
      <c r="F657" s="42">
        <v>44968.64145127315</v>
      </c>
      <c r="G657" s="31">
        <v>2397.0</v>
      </c>
      <c r="H657" s="31">
        <v>2.0</v>
      </c>
      <c r="I657" s="31">
        <v>4.0</v>
      </c>
      <c r="J657" s="33"/>
      <c r="K657" s="28"/>
      <c r="L657" s="28" t="s">
        <v>330</v>
      </c>
      <c r="M657" s="28" t="s">
        <v>331</v>
      </c>
      <c r="N657" s="28"/>
    </row>
    <row r="658" ht="16.5" customHeight="1">
      <c r="A658" s="35" t="s">
        <v>349</v>
      </c>
      <c r="B658" s="36">
        <v>44968.70064630787</v>
      </c>
      <c r="C658" s="35" t="s">
        <v>155</v>
      </c>
      <c r="D658" s="35" t="s">
        <v>76</v>
      </c>
      <c r="E658" s="35">
        <v>2023.0</v>
      </c>
      <c r="F658" s="43">
        <v>44968.70064630787</v>
      </c>
      <c r="G658" s="38">
        <v>2188.0</v>
      </c>
      <c r="H658" s="38">
        <v>2.0</v>
      </c>
      <c r="I658" s="38">
        <v>4.0</v>
      </c>
      <c r="J658" s="40"/>
      <c r="K658" s="35"/>
      <c r="L658" s="35" t="s">
        <v>330</v>
      </c>
      <c r="M658" s="35" t="s">
        <v>331</v>
      </c>
      <c r="N658" s="35"/>
    </row>
    <row r="659" ht="16.5" customHeight="1">
      <c r="A659" s="28" t="s">
        <v>479</v>
      </c>
      <c r="B659" s="29">
        <v>44968.701342546294</v>
      </c>
      <c r="C659" s="28" t="s">
        <v>155</v>
      </c>
      <c r="D659" s="28" t="s">
        <v>76</v>
      </c>
      <c r="E659" s="28">
        <v>2023.0</v>
      </c>
      <c r="F659" s="42">
        <v>44968.701342546294</v>
      </c>
      <c r="G659" s="31">
        <v>2378.0</v>
      </c>
      <c r="H659" s="31">
        <v>3.0</v>
      </c>
      <c r="I659" s="31">
        <v>4.0</v>
      </c>
      <c r="J659" s="33"/>
      <c r="K659" s="28"/>
      <c r="L659" s="28" t="s">
        <v>330</v>
      </c>
      <c r="M659" s="28" t="s">
        <v>331</v>
      </c>
      <c r="N659" s="28"/>
    </row>
    <row r="660" ht="16.5" customHeight="1">
      <c r="A660" s="35" t="s">
        <v>349</v>
      </c>
      <c r="B660" s="36">
        <v>44970.86513748842</v>
      </c>
      <c r="C660" s="35" t="s">
        <v>122</v>
      </c>
      <c r="D660" s="35" t="s">
        <v>76</v>
      </c>
      <c r="E660" s="35">
        <v>2023.0</v>
      </c>
      <c r="F660" s="43">
        <v>44970.86513748842</v>
      </c>
      <c r="G660" s="38">
        <v>2188.0</v>
      </c>
      <c r="H660" s="38">
        <v>2.0</v>
      </c>
      <c r="I660" s="38">
        <v>4.0</v>
      </c>
      <c r="J660" s="40"/>
      <c r="K660" s="35"/>
      <c r="L660" s="35" t="s">
        <v>330</v>
      </c>
      <c r="M660" s="35" t="s">
        <v>331</v>
      </c>
      <c r="N660" s="35"/>
    </row>
    <row r="661" ht="16.5" customHeight="1">
      <c r="A661" s="28" t="s">
        <v>349</v>
      </c>
      <c r="B661" s="29">
        <v>44970.86558453704</v>
      </c>
      <c r="C661" s="28" t="s">
        <v>122</v>
      </c>
      <c r="D661" s="28" t="s">
        <v>76</v>
      </c>
      <c r="E661" s="28">
        <v>2023.0</v>
      </c>
      <c r="F661" s="42">
        <v>44970.86558453704</v>
      </c>
      <c r="G661" s="31">
        <v>2188.0</v>
      </c>
      <c r="H661" s="31">
        <v>2.0</v>
      </c>
      <c r="I661" s="31">
        <v>4.0</v>
      </c>
      <c r="J661" s="33"/>
      <c r="K661" s="28"/>
      <c r="L661" s="28" t="s">
        <v>330</v>
      </c>
      <c r="M661" s="28" t="s">
        <v>331</v>
      </c>
      <c r="N661" s="28"/>
    </row>
    <row r="662" ht="16.5" customHeight="1">
      <c r="A662" s="35" t="s">
        <v>418</v>
      </c>
      <c r="B662" s="36">
        <v>44970.9019471412</v>
      </c>
      <c r="C662" s="35" t="s">
        <v>122</v>
      </c>
      <c r="D662" s="35" t="s">
        <v>76</v>
      </c>
      <c r="E662" s="35">
        <v>2023.0</v>
      </c>
      <c r="F662" s="43">
        <v>44970.9019471412</v>
      </c>
      <c r="G662" s="38">
        <v>2450.0</v>
      </c>
      <c r="H662" s="38">
        <v>2.0</v>
      </c>
      <c r="I662" s="38">
        <v>4.0</v>
      </c>
      <c r="J662" s="40"/>
      <c r="K662" s="35"/>
      <c r="L662" s="35" t="s">
        <v>330</v>
      </c>
      <c r="M662" s="35" t="s">
        <v>331</v>
      </c>
      <c r="N662" s="35"/>
    </row>
    <row r="663" ht="16.5" customHeight="1">
      <c r="A663" s="28" t="s">
        <v>334</v>
      </c>
      <c r="B663" s="29">
        <v>44970.916717939814</v>
      </c>
      <c r="C663" s="28" t="s">
        <v>122</v>
      </c>
      <c r="D663" s="28" t="s">
        <v>76</v>
      </c>
      <c r="E663" s="28">
        <v>2023.0</v>
      </c>
      <c r="F663" s="42">
        <v>44970.916717939814</v>
      </c>
      <c r="G663" s="31">
        <v>951.0</v>
      </c>
      <c r="H663" s="31">
        <v>2.0</v>
      </c>
      <c r="I663" s="31">
        <v>4.0</v>
      </c>
      <c r="J663" s="33"/>
      <c r="K663" s="28"/>
      <c r="L663" s="28" t="s">
        <v>330</v>
      </c>
      <c r="M663" s="28" t="s">
        <v>331</v>
      </c>
      <c r="N663" s="28"/>
    </row>
    <row r="664" ht="16.5" customHeight="1">
      <c r="A664" s="35" t="s">
        <v>368</v>
      </c>
      <c r="B664" s="36">
        <v>44970.92486585648</v>
      </c>
      <c r="C664" s="35" t="s">
        <v>122</v>
      </c>
      <c r="D664" s="35" t="s">
        <v>76</v>
      </c>
      <c r="E664" s="35">
        <v>2023.0</v>
      </c>
      <c r="F664" s="43">
        <v>44970.92486585648</v>
      </c>
      <c r="G664" s="38">
        <v>2239.0</v>
      </c>
      <c r="H664" s="38">
        <v>2.0</v>
      </c>
      <c r="I664" s="38">
        <v>4.0</v>
      </c>
      <c r="J664" s="40"/>
      <c r="K664" s="35"/>
      <c r="L664" s="35" t="s">
        <v>330</v>
      </c>
      <c r="M664" s="35" t="s">
        <v>331</v>
      </c>
      <c r="N664" s="35"/>
    </row>
    <row r="665" ht="16.5" customHeight="1">
      <c r="A665" s="28" t="s">
        <v>480</v>
      </c>
      <c r="B665" s="29">
        <v>44970.94758628472</v>
      </c>
      <c r="C665" s="28" t="s">
        <v>122</v>
      </c>
      <c r="D665" s="28" t="s">
        <v>76</v>
      </c>
      <c r="E665" s="28">
        <v>2023.0</v>
      </c>
      <c r="F665" s="42">
        <v>44970.94758628472</v>
      </c>
      <c r="G665" s="31">
        <v>2635.0</v>
      </c>
      <c r="H665" s="31">
        <v>2.0</v>
      </c>
      <c r="I665" s="31">
        <v>4.0</v>
      </c>
      <c r="J665" s="33"/>
      <c r="K665" s="28"/>
      <c r="L665" s="28" t="s">
        <v>330</v>
      </c>
      <c r="M665" s="28" t="s">
        <v>331</v>
      </c>
      <c r="N665" s="28"/>
    </row>
    <row r="666" ht="16.5" customHeight="1">
      <c r="A666" s="35" t="s">
        <v>481</v>
      </c>
      <c r="B666" s="36">
        <v>44970.97028649306</v>
      </c>
      <c r="C666" s="35" t="s">
        <v>122</v>
      </c>
      <c r="D666" s="35" t="s">
        <v>76</v>
      </c>
      <c r="E666" s="35">
        <v>2023.0</v>
      </c>
      <c r="F666" s="43">
        <v>44970.97028649306</v>
      </c>
      <c r="G666" s="38">
        <v>2197.0</v>
      </c>
      <c r="H666" s="38">
        <v>2.0</v>
      </c>
      <c r="I666" s="38">
        <v>4.0</v>
      </c>
      <c r="J666" s="40"/>
      <c r="K666" s="35"/>
      <c r="L666" s="35" t="s">
        <v>330</v>
      </c>
      <c r="M666" s="35" t="s">
        <v>331</v>
      </c>
      <c r="N666" s="35"/>
    </row>
    <row r="667" ht="16.5" customHeight="1">
      <c r="A667" s="28" t="s">
        <v>356</v>
      </c>
      <c r="B667" s="29">
        <v>44970.97071699074</v>
      </c>
      <c r="C667" s="28" t="s">
        <v>122</v>
      </c>
      <c r="D667" s="28" t="s">
        <v>76</v>
      </c>
      <c r="E667" s="28">
        <v>2023.0</v>
      </c>
      <c r="F667" s="42">
        <v>44970.97071699074</v>
      </c>
      <c r="G667" s="31">
        <v>2676.0</v>
      </c>
      <c r="H667" s="31">
        <v>2.0</v>
      </c>
      <c r="I667" s="31">
        <v>4.0</v>
      </c>
      <c r="J667" s="33"/>
      <c r="K667" s="28"/>
      <c r="L667" s="28" t="s">
        <v>330</v>
      </c>
      <c r="M667" s="28" t="s">
        <v>331</v>
      </c>
      <c r="N667" s="28"/>
    </row>
    <row r="668" ht="16.5" customHeight="1">
      <c r="A668" s="35" t="s">
        <v>482</v>
      </c>
      <c r="B668" s="36">
        <v>44970.99058199074</v>
      </c>
      <c r="C668" s="35" t="s">
        <v>122</v>
      </c>
      <c r="D668" s="35" t="s">
        <v>76</v>
      </c>
      <c r="E668" s="35">
        <v>2023.0</v>
      </c>
      <c r="F668" s="43">
        <v>44970.99058199074</v>
      </c>
      <c r="G668" s="38">
        <v>2508.0</v>
      </c>
      <c r="H668" s="38">
        <v>2.0</v>
      </c>
      <c r="I668" s="38">
        <v>4.0</v>
      </c>
      <c r="J668" s="40"/>
      <c r="K668" s="35"/>
      <c r="L668" s="35" t="s">
        <v>330</v>
      </c>
      <c r="M668" s="35" t="s">
        <v>331</v>
      </c>
      <c r="N668" s="35"/>
    </row>
    <row r="669" ht="16.5" customHeight="1">
      <c r="A669" s="28" t="s">
        <v>483</v>
      </c>
      <c r="B669" s="29">
        <v>44971.0181502662</v>
      </c>
      <c r="C669" s="28" t="s">
        <v>116</v>
      </c>
      <c r="D669" s="28" t="s">
        <v>76</v>
      </c>
      <c r="E669" s="28">
        <v>2023.0</v>
      </c>
      <c r="F669" s="42">
        <v>44971.0181502662</v>
      </c>
      <c r="G669" s="31">
        <v>2435.0</v>
      </c>
      <c r="H669" s="31">
        <v>2.0</v>
      </c>
      <c r="I669" s="31">
        <v>4.0</v>
      </c>
      <c r="J669" s="33"/>
      <c r="K669" s="28"/>
      <c r="L669" s="28" t="s">
        <v>330</v>
      </c>
      <c r="M669" s="28" t="s">
        <v>331</v>
      </c>
      <c r="N669" s="28"/>
    </row>
    <row r="670" ht="16.5" customHeight="1">
      <c r="A670" s="35" t="s">
        <v>382</v>
      </c>
      <c r="B670" s="36">
        <v>44971.03163020834</v>
      </c>
      <c r="C670" s="35" t="s">
        <v>116</v>
      </c>
      <c r="D670" s="35" t="s">
        <v>76</v>
      </c>
      <c r="E670" s="35">
        <v>2023.0</v>
      </c>
      <c r="F670" s="43">
        <v>44971.03163020834</v>
      </c>
      <c r="G670" s="38">
        <v>2460.0</v>
      </c>
      <c r="H670" s="38">
        <v>2.0</v>
      </c>
      <c r="I670" s="38">
        <v>4.0</v>
      </c>
      <c r="J670" s="40"/>
      <c r="K670" s="35"/>
      <c r="L670" s="35" t="s">
        <v>330</v>
      </c>
      <c r="M670" s="35" t="s">
        <v>331</v>
      </c>
      <c r="N670" s="35"/>
    </row>
    <row r="671" ht="16.5" customHeight="1">
      <c r="A671" s="28" t="s">
        <v>346</v>
      </c>
      <c r="B671" s="29">
        <v>44971.03714315972</v>
      </c>
      <c r="C671" s="28" t="s">
        <v>116</v>
      </c>
      <c r="D671" s="28" t="s">
        <v>76</v>
      </c>
      <c r="E671" s="28">
        <v>2023.0</v>
      </c>
      <c r="F671" s="42">
        <v>44971.03714315972</v>
      </c>
      <c r="G671" s="31">
        <v>2464.0</v>
      </c>
      <c r="H671" s="31">
        <v>2.0</v>
      </c>
      <c r="I671" s="31">
        <v>4.0</v>
      </c>
      <c r="J671" s="33"/>
      <c r="K671" s="28"/>
      <c r="L671" s="28" t="s">
        <v>330</v>
      </c>
      <c r="M671" s="28" t="s">
        <v>331</v>
      </c>
      <c r="N671" s="28"/>
    </row>
    <row r="672" ht="16.5" customHeight="1">
      <c r="A672" s="35" t="s">
        <v>380</v>
      </c>
      <c r="B672" s="36">
        <v>44971.04601773148</v>
      </c>
      <c r="C672" s="35" t="s">
        <v>116</v>
      </c>
      <c r="D672" s="35" t="s">
        <v>76</v>
      </c>
      <c r="E672" s="35">
        <v>2023.0</v>
      </c>
      <c r="F672" s="43">
        <v>44971.04601773148</v>
      </c>
      <c r="G672" s="38">
        <v>2387.0</v>
      </c>
      <c r="H672" s="38">
        <v>2.0</v>
      </c>
      <c r="I672" s="38">
        <v>4.0</v>
      </c>
      <c r="J672" s="40"/>
      <c r="K672" s="35"/>
      <c r="L672" s="35" t="s">
        <v>330</v>
      </c>
      <c r="M672" s="35" t="s">
        <v>331</v>
      </c>
      <c r="N672" s="35"/>
    </row>
    <row r="673" ht="16.5" customHeight="1">
      <c r="A673" s="28" t="s">
        <v>332</v>
      </c>
      <c r="B673" s="29">
        <v>44971.05395075231</v>
      </c>
      <c r="C673" s="28" t="s">
        <v>116</v>
      </c>
      <c r="D673" s="28" t="s">
        <v>76</v>
      </c>
      <c r="E673" s="28">
        <v>2023.0</v>
      </c>
      <c r="F673" s="42">
        <v>44971.05395075231</v>
      </c>
      <c r="G673" s="31">
        <v>2660.0</v>
      </c>
      <c r="H673" s="31">
        <v>2.0</v>
      </c>
      <c r="I673" s="31">
        <v>4.0</v>
      </c>
      <c r="J673" s="33"/>
      <c r="K673" s="28"/>
      <c r="L673" s="28" t="s">
        <v>330</v>
      </c>
      <c r="M673" s="28" t="s">
        <v>331</v>
      </c>
      <c r="N673" s="28"/>
    </row>
    <row r="674" ht="16.5" customHeight="1">
      <c r="A674" s="35" t="s">
        <v>371</v>
      </c>
      <c r="B674" s="36">
        <v>44971.10316803241</v>
      </c>
      <c r="C674" s="35" t="s">
        <v>116</v>
      </c>
      <c r="D674" s="35" t="s">
        <v>76</v>
      </c>
      <c r="E674" s="35">
        <v>2023.0</v>
      </c>
      <c r="F674" s="43">
        <v>44971.10316803241</v>
      </c>
      <c r="G674" s="38">
        <v>2672.0</v>
      </c>
      <c r="H674" s="38">
        <v>2.0</v>
      </c>
      <c r="I674" s="38">
        <v>4.0</v>
      </c>
      <c r="J674" s="40"/>
      <c r="K674" s="35"/>
      <c r="L674" s="35" t="s">
        <v>330</v>
      </c>
      <c r="M674" s="35" t="s">
        <v>331</v>
      </c>
      <c r="N674" s="35"/>
    </row>
    <row r="675" ht="16.5" customHeight="1">
      <c r="A675" s="28" t="s">
        <v>424</v>
      </c>
      <c r="B675" s="29">
        <v>44971.11201550926</v>
      </c>
      <c r="C675" s="28" t="s">
        <v>116</v>
      </c>
      <c r="D675" s="28" t="s">
        <v>76</v>
      </c>
      <c r="E675" s="28">
        <v>2023.0</v>
      </c>
      <c r="F675" s="42">
        <v>44971.11201550926</v>
      </c>
      <c r="G675" s="31">
        <v>2206.0</v>
      </c>
      <c r="H675" s="31">
        <v>2.0</v>
      </c>
      <c r="I675" s="31">
        <v>4.0</v>
      </c>
      <c r="J675" s="33"/>
      <c r="K675" s="28"/>
      <c r="L675" s="28" t="s">
        <v>330</v>
      </c>
      <c r="M675" s="28" t="s">
        <v>331</v>
      </c>
      <c r="N675" s="28"/>
    </row>
    <row r="676" ht="16.5" customHeight="1">
      <c r="A676" s="35" t="s">
        <v>400</v>
      </c>
      <c r="B676" s="36">
        <v>44971.12346530093</v>
      </c>
      <c r="C676" s="35" t="s">
        <v>116</v>
      </c>
      <c r="D676" s="35" t="s">
        <v>76</v>
      </c>
      <c r="E676" s="35">
        <v>2023.0</v>
      </c>
      <c r="F676" s="43">
        <v>44971.12346530093</v>
      </c>
      <c r="G676" s="38">
        <v>2201.0</v>
      </c>
      <c r="H676" s="38">
        <v>2.0</v>
      </c>
      <c r="I676" s="38">
        <v>4.0</v>
      </c>
      <c r="J676" s="40"/>
      <c r="K676" s="35"/>
      <c r="L676" s="35" t="s">
        <v>330</v>
      </c>
      <c r="M676" s="35" t="s">
        <v>331</v>
      </c>
      <c r="N676" s="35"/>
    </row>
    <row r="677" ht="16.5" customHeight="1">
      <c r="A677" s="28" t="s">
        <v>329</v>
      </c>
      <c r="B677" s="29">
        <v>44971.12626503472</v>
      </c>
      <c r="C677" s="28" t="s">
        <v>116</v>
      </c>
      <c r="D677" s="28" t="s">
        <v>76</v>
      </c>
      <c r="E677" s="28">
        <v>2023.0</v>
      </c>
      <c r="F677" s="42">
        <v>44971.12626503472</v>
      </c>
      <c r="G677" s="31">
        <v>2196.0</v>
      </c>
      <c r="H677" s="31">
        <v>2.0</v>
      </c>
      <c r="I677" s="31">
        <v>4.0</v>
      </c>
      <c r="J677" s="33"/>
      <c r="K677" s="28"/>
      <c r="L677" s="28" t="s">
        <v>330</v>
      </c>
      <c r="M677" s="28" t="s">
        <v>331</v>
      </c>
      <c r="N677" s="28"/>
    </row>
    <row r="678" ht="16.5" customHeight="1">
      <c r="A678" s="35" t="s">
        <v>449</v>
      </c>
      <c r="B678" s="36">
        <v>44971.136957731476</v>
      </c>
      <c r="C678" s="35" t="s">
        <v>116</v>
      </c>
      <c r="D678" s="35" t="s">
        <v>76</v>
      </c>
      <c r="E678" s="35">
        <v>2023.0</v>
      </c>
      <c r="F678" s="43">
        <v>44971.136957731476</v>
      </c>
      <c r="G678" s="38">
        <v>2366.0</v>
      </c>
      <c r="H678" s="38">
        <v>2.0</v>
      </c>
      <c r="I678" s="38">
        <v>4.0</v>
      </c>
      <c r="J678" s="40"/>
      <c r="K678" s="35"/>
      <c r="L678" s="35" t="s">
        <v>330</v>
      </c>
      <c r="M678" s="35" t="s">
        <v>331</v>
      </c>
      <c r="N678" s="35"/>
    </row>
    <row r="679" ht="16.5" customHeight="1">
      <c r="A679" s="28" t="s">
        <v>355</v>
      </c>
      <c r="B679" s="29">
        <v>44971.15083400463</v>
      </c>
      <c r="C679" s="28" t="s">
        <v>116</v>
      </c>
      <c r="D679" s="28" t="s">
        <v>76</v>
      </c>
      <c r="E679" s="28">
        <v>2023.0</v>
      </c>
      <c r="F679" s="42">
        <v>44971.15083400463</v>
      </c>
      <c r="G679" s="31">
        <v>2367.0</v>
      </c>
      <c r="H679" s="31">
        <v>2.0</v>
      </c>
      <c r="I679" s="31">
        <v>4.0</v>
      </c>
      <c r="J679" s="33"/>
      <c r="K679" s="28"/>
      <c r="L679" s="28" t="s">
        <v>330</v>
      </c>
      <c r="M679" s="28" t="s">
        <v>331</v>
      </c>
      <c r="N679" s="28"/>
    </row>
    <row r="680" ht="16.5" customHeight="1">
      <c r="A680" s="35" t="s">
        <v>406</v>
      </c>
      <c r="B680" s="36">
        <v>44971.15981997685</v>
      </c>
      <c r="C680" s="35" t="s">
        <v>116</v>
      </c>
      <c r="D680" s="35" t="s">
        <v>76</v>
      </c>
      <c r="E680" s="35">
        <v>2023.0</v>
      </c>
      <c r="F680" s="43">
        <v>44971.15981997685</v>
      </c>
      <c r="G680" s="38">
        <v>2422.0</v>
      </c>
      <c r="H680" s="38">
        <v>2.0</v>
      </c>
      <c r="I680" s="38">
        <v>4.0</v>
      </c>
      <c r="J680" s="40"/>
      <c r="K680" s="35"/>
      <c r="L680" s="35" t="s">
        <v>330</v>
      </c>
      <c r="M680" s="35" t="s">
        <v>331</v>
      </c>
      <c r="N680" s="35"/>
    </row>
    <row r="681" ht="16.5" customHeight="1">
      <c r="A681" s="28" t="s">
        <v>374</v>
      </c>
      <c r="B681" s="29">
        <v>44971.16895623843</v>
      </c>
      <c r="C681" s="28" t="s">
        <v>116</v>
      </c>
      <c r="D681" s="28" t="s">
        <v>76</v>
      </c>
      <c r="E681" s="28">
        <v>2023.0</v>
      </c>
      <c r="F681" s="42">
        <v>44971.16895623843</v>
      </c>
      <c r="G681" s="31">
        <v>2317.0</v>
      </c>
      <c r="H681" s="31">
        <v>2.0</v>
      </c>
      <c r="I681" s="31">
        <v>4.0</v>
      </c>
      <c r="J681" s="33"/>
      <c r="K681" s="28"/>
      <c r="L681" s="28" t="s">
        <v>330</v>
      </c>
      <c r="M681" s="28" t="s">
        <v>331</v>
      </c>
      <c r="N681" s="28"/>
    </row>
    <row r="682" ht="16.5" customHeight="1">
      <c r="A682" s="35" t="s">
        <v>430</v>
      </c>
      <c r="B682" s="36">
        <v>44971.173335590276</v>
      </c>
      <c r="C682" s="35" t="s">
        <v>116</v>
      </c>
      <c r="D682" s="35" t="s">
        <v>76</v>
      </c>
      <c r="E682" s="35">
        <v>2023.0</v>
      </c>
      <c r="F682" s="43">
        <v>44971.173335590276</v>
      </c>
      <c r="G682" s="38">
        <v>2238.0</v>
      </c>
      <c r="H682" s="38">
        <v>2.0</v>
      </c>
      <c r="I682" s="38">
        <v>4.0</v>
      </c>
      <c r="J682" s="40"/>
      <c r="K682" s="35"/>
      <c r="L682" s="35" t="s">
        <v>330</v>
      </c>
      <c r="M682" s="35" t="s">
        <v>331</v>
      </c>
      <c r="N682" s="35"/>
    </row>
    <row r="683" ht="16.5" customHeight="1">
      <c r="A683" s="28" t="s">
        <v>354</v>
      </c>
      <c r="B683" s="29">
        <v>44971.18170351852</v>
      </c>
      <c r="C683" s="28" t="s">
        <v>116</v>
      </c>
      <c r="D683" s="28" t="s">
        <v>76</v>
      </c>
      <c r="E683" s="28">
        <v>2023.0</v>
      </c>
      <c r="F683" s="42">
        <v>44971.18170351852</v>
      </c>
      <c r="G683" s="31">
        <v>2241.0</v>
      </c>
      <c r="H683" s="31">
        <v>2.0</v>
      </c>
      <c r="I683" s="31">
        <v>4.0</v>
      </c>
      <c r="J683" s="33"/>
      <c r="K683" s="28"/>
      <c r="L683" s="28" t="s">
        <v>330</v>
      </c>
      <c r="M683" s="28" t="s">
        <v>331</v>
      </c>
      <c r="N683" s="28"/>
    </row>
    <row r="684" ht="16.5" customHeight="1">
      <c r="A684" s="35" t="s">
        <v>484</v>
      </c>
      <c r="B684" s="36">
        <v>44971.18552481481</v>
      </c>
      <c r="C684" s="35" t="s">
        <v>116</v>
      </c>
      <c r="D684" s="35" t="s">
        <v>76</v>
      </c>
      <c r="E684" s="35">
        <v>2023.0</v>
      </c>
      <c r="F684" s="43">
        <v>44971.18552481481</v>
      </c>
      <c r="G684" s="38">
        <v>2513.0</v>
      </c>
      <c r="H684" s="38">
        <v>2.0</v>
      </c>
      <c r="I684" s="38">
        <v>4.0</v>
      </c>
      <c r="J684" s="40"/>
      <c r="K684" s="35"/>
      <c r="L684" s="35" t="s">
        <v>330</v>
      </c>
      <c r="M684" s="35" t="s">
        <v>331</v>
      </c>
      <c r="N684" s="35"/>
    </row>
    <row r="685" ht="16.5" customHeight="1">
      <c r="A685" s="28" t="s">
        <v>485</v>
      </c>
      <c r="B685" s="29">
        <v>44971.191029340276</v>
      </c>
      <c r="C685" s="28" t="s">
        <v>116</v>
      </c>
      <c r="D685" s="28" t="s">
        <v>76</v>
      </c>
      <c r="E685" s="28">
        <v>2023.0</v>
      </c>
      <c r="F685" s="42">
        <v>44971.191029340276</v>
      </c>
      <c r="G685" s="31">
        <v>2244.0</v>
      </c>
      <c r="H685" s="31">
        <v>3.0</v>
      </c>
      <c r="I685" s="31">
        <v>4.0</v>
      </c>
      <c r="J685" s="33"/>
      <c r="K685" s="28"/>
      <c r="L685" s="28" t="s">
        <v>330</v>
      </c>
      <c r="M685" s="28" t="s">
        <v>331</v>
      </c>
      <c r="N685" s="28"/>
    </row>
    <row r="686" ht="16.5" customHeight="1">
      <c r="A686" s="35" t="s">
        <v>401</v>
      </c>
      <c r="B686" s="36">
        <v>44971.33061738426</v>
      </c>
      <c r="C686" s="35" t="s">
        <v>116</v>
      </c>
      <c r="D686" s="35" t="s">
        <v>76</v>
      </c>
      <c r="E686" s="35">
        <v>2023.0</v>
      </c>
      <c r="F686" s="43">
        <v>44971.33061738426</v>
      </c>
      <c r="G686" s="38">
        <v>2666.0</v>
      </c>
      <c r="H686" s="38">
        <v>2.0</v>
      </c>
      <c r="I686" s="38">
        <v>5.0</v>
      </c>
      <c r="J686" s="40"/>
      <c r="K686" s="35"/>
      <c r="L686" s="35" t="s">
        <v>330</v>
      </c>
      <c r="M686" s="35" t="s">
        <v>331</v>
      </c>
      <c r="N686" s="35"/>
    </row>
    <row r="687" ht="16.5" customHeight="1">
      <c r="A687" s="28" t="s">
        <v>391</v>
      </c>
      <c r="B687" s="29">
        <v>44971.331808449075</v>
      </c>
      <c r="C687" s="28" t="s">
        <v>116</v>
      </c>
      <c r="D687" s="28" t="s">
        <v>76</v>
      </c>
      <c r="E687" s="28">
        <v>2023.0</v>
      </c>
      <c r="F687" s="42">
        <v>44971.331808449075</v>
      </c>
      <c r="G687" s="31">
        <v>2275.0</v>
      </c>
      <c r="H687" s="31">
        <v>2.0</v>
      </c>
      <c r="I687" s="31">
        <v>5.0</v>
      </c>
      <c r="J687" s="33"/>
      <c r="K687" s="28"/>
      <c r="L687" s="28" t="s">
        <v>330</v>
      </c>
      <c r="M687" s="28" t="s">
        <v>331</v>
      </c>
      <c r="N687" s="28"/>
    </row>
    <row r="688" ht="16.5" customHeight="1">
      <c r="A688" s="35" t="s">
        <v>441</v>
      </c>
      <c r="B688" s="36">
        <v>44971.36682297454</v>
      </c>
      <c r="C688" s="35" t="s">
        <v>116</v>
      </c>
      <c r="D688" s="35" t="s">
        <v>76</v>
      </c>
      <c r="E688" s="35">
        <v>2023.0</v>
      </c>
      <c r="F688" s="43">
        <v>44971.36682297454</v>
      </c>
      <c r="G688" s="38">
        <v>2217.0</v>
      </c>
      <c r="H688" s="38">
        <v>2.0</v>
      </c>
      <c r="I688" s="38">
        <v>5.0</v>
      </c>
      <c r="J688" s="40"/>
      <c r="K688" s="35"/>
      <c r="L688" s="35" t="s">
        <v>330</v>
      </c>
      <c r="M688" s="35" t="s">
        <v>331</v>
      </c>
      <c r="N688" s="35"/>
    </row>
    <row r="689" ht="16.5" customHeight="1">
      <c r="A689" s="28" t="s">
        <v>486</v>
      </c>
      <c r="B689" s="29">
        <v>44971.38336891204</v>
      </c>
      <c r="C689" s="28" t="s">
        <v>116</v>
      </c>
      <c r="D689" s="28" t="s">
        <v>76</v>
      </c>
      <c r="E689" s="28">
        <v>2023.0</v>
      </c>
      <c r="F689" s="42">
        <v>44971.38336891204</v>
      </c>
      <c r="G689" s="31">
        <v>2262.0</v>
      </c>
      <c r="H689" s="31">
        <v>1.0</v>
      </c>
      <c r="I689" s="31">
        <v>5.0</v>
      </c>
      <c r="J689" s="33"/>
      <c r="K689" s="28"/>
      <c r="L689" s="28" t="s">
        <v>330</v>
      </c>
      <c r="M689" s="28" t="s">
        <v>331</v>
      </c>
      <c r="N689" s="28"/>
    </row>
    <row r="690" ht="16.5" customHeight="1">
      <c r="A690" s="35" t="s">
        <v>487</v>
      </c>
      <c r="B690" s="36">
        <v>44971.420209641205</v>
      </c>
      <c r="C690" s="35" t="s">
        <v>116</v>
      </c>
      <c r="D690" s="35" t="s">
        <v>76</v>
      </c>
      <c r="E690" s="35">
        <v>2023.0</v>
      </c>
      <c r="F690" s="43">
        <v>44971.420209641205</v>
      </c>
      <c r="G690" s="38" t="s">
        <v>488</v>
      </c>
      <c r="H690" s="38">
        <v>1.0</v>
      </c>
      <c r="I690" s="35"/>
      <c r="J690" s="35"/>
      <c r="K690" s="35"/>
      <c r="L690" s="35" t="s">
        <v>330</v>
      </c>
      <c r="M690" s="35" t="s">
        <v>331</v>
      </c>
      <c r="N690" s="35"/>
    </row>
    <row r="691" ht="16.5" customHeight="1">
      <c r="A691" s="28" t="s">
        <v>489</v>
      </c>
      <c r="B691" s="29">
        <v>44971.87718935186</v>
      </c>
      <c r="C691" s="28" t="s">
        <v>116</v>
      </c>
      <c r="D691" s="28" t="s">
        <v>76</v>
      </c>
      <c r="E691" s="28">
        <v>2023.0</v>
      </c>
      <c r="F691" s="42">
        <v>44971.87718935186</v>
      </c>
      <c r="G691" s="31">
        <v>2390.0</v>
      </c>
      <c r="H691" s="31">
        <v>3.0</v>
      </c>
      <c r="I691" s="31">
        <v>4.0</v>
      </c>
      <c r="J691" s="33"/>
      <c r="K691" s="28"/>
      <c r="L691" s="28" t="s">
        <v>330</v>
      </c>
      <c r="M691" s="28" t="s">
        <v>331</v>
      </c>
      <c r="N691" s="28"/>
    </row>
    <row r="692" ht="16.5" customHeight="1">
      <c r="A692" s="35" t="s">
        <v>385</v>
      </c>
      <c r="B692" s="36">
        <v>44971.88629026621</v>
      </c>
      <c r="C692" s="35" t="s">
        <v>116</v>
      </c>
      <c r="D692" s="35" t="s">
        <v>76</v>
      </c>
      <c r="E692" s="35">
        <v>2023.0</v>
      </c>
      <c r="F692" s="43">
        <v>44971.88629026621</v>
      </c>
      <c r="G692" s="38">
        <v>2622.0</v>
      </c>
      <c r="H692" s="38">
        <v>3.0</v>
      </c>
      <c r="I692" s="38">
        <v>4.0</v>
      </c>
      <c r="J692" s="40"/>
      <c r="K692" s="35"/>
      <c r="L692" s="35" t="s">
        <v>330</v>
      </c>
      <c r="M692" s="35" t="s">
        <v>331</v>
      </c>
      <c r="N692" s="35"/>
    </row>
    <row r="693" ht="16.5" customHeight="1">
      <c r="A693" s="28" t="s">
        <v>490</v>
      </c>
      <c r="B693" s="29">
        <v>44971.89627150463</v>
      </c>
      <c r="C693" s="28" t="s">
        <v>116</v>
      </c>
      <c r="D693" s="28" t="s">
        <v>76</v>
      </c>
      <c r="E693" s="28">
        <v>2023.0</v>
      </c>
      <c r="F693" s="42">
        <v>44971.89627150463</v>
      </c>
      <c r="G693" s="31">
        <v>2369.0</v>
      </c>
      <c r="H693" s="31">
        <v>5.0</v>
      </c>
      <c r="I693" s="31">
        <v>4.0</v>
      </c>
      <c r="J693" s="33"/>
      <c r="K693" s="28"/>
      <c r="L693" s="28" t="s">
        <v>330</v>
      </c>
      <c r="M693" s="28" t="s">
        <v>331</v>
      </c>
      <c r="N693" s="28"/>
    </row>
    <row r="694" ht="16.5" customHeight="1">
      <c r="A694" s="35" t="s">
        <v>447</v>
      </c>
      <c r="B694" s="36">
        <v>44971.92762383102</v>
      </c>
      <c r="C694" s="35" t="s">
        <v>116</v>
      </c>
      <c r="D694" s="35" t="s">
        <v>76</v>
      </c>
      <c r="E694" s="35">
        <v>2023.0</v>
      </c>
      <c r="F694" s="43">
        <v>44971.92762383102</v>
      </c>
      <c r="G694" s="38">
        <v>2680.0</v>
      </c>
      <c r="H694" s="38">
        <v>3.0</v>
      </c>
      <c r="I694" s="38">
        <v>4.0</v>
      </c>
      <c r="J694" s="40"/>
      <c r="K694" s="35"/>
      <c r="L694" s="35" t="s">
        <v>330</v>
      </c>
      <c r="M694" s="35" t="s">
        <v>331</v>
      </c>
      <c r="N694" s="35"/>
    </row>
    <row r="695" ht="16.5" customHeight="1">
      <c r="A695" s="28" t="s">
        <v>350</v>
      </c>
      <c r="B695" s="29">
        <v>44971.938011886574</v>
      </c>
      <c r="C695" s="28" t="s">
        <v>116</v>
      </c>
      <c r="D695" s="28" t="s">
        <v>76</v>
      </c>
      <c r="E695" s="28">
        <v>2023.0</v>
      </c>
      <c r="F695" s="42">
        <v>44971.938011886574</v>
      </c>
      <c r="G695" s="31">
        <v>2669.0</v>
      </c>
      <c r="H695" s="31">
        <v>4.0</v>
      </c>
      <c r="I695" s="31">
        <v>4.0</v>
      </c>
      <c r="J695" s="33"/>
      <c r="K695" s="28"/>
      <c r="L695" s="28" t="s">
        <v>330</v>
      </c>
      <c r="M695" s="28" t="s">
        <v>331</v>
      </c>
      <c r="N695" s="28"/>
    </row>
    <row r="696" ht="16.5" customHeight="1">
      <c r="A696" s="35" t="s">
        <v>491</v>
      </c>
      <c r="B696" s="36">
        <v>44971.94845737268</v>
      </c>
      <c r="C696" s="35" t="s">
        <v>116</v>
      </c>
      <c r="D696" s="35" t="s">
        <v>76</v>
      </c>
      <c r="E696" s="35">
        <v>2023.0</v>
      </c>
      <c r="F696" s="43">
        <v>44971.94845737268</v>
      </c>
      <c r="G696" s="38">
        <v>2670.0</v>
      </c>
      <c r="H696" s="38">
        <v>3.0</v>
      </c>
      <c r="I696" s="38">
        <v>4.0</v>
      </c>
      <c r="J696" s="40"/>
      <c r="K696" s="35"/>
      <c r="L696" s="35" t="s">
        <v>330</v>
      </c>
      <c r="M696" s="35" t="s">
        <v>331</v>
      </c>
      <c r="N696" s="35"/>
    </row>
    <row r="697" ht="16.5" customHeight="1">
      <c r="A697" s="28" t="s">
        <v>492</v>
      </c>
      <c r="B697" s="29">
        <v>44971.97409804398</v>
      </c>
      <c r="C697" s="28" t="s">
        <v>116</v>
      </c>
      <c r="D697" s="28" t="s">
        <v>76</v>
      </c>
      <c r="E697" s="28">
        <v>2023.0</v>
      </c>
      <c r="F697" s="42">
        <v>44971.97409804398</v>
      </c>
      <c r="G697" s="31">
        <v>2359.0</v>
      </c>
      <c r="H697" s="31">
        <v>3.0</v>
      </c>
      <c r="I697" s="31">
        <v>4.0</v>
      </c>
      <c r="J697" s="33"/>
      <c r="K697" s="28"/>
      <c r="L697" s="28" t="s">
        <v>330</v>
      </c>
      <c r="M697" s="28" t="s">
        <v>331</v>
      </c>
      <c r="N697" s="28"/>
    </row>
    <row r="698" ht="16.5" customHeight="1">
      <c r="A698" s="35" t="s">
        <v>370</v>
      </c>
      <c r="B698" s="36">
        <v>44971.99412314815</v>
      </c>
      <c r="C698" s="35" t="s">
        <v>116</v>
      </c>
      <c r="D698" s="35" t="s">
        <v>76</v>
      </c>
      <c r="E698" s="35">
        <v>2023.0</v>
      </c>
      <c r="F698" s="43">
        <v>44971.99412314815</v>
      </c>
      <c r="G698" s="38">
        <v>2376.0</v>
      </c>
      <c r="H698" s="38">
        <v>3.0</v>
      </c>
      <c r="I698" s="38">
        <v>4.0</v>
      </c>
      <c r="J698" s="40"/>
      <c r="K698" s="35"/>
      <c r="L698" s="35" t="s">
        <v>330</v>
      </c>
      <c r="M698" s="35" t="s">
        <v>331</v>
      </c>
      <c r="N698" s="35"/>
    </row>
    <row r="699" ht="16.5" customHeight="1">
      <c r="A699" s="28" t="s">
        <v>396</v>
      </c>
      <c r="B699" s="29">
        <v>44971.994761435184</v>
      </c>
      <c r="C699" s="28" t="s">
        <v>116</v>
      </c>
      <c r="D699" s="28" t="s">
        <v>76</v>
      </c>
      <c r="E699" s="28">
        <v>2023.0</v>
      </c>
      <c r="F699" s="42">
        <v>44971.994761435184</v>
      </c>
      <c r="G699" s="31">
        <v>2632.0</v>
      </c>
      <c r="H699" s="31">
        <v>3.0</v>
      </c>
      <c r="I699" s="31">
        <v>4.0</v>
      </c>
      <c r="J699" s="33"/>
      <c r="K699" s="28"/>
      <c r="L699" s="28" t="s">
        <v>330</v>
      </c>
      <c r="M699" s="28" t="s">
        <v>331</v>
      </c>
      <c r="N699" s="28"/>
    </row>
    <row r="700" ht="16.5" customHeight="1">
      <c r="A700" s="35" t="s">
        <v>345</v>
      </c>
      <c r="B700" s="36">
        <v>44971.99531413194</v>
      </c>
      <c r="C700" s="35" t="s">
        <v>116</v>
      </c>
      <c r="D700" s="35" t="s">
        <v>76</v>
      </c>
      <c r="E700" s="35">
        <v>2023.0</v>
      </c>
      <c r="F700" s="43">
        <v>44971.99531413194</v>
      </c>
      <c r="G700" s="38">
        <v>2375.0</v>
      </c>
      <c r="H700" s="38">
        <v>3.0</v>
      </c>
      <c r="I700" s="38">
        <v>4.0</v>
      </c>
      <c r="J700" s="40"/>
      <c r="K700" s="35"/>
      <c r="L700" s="35" t="s">
        <v>330</v>
      </c>
      <c r="M700" s="35" t="s">
        <v>331</v>
      </c>
      <c r="N700" s="35"/>
    </row>
    <row r="701" ht="16.5" customHeight="1">
      <c r="A701" s="28" t="s">
        <v>421</v>
      </c>
      <c r="B701" s="29">
        <v>44972.0085868287</v>
      </c>
      <c r="C701" s="28" t="s">
        <v>124</v>
      </c>
      <c r="D701" s="28" t="s">
        <v>76</v>
      </c>
      <c r="E701" s="28">
        <v>2023.0</v>
      </c>
      <c r="F701" s="42">
        <v>44972.0085868287</v>
      </c>
      <c r="G701" s="31">
        <v>2421.0</v>
      </c>
      <c r="H701" s="31">
        <v>3.0</v>
      </c>
      <c r="I701" s="31">
        <v>4.0</v>
      </c>
      <c r="J701" s="33"/>
      <c r="K701" s="28"/>
      <c r="L701" s="28" t="s">
        <v>330</v>
      </c>
      <c r="M701" s="28" t="s">
        <v>331</v>
      </c>
      <c r="N701" s="28"/>
    </row>
    <row r="702" ht="16.5" customHeight="1">
      <c r="A702" s="35" t="s">
        <v>358</v>
      </c>
      <c r="B702" s="36">
        <v>44972.01422548611</v>
      </c>
      <c r="C702" s="35" t="s">
        <v>124</v>
      </c>
      <c r="D702" s="35" t="s">
        <v>76</v>
      </c>
      <c r="E702" s="35">
        <v>2023.0</v>
      </c>
      <c r="F702" s="43">
        <v>44972.01422548611</v>
      </c>
      <c r="G702" s="38">
        <v>2355.0</v>
      </c>
      <c r="H702" s="38">
        <v>3.0</v>
      </c>
      <c r="I702" s="38">
        <v>4.0</v>
      </c>
      <c r="J702" s="40"/>
      <c r="K702" s="35"/>
      <c r="L702" s="35" t="s">
        <v>330</v>
      </c>
      <c r="M702" s="35" t="s">
        <v>331</v>
      </c>
      <c r="N702" s="35"/>
    </row>
    <row r="703" ht="16.5" customHeight="1">
      <c r="A703" s="28" t="s">
        <v>363</v>
      </c>
      <c r="B703" s="29">
        <v>44972.01778326389</v>
      </c>
      <c r="C703" s="28" t="s">
        <v>124</v>
      </c>
      <c r="D703" s="28" t="s">
        <v>76</v>
      </c>
      <c r="E703" s="28">
        <v>2023.0</v>
      </c>
      <c r="F703" s="42">
        <v>44972.01778326389</v>
      </c>
      <c r="G703" s="31">
        <v>2354.0</v>
      </c>
      <c r="H703" s="31">
        <v>3.0</v>
      </c>
      <c r="I703" s="31">
        <v>4.0</v>
      </c>
      <c r="J703" s="33"/>
      <c r="K703" s="28"/>
      <c r="L703" s="28" t="s">
        <v>330</v>
      </c>
      <c r="M703" s="28" t="s">
        <v>331</v>
      </c>
      <c r="N703" s="28"/>
    </row>
    <row r="704" ht="16.5" customHeight="1">
      <c r="A704" s="35" t="s">
        <v>393</v>
      </c>
      <c r="B704" s="36">
        <v>44972.12213150463</v>
      </c>
      <c r="C704" s="35" t="s">
        <v>124</v>
      </c>
      <c r="D704" s="35" t="s">
        <v>76</v>
      </c>
      <c r="E704" s="35">
        <v>2023.0</v>
      </c>
      <c r="F704" s="43">
        <v>44972.12213150463</v>
      </c>
      <c r="G704" s="38">
        <v>2434.0</v>
      </c>
      <c r="H704" s="38">
        <v>3.0</v>
      </c>
      <c r="I704" s="38">
        <v>4.0</v>
      </c>
      <c r="J704" s="40"/>
      <c r="K704" s="35"/>
      <c r="L704" s="35" t="s">
        <v>330</v>
      </c>
      <c r="M704" s="35" t="s">
        <v>331</v>
      </c>
      <c r="N704" s="35"/>
    </row>
    <row r="705" ht="16.5" customHeight="1">
      <c r="A705" s="28" t="s">
        <v>359</v>
      </c>
      <c r="B705" s="29">
        <v>44972.12287425926</v>
      </c>
      <c r="C705" s="28" t="s">
        <v>124</v>
      </c>
      <c r="D705" s="28" t="s">
        <v>76</v>
      </c>
      <c r="E705" s="28">
        <v>2023.0</v>
      </c>
      <c r="F705" s="42">
        <v>44972.12287425926</v>
      </c>
      <c r="G705" s="31">
        <v>2403.0</v>
      </c>
      <c r="H705" s="31">
        <v>3.0</v>
      </c>
      <c r="I705" s="31">
        <v>4.0</v>
      </c>
      <c r="J705" s="33"/>
      <c r="K705" s="28"/>
      <c r="L705" s="28" t="s">
        <v>330</v>
      </c>
      <c r="M705" s="28" t="s">
        <v>331</v>
      </c>
      <c r="N705" s="28"/>
    </row>
    <row r="706" ht="16.5" customHeight="1">
      <c r="A706" s="35" t="s">
        <v>392</v>
      </c>
      <c r="B706" s="36">
        <v>44972.13112369213</v>
      </c>
      <c r="C706" s="35" t="s">
        <v>124</v>
      </c>
      <c r="D706" s="35" t="s">
        <v>76</v>
      </c>
      <c r="E706" s="35">
        <v>2023.0</v>
      </c>
      <c r="F706" s="43">
        <v>44972.13112369213</v>
      </c>
      <c r="G706" s="38">
        <v>2276.0</v>
      </c>
      <c r="H706" s="38">
        <v>3.0</v>
      </c>
      <c r="I706" s="38">
        <v>4.0</v>
      </c>
      <c r="J706" s="40"/>
      <c r="K706" s="35"/>
      <c r="L706" s="35" t="s">
        <v>330</v>
      </c>
      <c r="M706" s="35" t="s">
        <v>331</v>
      </c>
      <c r="N706" s="35"/>
    </row>
    <row r="707" ht="16.5" customHeight="1">
      <c r="A707" s="28" t="s">
        <v>422</v>
      </c>
      <c r="B707" s="29">
        <v>44972.131520787036</v>
      </c>
      <c r="C707" s="28" t="s">
        <v>124</v>
      </c>
      <c r="D707" s="28" t="s">
        <v>76</v>
      </c>
      <c r="E707" s="28">
        <v>2023.0</v>
      </c>
      <c r="F707" s="42">
        <v>44972.131520787036</v>
      </c>
      <c r="G707" s="31">
        <v>2381.0</v>
      </c>
      <c r="H707" s="31">
        <v>3.0</v>
      </c>
      <c r="I707" s="31">
        <v>4.0</v>
      </c>
      <c r="J707" s="33"/>
      <c r="K707" s="28"/>
      <c r="L707" s="28" t="s">
        <v>330</v>
      </c>
      <c r="M707" s="28" t="s">
        <v>331</v>
      </c>
      <c r="N707" s="28"/>
    </row>
    <row r="708" ht="16.5" customHeight="1">
      <c r="A708" s="35" t="s">
        <v>402</v>
      </c>
      <c r="B708" s="36">
        <v>44972.142859189815</v>
      </c>
      <c r="C708" s="35" t="s">
        <v>124</v>
      </c>
      <c r="D708" s="35" t="s">
        <v>76</v>
      </c>
      <c r="E708" s="35">
        <v>2023.0</v>
      </c>
      <c r="F708" s="43">
        <v>44972.142859189815</v>
      </c>
      <c r="G708" s="38">
        <v>2227.0</v>
      </c>
      <c r="H708" s="38">
        <v>3.0</v>
      </c>
      <c r="I708" s="38">
        <v>4.0</v>
      </c>
      <c r="J708" s="40"/>
      <c r="K708" s="35"/>
      <c r="L708" s="35" t="s">
        <v>330</v>
      </c>
      <c r="M708" s="35" t="s">
        <v>331</v>
      </c>
      <c r="N708" s="35"/>
    </row>
    <row r="709" ht="16.5" customHeight="1">
      <c r="A709" s="28" t="s">
        <v>493</v>
      </c>
      <c r="B709" s="29">
        <v>44972.14720702547</v>
      </c>
      <c r="C709" s="28" t="s">
        <v>124</v>
      </c>
      <c r="D709" s="28" t="s">
        <v>76</v>
      </c>
      <c r="E709" s="28">
        <v>2023.0</v>
      </c>
      <c r="F709" s="42">
        <v>44972.14720702547</v>
      </c>
      <c r="G709" s="31">
        <v>2627.0</v>
      </c>
      <c r="H709" s="31">
        <v>3.0</v>
      </c>
      <c r="I709" s="31">
        <v>4.0</v>
      </c>
      <c r="J709" s="33"/>
      <c r="K709" s="28"/>
      <c r="L709" s="28" t="s">
        <v>330</v>
      </c>
      <c r="M709" s="28" t="s">
        <v>331</v>
      </c>
      <c r="N709" s="28"/>
    </row>
    <row r="710" ht="16.5" customHeight="1">
      <c r="A710" s="35" t="s">
        <v>397</v>
      </c>
      <c r="B710" s="36">
        <v>44972.169732939816</v>
      </c>
      <c r="C710" s="35" t="s">
        <v>124</v>
      </c>
      <c r="D710" s="35" t="s">
        <v>76</v>
      </c>
      <c r="E710" s="35">
        <v>2023.0</v>
      </c>
      <c r="F710" s="43">
        <v>44972.169732939816</v>
      </c>
      <c r="G710" s="38">
        <v>2438.0</v>
      </c>
      <c r="H710" s="38">
        <v>3.0</v>
      </c>
      <c r="I710" s="38">
        <v>4.0</v>
      </c>
      <c r="J710" s="40"/>
      <c r="K710" s="35"/>
      <c r="L710" s="35" t="s">
        <v>330</v>
      </c>
      <c r="M710" s="35" t="s">
        <v>331</v>
      </c>
      <c r="N710" s="35"/>
    </row>
    <row r="711" ht="16.5" customHeight="1">
      <c r="A711" s="28" t="s">
        <v>381</v>
      </c>
      <c r="B711" s="29">
        <v>44972.211800694444</v>
      </c>
      <c r="C711" s="28" t="s">
        <v>124</v>
      </c>
      <c r="D711" s="28" t="s">
        <v>76</v>
      </c>
      <c r="E711" s="28">
        <v>2023.0</v>
      </c>
      <c r="F711" s="42">
        <v>44972.211800694444</v>
      </c>
      <c r="G711" s="31">
        <v>2620.0</v>
      </c>
      <c r="H711" s="31">
        <v>3.0</v>
      </c>
      <c r="I711" s="31">
        <v>4.0</v>
      </c>
      <c r="J711" s="33"/>
      <c r="K711" s="28"/>
      <c r="L711" s="28" t="s">
        <v>330</v>
      </c>
      <c r="M711" s="28" t="s">
        <v>331</v>
      </c>
      <c r="N711" s="28"/>
    </row>
    <row r="712" ht="16.5" customHeight="1">
      <c r="A712" s="35" t="s">
        <v>475</v>
      </c>
      <c r="B712" s="36">
        <v>44972.982106192125</v>
      </c>
      <c r="C712" s="35" t="s">
        <v>124</v>
      </c>
      <c r="D712" s="35" t="s">
        <v>76</v>
      </c>
      <c r="E712" s="35">
        <v>2023.0</v>
      </c>
      <c r="F712" s="43">
        <v>44972.982106192125</v>
      </c>
      <c r="G712" s="38">
        <v>2273.0</v>
      </c>
      <c r="H712" s="38">
        <v>2.0</v>
      </c>
      <c r="I712" s="38">
        <v>3.0</v>
      </c>
      <c r="J712" s="35"/>
      <c r="K712" s="35"/>
      <c r="L712" s="35" t="s">
        <v>330</v>
      </c>
      <c r="M712" s="35" t="s">
        <v>331</v>
      </c>
      <c r="N712" s="35"/>
    </row>
    <row r="713" ht="16.5" customHeight="1">
      <c r="A713" s="28" t="s">
        <v>494</v>
      </c>
      <c r="B713" s="29">
        <v>44972.98230846065</v>
      </c>
      <c r="C713" s="28" t="s">
        <v>124</v>
      </c>
      <c r="D713" s="28" t="s">
        <v>76</v>
      </c>
      <c r="E713" s="28">
        <v>2023.0</v>
      </c>
      <c r="F713" s="42">
        <v>44972.98230846065</v>
      </c>
      <c r="G713" s="31">
        <v>2663.0</v>
      </c>
      <c r="H713" s="31">
        <v>3.0</v>
      </c>
      <c r="I713" s="31">
        <v>3.0</v>
      </c>
      <c r="J713" s="28"/>
      <c r="K713" s="28"/>
      <c r="L713" s="28" t="s">
        <v>330</v>
      </c>
      <c r="M713" s="28" t="s">
        <v>331</v>
      </c>
      <c r="N713" s="28"/>
    </row>
    <row r="714" ht="16.5" customHeight="1">
      <c r="A714" s="35" t="s">
        <v>463</v>
      </c>
      <c r="B714" s="36">
        <v>44972.98248057871</v>
      </c>
      <c r="C714" s="35" t="s">
        <v>124</v>
      </c>
      <c r="D714" s="35" t="s">
        <v>76</v>
      </c>
      <c r="E714" s="35">
        <v>2023.0</v>
      </c>
      <c r="F714" s="43">
        <v>44972.98248057871</v>
      </c>
      <c r="G714" s="38">
        <v>2392.0</v>
      </c>
      <c r="H714" s="38">
        <v>3.0</v>
      </c>
      <c r="I714" s="38">
        <v>3.0</v>
      </c>
      <c r="J714" s="35"/>
      <c r="K714" s="35"/>
      <c r="L714" s="35" t="s">
        <v>330</v>
      </c>
      <c r="M714" s="35" t="s">
        <v>331</v>
      </c>
      <c r="N714" s="35"/>
    </row>
    <row r="715" ht="16.5" customHeight="1">
      <c r="A715" s="28" t="s">
        <v>495</v>
      </c>
      <c r="B715" s="29">
        <v>44972.982621041665</v>
      </c>
      <c r="C715" s="28" t="s">
        <v>124</v>
      </c>
      <c r="D715" s="28" t="s">
        <v>76</v>
      </c>
      <c r="E715" s="28">
        <v>2023.0</v>
      </c>
      <c r="F715" s="42">
        <v>44972.982621041665</v>
      </c>
      <c r="G715" s="31">
        <v>2432.0</v>
      </c>
      <c r="H715" s="31">
        <v>2.0</v>
      </c>
      <c r="I715" s="31">
        <v>3.0</v>
      </c>
      <c r="J715" s="28"/>
      <c r="K715" s="28"/>
      <c r="L715" s="28" t="s">
        <v>330</v>
      </c>
      <c r="M715" s="28" t="s">
        <v>331</v>
      </c>
      <c r="N715" s="28"/>
    </row>
    <row r="716" ht="16.5" customHeight="1">
      <c r="A716" s="35" t="s">
        <v>419</v>
      </c>
      <c r="B716" s="36">
        <v>44972.98782855324</v>
      </c>
      <c r="C716" s="35" t="s">
        <v>124</v>
      </c>
      <c r="D716" s="35" t="s">
        <v>76</v>
      </c>
      <c r="E716" s="35">
        <v>2023.0</v>
      </c>
      <c r="F716" s="43">
        <v>44972.98782855324</v>
      </c>
      <c r="G716" s="38">
        <v>2339.0</v>
      </c>
      <c r="H716" s="38">
        <v>3.0</v>
      </c>
      <c r="I716" s="38">
        <v>3.0</v>
      </c>
      <c r="J716" s="35"/>
      <c r="K716" s="35"/>
      <c r="L716" s="35" t="s">
        <v>330</v>
      </c>
      <c r="M716" s="35" t="s">
        <v>331</v>
      </c>
      <c r="N716" s="35"/>
    </row>
    <row r="717" ht="16.5" customHeight="1">
      <c r="A717" s="28" t="s">
        <v>420</v>
      </c>
      <c r="B717" s="29">
        <v>44973.00127804399</v>
      </c>
      <c r="C717" s="28" t="s">
        <v>193</v>
      </c>
      <c r="D717" s="28" t="s">
        <v>76</v>
      </c>
      <c r="E717" s="28">
        <v>2023.0</v>
      </c>
      <c r="F717" s="42">
        <v>44973.00127804399</v>
      </c>
      <c r="G717" s="31">
        <v>2395.0</v>
      </c>
      <c r="H717" s="31">
        <v>2.0</v>
      </c>
      <c r="I717" s="31">
        <v>3.0</v>
      </c>
      <c r="J717" s="28"/>
      <c r="K717" s="28"/>
      <c r="L717" s="28" t="s">
        <v>330</v>
      </c>
      <c r="M717" s="28" t="s">
        <v>331</v>
      </c>
      <c r="N717" s="28"/>
    </row>
    <row r="718" ht="16.5" customHeight="1">
      <c r="A718" s="35" t="s">
        <v>461</v>
      </c>
      <c r="B718" s="36">
        <v>44973.00662797454</v>
      </c>
      <c r="C718" s="35" t="s">
        <v>193</v>
      </c>
      <c r="D718" s="35" t="s">
        <v>76</v>
      </c>
      <c r="E718" s="35">
        <v>2023.0</v>
      </c>
      <c r="F718" s="43">
        <v>44973.00662797454</v>
      </c>
      <c r="G718" s="38">
        <v>2468.0</v>
      </c>
      <c r="H718" s="38">
        <v>2.0</v>
      </c>
      <c r="I718" s="38">
        <v>3.0</v>
      </c>
      <c r="J718" s="35"/>
      <c r="K718" s="35"/>
      <c r="L718" s="35" t="s">
        <v>330</v>
      </c>
      <c r="M718" s="35" t="s">
        <v>331</v>
      </c>
      <c r="N718" s="35"/>
    </row>
    <row r="719" ht="16.5" customHeight="1">
      <c r="A719" s="28" t="s">
        <v>459</v>
      </c>
      <c r="B719" s="29">
        <v>44973.01770335648</v>
      </c>
      <c r="C719" s="28" t="s">
        <v>193</v>
      </c>
      <c r="D719" s="28" t="s">
        <v>76</v>
      </c>
      <c r="E719" s="28">
        <v>2023.0</v>
      </c>
      <c r="F719" s="42">
        <v>44973.01770335648</v>
      </c>
      <c r="G719" s="31">
        <v>2573.0</v>
      </c>
      <c r="H719" s="31">
        <v>2.0</v>
      </c>
      <c r="I719" s="31">
        <v>3.0</v>
      </c>
      <c r="J719" s="28"/>
      <c r="K719" s="28"/>
      <c r="L719" s="28" t="s">
        <v>330</v>
      </c>
      <c r="M719" s="28" t="s">
        <v>331</v>
      </c>
      <c r="N719" s="28"/>
    </row>
    <row r="720" ht="16.5" customHeight="1">
      <c r="A720" s="35" t="s">
        <v>496</v>
      </c>
      <c r="B720" s="36">
        <v>44973.024466435185</v>
      </c>
      <c r="C720" s="35" t="s">
        <v>193</v>
      </c>
      <c r="D720" s="35" t="s">
        <v>76</v>
      </c>
      <c r="E720" s="35">
        <v>2023.0</v>
      </c>
      <c r="F720" s="43">
        <v>44973.024466435185</v>
      </c>
      <c r="G720" s="38">
        <v>2576.0</v>
      </c>
      <c r="H720" s="38">
        <v>2.0</v>
      </c>
      <c r="I720" s="38">
        <v>3.0</v>
      </c>
      <c r="J720" s="35"/>
      <c r="K720" s="35"/>
      <c r="L720" s="35" t="s">
        <v>330</v>
      </c>
      <c r="M720" s="35" t="s">
        <v>331</v>
      </c>
      <c r="N720" s="35"/>
    </row>
    <row r="721" ht="16.5" customHeight="1">
      <c r="A721" s="28" t="s">
        <v>427</v>
      </c>
      <c r="B721" s="29">
        <v>44973.04754990741</v>
      </c>
      <c r="C721" s="28" t="s">
        <v>193</v>
      </c>
      <c r="D721" s="28" t="s">
        <v>76</v>
      </c>
      <c r="E721" s="28">
        <v>2023.0</v>
      </c>
      <c r="F721" s="42">
        <v>44973.04754990741</v>
      </c>
      <c r="G721" s="31">
        <v>2423.0</v>
      </c>
      <c r="H721" s="31">
        <v>2.0</v>
      </c>
      <c r="I721" s="31">
        <v>3.0</v>
      </c>
      <c r="J721" s="28"/>
      <c r="K721" s="28"/>
      <c r="L721" s="28" t="s">
        <v>330</v>
      </c>
      <c r="M721" s="28" t="s">
        <v>331</v>
      </c>
      <c r="N721" s="28"/>
    </row>
    <row r="722" ht="16.5" customHeight="1">
      <c r="A722" s="35" t="s">
        <v>423</v>
      </c>
      <c r="B722" s="36">
        <v>44973.06891096065</v>
      </c>
      <c r="C722" s="35" t="s">
        <v>193</v>
      </c>
      <c r="D722" s="35" t="s">
        <v>76</v>
      </c>
      <c r="E722" s="35">
        <v>2023.0</v>
      </c>
      <c r="F722" s="43">
        <v>44973.06891096065</v>
      </c>
      <c r="G722" s="38">
        <v>2253.0</v>
      </c>
      <c r="H722" s="38">
        <v>2.0</v>
      </c>
      <c r="I722" s="38">
        <v>3.0</v>
      </c>
      <c r="J722" s="35"/>
      <c r="K722" s="35"/>
      <c r="L722" s="35" t="s">
        <v>330</v>
      </c>
      <c r="M722" s="35" t="s">
        <v>331</v>
      </c>
      <c r="N722" s="35"/>
    </row>
    <row r="723" ht="16.5" customHeight="1">
      <c r="A723" s="28" t="s">
        <v>455</v>
      </c>
      <c r="B723" s="29">
        <v>44973.07905300926</v>
      </c>
      <c r="C723" s="28" t="s">
        <v>193</v>
      </c>
      <c r="D723" s="28" t="s">
        <v>76</v>
      </c>
      <c r="E723" s="28">
        <v>2023.0</v>
      </c>
      <c r="F723" s="42">
        <v>44973.07905300926</v>
      </c>
      <c r="G723" s="31">
        <v>2572.0</v>
      </c>
      <c r="H723" s="31">
        <v>5.0</v>
      </c>
      <c r="I723" s="31">
        <v>3.0</v>
      </c>
      <c r="J723" s="28"/>
      <c r="K723" s="28"/>
      <c r="L723" s="28" t="s">
        <v>330</v>
      </c>
      <c r="M723" s="28" t="s">
        <v>331</v>
      </c>
      <c r="N723" s="28"/>
    </row>
    <row r="724" ht="16.5" customHeight="1">
      <c r="A724" s="35" t="s">
        <v>357</v>
      </c>
      <c r="B724" s="36">
        <v>44973.098090694446</v>
      </c>
      <c r="C724" s="35" t="s">
        <v>193</v>
      </c>
      <c r="D724" s="35" t="s">
        <v>76</v>
      </c>
      <c r="E724" s="35">
        <v>2023.0</v>
      </c>
      <c r="F724" s="43">
        <v>44973.098090694446</v>
      </c>
      <c r="G724" s="38">
        <v>2202.0</v>
      </c>
      <c r="H724" s="38">
        <v>2.0</v>
      </c>
      <c r="I724" s="38">
        <v>3.0</v>
      </c>
      <c r="J724" s="35"/>
      <c r="K724" s="35"/>
      <c r="L724" s="35" t="s">
        <v>330</v>
      </c>
      <c r="M724" s="35" t="s">
        <v>331</v>
      </c>
      <c r="N724" s="35"/>
    </row>
    <row r="725" ht="16.5" customHeight="1">
      <c r="A725" s="28" t="s">
        <v>443</v>
      </c>
      <c r="B725" s="29">
        <v>44973.098311712965</v>
      </c>
      <c r="C725" s="28" t="s">
        <v>193</v>
      </c>
      <c r="D725" s="28" t="s">
        <v>76</v>
      </c>
      <c r="E725" s="28">
        <v>2023.0</v>
      </c>
      <c r="F725" s="42">
        <v>44973.098311712965</v>
      </c>
      <c r="G725" s="31">
        <v>2195.0</v>
      </c>
      <c r="H725" s="31">
        <v>2.0</v>
      </c>
      <c r="I725" s="31">
        <v>3.0</v>
      </c>
      <c r="J725" s="28"/>
      <c r="K725" s="28"/>
      <c r="L725" s="28" t="s">
        <v>330</v>
      </c>
      <c r="M725" s="28" t="s">
        <v>331</v>
      </c>
      <c r="N725" s="28"/>
    </row>
    <row r="726" ht="16.5" customHeight="1">
      <c r="A726" s="35" t="s">
        <v>443</v>
      </c>
      <c r="B726" s="36">
        <v>44973.13188868055</v>
      </c>
      <c r="C726" s="35" t="s">
        <v>193</v>
      </c>
      <c r="D726" s="35" t="s">
        <v>76</v>
      </c>
      <c r="E726" s="35">
        <v>2023.0</v>
      </c>
      <c r="F726" s="43">
        <v>44973.13188868055</v>
      </c>
      <c r="G726" s="38">
        <v>2195.0</v>
      </c>
      <c r="H726" s="38">
        <v>2.0</v>
      </c>
      <c r="I726" s="38">
        <v>3.0</v>
      </c>
      <c r="J726" s="35"/>
      <c r="K726" s="35"/>
      <c r="L726" s="35" t="s">
        <v>330</v>
      </c>
      <c r="M726" s="35" t="s">
        <v>331</v>
      </c>
      <c r="N726" s="35"/>
    </row>
    <row r="727" ht="16.5" customHeight="1">
      <c r="A727" s="28" t="s">
        <v>445</v>
      </c>
      <c r="B727" s="29">
        <v>44973.13242043981</v>
      </c>
      <c r="C727" s="28" t="s">
        <v>193</v>
      </c>
      <c r="D727" s="28" t="s">
        <v>76</v>
      </c>
      <c r="E727" s="28">
        <v>2023.0</v>
      </c>
      <c r="F727" s="42">
        <v>44973.13242043981</v>
      </c>
      <c r="G727" s="31">
        <v>2233.0</v>
      </c>
      <c r="H727" s="31">
        <v>2.0</v>
      </c>
      <c r="I727" s="31">
        <v>3.0</v>
      </c>
      <c r="J727" s="28"/>
      <c r="K727" s="28"/>
      <c r="L727" s="28" t="s">
        <v>330</v>
      </c>
      <c r="M727" s="28" t="s">
        <v>331</v>
      </c>
      <c r="N727" s="28"/>
    </row>
    <row r="728" ht="16.5" customHeight="1">
      <c r="A728" s="35" t="s">
        <v>383</v>
      </c>
      <c r="B728" s="36">
        <v>44973.14661542824</v>
      </c>
      <c r="C728" s="35" t="s">
        <v>193</v>
      </c>
      <c r="D728" s="35" t="s">
        <v>76</v>
      </c>
      <c r="E728" s="35">
        <v>2023.0</v>
      </c>
      <c r="F728" s="43">
        <v>44973.14661542824</v>
      </c>
      <c r="G728" s="38">
        <v>2675.0</v>
      </c>
      <c r="H728" s="38">
        <v>2.0</v>
      </c>
      <c r="I728" s="38">
        <v>3.0</v>
      </c>
      <c r="J728" s="35"/>
      <c r="K728" s="35"/>
      <c r="L728" s="35" t="s">
        <v>330</v>
      </c>
      <c r="M728" s="35" t="s">
        <v>331</v>
      </c>
      <c r="N728" s="35"/>
    </row>
    <row r="729" ht="16.5" customHeight="1">
      <c r="A729" s="28" t="s">
        <v>497</v>
      </c>
      <c r="B729" s="29">
        <v>44973.1473021412</v>
      </c>
      <c r="C729" s="28" t="s">
        <v>193</v>
      </c>
      <c r="D729" s="28" t="s">
        <v>76</v>
      </c>
      <c r="E729" s="28">
        <v>2023.0</v>
      </c>
      <c r="F729" s="42">
        <v>44973.1473021412</v>
      </c>
      <c r="G729" s="31">
        <v>2641.0</v>
      </c>
      <c r="H729" s="31">
        <v>3.0</v>
      </c>
      <c r="I729" s="31">
        <v>3.0</v>
      </c>
      <c r="J729" s="28"/>
      <c r="K729" s="28"/>
      <c r="L729" s="28" t="s">
        <v>330</v>
      </c>
      <c r="M729" s="28" t="s">
        <v>331</v>
      </c>
      <c r="N729" s="28"/>
    </row>
    <row r="730" ht="16.5" customHeight="1">
      <c r="A730" s="35" t="s">
        <v>425</v>
      </c>
      <c r="B730" s="36">
        <v>44973.15853980324</v>
      </c>
      <c r="C730" s="35" t="s">
        <v>193</v>
      </c>
      <c r="D730" s="35" t="s">
        <v>76</v>
      </c>
      <c r="E730" s="35">
        <v>2023.0</v>
      </c>
      <c r="F730" s="43">
        <v>44973.15853980324</v>
      </c>
      <c r="G730" s="38">
        <v>2187.0</v>
      </c>
      <c r="H730" s="38">
        <v>2.0</v>
      </c>
      <c r="I730" s="38">
        <v>3.0</v>
      </c>
      <c r="J730" s="35"/>
      <c r="K730" s="35"/>
      <c r="L730" s="35" t="s">
        <v>330</v>
      </c>
      <c r="M730" s="35" t="s">
        <v>331</v>
      </c>
      <c r="N730" s="35"/>
    </row>
    <row r="731" ht="16.5" customHeight="1">
      <c r="A731" s="28" t="s">
        <v>465</v>
      </c>
      <c r="B731" s="29">
        <v>44973.15959444444</v>
      </c>
      <c r="C731" s="28" t="s">
        <v>193</v>
      </c>
      <c r="D731" s="28" t="s">
        <v>76</v>
      </c>
      <c r="E731" s="28">
        <v>2023.0</v>
      </c>
      <c r="F731" s="42">
        <v>44973.15959444444</v>
      </c>
      <c r="G731" s="31">
        <v>2458.0</v>
      </c>
      <c r="H731" s="31">
        <v>2.0</v>
      </c>
      <c r="I731" s="31">
        <v>3.0</v>
      </c>
      <c r="J731" s="28"/>
      <c r="K731" s="28"/>
      <c r="L731" s="28" t="s">
        <v>330</v>
      </c>
      <c r="M731" s="28" t="s">
        <v>331</v>
      </c>
      <c r="N731" s="28"/>
    </row>
    <row r="732" ht="16.5" customHeight="1">
      <c r="A732" s="35" t="s">
        <v>336</v>
      </c>
      <c r="B732" s="36">
        <v>44973.15974365741</v>
      </c>
      <c r="C732" s="35" t="s">
        <v>193</v>
      </c>
      <c r="D732" s="35" t="s">
        <v>76</v>
      </c>
      <c r="E732" s="35">
        <v>2023.0</v>
      </c>
      <c r="F732" s="43">
        <v>44973.15974365741</v>
      </c>
      <c r="G732" s="38">
        <v>2385.0</v>
      </c>
      <c r="H732" s="38">
        <v>2.0</v>
      </c>
      <c r="I732" s="38">
        <v>3.0</v>
      </c>
      <c r="J732" s="35"/>
      <c r="K732" s="35"/>
      <c r="L732" s="35" t="s">
        <v>330</v>
      </c>
      <c r="M732" s="35" t="s">
        <v>331</v>
      </c>
      <c r="N732" s="35"/>
    </row>
    <row r="733" ht="16.5" customHeight="1">
      <c r="A733" s="28" t="s">
        <v>390</v>
      </c>
      <c r="B733" s="29">
        <v>44973.16024538194</v>
      </c>
      <c r="C733" s="28" t="s">
        <v>193</v>
      </c>
      <c r="D733" s="28" t="s">
        <v>76</v>
      </c>
      <c r="E733" s="28">
        <v>2023.0</v>
      </c>
      <c r="F733" s="42">
        <v>44973.16024538194</v>
      </c>
      <c r="G733" s="31">
        <v>2379.0</v>
      </c>
      <c r="H733" s="31">
        <v>2.0</v>
      </c>
      <c r="I733" s="31">
        <v>3.0</v>
      </c>
      <c r="J733" s="28"/>
      <c r="K733" s="28"/>
      <c r="L733" s="28" t="s">
        <v>330</v>
      </c>
      <c r="M733" s="28" t="s">
        <v>331</v>
      </c>
      <c r="N733" s="28"/>
    </row>
    <row r="734" ht="16.5" customHeight="1">
      <c r="A734" s="35" t="s">
        <v>375</v>
      </c>
      <c r="B734" s="36">
        <v>44973.16041369213</v>
      </c>
      <c r="C734" s="35" t="s">
        <v>193</v>
      </c>
      <c r="D734" s="35" t="s">
        <v>76</v>
      </c>
      <c r="E734" s="35">
        <v>2023.0</v>
      </c>
      <c r="F734" s="43">
        <v>44973.16041369213</v>
      </c>
      <c r="G734" s="38">
        <v>2679.0</v>
      </c>
      <c r="H734" s="38">
        <v>2.0</v>
      </c>
      <c r="I734" s="38">
        <v>3.0</v>
      </c>
      <c r="J734" s="35"/>
      <c r="K734" s="35"/>
      <c r="L734" s="35" t="s">
        <v>330</v>
      </c>
      <c r="M734" s="35" t="s">
        <v>331</v>
      </c>
      <c r="N734" s="35"/>
    </row>
    <row r="735" ht="16.5" customHeight="1">
      <c r="A735" s="28" t="s">
        <v>453</v>
      </c>
      <c r="B735" s="29">
        <v>44973.16082622686</v>
      </c>
      <c r="C735" s="28" t="s">
        <v>193</v>
      </c>
      <c r="D735" s="28" t="s">
        <v>76</v>
      </c>
      <c r="E735" s="28">
        <v>2023.0</v>
      </c>
      <c r="F735" s="42">
        <v>44973.16082622686</v>
      </c>
      <c r="G735" s="31">
        <v>2455.0</v>
      </c>
      <c r="H735" s="31">
        <v>2.0</v>
      </c>
      <c r="I735" s="31">
        <v>3.0</v>
      </c>
      <c r="J735" s="28"/>
      <c r="K735" s="28"/>
      <c r="L735" s="28" t="s">
        <v>330</v>
      </c>
      <c r="M735" s="28" t="s">
        <v>331</v>
      </c>
      <c r="N735" s="28"/>
    </row>
    <row r="736" ht="16.5" customHeight="1">
      <c r="A736" s="35" t="s">
        <v>456</v>
      </c>
      <c r="B736" s="36">
        <v>44973.88723325232</v>
      </c>
      <c r="C736" s="35" t="s">
        <v>193</v>
      </c>
      <c r="D736" s="35" t="s">
        <v>76</v>
      </c>
      <c r="E736" s="35">
        <v>2023.0</v>
      </c>
      <c r="F736" s="43">
        <v>44973.88723325232</v>
      </c>
      <c r="G736" s="38">
        <v>2563.0</v>
      </c>
      <c r="H736" s="38">
        <v>4.0</v>
      </c>
      <c r="I736" s="38">
        <v>3.0</v>
      </c>
      <c r="J736" s="35"/>
      <c r="K736" s="35"/>
      <c r="L736" s="35" t="s">
        <v>330</v>
      </c>
      <c r="M736" s="35" t="s">
        <v>331</v>
      </c>
      <c r="N736" s="35"/>
    </row>
    <row r="737" ht="16.5" customHeight="1">
      <c r="A737" s="28" t="s">
        <v>395</v>
      </c>
      <c r="B737" s="29">
        <v>44973.940947442126</v>
      </c>
      <c r="C737" s="28" t="s">
        <v>193</v>
      </c>
      <c r="D737" s="28" t="s">
        <v>76</v>
      </c>
      <c r="E737" s="28">
        <v>2023.0</v>
      </c>
      <c r="F737" s="42">
        <v>44973.940947442126</v>
      </c>
      <c r="G737" s="31">
        <v>2624.0</v>
      </c>
      <c r="H737" s="31">
        <v>4.0</v>
      </c>
      <c r="I737" s="31">
        <v>3.0</v>
      </c>
      <c r="J737" s="28"/>
      <c r="K737" s="28"/>
      <c r="L737" s="28" t="s">
        <v>330</v>
      </c>
      <c r="M737" s="28" t="s">
        <v>331</v>
      </c>
      <c r="N737" s="28"/>
    </row>
    <row r="738" ht="16.5" customHeight="1">
      <c r="A738" s="35" t="s">
        <v>355</v>
      </c>
      <c r="B738" s="36">
        <v>44973.94151528935</v>
      </c>
      <c r="C738" s="35" t="s">
        <v>193</v>
      </c>
      <c r="D738" s="35" t="s">
        <v>76</v>
      </c>
      <c r="E738" s="35">
        <v>2023.0</v>
      </c>
      <c r="F738" s="43">
        <v>44973.94151528935</v>
      </c>
      <c r="G738" s="38">
        <v>2367.0</v>
      </c>
      <c r="H738" s="38">
        <v>4.0</v>
      </c>
      <c r="I738" s="38">
        <v>3.0</v>
      </c>
      <c r="J738" s="35"/>
      <c r="K738" s="35"/>
      <c r="L738" s="35" t="s">
        <v>330</v>
      </c>
      <c r="M738" s="35" t="s">
        <v>331</v>
      </c>
      <c r="N738" s="35"/>
    </row>
    <row r="739" ht="16.5" customHeight="1">
      <c r="A739" s="28" t="s">
        <v>398</v>
      </c>
      <c r="B739" s="29">
        <v>44973.95183849537</v>
      </c>
      <c r="C739" s="28" t="s">
        <v>193</v>
      </c>
      <c r="D739" s="28" t="s">
        <v>76</v>
      </c>
      <c r="E739" s="28">
        <v>2023.0</v>
      </c>
      <c r="F739" s="42">
        <v>44973.95183849537</v>
      </c>
      <c r="G739" s="31">
        <v>2454.0</v>
      </c>
      <c r="H739" s="31">
        <v>4.0</v>
      </c>
      <c r="I739" s="31">
        <v>3.0</v>
      </c>
      <c r="J739" s="28"/>
      <c r="K739" s="28"/>
      <c r="L739" s="28" t="s">
        <v>330</v>
      </c>
      <c r="M739" s="28" t="s">
        <v>331</v>
      </c>
      <c r="N739" s="28"/>
    </row>
    <row r="740" ht="16.5" customHeight="1">
      <c r="A740" s="35" t="s">
        <v>417</v>
      </c>
      <c r="B740" s="36">
        <v>44973.95229311343</v>
      </c>
      <c r="C740" s="35" t="s">
        <v>193</v>
      </c>
      <c r="D740" s="35" t="s">
        <v>76</v>
      </c>
      <c r="E740" s="35">
        <v>2023.0</v>
      </c>
      <c r="F740" s="43">
        <v>44973.95229311343</v>
      </c>
      <c r="G740" s="38">
        <v>2462.0</v>
      </c>
      <c r="H740" s="38">
        <v>4.0</v>
      </c>
      <c r="I740" s="38">
        <v>3.0</v>
      </c>
      <c r="J740" s="35"/>
      <c r="K740" s="35"/>
      <c r="L740" s="35" t="s">
        <v>330</v>
      </c>
      <c r="M740" s="35" t="s">
        <v>331</v>
      </c>
      <c r="N740" s="35"/>
    </row>
    <row r="741" ht="16.5" customHeight="1">
      <c r="A741" s="28" t="s">
        <v>419</v>
      </c>
      <c r="B741" s="29">
        <v>44973.9644662037</v>
      </c>
      <c r="C741" s="28" t="s">
        <v>193</v>
      </c>
      <c r="D741" s="28" t="s">
        <v>76</v>
      </c>
      <c r="E741" s="28">
        <v>2023.0</v>
      </c>
      <c r="F741" s="42">
        <v>44973.9644662037</v>
      </c>
      <c r="G741" s="31">
        <v>2339.0</v>
      </c>
      <c r="H741" s="31">
        <v>4.0</v>
      </c>
      <c r="I741" s="31">
        <v>3.0</v>
      </c>
      <c r="J741" s="28"/>
      <c r="K741" s="28"/>
      <c r="L741" s="28" t="s">
        <v>330</v>
      </c>
      <c r="M741" s="28" t="s">
        <v>331</v>
      </c>
      <c r="N741" s="28"/>
    </row>
    <row r="742" ht="16.5" customHeight="1">
      <c r="A742" s="35" t="s">
        <v>333</v>
      </c>
      <c r="B742" s="36">
        <v>44973.97100230324</v>
      </c>
      <c r="C742" s="35" t="s">
        <v>193</v>
      </c>
      <c r="D742" s="35" t="s">
        <v>76</v>
      </c>
      <c r="E742" s="35">
        <v>2023.0</v>
      </c>
      <c r="F742" s="43">
        <v>44973.97100230324</v>
      </c>
      <c r="G742" s="38">
        <v>2425.0</v>
      </c>
      <c r="H742" s="38">
        <v>4.0</v>
      </c>
      <c r="I742" s="38">
        <v>3.0</v>
      </c>
      <c r="J742" s="35"/>
      <c r="K742" s="35"/>
      <c r="L742" s="35" t="s">
        <v>330</v>
      </c>
      <c r="M742" s="35" t="s">
        <v>331</v>
      </c>
      <c r="N742" s="35"/>
    </row>
    <row r="743" ht="16.5" customHeight="1">
      <c r="A743" s="28" t="s">
        <v>376</v>
      </c>
      <c r="B743" s="29">
        <v>44973.99571328703</v>
      </c>
      <c r="C743" s="28" t="s">
        <v>193</v>
      </c>
      <c r="D743" s="28" t="s">
        <v>76</v>
      </c>
      <c r="E743" s="28">
        <v>2023.0</v>
      </c>
      <c r="F743" s="42">
        <v>44973.99571328703</v>
      </c>
      <c r="G743" s="31">
        <v>2424.0</v>
      </c>
      <c r="H743" s="31">
        <v>4.0</v>
      </c>
      <c r="I743" s="31">
        <v>3.0</v>
      </c>
      <c r="J743" s="28"/>
      <c r="K743" s="28"/>
      <c r="L743" s="28" t="s">
        <v>330</v>
      </c>
      <c r="M743" s="28" t="s">
        <v>331</v>
      </c>
      <c r="N743" s="28"/>
    </row>
    <row r="744" ht="16.5" customHeight="1">
      <c r="A744" s="35" t="s">
        <v>367</v>
      </c>
      <c r="B744" s="36">
        <v>44973.99613403935</v>
      </c>
      <c r="C744" s="35" t="s">
        <v>193</v>
      </c>
      <c r="D744" s="35" t="s">
        <v>76</v>
      </c>
      <c r="E744" s="35">
        <v>2023.0</v>
      </c>
      <c r="F744" s="43">
        <v>44973.99613403935</v>
      </c>
      <c r="G744" s="38">
        <v>2194.0</v>
      </c>
      <c r="H744" s="38">
        <v>4.0</v>
      </c>
      <c r="I744" s="38">
        <v>3.0</v>
      </c>
      <c r="J744" s="35"/>
      <c r="K744" s="35"/>
      <c r="L744" s="35" t="s">
        <v>330</v>
      </c>
      <c r="M744" s="35" t="s">
        <v>331</v>
      </c>
      <c r="N744" s="35"/>
    </row>
    <row r="745" ht="16.5" customHeight="1">
      <c r="A745" s="28" t="s">
        <v>397</v>
      </c>
      <c r="B745" s="29">
        <v>44974.047151562496</v>
      </c>
      <c r="C745" s="28" t="s">
        <v>210</v>
      </c>
      <c r="D745" s="28" t="s">
        <v>76</v>
      </c>
      <c r="E745" s="28">
        <v>2023.0</v>
      </c>
      <c r="F745" s="42">
        <v>44974.047151562496</v>
      </c>
      <c r="G745" s="31">
        <v>2438.0</v>
      </c>
      <c r="H745" s="31">
        <v>4.0</v>
      </c>
      <c r="I745" s="31">
        <v>3.0</v>
      </c>
      <c r="J745" s="28"/>
      <c r="K745" s="28"/>
      <c r="L745" s="28" t="s">
        <v>330</v>
      </c>
      <c r="M745" s="28" t="s">
        <v>331</v>
      </c>
      <c r="N745" s="28"/>
    </row>
    <row r="746" ht="16.5" customHeight="1">
      <c r="A746" s="35" t="s">
        <v>430</v>
      </c>
      <c r="B746" s="36">
        <v>44974.09483265046</v>
      </c>
      <c r="C746" s="35" t="s">
        <v>210</v>
      </c>
      <c r="D746" s="35" t="s">
        <v>76</v>
      </c>
      <c r="E746" s="35">
        <v>2023.0</v>
      </c>
      <c r="F746" s="43">
        <v>44974.09483265046</v>
      </c>
      <c r="G746" s="38">
        <v>2238.0</v>
      </c>
      <c r="H746" s="38">
        <v>4.0</v>
      </c>
      <c r="I746" s="38">
        <v>3.0</v>
      </c>
      <c r="J746" s="35"/>
      <c r="K746" s="35"/>
      <c r="L746" s="35" t="s">
        <v>330</v>
      </c>
      <c r="M746" s="35" t="s">
        <v>331</v>
      </c>
      <c r="N746" s="35"/>
    </row>
    <row r="747" ht="16.5" customHeight="1">
      <c r="A747" s="28" t="s">
        <v>498</v>
      </c>
      <c r="B747" s="29">
        <v>44974.11206356481</v>
      </c>
      <c r="C747" s="28" t="s">
        <v>210</v>
      </c>
      <c r="D747" s="28" t="s">
        <v>76</v>
      </c>
      <c r="E747" s="28">
        <v>2023.0</v>
      </c>
      <c r="F747" s="42">
        <v>44974.11206356481</v>
      </c>
      <c r="G747" s="31">
        <v>30336.0</v>
      </c>
      <c r="H747" s="31">
        <v>4.0</v>
      </c>
      <c r="I747" s="31">
        <v>3.0</v>
      </c>
      <c r="J747" s="28"/>
      <c r="K747" s="28"/>
      <c r="L747" s="28" t="s">
        <v>330</v>
      </c>
      <c r="M747" s="28" t="s">
        <v>331</v>
      </c>
      <c r="N747" s="28"/>
    </row>
    <row r="748" ht="16.5" customHeight="1">
      <c r="A748" s="35" t="s">
        <v>499</v>
      </c>
      <c r="B748" s="36">
        <v>44974.11896857639</v>
      </c>
      <c r="C748" s="35" t="s">
        <v>210</v>
      </c>
      <c r="D748" s="35" t="s">
        <v>76</v>
      </c>
      <c r="E748" s="35">
        <v>2023.0</v>
      </c>
      <c r="F748" s="43">
        <v>44974.11896857639</v>
      </c>
      <c r="G748" s="38">
        <v>2492.0</v>
      </c>
      <c r="H748" s="38">
        <v>4.0</v>
      </c>
      <c r="I748" s="38">
        <v>3.0</v>
      </c>
      <c r="J748" s="35"/>
      <c r="K748" s="35"/>
      <c r="L748" s="35" t="s">
        <v>330</v>
      </c>
      <c r="M748" s="35" t="s">
        <v>331</v>
      </c>
      <c r="N748" s="35"/>
    </row>
    <row r="749" ht="16.5" customHeight="1">
      <c r="A749" s="28" t="s">
        <v>352</v>
      </c>
      <c r="B749" s="29">
        <v>44974.12398634259</v>
      </c>
      <c r="C749" s="28" t="s">
        <v>210</v>
      </c>
      <c r="D749" s="28" t="s">
        <v>76</v>
      </c>
      <c r="E749" s="28">
        <v>2023.0</v>
      </c>
      <c r="F749" s="42">
        <v>44974.12398634259</v>
      </c>
      <c r="G749" s="31">
        <v>2173.0</v>
      </c>
      <c r="H749" s="31">
        <v>4.0</v>
      </c>
      <c r="I749" s="31">
        <v>3.0</v>
      </c>
      <c r="J749" s="28"/>
      <c r="K749" s="28"/>
      <c r="L749" s="28" t="s">
        <v>330</v>
      </c>
      <c r="M749" s="28" t="s">
        <v>331</v>
      </c>
      <c r="N749" s="28"/>
    </row>
    <row r="750" ht="16.5" customHeight="1">
      <c r="A750" s="35" t="s">
        <v>363</v>
      </c>
      <c r="B750" s="36">
        <v>44974.12452655092</v>
      </c>
      <c r="C750" s="35" t="s">
        <v>210</v>
      </c>
      <c r="D750" s="35" t="s">
        <v>76</v>
      </c>
      <c r="E750" s="35">
        <v>2023.0</v>
      </c>
      <c r="F750" s="43">
        <v>44974.12452655092</v>
      </c>
      <c r="G750" s="38">
        <v>2354.0</v>
      </c>
      <c r="H750" s="38">
        <v>4.0</v>
      </c>
      <c r="I750" s="38">
        <v>3.0</v>
      </c>
      <c r="J750" s="35"/>
      <c r="K750" s="35"/>
      <c r="L750" s="35" t="s">
        <v>330</v>
      </c>
      <c r="M750" s="35" t="s">
        <v>331</v>
      </c>
      <c r="N750" s="35"/>
    </row>
    <row r="751" ht="16.5" customHeight="1">
      <c r="A751" s="28" t="s">
        <v>500</v>
      </c>
      <c r="B751" s="29">
        <v>44974.13708710649</v>
      </c>
      <c r="C751" s="28" t="s">
        <v>210</v>
      </c>
      <c r="D751" s="28" t="s">
        <v>76</v>
      </c>
      <c r="E751" s="28">
        <v>2023.0</v>
      </c>
      <c r="F751" s="42">
        <v>44974.13708710649</v>
      </c>
      <c r="G751" s="31">
        <v>2661.0</v>
      </c>
      <c r="H751" s="31">
        <v>4.0</v>
      </c>
      <c r="I751" s="31">
        <v>3.0</v>
      </c>
      <c r="J751" s="28"/>
      <c r="K751" s="28"/>
      <c r="L751" s="28" t="s">
        <v>330</v>
      </c>
      <c r="M751" s="28" t="s">
        <v>331</v>
      </c>
      <c r="N751" s="28"/>
    </row>
    <row r="752" ht="16.5" customHeight="1">
      <c r="A752" s="35" t="s">
        <v>501</v>
      </c>
      <c r="B752" s="36">
        <v>44974.14427016204</v>
      </c>
      <c r="C752" s="35" t="s">
        <v>210</v>
      </c>
      <c r="D752" s="35" t="s">
        <v>76</v>
      </c>
      <c r="E752" s="35">
        <v>2023.0</v>
      </c>
      <c r="F752" s="43">
        <v>44974.14427016204</v>
      </c>
      <c r="G752" s="38">
        <v>1900.0</v>
      </c>
      <c r="H752" s="38">
        <v>3.0</v>
      </c>
      <c r="I752" s="38">
        <v>3.0</v>
      </c>
      <c r="J752" s="35"/>
      <c r="K752" s="35"/>
      <c r="L752" s="35" t="s">
        <v>330</v>
      </c>
      <c r="M752" s="35" t="s">
        <v>331</v>
      </c>
      <c r="N752" s="35"/>
    </row>
    <row r="753" ht="16.5" customHeight="1">
      <c r="A753" s="28" t="s">
        <v>385</v>
      </c>
      <c r="B753" s="29">
        <v>44974.15309832176</v>
      </c>
      <c r="C753" s="28" t="s">
        <v>210</v>
      </c>
      <c r="D753" s="28" t="s">
        <v>76</v>
      </c>
      <c r="E753" s="28">
        <v>2023.0</v>
      </c>
      <c r="F753" s="42">
        <v>44974.15309832176</v>
      </c>
      <c r="G753" s="31">
        <v>2622.0</v>
      </c>
      <c r="H753" s="31">
        <v>4.0</v>
      </c>
      <c r="I753" s="31">
        <v>3.0</v>
      </c>
      <c r="J753" s="28"/>
      <c r="K753" s="28"/>
      <c r="L753" s="28" t="s">
        <v>330</v>
      </c>
      <c r="M753" s="28" t="s">
        <v>331</v>
      </c>
      <c r="N753" s="28"/>
    </row>
    <row r="754" ht="16.5" customHeight="1">
      <c r="A754" s="35" t="s">
        <v>380</v>
      </c>
      <c r="B754" s="36">
        <v>44974.18343020833</v>
      </c>
      <c r="C754" s="35" t="s">
        <v>210</v>
      </c>
      <c r="D754" s="35" t="s">
        <v>76</v>
      </c>
      <c r="E754" s="35">
        <v>2023.0</v>
      </c>
      <c r="F754" s="43">
        <v>44974.18343020833</v>
      </c>
      <c r="G754" s="38">
        <v>2387.0</v>
      </c>
      <c r="H754" s="38">
        <v>3.0</v>
      </c>
      <c r="I754" s="38">
        <v>3.0</v>
      </c>
      <c r="J754" s="35"/>
      <c r="K754" s="35"/>
      <c r="L754" s="35" t="s">
        <v>330</v>
      </c>
      <c r="M754" s="35" t="s">
        <v>331</v>
      </c>
      <c r="N754" s="35"/>
    </row>
    <row r="755" ht="16.5" customHeight="1">
      <c r="A755" s="28" t="s">
        <v>400</v>
      </c>
      <c r="B755" s="29">
        <v>44974.186551597224</v>
      </c>
      <c r="C755" s="28" t="s">
        <v>210</v>
      </c>
      <c r="D755" s="28" t="s">
        <v>76</v>
      </c>
      <c r="E755" s="28">
        <v>2023.0</v>
      </c>
      <c r="F755" s="42">
        <v>44974.186551597224</v>
      </c>
      <c r="G755" s="31">
        <v>2201.0</v>
      </c>
      <c r="H755" s="31">
        <v>4.0</v>
      </c>
      <c r="I755" s="31">
        <v>3.0</v>
      </c>
      <c r="J755" s="28"/>
      <c r="K755" s="28"/>
      <c r="L755" s="28" t="s">
        <v>330</v>
      </c>
      <c r="M755" s="28" t="s">
        <v>331</v>
      </c>
      <c r="N755" s="28"/>
    </row>
    <row r="756" ht="16.5" customHeight="1">
      <c r="A756" s="35" t="s">
        <v>502</v>
      </c>
      <c r="B756" s="36">
        <v>44974.21473475694</v>
      </c>
      <c r="C756" s="35" t="s">
        <v>210</v>
      </c>
      <c r="D756" s="35" t="s">
        <v>76</v>
      </c>
      <c r="E756" s="35">
        <v>2023.0</v>
      </c>
      <c r="F756" s="43">
        <v>44974.21473475694</v>
      </c>
      <c r="G756" s="38">
        <v>2490.0</v>
      </c>
      <c r="H756" s="38">
        <v>4.0</v>
      </c>
      <c r="I756" s="38">
        <v>3.0</v>
      </c>
      <c r="J756" s="35"/>
      <c r="K756" s="35"/>
      <c r="L756" s="35" t="s">
        <v>330</v>
      </c>
      <c r="M756" s="35" t="s">
        <v>331</v>
      </c>
      <c r="N756" s="35"/>
    </row>
    <row r="757" ht="16.5" customHeight="1">
      <c r="A757" s="28" t="s">
        <v>503</v>
      </c>
      <c r="B757" s="29">
        <v>44974.467508946764</v>
      </c>
      <c r="C757" s="28" t="s">
        <v>210</v>
      </c>
      <c r="D757" s="28" t="s">
        <v>76</v>
      </c>
      <c r="E757" s="28">
        <v>2023.0</v>
      </c>
      <c r="F757" s="42">
        <v>44974.467508946764</v>
      </c>
      <c r="G757" s="31">
        <v>2204.0</v>
      </c>
      <c r="H757" s="31">
        <v>3.0</v>
      </c>
      <c r="I757" s="28"/>
      <c r="J757" s="31">
        <v>5.0</v>
      </c>
      <c r="K757" s="28"/>
      <c r="L757" s="28" t="s">
        <v>330</v>
      </c>
      <c r="M757" s="28" t="s">
        <v>331</v>
      </c>
      <c r="N757" s="28"/>
    </row>
    <row r="758" ht="16.5" customHeight="1">
      <c r="A758" s="35" t="s">
        <v>429</v>
      </c>
      <c r="B758" s="36">
        <v>44974.468040127314</v>
      </c>
      <c r="C758" s="35" t="s">
        <v>210</v>
      </c>
      <c r="D758" s="35" t="s">
        <v>76</v>
      </c>
      <c r="E758" s="35">
        <v>2023.0</v>
      </c>
      <c r="F758" s="43">
        <v>44974.468040127314</v>
      </c>
      <c r="G758" s="38">
        <v>2205.0</v>
      </c>
      <c r="H758" s="38">
        <v>3.0</v>
      </c>
      <c r="I758" s="35"/>
      <c r="J758" s="38">
        <v>5.0</v>
      </c>
      <c r="K758" s="35"/>
      <c r="L758" s="35" t="s">
        <v>330</v>
      </c>
      <c r="M758" s="35" t="s">
        <v>331</v>
      </c>
      <c r="N758" s="35"/>
    </row>
    <row r="759" ht="16.5" customHeight="1">
      <c r="A759" s="28" t="s">
        <v>504</v>
      </c>
      <c r="B759" s="29">
        <v>44974.46815231482</v>
      </c>
      <c r="C759" s="28" t="s">
        <v>210</v>
      </c>
      <c r="D759" s="28" t="s">
        <v>76</v>
      </c>
      <c r="E759" s="28">
        <v>2023.0</v>
      </c>
      <c r="F759" s="42">
        <v>44974.46815231482</v>
      </c>
      <c r="G759" s="31">
        <v>2389.0</v>
      </c>
      <c r="H759" s="31">
        <v>3.0</v>
      </c>
      <c r="I759" s="28"/>
      <c r="J759" s="31">
        <v>5.0</v>
      </c>
      <c r="K759" s="28"/>
      <c r="L759" s="28" t="s">
        <v>330</v>
      </c>
      <c r="M759" s="28" t="s">
        <v>331</v>
      </c>
      <c r="N759" s="28"/>
    </row>
    <row r="760" ht="16.5" customHeight="1">
      <c r="A760" s="35" t="s">
        <v>478</v>
      </c>
      <c r="B760" s="36">
        <v>44974.46827174768</v>
      </c>
      <c r="C760" s="35" t="s">
        <v>210</v>
      </c>
      <c r="D760" s="35" t="s">
        <v>76</v>
      </c>
      <c r="E760" s="35">
        <v>2023.0</v>
      </c>
      <c r="F760" s="43">
        <v>44974.46827174768</v>
      </c>
      <c r="G760" s="38">
        <v>2397.0</v>
      </c>
      <c r="H760" s="38">
        <v>3.0</v>
      </c>
      <c r="I760" s="35"/>
      <c r="J760" s="38">
        <v>5.0</v>
      </c>
      <c r="K760" s="35"/>
      <c r="L760" s="35" t="s">
        <v>330</v>
      </c>
      <c r="M760" s="35" t="s">
        <v>331</v>
      </c>
      <c r="N760" s="35"/>
    </row>
    <row r="761" ht="16.5" customHeight="1">
      <c r="A761" s="28" t="s">
        <v>505</v>
      </c>
      <c r="B761" s="29">
        <v>44974.4683928125</v>
      </c>
      <c r="C761" s="28" t="s">
        <v>210</v>
      </c>
      <c r="D761" s="28" t="s">
        <v>76</v>
      </c>
      <c r="E761" s="28">
        <v>2023.0</v>
      </c>
      <c r="F761" s="42">
        <v>44974.4683928125</v>
      </c>
      <c r="G761" s="31">
        <v>2398.0</v>
      </c>
      <c r="H761" s="31">
        <v>3.0</v>
      </c>
      <c r="I761" s="28"/>
      <c r="J761" s="31">
        <v>5.0</v>
      </c>
      <c r="K761" s="28"/>
      <c r="L761" s="28" t="s">
        <v>330</v>
      </c>
      <c r="M761" s="28" t="s">
        <v>331</v>
      </c>
      <c r="N761" s="28"/>
    </row>
    <row r="762" ht="16.5" customHeight="1">
      <c r="A762" s="35" t="s">
        <v>474</v>
      </c>
      <c r="B762" s="36">
        <v>44974.46851399305</v>
      </c>
      <c r="C762" s="35" t="s">
        <v>210</v>
      </c>
      <c r="D762" s="35" t="s">
        <v>76</v>
      </c>
      <c r="E762" s="35">
        <v>2023.0</v>
      </c>
      <c r="F762" s="43">
        <v>44974.46851399305</v>
      </c>
      <c r="G762" s="38">
        <v>2401.0</v>
      </c>
      <c r="H762" s="38">
        <v>3.0</v>
      </c>
      <c r="I762" s="35"/>
      <c r="J762" s="38">
        <v>5.0</v>
      </c>
      <c r="K762" s="35"/>
      <c r="L762" s="35" t="s">
        <v>330</v>
      </c>
      <c r="M762" s="35" t="s">
        <v>331</v>
      </c>
      <c r="N762" s="35"/>
    </row>
    <row r="763" ht="16.5" customHeight="1">
      <c r="A763" s="28" t="s">
        <v>506</v>
      </c>
      <c r="B763" s="29">
        <v>44974.46864739583</v>
      </c>
      <c r="C763" s="28" t="s">
        <v>210</v>
      </c>
      <c r="D763" s="28" t="s">
        <v>76</v>
      </c>
      <c r="E763" s="28">
        <v>2023.0</v>
      </c>
      <c r="F763" s="42">
        <v>44974.46864739583</v>
      </c>
      <c r="G763" s="31">
        <v>2436.0</v>
      </c>
      <c r="H763" s="31">
        <v>3.0</v>
      </c>
      <c r="I763" s="28"/>
      <c r="J763" s="31">
        <v>5.0</v>
      </c>
      <c r="K763" s="28"/>
      <c r="L763" s="28" t="s">
        <v>330</v>
      </c>
      <c r="M763" s="28" t="s">
        <v>331</v>
      </c>
      <c r="N763" s="28"/>
    </row>
    <row r="764" ht="16.5" customHeight="1">
      <c r="A764" s="35" t="s">
        <v>507</v>
      </c>
      <c r="B764" s="36">
        <v>44974.46874489583</v>
      </c>
      <c r="C764" s="35" t="s">
        <v>210</v>
      </c>
      <c r="D764" s="35" t="s">
        <v>76</v>
      </c>
      <c r="E764" s="35">
        <v>2023.0</v>
      </c>
      <c r="F764" s="43">
        <v>44974.46874489583</v>
      </c>
      <c r="G764" s="38">
        <v>2516.0</v>
      </c>
      <c r="H764" s="38">
        <v>3.0</v>
      </c>
      <c r="I764" s="35"/>
      <c r="J764" s="38">
        <v>5.0</v>
      </c>
      <c r="K764" s="35"/>
      <c r="L764" s="35" t="s">
        <v>330</v>
      </c>
      <c r="M764" s="35" t="s">
        <v>331</v>
      </c>
      <c r="N764" s="35"/>
    </row>
    <row r="765" ht="16.5" customHeight="1">
      <c r="A765" s="28" t="s">
        <v>508</v>
      </c>
      <c r="B765" s="29">
        <v>44974.4688421875</v>
      </c>
      <c r="C765" s="28" t="s">
        <v>210</v>
      </c>
      <c r="D765" s="28" t="s">
        <v>76</v>
      </c>
      <c r="E765" s="28">
        <v>2023.0</v>
      </c>
      <c r="F765" s="42">
        <v>44974.4688421875</v>
      </c>
      <c r="G765" s="31">
        <v>2628.0</v>
      </c>
      <c r="H765" s="31">
        <v>3.0</v>
      </c>
      <c r="I765" s="28"/>
      <c r="J765" s="31">
        <v>5.0</v>
      </c>
      <c r="K765" s="28"/>
      <c r="L765" s="28" t="s">
        <v>330</v>
      </c>
      <c r="M765" s="28" t="s">
        <v>331</v>
      </c>
      <c r="N765" s="28"/>
    </row>
    <row r="766" ht="16.5" customHeight="1">
      <c r="A766" s="35" t="s">
        <v>509</v>
      </c>
      <c r="B766" s="36">
        <v>44974.468945625005</v>
      </c>
      <c r="C766" s="35" t="s">
        <v>210</v>
      </c>
      <c r="D766" s="35" t="s">
        <v>76</v>
      </c>
      <c r="E766" s="35">
        <v>2023.0</v>
      </c>
      <c r="F766" s="43">
        <v>44974.468945625005</v>
      </c>
      <c r="G766" s="38">
        <v>2638.0</v>
      </c>
      <c r="H766" s="38">
        <v>3.0</v>
      </c>
      <c r="I766" s="35"/>
      <c r="J766" s="38">
        <v>5.0</v>
      </c>
      <c r="K766" s="35"/>
      <c r="L766" s="35" t="s">
        <v>330</v>
      </c>
      <c r="M766" s="35" t="s">
        <v>331</v>
      </c>
      <c r="N766" s="35"/>
    </row>
    <row r="767" ht="16.5" customHeight="1">
      <c r="A767" s="28" t="s">
        <v>451</v>
      </c>
      <c r="B767" s="29">
        <v>44974.469057905095</v>
      </c>
      <c r="C767" s="28" t="s">
        <v>210</v>
      </c>
      <c r="D767" s="28" t="s">
        <v>76</v>
      </c>
      <c r="E767" s="28">
        <v>2023.0</v>
      </c>
      <c r="F767" s="42">
        <v>44974.469057905095</v>
      </c>
      <c r="G767" s="31">
        <v>2682.0</v>
      </c>
      <c r="H767" s="31">
        <v>3.0</v>
      </c>
      <c r="I767" s="28"/>
      <c r="J767" s="31">
        <v>5.0</v>
      </c>
      <c r="K767" s="28"/>
      <c r="L767" s="28" t="s">
        <v>330</v>
      </c>
      <c r="M767" s="28" t="s">
        <v>331</v>
      </c>
      <c r="N767" s="28"/>
    </row>
    <row r="768" ht="16.5" customHeight="1">
      <c r="A768" s="35" t="s">
        <v>468</v>
      </c>
      <c r="B768" s="36">
        <v>44974.46916298611</v>
      </c>
      <c r="C768" s="35" t="s">
        <v>210</v>
      </c>
      <c r="D768" s="35" t="s">
        <v>76</v>
      </c>
      <c r="E768" s="35">
        <v>2023.0</v>
      </c>
      <c r="F768" s="43">
        <v>44974.46916298611</v>
      </c>
      <c r="G768" s="38">
        <v>2683.0</v>
      </c>
      <c r="H768" s="38">
        <v>3.0</v>
      </c>
      <c r="I768" s="35"/>
      <c r="J768" s="38">
        <v>5.0</v>
      </c>
      <c r="K768" s="35"/>
      <c r="L768" s="35" t="s">
        <v>330</v>
      </c>
      <c r="M768" s="35" t="s">
        <v>331</v>
      </c>
      <c r="N768" s="35"/>
    </row>
    <row r="769" ht="16.5" customHeight="1">
      <c r="A769" s="28" t="s">
        <v>510</v>
      </c>
      <c r="B769" s="29">
        <v>44974.46982990741</v>
      </c>
      <c r="C769" s="28" t="s">
        <v>210</v>
      </c>
      <c r="D769" s="28" t="s">
        <v>76</v>
      </c>
      <c r="E769" s="28">
        <v>2023.0</v>
      </c>
      <c r="F769" s="42">
        <v>44974.46982990741</v>
      </c>
      <c r="G769" s="31">
        <v>2640.0</v>
      </c>
      <c r="H769" s="31">
        <v>3.0</v>
      </c>
      <c r="I769" s="28"/>
      <c r="J769" s="31">
        <v>5.0</v>
      </c>
      <c r="K769" s="28"/>
      <c r="L769" s="28" t="s">
        <v>330</v>
      </c>
      <c r="M769" s="28" t="s">
        <v>331</v>
      </c>
      <c r="N769" s="28"/>
    </row>
    <row r="770" ht="16.5" customHeight="1">
      <c r="A770" s="35" t="s">
        <v>428</v>
      </c>
      <c r="B770" s="36">
        <v>44974.46995130787</v>
      </c>
      <c r="C770" s="35" t="s">
        <v>210</v>
      </c>
      <c r="D770" s="35" t="s">
        <v>76</v>
      </c>
      <c r="E770" s="35">
        <v>2023.0</v>
      </c>
      <c r="F770" s="43">
        <v>44974.46995130787</v>
      </c>
      <c r="G770" s="38">
        <v>2643.0</v>
      </c>
      <c r="H770" s="38">
        <v>3.0</v>
      </c>
      <c r="I770" s="35"/>
      <c r="J770" s="38">
        <v>5.0</v>
      </c>
      <c r="K770" s="35"/>
      <c r="L770" s="35" t="s">
        <v>330</v>
      </c>
      <c r="M770" s="35" t="s">
        <v>331</v>
      </c>
      <c r="N770" s="35"/>
    </row>
    <row r="771" ht="16.5" customHeight="1">
      <c r="A771" s="28" t="s">
        <v>511</v>
      </c>
      <c r="B771" s="29">
        <v>44974.47011501157</v>
      </c>
      <c r="C771" s="28" t="s">
        <v>210</v>
      </c>
      <c r="D771" s="28" t="s">
        <v>76</v>
      </c>
      <c r="E771" s="28">
        <v>2023.0</v>
      </c>
      <c r="F771" s="42">
        <v>44974.47011501157</v>
      </c>
      <c r="G771" s="31">
        <v>2674.0</v>
      </c>
      <c r="H771" s="31">
        <v>3.0</v>
      </c>
      <c r="I771" s="28"/>
      <c r="J771" s="31">
        <v>5.0</v>
      </c>
      <c r="K771" s="28"/>
      <c r="L771" s="28" t="s">
        <v>330</v>
      </c>
      <c r="M771" s="28" t="s">
        <v>331</v>
      </c>
      <c r="N771" s="28"/>
    </row>
    <row r="772" ht="16.5" customHeight="1">
      <c r="A772" s="35" t="s">
        <v>512</v>
      </c>
      <c r="B772" s="36">
        <v>44974.470232719905</v>
      </c>
      <c r="C772" s="35" t="s">
        <v>210</v>
      </c>
      <c r="D772" s="35" t="s">
        <v>76</v>
      </c>
      <c r="E772" s="35">
        <v>2023.0</v>
      </c>
      <c r="F772" s="43">
        <v>44974.470232719905</v>
      </c>
      <c r="G772" s="38">
        <v>2681.0</v>
      </c>
      <c r="H772" s="38">
        <v>3.0</v>
      </c>
      <c r="I772" s="35"/>
      <c r="J772" s="38">
        <v>5.0</v>
      </c>
      <c r="K772" s="35"/>
      <c r="L772" s="35" t="s">
        <v>330</v>
      </c>
      <c r="M772" s="35" t="s">
        <v>331</v>
      </c>
      <c r="N772" s="35"/>
    </row>
    <row r="773" ht="16.5" customHeight="1">
      <c r="A773" s="28" t="s">
        <v>513</v>
      </c>
      <c r="B773" s="29">
        <v>44974.47037597222</v>
      </c>
      <c r="C773" s="28" t="s">
        <v>210</v>
      </c>
      <c r="D773" s="28" t="s">
        <v>76</v>
      </c>
      <c r="E773" s="28">
        <v>2023.0</v>
      </c>
      <c r="F773" s="42">
        <v>44974.47037597222</v>
      </c>
      <c r="G773" s="31">
        <v>2648.0</v>
      </c>
      <c r="H773" s="31">
        <v>3.0</v>
      </c>
      <c r="I773" s="28"/>
      <c r="J773" s="31">
        <v>5.0</v>
      </c>
      <c r="K773" s="28"/>
      <c r="L773" s="28" t="s">
        <v>330</v>
      </c>
      <c r="M773" s="28" t="s">
        <v>331</v>
      </c>
      <c r="N773" s="28"/>
    </row>
    <row r="774" ht="16.5" customHeight="1">
      <c r="A774" s="35" t="s">
        <v>514</v>
      </c>
      <c r="B774" s="36">
        <v>44974.47657304398</v>
      </c>
      <c r="C774" s="35" t="s">
        <v>210</v>
      </c>
      <c r="D774" s="35" t="s">
        <v>76</v>
      </c>
      <c r="E774" s="35">
        <v>2023.0</v>
      </c>
      <c r="F774" s="43">
        <v>44974.47657304398</v>
      </c>
      <c r="G774" s="38">
        <v>2642.0</v>
      </c>
      <c r="H774" s="38">
        <v>3.0</v>
      </c>
      <c r="I774" s="35"/>
      <c r="J774" s="38">
        <v>5.0</v>
      </c>
      <c r="K774" s="35"/>
      <c r="L774" s="35" t="s">
        <v>330</v>
      </c>
      <c r="M774" s="35" t="s">
        <v>331</v>
      </c>
      <c r="N774" s="35"/>
    </row>
    <row r="775" ht="16.5" customHeight="1">
      <c r="A775" s="28" t="s">
        <v>347</v>
      </c>
      <c r="B775" s="29">
        <v>44974.88428319445</v>
      </c>
      <c r="C775" s="28" t="s">
        <v>210</v>
      </c>
      <c r="D775" s="28" t="s">
        <v>76</v>
      </c>
      <c r="E775" s="28">
        <v>2023.0</v>
      </c>
      <c r="F775" s="42">
        <v>44974.88428319445</v>
      </c>
      <c r="G775" s="31">
        <v>2678.0</v>
      </c>
      <c r="H775" s="31">
        <v>3.0</v>
      </c>
      <c r="I775" s="31">
        <v>3.0</v>
      </c>
      <c r="J775" s="28"/>
      <c r="K775" s="28"/>
      <c r="L775" s="28" t="s">
        <v>330</v>
      </c>
      <c r="M775" s="28" t="s">
        <v>331</v>
      </c>
      <c r="N775" s="28"/>
    </row>
    <row r="776" ht="16.5" customHeight="1">
      <c r="A776" s="35" t="s">
        <v>474</v>
      </c>
      <c r="B776" s="36">
        <v>44974.88467252315</v>
      </c>
      <c r="C776" s="35" t="s">
        <v>210</v>
      </c>
      <c r="D776" s="35" t="s">
        <v>76</v>
      </c>
      <c r="E776" s="35">
        <v>2023.0</v>
      </c>
      <c r="F776" s="43">
        <v>44974.88467252315</v>
      </c>
      <c r="G776" s="38">
        <v>2401.0</v>
      </c>
      <c r="H776" s="38">
        <v>4.0</v>
      </c>
      <c r="I776" s="38">
        <v>3.0</v>
      </c>
      <c r="J776" s="35"/>
      <c r="K776" s="35"/>
      <c r="L776" s="35" t="s">
        <v>330</v>
      </c>
      <c r="M776" s="35" t="s">
        <v>331</v>
      </c>
      <c r="N776" s="35"/>
    </row>
    <row r="777" ht="16.5" customHeight="1">
      <c r="A777" s="28" t="s">
        <v>373</v>
      </c>
      <c r="B777" s="29">
        <v>44974.894405625004</v>
      </c>
      <c r="C777" s="28" t="s">
        <v>210</v>
      </c>
      <c r="D777" s="28" t="s">
        <v>76</v>
      </c>
      <c r="E777" s="28">
        <v>2023.0</v>
      </c>
      <c r="F777" s="42">
        <v>44974.894405625004</v>
      </c>
      <c r="G777" s="31">
        <v>2391.0</v>
      </c>
      <c r="H777" s="31">
        <v>3.0</v>
      </c>
      <c r="I777" s="31">
        <v>3.0</v>
      </c>
      <c r="J777" s="28"/>
      <c r="K777" s="28"/>
      <c r="L777" s="28" t="s">
        <v>330</v>
      </c>
      <c r="M777" s="28" t="s">
        <v>331</v>
      </c>
      <c r="N777" s="28"/>
    </row>
    <row r="778" ht="16.5" customHeight="1">
      <c r="A778" s="35" t="s">
        <v>364</v>
      </c>
      <c r="B778" s="36">
        <v>44974.91224211805</v>
      </c>
      <c r="C778" s="35" t="s">
        <v>210</v>
      </c>
      <c r="D778" s="35" t="s">
        <v>76</v>
      </c>
      <c r="E778" s="35">
        <v>2023.0</v>
      </c>
      <c r="F778" s="43">
        <v>44974.91224211805</v>
      </c>
      <c r="G778" s="38">
        <v>2629.0</v>
      </c>
      <c r="H778" s="38">
        <v>3.0</v>
      </c>
      <c r="I778" s="38">
        <v>3.0</v>
      </c>
      <c r="J778" s="35"/>
      <c r="K778" s="35"/>
      <c r="L778" s="35" t="s">
        <v>330</v>
      </c>
      <c r="M778" s="35" t="s">
        <v>331</v>
      </c>
      <c r="N778" s="35"/>
    </row>
    <row r="779" ht="16.5" customHeight="1">
      <c r="A779" s="28" t="s">
        <v>475</v>
      </c>
      <c r="B779" s="29">
        <v>44974.91541269676</v>
      </c>
      <c r="C779" s="28" t="s">
        <v>210</v>
      </c>
      <c r="D779" s="28" t="s">
        <v>76</v>
      </c>
      <c r="E779" s="28">
        <v>2023.0</v>
      </c>
      <c r="F779" s="42">
        <v>44974.91541269676</v>
      </c>
      <c r="G779" s="31">
        <v>2273.0</v>
      </c>
      <c r="H779" s="31">
        <v>3.0</v>
      </c>
      <c r="I779" s="31">
        <v>3.0</v>
      </c>
      <c r="J779" s="28"/>
      <c r="K779" s="28"/>
      <c r="L779" s="28" t="s">
        <v>330</v>
      </c>
      <c r="M779" s="28" t="s">
        <v>331</v>
      </c>
      <c r="N779" s="28"/>
    </row>
    <row r="780" ht="16.5" customHeight="1">
      <c r="A780" s="35" t="s">
        <v>425</v>
      </c>
      <c r="B780" s="36">
        <v>44974.92001760416</v>
      </c>
      <c r="C780" s="35" t="s">
        <v>210</v>
      </c>
      <c r="D780" s="35" t="s">
        <v>76</v>
      </c>
      <c r="E780" s="35">
        <v>2023.0</v>
      </c>
      <c r="F780" s="43">
        <v>44974.92001760416</v>
      </c>
      <c r="G780" s="38">
        <v>2187.0</v>
      </c>
      <c r="H780" s="38">
        <v>3.0</v>
      </c>
      <c r="I780" s="38">
        <v>3.0</v>
      </c>
      <c r="J780" s="35"/>
      <c r="K780" s="35"/>
      <c r="L780" s="35" t="s">
        <v>330</v>
      </c>
      <c r="M780" s="35" t="s">
        <v>331</v>
      </c>
      <c r="N780" s="35"/>
    </row>
    <row r="781" ht="16.5" customHeight="1">
      <c r="A781" s="28" t="s">
        <v>466</v>
      </c>
      <c r="B781" s="29">
        <v>44974.93265984954</v>
      </c>
      <c r="C781" s="28" t="s">
        <v>210</v>
      </c>
      <c r="D781" s="28" t="s">
        <v>76</v>
      </c>
      <c r="E781" s="28">
        <v>2023.0</v>
      </c>
      <c r="F781" s="42">
        <v>44974.93265984954</v>
      </c>
      <c r="G781" s="31">
        <v>2659.0</v>
      </c>
      <c r="H781" s="31">
        <v>3.0</v>
      </c>
      <c r="I781" s="31">
        <v>3.0</v>
      </c>
      <c r="J781" s="28"/>
      <c r="K781" s="28"/>
      <c r="L781" s="28" t="s">
        <v>330</v>
      </c>
      <c r="M781" s="28" t="s">
        <v>331</v>
      </c>
      <c r="N781" s="28"/>
    </row>
    <row r="782" ht="16.5" customHeight="1">
      <c r="A782" s="35" t="s">
        <v>504</v>
      </c>
      <c r="B782" s="36">
        <v>44974.97615037037</v>
      </c>
      <c r="C782" s="35" t="s">
        <v>210</v>
      </c>
      <c r="D782" s="35" t="s">
        <v>76</v>
      </c>
      <c r="E782" s="35">
        <v>2023.0</v>
      </c>
      <c r="F782" s="43">
        <v>44974.97615037037</v>
      </c>
      <c r="G782" s="38">
        <v>2389.0</v>
      </c>
      <c r="H782" s="38">
        <v>3.0</v>
      </c>
      <c r="I782" s="38">
        <v>3.0</v>
      </c>
      <c r="J782" s="35"/>
      <c r="K782" s="35"/>
      <c r="L782" s="35" t="s">
        <v>330</v>
      </c>
      <c r="M782" s="35" t="s">
        <v>331</v>
      </c>
      <c r="N782" s="35"/>
    </row>
    <row r="783" ht="16.5" customHeight="1">
      <c r="A783" s="28" t="s">
        <v>515</v>
      </c>
      <c r="B783" s="29">
        <v>44974.97642125</v>
      </c>
      <c r="C783" s="28" t="s">
        <v>210</v>
      </c>
      <c r="D783" s="28" t="s">
        <v>76</v>
      </c>
      <c r="E783" s="28">
        <v>2023.0</v>
      </c>
      <c r="F783" s="42">
        <v>44974.97642125</v>
      </c>
      <c r="G783" s="31">
        <v>2626.0</v>
      </c>
      <c r="H783" s="31">
        <v>4.0</v>
      </c>
      <c r="I783" s="31">
        <v>3.0</v>
      </c>
      <c r="J783" s="28"/>
      <c r="K783" s="28"/>
      <c r="L783" s="28" t="s">
        <v>330</v>
      </c>
      <c r="M783" s="28" t="s">
        <v>331</v>
      </c>
      <c r="N783" s="28"/>
    </row>
    <row r="784" ht="16.5" customHeight="1">
      <c r="A784" s="35" t="s">
        <v>452</v>
      </c>
      <c r="B784" s="36">
        <v>44974.97697109954</v>
      </c>
      <c r="C784" s="35" t="s">
        <v>210</v>
      </c>
      <c r="D784" s="35" t="s">
        <v>76</v>
      </c>
      <c r="E784" s="35">
        <v>2023.0</v>
      </c>
      <c r="F784" s="43">
        <v>44974.97697109954</v>
      </c>
      <c r="G784" s="38">
        <v>2400.0</v>
      </c>
      <c r="H784" s="38">
        <v>3.0</v>
      </c>
      <c r="I784" s="38">
        <v>3.0</v>
      </c>
      <c r="J784" s="35"/>
      <c r="K784" s="35"/>
      <c r="L784" s="35" t="s">
        <v>330</v>
      </c>
      <c r="M784" s="35" t="s">
        <v>331</v>
      </c>
      <c r="N784" s="35"/>
    </row>
    <row r="785" ht="16.5" customHeight="1">
      <c r="A785" s="28" t="s">
        <v>384</v>
      </c>
      <c r="B785" s="29">
        <v>44975.016637152774</v>
      </c>
      <c r="C785" s="28" t="s">
        <v>227</v>
      </c>
      <c r="D785" s="28" t="s">
        <v>76</v>
      </c>
      <c r="E785" s="28">
        <v>2023.0</v>
      </c>
      <c r="F785" s="42">
        <v>44975.016637152774</v>
      </c>
      <c r="G785" s="31">
        <v>2623.0</v>
      </c>
      <c r="H785" s="31">
        <v>3.0</v>
      </c>
      <c r="I785" s="31">
        <v>3.0</v>
      </c>
      <c r="J785" s="28"/>
      <c r="K785" s="28"/>
      <c r="L785" s="28" t="s">
        <v>330</v>
      </c>
      <c r="M785" s="28" t="s">
        <v>331</v>
      </c>
      <c r="N785" s="28"/>
    </row>
    <row r="786" ht="16.5" customHeight="1">
      <c r="A786" s="35" t="s">
        <v>368</v>
      </c>
      <c r="B786" s="36">
        <v>44975.04599982639</v>
      </c>
      <c r="C786" s="35" t="s">
        <v>227</v>
      </c>
      <c r="D786" s="35" t="s">
        <v>76</v>
      </c>
      <c r="E786" s="35">
        <v>2023.0</v>
      </c>
      <c r="F786" s="43">
        <v>44975.04599982639</v>
      </c>
      <c r="G786" s="38">
        <v>2239.0</v>
      </c>
      <c r="H786" s="38">
        <v>3.0</v>
      </c>
      <c r="I786" s="38">
        <v>3.0</v>
      </c>
      <c r="J786" s="35"/>
      <c r="K786" s="35"/>
      <c r="L786" s="35" t="s">
        <v>330</v>
      </c>
      <c r="M786" s="35" t="s">
        <v>331</v>
      </c>
      <c r="N786" s="35"/>
    </row>
    <row r="787" ht="16.5" customHeight="1">
      <c r="A787" s="28" t="s">
        <v>421</v>
      </c>
      <c r="B787" s="29">
        <v>44975.05712784722</v>
      </c>
      <c r="C787" s="28" t="s">
        <v>227</v>
      </c>
      <c r="D787" s="28" t="s">
        <v>76</v>
      </c>
      <c r="E787" s="28">
        <v>2023.0</v>
      </c>
      <c r="F787" s="42">
        <v>44975.05712784722</v>
      </c>
      <c r="G787" s="31">
        <v>2421.0</v>
      </c>
      <c r="H787" s="31">
        <v>3.0</v>
      </c>
      <c r="I787" s="31">
        <v>3.0</v>
      </c>
      <c r="J787" s="28"/>
      <c r="K787" s="28"/>
      <c r="L787" s="28" t="s">
        <v>330</v>
      </c>
      <c r="M787" s="28" t="s">
        <v>331</v>
      </c>
      <c r="N787" s="28"/>
    </row>
    <row r="788" ht="16.5" customHeight="1">
      <c r="A788" s="35" t="s">
        <v>421</v>
      </c>
      <c r="B788" s="36">
        <v>44975.05757333333</v>
      </c>
      <c r="C788" s="35" t="s">
        <v>227</v>
      </c>
      <c r="D788" s="35" t="s">
        <v>76</v>
      </c>
      <c r="E788" s="35">
        <v>2023.0</v>
      </c>
      <c r="F788" s="43">
        <v>44975.05757333333</v>
      </c>
      <c r="G788" s="38">
        <v>2421.0</v>
      </c>
      <c r="H788" s="38">
        <v>3.0</v>
      </c>
      <c r="I788" s="38">
        <v>3.0</v>
      </c>
      <c r="J788" s="35"/>
      <c r="K788" s="35"/>
      <c r="L788" s="35" t="s">
        <v>330</v>
      </c>
      <c r="M788" s="35" t="s">
        <v>331</v>
      </c>
      <c r="N788" s="35"/>
    </row>
    <row r="789" ht="16.5" customHeight="1">
      <c r="A789" s="28" t="s">
        <v>516</v>
      </c>
      <c r="B789" s="29">
        <v>44975.070863217596</v>
      </c>
      <c r="C789" s="28" t="s">
        <v>227</v>
      </c>
      <c r="D789" s="28" t="s">
        <v>76</v>
      </c>
      <c r="E789" s="28">
        <v>2023.0</v>
      </c>
      <c r="F789" s="42">
        <v>44975.070863217596</v>
      </c>
      <c r="G789" s="31">
        <v>2230.0</v>
      </c>
      <c r="H789" s="31">
        <v>4.0</v>
      </c>
      <c r="I789" s="31">
        <v>3.0</v>
      </c>
      <c r="J789" s="28"/>
      <c r="K789" s="28"/>
      <c r="L789" s="28" t="s">
        <v>330</v>
      </c>
      <c r="M789" s="28" t="s">
        <v>331</v>
      </c>
      <c r="N789" s="28"/>
    </row>
    <row r="790" ht="16.5" customHeight="1">
      <c r="A790" s="35" t="s">
        <v>464</v>
      </c>
      <c r="B790" s="36">
        <v>44975.12870140046</v>
      </c>
      <c r="C790" s="35" t="s">
        <v>227</v>
      </c>
      <c r="D790" s="35" t="s">
        <v>76</v>
      </c>
      <c r="E790" s="35">
        <v>2023.0</v>
      </c>
      <c r="F790" s="43">
        <v>44975.12870140046</v>
      </c>
      <c r="G790" s="38">
        <v>2570.0</v>
      </c>
      <c r="H790" s="38">
        <v>4.0</v>
      </c>
      <c r="I790" s="38">
        <v>3.0</v>
      </c>
      <c r="J790" s="35"/>
      <c r="K790" s="35"/>
      <c r="L790" s="35" t="s">
        <v>330</v>
      </c>
      <c r="M790" s="35" t="s">
        <v>331</v>
      </c>
      <c r="N790" s="35"/>
    </row>
    <row r="791" ht="16.5" customHeight="1">
      <c r="A791" s="28" t="s">
        <v>390</v>
      </c>
      <c r="B791" s="29">
        <v>44975.13036649306</v>
      </c>
      <c r="C791" s="28" t="s">
        <v>227</v>
      </c>
      <c r="D791" s="28" t="s">
        <v>76</v>
      </c>
      <c r="E791" s="28">
        <v>2023.0</v>
      </c>
      <c r="F791" s="42">
        <v>44975.13036649306</v>
      </c>
      <c r="G791" s="31">
        <v>2379.0</v>
      </c>
      <c r="H791" s="31">
        <v>3.0</v>
      </c>
      <c r="I791" s="31">
        <v>3.0</v>
      </c>
      <c r="J791" s="28"/>
      <c r="K791" s="28"/>
      <c r="L791" s="28" t="s">
        <v>330</v>
      </c>
      <c r="M791" s="28" t="s">
        <v>331</v>
      </c>
      <c r="N791" s="28"/>
    </row>
    <row r="792" ht="16.5" customHeight="1">
      <c r="A792" s="35" t="s">
        <v>329</v>
      </c>
      <c r="B792" s="36">
        <v>44975.13086961806</v>
      </c>
      <c r="C792" s="35" t="s">
        <v>227</v>
      </c>
      <c r="D792" s="35" t="s">
        <v>76</v>
      </c>
      <c r="E792" s="35">
        <v>2023.0</v>
      </c>
      <c r="F792" s="43">
        <v>44975.13086961806</v>
      </c>
      <c r="G792" s="38">
        <v>2196.0</v>
      </c>
      <c r="H792" s="38">
        <v>3.0</v>
      </c>
      <c r="I792" s="38">
        <v>3.0</v>
      </c>
      <c r="J792" s="35"/>
      <c r="K792" s="35"/>
      <c r="L792" s="35" t="s">
        <v>330</v>
      </c>
      <c r="M792" s="35" t="s">
        <v>331</v>
      </c>
      <c r="N792" s="35"/>
    </row>
    <row r="793" ht="16.5" customHeight="1">
      <c r="A793" s="28" t="s">
        <v>517</v>
      </c>
      <c r="B793" s="29">
        <v>44975.74387293981</v>
      </c>
      <c r="C793" s="28" t="s">
        <v>227</v>
      </c>
      <c r="D793" s="28" t="s">
        <v>76</v>
      </c>
      <c r="E793" s="28">
        <v>2023.0</v>
      </c>
      <c r="F793" s="42">
        <v>44975.74387293981</v>
      </c>
      <c r="G793" s="31">
        <v>2394.0</v>
      </c>
      <c r="H793" s="31">
        <v>2.0</v>
      </c>
      <c r="I793" s="31">
        <v>3.0</v>
      </c>
      <c r="J793" s="28"/>
      <c r="K793" s="28"/>
      <c r="L793" s="28" t="s">
        <v>330</v>
      </c>
      <c r="M793" s="28" t="s">
        <v>331</v>
      </c>
      <c r="N793" s="28"/>
    </row>
    <row r="794" ht="16.5" customHeight="1">
      <c r="A794" s="35" t="s">
        <v>430</v>
      </c>
      <c r="B794" s="36">
        <v>44975.75494646991</v>
      </c>
      <c r="C794" s="35" t="s">
        <v>227</v>
      </c>
      <c r="D794" s="35" t="s">
        <v>76</v>
      </c>
      <c r="E794" s="35">
        <v>2023.0</v>
      </c>
      <c r="F794" s="43">
        <v>44975.75494646991</v>
      </c>
      <c r="G794" s="38">
        <v>2238.0</v>
      </c>
      <c r="H794" s="38">
        <v>2.0</v>
      </c>
      <c r="I794" s="38">
        <v>3.0</v>
      </c>
      <c r="J794" s="35"/>
      <c r="K794" s="35"/>
      <c r="L794" s="35" t="s">
        <v>330</v>
      </c>
      <c r="M794" s="35" t="s">
        <v>331</v>
      </c>
      <c r="N794" s="35"/>
    </row>
    <row r="795" ht="16.5" customHeight="1">
      <c r="A795" s="28" t="s">
        <v>389</v>
      </c>
      <c r="B795" s="29">
        <v>44975.75536664352</v>
      </c>
      <c r="C795" s="28" t="s">
        <v>227</v>
      </c>
      <c r="D795" s="28" t="s">
        <v>76</v>
      </c>
      <c r="E795" s="28">
        <v>2023.0</v>
      </c>
      <c r="F795" s="42">
        <v>44975.75536664352</v>
      </c>
      <c r="G795" s="31">
        <v>2252.0</v>
      </c>
      <c r="H795" s="31">
        <v>2.0</v>
      </c>
      <c r="I795" s="31">
        <v>3.0</v>
      </c>
      <c r="J795" s="28"/>
      <c r="K795" s="28"/>
      <c r="L795" s="28" t="s">
        <v>330</v>
      </c>
      <c r="M795" s="28" t="s">
        <v>331</v>
      </c>
      <c r="N795" s="28"/>
    </row>
    <row r="796" ht="16.5" customHeight="1">
      <c r="A796" s="35" t="s">
        <v>396</v>
      </c>
      <c r="B796" s="36">
        <v>44975.79332510417</v>
      </c>
      <c r="C796" s="35" t="s">
        <v>227</v>
      </c>
      <c r="D796" s="35" t="s">
        <v>76</v>
      </c>
      <c r="E796" s="35">
        <v>2023.0</v>
      </c>
      <c r="F796" s="43">
        <v>44975.79332510417</v>
      </c>
      <c r="G796" s="38">
        <v>2632.0</v>
      </c>
      <c r="H796" s="38">
        <v>2.0</v>
      </c>
      <c r="I796" s="38">
        <v>3.0</v>
      </c>
      <c r="J796" s="35"/>
      <c r="K796" s="35"/>
      <c r="L796" s="35" t="s">
        <v>330</v>
      </c>
      <c r="M796" s="35" t="s">
        <v>331</v>
      </c>
      <c r="N796" s="35"/>
    </row>
    <row r="797" ht="16.5" customHeight="1">
      <c r="A797" s="28" t="s">
        <v>480</v>
      </c>
      <c r="B797" s="29">
        <v>44975.80169068287</v>
      </c>
      <c r="C797" s="28" t="s">
        <v>227</v>
      </c>
      <c r="D797" s="28" t="s">
        <v>76</v>
      </c>
      <c r="E797" s="28">
        <v>2023.0</v>
      </c>
      <c r="F797" s="42">
        <v>44975.80169068287</v>
      </c>
      <c r="G797" s="31">
        <v>2635.0</v>
      </c>
      <c r="H797" s="31">
        <v>2.0</v>
      </c>
      <c r="I797" s="31">
        <v>3.0</v>
      </c>
      <c r="J797" s="28"/>
      <c r="K797" s="28"/>
      <c r="L797" s="28" t="s">
        <v>330</v>
      </c>
      <c r="M797" s="28" t="s">
        <v>331</v>
      </c>
      <c r="N797" s="28"/>
    </row>
    <row r="798" ht="16.5" customHeight="1">
      <c r="A798" s="35" t="s">
        <v>334</v>
      </c>
      <c r="B798" s="36">
        <v>44975.84032274305</v>
      </c>
      <c r="C798" s="35" t="s">
        <v>227</v>
      </c>
      <c r="D798" s="35" t="s">
        <v>76</v>
      </c>
      <c r="E798" s="35">
        <v>2023.0</v>
      </c>
      <c r="F798" s="43">
        <v>44975.84032274305</v>
      </c>
      <c r="G798" s="38">
        <v>951.0</v>
      </c>
      <c r="H798" s="38">
        <v>2.0</v>
      </c>
      <c r="I798" s="38">
        <v>3.0</v>
      </c>
      <c r="J798" s="35"/>
      <c r="K798" s="35"/>
      <c r="L798" s="35" t="s">
        <v>330</v>
      </c>
      <c r="M798" s="35" t="s">
        <v>331</v>
      </c>
      <c r="N798" s="35"/>
    </row>
    <row r="799" ht="16.5" customHeight="1">
      <c r="A799" s="28" t="s">
        <v>407</v>
      </c>
      <c r="B799" s="29">
        <v>44975.85087115741</v>
      </c>
      <c r="C799" s="28" t="s">
        <v>227</v>
      </c>
      <c r="D799" s="28" t="s">
        <v>76</v>
      </c>
      <c r="E799" s="28">
        <v>2023.0</v>
      </c>
      <c r="F799" s="42">
        <v>44975.85087115741</v>
      </c>
      <c r="G799" s="31">
        <v>2482.0</v>
      </c>
      <c r="H799" s="31">
        <v>2.0</v>
      </c>
      <c r="I799" s="31">
        <v>3.0</v>
      </c>
      <c r="J799" s="28"/>
      <c r="K799" s="28"/>
      <c r="L799" s="28" t="s">
        <v>330</v>
      </c>
      <c r="M799" s="28" t="s">
        <v>331</v>
      </c>
      <c r="N799" s="28"/>
    </row>
    <row r="800" ht="16.5" customHeight="1">
      <c r="A800" s="35" t="s">
        <v>392</v>
      </c>
      <c r="B800" s="36">
        <v>44975.85468361111</v>
      </c>
      <c r="C800" s="35" t="s">
        <v>227</v>
      </c>
      <c r="D800" s="35" t="s">
        <v>76</v>
      </c>
      <c r="E800" s="35">
        <v>2023.0</v>
      </c>
      <c r="F800" s="43">
        <v>44975.85468361111</v>
      </c>
      <c r="G800" s="38">
        <v>2276.0</v>
      </c>
      <c r="H800" s="38">
        <v>2.0</v>
      </c>
      <c r="I800" s="38">
        <v>3.0</v>
      </c>
      <c r="J800" s="35"/>
      <c r="K800" s="35"/>
      <c r="L800" s="35" t="s">
        <v>330</v>
      </c>
      <c r="M800" s="35" t="s">
        <v>331</v>
      </c>
      <c r="N800" s="35"/>
    </row>
    <row r="801" ht="16.5" customHeight="1">
      <c r="A801" s="29" t="s">
        <v>518</v>
      </c>
      <c r="B801" s="29"/>
      <c r="C801" s="28" t="s">
        <v>518</v>
      </c>
      <c r="D801" s="30" t="s">
        <v>518</v>
      </c>
      <c r="E801" s="28" t="s">
        <v>518</v>
      </c>
      <c r="F801" s="34"/>
      <c r="G801" s="28"/>
      <c r="H801" s="31" t="s">
        <v>519</v>
      </c>
      <c r="I801" s="33"/>
      <c r="J801" s="33"/>
      <c r="K801" s="28"/>
      <c r="L801" s="28" t="s">
        <v>518</v>
      </c>
      <c r="M801" s="44" t="s">
        <v>518</v>
      </c>
      <c r="N801" s="34"/>
    </row>
    <row r="802" ht="16.5" customHeight="1">
      <c r="A802" s="35" t="s">
        <v>518</v>
      </c>
      <c r="B802" s="35"/>
      <c r="C802" s="35" t="s">
        <v>518</v>
      </c>
      <c r="D802" s="37" t="s">
        <v>518</v>
      </c>
      <c r="E802" s="35" t="s">
        <v>518</v>
      </c>
      <c r="F802" s="41"/>
      <c r="G802" s="35"/>
      <c r="H802" s="35"/>
      <c r="I802" s="35"/>
      <c r="J802" s="35"/>
      <c r="K802" s="35"/>
      <c r="L802" s="35" t="s">
        <v>518</v>
      </c>
      <c r="M802" s="35" t="s">
        <v>518</v>
      </c>
      <c r="N802" s="41"/>
    </row>
    <row r="803" ht="16.5" customHeight="1">
      <c r="A803" s="28" t="s">
        <v>518</v>
      </c>
      <c r="B803" s="28"/>
      <c r="C803" s="28" t="s">
        <v>518</v>
      </c>
      <c r="D803" s="30" t="s">
        <v>518</v>
      </c>
      <c r="E803" s="28" t="s">
        <v>518</v>
      </c>
      <c r="F803" s="34"/>
      <c r="G803" s="28"/>
      <c r="H803" s="28"/>
      <c r="I803" s="28"/>
      <c r="J803" s="28"/>
      <c r="K803" s="28"/>
      <c r="L803" s="28" t="s">
        <v>518</v>
      </c>
      <c r="M803" s="28" t="s">
        <v>518</v>
      </c>
      <c r="N803" s="34"/>
    </row>
    <row r="804" ht="16.5" customHeight="1">
      <c r="A804" s="35" t="s">
        <v>518</v>
      </c>
      <c r="B804" s="35"/>
      <c r="C804" s="35" t="s">
        <v>518</v>
      </c>
      <c r="D804" s="37" t="s">
        <v>518</v>
      </c>
      <c r="E804" s="35" t="s">
        <v>518</v>
      </c>
      <c r="F804" s="41"/>
      <c r="G804" s="35"/>
      <c r="H804" s="35"/>
      <c r="I804" s="35"/>
      <c r="J804" s="35"/>
      <c r="K804" s="35"/>
      <c r="L804" s="35" t="s">
        <v>518</v>
      </c>
      <c r="M804" s="35" t="s">
        <v>518</v>
      </c>
      <c r="N804" s="41"/>
    </row>
    <row r="805" ht="16.5" customHeight="1">
      <c r="A805" s="28" t="s">
        <v>518</v>
      </c>
      <c r="B805" s="28"/>
      <c r="C805" s="28" t="s">
        <v>518</v>
      </c>
      <c r="D805" s="30" t="s">
        <v>518</v>
      </c>
      <c r="E805" s="28" t="s">
        <v>518</v>
      </c>
      <c r="F805" s="34"/>
      <c r="G805" s="28"/>
      <c r="H805" s="28"/>
      <c r="I805" s="28"/>
      <c r="J805" s="28"/>
      <c r="K805" s="28"/>
      <c r="L805" s="28" t="s">
        <v>518</v>
      </c>
      <c r="M805" s="28" t="s">
        <v>518</v>
      </c>
      <c r="N805" s="34"/>
    </row>
    <row r="806" ht="16.5" customHeight="1">
      <c r="A806" s="35" t="s">
        <v>518</v>
      </c>
      <c r="B806" s="35"/>
      <c r="C806" s="35" t="s">
        <v>518</v>
      </c>
      <c r="D806" s="37" t="s">
        <v>518</v>
      </c>
      <c r="E806" s="35" t="s">
        <v>518</v>
      </c>
      <c r="F806" s="41"/>
      <c r="G806" s="35"/>
      <c r="H806" s="35"/>
      <c r="I806" s="35"/>
      <c r="J806" s="35"/>
      <c r="K806" s="35"/>
      <c r="L806" s="35" t="s">
        <v>518</v>
      </c>
      <c r="M806" s="35" t="s">
        <v>518</v>
      </c>
      <c r="N806" s="41"/>
    </row>
    <row r="807" ht="16.5" customHeight="1">
      <c r="A807" s="28" t="s">
        <v>518</v>
      </c>
      <c r="B807" s="28"/>
      <c r="C807" s="28" t="s">
        <v>518</v>
      </c>
      <c r="D807" s="30" t="s">
        <v>518</v>
      </c>
      <c r="E807" s="28" t="s">
        <v>518</v>
      </c>
      <c r="F807" s="34"/>
      <c r="G807" s="28"/>
      <c r="H807" s="28"/>
      <c r="I807" s="28"/>
      <c r="J807" s="28"/>
      <c r="K807" s="28"/>
      <c r="L807" s="28" t="s">
        <v>518</v>
      </c>
      <c r="M807" s="28" t="s">
        <v>518</v>
      </c>
      <c r="N807" s="34"/>
    </row>
    <row r="808" ht="16.5" customHeight="1">
      <c r="A808" s="35" t="s">
        <v>518</v>
      </c>
      <c r="B808" s="35"/>
      <c r="C808" s="35" t="s">
        <v>518</v>
      </c>
      <c r="D808" s="37" t="s">
        <v>518</v>
      </c>
      <c r="E808" s="35" t="s">
        <v>518</v>
      </c>
      <c r="F808" s="41"/>
      <c r="G808" s="35"/>
      <c r="H808" s="35"/>
      <c r="I808" s="35"/>
      <c r="J808" s="35"/>
      <c r="K808" s="35"/>
      <c r="L808" s="35" t="s">
        <v>518</v>
      </c>
      <c r="M808" s="35" t="s">
        <v>518</v>
      </c>
      <c r="N808" s="41"/>
    </row>
    <row r="809" ht="16.5" customHeight="1">
      <c r="A809" s="28" t="s">
        <v>518</v>
      </c>
      <c r="B809" s="28"/>
      <c r="C809" s="28" t="s">
        <v>518</v>
      </c>
      <c r="D809" s="30" t="s">
        <v>518</v>
      </c>
      <c r="E809" s="28" t="s">
        <v>518</v>
      </c>
      <c r="F809" s="34"/>
      <c r="G809" s="28"/>
      <c r="H809" s="28"/>
      <c r="I809" s="28"/>
      <c r="J809" s="28"/>
      <c r="K809" s="28"/>
      <c r="L809" s="28" t="s">
        <v>518</v>
      </c>
      <c r="M809" s="28" t="s">
        <v>518</v>
      </c>
      <c r="N809" s="34"/>
    </row>
    <row r="810" ht="16.5" customHeight="1">
      <c r="A810" s="35" t="s">
        <v>518</v>
      </c>
      <c r="B810" s="35"/>
      <c r="C810" s="35" t="s">
        <v>518</v>
      </c>
      <c r="D810" s="37" t="s">
        <v>518</v>
      </c>
      <c r="E810" s="35" t="s">
        <v>518</v>
      </c>
      <c r="F810" s="41"/>
      <c r="G810" s="35"/>
      <c r="H810" s="35"/>
      <c r="I810" s="35"/>
      <c r="J810" s="35"/>
      <c r="K810" s="35"/>
      <c r="L810" s="35" t="s">
        <v>518</v>
      </c>
      <c r="M810" s="35" t="s">
        <v>518</v>
      </c>
      <c r="N810" s="41"/>
    </row>
    <row r="811" ht="16.5" customHeight="1">
      <c r="A811" s="28" t="s">
        <v>518</v>
      </c>
      <c r="B811" s="28"/>
      <c r="C811" s="28" t="s">
        <v>518</v>
      </c>
      <c r="D811" s="30" t="s">
        <v>518</v>
      </c>
      <c r="E811" s="28" t="s">
        <v>518</v>
      </c>
      <c r="F811" s="34"/>
      <c r="G811" s="28"/>
      <c r="H811" s="28"/>
      <c r="I811" s="28"/>
      <c r="J811" s="28"/>
      <c r="K811" s="28"/>
      <c r="L811" s="28" t="s">
        <v>518</v>
      </c>
      <c r="M811" s="28" t="s">
        <v>518</v>
      </c>
      <c r="N811" s="34"/>
    </row>
    <row r="812" ht="16.5" customHeight="1">
      <c r="A812" s="35" t="s">
        <v>518</v>
      </c>
      <c r="B812" s="35"/>
      <c r="C812" s="35" t="s">
        <v>518</v>
      </c>
      <c r="D812" s="37" t="s">
        <v>518</v>
      </c>
      <c r="E812" s="35" t="s">
        <v>518</v>
      </c>
      <c r="F812" s="41"/>
      <c r="G812" s="35"/>
      <c r="H812" s="35"/>
      <c r="I812" s="35"/>
      <c r="J812" s="35"/>
      <c r="K812" s="35"/>
      <c r="L812" s="35" t="s">
        <v>518</v>
      </c>
      <c r="M812" s="35" t="s">
        <v>518</v>
      </c>
      <c r="N812" s="41"/>
    </row>
    <row r="813" ht="16.5" customHeight="1">
      <c r="A813" s="28" t="s">
        <v>518</v>
      </c>
      <c r="B813" s="28"/>
      <c r="C813" s="28" t="s">
        <v>518</v>
      </c>
      <c r="D813" s="30" t="s">
        <v>518</v>
      </c>
      <c r="E813" s="28" t="s">
        <v>518</v>
      </c>
      <c r="F813" s="34"/>
      <c r="G813" s="28"/>
      <c r="H813" s="28"/>
      <c r="I813" s="28"/>
      <c r="J813" s="28"/>
      <c r="K813" s="28"/>
      <c r="L813" s="28" t="s">
        <v>518</v>
      </c>
      <c r="M813" s="28" t="s">
        <v>518</v>
      </c>
      <c r="N813" s="34"/>
    </row>
    <row r="814" ht="16.5" customHeight="1">
      <c r="A814" s="35" t="s">
        <v>518</v>
      </c>
      <c r="B814" s="35"/>
      <c r="C814" s="35" t="s">
        <v>518</v>
      </c>
      <c r="D814" s="37" t="s">
        <v>518</v>
      </c>
      <c r="E814" s="35" t="s">
        <v>518</v>
      </c>
      <c r="F814" s="41"/>
      <c r="G814" s="35"/>
      <c r="H814" s="35"/>
      <c r="I814" s="35"/>
      <c r="J814" s="35"/>
      <c r="K814" s="35"/>
      <c r="L814" s="35" t="s">
        <v>518</v>
      </c>
      <c r="M814" s="35" t="s">
        <v>518</v>
      </c>
      <c r="N814" s="41"/>
    </row>
    <row r="815" ht="16.5" customHeight="1">
      <c r="A815" s="28" t="s">
        <v>518</v>
      </c>
      <c r="B815" s="28"/>
      <c r="C815" s="28" t="s">
        <v>518</v>
      </c>
      <c r="D815" s="30" t="s">
        <v>518</v>
      </c>
      <c r="E815" s="28" t="s">
        <v>518</v>
      </c>
      <c r="F815" s="34"/>
      <c r="G815" s="28"/>
      <c r="H815" s="28"/>
      <c r="I815" s="28"/>
      <c r="J815" s="28"/>
      <c r="K815" s="28"/>
      <c r="L815" s="28" t="s">
        <v>518</v>
      </c>
      <c r="M815" s="28" t="s">
        <v>518</v>
      </c>
      <c r="N815" s="34"/>
    </row>
    <row r="816" ht="16.5" customHeight="1">
      <c r="A816" s="35" t="s">
        <v>518</v>
      </c>
      <c r="B816" s="35"/>
      <c r="C816" s="35" t="s">
        <v>518</v>
      </c>
      <c r="D816" s="37" t="s">
        <v>518</v>
      </c>
      <c r="E816" s="35" t="s">
        <v>518</v>
      </c>
      <c r="F816" s="41"/>
      <c r="G816" s="35"/>
      <c r="H816" s="35"/>
      <c r="I816" s="35"/>
      <c r="J816" s="35"/>
      <c r="K816" s="35"/>
      <c r="L816" s="35" t="s">
        <v>518</v>
      </c>
      <c r="M816" s="35" t="s">
        <v>518</v>
      </c>
      <c r="N816" s="41"/>
    </row>
    <row r="817" ht="16.5" customHeight="1">
      <c r="A817" s="28" t="s">
        <v>518</v>
      </c>
      <c r="B817" s="28"/>
      <c r="C817" s="28" t="s">
        <v>518</v>
      </c>
      <c r="D817" s="30" t="s">
        <v>518</v>
      </c>
      <c r="E817" s="28" t="s">
        <v>518</v>
      </c>
      <c r="F817" s="34"/>
      <c r="G817" s="28"/>
      <c r="H817" s="28"/>
      <c r="I817" s="28"/>
      <c r="J817" s="28"/>
      <c r="K817" s="28"/>
      <c r="L817" s="28" t="s">
        <v>518</v>
      </c>
      <c r="M817" s="28" t="s">
        <v>518</v>
      </c>
      <c r="N817" s="34"/>
    </row>
    <row r="818" ht="16.5" customHeight="1">
      <c r="A818" s="35" t="s">
        <v>518</v>
      </c>
      <c r="B818" s="35"/>
      <c r="C818" s="35" t="s">
        <v>518</v>
      </c>
      <c r="D818" s="37" t="s">
        <v>518</v>
      </c>
      <c r="E818" s="35" t="s">
        <v>518</v>
      </c>
      <c r="F818" s="41"/>
      <c r="G818" s="35"/>
      <c r="H818" s="35"/>
      <c r="I818" s="35"/>
      <c r="J818" s="35"/>
      <c r="K818" s="35"/>
      <c r="L818" s="35" t="s">
        <v>518</v>
      </c>
      <c r="M818" s="35" t="s">
        <v>518</v>
      </c>
      <c r="N818" s="41"/>
    </row>
    <row r="819" ht="16.5" customHeight="1">
      <c r="A819" s="28" t="s">
        <v>518</v>
      </c>
      <c r="B819" s="28"/>
      <c r="C819" s="28" t="s">
        <v>518</v>
      </c>
      <c r="D819" s="30" t="s">
        <v>518</v>
      </c>
      <c r="E819" s="28" t="s">
        <v>518</v>
      </c>
      <c r="F819" s="34"/>
      <c r="G819" s="28"/>
      <c r="H819" s="28"/>
      <c r="I819" s="28"/>
      <c r="J819" s="28"/>
      <c r="K819" s="28"/>
      <c r="L819" s="28" t="s">
        <v>518</v>
      </c>
      <c r="M819" s="28" t="s">
        <v>518</v>
      </c>
      <c r="N819" s="34"/>
    </row>
    <row r="820" ht="16.5" customHeight="1">
      <c r="A820" s="35" t="s">
        <v>518</v>
      </c>
      <c r="B820" s="35"/>
      <c r="C820" s="35" t="s">
        <v>518</v>
      </c>
      <c r="D820" s="37" t="s">
        <v>518</v>
      </c>
      <c r="E820" s="35" t="s">
        <v>518</v>
      </c>
      <c r="F820" s="41"/>
      <c r="G820" s="35"/>
      <c r="H820" s="35"/>
      <c r="I820" s="35"/>
      <c r="J820" s="35"/>
      <c r="K820" s="35"/>
      <c r="L820" s="35" t="s">
        <v>518</v>
      </c>
      <c r="M820" s="35" t="s">
        <v>518</v>
      </c>
      <c r="N820" s="41"/>
    </row>
    <row r="821" ht="16.5" customHeight="1">
      <c r="A821" s="28" t="s">
        <v>518</v>
      </c>
      <c r="B821" s="28"/>
      <c r="C821" s="28" t="s">
        <v>518</v>
      </c>
      <c r="D821" s="30" t="s">
        <v>518</v>
      </c>
      <c r="E821" s="28" t="s">
        <v>518</v>
      </c>
      <c r="F821" s="34"/>
      <c r="G821" s="28"/>
      <c r="H821" s="28"/>
      <c r="I821" s="28"/>
      <c r="J821" s="28"/>
      <c r="K821" s="28"/>
      <c r="L821" s="28" t="s">
        <v>518</v>
      </c>
      <c r="M821" s="28" t="s">
        <v>518</v>
      </c>
      <c r="N821" s="34"/>
    </row>
    <row r="822" ht="16.5" customHeight="1">
      <c r="A822" s="35" t="s">
        <v>518</v>
      </c>
      <c r="B822" s="35"/>
      <c r="C822" s="35" t="s">
        <v>518</v>
      </c>
      <c r="D822" s="37" t="s">
        <v>518</v>
      </c>
      <c r="E822" s="35" t="s">
        <v>518</v>
      </c>
      <c r="F822" s="41"/>
      <c r="G822" s="35"/>
      <c r="H822" s="35"/>
      <c r="I822" s="35"/>
      <c r="J822" s="35"/>
      <c r="K822" s="35"/>
      <c r="L822" s="35" t="s">
        <v>518</v>
      </c>
      <c r="M822" s="35" t="s">
        <v>518</v>
      </c>
      <c r="N822" s="41"/>
    </row>
    <row r="823" ht="16.5" customHeight="1">
      <c r="A823" s="28" t="s">
        <v>518</v>
      </c>
      <c r="B823" s="28"/>
      <c r="C823" s="28" t="s">
        <v>518</v>
      </c>
      <c r="D823" s="30" t="s">
        <v>518</v>
      </c>
      <c r="E823" s="28" t="s">
        <v>518</v>
      </c>
      <c r="F823" s="34"/>
      <c r="G823" s="28"/>
      <c r="H823" s="28"/>
      <c r="I823" s="28"/>
      <c r="J823" s="28"/>
      <c r="K823" s="28"/>
      <c r="L823" s="28" t="s">
        <v>518</v>
      </c>
      <c r="M823" s="28" t="s">
        <v>518</v>
      </c>
      <c r="N823" s="34"/>
    </row>
    <row r="824" ht="16.5" customHeight="1">
      <c r="A824" s="35" t="s">
        <v>518</v>
      </c>
      <c r="B824" s="35"/>
      <c r="C824" s="35" t="s">
        <v>518</v>
      </c>
      <c r="D824" s="37" t="s">
        <v>518</v>
      </c>
      <c r="E824" s="35" t="s">
        <v>518</v>
      </c>
      <c r="F824" s="41"/>
      <c r="G824" s="35"/>
      <c r="H824" s="35"/>
      <c r="I824" s="35"/>
      <c r="J824" s="35"/>
      <c r="K824" s="35"/>
      <c r="L824" s="35" t="s">
        <v>518</v>
      </c>
      <c r="M824" s="35" t="s">
        <v>518</v>
      </c>
      <c r="N824" s="41"/>
    </row>
    <row r="825" ht="16.5" customHeight="1">
      <c r="A825" s="28" t="s">
        <v>518</v>
      </c>
      <c r="B825" s="28"/>
      <c r="C825" s="28" t="s">
        <v>518</v>
      </c>
      <c r="D825" s="30" t="s">
        <v>518</v>
      </c>
      <c r="E825" s="28" t="s">
        <v>518</v>
      </c>
      <c r="F825" s="34"/>
      <c r="G825" s="28"/>
      <c r="H825" s="28"/>
      <c r="I825" s="28"/>
      <c r="J825" s="28"/>
      <c r="K825" s="28"/>
      <c r="L825" s="28" t="s">
        <v>518</v>
      </c>
      <c r="M825" s="28" t="s">
        <v>518</v>
      </c>
      <c r="N825" s="34"/>
    </row>
    <row r="826" ht="16.5" customHeight="1">
      <c r="A826" s="35" t="s">
        <v>518</v>
      </c>
      <c r="B826" s="35"/>
      <c r="C826" s="35" t="s">
        <v>518</v>
      </c>
      <c r="D826" s="37" t="s">
        <v>518</v>
      </c>
      <c r="E826" s="35" t="s">
        <v>518</v>
      </c>
      <c r="F826" s="41"/>
      <c r="G826" s="35"/>
      <c r="H826" s="35"/>
      <c r="I826" s="35"/>
      <c r="J826" s="35"/>
      <c r="K826" s="35"/>
      <c r="L826" s="35" t="s">
        <v>518</v>
      </c>
      <c r="M826" s="35" t="s">
        <v>518</v>
      </c>
      <c r="N826" s="41"/>
    </row>
    <row r="827" ht="16.5" customHeight="1">
      <c r="A827" s="28" t="s">
        <v>518</v>
      </c>
      <c r="B827" s="28"/>
      <c r="C827" s="28" t="s">
        <v>518</v>
      </c>
      <c r="D827" s="30" t="s">
        <v>518</v>
      </c>
      <c r="E827" s="28" t="s">
        <v>518</v>
      </c>
      <c r="F827" s="34"/>
      <c r="G827" s="28"/>
      <c r="H827" s="28"/>
      <c r="I827" s="28"/>
      <c r="J827" s="28"/>
      <c r="K827" s="28"/>
      <c r="L827" s="28" t="s">
        <v>518</v>
      </c>
      <c r="M827" s="28" t="s">
        <v>518</v>
      </c>
      <c r="N827" s="34"/>
    </row>
    <row r="828" ht="16.5" customHeight="1">
      <c r="A828" s="35" t="s">
        <v>518</v>
      </c>
      <c r="B828" s="35"/>
      <c r="C828" s="35" t="s">
        <v>518</v>
      </c>
      <c r="D828" s="37" t="s">
        <v>518</v>
      </c>
      <c r="E828" s="35" t="s">
        <v>518</v>
      </c>
      <c r="F828" s="41"/>
      <c r="G828" s="35"/>
      <c r="H828" s="35"/>
      <c r="I828" s="35"/>
      <c r="J828" s="35"/>
      <c r="K828" s="35"/>
      <c r="L828" s="35" t="s">
        <v>518</v>
      </c>
      <c r="M828" s="35" t="s">
        <v>518</v>
      </c>
      <c r="N828" s="41"/>
    </row>
    <row r="829" ht="16.5" customHeight="1">
      <c r="A829" s="28" t="s">
        <v>518</v>
      </c>
      <c r="B829" s="28"/>
      <c r="C829" s="28" t="s">
        <v>518</v>
      </c>
      <c r="D829" s="30" t="s">
        <v>518</v>
      </c>
      <c r="E829" s="28" t="s">
        <v>518</v>
      </c>
      <c r="F829" s="34"/>
      <c r="G829" s="28"/>
      <c r="H829" s="28"/>
      <c r="I829" s="28"/>
      <c r="J829" s="28"/>
      <c r="K829" s="28"/>
      <c r="L829" s="28" t="s">
        <v>518</v>
      </c>
      <c r="M829" s="28" t="s">
        <v>518</v>
      </c>
      <c r="N829" s="34"/>
    </row>
    <row r="830" ht="16.5" customHeight="1">
      <c r="A830" s="35" t="s">
        <v>518</v>
      </c>
      <c r="B830" s="35"/>
      <c r="C830" s="35" t="s">
        <v>518</v>
      </c>
      <c r="D830" s="37" t="s">
        <v>518</v>
      </c>
      <c r="E830" s="35" t="s">
        <v>518</v>
      </c>
      <c r="F830" s="41"/>
      <c r="G830" s="35"/>
      <c r="H830" s="35"/>
      <c r="I830" s="35"/>
      <c r="J830" s="35"/>
      <c r="K830" s="35"/>
      <c r="L830" s="35" t="s">
        <v>518</v>
      </c>
      <c r="M830" s="35" t="s">
        <v>518</v>
      </c>
      <c r="N830" s="41"/>
    </row>
    <row r="831" ht="16.5" customHeight="1">
      <c r="A831" s="28" t="s">
        <v>518</v>
      </c>
      <c r="B831" s="28"/>
      <c r="C831" s="28" t="s">
        <v>518</v>
      </c>
      <c r="D831" s="30" t="s">
        <v>518</v>
      </c>
      <c r="E831" s="28" t="s">
        <v>518</v>
      </c>
      <c r="F831" s="34"/>
      <c r="G831" s="28"/>
      <c r="H831" s="28"/>
      <c r="I831" s="28"/>
      <c r="J831" s="28"/>
      <c r="K831" s="28"/>
      <c r="L831" s="28" t="s">
        <v>518</v>
      </c>
      <c r="M831" s="28" t="s">
        <v>518</v>
      </c>
      <c r="N831" s="34"/>
    </row>
    <row r="832" ht="16.5" customHeight="1">
      <c r="A832" s="35" t="s">
        <v>518</v>
      </c>
      <c r="B832" s="35"/>
      <c r="C832" s="35" t="s">
        <v>518</v>
      </c>
      <c r="D832" s="37" t="s">
        <v>518</v>
      </c>
      <c r="E832" s="35" t="s">
        <v>518</v>
      </c>
      <c r="F832" s="41"/>
      <c r="G832" s="35"/>
      <c r="H832" s="35"/>
      <c r="I832" s="35"/>
      <c r="J832" s="35"/>
      <c r="K832" s="35"/>
      <c r="L832" s="35" t="s">
        <v>518</v>
      </c>
      <c r="M832" s="35" t="s">
        <v>518</v>
      </c>
      <c r="N832" s="41"/>
    </row>
    <row r="833" ht="16.5" customHeight="1">
      <c r="A833" s="28" t="s">
        <v>518</v>
      </c>
      <c r="B833" s="28"/>
      <c r="C833" s="28" t="s">
        <v>518</v>
      </c>
      <c r="D833" s="30" t="s">
        <v>518</v>
      </c>
      <c r="E833" s="28" t="s">
        <v>518</v>
      </c>
      <c r="F833" s="34"/>
      <c r="G833" s="28"/>
      <c r="H833" s="28"/>
      <c r="I833" s="28"/>
      <c r="J833" s="28"/>
      <c r="K833" s="28"/>
      <c r="L833" s="28" t="s">
        <v>518</v>
      </c>
      <c r="M833" s="28" t="s">
        <v>518</v>
      </c>
      <c r="N833" s="34"/>
    </row>
    <row r="834" ht="16.5" customHeight="1">
      <c r="A834" s="35" t="s">
        <v>518</v>
      </c>
      <c r="B834" s="35"/>
      <c r="C834" s="35" t="s">
        <v>518</v>
      </c>
      <c r="D834" s="37" t="s">
        <v>518</v>
      </c>
      <c r="E834" s="35" t="s">
        <v>518</v>
      </c>
      <c r="F834" s="41"/>
      <c r="G834" s="35"/>
      <c r="H834" s="35"/>
      <c r="I834" s="35"/>
      <c r="J834" s="35"/>
      <c r="K834" s="35"/>
      <c r="L834" s="35" t="s">
        <v>518</v>
      </c>
      <c r="M834" s="35" t="s">
        <v>518</v>
      </c>
      <c r="N834" s="41"/>
    </row>
    <row r="835" ht="16.5" customHeight="1">
      <c r="A835" s="28" t="s">
        <v>518</v>
      </c>
      <c r="B835" s="28"/>
      <c r="C835" s="28" t="s">
        <v>518</v>
      </c>
      <c r="D835" s="30" t="s">
        <v>518</v>
      </c>
      <c r="E835" s="28" t="s">
        <v>518</v>
      </c>
      <c r="F835" s="34"/>
      <c r="G835" s="28"/>
      <c r="H835" s="28"/>
      <c r="I835" s="28"/>
      <c r="J835" s="28"/>
      <c r="K835" s="28"/>
      <c r="L835" s="28" t="s">
        <v>518</v>
      </c>
      <c r="M835" s="28" t="s">
        <v>518</v>
      </c>
      <c r="N835" s="34"/>
    </row>
    <row r="836" ht="16.5" customHeight="1">
      <c r="A836" s="35" t="s">
        <v>518</v>
      </c>
      <c r="B836" s="35"/>
      <c r="C836" s="35" t="s">
        <v>518</v>
      </c>
      <c r="D836" s="37" t="s">
        <v>518</v>
      </c>
      <c r="E836" s="35" t="s">
        <v>518</v>
      </c>
      <c r="F836" s="41"/>
      <c r="G836" s="35"/>
      <c r="H836" s="35"/>
      <c r="I836" s="35"/>
      <c r="J836" s="35"/>
      <c r="K836" s="35"/>
      <c r="L836" s="35" t="s">
        <v>518</v>
      </c>
      <c r="M836" s="35" t="s">
        <v>518</v>
      </c>
      <c r="N836" s="41"/>
    </row>
    <row r="837" ht="16.5" customHeight="1">
      <c r="A837" s="28" t="s">
        <v>518</v>
      </c>
      <c r="B837" s="28"/>
      <c r="C837" s="28" t="s">
        <v>518</v>
      </c>
      <c r="D837" s="30" t="s">
        <v>518</v>
      </c>
      <c r="E837" s="28" t="s">
        <v>518</v>
      </c>
      <c r="F837" s="34"/>
      <c r="G837" s="28"/>
      <c r="H837" s="28"/>
      <c r="I837" s="28"/>
      <c r="J837" s="28"/>
      <c r="K837" s="28"/>
      <c r="L837" s="28" t="s">
        <v>518</v>
      </c>
      <c r="M837" s="28" t="s">
        <v>518</v>
      </c>
      <c r="N837" s="34"/>
    </row>
    <row r="838" ht="16.5" customHeight="1">
      <c r="A838" s="35" t="s">
        <v>518</v>
      </c>
      <c r="B838" s="35"/>
      <c r="C838" s="35" t="s">
        <v>518</v>
      </c>
      <c r="D838" s="37" t="s">
        <v>518</v>
      </c>
      <c r="E838" s="35" t="s">
        <v>518</v>
      </c>
      <c r="F838" s="41"/>
      <c r="G838" s="35"/>
      <c r="H838" s="35"/>
      <c r="I838" s="35"/>
      <c r="J838" s="35"/>
      <c r="K838" s="35"/>
      <c r="L838" s="35" t="s">
        <v>518</v>
      </c>
      <c r="M838" s="35" t="s">
        <v>518</v>
      </c>
      <c r="N838" s="41"/>
    </row>
    <row r="839" ht="16.5" customHeight="1">
      <c r="A839" s="28" t="s">
        <v>518</v>
      </c>
      <c r="B839" s="28"/>
      <c r="C839" s="28" t="s">
        <v>518</v>
      </c>
      <c r="D839" s="30" t="s">
        <v>518</v>
      </c>
      <c r="E839" s="28" t="s">
        <v>518</v>
      </c>
      <c r="F839" s="34"/>
      <c r="G839" s="28"/>
      <c r="H839" s="28"/>
      <c r="I839" s="28"/>
      <c r="J839" s="28"/>
      <c r="K839" s="28"/>
      <c r="L839" s="28" t="s">
        <v>518</v>
      </c>
      <c r="M839" s="28" t="s">
        <v>518</v>
      </c>
      <c r="N839" s="34"/>
    </row>
    <row r="840" ht="16.5" customHeight="1">
      <c r="A840" s="35" t="s">
        <v>518</v>
      </c>
      <c r="B840" s="35"/>
      <c r="C840" s="35" t="s">
        <v>518</v>
      </c>
      <c r="D840" s="37" t="s">
        <v>518</v>
      </c>
      <c r="E840" s="35" t="s">
        <v>518</v>
      </c>
      <c r="F840" s="41"/>
      <c r="G840" s="35"/>
      <c r="H840" s="35"/>
      <c r="I840" s="35"/>
      <c r="J840" s="35"/>
      <c r="K840" s="35"/>
      <c r="L840" s="35" t="s">
        <v>518</v>
      </c>
      <c r="M840" s="35" t="s">
        <v>518</v>
      </c>
      <c r="N840" s="41"/>
    </row>
    <row r="841" ht="16.5" customHeight="1">
      <c r="A841" s="28" t="s">
        <v>518</v>
      </c>
      <c r="B841" s="28"/>
      <c r="C841" s="28" t="s">
        <v>518</v>
      </c>
      <c r="D841" s="30" t="s">
        <v>518</v>
      </c>
      <c r="E841" s="28" t="s">
        <v>518</v>
      </c>
      <c r="F841" s="34"/>
      <c r="G841" s="28"/>
      <c r="H841" s="28"/>
      <c r="I841" s="28"/>
      <c r="J841" s="28"/>
      <c r="K841" s="28"/>
      <c r="L841" s="28" t="s">
        <v>518</v>
      </c>
      <c r="M841" s="28" t="s">
        <v>518</v>
      </c>
      <c r="N841" s="34"/>
    </row>
    <row r="842" ht="16.5" customHeight="1">
      <c r="A842" s="35" t="s">
        <v>518</v>
      </c>
      <c r="B842" s="35"/>
      <c r="C842" s="35" t="s">
        <v>518</v>
      </c>
      <c r="D842" s="37" t="s">
        <v>518</v>
      </c>
      <c r="E842" s="35" t="s">
        <v>518</v>
      </c>
      <c r="F842" s="41"/>
      <c r="G842" s="35"/>
      <c r="H842" s="35"/>
      <c r="I842" s="35"/>
      <c r="J842" s="35"/>
      <c r="K842" s="35"/>
      <c r="L842" s="35" t="s">
        <v>518</v>
      </c>
      <c r="M842" s="35" t="s">
        <v>518</v>
      </c>
      <c r="N842" s="41"/>
    </row>
    <row r="843" ht="16.5" customHeight="1">
      <c r="A843" s="28" t="s">
        <v>518</v>
      </c>
      <c r="B843" s="28"/>
      <c r="C843" s="28" t="s">
        <v>518</v>
      </c>
      <c r="D843" s="30" t="s">
        <v>518</v>
      </c>
      <c r="E843" s="28" t="s">
        <v>518</v>
      </c>
      <c r="F843" s="34"/>
      <c r="G843" s="28"/>
      <c r="H843" s="28"/>
      <c r="I843" s="28"/>
      <c r="J843" s="28"/>
      <c r="K843" s="28"/>
      <c r="L843" s="28" t="s">
        <v>518</v>
      </c>
      <c r="M843" s="28" t="s">
        <v>518</v>
      </c>
      <c r="N843" s="34"/>
    </row>
    <row r="844" ht="16.5" customHeight="1">
      <c r="A844" s="35" t="s">
        <v>518</v>
      </c>
      <c r="B844" s="35"/>
      <c r="C844" s="35" t="s">
        <v>518</v>
      </c>
      <c r="D844" s="37" t="s">
        <v>518</v>
      </c>
      <c r="E844" s="35" t="s">
        <v>518</v>
      </c>
      <c r="F844" s="41"/>
      <c r="G844" s="35"/>
      <c r="H844" s="35"/>
      <c r="I844" s="35"/>
      <c r="J844" s="35"/>
      <c r="K844" s="35"/>
      <c r="L844" s="35" t="s">
        <v>518</v>
      </c>
      <c r="M844" s="35" t="s">
        <v>518</v>
      </c>
      <c r="N844" s="41"/>
    </row>
    <row r="845" ht="16.5" customHeight="1">
      <c r="A845" s="28" t="s">
        <v>518</v>
      </c>
      <c r="B845" s="28"/>
      <c r="C845" s="28" t="s">
        <v>518</v>
      </c>
      <c r="D845" s="30" t="s">
        <v>518</v>
      </c>
      <c r="E845" s="28" t="s">
        <v>518</v>
      </c>
      <c r="F845" s="34"/>
      <c r="G845" s="28"/>
      <c r="H845" s="28"/>
      <c r="I845" s="28"/>
      <c r="J845" s="28"/>
      <c r="K845" s="28"/>
      <c r="L845" s="28" t="s">
        <v>518</v>
      </c>
      <c r="M845" s="28" t="s">
        <v>518</v>
      </c>
      <c r="N845" s="34"/>
    </row>
    <row r="846" ht="16.5" customHeight="1">
      <c r="A846" s="35" t="s">
        <v>518</v>
      </c>
      <c r="B846" s="35"/>
      <c r="C846" s="35" t="s">
        <v>518</v>
      </c>
      <c r="D846" s="37" t="s">
        <v>518</v>
      </c>
      <c r="E846" s="35" t="s">
        <v>518</v>
      </c>
      <c r="F846" s="41"/>
      <c r="G846" s="35"/>
      <c r="H846" s="35"/>
      <c r="I846" s="35"/>
      <c r="J846" s="35"/>
      <c r="K846" s="35"/>
      <c r="L846" s="35" t="s">
        <v>518</v>
      </c>
      <c r="M846" s="35" t="s">
        <v>518</v>
      </c>
      <c r="N846" s="41"/>
    </row>
    <row r="847" ht="16.5" customHeight="1">
      <c r="A847" s="28" t="s">
        <v>518</v>
      </c>
      <c r="B847" s="28"/>
      <c r="C847" s="28" t="s">
        <v>518</v>
      </c>
      <c r="D847" s="30" t="s">
        <v>518</v>
      </c>
      <c r="E847" s="28" t="s">
        <v>518</v>
      </c>
      <c r="F847" s="34"/>
      <c r="G847" s="28"/>
      <c r="H847" s="28"/>
      <c r="I847" s="28"/>
      <c r="J847" s="28"/>
      <c r="K847" s="28"/>
      <c r="L847" s="28" t="s">
        <v>518</v>
      </c>
      <c r="M847" s="28" t="s">
        <v>518</v>
      </c>
      <c r="N847" s="34"/>
    </row>
    <row r="848" ht="16.5" customHeight="1">
      <c r="A848" s="35" t="s">
        <v>518</v>
      </c>
      <c r="B848" s="35"/>
      <c r="C848" s="35" t="s">
        <v>518</v>
      </c>
      <c r="D848" s="37" t="s">
        <v>518</v>
      </c>
      <c r="E848" s="35" t="s">
        <v>518</v>
      </c>
      <c r="F848" s="41"/>
      <c r="G848" s="35"/>
      <c r="H848" s="35"/>
      <c r="I848" s="35"/>
      <c r="J848" s="35"/>
      <c r="K848" s="35"/>
      <c r="L848" s="35" t="s">
        <v>518</v>
      </c>
      <c r="M848" s="35" t="s">
        <v>518</v>
      </c>
      <c r="N848" s="41"/>
    </row>
    <row r="849" ht="16.5" customHeight="1">
      <c r="A849" s="28" t="s">
        <v>518</v>
      </c>
      <c r="B849" s="28"/>
      <c r="C849" s="28" t="s">
        <v>518</v>
      </c>
      <c r="D849" s="30" t="s">
        <v>518</v>
      </c>
      <c r="E849" s="28" t="s">
        <v>518</v>
      </c>
      <c r="F849" s="34"/>
      <c r="G849" s="28"/>
      <c r="H849" s="28"/>
      <c r="I849" s="28"/>
      <c r="J849" s="28"/>
      <c r="K849" s="28"/>
      <c r="L849" s="28" t="s">
        <v>518</v>
      </c>
      <c r="M849" s="28" t="s">
        <v>518</v>
      </c>
      <c r="N849" s="34"/>
    </row>
    <row r="850" ht="16.5" customHeight="1">
      <c r="A850" s="35" t="s">
        <v>518</v>
      </c>
      <c r="B850" s="35"/>
      <c r="C850" s="35" t="s">
        <v>518</v>
      </c>
      <c r="D850" s="37" t="s">
        <v>518</v>
      </c>
      <c r="E850" s="35" t="s">
        <v>518</v>
      </c>
      <c r="F850" s="41"/>
      <c r="G850" s="35"/>
      <c r="H850" s="35"/>
      <c r="I850" s="35"/>
      <c r="J850" s="35"/>
      <c r="K850" s="35"/>
      <c r="L850" s="35" t="s">
        <v>518</v>
      </c>
      <c r="M850" s="35" t="s">
        <v>518</v>
      </c>
      <c r="N850" s="41"/>
    </row>
    <row r="851" ht="16.5" customHeight="1">
      <c r="A851" s="28" t="s">
        <v>518</v>
      </c>
      <c r="B851" s="28"/>
      <c r="C851" s="28" t="s">
        <v>518</v>
      </c>
      <c r="D851" s="30" t="s">
        <v>518</v>
      </c>
      <c r="E851" s="28" t="s">
        <v>518</v>
      </c>
      <c r="F851" s="34"/>
      <c r="G851" s="28"/>
      <c r="H851" s="28"/>
      <c r="I851" s="28"/>
      <c r="J851" s="28"/>
      <c r="K851" s="28"/>
      <c r="L851" s="28" t="s">
        <v>518</v>
      </c>
      <c r="M851" s="28" t="s">
        <v>518</v>
      </c>
      <c r="N851" s="34"/>
    </row>
    <row r="852" ht="16.5" customHeight="1">
      <c r="A852" s="35" t="s">
        <v>518</v>
      </c>
      <c r="B852" s="35"/>
      <c r="C852" s="35" t="s">
        <v>518</v>
      </c>
      <c r="D852" s="37" t="s">
        <v>518</v>
      </c>
      <c r="E852" s="35" t="s">
        <v>518</v>
      </c>
      <c r="F852" s="41"/>
      <c r="G852" s="35"/>
      <c r="H852" s="35"/>
      <c r="I852" s="35"/>
      <c r="J852" s="35"/>
      <c r="K852" s="35"/>
      <c r="L852" s="35" t="s">
        <v>518</v>
      </c>
      <c r="M852" s="35" t="s">
        <v>518</v>
      </c>
      <c r="N852" s="41"/>
    </row>
    <row r="853" ht="16.5" customHeight="1">
      <c r="A853" s="28" t="s">
        <v>518</v>
      </c>
      <c r="B853" s="28"/>
      <c r="C853" s="28" t="s">
        <v>518</v>
      </c>
      <c r="D853" s="30" t="s">
        <v>518</v>
      </c>
      <c r="E853" s="28" t="s">
        <v>518</v>
      </c>
      <c r="F853" s="34"/>
      <c r="G853" s="28"/>
      <c r="H853" s="28"/>
      <c r="I853" s="28"/>
      <c r="J853" s="28"/>
      <c r="K853" s="28"/>
      <c r="L853" s="28" t="s">
        <v>518</v>
      </c>
      <c r="M853" s="28" t="s">
        <v>518</v>
      </c>
      <c r="N853" s="34"/>
    </row>
    <row r="854" ht="16.5" customHeight="1">
      <c r="A854" s="35" t="s">
        <v>518</v>
      </c>
      <c r="B854" s="35"/>
      <c r="C854" s="35" t="s">
        <v>518</v>
      </c>
      <c r="D854" s="37" t="s">
        <v>518</v>
      </c>
      <c r="E854" s="35" t="s">
        <v>518</v>
      </c>
      <c r="F854" s="41"/>
      <c r="G854" s="35"/>
      <c r="H854" s="35"/>
      <c r="I854" s="35"/>
      <c r="J854" s="35"/>
      <c r="K854" s="35"/>
      <c r="L854" s="35" t="s">
        <v>518</v>
      </c>
      <c r="M854" s="35" t="s">
        <v>518</v>
      </c>
      <c r="N854" s="41"/>
    </row>
    <row r="855" ht="16.5" customHeight="1">
      <c r="A855" s="28" t="s">
        <v>518</v>
      </c>
      <c r="B855" s="28"/>
      <c r="C855" s="28" t="s">
        <v>518</v>
      </c>
      <c r="D855" s="30" t="s">
        <v>518</v>
      </c>
      <c r="E855" s="28" t="s">
        <v>518</v>
      </c>
      <c r="F855" s="34"/>
      <c r="G855" s="28"/>
      <c r="H855" s="28"/>
      <c r="I855" s="28"/>
      <c r="J855" s="28"/>
      <c r="K855" s="28"/>
      <c r="L855" s="28" t="s">
        <v>518</v>
      </c>
      <c r="M855" s="28" t="s">
        <v>518</v>
      </c>
      <c r="N855" s="34"/>
    </row>
    <row r="856" ht="16.5" customHeight="1">
      <c r="A856" s="35" t="s">
        <v>518</v>
      </c>
      <c r="B856" s="35"/>
      <c r="C856" s="35" t="s">
        <v>518</v>
      </c>
      <c r="D856" s="37" t="s">
        <v>518</v>
      </c>
      <c r="E856" s="35" t="s">
        <v>518</v>
      </c>
      <c r="F856" s="41"/>
      <c r="G856" s="35"/>
      <c r="H856" s="35"/>
      <c r="I856" s="35"/>
      <c r="J856" s="35"/>
      <c r="K856" s="35"/>
      <c r="L856" s="35" t="s">
        <v>518</v>
      </c>
      <c r="M856" s="35" t="s">
        <v>518</v>
      </c>
      <c r="N856" s="41"/>
    </row>
    <row r="857" ht="16.5" customHeight="1">
      <c r="A857" s="28" t="s">
        <v>518</v>
      </c>
      <c r="B857" s="28"/>
      <c r="C857" s="28" t="s">
        <v>518</v>
      </c>
      <c r="D857" s="30" t="s">
        <v>518</v>
      </c>
      <c r="E857" s="28" t="s">
        <v>518</v>
      </c>
      <c r="F857" s="34"/>
      <c r="G857" s="28"/>
      <c r="H857" s="28"/>
      <c r="I857" s="28"/>
      <c r="J857" s="28"/>
      <c r="K857" s="28"/>
      <c r="L857" s="28" t="s">
        <v>518</v>
      </c>
      <c r="M857" s="28" t="s">
        <v>518</v>
      </c>
      <c r="N857" s="34"/>
    </row>
    <row r="858" ht="16.5" customHeight="1">
      <c r="A858" s="35" t="s">
        <v>518</v>
      </c>
      <c r="B858" s="35"/>
      <c r="C858" s="35" t="s">
        <v>518</v>
      </c>
      <c r="D858" s="37" t="s">
        <v>518</v>
      </c>
      <c r="E858" s="35" t="s">
        <v>518</v>
      </c>
      <c r="F858" s="41"/>
      <c r="G858" s="35"/>
      <c r="H858" s="35"/>
      <c r="I858" s="35"/>
      <c r="J858" s="35"/>
      <c r="K858" s="35"/>
      <c r="L858" s="35" t="s">
        <v>518</v>
      </c>
      <c r="M858" s="35" t="s">
        <v>518</v>
      </c>
      <c r="N858" s="41"/>
    </row>
    <row r="859" ht="16.5" customHeight="1">
      <c r="A859" s="28" t="s">
        <v>518</v>
      </c>
      <c r="B859" s="28"/>
      <c r="C859" s="28" t="s">
        <v>518</v>
      </c>
      <c r="D859" s="30" t="s">
        <v>518</v>
      </c>
      <c r="E859" s="28" t="s">
        <v>518</v>
      </c>
      <c r="F859" s="34"/>
      <c r="G859" s="28"/>
      <c r="H859" s="28"/>
      <c r="I859" s="28"/>
      <c r="J859" s="28"/>
      <c r="K859" s="28"/>
      <c r="L859" s="28" t="s">
        <v>518</v>
      </c>
      <c r="M859" s="28" t="s">
        <v>518</v>
      </c>
      <c r="N859" s="34"/>
    </row>
    <row r="860" ht="16.5" customHeight="1">
      <c r="A860" s="35" t="s">
        <v>518</v>
      </c>
      <c r="B860" s="35"/>
      <c r="C860" s="35" t="s">
        <v>518</v>
      </c>
      <c r="D860" s="37" t="s">
        <v>518</v>
      </c>
      <c r="E860" s="35" t="s">
        <v>518</v>
      </c>
      <c r="F860" s="41"/>
      <c r="G860" s="35"/>
      <c r="H860" s="35"/>
      <c r="I860" s="35"/>
      <c r="J860" s="35"/>
      <c r="K860" s="35"/>
      <c r="L860" s="35" t="s">
        <v>518</v>
      </c>
      <c r="M860" s="35" t="s">
        <v>518</v>
      </c>
      <c r="N860" s="41"/>
    </row>
    <row r="861" ht="16.5" customHeight="1">
      <c r="A861" s="28" t="s">
        <v>518</v>
      </c>
      <c r="B861" s="28"/>
      <c r="C861" s="28" t="s">
        <v>518</v>
      </c>
      <c r="D861" s="30" t="s">
        <v>518</v>
      </c>
      <c r="E861" s="28" t="s">
        <v>518</v>
      </c>
      <c r="F861" s="34"/>
      <c r="G861" s="28"/>
      <c r="H861" s="28"/>
      <c r="I861" s="28"/>
      <c r="J861" s="28"/>
      <c r="K861" s="28"/>
      <c r="L861" s="28" t="s">
        <v>518</v>
      </c>
      <c r="M861" s="28" t="s">
        <v>518</v>
      </c>
      <c r="N861" s="34"/>
    </row>
    <row r="862" ht="16.5" customHeight="1">
      <c r="A862" s="35" t="s">
        <v>518</v>
      </c>
      <c r="B862" s="35"/>
      <c r="C862" s="35" t="s">
        <v>518</v>
      </c>
      <c r="D862" s="37" t="s">
        <v>518</v>
      </c>
      <c r="E862" s="35" t="s">
        <v>518</v>
      </c>
      <c r="F862" s="41"/>
      <c r="G862" s="35"/>
      <c r="H862" s="35"/>
      <c r="I862" s="35"/>
      <c r="J862" s="35"/>
      <c r="K862" s="35"/>
      <c r="L862" s="35" t="s">
        <v>518</v>
      </c>
      <c r="M862" s="35" t="s">
        <v>518</v>
      </c>
      <c r="N862" s="41"/>
    </row>
    <row r="863" ht="16.5" customHeight="1">
      <c r="A863" s="28" t="s">
        <v>518</v>
      </c>
      <c r="B863" s="28"/>
      <c r="C863" s="28" t="s">
        <v>518</v>
      </c>
      <c r="D863" s="30" t="s">
        <v>518</v>
      </c>
      <c r="E863" s="28" t="s">
        <v>518</v>
      </c>
      <c r="F863" s="34"/>
      <c r="G863" s="28"/>
      <c r="H863" s="28"/>
      <c r="I863" s="28"/>
      <c r="J863" s="28"/>
      <c r="K863" s="28"/>
      <c r="L863" s="28" t="s">
        <v>518</v>
      </c>
      <c r="M863" s="28" t="s">
        <v>518</v>
      </c>
      <c r="N863" s="34"/>
    </row>
    <row r="864" ht="16.5" customHeight="1">
      <c r="A864" s="35" t="s">
        <v>518</v>
      </c>
      <c r="B864" s="35"/>
      <c r="C864" s="35" t="s">
        <v>518</v>
      </c>
      <c r="D864" s="37" t="s">
        <v>518</v>
      </c>
      <c r="E864" s="35" t="s">
        <v>518</v>
      </c>
      <c r="F864" s="41"/>
      <c r="G864" s="35"/>
      <c r="H864" s="35"/>
      <c r="I864" s="35"/>
      <c r="J864" s="35"/>
      <c r="K864" s="35"/>
      <c r="L864" s="35" t="s">
        <v>518</v>
      </c>
      <c r="M864" s="35" t="s">
        <v>518</v>
      </c>
      <c r="N864" s="41"/>
    </row>
    <row r="865" ht="16.5" customHeight="1">
      <c r="A865" s="28" t="s">
        <v>518</v>
      </c>
      <c r="B865" s="28"/>
      <c r="C865" s="28" t="s">
        <v>518</v>
      </c>
      <c r="D865" s="30" t="s">
        <v>518</v>
      </c>
      <c r="E865" s="28" t="s">
        <v>518</v>
      </c>
      <c r="F865" s="34"/>
      <c r="G865" s="28"/>
      <c r="H865" s="28"/>
      <c r="I865" s="28"/>
      <c r="J865" s="28"/>
      <c r="K865" s="28"/>
      <c r="L865" s="28" t="s">
        <v>518</v>
      </c>
      <c r="M865" s="28" t="s">
        <v>518</v>
      </c>
      <c r="N865" s="34"/>
    </row>
    <row r="866" ht="16.5" customHeight="1">
      <c r="A866" s="35" t="s">
        <v>518</v>
      </c>
      <c r="B866" s="35"/>
      <c r="C866" s="35" t="s">
        <v>518</v>
      </c>
      <c r="D866" s="37" t="s">
        <v>518</v>
      </c>
      <c r="E866" s="35" t="s">
        <v>518</v>
      </c>
      <c r="F866" s="41"/>
      <c r="G866" s="35"/>
      <c r="H866" s="35"/>
      <c r="I866" s="35"/>
      <c r="J866" s="35"/>
      <c r="K866" s="35"/>
      <c r="L866" s="35" t="s">
        <v>518</v>
      </c>
      <c r="M866" s="35" t="s">
        <v>518</v>
      </c>
      <c r="N866" s="41"/>
    </row>
    <row r="867" ht="16.5" customHeight="1">
      <c r="A867" s="28" t="s">
        <v>518</v>
      </c>
      <c r="B867" s="28"/>
      <c r="C867" s="28" t="s">
        <v>518</v>
      </c>
      <c r="D867" s="30" t="s">
        <v>518</v>
      </c>
      <c r="E867" s="28" t="s">
        <v>518</v>
      </c>
      <c r="F867" s="34"/>
      <c r="G867" s="28"/>
      <c r="H867" s="28"/>
      <c r="I867" s="28"/>
      <c r="J867" s="28"/>
      <c r="K867" s="28"/>
      <c r="L867" s="28" t="s">
        <v>518</v>
      </c>
      <c r="M867" s="28" t="s">
        <v>518</v>
      </c>
      <c r="N867" s="34"/>
    </row>
    <row r="868" ht="16.5" customHeight="1">
      <c r="A868" s="35" t="s">
        <v>518</v>
      </c>
      <c r="B868" s="35"/>
      <c r="C868" s="35" t="s">
        <v>518</v>
      </c>
      <c r="D868" s="37" t="s">
        <v>518</v>
      </c>
      <c r="E868" s="35" t="s">
        <v>518</v>
      </c>
      <c r="F868" s="41"/>
      <c r="G868" s="35"/>
      <c r="H868" s="35"/>
      <c r="I868" s="35"/>
      <c r="J868" s="35"/>
      <c r="K868" s="35"/>
      <c r="L868" s="35" t="s">
        <v>518</v>
      </c>
      <c r="M868" s="35" t="s">
        <v>518</v>
      </c>
      <c r="N868" s="41"/>
    </row>
    <row r="869" ht="16.5" customHeight="1">
      <c r="A869" s="28" t="s">
        <v>518</v>
      </c>
      <c r="B869" s="28"/>
      <c r="C869" s="28" t="s">
        <v>518</v>
      </c>
      <c r="D869" s="30" t="s">
        <v>518</v>
      </c>
      <c r="E869" s="28" t="s">
        <v>518</v>
      </c>
      <c r="F869" s="34"/>
      <c r="G869" s="28"/>
      <c r="H869" s="28"/>
      <c r="I869" s="28"/>
      <c r="J869" s="28"/>
      <c r="K869" s="28"/>
      <c r="L869" s="28" t="s">
        <v>518</v>
      </c>
      <c r="M869" s="28" t="s">
        <v>518</v>
      </c>
      <c r="N869" s="34"/>
    </row>
    <row r="870" ht="16.5" customHeight="1">
      <c r="A870" s="35" t="s">
        <v>518</v>
      </c>
      <c r="B870" s="35"/>
      <c r="C870" s="35" t="s">
        <v>518</v>
      </c>
      <c r="D870" s="37" t="s">
        <v>518</v>
      </c>
      <c r="E870" s="35" t="s">
        <v>518</v>
      </c>
      <c r="F870" s="41"/>
      <c r="G870" s="35"/>
      <c r="H870" s="35"/>
      <c r="I870" s="35"/>
      <c r="J870" s="35"/>
      <c r="K870" s="35"/>
      <c r="L870" s="35" t="s">
        <v>518</v>
      </c>
      <c r="M870" s="35" t="s">
        <v>518</v>
      </c>
      <c r="N870" s="41"/>
    </row>
    <row r="871" ht="16.5" customHeight="1">
      <c r="A871" s="28" t="s">
        <v>518</v>
      </c>
      <c r="B871" s="28"/>
      <c r="C871" s="28" t="s">
        <v>518</v>
      </c>
      <c r="D871" s="30" t="s">
        <v>518</v>
      </c>
      <c r="E871" s="28" t="s">
        <v>518</v>
      </c>
      <c r="F871" s="34"/>
      <c r="G871" s="28"/>
      <c r="H871" s="28"/>
      <c r="I871" s="28"/>
      <c r="J871" s="28"/>
      <c r="K871" s="28"/>
      <c r="L871" s="28" t="s">
        <v>518</v>
      </c>
      <c r="M871" s="28" t="s">
        <v>518</v>
      </c>
      <c r="N871" s="34"/>
    </row>
    <row r="872" ht="16.5" customHeight="1">
      <c r="A872" s="35" t="s">
        <v>518</v>
      </c>
      <c r="B872" s="35"/>
      <c r="C872" s="35" t="s">
        <v>518</v>
      </c>
      <c r="D872" s="37" t="s">
        <v>518</v>
      </c>
      <c r="E872" s="35" t="s">
        <v>518</v>
      </c>
      <c r="F872" s="41"/>
      <c r="G872" s="35"/>
      <c r="H872" s="35"/>
      <c r="I872" s="35"/>
      <c r="J872" s="35"/>
      <c r="K872" s="35"/>
      <c r="L872" s="35" t="s">
        <v>518</v>
      </c>
      <c r="M872" s="35" t="s">
        <v>518</v>
      </c>
      <c r="N872" s="41"/>
    </row>
    <row r="873" ht="16.5" customHeight="1">
      <c r="A873" s="28" t="s">
        <v>518</v>
      </c>
      <c r="B873" s="28"/>
      <c r="C873" s="28" t="s">
        <v>518</v>
      </c>
      <c r="D873" s="30" t="s">
        <v>518</v>
      </c>
      <c r="E873" s="28" t="s">
        <v>518</v>
      </c>
      <c r="F873" s="34"/>
      <c r="G873" s="28"/>
      <c r="H873" s="28"/>
      <c r="I873" s="28"/>
      <c r="J873" s="28"/>
      <c r="K873" s="28"/>
      <c r="L873" s="28" t="s">
        <v>518</v>
      </c>
      <c r="M873" s="28" t="s">
        <v>518</v>
      </c>
      <c r="N873" s="34"/>
    </row>
    <row r="874" ht="16.5" customHeight="1">
      <c r="A874" s="35" t="s">
        <v>518</v>
      </c>
      <c r="B874" s="35"/>
      <c r="C874" s="35" t="s">
        <v>518</v>
      </c>
      <c r="D874" s="37" t="s">
        <v>518</v>
      </c>
      <c r="E874" s="35" t="s">
        <v>518</v>
      </c>
      <c r="F874" s="41"/>
      <c r="G874" s="35"/>
      <c r="H874" s="35"/>
      <c r="I874" s="35"/>
      <c r="J874" s="35"/>
      <c r="K874" s="35"/>
      <c r="L874" s="35" t="s">
        <v>518</v>
      </c>
      <c r="M874" s="35" t="s">
        <v>518</v>
      </c>
      <c r="N874" s="41"/>
    </row>
    <row r="875" ht="16.5" customHeight="1">
      <c r="A875" s="28" t="s">
        <v>518</v>
      </c>
      <c r="B875" s="28"/>
      <c r="C875" s="28" t="s">
        <v>518</v>
      </c>
      <c r="D875" s="30" t="s">
        <v>518</v>
      </c>
      <c r="E875" s="28" t="s">
        <v>518</v>
      </c>
      <c r="F875" s="34"/>
      <c r="G875" s="28"/>
      <c r="H875" s="28"/>
      <c r="I875" s="28"/>
      <c r="J875" s="28"/>
      <c r="K875" s="28"/>
      <c r="L875" s="28" t="s">
        <v>518</v>
      </c>
      <c r="M875" s="28" t="s">
        <v>518</v>
      </c>
      <c r="N875" s="34"/>
    </row>
    <row r="876" ht="16.5" customHeight="1">
      <c r="A876" s="35" t="s">
        <v>518</v>
      </c>
      <c r="B876" s="35"/>
      <c r="C876" s="35" t="s">
        <v>518</v>
      </c>
      <c r="D876" s="37" t="s">
        <v>518</v>
      </c>
      <c r="E876" s="35" t="s">
        <v>518</v>
      </c>
      <c r="F876" s="41"/>
      <c r="G876" s="35"/>
      <c r="H876" s="35"/>
      <c r="I876" s="35"/>
      <c r="J876" s="35"/>
      <c r="K876" s="35"/>
      <c r="L876" s="35" t="s">
        <v>518</v>
      </c>
      <c r="M876" s="35" t="s">
        <v>518</v>
      </c>
      <c r="N876" s="41"/>
    </row>
    <row r="877" ht="16.5" customHeight="1">
      <c r="A877" s="28" t="s">
        <v>518</v>
      </c>
      <c r="B877" s="28"/>
      <c r="C877" s="28" t="s">
        <v>518</v>
      </c>
      <c r="D877" s="30" t="s">
        <v>518</v>
      </c>
      <c r="E877" s="28" t="s">
        <v>518</v>
      </c>
      <c r="F877" s="34"/>
      <c r="G877" s="28"/>
      <c r="H877" s="28"/>
      <c r="I877" s="28"/>
      <c r="J877" s="28"/>
      <c r="K877" s="28"/>
      <c r="L877" s="28" t="s">
        <v>518</v>
      </c>
      <c r="M877" s="28" t="s">
        <v>518</v>
      </c>
      <c r="N877" s="34"/>
    </row>
    <row r="878" ht="16.5" customHeight="1">
      <c r="A878" s="35" t="s">
        <v>518</v>
      </c>
      <c r="B878" s="35"/>
      <c r="C878" s="35" t="s">
        <v>518</v>
      </c>
      <c r="D878" s="37" t="s">
        <v>518</v>
      </c>
      <c r="E878" s="35" t="s">
        <v>518</v>
      </c>
      <c r="F878" s="41"/>
      <c r="G878" s="35"/>
      <c r="H878" s="35"/>
      <c r="I878" s="35"/>
      <c r="J878" s="35"/>
      <c r="K878" s="35"/>
      <c r="L878" s="35" t="s">
        <v>518</v>
      </c>
      <c r="M878" s="35" t="s">
        <v>518</v>
      </c>
      <c r="N878" s="41"/>
    </row>
    <row r="879" ht="16.5" customHeight="1">
      <c r="A879" s="28" t="s">
        <v>518</v>
      </c>
      <c r="B879" s="28"/>
      <c r="C879" s="28" t="s">
        <v>518</v>
      </c>
      <c r="D879" s="30" t="s">
        <v>518</v>
      </c>
      <c r="E879" s="28" t="s">
        <v>518</v>
      </c>
      <c r="F879" s="34"/>
      <c r="G879" s="28"/>
      <c r="H879" s="28"/>
      <c r="I879" s="28"/>
      <c r="J879" s="28"/>
      <c r="K879" s="28"/>
      <c r="L879" s="28" t="s">
        <v>518</v>
      </c>
      <c r="M879" s="28" t="s">
        <v>518</v>
      </c>
      <c r="N879" s="34"/>
    </row>
    <row r="880" ht="16.5" customHeight="1">
      <c r="A880" s="35" t="s">
        <v>518</v>
      </c>
      <c r="B880" s="35"/>
      <c r="C880" s="35" t="s">
        <v>518</v>
      </c>
      <c r="D880" s="37" t="s">
        <v>518</v>
      </c>
      <c r="E880" s="35" t="s">
        <v>518</v>
      </c>
      <c r="F880" s="41"/>
      <c r="G880" s="35"/>
      <c r="H880" s="35"/>
      <c r="I880" s="35"/>
      <c r="J880" s="35"/>
      <c r="K880" s="35"/>
      <c r="L880" s="35" t="s">
        <v>518</v>
      </c>
      <c r="M880" s="35" t="s">
        <v>518</v>
      </c>
      <c r="N880" s="41"/>
    </row>
    <row r="881" ht="16.5" customHeight="1">
      <c r="A881" s="28" t="s">
        <v>518</v>
      </c>
      <c r="B881" s="28"/>
      <c r="C881" s="28" t="s">
        <v>518</v>
      </c>
      <c r="D881" s="30" t="s">
        <v>518</v>
      </c>
      <c r="E881" s="28" t="s">
        <v>518</v>
      </c>
      <c r="F881" s="34"/>
      <c r="G881" s="28"/>
      <c r="H881" s="28"/>
      <c r="I881" s="28"/>
      <c r="J881" s="28"/>
      <c r="K881" s="28"/>
      <c r="L881" s="28" t="s">
        <v>518</v>
      </c>
      <c r="M881" s="28" t="s">
        <v>518</v>
      </c>
      <c r="N881" s="34"/>
    </row>
    <row r="882" ht="16.5" customHeight="1">
      <c r="A882" s="35" t="s">
        <v>518</v>
      </c>
      <c r="B882" s="35"/>
      <c r="C882" s="35" t="s">
        <v>518</v>
      </c>
      <c r="D882" s="37" t="s">
        <v>518</v>
      </c>
      <c r="E882" s="35" t="s">
        <v>518</v>
      </c>
      <c r="F882" s="41"/>
      <c r="G882" s="35"/>
      <c r="H882" s="35"/>
      <c r="I882" s="35"/>
      <c r="J882" s="35"/>
      <c r="K882" s="35"/>
      <c r="L882" s="35" t="s">
        <v>518</v>
      </c>
      <c r="M882" s="35" t="s">
        <v>518</v>
      </c>
      <c r="N882" s="41"/>
    </row>
    <row r="883" ht="16.5" customHeight="1">
      <c r="A883" s="28" t="s">
        <v>518</v>
      </c>
      <c r="B883" s="28"/>
      <c r="C883" s="28" t="s">
        <v>518</v>
      </c>
      <c r="D883" s="30" t="s">
        <v>518</v>
      </c>
      <c r="E883" s="28" t="s">
        <v>518</v>
      </c>
      <c r="F883" s="34"/>
      <c r="G883" s="28"/>
      <c r="H883" s="28"/>
      <c r="I883" s="28"/>
      <c r="J883" s="28"/>
      <c r="K883" s="28"/>
      <c r="L883" s="28" t="s">
        <v>518</v>
      </c>
      <c r="M883" s="28" t="s">
        <v>518</v>
      </c>
      <c r="N883" s="34"/>
    </row>
    <row r="884" ht="16.5" customHeight="1">
      <c r="A884" s="35" t="s">
        <v>518</v>
      </c>
      <c r="B884" s="35"/>
      <c r="C884" s="35" t="s">
        <v>518</v>
      </c>
      <c r="D884" s="37" t="s">
        <v>518</v>
      </c>
      <c r="E884" s="35" t="s">
        <v>518</v>
      </c>
      <c r="F884" s="41"/>
      <c r="G884" s="35"/>
      <c r="H884" s="35"/>
      <c r="I884" s="35"/>
      <c r="J884" s="35"/>
      <c r="K884" s="35"/>
      <c r="L884" s="35" t="s">
        <v>518</v>
      </c>
      <c r="M884" s="35" t="s">
        <v>518</v>
      </c>
      <c r="N884" s="41"/>
    </row>
    <row r="885" ht="16.5" customHeight="1">
      <c r="A885" s="28" t="s">
        <v>518</v>
      </c>
      <c r="B885" s="28"/>
      <c r="C885" s="28" t="s">
        <v>518</v>
      </c>
      <c r="D885" s="30" t="s">
        <v>518</v>
      </c>
      <c r="E885" s="28" t="s">
        <v>518</v>
      </c>
      <c r="F885" s="34"/>
      <c r="G885" s="28"/>
      <c r="H885" s="28"/>
      <c r="I885" s="28"/>
      <c r="J885" s="28"/>
      <c r="K885" s="28"/>
      <c r="L885" s="28" t="s">
        <v>518</v>
      </c>
      <c r="M885" s="28" t="s">
        <v>518</v>
      </c>
      <c r="N885" s="34"/>
    </row>
    <row r="886" ht="16.5" customHeight="1">
      <c r="A886" s="35" t="s">
        <v>518</v>
      </c>
      <c r="B886" s="35"/>
      <c r="C886" s="35" t="s">
        <v>518</v>
      </c>
      <c r="D886" s="37" t="s">
        <v>518</v>
      </c>
      <c r="E886" s="35" t="s">
        <v>518</v>
      </c>
      <c r="F886" s="41"/>
      <c r="G886" s="35"/>
      <c r="H886" s="35"/>
      <c r="I886" s="35"/>
      <c r="J886" s="35"/>
      <c r="K886" s="35"/>
      <c r="L886" s="35" t="s">
        <v>518</v>
      </c>
      <c r="M886" s="35" t="s">
        <v>518</v>
      </c>
      <c r="N886" s="41"/>
    </row>
    <row r="887" ht="16.5" customHeight="1">
      <c r="A887" s="28" t="s">
        <v>518</v>
      </c>
      <c r="B887" s="28"/>
      <c r="C887" s="28" t="s">
        <v>518</v>
      </c>
      <c r="D887" s="30" t="s">
        <v>518</v>
      </c>
      <c r="E887" s="28" t="s">
        <v>518</v>
      </c>
      <c r="F887" s="34"/>
      <c r="G887" s="28"/>
      <c r="H887" s="28"/>
      <c r="I887" s="28"/>
      <c r="J887" s="28"/>
      <c r="K887" s="28"/>
      <c r="L887" s="28" t="s">
        <v>518</v>
      </c>
      <c r="M887" s="28" t="s">
        <v>518</v>
      </c>
      <c r="N887" s="34"/>
    </row>
    <row r="888" ht="16.5" customHeight="1">
      <c r="A888" s="35" t="s">
        <v>518</v>
      </c>
      <c r="B888" s="35"/>
      <c r="C888" s="35" t="s">
        <v>518</v>
      </c>
      <c r="D888" s="37" t="s">
        <v>518</v>
      </c>
      <c r="E888" s="35" t="s">
        <v>518</v>
      </c>
      <c r="F888" s="41"/>
      <c r="G888" s="35"/>
      <c r="H888" s="35"/>
      <c r="I888" s="35"/>
      <c r="J888" s="35"/>
      <c r="K888" s="35"/>
      <c r="L888" s="35" t="s">
        <v>518</v>
      </c>
      <c r="M888" s="35" t="s">
        <v>518</v>
      </c>
      <c r="N888" s="41"/>
    </row>
    <row r="889" ht="16.5" customHeight="1">
      <c r="A889" s="28" t="s">
        <v>518</v>
      </c>
      <c r="B889" s="28"/>
      <c r="C889" s="28" t="s">
        <v>518</v>
      </c>
      <c r="D889" s="30" t="s">
        <v>518</v>
      </c>
      <c r="E889" s="28" t="s">
        <v>518</v>
      </c>
      <c r="F889" s="34"/>
      <c r="G889" s="28"/>
      <c r="H889" s="28"/>
      <c r="I889" s="28"/>
      <c r="J889" s="28"/>
      <c r="K889" s="28"/>
      <c r="L889" s="28" t="s">
        <v>518</v>
      </c>
      <c r="M889" s="28" t="s">
        <v>518</v>
      </c>
      <c r="N889" s="34"/>
    </row>
    <row r="890" ht="16.5" customHeight="1">
      <c r="A890" s="35" t="s">
        <v>518</v>
      </c>
      <c r="B890" s="35"/>
      <c r="C890" s="35" t="s">
        <v>518</v>
      </c>
      <c r="D890" s="37" t="s">
        <v>518</v>
      </c>
      <c r="E890" s="35" t="s">
        <v>518</v>
      </c>
      <c r="F890" s="41"/>
      <c r="G890" s="35"/>
      <c r="H890" s="35"/>
      <c r="I890" s="35"/>
      <c r="J890" s="35"/>
      <c r="K890" s="35"/>
      <c r="L890" s="35" t="s">
        <v>518</v>
      </c>
      <c r="M890" s="35" t="s">
        <v>518</v>
      </c>
      <c r="N890" s="41"/>
    </row>
    <row r="891" ht="16.5" customHeight="1">
      <c r="A891" s="28" t="s">
        <v>518</v>
      </c>
      <c r="B891" s="28"/>
      <c r="C891" s="28" t="s">
        <v>518</v>
      </c>
      <c r="D891" s="30" t="s">
        <v>518</v>
      </c>
      <c r="E891" s="28" t="s">
        <v>518</v>
      </c>
      <c r="F891" s="34"/>
      <c r="G891" s="28"/>
      <c r="H891" s="28"/>
      <c r="I891" s="28"/>
      <c r="J891" s="28"/>
      <c r="K891" s="28"/>
      <c r="L891" s="28" t="s">
        <v>518</v>
      </c>
      <c r="M891" s="28" t="s">
        <v>518</v>
      </c>
      <c r="N891" s="34"/>
    </row>
    <row r="892" ht="16.5" customHeight="1">
      <c r="A892" s="35" t="s">
        <v>518</v>
      </c>
      <c r="B892" s="35"/>
      <c r="C892" s="35" t="s">
        <v>518</v>
      </c>
      <c r="D892" s="37" t="s">
        <v>518</v>
      </c>
      <c r="E892" s="35" t="s">
        <v>518</v>
      </c>
      <c r="F892" s="41"/>
      <c r="G892" s="35"/>
      <c r="H892" s="35"/>
      <c r="I892" s="35"/>
      <c r="J892" s="35"/>
      <c r="K892" s="35"/>
      <c r="L892" s="35" t="s">
        <v>518</v>
      </c>
      <c r="M892" s="35" t="s">
        <v>518</v>
      </c>
      <c r="N892" s="41"/>
    </row>
    <row r="893" ht="16.5" customHeight="1">
      <c r="A893" s="28" t="s">
        <v>518</v>
      </c>
      <c r="B893" s="28"/>
      <c r="C893" s="28" t="s">
        <v>518</v>
      </c>
      <c r="D893" s="30" t="s">
        <v>518</v>
      </c>
      <c r="E893" s="28" t="s">
        <v>518</v>
      </c>
      <c r="F893" s="34"/>
      <c r="G893" s="28"/>
      <c r="H893" s="28"/>
      <c r="I893" s="28"/>
      <c r="J893" s="28"/>
      <c r="K893" s="28"/>
      <c r="L893" s="28" t="s">
        <v>518</v>
      </c>
      <c r="M893" s="28" t="s">
        <v>518</v>
      </c>
      <c r="N893" s="34"/>
    </row>
    <row r="894" ht="16.5" customHeight="1">
      <c r="A894" s="35" t="s">
        <v>518</v>
      </c>
      <c r="B894" s="35"/>
      <c r="C894" s="35" t="s">
        <v>518</v>
      </c>
      <c r="D894" s="37" t="s">
        <v>518</v>
      </c>
      <c r="E894" s="35" t="s">
        <v>518</v>
      </c>
      <c r="F894" s="41"/>
      <c r="G894" s="35"/>
      <c r="H894" s="35"/>
      <c r="I894" s="35"/>
      <c r="J894" s="35"/>
      <c r="K894" s="35"/>
      <c r="L894" s="35" t="s">
        <v>518</v>
      </c>
      <c r="M894" s="35" t="s">
        <v>518</v>
      </c>
      <c r="N894" s="41"/>
    </row>
    <row r="895" ht="16.5" customHeight="1">
      <c r="A895" s="28" t="s">
        <v>518</v>
      </c>
      <c r="B895" s="28"/>
      <c r="C895" s="28" t="s">
        <v>518</v>
      </c>
      <c r="D895" s="30" t="s">
        <v>518</v>
      </c>
      <c r="E895" s="28" t="s">
        <v>518</v>
      </c>
      <c r="F895" s="34"/>
      <c r="G895" s="28"/>
      <c r="H895" s="28"/>
      <c r="I895" s="28"/>
      <c r="J895" s="28"/>
      <c r="K895" s="28"/>
      <c r="L895" s="28" t="s">
        <v>518</v>
      </c>
      <c r="M895" s="28" t="s">
        <v>518</v>
      </c>
      <c r="N895" s="34"/>
    </row>
    <row r="896" ht="16.5" customHeight="1">
      <c r="A896" s="35" t="s">
        <v>518</v>
      </c>
      <c r="B896" s="35"/>
      <c r="C896" s="35" t="s">
        <v>518</v>
      </c>
      <c r="D896" s="37" t="s">
        <v>518</v>
      </c>
      <c r="E896" s="35" t="s">
        <v>518</v>
      </c>
      <c r="F896" s="41"/>
      <c r="G896" s="35"/>
      <c r="H896" s="35"/>
      <c r="I896" s="35"/>
      <c r="J896" s="35"/>
      <c r="K896" s="35"/>
      <c r="L896" s="35" t="s">
        <v>518</v>
      </c>
      <c r="M896" s="35" t="s">
        <v>518</v>
      </c>
      <c r="N896" s="41"/>
    </row>
    <row r="897" ht="16.5" customHeight="1">
      <c r="A897" s="28" t="s">
        <v>518</v>
      </c>
      <c r="B897" s="28"/>
      <c r="C897" s="28" t="s">
        <v>518</v>
      </c>
      <c r="D897" s="30" t="s">
        <v>518</v>
      </c>
      <c r="E897" s="28" t="s">
        <v>518</v>
      </c>
      <c r="F897" s="34"/>
      <c r="G897" s="28"/>
      <c r="H897" s="28"/>
      <c r="I897" s="28"/>
      <c r="J897" s="28"/>
      <c r="K897" s="28"/>
      <c r="L897" s="28" t="s">
        <v>518</v>
      </c>
      <c r="M897" s="28" t="s">
        <v>518</v>
      </c>
      <c r="N897" s="34"/>
    </row>
    <row r="898" ht="16.5" customHeight="1">
      <c r="A898" s="35" t="s">
        <v>518</v>
      </c>
      <c r="B898" s="35"/>
      <c r="C898" s="35" t="s">
        <v>518</v>
      </c>
      <c r="D898" s="37" t="s">
        <v>518</v>
      </c>
      <c r="E898" s="35" t="s">
        <v>518</v>
      </c>
      <c r="F898" s="41"/>
      <c r="G898" s="35"/>
      <c r="H898" s="35"/>
      <c r="I898" s="35"/>
      <c r="J898" s="35"/>
      <c r="K898" s="35"/>
      <c r="L898" s="35" t="s">
        <v>518</v>
      </c>
      <c r="M898" s="35" t="s">
        <v>518</v>
      </c>
      <c r="N898" s="41"/>
    </row>
    <row r="899" ht="16.5" customHeight="1">
      <c r="A899" s="28" t="s">
        <v>518</v>
      </c>
      <c r="B899" s="28"/>
      <c r="C899" s="28" t="s">
        <v>518</v>
      </c>
      <c r="D899" s="30" t="s">
        <v>518</v>
      </c>
      <c r="E899" s="28" t="s">
        <v>518</v>
      </c>
      <c r="F899" s="34"/>
      <c r="G899" s="28"/>
      <c r="H899" s="28"/>
      <c r="I899" s="28"/>
      <c r="J899" s="28"/>
      <c r="K899" s="28"/>
      <c r="L899" s="28" t="s">
        <v>518</v>
      </c>
      <c r="M899" s="28" t="s">
        <v>518</v>
      </c>
      <c r="N899" s="34"/>
    </row>
    <row r="900" ht="16.5" customHeight="1">
      <c r="A900" s="35" t="s">
        <v>518</v>
      </c>
      <c r="B900" s="35"/>
      <c r="C900" s="35" t="s">
        <v>518</v>
      </c>
      <c r="D900" s="37" t="s">
        <v>518</v>
      </c>
      <c r="E900" s="35" t="s">
        <v>518</v>
      </c>
      <c r="F900" s="41"/>
      <c r="G900" s="35"/>
      <c r="H900" s="35"/>
      <c r="I900" s="35"/>
      <c r="J900" s="35"/>
      <c r="K900" s="35"/>
      <c r="L900" s="35" t="s">
        <v>518</v>
      </c>
      <c r="M900" s="35" t="s">
        <v>518</v>
      </c>
      <c r="N900" s="4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6.25"/>
    <col customWidth="1" min="3" max="3" width="18.75"/>
    <col customWidth="1" min="4" max="4" width="21.38"/>
    <col customWidth="1" min="5" max="5" width="16.5"/>
  </cols>
  <sheetData>
    <row r="1">
      <c r="A1" s="45" t="str">
        <f>IFERROR(__xludf.DUMMYFUNCTION("QUERY(FORM!A:J,""SELECT B,A,C,D,J ORDER BY A DESC"",1)"),"#REF!")</f>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13"/>
    <col customWidth="1" min="2" max="2" width="17.13"/>
    <col customWidth="1" min="3" max="3" width="7.88"/>
    <col customWidth="1" min="4" max="4" width="14.25"/>
    <col customWidth="1" min="5" max="5" width="27.38"/>
    <col customWidth="1" min="6" max="6" width="35.5"/>
    <col customWidth="1" min="7" max="7" width="19.75"/>
    <col customWidth="1" min="8" max="8" width="20.5"/>
  </cols>
  <sheetData>
    <row r="1">
      <c r="A1" s="46" t="str">
        <f>IFERROR(__xludf.DUMMYFUNCTION("IMPORTRANGE(""https://docs.google.com/spreadsheets/d/1m7J6Y1SSBkQdcMVXl2Yj-j28gyJMAbS4UK0IL9qsiNA/edit?gid=0#gid=0"",""ANTIOQUIA!A:H"")"),"MOVIL")</f>
        <v>MOVIL</v>
      </c>
      <c r="B1" s="47" t="str">
        <f>IFERROR(__xludf.DUMMYFUNCTION("""COMPUTED_VALUE"""),"POBLACIÓN")</f>
        <v>POBLACIÓN</v>
      </c>
      <c r="C1" s="46" t="str">
        <f>IFERROR(__xludf.DUMMYFUNCTION("""COMPUTED_VALUE"""),"PLACA")</f>
        <v>PLACA</v>
      </c>
      <c r="D1" s="46" t="str">
        <f>IFERROR(__xludf.DUMMYFUNCTION("""COMPUTED_VALUE"""),"LINEA")</f>
        <v>LINEA</v>
      </c>
      <c r="E1" s="46" t="str">
        <f>IFERROR(__xludf.DUMMYFUNCTION("""COMPUTED_VALUE"""),"SOAT")</f>
        <v>SOAT</v>
      </c>
      <c r="F1" s="46" t="str">
        <f>IFERROR(__xludf.DUMMYFUNCTION("""COMPUTED_VALUE"""),"RTM")</f>
        <v>RTM</v>
      </c>
      <c r="G1" s="46"/>
      <c r="H1" s="46"/>
      <c r="K1" s="48"/>
      <c r="L1" s="48"/>
      <c r="M1" s="49"/>
      <c r="N1" s="50"/>
      <c r="O1" s="48"/>
    </row>
    <row r="2">
      <c r="A2" s="51">
        <f>IFERROR(__xludf.DUMMYFUNCTION("""COMPUTED_VALUE"""),3284.0)</f>
        <v>3284</v>
      </c>
      <c r="B2" s="52" t="str">
        <f>IFERROR(__xludf.DUMMYFUNCTION("""COMPUTED_VALUE"""),"02-Medellin")</f>
        <v>02-Medellin</v>
      </c>
      <c r="C2" s="51" t="str">
        <f>IFERROR(__xludf.DUMMYFUNCTION("""COMPUTED_VALUE"""),"PVS650")</f>
        <v>PVS650</v>
      </c>
      <c r="D2" s="51" t="str">
        <f>IFERROR(__xludf.DUMMYFUNCTION("""COMPUTED_VALUE"""),"FURGON FOTON 1030")</f>
        <v>FURGON FOTON 1030</v>
      </c>
      <c r="E2" s="53">
        <f>IFERROR(__xludf.DUMMYFUNCTION("""COMPUTED_VALUE"""),46301.0)</f>
        <v>46301</v>
      </c>
      <c r="F2" s="53">
        <f>IFERROR(__xludf.DUMMYFUNCTION("""COMPUTED_VALUE"""),46668.0)</f>
        <v>46668</v>
      </c>
      <c r="G2" s="51"/>
      <c r="H2" s="54"/>
      <c r="I2" s="55"/>
      <c r="J2" s="56"/>
      <c r="M2" s="49"/>
      <c r="N2" s="50"/>
      <c r="O2" s="48"/>
    </row>
    <row r="3">
      <c r="A3" s="51">
        <f>IFERROR(__xludf.DUMMYFUNCTION("""COMPUTED_VALUE"""),3283.0)</f>
        <v>3283</v>
      </c>
      <c r="B3" s="52" t="str">
        <f>IFERROR(__xludf.DUMMYFUNCTION("""COMPUTED_VALUE"""),"02-Medellin")</f>
        <v>02-Medellin</v>
      </c>
      <c r="C3" s="51" t="str">
        <f>IFERROR(__xludf.DUMMYFUNCTION("""COMPUTED_VALUE"""),"PVS649")</f>
        <v>PVS649</v>
      </c>
      <c r="D3" s="51" t="str">
        <f>IFERROR(__xludf.DUMMYFUNCTION("""COMPUTED_VALUE"""),"FURGON FOTON 1030")</f>
        <v>FURGON FOTON 1030</v>
      </c>
      <c r="E3" s="53">
        <f>IFERROR(__xludf.DUMMYFUNCTION("""COMPUTED_VALUE"""),46301.0)</f>
        <v>46301</v>
      </c>
      <c r="F3" s="53">
        <f>IFERROR(__xludf.DUMMYFUNCTION("""COMPUTED_VALUE"""),46668.0)</f>
        <v>46668</v>
      </c>
      <c r="G3" s="51"/>
      <c r="H3" s="54"/>
      <c r="I3" s="55"/>
      <c r="J3" s="56"/>
      <c r="M3" s="49"/>
      <c r="N3" s="50"/>
      <c r="O3" s="48"/>
    </row>
    <row r="4">
      <c r="A4" s="51">
        <f>IFERROR(__xludf.DUMMYFUNCTION("""COMPUTED_VALUE"""),3282.0)</f>
        <v>3282</v>
      </c>
      <c r="B4" s="52" t="str">
        <f>IFERROR(__xludf.DUMMYFUNCTION("""COMPUTED_VALUE"""),"02-Medellin")</f>
        <v>02-Medellin</v>
      </c>
      <c r="C4" s="51" t="str">
        <f>IFERROR(__xludf.DUMMYFUNCTION("""COMPUTED_VALUE"""),"PVS648")</f>
        <v>PVS648</v>
      </c>
      <c r="D4" s="51" t="str">
        <f>IFERROR(__xludf.DUMMYFUNCTION("""COMPUTED_VALUE"""),"FURGON FOTON 1030")</f>
        <v>FURGON FOTON 1030</v>
      </c>
      <c r="E4" s="53">
        <f>IFERROR(__xludf.DUMMYFUNCTION("""COMPUTED_VALUE"""),46301.0)</f>
        <v>46301</v>
      </c>
      <c r="F4" s="53">
        <f>IFERROR(__xludf.DUMMYFUNCTION("""COMPUTED_VALUE"""),46668.0)</f>
        <v>46668</v>
      </c>
      <c r="G4" s="51"/>
      <c r="H4" s="54"/>
      <c r="I4" s="55"/>
      <c r="J4" s="56"/>
      <c r="M4" s="49"/>
      <c r="N4" s="50"/>
      <c r="O4" s="48"/>
    </row>
    <row r="5">
      <c r="A5" s="51">
        <f>IFERROR(__xludf.DUMMYFUNCTION("""COMPUTED_VALUE"""),3281.0)</f>
        <v>3281</v>
      </c>
      <c r="B5" s="52" t="str">
        <f>IFERROR(__xludf.DUMMYFUNCTION("""COMPUTED_VALUE"""),"02-Medellin")</f>
        <v>02-Medellin</v>
      </c>
      <c r="C5" s="51" t="str">
        <f>IFERROR(__xludf.DUMMYFUNCTION("""COMPUTED_VALUE"""),"PVS647")</f>
        <v>PVS647</v>
      </c>
      <c r="D5" s="51" t="str">
        <f>IFERROR(__xludf.DUMMYFUNCTION("""COMPUTED_VALUE"""),"FURGON FOTON 1030")</f>
        <v>FURGON FOTON 1030</v>
      </c>
      <c r="E5" s="53">
        <f>IFERROR(__xludf.DUMMYFUNCTION("""COMPUTED_VALUE"""),46301.0)</f>
        <v>46301</v>
      </c>
      <c r="F5" s="53">
        <f>IFERROR(__xludf.DUMMYFUNCTION("""COMPUTED_VALUE"""),46668.0)</f>
        <v>46668</v>
      </c>
      <c r="G5" s="51"/>
      <c r="H5" s="54"/>
      <c r="I5" s="55"/>
      <c r="J5" s="56"/>
      <c r="M5" s="49"/>
      <c r="N5" s="50"/>
      <c r="O5" s="48"/>
    </row>
    <row r="6">
      <c r="A6" s="51">
        <f>IFERROR(__xludf.DUMMYFUNCTION("""COMPUTED_VALUE"""),3280.0)</f>
        <v>3280</v>
      </c>
      <c r="B6" s="52" t="str">
        <f>IFERROR(__xludf.DUMMYFUNCTION("""COMPUTED_VALUE"""),"02-Medellin")</f>
        <v>02-Medellin</v>
      </c>
      <c r="C6" s="51" t="str">
        <f>IFERROR(__xludf.DUMMYFUNCTION("""COMPUTED_VALUE"""),"PVS646")</f>
        <v>PVS646</v>
      </c>
      <c r="D6" s="51" t="str">
        <f>IFERROR(__xludf.DUMMYFUNCTION("""COMPUTED_VALUE"""),"FURGON FOTON 1030")</f>
        <v>FURGON FOTON 1030</v>
      </c>
      <c r="E6" s="53">
        <f>IFERROR(__xludf.DUMMYFUNCTION("""COMPUTED_VALUE"""),46301.0)</f>
        <v>46301</v>
      </c>
      <c r="F6" s="53">
        <f>IFERROR(__xludf.DUMMYFUNCTION("""COMPUTED_VALUE"""),46668.0)</f>
        <v>46668</v>
      </c>
      <c r="G6" s="51"/>
      <c r="H6" s="54"/>
      <c r="I6" s="55"/>
      <c r="J6" s="56"/>
      <c r="M6" s="49"/>
      <c r="N6" s="50"/>
      <c r="O6" s="48"/>
    </row>
    <row r="7">
      <c r="A7" s="51">
        <f>IFERROR(__xludf.DUMMYFUNCTION("""COMPUTED_VALUE"""),3279.0)</f>
        <v>3279</v>
      </c>
      <c r="B7" s="52" t="str">
        <f>IFERROR(__xludf.DUMMYFUNCTION("""COMPUTED_VALUE"""),"02-Medellin")</f>
        <v>02-Medellin</v>
      </c>
      <c r="C7" s="51" t="str">
        <f>IFERROR(__xludf.DUMMYFUNCTION("""COMPUTED_VALUE"""),"PVS645")</f>
        <v>PVS645</v>
      </c>
      <c r="D7" s="51" t="str">
        <f>IFERROR(__xludf.DUMMYFUNCTION("""COMPUTED_VALUE"""),"FURGON FOTON 1030")</f>
        <v>FURGON FOTON 1030</v>
      </c>
      <c r="E7" s="53">
        <f>IFERROR(__xludf.DUMMYFUNCTION("""COMPUTED_VALUE"""),46301.0)</f>
        <v>46301</v>
      </c>
      <c r="F7" s="53">
        <f>IFERROR(__xludf.DUMMYFUNCTION("""COMPUTED_VALUE"""),46668.0)</f>
        <v>46668</v>
      </c>
      <c r="G7" s="51"/>
      <c r="H7" s="54"/>
      <c r="I7" s="55"/>
      <c r="J7" s="56"/>
      <c r="M7" s="49"/>
      <c r="N7" s="50"/>
      <c r="O7" s="48"/>
    </row>
    <row r="8">
      <c r="A8" s="51">
        <f>IFERROR(__xludf.DUMMYFUNCTION("""COMPUTED_VALUE"""),3278.0)</f>
        <v>3278</v>
      </c>
      <c r="B8" s="52" t="str">
        <f>IFERROR(__xludf.DUMMYFUNCTION("""COMPUTED_VALUE"""),"02-Medellin")</f>
        <v>02-Medellin</v>
      </c>
      <c r="C8" s="51" t="str">
        <f>IFERROR(__xludf.DUMMYFUNCTION("""COMPUTED_VALUE"""),"PVS644")</f>
        <v>PVS644</v>
      </c>
      <c r="D8" s="51" t="str">
        <f>IFERROR(__xludf.DUMMYFUNCTION("""COMPUTED_VALUE"""),"FURGON FOTON 1030")</f>
        <v>FURGON FOTON 1030</v>
      </c>
      <c r="E8" s="53">
        <f>IFERROR(__xludf.DUMMYFUNCTION("""COMPUTED_VALUE"""),46301.0)</f>
        <v>46301</v>
      </c>
      <c r="F8" s="53">
        <f>IFERROR(__xludf.DUMMYFUNCTION("""COMPUTED_VALUE"""),46668.0)</f>
        <v>46668</v>
      </c>
      <c r="G8" s="51"/>
      <c r="H8" s="54"/>
      <c r="I8" s="55"/>
      <c r="J8" s="56"/>
      <c r="M8" s="49"/>
      <c r="N8" s="50"/>
      <c r="O8" s="48"/>
    </row>
    <row r="9">
      <c r="A9" s="51">
        <f>IFERROR(__xludf.DUMMYFUNCTION("""COMPUTED_VALUE"""),3275.0)</f>
        <v>3275</v>
      </c>
      <c r="B9" s="52" t="str">
        <f>IFERROR(__xludf.DUMMYFUNCTION("""COMPUTED_VALUE"""),"02-Medellin")</f>
        <v>02-Medellin</v>
      </c>
      <c r="C9" s="51" t="str">
        <f>IFERROR(__xludf.DUMMYFUNCTION("""COMPUTED_VALUE"""),"PVS641")</f>
        <v>PVS641</v>
      </c>
      <c r="D9" s="51" t="str">
        <f>IFERROR(__xludf.DUMMYFUNCTION("""COMPUTED_VALUE"""),"FURGON FOTON 1030")</f>
        <v>FURGON FOTON 1030</v>
      </c>
      <c r="E9" s="53">
        <f>IFERROR(__xludf.DUMMYFUNCTION("""COMPUTED_VALUE"""),46301.0)</f>
        <v>46301</v>
      </c>
      <c r="F9" s="53">
        <f>IFERROR(__xludf.DUMMYFUNCTION("""COMPUTED_VALUE"""),46668.0)</f>
        <v>46668</v>
      </c>
      <c r="G9" s="51"/>
      <c r="H9" s="54"/>
      <c r="I9" s="55"/>
      <c r="J9" s="56"/>
      <c r="M9" s="49"/>
      <c r="N9" s="50"/>
      <c r="O9" s="48"/>
    </row>
    <row r="10">
      <c r="A10" s="51">
        <f>IFERROR(__xludf.DUMMYFUNCTION("""COMPUTED_VALUE"""),3273.0)</f>
        <v>3273</v>
      </c>
      <c r="B10" s="52" t="str">
        <f>IFERROR(__xludf.DUMMYFUNCTION("""COMPUTED_VALUE"""),"02-Medellin")</f>
        <v>02-Medellin</v>
      </c>
      <c r="C10" s="51" t="str">
        <f>IFERROR(__xludf.DUMMYFUNCTION("""COMPUTED_VALUE"""),"PVS639")</f>
        <v>PVS639</v>
      </c>
      <c r="D10" s="51" t="str">
        <f>IFERROR(__xludf.DUMMYFUNCTION("""COMPUTED_VALUE"""),"FURGON FOTON 1030")</f>
        <v>FURGON FOTON 1030</v>
      </c>
      <c r="E10" s="53">
        <f>IFERROR(__xludf.DUMMYFUNCTION("""COMPUTED_VALUE"""),46301.0)</f>
        <v>46301</v>
      </c>
      <c r="F10" s="53">
        <f>IFERROR(__xludf.DUMMYFUNCTION("""COMPUTED_VALUE"""),46668.0)</f>
        <v>46668</v>
      </c>
      <c r="G10" s="51"/>
      <c r="H10" s="54"/>
      <c r="I10" s="55"/>
      <c r="J10" s="56"/>
      <c r="M10" s="49"/>
      <c r="N10" s="50"/>
      <c r="O10" s="48"/>
    </row>
    <row r="11">
      <c r="A11" s="51">
        <f>IFERROR(__xludf.DUMMYFUNCTION("""COMPUTED_VALUE"""),3271.0)</f>
        <v>3271</v>
      </c>
      <c r="B11" s="52" t="str">
        <f>IFERROR(__xludf.DUMMYFUNCTION("""COMPUTED_VALUE"""),"02-Medellin")</f>
        <v>02-Medellin</v>
      </c>
      <c r="C11" s="51" t="str">
        <f>IFERROR(__xludf.DUMMYFUNCTION("""COMPUTED_VALUE"""),"PVS637")</f>
        <v>PVS637</v>
      </c>
      <c r="D11" s="51" t="str">
        <f>IFERROR(__xludf.DUMMYFUNCTION("""COMPUTED_VALUE"""),"FURGON FOTON 1030")</f>
        <v>FURGON FOTON 1030</v>
      </c>
      <c r="E11" s="53">
        <f>IFERROR(__xludf.DUMMYFUNCTION("""COMPUTED_VALUE"""),46301.0)</f>
        <v>46301</v>
      </c>
      <c r="F11" s="53">
        <f>IFERROR(__xludf.DUMMYFUNCTION("""COMPUTED_VALUE"""),46668.0)</f>
        <v>46668</v>
      </c>
      <c r="G11" s="51"/>
      <c r="H11" s="54"/>
      <c r="I11" s="55"/>
      <c r="J11" s="56"/>
      <c r="M11" s="49"/>
      <c r="N11" s="50"/>
      <c r="O11" s="48"/>
    </row>
    <row r="12">
      <c r="A12" s="51">
        <f>IFERROR(__xludf.DUMMYFUNCTION("""COMPUTED_VALUE"""),3264.0)</f>
        <v>3264</v>
      </c>
      <c r="B12" s="52" t="str">
        <f>IFERROR(__xludf.DUMMYFUNCTION("""COMPUTED_VALUE"""),"02-Medellin")</f>
        <v>02-Medellin</v>
      </c>
      <c r="C12" s="51" t="str">
        <f>IFERROR(__xludf.DUMMYFUNCTION("""COMPUTED_VALUE"""),"PVS630")</f>
        <v>PVS630</v>
      </c>
      <c r="D12" s="51" t="str">
        <f>IFERROR(__xludf.DUMMYFUNCTION("""COMPUTED_VALUE"""),"FURGON FOTON 1030")</f>
        <v>FURGON FOTON 1030</v>
      </c>
      <c r="E12" s="53">
        <f>IFERROR(__xludf.DUMMYFUNCTION("""COMPUTED_VALUE"""),46301.0)</f>
        <v>46301</v>
      </c>
      <c r="F12" s="53">
        <f>IFERROR(__xludf.DUMMYFUNCTION("""COMPUTED_VALUE"""),46668.0)</f>
        <v>46668</v>
      </c>
      <c r="G12" s="51"/>
      <c r="H12" s="54"/>
      <c r="I12" s="55"/>
      <c r="J12" s="56"/>
      <c r="M12" s="49"/>
      <c r="N12" s="50"/>
      <c r="O12" s="48"/>
    </row>
    <row r="13">
      <c r="A13" s="51">
        <f>IFERROR(__xludf.DUMMYFUNCTION("""COMPUTED_VALUE"""),3256.0)</f>
        <v>3256</v>
      </c>
      <c r="B13" s="52" t="str">
        <f>IFERROR(__xludf.DUMMYFUNCTION("""COMPUTED_VALUE"""),"02-Medellin")</f>
        <v>02-Medellin</v>
      </c>
      <c r="C13" s="51" t="str">
        <f>IFERROR(__xludf.DUMMYFUNCTION("""COMPUTED_VALUE"""),"PVS622")</f>
        <v>PVS622</v>
      </c>
      <c r="D13" s="51" t="str">
        <f>IFERROR(__xludf.DUMMYFUNCTION("""COMPUTED_VALUE"""),"FURGON FOTON 1030")</f>
        <v>FURGON FOTON 1030</v>
      </c>
      <c r="E13" s="53">
        <f>IFERROR(__xludf.DUMMYFUNCTION("""COMPUTED_VALUE"""),46301.0)</f>
        <v>46301</v>
      </c>
      <c r="F13" s="53">
        <f>IFERROR(__xludf.DUMMYFUNCTION("""COMPUTED_VALUE"""),46668.0)</f>
        <v>46668</v>
      </c>
      <c r="G13" s="51"/>
      <c r="H13" s="54"/>
      <c r="I13" s="55"/>
      <c r="J13" s="56"/>
      <c r="M13" s="49"/>
      <c r="N13" s="50"/>
      <c r="O13" s="48"/>
    </row>
    <row r="14">
      <c r="A14" s="51">
        <f>IFERROR(__xludf.DUMMYFUNCTION("""COMPUTED_VALUE"""),3252.0)</f>
        <v>3252</v>
      </c>
      <c r="B14" s="52" t="str">
        <f>IFERROR(__xludf.DUMMYFUNCTION("""COMPUTED_VALUE"""),"24-Rionegro")</f>
        <v>24-Rionegro</v>
      </c>
      <c r="C14" s="51" t="str">
        <f>IFERROR(__xludf.DUMMYFUNCTION("""COMPUTED_VALUE"""),"PVS619")</f>
        <v>PVS619</v>
      </c>
      <c r="D14" s="51" t="str">
        <f>IFERROR(__xludf.DUMMYFUNCTION("""COMPUTED_VALUE"""),"FURGON FOTON 1030")</f>
        <v>FURGON FOTON 1030</v>
      </c>
      <c r="E14" s="53">
        <f>IFERROR(__xludf.DUMMYFUNCTION("""COMPUTED_VALUE"""),46295.0)</f>
        <v>46295</v>
      </c>
      <c r="F14" s="53">
        <f>IFERROR(__xludf.DUMMYFUNCTION("""COMPUTED_VALUE"""),46661.0)</f>
        <v>46661</v>
      </c>
      <c r="G14" s="51"/>
      <c r="H14" s="54"/>
      <c r="I14" s="55"/>
      <c r="J14" s="56"/>
      <c r="M14" s="49"/>
      <c r="N14" s="50"/>
      <c r="O14" s="48"/>
    </row>
    <row r="15">
      <c r="A15" s="51">
        <f>IFERROR(__xludf.DUMMYFUNCTION("""COMPUTED_VALUE"""),3251.0)</f>
        <v>3251</v>
      </c>
      <c r="B15" s="52" t="str">
        <f>IFERROR(__xludf.DUMMYFUNCTION("""COMPUTED_VALUE"""),"24-Rionegro")</f>
        <v>24-Rionegro</v>
      </c>
      <c r="C15" s="51" t="str">
        <f>IFERROR(__xludf.DUMMYFUNCTION("""COMPUTED_VALUE"""),"PVS618")</f>
        <v>PVS618</v>
      </c>
      <c r="D15" s="51" t="str">
        <f>IFERROR(__xludf.DUMMYFUNCTION("""COMPUTED_VALUE"""),"FURGON FOTON 1030")</f>
        <v>FURGON FOTON 1030</v>
      </c>
      <c r="E15" s="53">
        <f>IFERROR(__xludf.DUMMYFUNCTION("""COMPUTED_VALUE"""),46295.0)</f>
        <v>46295</v>
      </c>
      <c r="F15" s="53">
        <f>IFERROR(__xludf.DUMMYFUNCTION("""COMPUTED_VALUE"""),46661.0)</f>
        <v>46661</v>
      </c>
      <c r="G15" s="51"/>
      <c r="H15" s="54"/>
      <c r="I15" s="55"/>
      <c r="J15" s="56"/>
      <c r="M15" s="49"/>
      <c r="N15" s="50"/>
      <c r="O15" s="48"/>
    </row>
    <row r="16">
      <c r="A16" s="51">
        <f>IFERROR(__xludf.DUMMYFUNCTION("""COMPUTED_VALUE"""),3250.0)</f>
        <v>3250</v>
      </c>
      <c r="B16" s="52" t="str">
        <f>IFERROR(__xludf.DUMMYFUNCTION("""COMPUTED_VALUE"""),"02-Medellin")</f>
        <v>02-Medellin</v>
      </c>
      <c r="C16" s="51" t="str">
        <f>IFERROR(__xludf.DUMMYFUNCTION("""COMPUTED_VALUE"""),"PVS617")</f>
        <v>PVS617</v>
      </c>
      <c r="D16" s="51" t="str">
        <f>IFERROR(__xludf.DUMMYFUNCTION("""COMPUTED_VALUE"""),"FURGON FOTON 1030")</f>
        <v>FURGON FOTON 1030</v>
      </c>
      <c r="E16" s="53">
        <f>IFERROR(__xludf.DUMMYFUNCTION("""COMPUTED_VALUE"""),46295.0)</f>
        <v>46295</v>
      </c>
      <c r="F16" s="53">
        <f>IFERROR(__xludf.DUMMYFUNCTION("""COMPUTED_VALUE"""),46661.0)</f>
        <v>46661</v>
      </c>
      <c r="G16" s="51"/>
      <c r="H16" s="54"/>
      <c r="I16" s="55"/>
      <c r="J16" s="56"/>
      <c r="M16" s="49"/>
      <c r="N16" s="50"/>
      <c r="O16" s="48"/>
    </row>
    <row r="17">
      <c r="A17" s="51">
        <f>IFERROR(__xludf.DUMMYFUNCTION("""COMPUTED_VALUE"""),3249.0)</f>
        <v>3249</v>
      </c>
      <c r="B17" s="52" t="str">
        <f>IFERROR(__xludf.DUMMYFUNCTION("""COMPUTED_VALUE"""),"02-Medellin")</f>
        <v>02-Medellin</v>
      </c>
      <c r="C17" s="51" t="str">
        <f>IFERROR(__xludf.DUMMYFUNCTION("""COMPUTED_VALUE"""),"PVS616")</f>
        <v>PVS616</v>
      </c>
      <c r="D17" s="51" t="str">
        <f>IFERROR(__xludf.DUMMYFUNCTION("""COMPUTED_VALUE"""),"FURGON FOTON 1030")</f>
        <v>FURGON FOTON 1030</v>
      </c>
      <c r="E17" s="53">
        <f>IFERROR(__xludf.DUMMYFUNCTION("""COMPUTED_VALUE"""),46295.0)</f>
        <v>46295</v>
      </c>
      <c r="F17" s="53">
        <f>IFERROR(__xludf.DUMMYFUNCTION("""COMPUTED_VALUE"""),46661.0)</f>
        <v>46661</v>
      </c>
      <c r="G17" s="51"/>
      <c r="H17" s="54"/>
      <c r="I17" s="55"/>
      <c r="J17" s="56"/>
      <c r="M17" s="49"/>
      <c r="N17" s="50"/>
      <c r="O17" s="48"/>
    </row>
    <row r="18">
      <c r="A18" s="51">
        <f>IFERROR(__xludf.DUMMYFUNCTION("""COMPUTED_VALUE"""),3247.0)</f>
        <v>3247</v>
      </c>
      <c r="B18" s="52" t="str">
        <f>IFERROR(__xludf.DUMMYFUNCTION("""COMPUTED_VALUE"""),"02-Medellin")</f>
        <v>02-Medellin</v>
      </c>
      <c r="C18" s="51" t="str">
        <f>IFERROR(__xludf.DUMMYFUNCTION("""COMPUTED_VALUE"""),"PVS614")</f>
        <v>PVS614</v>
      </c>
      <c r="D18" s="51" t="str">
        <f>IFERROR(__xludf.DUMMYFUNCTION("""COMPUTED_VALUE"""),"FURGON FOTON 1030")</f>
        <v>FURGON FOTON 1030</v>
      </c>
      <c r="E18" s="53">
        <f>IFERROR(__xludf.DUMMYFUNCTION("""COMPUTED_VALUE"""),46295.0)</f>
        <v>46295</v>
      </c>
      <c r="F18" s="53">
        <f>IFERROR(__xludf.DUMMYFUNCTION("""COMPUTED_VALUE"""),46661.0)</f>
        <v>46661</v>
      </c>
      <c r="G18" s="51"/>
      <c r="H18" s="54"/>
      <c r="I18" s="55"/>
      <c r="J18" s="56"/>
      <c r="M18" s="49"/>
      <c r="N18" s="50"/>
      <c r="O18" s="48"/>
    </row>
    <row r="19">
      <c r="A19" s="51">
        <f>IFERROR(__xludf.DUMMYFUNCTION("""COMPUTED_VALUE"""),3246.0)</f>
        <v>3246</v>
      </c>
      <c r="B19" s="52" t="str">
        <f>IFERROR(__xludf.DUMMYFUNCTION("""COMPUTED_VALUE"""),"02-Medellin")</f>
        <v>02-Medellin</v>
      </c>
      <c r="C19" s="51" t="str">
        <f>IFERROR(__xludf.DUMMYFUNCTION("""COMPUTED_VALUE"""),"PVS613")</f>
        <v>PVS613</v>
      </c>
      <c r="D19" s="51" t="str">
        <f>IFERROR(__xludf.DUMMYFUNCTION("""COMPUTED_VALUE"""),"FURGON FOTON 1030")</f>
        <v>FURGON FOTON 1030</v>
      </c>
      <c r="E19" s="53">
        <f>IFERROR(__xludf.DUMMYFUNCTION("""COMPUTED_VALUE"""),46295.0)</f>
        <v>46295</v>
      </c>
      <c r="F19" s="53">
        <f>IFERROR(__xludf.DUMMYFUNCTION("""COMPUTED_VALUE"""),46661.0)</f>
        <v>46661</v>
      </c>
      <c r="G19" s="51"/>
      <c r="H19" s="54"/>
      <c r="I19" s="55"/>
      <c r="J19" s="56"/>
      <c r="M19" s="49"/>
      <c r="N19" s="50"/>
      <c r="O19" s="48"/>
    </row>
    <row r="20">
      <c r="A20" s="51">
        <f>IFERROR(__xludf.DUMMYFUNCTION("""COMPUTED_VALUE"""),3241.0)</f>
        <v>3241</v>
      </c>
      <c r="B20" s="52" t="str">
        <f>IFERROR(__xludf.DUMMYFUNCTION("""COMPUTED_VALUE"""),"02-Medellin")</f>
        <v>02-Medellin</v>
      </c>
      <c r="C20" s="51" t="str">
        <f>IFERROR(__xludf.DUMMYFUNCTION("""COMPUTED_VALUE"""),"PVS608")</f>
        <v>PVS608</v>
      </c>
      <c r="D20" s="51" t="str">
        <f>IFERROR(__xludf.DUMMYFUNCTION("""COMPUTED_VALUE"""),"FURGON FOTON 1030")</f>
        <v>FURGON FOTON 1030</v>
      </c>
      <c r="E20" s="53">
        <f>IFERROR(__xludf.DUMMYFUNCTION("""COMPUTED_VALUE"""),46295.0)</f>
        <v>46295</v>
      </c>
      <c r="F20" s="53">
        <f>IFERROR(__xludf.DUMMYFUNCTION("""COMPUTED_VALUE"""),46661.0)</f>
        <v>46661</v>
      </c>
      <c r="G20" s="51"/>
      <c r="H20" s="54"/>
      <c r="I20" s="55"/>
      <c r="J20" s="56"/>
      <c r="M20" s="49"/>
      <c r="N20" s="50"/>
      <c r="O20" s="48"/>
    </row>
    <row r="21">
      <c r="A21" s="51">
        <f>IFERROR(__xludf.DUMMYFUNCTION("""COMPUTED_VALUE"""),3231.0)</f>
        <v>3231</v>
      </c>
      <c r="B21" s="52" t="str">
        <f>IFERROR(__xludf.DUMMYFUNCTION("""COMPUTED_VALUE"""),"02-Medellin")</f>
        <v>02-Medellin</v>
      </c>
      <c r="C21" s="51" t="str">
        <f>IFERROR(__xludf.DUMMYFUNCTION("""COMPUTED_VALUE"""),"PVS598")</f>
        <v>PVS598</v>
      </c>
      <c r="D21" s="51" t="str">
        <f>IFERROR(__xludf.DUMMYFUNCTION("""COMPUTED_VALUE"""),"FURGON FOTON 1030")</f>
        <v>FURGON FOTON 1030</v>
      </c>
      <c r="E21" s="53">
        <f>IFERROR(__xludf.DUMMYFUNCTION("""COMPUTED_VALUE"""),46294.0)</f>
        <v>46294</v>
      </c>
      <c r="F21" s="53">
        <f>IFERROR(__xludf.DUMMYFUNCTION("""COMPUTED_VALUE"""),46660.0)</f>
        <v>46660</v>
      </c>
      <c r="G21" s="51"/>
      <c r="H21" s="54"/>
      <c r="I21" s="55"/>
      <c r="J21" s="56"/>
      <c r="M21" s="49"/>
      <c r="N21" s="50"/>
      <c r="O21" s="48"/>
    </row>
    <row r="22">
      <c r="A22" s="51">
        <f>IFERROR(__xludf.DUMMYFUNCTION("""COMPUTED_VALUE"""),3219.0)</f>
        <v>3219</v>
      </c>
      <c r="B22" s="52" t="str">
        <f>IFERROR(__xludf.DUMMYFUNCTION("""COMPUTED_VALUE"""),"02-Medellin")</f>
        <v>02-Medellin</v>
      </c>
      <c r="C22" s="51" t="str">
        <f>IFERROR(__xludf.DUMMYFUNCTION("""COMPUTED_VALUE"""),"PVS579")</f>
        <v>PVS579</v>
      </c>
      <c r="D22" s="51" t="str">
        <f>IFERROR(__xludf.DUMMYFUNCTION("""COMPUTED_VALUE"""),"FURGON FOTON 1030")</f>
        <v>FURGON FOTON 1030</v>
      </c>
      <c r="E22" s="53">
        <f>IFERROR(__xludf.DUMMYFUNCTION("""COMPUTED_VALUE"""),46287.0)</f>
        <v>46287</v>
      </c>
      <c r="F22" s="53">
        <f>IFERROR(__xludf.DUMMYFUNCTION("""COMPUTED_VALUE"""),46654.0)</f>
        <v>46654</v>
      </c>
      <c r="G22" s="51"/>
      <c r="H22" s="54"/>
      <c r="I22" s="55"/>
      <c r="J22" s="56"/>
      <c r="M22" s="49"/>
      <c r="N22" s="50"/>
      <c r="O22" s="48"/>
    </row>
    <row r="23">
      <c r="A23" s="51">
        <f>IFERROR(__xludf.DUMMYFUNCTION("""COMPUTED_VALUE"""),3216.0)</f>
        <v>3216</v>
      </c>
      <c r="B23" s="52" t="str">
        <f>IFERROR(__xludf.DUMMYFUNCTION("""COMPUTED_VALUE"""),"02-Medellin")</f>
        <v>02-Medellin</v>
      </c>
      <c r="C23" s="51" t="str">
        <f>IFERROR(__xludf.DUMMYFUNCTION("""COMPUTED_VALUE"""),"PVS576")</f>
        <v>PVS576</v>
      </c>
      <c r="D23" s="51" t="str">
        <f>IFERROR(__xludf.DUMMYFUNCTION("""COMPUTED_VALUE"""),"FURGON FOTON 1030")</f>
        <v>FURGON FOTON 1030</v>
      </c>
      <c r="E23" s="53">
        <f>IFERROR(__xludf.DUMMYFUNCTION("""COMPUTED_VALUE"""),46287.0)</f>
        <v>46287</v>
      </c>
      <c r="F23" s="53">
        <f>IFERROR(__xludf.DUMMYFUNCTION("""COMPUTED_VALUE"""),46654.0)</f>
        <v>46654</v>
      </c>
      <c r="G23" s="51"/>
      <c r="H23" s="54"/>
      <c r="I23" s="55"/>
      <c r="J23" s="56"/>
      <c r="M23" s="49"/>
      <c r="N23" s="50"/>
      <c r="O23" s="48"/>
    </row>
    <row r="24">
      <c r="A24" s="51">
        <f>IFERROR(__xludf.DUMMYFUNCTION("""COMPUTED_VALUE"""),3215.0)</f>
        <v>3215</v>
      </c>
      <c r="B24" s="52" t="str">
        <f>IFERROR(__xludf.DUMMYFUNCTION("""COMPUTED_VALUE"""),"02-Medellin")</f>
        <v>02-Medellin</v>
      </c>
      <c r="C24" s="51" t="str">
        <f>IFERROR(__xludf.DUMMYFUNCTION("""COMPUTED_VALUE"""),"PVS575")</f>
        <v>PVS575</v>
      </c>
      <c r="D24" s="51" t="str">
        <f>IFERROR(__xludf.DUMMYFUNCTION("""COMPUTED_VALUE"""),"FURGON FOTON 1030")</f>
        <v>FURGON FOTON 1030</v>
      </c>
      <c r="E24" s="53">
        <f>IFERROR(__xludf.DUMMYFUNCTION("""COMPUTED_VALUE"""),46287.0)</f>
        <v>46287</v>
      </c>
      <c r="F24" s="53">
        <f>IFERROR(__xludf.DUMMYFUNCTION("""COMPUTED_VALUE"""),46654.0)</f>
        <v>46654</v>
      </c>
      <c r="G24" s="51"/>
      <c r="H24" s="54"/>
      <c r="I24" s="55"/>
      <c r="J24" s="56"/>
      <c r="M24" s="49"/>
      <c r="N24" s="50"/>
      <c r="O24" s="48"/>
    </row>
    <row r="25">
      <c r="A25" s="51">
        <f>IFERROR(__xludf.DUMMYFUNCTION("""COMPUTED_VALUE"""),3214.0)</f>
        <v>3214</v>
      </c>
      <c r="B25" s="52" t="str">
        <f>IFERROR(__xludf.DUMMYFUNCTION("""COMPUTED_VALUE"""),"02-Medellin")</f>
        <v>02-Medellin</v>
      </c>
      <c r="C25" s="51" t="str">
        <f>IFERROR(__xludf.DUMMYFUNCTION("""COMPUTED_VALUE"""),"PVS574")</f>
        <v>PVS574</v>
      </c>
      <c r="D25" s="51" t="str">
        <f>IFERROR(__xludf.DUMMYFUNCTION("""COMPUTED_VALUE"""),"FURGON FOTON 1030")</f>
        <v>FURGON FOTON 1030</v>
      </c>
      <c r="E25" s="53">
        <f>IFERROR(__xludf.DUMMYFUNCTION("""COMPUTED_VALUE"""),46287.0)</f>
        <v>46287</v>
      </c>
      <c r="F25" s="53">
        <f>IFERROR(__xludf.DUMMYFUNCTION("""COMPUTED_VALUE"""),46654.0)</f>
        <v>46654</v>
      </c>
      <c r="G25" s="51"/>
      <c r="H25" s="54"/>
      <c r="I25" s="55"/>
      <c r="J25" s="56"/>
      <c r="M25" s="49"/>
      <c r="N25" s="50"/>
      <c r="O25" s="48"/>
    </row>
    <row r="26">
      <c r="A26" s="51">
        <f>IFERROR(__xludf.DUMMYFUNCTION("""COMPUTED_VALUE"""),3213.0)</f>
        <v>3213</v>
      </c>
      <c r="B26" s="52" t="str">
        <f>IFERROR(__xludf.DUMMYFUNCTION("""COMPUTED_VALUE"""),"02-Medellin")</f>
        <v>02-Medellin</v>
      </c>
      <c r="C26" s="51" t="str">
        <f>IFERROR(__xludf.DUMMYFUNCTION("""COMPUTED_VALUE"""),"PVS573")</f>
        <v>PVS573</v>
      </c>
      <c r="D26" s="51" t="str">
        <f>IFERROR(__xludf.DUMMYFUNCTION("""COMPUTED_VALUE"""),"FURGON FOTON 1030")</f>
        <v>FURGON FOTON 1030</v>
      </c>
      <c r="E26" s="53">
        <f>IFERROR(__xludf.DUMMYFUNCTION("""COMPUTED_VALUE"""),46287.0)</f>
        <v>46287</v>
      </c>
      <c r="F26" s="53">
        <f>IFERROR(__xludf.DUMMYFUNCTION("""COMPUTED_VALUE"""),46654.0)</f>
        <v>46654</v>
      </c>
      <c r="G26" s="51"/>
      <c r="H26" s="54"/>
      <c r="I26" s="55"/>
      <c r="J26" s="56"/>
      <c r="M26" s="49"/>
      <c r="N26" s="50"/>
      <c r="O26" s="48"/>
    </row>
    <row r="27">
      <c r="A27" s="51">
        <f>IFERROR(__xludf.DUMMYFUNCTION("""COMPUTED_VALUE"""),3212.0)</f>
        <v>3212</v>
      </c>
      <c r="B27" s="52" t="str">
        <f>IFERROR(__xludf.DUMMYFUNCTION("""COMPUTED_VALUE"""),"02-Medellin")</f>
        <v>02-Medellin</v>
      </c>
      <c r="C27" s="51" t="str">
        <f>IFERROR(__xludf.DUMMYFUNCTION("""COMPUTED_VALUE"""),"PVS572")</f>
        <v>PVS572</v>
      </c>
      <c r="D27" s="51" t="str">
        <f>IFERROR(__xludf.DUMMYFUNCTION("""COMPUTED_VALUE"""),"FURGON FOTON 1030")</f>
        <v>FURGON FOTON 1030</v>
      </c>
      <c r="E27" s="53">
        <f>IFERROR(__xludf.DUMMYFUNCTION("""COMPUTED_VALUE"""),46287.0)</f>
        <v>46287</v>
      </c>
      <c r="F27" s="53">
        <f>IFERROR(__xludf.DUMMYFUNCTION("""COMPUTED_VALUE"""),46654.0)</f>
        <v>46654</v>
      </c>
      <c r="G27" s="51"/>
      <c r="H27" s="54"/>
      <c r="I27" s="55"/>
      <c r="J27" s="56"/>
      <c r="M27" s="49"/>
      <c r="N27" s="50"/>
      <c r="O27" s="48"/>
    </row>
    <row r="28">
      <c r="A28" s="51">
        <f>IFERROR(__xludf.DUMMYFUNCTION("""COMPUTED_VALUE"""),3210.0)</f>
        <v>3210</v>
      </c>
      <c r="B28" s="52" t="str">
        <f>IFERROR(__xludf.DUMMYFUNCTION("""COMPUTED_VALUE"""),"02-Medellin")</f>
        <v>02-Medellin</v>
      </c>
      <c r="C28" s="51" t="str">
        <f>IFERROR(__xludf.DUMMYFUNCTION("""COMPUTED_VALUE"""),"PVS567")</f>
        <v>PVS567</v>
      </c>
      <c r="D28" s="51" t="str">
        <f>IFERROR(__xludf.DUMMYFUNCTION("""COMPUTED_VALUE"""),"FURGON FOTON 1030")</f>
        <v>FURGON FOTON 1030</v>
      </c>
      <c r="E28" s="53">
        <f>IFERROR(__xludf.DUMMYFUNCTION("""COMPUTED_VALUE"""),46282.0)</f>
        <v>46282</v>
      </c>
      <c r="F28" s="53">
        <f>IFERROR(__xludf.DUMMYFUNCTION("""COMPUTED_VALUE"""),46648.0)</f>
        <v>46648</v>
      </c>
      <c r="G28" s="51"/>
      <c r="H28" s="54"/>
      <c r="I28" s="55"/>
      <c r="J28" s="56"/>
      <c r="M28" s="49"/>
      <c r="N28" s="50"/>
      <c r="O28" s="48"/>
    </row>
    <row r="29">
      <c r="A29" s="51">
        <f>IFERROR(__xludf.DUMMYFUNCTION("""COMPUTED_VALUE"""),3209.0)</f>
        <v>3209</v>
      </c>
      <c r="B29" s="52" t="str">
        <f>IFERROR(__xludf.DUMMYFUNCTION("""COMPUTED_VALUE"""),"02-Medellin")</f>
        <v>02-Medellin</v>
      </c>
      <c r="C29" s="51" t="str">
        <f>IFERROR(__xludf.DUMMYFUNCTION("""COMPUTED_VALUE"""),"PVS566")</f>
        <v>PVS566</v>
      </c>
      <c r="D29" s="51" t="str">
        <f>IFERROR(__xludf.DUMMYFUNCTION("""COMPUTED_VALUE"""),"FURGON FOTON 1030")</f>
        <v>FURGON FOTON 1030</v>
      </c>
      <c r="E29" s="51"/>
      <c r="F29" s="51"/>
      <c r="G29" s="51"/>
      <c r="H29" s="54"/>
      <c r="I29" s="55"/>
      <c r="J29" s="56"/>
      <c r="M29" s="49"/>
      <c r="N29" s="50"/>
      <c r="O29" s="48"/>
    </row>
    <row r="30">
      <c r="A30" s="52">
        <f>IFERROR(__xludf.DUMMYFUNCTION("""COMPUTED_VALUE"""),3202.0)</f>
        <v>3202</v>
      </c>
      <c r="B30" s="52" t="str">
        <f>IFERROR(__xludf.DUMMYFUNCTION("""COMPUTED_VALUE"""),"02-Medellin")</f>
        <v>02-Medellin</v>
      </c>
      <c r="C30" s="52" t="str">
        <f>IFERROR(__xludf.DUMMYFUNCTION("""COMPUTED_VALUE"""),"PVS559")</f>
        <v>PVS559</v>
      </c>
      <c r="D30" s="52" t="str">
        <f>IFERROR(__xludf.DUMMYFUNCTION("""COMPUTED_VALUE"""),"FURGON FOTON 1030")</f>
        <v>FURGON FOTON 1030</v>
      </c>
      <c r="E30" s="57">
        <f>IFERROR(__xludf.DUMMYFUNCTION("""COMPUTED_VALUE"""),46282.0)</f>
        <v>46282</v>
      </c>
      <c r="F30" s="57">
        <f>IFERROR(__xludf.DUMMYFUNCTION("""COMPUTED_VALUE"""),46653.0)</f>
        <v>46653</v>
      </c>
      <c r="G30" s="52"/>
      <c r="H30" s="58"/>
      <c r="I30" s="55"/>
      <c r="J30" s="56"/>
      <c r="M30" s="49"/>
      <c r="N30" s="50"/>
      <c r="O30" s="48"/>
    </row>
    <row r="31">
      <c r="A31" s="51">
        <f>IFERROR(__xludf.DUMMYFUNCTION("""COMPUTED_VALUE"""),3201.0)</f>
        <v>3201</v>
      </c>
      <c r="B31" s="52" t="str">
        <f>IFERROR(__xludf.DUMMYFUNCTION("""COMPUTED_VALUE"""),"02-Medellin")</f>
        <v>02-Medellin</v>
      </c>
      <c r="C31" s="51" t="str">
        <f>IFERROR(__xludf.DUMMYFUNCTION("""COMPUTED_VALUE"""),"PVS558")</f>
        <v>PVS558</v>
      </c>
      <c r="D31" s="51" t="str">
        <f>IFERROR(__xludf.DUMMYFUNCTION("""COMPUTED_VALUE"""),"FURGON FOTON 1030")</f>
        <v>FURGON FOTON 1030</v>
      </c>
      <c r="E31" s="53">
        <f>IFERROR(__xludf.DUMMYFUNCTION("""COMPUTED_VALUE"""),46282.0)</f>
        <v>46282</v>
      </c>
      <c r="F31" s="53">
        <f>IFERROR(__xludf.DUMMYFUNCTION("""COMPUTED_VALUE"""),46654.0)</f>
        <v>46654</v>
      </c>
      <c r="G31" s="51"/>
      <c r="H31" s="54"/>
      <c r="I31" s="55"/>
      <c r="J31" s="56"/>
      <c r="M31" s="49"/>
      <c r="N31" s="50"/>
      <c r="O31" s="48"/>
    </row>
    <row r="32">
      <c r="A32" s="51">
        <f>IFERROR(__xludf.DUMMYFUNCTION("""COMPUTED_VALUE"""),3200.0)</f>
        <v>3200</v>
      </c>
      <c r="B32" s="52" t="str">
        <f>IFERROR(__xludf.DUMMYFUNCTION("""COMPUTED_VALUE"""),"02-Medellin")</f>
        <v>02-Medellin</v>
      </c>
      <c r="C32" s="51" t="str">
        <f>IFERROR(__xludf.DUMMYFUNCTION("""COMPUTED_VALUE"""),"PVS557")</f>
        <v>PVS557</v>
      </c>
      <c r="D32" s="51" t="str">
        <f>IFERROR(__xludf.DUMMYFUNCTION("""COMPUTED_VALUE"""),"FURGON FOTON 1030")</f>
        <v>FURGON FOTON 1030</v>
      </c>
      <c r="E32" s="53">
        <f>IFERROR(__xludf.DUMMYFUNCTION("""COMPUTED_VALUE"""),46282.0)</f>
        <v>46282</v>
      </c>
      <c r="F32" s="53">
        <f>IFERROR(__xludf.DUMMYFUNCTION("""COMPUTED_VALUE"""),46654.0)</f>
        <v>46654</v>
      </c>
      <c r="G32" s="51"/>
      <c r="H32" s="54"/>
      <c r="I32" s="55"/>
      <c r="J32" s="56"/>
    </row>
    <row r="33">
      <c r="A33" s="51">
        <f>IFERROR(__xludf.DUMMYFUNCTION("""COMPUTED_VALUE"""),3198.0)</f>
        <v>3198</v>
      </c>
      <c r="B33" s="52" t="str">
        <f>IFERROR(__xludf.DUMMYFUNCTION("""COMPUTED_VALUE"""),"31-Copacabana")</f>
        <v>31-Copacabana</v>
      </c>
      <c r="C33" s="51" t="str">
        <f>IFERROR(__xludf.DUMMYFUNCTION("""COMPUTED_VALUE"""),"PVS555")</f>
        <v>PVS555</v>
      </c>
      <c r="D33" s="51" t="str">
        <f>IFERROR(__xludf.DUMMYFUNCTION("""COMPUTED_VALUE"""),"FURGON FOTON 1030")</f>
        <v>FURGON FOTON 1030</v>
      </c>
      <c r="E33" s="53">
        <f>IFERROR(__xludf.DUMMYFUNCTION("""COMPUTED_VALUE"""),46282.0)</f>
        <v>46282</v>
      </c>
      <c r="F33" s="53">
        <f>IFERROR(__xludf.DUMMYFUNCTION("""COMPUTED_VALUE"""),46654.0)</f>
        <v>46654</v>
      </c>
      <c r="G33" s="51"/>
      <c r="H33" s="54"/>
      <c r="I33" s="55"/>
      <c r="J33" s="56"/>
    </row>
    <row r="34">
      <c r="A34" s="51">
        <f>IFERROR(__xludf.DUMMYFUNCTION("""COMPUTED_VALUE"""),3197.0)</f>
        <v>3197</v>
      </c>
      <c r="B34" s="52" t="str">
        <f>IFERROR(__xludf.DUMMYFUNCTION("""COMPUTED_VALUE"""),"02-Medellin")</f>
        <v>02-Medellin</v>
      </c>
      <c r="C34" s="51" t="str">
        <f>IFERROR(__xludf.DUMMYFUNCTION("""COMPUTED_VALUE"""),"PVS554")</f>
        <v>PVS554</v>
      </c>
      <c r="D34" s="51" t="str">
        <f>IFERROR(__xludf.DUMMYFUNCTION("""COMPUTED_VALUE"""),"FURGON FOTON 1030")</f>
        <v>FURGON FOTON 1030</v>
      </c>
      <c r="E34" s="53">
        <f>IFERROR(__xludf.DUMMYFUNCTION("""COMPUTED_VALUE"""),46282.0)</f>
        <v>46282</v>
      </c>
      <c r="F34" s="53">
        <f>IFERROR(__xludf.DUMMYFUNCTION("""COMPUTED_VALUE"""),46653.0)</f>
        <v>46653</v>
      </c>
      <c r="G34" s="51"/>
      <c r="H34" s="54"/>
      <c r="I34" s="55"/>
      <c r="J34" s="56"/>
    </row>
    <row r="35">
      <c r="A35" s="51">
        <f>IFERROR(__xludf.DUMMYFUNCTION("""COMPUTED_VALUE"""),2927.0)</f>
        <v>2927</v>
      </c>
      <c r="B35" s="52" t="str">
        <f>IFERROR(__xludf.DUMMYFUNCTION("""COMPUTED_VALUE"""),"02-Medellin")</f>
        <v>02-Medellin</v>
      </c>
      <c r="C35" s="51" t="str">
        <f>IFERROR(__xludf.DUMMYFUNCTION("""COMPUTED_VALUE"""),"NNZ367")</f>
        <v>NNZ367</v>
      </c>
      <c r="D35" s="51" t="str">
        <f>IFERROR(__xludf.DUMMYFUNCTION("""COMPUTED_VALUE"""),"FURGON JMC 1054 E VI")</f>
        <v>FURGON JMC 1054 E VI</v>
      </c>
      <c r="E35" s="53">
        <f>IFERROR(__xludf.DUMMYFUNCTION("""COMPUTED_VALUE"""),46316.0)</f>
        <v>46316</v>
      </c>
      <c r="F35" s="53">
        <f>IFERROR(__xludf.DUMMYFUNCTION("""COMPUTED_VALUE"""),46318.0)</f>
        <v>46318</v>
      </c>
      <c r="G35" s="51"/>
      <c r="H35" s="54"/>
      <c r="I35" s="55"/>
      <c r="J35" s="56"/>
    </row>
    <row r="36">
      <c r="A36" s="51">
        <f>IFERROR(__xludf.DUMMYFUNCTION("""COMPUTED_VALUE"""),2926.0)</f>
        <v>2926</v>
      </c>
      <c r="B36" s="52" t="str">
        <f>IFERROR(__xludf.DUMMYFUNCTION("""COMPUTED_VALUE"""),"31-Copacabana")</f>
        <v>31-Copacabana</v>
      </c>
      <c r="C36" s="51" t="str">
        <f>IFERROR(__xludf.DUMMYFUNCTION("""COMPUTED_VALUE"""),"NNZ366")</f>
        <v>NNZ366</v>
      </c>
      <c r="D36" s="51" t="str">
        <f>IFERROR(__xludf.DUMMYFUNCTION("""COMPUTED_VALUE"""),"FURGON JMC 1054 E VI")</f>
        <v>FURGON JMC 1054 E VI</v>
      </c>
      <c r="E36" s="53">
        <f>IFERROR(__xludf.DUMMYFUNCTION("""COMPUTED_VALUE"""),46316.0)</f>
        <v>46316</v>
      </c>
      <c r="F36" s="53">
        <f>IFERROR(__xludf.DUMMYFUNCTION("""COMPUTED_VALUE"""),46318.0)</f>
        <v>46318</v>
      </c>
      <c r="G36" s="51"/>
      <c r="H36" s="54"/>
      <c r="I36" s="55"/>
      <c r="J36" s="56"/>
    </row>
    <row r="37">
      <c r="A37" s="51">
        <f>IFERROR(__xludf.DUMMYFUNCTION("""COMPUTED_VALUE"""),2925.0)</f>
        <v>2925</v>
      </c>
      <c r="B37" s="52" t="str">
        <f>IFERROR(__xludf.DUMMYFUNCTION("""COMPUTED_VALUE"""),"02-Medellin")</f>
        <v>02-Medellin</v>
      </c>
      <c r="C37" s="51" t="str">
        <f>IFERROR(__xludf.DUMMYFUNCTION("""COMPUTED_VALUE"""),"NNZ365")</f>
        <v>NNZ365</v>
      </c>
      <c r="D37" s="51" t="str">
        <f>IFERROR(__xludf.DUMMYFUNCTION("""COMPUTED_VALUE"""),"FURGON JMC 1054 E VI")</f>
        <v>FURGON JMC 1054 E VI</v>
      </c>
      <c r="E37" s="53">
        <f>IFERROR(__xludf.DUMMYFUNCTION("""COMPUTED_VALUE"""),46316.0)</f>
        <v>46316</v>
      </c>
      <c r="F37" s="53">
        <f>IFERROR(__xludf.DUMMYFUNCTION("""COMPUTED_VALUE"""),46318.0)</f>
        <v>46318</v>
      </c>
      <c r="G37" s="51"/>
      <c r="H37" s="54"/>
      <c r="I37" s="55"/>
      <c r="J37" s="56"/>
    </row>
    <row r="38">
      <c r="A38" s="51">
        <f>IFERROR(__xludf.DUMMYFUNCTION("""COMPUTED_VALUE"""),2924.0)</f>
        <v>2924</v>
      </c>
      <c r="B38" s="52" t="str">
        <f>IFERROR(__xludf.DUMMYFUNCTION("""COMPUTED_VALUE"""),"02-Medellin")</f>
        <v>02-Medellin</v>
      </c>
      <c r="C38" s="51" t="str">
        <f>IFERROR(__xludf.DUMMYFUNCTION("""COMPUTED_VALUE"""),"NNZ364")</f>
        <v>NNZ364</v>
      </c>
      <c r="D38" s="51" t="str">
        <f>IFERROR(__xludf.DUMMYFUNCTION("""COMPUTED_VALUE"""),"FURGON JMC 1054 E VI")</f>
        <v>FURGON JMC 1054 E VI</v>
      </c>
      <c r="E38" s="53">
        <f>IFERROR(__xludf.DUMMYFUNCTION("""COMPUTED_VALUE"""),46316.0)</f>
        <v>46316</v>
      </c>
      <c r="F38" s="53">
        <f>IFERROR(__xludf.DUMMYFUNCTION("""COMPUTED_VALUE"""),46318.0)</f>
        <v>46318</v>
      </c>
      <c r="G38" s="51"/>
      <c r="H38" s="54"/>
      <c r="I38" s="55"/>
      <c r="J38" s="56"/>
    </row>
    <row r="39">
      <c r="A39" s="51">
        <f>IFERROR(__xludf.DUMMYFUNCTION("""COMPUTED_VALUE"""),2923.0)</f>
        <v>2923</v>
      </c>
      <c r="B39" s="52" t="str">
        <f>IFERROR(__xludf.DUMMYFUNCTION("""COMPUTED_VALUE"""),"BULTOS")</f>
        <v>BULTOS</v>
      </c>
      <c r="C39" s="51" t="str">
        <f>IFERROR(__xludf.DUMMYFUNCTION("""COMPUTED_VALUE"""),"NNZ363")</f>
        <v>NNZ363</v>
      </c>
      <c r="D39" s="51" t="str">
        <f>IFERROR(__xludf.DUMMYFUNCTION("""COMPUTED_VALUE"""),"FURGON JMC 1054 E VI")</f>
        <v>FURGON JMC 1054 E VI</v>
      </c>
      <c r="E39" s="53">
        <f>IFERROR(__xludf.DUMMYFUNCTION("""COMPUTED_VALUE"""),46316.0)</f>
        <v>46316</v>
      </c>
      <c r="F39" s="53">
        <f>IFERROR(__xludf.DUMMYFUNCTION("""COMPUTED_VALUE"""),46318.0)</f>
        <v>46318</v>
      </c>
      <c r="G39" s="51"/>
      <c r="H39" s="54"/>
      <c r="I39" s="55"/>
      <c r="J39" s="56"/>
    </row>
    <row r="40">
      <c r="A40" s="51">
        <f>IFERROR(__xludf.DUMMYFUNCTION("""COMPUTED_VALUE"""),2922.0)</f>
        <v>2922</v>
      </c>
      <c r="B40" s="52" t="str">
        <f>IFERROR(__xludf.DUMMYFUNCTION("""COMPUTED_VALUE"""),"02-Medellin")</f>
        <v>02-Medellin</v>
      </c>
      <c r="C40" s="51" t="str">
        <f>IFERROR(__xludf.DUMMYFUNCTION("""COMPUTED_VALUE"""),"NNZ362")</f>
        <v>NNZ362</v>
      </c>
      <c r="D40" s="51" t="str">
        <f>IFERROR(__xludf.DUMMYFUNCTION("""COMPUTED_VALUE"""),"FURGON JMC 1054 E VI")</f>
        <v>FURGON JMC 1054 E VI</v>
      </c>
      <c r="E40" s="53">
        <f>IFERROR(__xludf.DUMMYFUNCTION("""COMPUTED_VALUE"""),46316.0)</f>
        <v>46316</v>
      </c>
      <c r="F40" s="53">
        <f>IFERROR(__xludf.DUMMYFUNCTION("""COMPUTED_VALUE"""),46318.0)</f>
        <v>46318</v>
      </c>
      <c r="G40" s="51"/>
      <c r="H40" s="54"/>
      <c r="I40" s="55"/>
      <c r="J40" s="56"/>
    </row>
    <row r="41">
      <c r="A41" s="59">
        <f>IFERROR(__xludf.DUMMYFUNCTION("""COMPUTED_VALUE"""),2921.0)</f>
        <v>2921</v>
      </c>
      <c r="B41" s="52" t="str">
        <f>IFERROR(__xludf.DUMMYFUNCTION("""COMPUTED_VALUE"""),"MAYORCA")</f>
        <v>MAYORCA</v>
      </c>
      <c r="C41" s="59" t="str">
        <f>IFERROR(__xludf.DUMMYFUNCTION("""COMPUTED_VALUE"""),"NNZ361")</f>
        <v>NNZ361</v>
      </c>
      <c r="D41" s="59" t="str">
        <f>IFERROR(__xludf.DUMMYFUNCTION("""COMPUTED_VALUE"""),"FURGON JMC 1054 E VI")</f>
        <v>FURGON JMC 1054 E VI</v>
      </c>
      <c r="E41" s="60">
        <f>IFERROR(__xludf.DUMMYFUNCTION("""COMPUTED_VALUE"""),46316.0)</f>
        <v>46316</v>
      </c>
      <c r="F41" s="60">
        <f>IFERROR(__xludf.DUMMYFUNCTION("""COMPUTED_VALUE"""),46318.0)</f>
        <v>46318</v>
      </c>
      <c r="G41" s="59"/>
      <c r="H41" s="61"/>
      <c r="I41" s="55"/>
      <c r="J41" s="56"/>
    </row>
    <row r="42">
      <c r="A42" s="51">
        <f>IFERROR(__xludf.DUMMYFUNCTION("""COMPUTED_VALUE"""),2920.0)</f>
        <v>2920</v>
      </c>
      <c r="B42" s="52" t="str">
        <f>IFERROR(__xludf.DUMMYFUNCTION("""COMPUTED_VALUE"""),"31-Copacabana")</f>
        <v>31-Copacabana</v>
      </c>
      <c r="C42" s="51" t="str">
        <f>IFERROR(__xludf.DUMMYFUNCTION("""COMPUTED_VALUE"""),"NNZ360")</f>
        <v>NNZ360</v>
      </c>
      <c r="D42" s="51" t="str">
        <f>IFERROR(__xludf.DUMMYFUNCTION("""COMPUTED_VALUE"""),"FURGON FOTON 1065 E VI")</f>
        <v>FURGON FOTON 1065 E VI</v>
      </c>
      <c r="E42" s="53">
        <f>IFERROR(__xludf.DUMMYFUNCTION("""COMPUTED_VALUE"""),46316.0)</f>
        <v>46316</v>
      </c>
      <c r="F42" s="53">
        <f>IFERROR(__xludf.DUMMYFUNCTION("""COMPUTED_VALUE"""),46317.0)</f>
        <v>46317</v>
      </c>
      <c r="G42" s="51"/>
      <c r="H42" s="54"/>
      <c r="I42" s="55"/>
      <c r="J42" s="56"/>
    </row>
    <row r="43">
      <c r="A43" s="51">
        <f>IFERROR(__xludf.DUMMYFUNCTION("""COMPUTED_VALUE"""),2919.0)</f>
        <v>2919</v>
      </c>
      <c r="B43" s="52" t="str">
        <f>IFERROR(__xludf.DUMMYFUNCTION("""COMPUTED_VALUE"""),"MAYORCA")</f>
        <v>MAYORCA</v>
      </c>
      <c r="C43" s="51" t="str">
        <f>IFERROR(__xludf.DUMMYFUNCTION("""COMPUTED_VALUE"""),"NNZ351")</f>
        <v>NNZ351</v>
      </c>
      <c r="D43" s="51" t="str">
        <f>IFERROR(__xludf.DUMMYFUNCTION("""COMPUTED_VALUE"""),"FURGON FOTON 1065 E VI")</f>
        <v>FURGON FOTON 1065 E VI</v>
      </c>
      <c r="E43" s="53">
        <f>IFERROR(__xludf.DUMMYFUNCTION("""COMPUTED_VALUE"""),46302.0)</f>
        <v>46302</v>
      </c>
      <c r="F43" s="53">
        <f>IFERROR(__xludf.DUMMYFUNCTION("""COMPUTED_VALUE"""),46303.0)</f>
        <v>46303</v>
      </c>
      <c r="G43" s="51"/>
      <c r="H43" s="54"/>
      <c r="I43" s="55"/>
      <c r="J43" s="56"/>
    </row>
    <row r="44">
      <c r="A44" s="51">
        <f>IFERROR(__xludf.DUMMYFUNCTION("""COMPUTED_VALUE"""),2918.0)</f>
        <v>2918</v>
      </c>
      <c r="B44" s="52" t="str">
        <f>IFERROR(__xludf.DUMMYFUNCTION("""COMPUTED_VALUE"""),"02-Medellin")</f>
        <v>02-Medellin</v>
      </c>
      <c r="C44" s="51" t="str">
        <f>IFERROR(__xludf.DUMMYFUNCTION("""COMPUTED_VALUE"""),"NNZ350")</f>
        <v>NNZ350</v>
      </c>
      <c r="D44" s="51" t="str">
        <f>IFERROR(__xludf.DUMMYFUNCTION("""COMPUTED_VALUE"""),"FURGON FOTON 1065 E VI")</f>
        <v>FURGON FOTON 1065 E VI</v>
      </c>
      <c r="E44" s="53">
        <f>IFERROR(__xludf.DUMMYFUNCTION("""COMPUTED_VALUE"""),46302.0)</f>
        <v>46302</v>
      </c>
      <c r="F44" s="53">
        <f>IFERROR(__xludf.DUMMYFUNCTION("""COMPUTED_VALUE"""),46303.0)</f>
        <v>46303</v>
      </c>
      <c r="G44" s="51"/>
      <c r="H44" s="54"/>
      <c r="I44" s="55"/>
      <c r="J44" s="56"/>
    </row>
    <row r="45">
      <c r="A45" s="59">
        <f>IFERROR(__xludf.DUMMYFUNCTION("""COMPUTED_VALUE"""),2911.0)</f>
        <v>2911</v>
      </c>
      <c r="B45" s="52" t="str">
        <f>IFERROR(__xludf.DUMMYFUNCTION("""COMPUTED_VALUE"""),"31-Copacabana")</f>
        <v>31-Copacabana</v>
      </c>
      <c r="C45" s="59" t="str">
        <f>IFERROR(__xludf.DUMMYFUNCTION("""COMPUTED_VALUE"""),"NNZ339")</f>
        <v>NNZ339</v>
      </c>
      <c r="D45" s="59" t="str">
        <f>IFERROR(__xludf.DUMMYFUNCTION("""COMPUTED_VALUE"""),"FURGON FOTON 1045 E VI")</f>
        <v>FURGON FOTON 1045 E VI</v>
      </c>
      <c r="E45" s="60">
        <f>IFERROR(__xludf.DUMMYFUNCTION("""COMPUTED_VALUE"""),46274.0)</f>
        <v>46274</v>
      </c>
      <c r="F45" s="60">
        <f>IFERROR(__xludf.DUMMYFUNCTION("""COMPUTED_VALUE"""),46275.0)</f>
        <v>46275</v>
      </c>
      <c r="G45" s="59"/>
      <c r="H45" s="61"/>
      <c r="I45" s="55"/>
      <c r="J45" s="56"/>
    </row>
    <row r="46">
      <c r="A46" s="51">
        <f>IFERROR(__xludf.DUMMYFUNCTION("""COMPUTED_VALUE"""),2910.0)</f>
        <v>2910</v>
      </c>
      <c r="B46" s="52" t="str">
        <f>IFERROR(__xludf.DUMMYFUNCTION("""COMPUTED_VALUE"""),"24-Rionegro")</f>
        <v>24-Rionegro</v>
      </c>
      <c r="C46" s="51" t="str">
        <f>IFERROR(__xludf.DUMMYFUNCTION("""COMPUTED_VALUE"""),"NNZ338")</f>
        <v>NNZ338</v>
      </c>
      <c r="D46" s="51" t="str">
        <f>IFERROR(__xludf.DUMMYFUNCTION("""COMPUTED_VALUE"""),"FURGON FOTON 1045 E VI")</f>
        <v>FURGON FOTON 1045 E VI</v>
      </c>
      <c r="E46" s="53">
        <f>IFERROR(__xludf.DUMMYFUNCTION("""COMPUTED_VALUE"""),46274.0)</f>
        <v>46274</v>
      </c>
      <c r="F46" s="53">
        <f>IFERROR(__xludf.DUMMYFUNCTION("""COMPUTED_VALUE"""),46275.0)</f>
        <v>46275</v>
      </c>
      <c r="G46" s="51"/>
      <c r="H46" s="54"/>
      <c r="I46" s="55"/>
      <c r="J46" s="56"/>
    </row>
    <row r="47">
      <c r="A47" s="51">
        <f>IFERROR(__xludf.DUMMYFUNCTION("""COMPUTED_VALUE"""),2909.0)</f>
        <v>2909</v>
      </c>
      <c r="B47" s="52" t="str">
        <f>IFERROR(__xludf.DUMMYFUNCTION("""COMPUTED_VALUE"""),"02-Medellin")</f>
        <v>02-Medellin</v>
      </c>
      <c r="C47" s="51" t="str">
        <f>IFERROR(__xludf.DUMMYFUNCTION("""COMPUTED_VALUE"""),"NNZ336")</f>
        <v>NNZ336</v>
      </c>
      <c r="D47" s="51" t="str">
        <f>IFERROR(__xludf.DUMMYFUNCTION("""COMPUTED_VALUE"""),"FURGON FOTON 1045 E VI")</f>
        <v>FURGON FOTON 1045 E VI</v>
      </c>
      <c r="E47" s="53">
        <f>IFERROR(__xludf.DUMMYFUNCTION("""COMPUTED_VALUE"""),46274.0)</f>
        <v>46274</v>
      </c>
      <c r="F47" s="53">
        <f>IFERROR(__xludf.DUMMYFUNCTION("""COMPUTED_VALUE"""),46275.0)</f>
        <v>46275</v>
      </c>
      <c r="G47" s="51"/>
      <c r="H47" s="54"/>
      <c r="I47" s="55"/>
      <c r="J47" s="56"/>
    </row>
    <row r="48">
      <c r="A48" s="51">
        <f>IFERROR(__xludf.DUMMYFUNCTION("""COMPUTED_VALUE"""),2908.0)</f>
        <v>2908</v>
      </c>
      <c r="B48" s="52" t="str">
        <f>IFERROR(__xludf.DUMMYFUNCTION("""COMPUTED_VALUE"""),"24-Rionegro")</f>
        <v>24-Rionegro</v>
      </c>
      <c r="C48" s="51" t="str">
        <f>IFERROR(__xludf.DUMMYFUNCTION("""COMPUTED_VALUE"""),"NNZ335")</f>
        <v>NNZ335</v>
      </c>
      <c r="D48" s="51" t="str">
        <f>IFERROR(__xludf.DUMMYFUNCTION("""COMPUTED_VALUE"""),"FURGON FOTON 1045 E VI")</f>
        <v>FURGON FOTON 1045 E VI</v>
      </c>
      <c r="E48" s="53">
        <f>IFERROR(__xludf.DUMMYFUNCTION("""COMPUTED_VALUE"""),46274.0)</f>
        <v>46274</v>
      </c>
      <c r="F48" s="53">
        <f>IFERROR(__xludf.DUMMYFUNCTION("""COMPUTED_VALUE"""),46275.0)</f>
        <v>46275</v>
      </c>
      <c r="G48" s="51"/>
      <c r="H48" s="54"/>
      <c r="I48" s="55"/>
      <c r="J48" s="56"/>
    </row>
    <row r="49">
      <c r="A49" s="51">
        <f>IFERROR(__xludf.DUMMYFUNCTION("""COMPUTED_VALUE"""),2907.0)</f>
        <v>2907</v>
      </c>
      <c r="B49" s="52" t="str">
        <f>IFERROR(__xludf.DUMMYFUNCTION("""COMPUTED_VALUE"""),"38-La ceja")</f>
        <v>38-La ceja</v>
      </c>
      <c r="C49" s="51" t="str">
        <f>IFERROR(__xludf.DUMMYFUNCTION("""COMPUTED_VALUE"""),"NNZ334")</f>
        <v>NNZ334</v>
      </c>
      <c r="D49" s="51" t="str">
        <f>IFERROR(__xludf.DUMMYFUNCTION("""COMPUTED_VALUE"""),"FURGON FOTON 1045 E VI")</f>
        <v>FURGON FOTON 1045 E VI</v>
      </c>
      <c r="E49" s="53">
        <f>IFERROR(__xludf.DUMMYFUNCTION("""COMPUTED_VALUE"""),46274.0)</f>
        <v>46274</v>
      </c>
      <c r="F49" s="53">
        <f>IFERROR(__xludf.DUMMYFUNCTION("""COMPUTED_VALUE"""),46275.0)</f>
        <v>46275</v>
      </c>
      <c r="G49" s="51"/>
      <c r="H49" s="54"/>
      <c r="I49" s="55"/>
      <c r="J49" s="56"/>
    </row>
    <row r="50">
      <c r="A50" s="51">
        <f>IFERROR(__xludf.DUMMYFUNCTION("""COMPUTED_VALUE"""),2906.0)</f>
        <v>2906</v>
      </c>
      <c r="B50" s="52" t="str">
        <f>IFERROR(__xludf.DUMMYFUNCTION("""COMPUTED_VALUE"""),"02-Medellin")</f>
        <v>02-Medellin</v>
      </c>
      <c r="C50" s="51" t="str">
        <f>IFERROR(__xludf.DUMMYFUNCTION("""COMPUTED_VALUE"""),"NNZ333")</f>
        <v>NNZ333</v>
      </c>
      <c r="D50" s="51" t="str">
        <f>IFERROR(__xludf.DUMMYFUNCTION("""COMPUTED_VALUE"""),"FURGON FOTON 1045 E VI")</f>
        <v>FURGON FOTON 1045 E VI</v>
      </c>
      <c r="E50" s="53">
        <f>IFERROR(__xludf.DUMMYFUNCTION("""COMPUTED_VALUE"""),46274.0)</f>
        <v>46274</v>
      </c>
      <c r="F50" s="53">
        <f>IFERROR(__xludf.DUMMYFUNCTION("""COMPUTED_VALUE"""),46275.0)</f>
        <v>46275</v>
      </c>
      <c r="G50" s="51"/>
      <c r="H50" s="54"/>
      <c r="I50" s="55"/>
      <c r="J50" s="56"/>
    </row>
    <row r="51">
      <c r="A51" s="51">
        <f>IFERROR(__xludf.DUMMYFUNCTION("""COMPUTED_VALUE"""),2905.0)</f>
        <v>2905</v>
      </c>
      <c r="B51" s="52" t="str">
        <f>IFERROR(__xludf.DUMMYFUNCTION("""COMPUTED_VALUE"""),"02-Medellin")</f>
        <v>02-Medellin</v>
      </c>
      <c r="C51" s="51" t="str">
        <f>IFERROR(__xludf.DUMMYFUNCTION("""COMPUTED_VALUE"""),"NNZ331")</f>
        <v>NNZ331</v>
      </c>
      <c r="D51" s="51" t="str">
        <f>IFERROR(__xludf.DUMMYFUNCTION("""COMPUTED_VALUE"""),"FURGON FOTON 1045 E VI")</f>
        <v>FURGON FOTON 1045 E VI</v>
      </c>
      <c r="E51" s="53">
        <f>IFERROR(__xludf.DUMMYFUNCTION("""COMPUTED_VALUE"""),46274.0)</f>
        <v>46274</v>
      </c>
      <c r="F51" s="53">
        <f>IFERROR(__xludf.DUMMYFUNCTION("""COMPUTED_VALUE"""),46275.0)</f>
        <v>46275</v>
      </c>
      <c r="G51" s="51"/>
      <c r="H51" s="54"/>
      <c r="I51" s="55"/>
      <c r="J51" s="56"/>
    </row>
    <row r="52">
      <c r="A52" s="51">
        <f>IFERROR(__xludf.DUMMYFUNCTION("""COMPUTED_VALUE"""),2904.0)</f>
        <v>2904</v>
      </c>
      <c r="B52" s="52" t="str">
        <f>IFERROR(__xludf.DUMMYFUNCTION("""COMPUTED_VALUE"""),"02-Medellin")</f>
        <v>02-Medellin</v>
      </c>
      <c r="C52" s="51" t="str">
        <f>IFERROR(__xludf.DUMMYFUNCTION("""COMPUTED_VALUE"""),"NNZ330")</f>
        <v>NNZ330</v>
      </c>
      <c r="D52" s="51" t="str">
        <f>IFERROR(__xludf.DUMMYFUNCTION("""COMPUTED_VALUE"""),"FURGON FOTON 1045 E VI")</f>
        <v>FURGON FOTON 1045 E VI</v>
      </c>
      <c r="E52" s="53">
        <f>IFERROR(__xludf.DUMMYFUNCTION("""COMPUTED_VALUE"""),46274.0)</f>
        <v>46274</v>
      </c>
      <c r="F52" s="53">
        <f>IFERROR(__xludf.DUMMYFUNCTION("""COMPUTED_VALUE"""),46275.0)</f>
        <v>46275</v>
      </c>
      <c r="G52" s="51"/>
      <c r="H52" s="54"/>
      <c r="I52" s="55"/>
      <c r="J52" s="56"/>
    </row>
    <row r="53">
      <c r="A53" s="51">
        <f>IFERROR(__xludf.DUMMYFUNCTION("""COMPUTED_VALUE"""),2903.0)</f>
        <v>2903</v>
      </c>
      <c r="B53" s="52" t="str">
        <f>IFERROR(__xludf.DUMMYFUNCTION("""COMPUTED_VALUE"""),"02-Medellin")</f>
        <v>02-Medellin</v>
      </c>
      <c r="C53" s="51" t="str">
        <f>IFERROR(__xludf.DUMMYFUNCTION("""COMPUTED_VALUE"""),"NNZ329")</f>
        <v>NNZ329</v>
      </c>
      <c r="D53" s="51" t="str">
        <f>IFERROR(__xludf.DUMMYFUNCTION("""COMPUTED_VALUE"""),"FURGON FOTON 1045 E VI")</f>
        <v>FURGON FOTON 1045 E VI</v>
      </c>
      <c r="E53" s="53">
        <f>IFERROR(__xludf.DUMMYFUNCTION("""COMPUTED_VALUE"""),46274.0)</f>
        <v>46274</v>
      </c>
      <c r="F53" s="53">
        <f>IFERROR(__xludf.DUMMYFUNCTION("""COMPUTED_VALUE"""),46275.0)</f>
        <v>46275</v>
      </c>
      <c r="G53" s="51"/>
      <c r="H53" s="54"/>
      <c r="I53" s="55"/>
      <c r="J53" s="56"/>
    </row>
    <row r="54">
      <c r="A54" s="51">
        <f>IFERROR(__xludf.DUMMYFUNCTION("""COMPUTED_VALUE"""),2898.0)</f>
        <v>2898</v>
      </c>
      <c r="B54" s="52" t="str">
        <f>IFERROR(__xludf.DUMMYFUNCTION("""COMPUTED_VALUE"""),"31-Copacabana")</f>
        <v>31-Copacabana</v>
      </c>
      <c r="C54" s="51" t="str">
        <f>IFERROR(__xludf.DUMMYFUNCTION("""COMPUTED_VALUE"""),"NNZ319")</f>
        <v>NNZ319</v>
      </c>
      <c r="D54" s="51" t="str">
        <f>IFERROR(__xludf.DUMMYFUNCTION("""COMPUTED_VALUE"""),"FURGON FOTON 1045 E VI")</f>
        <v>FURGON FOTON 1045 E VI</v>
      </c>
      <c r="E54" s="53">
        <f>IFERROR(__xludf.DUMMYFUNCTION("""COMPUTED_VALUE"""),46239.0)</f>
        <v>46239</v>
      </c>
      <c r="F54" s="53">
        <f>IFERROR(__xludf.DUMMYFUNCTION("""COMPUTED_VALUE"""),46242.0)</f>
        <v>46242</v>
      </c>
      <c r="G54" s="51"/>
      <c r="H54" s="54"/>
      <c r="I54" s="55"/>
      <c r="J54" s="56"/>
    </row>
    <row r="55">
      <c r="A55" s="51">
        <f>IFERROR(__xludf.DUMMYFUNCTION("""COMPUTED_VALUE"""),2897.0)</f>
        <v>2897</v>
      </c>
      <c r="B55" s="52" t="str">
        <f>IFERROR(__xludf.DUMMYFUNCTION("""COMPUTED_VALUE"""),"31-Copacabana QUIMICOS")</f>
        <v>31-Copacabana QUIMICOS</v>
      </c>
      <c r="C55" s="51" t="str">
        <f>IFERROR(__xludf.DUMMYFUNCTION("""COMPUTED_VALUE"""),"NNZ318")</f>
        <v>NNZ318</v>
      </c>
      <c r="D55" s="51" t="str">
        <f>IFERROR(__xludf.DUMMYFUNCTION("""COMPUTED_VALUE"""),"FURGON FOTON 1045 E VI")</f>
        <v>FURGON FOTON 1045 E VI</v>
      </c>
      <c r="E55" s="53">
        <f>IFERROR(__xludf.DUMMYFUNCTION("""COMPUTED_VALUE"""),46239.0)</f>
        <v>46239</v>
      </c>
      <c r="F55" s="53">
        <f>IFERROR(__xludf.DUMMYFUNCTION("""COMPUTED_VALUE"""),46242.0)</f>
        <v>46242</v>
      </c>
      <c r="G55" s="51"/>
      <c r="H55" s="54"/>
      <c r="I55" s="55"/>
      <c r="J55" s="56"/>
    </row>
    <row r="56">
      <c r="A56" s="51">
        <f>IFERROR(__xludf.DUMMYFUNCTION("""COMPUTED_VALUE"""),2896.0)</f>
        <v>2896</v>
      </c>
      <c r="B56" s="52" t="str">
        <f>IFERROR(__xludf.DUMMYFUNCTION("""COMPUTED_VALUE"""),"02-Medellin")</f>
        <v>02-Medellin</v>
      </c>
      <c r="C56" s="51" t="str">
        <f>IFERROR(__xludf.DUMMYFUNCTION("""COMPUTED_VALUE"""),"NNZ317")</f>
        <v>NNZ317</v>
      </c>
      <c r="D56" s="51" t="str">
        <f>IFERROR(__xludf.DUMMYFUNCTION("""COMPUTED_VALUE"""),"FURGON FOTON 1045 E VI")</f>
        <v>FURGON FOTON 1045 E VI</v>
      </c>
      <c r="E56" s="53">
        <f>IFERROR(__xludf.DUMMYFUNCTION("""COMPUTED_VALUE"""),46239.0)</f>
        <v>46239</v>
      </c>
      <c r="F56" s="53">
        <f>IFERROR(__xludf.DUMMYFUNCTION("""COMPUTED_VALUE"""),46242.0)</f>
        <v>46242</v>
      </c>
      <c r="G56" s="51"/>
      <c r="H56" s="54"/>
      <c r="I56" s="55"/>
      <c r="J56" s="56"/>
    </row>
    <row r="57">
      <c r="A57" s="51">
        <f>IFERROR(__xludf.DUMMYFUNCTION("""COMPUTED_VALUE"""),2895.0)</f>
        <v>2895</v>
      </c>
      <c r="B57" s="52" t="str">
        <f>IFERROR(__xludf.DUMMYFUNCTION("""COMPUTED_VALUE"""),"31-Copacabana")</f>
        <v>31-Copacabana</v>
      </c>
      <c r="C57" s="51" t="str">
        <f>IFERROR(__xludf.DUMMYFUNCTION("""COMPUTED_VALUE"""),"NNZ316")</f>
        <v>NNZ316</v>
      </c>
      <c r="D57" s="51" t="str">
        <f>IFERROR(__xludf.DUMMYFUNCTION("""COMPUTED_VALUE"""),"FURGON FOTON 1045 E VI")</f>
        <v>FURGON FOTON 1045 E VI</v>
      </c>
      <c r="E57" s="53">
        <f>IFERROR(__xludf.DUMMYFUNCTION("""COMPUTED_VALUE"""),46239.0)</f>
        <v>46239</v>
      </c>
      <c r="F57" s="53">
        <f>IFERROR(__xludf.DUMMYFUNCTION("""COMPUTED_VALUE"""),46242.0)</f>
        <v>46242</v>
      </c>
      <c r="G57" s="51"/>
      <c r="H57" s="54"/>
      <c r="I57" s="55"/>
      <c r="J57" s="56"/>
    </row>
    <row r="58">
      <c r="A58" s="51">
        <f>IFERROR(__xludf.DUMMYFUNCTION("""COMPUTED_VALUE"""),2894.0)</f>
        <v>2894</v>
      </c>
      <c r="B58" s="52" t="str">
        <f>IFERROR(__xludf.DUMMYFUNCTION("""COMPUTED_VALUE"""),"02-Medellin")</f>
        <v>02-Medellin</v>
      </c>
      <c r="C58" s="51" t="str">
        <f>IFERROR(__xludf.DUMMYFUNCTION("""COMPUTED_VALUE"""),"NNZ315")</f>
        <v>NNZ315</v>
      </c>
      <c r="D58" s="51" t="str">
        <f>IFERROR(__xludf.DUMMYFUNCTION("""COMPUTED_VALUE"""),"FURGON FOTON 1045 E VI")</f>
        <v>FURGON FOTON 1045 E VI</v>
      </c>
      <c r="E58" s="53">
        <f>IFERROR(__xludf.DUMMYFUNCTION("""COMPUTED_VALUE"""),46239.0)</f>
        <v>46239</v>
      </c>
      <c r="F58" s="53">
        <f>IFERROR(__xludf.DUMMYFUNCTION("""COMPUTED_VALUE"""),46242.0)</f>
        <v>46242</v>
      </c>
      <c r="G58" s="51"/>
      <c r="H58" s="54"/>
      <c r="I58" s="55"/>
      <c r="J58" s="56"/>
    </row>
    <row r="59">
      <c r="A59" s="51">
        <f>IFERROR(__xludf.DUMMYFUNCTION("""COMPUTED_VALUE"""),2893.0)</f>
        <v>2893</v>
      </c>
      <c r="B59" s="52" t="str">
        <f>IFERROR(__xludf.DUMMYFUNCTION("""COMPUTED_VALUE"""),"31-Copacabana")</f>
        <v>31-Copacabana</v>
      </c>
      <c r="C59" s="51" t="str">
        <f>IFERROR(__xludf.DUMMYFUNCTION("""COMPUTED_VALUE"""),"NNZ314")</f>
        <v>NNZ314</v>
      </c>
      <c r="D59" s="51" t="str">
        <f>IFERROR(__xludf.DUMMYFUNCTION("""COMPUTED_VALUE"""),"FURGON FOTON 1045 E VI")</f>
        <v>FURGON FOTON 1045 E VI</v>
      </c>
      <c r="E59" s="53">
        <f>IFERROR(__xludf.DUMMYFUNCTION("""COMPUTED_VALUE"""),46239.0)</f>
        <v>46239</v>
      </c>
      <c r="F59" s="53">
        <f>IFERROR(__xludf.DUMMYFUNCTION("""COMPUTED_VALUE"""),46242.0)</f>
        <v>46242</v>
      </c>
      <c r="G59" s="51"/>
      <c r="H59" s="54"/>
      <c r="I59" s="55"/>
      <c r="J59" s="56"/>
    </row>
    <row r="60">
      <c r="A60" s="51">
        <f>IFERROR(__xludf.DUMMYFUNCTION("""COMPUTED_VALUE"""),2892.0)</f>
        <v>2892</v>
      </c>
      <c r="B60" s="52" t="str">
        <f>IFERROR(__xludf.DUMMYFUNCTION("""COMPUTED_VALUE"""),"24-Rionegro")</f>
        <v>24-Rionegro</v>
      </c>
      <c r="C60" s="51" t="str">
        <f>IFERROR(__xludf.DUMMYFUNCTION("""COMPUTED_VALUE"""),"NNZ313")</f>
        <v>NNZ313</v>
      </c>
      <c r="D60" s="51" t="str">
        <f>IFERROR(__xludf.DUMMYFUNCTION("""COMPUTED_VALUE"""),"FURGON FOTON 1045 E VI")</f>
        <v>FURGON FOTON 1045 E VI</v>
      </c>
      <c r="E60" s="53">
        <f>IFERROR(__xludf.DUMMYFUNCTION("""COMPUTED_VALUE"""),46239.0)</f>
        <v>46239</v>
      </c>
      <c r="F60" s="53">
        <f>IFERROR(__xludf.DUMMYFUNCTION("""COMPUTED_VALUE"""),46242.0)</f>
        <v>46242</v>
      </c>
      <c r="G60" s="51"/>
      <c r="H60" s="54"/>
      <c r="I60" s="55"/>
      <c r="J60" s="56"/>
    </row>
    <row r="61">
      <c r="A61" s="51">
        <f>IFERROR(__xludf.DUMMYFUNCTION("""COMPUTED_VALUE"""),2891.0)</f>
        <v>2891</v>
      </c>
      <c r="B61" s="52" t="str">
        <f>IFERROR(__xludf.DUMMYFUNCTION("""COMPUTED_VALUE"""),"31-Copacabana")</f>
        <v>31-Copacabana</v>
      </c>
      <c r="C61" s="51" t="str">
        <f>IFERROR(__xludf.DUMMYFUNCTION("""COMPUTED_VALUE"""),"NNZ312")</f>
        <v>NNZ312</v>
      </c>
      <c r="D61" s="51" t="str">
        <f>IFERROR(__xludf.DUMMYFUNCTION("""COMPUTED_VALUE"""),"FURGON FOTON 1045 E VI")</f>
        <v>FURGON FOTON 1045 E VI</v>
      </c>
      <c r="E61" s="53">
        <f>IFERROR(__xludf.DUMMYFUNCTION("""COMPUTED_VALUE"""),46239.0)</f>
        <v>46239</v>
      </c>
      <c r="F61" s="53">
        <f>IFERROR(__xludf.DUMMYFUNCTION("""COMPUTED_VALUE"""),46242.0)</f>
        <v>46242</v>
      </c>
      <c r="G61" s="51"/>
      <c r="H61" s="54"/>
      <c r="I61" s="55"/>
      <c r="J61" s="56"/>
    </row>
    <row r="62">
      <c r="A62" s="51">
        <f>IFERROR(__xludf.DUMMYFUNCTION("""COMPUTED_VALUE"""),2890.0)</f>
        <v>2890</v>
      </c>
      <c r="B62" s="52" t="str">
        <f>IFERROR(__xludf.DUMMYFUNCTION("""COMPUTED_VALUE"""),"02-Medellin")</f>
        <v>02-Medellin</v>
      </c>
      <c r="C62" s="51" t="str">
        <f>IFERROR(__xludf.DUMMYFUNCTION("""COMPUTED_VALUE"""),"NNZ308")</f>
        <v>NNZ308</v>
      </c>
      <c r="D62" s="51" t="str">
        <f>IFERROR(__xludf.DUMMYFUNCTION("""COMPUTED_VALUE"""),"FURGON FOTON 1065 E VI")</f>
        <v>FURGON FOTON 1065 E VI</v>
      </c>
      <c r="E62" s="53">
        <f>IFERROR(__xludf.DUMMYFUNCTION("""COMPUTED_VALUE"""),46232.0)</f>
        <v>46232</v>
      </c>
      <c r="F62" s="53">
        <f>IFERROR(__xludf.DUMMYFUNCTION("""COMPUTED_VALUE"""),46233.0)</f>
        <v>46233</v>
      </c>
      <c r="G62" s="51"/>
      <c r="H62" s="54"/>
      <c r="I62" s="55"/>
      <c r="J62" s="56"/>
    </row>
    <row r="63">
      <c r="A63" s="51">
        <f>IFERROR(__xludf.DUMMYFUNCTION("""COMPUTED_VALUE"""),2889.0)</f>
        <v>2889</v>
      </c>
      <c r="B63" s="52" t="str">
        <f>IFERROR(__xludf.DUMMYFUNCTION("""COMPUTED_VALUE"""),"31-Copacabana")</f>
        <v>31-Copacabana</v>
      </c>
      <c r="C63" s="51" t="str">
        <f>IFERROR(__xludf.DUMMYFUNCTION("""COMPUTED_VALUE"""),"NNZ307")</f>
        <v>NNZ307</v>
      </c>
      <c r="D63" s="51" t="str">
        <f>IFERROR(__xludf.DUMMYFUNCTION("""COMPUTED_VALUE"""),"FURGON FOTON 1065 E VI")</f>
        <v>FURGON FOTON 1065 E VI</v>
      </c>
      <c r="E63" s="53">
        <f>IFERROR(__xludf.DUMMYFUNCTION("""COMPUTED_VALUE"""),46232.0)</f>
        <v>46232</v>
      </c>
      <c r="F63" s="53">
        <f>IFERROR(__xludf.DUMMYFUNCTION("""COMPUTED_VALUE"""),46233.0)</f>
        <v>46233</v>
      </c>
      <c r="G63" s="51"/>
      <c r="H63" s="54"/>
      <c r="I63" s="55"/>
      <c r="J63" s="56"/>
    </row>
    <row r="64">
      <c r="A64" s="51">
        <f>IFERROR(__xludf.DUMMYFUNCTION("""COMPUTED_VALUE"""),2888.0)</f>
        <v>2888</v>
      </c>
      <c r="B64" s="52" t="str">
        <f>IFERROR(__xludf.DUMMYFUNCTION("""COMPUTED_VALUE"""),"24-Rionegro")</f>
        <v>24-Rionegro</v>
      </c>
      <c r="C64" s="51" t="str">
        <f>IFERROR(__xludf.DUMMYFUNCTION("""COMPUTED_VALUE"""),"NNZ306")</f>
        <v>NNZ306</v>
      </c>
      <c r="D64" s="51" t="str">
        <f>IFERROR(__xludf.DUMMYFUNCTION("""COMPUTED_VALUE"""),"FURGON FOTON 1065 E VI")</f>
        <v>FURGON FOTON 1065 E VI</v>
      </c>
      <c r="E64" s="53">
        <f>IFERROR(__xludf.DUMMYFUNCTION("""COMPUTED_VALUE"""),46232.0)</f>
        <v>46232</v>
      </c>
      <c r="F64" s="53">
        <f>IFERROR(__xludf.DUMMYFUNCTION("""COMPUTED_VALUE"""),46233.0)</f>
        <v>46233</v>
      </c>
      <c r="G64" s="51"/>
      <c r="H64" s="54"/>
      <c r="I64" s="55"/>
      <c r="J64" s="56"/>
    </row>
    <row r="65">
      <c r="A65" s="51">
        <f>IFERROR(__xludf.DUMMYFUNCTION("""COMPUTED_VALUE"""),2887.0)</f>
        <v>2887</v>
      </c>
      <c r="B65" s="52" t="str">
        <f>IFERROR(__xludf.DUMMYFUNCTION("""COMPUTED_VALUE"""),"02-Medellin")</f>
        <v>02-Medellin</v>
      </c>
      <c r="C65" s="51" t="str">
        <f>IFERROR(__xludf.DUMMYFUNCTION("""COMPUTED_VALUE"""),"NNZ305")</f>
        <v>NNZ305</v>
      </c>
      <c r="D65" s="51" t="str">
        <f>IFERROR(__xludf.DUMMYFUNCTION("""COMPUTED_VALUE"""),"FURGON FOTON 1065 E VI")</f>
        <v>FURGON FOTON 1065 E VI</v>
      </c>
      <c r="E65" s="53">
        <f>IFERROR(__xludf.DUMMYFUNCTION("""COMPUTED_VALUE"""),46232.0)</f>
        <v>46232</v>
      </c>
      <c r="F65" s="53">
        <f>IFERROR(__xludf.DUMMYFUNCTION("""COMPUTED_VALUE"""),46233.0)</f>
        <v>46233</v>
      </c>
      <c r="G65" s="51"/>
      <c r="H65" s="54"/>
      <c r="I65" s="55"/>
      <c r="J65" s="56"/>
    </row>
    <row r="66">
      <c r="A66" s="51">
        <f>IFERROR(__xludf.DUMMYFUNCTION("""COMPUTED_VALUE"""),2886.0)</f>
        <v>2886</v>
      </c>
      <c r="B66" s="52" t="str">
        <f>IFERROR(__xludf.DUMMYFUNCTION("""COMPUTED_VALUE"""),"02-Medellin")</f>
        <v>02-Medellin</v>
      </c>
      <c r="C66" s="51" t="str">
        <f>IFERROR(__xludf.DUMMYFUNCTION("""COMPUTED_VALUE"""),"NNZ304")</f>
        <v>NNZ304</v>
      </c>
      <c r="D66" s="51" t="str">
        <f>IFERROR(__xludf.DUMMYFUNCTION("""COMPUTED_VALUE"""),"FURGON FOTON 1065 E VI")</f>
        <v>FURGON FOTON 1065 E VI</v>
      </c>
      <c r="E66" s="53">
        <f>IFERROR(__xludf.DUMMYFUNCTION("""COMPUTED_VALUE"""),46232.0)</f>
        <v>46232</v>
      </c>
      <c r="F66" s="53">
        <f>IFERROR(__xludf.DUMMYFUNCTION("""COMPUTED_VALUE"""),46233.0)</f>
        <v>46233</v>
      </c>
      <c r="G66" s="51"/>
      <c r="H66" s="54"/>
      <c r="I66" s="55"/>
      <c r="J66" s="56"/>
    </row>
    <row r="67">
      <c r="A67" s="51">
        <f>IFERROR(__xludf.DUMMYFUNCTION("""COMPUTED_VALUE"""),2885.0)</f>
        <v>2885</v>
      </c>
      <c r="B67" s="52" t="str">
        <f>IFERROR(__xludf.DUMMYFUNCTION("""COMPUTED_VALUE"""),"MAYORCA")</f>
        <v>MAYORCA</v>
      </c>
      <c r="C67" s="51" t="str">
        <f>IFERROR(__xludf.DUMMYFUNCTION("""COMPUTED_VALUE"""),"NNZ303")</f>
        <v>NNZ303</v>
      </c>
      <c r="D67" s="51" t="str">
        <f>IFERROR(__xludf.DUMMYFUNCTION("""COMPUTED_VALUE"""),"FURGON FOTON 1065 E VI")</f>
        <v>FURGON FOTON 1065 E VI</v>
      </c>
      <c r="E67" s="53">
        <f>IFERROR(__xludf.DUMMYFUNCTION("""COMPUTED_VALUE"""),46232.0)</f>
        <v>46232</v>
      </c>
      <c r="F67" s="53">
        <f>IFERROR(__xludf.DUMMYFUNCTION("""COMPUTED_VALUE"""),46233.0)</f>
        <v>46233</v>
      </c>
      <c r="G67" s="51"/>
      <c r="H67" s="54"/>
      <c r="I67" s="55"/>
      <c r="J67" s="56"/>
    </row>
    <row r="68">
      <c r="A68" s="51">
        <f>IFERROR(__xludf.DUMMYFUNCTION("""COMPUTED_VALUE"""),2884.0)</f>
        <v>2884</v>
      </c>
      <c r="B68" s="52" t="str">
        <f>IFERROR(__xludf.DUMMYFUNCTION("""COMPUTED_VALUE"""),"24-Rionegro")</f>
        <v>24-Rionegro</v>
      </c>
      <c r="C68" s="51" t="str">
        <f>IFERROR(__xludf.DUMMYFUNCTION("""COMPUTED_VALUE"""),"NNZ302")</f>
        <v>NNZ302</v>
      </c>
      <c r="D68" s="51" t="str">
        <f>IFERROR(__xludf.DUMMYFUNCTION("""COMPUTED_VALUE"""),"FURGON FOTON 1065 E VI")</f>
        <v>FURGON FOTON 1065 E VI</v>
      </c>
      <c r="E68" s="53">
        <f>IFERROR(__xludf.DUMMYFUNCTION("""COMPUTED_VALUE"""),46232.0)</f>
        <v>46232</v>
      </c>
      <c r="F68" s="53">
        <f>IFERROR(__xludf.DUMMYFUNCTION("""COMPUTED_VALUE"""),46233.0)</f>
        <v>46233</v>
      </c>
      <c r="G68" s="51"/>
      <c r="H68" s="54"/>
      <c r="I68" s="55"/>
      <c r="J68" s="56"/>
    </row>
    <row r="69">
      <c r="A69" s="51">
        <f>IFERROR(__xludf.DUMMYFUNCTION("""COMPUTED_VALUE"""),2883.0)</f>
        <v>2883</v>
      </c>
      <c r="B69" s="52" t="str">
        <f>IFERROR(__xludf.DUMMYFUNCTION("""COMPUTED_VALUE"""),"MAYORCA")</f>
        <v>MAYORCA</v>
      </c>
      <c r="C69" s="51" t="str">
        <f>IFERROR(__xludf.DUMMYFUNCTION("""COMPUTED_VALUE"""),"NNZ301")</f>
        <v>NNZ301</v>
      </c>
      <c r="D69" s="51" t="str">
        <f>IFERROR(__xludf.DUMMYFUNCTION("""COMPUTED_VALUE"""),"FURGON FOTON 1065 E VI")</f>
        <v>FURGON FOTON 1065 E VI</v>
      </c>
      <c r="E69" s="53">
        <f>IFERROR(__xludf.DUMMYFUNCTION("""COMPUTED_VALUE"""),46232.0)</f>
        <v>46232</v>
      </c>
      <c r="F69" s="53">
        <f>IFERROR(__xludf.DUMMYFUNCTION("""COMPUTED_VALUE"""),46233.0)</f>
        <v>46233</v>
      </c>
      <c r="G69" s="51"/>
      <c r="H69" s="54"/>
      <c r="I69" s="55"/>
      <c r="J69" s="56"/>
    </row>
    <row r="70">
      <c r="A70" s="51">
        <f>IFERROR(__xludf.DUMMYFUNCTION("""COMPUTED_VALUE"""),2882.0)</f>
        <v>2882</v>
      </c>
      <c r="B70" s="52" t="str">
        <f>IFERROR(__xludf.DUMMYFUNCTION("""COMPUTED_VALUE"""),"38-La ceja")</f>
        <v>38-La ceja</v>
      </c>
      <c r="C70" s="51" t="str">
        <f>IFERROR(__xludf.DUMMYFUNCTION("""COMPUTED_VALUE"""),"NNZ300")</f>
        <v>NNZ300</v>
      </c>
      <c r="D70" s="51" t="str">
        <f>IFERROR(__xludf.DUMMYFUNCTION("""COMPUTED_VALUE"""),"FURGON FOTON 1065 E VI")</f>
        <v>FURGON FOTON 1065 E VI</v>
      </c>
      <c r="E70" s="53">
        <f>IFERROR(__xludf.DUMMYFUNCTION("""COMPUTED_VALUE"""),46232.0)</f>
        <v>46232</v>
      </c>
      <c r="F70" s="53">
        <f>IFERROR(__xludf.DUMMYFUNCTION("""COMPUTED_VALUE"""),46233.0)</f>
        <v>46233</v>
      </c>
      <c r="G70" s="51"/>
      <c r="H70" s="54"/>
      <c r="I70" s="55"/>
      <c r="J70" s="56"/>
    </row>
    <row r="71">
      <c r="A71" s="51">
        <f>IFERROR(__xludf.DUMMYFUNCTION("""COMPUTED_VALUE"""),2881.0)</f>
        <v>2881</v>
      </c>
      <c r="B71" s="52" t="str">
        <f>IFERROR(__xludf.DUMMYFUNCTION("""COMPUTED_VALUE"""),"02-Medellin")</f>
        <v>02-Medellin</v>
      </c>
      <c r="C71" s="51" t="str">
        <f>IFERROR(__xludf.DUMMYFUNCTION("""COMPUTED_VALUE"""),"NNZ296")</f>
        <v>NNZ296</v>
      </c>
      <c r="D71" s="51" t="str">
        <f>IFERROR(__xludf.DUMMYFUNCTION("""COMPUTED_VALUE"""),"CAMION FOTON BJ1128 E VI")</f>
        <v>CAMION FOTON BJ1128 E VI</v>
      </c>
      <c r="E71" s="53">
        <f>IFERROR(__xludf.DUMMYFUNCTION("""COMPUTED_VALUE"""),46221.0)</f>
        <v>46221</v>
      </c>
      <c r="F71" s="53">
        <f>IFERROR(__xludf.DUMMYFUNCTION("""COMPUTED_VALUE"""),46226.0)</f>
        <v>46226</v>
      </c>
      <c r="G71" s="51"/>
      <c r="H71" s="54"/>
      <c r="I71" s="55"/>
      <c r="J71" s="56"/>
    </row>
    <row r="72">
      <c r="A72" s="51">
        <f>IFERROR(__xludf.DUMMYFUNCTION("""COMPUTED_VALUE"""),2880.0)</f>
        <v>2880</v>
      </c>
      <c r="B72" s="52" t="str">
        <f>IFERROR(__xludf.DUMMYFUNCTION("""COMPUTED_VALUE"""),"MAYORCA")</f>
        <v>MAYORCA</v>
      </c>
      <c r="C72" s="51" t="str">
        <f>IFERROR(__xludf.DUMMYFUNCTION("""COMPUTED_VALUE"""),"NNZ295")</f>
        <v>NNZ295</v>
      </c>
      <c r="D72" s="51" t="str">
        <f>IFERROR(__xludf.DUMMYFUNCTION("""COMPUTED_VALUE"""),"CAMION FOTON BJ1128 E VI")</f>
        <v>CAMION FOTON BJ1128 E VI</v>
      </c>
      <c r="E72" s="53">
        <f>IFERROR(__xludf.DUMMYFUNCTION("""COMPUTED_VALUE"""),46221.0)</f>
        <v>46221</v>
      </c>
      <c r="F72" s="62">
        <f>IFERROR(__xludf.DUMMYFUNCTION("""COMPUTED_VALUE"""),46226.0)</f>
        <v>46226</v>
      </c>
      <c r="G72" s="51"/>
      <c r="H72" s="54"/>
      <c r="I72" s="55"/>
      <c r="J72" s="56"/>
    </row>
    <row r="73">
      <c r="A73" s="51">
        <f>IFERROR(__xludf.DUMMYFUNCTION("""COMPUTED_VALUE"""),2879.0)</f>
        <v>2879</v>
      </c>
      <c r="B73" s="52" t="str">
        <f>IFERROR(__xludf.DUMMYFUNCTION("""COMPUTED_VALUE"""),"02-Medellin")</f>
        <v>02-Medellin</v>
      </c>
      <c r="C73" s="51" t="str">
        <f>IFERROR(__xludf.DUMMYFUNCTION("""COMPUTED_VALUE"""),"NNZ294")</f>
        <v>NNZ294</v>
      </c>
      <c r="D73" s="51" t="str">
        <f>IFERROR(__xludf.DUMMYFUNCTION("""COMPUTED_VALUE"""),"CAMION FOTON BJ1128 E VI")</f>
        <v>CAMION FOTON BJ1128 E VI</v>
      </c>
      <c r="E73" s="53">
        <f>IFERROR(__xludf.DUMMYFUNCTION("""COMPUTED_VALUE"""),46221.0)</f>
        <v>46221</v>
      </c>
      <c r="F73" s="53">
        <f>IFERROR(__xludf.DUMMYFUNCTION("""COMPUTED_VALUE"""),46226.0)</f>
        <v>46226</v>
      </c>
      <c r="G73" s="51"/>
      <c r="H73" s="54"/>
      <c r="I73" s="55"/>
      <c r="J73" s="56"/>
    </row>
    <row r="74">
      <c r="A74" s="51">
        <f>IFERROR(__xludf.DUMMYFUNCTION("""COMPUTED_VALUE"""),2878.0)</f>
        <v>2878</v>
      </c>
      <c r="B74" s="52" t="str">
        <f>IFERROR(__xludf.DUMMYFUNCTION("""COMPUTED_VALUE"""),"02-Medellin")</f>
        <v>02-Medellin</v>
      </c>
      <c r="C74" s="51" t="str">
        <f>IFERROR(__xludf.DUMMYFUNCTION("""COMPUTED_VALUE"""),"NNZ293")</f>
        <v>NNZ293</v>
      </c>
      <c r="D74" s="51" t="str">
        <f>IFERROR(__xludf.DUMMYFUNCTION("""COMPUTED_VALUE"""),"CAMION FOTON BJ1128 E VI")</f>
        <v>CAMION FOTON BJ1128 E VI</v>
      </c>
      <c r="E74" s="53">
        <f>IFERROR(__xludf.DUMMYFUNCTION("""COMPUTED_VALUE"""),46221.0)</f>
        <v>46221</v>
      </c>
      <c r="F74" s="53">
        <f>IFERROR(__xludf.DUMMYFUNCTION("""COMPUTED_VALUE"""),46226.0)</f>
        <v>46226</v>
      </c>
      <c r="G74" s="51"/>
      <c r="H74" s="54"/>
      <c r="I74" s="55"/>
      <c r="J74" s="56"/>
    </row>
    <row r="75">
      <c r="A75" s="51">
        <f>IFERROR(__xludf.DUMMYFUNCTION("""COMPUTED_VALUE"""),2877.0)</f>
        <v>2877</v>
      </c>
      <c r="B75" s="52" t="str">
        <f>IFERROR(__xludf.DUMMYFUNCTION("""COMPUTED_VALUE"""),"MAYORCA")</f>
        <v>MAYORCA</v>
      </c>
      <c r="C75" s="51" t="str">
        <f>IFERROR(__xludf.DUMMYFUNCTION("""COMPUTED_VALUE"""),"NNZ292")</f>
        <v>NNZ292</v>
      </c>
      <c r="D75" s="51" t="str">
        <f>IFERROR(__xludf.DUMMYFUNCTION("""COMPUTED_VALUE"""),"CAMION FOTON BJ1128 E VI")</f>
        <v>CAMION FOTON BJ1128 E VI</v>
      </c>
      <c r="E75" s="53">
        <f>IFERROR(__xludf.DUMMYFUNCTION("""COMPUTED_VALUE"""),46221.0)</f>
        <v>46221</v>
      </c>
      <c r="F75" s="53">
        <f>IFERROR(__xludf.DUMMYFUNCTION("""COMPUTED_VALUE"""),46226.0)</f>
        <v>46226</v>
      </c>
      <c r="G75" s="51"/>
      <c r="H75" s="54"/>
      <c r="I75" s="55"/>
      <c r="J75" s="56"/>
    </row>
    <row r="76">
      <c r="A76" s="51">
        <f>IFERROR(__xludf.DUMMYFUNCTION("""COMPUTED_VALUE"""),2876.0)</f>
        <v>2876</v>
      </c>
      <c r="B76" s="52" t="str">
        <f>IFERROR(__xludf.DUMMYFUNCTION("""COMPUTED_VALUE"""),"02-Medellin")</f>
        <v>02-Medellin</v>
      </c>
      <c r="C76" s="51" t="str">
        <f>IFERROR(__xludf.DUMMYFUNCTION("""COMPUTED_VALUE"""),"NNZ291")</f>
        <v>NNZ291</v>
      </c>
      <c r="D76" s="51" t="str">
        <f>IFERROR(__xludf.DUMMYFUNCTION("""COMPUTED_VALUE"""),"CAMION FOTON BJ1128 E VI")</f>
        <v>CAMION FOTON BJ1128 E VI</v>
      </c>
      <c r="E76" s="53">
        <f>IFERROR(__xludf.DUMMYFUNCTION("""COMPUTED_VALUE"""),46221.0)</f>
        <v>46221</v>
      </c>
      <c r="F76" s="53">
        <f>IFERROR(__xludf.DUMMYFUNCTION("""COMPUTED_VALUE"""),46226.0)</f>
        <v>46226</v>
      </c>
      <c r="G76" s="51"/>
      <c r="H76" s="54"/>
      <c r="I76" s="55"/>
      <c r="J76" s="56"/>
    </row>
    <row r="77">
      <c r="A77" s="51">
        <f>IFERROR(__xludf.DUMMYFUNCTION("""COMPUTED_VALUE"""),2875.0)</f>
        <v>2875</v>
      </c>
      <c r="B77" s="52" t="str">
        <f>IFERROR(__xludf.DUMMYFUNCTION("""COMPUTED_VALUE"""),"02-Medellin")</f>
        <v>02-Medellin</v>
      </c>
      <c r="C77" s="51" t="str">
        <f>IFERROR(__xludf.DUMMYFUNCTION("""COMPUTED_VALUE"""),"NNZ290")</f>
        <v>NNZ290</v>
      </c>
      <c r="D77" s="51" t="str">
        <f>IFERROR(__xludf.DUMMYFUNCTION("""COMPUTED_VALUE"""),"CAMION FOTON BJ1128 E VI")</f>
        <v>CAMION FOTON BJ1128 E VI</v>
      </c>
      <c r="E77" s="53">
        <f>IFERROR(__xludf.DUMMYFUNCTION("""COMPUTED_VALUE"""),46221.0)</f>
        <v>46221</v>
      </c>
      <c r="F77" s="53">
        <f>IFERROR(__xludf.DUMMYFUNCTION("""COMPUTED_VALUE"""),46226.0)</f>
        <v>46226</v>
      </c>
      <c r="G77" s="51"/>
      <c r="H77" s="54"/>
      <c r="I77" s="55"/>
      <c r="J77" s="56"/>
    </row>
    <row r="78">
      <c r="A78" s="51">
        <f>IFERROR(__xludf.DUMMYFUNCTION("""COMPUTED_VALUE"""),2867.0)</f>
        <v>2867</v>
      </c>
      <c r="B78" s="52" t="str">
        <f>IFERROR(__xludf.DUMMYFUNCTION("""COMPUTED_VALUE"""),"02-Medellin")</f>
        <v>02-Medellin</v>
      </c>
      <c r="C78" s="51" t="str">
        <f>IFERROR(__xludf.DUMMYFUNCTION("""COMPUTED_VALUE"""),"NNZ282")</f>
        <v>NNZ282</v>
      </c>
      <c r="D78" s="51" t="str">
        <f>IFERROR(__xludf.DUMMYFUNCTION("""COMPUTED_VALUE"""),"FURGON FOTON 1030")</f>
        <v>FURGON FOTON 1030</v>
      </c>
      <c r="E78" s="53">
        <f>IFERROR(__xludf.DUMMYFUNCTION("""COMPUTED_VALUE"""),46220.0)</f>
        <v>46220</v>
      </c>
      <c r="F78" s="53">
        <f>IFERROR(__xludf.DUMMYFUNCTION("""COMPUTED_VALUE"""),46226.0)</f>
        <v>46226</v>
      </c>
      <c r="G78" s="51"/>
      <c r="H78" s="54"/>
      <c r="I78" s="55"/>
      <c r="J78" s="56"/>
    </row>
    <row r="79">
      <c r="A79" s="51">
        <f>IFERROR(__xludf.DUMMYFUNCTION("""COMPUTED_VALUE"""),2866.0)</f>
        <v>2866</v>
      </c>
      <c r="B79" s="52" t="str">
        <f>IFERROR(__xludf.DUMMYFUNCTION("""COMPUTED_VALUE"""),"02-Medellin")</f>
        <v>02-Medellin</v>
      </c>
      <c r="C79" s="51" t="str">
        <f>IFERROR(__xludf.DUMMYFUNCTION("""COMPUTED_VALUE"""),"NNZ281")</f>
        <v>NNZ281</v>
      </c>
      <c r="D79" s="51" t="str">
        <f>IFERROR(__xludf.DUMMYFUNCTION("""COMPUTED_VALUE"""),"FURGON FOTON 1030")</f>
        <v>FURGON FOTON 1030</v>
      </c>
      <c r="E79" s="53">
        <f>IFERROR(__xludf.DUMMYFUNCTION("""COMPUTED_VALUE"""),46219.0)</f>
        <v>46219</v>
      </c>
      <c r="F79" s="53">
        <f>IFERROR(__xludf.DUMMYFUNCTION("""COMPUTED_VALUE"""),46221.0)</f>
        <v>46221</v>
      </c>
      <c r="G79" s="51"/>
      <c r="H79" s="54"/>
      <c r="I79" s="55"/>
      <c r="J79" s="56"/>
    </row>
    <row r="80">
      <c r="A80" s="51">
        <f>IFERROR(__xludf.DUMMYFUNCTION("""COMPUTED_VALUE"""),2862.0)</f>
        <v>2862</v>
      </c>
      <c r="B80" s="52" t="str">
        <f>IFERROR(__xludf.DUMMYFUNCTION("""COMPUTED_VALUE"""),"02-Medellin")</f>
        <v>02-Medellin</v>
      </c>
      <c r="C80" s="51" t="str">
        <f>IFERROR(__xludf.DUMMYFUNCTION("""COMPUTED_VALUE"""),"NNZ276")</f>
        <v>NNZ276</v>
      </c>
      <c r="D80" s="51" t="str">
        <f>IFERROR(__xludf.DUMMYFUNCTION("""COMPUTED_VALUE"""),"FURGON FOTON 1030")</f>
        <v>FURGON FOTON 1030</v>
      </c>
      <c r="E80" s="53">
        <f>IFERROR(__xludf.DUMMYFUNCTION("""COMPUTED_VALUE"""),46219.0)</f>
        <v>46219</v>
      </c>
      <c r="F80" s="53">
        <f>IFERROR(__xludf.DUMMYFUNCTION("""COMPUTED_VALUE"""),46221.0)</f>
        <v>46221</v>
      </c>
      <c r="G80" s="51"/>
      <c r="H80" s="54"/>
      <c r="I80" s="55"/>
      <c r="J80" s="56"/>
    </row>
    <row r="81">
      <c r="A81" s="51">
        <f>IFERROR(__xludf.DUMMYFUNCTION("""COMPUTED_VALUE"""),2861.0)</f>
        <v>2861</v>
      </c>
      <c r="B81" s="52" t="str">
        <f>IFERROR(__xludf.DUMMYFUNCTION("""COMPUTED_VALUE"""),"02-Medellin")</f>
        <v>02-Medellin</v>
      </c>
      <c r="C81" s="51" t="str">
        <f>IFERROR(__xludf.DUMMYFUNCTION("""COMPUTED_VALUE"""),"NNZ275")</f>
        <v>NNZ275</v>
      </c>
      <c r="D81" s="51" t="str">
        <f>IFERROR(__xludf.DUMMYFUNCTION("""COMPUTED_VALUE"""),"FURGON FOTON 1030")</f>
        <v>FURGON FOTON 1030</v>
      </c>
      <c r="E81" s="53">
        <f>IFERROR(__xludf.DUMMYFUNCTION("""COMPUTED_VALUE"""),46220.0)</f>
        <v>46220</v>
      </c>
      <c r="F81" s="53">
        <f>IFERROR(__xludf.DUMMYFUNCTION("""COMPUTED_VALUE"""),46226.0)</f>
        <v>46226</v>
      </c>
      <c r="G81" s="51"/>
      <c r="H81" s="54"/>
      <c r="I81" s="55"/>
      <c r="J81" s="56"/>
    </row>
    <row r="82">
      <c r="A82" s="51">
        <f>IFERROR(__xludf.DUMMYFUNCTION("""COMPUTED_VALUE"""),2860.0)</f>
        <v>2860</v>
      </c>
      <c r="B82" s="52" t="str">
        <f>IFERROR(__xludf.DUMMYFUNCTION("""COMPUTED_VALUE"""),"02-Medellin")</f>
        <v>02-Medellin</v>
      </c>
      <c r="C82" s="51" t="str">
        <f>IFERROR(__xludf.DUMMYFUNCTION("""COMPUTED_VALUE"""),"NNZ274")</f>
        <v>NNZ274</v>
      </c>
      <c r="D82" s="51" t="str">
        <f>IFERROR(__xludf.DUMMYFUNCTION("""COMPUTED_VALUE"""),"FURGON FOTON 1030")</f>
        <v>FURGON FOTON 1030</v>
      </c>
      <c r="E82" s="53">
        <f>IFERROR(__xludf.DUMMYFUNCTION("""COMPUTED_VALUE"""),46219.0)</f>
        <v>46219</v>
      </c>
      <c r="F82" s="53">
        <f>IFERROR(__xludf.DUMMYFUNCTION("""COMPUTED_VALUE"""),46221.0)</f>
        <v>46221</v>
      </c>
      <c r="G82" s="51"/>
      <c r="H82" s="54"/>
      <c r="I82" s="55"/>
      <c r="J82" s="56"/>
    </row>
    <row r="83">
      <c r="A83" s="51">
        <f>IFERROR(__xludf.DUMMYFUNCTION("""COMPUTED_VALUE"""),2859.0)</f>
        <v>2859</v>
      </c>
      <c r="B83" s="52" t="str">
        <f>IFERROR(__xludf.DUMMYFUNCTION("""COMPUTED_VALUE"""),"MAYORCA")</f>
        <v>MAYORCA</v>
      </c>
      <c r="C83" s="51" t="str">
        <f>IFERROR(__xludf.DUMMYFUNCTION("""COMPUTED_VALUE"""),"NNZ273")</f>
        <v>NNZ273</v>
      </c>
      <c r="D83" s="51" t="str">
        <f>IFERROR(__xludf.DUMMYFUNCTION("""COMPUTED_VALUE"""),"FURGON FOTON 1030")</f>
        <v>FURGON FOTON 1030</v>
      </c>
      <c r="E83" s="53">
        <f>IFERROR(__xludf.DUMMYFUNCTION("""COMPUTED_VALUE"""),46220.0)</f>
        <v>46220</v>
      </c>
      <c r="F83" s="53">
        <f>IFERROR(__xludf.DUMMYFUNCTION("""COMPUTED_VALUE"""),46226.0)</f>
        <v>46226</v>
      </c>
      <c r="G83" s="51"/>
      <c r="H83" s="54"/>
      <c r="I83" s="55"/>
      <c r="J83" s="56"/>
    </row>
    <row r="84">
      <c r="A84" s="51">
        <f>IFERROR(__xludf.DUMMYFUNCTION("""COMPUTED_VALUE"""),2858.0)</f>
        <v>2858</v>
      </c>
      <c r="B84" s="52" t="str">
        <f>IFERROR(__xludf.DUMMYFUNCTION("""COMPUTED_VALUE"""),"MAYORCA")</f>
        <v>MAYORCA</v>
      </c>
      <c r="C84" s="51" t="str">
        <f>IFERROR(__xludf.DUMMYFUNCTION("""COMPUTED_VALUE"""),"NNZ272")</f>
        <v>NNZ272</v>
      </c>
      <c r="D84" s="51" t="str">
        <f>IFERROR(__xludf.DUMMYFUNCTION("""COMPUTED_VALUE"""),"FURGON FOTON 1065 E VI")</f>
        <v>FURGON FOTON 1065 E VI</v>
      </c>
      <c r="E84" s="53">
        <f>IFERROR(__xludf.DUMMYFUNCTION("""COMPUTED_VALUE"""),46577.0)</f>
        <v>46577</v>
      </c>
      <c r="F84" s="53">
        <f>IFERROR(__xludf.DUMMYFUNCTION("""COMPUTED_VALUE"""),46215.0)</f>
        <v>46215</v>
      </c>
      <c r="G84" s="51"/>
      <c r="H84" s="54"/>
      <c r="I84" s="55"/>
      <c r="J84" s="63"/>
    </row>
    <row r="85">
      <c r="A85" s="51">
        <f>IFERROR(__xludf.DUMMYFUNCTION("""COMPUTED_VALUE"""),2857.0)</f>
        <v>2857</v>
      </c>
      <c r="B85" s="52" t="str">
        <f>IFERROR(__xludf.DUMMYFUNCTION("""COMPUTED_VALUE"""),"24-Rionegro")</f>
        <v>24-Rionegro</v>
      </c>
      <c r="C85" s="51" t="str">
        <f>IFERROR(__xludf.DUMMYFUNCTION("""COMPUTED_VALUE"""),"NNZ271")</f>
        <v>NNZ271</v>
      </c>
      <c r="D85" s="51" t="str">
        <f>IFERROR(__xludf.DUMMYFUNCTION("""COMPUTED_VALUE"""),"FURGON FOTON 1065 E VI")</f>
        <v>FURGON FOTON 1065 E VI</v>
      </c>
      <c r="E85" s="53">
        <f>IFERROR(__xludf.DUMMYFUNCTION("""COMPUTED_VALUE"""),46577.0)</f>
        <v>46577</v>
      </c>
      <c r="F85" s="53">
        <f>IFERROR(__xludf.DUMMYFUNCTION("""COMPUTED_VALUE"""),46215.0)</f>
        <v>46215</v>
      </c>
      <c r="G85" s="51"/>
      <c r="H85" s="54"/>
      <c r="I85" s="55"/>
      <c r="J85" s="63"/>
    </row>
    <row r="86">
      <c r="A86" s="51">
        <f>IFERROR(__xludf.DUMMYFUNCTION("""COMPUTED_VALUE"""),2856.0)</f>
        <v>2856</v>
      </c>
      <c r="B86" s="52" t="str">
        <f>IFERROR(__xludf.DUMMYFUNCTION("""COMPUTED_VALUE"""),"MAYORCA")</f>
        <v>MAYORCA</v>
      </c>
      <c r="C86" s="51" t="str">
        <f>IFERROR(__xludf.DUMMYFUNCTION("""COMPUTED_VALUE"""),"NNZ267")</f>
        <v>NNZ267</v>
      </c>
      <c r="D86" s="51" t="str">
        <f>IFERROR(__xludf.DUMMYFUNCTION("""COMPUTED_VALUE"""),"FURGON FOTON 1065 E VI")</f>
        <v>FURGON FOTON 1065 E VI</v>
      </c>
      <c r="E86" s="53">
        <f>IFERROR(__xludf.DUMMYFUNCTION("""COMPUTED_VALUE"""),46578.0)</f>
        <v>46578</v>
      </c>
      <c r="F86" s="53">
        <f>IFERROR(__xludf.DUMMYFUNCTION("""COMPUTED_VALUE"""),46215.0)</f>
        <v>46215</v>
      </c>
      <c r="G86" s="51"/>
      <c r="H86" s="54"/>
      <c r="I86" s="55"/>
      <c r="J86" s="63"/>
    </row>
    <row r="87">
      <c r="A87" s="51">
        <f>IFERROR(__xludf.DUMMYFUNCTION("""COMPUTED_VALUE"""),2855.0)</f>
        <v>2855</v>
      </c>
      <c r="B87" s="52" t="str">
        <f>IFERROR(__xludf.DUMMYFUNCTION("""COMPUTED_VALUE"""),"02-Medellin")</f>
        <v>02-Medellin</v>
      </c>
      <c r="C87" s="51" t="str">
        <f>IFERROR(__xludf.DUMMYFUNCTION("""COMPUTED_VALUE"""),"NNZ265")</f>
        <v>NNZ265</v>
      </c>
      <c r="D87" s="51" t="str">
        <f>IFERROR(__xludf.DUMMYFUNCTION("""COMPUTED_VALUE"""),"FURGON FOTON 1065 E VI")</f>
        <v>FURGON FOTON 1065 E VI</v>
      </c>
      <c r="E87" s="53">
        <f>IFERROR(__xludf.DUMMYFUNCTION("""COMPUTED_VALUE"""),46566.0)</f>
        <v>46566</v>
      </c>
      <c r="F87" s="53">
        <f>IFERROR(__xludf.DUMMYFUNCTION("""COMPUTED_VALUE"""),46575.0)</f>
        <v>46575</v>
      </c>
      <c r="G87" s="51"/>
      <c r="H87" s="54"/>
      <c r="I87" s="55"/>
      <c r="J87" s="63"/>
    </row>
    <row r="88">
      <c r="A88" s="51">
        <f>IFERROR(__xludf.DUMMYFUNCTION("""COMPUTED_VALUE"""),2854.0)</f>
        <v>2854</v>
      </c>
      <c r="B88" s="52" t="str">
        <f>IFERROR(__xludf.DUMMYFUNCTION("""COMPUTED_VALUE"""),"02-Medellin")</f>
        <v>02-Medellin</v>
      </c>
      <c r="C88" s="51" t="str">
        <f>IFERROR(__xludf.DUMMYFUNCTION("""COMPUTED_VALUE"""),"NNZ270")</f>
        <v>NNZ270</v>
      </c>
      <c r="D88" s="51" t="str">
        <f>IFERROR(__xludf.DUMMYFUNCTION("""COMPUTED_VALUE"""),"FURGON FOTON 1065 E VI")</f>
        <v>FURGON FOTON 1065 E VI</v>
      </c>
      <c r="E88" s="53">
        <f>IFERROR(__xludf.DUMMYFUNCTION("""COMPUTED_VALUE"""),46573.0)</f>
        <v>46573</v>
      </c>
      <c r="F88" s="53">
        <f>IFERROR(__xludf.DUMMYFUNCTION("""COMPUTED_VALUE"""),46575.0)</f>
        <v>46575</v>
      </c>
      <c r="G88" s="51"/>
      <c r="H88" s="54"/>
      <c r="I88" s="55"/>
      <c r="J88" s="56"/>
    </row>
    <row r="89">
      <c r="A89" s="51">
        <f>IFERROR(__xludf.DUMMYFUNCTION("""COMPUTED_VALUE"""),2853.0)</f>
        <v>2853</v>
      </c>
      <c r="B89" s="52" t="str">
        <f>IFERROR(__xludf.DUMMYFUNCTION("""COMPUTED_VALUE"""),"BULTOS")</f>
        <v>BULTOS</v>
      </c>
      <c r="C89" s="51" t="str">
        <f>IFERROR(__xludf.DUMMYFUNCTION("""COMPUTED_VALUE"""),"NNZ269")</f>
        <v>NNZ269</v>
      </c>
      <c r="D89" s="51" t="str">
        <f>IFERROR(__xludf.DUMMYFUNCTION("""COMPUTED_VALUE"""),"FURGON FOTON 1065 E VI")</f>
        <v>FURGON FOTON 1065 E VI</v>
      </c>
      <c r="E89" s="53">
        <f>IFERROR(__xludf.DUMMYFUNCTION("""COMPUTED_VALUE"""),46573.0)</f>
        <v>46573</v>
      </c>
      <c r="F89" s="53">
        <f>IFERROR(__xludf.DUMMYFUNCTION("""COMPUTED_VALUE"""),46576.0)</f>
        <v>46576</v>
      </c>
      <c r="G89" s="51"/>
      <c r="H89" s="54"/>
      <c r="I89" s="55"/>
      <c r="J89" s="63"/>
    </row>
    <row r="90">
      <c r="A90" s="51">
        <f>IFERROR(__xludf.DUMMYFUNCTION("""COMPUTED_VALUE"""),2852.0)</f>
        <v>2852</v>
      </c>
      <c r="B90" s="52" t="str">
        <f>IFERROR(__xludf.DUMMYFUNCTION("""COMPUTED_VALUE"""),"24-Rionegro")</f>
        <v>24-Rionegro</v>
      </c>
      <c r="C90" s="51" t="str">
        <f>IFERROR(__xludf.DUMMYFUNCTION("""COMPUTED_VALUE"""),"NNZ268")</f>
        <v>NNZ268</v>
      </c>
      <c r="D90" s="51" t="str">
        <f>IFERROR(__xludf.DUMMYFUNCTION("""COMPUTED_VALUE"""),"FURGON FOTON 1065 E VI")</f>
        <v>FURGON FOTON 1065 E VI</v>
      </c>
      <c r="E90" s="53">
        <f>IFERROR(__xludf.DUMMYFUNCTION("""COMPUTED_VALUE"""),46573.0)</f>
        <v>46573</v>
      </c>
      <c r="F90" s="53">
        <f>IFERROR(__xludf.DUMMYFUNCTION("""COMPUTED_VALUE"""),46576.0)</f>
        <v>46576</v>
      </c>
      <c r="G90" s="51"/>
      <c r="H90" s="54"/>
      <c r="I90" s="55"/>
      <c r="J90" s="63"/>
    </row>
    <row r="91">
      <c r="A91" s="51">
        <f>IFERROR(__xludf.DUMMYFUNCTION("""COMPUTED_VALUE"""),2851.0)</f>
        <v>2851</v>
      </c>
      <c r="B91" s="52" t="str">
        <f>IFERROR(__xludf.DUMMYFUNCTION("""COMPUTED_VALUE"""),"02-Medellin")</f>
        <v>02-Medellin</v>
      </c>
      <c r="C91" s="51" t="str">
        <f>IFERROR(__xludf.DUMMYFUNCTION("""COMPUTED_VALUE"""),"NNZ264")</f>
        <v>NNZ264</v>
      </c>
      <c r="D91" s="51" t="str">
        <f>IFERROR(__xludf.DUMMYFUNCTION("""COMPUTED_VALUE"""),"FURGON FOTON 1065 E VI")</f>
        <v>FURGON FOTON 1065 E VI</v>
      </c>
      <c r="E91" s="53">
        <f>IFERROR(__xludf.DUMMYFUNCTION("""COMPUTED_VALUE"""),46566.0)</f>
        <v>46566</v>
      </c>
      <c r="F91" s="53">
        <f>IFERROR(__xludf.DUMMYFUNCTION("""COMPUTED_VALUE"""),46569.0)</f>
        <v>46569</v>
      </c>
      <c r="G91" s="51"/>
      <c r="H91" s="54"/>
      <c r="I91" s="55"/>
      <c r="J91" s="63"/>
    </row>
    <row r="92">
      <c r="A92" s="51">
        <f>IFERROR(__xludf.DUMMYFUNCTION("""COMPUTED_VALUE"""),2850.0)</f>
        <v>2850</v>
      </c>
      <c r="B92" s="52" t="str">
        <f>IFERROR(__xludf.DUMMYFUNCTION("""COMPUTED_VALUE"""),"MAYORCA")</f>
        <v>MAYORCA</v>
      </c>
      <c r="C92" s="51" t="str">
        <f>IFERROR(__xludf.DUMMYFUNCTION("""COMPUTED_VALUE"""),"NNZ262")</f>
        <v>NNZ262</v>
      </c>
      <c r="D92" s="51" t="str">
        <f>IFERROR(__xludf.DUMMYFUNCTION("""COMPUTED_VALUE"""),"FURGON FOTON 1065 E VI")</f>
        <v>FURGON FOTON 1065 E VI</v>
      </c>
      <c r="E92" s="53">
        <f>IFERROR(__xludf.DUMMYFUNCTION("""COMPUTED_VALUE"""),46566.0)</f>
        <v>46566</v>
      </c>
      <c r="F92" s="53">
        <f>IFERROR(__xludf.DUMMYFUNCTION("""COMPUTED_VALUE"""),46570.0)</f>
        <v>46570</v>
      </c>
      <c r="G92" s="51"/>
      <c r="H92" s="54"/>
      <c r="I92" s="55"/>
      <c r="J92" s="63"/>
    </row>
    <row r="93">
      <c r="A93" s="51">
        <f>IFERROR(__xludf.DUMMYFUNCTION("""COMPUTED_VALUE"""),2849.0)</f>
        <v>2849</v>
      </c>
      <c r="B93" s="52" t="str">
        <f>IFERROR(__xludf.DUMMYFUNCTION("""COMPUTED_VALUE"""),"24-Rionegro")</f>
        <v>24-Rionegro</v>
      </c>
      <c r="C93" s="51" t="str">
        <f>IFERROR(__xludf.DUMMYFUNCTION("""COMPUTED_VALUE"""),"NNZ261")</f>
        <v>NNZ261</v>
      </c>
      <c r="D93" s="51" t="str">
        <f>IFERROR(__xludf.DUMMYFUNCTION("""COMPUTED_VALUE"""),"FURGON FOTON 1065 E VI")</f>
        <v>FURGON FOTON 1065 E VI</v>
      </c>
      <c r="E93" s="53">
        <f>IFERROR(__xludf.DUMMYFUNCTION("""COMPUTED_VALUE"""),46566.0)</f>
        <v>46566</v>
      </c>
      <c r="F93" s="53">
        <f>IFERROR(__xludf.DUMMYFUNCTION("""COMPUTED_VALUE"""),46570.0)</f>
        <v>46570</v>
      </c>
      <c r="G93" s="51"/>
      <c r="H93" s="54"/>
      <c r="I93" s="55"/>
      <c r="J93" s="56"/>
    </row>
    <row r="94">
      <c r="A94" s="51">
        <f>IFERROR(__xludf.DUMMYFUNCTION("""COMPUTED_VALUE"""),2848.0)</f>
        <v>2848</v>
      </c>
      <c r="B94" s="52" t="str">
        <f>IFERROR(__xludf.DUMMYFUNCTION("""COMPUTED_VALUE"""),"02-Medellin")</f>
        <v>02-Medellin</v>
      </c>
      <c r="C94" s="51" t="str">
        <f>IFERROR(__xludf.DUMMYFUNCTION("""COMPUTED_VALUE"""),"NNZ259")</f>
        <v>NNZ259</v>
      </c>
      <c r="D94" s="51" t="str">
        <f>IFERROR(__xludf.DUMMYFUNCTION("""COMPUTED_VALUE"""),"FURGON FOTON 1065 E VI")</f>
        <v>FURGON FOTON 1065 E VI</v>
      </c>
      <c r="E94" s="53">
        <f>IFERROR(__xludf.DUMMYFUNCTION("""COMPUTED_VALUE"""),46559.0)</f>
        <v>46559</v>
      </c>
      <c r="F94" s="53">
        <f>IFERROR(__xludf.DUMMYFUNCTION("""COMPUTED_VALUE"""),46561.0)</f>
        <v>46561</v>
      </c>
      <c r="G94" s="51"/>
      <c r="H94" s="54"/>
      <c r="I94" s="55"/>
      <c r="J94" s="56"/>
    </row>
    <row r="95">
      <c r="A95" s="51">
        <f>IFERROR(__xludf.DUMMYFUNCTION("""COMPUTED_VALUE"""),2847.0)</f>
        <v>2847</v>
      </c>
      <c r="B95" s="52" t="str">
        <f>IFERROR(__xludf.DUMMYFUNCTION("""COMPUTED_VALUE"""),"31-Copacabana")</f>
        <v>31-Copacabana</v>
      </c>
      <c r="C95" s="51" t="str">
        <f>IFERROR(__xludf.DUMMYFUNCTION("""COMPUTED_VALUE"""),"NNZ258")</f>
        <v>NNZ258</v>
      </c>
      <c r="D95" s="51" t="str">
        <f>IFERROR(__xludf.DUMMYFUNCTION("""COMPUTED_VALUE"""),"FURGON FOTON 1065 E VI")</f>
        <v>FURGON FOTON 1065 E VI</v>
      </c>
      <c r="E95" s="53">
        <f>IFERROR(__xludf.DUMMYFUNCTION("""COMPUTED_VALUE"""),46559.0)</f>
        <v>46559</v>
      </c>
      <c r="F95" s="53">
        <f>IFERROR(__xludf.DUMMYFUNCTION("""COMPUTED_VALUE"""),46559.0)</f>
        <v>46559</v>
      </c>
      <c r="G95" s="51"/>
      <c r="H95" s="54"/>
      <c r="I95" s="55"/>
      <c r="J95" s="56"/>
    </row>
    <row r="96">
      <c r="A96" s="51">
        <f>IFERROR(__xludf.DUMMYFUNCTION("""COMPUTED_VALUE"""),2846.0)</f>
        <v>2846</v>
      </c>
      <c r="B96" s="52" t="str">
        <f>IFERROR(__xludf.DUMMYFUNCTION("""COMPUTED_VALUE"""),"38-La ceja")</f>
        <v>38-La ceja</v>
      </c>
      <c r="C96" s="51" t="str">
        <f>IFERROR(__xludf.DUMMYFUNCTION("""COMPUTED_VALUE"""),"NNZ257")</f>
        <v>NNZ257</v>
      </c>
      <c r="D96" s="51" t="str">
        <f>IFERROR(__xludf.DUMMYFUNCTION("""COMPUTED_VALUE"""),"FURGON FOTON 1065 E VI")</f>
        <v>FURGON FOTON 1065 E VI</v>
      </c>
      <c r="E96" s="53">
        <f>IFERROR(__xludf.DUMMYFUNCTION("""COMPUTED_VALUE"""),46559.0)</f>
        <v>46559</v>
      </c>
      <c r="F96" s="53">
        <f>IFERROR(__xludf.DUMMYFUNCTION("""COMPUTED_VALUE"""),46561.0)</f>
        <v>46561</v>
      </c>
      <c r="G96" s="51"/>
      <c r="H96" s="54"/>
      <c r="I96" s="55"/>
      <c r="J96" s="56"/>
    </row>
    <row r="97">
      <c r="A97" s="51">
        <f>IFERROR(__xludf.DUMMYFUNCTION("""COMPUTED_VALUE"""),2845.0)</f>
        <v>2845</v>
      </c>
      <c r="B97" s="52" t="str">
        <f>IFERROR(__xludf.DUMMYFUNCTION("""COMPUTED_VALUE"""),"02-Medellin")</f>
        <v>02-Medellin</v>
      </c>
      <c r="C97" s="51" t="str">
        <f>IFERROR(__xludf.DUMMYFUNCTION("""COMPUTED_VALUE"""),"NNZ256")</f>
        <v>NNZ256</v>
      </c>
      <c r="D97" s="51" t="str">
        <f>IFERROR(__xludf.DUMMYFUNCTION("""COMPUTED_VALUE"""),"FURGON FOTON 1065 E VI")</f>
        <v>FURGON FOTON 1065 E VI</v>
      </c>
      <c r="E97" s="53">
        <f>IFERROR(__xludf.DUMMYFUNCTION("""COMPUTED_VALUE"""),46559.0)</f>
        <v>46559</v>
      </c>
      <c r="F97" s="53">
        <f>IFERROR(__xludf.DUMMYFUNCTION("""COMPUTED_VALUE"""),46561.0)</f>
        <v>46561</v>
      </c>
      <c r="G97" s="51"/>
      <c r="H97" s="54"/>
      <c r="I97" s="55"/>
      <c r="J97" s="56"/>
    </row>
    <row r="98">
      <c r="A98" s="51">
        <f>IFERROR(__xludf.DUMMYFUNCTION("""COMPUTED_VALUE"""),2844.0)</f>
        <v>2844</v>
      </c>
      <c r="B98" s="52" t="str">
        <f>IFERROR(__xludf.DUMMYFUNCTION("""COMPUTED_VALUE"""),"02-Medellin")</f>
        <v>02-Medellin</v>
      </c>
      <c r="C98" s="51" t="str">
        <f>IFERROR(__xludf.DUMMYFUNCTION("""COMPUTED_VALUE"""),"NNZ254")</f>
        <v>NNZ254</v>
      </c>
      <c r="D98" s="51" t="str">
        <f>IFERROR(__xludf.DUMMYFUNCTION("""COMPUTED_VALUE"""),"FURGON FOTON 1065 E VI")</f>
        <v>FURGON FOTON 1065 E VI</v>
      </c>
      <c r="E98" s="53">
        <f>IFERROR(__xludf.DUMMYFUNCTION("""COMPUTED_VALUE"""),46559.0)</f>
        <v>46559</v>
      </c>
      <c r="F98" s="53">
        <f>IFERROR(__xludf.DUMMYFUNCTION("""COMPUTED_VALUE"""),46562.0)</f>
        <v>46562</v>
      </c>
      <c r="G98" s="51"/>
      <c r="H98" s="54"/>
      <c r="I98" s="55"/>
      <c r="J98" s="56"/>
    </row>
    <row r="99">
      <c r="A99" s="51">
        <f>IFERROR(__xludf.DUMMYFUNCTION("""COMPUTED_VALUE"""),2843.0)</f>
        <v>2843</v>
      </c>
      <c r="B99" s="52" t="str">
        <f>IFERROR(__xludf.DUMMYFUNCTION("""COMPUTED_VALUE"""),"31-Copacabana")</f>
        <v>31-Copacabana</v>
      </c>
      <c r="C99" s="51" t="str">
        <f>IFERROR(__xludf.DUMMYFUNCTION("""COMPUTED_VALUE"""),"NNZ253")</f>
        <v>NNZ253</v>
      </c>
      <c r="D99" s="51" t="str">
        <f>IFERROR(__xludf.DUMMYFUNCTION("""COMPUTED_VALUE"""),"FURGON FOTON 1065 E VI")</f>
        <v>FURGON FOTON 1065 E VI</v>
      </c>
      <c r="E99" s="53">
        <f>IFERROR(__xludf.DUMMYFUNCTION("""COMPUTED_VALUE"""),46559.0)</f>
        <v>46559</v>
      </c>
      <c r="F99" s="53">
        <f>IFERROR(__xludf.DUMMYFUNCTION("""COMPUTED_VALUE"""),46562.0)</f>
        <v>46562</v>
      </c>
      <c r="G99" s="51"/>
      <c r="H99" s="54"/>
      <c r="I99" s="55"/>
      <c r="J99" s="56"/>
    </row>
    <row r="100">
      <c r="A100" s="51">
        <f>IFERROR(__xludf.DUMMYFUNCTION("""COMPUTED_VALUE"""),2842.0)</f>
        <v>2842</v>
      </c>
      <c r="B100" s="52" t="str">
        <f>IFERROR(__xludf.DUMMYFUNCTION("""COMPUTED_VALUE"""),"24-Rionegro")</f>
        <v>24-Rionegro</v>
      </c>
      <c r="C100" s="51" t="str">
        <f>IFERROR(__xludf.DUMMYFUNCTION("""COMPUTED_VALUE"""),"NNZ251")</f>
        <v>NNZ251</v>
      </c>
      <c r="D100" s="51" t="str">
        <f>IFERROR(__xludf.DUMMYFUNCTION("""COMPUTED_VALUE"""),"FURGON FOTON 1065 E VI")</f>
        <v>FURGON FOTON 1065 E VI</v>
      </c>
      <c r="E100" s="53">
        <f>IFERROR(__xludf.DUMMYFUNCTION("""COMPUTED_VALUE"""),46559.0)</f>
        <v>46559</v>
      </c>
      <c r="F100" s="53">
        <f>IFERROR(__xludf.DUMMYFUNCTION("""COMPUTED_VALUE"""),46562.0)</f>
        <v>46562</v>
      </c>
      <c r="G100" s="51"/>
      <c r="H100" s="54"/>
      <c r="I100" s="55"/>
      <c r="J100" s="56"/>
    </row>
    <row r="101">
      <c r="A101" s="51">
        <f>IFERROR(__xludf.DUMMYFUNCTION("""COMPUTED_VALUE"""),2683.0)</f>
        <v>2683</v>
      </c>
      <c r="B101" s="52" t="str">
        <f>IFERROR(__xludf.DUMMYFUNCTION("""COMPUTED_VALUE"""),"02-Medellin")</f>
        <v>02-Medellin</v>
      </c>
      <c r="C101" s="51" t="str">
        <f>IFERROR(__xludf.DUMMYFUNCTION("""COMPUTED_VALUE"""),"KMZ310")</f>
        <v>KMZ310</v>
      </c>
      <c r="D101" s="51" t="str">
        <f>IFERROR(__xludf.DUMMYFUNCTION("""COMPUTED_VALUE"""),"FURGON FOTON 1065")</f>
        <v>FURGON FOTON 1065</v>
      </c>
      <c r="E101" s="53">
        <f>IFERROR(__xludf.DUMMYFUNCTION("""COMPUTED_VALUE"""),46512.0)</f>
        <v>46512</v>
      </c>
      <c r="F101" s="53">
        <f>IFERROR(__xludf.DUMMYFUNCTION("""COMPUTED_VALUE"""),46512.0)</f>
        <v>46512</v>
      </c>
      <c r="G101" s="51"/>
      <c r="H101" s="54"/>
      <c r="I101" s="55"/>
      <c r="J101" s="56"/>
    </row>
    <row r="102">
      <c r="A102" s="51">
        <f>IFERROR(__xludf.DUMMYFUNCTION("""COMPUTED_VALUE"""),2682.0)</f>
        <v>2682</v>
      </c>
      <c r="B102" s="52" t="str">
        <f>IFERROR(__xludf.DUMMYFUNCTION("""COMPUTED_VALUE"""),"24-Rionegro")</f>
        <v>24-Rionegro</v>
      </c>
      <c r="C102" s="51" t="str">
        <f>IFERROR(__xludf.DUMMYFUNCTION("""COMPUTED_VALUE"""),"KMZ309")</f>
        <v>KMZ309</v>
      </c>
      <c r="D102" s="51" t="str">
        <f>IFERROR(__xludf.DUMMYFUNCTION("""COMPUTED_VALUE"""),"FURGON FOTON 1065")</f>
        <v>FURGON FOTON 1065</v>
      </c>
      <c r="E102" s="53">
        <f>IFERROR(__xludf.DUMMYFUNCTION("""COMPUTED_VALUE"""),46512.0)</f>
        <v>46512</v>
      </c>
      <c r="F102" s="53">
        <f>IFERROR(__xludf.DUMMYFUNCTION("""COMPUTED_VALUE"""),46506.0)</f>
        <v>46506</v>
      </c>
      <c r="G102" s="51"/>
      <c r="H102" s="54"/>
      <c r="I102" s="55"/>
      <c r="J102" s="56"/>
    </row>
    <row r="103">
      <c r="A103" s="64">
        <f>IFERROR(__xludf.DUMMYFUNCTION("""COMPUTED_VALUE"""),2681.0)</f>
        <v>2681</v>
      </c>
      <c r="B103" s="52" t="str">
        <f>IFERROR(__xludf.DUMMYFUNCTION("""COMPUTED_VALUE"""),"27-Apartado")</f>
        <v>27-Apartado</v>
      </c>
      <c r="C103" s="51" t="str">
        <f>IFERROR(__xludf.DUMMYFUNCTION("""COMPUTED_VALUE"""),"KMZ308")</f>
        <v>KMZ308</v>
      </c>
      <c r="D103" s="51" t="str">
        <f>IFERROR(__xludf.DUMMYFUNCTION("""COMPUTED_VALUE"""),"FURGON FOTON 1065")</f>
        <v>FURGON FOTON 1065</v>
      </c>
      <c r="E103" s="53">
        <f>IFERROR(__xludf.DUMMYFUNCTION("""COMPUTED_VALUE"""),46512.0)</f>
        <v>46512</v>
      </c>
      <c r="F103" s="53">
        <f>IFERROR(__xludf.DUMMYFUNCTION("""COMPUTED_VALUE"""),46514.0)</f>
        <v>46514</v>
      </c>
      <c r="G103" s="51"/>
      <c r="H103" s="54"/>
      <c r="I103" s="55"/>
      <c r="J103" s="56"/>
    </row>
    <row r="104">
      <c r="A104" s="51">
        <f>IFERROR(__xludf.DUMMYFUNCTION("""COMPUTED_VALUE"""),2680.0)</f>
        <v>2680</v>
      </c>
      <c r="B104" s="52" t="str">
        <f>IFERROR(__xludf.DUMMYFUNCTION("""COMPUTED_VALUE"""),"BULTOS")</f>
        <v>BULTOS</v>
      </c>
      <c r="C104" s="51" t="str">
        <f>IFERROR(__xludf.DUMMYFUNCTION("""COMPUTED_VALUE"""),"KMZ307")</f>
        <v>KMZ307</v>
      </c>
      <c r="D104" s="51" t="str">
        <f>IFERROR(__xludf.DUMMYFUNCTION("""COMPUTED_VALUE"""),"FURGON FOTON 1065")</f>
        <v>FURGON FOTON 1065</v>
      </c>
      <c r="E104" s="53">
        <f>IFERROR(__xludf.DUMMYFUNCTION("""COMPUTED_VALUE"""),46512.0)</f>
        <v>46512</v>
      </c>
      <c r="F104" s="53">
        <f>IFERROR(__xludf.DUMMYFUNCTION("""COMPUTED_VALUE"""),46501.0)</f>
        <v>46501</v>
      </c>
      <c r="G104" s="51"/>
      <c r="H104" s="54"/>
      <c r="I104" s="55"/>
      <c r="J104" s="56"/>
    </row>
    <row r="105">
      <c r="A105" s="51">
        <f>IFERROR(__xludf.DUMMYFUNCTION("""COMPUTED_VALUE"""),2679.0)</f>
        <v>2679</v>
      </c>
      <c r="B105" s="52" t="str">
        <f>IFERROR(__xludf.DUMMYFUNCTION("""COMPUTED_VALUE"""),"02-Medellin")</f>
        <v>02-Medellin</v>
      </c>
      <c r="C105" s="51" t="str">
        <f>IFERROR(__xludf.DUMMYFUNCTION("""COMPUTED_VALUE"""),"KMZ306")</f>
        <v>KMZ306</v>
      </c>
      <c r="D105" s="51" t="str">
        <f>IFERROR(__xludf.DUMMYFUNCTION("""COMPUTED_VALUE"""),"FURGON FOTON 1065")</f>
        <v>FURGON FOTON 1065</v>
      </c>
      <c r="E105" s="53">
        <f>IFERROR(__xludf.DUMMYFUNCTION("""COMPUTED_VALUE"""),46512.0)</f>
        <v>46512</v>
      </c>
      <c r="F105" s="53">
        <f>IFERROR(__xludf.DUMMYFUNCTION("""COMPUTED_VALUE"""),46499.0)</f>
        <v>46499</v>
      </c>
      <c r="G105" s="51"/>
      <c r="H105" s="54"/>
      <c r="I105" s="55"/>
      <c r="J105" s="56"/>
    </row>
    <row r="106">
      <c r="A106" s="65">
        <f>IFERROR(__xludf.DUMMYFUNCTION("""COMPUTED_VALUE"""),2678.0)</f>
        <v>2678</v>
      </c>
      <c r="B106" s="65" t="str">
        <f>IFERROR(__xludf.DUMMYFUNCTION("""COMPUTED_VALUE"""),"MAYORCA")</f>
        <v>MAYORCA</v>
      </c>
      <c r="C106" s="65" t="str">
        <f>IFERROR(__xludf.DUMMYFUNCTION("""COMPUTED_VALUE"""),"KMZ305")</f>
        <v>KMZ305</v>
      </c>
      <c r="D106" s="65" t="str">
        <f>IFERROR(__xludf.DUMMYFUNCTION("""COMPUTED_VALUE"""),"FURGON FOTON 1065")</f>
        <v>FURGON FOTON 1065</v>
      </c>
      <c r="E106" s="66">
        <f>IFERROR(__xludf.DUMMYFUNCTION("""COMPUTED_VALUE"""),46512.0)</f>
        <v>46512</v>
      </c>
      <c r="F106" s="66">
        <f>IFERROR(__xludf.DUMMYFUNCTION("""COMPUTED_VALUE"""),46500.0)</f>
        <v>46500</v>
      </c>
      <c r="G106" s="65"/>
      <c r="H106" s="67"/>
      <c r="I106" s="55"/>
      <c r="J106" s="56"/>
    </row>
    <row r="107">
      <c r="A107" s="51">
        <f>IFERROR(__xludf.DUMMYFUNCTION("""COMPUTED_VALUE"""),2677.0)</f>
        <v>2677</v>
      </c>
      <c r="B107" s="52" t="str">
        <f>IFERROR(__xludf.DUMMYFUNCTION("""COMPUTED_VALUE"""),"02-Medellin")</f>
        <v>02-Medellin</v>
      </c>
      <c r="C107" s="51" t="str">
        <f>IFERROR(__xludf.DUMMYFUNCTION("""COMPUTED_VALUE"""),"KMZ304")</f>
        <v>KMZ304</v>
      </c>
      <c r="D107" s="51" t="str">
        <f>IFERROR(__xludf.DUMMYFUNCTION("""COMPUTED_VALUE"""),"FURGON FOTON 1065")</f>
        <v>FURGON FOTON 1065</v>
      </c>
      <c r="E107" s="53">
        <f>IFERROR(__xludf.DUMMYFUNCTION("""COMPUTED_VALUE"""),46512.0)</f>
        <v>46512</v>
      </c>
      <c r="F107" s="53">
        <f>IFERROR(__xludf.DUMMYFUNCTION("""COMPUTED_VALUE"""),46497.0)</f>
        <v>46497</v>
      </c>
      <c r="G107" s="51"/>
      <c r="H107" s="54"/>
      <c r="I107" s="55"/>
      <c r="J107" s="56"/>
    </row>
    <row r="108">
      <c r="A108" s="51">
        <f>IFERROR(__xludf.DUMMYFUNCTION("""COMPUTED_VALUE"""),2676.0)</f>
        <v>2676</v>
      </c>
      <c r="B108" s="52" t="str">
        <f>IFERROR(__xludf.DUMMYFUNCTION("""COMPUTED_VALUE"""),"02-Medellin")</f>
        <v>02-Medellin</v>
      </c>
      <c r="C108" s="51" t="str">
        <f>IFERROR(__xludf.DUMMYFUNCTION("""COMPUTED_VALUE"""),"KMZ303")</f>
        <v>KMZ303</v>
      </c>
      <c r="D108" s="51" t="str">
        <f>IFERROR(__xludf.DUMMYFUNCTION("""COMPUTED_VALUE"""),"FURGON FOTON 1065")</f>
        <v>FURGON FOTON 1065</v>
      </c>
      <c r="E108" s="53">
        <f>IFERROR(__xludf.DUMMYFUNCTION("""COMPUTED_VALUE"""),46512.0)</f>
        <v>46512</v>
      </c>
      <c r="F108" s="53">
        <f>IFERROR(__xludf.DUMMYFUNCTION("""COMPUTED_VALUE"""),46502.0)</f>
        <v>46502</v>
      </c>
      <c r="G108" s="51"/>
      <c r="H108" s="54"/>
      <c r="I108" s="55"/>
      <c r="J108" s="56"/>
    </row>
    <row r="109">
      <c r="A109" s="51">
        <f>IFERROR(__xludf.DUMMYFUNCTION("""COMPUTED_VALUE"""),2675.0)</f>
        <v>2675</v>
      </c>
      <c r="B109" s="52" t="str">
        <f>IFERROR(__xludf.DUMMYFUNCTION("""COMPUTED_VALUE"""),"02-Medellin")</f>
        <v>02-Medellin</v>
      </c>
      <c r="C109" s="51" t="str">
        <f>IFERROR(__xludf.DUMMYFUNCTION("""COMPUTED_VALUE"""),"KMZ302")</f>
        <v>KMZ302</v>
      </c>
      <c r="D109" s="51" t="str">
        <f>IFERROR(__xludf.DUMMYFUNCTION("""COMPUTED_VALUE"""),"FURGON FOTON 1065")</f>
        <v>FURGON FOTON 1065</v>
      </c>
      <c r="E109" s="53">
        <f>IFERROR(__xludf.DUMMYFUNCTION("""COMPUTED_VALUE"""),46512.0)</f>
        <v>46512</v>
      </c>
      <c r="F109" s="53">
        <f>IFERROR(__xludf.DUMMYFUNCTION("""COMPUTED_VALUE"""),46494.0)</f>
        <v>46494</v>
      </c>
      <c r="G109" s="51"/>
      <c r="H109" s="54"/>
      <c r="I109" s="55"/>
      <c r="J109" s="56"/>
    </row>
    <row r="110">
      <c r="A110" s="51">
        <f>IFERROR(__xludf.DUMMYFUNCTION("""COMPUTED_VALUE"""),2674.0)</f>
        <v>2674</v>
      </c>
      <c r="B110" s="52" t="str">
        <f>IFERROR(__xludf.DUMMYFUNCTION("""COMPUTED_VALUE"""),"27-Apartado")</f>
        <v>27-Apartado</v>
      </c>
      <c r="C110" s="51" t="str">
        <f>IFERROR(__xludf.DUMMYFUNCTION("""COMPUTED_VALUE"""),"KMZ301")</f>
        <v>KMZ301</v>
      </c>
      <c r="D110" s="51" t="str">
        <f>IFERROR(__xludf.DUMMYFUNCTION("""COMPUTED_VALUE"""),"FURGON FOTON 1065")</f>
        <v>FURGON FOTON 1065</v>
      </c>
      <c r="E110" s="53">
        <f>IFERROR(__xludf.DUMMYFUNCTION("""COMPUTED_VALUE"""),46512.0)</f>
        <v>46512</v>
      </c>
      <c r="F110" s="53">
        <f>IFERROR(__xludf.DUMMYFUNCTION("""COMPUTED_VALUE"""),46507.0)</f>
        <v>46507</v>
      </c>
      <c r="G110" s="51"/>
      <c r="H110" s="54"/>
      <c r="I110" s="55"/>
      <c r="J110" s="56"/>
    </row>
    <row r="111">
      <c r="A111" s="51">
        <f>IFERROR(__xludf.DUMMYFUNCTION("""COMPUTED_VALUE"""),2673.0)</f>
        <v>2673</v>
      </c>
      <c r="B111" s="52" t="str">
        <f>IFERROR(__xludf.DUMMYFUNCTION("""COMPUTED_VALUE"""),"02-Medellin")</f>
        <v>02-Medellin</v>
      </c>
      <c r="C111" s="51" t="str">
        <f>IFERROR(__xludf.DUMMYFUNCTION("""COMPUTED_VALUE"""),"KMZ300")</f>
        <v>KMZ300</v>
      </c>
      <c r="D111" s="51" t="str">
        <f>IFERROR(__xludf.DUMMYFUNCTION("""COMPUTED_VALUE"""),"FURGON FOTON 1065")</f>
        <v>FURGON FOTON 1065</v>
      </c>
      <c r="E111" s="53">
        <f>IFERROR(__xludf.DUMMYFUNCTION("""COMPUTED_VALUE"""),46512.0)</f>
        <v>46512</v>
      </c>
      <c r="F111" s="53">
        <f>IFERROR(__xludf.DUMMYFUNCTION("""COMPUTED_VALUE"""),46516.0)</f>
        <v>46516</v>
      </c>
      <c r="G111" s="51"/>
      <c r="H111" s="54"/>
      <c r="I111" s="55"/>
      <c r="J111" s="56"/>
    </row>
    <row r="112">
      <c r="A112" s="51">
        <f>IFERROR(__xludf.DUMMYFUNCTION("""COMPUTED_VALUE"""),2672.0)</f>
        <v>2672</v>
      </c>
      <c r="B112" s="52" t="str">
        <f>IFERROR(__xludf.DUMMYFUNCTION("""COMPUTED_VALUE"""),"02-Medellin")</f>
        <v>02-Medellin</v>
      </c>
      <c r="C112" s="51" t="str">
        <f>IFERROR(__xludf.DUMMYFUNCTION("""COMPUTED_VALUE"""),"KMZ299")</f>
        <v>KMZ299</v>
      </c>
      <c r="D112" s="51" t="str">
        <f>IFERROR(__xludf.DUMMYFUNCTION("""COMPUTED_VALUE"""),"FURGON FOTON 1065")</f>
        <v>FURGON FOTON 1065</v>
      </c>
      <c r="E112" s="53">
        <f>IFERROR(__xludf.DUMMYFUNCTION("""COMPUTED_VALUE"""),46512.0)</f>
        <v>46512</v>
      </c>
      <c r="F112" s="53">
        <f>IFERROR(__xludf.DUMMYFUNCTION("""COMPUTED_VALUE"""),46511.0)</f>
        <v>46511</v>
      </c>
      <c r="G112" s="51"/>
      <c r="H112" s="54"/>
      <c r="I112" s="55"/>
      <c r="J112" s="56"/>
    </row>
    <row r="113">
      <c r="A113" s="51">
        <f>IFERROR(__xludf.DUMMYFUNCTION("""COMPUTED_VALUE"""),2671.0)</f>
        <v>2671</v>
      </c>
      <c r="B113" s="52" t="str">
        <f>IFERROR(__xludf.DUMMYFUNCTION("""COMPUTED_VALUE"""),"MAYORCA")</f>
        <v>MAYORCA</v>
      </c>
      <c r="C113" s="51" t="str">
        <f>IFERROR(__xludf.DUMMYFUNCTION("""COMPUTED_VALUE"""),"KMZ298")</f>
        <v>KMZ298</v>
      </c>
      <c r="D113" s="51" t="str">
        <f>IFERROR(__xludf.DUMMYFUNCTION("""COMPUTED_VALUE"""),"CAMION FOTON BJ1128")</f>
        <v>CAMION FOTON BJ1128</v>
      </c>
      <c r="E113" s="53">
        <f>IFERROR(__xludf.DUMMYFUNCTION("""COMPUTED_VALUE"""),46512.0)</f>
        <v>46512</v>
      </c>
      <c r="F113" s="53">
        <f>IFERROR(__xludf.DUMMYFUNCTION("""COMPUTED_VALUE"""),46507.0)</f>
        <v>46507</v>
      </c>
      <c r="G113" s="51"/>
      <c r="H113" s="54"/>
      <c r="I113" s="55"/>
      <c r="J113" s="56"/>
    </row>
    <row r="114">
      <c r="A114" s="51">
        <f>IFERROR(__xludf.DUMMYFUNCTION("""COMPUTED_VALUE"""),2669.0)</f>
        <v>2669</v>
      </c>
      <c r="B114" s="52" t="str">
        <f>IFERROR(__xludf.DUMMYFUNCTION("""COMPUTED_VALUE"""),"02-Medellin")</f>
        <v>02-Medellin</v>
      </c>
      <c r="C114" s="51" t="str">
        <f>IFERROR(__xludf.DUMMYFUNCTION("""COMPUTED_VALUE"""),"KMZ296")</f>
        <v>KMZ296</v>
      </c>
      <c r="D114" s="51" t="str">
        <f>IFERROR(__xludf.DUMMYFUNCTION("""COMPUTED_VALUE"""),"CAMION FOTON BJ1128")</f>
        <v>CAMION FOTON BJ1128</v>
      </c>
      <c r="E114" s="53">
        <f>IFERROR(__xludf.DUMMYFUNCTION("""COMPUTED_VALUE"""),46512.0)</f>
        <v>46512</v>
      </c>
      <c r="F114" s="53">
        <f>IFERROR(__xludf.DUMMYFUNCTION("""COMPUTED_VALUE"""),46511.0)</f>
        <v>46511</v>
      </c>
      <c r="G114" s="51"/>
      <c r="H114" s="54"/>
      <c r="I114" s="55"/>
      <c r="J114" s="56"/>
    </row>
    <row r="115">
      <c r="A115" s="51">
        <f>IFERROR(__xludf.DUMMYFUNCTION("""COMPUTED_VALUE"""),2666.0)</f>
        <v>2666</v>
      </c>
      <c r="B115" s="52" t="str">
        <f>IFERROR(__xludf.DUMMYFUNCTION("""COMPUTED_VALUE"""),"02-Medellin")</f>
        <v>02-Medellin</v>
      </c>
      <c r="C115" s="51" t="str">
        <f>IFERROR(__xludf.DUMMYFUNCTION("""COMPUTED_VALUE"""),"KMZ293")</f>
        <v>KMZ293</v>
      </c>
      <c r="D115" s="51" t="str">
        <f>IFERROR(__xludf.DUMMYFUNCTION("""COMPUTED_VALUE"""),"CAMION FOTON BJ1128")</f>
        <v>CAMION FOTON BJ1128</v>
      </c>
      <c r="E115" s="53">
        <f>IFERROR(__xludf.DUMMYFUNCTION("""COMPUTED_VALUE"""),46512.0)</f>
        <v>46512</v>
      </c>
      <c r="F115" s="53">
        <f>IFERROR(__xludf.DUMMYFUNCTION("""COMPUTED_VALUE"""),46492.0)</f>
        <v>46492</v>
      </c>
      <c r="G115" s="51"/>
      <c r="H115" s="54"/>
      <c r="I115" s="55"/>
      <c r="J115" s="56"/>
    </row>
    <row r="116">
      <c r="A116" s="51">
        <f>IFERROR(__xludf.DUMMYFUNCTION("""COMPUTED_VALUE"""),2663.0)</f>
        <v>2663</v>
      </c>
      <c r="B116" s="52" t="str">
        <f>IFERROR(__xludf.DUMMYFUNCTION("""COMPUTED_VALUE"""),"24-Rionegro")</f>
        <v>24-Rionegro</v>
      </c>
      <c r="C116" s="51" t="str">
        <f>IFERROR(__xludf.DUMMYFUNCTION("""COMPUTED_VALUE"""),"KMZ290")</f>
        <v>KMZ290</v>
      </c>
      <c r="D116" s="51" t="str">
        <f>IFERROR(__xludf.DUMMYFUNCTION("""COMPUTED_VALUE"""),"CAMION FOTON BJ1128")</f>
        <v>CAMION FOTON BJ1128</v>
      </c>
      <c r="E116" s="53">
        <f>IFERROR(__xludf.DUMMYFUNCTION("""COMPUTED_VALUE"""),46512.0)</f>
        <v>46512</v>
      </c>
      <c r="F116" s="53">
        <f>IFERROR(__xludf.DUMMYFUNCTION("""COMPUTED_VALUE"""),46493.0)</f>
        <v>46493</v>
      </c>
      <c r="G116" s="51"/>
      <c r="H116" s="54"/>
      <c r="I116" s="55"/>
      <c r="J116" s="56"/>
    </row>
    <row r="117">
      <c r="A117" s="51">
        <f>IFERROR(__xludf.DUMMYFUNCTION("""COMPUTED_VALUE"""),2661.0)</f>
        <v>2661</v>
      </c>
      <c r="B117" s="52" t="str">
        <f>IFERROR(__xludf.DUMMYFUNCTION("""COMPUTED_VALUE"""),"02-Medellin")</f>
        <v>02-Medellin</v>
      </c>
      <c r="C117" s="51" t="str">
        <f>IFERROR(__xludf.DUMMYFUNCTION("""COMPUTED_VALUE"""),"KMZ288")</f>
        <v>KMZ288</v>
      </c>
      <c r="D117" s="51" t="str">
        <f>IFERROR(__xludf.DUMMYFUNCTION("""COMPUTED_VALUE"""),"CAMION FOTON BJ1128")</f>
        <v>CAMION FOTON BJ1128</v>
      </c>
      <c r="E117" s="53">
        <f>IFERROR(__xludf.DUMMYFUNCTION("""COMPUTED_VALUE"""),46512.0)</f>
        <v>46512</v>
      </c>
      <c r="F117" s="53">
        <f>IFERROR(__xludf.DUMMYFUNCTION("""COMPUTED_VALUE"""),46489.0)</f>
        <v>46489</v>
      </c>
      <c r="G117" s="51"/>
      <c r="H117" s="54"/>
      <c r="I117" s="55"/>
      <c r="J117" s="56"/>
    </row>
    <row r="118">
      <c r="A118" s="51">
        <f>IFERROR(__xludf.DUMMYFUNCTION("""COMPUTED_VALUE"""),2660.0)</f>
        <v>2660</v>
      </c>
      <c r="B118" s="52" t="str">
        <f>IFERROR(__xludf.DUMMYFUNCTION("""COMPUTED_VALUE"""),"24-Rionegro")</f>
        <v>24-Rionegro</v>
      </c>
      <c r="C118" s="51" t="str">
        <f>IFERROR(__xludf.DUMMYFUNCTION("""COMPUTED_VALUE"""),"KMZ287")</f>
        <v>KMZ287</v>
      </c>
      <c r="D118" s="51" t="str">
        <f>IFERROR(__xludf.DUMMYFUNCTION("""COMPUTED_VALUE"""),"CAMION FOTON BJ1128")</f>
        <v>CAMION FOTON BJ1128</v>
      </c>
      <c r="E118" s="53">
        <f>IFERROR(__xludf.DUMMYFUNCTION("""COMPUTED_VALUE"""),46512.0)</f>
        <v>46512</v>
      </c>
      <c r="F118" s="53">
        <f>IFERROR(__xludf.DUMMYFUNCTION("""COMPUTED_VALUE"""),46491.0)</f>
        <v>46491</v>
      </c>
      <c r="G118" s="51"/>
      <c r="H118" s="54"/>
      <c r="I118" s="55"/>
      <c r="J118" s="56"/>
    </row>
    <row r="119">
      <c r="A119" s="51">
        <f>IFERROR(__xludf.DUMMYFUNCTION("""COMPUTED_VALUE"""),2659.0)</f>
        <v>2659</v>
      </c>
      <c r="B119" s="52" t="str">
        <f>IFERROR(__xludf.DUMMYFUNCTION("""COMPUTED_VALUE"""),"02-Medellin")</f>
        <v>02-Medellin</v>
      </c>
      <c r="C119" s="51" t="str">
        <f>IFERROR(__xludf.DUMMYFUNCTION("""COMPUTED_VALUE"""),"KMZ286")</f>
        <v>KMZ286</v>
      </c>
      <c r="D119" s="51" t="str">
        <f>IFERROR(__xludf.DUMMYFUNCTION("""COMPUTED_VALUE"""),"CAMION FOTON BJ1128")</f>
        <v>CAMION FOTON BJ1128</v>
      </c>
      <c r="E119" s="53">
        <f>IFERROR(__xludf.DUMMYFUNCTION("""COMPUTED_VALUE"""),46512.0)</f>
        <v>46512</v>
      </c>
      <c r="F119" s="53">
        <f>IFERROR(__xludf.DUMMYFUNCTION("""COMPUTED_VALUE"""),46487.0)</f>
        <v>46487</v>
      </c>
      <c r="G119" s="51"/>
      <c r="H119" s="54"/>
      <c r="I119" s="55"/>
      <c r="J119" s="56"/>
    </row>
    <row r="120">
      <c r="A120" s="51">
        <f>IFERROR(__xludf.DUMMYFUNCTION("""COMPUTED_VALUE"""),2657.0)</f>
        <v>2657</v>
      </c>
      <c r="B120" s="52" t="str">
        <f>IFERROR(__xludf.DUMMYFUNCTION("""COMPUTED_VALUE"""),"MAYORCA")</f>
        <v>MAYORCA</v>
      </c>
      <c r="C120" s="51" t="str">
        <f>IFERROR(__xludf.DUMMYFUNCTION("""COMPUTED_VALUE"""),"KMZ284")</f>
        <v>KMZ284</v>
      </c>
      <c r="D120" s="51" t="str">
        <f>IFERROR(__xludf.DUMMYFUNCTION("""COMPUTED_VALUE"""),"CAMION FOTON BJ1128")</f>
        <v>CAMION FOTON BJ1128</v>
      </c>
      <c r="E120" s="53">
        <f>IFERROR(__xludf.DUMMYFUNCTION("""COMPUTED_VALUE"""),46512.0)</f>
        <v>46512</v>
      </c>
      <c r="F120" s="53">
        <f>IFERROR(__xludf.DUMMYFUNCTION("""COMPUTED_VALUE"""),46486.0)</f>
        <v>46486</v>
      </c>
      <c r="G120" s="51"/>
      <c r="H120" s="54"/>
      <c r="I120" s="55"/>
      <c r="J120" s="56"/>
    </row>
    <row r="121">
      <c r="A121" s="51">
        <f>IFERROR(__xludf.DUMMYFUNCTION("""COMPUTED_VALUE"""),2656.0)</f>
        <v>2656</v>
      </c>
      <c r="B121" s="52" t="str">
        <f>IFERROR(__xludf.DUMMYFUNCTION("""COMPUTED_VALUE"""),"02-Medellin")</f>
        <v>02-Medellin</v>
      </c>
      <c r="C121" s="51" t="str">
        <f>IFERROR(__xludf.DUMMYFUNCTION("""COMPUTED_VALUE"""),"KMZ283")</f>
        <v>KMZ283</v>
      </c>
      <c r="D121" s="51" t="str">
        <f>IFERROR(__xludf.DUMMYFUNCTION("""COMPUTED_VALUE"""),"CAMION FOTON BJ1128")</f>
        <v>CAMION FOTON BJ1128</v>
      </c>
      <c r="E121" s="53">
        <f>IFERROR(__xludf.DUMMYFUNCTION("""COMPUTED_VALUE"""),46512.0)</f>
        <v>46512</v>
      </c>
      <c r="F121" s="53">
        <f>IFERROR(__xludf.DUMMYFUNCTION("""COMPUTED_VALUE"""),46485.0)</f>
        <v>46485</v>
      </c>
      <c r="G121" s="51"/>
      <c r="H121" s="54"/>
      <c r="I121" s="55"/>
      <c r="J121" s="56"/>
    </row>
    <row r="122">
      <c r="A122" s="51">
        <f>IFERROR(__xludf.DUMMYFUNCTION("""COMPUTED_VALUE"""),2643.0)</f>
        <v>2643</v>
      </c>
      <c r="B122" s="52" t="str">
        <f>IFERROR(__xludf.DUMMYFUNCTION("""COMPUTED_VALUE"""),"27-Apartado")</f>
        <v>27-Apartado</v>
      </c>
      <c r="C122" s="51" t="str">
        <f>IFERROR(__xludf.DUMMYFUNCTION("""COMPUTED_VALUE"""),"JPO476")</f>
        <v>JPO476</v>
      </c>
      <c r="D122" s="51" t="str">
        <f>IFERROR(__xludf.DUMMYFUNCTION("""COMPUTED_VALUE"""),"FURGON FOTON 1039 AO")</f>
        <v>FURGON FOTON 1039 AO</v>
      </c>
      <c r="E122" s="53">
        <f>IFERROR(__xludf.DUMMYFUNCTION("""COMPUTED_VALUE"""),46253.0)</f>
        <v>46253</v>
      </c>
      <c r="F122" s="53">
        <f>IFERROR(__xludf.DUMMYFUNCTION("""COMPUTED_VALUE"""),46259.0)</f>
        <v>46259</v>
      </c>
      <c r="G122" s="51"/>
      <c r="H122" s="54"/>
      <c r="I122" s="55"/>
      <c r="J122" s="56"/>
    </row>
    <row r="123">
      <c r="A123" s="51">
        <f>IFERROR(__xludf.DUMMYFUNCTION("""COMPUTED_VALUE"""),2640.0)</f>
        <v>2640</v>
      </c>
      <c r="B123" s="52" t="str">
        <f>IFERROR(__xludf.DUMMYFUNCTION("""COMPUTED_VALUE"""),"27-Apartado")</f>
        <v>27-Apartado</v>
      </c>
      <c r="C123" s="51" t="str">
        <f>IFERROR(__xludf.DUMMYFUNCTION("""COMPUTED_VALUE"""),"JPO473")</f>
        <v>JPO473</v>
      </c>
      <c r="D123" s="51" t="str">
        <f>IFERROR(__xludf.DUMMYFUNCTION("""COMPUTED_VALUE"""),"FURGON FOTON 1039 AO")</f>
        <v>FURGON FOTON 1039 AO</v>
      </c>
      <c r="E123" s="53">
        <f>IFERROR(__xludf.DUMMYFUNCTION("""COMPUTED_VALUE"""),46254.0)</f>
        <v>46254</v>
      </c>
      <c r="F123" s="53">
        <f>IFERROR(__xludf.DUMMYFUNCTION("""COMPUTED_VALUE"""),46254.0)</f>
        <v>46254</v>
      </c>
      <c r="G123" s="51"/>
      <c r="H123" s="54"/>
      <c r="I123" s="55"/>
      <c r="J123" s="56"/>
    </row>
    <row r="124">
      <c r="A124" s="51">
        <f>IFERROR(__xludf.DUMMYFUNCTION("""COMPUTED_VALUE"""),2637.0)</f>
        <v>2637</v>
      </c>
      <c r="B124" s="52" t="str">
        <f>IFERROR(__xludf.DUMMYFUNCTION("""COMPUTED_VALUE"""),"02-Medellin")</f>
        <v>02-Medellin</v>
      </c>
      <c r="C124" s="51" t="str">
        <f>IFERROR(__xludf.DUMMYFUNCTION("""COMPUTED_VALUE"""),"JPO477")</f>
        <v>JPO477</v>
      </c>
      <c r="D124" s="51" t="str">
        <f>IFERROR(__xludf.DUMMYFUNCTION("""COMPUTED_VALUE"""),"FURGON FOTON 1030 AO")</f>
        <v>FURGON FOTON 1030 AO</v>
      </c>
      <c r="E124" s="53">
        <f>IFERROR(__xludf.DUMMYFUNCTION("""COMPUTED_VALUE"""),46253.0)</f>
        <v>46253</v>
      </c>
      <c r="F124" s="53">
        <f>IFERROR(__xludf.DUMMYFUNCTION("""COMPUTED_VALUE"""),46249.0)</f>
        <v>46249</v>
      </c>
      <c r="G124" s="51"/>
      <c r="H124" s="54"/>
      <c r="I124" s="55"/>
      <c r="J124" s="56"/>
    </row>
    <row r="125">
      <c r="A125" s="51">
        <f>IFERROR(__xludf.DUMMYFUNCTION("""COMPUTED_VALUE"""),2635.0)</f>
        <v>2635</v>
      </c>
      <c r="B125" s="52" t="str">
        <f>IFERROR(__xludf.DUMMYFUNCTION("""COMPUTED_VALUE"""),"02-Medellin")</f>
        <v>02-Medellin</v>
      </c>
      <c r="C125" s="51" t="str">
        <f>IFERROR(__xludf.DUMMYFUNCTION("""COMPUTED_VALUE"""),"JPO482")</f>
        <v>JPO482</v>
      </c>
      <c r="D125" s="51" t="str">
        <f>IFERROR(__xludf.DUMMYFUNCTION("""COMPUTED_VALUE"""),"FURGON FOTON 1030 AO")</f>
        <v>FURGON FOTON 1030 AO</v>
      </c>
      <c r="E125" s="53">
        <f>IFERROR(__xludf.DUMMYFUNCTION("""COMPUTED_VALUE"""),46253.0)</f>
        <v>46253</v>
      </c>
      <c r="F125" s="53">
        <f>IFERROR(__xludf.DUMMYFUNCTION("""COMPUTED_VALUE"""),46254.0)</f>
        <v>46254</v>
      </c>
      <c r="G125" s="51"/>
      <c r="H125" s="54"/>
      <c r="I125" s="55"/>
      <c r="J125" s="56"/>
    </row>
    <row r="126">
      <c r="A126" s="68">
        <f>IFERROR(__xludf.DUMMYFUNCTION("""COMPUTED_VALUE"""),2628.0)</f>
        <v>2628</v>
      </c>
      <c r="B126" s="52" t="str">
        <f>IFERROR(__xludf.DUMMYFUNCTION("""COMPUTED_VALUE"""),"38-La ceja")</f>
        <v>38-La ceja</v>
      </c>
      <c r="C126" s="68" t="str">
        <f>IFERROR(__xludf.DUMMYFUNCTION("""COMPUTED_VALUE"""),"GDX043")</f>
        <v>GDX043</v>
      </c>
      <c r="D126" s="68" t="str">
        <f>IFERROR(__xludf.DUMMYFUNCTION("""COMPUTED_VALUE"""),"FURGON JAC JHR")</f>
        <v>FURGON JAC JHR</v>
      </c>
      <c r="E126" s="53">
        <f>IFERROR(__xludf.DUMMYFUNCTION("""COMPUTED_VALUE"""),46274.0)</f>
        <v>46274</v>
      </c>
      <c r="F126" s="53">
        <f>IFERROR(__xludf.DUMMYFUNCTION("""COMPUTED_VALUE"""),46269.0)</f>
        <v>46269</v>
      </c>
      <c r="G126" s="51"/>
      <c r="H126" s="54"/>
      <c r="I126" s="55"/>
      <c r="J126" s="56"/>
    </row>
    <row r="127">
      <c r="A127" s="51">
        <f>IFERROR(__xludf.DUMMYFUNCTION("""COMPUTED_VALUE"""),2623.0)</f>
        <v>2623</v>
      </c>
      <c r="B127" s="52" t="str">
        <f>IFERROR(__xludf.DUMMYFUNCTION("""COMPUTED_VALUE"""),"02-Medellin")</f>
        <v>02-Medellin</v>
      </c>
      <c r="C127" s="51" t="str">
        <f>IFERROR(__xludf.DUMMYFUNCTION("""COMPUTED_VALUE"""),"GDX038")</f>
        <v>GDX038</v>
      </c>
      <c r="D127" s="51" t="str">
        <f>IFERROR(__xludf.DUMMYFUNCTION("""COMPUTED_VALUE"""),"FURGON JAC JHR")</f>
        <v>FURGON JAC JHR</v>
      </c>
      <c r="E127" s="53">
        <f>IFERROR(__xludf.DUMMYFUNCTION("""COMPUTED_VALUE"""),46274.0)</f>
        <v>46274</v>
      </c>
      <c r="F127" s="53">
        <f>IFERROR(__xludf.DUMMYFUNCTION("""COMPUTED_VALUE"""),46268.0)</f>
        <v>46268</v>
      </c>
      <c r="G127" s="51"/>
      <c r="H127" s="54"/>
      <c r="I127" s="55"/>
      <c r="J127" s="56"/>
    </row>
    <row r="128">
      <c r="A128" s="51">
        <f>IFERROR(__xludf.DUMMYFUNCTION("""COMPUTED_VALUE"""),2573.0)</f>
        <v>2573</v>
      </c>
      <c r="B128" s="52" t="str">
        <f>IFERROR(__xludf.DUMMYFUNCTION("""COMPUTED_VALUE"""),"02-Medellin")</f>
        <v>02-Medellin</v>
      </c>
      <c r="C128" s="51" t="str">
        <f>IFERROR(__xludf.DUMMYFUNCTION("""COMPUTED_VALUE"""),"GDW886")</f>
        <v>GDW886</v>
      </c>
      <c r="D128" s="51" t="str">
        <f>IFERROR(__xludf.DUMMYFUNCTION("""COMPUTED_VALUE"""),"CAMION FOTON 1129")</f>
        <v>CAMION FOTON 1129</v>
      </c>
      <c r="E128" s="53">
        <f>IFERROR(__xludf.DUMMYFUNCTION("""COMPUTED_VALUE"""),46247.0)</f>
        <v>46247</v>
      </c>
      <c r="F128" s="53">
        <f>IFERROR(__xludf.DUMMYFUNCTION("""COMPUTED_VALUE"""),46239.0)</f>
        <v>46239</v>
      </c>
      <c r="G128" s="51"/>
      <c r="H128" s="54"/>
      <c r="I128" s="55"/>
      <c r="J128" s="56"/>
    </row>
    <row r="129">
      <c r="A129" s="51">
        <f>IFERROR(__xludf.DUMMYFUNCTION("""COMPUTED_VALUE"""),2572.0)</f>
        <v>2572</v>
      </c>
      <c r="B129" s="52" t="str">
        <f>IFERROR(__xludf.DUMMYFUNCTION("""COMPUTED_VALUE"""),"31-Copacabana")</f>
        <v>31-Copacabana</v>
      </c>
      <c r="C129" s="51" t="str">
        <f>IFERROR(__xludf.DUMMYFUNCTION("""COMPUTED_VALUE"""),"GDW885")</f>
        <v>GDW885</v>
      </c>
      <c r="D129" s="51" t="str">
        <f>IFERROR(__xludf.DUMMYFUNCTION("""COMPUTED_VALUE"""),"CAMION FOTON 1129")</f>
        <v>CAMION FOTON 1129</v>
      </c>
      <c r="E129" s="53">
        <f>IFERROR(__xludf.DUMMYFUNCTION("""COMPUTED_VALUE"""),46247.0)</f>
        <v>46247</v>
      </c>
      <c r="F129" s="53">
        <f>IFERROR(__xludf.DUMMYFUNCTION("""COMPUTED_VALUE"""),46245.0)</f>
        <v>46245</v>
      </c>
      <c r="G129" s="51"/>
      <c r="H129" s="54"/>
      <c r="I129" s="55"/>
      <c r="J129" s="56"/>
    </row>
    <row r="130">
      <c r="A130" s="51">
        <f>IFERROR(__xludf.DUMMYFUNCTION("""COMPUTED_VALUE"""),2570.0)</f>
        <v>2570</v>
      </c>
      <c r="B130" s="52" t="str">
        <f>IFERROR(__xludf.DUMMYFUNCTION("""COMPUTED_VALUE"""),"02-Medellin")</f>
        <v>02-Medellin</v>
      </c>
      <c r="C130" s="51" t="str">
        <f>IFERROR(__xludf.DUMMYFUNCTION("""COMPUTED_VALUE"""),"GDW884")</f>
        <v>GDW884</v>
      </c>
      <c r="D130" s="51" t="str">
        <f>IFERROR(__xludf.DUMMYFUNCTION("""COMPUTED_VALUE"""),"CAMION FOTON 1129")</f>
        <v>CAMION FOTON 1129</v>
      </c>
      <c r="E130" s="53">
        <f>IFERROR(__xludf.DUMMYFUNCTION("""COMPUTED_VALUE"""),46247.0)</f>
        <v>46247</v>
      </c>
      <c r="F130" s="53">
        <f>IFERROR(__xludf.DUMMYFUNCTION("""COMPUTED_VALUE"""),46236.0)</f>
        <v>46236</v>
      </c>
      <c r="G130" s="51"/>
      <c r="H130" s="54"/>
      <c r="I130" s="55"/>
      <c r="J130" s="56"/>
    </row>
    <row r="131">
      <c r="A131" s="51">
        <f>IFERROR(__xludf.DUMMYFUNCTION("""COMPUTED_VALUE"""),2492.0)</f>
        <v>2492</v>
      </c>
      <c r="B131" s="52" t="str">
        <f>IFERROR(__xludf.DUMMYFUNCTION("""COMPUTED_VALUE"""),"02-Medellin")</f>
        <v>02-Medellin</v>
      </c>
      <c r="C131" s="51" t="str">
        <f>IFERROR(__xludf.DUMMYFUNCTION("""COMPUTED_VALUE"""),"WLY739")</f>
        <v>WLY739</v>
      </c>
      <c r="D131" s="51" t="str">
        <f>IFERROR(__xludf.DUMMYFUNCTION("""COMPUTED_VALUE"""),"FURGON RENAULT MASTER")</f>
        <v>FURGON RENAULT MASTER</v>
      </c>
      <c r="E131" s="53">
        <f>IFERROR(__xludf.DUMMYFUNCTION("""COMPUTED_VALUE"""),46554.0)</f>
        <v>46554</v>
      </c>
      <c r="F131" s="53">
        <f>IFERROR(__xludf.DUMMYFUNCTION("""COMPUTED_VALUE"""),46555.0)</f>
        <v>46555</v>
      </c>
      <c r="G131" s="51"/>
      <c r="H131" s="54"/>
      <c r="I131" s="55"/>
      <c r="J131" s="56"/>
    </row>
    <row r="132">
      <c r="A132" s="51">
        <f>IFERROR(__xludf.DUMMYFUNCTION("""COMPUTED_VALUE"""),2490.0)</f>
        <v>2490</v>
      </c>
      <c r="B132" s="52" t="str">
        <f>IFERROR(__xludf.DUMMYFUNCTION("""COMPUTED_VALUE"""),"02-Medellin")</f>
        <v>02-Medellin</v>
      </c>
      <c r="C132" s="51" t="str">
        <f>IFERROR(__xludf.DUMMYFUNCTION("""COMPUTED_VALUE"""),"WLZ243")</f>
        <v>WLZ243</v>
      </c>
      <c r="D132" s="51" t="str">
        <f>IFERROR(__xludf.DUMMYFUNCTION("""COMPUTED_VALUE"""),"VAN FOTON BJ5")</f>
        <v>VAN FOTON BJ5</v>
      </c>
      <c r="E132" s="53">
        <f>IFERROR(__xludf.DUMMYFUNCTION("""COMPUTED_VALUE"""),46313.0)</f>
        <v>46313</v>
      </c>
      <c r="F132" s="53">
        <f>IFERROR(__xludf.DUMMYFUNCTION("""COMPUTED_VALUE"""),46303.0)</f>
        <v>46303</v>
      </c>
      <c r="G132" s="51"/>
      <c r="H132" s="54"/>
      <c r="I132" s="55"/>
      <c r="J132" s="56"/>
    </row>
    <row r="133">
      <c r="A133" s="51">
        <f>IFERROR(__xludf.DUMMYFUNCTION("""COMPUTED_VALUE"""),2484.0)</f>
        <v>2484</v>
      </c>
      <c r="B133" s="52" t="str">
        <f>IFERROR(__xludf.DUMMYFUNCTION("""COMPUTED_VALUE"""),"MAYORCA")</f>
        <v>MAYORCA</v>
      </c>
      <c r="C133" s="51" t="str">
        <f>IFERROR(__xludf.DUMMYFUNCTION("""COMPUTED_VALUE"""),"WLZ246")</f>
        <v>WLZ246</v>
      </c>
      <c r="D133" s="51" t="str">
        <f>IFERROR(__xludf.DUMMYFUNCTION("""COMPUTED_VALUE"""),"VAN FOTON BJ5")</f>
        <v>VAN FOTON BJ5</v>
      </c>
      <c r="E133" s="53">
        <f>IFERROR(__xludf.DUMMYFUNCTION("""COMPUTED_VALUE"""),46313.0)</f>
        <v>46313</v>
      </c>
      <c r="F133" s="53">
        <f>IFERROR(__xludf.DUMMYFUNCTION("""COMPUTED_VALUE"""),46309.0)</f>
        <v>46309</v>
      </c>
      <c r="G133" s="51"/>
      <c r="H133" s="54"/>
      <c r="I133" s="55"/>
      <c r="J133" s="56"/>
    </row>
    <row r="134">
      <c r="A134" s="51">
        <f>IFERROR(__xludf.DUMMYFUNCTION("""COMPUTED_VALUE"""),2469.0)</f>
        <v>2469</v>
      </c>
      <c r="B134" s="52" t="str">
        <f>IFERROR(__xludf.DUMMYFUNCTION("""COMPUTED_VALUE"""),"31-Copacabana QUIMICOS")</f>
        <v>31-Copacabana QUIMICOS</v>
      </c>
      <c r="C134" s="51" t="str">
        <f>IFERROR(__xludf.DUMMYFUNCTION("""COMPUTED_VALUE"""),"TRN644")</f>
        <v>TRN644</v>
      </c>
      <c r="D134" s="51" t="str">
        <f>IFERROR(__xludf.DUMMYFUNCTION("""COMPUTED_VALUE"""),"FURGON CHEVROLET NKR IIIE")</f>
        <v>FURGON CHEVROLET NKR IIIE</v>
      </c>
      <c r="E134" s="53">
        <f>IFERROR(__xludf.DUMMYFUNCTION("""COMPUTED_VALUE"""),46301.0)</f>
        <v>46301</v>
      </c>
      <c r="F134" s="53">
        <f>IFERROR(__xludf.DUMMYFUNCTION("""COMPUTED_VALUE"""),46292.0)</f>
        <v>46292</v>
      </c>
      <c r="G134" s="51"/>
      <c r="H134" s="54"/>
      <c r="I134" s="55"/>
      <c r="J134" s="56"/>
    </row>
    <row r="135">
      <c r="A135" s="51">
        <f>IFERROR(__xludf.DUMMYFUNCTION("""COMPUTED_VALUE"""),2468.0)</f>
        <v>2468</v>
      </c>
      <c r="B135" s="52" t="str">
        <f>IFERROR(__xludf.DUMMYFUNCTION("""COMPUTED_VALUE"""),"02-Medellin")</f>
        <v>02-Medellin</v>
      </c>
      <c r="C135" s="51" t="str">
        <f>IFERROR(__xludf.DUMMYFUNCTION("""COMPUTED_VALUE"""),"TRN656")</f>
        <v>TRN656</v>
      </c>
      <c r="D135" s="51" t="str">
        <f>IFERROR(__xludf.DUMMYFUNCTION("""COMPUTED_VALUE"""),"FURGON CHEVROLET NKR IIIE")</f>
        <v>FURGON CHEVROLET NKR IIIE</v>
      </c>
      <c r="E135" s="53">
        <f>IFERROR(__xludf.DUMMYFUNCTION("""COMPUTED_VALUE"""),46303.0)</f>
        <v>46303</v>
      </c>
      <c r="F135" s="53">
        <f>IFERROR(__xludf.DUMMYFUNCTION("""COMPUTED_VALUE"""),46304.0)</f>
        <v>46304</v>
      </c>
      <c r="G135" s="51"/>
      <c r="H135" s="54"/>
      <c r="I135" s="55"/>
      <c r="J135" s="56"/>
    </row>
    <row r="136">
      <c r="A136" s="51">
        <f>IFERROR(__xludf.DUMMYFUNCTION("""COMPUTED_VALUE"""),2466.0)</f>
        <v>2466</v>
      </c>
      <c r="B136" s="52" t="str">
        <f>IFERROR(__xludf.DUMMYFUNCTION("""COMPUTED_VALUE"""),"02-Medellin")</f>
        <v>02-Medellin</v>
      </c>
      <c r="C136" s="51" t="str">
        <f>IFERROR(__xludf.DUMMYFUNCTION("""COMPUTED_VALUE"""),"TRN661")</f>
        <v>TRN661</v>
      </c>
      <c r="D136" s="51" t="str">
        <f>IFERROR(__xludf.DUMMYFUNCTION("""COMPUTED_VALUE"""),"CAMION CHEVROLET FRR")</f>
        <v>CAMION CHEVROLET FRR</v>
      </c>
      <c r="E136" s="53">
        <f>IFERROR(__xludf.DUMMYFUNCTION("""COMPUTED_VALUE"""),46297.0)</f>
        <v>46297</v>
      </c>
      <c r="F136" s="53">
        <f>IFERROR(__xludf.DUMMYFUNCTION("""COMPUTED_VALUE"""),46297.0)</f>
        <v>46297</v>
      </c>
      <c r="G136" s="51"/>
      <c r="H136" s="54"/>
      <c r="I136" s="55"/>
      <c r="J136" s="56"/>
    </row>
    <row r="137">
      <c r="A137" s="51">
        <f>IFERROR(__xludf.DUMMYFUNCTION("""COMPUTED_VALUE"""),2464.0)</f>
        <v>2464</v>
      </c>
      <c r="B137" s="52" t="str">
        <f>IFERROR(__xludf.DUMMYFUNCTION("""COMPUTED_VALUE"""),"02-Medellin")</f>
        <v>02-Medellin</v>
      </c>
      <c r="C137" s="51" t="str">
        <f>IFERROR(__xludf.DUMMYFUNCTION("""COMPUTED_VALUE"""),"TRN659")</f>
        <v>TRN659</v>
      </c>
      <c r="D137" s="51" t="str">
        <f>IFERROR(__xludf.DUMMYFUNCTION("""COMPUTED_VALUE"""),"FURGON CHEVROLET NKR IIIE")</f>
        <v>FURGON CHEVROLET NKR IIIE</v>
      </c>
      <c r="E137" s="53">
        <f>IFERROR(__xludf.DUMMYFUNCTION("""COMPUTED_VALUE"""),46295.0)</f>
        <v>46295</v>
      </c>
      <c r="F137" s="53">
        <f>IFERROR(__xludf.DUMMYFUNCTION("""COMPUTED_VALUE"""),46295.0)</f>
        <v>46295</v>
      </c>
      <c r="G137" s="51"/>
      <c r="H137" s="54"/>
      <c r="I137" s="55"/>
      <c r="J137" s="56"/>
    </row>
    <row r="138">
      <c r="A138" s="51">
        <f>IFERROR(__xludf.DUMMYFUNCTION("""COMPUTED_VALUE"""),2463.0)</f>
        <v>2463</v>
      </c>
      <c r="B138" s="52" t="str">
        <f>IFERROR(__xludf.DUMMYFUNCTION("""COMPUTED_VALUE"""),"02-Medellin")</f>
        <v>02-Medellin</v>
      </c>
      <c r="C138" s="51" t="str">
        <f>IFERROR(__xludf.DUMMYFUNCTION("""COMPUTED_VALUE"""),"TRN658")</f>
        <v>TRN658</v>
      </c>
      <c r="D138" s="51" t="str">
        <f>IFERROR(__xludf.DUMMYFUNCTION("""COMPUTED_VALUE"""),"FURGON CHEVROLET NKR IIIE")</f>
        <v>FURGON CHEVROLET NKR IIIE</v>
      </c>
      <c r="E138" s="53">
        <f>IFERROR(__xludf.DUMMYFUNCTION("""COMPUTED_VALUE"""),46303.0)</f>
        <v>46303</v>
      </c>
      <c r="F138" s="53">
        <f>IFERROR(__xludf.DUMMYFUNCTION("""COMPUTED_VALUE"""),46305.0)</f>
        <v>46305</v>
      </c>
      <c r="G138" s="51"/>
      <c r="H138" s="54"/>
      <c r="I138" s="55"/>
      <c r="J138" s="56"/>
    </row>
    <row r="139">
      <c r="A139" s="51">
        <f>IFERROR(__xludf.DUMMYFUNCTION("""COMPUTED_VALUE"""),2462.0)</f>
        <v>2462</v>
      </c>
      <c r="B139" s="52" t="str">
        <f>IFERROR(__xludf.DUMMYFUNCTION("""COMPUTED_VALUE"""),"02-Medellin")</f>
        <v>02-Medellin</v>
      </c>
      <c r="C139" s="51" t="str">
        <f>IFERROR(__xludf.DUMMYFUNCTION("""COMPUTED_VALUE"""),"TRN657")</f>
        <v>TRN657</v>
      </c>
      <c r="D139" s="51" t="str">
        <f>IFERROR(__xludf.DUMMYFUNCTION("""COMPUTED_VALUE"""),"FURGON CHEVROLET NKR IIIE")</f>
        <v>FURGON CHEVROLET NKR IIIE</v>
      </c>
      <c r="E139" s="53">
        <f>IFERROR(__xludf.DUMMYFUNCTION("""COMPUTED_VALUE"""),46303.0)</f>
        <v>46303</v>
      </c>
      <c r="F139" s="53">
        <f>IFERROR(__xludf.DUMMYFUNCTION("""COMPUTED_VALUE"""),46299.0)</f>
        <v>46299</v>
      </c>
      <c r="G139" s="51"/>
      <c r="H139" s="54"/>
      <c r="I139" s="55"/>
      <c r="J139" s="56"/>
    </row>
    <row r="140">
      <c r="A140" s="51">
        <f>IFERROR(__xludf.DUMMYFUNCTION("""COMPUTED_VALUE"""),2460.0)</f>
        <v>2460</v>
      </c>
      <c r="B140" s="52" t="str">
        <f>IFERROR(__xludf.DUMMYFUNCTION("""COMPUTED_VALUE"""),"BULTOS")</f>
        <v>BULTOS</v>
      </c>
      <c r="C140" s="51" t="str">
        <f>IFERROR(__xludf.DUMMYFUNCTION("""COMPUTED_VALUE"""),"TRN655")</f>
        <v>TRN655</v>
      </c>
      <c r="D140" s="51" t="str">
        <f>IFERROR(__xludf.DUMMYFUNCTION("""COMPUTED_VALUE"""),"FURGON CHEVROLET NKR IIIE")</f>
        <v>FURGON CHEVROLET NKR IIIE</v>
      </c>
      <c r="E140" s="53">
        <f>IFERROR(__xludf.DUMMYFUNCTION("""COMPUTED_VALUE"""),46303.0)</f>
        <v>46303</v>
      </c>
      <c r="F140" s="53">
        <f>IFERROR(__xludf.DUMMYFUNCTION("""COMPUTED_VALUE"""),46298.0)</f>
        <v>46298</v>
      </c>
      <c r="G140" s="51"/>
      <c r="H140" s="54"/>
      <c r="I140" s="55"/>
      <c r="J140" s="56"/>
    </row>
    <row r="141">
      <c r="A141" s="51">
        <f>IFERROR(__xludf.DUMMYFUNCTION("""COMPUTED_VALUE"""),2459.0)</f>
        <v>2459</v>
      </c>
      <c r="B141" s="52" t="str">
        <f>IFERROR(__xludf.DUMMYFUNCTION("""COMPUTED_VALUE"""),"02-Medellin")</f>
        <v>02-Medellin</v>
      </c>
      <c r="C141" s="51" t="str">
        <f>IFERROR(__xludf.DUMMYFUNCTION("""COMPUTED_VALUE"""),"TRN654")</f>
        <v>TRN654</v>
      </c>
      <c r="D141" s="51" t="str">
        <f>IFERROR(__xludf.DUMMYFUNCTION("""COMPUTED_VALUE"""),"FURGON CHEVROLET NKR IIIE")</f>
        <v>FURGON CHEVROLET NKR IIIE</v>
      </c>
      <c r="E141" s="53">
        <f>IFERROR(__xludf.DUMMYFUNCTION("""COMPUTED_VALUE"""),46303.0)</f>
        <v>46303</v>
      </c>
      <c r="F141" s="53">
        <f>IFERROR(__xludf.DUMMYFUNCTION("""COMPUTED_VALUE"""),46301.0)</f>
        <v>46301</v>
      </c>
      <c r="G141" s="51"/>
      <c r="H141" s="54"/>
      <c r="I141" s="55"/>
      <c r="J141" s="56"/>
    </row>
    <row r="142">
      <c r="A142" s="51">
        <f>IFERROR(__xludf.DUMMYFUNCTION("""COMPUTED_VALUE"""),2458.0)</f>
        <v>2458</v>
      </c>
      <c r="B142" s="52" t="str">
        <f>IFERROR(__xludf.DUMMYFUNCTION("""COMPUTED_VALUE"""),"02-Medellin")</f>
        <v>02-Medellin</v>
      </c>
      <c r="C142" s="51" t="str">
        <f>IFERROR(__xludf.DUMMYFUNCTION("""COMPUTED_VALUE"""),"TRN653")</f>
        <v>TRN653</v>
      </c>
      <c r="D142" s="51" t="str">
        <f>IFERROR(__xludf.DUMMYFUNCTION("""COMPUTED_VALUE"""),"FURGON CHEVROLET NKR IIIE")</f>
        <v>FURGON CHEVROLET NKR IIIE</v>
      </c>
      <c r="E142" s="53">
        <f>IFERROR(__xludf.DUMMYFUNCTION("""COMPUTED_VALUE"""),46303.0)</f>
        <v>46303</v>
      </c>
      <c r="F142" s="53">
        <f>IFERROR(__xludf.DUMMYFUNCTION("""COMPUTED_VALUE"""),46288.0)</f>
        <v>46288</v>
      </c>
      <c r="G142" s="51"/>
      <c r="H142" s="54"/>
      <c r="I142" s="55"/>
      <c r="J142" s="56"/>
    </row>
    <row r="143">
      <c r="A143" s="51">
        <f>IFERROR(__xludf.DUMMYFUNCTION("""COMPUTED_VALUE"""),2457.0)</f>
        <v>2457</v>
      </c>
      <c r="B143" s="52" t="str">
        <f>IFERROR(__xludf.DUMMYFUNCTION("""COMPUTED_VALUE"""),"BULTOS")</f>
        <v>BULTOS</v>
      </c>
      <c r="C143" s="51" t="str">
        <f>IFERROR(__xludf.DUMMYFUNCTION("""COMPUTED_VALUE"""),"TRN652")</f>
        <v>TRN652</v>
      </c>
      <c r="D143" s="51" t="str">
        <f>IFERROR(__xludf.DUMMYFUNCTION("""COMPUTED_VALUE"""),"FURGON CHEVROLET NKR IIIE")</f>
        <v>FURGON CHEVROLET NKR IIIE</v>
      </c>
      <c r="E143" s="53">
        <f>IFERROR(__xludf.DUMMYFUNCTION("""COMPUTED_VALUE"""),46303.0)</f>
        <v>46303</v>
      </c>
      <c r="F143" s="53">
        <f>IFERROR(__xludf.DUMMYFUNCTION("""COMPUTED_VALUE"""),46302.0)</f>
        <v>46302</v>
      </c>
      <c r="G143" s="51"/>
      <c r="H143" s="54"/>
      <c r="I143" s="55"/>
      <c r="J143" s="56"/>
    </row>
    <row r="144">
      <c r="A144" s="51">
        <f>IFERROR(__xludf.DUMMYFUNCTION("""COMPUTED_VALUE"""),2456.0)</f>
        <v>2456</v>
      </c>
      <c r="B144" s="52" t="str">
        <f>IFERROR(__xludf.DUMMYFUNCTION("""COMPUTED_VALUE"""),"02-Medellin")</f>
        <v>02-Medellin</v>
      </c>
      <c r="C144" s="51" t="str">
        <f>IFERROR(__xludf.DUMMYFUNCTION("""COMPUTED_VALUE"""),"TRN651")</f>
        <v>TRN651</v>
      </c>
      <c r="D144" s="51" t="str">
        <f>IFERROR(__xludf.DUMMYFUNCTION("""COMPUTED_VALUE"""),"FURGON CHEVROLET NKR IIIE")</f>
        <v>FURGON CHEVROLET NKR IIIE</v>
      </c>
      <c r="E144" s="53">
        <f>IFERROR(__xludf.DUMMYFUNCTION("""COMPUTED_VALUE"""),46296.0)</f>
        <v>46296</v>
      </c>
      <c r="F144" s="53">
        <f>IFERROR(__xludf.DUMMYFUNCTION("""COMPUTED_VALUE"""),46296.0)</f>
        <v>46296</v>
      </c>
      <c r="G144" s="51"/>
      <c r="H144" s="54"/>
      <c r="I144" s="55"/>
      <c r="J144" s="56"/>
    </row>
    <row r="145">
      <c r="A145" s="51">
        <f>IFERROR(__xludf.DUMMYFUNCTION("""COMPUTED_VALUE"""),2455.0)</f>
        <v>2455</v>
      </c>
      <c r="B145" s="52" t="str">
        <f>IFERROR(__xludf.DUMMYFUNCTION("""COMPUTED_VALUE"""),"02-Medellin")</f>
        <v>02-Medellin</v>
      </c>
      <c r="C145" s="51" t="str">
        <f>IFERROR(__xludf.DUMMYFUNCTION("""COMPUTED_VALUE"""),"TRN650")</f>
        <v>TRN650</v>
      </c>
      <c r="D145" s="51" t="str">
        <f>IFERROR(__xludf.DUMMYFUNCTION("""COMPUTED_VALUE"""),"FURGON CHEVROLET NKR IIIE")</f>
        <v>FURGON CHEVROLET NKR IIIE</v>
      </c>
      <c r="E145" s="53">
        <f>IFERROR(__xludf.DUMMYFUNCTION("""COMPUTED_VALUE"""),46298.0)</f>
        <v>46298</v>
      </c>
      <c r="F145" s="53">
        <f>IFERROR(__xludf.DUMMYFUNCTION("""COMPUTED_VALUE"""),46298.0)</f>
        <v>46298</v>
      </c>
      <c r="G145" s="51"/>
      <c r="H145" s="51"/>
    </row>
    <row r="146">
      <c r="A146" s="51">
        <f>IFERROR(__xludf.DUMMYFUNCTION("""COMPUTED_VALUE"""),2454.0)</f>
        <v>2454</v>
      </c>
      <c r="B146" s="52" t="str">
        <f>IFERROR(__xludf.DUMMYFUNCTION("""COMPUTED_VALUE"""),"02-Medellin")</f>
        <v>02-Medellin</v>
      </c>
      <c r="C146" s="51" t="str">
        <f>IFERROR(__xludf.DUMMYFUNCTION("""COMPUTED_VALUE"""),"TRN649")</f>
        <v>TRN649</v>
      </c>
      <c r="D146" s="51" t="str">
        <f>IFERROR(__xludf.DUMMYFUNCTION("""COMPUTED_VALUE"""),"FURGON CHEVROLET NKR IIIE")</f>
        <v>FURGON CHEVROLET NKR IIIE</v>
      </c>
      <c r="E146" s="53">
        <f>IFERROR(__xludf.DUMMYFUNCTION("""COMPUTED_VALUE"""),46291.0)</f>
        <v>46291</v>
      </c>
      <c r="F146" s="53">
        <f>IFERROR(__xludf.DUMMYFUNCTION("""COMPUTED_VALUE"""),46291.0)</f>
        <v>46291</v>
      </c>
      <c r="G146" s="51"/>
      <c r="H146" s="51"/>
    </row>
    <row r="147">
      <c r="A147" s="51">
        <f>IFERROR(__xludf.DUMMYFUNCTION("""COMPUTED_VALUE"""),2450.0)</f>
        <v>2450</v>
      </c>
      <c r="B147" s="52" t="str">
        <f>IFERROR(__xludf.DUMMYFUNCTION("""COMPUTED_VALUE"""),"MAYORCA")</f>
        <v>MAYORCA</v>
      </c>
      <c r="C147" s="51" t="str">
        <f>IFERROR(__xludf.DUMMYFUNCTION("""COMPUTED_VALUE"""),"TRN643")</f>
        <v>TRN643</v>
      </c>
      <c r="D147" s="51" t="str">
        <f>IFERROR(__xludf.DUMMYFUNCTION("""COMPUTED_VALUE"""),"FURGON CHEVROLET NKR IIIE")</f>
        <v>FURGON CHEVROLET NKR IIIE</v>
      </c>
      <c r="E147" s="53">
        <f>IFERROR(__xludf.DUMMYFUNCTION("""COMPUTED_VALUE"""),46301.0)</f>
        <v>46301</v>
      </c>
      <c r="F147" s="53">
        <f>IFERROR(__xludf.DUMMYFUNCTION("""COMPUTED_VALUE"""),46290.0)</f>
        <v>46290</v>
      </c>
      <c r="G147" s="51"/>
      <c r="H147" s="51"/>
    </row>
    <row r="148">
      <c r="A148" s="51">
        <f>IFERROR(__xludf.DUMMYFUNCTION("""COMPUTED_VALUE"""),2438.0)</f>
        <v>2438</v>
      </c>
      <c r="B148" s="52" t="str">
        <f>IFERROR(__xludf.DUMMYFUNCTION("""COMPUTED_VALUE"""),"02-Medellin")</f>
        <v>02-Medellin</v>
      </c>
      <c r="C148" s="51" t="str">
        <f>IFERROR(__xludf.DUMMYFUNCTION("""COMPUTED_VALUE"""),"TRN386")</f>
        <v>TRN386</v>
      </c>
      <c r="D148" s="51" t="str">
        <f>IFERROR(__xludf.DUMMYFUNCTION("""COMPUTED_VALUE"""),"FURGON CHEVROLET NKR IIIE")</f>
        <v>FURGON CHEVROLET NKR IIIE</v>
      </c>
      <c r="E148" s="53">
        <f>IFERROR(__xludf.DUMMYFUNCTION("""COMPUTED_VALUE"""),46563.0)</f>
        <v>46563</v>
      </c>
      <c r="F148" s="53">
        <f>IFERROR(__xludf.DUMMYFUNCTION("""COMPUTED_VALUE"""),46521.0)</f>
        <v>46521</v>
      </c>
      <c r="G148" s="51"/>
      <c r="H148" s="51"/>
    </row>
    <row r="149">
      <c r="A149" s="51">
        <f>IFERROR(__xludf.DUMMYFUNCTION("""COMPUTED_VALUE"""),2437.0)</f>
        <v>2437</v>
      </c>
      <c r="B149" s="52" t="str">
        <f>IFERROR(__xludf.DUMMYFUNCTION("""COMPUTED_VALUE"""),"02-Medellin")</f>
        <v>02-Medellin</v>
      </c>
      <c r="C149" s="51" t="str">
        <f>IFERROR(__xludf.DUMMYFUNCTION("""COMPUTED_VALUE"""),"TRN385")</f>
        <v>TRN385</v>
      </c>
      <c r="D149" s="51" t="str">
        <f>IFERROR(__xludf.DUMMYFUNCTION("""COMPUTED_VALUE"""),"FURGON CHEVROLET NKR IIIE")</f>
        <v>FURGON CHEVROLET NKR IIIE</v>
      </c>
      <c r="E149" s="53">
        <f>IFERROR(__xludf.DUMMYFUNCTION("""COMPUTED_VALUE"""),46563.0)</f>
        <v>46563</v>
      </c>
      <c r="F149" s="53">
        <f>IFERROR(__xludf.DUMMYFUNCTION("""COMPUTED_VALUE"""),46528.0)</f>
        <v>46528</v>
      </c>
      <c r="G149" s="51"/>
      <c r="H149" s="51"/>
    </row>
    <row r="150">
      <c r="A150" s="51">
        <f>IFERROR(__xludf.DUMMYFUNCTION("""COMPUTED_VALUE"""),2436.0)</f>
        <v>2436</v>
      </c>
      <c r="B150" s="52" t="str">
        <f>IFERROR(__xludf.DUMMYFUNCTION("""COMPUTED_VALUE"""),"02-Medellin")</f>
        <v>02-Medellin</v>
      </c>
      <c r="C150" s="51" t="str">
        <f>IFERROR(__xludf.DUMMYFUNCTION("""COMPUTED_VALUE"""),"TRN384")</f>
        <v>TRN384</v>
      </c>
      <c r="D150" s="51" t="str">
        <f>IFERROR(__xludf.DUMMYFUNCTION("""COMPUTED_VALUE"""),"FURGON CHEVROLET NKR IIIE")</f>
        <v>FURGON CHEVROLET NKR IIIE</v>
      </c>
      <c r="E150" s="53">
        <f>IFERROR(__xludf.DUMMYFUNCTION("""COMPUTED_VALUE"""),46563.0)</f>
        <v>46563</v>
      </c>
      <c r="F150" s="53">
        <f>IFERROR(__xludf.DUMMYFUNCTION("""COMPUTED_VALUE"""),46558.0)</f>
        <v>46558</v>
      </c>
      <c r="G150" s="51"/>
      <c r="H150" s="51"/>
    </row>
    <row r="151">
      <c r="A151" s="51">
        <f>IFERROR(__xludf.DUMMYFUNCTION("""COMPUTED_VALUE"""),2435.0)</f>
        <v>2435</v>
      </c>
      <c r="B151" s="52" t="str">
        <f>IFERROR(__xludf.DUMMYFUNCTION("""COMPUTED_VALUE"""),"02-Medellin")</f>
        <v>02-Medellin</v>
      </c>
      <c r="C151" s="51" t="str">
        <f>IFERROR(__xludf.DUMMYFUNCTION("""COMPUTED_VALUE"""),"TRN382")</f>
        <v>TRN382</v>
      </c>
      <c r="D151" s="51" t="str">
        <f>IFERROR(__xludf.DUMMYFUNCTION("""COMPUTED_VALUE"""),"CAMION CHEVROLET FRR")</f>
        <v>CAMION CHEVROLET FRR</v>
      </c>
      <c r="E151" s="53">
        <f>IFERROR(__xludf.DUMMYFUNCTION("""COMPUTED_VALUE"""),46563.0)</f>
        <v>46563</v>
      </c>
      <c r="F151" s="53">
        <f>IFERROR(__xludf.DUMMYFUNCTION("""COMPUTED_VALUE"""),46530.0)</f>
        <v>46530</v>
      </c>
      <c r="G151" s="51"/>
      <c r="H151" s="51"/>
    </row>
    <row r="152">
      <c r="A152" s="51">
        <f>IFERROR(__xludf.DUMMYFUNCTION("""COMPUTED_VALUE"""),2432.0)</f>
        <v>2432</v>
      </c>
      <c r="B152" s="52" t="str">
        <f>IFERROR(__xludf.DUMMYFUNCTION("""COMPUTED_VALUE"""),"02-Medellin")</f>
        <v>02-Medellin</v>
      </c>
      <c r="C152" s="51" t="str">
        <f>IFERROR(__xludf.DUMMYFUNCTION("""COMPUTED_VALUE"""),"TRN379")</f>
        <v>TRN379</v>
      </c>
      <c r="D152" s="51" t="str">
        <f>IFERROR(__xludf.DUMMYFUNCTION("""COMPUTED_VALUE"""),"CAMION CHEVROLET FRR")</f>
        <v>CAMION CHEVROLET FRR</v>
      </c>
      <c r="E152" s="53">
        <f>IFERROR(__xludf.DUMMYFUNCTION("""COMPUTED_VALUE"""),46563.0)</f>
        <v>46563</v>
      </c>
      <c r="F152" s="53">
        <f>IFERROR(__xludf.DUMMYFUNCTION("""COMPUTED_VALUE"""),46571.0)</f>
        <v>46571</v>
      </c>
      <c r="G152" s="51"/>
      <c r="H152" s="51"/>
    </row>
    <row r="153">
      <c r="A153" s="51">
        <f>IFERROR(__xludf.DUMMYFUNCTION("""COMPUTED_VALUE"""),2425.0)</f>
        <v>2425</v>
      </c>
      <c r="B153" s="52" t="str">
        <f>IFERROR(__xludf.DUMMYFUNCTION("""COMPUTED_VALUE"""),"BULTOS")</f>
        <v>BULTOS</v>
      </c>
      <c r="C153" s="51" t="str">
        <f>IFERROR(__xludf.DUMMYFUNCTION("""COMPUTED_VALUE"""),"TRN363")</f>
        <v>TRN363</v>
      </c>
      <c r="D153" s="51" t="str">
        <f>IFERROR(__xludf.DUMMYFUNCTION("""COMPUTED_VALUE"""),"FURGON CHEVROLET NKR IIIE")</f>
        <v>FURGON CHEVROLET NKR IIIE</v>
      </c>
      <c r="E153" s="53">
        <f>IFERROR(__xludf.DUMMYFUNCTION("""COMPUTED_VALUE"""),46565.0)</f>
        <v>46565</v>
      </c>
      <c r="F153" s="53">
        <f>IFERROR(__xludf.DUMMYFUNCTION("""COMPUTED_VALUE"""),46477.0)</f>
        <v>46477</v>
      </c>
      <c r="G153" s="51"/>
      <c r="H153" s="51"/>
    </row>
    <row r="154">
      <c r="A154" s="51">
        <f>IFERROR(__xludf.DUMMYFUNCTION("""COMPUTED_VALUE"""),2424.0)</f>
        <v>2424</v>
      </c>
      <c r="B154" s="52" t="str">
        <f>IFERROR(__xludf.DUMMYFUNCTION("""COMPUTED_VALUE"""),"02-Medellin")</f>
        <v>02-Medellin</v>
      </c>
      <c r="C154" s="51" t="str">
        <f>IFERROR(__xludf.DUMMYFUNCTION("""COMPUTED_VALUE"""),"TRN362")</f>
        <v>TRN362</v>
      </c>
      <c r="D154" s="51" t="str">
        <f>IFERROR(__xludf.DUMMYFUNCTION("""COMPUTED_VALUE"""),"FURGON CHEVROLET NKR IIIE")</f>
        <v>FURGON CHEVROLET NKR IIIE</v>
      </c>
      <c r="E154" s="53">
        <f>IFERROR(__xludf.DUMMYFUNCTION("""COMPUTED_VALUE"""),46563.0)</f>
        <v>46563</v>
      </c>
      <c r="F154" s="53">
        <f>IFERROR(__xludf.DUMMYFUNCTION("""COMPUTED_VALUE"""),46528.0)</f>
        <v>46528</v>
      </c>
      <c r="G154" s="51"/>
      <c r="H154" s="51"/>
    </row>
    <row r="155">
      <c r="A155" s="51">
        <f>IFERROR(__xludf.DUMMYFUNCTION("""COMPUTED_VALUE"""),2423.0)</f>
        <v>2423</v>
      </c>
      <c r="B155" s="52" t="str">
        <f>IFERROR(__xludf.DUMMYFUNCTION("""COMPUTED_VALUE"""),"02-Medellin")</f>
        <v>02-Medellin</v>
      </c>
      <c r="C155" s="51" t="str">
        <f>IFERROR(__xludf.DUMMYFUNCTION("""COMPUTED_VALUE"""),"TRN361")</f>
        <v>TRN361</v>
      </c>
      <c r="D155" s="51" t="str">
        <f>IFERROR(__xludf.DUMMYFUNCTION("""COMPUTED_VALUE"""),"FURGON CHEVROLET NKR IIIE")</f>
        <v>FURGON CHEVROLET NKR IIIE</v>
      </c>
      <c r="E155" s="53">
        <f>IFERROR(__xludf.DUMMYFUNCTION("""COMPUTED_VALUE"""),46563.0)</f>
        <v>46563</v>
      </c>
      <c r="F155" s="53">
        <f>IFERROR(__xludf.DUMMYFUNCTION("""COMPUTED_VALUE"""),46513.0)</f>
        <v>46513</v>
      </c>
      <c r="G155" s="51"/>
      <c r="H155" s="51"/>
    </row>
    <row r="156">
      <c r="A156" s="51">
        <f>IFERROR(__xludf.DUMMYFUNCTION("""COMPUTED_VALUE"""),2422.0)</f>
        <v>2422</v>
      </c>
      <c r="B156" s="52" t="str">
        <f>IFERROR(__xludf.DUMMYFUNCTION("""COMPUTED_VALUE"""),"31-Copacabana QUIMICOS")</f>
        <v>31-Copacabana QUIMICOS</v>
      </c>
      <c r="C156" s="51" t="str">
        <f>IFERROR(__xludf.DUMMYFUNCTION("""COMPUTED_VALUE"""),"TRN360")</f>
        <v>TRN360</v>
      </c>
      <c r="D156" s="51" t="str">
        <f>IFERROR(__xludf.DUMMYFUNCTION("""COMPUTED_VALUE"""),"FURGON CHEVROLET NKR IIIE")</f>
        <v>FURGON CHEVROLET NKR IIIE</v>
      </c>
      <c r="E156" s="53">
        <f>IFERROR(__xludf.DUMMYFUNCTION("""COMPUTED_VALUE"""),46558.0)</f>
        <v>46558</v>
      </c>
      <c r="F156" s="53">
        <f>IFERROR(__xludf.DUMMYFUNCTION("""COMPUTED_VALUE"""),46471.0)</f>
        <v>46471</v>
      </c>
      <c r="G156" s="51"/>
      <c r="H156" s="51"/>
    </row>
    <row r="157">
      <c r="A157" s="51">
        <f>IFERROR(__xludf.DUMMYFUNCTION("""COMPUTED_VALUE"""),2421.0)</f>
        <v>2421</v>
      </c>
      <c r="B157" s="52" t="str">
        <f>IFERROR(__xludf.DUMMYFUNCTION("""COMPUTED_VALUE"""),"02-Medellin")</f>
        <v>02-Medellin</v>
      </c>
      <c r="C157" s="51" t="str">
        <f>IFERROR(__xludf.DUMMYFUNCTION("""COMPUTED_VALUE"""),"TRN359")</f>
        <v>TRN359</v>
      </c>
      <c r="D157" s="51" t="str">
        <f>IFERROR(__xludf.DUMMYFUNCTION("""COMPUTED_VALUE"""),"FURGON CHEVROLET NKR IIIE")</f>
        <v>FURGON CHEVROLET NKR IIIE</v>
      </c>
      <c r="E157" s="53">
        <f>IFERROR(__xludf.DUMMYFUNCTION("""COMPUTED_VALUE"""),46558.0)</f>
        <v>46558</v>
      </c>
      <c r="F157" s="53">
        <f>IFERROR(__xludf.DUMMYFUNCTION("""COMPUTED_VALUE"""),46529.0)</f>
        <v>46529</v>
      </c>
      <c r="G157" s="51"/>
      <c r="H157" s="51"/>
    </row>
    <row r="158">
      <c r="A158" s="51">
        <f>IFERROR(__xludf.DUMMYFUNCTION("""COMPUTED_VALUE"""),2419.0)</f>
        <v>2419</v>
      </c>
      <c r="B158" s="52" t="str">
        <f>IFERROR(__xludf.DUMMYFUNCTION("""COMPUTED_VALUE"""),"02-Medellin")</f>
        <v>02-Medellin</v>
      </c>
      <c r="C158" s="51" t="str">
        <f>IFERROR(__xludf.DUMMYFUNCTION("""COMPUTED_VALUE"""),"TRN295")</f>
        <v>TRN295</v>
      </c>
      <c r="D158" s="51" t="str">
        <f>IFERROR(__xludf.DUMMYFUNCTION("""COMPUTED_VALUE"""),"FURGON CHEVROLET NKR IIIE")</f>
        <v>FURGON CHEVROLET NKR IIIE</v>
      </c>
      <c r="E158" s="53">
        <f>IFERROR(__xludf.DUMMYFUNCTION("""COMPUTED_VALUE"""),46415.0)</f>
        <v>46415</v>
      </c>
      <c r="F158" s="53">
        <f>IFERROR(__xludf.DUMMYFUNCTION("""COMPUTED_VALUE"""),46528.0)</f>
        <v>46528</v>
      </c>
      <c r="G158" s="51"/>
      <c r="H158" s="51"/>
    </row>
    <row r="159">
      <c r="A159" s="64">
        <f>IFERROR(__xludf.DUMMYFUNCTION("""COMPUTED_VALUE"""),2418.0)</f>
        <v>2418</v>
      </c>
      <c r="B159" s="52" t="str">
        <f>IFERROR(__xludf.DUMMYFUNCTION("""COMPUTED_VALUE"""),"02-Medellin")</f>
        <v>02-Medellin</v>
      </c>
      <c r="C159" s="51" t="str">
        <f>IFERROR(__xludf.DUMMYFUNCTION("""COMPUTED_VALUE"""),"TRN296")</f>
        <v>TRN296</v>
      </c>
      <c r="D159" s="51" t="str">
        <f>IFERROR(__xludf.DUMMYFUNCTION("""COMPUTED_VALUE"""),"FURGON CHEVROLET NKR IIIE")</f>
        <v>FURGON CHEVROLET NKR IIIE</v>
      </c>
      <c r="E159" s="53">
        <f>IFERROR(__xludf.DUMMYFUNCTION("""COMPUTED_VALUE"""),46415.0)</f>
        <v>46415</v>
      </c>
      <c r="F159" s="53">
        <f>IFERROR(__xludf.DUMMYFUNCTION("""COMPUTED_VALUE"""),46520.0)</f>
        <v>46520</v>
      </c>
      <c r="G159" s="51"/>
      <c r="H159" s="51"/>
    </row>
    <row r="160">
      <c r="A160" s="51">
        <f>IFERROR(__xludf.DUMMYFUNCTION("""COMPUTED_VALUE"""),2414.0)</f>
        <v>2414</v>
      </c>
      <c r="B160" s="52" t="str">
        <f>IFERROR(__xludf.DUMMYFUNCTION("""COMPUTED_VALUE"""),"02-Medellin")</f>
        <v>02-Medellin</v>
      </c>
      <c r="C160" s="51" t="str">
        <f>IFERROR(__xludf.DUMMYFUNCTION("""COMPUTED_VALUE"""),"TRN271")</f>
        <v>TRN271</v>
      </c>
      <c r="D160" s="51" t="str">
        <f>IFERROR(__xludf.DUMMYFUNCTION("""COMPUTED_VALUE"""),"CAMION CHEVROLET FRR")</f>
        <v>CAMION CHEVROLET FRR</v>
      </c>
      <c r="E160" s="53">
        <f>IFERROR(__xludf.DUMMYFUNCTION("""COMPUTED_VALUE"""),46530.0)</f>
        <v>46530</v>
      </c>
      <c r="F160" s="53">
        <f>IFERROR(__xludf.DUMMYFUNCTION("""COMPUTED_VALUE"""),46549.0)</f>
        <v>46549</v>
      </c>
      <c r="G160" s="51"/>
      <c r="H160" s="51"/>
    </row>
    <row r="161">
      <c r="A161" s="68">
        <f>IFERROR(__xludf.DUMMYFUNCTION("""COMPUTED_VALUE"""),2404.0)</f>
        <v>2404</v>
      </c>
      <c r="B161" s="69" t="str">
        <f>IFERROR(__xludf.DUMMYFUNCTION("""COMPUTED_VALUE"""),"02-Medellin")</f>
        <v>02-Medellin</v>
      </c>
      <c r="C161" s="68" t="str">
        <f>IFERROR(__xludf.DUMMYFUNCTION("""COMPUTED_VALUE"""),"TRN227")</f>
        <v>TRN227</v>
      </c>
      <c r="D161" s="51" t="str">
        <f>IFERROR(__xludf.DUMMYFUNCTION("""COMPUTED_VALUE"""),"FURGON CHEVROLET NKR IIIE")</f>
        <v>FURGON CHEVROLET NKR IIIE</v>
      </c>
      <c r="E161" s="62">
        <f>IFERROR(__xludf.DUMMYFUNCTION("""COMPUTED_VALUE"""),46495.0)</f>
        <v>46495</v>
      </c>
      <c r="F161" s="53">
        <f>IFERROR(__xludf.DUMMYFUNCTION("""COMPUTED_VALUE"""),46484.0)</f>
        <v>46484</v>
      </c>
      <c r="G161" s="51"/>
      <c r="H161" s="51"/>
    </row>
    <row r="162">
      <c r="A162" s="51">
        <f>IFERROR(__xludf.DUMMYFUNCTION("""COMPUTED_VALUE"""),2403.0)</f>
        <v>2403</v>
      </c>
      <c r="B162" s="52" t="str">
        <f>IFERROR(__xludf.DUMMYFUNCTION("""COMPUTED_VALUE"""),"BULTOS")</f>
        <v>BULTOS</v>
      </c>
      <c r="C162" s="51" t="str">
        <f>IFERROR(__xludf.DUMMYFUNCTION("""COMPUTED_VALUE"""),"TRN226")</f>
        <v>TRN226</v>
      </c>
      <c r="D162" s="51" t="str">
        <f>IFERROR(__xludf.DUMMYFUNCTION("""COMPUTED_VALUE"""),"FURGON CHEVROLET NKR IIIE")</f>
        <v>FURGON CHEVROLET NKR IIIE</v>
      </c>
      <c r="E162" s="53">
        <f>IFERROR(__xludf.DUMMYFUNCTION("""COMPUTED_VALUE"""),46503.0)</f>
        <v>46503</v>
      </c>
      <c r="F162" s="53">
        <f>IFERROR(__xludf.DUMMYFUNCTION("""COMPUTED_VALUE"""),46457.0)</f>
        <v>46457</v>
      </c>
      <c r="G162" s="51"/>
      <c r="H162" s="51"/>
    </row>
    <row r="163">
      <c r="A163" s="65">
        <f>IFERROR(__xludf.DUMMYFUNCTION("""COMPUTED_VALUE"""),2402.0)</f>
        <v>2402</v>
      </c>
      <c r="B163" s="65" t="str">
        <f>IFERROR(__xludf.DUMMYFUNCTION("""COMPUTED_VALUE"""),"MAYORCA")</f>
        <v>MAYORCA</v>
      </c>
      <c r="C163" s="65" t="str">
        <f>IFERROR(__xludf.DUMMYFUNCTION("""COMPUTED_VALUE"""),"TRN225")</f>
        <v>TRN225</v>
      </c>
      <c r="D163" s="65" t="str">
        <f>IFERROR(__xludf.DUMMYFUNCTION("""COMPUTED_VALUE"""),"FURGON CHEVROLET NKR IIIE")</f>
        <v>FURGON CHEVROLET NKR IIIE</v>
      </c>
      <c r="E163" s="66">
        <f>IFERROR(__xludf.DUMMYFUNCTION("""COMPUTED_VALUE"""),46503.0)</f>
        <v>46503</v>
      </c>
      <c r="F163" s="66">
        <f>IFERROR(__xludf.DUMMYFUNCTION("""COMPUTED_VALUE"""),46514.0)</f>
        <v>46514</v>
      </c>
      <c r="G163" s="65"/>
      <c r="H163" s="65"/>
    </row>
    <row r="164">
      <c r="A164" s="51">
        <f>IFERROR(__xludf.DUMMYFUNCTION("""COMPUTED_VALUE"""),2400.0)</f>
        <v>2400</v>
      </c>
      <c r="B164" s="52" t="str">
        <f>IFERROR(__xludf.DUMMYFUNCTION("""COMPUTED_VALUE"""),"MAYORCA")</f>
        <v>MAYORCA</v>
      </c>
      <c r="C164" s="51" t="str">
        <f>IFERROR(__xludf.DUMMYFUNCTION("""COMPUTED_VALUE"""),"TRN220")</f>
        <v>TRN220</v>
      </c>
      <c r="D164" s="51" t="str">
        <f>IFERROR(__xludf.DUMMYFUNCTION("""COMPUTED_VALUE"""),"FURGON CHEVROLET NKR IIIE")</f>
        <v>FURGON CHEVROLET NKR IIIE</v>
      </c>
      <c r="E164" s="53">
        <f>IFERROR(__xludf.DUMMYFUNCTION("""COMPUTED_VALUE"""),46495.0)</f>
        <v>46495</v>
      </c>
      <c r="F164" s="53">
        <f>IFERROR(__xludf.DUMMYFUNCTION("""COMPUTED_VALUE"""),46542.0)</f>
        <v>46542</v>
      </c>
      <c r="G164" s="51"/>
      <c r="H164" s="51"/>
    </row>
    <row r="165">
      <c r="A165" s="51">
        <f>IFERROR(__xludf.DUMMYFUNCTION("""COMPUTED_VALUE"""),2395.0)</f>
        <v>2395</v>
      </c>
      <c r="B165" s="52" t="str">
        <f>IFERROR(__xludf.DUMMYFUNCTION("""COMPUTED_VALUE"""),"02-Medellin")</f>
        <v>02-Medellin</v>
      </c>
      <c r="C165" s="51" t="str">
        <f>IFERROR(__xludf.DUMMYFUNCTION("""COMPUTED_VALUE"""),"TRN200")</f>
        <v>TRN200</v>
      </c>
      <c r="D165" s="51" t="str">
        <f>IFERROR(__xludf.DUMMYFUNCTION("""COMPUTED_VALUE"""),"FURGON CHEVROLET NKR IIIE")</f>
        <v>FURGON CHEVROLET NKR IIIE</v>
      </c>
      <c r="E165" s="53">
        <f>IFERROR(__xludf.DUMMYFUNCTION("""COMPUTED_VALUE"""),46503.0)</f>
        <v>46503</v>
      </c>
      <c r="F165" s="53">
        <f>IFERROR(__xludf.DUMMYFUNCTION("""COMPUTED_VALUE"""),46446.0)</f>
        <v>46446</v>
      </c>
      <c r="G165" s="51"/>
      <c r="H165" s="51"/>
    </row>
    <row r="166">
      <c r="A166" s="51">
        <f>IFERROR(__xludf.DUMMYFUNCTION("""COMPUTED_VALUE"""),2394.0)</f>
        <v>2394</v>
      </c>
      <c r="B166" s="52" t="str">
        <f>IFERROR(__xludf.DUMMYFUNCTION("""COMPUTED_VALUE"""),"MAYORCA")</f>
        <v>MAYORCA</v>
      </c>
      <c r="C166" s="51" t="str">
        <f>IFERROR(__xludf.DUMMYFUNCTION("""COMPUTED_VALUE"""),"TRN199")</f>
        <v>TRN199</v>
      </c>
      <c r="D166" s="51" t="str">
        <f>IFERROR(__xludf.DUMMYFUNCTION("""COMPUTED_VALUE"""),"FURGON CHEVROLET NKR IIIE")</f>
        <v>FURGON CHEVROLET NKR IIIE</v>
      </c>
      <c r="E166" s="53">
        <f>IFERROR(__xludf.DUMMYFUNCTION("""COMPUTED_VALUE"""),46495.0)</f>
        <v>46495</v>
      </c>
      <c r="F166" s="53">
        <f>IFERROR(__xludf.DUMMYFUNCTION("""COMPUTED_VALUE"""),46467.0)</f>
        <v>46467</v>
      </c>
      <c r="G166" s="51"/>
      <c r="H166" s="51"/>
    </row>
    <row r="167">
      <c r="A167" s="65">
        <f>IFERROR(__xludf.DUMMYFUNCTION("""COMPUTED_VALUE"""),2393.0)</f>
        <v>2393</v>
      </c>
      <c r="B167" s="65" t="str">
        <f>IFERROR(__xludf.DUMMYFUNCTION("""COMPUTED_VALUE"""),"MAYORCA")</f>
        <v>MAYORCA</v>
      </c>
      <c r="C167" s="65" t="str">
        <f>IFERROR(__xludf.DUMMYFUNCTION("""COMPUTED_VALUE"""),"TRN190")</f>
        <v>TRN190</v>
      </c>
      <c r="D167" s="65" t="str">
        <f>IFERROR(__xludf.DUMMYFUNCTION("""COMPUTED_VALUE"""),"FURGON CHEVROLET NKR IIIE")</f>
        <v>FURGON CHEVROLET NKR IIIE</v>
      </c>
      <c r="E167" s="66">
        <f>IFERROR(__xludf.DUMMYFUNCTION("""COMPUTED_VALUE"""),46495.0)</f>
        <v>46495</v>
      </c>
      <c r="F167" s="66">
        <f>IFERROR(__xludf.DUMMYFUNCTION("""COMPUTED_VALUE"""),46559.0)</f>
        <v>46559</v>
      </c>
      <c r="G167" s="65"/>
      <c r="H167" s="65"/>
    </row>
    <row r="168">
      <c r="A168" s="51">
        <f>IFERROR(__xludf.DUMMYFUNCTION("""COMPUTED_VALUE"""),2392.0)</f>
        <v>2392</v>
      </c>
      <c r="B168" s="52" t="str">
        <f>IFERROR(__xludf.DUMMYFUNCTION("""COMPUTED_VALUE"""),"02-Medellin")</f>
        <v>02-Medellin</v>
      </c>
      <c r="C168" s="51" t="str">
        <f>IFERROR(__xludf.DUMMYFUNCTION("""COMPUTED_VALUE"""),"TRN189")</f>
        <v>TRN189</v>
      </c>
      <c r="D168" s="51" t="str">
        <f>IFERROR(__xludf.DUMMYFUNCTION("""COMPUTED_VALUE"""),"FURGON CHEVROLET NKR IIIE")</f>
        <v>FURGON CHEVROLET NKR IIIE</v>
      </c>
      <c r="E168" s="53">
        <f>IFERROR(__xludf.DUMMYFUNCTION("""COMPUTED_VALUE"""),46490.0)</f>
        <v>46490</v>
      </c>
      <c r="F168" s="53">
        <f>IFERROR(__xludf.DUMMYFUNCTION("""COMPUTED_VALUE"""),46548.0)</f>
        <v>46548</v>
      </c>
      <c r="G168" s="51"/>
      <c r="H168" s="51"/>
    </row>
    <row r="169">
      <c r="A169" s="51">
        <f>IFERROR(__xludf.DUMMYFUNCTION("""COMPUTED_VALUE"""),2391.0)</f>
        <v>2391</v>
      </c>
      <c r="B169" s="52" t="str">
        <f>IFERROR(__xludf.DUMMYFUNCTION("""COMPUTED_VALUE"""),"02-Medellin")</f>
        <v>02-Medellin</v>
      </c>
      <c r="C169" s="51" t="str">
        <f>IFERROR(__xludf.DUMMYFUNCTION("""COMPUTED_VALUE"""),"TRN188")</f>
        <v>TRN188</v>
      </c>
      <c r="D169" s="51" t="str">
        <f>IFERROR(__xludf.DUMMYFUNCTION("""COMPUTED_VALUE"""),"FURGON CHEVROLET NKR IIIE")</f>
        <v>FURGON CHEVROLET NKR IIIE</v>
      </c>
      <c r="E169" s="53">
        <f>IFERROR(__xludf.DUMMYFUNCTION("""COMPUTED_VALUE"""),46490.0)</f>
        <v>46490</v>
      </c>
      <c r="F169" s="53">
        <f>IFERROR(__xludf.DUMMYFUNCTION("""COMPUTED_VALUE"""),46527.0)</f>
        <v>46527</v>
      </c>
      <c r="G169" s="51"/>
      <c r="H169" s="51"/>
    </row>
    <row r="170">
      <c r="A170" s="70">
        <f>IFERROR(__xludf.DUMMYFUNCTION("""COMPUTED_VALUE"""),2390.0)</f>
        <v>2390</v>
      </c>
      <c r="B170" s="70" t="str">
        <f>IFERROR(__xludf.DUMMYFUNCTION("""COMPUTED_VALUE"""),"MAYORCA")</f>
        <v>MAYORCA</v>
      </c>
      <c r="C170" s="70" t="str">
        <f>IFERROR(__xludf.DUMMYFUNCTION("""COMPUTED_VALUE"""),"TRN187")</f>
        <v>TRN187</v>
      </c>
      <c r="D170" s="70" t="str">
        <f>IFERROR(__xludf.DUMMYFUNCTION("""COMPUTED_VALUE"""),"FURGON CHEVROLET NKR IIIE")</f>
        <v>FURGON CHEVROLET NKR IIIE</v>
      </c>
      <c r="E170" s="71">
        <f>IFERROR(__xludf.DUMMYFUNCTION("""COMPUTED_VALUE"""),46490.0)</f>
        <v>46490</v>
      </c>
      <c r="F170" s="71">
        <f>IFERROR(__xludf.DUMMYFUNCTION("""COMPUTED_VALUE"""),46544.0)</f>
        <v>46544</v>
      </c>
      <c r="G170" s="70"/>
      <c r="H170" s="70"/>
    </row>
    <row r="171">
      <c r="A171" s="72">
        <f>IFERROR(__xludf.DUMMYFUNCTION("""COMPUTED_VALUE"""),2389.0)</f>
        <v>2389</v>
      </c>
      <c r="B171" s="72" t="str">
        <f>IFERROR(__xludf.DUMMYFUNCTION("""COMPUTED_VALUE"""),"24-Rionegro")</f>
        <v>24-Rionegro</v>
      </c>
      <c r="C171" s="72" t="str">
        <f>IFERROR(__xludf.DUMMYFUNCTION("""COMPUTED_VALUE"""),"TRN186")</f>
        <v>TRN186</v>
      </c>
      <c r="D171" s="72" t="str">
        <f>IFERROR(__xludf.DUMMYFUNCTION("""COMPUTED_VALUE"""),"FURGON CHEVROLET NKR IIIE")</f>
        <v>FURGON CHEVROLET NKR IIIE</v>
      </c>
      <c r="E171" s="73">
        <f>IFERROR(__xludf.DUMMYFUNCTION("""COMPUTED_VALUE"""),46490.0)</f>
        <v>46490</v>
      </c>
      <c r="F171" s="73">
        <f>IFERROR(__xludf.DUMMYFUNCTION("""COMPUTED_VALUE"""),46527.0)</f>
        <v>46527</v>
      </c>
      <c r="G171" s="72"/>
      <c r="H171" s="72"/>
    </row>
    <row r="172">
      <c r="A172" s="51">
        <f>IFERROR(__xludf.DUMMYFUNCTION("""COMPUTED_VALUE"""),2388.0)</f>
        <v>2388</v>
      </c>
      <c r="B172" s="52" t="str">
        <f>IFERROR(__xludf.DUMMYFUNCTION("""COMPUTED_VALUE"""),"02-Medellin")</f>
        <v>02-Medellin</v>
      </c>
      <c r="C172" s="51" t="str">
        <f>IFERROR(__xludf.DUMMYFUNCTION("""COMPUTED_VALUE"""),"TRN185")</f>
        <v>TRN185</v>
      </c>
      <c r="D172" s="51" t="str">
        <f>IFERROR(__xludf.DUMMYFUNCTION("""COMPUTED_VALUE"""),"FURGON CHEVROLET NKR IIIE")</f>
        <v>FURGON CHEVROLET NKR IIIE</v>
      </c>
      <c r="E172" s="53">
        <f>IFERROR(__xludf.DUMMYFUNCTION("""COMPUTED_VALUE"""),46490.0)</f>
        <v>46490</v>
      </c>
      <c r="F172" s="53">
        <f>IFERROR(__xludf.DUMMYFUNCTION("""COMPUTED_VALUE"""),46466.0)</f>
        <v>46466</v>
      </c>
      <c r="G172" s="51"/>
      <c r="H172" s="51"/>
    </row>
    <row r="173">
      <c r="A173" s="51">
        <f>IFERROR(__xludf.DUMMYFUNCTION("""COMPUTED_VALUE"""),2387.0)</f>
        <v>2387</v>
      </c>
      <c r="B173" s="52" t="str">
        <f>IFERROR(__xludf.DUMMYFUNCTION("""COMPUTED_VALUE"""),"BULTOS")</f>
        <v>BULTOS</v>
      </c>
      <c r="C173" s="51" t="str">
        <f>IFERROR(__xludf.DUMMYFUNCTION("""COMPUTED_VALUE"""),"TRN184")</f>
        <v>TRN184</v>
      </c>
      <c r="D173" s="51" t="str">
        <f>IFERROR(__xludf.DUMMYFUNCTION("""COMPUTED_VALUE"""),"FURGON CHEVROLET NKR IIIE")</f>
        <v>FURGON CHEVROLET NKR IIIE</v>
      </c>
      <c r="E173" s="53">
        <f>IFERROR(__xludf.DUMMYFUNCTION("""COMPUTED_VALUE"""),46491.0)</f>
        <v>46491</v>
      </c>
      <c r="F173" s="53">
        <f>IFERROR(__xludf.DUMMYFUNCTION("""COMPUTED_VALUE"""),46466.0)</f>
        <v>46466</v>
      </c>
      <c r="G173" s="51"/>
      <c r="H173" s="51"/>
    </row>
    <row r="174">
      <c r="A174" s="51">
        <f>IFERROR(__xludf.DUMMYFUNCTION("""COMPUTED_VALUE"""),2385.0)</f>
        <v>2385</v>
      </c>
      <c r="B174" s="52" t="str">
        <f>IFERROR(__xludf.DUMMYFUNCTION("""COMPUTED_VALUE"""),"02-Medellin")</f>
        <v>02-Medellin</v>
      </c>
      <c r="C174" s="51" t="str">
        <f>IFERROR(__xludf.DUMMYFUNCTION("""COMPUTED_VALUE"""),"TRN182")</f>
        <v>TRN182</v>
      </c>
      <c r="D174" s="51" t="str">
        <f>IFERROR(__xludf.DUMMYFUNCTION("""COMPUTED_VALUE"""),"FURGON CHEVROLET NKR IIIE")</f>
        <v>FURGON CHEVROLET NKR IIIE</v>
      </c>
      <c r="E174" s="53">
        <f>IFERROR(__xludf.DUMMYFUNCTION("""COMPUTED_VALUE"""),46491.0)</f>
        <v>46491</v>
      </c>
      <c r="F174" s="53">
        <f>IFERROR(__xludf.DUMMYFUNCTION("""COMPUTED_VALUE"""),46463.0)</f>
        <v>46463</v>
      </c>
      <c r="G174" s="51"/>
      <c r="H174" s="51"/>
    </row>
    <row r="175">
      <c r="A175" s="51">
        <f>IFERROR(__xludf.DUMMYFUNCTION("""COMPUTED_VALUE"""),2384.0)</f>
        <v>2384</v>
      </c>
      <c r="B175" s="52" t="str">
        <f>IFERROR(__xludf.DUMMYFUNCTION("""COMPUTED_VALUE"""),"02-Medellin")</f>
        <v>02-Medellin</v>
      </c>
      <c r="C175" s="51" t="str">
        <f>IFERROR(__xludf.DUMMYFUNCTION("""COMPUTED_VALUE"""),"TRN181")</f>
        <v>TRN181</v>
      </c>
      <c r="D175" s="51" t="str">
        <f>IFERROR(__xludf.DUMMYFUNCTION("""COMPUTED_VALUE"""),"FURGON CHEVROLET NKR IIIE")</f>
        <v>FURGON CHEVROLET NKR IIIE</v>
      </c>
      <c r="E175" s="53">
        <f>IFERROR(__xludf.DUMMYFUNCTION("""COMPUTED_VALUE"""),46490.0)</f>
        <v>46490</v>
      </c>
      <c r="F175" s="53">
        <f>IFERROR(__xludf.DUMMYFUNCTION("""COMPUTED_VALUE"""),46571.0)</f>
        <v>46571</v>
      </c>
      <c r="G175" s="51"/>
      <c r="H175" s="51"/>
    </row>
    <row r="176">
      <c r="A176" s="65">
        <f>IFERROR(__xludf.DUMMYFUNCTION("""COMPUTED_VALUE"""),2379.0)</f>
        <v>2379</v>
      </c>
      <c r="B176" s="72" t="str">
        <f>IFERROR(__xludf.DUMMYFUNCTION("""COMPUTED_VALUE"""),"31-Copacabana QUIMICOS")</f>
        <v>31-Copacabana QUIMICOS</v>
      </c>
      <c r="C176" s="65" t="str">
        <f>IFERROR(__xludf.DUMMYFUNCTION("""COMPUTED_VALUE"""),"TRN155")</f>
        <v>TRN155</v>
      </c>
      <c r="D176" s="65" t="str">
        <f>IFERROR(__xludf.DUMMYFUNCTION("""COMPUTED_VALUE"""),"FURGON CHEVROLET NKR IIIE")</f>
        <v>FURGON CHEVROLET NKR IIIE</v>
      </c>
      <c r="E176" s="66">
        <f>IFERROR(__xludf.DUMMYFUNCTION("""COMPUTED_VALUE"""),46491.0)</f>
        <v>46491</v>
      </c>
      <c r="F176" s="66">
        <f>IFERROR(__xludf.DUMMYFUNCTION("""COMPUTED_VALUE"""),46457.0)</f>
        <v>46457</v>
      </c>
      <c r="G176" s="65"/>
      <c r="H176" s="65"/>
    </row>
    <row r="177">
      <c r="A177" s="51">
        <f>IFERROR(__xludf.DUMMYFUNCTION("""COMPUTED_VALUE"""),2378.0)</f>
        <v>2378</v>
      </c>
      <c r="B177" s="52" t="str">
        <f>IFERROR(__xludf.DUMMYFUNCTION("""COMPUTED_VALUE"""),"MAYORCA")</f>
        <v>MAYORCA</v>
      </c>
      <c r="C177" s="51" t="str">
        <f>IFERROR(__xludf.DUMMYFUNCTION("""COMPUTED_VALUE"""),"TRN154")</f>
        <v>TRN154</v>
      </c>
      <c r="D177" s="51" t="str">
        <f>IFERROR(__xludf.DUMMYFUNCTION("""COMPUTED_VALUE"""),"FURGON CHEVROLET NKR IIIE")</f>
        <v>FURGON CHEVROLET NKR IIIE</v>
      </c>
      <c r="E177" s="53">
        <f>IFERROR(__xludf.DUMMYFUNCTION("""COMPUTED_VALUE"""),46490.0)</f>
        <v>46490</v>
      </c>
      <c r="F177" s="53">
        <f>IFERROR(__xludf.DUMMYFUNCTION("""COMPUTED_VALUE"""),46542.0)</f>
        <v>46542</v>
      </c>
      <c r="G177" s="51"/>
      <c r="H177" s="51"/>
    </row>
    <row r="178">
      <c r="A178" s="51">
        <f>IFERROR(__xludf.DUMMYFUNCTION("""COMPUTED_VALUE"""),2376.0)</f>
        <v>2376</v>
      </c>
      <c r="B178" s="52" t="str">
        <f>IFERROR(__xludf.DUMMYFUNCTION("""COMPUTED_VALUE"""),"02-Medellin")</f>
        <v>02-Medellin</v>
      </c>
      <c r="C178" s="51" t="str">
        <f>IFERROR(__xludf.DUMMYFUNCTION("""COMPUTED_VALUE"""),"TRM999")</f>
        <v>TRM999</v>
      </c>
      <c r="D178" s="51" t="str">
        <f>IFERROR(__xludf.DUMMYFUNCTION("""COMPUTED_VALUE"""),"FURGON CHEVROLET NKR IIIE")</f>
        <v>FURGON CHEVROLET NKR IIIE</v>
      </c>
      <c r="E178" s="53">
        <f>IFERROR(__xludf.DUMMYFUNCTION("""COMPUTED_VALUE"""),46490.0)</f>
        <v>46490</v>
      </c>
      <c r="F178" s="53">
        <f>IFERROR(__xludf.DUMMYFUNCTION("""COMPUTED_VALUE"""),46540.0)</f>
        <v>46540</v>
      </c>
      <c r="G178" s="51"/>
      <c r="H178" s="51"/>
    </row>
    <row r="179">
      <c r="A179" s="51">
        <f>IFERROR(__xludf.DUMMYFUNCTION("""COMPUTED_VALUE"""),2374.0)</f>
        <v>2374</v>
      </c>
      <c r="B179" s="52" t="str">
        <f>IFERROR(__xludf.DUMMYFUNCTION("""COMPUTED_VALUE"""),"02-Medellin")</f>
        <v>02-Medellin</v>
      </c>
      <c r="C179" s="51" t="str">
        <f>IFERROR(__xludf.DUMMYFUNCTION("""COMPUTED_VALUE"""),"TRM990")</f>
        <v>TRM990</v>
      </c>
      <c r="D179" s="51" t="str">
        <f>IFERROR(__xludf.DUMMYFUNCTION("""COMPUTED_VALUE"""),"FURGON CHEVROLET NKR IIIE")</f>
        <v>FURGON CHEVROLET NKR IIIE</v>
      </c>
      <c r="E179" s="53">
        <f>IFERROR(__xludf.DUMMYFUNCTION("""COMPUTED_VALUE"""),46490.0)</f>
        <v>46490</v>
      </c>
      <c r="F179" s="53">
        <f>IFERROR(__xludf.DUMMYFUNCTION("""COMPUTED_VALUE"""),46460.0)</f>
        <v>46460</v>
      </c>
      <c r="G179" s="51"/>
      <c r="H179" s="51"/>
    </row>
    <row r="180">
      <c r="A180" s="74">
        <f>IFERROR(__xludf.DUMMYFUNCTION("""COMPUTED_VALUE"""),2369.0)</f>
        <v>2369</v>
      </c>
      <c r="B180" s="52" t="str">
        <f>IFERROR(__xludf.DUMMYFUNCTION("""COMPUTED_VALUE"""),"02-Medellin")</f>
        <v>02-Medellin</v>
      </c>
      <c r="C180" s="51" t="str">
        <f>IFERROR(__xludf.DUMMYFUNCTION("""COMPUTED_VALUE"""),"TRM981")</f>
        <v>TRM981</v>
      </c>
      <c r="D180" s="51" t="str">
        <f>IFERROR(__xludf.DUMMYFUNCTION("""COMPUTED_VALUE"""),"CAMION CHEVROLET FRR")</f>
        <v>CAMION CHEVROLET FRR</v>
      </c>
      <c r="E180" s="53">
        <f>IFERROR(__xludf.DUMMYFUNCTION("""COMPUTED_VALUE"""),46490.0)</f>
        <v>46490</v>
      </c>
      <c r="F180" s="53">
        <f>IFERROR(__xludf.DUMMYFUNCTION("""COMPUTED_VALUE"""),46541.0)</f>
        <v>46541</v>
      </c>
      <c r="G180" s="51"/>
      <c r="H180" s="51"/>
    </row>
    <row r="181">
      <c r="A181" s="74">
        <f>IFERROR(__xludf.DUMMYFUNCTION("""COMPUTED_VALUE"""),2367.0)</f>
        <v>2367</v>
      </c>
      <c r="B181" s="52" t="str">
        <f>IFERROR(__xludf.DUMMYFUNCTION("""COMPUTED_VALUE"""),"31-Copacabana QUIMICOS")</f>
        <v>31-Copacabana QUIMICOS</v>
      </c>
      <c r="C181" s="51" t="str">
        <f>IFERROR(__xludf.DUMMYFUNCTION("""COMPUTED_VALUE"""),"TRL773")</f>
        <v>TRL773</v>
      </c>
      <c r="D181" s="51" t="str">
        <f>IFERROR(__xludf.DUMMYFUNCTION("""COMPUTED_VALUE"""),"CAMION CHEVROLET FRR")</f>
        <v>CAMION CHEVROLET FRR</v>
      </c>
      <c r="E181" s="53">
        <f>IFERROR(__xludf.DUMMYFUNCTION("""COMPUTED_VALUE"""),46490.0)</f>
        <v>46490</v>
      </c>
      <c r="F181" s="53">
        <f>IFERROR(__xludf.DUMMYFUNCTION("""COMPUTED_VALUE"""),46522.0)</f>
        <v>46522</v>
      </c>
      <c r="G181" s="51"/>
      <c r="H181" s="51"/>
    </row>
    <row r="182">
      <c r="A182" s="51">
        <f>IFERROR(__xludf.DUMMYFUNCTION("""COMPUTED_VALUE"""),2366.0)</f>
        <v>2366</v>
      </c>
      <c r="B182" s="52" t="str">
        <f>IFERROR(__xludf.DUMMYFUNCTION("""COMPUTED_VALUE"""),"02-Medellin")</f>
        <v>02-Medellin</v>
      </c>
      <c r="C182" s="51" t="str">
        <f>IFERROR(__xludf.DUMMYFUNCTION("""COMPUTED_VALUE"""),"WCV410")</f>
        <v>WCV410</v>
      </c>
      <c r="D182" s="51" t="str">
        <f>IFERROR(__xludf.DUMMYFUNCTION("""COMPUTED_VALUE"""),"FURGON HINO DUTRO PRO EJE SENCILLO")</f>
        <v>FURGON HINO DUTRO PRO EJE SENCILLO</v>
      </c>
      <c r="E182" s="53">
        <f>IFERROR(__xludf.DUMMYFUNCTION("""COMPUTED_VALUE"""),46246.0)</f>
        <v>46246</v>
      </c>
      <c r="F182" s="53">
        <f>IFERROR(__xludf.DUMMYFUNCTION("""COMPUTED_VALUE"""),46306.0)</f>
        <v>46306</v>
      </c>
      <c r="G182" s="51"/>
      <c r="H182" s="51"/>
    </row>
    <row r="183">
      <c r="A183" s="51">
        <f>IFERROR(__xludf.DUMMYFUNCTION("""COMPUTED_VALUE"""),2360.0)</f>
        <v>2360</v>
      </c>
      <c r="B183" s="52" t="str">
        <f>IFERROR(__xludf.DUMMYFUNCTION("""COMPUTED_VALUE"""),"02-Medellin")</f>
        <v>02-Medellin</v>
      </c>
      <c r="C183" s="51" t="str">
        <f>IFERROR(__xludf.DUMMYFUNCTION("""COMPUTED_VALUE"""),"TRM911")</f>
        <v>TRM911</v>
      </c>
      <c r="D183" s="51" t="str">
        <f>IFERROR(__xludf.DUMMYFUNCTION("""COMPUTED_VALUE"""),"FURGON HINO DUTRO PRO EJE SENCILLO")</f>
        <v>FURGON HINO DUTRO PRO EJE SENCILLO</v>
      </c>
      <c r="E183" s="53">
        <f>IFERROR(__xludf.DUMMYFUNCTION("""COMPUTED_VALUE"""),46445.0)</f>
        <v>46445</v>
      </c>
      <c r="F183" s="53">
        <f>IFERROR(__xludf.DUMMYFUNCTION("""COMPUTED_VALUE"""),46445.0)</f>
        <v>46445</v>
      </c>
      <c r="G183" s="51"/>
      <c r="H183" s="51"/>
    </row>
    <row r="184">
      <c r="A184" s="75">
        <f>IFERROR(__xludf.DUMMYFUNCTION("""COMPUTED_VALUE"""),2355.0)</f>
        <v>2355</v>
      </c>
      <c r="B184" s="52" t="str">
        <f>IFERROR(__xludf.DUMMYFUNCTION("""COMPUTED_VALUE"""),"31-Copacabana")</f>
        <v>31-Copacabana</v>
      </c>
      <c r="C184" s="51" t="str">
        <f>IFERROR(__xludf.DUMMYFUNCTION("""COMPUTED_VALUE"""),"TRM810")</f>
        <v>TRM810</v>
      </c>
      <c r="D184" s="51" t="str">
        <f>IFERROR(__xludf.DUMMYFUNCTION("""COMPUTED_VALUE"""),"FURGON HINO DUTRO PRO EJE SENCILLO")</f>
        <v>FURGON HINO DUTRO PRO EJE SENCILLO</v>
      </c>
      <c r="E184" s="53">
        <f>IFERROR(__xludf.DUMMYFUNCTION("""COMPUTED_VALUE"""),46445.0)</f>
        <v>46445</v>
      </c>
      <c r="F184" s="53">
        <f>IFERROR(__xludf.DUMMYFUNCTION("""COMPUTED_VALUE"""),46439.0)</f>
        <v>46439</v>
      </c>
      <c r="G184" s="51"/>
      <c r="H184" s="51"/>
    </row>
    <row r="185">
      <c r="A185" s="51">
        <f>IFERROR(__xludf.DUMMYFUNCTION("""COMPUTED_VALUE"""),2354.0)</f>
        <v>2354</v>
      </c>
      <c r="B185" s="52" t="str">
        <f>IFERROR(__xludf.DUMMYFUNCTION("""COMPUTED_VALUE"""),"31-Copacabana")</f>
        <v>31-Copacabana</v>
      </c>
      <c r="C185" s="51" t="str">
        <f>IFERROR(__xludf.DUMMYFUNCTION("""COMPUTED_VALUE"""),"TRM763")</f>
        <v>TRM763</v>
      </c>
      <c r="D185" s="51" t="str">
        <f>IFERROR(__xludf.DUMMYFUNCTION("""COMPUTED_VALUE"""),"FURGON HINO DUTRO PRO EJE SENCILLO")</f>
        <v>FURGON HINO DUTRO PRO EJE SENCILLO</v>
      </c>
      <c r="E185" s="53">
        <f>IFERROR(__xludf.DUMMYFUNCTION("""COMPUTED_VALUE"""),46445.0)</f>
        <v>46445</v>
      </c>
      <c r="F185" s="53">
        <f>IFERROR(__xludf.DUMMYFUNCTION("""COMPUTED_VALUE"""),46435.0)</f>
        <v>46435</v>
      </c>
      <c r="G185" s="51"/>
      <c r="H185" s="51"/>
    </row>
    <row r="186">
      <c r="A186" s="51">
        <f>IFERROR(__xludf.DUMMYFUNCTION("""COMPUTED_VALUE"""),2339.0)</f>
        <v>2339</v>
      </c>
      <c r="B186" s="52" t="str">
        <f>IFERROR(__xludf.DUMMYFUNCTION("""COMPUTED_VALUE"""),"02-Medellin")</f>
        <v>02-Medellin</v>
      </c>
      <c r="C186" s="51" t="str">
        <f>IFERROR(__xludf.DUMMYFUNCTION("""COMPUTED_VALUE"""),"TRL860")</f>
        <v>TRL860</v>
      </c>
      <c r="D186" s="51" t="str">
        <f>IFERROR(__xludf.DUMMYFUNCTION("""COMPUTED_VALUE"""),"FURGON CHEVROLET NKR IIIE")</f>
        <v>FURGON CHEVROLET NKR IIIE</v>
      </c>
      <c r="E186" s="53">
        <f>IFERROR(__xludf.DUMMYFUNCTION("""COMPUTED_VALUE"""),46445.0)</f>
        <v>46445</v>
      </c>
      <c r="F186" s="53">
        <f>IFERROR(__xludf.DUMMYFUNCTION("""COMPUTED_VALUE"""),46572.0)</f>
        <v>46572</v>
      </c>
      <c r="G186" s="51"/>
      <c r="H186" s="51"/>
    </row>
    <row r="187">
      <c r="A187" s="75">
        <f>IFERROR(__xludf.DUMMYFUNCTION("""COMPUTED_VALUE"""),2334.0)</f>
        <v>2334</v>
      </c>
      <c r="B187" s="52" t="str">
        <f>IFERROR(__xludf.DUMMYFUNCTION("""COMPUTED_VALUE"""),"27-Apartado")</f>
        <v>27-Apartado</v>
      </c>
      <c r="C187" s="51" t="str">
        <f>IFERROR(__xludf.DUMMYFUNCTION("""COMPUTED_VALUE"""),"TRL855")</f>
        <v>TRL855</v>
      </c>
      <c r="D187" s="51" t="str">
        <f>IFERROR(__xludf.DUMMYFUNCTION("""COMPUTED_VALUE"""),"FURGON CHEVROLET NKR IIIE")</f>
        <v>FURGON CHEVROLET NKR IIIE</v>
      </c>
      <c r="E187" s="53">
        <f>IFERROR(__xludf.DUMMYFUNCTION("""COMPUTED_VALUE"""),46445.0)</f>
        <v>46445</v>
      </c>
      <c r="F187" s="53">
        <f>IFERROR(__xludf.DUMMYFUNCTION("""COMPUTED_VALUE"""),46543.0)</f>
        <v>46543</v>
      </c>
      <c r="G187" s="51"/>
      <c r="H187" s="51"/>
    </row>
    <row r="188">
      <c r="A188" s="74">
        <f>IFERROR(__xludf.DUMMYFUNCTION("""COMPUTED_VALUE"""),2276.0)</f>
        <v>2276</v>
      </c>
      <c r="B188" s="52" t="str">
        <f>IFERROR(__xludf.DUMMYFUNCTION("""COMPUTED_VALUE"""),"02-Medellin")</f>
        <v>02-Medellin</v>
      </c>
      <c r="C188" s="51" t="str">
        <f>IFERROR(__xludf.DUMMYFUNCTION("""COMPUTED_VALUE"""),"SNP571")</f>
        <v>SNP571</v>
      </c>
      <c r="D188" s="51" t="str">
        <f>IFERROR(__xludf.DUMMYFUNCTION("""COMPUTED_VALUE"""),"VAN RENAULT MASTER")</f>
        <v>VAN RENAULT MASTER</v>
      </c>
      <c r="E188" s="53">
        <f>IFERROR(__xludf.DUMMYFUNCTION("""COMPUTED_VALUE"""),46574.0)</f>
        <v>46574</v>
      </c>
      <c r="F188" s="53">
        <f>IFERROR(__xludf.DUMMYFUNCTION("""COMPUTED_VALUE"""),46366.0)</f>
        <v>46366</v>
      </c>
      <c r="G188" s="51"/>
      <c r="H188" s="51"/>
    </row>
    <row r="189" ht="16.5" customHeight="1">
      <c r="A189" s="75">
        <f>IFERROR(__xludf.DUMMYFUNCTION("""COMPUTED_VALUE"""),2275.0)</f>
        <v>2275</v>
      </c>
      <c r="B189" s="52" t="str">
        <f>IFERROR(__xludf.DUMMYFUNCTION("""COMPUTED_VALUE"""),"02-Medellin")</f>
        <v>02-Medellin</v>
      </c>
      <c r="C189" s="51" t="str">
        <f>IFERROR(__xludf.DUMMYFUNCTION("""COMPUTED_VALUE"""),"SNP570")</f>
        <v>SNP570</v>
      </c>
      <c r="D189" s="51" t="str">
        <f>IFERROR(__xludf.DUMMYFUNCTION("""COMPUTED_VALUE"""),"VAN RENAULT MASTER")</f>
        <v>VAN RENAULT MASTER</v>
      </c>
      <c r="E189" s="53">
        <f>IFERROR(__xludf.DUMMYFUNCTION("""COMPUTED_VALUE"""),46228.0)</f>
        <v>46228</v>
      </c>
      <c r="F189" s="53">
        <f>IFERROR(__xludf.DUMMYFUNCTION("""COMPUTED_VALUE"""),46263.0)</f>
        <v>46263</v>
      </c>
      <c r="G189" s="51"/>
      <c r="H189" s="51"/>
    </row>
    <row r="190">
      <c r="A190" s="76">
        <f>IFERROR(__xludf.DUMMYFUNCTION("""COMPUTED_VALUE"""),2230.0)</f>
        <v>2230</v>
      </c>
      <c r="B190" s="52" t="str">
        <f>IFERROR(__xludf.DUMMYFUNCTION("""COMPUTED_VALUE"""),"02-Medellin")</f>
        <v>02-Medellin</v>
      </c>
      <c r="C190" s="51" t="str">
        <f>IFERROR(__xludf.DUMMYFUNCTION("""COMPUTED_VALUE"""),"TRH260")</f>
        <v>TRH260</v>
      </c>
      <c r="D190" s="51" t="str">
        <f>IFERROR(__xludf.DUMMYFUNCTION("""COMPUTED_VALUE"""),"FURGON CHEVROLET NKR III")</f>
        <v>FURGON CHEVROLET NKR III</v>
      </c>
      <c r="E190" s="53">
        <f>IFERROR(__xludf.DUMMYFUNCTION("""COMPUTED_VALUE"""),46535.0)</f>
        <v>46535</v>
      </c>
      <c r="F190" s="53">
        <f>IFERROR(__xludf.DUMMYFUNCTION("""COMPUTED_VALUE"""),46570.0)</f>
        <v>46570</v>
      </c>
      <c r="G190" s="51"/>
      <c r="H190" s="51"/>
    </row>
    <row r="191">
      <c r="A191" s="51">
        <f>IFERROR(__xludf.DUMMYFUNCTION("""COMPUTED_VALUE"""),2206.0)</f>
        <v>2206</v>
      </c>
      <c r="B191" s="52" t="str">
        <f>IFERROR(__xludf.DUMMYFUNCTION("""COMPUTED_VALUE"""),"MAYORCA")</f>
        <v>MAYORCA</v>
      </c>
      <c r="C191" s="51" t="str">
        <f>IFERROR(__xludf.DUMMYFUNCTION("""COMPUTED_VALUE"""),"TRH162")</f>
        <v>TRH162</v>
      </c>
      <c r="D191" s="51" t="str">
        <f>IFERROR(__xludf.DUMMYFUNCTION("""COMPUTED_VALUE"""),"FURGON HINO DUTROPACK")</f>
        <v>FURGON HINO DUTROPACK</v>
      </c>
      <c r="E191" s="53">
        <f>IFERROR(__xludf.DUMMYFUNCTION("""COMPUTED_VALUE"""),46519.0)</f>
        <v>46519</v>
      </c>
      <c r="F191" s="53">
        <f>IFERROR(__xludf.DUMMYFUNCTION("""COMPUTED_VALUE"""),46548.0)</f>
        <v>46548</v>
      </c>
      <c r="G191" s="51"/>
      <c r="H191" s="51"/>
    </row>
    <row r="192">
      <c r="A192" s="77">
        <f>IFERROR(__xludf.DUMMYFUNCTION("""COMPUTED_VALUE"""),2204.0)</f>
        <v>2204</v>
      </c>
      <c r="B192" s="52" t="str">
        <f>IFERROR(__xludf.DUMMYFUNCTION("""COMPUTED_VALUE"""),"BULTOS")</f>
        <v>BULTOS</v>
      </c>
      <c r="C192" s="51" t="str">
        <f>IFERROR(__xludf.DUMMYFUNCTION("""COMPUTED_VALUE"""),"TRH160")</f>
        <v>TRH160</v>
      </c>
      <c r="D192" s="51" t="str">
        <f>IFERROR(__xludf.DUMMYFUNCTION("""COMPUTED_VALUE"""),"FURGON HINO DUTROPACK")</f>
        <v>FURGON HINO DUTROPACK</v>
      </c>
      <c r="E192" s="53">
        <f>IFERROR(__xludf.DUMMYFUNCTION("""COMPUTED_VALUE"""),46503.0)</f>
        <v>46503</v>
      </c>
      <c r="F192" s="53">
        <f>IFERROR(__xludf.DUMMYFUNCTION("""COMPUTED_VALUE"""),46523.0)</f>
        <v>46523</v>
      </c>
      <c r="G192" s="51"/>
      <c r="H192" s="51"/>
    </row>
    <row r="193">
      <c r="A193" s="77">
        <f>IFERROR(__xludf.DUMMYFUNCTION("""COMPUTED_VALUE"""),2202.0)</f>
        <v>2202</v>
      </c>
      <c r="B193" s="77" t="str">
        <f>IFERROR(__xludf.DUMMYFUNCTION("""COMPUTED_VALUE"""),"02-Medellin")</f>
        <v>02-Medellin</v>
      </c>
      <c r="C193" s="51" t="str">
        <f>IFERROR(__xludf.DUMMYFUNCTION("""COMPUTED_VALUE"""),"TRH158")</f>
        <v>TRH158</v>
      </c>
      <c r="D193" s="51" t="str">
        <f>IFERROR(__xludf.DUMMYFUNCTION("""COMPUTED_VALUE"""),"FURGON HINO DUTROPACK")</f>
        <v>FURGON HINO DUTROPACK</v>
      </c>
      <c r="E193" s="53">
        <f>IFERROR(__xludf.DUMMYFUNCTION("""COMPUTED_VALUE"""),46503.0)</f>
        <v>46503</v>
      </c>
      <c r="F193" s="53">
        <f>IFERROR(__xludf.DUMMYFUNCTION("""COMPUTED_VALUE"""),46527.0)</f>
        <v>46527</v>
      </c>
      <c r="G193" s="51"/>
      <c r="H193" s="51"/>
    </row>
    <row r="194">
      <c r="A194" s="77">
        <f>IFERROR(__xludf.DUMMYFUNCTION("""COMPUTED_VALUE"""),2201.0)</f>
        <v>2201</v>
      </c>
      <c r="B194" s="77" t="str">
        <f>IFERROR(__xludf.DUMMYFUNCTION("""COMPUTED_VALUE"""),"02-Medellin")</f>
        <v>02-Medellin</v>
      </c>
      <c r="C194" s="51" t="str">
        <f>IFERROR(__xludf.DUMMYFUNCTION("""COMPUTED_VALUE"""),"TRH157")</f>
        <v>TRH157</v>
      </c>
      <c r="D194" s="51" t="str">
        <f>IFERROR(__xludf.DUMMYFUNCTION("""COMPUTED_VALUE"""),"FURGON HINO DUTROPACK")</f>
        <v>FURGON HINO DUTROPACK</v>
      </c>
      <c r="E194" s="53">
        <f>IFERROR(__xludf.DUMMYFUNCTION("""COMPUTED_VALUE"""),46503.0)</f>
        <v>46503</v>
      </c>
      <c r="F194" s="53">
        <f>IFERROR(__xludf.DUMMYFUNCTION("""COMPUTED_VALUE"""),46543.0)</f>
        <v>46543</v>
      </c>
      <c r="G194" s="51"/>
      <c r="H194" s="51"/>
    </row>
    <row r="195">
      <c r="A195" s="77">
        <f>IFERROR(__xludf.DUMMYFUNCTION("""COMPUTED_VALUE"""),2200.0)</f>
        <v>2200</v>
      </c>
      <c r="B195" s="77" t="str">
        <f>IFERROR(__xludf.DUMMYFUNCTION("""COMPUTED_VALUE"""),"BULTOS")</f>
        <v>BULTOS</v>
      </c>
      <c r="C195" s="51" t="str">
        <f>IFERROR(__xludf.DUMMYFUNCTION("""COMPUTED_VALUE"""),"TRH156")</f>
        <v>TRH156</v>
      </c>
      <c r="D195" s="51" t="str">
        <f>IFERROR(__xludf.DUMMYFUNCTION("""COMPUTED_VALUE"""),"FURGON HINO DUTROPACK")</f>
        <v>FURGON HINO DUTROPACK</v>
      </c>
      <c r="E195" s="53">
        <f>IFERROR(__xludf.DUMMYFUNCTION("""COMPUTED_VALUE"""),46503.0)</f>
        <v>46503</v>
      </c>
      <c r="F195" s="53">
        <f>IFERROR(__xludf.DUMMYFUNCTION("""COMPUTED_VALUE"""),46478.0)</f>
        <v>46478</v>
      </c>
      <c r="G195" s="51"/>
      <c r="H195" s="51"/>
    </row>
    <row r="196">
      <c r="A196" s="77">
        <f>IFERROR(__xludf.DUMMYFUNCTION("""COMPUTED_VALUE"""),2198.0)</f>
        <v>2198</v>
      </c>
      <c r="B196" s="77" t="str">
        <f>IFERROR(__xludf.DUMMYFUNCTION("""COMPUTED_VALUE"""),"02-Medellin")</f>
        <v>02-Medellin</v>
      </c>
      <c r="C196" s="51" t="str">
        <f>IFERROR(__xludf.DUMMYFUNCTION("""COMPUTED_VALUE"""),"TRH154")</f>
        <v>TRH154</v>
      </c>
      <c r="D196" s="51" t="str">
        <f>IFERROR(__xludf.DUMMYFUNCTION("""COMPUTED_VALUE"""),"FURGON HINO DUTROPACK")</f>
        <v>FURGON HINO DUTROPACK</v>
      </c>
      <c r="E196" s="53">
        <f>IFERROR(__xludf.DUMMYFUNCTION("""COMPUTED_VALUE"""),46503.0)</f>
        <v>46503</v>
      </c>
      <c r="F196" s="53">
        <f>IFERROR(__xludf.DUMMYFUNCTION("""COMPUTED_VALUE"""),46515.0)</f>
        <v>46515</v>
      </c>
      <c r="G196" s="51"/>
      <c r="H196" s="51"/>
    </row>
    <row r="197">
      <c r="A197" s="77">
        <f>IFERROR(__xludf.DUMMYFUNCTION("""COMPUTED_VALUE"""),2197.0)</f>
        <v>2197</v>
      </c>
      <c r="B197" s="77" t="str">
        <f>IFERROR(__xludf.DUMMYFUNCTION("""COMPUTED_VALUE"""),"02-Medellin")</f>
        <v>02-Medellin</v>
      </c>
      <c r="C197" s="51" t="str">
        <f>IFERROR(__xludf.DUMMYFUNCTION("""COMPUTED_VALUE"""),"TRH153")</f>
        <v>TRH153</v>
      </c>
      <c r="D197" s="51" t="str">
        <f>IFERROR(__xludf.DUMMYFUNCTION("""COMPUTED_VALUE"""),"FURGON HINO DUTROPACK")</f>
        <v>FURGON HINO DUTROPACK</v>
      </c>
      <c r="E197" s="53">
        <f>IFERROR(__xludf.DUMMYFUNCTION("""COMPUTED_VALUE"""),46503.0)</f>
        <v>46503</v>
      </c>
      <c r="F197" s="53">
        <f>IFERROR(__xludf.DUMMYFUNCTION("""COMPUTED_VALUE"""),46529.0)</f>
        <v>46529</v>
      </c>
      <c r="G197" s="51"/>
      <c r="H197" s="51"/>
    </row>
    <row r="198">
      <c r="A198" s="77">
        <f>IFERROR(__xludf.DUMMYFUNCTION("""COMPUTED_VALUE"""),2196.0)</f>
        <v>2196</v>
      </c>
      <c r="B198" s="77" t="str">
        <f>IFERROR(__xludf.DUMMYFUNCTION("""COMPUTED_VALUE"""),"02-Medellin")</f>
        <v>02-Medellin</v>
      </c>
      <c r="C198" s="51" t="str">
        <f>IFERROR(__xludf.DUMMYFUNCTION("""COMPUTED_VALUE"""),"TRH152")</f>
        <v>TRH152</v>
      </c>
      <c r="D198" s="51" t="str">
        <f>IFERROR(__xludf.DUMMYFUNCTION("""COMPUTED_VALUE"""),"FURGON HINO DUTROPACK")</f>
        <v>FURGON HINO DUTROPACK</v>
      </c>
      <c r="E198" s="53">
        <f>IFERROR(__xludf.DUMMYFUNCTION("""COMPUTED_VALUE"""),46503.0)</f>
        <v>46503</v>
      </c>
      <c r="F198" s="53">
        <f>IFERROR(__xludf.DUMMYFUNCTION("""COMPUTED_VALUE"""),46542.0)</f>
        <v>46542</v>
      </c>
      <c r="G198" s="51"/>
      <c r="H198" s="51"/>
    </row>
    <row r="199">
      <c r="A199" s="77">
        <f>IFERROR(__xludf.DUMMYFUNCTION("""COMPUTED_VALUE"""),2195.0)</f>
        <v>2195</v>
      </c>
      <c r="B199" s="77" t="str">
        <f>IFERROR(__xludf.DUMMYFUNCTION("""COMPUTED_VALUE"""),"02-Medellin")</f>
        <v>02-Medellin</v>
      </c>
      <c r="C199" s="51" t="str">
        <f>IFERROR(__xludf.DUMMYFUNCTION("""COMPUTED_VALUE"""),"TRH151")</f>
        <v>TRH151</v>
      </c>
      <c r="D199" s="51" t="str">
        <f>IFERROR(__xludf.DUMMYFUNCTION("""COMPUTED_VALUE"""),"FURGON HINO DUTROPACK")</f>
        <v>FURGON HINO DUTROPACK</v>
      </c>
      <c r="E199" s="53">
        <f>IFERROR(__xludf.DUMMYFUNCTION("""COMPUTED_VALUE"""),46503.0)</f>
        <v>46503</v>
      </c>
      <c r="F199" s="53">
        <f>IFERROR(__xludf.DUMMYFUNCTION("""COMPUTED_VALUE"""),46544.0)</f>
        <v>46544</v>
      </c>
      <c r="G199" s="51"/>
      <c r="H199" s="51"/>
    </row>
    <row r="200">
      <c r="A200" s="77">
        <f>IFERROR(__xludf.DUMMYFUNCTION("""COMPUTED_VALUE"""),2194.0)</f>
        <v>2194</v>
      </c>
      <c r="B200" s="77" t="str">
        <f>IFERROR(__xludf.DUMMYFUNCTION("""COMPUTED_VALUE"""),"02-Medellin")</f>
        <v>02-Medellin</v>
      </c>
      <c r="C200" s="51" t="str">
        <f>IFERROR(__xludf.DUMMYFUNCTION("""COMPUTED_VALUE"""),"TRH150")</f>
        <v>TRH150</v>
      </c>
      <c r="D200" s="51" t="str">
        <f>IFERROR(__xludf.DUMMYFUNCTION("""COMPUTED_VALUE"""),"FURGON HINO DUTROPACK")</f>
        <v>FURGON HINO DUTROPACK</v>
      </c>
      <c r="E200" s="53">
        <f>IFERROR(__xludf.DUMMYFUNCTION("""COMPUTED_VALUE"""),46503.0)</f>
        <v>46503</v>
      </c>
      <c r="F200" s="53">
        <f>IFERROR(__xludf.DUMMYFUNCTION("""COMPUTED_VALUE"""),46530.0)</f>
        <v>46530</v>
      </c>
      <c r="G200" s="51"/>
      <c r="H200" s="51"/>
    </row>
    <row r="201">
      <c r="A201" s="77">
        <f>IFERROR(__xludf.DUMMYFUNCTION("""COMPUTED_VALUE"""),2188.0)</f>
        <v>2188</v>
      </c>
      <c r="B201" s="77" t="str">
        <f>IFERROR(__xludf.DUMMYFUNCTION("""COMPUTED_VALUE"""),"BULTOS")</f>
        <v>BULTOS</v>
      </c>
      <c r="C201" s="51" t="str">
        <f>IFERROR(__xludf.DUMMYFUNCTION("""COMPUTED_VALUE"""),"SNP316")</f>
        <v>SNP316</v>
      </c>
      <c r="D201" s="51" t="str">
        <f>IFERROR(__xludf.DUMMYFUNCTION("""COMPUTED_VALUE"""),"FURGON CHEVROLET NKR III")</f>
        <v>FURGON CHEVROLET NKR III</v>
      </c>
      <c r="E201" s="53">
        <f>IFERROR(__xludf.DUMMYFUNCTION("""COMPUTED_VALUE"""),46470.0)</f>
        <v>46470</v>
      </c>
      <c r="F201" s="53">
        <f>IFERROR(__xludf.DUMMYFUNCTION("""COMPUTED_VALUE"""),46375.0)</f>
        <v>46375</v>
      </c>
      <c r="G201" s="51"/>
      <c r="H201" s="51"/>
    </row>
    <row r="202">
      <c r="A202" s="77">
        <f>IFERROR(__xludf.DUMMYFUNCTION("""COMPUTED_VALUE"""),2187.0)</f>
        <v>2187</v>
      </c>
      <c r="B202" s="77" t="str">
        <f>IFERROR(__xludf.DUMMYFUNCTION("""COMPUTED_VALUE"""),"02-Medellin")</f>
        <v>02-Medellin</v>
      </c>
      <c r="C202" s="51" t="str">
        <f>IFERROR(__xludf.DUMMYFUNCTION("""COMPUTED_VALUE"""),"SNP315")</f>
        <v>SNP315</v>
      </c>
      <c r="D202" s="51" t="str">
        <f>IFERROR(__xludf.DUMMYFUNCTION("""COMPUTED_VALUE"""),"FURGON CHEVROLET NKR III")</f>
        <v>FURGON CHEVROLET NKR III</v>
      </c>
      <c r="E202" s="53">
        <f>IFERROR(__xludf.DUMMYFUNCTION("""COMPUTED_VALUE"""),46465.0)</f>
        <v>46465</v>
      </c>
      <c r="F202" s="53">
        <f>IFERROR(__xludf.DUMMYFUNCTION("""COMPUTED_VALUE"""),46410.0)</f>
        <v>46410</v>
      </c>
      <c r="G202" s="51"/>
      <c r="H202" s="51"/>
    </row>
    <row r="203">
      <c r="A203" s="78">
        <f>IFERROR(__xludf.DUMMYFUNCTION("""COMPUTED_VALUE"""),2179.0)</f>
        <v>2179</v>
      </c>
      <c r="B203" s="78" t="str">
        <f>IFERROR(__xludf.DUMMYFUNCTION("""COMPUTED_VALUE"""),"02-Medellin")</f>
        <v>02-Medellin</v>
      </c>
      <c r="C203" s="51" t="str">
        <f>IFERROR(__xludf.DUMMYFUNCTION("""COMPUTED_VALUE"""),"SNP307")</f>
        <v>SNP307</v>
      </c>
      <c r="D203" s="51" t="str">
        <f>IFERROR(__xludf.DUMMYFUNCTION("""COMPUTED_VALUE"""),"FURGON CHEVROLET NKR III")</f>
        <v>FURGON CHEVROLET NKR III</v>
      </c>
      <c r="E203" s="53">
        <f>IFERROR(__xludf.DUMMYFUNCTION("""COMPUTED_VALUE"""),46465.0)</f>
        <v>46465</v>
      </c>
      <c r="F203" s="53">
        <f>IFERROR(__xludf.DUMMYFUNCTION("""COMPUTED_VALUE"""),46383.0)</f>
        <v>46383</v>
      </c>
      <c r="G203" s="51"/>
      <c r="H203" s="51"/>
    </row>
    <row r="204">
      <c r="A204" s="78">
        <f>IFERROR(__xludf.DUMMYFUNCTION("""COMPUTED_VALUE"""),1798.0)</f>
        <v>1798</v>
      </c>
      <c r="B204" s="78" t="str">
        <f>IFERROR(__xludf.DUMMYFUNCTION("""COMPUTED_VALUE"""),"02-Medellin")</f>
        <v>02-Medellin</v>
      </c>
      <c r="C204" s="51" t="str">
        <f>IFERROR(__xludf.DUMMYFUNCTION("""COMPUTED_VALUE"""),"WLY678")</f>
        <v>WLY678</v>
      </c>
      <c r="D204" s="51" t="str">
        <f>IFERROR(__xludf.DUMMYFUNCTION("""COMPUTED_VALUE"""),"VAN FOTON BJ5")</f>
        <v>VAN FOTON BJ5</v>
      </c>
      <c r="E204" s="53">
        <f>IFERROR(__xludf.DUMMYFUNCTION("""COMPUTED_VALUE"""),46461.0)</f>
        <v>46461</v>
      </c>
      <c r="F204" s="53">
        <f>IFERROR(__xludf.DUMMYFUNCTION("""COMPUTED_VALUE"""),46565.0)</f>
        <v>46565</v>
      </c>
      <c r="G204" s="51"/>
      <c r="H204" s="51"/>
    </row>
    <row r="205">
      <c r="A205" s="77">
        <f>IFERROR(__xludf.DUMMYFUNCTION("""COMPUTED_VALUE"""),982.0)</f>
        <v>982</v>
      </c>
      <c r="B205" s="77" t="str">
        <f>IFERROR(__xludf.DUMMYFUNCTION("""COMPUTED_VALUE"""),"02-Medellin")</f>
        <v>02-Medellin</v>
      </c>
      <c r="C205" s="51" t="str">
        <f>IFERROR(__xludf.DUMMYFUNCTION("""COMPUTED_VALUE"""),"BNQ233")</f>
        <v>BNQ233</v>
      </c>
      <c r="D205" s="51" t="str">
        <f>IFERROR(__xludf.DUMMYFUNCTION("""COMPUTED_VALUE"""),"CAMIONETA NISSAN PATHFINDER")</f>
        <v>CAMIONETA NISSAN PATHFINDER</v>
      </c>
      <c r="E205" s="53">
        <f>IFERROR(__xludf.DUMMYFUNCTION("""COMPUTED_VALUE"""),46443.0)</f>
        <v>46443</v>
      </c>
      <c r="F205" s="53">
        <f>IFERROR(__xludf.DUMMYFUNCTION("""COMPUTED_VALUE"""),46551.0)</f>
        <v>46551</v>
      </c>
      <c r="G205" s="51"/>
      <c r="H205" s="51"/>
    </row>
    <row r="206">
      <c r="A206" s="77">
        <f>IFERROR(__xludf.DUMMYFUNCTION("""COMPUTED_VALUE"""),962.0)</f>
        <v>962</v>
      </c>
      <c r="B206" s="77" t="str">
        <f>IFERROR(__xludf.DUMMYFUNCTION("""COMPUTED_VALUE"""),"02-Medellin")</f>
        <v>02-Medellin</v>
      </c>
      <c r="C206" s="51" t="str">
        <f>IFERROR(__xludf.DUMMYFUNCTION("""COMPUTED_VALUE"""),"WPM835")</f>
        <v>WPM835</v>
      </c>
      <c r="D206" s="51" t="str">
        <f>IFERROR(__xludf.DUMMYFUNCTION("""COMPUTED_VALUE"""),"RENAULT DUSTER")</f>
        <v>RENAULT DUSTER</v>
      </c>
      <c r="E206" s="53">
        <f>IFERROR(__xludf.DUMMYFUNCTION("""COMPUTED_VALUE"""),46384.0)</f>
        <v>46384</v>
      </c>
      <c r="F206" s="53">
        <f>IFERROR(__xludf.DUMMYFUNCTION("""COMPUTED_VALUE"""),46500.0)</f>
        <v>46500</v>
      </c>
      <c r="G206" s="51"/>
      <c r="H206" s="51"/>
    </row>
    <row r="207">
      <c r="A207" s="78">
        <f>IFERROR(__xludf.DUMMYFUNCTION("""COMPUTED_VALUE"""),975.0)</f>
        <v>975</v>
      </c>
      <c r="B207" s="78" t="str">
        <f>IFERROR(__xludf.DUMMYFUNCTION("""COMPUTED_VALUE"""),"02-Medellin")</f>
        <v>02-Medellin</v>
      </c>
      <c r="C207" s="51" t="str">
        <f>IFERROR(__xludf.DUMMYFUNCTION("""COMPUTED_VALUE"""),"ITX257")</f>
        <v>ITX257</v>
      </c>
      <c r="D207" s="51" t="str">
        <f>IFERROR(__xludf.DUMMYFUNCTION("""COMPUTED_VALUE"""),"CAMIONETA NISSAN PATHFINDER")</f>
        <v>CAMIONETA NISSAN PATHFINDER</v>
      </c>
      <c r="E207" s="53">
        <f>IFERROR(__xludf.DUMMYFUNCTION("""COMPUTED_VALUE"""),46218.0)</f>
        <v>46218</v>
      </c>
      <c r="F207" s="53">
        <f>IFERROR(__xludf.DUMMYFUNCTION("""COMPUTED_VALUE"""),46214.0)</f>
        <v>46214</v>
      </c>
      <c r="G207" s="51"/>
      <c r="H207" s="51"/>
    </row>
    <row r="208">
      <c r="A208" s="77">
        <f>IFERROR(__xludf.DUMMYFUNCTION("""COMPUTED_VALUE"""),976.0)</f>
        <v>976</v>
      </c>
      <c r="B208" s="77" t="str">
        <f>IFERROR(__xludf.DUMMYFUNCTION("""COMPUTED_VALUE"""),"02-Medellin")</f>
        <v>02-Medellin</v>
      </c>
      <c r="C208" s="51" t="str">
        <f>IFERROR(__xludf.DUMMYFUNCTION("""COMPUTED_VALUE"""),"EWZ999")</f>
        <v>EWZ999</v>
      </c>
      <c r="D208" s="51" t="str">
        <f>IFERROR(__xludf.DUMMYFUNCTION("""COMPUTED_VALUE"""),"CAMIONETA NISSAN PATHFINDER")</f>
        <v>CAMIONETA NISSAN PATHFINDER</v>
      </c>
      <c r="E208" s="53">
        <f>IFERROR(__xludf.DUMMYFUNCTION("""COMPUTED_VALUE"""),46219.0)</f>
        <v>46219</v>
      </c>
      <c r="F208" s="53">
        <f>IFERROR(__xludf.DUMMYFUNCTION("""COMPUTED_VALUE"""),46047.0)</f>
        <v>46047</v>
      </c>
      <c r="G208" s="51"/>
      <c r="H208" s="51"/>
    </row>
    <row r="209">
      <c r="A209" s="77">
        <f>IFERROR(__xludf.DUMMYFUNCTION("""COMPUTED_VALUE"""),951.0)</f>
        <v>951</v>
      </c>
      <c r="B209" s="77" t="str">
        <f>IFERROR(__xludf.DUMMYFUNCTION("""COMPUTED_VALUE"""),"02-Medellin")</f>
        <v>02-Medellin</v>
      </c>
      <c r="C209" s="51" t="str">
        <f>IFERROR(__xludf.DUMMYFUNCTION("""COMPUTED_VALUE"""),"TKG949")</f>
        <v>TKG949</v>
      </c>
      <c r="D209" s="51" t="str">
        <f>IFERROR(__xludf.DUMMYFUNCTION("""COMPUTED_VALUE"""),"VAN CHEVROLET CARRY")</f>
        <v>VAN CHEVROLET CARRY</v>
      </c>
      <c r="E209" s="53">
        <f>IFERROR(__xludf.DUMMYFUNCTION("""COMPUTED_VALUE"""),46245.0)</f>
        <v>46245</v>
      </c>
      <c r="F209" s="53">
        <f>IFERROR(__xludf.DUMMYFUNCTION("""COMPUTED_VALUE"""),46211.0)</f>
        <v>46211</v>
      </c>
      <c r="G209" s="51"/>
      <c r="H209" s="51"/>
    </row>
    <row r="210">
      <c r="A210" s="77">
        <f>IFERROR(__xludf.DUMMYFUNCTION("""COMPUTED_VALUE"""),2779.0)</f>
        <v>2779</v>
      </c>
      <c r="B210" s="77" t="str">
        <f>IFERROR(__xludf.DUMMYFUNCTION("""COMPUTED_VALUE"""),"02-Medellin")</f>
        <v>02-Medellin</v>
      </c>
      <c r="C210" s="51" t="str">
        <f>IFERROR(__xludf.DUMMYFUNCTION("""COMPUTED_VALUE"""),"TRK409")</f>
        <v>TRK409</v>
      </c>
      <c r="D210" s="51" t="str">
        <f>IFERROR(__xludf.DUMMYFUNCTION("""COMPUTED_VALUE"""),"TRACTOMULA EAGLE 9400 ISX400")</f>
        <v>TRACTOMULA EAGLE 9400 ISX400</v>
      </c>
      <c r="E210" s="53">
        <f>IFERROR(__xludf.DUMMYFUNCTION("""COMPUTED_VALUE"""),46220.0)</f>
        <v>46220</v>
      </c>
      <c r="F210" s="53">
        <f>IFERROR(__xludf.DUMMYFUNCTION("""COMPUTED_VALUE"""),46306.0)</f>
        <v>46306</v>
      </c>
      <c r="G210" s="51"/>
      <c r="H210" s="51"/>
    </row>
    <row r="211">
      <c r="A211" s="77">
        <f>IFERROR(__xludf.DUMMYFUNCTION("""COMPUTED_VALUE"""),3047.0)</f>
        <v>3047</v>
      </c>
      <c r="B211" s="77" t="str">
        <f>IFERROR(__xludf.DUMMYFUNCTION("""COMPUTED_VALUE"""),"02-Medellin")</f>
        <v>02-Medellin</v>
      </c>
      <c r="C211" s="51" t="str">
        <f>IFERROR(__xludf.DUMMYFUNCTION("""COMPUTED_VALUE"""),"TRK336")</f>
        <v>TRK336</v>
      </c>
      <c r="D211" s="51" t="str">
        <f>IFERROR(__xludf.DUMMYFUNCTION("""COMPUTED_VALUE"""),"TRACTOMULA EAGLE 9400 ISX400")</f>
        <v>TRACTOMULA EAGLE 9400 ISX400</v>
      </c>
      <c r="E211" s="53">
        <f>IFERROR(__xludf.DUMMYFUNCTION("""COMPUTED_VALUE"""),46220.0)</f>
        <v>46220</v>
      </c>
      <c r="F211" s="53">
        <f>IFERROR(__xludf.DUMMYFUNCTION("""COMPUTED_VALUE"""),46276.0)</f>
        <v>46276</v>
      </c>
      <c r="G211" s="51"/>
      <c r="H211" s="51"/>
    </row>
    <row r="212">
      <c r="A212" s="78">
        <f>IFERROR(__xludf.DUMMYFUNCTION("""COMPUTED_VALUE"""),3048.0)</f>
        <v>3048</v>
      </c>
      <c r="B212" s="78" t="str">
        <f>IFERROR(__xludf.DUMMYFUNCTION("""COMPUTED_VALUE"""),"02-Medellin")</f>
        <v>02-Medellin</v>
      </c>
      <c r="C212" s="51" t="str">
        <f>IFERROR(__xludf.DUMMYFUNCTION("""COMPUTED_VALUE"""),"TRK337")</f>
        <v>TRK337</v>
      </c>
      <c r="D212" s="51" t="str">
        <f>IFERROR(__xludf.DUMMYFUNCTION("""COMPUTED_VALUE"""),"TRACTOMULA EAGLE 9400 ISX400")</f>
        <v>TRACTOMULA EAGLE 9400 ISX400</v>
      </c>
      <c r="E212" s="53">
        <f>IFERROR(__xludf.DUMMYFUNCTION("""COMPUTED_VALUE"""),46220.0)</f>
        <v>46220</v>
      </c>
      <c r="F212" s="53">
        <f>IFERROR(__xludf.DUMMYFUNCTION("""COMPUTED_VALUE"""),46280.0)</f>
        <v>46280</v>
      </c>
      <c r="G212" s="51"/>
      <c r="H212" s="51"/>
    </row>
    <row r="213">
      <c r="A213" s="77">
        <f>IFERROR(__xludf.DUMMYFUNCTION("""COMPUTED_VALUE"""),3049.0)</f>
        <v>3049</v>
      </c>
      <c r="B213" s="77" t="str">
        <f>IFERROR(__xludf.DUMMYFUNCTION("""COMPUTED_VALUE"""),"02-Medellin")</f>
        <v>02-Medellin</v>
      </c>
      <c r="C213" s="51" t="str">
        <f>IFERROR(__xludf.DUMMYFUNCTION("""COMPUTED_VALUE"""),"TRK355")</f>
        <v>TRK355</v>
      </c>
      <c r="D213" s="51" t="str">
        <f>IFERROR(__xludf.DUMMYFUNCTION("""COMPUTED_VALUE"""),"TRACTOMULA EAGLE 9400 ISX400")</f>
        <v>TRACTOMULA EAGLE 9400 ISX400</v>
      </c>
      <c r="E213" s="53">
        <f>IFERROR(__xludf.DUMMYFUNCTION("""COMPUTED_VALUE"""),46235.0)</f>
        <v>46235</v>
      </c>
      <c r="F213" s="53">
        <f>IFERROR(__xludf.DUMMYFUNCTION("""COMPUTED_VALUE"""),46273.0)</f>
        <v>46273</v>
      </c>
      <c r="G213" s="51"/>
      <c r="H213" s="51"/>
    </row>
    <row r="214">
      <c r="A214" s="77">
        <f>IFERROR(__xludf.DUMMYFUNCTION("""COMPUTED_VALUE"""),461.0)</f>
        <v>461</v>
      </c>
      <c r="B214" s="77" t="str">
        <f>IFERROR(__xludf.DUMMYFUNCTION("""COMPUTED_VALUE"""),"02-Medellin")</f>
        <v>02-Medellin</v>
      </c>
      <c r="C214" s="51" t="str">
        <f>IFERROR(__xludf.DUMMYFUNCTION("""COMPUTED_VALUE"""),"TRG638")</f>
        <v>TRG638</v>
      </c>
      <c r="D214" s="51" t="str">
        <f>IFERROR(__xludf.DUMMYFUNCTION("""COMPUTED_VALUE"""),"TRACTOMULA EAGLE 9400 ISX400")</f>
        <v>TRACTOMULA EAGLE 9400 ISX400</v>
      </c>
      <c r="E214" s="53">
        <f>IFERROR(__xludf.DUMMYFUNCTION("""COMPUTED_VALUE"""),46352.0)</f>
        <v>46352</v>
      </c>
      <c r="F214" s="53">
        <f>IFERROR(__xludf.DUMMYFUNCTION("""COMPUTED_VALUE"""),46420.0)</f>
        <v>46420</v>
      </c>
      <c r="G214" s="51"/>
      <c r="H214" s="51"/>
    </row>
    <row r="215">
      <c r="A215" s="78">
        <f>IFERROR(__xludf.DUMMYFUNCTION("""COMPUTED_VALUE"""),464.0)</f>
        <v>464</v>
      </c>
      <c r="B215" s="78" t="str">
        <f>IFERROR(__xludf.DUMMYFUNCTION("""COMPUTED_VALUE"""),"02-Medellin")</f>
        <v>02-Medellin</v>
      </c>
      <c r="C215" s="51" t="str">
        <f>IFERROR(__xludf.DUMMYFUNCTION("""COMPUTED_VALUE"""),"TRG641")</f>
        <v>TRG641</v>
      </c>
      <c r="D215" s="51" t="str">
        <f>IFERROR(__xludf.DUMMYFUNCTION("""COMPUTED_VALUE"""),"TRACTOMULA EAGLE 9400 ISX400")</f>
        <v>TRACTOMULA EAGLE 9400 ISX400</v>
      </c>
      <c r="E215" s="53">
        <f>IFERROR(__xludf.DUMMYFUNCTION("""COMPUTED_VALUE"""),46352.0)</f>
        <v>46352</v>
      </c>
      <c r="F215" s="53">
        <f>IFERROR(__xludf.DUMMYFUNCTION("""COMPUTED_VALUE"""),46464.0)</f>
        <v>46464</v>
      </c>
      <c r="G215" s="51"/>
      <c r="H215" s="51"/>
    </row>
    <row r="216">
      <c r="A216" s="77">
        <f>IFERROR(__xludf.DUMMYFUNCTION("""COMPUTED_VALUE"""),472.0)</f>
        <v>472</v>
      </c>
      <c r="B216" s="77" t="str">
        <f>IFERROR(__xludf.DUMMYFUNCTION("""COMPUTED_VALUE"""),"02-Medellin")</f>
        <v>02-Medellin</v>
      </c>
      <c r="C216" s="51" t="str">
        <f>IFERROR(__xludf.DUMMYFUNCTION("""COMPUTED_VALUE"""),"TRH341")</f>
        <v>TRH341</v>
      </c>
      <c r="D216" s="51" t="str">
        <f>IFERROR(__xludf.DUMMYFUNCTION("""COMPUTED_VALUE"""),"TRACTOMULA EAGLE 9400 ISX400")</f>
        <v>TRACTOMULA EAGLE 9400 ISX400</v>
      </c>
      <c r="E216" s="53">
        <f>IFERROR(__xludf.DUMMYFUNCTION("""COMPUTED_VALUE"""),46546.0)</f>
        <v>46546</v>
      </c>
      <c r="F216" s="53">
        <f>IFERROR(__xludf.DUMMYFUNCTION("""COMPUTED_VALUE"""),46213.0)</f>
        <v>46213</v>
      </c>
      <c r="G216" s="51"/>
      <c r="H216" s="51"/>
    </row>
    <row r="217">
      <c r="A217" s="77">
        <f>IFERROR(__xludf.DUMMYFUNCTION("""COMPUTED_VALUE"""),481.0)</f>
        <v>481</v>
      </c>
      <c r="B217" s="77" t="str">
        <f>IFERROR(__xludf.DUMMYFUNCTION("""COMPUTED_VALUE"""),"02-Medellin")</f>
        <v>02-Medellin</v>
      </c>
      <c r="C217" s="51" t="str">
        <f>IFERROR(__xludf.DUMMYFUNCTION("""COMPUTED_VALUE"""),"TRH350")</f>
        <v>TRH350</v>
      </c>
      <c r="D217" s="51" t="str">
        <f>IFERROR(__xludf.DUMMYFUNCTION("""COMPUTED_VALUE"""),"TRACTOMULA EAGLE 9400 ISX400")</f>
        <v>TRACTOMULA EAGLE 9400 ISX400</v>
      </c>
      <c r="E217" s="53">
        <f>IFERROR(__xludf.DUMMYFUNCTION("""COMPUTED_VALUE"""),46216.0)</f>
        <v>46216</v>
      </c>
      <c r="F217" s="53">
        <f>IFERROR(__xludf.DUMMYFUNCTION("""COMPUTED_VALUE"""),46287.0)</f>
        <v>46287</v>
      </c>
      <c r="G217" s="51"/>
      <c r="H217" s="51"/>
    </row>
    <row r="218">
      <c r="A218" s="77">
        <f>IFERROR(__xludf.DUMMYFUNCTION("""COMPUTED_VALUE"""),487.0)</f>
        <v>487</v>
      </c>
      <c r="B218" s="77" t="str">
        <f>IFERROR(__xludf.DUMMYFUNCTION("""COMPUTED_VALUE"""),"02-Medellin")</f>
        <v>02-Medellin</v>
      </c>
      <c r="C218" s="51" t="str">
        <f>IFERROR(__xludf.DUMMYFUNCTION("""COMPUTED_VALUE"""),"TRH356")</f>
        <v>TRH356</v>
      </c>
      <c r="D218" s="51" t="str">
        <f>IFERROR(__xludf.DUMMYFUNCTION("""COMPUTED_VALUE"""),"TRACTOMULA EAGLE 9400 ISX400")</f>
        <v>TRACTOMULA EAGLE 9400 ISX400</v>
      </c>
      <c r="E218" s="53">
        <f>IFERROR(__xludf.DUMMYFUNCTION("""COMPUTED_VALUE"""),46546.0)</f>
        <v>46546</v>
      </c>
      <c r="F218" s="53">
        <f>IFERROR(__xludf.DUMMYFUNCTION("""COMPUTED_VALUE"""),46242.0)</f>
        <v>46242</v>
      </c>
      <c r="G218" s="51"/>
      <c r="H218" s="51"/>
    </row>
    <row r="219">
      <c r="A219" s="77">
        <f>IFERROR(__xludf.DUMMYFUNCTION("""COMPUTED_VALUE"""),495.0)</f>
        <v>495</v>
      </c>
      <c r="B219" s="77" t="str">
        <f>IFERROR(__xludf.DUMMYFUNCTION("""COMPUTED_VALUE"""),"02-Medellin")</f>
        <v>02-Medellin</v>
      </c>
      <c r="C219" s="51" t="str">
        <f>IFERROR(__xludf.DUMMYFUNCTION("""COMPUTED_VALUE"""),"TRH564")</f>
        <v>TRH564</v>
      </c>
      <c r="D219" s="51" t="str">
        <f>IFERROR(__xludf.DUMMYFUNCTION("""COMPUTED_VALUE"""),"TRACTOMULA EAGLE 9400 ISX400")</f>
        <v>TRACTOMULA EAGLE 9400 ISX400</v>
      </c>
      <c r="E219" s="53">
        <f>IFERROR(__xludf.DUMMYFUNCTION("""COMPUTED_VALUE"""),46306.0)</f>
        <v>46306</v>
      </c>
      <c r="F219" s="53">
        <f>IFERROR(__xludf.DUMMYFUNCTION("""COMPUTED_VALUE"""),46297.0)</f>
        <v>46297</v>
      </c>
      <c r="G219" s="51"/>
      <c r="H219" s="51"/>
    </row>
    <row r="220">
      <c r="A220" s="77">
        <f>IFERROR(__xludf.DUMMYFUNCTION("""COMPUTED_VALUE"""),496.0)</f>
        <v>496</v>
      </c>
      <c r="B220" s="77" t="str">
        <f>IFERROR(__xludf.DUMMYFUNCTION("""COMPUTED_VALUE"""),"02-Medellin")</f>
        <v>02-Medellin</v>
      </c>
      <c r="C220" s="51" t="str">
        <f>IFERROR(__xludf.DUMMYFUNCTION("""COMPUTED_VALUE"""),"TRH565")</f>
        <v>TRH565</v>
      </c>
      <c r="D220" s="51" t="str">
        <f>IFERROR(__xludf.DUMMYFUNCTION("""COMPUTED_VALUE"""),"TRACTOMULA EAGLE 9400 ISX400")</f>
        <v>TRACTOMULA EAGLE 9400 ISX400</v>
      </c>
      <c r="E220" s="53">
        <f>IFERROR(__xludf.DUMMYFUNCTION("""COMPUTED_VALUE"""),46307.0)</f>
        <v>46307</v>
      </c>
      <c r="F220" s="53">
        <f>IFERROR(__xludf.DUMMYFUNCTION("""COMPUTED_VALUE"""),46315.0)</f>
        <v>46315</v>
      </c>
      <c r="G220" s="51"/>
      <c r="H220" s="51"/>
    </row>
    <row r="221">
      <c r="A221" s="77">
        <f>IFERROR(__xludf.DUMMYFUNCTION("""COMPUTED_VALUE"""),654.0)</f>
        <v>654</v>
      </c>
      <c r="B221" s="77" t="str">
        <f>IFERROR(__xludf.DUMMYFUNCTION("""COMPUTED_VALUE"""),"02-Medellin")</f>
        <v>02-Medellin</v>
      </c>
      <c r="C221" s="51" t="str">
        <f>IFERROR(__xludf.DUMMYFUNCTION("""COMPUTED_VALUE"""),"TRI772")</f>
        <v>TRI772</v>
      </c>
      <c r="D221" s="51" t="str">
        <f>IFERROR(__xludf.DUMMYFUNCTION("""COMPUTED_VALUE"""),"TRACTOMULA EAGLE 9400 ISX400")</f>
        <v>TRACTOMULA EAGLE 9400 ISX400</v>
      </c>
      <c r="E221" s="53">
        <f>IFERROR(__xludf.DUMMYFUNCTION("""COMPUTED_VALUE"""),46256.0)</f>
        <v>46256</v>
      </c>
      <c r="F221" s="53">
        <f>IFERROR(__xludf.DUMMYFUNCTION("""COMPUTED_VALUE"""),46309.0)</f>
        <v>46309</v>
      </c>
      <c r="G221" s="51"/>
      <c r="H221" s="51"/>
    </row>
    <row r="222">
      <c r="A222" s="78">
        <f>IFERROR(__xludf.DUMMYFUNCTION("""COMPUTED_VALUE"""),657.0)</f>
        <v>657</v>
      </c>
      <c r="B222" s="78" t="str">
        <f>IFERROR(__xludf.DUMMYFUNCTION("""COMPUTED_VALUE"""),"02-Medellin")</f>
        <v>02-Medellin</v>
      </c>
      <c r="C222" s="51" t="str">
        <f>IFERROR(__xludf.DUMMYFUNCTION("""COMPUTED_VALUE"""),"TRI775")</f>
        <v>TRI775</v>
      </c>
      <c r="D222" s="51" t="str">
        <f>IFERROR(__xludf.DUMMYFUNCTION("""COMPUTED_VALUE"""),"TRACTOMULA EAGLE 9400 ISX400")</f>
        <v>TRACTOMULA EAGLE 9400 ISX400</v>
      </c>
      <c r="E222" s="53">
        <f>IFERROR(__xludf.DUMMYFUNCTION("""COMPUTED_VALUE"""),46271.0)</f>
        <v>46271</v>
      </c>
      <c r="F222" s="53">
        <f>IFERROR(__xludf.DUMMYFUNCTION("""COMPUTED_VALUE"""),46301.0)</f>
        <v>46301</v>
      </c>
      <c r="G222" s="51"/>
      <c r="H222" s="51"/>
    </row>
    <row r="223">
      <c r="A223" s="51">
        <f>IFERROR(__xludf.DUMMYFUNCTION("""COMPUTED_VALUE"""),661.0)</f>
        <v>661</v>
      </c>
      <c r="B223" s="52" t="str">
        <f>IFERROR(__xludf.DUMMYFUNCTION("""COMPUTED_VALUE"""),"02-Medellin")</f>
        <v>02-Medellin</v>
      </c>
      <c r="C223" s="51" t="str">
        <f>IFERROR(__xludf.DUMMYFUNCTION("""COMPUTED_VALUE"""),"TRI953")</f>
        <v>TRI953</v>
      </c>
      <c r="D223" s="51" t="str">
        <f>IFERROR(__xludf.DUMMYFUNCTION("""COMPUTED_VALUE"""),"TRACTOMULA EAGLE 9400 ISX400")</f>
        <v>TRACTOMULA EAGLE 9400 ISX400</v>
      </c>
      <c r="E223" s="53">
        <f>IFERROR(__xludf.DUMMYFUNCTION("""COMPUTED_VALUE"""),46316.0)</f>
        <v>46316</v>
      </c>
      <c r="F223" s="53">
        <f>IFERROR(__xludf.DUMMYFUNCTION("""COMPUTED_VALUE"""),46420.0)</f>
        <v>46420</v>
      </c>
      <c r="G223" s="51"/>
      <c r="H223" s="51"/>
    </row>
    <row r="224">
      <c r="A224" s="51"/>
      <c r="B224" s="52"/>
      <c r="C224" s="51"/>
      <c r="D224" s="51"/>
      <c r="E224" s="51"/>
      <c r="F224" s="51"/>
      <c r="G224" s="51"/>
      <c r="H224" s="51"/>
    </row>
    <row r="225">
      <c r="A225" s="56"/>
      <c r="B225" s="79"/>
      <c r="C225" s="80"/>
      <c r="D225" s="80"/>
      <c r="E225" s="80"/>
      <c r="F225" s="80"/>
      <c r="G225" s="80"/>
      <c r="H225" s="80"/>
    </row>
    <row r="226">
      <c r="A226" s="56"/>
      <c r="B226" s="79"/>
      <c r="C226" s="80"/>
      <c r="D226" s="80"/>
      <c r="E226" s="80"/>
      <c r="F226" s="80"/>
      <c r="G226" s="80"/>
      <c r="H226" s="80"/>
    </row>
    <row r="227">
      <c r="A227" s="56"/>
      <c r="B227" s="79"/>
      <c r="C227" s="80"/>
      <c r="D227" s="80"/>
      <c r="E227" s="80"/>
      <c r="F227" s="80"/>
      <c r="G227" s="80"/>
      <c r="H227" s="80"/>
    </row>
    <row r="228">
      <c r="A228" s="56"/>
      <c r="B228" s="79"/>
      <c r="C228" s="80"/>
      <c r="D228" s="80"/>
      <c r="E228" s="80"/>
      <c r="F228" s="80"/>
      <c r="G228" s="80"/>
      <c r="H228" s="80"/>
    </row>
    <row r="229">
      <c r="A229" s="56"/>
      <c r="B229" s="79"/>
      <c r="C229" s="80"/>
      <c r="D229" s="80"/>
      <c r="E229" s="80"/>
      <c r="F229" s="80"/>
      <c r="G229" s="80"/>
      <c r="H229" s="80"/>
    </row>
    <row r="230">
      <c r="A230" s="56"/>
      <c r="B230" s="79"/>
      <c r="C230" s="80"/>
      <c r="D230" s="80"/>
      <c r="E230" s="80"/>
      <c r="F230" s="80"/>
      <c r="G230" s="80"/>
      <c r="H230" s="80"/>
    </row>
    <row r="231">
      <c r="A231" s="56"/>
      <c r="B231" s="79"/>
      <c r="C231" s="80"/>
      <c r="D231" s="80"/>
      <c r="E231" s="80"/>
      <c r="F231" s="80"/>
      <c r="G231" s="80"/>
      <c r="H231" s="80"/>
    </row>
    <row r="232">
      <c r="A232" s="56"/>
      <c r="B232" s="79"/>
      <c r="C232" s="80"/>
      <c r="D232" s="80"/>
      <c r="E232" s="80"/>
      <c r="F232" s="80"/>
      <c r="G232" s="80"/>
      <c r="H232" s="80"/>
    </row>
    <row r="233">
      <c r="A233" s="56"/>
      <c r="B233" s="79"/>
      <c r="C233" s="80"/>
      <c r="D233" s="80"/>
      <c r="E233" s="80"/>
      <c r="F233" s="80"/>
      <c r="G233" s="80"/>
      <c r="H233" s="80"/>
    </row>
    <row r="234">
      <c r="A234" s="56"/>
      <c r="B234" s="79"/>
      <c r="C234" s="80"/>
      <c r="D234" s="80"/>
      <c r="E234" s="80"/>
      <c r="F234" s="80"/>
      <c r="G234" s="80"/>
      <c r="H234" s="80"/>
    </row>
    <row r="235">
      <c r="A235" s="56"/>
      <c r="B235" s="79"/>
      <c r="C235" s="80"/>
      <c r="D235" s="80"/>
      <c r="E235" s="80"/>
      <c r="F235" s="80"/>
      <c r="G235" s="80"/>
      <c r="H235" s="80"/>
    </row>
    <row r="236">
      <c r="A236" s="56"/>
      <c r="B236" s="79"/>
      <c r="C236" s="80"/>
      <c r="D236" s="80"/>
      <c r="E236" s="80"/>
      <c r="F236" s="80"/>
      <c r="G236" s="80"/>
      <c r="H236" s="80"/>
    </row>
    <row r="237">
      <c r="A237" s="56"/>
      <c r="B237" s="79"/>
      <c r="C237" s="80"/>
      <c r="D237" s="80"/>
      <c r="E237" s="80"/>
      <c r="F237" s="80"/>
      <c r="G237" s="80"/>
      <c r="H237" s="80"/>
    </row>
    <row r="238">
      <c r="A238" s="56"/>
      <c r="B238" s="79"/>
      <c r="C238" s="80"/>
      <c r="D238" s="80"/>
      <c r="E238" s="80"/>
      <c r="F238" s="80"/>
      <c r="G238" s="80"/>
      <c r="H238" s="80"/>
    </row>
    <row r="239">
      <c r="A239" s="56"/>
      <c r="B239" s="79"/>
      <c r="C239" s="80"/>
      <c r="D239" s="80"/>
      <c r="E239" s="80"/>
      <c r="F239" s="80"/>
      <c r="G239" s="80"/>
      <c r="H239" s="80"/>
    </row>
    <row r="240">
      <c r="A240" s="56"/>
      <c r="B240" s="79"/>
      <c r="C240" s="80"/>
      <c r="D240" s="80"/>
      <c r="E240" s="80"/>
      <c r="F240" s="80"/>
      <c r="G240" s="80"/>
      <c r="H240" s="80"/>
    </row>
    <row r="241">
      <c r="A241" s="56"/>
      <c r="B241" s="79"/>
      <c r="C241" s="80"/>
      <c r="D241" s="80"/>
      <c r="E241" s="80"/>
      <c r="F241" s="80"/>
      <c r="G241" s="80"/>
      <c r="H241" s="80"/>
    </row>
    <row r="242">
      <c r="A242" s="56"/>
      <c r="B242" s="79"/>
      <c r="C242" s="80"/>
      <c r="D242" s="80"/>
      <c r="E242" s="80"/>
      <c r="F242" s="80"/>
      <c r="G242" s="80"/>
      <c r="H242" s="80"/>
    </row>
    <row r="243">
      <c r="A243" s="56"/>
      <c r="B243" s="79"/>
      <c r="C243" s="80"/>
      <c r="D243" s="80"/>
      <c r="E243" s="80"/>
      <c r="F243" s="80"/>
      <c r="G243" s="80"/>
      <c r="H243" s="80"/>
    </row>
    <row r="244">
      <c r="A244" s="56"/>
      <c r="B244" s="79"/>
      <c r="C244" s="80"/>
      <c r="D244" s="80"/>
      <c r="E244" s="80"/>
      <c r="F244" s="80"/>
      <c r="G244" s="80"/>
      <c r="H244" s="80"/>
    </row>
    <row r="245">
      <c r="A245" s="56"/>
      <c r="B245" s="79"/>
      <c r="C245" s="80"/>
      <c r="D245" s="80"/>
      <c r="E245" s="80"/>
      <c r="F245" s="80"/>
      <c r="G245" s="80"/>
      <c r="H245" s="80"/>
    </row>
    <row r="246">
      <c r="A246" s="56"/>
      <c r="B246" s="79"/>
      <c r="C246" s="80"/>
      <c r="D246" s="80"/>
      <c r="E246" s="80"/>
      <c r="F246" s="80"/>
      <c r="G246" s="80"/>
      <c r="H246" s="80"/>
    </row>
    <row r="247">
      <c r="A247" s="56"/>
      <c r="B247" s="79"/>
      <c r="C247" s="80"/>
      <c r="D247" s="80"/>
      <c r="E247" s="80"/>
      <c r="F247" s="80"/>
      <c r="G247" s="80"/>
      <c r="H247" s="80"/>
    </row>
    <row r="248">
      <c r="A248" s="56"/>
      <c r="B248" s="79"/>
      <c r="C248" s="80"/>
      <c r="D248" s="80"/>
      <c r="E248" s="80"/>
      <c r="F248" s="80"/>
      <c r="G248" s="80"/>
      <c r="H248" s="80"/>
    </row>
    <row r="249">
      <c r="A249" s="56"/>
      <c r="B249" s="79"/>
      <c r="C249" s="80"/>
      <c r="D249" s="80"/>
      <c r="E249" s="80"/>
      <c r="F249" s="80"/>
      <c r="G249" s="80"/>
      <c r="H249" s="80"/>
    </row>
    <row r="250">
      <c r="A250" s="56"/>
      <c r="B250" s="79"/>
      <c r="C250" s="80"/>
      <c r="D250" s="80"/>
      <c r="E250" s="80"/>
      <c r="F250" s="80"/>
      <c r="G250" s="80"/>
      <c r="H250" s="80"/>
    </row>
    <row r="251">
      <c r="A251" s="56"/>
      <c r="B251" s="79"/>
      <c r="C251" s="80"/>
      <c r="D251" s="80"/>
      <c r="E251" s="80"/>
      <c r="F251" s="80"/>
      <c r="G251" s="80"/>
      <c r="H251" s="80"/>
    </row>
    <row r="252">
      <c r="A252" s="56"/>
      <c r="B252" s="79"/>
      <c r="C252" s="80"/>
      <c r="D252" s="80"/>
      <c r="E252" s="80"/>
      <c r="F252" s="80"/>
      <c r="G252" s="80"/>
      <c r="H252" s="80"/>
    </row>
    <row r="253">
      <c r="A253" s="56"/>
      <c r="B253" s="79"/>
      <c r="C253" s="80"/>
      <c r="D253" s="80"/>
      <c r="E253" s="80"/>
      <c r="F253" s="80"/>
      <c r="G253" s="80"/>
      <c r="H253" s="80"/>
    </row>
    <row r="254">
      <c r="A254" s="56"/>
      <c r="B254" s="79"/>
      <c r="C254" s="80"/>
      <c r="D254" s="80"/>
      <c r="E254" s="80"/>
      <c r="F254" s="80"/>
      <c r="G254" s="80"/>
      <c r="H254" s="80"/>
    </row>
    <row r="255">
      <c r="A255" s="56"/>
      <c r="B255" s="79"/>
      <c r="C255" s="80"/>
      <c r="D255" s="80"/>
      <c r="E255" s="80"/>
      <c r="F255" s="80"/>
      <c r="G255" s="80"/>
      <c r="H255" s="80"/>
    </row>
    <row r="256">
      <c r="A256" s="56"/>
      <c r="B256" s="79"/>
      <c r="C256" s="80"/>
      <c r="D256" s="80"/>
      <c r="E256" s="80"/>
      <c r="F256" s="80"/>
      <c r="G256" s="80"/>
      <c r="H256" s="80"/>
    </row>
    <row r="257">
      <c r="A257" s="56"/>
      <c r="B257" s="79"/>
      <c r="C257" s="80"/>
      <c r="D257" s="80"/>
      <c r="E257" s="80"/>
      <c r="F257" s="80"/>
      <c r="G257" s="80"/>
      <c r="H257" s="80"/>
    </row>
    <row r="258">
      <c r="A258" s="56"/>
      <c r="B258" s="79"/>
      <c r="C258" s="80"/>
      <c r="D258" s="80"/>
      <c r="E258" s="80"/>
      <c r="F258" s="80"/>
      <c r="G258" s="80"/>
      <c r="H258" s="80"/>
    </row>
    <row r="259">
      <c r="A259" s="56"/>
      <c r="B259" s="79"/>
      <c r="C259" s="80"/>
      <c r="D259" s="80"/>
      <c r="E259" s="80"/>
      <c r="F259" s="80"/>
      <c r="G259" s="80"/>
      <c r="H259" s="80"/>
    </row>
    <row r="260">
      <c r="A260" s="56"/>
      <c r="B260" s="79"/>
      <c r="C260" s="80"/>
      <c r="D260" s="80"/>
      <c r="E260" s="80"/>
      <c r="F260" s="80"/>
      <c r="G260" s="80"/>
      <c r="H260" s="80"/>
    </row>
    <row r="261">
      <c r="A261" s="56"/>
      <c r="B261" s="79"/>
      <c r="C261" s="80"/>
      <c r="D261" s="80"/>
      <c r="E261" s="80"/>
      <c r="F261" s="80"/>
      <c r="G261" s="80"/>
      <c r="H261" s="80"/>
    </row>
    <row r="262">
      <c r="A262" s="56"/>
      <c r="B262" s="79"/>
      <c r="C262" s="80"/>
      <c r="D262" s="80"/>
      <c r="E262" s="80"/>
      <c r="F262" s="80"/>
      <c r="G262" s="80"/>
      <c r="H262" s="80"/>
    </row>
    <row r="263">
      <c r="A263" s="56"/>
      <c r="B263" s="79"/>
      <c r="C263" s="80"/>
      <c r="D263" s="80"/>
      <c r="E263" s="80"/>
      <c r="F263" s="80"/>
      <c r="G263" s="80"/>
      <c r="H263" s="80"/>
    </row>
    <row r="264">
      <c r="A264" s="56"/>
      <c r="B264" s="79"/>
      <c r="C264" s="80"/>
      <c r="D264" s="80"/>
      <c r="E264" s="80"/>
      <c r="F264" s="80"/>
      <c r="G264" s="80"/>
      <c r="H264" s="80"/>
    </row>
    <row r="265">
      <c r="A265" s="56"/>
      <c r="B265" s="79"/>
      <c r="C265" s="80"/>
      <c r="D265" s="80"/>
      <c r="E265" s="80"/>
      <c r="F265" s="80"/>
      <c r="G265" s="80"/>
      <c r="H265" s="80"/>
    </row>
    <row r="266">
      <c r="A266" s="56"/>
      <c r="B266" s="79"/>
      <c r="C266" s="80"/>
      <c r="D266" s="80"/>
      <c r="E266" s="80"/>
      <c r="F266" s="80"/>
      <c r="G266" s="80"/>
      <c r="H266" s="80"/>
    </row>
    <row r="267">
      <c r="A267" s="56"/>
      <c r="B267" s="79"/>
      <c r="C267" s="80"/>
      <c r="D267" s="80"/>
      <c r="E267" s="80"/>
      <c r="F267" s="80"/>
      <c r="G267" s="80"/>
      <c r="H267" s="80"/>
    </row>
    <row r="268">
      <c r="A268" s="56"/>
      <c r="B268" s="79"/>
      <c r="C268" s="80"/>
      <c r="D268" s="80"/>
      <c r="E268" s="80"/>
      <c r="F268" s="80"/>
      <c r="G268" s="80"/>
      <c r="H268" s="80"/>
    </row>
    <row r="269">
      <c r="A269" s="56"/>
      <c r="B269" s="79"/>
      <c r="C269" s="80"/>
      <c r="D269" s="80"/>
      <c r="E269" s="80"/>
      <c r="F269" s="80"/>
      <c r="G269" s="80"/>
      <c r="H269" s="80"/>
    </row>
    <row r="270">
      <c r="A270" s="56"/>
      <c r="B270" s="79"/>
      <c r="C270" s="80"/>
      <c r="D270" s="80"/>
      <c r="E270" s="80"/>
      <c r="F270" s="80"/>
      <c r="G270" s="80"/>
      <c r="H270" s="80"/>
    </row>
    <row r="271">
      <c r="A271" s="56"/>
      <c r="B271" s="79"/>
      <c r="C271" s="80"/>
      <c r="D271" s="80"/>
      <c r="E271" s="80"/>
      <c r="F271" s="80"/>
      <c r="G271" s="80"/>
      <c r="H271" s="80"/>
    </row>
    <row r="272">
      <c r="A272" s="56"/>
      <c r="B272" s="79"/>
      <c r="C272" s="80"/>
      <c r="D272" s="80"/>
      <c r="E272" s="80"/>
      <c r="F272" s="80"/>
      <c r="G272" s="80"/>
      <c r="H272" s="80"/>
    </row>
    <row r="273">
      <c r="A273" s="56"/>
      <c r="B273" s="79"/>
      <c r="C273" s="80"/>
      <c r="D273" s="80"/>
      <c r="E273" s="80"/>
      <c r="F273" s="80"/>
      <c r="G273" s="80"/>
      <c r="H273" s="80"/>
    </row>
    <row r="274">
      <c r="A274" s="56"/>
      <c r="B274" s="79"/>
      <c r="C274" s="80"/>
      <c r="D274" s="80"/>
      <c r="E274" s="80"/>
      <c r="F274" s="80"/>
      <c r="G274" s="80"/>
      <c r="H274" s="80"/>
    </row>
    <row r="275">
      <c r="A275" s="56"/>
      <c r="B275" s="79"/>
      <c r="C275" s="80"/>
      <c r="D275" s="80"/>
      <c r="E275" s="80"/>
      <c r="F275" s="80"/>
      <c r="G275" s="80"/>
      <c r="H275" s="80"/>
    </row>
    <row r="276">
      <c r="A276" s="56"/>
      <c r="B276" s="79"/>
      <c r="C276" s="80"/>
      <c r="D276" s="80"/>
      <c r="E276" s="80"/>
      <c r="F276" s="80"/>
      <c r="G276" s="80"/>
      <c r="H276" s="80"/>
    </row>
    <row r="277">
      <c r="A277" s="56"/>
      <c r="B277" s="79"/>
      <c r="C277" s="80"/>
      <c r="D277" s="80"/>
      <c r="E277" s="80"/>
      <c r="F277" s="80"/>
      <c r="G277" s="80"/>
      <c r="H277" s="80"/>
    </row>
    <row r="278">
      <c r="A278" s="56"/>
      <c r="B278" s="79"/>
      <c r="C278" s="80"/>
      <c r="D278" s="80"/>
      <c r="E278" s="80"/>
      <c r="F278" s="80"/>
      <c r="G278" s="80"/>
      <c r="H278" s="80"/>
    </row>
    <row r="279">
      <c r="A279" s="56"/>
      <c r="B279" s="79"/>
      <c r="C279" s="80"/>
      <c r="D279" s="80"/>
      <c r="E279" s="80"/>
      <c r="F279" s="80"/>
      <c r="G279" s="80"/>
      <c r="H279" s="80"/>
    </row>
    <row r="280">
      <c r="A280" s="56"/>
      <c r="B280" s="79"/>
      <c r="C280" s="80"/>
      <c r="D280" s="80"/>
      <c r="E280" s="80"/>
      <c r="F280" s="80"/>
      <c r="G280" s="80"/>
      <c r="H280" s="80"/>
    </row>
    <row r="281">
      <c r="A281" s="56"/>
      <c r="B281" s="79"/>
      <c r="C281" s="80"/>
      <c r="D281" s="80"/>
      <c r="E281" s="80"/>
      <c r="F281" s="80"/>
      <c r="G281" s="80"/>
      <c r="H281" s="80"/>
    </row>
    <row r="282">
      <c r="A282" s="56"/>
      <c r="B282" s="79"/>
      <c r="C282" s="80"/>
      <c r="D282" s="80"/>
      <c r="E282" s="80"/>
      <c r="F282" s="80"/>
      <c r="G282" s="80"/>
      <c r="H282" s="80"/>
    </row>
    <row r="283">
      <c r="A283" s="56"/>
      <c r="B283" s="79"/>
      <c r="C283" s="80"/>
      <c r="D283" s="80"/>
      <c r="E283" s="80"/>
      <c r="F283" s="80"/>
      <c r="G283" s="80"/>
      <c r="H283" s="80"/>
    </row>
    <row r="284">
      <c r="A284" s="56"/>
      <c r="B284" s="79"/>
      <c r="C284" s="80"/>
      <c r="D284" s="80"/>
      <c r="E284" s="80"/>
      <c r="F284" s="80"/>
      <c r="G284" s="80"/>
      <c r="H284" s="80"/>
    </row>
    <row r="285">
      <c r="A285" s="56"/>
      <c r="B285" s="79"/>
      <c r="C285" s="80"/>
      <c r="D285" s="80"/>
      <c r="E285" s="80"/>
      <c r="F285" s="80"/>
      <c r="G285" s="80"/>
      <c r="H285" s="80"/>
    </row>
    <row r="286">
      <c r="A286" s="56"/>
      <c r="B286" s="79"/>
      <c r="C286" s="80"/>
      <c r="D286" s="80"/>
      <c r="E286" s="80"/>
      <c r="F286" s="80"/>
      <c r="G286" s="80"/>
      <c r="H286" s="80"/>
    </row>
    <row r="287">
      <c r="A287" s="56"/>
      <c r="B287" s="79"/>
      <c r="C287" s="80"/>
      <c r="D287" s="80"/>
      <c r="E287" s="80"/>
      <c r="F287" s="80"/>
      <c r="G287" s="80"/>
      <c r="H287" s="80"/>
    </row>
    <row r="288">
      <c r="A288" s="56"/>
      <c r="B288" s="79"/>
      <c r="C288" s="80"/>
      <c r="D288" s="80"/>
      <c r="E288" s="80"/>
      <c r="F288" s="80"/>
      <c r="G288" s="80"/>
      <c r="H288" s="80"/>
    </row>
    <row r="289">
      <c r="A289" s="56"/>
      <c r="B289" s="79"/>
      <c r="C289" s="80"/>
      <c r="D289" s="80"/>
      <c r="E289" s="80"/>
      <c r="F289" s="80"/>
      <c r="G289" s="80"/>
      <c r="H289" s="80"/>
    </row>
    <row r="290">
      <c r="A290" s="56"/>
      <c r="B290" s="79"/>
      <c r="C290" s="80"/>
      <c r="D290" s="80"/>
      <c r="E290" s="80"/>
      <c r="F290" s="80"/>
      <c r="G290" s="80"/>
      <c r="H290" s="80"/>
    </row>
    <row r="291">
      <c r="A291" s="56"/>
      <c r="B291" s="79"/>
      <c r="C291" s="80"/>
      <c r="D291" s="80"/>
      <c r="E291" s="80"/>
      <c r="F291" s="80"/>
      <c r="G291" s="80"/>
      <c r="H291" s="80"/>
    </row>
    <row r="292">
      <c r="A292" s="56"/>
      <c r="B292" s="79"/>
      <c r="C292" s="80"/>
      <c r="D292" s="80"/>
      <c r="E292" s="80"/>
      <c r="F292" s="80"/>
      <c r="G292" s="80"/>
      <c r="H292" s="80"/>
    </row>
    <row r="293">
      <c r="A293" s="56"/>
      <c r="B293" s="79"/>
      <c r="C293" s="80"/>
      <c r="D293" s="80"/>
      <c r="E293" s="80"/>
      <c r="F293" s="80"/>
      <c r="G293" s="80"/>
      <c r="H293" s="80"/>
    </row>
    <row r="294">
      <c r="A294" s="56"/>
      <c r="B294" s="79"/>
      <c r="C294" s="80"/>
      <c r="D294" s="80"/>
      <c r="E294" s="80"/>
      <c r="F294" s="80"/>
      <c r="G294" s="80"/>
      <c r="H294" s="80"/>
    </row>
    <row r="295">
      <c r="A295" s="56"/>
      <c r="B295" s="79"/>
      <c r="C295" s="80"/>
      <c r="D295" s="80"/>
      <c r="E295" s="80"/>
      <c r="F295" s="80"/>
      <c r="G295" s="80"/>
      <c r="H295" s="80"/>
    </row>
    <row r="296">
      <c r="A296" s="56"/>
      <c r="B296" s="79"/>
      <c r="C296" s="80"/>
      <c r="D296" s="80"/>
      <c r="E296" s="80"/>
      <c r="F296" s="80"/>
      <c r="G296" s="80"/>
      <c r="H296" s="80"/>
    </row>
    <row r="297">
      <c r="A297" s="56"/>
      <c r="B297" s="79"/>
      <c r="C297" s="80"/>
      <c r="D297" s="80"/>
      <c r="E297" s="80"/>
      <c r="F297" s="80"/>
      <c r="G297" s="80"/>
      <c r="H297" s="80"/>
    </row>
    <row r="298">
      <c r="A298" s="56"/>
      <c r="B298" s="79"/>
      <c r="C298" s="80"/>
      <c r="D298" s="80"/>
      <c r="E298" s="80"/>
      <c r="F298" s="80"/>
      <c r="G298" s="80"/>
      <c r="H298" s="80"/>
    </row>
    <row r="299">
      <c r="A299" s="56"/>
      <c r="B299" s="79"/>
      <c r="C299" s="80"/>
      <c r="D299" s="80"/>
      <c r="E299" s="80"/>
      <c r="F299" s="80"/>
      <c r="G299" s="80"/>
      <c r="H299" s="80"/>
    </row>
    <row r="300">
      <c r="A300" s="56"/>
      <c r="B300" s="79"/>
      <c r="C300" s="80"/>
      <c r="D300" s="80"/>
      <c r="E300" s="80"/>
      <c r="F300" s="80"/>
      <c r="G300" s="80"/>
      <c r="H300" s="80"/>
    </row>
    <row r="301">
      <c r="A301" s="56"/>
      <c r="B301" s="79"/>
      <c r="C301" s="80"/>
      <c r="D301" s="80"/>
      <c r="E301" s="80"/>
      <c r="F301" s="80"/>
      <c r="G301" s="80"/>
      <c r="H301" s="80"/>
    </row>
    <row r="302">
      <c r="A302" s="56"/>
      <c r="B302" s="79"/>
      <c r="C302" s="80"/>
      <c r="D302" s="80"/>
      <c r="E302" s="80"/>
      <c r="F302" s="80"/>
      <c r="G302" s="80"/>
      <c r="H302" s="80"/>
    </row>
    <row r="303">
      <c r="A303" s="56"/>
      <c r="B303" s="79"/>
      <c r="C303" s="80"/>
      <c r="D303" s="80"/>
      <c r="E303" s="80"/>
      <c r="F303" s="80"/>
      <c r="G303" s="80"/>
      <c r="H303" s="80"/>
    </row>
    <row r="304">
      <c r="A304" s="56"/>
      <c r="B304" s="79"/>
      <c r="C304" s="80"/>
      <c r="D304" s="80"/>
      <c r="E304" s="80"/>
      <c r="F304" s="80"/>
      <c r="G304" s="80"/>
      <c r="H304" s="80"/>
    </row>
    <row r="305">
      <c r="A305" s="56"/>
      <c r="B305" s="79"/>
      <c r="C305" s="80"/>
      <c r="D305" s="80"/>
      <c r="E305" s="80"/>
      <c r="F305" s="80"/>
      <c r="G305" s="80"/>
      <c r="H305" s="80"/>
    </row>
    <row r="306">
      <c r="A306" s="56"/>
      <c r="B306" s="79"/>
      <c r="C306" s="80"/>
      <c r="D306" s="80"/>
      <c r="E306" s="80"/>
      <c r="F306" s="80"/>
      <c r="G306" s="80"/>
      <c r="H306" s="80"/>
    </row>
    <row r="307">
      <c r="A307" s="56"/>
      <c r="B307" s="79"/>
      <c r="C307" s="80"/>
      <c r="D307" s="80"/>
      <c r="E307" s="80"/>
      <c r="F307" s="80"/>
      <c r="G307" s="80"/>
      <c r="H307" s="80"/>
    </row>
    <row r="308">
      <c r="A308" s="56"/>
      <c r="B308" s="79"/>
      <c r="C308" s="80"/>
      <c r="D308" s="80"/>
      <c r="E308" s="80"/>
      <c r="F308" s="80"/>
      <c r="G308" s="80"/>
      <c r="H308" s="80"/>
    </row>
    <row r="309">
      <c r="A309" s="56"/>
      <c r="B309" s="79"/>
      <c r="C309" s="80"/>
      <c r="D309" s="80"/>
      <c r="E309" s="80"/>
      <c r="F309" s="80"/>
      <c r="G309" s="80"/>
      <c r="H309" s="80"/>
    </row>
    <row r="310">
      <c r="A310" s="56"/>
      <c r="B310" s="79"/>
      <c r="C310" s="80"/>
      <c r="D310" s="80"/>
      <c r="E310" s="80"/>
      <c r="F310" s="80"/>
      <c r="G310" s="80"/>
      <c r="H310" s="80"/>
    </row>
    <row r="311">
      <c r="A311" s="56"/>
      <c r="B311" s="79"/>
      <c r="C311" s="80"/>
      <c r="D311" s="80"/>
      <c r="E311" s="80"/>
      <c r="F311" s="80"/>
      <c r="G311" s="80"/>
      <c r="H311" s="80"/>
    </row>
    <row r="312">
      <c r="A312" s="56"/>
      <c r="B312" s="79"/>
      <c r="C312" s="80"/>
      <c r="D312" s="80"/>
      <c r="E312" s="80"/>
      <c r="F312" s="80"/>
      <c r="G312" s="80"/>
      <c r="H312" s="80"/>
    </row>
    <row r="313">
      <c r="A313" s="56"/>
      <c r="B313" s="79"/>
      <c r="C313" s="80"/>
      <c r="D313" s="80"/>
      <c r="E313" s="80"/>
      <c r="F313" s="80"/>
      <c r="G313" s="80"/>
      <c r="H313" s="80"/>
    </row>
    <row r="314">
      <c r="A314" s="56"/>
      <c r="B314" s="79"/>
      <c r="C314" s="80"/>
      <c r="D314" s="80"/>
      <c r="E314" s="80"/>
      <c r="F314" s="80"/>
      <c r="G314" s="80"/>
      <c r="H314" s="80"/>
    </row>
    <row r="315">
      <c r="A315" s="56"/>
      <c r="B315" s="79"/>
      <c r="C315" s="80"/>
      <c r="D315" s="80"/>
      <c r="E315" s="80"/>
      <c r="F315" s="80"/>
      <c r="G315" s="80"/>
      <c r="H315" s="80"/>
    </row>
    <row r="316">
      <c r="A316" s="56"/>
      <c r="B316" s="79"/>
      <c r="C316" s="80"/>
      <c r="D316" s="80"/>
      <c r="E316" s="80"/>
      <c r="F316" s="80"/>
      <c r="G316" s="80"/>
      <c r="H316" s="80"/>
    </row>
    <row r="317">
      <c r="A317" s="56"/>
      <c r="B317" s="79"/>
      <c r="C317" s="80"/>
      <c r="D317" s="80"/>
      <c r="E317" s="80"/>
      <c r="F317" s="80"/>
      <c r="G317" s="80"/>
      <c r="H317" s="80"/>
    </row>
    <row r="318">
      <c r="A318" s="56"/>
      <c r="B318" s="79"/>
      <c r="C318" s="80"/>
      <c r="D318" s="80"/>
      <c r="E318" s="80"/>
      <c r="F318" s="80"/>
      <c r="G318" s="80"/>
      <c r="H318" s="80"/>
    </row>
    <row r="319">
      <c r="A319" s="56"/>
      <c r="B319" s="79"/>
      <c r="C319" s="80"/>
      <c r="D319" s="80"/>
      <c r="E319" s="80"/>
      <c r="F319" s="80"/>
      <c r="G319" s="80"/>
      <c r="H319" s="80"/>
    </row>
    <row r="320">
      <c r="A320" s="56"/>
      <c r="B320" s="79"/>
      <c r="C320" s="80"/>
      <c r="D320" s="80"/>
      <c r="E320" s="80"/>
      <c r="F320" s="80"/>
      <c r="G320" s="80"/>
      <c r="H320" s="80"/>
    </row>
    <row r="321">
      <c r="A321" s="56"/>
      <c r="B321" s="79"/>
      <c r="C321" s="80"/>
      <c r="D321" s="80"/>
      <c r="E321" s="80"/>
      <c r="F321" s="80"/>
      <c r="G321" s="80"/>
      <c r="H321" s="80"/>
    </row>
    <row r="322">
      <c r="A322" s="56"/>
      <c r="B322" s="79"/>
      <c r="C322" s="80"/>
      <c r="D322" s="80"/>
      <c r="E322" s="80"/>
      <c r="F322" s="80"/>
      <c r="G322" s="80"/>
      <c r="H322" s="80"/>
    </row>
    <row r="323">
      <c r="A323" s="56"/>
      <c r="B323" s="79"/>
      <c r="C323" s="80"/>
      <c r="D323" s="80"/>
      <c r="E323" s="80"/>
      <c r="F323" s="80"/>
      <c r="G323" s="80"/>
      <c r="H323" s="80"/>
    </row>
    <row r="324">
      <c r="A324" s="56"/>
      <c r="B324" s="79"/>
      <c r="C324" s="80"/>
      <c r="D324" s="80"/>
      <c r="E324" s="80"/>
      <c r="F324" s="80"/>
      <c r="G324" s="80"/>
      <c r="H324" s="80"/>
    </row>
    <row r="325">
      <c r="A325" s="56"/>
      <c r="B325" s="79"/>
      <c r="C325" s="80"/>
      <c r="D325" s="80"/>
      <c r="E325" s="80"/>
      <c r="F325" s="80"/>
      <c r="G325" s="80"/>
      <c r="H325" s="80"/>
    </row>
    <row r="326">
      <c r="A326" s="56"/>
      <c r="B326" s="79"/>
      <c r="C326" s="80"/>
      <c r="D326" s="80"/>
      <c r="E326" s="80"/>
      <c r="F326" s="80"/>
      <c r="G326" s="80"/>
      <c r="H326" s="80"/>
    </row>
    <row r="327">
      <c r="A327" s="56"/>
      <c r="B327" s="79"/>
      <c r="C327" s="80"/>
      <c r="D327" s="80"/>
      <c r="E327" s="80"/>
      <c r="F327" s="80"/>
      <c r="G327" s="80"/>
      <c r="H327" s="80"/>
    </row>
    <row r="328">
      <c r="A328" s="56"/>
      <c r="B328" s="79"/>
      <c r="C328" s="80"/>
      <c r="D328" s="80"/>
      <c r="E328" s="80"/>
      <c r="F328" s="80"/>
      <c r="G328" s="80"/>
      <c r="H328" s="80"/>
    </row>
    <row r="329">
      <c r="A329" s="56"/>
      <c r="B329" s="79"/>
      <c r="C329" s="80"/>
      <c r="D329" s="80"/>
      <c r="E329" s="80"/>
      <c r="F329" s="80"/>
      <c r="G329" s="80"/>
      <c r="H329" s="80"/>
    </row>
    <row r="330">
      <c r="A330" s="56"/>
      <c r="B330" s="79"/>
      <c r="C330" s="80"/>
      <c r="D330" s="80"/>
      <c r="E330" s="80"/>
      <c r="F330" s="80"/>
      <c r="G330" s="80"/>
      <c r="H330" s="80"/>
    </row>
    <row r="331">
      <c r="A331" s="56"/>
      <c r="B331" s="79"/>
      <c r="C331" s="80"/>
      <c r="D331" s="80"/>
      <c r="E331" s="80"/>
      <c r="F331" s="80"/>
      <c r="G331" s="80"/>
      <c r="H331" s="80"/>
    </row>
    <row r="332">
      <c r="A332" s="56"/>
      <c r="B332" s="79"/>
      <c r="C332" s="80"/>
      <c r="D332" s="80"/>
      <c r="E332" s="80"/>
      <c r="F332" s="80"/>
      <c r="G332" s="80"/>
      <c r="H332" s="80"/>
    </row>
    <row r="333">
      <c r="A333" s="56"/>
      <c r="B333" s="79"/>
      <c r="C333" s="80"/>
      <c r="D333" s="80"/>
      <c r="E333" s="80"/>
      <c r="F333" s="80"/>
      <c r="G333" s="80"/>
      <c r="H333" s="80"/>
    </row>
    <row r="334">
      <c r="A334" s="56"/>
      <c r="B334" s="79"/>
      <c r="C334" s="80"/>
      <c r="D334" s="80"/>
      <c r="E334" s="80"/>
      <c r="F334" s="80"/>
      <c r="G334" s="80"/>
      <c r="H334" s="80"/>
    </row>
    <row r="335">
      <c r="A335" s="56"/>
      <c r="B335" s="79"/>
      <c r="C335" s="80"/>
      <c r="D335" s="80"/>
      <c r="E335" s="80"/>
      <c r="F335" s="80"/>
      <c r="G335" s="80"/>
      <c r="H335" s="80"/>
    </row>
    <row r="336">
      <c r="A336" s="56"/>
      <c r="B336" s="79"/>
      <c r="C336" s="80"/>
      <c r="D336" s="80"/>
      <c r="E336" s="80"/>
      <c r="F336" s="80"/>
      <c r="G336" s="80"/>
      <c r="H336" s="80"/>
    </row>
    <row r="337">
      <c r="A337" s="56"/>
      <c r="B337" s="79"/>
      <c r="C337" s="80"/>
      <c r="D337" s="80"/>
      <c r="E337" s="80"/>
      <c r="F337" s="80"/>
      <c r="G337" s="80"/>
      <c r="H337" s="80"/>
    </row>
    <row r="338">
      <c r="A338" s="56"/>
      <c r="B338" s="79"/>
      <c r="C338" s="80"/>
      <c r="D338" s="80"/>
      <c r="E338" s="80"/>
      <c r="F338" s="80"/>
      <c r="G338" s="80"/>
      <c r="H338" s="80"/>
    </row>
    <row r="339">
      <c r="A339" s="56"/>
      <c r="B339" s="79"/>
      <c r="C339" s="80"/>
      <c r="D339" s="80"/>
      <c r="E339" s="80"/>
      <c r="F339" s="80"/>
      <c r="G339" s="80"/>
      <c r="H339" s="80"/>
    </row>
    <row r="340">
      <c r="A340" s="56"/>
      <c r="B340" s="79"/>
      <c r="C340" s="80"/>
      <c r="D340" s="80"/>
      <c r="E340" s="80"/>
      <c r="F340" s="80"/>
      <c r="G340" s="80"/>
      <c r="H340" s="80"/>
    </row>
    <row r="341">
      <c r="A341" s="56"/>
      <c r="B341" s="79"/>
      <c r="C341" s="80"/>
      <c r="D341" s="80"/>
      <c r="E341" s="80"/>
      <c r="F341" s="80"/>
      <c r="G341" s="80"/>
      <c r="H341" s="80"/>
    </row>
    <row r="342">
      <c r="A342" s="56"/>
      <c r="B342" s="79"/>
      <c r="C342" s="80"/>
      <c r="D342" s="80"/>
      <c r="E342" s="80"/>
      <c r="F342" s="80"/>
      <c r="G342" s="80"/>
      <c r="H342" s="80"/>
    </row>
    <row r="343">
      <c r="A343" s="56"/>
      <c r="B343" s="79"/>
      <c r="C343" s="80"/>
      <c r="D343" s="80"/>
      <c r="E343" s="80"/>
      <c r="F343" s="80"/>
      <c r="G343" s="80"/>
      <c r="H343" s="80"/>
    </row>
    <row r="344">
      <c r="A344" s="56"/>
      <c r="B344" s="79"/>
      <c r="C344" s="80"/>
      <c r="D344" s="80"/>
      <c r="E344" s="80"/>
      <c r="F344" s="80"/>
      <c r="G344" s="80"/>
      <c r="H344" s="80"/>
    </row>
    <row r="345">
      <c r="A345" s="56"/>
      <c r="B345" s="79"/>
      <c r="C345" s="80"/>
      <c r="D345" s="80"/>
      <c r="E345" s="80"/>
      <c r="F345" s="80"/>
      <c r="G345" s="80"/>
      <c r="H345" s="80"/>
    </row>
    <row r="346">
      <c r="A346" s="56"/>
      <c r="B346" s="79"/>
      <c r="C346" s="80"/>
      <c r="D346" s="80"/>
      <c r="E346" s="80"/>
      <c r="F346" s="80"/>
      <c r="G346" s="80"/>
      <c r="H346" s="80"/>
    </row>
    <row r="347">
      <c r="A347" s="56"/>
      <c r="B347" s="79"/>
      <c r="C347" s="80"/>
      <c r="D347" s="80"/>
      <c r="E347" s="80"/>
      <c r="F347" s="80"/>
      <c r="G347" s="80"/>
      <c r="H347" s="80"/>
    </row>
    <row r="348">
      <c r="A348" s="56"/>
      <c r="B348" s="79"/>
      <c r="C348" s="80"/>
      <c r="D348" s="80"/>
      <c r="E348" s="80"/>
      <c r="F348" s="80"/>
      <c r="G348" s="80"/>
      <c r="H348" s="80"/>
    </row>
    <row r="349">
      <c r="A349" s="56"/>
      <c r="B349" s="79"/>
      <c r="C349" s="80"/>
      <c r="D349" s="80"/>
      <c r="E349" s="80"/>
      <c r="F349" s="80"/>
      <c r="G349" s="80"/>
      <c r="H349" s="80"/>
    </row>
    <row r="350">
      <c r="A350" s="56"/>
      <c r="B350" s="79"/>
      <c r="C350" s="80"/>
      <c r="D350" s="80"/>
      <c r="E350" s="80"/>
      <c r="F350" s="80"/>
      <c r="G350" s="80"/>
      <c r="H350" s="80"/>
    </row>
    <row r="351">
      <c r="A351" s="56"/>
      <c r="B351" s="79"/>
      <c r="C351" s="80"/>
      <c r="D351" s="80"/>
      <c r="E351" s="80"/>
      <c r="F351" s="80"/>
      <c r="G351" s="80"/>
      <c r="H351" s="80"/>
    </row>
    <row r="352">
      <c r="A352" s="56"/>
      <c r="B352" s="79"/>
      <c r="C352" s="80"/>
      <c r="D352" s="80"/>
      <c r="E352" s="80"/>
      <c r="F352" s="80"/>
      <c r="G352" s="80"/>
      <c r="H352" s="80"/>
    </row>
    <row r="353">
      <c r="A353" s="56"/>
      <c r="B353" s="79"/>
      <c r="C353" s="80"/>
      <c r="D353" s="80"/>
      <c r="E353" s="80"/>
      <c r="F353" s="80"/>
      <c r="G353" s="80"/>
      <c r="H353" s="80"/>
    </row>
    <row r="354">
      <c r="A354" s="56"/>
      <c r="B354" s="79"/>
      <c r="C354" s="80"/>
      <c r="D354" s="80"/>
      <c r="E354" s="80"/>
      <c r="F354" s="80"/>
      <c r="G354" s="80"/>
      <c r="H354" s="80"/>
    </row>
    <row r="355">
      <c r="A355" s="56"/>
      <c r="B355" s="79"/>
      <c r="C355" s="80"/>
      <c r="D355" s="80"/>
      <c r="E355" s="80"/>
      <c r="F355" s="80"/>
      <c r="G355" s="80"/>
      <c r="H355" s="80"/>
    </row>
    <row r="356">
      <c r="A356" s="56"/>
      <c r="B356" s="79"/>
      <c r="C356" s="80"/>
      <c r="D356" s="80"/>
      <c r="E356" s="80"/>
      <c r="F356" s="80"/>
      <c r="G356" s="80"/>
      <c r="H356" s="80"/>
    </row>
    <row r="357">
      <c r="A357" s="56"/>
      <c r="B357" s="79"/>
      <c r="C357" s="80"/>
      <c r="D357" s="80"/>
      <c r="E357" s="80"/>
      <c r="F357" s="80"/>
      <c r="G357" s="80"/>
      <c r="H357" s="80"/>
    </row>
    <row r="358">
      <c r="A358" s="56"/>
      <c r="B358" s="79"/>
      <c r="C358" s="80"/>
      <c r="D358" s="80"/>
      <c r="E358" s="80"/>
      <c r="F358" s="80"/>
      <c r="G358" s="80"/>
      <c r="H358" s="80"/>
    </row>
    <row r="359">
      <c r="A359" s="56"/>
      <c r="B359" s="79"/>
      <c r="C359" s="80"/>
      <c r="D359" s="80"/>
      <c r="E359" s="80"/>
      <c r="F359" s="80"/>
      <c r="G359" s="80"/>
      <c r="H359" s="80"/>
    </row>
    <row r="360">
      <c r="A360" s="56"/>
      <c r="B360" s="79"/>
      <c r="C360" s="80"/>
      <c r="D360" s="80"/>
      <c r="E360" s="80"/>
      <c r="F360" s="80"/>
      <c r="G360" s="80"/>
      <c r="H360" s="80"/>
    </row>
    <row r="361">
      <c r="A361" s="56"/>
      <c r="B361" s="79"/>
      <c r="C361" s="80"/>
      <c r="D361" s="80"/>
      <c r="E361" s="80"/>
      <c r="F361" s="80"/>
      <c r="G361" s="80"/>
      <c r="H361" s="80"/>
    </row>
    <row r="362">
      <c r="A362" s="56"/>
      <c r="B362" s="79"/>
      <c r="C362" s="80"/>
      <c r="D362" s="80"/>
      <c r="E362" s="80"/>
      <c r="F362" s="80"/>
      <c r="G362" s="80"/>
      <c r="H362" s="80"/>
    </row>
    <row r="363">
      <c r="A363" s="56"/>
      <c r="B363" s="79"/>
      <c r="C363" s="80"/>
      <c r="D363" s="80"/>
      <c r="E363" s="80"/>
      <c r="F363" s="80"/>
      <c r="G363" s="80"/>
      <c r="H363" s="80"/>
    </row>
    <row r="364">
      <c r="A364" s="56"/>
      <c r="B364" s="79"/>
      <c r="C364" s="80"/>
      <c r="D364" s="80"/>
      <c r="E364" s="80"/>
      <c r="F364" s="80"/>
      <c r="G364" s="80"/>
      <c r="H364" s="80"/>
    </row>
    <row r="365">
      <c r="A365" s="56"/>
      <c r="B365" s="79"/>
      <c r="C365" s="80"/>
      <c r="D365" s="80"/>
      <c r="E365" s="80"/>
      <c r="F365" s="80"/>
      <c r="G365" s="80"/>
      <c r="H365" s="80"/>
    </row>
    <row r="366">
      <c r="A366" s="56"/>
      <c r="B366" s="79"/>
      <c r="C366" s="80"/>
      <c r="D366" s="80"/>
      <c r="E366" s="80"/>
      <c r="F366" s="80"/>
      <c r="G366" s="80"/>
      <c r="H366" s="80"/>
    </row>
    <row r="367">
      <c r="A367" s="56"/>
      <c r="B367" s="79"/>
      <c r="C367" s="80"/>
      <c r="D367" s="80"/>
      <c r="E367" s="80"/>
      <c r="F367" s="80"/>
      <c r="G367" s="80"/>
      <c r="H367" s="80"/>
    </row>
    <row r="368">
      <c r="A368" s="56"/>
      <c r="B368" s="79"/>
      <c r="C368" s="80"/>
      <c r="D368" s="80"/>
      <c r="E368" s="80"/>
      <c r="F368" s="80"/>
      <c r="G368" s="80"/>
      <c r="H368" s="80"/>
    </row>
    <row r="369">
      <c r="A369" s="56"/>
      <c r="B369" s="79"/>
      <c r="C369" s="80"/>
      <c r="D369" s="80"/>
      <c r="E369" s="80"/>
      <c r="F369" s="80"/>
      <c r="G369" s="80"/>
      <c r="H369" s="80"/>
    </row>
    <row r="370">
      <c r="A370" s="56"/>
      <c r="B370" s="79"/>
      <c r="C370" s="80"/>
      <c r="D370" s="80"/>
      <c r="E370" s="80"/>
      <c r="F370" s="80"/>
      <c r="G370" s="80"/>
      <c r="H370" s="80"/>
    </row>
    <row r="371">
      <c r="A371" s="56"/>
      <c r="B371" s="79"/>
      <c r="C371" s="80"/>
      <c r="D371" s="80"/>
      <c r="E371" s="80"/>
      <c r="F371" s="80"/>
      <c r="G371" s="80"/>
      <c r="H371" s="80"/>
    </row>
    <row r="372">
      <c r="A372" s="56"/>
      <c r="B372" s="79"/>
      <c r="C372" s="80"/>
      <c r="D372" s="80"/>
      <c r="E372" s="80"/>
      <c r="F372" s="80"/>
      <c r="G372" s="80"/>
      <c r="H372" s="80"/>
    </row>
    <row r="373">
      <c r="A373" s="56"/>
      <c r="B373" s="79"/>
      <c r="C373" s="80"/>
      <c r="D373" s="80"/>
      <c r="E373" s="80"/>
      <c r="F373" s="80"/>
      <c r="G373" s="80"/>
      <c r="H373" s="80"/>
    </row>
    <row r="374">
      <c r="A374" s="56"/>
      <c r="B374" s="79"/>
      <c r="C374" s="80"/>
      <c r="D374" s="80"/>
      <c r="E374" s="80"/>
      <c r="F374" s="80"/>
      <c r="G374" s="80"/>
      <c r="H374" s="80"/>
    </row>
    <row r="375">
      <c r="A375" s="56"/>
      <c r="B375" s="79"/>
      <c r="C375" s="80"/>
      <c r="D375" s="80"/>
      <c r="E375" s="80"/>
      <c r="F375" s="80"/>
      <c r="G375" s="80"/>
      <c r="H375" s="80"/>
    </row>
    <row r="376">
      <c r="A376" s="56"/>
      <c r="B376" s="79"/>
      <c r="C376" s="80"/>
      <c r="D376" s="80"/>
      <c r="E376" s="80"/>
      <c r="F376" s="80"/>
      <c r="G376" s="80"/>
      <c r="H376" s="80"/>
    </row>
    <row r="377">
      <c r="A377" s="56"/>
      <c r="B377" s="79"/>
      <c r="C377" s="80"/>
      <c r="D377" s="80"/>
      <c r="E377" s="80"/>
      <c r="F377" s="80"/>
      <c r="G377" s="80"/>
      <c r="H377" s="80"/>
    </row>
    <row r="378">
      <c r="A378" s="56"/>
      <c r="B378" s="79"/>
      <c r="C378" s="80"/>
      <c r="D378" s="80"/>
      <c r="E378" s="80"/>
      <c r="F378" s="80"/>
      <c r="G378" s="80"/>
      <c r="H378" s="80"/>
    </row>
    <row r="379">
      <c r="A379" s="56"/>
      <c r="B379" s="79"/>
      <c r="C379" s="80"/>
      <c r="D379" s="80"/>
      <c r="E379" s="80"/>
      <c r="F379" s="80"/>
      <c r="G379" s="80"/>
      <c r="H379" s="80"/>
    </row>
    <row r="380">
      <c r="A380" s="56"/>
      <c r="B380" s="79"/>
      <c r="C380" s="80"/>
      <c r="D380" s="80"/>
      <c r="E380" s="80"/>
      <c r="F380" s="80"/>
      <c r="G380" s="80"/>
      <c r="H380" s="80"/>
    </row>
    <row r="381">
      <c r="A381" s="56"/>
      <c r="B381" s="79"/>
      <c r="C381" s="80"/>
      <c r="D381" s="80"/>
      <c r="E381" s="80"/>
      <c r="F381" s="80"/>
      <c r="G381" s="80"/>
      <c r="H381" s="80"/>
    </row>
    <row r="382">
      <c r="A382" s="56"/>
      <c r="B382" s="79"/>
      <c r="C382" s="80"/>
      <c r="D382" s="80"/>
      <c r="E382" s="80"/>
      <c r="F382" s="80"/>
      <c r="G382" s="80"/>
      <c r="H382" s="80"/>
    </row>
    <row r="383">
      <c r="A383" s="56"/>
      <c r="B383" s="79"/>
      <c r="C383" s="80"/>
      <c r="D383" s="80"/>
      <c r="E383" s="80"/>
      <c r="F383" s="80"/>
      <c r="G383" s="80"/>
      <c r="H383" s="80"/>
    </row>
    <row r="384">
      <c r="A384" s="56"/>
      <c r="B384" s="79"/>
      <c r="C384" s="80"/>
      <c r="D384" s="80"/>
      <c r="E384" s="80"/>
      <c r="F384" s="80"/>
      <c r="G384" s="80"/>
      <c r="H384" s="80"/>
    </row>
    <row r="385">
      <c r="A385" s="56"/>
      <c r="B385" s="79"/>
      <c r="C385" s="80"/>
      <c r="D385" s="80"/>
      <c r="E385" s="80"/>
      <c r="F385" s="80"/>
      <c r="G385" s="80"/>
      <c r="H385" s="80"/>
    </row>
    <row r="386">
      <c r="A386" s="56"/>
      <c r="B386" s="79"/>
      <c r="C386" s="80"/>
      <c r="D386" s="80"/>
      <c r="E386" s="80"/>
      <c r="F386" s="80"/>
      <c r="G386" s="80"/>
      <c r="H386" s="80"/>
    </row>
    <row r="387">
      <c r="A387" s="56"/>
      <c r="B387" s="79"/>
      <c r="C387" s="80"/>
      <c r="D387" s="80"/>
      <c r="E387" s="80"/>
      <c r="F387" s="80"/>
      <c r="G387" s="80"/>
      <c r="H387" s="80"/>
    </row>
    <row r="388">
      <c r="A388" s="56"/>
      <c r="B388" s="79"/>
      <c r="C388" s="80"/>
      <c r="D388" s="80"/>
      <c r="E388" s="80"/>
      <c r="F388" s="80"/>
      <c r="G388" s="80"/>
      <c r="H388" s="80"/>
    </row>
    <row r="389">
      <c r="A389" s="56"/>
      <c r="B389" s="79"/>
      <c r="C389" s="80"/>
      <c r="D389" s="80"/>
      <c r="E389" s="80"/>
      <c r="F389" s="80"/>
      <c r="G389" s="80"/>
      <c r="H389" s="80"/>
    </row>
    <row r="390">
      <c r="A390" s="56"/>
      <c r="B390" s="79"/>
      <c r="C390" s="80"/>
      <c r="D390" s="80"/>
      <c r="E390" s="80"/>
      <c r="F390" s="80"/>
      <c r="G390" s="80"/>
      <c r="H390" s="80"/>
    </row>
    <row r="391">
      <c r="A391" s="56"/>
      <c r="B391" s="79"/>
      <c r="C391" s="80"/>
      <c r="D391" s="80"/>
      <c r="E391" s="80"/>
      <c r="F391" s="80"/>
      <c r="G391" s="80"/>
      <c r="H391" s="80"/>
    </row>
    <row r="392">
      <c r="A392" s="56"/>
      <c r="B392" s="79"/>
      <c r="C392" s="80"/>
      <c r="D392" s="80"/>
      <c r="E392" s="80"/>
      <c r="F392" s="80"/>
      <c r="G392" s="80"/>
      <c r="H392" s="80"/>
    </row>
    <row r="393">
      <c r="A393" s="56"/>
      <c r="B393" s="79"/>
      <c r="C393" s="80"/>
      <c r="D393" s="80"/>
      <c r="E393" s="80"/>
      <c r="F393" s="80"/>
      <c r="G393" s="80"/>
      <c r="H393" s="80"/>
    </row>
    <row r="394">
      <c r="A394" s="56"/>
      <c r="B394" s="79"/>
      <c r="C394" s="80"/>
      <c r="D394" s="80"/>
      <c r="E394" s="80"/>
      <c r="F394" s="80"/>
      <c r="G394" s="80"/>
      <c r="H394" s="80"/>
    </row>
    <row r="395">
      <c r="A395" s="56"/>
      <c r="B395" s="79"/>
      <c r="C395" s="80"/>
      <c r="D395" s="80"/>
      <c r="E395" s="80"/>
      <c r="F395" s="80"/>
      <c r="G395" s="80"/>
      <c r="H395" s="80"/>
    </row>
    <row r="396">
      <c r="A396" s="56"/>
      <c r="B396" s="79"/>
      <c r="C396" s="80"/>
      <c r="D396" s="80"/>
      <c r="E396" s="80"/>
      <c r="F396" s="80"/>
      <c r="G396" s="80"/>
      <c r="H396" s="80"/>
    </row>
    <row r="397">
      <c r="A397" s="56"/>
      <c r="B397" s="79"/>
      <c r="C397" s="80"/>
      <c r="D397" s="80"/>
      <c r="E397" s="80"/>
      <c r="F397" s="80"/>
      <c r="G397" s="80"/>
      <c r="H397" s="80"/>
    </row>
    <row r="398">
      <c r="A398" s="56"/>
      <c r="B398" s="79"/>
      <c r="C398" s="80"/>
      <c r="D398" s="80"/>
      <c r="E398" s="80"/>
      <c r="F398" s="80"/>
      <c r="G398" s="80"/>
      <c r="H398" s="80"/>
    </row>
    <row r="399">
      <c r="A399" s="56"/>
      <c r="B399" s="79"/>
      <c r="C399" s="80"/>
      <c r="D399" s="80"/>
      <c r="E399" s="80"/>
      <c r="F399" s="80"/>
      <c r="G399" s="80"/>
      <c r="H399" s="80"/>
    </row>
    <row r="400">
      <c r="A400" s="56"/>
      <c r="B400" s="79"/>
      <c r="C400" s="80"/>
      <c r="D400" s="80"/>
      <c r="E400" s="80"/>
      <c r="F400" s="80"/>
      <c r="G400" s="80"/>
      <c r="H400" s="80"/>
    </row>
    <row r="401">
      <c r="A401" s="56"/>
      <c r="B401" s="79"/>
      <c r="C401" s="80"/>
      <c r="D401" s="80"/>
      <c r="E401" s="80"/>
      <c r="F401" s="80"/>
      <c r="G401" s="80"/>
      <c r="H401" s="80"/>
    </row>
    <row r="402">
      <c r="A402" s="56"/>
      <c r="B402" s="79"/>
      <c r="C402" s="80"/>
      <c r="D402" s="80"/>
      <c r="E402" s="80"/>
      <c r="F402" s="80"/>
      <c r="G402" s="80"/>
      <c r="H402" s="80"/>
    </row>
    <row r="403">
      <c r="A403" s="56"/>
      <c r="B403" s="79"/>
      <c r="C403" s="80"/>
      <c r="D403" s="80"/>
      <c r="E403" s="80"/>
      <c r="F403" s="80"/>
      <c r="G403" s="80"/>
      <c r="H403" s="80"/>
    </row>
    <row r="404">
      <c r="A404" s="56"/>
      <c r="B404" s="79"/>
      <c r="C404" s="80"/>
      <c r="D404" s="80"/>
      <c r="E404" s="80"/>
      <c r="F404" s="80"/>
      <c r="G404" s="80"/>
      <c r="H404" s="80"/>
    </row>
    <row r="405">
      <c r="A405" s="56"/>
      <c r="B405" s="79"/>
      <c r="C405" s="80"/>
      <c r="D405" s="80"/>
      <c r="E405" s="80"/>
      <c r="F405" s="80"/>
      <c r="G405" s="80"/>
      <c r="H405" s="80"/>
    </row>
    <row r="406">
      <c r="A406" s="56"/>
      <c r="B406" s="79"/>
      <c r="C406" s="80"/>
      <c r="D406" s="80"/>
      <c r="E406" s="80"/>
      <c r="F406" s="80"/>
      <c r="G406" s="80"/>
      <c r="H406" s="80"/>
    </row>
    <row r="407">
      <c r="A407" s="56"/>
      <c r="B407" s="79"/>
      <c r="C407" s="80"/>
      <c r="D407" s="80"/>
      <c r="E407" s="80"/>
      <c r="F407" s="80"/>
      <c r="G407" s="80"/>
      <c r="H407" s="80"/>
    </row>
    <row r="408">
      <c r="A408" s="56"/>
      <c r="B408" s="79"/>
      <c r="C408" s="80"/>
      <c r="D408" s="80"/>
      <c r="E408" s="80"/>
      <c r="F408" s="80"/>
      <c r="G408" s="80"/>
      <c r="H408" s="80"/>
    </row>
    <row r="409">
      <c r="A409" s="56"/>
      <c r="B409" s="79"/>
      <c r="C409" s="80"/>
      <c r="D409" s="80"/>
      <c r="E409" s="80"/>
      <c r="F409" s="80"/>
      <c r="G409" s="80"/>
      <c r="H409" s="80"/>
    </row>
    <row r="410">
      <c r="A410" s="56"/>
      <c r="B410" s="79"/>
      <c r="C410" s="80"/>
      <c r="D410" s="80"/>
      <c r="E410" s="80"/>
      <c r="F410" s="80"/>
      <c r="G410" s="80"/>
      <c r="H410" s="80"/>
    </row>
    <row r="411">
      <c r="A411" s="56"/>
      <c r="B411" s="79"/>
      <c r="C411" s="80"/>
      <c r="D411" s="80"/>
      <c r="E411" s="80"/>
      <c r="F411" s="80"/>
      <c r="G411" s="80"/>
      <c r="H411" s="80"/>
    </row>
    <row r="412">
      <c r="A412" s="56"/>
      <c r="B412" s="79"/>
      <c r="C412" s="80"/>
      <c r="D412" s="80"/>
      <c r="E412" s="80"/>
      <c r="F412" s="80"/>
      <c r="G412" s="80"/>
      <c r="H412" s="80"/>
    </row>
    <row r="413">
      <c r="A413" s="56"/>
      <c r="B413" s="79"/>
      <c r="C413" s="80"/>
      <c r="D413" s="80"/>
      <c r="E413" s="80"/>
      <c r="F413" s="80"/>
      <c r="G413" s="80"/>
      <c r="H413" s="80"/>
    </row>
    <row r="414">
      <c r="A414" s="56"/>
      <c r="B414" s="79"/>
      <c r="C414" s="80"/>
      <c r="D414" s="80"/>
      <c r="E414" s="80"/>
      <c r="F414" s="80"/>
      <c r="G414" s="80"/>
      <c r="H414" s="80"/>
    </row>
    <row r="415">
      <c r="A415" s="56"/>
      <c r="B415" s="79"/>
      <c r="C415" s="80"/>
      <c r="D415" s="80"/>
      <c r="E415" s="80"/>
      <c r="F415" s="80"/>
      <c r="G415" s="80"/>
      <c r="H415" s="80"/>
    </row>
    <row r="416">
      <c r="A416" s="56"/>
      <c r="B416" s="79"/>
      <c r="C416" s="80"/>
      <c r="D416" s="80"/>
      <c r="E416" s="80"/>
      <c r="F416" s="80"/>
      <c r="G416" s="80"/>
      <c r="H416" s="80"/>
    </row>
    <row r="417">
      <c r="A417" s="56"/>
      <c r="B417" s="79"/>
      <c r="C417" s="80"/>
      <c r="D417" s="80"/>
      <c r="E417" s="80"/>
      <c r="F417" s="80"/>
      <c r="G417" s="80"/>
      <c r="H417" s="80"/>
    </row>
    <row r="418">
      <c r="A418" s="56"/>
      <c r="B418" s="79"/>
      <c r="C418" s="80"/>
      <c r="D418" s="80"/>
      <c r="E418" s="80"/>
      <c r="F418" s="80"/>
      <c r="G418" s="80"/>
      <c r="H418" s="80"/>
    </row>
    <row r="419">
      <c r="A419" s="56"/>
      <c r="B419" s="79"/>
      <c r="C419" s="80"/>
      <c r="D419" s="80"/>
      <c r="E419" s="80"/>
      <c r="F419" s="80"/>
      <c r="G419" s="80"/>
      <c r="H419" s="80"/>
    </row>
    <row r="420">
      <c r="A420" s="56"/>
      <c r="B420" s="79"/>
      <c r="C420" s="80"/>
      <c r="D420" s="80"/>
      <c r="E420" s="80"/>
      <c r="F420" s="80"/>
      <c r="G420" s="80"/>
      <c r="H420" s="80"/>
    </row>
    <row r="421">
      <c r="A421" s="56"/>
      <c r="B421" s="79"/>
      <c r="C421" s="80"/>
      <c r="D421" s="80"/>
      <c r="E421" s="80"/>
      <c r="F421" s="80"/>
      <c r="G421" s="80"/>
      <c r="H421" s="80"/>
    </row>
    <row r="422">
      <c r="A422" s="56"/>
      <c r="B422" s="79"/>
      <c r="C422" s="80"/>
      <c r="D422" s="80"/>
      <c r="E422" s="80"/>
      <c r="F422" s="80"/>
      <c r="G422" s="80"/>
      <c r="H422" s="80"/>
    </row>
    <row r="423">
      <c r="A423" s="56"/>
      <c r="B423" s="79"/>
      <c r="C423" s="80"/>
      <c r="D423" s="80"/>
      <c r="E423" s="80"/>
      <c r="F423" s="80"/>
      <c r="G423" s="80"/>
      <c r="H423" s="80"/>
    </row>
    <row r="424">
      <c r="A424" s="56"/>
      <c r="B424" s="79"/>
      <c r="C424" s="80"/>
      <c r="D424" s="80"/>
      <c r="E424" s="80"/>
      <c r="F424" s="80"/>
      <c r="G424" s="80"/>
      <c r="H424" s="80"/>
    </row>
    <row r="425">
      <c r="A425" s="56"/>
      <c r="B425" s="79"/>
      <c r="C425" s="80"/>
      <c r="D425" s="80"/>
      <c r="E425" s="80"/>
      <c r="F425" s="80"/>
      <c r="G425" s="80"/>
      <c r="H425" s="80"/>
    </row>
    <row r="426">
      <c r="A426" s="56"/>
      <c r="B426" s="79"/>
      <c r="C426" s="80"/>
      <c r="D426" s="80"/>
      <c r="E426" s="80"/>
      <c r="F426" s="80"/>
      <c r="G426" s="80"/>
      <c r="H426" s="80"/>
    </row>
    <row r="427">
      <c r="A427" s="56"/>
      <c r="B427" s="79"/>
      <c r="C427" s="80"/>
      <c r="D427" s="80"/>
      <c r="E427" s="80"/>
      <c r="F427" s="80"/>
      <c r="G427" s="80"/>
      <c r="H427" s="80"/>
    </row>
    <row r="428">
      <c r="A428" s="56"/>
      <c r="B428" s="79"/>
      <c r="C428" s="80"/>
      <c r="D428" s="80"/>
      <c r="E428" s="80"/>
      <c r="F428" s="80"/>
      <c r="G428" s="80"/>
      <c r="H428" s="80"/>
    </row>
    <row r="429">
      <c r="A429" s="56"/>
      <c r="B429" s="79"/>
      <c r="C429" s="80"/>
      <c r="D429" s="80"/>
      <c r="E429" s="80"/>
      <c r="F429" s="80"/>
      <c r="G429" s="80"/>
      <c r="H429" s="80"/>
    </row>
    <row r="430">
      <c r="A430" s="56"/>
      <c r="B430" s="79"/>
      <c r="C430" s="80"/>
      <c r="D430" s="80"/>
      <c r="E430" s="80"/>
      <c r="F430" s="80"/>
      <c r="G430" s="80"/>
      <c r="H430" s="80"/>
    </row>
    <row r="431">
      <c r="A431" s="56"/>
      <c r="B431" s="79"/>
      <c r="C431" s="80"/>
      <c r="D431" s="80"/>
      <c r="E431" s="80"/>
      <c r="F431" s="80"/>
      <c r="G431" s="80"/>
      <c r="H431" s="80"/>
    </row>
    <row r="432">
      <c r="A432" s="56"/>
      <c r="B432" s="79"/>
      <c r="C432" s="80"/>
      <c r="D432" s="80"/>
      <c r="E432" s="80"/>
      <c r="F432" s="80"/>
      <c r="G432" s="80"/>
      <c r="H432" s="80"/>
    </row>
    <row r="433">
      <c r="A433" s="56"/>
      <c r="B433" s="79"/>
      <c r="C433" s="80"/>
      <c r="D433" s="80"/>
      <c r="E433" s="80"/>
      <c r="F433" s="80"/>
      <c r="G433" s="80"/>
      <c r="H433" s="80"/>
    </row>
    <row r="434">
      <c r="A434" s="56"/>
      <c r="B434" s="79"/>
      <c r="C434" s="80"/>
      <c r="D434" s="80"/>
      <c r="E434" s="80"/>
      <c r="F434" s="80"/>
      <c r="G434" s="80"/>
      <c r="H434" s="80"/>
    </row>
    <row r="435">
      <c r="A435" s="56"/>
      <c r="B435" s="79"/>
      <c r="C435" s="80"/>
      <c r="D435" s="80"/>
      <c r="E435" s="80"/>
      <c r="F435" s="80"/>
      <c r="G435" s="80"/>
      <c r="H435" s="80"/>
    </row>
    <row r="436">
      <c r="A436" s="56"/>
      <c r="B436" s="79"/>
      <c r="C436" s="80"/>
      <c r="D436" s="80"/>
      <c r="E436" s="80"/>
      <c r="F436" s="80"/>
      <c r="G436" s="80"/>
      <c r="H436" s="80"/>
    </row>
    <row r="437">
      <c r="A437" s="56"/>
      <c r="B437" s="79"/>
      <c r="C437" s="80"/>
      <c r="D437" s="80"/>
      <c r="E437" s="80"/>
      <c r="F437" s="80"/>
      <c r="G437" s="80"/>
      <c r="H437" s="80"/>
    </row>
    <row r="438">
      <c r="A438" s="56"/>
      <c r="B438" s="79"/>
      <c r="C438" s="80"/>
      <c r="D438" s="80"/>
      <c r="E438" s="80"/>
      <c r="F438" s="80"/>
      <c r="G438" s="80"/>
      <c r="H438" s="80"/>
    </row>
    <row r="439">
      <c r="A439" s="56"/>
      <c r="B439" s="79"/>
      <c r="C439" s="80"/>
      <c r="D439" s="80"/>
      <c r="E439" s="80"/>
      <c r="F439" s="80"/>
      <c r="G439" s="80"/>
      <c r="H439" s="80"/>
    </row>
    <row r="440">
      <c r="A440" s="56"/>
      <c r="B440" s="79"/>
      <c r="C440" s="80"/>
      <c r="D440" s="80"/>
      <c r="E440" s="80"/>
      <c r="F440" s="80"/>
      <c r="G440" s="80"/>
      <c r="H440" s="80"/>
    </row>
    <row r="441">
      <c r="A441" s="56"/>
      <c r="B441" s="79"/>
      <c r="C441" s="80"/>
      <c r="D441" s="80"/>
      <c r="E441" s="80"/>
      <c r="F441" s="80"/>
      <c r="G441" s="80"/>
      <c r="H441" s="80"/>
    </row>
    <row r="442">
      <c r="A442" s="56"/>
      <c r="B442" s="79"/>
      <c r="C442" s="80"/>
      <c r="D442" s="80"/>
      <c r="E442" s="80"/>
      <c r="F442" s="80"/>
      <c r="G442" s="80"/>
      <c r="H442" s="80"/>
    </row>
    <row r="443">
      <c r="A443" s="56"/>
      <c r="B443" s="79"/>
      <c r="C443" s="80"/>
      <c r="D443" s="80"/>
      <c r="E443" s="80"/>
      <c r="F443" s="80"/>
      <c r="G443" s="80"/>
      <c r="H443" s="80"/>
    </row>
    <row r="444">
      <c r="A444" s="56"/>
      <c r="B444" s="79"/>
      <c r="C444" s="80"/>
      <c r="D444" s="80"/>
      <c r="E444" s="80"/>
      <c r="F444" s="80"/>
      <c r="G444" s="80"/>
      <c r="H444" s="80"/>
    </row>
    <row r="445">
      <c r="A445" s="56"/>
      <c r="B445" s="79"/>
      <c r="C445" s="80"/>
      <c r="D445" s="80"/>
      <c r="E445" s="80"/>
      <c r="F445" s="80"/>
      <c r="G445" s="80"/>
      <c r="H445" s="80"/>
    </row>
    <row r="446">
      <c r="A446" s="56"/>
      <c r="B446" s="79"/>
      <c r="C446" s="80"/>
      <c r="D446" s="80"/>
      <c r="E446" s="80"/>
      <c r="F446" s="80"/>
      <c r="G446" s="80"/>
      <c r="H446" s="80"/>
    </row>
    <row r="447">
      <c r="A447" s="56"/>
      <c r="B447" s="79"/>
      <c r="C447" s="80"/>
      <c r="D447" s="80"/>
      <c r="E447" s="80"/>
      <c r="F447" s="80"/>
      <c r="G447" s="80"/>
      <c r="H447" s="80"/>
    </row>
    <row r="448">
      <c r="A448" s="56"/>
      <c r="B448" s="79"/>
      <c r="C448" s="80"/>
      <c r="D448" s="80"/>
      <c r="E448" s="80"/>
      <c r="F448" s="80"/>
      <c r="G448" s="80"/>
      <c r="H448" s="80"/>
    </row>
    <row r="449">
      <c r="A449" s="56"/>
      <c r="B449" s="79"/>
      <c r="C449" s="80"/>
      <c r="D449" s="80"/>
      <c r="E449" s="80"/>
      <c r="F449" s="80"/>
      <c r="G449" s="80"/>
      <c r="H449" s="80"/>
    </row>
    <row r="450">
      <c r="A450" s="56"/>
      <c r="B450" s="79"/>
      <c r="C450" s="80"/>
      <c r="D450" s="80"/>
      <c r="E450" s="80"/>
      <c r="F450" s="80"/>
      <c r="G450" s="80"/>
      <c r="H450" s="80"/>
    </row>
    <row r="451">
      <c r="A451" s="56"/>
      <c r="B451" s="79"/>
      <c r="C451" s="80"/>
      <c r="D451" s="80"/>
      <c r="E451" s="80"/>
      <c r="F451" s="80"/>
      <c r="G451" s="80"/>
      <c r="H451" s="80"/>
    </row>
    <row r="452">
      <c r="A452" s="56"/>
      <c r="B452" s="79"/>
      <c r="C452" s="80"/>
      <c r="D452" s="80"/>
      <c r="E452" s="80"/>
      <c r="F452" s="80"/>
      <c r="G452" s="80"/>
      <c r="H452" s="80"/>
    </row>
    <row r="453">
      <c r="A453" s="56"/>
      <c r="B453" s="79"/>
      <c r="C453" s="80"/>
      <c r="D453" s="80"/>
      <c r="E453" s="80"/>
      <c r="F453" s="80"/>
      <c r="G453" s="80"/>
      <c r="H453" s="80"/>
    </row>
    <row r="454">
      <c r="A454" s="56"/>
      <c r="B454" s="79"/>
      <c r="C454" s="80"/>
      <c r="D454" s="80"/>
      <c r="E454" s="80"/>
      <c r="F454" s="80"/>
      <c r="G454" s="80"/>
      <c r="H454" s="80"/>
    </row>
    <row r="455">
      <c r="A455" s="56"/>
      <c r="B455" s="79"/>
      <c r="C455" s="80"/>
      <c r="D455" s="80"/>
      <c r="E455" s="80"/>
      <c r="F455" s="80"/>
      <c r="G455" s="80"/>
      <c r="H455" s="80"/>
    </row>
    <row r="456">
      <c r="A456" s="56"/>
      <c r="B456" s="79"/>
      <c r="C456" s="80"/>
      <c r="D456" s="80"/>
      <c r="E456" s="80"/>
      <c r="F456" s="80"/>
      <c r="G456" s="80"/>
      <c r="H456" s="80"/>
    </row>
    <row r="457">
      <c r="A457" s="56"/>
      <c r="B457" s="79"/>
      <c r="C457" s="80"/>
      <c r="D457" s="80"/>
      <c r="E457" s="80"/>
      <c r="F457" s="80"/>
      <c r="G457" s="80"/>
      <c r="H457" s="80"/>
    </row>
    <row r="458">
      <c r="A458" s="56"/>
      <c r="B458" s="79"/>
      <c r="C458" s="80"/>
      <c r="D458" s="80"/>
      <c r="E458" s="80"/>
      <c r="F458" s="80"/>
      <c r="G458" s="80"/>
      <c r="H458" s="80"/>
    </row>
    <row r="459">
      <c r="A459" s="56"/>
      <c r="B459" s="79"/>
      <c r="C459" s="80"/>
      <c r="D459" s="80"/>
      <c r="E459" s="80"/>
      <c r="F459" s="80"/>
      <c r="G459" s="80"/>
      <c r="H459" s="80"/>
    </row>
    <row r="460">
      <c r="A460" s="56"/>
      <c r="B460" s="79"/>
      <c r="C460" s="80"/>
      <c r="D460" s="80"/>
      <c r="E460" s="80"/>
      <c r="F460" s="80"/>
      <c r="G460" s="80"/>
      <c r="H460" s="80"/>
    </row>
    <row r="461">
      <c r="A461" s="56"/>
      <c r="B461" s="79"/>
      <c r="C461" s="80"/>
      <c r="D461" s="80"/>
      <c r="E461" s="80"/>
      <c r="F461" s="80"/>
      <c r="G461" s="80"/>
      <c r="H461" s="80"/>
    </row>
    <row r="462">
      <c r="A462" s="56"/>
      <c r="B462" s="79"/>
      <c r="C462" s="80"/>
      <c r="D462" s="80"/>
      <c r="E462" s="80"/>
      <c r="F462" s="80"/>
      <c r="G462" s="80"/>
      <c r="H462" s="80"/>
    </row>
    <row r="463">
      <c r="A463" s="56"/>
      <c r="B463" s="79"/>
      <c r="C463" s="80"/>
      <c r="D463" s="80"/>
      <c r="E463" s="80"/>
      <c r="F463" s="80"/>
      <c r="G463" s="80"/>
      <c r="H463" s="80"/>
    </row>
    <row r="464">
      <c r="A464" s="56"/>
      <c r="B464" s="79"/>
      <c r="C464" s="80"/>
      <c r="D464" s="80"/>
      <c r="E464" s="80"/>
      <c r="F464" s="80"/>
      <c r="G464" s="80"/>
      <c r="H464" s="80"/>
    </row>
    <row r="465">
      <c r="A465" s="56"/>
      <c r="B465" s="79"/>
      <c r="C465" s="80"/>
      <c r="D465" s="80"/>
      <c r="E465" s="80"/>
      <c r="F465" s="80"/>
      <c r="G465" s="80"/>
      <c r="H465" s="80"/>
    </row>
    <row r="466">
      <c r="A466" s="56"/>
      <c r="B466" s="79"/>
      <c r="C466" s="80"/>
      <c r="D466" s="80"/>
      <c r="E466" s="80"/>
      <c r="F466" s="80"/>
      <c r="G466" s="80"/>
      <c r="H466" s="80"/>
    </row>
    <row r="467">
      <c r="A467" s="56"/>
      <c r="B467" s="79"/>
      <c r="C467" s="80"/>
      <c r="D467" s="80"/>
      <c r="E467" s="80"/>
      <c r="F467" s="80"/>
      <c r="G467" s="80"/>
      <c r="H467" s="80"/>
    </row>
    <row r="468">
      <c r="A468" s="56"/>
      <c r="B468" s="79"/>
      <c r="C468" s="80"/>
      <c r="D468" s="80"/>
      <c r="E468" s="80"/>
      <c r="F468" s="80"/>
      <c r="G468" s="80"/>
      <c r="H468" s="80"/>
    </row>
    <row r="469">
      <c r="A469" s="56"/>
      <c r="B469" s="79"/>
      <c r="C469" s="80"/>
      <c r="D469" s="80"/>
      <c r="E469" s="80"/>
      <c r="F469" s="80"/>
      <c r="G469" s="80"/>
      <c r="H469" s="80"/>
    </row>
    <row r="470">
      <c r="A470" s="56"/>
      <c r="B470" s="79"/>
      <c r="C470" s="80"/>
      <c r="D470" s="80"/>
      <c r="E470" s="80"/>
      <c r="F470" s="80"/>
      <c r="G470" s="80"/>
      <c r="H470" s="80"/>
    </row>
    <row r="471">
      <c r="A471" s="56"/>
      <c r="B471" s="79"/>
      <c r="C471" s="80"/>
      <c r="D471" s="80"/>
      <c r="E471" s="80"/>
      <c r="F471" s="80"/>
      <c r="G471" s="80"/>
      <c r="H471" s="80"/>
    </row>
    <row r="472">
      <c r="A472" s="56"/>
      <c r="B472" s="79"/>
      <c r="C472" s="80"/>
      <c r="D472" s="80"/>
      <c r="E472" s="80"/>
      <c r="F472" s="80"/>
      <c r="G472" s="80"/>
      <c r="H472" s="80"/>
    </row>
    <row r="473">
      <c r="A473" s="56"/>
      <c r="B473" s="79"/>
      <c r="C473" s="80"/>
      <c r="D473" s="80"/>
      <c r="E473" s="80"/>
      <c r="F473" s="80"/>
      <c r="G473" s="80"/>
      <c r="H473" s="80"/>
    </row>
    <row r="474">
      <c r="A474" s="56"/>
      <c r="B474" s="79"/>
      <c r="C474" s="80"/>
      <c r="D474" s="80"/>
      <c r="E474" s="80"/>
      <c r="F474" s="80"/>
      <c r="G474" s="80"/>
      <c r="H474" s="80"/>
    </row>
    <row r="475">
      <c r="A475" s="56"/>
      <c r="B475" s="79"/>
      <c r="C475" s="80"/>
      <c r="D475" s="80"/>
      <c r="E475" s="80"/>
      <c r="F475" s="80"/>
      <c r="G475" s="80"/>
      <c r="H475" s="80"/>
    </row>
    <row r="476">
      <c r="A476" s="56"/>
      <c r="B476" s="79"/>
      <c r="C476" s="80"/>
      <c r="D476" s="80"/>
      <c r="E476" s="80"/>
      <c r="F476" s="80"/>
      <c r="G476" s="80"/>
      <c r="H476" s="80"/>
    </row>
    <row r="477">
      <c r="A477" s="56"/>
      <c r="B477" s="79"/>
      <c r="C477" s="80"/>
      <c r="D477" s="80"/>
      <c r="E477" s="80"/>
      <c r="F477" s="80"/>
      <c r="G477" s="80"/>
      <c r="H477" s="80"/>
    </row>
    <row r="478">
      <c r="A478" s="56"/>
      <c r="B478" s="79"/>
      <c r="C478" s="80"/>
      <c r="D478" s="80"/>
      <c r="E478" s="80"/>
      <c r="F478" s="80"/>
      <c r="G478" s="80"/>
      <c r="H478" s="80"/>
    </row>
    <row r="479">
      <c r="A479" s="56"/>
      <c r="B479" s="79"/>
      <c r="C479" s="80"/>
      <c r="D479" s="80"/>
      <c r="E479" s="80"/>
      <c r="F479" s="80"/>
      <c r="G479" s="80"/>
      <c r="H479" s="80"/>
    </row>
    <row r="480">
      <c r="A480" s="56"/>
      <c r="B480" s="79"/>
      <c r="C480" s="80"/>
      <c r="D480" s="80"/>
      <c r="E480" s="80"/>
      <c r="F480" s="80"/>
      <c r="G480" s="80"/>
      <c r="H480" s="80"/>
    </row>
    <row r="481">
      <c r="A481" s="56"/>
      <c r="B481" s="79"/>
      <c r="C481" s="80"/>
      <c r="D481" s="80"/>
      <c r="E481" s="80"/>
      <c r="F481" s="80"/>
      <c r="G481" s="80"/>
      <c r="H481" s="80"/>
    </row>
    <row r="482">
      <c r="A482" s="56"/>
      <c r="B482" s="79"/>
      <c r="C482" s="80"/>
      <c r="D482" s="80"/>
      <c r="E482" s="80"/>
      <c r="F482" s="80"/>
      <c r="G482" s="80"/>
      <c r="H482" s="80"/>
    </row>
    <row r="483">
      <c r="A483" s="56"/>
      <c r="B483" s="79"/>
      <c r="C483" s="80"/>
      <c r="D483" s="80"/>
      <c r="E483" s="80"/>
      <c r="F483" s="80"/>
      <c r="G483" s="80"/>
      <c r="H483" s="80"/>
    </row>
    <row r="484">
      <c r="A484" s="56"/>
      <c r="B484" s="79"/>
      <c r="C484" s="80"/>
      <c r="D484" s="80"/>
      <c r="E484" s="80"/>
      <c r="F484" s="80"/>
      <c r="G484" s="80"/>
      <c r="H484" s="80"/>
    </row>
    <row r="485">
      <c r="A485" s="56"/>
      <c r="B485" s="79"/>
      <c r="C485" s="80"/>
      <c r="D485" s="80"/>
      <c r="E485" s="80"/>
      <c r="F485" s="80"/>
      <c r="G485" s="80"/>
      <c r="H485" s="80"/>
    </row>
    <row r="486">
      <c r="A486" s="56"/>
      <c r="B486" s="79"/>
      <c r="C486" s="80"/>
      <c r="D486" s="80"/>
      <c r="E486" s="80"/>
      <c r="F486" s="80"/>
      <c r="G486" s="80"/>
      <c r="H486" s="80"/>
    </row>
    <row r="487">
      <c r="A487" s="56"/>
      <c r="B487" s="79"/>
      <c r="C487" s="80"/>
      <c r="D487" s="80"/>
      <c r="E487" s="80"/>
      <c r="F487" s="80"/>
      <c r="G487" s="80"/>
      <c r="H487" s="80"/>
    </row>
    <row r="488">
      <c r="A488" s="56"/>
      <c r="B488" s="79"/>
      <c r="C488" s="80"/>
      <c r="D488" s="80"/>
      <c r="E488" s="80"/>
      <c r="F488" s="80"/>
      <c r="G488" s="80"/>
      <c r="H488" s="80"/>
    </row>
    <row r="489">
      <c r="A489" s="56"/>
      <c r="B489" s="79"/>
      <c r="C489" s="80"/>
      <c r="D489" s="80"/>
      <c r="E489" s="80"/>
      <c r="F489" s="80"/>
      <c r="G489" s="80"/>
      <c r="H489" s="80"/>
    </row>
    <row r="490">
      <c r="A490" s="56"/>
      <c r="B490" s="79"/>
      <c r="C490" s="80"/>
      <c r="D490" s="80"/>
      <c r="E490" s="80"/>
      <c r="F490" s="80"/>
      <c r="G490" s="80"/>
      <c r="H490" s="80"/>
    </row>
    <row r="491">
      <c r="A491" s="56"/>
      <c r="B491" s="79"/>
      <c r="C491" s="80"/>
      <c r="D491" s="80"/>
      <c r="E491" s="80"/>
      <c r="F491" s="80"/>
      <c r="G491" s="80"/>
      <c r="H491" s="80"/>
    </row>
    <row r="492">
      <c r="A492" s="56"/>
      <c r="B492" s="79"/>
      <c r="C492" s="80"/>
      <c r="D492" s="80"/>
      <c r="E492" s="80"/>
      <c r="F492" s="80"/>
      <c r="G492" s="80"/>
      <c r="H492" s="80"/>
    </row>
    <row r="493">
      <c r="A493" s="56"/>
      <c r="B493" s="79"/>
      <c r="C493" s="80"/>
      <c r="D493" s="80"/>
      <c r="E493" s="80"/>
      <c r="F493" s="80"/>
      <c r="G493" s="80"/>
      <c r="H493" s="80"/>
    </row>
    <row r="494">
      <c r="A494" s="56"/>
      <c r="B494" s="79"/>
      <c r="C494" s="80"/>
      <c r="D494" s="80"/>
      <c r="E494" s="80"/>
      <c r="F494" s="80"/>
      <c r="G494" s="80"/>
      <c r="H494" s="80"/>
    </row>
    <row r="495">
      <c r="A495" s="56"/>
      <c r="B495" s="79"/>
      <c r="C495" s="80"/>
      <c r="D495" s="80"/>
      <c r="E495" s="80"/>
      <c r="F495" s="80"/>
      <c r="G495" s="80"/>
      <c r="H495" s="80"/>
    </row>
    <row r="496">
      <c r="A496" s="56"/>
      <c r="B496" s="79"/>
      <c r="C496" s="80"/>
      <c r="D496" s="80"/>
      <c r="E496" s="80"/>
      <c r="F496" s="80"/>
      <c r="G496" s="80"/>
      <c r="H496" s="80"/>
    </row>
    <row r="497">
      <c r="A497" s="56"/>
      <c r="B497" s="79"/>
      <c r="C497" s="80"/>
      <c r="D497" s="80"/>
      <c r="E497" s="80"/>
      <c r="F497" s="80"/>
      <c r="G497" s="80"/>
      <c r="H497" s="80"/>
    </row>
    <row r="498">
      <c r="A498" s="56"/>
      <c r="B498" s="79"/>
      <c r="C498" s="80"/>
      <c r="D498" s="80"/>
      <c r="E498" s="80"/>
      <c r="F498" s="80"/>
      <c r="G498" s="80"/>
      <c r="H498" s="80"/>
    </row>
    <row r="499">
      <c r="A499" s="56"/>
      <c r="B499" s="79"/>
      <c r="C499" s="80"/>
      <c r="D499" s="80"/>
      <c r="E499" s="80"/>
      <c r="F499" s="80"/>
      <c r="G499" s="80"/>
      <c r="H499" s="80"/>
    </row>
    <row r="500">
      <c r="A500" s="56"/>
      <c r="B500" s="79"/>
      <c r="C500" s="80"/>
      <c r="D500" s="80"/>
      <c r="E500" s="80"/>
      <c r="F500" s="80"/>
      <c r="G500" s="80"/>
      <c r="H500" s="80"/>
    </row>
    <row r="501">
      <c r="A501" s="56"/>
      <c r="B501" s="79"/>
      <c r="C501" s="80"/>
      <c r="D501" s="80"/>
      <c r="E501" s="80"/>
      <c r="F501" s="80"/>
      <c r="G501" s="80"/>
      <c r="H501" s="80"/>
    </row>
    <row r="502">
      <c r="A502" s="56"/>
      <c r="B502" s="79"/>
      <c r="C502" s="80"/>
      <c r="D502" s="80"/>
      <c r="E502" s="80"/>
      <c r="F502" s="80"/>
      <c r="G502" s="80"/>
      <c r="H502" s="80"/>
    </row>
    <row r="503">
      <c r="A503" s="56"/>
      <c r="B503" s="79"/>
      <c r="C503" s="80"/>
      <c r="D503" s="80"/>
      <c r="E503" s="80"/>
      <c r="F503" s="80"/>
      <c r="G503" s="80"/>
      <c r="H503" s="80"/>
    </row>
    <row r="504">
      <c r="A504" s="56"/>
      <c r="B504" s="79"/>
      <c r="C504" s="80"/>
      <c r="D504" s="80"/>
      <c r="E504" s="80"/>
      <c r="F504" s="80"/>
      <c r="G504" s="80"/>
      <c r="H504" s="80"/>
    </row>
    <row r="505">
      <c r="A505" s="56"/>
      <c r="B505" s="79"/>
      <c r="C505" s="80"/>
      <c r="D505" s="80"/>
      <c r="E505" s="80"/>
      <c r="F505" s="80"/>
      <c r="G505" s="80"/>
      <c r="H505" s="80"/>
    </row>
    <row r="506">
      <c r="A506" s="56"/>
      <c r="B506" s="79"/>
      <c r="C506" s="80"/>
      <c r="D506" s="80"/>
      <c r="E506" s="80"/>
      <c r="F506" s="80"/>
      <c r="G506" s="80"/>
      <c r="H506" s="80"/>
    </row>
    <row r="507">
      <c r="A507" s="56"/>
      <c r="B507" s="79"/>
      <c r="C507" s="80"/>
      <c r="D507" s="80"/>
      <c r="E507" s="80"/>
      <c r="F507" s="80"/>
      <c r="G507" s="80"/>
      <c r="H507" s="80"/>
    </row>
    <row r="508">
      <c r="A508" s="56"/>
      <c r="B508" s="79"/>
      <c r="C508" s="80"/>
      <c r="D508" s="80"/>
      <c r="E508" s="80"/>
      <c r="F508" s="80"/>
      <c r="G508" s="80"/>
      <c r="H508" s="80"/>
    </row>
    <row r="509">
      <c r="A509" s="56"/>
      <c r="B509" s="79"/>
      <c r="C509" s="80"/>
      <c r="D509" s="80"/>
      <c r="E509" s="80"/>
      <c r="F509" s="80"/>
      <c r="G509" s="80"/>
      <c r="H509" s="80"/>
    </row>
    <row r="510">
      <c r="A510" s="56"/>
      <c r="B510" s="79"/>
      <c r="C510" s="80"/>
      <c r="D510" s="80"/>
      <c r="E510" s="80"/>
      <c r="F510" s="80"/>
      <c r="G510" s="80"/>
      <c r="H510" s="80"/>
    </row>
    <row r="511">
      <c r="A511" s="56"/>
      <c r="B511" s="79"/>
      <c r="C511" s="80"/>
      <c r="D511" s="80"/>
      <c r="E511" s="80"/>
      <c r="F511" s="80"/>
      <c r="G511" s="80"/>
      <c r="H511" s="80"/>
    </row>
    <row r="512">
      <c r="A512" s="56"/>
      <c r="B512" s="79"/>
      <c r="C512" s="80"/>
      <c r="D512" s="80"/>
      <c r="E512" s="80"/>
      <c r="F512" s="80"/>
      <c r="G512" s="80"/>
      <c r="H512" s="80"/>
    </row>
    <row r="513">
      <c r="A513" s="56"/>
      <c r="B513" s="79"/>
      <c r="C513" s="80"/>
      <c r="D513" s="80"/>
      <c r="E513" s="80"/>
      <c r="F513" s="80"/>
      <c r="G513" s="80"/>
      <c r="H513" s="80"/>
    </row>
    <row r="514">
      <c r="A514" s="56"/>
      <c r="B514" s="79"/>
      <c r="C514" s="80"/>
      <c r="D514" s="80"/>
      <c r="E514" s="80"/>
      <c r="F514" s="80"/>
      <c r="G514" s="80"/>
      <c r="H514" s="80"/>
    </row>
    <row r="515">
      <c r="A515" s="56"/>
      <c r="B515" s="79"/>
      <c r="C515" s="80"/>
      <c r="D515" s="80"/>
      <c r="E515" s="80"/>
      <c r="F515" s="80"/>
      <c r="G515" s="80"/>
      <c r="H515" s="80"/>
    </row>
    <row r="516">
      <c r="A516" s="56"/>
      <c r="B516" s="79"/>
      <c r="C516" s="80"/>
      <c r="D516" s="80"/>
      <c r="E516" s="80"/>
      <c r="F516" s="80"/>
      <c r="G516" s="80"/>
      <c r="H516" s="80"/>
    </row>
    <row r="517">
      <c r="A517" s="56"/>
      <c r="B517" s="79"/>
      <c r="C517" s="80"/>
      <c r="D517" s="80"/>
      <c r="E517" s="80"/>
      <c r="F517" s="80"/>
      <c r="G517" s="80"/>
      <c r="H517" s="80"/>
    </row>
    <row r="518">
      <c r="A518" s="56"/>
      <c r="B518" s="79"/>
      <c r="C518" s="80"/>
      <c r="D518" s="80"/>
      <c r="E518" s="80"/>
      <c r="F518" s="80"/>
      <c r="G518" s="80"/>
      <c r="H518" s="80"/>
    </row>
    <row r="519">
      <c r="A519" s="56"/>
      <c r="B519" s="79"/>
      <c r="C519" s="80"/>
      <c r="D519" s="80"/>
      <c r="E519" s="80"/>
      <c r="F519" s="80"/>
      <c r="G519" s="80"/>
      <c r="H519" s="80"/>
    </row>
    <row r="520">
      <c r="A520" s="56"/>
      <c r="B520" s="79"/>
      <c r="C520" s="80"/>
      <c r="D520" s="80"/>
      <c r="E520" s="80"/>
      <c r="F520" s="80"/>
      <c r="G520" s="80"/>
      <c r="H520" s="80"/>
    </row>
    <row r="521">
      <c r="A521" s="56"/>
      <c r="B521" s="79"/>
      <c r="C521" s="80"/>
      <c r="D521" s="80"/>
      <c r="E521" s="80"/>
      <c r="F521" s="80"/>
      <c r="G521" s="80"/>
      <c r="H521" s="80"/>
    </row>
    <row r="522">
      <c r="A522" s="56"/>
      <c r="B522" s="79"/>
      <c r="C522" s="80"/>
      <c r="D522" s="80"/>
      <c r="E522" s="80"/>
      <c r="F522" s="80"/>
      <c r="G522" s="80"/>
      <c r="H522" s="80"/>
    </row>
    <row r="523">
      <c r="A523" s="56"/>
      <c r="B523" s="79"/>
      <c r="C523" s="80"/>
      <c r="D523" s="80"/>
      <c r="E523" s="80"/>
      <c r="F523" s="80"/>
      <c r="G523" s="80"/>
      <c r="H523" s="80"/>
    </row>
    <row r="524">
      <c r="A524" s="56"/>
      <c r="B524" s="79"/>
      <c r="C524" s="80"/>
      <c r="D524" s="80"/>
      <c r="E524" s="80"/>
      <c r="F524" s="80"/>
      <c r="G524" s="80"/>
      <c r="H524" s="80"/>
    </row>
    <row r="525">
      <c r="A525" s="56"/>
      <c r="B525" s="79"/>
      <c r="C525" s="80"/>
      <c r="D525" s="80"/>
      <c r="E525" s="80"/>
      <c r="F525" s="80"/>
      <c r="G525" s="80"/>
      <c r="H525" s="80"/>
    </row>
    <row r="526">
      <c r="A526" s="56"/>
      <c r="B526" s="79"/>
      <c r="C526" s="80"/>
      <c r="D526" s="80"/>
      <c r="E526" s="80"/>
      <c r="F526" s="80"/>
      <c r="G526" s="80"/>
      <c r="H526" s="80"/>
    </row>
    <row r="527">
      <c r="A527" s="56"/>
      <c r="B527" s="79"/>
      <c r="C527" s="80"/>
      <c r="D527" s="80"/>
      <c r="E527" s="80"/>
      <c r="F527" s="80"/>
      <c r="G527" s="80"/>
      <c r="H527" s="80"/>
    </row>
    <row r="528">
      <c r="A528" s="56"/>
      <c r="B528" s="79"/>
      <c r="C528" s="80"/>
      <c r="D528" s="80"/>
      <c r="E528" s="80"/>
      <c r="F528" s="80"/>
      <c r="G528" s="80"/>
      <c r="H528" s="80"/>
    </row>
    <row r="529">
      <c r="A529" s="56"/>
      <c r="B529" s="79"/>
      <c r="C529" s="80"/>
      <c r="D529" s="80"/>
      <c r="E529" s="80"/>
      <c r="F529" s="80"/>
      <c r="G529" s="80"/>
      <c r="H529" s="80"/>
    </row>
    <row r="530">
      <c r="A530" s="56"/>
      <c r="B530" s="79"/>
      <c r="C530" s="80"/>
      <c r="D530" s="80"/>
      <c r="E530" s="80"/>
      <c r="F530" s="80"/>
      <c r="G530" s="80"/>
      <c r="H530" s="80"/>
    </row>
    <row r="531">
      <c r="A531" s="56"/>
      <c r="B531" s="79"/>
      <c r="C531" s="80"/>
      <c r="D531" s="80"/>
      <c r="E531" s="80"/>
      <c r="F531" s="80"/>
      <c r="G531" s="80"/>
      <c r="H531" s="80"/>
    </row>
    <row r="532">
      <c r="A532" s="56"/>
      <c r="B532" s="79"/>
      <c r="C532" s="80"/>
      <c r="D532" s="80"/>
      <c r="E532" s="80"/>
      <c r="F532" s="80"/>
      <c r="G532" s="80"/>
      <c r="H532" s="80"/>
    </row>
    <row r="533">
      <c r="A533" s="56"/>
      <c r="B533" s="79"/>
      <c r="C533" s="80"/>
      <c r="D533" s="80"/>
      <c r="E533" s="80"/>
      <c r="F533" s="80"/>
      <c r="G533" s="80"/>
      <c r="H533" s="80"/>
    </row>
    <row r="534">
      <c r="A534" s="56"/>
      <c r="B534" s="79"/>
      <c r="C534" s="80"/>
      <c r="D534" s="80"/>
      <c r="E534" s="80"/>
      <c r="F534" s="80"/>
      <c r="G534" s="80"/>
      <c r="H534" s="80"/>
    </row>
    <row r="535">
      <c r="A535" s="56"/>
      <c r="B535" s="79"/>
      <c r="C535" s="80"/>
      <c r="D535" s="80"/>
      <c r="E535" s="80"/>
      <c r="F535" s="80"/>
      <c r="G535" s="80"/>
      <c r="H535" s="80"/>
    </row>
    <row r="536">
      <c r="A536" s="56"/>
      <c r="B536" s="79"/>
      <c r="C536" s="80"/>
      <c r="D536" s="80"/>
      <c r="E536" s="80"/>
      <c r="F536" s="80"/>
      <c r="G536" s="80"/>
      <c r="H536" s="80"/>
    </row>
    <row r="537">
      <c r="A537" s="56"/>
      <c r="B537" s="79"/>
      <c r="C537" s="80"/>
      <c r="D537" s="80"/>
      <c r="E537" s="80"/>
      <c r="F537" s="80"/>
      <c r="G537" s="80"/>
      <c r="H537" s="80"/>
    </row>
    <row r="538">
      <c r="A538" s="56"/>
      <c r="B538" s="79"/>
      <c r="C538" s="80"/>
      <c r="D538" s="80"/>
      <c r="E538" s="80"/>
      <c r="F538" s="80"/>
      <c r="G538" s="80"/>
      <c r="H538" s="80"/>
    </row>
    <row r="539">
      <c r="A539" s="56"/>
      <c r="B539" s="79"/>
      <c r="C539" s="80"/>
      <c r="D539" s="80"/>
      <c r="E539" s="80"/>
      <c r="F539" s="80"/>
      <c r="G539" s="80"/>
      <c r="H539" s="80"/>
    </row>
    <row r="540">
      <c r="A540" s="56"/>
      <c r="B540" s="79"/>
      <c r="C540" s="80"/>
      <c r="D540" s="80"/>
      <c r="E540" s="80"/>
      <c r="F540" s="80"/>
      <c r="G540" s="80"/>
      <c r="H540" s="80"/>
    </row>
    <row r="541">
      <c r="A541" s="56"/>
      <c r="B541" s="79"/>
      <c r="C541" s="80"/>
      <c r="D541" s="80"/>
      <c r="E541" s="80"/>
      <c r="F541" s="80"/>
      <c r="G541" s="80"/>
      <c r="H541" s="80"/>
    </row>
    <row r="542">
      <c r="A542" s="56"/>
      <c r="B542" s="79"/>
      <c r="C542" s="80"/>
      <c r="D542" s="80"/>
      <c r="E542" s="80"/>
      <c r="F542" s="80"/>
      <c r="G542" s="80"/>
      <c r="H542" s="80"/>
    </row>
    <row r="543">
      <c r="A543" s="56"/>
      <c r="B543" s="79"/>
      <c r="C543" s="80"/>
      <c r="D543" s="80"/>
      <c r="E543" s="80"/>
      <c r="F543" s="80"/>
      <c r="G543" s="80"/>
      <c r="H543" s="80"/>
    </row>
    <row r="544">
      <c r="A544" s="56"/>
      <c r="B544" s="79"/>
      <c r="C544" s="80"/>
      <c r="D544" s="80"/>
      <c r="E544" s="80"/>
      <c r="F544" s="80"/>
      <c r="G544" s="80"/>
      <c r="H544" s="80"/>
    </row>
    <row r="545">
      <c r="A545" s="56"/>
      <c r="B545" s="79"/>
      <c r="C545" s="80"/>
      <c r="D545" s="80"/>
      <c r="E545" s="80"/>
      <c r="F545" s="80"/>
      <c r="G545" s="80"/>
      <c r="H545" s="80"/>
    </row>
    <row r="546">
      <c r="A546" s="56"/>
      <c r="B546" s="79"/>
      <c r="C546" s="80"/>
      <c r="D546" s="80"/>
      <c r="E546" s="80"/>
      <c r="F546" s="80"/>
      <c r="G546" s="80"/>
      <c r="H546" s="80"/>
    </row>
    <row r="547">
      <c r="A547" s="56"/>
      <c r="B547" s="79"/>
      <c r="C547" s="80"/>
      <c r="D547" s="80"/>
      <c r="E547" s="80"/>
      <c r="F547" s="80"/>
      <c r="G547" s="80"/>
      <c r="H547" s="80"/>
    </row>
    <row r="548">
      <c r="A548" s="56"/>
      <c r="B548" s="79"/>
      <c r="C548" s="80"/>
      <c r="D548" s="80"/>
      <c r="E548" s="80"/>
      <c r="F548" s="80"/>
      <c r="G548" s="80"/>
      <c r="H548" s="80"/>
    </row>
    <row r="549">
      <c r="A549" s="56"/>
      <c r="B549" s="79"/>
      <c r="C549" s="80"/>
      <c r="D549" s="80"/>
      <c r="E549" s="80"/>
      <c r="F549" s="80"/>
      <c r="G549" s="80"/>
      <c r="H549" s="80"/>
    </row>
    <row r="550">
      <c r="A550" s="56"/>
      <c r="B550" s="79"/>
      <c r="C550" s="80"/>
      <c r="D550" s="80"/>
      <c r="E550" s="80"/>
      <c r="F550" s="80"/>
      <c r="G550" s="80"/>
      <c r="H550" s="80"/>
    </row>
    <row r="551">
      <c r="A551" s="56"/>
      <c r="B551" s="79"/>
      <c r="C551" s="80"/>
      <c r="D551" s="80"/>
      <c r="E551" s="80"/>
      <c r="F551" s="80"/>
      <c r="G551" s="80"/>
      <c r="H551" s="80"/>
    </row>
    <row r="552">
      <c r="A552" s="56"/>
      <c r="B552" s="79"/>
      <c r="C552" s="80"/>
      <c r="D552" s="80"/>
      <c r="E552" s="80"/>
      <c r="F552" s="80"/>
      <c r="G552" s="80"/>
      <c r="H552" s="80"/>
    </row>
    <row r="553">
      <c r="A553" s="56"/>
      <c r="B553" s="79"/>
      <c r="C553" s="80"/>
      <c r="D553" s="80"/>
      <c r="E553" s="80"/>
      <c r="F553" s="80"/>
      <c r="G553" s="80"/>
      <c r="H553" s="80"/>
    </row>
    <row r="554">
      <c r="A554" s="56"/>
      <c r="B554" s="79"/>
      <c r="C554" s="80"/>
      <c r="D554" s="80"/>
      <c r="E554" s="80"/>
      <c r="F554" s="80"/>
      <c r="G554" s="80"/>
      <c r="H554" s="80"/>
    </row>
    <row r="555">
      <c r="A555" s="56"/>
      <c r="B555" s="79"/>
      <c r="C555" s="80"/>
      <c r="D555" s="80"/>
      <c r="E555" s="80"/>
      <c r="F555" s="80"/>
      <c r="G555" s="80"/>
      <c r="H555" s="80"/>
    </row>
    <row r="556">
      <c r="A556" s="56"/>
      <c r="B556" s="79"/>
      <c r="C556" s="80"/>
      <c r="D556" s="80"/>
      <c r="E556" s="80"/>
      <c r="F556" s="80"/>
      <c r="G556" s="80"/>
      <c r="H556" s="80"/>
    </row>
    <row r="557">
      <c r="A557" s="56"/>
      <c r="B557" s="79"/>
      <c r="C557" s="80"/>
      <c r="D557" s="80"/>
      <c r="E557" s="80"/>
      <c r="F557" s="80"/>
      <c r="G557" s="80"/>
      <c r="H557" s="80"/>
    </row>
    <row r="558">
      <c r="A558" s="56"/>
      <c r="B558" s="79"/>
      <c r="C558" s="80"/>
      <c r="D558" s="80"/>
      <c r="E558" s="80"/>
      <c r="F558" s="80"/>
      <c r="G558" s="80"/>
      <c r="H558" s="80"/>
    </row>
    <row r="559">
      <c r="A559" s="56"/>
      <c r="B559" s="79"/>
      <c r="C559" s="80"/>
      <c r="D559" s="80"/>
      <c r="E559" s="80"/>
      <c r="F559" s="80"/>
      <c r="G559" s="80"/>
      <c r="H559" s="80"/>
    </row>
    <row r="560">
      <c r="A560" s="56"/>
      <c r="B560" s="79"/>
      <c r="C560" s="80"/>
      <c r="D560" s="80"/>
      <c r="E560" s="80"/>
      <c r="F560" s="80"/>
      <c r="G560" s="80"/>
      <c r="H560" s="80"/>
    </row>
    <row r="561">
      <c r="A561" s="56"/>
      <c r="B561" s="79"/>
      <c r="C561" s="80"/>
      <c r="D561" s="80"/>
      <c r="E561" s="80"/>
      <c r="F561" s="80"/>
      <c r="G561" s="80"/>
      <c r="H561" s="80"/>
    </row>
    <row r="562">
      <c r="A562" s="56"/>
      <c r="B562" s="79"/>
      <c r="C562" s="80"/>
      <c r="D562" s="80"/>
      <c r="E562" s="80"/>
      <c r="F562" s="80"/>
      <c r="G562" s="80"/>
      <c r="H562" s="80"/>
    </row>
    <row r="563">
      <c r="A563" s="56"/>
      <c r="B563" s="79"/>
      <c r="C563" s="80"/>
      <c r="D563" s="80"/>
      <c r="E563" s="80"/>
      <c r="F563" s="80"/>
      <c r="G563" s="80"/>
      <c r="H563" s="80"/>
    </row>
    <row r="564">
      <c r="A564" s="56"/>
      <c r="B564" s="79"/>
      <c r="C564" s="80"/>
      <c r="D564" s="80"/>
      <c r="E564" s="80"/>
      <c r="F564" s="80"/>
      <c r="G564" s="80"/>
      <c r="H564" s="80"/>
    </row>
    <row r="565">
      <c r="A565" s="56"/>
      <c r="B565" s="79"/>
      <c r="C565" s="80"/>
      <c r="D565" s="80"/>
      <c r="E565" s="80"/>
      <c r="F565" s="80"/>
      <c r="G565" s="80"/>
      <c r="H565" s="80"/>
    </row>
    <row r="566">
      <c r="A566" s="56"/>
      <c r="B566" s="79"/>
      <c r="C566" s="80"/>
      <c r="D566" s="80"/>
      <c r="E566" s="80"/>
      <c r="F566" s="80"/>
      <c r="G566" s="80"/>
      <c r="H566" s="80"/>
    </row>
    <row r="567">
      <c r="A567" s="56"/>
      <c r="B567" s="79"/>
      <c r="C567" s="80"/>
      <c r="D567" s="80"/>
      <c r="E567" s="80"/>
      <c r="F567" s="80"/>
      <c r="G567" s="80"/>
      <c r="H567" s="80"/>
    </row>
    <row r="568">
      <c r="A568" s="56"/>
      <c r="B568" s="79"/>
      <c r="C568" s="80"/>
      <c r="D568" s="80"/>
      <c r="E568" s="80"/>
      <c r="F568" s="80"/>
      <c r="G568" s="80"/>
      <c r="H568" s="80"/>
    </row>
    <row r="569">
      <c r="A569" s="56"/>
      <c r="B569" s="79"/>
      <c r="C569" s="80"/>
      <c r="D569" s="80"/>
      <c r="E569" s="80"/>
      <c r="F569" s="80"/>
      <c r="G569" s="80"/>
      <c r="H569" s="80"/>
    </row>
    <row r="570">
      <c r="A570" s="56"/>
      <c r="B570" s="79"/>
      <c r="C570" s="80"/>
      <c r="D570" s="80"/>
      <c r="E570" s="80"/>
      <c r="F570" s="80"/>
      <c r="G570" s="80"/>
      <c r="H570" s="80"/>
    </row>
    <row r="571">
      <c r="A571" s="56"/>
      <c r="B571" s="79"/>
      <c r="C571" s="80"/>
      <c r="D571" s="80"/>
      <c r="E571" s="80"/>
      <c r="F571" s="80"/>
      <c r="G571" s="80"/>
      <c r="H571" s="80"/>
    </row>
    <row r="572">
      <c r="A572" s="56"/>
      <c r="B572" s="79"/>
      <c r="C572" s="80"/>
      <c r="D572" s="80"/>
      <c r="E572" s="80"/>
      <c r="F572" s="80"/>
      <c r="G572" s="80"/>
      <c r="H572" s="80"/>
    </row>
    <row r="573">
      <c r="A573" s="56"/>
      <c r="B573" s="79"/>
      <c r="C573" s="80"/>
      <c r="D573" s="80"/>
      <c r="E573" s="80"/>
      <c r="F573" s="80"/>
      <c r="G573" s="80"/>
      <c r="H573" s="80"/>
    </row>
    <row r="574">
      <c r="A574" s="56"/>
      <c r="B574" s="79"/>
      <c r="C574" s="80"/>
      <c r="D574" s="80"/>
      <c r="E574" s="80"/>
      <c r="F574" s="80"/>
      <c r="G574" s="80"/>
      <c r="H574" s="80"/>
    </row>
    <row r="575">
      <c r="A575" s="56"/>
      <c r="B575" s="79"/>
      <c r="C575" s="80"/>
      <c r="D575" s="80"/>
      <c r="E575" s="80"/>
      <c r="F575" s="80"/>
      <c r="G575" s="80"/>
      <c r="H575" s="80"/>
    </row>
    <row r="576">
      <c r="A576" s="56"/>
      <c r="B576" s="79"/>
      <c r="C576" s="80"/>
      <c r="D576" s="80"/>
      <c r="E576" s="80"/>
      <c r="F576" s="80"/>
      <c r="G576" s="80"/>
      <c r="H576" s="80"/>
    </row>
    <row r="577">
      <c r="A577" s="56"/>
      <c r="B577" s="79"/>
      <c r="C577" s="80"/>
      <c r="D577" s="80"/>
      <c r="E577" s="80"/>
      <c r="F577" s="80"/>
      <c r="G577" s="80"/>
      <c r="H577" s="80"/>
    </row>
    <row r="578">
      <c r="A578" s="56"/>
      <c r="B578" s="79"/>
      <c r="C578" s="80"/>
      <c r="D578" s="80"/>
      <c r="E578" s="80"/>
      <c r="F578" s="80"/>
      <c r="G578" s="80"/>
      <c r="H578" s="80"/>
    </row>
    <row r="579">
      <c r="A579" s="56"/>
      <c r="B579" s="79"/>
      <c r="C579" s="80"/>
      <c r="D579" s="80"/>
      <c r="E579" s="80"/>
      <c r="F579" s="80"/>
      <c r="G579" s="80"/>
      <c r="H579" s="80"/>
    </row>
    <row r="580">
      <c r="A580" s="56"/>
      <c r="B580" s="79"/>
      <c r="C580" s="80"/>
      <c r="D580" s="80"/>
      <c r="E580" s="80"/>
      <c r="F580" s="80"/>
      <c r="G580" s="80"/>
      <c r="H580" s="80"/>
    </row>
    <row r="581">
      <c r="A581" s="56"/>
      <c r="B581" s="79"/>
      <c r="C581" s="80"/>
      <c r="D581" s="80"/>
      <c r="E581" s="80"/>
      <c r="F581" s="80"/>
      <c r="G581" s="80"/>
      <c r="H581" s="80"/>
    </row>
    <row r="582">
      <c r="A582" s="56"/>
      <c r="B582" s="79"/>
      <c r="C582" s="80"/>
      <c r="D582" s="80"/>
      <c r="E582" s="80"/>
      <c r="F582" s="80"/>
      <c r="G582" s="80"/>
      <c r="H582" s="80"/>
    </row>
    <row r="583">
      <c r="A583" s="56"/>
      <c r="B583" s="79"/>
      <c r="C583" s="80"/>
      <c r="D583" s="80"/>
      <c r="E583" s="80"/>
      <c r="F583" s="80"/>
      <c r="G583" s="80"/>
      <c r="H583" s="80"/>
    </row>
    <row r="584">
      <c r="A584" s="56"/>
      <c r="B584" s="79"/>
      <c r="C584" s="80"/>
      <c r="D584" s="80"/>
      <c r="E584" s="80"/>
      <c r="F584" s="80"/>
      <c r="G584" s="80"/>
      <c r="H584" s="80"/>
    </row>
    <row r="585">
      <c r="A585" s="56"/>
      <c r="B585" s="79"/>
      <c r="C585" s="80"/>
      <c r="D585" s="80"/>
      <c r="E585" s="80"/>
      <c r="F585" s="80"/>
      <c r="G585" s="80"/>
      <c r="H585" s="80"/>
    </row>
    <row r="586">
      <c r="A586" s="56"/>
      <c r="B586" s="79"/>
      <c r="C586" s="80"/>
      <c r="D586" s="80"/>
      <c r="E586" s="80"/>
      <c r="F586" s="80"/>
      <c r="G586" s="80"/>
      <c r="H586" s="80"/>
    </row>
    <row r="587">
      <c r="A587" s="56"/>
      <c r="B587" s="79"/>
      <c r="C587" s="80"/>
      <c r="D587" s="80"/>
      <c r="E587" s="80"/>
      <c r="F587" s="80"/>
      <c r="G587" s="80"/>
      <c r="H587" s="80"/>
    </row>
    <row r="588">
      <c r="A588" s="56"/>
      <c r="B588" s="79"/>
      <c r="C588" s="80"/>
      <c r="D588" s="80"/>
      <c r="E588" s="80"/>
      <c r="F588" s="80"/>
      <c r="G588" s="80"/>
      <c r="H588" s="80"/>
    </row>
    <row r="589">
      <c r="A589" s="56"/>
      <c r="B589" s="79"/>
      <c r="C589" s="80"/>
      <c r="D589" s="80"/>
      <c r="E589" s="80"/>
      <c r="F589" s="80"/>
      <c r="G589" s="80"/>
      <c r="H589" s="80"/>
    </row>
    <row r="590">
      <c r="A590" s="56"/>
      <c r="B590" s="79"/>
      <c r="C590" s="80"/>
      <c r="D590" s="80"/>
      <c r="E590" s="80"/>
      <c r="F590" s="80"/>
      <c r="G590" s="80"/>
      <c r="H590" s="80"/>
    </row>
    <row r="591">
      <c r="A591" s="56"/>
      <c r="B591" s="79"/>
      <c r="C591" s="80"/>
      <c r="D591" s="80"/>
      <c r="E591" s="80"/>
      <c r="F591" s="80"/>
      <c r="G591" s="80"/>
      <c r="H591" s="80"/>
    </row>
    <row r="592">
      <c r="A592" s="56"/>
      <c r="B592" s="79"/>
      <c r="C592" s="80"/>
      <c r="D592" s="80"/>
      <c r="E592" s="80"/>
      <c r="F592" s="80"/>
      <c r="G592" s="80"/>
      <c r="H592" s="80"/>
    </row>
    <row r="593">
      <c r="A593" s="56"/>
      <c r="B593" s="79"/>
      <c r="C593" s="80"/>
      <c r="D593" s="80"/>
      <c r="E593" s="80"/>
      <c r="F593" s="80"/>
      <c r="G593" s="80"/>
      <c r="H593" s="80"/>
    </row>
    <row r="594">
      <c r="A594" s="56"/>
      <c r="B594" s="79"/>
      <c r="C594" s="80"/>
      <c r="D594" s="80"/>
      <c r="E594" s="80"/>
      <c r="F594" s="80"/>
      <c r="G594" s="80"/>
      <c r="H594" s="80"/>
    </row>
    <row r="595">
      <c r="A595" s="56"/>
      <c r="B595" s="79"/>
      <c r="C595" s="80"/>
      <c r="D595" s="80"/>
      <c r="E595" s="80"/>
      <c r="F595" s="80"/>
      <c r="G595" s="80"/>
      <c r="H595" s="80"/>
    </row>
    <row r="596">
      <c r="A596" s="56"/>
      <c r="B596" s="79"/>
      <c r="C596" s="80"/>
      <c r="D596" s="80"/>
      <c r="E596" s="80"/>
      <c r="F596" s="80"/>
      <c r="G596" s="80"/>
      <c r="H596" s="80"/>
    </row>
    <row r="597">
      <c r="A597" s="56"/>
      <c r="B597" s="79"/>
      <c r="C597" s="80"/>
      <c r="D597" s="80"/>
      <c r="E597" s="80"/>
      <c r="F597" s="80"/>
      <c r="G597" s="80"/>
      <c r="H597" s="80"/>
    </row>
    <row r="598">
      <c r="A598" s="56"/>
      <c r="B598" s="79"/>
      <c r="C598" s="80"/>
      <c r="D598" s="80"/>
      <c r="E598" s="80"/>
      <c r="F598" s="80"/>
      <c r="G598" s="80"/>
      <c r="H598" s="80"/>
    </row>
    <row r="599">
      <c r="A599" s="56"/>
      <c r="B599" s="79"/>
      <c r="C599" s="80"/>
      <c r="D599" s="80"/>
      <c r="E599" s="80"/>
      <c r="F599" s="80"/>
      <c r="G599" s="80"/>
      <c r="H599" s="80"/>
    </row>
    <row r="600">
      <c r="A600" s="56"/>
      <c r="B600" s="79"/>
      <c r="C600" s="80"/>
      <c r="D600" s="80"/>
      <c r="E600" s="80"/>
      <c r="F600" s="80"/>
      <c r="G600" s="80"/>
      <c r="H600" s="80"/>
    </row>
    <row r="601">
      <c r="A601" s="56"/>
      <c r="B601" s="79"/>
      <c r="C601" s="80"/>
      <c r="D601" s="80"/>
      <c r="E601" s="80"/>
      <c r="F601" s="80"/>
      <c r="G601" s="80"/>
      <c r="H601" s="80"/>
    </row>
    <row r="602">
      <c r="A602" s="56"/>
      <c r="B602" s="79"/>
      <c r="C602" s="80"/>
      <c r="D602" s="80"/>
      <c r="E602" s="80"/>
      <c r="F602" s="80"/>
      <c r="G602" s="80"/>
      <c r="H602" s="80"/>
    </row>
    <row r="603">
      <c r="A603" s="56"/>
      <c r="B603" s="79"/>
      <c r="C603" s="80"/>
      <c r="D603" s="80"/>
      <c r="E603" s="80"/>
      <c r="F603" s="80"/>
      <c r="G603" s="80"/>
      <c r="H603" s="80"/>
    </row>
    <row r="604">
      <c r="A604" s="56"/>
      <c r="B604" s="79"/>
      <c r="C604" s="80"/>
      <c r="D604" s="80"/>
      <c r="E604" s="80"/>
      <c r="F604" s="80"/>
      <c r="G604" s="80"/>
      <c r="H604" s="80"/>
    </row>
    <row r="605">
      <c r="A605" s="56"/>
      <c r="B605" s="79"/>
      <c r="C605" s="80"/>
      <c r="D605" s="80"/>
      <c r="E605" s="80"/>
      <c r="F605" s="80"/>
      <c r="G605" s="80"/>
      <c r="H605" s="80"/>
    </row>
    <row r="606">
      <c r="A606" s="56"/>
      <c r="B606" s="79"/>
      <c r="C606" s="80"/>
      <c r="D606" s="80"/>
      <c r="E606" s="80"/>
      <c r="F606" s="80"/>
      <c r="G606" s="80"/>
      <c r="H606" s="80"/>
    </row>
    <row r="607">
      <c r="A607" s="56"/>
      <c r="B607" s="79"/>
      <c r="C607" s="80"/>
      <c r="D607" s="80"/>
      <c r="E607" s="80"/>
      <c r="F607" s="80"/>
      <c r="G607" s="80"/>
      <c r="H607" s="80"/>
    </row>
    <row r="608">
      <c r="A608" s="56"/>
      <c r="B608" s="79"/>
      <c r="C608" s="80"/>
      <c r="D608" s="80"/>
      <c r="E608" s="80"/>
      <c r="F608" s="80"/>
      <c r="G608" s="80"/>
      <c r="H608" s="80"/>
    </row>
    <row r="609">
      <c r="A609" s="56"/>
      <c r="B609" s="79"/>
      <c r="C609" s="80"/>
      <c r="D609" s="80"/>
      <c r="E609" s="80"/>
      <c r="F609" s="80"/>
      <c r="G609" s="80"/>
      <c r="H609" s="80"/>
    </row>
    <row r="610">
      <c r="A610" s="56"/>
      <c r="B610" s="79"/>
      <c r="C610" s="80"/>
      <c r="D610" s="80"/>
      <c r="E610" s="80"/>
      <c r="F610" s="80"/>
      <c r="G610" s="80"/>
      <c r="H610" s="80"/>
    </row>
    <row r="611">
      <c r="A611" s="56"/>
      <c r="B611" s="79"/>
      <c r="C611" s="80"/>
      <c r="D611" s="80"/>
      <c r="E611" s="80"/>
      <c r="F611" s="80"/>
      <c r="G611" s="80"/>
      <c r="H611" s="80"/>
    </row>
    <row r="612">
      <c r="A612" s="56"/>
      <c r="B612" s="79"/>
      <c r="C612" s="80"/>
      <c r="D612" s="80"/>
      <c r="E612" s="80"/>
      <c r="F612" s="80"/>
      <c r="G612" s="80"/>
      <c r="H612" s="80"/>
    </row>
    <row r="613">
      <c r="A613" s="56"/>
      <c r="B613" s="79"/>
      <c r="C613" s="80"/>
      <c r="D613" s="80"/>
      <c r="E613" s="80"/>
      <c r="F613" s="80"/>
      <c r="G613" s="80"/>
      <c r="H613" s="80"/>
    </row>
    <row r="614">
      <c r="A614" s="56"/>
      <c r="B614" s="79"/>
      <c r="C614" s="80"/>
      <c r="D614" s="80"/>
      <c r="E614" s="80"/>
      <c r="F614" s="80"/>
      <c r="G614" s="80"/>
      <c r="H614" s="80"/>
    </row>
    <row r="615">
      <c r="A615" s="56"/>
      <c r="B615" s="79"/>
      <c r="C615" s="80"/>
      <c r="D615" s="80"/>
      <c r="E615" s="80"/>
      <c r="F615" s="80"/>
      <c r="G615" s="80"/>
      <c r="H615" s="80"/>
    </row>
    <row r="616">
      <c r="A616" s="56"/>
      <c r="B616" s="79"/>
      <c r="C616" s="80"/>
      <c r="D616" s="80"/>
      <c r="E616" s="80"/>
      <c r="F616" s="80"/>
      <c r="G616" s="80"/>
      <c r="H616" s="80"/>
    </row>
    <row r="617">
      <c r="A617" s="56"/>
      <c r="B617" s="79"/>
      <c r="C617" s="80"/>
      <c r="D617" s="80"/>
      <c r="E617" s="80"/>
      <c r="F617" s="80"/>
      <c r="G617" s="80"/>
      <c r="H617" s="80"/>
    </row>
    <row r="618">
      <c r="A618" s="56"/>
      <c r="B618" s="79"/>
      <c r="C618" s="80"/>
      <c r="D618" s="80"/>
      <c r="E618" s="80"/>
      <c r="F618" s="80"/>
      <c r="G618" s="80"/>
      <c r="H618" s="80"/>
    </row>
    <row r="619">
      <c r="A619" s="56"/>
      <c r="B619" s="79"/>
      <c r="C619" s="80"/>
      <c r="D619" s="80"/>
      <c r="E619" s="80"/>
      <c r="F619" s="80"/>
      <c r="G619" s="80"/>
      <c r="H619" s="80"/>
    </row>
    <row r="620">
      <c r="A620" s="56"/>
      <c r="B620" s="79"/>
      <c r="C620" s="80"/>
      <c r="D620" s="80"/>
      <c r="E620" s="80"/>
      <c r="F620" s="80"/>
      <c r="G620" s="80"/>
      <c r="H620" s="80"/>
    </row>
    <row r="621">
      <c r="A621" s="56"/>
      <c r="B621" s="79"/>
      <c r="C621" s="80"/>
      <c r="D621" s="80"/>
      <c r="E621" s="80"/>
      <c r="F621" s="80"/>
      <c r="G621" s="80"/>
      <c r="H621" s="80"/>
    </row>
    <row r="622">
      <c r="A622" s="56"/>
      <c r="B622" s="79"/>
      <c r="C622" s="80"/>
      <c r="D622" s="80"/>
      <c r="E622" s="80"/>
      <c r="F622" s="80"/>
      <c r="G622" s="80"/>
      <c r="H622" s="80"/>
    </row>
    <row r="623">
      <c r="A623" s="56"/>
      <c r="B623" s="79"/>
      <c r="C623" s="80"/>
      <c r="D623" s="80"/>
      <c r="E623" s="80"/>
      <c r="F623" s="80"/>
      <c r="G623" s="80"/>
      <c r="H623" s="80"/>
    </row>
    <row r="624">
      <c r="A624" s="56"/>
      <c r="B624" s="79"/>
      <c r="C624" s="80"/>
      <c r="D624" s="80"/>
      <c r="E624" s="80"/>
      <c r="F624" s="80"/>
      <c r="G624" s="80"/>
      <c r="H624" s="80"/>
    </row>
    <row r="625">
      <c r="A625" s="56"/>
      <c r="B625" s="79"/>
      <c r="C625" s="80"/>
      <c r="D625" s="80"/>
      <c r="E625" s="80"/>
      <c r="F625" s="80"/>
      <c r="G625" s="80"/>
      <c r="H625" s="80"/>
    </row>
    <row r="626">
      <c r="A626" s="56"/>
      <c r="B626" s="79"/>
      <c r="C626" s="80"/>
      <c r="D626" s="80"/>
      <c r="E626" s="80"/>
      <c r="F626" s="80"/>
      <c r="G626" s="80"/>
      <c r="H626" s="80"/>
    </row>
    <row r="627">
      <c r="A627" s="56"/>
      <c r="B627" s="79"/>
      <c r="C627" s="80"/>
      <c r="D627" s="80"/>
      <c r="E627" s="80"/>
      <c r="F627" s="80"/>
      <c r="G627" s="80"/>
      <c r="H627" s="80"/>
    </row>
    <row r="628">
      <c r="A628" s="56"/>
      <c r="B628" s="79"/>
      <c r="C628" s="80"/>
      <c r="D628" s="80"/>
      <c r="E628" s="80"/>
      <c r="F628" s="80"/>
      <c r="G628" s="80"/>
      <c r="H628" s="80"/>
    </row>
    <row r="629">
      <c r="A629" s="56"/>
      <c r="B629" s="79"/>
      <c r="C629" s="80"/>
      <c r="D629" s="80"/>
      <c r="E629" s="80"/>
      <c r="F629" s="80"/>
      <c r="G629" s="80"/>
      <c r="H629" s="80"/>
    </row>
    <row r="630">
      <c r="A630" s="56"/>
      <c r="B630" s="79"/>
      <c r="C630" s="80"/>
      <c r="D630" s="80"/>
      <c r="E630" s="80"/>
      <c r="F630" s="80"/>
      <c r="G630" s="80"/>
      <c r="H630" s="80"/>
    </row>
    <row r="631">
      <c r="A631" s="56"/>
      <c r="B631" s="79"/>
      <c r="C631" s="80"/>
      <c r="D631" s="80"/>
      <c r="E631" s="80"/>
      <c r="F631" s="80"/>
      <c r="G631" s="80"/>
      <c r="H631" s="80"/>
    </row>
    <row r="632">
      <c r="A632" s="56"/>
      <c r="B632" s="79"/>
      <c r="C632" s="80"/>
      <c r="D632" s="80"/>
      <c r="E632" s="80"/>
      <c r="F632" s="80"/>
      <c r="G632" s="80"/>
      <c r="H632" s="80"/>
    </row>
    <row r="633">
      <c r="A633" s="56"/>
      <c r="B633" s="79"/>
      <c r="C633" s="80"/>
      <c r="D633" s="80"/>
      <c r="E633" s="80"/>
      <c r="F633" s="80"/>
      <c r="G633" s="80"/>
      <c r="H633" s="80"/>
    </row>
    <row r="634">
      <c r="A634" s="56"/>
      <c r="B634" s="79"/>
      <c r="C634" s="80"/>
      <c r="D634" s="80"/>
      <c r="E634" s="80"/>
      <c r="F634" s="80"/>
      <c r="G634" s="80"/>
      <c r="H634" s="80"/>
    </row>
    <row r="635">
      <c r="A635" s="56"/>
      <c r="B635" s="79"/>
      <c r="C635" s="80"/>
      <c r="D635" s="80"/>
      <c r="E635" s="80"/>
      <c r="F635" s="80"/>
      <c r="G635" s="80"/>
      <c r="H635" s="80"/>
    </row>
    <row r="636">
      <c r="A636" s="56"/>
      <c r="B636" s="79"/>
      <c r="C636" s="80"/>
      <c r="D636" s="80"/>
      <c r="E636" s="80"/>
      <c r="F636" s="80"/>
      <c r="G636" s="80"/>
      <c r="H636" s="80"/>
    </row>
    <row r="637">
      <c r="A637" s="56"/>
      <c r="B637" s="79"/>
      <c r="C637" s="80"/>
      <c r="D637" s="80"/>
      <c r="E637" s="80"/>
      <c r="F637" s="80"/>
      <c r="G637" s="80"/>
      <c r="H637" s="80"/>
    </row>
    <row r="638">
      <c r="A638" s="56"/>
      <c r="B638" s="79"/>
      <c r="C638" s="80"/>
      <c r="D638" s="80"/>
      <c r="E638" s="80"/>
      <c r="F638" s="80"/>
      <c r="G638" s="80"/>
      <c r="H638" s="80"/>
    </row>
    <row r="639">
      <c r="A639" s="56"/>
      <c r="B639" s="79"/>
      <c r="C639" s="80"/>
      <c r="D639" s="80"/>
      <c r="E639" s="80"/>
      <c r="F639" s="80"/>
      <c r="G639" s="80"/>
      <c r="H639" s="80"/>
    </row>
    <row r="640">
      <c r="A640" s="56"/>
      <c r="B640" s="79"/>
      <c r="C640" s="80"/>
      <c r="D640" s="80"/>
      <c r="E640" s="80"/>
      <c r="F640" s="80"/>
      <c r="G640" s="80"/>
      <c r="H640" s="80"/>
    </row>
    <row r="641">
      <c r="A641" s="56"/>
      <c r="B641" s="79"/>
      <c r="C641" s="80"/>
      <c r="D641" s="80"/>
      <c r="E641" s="80"/>
      <c r="F641" s="80"/>
      <c r="G641" s="80"/>
      <c r="H641" s="80"/>
    </row>
    <row r="642">
      <c r="A642" s="56"/>
      <c r="B642" s="79"/>
      <c r="C642" s="80"/>
      <c r="D642" s="80"/>
      <c r="E642" s="80"/>
      <c r="F642" s="80"/>
      <c r="G642" s="80"/>
      <c r="H642" s="80"/>
    </row>
    <row r="643">
      <c r="A643" s="56"/>
      <c r="B643" s="79"/>
      <c r="C643" s="80"/>
      <c r="D643" s="80"/>
      <c r="E643" s="80"/>
      <c r="F643" s="80"/>
      <c r="G643" s="80"/>
      <c r="H643" s="80"/>
    </row>
    <row r="644">
      <c r="A644" s="56"/>
      <c r="B644" s="79"/>
      <c r="C644" s="80"/>
      <c r="D644" s="80"/>
      <c r="E644" s="80"/>
      <c r="F644" s="80"/>
      <c r="G644" s="80"/>
      <c r="H644" s="80"/>
    </row>
    <row r="645">
      <c r="A645" s="56"/>
      <c r="B645" s="79"/>
      <c r="C645" s="80"/>
      <c r="D645" s="80"/>
      <c r="E645" s="80"/>
      <c r="F645" s="80"/>
      <c r="G645" s="80"/>
      <c r="H645" s="80"/>
    </row>
    <row r="646">
      <c r="A646" s="56"/>
      <c r="B646" s="79"/>
      <c r="C646" s="80"/>
      <c r="D646" s="80"/>
      <c r="E646" s="80"/>
      <c r="F646" s="80"/>
      <c r="G646" s="80"/>
      <c r="H646" s="80"/>
    </row>
    <row r="647">
      <c r="A647" s="56"/>
      <c r="B647" s="79"/>
      <c r="C647" s="80"/>
      <c r="D647" s="80"/>
      <c r="E647" s="80"/>
      <c r="F647" s="80"/>
      <c r="G647" s="80"/>
      <c r="H647" s="80"/>
    </row>
    <row r="648">
      <c r="A648" s="56"/>
      <c r="B648" s="79"/>
      <c r="C648" s="80"/>
      <c r="D648" s="80"/>
      <c r="E648" s="80"/>
      <c r="F648" s="80"/>
      <c r="G648" s="80"/>
      <c r="H648" s="80"/>
    </row>
    <row r="649">
      <c r="A649" s="56"/>
      <c r="B649" s="79"/>
      <c r="C649" s="80"/>
      <c r="D649" s="80"/>
      <c r="E649" s="80"/>
      <c r="F649" s="80"/>
      <c r="G649" s="80"/>
      <c r="H649" s="80"/>
    </row>
    <row r="650">
      <c r="A650" s="56"/>
      <c r="B650" s="79"/>
      <c r="C650" s="80"/>
      <c r="D650" s="80"/>
      <c r="E650" s="80"/>
      <c r="F650" s="80"/>
      <c r="G650" s="80"/>
      <c r="H650" s="80"/>
    </row>
    <row r="651">
      <c r="A651" s="56"/>
      <c r="B651" s="79"/>
      <c r="C651" s="80"/>
      <c r="D651" s="80"/>
      <c r="E651" s="80"/>
      <c r="F651" s="80"/>
      <c r="G651" s="80"/>
      <c r="H651" s="80"/>
    </row>
    <row r="652">
      <c r="A652" s="56"/>
      <c r="B652" s="79"/>
      <c r="C652" s="80"/>
      <c r="D652" s="80"/>
      <c r="E652" s="80"/>
      <c r="F652" s="80"/>
      <c r="G652" s="80"/>
      <c r="H652" s="80"/>
    </row>
    <row r="653">
      <c r="A653" s="56"/>
      <c r="B653" s="79"/>
      <c r="C653" s="80"/>
      <c r="D653" s="80"/>
      <c r="E653" s="80"/>
      <c r="F653" s="80"/>
      <c r="G653" s="80"/>
      <c r="H653" s="80"/>
    </row>
    <row r="654">
      <c r="A654" s="56"/>
      <c r="B654" s="79"/>
      <c r="C654" s="80"/>
      <c r="D654" s="80"/>
      <c r="E654" s="80"/>
      <c r="F654" s="80"/>
      <c r="G654" s="80"/>
      <c r="H654" s="80"/>
    </row>
    <row r="655">
      <c r="A655" s="56"/>
      <c r="B655" s="79"/>
      <c r="C655" s="80"/>
      <c r="D655" s="80"/>
      <c r="E655" s="80"/>
      <c r="F655" s="80"/>
      <c r="G655" s="80"/>
      <c r="H655" s="80"/>
    </row>
    <row r="656">
      <c r="A656" s="56"/>
      <c r="B656" s="79"/>
      <c r="C656" s="80"/>
      <c r="D656" s="80"/>
      <c r="E656" s="80"/>
      <c r="F656" s="80"/>
      <c r="G656" s="80"/>
      <c r="H656" s="80"/>
    </row>
    <row r="657">
      <c r="A657" s="56"/>
      <c r="B657" s="79"/>
      <c r="C657" s="80"/>
      <c r="D657" s="80"/>
      <c r="E657" s="80"/>
      <c r="F657" s="80"/>
      <c r="G657" s="80"/>
      <c r="H657" s="80"/>
    </row>
    <row r="658">
      <c r="A658" s="56"/>
      <c r="B658" s="79"/>
      <c r="C658" s="80"/>
      <c r="D658" s="80"/>
      <c r="E658" s="80"/>
      <c r="F658" s="80"/>
      <c r="G658" s="80"/>
      <c r="H658" s="80"/>
    </row>
    <row r="659">
      <c r="A659" s="56"/>
      <c r="B659" s="79"/>
      <c r="C659" s="80"/>
      <c r="D659" s="80"/>
      <c r="E659" s="80"/>
      <c r="F659" s="80"/>
      <c r="G659" s="80"/>
      <c r="H659" s="80"/>
    </row>
    <row r="660">
      <c r="A660" s="56"/>
      <c r="B660" s="79"/>
      <c r="C660" s="80"/>
      <c r="D660" s="80"/>
      <c r="E660" s="80"/>
      <c r="F660" s="80"/>
      <c r="G660" s="80"/>
      <c r="H660" s="80"/>
    </row>
    <row r="661">
      <c r="A661" s="56"/>
      <c r="B661" s="79"/>
      <c r="C661" s="80"/>
      <c r="D661" s="80"/>
      <c r="E661" s="80"/>
      <c r="F661" s="80"/>
      <c r="G661" s="80"/>
      <c r="H661" s="80"/>
    </row>
    <row r="662">
      <c r="A662" s="56"/>
      <c r="B662" s="79"/>
      <c r="C662" s="80"/>
      <c r="D662" s="80"/>
      <c r="E662" s="80"/>
      <c r="F662" s="80"/>
      <c r="G662" s="80"/>
      <c r="H662" s="80"/>
    </row>
    <row r="663">
      <c r="A663" s="56"/>
      <c r="B663" s="79"/>
      <c r="C663" s="80"/>
      <c r="D663" s="80"/>
      <c r="E663" s="80"/>
      <c r="F663" s="80"/>
      <c r="G663" s="80"/>
      <c r="H663" s="80"/>
    </row>
    <row r="664">
      <c r="A664" s="56"/>
      <c r="B664" s="79"/>
      <c r="C664" s="80"/>
      <c r="D664" s="80"/>
      <c r="E664" s="80"/>
      <c r="F664" s="80"/>
      <c r="G664" s="80"/>
      <c r="H664" s="80"/>
    </row>
    <row r="665">
      <c r="A665" s="56"/>
      <c r="B665" s="79"/>
      <c r="C665" s="80"/>
      <c r="D665" s="80"/>
      <c r="E665" s="80"/>
      <c r="F665" s="80"/>
      <c r="G665" s="80"/>
      <c r="H665" s="80"/>
    </row>
    <row r="666">
      <c r="A666" s="56"/>
      <c r="B666" s="79"/>
      <c r="C666" s="80"/>
      <c r="D666" s="80"/>
      <c r="E666" s="80"/>
      <c r="F666" s="80"/>
      <c r="G666" s="80"/>
      <c r="H666" s="80"/>
    </row>
    <row r="667">
      <c r="A667" s="56"/>
      <c r="B667" s="79"/>
      <c r="C667" s="80"/>
      <c r="D667" s="80"/>
      <c r="E667" s="80"/>
      <c r="F667" s="80"/>
      <c r="G667" s="80"/>
      <c r="H667" s="80"/>
    </row>
    <row r="668">
      <c r="A668" s="56"/>
      <c r="B668" s="79"/>
      <c r="C668" s="80"/>
      <c r="D668" s="80"/>
      <c r="E668" s="80"/>
      <c r="F668" s="80"/>
      <c r="G668" s="80"/>
      <c r="H668" s="80"/>
    </row>
    <row r="669">
      <c r="A669" s="56"/>
      <c r="B669" s="79"/>
      <c r="C669" s="80"/>
      <c r="D669" s="80"/>
      <c r="E669" s="80"/>
      <c r="F669" s="80"/>
      <c r="G669" s="80"/>
      <c r="H669" s="80"/>
    </row>
    <row r="670">
      <c r="A670" s="56"/>
      <c r="B670" s="79"/>
      <c r="C670" s="80"/>
      <c r="D670" s="80"/>
      <c r="E670" s="80"/>
      <c r="F670" s="80"/>
      <c r="G670" s="80"/>
      <c r="H670" s="80"/>
    </row>
    <row r="671">
      <c r="A671" s="56"/>
      <c r="B671" s="79"/>
      <c r="C671" s="80"/>
      <c r="D671" s="80"/>
      <c r="E671" s="80"/>
      <c r="F671" s="80"/>
      <c r="G671" s="80"/>
      <c r="H671" s="80"/>
    </row>
    <row r="672">
      <c r="A672" s="56"/>
      <c r="B672" s="79"/>
      <c r="C672" s="80"/>
      <c r="D672" s="80"/>
      <c r="E672" s="80"/>
      <c r="F672" s="80"/>
      <c r="G672" s="80"/>
      <c r="H672" s="80"/>
    </row>
    <row r="673">
      <c r="A673" s="56"/>
      <c r="B673" s="79"/>
      <c r="C673" s="80"/>
      <c r="D673" s="80"/>
      <c r="E673" s="80"/>
      <c r="F673" s="80"/>
      <c r="G673" s="80"/>
      <c r="H673" s="80"/>
    </row>
    <row r="674">
      <c r="A674" s="56"/>
      <c r="B674" s="79"/>
      <c r="C674" s="80"/>
      <c r="D674" s="80"/>
      <c r="E674" s="80"/>
      <c r="F674" s="80"/>
      <c r="G674" s="80"/>
      <c r="H674" s="80"/>
    </row>
    <row r="675">
      <c r="A675" s="56"/>
      <c r="B675" s="79"/>
      <c r="C675" s="80"/>
      <c r="D675" s="80"/>
      <c r="E675" s="80"/>
      <c r="F675" s="80"/>
      <c r="G675" s="80"/>
      <c r="H675" s="80"/>
    </row>
    <row r="676">
      <c r="A676" s="56"/>
      <c r="B676" s="79"/>
      <c r="C676" s="80"/>
      <c r="D676" s="80"/>
      <c r="E676" s="80"/>
      <c r="F676" s="80"/>
      <c r="G676" s="80"/>
      <c r="H676" s="80"/>
    </row>
    <row r="677">
      <c r="A677" s="56"/>
      <c r="B677" s="79"/>
      <c r="C677" s="80"/>
      <c r="D677" s="80"/>
      <c r="E677" s="80"/>
      <c r="F677" s="80"/>
      <c r="G677" s="80"/>
      <c r="H677" s="80"/>
    </row>
    <row r="678">
      <c r="A678" s="56"/>
      <c r="B678" s="79"/>
      <c r="C678" s="80"/>
      <c r="D678" s="80"/>
      <c r="E678" s="80"/>
      <c r="F678" s="80"/>
      <c r="G678" s="80"/>
      <c r="H678" s="80"/>
    </row>
    <row r="679">
      <c r="A679" s="56"/>
      <c r="B679" s="79"/>
      <c r="C679" s="80"/>
      <c r="D679" s="80"/>
      <c r="E679" s="80"/>
      <c r="F679" s="80"/>
      <c r="G679" s="80"/>
      <c r="H679" s="80"/>
    </row>
    <row r="680">
      <c r="A680" s="56"/>
      <c r="B680" s="79"/>
      <c r="C680" s="80"/>
      <c r="D680" s="80"/>
      <c r="E680" s="80"/>
      <c r="F680" s="80"/>
      <c r="G680" s="80"/>
      <c r="H680" s="80"/>
    </row>
    <row r="681">
      <c r="A681" s="56"/>
      <c r="B681" s="79"/>
      <c r="C681" s="80"/>
      <c r="D681" s="80"/>
      <c r="E681" s="80"/>
      <c r="F681" s="80"/>
      <c r="G681" s="80"/>
      <c r="H681" s="80"/>
    </row>
    <row r="682">
      <c r="A682" s="56"/>
      <c r="B682" s="79"/>
      <c r="C682" s="80"/>
      <c r="D682" s="80"/>
      <c r="E682" s="80"/>
      <c r="F682" s="80"/>
      <c r="G682" s="80"/>
      <c r="H682" s="80"/>
    </row>
    <row r="683">
      <c r="A683" s="56"/>
      <c r="B683" s="79"/>
      <c r="C683" s="80"/>
      <c r="D683" s="80"/>
      <c r="E683" s="80"/>
      <c r="F683" s="80"/>
      <c r="G683" s="80"/>
      <c r="H683" s="80"/>
    </row>
    <row r="684">
      <c r="A684" s="56"/>
      <c r="B684" s="79"/>
      <c r="C684" s="80"/>
      <c r="D684" s="80"/>
      <c r="E684" s="80"/>
      <c r="F684" s="80"/>
      <c r="G684" s="80"/>
      <c r="H684" s="80"/>
    </row>
    <row r="685">
      <c r="A685" s="56"/>
      <c r="B685" s="79"/>
      <c r="C685" s="80"/>
      <c r="D685" s="80"/>
      <c r="E685" s="80"/>
      <c r="F685" s="80"/>
      <c r="G685" s="80"/>
      <c r="H685" s="80"/>
    </row>
    <row r="686">
      <c r="A686" s="56"/>
      <c r="B686" s="79"/>
      <c r="C686" s="80"/>
      <c r="D686" s="80"/>
      <c r="E686" s="80"/>
      <c r="F686" s="80"/>
      <c r="G686" s="80"/>
      <c r="H686" s="80"/>
    </row>
    <row r="687">
      <c r="A687" s="56"/>
      <c r="B687" s="79"/>
      <c r="C687" s="80"/>
      <c r="D687" s="80"/>
      <c r="E687" s="80"/>
      <c r="F687" s="80"/>
      <c r="G687" s="80"/>
      <c r="H687" s="80"/>
    </row>
    <row r="688">
      <c r="A688" s="56"/>
      <c r="B688" s="79"/>
      <c r="C688" s="80"/>
      <c r="D688" s="80"/>
      <c r="E688" s="80"/>
      <c r="F688" s="80"/>
      <c r="G688" s="80"/>
      <c r="H688" s="80"/>
    </row>
    <row r="689">
      <c r="A689" s="56"/>
      <c r="B689" s="79"/>
      <c r="C689" s="80"/>
      <c r="D689" s="80"/>
      <c r="E689" s="80"/>
      <c r="F689" s="80"/>
      <c r="G689" s="80"/>
      <c r="H689" s="80"/>
    </row>
    <row r="690">
      <c r="A690" s="56"/>
      <c r="B690" s="79"/>
      <c r="C690" s="80"/>
      <c r="D690" s="80"/>
      <c r="E690" s="80"/>
      <c r="F690" s="80"/>
      <c r="G690" s="80"/>
      <c r="H690" s="80"/>
    </row>
    <row r="691">
      <c r="A691" s="56"/>
      <c r="B691" s="79"/>
      <c r="C691" s="80"/>
      <c r="D691" s="80"/>
      <c r="E691" s="80"/>
      <c r="F691" s="80"/>
      <c r="G691" s="80"/>
      <c r="H691" s="80"/>
    </row>
    <row r="692">
      <c r="A692" s="56"/>
      <c r="B692" s="79"/>
      <c r="C692" s="80"/>
      <c r="D692" s="80"/>
      <c r="E692" s="80"/>
      <c r="F692" s="80"/>
      <c r="G692" s="80"/>
      <c r="H692" s="80"/>
    </row>
    <row r="693">
      <c r="A693" s="56"/>
      <c r="B693" s="79"/>
      <c r="C693" s="80"/>
      <c r="D693" s="80"/>
      <c r="E693" s="80"/>
      <c r="F693" s="80"/>
      <c r="G693" s="80"/>
      <c r="H693" s="80"/>
    </row>
    <row r="694">
      <c r="A694" s="56"/>
      <c r="B694" s="79"/>
      <c r="C694" s="80"/>
      <c r="D694" s="80"/>
      <c r="E694" s="80"/>
      <c r="F694" s="80"/>
      <c r="G694" s="80"/>
      <c r="H694" s="80"/>
    </row>
    <row r="695">
      <c r="A695" s="56"/>
      <c r="B695" s="79"/>
      <c r="C695" s="80"/>
      <c r="D695" s="80"/>
      <c r="E695" s="80"/>
      <c r="F695" s="80"/>
      <c r="G695" s="80"/>
      <c r="H695" s="80"/>
    </row>
    <row r="696">
      <c r="A696" s="56"/>
      <c r="B696" s="79"/>
      <c r="C696" s="80"/>
      <c r="D696" s="80"/>
      <c r="E696" s="80"/>
      <c r="F696" s="80"/>
      <c r="G696" s="80"/>
      <c r="H696" s="80"/>
    </row>
    <row r="697">
      <c r="A697" s="56"/>
      <c r="B697" s="79"/>
      <c r="C697" s="80"/>
      <c r="D697" s="80"/>
      <c r="E697" s="80"/>
      <c r="F697" s="80"/>
      <c r="G697" s="80"/>
      <c r="H697" s="80"/>
    </row>
    <row r="698">
      <c r="A698" s="56"/>
      <c r="B698" s="79"/>
      <c r="C698" s="80"/>
      <c r="D698" s="80"/>
      <c r="E698" s="80"/>
      <c r="F698" s="80"/>
      <c r="G698" s="80"/>
      <c r="H698" s="80"/>
    </row>
    <row r="699">
      <c r="A699" s="56"/>
      <c r="B699" s="79"/>
      <c r="C699" s="80"/>
      <c r="D699" s="80"/>
      <c r="E699" s="80"/>
      <c r="F699" s="80"/>
      <c r="G699" s="80"/>
      <c r="H699" s="80"/>
    </row>
    <row r="700">
      <c r="A700" s="56"/>
      <c r="B700" s="79"/>
      <c r="C700" s="80"/>
      <c r="D700" s="80"/>
      <c r="E700" s="80"/>
      <c r="F700" s="80"/>
      <c r="G700" s="80"/>
      <c r="H700" s="80"/>
    </row>
    <row r="701">
      <c r="A701" s="56"/>
      <c r="B701" s="79"/>
      <c r="C701" s="80"/>
      <c r="D701" s="80"/>
      <c r="E701" s="80"/>
      <c r="F701" s="80"/>
      <c r="G701" s="80"/>
      <c r="H701" s="80"/>
    </row>
    <row r="702">
      <c r="A702" s="56"/>
      <c r="B702" s="79"/>
      <c r="C702" s="80"/>
      <c r="D702" s="80"/>
      <c r="E702" s="80"/>
      <c r="F702" s="80"/>
      <c r="G702" s="80"/>
      <c r="H702" s="80"/>
    </row>
    <row r="703">
      <c r="A703" s="56"/>
      <c r="B703" s="79"/>
      <c r="C703" s="80"/>
      <c r="D703" s="80"/>
      <c r="E703" s="80"/>
      <c r="F703" s="80"/>
      <c r="G703" s="80"/>
      <c r="H703" s="80"/>
    </row>
    <row r="704">
      <c r="A704" s="56"/>
      <c r="B704" s="79"/>
      <c r="C704" s="80"/>
      <c r="D704" s="80"/>
      <c r="E704" s="80"/>
      <c r="F704" s="80"/>
      <c r="G704" s="80"/>
      <c r="H704" s="80"/>
    </row>
    <row r="705">
      <c r="A705" s="56"/>
      <c r="B705" s="79"/>
      <c r="C705" s="80"/>
      <c r="D705" s="80"/>
      <c r="E705" s="80"/>
      <c r="F705" s="80"/>
      <c r="G705" s="80"/>
      <c r="H705" s="80"/>
    </row>
    <row r="706">
      <c r="A706" s="56"/>
      <c r="B706" s="79"/>
      <c r="C706" s="80"/>
      <c r="D706" s="80"/>
      <c r="E706" s="80"/>
      <c r="F706" s="80"/>
      <c r="G706" s="80"/>
      <c r="H706" s="80"/>
    </row>
    <row r="707">
      <c r="A707" s="56"/>
      <c r="B707" s="79"/>
      <c r="C707" s="80"/>
      <c r="D707" s="80"/>
      <c r="E707" s="80"/>
      <c r="F707" s="80"/>
      <c r="G707" s="80"/>
      <c r="H707" s="80"/>
    </row>
    <row r="708">
      <c r="A708" s="56"/>
      <c r="B708" s="79"/>
      <c r="C708" s="80"/>
      <c r="D708" s="80"/>
      <c r="E708" s="80"/>
      <c r="F708" s="80"/>
      <c r="G708" s="80"/>
      <c r="H708" s="80"/>
    </row>
    <row r="709">
      <c r="A709" s="56"/>
      <c r="B709" s="79"/>
      <c r="C709" s="80"/>
      <c r="D709" s="80"/>
      <c r="E709" s="80"/>
      <c r="F709" s="80"/>
      <c r="G709" s="80"/>
      <c r="H709" s="80"/>
    </row>
    <row r="710">
      <c r="A710" s="56"/>
      <c r="B710" s="79"/>
      <c r="C710" s="80"/>
      <c r="D710" s="80"/>
      <c r="E710" s="80"/>
      <c r="F710" s="80"/>
      <c r="G710" s="80"/>
      <c r="H710" s="80"/>
    </row>
    <row r="711">
      <c r="A711" s="56"/>
      <c r="B711" s="79"/>
      <c r="C711" s="80"/>
      <c r="D711" s="80"/>
      <c r="E711" s="80"/>
      <c r="F711" s="80"/>
      <c r="G711" s="80"/>
      <c r="H711" s="80"/>
    </row>
    <row r="712">
      <c r="A712" s="56"/>
      <c r="B712" s="79"/>
      <c r="C712" s="80"/>
      <c r="D712" s="80"/>
      <c r="E712" s="80"/>
      <c r="F712" s="80"/>
      <c r="G712" s="80"/>
      <c r="H712" s="80"/>
    </row>
    <row r="713">
      <c r="A713" s="56"/>
      <c r="B713" s="79"/>
      <c r="C713" s="80"/>
      <c r="D713" s="80"/>
      <c r="E713" s="80"/>
      <c r="F713" s="80"/>
      <c r="G713" s="80"/>
      <c r="H713" s="80"/>
    </row>
    <row r="714">
      <c r="A714" s="56"/>
      <c r="B714" s="79"/>
      <c r="C714" s="80"/>
      <c r="D714" s="80"/>
      <c r="E714" s="80"/>
      <c r="F714" s="80"/>
      <c r="G714" s="80"/>
      <c r="H714" s="80"/>
    </row>
    <row r="715">
      <c r="A715" s="56"/>
      <c r="B715" s="79"/>
      <c r="C715" s="80"/>
      <c r="D715" s="80"/>
      <c r="E715" s="80"/>
      <c r="F715" s="80"/>
      <c r="G715" s="80"/>
      <c r="H715" s="80"/>
    </row>
    <row r="716">
      <c r="A716" s="56"/>
      <c r="B716" s="79"/>
      <c r="C716" s="80"/>
      <c r="D716" s="80"/>
      <c r="E716" s="80"/>
      <c r="F716" s="80"/>
      <c r="G716" s="80"/>
      <c r="H716" s="80"/>
    </row>
    <row r="717">
      <c r="A717" s="56"/>
      <c r="B717" s="79"/>
      <c r="C717" s="80"/>
      <c r="D717" s="80"/>
      <c r="E717" s="80"/>
      <c r="F717" s="80"/>
      <c r="G717" s="80"/>
      <c r="H717" s="80"/>
    </row>
    <row r="718">
      <c r="A718" s="56"/>
      <c r="B718" s="79"/>
      <c r="C718" s="80"/>
      <c r="D718" s="80"/>
      <c r="E718" s="80"/>
      <c r="F718" s="80"/>
      <c r="G718" s="80"/>
      <c r="H718" s="80"/>
    </row>
    <row r="719">
      <c r="A719" s="56"/>
      <c r="B719" s="79"/>
      <c r="C719" s="80"/>
      <c r="D719" s="80"/>
      <c r="E719" s="80"/>
      <c r="F719" s="80"/>
      <c r="G719" s="80"/>
      <c r="H719" s="80"/>
    </row>
    <row r="720">
      <c r="A720" s="56"/>
      <c r="B720" s="79"/>
      <c r="C720" s="80"/>
      <c r="D720" s="80"/>
      <c r="E720" s="80"/>
      <c r="F720" s="80"/>
      <c r="G720" s="80"/>
      <c r="H720" s="80"/>
    </row>
    <row r="721">
      <c r="A721" s="56"/>
      <c r="B721" s="79"/>
      <c r="C721" s="80"/>
      <c r="D721" s="80"/>
      <c r="E721" s="80"/>
      <c r="F721" s="80"/>
      <c r="G721" s="80"/>
      <c r="H721" s="80"/>
    </row>
    <row r="722">
      <c r="A722" s="56"/>
      <c r="B722" s="79"/>
      <c r="C722" s="80"/>
      <c r="D722" s="80"/>
      <c r="E722" s="80"/>
      <c r="F722" s="80"/>
      <c r="G722" s="80"/>
      <c r="H722" s="80"/>
    </row>
    <row r="723">
      <c r="A723" s="56"/>
      <c r="B723" s="79"/>
      <c r="C723" s="80"/>
      <c r="D723" s="80"/>
      <c r="E723" s="80"/>
      <c r="F723" s="80"/>
      <c r="G723" s="80"/>
      <c r="H723" s="80"/>
    </row>
    <row r="724">
      <c r="A724" s="56"/>
      <c r="B724" s="79"/>
      <c r="C724" s="80"/>
      <c r="D724" s="80"/>
      <c r="E724" s="80"/>
      <c r="F724" s="80"/>
      <c r="G724" s="80"/>
      <c r="H724" s="80"/>
    </row>
    <row r="725">
      <c r="A725" s="56"/>
      <c r="B725" s="79"/>
      <c r="C725" s="80"/>
      <c r="D725" s="80"/>
      <c r="E725" s="80"/>
      <c r="F725" s="80"/>
      <c r="G725" s="80"/>
      <c r="H725" s="80"/>
    </row>
    <row r="726">
      <c r="A726" s="56"/>
      <c r="B726" s="79"/>
      <c r="C726" s="80"/>
      <c r="D726" s="80"/>
      <c r="E726" s="80"/>
      <c r="F726" s="80"/>
      <c r="G726" s="80"/>
      <c r="H726" s="80"/>
    </row>
    <row r="727">
      <c r="A727" s="56"/>
      <c r="B727" s="79"/>
      <c r="C727" s="80"/>
      <c r="D727" s="80"/>
      <c r="E727" s="80"/>
      <c r="F727" s="80"/>
      <c r="G727" s="80"/>
      <c r="H727" s="80"/>
    </row>
    <row r="728">
      <c r="A728" s="56"/>
      <c r="B728" s="79"/>
      <c r="C728" s="80"/>
      <c r="D728" s="80"/>
      <c r="E728" s="80"/>
      <c r="F728" s="80"/>
      <c r="G728" s="80"/>
      <c r="H728" s="80"/>
    </row>
    <row r="729">
      <c r="A729" s="56"/>
      <c r="B729" s="79"/>
      <c r="C729" s="80"/>
      <c r="D729" s="80"/>
      <c r="E729" s="80"/>
      <c r="F729" s="80"/>
      <c r="G729" s="80"/>
      <c r="H729" s="80"/>
    </row>
    <row r="730">
      <c r="A730" s="56"/>
      <c r="B730" s="79"/>
      <c r="C730" s="80"/>
      <c r="D730" s="80"/>
      <c r="E730" s="80"/>
      <c r="F730" s="80"/>
      <c r="G730" s="80"/>
      <c r="H730" s="80"/>
    </row>
    <row r="731">
      <c r="A731" s="56"/>
      <c r="B731" s="79"/>
      <c r="C731" s="80"/>
      <c r="D731" s="80"/>
      <c r="E731" s="80"/>
      <c r="F731" s="80"/>
      <c r="G731" s="80"/>
      <c r="H731" s="80"/>
    </row>
    <row r="732">
      <c r="A732" s="56"/>
      <c r="B732" s="79"/>
      <c r="C732" s="80"/>
      <c r="D732" s="80"/>
      <c r="E732" s="80"/>
      <c r="F732" s="80"/>
      <c r="G732" s="80"/>
      <c r="H732" s="80"/>
    </row>
    <row r="733">
      <c r="A733" s="56"/>
      <c r="B733" s="79"/>
      <c r="C733" s="80"/>
      <c r="D733" s="80"/>
      <c r="E733" s="80"/>
      <c r="F733" s="80"/>
      <c r="G733" s="80"/>
      <c r="H733" s="80"/>
    </row>
    <row r="734">
      <c r="A734" s="56"/>
      <c r="B734" s="79"/>
      <c r="C734" s="80"/>
      <c r="D734" s="80"/>
      <c r="E734" s="80"/>
      <c r="F734" s="80"/>
      <c r="G734" s="80"/>
      <c r="H734" s="80"/>
    </row>
    <row r="735">
      <c r="A735" s="56"/>
      <c r="B735" s="79"/>
      <c r="C735" s="80"/>
      <c r="D735" s="80"/>
      <c r="E735" s="80"/>
      <c r="F735" s="80"/>
      <c r="G735" s="80"/>
      <c r="H735" s="80"/>
    </row>
    <row r="736">
      <c r="A736" s="56"/>
      <c r="B736" s="79"/>
      <c r="C736" s="80"/>
      <c r="D736" s="80"/>
      <c r="E736" s="80"/>
      <c r="F736" s="80"/>
      <c r="G736" s="80"/>
      <c r="H736" s="80"/>
    </row>
    <row r="737">
      <c r="A737" s="56"/>
      <c r="B737" s="79"/>
      <c r="C737" s="80"/>
      <c r="D737" s="80"/>
      <c r="E737" s="80"/>
      <c r="F737" s="80"/>
      <c r="G737" s="80"/>
      <c r="H737" s="80"/>
    </row>
    <row r="738">
      <c r="A738" s="56"/>
      <c r="B738" s="79"/>
      <c r="C738" s="80"/>
      <c r="D738" s="80"/>
      <c r="E738" s="80"/>
      <c r="F738" s="80"/>
      <c r="G738" s="80"/>
      <c r="H738" s="80"/>
    </row>
    <row r="739">
      <c r="A739" s="56"/>
      <c r="B739" s="79"/>
      <c r="C739" s="80"/>
      <c r="D739" s="80"/>
      <c r="E739" s="80"/>
      <c r="F739" s="80"/>
      <c r="G739" s="80"/>
      <c r="H739" s="80"/>
    </row>
    <row r="740">
      <c r="A740" s="56"/>
      <c r="B740" s="79"/>
      <c r="C740" s="80"/>
      <c r="D740" s="80"/>
      <c r="E740" s="80"/>
      <c r="F740" s="80"/>
      <c r="G740" s="80"/>
      <c r="H740" s="80"/>
    </row>
    <row r="741">
      <c r="A741" s="56"/>
      <c r="B741" s="79"/>
      <c r="C741" s="80"/>
      <c r="D741" s="80"/>
      <c r="E741" s="80"/>
      <c r="F741" s="80"/>
      <c r="G741" s="80"/>
      <c r="H741" s="80"/>
    </row>
    <row r="742">
      <c r="A742" s="56"/>
      <c r="B742" s="79"/>
      <c r="C742" s="80"/>
      <c r="D742" s="80"/>
      <c r="E742" s="80"/>
      <c r="F742" s="80"/>
      <c r="G742" s="80"/>
      <c r="H742" s="80"/>
    </row>
    <row r="743">
      <c r="A743" s="56"/>
      <c r="B743" s="79"/>
      <c r="C743" s="80"/>
      <c r="D743" s="80"/>
      <c r="E743" s="80"/>
      <c r="F743" s="80"/>
      <c r="G743" s="80"/>
      <c r="H743" s="80"/>
    </row>
    <row r="744">
      <c r="A744" s="56"/>
      <c r="B744" s="79"/>
      <c r="C744" s="80"/>
      <c r="D744" s="80"/>
      <c r="E744" s="80"/>
      <c r="F744" s="80"/>
      <c r="G744" s="80"/>
      <c r="H744" s="80"/>
    </row>
    <row r="745">
      <c r="A745" s="56"/>
      <c r="B745" s="79"/>
      <c r="C745" s="80"/>
      <c r="D745" s="80"/>
      <c r="E745" s="80"/>
      <c r="F745" s="80"/>
      <c r="G745" s="80"/>
      <c r="H745" s="80"/>
    </row>
    <row r="746">
      <c r="A746" s="56"/>
      <c r="B746" s="79"/>
      <c r="C746" s="80"/>
      <c r="D746" s="80"/>
      <c r="E746" s="80"/>
      <c r="F746" s="80"/>
      <c r="G746" s="80"/>
      <c r="H746" s="80"/>
    </row>
    <row r="747">
      <c r="A747" s="56"/>
      <c r="B747" s="79"/>
      <c r="C747" s="80"/>
      <c r="D747" s="80"/>
      <c r="E747" s="80"/>
      <c r="F747" s="80"/>
      <c r="G747" s="80"/>
      <c r="H747" s="80"/>
    </row>
    <row r="748">
      <c r="A748" s="56"/>
      <c r="B748" s="79"/>
      <c r="C748" s="80"/>
      <c r="D748" s="80"/>
      <c r="E748" s="80"/>
      <c r="F748" s="80"/>
      <c r="G748" s="80"/>
      <c r="H748" s="80"/>
    </row>
    <row r="749">
      <c r="A749" s="56"/>
      <c r="B749" s="79"/>
      <c r="C749" s="80"/>
      <c r="D749" s="80"/>
      <c r="E749" s="80"/>
      <c r="F749" s="80"/>
      <c r="G749" s="80"/>
      <c r="H749" s="80"/>
    </row>
    <row r="750">
      <c r="A750" s="56"/>
      <c r="B750" s="79"/>
      <c r="C750" s="80"/>
      <c r="D750" s="80"/>
      <c r="E750" s="80"/>
      <c r="F750" s="80"/>
      <c r="G750" s="80"/>
      <c r="H750" s="80"/>
    </row>
    <row r="751">
      <c r="A751" s="56"/>
      <c r="B751" s="79"/>
      <c r="C751" s="80"/>
      <c r="D751" s="80"/>
      <c r="E751" s="80"/>
      <c r="F751" s="80"/>
      <c r="G751" s="80"/>
      <c r="H751" s="80"/>
    </row>
    <row r="752">
      <c r="A752" s="56"/>
      <c r="B752" s="79"/>
      <c r="C752" s="80"/>
      <c r="D752" s="80"/>
      <c r="E752" s="80"/>
      <c r="F752" s="80"/>
      <c r="G752" s="80"/>
      <c r="H752" s="80"/>
    </row>
    <row r="753">
      <c r="A753" s="56"/>
      <c r="B753" s="79"/>
      <c r="C753" s="80"/>
      <c r="D753" s="80"/>
      <c r="E753" s="80"/>
      <c r="F753" s="80"/>
      <c r="G753" s="80"/>
      <c r="H753" s="80"/>
    </row>
    <row r="754">
      <c r="A754" s="56"/>
      <c r="B754" s="79"/>
      <c r="C754" s="80"/>
      <c r="D754" s="80"/>
      <c r="E754" s="80"/>
      <c r="F754" s="80"/>
      <c r="G754" s="80"/>
      <c r="H754" s="80"/>
    </row>
    <row r="755">
      <c r="A755" s="56"/>
      <c r="B755" s="79"/>
      <c r="C755" s="80"/>
      <c r="D755" s="80"/>
      <c r="E755" s="80"/>
      <c r="F755" s="80"/>
      <c r="G755" s="80"/>
      <c r="H755" s="80"/>
    </row>
    <row r="756">
      <c r="A756" s="56"/>
      <c r="B756" s="79"/>
      <c r="C756" s="80"/>
      <c r="D756" s="80"/>
      <c r="E756" s="80"/>
      <c r="F756" s="80"/>
      <c r="G756" s="80"/>
      <c r="H756" s="80"/>
    </row>
    <row r="757">
      <c r="A757" s="56"/>
      <c r="B757" s="79"/>
      <c r="C757" s="80"/>
      <c r="D757" s="80"/>
      <c r="E757" s="80"/>
      <c r="F757" s="80"/>
      <c r="G757" s="80"/>
      <c r="H757" s="80"/>
    </row>
    <row r="758">
      <c r="A758" s="56"/>
      <c r="B758" s="79"/>
      <c r="C758" s="80"/>
      <c r="D758" s="80"/>
      <c r="E758" s="80"/>
      <c r="F758" s="80"/>
      <c r="G758" s="80"/>
      <c r="H758" s="80"/>
    </row>
    <row r="759">
      <c r="A759" s="56"/>
      <c r="B759" s="79"/>
      <c r="C759" s="80"/>
      <c r="D759" s="80"/>
      <c r="E759" s="80"/>
      <c r="F759" s="80"/>
      <c r="G759" s="80"/>
      <c r="H759" s="80"/>
    </row>
    <row r="760">
      <c r="A760" s="56"/>
      <c r="B760" s="79"/>
      <c r="C760" s="80"/>
      <c r="D760" s="80"/>
      <c r="E760" s="80"/>
      <c r="F760" s="80"/>
      <c r="G760" s="80"/>
      <c r="H760" s="80"/>
    </row>
    <row r="761">
      <c r="A761" s="56"/>
      <c r="B761" s="79"/>
      <c r="C761" s="80"/>
      <c r="D761" s="80"/>
      <c r="E761" s="80"/>
      <c r="F761" s="80"/>
      <c r="G761" s="80"/>
      <c r="H761" s="80"/>
    </row>
    <row r="762">
      <c r="A762" s="56"/>
      <c r="B762" s="79"/>
      <c r="C762" s="80"/>
      <c r="D762" s="80"/>
      <c r="E762" s="80"/>
      <c r="F762" s="80"/>
      <c r="G762" s="80"/>
      <c r="H762" s="80"/>
    </row>
    <row r="763">
      <c r="A763" s="56"/>
      <c r="B763" s="79"/>
      <c r="C763" s="80"/>
      <c r="D763" s="80"/>
      <c r="E763" s="80"/>
      <c r="F763" s="80"/>
      <c r="G763" s="80"/>
      <c r="H763" s="80"/>
    </row>
    <row r="764">
      <c r="A764" s="56"/>
      <c r="B764" s="79"/>
      <c r="C764" s="80"/>
      <c r="D764" s="80"/>
      <c r="E764" s="80"/>
      <c r="F764" s="80"/>
      <c r="G764" s="80"/>
      <c r="H764" s="80"/>
    </row>
    <row r="765">
      <c r="A765" s="56"/>
      <c r="B765" s="79"/>
      <c r="C765" s="80"/>
      <c r="D765" s="80"/>
      <c r="E765" s="80"/>
      <c r="F765" s="80"/>
      <c r="G765" s="80"/>
      <c r="H765" s="80"/>
    </row>
    <row r="766">
      <c r="A766" s="56"/>
      <c r="B766" s="79"/>
      <c r="C766" s="80"/>
      <c r="D766" s="80"/>
      <c r="E766" s="80"/>
      <c r="F766" s="80"/>
      <c r="G766" s="80"/>
      <c r="H766" s="80"/>
    </row>
    <row r="767">
      <c r="A767" s="56"/>
      <c r="B767" s="79"/>
      <c r="C767" s="80"/>
      <c r="D767" s="80"/>
      <c r="E767" s="80"/>
      <c r="F767" s="80"/>
      <c r="G767" s="80"/>
      <c r="H767" s="80"/>
    </row>
    <row r="768">
      <c r="A768" s="56"/>
      <c r="B768" s="79"/>
      <c r="C768" s="80"/>
      <c r="D768" s="80"/>
      <c r="E768" s="80"/>
      <c r="F768" s="80"/>
      <c r="G768" s="80"/>
      <c r="H768" s="80"/>
    </row>
    <row r="769">
      <c r="A769" s="56"/>
      <c r="B769" s="79"/>
      <c r="C769" s="80"/>
      <c r="D769" s="80"/>
      <c r="E769" s="80"/>
      <c r="F769" s="80"/>
      <c r="G769" s="80"/>
      <c r="H769" s="80"/>
    </row>
    <row r="770">
      <c r="A770" s="56"/>
      <c r="B770" s="79"/>
      <c r="C770" s="80"/>
      <c r="D770" s="80"/>
      <c r="E770" s="80"/>
      <c r="F770" s="80"/>
      <c r="G770" s="80"/>
      <c r="H770" s="80"/>
    </row>
    <row r="771">
      <c r="A771" s="56"/>
      <c r="B771" s="79"/>
      <c r="C771" s="80"/>
      <c r="D771" s="80"/>
      <c r="E771" s="80"/>
      <c r="F771" s="80"/>
      <c r="G771" s="80"/>
      <c r="H771" s="80"/>
    </row>
    <row r="772">
      <c r="A772" s="56"/>
      <c r="B772" s="79"/>
      <c r="C772" s="80"/>
      <c r="D772" s="80"/>
      <c r="E772" s="80"/>
      <c r="F772" s="80"/>
      <c r="G772" s="80"/>
      <c r="H772" s="80"/>
    </row>
    <row r="773">
      <c r="A773" s="56"/>
      <c r="B773" s="79"/>
      <c r="C773" s="80"/>
      <c r="D773" s="80"/>
      <c r="E773" s="80"/>
      <c r="F773" s="80"/>
      <c r="G773" s="80"/>
      <c r="H773" s="80"/>
    </row>
    <row r="774">
      <c r="A774" s="56"/>
      <c r="B774" s="79"/>
      <c r="C774" s="80"/>
      <c r="D774" s="80"/>
      <c r="E774" s="80"/>
      <c r="F774" s="80"/>
      <c r="G774" s="80"/>
      <c r="H774" s="80"/>
    </row>
    <row r="775">
      <c r="A775" s="56"/>
      <c r="B775" s="79"/>
      <c r="C775" s="80"/>
      <c r="D775" s="80"/>
      <c r="E775" s="80"/>
      <c r="F775" s="80"/>
      <c r="G775" s="80"/>
      <c r="H775" s="80"/>
    </row>
    <row r="776">
      <c r="A776" s="56"/>
      <c r="B776" s="79"/>
      <c r="C776" s="80"/>
      <c r="D776" s="80"/>
      <c r="E776" s="80"/>
      <c r="F776" s="80"/>
      <c r="G776" s="80"/>
      <c r="H776" s="80"/>
    </row>
    <row r="777">
      <c r="A777" s="56"/>
      <c r="B777" s="79"/>
      <c r="C777" s="80"/>
      <c r="D777" s="80"/>
      <c r="E777" s="80"/>
      <c r="F777" s="80"/>
      <c r="G777" s="80"/>
      <c r="H777" s="80"/>
    </row>
    <row r="778">
      <c r="A778" s="56"/>
      <c r="B778" s="79"/>
      <c r="C778" s="80"/>
      <c r="D778" s="80"/>
      <c r="E778" s="80"/>
      <c r="F778" s="80"/>
      <c r="G778" s="80"/>
      <c r="H778" s="80"/>
    </row>
    <row r="779">
      <c r="A779" s="56"/>
      <c r="B779" s="79"/>
      <c r="C779" s="80"/>
      <c r="D779" s="80"/>
      <c r="E779" s="80"/>
      <c r="F779" s="80"/>
      <c r="G779" s="80"/>
      <c r="H779" s="80"/>
    </row>
    <row r="780">
      <c r="A780" s="56"/>
      <c r="B780" s="79"/>
      <c r="C780" s="80"/>
      <c r="D780" s="80"/>
      <c r="E780" s="80"/>
      <c r="F780" s="80"/>
      <c r="G780" s="80"/>
      <c r="H780" s="80"/>
    </row>
    <row r="781">
      <c r="A781" s="56"/>
      <c r="B781" s="79"/>
      <c r="C781" s="80"/>
      <c r="D781" s="80"/>
      <c r="E781" s="80"/>
      <c r="F781" s="80"/>
      <c r="G781" s="80"/>
      <c r="H781" s="80"/>
    </row>
    <row r="782">
      <c r="A782" s="56"/>
      <c r="B782" s="79"/>
      <c r="C782" s="80"/>
      <c r="D782" s="80"/>
      <c r="E782" s="80"/>
      <c r="F782" s="80"/>
      <c r="G782" s="80"/>
      <c r="H782" s="80"/>
    </row>
    <row r="783">
      <c r="A783" s="56"/>
      <c r="B783" s="79"/>
      <c r="C783" s="80"/>
      <c r="D783" s="80"/>
      <c r="E783" s="80"/>
      <c r="F783" s="80"/>
      <c r="G783" s="80"/>
      <c r="H783" s="80"/>
    </row>
    <row r="784">
      <c r="A784" s="56"/>
      <c r="B784" s="79"/>
      <c r="C784" s="80"/>
      <c r="D784" s="80"/>
      <c r="E784" s="80"/>
      <c r="F784" s="80"/>
      <c r="G784" s="80"/>
      <c r="H784" s="80"/>
    </row>
    <row r="785">
      <c r="A785" s="56"/>
      <c r="B785" s="79"/>
      <c r="C785" s="80"/>
      <c r="D785" s="80"/>
      <c r="E785" s="80"/>
      <c r="F785" s="80"/>
      <c r="G785" s="80"/>
      <c r="H785" s="80"/>
    </row>
    <row r="786">
      <c r="A786" s="56"/>
      <c r="B786" s="79"/>
      <c r="C786" s="80"/>
      <c r="D786" s="80"/>
      <c r="E786" s="80"/>
      <c r="F786" s="80"/>
      <c r="G786" s="80"/>
      <c r="H786" s="80"/>
    </row>
    <row r="787">
      <c r="A787" s="56"/>
      <c r="B787" s="79"/>
      <c r="C787" s="80"/>
      <c r="D787" s="80"/>
      <c r="E787" s="80"/>
      <c r="F787" s="80"/>
      <c r="G787" s="80"/>
      <c r="H787" s="80"/>
    </row>
    <row r="788">
      <c r="A788" s="56"/>
      <c r="B788" s="79"/>
      <c r="C788" s="80"/>
      <c r="D788" s="80"/>
      <c r="E788" s="80"/>
      <c r="F788" s="80"/>
      <c r="G788" s="80"/>
      <c r="H788" s="80"/>
    </row>
    <row r="789">
      <c r="A789" s="56"/>
      <c r="B789" s="79"/>
      <c r="C789" s="80"/>
      <c r="D789" s="80"/>
      <c r="E789" s="80"/>
      <c r="F789" s="80"/>
      <c r="G789" s="80"/>
      <c r="H789" s="80"/>
    </row>
    <row r="790">
      <c r="A790" s="56"/>
      <c r="B790" s="79"/>
      <c r="C790" s="80"/>
      <c r="D790" s="80"/>
      <c r="E790" s="80"/>
      <c r="F790" s="80"/>
      <c r="G790" s="80"/>
      <c r="H790" s="80"/>
    </row>
    <row r="791">
      <c r="A791" s="56"/>
      <c r="B791" s="79"/>
      <c r="C791" s="80"/>
      <c r="D791" s="80"/>
      <c r="E791" s="80"/>
      <c r="F791" s="80"/>
      <c r="G791" s="80"/>
      <c r="H791" s="80"/>
    </row>
    <row r="792">
      <c r="A792" s="56"/>
      <c r="B792" s="79"/>
      <c r="C792" s="80"/>
      <c r="D792" s="80"/>
      <c r="E792" s="80"/>
      <c r="F792" s="80"/>
      <c r="G792" s="80"/>
      <c r="H792" s="80"/>
    </row>
    <row r="793">
      <c r="A793" s="56"/>
      <c r="B793" s="79"/>
      <c r="C793" s="80"/>
      <c r="D793" s="80"/>
      <c r="E793" s="80"/>
      <c r="F793" s="80"/>
      <c r="G793" s="80"/>
      <c r="H793" s="80"/>
    </row>
    <row r="794">
      <c r="A794" s="56"/>
      <c r="B794" s="79"/>
      <c r="C794" s="80"/>
      <c r="D794" s="80"/>
      <c r="E794" s="80"/>
      <c r="F794" s="80"/>
      <c r="G794" s="80"/>
      <c r="H794" s="80"/>
    </row>
    <row r="795">
      <c r="A795" s="56"/>
      <c r="B795" s="79"/>
      <c r="C795" s="80"/>
      <c r="D795" s="80"/>
      <c r="E795" s="80"/>
      <c r="F795" s="80"/>
      <c r="G795" s="80"/>
      <c r="H795" s="80"/>
    </row>
    <row r="796">
      <c r="A796" s="56"/>
      <c r="B796" s="79"/>
      <c r="C796" s="80"/>
      <c r="D796" s="80"/>
      <c r="E796" s="80"/>
      <c r="F796" s="80"/>
      <c r="G796" s="80"/>
      <c r="H796" s="80"/>
    </row>
    <row r="797">
      <c r="A797" s="56"/>
      <c r="B797" s="79"/>
      <c r="C797" s="80"/>
      <c r="D797" s="80"/>
      <c r="E797" s="80"/>
      <c r="F797" s="80"/>
      <c r="G797" s="80"/>
      <c r="H797" s="80"/>
    </row>
    <row r="798">
      <c r="A798" s="56"/>
      <c r="B798" s="79"/>
      <c r="C798" s="80"/>
      <c r="D798" s="80"/>
      <c r="E798" s="80"/>
      <c r="F798" s="80"/>
      <c r="G798" s="80"/>
      <c r="H798" s="80"/>
    </row>
    <row r="799">
      <c r="A799" s="56"/>
      <c r="B799" s="79"/>
      <c r="C799" s="80"/>
      <c r="D799" s="80"/>
      <c r="E799" s="80"/>
      <c r="F799" s="80"/>
      <c r="G799" s="80"/>
      <c r="H799" s="80"/>
    </row>
    <row r="800">
      <c r="A800" s="56"/>
      <c r="B800" s="79"/>
      <c r="C800" s="80"/>
      <c r="D800" s="80"/>
      <c r="E800" s="80"/>
      <c r="F800" s="80"/>
      <c r="G800" s="80"/>
      <c r="H800" s="80"/>
    </row>
    <row r="801">
      <c r="A801" s="56"/>
      <c r="B801" s="79"/>
      <c r="C801" s="80"/>
      <c r="D801" s="80"/>
      <c r="E801" s="80"/>
      <c r="F801" s="80"/>
      <c r="G801" s="80"/>
      <c r="H801" s="80"/>
    </row>
    <row r="802">
      <c r="A802" s="56"/>
      <c r="B802" s="79"/>
      <c r="C802" s="80"/>
      <c r="D802" s="80"/>
      <c r="E802" s="80"/>
      <c r="F802" s="80"/>
      <c r="G802" s="80"/>
      <c r="H802" s="80"/>
    </row>
    <row r="803">
      <c r="A803" s="56"/>
      <c r="B803" s="79"/>
      <c r="C803" s="80"/>
      <c r="D803" s="80"/>
      <c r="E803" s="80"/>
      <c r="F803" s="80"/>
      <c r="G803" s="80"/>
      <c r="H803" s="80"/>
    </row>
    <row r="804">
      <c r="A804" s="56"/>
      <c r="B804" s="79"/>
      <c r="C804" s="80"/>
      <c r="D804" s="80"/>
      <c r="E804" s="80"/>
      <c r="F804" s="80"/>
      <c r="G804" s="80"/>
      <c r="H804" s="80"/>
    </row>
    <row r="805">
      <c r="A805" s="56"/>
      <c r="B805" s="79"/>
      <c r="C805" s="80"/>
      <c r="D805" s="80"/>
      <c r="E805" s="80"/>
      <c r="F805" s="80"/>
      <c r="G805" s="80"/>
      <c r="H805" s="80"/>
    </row>
    <row r="806">
      <c r="A806" s="56"/>
      <c r="B806" s="79"/>
      <c r="C806" s="80"/>
      <c r="D806" s="80"/>
      <c r="E806" s="80"/>
      <c r="F806" s="80"/>
      <c r="G806" s="80"/>
      <c r="H806" s="80"/>
    </row>
    <row r="807">
      <c r="A807" s="56"/>
      <c r="B807" s="79"/>
      <c r="C807" s="80"/>
      <c r="D807" s="80"/>
      <c r="E807" s="80"/>
      <c r="F807" s="80"/>
      <c r="G807" s="80"/>
      <c r="H807" s="80"/>
    </row>
    <row r="808">
      <c r="A808" s="56"/>
      <c r="B808" s="79"/>
      <c r="C808" s="80"/>
      <c r="D808" s="80"/>
      <c r="E808" s="80"/>
      <c r="F808" s="80"/>
      <c r="G808" s="80"/>
      <c r="H808" s="80"/>
    </row>
    <row r="809">
      <c r="A809" s="56"/>
      <c r="B809" s="79"/>
      <c r="C809" s="80"/>
      <c r="D809" s="80"/>
      <c r="E809" s="80"/>
      <c r="F809" s="80"/>
      <c r="G809" s="80"/>
      <c r="H809" s="80"/>
    </row>
    <row r="810">
      <c r="A810" s="56"/>
      <c r="B810" s="79"/>
      <c r="C810" s="80"/>
      <c r="D810" s="80"/>
      <c r="E810" s="80"/>
      <c r="F810" s="80"/>
      <c r="G810" s="80"/>
      <c r="H810" s="80"/>
    </row>
    <row r="811">
      <c r="A811" s="56"/>
      <c r="B811" s="79"/>
      <c r="C811" s="80"/>
      <c r="D811" s="80"/>
      <c r="E811" s="80"/>
      <c r="F811" s="80"/>
      <c r="G811" s="80"/>
      <c r="H811" s="80"/>
    </row>
    <row r="812">
      <c r="A812" s="56"/>
      <c r="B812" s="79"/>
      <c r="C812" s="80"/>
      <c r="D812" s="80"/>
      <c r="E812" s="80"/>
      <c r="F812" s="80"/>
      <c r="G812" s="80"/>
      <c r="H812" s="80"/>
    </row>
    <row r="813">
      <c r="A813" s="56"/>
      <c r="B813" s="79"/>
      <c r="C813" s="80"/>
      <c r="D813" s="80"/>
      <c r="E813" s="80"/>
      <c r="F813" s="80"/>
      <c r="G813" s="80"/>
      <c r="H813" s="80"/>
    </row>
    <row r="814">
      <c r="A814" s="56"/>
      <c r="B814" s="79"/>
      <c r="C814" s="80"/>
      <c r="D814" s="80"/>
      <c r="E814" s="80"/>
      <c r="F814" s="80"/>
      <c r="G814" s="80"/>
      <c r="H814" s="80"/>
    </row>
    <row r="815">
      <c r="A815" s="56"/>
      <c r="B815" s="79"/>
      <c r="C815" s="80"/>
      <c r="D815" s="80"/>
      <c r="E815" s="80"/>
      <c r="F815" s="80"/>
      <c r="G815" s="80"/>
      <c r="H815" s="80"/>
    </row>
    <row r="816">
      <c r="A816" s="56"/>
      <c r="B816" s="79"/>
      <c r="C816" s="80"/>
      <c r="D816" s="80"/>
      <c r="E816" s="80"/>
      <c r="F816" s="80"/>
      <c r="G816" s="80"/>
      <c r="H816" s="80"/>
    </row>
    <row r="817">
      <c r="A817" s="56"/>
      <c r="B817" s="79"/>
      <c r="C817" s="80"/>
      <c r="D817" s="80"/>
      <c r="E817" s="80"/>
      <c r="F817" s="80"/>
      <c r="G817" s="80"/>
      <c r="H817" s="80"/>
    </row>
    <row r="818">
      <c r="A818" s="56"/>
      <c r="B818" s="79"/>
      <c r="C818" s="80"/>
      <c r="D818" s="80"/>
      <c r="E818" s="80"/>
      <c r="F818" s="80"/>
      <c r="G818" s="80"/>
      <c r="H818" s="80"/>
    </row>
    <row r="819">
      <c r="A819" s="56"/>
      <c r="B819" s="79"/>
      <c r="C819" s="80"/>
      <c r="D819" s="80"/>
      <c r="E819" s="80"/>
      <c r="F819" s="80"/>
      <c r="G819" s="80"/>
      <c r="H819" s="80"/>
    </row>
    <row r="820">
      <c r="A820" s="56"/>
      <c r="B820" s="79"/>
      <c r="C820" s="80"/>
      <c r="D820" s="80"/>
      <c r="E820" s="80"/>
      <c r="F820" s="80"/>
      <c r="G820" s="80"/>
      <c r="H820" s="80"/>
    </row>
    <row r="821">
      <c r="A821" s="56"/>
      <c r="B821" s="79"/>
      <c r="C821" s="80"/>
      <c r="D821" s="80"/>
      <c r="E821" s="80"/>
      <c r="F821" s="80"/>
      <c r="G821" s="80"/>
      <c r="H821" s="80"/>
    </row>
    <row r="822">
      <c r="A822" s="56"/>
      <c r="B822" s="79"/>
      <c r="C822" s="80"/>
      <c r="D822" s="80"/>
      <c r="E822" s="80"/>
      <c r="F822" s="80"/>
      <c r="G822" s="80"/>
      <c r="H822" s="80"/>
    </row>
    <row r="823">
      <c r="A823" s="56"/>
      <c r="B823" s="79"/>
      <c r="C823" s="80"/>
      <c r="D823" s="80"/>
      <c r="E823" s="80"/>
      <c r="F823" s="80"/>
      <c r="G823" s="80"/>
      <c r="H823" s="80"/>
    </row>
    <row r="824">
      <c r="A824" s="56"/>
      <c r="B824" s="79"/>
      <c r="C824" s="80"/>
      <c r="D824" s="80"/>
      <c r="E824" s="80"/>
      <c r="F824" s="80"/>
      <c r="G824" s="80"/>
      <c r="H824" s="80"/>
    </row>
    <row r="825">
      <c r="A825" s="56"/>
      <c r="B825" s="79"/>
      <c r="C825" s="80"/>
      <c r="D825" s="80"/>
      <c r="E825" s="80"/>
      <c r="F825" s="80"/>
      <c r="G825" s="80"/>
      <c r="H825" s="80"/>
    </row>
    <row r="826">
      <c r="A826" s="56"/>
      <c r="B826" s="79"/>
      <c r="C826" s="80"/>
      <c r="D826" s="80"/>
      <c r="E826" s="80"/>
      <c r="F826" s="80"/>
      <c r="G826" s="80"/>
      <c r="H826" s="80"/>
    </row>
    <row r="827">
      <c r="A827" s="56"/>
      <c r="B827" s="79"/>
      <c r="C827" s="80"/>
      <c r="D827" s="80"/>
      <c r="E827" s="80"/>
      <c r="F827" s="80"/>
      <c r="G827" s="80"/>
      <c r="H827" s="80"/>
    </row>
    <row r="828">
      <c r="A828" s="56"/>
      <c r="B828" s="79"/>
      <c r="C828" s="80"/>
      <c r="D828" s="80"/>
      <c r="E828" s="80"/>
      <c r="F828" s="80"/>
      <c r="G828" s="80"/>
      <c r="H828" s="80"/>
    </row>
    <row r="829">
      <c r="A829" s="56"/>
      <c r="B829" s="79"/>
      <c r="C829" s="80"/>
      <c r="D829" s="80"/>
      <c r="E829" s="80"/>
      <c r="F829" s="80"/>
      <c r="G829" s="80"/>
      <c r="H829" s="80"/>
    </row>
    <row r="830">
      <c r="A830" s="56"/>
      <c r="B830" s="79"/>
      <c r="C830" s="80"/>
      <c r="D830" s="80"/>
      <c r="E830" s="80"/>
      <c r="F830" s="80"/>
      <c r="G830" s="80"/>
      <c r="H830" s="80"/>
    </row>
    <row r="831">
      <c r="A831" s="56"/>
      <c r="B831" s="79"/>
      <c r="C831" s="80"/>
      <c r="D831" s="80"/>
      <c r="E831" s="80"/>
      <c r="F831" s="80"/>
      <c r="G831" s="80"/>
      <c r="H831" s="80"/>
    </row>
    <row r="832">
      <c r="A832" s="56"/>
      <c r="B832" s="79"/>
      <c r="C832" s="80"/>
      <c r="D832" s="80"/>
      <c r="E832" s="80"/>
      <c r="F832" s="80"/>
      <c r="G832" s="80"/>
      <c r="H832" s="80"/>
    </row>
    <row r="833">
      <c r="A833" s="56"/>
      <c r="B833" s="79"/>
      <c r="C833" s="80"/>
      <c r="D833" s="80"/>
      <c r="E833" s="80"/>
      <c r="F833" s="80"/>
      <c r="G833" s="80"/>
      <c r="H833" s="80"/>
    </row>
    <row r="834">
      <c r="A834" s="56"/>
      <c r="B834" s="79"/>
      <c r="C834" s="80"/>
      <c r="D834" s="80"/>
      <c r="E834" s="80"/>
      <c r="F834" s="80"/>
      <c r="G834" s="80"/>
      <c r="H834" s="80"/>
    </row>
    <row r="835">
      <c r="A835" s="56"/>
      <c r="B835" s="79"/>
      <c r="C835" s="80"/>
      <c r="D835" s="80"/>
      <c r="E835" s="80"/>
      <c r="F835" s="80"/>
      <c r="G835" s="80"/>
      <c r="H835" s="80"/>
    </row>
    <row r="836">
      <c r="A836" s="56"/>
      <c r="B836" s="79"/>
      <c r="C836" s="80"/>
      <c r="D836" s="80"/>
      <c r="E836" s="80"/>
      <c r="F836" s="80"/>
      <c r="G836" s="80"/>
      <c r="H836" s="80"/>
    </row>
    <row r="837">
      <c r="A837" s="56"/>
      <c r="B837" s="79"/>
      <c r="C837" s="80"/>
      <c r="D837" s="80"/>
      <c r="E837" s="80"/>
      <c r="F837" s="80"/>
      <c r="G837" s="80"/>
      <c r="H837" s="80"/>
    </row>
    <row r="838">
      <c r="A838" s="56"/>
      <c r="B838" s="79"/>
      <c r="C838" s="80"/>
      <c r="D838" s="80"/>
      <c r="E838" s="80"/>
      <c r="F838" s="80"/>
      <c r="G838" s="80"/>
      <c r="H838" s="80"/>
    </row>
    <row r="839">
      <c r="A839" s="56"/>
      <c r="B839" s="79"/>
      <c r="C839" s="80"/>
      <c r="D839" s="80"/>
      <c r="E839" s="80"/>
      <c r="F839" s="80"/>
      <c r="G839" s="80"/>
      <c r="H839" s="80"/>
    </row>
    <row r="840">
      <c r="A840" s="56"/>
      <c r="B840" s="79"/>
      <c r="C840" s="80"/>
      <c r="D840" s="80"/>
      <c r="E840" s="80"/>
      <c r="F840" s="80"/>
      <c r="G840" s="80"/>
      <c r="H840" s="80"/>
    </row>
    <row r="841">
      <c r="A841" s="56"/>
      <c r="B841" s="79"/>
      <c r="C841" s="80"/>
      <c r="D841" s="80"/>
      <c r="E841" s="80"/>
      <c r="F841" s="80"/>
      <c r="G841" s="80"/>
      <c r="H841" s="80"/>
    </row>
    <row r="842">
      <c r="A842" s="56"/>
      <c r="B842" s="79"/>
      <c r="C842" s="80"/>
      <c r="D842" s="80"/>
      <c r="E842" s="80"/>
      <c r="F842" s="80"/>
      <c r="G842" s="80"/>
      <c r="H842" s="80"/>
    </row>
    <row r="843">
      <c r="A843" s="56"/>
      <c r="B843" s="79"/>
      <c r="C843" s="80"/>
      <c r="D843" s="80"/>
      <c r="E843" s="80"/>
      <c r="F843" s="80"/>
      <c r="G843" s="80"/>
      <c r="H843" s="80"/>
    </row>
    <row r="844">
      <c r="A844" s="56"/>
      <c r="B844" s="79"/>
      <c r="C844" s="80"/>
      <c r="D844" s="80"/>
      <c r="E844" s="80"/>
      <c r="F844" s="80"/>
      <c r="G844" s="80"/>
      <c r="H844" s="80"/>
    </row>
    <row r="845">
      <c r="A845" s="56"/>
      <c r="B845" s="79"/>
      <c r="C845" s="80"/>
      <c r="D845" s="80"/>
      <c r="E845" s="80"/>
      <c r="F845" s="80"/>
      <c r="G845" s="80"/>
      <c r="H845" s="80"/>
    </row>
    <row r="846">
      <c r="A846" s="56"/>
      <c r="B846" s="79"/>
      <c r="C846" s="80"/>
      <c r="D846" s="80"/>
      <c r="E846" s="80"/>
      <c r="F846" s="80"/>
      <c r="G846" s="80"/>
      <c r="H846" s="80"/>
    </row>
    <row r="847">
      <c r="A847" s="56"/>
      <c r="B847" s="79"/>
      <c r="C847" s="80"/>
      <c r="D847" s="80"/>
      <c r="E847" s="80"/>
      <c r="F847" s="80"/>
      <c r="G847" s="80"/>
      <c r="H847" s="80"/>
    </row>
    <row r="848">
      <c r="A848" s="56"/>
      <c r="B848" s="79"/>
      <c r="C848" s="80"/>
      <c r="D848" s="80"/>
      <c r="E848" s="80"/>
      <c r="F848" s="80"/>
      <c r="G848" s="80"/>
      <c r="H848" s="80"/>
    </row>
    <row r="849">
      <c r="A849" s="56"/>
      <c r="B849" s="79"/>
      <c r="C849" s="80"/>
      <c r="D849" s="80"/>
      <c r="E849" s="80"/>
      <c r="F849" s="80"/>
      <c r="G849" s="80"/>
      <c r="H849" s="80"/>
    </row>
    <row r="850">
      <c r="A850" s="56"/>
      <c r="B850" s="79"/>
      <c r="C850" s="80"/>
      <c r="D850" s="80"/>
      <c r="E850" s="80"/>
      <c r="F850" s="80"/>
      <c r="G850" s="80"/>
      <c r="H850" s="80"/>
    </row>
    <row r="851">
      <c r="A851" s="56"/>
      <c r="B851" s="79"/>
      <c r="C851" s="80"/>
      <c r="D851" s="80"/>
      <c r="E851" s="80"/>
      <c r="F851" s="80"/>
      <c r="G851" s="80"/>
      <c r="H851" s="80"/>
    </row>
    <row r="852">
      <c r="A852" s="56"/>
      <c r="B852" s="79"/>
      <c r="C852" s="80"/>
      <c r="D852" s="80"/>
      <c r="E852" s="80"/>
      <c r="F852" s="80"/>
      <c r="G852" s="80"/>
      <c r="H852" s="80"/>
    </row>
    <row r="853">
      <c r="A853" s="56"/>
      <c r="B853" s="79"/>
      <c r="C853" s="80"/>
      <c r="D853" s="80"/>
      <c r="E853" s="80"/>
      <c r="F853" s="80"/>
      <c r="G853" s="80"/>
      <c r="H853" s="80"/>
    </row>
    <row r="854">
      <c r="A854" s="56"/>
      <c r="B854" s="79"/>
      <c r="C854" s="80"/>
      <c r="D854" s="80"/>
      <c r="E854" s="80"/>
      <c r="F854" s="80"/>
      <c r="G854" s="80"/>
      <c r="H854" s="80"/>
    </row>
    <row r="855">
      <c r="A855" s="56"/>
      <c r="B855" s="79"/>
      <c r="C855" s="80"/>
      <c r="D855" s="80"/>
      <c r="E855" s="80"/>
      <c r="F855" s="80"/>
      <c r="G855" s="80"/>
      <c r="H855" s="80"/>
    </row>
    <row r="856">
      <c r="A856" s="56"/>
      <c r="B856" s="79"/>
      <c r="C856" s="80"/>
      <c r="D856" s="80"/>
      <c r="E856" s="80"/>
      <c r="F856" s="80"/>
      <c r="G856" s="80"/>
      <c r="H856" s="80"/>
    </row>
    <row r="857">
      <c r="A857" s="56"/>
      <c r="B857" s="79"/>
      <c r="C857" s="80"/>
      <c r="D857" s="80"/>
      <c r="E857" s="80"/>
      <c r="F857" s="80"/>
      <c r="G857" s="80"/>
      <c r="H857" s="80"/>
    </row>
    <row r="858">
      <c r="A858" s="56"/>
      <c r="B858" s="79"/>
      <c r="C858" s="80"/>
      <c r="D858" s="80"/>
      <c r="E858" s="80"/>
      <c r="F858" s="80"/>
      <c r="G858" s="80"/>
      <c r="H858" s="80"/>
    </row>
    <row r="859">
      <c r="A859" s="56"/>
      <c r="B859" s="79"/>
      <c r="C859" s="80"/>
      <c r="D859" s="80"/>
      <c r="E859" s="80"/>
      <c r="F859" s="80"/>
      <c r="G859" s="80"/>
      <c r="H859" s="80"/>
    </row>
    <row r="860">
      <c r="A860" s="56"/>
      <c r="B860" s="79"/>
      <c r="C860" s="80"/>
      <c r="D860" s="80"/>
      <c r="E860" s="80"/>
      <c r="F860" s="80"/>
      <c r="G860" s="80"/>
      <c r="H860" s="80"/>
    </row>
    <row r="861">
      <c r="A861" s="56"/>
      <c r="B861" s="79"/>
      <c r="C861" s="80"/>
      <c r="D861" s="80"/>
      <c r="E861" s="80"/>
      <c r="F861" s="80"/>
      <c r="G861" s="80"/>
      <c r="H861" s="80"/>
    </row>
    <row r="862">
      <c r="A862" s="56"/>
      <c r="B862" s="79"/>
      <c r="C862" s="80"/>
      <c r="D862" s="80"/>
      <c r="E862" s="80"/>
      <c r="F862" s="80"/>
      <c r="G862" s="80"/>
      <c r="H862" s="80"/>
    </row>
    <row r="863">
      <c r="A863" s="56"/>
      <c r="B863" s="79"/>
      <c r="C863" s="80"/>
      <c r="D863" s="80"/>
      <c r="E863" s="80"/>
      <c r="F863" s="80"/>
      <c r="G863" s="80"/>
      <c r="H863" s="80"/>
    </row>
    <row r="864">
      <c r="A864" s="56"/>
      <c r="B864" s="79"/>
      <c r="C864" s="80"/>
      <c r="D864" s="80"/>
      <c r="E864" s="80"/>
      <c r="F864" s="80"/>
      <c r="G864" s="80"/>
      <c r="H864" s="80"/>
    </row>
    <row r="865">
      <c r="A865" s="56"/>
      <c r="B865" s="79"/>
      <c r="C865" s="80"/>
      <c r="D865" s="80"/>
      <c r="E865" s="80"/>
      <c r="F865" s="80"/>
      <c r="G865" s="80"/>
      <c r="H865" s="80"/>
    </row>
    <row r="866">
      <c r="A866" s="56"/>
      <c r="B866" s="79"/>
      <c r="C866" s="80"/>
      <c r="D866" s="80"/>
      <c r="E866" s="80"/>
      <c r="F866" s="80"/>
      <c r="G866" s="80"/>
      <c r="H866" s="80"/>
    </row>
    <row r="867">
      <c r="A867" s="56"/>
      <c r="B867" s="79"/>
      <c r="C867" s="80"/>
      <c r="D867" s="80"/>
      <c r="E867" s="80"/>
      <c r="F867" s="80"/>
      <c r="G867" s="80"/>
      <c r="H867" s="80"/>
    </row>
    <row r="868">
      <c r="A868" s="56"/>
      <c r="B868" s="79"/>
      <c r="C868" s="80"/>
      <c r="D868" s="80"/>
      <c r="E868" s="80"/>
      <c r="F868" s="80"/>
      <c r="G868" s="80"/>
      <c r="H868" s="80"/>
    </row>
    <row r="869">
      <c r="A869" s="56"/>
      <c r="B869" s="79"/>
      <c r="C869" s="80"/>
      <c r="D869" s="80"/>
      <c r="E869" s="80"/>
      <c r="F869" s="80"/>
      <c r="G869" s="80"/>
      <c r="H869" s="80"/>
    </row>
    <row r="870">
      <c r="A870" s="56"/>
      <c r="B870" s="79"/>
      <c r="C870" s="80"/>
      <c r="D870" s="80"/>
      <c r="E870" s="80"/>
      <c r="F870" s="80"/>
      <c r="G870" s="80"/>
      <c r="H870" s="80"/>
    </row>
    <row r="871">
      <c r="A871" s="56"/>
      <c r="B871" s="79"/>
      <c r="C871" s="80"/>
      <c r="D871" s="80"/>
      <c r="E871" s="80"/>
      <c r="F871" s="80"/>
      <c r="G871" s="80"/>
      <c r="H871" s="80"/>
    </row>
    <row r="872">
      <c r="A872" s="56"/>
      <c r="B872" s="79"/>
      <c r="C872" s="80"/>
      <c r="D872" s="80"/>
      <c r="E872" s="80"/>
      <c r="F872" s="80"/>
      <c r="G872" s="80"/>
      <c r="H872" s="80"/>
    </row>
    <row r="873">
      <c r="A873" s="56"/>
      <c r="B873" s="79"/>
      <c r="C873" s="80"/>
      <c r="D873" s="80"/>
      <c r="E873" s="80"/>
      <c r="F873" s="80"/>
      <c r="G873" s="80"/>
      <c r="H873" s="80"/>
    </row>
    <row r="874">
      <c r="A874" s="56"/>
      <c r="B874" s="79"/>
      <c r="C874" s="80"/>
      <c r="D874" s="80"/>
      <c r="E874" s="80"/>
      <c r="F874" s="80"/>
      <c r="G874" s="80"/>
      <c r="H874" s="80"/>
    </row>
    <row r="875">
      <c r="A875" s="56"/>
      <c r="B875" s="79"/>
      <c r="C875" s="80"/>
      <c r="D875" s="80"/>
      <c r="E875" s="80"/>
      <c r="F875" s="80"/>
      <c r="G875" s="80"/>
      <c r="H875" s="80"/>
    </row>
    <row r="876">
      <c r="A876" s="56"/>
      <c r="B876" s="79"/>
      <c r="C876" s="80"/>
      <c r="D876" s="80"/>
      <c r="E876" s="80"/>
      <c r="F876" s="80"/>
      <c r="G876" s="80"/>
      <c r="H876" s="80"/>
    </row>
    <row r="877">
      <c r="A877" s="56"/>
      <c r="B877" s="79"/>
      <c r="C877" s="80"/>
      <c r="D877" s="80"/>
      <c r="E877" s="80"/>
      <c r="F877" s="80"/>
      <c r="G877" s="80"/>
      <c r="H877" s="80"/>
    </row>
    <row r="878">
      <c r="A878" s="56"/>
      <c r="B878" s="79"/>
      <c r="C878" s="80"/>
      <c r="D878" s="80"/>
      <c r="E878" s="80"/>
      <c r="F878" s="80"/>
      <c r="G878" s="80"/>
      <c r="H878" s="80"/>
    </row>
    <row r="879">
      <c r="A879" s="56"/>
      <c r="B879" s="79"/>
      <c r="C879" s="80"/>
      <c r="D879" s="80"/>
      <c r="E879" s="80"/>
      <c r="F879" s="80"/>
      <c r="G879" s="80"/>
      <c r="H879" s="80"/>
    </row>
    <row r="880">
      <c r="A880" s="56"/>
      <c r="B880" s="79"/>
      <c r="C880" s="80"/>
      <c r="D880" s="80"/>
      <c r="E880" s="80"/>
      <c r="F880" s="80"/>
      <c r="G880" s="80"/>
      <c r="H880" s="80"/>
    </row>
    <row r="881">
      <c r="A881" s="56"/>
      <c r="B881" s="79"/>
      <c r="C881" s="80"/>
      <c r="D881" s="80"/>
      <c r="E881" s="80"/>
      <c r="F881" s="80"/>
      <c r="G881" s="80"/>
      <c r="H881" s="80"/>
    </row>
    <row r="882">
      <c r="A882" s="56"/>
      <c r="B882" s="79"/>
      <c r="C882" s="80"/>
      <c r="D882" s="80"/>
      <c r="E882" s="80"/>
      <c r="F882" s="80"/>
      <c r="G882" s="80"/>
      <c r="H882" s="80"/>
    </row>
    <row r="883">
      <c r="A883" s="56"/>
      <c r="B883" s="79"/>
      <c r="C883" s="80"/>
      <c r="D883" s="80"/>
      <c r="E883" s="80"/>
      <c r="F883" s="80"/>
      <c r="G883" s="80"/>
      <c r="H883" s="80"/>
    </row>
    <row r="884">
      <c r="A884" s="56"/>
      <c r="B884" s="79"/>
      <c r="C884" s="80"/>
      <c r="D884" s="80"/>
      <c r="E884" s="80"/>
      <c r="F884" s="80"/>
      <c r="G884" s="80"/>
      <c r="H884" s="80"/>
    </row>
    <row r="885">
      <c r="A885" s="56"/>
      <c r="B885" s="79"/>
      <c r="C885" s="80"/>
      <c r="D885" s="80"/>
      <c r="E885" s="80"/>
      <c r="F885" s="80"/>
      <c r="G885" s="80"/>
      <c r="H885" s="80"/>
    </row>
    <row r="886">
      <c r="A886" s="56"/>
      <c r="B886" s="79"/>
      <c r="C886" s="80"/>
      <c r="D886" s="80"/>
      <c r="E886" s="80"/>
      <c r="F886" s="80"/>
      <c r="G886" s="80"/>
      <c r="H886" s="80"/>
    </row>
    <row r="887">
      <c r="A887" s="56"/>
      <c r="B887" s="79"/>
      <c r="C887" s="80"/>
      <c r="D887" s="80"/>
      <c r="E887" s="80"/>
      <c r="F887" s="80"/>
      <c r="G887" s="80"/>
      <c r="H887" s="80"/>
    </row>
    <row r="888">
      <c r="A888" s="56"/>
      <c r="B888" s="79"/>
      <c r="C888" s="80"/>
      <c r="D888" s="80"/>
      <c r="E888" s="80"/>
      <c r="F888" s="80"/>
      <c r="G888" s="80"/>
      <c r="H888" s="80"/>
    </row>
    <row r="889">
      <c r="A889" s="56"/>
      <c r="B889" s="79"/>
      <c r="C889" s="80"/>
      <c r="D889" s="80"/>
      <c r="E889" s="80"/>
      <c r="F889" s="80"/>
      <c r="G889" s="80"/>
      <c r="H889" s="80"/>
    </row>
    <row r="890">
      <c r="A890" s="56"/>
      <c r="B890" s="79"/>
      <c r="C890" s="80"/>
      <c r="D890" s="80"/>
      <c r="E890" s="80"/>
      <c r="F890" s="80"/>
      <c r="G890" s="80"/>
      <c r="H890" s="80"/>
    </row>
    <row r="891">
      <c r="A891" s="56"/>
      <c r="B891" s="79"/>
      <c r="C891" s="80"/>
      <c r="D891" s="80"/>
      <c r="E891" s="80"/>
      <c r="F891" s="80"/>
      <c r="G891" s="80"/>
      <c r="H891" s="80"/>
    </row>
    <row r="892">
      <c r="A892" s="56"/>
      <c r="B892" s="79"/>
      <c r="C892" s="80"/>
      <c r="D892" s="80"/>
      <c r="E892" s="80"/>
      <c r="F892" s="80"/>
      <c r="G892" s="80"/>
      <c r="H892" s="80"/>
    </row>
    <row r="893">
      <c r="A893" s="56"/>
      <c r="B893" s="79"/>
      <c r="C893" s="80"/>
      <c r="D893" s="80"/>
      <c r="E893" s="80"/>
      <c r="F893" s="80"/>
      <c r="G893" s="80"/>
      <c r="H893" s="80"/>
    </row>
    <row r="894">
      <c r="A894" s="56"/>
      <c r="B894" s="79"/>
      <c r="C894" s="80"/>
      <c r="D894" s="80"/>
      <c r="E894" s="80"/>
      <c r="F894" s="80"/>
      <c r="G894" s="80"/>
      <c r="H894" s="80"/>
    </row>
    <row r="895">
      <c r="A895" s="56"/>
      <c r="B895" s="79"/>
      <c r="C895" s="80"/>
      <c r="D895" s="80"/>
      <c r="E895" s="80"/>
      <c r="F895" s="80"/>
      <c r="G895" s="80"/>
      <c r="H895" s="80"/>
    </row>
    <row r="896">
      <c r="A896" s="56"/>
      <c r="B896" s="79"/>
      <c r="C896" s="80"/>
      <c r="D896" s="80"/>
      <c r="E896" s="80"/>
      <c r="F896" s="80"/>
      <c r="G896" s="80"/>
      <c r="H896" s="80"/>
    </row>
    <row r="897">
      <c r="A897" s="56"/>
      <c r="B897" s="79"/>
      <c r="C897" s="80"/>
      <c r="D897" s="80"/>
      <c r="E897" s="80"/>
      <c r="F897" s="80"/>
      <c r="G897" s="80"/>
      <c r="H897" s="80"/>
    </row>
    <row r="898">
      <c r="A898" s="56"/>
      <c r="B898" s="79"/>
      <c r="C898" s="80"/>
      <c r="D898" s="80"/>
      <c r="E898" s="80"/>
      <c r="F898" s="80"/>
      <c r="G898" s="80"/>
      <c r="H898" s="80"/>
    </row>
    <row r="899">
      <c r="A899" s="56"/>
      <c r="B899" s="79"/>
      <c r="C899" s="80"/>
      <c r="D899" s="80"/>
      <c r="E899" s="80"/>
      <c r="F899" s="80"/>
      <c r="G899" s="80"/>
      <c r="H899" s="80"/>
    </row>
    <row r="900">
      <c r="A900" s="56"/>
      <c r="B900" s="79"/>
      <c r="C900" s="80"/>
      <c r="D900" s="80"/>
      <c r="E900" s="80"/>
      <c r="F900" s="80"/>
      <c r="G900" s="80"/>
      <c r="H900" s="80"/>
    </row>
    <row r="901">
      <c r="A901" s="56"/>
      <c r="B901" s="79"/>
      <c r="C901" s="80"/>
      <c r="D901" s="80"/>
      <c r="E901" s="80"/>
      <c r="F901" s="80"/>
      <c r="G901" s="80"/>
      <c r="H901" s="80"/>
    </row>
    <row r="902">
      <c r="A902" s="56"/>
      <c r="B902" s="79"/>
      <c r="C902" s="80"/>
      <c r="D902" s="80"/>
      <c r="E902" s="80"/>
      <c r="F902" s="80"/>
      <c r="G902" s="80"/>
      <c r="H902" s="80"/>
    </row>
    <row r="903">
      <c r="A903" s="56"/>
      <c r="B903" s="79"/>
      <c r="C903" s="80"/>
      <c r="D903" s="80"/>
      <c r="E903" s="80"/>
      <c r="F903" s="80"/>
      <c r="G903" s="80"/>
      <c r="H903" s="80"/>
    </row>
    <row r="904">
      <c r="A904" s="56"/>
      <c r="B904" s="79"/>
      <c r="C904" s="80"/>
      <c r="D904" s="80"/>
      <c r="E904" s="80"/>
      <c r="F904" s="80"/>
      <c r="G904" s="80"/>
      <c r="H904" s="80"/>
    </row>
    <row r="905">
      <c r="A905" s="56"/>
      <c r="B905" s="79"/>
      <c r="C905" s="80"/>
      <c r="D905" s="80"/>
      <c r="E905" s="80"/>
      <c r="F905" s="80"/>
      <c r="G905" s="80"/>
      <c r="H905" s="80"/>
    </row>
    <row r="906">
      <c r="A906" s="56"/>
      <c r="B906" s="79"/>
      <c r="C906" s="80"/>
      <c r="D906" s="80"/>
      <c r="E906" s="80"/>
      <c r="F906" s="80"/>
      <c r="G906" s="80"/>
      <c r="H906" s="80"/>
    </row>
    <row r="907">
      <c r="A907" s="56"/>
      <c r="B907" s="79"/>
      <c r="C907" s="80"/>
      <c r="D907" s="80"/>
      <c r="E907" s="80"/>
      <c r="F907" s="80"/>
      <c r="G907" s="80"/>
      <c r="H907" s="80"/>
    </row>
    <row r="908">
      <c r="A908" s="56"/>
      <c r="B908" s="79"/>
      <c r="C908" s="80"/>
      <c r="D908" s="80"/>
      <c r="E908" s="80"/>
      <c r="F908" s="80"/>
      <c r="G908" s="80"/>
      <c r="H908" s="80"/>
    </row>
    <row r="909">
      <c r="A909" s="56"/>
      <c r="B909" s="79"/>
      <c r="C909" s="80"/>
      <c r="D909" s="80"/>
      <c r="E909" s="80"/>
      <c r="F909" s="80"/>
      <c r="G909" s="80"/>
      <c r="H909" s="80"/>
    </row>
    <row r="910">
      <c r="A910" s="56"/>
      <c r="B910" s="79"/>
      <c r="C910" s="80"/>
      <c r="D910" s="80"/>
      <c r="E910" s="80"/>
      <c r="F910" s="80"/>
      <c r="G910" s="80"/>
      <c r="H910" s="80"/>
    </row>
    <row r="911">
      <c r="A911" s="56"/>
      <c r="B911" s="79"/>
      <c r="C911" s="80"/>
      <c r="D911" s="80"/>
      <c r="E911" s="80"/>
      <c r="F911" s="80"/>
      <c r="G911" s="80"/>
      <c r="H911" s="80"/>
    </row>
    <row r="912">
      <c r="A912" s="56"/>
      <c r="B912" s="79"/>
      <c r="C912" s="80"/>
      <c r="D912" s="80"/>
      <c r="E912" s="80"/>
      <c r="F912" s="80"/>
      <c r="G912" s="80"/>
      <c r="H912" s="80"/>
    </row>
    <row r="913">
      <c r="A913" s="56"/>
      <c r="B913" s="79"/>
      <c r="C913" s="80"/>
      <c r="D913" s="80"/>
      <c r="E913" s="80"/>
      <c r="F913" s="80"/>
      <c r="G913" s="80"/>
      <c r="H913" s="80"/>
    </row>
    <row r="914">
      <c r="A914" s="56"/>
      <c r="B914" s="79"/>
      <c r="C914" s="80"/>
      <c r="D914" s="80"/>
      <c r="E914" s="80"/>
      <c r="F914" s="80"/>
      <c r="G914" s="80"/>
      <c r="H914" s="80"/>
    </row>
    <row r="915">
      <c r="A915" s="56"/>
      <c r="B915" s="79"/>
      <c r="C915" s="80"/>
      <c r="D915" s="80"/>
      <c r="E915" s="80"/>
      <c r="F915" s="80"/>
      <c r="G915" s="80"/>
      <c r="H915" s="80"/>
    </row>
    <row r="916">
      <c r="A916" s="56"/>
      <c r="B916" s="79"/>
      <c r="C916" s="80"/>
      <c r="D916" s="80"/>
      <c r="E916" s="80"/>
      <c r="F916" s="80"/>
      <c r="G916" s="80"/>
      <c r="H916" s="80"/>
    </row>
    <row r="917">
      <c r="A917" s="56"/>
      <c r="B917" s="79"/>
      <c r="C917" s="80"/>
      <c r="D917" s="80"/>
      <c r="E917" s="80"/>
      <c r="F917" s="80"/>
      <c r="G917" s="80"/>
      <c r="H917" s="80"/>
    </row>
    <row r="918">
      <c r="A918" s="56"/>
      <c r="B918" s="79"/>
      <c r="C918" s="80"/>
      <c r="D918" s="80"/>
      <c r="E918" s="80"/>
      <c r="F918" s="80"/>
      <c r="G918" s="80"/>
      <c r="H918" s="80"/>
    </row>
    <row r="919">
      <c r="A919" s="56"/>
      <c r="B919" s="79"/>
      <c r="C919" s="80"/>
      <c r="D919" s="80"/>
      <c r="E919" s="80"/>
      <c r="F919" s="80"/>
      <c r="G919" s="80"/>
      <c r="H919" s="80"/>
    </row>
    <row r="920">
      <c r="A920" s="56"/>
      <c r="B920" s="79"/>
      <c r="C920" s="80"/>
      <c r="D920" s="80"/>
      <c r="E920" s="80"/>
      <c r="F920" s="80"/>
      <c r="G920" s="80"/>
      <c r="H920" s="80"/>
    </row>
    <row r="921">
      <c r="A921" s="56"/>
      <c r="B921" s="79"/>
      <c r="C921" s="80"/>
      <c r="D921" s="80"/>
      <c r="E921" s="80"/>
      <c r="F921" s="80"/>
      <c r="G921" s="80"/>
      <c r="H921" s="80"/>
    </row>
    <row r="922">
      <c r="A922" s="56"/>
      <c r="B922" s="79"/>
      <c r="C922" s="80"/>
      <c r="D922" s="80"/>
      <c r="E922" s="80"/>
      <c r="F922" s="80"/>
      <c r="G922" s="80"/>
      <c r="H922" s="80"/>
    </row>
    <row r="923">
      <c r="A923" s="56"/>
      <c r="B923" s="79"/>
      <c r="C923" s="80"/>
      <c r="D923" s="80"/>
      <c r="E923" s="80"/>
      <c r="F923" s="80"/>
      <c r="G923" s="80"/>
      <c r="H923" s="80"/>
    </row>
    <row r="924">
      <c r="A924" s="56"/>
      <c r="B924" s="79"/>
      <c r="C924" s="80"/>
      <c r="D924" s="80"/>
      <c r="E924" s="80"/>
      <c r="F924" s="80"/>
      <c r="G924" s="80"/>
      <c r="H924" s="80"/>
    </row>
    <row r="925">
      <c r="A925" s="56"/>
      <c r="B925" s="79"/>
      <c r="C925" s="80"/>
      <c r="D925" s="80"/>
      <c r="E925" s="80"/>
      <c r="F925" s="80"/>
      <c r="G925" s="80"/>
      <c r="H925" s="80"/>
    </row>
    <row r="926">
      <c r="A926" s="56"/>
      <c r="B926" s="79"/>
      <c r="C926" s="80"/>
      <c r="D926" s="80"/>
      <c r="E926" s="80"/>
      <c r="F926" s="80"/>
      <c r="G926" s="80"/>
      <c r="H926" s="80"/>
    </row>
    <row r="927">
      <c r="A927" s="56"/>
      <c r="B927" s="79"/>
      <c r="C927" s="80"/>
      <c r="D927" s="80"/>
      <c r="E927" s="80"/>
      <c r="F927" s="80"/>
      <c r="G927" s="80"/>
      <c r="H927" s="80"/>
    </row>
    <row r="928">
      <c r="A928" s="56"/>
      <c r="B928" s="79"/>
      <c r="C928" s="80"/>
      <c r="D928" s="80"/>
      <c r="E928" s="80"/>
      <c r="F928" s="80"/>
      <c r="G928" s="80"/>
      <c r="H928" s="80"/>
    </row>
    <row r="929">
      <c r="A929" s="56"/>
      <c r="B929" s="79"/>
      <c r="C929" s="80"/>
      <c r="D929" s="80"/>
      <c r="E929" s="80"/>
      <c r="F929" s="80"/>
      <c r="G929" s="80"/>
      <c r="H929" s="80"/>
    </row>
    <row r="930">
      <c r="A930" s="56"/>
      <c r="B930" s="79"/>
      <c r="C930" s="80"/>
      <c r="D930" s="80"/>
      <c r="E930" s="80"/>
      <c r="F930" s="80"/>
      <c r="G930" s="80"/>
      <c r="H930" s="80"/>
    </row>
    <row r="931">
      <c r="A931" s="56"/>
      <c r="B931" s="79"/>
      <c r="C931" s="80"/>
      <c r="D931" s="80"/>
      <c r="E931" s="80"/>
      <c r="F931" s="80"/>
      <c r="G931" s="80"/>
      <c r="H931" s="80"/>
    </row>
    <row r="932">
      <c r="A932" s="56"/>
      <c r="B932" s="79"/>
      <c r="C932" s="80"/>
      <c r="D932" s="80"/>
      <c r="E932" s="80"/>
      <c r="F932" s="80"/>
      <c r="G932" s="80"/>
      <c r="H932" s="80"/>
    </row>
    <row r="933">
      <c r="A933" s="56"/>
      <c r="B933" s="79"/>
      <c r="C933" s="80"/>
      <c r="D933" s="80"/>
      <c r="E933" s="80"/>
      <c r="F933" s="80"/>
      <c r="G933" s="80"/>
      <c r="H933" s="80"/>
    </row>
    <row r="934">
      <c r="A934" s="56"/>
      <c r="B934" s="79"/>
      <c r="C934" s="80"/>
      <c r="D934" s="80"/>
      <c r="E934" s="80"/>
      <c r="F934" s="80"/>
      <c r="G934" s="80"/>
      <c r="H934" s="80"/>
    </row>
    <row r="935">
      <c r="A935" s="56"/>
      <c r="B935" s="79"/>
      <c r="C935" s="80"/>
      <c r="D935" s="80"/>
      <c r="E935" s="80"/>
      <c r="F935" s="80"/>
      <c r="G935" s="80"/>
      <c r="H935" s="80"/>
    </row>
    <row r="936">
      <c r="A936" s="56"/>
      <c r="B936" s="79"/>
      <c r="C936" s="80"/>
      <c r="D936" s="80"/>
      <c r="E936" s="80"/>
      <c r="F936" s="80"/>
      <c r="G936" s="80"/>
      <c r="H936" s="80"/>
    </row>
    <row r="937">
      <c r="A937" s="56"/>
      <c r="B937" s="79"/>
      <c r="C937" s="80"/>
      <c r="D937" s="80"/>
      <c r="E937" s="80"/>
      <c r="F937" s="80"/>
      <c r="G937" s="80"/>
      <c r="H937" s="80"/>
    </row>
    <row r="938">
      <c r="A938" s="56"/>
      <c r="B938" s="79"/>
      <c r="C938" s="80"/>
      <c r="D938" s="80"/>
      <c r="E938" s="80"/>
      <c r="F938" s="80"/>
      <c r="G938" s="80"/>
      <c r="H938" s="80"/>
    </row>
    <row r="939">
      <c r="A939" s="56"/>
      <c r="B939" s="79"/>
      <c r="C939" s="80"/>
      <c r="D939" s="80"/>
      <c r="E939" s="80"/>
      <c r="F939" s="80"/>
      <c r="G939" s="80"/>
      <c r="H939" s="80"/>
    </row>
    <row r="940">
      <c r="A940" s="56"/>
      <c r="B940" s="79"/>
      <c r="C940" s="80"/>
      <c r="D940" s="80"/>
      <c r="E940" s="80"/>
      <c r="F940" s="80"/>
      <c r="G940" s="80"/>
      <c r="H940" s="80"/>
    </row>
    <row r="941">
      <c r="A941" s="56"/>
      <c r="B941" s="79"/>
      <c r="C941" s="80"/>
      <c r="D941" s="80"/>
      <c r="E941" s="80"/>
      <c r="F941" s="80"/>
      <c r="G941" s="80"/>
      <c r="H941" s="80"/>
    </row>
    <row r="942">
      <c r="A942" s="56"/>
      <c r="B942" s="79"/>
      <c r="C942" s="80"/>
      <c r="D942" s="80"/>
      <c r="E942" s="80"/>
      <c r="F942" s="80"/>
      <c r="G942" s="80"/>
      <c r="H942" s="80"/>
    </row>
    <row r="943">
      <c r="A943" s="56"/>
      <c r="B943" s="79"/>
      <c r="C943" s="80"/>
      <c r="D943" s="80"/>
      <c r="E943" s="80"/>
      <c r="F943" s="80"/>
      <c r="G943" s="80"/>
      <c r="H943" s="80"/>
    </row>
    <row r="944">
      <c r="A944" s="56"/>
      <c r="B944" s="79"/>
      <c r="C944" s="80"/>
      <c r="D944" s="80"/>
      <c r="E944" s="80"/>
      <c r="F944" s="80"/>
      <c r="G944" s="80"/>
      <c r="H944" s="80"/>
    </row>
    <row r="945">
      <c r="A945" s="56"/>
      <c r="B945" s="79"/>
      <c r="C945" s="80"/>
      <c r="D945" s="80"/>
      <c r="E945" s="80"/>
      <c r="F945" s="80"/>
      <c r="G945" s="80"/>
      <c r="H945" s="80"/>
    </row>
    <row r="946">
      <c r="A946" s="56"/>
      <c r="B946" s="79"/>
      <c r="C946" s="80"/>
      <c r="D946" s="80"/>
      <c r="E946" s="80"/>
      <c r="F946" s="80"/>
      <c r="G946" s="80"/>
      <c r="H946" s="80"/>
    </row>
    <row r="947">
      <c r="A947" s="56"/>
      <c r="B947" s="79"/>
      <c r="C947" s="80"/>
      <c r="D947" s="80"/>
      <c r="E947" s="80"/>
      <c r="F947" s="80"/>
      <c r="G947" s="80"/>
      <c r="H947" s="80"/>
    </row>
    <row r="948">
      <c r="A948" s="56"/>
      <c r="B948" s="79"/>
      <c r="C948" s="80"/>
      <c r="D948" s="80"/>
      <c r="E948" s="80"/>
      <c r="F948" s="80"/>
      <c r="G948" s="80"/>
      <c r="H948" s="80"/>
    </row>
    <row r="949">
      <c r="A949" s="56"/>
      <c r="B949" s="79"/>
      <c r="C949" s="80"/>
      <c r="D949" s="80"/>
      <c r="E949" s="80"/>
      <c r="F949" s="80"/>
      <c r="G949" s="80"/>
      <c r="H949" s="80"/>
    </row>
    <row r="950">
      <c r="A950" s="56"/>
      <c r="B950" s="79"/>
      <c r="C950" s="80"/>
      <c r="D950" s="80"/>
      <c r="E950" s="80"/>
      <c r="F950" s="80"/>
      <c r="G950" s="80"/>
      <c r="H950" s="80"/>
    </row>
    <row r="951">
      <c r="A951" s="56"/>
      <c r="B951" s="79"/>
      <c r="C951" s="80"/>
      <c r="D951" s="80"/>
      <c r="E951" s="80"/>
      <c r="F951" s="80"/>
      <c r="G951" s="80"/>
      <c r="H951" s="80"/>
    </row>
    <row r="952">
      <c r="A952" s="56"/>
      <c r="B952" s="79"/>
      <c r="C952" s="80"/>
      <c r="D952" s="80"/>
      <c r="E952" s="80"/>
      <c r="F952" s="80"/>
      <c r="G952" s="80"/>
      <c r="H952" s="80"/>
    </row>
    <row r="953">
      <c r="A953" s="56"/>
      <c r="B953" s="79"/>
      <c r="C953" s="80"/>
      <c r="D953" s="80"/>
      <c r="E953" s="80"/>
      <c r="F953" s="80"/>
      <c r="G953" s="80"/>
      <c r="H953" s="80"/>
    </row>
    <row r="954">
      <c r="A954" s="56"/>
      <c r="B954" s="79"/>
      <c r="C954" s="80"/>
      <c r="D954" s="80"/>
      <c r="E954" s="80"/>
      <c r="F954" s="80"/>
      <c r="G954" s="80"/>
      <c r="H954" s="80"/>
    </row>
    <row r="955">
      <c r="A955" s="56"/>
      <c r="B955" s="79"/>
      <c r="C955" s="80"/>
      <c r="D955" s="80"/>
      <c r="E955" s="80"/>
      <c r="F955" s="80"/>
      <c r="G955" s="80"/>
      <c r="H955" s="80"/>
    </row>
    <row r="956">
      <c r="A956" s="56"/>
      <c r="B956" s="79"/>
      <c r="C956" s="80"/>
      <c r="D956" s="80"/>
      <c r="E956" s="80"/>
      <c r="F956" s="80"/>
      <c r="G956" s="80"/>
      <c r="H956" s="80"/>
    </row>
    <row r="957">
      <c r="A957" s="56"/>
      <c r="B957" s="79"/>
      <c r="C957" s="80"/>
      <c r="D957" s="80"/>
      <c r="E957" s="80"/>
      <c r="F957" s="80"/>
      <c r="G957" s="80"/>
      <c r="H957" s="80"/>
    </row>
    <row r="958">
      <c r="A958" s="56"/>
      <c r="B958" s="79"/>
      <c r="C958" s="80"/>
      <c r="D958" s="80"/>
      <c r="E958" s="80"/>
      <c r="F958" s="80"/>
      <c r="G958" s="80"/>
      <c r="H958" s="80"/>
    </row>
    <row r="959">
      <c r="A959" s="56"/>
      <c r="B959" s="79"/>
      <c r="C959" s="80"/>
      <c r="D959" s="80"/>
      <c r="E959" s="80"/>
      <c r="F959" s="80"/>
      <c r="G959" s="80"/>
      <c r="H959" s="80"/>
    </row>
    <row r="960">
      <c r="A960" s="56"/>
      <c r="B960" s="79"/>
      <c r="C960" s="80"/>
      <c r="D960" s="80"/>
      <c r="E960" s="80"/>
      <c r="F960" s="80"/>
      <c r="G960" s="80"/>
      <c r="H960" s="80"/>
    </row>
    <row r="961">
      <c r="A961" s="56"/>
      <c r="B961" s="79"/>
      <c r="C961" s="80"/>
      <c r="D961" s="80"/>
      <c r="E961" s="80"/>
      <c r="F961" s="80"/>
      <c r="G961" s="80"/>
      <c r="H961" s="80"/>
    </row>
    <row r="962">
      <c r="A962" s="56"/>
      <c r="B962" s="79"/>
      <c r="C962" s="80"/>
      <c r="D962" s="80"/>
      <c r="E962" s="80"/>
      <c r="F962" s="80"/>
      <c r="G962" s="80"/>
      <c r="H962" s="80"/>
    </row>
    <row r="963">
      <c r="A963" s="56"/>
      <c r="B963" s="79"/>
      <c r="C963" s="80"/>
      <c r="D963" s="80"/>
      <c r="E963" s="80"/>
      <c r="F963" s="80"/>
      <c r="G963" s="80"/>
      <c r="H963" s="80"/>
    </row>
    <row r="964">
      <c r="A964" s="56"/>
      <c r="B964" s="79"/>
      <c r="C964" s="80"/>
      <c r="D964" s="80"/>
      <c r="E964" s="80"/>
      <c r="F964" s="80"/>
      <c r="G964" s="80"/>
      <c r="H964" s="80"/>
    </row>
    <row r="965">
      <c r="A965" s="56"/>
      <c r="B965" s="79"/>
      <c r="C965" s="80"/>
      <c r="D965" s="80"/>
      <c r="E965" s="80"/>
      <c r="F965" s="80"/>
      <c r="G965" s="80"/>
      <c r="H965" s="80"/>
    </row>
    <row r="966">
      <c r="A966" s="56"/>
      <c r="B966" s="79"/>
      <c r="C966" s="80"/>
      <c r="D966" s="80"/>
      <c r="E966" s="80"/>
      <c r="F966" s="80"/>
      <c r="G966" s="80"/>
      <c r="H966" s="80"/>
    </row>
    <row r="967">
      <c r="A967" s="56"/>
      <c r="B967" s="79"/>
      <c r="C967" s="80"/>
      <c r="D967" s="80"/>
      <c r="E967" s="80"/>
      <c r="F967" s="80"/>
      <c r="G967" s="80"/>
      <c r="H967" s="80"/>
    </row>
    <row r="968">
      <c r="A968" s="56"/>
      <c r="B968" s="79"/>
      <c r="C968" s="80"/>
      <c r="D968" s="80"/>
      <c r="E968" s="80"/>
      <c r="F968" s="80"/>
      <c r="G968" s="80"/>
      <c r="H968" s="80"/>
    </row>
    <row r="969">
      <c r="A969" s="56"/>
      <c r="B969" s="79"/>
      <c r="C969" s="80"/>
      <c r="D969" s="80"/>
      <c r="E969" s="80"/>
      <c r="F969" s="80"/>
      <c r="G969" s="80"/>
      <c r="H969" s="80"/>
    </row>
    <row r="970">
      <c r="A970" s="56"/>
      <c r="B970" s="79"/>
      <c r="C970" s="80"/>
      <c r="D970" s="80"/>
      <c r="E970" s="80"/>
      <c r="F970" s="80"/>
      <c r="G970" s="80"/>
      <c r="H970" s="80"/>
    </row>
    <row r="971">
      <c r="A971" s="56"/>
      <c r="B971" s="79"/>
      <c r="C971" s="80"/>
      <c r="D971" s="80"/>
      <c r="E971" s="80"/>
      <c r="F971" s="80"/>
      <c r="G971" s="80"/>
      <c r="H971" s="80"/>
    </row>
    <row r="972">
      <c r="A972" s="56"/>
      <c r="B972" s="79"/>
      <c r="C972" s="80"/>
      <c r="D972" s="80"/>
      <c r="E972" s="80"/>
      <c r="F972" s="80"/>
      <c r="G972" s="80"/>
      <c r="H972" s="80"/>
    </row>
    <row r="973">
      <c r="A973" s="56"/>
      <c r="B973" s="79"/>
      <c r="C973" s="80"/>
      <c r="D973" s="80"/>
      <c r="E973" s="80"/>
      <c r="F973" s="80"/>
      <c r="G973" s="80"/>
      <c r="H973" s="80"/>
    </row>
    <row r="974">
      <c r="A974" s="56"/>
      <c r="B974" s="79"/>
      <c r="C974" s="80"/>
      <c r="D974" s="80"/>
      <c r="E974" s="80"/>
      <c r="F974" s="80"/>
      <c r="G974" s="80"/>
      <c r="H974" s="80"/>
    </row>
    <row r="975">
      <c r="A975" s="56"/>
      <c r="B975" s="79"/>
      <c r="C975" s="80"/>
      <c r="D975" s="80"/>
      <c r="E975" s="80"/>
      <c r="F975" s="80"/>
      <c r="G975" s="80"/>
      <c r="H975" s="80"/>
    </row>
    <row r="976">
      <c r="A976" s="56"/>
      <c r="B976" s="79"/>
      <c r="C976" s="80"/>
      <c r="D976" s="80"/>
      <c r="E976" s="80"/>
      <c r="F976" s="80"/>
      <c r="G976" s="80"/>
      <c r="H976" s="80"/>
    </row>
    <row r="977">
      <c r="A977" s="56"/>
      <c r="B977" s="79"/>
      <c r="C977" s="80"/>
      <c r="D977" s="80"/>
      <c r="E977" s="80"/>
      <c r="F977" s="80"/>
      <c r="G977" s="80"/>
      <c r="H977" s="80"/>
    </row>
    <row r="978">
      <c r="A978" s="56"/>
      <c r="B978" s="79"/>
      <c r="C978" s="80"/>
      <c r="D978" s="80"/>
      <c r="E978" s="80"/>
      <c r="F978" s="80"/>
      <c r="G978" s="80"/>
      <c r="H978" s="80"/>
    </row>
    <row r="979">
      <c r="A979" s="56"/>
      <c r="B979" s="79"/>
      <c r="C979" s="80"/>
      <c r="D979" s="80"/>
      <c r="E979" s="80"/>
      <c r="F979" s="80"/>
      <c r="G979" s="80"/>
      <c r="H979" s="80"/>
    </row>
    <row r="980">
      <c r="A980" s="56"/>
      <c r="B980" s="79"/>
      <c r="C980" s="80"/>
      <c r="D980" s="80"/>
      <c r="E980" s="80"/>
      <c r="F980" s="80"/>
      <c r="G980" s="80"/>
      <c r="H980" s="80"/>
    </row>
    <row r="981">
      <c r="A981" s="56"/>
      <c r="B981" s="79"/>
      <c r="C981" s="80"/>
      <c r="D981" s="80"/>
      <c r="E981" s="80"/>
      <c r="F981" s="80"/>
      <c r="G981" s="80"/>
      <c r="H981" s="80"/>
    </row>
    <row r="982">
      <c r="A982" s="56"/>
      <c r="B982" s="79"/>
      <c r="C982" s="80"/>
      <c r="D982" s="80"/>
      <c r="E982" s="80"/>
      <c r="F982" s="80"/>
      <c r="G982" s="80"/>
      <c r="H982" s="80"/>
    </row>
    <row r="983">
      <c r="A983" s="56"/>
      <c r="B983" s="79"/>
      <c r="C983" s="80"/>
      <c r="D983" s="80"/>
      <c r="E983" s="80"/>
      <c r="F983" s="80"/>
      <c r="G983" s="80"/>
      <c r="H983" s="80"/>
    </row>
    <row r="984">
      <c r="A984" s="56"/>
      <c r="B984" s="79"/>
      <c r="C984" s="80"/>
      <c r="D984" s="80"/>
      <c r="E984" s="80"/>
      <c r="F984" s="80"/>
      <c r="G984" s="80"/>
      <c r="H984" s="80"/>
    </row>
    <row r="985">
      <c r="A985" s="56"/>
      <c r="B985" s="79"/>
      <c r="C985" s="80"/>
      <c r="D985" s="80"/>
      <c r="E985" s="80"/>
      <c r="F985" s="80"/>
      <c r="G985" s="80"/>
      <c r="H985" s="80"/>
    </row>
    <row r="986">
      <c r="A986" s="56"/>
      <c r="B986" s="79"/>
      <c r="C986" s="80"/>
      <c r="D986" s="80"/>
      <c r="E986" s="80"/>
      <c r="F986" s="80"/>
      <c r="G986" s="80"/>
      <c r="H986" s="80"/>
    </row>
    <row r="987">
      <c r="A987" s="56"/>
      <c r="B987" s="79"/>
      <c r="C987" s="80"/>
      <c r="D987" s="80"/>
      <c r="E987" s="80"/>
      <c r="F987" s="80"/>
      <c r="G987" s="80"/>
      <c r="H987" s="80"/>
    </row>
    <row r="988">
      <c r="A988" s="56"/>
      <c r="B988" s="79"/>
      <c r="C988" s="80"/>
      <c r="D988" s="80"/>
      <c r="E988" s="80"/>
      <c r="F988" s="80"/>
      <c r="G988" s="80"/>
      <c r="H988" s="80"/>
    </row>
    <row r="989">
      <c r="A989" s="56"/>
      <c r="B989" s="79"/>
      <c r="C989" s="80"/>
      <c r="D989" s="80"/>
      <c r="E989" s="80"/>
      <c r="F989" s="80"/>
      <c r="G989" s="80"/>
      <c r="H989" s="80"/>
    </row>
    <row r="990">
      <c r="A990" s="56"/>
      <c r="B990" s="79"/>
      <c r="C990" s="80"/>
      <c r="D990" s="80"/>
      <c r="E990" s="80"/>
      <c r="F990" s="80"/>
      <c r="G990" s="80"/>
      <c r="H990" s="80"/>
    </row>
    <row r="991">
      <c r="A991" s="56"/>
      <c r="B991" s="79"/>
      <c r="C991" s="80"/>
      <c r="D991" s="80"/>
      <c r="E991" s="80"/>
      <c r="F991" s="80"/>
      <c r="G991" s="80"/>
      <c r="H991" s="80"/>
    </row>
    <row r="992">
      <c r="A992" s="56"/>
      <c r="B992" s="79"/>
      <c r="C992" s="80"/>
      <c r="D992" s="80"/>
      <c r="E992" s="80"/>
      <c r="F992" s="80"/>
      <c r="G992" s="80"/>
      <c r="H992" s="80"/>
    </row>
    <row r="993">
      <c r="A993" s="56"/>
      <c r="B993" s="79"/>
      <c r="C993" s="80"/>
      <c r="D993" s="80"/>
      <c r="E993" s="80"/>
      <c r="F993" s="80"/>
      <c r="G993" s="80"/>
      <c r="H993" s="80"/>
    </row>
    <row r="994">
      <c r="A994" s="56"/>
      <c r="B994" s="79"/>
      <c r="C994" s="80"/>
      <c r="D994" s="80"/>
      <c r="E994" s="80"/>
      <c r="F994" s="80"/>
      <c r="G994" s="80"/>
      <c r="H994" s="80"/>
    </row>
    <row r="995">
      <c r="A995" s="56"/>
      <c r="B995" s="79"/>
      <c r="C995" s="80"/>
      <c r="D995" s="80"/>
      <c r="E995" s="80"/>
      <c r="F995" s="80"/>
      <c r="G995" s="80"/>
      <c r="H995" s="80"/>
    </row>
    <row r="996">
      <c r="A996" s="56"/>
      <c r="B996" s="79"/>
      <c r="C996" s="80"/>
      <c r="D996" s="80"/>
      <c r="E996" s="80"/>
      <c r="F996" s="80"/>
      <c r="G996" s="80"/>
      <c r="H996" s="80"/>
    </row>
    <row r="997">
      <c r="A997" s="56"/>
      <c r="B997" s="79"/>
      <c r="C997" s="80"/>
      <c r="D997" s="80"/>
      <c r="E997" s="80"/>
      <c r="F997" s="80"/>
      <c r="G997" s="80"/>
      <c r="H997" s="80"/>
    </row>
    <row r="998">
      <c r="A998" s="56"/>
      <c r="B998" s="79"/>
      <c r="C998" s="80"/>
      <c r="D998" s="80"/>
      <c r="E998" s="80"/>
      <c r="F998" s="80"/>
      <c r="G998" s="80"/>
      <c r="H998" s="80"/>
    </row>
    <row r="999">
      <c r="A999" s="56"/>
      <c r="B999" s="79"/>
      <c r="C999" s="80"/>
      <c r="D999" s="80"/>
      <c r="E999" s="80"/>
      <c r="F999" s="80"/>
      <c r="G999" s="80"/>
      <c r="H999" s="80"/>
    </row>
    <row r="1000">
      <c r="A1000" s="56"/>
      <c r="B1000" s="79"/>
      <c r="C1000" s="80"/>
      <c r="D1000" s="80"/>
      <c r="E1000" s="80"/>
      <c r="F1000" s="80"/>
      <c r="G1000" s="80"/>
      <c r="H1000" s="80"/>
    </row>
    <row r="1001">
      <c r="A1001" s="56"/>
      <c r="B1001" s="79"/>
      <c r="C1001" s="80"/>
      <c r="D1001" s="80"/>
      <c r="E1001" s="80"/>
      <c r="F1001" s="80"/>
      <c r="G1001" s="80"/>
      <c r="H1001" s="80"/>
    </row>
    <row r="1002">
      <c r="A1002" s="56"/>
      <c r="B1002" s="79"/>
      <c r="C1002" s="80"/>
      <c r="D1002" s="80"/>
      <c r="E1002" s="80"/>
      <c r="F1002" s="80"/>
      <c r="G1002" s="80"/>
      <c r="H1002" s="80"/>
    </row>
    <row r="1003">
      <c r="A1003" s="56"/>
      <c r="B1003" s="79"/>
      <c r="C1003" s="80"/>
      <c r="D1003" s="80"/>
      <c r="E1003" s="80"/>
      <c r="F1003" s="80"/>
      <c r="G1003" s="80"/>
      <c r="H1003" s="80"/>
    </row>
    <row r="1004">
      <c r="A1004" s="56"/>
      <c r="B1004" s="79"/>
      <c r="C1004" s="80"/>
      <c r="D1004" s="80"/>
      <c r="E1004" s="80"/>
      <c r="F1004" s="80"/>
      <c r="G1004" s="80"/>
      <c r="H1004" s="80"/>
    </row>
    <row r="1005">
      <c r="A1005" s="56"/>
      <c r="B1005" s="79"/>
      <c r="C1005" s="80"/>
      <c r="D1005" s="80"/>
      <c r="E1005" s="80"/>
      <c r="F1005" s="80"/>
      <c r="G1005" s="80"/>
      <c r="H1005" s="80"/>
    </row>
    <row r="1006">
      <c r="A1006" s="56"/>
      <c r="B1006" s="79"/>
      <c r="C1006" s="80"/>
      <c r="D1006" s="80"/>
      <c r="E1006" s="80"/>
      <c r="F1006" s="80"/>
      <c r="G1006" s="80"/>
      <c r="H1006" s="80"/>
    </row>
    <row r="1007">
      <c r="A1007" s="56"/>
      <c r="B1007" s="79"/>
      <c r="C1007" s="80"/>
      <c r="D1007" s="80"/>
      <c r="E1007" s="80"/>
      <c r="F1007" s="80"/>
      <c r="G1007" s="80"/>
      <c r="H1007" s="80"/>
    </row>
    <row r="1008">
      <c r="A1008" s="56"/>
      <c r="B1008" s="79"/>
      <c r="C1008" s="80"/>
      <c r="D1008" s="80"/>
      <c r="E1008" s="80"/>
      <c r="F1008" s="80"/>
      <c r="G1008" s="80"/>
      <c r="H1008" s="80"/>
    </row>
    <row r="1009">
      <c r="A1009" s="56"/>
      <c r="B1009" s="79"/>
      <c r="C1009" s="80"/>
      <c r="D1009" s="80"/>
      <c r="E1009" s="80"/>
      <c r="F1009" s="80"/>
      <c r="G1009" s="80"/>
      <c r="H1009" s="80"/>
    </row>
    <row r="1010">
      <c r="A1010" s="56"/>
      <c r="B1010" s="79"/>
      <c r="C1010" s="80"/>
      <c r="D1010" s="80"/>
      <c r="E1010" s="80"/>
      <c r="F1010" s="80"/>
      <c r="G1010" s="80"/>
      <c r="H1010" s="80"/>
    </row>
    <row r="1011">
      <c r="A1011" s="56"/>
      <c r="B1011" s="79"/>
      <c r="C1011" s="80"/>
      <c r="D1011" s="80"/>
      <c r="E1011" s="80"/>
      <c r="F1011" s="80"/>
      <c r="G1011" s="80"/>
      <c r="H1011" s="80"/>
    </row>
    <row r="1012">
      <c r="A1012" s="56"/>
      <c r="B1012" s="79"/>
      <c r="C1012" s="80"/>
      <c r="D1012" s="80"/>
      <c r="E1012" s="80"/>
      <c r="F1012" s="80"/>
      <c r="G1012" s="80"/>
      <c r="H1012" s="80"/>
    </row>
    <row r="1013">
      <c r="A1013" s="56"/>
      <c r="B1013" s="79"/>
      <c r="C1013" s="80"/>
      <c r="D1013" s="80"/>
      <c r="E1013" s="80"/>
      <c r="F1013" s="80"/>
      <c r="G1013" s="80"/>
      <c r="H1013" s="80"/>
    </row>
    <row r="1014">
      <c r="A1014" s="56"/>
      <c r="B1014" s="79"/>
      <c r="C1014" s="80"/>
      <c r="D1014" s="80"/>
      <c r="E1014" s="80"/>
      <c r="F1014" s="80"/>
      <c r="G1014" s="80"/>
      <c r="H1014" s="80"/>
    </row>
    <row r="1015">
      <c r="A1015" s="56"/>
      <c r="B1015" s="79"/>
      <c r="C1015" s="80"/>
      <c r="D1015" s="80"/>
      <c r="E1015" s="80"/>
      <c r="F1015" s="80"/>
      <c r="G1015" s="80"/>
      <c r="H1015" s="80"/>
    </row>
    <row r="1016">
      <c r="A1016" s="56"/>
      <c r="B1016" s="79"/>
      <c r="C1016" s="80"/>
      <c r="D1016" s="80"/>
      <c r="E1016" s="80"/>
      <c r="F1016" s="80"/>
      <c r="G1016" s="80"/>
      <c r="H1016" s="80"/>
    </row>
    <row r="1017">
      <c r="A1017" s="56"/>
      <c r="B1017" s="79"/>
      <c r="C1017" s="80"/>
      <c r="D1017" s="80"/>
      <c r="E1017" s="80"/>
      <c r="F1017" s="80"/>
      <c r="G1017" s="80"/>
      <c r="H1017" s="80"/>
    </row>
    <row r="1018">
      <c r="A1018" s="56"/>
      <c r="B1018" s="79"/>
      <c r="C1018" s="80"/>
      <c r="D1018" s="80"/>
      <c r="E1018" s="80"/>
      <c r="F1018" s="80"/>
      <c r="G1018" s="80"/>
      <c r="H1018" s="80"/>
    </row>
    <row r="1019">
      <c r="A1019" s="56"/>
      <c r="B1019" s="79"/>
      <c r="C1019" s="80"/>
      <c r="D1019" s="80"/>
      <c r="E1019" s="80"/>
      <c r="F1019" s="80"/>
      <c r="G1019" s="80"/>
      <c r="H1019" s="80"/>
    </row>
    <row r="1020">
      <c r="A1020" s="56"/>
      <c r="B1020" s="79"/>
      <c r="C1020" s="80"/>
      <c r="D1020" s="80"/>
      <c r="E1020" s="80"/>
      <c r="F1020" s="80"/>
      <c r="G1020" s="80"/>
      <c r="H1020" s="80"/>
    </row>
    <row r="1021">
      <c r="A1021" s="56"/>
      <c r="B1021" s="79"/>
      <c r="C1021" s="80"/>
      <c r="D1021" s="80"/>
      <c r="E1021" s="80"/>
      <c r="F1021" s="80"/>
      <c r="G1021" s="80"/>
      <c r="H1021" s="80"/>
    </row>
    <row r="1022">
      <c r="A1022" s="56"/>
      <c r="B1022" s="79"/>
      <c r="C1022" s="80"/>
      <c r="D1022" s="80"/>
      <c r="E1022" s="80"/>
      <c r="F1022" s="80"/>
      <c r="G1022" s="80"/>
      <c r="H1022" s="80"/>
    </row>
    <row r="1023">
      <c r="A1023" s="56"/>
      <c r="B1023" s="79"/>
      <c r="C1023" s="80"/>
      <c r="D1023" s="80"/>
      <c r="E1023" s="80"/>
      <c r="F1023" s="80"/>
      <c r="G1023" s="80"/>
      <c r="H1023" s="80"/>
    </row>
    <row r="1024">
      <c r="A1024" s="56"/>
      <c r="B1024" s="79"/>
      <c r="C1024" s="80"/>
      <c r="D1024" s="80"/>
      <c r="E1024" s="80"/>
      <c r="F1024" s="80"/>
      <c r="G1024" s="80"/>
      <c r="H1024" s="80"/>
    </row>
    <row r="1025">
      <c r="A1025" s="56"/>
      <c r="B1025" s="79"/>
      <c r="C1025" s="80"/>
      <c r="D1025" s="80"/>
      <c r="E1025" s="80"/>
      <c r="F1025" s="80"/>
      <c r="G1025" s="80"/>
      <c r="H1025" s="80"/>
    </row>
    <row r="1026">
      <c r="A1026" s="56"/>
      <c r="B1026" s="79"/>
      <c r="C1026" s="80"/>
      <c r="D1026" s="80"/>
      <c r="E1026" s="80"/>
      <c r="F1026" s="80"/>
      <c r="G1026" s="80"/>
      <c r="H1026" s="80"/>
    </row>
    <row r="1027">
      <c r="A1027" s="56"/>
      <c r="B1027" s="79"/>
      <c r="C1027" s="80"/>
      <c r="D1027" s="80"/>
      <c r="E1027" s="80"/>
      <c r="F1027" s="80"/>
      <c r="G1027" s="80"/>
      <c r="H1027" s="80"/>
    </row>
    <row r="1028">
      <c r="A1028" s="56"/>
      <c r="B1028" s="79"/>
      <c r="C1028" s="80"/>
      <c r="D1028" s="80"/>
      <c r="E1028" s="80"/>
      <c r="F1028" s="80"/>
      <c r="G1028" s="80"/>
      <c r="H1028" s="80"/>
    </row>
    <row r="1029">
      <c r="A1029" s="56"/>
      <c r="B1029" s="79"/>
      <c r="C1029" s="80"/>
      <c r="D1029" s="80"/>
      <c r="E1029" s="80"/>
      <c r="F1029" s="80"/>
      <c r="G1029" s="80"/>
      <c r="H1029" s="80"/>
    </row>
    <row r="1030">
      <c r="A1030" s="56"/>
      <c r="B1030" s="79"/>
      <c r="C1030" s="80"/>
      <c r="D1030" s="80"/>
      <c r="E1030" s="80"/>
      <c r="F1030" s="80"/>
      <c r="G1030" s="80"/>
      <c r="H1030" s="80"/>
    </row>
    <row r="1031">
      <c r="A1031" s="56"/>
      <c r="B1031" s="79"/>
      <c r="C1031" s="80"/>
      <c r="D1031" s="80"/>
      <c r="E1031" s="80"/>
      <c r="F1031" s="80"/>
      <c r="G1031" s="80"/>
      <c r="H1031" s="80"/>
    </row>
    <row r="1032">
      <c r="A1032" s="56"/>
      <c r="B1032" s="79"/>
      <c r="C1032" s="80"/>
      <c r="D1032" s="80"/>
      <c r="E1032" s="80"/>
      <c r="F1032" s="80"/>
      <c r="G1032" s="80"/>
      <c r="H1032" s="80"/>
    </row>
    <row r="1033">
      <c r="A1033" s="56"/>
      <c r="B1033" s="79"/>
      <c r="C1033" s="80"/>
      <c r="D1033" s="80"/>
      <c r="E1033" s="80"/>
      <c r="F1033" s="80"/>
      <c r="G1033" s="80"/>
      <c r="H1033" s="80"/>
    </row>
    <row r="1034">
      <c r="A1034" s="56"/>
      <c r="B1034" s="79"/>
      <c r="C1034" s="80"/>
      <c r="D1034" s="80"/>
      <c r="E1034" s="80"/>
      <c r="F1034" s="80"/>
      <c r="G1034" s="80"/>
      <c r="H1034" s="80"/>
    </row>
    <row r="1035">
      <c r="A1035" s="56"/>
      <c r="B1035" s="79"/>
      <c r="C1035" s="80"/>
      <c r="D1035" s="80"/>
      <c r="E1035" s="80"/>
      <c r="F1035" s="80"/>
      <c r="G1035" s="80"/>
      <c r="H1035" s="80"/>
    </row>
    <row r="1036">
      <c r="A1036" s="56"/>
      <c r="B1036" s="79"/>
      <c r="C1036" s="80"/>
      <c r="D1036" s="80"/>
      <c r="E1036" s="80"/>
      <c r="F1036" s="80"/>
      <c r="G1036" s="80"/>
      <c r="H1036" s="80"/>
    </row>
    <row r="1037">
      <c r="A1037" s="56"/>
      <c r="B1037" s="79"/>
      <c r="C1037" s="80"/>
      <c r="D1037" s="80"/>
      <c r="E1037" s="80"/>
      <c r="F1037" s="80"/>
      <c r="G1037" s="80"/>
      <c r="H1037" s="80"/>
    </row>
    <row r="1038">
      <c r="A1038" s="56"/>
      <c r="B1038" s="79"/>
      <c r="C1038" s="80"/>
      <c r="D1038" s="80"/>
      <c r="E1038" s="80"/>
      <c r="F1038" s="80"/>
      <c r="G1038" s="80"/>
      <c r="H1038" s="80"/>
    </row>
    <row r="1039">
      <c r="A1039" s="56"/>
      <c r="B1039" s="79"/>
      <c r="C1039" s="80"/>
      <c r="D1039" s="80"/>
      <c r="E1039" s="80"/>
      <c r="F1039" s="80"/>
      <c r="G1039" s="80"/>
      <c r="H1039" s="80"/>
    </row>
    <row r="1040">
      <c r="A1040" s="56"/>
      <c r="B1040" s="79"/>
      <c r="C1040" s="80"/>
      <c r="D1040" s="80"/>
      <c r="E1040" s="80"/>
      <c r="F1040" s="80"/>
      <c r="G1040" s="80"/>
      <c r="H1040" s="80"/>
    </row>
    <row r="1041">
      <c r="A1041" s="56"/>
      <c r="B1041" s="79"/>
      <c r="C1041" s="80"/>
      <c r="D1041" s="80"/>
      <c r="E1041" s="80"/>
      <c r="F1041" s="80"/>
      <c r="G1041" s="80"/>
      <c r="H1041" s="80"/>
    </row>
    <row r="1042">
      <c r="A1042" s="56"/>
      <c r="B1042" s="79"/>
      <c r="C1042" s="80"/>
      <c r="D1042" s="80"/>
      <c r="E1042" s="80"/>
      <c r="F1042" s="80"/>
      <c r="G1042" s="80"/>
      <c r="H1042" s="80"/>
    </row>
    <row r="1043">
      <c r="A1043" s="56"/>
      <c r="B1043" s="79"/>
      <c r="C1043" s="80"/>
      <c r="D1043" s="80"/>
      <c r="E1043" s="80"/>
      <c r="F1043" s="80"/>
      <c r="G1043" s="80"/>
      <c r="H1043" s="80"/>
    </row>
    <row r="1044">
      <c r="A1044" s="56"/>
      <c r="B1044" s="79"/>
      <c r="C1044" s="80"/>
      <c r="D1044" s="80"/>
      <c r="E1044" s="80"/>
      <c r="F1044" s="80"/>
      <c r="G1044" s="80"/>
      <c r="H1044" s="80"/>
    </row>
    <row r="1045">
      <c r="A1045" s="56"/>
      <c r="B1045" s="79"/>
      <c r="C1045" s="80"/>
      <c r="D1045" s="80"/>
      <c r="E1045" s="80"/>
      <c r="F1045" s="80"/>
      <c r="G1045" s="80"/>
      <c r="H1045" s="80"/>
    </row>
    <row r="1046">
      <c r="A1046" s="56"/>
      <c r="B1046" s="79"/>
      <c r="C1046" s="80"/>
      <c r="D1046" s="80"/>
      <c r="E1046" s="80"/>
      <c r="F1046" s="80"/>
      <c r="G1046" s="80"/>
      <c r="H1046" s="80"/>
    </row>
    <row r="1047">
      <c r="A1047" s="56"/>
      <c r="B1047" s="79"/>
      <c r="C1047" s="80"/>
      <c r="D1047" s="80"/>
      <c r="E1047" s="80"/>
      <c r="F1047" s="80"/>
      <c r="G1047" s="80"/>
      <c r="H1047" s="80"/>
    </row>
    <row r="1048">
      <c r="A1048" s="56"/>
      <c r="B1048" s="79"/>
      <c r="C1048" s="80"/>
      <c r="D1048" s="80"/>
      <c r="E1048" s="80"/>
      <c r="F1048" s="80"/>
      <c r="G1048" s="80"/>
      <c r="H1048" s="80"/>
    </row>
    <row r="1049">
      <c r="A1049" s="56"/>
      <c r="B1049" s="79"/>
      <c r="C1049" s="80"/>
      <c r="D1049" s="80"/>
      <c r="E1049" s="80"/>
      <c r="F1049" s="80"/>
      <c r="G1049" s="80"/>
      <c r="H1049" s="80"/>
    </row>
    <row r="1050">
      <c r="A1050" s="56"/>
      <c r="B1050" s="79"/>
      <c r="C1050" s="80"/>
      <c r="D1050" s="80"/>
      <c r="E1050" s="80"/>
      <c r="F1050" s="80"/>
      <c r="G1050" s="80"/>
      <c r="H1050" s="80"/>
    </row>
    <row r="1051">
      <c r="A1051" s="56"/>
      <c r="B1051" s="79"/>
      <c r="C1051" s="80"/>
      <c r="D1051" s="80"/>
      <c r="E1051" s="80"/>
      <c r="F1051" s="80"/>
      <c r="G1051" s="80"/>
      <c r="H1051" s="80"/>
    </row>
    <row r="1052">
      <c r="A1052" s="56"/>
      <c r="B1052" s="79"/>
      <c r="C1052" s="80"/>
      <c r="D1052" s="80"/>
      <c r="E1052" s="80"/>
      <c r="F1052" s="80"/>
      <c r="G1052" s="80"/>
      <c r="H1052" s="80"/>
    </row>
    <row r="1053">
      <c r="A1053" s="56"/>
      <c r="B1053" s="79"/>
      <c r="C1053" s="80"/>
      <c r="D1053" s="80"/>
      <c r="E1053" s="80"/>
      <c r="F1053" s="80"/>
      <c r="G1053" s="80"/>
      <c r="H1053" s="80"/>
    </row>
    <row r="1054">
      <c r="A1054" s="56"/>
      <c r="B1054" s="79"/>
      <c r="C1054" s="80"/>
      <c r="D1054" s="80"/>
      <c r="E1054" s="80"/>
      <c r="F1054" s="80"/>
      <c r="G1054" s="80"/>
      <c r="H1054" s="80"/>
    </row>
    <row r="1055">
      <c r="A1055" s="56"/>
      <c r="B1055" s="79"/>
      <c r="C1055" s="80"/>
      <c r="D1055" s="80"/>
      <c r="E1055" s="80"/>
      <c r="F1055" s="80"/>
      <c r="G1055" s="80"/>
      <c r="H1055" s="80"/>
    </row>
    <row r="1056">
      <c r="A1056" s="56"/>
      <c r="B1056" s="79"/>
      <c r="C1056" s="80"/>
      <c r="D1056" s="80"/>
      <c r="E1056" s="80"/>
      <c r="F1056" s="80"/>
      <c r="G1056" s="80"/>
      <c r="H1056" s="80"/>
    </row>
    <row r="1057">
      <c r="A1057" s="56"/>
      <c r="B1057" s="79"/>
      <c r="C1057" s="80"/>
      <c r="D1057" s="80"/>
      <c r="E1057" s="80"/>
      <c r="F1057" s="80"/>
      <c r="G1057" s="80"/>
      <c r="H1057" s="80"/>
    </row>
    <row r="1058">
      <c r="A1058" s="56"/>
      <c r="B1058" s="79"/>
      <c r="C1058" s="80"/>
      <c r="D1058" s="80"/>
      <c r="E1058" s="80"/>
      <c r="F1058" s="80"/>
      <c r="G1058" s="80"/>
      <c r="H1058" s="80"/>
    </row>
    <row r="1059">
      <c r="A1059" s="56"/>
      <c r="B1059" s="79"/>
      <c r="C1059" s="80"/>
      <c r="D1059" s="80"/>
      <c r="E1059" s="80"/>
      <c r="F1059" s="80"/>
      <c r="G1059" s="80"/>
      <c r="H1059" s="80"/>
    </row>
    <row r="1060">
      <c r="A1060" s="56"/>
      <c r="B1060" s="79"/>
      <c r="C1060" s="80"/>
      <c r="D1060" s="80"/>
      <c r="E1060" s="80"/>
      <c r="F1060" s="80"/>
      <c r="G1060" s="80"/>
      <c r="H1060" s="80"/>
    </row>
    <row r="1061">
      <c r="A1061" s="56"/>
      <c r="B1061" s="79"/>
      <c r="C1061" s="80"/>
      <c r="D1061" s="80"/>
      <c r="E1061" s="80"/>
      <c r="F1061" s="80"/>
      <c r="G1061" s="80"/>
      <c r="H1061" s="80"/>
    </row>
    <row r="1062">
      <c r="A1062" s="56"/>
      <c r="B1062" s="79"/>
      <c r="C1062" s="80"/>
      <c r="D1062" s="80"/>
      <c r="E1062" s="80"/>
      <c r="F1062" s="80"/>
      <c r="G1062" s="80"/>
      <c r="H1062" s="80"/>
    </row>
    <row r="1063">
      <c r="A1063" s="56"/>
      <c r="B1063" s="79"/>
      <c r="C1063" s="80"/>
      <c r="D1063" s="80"/>
      <c r="E1063" s="80"/>
      <c r="F1063" s="80"/>
      <c r="G1063" s="80"/>
      <c r="H1063" s="80"/>
    </row>
    <row r="1064">
      <c r="A1064" s="56"/>
      <c r="B1064" s="79"/>
      <c r="C1064" s="80"/>
      <c r="D1064" s="80"/>
      <c r="E1064" s="80"/>
      <c r="F1064" s="80"/>
      <c r="G1064" s="80"/>
      <c r="H1064" s="80"/>
    </row>
    <row r="1065">
      <c r="A1065" s="56"/>
      <c r="B1065" s="79"/>
      <c r="C1065" s="80"/>
      <c r="D1065" s="80"/>
      <c r="E1065" s="80"/>
      <c r="F1065" s="80"/>
      <c r="G1065" s="80"/>
      <c r="H1065" s="80"/>
    </row>
    <row r="1066">
      <c r="A1066" s="56"/>
      <c r="B1066" s="79"/>
      <c r="C1066" s="80"/>
      <c r="D1066" s="80"/>
      <c r="E1066" s="80"/>
      <c r="F1066" s="80"/>
      <c r="G1066" s="80"/>
      <c r="H1066" s="80"/>
    </row>
    <row r="1067">
      <c r="A1067" s="56"/>
      <c r="B1067" s="79"/>
      <c r="C1067" s="80"/>
      <c r="D1067" s="80"/>
      <c r="E1067" s="80"/>
      <c r="F1067" s="80"/>
      <c r="G1067" s="80"/>
      <c r="H1067" s="80"/>
    </row>
    <row r="1068">
      <c r="A1068" s="56"/>
      <c r="B1068" s="79"/>
      <c r="C1068" s="80"/>
      <c r="D1068" s="80"/>
      <c r="E1068" s="80"/>
      <c r="F1068" s="80"/>
      <c r="G1068" s="80"/>
      <c r="H1068" s="80"/>
    </row>
    <row r="1069">
      <c r="A1069" s="56"/>
      <c r="B1069" s="79"/>
      <c r="C1069" s="80"/>
      <c r="D1069" s="80"/>
      <c r="E1069" s="80"/>
      <c r="F1069" s="80"/>
      <c r="G1069" s="80"/>
      <c r="H1069" s="80"/>
    </row>
    <row r="1070">
      <c r="A1070" s="56"/>
      <c r="B1070" s="79"/>
      <c r="C1070" s="80"/>
      <c r="D1070" s="80"/>
      <c r="E1070" s="80"/>
      <c r="F1070" s="80"/>
      <c r="G1070" s="80"/>
      <c r="H1070" s="80"/>
    </row>
    <row r="1071">
      <c r="A1071" s="56"/>
      <c r="B1071" s="79"/>
      <c r="C1071" s="80"/>
      <c r="D1071" s="80"/>
      <c r="E1071" s="80"/>
      <c r="F1071" s="80"/>
      <c r="G1071" s="80"/>
      <c r="H1071" s="80"/>
    </row>
    <row r="1072">
      <c r="A1072" s="56"/>
      <c r="B1072" s="79"/>
      <c r="C1072" s="80"/>
      <c r="D1072" s="80"/>
      <c r="E1072" s="80"/>
      <c r="F1072" s="80"/>
      <c r="G1072" s="80"/>
      <c r="H1072" s="80"/>
    </row>
    <row r="1073">
      <c r="A1073" s="56"/>
      <c r="B1073" s="79"/>
      <c r="C1073" s="80"/>
      <c r="D1073" s="80"/>
      <c r="E1073" s="80"/>
      <c r="F1073" s="80"/>
      <c r="G1073" s="80"/>
      <c r="H1073" s="80"/>
    </row>
    <row r="1074">
      <c r="A1074" s="56"/>
      <c r="B1074" s="79"/>
      <c r="C1074" s="80"/>
      <c r="D1074" s="80"/>
      <c r="E1074" s="80"/>
      <c r="F1074" s="80"/>
      <c r="G1074" s="80"/>
      <c r="H1074" s="80"/>
    </row>
    <row r="1075">
      <c r="A1075" s="56"/>
      <c r="B1075" s="79"/>
      <c r="C1075" s="80"/>
      <c r="D1075" s="80"/>
      <c r="E1075" s="80"/>
      <c r="F1075" s="80"/>
      <c r="G1075" s="80"/>
      <c r="H1075" s="80"/>
    </row>
    <row r="1076">
      <c r="A1076" s="56"/>
      <c r="B1076" s="79"/>
      <c r="C1076" s="80"/>
      <c r="D1076" s="80"/>
      <c r="E1076" s="80"/>
      <c r="F1076" s="80"/>
      <c r="G1076" s="80"/>
      <c r="H1076" s="80"/>
    </row>
    <row r="1077">
      <c r="A1077" s="56"/>
      <c r="B1077" s="79"/>
      <c r="C1077" s="80"/>
      <c r="D1077" s="80"/>
      <c r="E1077" s="80"/>
      <c r="F1077" s="80"/>
      <c r="G1077" s="80"/>
      <c r="H1077" s="80"/>
    </row>
    <row r="1078">
      <c r="A1078" s="56"/>
      <c r="B1078" s="79"/>
      <c r="C1078" s="80"/>
      <c r="D1078" s="80"/>
      <c r="E1078" s="80"/>
      <c r="F1078" s="80"/>
      <c r="G1078" s="80"/>
      <c r="H1078" s="80"/>
    </row>
    <row r="1079">
      <c r="A1079" s="56"/>
      <c r="B1079" s="79"/>
      <c r="C1079" s="80"/>
      <c r="D1079" s="80"/>
      <c r="E1079" s="80"/>
      <c r="F1079" s="80"/>
      <c r="G1079" s="80"/>
      <c r="H1079" s="80"/>
    </row>
    <row r="1080">
      <c r="A1080" s="56"/>
      <c r="B1080" s="79"/>
      <c r="C1080" s="80"/>
      <c r="D1080" s="80"/>
      <c r="E1080" s="80"/>
      <c r="F1080" s="80"/>
      <c r="G1080" s="80"/>
      <c r="H1080" s="80"/>
    </row>
    <row r="1081">
      <c r="A1081" s="56"/>
      <c r="B1081" s="79"/>
      <c r="C1081" s="80"/>
      <c r="D1081" s="80"/>
      <c r="E1081" s="80"/>
      <c r="F1081" s="80"/>
      <c r="G1081" s="80"/>
      <c r="H1081" s="80"/>
    </row>
    <row r="1082">
      <c r="A1082" s="56"/>
      <c r="B1082" s="79"/>
      <c r="C1082" s="80"/>
      <c r="D1082" s="80"/>
      <c r="E1082" s="80"/>
      <c r="F1082" s="80"/>
      <c r="G1082" s="80"/>
      <c r="H1082" s="80"/>
    </row>
    <row r="1083">
      <c r="A1083" s="56"/>
      <c r="B1083" s="79"/>
      <c r="C1083" s="80"/>
      <c r="D1083" s="80"/>
      <c r="E1083" s="80"/>
      <c r="F1083" s="80"/>
      <c r="G1083" s="80"/>
      <c r="H1083" s="80"/>
    </row>
    <row r="1084">
      <c r="A1084" s="56"/>
      <c r="B1084" s="79"/>
      <c r="C1084" s="80"/>
      <c r="D1084" s="80"/>
      <c r="E1084" s="80"/>
      <c r="F1084" s="80"/>
      <c r="G1084" s="80"/>
      <c r="H1084" s="80"/>
    </row>
    <row r="1085">
      <c r="A1085" s="56"/>
      <c r="B1085" s="79"/>
      <c r="C1085" s="80"/>
      <c r="D1085" s="80"/>
      <c r="E1085" s="80"/>
      <c r="F1085" s="80"/>
      <c r="G1085" s="80"/>
      <c r="H1085" s="80"/>
    </row>
    <row r="1086">
      <c r="A1086" s="56"/>
      <c r="B1086" s="79"/>
      <c r="C1086" s="80"/>
      <c r="D1086" s="80"/>
      <c r="E1086" s="80"/>
      <c r="F1086" s="80"/>
      <c r="G1086" s="80"/>
      <c r="H1086" s="80"/>
    </row>
    <row r="1087">
      <c r="A1087" s="56"/>
      <c r="B1087" s="79"/>
      <c r="C1087" s="80"/>
      <c r="D1087" s="80"/>
      <c r="E1087" s="80"/>
      <c r="F1087" s="80"/>
      <c r="G1087" s="80"/>
      <c r="H1087" s="80"/>
    </row>
    <row r="1088">
      <c r="A1088" s="56"/>
      <c r="B1088" s="79"/>
      <c r="C1088" s="80"/>
      <c r="D1088" s="80"/>
      <c r="E1088" s="80"/>
      <c r="F1088" s="80"/>
      <c r="G1088" s="80"/>
      <c r="H1088" s="80"/>
    </row>
    <row r="1089">
      <c r="A1089" s="56"/>
      <c r="B1089" s="79"/>
      <c r="C1089" s="80"/>
      <c r="D1089" s="80"/>
      <c r="E1089" s="80"/>
      <c r="F1089" s="80"/>
      <c r="G1089" s="80"/>
      <c r="H1089" s="80"/>
    </row>
    <row r="1090">
      <c r="A1090" s="56"/>
      <c r="B1090" s="79"/>
      <c r="C1090" s="80"/>
      <c r="D1090" s="80"/>
      <c r="E1090" s="80"/>
      <c r="F1090" s="80"/>
      <c r="G1090" s="80"/>
      <c r="H1090" s="80"/>
    </row>
    <row r="1091">
      <c r="A1091" s="56"/>
      <c r="B1091" s="79"/>
      <c r="C1091" s="80"/>
      <c r="D1091" s="80"/>
      <c r="E1091" s="80"/>
      <c r="F1091" s="80"/>
      <c r="G1091" s="80"/>
      <c r="H1091" s="80"/>
    </row>
    <row r="1092">
      <c r="A1092" s="56"/>
      <c r="B1092" s="79"/>
      <c r="C1092" s="80"/>
      <c r="D1092" s="80"/>
      <c r="E1092" s="80"/>
      <c r="F1092" s="80"/>
      <c r="G1092" s="80"/>
      <c r="H1092" s="80"/>
    </row>
    <row r="1093">
      <c r="A1093" s="56"/>
      <c r="B1093" s="79"/>
      <c r="C1093" s="80"/>
      <c r="D1093" s="80"/>
      <c r="E1093" s="80"/>
      <c r="F1093" s="80"/>
      <c r="G1093" s="80"/>
      <c r="H1093" s="80"/>
    </row>
    <row r="1094">
      <c r="A1094" s="56"/>
      <c r="B1094" s="79"/>
      <c r="C1094" s="80"/>
      <c r="D1094" s="80"/>
      <c r="E1094" s="80"/>
      <c r="F1094" s="80"/>
      <c r="G1094" s="80"/>
      <c r="H1094" s="80"/>
    </row>
    <row r="1095">
      <c r="A1095" s="56"/>
      <c r="B1095" s="79"/>
      <c r="C1095" s="80"/>
      <c r="D1095" s="80"/>
      <c r="E1095" s="80"/>
      <c r="F1095" s="80"/>
      <c r="G1095" s="80"/>
      <c r="H1095" s="80"/>
    </row>
    <row r="1096">
      <c r="A1096" s="56"/>
      <c r="B1096" s="79"/>
      <c r="C1096" s="80"/>
      <c r="D1096" s="80"/>
      <c r="E1096" s="80"/>
      <c r="F1096" s="80"/>
      <c r="G1096" s="80"/>
      <c r="H1096" s="80"/>
    </row>
    <row r="1097">
      <c r="A1097" s="56"/>
      <c r="B1097" s="79"/>
      <c r="C1097" s="80"/>
      <c r="D1097" s="80"/>
      <c r="E1097" s="80"/>
      <c r="F1097" s="80"/>
      <c r="G1097" s="80"/>
      <c r="H1097" s="80"/>
    </row>
    <row r="1098">
      <c r="A1098" s="56"/>
      <c r="B1098" s="79"/>
      <c r="C1098" s="80"/>
      <c r="D1098" s="80"/>
      <c r="E1098" s="80"/>
      <c r="F1098" s="80"/>
      <c r="G1098" s="80"/>
      <c r="H1098" s="80"/>
    </row>
    <row r="1099">
      <c r="A1099" s="56"/>
      <c r="B1099" s="79"/>
      <c r="C1099" s="80"/>
      <c r="D1099" s="80"/>
      <c r="E1099" s="80"/>
      <c r="F1099" s="80"/>
      <c r="G1099" s="80"/>
      <c r="H1099" s="80"/>
    </row>
    <row r="1100">
      <c r="A1100" s="56"/>
      <c r="B1100" s="79"/>
      <c r="C1100" s="80"/>
      <c r="D1100" s="80"/>
      <c r="E1100" s="80"/>
      <c r="F1100" s="80"/>
      <c r="G1100" s="80"/>
      <c r="H1100" s="80"/>
    </row>
    <row r="1101">
      <c r="A1101" s="56"/>
      <c r="B1101" s="79"/>
      <c r="C1101" s="80"/>
      <c r="D1101" s="80"/>
      <c r="E1101" s="80"/>
      <c r="F1101" s="80"/>
      <c r="G1101" s="80"/>
      <c r="H1101" s="80"/>
    </row>
    <row r="1102">
      <c r="A1102" s="56"/>
      <c r="B1102" s="79"/>
      <c r="C1102" s="80"/>
      <c r="D1102" s="80"/>
      <c r="E1102" s="80"/>
      <c r="F1102" s="80"/>
      <c r="G1102" s="80"/>
      <c r="H1102" s="80"/>
    </row>
    <row r="1103">
      <c r="A1103" s="56"/>
      <c r="B1103" s="79"/>
      <c r="C1103" s="80"/>
      <c r="D1103" s="80"/>
      <c r="E1103" s="80"/>
      <c r="F1103" s="80"/>
      <c r="G1103" s="80"/>
      <c r="H1103" s="80"/>
    </row>
    <row r="1104">
      <c r="A1104" s="56"/>
      <c r="B1104" s="79"/>
      <c r="C1104" s="80"/>
      <c r="D1104" s="80"/>
      <c r="E1104" s="80"/>
      <c r="F1104" s="80"/>
      <c r="G1104" s="80"/>
      <c r="H1104" s="80"/>
    </row>
    <row r="1105">
      <c r="A1105" s="56"/>
      <c r="B1105" s="79"/>
      <c r="C1105" s="80"/>
      <c r="D1105" s="80"/>
      <c r="E1105" s="80"/>
      <c r="F1105" s="80"/>
      <c r="G1105" s="80"/>
      <c r="H1105" s="80"/>
    </row>
    <row r="1106">
      <c r="A1106" s="56"/>
      <c r="B1106" s="79"/>
      <c r="C1106" s="80"/>
      <c r="D1106" s="80"/>
      <c r="E1106" s="80"/>
      <c r="F1106" s="80"/>
      <c r="G1106" s="80"/>
      <c r="H1106" s="80"/>
    </row>
    <row r="1107">
      <c r="A1107" s="56"/>
      <c r="B1107" s="79"/>
      <c r="C1107" s="80"/>
      <c r="D1107" s="80"/>
      <c r="E1107" s="80"/>
      <c r="F1107" s="80"/>
      <c r="G1107" s="80"/>
      <c r="H1107" s="80"/>
    </row>
    <row r="1108">
      <c r="A1108" s="56"/>
      <c r="B1108" s="79"/>
      <c r="C1108" s="80"/>
      <c r="D1108" s="80"/>
      <c r="E1108" s="80"/>
      <c r="F1108" s="80"/>
      <c r="G1108" s="80"/>
      <c r="H1108" s="80"/>
    </row>
    <row r="1109">
      <c r="A1109" s="56"/>
      <c r="B1109" s="79"/>
      <c r="C1109" s="80"/>
      <c r="D1109" s="80"/>
      <c r="E1109" s="80"/>
      <c r="F1109" s="80"/>
      <c r="G1109" s="80"/>
      <c r="H1109" s="80"/>
    </row>
    <row r="1110">
      <c r="A1110" s="56"/>
      <c r="B1110" s="79"/>
      <c r="C1110" s="80"/>
      <c r="D1110" s="80"/>
      <c r="E1110" s="80"/>
      <c r="F1110" s="80"/>
      <c r="G1110" s="80"/>
      <c r="H1110" s="80"/>
    </row>
    <row r="1111">
      <c r="A1111" s="56"/>
      <c r="B1111" s="79"/>
      <c r="C1111" s="80"/>
      <c r="D1111" s="80"/>
      <c r="E1111" s="80"/>
      <c r="F1111" s="80"/>
      <c r="G1111" s="80"/>
      <c r="H1111" s="80"/>
    </row>
    <row r="1112">
      <c r="A1112" s="56"/>
      <c r="B1112" s="79"/>
      <c r="C1112" s="80"/>
      <c r="D1112" s="80"/>
      <c r="E1112" s="80"/>
      <c r="F1112" s="80"/>
      <c r="G1112" s="80"/>
      <c r="H1112" s="80"/>
    </row>
    <row r="1113">
      <c r="A1113" s="56"/>
      <c r="B1113" s="79"/>
      <c r="C1113" s="80"/>
      <c r="D1113" s="80"/>
      <c r="E1113" s="80"/>
      <c r="F1113" s="80"/>
      <c r="G1113" s="80"/>
      <c r="H1113" s="80"/>
    </row>
    <row r="1114">
      <c r="A1114" s="56"/>
      <c r="B1114" s="79"/>
      <c r="C1114" s="80"/>
      <c r="D1114" s="80"/>
      <c r="E1114" s="80"/>
      <c r="F1114" s="80"/>
      <c r="G1114" s="80"/>
      <c r="H1114" s="80"/>
    </row>
    <row r="1115">
      <c r="A1115" s="56"/>
      <c r="B1115" s="79"/>
      <c r="C1115" s="80"/>
      <c r="D1115" s="80"/>
      <c r="E1115" s="80"/>
      <c r="F1115" s="80"/>
      <c r="G1115" s="80"/>
      <c r="H1115" s="80"/>
    </row>
    <row r="1116">
      <c r="A1116" s="56"/>
      <c r="B1116" s="79"/>
      <c r="C1116" s="80"/>
      <c r="D1116" s="80"/>
      <c r="E1116" s="80"/>
      <c r="F1116" s="80"/>
      <c r="G1116" s="80"/>
      <c r="H1116" s="80"/>
    </row>
    <row r="1117">
      <c r="A1117" s="56"/>
      <c r="B1117" s="79"/>
      <c r="C1117" s="80"/>
      <c r="D1117" s="80"/>
      <c r="E1117" s="80"/>
      <c r="F1117" s="80"/>
      <c r="G1117" s="80"/>
      <c r="H1117" s="80"/>
    </row>
    <row r="1118">
      <c r="A1118" s="56"/>
      <c r="B1118" s="79"/>
      <c r="C1118" s="80"/>
      <c r="D1118" s="80"/>
      <c r="E1118" s="80"/>
      <c r="F1118" s="80"/>
      <c r="G1118" s="80"/>
      <c r="H1118" s="80"/>
    </row>
    <row r="1119">
      <c r="A1119" s="56"/>
      <c r="B1119" s="79"/>
      <c r="C1119" s="80"/>
      <c r="D1119" s="80"/>
      <c r="E1119" s="80"/>
      <c r="F1119" s="80"/>
      <c r="G1119" s="80"/>
      <c r="H1119" s="80"/>
    </row>
    <row r="1120">
      <c r="A1120" s="56"/>
      <c r="B1120" s="79"/>
      <c r="C1120" s="80"/>
      <c r="D1120" s="80"/>
      <c r="E1120" s="80"/>
      <c r="F1120" s="80"/>
      <c r="G1120" s="80"/>
      <c r="H1120" s="80"/>
    </row>
    <row r="1121">
      <c r="A1121" s="56"/>
      <c r="B1121" s="79"/>
      <c r="C1121" s="80"/>
      <c r="D1121" s="80"/>
      <c r="E1121" s="80"/>
      <c r="F1121" s="80"/>
      <c r="G1121" s="80"/>
      <c r="H1121" s="80"/>
    </row>
    <row r="1122">
      <c r="A1122" s="56"/>
      <c r="B1122" s="79"/>
      <c r="C1122" s="80"/>
      <c r="D1122" s="80"/>
      <c r="E1122" s="80"/>
      <c r="F1122" s="80"/>
      <c r="G1122" s="80"/>
      <c r="H1122" s="80"/>
    </row>
    <row r="1123">
      <c r="A1123" s="56"/>
      <c r="B1123" s="79"/>
      <c r="C1123" s="80"/>
      <c r="D1123" s="80"/>
      <c r="E1123" s="80"/>
      <c r="F1123" s="80"/>
      <c r="G1123" s="80"/>
      <c r="H1123" s="80"/>
    </row>
    <row r="1124">
      <c r="A1124" s="56"/>
      <c r="B1124" s="79"/>
      <c r="C1124" s="80"/>
      <c r="D1124" s="80"/>
      <c r="E1124" s="80"/>
      <c r="F1124" s="80"/>
      <c r="G1124" s="80"/>
      <c r="H1124" s="80"/>
    </row>
    <row r="1125">
      <c r="A1125" s="56"/>
      <c r="B1125" s="79"/>
      <c r="C1125" s="80"/>
      <c r="D1125" s="80"/>
      <c r="E1125" s="80"/>
      <c r="F1125" s="80"/>
      <c r="G1125" s="80"/>
      <c r="H1125" s="80"/>
    </row>
    <row r="1126">
      <c r="A1126" s="56"/>
      <c r="B1126" s="79"/>
      <c r="C1126" s="80"/>
      <c r="D1126" s="80"/>
      <c r="E1126" s="80"/>
      <c r="F1126" s="80"/>
      <c r="G1126" s="80"/>
      <c r="H1126" s="80"/>
    </row>
    <row r="1127">
      <c r="A1127" s="56"/>
      <c r="B1127" s="79"/>
      <c r="C1127" s="80"/>
      <c r="D1127" s="80"/>
      <c r="E1127" s="80"/>
      <c r="F1127" s="80"/>
      <c r="G1127" s="80"/>
      <c r="H1127" s="80"/>
    </row>
    <row r="1128">
      <c r="A1128" s="56"/>
      <c r="B1128" s="79"/>
      <c r="C1128" s="80"/>
      <c r="D1128" s="80"/>
      <c r="E1128" s="80"/>
      <c r="F1128" s="80"/>
      <c r="G1128" s="80"/>
      <c r="H1128" s="80"/>
    </row>
    <row r="1129">
      <c r="A1129" s="56"/>
      <c r="B1129" s="79"/>
      <c r="C1129" s="80"/>
      <c r="D1129" s="80"/>
      <c r="E1129" s="80"/>
      <c r="F1129" s="80"/>
      <c r="G1129" s="80"/>
      <c r="H1129" s="80"/>
    </row>
    <row r="1130">
      <c r="A1130" s="56"/>
      <c r="B1130" s="79"/>
      <c r="C1130" s="80"/>
      <c r="D1130" s="80"/>
      <c r="E1130" s="80"/>
      <c r="F1130" s="80"/>
      <c r="G1130" s="80"/>
      <c r="H1130" s="80"/>
    </row>
    <row r="1131">
      <c r="A1131" s="56"/>
      <c r="B1131" s="79"/>
      <c r="C1131" s="80"/>
      <c r="D1131" s="80"/>
      <c r="E1131" s="80"/>
      <c r="F1131" s="80"/>
      <c r="G1131" s="80"/>
      <c r="H1131" s="80"/>
    </row>
    <row r="1132">
      <c r="A1132" s="56"/>
      <c r="B1132" s="79"/>
      <c r="C1132" s="80"/>
      <c r="D1132" s="80"/>
      <c r="E1132" s="80"/>
      <c r="F1132" s="80"/>
      <c r="G1132" s="80"/>
      <c r="H1132" s="80"/>
    </row>
    <row r="1133">
      <c r="A1133" s="56"/>
      <c r="B1133" s="79"/>
      <c r="C1133" s="80"/>
      <c r="D1133" s="80"/>
      <c r="E1133" s="80"/>
      <c r="F1133" s="80"/>
      <c r="G1133" s="80"/>
      <c r="H1133" s="80"/>
    </row>
    <row r="1134">
      <c r="A1134" s="56"/>
      <c r="B1134" s="79"/>
      <c r="C1134" s="80"/>
      <c r="D1134" s="80"/>
      <c r="E1134" s="80"/>
      <c r="F1134" s="80"/>
      <c r="G1134" s="80"/>
      <c r="H1134" s="80"/>
    </row>
    <row r="1135">
      <c r="A1135" s="56"/>
      <c r="B1135" s="79"/>
      <c r="C1135" s="80"/>
      <c r="D1135" s="80"/>
      <c r="E1135" s="80"/>
      <c r="F1135" s="80"/>
      <c r="G1135" s="80"/>
      <c r="H1135" s="80"/>
    </row>
    <row r="1136">
      <c r="A1136" s="56"/>
      <c r="B1136" s="79"/>
      <c r="C1136" s="80"/>
      <c r="D1136" s="80"/>
      <c r="E1136" s="80"/>
      <c r="F1136" s="80"/>
      <c r="G1136" s="80"/>
      <c r="H1136" s="80"/>
    </row>
    <row r="1137">
      <c r="A1137" s="56"/>
      <c r="B1137" s="79"/>
      <c r="C1137" s="80"/>
      <c r="D1137" s="80"/>
      <c r="E1137" s="80"/>
      <c r="F1137" s="80"/>
      <c r="G1137" s="80"/>
      <c r="H1137" s="80"/>
    </row>
    <row r="1138">
      <c r="A1138" s="56"/>
      <c r="B1138" s="79"/>
      <c r="C1138" s="80"/>
      <c r="D1138" s="80"/>
      <c r="E1138" s="80"/>
      <c r="F1138" s="80"/>
      <c r="G1138" s="80"/>
      <c r="H1138" s="80"/>
    </row>
    <row r="1139">
      <c r="A1139" s="56"/>
      <c r="B1139" s="79"/>
      <c r="C1139" s="80"/>
      <c r="D1139" s="80"/>
      <c r="E1139" s="80"/>
      <c r="F1139" s="80"/>
      <c r="G1139" s="80"/>
      <c r="H1139" s="80"/>
    </row>
    <row r="1140">
      <c r="A1140" s="56"/>
      <c r="B1140" s="79"/>
      <c r="C1140" s="80"/>
      <c r="D1140" s="80"/>
      <c r="E1140" s="80"/>
      <c r="F1140" s="80"/>
      <c r="G1140" s="80"/>
      <c r="H1140" s="80"/>
    </row>
    <row r="1141">
      <c r="A1141" s="56"/>
      <c r="B1141" s="79"/>
      <c r="C1141" s="80"/>
      <c r="D1141" s="80"/>
      <c r="E1141" s="80"/>
      <c r="F1141" s="80"/>
      <c r="G1141" s="80"/>
      <c r="H1141" s="80"/>
    </row>
    <row r="1142">
      <c r="A1142" s="56"/>
      <c r="B1142" s="79"/>
      <c r="C1142" s="80"/>
      <c r="D1142" s="80"/>
      <c r="E1142" s="80"/>
      <c r="F1142" s="80"/>
      <c r="G1142" s="80"/>
      <c r="H1142" s="80"/>
    </row>
    <row r="1143">
      <c r="A1143" s="56"/>
      <c r="B1143" s="79"/>
      <c r="C1143" s="80"/>
      <c r="D1143" s="80"/>
      <c r="E1143" s="80"/>
      <c r="F1143" s="80"/>
      <c r="G1143" s="80"/>
      <c r="H1143" s="80"/>
    </row>
    <row r="1144">
      <c r="A1144" s="56"/>
      <c r="B1144" s="79"/>
      <c r="C1144" s="80"/>
      <c r="D1144" s="80"/>
      <c r="E1144" s="80"/>
      <c r="F1144" s="80"/>
      <c r="G1144" s="80"/>
      <c r="H1144" s="80"/>
    </row>
    <row r="1145">
      <c r="A1145" s="56"/>
      <c r="B1145" s="79"/>
      <c r="C1145" s="80"/>
      <c r="D1145" s="80"/>
      <c r="E1145" s="80"/>
      <c r="F1145" s="80"/>
      <c r="G1145" s="80"/>
      <c r="H1145" s="80"/>
    </row>
    <row r="1146">
      <c r="A1146" s="56"/>
      <c r="B1146" s="79"/>
      <c r="C1146" s="80"/>
      <c r="D1146" s="80"/>
      <c r="E1146" s="80"/>
      <c r="F1146" s="80"/>
      <c r="G1146" s="80"/>
      <c r="H1146" s="80"/>
    </row>
    <row r="1147">
      <c r="A1147" s="56"/>
      <c r="B1147" s="79"/>
      <c r="C1147" s="80"/>
      <c r="D1147" s="80"/>
      <c r="E1147" s="80"/>
      <c r="F1147" s="80"/>
      <c r="G1147" s="80"/>
      <c r="H1147" s="80"/>
    </row>
    <row r="1148">
      <c r="A1148" s="56"/>
      <c r="B1148" s="79"/>
      <c r="C1148" s="80"/>
      <c r="D1148" s="80"/>
      <c r="E1148" s="80"/>
      <c r="F1148" s="80"/>
      <c r="G1148" s="80"/>
      <c r="H1148" s="80"/>
    </row>
    <row r="1149">
      <c r="A1149" s="56"/>
      <c r="B1149" s="79"/>
      <c r="C1149" s="80"/>
      <c r="D1149" s="80"/>
      <c r="E1149" s="80"/>
      <c r="F1149" s="80"/>
      <c r="G1149" s="80"/>
      <c r="H1149" s="80"/>
    </row>
    <row r="1150">
      <c r="A1150" s="56"/>
      <c r="B1150" s="79"/>
      <c r="C1150" s="80"/>
      <c r="D1150" s="80"/>
      <c r="E1150" s="80"/>
      <c r="F1150" s="80"/>
      <c r="G1150" s="80"/>
      <c r="H1150" s="80"/>
    </row>
    <row r="1151">
      <c r="A1151" s="56"/>
      <c r="B1151" s="79"/>
      <c r="C1151" s="80"/>
      <c r="D1151" s="80"/>
      <c r="E1151" s="80"/>
      <c r="F1151" s="80"/>
      <c r="G1151" s="80"/>
      <c r="H1151" s="80"/>
    </row>
    <row r="1152">
      <c r="A1152" s="56"/>
      <c r="B1152" s="79"/>
      <c r="C1152" s="80"/>
      <c r="D1152" s="80"/>
      <c r="E1152" s="80"/>
      <c r="F1152" s="80"/>
      <c r="G1152" s="80"/>
      <c r="H1152" s="80"/>
    </row>
    <row r="1153">
      <c r="A1153" s="56"/>
      <c r="B1153" s="79"/>
      <c r="C1153" s="80"/>
      <c r="D1153" s="80"/>
      <c r="E1153" s="80"/>
      <c r="F1153" s="80"/>
      <c r="G1153" s="80"/>
      <c r="H1153" s="80"/>
    </row>
    <row r="1154">
      <c r="A1154" s="56"/>
      <c r="B1154" s="79"/>
      <c r="C1154" s="80"/>
      <c r="D1154" s="80"/>
      <c r="E1154" s="80"/>
      <c r="F1154" s="80"/>
      <c r="G1154" s="80"/>
      <c r="H1154" s="80"/>
    </row>
    <row r="1155">
      <c r="A1155" s="56"/>
      <c r="B1155" s="79"/>
      <c r="C1155" s="80"/>
      <c r="D1155" s="80"/>
      <c r="E1155" s="80"/>
      <c r="F1155" s="80"/>
      <c r="G1155" s="80"/>
      <c r="H1155" s="80"/>
    </row>
    <row r="1156">
      <c r="A1156" s="56"/>
      <c r="B1156" s="79"/>
      <c r="C1156" s="80"/>
      <c r="D1156" s="80"/>
      <c r="E1156" s="80"/>
      <c r="F1156" s="80"/>
      <c r="G1156" s="80"/>
      <c r="H1156" s="80"/>
    </row>
    <row r="1157">
      <c r="A1157" s="56"/>
      <c r="B1157" s="79"/>
      <c r="C1157" s="80"/>
      <c r="D1157" s="80"/>
      <c r="E1157" s="80"/>
      <c r="F1157" s="80"/>
      <c r="G1157" s="80"/>
      <c r="H1157" s="80"/>
    </row>
    <row r="1158">
      <c r="A1158" s="56"/>
      <c r="B1158" s="79"/>
      <c r="C1158" s="80"/>
      <c r="D1158" s="80"/>
      <c r="E1158" s="80"/>
      <c r="F1158" s="80"/>
      <c r="G1158" s="80"/>
      <c r="H1158" s="80"/>
    </row>
    <row r="1159">
      <c r="A1159" s="56"/>
      <c r="B1159" s="79"/>
      <c r="C1159" s="80"/>
      <c r="D1159" s="80"/>
      <c r="E1159" s="80"/>
      <c r="F1159" s="80"/>
      <c r="G1159" s="80"/>
      <c r="H1159" s="80"/>
    </row>
    <row r="1160">
      <c r="A1160" s="56"/>
      <c r="B1160" s="79"/>
      <c r="C1160" s="80"/>
      <c r="D1160" s="80"/>
      <c r="E1160" s="80"/>
      <c r="F1160" s="80"/>
      <c r="G1160" s="80"/>
      <c r="H1160" s="80"/>
    </row>
    <row r="1161">
      <c r="A1161" s="56"/>
      <c r="B1161" s="79"/>
      <c r="C1161" s="80"/>
      <c r="D1161" s="80"/>
      <c r="E1161" s="80"/>
      <c r="F1161" s="80"/>
      <c r="G1161" s="80"/>
      <c r="H1161" s="80"/>
    </row>
    <row r="1162">
      <c r="A1162" s="56"/>
      <c r="B1162" s="79"/>
      <c r="C1162" s="80"/>
      <c r="D1162" s="80"/>
      <c r="E1162" s="80"/>
      <c r="F1162" s="80"/>
      <c r="G1162" s="80"/>
      <c r="H1162" s="80"/>
    </row>
    <row r="1163">
      <c r="A1163" s="56"/>
      <c r="B1163" s="79"/>
      <c r="C1163" s="80"/>
      <c r="D1163" s="80"/>
      <c r="E1163" s="80"/>
      <c r="F1163" s="80"/>
      <c r="G1163" s="80"/>
      <c r="H1163" s="80"/>
    </row>
    <row r="1164">
      <c r="A1164" s="56"/>
      <c r="B1164" s="79"/>
      <c r="C1164" s="80"/>
      <c r="D1164" s="80"/>
      <c r="E1164" s="80"/>
      <c r="F1164" s="80"/>
      <c r="G1164" s="80"/>
      <c r="H1164" s="80"/>
    </row>
    <row r="1165">
      <c r="A1165" s="56"/>
      <c r="B1165" s="79"/>
      <c r="C1165" s="80"/>
      <c r="D1165" s="80"/>
      <c r="E1165" s="80"/>
      <c r="F1165" s="80"/>
      <c r="G1165" s="80"/>
      <c r="H1165" s="80"/>
    </row>
    <row r="1166">
      <c r="A1166" s="56"/>
      <c r="B1166" s="79"/>
      <c r="C1166" s="80"/>
      <c r="D1166" s="80"/>
      <c r="E1166" s="80"/>
      <c r="F1166" s="80"/>
      <c r="G1166" s="80"/>
      <c r="H1166" s="80"/>
    </row>
    <row r="1167">
      <c r="A1167" s="56"/>
      <c r="B1167" s="79"/>
      <c r="C1167" s="80"/>
      <c r="D1167" s="80"/>
      <c r="E1167" s="80"/>
      <c r="F1167" s="80"/>
      <c r="G1167" s="80"/>
      <c r="H1167" s="80"/>
    </row>
    <row r="1168">
      <c r="A1168" s="56"/>
      <c r="B1168" s="79"/>
      <c r="C1168" s="80"/>
      <c r="D1168" s="80"/>
      <c r="E1168" s="80"/>
      <c r="F1168" s="80"/>
      <c r="G1168" s="80"/>
      <c r="H1168" s="80"/>
    </row>
    <row r="1169">
      <c r="A1169" s="56"/>
      <c r="B1169" s="79"/>
      <c r="C1169" s="80"/>
      <c r="D1169" s="80"/>
      <c r="E1169" s="80"/>
      <c r="F1169" s="80"/>
      <c r="G1169" s="80"/>
      <c r="H1169" s="80"/>
    </row>
    <row r="1170">
      <c r="A1170" s="56"/>
      <c r="B1170" s="79"/>
      <c r="C1170" s="80"/>
      <c r="D1170" s="80"/>
      <c r="E1170" s="80"/>
      <c r="F1170" s="80"/>
      <c r="G1170" s="80"/>
      <c r="H1170" s="80"/>
    </row>
    <row r="1171">
      <c r="A1171" s="56"/>
      <c r="B1171" s="79"/>
      <c r="C1171" s="80"/>
      <c r="D1171" s="80"/>
      <c r="E1171" s="80"/>
      <c r="F1171" s="80"/>
      <c r="G1171" s="80"/>
      <c r="H1171" s="80"/>
    </row>
    <row r="1172">
      <c r="A1172" s="56"/>
      <c r="B1172" s="79"/>
      <c r="C1172" s="80"/>
      <c r="D1172" s="80"/>
      <c r="E1172" s="80"/>
      <c r="F1172" s="80"/>
      <c r="G1172" s="80"/>
      <c r="H1172" s="80"/>
    </row>
    <row r="1173">
      <c r="A1173" s="56"/>
      <c r="B1173" s="79"/>
      <c r="C1173" s="80"/>
      <c r="D1173" s="80"/>
      <c r="E1173" s="80"/>
      <c r="F1173" s="80"/>
      <c r="G1173" s="80"/>
      <c r="H1173" s="80"/>
    </row>
    <row r="1174">
      <c r="A1174" s="56"/>
      <c r="B1174" s="79"/>
      <c r="C1174" s="80"/>
      <c r="D1174" s="80"/>
      <c r="E1174" s="80"/>
      <c r="F1174" s="80"/>
      <c r="G1174" s="80"/>
      <c r="H1174" s="80"/>
    </row>
    <row r="1175">
      <c r="A1175" s="56"/>
      <c r="B1175" s="79"/>
      <c r="C1175" s="80"/>
      <c r="D1175" s="80"/>
      <c r="E1175" s="80"/>
      <c r="F1175" s="80"/>
      <c r="G1175" s="80"/>
      <c r="H1175" s="80"/>
    </row>
    <row r="1176">
      <c r="A1176" s="56"/>
      <c r="B1176" s="79"/>
      <c r="C1176" s="80"/>
      <c r="D1176" s="80"/>
      <c r="E1176" s="80"/>
      <c r="F1176" s="80"/>
      <c r="G1176" s="80"/>
      <c r="H1176" s="80"/>
    </row>
    <row r="1177">
      <c r="A1177" s="56"/>
      <c r="B1177" s="79"/>
      <c r="C1177" s="80"/>
      <c r="D1177" s="80"/>
      <c r="E1177" s="80"/>
      <c r="F1177" s="80"/>
      <c r="G1177" s="80"/>
      <c r="H1177" s="80"/>
    </row>
    <row r="1178">
      <c r="A1178" s="56"/>
      <c r="B1178" s="79"/>
      <c r="C1178" s="80"/>
      <c r="D1178" s="80"/>
      <c r="E1178" s="80"/>
      <c r="F1178" s="80"/>
      <c r="G1178" s="80"/>
      <c r="H1178" s="80"/>
    </row>
    <row r="1179">
      <c r="A1179" s="56"/>
      <c r="B1179" s="79"/>
      <c r="C1179" s="80"/>
      <c r="D1179" s="80"/>
      <c r="E1179" s="80"/>
      <c r="F1179" s="80"/>
      <c r="G1179" s="80"/>
      <c r="H1179" s="80"/>
    </row>
    <row r="1180">
      <c r="A1180" s="56"/>
      <c r="B1180" s="79"/>
      <c r="C1180" s="80"/>
      <c r="D1180" s="80"/>
      <c r="E1180" s="80"/>
      <c r="F1180" s="80"/>
      <c r="G1180" s="80"/>
      <c r="H1180" s="80"/>
    </row>
    <row r="1181">
      <c r="A1181" s="56"/>
      <c r="B1181" s="79"/>
      <c r="C1181" s="80"/>
      <c r="D1181" s="80"/>
      <c r="E1181" s="80"/>
      <c r="F1181" s="80"/>
      <c r="G1181" s="80"/>
      <c r="H1181" s="80"/>
    </row>
    <row r="1182">
      <c r="A1182" s="56"/>
      <c r="B1182" s="79"/>
      <c r="C1182" s="80"/>
      <c r="D1182" s="80"/>
      <c r="E1182" s="80"/>
      <c r="F1182" s="80"/>
      <c r="G1182" s="80"/>
      <c r="H1182" s="80"/>
    </row>
    <row r="1183">
      <c r="A1183" s="56"/>
      <c r="B1183" s="79"/>
      <c r="C1183" s="80"/>
      <c r="D1183" s="80"/>
      <c r="E1183" s="80"/>
      <c r="F1183" s="80"/>
      <c r="G1183" s="80"/>
      <c r="H1183" s="80"/>
    </row>
    <row r="1184">
      <c r="A1184" s="56"/>
      <c r="B1184" s="79"/>
      <c r="C1184" s="80"/>
      <c r="D1184" s="80"/>
      <c r="E1184" s="80"/>
      <c r="F1184" s="80"/>
      <c r="G1184" s="80"/>
      <c r="H1184" s="80"/>
    </row>
    <row r="1185">
      <c r="A1185" s="56"/>
      <c r="B1185" s="79"/>
      <c r="C1185" s="80"/>
      <c r="D1185" s="80"/>
      <c r="E1185" s="80"/>
      <c r="F1185" s="80"/>
      <c r="G1185" s="80"/>
      <c r="H1185" s="80"/>
    </row>
  </sheetData>
  <conditionalFormatting sqref="A1:A1001">
    <cfRule type="expression" dxfId="0" priority="1">
      <formula>COUNTIF(A:A,A1)&gt;1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 customWidth="1" min="3" max="3" width="16.38"/>
    <col customWidth="1" min="8" max="8" width="26.63"/>
  </cols>
  <sheetData>
    <row r="1">
      <c r="A1" s="81" t="s">
        <v>520</v>
      </c>
      <c r="B1" s="82" t="s">
        <v>521</v>
      </c>
      <c r="C1" s="82" t="s">
        <v>522</v>
      </c>
      <c r="D1" s="81" t="s">
        <v>523</v>
      </c>
      <c r="E1" s="81" t="s">
        <v>524</v>
      </c>
      <c r="F1" s="81" t="s">
        <v>525</v>
      </c>
      <c r="G1" s="81" t="s">
        <v>526</v>
      </c>
      <c r="H1" s="83" t="s">
        <v>527</v>
      </c>
      <c r="I1" s="83" t="s">
        <v>528</v>
      </c>
      <c r="J1" s="82" t="s">
        <v>529</v>
      </c>
      <c r="K1" s="81" t="s">
        <v>530</v>
      </c>
      <c r="L1" s="81" t="s">
        <v>531</v>
      </c>
      <c r="M1" s="80" t="s">
        <v>532</v>
      </c>
      <c r="N1" s="80"/>
      <c r="O1" s="80"/>
      <c r="P1" s="80"/>
      <c r="Q1" s="80"/>
      <c r="R1" s="80"/>
      <c r="S1" s="80"/>
      <c r="T1" s="80"/>
      <c r="U1" s="80"/>
      <c r="V1" s="80"/>
      <c r="W1" s="80"/>
      <c r="X1" s="80"/>
      <c r="Y1" s="80"/>
      <c r="Z1" s="80"/>
    </row>
    <row r="2">
      <c r="A2" s="81">
        <v>451.0</v>
      </c>
      <c r="B2" s="82" t="s">
        <v>533</v>
      </c>
      <c r="C2" s="82" t="s">
        <v>534</v>
      </c>
      <c r="D2" s="84">
        <v>30000.0</v>
      </c>
      <c r="E2" s="84">
        <v>120.0</v>
      </c>
      <c r="F2" s="84">
        <v>1.0</v>
      </c>
      <c r="G2" s="84">
        <v>0.0</v>
      </c>
      <c r="H2" s="85">
        <v>46211.0</v>
      </c>
      <c r="I2" s="85">
        <v>46212.0</v>
      </c>
      <c r="J2" s="82" t="s">
        <v>535</v>
      </c>
      <c r="K2" s="86">
        <v>1162175.0</v>
      </c>
      <c r="L2" s="84">
        <v>2235015.8</v>
      </c>
      <c r="M2" s="80" t="s">
        <v>536</v>
      </c>
      <c r="N2" s="80"/>
      <c r="O2" s="80"/>
      <c r="P2" s="80"/>
      <c r="Q2" s="80"/>
      <c r="R2" s="80"/>
      <c r="S2" s="80"/>
      <c r="T2" s="80"/>
      <c r="U2" s="80"/>
      <c r="V2" s="80"/>
      <c r="W2" s="80"/>
      <c r="X2" s="80"/>
      <c r="Y2" s="80"/>
      <c r="Z2" s="80"/>
    </row>
    <row r="3">
      <c r="A3" s="81">
        <v>461.0</v>
      </c>
      <c r="B3" s="82" t="s">
        <v>533</v>
      </c>
      <c r="C3" s="82" t="s">
        <v>536</v>
      </c>
      <c r="D3" s="84">
        <v>30000.0</v>
      </c>
      <c r="E3" s="84">
        <v>180.0</v>
      </c>
      <c r="F3" s="84">
        <v>119.0</v>
      </c>
      <c r="G3" s="84">
        <v>9761.5</v>
      </c>
      <c r="H3" s="85">
        <v>46093.0</v>
      </c>
      <c r="I3" s="85">
        <v>46212.0</v>
      </c>
      <c r="J3" s="82" t="s">
        <v>535</v>
      </c>
      <c r="K3" s="86">
        <v>1152495.0</v>
      </c>
      <c r="L3" s="84">
        <v>1275107.79</v>
      </c>
      <c r="M3" s="80" t="s">
        <v>537</v>
      </c>
      <c r="N3" s="80"/>
      <c r="O3" s="80"/>
      <c r="P3" s="80"/>
      <c r="Q3" s="80"/>
      <c r="R3" s="80"/>
      <c r="S3" s="80"/>
      <c r="T3" s="80"/>
      <c r="U3" s="80"/>
      <c r="V3" s="80"/>
      <c r="W3" s="80"/>
      <c r="X3" s="80"/>
      <c r="Y3" s="80"/>
      <c r="Z3" s="80"/>
    </row>
    <row r="4">
      <c r="A4" s="81">
        <v>463.0</v>
      </c>
      <c r="B4" s="82" t="s">
        <v>533</v>
      </c>
      <c r="C4" s="82" t="s">
        <v>534</v>
      </c>
      <c r="D4" s="84">
        <v>30000.0</v>
      </c>
      <c r="E4" s="84">
        <v>120.0</v>
      </c>
      <c r="F4" s="84">
        <v>104.0</v>
      </c>
      <c r="G4" s="84">
        <v>29578.6</v>
      </c>
      <c r="H4" s="85">
        <v>46108.0</v>
      </c>
      <c r="I4" s="85">
        <v>46212.0</v>
      </c>
      <c r="J4" s="82" t="s">
        <v>535</v>
      </c>
      <c r="K4" s="86">
        <v>1154436.0</v>
      </c>
      <c r="L4" s="84">
        <v>1831940.26</v>
      </c>
      <c r="M4" s="80" t="s">
        <v>536</v>
      </c>
      <c r="N4" s="80"/>
      <c r="O4" s="80"/>
      <c r="P4" s="80"/>
      <c r="Q4" s="80"/>
      <c r="R4" s="80"/>
      <c r="S4" s="80"/>
      <c r="T4" s="80"/>
      <c r="U4" s="80"/>
      <c r="V4" s="80"/>
      <c r="W4" s="80"/>
      <c r="X4" s="80"/>
      <c r="Y4" s="80"/>
      <c r="Z4" s="80"/>
    </row>
    <row r="5">
      <c r="A5" s="81">
        <v>464.0</v>
      </c>
      <c r="B5" s="82" t="s">
        <v>533</v>
      </c>
      <c r="C5" s="82" t="s">
        <v>536</v>
      </c>
      <c r="D5" s="84">
        <v>30000.0</v>
      </c>
      <c r="E5" s="84">
        <v>120.0</v>
      </c>
      <c r="F5" s="84">
        <v>113.0</v>
      </c>
      <c r="G5" s="84">
        <v>6353.4</v>
      </c>
      <c r="H5" s="85">
        <v>46099.0</v>
      </c>
      <c r="I5" s="85">
        <v>46212.0</v>
      </c>
      <c r="J5" s="82" t="s">
        <v>535</v>
      </c>
      <c r="K5" s="86">
        <v>1153642.0</v>
      </c>
      <c r="L5" s="84">
        <v>1495074.81</v>
      </c>
      <c r="M5" s="80" t="s">
        <v>538</v>
      </c>
      <c r="N5" s="80"/>
      <c r="O5" s="80"/>
      <c r="P5" s="80"/>
      <c r="Q5" s="80"/>
      <c r="R5" s="80"/>
      <c r="S5" s="80"/>
      <c r="T5" s="80"/>
      <c r="U5" s="80"/>
      <c r="V5" s="80"/>
      <c r="W5" s="80"/>
      <c r="X5" s="80"/>
      <c r="Y5" s="80"/>
      <c r="Z5" s="80"/>
    </row>
    <row r="6">
      <c r="A6" s="81">
        <v>467.0</v>
      </c>
      <c r="B6" s="82" t="s">
        <v>533</v>
      </c>
      <c r="C6" s="82" t="s">
        <v>534</v>
      </c>
      <c r="D6" s="84">
        <v>30000.0</v>
      </c>
      <c r="E6" s="84">
        <v>120.0</v>
      </c>
      <c r="F6" s="84">
        <v>28.0</v>
      </c>
      <c r="G6" s="84">
        <v>10279.9</v>
      </c>
      <c r="H6" s="85">
        <v>46184.0</v>
      </c>
      <c r="I6" s="85">
        <v>46212.0</v>
      </c>
      <c r="J6" s="82" t="s">
        <v>535</v>
      </c>
      <c r="K6" s="86">
        <v>1161770.0</v>
      </c>
      <c r="L6" s="84">
        <v>1648403.39</v>
      </c>
      <c r="M6" s="80" t="s">
        <v>539</v>
      </c>
      <c r="N6" s="80"/>
      <c r="O6" s="80"/>
      <c r="P6" s="80"/>
      <c r="Q6" s="80"/>
      <c r="R6" s="80"/>
      <c r="S6" s="80"/>
      <c r="T6" s="80"/>
      <c r="U6" s="80"/>
      <c r="V6" s="80"/>
      <c r="W6" s="80"/>
      <c r="X6" s="80"/>
      <c r="Y6" s="80"/>
      <c r="Z6" s="80"/>
    </row>
    <row r="7">
      <c r="A7" s="81">
        <v>471.0</v>
      </c>
      <c r="B7" s="87" t="s">
        <v>533</v>
      </c>
      <c r="C7" s="82" t="s">
        <v>534</v>
      </c>
      <c r="D7" s="84">
        <v>30000.0</v>
      </c>
      <c r="E7" s="84">
        <v>120.0</v>
      </c>
      <c r="F7" s="84">
        <v>121.0</v>
      </c>
      <c r="G7" s="84">
        <v>40886.2</v>
      </c>
      <c r="H7" s="85">
        <v>46091.0</v>
      </c>
      <c r="I7" s="85">
        <v>46212.0</v>
      </c>
      <c r="J7" s="82" t="s">
        <v>540</v>
      </c>
      <c r="K7" s="86">
        <v>1152656.0</v>
      </c>
      <c r="L7" s="84">
        <v>1664739.08</v>
      </c>
      <c r="M7" s="80" t="s">
        <v>541</v>
      </c>
      <c r="N7" s="80"/>
      <c r="O7" s="80"/>
      <c r="P7" s="80"/>
      <c r="Q7" s="80"/>
      <c r="R7" s="80"/>
      <c r="S7" s="80"/>
      <c r="T7" s="80"/>
      <c r="U7" s="80"/>
      <c r="V7" s="80"/>
      <c r="W7" s="80"/>
      <c r="X7" s="80"/>
      <c r="Y7" s="80"/>
      <c r="Z7" s="80"/>
    </row>
    <row r="8">
      <c r="A8" s="81">
        <v>472.0</v>
      </c>
      <c r="B8" s="81" t="s">
        <v>533</v>
      </c>
      <c r="C8" s="81" t="s">
        <v>536</v>
      </c>
      <c r="D8" s="84">
        <v>30000.0</v>
      </c>
      <c r="E8" s="84">
        <v>180.0</v>
      </c>
      <c r="F8" s="84">
        <v>66.0</v>
      </c>
      <c r="G8" s="84">
        <v>7494.5</v>
      </c>
      <c r="H8" s="85">
        <v>46146.0</v>
      </c>
      <c r="I8" s="85">
        <v>46212.0</v>
      </c>
      <c r="J8" s="82" t="s">
        <v>535</v>
      </c>
      <c r="K8" s="86">
        <v>1158352.0</v>
      </c>
      <c r="L8" s="84">
        <v>1590122.86</v>
      </c>
      <c r="M8" s="80" t="s">
        <v>538</v>
      </c>
      <c r="N8" s="80"/>
      <c r="O8" s="80"/>
      <c r="P8" s="80"/>
      <c r="Q8" s="80"/>
      <c r="R8" s="80"/>
      <c r="S8" s="80"/>
      <c r="T8" s="80"/>
      <c r="U8" s="80"/>
      <c r="V8" s="80"/>
      <c r="W8" s="80"/>
      <c r="X8" s="80"/>
      <c r="Y8" s="80"/>
      <c r="Z8" s="80"/>
    </row>
    <row r="9">
      <c r="A9" s="81">
        <v>473.0</v>
      </c>
      <c r="B9" s="82" t="s">
        <v>533</v>
      </c>
      <c r="C9" s="82" t="s">
        <v>534</v>
      </c>
      <c r="D9" s="84">
        <v>30000.0</v>
      </c>
      <c r="E9" s="84">
        <v>120.0</v>
      </c>
      <c r="F9" s="84">
        <v>93.0</v>
      </c>
      <c r="G9" s="84">
        <v>895.0</v>
      </c>
      <c r="H9" s="85">
        <v>46119.0</v>
      </c>
      <c r="I9" s="85">
        <v>46212.0</v>
      </c>
      <c r="J9" s="82" t="s">
        <v>535</v>
      </c>
      <c r="K9" s="86">
        <v>1155268.0</v>
      </c>
      <c r="L9" s="84">
        <v>1701870.43</v>
      </c>
      <c r="M9" s="80" t="s">
        <v>536</v>
      </c>
      <c r="N9" s="80"/>
      <c r="O9" s="80"/>
      <c r="P9" s="80"/>
      <c r="Q9" s="80"/>
      <c r="R9" s="80"/>
      <c r="S9" s="80"/>
      <c r="T9" s="80"/>
      <c r="U9" s="80"/>
      <c r="V9" s="80"/>
      <c r="W9" s="80"/>
      <c r="X9" s="80"/>
      <c r="Y9" s="80"/>
      <c r="Z9" s="80"/>
    </row>
    <row r="10">
      <c r="A10" s="81">
        <v>475.0</v>
      </c>
      <c r="B10" s="82" t="s">
        <v>533</v>
      </c>
      <c r="C10" s="82" t="s">
        <v>534</v>
      </c>
      <c r="D10" s="84">
        <v>30000.0</v>
      </c>
      <c r="E10" s="84">
        <v>120.0</v>
      </c>
      <c r="F10" s="84">
        <v>80.0</v>
      </c>
      <c r="G10" s="84">
        <v>17594.3</v>
      </c>
      <c r="H10" s="85">
        <v>46132.0</v>
      </c>
      <c r="I10" s="85">
        <v>46212.0</v>
      </c>
      <c r="J10" s="82" t="s">
        <v>535</v>
      </c>
      <c r="K10" s="86">
        <v>1156745.0</v>
      </c>
      <c r="L10" s="84">
        <v>1624460.24</v>
      </c>
      <c r="M10" s="80" t="s">
        <v>542</v>
      </c>
      <c r="N10" s="80"/>
      <c r="O10" s="80"/>
      <c r="P10" s="80"/>
      <c r="Q10" s="80"/>
      <c r="R10" s="80"/>
      <c r="S10" s="80"/>
      <c r="T10" s="80"/>
      <c r="U10" s="80"/>
      <c r="V10" s="80"/>
      <c r="W10" s="80"/>
      <c r="X10" s="80"/>
      <c r="Y10" s="80"/>
      <c r="Z10" s="80"/>
    </row>
    <row r="11">
      <c r="A11" s="81">
        <v>477.0</v>
      </c>
      <c r="B11" s="82" t="s">
        <v>533</v>
      </c>
      <c r="C11" s="83" t="s">
        <v>534</v>
      </c>
      <c r="D11" s="84">
        <v>30000.0</v>
      </c>
      <c r="E11" s="84">
        <v>120.0</v>
      </c>
      <c r="F11" s="84">
        <v>35.0</v>
      </c>
      <c r="G11" s="84">
        <v>8993.9</v>
      </c>
      <c r="H11" s="85">
        <v>46177.0</v>
      </c>
      <c r="I11" s="85">
        <v>46212.0</v>
      </c>
      <c r="J11" s="82" t="s">
        <v>535</v>
      </c>
      <c r="K11" s="86">
        <v>1161596.0</v>
      </c>
      <c r="L11" s="84">
        <v>1587565.93</v>
      </c>
      <c r="M11" s="80" t="s">
        <v>539</v>
      </c>
      <c r="N11" s="80"/>
      <c r="O11" s="80"/>
      <c r="P11" s="80"/>
      <c r="Q11" s="80"/>
      <c r="R11" s="80"/>
      <c r="S11" s="80"/>
      <c r="T11" s="80"/>
      <c r="U11" s="80"/>
      <c r="V11" s="80"/>
      <c r="W11" s="80"/>
      <c r="X11" s="80"/>
      <c r="Y11" s="80"/>
      <c r="Z11" s="80"/>
    </row>
    <row r="12">
      <c r="A12" s="81">
        <v>478.0</v>
      </c>
      <c r="B12" s="82" t="s">
        <v>533</v>
      </c>
      <c r="C12" s="82" t="s">
        <v>534</v>
      </c>
      <c r="D12" s="84">
        <v>30000.0</v>
      </c>
      <c r="E12" s="84">
        <v>120.0</v>
      </c>
      <c r="F12" s="84">
        <v>28.0</v>
      </c>
      <c r="G12" s="84">
        <v>9439.1</v>
      </c>
      <c r="H12" s="85">
        <v>46184.0</v>
      </c>
      <c r="I12" s="85">
        <v>46212.0</v>
      </c>
      <c r="J12" s="82" t="s">
        <v>535</v>
      </c>
      <c r="K12" s="86">
        <v>1161769.0</v>
      </c>
      <c r="L12" s="84">
        <v>1461686.08</v>
      </c>
      <c r="M12" s="80" t="s">
        <v>539</v>
      </c>
      <c r="N12" s="80"/>
      <c r="O12" s="80"/>
      <c r="P12" s="80"/>
      <c r="Q12" s="80"/>
      <c r="R12" s="80"/>
      <c r="S12" s="80"/>
      <c r="T12" s="80"/>
      <c r="U12" s="80"/>
      <c r="V12" s="80"/>
      <c r="W12" s="80"/>
      <c r="X12" s="80"/>
      <c r="Y12" s="80"/>
      <c r="Z12" s="80"/>
    </row>
    <row r="13">
      <c r="A13" s="81">
        <v>481.0</v>
      </c>
      <c r="B13" s="82" t="s">
        <v>533</v>
      </c>
      <c r="C13" s="82" t="s">
        <v>536</v>
      </c>
      <c r="D13" s="84">
        <v>30000.0</v>
      </c>
      <c r="E13" s="84">
        <v>180.0</v>
      </c>
      <c r="F13" s="84">
        <v>176.0</v>
      </c>
      <c r="G13" s="84">
        <v>17198.2</v>
      </c>
      <c r="H13" s="85">
        <v>46036.0</v>
      </c>
      <c r="I13" s="85">
        <v>46212.0</v>
      </c>
      <c r="J13" s="82" t="s">
        <v>535</v>
      </c>
      <c r="K13" s="86">
        <v>1146210.0</v>
      </c>
      <c r="L13" s="84">
        <v>1128050.15</v>
      </c>
      <c r="M13" s="80" t="s">
        <v>536</v>
      </c>
      <c r="N13" s="80"/>
      <c r="O13" s="80"/>
      <c r="P13" s="80"/>
      <c r="Q13" s="80"/>
      <c r="R13" s="80"/>
      <c r="S13" s="80"/>
      <c r="T13" s="80"/>
      <c r="U13" s="80"/>
      <c r="V13" s="80"/>
      <c r="W13" s="80"/>
      <c r="X13" s="80"/>
      <c r="Y13" s="80"/>
      <c r="Z13" s="80"/>
    </row>
    <row r="14">
      <c r="A14" s="81">
        <v>487.0</v>
      </c>
      <c r="B14" s="82" t="s">
        <v>533</v>
      </c>
      <c r="C14" s="82" t="s">
        <v>536</v>
      </c>
      <c r="D14" s="84">
        <v>30000.0</v>
      </c>
      <c r="E14" s="84">
        <v>180.0</v>
      </c>
      <c r="F14" s="84">
        <v>175.0</v>
      </c>
      <c r="G14" s="84">
        <v>19236.6</v>
      </c>
      <c r="H14" s="85">
        <v>46037.0</v>
      </c>
      <c r="I14" s="85">
        <v>46212.0</v>
      </c>
      <c r="J14" s="82" t="s">
        <v>535</v>
      </c>
      <c r="K14" s="86">
        <v>1146209.0</v>
      </c>
      <c r="L14" s="84">
        <v>1522663.59</v>
      </c>
      <c r="M14" s="80" t="s">
        <v>543</v>
      </c>
      <c r="N14" s="80"/>
      <c r="O14" s="80"/>
      <c r="P14" s="80"/>
      <c r="Q14" s="80"/>
      <c r="R14" s="80"/>
      <c r="S14" s="80"/>
      <c r="T14" s="80"/>
      <c r="U14" s="80"/>
      <c r="V14" s="80"/>
      <c r="W14" s="80"/>
      <c r="X14" s="80"/>
      <c r="Y14" s="80"/>
      <c r="Z14" s="80"/>
    </row>
    <row r="15">
      <c r="A15" s="81">
        <v>493.0</v>
      </c>
      <c r="B15" s="82" t="s">
        <v>533</v>
      </c>
      <c r="C15" s="82" t="s">
        <v>534</v>
      </c>
      <c r="D15" s="84">
        <v>30000.0</v>
      </c>
      <c r="E15" s="84">
        <v>120.0</v>
      </c>
      <c r="F15" s="84">
        <v>57.0</v>
      </c>
      <c r="G15" s="84">
        <v>18101.7</v>
      </c>
      <c r="H15" s="85">
        <v>46155.0</v>
      </c>
      <c r="I15" s="85">
        <v>46212.0</v>
      </c>
      <c r="J15" s="82" t="s">
        <v>535</v>
      </c>
      <c r="K15" s="86">
        <v>1159511.0</v>
      </c>
      <c r="L15" s="84">
        <v>1421717.02</v>
      </c>
      <c r="M15" s="80" t="s">
        <v>536</v>
      </c>
      <c r="N15" s="80"/>
      <c r="O15" s="80"/>
      <c r="P15" s="80"/>
      <c r="Q15" s="80"/>
      <c r="R15" s="80"/>
      <c r="S15" s="80"/>
      <c r="T15" s="80"/>
      <c r="U15" s="80"/>
      <c r="V15" s="80"/>
      <c r="W15" s="80"/>
      <c r="X15" s="80"/>
      <c r="Y15" s="80"/>
      <c r="Z15" s="80"/>
    </row>
    <row r="16">
      <c r="A16" s="81">
        <v>494.0</v>
      </c>
      <c r="B16" s="82" t="s">
        <v>533</v>
      </c>
      <c r="C16" s="82" t="s">
        <v>534</v>
      </c>
      <c r="D16" s="84">
        <v>30000.0</v>
      </c>
      <c r="E16" s="84">
        <v>120.0</v>
      </c>
      <c r="F16" s="84">
        <v>1.0</v>
      </c>
      <c r="G16" s="84">
        <v>0.0</v>
      </c>
      <c r="H16" s="85">
        <v>46211.0</v>
      </c>
      <c r="I16" s="85">
        <v>46212.0</v>
      </c>
      <c r="J16" s="82" t="s">
        <v>535</v>
      </c>
      <c r="K16" s="86">
        <v>1162174.0</v>
      </c>
      <c r="L16" s="84">
        <v>1686599.81</v>
      </c>
      <c r="M16" s="80" t="s">
        <v>539</v>
      </c>
      <c r="N16" s="80"/>
      <c r="O16" s="80"/>
      <c r="P16" s="80"/>
      <c r="Q16" s="80"/>
      <c r="R16" s="80"/>
      <c r="S16" s="80"/>
      <c r="T16" s="80"/>
      <c r="U16" s="80"/>
      <c r="V16" s="80"/>
      <c r="W16" s="80"/>
      <c r="X16" s="80"/>
      <c r="Y16" s="80"/>
      <c r="Z16" s="80"/>
    </row>
    <row r="17">
      <c r="A17" s="81">
        <v>495.0</v>
      </c>
      <c r="B17" s="82" t="s">
        <v>533</v>
      </c>
      <c r="C17" s="82" t="s">
        <v>536</v>
      </c>
      <c r="D17" s="84">
        <v>30000.0</v>
      </c>
      <c r="E17" s="84">
        <v>180.0</v>
      </c>
      <c r="F17" s="84">
        <v>177.0</v>
      </c>
      <c r="G17" s="84">
        <v>15764.7</v>
      </c>
      <c r="H17" s="85">
        <v>46035.0</v>
      </c>
      <c r="I17" s="85">
        <v>46212.0</v>
      </c>
      <c r="J17" s="82" t="s">
        <v>535</v>
      </c>
      <c r="K17" s="86">
        <v>1145872.0</v>
      </c>
      <c r="L17" s="84">
        <v>1212120.05</v>
      </c>
      <c r="M17" s="80" t="s">
        <v>536</v>
      </c>
      <c r="N17" s="80"/>
      <c r="O17" s="80"/>
      <c r="P17" s="80"/>
      <c r="Q17" s="80"/>
      <c r="R17" s="80"/>
      <c r="S17" s="80"/>
      <c r="T17" s="80"/>
      <c r="U17" s="80"/>
      <c r="V17" s="80"/>
      <c r="W17" s="80"/>
      <c r="X17" s="80"/>
      <c r="Y17" s="80"/>
      <c r="Z17" s="80"/>
    </row>
    <row r="18">
      <c r="A18" s="81">
        <v>496.0</v>
      </c>
      <c r="B18" s="82" t="s">
        <v>533</v>
      </c>
      <c r="C18" s="82" t="s">
        <v>536</v>
      </c>
      <c r="D18" s="84">
        <v>30000.0</v>
      </c>
      <c r="E18" s="84">
        <v>180.0</v>
      </c>
      <c r="F18" s="84">
        <v>174.0</v>
      </c>
      <c r="G18" s="84">
        <v>12592.2</v>
      </c>
      <c r="H18" s="85">
        <v>46038.0</v>
      </c>
      <c r="I18" s="85">
        <v>46212.0</v>
      </c>
      <c r="J18" s="82" t="s">
        <v>535</v>
      </c>
      <c r="K18" s="86">
        <v>1144840.0</v>
      </c>
      <c r="L18" s="84">
        <v>1301697.97</v>
      </c>
      <c r="M18" s="80" t="s">
        <v>538</v>
      </c>
      <c r="N18" s="80"/>
      <c r="O18" s="80"/>
      <c r="P18" s="80"/>
      <c r="Q18" s="80"/>
      <c r="R18" s="80"/>
      <c r="S18" s="80"/>
      <c r="T18" s="80"/>
      <c r="U18" s="80"/>
      <c r="V18" s="80"/>
      <c r="W18" s="80"/>
      <c r="X18" s="80"/>
      <c r="Y18" s="80"/>
      <c r="Z18" s="80"/>
    </row>
    <row r="19">
      <c r="A19" s="81">
        <v>499.0</v>
      </c>
      <c r="B19" s="82" t="s">
        <v>533</v>
      </c>
      <c r="C19" s="82" t="s">
        <v>534</v>
      </c>
      <c r="D19" s="84">
        <v>30000.0</v>
      </c>
      <c r="E19" s="84">
        <v>120.0</v>
      </c>
      <c r="F19" s="84">
        <v>1.0</v>
      </c>
      <c r="G19" s="84">
        <v>0.0</v>
      </c>
      <c r="H19" s="85">
        <v>46211.0</v>
      </c>
      <c r="I19" s="85">
        <v>46212.0</v>
      </c>
      <c r="J19" s="82" t="s">
        <v>535</v>
      </c>
      <c r="K19" s="86">
        <v>1162171.0</v>
      </c>
      <c r="L19" s="84">
        <v>1604379.86</v>
      </c>
      <c r="M19" s="80" t="s">
        <v>539</v>
      </c>
      <c r="N19" s="80"/>
      <c r="O19" s="80"/>
      <c r="P19" s="80"/>
      <c r="Q19" s="80"/>
      <c r="R19" s="80"/>
      <c r="S19" s="80"/>
      <c r="T19" s="80"/>
      <c r="U19" s="80"/>
      <c r="V19" s="80"/>
      <c r="W19" s="80"/>
      <c r="X19" s="80"/>
      <c r="Y19" s="80"/>
      <c r="Z19" s="80"/>
    </row>
    <row r="20">
      <c r="A20" s="81">
        <v>637.0</v>
      </c>
      <c r="B20" s="82" t="s">
        <v>544</v>
      </c>
      <c r="C20" s="82" t="s">
        <v>534</v>
      </c>
      <c r="D20" s="84">
        <v>30000.0</v>
      </c>
      <c r="E20" s="84">
        <v>120.0</v>
      </c>
      <c r="F20" s="84">
        <v>50.0</v>
      </c>
      <c r="G20" s="84">
        <v>16819.6</v>
      </c>
      <c r="H20" s="85">
        <v>46162.0</v>
      </c>
      <c r="I20" s="85">
        <v>46212.0</v>
      </c>
      <c r="J20" s="82" t="s">
        <v>535</v>
      </c>
      <c r="K20" s="86">
        <v>1160213.0</v>
      </c>
      <c r="L20" s="84">
        <v>1546275.98</v>
      </c>
      <c r="M20" s="80" t="s">
        <v>545</v>
      </c>
      <c r="N20" s="80"/>
      <c r="O20" s="80"/>
      <c r="P20" s="80"/>
      <c r="Q20" s="80"/>
      <c r="R20" s="80"/>
      <c r="S20" s="80"/>
      <c r="T20" s="80"/>
      <c r="U20" s="80"/>
      <c r="V20" s="80"/>
      <c r="W20" s="80"/>
      <c r="X20" s="80"/>
      <c r="Y20" s="80"/>
      <c r="Z20" s="80"/>
    </row>
    <row r="21">
      <c r="A21" s="81">
        <v>644.0</v>
      </c>
      <c r="B21" s="82" t="s">
        <v>533</v>
      </c>
      <c r="C21" s="82" t="s">
        <v>534</v>
      </c>
      <c r="D21" s="84">
        <v>30000.0</v>
      </c>
      <c r="E21" s="84">
        <v>120.0</v>
      </c>
      <c r="F21" s="84">
        <v>132.0</v>
      </c>
      <c r="G21" s="84">
        <v>28497.4</v>
      </c>
      <c r="H21" s="85">
        <v>46080.0</v>
      </c>
      <c r="I21" s="85">
        <v>46212.0</v>
      </c>
      <c r="J21" s="82" t="s">
        <v>540</v>
      </c>
      <c r="K21" s="86">
        <v>1151255.0</v>
      </c>
      <c r="L21" s="84">
        <v>1583460.39</v>
      </c>
      <c r="M21" s="80" t="s">
        <v>537</v>
      </c>
      <c r="N21" s="80"/>
      <c r="O21" s="80"/>
      <c r="P21" s="80"/>
      <c r="Q21" s="80"/>
      <c r="R21" s="80"/>
      <c r="S21" s="80"/>
      <c r="T21" s="80"/>
      <c r="U21" s="80"/>
      <c r="V21" s="80"/>
      <c r="W21" s="80"/>
      <c r="X21" s="80"/>
      <c r="Y21" s="80"/>
      <c r="Z21" s="80"/>
    </row>
    <row r="22">
      <c r="A22" s="81">
        <v>645.0</v>
      </c>
      <c r="B22" s="82" t="s">
        <v>533</v>
      </c>
      <c r="C22" s="82" t="s">
        <v>534</v>
      </c>
      <c r="D22" s="84">
        <v>30000.0</v>
      </c>
      <c r="E22" s="84">
        <v>120.0</v>
      </c>
      <c r="F22" s="84">
        <v>83.0</v>
      </c>
      <c r="G22" s="84">
        <v>31105.2</v>
      </c>
      <c r="H22" s="85">
        <v>46129.0</v>
      </c>
      <c r="I22" s="85">
        <v>46212.0</v>
      </c>
      <c r="J22" s="82" t="s">
        <v>540</v>
      </c>
      <c r="K22" s="86">
        <v>1156561.0</v>
      </c>
      <c r="L22" s="84">
        <v>1638707.84</v>
      </c>
      <c r="M22" s="80" t="s">
        <v>543</v>
      </c>
      <c r="N22" s="80"/>
      <c r="O22" s="80"/>
      <c r="P22" s="80"/>
      <c r="Q22" s="80"/>
      <c r="R22" s="80"/>
      <c r="S22" s="80"/>
      <c r="T22" s="80"/>
      <c r="U22" s="80"/>
      <c r="V22" s="80"/>
      <c r="W22" s="80"/>
      <c r="X22" s="80"/>
      <c r="Y22" s="80"/>
      <c r="Z22" s="80"/>
    </row>
    <row r="23">
      <c r="A23" s="81">
        <v>646.0</v>
      </c>
      <c r="B23" s="82" t="s">
        <v>533</v>
      </c>
      <c r="C23" s="82" t="s">
        <v>534</v>
      </c>
      <c r="D23" s="84">
        <v>30000.0</v>
      </c>
      <c r="E23" s="84">
        <v>120.0</v>
      </c>
      <c r="F23" s="84">
        <v>121.0</v>
      </c>
      <c r="G23" s="84">
        <v>38006.9</v>
      </c>
      <c r="H23" s="85">
        <v>46091.0</v>
      </c>
      <c r="I23" s="85">
        <v>46212.0</v>
      </c>
      <c r="J23" s="82" t="s">
        <v>540</v>
      </c>
      <c r="K23" s="86">
        <v>1152508.0</v>
      </c>
      <c r="L23" s="84">
        <v>1468202.73</v>
      </c>
      <c r="M23" s="80" t="s">
        <v>541</v>
      </c>
      <c r="N23" s="80"/>
      <c r="O23" s="80"/>
      <c r="P23" s="80"/>
      <c r="Q23" s="80"/>
      <c r="R23" s="80"/>
      <c r="S23" s="80"/>
      <c r="T23" s="80"/>
      <c r="U23" s="80"/>
      <c r="V23" s="80"/>
      <c r="W23" s="80"/>
      <c r="X23" s="80"/>
      <c r="Y23" s="80"/>
      <c r="Z23" s="80"/>
    </row>
    <row r="24">
      <c r="A24" s="81">
        <v>647.0</v>
      </c>
      <c r="B24" s="82" t="s">
        <v>533</v>
      </c>
      <c r="C24" s="82" t="s">
        <v>534</v>
      </c>
      <c r="D24" s="84">
        <v>30000.0</v>
      </c>
      <c r="E24" s="84">
        <v>120.0</v>
      </c>
      <c r="F24" s="84">
        <v>29.0</v>
      </c>
      <c r="G24" s="84">
        <v>9364.2</v>
      </c>
      <c r="H24" s="85">
        <v>46183.0</v>
      </c>
      <c r="I24" s="85">
        <v>46212.0</v>
      </c>
      <c r="J24" s="82" t="s">
        <v>535</v>
      </c>
      <c r="K24" s="86">
        <v>1161704.0</v>
      </c>
      <c r="L24" s="84">
        <v>1405975.25</v>
      </c>
      <c r="M24" s="80" t="s">
        <v>546</v>
      </c>
      <c r="N24" s="80"/>
      <c r="O24" s="80"/>
      <c r="P24" s="80"/>
      <c r="Q24" s="80"/>
      <c r="R24" s="80"/>
      <c r="S24" s="80"/>
      <c r="T24" s="80"/>
      <c r="U24" s="80"/>
      <c r="V24" s="80"/>
      <c r="W24" s="80"/>
      <c r="X24" s="80"/>
      <c r="Y24" s="80"/>
      <c r="Z24" s="80"/>
    </row>
    <row r="25">
      <c r="A25" s="81">
        <v>648.0</v>
      </c>
      <c r="B25" s="82" t="s">
        <v>533</v>
      </c>
      <c r="C25" s="82" t="s">
        <v>534</v>
      </c>
      <c r="D25" s="84">
        <v>30000.0</v>
      </c>
      <c r="E25" s="84">
        <v>120.0</v>
      </c>
      <c r="F25" s="84">
        <v>49.0</v>
      </c>
      <c r="G25" s="84">
        <v>13948.4</v>
      </c>
      <c r="H25" s="85">
        <v>46163.0</v>
      </c>
      <c r="I25" s="85">
        <v>46212.0</v>
      </c>
      <c r="J25" s="82" t="s">
        <v>535</v>
      </c>
      <c r="K25" s="86">
        <v>1160450.0</v>
      </c>
      <c r="L25" s="84">
        <v>1603493.18</v>
      </c>
      <c r="M25" s="80" t="s">
        <v>547</v>
      </c>
      <c r="N25" s="80"/>
      <c r="O25" s="80"/>
      <c r="P25" s="80"/>
      <c r="Q25" s="80"/>
      <c r="R25" s="80"/>
      <c r="S25" s="80"/>
      <c r="T25" s="80"/>
      <c r="U25" s="80"/>
      <c r="V25" s="80"/>
      <c r="W25" s="80"/>
      <c r="X25" s="80"/>
      <c r="Y25" s="80"/>
      <c r="Z25" s="80"/>
    </row>
    <row r="26">
      <c r="A26" s="81">
        <v>649.0</v>
      </c>
      <c r="B26" s="82" t="s">
        <v>533</v>
      </c>
      <c r="C26" s="82" t="s">
        <v>534</v>
      </c>
      <c r="D26" s="84">
        <v>30000.0</v>
      </c>
      <c r="E26" s="84">
        <v>120.0</v>
      </c>
      <c r="F26" s="84">
        <v>51.0</v>
      </c>
      <c r="G26" s="84">
        <v>16626.0</v>
      </c>
      <c r="H26" s="85">
        <v>46161.0</v>
      </c>
      <c r="I26" s="85">
        <v>46212.0</v>
      </c>
      <c r="J26" s="82" t="s">
        <v>535</v>
      </c>
      <c r="K26" s="86">
        <v>1160296.0</v>
      </c>
      <c r="L26" s="84">
        <v>1502916.99</v>
      </c>
      <c r="M26" s="80" t="s">
        <v>548</v>
      </c>
      <c r="N26" s="80"/>
      <c r="O26" s="80"/>
      <c r="P26" s="80"/>
      <c r="Q26" s="80"/>
      <c r="R26" s="80"/>
      <c r="S26" s="80"/>
      <c r="T26" s="80"/>
      <c r="U26" s="80"/>
      <c r="V26" s="80"/>
      <c r="W26" s="80"/>
      <c r="X26" s="80"/>
      <c r="Y26" s="80"/>
      <c r="Z26" s="80"/>
    </row>
    <row r="27">
      <c r="A27" s="81">
        <v>654.0</v>
      </c>
      <c r="B27" s="82" t="s">
        <v>533</v>
      </c>
      <c r="C27" s="82" t="s">
        <v>536</v>
      </c>
      <c r="D27" s="84">
        <v>30000.0</v>
      </c>
      <c r="E27" s="84">
        <v>180.0</v>
      </c>
      <c r="F27" s="84">
        <v>151.0</v>
      </c>
      <c r="G27" s="84">
        <v>12411.7</v>
      </c>
      <c r="H27" s="85">
        <v>46061.0</v>
      </c>
      <c r="I27" s="85">
        <v>46212.0</v>
      </c>
      <c r="J27" s="82" t="s">
        <v>535</v>
      </c>
      <c r="K27" s="86">
        <v>1146690.0</v>
      </c>
      <c r="L27" s="84">
        <v>1347807.46</v>
      </c>
      <c r="M27" s="80" t="s">
        <v>536</v>
      </c>
      <c r="N27" s="80"/>
      <c r="O27" s="80"/>
      <c r="P27" s="80"/>
      <c r="Q27" s="80"/>
      <c r="R27" s="80"/>
      <c r="S27" s="80"/>
      <c r="T27" s="80"/>
      <c r="U27" s="80"/>
      <c r="V27" s="80"/>
      <c r="W27" s="80"/>
      <c r="X27" s="80"/>
      <c r="Y27" s="80"/>
      <c r="Z27" s="80"/>
    </row>
    <row r="28">
      <c r="A28" s="81">
        <v>655.0</v>
      </c>
      <c r="B28" s="82" t="s">
        <v>533</v>
      </c>
      <c r="C28" s="82" t="s">
        <v>534</v>
      </c>
      <c r="D28" s="84">
        <v>30000.0</v>
      </c>
      <c r="E28" s="84">
        <v>120.0</v>
      </c>
      <c r="F28" s="84">
        <v>77.0</v>
      </c>
      <c r="G28" s="84">
        <v>22278.0</v>
      </c>
      <c r="H28" s="85">
        <v>46135.0</v>
      </c>
      <c r="I28" s="85">
        <v>46212.0</v>
      </c>
      <c r="J28" s="82" t="s">
        <v>535</v>
      </c>
      <c r="K28" s="86">
        <v>1157090.0</v>
      </c>
      <c r="L28" s="84">
        <v>1554736.78</v>
      </c>
      <c r="M28" s="80" t="s">
        <v>536</v>
      </c>
      <c r="N28" s="80"/>
      <c r="O28" s="80"/>
      <c r="P28" s="80"/>
      <c r="Q28" s="80"/>
      <c r="R28" s="80"/>
      <c r="S28" s="80"/>
      <c r="T28" s="80"/>
      <c r="U28" s="80"/>
      <c r="V28" s="80"/>
      <c r="W28" s="80"/>
      <c r="X28" s="80"/>
      <c r="Y28" s="80"/>
      <c r="Z28" s="80"/>
    </row>
    <row r="29">
      <c r="A29" s="81">
        <v>656.0</v>
      </c>
      <c r="B29" s="82" t="s">
        <v>533</v>
      </c>
      <c r="C29" s="82" t="s">
        <v>534</v>
      </c>
      <c r="D29" s="84">
        <v>30000.0</v>
      </c>
      <c r="E29" s="84">
        <v>120.0</v>
      </c>
      <c r="F29" s="84">
        <v>79.0</v>
      </c>
      <c r="G29" s="84">
        <v>26828.3</v>
      </c>
      <c r="H29" s="85">
        <v>46133.0</v>
      </c>
      <c r="I29" s="85">
        <v>46212.0</v>
      </c>
      <c r="J29" s="82" t="s">
        <v>535</v>
      </c>
      <c r="K29" s="86">
        <v>1156703.0</v>
      </c>
      <c r="L29" s="84">
        <v>1502331.73</v>
      </c>
      <c r="M29" s="80" t="s">
        <v>549</v>
      </c>
      <c r="N29" s="80"/>
      <c r="O29" s="80"/>
      <c r="P29" s="80"/>
      <c r="Q29" s="80"/>
      <c r="R29" s="80"/>
      <c r="S29" s="80"/>
      <c r="T29" s="80"/>
      <c r="U29" s="80"/>
      <c r="V29" s="80"/>
      <c r="W29" s="80"/>
      <c r="X29" s="80"/>
      <c r="Y29" s="80"/>
      <c r="Z29" s="80"/>
    </row>
    <row r="30">
      <c r="A30" s="81">
        <v>657.0</v>
      </c>
      <c r="B30" s="82" t="s">
        <v>533</v>
      </c>
      <c r="C30" s="82" t="s">
        <v>536</v>
      </c>
      <c r="D30" s="84">
        <v>30000.0</v>
      </c>
      <c r="E30" s="84">
        <v>180.0</v>
      </c>
      <c r="F30" s="84">
        <v>134.0</v>
      </c>
      <c r="G30" s="84">
        <v>10449.0</v>
      </c>
      <c r="H30" s="85">
        <v>46078.0</v>
      </c>
      <c r="I30" s="85">
        <v>46212.0</v>
      </c>
      <c r="J30" s="82" t="s">
        <v>535</v>
      </c>
      <c r="K30" s="86">
        <v>1151094.0</v>
      </c>
      <c r="L30" s="84">
        <v>1309606.99</v>
      </c>
      <c r="M30" s="80" t="s">
        <v>538</v>
      </c>
      <c r="N30" s="80"/>
      <c r="O30" s="80"/>
      <c r="P30" s="80"/>
      <c r="Q30" s="80"/>
      <c r="R30" s="80"/>
      <c r="S30" s="80"/>
      <c r="T30" s="80"/>
      <c r="U30" s="80"/>
      <c r="V30" s="80"/>
      <c r="W30" s="80"/>
      <c r="X30" s="80"/>
      <c r="Y30" s="80"/>
      <c r="Z30" s="80"/>
    </row>
    <row r="31">
      <c r="A31" s="81">
        <v>658.0</v>
      </c>
      <c r="B31" s="82" t="s">
        <v>533</v>
      </c>
      <c r="C31" s="82" t="s">
        <v>534</v>
      </c>
      <c r="D31" s="84">
        <v>30000.0</v>
      </c>
      <c r="E31" s="84">
        <v>120.0</v>
      </c>
      <c r="F31" s="84">
        <v>51.0</v>
      </c>
      <c r="G31" s="84">
        <v>10169.1</v>
      </c>
      <c r="H31" s="85">
        <v>46161.0</v>
      </c>
      <c r="I31" s="85">
        <v>46212.0</v>
      </c>
      <c r="J31" s="82" t="s">
        <v>535</v>
      </c>
      <c r="K31" s="86">
        <v>1160238.0</v>
      </c>
      <c r="L31" s="84">
        <v>1556224.98</v>
      </c>
      <c r="M31" s="80" t="s">
        <v>543</v>
      </c>
      <c r="N31" s="80"/>
      <c r="O31" s="80"/>
      <c r="P31" s="80"/>
      <c r="Q31" s="80"/>
      <c r="R31" s="80"/>
      <c r="S31" s="80"/>
      <c r="T31" s="80"/>
      <c r="U31" s="80"/>
      <c r="V31" s="80"/>
      <c r="W31" s="80"/>
      <c r="X31" s="80"/>
      <c r="Y31" s="80"/>
      <c r="Z31" s="80"/>
    </row>
    <row r="32">
      <c r="A32" s="81">
        <v>661.0</v>
      </c>
      <c r="B32" s="82" t="s">
        <v>533</v>
      </c>
      <c r="C32" s="82" t="s">
        <v>536</v>
      </c>
      <c r="D32" s="84">
        <v>30000.0</v>
      </c>
      <c r="E32" s="84">
        <v>120.0</v>
      </c>
      <c r="F32" s="84">
        <v>122.0</v>
      </c>
      <c r="G32" s="84">
        <v>7636.5</v>
      </c>
      <c r="H32" s="85">
        <v>46090.0</v>
      </c>
      <c r="I32" s="85">
        <v>46212.0</v>
      </c>
      <c r="J32" s="82" t="s">
        <v>540</v>
      </c>
      <c r="K32" s="86">
        <v>1152006.0</v>
      </c>
      <c r="L32" s="84">
        <v>1147320.26</v>
      </c>
      <c r="M32" s="80" t="s">
        <v>536</v>
      </c>
      <c r="N32" s="80"/>
      <c r="O32" s="80"/>
      <c r="P32" s="80"/>
      <c r="Q32" s="80"/>
      <c r="R32" s="80"/>
      <c r="S32" s="80"/>
      <c r="T32" s="80"/>
      <c r="U32" s="80"/>
      <c r="V32" s="80"/>
      <c r="W32" s="80"/>
      <c r="X32" s="80"/>
      <c r="Y32" s="80"/>
      <c r="Z32" s="80"/>
    </row>
    <row r="33">
      <c r="A33" s="81">
        <v>663.0</v>
      </c>
      <c r="B33" s="82" t="s">
        <v>533</v>
      </c>
      <c r="C33" s="82" t="s">
        <v>534</v>
      </c>
      <c r="D33" s="84">
        <v>30000.0</v>
      </c>
      <c r="E33" s="84">
        <v>120.0</v>
      </c>
      <c r="F33" s="84">
        <v>155.0</v>
      </c>
      <c r="G33" s="84">
        <v>40503.5</v>
      </c>
      <c r="H33" s="85">
        <v>46057.0</v>
      </c>
      <c r="I33" s="85">
        <v>46212.0</v>
      </c>
      <c r="J33" s="82" t="s">
        <v>540</v>
      </c>
      <c r="K33" s="86">
        <v>1148432.0</v>
      </c>
      <c r="L33" s="84">
        <v>1368061.45</v>
      </c>
      <c r="M33" s="80" t="s">
        <v>537</v>
      </c>
      <c r="N33" s="80"/>
      <c r="O33" s="80"/>
      <c r="P33" s="80"/>
      <c r="Q33" s="80"/>
      <c r="R33" s="80"/>
      <c r="S33" s="80"/>
      <c r="T33" s="80"/>
      <c r="U33" s="80"/>
      <c r="V33" s="80"/>
      <c r="W33" s="80"/>
      <c r="X33" s="80"/>
      <c r="Y33" s="80"/>
      <c r="Z33" s="80"/>
    </row>
    <row r="34">
      <c r="A34" s="81">
        <v>664.0</v>
      </c>
      <c r="B34" s="82" t="s">
        <v>533</v>
      </c>
      <c r="C34" s="82" t="s">
        <v>534</v>
      </c>
      <c r="D34" s="84">
        <v>30000.0</v>
      </c>
      <c r="E34" s="84">
        <v>120.0</v>
      </c>
      <c r="F34" s="84">
        <v>77.0</v>
      </c>
      <c r="G34" s="84">
        <v>20942.8</v>
      </c>
      <c r="H34" s="85">
        <v>46135.0</v>
      </c>
      <c r="I34" s="85">
        <v>46212.0</v>
      </c>
      <c r="J34" s="82" t="s">
        <v>535</v>
      </c>
      <c r="K34" s="86">
        <v>1156509.0</v>
      </c>
      <c r="L34" s="84">
        <v>1536064.21</v>
      </c>
      <c r="M34" s="80" t="s">
        <v>547</v>
      </c>
      <c r="N34" s="80"/>
      <c r="O34" s="80"/>
      <c r="P34" s="80"/>
      <c r="Q34" s="80"/>
      <c r="R34" s="80"/>
      <c r="S34" s="80"/>
      <c r="T34" s="80"/>
      <c r="U34" s="80"/>
      <c r="V34" s="80"/>
      <c r="W34" s="80"/>
      <c r="X34" s="80"/>
      <c r="Y34" s="80"/>
      <c r="Z34" s="80"/>
    </row>
    <row r="35">
      <c r="A35" s="81">
        <v>671.0</v>
      </c>
      <c r="B35" s="82" t="s">
        <v>533</v>
      </c>
      <c r="C35" s="82" t="s">
        <v>534</v>
      </c>
      <c r="D35" s="84">
        <v>30000.0</v>
      </c>
      <c r="E35" s="84">
        <v>120.0</v>
      </c>
      <c r="F35" s="84">
        <v>43.0</v>
      </c>
      <c r="G35" s="84">
        <v>13069.8</v>
      </c>
      <c r="H35" s="85">
        <v>46169.0</v>
      </c>
      <c r="I35" s="85">
        <v>46212.0</v>
      </c>
      <c r="J35" s="82" t="s">
        <v>535</v>
      </c>
      <c r="K35" s="86">
        <v>1161408.0</v>
      </c>
      <c r="L35" s="84">
        <v>521343.94</v>
      </c>
      <c r="M35" s="80" t="s">
        <v>539</v>
      </c>
      <c r="N35" s="80"/>
      <c r="O35" s="80"/>
      <c r="P35" s="80"/>
      <c r="Q35" s="80"/>
      <c r="R35" s="80"/>
      <c r="S35" s="80"/>
      <c r="T35" s="80"/>
      <c r="U35" s="80"/>
      <c r="V35" s="80"/>
      <c r="W35" s="80"/>
      <c r="X35" s="80"/>
      <c r="Y35" s="80"/>
      <c r="Z35" s="80"/>
    </row>
    <row r="36">
      <c r="A36" s="81">
        <v>672.0</v>
      </c>
      <c r="B36" s="82" t="s">
        <v>533</v>
      </c>
      <c r="C36" s="82" t="s">
        <v>534</v>
      </c>
      <c r="D36" s="84">
        <v>30000.0</v>
      </c>
      <c r="E36" s="84">
        <v>120.0</v>
      </c>
      <c r="F36" s="84">
        <v>101.0</v>
      </c>
      <c r="G36" s="84">
        <v>35474.8</v>
      </c>
      <c r="H36" s="85">
        <v>46111.0</v>
      </c>
      <c r="I36" s="85">
        <v>46212.0</v>
      </c>
      <c r="J36" s="82" t="s">
        <v>540</v>
      </c>
      <c r="K36" s="86">
        <v>1154566.0</v>
      </c>
      <c r="L36" s="84">
        <v>499029.24</v>
      </c>
      <c r="M36" s="80" t="s">
        <v>538</v>
      </c>
      <c r="N36" s="80"/>
      <c r="O36" s="80"/>
      <c r="P36" s="80"/>
      <c r="Q36" s="80"/>
      <c r="R36" s="80"/>
      <c r="S36" s="80"/>
      <c r="T36" s="80"/>
      <c r="U36" s="80"/>
      <c r="V36" s="80"/>
      <c r="W36" s="80"/>
      <c r="X36" s="80"/>
      <c r="Y36" s="80"/>
      <c r="Z36" s="80"/>
    </row>
    <row r="37">
      <c r="A37" s="81">
        <v>682.0</v>
      </c>
      <c r="B37" s="82" t="s">
        <v>533</v>
      </c>
      <c r="C37" s="82" t="s">
        <v>534</v>
      </c>
      <c r="D37" s="84">
        <v>30000.0</v>
      </c>
      <c r="E37" s="84">
        <v>120.0</v>
      </c>
      <c r="F37" s="84">
        <v>47.0</v>
      </c>
      <c r="G37" s="84">
        <v>13305.7</v>
      </c>
      <c r="H37" s="85">
        <v>46165.0</v>
      </c>
      <c r="I37" s="85">
        <v>46212.0</v>
      </c>
      <c r="J37" s="82" t="s">
        <v>535</v>
      </c>
      <c r="K37" s="86">
        <v>1161141.0</v>
      </c>
      <c r="L37" s="84">
        <v>1365957.59</v>
      </c>
      <c r="M37" s="80" t="s">
        <v>536</v>
      </c>
      <c r="N37" s="80"/>
      <c r="O37" s="80"/>
      <c r="P37" s="80"/>
      <c r="Q37" s="80"/>
      <c r="R37" s="80"/>
      <c r="S37" s="80"/>
      <c r="T37" s="80"/>
      <c r="U37" s="80"/>
      <c r="V37" s="80"/>
      <c r="W37" s="80"/>
      <c r="X37" s="80"/>
      <c r="Y37" s="80"/>
      <c r="Z37" s="80"/>
    </row>
    <row r="38">
      <c r="A38" s="81">
        <v>686.0</v>
      </c>
      <c r="B38" s="82" t="s">
        <v>533</v>
      </c>
      <c r="C38" s="82" t="s">
        <v>534</v>
      </c>
      <c r="D38" s="84">
        <v>30000.0</v>
      </c>
      <c r="E38" s="84">
        <v>120.0</v>
      </c>
      <c r="F38" s="84">
        <v>111.0</v>
      </c>
      <c r="G38" s="84">
        <v>33422.5</v>
      </c>
      <c r="H38" s="85">
        <v>46101.0</v>
      </c>
      <c r="I38" s="85">
        <v>46212.0</v>
      </c>
      <c r="J38" s="82" t="s">
        <v>540</v>
      </c>
      <c r="K38" s="86">
        <v>1153788.0</v>
      </c>
      <c r="L38" s="84">
        <v>1381477.2</v>
      </c>
      <c r="M38" s="80" t="s">
        <v>550</v>
      </c>
      <c r="N38" s="80"/>
      <c r="O38" s="80"/>
      <c r="P38" s="80"/>
      <c r="Q38" s="80"/>
      <c r="R38" s="80"/>
      <c r="S38" s="80"/>
      <c r="T38" s="80"/>
      <c r="U38" s="80"/>
      <c r="V38" s="80"/>
      <c r="W38" s="80"/>
      <c r="X38" s="80"/>
      <c r="Y38" s="80"/>
      <c r="Z38" s="80"/>
    </row>
    <row r="39">
      <c r="A39" s="81">
        <v>687.0</v>
      </c>
      <c r="B39" s="82" t="s">
        <v>533</v>
      </c>
      <c r="C39" s="82" t="s">
        <v>534</v>
      </c>
      <c r="D39" s="84">
        <v>30000.0</v>
      </c>
      <c r="E39" s="84">
        <v>120.0</v>
      </c>
      <c r="F39" s="84">
        <v>122.0</v>
      </c>
      <c r="G39" s="84">
        <v>31990.8</v>
      </c>
      <c r="H39" s="85">
        <v>46090.0</v>
      </c>
      <c r="I39" s="85">
        <v>46212.0</v>
      </c>
      <c r="J39" s="82" t="s">
        <v>540</v>
      </c>
      <c r="K39" s="86">
        <v>1152315.0</v>
      </c>
      <c r="L39" s="84">
        <v>2157664.34</v>
      </c>
      <c r="M39" s="80" t="s">
        <v>539</v>
      </c>
      <c r="N39" s="80"/>
      <c r="O39" s="80"/>
      <c r="P39" s="80"/>
      <c r="Q39" s="80"/>
      <c r="R39" s="80"/>
      <c r="S39" s="80"/>
      <c r="T39" s="80"/>
      <c r="U39" s="80"/>
      <c r="V39" s="80"/>
      <c r="W39" s="80"/>
      <c r="X39" s="80"/>
      <c r="Y39" s="80"/>
      <c r="Z39" s="80"/>
    </row>
    <row r="40">
      <c r="A40" s="81">
        <v>688.0</v>
      </c>
      <c r="B40" s="82" t="s">
        <v>533</v>
      </c>
      <c r="C40" s="82" t="s">
        <v>534</v>
      </c>
      <c r="D40" s="84">
        <v>30000.0</v>
      </c>
      <c r="E40" s="84">
        <v>120.0</v>
      </c>
      <c r="F40" s="84">
        <v>1.0</v>
      </c>
      <c r="G40" s="84">
        <v>0.0</v>
      </c>
      <c r="H40" s="85">
        <v>46211.0</v>
      </c>
      <c r="I40" s="85">
        <v>46212.0</v>
      </c>
      <c r="J40" s="82" t="s">
        <v>535</v>
      </c>
      <c r="K40" s="86">
        <v>1162192.0</v>
      </c>
      <c r="L40" s="84">
        <v>1448785.21</v>
      </c>
      <c r="M40" s="80" t="s">
        <v>551</v>
      </c>
      <c r="N40" s="80"/>
      <c r="O40" s="80"/>
      <c r="P40" s="80"/>
      <c r="Q40" s="80"/>
      <c r="R40" s="80"/>
      <c r="S40" s="80"/>
      <c r="T40" s="80"/>
      <c r="U40" s="80"/>
      <c r="V40" s="80"/>
      <c r="W40" s="80"/>
      <c r="X40" s="80"/>
      <c r="Y40" s="80"/>
      <c r="Z40" s="80"/>
    </row>
    <row r="41">
      <c r="A41" s="81">
        <v>689.0</v>
      </c>
      <c r="B41" s="82" t="s">
        <v>533</v>
      </c>
      <c r="C41" s="82" t="s">
        <v>534</v>
      </c>
      <c r="D41" s="84">
        <v>30000.0</v>
      </c>
      <c r="E41" s="84">
        <v>120.0</v>
      </c>
      <c r="F41" s="84">
        <v>122.0</v>
      </c>
      <c r="G41" s="84">
        <v>28965.3</v>
      </c>
      <c r="H41" s="85">
        <v>46090.0</v>
      </c>
      <c r="I41" s="85">
        <v>46212.0</v>
      </c>
      <c r="J41" s="82" t="s">
        <v>540</v>
      </c>
      <c r="K41" s="86">
        <v>1152359.0</v>
      </c>
      <c r="L41" s="84">
        <v>1408737.34</v>
      </c>
      <c r="M41" s="80" t="s">
        <v>543</v>
      </c>
      <c r="N41" s="80"/>
      <c r="O41" s="80"/>
      <c r="P41" s="80"/>
      <c r="Q41" s="80"/>
      <c r="R41" s="80"/>
      <c r="S41" s="80"/>
      <c r="T41" s="80"/>
      <c r="U41" s="80"/>
      <c r="V41" s="80"/>
      <c r="W41" s="80"/>
      <c r="X41" s="80"/>
      <c r="Y41" s="80"/>
      <c r="Z41" s="80"/>
    </row>
    <row r="42">
      <c r="A42" s="81">
        <v>690.0</v>
      </c>
      <c r="B42" s="82" t="s">
        <v>533</v>
      </c>
      <c r="C42" s="82" t="s">
        <v>534</v>
      </c>
      <c r="D42" s="84">
        <v>30000.0</v>
      </c>
      <c r="E42" s="84">
        <v>120.0</v>
      </c>
      <c r="F42" s="84">
        <v>43.0</v>
      </c>
      <c r="G42" s="84">
        <v>15792.8</v>
      </c>
      <c r="H42" s="85">
        <v>46169.0</v>
      </c>
      <c r="I42" s="85">
        <v>46212.0</v>
      </c>
      <c r="J42" s="82" t="s">
        <v>535</v>
      </c>
      <c r="K42" s="86">
        <v>1161376.0</v>
      </c>
      <c r="L42" s="84">
        <v>1507348.13</v>
      </c>
      <c r="M42" s="80" t="s">
        <v>547</v>
      </c>
      <c r="N42" s="80"/>
      <c r="O42" s="80"/>
      <c r="P42" s="80"/>
      <c r="Q42" s="80"/>
      <c r="R42" s="80"/>
      <c r="S42" s="80"/>
      <c r="T42" s="80"/>
      <c r="U42" s="80"/>
      <c r="V42" s="80"/>
      <c r="W42" s="80"/>
      <c r="X42" s="80"/>
      <c r="Y42" s="80"/>
      <c r="Z42" s="80"/>
    </row>
    <row r="43">
      <c r="A43" s="81">
        <v>692.0</v>
      </c>
      <c r="B43" s="82" t="s">
        <v>533</v>
      </c>
      <c r="C43" s="82" t="s">
        <v>534</v>
      </c>
      <c r="D43" s="84">
        <v>30000.0</v>
      </c>
      <c r="E43" s="84">
        <v>120.0</v>
      </c>
      <c r="F43" s="84">
        <v>58.0</v>
      </c>
      <c r="G43" s="84">
        <v>14507.0</v>
      </c>
      <c r="H43" s="85">
        <v>46154.0</v>
      </c>
      <c r="I43" s="85">
        <v>46212.0</v>
      </c>
      <c r="J43" s="82" t="s">
        <v>535</v>
      </c>
      <c r="K43" s="86">
        <v>1159478.0</v>
      </c>
      <c r="L43" s="84">
        <v>1479595.53</v>
      </c>
      <c r="M43" s="80" t="s">
        <v>537</v>
      </c>
      <c r="N43" s="80"/>
      <c r="O43" s="80"/>
      <c r="P43" s="80"/>
      <c r="Q43" s="80"/>
      <c r="R43" s="80"/>
      <c r="S43" s="80"/>
      <c r="T43" s="80"/>
      <c r="U43" s="80"/>
      <c r="V43" s="80"/>
      <c r="W43" s="80"/>
      <c r="X43" s="80"/>
      <c r="Y43" s="80"/>
      <c r="Z43" s="80"/>
    </row>
    <row r="44">
      <c r="A44" s="81">
        <v>693.0</v>
      </c>
      <c r="B44" s="82" t="s">
        <v>533</v>
      </c>
      <c r="C44" s="82" t="s">
        <v>534</v>
      </c>
      <c r="D44" s="84">
        <v>30000.0</v>
      </c>
      <c r="E44" s="84">
        <v>120.0</v>
      </c>
      <c r="F44" s="84">
        <v>9.0</v>
      </c>
      <c r="G44" s="84">
        <v>2241.0</v>
      </c>
      <c r="H44" s="85">
        <v>46203.0</v>
      </c>
      <c r="I44" s="85">
        <v>46212.0</v>
      </c>
      <c r="J44" s="82" t="s">
        <v>535</v>
      </c>
      <c r="K44" s="86">
        <v>1162039.0</v>
      </c>
      <c r="L44" s="84">
        <v>1580688.77</v>
      </c>
      <c r="M44" s="80" t="s">
        <v>536</v>
      </c>
      <c r="N44" s="80"/>
      <c r="O44" s="80"/>
      <c r="P44" s="80"/>
      <c r="Q44" s="80"/>
      <c r="R44" s="80"/>
      <c r="S44" s="80"/>
      <c r="T44" s="80"/>
      <c r="U44" s="80"/>
      <c r="V44" s="80"/>
      <c r="W44" s="80"/>
      <c r="X44" s="80"/>
      <c r="Y44" s="80"/>
      <c r="Z44" s="80"/>
    </row>
    <row r="45">
      <c r="A45" s="81">
        <v>695.0</v>
      </c>
      <c r="B45" s="82" t="s">
        <v>533</v>
      </c>
      <c r="C45" s="82" t="s">
        <v>534</v>
      </c>
      <c r="D45" s="84">
        <v>30000.0</v>
      </c>
      <c r="E45" s="84">
        <v>120.0</v>
      </c>
      <c r="F45" s="84">
        <v>78.0</v>
      </c>
      <c r="G45" s="84">
        <v>23235.1</v>
      </c>
      <c r="H45" s="85">
        <v>46134.0</v>
      </c>
      <c r="I45" s="85">
        <v>46212.0</v>
      </c>
      <c r="J45" s="82" t="s">
        <v>535</v>
      </c>
      <c r="K45" s="86">
        <v>1157003.0</v>
      </c>
      <c r="L45" s="84">
        <v>1461837.77</v>
      </c>
      <c r="M45" s="80" t="s">
        <v>539</v>
      </c>
      <c r="N45" s="80"/>
      <c r="O45" s="80"/>
      <c r="P45" s="80"/>
      <c r="Q45" s="80"/>
      <c r="R45" s="80"/>
      <c r="S45" s="80"/>
      <c r="T45" s="80"/>
      <c r="U45" s="80"/>
      <c r="V45" s="80"/>
      <c r="W45" s="80"/>
      <c r="X45" s="80"/>
      <c r="Y45" s="80"/>
      <c r="Z45" s="80"/>
    </row>
    <row r="46">
      <c r="A46" s="81">
        <v>698.0</v>
      </c>
      <c r="B46" s="82" t="s">
        <v>533</v>
      </c>
      <c r="C46" s="82" t="s">
        <v>534</v>
      </c>
      <c r="D46" s="84">
        <v>30000.0</v>
      </c>
      <c r="E46" s="84">
        <v>120.0</v>
      </c>
      <c r="F46" s="84">
        <v>43.0</v>
      </c>
      <c r="G46" s="84">
        <v>14559.7</v>
      </c>
      <c r="H46" s="85">
        <v>46169.0</v>
      </c>
      <c r="I46" s="85">
        <v>46212.0</v>
      </c>
      <c r="J46" s="82" t="s">
        <v>535</v>
      </c>
      <c r="K46" s="86">
        <v>1161342.0</v>
      </c>
      <c r="L46" s="84">
        <v>1341304.72</v>
      </c>
      <c r="M46" s="80" t="s">
        <v>552</v>
      </c>
      <c r="N46" s="80"/>
      <c r="O46" s="80"/>
      <c r="P46" s="80"/>
      <c r="Q46" s="80"/>
      <c r="R46" s="80"/>
      <c r="S46" s="80"/>
      <c r="T46" s="80"/>
      <c r="U46" s="80"/>
      <c r="V46" s="80"/>
      <c r="W46" s="80"/>
      <c r="X46" s="80"/>
      <c r="Y46" s="80"/>
      <c r="Z46" s="80"/>
    </row>
    <row r="47">
      <c r="A47" s="81">
        <v>951.0</v>
      </c>
      <c r="B47" s="82" t="s">
        <v>553</v>
      </c>
      <c r="C47" s="82" t="s">
        <v>536</v>
      </c>
      <c r="D47" s="84">
        <v>5000.0</v>
      </c>
      <c r="E47" s="84">
        <v>720.0</v>
      </c>
      <c r="F47" s="84">
        <v>371.0</v>
      </c>
      <c r="G47" s="84">
        <v>0.0</v>
      </c>
      <c r="H47" s="85">
        <v>45841.0</v>
      </c>
      <c r="I47" s="85">
        <v>46212.0</v>
      </c>
      <c r="J47" s="82" t="s">
        <v>535</v>
      </c>
      <c r="K47" s="86">
        <v>1120204.0</v>
      </c>
      <c r="L47" s="84">
        <v>120707.6</v>
      </c>
      <c r="M47" s="80" t="s">
        <v>554</v>
      </c>
      <c r="N47" s="80"/>
      <c r="O47" s="80"/>
      <c r="P47" s="80"/>
      <c r="Q47" s="80"/>
      <c r="R47" s="80"/>
      <c r="S47" s="80"/>
      <c r="T47" s="80"/>
      <c r="U47" s="80"/>
      <c r="V47" s="80"/>
      <c r="W47" s="80"/>
      <c r="X47" s="80"/>
      <c r="Y47" s="80"/>
      <c r="Z47" s="80"/>
    </row>
    <row r="48">
      <c r="A48" s="81">
        <v>1162.0</v>
      </c>
      <c r="B48" s="82" t="s">
        <v>533</v>
      </c>
      <c r="C48" s="82" t="s">
        <v>534</v>
      </c>
      <c r="D48" s="84">
        <v>30000.0</v>
      </c>
      <c r="E48" s="84">
        <v>120.0</v>
      </c>
      <c r="F48" s="84">
        <v>45.0</v>
      </c>
      <c r="G48" s="84">
        <v>15895.0</v>
      </c>
      <c r="H48" s="85">
        <v>46167.0</v>
      </c>
      <c r="I48" s="85">
        <v>46212.0</v>
      </c>
      <c r="J48" s="82" t="s">
        <v>535</v>
      </c>
      <c r="K48" s="86">
        <v>1161163.0</v>
      </c>
      <c r="L48" s="84">
        <v>1075944.3</v>
      </c>
      <c r="M48" s="80" t="s">
        <v>537</v>
      </c>
      <c r="N48" s="80"/>
      <c r="O48" s="80"/>
      <c r="P48" s="80"/>
      <c r="Q48" s="80"/>
      <c r="R48" s="80"/>
      <c r="S48" s="80"/>
      <c r="T48" s="80"/>
      <c r="U48" s="80"/>
      <c r="V48" s="80"/>
      <c r="W48" s="80"/>
      <c r="X48" s="80"/>
      <c r="Y48" s="80"/>
      <c r="Z48" s="80"/>
    </row>
    <row r="49">
      <c r="A49" s="81">
        <v>1181.0</v>
      </c>
      <c r="B49" s="82" t="s">
        <v>555</v>
      </c>
      <c r="C49" s="82" t="s">
        <v>534</v>
      </c>
      <c r="D49" s="84">
        <v>30000.0</v>
      </c>
      <c r="E49" s="84">
        <v>120.0</v>
      </c>
      <c r="F49" s="84">
        <v>83.0</v>
      </c>
      <c r="G49" s="84">
        <v>720.1</v>
      </c>
      <c r="H49" s="85">
        <v>46129.0</v>
      </c>
      <c r="I49" s="85">
        <v>46212.0</v>
      </c>
      <c r="J49" s="82" t="s">
        <v>535</v>
      </c>
      <c r="K49" s="86">
        <v>1154365.0</v>
      </c>
      <c r="L49" s="84">
        <v>1277339.12</v>
      </c>
      <c r="M49" s="80" t="s">
        <v>542</v>
      </c>
      <c r="N49" s="80"/>
      <c r="O49" s="80"/>
      <c r="P49" s="80"/>
      <c r="Q49" s="80"/>
      <c r="R49" s="80"/>
      <c r="S49" s="80"/>
      <c r="T49" s="80"/>
      <c r="U49" s="80"/>
      <c r="V49" s="80"/>
      <c r="W49" s="80"/>
      <c r="X49" s="80"/>
      <c r="Y49" s="80"/>
      <c r="Z49" s="80"/>
    </row>
    <row r="50">
      <c r="A50" s="81">
        <v>1184.0</v>
      </c>
      <c r="B50" s="82" t="s">
        <v>555</v>
      </c>
      <c r="C50" s="82" t="s">
        <v>534</v>
      </c>
      <c r="D50" s="84">
        <v>30000.0</v>
      </c>
      <c r="E50" s="84">
        <v>120.0</v>
      </c>
      <c r="F50" s="84">
        <v>68.0</v>
      </c>
      <c r="G50" s="84">
        <v>23279.5</v>
      </c>
      <c r="H50" s="85">
        <v>46144.0</v>
      </c>
      <c r="I50" s="85">
        <v>46212.0</v>
      </c>
      <c r="J50" s="82" t="s">
        <v>535</v>
      </c>
      <c r="K50" s="86">
        <v>1158123.0</v>
      </c>
      <c r="L50" s="84">
        <v>1300166.07</v>
      </c>
      <c r="M50" s="80" t="s">
        <v>547</v>
      </c>
      <c r="N50" s="80"/>
      <c r="O50" s="80"/>
      <c r="P50" s="80"/>
      <c r="Q50" s="80"/>
      <c r="R50" s="80"/>
      <c r="S50" s="80"/>
      <c r="T50" s="80"/>
      <c r="U50" s="80"/>
      <c r="V50" s="80"/>
      <c r="W50" s="80"/>
      <c r="X50" s="80"/>
      <c r="Y50" s="80"/>
      <c r="Z50" s="80"/>
    </row>
    <row r="51">
      <c r="A51" s="81">
        <v>1189.0</v>
      </c>
      <c r="B51" s="82" t="s">
        <v>555</v>
      </c>
      <c r="C51" s="82" t="s">
        <v>534</v>
      </c>
      <c r="D51" s="84">
        <v>30000.0</v>
      </c>
      <c r="E51" s="84">
        <v>120.0</v>
      </c>
      <c r="F51" s="84">
        <v>124.0</v>
      </c>
      <c r="G51" s="84">
        <v>36151.3</v>
      </c>
      <c r="H51" s="85">
        <v>46088.0</v>
      </c>
      <c r="I51" s="85">
        <v>46212.0</v>
      </c>
      <c r="J51" s="82" t="s">
        <v>540</v>
      </c>
      <c r="K51" s="86">
        <v>1152284.0</v>
      </c>
      <c r="L51" s="84">
        <v>1365436.84</v>
      </c>
      <c r="M51" s="80" t="s">
        <v>556</v>
      </c>
      <c r="N51" s="80"/>
      <c r="O51" s="80"/>
      <c r="P51" s="80"/>
      <c r="Q51" s="80"/>
      <c r="R51" s="80"/>
      <c r="S51" s="80"/>
      <c r="T51" s="80"/>
      <c r="U51" s="80"/>
      <c r="V51" s="80"/>
      <c r="W51" s="80"/>
      <c r="X51" s="80"/>
      <c r="Y51" s="80"/>
      <c r="Z51" s="80"/>
    </row>
    <row r="52">
      <c r="A52" s="81">
        <v>1199.0</v>
      </c>
      <c r="B52" s="82" t="s">
        <v>557</v>
      </c>
      <c r="C52" s="82" t="s">
        <v>534</v>
      </c>
      <c r="D52" s="84">
        <v>30000.0</v>
      </c>
      <c r="E52" s="84">
        <v>120.0</v>
      </c>
      <c r="F52" s="84">
        <v>62.0</v>
      </c>
      <c r="G52" s="84">
        <v>19128.2</v>
      </c>
      <c r="H52" s="85">
        <v>46150.0</v>
      </c>
      <c r="I52" s="85">
        <v>46212.0</v>
      </c>
      <c r="J52" s="82" t="s">
        <v>535</v>
      </c>
      <c r="K52" s="86">
        <v>1158966.0</v>
      </c>
      <c r="L52" s="84">
        <v>1257462.68</v>
      </c>
      <c r="M52" s="80" t="s">
        <v>541</v>
      </c>
      <c r="N52" s="80"/>
      <c r="O52" s="80"/>
      <c r="P52" s="80"/>
      <c r="Q52" s="80"/>
      <c r="R52" s="80"/>
      <c r="S52" s="80"/>
      <c r="T52" s="80"/>
      <c r="U52" s="80"/>
      <c r="V52" s="80"/>
      <c r="W52" s="80"/>
      <c r="X52" s="80"/>
      <c r="Y52" s="80"/>
      <c r="Z52" s="80"/>
    </row>
    <row r="53">
      <c r="A53" s="81">
        <v>1200.0</v>
      </c>
      <c r="B53" s="82" t="s">
        <v>557</v>
      </c>
      <c r="C53" s="82" t="s">
        <v>534</v>
      </c>
      <c r="D53" s="84">
        <v>30000.0</v>
      </c>
      <c r="E53" s="84">
        <v>120.0</v>
      </c>
      <c r="F53" s="84">
        <v>58.0</v>
      </c>
      <c r="G53" s="84">
        <v>14547.5</v>
      </c>
      <c r="H53" s="85">
        <v>46154.0</v>
      </c>
      <c r="I53" s="85">
        <v>46212.0</v>
      </c>
      <c r="J53" s="82" t="s">
        <v>535</v>
      </c>
      <c r="K53" s="86">
        <v>1159513.0</v>
      </c>
      <c r="L53" s="84">
        <v>1186579.88</v>
      </c>
      <c r="M53" s="80" t="s">
        <v>558</v>
      </c>
      <c r="N53" s="80"/>
      <c r="O53" s="80"/>
      <c r="P53" s="80"/>
      <c r="Q53" s="80"/>
      <c r="R53" s="80"/>
      <c r="S53" s="80"/>
      <c r="T53" s="80"/>
      <c r="U53" s="80"/>
      <c r="V53" s="80"/>
      <c r="W53" s="80"/>
      <c r="X53" s="80"/>
      <c r="Y53" s="80"/>
      <c r="Z53" s="80"/>
    </row>
    <row r="54">
      <c r="A54" s="81">
        <v>1208.0</v>
      </c>
      <c r="B54" s="82" t="s">
        <v>557</v>
      </c>
      <c r="C54" s="82" t="s">
        <v>534</v>
      </c>
      <c r="D54" s="84">
        <v>30000.0</v>
      </c>
      <c r="E54" s="84">
        <v>120.0</v>
      </c>
      <c r="F54" s="84">
        <v>94.0</v>
      </c>
      <c r="G54" s="84">
        <v>21814.7</v>
      </c>
      <c r="H54" s="85">
        <v>46118.0</v>
      </c>
      <c r="I54" s="85">
        <v>46212.0</v>
      </c>
      <c r="J54" s="82" t="s">
        <v>535</v>
      </c>
      <c r="K54" s="86">
        <v>1155089.0</v>
      </c>
      <c r="L54" s="84">
        <v>1388319.9</v>
      </c>
      <c r="M54" s="80" t="s">
        <v>543</v>
      </c>
      <c r="N54" s="80"/>
      <c r="O54" s="80"/>
      <c r="P54" s="80"/>
      <c r="Q54" s="80"/>
      <c r="R54" s="80"/>
      <c r="S54" s="80"/>
      <c r="T54" s="80"/>
      <c r="U54" s="80"/>
      <c r="V54" s="80"/>
      <c r="W54" s="80"/>
      <c r="X54" s="80"/>
      <c r="Y54" s="80"/>
      <c r="Z54" s="80"/>
    </row>
    <row r="55">
      <c r="A55" s="81">
        <v>1288.0</v>
      </c>
      <c r="B55" s="82" t="s">
        <v>533</v>
      </c>
      <c r="C55" s="82" t="s">
        <v>534</v>
      </c>
      <c r="D55" s="84">
        <v>30000.0</v>
      </c>
      <c r="E55" s="84">
        <v>120.0</v>
      </c>
      <c r="F55" s="84">
        <v>78.0</v>
      </c>
      <c r="G55" s="84">
        <v>14287.6</v>
      </c>
      <c r="H55" s="85">
        <v>46134.0</v>
      </c>
      <c r="I55" s="85">
        <v>46212.0</v>
      </c>
      <c r="J55" s="82" t="s">
        <v>535</v>
      </c>
      <c r="K55" s="86">
        <v>1157058.0</v>
      </c>
      <c r="L55" s="84">
        <v>378713.83</v>
      </c>
      <c r="M55" s="80" t="s">
        <v>549</v>
      </c>
      <c r="N55" s="80"/>
      <c r="O55" s="80"/>
      <c r="P55" s="80"/>
      <c r="Q55" s="80"/>
      <c r="R55" s="80"/>
      <c r="S55" s="80"/>
      <c r="T55" s="80"/>
      <c r="U55" s="80"/>
      <c r="V55" s="80"/>
      <c r="W55" s="80"/>
      <c r="X55" s="80"/>
      <c r="Y55" s="80"/>
      <c r="Z55" s="80"/>
    </row>
    <row r="56">
      <c r="A56" s="81">
        <v>1327.0</v>
      </c>
      <c r="B56" s="82" t="s">
        <v>557</v>
      </c>
      <c r="C56" s="82" t="s">
        <v>534</v>
      </c>
      <c r="D56" s="84">
        <v>30000.0</v>
      </c>
      <c r="E56" s="84">
        <v>120.0</v>
      </c>
      <c r="F56" s="84">
        <v>76.0</v>
      </c>
      <c r="G56" s="84">
        <v>26179.5</v>
      </c>
      <c r="H56" s="85">
        <v>46136.0</v>
      </c>
      <c r="I56" s="85">
        <v>46212.0</v>
      </c>
      <c r="J56" s="82" t="s">
        <v>535</v>
      </c>
      <c r="K56" s="86">
        <v>1157301.0</v>
      </c>
      <c r="L56" s="84">
        <v>1344442.85</v>
      </c>
      <c r="M56" s="80" t="s">
        <v>547</v>
      </c>
      <c r="N56" s="80"/>
      <c r="O56" s="80"/>
      <c r="P56" s="80"/>
      <c r="Q56" s="80"/>
      <c r="R56" s="80"/>
      <c r="S56" s="80"/>
      <c r="T56" s="80"/>
      <c r="U56" s="80"/>
      <c r="V56" s="80"/>
      <c r="W56" s="80"/>
      <c r="X56" s="80"/>
      <c r="Y56" s="80"/>
      <c r="Z56" s="80"/>
    </row>
    <row r="57">
      <c r="A57" s="81">
        <v>1328.0</v>
      </c>
      <c r="B57" s="82" t="s">
        <v>533</v>
      </c>
      <c r="C57" s="82" t="s">
        <v>534</v>
      </c>
      <c r="D57" s="84">
        <v>30000.0</v>
      </c>
      <c r="E57" s="84">
        <v>120.0</v>
      </c>
      <c r="F57" s="84">
        <v>106.0</v>
      </c>
      <c r="G57" s="84">
        <v>5791.1</v>
      </c>
      <c r="H57" s="85">
        <v>46106.0</v>
      </c>
      <c r="I57" s="85">
        <v>46212.0</v>
      </c>
      <c r="J57" s="82" t="s">
        <v>535</v>
      </c>
      <c r="K57" s="86">
        <v>1154146.0</v>
      </c>
      <c r="L57" s="84">
        <v>879193.07</v>
      </c>
      <c r="M57" s="80" t="s">
        <v>539</v>
      </c>
      <c r="N57" s="80"/>
      <c r="O57" s="80"/>
      <c r="P57" s="80"/>
      <c r="Q57" s="80"/>
      <c r="R57" s="80"/>
      <c r="S57" s="80"/>
      <c r="T57" s="80"/>
      <c r="U57" s="80"/>
      <c r="V57" s="80"/>
      <c r="W57" s="80"/>
      <c r="X57" s="80"/>
      <c r="Y57" s="80"/>
      <c r="Z57" s="80"/>
    </row>
    <row r="58">
      <c r="A58" s="81">
        <v>1335.0</v>
      </c>
      <c r="B58" s="82" t="s">
        <v>557</v>
      </c>
      <c r="C58" s="82" t="s">
        <v>534</v>
      </c>
      <c r="D58" s="84">
        <v>30000.0</v>
      </c>
      <c r="E58" s="84">
        <v>120.0</v>
      </c>
      <c r="F58" s="84">
        <v>100.0</v>
      </c>
      <c r="G58" s="84">
        <v>21718.4</v>
      </c>
      <c r="H58" s="85">
        <v>46112.0</v>
      </c>
      <c r="I58" s="85">
        <v>46212.0</v>
      </c>
      <c r="J58" s="82" t="s">
        <v>535</v>
      </c>
      <c r="K58" s="86">
        <v>1154744.0</v>
      </c>
      <c r="L58" s="84">
        <v>1151393.68</v>
      </c>
      <c r="M58" s="80" t="s">
        <v>536</v>
      </c>
      <c r="N58" s="80"/>
      <c r="O58" s="80"/>
      <c r="P58" s="80"/>
      <c r="Q58" s="80"/>
      <c r="R58" s="80"/>
      <c r="S58" s="80"/>
      <c r="T58" s="80"/>
      <c r="U58" s="80"/>
      <c r="V58" s="80"/>
      <c r="W58" s="80"/>
      <c r="X58" s="80"/>
      <c r="Y58" s="80"/>
      <c r="Z58" s="80"/>
    </row>
    <row r="59">
      <c r="A59" s="81">
        <v>1336.0</v>
      </c>
      <c r="B59" s="82" t="s">
        <v>557</v>
      </c>
      <c r="C59" s="82" t="s">
        <v>534</v>
      </c>
      <c r="D59" s="84">
        <v>30000.0</v>
      </c>
      <c r="E59" s="84">
        <v>120.0</v>
      </c>
      <c r="F59" s="84">
        <v>136.0</v>
      </c>
      <c r="G59" s="84">
        <v>26418.1</v>
      </c>
      <c r="H59" s="85">
        <v>46076.0</v>
      </c>
      <c r="I59" s="85">
        <v>46212.0</v>
      </c>
      <c r="J59" s="82" t="s">
        <v>540</v>
      </c>
      <c r="K59" s="86">
        <v>1150756.0</v>
      </c>
      <c r="L59" s="84">
        <v>902465.71</v>
      </c>
      <c r="M59" s="80" t="s">
        <v>537</v>
      </c>
      <c r="N59" s="80"/>
      <c r="O59" s="80"/>
      <c r="P59" s="80"/>
      <c r="Q59" s="80"/>
      <c r="R59" s="80"/>
      <c r="S59" s="80"/>
      <c r="T59" s="80"/>
      <c r="U59" s="80"/>
      <c r="V59" s="80"/>
      <c r="W59" s="80"/>
      <c r="X59" s="80"/>
      <c r="Y59" s="80"/>
      <c r="Z59" s="80"/>
    </row>
    <row r="60">
      <c r="A60" s="81">
        <v>1343.0</v>
      </c>
      <c r="B60" s="82" t="s">
        <v>533</v>
      </c>
      <c r="C60" s="82" t="s">
        <v>534</v>
      </c>
      <c r="D60" s="84">
        <v>30000.0</v>
      </c>
      <c r="E60" s="84">
        <v>120.0</v>
      </c>
      <c r="F60" s="84">
        <v>59.0</v>
      </c>
      <c r="G60" s="84">
        <v>21470.2</v>
      </c>
      <c r="H60" s="85">
        <v>46153.0</v>
      </c>
      <c r="I60" s="85">
        <v>46212.0</v>
      </c>
      <c r="J60" s="82" t="s">
        <v>535</v>
      </c>
      <c r="K60" s="86">
        <v>1159208.0</v>
      </c>
      <c r="L60" s="84">
        <v>818882.53</v>
      </c>
      <c r="M60" s="80" t="s">
        <v>539</v>
      </c>
      <c r="N60" s="80"/>
      <c r="O60" s="80"/>
      <c r="P60" s="80"/>
      <c r="Q60" s="80"/>
      <c r="R60" s="80"/>
      <c r="S60" s="80"/>
      <c r="T60" s="80"/>
      <c r="U60" s="80"/>
      <c r="V60" s="80"/>
      <c r="W60" s="80"/>
      <c r="X60" s="80"/>
      <c r="Y60" s="80"/>
      <c r="Z60" s="80"/>
    </row>
    <row r="61">
      <c r="A61" s="81">
        <v>1344.0</v>
      </c>
      <c r="B61" s="82" t="s">
        <v>533</v>
      </c>
      <c r="C61" s="82" t="s">
        <v>534</v>
      </c>
      <c r="D61" s="84">
        <v>30000.0</v>
      </c>
      <c r="E61" s="84">
        <v>120.0</v>
      </c>
      <c r="F61" s="84">
        <v>51.0</v>
      </c>
      <c r="G61" s="84">
        <v>11346.2</v>
      </c>
      <c r="H61" s="85">
        <v>46161.0</v>
      </c>
      <c r="I61" s="85">
        <v>46212.0</v>
      </c>
      <c r="J61" s="82" t="s">
        <v>535</v>
      </c>
      <c r="K61" s="86">
        <v>1160352.0</v>
      </c>
      <c r="L61" s="84">
        <v>1225982.35</v>
      </c>
      <c r="M61" s="80" t="s">
        <v>559</v>
      </c>
      <c r="N61" s="80"/>
      <c r="O61" s="80"/>
      <c r="P61" s="80"/>
      <c r="Q61" s="80"/>
      <c r="R61" s="80"/>
      <c r="S61" s="80"/>
      <c r="T61" s="80"/>
      <c r="U61" s="80"/>
      <c r="V61" s="80"/>
      <c r="W61" s="80"/>
      <c r="X61" s="80"/>
      <c r="Y61" s="80"/>
      <c r="Z61" s="80"/>
    </row>
    <row r="62">
      <c r="A62" s="81">
        <v>1354.0</v>
      </c>
      <c r="B62" s="82" t="s">
        <v>533</v>
      </c>
      <c r="C62" s="82" t="s">
        <v>534</v>
      </c>
      <c r="D62" s="84">
        <v>30000.0</v>
      </c>
      <c r="E62" s="84">
        <v>120.0</v>
      </c>
      <c r="F62" s="84">
        <v>17.0</v>
      </c>
      <c r="G62" s="84">
        <v>5456.9</v>
      </c>
      <c r="H62" s="85">
        <v>46195.0</v>
      </c>
      <c r="I62" s="85">
        <v>46212.0</v>
      </c>
      <c r="J62" s="82" t="s">
        <v>535</v>
      </c>
      <c r="K62" s="86">
        <v>1161919.0</v>
      </c>
      <c r="L62" s="84">
        <v>949092.19</v>
      </c>
      <c r="M62" s="80" t="s">
        <v>539</v>
      </c>
      <c r="N62" s="80"/>
      <c r="O62" s="80"/>
      <c r="P62" s="80"/>
      <c r="Q62" s="80"/>
      <c r="R62" s="80"/>
      <c r="S62" s="80"/>
      <c r="T62" s="80"/>
      <c r="U62" s="80"/>
      <c r="V62" s="80"/>
      <c r="W62" s="80"/>
      <c r="X62" s="80"/>
      <c r="Y62" s="80"/>
      <c r="Z62" s="80"/>
    </row>
    <row r="63">
      <c r="A63" s="81">
        <v>1798.0</v>
      </c>
      <c r="B63" s="82" t="s">
        <v>560</v>
      </c>
      <c r="C63" s="82" t="s">
        <v>536</v>
      </c>
      <c r="D63" s="84">
        <v>5000.0</v>
      </c>
      <c r="E63" s="84">
        <v>180.0</v>
      </c>
      <c r="F63" s="84">
        <v>51.0</v>
      </c>
      <c r="G63" s="84">
        <v>1823.2</v>
      </c>
      <c r="H63" s="85">
        <v>46161.0</v>
      </c>
      <c r="I63" s="85">
        <v>46212.0</v>
      </c>
      <c r="J63" s="82" t="s">
        <v>535</v>
      </c>
      <c r="K63" s="86">
        <v>1160272.0</v>
      </c>
      <c r="L63" s="84">
        <v>159292.23</v>
      </c>
      <c r="M63" s="80" t="s">
        <v>554</v>
      </c>
      <c r="N63" s="80"/>
      <c r="O63" s="80"/>
      <c r="P63" s="80"/>
      <c r="Q63" s="80"/>
      <c r="R63" s="80"/>
      <c r="S63" s="80"/>
      <c r="T63" s="80"/>
      <c r="U63" s="80"/>
      <c r="V63" s="80"/>
      <c r="W63" s="80"/>
      <c r="X63" s="80"/>
      <c r="Y63" s="80"/>
      <c r="Z63" s="80"/>
    </row>
    <row r="64">
      <c r="A64" s="81">
        <v>1991.0</v>
      </c>
      <c r="B64" s="82" t="s">
        <v>533</v>
      </c>
      <c r="C64" s="82" t="s">
        <v>534</v>
      </c>
      <c r="D64" s="84">
        <v>30000.0</v>
      </c>
      <c r="E64" s="84">
        <v>180.0</v>
      </c>
      <c r="F64" s="84">
        <v>63.0</v>
      </c>
      <c r="G64" s="84">
        <v>20467.9</v>
      </c>
      <c r="H64" s="85">
        <v>46149.0</v>
      </c>
      <c r="I64" s="85">
        <v>46212.0</v>
      </c>
      <c r="J64" s="82" t="s">
        <v>535</v>
      </c>
      <c r="K64" s="86">
        <v>1158884.0</v>
      </c>
      <c r="L64" s="84">
        <v>877310.66</v>
      </c>
      <c r="M64" s="80" t="s">
        <v>539</v>
      </c>
      <c r="N64" s="80"/>
      <c r="O64" s="80"/>
      <c r="P64" s="80"/>
      <c r="Q64" s="80"/>
      <c r="R64" s="80"/>
      <c r="S64" s="80"/>
      <c r="T64" s="80"/>
      <c r="U64" s="80"/>
      <c r="V64" s="80"/>
      <c r="W64" s="80"/>
      <c r="X64" s="80"/>
      <c r="Y64" s="80"/>
      <c r="Z64" s="80"/>
    </row>
    <row r="65">
      <c r="A65" s="81">
        <v>2020.0</v>
      </c>
      <c r="B65" s="82" t="s">
        <v>533</v>
      </c>
      <c r="C65" s="82" t="s">
        <v>534</v>
      </c>
      <c r="D65" s="84">
        <v>30000.0</v>
      </c>
      <c r="E65" s="84">
        <v>120.0</v>
      </c>
      <c r="F65" s="84">
        <v>22.0</v>
      </c>
      <c r="G65" s="84">
        <v>7293.4</v>
      </c>
      <c r="H65" s="85">
        <v>46190.0</v>
      </c>
      <c r="I65" s="85">
        <v>46212.0</v>
      </c>
      <c r="J65" s="82" t="s">
        <v>535</v>
      </c>
      <c r="K65" s="86">
        <v>1161844.0</v>
      </c>
      <c r="L65" s="84">
        <v>933686.41</v>
      </c>
      <c r="M65" s="80" t="s">
        <v>537</v>
      </c>
      <c r="N65" s="80"/>
      <c r="O65" s="80"/>
      <c r="P65" s="80"/>
      <c r="Q65" s="80"/>
      <c r="R65" s="80"/>
      <c r="S65" s="80"/>
      <c r="T65" s="80"/>
      <c r="U65" s="80"/>
      <c r="V65" s="80"/>
      <c r="W65" s="80"/>
      <c r="X65" s="80"/>
      <c r="Y65" s="80"/>
      <c r="Z65" s="80"/>
    </row>
    <row r="66">
      <c r="A66" s="81">
        <v>2021.0</v>
      </c>
      <c r="B66" s="82" t="s">
        <v>561</v>
      </c>
      <c r="C66" s="82" t="s">
        <v>534</v>
      </c>
      <c r="D66" s="84">
        <v>30000.0</v>
      </c>
      <c r="E66" s="84">
        <v>120.0</v>
      </c>
      <c r="F66" s="84">
        <v>56.0</v>
      </c>
      <c r="G66" s="84">
        <v>18251.8</v>
      </c>
      <c r="H66" s="85">
        <v>46156.0</v>
      </c>
      <c r="I66" s="85">
        <v>46212.0</v>
      </c>
      <c r="J66" s="82" t="s">
        <v>535</v>
      </c>
      <c r="K66" s="86">
        <v>1159928.0</v>
      </c>
      <c r="L66" s="84">
        <v>438740.9</v>
      </c>
      <c r="M66" s="80" t="s">
        <v>536</v>
      </c>
      <c r="N66" s="80"/>
      <c r="O66" s="80"/>
      <c r="P66" s="80"/>
      <c r="Q66" s="80"/>
      <c r="R66" s="80"/>
      <c r="S66" s="80"/>
      <c r="T66" s="80"/>
      <c r="U66" s="80"/>
      <c r="V66" s="80"/>
      <c r="W66" s="80"/>
      <c r="X66" s="80"/>
      <c r="Y66" s="80"/>
      <c r="Z66" s="80"/>
    </row>
    <row r="67">
      <c r="A67" s="81">
        <v>2022.0</v>
      </c>
      <c r="B67" s="82" t="s">
        <v>561</v>
      </c>
      <c r="C67" s="82" t="s">
        <v>534</v>
      </c>
      <c r="D67" s="84">
        <v>30000.0</v>
      </c>
      <c r="E67" s="84">
        <v>120.0</v>
      </c>
      <c r="F67" s="84">
        <v>79.0</v>
      </c>
      <c r="G67" s="84">
        <v>27564.8</v>
      </c>
      <c r="H67" s="85">
        <v>46133.0</v>
      </c>
      <c r="I67" s="85">
        <v>46212.0</v>
      </c>
      <c r="J67" s="82" t="s">
        <v>535</v>
      </c>
      <c r="K67" s="86">
        <v>1156849.0</v>
      </c>
      <c r="L67" s="84">
        <v>406859.34</v>
      </c>
      <c r="M67" s="80" t="s">
        <v>547</v>
      </c>
      <c r="N67" s="80"/>
      <c r="O67" s="80"/>
      <c r="P67" s="80"/>
      <c r="Q67" s="80"/>
      <c r="R67" s="80"/>
      <c r="S67" s="80"/>
      <c r="T67" s="80"/>
      <c r="U67" s="80"/>
      <c r="V67" s="80"/>
      <c r="W67" s="80"/>
      <c r="X67" s="80"/>
      <c r="Y67" s="80"/>
      <c r="Z67" s="80"/>
    </row>
    <row r="68">
      <c r="A68" s="81">
        <v>2025.0</v>
      </c>
      <c r="B68" s="82" t="s">
        <v>533</v>
      </c>
      <c r="C68" s="82" t="s">
        <v>534</v>
      </c>
      <c r="D68" s="84">
        <v>30000.0</v>
      </c>
      <c r="E68" s="84">
        <v>180.0</v>
      </c>
      <c r="F68" s="84">
        <v>84.0</v>
      </c>
      <c r="G68" s="84">
        <v>29087.2</v>
      </c>
      <c r="H68" s="85">
        <v>46128.0</v>
      </c>
      <c r="I68" s="85">
        <v>46212.0</v>
      </c>
      <c r="J68" s="82" t="s">
        <v>535</v>
      </c>
      <c r="K68" s="86">
        <v>1156349.0</v>
      </c>
      <c r="L68" s="84">
        <v>800765.35</v>
      </c>
      <c r="M68" s="80" t="s">
        <v>549</v>
      </c>
      <c r="N68" s="80"/>
      <c r="O68" s="80"/>
      <c r="P68" s="80"/>
      <c r="Q68" s="80"/>
      <c r="R68" s="80"/>
      <c r="S68" s="80"/>
      <c r="T68" s="80"/>
      <c r="U68" s="80"/>
      <c r="V68" s="80"/>
      <c r="W68" s="80"/>
      <c r="X68" s="80"/>
      <c r="Y68" s="80"/>
      <c r="Z68" s="80"/>
    </row>
    <row r="69">
      <c r="A69" s="81">
        <v>2028.0</v>
      </c>
      <c r="B69" s="82" t="s">
        <v>561</v>
      </c>
      <c r="C69" s="82" t="s">
        <v>534</v>
      </c>
      <c r="D69" s="84">
        <v>30000.0</v>
      </c>
      <c r="E69" s="84">
        <v>120.0</v>
      </c>
      <c r="F69" s="84">
        <v>118.0</v>
      </c>
      <c r="G69" s="84">
        <v>33381.0</v>
      </c>
      <c r="H69" s="85">
        <v>46094.0</v>
      </c>
      <c r="I69" s="85">
        <v>46212.0</v>
      </c>
      <c r="J69" s="82" t="s">
        <v>540</v>
      </c>
      <c r="K69" s="86">
        <v>1153131.0</v>
      </c>
      <c r="L69" s="84">
        <v>364354.24</v>
      </c>
      <c r="M69" s="80" t="s">
        <v>562</v>
      </c>
      <c r="N69" s="80"/>
      <c r="O69" s="80"/>
      <c r="P69" s="80"/>
      <c r="Q69" s="80"/>
      <c r="R69" s="80"/>
      <c r="S69" s="80"/>
      <c r="T69" s="80"/>
      <c r="U69" s="80"/>
      <c r="V69" s="80"/>
      <c r="W69" s="80"/>
      <c r="X69" s="80"/>
      <c r="Y69" s="80"/>
      <c r="Z69" s="80"/>
    </row>
    <row r="70">
      <c r="A70" s="81">
        <v>2029.0</v>
      </c>
      <c r="B70" s="82" t="s">
        <v>533</v>
      </c>
      <c r="C70" s="82" t="s">
        <v>534</v>
      </c>
      <c r="D70" s="84">
        <v>30000.0</v>
      </c>
      <c r="E70" s="84">
        <v>120.0</v>
      </c>
      <c r="F70" s="84">
        <v>86.0</v>
      </c>
      <c r="G70" s="84">
        <v>29920.2</v>
      </c>
      <c r="H70" s="85">
        <v>46126.0</v>
      </c>
      <c r="I70" s="85">
        <v>46212.0</v>
      </c>
      <c r="J70" s="82" t="s">
        <v>535</v>
      </c>
      <c r="K70" s="86">
        <v>1155984.0</v>
      </c>
      <c r="L70" s="84">
        <v>732484.36</v>
      </c>
      <c r="M70" s="80" t="s">
        <v>539</v>
      </c>
      <c r="N70" s="80"/>
      <c r="O70" s="80"/>
      <c r="P70" s="80"/>
      <c r="Q70" s="80"/>
      <c r="R70" s="80"/>
      <c r="S70" s="80"/>
      <c r="T70" s="80"/>
      <c r="U70" s="80"/>
      <c r="V70" s="80"/>
      <c r="W70" s="80"/>
      <c r="X70" s="80"/>
      <c r="Y70" s="80"/>
      <c r="Z70" s="80"/>
    </row>
    <row r="71">
      <c r="A71" s="81">
        <v>2031.0</v>
      </c>
      <c r="B71" s="82" t="s">
        <v>557</v>
      </c>
      <c r="C71" s="82" t="s">
        <v>534</v>
      </c>
      <c r="D71" s="84">
        <v>30000.0</v>
      </c>
      <c r="E71" s="84">
        <v>120.0</v>
      </c>
      <c r="F71" s="84">
        <v>93.0</v>
      </c>
      <c r="G71" s="84">
        <v>23926.6</v>
      </c>
      <c r="H71" s="85">
        <v>46119.0</v>
      </c>
      <c r="I71" s="85">
        <v>46212.0</v>
      </c>
      <c r="J71" s="82" t="s">
        <v>535</v>
      </c>
      <c r="K71" s="86">
        <v>1155278.0</v>
      </c>
      <c r="L71" s="84">
        <v>1668601.73</v>
      </c>
      <c r="M71" s="80" t="s">
        <v>547</v>
      </c>
      <c r="N71" s="80"/>
      <c r="O71" s="80"/>
      <c r="P71" s="80"/>
      <c r="Q71" s="80"/>
      <c r="R71" s="80"/>
      <c r="S71" s="80"/>
      <c r="T71" s="80"/>
      <c r="U71" s="80"/>
      <c r="V71" s="80"/>
      <c r="W71" s="80"/>
      <c r="X71" s="80"/>
      <c r="Y71" s="80"/>
      <c r="Z71" s="80"/>
    </row>
    <row r="72">
      <c r="A72" s="81">
        <v>2032.0</v>
      </c>
      <c r="B72" s="82" t="s">
        <v>557</v>
      </c>
      <c r="C72" s="82" t="s">
        <v>534</v>
      </c>
      <c r="D72" s="84">
        <v>30000.0</v>
      </c>
      <c r="E72" s="84">
        <v>120.0</v>
      </c>
      <c r="F72" s="84">
        <v>175.0</v>
      </c>
      <c r="G72" s="84">
        <v>13075.9</v>
      </c>
      <c r="H72" s="85">
        <v>46037.0</v>
      </c>
      <c r="I72" s="85">
        <v>46212.0</v>
      </c>
      <c r="J72" s="82" t="s">
        <v>540</v>
      </c>
      <c r="K72" s="86">
        <v>1146229.0</v>
      </c>
      <c r="L72" s="84">
        <v>1598944.05</v>
      </c>
      <c r="M72" s="80" t="s">
        <v>562</v>
      </c>
      <c r="N72" s="80"/>
      <c r="O72" s="80"/>
      <c r="P72" s="80"/>
      <c r="Q72" s="80"/>
      <c r="R72" s="80"/>
      <c r="S72" s="80"/>
      <c r="T72" s="80"/>
      <c r="U72" s="80"/>
      <c r="V72" s="80"/>
      <c r="W72" s="80"/>
      <c r="X72" s="80"/>
      <c r="Y72" s="80"/>
      <c r="Z72" s="80"/>
    </row>
    <row r="73">
      <c r="A73" s="81">
        <v>2033.0</v>
      </c>
      <c r="B73" s="82" t="s">
        <v>557</v>
      </c>
      <c r="C73" s="82" t="s">
        <v>534</v>
      </c>
      <c r="D73" s="84">
        <v>30000.0</v>
      </c>
      <c r="E73" s="84">
        <v>120.0</v>
      </c>
      <c r="F73" s="84">
        <v>92.0</v>
      </c>
      <c r="G73" s="84">
        <v>29892.2</v>
      </c>
      <c r="H73" s="85">
        <v>46120.0</v>
      </c>
      <c r="I73" s="85">
        <v>46212.0</v>
      </c>
      <c r="J73" s="82" t="s">
        <v>535</v>
      </c>
      <c r="K73" s="86">
        <v>1155435.0</v>
      </c>
      <c r="L73" s="84">
        <v>1575155.86</v>
      </c>
      <c r="M73" s="80" t="s">
        <v>539</v>
      </c>
      <c r="N73" s="80"/>
      <c r="O73" s="80"/>
      <c r="P73" s="80"/>
      <c r="Q73" s="80"/>
      <c r="R73" s="80"/>
      <c r="S73" s="80"/>
      <c r="T73" s="80"/>
      <c r="U73" s="80"/>
      <c r="V73" s="80"/>
      <c r="W73" s="80"/>
      <c r="X73" s="80"/>
      <c r="Y73" s="80"/>
      <c r="Z73" s="80"/>
    </row>
    <row r="74">
      <c r="A74" s="81">
        <v>2034.0</v>
      </c>
      <c r="B74" s="82" t="s">
        <v>557</v>
      </c>
      <c r="C74" s="82" t="s">
        <v>534</v>
      </c>
      <c r="D74" s="84">
        <v>30000.0</v>
      </c>
      <c r="E74" s="84">
        <v>120.0</v>
      </c>
      <c r="F74" s="84">
        <v>136.0</v>
      </c>
      <c r="G74" s="84">
        <v>41327.4</v>
      </c>
      <c r="H74" s="85">
        <v>46076.0</v>
      </c>
      <c r="I74" s="85">
        <v>46212.0</v>
      </c>
      <c r="J74" s="82" t="s">
        <v>540</v>
      </c>
      <c r="K74" s="86">
        <v>1150806.0</v>
      </c>
      <c r="L74" s="84">
        <v>1002804.46</v>
      </c>
      <c r="M74" s="80" t="s">
        <v>539</v>
      </c>
      <c r="N74" s="80"/>
      <c r="O74" s="80"/>
      <c r="P74" s="80"/>
      <c r="Q74" s="80"/>
      <c r="R74" s="80"/>
      <c r="S74" s="80"/>
      <c r="T74" s="80"/>
      <c r="U74" s="80"/>
      <c r="V74" s="80"/>
      <c r="W74" s="80"/>
      <c r="X74" s="80"/>
      <c r="Y74" s="80"/>
      <c r="Z74" s="80"/>
    </row>
    <row r="75">
      <c r="A75" s="81">
        <v>2035.0</v>
      </c>
      <c r="B75" s="82" t="s">
        <v>557</v>
      </c>
      <c r="C75" s="82" t="s">
        <v>534</v>
      </c>
      <c r="D75" s="84">
        <v>30000.0</v>
      </c>
      <c r="E75" s="84">
        <v>120.0</v>
      </c>
      <c r="F75" s="84">
        <v>139.0</v>
      </c>
      <c r="G75" s="84">
        <v>11690.0</v>
      </c>
      <c r="H75" s="85">
        <v>46073.0</v>
      </c>
      <c r="I75" s="85">
        <v>46212.0</v>
      </c>
      <c r="J75" s="82" t="s">
        <v>540</v>
      </c>
      <c r="K75" s="86">
        <v>1150565.0</v>
      </c>
      <c r="L75" s="84">
        <v>1345413.77</v>
      </c>
      <c r="M75" s="80" t="s">
        <v>547</v>
      </c>
      <c r="N75" s="80"/>
      <c r="O75" s="80"/>
      <c r="P75" s="80"/>
      <c r="Q75" s="80"/>
      <c r="R75" s="80"/>
      <c r="S75" s="80"/>
      <c r="T75" s="80"/>
      <c r="U75" s="80"/>
      <c r="V75" s="80"/>
      <c r="W75" s="80"/>
      <c r="X75" s="80"/>
      <c r="Y75" s="80"/>
      <c r="Z75" s="80"/>
    </row>
    <row r="76">
      <c r="A76" s="81">
        <v>2036.0</v>
      </c>
      <c r="B76" s="82" t="s">
        <v>557</v>
      </c>
      <c r="C76" s="82" t="s">
        <v>534</v>
      </c>
      <c r="D76" s="84">
        <v>30000.0</v>
      </c>
      <c r="E76" s="84">
        <v>120.0</v>
      </c>
      <c r="F76" s="84">
        <v>51.0</v>
      </c>
      <c r="G76" s="84">
        <v>14631.2</v>
      </c>
      <c r="H76" s="85">
        <v>46161.0</v>
      </c>
      <c r="I76" s="85">
        <v>46212.0</v>
      </c>
      <c r="J76" s="82" t="s">
        <v>535</v>
      </c>
      <c r="K76" s="86">
        <v>1160199.0</v>
      </c>
      <c r="L76" s="84">
        <v>1417098.0</v>
      </c>
      <c r="M76" s="80" t="s">
        <v>549</v>
      </c>
      <c r="N76" s="80"/>
      <c r="O76" s="80"/>
      <c r="P76" s="80"/>
      <c r="Q76" s="80"/>
      <c r="R76" s="80"/>
      <c r="S76" s="80"/>
      <c r="T76" s="80"/>
      <c r="U76" s="80"/>
      <c r="V76" s="80"/>
      <c r="W76" s="80"/>
      <c r="X76" s="80"/>
      <c r="Y76" s="80"/>
      <c r="Z76" s="80"/>
    </row>
    <row r="77">
      <c r="A77" s="81">
        <v>2039.0</v>
      </c>
      <c r="B77" s="82" t="s">
        <v>557</v>
      </c>
      <c r="C77" s="82" t="s">
        <v>534</v>
      </c>
      <c r="D77" s="84">
        <v>30000.0</v>
      </c>
      <c r="E77" s="84">
        <v>120.0</v>
      </c>
      <c r="F77" s="84">
        <v>48.0</v>
      </c>
      <c r="G77" s="84">
        <v>5905.3</v>
      </c>
      <c r="H77" s="85">
        <v>46164.0</v>
      </c>
      <c r="I77" s="85">
        <v>46212.0</v>
      </c>
      <c r="J77" s="82" t="s">
        <v>535</v>
      </c>
      <c r="K77" s="86">
        <v>1160994.0</v>
      </c>
      <c r="L77" s="84">
        <v>1243312.75</v>
      </c>
      <c r="M77" s="80" t="s">
        <v>563</v>
      </c>
      <c r="N77" s="80"/>
      <c r="O77" s="80"/>
      <c r="P77" s="80"/>
      <c r="Q77" s="80"/>
      <c r="R77" s="80"/>
      <c r="S77" s="80"/>
      <c r="T77" s="80"/>
      <c r="U77" s="80"/>
      <c r="V77" s="80"/>
      <c r="W77" s="80"/>
      <c r="X77" s="80"/>
      <c r="Y77" s="80"/>
      <c r="Z77" s="80"/>
    </row>
    <row r="78">
      <c r="A78" s="81">
        <v>2040.0</v>
      </c>
      <c r="B78" s="82" t="s">
        <v>557</v>
      </c>
      <c r="C78" s="82" t="s">
        <v>534</v>
      </c>
      <c r="D78" s="84">
        <v>30000.0</v>
      </c>
      <c r="E78" s="84">
        <v>120.0</v>
      </c>
      <c r="F78" s="84">
        <v>1.0</v>
      </c>
      <c r="G78" s="84">
        <v>0.0</v>
      </c>
      <c r="H78" s="85">
        <v>46211.0</v>
      </c>
      <c r="I78" s="85">
        <v>46212.0</v>
      </c>
      <c r="J78" s="82" t="s">
        <v>535</v>
      </c>
      <c r="K78" s="86">
        <v>1162172.0</v>
      </c>
      <c r="L78" s="84">
        <v>1403500.46</v>
      </c>
      <c r="M78" s="80" t="s">
        <v>547</v>
      </c>
      <c r="N78" s="80"/>
      <c r="O78" s="80"/>
      <c r="P78" s="80"/>
      <c r="Q78" s="80"/>
      <c r="R78" s="80"/>
      <c r="S78" s="80"/>
      <c r="T78" s="80"/>
      <c r="U78" s="80"/>
      <c r="V78" s="80"/>
      <c r="W78" s="80"/>
      <c r="X78" s="80"/>
      <c r="Y78" s="80"/>
      <c r="Z78" s="80"/>
    </row>
    <row r="79">
      <c r="A79" s="81">
        <v>2041.0</v>
      </c>
      <c r="B79" s="82" t="s">
        <v>557</v>
      </c>
      <c r="C79" s="82" t="s">
        <v>534</v>
      </c>
      <c r="D79" s="84">
        <v>30000.0</v>
      </c>
      <c r="E79" s="84">
        <v>120.0</v>
      </c>
      <c r="F79" s="84">
        <v>72.0</v>
      </c>
      <c r="G79" s="84">
        <v>4677.7</v>
      </c>
      <c r="H79" s="85">
        <v>46140.0</v>
      </c>
      <c r="I79" s="85">
        <v>46212.0</v>
      </c>
      <c r="J79" s="82" t="s">
        <v>535</v>
      </c>
      <c r="K79" s="86">
        <v>1157375.0</v>
      </c>
      <c r="L79" s="84">
        <v>1351577.15</v>
      </c>
      <c r="M79" s="80" t="s">
        <v>539</v>
      </c>
      <c r="N79" s="80"/>
      <c r="O79" s="80"/>
      <c r="P79" s="80"/>
      <c r="Q79" s="80"/>
      <c r="R79" s="80"/>
      <c r="S79" s="80"/>
      <c r="T79" s="80"/>
      <c r="U79" s="80"/>
      <c r="V79" s="80"/>
      <c r="W79" s="80"/>
      <c r="X79" s="80"/>
      <c r="Y79" s="80"/>
      <c r="Z79" s="80"/>
    </row>
    <row r="80">
      <c r="A80" s="81">
        <v>2042.0</v>
      </c>
      <c r="B80" s="82" t="s">
        <v>557</v>
      </c>
      <c r="C80" s="82" t="s">
        <v>534</v>
      </c>
      <c r="D80" s="84">
        <v>30000.0</v>
      </c>
      <c r="E80" s="84">
        <v>120.0</v>
      </c>
      <c r="F80" s="84">
        <v>70.0</v>
      </c>
      <c r="G80" s="84">
        <v>21014.9</v>
      </c>
      <c r="H80" s="85">
        <v>46142.0</v>
      </c>
      <c r="I80" s="85">
        <v>46212.0</v>
      </c>
      <c r="J80" s="82" t="s">
        <v>535</v>
      </c>
      <c r="K80" s="86">
        <v>1158027.0</v>
      </c>
      <c r="L80" s="84">
        <v>1112905.41</v>
      </c>
      <c r="M80" s="80" t="s">
        <v>536</v>
      </c>
      <c r="N80" s="80"/>
      <c r="O80" s="80"/>
      <c r="P80" s="80"/>
      <c r="Q80" s="80"/>
      <c r="R80" s="80"/>
      <c r="S80" s="80"/>
      <c r="T80" s="80"/>
      <c r="U80" s="80"/>
      <c r="V80" s="80"/>
      <c r="W80" s="80"/>
      <c r="X80" s="80"/>
      <c r="Y80" s="80"/>
      <c r="Z80" s="80"/>
    </row>
    <row r="81">
      <c r="A81" s="81">
        <v>2043.0</v>
      </c>
      <c r="B81" s="82" t="s">
        <v>533</v>
      </c>
      <c r="C81" s="82" t="s">
        <v>534</v>
      </c>
      <c r="D81" s="84">
        <v>30000.0</v>
      </c>
      <c r="E81" s="84">
        <v>120.0</v>
      </c>
      <c r="F81" s="84">
        <v>1.0</v>
      </c>
      <c r="G81" s="84">
        <v>0.0</v>
      </c>
      <c r="H81" s="85">
        <v>46211.0</v>
      </c>
      <c r="I81" s="85">
        <v>46212.0</v>
      </c>
      <c r="J81" s="82" t="s">
        <v>535</v>
      </c>
      <c r="K81" s="86">
        <v>1162205.0</v>
      </c>
      <c r="L81" s="84">
        <v>1494566.7</v>
      </c>
      <c r="M81" s="80" t="s">
        <v>547</v>
      </c>
      <c r="N81" s="80"/>
      <c r="O81" s="80"/>
      <c r="P81" s="80"/>
      <c r="Q81" s="80"/>
      <c r="R81" s="80"/>
      <c r="S81" s="80"/>
      <c r="T81" s="80"/>
      <c r="U81" s="80"/>
      <c r="V81" s="80"/>
      <c r="W81" s="80"/>
      <c r="X81" s="80"/>
      <c r="Y81" s="80"/>
      <c r="Z81" s="80"/>
    </row>
    <row r="82">
      <c r="A82" s="81">
        <v>2044.0</v>
      </c>
      <c r="B82" s="82" t="s">
        <v>533</v>
      </c>
      <c r="C82" s="82" t="s">
        <v>534</v>
      </c>
      <c r="D82" s="84">
        <v>30000.0</v>
      </c>
      <c r="E82" s="84">
        <v>120.0</v>
      </c>
      <c r="F82" s="84">
        <v>85.0</v>
      </c>
      <c r="G82" s="84">
        <v>24086.9</v>
      </c>
      <c r="H82" s="85">
        <v>46127.0</v>
      </c>
      <c r="I82" s="85">
        <v>46212.0</v>
      </c>
      <c r="J82" s="82" t="s">
        <v>535</v>
      </c>
      <c r="K82" s="86">
        <v>1156225.0</v>
      </c>
      <c r="L82" s="84">
        <v>1424349.31</v>
      </c>
      <c r="M82" s="80" t="s">
        <v>539</v>
      </c>
      <c r="N82" s="80"/>
      <c r="O82" s="80"/>
      <c r="P82" s="80"/>
      <c r="Q82" s="80"/>
      <c r="R82" s="80"/>
      <c r="S82" s="80"/>
      <c r="T82" s="80"/>
      <c r="U82" s="80"/>
      <c r="V82" s="80"/>
      <c r="W82" s="80"/>
      <c r="X82" s="80"/>
      <c r="Y82" s="80"/>
      <c r="Z82" s="80"/>
    </row>
    <row r="83">
      <c r="A83" s="81">
        <v>2045.0</v>
      </c>
      <c r="B83" s="82" t="s">
        <v>533</v>
      </c>
      <c r="C83" s="82" t="s">
        <v>534</v>
      </c>
      <c r="D83" s="84">
        <v>30000.0</v>
      </c>
      <c r="E83" s="84">
        <v>120.0</v>
      </c>
      <c r="F83" s="84">
        <v>55.0</v>
      </c>
      <c r="G83" s="84">
        <v>12482.3</v>
      </c>
      <c r="H83" s="85">
        <v>46157.0</v>
      </c>
      <c r="I83" s="85">
        <v>46212.0</v>
      </c>
      <c r="J83" s="82" t="s">
        <v>535</v>
      </c>
      <c r="K83" s="86">
        <v>1160060.0</v>
      </c>
      <c r="L83" s="84">
        <v>1429710.95</v>
      </c>
      <c r="M83" s="80" t="s">
        <v>549</v>
      </c>
      <c r="N83" s="80"/>
      <c r="O83" s="80"/>
      <c r="P83" s="80"/>
      <c r="Q83" s="80"/>
      <c r="R83" s="80"/>
      <c r="S83" s="80"/>
      <c r="T83" s="80"/>
      <c r="U83" s="80"/>
      <c r="V83" s="80"/>
      <c r="W83" s="80"/>
      <c r="X83" s="80"/>
      <c r="Y83" s="80"/>
      <c r="Z83" s="80"/>
    </row>
    <row r="84">
      <c r="A84" s="81">
        <v>2046.0</v>
      </c>
      <c r="B84" s="82" t="s">
        <v>533</v>
      </c>
      <c r="C84" s="82" t="s">
        <v>534</v>
      </c>
      <c r="D84" s="84">
        <v>30000.0</v>
      </c>
      <c r="E84" s="84">
        <v>120.0</v>
      </c>
      <c r="F84" s="84">
        <v>64.0</v>
      </c>
      <c r="G84" s="84">
        <v>15114.8</v>
      </c>
      <c r="H84" s="85">
        <v>46148.0</v>
      </c>
      <c r="I84" s="85">
        <v>46212.0</v>
      </c>
      <c r="J84" s="82" t="s">
        <v>535</v>
      </c>
      <c r="K84" s="86">
        <v>1158653.0</v>
      </c>
      <c r="L84" s="84">
        <v>1182139.76</v>
      </c>
      <c r="M84" s="80" t="s">
        <v>543</v>
      </c>
      <c r="N84" s="80"/>
      <c r="O84" s="80"/>
      <c r="P84" s="80"/>
      <c r="Q84" s="80"/>
      <c r="R84" s="80"/>
      <c r="S84" s="80"/>
      <c r="T84" s="80"/>
      <c r="U84" s="80"/>
      <c r="V84" s="80"/>
      <c r="W84" s="80"/>
      <c r="X84" s="80"/>
      <c r="Y84" s="80"/>
      <c r="Z84" s="80"/>
    </row>
    <row r="85">
      <c r="A85" s="81">
        <v>2047.0</v>
      </c>
      <c r="B85" s="82" t="s">
        <v>533</v>
      </c>
      <c r="C85" s="82" t="s">
        <v>534</v>
      </c>
      <c r="D85" s="84">
        <v>30000.0</v>
      </c>
      <c r="E85" s="84">
        <v>120.0</v>
      </c>
      <c r="F85" s="84">
        <v>94.0</v>
      </c>
      <c r="G85" s="84">
        <v>37463.2</v>
      </c>
      <c r="H85" s="85">
        <v>46118.0</v>
      </c>
      <c r="I85" s="85">
        <v>46212.0</v>
      </c>
      <c r="J85" s="82" t="s">
        <v>540</v>
      </c>
      <c r="K85" s="86">
        <v>1155091.0</v>
      </c>
      <c r="L85" s="84">
        <v>1358815.44</v>
      </c>
      <c r="M85" s="80" t="s">
        <v>536</v>
      </c>
      <c r="N85" s="80"/>
      <c r="O85" s="80"/>
      <c r="P85" s="80"/>
      <c r="Q85" s="80"/>
      <c r="R85" s="80"/>
      <c r="S85" s="80"/>
      <c r="T85" s="80"/>
      <c r="U85" s="80"/>
      <c r="V85" s="80"/>
      <c r="W85" s="80"/>
      <c r="X85" s="80"/>
      <c r="Y85" s="80"/>
      <c r="Z85" s="80"/>
    </row>
    <row r="86">
      <c r="A86" s="81">
        <v>2048.0</v>
      </c>
      <c r="B86" s="82" t="s">
        <v>533</v>
      </c>
      <c r="C86" s="82" t="s">
        <v>534</v>
      </c>
      <c r="D86" s="84">
        <v>30000.0</v>
      </c>
      <c r="E86" s="84">
        <v>120.0</v>
      </c>
      <c r="F86" s="84">
        <v>87.0</v>
      </c>
      <c r="G86" s="84">
        <v>27538.4</v>
      </c>
      <c r="H86" s="85">
        <v>46125.0</v>
      </c>
      <c r="I86" s="85">
        <v>46212.0</v>
      </c>
      <c r="J86" s="82" t="s">
        <v>535</v>
      </c>
      <c r="K86" s="86">
        <v>1155917.0</v>
      </c>
      <c r="L86" s="84">
        <v>1598776.52</v>
      </c>
      <c r="M86" s="80" t="s">
        <v>549</v>
      </c>
      <c r="N86" s="80"/>
      <c r="O86" s="80"/>
      <c r="P86" s="80"/>
      <c r="Q86" s="80"/>
      <c r="R86" s="80"/>
      <c r="S86" s="80"/>
      <c r="T86" s="80"/>
      <c r="U86" s="80"/>
      <c r="V86" s="80"/>
      <c r="W86" s="80"/>
      <c r="X86" s="80"/>
      <c r="Y86" s="80"/>
      <c r="Z86" s="80"/>
    </row>
    <row r="87">
      <c r="A87" s="81">
        <v>2049.0</v>
      </c>
      <c r="B87" s="82" t="s">
        <v>533</v>
      </c>
      <c r="C87" s="82" t="s">
        <v>534</v>
      </c>
      <c r="D87" s="84">
        <v>30000.0</v>
      </c>
      <c r="E87" s="84">
        <v>120.0</v>
      </c>
      <c r="F87" s="84">
        <v>35.0</v>
      </c>
      <c r="G87" s="84">
        <v>8702.8</v>
      </c>
      <c r="H87" s="85">
        <v>46177.0</v>
      </c>
      <c r="I87" s="85">
        <v>46212.0</v>
      </c>
      <c r="J87" s="82" t="s">
        <v>535</v>
      </c>
      <c r="K87" s="86">
        <v>1161660.0</v>
      </c>
      <c r="L87" s="84">
        <v>1322355.89</v>
      </c>
      <c r="M87" s="80" t="s">
        <v>537</v>
      </c>
      <c r="N87" s="80"/>
      <c r="O87" s="80"/>
      <c r="P87" s="80"/>
      <c r="Q87" s="80"/>
      <c r="R87" s="80"/>
      <c r="S87" s="80"/>
      <c r="T87" s="80"/>
      <c r="U87" s="80"/>
      <c r="V87" s="80"/>
      <c r="W87" s="80"/>
      <c r="X87" s="80"/>
      <c r="Y87" s="80"/>
      <c r="Z87" s="80"/>
    </row>
    <row r="88">
      <c r="A88" s="81">
        <v>2050.0</v>
      </c>
      <c r="B88" s="82" t="s">
        <v>533</v>
      </c>
      <c r="C88" s="82" t="s">
        <v>534</v>
      </c>
      <c r="D88" s="84">
        <v>30000.0</v>
      </c>
      <c r="E88" s="84">
        <v>120.0</v>
      </c>
      <c r="F88" s="84">
        <v>73.0</v>
      </c>
      <c r="G88" s="84">
        <v>24187.5</v>
      </c>
      <c r="H88" s="85">
        <v>46139.0</v>
      </c>
      <c r="I88" s="85">
        <v>46212.0</v>
      </c>
      <c r="J88" s="82" t="s">
        <v>535</v>
      </c>
      <c r="K88" s="86">
        <v>1157456.0</v>
      </c>
      <c r="L88" s="84">
        <v>1357381.79</v>
      </c>
      <c r="M88" s="80" t="s">
        <v>539</v>
      </c>
      <c r="N88" s="80"/>
      <c r="O88" s="80"/>
      <c r="P88" s="80"/>
      <c r="Q88" s="80"/>
      <c r="R88" s="80"/>
      <c r="S88" s="80"/>
      <c r="T88" s="80"/>
      <c r="U88" s="80"/>
      <c r="V88" s="80"/>
      <c r="W88" s="80"/>
      <c r="X88" s="80"/>
      <c r="Y88" s="80"/>
      <c r="Z88" s="80"/>
    </row>
    <row r="89">
      <c r="A89" s="81">
        <v>2051.0</v>
      </c>
      <c r="B89" s="82" t="s">
        <v>533</v>
      </c>
      <c r="C89" s="82" t="s">
        <v>534</v>
      </c>
      <c r="D89" s="84">
        <v>30000.0</v>
      </c>
      <c r="E89" s="84">
        <v>120.0</v>
      </c>
      <c r="F89" s="84">
        <v>140.0</v>
      </c>
      <c r="G89" s="84">
        <v>41898.4</v>
      </c>
      <c r="H89" s="85">
        <v>46072.0</v>
      </c>
      <c r="I89" s="85">
        <v>46212.0</v>
      </c>
      <c r="J89" s="82" t="s">
        <v>540</v>
      </c>
      <c r="K89" s="86">
        <v>1150496.0</v>
      </c>
      <c r="L89" s="84">
        <v>1284916.89</v>
      </c>
      <c r="M89" s="80" t="s">
        <v>564</v>
      </c>
      <c r="N89" s="80"/>
      <c r="O89" s="80"/>
      <c r="P89" s="80"/>
      <c r="Q89" s="80"/>
      <c r="R89" s="80"/>
      <c r="S89" s="80"/>
      <c r="T89" s="80"/>
      <c r="U89" s="80"/>
      <c r="V89" s="80"/>
      <c r="W89" s="80"/>
      <c r="X89" s="80"/>
      <c r="Y89" s="80"/>
      <c r="Z89" s="80"/>
    </row>
    <row r="90">
      <c r="A90" s="81">
        <v>2052.0</v>
      </c>
      <c r="B90" s="82" t="s">
        <v>533</v>
      </c>
      <c r="C90" s="82" t="s">
        <v>534</v>
      </c>
      <c r="D90" s="84">
        <v>30000.0</v>
      </c>
      <c r="E90" s="84">
        <v>120.0</v>
      </c>
      <c r="F90" s="84">
        <v>90.0</v>
      </c>
      <c r="G90" s="84">
        <v>30772.4</v>
      </c>
      <c r="H90" s="85">
        <v>46122.0</v>
      </c>
      <c r="I90" s="85">
        <v>46212.0</v>
      </c>
      <c r="J90" s="82" t="s">
        <v>540</v>
      </c>
      <c r="K90" s="86">
        <v>1155686.0</v>
      </c>
      <c r="L90" s="84">
        <v>1305702.96</v>
      </c>
      <c r="M90" s="80" t="s">
        <v>539</v>
      </c>
      <c r="N90" s="80"/>
      <c r="O90" s="80"/>
      <c r="P90" s="80"/>
      <c r="Q90" s="80"/>
      <c r="R90" s="80"/>
      <c r="S90" s="80"/>
      <c r="T90" s="80"/>
      <c r="U90" s="80"/>
      <c r="V90" s="80"/>
      <c r="W90" s="80"/>
      <c r="X90" s="80"/>
      <c r="Y90" s="80"/>
      <c r="Z90" s="80"/>
    </row>
    <row r="91">
      <c r="A91" s="81">
        <v>2053.0</v>
      </c>
      <c r="B91" s="82" t="s">
        <v>533</v>
      </c>
      <c r="C91" s="82" t="s">
        <v>534</v>
      </c>
      <c r="D91" s="84">
        <v>30000.0</v>
      </c>
      <c r="E91" s="84">
        <v>120.0</v>
      </c>
      <c r="F91" s="84">
        <v>58.0</v>
      </c>
      <c r="G91" s="84">
        <v>20003.1</v>
      </c>
      <c r="H91" s="85">
        <v>46154.0</v>
      </c>
      <c r="I91" s="85">
        <v>46212.0</v>
      </c>
      <c r="J91" s="82" t="s">
        <v>535</v>
      </c>
      <c r="K91" s="86">
        <v>1159481.0</v>
      </c>
      <c r="L91" s="84">
        <v>1253770.32</v>
      </c>
      <c r="M91" s="80" t="s">
        <v>539</v>
      </c>
      <c r="N91" s="80"/>
      <c r="O91" s="80"/>
      <c r="P91" s="80"/>
      <c r="Q91" s="80"/>
      <c r="R91" s="80"/>
      <c r="S91" s="80"/>
      <c r="T91" s="80"/>
      <c r="U91" s="80"/>
      <c r="V91" s="80"/>
      <c r="W91" s="80"/>
      <c r="X91" s="80"/>
      <c r="Y91" s="80"/>
      <c r="Z91" s="80"/>
    </row>
    <row r="92">
      <c r="A92" s="81">
        <v>2054.0</v>
      </c>
      <c r="B92" s="82" t="s">
        <v>533</v>
      </c>
      <c r="C92" s="82" t="s">
        <v>534</v>
      </c>
      <c r="D92" s="84">
        <v>30000.0</v>
      </c>
      <c r="E92" s="84">
        <v>120.0</v>
      </c>
      <c r="F92" s="84">
        <v>92.0</v>
      </c>
      <c r="G92" s="84">
        <v>33901.3</v>
      </c>
      <c r="H92" s="85">
        <v>46120.0</v>
      </c>
      <c r="I92" s="85">
        <v>46212.0</v>
      </c>
      <c r="J92" s="82" t="s">
        <v>540</v>
      </c>
      <c r="K92" s="86">
        <v>1155511.0</v>
      </c>
      <c r="L92" s="84">
        <v>1200840.91</v>
      </c>
      <c r="M92" s="80" t="s">
        <v>536</v>
      </c>
      <c r="N92" s="80"/>
      <c r="O92" s="80"/>
      <c r="P92" s="80"/>
      <c r="Q92" s="80"/>
      <c r="R92" s="80"/>
      <c r="S92" s="80"/>
      <c r="T92" s="80"/>
      <c r="U92" s="80"/>
      <c r="V92" s="80"/>
      <c r="W92" s="80"/>
      <c r="X92" s="80"/>
      <c r="Y92" s="80"/>
      <c r="Z92" s="80"/>
    </row>
    <row r="93">
      <c r="A93" s="81">
        <v>2055.0</v>
      </c>
      <c r="B93" s="82" t="s">
        <v>533</v>
      </c>
      <c r="C93" s="82" t="s">
        <v>534</v>
      </c>
      <c r="D93" s="84">
        <v>30000.0</v>
      </c>
      <c r="E93" s="84">
        <v>120.0</v>
      </c>
      <c r="F93" s="84">
        <v>51.0</v>
      </c>
      <c r="G93" s="84">
        <v>16038.0</v>
      </c>
      <c r="H93" s="85">
        <v>46161.0</v>
      </c>
      <c r="I93" s="85">
        <v>46212.0</v>
      </c>
      <c r="J93" s="82" t="s">
        <v>535</v>
      </c>
      <c r="K93" s="86">
        <v>1159988.0</v>
      </c>
      <c r="L93" s="84">
        <v>1194634.26</v>
      </c>
      <c r="M93" s="80" t="s">
        <v>543</v>
      </c>
      <c r="N93" s="80"/>
      <c r="O93" s="80"/>
      <c r="P93" s="80"/>
      <c r="Q93" s="80"/>
      <c r="R93" s="80"/>
      <c r="S93" s="80"/>
      <c r="T93" s="80"/>
      <c r="U93" s="80"/>
      <c r="V93" s="80"/>
      <c r="W93" s="80"/>
      <c r="X93" s="80"/>
      <c r="Y93" s="80"/>
      <c r="Z93" s="80"/>
    </row>
    <row r="94">
      <c r="A94" s="81">
        <v>2056.0</v>
      </c>
      <c r="B94" s="82" t="s">
        <v>555</v>
      </c>
      <c r="C94" s="82" t="s">
        <v>534</v>
      </c>
      <c r="D94" s="84">
        <v>30000.0</v>
      </c>
      <c r="E94" s="84">
        <v>120.0</v>
      </c>
      <c r="F94" s="84">
        <v>83.0</v>
      </c>
      <c r="G94" s="84">
        <v>20040.3</v>
      </c>
      <c r="H94" s="85">
        <v>46129.0</v>
      </c>
      <c r="I94" s="85">
        <v>46212.0</v>
      </c>
      <c r="J94" s="82" t="s">
        <v>535</v>
      </c>
      <c r="K94" s="86">
        <v>1156510.0</v>
      </c>
      <c r="L94" s="84">
        <v>1174119.96</v>
      </c>
      <c r="M94" s="80" t="s">
        <v>549</v>
      </c>
      <c r="N94" s="80"/>
      <c r="O94" s="80"/>
      <c r="P94" s="80"/>
      <c r="Q94" s="80"/>
      <c r="R94" s="80"/>
      <c r="S94" s="80"/>
      <c r="T94" s="80"/>
      <c r="U94" s="80"/>
      <c r="V94" s="80"/>
      <c r="W94" s="80"/>
      <c r="X94" s="80"/>
      <c r="Y94" s="80"/>
      <c r="Z94" s="80"/>
    </row>
    <row r="95">
      <c r="A95" s="81">
        <v>2057.0</v>
      </c>
      <c r="B95" s="82" t="s">
        <v>555</v>
      </c>
      <c r="C95" s="82" t="s">
        <v>534</v>
      </c>
      <c r="D95" s="84">
        <v>30000.0</v>
      </c>
      <c r="E95" s="84">
        <v>120.0</v>
      </c>
      <c r="F95" s="84">
        <v>45.0</v>
      </c>
      <c r="G95" s="84">
        <v>14918.3</v>
      </c>
      <c r="H95" s="85">
        <v>46167.0</v>
      </c>
      <c r="I95" s="85">
        <v>46212.0</v>
      </c>
      <c r="J95" s="82" t="s">
        <v>535</v>
      </c>
      <c r="K95" s="86">
        <v>1161164.0</v>
      </c>
      <c r="L95" s="84">
        <v>1274649.8</v>
      </c>
      <c r="M95" s="80" t="s">
        <v>539</v>
      </c>
      <c r="N95" s="80"/>
      <c r="O95" s="80"/>
      <c r="P95" s="80"/>
      <c r="Q95" s="80"/>
      <c r="R95" s="80"/>
      <c r="S95" s="80"/>
      <c r="T95" s="80"/>
      <c r="U95" s="80"/>
      <c r="V95" s="80"/>
      <c r="W95" s="80"/>
      <c r="X95" s="80"/>
      <c r="Y95" s="80"/>
      <c r="Z95" s="80"/>
    </row>
    <row r="96">
      <c r="A96" s="81">
        <v>2058.0</v>
      </c>
      <c r="B96" s="82" t="s">
        <v>555</v>
      </c>
      <c r="C96" s="82" t="s">
        <v>534</v>
      </c>
      <c r="D96" s="84">
        <v>30000.0</v>
      </c>
      <c r="E96" s="84">
        <v>120.0</v>
      </c>
      <c r="F96" s="84">
        <v>41.0</v>
      </c>
      <c r="G96" s="84">
        <v>13602.7</v>
      </c>
      <c r="H96" s="85">
        <v>46171.0</v>
      </c>
      <c r="I96" s="85">
        <v>46212.0</v>
      </c>
      <c r="J96" s="82" t="s">
        <v>535</v>
      </c>
      <c r="K96" s="86">
        <v>1161471.0</v>
      </c>
      <c r="L96" s="84">
        <v>1515054.88</v>
      </c>
      <c r="M96" s="80" t="s">
        <v>536</v>
      </c>
      <c r="N96" s="80"/>
      <c r="O96" s="80"/>
      <c r="P96" s="80"/>
      <c r="Q96" s="80"/>
      <c r="R96" s="80"/>
      <c r="S96" s="80"/>
      <c r="T96" s="80"/>
      <c r="U96" s="80"/>
      <c r="V96" s="80"/>
      <c r="W96" s="80"/>
      <c r="X96" s="80"/>
      <c r="Y96" s="80"/>
      <c r="Z96" s="80"/>
    </row>
    <row r="97">
      <c r="A97" s="81">
        <v>2059.0</v>
      </c>
      <c r="B97" s="82" t="s">
        <v>555</v>
      </c>
      <c r="C97" s="82" t="s">
        <v>534</v>
      </c>
      <c r="D97" s="84">
        <v>30000.0</v>
      </c>
      <c r="E97" s="84">
        <v>120.0</v>
      </c>
      <c r="F97" s="84">
        <v>51.0</v>
      </c>
      <c r="G97" s="84">
        <v>16227.4</v>
      </c>
      <c r="H97" s="85">
        <v>46161.0</v>
      </c>
      <c r="I97" s="85">
        <v>46212.0</v>
      </c>
      <c r="J97" s="82" t="s">
        <v>535</v>
      </c>
      <c r="K97" s="86">
        <v>1160203.0</v>
      </c>
      <c r="L97" s="84">
        <v>1197710.79</v>
      </c>
      <c r="M97" s="80" t="s">
        <v>546</v>
      </c>
      <c r="N97" s="80"/>
      <c r="O97" s="80"/>
      <c r="P97" s="80"/>
      <c r="Q97" s="80"/>
      <c r="R97" s="80"/>
      <c r="S97" s="80"/>
      <c r="T97" s="80"/>
      <c r="U97" s="80"/>
      <c r="V97" s="80"/>
      <c r="W97" s="80"/>
      <c r="X97" s="80"/>
      <c r="Y97" s="80"/>
      <c r="Z97" s="80"/>
    </row>
    <row r="98">
      <c r="A98" s="81">
        <v>2060.0</v>
      </c>
      <c r="B98" s="82" t="s">
        <v>557</v>
      </c>
      <c r="C98" s="82" t="s">
        <v>534</v>
      </c>
      <c r="D98" s="84">
        <v>30000.0</v>
      </c>
      <c r="E98" s="84">
        <v>120.0</v>
      </c>
      <c r="F98" s="84">
        <v>64.0</v>
      </c>
      <c r="G98" s="84">
        <v>14021.8</v>
      </c>
      <c r="H98" s="85">
        <v>46148.0</v>
      </c>
      <c r="I98" s="85">
        <v>46212.0</v>
      </c>
      <c r="J98" s="82" t="s">
        <v>535</v>
      </c>
      <c r="K98" s="86">
        <v>1158738.0</v>
      </c>
      <c r="L98" s="84">
        <v>1348580.73</v>
      </c>
      <c r="M98" s="80" t="s">
        <v>542</v>
      </c>
      <c r="N98" s="80"/>
      <c r="O98" s="80"/>
      <c r="P98" s="80"/>
      <c r="Q98" s="80"/>
      <c r="R98" s="80"/>
      <c r="S98" s="80"/>
      <c r="T98" s="80"/>
      <c r="U98" s="80"/>
      <c r="V98" s="80"/>
      <c r="W98" s="80"/>
      <c r="X98" s="80"/>
      <c r="Y98" s="80"/>
      <c r="Z98" s="80"/>
    </row>
    <row r="99">
      <c r="A99" s="81">
        <v>2061.0</v>
      </c>
      <c r="B99" s="82" t="s">
        <v>533</v>
      </c>
      <c r="C99" s="82" t="s">
        <v>534</v>
      </c>
      <c r="D99" s="84">
        <v>30000.0</v>
      </c>
      <c r="E99" s="84">
        <v>120.0</v>
      </c>
      <c r="F99" s="84">
        <v>119.0</v>
      </c>
      <c r="G99" s="84">
        <v>41054.2</v>
      </c>
      <c r="H99" s="85">
        <v>46093.0</v>
      </c>
      <c r="I99" s="85">
        <v>46212.0</v>
      </c>
      <c r="J99" s="82" t="s">
        <v>540</v>
      </c>
      <c r="K99" s="86">
        <v>1152874.0</v>
      </c>
      <c r="L99" s="84">
        <v>1093193.15</v>
      </c>
      <c r="M99" s="80" t="s">
        <v>539</v>
      </c>
      <c r="N99" s="80"/>
      <c r="O99" s="80"/>
      <c r="P99" s="80"/>
      <c r="Q99" s="80"/>
      <c r="R99" s="80"/>
      <c r="S99" s="80"/>
      <c r="T99" s="80"/>
      <c r="U99" s="80"/>
      <c r="V99" s="80"/>
      <c r="W99" s="80"/>
      <c r="X99" s="80"/>
      <c r="Y99" s="80"/>
      <c r="Z99" s="80"/>
    </row>
    <row r="100">
      <c r="A100" s="81">
        <v>2062.0</v>
      </c>
      <c r="B100" s="82" t="s">
        <v>533</v>
      </c>
      <c r="C100" s="82" t="s">
        <v>534</v>
      </c>
      <c r="D100" s="84">
        <v>30000.0</v>
      </c>
      <c r="E100" s="84">
        <v>120.0</v>
      </c>
      <c r="F100" s="84">
        <v>1.0</v>
      </c>
      <c r="G100" s="84">
        <v>0.0</v>
      </c>
      <c r="H100" s="85">
        <v>46211.0</v>
      </c>
      <c r="I100" s="85">
        <v>46212.0</v>
      </c>
      <c r="J100" s="82" t="s">
        <v>535</v>
      </c>
      <c r="K100" s="86">
        <v>1162180.0</v>
      </c>
      <c r="L100" s="84">
        <v>959017.39</v>
      </c>
      <c r="M100" s="80" t="s">
        <v>539</v>
      </c>
      <c r="N100" s="80"/>
      <c r="O100" s="80"/>
      <c r="P100" s="80"/>
      <c r="Q100" s="80"/>
      <c r="R100" s="80"/>
      <c r="S100" s="80"/>
      <c r="T100" s="80"/>
      <c r="U100" s="80"/>
      <c r="V100" s="80"/>
      <c r="W100" s="80"/>
      <c r="X100" s="80"/>
      <c r="Y100" s="80"/>
      <c r="Z100" s="80"/>
    </row>
    <row r="101">
      <c r="A101" s="81">
        <v>2064.0</v>
      </c>
      <c r="B101" s="82" t="s">
        <v>533</v>
      </c>
      <c r="C101" s="82" t="s">
        <v>534</v>
      </c>
      <c r="D101" s="84">
        <v>30000.0</v>
      </c>
      <c r="E101" s="84">
        <v>120.0</v>
      </c>
      <c r="F101" s="84">
        <v>64.0</v>
      </c>
      <c r="G101" s="84">
        <v>12790.3</v>
      </c>
      <c r="H101" s="85">
        <v>46148.0</v>
      </c>
      <c r="I101" s="85">
        <v>46212.0</v>
      </c>
      <c r="J101" s="82" t="s">
        <v>535</v>
      </c>
      <c r="K101" s="86">
        <v>1158547.0</v>
      </c>
      <c r="L101" s="84">
        <v>896259.95</v>
      </c>
      <c r="M101" s="80" t="s">
        <v>565</v>
      </c>
      <c r="N101" s="80"/>
      <c r="O101" s="80"/>
      <c r="P101" s="80"/>
      <c r="Q101" s="80"/>
      <c r="R101" s="80"/>
      <c r="S101" s="80"/>
      <c r="T101" s="80"/>
      <c r="U101" s="80"/>
      <c r="V101" s="80"/>
      <c r="W101" s="80"/>
      <c r="X101" s="80"/>
      <c r="Y101" s="80"/>
      <c r="Z101" s="80"/>
    </row>
    <row r="102">
      <c r="A102" s="81">
        <v>2081.0</v>
      </c>
      <c r="B102" s="82" t="s">
        <v>561</v>
      </c>
      <c r="C102" s="82" t="s">
        <v>534</v>
      </c>
      <c r="D102" s="84">
        <v>30000.0</v>
      </c>
      <c r="E102" s="84">
        <v>120.0</v>
      </c>
      <c r="F102" s="84">
        <v>80.0</v>
      </c>
      <c r="G102" s="84">
        <v>18868.1</v>
      </c>
      <c r="H102" s="85">
        <v>46132.0</v>
      </c>
      <c r="I102" s="85">
        <v>46212.0</v>
      </c>
      <c r="J102" s="82" t="s">
        <v>535</v>
      </c>
      <c r="K102" s="86">
        <v>1156560.0</v>
      </c>
      <c r="L102" s="84">
        <v>271325.87</v>
      </c>
      <c r="M102" s="80" t="s">
        <v>539</v>
      </c>
      <c r="N102" s="80"/>
      <c r="O102" s="80"/>
      <c r="P102" s="80"/>
      <c r="Q102" s="80"/>
      <c r="R102" s="80"/>
      <c r="S102" s="80"/>
      <c r="T102" s="80"/>
      <c r="U102" s="80"/>
      <c r="V102" s="80"/>
      <c r="W102" s="80"/>
      <c r="X102" s="80"/>
      <c r="Y102" s="80"/>
      <c r="Z102" s="80"/>
    </row>
    <row r="103">
      <c r="A103" s="81">
        <v>2082.0</v>
      </c>
      <c r="B103" s="82" t="s">
        <v>561</v>
      </c>
      <c r="C103" s="82" t="s">
        <v>534</v>
      </c>
      <c r="D103" s="84">
        <v>30000.0</v>
      </c>
      <c r="E103" s="84">
        <v>120.0</v>
      </c>
      <c r="F103" s="84">
        <v>107.0</v>
      </c>
      <c r="G103" s="84">
        <v>34736.5</v>
      </c>
      <c r="H103" s="85">
        <v>46105.0</v>
      </c>
      <c r="I103" s="85">
        <v>46212.0</v>
      </c>
      <c r="J103" s="82" t="s">
        <v>540</v>
      </c>
      <c r="K103" s="86">
        <v>1154059.0</v>
      </c>
      <c r="L103" s="84">
        <v>339403.52</v>
      </c>
      <c r="M103" s="80" t="s">
        <v>539</v>
      </c>
      <c r="N103" s="80"/>
      <c r="O103" s="80"/>
      <c r="P103" s="80"/>
      <c r="Q103" s="80"/>
      <c r="R103" s="80"/>
      <c r="S103" s="80"/>
      <c r="T103" s="80"/>
      <c r="U103" s="80"/>
      <c r="V103" s="80"/>
      <c r="W103" s="80"/>
      <c r="X103" s="80"/>
      <c r="Y103" s="80"/>
      <c r="Z103" s="80"/>
    </row>
    <row r="104">
      <c r="A104" s="81">
        <v>2086.0</v>
      </c>
      <c r="B104" s="82" t="s">
        <v>561</v>
      </c>
      <c r="C104" s="82" t="s">
        <v>534</v>
      </c>
      <c r="D104" s="84">
        <v>30000.0</v>
      </c>
      <c r="E104" s="84">
        <v>120.0</v>
      </c>
      <c r="F104" s="84">
        <v>42.0</v>
      </c>
      <c r="G104" s="84">
        <v>11584.5</v>
      </c>
      <c r="H104" s="85">
        <v>46170.0</v>
      </c>
      <c r="I104" s="85">
        <v>46212.0</v>
      </c>
      <c r="J104" s="82" t="s">
        <v>535</v>
      </c>
      <c r="K104" s="86">
        <v>1161434.0</v>
      </c>
      <c r="L104" s="84">
        <v>416140.38</v>
      </c>
      <c r="M104" s="80" t="s">
        <v>539</v>
      </c>
      <c r="N104" s="80"/>
      <c r="O104" s="80"/>
      <c r="P104" s="80"/>
      <c r="Q104" s="80"/>
      <c r="R104" s="80"/>
      <c r="S104" s="80"/>
      <c r="T104" s="80"/>
      <c r="U104" s="80"/>
      <c r="V104" s="80"/>
      <c r="W104" s="80"/>
      <c r="X104" s="80"/>
      <c r="Y104" s="80"/>
      <c r="Z104" s="80"/>
    </row>
    <row r="105">
      <c r="A105" s="81">
        <v>2087.0</v>
      </c>
      <c r="B105" s="82" t="s">
        <v>561</v>
      </c>
      <c r="C105" s="82" t="s">
        <v>534</v>
      </c>
      <c r="D105" s="84">
        <v>30000.0</v>
      </c>
      <c r="E105" s="84">
        <v>120.0</v>
      </c>
      <c r="F105" s="84">
        <v>1.0</v>
      </c>
      <c r="G105" s="84">
        <v>0.0</v>
      </c>
      <c r="H105" s="85">
        <v>46211.0</v>
      </c>
      <c r="I105" s="85">
        <v>46212.0</v>
      </c>
      <c r="J105" s="82" t="s">
        <v>535</v>
      </c>
      <c r="K105" s="86">
        <v>1162173.0</v>
      </c>
      <c r="L105" s="84">
        <v>424645.36</v>
      </c>
      <c r="M105" s="80" t="s">
        <v>536</v>
      </c>
      <c r="N105" s="80"/>
      <c r="O105" s="80"/>
      <c r="P105" s="80"/>
      <c r="Q105" s="80"/>
      <c r="R105" s="80"/>
      <c r="S105" s="80"/>
      <c r="T105" s="80"/>
      <c r="U105" s="80"/>
      <c r="V105" s="80"/>
      <c r="W105" s="80"/>
      <c r="X105" s="80"/>
      <c r="Y105" s="80"/>
      <c r="Z105" s="80"/>
    </row>
    <row r="106">
      <c r="A106" s="81">
        <v>2179.0</v>
      </c>
      <c r="B106" s="82" t="s">
        <v>566</v>
      </c>
      <c r="C106" s="82" t="s">
        <v>536</v>
      </c>
      <c r="D106" s="84">
        <v>8000.0</v>
      </c>
      <c r="E106" s="84">
        <v>180.0</v>
      </c>
      <c r="F106" s="84">
        <v>128.0</v>
      </c>
      <c r="G106" s="84">
        <v>2225.0</v>
      </c>
      <c r="H106" s="85">
        <v>46084.0</v>
      </c>
      <c r="I106" s="85">
        <v>46212.0</v>
      </c>
      <c r="J106" s="82" t="s">
        <v>535</v>
      </c>
      <c r="K106" s="86">
        <v>1148306.0</v>
      </c>
      <c r="L106" s="84">
        <v>281268.81</v>
      </c>
      <c r="M106" s="80" t="s">
        <v>554</v>
      </c>
      <c r="N106" s="80"/>
      <c r="O106" s="80"/>
      <c r="P106" s="80"/>
      <c r="Q106" s="80"/>
      <c r="R106" s="80"/>
      <c r="S106" s="80"/>
      <c r="T106" s="80"/>
      <c r="U106" s="80"/>
      <c r="V106" s="80"/>
      <c r="W106" s="80"/>
      <c r="X106" s="80"/>
      <c r="Y106" s="80"/>
      <c r="Z106" s="80"/>
    </row>
    <row r="107">
      <c r="A107" s="81">
        <v>2187.0</v>
      </c>
      <c r="B107" s="82" t="s">
        <v>566</v>
      </c>
      <c r="C107" s="82" t="s">
        <v>536</v>
      </c>
      <c r="D107" s="84">
        <v>8000.0</v>
      </c>
      <c r="E107" s="84">
        <v>180.0</v>
      </c>
      <c r="F107" s="84">
        <v>45.0</v>
      </c>
      <c r="G107" s="84">
        <v>1179.5</v>
      </c>
      <c r="H107" s="85">
        <v>46167.0</v>
      </c>
      <c r="I107" s="85">
        <v>46212.0</v>
      </c>
      <c r="J107" s="82" t="s">
        <v>535</v>
      </c>
      <c r="K107" s="86">
        <v>1161134.0</v>
      </c>
      <c r="L107" s="84">
        <v>331724.83</v>
      </c>
      <c r="M107" s="80" t="s">
        <v>554</v>
      </c>
      <c r="N107" s="80"/>
      <c r="O107" s="80"/>
      <c r="P107" s="80"/>
      <c r="Q107" s="80"/>
      <c r="R107" s="80"/>
      <c r="S107" s="80"/>
      <c r="T107" s="80"/>
      <c r="U107" s="80"/>
      <c r="V107" s="80"/>
      <c r="W107" s="80"/>
      <c r="X107" s="80"/>
      <c r="Y107" s="80"/>
      <c r="Z107" s="80"/>
    </row>
    <row r="108">
      <c r="A108" s="81">
        <v>2188.0</v>
      </c>
      <c r="B108" s="82" t="s">
        <v>566</v>
      </c>
      <c r="C108" s="82" t="s">
        <v>536</v>
      </c>
      <c r="D108" s="84">
        <v>8000.0</v>
      </c>
      <c r="E108" s="84">
        <v>180.0</v>
      </c>
      <c r="F108" s="84">
        <v>170.0</v>
      </c>
      <c r="G108" s="84">
        <v>9139.9</v>
      </c>
      <c r="H108" s="85">
        <v>46042.0</v>
      </c>
      <c r="I108" s="85">
        <v>46212.0</v>
      </c>
      <c r="J108" s="82" t="s">
        <v>540</v>
      </c>
      <c r="K108" s="86">
        <v>1146669.0</v>
      </c>
      <c r="L108" s="84">
        <v>354461.82</v>
      </c>
      <c r="M108" s="80" t="s">
        <v>538</v>
      </c>
      <c r="N108" s="80"/>
      <c r="O108" s="80"/>
      <c r="P108" s="80"/>
      <c r="Q108" s="80"/>
      <c r="R108" s="80"/>
      <c r="S108" s="80"/>
      <c r="T108" s="80"/>
      <c r="U108" s="80"/>
      <c r="V108" s="80"/>
      <c r="W108" s="80"/>
      <c r="X108" s="80"/>
      <c r="Y108" s="80"/>
      <c r="Z108" s="80"/>
    </row>
    <row r="109">
      <c r="A109" s="81">
        <v>2194.0</v>
      </c>
      <c r="B109" s="82" t="s">
        <v>567</v>
      </c>
      <c r="C109" s="82" t="s">
        <v>536</v>
      </c>
      <c r="D109" s="84">
        <v>10000.0</v>
      </c>
      <c r="E109" s="84">
        <v>180.0</v>
      </c>
      <c r="F109" s="84">
        <v>114.0</v>
      </c>
      <c r="G109" s="84">
        <v>5230.0</v>
      </c>
      <c r="H109" s="85">
        <v>46098.0</v>
      </c>
      <c r="I109" s="85">
        <v>46212.0</v>
      </c>
      <c r="J109" s="82" t="s">
        <v>535</v>
      </c>
      <c r="K109" s="86">
        <v>1153379.0</v>
      </c>
      <c r="L109" s="84">
        <v>349343.44</v>
      </c>
      <c r="M109" s="80" t="s">
        <v>554</v>
      </c>
      <c r="N109" s="80"/>
      <c r="O109" s="80"/>
      <c r="P109" s="80"/>
      <c r="Q109" s="80"/>
      <c r="R109" s="80"/>
      <c r="S109" s="80"/>
      <c r="T109" s="80"/>
      <c r="U109" s="80"/>
      <c r="V109" s="80"/>
      <c r="W109" s="80"/>
      <c r="X109" s="80"/>
      <c r="Y109" s="80"/>
      <c r="Z109" s="80"/>
    </row>
    <row r="110">
      <c r="A110" s="81">
        <v>2195.0</v>
      </c>
      <c r="B110" s="82" t="s">
        <v>567</v>
      </c>
      <c r="C110" s="82" t="s">
        <v>536</v>
      </c>
      <c r="D110" s="84">
        <v>10000.0</v>
      </c>
      <c r="E110" s="84">
        <v>180.0</v>
      </c>
      <c r="F110" s="84">
        <v>104.0</v>
      </c>
      <c r="G110" s="84">
        <v>2852.0</v>
      </c>
      <c r="H110" s="85">
        <v>46108.0</v>
      </c>
      <c r="I110" s="85">
        <v>46212.0</v>
      </c>
      <c r="J110" s="82" t="s">
        <v>535</v>
      </c>
      <c r="K110" s="86">
        <v>1154429.0</v>
      </c>
      <c r="L110" s="84">
        <v>247193.16</v>
      </c>
      <c r="M110" s="80" t="s">
        <v>554</v>
      </c>
      <c r="N110" s="80"/>
      <c r="O110" s="80"/>
      <c r="P110" s="80"/>
      <c r="Q110" s="80"/>
      <c r="R110" s="80"/>
      <c r="S110" s="80"/>
      <c r="T110" s="80"/>
      <c r="U110" s="80"/>
      <c r="V110" s="80"/>
      <c r="W110" s="80"/>
      <c r="X110" s="80"/>
      <c r="Y110" s="80"/>
      <c r="Z110" s="80"/>
    </row>
    <row r="111">
      <c r="A111" s="81">
        <v>2196.0</v>
      </c>
      <c r="B111" s="82" t="s">
        <v>567</v>
      </c>
      <c r="C111" s="82" t="s">
        <v>536</v>
      </c>
      <c r="D111" s="84">
        <v>10000.0</v>
      </c>
      <c r="E111" s="84">
        <v>180.0</v>
      </c>
      <c r="F111" s="84">
        <v>110.0</v>
      </c>
      <c r="G111" s="84">
        <v>3530.4</v>
      </c>
      <c r="H111" s="85">
        <v>46102.0</v>
      </c>
      <c r="I111" s="85">
        <v>46212.0</v>
      </c>
      <c r="J111" s="82" t="s">
        <v>535</v>
      </c>
      <c r="K111" s="86">
        <v>1153492.0</v>
      </c>
      <c r="L111" s="84">
        <v>288460.69</v>
      </c>
      <c r="M111" s="80" t="s">
        <v>554</v>
      </c>
      <c r="N111" s="80"/>
      <c r="O111" s="80"/>
      <c r="P111" s="80"/>
      <c r="Q111" s="80"/>
      <c r="R111" s="80"/>
      <c r="S111" s="80"/>
      <c r="T111" s="80"/>
      <c r="U111" s="80"/>
      <c r="V111" s="80"/>
      <c r="W111" s="80"/>
      <c r="X111" s="80"/>
      <c r="Y111" s="80"/>
      <c r="Z111" s="80"/>
    </row>
    <row r="112">
      <c r="A112" s="81">
        <v>2197.0</v>
      </c>
      <c r="B112" s="82" t="s">
        <v>567</v>
      </c>
      <c r="C112" s="82" t="s">
        <v>536</v>
      </c>
      <c r="D112" s="84">
        <v>10000.0</v>
      </c>
      <c r="E112" s="84">
        <v>180.0</v>
      </c>
      <c r="F112" s="84">
        <v>126.0</v>
      </c>
      <c r="G112" s="84">
        <v>3620.8</v>
      </c>
      <c r="H112" s="85">
        <v>46086.0</v>
      </c>
      <c r="I112" s="85">
        <v>46212.0</v>
      </c>
      <c r="J112" s="82" t="s">
        <v>535</v>
      </c>
      <c r="K112" s="86">
        <v>1151993.0</v>
      </c>
      <c r="L112" s="84">
        <v>364721.99</v>
      </c>
      <c r="M112" s="80" t="s">
        <v>554</v>
      </c>
      <c r="N112" s="80"/>
      <c r="O112" s="80"/>
      <c r="P112" s="80"/>
      <c r="Q112" s="80"/>
      <c r="R112" s="80"/>
      <c r="S112" s="80"/>
      <c r="T112" s="80"/>
      <c r="U112" s="80"/>
      <c r="V112" s="80"/>
      <c r="W112" s="80"/>
      <c r="X112" s="80"/>
      <c r="Y112" s="80"/>
      <c r="Z112" s="80"/>
    </row>
    <row r="113">
      <c r="A113" s="81">
        <v>2198.0</v>
      </c>
      <c r="B113" s="82" t="s">
        <v>567</v>
      </c>
      <c r="C113" s="82" t="s">
        <v>536</v>
      </c>
      <c r="D113" s="84">
        <v>10000.0</v>
      </c>
      <c r="E113" s="84">
        <v>180.0</v>
      </c>
      <c r="F113" s="84">
        <v>184.0</v>
      </c>
      <c r="G113" s="84">
        <v>6583.0</v>
      </c>
      <c r="H113" s="85">
        <v>46028.0</v>
      </c>
      <c r="I113" s="85">
        <v>46212.0</v>
      </c>
      <c r="J113" s="82" t="s">
        <v>540</v>
      </c>
      <c r="K113" s="86">
        <v>1145402.0</v>
      </c>
      <c r="L113" s="84">
        <v>197199.93</v>
      </c>
      <c r="M113" s="80" t="s">
        <v>554</v>
      </c>
      <c r="N113" s="80"/>
      <c r="O113" s="80"/>
      <c r="P113" s="80"/>
      <c r="Q113" s="80"/>
      <c r="R113" s="80"/>
      <c r="S113" s="80"/>
      <c r="T113" s="80"/>
      <c r="U113" s="80"/>
      <c r="V113" s="80"/>
      <c r="W113" s="80"/>
      <c r="X113" s="80"/>
      <c r="Y113" s="80"/>
      <c r="Z113" s="80"/>
    </row>
    <row r="114">
      <c r="A114" s="81">
        <v>2200.0</v>
      </c>
      <c r="B114" s="82" t="s">
        <v>567</v>
      </c>
      <c r="C114" s="82" t="s">
        <v>536</v>
      </c>
      <c r="D114" s="84">
        <v>10000.0</v>
      </c>
      <c r="E114" s="84">
        <v>180.0</v>
      </c>
      <c r="F114" s="84">
        <v>168.0</v>
      </c>
      <c r="G114" s="84">
        <v>8207.3</v>
      </c>
      <c r="H114" s="85">
        <v>46044.0</v>
      </c>
      <c r="I114" s="85">
        <v>46212.0</v>
      </c>
      <c r="J114" s="82" t="s">
        <v>535</v>
      </c>
      <c r="K114" s="86">
        <v>1146674.0</v>
      </c>
      <c r="L114" s="84">
        <v>350500.6</v>
      </c>
      <c r="M114" s="80" t="s">
        <v>554</v>
      </c>
      <c r="N114" s="80"/>
      <c r="O114" s="80"/>
      <c r="P114" s="80"/>
      <c r="Q114" s="80"/>
      <c r="R114" s="80"/>
      <c r="S114" s="80"/>
      <c r="T114" s="80"/>
      <c r="U114" s="80"/>
      <c r="V114" s="80"/>
      <c r="W114" s="80"/>
      <c r="X114" s="80"/>
      <c r="Y114" s="80"/>
      <c r="Z114" s="80"/>
    </row>
    <row r="115">
      <c r="A115" s="81">
        <v>2201.0</v>
      </c>
      <c r="B115" s="82" t="s">
        <v>567</v>
      </c>
      <c r="C115" s="82" t="s">
        <v>536</v>
      </c>
      <c r="D115" s="84">
        <v>10000.0</v>
      </c>
      <c r="E115" s="84">
        <v>180.0</v>
      </c>
      <c r="F115" s="84">
        <v>226.0</v>
      </c>
      <c r="G115" s="84">
        <v>6367.0</v>
      </c>
      <c r="H115" s="85">
        <v>45986.0</v>
      </c>
      <c r="I115" s="85">
        <v>46212.0</v>
      </c>
      <c r="J115" s="82" t="s">
        <v>540</v>
      </c>
      <c r="K115" s="86">
        <v>1137611.0</v>
      </c>
      <c r="L115" s="84">
        <v>269921.24</v>
      </c>
      <c r="M115" s="80" t="s">
        <v>536</v>
      </c>
      <c r="N115" s="80"/>
      <c r="O115" s="80"/>
      <c r="P115" s="80"/>
      <c r="Q115" s="80"/>
      <c r="R115" s="80"/>
      <c r="S115" s="80"/>
      <c r="T115" s="80"/>
      <c r="U115" s="80"/>
      <c r="V115" s="80"/>
      <c r="W115" s="80"/>
      <c r="X115" s="80"/>
      <c r="Y115" s="80"/>
      <c r="Z115" s="80"/>
    </row>
    <row r="116">
      <c r="A116" s="81">
        <v>2202.0</v>
      </c>
      <c r="B116" s="82" t="s">
        <v>567</v>
      </c>
      <c r="C116" s="82" t="s">
        <v>536</v>
      </c>
      <c r="D116" s="84">
        <v>10000.0</v>
      </c>
      <c r="E116" s="84">
        <v>180.0</v>
      </c>
      <c r="F116" s="84">
        <v>151.0</v>
      </c>
      <c r="G116" s="84">
        <v>3509.0</v>
      </c>
      <c r="H116" s="85">
        <v>46061.0</v>
      </c>
      <c r="I116" s="85">
        <v>46212.0</v>
      </c>
      <c r="J116" s="82" t="s">
        <v>535</v>
      </c>
      <c r="K116" s="86">
        <v>1148307.0</v>
      </c>
      <c r="L116" s="84">
        <v>256263.13</v>
      </c>
      <c r="M116" s="80" t="s">
        <v>554</v>
      </c>
      <c r="N116" s="80"/>
      <c r="O116" s="80"/>
      <c r="P116" s="80"/>
      <c r="Q116" s="80"/>
      <c r="R116" s="80"/>
      <c r="S116" s="80"/>
      <c r="T116" s="80"/>
      <c r="U116" s="80"/>
      <c r="V116" s="80"/>
      <c r="W116" s="80"/>
      <c r="X116" s="80"/>
      <c r="Y116" s="80"/>
      <c r="Z116" s="80"/>
    </row>
    <row r="117">
      <c r="A117" s="81">
        <v>2204.0</v>
      </c>
      <c r="B117" s="82" t="s">
        <v>567</v>
      </c>
      <c r="C117" s="82" t="s">
        <v>536</v>
      </c>
      <c r="D117" s="84">
        <v>10000.0</v>
      </c>
      <c r="E117" s="84">
        <v>180.0</v>
      </c>
      <c r="F117" s="84">
        <v>77.0</v>
      </c>
      <c r="G117" s="84">
        <v>4573.5</v>
      </c>
      <c r="H117" s="85">
        <v>46135.0</v>
      </c>
      <c r="I117" s="85">
        <v>46212.0</v>
      </c>
      <c r="J117" s="82" t="s">
        <v>535</v>
      </c>
      <c r="K117" s="86">
        <v>1154197.0</v>
      </c>
      <c r="L117" s="84">
        <v>370449.93</v>
      </c>
      <c r="M117" s="80" t="s">
        <v>554</v>
      </c>
      <c r="N117" s="80"/>
      <c r="O117" s="80"/>
      <c r="P117" s="80"/>
      <c r="Q117" s="80"/>
      <c r="R117" s="80"/>
      <c r="S117" s="80"/>
      <c r="T117" s="80"/>
      <c r="U117" s="80"/>
      <c r="V117" s="80"/>
      <c r="W117" s="80"/>
      <c r="X117" s="80"/>
      <c r="Y117" s="80"/>
      <c r="Z117" s="80"/>
    </row>
    <row r="118">
      <c r="A118" s="81">
        <v>2206.0</v>
      </c>
      <c r="B118" s="82" t="s">
        <v>567</v>
      </c>
      <c r="C118" s="82" t="s">
        <v>536</v>
      </c>
      <c r="D118" s="84">
        <v>10000.0</v>
      </c>
      <c r="E118" s="84">
        <v>180.0</v>
      </c>
      <c r="F118" s="84">
        <v>122.0</v>
      </c>
      <c r="G118" s="84">
        <v>1038.4</v>
      </c>
      <c r="H118" s="85">
        <v>46090.0</v>
      </c>
      <c r="I118" s="85">
        <v>46212.0</v>
      </c>
      <c r="J118" s="82" t="s">
        <v>535</v>
      </c>
      <c r="K118" s="86">
        <v>1152487.0</v>
      </c>
      <c r="L118" s="84">
        <v>243380.71</v>
      </c>
      <c r="M118" s="80" t="s">
        <v>554</v>
      </c>
      <c r="N118" s="80"/>
      <c r="O118" s="80"/>
      <c r="P118" s="80"/>
      <c r="Q118" s="80"/>
      <c r="R118" s="80"/>
      <c r="S118" s="80"/>
      <c r="T118" s="80"/>
      <c r="U118" s="80"/>
      <c r="V118" s="80"/>
      <c r="W118" s="80"/>
      <c r="X118" s="80"/>
      <c r="Y118" s="80"/>
      <c r="Z118" s="80"/>
    </row>
    <row r="119">
      <c r="A119" s="81">
        <v>2230.0</v>
      </c>
      <c r="B119" s="82" t="s">
        <v>566</v>
      </c>
      <c r="C119" s="82" t="s">
        <v>536</v>
      </c>
      <c r="D119" s="84">
        <v>8000.0</v>
      </c>
      <c r="E119" s="84">
        <v>180.0</v>
      </c>
      <c r="F119" s="84">
        <v>204.0</v>
      </c>
      <c r="G119" s="84">
        <v>5624.3</v>
      </c>
      <c r="H119" s="85">
        <v>46008.0</v>
      </c>
      <c r="I119" s="85">
        <v>46212.0</v>
      </c>
      <c r="J119" s="82" t="s">
        <v>540</v>
      </c>
      <c r="K119" s="86">
        <v>1143586.0</v>
      </c>
      <c r="L119" s="84">
        <v>208756.04</v>
      </c>
      <c r="M119" s="80" t="s">
        <v>554</v>
      </c>
      <c r="N119" s="80"/>
      <c r="O119" s="80"/>
      <c r="P119" s="80"/>
      <c r="Q119" s="80"/>
      <c r="R119" s="80"/>
      <c r="S119" s="80"/>
      <c r="T119" s="80"/>
      <c r="U119" s="80"/>
      <c r="V119" s="80"/>
      <c r="W119" s="80"/>
      <c r="X119" s="80"/>
      <c r="Y119" s="80"/>
      <c r="Z119" s="80"/>
    </row>
    <row r="120">
      <c r="A120" s="81">
        <v>2275.0</v>
      </c>
      <c r="B120" s="82" t="s">
        <v>568</v>
      </c>
      <c r="C120" s="82" t="s">
        <v>536</v>
      </c>
      <c r="D120" s="84">
        <v>5000.0</v>
      </c>
      <c r="E120" s="84">
        <v>180.0</v>
      </c>
      <c r="F120" s="84">
        <v>170.0</v>
      </c>
      <c r="G120" s="84">
        <v>1501.0</v>
      </c>
      <c r="H120" s="85">
        <v>46042.0</v>
      </c>
      <c r="I120" s="85">
        <v>46212.0</v>
      </c>
      <c r="J120" s="82" t="s">
        <v>535</v>
      </c>
      <c r="K120" s="86">
        <v>1146688.0</v>
      </c>
      <c r="L120" s="84">
        <v>252384.57</v>
      </c>
      <c r="M120" s="80" t="s">
        <v>554</v>
      </c>
      <c r="N120" s="80"/>
      <c r="O120" s="80"/>
      <c r="P120" s="80"/>
      <c r="Q120" s="80"/>
      <c r="R120" s="80"/>
      <c r="S120" s="80"/>
      <c r="T120" s="80"/>
      <c r="U120" s="80"/>
      <c r="V120" s="80"/>
      <c r="W120" s="80"/>
      <c r="X120" s="80"/>
      <c r="Y120" s="80"/>
      <c r="Z120" s="80"/>
    </row>
    <row r="121">
      <c r="A121" s="81">
        <v>2276.0</v>
      </c>
      <c r="B121" s="82" t="s">
        <v>568</v>
      </c>
      <c r="C121" s="82" t="s">
        <v>536</v>
      </c>
      <c r="D121" s="84">
        <v>5000.0</v>
      </c>
      <c r="E121" s="84">
        <v>180.0</v>
      </c>
      <c r="F121" s="84">
        <v>211.0</v>
      </c>
      <c r="G121" s="84">
        <v>4892.1</v>
      </c>
      <c r="H121" s="85">
        <v>46001.0</v>
      </c>
      <c r="I121" s="85">
        <v>46212.0</v>
      </c>
      <c r="J121" s="82" t="s">
        <v>540</v>
      </c>
      <c r="K121" s="86">
        <v>1142676.0</v>
      </c>
      <c r="L121" s="84">
        <v>278788.27</v>
      </c>
      <c r="M121" s="80" t="s">
        <v>554</v>
      </c>
      <c r="N121" s="80"/>
      <c r="O121" s="80"/>
      <c r="P121" s="80"/>
      <c r="Q121" s="80"/>
      <c r="R121" s="80"/>
      <c r="S121" s="80"/>
      <c r="T121" s="80"/>
      <c r="U121" s="80"/>
      <c r="V121" s="80"/>
      <c r="W121" s="80"/>
      <c r="X121" s="80"/>
      <c r="Y121" s="80"/>
      <c r="Z121" s="80"/>
    </row>
    <row r="122">
      <c r="A122" s="81">
        <v>2334.0</v>
      </c>
      <c r="B122" s="82" t="s">
        <v>569</v>
      </c>
      <c r="C122" s="82" t="s">
        <v>570</v>
      </c>
      <c r="D122" s="84">
        <v>10000.0</v>
      </c>
      <c r="E122" s="84">
        <v>180.0</v>
      </c>
      <c r="F122" s="84">
        <v>182.0</v>
      </c>
      <c r="G122" s="84">
        <v>11111.0</v>
      </c>
      <c r="H122" s="85">
        <v>46030.0</v>
      </c>
      <c r="I122" s="85">
        <v>46212.0</v>
      </c>
      <c r="J122" s="82" t="s">
        <v>540</v>
      </c>
      <c r="K122" s="86">
        <v>1143027.0</v>
      </c>
      <c r="L122" s="84">
        <v>602755.34</v>
      </c>
      <c r="M122" s="80" t="s">
        <v>554</v>
      </c>
      <c r="N122" s="80"/>
      <c r="O122" s="80"/>
      <c r="P122" s="80"/>
      <c r="Q122" s="80"/>
      <c r="R122" s="80"/>
      <c r="S122" s="80"/>
      <c r="T122" s="80"/>
      <c r="U122" s="80"/>
      <c r="V122" s="80"/>
      <c r="W122" s="80"/>
      <c r="X122" s="80"/>
      <c r="Y122" s="80"/>
      <c r="Z122" s="80"/>
    </row>
    <row r="123">
      <c r="A123" s="81">
        <v>2339.0</v>
      </c>
      <c r="B123" s="82" t="s">
        <v>569</v>
      </c>
      <c r="C123" s="82" t="s">
        <v>536</v>
      </c>
      <c r="D123" s="84">
        <v>10000.0</v>
      </c>
      <c r="E123" s="84">
        <v>180.0</v>
      </c>
      <c r="F123" s="84">
        <v>183.0</v>
      </c>
      <c r="G123" s="84">
        <v>9301.9</v>
      </c>
      <c r="H123" s="85">
        <v>46029.0</v>
      </c>
      <c r="I123" s="85">
        <v>46212.0</v>
      </c>
      <c r="J123" s="82" t="s">
        <v>540</v>
      </c>
      <c r="K123" s="86">
        <v>1145614.0</v>
      </c>
      <c r="L123" s="84">
        <v>394416.16</v>
      </c>
      <c r="M123" s="80" t="s">
        <v>554</v>
      </c>
      <c r="N123" s="80"/>
      <c r="O123" s="80"/>
      <c r="P123" s="80"/>
      <c r="Q123" s="80"/>
      <c r="R123" s="80"/>
      <c r="S123" s="80"/>
      <c r="T123" s="80"/>
      <c r="U123" s="80"/>
      <c r="V123" s="80"/>
      <c r="W123" s="80"/>
      <c r="X123" s="80"/>
      <c r="Y123" s="80"/>
      <c r="Z123" s="80"/>
    </row>
    <row r="124">
      <c r="A124" s="81">
        <v>2354.0</v>
      </c>
      <c r="B124" s="82" t="s">
        <v>571</v>
      </c>
      <c r="C124" s="82" t="s">
        <v>537</v>
      </c>
      <c r="D124" s="84">
        <v>10000.0</v>
      </c>
      <c r="E124" s="84">
        <v>180.0</v>
      </c>
      <c r="F124" s="84">
        <v>175.0</v>
      </c>
      <c r="G124" s="84">
        <v>6999.2</v>
      </c>
      <c r="H124" s="85">
        <v>46037.0</v>
      </c>
      <c r="I124" s="85">
        <v>46212.0</v>
      </c>
      <c r="J124" s="82" t="s">
        <v>535</v>
      </c>
      <c r="K124" s="86">
        <v>1146384.0</v>
      </c>
      <c r="L124" s="84">
        <v>1031321.37</v>
      </c>
      <c r="M124" s="80" t="s">
        <v>554</v>
      </c>
      <c r="N124" s="80"/>
      <c r="O124" s="80"/>
      <c r="P124" s="80"/>
      <c r="Q124" s="80"/>
      <c r="R124" s="80"/>
      <c r="S124" s="80"/>
      <c r="T124" s="80"/>
      <c r="U124" s="80"/>
      <c r="V124" s="80"/>
      <c r="W124" s="80"/>
      <c r="X124" s="80"/>
      <c r="Y124" s="80"/>
      <c r="Z124" s="80"/>
    </row>
    <row r="125">
      <c r="A125" s="81">
        <v>2355.0</v>
      </c>
      <c r="B125" s="82" t="s">
        <v>571</v>
      </c>
      <c r="C125" s="82" t="s">
        <v>537</v>
      </c>
      <c r="D125" s="84">
        <v>10000.0</v>
      </c>
      <c r="E125" s="84">
        <v>180.0</v>
      </c>
      <c r="F125" s="84">
        <v>111.0</v>
      </c>
      <c r="G125" s="84">
        <v>4107.2</v>
      </c>
      <c r="H125" s="85">
        <v>46101.0</v>
      </c>
      <c r="I125" s="85">
        <v>46212.0</v>
      </c>
      <c r="J125" s="82" t="s">
        <v>535</v>
      </c>
      <c r="K125" s="86">
        <v>1153489.0</v>
      </c>
      <c r="L125" s="84">
        <v>182547.55</v>
      </c>
      <c r="M125" s="80" t="s">
        <v>554</v>
      </c>
      <c r="N125" s="80"/>
      <c r="O125" s="80"/>
      <c r="P125" s="80"/>
      <c r="Q125" s="80"/>
      <c r="R125" s="80"/>
      <c r="S125" s="80"/>
      <c r="T125" s="80"/>
      <c r="U125" s="80"/>
      <c r="V125" s="80"/>
      <c r="W125" s="80"/>
      <c r="X125" s="80"/>
      <c r="Y125" s="80"/>
      <c r="Z125" s="80"/>
    </row>
    <row r="126">
      <c r="A126" s="81">
        <v>2360.0</v>
      </c>
      <c r="B126" s="82" t="s">
        <v>571</v>
      </c>
      <c r="C126" s="82" t="s">
        <v>536</v>
      </c>
      <c r="D126" s="84">
        <v>10000.0</v>
      </c>
      <c r="E126" s="84">
        <v>180.0</v>
      </c>
      <c r="F126" s="84">
        <v>51.0</v>
      </c>
      <c r="G126" s="84">
        <v>2083.2</v>
      </c>
      <c r="H126" s="85">
        <v>46161.0</v>
      </c>
      <c r="I126" s="85">
        <v>46212.0</v>
      </c>
      <c r="J126" s="82" t="s">
        <v>535</v>
      </c>
      <c r="K126" s="86">
        <v>1159376.0</v>
      </c>
      <c r="L126" s="84">
        <v>221028.26</v>
      </c>
      <c r="M126" s="80" t="s">
        <v>554</v>
      </c>
      <c r="N126" s="80"/>
      <c r="O126" s="80"/>
      <c r="P126" s="80"/>
      <c r="Q126" s="80"/>
      <c r="R126" s="80"/>
      <c r="S126" s="80"/>
      <c r="T126" s="80"/>
      <c r="U126" s="80"/>
      <c r="V126" s="80"/>
      <c r="W126" s="80"/>
      <c r="X126" s="80"/>
      <c r="Y126" s="80"/>
      <c r="Z126" s="80"/>
    </row>
    <row r="127">
      <c r="A127" s="81">
        <v>2366.0</v>
      </c>
      <c r="B127" s="82" t="s">
        <v>571</v>
      </c>
      <c r="C127" s="82" t="s">
        <v>536</v>
      </c>
      <c r="D127" s="84">
        <v>10000.0</v>
      </c>
      <c r="E127" s="84">
        <v>180.0</v>
      </c>
      <c r="F127" s="84">
        <v>100.0</v>
      </c>
      <c r="G127" s="84">
        <v>3088.3</v>
      </c>
      <c r="H127" s="85">
        <v>46112.0</v>
      </c>
      <c r="I127" s="85">
        <v>46212.0</v>
      </c>
      <c r="J127" s="82" t="s">
        <v>535</v>
      </c>
      <c r="K127" s="86">
        <v>1154708.0</v>
      </c>
      <c r="L127" s="84">
        <v>234425.02</v>
      </c>
      <c r="M127" s="80" t="s">
        <v>554</v>
      </c>
      <c r="N127" s="80"/>
      <c r="O127" s="80"/>
      <c r="P127" s="80"/>
      <c r="Q127" s="80"/>
      <c r="R127" s="80"/>
      <c r="S127" s="80"/>
      <c r="T127" s="80"/>
      <c r="U127" s="80"/>
      <c r="V127" s="80"/>
      <c r="W127" s="80"/>
      <c r="X127" s="80"/>
      <c r="Y127" s="80"/>
      <c r="Z127" s="80"/>
    </row>
    <row r="128">
      <c r="A128" s="81">
        <v>2367.0</v>
      </c>
      <c r="B128" s="82" t="s">
        <v>572</v>
      </c>
      <c r="C128" s="82" t="s">
        <v>537</v>
      </c>
      <c r="D128" s="84">
        <v>10000.0</v>
      </c>
      <c r="E128" s="84">
        <v>180.0</v>
      </c>
      <c r="F128" s="84">
        <v>45.0</v>
      </c>
      <c r="G128" s="84">
        <v>5479.0</v>
      </c>
      <c r="H128" s="85">
        <v>46167.0</v>
      </c>
      <c r="I128" s="85">
        <v>46212.0</v>
      </c>
      <c r="J128" s="82" t="s">
        <v>535</v>
      </c>
      <c r="K128" s="86">
        <v>1161247.0</v>
      </c>
      <c r="L128" s="84">
        <v>345672.53</v>
      </c>
      <c r="M128" s="80" t="s">
        <v>536</v>
      </c>
      <c r="N128" s="80"/>
      <c r="O128" s="80"/>
      <c r="P128" s="80"/>
      <c r="Q128" s="80"/>
      <c r="R128" s="80"/>
      <c r="S128" s="80"/>
      <c r="T128" s="80"/>
      <c r="U128" s="80"/>
      <c r="V128" s="80"/>
      <c r="W128" s="80"/>
      <c r="X128" s="80"/>
      <c r="Y128" s="80"/>
      <c r="Z128" s="80"/>
    </row>
    <row r="129">
      <c r="A129" s="81">
        <v>2369.0</v>
      </c>
      <c r="B129" s="82" t="s">
        <v>572</v>
      </c>
      <c r="C129" s="82" t="s">
        <v>536</v>
      </c>
      <c r="D129" s="84">
        <v>10000.0</v>
      </c>
      <c r="E129" s="84">
        <v>180.0</v>
      </c>
      <c r="F129" s="84">
        <v>111.0</v>
      </c>
      <c r="G129" s="84">
        <v>8296.6</v>
      </c>
      <c r="H129" s="85">
        <v>46101.0</v>
      </c>
      <c r="I129" s="85">
        <v>46212.0</v>
      </c>
      <c r="J129" s="82" t="s">
        <v>535</v>
      </c>
      <c r="K129" s="86">
        <v>1151952.0</v>
      </c>
      <c r="L129" s="84">
        <v>198522.78</v>
      </c>
      <c r="M129" s="80" t="s">
        <v>554</v>
      </c>
      <c r="N129" s="80"/>
      <c r="O129" s="80"/>
      <c r="P129" s="80"/>
      <c r="Q129" s="80"/>
      <c r="R129" s="80"/>
      <c r="S129" s="80"/>
      <c r="T129" s="80"/>
      <c r="U129" s="80"/>
      <c r="V129" s="80"/>
      <c r="W129" s="80"/>
      <c r="X129" s="80"/>
      <c r="Y129" s="80"/>
      <c r="Z129" s="80"/>
    </row>
    <row r="130">
      <c r="A130" s="81">
        <v>2374.0</v>
      </c>
      <c r="B130" s="82" t="s">
        <v>569</v>
      </c>
      <c r="C130" s="82" t="s">
        <v>536</v>
      </c>
      <c r="D130" s="84">
        <v>10000.0</v>
      </c>
      <c r="E130" s="84">
        <v>180.0</v>
      </c>
      <c r="F130" s="84">
        <v>51.0</v>
      </c>
      <c r="G130" s="84">
        <v>1849.8</v>
      </c>
      <c r="H130" s="85">
        <v>46161.0</v>
      </c>
      <c r="I130" s="85">
        <v>46212.0</v>
      </c>
      <c r="J130" s="82" t="s">
        <v>535</v>
      </c>
      <c r="K130" s="86">
        <v>1159378.0</v>
      </c>
      <c r="L130" s="84">
        <v>298238.28</v>
      </c>
      <c r="M130" s="80" t="s">
        <v>554</v>
      </c>
      <c r="N130" s="80"/>
      <c r="O130" s="80"/>
      <c r="P130" s="80"/>
      <c r="Q130" s="80"/>
      <c r="R130" s="80"/>
      <c r="S130" s="80"/>
      <c r="T130" s="80"/>
      <c r="U130" s="80"/>
      <c r="V130" s="80"/>
      <c r="W130" s="80"/>
      <c r="X130" s="80"/>
      <c r="Y130" s="80"/>
      <c r="Z130" s="80"/>
    </row>
    <row r="131">
      <c r="A131" s="81">
        <v>2376.0</v>
      </c>
      <c r="B131" s="82" t="s">
        <v>569</v>
      </c>
      <c r="C131" s="82" t="s">
        <v>536</v>
      </c>
      <c r="D131" s="84">
        <v>10000.0</v>
      </c>
      <c r="E131" s="84">
        <v>180.0</v>
      </c>
      <c r="F131" s="84">
        <v>128.0</v>
      </c>
      <c r="G131" s="84">
        <v>2356.5</v>
      </c>
      <c r="H131" s="85">
        <v>46084.0</v>
      </c>
      <c r="I131" s="85">
        <v>46212.0</v>
      </c>
      <c r="J131" s="82" t="s">
        <v>535</v>
      </c>
      <c r="K131" s="86">
        <v>1149211.0</v>
      </c>
      <c r="L131" s="84">
        <v>214970.1</v>
      </c>
      <c r="M131" s="80" t="s">
        <v>554</v>
      </c>
      <c r="N131" s="80"/>
      <c r="O131" s="80"/>
      <c r="P131" s="80"/>
      <c r="Q131" s="80"/>
      <c r="R131" s="80"/>
      <c r="S131" s="80"/>
      <c r="T131" s="80"/>
      <c r="U131" s="80"/>
      <c r="V131" s="80"/>
      <c r="W131" s="80"/>
      <c r="X131" s="80"/>
      <c r="Y131" s="80"/>
      <c r="Z131" s="80"/>
    </row>
    <row r="132">
      <c r="A132" s="81">
        <v>2378.0</v>
      </c>
      <c r="B132" s="82" t="s">
        <v>569</v>
      </c>
      <c r="C132" s="82" t="s">
        <v>536</v>
      </c>
      <c r="D132" s="84">
        <v>10000.0</v>
      </c>
      <c r="E132" s="84">
        <v>180.0</v>
      </c>
      <c r="F132" s="84">
        <v>45.0</v>
      </c>
      <c r="G132" s="84">
        <v>1100.3</v>
      </c>
      <c r="H132" s="85">
        <v>46167.0</v>
      </c>
      <c r="I132" s="85">
        <v>46212.0</v>
      </c>
      <c r="J132" s="82" t="s">
        <v>535</v>
      </c>
      <c r="K132" s="86">
        <v>1161249.0</v>
      </c>
      <c r="L132" s="84">
        <v>355523.61</v>
      </c>
      <c r="M132" s="80" t="s">
        <v>554</v>
      </c>
      <c r="N132" s="80"/>
      <c r="O132" s="80"/>
      <c r="P132" s="80"/>
      <c r="Q132" s="80"/>
      <c r="R132" s="80"/>
      <c r="S132" s="80"/>
      <c r="T132" s="80"/>
      <c r="U132" s="80"/>
      <c r="V132" s="80"/>
      <c r="W132" s="80"/>
      <c r="X132" s="80"/>
      <c r="Y132" s="80"/>
      <c r="Z132" s="80"/>
    </row>
    <row r="133">
      <c r="A133" s="81">
        <v>2379.0</v>
      </c>
      <c r="B133" s="82" t="s">
        <v>569</v>
      </c>
      <c r="C133" s="82" t="s">
        <v>537</v>
      </c>
      <c r="D133" s="84">
        <v>10000.0</v>
      </c>
      <c r="E133" s="84">
        <v>180.0</v>
      </c>
      <c r="F133" s="84">
        <v>62.0</v>
      </c>
      <c r="G133" s="84">
        <v>4798.0</v>
      </c>
      <c r="H133" s="85">
        <v>46150.0</v>
      </c>
      <c r="I133" s="85">
        <v>46212.0</v>
      </c>
      <c r="J133" s="82" t="s">
        <v>535</v>
      </c>
      <c r="K133" s="86">
        <v>1158928.0</v>
      </c>
      <c r="L133" s="84">
        <v>278217.68</v>
      </c>
      <c r="M133" s="80" t="s">
        <v>554</v>
      </c>
      <c r="N133" s="80"/>
      <c r="O133" s="80"/>
      <c r="P133" s="80"/>
      <c r="Q133" s="80"/>
      <c r="R133" s="80"/>
      <c r="S133" s="80"/>
      <c r="T133" s="80"/>
      <c r="U133" s="80"/>
      <c r="V133" s="80"/>
      <c r="W133" s="80"/>
      <c r="X133" s="80"/>
      <c r="Y133" s="80"/>
      <c r="Z133" s="80"/>
    </row>
    <row r="134">
      <c r="A134" s="81">
        <v>2384.0</v>
      </c>
      <c r="B134" s="82" t="s">
        <v>569</v>
      </c>
      <c r="C134" s="82" t="s">
        <v>536</v>
      </c>
      <c r="D134" s="84">
        <v>10000.0</v>
      </c>
      <c r="E134" s="84">
        <v>180.0</v>
      </c>
      <c r="F134" s="84">
        <v>183.0</v>
      </c>
      <c r="G134" s="84">
        <v>7091.7</v>
      </c>
      <c r="H134" s="85">
        <v>46029.0</v>
      </c>
      <c r="I134" s="85">
        <v>46212.0</v>
      </c>
      <c r="J134" s="82" t="s">
        <v>540</v>
      </c>
      <c r="K134" s="86">
        <v>1145613.0</v>
      </c>
      <c r="L134" s="84">
        <v>354061.14</v>
      </c>
      <c r="M134" s="80" t="s">
        <v>554</v>
      </c>
      <c r="N134" s="80"/>
      <c r="O134" s="80"/>
      <c r="P134" s="80"/>
      <c r="Q134" s="80"/>
      <c r="R134" s="80"/>
      <c r="S134" s="80"/>
      <c r="T134" s="80"/>
      <c r="U134" s="80"/>
      <c r="V134" s="80"/>
      <c r="W134" s="80"/>
      <c r="X134" s="80"/>
      <c r="Y134" s="80"/>
      <c r="Z134" s="80"/>
    </row>
    <row r="135">
      <c r="A135" s="81">
        <v>2385.0</v>
      </c>
      <c r="B135" s="82" t="s">
        <v>569</v>
      </c>
      <c r="C135" s="82" t="s">
        <v>536</v>
      </c>
      <c r="D135" s="84">
        <v>10000.0</v>
      </c>
      <c r="E135" s="84">
        <v>180.0</v>
      </c>
      <c r="F135" s="84">
        <v>73.0</v>
      </c>
      <c r="G135" s="84">
        <v>1318.2</v>
      </c>
      <c r="H135" s="85">
        <v>46139.0</v>
      </c>
      <c r="I135" s="85">
        <v>46212.0</v>
      </c>
      <c r="J135" s="82" t="s">
        <v>535</v>
      </c>
      <c r="K135" s="86">
        <v>1156077.0</v>
      </c>
      <c r="L135" s="84">
        <v>197678.73</v>
      </c>
      <c r="M135" s="80" t="s">
        <v>554</v>
      </c>
      <c r="N135" s="80"/>
      <c r="O135" s="80"/>
      <c r="P135" s="80"/>
      <c r="Q135" s="80"/>
      <c r="R135" s="80"/>
      <c r="S135" s="80"/>
      <c r="T135" s="80"/>
      <c r="U135" s="80"/>
      <c r="V135" s="80"/>
      <c r="W135" s="80"/>
      <c r="X135" s="80"/>
      <c r="Y135" s="80"/>
      <c r="Z135" s="80"/>
    </row>
    <row r="136">
      <c r="A136" s="81">
        <v>2387.0</v>
      </c>
      <c r="B136" s="82" t="s">
        <v>569</v>
      </c>
      <c r="C136" s="82" t="s">
        <v>536</v>
      </c>
      <c r="D136" s="84">
        <v>10000.0</v>
      </c>
      <c r="E136" s="84">
        <v>180.0</v>
      </c>
      <c r="F136" s="84">
        <v>103.0</v>
      </c>
      <c r="G136" s="84">
        <v>5804.9</v>
      </c>
      <c r="H136" s="85">
        <v>46109.0</v>
      </c>
      <c r="I136" s="85">
        <v>46212.0</v>
      </c>
      <c r="J136" s="82" t="s">
        <v>535</v>
      </c>
      <c r="K136" s="86">
        <v>1154541.0</v>
      </c>
      <c r="L136" s="84">
        <v>347563.81</v>
      </c>
      <c r="M136" s="80" t="s">
        <v>554</v>
      </c>
      <c r="N136" s="80"/>
      <c r="O136" s="80"/>
      <c r="P136" s="80"/>
      <c r="Q136" s="80"/>
      <c r="R136" s="80"/>
      <c r="S136" s="80"/>
      <c r="T136" s="80"/>
      <c r="U136" s="80"/>
      <c r="V136" s="80"/>
      <c r="W136" s="80"/>
      <c r="X136" s="80"/>
      <c r="Y136" s="80"/>
      <c r="Z136" s="80"/>
    </row>
    <row r="137">
      <c r="A137" s="81">
        <v>2388.0</v>
      </c>
      <c r="B137" s="82" t="s">
        <v>569</v>
      </c>
      <c r="C137" s="82" t="s">
        <v>536</v>
      </c>
      <c r="D137" s="84">
        <v>10000.0</v>
      </c>
      <c r="E137" s="84">
        <v>180.0</v>
      </c>
      <c r="F137" s="84">
        <v>51.0</v>
      </c>
      <c r="G137" s="84">
        <v>1235.4</v>
      </c>
      <c r="H137" s="85">
        <v>46161.0</v>
      </c>
      <c r="I137" s="85">
        <v>46212.0</v>
      </c>
      <c r="J137" s="82" t="s">
        <v>535</v>
      </c>
      <c r="K137" s="86">
        <v>1160338.0</v>
      </c>
      <c r="L137" s="84">
        <v>303885.56</v>
      </c>
      <c r="M137" s="80" t="s">
        <v>554</v>
      </c>
      <c r="N137" s="80"/>
      <c r="O137" s="80"/>
      <c r="P137" s="80"/>
      <c r="Q137" s="80"/>
      <c r="R137" s="80"/>
      <c r="S137" s="80"/>
      <c r="T137" s="80"/>
      <c r="U137" s="80"/>
      <c r="V137" s="80"/>
      <c r="W137" s="80"/>
      <c r="X137" s="80"/>
      <c r="Y137" s="80"/>
      <c r="Z137" s="80"/>
    </row>
    <row r="138">
      <c r="A138" s="81">
        <v>2389.0</v>
      </c>
      <c r="B138" s="82" t="s">
        <v>569</v>
      </c>
      <c r="C138" s="82" t="s">
        <v>538</v>
      </c>
      <c r="D138" s="84">
        <v>10000.0</v>
      </c>
      <c r="E138" s="84">
        <v>180.0</v>
      </c>
      <c r="F138" s="84">
        <v>101.0</v>
      </c>
      <c r="G138" s="84">
        <v>6110.2</v>
      </c>
      <c r="H138" s="85">
        <v>46111.0</v>
      </c>
      <c r="I138" s="85">
        <v>46212.0</v>
      </c>
      <c r="J138" s="82" t="s">
        <v>535</v>
      </c>
      <c r="K138" s="86">
        <v>1154199.0</v>
      </c>
      <c r="L138" s="84">
        <v>395749.15</v>
      </c>
      <c r="M138" s="80" t="s">
        <v>554</v>
      </c>
      <c r="N138" s="80"/>
      <c r="O138" s="80"/>
      <c r="P138" s="80"/>
      <c r="Q138" s="80"/>
      <c r="R138" s="80"/>
      <c r="S138" s="80"/>
      <c r="T138" s="80"/>
      <c r="U138" s="80"/>
      <c r="V138" s="80"/>
      <c r="W138" s="80"/>
      <c r="X138" s="80"/>
      <c r="Y138" s="80"/>
      <c r="Z138" s="80"/>
    </row>
    <row r="139">
      <c r="A139" s="81">
        <v>2390.0</v>
      </c>
      <c r="B139" s="82" t="s">
        <v>569</v>
      </c>
      <c r="C139" s="82" t="s">
        <v>536</v>
      </c>
      <c r="D139" s="84">
        <v>10000.0</v>
      </c>
      <c r="E139" s="84">
        <v>180.0</v>
      </c>
      <c r="F139" s="84">
        <v>51.0</v>
      </c>
      <c r="G139" s="84">
        <v>2153.1</v>
      </c>
      <c r="H139" s="85">
        <v>46161.0</v>
      </c>
      <c r="I139" s="85">
        <v>46212.0</v>
      </c>
      <c r="J139" s="82" t="s">
        <v>535</v>
      </c>
      <c r="K139" s="86">
        <v>1158349.0</v>
      </c>
      <c r="L139" s="84">
        <v>240359.83</v>
      </c>
      <c r="M139" s="80" t="s">
        <v>554</v>
      </c>
      <c r="N139" s="80"/>
      <c r="O139" s="80"/>
      <c r="P139" s="80"/>
      <c r="Q139" s="80"/>
      <c r="R139" s="80"/>
      <c r="S139" s="80"/>
      <c r="T139" s="80"/>
      <c r="U139" s="80"/>
      <c r="V139" s="80"/>
      <c r="W139" s="80"/>
      <c r="X139" s="80"/>
      <c r="Y139" s="80"/>
      <c r="Z139" s="80"/>
    </row>
    <row r="140">
      <c r="A140" s="81">
        <v>2391.0</v>
      </c>
      <c r="B140" s="82" t="s">
        <v>569</v>
      </c>
      <c r="C140" s="82" t="s">
        <v>536</v>
      </c>
      <c r="D140" s="84">
        <v>10000.0</v>
      </c>
      <c r="E140" s="84">
        <v>180.0</v>
      </c>
      <c r="F140" s="84">
        <v>86.0</v>
      </c>
      <c r="G140" s="84">
        <v>3031.3</v>
      </c>
      <c r="H140" s="85">
        <v>46126.0</v>
      </c>
      <c r="I140" s="85">
        <v>46212.0</v>
      </c>
      <c r="J140" s="82" t="s">
        <v>535</v>
      </c>
      <c r="K140" s="86">
        <v>1156067.0</v>
      </c>
      <c r="L140" s="84">
        <v>210497.87</v>
      </c>
      <c r="M140" s="80" t="s">
        <v>554</v>
      </c>
      <c r="N140" s="80"/>
      <c r="O140" s="80"/>
      <c r="P140" s="80"/>
      <c r="Q140" s="80"/>
      <c r="R140" s="80"/>
      <c r="S140" s="80"/>
      <c r="T140" s="80"/>
      <c r="U140" s="80"/>
      <c r="V140" s="80"/>
      <c r="W140" s="80"/>
      <c r="X140" s="80"/>
      <c r="Y140" s="80"/>
      <c r="Z140" s="80"/>
    </row>
    <row r="141">
      <c r="A141" s="81">
        <v>2392.0</v>
      </c>
      <c r="B141" s="82" t="s">
        <v>569</v>
      </c>
      <c r="C141" s="82" t="s">
        <v>536</v>
      </c>
      <c r="D141" s="84">
        <v>10000.0</v>
      </c>
      <c r="E141" s="84">
        <v>180.0</v>
      </c>
      <c r="F141" s="84">
        <v>232.0</v>
      </c>
      <c r="G141" s="84">
        <v>8295.7</v>
      </c>
      <c r="H141" s="85">
        <v>45980.0</v>
      </c>
      <c r="I141" s="85">
        <v>46212.0</v>
      </c>
      <c r="J141" s="82" t="s">
        <v>540</v>
      </c>
      <c r="K141" s="86">
        <v>1139606.0</v>
      </c>
      <c r="L141" s="84">
        <v>305516.95</v>
      </c>
      <c r="M141" s="80" t="s">
        <v>554</v>
      </c>
      <c r="N141" s="80"/>
      <c r="O141" s="80"/>
      <c r="P141" s="80"/>
      <c r="Q141" s="80"/>
      <c r="R141" s="80"/>
      <c r="S141" s="80"/>
      <c r="T141" s="80"/>
      <c r="U141" s="80"/>
      <c r="V141" s="80"/>
      <c r="W141" s="80"/>
      <c r="X141" s="80"/>
      <c r="Y141" s="80"/>
      <c r="Z141" s="80"/>
    </row>
    <row r="142">
      <c r="A142" s="81">
        <v>2393.0</v>
      </c>
      <c r="B142" s="82" t="s">
        <v>569</v>
      </c>
      <c r="C142" s="82" t="s">
        <v>536</v>
      </c>
      <c r="D142" s="84">
        <v>10000.0</v>
      </c>
      <c r="E142" s="84">
        <v>180.0</v>
      </c>
      <c r="F142" s="84">
        <v>51.0</v>
      </c>
      <c r="G142" s="84">
        <v>1793.3</v>
      </c>
      <c r="H142" s="85">
        <v>46161.0</v>
      </c>
      <c r="I142" s="85">
        <v>46212.0</v>
      </c>
      <c r="J142" s="82" t="s">
        <v>535</v>
      </c>
      <c r="K142" s="86">
        <v>1160329.0</v>
      </c>
      <c r="L142" s="84">
        <v>365787.68</v>
      </c>
      <c r="M142" s="80" t="s">
        <v>554</v>
      </c>
      <c r="N142" s="80"/>
      <c r="O142" s="80"/>
      <c r="P142" s="80"/>
      <c r="Q142" s="80"/>
      <c r="R142" s="80"/>
      <c r="S142" s="80"/>
      <c r="T142" s="80"/>
      <c r="U142" s="80"/>
      <c r="V142" s="80"/>
      <c r="W142" s="80"/>
      <c r="X142" s="80"/>
      <c r="Y142" s="80"/>
      <c r="Z142" s="80"/>
    </row>
    <row r="143">
      <c r="A143" s="81">
        <v>2394.0</v>
      </c>
      <c r="B143" s="82" t="s">
        <v>569</v>
      </c>
      <c r="C143" s="82" t="s">
        <v>536</v>
      </c>
      <c r="D143" s="84">
        <v>10000.0</v>
      </c>
      <c r="E143" s="84">
        <v>180.0</v>
      </c>
      <c r="F143" s="84">
        <v>170.0</v>
      </c>
      <c r="G143" s="84">
        <v>4891.8</v>
      </c>
      <c r="H143" s="85">
        <v>46042.0</v>
      </c>
      <c r="I143" s="85">
        <v>46212.0</v>
      </c>
      <c r="J143" s="82" t="s">
        <v>535</v>
      </c>
      <c r="K143" s="86">
        <v>1146693.0</v>
      </c>
      <c r="L143" s="84">
        <v>157654.08</v>
      </c>
      <c r="M143" s="80" t="s">
        <v>554</v>
      </c>
      <c r="N143" s="80"/>
      <c r="O143" s="80"/>
      <c r="P143" s="80"/>
      <c r="Q143" s="80"/>
      <c r="R143" s="80"/>
      <c r="S143" s="80"/>
      <c r="T143" s="80"/>
      <c r="U143" s="80"/>
      <c r="V143" s="80"/>
      <c r="W143" s="80"/>
      <c r="X143" s="80"/>
      <c r="Y143" s="80"/>
      <c r="Z143" s="80"/>
    </row>
    <row r="144">
      <c r="A144" s="81">
        <v>2395.0</v>
      </c>
      <c r="B144" s="82" t="s">
        <v>569</v>
      </c>
      <c r="C144" s="82" t="s">
        <v>536</v>
      </c>
      <c r="D144" s="84">
        <v>10000.0</v>
      </c>
      <c r="E144" s="84">
        <v>180.0</v>
      </c>
      <c r="F144" s="84">
        <v>85.0</v>
      </c>
      <c r="G144" s="84">
        <v>3162.0</v>
      </c>
      <c r="H144" s="85">
        <v>46127.0</v>
      </c>
      <c r="I144" s="85">
        <v>46212.0</v>
      </c>
      <c r="J144" s="82" t="s">
        <v>535</v>
      </c>
      <c r="K144" s="86">
        <v>1156066.0</v>
      </c>
      <c r="L144" s="84">
        <v>218158.91</v>
      </c>
      <c r="M144" s="80" t="s">
        <v>554</v>
      </c>
      <c r="N144" s="80"/>
      <c r="O144" s="80"/>
      <c r="P144" s="80"/>
      <c r="Q144" s="80"/>
      <c r="R144" s="80"/>
      <c r="S144" s="80"/>
      <c r="T144" s="80"/>
      <c r="U144" s="80"/>
      <c r="V144" s="80"/>
      <c r="W144" s="80"/>
      <c r="X144" s="80"/>
      <c r="Y144" s="80"/>
      <c r="Z144" s="80"/>
    </row>
    <row r="145">
      <c r="A145" s="81">
        <v>2400.0</v>
      </c>
      <c r="B145" s="82" t="s">
        <v>569</v>
      </c>
      <c r="C145" s="82" t="s">
        <v>536</v>
      </c>
      <c r="D145" s="84">
        <v>10000.0</v>
      </c>
      <c r="E145" s="84">
        <v>180.0</v>
      </c>
      <c r="F145" s="84">
        <v>133.0</v>
      </c>
      <c r="G145" s="84">
        <v>2423.0</v>
      </c>
      <c r="H145" s="85">
        <v>46079.0</v>
      </c>
      <c r="I145" s="85">
        <v>46212.0</v>
      </c>
      <c r="J145" s="82" t="s">
        <v>535</v>
      </c>
      <c r="K145" s="86">
        <v>1151254.0</v>
      </c>
      <c r="L145" s="84">
        <v>391781.42</v>
      </c>
      <c r="M145" s="80" t="s">
        <v>554</v>
      </c>
      <c r="N145" s="80"/>
      <c r="O145" s="80"/>
      <c r="P145" s="80"/>
      <c r="Q145" s="80"/>
      <c r="R145" s="80"/>
      <c r="S145" s="80"/>
      <c r="T145" s="80"/>
      <c r="U145" s="80"/>
      <c r="V145" s="80"/>
      <c r="W145" s="80"/>
      <c r="X145" s="80"/>
      <c r="Y145" s="80"/>
      <c r="Z145" s="80"/>
    </row>
    <row r="146">
      <c r="A146" s="81">
        <v>2402.0</v>
      </c>
      <c r="B146" s="82" t="s">
        <v>569</v>
      </c>
      <c r="C146" s="82" t="s">
        <v>536</v>
      </c>
      <c r="D146" s="84">
        <v>10000.0</v>
      </c>
      <c r="E146" s="84">
        <v>180.0</v>
      </c>
      <c r="F146" s="84">
        <v>127.0</v>
      </c>
      <c r="G146" s="84">
        <v>4380.1</v>
      </c>
      <c r="H146" s="85">
        <v>46085.0</v>
      </c>
      <c r="I146" s="85">
        <v>46212.0</v>
      </c>
      <c r="J146" s="82" t="s">
        <v>535</v>
      </c>
      <c r="K146" s="86">
        <v>1151088.0</v>
      </c>
      <c r="L146" s="84">
        <v>355552.36</v>
      </c>
      <c r="M146" s="80" t="s">
        <v>554</v>
      </c>
      <c r="N146" s="80"/>
      <c r="O146" s="80"/>
      <c r="P146" s="80"/>
      <c r="Q146" s="80"/>
      <c r="R146" s="80"/>
      <c r="S146" s="80"/>
      <c r="T146" s="80"/>
      <c r="U146" s="80"/>
      <c r="V146" s="80"/>
      <c r="W146" s="80"/>
      <c r="X146" s="80"/>
      <c r="Y146" s="80"/>
      <c r="Z146" s="80"/>
    </row>
    <row r="147">
      <c r="A147" s="81">
        <v>2403.0</v>
      </c>
      <c r="B147" s="82" t="s">
        <v>569</v>
      </c>
      <c r="C147" s="82" t="s">
        <v>536</v>
      </c>
      <c r="D147" s="84">
        <v>10000.0</v>
      </c>
      <c r="E147" s="84">
        <v>180.0</v>
      </c>
      <c r="F147" s="84">
        <v>122.0</v>
      </c>
      <c r="G147" s="84">
        <v>6302.9</v>
      </c>
      <c r="H147" s="85">
        <v>46090.0</v>
      </c>
      <c r="I147" s="85">
        <v>46212.0</v>
      </c>
      <c r="J147" s="82" t="s">
        <v>535</v>
      </c>
      <c r="K147" s="86">
        <v>1152281.0</v>
      </c>
      <c r="L147" s="84">
        <v>289298.22</v>
      </c>
      <c r="M147" s="80" t="s">
        <v>554</v>
      </c>
      <c r="N147" s="80"/>
      <c r="O147" s="80"/>
      <c r="P147" s="80"/>
      <c r="Q147" s="80"/>
      <c r="R147" s="80"/>
      <c r="S147" s="80"/>
      <c r="T147" s="80"/>
      <c r="U147" s="80"/>
      <c r="V147" s="80"/>
      <c r="W147" s="80"/>
      <c r="X147" s="80"/>
      <c r="Y147" s="80"/>
      <c r="Z147" s="80"/>
    </row>
    <row r="148">
      <c r="A148" s="81">
        <v>2404.0</v>
      </c>
      <c r="B148" s="82" t="s">
        <v>569</v>
      </c>
      <c r="C148" s="82" t="s">
        <v>536</v>
      </c>
      <c r="D148" s="84">
        <v>10000.0</v>
      </c>
      <c r="E148" s="84">
        <v>180.0</v>
      </c>
      <c r="F148" s="84">
        <v>70.0</v>
      </c>
      <c r="G148" s="84">
        <v>1685.4</v>
      </c>
      <c r="H148" s="85">
        <v>46142.0</v>
      </c>
      <c r="I148" s="85">
        <v>46212.0</v>
      </c>
      <c r="J148" s="82" t="s">
        <v>535</v>
      </c>
      <c r="K148" s="86">
        <v>1156072.0</v>
      </c>
      <c r="L148" s="84">
        <v>352153.36</v>
      </c>
      <c r="M148" s="80" t="s">
        <v>554</v>
      </c>
      <c r="N148" s="80"/>
      <c r="O148" s="80"/>
      <c r="P148" s="80"/>
      <c r="Q148" s="80"/>
      <c r="R148" s="80"/>
      <c r="S148" s="80"/>
      <c r="T148" s="80"/>
      <c r="U148" s="80"/>
      <c r="V148" s="80"/>
      <c r="W148" s="80"/>
      <c r="X148" s="80"/>
      <c r="Y148" s="80"/>
      <c r="Z148" s="80"/>
    </row>
    <row r="149">
      <c r="A149" s="81">
        <v>2411.0</v>
      </c>
      <c r="B149" s="82" t="s">
        <v>533</v>
      </c>
      <c r="C149" s="82" t="s">
        <v>534</v>
      </c>
      <c r="D149" s="84">
        <v>30000.0</v>
      </c>
      <c r="E149" s="84">
        <v>120.0</v>
      </c>
      <c r="F149" s="84">
        <v>101.0</v>
      </c>
      <c r="G149" s="84">
        <v>12981.7</v>
      </c>
      <c r="H149" s="85">
        <v>46111.0</v>
      </c>
      <c r="I149" s="85">
        <v>46212.0</v>
      </c>
      <c r="J149" s="82" t="s">
        <v>535</v>
      </c>
      <c r="K149" s="86">
        <v>1154565.0</v>
      </c>
      <c r="L149" s="84">
        <v>1207527.4</v>
      </c>
      <c r="M149" s="80" t="s">
        <v>539</v>
      </c>
      <c r="N149" s="80"/>
      <c r="O149" s="80"/>
      <c r="P149" s="80"/>
      <c r="Q149" s="80"/>
      <c r="R149" s="80"/>
      <c r="S149" s="80"/>
      <c r="T149" s="80"/>
      <c r="U149" s="80"/>
      <c r="V149" s="80"/>
      <c r="W149" s="80"/>
      <c r="X149" s="80"/>
      <c r="Y149" s="80"/>
      <c r="Z149" s="80"/>
    </row>
    <row r="150">
      <c r="A150" s="81">
        <v>2414.0</v>
      </c>
      <c r="B150" s="82" t="s">
        <v>572</v>
      </c>
      <c r="C150" s="82" t="s">
        <v>536</v>
      </c>
      <c r="D150" s="84">
        <v>10000.0</v>
      </c>
      <c r="E150" s="84">
        <v>180.0</v>
      </c>
      <c r="F150" s="84">
        <v>84.0</v>
      </c>
      <c r="G150" s="84">
        <v>3277.8</v>
      </c>
      <c r="H150" s="85">
        <v>46128.0</v>
      </c>
      <c r="I150" s="85">
        <v>46212.0</v>
      </c>
      <c r="J150" s="82" t="s">
        <v>535</v>
      </c>
      <c r="K150" s="86">
        <v>1156061.0</v>
      </c>
      <c r="L150" s="84">
        <v>795113.36</v>
      </c>
      <c r="M150" s="80" t="s">
        <v>548</v>
      </c>
      <c r="N150" s="80"/>
      <c r="O150" s="80"/>
      <c r="P150" s="80"/>
      <c r="Q150" s="80"/>
      <c r="R150" s="80"/>
      <c r="S150" s="80"/>
      <c r="T150" s="80"/>
      <c r="U150" s="80"/>
      <c r="V150" s="80"/>
      <c r="W150" s="80"/>
      <c r="X150" s="80"/>
      <c r="Y150" s="80"/>
      <c r="Z150" s="80"/>
    </row>
    <row r="151">
      <c r="A151" s="81">
        <v>2418.0</v>
      </c>
      <c r="B151" s="82" t="s">
        <v>569</v>
      </c>
      <c r="C151" s="82" t="s">
        <v>536</v>
      </c>
      <c r="D151" s="84">
        <v>10000.0</v>
      </c>
      <c r="E151" s="84">
        <v>180.0</v>
      </c>
      <c r="F151" s="84">
        <v>161.0</v>
      </c>
      <c r="G151" s="84">
        <v>2810.5</v>
      </c>
      <c r="H151" s="85">
        <v>46051.0</v>
      </c>
      <c r="I151" s="85">
        <v>46212.0</v>
      </c>
      <c r="J151" s="82" t="s">
        <v>535</v>
      </c>
      <c r="K151" s="86">
        <v>1146705.0</v>
      </c>
      <c r="L151" s="84">
        <v>450772.9</v>
      </c>
      <c r="M151" s="80" t="s">
        <v>536</v>
      </c>
      <c r="N151" s="80"/>
      <c r="O151" s="80"/>
      <c r="P151" s="80"/>
      <c r="Q151" s="80"/>
      <c r="R151" s="80"/>
      <c r="S151" s="80"/>
      <c r="T151" s="80"/>
      <c r="U151" s="80"/>
      <c r="V151" s="80"/>
      <c r="W151" s="80"/>
      <c r="X151" s="80"/>
      <c r="Y151" s="80"/>
      <c r="Z151" s="80"/>
    </row>
    <row r="152">
      <c r="A152" s="81">
        <v>2419.0</v>
      </c>
      <c r="B152" s="82" t="s">
        <v>569</v>
      </c>
      <c r="C152" s="82" t="s">
        <v>536</v>
      </c>
      <c r="D152" s="84">
        <v>10000.0</v>
      </c>
      <c r="E152" s="84">
        <v>180.0</v>
      </c>
      <c r="F152" s="84">
        <v>73.0</v>
      </c>
      <c r="G152" s="84">
        <v>2406.1</v>
      </c>
      <c r="H152" s="85">
        <v>46139.0</v>
      </c>
      <c r="I152" s="85">
        <v>46212.0</v>
      </c>
      <c r="J152" s="82" t="s">
        <v>535</v>
      </c>
      <c r="K152" s="86">
        <v>1156069.0</v>
      </c>
      <c r="L152" s="84">
        <v>116612.08</v>
      </c>
      <c r="M152" s="80" t="s">
        <v>554</v>
      </c>
      <c r="N152" s="80"/>
      <c r="O152" s="80"/>
      <c r="P152" s="80"/>
      <c r="Q152" s="80"/>
      <c r="R152" s="80"/>
      <c r="S152" s="80"/>
      <c r="T152" s="80"/>
      <c r="U152" s="80"/>
      <c r="V152" s="80"/>
      <c r="W152" s="80"/>
      <c r="X152" s="80"/>
      <c r="Y152" s="80"/>
      <c r="Z152" s="80"/>
    </row>
    <row r="153">
      <c r="A153" s="81">
        <v>2421.0</v>
      </c>
      <c r="B153" s="82" t="s">
        <v>569</v>
      </c>
      <c r="C153" s="82" t="s">
        <v>536</v>
      </c>
      <c r="D153" s="84">
        <v>10000.0</v>
      </c>
      <c r="E153" s="84">
        <v>180.0</v>
      </c>
      <c r="F153" s="84">
        <v>51.0</v>
      </c>
      <c r="G153" s="84">
        <v>1618.2</v>
      </c>
      <c r="H153" s="85">
        <v>46161.0</v>
      </c>
      <c r="I153" s="85">
        <v>46212.0</v>
      </c>
      <c r="J153" s="82" t="s">
        <v>535</v>
      </c>
      <c r="K153" s="86">
        <v>1160333.0</v>
      </c>
      <c r="L153" s="84">
        <v>193293.01</v>
      </c>
      <c r="M153" s="80" t="s">
        <v>554</v>
      </c>
      <c r="N153" s="80"/>
      <c r="O153" s="80"/>
      <c r="P153" s="80"/>
      <c r="Q153" s="80"/>
      <c r="R153" s="80"/>
      <c r="S153" s="80"/>
      <c r="T153" s="80"/>
      <c r="U153" s="80"/>
      <c r="V153" s="80"/>
      <c r="W153" s="80"/>
      <c r="X153" s="80"/>
      <c r="Y153" s="80"/>
      <c r="Z153" s="80"/>
    </row>
    <row r="154">
      <c r="A154" s="81">
        <v>2422.0</v>
      </c>
      <c r="B154" s="82" t="s">
        <v>569</v>
      </c>
      <c r="C154" s="82" t="s">
        <v>537</v>
      </c>
      <c r="D154" s="84">
        <v>10000.0</v>
      </c>
      <c r="E154" s="84">
        <v>180.0</v>
      </c>
      <c r="F154" s="84">
        <v>56.0</v>
      </c>
      <c r="G154" s="84">
        <v>4655.9</v>
      </c>
      <c r="H154" s="85">
        <v>46156.0</v>
      </c>
      <c r="I154" s="85">
        <v>46212.0</v>
      </c>
      <c r="J154" s="82" t="s">
        <v>535</v>
      </c>
      <c r="K154" s="86">
        <v>1158351.0</v>
      </c>
      <c r="L154" s="84">
        <v>365520.59</v>
      </c>
      <c r="M154" s="80" t="s">
        <v>554</v>
      </c>
      <c r="N154" s="80"/>
      <c r="O154" s="80"/>
      <c r="P154" s="80"/>
      <c r="Q154" s="80"/>
      <c r="R154" s="80"/>
      <c r="S154" s="80"/>
      <c r="T154" s="80"/>
      <c r="U154" s="80"/>
      <c r="V154" s="80"/>
      <c r="W154" s="80"/>
      <c r="X154" s="80"/>
      <c r="Y154" s="80"/>
      <c r="Z154" s="80"/>
    </row>
    <row r="155">
      <c r="A155" s="81">
        <v>2423.0</v>
      </c>
      <c r="B155" s="82" t="s">
        <v>569</v>
      </c>
      <c r="C155" s="82" t="s">
        <v>536</v>
      </c>
      <c r="D155" s="84">
        <v>10000.0</v>
      </c>
      <c r="E155" s="84">
        <v>180.0</v>
      </c>
      <c r="F155" s="84">
        <v>45.0</v>
      </c>
      <c r="G155" s="84">
        <v>2060.0</v>
      </c>
      <c r="H155" s="85">
        <v>46167.0</v>
      </c>
      <c r="I155" s="85">
        <v>46212.0</v>
      </c>
      <c r="J155" s="82" t="s">
        <v>535</v>
      </c>
      <c r="K155" s="86">
        <v>1161244.0</v>
      </c>
      <c r="L155" s="84">
        <v>295161.97</v>
      </c>
      <c r="M155" s="80" t="s">
        <v>554</v>
      </c>
      <c r="N155" s="80"/>
      <c r="O155" s="80"/>
      <c r="P155" s="80"/>
      <c r="Q155" s="80"/>
      <c r="R155" s="80"/>
      <c r="S155" s="80"/>
      <c r="T155" s="80"/>
      <c r="U155" s="80"/>
      <c r="V155" s="80"/>
      <c r="W155" s="80"/>
      <c r="X155" s="80"/>
      <c r="Y155" s="80"/>
      <c r="Z155" s="80"/>
    </row>
    <row r="156">
      <c r="A156" s="81">
        <v>2424.0</v>
      </c>
      <c r="B156" s="82" t="s">
        <v>569</v>
      </c>
      <c r="C156" s="82" t="s">
        <v>536</v>
      </c>
      <c r="D156" s="84">
        <v>10000.0</v>
      </c>
      <c r="E156" s="84">
        <v>180.0</v>
      </c>
      <c r="F156" s="84">
        <v>203.0</v>
      </c>
      <c r="G156" s="84">
        <v>7863.0</v>
      </c>
      <c r="H156" s="85">
        <v>46009.0</v>
      </c>
      <c r="I156" s="85">
        <v>46212.0</v>
      </c>
      <c r="J156" s="82" t="s">
        <v>540</v>
      </c>
      <c r="K156" s="86">
        <v>1141584.0</v>
      </c>
      <c r="L156" s="84">
        <v>757156.71</v>
      </c>
      <c r="M156" s="80" t="s">
        <v>554</v>
      </c>
      <c r="N156" s="80"/>
      <c r="O156" s="80"/>
      <c r="P156" s="80"/>
      <c r="Q156" s="80"/>
      <c r="R156" s="80"/>
      <c r="S156" s="80"/>
      <c r="T156" s="80"/>
      <c r="U156" s="80"/>
      <c r="V156" s="80"/>
      <c r="W156" s="80"/>
      <c r="X156" s="80"/>
      <c r="Y156" s="80"/>
      <c r="Z156" s="80"/>
    </row>
    <row r="157">
      <c r="A157" s="81">
        <v>2425.0</v>
      </c>
      <c r="B157" s="82" t="s">
        <v>569</v>
      </c>
      <c r="C157" s="82" t="s">
        <v>536</v>
      </c>
      <c r="D157" s="84">
        <v>10000.0</v>
      </c>
      <c r="E157" s="84">
        <v>180.0</v>
      </c>
      <c r="F157" s="84">
        <v>185.0</v>
      </c>
      <c r="G157" s="84">
        <v>12668.0</v>
      </c>
      <c r="H157" s="85">
        <v>46027.0</v>
      </c>
      <c r="I157" s="85">
        <v>46212.0</v>
      </c>
      <c r="J157" s="82" t="s">
        <v>540</v>
      </c>
      <c r="K157" s="86">
        <v>1145398.0</v>
      </c>
      <c r="L157" s="84">
        <v>243369.61</v>
      </c>
      <c r="M157" s="80" t="s">
        <v>554</v>
      </c>
      <c r="N157" s="80"/>
      <c r="O157" s="80"/>
      <c r="P157" s="80"/>
      <c r="Q157" s="80"/>
      <c r="R157" s="80"/>
      <c r="S157" s="80"/>
      <c r="T157" s="80"/>
      <c r="U157" s="80"/>
      <c r="V157" s="80"/>
      <c r="W157" s="80"/>
      <c r="X157" s="80"/>
      <c r="Y157" s="80"/>
      <c r="Z157" s="80"/>
    </row>
    <row r="158">
      <c r="A158" s="81">
        <v>2432.0</v>
      </c>
      <c r="B158" s="82" t="s">
        <v>572</v>
      </c>
      <c r="C158" s="82" t="s">
        <v>536</v>
      </c>
      <c r="D158" s="84">
        <v>10000.0</v>
      </c>
      <c r="E158" s="84">
        <v>180.0</v>
      </c>
      <c r="F158" s="84">
        <v>55.0</v>
      </c>
      <c r="G158" s="84">
        <v>1134.7</v>
      </c>
      <c r="H158" s="85">
        <v>46157.0</v>
      </c>
      <c r="I158" s="85">
        <v>46212.0</v>
      </c>
      <c r="J158" s="82" t="s">
        <v>535</v>
      </c>
      <c r="K158" s="86">
        <v>1156081.0</v>
      </c>
      <c r="L158" s="84">
        <v>518012.23</v>
      </c>
      <c r="M158" s="80" t="s">
        <v>554</v>
      </c>
      <c r="N158" s="80"/>
      <c r="O158" s="80"/>
      <c r="P158" s="80"/>
      <c r="Q158" s="80"/>
      <c r="R158" s="80"/>
      <c r="S158" s="80"/>
      <c r="T158" s="80"/>
      <c r="U158" s="80"/>
      <c r="V158" s="80"/>
      <c r="W158" s="80"/>
      <c r="X158" s="80"/>
      <c r="Y158" s="80"/>
      <c r="Z158" s="80"/>
    </row>
    <row r="159">
      <c r="A159" s="81">
        <v>2435.0</v>
      </c>
      <c r="B159" s="82" t="s">
        <v>572</v>
      </c>
      <c r="C159" s="82" t="s">
        <v>536</v>
      </c>
      <c r="D159" s="84">
        <v>10000.0</v>
      </c>
      <c r="E159" s="84">
        <v>180.0</v>
      </c>
      <c r="F159" s="84">
        <v>83.0</v>
      </c>
      <c r="G159" s="84">
        <v>2187.0</v>
      </c>
      <c r="H159" s="85">
        <v>46129.0</v>
      </c>
      <c r="I159" s="85">
        <v>46212.0</v>
      </c>
      <c r="J159" s="82" t="s">
        <v>535</v>
      </c>
      <c r="K159" s="86">
        <v>1156070.0</v>
      </c>
      <c r="L159" s="84">
        <v>266557.36</v>
      </c>
      <c r="M159" s="80" t="s">
        <v>554</v>
      </c>
      <c r="N159" s="80"/>
      <c r="O159" s="80"/>
      <c r="P159" s="80"/>
      <c r="Q159" s="80"/>
      <c r="R159" s="80"/>
      <c r="S159" s="80"/>
      <c r="T159" s="80"/>
      <c r="U159" s="80"/>
      <c r="V159" s="80"/>
      <c r="W159" s="80"/>
      <c r="X159" s="80"/>
      <c r="Y159" s="80"/>
      <c r="Z159" s="80"/>
    </row>
    <row r="160">
      <c r="A160" s="81">
        <v>2436.0</v>
      </c>
      <c r="B160" s="82" t="s">
        <v>569</v>
      </c>
      <c r="C160" s="82" t="s">
        <v>536</v>
      </c>
      <c r="D160" s="84">
        <v>10000.0</v>
      </c>
      <c r="E160" s="84">
        <v>180.0</v>
      </c>
      <c r="F160" s="84">
        <v>142.0</v>
      </c>
      <c r="G160" s="84">
        <v>5274.6</v>
      </c>
      <c r="H160" s="85">
        <v>46070.0</v>
      </c>
      <c r="I160" s="85">
        <v>46212.0</v>
      </c>
      <c r="J160" s="82" t="s">
        <v>535</v>
      </c>
      <c r="K160" s="86">
        <v>1150079.0</v>
      </c>
      <c r="L160" s="84">
        <v>282908.78</v>
      </c>
      <c r="M160" s="80" t="s">
        <v>536</v>
      </c>
      <c r="N160" s="80"/>
      <c r="O160" s="80"/>
      <c r="P160" s="80"/>
      <c r="Q160" s="80"/>
      <c r="R160" s="80"/>
      <c r="S160" s="80"/>
      <c r="T160" s="80"/>
      <c r="U160" s="80"/>
      <c r="V160" s="80"/>
      <c r="W160" s="80"/>
      <c r="X160" s="80"/>
      <c r="Y160" s="80"/>
      <c r="Z160" s="80"/>
    </row>
    <row r="161">
      <c r="A161" s="81">
        <v>2437.0</v>
      </c>
      <c r="B161" s="82" t="s">
        <v>569</v>
      </c>
      <c r="C161" s="82" t="s">
        <v>536</v>
      </c>
      <c r="D161" s="84">
        <v>10000.0</v>
      </c>
      <c r="E161" s="84">
        <v>180.0</v>
      </c>
      <c r="F161" s="84">
        <v>206.0</v>
      </c>
      <c r="G161" s="84">
        <v>10543.0</v>
      </c>
      <c r="H161" s="85">
        <v>46006.0</v>
      </c>
      <c r="I161" s="85">
        <v>46212.0</v>
      </c>
      <c r="J161" s="82" t="s">
        <v>540</v>
      </c>
      <c r="K161" s="86">
        <v>1141582.0</v>
      </c>
      <c r="L161" s="84">
        <v>834985.72</v>
      </c>
      <c r="M161" s="80" t="s">
        <v>554</v>
      </c>
      <c r="N161" s="80"/>
      <c r="O161" s="80"/>
      <c r="P161" s="80"/>
      <c r="Q161" s="80"/>
      <c r="R161" s="80"/>
      <c r="S161" s="80"/>
      <c r="T161" s="80"/>
      <c r="U161" s="80"/>
      <c r="V161" s="80"/>
      <c r="W161" s="80"/>
      <c r="X161" s="80"/>
      <c r="Y161" s="80"/>
      <c r="Z161" s="80"/>
    </row>
    <row r="162">
      <c r="A162" s="81">
        <v>2438.0</v>
      </c>
      <c r="B162" s="82" t="s">
        <v>569</v>
      </c>
      <c r="C162" s="82" t="s">
        <v>536</v>
      </c>
      <c r="D162" s="84">
        <v>10000.0</v>
      </c>
      <c r="E162" s="84">
        <v>180.0</v>
      </c>
      <c r="F162" s="84">
        <v>151.0</v>
      </c>
      <c r="G162" s="84">
        <v>5268.0</v>
      </c>
      <c r="H162" s="85">
        <v>46061.0</v>
      </c>
      <c r="I162" s="85">
        <v>46212.0</v>
      </c>
      <c r="J162" s="82" t="s">
        <v>535</v>
      </c>
      <c r="K162" s="86">
        <v>1148300.0</v>
      </c>
      <c r="L162" s="84">
        <v>238333.3</v>
      </c>
      <c r="M162" s="80" t="s">
        <v>554</v>
      </c>
      <c r="N162" s="80"/>
      <c r="O162" s="80"/>
      <c r="P162" s="80"/>
      <c r="Q162" s="80"/>
      <c r="R162" s="80"/>
      <c r="S162" s="80"/>
      <c r="T162" s="80"/>
      <c r="U162" s="80"/>
      <c r="V162" s="80"/>
      <c r="W162" s="80"/>
      <c r="X162" s="80"/>
      <c r="Y162" s="80"/>
      <c r="Z162" s="80"/>
    </row>
    <row r="163">
      <c r="A163" s="81">
        <v>2450.0</v>
      </c>
      <c r="B163" s="82" t="s">
        <v>569</v>
      </c>
      <c r="C163" s="82" t="s">
        <v>536</v>
      </c>
      <c r="D163" s="84">
        <v>10000.0</v>
      </c>
      <c r="E163" s="84">
        <v>180.0</v>
      </c>
      <c r="F163" s="84">
        <v>185.0</v>
      </c>
      <c r="G163" s="84">
        <v>10274.0</v>
      </c>
      <c r="H163" s="85">
        <v>46027.0</v>
      </c>
      <c r="I163" s="85">
        <v>46212.0</v>
      </c>
      <c r="J163" s="82" t="s">
        <v>540</v>
      </c>
      <c r="K163" s="86">
        <v>1145404.0</v>
      </c>
      <c r="L163" s="84">
        <v>291042.04</v>
      </c>
      <c r="M163" s="80" t="s">
        <v>554</v>
      </c>
      <c r="N163" s="80"/>
      <c r="O163" s="80"/>
      <c r="P163" s="80"/>
      <c r="Q163" s="80"/>
      <c r="R163" s="80"/>
      <c r="S163" s="80"/>
      <c r="T163" s="80"/>
      <c r="U163" s="80"/>
      <c r="V163" s="80"/>
      <c r="W163" s="80"/>
      <c r="X163" s="80"/>
      <c r="Y163" s="80"/>
      <c r="Z163" s="80"/>
    </row>
    <row r="164">
      <c r="A164" s="81">
        <v>2454.0</v>
      </c>
      <c r="B164" s="82" t="s">
        <v>569</v>
      </c>
      <c r="C164" s="82" t="s">
        <v>536</v>
      </c>
      <c r="D164" s="84">
        <v>10000.0</v>
      </c>
      <c r="E164" s="84">
        <v>180.0</v>
      </c>
      <c r="F164" s="84">
        <v>91.0</v>
      </c>
      <c r="G164" s="84">
        <v>3502.0</v>
      </c>
      <c r="H164" s="85">
        <v>46121.0</v>
      </c>
      <c r="I164" s="85">
        <v>46212.0</v>
      </c>
      <c r="J164" s="82" t="s">
        <v>535</v>
      </c>
      <c r="K164" s="86">
        <v>1155225.0</v>
      </c>
      <c r="L164" s="84">
        <v>193339.63</v>
      </c>
      <c r="M164" s="80" t="s">
        <v>554</v>
      </c>
      <c r="N164" s="80"/>
      <c r="O164" s="80"/>
      <c r="P164" s="80"/>
      <c r="Q164" s="80"/>
      <c r="R164" s="80"/>
      <c r="S164" s="80"/>
      <c r="T164" s="80"/>
      <c r="U164" s="80"/>
      <c r="V164" s="80"/>
      <c r="W164" s="80"/>
      <c r="X164" s="80"/>
      <c r="Y164" s="80"/>
      <c r="Z164" s="80"/>
    </row>
    <row r="165">
      <c r="A165" s="81">
        <v>2455.0</v>
      </c>
      <c r="B165" s="82" t="s">
        <v>569</v>
      </c>
      <c r="C165" s="82" t="s">
        <v>536</v>
      </c>
      <c r="D165" s="84">
        <v>10000.0</v>
      </c>
      <c r="E165" s="84">
        <v>180.0</v>
      </c>
      <c r="F165" s="84">
        <v>105.0</v>
      </c>
      <c r="G165" s="84">
        <v>1972.0</v>
      </c>
      <c r="H165" s="85">
        <v>46107.0</v>
      </c>
      <c r="I165" s="85">
        <v>46212.0</v>
      </c>
      <c r="J165" s="82" t="s">
        <v>535</v>
      </c>
      <c r="K165" s="86">
        <v>1154207.0</v>
      </c>
      <c r="L165" s="84">
        <v>366503.24</v>
      </c>
      <c r="M165" s="80" t="s">
        <v>554</v>
      </c>
      <c r="N165" s="80"/>
      <c r="O165" s="80"/>
      <c r="P165" s="80"/>
      <c r="Q165" s="80"/>
      <c r="R165" s="80"/>
      <c r="S165" s="80"/>
      <c r="T165" s="80"/>
      <c r="U165" s="80"/>
      <c r="V165" s="80"/>
      <c r="W165" s="80"/>
      <c r="X165" s="80"/>
      <c r="Y165" s="80"/>
      <c r="Z165" s="80"/>
    </row>
    <row r="166">
      <c r="A166" s="81">
        <v>2456.0</v>
      </c>
      <c r="B166" s="82" t="s">
        <v>569</v>
      </c>
      <c r="C166" s="82" t="s">
        <v>536</v>
      </c>
      <c r="D166" s="84">
        <v>10000.0</v>
      </c>
      <c r="E166" s="84">
        <v>180.0</v>
      </c>
      <c r="F166" s="84">
        <v>86.0</v>
      </c>
      <c r="G166" s="84">
        <v>1917.6</v>
      </c>
      <c r="H166" s="85">
        <v>46126.0</v>
      </c>
      <c r="I166" s="85">
        <v>46212.0</v>
      </c>
      <c r="J166" s="82" t="s">
        <v>535</v>
      </c>
      <c r="K166" s="86">
        <v>1156084.0</v>
      </c>
      <c r="L166" s="84">
        <v>191869.85</v>
      </c>
      <c r="M166" s="80" t="s">
        <v>554</v>
      </c>
      <c r="N166" s="80"/>
      <c r="O166" s="80"/>
      <c r="P166" s="80"/>
      <c r="Q166" s="80"/>
      <c r="R166" s="80"/>
      <c r="S166" s="80"/>
      <c r="T166" s="80"/>
      <c r="U166" s="80"/>
      <c r="V166" s="80"/>
      <c r="W166" s="80"/>
      <c r="X166" s="80"/>
      <c r="Y166" s="80"/>
      <c r="Z166" s="80"/>
    </row>
    <row r="167">
      <c r="A167" s="81">
        <v>2457.0</v>
      </c>
      <c r="B167" s="82" t="s">
        <v>569</v>
      </c>
      <c r="C167" s="82" t="s">
        <v>536</v>
      </c>
      <c r="D167" s="84">
        <v>10000.0</v>
      </c>
      <c r="E167" s="84">
        <v>180.0</v>
      </c>
      <c r="F167" s="84">
        <v>78.0</v>
      </c>
      <c r="G167" s="84">
        <v>4680.9</v>
      </c>
      <c r="H167" s="85">
        <v>46134.0</v>
      </c>
      <c r="I167" s="85">
        <v>46212.0</v>
      </c>
      <c r="J167" s="82" t="s">
        <v>535</v>
      </c>
      <c r="K167" s="86">
        <v>1156054.0</v>
      </c>
      <c r="L167" s="84">
        <v>241944.64</v>
      </c>
      <c r="M167" s="80" t="s">
        <v>554</v>
      </c>
      <c r="N167" s="80"/>
      <c r="O167" s="80"/>
      <c r="P167" s="80"/>
      <c r="Q167" s="80"/>
      <c r="R167" s="80"/>
      <c r="S167" s="80"/>
      <c r="T167" s="80"/>
      <c r="U167" s="80"/>
      <c r="V167" s="80"/>
      <c r="W167" s="80"/>
      <c r="X167" s="80"/>
      <c r="Y167" s="80"/>
      <c r="Z167" s="80"/>
    </row>
    <row r="168">
      <c r="A168" s="81">
        <v>2458.0</v>
      </c>
      <c r="B168" s="82" t="s">
        <v>569</v>
      </c>
      <c r="C168" s="82" t="s">
        <v>536</v>
      </c>
      <c r="D168" s="84">
        <v>10000.0</v>
      </c>
      <c r="E168" s="84">
        <v>180.0</v>
      </c>
      <c r="F168" s="84">
        <v>80.0</v>
      </c>
      <c r="G168" s="84">
        <v>2217.5</v>
      </c>
      <c r="H168" s="85">
        <v>46132.0</v>
      </c>
      <c r="I168" s="85">
        <v>46212.0</v>
      </c>
      <c r="J168" s="82" t="s">
        <v>535</v>
      </c>
      <c r="K168" s="86">
        <v>1156068.0</v>
      </c>
      <c r="L168" s="84">
        <v>309094.23</v>
      </c>
      <c r="M168" s="80" t="s">
        <v>554</v>
      </c>
      <c r="N168" s="80"/>
      <c r="O168" s="80"/>
      <c r="P168" s="80"/>
      <c r="Q168" s="80"/>
      <c r="R168" s="80"/>
      <c r="S168" s="80"/>
      <c r="T168" s="80"/>
      <c r="U168" s="80"/>
      <c r="V168" s="80"/>
      <c r="W168" s="80"/>
      <c r="X168" s="80"/>
      <c r="Y168" s="80"/>
      <c r="Z168" s="80"/>
    </row>
    <row r="169">
      <c r="A169" s="81">
        <v>2459.0</v>
      </c>
      <c r="B169" s="82" t="s">
        <v>569</v>
      </c>
      <c r="C169" s="82" t="s">
        <v>536</v>
      </c>
      <c r="D169" s="84">
        <v>10000.0</v>
      </c>
      <c r="E169" s="84">
        <v>180.0</v>
      </c>
      <c r="F169" s="84">
        <v>151.0</v>
      </c>
      <c r="G169" s="84">
        <v>6535.8</v>
      </c>
      <c r="H169" s="85">
        <v>46061.0</v>
      </c>
      <c r="I169" s="85">
        <v>46212.0</v>
      </c>
      <c r="J169" s="82" t="s">
        <v>535</v>
      </c>
      <c r="K169" s="86">
        <v>1146678.0</v>
      </c>
      <c r="L169" s="84">
        <v>189545.09</v>
      </c>
      <c r="M169" s="80" t="s">
        <v>554</v>
      </c>
      <c r="N169" s="80"/>
      <c r="O169" s="80"/>
      <c r="P169" s="80"/>
      <c r="Q169" s="80"/>
      <c r="R169" s="80"/>
      <c r="S169" s="80"/>
      <c r="T169" s="80"/>
      <c r="U169" s="80"/>
      <c r="V169" s="80"/>
      <c r="W169" s="80"/>
      <c r="X169" s="80"/>
      <c r="Y169" s="80"/>
      <c r="Z169" s="80"/>
    </row>
    <row r="170">
      <c r="A170" s="81">
        <v>2460.0</v>
      </c>
      <c r="B170" s="82" t="s">
        <v>569</v>
      </c>
      <c r="C170" s="82" t="s">
        <v>536</v>
      </c>
      <c r="D170" s="84">
        <v>10000.0</v>
      </c>
      <c r="E170" s="84">
        <v>180.0</v>
      </c>
      <c r="F170" s="84">
        <v>156.0</v>
      </c>
      <c r="G170" s="84">
        <v>10437.6</v>
      </c>
      <c r="H170" s="85">
        <v>46056.0</v>
      </c>
      <c r="I170" s="85">
        <v>46212.0</v>
      </c>
      <c r="J170" s="82" t="s">
        <v>540</v>
      </c>
      <c r="K170" s="86">
        <v>1148285.0</v>
      </c>
      <c r="L170" s="84">
        <v>271667.72</v>
      </c>
      <c r="M170" s="80" t="s">
        <v>554</v>
      </c>
      <c r="N170" s="80"/>
      <c r="O170" s="80"/>
      <c r="P170" s="80"/>
      <c r="Q170" s="80"/>
      <c r="R170" s="80"/>
      <c r="S170" s="80"/>
      <c r="T170" s="80"/>
      <c r="U170" s="80"/>
      <c r="V170" s="80"/>
      <c r="W170" s="80"/>
      <c r="X170" s="80"/>
      <c r="Y170" s="80"/>
      <c r="Z170" s="80"/>
    </row>
    <row r="171">
      <c r="A171" s="81">
        <v>2462.0</v>
      </c>
      <c r="B171" s="82" t="s">
        <v>569</v>
      </c>
      <c r="C171" s="82" t="s">
        <v>536</v>
      </c>
      <c r="D171" s="84">
        <v>10000.0</v>
      </c>
      <c r="E171" s="84">
        <v>180.0</v>
      </c>
      <c r="F171" s="84">
        <v>67.0</v>
      </c>
      <c r="G171" s="84">
        <v>2821.4</v>
      </c>
      <c r="H171" s="85">
        <v>46145.0</v>
      </c>
      <c r="I171" s="85">
        <v>46212.0</v>
      </c>
      <c r="J171" s="82" t="s">
        <v>535</v>
      </c>
      <c r="K171" s="86">
        <v>1157522.0</v>
      </c>
      <c r="L171" s="84">
        <v>228120.98</v>
      </c>
      <c r="M171" s="80" t="s">
        <v>554</v>
      </c>
      <c r="N171" s="80"/>
      <c r="O171" s="80"/>
      <c r="P171" s="80"/>
      <c r="Q171" s="80"/>
      <c r="R171" s="80"/>
      <c r="S171" s="80"/>
      <c r="T171" s="80"/>
      <c r="U171" s="80"/>
      <c r="V171" s="80"/>
      <c r="W171" s="80"/>
      <c r="X171" s="80"/>
      <c r="Y171" s="80"/>
      <c r="Z171" s="80"/>
    </row>
    <row r="172">
      <c r="A172" s="81">
        <v>2463.0</v>
      </c>
      <c r="B172" s="82" t="s">
        <v>569</v>
      </c>
      <c r="C172" s="82" t="s">
        <v>536</v>
      </c>
      <c r="D172" s="84">
        <v>10000.0</v>
      </c>
      <c r="E172" s="84">
        <v>180.0</v>
      </c>
      <c r="F172" s="84">
        <v>84.0</v>
      </c>
      <c r="G172" s="84">
        <v>3582.0</v>
      </c>
      <c r="H172" s="85">
        <v>46128.0</v>
      </c>
      <c r="I172" s="85">
        <v>46212.0</v>
      </c>
      <c r="J172" s="82" t="s">
        <v>535</v>
      </c>
      <c r="K172" s="86">
        <v>1156063.0</v>
      </c>
      <c r="L172" s="84">
        <v>311676.8</v>
      </c>
      <c r="M172" s="80" t="s">
        <v>554</v>
      </c>
      <c r="N172" s="80"/>
      <c r="O172" s="80"/>
      <c r="P172" s="80"/>
      <c r="Q172" s="80"/>
      <c r="R172" s="80"/>
      <c r="S172" s="80"/>
      <c r="T172" s="80"/>
      <c r="U172" s="80"/>
      <c r="V172" s="80"/>
      <c r="W172" s="80"/>
      <c r="X172" s="80"/>
      <c r="Y172" s="80"/>
      <c r="Z172" s="80"/>
    </row>
    <row r="173">
      <c r="A173" s="81">
        <v>2464.0</v>
      </c>
      <c r="B173" s="82" t="s">
        <v>569</v>
      </c>
      <c r="C173" s="82" t="s">
        <v>536</v>
      </c>
      <c r="D173" s="84">
        <v>10000.0</v>
      </c>
      <c r="E173" s="84">
        <v>180.0</v>
      </c>
      <c r="F173" s="84">
        <v>151.0</v>
      </c>
      <c r="G173" s="84">
        <v>6067.9</v>
      </c>
      <c r="H173" s="85">
        <v>46061.0</v>
      </c>
      <c r="I173" s="85">
        <v>46212.0</v>
      </c>
      <c r="J173" s="82" t="s">
        <v>535</v>
      </c>
      <c r="K173" s="86">
        <v>1146682.0</v>
      </c>
      <c r="L173" s="84">
        <v>225960.47</v>
      </c>
      <c r="M173" s="80" t="s">
        <v>554</v>
      </c>
      <c r="N173" s="80"/>
      <c r="O173" s="80"/>
      <c r="P173" s="80"/>
      <c r="Q173" s="80"/>
      <c r="R173" s="80"/>
      <c r="S173" s="80"/>
      <c r="T173" s="80"/>
      <c r="U173" s="80"/>
      <c r="V173" s="80"/>
      <c r="W173" s="80"/>
      <c r="X173" s="80"/>
      <c r="Y173" s="80"/>
      <c r="Z173" s="80"/>
    </row>
    <row r="174">
      <c r="A174" s="81">
        <v>2466.0</v>
      </c>
      <c r="B174" s="82" t="s">
        <v>572</v>
      </c>
      <c r="C174" s="82" t="s">
        <v>536</v>
      </c>
      <c r="D174" s="84">
        <v>10000.0</v>
      </c>
      <c r="E174" s="84">
        <v>180.0</v>
      </c>
      <c r="F174" s="84">
        <v>49.0</v>
      </c>
      <c r="G174" s="84">
        <v>1243.6</v>
      </c>
      <c r="H174" s="85">
        <v>46163.0</v>
      </c>
      <c r="I174" s="85">
        <v>46212.0</v>
      </c>
      <c r="J174" s="82" t="s">
        <v>535</v>
      </c>
      <c r="K174" s="86">
        <v>1160340.0</v>
      </c>
      <c r="L174" s="84">
        <v>373028.79</v>
      </c>
      <c r="M174" s="80" t="s">
        <v>554</v>
      </c>
      <c r="N174" s="80"/>
      <c r="O174" s="80"/>
      <c r="P174" s="80"/>
      <c r="Q174" s="80"/>
      <c r="R174" s="80"/>
      <c r="S174" s="80"/>
      <c r="T174" s="80"/>
      <c r="U174" s="80"/>
      <c r="V174" s="80"/>
      <c r="W174" s="80"/>
      <c r="X174" s="80"/>
      <c r="Y174" s="80"/>
      <c r="Z174" s="80"/>
    </row>
    <row r="175">
      <c r="A175" s="81">
        <v>2468.0</v>
      </c>
      <c r="B175" s="82" t="s">
        <v>569</v>
      </c>
      <c r="C175" s="82" t="s">
        <v>536</v>
      </c>
      <c r="D175" s="84">
        <v>10000.0</v>
      </c>
      <c r="E175" s="84">
        <v>180.0</v>
      </c>
      <c r="F175" s="84">
        <v>35.0</v>
      </c>
      <c r="G175" s="84">
        <v>1659.0</v>
      </c>
      <c r="H175" s="85">
        <v>46177.0</v>
      </c>
      <c r="I175" s="85">
        <v>46212.0</v>
      </c>
      <c r="J175" s="82" t="s">
        <v>535</v>
      </c>
      <c r="K175" s="86">
        <v>1161595.0</v>
      </c>
      <c r="L175" s="84">
        <v>260170.27</v>
      </c>
      <c r="M175" s="80" t="s">
        <v>554</v>
      </c>
      <c r="N175" s="80"/>
      <c r="O175" s="80"/>
      <c r="P175" s="80"/>
      <c r="Q175" s="80"/>
      <c r="R175" s="80"/>
      <c r="S175" s="80"/>
      <c r="T175" s="80"/>
      <c r="U175" s="80"/>
      <c r="V175" s="80"/>
      <c r="W175" s="80"/>
      <c r="X175" s="80"/>
      <c r="Y175" s="80"/>
      <c r="Z175" s="80"/>
    </row>
    <row r="176">
      <c r="A176" s="81">
        <v>2469.0</v>
      </c>
      <c r="B176" s="82" t="s">
        <v>569</v>
      </c>
      <c r="C176" s="82" t="s">
        <v>537</v>
      </c>
      <c r="D176" s="84">
        <v>10000.0</v>
      </c>
      <c r="E176" s="84">
        <v>180.0</v>
      </c>
      <c r="F176" s="84">
        <v>150.0</v>
      </c>
      <c r="G176" s="84">
        <v>11881.2</v>
      </c>
      <c r="H176" s="85">
        <v>46062.0</v>
      </c>
      <c r="I176" s="85">
        <v>46212.0</v>
      </c>
      <c r="J176" s="82" t="s">
        <v>540</v>
      </c>
      <c r="K176" s="86">
        <v>1149203.0</v>
      </c>
      <c r="L176" s="84">
        <v>256734.98</v>
      </c>
      <c r="M176" s="80" t="s">
        <v>538</v>
      </c>
      <c r="N176" s="80"/>
      <c r="O176" s="80"/>
      <c r="P176" s="80"/>
      <c r="Q176" s="80"/>
      <c r="R176" s="80"/>
      <c r="S176" s="80"/>
      <c r="T176" s="80"/>
      <c r="U176" s="80"/>
      <c r="V176" s="80"/>
      <c r="W176" s="80"/>
      <c r="X176" s="80"/>
      <c r="Y176" s="80"/>
      <c r="Z176" s="80"/>
    </row>
    <row r="177">
      <c r="A177" s="81">
        <v>2484.0</v>
      </c>
      <c r="B177" s="82" t="s">
        <v>560</v>
      </c>
      <c r="C177" s="82" t="s">
        <v>536</v>
      </c>
      <c r="D177" s="84">
        <v>5000.0</v>
      </c>
      <c r="E177" s="84">
        <v>180.0</v>
      </c>
      <c r="F177" s="84">
        <v>170.0</v>
      </c>
      <c r="G177" s="84">
        <v>5423.7</v>
      </c>
      <c r="H177" s="85">
        <v>46042.0</v>
      </c>
      <c r="I177" s="85">
        <v>46212.0</v>
      </c>
      <c r="J177" s="82" t="s">
        <v>540</v>
      </c>
      <c r="K177" s="86">
        <v>1146691.0</v>
      </c>
      <c r="L177" s="84">
        <v>162963.91</v>
      </c>
      <c r="M177" s="80" t="s">
        <v>554</v>
      </c>
      <c r="N177" s="80"/>
      <c r="O177" s="80"/>
      <c r="P177" s="80"/>
      <c r="Q177" s="80"/>
      <c r="R177" s="80"/>
      <c r="S177" s="80"/>
      <c r="T177" s="80"/>
      <c r="U177" s="80"/>
      <c r="V177" s="80"/>
      <c r="W177" s="80"/>
      <c r="X177" s="80"/>
      <c r="Y177" s="80"/>
      <c r="Z177" s="80"/>
    </row>
    <row r="178">
      <c r="A178" s="81">
        <v>2490.0</v>
      </c>
      <c r="B178" s="82" t="s">
        <v>560</v>
      </c>
      <c r="C178" s="82" t="s">
        <v>536</v>
      </c>
      <c r="D178" s="84">
        <v>5000.0</v>
      </c>
      <c r="E178" s="84">
        <v>180.0</v>
      </c>
      <c r="F178" s="84">
        <v>141.0</v>
      </c>
      <c r="G178" s="84">
        <v>4280.0</v>
      </c>
      <c r="H178" s="85">
        <v>46071.0</v>
      </c>
      <c r="I178" s="85">
        <v>46212.0</v>
      </c>
      <c r="J178" s="82" t="s">
        <v>535</v>
      </c>
      <c r="K178" s="86">
        <v>1150082.0</v>
      </c>
      <c r="L178" s="84">
        <v>183458.44</v>
      </c>
      <c r="M178" s="80" t="s">
        <v>554</v>
      </c>
      <c r="N178" s="80"/>
      <c r="O178" s="80"/>
      <c r="P178" s="80"/>
      <c r="Q178" s="80"/>
      <c r="R178" s="80"/>
      <c r="S178" s="80"/>
      <c r="T178" s="80"/>
      <c r="U178" s="80"/>
      <c r="V178" s="80"/>
      <c r="W178" s="80"/>
      <c r="X178" s="80"/>
      <c r="Y178" s="80"/>
      <c r="Z178" s="80"/>
    </row>
    <row r="179">
      <c r="A179" s="81">
        <v>2492.0</v>
      </c>
      <c r="B179" s="82" t="s">
        <v>573</v>
      </c>
      <c r="C179" s="82" t="s">
        <v>536</v>
      </c>
      <c r="D179" s="84">
        <v>5000.0</v>
      </c>
      <c r="E179" s="84">
        <v>180.0</v>
      </c>
      <c r="F179" s="84">
        <v>70.0</v>
      </c>
      <c r="G179" s="84">
        <v>1201.3</v>
      </c>
      <c r="H179" s="85">
        <v>46142.0</v>
      </c>
      <c r="I179" s="85">
        <v>46212.0</v>
      </c>
      <c r="J179" s="82" t="s">
        <v>535</v>
      </c>
      <c r="K179" s="86">
        <v>1148287.0</v>
      </c>
      <c r="L179" s="84">
        <v>137325.05</v>
      </c>
      <c r="M179" s="80" t="s">
        <v>554</v>
      </c>
      <c r="N179" s="80"/>
      <c r="O179" s="80"/>
      <c r="P179" s="80"/>
      <c r="Q179" s="80"/>
      <c r="R179" s="80"/>
      <c r="S179" s="80"/>
      <c r="T179" s="80"/>
      <c r="U179" s="80"/>
      <c r="V179" s="80"/>
      <c r="W179" s="80"/>
      <c r="X179" s="80"/>
      <c r="Y179" s="80"/>
      <c r="Z179" s="80"/>
    </row>
    <row r="180">
      <c r="A180" s="81">
        <v>2570.0</v>
      </c>
      <c r="B180" s="82" t="s">
        <v>574</v>
      </c>
      <c r="C180" s="82" t="s">
        <v>536</v>
      </c>
      <c r="D180" s="84">
        <v>10000.0</v>
      </c>
      <c r="E180" s="84">
        <v>180.0</v>
      </c>
      <c r="F180" s="84">
        <v>45.0</v>
      </c>
      <c r="G180" s="84">
        <v>1024.0</v>
      </c>
      <c r="H180" s="85">
        <v>46167.0</v>
      </c>
      <c r="I180" s="85">
        <v>46212.0</v>
      </c>
      <c r="J180" s="82" t="s">
        <v>535</v>
      </c>
      <c r="K180" s="86">
        <v>1161248.0</v>
      </c>
      <c r="L180" s="84">
        <v>57746.25</v>
      </c>
      <c r="M180" s="80" t="s">
        <v>554</v>
      </c>
      <c r="N180" s="80"/>
      <c r="O180" s="80"/>
      <c r="P180" s="80"/>
      <c r="Q180" s="80"/>
      <c r="R180" s="80"/>
      <c r="S180" s="80"/>
      <c r="T180" s="80"/>
      <c r="U180" s="80"/>
      <c r="V180" s="80"/>
      <c r="W180" s="80"/>
      <c r="X180" s="80"/>
      <c r="Y180" s="80"/>
      <c r="Z180" s="80"/>
    </row>
    <row r="181">
      <c r="A181" s="81">
        <v>2572.0</v>
      </c>
      <c r="B181" s="82" t="s">
        <v>574</v>
      </c>
      <c r="C181" s="82" t="s">
        <v>537</v>
      </c>
      <c r="D181" s="84">
        <v>10000.0</v>
      </c>
      <c r="E181" s="84">
        <v>180.0</v>
      </c>
      <c r="F181" s="84">
        <v>155.0</v>
      </c>
      <c r="G181" s="84">
        <v>10481.0</v>
      </c>
      <c r="H181" s="85">
        <v>46057.0</v>
      </c>
      <c r="I181" s="85">
        <v>46212.0</v>
      </c>
      <c r="J181" s="82" t="s">
        <v>540</v>
      </c>
      <c r="K181" s="86">
        <v>1148274.0</v>
      </c>
      <c r="L181" s="84">
        <v>147102.76</v>
      </c>
      <c r="M181" s="80" t="s">
        <v>554</v>
      </c>
      <c r="N181" s="80"/>
      <c r="O181" s="80"/>
      <c r="P181" s="80"/>
      <c r="Q181" s="80"/>
      <c r="R181" s="80"/>
      <c r="S181" s="80"/>
      <c r="T181" s="80"/>
      <c r="U181" s="80"/>
      <c r="V181" s="80"/>
      <c r="W181" s="80"/>
      <c r="X181" s="80"/>
      <c r="Y181" s="80"/>
      <c r="Z181" s="80"/>
    </row>
    <row r="182">
      <c r="A182" s="81">
        <v>2573.0</v>
      </c>
      <c r="B182" s="82" t="s">
        <v>574</v>
      </c>
      <c r="C182" s="82" t="s">
        <v>536</v>
      </c>
      <c r="D182" s="84">
        <v>10000.0</v>
      </c>
      <c r="E182" s="84">
        <v>180.0</v>
      </c>
      <c r="F182" s="84">
        <v>71.0</v>
      </c>
      <c r="G182" s="84">
        <v>1315.0</v>
      </c>
      <c r="H182" s="85">
        <v>46141.0</v>
      </c>
      <c r="I182" s="85">
        <v>46212.0</v>
      </c>
      <c r="J182" s="82" t="s">
        <v>535</v>
      </c>
      <c r="K182" s="86">
        <v>1156087.0</v>
      </c>
      <c r="L182" s="84">
        <v>244542.06</v>
      </c>
      <c r="M182" s="80" t="s">
        <v>538</v>
      </c>
      <c r="N182" s="80"/>
      <c r="O182" s="80"/>
      <c r="P182" s="80"/>
      <c r="Q182" s="80"/>
      <c r="R182" s="80"/>
      <c r="S182" s="80"/>
      <c r="T182" s="80"/>
      <c r="U182" s="80"/>
      <c r="V182" s="80"/>
      <c r="W182" s="80"/>
      <c r="X182" s="80"/>
      <c r="Y182" s="80"/>
      <c r="Z182" s="80"/>
    </row>
    <row r="183">
      <c r="A183" s="81">
        <v>2623.0</v>
      </c>
      <c r="B183" s="82" t="s">
        <v>575</v>
      </c>
      <c r="C183" s="82" t="s">
        <v>536</v>
      </c>
      <c r="D183" s="84">
        <v>10000.0</v>
      </c>
      <c r="E183" s="84">
        <v>180.0</v>
      </c>
      <c r="F183" s="84">
        <v>55.0</v>
      </c>
      <c r="G183" s="84">
        <v>2154.4</v>
      </c>
      <c r="H183" s="85">
        <v>46157.0</v>
      </c>
      <c r="I183" s="85">
        <v>46212.0</v>
      </c>
      <c r="J183" s="82" t="s">
        <v>535</v>
      </c>
      <c r="K183" s="86">
        <v>1159381.0</v>
      </c>
      <c r="L183" s="84">
        <v>102928.16</v>
      </c>
      <c r="M183" s="80" t="s">
        <v>554</v>
      </c>
      <c r="N183" s="80"/>
      <c r="O183" s="80"/>
      <c r="P183" s="80"/>
      <c r="Q183" s="80"/>
      <c r="R183" s="80"/>
      <c r="S183" s="80"/>
      <c r="T183" s="80"/>
      <c r="U183" s="80"/>
      <c r="V183" s="80"/>
      <c r="W183" s="80"/>
      <c r="X183" s="80"/>
      <c r="Y183" s="80"/>
      <c r="Z183" s="80"/>
    </row>
    <row r="184">
      <c r="A184" s="81">
        <v>2628.0</v>
      </c>
      <c r="B184" s="82" t="s">
        <v>575</v>
      </c>
      <c r="C184" s="87" t="s">
        <v>576</v>
      </c>
      <c r="D184" s="84">
        <v>10000.0</v>
      </c>
      <c r="E184" s="84">
        <v>180.0</v>
      </c>
      <c r="F184" s="84">
        <v>142.0</v>
      </c>
      <c r="G184" s="84">
        <v>1242.3</v>
      </c>
      <c r="H184" s="85">
        <v>46070.0</v>
      </c>
      <c r="I184" s="85">
        <v>46212.0</v>
      </c>
      <c r="J184" s="82" t="s">
        <v>535</v>
      </c>
      <c r="K184" s="86">
        <v>1150076.0</v>
      </c>
      <c r="L184" s="84">
        <v>170698.2</v>
      </c>
      <c r="M184" s="80" t="s">
        <v>536</v>
      </c>
      <c r="N184" s="80"/>
      <c r="O184" s="80"/>
      <c r="P184" s="80"/>
      <c r="Q184" s="80"/>
      <c r="R184" s="80"/>
      <c r="S184" s="80"/>
      <c r="T184" s="80"/>
      <c r="U184" s="80"/>
      <c r="V184" s="80"/>
      <c r="W184" s="80"/>
      <c r="X184" s="80"/>
      <c r="Y184" s="80"/>
      <c r="Z184" s="80"/>
    </row>
    <row r="185">
      <c r="A185" s="81">
        <v>2635.0</v>
      </c>
      <c r="B185" s="82" t="s">
        <v>577</v>
      </c>
      <c r="C185" s="82" t="s">
        <v>536</v>
      </c>
      <c r="D185" s="84">
        <v>7000.0</v>
      </c>
      <c r="E185" s="84">
        <v>180.0</v>
      </c>
      <c r="F185" s="84">
        <v>56.0</v>
      </c>
      <c r="G185" s="84">
        <v>2488.7</v>
      </c>
      <c r="H185" s="85">
        <v>46156.0</v>
      </c>
      <c r="I185" s="85">
        <v>46212.0</v>
      </c>
      <c r="J185" s="82" t="s">
        <v>535</v>
      </c>
      <c r="K185" s="86">
        <v>1159373.0</v>
      </c>
      <c r="L185" s="84">
        <v>101018.53</v>
      </c>
      <c r="M185" s="80" t="s">
        <v>554</v>
      </c>
      <c r="N185" s="80"/>
      <c r="O185" s="80"/>
      <c r="P185" s="80"/>
      <c r="Q185" s="80"/>
      <c r="R185" s="80"/>
      <c r="S185" s="80"/>
      <c r="T185" s="80"/>
      <c r="U185" s="80"/>
      <c r="V185" s="80"/>
      <c r="W185" s="80"/>
      <c r="X185" s="80"/>
      <c r="Y185" s="80"/>
      <c r="Z185" s="80"/>
    </row>
    <row r="186">
      <c r="A186" s="81">
        <v>2637.0</v>
      </c>
      <c r="B186" s="82" t="s">
        <v>577</v>
      </c>
      <c r="C186" s="82" t="s">
        <v>536</v>
      </c>
      <c r="D186" s="84">
        <v>7000.0</v>
      </c>
      <c r="E186" s="84">
        <v>180.0</v>
      </c>
      <c r="F186" s="84">
        <v>120.0</v>
      </c>
      <c r="G186" s="84">
        <v>5553.8</v>
      </c>
      <c r="H186" s="85">
        <v>46092.0</v>
      </c>
      <c r="I186" s="85">
        <v>46212.0</v>
      </c>
      <c r="J186" s="82" t="s">
        <v>535</v>
      </c>
      <c r="K186" s="86">
        <v>1151775.0</v>
      </c>
      <c r="L186" s="84">
        <v>102617.53</v>
      </c>
      <c r="M186" s="80" t="s">
        <v>554</v>
      </c>
      <c r="N186" s="80"/>
      <c r="O186" s="80"/>
      <c r="P186" s="80"/>
      <c r="Q186" s="80"/>
      <c r="R186" s="80"/>
      <c r="S186" s="80"/>
      <c r="T186" s="80"/>
      <c r="U186" s="80"/>
      <c r="V186" s="80"/>
      <c r="W186" s="80"/>
      <c r="X186" s="80"/>
      <c r="Y186" s="80"/>
      <c r="Z186" s="80"/>
    </row>
    <row r="187">
      <c r="A187" s="81">
        <v>2640.0</v>
      </c>
      <c r="B187" s="82" t="s">
        <v>578</v>
      </c>
      <c r="C187" s="82" t="s">
        <v>570</v>
      </c>
      <c r="D187" s="84">
        <v>10000.0</v>
      </c>
      <c r="E187" s="84">
        <v>180.0</v>
      </c>
      <c r="F187" s="84">
        <v>175.0</v>
      </c>
      <c r="G187" s="84">
        <v>4275.0</v>
      </c>
      <c r="H187" s="85">
        <v>46037.0</v>
      </c>
      <c r="I187" s="85">
        <v>46212.0</v>
      </c>
      <c r="J187" s="82" t="s">
        <v>535</v>
      </c>
      <c r="K187" s="86">
        <v>1146152.0</v>
      </c>
      <c r="L187" s="84">
        <v>78632.28</v>
      </c>
      <c r="M187" s="80" t="s">
        <v>536</v>
      </c>
      <c r="N187" s="80"/>
      <c r="O187" s="80"/>
      <c r="P187" s="80"/>
      <c r="Q187" s="80"/>
      <c r="R187" s="80"/>
      <c r="S187" s="80"/>
      <c r="T187" s="80"/>
      <c r="U187" s="80"/>
      <c r="V187" s="80"/>
      <c r="W187" s="80"/>
      <c r="X187" s="80"/>
      <c r="Y187" s="80"/>
      <c r="Z187" s="80"/>
    </row>
    <row r="188">
      <c r="A188" s="81">
        <v>2643.0</v>
      </c>
      <c r="B188" s="82" t="s">
        <v>578</v>
      </c>
      <c r="C188" s="82" t="s">
        <v>570</v>
      </c>
      <c r="D188" s="84">
        <v>10000.0</v>
      </c>
      <c r="E188" s="84">
        <v>180.0</v>
      </c>
      <c r="F188" s="84">
        <v>175.0</v>
      </c>
      <c r="G188" s="84">
        <v>5986.0</v>
      </c>
      <c r="H188" s="85">
        <v>46037.0</v>
      </c>
      <c r="I188" s="85">
        <v>46212.0</v>
      </c>
      <c r="J188" s="82" t="s">
        <v>535</v>
      </c>
      <c r="K188" s="86">
        <v>1146147.0</v>
      </c>
      <c r="L188" s="84">
        <v>96872.16</v>
      </c>
      <c r="M188" s="80" t="s">
        <v>554</v>
      </c>
      <c r="N188" s="80"/>
      <c r="O188" s="80"/>
      <c r="P188" s="80"/>
      <c r="Q188" s="80"/>
      <c r="R188" s="80"/>
      <c r="S188" s="80"/>
      <c r="T188" s="80"/>
      <c r="U188" s="80"/>
      <c r="V188" s="80"/>
      <c r="W188" s="80"/>
      <c r="X188" s="80"/>
      <c r="Y188" s="80"/>
      <c r="Z188" s="80"/>
    </row>
    <row r="189">
      <c r="A189" s="81">
        <v>2656.0</v>
      </c>
      <c r="B189" s="82" t="s">
        <v>579</v>
      </c>
      <c r="C189" s="82" t="s">
        <v>536</v>
      </c>
      <c r="D189" s="84">
        <v>10000.0</v>
      </c>
      <c r="E189" s="84">
        <v>180.0</v>
      </c>
      <c r="F189" s="84">
        <v>49.0</v>
      </c>
      <c r="G189" s="84">
        <v>1199.0</v>
      </c>
      <c r="H189" s="85">
        <v>46163.0</v>
      </c>
      <c r="I189" s="85">
        <v>46212.0</v>
      </c>
      <c r="J189" s="82" t="s">
        <v>535</v>
      </c>
      <c r="K189" s="86">
        <v>1160336.0</v>
      </c>
      <c r="L189" s="84">
        <v>99510.63</v>
      </c>
      <c r="M189" s="80" t="s">
        <v>570</v>
      </c>
      <c r="N189" s="80"/>
      <c r="O189" s="80"/>
      <c r="P189" s="80"/>
      <c r="Q189" s="80"/>
      <c r="R189" s="80"/>
      <c r="S189" s="80"/>
      <c r="T189" s="80"/>
      <c r="U189" s="80"/>
      <c r="V189" s="80"/>
      <c r="W189" s="80"/>
      <c r="X189" s="80"/>
      <c r="Y189" s="80"/>
      <c r="Z189" s="80"/>
    </row>
    <row r="190">
      <c r="A190" s="81">
        <v>2657.0</v>
      </c>
      <c r="B190" s="82" t="s">
        <v>579</v>
      </c>
      <c r="C190" s="82" t="s">
        <v>536</v>
      </c>
      <c r="D190" s="84">
        <v>10000.0</v>
      </c>
      <c r="E190" s="84">
        <v>180.0</v>
      </c>
      <c r="F190" s="84">
        <v>112.0</v>
      </c>
      <c r="G190" s="84">
        <v>3292.0</v>
      </c>
      <c r="H190" s="85">
        <v>46100.0</v>
      </c>
      <c r="I190" s="85">
        <v>46212.0</v>
      </c>
      <c r="J190" s="82" t="s">
        <v>535</v>
      </c>
      <c r="K190" s="86">
        <v>1153498.0</v>
      </c>
      <c r="L190" s="84">
        <v>95916.78</v>
      </c>
      <c r="M190" s="80" t="s">
        <v>570</v>
      </c>
      <c r="N190" s="80"/>
      <c r="O190" s="80"/>
      <c r="P190" s="80"/>
      <c r="Q190" s="80"/>
      <c r="R190" s="80"/>
      <c r="S190" s="80"/>
      <c r="T190" s="80"/>
      <c r="U190" s="80"/>
      <c r="V190" s="80"/>
      <c r="W190" s="80"/>
      <c r="X190" s="80"/>
      <c r="Y190" s="80"/>
      <c r="Z190" s="80"/>
    </row>
    <row r="191">
      <c r="A191" s="81">
        <v>2659.0</v>
      </c>
      <c r="B191" s="82" t="s">
        <v>579</v>
      </c>
      <c r="C191" s="82" t="s">
        <v>536</v>
      </c>
      <c r="D191" s="84">
        <v>10000.0</v>
      </c>
      <c r="E191" s="84">
        <v>180.0</v>
      </c>
      <c r="F191" s="84">
        <v>142.0</v>
      </c>
      <c r="G191" s="84">
        <v>3698.0</v>
      </c>
      <c r="H191" s="85">
        <v>46070.0</v>
      </c>
      <c r="I191" s="85">
        <v>46212.0</v>
      </c>
      <c r="J191" s="82" t="s">
        <v>535</v>
      </c>
      <c r="K191" s="86">
        <v>1150094.0</v>
      </c>
      <c r="L191" s="84">
        <v>67273.55</v>
      </c>
      <c r="M191" s="80" t="s">
        <v>554</v>
      </c>
      <c r="N191" s="80"/>
      <c r="O191" s="80"/>
      <c r="P191" s="80"/>
      <c r="Q191" s="80"/>
      <c r="R191" s="80"/>
      <c r="S191" s="80"/>
      <c r="T191" s="80"/>
      <c r="U191" s="80"/>
      <c r="V191" s="80"/>
      <c r="W191" s="80"/>
      <c r="X191" s="80"/>
      <c r="Y191" s="80"/>
      <c r="Z191" s="80"/>
    </row>
    <row r="192">
      <c r="A192" s="81">
        <v>2660.0</v>
      </c>
      <c r="B192" s="82" t="s">
        <v>579</v>
      </c>
      <c r="C192" s="82" t="s">
        <v>538</v>
      </c>
      <c r="D192" s="84">
        <v>10000.0</v>
      </c>
      <c r="E192" s="84">
        <v>180.0</v>
      </c>
      <c r="F192" s="84">
        <v>122.0</v>
      </c>
      <c r="G192" s="84">
        <v>4486.0</v>
      </c>
      <c r="H192" s="85">
        <v>46090.0</v>
      </c>
      <c r="I192" s="85">
        <v>46212.0</v>
      </c>
      <c r="J192" s="82" t="s">
        <v>535</v>
      </c>
      <c r="K192" s="86">
        <v>1151987.0</v>
      </c>
      <c r="L192" s="84">
        <v>155801.01</v>
      </c>
      <c r="M192" s="80" t="s">
        <v>537</v>
      </c>
      <c r="N192" s="80"/>
      <c r="O192" s="80"/>
      <c r="P192" s="80"/>
      <c r="Q192" s="80"/>
      <c r="R192" s="80"/>
      <c r="S192" s="80"/>
      <c r="T192" s="80"/>
      <c r="U192" s="80"/>
      <c r="V192" s="80"/>
      <c r="W192" s="80"/>
      <c r="X192" s="80"/>
      <c r="Y192" s="80"/>
      <c r="Z192" s="80"/>
    </row>
    <row r="193">
      <c r="A193" s="81">
        <v>2661.0</v>
      </c>
      <c r="B193" s="82" t="s">
        <v>579</v>
      </c>
      <c r="C193" s="82" t="s">
        <v>536</v>
      </c>
      <c r="D193" s="84">
        <v>10000.0</v>
      </c>
      <c r="E193" s="84">
        <v>180.0</v>
      </c>
      <c r="F193" s="84">
        <v>112.0</v>
      </c>
      <c r="G193" s="84">
        <v>5787.0</v>
      </c>
      <c r="H193" s="85">
        <v>46100.0</v>
      </c>
      <c r="I193" s="85">
        <v>46212.0</v>
      </c>
      <c r="J193" s="82" t="s">
        <v>535</v>
      </c>
      <c r="K193" s="86">
        <v>1153485.0</v>
      </c>
      <c r="L193" s="84">
        <v>103050.29</v>
      </c>
      <c r="M193" s="80" t="s">
        <v>554</v>
      </c>
      <c r="N193" s="80"/>
      <c r="O193" s="80"/>
      <c r="P193" s="80"/>
      <c r="Q193" s="80"/>
      <c r="R193" s="80"/>
      <c r="S193" s="80"/>
      <c r="T193" s="80"/>
      <c r="U193" s="80"/>
      <c r="V193" s="80"/>
      <c r="W193" s="80"/>
      <c r="X193" s="80"/>
      <c r="Y193" s="80"/>
      <c r="Z193" s="80"/>
    </row>
    <row r="194">
      <c r="A194" s="81">
        <v>2662.0</v>
      </c>
      <c r="B194" s="82" t="s">
        <v>579</v>
      </c>
      <c r="C194" s="82" t="s">
        <v>534</v>
      </c>
      <c r="D194" s="84">
        <v>10000.0</v>
      </c>
      <c r="E194" s="84">
        <v>180.0</v>
      </c>
      <c r="F194" s="84">
        <v>36.0</v>
      </c>
      <c r="G194" s="84">
        <v>2778.8</v>
      </c>
      <c r="H194" s="85">
        <v>46176.0</v>
      </c>
      <c r="I194" s="85">
        <v>46212.0</v>
      </c>
      <c r="J194" s="82" t="s">
        <v>535</v>
      </c>
      <c r="K194" s="86">
        <v>1161571.0</v>
      </c>
      <c r="L194" s="84">
        <v>164386.93</v>
      </c>
      <c r="M194" s="80" t="s">
        <v>539</v>
      </c>
      <c r="N194" s="80"/>
      <c r="O194" s="80"/>
      <c r="P194" s="80"/>
      <c r="Q194" s="80"/>
      <c r="R194" s="80"/>
      <c r="S194" s="80"/>
      <c r="T194" s="80"/>
      <c r="U194" s="80"/>
      <c r="V194" s="80"/>
      <c r="W194" s="80"/>
      <c r="X194" s="80"/>
      <c r="Y194" s="80"/>
      <c r="Z194" s="80"/>
    </row>
    <row r="195">
      <c r="A195" s="81">
        <v>2663.0</v>
      </c>
      <c r="B195" s="82" t="s">
        <v>579</v>
      </c>
      <c r="C195" s="82" t="s">
        <v>538</v>
      </c>
      <c r="D195" s="84">
        <v>10000.0</v>
      </c>
      <c r="E195" s="84">
        <v>180.0</v>
      </c>
      <c r="F195" s="84">
        <v>156.0</v>
      </c>
      <c r="G195" s="84">
        <v>11436.1</v>
      </c>
      <c r="H195" s="85">
        <v>46056.0</v>
      </c>
      <c r="I195" s="85">
        <v>46212.0</v>
      </c>
      <c r="J195" s="82" t="s">
        <v>540</v>
      </c>
      <c r="K195" s="86">
        <v>1148288.0</v>
      </c>
      <c r="L195" s="84">
        <v>136824.95</v>
      </c>
      <c r="M195" s="80" t="s">
        <v>536</v>
      </c>
      <c r="N195" s="80"/>
      <c r="O195" s="80"/>
      <c r="P195" s="80"/>
      <c r="Q195" s="80"/>
      <c r="R195" s="80"/>
      <c r="S195" s="80"/>
      <c r="T195" s="80"/>
      <c r="U195" s="80"/>
      <c r="V195" s="80"/>
      <c r="W195" s="80"/>
      <c r="X195" s="80"/>
      <c r="Y195" s="80"/>
      <c r="Z195" s="80"/>
    </row>
    <row r="196">
      <c r="A196" s="81">
        <v>2665.0</v>
      </c>
      <c r="B196" s="82" t="s">
        <v>579</v>
      </c>
      <c r="C196" s="82" t="s">
        <v>534</v>
      </c>
      <c r="D196" s="84">
        <v>10000.0</v>
      </c>
      <c r="E196" s="84">
        <v>180.0</v>
      </c>
      <c r="F196" s="84">
        <v>64.0</v>
      </c>
      <c r="G196" s="84">
        <v>6388.7</v>
      </c>
      <c r="H196" s="85">
        <v>46148.0</v>
      </c>
      <c r="I196" s="85">
        <v>46212.0</v>
      </c>
      <c r="J196" s="82" t="s">
        <v>535</v>
      </c>
      <c r="K196" s="86">
        <v>1158675.0</v>
      </c>
      <c r="L196" s="84">
        <v>385817.45</v>
      </c>
      <c r="M196" s="80" t="s">
        <v>580</v>
      </c>
      <c r="N196" s="80"/>
      <c r="O196" s="80"/>
      <c r="P196" s="80"/>
      <c r="Q196" s="80"/>
      <c r="R196" s="80"/>
      <c r="S196" s="80"/>
      <c r="T196" s="80"/>
      <c r="U196" s="80"/>
      <c r="V196" s="80"/>
      <c r="W196" s="80"/>
      <c r="X196" s="80"/>
      <c r="Y196" s="80"/>
      <c r="Z196" s="80"/>
    </row>
    <row r="197">
      <c r="A197" s="81">
        <v>2666.0</v>
      </c>
      <c r="B197" s="82" t="s">
        <v>579</v>
      </c>
      <c r="C197" s="82" t="s">
        <v>536</v>
      </c>
      <c r="D197" s="84">
        <v>10000.0</v>
      </c>
      <c r="E197" s="84">
        <v>180.0</v>
      </c>
      <c r="F197" s="84">
        <v>156.0</v>
      </c>
      <c r="G197" s="84">
        <v>6136.7</v>
      </c>
      <c r="H197" s="85">
        <v>46056.0</v>
      </c>
      <c r="I197" s="85">
        <v>46212.0</v>
      </c>
      <c r="J197" s="82" t="s">
        <v>535</v>
      </c>
      <c r="K197" s="86">
        <v>1148290.0</v>
      </c>
      <c r="L197" s="84">
        <v>193409.83</v>
      </c>
      <c r="M197" s="80" t="s">
        <v>536</v>
      </c>
      <c r="N197" s="80"/>
      <c r="O197" s="80"/>
      <c r="P197" s="80"/>
      <c r="Q197" s="80"/>
      <c r="R197" s="80"/>
      <c r="S197" s="80"/>
      <c r="T197" s="80"/>
      <c r="U197" s="80"/>
      <c r="V197" s="80"/>
      <c r="W197" s="80"/>
      <c r="X197" s="80"/>
      <c r="Y197" s="80"/>
      <c r="Z197" s="80"/>
    </row>
    <row r="198">
      <c r="A198" s="81">
        <v>2669.0</v>
      </c>
      <c r="B198" s="82" t="s">
        <v>579</v>
      </c>
      <c r="C198" s="82" t="s">
        <v>536</v>
      </c>
      <c r="D198" s="84">
        <v>10000.0</v>
      </c>
      <c r="E198" s="84">
        <v>180.0</v>
      </c>
      <c r="F198" s="84">
        <v>50.0</v>
      </c>
      <c r="G198" s="84">
        <v>1570.1</v>
      </c>
      <c r="H198" s="85">
        <v>46162.0</v>
      </c>
      <c r="I198" s="85">
        <v>46212.0</v>
      </c>
      <c r="J198" s="82" t="s">
        <v>535</v>
      </c>
      <c r="K198" s="86">
        <v>1159383.0</v>
      </c>
      <c r="L198" s="84">
        <v>173576.73</v>
      </c>
      <c r="M198" s="80" t="s">
        <v>570</v>
      </c>
      <c r="N198" s="80"/>
      <c r="O198" s="80"/>
      <c r="P198" s="80"/>
      <c r="Q198" s="80"/>
      <c r="R198" s="80"/>
      <c r="S198" s="80"/>
      <c r="T198" s="80"/>
      <c r="U198" s="80"/>
      <c r="V198" s="80"/>
      <c r="W198" s="80"/>
      <c r="X198" s="80"/>
      <c r="Y198" s="80"/>
      <c r="Z198" s="80"/>
    </row>
    <row r="199">
      <c r="A199" s="81">
        <v>2671.0</v>
      </c>
      <c r="B199" s="82" t="s">
        <v>579</v>
      </c>
      <c r="C199" s="82" t="s">
        <v>536</v>
      </c>
      <c r="D199" s="84">
        <v>10000.0</v>
      </c>
      <c r="E199" s="84">
        <v>180.0</v>
      </c>
      <c r="F199" s="84">
        <v>208.0</v>
      </c>
      <c r="G199" s="84">
        <v>10471.9</v>
      </c>
      <c r="H199" s="85">
        <v>46004.0</v>
      </c>
      <c r="I199" s="85">
        <v>46212.0</v>
      </c>
      <c r="J199" s="82" t="s">
        <v>540</v>
      </c>
      <c r="K199" s="86">
        <v>1139568.0</v>
      </c>
      <c r="L199" s="84">
        <v>174076.49</v>
      </c>
      <c r="M199" s="80" t="s">
        <v>570</v>
      </c>
      <c r="N199" s="80"/>
      <c r="O199" s="80"/>
      <c r="P199" s="80"/>
      <c r="Q199" s="80"/>
      <c r="R199" s="80"/>
      <c r="S199" s="80"/>
      <c r="T199" s="80"/>
      <c r="U199" s="80"/>
      <c r="V199" s="80"/>
      <c r="W199" s="80"/>
      <c r="X199" s="80"/>
      <c r="Y199" s="80"/>
      <c r="Z199" s="80"/>
    </row>
    <row r="200">
      <c r="A200" s="81">
        <v>2672.0</v>
      </c>
      <c r="B200" s="82" t="s">
        <v>581</v>
      </c>
      <c r="C200" s="82" t="s">
        <v>536</v>
      </c>
      <c r="D200" s="84">
        <v>10000.0</v>
      </c>
      <c r="E200" s="84">
        <v>180.0</v>
      </c>
      <c r="F200" s="84">
        <v>111.0</v>
      </c>
      <c r="G200" s="84">
        <v>2385.0</v>
      </c>
      <c r="H200" s="85">
        <v>46101.0</v>
      </c>
      <c r="I200" s="85">
        <v>46212.0</v>
      </c>
      <c r="J200" s="82" t="s">
        <v>535</v>
      </c>
      <c r="K200" s="86">
        <v>1153506.0</v>
      </c>
      <c r="L200" s="84">
        <v>93182.3</v>
      </c>
      <c r="M200" s="80" t="s">
        <v>554</v>
      </c>
      <c r="N200" s="80"/>
      <c r="O200" s="80"/>
      <c r="P200" s="80"/>
      <c r="Q200" s="80"/>
      <c r="R200" s="80"/>
      <c r="S200" s="80"/>
      <c r="T200" s="80"/>
      <c r="U200" s="80"/>
      <c r="V200" s="80"/>
      <c r="W200" s="80"/>
      <c r="X200" s="80"/>
      <c r="Y200" s="80"/>
      <c r="Z200" s="80"/>
    </row>
    <row r="201">
      <c r="A201" s="81">
        <v>2673.0</v>
      </c>
      <c r="B201" s="82" t="s">
        <v>581</v>
      </c>
      <c r="C201" s="82" t="s">
        <v>536</v>
      </c>
      <c r="D201" s="84">
        <v>10000.0</v>
      </c>
      <c r="E201" s="84">
        <v>180.0</v>
      </c>
      <c r="F201" s="84">
        <v>206.0</v>
      </c>
      <c r="G201" s="84">
        <v>7201.7</v>
      </c>
      <c r="H201" s="85">
        <v>46006.0</v>
      </c>
      <c r="I201" s="85">
        <v>46212.0</v>
      </c>
      <c r="J201" s="82" t="s">
        <v>540</v>
      </c>
      <c r="K201" s="86">
        <v>1143020.0</v>
      </c>
      <c r="L201" s="84">
        <v>67048.46</v>
      </c>
      <c r="M201" s="80" t="s">
        <v>554</v>
      </c>
      <c r="N201" s="80"/>
      <c r="O201" s="80"/>
      <c r="P201" s="80"/>
      <c r="Q201" s="80"/>
      <c r="R201" s="80"/>
      <c r="S201" s="80"/>
      <c r="T201" s="80"/>
      <c r="U201" s="80"/>
      <c r="V201" s="80"/>
      <c r="W201" s="80"/>
      <c r="X201" s="80"/>
      <c r="Y201" s="80"/>
      <c r="Z201" s="80"/>
    </row>
    <row r="202">
      <c r="A202" s="81">
        <v>2674.0</v>
      </c>
      <c r="B202" s="82" t="s">
        <v>581</v>
      </c>
      <c r="C202" s="82" t="s">
        <v>570</v>
      </c>
      <c r="D202" s="84">
        <v>10000.0</v>
      </c>
      <c r="E202" s="84">
        <v>180.0</v>
      </c>
      <c r="F202" s="84">
        <v>80.0</v>
      </c>
      <c r="G202" s="84">
        <v>2068.4</v>
      </c>
      <c r="H202" s="85">
        <v>46132.0</v>
      </c>
      <c r="I202" s="85">
        <v>46212.0</v>
      </c>
      <c r="J202" s="82" t="s">
        <v>535</v>
      </c>
      <c r="K202" s="86">
        <v>1156771.0</v>
      </c>
      <c r="L202" s="84">
        <v>54633.48</v>
      </c>
      <c r="M202" s="80" t="s">
        <v>536</v>
      </c>
      <c r="N202" s="80"/>
      <c r="O202" s="80"/>
      <c r="P202" s="80"/>
      <c r="Q202" s="80"/>
      <c r="R202" s="80"/>
      <c r="S202" s="80"/>
      <c r="T202" s="80"/>
      <c r="U202" s="80"/>
      <c r="V202" s="80"/>
      <c r="W202" s="80"/>
      <c r="X202" s="80"/>
      <c r="Y202" s="80"/>
      <c r="Z202" s="80"/>
    </row>
    <row r="203">
      <c r="A203" s="81">
        <v>2675.0</v>
      </c>
      <c r="B203" s="82" t="s">
        <v>581</v>
      </c>
      <c r="C203" s="82" t="s">
        <v>536</v>
      </c>
      <c r="D203" s="84">
        <v>10000.0</v>
      </c>
      <c r="E203" s="84">
        <v>180.0</v>
      </c>
      <c r="F203" s="84">
        <v>156.0</v>
      </c>
      <c r="G203" s="84">
        <v>4685.3</v>
      </c>
      <c r="H203" s="85">
        <v>46056.0</v>
      </c>
      <c r="I203" s="85">
        <v>46212.0</v>
      </c>
      <c r="J203" s="82" t="s">
        <v>535</v>
      </c>
      <c r="K203" s="86">
        <v>1148303.0</v>
      </c>
      <c r="L203" s="84">
        <v>59065.46</v>
      </c>
      <c r="M203" s="80" t="s">
        <v>554</v>
      </c>
      <c r="N203" s="80"/>
      <c r="O203" s="80"/>
      <c r="P203" s="80"/>
      <c r="Q203" s="80"/>
      <c r="R203" s="80"/>
      <c r="S203" s="80"/>
      <c r="T203" s="80"/>
      <c r="U203" s="80"/>
      <c r="V203" s="80"/>
      <c r="W203" s="80"/>
      <c r="X203" s="80"/>
      <c r="Y203" s="80"/>
      <c r="Z203" s="80"/>
    </row>
    <row r="204">
      <c r="A204" s="81">
        <v>2676.0</v>
      </c>
      <c r="B204" s="82" t="s">
        <v>581</v>
      </c>
      <c r="C204" s="82" t="s">
        <v>536</v>
      </c>
      <c r="D204" s="84">
        <v>10000.0</v>
      </c>
      <c r="E204" s="84">
        <v>180.0</v>
      </c>
      <c r="F204" s="84">
        <v>37.0</v>
      </c>
      <c r="G204" s="84">
        <v>2237.4</v>
      </c>
      <c r="H204" s="85">
        <v>46175.0</v>
      </c>
      <c r="I204" s="85">
        <v>46212.0</v>
      </c>
      <c r="J204" s="82" t="s">
        <v>535</v>
      </c>
      <c r="K204" s="86">
        <v>1161560.0</v>
      </c>
      <c r="L204" s="84">
        <v>69488.66</v>
      </c>
      <c r="M204" s="80" t="s">
        <v>554</v>
      </c>
      <c r="N204" s="80"/>
      <c r="O204" s="80"/>
      <c r="P204" s="80"/>
      <c r="Q204" s="80"/>
      <c r="R204" s="80"/>
      <c r="S204" s="80"/>
      <c r="T204" s="80"/>
      <c r="U204" s="80"/>
      <c r="V204" s="80"/>
      <c r="W204" s="80"/>
      <c r="X204" s="80"/>
      <c r="Y204" s="80"/>
      <c r="Z204" s="80"/>
    </row>
    <row r="205">
      <c r="A205" s="81">
        <v>2677.0</v>
      </c>
      <c r="B205" s="82" t="s">
        <v>581</v>
      </c>
      <c r="C205" s="82" t="s">
        <v>536</v>
      </c>
      <c r="D205" s="84">
        <v>10000.0</v>
      </c>
      <c r="E205" s="84">
        <v>180.0</v>
      </c>
      <c r="F205" s="84">
        <v>156.0</v>
      </c>
      <c r="G205" s="84">
        <v>1740.6</v>
      </c>
      <c r="H205" s="85">
        <v>46056.0</v>
      </c>
      <c r="I205" s="85">
        <v>46212.0</v>
      </c>
      <c r="J205" s="82" t="s">
        <v>535</v>
      </c>
      <c r="K205" s="86">
        <v>1148309.0</v>
      </c>
      <c r="L205" s="84">
        <v>87340.24</v>
      </c>
      <c r="M205" s="80" t="s">
        <v>554</v>
      </c>
      <c r="N205" s="80"/>
      <c r="O205" s="80"/>
      <c r="P205" s="80"/>
      <c r="Q205" s="80"/>
      <c r="R205" s="80"/>
      <c r="S205" s="80"/>
      <c r="T205" s="80"/>
      <c r="U205" s="80"/>
      <c r="V205" s="80"/>
      <c r="W205" s="80"/>
      <c r="X205" s="80"/>
      <c r="Y205" s="80"/>
      <c r="Z205" s="80"/>
    </row>
    <row r="206">
      <c r="A206" s="81">
        <v>2678.0</v>
      </c>
      <c r="B206" s="82" t="s">
        <v>581</v>
      </c>
      <c r="C206" s="82" t="s">
        <v>536</v>
      </c>
      <c r="D206" s="84">
        <v>10000.0</v>
      </c>
      <c r="E206" s="84">
        <v>180.0</v>
      </c>
      <c r="F206" s="84">
        <v>56.0</v>
      </c>
      <c r="G206" s="84">
        <v>1371.4</v>
      </c>
      <c r="H206" s="85">
        <v>46156.0</v>
      </c>
      <c r="I206" s="85">
        <v>46212.0</v>
      </c>
      <c r="J206" s="82" t="s">
        <v>535</v>
      </c>
      <c r="K206" s="86">
        <v>1158356.0</v>
      </c>
      <c r="L206" s="84">
        <v>54897.41</v>
      </c>
      <c r="M206" s="80" t="s">
        <v>554</v>
      </c>
      <c r="N206" s="80"/>
      <c r="O206" s="80"/>
      <c r="P206" s="80"/>
      <c r="Q206" s="80"/>
      <c r="R206" s="80"/>
      <c r="S206" s="80"/>
      <c r="T206" s="80"/>
      <c r="U206" s="80"/>
      <c r="V206" s="80"/>
      <c r="W206" s="80"/>
      <c r="X206" s="80"/>
      <c r="Y206" s="80"/>
      <c r="Z206" s="80"/>
    </row>
    <row r="207">
      <c r="A207" s="81">
        <v>2679.0</v>
      </c>
      <c r="B207" s="82" t="s">
        <v>581</v>
      </c>
      <c r="C207" s="82" t="s">
        <v>536</v>
      </c>
      <c r="D207" s="84">
        <v>10000.0</v>
      </c>
      <c r="E207" s="84">
        <v>180.0</v>
      </c>
      <c r="F207" s="84">
        <v>55.0</v>
      </c>
      <c r="G207" s="84">
        <v>1408.8</v>
      </c>
      <c r="H207" s="85">
        <v>46157.0</v>
      </c>
      <c r="I207" s="85">
        <v>46212.0</v>
      </c>
      <c r="J207" s="82" t="s">
        <v>535</v>
      </c>
      <c r="K207" s="86">
        <v>1159385.0</v>
      </c>
      <c r="L207" s="84">
        <v>49349.7</v>
      </c>
      <c r="M207" s="80" t="s">
        <v>538</v>
      </c>
      <c r="N207" s="80"/>
      <c r="O207" s="80"/>
      <c r="P207" s="80"/>
      <c r="Q207" s="80"/>
      <c r="R207" s="80"/>
      <c r="S207" s="80"/>
      <c r="T207" s="80"/>
      <c r="U207" s="80"/>
      <c r="V207" s="80"/>
      <c r="W207" s="80"/>
      <c r="X207" s="80"/>
      <c r="Y207" s="80"/>
      <c r="Z207" s="80"/>
    </row>
    <row r="208">
      <c r="A208" s="81">
        <v>2680.0</v>
      </c>
      <c r="B208" s="82" t="s">
        <v>581</v>
      </c>
      <c r="C208" s="82" t="s">
        <v>536</v>
      </c>
      <c r="D208" s="84">
        <v>10000.0</v>
      </c>
      <c r="E208" s="84">
        <v>180.0</v>
      </c>
      <c r="F208" s="84">
        <v>126.0</v>
      </c>
      <c r="G208" s="84">
        <v>7911.7</v>
      </c>
      <c r="H208" s="85">
        <v>46086.0</v>
      </c>
      <c r="I208" s="85">
        <v>46212.0</v>
      </c>
      <c r="J208" s="82" t="s">
        <v>535</v>
      </c>
      <c r="K208" s="86">
        <v>1151954.0</v>
      </c>
      <c r="L208" s="84">
        <v>81657.81</v>
      </c>
      <c r="M208" s="80" t="s">
        <v>554</v>
      </c>
      <c r="N208" s="80"/>
      <c r="O208" s="80"/>
      <c r="P208" s="80"/>
      <c r="Q208" s="80"/>
      <c r="R208" s="80"/>
      <c r="S208" s="80"/>
      <c r="T208" s="80"/>
      <c r="U208" s="80"/>
      <c r="V208" s="80"/>
      <c r="W208" s="80"/>
      <c r="X208" s="80"/>
      <c r="Y208" s="80"/>
      <c r="Z208" s="80"/>
    </row>
    <row r="209">
      <c r="A209" s="81">
        <v>2681.0</v>
      </c>
      <c r="B209" s="82" t="s">
        <v>581</v>
      </c>
      <c r="C209" s="82" t="s">
        <v>570</v>
      </c>
      <c r="D209" s="84">
        <v>10000.0</v>
      </c>
      <c r="E209" s="84">
        <v>180.0</v>
      </c>
      <c r="F209" s="84">
        <v>183.0</v>
      </c>
      <c r="G209" s="84">
        <v>11846.3</v>
      </c>
      <c r="H209" s="85">
        <v>46029.0</v>
      </c>
      <c r="I209" s="85">
        <v>46212.0</v>
      </c>
      <c r="J209" s="82" t="s">
        <v>540</v>
      </c>
      <c r="K209" s="86">
        <v>1145456.0</v>
      </c>
      <c r="L209" s="84">
        <v>109571.66</v>
      </c>
      <c r="M209" s="80" t="s">
        <v>570</v>
      </c>
      <c r="N209" s="80"/>
      <c r="O209" s="80"/>
      <c r="P209" s="80"/>
      <c r="Q209" s="80"/>
      <c r="R209" s="80"/>
      <c r="S209" s="80"/>
      <c r="T209" s="80"/>
      <c r="U209" s="80"/>
      <c r="V209" s="80"/>
      <c r="W209" s="80"/>
      <c r="X209" s="80"/>
      <c r="Y209" s="80"/>
      <c r="Z209" s="80"/>
    </row>
    <row r="210">
      <c r="A210" s="81">
        <v>2682.0</v>
      </c>
      <c r="B210" s="82" t="s">
        <v>581</v>
      </c>
      <c r="C210" s="82" t="s">
        <v>538</v>
      </c>
      <c r="D210" s="84">
        <v>10000.0</v>
      </c>
      <c r="E210" s="84">
        <v>180.0</v>
      </c>
      <c r="F210" s="84">
        <v>177.0</v>
      </c>
      <c r="G210" s="84">
        <v>7476.5</v>
      </c>
      <c r="H210" s="85">
        <v>46035.0</v>
      </c>
      <c r="I210" s="85">
        <v>46212.0</v>
      </c>
      <c r="J210" s="82" t="s">
        <v>535</v>
      </c>
      <c r="K210" s="86">
        <v>1146097.0</v>
      </c>
      <c r="L210" s="84">
        <v>83766.11</v>
      </c>
      <c r="M210" s="80" t="s">
        <v>536</v>
      </c>
      <c r="N210" s="80"/>
      <c r="O210" s="80"/>
      <c r="P210" s="80"/>
      <c r="Q210" s="80"/>
      <c r="R210" s="80"/>
      <c r="S210" s="80"/>
      <c r="T210" s="80"/>
      <c r="U210" s="80"/>
      <c r="V210" s="80"/>
      <c r="W210" s="80"/>
      <c r="X210" s="80"/>
      <c r="Y210" s="80"/>
      <c r="Z210" s="80"/>
    </row>
    <row r="211">
      <c r="A211" s="81">
        <v>2683.0</v>
      </c>
      <c r="B211" s="82" t="s">
        <v>581</v>
      </c>
      <c r="C211" s="82" t="s">
        <v>536</v>
      </c>
      <c r="D211" s="84">
        <v>10000.0</v>
      </c>
      <c r="E211" s="84">
        <v>180.0</v>
      </c>
      <c r="F211" s="84">
        <v>125.0</v>
      </c>
      <c r="G211" s="84">
        <v>3186.0</v>
      </c>
      <c r="H211" s="85">
        <v>46087.0</v>
      </c>
      <c r="I211" s="85">
        <v>46212.0</v>
      </c>
      <c r="J211" s="82" t="s">
        <v>535</v>
      </c>
      <c r="K211" s="86">
        <v>1150090.0</v>
      </c>
      <c r="L211" s="84">
        <v>126129.34</v>
      </c>
      <c r="M211" s="80" t="s">
        <v>554</v>
      </c>
      <c r="N211" s="80"/>
      <c r="O211" s="80"/>
      <c r="P211" s="80"/>
      <c r="Q211" s="80"/>
      <c r="R211" s="80"/>
      <c r="S211" s="80"/>
      <c r="T211" s="80"/>
      <c r="U211" s="80"/>
      <c r="V211" s="80"/>
      <c r="W211" s="80"/>
      <c r="X211" s="80"/>
      <c r="Y211" s="80"/>
      <c r="Z211" s="80"/>
    </row>
    <row r="212">
      <c r="A212" s="81">
        <v>2691.0</v>
      </c>
      <c r="B212" s="82" t="s">
        <v>582</v>
      </c>
      <c r="C212" s="82" t="s">
        <v>534</v>
      </c>
      <c r="D212" s="84">
        <v>30000.0</v>
      </c>
      <c r="E212" s="84">
        <v>120.0</v>
      </c>
      <c r="F212" s="84">
        <v>134.0</v>
      </c>
      <c r="G212" s="84">
        <v>35981.4</v>
      </c>
      <c r="H212" s="85">
        <v>46078.0</v>
      </c>
      <c r="I212" s="85">
        <v>46212.0</v>
      </c>
      <c r="J212" s="82" t="s">
        <v>540</v>
      </c>
      <c r="K212" s="86">
        <v>1151054.0</v>
      </c>
      <c r="L212" s="84">
        <v>470751.46</v>
      </c>
      <c r="M212" s="80" t="s">
        <v>547</v>
      </c>
      <c r="N212" s="80"/>
      <c r="O212" s="80"/>
      <c r="P212" s="80"/>
      <c r="Q212" s="80"/>
      <c r="R212" s="80"/>
      <c r="S212" s="80"/>
      <c r="T212" s="80"/>
      <c r="U212" s="80"/>
      <c r="V212" s="80"/>
      <c r="W212" s="80"/>
      <c r="X212" s="80"/>
      <c r="Y212" s="80"/>
      <c r="Z212" s="80"/>
    </row>
    <row r="213">
      <c r="A213" s="81">
        <v>2692.0</v>
      </c>
      <c r="B213" s="82" t="s">
        <v>582</v>
      </c>
      <c r="C213" s="82" t="s">
        <v>534</v>
      </c>
      <c r="D213" s="84">
        <v>30000.0</v>
      </c>
      <c r="E213" s="84">
        <v>120.0</v>
      </c>
      <c r="F213" s="84">
        <v>22.0</v>
      </c>
      <c r="G213" s="84">
        <v>6649.8</v>
      </c>
      <c r="H213" s="85">
        <v>46190.0</v>
      </c>
      <c r="I213" s="85">
        <v>46212.0</v>
      </c>
      <c r="J213" s="82" t="s">
        <v>535</v>
      </c>
      <c r="K213" s="86">
        <v>1161846.0</v>
      </c>
      <c r="L213" s="84">
        <v>530802.34</v>
      </c>
      <c r="M213" s="80" t="s">
        <v>562</v>
      </c>
      <c r="N213" s="80"/>
      <c r="O213" s="80"/>
      <c r="P213" s="80"/>
      <c r="Q213" s="80"/>
      <c r="R213" s="80"/>
      <c r="S213" s="80"/>
      <c r="T213" s="80"/>
      <c r="U213" s="80"/>
      <c r="V213" s="80"/>
      <c r="W213" s="80"/>
      <c r="X213" s="80"/>
      <c r="Y213" s="80"/>
      <c r="Z213" s="80"/>
    </row>
    <row r="214">
      <c r="A214" s="81">
        <v>2693.0</v>
      </c>
      <c r="B214" s="82" t="s">
        <v>582</v>
      </c>
      <c r="C214" s="82" t="s">
        <v>534</v>
      </c>
      <c r="D214" s="84">
        <v>30000.0</v>
      </c>
      <c r="E214" s="84">
        <v>120.0</v>
      </c>
      <c r="F214" s="84">
        <v>70.0</v>
      </c>
      <c r="G214" s="84">
        <v>2775.2</v>
      </c>
      <c r="H214" s="85">
        <v>46142.0</v>
      </c>
      <c r="I214" s="85">
        <v>46212.0</v>
      </c>
      <c r="J214" s="82" t="s">
        <v>535</v>
      </c>
      <c r="K214" s="86">
        <v>1157498.0</v>
      </c>
      <c r="L214" s="84">
        <v>506581.18</v>
      </c>
      <c r="M214" s="80" t="s">
        <v>536</v>
      </c>
      <c r="N214" s="80"/>
      <c r="O214" s="80"/>
      <c r="P214" s="80"/>
      <c r="Q214" s="80"/>
      <c r="R214" s="80"/>
      <c r="S214" s="80"/>
      <c r="T214" s="80"/>
      <c r="U214" s="80"/>
      <c r="V214" s="80"/>
      <c r="W214" s="80"/>
      <c r="X214" s="80"/>
      <c r="Y214" s="80"/>
      <c r="Z214" s="80"/>
    </row>
    <row r="215">
      <c r="A215" s="81">
        <v>2694.0</v>
      </c>
      <c r="B215" s="82" t="s">
        <v>582</v>
      </c>
      <c r="C215" s="82" t="s">
        <v>534</v>
      </c>
      <c r="D215" s="84">
        <v>30000.0</v>
      </c>
      <c r="E215" s="84">
        <v>120.0</v>
      </c>
      <c r="F215" s="84">
        <v>127.0</v>
      </c>
      <c r="G215" s="84">
        <v>27781.9</v>
      </c>
      <c r="H215" s="85">
        <v>46085.0</v>
      </c>
      <c r="I215" s="85">
        <v>46212.0</v>
      </c>
      <c r="J215" s="82" t="s">
        <v>540</v>
      </c>
      <c r="K215" s="86">
        <v>1151922.0</v>
      </c>
      <c r="L215" s="84">
        <v>525260.9</v>
      </c>
      <c r="M215" s="80" t="s">
        <v>539</v>
      </c>
      <c r="N215" s="80"/>
      <c r="O215" s="80"/>
      <c r="P215" s="80"/>
      <c r="Q215" s="80"/>
      <c r="R215" s="80"/>
      <c r="S215" s="80"/>
      <c r="T215" s="80"/>
      <c r="U215" s="80"/>
      <c r="V215" s="80"/>
      <c r="W215" s="80"/>
      <c r="X215" s="80"/>
      <c r="Y215" s="80"/>
      <c r="Z215" s="80"/>
    </row>
    <row r="216">
      <c r="A216" s="81">
        <v>2695.0</v>
      </c>
      <c r="B216" s="82" t="s">
        <v>582</v>
      </c>
      <c r="C216" s="82" t="s">
        <v>534</v>
      </c>
      <c r="D216" s="84">
        <v>30000.0</v>
      </c>
      <c r="E216" s="84">
        <v>120.0</v>
      </c>
      <c r="F216" s="84">
        <v>29.0</v>
      </c>
      <c r="G216" s="84">
        <v>11105.0</v>
      </c>
      <c r="H216" s="85">
        <v>46183.0</v>
      </c>
      <c r="I216" s="85">
        <v>46212.0</v>
      </c>
      <c r="J216" s="82" t="s">
        <v>535</v>
      </c>
      <c r="K216" s="86">
        <v>1161719.0</v>
      </c>
      <c r="L216" s="84">
        <v>542537.31</v>
      </c>
      <c r="M216" s="80" t="s">
        <v>541</v>
      </c>
      <c r="N216" s="80"/>
      <c r="O216" s="80"/>
      <c r="P216" s="80"/>
      <c r="Q216" s="80"/>
      <c r="R216" s="80"/>
      <c r="S216" s="80"/>
      <c r="T216" s="80"/>
      <c r="U216" s="80"/>
      <c r="V216" s="80"/>
      <c r="W216" s="80"/>
      <c r="X216" s="80"/>
      <c r="Y216" s="80"/>
      <c r="Z216" s="80"/>
    </row>
    <row r="217">
      <c r="A217" s="81">
        <v>2696.0</v>
      </c>
      <c r="B217" s="82" t="s">
        <v>582</v>
      </c>
      <c r="C217" s="82" t="s">
        <v>534</v>
      </c>
      <c r="D217" s="84">
        <v>30000.0</v>
      </c>
      <c r="E217" s="84">
        <v>120.0</v>
      </c>
      <c r="F217" s="84">
        <v>38.0</v>
      </c>
      <c r="G217" s="84">
        <v>12404.2</v>
      </c>
      <c r="H217" s="85">
        <v>46174.0</v>
      </c>
      <c r="I217" s="85">
        <v>46212.0</v>
      </c>
      <c r="J217" s="82" t="s">
        <v>535</v>
      </c>
      <c r="K217" s="86">
        <v>1161529.0</v>
      </c>
      <c r="L217" s="84">
        <v>538063.09</v>
      </c>
      <c r="M217" s="80" t="s">
        <v>551</v>
      </c>
      <c r="N217" s="80"/>
      <c r="O217" s="80"/>
      <c r="P217" s="80"/>
      <c r="Q217" s="80"/>
      <c r="R217" s="80"/>
      <c r="S217" s="80"/>
      <c r="T217" s="80"/>
      <c r="U217" s="80"/>
      <c r="V217" s="80"/>
      <c r="W217" s="80"/>
      <c r="X217" s="80"/>
      <c r="Y217" s="80"/>
      <c r="Z217" s="80"/>
    </row>
    <row r="218">
      <c r="A218" s="81">
        <v>2697.0</v>
      </c>
      <c r="B218" s="82" t="s">
        <v>583</v>
      </c>
      <c r="C218" s="82" t="s">
        <v>534</v>
      </c>
      <c r="D218" s="84">
        <v>35000.0</v>
      </c>
      <c r="E218" s="84">
        <v>120.0</v>
      </c>
      <c r="F218" s="84">
        <v>133.0</v>
      </c>
      <c r="G218" s="84">
        <v>43174.5</v>
      </c>
      <c r="H218" s="85">
        <v>46079.0</v>
      </c>
      <c r="I218" s="85">
        <v>46212.0</v>
      </c>
      <c r="J218" s="82" t="s">
        <v>540</v>
      </c>
      <c r="K218" s="86">
        <v>1151298.0</v>
      </c>
      <c r="L218" s="84">
        <v>500598.9</v>
      </c>
      <c r="M218" s="80" t="s">
        <v>537</v>
      </c>
      <c r="N218" s="80"/>
      <c r="O218" s="80"/>
      <c r="P218" s="80"/>
      <c r="Q218" s="80"/>
      <c r="R218" s="80"/>
      <c r="S218" s="80"/>
      <c r="T218" s="80"/>
      <c r="U218" s="80"/>
      <c r="V218" s="80"/>
      <c r="W218" s="80"/>
      <c r="X218" s="80"/>
      <c r="Y218" s="80"/>
      <c r="Z218" s="80"/>
    </row>
    <row r="219">
      <c r="A219" s="81">
        <v>2698.0</v>
      </c>
      <c r="B219" s="82" t="s">
        <v>583</v>
      </c>
      <c r="C219" s="82" t="s">
        <v>534</v>
      </c>
      <c r="D219" s="84">
        <v>35000.0</v>
      </c>
      <c r="E219" s="84">
        <v>120.0</v>
      </c>
      <c r="F219" s="84">
        <v>79.0</v>
      </c>
      <c r="G219" s="84">
        <v>23204.4</v>
      </c>
      <c r="H219" s="85">
        <v>46133.0</v>
      </c>
      <c r="I219" s="85">
        <v>46212.0</v>
      </c>
      <c r="J219" s="82" t="s">
        <v>535</v>
      </c>
      <c r="K219" s="86">
        <v>1156841.0</v>
      </c>
      <c r="L219" s="84">
        <v>513916.71</v>
      </c>
      <c r="M219" s="80" t="s">
        <v>539</v>
      </c>
      <c r="N219" s="80"/>
      <c r="O219" s="80"/>
      <c r="P219" s="80"/>
      <c r="Q219" s="80"/>
      <c r="R219" s="80"/>
      <c r="S219" s="80"/>
      <c r="T219" s="80"/>
      <c r="U219" s="80"/>
      <c r="V219" s="80"/>
      <c r="W219" s="80"/>
      <c r="X219" s="80"/>
      <c r="Y219" s="80"/>
      <c r="Z219" s="80"/>
    </row>
    <row r="220">
      <c r="A220" s="81">
        <v>2699.0</v>
      </c>
      <c r="B220" s="82" t="s">
        <v>583</v>
      </c>
      <c r="C220" s="82" t="s">
        <v>534</v>
      </c>
      <c r="D220" s="84">
        <v>35000.0</v>
      </c>
      <c r="E220" s="84">
        <v>120.0</v>
      </c>
      <c r="F220" s="84">
        <v>126.0</v>
      </c>
      <c r="G220" s="84">
        <v>42606.4</v>
      </c>
      <c r="H220" s="85">
        <v>46086.0</v>
      </c>
      <c r="I220" s="85">
        <v>46212.0</v>
      </c>
      <c r="J220" s="82" t="s">
        <v>540</v>
      </c>
      <c r="K220" s="86">
        <v>1152045.0</v>
      </c>
      <c r="L220" s="84">
        <v>481188.37</v>
      </c>
      <c r="M220" s="80" t="s">
        <v>539</v>
      </c>
      <c r="N220" s="80"/>
      <c r="O220" s="80"/>
      <c r="P220" s="80"/>
      <c r="Q220" s="80"/>
      <c r="R220" s="80"/>
      <c r="S220" s="80"/>
      <c r="T220" s="80"/>
      <c r="U220" s="80"/>
      <c r="V220" s="80"/>
      <c r="W220" s="80"/>
      <c r="X220" s="80"/>
      <c r="Y220" s="80"/>
      <c r="Z220" s="80"/>
    </row>
    <row r="221">
      <c r="A221" s="81">
        <v>2700.0</v>
      </c>
      <c r="B221" s="82" t="s">
        <v>583</v>
      </c>
      <c r="C221" s="82" t="s">
        <v>534</v>
      </c>
      <c r="D221" s="84">
        <v>35000.0</v>
      </c>
      <c r="E221" s="84">
        <v>120.0</v>
      </c>
      <c r="F221" s="84">
        <v>105.0</v>
      </c>
      <c r="G221" s="84">
        <v>29353.7</v>
      </c>
      <c r="H221" s="85">
        <v>46107.0</v>
      </c>
      <c r="I221" s="85">
        <v>46212.0</v>
      </c>
      <c r="J221" s="82" t="s">
        <v>535</v>
      </c>
      <c r="K221" s="86">
        <v>1154254.0</v>
      </c>
      <c r="L221" s="84">
        <v>503839.27</v>
      </c>
      <c r="M221" s="80" t="s">
        <v>562</v>
      </c>
      <c r="N221" s="80"/>
      <c r="O221" s="80"/>
      <c r="P221" s="80"/>
      <c r="Q221" s="80"/>
      <c r="R221" s="80"/>
      <c r="S221" s="80"/>
      <c r="T221" s="80"/>
      <c r="U221" s="80"/>
      <c r="V221" s="80"/>
      <c r="W221" s="80"/>
      <c r="X221" s="80"/>
      <c r="Y221" s="80"/>
      <c r="Z221" s="80"/>
    </row>
    <row r="222">
      <c r="A222" s="81">
        <v>2701.0</v>
      </c>
      <c r="B222" s="82" t="s">
        <v>583</v>
      </c>
      <c r="C222" s="82" t="s">
        <v>534</v>
      </c>
      <c r="D222" s="84">
        <v>35000.0</v>
      </c>
      <c r="E222" s="84">
        <v>120.0</v>
      </c>
      <c r="F222" s="84">
        <v>1.0</v>
      </c>
      <c r="G222" s="84">
        <v>0.0</v>
      </c>
      <c r="H222" s="85">
        <v>46211.0</v>
      </c>
      <c r="I222" s="85">
        <v>46212.0</v>
      </c>
      <c r="J222" s="82" t="s">
        <v>535</v>
      </c>
      <c r="K222" s="86">
        <v>1162208.0</v>
      </c>
      <c r="L222" s="84">
        <v>567606.92</v>
      </c>
      <c r="M222" s="80" t="s">
        <v>537</v>
      </c>
      <c r="N222" s="80"/>
      <c r="O222" s="80"/>
      <c r="P222" s="80"/>
      <c r="Q222" s="80"/>
      <c r="R222" s="80"/>
      <c r="S222" s="80"/>
      <c r="T222" s="80"/>
      <c r="U222" s="80"/>
      <c r="V222" s="80"/>
      <c r="W222" s="80"/>
      <c r="X222" s="80"/>
      <c r="Y222" s="80"/>
      <c r="Z222" s="80"/>
    </row>
    <row r="223">
      <c r="A223" s="81">
        <v>2702.0</v>
      </c>
      <c r="B223" s="82" t="s">
        <v>583</v>
      </c>
      <c r="C223" s="82" t="s">
        <v>534</v>
      </c>
      <c r="D223" s="84">
        <v>35000.0</v>
      </c>
      <c r="E223" s="84">
        <v>120.0</v>
      </c>
      <c r="F223" s="84">
        <v>119.0</v>
      </c>
      <c r="G223" s="84">
        <v>39894.6</v>
      </c>
      <c r="H223" s="85">
        <v>46093.0</v>
      </c>
      <c r="I223" s="85">
        <v>46212.0</v>
      </c>
      <c r="J223" s="82" t="s">
        <v>540</v>
      </c>
      <c r="K223" s="86">
        <v>1153041.0</v>
      </c>
      <c r="L223" s="84">
        <v>503049.46</v>
      </c>
      <c r="M223" s="80" t="s">
        <v>564</v>
      </c>
      <c r="N223" s="80"/>
      <c r="O223" s="80"/>
      <c r="P223" s="80"/>
      <c r="Q223" s="80"/>
      <c r="R223" s="80"/>
      <c r="S223" s="80"/>
      <c r="T223" s="80"/>
      <c r="U223" s="80"/>
      <c r="V223" s="80"/>
      <c r="W223" s="80"/>
      <c r="X223" s="80"/>
      <c r="Y223" s="80"/>
      <c r="Z223" s="80"/>
    </row>
    <row r="224">
      <c r="A224" s="81">
        <v>2703.0</v>
      </c>
      <c r="B224" s="82" t="s">
        <v>583</v>
      </c>
      <c r="C224" s="82" t="s">
        <v>534</v>
      </c>
      <c r="D224" s="84">
        <v>35000.0</v>
      </c>
      <c r="E224" s="84">
        <v>120.0</v>
      </c>
      <c r="F224" s="84">
        <v>83.0</v>
      </c>
      <c r="G224" s="84">
        <v>12914.4</v>
      </c>
      <c r="H224" s="85">
        <v>46129.0</v>
      </c>
      <c r="I224" s="85">
        <v>46212.0</v>
      </c>
      <c r="J224" s="82" t="s">
        <v>535</v>
      </c>
      <c r="K224" s="86">
        <v>1156358.0</v>
      </c>
      <c r="L224" s="84">
        <v>490100.16</v>
      </c>
      <c r="M224" s="80" t="s">
        <v>564</v>
      </c>
      <c r="N224" s="80"/>
      <c r="O224" s="80"/>
      <c r="P224" s="80"/>
      <c r="Q224" s="80"/>
      <c r="R224" s="80"/>
      <c r="S224" s="80"/>
      <c r="T224" s="80"/>
      <c r="U224" s="80"/>
      <c r="V224" s="80"/>
      <c r="W224" s="80"/>
      <c r="X224" s="80"/>
      <c r="Y224" s="80"/>
      <c r="Z224" s="80"/>
    </row>
    <row r="225">
      <c r="A225" s="81">
        <v>2704.0</v>
      </c>
      <c r="B225" s="82" t="s">
        <v>583</v>
      </c>
      <c r="C225" s="82" t="s">
        <v>534</v>
      </c>
      <c r="D225" s="84">
        <v>35000.0</v>
      </c>
      <c r="E225" s="84">
        <v>120.0</v>
      </c>
      <c r="F225" s="84">
        <v>68.0</v>
      </c>
      <c r="G225" s="84">
        <v>25036.0</v>
      </c>
      <c r="H225" s="85">
        <v>46144.0</v>
      </c>
      <c r="I225" s="85">
        <v>46212.0</v>
      </c>
      <c r="J225" s="82" t="s">
        <v>535</v>
      </c>
      <c r="K225" s="86">
        <v>1158163.0</v>
      </c>
      <c r="L225" s="84">
        <v>500273.03</v>
      </c>
      <c r="M225" s="80" t="s">
        <v>565</v>
      </c>
      <c r="N225" s="80"/>
      <c r="O225" s="80"/>
      <c r="P225" s="80"/>
      <c r="Q225" s="80"/>
      <c r="R225" s="80"/>
      <c r="S225" s="80"/>
      <c r="T225" s="80"/>
      <c r="U225" s="80"/>
      <c r="V225" s="80"/>
      <c r="W225" s="80"/>
      <c r="X225" s="80"/>
      <c r="Y225" s="80"/>
      <c r="Z225" s="80"/>
    </row>
    <row r="226">
      <c r="A226" s="81">
        <v>2712.0</v>
      </c>
      <c r="B226" s="82" t="s">
        <v>583</v>
      </c>
      <c r="C226" s="82" t="s">
        <v>534</v>
      </c>
      <c r="D226" s="84">
        <v>35000.0</v>
      </c>
      <c r="E226" s="84">
        <v>120.0</v>
      </c>
      <c r="F226" s="84">
        <v>42.0</v>
      </c>
      <c r="G226" s="84">
        <v>12555.0</v>
      </c>
      <c r="H226" s="85">
        <v>46170.0</v>
      </c>
      <c r="I226" s="85">
        <v>46212.0</v>
      </c>
      <c r="J226" s="82" t="s">
        <v>535</v>
      </c>
      <c r="K226" s="86">
        <v>1161455.0</v>
      </c>
      <c r="L226" s="84">
        <v>506069.0</v>
      </c>
      <c r="M226" s="80" t="s">
        <v>549</v>
      </c>
      <c r="N226" s="80"/>
      <c r="O226" s="80"/>
      <c r="P226" s="80"/>
      <c r="Q226" s="80"/>
      <c r="R226" s="80"/>
      <c r="S226" s="80"/>
      <c r="T226" s="80"/>
      <c r="U226" s="80"/>
      <c r="V226" s="80"/>
      <c r="W226" s="80"/>
      <c r="X226" s="80"/>
      <c r="Y226" s="80"/>
      <c r="Z226" s="80"/>
    </row>
    <row r="227">
      <c r="A227" s="81">
        <v>2713.0</v>
      </c>
      <c r="B227" s="82" t="s">
        <v>583</v>
      </c>
      <c r="C227" s="82" t="s">
        <v>534</v>
      </c>
      <c r="D227" s="84">
        <v>35000.0</v>
      </c>
      <c r="E227" s="84">
        <v>120.0</v>
      </c>
      <c r="F227" s="84">
        <v>101.0</v>
      </c>
      <c r="G227" s="84">
        <v>35792.9</v>
      </c>
      <c r="H227" s="85">
        <v>46111.0</v>
      </c>
      <c r="I227" s="85">
        <v>46212.0</v>
      </c>
      <c r="J227" s="82" t="s">
        <v>540</v>
      </c>
      <c r="K227" s="86">
        <v>1154664.0</v>
      </c>
      <c r="L227" s="84">
        <v>528396.25</v>
      </c>
      <c r="M227" s="80" t="s">
        <v>549</v>
      </c>
      <c r="N227" s="80"/>
      <c r="O227" s="80"/>
      <c r="P227" s="80"/>
      <c r="Q227" s="80"/>
      <c r="R227" s="80"/>
      <c r="S227" s="80"/>
      <c r="T227" s="80"/>
      <c r="U227" s="80"/>
      <c r="V227" s="80"/>
      <c r="W227" s="80"/>
      <c r="X227" s="80"/>
      <c r="Y227" s="80"/>
      <c r="Z227" s="80"/>
    </row>
    <row r="228">
      <c r="A228" s="81">
        <v>2714.0</v>
      </c>
      <c r="B228" s="82" t="s">
        <v>583</v>
      </c>
      <c r="C228" s="82" t="s">
        <v>534</v>
      </c>
      <c r="D228" s="84">
        <v>35000.0</v>
      </c>
      <c r="E228" s="84">
        <v>120.0</v>
      </c>
      <c r="F228" s="84">
        <v>117.0</v>
      </c>
      <c r="G228" s="84">
        <v>30928.1</v>
      </c>
      <c r="H228" s="85">
        <v>46095.0</v>
      </c>
      <c r="I228" s="85">
        <v>46212.0</v>
      </c>
      <c r="J228" s="82" t="s">
        <v>535</v>
      </c>
      <c r="K228" s="86">
        <v>1153303.0</v>
      </c>
      <c r="L228" s="84">
        <v>515654.43</v>
      </c>
      <c r="M228" s="80" t="s">
        <v>539</v>
      </c>
      <c r="N228" s="80"/>
      <c r="O228" s="80"/>
      <c r="P228" s="80"/>
      <c r="Q228" s="80"/>
      <c r="R228" s="80"/>
      <c r="S228" s="80"/>
      <c r="T228" s="80"/>
      <c r="U228" s="80"/>
      <c r="V228" s="80"/>
      <c r="W228" s="80"/>
      <c r="X228" s="80"/>
      <c r="Y228" s="80"/>
      <c r="Z228" s="80"/>
    </row>
    <row r="229">
      <c r="A229" s="81">
        <v>2715.0</v>
      </c>
      <c r="B229" s="82" t="s">
        <v>583</v>
      </c>
      <c r="C229" s="82" t="s">
        <v>534</v>
      </c>
      <c r="D229" s="84">
        <v>35000.0</v>
      </c>
      <c r="E229" s="84">
        <v>120.0</v>
      </c>
      <c r="F229" s="84">
        <v>133.0</v>
      </c>
      <c r="G229" s="84">
        <v>44978.7</v>
      </c>
      <c r="H229" s="85">
        <v>46079.0</v>
      </c>
      <c r="I229" s="85">
        <v>46212.0</v>
      </c>
      <c r="J229" s="82" t="s">
        <v>540</v>
      </c>
      <c r="K229" s="86">
        <v>1151332.0</v>
      </c>
      <c r="L229" s="84">
        <v>487172.08</v>
      </c>
      <c r="M229" s="80" t="s">
        <v>539</v>
      </c>
      <c r="N229" s="80"/>
      <c r="O229" s="80"/>
      <c r="P229" s="80"/>
      <c r="Q229" s="80"/>
      <c r="R229" s="80"/>
      <c r="S229" s="80"/>
      <c r="T229" s="80"/>
      <c r="U229" s="80"/>
      <c r="V229" s="80"/>
      <c r="W229" s="80"/>
      <c r="X229" s="80"/>
      <c r="Y229" s="80"/>
      <c r="Z229" s="80"/>
    </row>
    <row r="230">
      <c r="A230" s="81">
        <v>2716.0</v>
      </c>
      <c r="B230" s="88" t="s">
        <v>583</v>
      </c>
      <c r="C230" s="82" t="s">
        <v>534</v>
      </c>
      <c r="D230" s="84">
        <v>35000.0</v>
      </c>
      <c r="E230" s="84">
        <v>120.0</v>
      </c>
      <c r="F230" s="84">
        <v>73.0</v>
      </c>
      <c r="G230" s="84">
        <v>25943.3</v>
      </c>
      <c r="H230" s="85">
        <v>46139.0</v>
      </c>
      <c r="I230" s="85">
        <v>46212.0</v>
      </c>
      <c r="J230" s="82" t="s">
        <v>535</v>
      </c>
      <c r="K230" s="86">
        <v>1157447.0</v>
      </c>
      <c r="L230" s="84">
        <v>482060.75</v>
      </c>
      <c r="M230" s="80" t="s">
        <v>541</v>
      </c>
      <c r="N230" s="80"/>
      <c r="O230" s="80"/>
      <c r="P230" s="80"/>
      <c r="Q230" s="80"/>
      <c r="R230" s="80"/>
      <c r="S230" s="80"/>
      <c r="T230" s="80"/>
      <c r="U230" s="80"/>
      <c r="V230" s="80"/>
      <c r="W230" s="80"/>
      <c r="X230" s="80"/>
      <c r="Y230" s="80"/>
      <c r="Z230" s="80"/>
    </row>
    <row r="231">
      <c r="A231" s="81">
        <v>2717.0</v>
      </c>
      <c r="B231" s="82" t="s">
        <v>583</v>
      </c>
      <c r="C231" s="82" t="s">
        <v>534</v>
      </c>
      <c r="D231" s="84">
        <v>35000.0</v>
      </c>
      <c r="E231" s="84">
        <v>120.0</v>
      </c>
      <c r="F231" s="84">
        <v>64.0</v>
      </c>
      <c r="G231" s="84">
        <v>20420.4</v>
      </c>
      <c r="H231" s="85">
        <v>46148.0</v>
      </c>
      <c r="I231" s="85">
        <v>46212.0</v>
      </c>
      <c r="J231" s="82" t="s">
        <v>535</v>
      </c>
      <c r="K231" s="86">
        <v>1158677.0</v>
      </c>
      <c r="L231" s="84">
        <v>535409.29</v>
      </c>
      <c r="M231" s="80" t="s">
        <v>536</v>
      </c>
      <c r="N231" s="80"/>
      <c r="O231" s="80"/>
      <c r="P231" s="80"/>
      <c r="Q231" s="80"/>
      <c r="R231" s="80"/>
      <c r="S231" s="80"/>
      <c r="T231" s="80"/>
      <c r="U231" s="80"/>
      <c r="V231" s="80"/>
      <c r="W231" s="80"/>
      <c r="X231" s="80"/>
      <c r="Y231" s="80"/>
      <c r="Z231" s="80"/>
    </row>
    <row r="232">
      <c r="A232" s="81">
        <v>2718.0</v>
      </c>
      <c r="B232" s="82" t="s">
        <v>583</v>
      </c>
      <c r="C232" s="82" t="s">
        <v>534</v>
      </c>
      <c r="D232" s="84">
        <v>35000.0</v>
      </c>
      <c r="E232" s="84">
        <v>120.0</v>
      </c>
      <c r="F232" s="84">
        <v>119.0</v>
      </c>
      <c r="G232" s="84">
        <v>37848.3</v>
      </c>
      <c r="H232" s="85">
        <v>46093.0</v>
      </c>
      <c r="I232" s="85">
        <v>46212.0</v>
      </c>
      <c r="J232" s="82" t="s">
        <v>540</v>
      </c>
      <c r="K232" s="86">
        <v>1152890.0</v>
      </c>
      <c r="L232" s="84">
        <v>506028.37</v>
      </c>
      <c r="M232" s="80" t="s">
        <v>536</v>
      </c>
      <c r="N232" s="80"/>
      <c r="O232" s="80"/>
      <c r="P232" s="80"/>
      <c r="Q232" s="80"/>
      <c r="R232" s="80"/>
      <c r="S232" s="80"/>
      <c r="T232" s="80"/>
      <c r="U232" s="80"/>
      <c r="V232" s="80"/>
      <c r="W232" s="80"/>
      <c r="X232" s="80"/>
      <c r="Y232" s="80"/>
      <c r="Z232" s="80"/>
    </row>
    <row r="233">
      <c r="A233" s="81">
        <v>2719.0</v>
      </c>
      <c r="B233" s="82" t="s">
        <v>583</v>
      </c>
      <c r="C233" s="82" t="s">
        <v>534</v>
      </c>
      <c r="D233" s="84">
        <v>35000.0</v>
      </c>
      <c r="E233" s="84">
        <v>120.0</v>
      </c>
      <c r="F233" s="84">
        <v>79.0</v>
      </c>
      <c r="G233" s="84">
        <v>25790.3</v>
      </c>
      <c r="H233" s="85">
        <v>46133.0</v>
      </c>
      <c r="I233" s="85">
        <v>46212.0</v>
      </c>
      <c r="J233" s="82" t="s">
        <v>535</v>
      </c>
      <c r="K233" s="86">
        <v>1156824.0</v>
      </c>
      <c r="L233" s="84">
        <v>486890.59</v>
      </c>
      <c r="M233" s="80" t="s">
        <v>539</v>
      </c>
      <c r="N233" s="80"/>
      <c r="O233" s="80"/>
      <c r="P233" s="80"/>
      <c r="Q233" s="80"/>
      <c r="R233" s="80"/>
      <c r="S233" s="80"/>
      <c r="T233" s="80"/>
      <c r="U233" s="80"/>
      <c r="V233" s="80"/>
      <c r="W233" s="80"/>
      <c r="X233" s="80"/>
      <c r="Y233" s="80"/>
      <c r="Z233" s="80"/>
    </row>
    <row r="234">
      <c r="A234" s="81">
        <v>2721.0</v>
      </c>
      <c r="B234" s="82" t="s">
        <v>583</v>
      </c>
      <c r="C234" s="82" t="s">
        <v>534</v>
      </c>
      <c r="D234" s="84">
        <v>35000.0</v>
      </c>
      <c r="E234" s="84">
        <v>120.0</v>
      </c>
      <c r="F234" s="84">
        <v>47.0</v>
      </c>
      <c r="G234" s="84">
        <v>17627.3</v>
      </c>
      <c r="H234" s="85">
        <v>46165.0</v>
      </c>
      <c r="I234" s="85">
        <v>46212.0</v>
      </c>
      <c r="J234" s="82" t="s">
        <v>535</v>
      </c>
      <c r="K234" s="86">
        <v>1161090.0</v>
      </c>
      <c r="L234" s="84">
        <v>516792.13</v>
      </c>
      <c r="M234" s="80" t="s">
        <v>536</v>
      </c>
      <c r="N234" s="80"/>
      <c r="O234" s="80"/>
      <c r="P234" s="80"/>
      <c r="Q234" s="80"/>
      <c r="R234" s="80"/>
      <c r="S234" s="80"/>
      <c r="T234" s="80"/>
      <c r="U234" s="80"/>
      <c r="V234" s="80"/>
      <c r="W234" s="80"/>
      <c r="X234" s="80"/>
      <c r="Y234" s="80"/>
      <c r="Z234" s="80"/>
    </row>
    <row r="235">
      <c r="A235" s="81">
        <v>2722.0</v>
      </c>
      <c r="B235" s="82" t="s">
        <v>583</v>
      </c>
      <c r="C235" s="82" t="s">
        <v>534</v>
      </c>
      <c r="D235" s="84">
        <v>35000.0</v>
      </c>
      <c r="E235" s="84">
        <v>120.0</v>
      </c>
      <c r="F235" s="84">
        <v>173.0</v>
      </c>
      <c r="G235" s="84">
        <v>8721.4</v>
      </c>
      <c r="H235" s="85">
        <v>46039.0</v>
      </c>
      <c r="I235" s="85">
        <v>46212.0</v>
      </c>
      <c r="J235" s="82" t="s">
        <v>540</v>
      </c>
      <c r="K235" s="86">
        <v>1146438.0</v>
      </c>
      <c r="L235" s="84">
        <v>503145.07</v>
      </c>
      <c r="M235" s="80" t="s">
        <v>539</v>
      </c>
      <c r="N235" s="80"/>
      <c r="O235" s="80"/>
      <c r="P235" s="80"/>
      <c r="Q235" s="80"/>
      <c r="R235" s="80"/>
      <c r="S235" s="80"/>
      <c r="T235" s="80"/>
      <c r="U235" s="80"/>
      <c r="V235" s="80"/>
      <c r="W235" s="80"/>
      <c r="X235" s="80"/>
      <c r="Y235" s="80"/>
      <c r="Z235" s="80"/>
    </row>
    <row r="236">
      <c r="A236" s="81">
        <v>2723.0</v>
      </c>
      <c r="B236" s="82" t="s">
        <v>583</v>
      </c>
      <c r="C236" s="82" t="s">
        <v>534</v>
      </c>
      <c r="D236" s="84">
        <v>35000.0</v>
      </c>
      <c r="E236" s="84">
        <v>120.0</v>
      </c>
      <c r="F236" s="84">
        <v>122.0</v>
      </c>
      <c r="G236" s="84">
        <v>40134.5</v>
      </c>
      <c r="H236" s="85">
        <v>46090.0</v>
      </c>
      <c r="I236" s="85">
        <v>46212.0</v>
      </c>
      <c r="J236" s="82" t="s">
        <v>540</v>
      </c>
      <c r="K236" s="86">
        <v>1152336.0</v>
      </c>
      <c r="L236" s="84">
        <v>459260.01</v>
      </c>
      <c r="M236" s="80" t="s">
        <v>549</v>
      </c>
      <c r="N236" s="80"/>
      <c r="O236" s="80"/>
      <c r="P236" s="80"/>
      <c r="Q236" s="80"/>
      <c r="R236" s="80"/>
      <c r="S236" s="80"/>
      <c r="T236" s="80"/>
      <c r="U236" s="80"/>
      <c r="V236" s="80"/>
      <c r="W236" s="80"/>
      <c r="X236" s="80"/>
      <c r="Y236" s="80"/>
      <c r="Z236" s="80"/>
    </row>
    <row r="237">
      <c r="A237" s="81">
        <v>2724.0</v>
      </c>
      <c r="B237" s="82" t="s">
        <v>583</v>
      </c>
      <c r="C237" s="82" t="s">
        <v>534</v>
      </c>
      <c r="D237" s="84">
        <v>35000.0</v>
      </c>
      <c r="E237" s="84">
        <v>120.0</v>
      </c>
      <c r="F237" s="84">
        <v>140.0</v>
      </c>
      <c r="G237" s="84">
        <v>44313.9</v>
      </c>
      <c r="H237" s="85">
        <v>46072.0</v>
      </c>
      <c r="I237" s="85">
        <v>46212.0</v>
      </c>
      <c r="J237" s="82" t="s">
        <v>540</v>
      </c>
      <c r="K237" s="86">
        <v>1150420.0</v>
      </c>
      <c r="L237" s="84">
        <v>364094.57</v>
      </c>
      <c r="M237" s="80" t="s">
        <v>539</v>
      </c>
      <c r="N237" s="80"/>
      <c r="O237" s="80"/>
      <c r="P237" s="80"/>
      <c r="Q237" s="80"/>
      <c r="R237" s="80"/>
      <c r="S237" s="80"/>
      <c r="T237" s="80"/>
      <c r="U237" s="80"/>
      <c r="V237" s="80"/>
      <c r="W237" s="80"/>
      <c r="X237" s="80"/>
      <c r="Y237" s="80"/>
      <c r="Z237" s="80"/>
    </row>
    <row r="238">
      <c r="A238" s="81">
        <v>2725.0</v>
      </c>
      <c r="B238" s="82" t="s">
        <v>583</v>
      </c>
      <c r="C238" s="82" t="s">
        <v>534</v>
      </c>
      <c r="D238" s="84">
        <v>35000.0</v>
      </c>
      <c r="E238" s="84">
        <v>120.0</v>
      </c>
      <c r="F238" s="84">
        <v>80.0</v>
      </c>
      <c r="G238" s="84">
        <v>19213.8</v>
      </c>
      <c r="H238" s="85">
        <v>46132.0</v>
      </c>
      <c r="I238" s="85">
        <v>46212.0</v>
      </c>
      <c r="J238" s="82" t="s">
        <v>535</v>
      </c>
      <c r="K238" s="86">
        <v>1156759.0</v>
      </c>
      <c r="L238" s="84">
        <v>466661.55</v>
      </c>
      <c r="M238" s="80" t="s">
        <v>547</v>
      </c>
      <c r="N238" s="80"/>
      <c r="O238" s="80"/>
      <c r="P238" s="80"/>
      <c r="Q238" s="80"/>
      <c r="R238" s="80"/>
      <c r="S238" s="80"/>
      <c r="T238" s="80"/>
      <c r="U238" s="80"/>
      <c r="V238" s="80"/>
      <c r="W238" s="80"/>
      <c r="X238" s="80"/>
      <c r="Y238" s="80"/>
      <c r="Z238" s="80"/>
    </row>
    <row r="239">
      <c r="A239" s="81">
        <v>2726.0</v>
      </c>
      <c r="B239" s="82" t="s">
        <v>583</v>
      </c>
      <c r="C239" s="82" t="s">
        <v>534</v>
      </c>
      <c r="D239" s="84">
        <v>35000.0</v>
      </c>
      <c r="E239" s="84">
        <v>120.0</v>
      </c>
      <c r="F239" s="84">
        <v>91.0</v>
      </c>
      <c r="G239" s="84">
        <v>18557.0</v>
      </c>
      <c r="H239" s="85">
        <v>46121.0</v>
      </c>
      <c r="I239" s="85">
        <v>46212.0</v>
      </c>
      <c r="J239" s="82" t="s">
        <v>535</v>
      </c>
      <c r="K239" s="86">
        <v>1155576.0</v>
      </c>
      <c r="L239" s="84">
        <v>431017.17</v>
      </c>
      <c r="M239" s="80" t="s">
        <v>562</v>
      </c>
      <c r="N239" s="80"/>
      <c r="O239" s="80"/>
      <c r="P239" s="80"/>
      <c r="Q239" s="80"/>
      <c r="R239" s="80"/>
      <c r="S239" s="80"/>
      <c r="T239" s="80"/>
      <c r="U239" s="80"/>
      <c r="V239" s="80"/>
      <c r="W239" s="80"/>
      <c r="X239" s="80"/>
      <c r="Y239" s="80"/>
      <c r="Z239" s="80"/>
    </row>
    <row r="240">
      <c r="A240" s="81">
        <v>2727.0</v>
      </c>
      <c r="B240" s="82" t="s">
        <v>583</v>
      </c>
      <c r="C240" s="82" t="s">
        <v>534</v>
      </c>
      <c r="D240" s="84">
        <v>35000.0</v>
      </c>
      <c r="E240" s="84">
        <v>120.0</v>
      </c>
      <c r="F240" s="84">
        <v>90.0</v>
      </c>
      <c r="G240" s="84">
        <v>9770.1</v>
      </c>
      <c r="H240" s="85">
        <v>46122.0</v>
      </c>
      <c r="I240" s="85">
        <v>46212.0</v>
      </c>
      <c r="J240" s="82" t="s">
        <v>535</v>
      </c>
      <c r="K240" s="86">
        <v>1155672.0</v>
      </c>
      <c r="L240" s="84">
        <v>453235.07</v>
      </c>
      <c r="M240" s="80" t="s">
        <v>565</v>
      </c>
      <c r="N240" s="80"/>
      <c r="O240" s="80"/>
      <c r="P240" s="80"/>
      <c r="Q240" s="80"/>
      <c r="R240" s="80"/>
      <c r="S240" s="80"/>
      <c r="T240" s="80"/>
      <c r="U240" s="80"/>
      <c r="V240" s="80"/>
      <c r="W240" s="80"/>
      <c r="X240" s="80"/>
      <c r="Y240" s="80"/>
      <c r="Z240" s="80"/>
    </row>
    <row r="241">
      <c r="A241" s="81">
        <v>2728.0</v>
      </c>
      <c r="B241" s="82" t="s">
        <v>583</v>
      </c>
      <c r="C241" s="82" t="s">
        <v>534</v>
      </c>
      <c r="D241" s="84">
        <v>35000.0</v>
      </c>
      <c r="E241" s="84">
        <v>120.0</v>
      </c>
      <c r="F241" s="84">
        <v>22.0</v>
      </c>
      <c r="G241" s="84">
        <v>7342.9</v>
      </c>
      <c r="H241" s="85">
        <v>46190.0</v>
      </c>
      <c r="I241" s="85">
        <v>46212.0</v>
      </c>
      <c r="J241" s="82" t="s">
        <v>535</v>
      </c>
      <c r="K241" s="86">
        <v>1161847.0</v>
      </c>
      <c r="L241" s="84">
        <v>502037.54</v>
      </c>
      <c r="M241" s="80" t="s">
        <v>539</v>
      </c>
      <c r="N241" s="80"/>
      <c r="O241" s="80"/>
      <c r="P241" s="80"/>
      <c r="Q241" s="80"/>
      <c r="R241" s="80"/>
      <c r="S241" s="80"/>
      <c r="T241" s="80"/>
      <c r="U241" s="80"/>
      <c r="V241" s="80"/>
      <c r="W241" s="80"/>
      <c r="X241" s="80"/>
      <c r="Y241" s="80"/>
      <c r="Z241" s="80"/>
    </row>
    <row r="242">
      <c r="A242" s="81">
        <v>2729.0</v>
      </c>
      <c r="B242" s="82" t="s">
        <v>583</v>
      </c>
      <c r="C242" s="82" t="s">
        <v>534</v>
      </c>
      <c r="D242" s="84">
        <v>35000.0</v>
      </c>
      <c r="E242" s="84">
        <v>120.0</v>
      </c>
      <c r="F242" s="84">
        <v>122.0</v>
      </c>
      <c r="G242" s="84">
        <v>43323.0</v>
      </c>
      <c r="H242" s="85">
        <v>46090.0</v>
      </c>
      <c r="I242" s="85">
        <v>46212.0</v>
      </c>
      <c r="J242" s="82" t="s">
        <v>540</v>
      </c>
      <c r="K242" s="86">
        <v>1152337.0</v>
      </c>
      <c r="L242" s="84">
        <v>420462.32</v>
      </c>
      <c r="M242" s="80" t="s">
        <v>537</v>
      </c>
      <c r="N242" s="80"/>
      <c r="O242" s="80"/>
      <c r="P242" s="80"/>
      <c r="Q242" s="80"/>
      <c r="R242" s="80"/>
      <c r="S242" s="80"/>
      <c r="T242" s="80"/>
      <c r="U242" s="80"/>
      <c r="V242" s="80"/>
      <c r="W242" s="80"/>
      <c r="X242" s="80"/>
      <c r="Y242" s="80"/>
      <c r="Z242" s="80"/>
    </row>
    <row r="243">
      <c r="A243" s="81">
        <v>2730.0</v>
      </c>
      <c r="B243" s="82" t="s">
        <v>583</v>
      </c>
      <c r="C243" s="82" t="s">
        <v>534</v>
      </c>
      <c r="D243" s="84">
        <v>35000.0</v>
      </c>
      <c r="E243" s="84">
        <v>120.0</v>
      </c>
      <c r="F243" s="84">
        <v>28.0</v>
      </c>
      <c r="G243" s="84">
        <v>8359.5</v>
      </c>
      <c r="H243" s="85">
        <v>46184.0</v>
      </c>
      <c r="I243" s="85">
        <v>46212.0</v>
      </c>
      <c r="J243" s="82" t="s">
        <v>535</v>
      </c>
      <c r="K243" s="86">
        <v>1161771.0</v>
      </c>
      <c r="L243" s="84">
        <v>476180.02</v>
      </c>
      <c r="M243" s="80" t="s">
        <v>541</v>
      </c>
      <c r="N243" s="80"/>
      <c r="O243" s="80"/>
      <c r="P243" s="80"/>
      <c r="Q243" s="80"/>
      <c r="R243" s="80"/>
      <c r="S243" s="80"/>
      <c r="T243" s="80"/>
      <c r="U243" s="80"/>
      <c r="V243" s="80"/>
      <c r="W243" s="80"/>
      <c r="X243" s="80"/>
      <c r="Y243" s="80"/>
      <c r="Z243" s="80"/>
    </row>
    <row r="244">
      <c r="A244" s="81">
        <v>2738.0</v>
      </c>
      <c r="B244" s="82" t="s">
        <v>583</v>
      </c>
      <c r="C244" s="82" t="s">
        <v>534</v>
      </c>
      <c r="D244" s="84">
        <v>35000.0</v>
      </c>
      <c r="E244" s="84">
        <v>120.0</v>
      </c>
      <c r="F244" s="84">
        <v>89.0</v>
      </c>
      <c r="G244" s="84">
        <v>31054.1</v>
      </c>
      <c r="H244" s="85">
        <v>46123.0</v>
      </c>
      <c r="I244" s="85">
        <v>46212.0</v>
      </c>
      <c r="J244" s="82" t="s">
        <v>535</v>
      </c>
      <c r="K244" s="86">
        <v>1155830.0</v>
      </c>
      <c r="L244" s="84">
        <v>442968.01</v>
      </c>
      <c r="M244" s="80" t="s">
        <v>547</v>
      </c>
      <c r="N244" s="80"/>
      <c r="O244" s="80"/>
      <c r="P244" s="80"/>
      <c r="Q244" s="80"/>
      <c r="R244" s="80"/>
      <c r="S244" s="80"/>
      <c r="T244" s="80"/>
      <c r="U244" s="80"/>
      <c r="V244" s="80"/>
      <c r="W244" s="80"/>
      <c r="X244" s="80"/>
      <c r="Y244" s="80"/>
      <c r="Z244" s="80"/>
    </row>
    <row r="245">
      <c r="A245" s="81">
        <v>2739.0</v>
      </c>
      <c r="B245" s="82" t="s">
        <v>583</v>
      </c>
      <c r="C245" s="82" t="s">
        <v>534</v>
      </c>
      <c r="D245" s="84">
        <v>35000.0</v>
      </c>
      <c r="E245" s="84">
        <v>120.0</v>
      </c>
      <c r="F245" s="84">
        <v>122.0</v>
      </c>
      <c r="G245" s="84">
        <v>42906.9</v>
      </c>
      <c r="H245" s="85">
        <v>46090.0</v>
      </c>
      <c r="I245" s="85">
        <v>46212.0</v>
      </c>
      <c r="J245" s="82" t="s">
        <v>540</v>
      </c>
      <c r="K245" s="86">
        <v>1152248.0</v>
      </c>
      <c r="L245" s="84">
        <v>386696.96</v>
      </c>
      <c r="M245" s="80" t="s">
        <v>541</v>
      </c>
      <c r="N245" s="80"/>
      <c r="O245" s="80"/>
      <c r="P245" s="80"/>
      <c r="Q245" s="80"/>
      <c r="R245" s="80"/>
      <c r="S245" s="80"/>
      <c r="T245" s="80"/>
      <c r="U245" s="80"/>
      <c r="V245" s="80"/>
      <c r="W245" s="80"/>
      <c r="X245" s="80"/>
      <c r="Y245" s="80"/>
      <c r="Z245" s="80"/>
    </row>
    <row r="246">
      <c r="A246" s="81">
        <v>2740.0</v>
      </c>
      <c r="B246" s="82" t="s">
        <v>561</v>
      </c>
      <c r="C246" s="82" t="s">
        <v>534</v>
      </c>
      <c r="D246" s="84">
        <v>30000.0</v>
      </c>
      <c r="E246" s="84">
        <v>120.0</v>
      </c>
      <c r="F246" s="84">
        <v>118.0</v>
      </c>
      <c r="G246" s="84">
        <v>27824.0</v>
      </c>
      <c r="H246" s="85">
        <v>46094.0</v>
      </c>
      <c r="I246" s="85">
        <v>46212.0</v>
      </c>
      <c r="J246" s="82" t="s">
        <v>535</v>
      </c>
      <c r="K246" s="86">
        <v>1153224.0</v>
      </c>
      <c r="L246" s="84">
        <v>476853.59</v>
      </c>
      <c r="M246" s="80" t="s">
        <v>551</v>
      </c>
      <c r="N246" s="80"/>
      <c r="O246" s="80"/>
      <c r="P246" s="80"/>
      <c r="Q246" s="80"/>
      <c r="R246" s="80"/>
      <c r="S246" s="80"/>
      <c r="T246" s="80"/>
      <c r="U246" s="80"/>
      <c r="V246" s="80"/>
      <c r="W246" s="80"/>
      <c r="X246" s="80"/>
      <c r="Y246" s="80"/>
      <c r="Z246" s="80"/>
    </row>
    <row r="247">
      <c r="A247" s="81">
        <v>2741.0</v>
      </c>
      <c r="B247" s="82" t="s">
        <v>561</v>
      </c>
      <c r="C247" s="82" t="s">
        <v>534</v>
      </c>
      <c r="D247" s="84">
        <v>30000.0</v>
      </c>
      <c r="E247" s="84">
        <v>120.0</v>
      </c>
      <c r="F247" s="84">
        <v>63.0</v>
      </c>
      <c r="G247" s="84">
        <v>14767.1</v>
      </c>
      <c r="H247" s="85">
        <v>46149.0</v>
      </c>
      <c r="I247" s="85">
        <v>46212.0</v>
      </c>
      <c r="J247" s="82" t="s">
        <v>535</v>
      </c>
      <c r="K247" s="86">
        <v>1158740.0</v>
      </c>
      <c r="L247" s="84">
        <v>492344.27</v>
      </c>
      <c r="M247" s="80" t="s">
        <v>539</v>
      </c>
      <c r="N247" s="80"/>
      <c r="O247" s="80"/>
      <c r="P247" s="80"/>
      <c r="Q247" s="80"/>
      <c r="R247" s="80"/>
      <c r="S247" s="80"/>
      <c r="T247" s="80"/>
      <c r="U247" s="80"/>
      <c r="V247" s="80"/>
      <c r="W247" s="80"/>
      <c r="X247" s="80"/>
      <c r="Y247" s="80"/>
      <c r="Z247" s="80"/>
    </row>
    <row r="248">
      <c r="A248" s="81">
        <v>2742.0</v>
      </c>
      <c r="B248" s="82" t="s">
        <v>561</v>
      </c>
      <c r="C248" s="82" t="s">
        <v>534</v>
      </c>
      <c r="D248" s="84">
        <v>30000.0</v>
      </c>
      <c r="E248" s="84">
        <v>120.0</v>
      </c>
      <c r="F248" s="84">
        <v>103.0</v>
      </c>
      <c r="G248" s="84">
        <v>34473.3</v>
      </c>
      <c r="H248" s="85">
        <v>46109.0</v>
      </c>
      <c r="I248" s="85">
        <v>46212.0</v>
      </c>
      <c r="J248" s="82" t="s">
        <v>540</v>
      </c>
      <c r="K248" s="86">
        <v>1154439.0</v>
      </c>
      <c r="L248" s="84">
        <v>468530.59</v>
      </c>
      <c r="M248" s="80" t="s">
        <v>541</v>
      </c>
      <c r="N248" s="80"/>
      <c r="O248" s="80"/>
      <c r="P248" s="80"/>
      <c r="Q248" s="80"/>
      <c r="R248" s="80"/>
      <c r="S248" s="80"/>
      <c r="T248" s="80"/>
      <c r="U248" s="80"/>
      <c r="V248" s="80"/>
      <c r="W248" s="80"/>
      <c r="X248" s="80"/>
      <c r="Y248" s="80"/>
      <c r="Z248" s="80"/>
    </row>
    <row r="249">
      <c r="A249" s="81">
        <v>2743.0</v>
      </c>
      <c r="B249" s="82" t="s">
        <v>561</v>
      </c>
      <c r="C249" s="82" t="s">
        <v>534</v>
      </c>
      <c r="D249" s="84">
        <v>30000.0</v>
      </c>
      <c r="E249" s="84">
        <v>120.0</v>
      </c>
      <c r="F249" s="84">
        <v>1.0</v>
      </c>
      <c r="G249" s="84">
        <v>0.0</v>
      </c>
      <c r="H249" s="85">
        <v>46211.0</v>
      </c>
      <c r="I249" s="85">
        <v>46212.0</v>
      </c>
      <c r="J249" s="82" t="s">
        <v>535</v>
      </c>
      <c r="K249" s="86">
        <v>1162179.0</v>
      </c>
      <c r="L249" s="84">
        <v>454950.59</v>
      </c>
      <c r="M249" s="80" t="s">
        <v>541</v>
      </c>
      <c r="N249" s="80"/>
      <c r="O249" s="80"/>
      <c r="P249" s="80"/>
      <c r="Q249" s="80"/>
      <c r="R249" s="80"/>
      <c r="S249" s="80"/>
      <c r="T249" s="80"/>
      <c r="U249" s="80"/>
      <c r="V249" s="80"/>
      <c r="W249" s="80"/>
      <c r="X249" s="80"/>
      <c r="Y249" s="80"/>
      <c r="Z249" s="80"/>
    </row>
    <row r="250">
      <c r="A250" s="81">
        <v>2744.0</v>
      </c>
      <c r="B250" s="82" t="s">
        <v>583</v>
      </c>
      <c r="C250" s="82" t="s">
        <v>534</v>
      </c>
      <c r="D250" s="84">
        <v>35000.0</v>
      </c>
      <c r="E250" s="84">
        <v>120.0</v>
      </c>
      <c r="F250" s="84">
        <v>23.0</v>
      </c>
      <c r="G250" s="84">
        <v>8296.0</v>
      </c>
      <c r="H250" s="85">
        <v>46189.0</v>
      </c>
      <c r="I250" s="85">
        <v>46212.0</v>
      </c>
      <c r="J250" s="82" t="s">
        <v>535</v>
      </c>
      <c r="K250" s="86">
        <v>1161818.0</v>
      </c>
      <c r="L250" s="84">
        <v>429032.72</v>
      </c>
      <c r="M250" s="80" t="s">
        <v>537</v>
      </c>
      <c r="N250" s="80"/>
      <c r="O250" s="80"/>
      <c r="P250" s="80"/>
      <c r="Q250" s="80"/>
      <c r="R250" s="80"/>
      <c r="S250" s="80"/>
      <c r="T250" s="80"/>
      <c r="U250" s="80"/>
      <c r="V250" s="80"/>
      <c r="W250" s="80"/>
      <c r="X250" s="80"/>
      <c r="Y250" s="80"/>
      <c r="Z250" s="80"/>
    </row>
    <row r="251">
      <c r="A251" s="81">
        <v>2745.0</v>
      </c>
      <c r="B251" s="82" t="s">
        <v>583</v>
      </c>
      <c r="C251" s="82" t="s">
        <v>534</v>
      </c>
      <c r="D251" s="84">
        <v>35000.0</v>
      </c>
      <c r="E251" s="84">
        <v>120.0</v>
      </c>
      <c r="F251" s="84">
        <v>77.0</v>
      </c>
      <c r="G251" s="84">
        <v>26893.5</v>
      </c>
      <c r="H251" s="85">
        <v>46135.0</v>
      </c>
      <c r="I251" s="85">
        <v>46212.0</v>
      </c>
      <c r="J251" s="82" t="s">
        <v>535</v>
      </c>
      <c r="K251" s="86">
        <v>1157123.0</v>
      </c>
      <c r="L251" s="84">
        <v>442913.23</v>
      </c>
      <c r="M251" s="80" t="s">
        <v>584</v>
      </c>
      <c r="N251" s="80"/>
      <c r="O251" s="80"/>
      <c r="P251" s="80"/>
      <c r="Q251" s="80"/>
      <c r="R251" s="80"/>
      <c r="S251" s="80"/>
      <c r="T251" s="80"/>
      <c r="U251" s="80"/>
      <c r="V251" s="80"/>
      <c r="W251" s="80"/>
      <c r="X251" s="80"/>
      <c r="Y251" s="80"/>
      <c r="Z251" s="80"/>
    </row>
    <row r="252">
      <c r="A252" s="81">
        <v>2746.0</v>
      </c>
      <c r="B252" s="82" t="s">
        <v>583</v>
      </c>
      <c r="C252" s="82" t="s">
        <v>534</v>
      </c>
      <c r="D252" s="84">
        <v>35000.0</v>
      </c>
      <c r="E252" s="84">
        <v>120.0</v>
      </c>
      <c r="F252" s="84">
        <v>84.0</v>
      </c>
      <c r="G252" s="84">
        <v>26662.3</v>
      </c>
      <c r="H252" s="85">
        <v>46128.0</v>
      </c>
      <c r="I252" s="85">
        <v>46212.0</v>
      </c>
      <c r="J252" s="82" t="s">
        <v>535</v>
      </c>
      <c r="K252" s="86">
        <v>1156317.0</v>
      </c>
      <c r="L252" s="84">
        <v>413138.51</v>
      </c>
      <c r="M252" s="80" t="s">
        <v>549</v>
      </c>
      <c r="N252" s="80"/>
      <c r="O252" s="80"/>
      <c r="P252" s="80"/>
      <c r="Q252" s="80"/>
      <c r="R252" s="80"/>
      <c r="S252" s="80"/>
      <c r="T252" s="80"/>
      <c r="U252" s="80"/>
      <c r="V252" s="80"/>
      <c r="W252" s="80"/>
      <c r="X252" s="80"/>
      <c r="Y252" s="80"/>
      <c r="Z252" s="80"/>
    </row>
    <row r="253">
      <c r="A253" s="81">
        <v>2747.0</v>
      </c>
      <c r="B253" s="82" t="s">
        <v>583</v>
      </c>
      <c r="C253" s="82" t="s">
        <v>534</v>
      </c>
      <c r="D253" s="84">
        <v>35000.0</v>
      </c>
      <c r="E253" s="84">
        <v>120.0</v>
      </c>
      <c r="F253" s="84">
        <v>106.0</v>
      </c>
      <c r="G253" s="84">
        <v>35825.6</v>
      </c>
      <c r="H253" s="85">
        <v>46106.0</v>
      </c>
      <c r="I253" s="85">
        <v>46212.0</v>
      </c>
      <c r="J253" s="82" t="s">
        <v>540</v>
      </c>
      <c r="K253" s="86">
        <v>1154273.0</v>
      </c>
      <c r="L253" s="84">
        <v>376898.54</v>
      </c>
      <c r="M253" s="80" t="s">
        <v>563</v>
      </c>
      <c r="N253" s="80"/>
      <c r="O253" s="80"/>
      <c r="P253" s="80"/>
      <c r="Q253" s="80"/>
      <c r="R253" s="80"/>
      <c r="S253" s="80"/>
      <c r="T253" s="80"/>
      <c r="U253" s="80"/>
      <c r="V253" s="80"/>
      <c r="W253" s="80"/>
      <c r="X253" s="80"/>
      <c r="Y253" s="80"/>
      <c r="Z253" s="80"/>
    </row>
    <row r="254">
      <c r="A254" s="81">
        <v>2748.0</v>
      </c>
      <c r="B254" s="82" t="s">
        <v>583</v>
      </c>
      <c r="C254" s="82" t="s">
        <v>534</v>
      </c>
      <c r="D254" s="84">
        <v>35000.0</v>
      </c>
      <c r="E254" s="84">
        <v>120.0</v>
      </c>
      <c r="F254" s="84">
        <v>5.0</v>
      </c>
      <c r="G254" s="84">
        <v>1448.0</v>
      </c>
      <c r="H254" s="85">
        <v>46207.0</v>
      </c>
      <c r="I254" s="85">
        <v>46212.0</v>
      </c>
      <c r="J254" s="82" t="s">
        <v>535</v>
      </c>
      <c r="K254" s="86">
        <v>1162125.0</v>
      </c>
      <c r="L254" s="84">
        <v>459487.87</v>
      </c>
      <c r="M254" s="80" t="s">
        <v>537</v>
      </c>
      <c r="N254" s="80"/>
      <c r="O254" s="80"/>
      <c r="P254" s="80"/>
      <c r="Q254" s="80"/>
      <c r="R254" s="80"/>
      <c r="S254" s="80"/>
      <c r="T254" s="80"/>
      <c r="U254" s="80"/>
      <c r="V254" s="80"/>
      <c r="W254" s="80"/>
      <c r="X254" s="80"/>
      <c r="Y254" s="80"/>
      <c r="Z254" s="80"/>
    </row>
    <row r="255">
      <c r="A255" s="81">
        <v>2749.0</v>
      </c>
      <c r="B255" s="82" t="s">
        <v>583</v>
      </c>
      <c r="C255" s="82" t="s">
        <v>534</v>
      </c>
      <c r="D255" s="84">
        <v>35000.0</v>
      </c>
      <c r="E255" s="84">
        <v>120.0</v>
      </c>
      <c r="F255" s="84">
        <v>106.0</v>
      </c>
      <c r="G255" s="84">
        <v>36278.2</v>
      </c>
      <c r="H255" s="85">
        <v>46106.0</v>
      </c>
      <c r="I255" s="85">
        <v>46212.0</v>
      </c>
      <c r="J255" s="82" t="s">
        <v>540</v>
      </c>
      <c r="K255" s="86">
        <v>1154298.0</v>
      </c>
      <c r="L255" s="84">
        <v>387043.47</v>
      </c>
      <c r="M255" s="80" t="s">
        <v>547</v>
      </c>
      <c r="N255" s="80"/>
      <c r="O255" s="80"/>
      <c r="P255" s="80"/>
      <c r="Q255" s="80"/>
      <c r="R255" s="80"/>
      <c r="S255" s="80"/>
      <c r="T255" s="80"/>
      <c r="U255" s="80"/>
      <c r="V255" s="80"/>
      <c r="W255" s="80"/>
      <c r="X255" s="80"/>
      <c r="Y255" s="80"/>
      <c r="Z255" s="80"/>
    </row>
    <row r="256">
      <c r="A256" s="81">
        <v>2750.0</v>
      </c>
      <c r="B256" s="82" t="s">
        <v>583</v>
      </c>
      <c r="C256" s="82" t="s">
        <v>534</v>
      </c>
      <c r="D256" s="84">
        <v>35000.0</v>
      </c>
      <c r="E256" s="84">
        <v>120.0</v>
      </c>
      <c r="F256" s="84">
        <v>120.0</v>
      </c>
      <c r="G256" s="84">
        <v>42399.4</v>
      </c>
      <c r="H256" s="85">
        <v>46092.0</v>
      </c>
      <c r="I256" s="85">
        <v>46212.0</v>
      </c>
      <c r="J256" s="82" t="s">
        <v>540</v>
      </c>
      <c r="K256" s="86">
        <v>1152879.0</v>
      </c>
      <c r="L256" s="84">
        <v>412720.9</v>
      </c>
      <c r="M256" s="80" t="s">
        <v>541</v>
      </c>
      <c r="N256" s="80"/>
      <c r="O256" s="80"/>
      <c r="P256" s="80"/>
      <c r="Q256" s="80"/>
      <c r="R256" s="80"/>
      <c r="S256" s="80"/>
      <c r="T256" s="80"/>
      <c r="U256" s="80"/>
      <c r="V256" s="80"/>
      <c r="W256" s="80"/>
      <c r="X256" s="80"/>
      <c r="Y256" s="80"/>
      <c r="Z256" s="80"/>
    </row>
    <row r="257">
      <c r="A257" s="81">
        <v>2751.0</v>
      </c>
      <c r="B257" s="82" t="s">
        <v>583</v>
      </c>
      <c r="C257" s="82" t="s">
        <v>534</v>
      </c>
      <c r="D257" s="84">
        <v>35000.0</v>
      </c>
      <c r="E257" s="84">
        <v>120.0</v>
      </c>
      <c r="F257" s="84">
        <v>77.0</v>
      </c>
      <c r="G257" s="84">
        <v>25293.1</v>
      </c>
      <c r="H257" s="85">
        <v>46135.0</v>
      </c>
      <c r="I257" s="85">
        <v>46212.0</v>
      </c>
      <c r="J257" s="82" t="s">
        <v>535</v>
      </c>
      <c r="K257" s="86">
        <v>1157226.0</v>
      </c>
      <c r="L257" s="84">
        <v>385355.25</v>
      </c>
      <c r="M257" s="80" t="s">
        <v>539</v>
      </c>
      <c r="N257" s="80"/>
      <c r="O257" s="80"/>
      <c r="P257" s="80"/>
      <c r="Q257" s="80"/>
      <c r="R257" s="80"/>
      <c r="S257" s="80"/>
      <c r="T257" s="80"/>
      <c r="U257" s="80"/>
      <c r="V257" s="80"/>
      <c r="W257" s="80"/>
      <c r="X257" s="80"/>
      <c r="Y257" s="80"/>
      <c r="Z257" s="80"/>
    </row>
    <row r="258">
      <c r="A258" s="81">
        <v>2752.0</v>
      </c>
      <c r="B258" s="82" t="s">
        <v>583</v>
      </c>
      <c r="C258" s="82" t="s">
        <v>534</v>
      </c>
      <c r="D258" s="84">
        <v>35000.0</v>
      </c>
      <c r="E258" s="84">
        <v>120.0</v>
      </c>
      <c r="F258" s="84">
        <v>62.0</v>
      </c>
      <c r="G258" s="84">
        <v>21185.7</v>
      </c>
      <c r="H258" s="85">
        <v>46150.0</v>
      </c>
      <c r="I258" s="85">
        <v>46212.0</v>
      </c>
      <c r="J258" s="82" t="s">
        <v>535</v>
      </c>
      <c r="K258" s="86">
        <v>1158935.0</v>
      </c>
      <c r="L258" s="84">
        <v>388230.81</v>
      </c>
      <c r="M258" s="80" t="s">
        <v>549</v>
      </c>
      <c r="N258" s="80"/>
      <c r="O258" s="80"/>
      <c r="P258" s="80"/>
      <c r="Q258" s="80"/>
      <c r="R258" s="80"/>
      <c r="S258" s="80"/>
      <c r="T258" s="80"/>
      <c r="U258" s="80"/>
      <c r="V258" s="80"/>
      <c r="W258" s="80"/>
      <c r="X258" s="80"/>
      <c r="Y258" s="80"/>
      <c r="Z258" s="80"/>
    </row>
    <row r="259">
      <c r="A259" s="81">
        <v>2753.0</v>
      </c>
      <c r="B259" s="82" t="s">
        <v>561</v>
      </c>
      <c r="C259" s="82" t="s">
        <v>534</v>
      </c>
      <c r="D259" s="84">
        <v>30000.0</v>
      </c>
      <c r="E259" s="84">
        <v>120.0</v>
      </c>
      <c r="F259" s="84">
        <v>49.0</v>
      </c>
      <c r="G259" s="84">
        <v>17492.2</v>
      </c>
      <c r="H259" s="85">
        <v>46163.0</v>
      </c>
      <c r="I259" s="85">
        <v>46212.0</v>
      </c>
      <c r="J259" s="82" t="s">
        <v>535</v>
      </c>
      <c r="K259" s="86">
        <v>1160407.0</v>
      </c>
      <c r="L259" s="84">
        <v>239298.26</v>
      </c>
      <c r="M259" s="80" t="s">
        <v>536</v>
      </c>
      <c r="N259" s="80"/>
      <c r="O259" s="80"/>
      <c r="P259" s="80"/>
      <c r="Q259" s="80"/>
      <c r="R259" s="80"/>
      <c r="S259" s="80"/>
      <c r="T259" s="80"/>
      <c r="U259" s="80"/>
      <c r="V259" s="80"/>
      <c r="W259" s="80"/>
      <c r="X259" s="80"/>
      <c r="Y259" s="80"/>
      <c r="Z259" s="80"/>
    </row>
    <row r="260">
      <c r="A260" s="81">
        <v>2754.0</v>
      </c>
      <c r="B260" s="82" t="s">
        <v>561</v>
      </c>
      <c r="C260" s="82" t="s">
        <v>534</v>
      </c>
      <c r="D260" s="84">
        <v>30000.0</v>
      </c>
      <c r="E260" s="84">
        <v>120.0</v>
      </c>
      <c r="F260" s="84">
        <v>87.0</v>
      </c>
      <c r="G260" s="84">
        <v>29284.9</v>
      </c>
      <c r="H260" s="85">
        <v>46125.0</v>
      </c>
      <c r="I260" s="85">
        <v>46212.0</v>
      </c>
      <c r="J260" s="82" t="s">
        <v>535</v>
      </c>
      <c r="K260" s="86">
        <v>1155856.0</v>
      </c>
      <c r="L260" s="84">
        <v>263876.17</v>
      </c>
      <c r="M260" s="80" t="s">
        <v>550</v>
      </c>
      <c r="N260" s="80"/>
      <c r="O260" s="80"/>
      <c r="P260" s="80"/>
      <c r="Q260" s="80"/>
      <c r="R260" s="80"/>
      <c r="S260" s="80"/>
      <c r="T260" s="80"/>
      <c r="U260" s="80"/>
      <c r="V260" s="80"/>
      <c r="W260" s="80"/>
      <c r="X260" s="80"/>
      <c r="Y260" s="80"/>
      <c r="Z260" s="80"/>
    </row>
    <row r="261">
      <c r="A261" s="81">
        <v>2755.0</v>
      </c>
      <c r="B261" s="82" t="s">
        <v>561</v>
      </c>
      <c r="C261" s="82" t="s">
        <v>534</v>
      </c>
      <c r="D261" s="84">
        <v>30000.0</v>
      </c>
      <c r="E261" s="84">
        <v>120.0</v>
      </c>
      <c r="F261" s="84">
        <v>140.0</v>
      </c>
      <c r="G261" s="84">
        <v>43045.5</v>
      </c>
      <c r="H261" s="85">
        <v>46072.0</v>
      </c>
      <c r="I261" s="85">
        <v>46212.0</v>
      </c>
      <c r="J261" s="82" t="s">
        <v>540</v>
      </c>
      <c r="K261" s="86">
        <v>1150409.0</v>
      </c>
      <c r="L261" s="84">
        <v>265722.31</v>
      </c>
      <c r="M261" s="80" t="s">
        <v>537</v>
      </c>
      <c r="N261" s="80"/>
      <c r="O261" s="80"/>
      <c r="P261" s="80"/>
      <c r="Q261" s="80"/>
      <c r="R261" s="80"/>
      <c r="S261" s="80"/>
      <c r="T261" s="80"/>
      <c r="U261" s="80"/>
      <c r="V261" s="80"/>
      <c r="W261" s="80"/>
      <c r="X261" s="80"/>
      <c r="Y261" s="80"/>
      <c r="Z261" s="80"/>
    </row>
    <row r="262">
      <c r="A262" s="81">
        <v>2756.0</v>
      </c>
      <c r="B262" s="82" t="s">
        <v>561</v>
      </c>
      <c r="C262" s="82" t="s">
        <v>534</v>
      </c>
      <c r="D262" s="84">
        <v>30000.0</v>
      </c>
      <c r="E262" s="84">
        <v>120.0</v>
      </c>
      <c r="F262" s="84">
        <v>141.0</v>
      </c>
      <c r="G262" s="84">
        <v>46708.2</v>
      </c>
      <c r="H262" s="85">
        <v>46071.0</v>
      </c>
      <c r="I262" s="85">
        <v>46212.0</v>
      </c>
      <c r="J262" s="82" t="s">
        <v>540</v>
      </c>
      <c r="K262" s="86">
        <v>1150234.0</v>
      </c>
      <c r="L262" s="84">
        <v>256003.82</v>
      </c>
      <c r="M262" s="80" t="s">
        <v>536</v>
      </c>
      <c r="N262" s="80"/>
      <c r="O262" s="80"/>
      <c r="P262" s="80"/>
      <c r="Q262" s="80"/>
      <c r="R262" s="80"/>
      <c r="S262" s="80"/>
      <c r="T262" s="80"/>
      <c r="U262" s="80"/>
      <c r="V262" s="80"/>
      <c r="W262" s="80"/>
      <c r="X262" s="80"/>
      <c r="Y262" s="80"/>
      <c r="Z262" s="80"/>
    </row>
    <row r="263">
      <c r="A263" s="81">
        <v>2757.0</v>
      </c>
      <c r="B263" s="82" t="s">
        <v>561</v>
      </c>
      <c r="C263" s="82" t="s">
        <v>534</v>
      </c>
      <c r="D263" s="84">
        <v>30000.0</v>
      </c>
      <c r="E263" s="84">
        <v>120.0</v>
      </c>
      <c r="F263" s="84">
        <v>72.0</v>
      </c>
      <c r="G263" s="84">
        <v>15820.3</v>
      </c>
      <c r="H263" s="85">
        <v>46140.0</v>
      </c>
      <c r="I263" s="85">
        <v>46212.0</v>
      </c>
      <c r="J263" s="82" t="s">
        <v>535</v>
      </c>
      <c r="K263" s="86">
        <v>1157303.0</v>
      </c>
      <c r="L263" s="84">
        <v>297697.07</v>
      </c>
      <c r="M263" s="80" t="s">
        <v>539</v>
      </c>
      <c r="N263" s="80"/>
      <c r="O263" s="80"/>
      <c r="P263" s="80"/>
      <c r="Q263" s="80"/>
      <c r="R263" s="80"/>
      <c r="S263" s="80"/>
      <c r="T263" s="80"/>
      <c r="U263" s="80"/>
      <c r="V263" s="80"/>
      <c r="W263" s="80"/>
      <c r="X263" s="80"/>
      <c r="Y263" s="80"/>
      <c r="Z263" s="80"/>
    </row>
    <row r="264">
      <c r="A264" s="81">
        <v>2758.0</v>
      </c>
      <c r="B264" s="82" t="s">
        <v>561</v>
      </c>
      <c r="C264" s="82" t="s">
        <v>534</v>
      </c>
      <c r="D264" s="84">
        <v>30000.0</v>
      </c>
      <c r="E264" s="84">
        <v>120.0</v>
      </c>
      <c r="F264" s="84">
        <v>100.0</v>
      </c>
      <c r="G264" s="84">
        <v>30092.3</v>
      </c>
      <c r="H264" s="85">
        <v>46112.0</v>
      </c>
      <c r="I264" s="85">
        <v>46212.0</v>
      </c>
      <c r="J264" s="82" t="s">
        <v>540</v>
      </c>
      <c r="K264" s="86">
        <v>1154739.0</v>
      </c>
      <c r="L264" s="84">
        <v>270823.96</v>
      </c>
      <c r="M264" s="80" t="s">
        <v>537</v>
      </c>
      <c r="N264" s="80"/>
      <c r="O264" s="80"/>
      <c r="P264" s="80"/>
      <c r="Q264" s="80"/>
      <c r="R264" s="80"/>
      <c r="S264" s="80"/>
      <c r="T264" s="80"/>
      <c r="U264" s="80"/>
      <c r="V264" s="80"/>
      <c r="W264" s="80"/>
      <c r="X264" s="80"/>
      <c r="Y264" s="80"/>
      <c r="Z264" s="80"/>
    </row>
    <row r="265">
      <c r="A265" s="81">
        <v>2759.0</v>
      </c>
      <c r="B265" s="82" t="s">
        <v>561</v>
      </c>
      <c r="C265" s="82" t="s">
        <v>534</v>
      </c>
      <c r="D265" s="84">
        <v>30000.0</v>
      </c>
      <c r="E265" s="84">
        <v>120.0</v>
      </c>
      <c r="F265" s="84">
        <v>78.0</v>
      </c>
      <c r="G265" s="84">
        <v>20788.0</v>
      </c>
      <c r="H265" s="85">
        <v>46134.0</v>
      </c>
      <c r="I265" s="85">
        <v>46212.0</v>
      </c>
      <c r="J265" s="82" t="s">
        <v>535</v>
      </c>
      <c r="K265" s="86">
        <v>1156990.0</v>
      </c>
      <c r="L265" s="84">
        <v>435891.6</v>
      </c>
      <c r="M265" s="80" t="s">
        <v>539</v>
      </c>
      <c r="N265" s="80"/>
      <c r="O265" s="80"/>
      <c r="P265" s="80"/>
      <c r="Q265" s="80"/>
      <c r="R265" s="80"/>
      <c r="S265" s="80"/>
      <c r="T265" s="80"/>
      <c r="U265" s="80"/>
      <c r="V265" s="80"/>
      <c r="W265" s="80"/>
      <c r="X265" s="80"/>
      <c r="Y265" s="80"/>
      <c r="Z265" s="80"/>
    </row>
    <row r="266">
      <c r="A266" s="81">
        <v>2760.0</v>
      </c>
      <c r="B266" s="82" t="s">
        <v>561</v>
      </c>
      <c r="C266" s="82" t="s">
        <v>534</v>
      </c>
      <c r="D266" s="84">
        <v>30000.0</v>
      </c>
      <c r="E266" s="84">
        <v>120.0</v>
      </c>
      <c r="F266" s="84">
        <v>37.0</v>
      </c>
      <c r="G266" s="84">
        <v>10478.8</v>
      </c>
      <c r="H266" s="85">
        <v>46175.0</v>
      </c>
      <c r="I266" s="85">
        <v>46212.0</v>
      </c>
      <c r="J266" s="82" t="s">
        <v>535</v>
      </c>
      <c r="K266" s="86">
        <v>1161559.0</v>
      </c>
      <c r="L266" s="84">
        <v>353656.44</v>
      </c>
      <c r="M266" s="80" t="s">
        <v>549</v>
      </c>
      <c r="N266" s="80"/>
      <c r="O266" s="80"/>
      <c r="P266" s="80"/>
      <c r="Q266" s="80"/>
      <c r="R266" s="80"/>
      <c r="S266" s="80"/>
      <c r="T266" s="80"/>
      <c r="U266" s="80"/>
      <c r="V266" s="80"/>
      <c r="W266" s="80"/>
      <c r="X266" s="80"/>
      <c r="Y266" s="80"/>
      <c r="Z266" s="80"/>
    </row>
    <row r="267">
      <c r="A267" s="81">
        <v>2761.0</v>
      </c>
      <c r="B267" s="82" t="s">
        <v>561</v>
      </c>
      <c r="C267" s="82" t="s">
        <v>534</v>
      </c>
      <c r="D267" s="84">
        <v>30000.0</v>
      </c>
      <c r="E267" s="84">
        <v>120.0</v>
      </c>
      <c r="F267" s="84">
        <v>79.0</v>
      </c>
      <c r="G267" s="84">
        <v>16894.2</v>
      </c>
      <c r="H267" s="85">
        <v>46133.0</v>
      </c>
      <c r="I267" s="85">
        <v>46212.0</v>
      </c>
      <c r="J267" s="82" t="s">
        <v>535</v>
      </c>
      <c r="K267" s="86">
        <v>1156858.0</v>
      </c>
      <c r="L267" s="84">
        <v>462731.45</v>
      </c>
      <c r="M267" s="80" t="s">
        <v>550</v>
      </c>
      <c r="N267" s="80"/>
      <c r="O267" s="80"/>
      <c r="P267" s="80"/>
      <c r="Q267" s="80"/>
      <c r="R267" s="80"/>
      <c r="S267" s="80"/>
      <c r="T267" s="80"/>
      <c r="U267" s="80"/>
      <c r="V267" s="80"/>
      <c r="W267" s="80"/>
      <c r="X267" s="80"/>
      <c r="Y267" s="80"/>
      <c r="Z267" s="80"/>
    </row>
    <row r="268">
      <c r="A268" s="81">
        <v>2779.0</v>
      </c>
      <c r="B268" s="82" t="s">
        <v>533</v>
      </c>
      <c r="C268" s="82" t="s">
        <v>536</v>
      </c>
      <c r="D268" s="84">
        <v>30000.0</v>
      </c>
      <c r="E268" s="84">
        <v>120.0</v>
      </c>
      <c r="F268" s="84">
        <v>51.0</v>
      </c>
      <c r="G268" s="84">
        <v>17936.7</v>
      </c>
      <c r="H268" s="85">
        <v>46161.0</v>
      </c>
      <c r="I268" s="85">
        <v>46212.0</v>
      </c>
      <c r="J268" s="82" t="s">
        <v>535</v>
      </c>
      <c r="K268" s="86">
        <v>1160341.0</v>
      </c>
      <c r="L268" s="84">
        <v>922916.16</v>
      </c>
      <c r="M268" s="80" t="s">
        <v>543</v>
      </c>
      <c r="N268" s="80"/>
      <c r="O268" s="80"/>
      <c r="P268" s="80"/>
      <c r="Q268" s="80"/>
      <c r="R268" s="80"/>
      <c r="S268" s="80"/>
      <c r="T268" s="80"/>
      <c r="U268" s="80"/>
      <c r="V268" s="80"/>
      <c r="W268" s="80"/>
      <c r="X268" s="80"/>
      <c r="Y268" s="80"/>
      <c r="Z268" s="80"/>
    </row>
    <row r="269">
      <c r="A269" s="81">
        <v>2832.0</v>
      </c>
      <c r="B269" s="82" t="s">
        <v>561</v>
      </c>
      <c r="C269" s="82" t="s">
        <v>534</v>
      </c>
      <c r="D269" s="84">
        <v>30000.0</v>
      </c>
      <c r="E269" s="84">
        <v>120.0</v>
      </c>
      <c r="F269" s="84">
        <v>22.0</v>
      </c>
      <c r="G269" s="84">
        <v>5176.1</v>
      </c>
      <c r="H269" s="85">
        <v>46190.0</v>
      </c>
      <c r="I269" s="85">
        <v>46212.0</v>
      </c>
      <c r="J269" s="82" t="s">
        <v>535</v>
      </c>
      <c r="K269" s="86">
        <v>1161845.0</v>
      </c>
      <c r="L269" s="84">
        <v>372466.55</v>
      </c>
      <c r="M269" s="80" t="s">
        <v>549</v>
      </c>
      <c r="N269" s="80"/>
      <c r="O269" s="80"/>
      <c r="P269" s="80"/>
      <c r="Q269" s="80"/>
      <c r="R269" s="80"/>
      <c r="S269" s="80"/>
      <c r="T269" s="80"/>
      <c r="U269" s="80"/>
      <c r="V269" s="80"/>
      <c r="W269" s="80"/>
      <c r="X269" s="80"/>
      <c r="Y269" s="80"/>
      <c r="Z269" s="80"/>
    </row>
    <row r="270">
      <c r="A270" s="81">
        <v>2836.0</v>
      </c>
      <c r="B270" s="82" t="s">
        <v>533</v>
      </c>
      <c r="C270" s="82" t="s">
        <v>534</v>
      </c>
      <c r="D270" s="84">
        <v>30000.0</v>
      </c>
      <c r="E270" s="84">
        <v>120.0</v>
      </c>
      <c r="F270" s="84">
        <v>125.0</v>
      </c>
      <c r="G270" s="84">
        <v>39131.7</v>
      </c>
      <c r="H270" s="85">
        <v>46087.0</v>
      </c>
      <c r="I270" s="85">
        <v>46212.0</v>
      </c>
      <c r="J270" s="82" t="s">
        <v>540</v>
      </c>
      <c r="K270" s="86">
        <v>1152251.0</v>
      </c>
      <c r="L270" s="84">
        <v>866216.25</v>
      </c>
      <c r="M270" s="80" t="s">
        <v>549</v>
      </c>
      <c r="N270" s="80"/>
      <c r="O270" s="80"/>
      <c r="P270" s="80"/>
      <c r="Q270" s="80"/>
      <c r="R270" s="80"/>
      <c r="S270" s="80"/>
      <c r="T270" s="80"/>
      <c r="U270" s="80"/>
      <c r="V270" s="80"/>
      <c r="W270" s="80"/>
      <c r="X270" s="80"/>
      <c r="Y270" s="80"/>
      <c r="Z270" s="80"/>
    </row>
    <row r="271">
      <c r="A271" s="81">
        <v>2838.0</v>
      </c>
      <c r="B271" s="82" t="s">
        <v>533</v>
      </c>
      <c r="C271" s="82" t="s">
        <v>534</v>
      </c>
      <c r="D271" s="84">
        <v>30000.0</v>
      </c>
      <c r="E271" s="84">
        <v>120.0</v>
      </c>
      <c r="F271" s="84">
        <v>113.0</v>
      </c>
      <c r="G271" s="84">
        <v>27735.4</v>
      </c>
      <c r="H271" s="85">
        <v>46099.0</v>
      </c>
      <c r="I271" s="85">
        <v>46212.0</v>
      </c>
      <c r="J271" s="82" t="s">
        <v>535</v>
      </c>
      <c r="K271" s="86">
        <v>1153679.0</v>
      </c>
      <c r="L271" s="84">
        <v>820137.99</v>
      </c>
      <c r="M271" s="80" t="s">
        <v>585</v>
      </c>
      <c r="N271" s="80"/>
      <c r="O271" s="80"/>
      <c r="P271" s="80"/>
      <c r="Q271" s="80"/>
      <c r="R271" s="80"/>
      <c r="S271" s="80"/>
      <c r="T271" s="80"/>
      <c r="U271" s="80"/>
      <c r="V271" s="80"/>
      <c r="W271" s="80"/>
      <c r="X271" s="80"/>
      <c r="Y271" s="80"/>
      <c r="Z271" s="80"/>
    </row>
    <row r="272">
      <c r="A272" s="81">
        <v>2839.0</v>
      </c>
      <c r="B272" s="82" t="s">
        <v>533</v>
      </c>
      <c r="C272" s="82" t="s">
        <v>534</v>
      </c>
      <c r="D272" s="84">
        <v>30000.0</v>
      </c>
      <c r="E272" s="84">
        <v>120.0</v>
      </c>
      <c r="F272" s="84">
        <v>96.0</v>
      </c>
      <c r="G272" s="84">
        <v>33440.1</v>
      </c>
      <c r="H272" s="85">
        <v>46116.0</v>
      </c>
      <c r="I272" s="85">
        <v>46212.0</v>
      </c>
      <c r="J272" s="82" t="s">
        <v>540</v>
      </c>
      <c r="K272" s="86">
        <v>1154994.0</v>
      </c>
      <c r="L272" s="84">
        <v>864709.55</v>
      </c>
      <c r="M272" s="80" t="s">
        <v>542</v>
      </c>
      <c r="N272" s="80"/>
      <c r="O272" s="80"/>
      <c r="P272" s="80"/>
      <c r="Q272" s="80"/>
      <c r="R272" s="80"/>
      <c r="S272" s="80"/>
      <c r="T272" s="80"/>
      <c r="U272" s="80"/>
      <c r="V272" s="80"/>
      <c r="W272" s="80"/>
      <c r="X272" s="80"/>
      <c r="Y272" s="80"/>
      <c r="Z272" s="80"/>
    </row>
    <row r="273">
      <c r="A273" s="81">
        <v>2842.0</v>
      </c>
      <c r="B273" s="82" t="s">
        <v>581</v>
      </c>
      <c r="C273" s="82" t="s">
        <v>538</v>
      </c>
      <c r="D273" s="84">
        <v>5000.0</v>
      </c>
      <c r="E273" s="84">
        <v>180.0</v>
      </c>
      <c r="F273" s="84">
        <v>73.0</v>
      </c>
      <c r="G273" s="84">
        <v>6687.0</v>
      </c>
      <c r="H273" s="85">
        <v>46139.0</v>
      </c>
      <c r="I273" s="85">
        <v>46212.0</v>
      </c>
      <c r="J273" s="82" t="s">
        <v>540</v>
      </c>
      <c r="K273" s="86">
        <v>1157528.0</v>
      </c>
      <c r="L273" s="84">
        <v>61853.0</v>
      </c>
      <c r="M273" s="80" t="s">
        <v>554</v>
      </c>
      <c r="N273" s="80"/>
      <c r="O273" s="80"/>
      <c r="P273" s="80"/>
      <c r="Q273" s="80"/>
      <c r="R273" s="80"/>
      <c r="S273" s="80"/>
      <c r="T273" s="80"/>
      <c r="U273" s="80"/>
      <c r="V273" s="80"/>
      <c r="W273" s="80"/>
      <c r="X273" s="80"/>
      <c r="Y273" s="80"/>
      <c r="Z273" s="80"/>
    </row>
    <row r="274">
      <c r="A274" s="81">
        <v>2843.0</v>
      </c>
      <c r="B274" s="82" t="s">
        <v>581</v>
      </c>
      <c r="C274" s="82" t="s">
        <v>537</v>
      </c>
      <c r="D274" s="84">
        <v>5000.0</v>
      </c>
      <c r="E274" s="84">
        <v>180.0</v>
      </c>
      <c r="F274" s="84">
        <v>80.0</v>
      </c>
      <c r="G274" s="84">
        <v>3481.0</v>
      </c>
      <c r="H274" s="85">
        <v>46132.0</v>
      </c>
      <c r="I274" s="85">
        <v>46212.0</v>
      </c>
      <c r="J274" s="82" t="s">
        <v>535</v>
      </c>
      <c r="K274" s="86">
        <v>1156770.0</v>
      </c>
      <c r="L274" s="84">
        <v>39555.0</v>
      </c>
      <c r="M274" s="80" t="s">
        <v>554</v>
      </c>
      <c r="N274" s="80"/>
      <c r="O274" s="80"/>
      <c r="P274" s="80"/>
      <c r="Q274" s="80"/>
      <c r="R274" s="80"/>
      <c r="S274" s="80"/>
      <c r="T274" s="80"/>
      <c r="U274" s="80"/>
      <c r="V274" s="80"/>
      <c r="W274" s="80"/>
      <c r="X274" s="80"/>
      <c r="Y274" s="80"/>
      <c r="Z274" s="80"/>
    </row>
    <row r="275">
      <c r="A275" s="81">
        <v>2844.0</v>
      </c>
      <c r="B275" s="82" t="s">
        <v>581</v>
      </c>
      <c r="C275" s="82" t="s">
        <v>536</v>
      </c>
      <c r="D275" s="84">
        <v>5000.0</v>
      </c>
      <c r="E275" s="84">
        <v>180.0</v>
      </c>
      <c r="F275" s="84">
        <v>128.0</v>
      </c>
      <c r="G275" s="84">
        <v>3884.0</v>
      </c>
      <c r="H275" s="85">
        <v>46084.0</v>
      </c>
      <c r="I275" s="85">
        <v>46212.0</v>
      </c>
      <c r="J275" s="82" t="s">
        <v>535</v>
      </c>
      <c r="K275" s="86">
        <v>1151078.0</v>
      </c>
      <c r="L275" s="84">
        <v>26379.0</v>
      </c>
      <c r="M275" s="80" t="s">
        <v>554</v>
      </c>
      <c r="N275" s="80"/>
      <c r="O275" s="80"/>
      <c r="P275" s="80"/>
      <c r="Q275" s="80"/>
      <c r="R275" s="80"/>
      <c r="S275" s="80"/>
      <c r="T275" s="80"/>
      <c r="U275" s="80"/>
      <c r="V275" s="80"/>
      <c r="W275" s="80"/>
      <c r="X275" s="80"/>
      <c r="Y275" s="80"/>
      <c r="Z275" s="80"/>
    </row>
    <row r="276">
      <c r="A276" s="81">
        <v>2845.0</v>
      </c>
      <c r="B276" s="82" t="s">
        <v>581</v>
      </c>
      <c r="C276" s="82" t="s">
        <v>536</v>
      </c>
      <c r="D276" s="84">
        <v>5000.0</v>
      </c>
      <c r="E276" s="84">
        <v>180.0</v>
      </c>
      <c r="F276" s="84">
        <v>170.0</v>
      </c>
      <c r="G276" s="84">
        <v>4884.0</v>
      </c>
      <c r="H276" s="85">
        <v>46042.0</v>
      </c>
      <c r="I276" s="85">
        <v>46212.0</v>
      </c>
      <c r="J276" s="82" t="s">
        <v>535</v>
      </c>
      <c r="K276" s="86">
        <v>1146683.0</v>
      </c>
      <c r="L276" s="84">
        <v>18075.0</v>
      </c>
      <c r="M276" s="80" t="s">
        <v>554</v>
      </c>
      <c r="N276" s="80"/>
      <c r="O276" s="80"/>
      <c r="P276" s="80"/>
      <c r="Q276" s="80"/>
      <c r="R276" s="80"/>
      <c r="S276" s="80"/>
      <c r="T276" s="80"/>
      <c r="U276" s="80"/>
      <c r="V276" s="80"/>
      <c r="W276" s="80"/>
      <c r="X276" s="80"/>
      <c r="Y276" s="80"/>
      <c r="Z276" s="80"/>
    </row>
    <row r="277">
      <c r="A277" s="81">
        <v>2846.0</v>
      </c>
      <c r="B277" s="82" t="s">
        <v>581</v>
      </c>
      <c r="C277" s="82" t="s">
        <v>576</v>
      </c>
      <c r="D277" s="84">
        <v>5000.0</v>
      </c>
      <c r="E277" s="84">
        <v>180.0</v>
      </c>
      <c r="F277" s="84">
        <v>70.0</v>
      </c>
      <c r="G277" s="84">
        <v>5818.0</v>
      </c>
      <c r="H277" s="85">
        <v>46142.0</v>
      </c>
      <c r="I277" s="85">
        <v>46212.0</v>
      </c>
      <c r="J277" s="82" t="s">
        <v>540</v>
      </c>
      <c r="K277" s="86">
        <v>1157529.0</v>
      </c>
      <c r="L277" s="84">
        <v>59982.0</v>
      </c>
      <c r="M277" s="80" t="s">
        <v>576</v>
      </c>
      <c r="N277" s="80"/>
      <c r="O277" s="80"/>
      <c r="P277" s="80"/>
      <c r="Q277" s="80"/>
      <c r="R277" s="80"/>
      <c r="S277" s="80"/>
      <c r="T277" s="80"/>
      <c r="U277" s="80"/>
      <c r="V277" s="80"/>
      <c r="W277" s="80"/>
      <c r="X277" s="80"/>
      <c r="Y277" s="80"/>
      <c r="Z277" s="80"/>
    </row>
    <row r="278">
      <c r="A278" s="81">
        <v>2847.0</v>
      </c>
      <c r="B278" s="82" t="s">
        <v>581</v>
      </c>
      <c r="C278" s="82" t="s">
        <v>537</v>
      </c>
      <c r="D278" s="84">
        <v>5000.0</v>
      </c>
      <c r="E278" s="84">
        <v>180.0</v>
      </c>
      <c r="F278" s="84">
        <v>70.0</v>
      </c>
      <c r="G278" s="84">
        <v>4794.0</v>
      </c>
      <c r="H278" s="85">
        <v>46142.0</v>
      </c>
      <c r="I278" s="85">
        <v>46212.0</v>
      </c>
      <c r="J278" s="82" t="s">
        <v>535</v>
      </c>
      <c r="K278" s="86">
        <v>1157530.0</v>
      </c>
      <c r="L278" s="84">
        <v>42462.0</v>
      </c>
      <c r="M278" s="80" t="s">
        <v>554</v>
      </c>
      <c r="N278" s="80"/>
      <c r="O278" s="80"/>
      <c r="P278" s="80"/>
      <c r="Q278" s="80"/>
      <c r="R278" s="80"/>
      <c r="S278" s="80"/>
      <c r="T278" s="80"/>
      <c r="U278" s="80"/>
      <c r="V278" s="80"/>
      <c r="W278" s="80"/>
      <c r="X278" s="80"/>
      <c r="Y278" s="80"/>
      <c r="Z278" s="80"/>
    </row>
    <row r="279">
      <c r="A279" s="81">
        <v>2848.0</v>
      </c>
      <c r="B279" s="82" t="s">
        <v>581</v>
      </c>
      <c r="C279" s="82" t="s">
        <v>536</v>
      </c>
      <c r="D279" s="84">
        <v>5000.0</v>
      </c>
      <c r="E279" s="84">
        <v>180.0</v>
      </c>
      <c r="F279" s="84">
        <v>80.0</v>
      </c>
      <c r="G279" s="84">
        <v>3549.0</v>
      </c>
      <c r="H279" s="85">
        <v>46132.0</v>
      </c>
      <c r="I279" s="85">
        <v>46212.0</v>
      </c>
      <c r="J279" s="82" t="s">
        <v>535</v>
      </c>
      <c r="K279" s="86">
        <v>1156078.0</v>
      </c>
      <c r="L279" s="84">
        <v>42385.0</v>
      </c>
      <c r="M279" s="80" t="s">
        <v>554</v>
      </c>
      <c r="N279" s="80"/>
      <c r="O279" s="80"/>
      <c r="P279" s="80"/>
      <c r="Q279" s="80"/>
      <c r="R279" s="80"/>
      <c r="S279" s="80"/>
      <c r="T279" s="80"/>
      <c r="U279" s="80"/>
      <c r="V279" s="80"/>
      <c r="W279" s="80"/>
      <c r="X279" s="80"/>
      <c r="Y279" s="80"/>
      <c r="Z279" s="80"/>
    </row>
    <row r="280">
      <c r="A280" s="81">
        <v>2849.0</v>
      </c>
      <c r="B280" s="82" t="s">
        <v>581</v>
      </c>
      <c r="C280" s="82" t="s">
        <v>538</v>
      </c>
      <c r="D280" s="84">
        <v>5000.0</v>
      </c>
      <c r="E280" s="84">
        <v>180.0</v>
      </c>
      <c r="F280" s="84">
        <v>105.0</v>
      </c>
      <c r="G280" s="84">
        <v>3898.0</v>
      </c>
      <c r="H280" s="85">
        <v>46107.0</v>
      </c>
      <c r="I280" s="85">
        <v>46212.0</v>
      </c>
      <c r="J280" s="82" t="s">
        <v>535</v>
      </c>
      <c r="K280" s="86">
        <v>1153504.0</v>
      </c>
      <c r="L280" s="84">
        <v>37671.0</v>
      </c>
      <c r="M280" s="80" t="s">
        <v>554</v>
      </c>
      <c r="N280" s="80"/>
      <c r="O280" s="80"/>
      <c r="P280" s="80"/>
      <c r="Q280" s="80"/>
      <c r="R280" s="80"/>
      <c r="S280" s="80"/>
      <c r="T280" s="80"/>
      <c r="U280" s="80"/>
      <c r="V280" s="80"/>
      <c r="W280" s="80"/>
      <c r="X280" s="80"/>
      <c r="Y280" s="80"/>
      <c r="Z280" s="80"/>
    </row>
    <row r="281">
      <c r="A281" s="81">
        <v>2850.0</v>
      </c>
      <c r="B281" s="82" t="s">
        <v>581</v>
      </c>
      <c r="C281" s="82" t="s">
        <v>536</v>
      </c>
      <c r="D281" s="84">
        <v>5000.0</v>
      </c>
      <c r="E281" s="84">
        <v>180.0</v>
      </c>
      <c r="F281" s="84">
        <v>92.0</v>
      </c>
      <c r="G281" s="84">
        <v>4923.0</v>
      </c>
      <c r="H281" s="85">
        <v>46120.0</v>
      </c>
      <c r="I281" s="85">
        <v>46212.0</v>
      </c>
      <c r="J281" s="82" t="s">
        <v>535</v>
      </c>
      <c r="K281" s="86">
        <v>1153502.0</v>
      </c>
      <c r="L281" s="84">
        <v>34854.0</v>
      </c>
      <c r="M281" s="80" t="s">
        <v>554</v>
      </c>
      <c r="N281" s="80"/>
      <c r="O281" s="80"/>
      <c r="P281" s="80"/>
      <c r="Q281" s="80"/>
      <c r="R281" s="80"/>
      <c r="S281" s="80"/>
      <c r="T281" s="80"/>
      <c r="U281" s="80"/>
      <c r="V281" s="80"/>
      <c r="W281" s="80"/>
      <c r="X281" s="80"/>
      <c r="Y281" s="80"/>
      <c r="Z281" s="80"/>
    </row>
    <row r="282">
      <c r="A282" s="81">
        <v>2851.0</v>
      </c>
      <c r="B282" s="82" t="s">
        <v>581</v>
      </c>
      <c r="C282" s="82" t="s">
        <v>536</v>
      </c>
      <c r="D282" s="84">
        <v>5000.0</v>
      </c>
      <c r="E282" s="84">
        <v>180.0</v>
      </c>
      <c r="F282" s="84">
        <v>128.0</v>
      </c>
      <c r="G282" s="84">
        <v>3842.0</v>
      </c>
      <c r="H282" s="85">
        <v>46084.0</v>
      </c>
      <c r="I282" s="85">
        <v>46212.0</v>
      </c>
      <c r="J282" s="82" t="s">
        <v>535</v>
      </c>
      <c r="K282" s="86">
        <v>1151072.0</v>
      </c>
      <c r="L282" s="84">
        <v>44403.0</v>
      </c>
      <c r="M282" s="80" t="s">
        <v>554</v>
      </c>
      <c r="N282" s="80"/>
      <c r="O282" s="80"/>
      <c r="P282" s="80"/>
      <c r="Q282" s="80"/>
      <c r="R282" s="80"/>
      <c r="S282" s="80"/>
      <c r="T282" s="80"/>
      <c r="U282" s="80"/>
      <c r="V282" s="80"/>
      <c r="W282" s="80"/>
      <c r="X282" s="80"/>
      <c r="Y282" s="80"/>
      <c r="Z282" s="80"/>
    </row>
    <row r="283">
      <c r="A283" s="81">
        <v>2852.0</v>
      </c>
      <c r="B283" s="82" t="s">
        <v>581</v>
      </c>
      <c r="C283" s="82" t="s">
        <v>538</v>
      </c>
      <c r="D283" s="84">
        <v>5000.0</v>
      </c>
      <c r="E283" s="84">
        <v>180.0</v>
      </c>
      <c r="F283" s="84">
        <v>47.0</v>
      </c>
      <c r="G283" s="84">
        <v>4290.0</v>
      </c>
      <c r="H283" s="85">
        <v>46165.0</v>
      </c>
      <c r="I283" s="85">
        <v>46212.0</v>
      </c>
      <c r="J283" s="82" t="s">
        <v>535</v>
      </c>
      <c r="K283" s="86">
        <v>1159392.0</v>
      </c>
      <c r="L283" s="84">
        <v>62284.0</v>
      </c>
      <c r="M283" s="80" t="s">
        <v>554</v>
      </c>
      <c r="N283" s="80"/>
      <c r="O283" s="80"/>
      <c r="P283" s="80"/>
      <c r="Q283" s="80"/>
      <c r="R283" s="80"/>
      <c r="S283" s="80"/>
      <c r="T283" s="80"/>
      <c r="U283" s="80"/>
      <c r="V283" s="80"/>
      <c r="W283" s="80"/>
      <c r="X283" s="80"/>
      <c r="Y283" s="80"/>
      <c r="Z283" s="80"/>
    </row>
    <row r="284">
      <c r="A284" s="81">
        <v>2853.0</v>
      </c>
      <c r="B284" s="82" t="s">
        <v>581</v>
      </c>
      <c r="C284" s="82" t="s">
        <v>536</v>
      </c>
      <c r="D284" s="84">
        <v>5000.0</v>
      </c>
      <c r="E284" s="84">
        <v>180.0</v>
      </c>
      <c r="F284" s="84">
        <v>103.0</v>
      </c>
      <c r="G284" s="84">
        <v>6262.0</v>
      </c>
      <c r="H284" s="85">
        <v>46109.0</v>
      </c>
      <c r="I284" s="85">
        <v>46212.0</v>
      </c>
      <c r="J284" s="82" t="s">
        <v>540</v>
      </c>
      <c r="K284" s="86">
        <v>1154205.0</v>
      </c>
      <c r="L284" s="84">
        <v>35745.0</v>
      </c>
      <c r="M284" s="80" t="s">
        <v>554</v>
      </c>
      <c r="N284" s="80"/>
      <c r="O284" s="80"/>
      <c r="P284" s="80"/>
      <c r="Q284" s="80"/>
      <c r="R284" s="80"/>
      <c r="S284" s="80"/>
      <c r="T284" s="80"/>
      <c r="U284" s="80"/>
      <c r="V284" s="80"/>
      <c r="W284" s="80"/>
      <c r="X284" s="80"/>
      <c r="Y284" s="80"/>
      <c r="Z284" s="80"/>
    </row>
    <row r="285">
      <c r="A285" s="81">
        <v>2854.0</v>
      </c>
      <c r="B285" s="82" t="s">
        <v>581</v>
      </c>
      <c r="C285" s="82" t="s">
        <v>536</v>
      </c>
      <c r="D285" s="84">
        <v>5000.0</v>
      </c>
      <c r="E285" s="84">
        <v>180.0</v>
      </c>
      <c r="F285" s="84">
        <v>150.0</v>
      </c>
      <c r="G285" s="84">
        <v>3388.0</v>
      </c>
      <c r="H285" s="85">
        <v>46062.0</v>
      </c>
      <c r="I285" s="85">
        <v>46212.0</v>
      </c>
      <c r="J285" s="82" t="s">
        <v>535</v>
      </c>
      <c r="K285" s="86">
        <v>1149207.0</v>
      </c>
      <c r="L285" s="84">
        <v>15225.0</v>
      </c>
      <c r="M285" s="80" t="s">
        <v>554</v>
      </c>
      <c r="N285" s="80"/>
      <c r="O285" s="80"/>
      <c r="P285" s="80"/>
      <c r="Q285" s="80"/>
      <c r="R285" s="80"/>
      <c r="S285" s="80"/>
      <c r="T285" s="80"/>
      <c r="U285" s="80"/>
      <c r="V285" s="80"/>
      <c r="W285" s="80"/>
      <c r="X285" s="80"/>
      <c r="Y285" s="80"/>
      <c r="Z285" s="80"/>
    </row>
    <row r="286">
      <c r="A286" s="81">
        <v>2855.0</v>
      </c>
      <c r="B286" s="82" t="s">
        <v>581</v>
      </c>
      <c r="C286" s="82" t="s">
        <v>536</v>
      </c>
      <c r="D286" s="84">
        <v>5000.0</v>
      </c>
      <c r="E286" s="84">
        <v>180.0</v>
      </c>
      <c r="F286" s="84">
        <v>121.0</v>
      </c>
      <c r="G286" s="84">
        <v>3385.0</v>
      </c>
      <c r="H286" s="85">
        <v>46091.0</v>
      </c>
      <c r="I286" s="85">
        <v>46212.0</v>
      </c>
      <c r="J286" s="82" t="s">
        <v>535</v>
      </c>
      <c r="K286" s="86">
        <v>1152492.0</v>
      </c>
      <c r="L286" s="84">
        <v>18307.0</v>
      </c>
      <c r="M286" s="80" t="s">
        <v>554</v>
      </c>
      <c r="N286" s="80"/>
      <c r="O286" s="80"/>
      <c r="P286" s="80"/>
      <c r="Q286" s="80"/>
      <c r="R286" s="80"/>
      <c r="S286" s="80"/>
      <c r="T286" s="80"/>
      <c r="U286" s="80"/>
      <c r="V286" s="80"/>
      <c r="W286" s="80"/>
      <c r="X286" s="80"/>
      <c r="Y286" s="80"/>
      <c r="Z286" s="80"/>
    </row>
    <row r="287">
      <c r="A287" s="81">
        <v>2856.0</v>
      </c>
      <c r="B287" s="82" t="s">
        <v>581</v>
      </c>
      <c r="C287" s="82" t="s">
        <v>536</v>
      </c>
      <c r="D287" s="84">
        <v>5000.0</v>
      </c>
      <c r="E287" s="84">
        <v>180.0</v>
      </c>
      <c r="F287" s="84">
        <v>84.0</v>
      </c>
      <c r="G287" s="84">
        <v>2692.0</v>
      </c>
      <c r="H287" s="85">
        <v>46128.0</v>
      </c>
      <c r="I287" s="85">
        <v>46212.0</v>
      </c>
      <c r="J287" s="82" t="s">
        <v>535</v>
      </c>
      <c r="K287" s="86">
        <v>1155973.0</v>
      </c>
      <c r="L287" s="84">
        <v>20472.0</v>
      </c>
      <c r="M287" s="80" t="s">
        <v>554</v>
      </c>
      <c r="N287" s="80"/>
      <c r="O287" s="80"/>
      <c r="P287" s="80"/>
      <c r="Q287" s="80"/>
      <c r="R287" s="80"/>
      <c r="S287" s="80"/>
      <c r="T287" s="80"/>
      <c r="U287" s="80"/>
      <c r="V287" s="80"/>
      <c r="W287" s="80"/>
      <c r="X287" s="80"/>
      <c r="Y287" s="80"/>
      <c r="Z287" s="80"/>
    </row>
    <row r="288">
      <c r="A288" s="81">
        <v>2857.0</v>
      </c>
      <c r="B288" s="82" t="s">
        <v>581</v>
      </c>
      <c r="C288" s="82" t="s">
        <v>538</v>
      </c>
      <c r="D288" s="84">
        <v>5000.0</v>
      </c>
      <c r="E288" s="84">
        <v>180.0</v>
      </c>
      <c r="F288" s="84">
        <v>9.0</v>
      </c>
      <c r="G288" s="84">
        <v>409.0</v>
      </c>
      <c r="H288" s="85">
        <v>46203.0</v>
      </c>
      <c r="I288" s="85">
        <v>46212.0</v>
      </c>
      <c r="J288" s="82" t="s">
        <v>535</v>
      </c>
      <c r="K288" s="86">
        <v>1162038.0</v>
      </c>
      <c r="L288" s="84">
        <v>37517.0</v>
      </c>
      <c r="M288" s="80" t="s">
        <v>554</v>
      </c>
      <c r="N288" s="80"/>
      <c r="O288" s="80"/>
      <c r="P288" s="80"/>
      <c r="Q288" s="80"/>
      <c r="R288" s="80"/>
      <c r="S288" s="80"/>
      <c r="T288" s="80"/>
      <c r="U288" s="80"/>
      <c r="V288" s="80"/>
      <c r="W288" s="80"/>
      <c r="X288" s="80"/>
      <c r="Y288" s="80"/>
      <c r="Z288" s="80"/>
    </row>
    <row r="289">
      <c r="A289" s="81">
        <v>2858.0</v>
      </c>
      <c r="B289" s="82" t="s">
        <v>581</v>
      </c>
      <c r="C289" s="82" t="s">
        <v>536</v>
      </c>
      <c r="D289" s="84">
        <v>5000.0</v>
      </c>
      <c r="E289" s="84">
        <v>180.0</v>
      </c>
      <c r="F289" s="84">
        <v>73.0</v>
      </c>
      <c r="G289" s="84">
        <v>2911.0</v>
      </c>
      <c r="H289" s="85">
        <v>46139.0</v>
      </c>
      <c r="I289" s="85">
        <v>46212.0</v>
      </c>
      <c r="J289" s="82" t="s">
        <v>535</v>
      </c>
      <c r="K289" s="86">
        <v>1157523.0</v>
      </c>
      <c r="L289" s="84">
        <v>24862.0</v>
      </c>
      <c r="M289" s="80" t="s">
        <v>554</v>
      </c>
      <c r="N289" s="80"/>
      <c r="O289" s="80"/>
      <c r="P289" s="80"/>
      <c r="Q289" s="80"/>
      <c r="R289" s="80"/>
      <c r="S289" s="80"/>
      <c r="T289" s="80"/>
      <c r="U289" s="80"/>
      <c r="V289" s="80"/>
      <c r="W289" s="80"/>
      <c r="X289" s="80"/>
      <c r="Y289" s="80"/>
      <c r="Z289" s="80"/>
    </row>
    <row r="290">
      <c r="A290" s="81">
        <v>2859.0</v>
      </c>
      <c r="B290" s="82" t="s">
        <v>586</v>
      </c>
      <c r="C290" s="82" t="s">
        <v>536</v>
      </c>
      <c r="D290" s="84">
        <v>5000.0</v>
      </c>
      <c r="E290" s="84">
        <v>180.0</v>
      </c>
      <c r="F290" s="84">
        <v>156.0</v>
      </c>
      <c r="G290" s="84">
        <v>4636.0</v>
      </c>
      <c r="H290" s="85">
        <v>46056.0</v>
      </c>
      <c r="I290" s="85">
        <v>46212.0</v>
      </c>
      <c r="J290" s="82" t="s">
        <v>535</v>
      </c>
      <c r="K290" s="86">
        <v>1148291.0</v>
      </c>
      <c r="L290" s="84">
        <v>19117.0</v>
      </c>
      <c r="M290" s="80" t="s">
        <v>554</v>
      </c>
      <c r="N290" s="80"/>
      <c r="O290" s="80"/>
      <c r="P290" s="80"/>
      <c r="Q290" s="80"/>
      <c r="R290" s="80"/>
      <c r="S290" s="80"/>
      <c r="T290" s="80"/>
      <c r="U290" s="80"/>
      <c r="V290" s="80"/>
      <c r="W290" s="80"/>
      <c r="X290" s="80"/>
      <c r="Y290" s="80"/>
      <c r="Z290" s="80"/>
    </row>
    <row r="291">
      <c r="A291" s="81">
        <v>2860.0</v>
      </c>
      <c r="B291" s="82" t="s">
        <v>586</v>
      </c>
      <c r="C291" s="82" t="s">
        <v>536</v>
      </c>
      <c r="D291" s="84">
        <v>5000.0</v>
      </c>
      <c r="E291" s="84">
        <v>180.0</v>
      </c>
      <c r="F291" s="84">
        <v>50.0</v>
      </c>
      <c r="G291" s="84">
        <v>2037.0</v>
      </c>
      <c r="H291" s="85">
        <v>46162.0</v>
      </c>
      <c r="I291" s="85">
        <v>46212.0</v>
      </c>
      <c r="J291" s="82" t="s">
        <v>535</v>
      </c>
      <c r="K291" s="86">
        <v>1160335.0</v>
      </c>
      <c r="L291" s="84">
        <v>31762.0</v>
      </c>
      <c r="M291" s="80" t="s">
        <v>554</v>
      </c>
      <c r="N291" s="80"/>
      <c r="O291" s="80"/>
      <c r="P291" s="80"/>
      <c r="Q291" s="80"/>
      <c r="R291" s="80"/>
      <c r="S291" s="80"/>
      <c r="T291" s="80"/>
      <c r="U291" s="80"/>
      <c r="V291" s="80"/>
      <c r="W291" s="80"/>
      <c r="X291" s="80"/>
      <c r="Y291" s="80"/>
      <c r="Z291" s="80"/>
    </row>
    <row r="292">
      <c r="A292" s="81">
        <v>2861.0</v>
      </c>
      <c r="B292" s="82" t="s">
        <v>586</v>
      </c>
      <c r="C292" s="82" t="s">
        <v>536</v>
      </c>
      <c r="D292" s="84">
        <v>5000.0</v>
      </c>
      <c r="E292" s="84">
        <v>180.0</v>
      </c>
      <c r="F292" s="84">
        <v>111.0</v>
      </c>
      <c r="G292" s="84">
        <v>4083.0</v>
      </c>
      <c r="H292" s="85">
        <v>46101.0</v>
      </c>
      <c r="I292" s="85">
        <v>46212.0</v>
      </c>
      <c r="J292" s="82" t="s">
        <v>535</v>
      </c>
      <c r="K292" s="86">
        <v>1153493.0</v>
      </c>
      <c r="L292" s="84">
        <v>19970.0</v>
      </c>
      <c r="M292" s="80" t="s">
        <v>554</v>
      </c>
      <c r="N292" s="80"/>
      <c r="O292" s="80"/>
      <c r="P292" s="80"/>
      <c r="Q292" s="80"/>
      <c r="R292" s="80"/>
      <c r="S292" s="80"/>
      <c r="T292" s="80"/>
      <c r="U292" s="80"/>
      <c r="V292" s="80"/>
      <c r="W292" s="80"/>
      <c r="X292" s="80"/>
      <c r="Y292" s="80"/>
      <c r="Z292" s="80"/>
    </row>
    <row r="293">
      <c r="A293" s="81">
        <v>2862.0</v>
      </c>
      <c r="B293" s="82" t="s">
        <v>586</v>
      </c>
      <c r="C293" s="82" t="s">
        <v>536</v>
      </c>
      <c r="D293" s="84">
        <v>5000.0</v>
      </c>
      <c r="E293" s="84">
        <v>180.0</v>
      </c>
      <c r="F293" s="84">
        <v>73.0</v>
      </c>
      <c r="G293" s="84">
        <v>2300.0</v>
      </c>
      <c r="H293" s="85">
        <v>46139.0</v>
      </c>
      <c r="I293" s="85">
        <v>46212.0</v>
      </c>
      <c r="J293" s="82" t="s">
        <v>535</v>
      </c>
      <c r="K293" s="86">
        <v>1157520.0</v>
      </c>
      <c r="L293" s="84">
        <v>35371.0</v>
      </c>
      <c r="M293" s="80" t="s">
        <v>554</v>
      </c>
      <c r="N293" s="80"/>
      <c r="O293" s="80"/>
      <c r="P293" s="80"/>
      <c r="Q293" s="80"/>
      <c r="R293" s="80"/>
      <c r="S293" s="80"/>
      <c r="T293" s="80"/>
      <c r="U293" s="80"/>
      <c r="V293" s="80"/>
      <c r="W293" s="80"/>
      <c r="X293" s="80"/>
      <c r="Y293" s="80"/>
      <c r="Z293" s="80"/>
    </row>
    <row r="294">
      <c r="A294" s="81">
        <v>2866.0</v>
      </c>
      <c r="B294" s="82" t="s">
        <v>586</v>
      </c>
      <c r="C294" s="82" t="s">
        <v>536</v>
      </c>
      <c r="D294" s="84">
        <v>5000.0</v>
      </c>
      <c r="E294" s="84">
        <v>180.0</v>
      </c>
      <c r="F294" s="84">
        <v>56.0</v>
      </c>
      <c r="G294" s="84">
        <v>1754.0</v>
      </c>
      <c r="H294" s="85">
        <v>46156.0</v>
      </c>
      <c r="I294" s="85">
        <v>46212.0</v>
      </c>
      <c r="J294" s="82" t="s">
        <v>535</v>
      </c>
      <c r="K294" s="86">
        <v>1157521.0</v>
      </c>
      <c r="L294" s="84">
        <v>26120.0</v>
      </c>
      <c r="M294" s="80" t="s">
        <v>554</v>
      </c>
      <c r="N294" s="80"/>
      <c r="O294" s="80"/>
      <c r="P294" s="80"/>
      <c r="Q294" s="80"/>
      <c r="R294" s="80"/>
      <c r="S294" s="80"/>
      <c r="T294" s="80"/>
      <c r="U294" s="80"/>
      <c r="V294" s="80"/>
      <c r="W294" s="80"/>
      <c r="X294" s="80"/>
      <c r="Y294" s="80"/>
      <c r="Z294" s="80"/>
    </row>
    <row r="295">
      <c r="A295" s="81">
        <v>2867.0</v>
      </c>
      <c r="B295" s="82" t="s">
        <v>586</v>
      </c>
      <c r="C295" s="82" t="s">
        <v>536</v>
      </c>
      <c r="D295" s="84">
        <v>5000.0</v>
      </c>
      <c r="E295" s="84">
        <v>180.0</v>
      </c>
      <c r="F295" s="84">
        <v>45.0</v>
      </c>
      <c r="G295" s="84">
        <v>2228.0</v>
      </c>
      <c r="H295" s="85">
        <v>46167.0</v>
      </c>
      <c r="I295" s="85">
        <v>46212.0</v>
      </c>
      <c r="J295" s="82" t="s">
        <v>535</v>
      </c>
      <c r="K295" s="86">
        <v>1161246.0</v>
      </c>
      <c r="L295" s="84">
        <v>28072.0</v>
      </c>
      <c r="M295" s="80" t="s">
        <v>554</v>
      </c>
      <c r="N295" s="80"/>
      <c r="O295" s="80"/>
      <c r="P295" s="80"/>
      <c r="Q295" s="80"/>
      <c r="R295" s="80"/>
      <c r="S295" s="80"/>
      <c r="T295" s="80"/>
      <c r="U295" s="80"/>
      <c r="V295" s="80"/>
      <c r="W295" s="80"/>
      <c r="X295" s="80"/>
      <c r="Y295" s="80"/>
      <c r="Z295" s="80"/>
    </row>
    <row r="296">
      <c r="A296" s="81">
        <v>2875.0</v>
      </c>
      <c r="B296" s="82" t="s">
        <v>579</v>
      </c>
      <c r="C296" s="82" t="s">
        <v>536</v>
      </c>
      <c r="D296" s="84">
        <v>10000.0</v>
      </c>
      <c r="E296" s="84">
        <v>180.0</v>
      </c>
      <c r="F296" s="84">
        <v>156.0</v>
      </c>
      <c r="G296" s="84">
        <v>2982.0</v>
      </c>
      <c r="H296" s="85">
        <v>46056.0</v>
      </c>
      <c r="I296" s="85">
        <v>46212.0</v>
      </c>
      <c r="J296" s="82" t="s">
        <v>535</v>
      </c>
      <c r="K296" s="86">
        <v>1148277.0</v>
      </c>
      <c r="L296" s="84">
        <v>83010.0</v>
      </c>
      <c r="M296" s="80" t="s">
        <v>536</v>
      </c>
      <c r="N296" s="80"/>
      <c r="O296" s="80"/>
      <c r="P296" s="80"/>
      <c r="Q296" s="80"/>
      <c r="R296" s="80"/>
      <c r="S296" s="80"/>
      <c r="T296" s="80"/>
      <c r="U296" s="80"/>
      <c r="V296" s="80"/>
      <c r="W296" s="80"/>
      <c r="X296" s="80"/>
      <c r="Y296" s="80"/>
      <c r="Z296" s="80"/>
    </row>
    <row r="297">
      <c r="A297" s="81">
        <v>2876.0</v>
      </c>
      <c r="B297" s="82" t="s">
        <v>579</v>
      </c>
      <c r="C297" s="82" t="s">
        <v>536</v>
      </c>
      <c r="D297" s="84">
        <v>10000.0</v>
      </c>
      <c r="E297" s="84">
        <v>180.0</v>
      </c>
      <c r="F297" s="84">
        <v>77.0</v>
      </c>
      <c r="G297" s="84">
        <v>9906.0</v>
      </c>
      <c r="H297" s="85">
        <v>46135.0</v>
      </c>
      <c r="I297" s="85">
        <v>46212.0</v>
      </c>
      <c r="J297" s="82" t="s">
        <v>535</v>
      </c>
      <c r="K297" s="86">
        <v>1157122.0</v>
      </c>
      <c r="L297" s="84">
        <v>91134.0</v>
      </c>
      <c r="M297" s="80" t="s">
        <v>536</v>
      </c>
      <c r="N297" s="80"/>
      <c r="O297" s="80"/>
      <c r="P297" s="80"/>
      <c r="Q297" s="80"/>
      <c r="R297" s="80"/>
      <c r="S297" s="80"/>
      <c r="T297" s="80"/>
      <c r="U297" s="80"/>
      <c r="V297" s="80"/>
      <c r="W297" s="80"/>
      <c r="X297" s="80"/>
      <c r="Y297" s="80"/>
      <c r="Z297" s="80"/>
    </row>
    <row r="298">
      <c r="A298" s="81">
        <v>2877.0</v>
      </c>
      <c r="B298" s="82" t="s">
        <v>579</v>
      </c>
      <c r="C298" s="82" t="s">
        <v>536</v>
      </c>
      <c r="D298" s="84">
        <v>10000.0</v>
      </c>
      <c r="E298" s="84">
        <v>180.0</v>
      </c>
      <c r="F298" s="84">
        <v>77.0</v>
      </c>
      <c r="G298" s="84">
        <v>11344.0</v>
      </c>
      <c r="H298" s="85">
        <v>46135.0</v>
      </c>
      <c r="I298" s="85">
        <v>46212.0</v>
      </c>
      <c r="J298" s="82" t="s">
        <v>540</v>
      </c>
      <c r="K298" s="86">
        <v>1157121.0</v>
      </c>
      <c r="L298" s="84">
        <v>62877.0</v>
      </c>
      <c r="M298" s="80" t="s">
        <v>554</v>
      </c>
      <c r="N298" s="80"/>
      <c r="O298" s="80"/>
      <c r="P298" s="80"/>
      <c r="Q298" s="80"/>
      <c r="R298" s="80"/>
      <c r="S298" s="80"/>
      <c r="T298" s="80"/>
      <c r="U298" s="80"/>
      <c r="V298" s="80"/>
      <c r="W298" s="80"/>
      <c r="X298" s="80"/>
      <c r="Y298" s="80"/>
      <c r="Z298" s="80"/>
    </row>
    <row r="299">
      <c r="A299" s="81">
        <v>2878.0</v>
      </c>
      <c r="B299" s="82" t="s">
        <v>579</v>
      </c>
      <c r="C299" s="82" t="s">
        <v>536</v>
      </c>
      <c r="D299" s="84">
        <v>10000.0</v>
      </c>
      <c r="E299" s="84">
        <v>180.0</v>
      </c>
      <c r="F299" s="84">
        <v>100.0</v>
      </c>
      <c r="G299" s="84">
        <v>3657.0</v>
      </c>
      <c r="H299" s="85">
        <v>46112.0</v>
      </c>
      <c r="I299" s="85">
        <v>46212.0</v>
      </c>
      <c r="J299" s="82" t="s">
        <v>535</v>
      </c>
      <c r="K299" s="86">
        <v>1151084.0</v>
      </c>
      <c r="L299" s="84">
        <v>80515.0</v>
      </c>
      <c r="M299" s="80" t="s">
        <v>570</v>
      </c>
      <c r="N299" s="80"/>
      <c r="O299" s="80"/>
      <c r="P299" s="80"/>
      <c r="Q299" s="80"/>
      <c r="R299" s="80"/>
      <c r="S299" s="80"/>
      <c r="T299" s="80"/>
      <c r="U299" s="80"/>
      <c r="V299" s="80"/>
      <c r="W299" s="80"/>
      <c r="X299" s="80"/>
      <c r="Y299" s="80"/>
      <c r="Z299" s="80"/>
    </row>
    <row r="300">
      <c r="A300" s="81">
        <v>2879.0</v>
      </c>
      <c r="B300" s="82" t="s">
        <v>579</v>
      </c>
      <c r="C300" s="82" t="s">
        <v>536</v>
      </c>
      <c r="D300" s="84">
        <v>10000.0</v>
      </c>
      <c r="E300" s="84">
        <v>180.0</v>
      </c>
      <c r="F300" s="84">
        <v>80.0</v>
      </c>
      <c r="G300" s="84">
        <v>1402.0</v>
      </c>
      <c r="H300" s="85">
        <v>46132.0</v>
      </c>
      <c r="I300" s="85">
        <v>46212.0</v>
      </c>
      <c r="J300" s="82" t="s">
        <v>535</v>
      </c>
      <c r="K300" s="86">
        <v>1156056.0</v>
      </c>
      <c r="L300" s="84">
        <v>59949.0</v>
      </c>
      <c r="M300" s="80" t="s">
        <v>570</v>
      </c>
      <c r="N300" s="80"/>
      <c r="O300" s="80"/>
      <c r="P300" s="80"/>
      <c r="Q300" s="80"/>
      <c r="R300" s="80"/>
      <c r="S300" s="80"/>
      <c r="T300" s="80"/>
      <c r="U300" s="80"/>
      <c r="V300" s="80"/>
      <c r="W300" s="80"/>
      <c r="X300" s="80"/>
      <c r="Y300" s="80"/>
      <c r="Z300" s="80"/>
    </row>
    <row r="301">
      <c r="A301" s="81">
        <v>2880.0</v>
      </c>
      <c r="B301" s="82" t="s">
        <v>579</v>
      </c>
      <c r="C301" s="82" t="s">
        <v>536</v>
      </c>
      <c r="D301" s="84">
        <v>10000.0</v>
      </c>
      <c r="E301" s="84">
        <v>180.0</v>
      </c>
      <c r="F301" s="84">
        <v>171.0</v>
      </c>
      <c r="G301" s="84">
        <v>21147.0</v>
      </c>
      <c r="H301" s="85">
        <v>46041.0</v>
      </c>
      <c r="I301" s="85">
        <v>46212.0</v>
      </c>
      <c r="J301" s="82" t="s">
        <v>540</v>
      </c>
      <c r="K301" s="86">
        <v>1146571.0</v>
      </c>
      <c r="L301" s="84">
        <v>45155.0</v>
      </c>
      <c r="M301" s="80" t="s">
        <v>539</v>
      </c>
      <c r="N301" s="80"/>
      <c r="O301" s="80"/>
      <c r="P301" s="80"/>
      <c r="Q301" s="80"/>
      <c r="R301" s="80"/>
      <c r="S301" s="80"/>
      <c r="T301" s="80"/>
      <c r="U301" s="80"/>
      <c r="V301" s="80"/>
      <c r="W301" s="80"/>
      <c r="X301" s="80"/>
      <c r="Y301" s="80"/>
      <c r="Z301" s="80"/>
    </row>
    <row r="302">
      <c r="A302" s="81">
        <v>2881.0</v>
      </c>
      <c r="B302" s="82" t="s">
        <v>579</v>
      </c>
      <c r="C302" s="82" t="s">
        <v>536</v>
      </c>
      <c r="D302" s="84">
        <v>10000.0</v>
      </c>
      <c r="E302" s="84">
        <v>180.0</v>
      </c>
      <c r="F302" s="84">
        <v>174.0</v>
      </c>
      <c r="G302" s="84">
        <v>7581.0</v>
      </c>
      <c r="H302" s="85">
        <v>46038.0</v>
      </c>
      <c r="I302" s="85">
        <v>46212.0</v>
      </c>
      <c r="J302" s="82" t="s">
        <v>535</v>
      </c>
      <c r="K302" s="86">
        <v>1146507.0</v>
      </c>
      <c r="L302" s="84">
        <v>22030.0</v>
      </c>
      <c r="M302" s="80" t="s">
        <v>554</v>
      </c>
      <c r="N302" s="80"/>
      <c r="O302" s="80"/>
      <c r="P302" s="80"/>
      <c r="Q302" s="80"/>
      <c r="R302" s="80"/>
      <c r="S302" s="80"/>
      <c r="T302" s="80"/>
      <c r="U302" s="80"/>
      <c r="V302" s="80"/>
      <c r="W302" s="80"/>
      <c r="X302" s="80"/>
      <c r="Y302" s="80"/>
      <c r="Z302" s="80"/>
    </row>
    <row r="303">
      <c r="A303" s="81">
        <v>2882.0</v>
      </c>
      <c r="B303" s="82" t="s">
        <v>581</v>
      </c>
      <c r="C303" s="82" t="s">
        <v>576</v>
      </c>
      <c r="D303" s="84">
        <v>5000.0</v>
      </c>
      <c r="E303" s="84">
        <v>180.0</v>
      </c>
      <c r="F303" s="84">
        <v>73.0</v>
      </c>
      <c r="G303" s="84">
        <v>6209.0</v>
      </c>
      <c r="H303" s="85">
        <v>46139.0</v>
      </c>
      <c r="I303" s="85">
        <v>46212.0</v>
      </c>
      <c r="J303" s="82" t="s">
        <v>540</v>
      </c>
      <c r="K303" s="86">
        <v>1156086.0</v>
      </c>
      <c r="L303" s="84">
        <v>46775.0</v>
      </c>
      <c r="M303" s="80" t="s">
        <v>554</v>
      </c>
      <c r="N303" s="80"/>
      <c r="O303" s="80"/>
      <c r="P303" s="80"/>
      <c r="Q303" s="80"/>
      <c r="R303" s="80"/>
      <c r="S303" s="80"/>
      <c r="T303" s="80"/>
      <c r="U303" s="80"/>
      <c r="V303" s="80"/>
      <c r="W303" s="80"/>
      <c r="X303" s="80"/>
      <c r="Y303" s="80"/>
      <c r="Z303" s="80"/>
    </row>
    <row r="304">
      <c r="A304" s="81">
        <v>2883.0</v>
      </c>
      <c r="B304" s="82" t="s">
        <v>581</v>
      </c>
      <c r="C304" s="82" t="s">
        <v>536</v>
      </c>
      <c r="D304" s="84">
        <v>5000.0</v>
      </c>
      <c r="E304" s="84">
        <v>180.0</v>
      </c>
      <c r="F304" s="84">
        <v>50.0</v>
      </c>
      <c r="G304" s="84">
        <v>1204.0</v>
      </c>
      <c r="H304" s="85">
        <v>46162.0</v>
      </c>
      <c r="I304" s="85">
        <v>46212.0</v>
      </c>
      <c r="J304" s="82" t="s">
        <v>535</v>
      </c>
      <c r="K304" s="86">
        <v>1158357.0</v>
      </c>
      <c r="L304" s="84">
        <v>18107.0</v>
      </c>
      <c r="M304" s="80" t="s">
        <v>554</v>
      </c>
      <c r="N304" s="80"/>
      <c r="O304" s="80"/>
      <c r="P304" s="80"/>
      <c r="Q304" s="80"/>
      <c r="R304" s="80"/>
      <c r="S304" s="80"/>
      <c r="T304" s="80"/>
      <c r="U304" s="80"/>
      <c r="V304" s="80"/>
      <c r="W304" s="80"/>
      <c r="X304" s="80"/>
      <c r="Y304" s="80"/>
      <c r="Z304" s="80"/>
    </row>
    <row r="305">
      <c r="A305" s="81">
        <v>2884.0</v>
      </c>
      <c r="B305" s="82" t="s">
        <v>581</v>
      </c>
      <c r="C305" s="82" t="s">
        <v>538</v>
      </c>
      <c r="D305" s="84">
        <v>5000.0</v>
      </c>
      <c r="E305" s="84">
        <v>180.0</v>
      </c>
      <c r="F305" s="84">
        <v>79.0</v>
      </c>
      <c r="G305" s="84">
        <v>2874.0</v>
      </c>
      <c r="H305" s="85">
        <v>46133.0</v>
      </c>
      <c r="I305" s="85">
        <v>46212.0</v>
      </c>
      <c r="J305" s="82" t="s">
        <v>535</v>
      </c>
      <c r="K305" s="86">
        <v>1156071.0</v>
      </c>
      <c r="L305" s="84">
        <v>25580.0</v>
      </c>
      <c r="M305" s="80" t="s">
        <v>554</v>
      </c>
      <c r="N305" s="80"/>
      <c r="O305" s="80"/>
      <c r="P305" s="80"/>
      <c r="Q305" s="80"/>
      <c r="R305" s="80"/>
      <c r="S305" s="80"/>
      <c r="T305" s="80"/>
      <c r="U305" s="80"/>
      <c r="V305" s="80"/>
      <c r="W305" s="80"/>
      <c r="X305" s="80"/>
      <c r="Y305" s="80"/>
      <c r="Z305" s="80"/>
    </row>
    <row r="306">
      <c r="A306" s="81">
        <v>2885.0</v>
      </c>
      <c r="B306" s="82" t="s">
        <v>581</v>
      </c>
      <c r="C306" s="82" t="s">
        <v>536</v>
      </c>
      <c r="D306" s="84">
        <v>5000.0</v>
      </c>
      <c r="E306" s="84">
        <v>180.0</v>
      </c>
      <c r="F306" s="84">
        <v>63.0</v>
      </c>
      <c r="G306" s="84">
        <v>3591.0</v>
      </c>
      <c r="H306" s="85">
        <v>46149.0</v>
      </c>
      <c r="I306" s="85">
        <v>46212.0</v>
      </c>
      <c r="J306" s="82" t="s">
        <v>535</v>
      </c>
      <c r="K306" s="86">
        <v>1157526.0</v>
      </c>
      <c r="L306" s="84">
        <v>33461.0</v>
      </c>
      <c r="M306" s="80" t="s">
        <v>554</v>
      </c>
      <c r="N306" s="80"/>
      <c r="O306" s="80"/>
      <c r="P306" s="80"/>
      <c r="Q306" s="80"/>
      <c r="R306" s="80"/>
      <c r="S306" s="80"/>
      <c r="T306" s="80"/>
      <c r="U306" s="80"/>
      <c r="V306" s="80"/>
      <c r="W306" s="80"/>
      <c r="X306" s="80"/>
      <c r="Y306" s="80"/>
      <c r="Z306" s="80"/>
    </row>
    <row r="307">
      <c r="A307" s="81">
        <v>2886.0</v>
      </c>
      <c r="B307" s="82" t="s">
        <v>581</v>
      </c>
      <c r="C307" s="82" t="s">
        <v>536</v>
      </c>
      <c r="D307" s="84">
        <v>5000.0</v>
      </c>
      <c r="E307" s="84">
        <v>180.0</v>
      </c>
      <c r="F307" s="84">
        <v>64.0</v>
      </c>
      <c r="G307" s="84">
        <v>1424.0</v>
      </c>
      <c r="H307" s="85">
        <v>46148.0</v>
      </c>
      <c r="I307" s="85">
        <v>46212.0</v>
      </c>
      <c r="J307" s="82" t="s">
        <v>535</v>
      </c>
      <c r="K307" s="86">
        <v>1156092.0</v>
      </c>
      <c r="L307" s="84">
        <v>18778.0</v>
      </c>
      <c r="M307" s="80" t="s">
        <v>554</v>
      </c>
      <c r="N307" s="80"/>
      <c r="O307" s="80"/>
      <c r="P307" s="80"/>
      <c r="Q307" s="80"/>
      <c r="R307" s="80"/>
      <c r="S307" s="80"/>
      <c r="T307" s="80"/>
      <c r="U307" s="80"/>
      <c r="V307" s="80"/>
      <c r="W307" s="80"/>
      <c r="X307" s="80"/>
      <c r="Y307" s="80"/>
      <c r="Z307" s="80"/>
    </row>
    <row r="308">
      <c r="A308" s="81">
        <v>2887.0</v>
      </c>
      <c r="B308" s="82" t="s">
        <v>581</v>
      </c>
      <c r="C308" s="82" t="s">
        <v>536</v>
      </c>
      <c r="D308" s="84">
        <v>5000.0</v>
      </c>
      <c r="E308" s="84">
        <v>180.0</v>
      </c>
      <c r="F308" s="84">
        <v>168.0</v>
      </c>
      <c r="G308" s="84">
        <v>2941.0</v>
      </c>
      <c r="H308" s="85">
        <v>46044.0</v>
      </c>
      <c r="I308" s="85">
        <v>46212.0</v>
      </c>
      <c r="J308" s="82" t="s">
        <v>535</v>
      </c>
      <c r="K308" s="86">
        <v>1146706.0</v>
      </c>
      <c r="L308" s="84">
        <v>5368.0</v>
      </c>
      <c r="M308" s="80" t="s">
        <v>554</v>
      </c>
      <c r="N308" s="80"/>
      <c r="O308" s="80"/>
      <c r="P308" s="80"/>
      <c r="Q308" s="80"/>
      <c r="R308" s="80"/>
      <c r="S308" s="80"/>
      <c r="T308" s="80"/>
      <c r="U308" s="80"/>
      <c r="V308" s="80"/>
      <c r="W308" s="80"/>
      <c r="X308" s="80"/>
      <c r="Y308" s="80"/>
      <c r="Z308" s="80"/>
    </row>
    <row r="309">
      <c r="A309" s="81">
        <v>2888.0</v>
      </c>
      <c r="B309" s="82" t="s">
        <v>581</v>
      </c>
      <c r="C309" s="82" t="s">
        <v>538</v>
      </c>
      <c r="D309" s="84">
        <v>5000.0</v>
      </c>
      <c r="E309" s="84">
        <v>180.0</v>
      </c>
      <c r="F309" s="84">
        <v>50.0</v>
      </c>
      <c r="G309" s="84">
        <v>2519.0</v>
      </c>
      <c r="H309" s="85">
        <v>46162.0</v>
      </c>
      <c r="I309" s="85">
        <v>46212.0</v>
      </c>
      <c r="J309" s="82" t="s">
        <v>535</v>
      </c>
      <c r="K309" s="86">
        <v>1160343.0</v>
      </c>
      <c r="L309" s="84">
        <v>53857.0</v>
      </c>
      <c r="M309" s="80" t="s">
        <v>554</v>
      </c>
      <c r="N309" s="80"/>
      <c r="O309" s="80"/>
      <c r="P309" s="80"/>
      <c r="Q309" s="80"/>
      <c r="R309" s="80"/>
      <c r="S309" s="80"/>
      <c r="T309" s="80"/>
      <c r="U309" s="80"/>
      <c r="V309" s="80"/>
      <c r="W309" s="80"/>
      <c r="X309" s="80"/>
      <c r="Y309" s="80"/>
      <c r="Z309" s="80"/>
    </row>
    <row r="310">
      <c r="A310" s="81">
        <v>2889.0</v>
      </c>
      <c r="B310" s="82" t="s">
        <v>581</v>
      </c>
      <c r="C310" s="82" t="s">
        <v>537</v>
      </c>
      <c r="D310" s="84">
        <v>5000.0</v>
      </c>
      <c r="E310" s="84">
        <v>180.0</v>
      </c>
      <c r="F310" s="84">
        <v>71.0</v>
      </c>
      <c r="G310" s="84">
        <v>3151.0</v>
      </c>
      <c r="H310" s="85">
        <v>46141.0</v>
      </c>
      <c r="I310" s="85">
        <v>46212.0</v>
      </c>
      <c r="J310" s="82" t="s">
        <v>535</v>
      </c>
      <c r="K310" s="86">
        <v>1156767.0</v>
      </c>
      <c r="L310" s="84">
        <v>45721.0</v>
      </c>
      <c r="M310" s="80" t="s">
        <v>554</v>
      </c>
      <c r="N310" s="80"/>
      <c r="O310" s="80"/>
      <c r="P310" s="80"/>
      <c r="Q310" s="80"/>
      <c r="R310" s="80"/>
      <c r="S310" s="80"/>
      <c r="T310" s="80"/>
      <c r="U310" s="80"/>
      <c r="V310" s="80"/>
      <c r="W310" s="80"/>
      <c r="X310" s="80"/>
      <c r="Y310" s="80"/>
      <c r="Z310" s="80"/>
    </row>
    <row r="311">
      <c r="A311" s="81">
        <v>2890.0</v>
      </c>
      <c r="B311" s="82" t="s">
        <v>581</v>
      </c>
      <c r="C311" s="82" t="s">
        <v>536</v>
      </c>
      <c r="D311" s="84">
        <v>5000.0</v>
      </c>
      <c r="E311" s="84">
        <v>180.0</v>
      </c>
      <c r="F311" s="84">
        <v>128.0</v>
      </c>
      <c r="G311" s="84">
        <v>5424.0</v>
      </c>
      <c r="H311" s="85">
        <v>46084.0</v>
      </c>
      <c r="I311" s="85">
        <v>46212.0</v>
      </c>
      <c r="J311" s="82" t="s">
        <v>540</v>
      </c>
      <c r="K311" s="86">
        <v>1151077.0</v>
      </c>
      <c r="L311" s="84">
        <v>26175.0</v>
      </c>
      <c r="M311" s="80" t="s">
        <v>554</v>
      </c>
      <c r="N311" s="80"/>
      <c r="O311" s="80"/>
      <c r="P311" s="80"/>
      <c r="Q311" s="80"/>
      <c r="R311" s="80"/>
      <c r="S311" s="80"/>
      <c r="T311" s="80"/>
      <c r="U311" s="80"/>
      <c r="V311" s="80"/>
      <c r="W311" s="80"/>
      <c r="X311" s="80"/>
      <c r="Y311" s="80"/>
      <c r="Z311" s="80"/>
    </row>
    <row r="312">
      <c r="A312" s="81">
        <v>2891.0</v>
      </c>
      <c r="B312" s="82" t="s">
        <v>587</v>
      </c>
      <c r="C312" s="82" t="s">
        <v>537</v>
      </c>
      <c r="D312" s="84">
        <v>5000.0</v>
      </c>
      <c r="E312" s="84">
        <v>180.0</v>
      </c>
      <c r="F312" s="84">
        <v>105.0</v>
      </c>
      <c r="G312" s="84">
        <v>4543.0</v>
      </c>
      <c r="H312" s="85">
        <v>46107.0</v>
      </c>
      <c r="I312" s="85">
        <v>46212.0</v>
      </c>
      <c r="J312" s="82" t="s">
        <v>535</v>
      </c>
      <c r="K312" s="86">
        <v>1154206.0</v>
      </c>
      <c r="L312" s="84">
        <v>33145.0</v>
      </c>
      <c r="M312" s="80" t="s">
        <v>554</v>
      </c>
      <c r="N312" s="80"/>
      <c r="O312" s="80"/>
      <c r="P312" s="80"/>
      <c r="Q312" s="80"/>
      <c r="R312" s="80"/>
      <c r="S312" s="80"/>
      <c r="T312" s="80"/>
      <c r="U312" s="80"/>
      <c r="V312" s="80"/>
      <c r="W312" s="80"/>
      <c r="X312" s="80"/>
      <c r="Y312" s="80"/>
      <c r="Z312" s="80"/>
    </row>
    <row r="313">
      <c r="A313" s="81">
        <v>2892.0</v>
      </c>
      <c r="B313" s="82" t="s">
        <v>587</v>
      </c>
      <c r="C313" s="82" t="s">
        <v>538</v>
      </c>
      <c r="D313" s="84">
        <v>5000.0</v>
      </c>
      <c r="E313" s="84">
        <v>180.0</v>
      </c>
      <c r="F313" s="84">
        <v>78.0</v>
      </c>
      <c r="G313" s="84">
        <v>4658.0</v>
      </c>
      <c r="H313" s="85">
        <v>46134.0</v>
      </c>
      <c r="I313" s="85">
        <v>46212.0</v>
      </c>
      <c r="J313" s="82" t="s">
        <v>535</v>
      </c>
      <c r="K313" s="86">
        <v>1155228.0</v>
      </c>
      <c r="L313" s="84">
        <v>37331.0</v>
      </c>
      <c r="M313" s="80" t="s">
        <v>554</v>
      </c>
      <c r="N313" s="80"/>
      <c r="O313" s="80"/>
      <c r="P313" s="80"/>
      <c r="Q313" s="80"/>
      <c r="R313" s="80"/>
      <c r="S313" s="80"/>
      <c r="T313" s="80"/>
      <c r="U313" s="80"/>
      <c r="V313" s="80"/>
      <c r="W313" s="80"/>
      <c r="X313" s="80"/>
      <c r="Y313" s="80"/>
      <c r="Z313" s="80"/>
    </row>
    <row r="314">
      <c r="A314" s="81">
        <v>2893.0</v>
      </c>
      <c r="B314" s="82" t="s">
        <v>587</v>
      </c>
      <c r="C314" s="82" t="s">
        <v>537</v>
      </c>
      <c r="D314" s="84">
        <v>5000.0</v>
      </c>
      <c r="E314" s="84">
        <v>180.0</v>
      </c>
      <c r="F314" s="84">
        <v>55.0</v>
      </c>
      <c r="G314" s="84">
        <v>1979.0</v>
      </c>
      <c r="H314" s="85">
        <v>46157.0</v>
      </c>
      <c r="I314" s="85">
        <v>46212.0</v>
      </c>
      <c r="J314" s="82" t="s">
        <v>535</v>
      </c>
      <c r="K314" s="86">
        <v>1159390.0</v>
      </c>
      <c r="L314" s="84">
        <v>32539.0</v>
      </c>
      <c r="M314" s="80" t="s">
        <v>554</v>
      </c>
      <c r="N314" s="80"/>
      <c r="O314" s="80"/>
      <c r="P314" s="80"/>
      <c r="Q314" s="80"/>
      <c r="R314" s="80"/>
      <c r="S314" s="80"/>
      <c r="T314" s="80"/>
      <c r="U314" s="80"/>
      <c r="V314" s="80"/>
      <c r="W314" s="80"/>
      <c r="X314" s="80"/>
      <c r="Y314" s="80"/>
      <c r="Z314" s="80"/>
    </row>
    <row r="315">
      <c r="A315" s="81">
        <v>2894.0</v>
      </c>
      <c r="B315" s="82" t="s">
        <v>587</v>
      </c>
      <c r="C315" s="82" t="s">
        <v>536</v>
      </c>
      <c r="D315" s="84">
        <v>5000.0</v>
      </c>
      <c r="E315" s="84">
        <v>180.0</v>
      </c>
      <c r="F315" s="84">
        <v>128.0</v>
      </c>
      <c r="G315" s="84">
        <v>5439.0</v>
      </c>
      <c r="H315" s="85">
        <v>46084.0</v>
      </c>
      <c r="I315" s="85">
        <v>46212.0</v>
      </c>
      <c r="J315" s="82" t="s">
        <v>540</v>
      </c>
      <c r="K315" s="86">
        <v>1151080.0</v>
      </c>
      <c r="L315" s="84">
        <v>26684.0</v>
      </c>
      <c r="M315" s="80" t="s">
        <v>554</v>
      </c>
      <c r="N315" s="80"/>
      <c r="O315" s="80"/>
      <c r="P315" s="80"/>
      <c r="Q315" s="80"/>
      <c r="R315" s="80"/>
      <c r="S315" s="80"/>
      <c r="T315" s="80"/>
      <c r="U315" s="80"/>
      <c r="V315" s="80"/>
      <c r="W315" s="80"/>
      <c r="X315" s="80"/>
      <c r="Y315" s="80"/>
      <c r="Z315" s="80"/>
    </row>
    <row r="316">
      <c r="A316" s="81">
        <v>2895.0</v>
      </c>
      <c r="B316" s="82" t="s">
        <v>587</v>
      </c>
      <c r="C316" s="82" t="s">
        <v>537</v>
      </c>
      <c r="D316" s="84">
        <v>5000.0</v>
      </c>
      <c r="E316" s="84">
        <v>180.0</v>
      </c>
      <c r="F316" s="84">
        <v>56.0</v>
      </c>
      <c r="G316" s="84">
        <v>4313.0</v>
      </c>
      <c r="H316" s="85">
        <v>46156.0</v>
      </c>
      <c r="I316" s="85">
        <v>46212.0</v>
      </c>
      <c r="J316" s="82" t="s">
        <v>535</v>
      </c>
      <c r="K316" s="86">
        <v>1158361.0</v>
      </c>
      <c r="L316" s="84">
        <v>56376.0</v>
      </c>
      <c r="M316" s="80" t="s">
        <v>554</v>
      </c>
      <c r="N316" s="80"/>
      <c r="O316" s="80"/>
      <c r="P316" s="80"/>
      <c r="Q316" s="80"/>
      <c r="R316" s="80"/>
      <c r="S316" s="80"/>
      <c r="T316" s="80"/>
      <c r="U316" s="80"/>
      <c r="V316" s="80"/>
      <c r="W316" s="80"/>
      <c r="X316" s="80"/>
      <c r="Y316" s="80"/>
      <c r="Z316" s="80"/>
    </row>
    <row r="317">
      <c r="A317" s="81">
        <v>2896.0</v>
      </c>
      <c r="B317" s="82" t="s">
        <v>587</v>
      </c>
      <c r="C317" s="82" t="s">
        <v>536</v>
      </c>
      <c r="D317" s="84">
        <v>5000.0</v>
      </c>
      <c r="E317" s="84">
        <v>180.0</v>
      </c>
      <c r="F317" s="84">
        <v>56.0</v>
      </c>
      <c r="G317" s="84">
        <v>6966.0</v>
      </c>
      <c r="H317" s="85">
        <v>46156.0</v>
      </c>
      <c r="I317" s="85">
        <v>46212.0</v>
      </c>
      <c r="J317" s="82" t="s">
        <v>540</v>
      </c>
      <c r="K317" s="86">
        <v>1158362.0</v>
      </c>
      <c r="L317" s="84">
        <v>61712.0</v>
      </c>
      <c r="M317" s="80" t="s">
        <v>554</v>
      </c>
      <c r="N317" s="80"/>
      <c r="O317" s="80"/>
      <c r="P317" s="80"/>
      <c r="Q317" s="80"/>
      <c r="R317" s="80"/>
      <c r="S317" s="80"/>
      <c r="T317" s="80"/>
      <c r="U317" s="80"/>
      <c r="V317" s="80"/>
      <c r="W317" s="80"/>
      <c r="X317" s="80"/>
      <c r="Y317" s="80"/>
      <c r="Z317" s="80"/>
    </row>
    <row r="318">
      <c r="A318" s="81">
        <v>2897.0</v>
      </c>
      <c r="B318" s="82" t="s">
        <v>587</v>
      </c>
      <c r="C318" s="82" t="s">
        <v>537</v>
      </c>
      <c r="D318" s="84">
        <v>5000.0</v>
      </c>
      <c r="E318" s="84">
        <v>180.0</v>
      </c>
      <c r="F318" s="84">
        <v>80.0</v>
      </c>
      <c r="G318" s="84">
        <v>5423.0</v>
      </c>
      <c r="H318" s="85">
        <v>46132.0</v>
      </c>
      <c r="I318" s="85">
        <v>46212.0</v>
      </c>
      <c r="J318" s="82" t="s">
        <v>540</v>
      </c>
      <c r="K318" s="86">
        <v>1156089.0</v>
      </c>
      <c r="L318" s="84">
        <v>46411.52</v>
      </c>
      <c r="M318" s="80" t="s">
        <v>554</v>
      </c>
      <c r="N318" s="80"/>
      <c r="O318" s="80"/>
      <c r="P318" s="80"/>
      <c r="Q318" s="80"/>
      <c r="R318" s="80"/>
      <c r="S318" s="80"/>
      <c r="T318" s="80"/>
      <c r="U318" s="80"/>
      <c r="V318" s="80"/>
      <c r="W318" s="80"/>
      <c r="X318" s="80"/>
      <c r="Y318" s="80"/>
      <c r="Z318" s="80"/>
    </row>
    <row r="319">
      <c r="A319" s="81">
        <v>2898.0</v>
      </c>
      <c r="B319" s="82" t="s">
        <v>587</v>
      </c>
      <c r="C319" s="82" t="s">
        <v>537</v>
      </c>
      <c r="D319" s="84">
        <v>5000.0</v>
      </c>
      <c r="E319" s="84">
        <v>180.0</v>
      </c>
      <c r="F319" s="84">
        <v>35.0</v>
      </c>
      <c r="G319" s="84">
        <v>1242.0</v>
      </c>
      <c r="H319" s="85">
        <v>46177.0</v>
      </c>
      <c r="I319" s="85">
        <v>46212.0</v>
      </c>
      <c r="J319" s="82" t="s">
        <v>535</v>
      </c>
      <c r="K319" s="86">
        <v>1161594.0</v>
      </c>
      <c r="L319" s="84">
        <v>36562.0</v>
      </c>
      <c r="M319" s="80" t="s">
        <v>554</v>
      </c>
      <c r="N319" s="80"/>
      <c r="O319" s="80"/>
      <c r="P319" s="80"/>
      <c r="Q319" s="80"/>
      <c r="R319" s="80"/>
      <c r="S319" s="80"/>
      <c r="T319" s="80"/>
      <c r="U319" s="80"/>
      <c r="V319" s="80"/>
      <c r="W319" s="80"/>
      <c r="X319" s="80"/>
      <c r="Y319" s="80"/>
      <c r="Z319" s="80"/>
    </row>
    <row r="320">
      <c r="A320" s="81">
        <v>2903.0</v>
      </c>
      <c r="B320" s="82" t="s">
        <v>587</v>
      </c>
      <c r="C320" s="82" t="s">
        <v>536</v>
      </c>
      <c r="D320" s="84">
        <v>5000.0</v>
      </c>
      <c r="E320" s="84">
        <v>180.0</v>
      </c>
      <c r="F320" s="84">
        <v>170.0</v>
      </c>
      <c r="G320" s="84">
        <v>5228.0</v>
      </c>
      <c r="H320" s="85">
        <v>46042.0</v>
      </c>
      <c r="I320" s="85">
        <v>46212.0</v>
      </c>
      <c r="J320" s="82" t="s">
        <v>540</v>
      </c>
      <c r="K320" s="86">
        <v>1146677.0</v>
      </c>
      <c r="L320" s="84">
        <v>21026.0</v>
      </c>
      <c r="M320" s="80" t="s">
        <v>554</v>
      </c>
      <c r="N320" s="80"/>
      <c r="O320" s="80"/>
      <c r="P320" s="80"/>
      <c r="Q320" s="80"/>
      <c r="R320" s="80"/>
      <c r="S320" s="80"/>
      <c r="T320" s="80"/>
      <c r="U320" s="80"/>
      <c r="V320" s="80"/>
      <c r="W320" s="80"/>
      <c r="X320" s="80"/>
      <c r="Y320" s="80"/>
      <c r="Z320" s="80"/>
    </row>
    <row r="321">
      <c r="A321" s="81">
        <v>2904.0</v>
      </c>
      <c r="B321" s="82" t="s">
        <v>587</v>
      </c>
      <c r="C321" s="82" t="s">
        <v>536</v>
      </c>
      <c r="D321" s="84">
        <v>5000.0</v>
      </c>
      <c r="E321" s="84">
        <v>180.0</v>
      </c>
      <c r="F321" s="84">
        <v>45.0</v>
      </c>
      <c r="G321" s="84">
        <v>1570.0</v>
      </c>
      <c r="H321" s="85">
        <v>46167.0</v>
      </c>
      <c r="I321" s="85">
        <v>46212.0</v>
      </c>
      <c r="J321" s="82" t="s">
        <v>535</v>
      </c>
      <c r="K321" s="86">
        <v>1161245.0</v>
      </c>
      <c r="L321" s="84">
        <v>25143.0</v>
      </c>
      <c r="M321" s="80" t="s">
        <v>554</v>
      </c>
      <c r="N321" s="80"/>
      <c r="O321" s="80"/>
      <c r="P321" s="80"/>
      <c r="Q321" s="80"/>
      <c r="R321" s="80"/>
      <c r="S321" s="80"/>
      <c r="T321" s="80"/>
      <c r="U321" s="80"/>
      <c r="V321" s="80"/>
      <c r="W321" s="80"/>
      <c r="X321" s="80"/>
      <c r="Y321" s="80"/>
      <c r="Z321" s="80"/>
    </row>
    <row r="322">
      <c r="A322" s="81">
        <v>2905.0</v>
      </c>
      <c r="B322" s="82" t="s">
        <v>587</v>
      </c>
      <c r="C322" s="82" t="s">
        <v>536</v>
      </c>
      <c r="D322" s="84">
        <v>5000.0</v>
      </c>
      <c r="E322" s="84">
        <v>180.0</v>
      </c>
      <c r="F322" s="84">
        <v>55.0</v>
      </c>
      <c r="G322" s="84">
        <v>2158.0</v>
      </c>
      <c r="H322" s="85">
        <v>46157.0</v>
      </c>
      <c r="I322" s="85">
        <v>46212.0</v>
      </c>
      <c r="J322" s="82" t="s">
        <v>535</v>
      </c>
      <c r="K322" s="86">
        <v>1159382.0</v>
      </c>
      <c r="L322" s="84">
        <v>26816.0</v>
      </c>
      <c r="M322" s="80" t="s">
        <v>554</v>
      </c>
      <c r="N322" s="80"/>
      <c r="O322" s="80"/>
      <c r="P322" s="80"/>
      <c r="Q322" s="80"/>
      <c r="R322" s="80"/>
      <c r="S322" s="80"/>
      <c r="T322" s="80"/>
      <c r="U322" s="80"/>
      <c r="V322" s="80"/>
      <c r="W322" s="80"/>
      <c r="X322" s="80"/>
      <c r="Y322" s="80"/>
      <c r="Z322" s="80"/>
    </row>
    <row r="323">
      <c r="A323" s="81">
        <v>2906.0</v>
      </c>
      <c r="B323" s="82" t="s">
        <v>587</v>
      </c>
      <c r="C323" s="82" t="s">
        <v>536</v>
      </c>
      <c r="D323" s="84">
        <v>5000.0</v>
      </c>
      <c r="E323" s="84">
        <v>180.0</v>
      </c>
      <c r="F323" s="84">
        <v>128.0</v>
      </c>
      <c r="G323" s="84">
        <v>4590.0</v>
      </c>
      <c r="H323" s="85">
        <v>46084.0</v>
      </c>
      <c r="I323" s="85">
        <v>46212.0</v>
      </c>
      <c r="J323" s="82" t="s">
        <v>535</v>
      </c>
      <c r="K323" s="86">
        <v>1151070.0</v>
      </c>
      <c r="L323" s="84">
        <v>18101.0</v>
      </c>
      <c r="M323" s="80" t="s">
        <v>538</v>
      </c>
      <c r="N323" s="80"/>
      <c r="O323" s="80"/>
      <c r="P323" s="80"/>
      <c r="Q323" s="80"/>
      <c r="R323" s="80"/>
      <c r="S323" s="80"/>
      <c r="T323" s="80"/>
      <c r="U323" s="80"/>
      <c r="V323" s="80"/>
      <c r="W323" s="80"/>
      <c r="X323" s="80"/>
      <c r="Y323" s="80"/>
      <c r="Z323" s="80"/>
    </row>
    <row r="324">
      <c r="A324" s="81">
        <v>2907.0</v>
      </c>
      <c r="B324" s="82" t="s">
        <v>587</v>
      </c>
      <c r="C324" s="82" t="s">
        <v>576</v>
      </c>
      <c r="D324" s="84">
        <v>5000.0</v>
      </c>
      <c r="E324" s="84">
        <v>180.0</v>
      </c>
      <c r="F324" s="84">
        <v>55.0</v>
      </c>
      <c r="G324" s="84">
        <v>4155.0</v>
      </c>
      <c r="H324" s="85">
        <v>46157.0</v>
      </c>
      <c r="I324" s="85">
        <v>46212.0</v>
      </c>
      <c r="J324" s="82" t="s">
        <v>535</v>
      </c>
      <c r="K324" s="86">
        <v>1158360.0</v>
      </c>
      <c r="L324" s="84">
        <v>45651.0</v>
      </c>
      <c r="M324" s="80" t="s">
        <v>576</v>
      </c>
      <c r="N324" s="80"/>
      <c r="O324" s="80"/>
      <c r="P324" s="80"/>
      <c r="Q324" s="80"/>
      <c r="R324" s="80"/>
      <c r="S324" s="80"/>
      <c r="T324" s="80"/>
      <c r="U324" s="80"/>
      <c r="V324" s="80"/>
      <c r="W324" s="80"/>
      <c r="X324" s="80"/>
      <c r="Y324" s="80"/>
      <c r="Z324" s="80"/>
    </row>
    <row r="325">
      <c r="A325" s="81">
        <v>2908.0</v>
      </c>
      <c r="B325" s="82" t="s">
        <v>587</v>
      </c>
      <c r="C325" s="82" t="s">
        <v>538</v>
      </c>
      <c r="D325" s="84">
        <v>5000.0</v>
      </c>
      <c r="E325" s="84">
        <v>180.0</v>
      </c>
      <c r="F325" s="84">
        <v>77.0</v>
      </c>
      <c r="G325" s="84">
        <v>4332.0</v>
      </c>
      <c r="H325" s="85">
        <v>46135.0</v>
      </c>
      <c r="I325" s="85">
        <v>46212.0</v>
      </c>
      <c r="J325" s="82" t="s">
        <v>535</v>
      </c>
      <c r="K325" s="86">
        <v>1155229.0</v>
      </c>
      <c r="L325" s="84">
        <v>35883.0</v>
      </c>
      <c r="M325" s="80" t="s">
        <v>554</v>
      </c>
      <c r="N325" s="80"/>
      <c r="O325" s="80"/>
      <c r="P325" s="80"/>
      <c r="Q325" s="80"/>
      <c r="R325" s="80"/>
      <c r="S325" s="80"/>
      <c r="T325" s="80"/>
      <c r="U325" s="80"/>
      <c r="V325" s="80"/>
      <c r="W325" s="80"/>
      <c r="X325" s="80"/>
      <c r="Y325" s="80"/>
      <c r="Z325" s="80"/>
    </row>
    <row r="326">
      <c r="A326" s="81">
        <v>2909.0</v>
      </c>
      <c r="B326" s="82" t="s">
        <v>587</v>
      </c>
      <c r="C326" s="82" t="s">
        <v>536</v>
      </c>
      <c r="D326" s="84">
        <v>5000.0</v>
      </c>
      <c r="E326" s="84">
        <v>180.0</v>
      </c>
      <c r="F326" s="84">
        <v>107.0</v>
      </c>
      <c r="G326" s="84">
        <v>5874.0</v>
      </c>
      <c r="H326" s="85">
        <v>46105.0</v>
      </c>
      <c r="I326" s="85">
        <v>46212.0</v>
      </c>
      <c r="J326" s="82" t="s">
        <v>540</v>
      </c>
      <c r="K326" s="86">
        <v>1154204.0</v>
      </c>
      <c r="L326" s="84">
        <v>27331.0</v>
      </c>
      <c r="M326" s="80" t="s">
        <v>554</v>
      </c>
      <c r="N326" s="80"/>
      <c r="O326" s="80"/>
      <c r="P326" s="80"/>
      <c r="Q326" s="80"/>
      <c r="R326" s="80"/>
      <c r="S326" s="80"/>
      <c r="T326" s="80"/>
      <c r="U326" s="80"/>
      <c r="V326" s="80"/>
      <c r="W326" s="80"/>
      <c r="X326" s="80"/>
      <c r="Y326" s="80"/>
      <c r="Z326" s="80"/>
    </row>
    <row r="327">
      <c r="A327" s="81">
        <v>2910.0</v>
      </c>
      <c r="B327" s="82" t="s">
        <v>587</v>
      </c>
      <c r="C327" s="82" t="s">
        <v>538</v>
      </c>
      <c r="D327" s="84">
        <v>5000.0</v>
      </c>
      <c r="E327" s="84">
        <v>180.0</v>
      </c>
      <c r="F327" s="84">
        <v>100.0</v>
      </c>
      <c r="G327" s="84">
        <v>6394.0</v>
      </c>
      <c r="H327" s="85">
        <v>46112.0</v>
      </c>
      <c r="I327" s="85">
        <v>46212.0</v>
      </c>
      <c r="J327" s="82" t="s">
        <v>540</v>
      </c>
      <c r="K327" s="86">
        <v>1154545.0</v>
      </c>
      <c r="L327" s="84">
        <v>26623.0</v>
      </c>
      <c r="M327" s="80" t="s">
        <v>537</v>
      </c>
      <c r="N327" s="80"/>
      <c r="O327" s="80"/>
      <c r="P327" s="80"/>
      <c r="Q327" s="80"/>
      <c r="R327" s="80"/>
      <c r="S327" s="80"/>
      <c r="T327" s="80"/>
      <c r="U327" s="80"/>
      <c r="V327" s="80"/>
      <c r="W327" s="80"/>
      <c r="X327" s="80"/>
      <c r="Y327" s="80"/>
      <c r="Z327" s="80"/>
    </row>
    <row r="328">
      <c r="A328" s="81">
        <v>2911.0</v>
      </c>
      <c r="B328" s="82" t="s">
        <v>587</v>
      </c>
      <c r="C328" s="82" t="s">
        <v>537</v>
      </c>
      <c r="D328" s="84">
        <v>5000.0</v>
      </c>
      <c r="E328" s="84">
        <v>180.0</v>
      </c>
      <c r="F328" s="84">
        <v>111.0</v>
      </c>
      <c r="G328" s="84">
        <v>5921.0</v>
      </c>
      <c r="H328" s="85">
        <v>46101.0</v>
      </c>
      <c r="I328" s="85">
        <v>46212.0</v>
      </c>
      <c r="J328" s="82" t="s">
        <v>540</v>
      </c>
      <c r="K328" s="86">
        <v>1153507.0</v>
      </c>
      <c r="L328" s="84">
        <v>32611.0</v>
      </c>
      <c r="M328" s="80" t="s">
        <v>554</v>
      </c>
      <c r="N328" s="80"/>
      <c r="O328" s="80"/>
      <c r="P328" s="80"/>
      <c r="Q328" s="80"/>
      <c r="R328" s="80"/>
      <c r="S328" s="80"/>
      <c r="T328" s="80"/>
      <c r="U328" s="80"/>
      <c r="V328" s="80"/>
      <c r="W328" s="80"/>
      <c r="X328" s="80"/>
      <c r="Y328" s="80"/>
      <c r="Z328" s="80"/>
    </row>
    <row r="329">
      <c r="A329" s="81">
        <v>2918.0</v>
      </c>
      <c r="B329" s="82" t="s">
        <v>581</v>
      </c>
      <c r="C329" s="82" t="s">
        <v>536</v>
      </c>
      <c r="D329" s="84">
        <v>5000.0</v>
      </c>
      <c r="E329" s="84">
        <v>180.0</v>
      </c>
      <c r="F329" s="84">
        <v>94.0</v>
      </c>
      <c r="G329" s="84">
        <v>3353.0</v>
      </c>
      <c r="H329" s="85">
        <v>46118.0</v>
      </c>
      <c r="I329" s="85">
        <v>46212.0</v>
      </c>
      <c r="J329" s="82" t="s">
        <v>535</v>
      </c>
      <c r="K329" s="86">
        <v>1155227.0</v>
      </c>
      <c r="L329" s="84">
        <v>24977.0</v>
      </c>
      <c r="M329" s="80" t="s">
        <v>554</v>
      </c>
      <c r="N329" s="80"/>
      <c r="O329" s="80"/>
      <c r="P329" s="80"/>
      <c r="Q329" s="80"/>
      <c r="R329" s="80"/>
      <c r="S329" s="80"/>
      <c r="T329" s="80"/>
      <c r="U329" s="80"/>
      <c r="V329" s="80"/>
      <c r="W329" s="80"/>
      <c r="X329" s="80"/>
      <c r="Y329" s="80"/>
      <c r="Z329" s="80"/>
    </row>
    <row r="330">
      <c r="A330" s="81">
        <v>2919.0</v>
      </c>
      <c r="B330" s="82" t="s">
        <v>581</v>
      </c>
      <c r="C330" s="82" t="s">
        <v>536</v>
      </c>
      <c r="D330" s="84">
        <v>5000.0</v>
      </c>
      <c r="E330" s="84">
        <v>180.0</v>
      </c>
      <c r="F330" s="84">
        <v>67.0</v>
      </c>
      <c r="G330" s="84">
        <v>1377.0</v>
      </c>
      <c r="H330" s="85">
        <v>46145.0</v>
      </c>
      <c r="I330" s="85">
        <v>46212.0</v>
      </c>
      <c r="J330" s="82" t="s">
        <v>535</v>
      </c>
      <c r="K330" s="86">
        <v>1157519.0</v>
      </c>
      <c r="L330" s="84">
        <v>12532.0</v>
      </c>
      <c r="M330" s="80" t="s">
        <v>554</v>
      </c>
      <c r="N330" s="80"/>
      <c r="O330" s="80"/>
      <c r="P330" s="80"/>
      <c r="Q330" s="80"/>
      <c r="R330" s="80"/>
      <c r="S330" s="80"/>
      <c r="T330" s="80"/>
      <c r="U330" s="80"/>
      <c r="V330" s="80"/>
      <c r="W330" s="80"/>
      <c r="X330" s="80"/>
      <c r="Y330" s="80"/>
      <c r="Z330" s="80"/>
    </row>
    <row r="331">
      <c r="A331" s="81">
        <v>2920.0</v>
      </c>
      <c r="B331" s="82" t="s">
        <v>581</v>
      </c>
      <c r="C331" s="82" t="s">
        <v>537</v>
      </c>
      <c r="D331" s="84">
        <v>5000.0</v>
      </c>
      <c r="E331" s="84">
        <v>180.0</v>
      </c>
      <c r="F331" s="84">
        <v>104.0</v>
      </c>
      <c r="G331" s="84">
        <v>5047.0</v>
      </c>
      <c r="H331" s="85">
        <v>46108.0</v>
      </c>
      <c r="I331" s="85">
        <v>46212.0</v>
      </c>
      <c r="J331" s="82" t="s">
        <v>540</v>
      </c>
      <c r="K331" s="86">
        <v>1151086.0</v>
      </c>
      <c r="L331" s="84">
        <v>28081.0</v>
      </c>
      <c r="M331" s="80" t="s">
        <v>554</v>
      </c>
      <c r="N331" s="80"/>
      <c r="O331" s="80"/>
      <c r="P331" s="80"/>
      <c r="Q331" s="80"/>
      <c r="R331" s="80"/>
      <c r="S331" s="80"/>
      <c r="T331" s="80"/>
      <c r="U331" s="80"/>
      <c r="V331" s="80"/>
      <c r="W331" s="80"/>
      <c r="X331" s="80"/>
      <c r="Y331" s="80"/>
      <c r="Z331" s="80"/>
    </row>
    <row r="332">
      <c r="A332" s="81">
        <v>2921.0</v>
      </c>
      <c r="B332" s="82" t="s">
        <v>588</v>
      </c>
      <c r="C332" s="82" t="s">
        <v>536</v>
      </c>
      <c r="D332" s="84">
        <v>5000.0</v>
      </c>
      <c r="E332" s="84">
        <v>180.0</v>
      </c>
      <c r="F332" s="84">
        <v>156.0</v>
      </c>
      <c r="G332" s="84">
        <v>4653.0</v>
      </c>
      <c r="H332" s="85">
        <v>46056.0</v>
      </c>
      <c r="I332" s="85">
        <v>46212.0</v>
      </c>
      <c r="J332" s="82" t="s">
        <v>535</v>
      </c>
      <c r="K332" s="86">
        <v>1148289.0</v>
      </c>
      <c r="L332" s="84">
        <v>14166.0</v>
      </c>
      <c r="M332" s="80" t="s">
        <v>554</v>
      </c>
      <c r="N332" s="80"/>
      <c r="O332" s="80"/>
      <c r="P332" s="80"/>
      <c r="Q332" s="80"/>
      <c r="R332" s="80"/>
      <c r="S332" s="80"/>
      <c r="T332" s="80"/>
      <c r="U332" s="80"/>
      <c r="V332" s="80"/>
      <c r="W332" s="80"/>
      <c r="X332" s="80"/>
      <c r="Y332" s="80"/>
      <c r="Z332" s="80"/>
    </row>
    <row r="333">
      <c r="A333" s="81">
        <v>2922.0</v>
      </c>
      <c r="B333" s="82" t="s">
        <v>588</v>
      </c>
      <c r="C333" s="82" t="s">
        <v>536</v>
      </c>
      <c r="D333" s="84">
        <v>5000.0</v>
      </c>
      <c r="E333" s="84">
        <v>180.0</v>
      </c>
      <c r="F333" s="84">
        <v>150.0</v>
      </c>
      <c r="G333" s="84">
        <v>4383.0</v>
      </c>
      <c r="H333" s="85">
        <v>46062.0</v>
      </c>
      <c r="I333" s="85">
        <v>46212.0</v>
      </c>
      <c r="J333" s="82" t="s">
        <v>535</v>
      </c>
      <c r="K333" s="86">
        <v>1146686.0</v>
      </c>
      <c r="L333" s="84">
        <v>13926.0</v>
      </c>
      <c r="M333" s="80" t="s">
        <v>554</v>
      </c>
      <c r="N333" s="80"/>
      <c r="O333" s="80"/>
      <c r="P333" s="80"/>
      <c r="Q333" s="80"/>
      <c r="R333" s="80"/>
      <c r="S333" s="80"/>
      <c r="T333" s="80"/>
      <c r="U333" s="80"/>
      <c r="V333" s="80"/>
      <c r="W333" s="80"/>
      <c r="X333" s="80"/>
      <c r="Y333" s="80"/>
      <c r="Z333" s="80"/>
    </row>
    <row r="334">
      <c r="A334" s="81">
        <v>2923.0</v>
      </c>
      <c r="B334" s="82" t="s">
        <v>588</v>
      </c>
      <c r="C334" s="82" t="s">
        <v>536</v>
      </c>
      <c r="D334" s="84">
        <v>5000.0</v>
      </c>
      <c r="E334" s="84">
        <v>180.0</v>
      </c>
      <c r="F334" s="84">
        <v>77.0</v>
      </c>
      <c r="G334" s="84">
        <v>5969.0</v>
      </c>
      <c r="H334" s="85">
        <v>46135.0</v>
      </c>
      <c r="I334" s="85">
        <v>46212.0</v>
      </c>
      <c r="J334" s="82" t="s">
        <v>540</v>
      </c>
      <c r="K334" s="86">
        <v>1156088.0</v>
      </c>
      <c r="L334" s="84">
        <v>40440.0</v>
      </c>
      <c r="M334" s="80" t="s">
        <v>554</v>
      </c>
      <c r="N334" s="80"/>
      <c r="O334" s="80"/>
      <c r="P334" s="80"/>
      <c r="Q334" s="80"/>
      <c r="R334" s="80"/>
      <c r="S334" s="80"/>
      <c r="T334" s="80"/>
      <c r="U334" s="80"/>
      <c r="V334" s="80"/>
      <c r="W334" s="80"/>
      <c r="X334" s="80"/>
      <c r="Y334" s="80"/>
      <c r="Z334" s="80"/>
    </row>
    <row r="335">
      <c r="A335" s="81">
        <v>2924.0</v>
      </c>
      <c r="B335" s="82" t="s">
        <v>588</v>
      </c>
      <c r="C335" s="82" t="s">
        <v>536</v>
      </c>
      <c r="D335" s="84">
        <v>5000.0</v>
      </c>
      <c r="E335" s="84">
        <v>180.0</v>
      </c>
      <c r="F335" s="84">
        <v>57.0</v>
      </c>
      <c r="G335" s="84">
        <v>2198.0</v>
      </c>
      <c r="H335" s="85">
        <v>46155.0</v>
      </c>
      <c r="I335" s="85">
        <v>46212.0</v>
      </c>
      <c r="J335" s="82" t="s">
        <v>535</v>
      </c>
      <c r="K335" s="86">
        <v>1158353.0</v>
      </c>
      <c r="L335" s="84">
        <v>21644.0</v>
      </c>
      <c r="M335" s="80" t="s">
        <v>554</v>
      </c>
      <c r="N335" s="80"/>
      <c r="O335" s="80"/>
      <c r="P335" s="80"/>
      <c r="Q335" s="80"/>
      <c r="R335" s="80"/>
      <c r="S335" s="80"/>
      <c r="T335" s="80"/>
      <c r="U335" s="80"/>
      <c r="V335" s="80"/>
      <c r="W335" s="80"/>
      <c r="X335" s="80"/>
      <c r="Y335" s="80"/>
      <c r="Z335" s="80"/>
    </row>
    <row r="336">
      <c r="A336" s="81">
        <v>2925.0</v>
      </c>
      <c r="B336" s="82" t="s">
        <v>588</v>
      </c>
      <c r="C336" s="82" t="s">
        <v>536</v>
      </c>
      <c r="D336" s="84">
        <v>5000.0</v>
      </c>
      <c r="E336" s="84">
        <v>180.0</v>
      </c>
      <c r="F336" s="84">
        <v>125.0</v>
      </c>
      <c r="G336" s="84">
        <v>5412.0</v>
      </c>
      <c r="H336" s="85">
        <v>46087.0</v>
      </c>
      <c r="I336" s="85">
        <v>46212.0</v>
      </c>
      <c r="J336" s="82" t="s">
        <v>540</v>
      </c>
      <c r="K336" s="86">
        <v>1151075.0</v>
      </c>
      <c r="L336" s="84">
        <v>23962.0</v>
      </c>
      <c r="M336" s="80" t="s">
        <v>554</v>
      </c>
      <c r="N336" s="80"/>
      <c r="O336" s="80"/>
      <c r="P336" s="80"/>
      <c r="Q336" s="80"/>
      <c r="R336" s="80"/>
      <c r="S336" s="80"/>
      <c r="T336" s="80"/>
      <c r="U336" s="80"/>
      <c r="V336" s="80"/>
      <c r="W336" s="80"/>
      <c r="X336" s="80"/>
      <c r="Y336" s="80"/>
      <c r="Z336" s="80"/>
    </row>
    <row r="337">
      <c r="A337" s="81">
        <v>2926.0</v>
      </c>
      <c r="B337" s="82" t="s">
        <v>588</v>
      </c>
      <c r="C337" s="82" t="s">
        <v>537</v>
      </c>
      <c r="D337" s="84">
        <v>5000.0</v>
      </c>
      <c r="E337" s="84">
        <v>180.0</v>
      </c>
      <c r="F337" s="84">
        <v>111.0</v>
      </c>
      <c r="G337" s="84">
        <v>4791.0</v>
      </c>
      <c r="H337" s="85">
        <v>46101.0</v>
      </c>
      <c r="I337" s="85">
        <v>46212.0</v>
      </c>
      <c r="J337" s="82" t="s">
        <v>535</v>
      </c>
      <c r="K337" s="86">
        <v>1153499.0</v>
      </c>
      <c r="L337" s="84">
        <v>29076.0</v>
      </c>
      <c r="M337" s="80" t="s">
        <v>554</v>
      </c>
      <c r="N337" s="80"/>
      <c r="O337" s="80"/>
      <c r="P337" s="80"/>
      <c r="Q337" s="80"/>
      <c r="R337" s="80"/>
      <c r="S337" s="80"/>
      <c r="T337" s="80"/>
      <c r="U337" s="80"/>
      <c r="V337" s="80"/>
      <c r="W337" s="80"/>
      <c r="X337" s="80"/>
      <c r="Y337" s="80"/>
      <c r="Z337" s="80"/>
    </row>
    <row r="338">
      <c r="A338" s="81">
        <v>2927.0</v>
      </c>
      <c r="B338" s="82" t="s">
        <v>588</v>
      </c>
      <c r="C338" s="82" t="s">
        <v>536</v>
      </c>
      <c r="D338" s="84">
        <v>5000.0</v>
      </c>
      <c r="E338" s="84">
        <v>180.0</v>
      </c>
      <c r="F338" s="84">
        <v>142.0</v>
      </c>
      <c r="G338" s="84">
        <v>4990.0</v>
      </c>
      <c r="H338" s="85">
        <v>46070.0</v>
      </c>
      <c r="I338" s="85">
        <v>46212.0</v>
      </c>
      <c r="J338" s="82" t="s">
        <v>535</v>
      </c>
      <c r="K338" s="86">
        <v>1150081.0</v>
      </c>
      <c r="L338" s="84">
        <v>9812.0</v>
      </c>
      <c r="M338" s="80" t="s">
        <v>554</v>
      </c>
      <c r="N338" s="80"/>
      <c r="O338" s="80"/>
      <c r="P338" s="80"/>
      <c r="Q338" s="80"/>
      <c r="R338" s="80"/>
      <c r="S338" s="80"/>
      <c r="T338" s="80"/>
      <c r="U338" s="80"/>
      <c r="V338" s="80"/>
      <c r="W338" s="80"/>
      <c r="X338" s="80"/>
      <c r="Y338" s="80"/>
      <c r="Z338" s="80"/>
    </row>
    <row r="339">
      <c r="A339" s="81">
        <v>2930.0</v>
      </c>
      <c r="B339" s="82" t="s">
        <v>533</v>
      </c>
      <c r="C339" s="82" t="s">
        <v>534</v>
      </c>
      <c r="D339" s="84">
        <v>30000.0</v>
      </c>
      <c r="E339" s="84">
        <v>120.0</v>
      </c>
      <c r="F339" s="84">
        <v>58.0</v>
      </c>
      <c r="G339" s="84">
        <v>19855.2</v>
      </c>
      <c r="H339" s="85">
        <v>46154.0</v>
      </c>
      <c r="I339" s="85">
        <v>46212.0</v>
      </c>
      <c r="J339" s="82" t="s">
        <v>535</v>
      </c>
      <c r="K339" s="86">
        <v>1159534.0</v>
      </c>
      <c r="L339" s="84">
        <v>727332.61</v>
      </c>
      <c r="M339" s="80" t="s">
        <v>545</v>
      </c>
      <c r="N339" s="80"/>
      <c r="O339" s="80"/>
      <c r="P339" s="80"/>
      <c r="Q339" s="80"/>
      <c r="R339" s="80"/>
      <c r="S339" s="80"/>
      <c r="T339" s="80"/>
      <c r="U339" s="80"/>
      <c r="V339" s="80"/>
      <c r="W339" s="80"/>
      <c r="X339" s="80"/>
      <c r="Y339" s="80"/>
      <c r="Z339" s="80"/>
    </row>
    <row r="340">
      <c r="A340" s="81">
        <v>3047.0</v>
      </c>
      <c r="B340" s="82" t="s">
        <v>533</v>
      </c>
      <c r="C340" s="82" t="s">
        <v>536</v>
      </c>
      <c r="D340" s="84">
        <v>30000.0</v>
      </c>
      <c r="E340" s="84">
        <v>180.0</v>
      </c>
      <c r="F340" s="84">
        <v>19.0</v>
      </c>
      <c r="G340" s="84">
        <v>4532.8</v>
      </c>
      <c r="H340" s="85">
        <v>46193.0</v>
      </c>
      <c r="I340" s="85">
        <v>46212.0</v>
      </c>
      <c r="J340" s="82" t="s">
        <v>535</v>
      </c>
      <c r="K340" s="86">
        <v>1161907.0</v>
      </c>
      <c r="L340" s="84">
        <v>958748.99</v>
      </c>
      <c r="M340" s="80" t="s">
        <v>537</v>
      </c>
      <c r="N340" s="80"/>
      <c r="O340" s="80"/>
      <c r="P340" s="80"/>
      <c r="Q340" s="80"/>
      <c r="R340" s="80"/>
      <c r="S340" s="80"/>
      <c r="T340" s="80"/>
      <c r="U340" s="80"/>
      <c r="V340" s="80"/>
      <c r="W340" s="80"/>
      <c r="X340" s="80"/>
      <c r="Y340" s="80"/>
      <c r="Z340" s="80"/>
    </row>
    <row r="341">
      <c r="A341" s="81">
        <v>3048.0</v>
      </c>
      <c r="B341" s="82" t="s">
        <v>533</v>
      </c>
      <c r="C341" s="82" t="s">
        <v>536</v>
      </c>
      <c r="D341" s="84">
        <v>30000.0</v>
      </c>
      <c r="E341" s="84">
        <v>180.0</v>
      </c>
      <c r="F341" s="84">
        <v>162.0</v>
      </c>
      <c r="G341" s="84">
        <v>10693.5</v>
      </c>
      <c r="H341" s="85">
        <v>46050.0</v>
      </c>
      <c r="I341" s="85">
        <v>46212.0</v>
      </c>
      <c r="J341" s="82" t="s">
        <v>535</v>
      </c>
      <c r="K341" s="86">
        <v>1146681.0</v>
      </c>
      <c r="L341" s="84">
        <v>912596.53</v>
      </c>
      <c r="M341" s="80" t="s">
        <v>536</v>
      </c>
      <c r="N341" s="80"/>
      <c r="O341" s="80"/>
      <c r="P341" s="80"/>
      <c r="Q341" s="80"/>
      <c r="R341" s="80"/>
      <c r="S341" s="80"/>
      <c r="T341" s="80"/>
      <c r="U341" s="80"/>
      <c r="V341" s="80"/>
      <c r="W341" s="80"/>
      <c r="X341" s="80"/>
      <c r="Y341" s="80"/>
      <c r="Z341" s="80"/>
    </row>
    <row r="342">
      <c r="A342" s="81">
        <v>3049.0</v>
      </c>
      <c r="B342" s="82" t="s">
        <v>533</v>
      </c>
      <c r="C342" s="82" t="s">
        <v>536</v>
      </c>
      <c r="D342" s="84">
        <v>30000.0</v>
      </c>
      <c r="E342" s="84">
        <v>180.0</v>
      </c>
      <c r="F342" s="84">
        <v>152.0</v>
      </c>
      <c r="G342" s="84">
        <v>9280.4</v>
      </c>
      <c r="H342" s="85">
        <v>46060.0</v>
      </c>
      <c r="I342" s="85">
        <v>46212.0</v>
      </c>
      <c r="J342" s="82" t="s">
        <v>535</v>
      </c>
      <c r="K342" s="86">
        <v>1146667.0</v>
      </c>
      <c r="L342" s="84">
        <v>908936.49</v>
      </c>
      <c r="M342" s="80" t="s">
        <v>537</v>
      </c>
      <c r="N342" s="80"/>
      <c r="O342" s="80"/>
      <c r="P342" s="80"/>
      <c r="Q342" s="80"/>
      <c r="R342" s="80"/>
      <c r="S342" s="80"/>
      <c r="T342" s="80"/>
      <c r="U342" s="80"/>
      <c r="V342" s="80"/>
      <c r="W342" s="80"/>
      <c r="X342" s="80"/>
      <c r="Y342" s="80"/>
      <c r="Z342" s="80"/>
    </row>
    <row r="343">
      <c r="A343" s="81">
        <v>3063.0</v>
      </c>
      <c r="B343" s="82" t="s">
        <v>589</v>
      </c>
      <c r="C343" s="82" t="s">
        <v>534</v>
      </c>
      <c r="D343" s="84">
        <v>30000.0</v>
      </c>
      <c r="E343" s="84">
        <v>120.0</v>
      </c>
      <c r="F343" s="84">
        <v>43.0</v>
      </c>
      <c r="G343" s="84">
        <v>15734.3</v>
      </c>
      <c r="H343" s="85">
        <v>46169.0</v>
      </c>
      <c r="I343" s="85">
        <v>46212.0</v>
      </c>
      <c r="J343" s="82" t="s">
        <v>535</v>
      </c>
      <c r="K343" s="86">
        <v>1161341.0</v>
      </c>
      <c r="L343" s="84">
        <v>89050.46</v>
      </c>
      <c r="M343" s="80" t="s">
        <v>536</v>
      </c>
      <c r="N343" s="80"/>
      <c r="O343" s="80"/>
      <c r="P343" s="80"/>
      <c r="Q343" s="80"/>
      <c r="R343" s="80"/>
      <c r="S343" s="80"/>
      <c r="T343" s="80"/>
      <c r="U343" s="80"/>
      <c r="V343" s="80"/>
      <c r="W343" s="80"/>
      <c r="X343" s="80"/>
      <c r="Y343" s="80"/>
      <c r="Z343" s="80"/>
    </row>
    <row r="344">
      <c r="A344" s="81">
        <v>3064.0</v>
      </c>
      <c r="B344" s="82" t="s">
        <v>589</v>
      </c>
      <c r="C344" s="82" t="s">
        <v>534</v>
      </c>
      <c r="D344" s="84">
        <v>60000.0</v>
      </c>
      <c r="E344" s="84">
        <v>240.0</v>
      </c>
      <c r="F344" s="84">
        <v>150.0</v>
      </c>
      <c r="G344" s="84">
        <v>48916.0</v>
      </c>
      <c r="H344" s="85">
        <v>46062.0</v>
      </c>
      <c r="I344" s="85">
        <v>46212.0</v>
      </c>
      <c r="J344" s="82" t="s">
        <v>535</v>
      </c>
      <c r="K344" s="86">
        <v>1149087.0</v>
      </c>
      <c r="L344" s="84">
        <v>61567.34</v>
      </c>
      <c r="M344" s="80" t="s">
        <v>543</v>
      </c>
      <c r="N344" s="80"/>
      <c r="O344" s="80"/>
      <c r="P344" s="80"/>
      <c r="Q344" s="80"/>
      <c r="R344" s="80"/>
      <c r="S344" s="80"/>
      <c r="T344" s="80"/>
      <c r="U344" s="80"/>
      <c r="V344" s="80"/>
      <c r="W344" s="80"/>
      <c r="X344" s="80"/>
      <c r="Y344" s="80"/>
      <c r="Z344" s="80"/>
    </row>
    <row r="345">
      <c r="A345" s="81">
        <v>3065.0</v>
      </c>
      <c r="B345" s="82" t="s">
        <v>589</v>
      </c>
      <c r="C345" s="82" t="s">
        <v>534</v>
      </c>
      <c r="D345" s="84">
        <v>30000.0</v>
      </c>
      <c r="E345" s="84">
        <v>120.0</v>
      </c>
      <c r="F345" s="84">
        <v>50.0</v>
      </c>
      <c r="G345" s="84">
        <v>16354.8</v>
      </c>
      <c r="H345" s="85">
        <v>46162.0</v>
      </c>
      <c r="I345" s="85">
        <v>46212.0</v>
      </c>
      <c r="J345" s="82" t="s">
        <v>535</v>
      </c>
      <c r="K345" s="86">
        <v>1160212.0</v>
      </c>
      <c r="L345" s="84">
        <v>92782.72</v>
      </c>
      <c r="M345" s="80" t="s">
        <v>549</v>
      </c>
      <c r="N345" s="80"/>
      <c r="O345" s="80"/>
      <c r="P345" s="80"/>
      <c r="Q345" s="80"/>
      <c r="R345" s="80"/>
      <c r="S345" s="80"/>
      <c r="T345" s="80"/>
      <c r="U345" s="80"/>
      <c r="V345" s="80"/>
      <c r="W345" s="80"/>
      <c r="X345" s="80"/>
      <c r="Y345" s="80"/>
      <c r="Z345" s="80"/>
    </row>
    <row r="346">
      <c r="A346" s="81">
        <v>3066.0</v>
      </c>
      <c r="B346" s="82" t="s">
        <v>589</v>
      </c>
      <c r="C346" s="82" t="s">
        <v>534</v>
      </c>
      <c r="D346" s="84">
        <v>30000.0</v>
      </c>
      <c r="E346" s="84">
        <v>120.0</v>
      </c>
      <c r="F346" s="84">
        <v>27.0</v>
      </c>
      <c r="G346" s="84">
        <v>8502.1</v>
      </c>
      <c r="H346" s="85">
        <v>46185.0</v>
      </c>
      <c r="I346" s="85">
        <v>46212.0</v>
      </c>
      <c r="J346" s="82" t="s">
        <v>535</v>
      </c>
      <c r="K346" s="86">
        <v>1161783.0</v>
      </c>
      <c r="L346" s="84">
        <v>96263.13</v>
      </c>
      <c r="M346" s="80" t="s">
        <v>545</v>
      </c>
      <c r="N346" s="80"/>
      <c r="O346" s="80"/>
      <c r="P346" s="80"/>
      <c r="Q346" s="80"/>
      <c r="R346" s="80"/>
      <c r="S346" s="80"/>
      <c r="T346" s="80"/>
      <c r="U346" s="80"/>
      <c r="V346" s="80"/>
      <c r="W346" s="80"/>
      <c r="X346" s="80"/>
      <c r="Y346" s="80"/>
      <c r="Z346" s="80"/>
    </row>
    <row r="347">
      <c r="A347" s="81">
        <v>3067.0</v>
      </c>
      <c r="B347" s="82" t="s">
        <v>589</v>
      </c>
      <c r="C347" s="82" t="s">
        <v>534</v>
      </c>
      <c r="D347" s="84">
        <v>30000.0</v>
      </c>
      <c r="E347" s="84">
        <v>120.0</v>
      </c>
      <c r="F347" s="84">
        <v>152.0</v>
      </c>
      <c r="G347" s="84">
        <v>33668.4</v>
      </c>
      <c r="H347" s="85">
        <v>46060.0</v>
      </c>
      <c r="I347" s="85">
        <v>46212.0</v>
      </c>
      <c r="J347" s="82" t="s">
        <v>540</v>
      </c>
      <c r="K347" s="86">
        <v>1148954.0</v>
      </c>
      <c r="L347" s="84">
        <v>63711.98</v>
      </c>
      <c r="M347" s="80" t="s">
        <v>547</v>
      </c>
      <c r="N347" s="80"/>
      <c r="O347" s="80"/>
      <c r="P347" s="80"/>
      <c r="Q347" s="80"/>
      <c r="R347" s="80"/>
      <c r="S347" s="80"/>
      <c r="T347" s="80"/>
      <c r="U347" s="80"/>
      <c r="V347" s="80"/>
      <c r="W347" s="80"/>
      <c r="X347" s="80"/>
      <c r="Y347" s="80"/>
      <c r="Z347" s="80"/>
    </row>
    <row r="348">
      <c r="A348" s="81">
        <v>3068.0</v>
      </c>
      <c r="B348" s="82" t="s">
        <v>589</v>
      </c>
      <c r="C348" s="82" t="s">
        <v>534</v>
      </c>
      <c r="D348" s="84">
        <v>30000.0</v>
      </c>
      <c r="E348" s="84">
        <v>120.0</v>
      </c>
      <c r="F348" s="84">
        <v>143.0</v>
      </c>
      <c r="G348" s="84">
        <v>45301.0</v>
      </c>
      <c r="H348" s="85">
        <v>46069.0</v>
      </c>
      <c r="I348" s="85">
        <v>46212.0</v>
      </c>
      <c r="J348" s="82" t="s">
        <v>540</v>
      </c>
      <c r="K348" s="86">
        <v>1149895.0</v>
      </c>
      <c r="L348" s="84">
        <v>64458.42</v>
      </c>
      <c r="M348" s="80" t="s">
        <v>539</v>
      </c>
      <c r="N348" s="80"/>
      <c r="O348" s="80"/>
      <c r="P348" s="80"/>
      <c r="Q348" s="80"/>
      <c r="R348" s="80"/>
      <c r="S348" s="80"/>
      <c r="T348" s="80"/>
      <c r="U348" s="80"/>
      <c r="V348" s="80"/>
      <c r="W348" s="80"/>
      <c r="X348" s="80"/>
      <c r="Y348" s="80"/>
      <c r="Z348" s="80"/>
    </row>
    <row r="349">
      <c r="A349" s="81">
        <v>3069.0</v>
      </c>
      <c r="B349" s="82" t="s">
        <v>589</v>
      </c>
      <c r="C349" s="82" t="s">
        <v>534</v>
      </c>
      <c r="D349" s="84">
        <v>30000.0</v>
      </c>
      <c r="E349" s="84">
        <v>120.0</v>
      </c>
      <c r="F349" s="84">
        <v>41.0</v>
      </c>
      <c r="G349" s="84">
        <v>14090.9</v>
      </c>
      <c r="H349" s="85">
        <v>46171.0</v>
      </c>
      <c r="I349" s="85">
        <v>46212.0</v>
      </c>
      <c r="J349" s="82" t="s">
        <v>535</v>
      </c>
      <c r="K349" s="86">
        <v>1161476.0</v>
      </c>
      <c r="L349" s="84">
        <v>93538.39</v>
      </c>
      <c r="M349" s="80" t="s">
        <v>543</v>
      </c>
      <c r="N349" s="80"/>
      <c r="O349" s="80"/>
      <c r="P349" s="80"/>
      <c r="Q349" s="80"/>
      <c r="R349" s="80"/>
      <c r="S349" s="80"/>
      <c r="T349" s="80"/>
      <c r="U349" s="80"/>
      <c r="V349" s="80"/>
      <c r="W349" s="80"/>
      <c r="X349" s="80"/>
      <c r="Y349" s="80"/>
      <c r="Z349" s="80"/>
    </row>
    <row r="350">
      <c r="A350" s="81">
        <v>3070.0</v>
      </c>
      <c r="B350" s="82" t="s">
        <v>589</v>
      </c>
      <c r="C350" s="82" t="s">
        <v>534</v>
      </c>
      <c r="D350" s="84">
        <v>60000.0</v>
      </c>
      <c r="E350" s="84">
        <v>240.0</v>
      </c>
      <c r="F350" s="84">
        <v>149.0</v>
      </c>
      <c r="G350" s="84">
        <v>47389.6</v>
      </c>
      <c r="H350" s="85">
        <v>46063.0</v>
      </c>
      <c r="I350" s="85">
        <v>46212.0</v>
      </c>
      <c r="J350" s="82" t="s">
        <v>535</v>
      </c>
      <c r="K350" s="86">
        <v>1149251.0</v>
      </c>
      <c r="L350" s="84">
        <v>67428.91</v>
      </c>
      <c r="M350" s="80" t="s">
        <v>564</v>
      </c>
      <c r="N350" s="80"/>
      <c r="O350" s="80"/>
      <c r="P350" s="80"/>
      <c r="Q350" s="80"/>
      <c r="R350" s="80"/>
      <c r="S350" s="80"/>
      <c r="T350" s="80"/>
      <c r="U350" s="80"/>
      <c r="V350" s="80"/>
      <c r="W350" s="80"/>
      <c r="X350" s="80"/>
      <c r="Y350" s="80"/>
      <c r="Z350" s="80"/>
    </row>
    <row r="351">
      <c r="A351" s="81">
        <v>3071.0</v>
      </c>
      <c r="B351" s="82" t="s">
        <v>589</v>
      </c>
      <c r="C351" s="82" t="s">
        <v>534</v>
      </c>
      <c r="D351" s="84">
        <v>30000.0</v>
      </c>
      <c r="E351" s="84">
        <v>120.0</v>
      </c>
      <c r="F351" s="84">
        <v>1.0</v>
      </c>
      <c r="G351" s="84">
        <v>0.0</v>
      </c>
      <c r="H351" s="85">
        <v>46211.0</v>
      </c>
      <c r="I351" s="85">
        <v>46212.0</v>
      </c>
      <c r="J351" s="82" t="s">
        <v>535</v>
      </c>
      <c r="K351" s="86">
        <v>1162177.0</v>
      </c>
      <c r="L351" s="84">
        <v>87247.73</v>
      </c>
      <c r="M351" s="80" t="s">
        <v>547</v>
      </c>
      <c r="N351" s="80"/>
      <c r="O351" s="80"/>
      <c r="P351" s="80"/>
      <c r="Q351" s="80"/>
      <c r="R351" s="80"/>
      <c r="S351" s="80"/>
      <c r="T351" s="80"/>
      <c r="U351" s="80"/>
      <c r="V351" s="80"/>
      <c r="W351" s="80"/>
      <c r="X351" s="80"/>
      <c r="Y351" s="80"/>
      <c r="Z351" s="80"/>
    </row>
    <row r="352">
      <c r="A352" s="81">
        <v>3072.0</v>
      </c>
      <c r="B352" s="82" t="s">
        <v>589</v>
      </c>
      <c r="C352" s="82" t="s">
        <v>534</v>
      </c>
      <c r="D352" s="84">
        <v>30000.0</v>
      </c>
      <c r="E352" s="84">
        <v>120.0</v>
      </c>
      <c r="F352" s="84">
        <v>37.0</v>
      </c>
      <c r="G352" s="84">
        <v>11715.8</v>
      </c>
      <c r="H352" s="85">
        <v>46175.0</v>
      </c>
      <c r="I352" s="85">
        <v>46212.0</v>
      </c>
      <c r="J352" s="82" t="s">
        <v>535</v>
      </c>
      <c r="K352" s="86">
        <v>1161544.0</v>
      </c>
      <c r="L352" s="84">
        <v>95014.33</v>
      </c>
      <c r="M352" s="80" t="s">
        <v>539</v>
      </c>
      <c r="N352" s="80"/>
      <c r="O352" s="80"/>
      <c r="P352" s="80"/>
      <c r="Q352" s="80"/>
      <c r="R352" s="80"/>
      <c r="S352" s="80"/>
      <c r="T352" s="80"/>
      <c r="U352" s="80"/>
      <c r="V352" s="80"/>
      <c r="W352" s="80"/>
      <c r="X352" s="80"/>
      <c r="Y352" s="80"/>
      <c r="Z352" s="80"/>
    </row>
    <row r="353">
      <c r="A353" s="81">
        <v>3073.0</v>
      </c>
      <c r="B353" s="82" t="s">
        <v>589</v>
      </c>
      <c r="C353" s="82" t="s">
        <v>534</v>
      </c>
      <c r="D353" s="84">
        <v>30000.0</v>
      </c>
      <c r="E353" s="84">
        <v>120.0</v>
      </c>
      <c r="F353" s="84">
        <v>51.0</v>
      </c>
      <c r="G353" s="84">
        <v>15773.8</v>
      </c>
      <c r="H353" s="85">
        <v>46161.0</v>
      </c>
      <c r="I353" s="85">
        <v>46212.0</v>
      </c>
      <c r="J353" s="82" t="s">
        <v>535</v>
      </c>
      <c r="K353" s="86">
        <v>1159986.0</v>
      </c>
      <c r="L353" s="84">
        <v>91875.8</v>
      </c>
      <c r="M353" s="80" t="s">
        <v>542</v>
      </c>
      <c r="N353" s="80"/>
      <c r="O353" s="80"/>
      <c r="P353" s="80"/>
      <c r="Q353" s="80"/>
      <c r="R353" s="80"/>
      <c r="S353" s="80"/>
      <c r="T353" s="80"/>
      <c r="U353" s="80"/>
      <c r="V353" s="80"/>
      <c r="W353" s="80"/>
      <c r="X353" s="80"/>
      <c r="Y353" s="80"/>
      <c r="Z353" s="80"/>
    </row>
    <row r="354">
      <c r="A354" s="81">
        <v>3074.0</v>
      </c>
      <c r="B354" s="82" t="s">
        <v>589</v>
      </c>
      <c r="C354" s="82" t="s">
        <v>534</v>
      </c>
      <c r="D354" s="84">
        <v>30000.0</v>
      </c>
      <c r="E354" s="84">
        <v>120.0</v>
      </c>
      <c r="F354" s="84">
        <v>37.0</v>
      </c>
      <c r="G354" s="84">
        <v>11109.0</v>
      </c>
      <c r="H354" s="85">
        <v>46175.0</v>
      </c>
      <c r="I354" s="85">
        <v>46212.0</v>
      </c>
      <c r="J354" s="82" t="s">
        <v>535</v>
      </c>
      <c r="K354" s="86">
        <v>1161561.0</v>
      </c>
      <c r="L354" s="84">
        <v>92342.58</v>
      </c>
      <c r="M354" s="80" t="s">
        <v>549</v>
      </c>
      <c r="N354" s="80"/>
      <c r="O354" s="80"/>
      <c r="P354" s="80"/>
      <c r="Q354" s="80"/>
      <c r="R354" s="80"/>
      <c r="S354" s="80"/>
      <c r="T354" s="80"/>
      <c r="U354" s="80"/>
      <c r="V354" s="80"/>
      <c r="W354" s="80"/>
      <c r="X354" s="80"/>
      <c r="Y354" s="80"/>
      <c r="Z354" s="80"/>
    </row>
    <row r="355">
      <c r="A355" s="81">
        <v>3075.0</v>
      </c>
      <c r="B355" s="82" t="s">
        <v>589</v>
      </c>
      <c r="C355" s="82" t="s">
        <v>534</v>
      </c>
      <c r="D355" s="84">
        <v>30000.0</v>
      </c>
      <c r="E355" s="84">
        <v>120.0</v>
      </c>
      <c r="F355" s="84">
        <v>106.0</v>
      </c>
      <c r="G355" s="84">
        <v>33654.6</v>
      </c>
      <c r="H355" s="85">
        <v>46106.0</v>
      </c>
      <c r="I355" s="85">
        <v>46212.0</v>
      </c>
      <c r="J355" s="82" t="s">
        <v>540</v>
      </c>
      <c r="K355" s="86">
        <v>1154248.0</v>
      </c>
      <c r="L355" s="84">
        <v>56333.7</v>
      </c>
      <c r="M355" s="80" t="s">
        <v>539</v>
      </c>
      <c r="N355" s="80"/>
      <c r="O355" s="80"/>
      <c r="P355" s="80"/>
      <c r="Q355" s="80"/>
      <c r="R355" s="80"/>
      <c r="S355" s="80"/>
      <c r="T355" s="80"/>
      <c r="U355" s="80"/>
      <c r="V355" s="80"/>
      <c r="W355" s="80"/>
      <c r="X355" s="80"/>
      <c r="Y355" s="80"/>
      <c r="Z355" s="80"/>
    </row>
    <row r="356">
      <c r="A356" s="81">
        <v>3076.0</v>
      </c>
      <c r="B356" s="82" t="s">
        <v>589</v>
      </c>
      <c r="C356" s="82" t="s">
        <v>534</v>
      </c>
      <c r="D356" s="84">
        <v>30000.0</v>
      </c>
      <c r="E356" s="84">
        <v>120.0</v>
      </c>
      <c r="F356" s="84">
        <v>6.0</v>
      </c>
      <c r="G356" s="84">
        <v>1737.2</v>
      </c>
      <c r="H356" s="85">
        <v>46206.0</v>
      </c>
      <c r="I356" s="85">
        <v>46212.0</v>
      </c>
      <c r="J356" s="82" t="s">
        <v>535</v>
      </c>
      <c r="K356" s="86">
        <v>1162114.0</v>
      </c>
      <c r="L356" s="84">
        <v>23641.83</v>
      </c>
      <c r="M356" s="80" t="s">
        <v>539</v>
      </c>
      <c r="N356" s="80"/>
      <c r="O356" s="80"/>
      <c r="P356" s="80"/>
      <c r="Q356" s="80"/>
      <c r="R356" s="80"/>
      <c r="S356" s="80"/>
      <c r="T356" s="80"/>
      <c r="U356" s="80"/>
      <c r="V356" s="80"/>
      <c r="W356" s="80"/>
      <c r="X356" s="80"/>
      <c r="Y356" s="80"/>
      <c r="Z356" s="80"/>
    </row>
    <row r="357">
      <c r="A357" s="81">
        <v>3077.0</v>
      </c>
      <c r="B357" s="82" t="s">
        <v>589</v>
      </c>
      <c r="C357" s="82" t="s">
        <v>534</v>
      </c>
      <c r="D357" s="84">
        <v>30000.0</v>
      </c>
      <c r="E357" s="84">
        <v>120.0</v>
      </c>
      <c r="F357" s="84">
        <v>35.0</v>
      </c>
      <c r="G357" s="84">
        <v>11457.5</v>
      </c>
      <c r="H357" s="85">
        <v>46177.0</v>
      </c>
      <c r="I357" s="85">
        <v>46212.0</v>
      </c>
      <c r="J357" s="82" t="s">
        <v>535</v>
      </c>
      <c r="K357" s="86">
        <v>1161638.0</v>
      </c>
      <c r="L357" s="84">
        <v>96868.58</v>
      </c>
      <c r="M357" s="80" t="s">
        <v>547</v>
      </c>
      <c r="N357" s="80"/>
      <c r="O357" s="80"/>
      <c r="P357" s="80"/>
      <c r="Q357" s="80"/>
      <c r="R357" s="80"/>
      <c r="S357" s="80"/>
      <c r="T357" s="80"/>
      <c r="U357" s="80"/>
      <c r="V357" s="80"/>
      <c r="W357" s="80"/>
      <c r="X357" s="80"/>
      <c r="Y357" s="80"/>
      <c r="Z357" s="80"/>
    </row>
    <row r="358">
      <c r="A358" s="81">
        <v>3078.0</v>
      </c>
      <c r="B358" s="82" t="s">
        <v>589</v>
      </c>
      <c r="C358" s="82" t="s">
        <v>534</v>
      </c>
      <c r="D358" s="84">
        <v>30000.0</v>
      </c>
      <c r="E358" s="84">
        <v>120.0</v>
      </c>
      <c r="F358" s="84">
        <v>63.0</v>
      </c>
      <c r="G358" s="84">
        <v>21537.0</v>
      </c>
      <c r="H358" s="85">
        <v>46149.0</v>
      </c>
      <c r="I358" s="85">
        <v>46212.0</v>
      </c>
      <c r="J358" s="82" t="s">
        <v>535</v>
      </c>
      <c r="K358" s="86">
        <v>1158828.0</v>
      </c>
      <c r="L358" s="84">
        <v>91761.4</v>
      </c>
      <c r="M358" s="80" t="s">
        <v>539</v>
      </c>
      <c r="N358" s="80"/>
      <c r="O358" s="80"/>
      <c r="P358" s="80"/>
      <c r="Q358" s="80"/>
      <c r="R358" s="80"/>
      <c r="S358" s="80"/>
      <c r="T358" s="80"/>
      <c r="U358" s="80"/>
      <c r="V358" s="80"/>
      <c r="W358" s="80"/>
      <c r="X358" s="80"/>
      <c r="Y358" s="80"/>
      <c r="Z358" s="80"/>
    </row>
    <row r="359">
      <c r="A359" s="81">
        <v>3079.0</v>
      </c>
      <c r="B359" s="82" t="s">
        <v>589</v>
      </c>
      <c r="C359" s="82" t="s">
        <v>534</v>
      </c>
      <c r="D359" s="84">
        <v>30000.0</v>
      </c>
      <c r="E359" s="84">
        <v>120.0</v>
      </c>
      <c r="F359" s="84">
        <v>59.0</v>
      </c>
      <c r="G359" s="84">
        <v>19923.8</v>
      </c>
      <c r="H359" s="85">
        <v>46153.0</v>
      </c>
      <c r="I359" s="85">
        <v>46212.0</v>
      </c>
      <c r="J359" s="82" t="s">
        <v>535</v>
      </c>
      <c r="K359" s="86">
        <v>1159272.0</v>
      </c>
      <c r="L359" s="84">
        <v>102661.32</v>
      </c>
      <c r="M359" s="80" t="s">
        <v>541</v>
      </c>
      <c r="N359" s="80"/>
      <c r="O359" s="80"/>
      <c r="P359" s="80"/>
      <c r="Q359" s="80"/>
      <c r="R359" s="80"/>
      <c r="S359" s="80"/>
      <c r="T359" s="80"/>
      <c r="U359" s="80"/>
      <c r="V359" s="80"/>
      <c r="W359" s="80"/>
      <c r="X359" s="80"/>
      <c r="Y359" s="80"/>
      <c r="Z359" s="80"/>
    </row>
    <row r="360">
      <c r="A360" s="81">
        <v>3080.0</v>
      </c>
      <c r="B360" s="82" t="s">
        <v>589</v>
      </c>
      <c r="C360" s="82" t="s">
        <v>534</v>
      </c>
      <c r="D360" s="84">
        <v>30000.0</v>
      </c>
      <c r="E360" s="84">
        <v>120.0</v>
      </c>
      <c r="F360" s="84">
        <v>125.0</v>
      </c>
      <c r="G360" s="84">
        <v>41949.8</v>
      </c>
      <c r="H360" s="85">
        <v>46087.0</v>
      </c>
      <c r="I360" s="85">
        <v>46212.0</v>
      </c>
      <c r="J360" s="82" t="s">
        <v>540</v>
      </c>
      <c r="K360" s="86">
        <v>1152215.0</v>
      </c>
      <c r="L360" s="84">
        <v>65032.06</v>
      </c>
      <c r="M360" s="80" t="s">
        <v>562</v>
      </c>
      <c r="N360" s="80"/>
      <c r="O360" s="80"/>
      <c r="P360" s="80"/>
      <c r="Q360" s="80"/>
      <c r="R360" s="80"/>
      <c r="S360" s="80"/>
      <c r="T360" s="80"/>
      <c r="U360" s="80"/>
      <c r="V360" s="80"/>
      <c r="W360" s="80"/>
      <c r="X360" s="80"/>
      <c r="Y360" s="80"/>
      <c r="Z360" s="80"/>
    </row>
    <row r="361">
      <c r="A361" s="81">
        <v>3081.0</v>
      </c>
      <c r="B361" s="82" t="s">
        <v>589</v>
      </c>
      <c r="C361" s="82" t="s">
        <v>534</v>
      </c>
      <c r="D361" s="84">
        <v>30000.0</v>
      </c>
      <c r="E361" s="84">
        <v>120.0</v>
      </c>
      <c r="F361" s="84">
        <v>127.0</v>
      </c>
      <c r="G361" s="84">
        <v>42240.5</v>
      </c>
      <c r="H361" s="85">
        <v>46085.0</v>
      </c>
      <c r="I361" s="85">
        <v>46212.0</v>
      </c>
      <c r="J361" s="82" t="s">
        <v>540</v>
      </c>
      <c r="K361" s="86">
        <v>1151929.0</v>
      </c>
      <c r="L361" s="84">
        <v>61180.74</v>
      </c>
      <c r="M361" s="80" t="s">
        <v>541</v>
      </c>
      <c r="N361" s="80"/>
      <c r="O361" s="80"/>
      <c r="P361" s="80"/>
      <c r="Q361" s="80"/>
      <c r="R361" s="80"/>
      <c r="S361" s="80"/>
      <c r="T361" s="80"/>
      <c r="U361" s="80"/>
      <c r="V361" s="80"/>
      <c r="W361" s="80"/>
      <c r="X361" s="80"/>
      <c r="Y361" s="80"/>
      <c r="Z361" s="80"/>
    </row>
    <row r="362">
      <c r="A362" s="81">
        <v>3082.0</v>
      </c>
      <c r="B362" s="82" t="s">
        <v>589</v>
      </c>
      <c r="C362" s="82" t="s">
        <v>534</v>
      </c>
      <c r="D362" s="84">
        <v>60000.0</v>
      </c>
      <c r="E362" s="84">
        <v>240.0</v>
      </c>
      <c r="F362" s="84">
        <v>155.0</v>
      </c>
      <c r="G362" s="84">
        <v>47543.9</v>
      </c>
      <c r="H362" s="85">
        <v>46057.0</v>
      </c>
      <c r="I362" s="85">
        <v>46212.0</v>
      </c>
      <c r="J362" s="82" t="s">
        <v>535</v>
      </c>
      <c r="K362" s="86">
        <v>1148365.0</v>
      </c>
      <c r="L362" s="84">
        <v>63220.84</v>
      </c>
      <c r="M362" s="80" t="s">
        <v>536</v>
      </c>
      <c r="N362" s="80"/>
      <c r="O362" s="80"/>
      <c r="P362" s="80"/>
      <c r="Q362" s="80"/>
      <c r="R362" s="80"/>
      <c r="S362" s="80"/>
      <c r="T362" s="80"/>
      <c r="U362" s="80"/>
      <c r="V362" s="80"/>
      <c r="W362" s="80"/>
      <c r="X362" s="80"/>
      <c r="Y362" s="80"/>
      <c r="Z362" s="80"/>
    </row>
    <row r="363">
      <c r="A363" s="81">
        <v>3083.0</v>
      </c>
      <c r="B363" s="82" t="s">
        <v>589</v>
      </c>
      <c r="C363" s="82" t="s">
        <v>534</v>
      </c>
      <c r="D363" s="84">
        <v>30000.0</v>
      </c>
      <c r="E363" s="84">
        <v>120.0</v>
      </c>
      <c r="F363" s="84">
        <v>1.0</v>
      </c>
      <c r="G363" s="84">
        <v>0.0</v>
      </c>
      <c r="H363" s="85">
        <v>46211.0</v>
      </c>
      <c r="I363" s="85">
        <v>46212.0</v>
      </c>
      <c r="J363" s="82" t="s">
        <v>535</v>
      </c>
      <c r="K363" s="86">
        <v>1162191.0</v>
      </c>
      <c r="L363" s="84">
        <v>104429.0</v>
      </c>
      <c r="M363" s="80" t="s">
        <v>541</v>
      </c>
      <c r="N363" s="80"/>
      <c r="O363" s="80"/>
      <c r="P363" s="80"/>
      <c r="Q363" s="80"/>
      <c r="R363" s="80"/>
      <c r="S363" s="80"/>
      <c r="T363" s="80"/>
      <c r="U363" s="80"/>
      <c r="V363" s="80"/>
      <c r="W363" s="80"/>
      <c r="X363" s="80"/>
      <c r="Y363" s="80"/>
      <c r="Z363" s="80"/>
    </row>
    <row r="364">
      <c r="A364" s="81">
        <v>3084.0</v>
      </c>
      <c r="B364" s="82" t="s">
        <v>589</v>
      </c>
      <c r="C364" s="82" t="s">
        <v>534</v>
      </c>
      <c r="D364" s="84">
        <v>30000.0</v>
      </c>
      <c r="E364" s="84">
        <v>120.0</v>
      </c>
      <c r="F364" s="84">
        <v>43.0</v>
      </c>
      <c r="G364" s="84">
        <v>15149.3</v>
      </c>
      <c r="H364" s="85">
        <v>46169.0</v>
      </c>
      <c r="I364" s="85">
        <v>46212.0</v>
      </c>
      <c r="J364" s="82" t="s">
        <v>535</v>
      </c>
      <c r="K364" s="86">
        <v>1161343.0</v>
      </c>
      <c r="L364" s="84">
        <v>98233.76</v>
      </c>
      <c r="M364" s="80" t="s">
        <v>536</v>
      </c>
      <c r="N364" s="80"/>
      <c r="O364" s="80"/>
      <c r="P364" s="80"/>
      <c r="Q364" s="80"/>
      <c r="R364" s="80"/>
      <c r="S364" s="80"/>
      <c r="T364" s="80"/>
      <c r="U364" s="80"/>
      <c r="V364" s="80"/>
      <c r="W364" s="80"/>
      <c r="X364" s="80"/>
      <c r="Y364" s="80"/>
      <c r="Z364" s="80"/>
    </row>
    <row r="365">
      <c r="A365" s="81">
        <v>3085.0</v>
      </c>
      <c r="B365" s="82" t="s">
        <v>589</v>
      </c>
      <c r="C365" s="82" t="s">
        <v>534</v>
      </c>
      <c r="D365" s="84">
        <v>60000.0</v>
      </c>
      <c r="E365" s="84">
        <v>240.0</v>
      </c>
      <c r="F365" s="84">
        <v>162.0</v>
      </c>
      <c r="G365" s="84">
        <v>58338.0</v>
      </c>
      <c r="H365" s="85">
        <v>46050.0</v>
      </c>
      <c r="I365" s="85">
        <v>46212.0</v>
      </c>
      <c r="J365" s="82" t="s">
        <v>535</v>
      </c>
      <c r="K365" s="86">
        <v>1147576.0</v>
      </c>
      <c r="L365" s="84">
        <v>60396.1</v>
      </c>
      <c r="M365" s="80" t="s">
        <v>543</v>
      </c>
      <c r="N365" s="80"/>
      <c r="O365" s="80"/>
      <c r="P365" s="80"/>
      <c r="Q365" s="80"/>
      <c r="R365" s="80"/>
      <c r="S365" s="80"/>
      <c r="T365" s="80"/>
      <c r="U365" s="80"/>
      <c r="V365" s="80"/>
      <c r="W365" s="80"/>
      <c r="X365" s="80"/>
      <c r="Y365" s="80"/>
      <c r="Z365" s="80"/>
    </row>
    <row r="366">
      <c r="A366" s="81">
        <v>3086.0</v>
      </c>
      <c r="B366" s="82" t="s">
        <v>589</v>
      </c>
      <c r="C366" s="82" t="s">
        <v>534</v>
      </c>
      <c r="D366" s="84">
        <v>30000.0</v>
      </c>
      <c r="E366" s="84">
        <v>120.0</v>
      </c>
      <c r="F366" s="84">
        <v>51.0</v>
      </c>
      <c r="G366" s="84">
        <v>16846.2</v>
      </c>
      <c r="H366" s="85">
        <v>46161.0</v>
      </c>
      <c r="I366" s="85">
        <v>46212.0</v>
      </c>
      <c r="J366" s="82" t="s">
        <v>535</v>
      </c>
      <c r="K366" s="86">
        <v>1160267.0</v>
      </c>
      <c r="L366" s="84">
        <v>91719.1</v>
      </c>
      <c r="M366" s="80" t="s">
        <v>536</v>
      </c>
      <c r="N366" s="80"/>
      <c r="O366" s="80"/>
      <c r="P366" s="80"/>
      <c r="Q366" s="80"/>
      <c r="R366" s="80"/>
      <c r="S366" s="80"/>
      <c r="T366" s="80"/>
      <c r="U366" s="80"/>
      <c r="V366" s="80"/>
      <c r="W366" s="80"/>
      <c r="X366" s="80"/>
      <c r="Y366" s="80"/>
      <c r="Z366" s="80"/>
    </row>
    <row r="367">
      <c r="A367" s="81">
        <v>3087.0</v>
      </c>
      <c r="B367" s="82" t="s">
        <v>589</v>
      </c>
      <c r="C367" s="82" t="s">
        <v>534</v>
      </c>
      <c r="D367" s="84">
        <v>30000.0</v>
      </c>
      <c r="E367" s="84">
        <v>120.0</v>
      </c>
      <c r="F367" s="84">
        <v>133.0</v>
      </c>
      <c r="G367" s="84">
        <v>43561.4</v>
      </c>
      <c r="H367" s="85">
        <v>46079.0</v>
      </c>
      <c r="I367" s="85">
        <v>46212.0</v>
      </c>
      <c r="J367" s="82" t="s">
        <v>540</v>
      </c>
      <c r="K367" s="86">
        <v>1151250.0</v>
      </c>
      <c r="L367" s="84">
        <v>64598.66</v>
      </c>
      <c r="M367" s="80" t="s">
        <v>536</v>
      </c>
      <c r="N367" s="80"/>
      <c r="O367" s="80"/>
      <c r="P367" s="80"/>
      <c r="Q367" s="80"/>
      <c r="R367" s="80"/>
      <c r="S367" s="80"/>
      <c r="T367" s="80"/>
      <c r="U367" s="80"/>
      <c r="V367" s="80"/>
      <c r="W367" s="80"/>
      <c r="X367" s="80"/>
      <c r="Y367" s="80"/>
      <c r="Z367" s="80"/>
    </row>
    <row r="368">
      <c r="A368" s="81">
        <v>3088.0</v>
      </c>
      <c r="B368" s="82" t="s">
        <v>589</v>
      </c>
      <c r="C368" s="82" t="s">
        <v>534</v>
      </c>
      <c r="D368" s="84">
        <v>30000.0</v>
      </c>
      <c r="E368" s="84">
        <v>120.0</v>
      </c>
      <c r="F368" s="84">
        <v>43.0</v>
      </c>
      <c r="G368" s="84">
        <v>14555.1</v>
      </c>
      <c r="H368" s="85">
        <v>46169.0</v>
      </c>
      <c r="I368" s="85">
        <v>46212.0</v>
      </c>
      <c r="J368" s="82" t="s">
        <v>535</v>
      </c>
      <c r="K368" s="86">
        <v>1161345.0</v>
      </c>
      <c r="L368" s="84">
        <v>89405.99</v>
      </c>
      <c r="M368" s="80" t="s">
        <v>542</v>
      </c>
      <c r="N368" s="80"/>
      <c r="O368" s="80"/>
      <c r="P368" s="80"/>
      <c r="Q368" s="80"/>
      <c r="R368" s="80"/>
      <c r="S368" s="80"/>
      <c r="T368" s="80"/>
      <c r="U368" s="80"/>
      <c r="V368" s="80"/>
      <c r="W368" s="80"/>
      <c r="X368" s="80"/>
      <c r="Y368" s="80"/>
      <c r="Z368" s="80"/>
    </row>
    <row r="369">
      <c r="A369" s="81">
        <v>3089.0</v>
      </c>
      <c r="B369" s="82" t="s">
        <v>589</v>
      </c>
      <c r="C369" s="82" t="s">
        <v>534</v>
      </c>
      <c r="D369" s="84">
        <v>30000.0</v>
      </c>
      <c r="E369" s="84">
        <v>120.0</v>
      </c>
      <c r="F369" s="84">
        <v>56.0</v>
      </c>
      <c r="G369" s="84">
        <v>21299.5</v>
      </c>
      <c r="H369" s="85">
        <v>46156.0</v>
      </c>
      <c r="I369" s="85">
        <v>46212.0</v>
      </c>
      <c r="J369" s="82" t="s">
        <v>535</v>
      </c>
      <c r="K369" s="86">
        <v>1159806.0</v>
      </c>
      <c r="L369" s="84">
        <v>92978.34</v>
      </c>
      <c r="M369" s="80" t="s">
        <v>537</v>
      </c>
      <c r="N369" s="80"/>
      <c r="O369" s="80"/>
      <c r="P369" s="80"/>
      <c r="Q369" s="80"/>
      <c r="R369" s="80"/>
      <c r="S369" s="80"/>
      <c r="T369" s="80"/>
      <c r="U369" s="80"/>
      <c r="V369" s="80"/>
      <c r="W369" s="80"/>
      <c r="X369" s="80"/>
      <c r="Y369" s="80"/>
      <c r="Z369" s="80"/>
    </row>
    <row r="370">
      <c r="A370" s="81">
        <v>3090.0</v>
      </c>
      <c r="B370" s="82" t="s">
        <v>589</v>
      </c>
      <c r="C370" s="82" t="s">
        <v>534</v>
      </c>
      <c r="D370" s="84">
        <v>60000.0</v>
      </c>
      <c r="E370" s="84">
        <v>240.0</v>
      </c>
      <c r="F370" s="84">
        <v>153.0</v>
      </c>
      <c r="G370" s="84">
        <v>48990.0</v>
      </c>
      <c r="H370" s="85">
        <v>46059.0</v>
      </c>
      <c r="I370" s="85">
        <v>46212.0</v>
      </c>
      <c r="J370" s="82" t="s">
        <v>535</v>
      </c>
      <c r="K370" s="86">
        <v>1148765.0</v>
      </c>
      <c r="L370" s="84">
        <v>60257.53</v>
      </c>
      <c r="M370" s="80" t="s">
        <v>537</v>
      </c>
      <c r="N370" s="80"/>
      <c r="O370" s="80"/>
      <c r="P370" s="80"/>
      <c r="Q370" s="80"/>
      <c r="R370" s="80"/>
      <c r="S370" s="80"/>
      <c r="T370" s="80"/>
      <c r="U370" s="80"/>
      <c r="V370" s="80"/>
      <c r="W370" s="80"/>
      <c r="X370" s="80"/>
      <c r="Y370" s="80"/>
      <c r="Z370" s="80"/>
    </row>
    <row r="371">
      <c r="A371" s="81">
        <v>3091.0</v>
      </c>
      <c r="B371" s="82" t="s">
        <v>589</v>
      </c>
      <c r="C371" s="82" t="s">
        <v>534</v>
      </c>
      <c r="D371" s="84">
        <v>30000.0</v>
      </c>
      <c r="E371" s="84">
        <v>120.0</v>
      </c>
      <c r="F371" s="84">
        <v>34.0</v>
      </c>
      <c r="G371" s="84">
        <v>12663.0</v>
      </c>
      <c r="H371" s="85">
        <v>46178.0</v>
      </c>
      <c r="I371" s="85">
        <v>46212.0</v>
      </c>
      <c r="J371" s="82" t="s">
        <v>535</v>
      </c>
      <c r="K371" s="86">
        <v>1161665.0</v>
      </c>
      <c r="L371" s="84">
        <v>89828.86</v>
      </c>
      <c r="M371" s="80" t="s">
        <v>543</v>
      </c>
      <c r="N371" s="80"/>
      <c r="O371" s="80"/>
      <c r="P371" s="80"/>
      <c r="Q371" s="80"/>
      <c r="R371" s="80"/>
      <c r="S371" s="80"/>
      <c r="T371" s="80"/>
      <c r="U371" s="80"/>
      <c r="V371" s="80"/>
      <c r="W371" s="80"/>
      <c r="X371" s="80"/>
      <c r="Y371" s="80"/>
      <c r="Z371" s="80"/>
    </row>
    <row r="372">
      <c r="A372" s="81">
        <v>3092.0</v>
      </c>
      <c r="B372" s="82" t="s">
        <v>589</v>
      </c>
      <c r="C372" s="82" t="s">
        <v>534</v>
      </c>
      <c r="D372" s="84">
        <v>30000.0</v>
      </c>
      <c r="E372" s="84">
        <v>120.0</v>
      </c>
      <c r="F372" s="84">
        <v>42.0</v>
      </c>
      <c r="G372" s="84">
        <v>13674.4</v>
      </c>
      <c r="H372" s="85">
        <v>46170.0</v>
      </c>
      <c r="I372" s="85">
        <v>46212.0</v>
      </c>
      <c r="J372" s="82" t="s">
        <v>535</v>
      </c>
      <c r="K372" s="86">
        <v>1161459.0</v>
      </c>
      <c r="L372" s="84">
        <v>91443.39</v>
      </c>
      <c r="M372" s="80" t="s">
        <v>580</v>
      </c>
      <c r="N372" s="80"/>
      <c r="O372" s="80"/>
      <c r="P372" s="80"/>
      <c r="Q372" s="80"/>
      <c r="R372" s="80"/>
      <c r="S372" s="80"/>
      <c r="T372" s="80"/>
      <c r="U372" s="80"/>
      <c r="V372" s="80"/>
      <c r="W372" s="80"/>
      <c r="X372" s="80"/>
      <c r="Y372" s="80"/>
      <c r="Z372" s="80"/>
    </row>
    <row r="373">
      <c r="A373" s="81">
        <v>3134.0</v>
      </c>
      <c r="B373" s="82" t="s">
        <v>561</v>
      </c>
      <c r="C373" s="82" t="s">
        <v>534</v>
      </c>
      <c r="D373" s="84">
        <v>30000.0</v>
      </c>
      <c r="E373" s="84">
        <v>120.0</v>
      </c>
      <c r="F373" s="84">
        <v>65.0</v>
      </c>
      <c r="G373" s="84">
        <v>22686.3</v>
      </c>
      <c r="H373" s="85">
        <v>46147.0</v>
      </c>
      <c r="I373" s="85">
        <v>46212.0</v>
      </c>
      <c r="J373" s="82" t="s">
        <v>535</v>
      </c>
      <c r="K373" s="86">
        <v>1158526.0</v>
      </c>
      <c r="L373" s="84">
        <v>89378.66</v>
      </c>
      <c r="M373" s="80" t="s">
        <v>536</v>
      </c>
      <c r="N373" s="80"/>
      <c r="O373" s="80"/>
      <c r="P373" s="80"/>
      <c r="Q373" s="80"/>
      <c r="R373" s="80"/>
      <c r="S373" s="80"/>
      <c r="T373" s="80"/>
      <c r="U373" s="80"/>
      <c r="V373" s="80"/>
      <c r="W373" s="80"/>
      <c r="X373" s="80"/>
      <c r="Y373" s="80"/>
      <c r="Z373" s="80"/>
    </row>
    <row r="374">
      <c r="A374" s="81">
        <v>3135.0</v>
      </c>
      <c r="B374" s="82" t="s">
        <v>561</v>
      </c>
      <c r="C374" s="82" t="s">
        <v>534</v>
      </c>
      <c r="D374" s="84">
        <v>30000.0</v>
      </c>
      <c r="E374" s="84">
        <v>120.0</v>
      </c>
      <c r="F374" s="84">
        <v>132.0</v>
      </c>
      <c r="G374" s="84">
        <v>32435.2</v>
      </c>
      <c r="H374" s="85">
        <v>46080.0</v>
      </c>
      <c r="I374" s="85">
        <v>46212.0</v>
      </c>
      <c r="J374" s="82" t="s">
        <v>540</v>
      </c>
      <c r="K374" s="86">
        <v>1151447.0</v>
      </c>
      <c r="L374" s="84">
        <v>59097.14</v>
      </c>
      <c r="M374" s="80" t="s">
        <v>539</v>
      </c>
      <c r="N374" s="80"/>
      <c r="O374" s="80"/>
      <c r="P374" s="80"/>
      <c r="Q374" s="80"/>
      <c r="R374" s="80"/>
      <c r="S374" s="80"/>
      <c r="T374" s="80"/>
      <c r="U374" s="80"/>
      <c r="V374" s="80"/>
      <c r="W374" s="80"/>
      <c r="X374" s="80"/>
      <c r="Y374" s="80"/>
      <c r="Z374" s="80"/>
    </row>
    <row r="375">
      <c r="A375" s="81">
        <v>3136.0</v>
      </c>
      <c r="B375" s="82" t="s">
        <v>561</v>
      </c>
      <c r="C375" s="82" t="s">
        <v>534</v>
      </c>
      <c r="D375" s="84">
        <v>30000.0</v>
      </c>
      <c r="E375" s="84">
        <v>120.0</v>
      </c>
      <c r="F375" s="84">
        <v>124.0</v>
      </c>
      <c r="G375" s="84">
        <v>36169.2</v>
      </c>
      <c r="H375" s="85">
        <v>46088.0</v>
      </c>
      <c r="I375" s="85">
        <v>46212.0</v>
      </c>
      <c r="J375" s="82" t="s">
        <v>540</v>
      </c>
      <c r="K375" s="86">
        <v>1152286.0</v>
      </c>
      <c r="L375" s="84">
        <v>65967.09</v>
      </c>
      <c r="M375" s="80" t="s">
        <v>549</v>
      </c>
      <c r="N375" s="80"/>
      <c r="O375" s="80"/>
      <c r="P375" s="80"/>
      <c r="Q375" s="80"/>
      <c r="R375" s="80"/>
      <c r="S375" s="80"/>
      <c r="T375" s="80"/>
      <c r="U375" s="80"/>
      <c r="V375" s="80"/>
      <c r="W375" s="80"/>
      <c r="X375" s="80"/>
      <c r="Y375" s="80"/>
      <c r="Z375" s="80"/>
    </row>
    <row r="376">
      <c r="A376" s="81">
        <v>3137.0</v>
      </c>
      <c r="B376" s="82" t="s">
        <v>561</v>
      </c>
      <c r="C376" s="82" t="s">
        <v>534</v>
      </c>
      <c r="D376" s="84">
        <v>30000.0</v>
      </c>
      <c r="E376" s="84">
        <v>120.0</v>
      </c>
      <c r="F376" s="84">
        <v>50.0</v>
      </c>
      <c r="G376" s="84">
        <v>17972.0</v>
      </c>
      <c r="H376" s="85">
        <v>46162.0</v>
      </c>
      <c r="I376" s="85">
        <v>46212.0</v>
      </c>
      <c r="J376" s="82" t="s">
        <v>535</v>
      </c>
      <c r="K376" s="86">
        <v>1160209.0</v>
      </c>
      <c r="L376" s="84">
        <v>90040.49</v>
      </c>
      <c r="M376" s="80" t="s">
        <v>536</v>
      </c>
      <c r="N376" s="80"/>
      <c r="O376" s="80"/>
      <c r="P376" s="80"/>
      <c r="Q376" s="80"/>
      <c r="R376" s="80"/>
      <c r="S376" s="80"/>
      <c r="T376" s="80"/>
      <c r="U376" s="80"/>
      <c r="V376" s="80"/>
      <c r="W376" s="80"/>
      <c r="X376" s="80"/>
      <c r="Y376" s="80"/>
      <c r="Z376" s="80"/>
    </row>
    <row r="377">
      <c r="A377" s="81">
        <v>3138.0</v>
      </c>
      <c r="B377" s="82" t="s">
        <v>561</v>
      </c>
      <c r="C377" s="82" t="s">
        <v>534</v>
      </c>
      <c r="D377" s="84">
        <v>30000.0</v>
      </c>
      <c r="E377" s="84">
        <v>120.0</v>
      </c>
      <c r="F377" s="84">
        <v>36.0</v>
      </c>
      <c r="G377" s="84">
        <v>11262.3</v>
      </c>
      <c r="H377" s="85">
        <v>46176.0</v>
      </c>
      <c r="I377" s="85">
        <v>46212.0</v>
      </c>
      <c r="J377" s="82" t="s">
        <v>535</v>
      </c>
      <c r="K377" s="86">
        <v>1161637.0</v>
      </c>
      <c r="L377" s="84">
        <v>88975.31</v>
      </c>
      <c r="M377" s="80" t="s">
        <v>541</v>
      </c>
      <c r="N377" s="80"/>
      <c r="O377" s="80"/>
      <c r="P377" s="80"/>
      <c r="Q377" s="80"/>
      <c r="R377" s="80"/>
      <c r="S377" s="80"/>
      <c r="T377" s="80"/>
      <c r="U377" s="80"/>
      <c r="V377" s="80"/>
      <c r="W377" s="80"/>
      <c r="X377" s="80"/>
      <c r="Y377" s="80"/>
      <c r="Z377" s="80"/>
    </row>
    <row r="378">
      <c r="A378" s="81">
        <v>3139.0</v>
      </c>
      <c r="B378" s="82" t="s">
        <v>561</v>
      </c>
      <c r="C378" s="82" t="s">
        <v>534</v>
      </c>
      <c r="D378" s="84">
        <v>30000.0</v>
      </c>
      <c r="E378" s="84">
        <v>120.0</v>
      </c>
      <c r="F378" s="84">
        <v>12.0</v>
      </c>
      <c r="G378" s="84">
        <v>3746.8</v>
      </c>
      <c r="H378" s="85">
        <v>46200.0</v>
      </c>
      <c r="I378" s="85">
        <v>46212.0</v>
      </c>
      <c r="J378" s="82" t="s">
        <v>535</v>
      </c>
      <c r="K378" s="86">
        <v>1162024.0</v>
      </c>
      <c r="L378" s="84">
        <v>102710.54</v>
      </c>
      <c r="M378" s="80" t="s">
        <v>564</v>
      </c>
      <c r="N378" s="80"/>
      <c r="O378" s="80"/>
      <c r="P378" s="80"/>
      <c r="Q378" s="80"/>
      <c r="R378" s="80"/>
      <c r="S378" s="80"/>
      <c r="T378" s="80"/>
      <c r="U378" s="80"/>
      <c r="V378" s="80"/>
      <c r="W378" s="80"/>
      <c r="X378" s="80"/>
      <c r="Y378" s="80"/>
      <c r="Z378" s="80"/>
    </row>
    <row r="379">
      <c r="A379" s="81">
        <v>3140.0</v>
      </c>
      <c r="B379" s="82" t="s">
        <v>561</v>
      </c>
      <c r="C379" s="82" t="s">
        <v>534</v>
      </c>
      <c r="D379" s="84">
        <v>30000.0</v>
      </c>
      <c r="E379" s="84">
        <v>120.0</v>
      </c>
      <c r="F379" s="84">
        <v>51.0</v>
      </c>
      <c r="G379" s="84">
        <v>10931.2</v>
      </c>
      <c r="H379" s="85">
        <v>46161.0</v>
      </c>
      <c r="I379" s="85">
        <v>46212.0</v>
      </c>
      <c r="J379" s="82" t="s">
        <v>535</v>
      </c>
      <c r="K379" s="86">
        <v>1160237.0</v>
      </c>
      <c r="L379" s="84">
        <v>89551.77</v>
      </c>
      <c r="M379" s="80" t="s">
        <v>543</v>
      </c>
      <c r="N379" s="80"/>
      <c r="O379" s="80"/>
      <c r="P379" s="80"/>
      <c r="Q379" s="80"/>
      <c r="R379" s="80"/>
      <c r="S379" s="80"/>
      <c r="T379" s="80"/>
      <c r="U379" s="80"/>
      <c r="V379" s="80"/>
      <c r="W379" s="80"/>
      <c r="X379" s="80"/>
      <c r="Y379" s="80"/>
      <c r="Z379" s="80"/>
    </row>
    <row r="380">
      <c r="A380" s="81">
        <v>3141.0</v>
      </c>
      <c r="B380" s="82" t="s">
        <v>561</v>
      </c>
      <c r="C380" s="82" t="s">
        <v>534</v>
      </c>
      <c r="D380" s="84">
        <v>30000.0</v>
      </c>
      <c r="E380" s="84">
        <v>120.0</v>
      </c>
      <c r="F380" s="84">
        <v>58.0</v>
      </c>
      <c r="G380" s="84">
        <v>19190.4</v>
      </c>
      <c r="H380" s="85">
        <v>46154.0</v>
      </c>
      <c r="I380" s="85">
        <v>46212.0</v>
      </c>
      <c r="J380" s="82" t="s">
        <v>535</v>
      </c>
      <c r="K380" s="86">
        <v>1159409.0</v>
      </c>
      <c r="L380" s="84">
        <v>92562.78</v>
      </c>
      <c r="M380" s="80" t="s">
        <v>539</v>
      </c>
      <c r="N380" s="80"/>
      <c r="O380" s="80"/>
      <c r="P380" s="80"/>
      <c r="Q380" s="80"/>
      <c r="R380" s="80"/>
      <c r="S380" s="80"/>
      <c r="T380" s="80"/>
      <c r="U380" s="80"/>
      <c r="V380" s="80"/>
      <c r="W380" s="80"/>
      <c r="X380" s="80"/>
      <c r="Y380" s="80"/>
      <c r="Z380" s="80"/>
    </row>
    <row r="381">
      <c r="A381" s="81">
        <v>3142.0</v>
      </c>
      <c r="B381" s="82" t="s">
        <v>561</v>
      </c>
      <c r="C381" s="82" t="s">
        <v>534</v>
      </c>
      <c r="D381" s="84">
        <v>30000.0</v>
      </c>
      <c r="E381" s="84">
        <v>120.0</v>
      </c>
      <c r="F381" s="84">
        <v>29.0</v>
      </c>
      <c r="G381" s="84">
        <v>9308.6</v>
      </c>
      <c r="H381" s="85">
        <v>46183.0</v>
      </c>
      <c r="I381" s="85">
        <v>46212.0</v>
      </c>
      <c r="J381" s="82" t="s">
        <v>535</v>
      </c>
      <c r="K381" s="86">
        <v>1161718.0</v>
      </c>
      <c r="L381" s="84">
        <v>88896.89</v>
      </c>
      <c r="M381" s="80" t="s">
        <v>547</v>
      </c>
      <c r="N381" s="80"/>
      <c r="O381" s="80"/>
      <c r="P381" s="80"/>
      <c r="Q381" s="80"/>
      <c r="R381" s="80"/>
      <c r="S381" s="80"/>
      <c r="T381" s="80"/>
      <c r="U381" s="80"/>
      <c r="V381" s="80"/>
      <c r="W381" s="80"/>
      <c r="X381" s="80"/>
      <c r="Y381" s="80"/>
      <c r="Z381" s="80"/>
    </row>
    <row r="382">
      <c r="A382" s="81">
        <v>3143.0</v>
      </c>
      <c r="B382" s="82" t="s">
        <v>561</v>
      </c>
      <c r="C382" s="82" t="s">
        <v>534</v>
      </c>
      <c r="D382" s="84">
        <v>30000.0</v>
      </c>
      <c r="E382" s="84">
        <v>120.0</v>
      </c>
      <c r="F382" s="84">
        <v>1.0</v>
      </c>
      <c r="G382" s="84">
        <v>0.0</v>
      </c>
      <c r="H382" s="85">
        <v>46211.0</v>
      </c>
      <c r="I382" s="85">
        <v>46212.0</v>
      </c>
      <c r="J382" s="82" t="s">
        <v>535</v>
      </c>
      <c r="K382" s="86">
        <v>1162176.0</v>
      </c>
      <c r="L382" s="84">
        <v>106512.8</v>
      </c>
      <c r="M382" s="80" t="s">
        <v>539</v>
      </c>
      <c r="N382" s="80"/>
      <c r="O382" s="80"/>
      <c r="P382" s="80"/>
      <c r="Q382" s="80"/>
      <c r="R382" s="80"/>
      <c r="S382" s="80"/>
      <c r="T382" s="80"/>
      <c r="U382" s="80"/>
      <c r="V382" s="80"/>
      <c r="W382" s="80"/>
      <c r="X382" s="80"/>
      <c r="Y382" s="80"/>
      <c r="Z382" s="80"/>
    </row>
    <row r="383">
      <c r="A383" s="81">
        <v>3167.0</v>
      </c>
      <c r="B383" s="82" t="s">
        <v>579</v>
      </c>
      <c r="C383" s="82" t="s">
        <v>534</v>
      </c>
      <c r="D383" s="84">
        <v>10000.0</v>
      </c>
      <c r="E383" s="84">
        <v>120.0</v>
      </c>
      <c r="F383" s="84">
        <v>1.0</v>
      </c>
      <c r="G383" s="84">
        <v>0.0</v>
      </c>
      <c r="H383" s="85">
        <v>46211.0</v>
      </c>
      <c r="I383" s="85">
        <v>46212.0</v>
      </c>
      <c r="J383" s="82" t="s">
        <v>535</v>
      </c>
      <c r="K383" s="86">
        <v>1162181.0</v>
      </c>
      <c r="L383" s="84">
        <v>67468.0</v>
      </c>
      <c r="M383" s="80" t="s">
        <v>539</v>
      </c>
      <c r="N383" s="80"/>
      <c r="O383" s="80"/>
      <c r="P383" s="80"/>
      <c r="Q383" s="80"/>
      <c r="R383" s="80"/>
      <c r="S383" s="80"/>
      <c r="T383" s="80"/>
      <c r="U383" s="80"/>
      <c r="V383" s="80"/>
      <c r="W383" s="80"/>
      <c r="X383" s="80"/>
      <c r="Y383" s="80"/>
      <c r="Z383" s="80"/>
    </row>
    <row r="384">
      <c r="A384" s="81">
        <v>3168.0</v>
      </c>
      <c r="B384" s="82" t="s">
        <v>579</v>
      </c>
      <c r="C384" s="82" t="s">
        <v>534</v>
      </c>
      <c r="D384" s="84">
        <v>10000.0</v>
      </c>
      <c r="E384" s="84">
        <v>120.0</v>
      </c>
      <c r="F384" s="84">
        <v>64.0</v>
      </c>
      <c r="G384" s="84">
        <v>13622.0</v>
      </c>
      <c r="H384" s="85">
        <v>46148.0</v>
      </c>
      <c r="I384" s="85">
        <v>46212.0</v>
      </c>
      <c r="J384" s="82" t="s">
        <v>540</v>
      </c>
      <c r="K384" s="86">
        <v>1158567.0</v>
      </c>
      <c r="L384" s="84">
        <v>48422.0</v>
      </c>
      <c r="M384" s="80" t="s">
        <v>563</v>
      </c>
      <c r="N384" s="80"/>
      <c r="O384" s="80"/>
      <c r="P384" s="80"/>
      <c r="Q384" s="80"/>
      <c r="R384" s="80"/>
      <c r="S384" s="80"/>
      <c r="T384" s="80"/>
      <c r="U384" s="80"/>
      <c r="V384" s="80"/>
      <c r="W384" s="80"/>
      <c r="X384" s="80"/>
      <c r="Y384" s="80"/>
      <c r="Z384" s="80"/>
    </row>
    <row r="385">
      <c r="A385" s="81">
        <v>3169.0</v>
      </c>
      <c r="B385" s="82" t="s">
        <v>579</v>
      </c>
      <c r="C385" s="82" t="s">
        <v>534</v>
      </c>
      <c r="D385" s="84">
        <v>10000.0</v>
      </c>
      <c r="E385" s="84">
        <v>120.0</v>
      </c>
      <c r="F385" s="84">
        <v>80.0</v>
      </c>
      <c r="G385" s="84">
        <v>20952.0</v>
      </c>
      <c r="H385" s="85">
        <v>46132.0</v>
      </c>
      <c r="I385" s="85">
        <v>46212.0</v>
      </c>
      <c r="J385" s="82" t="s">
        <v>540</v>
      </c>
      <c r="K385" s="86">
        <v>1156723.0</v>
      </c>
      <c r="L385" s="84">
        <v>48120.0</v>
      </c>
      <c r="M385" s="80" t="s">
        <v>539</v>
      </c>
      <c r="N385" s="80"/>
      <c r="O385" s="80"/>
      <c r="P385" s="80"/>
      <c r="Q385" s="80"/>
      <c r="R385" s="80"/>
      <c r="S385" s="80"/>
      <c r="T385" s="80"/>
      <c r="U385" s="80"/>
      <c r="V385" s="80"/>
      <c r="W385" s="80"/>
      <c r="X385" s="80"/>
      <c r="Y385" s="80"/>
      <c r="Z385" s="80"/>
    </row>
    <row r="386">
      <c r="A386" s="81">
        <v>3170.0</v>
      </c>
      <c r="B386" s="82" t="s">
        <v>579</v>
      </c>
      <c r="C386" s="82" t="s">
        <v>534</v>
      </c>
      <c r="D386" s="84">
        <v>10000.0</v>
      </c>
      <c r="E386" s="84">
        <v>120.0</v>
      </c>
      <c r="F386" s="84">
        <v>12.0</v>
      </c>
      <c r="G386" s="84">
        <v>2469.0</v>
      </c>
      <c r="H386" s="85">
        <v>46200.0</v>
      </c>
      <c r="I386" s="85">
        <v>46212.0</v>
      </c>
      <c r="J386" s="82" t="s">
        <v>535</v>
      </c>
      <c r="K386" s="86">
        <v>1162022.0</v>
      </c>
      <c r="L386" s="84">
        <v>82039.0</v>
      </c>
      <c r="M386" s="80" t="s">
        <v>542</v>
      </c>
      <c r="N386" s="80"/>
      <c r="O386" s="80"/>
      <c r="P386" s="80"/>
      <c r="Q386" s="80"/>
      <c r="R386" s="80"/>
      <c r="S386" s="80"/>
      <c r="T386" s="80"/>
      <c r="U386" s="80"/>
      <c r="V386" s="80"/>
      <c r="W386" s="80"/>
      <c r="X386" s="80"/>
      <c r="Y386" s="80"/>
      <c r="Z386" s="80"/>
    </row>
    <row r="387">
      <c r="A387" s="81">
        <v>3171.0</v>
      </c>
      <c r="B387" s="82" t="s">
        <v>579</v>
      </c>
      <c r="C387" s="82" t="s">
        <v>534</v>
      </c>
      <c r="D387" s="84">
        <v>10000.0</v>
      </c>
      <c r="E387" s="84">
        <v>120.0</v>
      </c>
      <c r="F387" s="84">
        <v>6.0</v>
      </c>
      <c r="G387" s="84">
        <v>1367.0</v>
      </c>
      <c r="H387" s="85">
        <v>46206.0</v>
      </c>
      <c r="I387" s="85">
        <v>46212.0</v>
      </c>
      <c r="J387" s="82" t="s">
        <v>535</v>
      </c>
      <c r="K387" s="86">
        <v>1162084.0</v>
      </c>
      <c r="L387" s="84">
        <v>46992.0</v>
      </c>
      <c r="M387" s="80" t="s">
        <v>539</v>
      </c>
      <c r="N387" s="80"/>
      <c r="O387" s="80"/>
      <c r="P387" s="80"/>
      <c r="Q387" s="80"/>
      <c r="R387" s="80"/>
      <c r="S387" s="80"/>
      <c r="T387" s="80"/>
      <c r="U387" s="80"/>
      <c r="V387" s="80"/>
      <c r="W387" s="80"/>
      <c r="X387" s="80"/>
      <c r="Y387" s="80"/>
      <c r="Z387" s="80"/>
    </row>
    <row r="388">
      <c r="A388" s="81">
        <v>3172.0</v>
      </c>
      <c r="B388" s="82" t="s">
        <v>579</v>
      </c>
      <c r="C388" s="82" t="s">
        <v>534</v>
      </c>
      <c r="D388" s="84">
        <v>10000.0</v>
      </c>
      <c r="E388" s="84">
        <v>120.0</v>
      </c>
      <c r="F388" s="84">
        <v>50.0</v>
      </c>
      <c r="G388" s="84">
        <v>14266.0</v>
      </c>
      <c r="H388" s="85">
        <v>46162.0</v>
      </c>
      <c r="I388" s="85">
        <v>46212.0</v>
      </c>
      <c r="J388" s="82" t="s">
        <v>540</v>
      </c>
      <c r="K388" s="86">
        <v>1160550.0</v>
      </c>
      <c r="L388" s="84">
        <v>61046.0</v>
      </c>
      <c r="M388" s="80" t="s">
        <v>549</v>
      </c>
      <c r="N388" s="80"/>
      <c r="O388" s="80"/>
      <c r="P388" s="80"/>
      <c r="Q388" s="80"/>
      <c r="R388" s="80"/>
      <c r="S388" s="80"/>
      <c r="T388" s="80"/>
      <c r="U388" s="80"/>
      <c r="V388" s="80"/>
      <c r="W388" s="80"/>
      <c r="X388" s="80"/>
      <c r="Y388" s="80"/>
      <c r="Z388" s="80"/>
    </row>
    <row r="389">
      <c r="A389" s="81">
        <v>3173.0</v>
      </c>
      <c r="B389" s="82" t="s">
        <v>579</v>
      </c>
      <c r="C389" s="82" t="s">
        <v>534</v>
      </c>
      <c r="D389" s="84">
        <v>10000.0</v>
      </c>
      <c r="E389" s="84">
        <v>120.0</v>
      </c>
      <c r="F389" s="84">
        <v>35.0</v>
      </c>
      <c r="G389" s="84">
        <v>9711.0</v>
      </c>
      <c r="H389" s="85">
        <v>46177.0</v>
      </c>
      <c r="I389" s="85">
        <v>46212.0</v>
      </c>
      <c r="J389" s="82" t="s">
        <v>535</v>
      </c>
      <c r="K389" s="86">
        <v>1161658.0</v>
      </c>
      <c r="L389" s="84">
        <v>52739.0</v>
      </c>
      <c r="M389" s="80" t="s">
        <v>537</v>
      </c>
      <c r="N389" s="80"/>
      <c r="O389" s="80"/>
      <c r="P389" s="80"/>
      <c r="Q389" s="80"/>
      <c r="R389" s="80"/>
      <c r="S389" s="80"/>
      <c r="T389" s="80"/>
      <c r="U389" s="80"/>
      <c r="V389" s="80"/>
      <c r="W389" s="80"/>
      <c r="X389" s="80"/>
      <c r="Y389" s="80"/>
      <c r="Z389" s="80"/>
    </row>
    <row r="390">
      <c r="A390" s="81">
        <v>3174.0</v>
      </c>
      <c r="B390" s="82" t="s">
        <v>579</v>
      </c>
      <c r="C390" s="82" t="s">
        <v>534</v>
      </c>
      <c r="D390" s="84">
        <v>10000.0</v>
      </c>
      <c r="E390" s="84">
        <v>120.0</v>
      </c>
      <c r="F390" s="84">
        <v>117.0</v>
      </c>
      <c r="G390" s="84">
        <v>2470.0</v>
      </c>
      <c r="H390" s="85">
        <v>46095.0</v>
      </c>
      <c r="I390" s="85">
        <v>46212.0</v>
      </c>
      <c r="J390" s="82" t="s">
        <v>535</v>
      </c>
      <c r="K390" s="86">
        <v>1153301.0</v>
      </c>
      <c r="L390" s="84">
        <v>49568.0</v>
      </c>
      <c r="M390" s="80" t="s">
        <v>539</v>
      </c>
      <c r="N390" s="80"/>
      <c r="O390" s="80"/>
      <c r="P390" s="80"/>
      <c r="Q390" s="80"/>
      <c r="R390" s="80"/>
      <c r="S390" s="80"/>
      <c r="T390" s="80"/>
      <c r="U390" s="80"/>
      <c r="V390" s="80"/>
      <c r="W390" s="80"/>
      <c r="X390" s="80"/>
      <c r="Y390" s="80"/>
      <c r="Z390" s="80"/>
    </row>
    <row r="391">
      <c r="A391" s="81">
        <v>3175.0</v>
      </c>
      <c r="B391" s="82" t="s">
        <v>579</v>
      </c>
      <c r="C391" s="82" t="s">
        <v>534</v>
      </c>
      <c r="D391" s="84">
        <v>10000.0</v>
      </c>
      <c r="E391" s="84">
        <v>120.0</v>
      </c>
      <c r="F391" s="84">
        <v>43.0</v>
      </c>
      <c r="G391" s="84">
        <v>11459.0</v>
      </c>
      <c r="H391" s="85">
        <v>46169.0</v>
      </c>
      <c r="I391" s="85">
        <v>46212.0</v>
      </c>
      <c r="J391" s="82" t="s">
        <v>540</v>
      </c>
      <c r="K391" s="86">
        <v>1161346.0</v>
      </c>
      <c r="L391" s="84">
        <v>63645.0</v>
      </c>
      <c r="M391" s="80" t="s">
        <v>563</v>
      </c>
      <c r="N391" s="80"/>
      <c r="O391" s="80"/>
      <c r="P391" s="80"/>
      <c r="Q391" s="80"/>
      <c r="R391" s="80"/>
      <c r="S391" s="80"/>
      <c r="T391" s="80"/>
      <c r="U391" s="80"/>
      <c r="V391" s="80"/>
      <c r="W391" s="80"/>
      <c r="X391" s="80"/>
      <c r="Y391" s="80"/>
      <c r="Z391" s="80"/>
    </row>
    <row r="392">
      <c r="A392" s="81">
        <v>3176.0</v>
      </c>
      <c r="B392" s="82" t="s">
        <v>579</v>
      </c>
      <c r="C392" s="82" t="s">
        <v>534</v>
      </c>
      <c r="D392" s="84">
        <v>10000.0</v>
      </c>
      <c r="E392" s="84">
        <v>120.0</v>
      </c>
      <c r="F392" s="84">
        <v>89.0</v>
      </c>
      <c r="G392" s="84">
        <v>11317.0</v>
      </c>
      <c r="H392" s="85">
        <v>46123.0</v>
      </c>
      <c r="I392" s="85">
        <v>46212.0</v>
      </c>
      <c r="J392" s="82" t="s">
        <v>540</v>
      </c>
      <c r="K392" s="86">
        <v>1155384.0</v>
      </c>
      <c r="L392" s="84">
        <v>49830.0</v>
      </c>
      <c r="M392" s="80" t="s">
        <v>541</v>
      </c>
      <c r="N392" s="80"/>
      <c r="O392" s="80"/>
      <c r="P392" s="80"/>
      <c r="Q392" s="80"/>
      <c r="R392" s="80"/>
      <c r="S392" s="80"/>
      <c r="T392" s="80"/>
      <c r="U392" s="80"/>
      <c r="V392" s="80"/>
      <c r="W392" s="80"/>
      <c r="X392" s="80"/>
      <c r="Y392" s="80"/>
      <c r="Z392" s="80"/>
    </row>
    <row r="393">
      <c r="A393" s="81">
        <v>3177.0</v>
      </c>
      <c r="B393" s="82" t="s">
        <v>579</v>
      </c>
      <c r="C393" s="82" t="s">
        <v>534</v>
      </c>
      <c r="D393" s="84">
        <v>10000.0</v>
      </c>
      <c r="E393" s="84">
        <v>120.0</v>
      </c>
      <c r="F393" s="84">
        <v>43.0</v>
      </c>
      <c r="G393" s="84">
        <v>11363.0</v>
      </c>
      <c r="H393" s="85">
        <v>46169.0</v>
      </c>
      <c r="I393" s="85">
        <v>46212.0</v>
      </c>
      <c r="J393" s="82" t="s">
        <v>540</v>
      </c>
      <c r="K393" s="86">
        <v>1161365.0</v>
      </c>
      <c r="L393" s="84">
        <v>68481.0</v>
      </c>
      <c r="M393" s="80" t="s">
        <v>539</v>
      </c>
      <c r="N393" s="80"/>
      <c r="O393" s="80"/>
      <c r="P393" s="80"/>
      <c r="Q393" s="80"/>
      <c r="R393" s="80"/>
      <c r="S393" s="80"/>
      <c r="T393" s="80"/>
      <c r="U393" s="80"/>
      <c r="V393" s="80"/>
      <c r="W393" s="80"/>
      <c r="X393" s="80"/>
      <c r="Y393" s="80"/>
      <c r="Z393" s="80"/>
    </row>
    <row r="394">
      <c r="A394" s="81">
        <v>3178.0</v>
      </c>
      <c r="B394" s="82" t="s">
        <v>579</v>
      </c>
      <c r="C394" s="82" t="s">
        <v>534</v>
      </c>
      <c r="D394" s="84">
        <v>10000.0</v>
      </c>
      <c r="E394" s="84">
        <v>120.0</v>
      </c>
      <c r="F394" s="84">
        <v>2.0</v>
      </c>
      <c r="G394" s="84">
        <v>1.0</v>
      </c>
      <c r="H394" s="85">
        <v>46210.0</v>
      </c>
      <c r="I394" s="85">
        <v>46212.0</v>
      </c>
      <c r="J394" s="82" t="s">
        <v>535</v>
      </c>
      <c r="K394" s="86">
        <v>1162147.0</v>
      </c>
      <c r="L394" s="84">
        <v>67764.0</v>
      </c>
      <c r="M394" s="80" t="s">
        <v>539</v>
      </c>
      <c r="N394" s="80"/>
      <c r="O394" s="80"/>
      <c r="P394" s="80"/>
      <c r="Q394" s="80"/>
      <c r="R394" s="80"/>
      <c r="S394" s="80"/>
      <c r="T394" s="80"/>
      <c r="U394" s="80"/>
      <c r="V394" s="80"/>
      <c r="W394" s="80"/>
      <c r="X394" s="80"/>
      <c r="Y394" s="80"/>
      <c r="Z394" s="80"/>
    </row>
    <row r="395">
      <c r="A395" s="81">
        <v>3179.0</v>
      </c>
      <c r="B395" s="82" t="s">
        <v>579</v>
      </c>
      <c r="C395" s="82" t="s">
        <v>534</v>
      </c>
      <c r="D395" s="84">
        <v>10000.0</v>
      </c>
      <c r="E395" s="84">
        <v>120.0</v>
      </c>
      <c r="F395" s="84">
        <v>1.0</v>
      </c>
      <c r="G395" s="84">
        <v>0.0</v>
      </c>
      <c r="H395" s="85">
        <v>46211.0</v>
      </c>
      <c r="I395" s="85">
        <v>46212.0</v>
      </c>
      <c r="J395" s="82" t="s">
        <v>535</v>
      </c>
      <c r="K395" s="86">
        <v>1162178.0</v>
      </c>
      <c r="L395" s="84">
        <v>68787.0</v>
      </c>
      <c r="M395" s="80" t="s">
        <v>539</v>
      </c>
      <c r="N395" s="80"/>
      <c r="O395" s="80"/>
      <c r="P395" s="80"/>
      <c r="Q395" s="80"/>
      <c r="R395" s="80"/>
      <c r="S395" s="80"/>
      <c r="T395" s="80"/>
      <c r="U395" s="80"/>
      <c r="V395" s="80"/>
      <c r="W395" s="80"/>
      <c r="X395" s="80"/>
      <c r="Y395" s="80"/>
      <c r="Z395" s="80"/>
    </row>
    <row r="396">
      <c r="A396" s="81">
        <v>3180.0</v>
      </c>
      <c r="B396" s="82" t="s">
        <v>579</v>
      </c>
      <c r="C396" s="82" t="s">
        <v>534</v>
      </c>
      <c r="D396" s="84">
        <v>10000.0</v>
      </c>
      <c r="E396" s="84">
        <v>120.0</v>
      </c>
      <c r="F396" s="84">
        <v>42.0</v>
      </c>
      <c r="G396" s="84">
        <v>8193.0</v>
      </c>
      <c r="H396" s="85">
        <v>46170.0</v>
      </c>
      <c r="I396" s="85">
        <v>46212.0</v>
      </c>
      <c r="J396" s="82" t="s">
        <v>535</v>
      </c>
      <c r="K396" s="86">
        <v>1161420.0</v>
      </c>
      <c r="L396" s="84">
        <v>59082.0</v>
      </c>
      <c r="M396" s="80" t="s">
        <v>565</v>
      </c>
      <c r="N396" s="80"/>
      <c r="O396" s="80"/>
      <c r="P396" s="80"/>
      <c r="Q396" s="80"/>
      <c r="R396" s="80"/>
      <c r="S396" s="80"/>
      <c r="T396" s="80"/>
      <c r="U396" s="80"/>
      <c r="V396" s="80"/>
      <c r="W396" s="80"/>
      <c r="X396" s="80"/>
      <c r="Y396" s="80"/>
      <c r="Z396" s="80"/>
    </row>
    <row r="397">
      <c r="A397" s="81">
        <v>3181.0</v>
      </c>
      <c r="B397" s="82" t="s">
        <v>579</v>
      </c>
      <c r="C397" s="82" t="s">
        <v>534</v>
      </c>
      <c r="D397" s="84">
        <v>10000.0</v>
      </c>
      <c r="E397" s="84">
        <v>120.0</v>
      </c>
      <c r="F397" s="84">
        <v>49.0</v>
      </c>
      <c r="G397" s="84">
        <v>13030.0</v>
      </c>
      <c r="H397" s="85">
        <v>46163.0</v>
      </c>
      <c r="I397" s="85">
        <v>46212.0</v>
      </c>
      <c r="J397" s="82" t="s">
        <v>540</v>
      </c>
      <c r="K397" s="86">
        <v>1160721.0</v>
      </c>
      <c r="L397" s="84">
        <v>59266.0</v>
      </c>
      <c r="M397" s="80" t="s">
        <v>554</v>
      </c>
      <c r="N397" s="80"/>
      <c r="O397" s="80"/>
      <c r="P397" s="80"/>
      <c r="Q397" s="80"/>
      <c r="R397" s="80"/>
      <c r="S397" s="80"/>
      <c r="T397" s="80"/>
      <c r="U397" s="80"/>
      <c r="V397" s="80"/>
      <c r="W397" s="80"/>
      <c r="X397" s="80"/>
      <c r="Y397" s="80"/>
      <c r="Z397" s="80"/>
    </row>
    <row r="398">
      <c r="A398" s="81">
        <v>3182.0</v>
      </c>
      <c r="B398" s="82" t="s">
        <v>579</v>
      </c>
      <c r="C398" s="82" t="s">
        <v>534</v>
      </c>
      <c r="D398" s="84">
        <v>10000.0</v>
      </c>
      <c r="E398" s="84">
        <v>120.0</v>
      </c>
      <c r="F398" s="84">
        <v>83.0</v>
      </c>
      <c r="G398" s="84">
        <v>4391.0</v>
      </c>
      <c r="H398" s="85">
        <v>46129.0</v>
      </c>
      <c r="I398" s="85">
        <v>46212.0</v>
      </c>
      <c r="J398" s="82" t="s">
        <v>535</v>
      </c>
      <c r="K398" s="86">
        <v>1156348.0</v>
      </c>
      <c r="L398" s="84">
        <v>54569.0</v>
      </c>
      <c r="M398" s="80" t="s">
        <v>536</v>
      </c>
      <c r="N398" s="80"/>
      <c r="O398" s="80"/>
      <c r="P398" s="80"/>
      <c r="Q398" s="80"/>
      <c r="R398" s="80"/>
      <c r="S398" s="80"/>
      <c r="T398" s="80"/>
      <c r="U398" s="80"/>
      <c r="V398" s="80"/>
      <c r="W398" s="80"/>
      <c r="X398" s="80"/>
      <c r="Y398" s="80"/>
      <c r="Z398" s="80"/>
    </row>
    <row r="399">
      <c r="A399" s="81">
        <v>3183.0</v>
      </c>
      <c r="B399" s="82" t="s">
        <v>579</v>
      </c>
      <c r="C399" s="82" t="s">
        <v>534</v>
      </c>
      <c r="D399" s="84">
        <v>10000.0</v>
      </c>
      <c r="E399" s="84">
        <v>120.0</v>
      </c>
      <c r="F399" s="84">
        <v>12.0</v>
      </c>
      <c r="G399" s="84">
        <v>2767.0</v>
      </c>
      <c r="H399" s="85">
        <v>46200.0</v>
      </c>
      <c r="I399" s="85">
        <v>46212.0</v>
      </c>
      <c r="J399" s="82" t="s">
        <v>535</v>
      </c>
      <c r="K399" s="86">
        <v>1162023.0</v>
      </c>
      <c r="L399" s="84">
        <v>71655.0</v>
      </c>
      <c r="M399" s="80" t="s">
        <v>549</v>
      </c>
      <c r="N399" s="80"/>
      <c r="O399" s="80"/>
      <c r="P399" s="80"/>
      <c r="Q399" s="80"/>
      <c r="R399" s="80"/>
      <c r="S399" s="80"/>
      <c r="T399" s="80"/>
      <c r="U399" s="80"/>
      <c r="V399" s="80"/>
      <c r="W399" s="80"/>
      <c r="X399" s="80"/>
      <c r="Y399" s="80"/>
      <c r="Z399" s="80"/>
    </row>
    <row r="400">
      <c r="A400" s="81">
        <v>3184.0</v>
      </c>
      <c r="B400" s="82" t="s">
        <v>579</v>
      </c>
      <c r="C400" s="82" t="s">
        <v>534</v>
      </c>
      <c r="D400" s="84">
        <v>10000.0</v>
      </c>
      <c r="E400" s="84">
        <v>120.0</v>
      </c>
      <c r="F400" s="84">
        <v>7.0</v>
      </c>
      <c r="G400" s="84">
        <v>1725.0</v>
      </c>
      <c r="H400" s="85">
        <v>46205.0</v>
      </c>
      <c r="I400" s="85">
        <v>46212.0</v>
      </c>
      <c r="J400" s="82" t="s">
        <v>535</v>
      </c>
      <c r="K400" s="86">
        <v>1162080.0</v>
      </c>
      <c r="L400" s="84">
        <v>66094.0</v>
      </c>
      <c r="M400" s="80" t="s">
        <v>539</v>
      </c>
      <c r="N400" s="80"/>
      <c r="O400" s="80"/>
      <c r="P400" s="80"/>
      <c r="Q400" s="80"/>
      <c r="R400" s="80"/>
      <c r="S400" s="80"/>
      <c r="T400" s="80"/>
      <c r="U400" s="80"/>
      <c r="V400" s="80"/>
      <c r="W400" s="80"/>
      <c r="X400" s="80"/>
      <c r="Y400" s="80"/>
      <c r="Z400" s="80"/>
    </row>
    <row r="401">
      <c r="A401" s="81">
        <v>3185.0</v>
      </c>
      <c r="B401" s="82" t="s">
        <v>579</v>
      </c>
      <c r="C401" s="82" t="s">
        <v>534</v>
      </c>
      <c r="D401" s="84">
        <v>10000.0</v>
      </c>
      <c r="E401" s="84">
        <v>120.0</v>
      </c>
      <c r="F401" s="84">
        <v>12.0</v>
      </c>
      <c r="G401" s="84">
        <v>2533.0</v>
      </c>
      <c r="H401" s="85">
        <v>46200.0</v>
      </c>
      <c r="I401" s="85">
        <v>46212.0</v>
      </c>
      <c r="J401" s="82" t="s">
        <v>535</v>
      </c>
      <c r="K401" s="86">
        <v>1162027.0</v>
      </c>
      <c r="L401" s="84">
        <v>40850.0</v>
      </c>
      <c r="M401" s="80" t="s">
        <v>539</v>
      </c>
      <c r="N401" s="80"/>
      <c r="O401" s="80"/>
      <c r="P401" s="80"/>
      <c r="Q401" s="80"/>
      <c r="R401" s="80"/>
      <c r="S401" s="80"/>
      <c r="T401" s="80"/>
      <c r="U401" s="80"/>
      <c r="V401" s="80"/>
      <c r="W401" s="80"/>
      <c r="X401" s="80"/>
      <c r="Y401" s="80"/>
      <c r="Z401" s="80"/>
    </row>
    <row r="402">
      <c r="A402" s="81">
        <v>3186.0</v>
      </c>
      <c r="B402" s="82" t="s">
        <v>579</v>
      </c>
      <c r="C402" s="82" t="s">
        <v>534</v>
      </c>
      <c r="D402" s="84">
        <v>10000.0</v>
      </c>
      <c r="E402" s="84">
        <v>120.0</v>
      </c>
      <c r="F402" s="84">
        <v>73.0</v>
      </c>
      <c r="G402" s="84">
        <v>14629.0</v>
      </c>
      <c r="H402" s="85">
        <v>46139.0</v>
      </c>
      <c r="I402" s="85">
        <v>46212.0</v>
      </c>
      <c r="J402" s="82" t="s">
        <v>540</v>
      </c>
      <c r="K402" s="86">
        <v>1157415.0</v>
      </c>
      <c r="L402" s="84">
        <v>55745.0</v>
      </c>
      <c r="M402" s="80" t="s">
        <v>536</v>
      </c>
      <c r="N402" s="80"/>
      <c r="O402" s="80"/>
      <c r="P402" s="80"/>
      <c r="Q402" s="80"/>
      <c r="R402" s="80"/>
      <c r="S402" s="80"/>
      <c r="T402" s="80"/>
      <c r="U402" s="80"/>
      <c r="V402" s="80"/>
      <c r="W402" s="80"/>
      <c r="X402" s="80"/>
      <c r="Y402" s="80"/>
      <c r="Z402" s="80"/>
    </row>
    <row r="403">
      <c r="A403" s="81">
        <v>3197.0</v>
      </c>
      <c r="B403" s="82" t="s">
        <v>586</v>
      </c>
      <c r="C403" s="82" t="s">
        <v>536</v>
      </c>
      <c r="D403" s="84">
        <v>5000.0</v>
      </c>
      <c r="E403" s="84">
        <v>180.0</v>
      </c>
      <c r="F403" s="84">
        <v>134.0</v>
      </c>
      <c r="G403" s="84">
        <v>4369.0</v>
      </c>
      <c r="H403" s="85">
        <v>46078.0</v>
      </c>
      <c r="I403" s="85">
        <v>46212.0</v>
      </c>
      <c r="J403" s="82" t="s">
        <v>535</v>
      </c>
      <c r="K403" s="86">
        <v>1151083.0</v>
      </c>
      <c r="L403" s="84">
        <v>5216.0</v>
      </c>
      <c r="M403" s="80" t="s">
        <v>554</v>
      </c>
      <c r="N403" s="80"/>
      <c r="O403" s="80"/>
      <c r="P403" s="80"/>
      <c r="Q403" s="80"/>
      <c r="R403" s="80"/>
      <c r="S403" s="80"/>
      <c r="T403" s="80"/>
      <c r="U403" s="80"/>
      <c r="V403" s="80"/>
      <c r="W403" s="80"/>
      <c r="X403" s="80"/>
      <c r="Y403" s="80"/>
      <c r="Z403" s="80"/>
    </row>
    <row r="404">
      <c r="A404" s="81">
        <v>3198.0</v>
      </c>
      <c r="B404" s="82" t="s">
        <v>586</v>
      </c>
      <c r="C404" s="82" t="s">
        <v>537</v>
      </c>
      <c r="D404" s="84">
        <v>5000.0</v>
      </c>
      <c r="E404" s="84">
        <v>180.0</v>
      </c>
      <c r="F404" s="84">
        <v>150.0</v>
      </c>
      <c r="G404" s="84">
        <v>5962.0</v>
      </c>
      <c r="H404" s="85">
        <v>46062.0</v>
      </c>
      <c r="I404" s="85">
        <v>46212.0</v>
      </c>
      <c r="J404" s="82" t="s">
        <v>540</v>
      </c>
      <c r="K404" s="86">
        <v>1149204.0</v>
      </c>
      <c r="L404" s="84">
        <v>4870.0</v>
      </c>
      <c r="M404" s="80" t="s">
        <v>554</v>
      </c>
      <c r="N404" s="80"/>
      <c r="O404" s="80"/>
      <c r="P404" s="80"/>
      <c r="Q404" s="80"/>
      <c r="R404" s="80"/>
      <c r="S404" s="80"/>
      <c r="T404" s="80"/>
      <c r="U404" s="80"/>
      <c r="V404" s="80"/>
      <c r="W404" s="80"/>
      <c r="X404" s="80"/>
      <c r="Y404" s="80"/>
      <c r="Z404" s="80"/>
    </row>
    <row r="405">
      <c r="A405" s="81">
        <v>3200.0</v>
      </c>
      <c r="B405" s="82" t="s">
        <v>586</v>
      </c>
      <c r="C405" s="82" t="s">
        <v>536</v>
      </c>
      <c r="D405" s="84">
        <v>5000.0</v>
      </c>
      <c r="E405" s="84">
        <v>180.0</v>
      </c>
      <c r="F405" s="84">
        <v>121.0</v>
      </c>
      <c r="G405" s="84">
        <v>4976.0</v>
      </c>
      <c r="H405" s="85">
        <v>46091.0</v>
      </c>
      <c r="I405" s="85">
        <v>46212.0</v>
      </c>
      <c r="J405" s="82" t="s">
        <v>535</v>
      </c>
      <c r="K405" s="86">
        <v>1152493.0</v>
      </c>
      <c r="L405" s="84">
        <v>4626.0</v>
      </c>
      <c r="M405" s="80" t="s">
        <v>554</v>
      </c>
      <c r="N405" s="80"/>
      <c r="O405" s="80"/>
      <c r="P405" s="80"/>
      <c r="Q405" s="80"/>
      <c r="R405" s="80"/>
      <c r="S405" s="80"/>
      <c r="T405" s="80"/>
      <c r="U405" s="80"/>
      <c r="V405" s="80"/>
      <c r="W405" s="80"/>
      <c r="X405" s="80"/>
      <c r="Y405" s="80"/>
      <c r="Z405" s="80"/>
    </row>
    <row r="406">
      <c r="A406" s="81">
        <v>3201.0</v>
      </c>
      <c r="B406" s="82" t="s">
        <v>586</v>
      </c>
      <c r="C406" s="82" t="s">
        <v>536</v>
      </c>
      <c r="D406" s="84">
        <v>5000.0</v>
      </c>
      <c r="E406" s="84">
        <v>180.0</v>
      </c>
      <c r="F406" s="84">
        <v>115.0</v>
      </c>
      <c r="G406" s="84">
        <v>3840.0</v>
      </c>
      <c r="H406" s="85">
        <v>46097.0</v>
      </c>
      <c r="I406" s="85">
        <v>46212.0</v>
      </c>
      <c r="J406" s="82" t="s">
        <v>535</v>
      </c>
      <c r="K406" s="86">
        <v>1151992.0</v>
      </c>
      <c r="L406" s="84">
        <v>5319.0</v>
      </c>
      <c r="M406" s="80" t="s">
        <v>554</v>
      </c>
      <c r="N406" s="80"/>
      <c r="O406" s="80"/>
      <c r="P406" s="80"/>
      <c r="Q406" s="80"/>
      <c r="R406" s="80"/>
      <c r="S406" s="80"/>
      <c r="T406" s="80"/>
      <c r="U406" s="80"/>
      <c r="V406" s="80"/>
      <c r="W406" s="80"/>
      <c r="X406" s="80"/>
      <c r="Y406" s="80"/>
      <c r="Z406" s="80"/>
    </row>
    <row r="407">
      <c r="A407" s="81">
        <v>3202.0</v>
      </c>
      <c r="B407" s="82" t="s">
        <v>586</v>
      </c>
      <c r="C407" s="82" t="s">
        <v>536</v>
      </c>
      <c r="D407" s="84">
        <v>5000.0</v>
      </c>
      <c r="E407" s="84">
        <v>180.0</v>
      </c>
      <c r="F407" s="84">
        <v>100.0</v>
      </c>
      <c r="G407" s="84">
        <v>5377.0</v>
      </c>
      <c r="H407" s="85">
        <v>46112.0</v>
      </c>
      <c r="I407" s="85">
        <v>46212.0</v>
      </c>
      <c r="J407" s="82" t="s">
        <v>540</v>
      </c>
      <c r="K407" s="86">
        <v>1154546.0</v>
      </c>
      <c r="L407" s="84">
        <v>10316.0</v>
      </c>
      <c r="M407" s="80" t="s">
        <v>554</v>
      </c>
      <c r="N407" s="80"/>
      <c r="O407" s="80"/>
      <c r="P407" s="80"/>
      <c r="Q407" s="80"/>
      <c r="R407" s="80"/>
      <c r="S407" s="80"/>
      <c r="T407" s="80"/>
      <c r="U407" s="80"/>
      <c r="V407" s="80"/>
      <c r="W407" s="80"/>
      <c r="X407" s="80"/>
      <c r="Y407" s="80"/>
      <c r="Z407" s="80"/>
    </row>
    <row r="408">
      <c r="A408" s="81">
        <v>3209.0</v>
      </c>
      <c r="B408" s="82" t="s">
        <v>586</v>
      </c>
      <c r="C408" s="82" t="s">
        <v>536</v>
      </c>
      <c r="D408" s="84">
        <v>5000.0</v>
      </c>
      <c r="E408" s="84">
        <v>180.0</v>
      </c>
      <c r="F408" s="84">
        <v>73.0</v>
      </c>
      <c r="G408" s="84">
        <v>3467.0</v>
      </c>
      <c r="H408" s="85">
        <v>46139.0</v>
      </c>
      <c r="I408" s="85">
        <v>46212.0</v>
      </c>
      <c r="J408" s="82" t="s">
        <v>535</v>
      </c>
      <c r="K408" s="86">
        <v>1156761.0</v>
      </c>
      <c r="L408" s="84">
        <v>11198.0</v>
      </c>
      <c r="M408" s="80" t="s">
        <v>554</v>
      </c>
      <c r="N408" s="80"/>
      <c r="O408" s="80"/>
      <c r="P408" s="80"/>
      <c r="Q408" s="80"/>
      <c r="R408" s="80"/>
      <c r="S408" s="80"/>
      <c r="T408" s="80"/>
      <c r="U408" s="80"/>
      <c r="V408" s="80"/>
      <c r="W408" s="80"/>
      <c r="X408" s="80"/>
      <c r="Y408" s="80"/>
      <c r="Z408" s="80"/>
    </row>
    <row r="409">
      <c r="A409" s="81">
        <v>3210.0</v>
      </c>
      <c r="B409" s="82" t="s">
        <v>586</v>
      </c>
      <c r="C409" s="82" t="s">
        <v>536</v>
      </c>
      <c r="D409" s="84">
        <v>5000.0</v>
      </c>
      <c r="E409" s="84">
        <v>180.0</v>
      </c>
      <c r="F409" s="84">
        <v>65.0</v>
      </c>
      <c r="G409" s="84">
        <v>2955.0</v>
      </c>
      <c r="H409" s="85">
        <v>46147.0</v>
      </c>
      <c r="I409" s="85">
        <v>46212.0</v>
      </c>
      <c r="J409" s="82" t="s">
        <v>535</v>
      </c>
      <c r="K409" s="86">
        <v>1158355.0</v>
      </c>
      <c r="L409" s="84">
        <v>10569.0</v>
      </c>
      <c r="M409" s="80" t="s">
        <v>554</v>
      </c>
      <c r="N409" s="80"/>
      <c r="O409" s="80"/>
      <c r="P409" s="80"/>
      <c r="Q409" s="80"/>
      <c r="R409" s="80"/>
      <c r="S409" s="80"/>
      <c r="T409" s="80"/>
      <c r="U409" s="80"/>
      <c r="V409" s="80"/>
      <c r="W409" s="80"/>
      <c r="X409" s="80"/>
      <c r="Y409" s="80"/>
      <c r="Z409" s="80"/>
    </row>
    <row r="410">
      <c r="A410" s="81">
        <v>3212.0</v>
      </c>
      <c r="B410" s="82" t="s">
        <v>586</v>
      </c>
      <c r="C410" s="82" t="s">
        <v>536</v>
      </c>
      <c r="D410" s="84">
        <v>5000.0</v>
      </c>
      <c r="E410" s="84">
        <v>180.0</v>
      </c>
      <c r="F410" s="84">
        <v>100.0</v>
      </c>
      <c r="G410" s="84">
        <v>3471.0</v>
      </c>
      <c r="H410" s="85">
        <v>46112.0</v>
      </c>
      <c r="I410" s="85">
        <v>46212.0</v>
      </c>
      <c r="J410" s="82" t="s">
        <v>535</v>
      </c>
      <c r="K410" s="86">
        <v>1154544.0</v>
      </c>
      <c r="L410" s="84">
        <v>5011.0</v>
      </c>
      <c r="M410" s="80" t="s">
        <v>554</v>
      </c>
      <c r="N410" s="80"/>
      <c r="O410" s="80"/>
      <c r="P410" s="80"/>
      <c r="Q410" s="80"/>
      <c r="R410" s="80"/>
      <c r="S410" s="80"/>
      <c r="T410" s="80"/>
      <c r="U410" s="80"/>
      <c r="V410" s="80"/>
      <c r="W410" s="80"/>
      <c r="X410" s="80"/>
      <c r="Y410" s="80"/>
      <c r="Z410" s="80"/>
    </row>
    <row r="411">
      <c r="A411" s="81">
        <v>3213.0</v>
      </c>
      <c r="B411" s="82" t="s">
        <v>586</v>
      </c>
      <c r="C411" s="82" t="s">
        <v>536</v>
      </c>
      <c r="D411" s="84">
        <v>5000.0</v>
      </c>
      <c r="E411" s="84">
        <v>180.0</v>
      </c>
      <c r="F411" s="84">
        <v>121.0</v>
      </c>
      <c r="G411" s="84">
        <v>4308.0</v>
      </c>
      <c r="H411" s="85">
        <v>46091.0</v>
      </c>
      <c r="I411" s="85">
        <v>46212.0</v>
      </c>
      <c r="J411" s="82" t="s">
        <v>535</v>
      </c>
      <c r="K411" s="86">
        <v>1152491.0</v>
      </c>
      <c r="L411" s="84">
        <v>4958.0</v>
      </c>
      <c r="M411" s="80" t="s">
        <v>554</v>
      </c>
      <c r="N411" s="80"/>
      <c r="O411" s="80"/>
      <c r="P411" s="80"/>
      <c r="Q411" s="80"/>
      <c r="R411" s="80"/>
      <c r="S411" s="80"/>
      <c r="T411" s="80"/>
      <c r="U411" s="80"/>
      <c r="V411" s="80"/>
      <c r="W411" s="80"/>
      <c r="X411" s="80"/>
      <c r="Y411" s="80"/>
      <c r="Z411" s="80"/>
    </row>
    <row r="412">
      <c r="A412" s="81">
        <v>3214.0</v>
      </c>
      <c r="B412" s="82" t="s">
        <v>586</v>
      </c>
      <c r="C412" s="82" t="s">
        <v>536</v>
      </c>
      <c r="D412" s="84">
        <v>5000.0</v>
      </c>
      <c r="E412" s="84">
        <v>180.0</v>
      </c>
      <c r="F412" s="84">
        <v>112.0</v>
      </c>
      <c r="G412" s="84">
        <v>3673.0</v>
      </c>
      <c r="H412" s="85">
        <v>46100.0</v>
      </c>
      <c r="I412" s="85">
        <v>46212.0</v>
      </c>
      <c r="J412" s="82" t="s">
        <v>535</v>
      </c>
      <c r="K412" s="86">
        <v>1153491.0</v>
      </c>
      <c r="L412" s="84">
        <v>4914.0</v>
      </c>
      <c r="M412" s="80" t="s">
        <v>554</v>
      </c>
      <c r="N412" s="80"/>
      <c r="O412" s="80"/>
      <c r="P412" s="80"/>
      <c r="Q412" s="80"/>
      <c r="R412" s="80"/>
      <c r="S412" s="80"/>
      <c r="T412" s="80"/>
      <c r="U412" s="80"/>
      <c r="V412" s="80"/>
      <c r="W412" s="80"/>
      <c r="X412" s="80"/>
      <c r="Y412" s="80"/>
      <c r="Z412" s="80"/>
    </row>
    <row r="413">
      <c r="A413" s="81">
        <v>3215.0</v>
      </c>
      <c r="B413" s="82" t="s">
        <v>586</v>
      </c>
      <c r="C413" s="82" t="s">
        <v>536</v>
      </c>
      <c r="D413" s="84">
        <v>5000.0</v>
      </c>
      <c r="E413" s="84">
        <v>180.0</v>
      </c>
      <c r="F413" s="84">
        <v>92.0</v>
      </c>
      <c r="G413" s="84">
        <v>2549.0</v>
      </c>
      <c r="H413" s="85">
        <v>46120.0</v>
      </c>
      <c r="I413" s="85">
        <v>46212.0</v>
      </c>
      <c r="J413" s="82" t="s">
        <v>535</v>
      </c>
      <c r="K413" s="86">
        <v>1154543.0</v>
      </c>
      <c r="L413" s="84">
        <v>4904.0</v>
      </c>
      <c r="M413" s="80" t="s">
        <v>554</v>
      </c>
      <c r="N413" s="80"/>
      <c r="O413" s="80"/>
      <c r="P413" s="80"/>
      <c r="Q413" s="80"/>
      <c r="R413" s="80"/>
      <c r="S413" s="80"/>
      <c r="T413" s="80"/>
      <c r="U413" s="80"/>
      <c r="V413" s="80"/>
      <c r="W413" s="80"/>
      <c r="X413" s="80"/>
      <c r="Y413" s="80"/>
      <c r="Z413" s="80"/>
    </row>
    <row r="414">
      <c r="A414" s="81">
        <v>3216.0</v>
      </c>
      <c r="B414" s="82" t="s">
        <v>586</v>
      </c>
      <c r="C414" s="82" t="s">
        <v>536</v>
      </c>
      <c r="D414" s="84">
        <v>5000.0</v>
      </c>
      <c r="E414" s="84">
        <v>180.0</v>
      </c>
      <c r="F414" s="84">
        <v>112.0</v>
      </c>
      <c r="G414" s="84">
        <v>3457.0</v>
      </c>
      <c r="H414" s="85">
        <v>46100.0</v>
      </c>
      <c r="I414" s="85">
        <v>46212.0</v>
      </c>
      <c r="J414" s="82" t="s">
        <v>535</v>
      </c>
      <c r="K414" s="86">
        <v>1153496.0</v>
      </c>
      <c r="L414" s="84">
        <v>4617.0</v>
      </c>
      <c r="M414" s="80" t="s">
        <v>554</v>
      </c>
      <c r="N414" s="80"/>
      <c r="O414" s="80"/>
      <c r="P414" s="80"/>
      <c r="Q414" s="80"/>
      <c r="R414" s="80"/>
      <c r="S414" s="80"/>
      <c r="T414" s="80"/>
      <c r="U414" s="80"/>
      <c r="V414" s="80"/>
      <c r="W414" s="80"/>
      <c r="X414" s="80"/>
      <c r="Y414" s="80"/>
      <c r="Z414" s="80"/>
    </row>
    <row r="415">
      <c r="A415" s="81">
        <v>3219.0</v>
      </c>
      <c r="B415" s="82" t="s">
        <v>586</v>
      </c>
      <c r="C415" s="82" t="s">
        <v>536</v>
      </c>
      <c r="D415" s="84">
        <v>5000.0</v>
      </c>
      <c r="E415" s="84">
        <v>180.0</v>
      </c>
      <c r="F415" s="84">
        <v>100.0</v>
      </c>
      <c r="G415" s="84">
        <v>3645.0</v>
      </c>
      <c r="H415" s="85">
        <v>46112.0</v>
      </c>
      <c r="I415" s="85">
        <v>46212.0</v>
      </c>
      <c r="J415" s="82" t="s">
        <v>535</v>
      </c>
      <c r="K415" s="86">
        <v>1153497.0</v>
      </c>
      <c r="L415" s="84">
        <v>5744.0</v>
      </c>
      <c r="M415" s="80" t="s">
        <v>554</v>
      </c>
      <c r="N415" s="80"/>
      <c r="O415" s="80"/>
      <c r="P415" s="80"/>
      <c r="Q415" s="80"/>
      <c r="R415" s="80"/>
      <c r="S415" s="80"/>
      <c r="T415" s="80"/>
      <c r="U415" s="80"/>
      <c r="V415" s="80"/>
      <c r="W415" s="80"/>
      <c r="X415" s="80"/>
      <c r="Y415" s="80"/>
      <c r="Z415" s="80"/>
    </row>
    <row r="416">
      <c r="A416" s="81">
        <v>3231.0</v>
      </c>
      <c r="B416" s="82" t="s">
        <v>586</v>
      </c>
      <c r="C416" s="82" t="s">
        <v>536</v>
      </c>
      <c r="D416" s="84">
        <v>5000.0</v>
      </c>
      <c r="E416" s="84">
        <v>180.0</v>
      </c>
      <c r="F416" s="84">
        <v>156.0</v>
      </c>
      <c r="G416" s="84">
        <v>4258.0</v>
      </c>
      <c r="H416" s="85">
        <v>46056.0</v>
      </c>
      <c r="I416" s="85">
        <v>46212.0</v>
      </c>
      <c r="J416" s="82" t="s">
        <v>535</v>
      </c>
      <c r="K416" s="86">
        <v>1148302.0</v>
      </c>
      <c r="L416" s="84">
        <v>4909.0</v>
      </c>
      <c r="M416" s="80" t="s">
        <v>554</v>
      </c>
      <c r="N416" s="80"/>
      <c r="O416" s="80"/>
      <c r="P416" s="80"/>
      <c r="Q416" s="80"/>
      <c r="R416" s="80"/>
      <c r="S416" s="80"/>
      <c r="T416" s="80"/>
      <c r="U416" s="80"/>
      <c r="V416" s="80"/>
      <c r="W416" s="80"/>
      <c r="X416" s="80"/>
      <c r="Y416" s="80"/>
      <c r="Z416" s="80"/>
    </row>
    <row r="417">
      <c r="A417" s="81">
        <v>3241.0</v>
      </c>
      <c r="B417" s="82" t="s">
        <v>586</v>
      </c>
      <c r="C417" s="82" t="s">
        <v>536</v>
      </c>
      <c r="D417" s="84">
        <v>5000.0</v>
      </c>
      <c r="E417" s="84">
        <v>180.0</v>
      </c>
      <c r="F417" s="84">
        <v>66.0</v>
      </c>
      <c r="G417" s="84">
        <v>3223.0</v>
      </c>
      <c r="H417" s="85">
        <v>46146.0</v>
      </c>
      <c r="I417" s="85">
        <v>46212.0</v>
      </c>
      <c r="J417" s="82" t="s">
        <v>535</v>
      </c>
      <c r="K417" s="86">
        <v>1157527.0</v>
      </c>
      <c r="L417" s="84">
        <v>8972.0</v>
      </c>
      <c r="M417" s="80" t="s">
        <v>554</v>
      </c>
      <c r="N417" s="80"/>
      <c r="O417" s="80"/>
      <c r="P417" s="80"/>
      <c r="Q417" s="80"/>
      <c r="R417" s="80"/>
      <c r="S417" s="80"/>
      <c r="T417" s="80"/>
      <c r="U417" s="80"/>
      <c r="V417" s="80"/>
      <c r="W417" s="80"/>
      <c r="X417" s="80"/>
      <c r="Y417" s="80"/>
      <c r="Z417" s="80"/>
    </row>
    <row r="418">
      <c r="A418" s="81">
        <v>3246.0</v>
      </c>
      <c r="B418" s="82" t="s">
        <v>586</v>
      </c>
      <c r="C418" s="82" t="s">
        <v>536</v>
      </c>
      <c r="D418" s="84">
        <v>5000.0</v>
      </c>
      <c r="E418" s="84">
        <v>180.0</v>
      </c>
      <c r="F418" s="84">
        <v>170.0</v>
      </c>
      <c r="G418" s="84">
        <v>4726.0</v>
      </c>
      <c r="H418" s="85">
        <v>46042.0</v>
      </c>
      <c r="I418" s="85">
        <v>46212.0</v>
      </c>
      <c r="J418" s="82" t="s">
        <v>535</v>
      </c>
      <c r="K418" s="86">
        <v>1146666.0</v>
      </c>
      <c r="L418" s="84">
        <v>3603.0</v>
      </c>
      <c r="M418" s="80" t="s">
        <v>554</v>
      </c>
      <c r="N418" s="80"/>
      <c r="O418" s="80"/>
      <c r="P418" s="80"/>
      <c r="Q418" s="80"/>
      <c r="R418" s="80"/>
      <c r="S418" s="80"/>
      <c r="T418" s="80"/>
      <c r="U418" s="80"/>
      <c r="V418" s="80"/>
      <c r="W418" s="80"/>
      <c r="X418" s="80"/>
      <c r="Y418" s="80"/>
      <c r="Z418" s="80"/>
    </row>
    <row r="419">
      <c r="A419" s="81">
        <v>3247.0</v>
      </c>
      <c r="B419" s="82" t="s">
        <v>586</v>
      </c>
      <c r="C419" s="82" t="s">
        <v>536</v>
      </c>
      <c r="D419" s="84">
        <v>5000.0</v>
      </c>
      <c r="E419" s="84">
        <v>180.0</v>
      </c>
      <c r="F419" s="84">
        <v>120.0</v>
      </c>
      <c r="G419" s="84">
        <v>4419.0</v>
      </c>
      <c r="H419" s="85">
        <v>46092.0</v>
      </c>
      <c r="I419" s="85">
        <v>46212.0</v>
      </c>
      <c r="J419" s="82" t="s">
        <v>535</v>
      </c>
      <c r="K419" s="86">
        <v>1148301.0</v>
      </c>
      <c r="L419" s="84">
        <v>6597.0</v>
      </c>
      <c r="M419" s="80" t="s">
        <v>554</v>
      </c>
      <c r="N419" s="80"/>
      <c r="O419" s="80"/>
      <c r="P419" s="80"/>
      <c r="Q419" s="80"/>
      <c r="R419" s="80"/>
      <c r="S419" s="80"/>
      <c r="T419" s="80"/>
      <c r="U419" s="80"/>
      <c r="V419" s="80"/>
      <c r="W419" s="80"/>
      <c r="X419" s="80"/>
      <c r="Y419" s="80"/>
      <c r="Z419" s="80"/>
    </row>
    <row r="420">
      <c r="A420" s="81">
        <v>3249.0</v>
      </c>
      <c r="B420" s="82" t="s">
        <v>586</v>
      </c>
      <c r="C420" s="82" t="s">
        <v>536</v>
      </c>
      <c r="D420" s="84">
        <v>5000.0</v>
      </c>
      <c r="E420" s="84">
        <v>180.0</v>
      </c>
      <c r="F420" s="84">
        <v>122.0</v>
      </c>
      <c r="G420" s="84">
        <v>4050.0</v>
      </c>
      <c r="H420" s="85">
        <v>46090.0</v>
      </c>
      <c r="I420" s="85">
        <v>46212.0</v>
      </c>
      <c r="J420" s="82" t="s">
        <v>535</v>
      </c>
      <c r="K420" s="86">
        <v>1150080.0</v>
      </c>
      <c r="L420" s="84">
        <v>5349.0</v>
      </c>
      <c r="M420" s="80" t="s">
        <v>554</v>
      </c>
      <c r="N420" s="80"/>
      <c r="O420" s="80"/>
      <c r="P420" s="80"/>
      <c r="Q420" s="80"/>
      <c r="R420" s="80"/>
      <c r="S420" s="80"/>
      <c r="T420" s="80"/>
      <c r="U420" s="80"/>
      <c r="V420" s="80"/>
      <c r="W420" s="80"/>
      <c r="X420" s="80"/>
      <c r="Y420" s="80"/>
      <c r="Z420" s="80"/>
    </row>
    <row r="421">
      <c r="A421" s="81">
        <v>3250.0</v>
      </c>
      <c r="B421" s="82" t="s">
        <v>586</v>
      </c>
      <c r="C421" s="82" t="s">
        <v>536</v>
      </c>
      <c r="D421" s="84">
        <v>5000.0</v>
      </c>
      <c r="E421" s="84">
        <v>180.0</v>
      </c>
      <c r="F421" s="84">
        <v>51.0</v>
      </c>
      <c r="G421" s="84">
        <v>2684.0</v>
      </c>
      <c r="H421" s="85">
        <v>46161.0</v>
      </c>
      <c r="I421" s="85">
        <v>46212.0</v>
      </c>
      <c r="J421" s="82" t="s">
        <v>535</v>
      </c>
      <c r="K421" s="86">
        <v>1158359.0</v>
      </c>
      <c r="L421" s="84">
        <v>10076.0</v>
      </c>
      <c r="M421" s="80" t="s">
        <v>554</v>
      </c>
      <c r="N421" s="80"/>
      <c r="O421" s="80"/>
      <c r="P421" s="80"/>
      <c r="Q421" s="80"/>
      <c r="R421" s="80"/>
      <c r="S421" s="80"/>
      <c r="T421" s="80"/>
      <c r="U421" s="80"/>
      <c r="V421" s="80"/>
      <c r="W421" s="80"/>
      <c r="X421" s="80"/>
      <c r="Y421" s="80"/>
      <c r="Z421" s="80"/>
    </row>
    <row r="422">
      <c r="A422" s="81">
        <v>3251.0</v>
      </c>
      <c r="B422" s="82" t="s">
        <v>586</v>
      </c>
      <c r="C422" s="82" t="s">
        <v>538</v>
      </c>
      <c r="D422" s="84">
        <v>5000.0</v>
      </c>
      <c r="E422" s="84">
        <v>180.0</v>
      </c>
      <c r="F422" s="84">
        <v>125.0</v>
      </c>
      <c r="G422" s="84">
        <v>5016.0</v>
      </c>
      <c r="H422" s="85">
        <v>46087.0</v>
      </c>
      <c r="I422" s="85">
        <v>46212.0</v>
      </c>
      <c r="J422" s="82" t="s">
        <v>540</v>
      </c>
      <c r="K422" s="86">
        <v>1150077.0</v>
      </c>
      <c r="L422" s="84">
        <v>5960.0</v>
      </c>
      <c r="M422" s="80" t="s">
        <v>554</v>
      </c>
      <c r="N422" s="80"/>
      <c r="O422" s="80"/>
      <c r="P422" s="80"/>
      <c r="Q422" s="80"/>
      <c r="R422" s="80"/>
      <c r="S422" s="80"/>
      <c r="T422" s="80"/>
      <c r="U422" s="80"/>
      <c r="V422" s="80"/>
      <c r="W422" s="80"/>
      <c r="X422" s="80"/>
      <c r="Y422" s="80"/>
      <c r="Z422" s="80"/>
    </row>
    <row r="423">
      <c r="A423" s="81">
        <v>3252.0</v>
      </c>
      <c r="B423" s="82" t="s">
        <v>586</v>
      </c>
      <c r="C423" s="82" t="s">
        <v>538</v>
      </c>
      <c r="D423" s="84">
        <v>5000.0</v>
      </c>
      <c r="E423" s="84">
        <v>180.0</v>
      </c>
      <c r="F423" s="84">
        <v>51.0</v>
      </c>
      <c r="G423" s="84">
        <v>2288.0</v>
      </c>
      <c r="H423" s="85">
        <v>46161.0</v>
      </c>
      <c r="I423" s="85">
        <v>46212.0</v>
      </c>
      <c r="J423" s="82" t="s">
        <v>535</v>
      </c>
      <c r="K423" s="86">
        <v>1160337.0</v>
      </c>
      <c r="L423" s="84">
        <v>9110.0</v>
      </c>
      <c r="M423" s="80" t="s">
        <v>554</v>
      </c>
      <c r="N423" s="80"/>
      <c r="O423" s="80"/>
      <c r="P423" s="80"/>
      <c r="Q423" s="80"/>
      <c r="R423" s="80"/>
      <c r="S423" s="80"/>
      <c r="T423" s="80"/>
      <c r="U423" s="80"/>
      <c r="V423" s="80"/>
      <c r="W423" s="80"/>
      <c r="X423" s="80"/>
      <c r="Y423" s="80"/>
      <c r="Z423" s="80"/>
    </row>
    <row r="424">
      <c r="A424" s="81">
        <v>3256.0</v>
      </c>
      <c r="B424" s="82" t="s">
        <v>586</v>
      </c>
      <c r="C424" s="82" t="s">
        <v>536</v>
      </c>
      <c r="D424" s="84">
        <v>5000.0</v>
      </c>
      <c r="E424" s="84">
        <v>180.0</v>
      </c>
      <c r="F424" s="84">
        <v>84.0</v>
      </c>
      <c r="G424" s="84">
        <v>3397.0</v>
      </c>
      <c r="H424" s="85">
        <v>46128.0</v>
      </c>
      <c r="I424" s="85">
        <v>46212.0</v>
      </c>
      <c r="J424" s="82" t="s">
        <v>535</v>
      </c>
      <c r="K424" s="86">
        <v>1156065.0</v>
      </c>
      <c r="L424" s="84">
        <v>4858.0</v>
      </c>
      <c r="M424" s="80" t="s">
        <v>554</v>
      </c>
      <c r="N424" s="80"/>
      <c r="O424" s="80"/>
      <c r="P424" s="80"/>
      <c r="Q424" s="80"/>
      <c r="R424" s="80"/>
      <c r="S424" s="80"/>
      <c r="T424" s="80"/>
      <c r="U424" s="80"/>
      <c r="V424" s="80"/>
      <c r="W424" s="80"/>
      <c r="X424" s="80"/>
      <c r="Y424" s="80"/>
      <c r="Z424" s="80"/>
    </row>
    <row r="425">
      <c r="A425" s="81">
        <v>3264.0</v>
      </c>
      <c r="B425" s="82" t="s">
        <v>586</v>
      </c>
      <c r="C425" s="82" t="s">
        <v>536</v>
      </c>
      <c r="D425" s="84">
        <v>5000.0</v>
      </c>
      <c r="E425" s="84">
        <v>180.0</v>
      </c>
      <c r="F425" s="84">
        <v>106.0</v>
      </c>
      <c r="G425" s="84">
        <v>3474.0</v>
      </c>
      <c r="H425" s="85">
        <v>46106.0</v>
      </c>
      <c r="I425" s="85">
        <v>46212.0</v>
      </c>
      <c r="J425" s="82" t="s">
        <v>535</v>
      </c>
      <c r="K425" s="86">
        <v>1154202.0</v>
      </c>
      <c r="L425" s="84">
        <v>4540.0</v>
      </c>
      <c r="M425" s="80" t="s">
        <v>554</v>
      </c>
      <c r="N425" s="80"/>
      <c r="O425" s="80"/>
      <c r="P425" s="80"/>
      <c r="Q425" s="80"/>
      <c r="R425" s="80"/>
      <c r="S425" s="80"/>
      <c r="T425" s="80"/>
      <c r="U425" s="80"/>
      <c r="V425" s="80"/>
      <c r="W425" s="80"/>
      <c r="X425" s="80"/>
      <c r="Y425" s="80"/>
      <c r="Z425" s="80"/>
    </row>
    <row r="426">
      <c r="A426" s="81">
        <v>3271.0</v>
      </c>
      <c r="B426" s="82" t="s">
        <v>586</v>
      </c>
      <c r="C426" s="82" t="s">
        <v>536</v>
      </c>
      <c r="D426" s="84">
        <v>5000.0</v>
      </c>
      <c r="E426" s="84">
        <v>180.0</v>
      </c>
      <c r="F426" s="84">
        <v>115.0</v>
      </c>
      <c r="G426" s="84">
        <v>4954.0</v>
      </c>
      <c r="H426" s="85">
        <v>46097.0</v>
      </c>
      <c r="I426" s="85">
        <v>46212.0</v>
      </c>
      <c r="J426" s="82" t="s">
        <v>535</v>
      </c>
      <c r="K426" s="86">
        <v>1151998.0</v>
      </c>
      <c r="L426" s="84">
        <v>5124.0</v>
      </c>
      <c r="M426" s="80" t="s">
        <v>554</v>
      </c>
      <c r="N426" s="80"/>
      <c r="O426" s="80"/>
      <c r="P426" s="80"/>
      <c r="Q426" s="80"/>
      <c r="R426" s="80"/>
      <c r="S426" s="80"/>
      <c r="T426" s="80"/>
      <c r="U426" s="80"/>
      <c r="V426" s="80"/>
      <c r="W426" s="80"/>
      <c r="X426" s="80"/>
      <c r="Y426" s="80"/>
      <c r="Z426" s="80"/>
    </row>
    <row r="427">
      <c r="A427" s="81">
        <v>3273.0</v>
      </c>
      <c r="B427" s="82" t="s">
        <v>586</v>
      </c>
      <c r="C427" s="82" t="s">
        <v>536</v>
      </c>
      <c r="D427" s="84">
        <v>5000.0</v>
      </c>
      <c r="E427" s="84">
        <v>180.0</v>
      </c>
      <c r="F427" s="84">
        <v>142.0</v>
      </c>
      <c r="G427" s="84">
        <v>4563.0</v>
      </c>
      <c r="H427" s="85">
        <v>46070.0</v>
      </c>
      <c r="I427" s="85">
        <v>46212.0</v>
      </c>
      <c r="J427" s="82" t="s">
        <v>535</v>
      </c>
      <c r="K427" s="86">
        <v>1150085.0</v>
      </c>
      <c r="L427" s="84">
        <v>4594.0</v>
      </c>
      <c r="M427" s="80" t="s">
        <v>554</v>
      </c>
      <c r="N427" s="80"/>
      <c r="O427" s="80"/>
      <c r="P427" s="80"/>
      <c r="Q427" s="80"/>
      <c r="R427" s="80"/>
      <c r="S427" s="80"/>
      <c r="T427" s="80"/>
      <c r="U427" s="80"/>
      <c r="V427" s="80"/>
      <c r="W427" s="80"/>
      <c r="X427" s="80"/>
      <c r="Y427" s="80"/>
      <c r="Z427" s="80"/>
    </row>
    <row r="428">
      <c r="A428" s="81">
        <v>3275.0</v>
      </c>
      <c r="B428" s="82" t="s">
        <v>586</v>
      </c>
      <c r="C428" s="82" t="s">
        <v>536</v>
      </c>
      <c r="D428" s="84">
        <v>5000.0</v>
      </c>
      <c r="E428" s="84">
        <v>180.0</v>
      </c>
      <c r="F428" s="84">
        <v>142.0</v>
      </c>
      <c r="G428" s="84">
        <v>4607.0</v>
      </c>
      <c r="H428" s="85">
        <v>46070.0</v>
      </c>
      <c r="I428" s="85">
        <v>46212.0</v>
      </c>
      <c r="J428" s="82" t="s">
        <v>535</v>
      </c>
      <c r="K428" s="86">
        <v>1150087.0</v>
      </c>
      <c r="L428" s="84">
        <v>4581.0</v>
      </c>
      <c r="M428" s="80" t="s">
        <v>554</v>
      </c>
      <c r="N428" s="80"/>
      <c r="O428" s="80"/>
      <c r="P428" s="80"/>
      <c r="Q428" s="80"/>
      <c r="R428" s="80"/>
      <c r="S428" s="80"/>
      <c r="T428" s="80"/>
      <c r="U428" s="80"/>
      <c r="V428" s="80"/>
      <c r="W428" s="80"/>
      <c r="X428" s="80"/>
      <c r="Y428" s="80"/>
      <c r="Z428" s="80"/>
    </row>
    <row r="429">
      <c r="A429" s="81">
        <v>3278.0</v>
      </c>
      <c r="B429" s="82" t="s">
        <v>586</v>
      </c>
      <c r="C429" s="82" t="s">
        <v>536</v>
      </c>
      <c r="D429" s="84">
        <v>5000.0</v>
      </c>
      <c r="E429" s="84">
        <v>180.0</v>
      </c>
      <c r="F429" s="84">
        <v>62.0</v>
      </c>
      <c r="G429" s="84">
        <v>2440.0</v>
      </c>
      <c r="H429" s="85">
        <v>46150.0</v>
      </c>
      <c r="I429" s="85">
        <v>46212.0</v>
      </c>
      <c r="J429" s="82" t="s">
        <v>535</v>
      </c>
      <c r="K429" s="86">
        <v>1158994.0</v>
      </c>
      <c r="L429" s="84">
        <v>6467.0</v>
      </c>
      <c r="M429" s="80" t="s">
        <v>554</v>
      </c>
      <c r="N429" s="80"/>
      <c r="O429" s="80"/>
      <c r="P429" s="80"/>
      <c r="Q429" s="80"/>
      <c r="R429" s="80"/>
      <c r="S429" s="80"/>
      <c r="T429" s="80"/>
      <c r="U429" s="80"/>
      <c r="V429" s="80"/>
      <c r="W429" s="80"/>
      <c r="X429" s="80"/>
      <c r="Y429" s="80"/>
      <c r="Z429" s="80"/>
    </row>
    <row r="430">
      <c r="A430" s="81">
        <v>3279.0</v>
      </c>
      <c r="B430" s="82" t="s">
        <v>586</v>
      </c>
      <c r="C430" s="82" t="s">
        <v>536</v>
      </c>
      <c r="D430" s="84">
        <v>5000.0</v>
      </c>
      <c r="E430" s="84">
        <v>180.0</v>
      </c>
      <c r="F430" s="84">
        <v>86.0</v>
      </c>
      <c r="G430" s="84">
        <v>3342.0</v>
      </c>
      <c r="H430" s="85">
        <v>46126.0</v>
      </c>
      <c r="I430" s="85">
        <v>46212.0</v>
      </c>
      <c r="J430" s="82" t="s">
        <v>535</v>
      </c>
      <c r="K430" s="86">
        <v>1156057.0</v>
      </c>
      <c r="L430" s="84">
        <v>4486.0</v>
      </c>
      <c r="M430" s="80" t="s">
        <v>554</v>
      </c>
      <c r="N430" s="80"/>
      <c r="O430" s="80"/>
      <c r="P430" s="80"/>
      <c r="Q430" s="80"/>
      <c r="R430" s="80"/>
      <c r="S430" s="80"/>
      <c r="T430" s="80"/>
      <c r="U430" s="80"/>
      <c r="V430" s="80"/>
      <c r="W430" s="80"/>
      <c r="X430" s="80"/>
      <c r="Y430" s="80"/>
      <c r="Z430" s="80"/>
    </row>
    <row r="431">
      <c r="A431" s="81">
        <v>3280.0</v>
      </c>
      <c r="B431" s="82" t="s">
        <v>586</v>
      </c>
      <c r="C431" s="82" t="s">
        <v>536</v>
      </c>
      <c r="D431" s="84">
        <v>5000.0</v>
      </c>
      <c r="E431" s="84">
        <v>180.0</v>
      </c>
      <c r="F431" s="84">
        <v>125.0</v>
      </c>
      <c r="G431" s="84">
        <v>5847.0</v>
      </c>
      <c r="H431" s="85">
        <v>46087.0</v>
      </c>
      <c r="I431" s="85">
        <v>46212.0</v>
      </c>
      <c r="J431" s="82" t="s">
        <v>540</v>
      </c>
      <c r="K431" s="86">
        <v>1151996.0</v>
      </c>
      <c r="L431" s="84">
        <v>4637.0</v>
      </c>
      <c r="M431" s="80" t="s">
        <v>554</v>
      </c>
      <c r="N431" s="80"/>
      <c r="O431" s="80"/>
      <c r="P431" s="80"/>
      <c r="Q431" s="80"/>
      <c r="R431" s="80"/>
      <c r="S431" s="80"/>
      <c r="T431" s="80"/>
      <c r="U431" s="80"/>
      <c r="V431" s="80"/>
      <c r="W431" s="80"/>
      <c r="X431" s="80"/>
      <c r="Y431" s="80"/>
      <c r="Z431" s="80"/>
    </row>
    <row r="432">
      <c r="A432" s="81">
        <v>3281.0</v>
      </c>
      <c r="B432" s="82" t="s">
        <v>586</v>
      </c>
      <c r="C432" s="82" t="s">
        <v>536</v>
      </c>
      <c r="D432" s="84">
        <v>5000.0</v>
      </c>
      <c r="E432" s="84">
        <v>180.0</v>
      </c>
      <c r="F432" s="84">
        <v>134.0</v>
      </c>
      <c r="G432" s="84">
        <v>5415.0</v>
      </c>
      <c r="H432" s="85">
        <v>46078.0</v>
      </c>
      <c r="I432" s="85">
        <v>46212.0</v>
      </c>
      <c r="J432" s="82" t="s">
        <v>540</v>
      </c>
      <c r="K432" s="86">
        <v>1151112.0</v>
      </c>
      <c r="L432" s="84">
        <v>4539.0</v>
      </c>
      <c r="M432" s="80" t="s">
        <v>554</v>
      </c>
      <c r="N432" s="80"/>
      <c r="O432" s="80"/>
      <c r="P432" s="80"/>
      <c r="Q432" s="80"/>
      <c r="R432" s="80"/>
      <c r="S432" s="80"/>
      <c r="T432" s="80"/>
      <c r="U432" s="80"/>
      <c r="V432" s="80"/>
      <c r="W432" s="80"/>
      <c r="X432" s="80"/>
      <c r="Y432" s="80"/>
      <c r="Z432" s="80"/>
    </row>
    <row r="433">
      <c r="A433" s="81">
        <v>3282.0</v>
      </c>
      <c r="B433" s="82" t="s">
        <v>586</v>
      </c>
      <c r="C433" s="82" t="s">
        <v>536</v>
      </c>
      <c r="D433" s="84">
        <v>5000.0</v>
      </c>
      <c r="E433" s="84">
        <v>180.0</v>
      </c>
      <c r="F433" s="84">
        <v>126.0</v>
      </c>
      <c r="G433" s="84">
        <v>5790.0</v>
      </c>
      <c r="H433" s="85">
        <v>46086.0</v>
      </c>
      <c r="I433" s="85">
        <v>46212.0</v>
      </c>
      <c r="J433" s="82" t="s">
        <v>540</v>
      </c>
      <c r="K433" s="86">
        <v>1151994.0</v>
      </c>
      <c r="L433" s="84">
        <v>4707.0</v>
      </c>
      <c r="M433" s="80" t="s">
        <v>554</v>
      </c>
      <c r="N433" s="80"/>
      <c r="O433" s="80"/>
      <c r="P433" s="80"/>
      <c r="Q433" s="80"/>
      <c r="R433" s="80"/>
      <c r="S433" s="80"/>
      <c r="T433" s="80"/>
      <c r="U433" s="80"/>
      <c r="V433" s="80"/>
      <c r="W433" s="80"/>
      <c r="X433" s="80"/>
      <c r="Y433" s="80"/>
      <c r="Z433" s="80"/>
    </row>
    <row r="434">
      <c r="A434" s="81">
        <v>3283.0</v>
      </c>
      <c r="B434" s="82" t="s">
        <v>586</v>
      </c>
      <c r="C434" s="82" t="s">
        <v>536</v>
      </c>
      <c r="D434" s="84">
        <v>5000.0</v>
      </c>
      <c r="E434" s="84">
        <v>180.0</v>
      </c>
      <c r="F434" s="84">
        <v>150.0</v>
      </c>
      <c r="G434" s="84">
        <v>6291.0</v>
      </c>
      <c r="H434" s="85">
        <v>46062.0</v>
      </c>
      <c r="I434" s="85">
        <v>46212.0</v>
      </c>
      <c r="J434" s="82" t="s">
        <v>540</v>
      </c>
      <c r="K434" s="86">
        <v>1149210.0</v>
      </c>
      <c r="L434" s="84">
        <v>4564.0</v>
      </c>
      <c r="M434" s="80" t="s">
        <v>554</v>
      </c>
      <c r="N434" s="80"/>
      <c r="O434" s="80"/>
      <c r="P434" s="80"/>
      <c r="Q434" s="80"/>
      <c r="R434" s="80"/>
      <c r="S434" s="80"/>
      <c r="T434" s="80"/>
      <c r="U434" s="80"/>
      <c r="V434" s="80"/>
      <c r="W434" s="80"/>
      <c r="X434" s="80"/>
      <c r="Y434" s="80"/>
      <c r="Z434" s="80"/>
    </row>
    <row r="435">
      <c r="A435" s="81">
        <v>3284.0</v>
      </c>
      <c r="B435" s="82" t="s">
        <v>586</v>
      </c>
      <c r="C435" s="82" t="s">
        <v>536</v>
      </c>
      <c r="D435" s="84">
        <v>5000.0</v>
      </c>
      <c r="E435" s="84">
        <v>180.0</v>
      </c>
      <c r="F435" s="84">
        <v>134.0</v>
      </c>
      <c r="G435" s="84">
        <v>5187.0</v>
      </c>
      <c r="H435" s="85">
        <v>46078.0</v>
      </c>
      <c r="I435" s="85">
        <v>46212.0</v>
      </c>
      <c r="J435" s="82" t="s">
        <v>540</v>
      </c>
      <c r="K435" s="86">
        <v>1151104.0</v>
      </c>
      <c r="L435" s="84">
        <v>4559.0</v>
      </c>
      <c r="M435" s="80" t="s">
        <v>554</v>
      </c>
      <c r="N435" s="80"/>
      <c r="O435" s="80"/>
      <c r="P435" s="80"/>
      <c r="Q435" s="80"/>
      <c r="R435" s="80"/>
      <c r="S435" s="80"/>
      <c r="T435" s="80"/>
      <c r="U435" s="80"/>
      <c r="V435" s="80"/>
      <c r="W435" s="80"/>
      <c r="X435" s="80"/>
      <c r="Y435" s="80"/>
      <c r="Z435" s="80"/>
    </row>
    <row r="436">
      <c r="A436" s="81">
        <v>222129.0</v>
      </c>
      <c r="B436" s="82" t="s">
        <v>590</v>
      </c>
      <c r="C436" s="82" t="s">
        <v>534</v>
      </c>
      <c r="D436" s="84">
        <v>0.0</v>
      </c>
      <c r="E436" s="84">
        <v>0.0</v>
      </c>
      <c r="F436" s="84">
        <v>0.0</v>
      </c>
      <c r="G436" s="84">
        <v>0.0</v>
      </c>
      <c r="H436" s="83" t="s">
        <v>591</v>
      </c>
      <c r="I436" s="85">
        <v>46212.0</v>
      </c>
      <c r="J436" s="82" t="s">
        <v>592</v>
      </c>
      <c r="K436" s="89" t="s">
        <v>591</v>
      </c>
      <c r="L436" s="84">
        <v>0.0</v>
      </c>
      <c r="M436" s="80" t="s">
        <v>537</v>
      </c>
      <c r="N436" s="80"/>
      <c r="O436" s="80"/>
      <c r="P436" s="80"/>
      <c r="Q436" s="80"/>
      <c r="R436" s="80"/>
      <c r="S436" s="80"/>
      <c r="T436" s="80"/>
      <c r="U436" s="80"/>
      <c r="V436" s="80"/>
      <c r="W436" s="80"/>
      <c r="X436" s="80"/>
      <c r="Y436" s="80"/>
      <c r="Z436" s="80"/>
    </row>
    <row r="437">
      <c r="A437" s="81">
        <v>222134.0</v>
      </c>
      <c r="B437" s="82" t="s">
        <v>593</v>
      </c>
      <c r="C437" s="82" t="s">
        <v>536</v>
      </c>
      <c r="D437" s="84">
        <v>0.0</v>
      </c>
      <c r="E437" s="84">
        <v>0.0</v>
      </c>
      <c r="F437" s="84">
        <v>0.0</v>
      </c>
      <c r="G437" s="84">
        <v>0.0</v>
      </c>
      <c r="H437" s="83" t="s">
        <v>591</v>
      </c>
      <c r="I437" s="85">
        <v>46212.0</v>
      </c>
      <c r="J437" s="82" t="s">
        <v>592</v>
      </c>
      <c r="K437" s="89" t="s">
        <v>591</v>
      </c>
      <c r="L437" s="84">
        <v>0.0</v>
      </c>
      <c r="M437" s="80" t="s">
        <v>554</v>
      </c>
      <c r="N437" s="80"/>
      <c r="O437" s="80"/>
      <c r="P437" s="80"/>
      <c r="Q437" s="80"/>
      <c r="R437" s="80"/>
      <c r="S437" s="80"/>
      <c r="T437" s="80"/>
      <c r="U437" s="80"/>
      <c r="V437" s="80"/>
      <c r="W437" s="80"/>
      <c r="X437" s="80"/>
      <c r="Y437" s="80"/>
      <c r="Z437" s="80"/>
    </row>
    <row r="438">
      <c r="A438" s="81"/>
      <c r="B438" s="82"/>
      <c r="C438" s="82"/>
      <c r="D438" s="81"/>
      <c r="E438" s="81"/>
      <c r="F438" s="81"/>
      <c r="G438" s="81"/>
      <c r="H438" s="83"/>
      <c r="I438" s="83"/>
      <c r="J438" s="82"/>
      <c r="K438" s="89"/>
      <c r="L438" s="81"/>
      <c r="M438" s="80"/>
      <c r="N438" s="80"/>
      <c r="O438" s="80"/>
      <c r="P438" s="80"/>
      <c r="Q438" s="80"/>
      <c r="R438" s="80"/>
      <c r="S438" s="80"/>
      <c r="T438" s="80"/>
      <c r="U438" s="80"/>
      <c r="V438" s="80"/>
      <c r="W438" s="80"/>
      <c r="X438" s="80"/>
      <c r="Y438" s="80"/>
      <c r="Z438" s="80"/>
    </row>
    <row r="439">
      <c r="A439" s="81"/>
      <c r="B439" s="82"/>
      <c r="C439" s="82"/>
      <c r="D439" s="81"/>
      <c r="E439" s="81"/>
      <c r="F439" s="81"/>
      <c r="G439" s="81"/>
      <c r="H439" s="83"/>
      <c r="I439" s="83"/>
      <c r="J439" s="82"/>
      <c r="K439" s="89"/>
      <c r="L439" s="81"/>
      <c r="M439" s="80"/>
      <c r="N439" s="80"/>
      <c r="O439" s="80"/>
      <c r="P439" s="80"/>
      <c r="Q439" s="80"/>
      <c r="R439" s="80"/>
      <c r="S439" s="80"/>
      <c r="T439" s="80"/>
      <c r="U439" s="80"/>
      <c r="V439" s="80"/>
      <c r="W439" s="80"/>
      <c r="X439" s="80"/>
      <c r="Y439" s="80"/>
      <c r="Z439" s="80"/>
    </row>
    <row r="440">
      <c r="A440" s="81"/>
      <c r="B440" s="82"/>
      <c r="C440" s="82"/>
      <c r="D440" s="81"/>
      <c r="E440" s="81"/>
      <c r="F440" s="81"/>
      <c r="G440" s="81"/>
      <c r="H440" s="83"/>
      <c r="I440" s="83"/>
      <c r="J440" s="82"/>
      <c r="K440" s="89"/>
      <c r="L440" s="81"/>
      <c r="M440" s="80"/>
      <c r="N440" s="80"/>
      <c r="O440" s="80"/>
      <c r="P440" s="80"/>
      <c r="Q440" s="80"/>
      <c r="R440" s="80"/>
      <c r="S440" s="80"/>
      <c r="T440" s="80"/>
      <c r="U440" s="80"/>
      <c r="V440" s="80"/>
      <c r="W440" s="80"/>
      <c r="X440" s="80"/>
      <c r="Y440" s="80"/>
      <c r="Z440" s="80"/>
    </row>
    <row r="441">
      <c r="A441" s="81"/>
      <c r="B441" s="82"/>
      <c r="C441" s="82"/>
      <c r="D441" s="81"/>
      <c r="E441" s="81"/>
      <c r="F441" s="81"/>
      <c r="G441" s="81"/>
      <c r="H441" s="83"/>
      <c r="I441" s="83"/>
      <c r="J441" s="82"/>
      <c r="K441" s="89"/>
      <c r="L441" s="81"/>
      <c r="M441" s="80"/>
      <c r="N441" s="80"/>
      <c r="O441" s="80"/>
      <c r="P441" s="80"/>
      <c r="Q441" s="80"/>
      <c r="R441" s="80"/>
      <c r="S441" s="80"/>
      <c r="T441" s="80"/>
      <c r="U441" s="80"/>
      <c r="V441" s="80"/>
      <c r="W441" s="80"/>
      <c r="X441" s="80"/>
      <c r="Y441" s="80"/>
      <c r="Z441" s="80"/>
    </row>
    <row r="442">
      <c r="A442" s="81"/>
      <c r="B442" s="82"/>
      <c r="C442" s="82"/>
      <c r="D442" s="81"/>
      <c r="E442" s="81"/>
      <c r="F442" s="81"/>
      <c r="G442" s="81"/>
      <c r="H442" s="83"/>
      <c r="I442" s="83"/>
      <c r="J442" s="82"/>
      <c r="K442" s="89"/>
      <c r="L442" s="81"/>
      <c r="M442" s="80"/>
      <c r="N442" s="80"/>
      <c r="O442" s="80"/>
      <c r="P442" s="80"/>
      <c r="Q442" s="80"/>
      <c r="R442" s="80"/>
      <c r="S442" s="80"/>
      <c r="T442" s="80"/>
      <c r="U442" s="80"/>
      <c r="V442" s="80"/>
      <c r="W442" s="80"/>
      <c r="X442" s="80"/>
      <c r="Y442" s="80"/>
      <c r="Z442" s="80"/>
    </row>
    <row r="443">
      <c r="A443" s="81"/>
      <c r="B443" s="82"/>
      <c r="C443" s="82"/>
      <c r="D443" s="81"/>
      <c r="E443" s="81"/>
      <c r="F443" s="81"/>
      <c r="G443" s="81"/>
      <c r="H443" s="83"/>
      <c r="I443" s="83"/>
      <c r="J443" s="82"/>
      <c r="K443" s="89"/>
      <c r="L443" s="81"/>
      <c r="M443" s="80"/>
      <c r="N443" s="80"/>
      <c r="O443" s="80"/>
      <c r="P443" s="80"/>
      <c r="Q443" s="80"/>
      <c r="R443" s="80"/>
      <c r="S443" s="80"/>
      <c r="T443" s="80"/>
      <c r="U443" s="80"/>
      <c r="V443" s="80"/>
      <c r="W443" s="80"/>
      <c r="X443" s="80"/>
      <c r="Y443" s="80"/>
      <c r="Z443" s="80"/>
    </row>
    <row r="444">
      <c r="A444" s="81"/>
      <c r="B444" s="82"/>
      <c r="C444" s="82"/>
      <c r="D444" s="81"/>
      <c r="E444" s="81"/>
      <c r="F444" s="81"/>
      <c r="G444" s="81"/>
      <c r="H444" s="83"/>
      <c r="I444" s="83"/>
      <c r="J444" s="82"/>
      <c r="K444" s="89"/>
      <c r="L444" s="81"/>
      <c r="M444" s="80"/>
      <c r="N444" s="80"/>
      <c r="O444" s="80"/>
      <c r="P444" s="80"/>
      <c r="Q444" s="80"/>
      <c r="R444" s="80"/>
      <c r="S444" s="80"/>
      <c r="T444" s="80"/>
      <c r="U444" s="80"/>
      <c r="V444" s="80"/>
      <c r="W444" s="80"/>
      <c r="X444" s="80"/>
      <c r="Y444" s="80"/>
      <c r="Z444" s="80"/>
    </row>
    <row r="445">
      <c r="A445" s="81"/>
      <c r="B445" s="82"/>
      <c r="C445" s="82"/>
      <c r="D445" s="81"/>
      <c r="E445" s="81"/>
      <c r="F445" s="81"/>
      <c r="G445" s="81"/>
      <c r="H445" s="83"/>
      <c r="I445" s="83"/>
      <c r="J445" s="82"/>
      <c r="K445" s="89"/>
      <c r="L445" s="81"/>
      <c r="M445" s="80"/>
      <c r="N445" s="80"/>
      <c r="O445" s="80"/>
      <c r="P445" s="80"/>
      <c r="Q445" s="80"/>
      <c r="R445" s="80"/>
      <c r="S445" s="80"/>
      <c r="T445" s="80"/>
      <c r="U445" s="80"/>
      <c r="V445" s="80"/>
      <c r="W445" s="80"/>
      <c r="X445" s="80"/>
      <c r="Y445" s="80"/>
      <c r="Z445" s="80"/>
    </row>
    <row r="446">
      <c r="A446" s="81"/>
      <c r="B446" s="82"/>
      <c r="C446" s="82"/>
      <c r="D446" s="81"/>
      <c r="E446" s="81"/>
      <c r="F446" s="81"/>
      <c r="G446" s="81"/>
      <c r="H446" s="83"/>
      <c r="I446" s="83"/>
      <c r="J446" s="82"/>
      <c r="K446" s="89"/>
      <c r="L446" s="81"/>
      <c r="M446" s="80"/>
      <c r="N446" s="80"/>
      <c r="O446" s="80"/>
      <c r="P446" s="80"/>
      <c r="Q446" s="80"/>
      <c r="R446" s="80"/>
      <c r="S446" s="80"/>
      <c r="T446" s="80"/>
      <c r="U446" s="80"/>
      <c r="V446" s="80"/>
      <c r="W446" s="80"/>
      <c r="X446" s="80"/>
      <c r="Y446" s="80"/>
      <c r="Z446" s="80"/>
    </row>
    <row r="447">
      <c r="A447" s="81"/>
      <c r="B447" s="82"/>
      <c r="C447" s="82"/>
      <c r="D447" s="81"/>
      <c r="E447" s="81"/>
      <c r="F447" s="81"/>
      <c r="G447" s="81"/>
      <c r="H447" s="83"/>
      <c r="I447" s="83"/>
      <c r="J447" s="82"/>
      <c r="K447" s="89"/>
      <c r="L447" s="81"/>
      <c r="M447" s="80"/>
      <c r="N447" s="80"/>
      <c r="O447" s="80"/>
      <c r="P447" s="80"/>
      <c r="Q447" s="80"/>
      <c r="R447" s="80"/>
      <c r="S447" s="80"/>
      <c r="T447" s="80"/>
      <c r="U447" s="80"/>
      <c r="V447" s="80"/>
      <c r="W447" s="80"/>
      <c r="X447" s="80"/>
      <c r="Y447" s="80"/>
      <c r="Z447" s="80"/>
    </row>
    <row r="448">
      <c r="A448" s="81"/>
      <c r="B448" s="82"/>
      <c r="C448" s="82"/>
      <c r="D448" s="81"/>
      <c r="E448" s="81"/>
      <c r="F448" s="81"/>
      <c r="G448" s="81"/>
      <c r="H448" s="83"/>
      <c r="I448" s="83"/>
      <c r="J448" s="82"/>
      <c r="K448" s="89"/>
      <c r="L448" s="81"/>
      <c r="M448" s="80"/>
      <c r="N448" s="80"/>
      <c r="O448" s="80"/>
      <c r="P448" s="80"/>
      <c r="Q448" s="80"/>
      <c r="R448" s="80"/>
      <c r="S448" s="80"/>
      <c r="T448" s="80"/>
      <c r="U448" s="80"/>
      <c r="V448" s="80"/>
      <c r="W448" s="80"/>
      <c r="X448" s="80"/>
      <c r="Y448" s="80"/>
      <c r="Z448" s="80"/>
    </row>
    <row r="449">
      <c r="A449" s="81"/>
      <c r="B449" s="82"/>
      <c r="C449" s="82"/>
      <c r="D449" s="81"/>
      <c r="E449" s="81"/>
      <c r="F449" s="81"/>
      <c r="G449" s="81"/>
      <c r="H449" s="83"/>
      <c r="I449" s="83"/>
      <c r="J449" s="82"/>
      <c r="K449" s="89"/>
      <c r="L449" s="81"/>
      <c r="M449" s="80"/>
      <c r="N449" s="80"/>
      <c r="O449" s="80"/>
      <c r="P449" s="80"/>
      <c r="Q449" s="80"/>
      <c r="R449" s="80"/>
      <c r="S449" s="80"/>
      <c r="T449" s="80"/>
      <c r="U449" s="80"/>
      <c r="V449" s="80"/>
      <c r="W449" s="80"/>
      <c r="X449" s="80"/>
      <c r="Y449" s="80"/>
      <c r="Z449" s="80"/>
    </row>
    <row r="450">
      <c r="A450" s="81"/>
      <c r="B450" s="82"/>
      <c r="C450" s="82"/>
      <c r="D450" s="81"/>
      <c r="E450" s="81"/>
      <c r="F450" s="81"/>
      <c r="G450" s="81"/>
      <c r="H450" s="83"/>
      <c r="I450" s="83"/>
      <c r="J450" s="82"/>
      <c r="K450" s="89"/>
      <c r="L450" s="81"/>
      <c r="M450" s="80"/>
      <c r="N450" s="80"/>
      <c r="O450" s="80"/>
      <c r="P450" s="80"/>
      <c r="Q450" s="80"/>
      <c r="R450" s="80"/>
      <c r="S450" s="80"/>
      <c r="T450" s="80"/>
      <c r="U450" s="80"/>
      <c r="V450" s="80"/>
      <c r="W450" s="80"/>
      <c r="X450" s="80"/>
      <c r="Y450" s="80"/>
      <c r="Z450" s="80"/>
    </row>
    <row r="451">
      <c r="A451" s="81"/>
      <c r="B451" s="82"/>
      <c r="C451" s="82"/>
      <c r="D451" s="81"/>
      <c r="E451" s="81"/>
      <c r="F451" s="81"/>
      <c r="G451" s="81"/>
      <c r="H451" s="83"/>
      <c r="I451" s="83"/>
      <c r="J451" s="82"/>
      <c r="K451" s="89"/>
      <c r="L451" s="81"/>
      <c r="M451" s="80"/>
      <c r="N451" s="80"/>
      <c r="O451" s="80"/>
      <c r="P451" s="80"/>
      <c r="Q451" s="80"/>
      <c r="R451" s="80"/>
      <c r="S451" s="80"/>
      <c r="T451" s="80"/>
      <c r="U451" s="80"/>
      <c r="V451" s="80"/>
      <c r="W451" s="80"/>
      <c r="X451" s="80"/>
      <c r="Y451" s="80"/>
      <c r="Z451" s="80"/>
    </row>
    <row r="452">
      <c r="A452" s="81"/>
      <c r="B452" s="82"/>
      <c r="C452" s="82"/>
      <c r="D452" s="81"/>
      <c r="E452" s="81"/>
      <c r="F452" s="81"/>
      <c r="G452" s="81"/>
      <c r="H452" s="83"/>
      <c r="I452" s="83"/>
      <c r="J452" s="82"/>
      <c r="K452" s="89"/>
      <c r="L452" s="81"/>
      <c r="M452" s="80"/>
      <c r="N452" s="80"/>
      <c r="O452" s="80"/>
      <c r="P452" s="80"/>
      <c r="Q452" s="80"/>
      <c r="R452" s="80"/>
      <c r="S452" s="80"/>
      <c r="T452" s="80"/>
      <c r="U452" s="80"/>
      <c r="V452" s="80"/>
      <c r="W452" s="80"/>
      <c r="X452" s="80"/>
      <c r="Y452" s="80"/>
      <c r="Z452" s="80"/>
    </row>
    <row r="453">
      <c r="A453" s="81"/>
      <c r="B453" s="82"/>
      <c r="C453" s="82"/>
      <c r="D453" s="81"/>
      <c r="E453" s="81"/>
      <c r="F453" s="81"/>
      <c r="G453" s="81"/>
      <c r="H453" s="83"/>
      <c r="I453" s="83"/>
      <c r="J453" s="82"/>
      <c r="K453" s="89"/>
      <c r="L453" s="81"/>
      <c r="M453" s="80"/>
      <c r="N453" s="80"/>
      <c r="O453" s="80"/>
      <c r="P453" s="80"/>
      <c r="Q453" s="80"/>
      <c r="R453" s="80"/>
      <c r="S453" s="80"/>
      <c r="T453" s="80"/>
      <c r="U453" s="80"/>
      <c r="V453" s="80"/>
      <c r="W453" s="80"/>
      <c r="X453" s="80"/>
      <c r="Y453" s="80"/>
      <c r="Z453" s="80"/>
    </row>
    <row r="454">
      <c r="A454" s="81"/>
      <c r="B454" s="82"/>
      <c r="C454" s="82"/>
      <c r="D454" s="81"/>
      <c r="E454" s="81"/>
      <c r="F454" s="81"/>
      <c r="G454" s="81"/>
      <c r="H454" s="83"/>
      <c r="I454" s="83"/>
      <c r="J454" s="82"/>
      <c r="K454" s="89"/>
      <c r="L454" s="81"/>
      <c r="M454" s="80"/>
      <c r="N454" s="80"/>
      <c r="O454" s="80"/>
      <c r="P454" s="80"/>
      <c r="Q454" s="80"/>
      <c r="R454" s="80"/>
      <c r="S454" s="80"/>
      <c r="T454" s="80"/>
      <c r="U454" s="80"/>
      <c r="V454" s="80"/>
      <c r="W454" s="80"/>
      <c r="X454" s="80"/>
      <c r="Y454" s="80"/>
      <c r="Z454" s="80"/>
    </row>
    <row r="455">
      <c r="A455" s="81"/>
      <c r="B455" s="82"/>
      <c r="C455" s="82"/>
      <c r="D455" s="81"/>
      <c r="E455" s="81"/>
      <c r="F455" s="81"/>
      <c r="G455" s="81"/>
      <c r="H455" s="83"/>
      <c r="I455" s="83"/>
      <c r="J455" s="82"/>
      <c r="K455" s="89"/>
      <c r="L455" s="81"/>
      <c r="M455" s="80"/>
      <c r="N455" s="80"/>
      <c r="O455" s="80"/>
      <c r="P455" s="80"/>
      <c r="Q455" s="80"/>
      <c r="R455" s="80"/>
      <c r="S455" s="80"/>
      <c r="T455" s="80"/>
      <c r="U455" s="80"/>
      <c r="V455" s="80"/>
      <c r="W455" s="80"/>
      <c r="X455" s="80"/>
      <c r="Y455" s="80"/>
      <c r="Z455" s="80"/>
    </row>
    <row r="456">
      <c r="A456" s="81"/>
      <c r="B456" s="82"/>
      <c r="C456" s="82"/>
      <c r="D456" s="81"/>
      <c r="E456" s="81"/>
      <c r="F456" s="81"/>
      <c r="G456" s="81"/>
      <c r="H456" s="83"/>
      <c r="I456" s="83"/>
      <c r="J456" s="82"/>
      <c r="K456" s="89"/>
      <c r="L456" s="81"/>
      <c r="M456" s="80"/>
      <c r="N456" s="80"/>
      <c r="O456" s="80"/>
      <c r="P456" s="80"/>
      <c r="Q456" s="80"/>
      <c r="R456" s="80"/>
      <c r="S456" s="80"/>
      <c r="T456" s="80"/>
      <c r="U456" s="80"/>
      <c r="V456" s="80"/>
      <c r="W456" s="80"/>
      <c r="X456" s="80"/>
      <c r="Y456" s="80"/>
      <c r="Z456" s="80"/>
    </row>
    <row r="457">
      <c r="A457" s="81"/>
      <c r="B457" s="82"/>
      <c r="C457" s="82"/>
      <c r="D457" s="81"/>
      <c r="E457" s="81"/>
      <c r="F457" s="81"/>
      <c r="G457" s="81"/>
      <c r="H457" s="83"/>
      <c r="I457" s="83"/>
      <c r="J457" s="82"/>
      <c r="K457" s="89"/>
      <c r="L457" s="81"/>
      <c r="M457" s="80"/>
      <c r="N457" s="80"/>
      <c r="O457" s="80"/>
      <c r="P457" s="80"/>
      <c r="Q457" s="80"/>
      <c r="R457" s="80"/>
      <c r="S457" s="80"/>
      <c r="T457" s="80"/>
      <c r="U457" s="80"/>
      <c r="V457" s="80"/>
      <c r="W457" s="80"/>
      <c r="X457" s="80"/>
      <c r="Y457" s="80"/>
      <c r="Z457" s="80"/>
    </row>
    <row r="458">
      <c r="A458" s="81"/>
      <c r="B458" s="82"/>
      <c r="C458" s="82"/>
      <c r="D458" s="81"/>
      <c r="E458" s="81"/>
      <c r="F458" s="81"/>
      <c r="G458" s="81"/>
      <c r="H458" s="83"/>
      <c r="I458" s="83"/>
      <c r="J458" s="82"/>
      <c r="K458" s="89"/>
      <c r="L458" s="81"/>
      <c r="M458" s="80"/>
      <c r="N458" s="80"/>
      <c r="O458" s="80"/>
      <c r="P458" s="80"/>
      <c r="Q458" s="80"/>
      <c r="R458" s="80"/>
      <c r="S458" s="80"/>
      <c r="T458" s="80"/>
      <c r="U458" s="80"/>
      <c r="V458" s="80"/>
      <c r="W458" s="80"/>
      <c r="X458" s="80"/>
      <c r="Y458" s="80"/>
      <c r="Z458" s="80"/>
    </row>
    <row r="459">
      <c r="A459" s="81"/>
      <c r="B459" s="82"/>
      <c r="C459" s="82"/>
      <c r="D459" s="81"/>
      <c r="E459" s="81"/>
      <c r="F459" s="81"/>
      <c r="G459" s="81"/>
      <c r="H459" s="83"/>
      <c r="I459" s="83"/>
      <c r="J459" s="82"/>
      <c r="K459" s="89"/>
      <c r="L459" s="81"/>
      <c r="M459" s="80"/>
      <c r="N459" s="80"/>
      <c r="O459" s="80"/>
      <c r="P459" s="80"/>
      <c r="Q459" s="80"/>
      <c r="R459" s="80"/>
      <c r="S459" s="80"/>
      <c r="T459" s="80"/>
      <c r="U459" s="80"/>
      <c r="V459" s="80"/>
      <c r="W459" s="80"/>
      <c r="X459" s="80"/>
      <c r="Y459" s="80"/>
      <c r="Z459" s="80"/>
    </row>
    <row r="460">
      <c r="A460" s="81"/>
      <c r="B460" s="82"/>
      <c r="C460" s="82"/>
      <c r="D460" s="81"/>
      <c r="E460" s="81"/>
      <c r="F460" s="81"/>
      <c r="G460" s="81"/>
      <c r="H460" s="83"/>
      <c r="I460" s="83"/>
      <c r="J460" s="82"/>
      <c r="K460" s="89"/>
      <c r="L460" s="81"/>
      <c r="M460" s="80"/>
      <c r="N460" s="80"/>
      <c r="O460" s="80"/>
      <c r="P460" s="80"/>
      <c r="Q460" s="80"/>
      <c r="R460" s="80"/>
      <c r="S460" s="80"/>
      <c r="T460" s="80"/>
      <c r="U460" s="80"/>
      <c r="V460" s="80"/>
      <c r="W460" s="80"/>
      <c r="X460" s="80"/>
      <c r="Y460" s="80"/>
      <c r="Z460" s="80"/>
    </row>
    <row r="461">
      <c r="A461" s="81"/>
      <c r="B461" s="82"/>
      <c r="C461" s="82"/>
      <c r="D461" s="81"/>
      <c r="E461" s="81"/>
      <c r="F461" s="81"/>
      <c r="G461" s="81"/>
      <c r="H461" s="83"/>
      <c r="I461" s="83"/>
      <c r="J461" s="82"/>
      <c r="K461" s="89"/>
      <c r="L461" s="81"/>
      <c r="M461" s="80"/>
      <c r="N461" s="80"/>
      <c r="O461" s="80"/>
      <c r="P461" s="80"/>
      <c r="Q461" s="80"/>
      <c r="R461" s="80"/>
      <c r="S461" s="80"/>
      <c r="T461" s="80"/>
      <c r="U461" s="80"/>
      <c r="V461" s="80"/>
      <c r="W461" s="80"/>
      <c r="X461" s="80"/>
      <c r="Y461" s="80"/>
      <c r="Z461" s="80"/>
    </row>
    <row r="462">
      <c r="A462" s="81"/>
      <c r="B462" s="82"/>
      <c r="C462" s="82"/>
      <c r="D462" s="81"/>
      <c r="E462" s="81"/>
      <c r="F462" s="81"/>
      <c r="G462" s="81"/>
      <c r="H462" s="83"/>
      <c r="I462" s="83"/>
      <c r="J462" s="82"/>
      <c r="K462" s="89"/>
      <c r="L462" s="81"/>
      <c r="M462" s="80"/>
      <c r="N462" s="80"/>
      <c r="O462" s="80"/>
      <c r="P462" s="80"/>
      <c r="Q462" s="80"/>
      <c r="R462" s="80"/>
      <c r="S462" s="80"/>
      <c r="T462" s="80"/>
      <c r="U462" s="80"/>
      <c r="V462" s="80"/>
      <c r="W462" s="80"/>
      <c r="X462" s="80"/>
      <c r="Y462" s="80"/>
      <c r="Z462" s="80"/>
    </row>
    <row r="463">
      <c r="A463" s="81"/>
      <c r="B463" s="82"/>
      <c r="C463" s="82"/>
      <c r="D463" s="81"/>
      <c r="E463" s="81"/>
      <c r="F463" s="81"/>
      <c r="G463" s="81"/>
      <c r="H463" s="83"/>
      <c r="I463" s="83"/>
      <c r="J463" s="82"/>
      <c r="K463" s="89"/>
      <c r="L463" s="81"/>
      <c r="M463" s="80"/>
      <c r="N463" s="80"/>
      <c r="O463" s="80"/>
      <c r="P463" s="80"/>
      <c r="Q463" s="80"/>
      <c r="R463" s="80"/>
      <c r="S463" s="80"/>
      <c r="T463" s="80"/>
      <c r="U463" s="80"/>
      <c r="V463" s="80"/>
      <c r="W463" s="80"/>
      <c r="X463" s="80"/>
      <c r="Y463" s="80"/>
      <c r="Z463" s="80"/>
    </row>
    <row r="464">
      <c r="A464" s="81"/>
      <c r="B464" s="82"/>
      <c r="C464" s="82"/>
      <c r="D464" s="81"/>
      <c r="E464" s="81"/>
      <c r="F464" s="81"/>
      <c r="G464" s="81"/>
      <c r="H464" s="83"/>
      <c r="I464" s="83"/>
      <c r="J464" s="82"/>
      <c r="K464" s="89"/>
      <c r="L464" s="81"/>
      <c r="M464" s="80"/>
      <c r="N464" s="80"/>
      <c r="O464" s="80"/>
      <c r="P464" s="80"/>
      <c r="Q464" s="80"/>
      <c r="R464" s="80"/>
      <c r="S464" s="80"/>
      <c r="T464" s="80"/>
      <c r="U464" s="80"/>
      <c r="V464" s="80"/>
      <c r="W464" s="80"/>
      <c r="X464" s="80"/>
      <c r="Y464" s="80"/>
      <c r="Z464" s="80"/>
    </row>
    <row r="465">
      <c r="A465" s="81"/>
      <c r="B465" s="82"/>
      <c r="C465" s="82"/>
      <c r="D465" s="81"/>
      <c r="E465" s="81"/>
      <c r="F465" s="81"/>
      <c r="G465" s="81"/>
      <c r="H465" s="83"/>
      <c r="I465" s="83"/>
      <c r="J465" s="82"/>
      <c r="K465" s="89"/>
      <c r="L465" s="81"/>
      <c r="M465" s="80"/>
      <c r="N465" s="80"/>
      <c r="O465" s="80"/>
      <c r="P465" s="80"/>
      <c r="Q465" s="80"/>
      <c r="R465" s="80"/>
      <c r="S465" s="80"/>
      <c r="T465" s="80"/>
      <c r="U465" s="80"/>
      <c r="V465" s="80"/>
      <c r="W465" s="80"/>
      <c r="X465" s="80"/>
      <c r="Y465" s="80"/>
      <c r="Z465" s="80"/>
    </row>
    <row r="466">
      <c r="A466" s="81"/>
      <c r="B466" s="82"/>
      <c r="C466" s="82"/>
      <c r="D466" s="81"/>
      <c r="E466" s="81"/>
      <c r="F466" s="81"/>
      <c r="G466" s="81"/>
      <c r="H466" s="83"/>
      <c r="I466" s="83"/>
      <c r="J466" s="82"/>
      <c r="K466" s="89"/>
      <c r="L466" s="81"/>
      <c r="M466" s="80"/>
      <c r="N466" s="80"/>
      <c r="O466" s="80"/>
      <c r="P466" s="80"/>
      <c r="Q466" s="80"/>
      <c r="R466" s="80"/>
      <c r="S466" s="80"/>
      <c r="T466" s="80"/>
      <c r="U466" s="80"/>
      <c r="V466" s="80"/>
      <c r="W466" s="80"/>
      <c r="X466" s="80"/>
      <c r="Y466" s="80"/>
      <c r="Z466" s="80"/>
    </row>
    <row r="467">
      <c r="A467" s="81"/>
      <c r="B467" s="82"/>
      <c r="C467" s="82"/>
      <c r="D467" s="81"/>
      <c r="E467" s="81"/>
      <c r="F467" s="81"/>
      <c r="G467" s="81"/>
      <c r="H467" s="83"/>
      <c r="I467" s="83"/>
      <c r="J467" s="82"/>
      <c r="K467" s="89"/>
      <c r="L467" s="81"/>
      <c r="M467" s="80"/>
      <c r="N467" s="80"/>
      <c r="O467" s="80"/>
      <c r="P467" s="80"/>
      <c r="Q467" s="80"/>
      <c r="R467" s="80"/>
      <c r="S467" s="80"/>
      <c r="T467" s="80"/>
      <c r="U467" s="80"/>
      <c r="V467" s="80"/>
      <c r="W467" s="80"/>
      <c r="X467" s="80"/>
      <c r="Y467" s="80"/>
      <c r="Z467" s="80"/>
    </row>
    <row r="468">
      <c r="A468" s="81"/>
      <c r="B468" s="82"/>
      <c r="C468" s="82"/>
      <c r="D468" s="81"/>
      <c r="E468" s="81"/>
      <c r="F468" s="81"/>
      <c r="G468" s="81"/>
      <c r="H468" s="83"/>
      <c r="I468" s="83"/>
      <c r="J468" s="82"/>
      <c r="K468" s="89"/>
      <c r="L468" s="81"/>
      <c r="M468" s="80"/>
      <c r="N468" s="80"/>
      <c r="O468" s="80"/>
      <c r="P468" s="80"/>
      <c r="Q468" s="80"/>
      <c r="R468" s="80"/>
      <c r="S468" s="80"/>
      <c r="T468" s="80"/>
      <c r="U468" s="80"/>
      <c r="V468" s="80"/>
      <c r="W468" s="80"/>
      <c r="X468" s="80"/>
      <c r="Y468" s="80"/>
      <c r="Z468" s="80"/>
    </row>
    <row r="469">
      <c r="A469" s="81"/>
      <c r="B469" s="82"/>
      <c r="C469" s="82"/>
      <c r="D469" s="81"/>
      <c r="E469" s="81"/>
      <c r="F469" s="81"/>
      <c r="G469" s="81"/>
      <c r="H469" s="83"/>
      <c r="I469" s="83"/>
      <c r="J469" s="82"/>
      <c r="K469" s="89"/>
      <c r="L469" s="81"/>
      <c r="M469" s="80"/>
      <c r="N469" s="80"/>
      <c r="O469" s="80"/>
      <c r="P469" s="80"/>
      <c r="Q469" s="80"/>
      <c r="R469" s="80"/>
      <c r="S469" s="80"/>
      <c r="T469" s="80"/>
      <c r="U469" s="80"/>
      <c r="V469" s="80"/>
      <c r="W469" s="80"/>
      <c r="X469" s="80"/>
      <c r="Y469" s="80"/>
      <c r="Z469" s="80"/>
    </row>
    <row r="470">
      <c r="A470" s="81"/>
      <c r="B470" s="82"/>
      <c r="C470" s="82"/>
      <c r="D470" s="81"/>
      <c r="E470" s="81"/>
      <c r="F470" s="81"/>
      <c r="G470" s="81"/>
      <c r="H470" s="83"/>
      <c r="I470" s="83"/>
      <c r="J470" s="82"/>
      <c r="K470" s="89"/>
      <c r="L470" s="81"/>
      <c r="M470" s="80"/>
      <c r="N470" s="80"/>
      <c r="O470" s="80"/>
      <c r="P470" s="80"/>
      <c r="Q470" s="80"/>
      <c r="R470" s="80"/>
      <c r="S470" s="80"/>
      <c r="T470" s="80"/>
      <c r="U470" s="80"/>
      <c r="V470" s="80"/>
      <c r="W470" s="80"/>
      <c r="X470" s="80"/>
      <c r="Y470" s="80"/>
      <c r="Z470" s="80"/>
    </row>
    <row r="471">
      <c r="A471" s="81"/>
      <c r="B471" s="82"/>
      <c r="C471" s="82"/>
      <c r="D471" s="81"/>
      <c r="E471" s="81"/>
      <c r="F471" s="81"/>
      <c r="G471" s="81"/>
      <c r="H471" s="83"/>
      <c r="I471" s="83"/>
      <c r="J471" s="82"/>
      <c r="K471" s="89"/>
      <c r="L471" s="81"/>
      <c r="M471" s="80"/>
      <c r="N471" s="80"/>
      <c r="O471" s="80"/>
      <c r="P471" s="80"/>
      <c r="Q471" s="80"/>
      <c r="R471" s="80"/>
      <c r="S471" s="80"/>
      <c r="T471" s="80"/>
      <c r="U471" s="80"/>
      <c r="V471" s="80"/>
      <c r="W471" s="80"/>
      <c r="X471" s="80"/>
      <c r="Y471" s="80"/>
      <c r="Z471" s="80"/>
    </row>
    <row r="472">
      <c r="A472" s="81"/>
      <c r="B472" s="82"/>
      <c r="C472" s="82"/>
      <c r="D472" s="81"/>
      <c r="E472" s="81"/>
      <c r="F472" s="81"/>
      <c r="G472" s="81"/>
      <c r="H472" s="83"/>
      <c r="I472" s="83"/>
      <c r="J472" s="82"/>
      <c r="K472" s="89"/>
      <c r="L472" s="81"/>
      <c r="M472" s="80"/>
      <c r="N472" s="80"/>
      <c r="O472" s="80"/>
      <c r="P472" s="80"/>
      <c r="Q472" s="80"/>
      <c r="R472" s="80"/>
      <c r="S472" s="80"/>
      <c r="T472" s="80"/>
      <c r="U472" s="80"/>
      <c r="V472" s="80"/>
      <c r="W472" s="80"/>
      <c r="X472" s="80"/>
      <c r="Y472" s="80"/>
      <c r="Z472" s="80"/>
    </row>
    <row r="473">
      <c r="A473" s="81"/>
      <c r="B473" s="82"/>
      <c r="C473" s="82"/>
      <c r="D473" s="81"/>
      <c r="E473" s="81"/>
      <c r="F473" s="81"/>
      <c r="G473" s="81"/>
      <c r="H473" s="83"/>
      <c r="I473" s="83"/>
      <c r="J473" s="82"/>
      <c r="K473" s="89"/>
      <c r="L473" s="81"/>
      <c r="M473" s="80"/>
      <c r="N473" s="80"/>
      <c r="O473" s="80"/>
      <c r="P473" s="80"/>
      <c r="Q473" s="80"/>
      <c r="R473" s="80"/>
      <c r="S473" s="80"/>
      <c r="T473" s="80"/>
      <c r="U473" s="80"/>
      <c r="V473" s="80"/>
      <c r="W473" s="80"/>
      <c r="X473" s="80"/>
      <c r="Y473" s="80"/>
      <c r="Z473" s="80"/>
    </row>
    <row r="474">
      <c r="A474" s="81"/>
      <c r="B474" s="82"/>
      <c r="C474" s="82"/>
      <c r="D474" s="81"/>
      <c r="E474" s="81"/>
      <c r="F474" s="81"/>
      <c r="G474" s="81"/>
      <c r="H474" s="83"/>
      <c r="I474" s="83"/>
      <c r="J474" s="82"/>
      <c r="K474" s="89"/>
      <c r="L474" s="81"/>
      <c r="M474" s="80"/>
      <c r="N474" s="80"/>
      <c r="O474" s="80"/>
      <c r="P474" s="80"/>
      <c r="Q474" s="80"/>
      <c r="R474" s="80"/>
      <c r="S474" s="80"/>
      <c r="T474" s="80"/>
      <c r="U474" s="80"/>
      <c r="V474" s="80"/>
      <c r="W474" s="80"/>
      <c r="X474" s="80"/>
      <c r="Y474" s="80"/>
      <c r="Z474" s="80"/>
    </row>
    <row r="475">
      <c r="A475" s="81"/>
      <c r="B475" s="82"/>
      <c r="C475" s="82"/>
      <c r="D475" s="81"/>
      <c r="E475" s="81"/>
      <c r="F475" s="81"/>
      <c r="G475" s="81"/>
      <c r="H475" s="83"/>
      <c r="I475" s="83"/>
      <c r="J475" s="82"/>
      <c r="K475" s="89"/>
      <c r="L475" s="81"/>
      <c r="M475" s="80"/>
      <c r="N475" s="80"/>
      <c r="O475" s="80"/>
      <c r="P475" s="80"/>
      <c r="Q475" s="80"/>
      <c r="R475" s="80"/>
      <c r="S475" s="80"/>
      <c r="T475" s="80"/>
      <c r="U475" s="80"/>
      <c r="V475" s="80"/>
      <c r="W475" s="80"/>
      <c r="X475" s="80"/>
      <c r="Y475" s="80"/>
      <c r="Z475" s="80"/>
    </row>
    <row r="476">
      <c r="A476" s="81"/>
      <c r="B476" s="82"/>
      <c r="C476" s="82"/>
      <c r="D476" s="81"/>
      <c r="E476" s="81"/>
      <c r="F476" s="81"/>
      <c r="G476" s="81"/>
      <c r="H476" s="83"/>
      <c r="I476" s="83"/>
      <c r="J476" s="82"/>
      <c r="K476" s="89"/>
      <c r="L476" s="81"/>
      <c r="M476" s="80"/>
      <c r="N476" s="80"/>
      <c r="O476" s="80"/>
      <c r="P476" s="80"/>
      <c r="Q476" s="80"/>
      <c r="R476" s="80"/>
      <c r="S476" s="80"/>
      <c r="T476" s="80"/>
      <c r="U476" s="80"/>
      <c r="V476" s="80"/>
      <c r="W476" s="80"/>
      <c r="X476" s="80"/>
      <c r="Y476" s="80"/>
      <c r="Z476" s="80"/>
    </row>
    <row r="477">
      <c r="A477" s="81"/>
      <c r="B477" s="82"/>
      <c r="C477" s="82"/>
      <c r="D477" s="81"/>
      <c r="E477" s="81"/>
      <c r="F477" s="81"/>
      <c r="G477" s="81"/>
      <c r="H477" s="83"/>
      <c r="I477" s="83"/>
      <c r="J477" s="82"/>
      <c r="K477" s="89"/>
      <c r="L477" s="81"/>
      <c r="M477" s="80"/>
      <c r="N477" s="80"/>
      <c r="O477" s="80"/>
      <c r="P477" s="80"/>
      <c r="Q477" s="80"/>
      <c r="R477" s="80"/>
      <c r="S477" s="80"/>
      <c r="T477" s="80"/>
      <c r="U477" s="80"/>
      <c r="V477" s="80"/>
      <c r="W477" s="80"/>
      <c r="X477" s="80"/>
      <c r="Y477" s="80"/>
      <c r="Z477" s="80"/>
    </row>
    <row r="478">
      <c r="A478" s="81"/>
      <c r="B478" s="82"/>
      <c r="C478" s="82"/>
      <c r="D478" s="81"/>
      <c r="E478" s="81"/>
      <c r="F478" s="81"/>
      <c r="G478" s="81"/>
      <c r="H478" s="83"/>
      <c r="I478" s="83"/>
      <c r="J478" s="82"/>
      <c r="K478" s="89"/>
      <c r="L478" s="81"/>
      <c r="M478" s="80"/>
      <c r="N478" s="80"/>
      <c r="O478" s="80"/>
      <c r="P478" s="80"/>
      <c r="Q478" s="80"/>
      <c r="R478" s="80"/>
      <c r="S478" s="80"/>
      <c r="T478" s="80"/>
      <c r="U478" s="80"/>
      <c r="V478" s="80"/>
      <c r="W478" s="80"/>
      <c r="X478" s="80"/>
      <c r="Y478" s="80"/>
      <c r="Z478" s="80"/>
    </row>
    <row r="479">
      <c r="A479" s="81"/>
      <c r="B479" s="82"/>
      <c r="C479" s="82"/>
      <c r="D479" s="81"/>
      <c r="E479" s="81"/>
      <c r="F479" s="81"/>
      <c r="G479" s="81"/>
      <c r="H479" s="83"/>
      <c r="I479" s="83"/>
      <c r="J479" s="82"/>
      <c r="K479" s="89"/>
      <c r="L479" s="81"/>
      <c r="M479" s="80"/>
      <c r="N479" s="80"/>
      <c r="O479" s="80"/>
      <c r="P479" s="80"/>
      <c r="Q479" s="80"/>
      <c r="R479" s="80"/>
      <c r="S479" s="80"/>
      <c r="T479" s="80"/>
      <c r="U479" s="80"/>
      <c r="V479" s="80"/>
      <c r="W479" s="80"/>
      <c r="X479" s="80"/>
      <c r="Y479" s="80"/>
      <c r="Z479" s="80"/>
    </row>
    <row r="480">
      <c r="A480" s="81"/>
      <c r="B480" s="82"/>
      <c r="C480" s="82"/>
      <c r="D480" s="81"/>
      <c r="E480" s="81"/>
      <c r="F480" s="81"/>
      <c r="G480" s="81"/>
      <c r="H480" s="83"/>
      <c r="I480" s="83"/>
      <c r="J480" s="82"/>
      <c r="K480" s="89"/>
      <c r="L480" s="81"/>
      <c r="M480" s="80"/>
      <c r="N480" s="80"/>
      <c r="O480" s="80"/>
      <c r="P480" s="80"/>
      <c r="Q480" s="80"/>
      <c r="R480" s="80"/>
      <c r="S480" s="80"/>
      <c r="T480" s="80"/>
      <c r="U480" s="80"/>
      <c r="V480" s="80"/>
      <c r="W480" s="80"/>
      <c r="X480" s="80"/>
      <c r="Y480" s="80"/>
      <c r="Z480" s="80"/>
    </row>
    <row r="481">
      <c r="A481" s="81"/>
      <c r="B481" s="82"/>
      <c r="C481" s="82"/>
      <c r="D481" s="81"/>
      <c r="E481" s="81"/>
      <c r="F481" s="81"/>
      <c r="G481" s="81"/>
      <c r="H481" s="83"/>
      <c r="I481" s="83"/>
      <c r="J481" s="82"/>
      <c r="K481" s="89"/>
      <c r="L481" s="81"/>
      <c r="M481" s="80"/>
      <c r="N481" s="80"/>
      <c r="O481" s="80"/>
      <c r="P481" s="80"/>
      <c r="Q481" s="80"/>
      <c r="R481" s="80"/>
      <c r="S481" s="80"/>
      <c r="T481" s="80"/>
      <c r="U481" s="80"/>
      <c r="V481" s="80"/>
      <c r="W481" s="80"/>
      <c r="X481" s="80"/>
      <c r="Y481" s="80"/>
      <c r="Z481" s="80"/>
    </row>
    <row r="482">
      <c r="A482" s="81"/>
      <c r="B482" s="82"/>
      <c r="C482" s="82"/>
      <c r="D482" s="81"/>
      <c r="E482" s="81"/>
      <c r="F482" s="81"/>
      <c r="G482" s="81"/>
      <c r="H482" s="83"/>
      <c r="I482" s="83"/>
      <c r="J482" s="82"/>
      <c r="K482" s="89"/>
      <c r="L482" s="81"/>
      <c r="M482" s="80"/>
      <c r="N482" s="80"/>
      <c r="O482" s="80"/>
      <c r="P482" s="80"/>
      <c r="Q482" s="80"/>
      <c r="R482" s="80"/>
      <c r="S482" s="80"/>
      <c r="T482" s="80"/>
      <c r="U482" s="80"/>
      <c r="V482" s="80"/>
      <c r="W482" s="80"/>
      <c r="X482" s="80"/>
      <c r="Y482" s="80"/>
      <c r="Z482" s="80"/>
    </row>
    <row r="483">
      <c r="A483" s="81"/>
      <c r="B483" s="82"/>
      <c r="C483" s="82"/>
      <c r="D483" s="81"/>
      <c r="E483" s="81"/>
      <c r="F483" s="81"/>
      <c r="G483" s="81"/>
      <c r="H483" s="83"/>
      <c r="I483" s="83"/>
      <c r="J483" s="82"/>
      <c r="K483" s="89"/>
      <c r="L483" s="81"/>
      <c r="M483" s="80"/>
      <c r="N483" s="80"/>
      <c r="O483" s="80"/>
      <c r="P483" s="80"/>
      <c r="Q483" s="80"/>
      <c r="R483" s="80"/>
      <c r="S483" s="80"/>
      <c r="T483" s="80"/>
      <c r="U483" s="80"/>
      <c r="V483" s="80"/>
      <c r="W483" s="80"/>
      <c r="X483" s="80"/>
      <c r="Y483" s="80"/>
      <c r="Z483" s="80"/>
    </row>
    <row r="484">
      <c r="A484" s="81"/>
      <c r="B484" s="82"/>
      <c r="C484" s="82"/>
      <c r="D484" s="81"/>
      <c r="E484" s="81"/>
      <c r="F484" s="81"/>
      <c r="G484" s="81"/>
      <c r="H484" s="83"/>
      <c r="I484" s="83"/>
      <c r="J484" s="82"/>
      <c r="K484" s="89"/>
      <c r="L484" s="81"/>
      <c r="M484" s="80"/>
      <c r="N484" s="80"/>
      <c r="O484" s="80"/>
      <c r="P484" s="80"/>
      <c r="Q484" s="80"/>
      <c r="R484" s="80"/>
      <c r="S484" s="80"/>
      <c r="T484" s="80"/>
      <c r="U484" s="80"/>
      <c r="V484" s="80"/>
      <c r="W484" s="80"/>
      <c r="X484" s="80"/>
      <c r="Y484" s="80"/>
      <c r="Z484" s="80"/>
    </row>
    <row r="485">
      <c r="A485" s="81"/>
      <c r="B485" s="82"/>
      <c r="C485" s="82"/>
      <c r="D485" s="81"/>
      <c r="E485" s="81"/>
      <c r="F485" s="81"/>
      <c r="G485" s="81"/>
      <c r="H485" s="83"/>
      <c r="I485" s="83"/>
      <c r="J485" s="82"/>
      <c r="K485" s="89"/>
      <c r="L485" s="81"/>
      <c r="M485" s="80"/>
      <c r="N485" s="80"/>
      <c r="O485" s="80"/>
      <c r="P485" s="80"/>
      <c r="Q485" s="80"/>
      <c r="R485" s="80"/>
      <c r="S485" s="80"/>
      <c r="T485" s="80"/>
      <c r="U485" s="80"/>
      <c r="V485" s="80"/>
      <c r="W485" s="80"/>
      <c r="X485" s="80"/>
      <c r="Y485" s="80"/>
      <c r="Z485" s="80"/>
    </row>
    <row r="486">
      <c r="A486" s="81"/>
      <c r="B486" s="82"/>
      <c r="C486" s="82"/>
      <c r="D486" s="81"/>
      <c r="E486" s="81"/>
      <c r="F486" s="81"/>
      <c r="G486" s="81"/>
      <c r="H486" s="83"/>
      <c r="I486" s="83"/>
      <c r="J486" s="82"/>
      <c r="K486" s="89"/>
      <c r="L486" s="81"/>
      <c r="M486" s="80"/>
      <c r="N486" s="80"/>
      <c r="O486" s="80"/>
      <c r="P486" s="80"/>
      <c r="Q486" s="80"/>
      <c r="R486" s="80"/>
      <c r="S486" s="80"/>
      <c r="T486" s="80"/>
      <c r="U486" s="80"/>
      <c r="V486" s="80"/>
      <c r="W486" s="80"/>
      <c r="X486" s="80"/>
      <c r="Y486" s="80"/>
      <c r="Z486" s="80"/>
    </row>
    <row r="487">
      <c r="A487" s="81"/>
      <c r="B487" s="82"/>
      <c r="C487" s="82"/>
      <c r="D487" s="81"/>
      <c r="E487" s="81"/>
      <c r="F487" s="81"/>
      <c r="G487" s="81"/>
      <c r="H487" s="83"/>
      <c r="I487" s="83"/>
      <c r="J487" s="82"/>
      <c r="K487" s="89"/>
      <c r="L487" s="81"/>
      <c r="M487" s="80"/>
      <c r="N487" s="80"/>
      <c r="O487" s="80"/>
      <c r="P487" s="80"/>
      <c r="Q487" s="80"/>
      <c r="R487" s="80"/>
      <c r="S487" s="80"/>
      <c r="T487" s="80"/>
      <c r="U487" s="80"/>
      <c r="V487" s="80"/>
      <c r="W487" s="80"/>
      <c r="X487" s="80"/>
      <c r="Y487" s="80"/>
      <c r="Z487" s="80"/>
    </row>
    <row r="488">
      <c r="A488" s="81"/>
      <c r="B488" s="82"/>
      <c r="C488" s="82"/>
      <c r="D488" s="81"/>
      <c r="E488" s="81"/>
      <c r="F488" s="81"/>
      <c r="G488" s="81"/>
      <c r="H488" s="83"/>
      <c r="I488" s="83"/>
      <c r="J488" s="82"/>
      <c r="K488" s="89"/>
      <c r="L488" s="81"/>
      <c r="M488" s="80"/>
      <c r="N488" s="80"/>
      <c r="O488" s="80"/>
      <c r="P488" s="80"/>
      <c r="Q488" s="80"/>
      <c r="R488" s="80"/>
      <c r="S488" s="80"/>
      <c r="T488" s="80"/>
      <c r="U488" s="80"/>
      <c r="V488" s="80"/>
      <c r="W488" s="80"/>
      <c r="X488" s="80"/>
      <c r="Y488" s="80"/>
      <c r="Z488" s="80"/>
    </row>
    <row r="489">
      <c r="A489" s="81"/>
      <c r="B489" s="82"/>
      <c r="C489" s="82"/>
      <c r="D489" s="81"/>
      <c r="E489" s="81"/>
      <c r="F489" s="81"/>
      <c r="G489" s="81"/>
      <c r="H489" s="83"/>
      <c r="I489" s="83"/>
      <c r="J489" s="82"/>
      <c r="K489" s="89"/>
      <c r="L489" s="81"/>
      <c r="M489" s="80"/>
      <c r="N489" s="80"/>
      <c r="O489" s="80"/>
      <c r="P489" s="80"/>
      <c r="Q489" s="80"/>
      <c r="R489" s="80"/>
      <c r="S489" s="80"/>
      <c r="T489" s="80"/>
      <c r="U489" s="80"/>
      <c r="V489" s="80"/>
      <c r="W489" s="80"/>
      <c r="X489" s="80"/>
      <c r="Y489" s="80"/>
      <c r="Z489" s="80"/>
    </row>
    <row r="490">
      <c r="A490" s="81"/>
      <c r="B490" s="82"/>
      <c r="C490" s="82"/>
      <c r="D490" s="81"/>
      <c r="E490" s="81"/>
      <c r="F490" s="81"/>
      <c r="G490" s="81"/>
      <c r="H490" s="83"/>
      <c r="I490" s="83"/>
      <c r="J490" s="82"/>
      <c r="K490" s="89"/>
      <c r="L490" s="81"/>
      <c r="M490" s="80"/>
      <c r="N490" s="80"/>
      <c r="O490" s="80"/>
      <c r="P490" s="80"/>
      <c r="Q490" s="80"/>
      <c r="R490" s="80"/>
      <c r="S490" s="80"/>
      <c r="T490" s="80"/>
      <c r="U490" s="80"/>
      <c r="V490" s="80"/>
      <c r="W490" s="80"/>
      <c r="X490" s="80"/>
      <c r="Y490" s="80"/>
      <c r="Z490" s="80"/>
    </row>
    <row r="491">
      <c r="A491" s="81"/>
      <c r="B491" s="82"/>
      <c r="C491" s="82"/>
      <c r="D491" s="81"/>
      <c r="E491" s="81"/>
      <c r="F491" s="81"/>
      <c r="G491" s="81"/>
      <c r="H491" s="83"/>
      <c r="I491" s="83"/>
      <c r="J491" s="82"/>
      <c r="K491" s="89"/>
      <c r="L491" s="81"/>
      <c r="M491" s="80"/>
      <c r="N491" s="80"/>
      <c r="O491" s="80"/>
      <c r="P491" s="80"/>
      <c r="Q491" s="80"/>
      <c r="R491" s="80"/>
      <c r="S491" s="80"/>
      <c r="T491" s="80"/>
      <c r="U491" s="80"/>
      <c r="V491" s="80"/>
      <c r="W491" s="80"/>
      <c r="X491" s="80"/>
      <c r="Y491" s="80"/>
      <c r="Z491" s="80"/>
    </row>
    <row r="492">
      <c r="A492" s="81"/>
      <c r="B492" s="82"/>
      <c r="C492" s="82"/>
      <c r="D492" s="81"/>
      <c r="E492" s="81"/>
      <c r="F492" s="81"/>
      <c r="G492" s="81"/>
      <c r="H492" s="83"/>
      <c r="I492" s="83"/>
      <c r="J492" s="82"/>
      <c r="K492" s="89"/>
      <c r="L492" s="81"/>
      <c r="M492" s="80"/>
      <c r="N492" s="80"/>
      <c r="O492" s="80"/>
      <c r="P492" s="80"/>
      <c r="Q492" s="80"/>
      <c r="R492" s="80"/>
      <c r="S492" s="80"/>
      <c r="T492" s="80"/>
      <c r="U492" s="80"/>
      <c r="V492" s="80"/>
      <c r="W492" s="80"/>
      <c r="X492" s="80"/>
      <c r="Y492" s="80"/>
      <c r="Z492" s="80"/>
    </row>
    <row r="493">
      <c r="A493" s="81"/>
      <c r="B493" s="82"/>
      <c r="C493" s="82"/>
      <c r="D493" s="81"/>
      <c r="E493" s="81"/>
      <c r="F493" s="81"/>
      <c r="G493" s="81"/>
      <c r="H493" s="83"/>
      <c r="I493" s="83"/>
      <c r="J493" s="82"/>
      <c r="K493" s="89"/>
      <c r="L493" s="81"/>
      <c r="M493" s="80"/>
      <c r="N493" s="80"/>
      <c r="O493" s="80"/>
      <c r="P493" s="80"/>
      <c r="Q493" s="80"/>
      <c r="R493" s="80"/>
      <c r="S493" s="80"/>
      <c r="T493" s="80"/>
      <c r="U493" s="80"/>
      <c r="V493" s="80"/>
      <c r="W493" s="80"/>
      <c r="X493" s="80"/>
      <c r="Y493" s="80"/>
      <c r="Z493" s="80"/>
    </row>
    <row r="494">
      <c r="A494" s="81"/>
      <c r="B494" s="82"/>
      <c r="C494" s="82"/>
      <c r="D494" s="81"/>
      <c r="E494" s="81"/>
      <c r="F494" s="81"/>
      <c r="G494" s="81"/>
      <c r="H494" s="83"/>
      <c r="I494" s="83"/>
      <c r="J494" s="82"/>
      <c r="K494" s="89"/>
      <c r="L494" s="81"/>
      <c r="M494" s="80"/>
      <c r="N494" s="80"/>
      <c r="O494" s="80"/>
      <c r="P494" s="80"/>
      <c r="Q494" s="80"/>
      <c r="R494" s="80"/>
      <c r="S494" s="80"/>
      <c r="T494" s="80"/>
      <c r="U494" s="80"/>
      <c r="V494" s="80"/>
      <c r="W494" s="80"/>
      <c r="X494" s="80"/>
      <c r="Y494" s="80"/>
      <c r="Z494" s="80"/>
    </row>
    <row r="495">
      <c r="A495" s="81"/>
      <c r="B495" s="82"/>
      <c r="C495" s="82"/>
      <c r="D495" s="81"/>
      <c r="E495" s="81"/>
      <c r="F495" s="81"/>
      <c r="G495" s="81"/>
      <c r="H495" s="83"/>
      <c r="I495" s="83"/>
      <c r="J495" s="82"/>
      <c r="K495" s="89"/>
      <c r="L495" s="81"/>
      <c r="M495" s="80"/>
      <c r="N495" s="80"/>
      <c r="O495" s="80"/>
      <c r="P495" s="80"/>
      <c r="Q495" s="80"/>
      <c r="R495" s="80"/>
      <c r="S495" s="80"/>
      <c r="T495" s="80"/>
      <c r="U495" s="80"/>
      <c r="V495" s="80"/>
      <c r="W495" s="80"/>
      <c r="X495" s="80"/>
      <c r="Y495" s="80"/>
      <c r="Z495" s="80"/>
    </row>
    <row r="496">
      <c r="A496" s="81"/>
      <c r="B496" s="82"/>
      <c r="C496" s="82"/>
      <c r="D496" s="81"/>
      <c r="E496" s="81"/>
      <c r="F496" s="81"/>
      <c r="G496" s="81"/>
      <c r="H496" s="83"/>
      <c r="I496" s="83"/>
      <c r="J496" s="82"/>
      <c r="K496" s="89"/>
      <c r="L496" s="81"/>
      <c r="M496" s="80"/>
      <c r="N496" s="80"/>
      <c r="O496" s="80"/>
      <c r="P496" s="80"/>
      <c r="Q496" s="80"/>
      <c r="R496" s="80"/>
      <c r="S496" s="80"/>
      <c r="T496" s="80"/>
      <c r="U496" s="80"/>
      <c r="V496" s="80"/>
      <c r="W496" s="80"/>
      <c r="X496" s="80"/>
      <c r="Y496" s="80"/>
      <c r="Z496" s="80"/>
    </row>
    <row r="497">
      <c r="A497" s="81"/>
      <c r="B497" s="82"/>
      <c r="C497" s="82"/>
      <c r="D497" s="81"/>
      <c r="E497" s="81"/>
      <c r="F497" s="81"/>
      <c r="G497" s="81"/>
      <c r="H497" s="83"/>
      <c r="I497" s="83"/>
      <c r="J497" s="82"/>
      <c r="K497" s="89"/>
      <c r="L497" s="81"/>
      <c r="M497" s="80"/>
      <c r="N497" s="80"/>
      <c r="O497" s="80"/>
      <c r="P497" s="80"/>
      <c r="Q497" s="80"/>
      <c r="R497" s="80"/>
      <c r="S497" s="80"/>
      <c r="T497" s="80"/>
      <c r="U497" s="80"/>
      <c r="V497" s="80"/>
      <c r="W497" s="80"/>
      <c r="X497" s="80"/>
      <c r="Y497" s="80"/>
      <c r="Z497" s="80"/>
    </row>
    <row r="498">
      <c r="A498" s="81"/>
      <c r="B498" s="82"/>
      <c r="C498" s="82"/>
      <c r="D498" s="81"/>
      <c r="E498" s="81"/>
      <c r="F498" s="81"/>
      <c r="G498" s="81"/>
      <c r="H498" s="83"/>
      <c r="I498" s="83"/>
      <c r="J498" s="82"/>
      <c r="K498" s="89"/>
      <c r="L498" s="81"/>
      <c r="M498" s="80"/>
      <c r="N498" s="80"/>
      <c r="O498" s="80"/>
      <c r="P498" s="80"/>
      <c r="Q498" s="80"/>
      <c r="R498" s="80"/>
      <c r="S498" s="80"/>
      <c r="T498" s="80"/>
      <c r="U498" s="80"/>
      <c r="V498" s="80"/>
      <c r="W498" s="80"/>
      <c r="X498" s="80"/>
      <c r="Y498" s="80"/>
      <c r="Z498" s="80"/>
    </row>
    <row r="499">
      <c r="A499" s="81"/>
      <c r="B499" s="82"/>
      <c r="C499" s="82"/>
      <c r="D499" s="81"/>
      <c r="E499" s="81"/>
      <c r="F499" s="81"/>
      <c r="G499" s="81"/>
      <c r="H499" s="83"/>
      <c r="I499" s="83"/>
      <c r="J499" s="82"/>
      <c r="K499" s="89"/>
      <c r="L499" s="81"/>
      <c r="M499" s="80"/>
      <c r="N499" s="80"/>
      <c r="O499" s="80"/>
      <c r="P499" s="80"/>
      <c r="Q499" s="80"/>
      <c r="R499" s="80"/>
      <c r="S499" s="80"/>
      <c r="T499" s="80"/>
      <c r="U499" s="80"/>
      <c r="V499" s="80"/>
      <c r="W499" s="80"/>
      <c r="X499" s="80"/>
      <c r="Y499" s="80"/>
      <c r="Z499" s="80"/>
    </row>
    <row r="500">
      <c r="A500" s="81"/>
      <c r="B500" s="82"/>
      <c r="C500" s="82"/>
      <c r="D500" s="81"/>
      <c r="E500" s="81"/>
      <c r="F500" s="81"/>
      <c r="G500" s="81"/>
      <c r="H500" s="83"/>
      <c r="I500" s="83"/>
      <c r="J500" s="82"/>
      <c r="K500" s="89"/>
      <c r="L500" s="81"/>
      <c r="M500" s="80"/>
      <c r="N500" s="80"/>
      <c r="O500" s="80"/>
      <c r="P500" s="80"/>
      <c r="Q500" s="80"/>
      <c r="R500" s="80"/>
      <c r="S500" s="80"/>
      <c r="T500" s="80"/>
      <c r="U500" s="80"/>
      <c r="V500" s="80"/>
      <c r="W500" s="80"/>
      <c r="X500" s="80"/>
      <c r="Y500" s="80"/>
      <c r="Z500" s="80"/>
    </row>
    <row r="501">
      <c r="A501" s="81"/>
      <c r="B501" s="82"/>
      <c r="C501" s="82"/>
      <c r="D501" s="81"/>
      <c r="E501" s="81"/>
      <c r="F501" s="81"/>
      <c r="G501" s="81"/>
      <c r="H501" s="83"/>
      <c r="I501" s="83"/>
      <c r="J501" s="82"/>
      <c r="K501" s="89"/>
      <c r="L501" s="81"/>
      <c r="M501" s="80"/>
      <c r="N501" s="80"/>
      <c r="O501" s="80"/>
      <c r="P501" s="80"/>
      <c r="Q501" s="80"/>
      <c r="R501" s="80"/>
      <c r="S501" s="80"/>
      <c r="T501" s="80"/>
      <c r="U501" s="80"/>
      <c r="V501" s="80"/>
      <c r="W501" s="80"/>
      <c r="X501" s="80"/>
      <c r="Y501" s="80"/>
      <c r="Z501" s="80"/>
    </row>
    <row r="502">
      <c r="A502" s="81"/>
      <c r="B502" s="82"/>
      <c r="C502" s="82"/>
      <c r="D502" s="81"/>
      <c r="E502" s="81"/>
      <c r="F502" s="81"/>
      <c r="G502" s="81"/>
      <c r="H502" s="83"/>
      <c r="I502" s="83"/>
      <c r="J502" s="82"/>
      <c r="K502" s="89"/>
      <c r="L502" s="81"/>
      <c r="M502" s="80"/>
      <c r="N502" s="80"/>
      <c r="O502" s="80"/>
      <c r="P502" s="80"/>
      <c r="Q502" s="80"/>
      <c r="R502" s="80"/>
      <c r="S502" s="80"/>
      <c r="T502" s="80"/>
      <c r="U502" s="80"/>
      <c r="V502" s="80"/>
      <c r="W502" s="80"/>
      <c r="X502" s="80"/>
      <c r="Y502" s="80"/>
      <c r="Z502" s="80"/>
    </row>
    <row r="503">
      <c r="A503" s="81"/>
      <c r="B503" s="82"/>
      <c r="C503" s="82"/>
      <c r="D503" s="81"/>
      <c r="E503" s="81"/>
      <c r="F503" s="81"/>
      <c r="G503" s="81"/>
      <c r="H503" s="83"/>
      <c r="I503" s="83"/>
      <c r="J503" s="82"/>
      <c r="K503" s="89"/>
      <c r="L503" s="81"/>
      <c r="M503" s="80"/>
      <c r="N503" s="80"/>
      <c r="O503" s="80"/>
      <c r="P503" s="80"/>
      <c r="Q503" s="80"/>
      <c r="R503" s="80"/>
      <c r="S503" s="80"/>
      <c r="T503" s="80"/>
      <c r="U503" s="80"/>
      <c r="V503" s="80"/>
      <c r="W503" s="80"/>
      <c r="X503" s="80"/>
      <c r="Y503" s="80"/>
      <c r="Z503" s="80"/>
    </row>
    <row r="504">
      <c r="A504" s="81"/>
      <c r="B504" s="82"/>
      <c r="C504" s="82"/>
      <c r="D504" s="81"/>
      <c r="E504" s="81"/>
      <c r="F504" s="81"/>
      <c r="G504" s="81"/>
      <c r="H504" s="83"/>
      <c r="I504" s="83"/>
      <c r="J504" s="82"/>
      <c r="K504" s="89"/>
      <c r="L504" s="81"/>
      <c r="M504" s="80"/>
      <c r="N504" s="80"/>
      <c r="O504" s="80"/>
      <c r="P504" s="80"/>
      <c r="Q504" s="80"/>
      <c r="R504" s="80"/>
      <c r="S504" s="80"/>
      <c r="T504" s="80"/>
      <c r="U504" s="80"/>
      <c r="V504" s="80"/>
      <c r="W504" s="80"/>
      <c r="X504" s="80"/>
      <c r="Y504" s="80"/>
      <c r="Z504" s="80"/>
    </row>
    <row r="505">
      <c r="A505" s="81"/>
      <c r="B505" s="82"/>
      <c r="C505" s="82"/>
      <c r="D505" s="81"/>
      <c r="E505" s="81"/>
      <c r="F505" s="81"/>
      <c r="G505" s="81"/>
      <c r="H505" s="83"/>
      <c r="I505" s="83"/>
      <c r="J505" s="82"/>
      <c r="K505" s="89"/>
      <c r="L505" s="81"/>
      <c r="M505" s="80"/>
      <c r="N505" s="80"/>
      <c r="O505" s="80"/>
      <c r="P505" s="80"/>
      <c r="Q505" s="80"/>
      <c r="R505" s="80"/>
      <c r="S505" s="80"/>
      <c r="T505" s="80"/>
      <c r="U505" s="80"/>
      <c r="V505" s="80"/>
      <c r="W505" s="80"/>
      <c r="X505" s="80"/>
      <c r="Y505" s="80"/>
      <c r="Z505" s="80"/>
    </row>
    <row r="506">
      <c r="A506" s="81"/>
      <c r="B506" s="82"/>
      <c r="C506" s="82"/>
      <c r="D506" s="81"/>
      <c r="E506" s="81"/>
      <c r="F506" s="81"/>
      <c r="G506" s="81"/>
      <c r="H506" s="83"/>
      <c r="I506" s="83"/>
      <c r="J506" s="82"/>
      <c r="K506" s="89"/>
      <c r="L506" s="81"/>
      <c r="M506" s="80"/>
      <c r="N506" s="80"/>
      <c r="O506" s="80"/>
      <c r="P506" s="80"/>
      <c r="Q506" s="80"/>
      <c r="R506" s="80"/>
      <c r="S506" s="80"/>
      <c r="T506" s="80"/>
      <c r="U506" s="80"/>
      <c r="V506" s="80"/>
      <c r="W506" s="80"/>
      <c r="X506" s="80"/>
      <c r="Y506" s="80"/>
      <c r="Z506" s="80"/>
    </row>
    <row r="507">
      <c r="A507" s="81"/>
      <c r="B507" s="82"/>
      <c r="C507" s="82"/>
      <c r="D507" s="81"/>
      <c r="E507" s="81"/>
      <c r="F507" s="81"/>
      <c r="G507" s="81"/>
      <c r="H507" s="83"/>
      <c r="I507" s="83"/>
      <c r="J507" s="82"/>
      <c r="K507" s="89"/>
      <c r="L507" s="81"/>
      <c r="M507" s="80"/>
      <c r="N507" s="80"/>
      <c r="O507" s="80"/>
      <c r="P507" s="80"/>
      <c r="Q507" s="80"/>
      <c r="R507" s="80"/>
      <c r="S507" s="80"/>
      <c r="T507" s="80"/>
      <c r="U507" s="80"/>
      <c r="V507" s="80"/>
      <c r="W507" s="80"/>
      <c r="X507" s="80"/>
      <c r="Y507" s="80"/>
      <c r="Z507" s="80"/>
    </row>
    <row r="508">
      <c r="A508" s="81"/>
      <c r="B508" s="82"/>
      <c r="C508" s="82"/>
      <c r="D508" s="81"/>
      <c r="E508" s="81"/>
      <c r="F508" s="81"/>
      <c r="G508" s="81"/>
      <c r="H508" s="83"/>
      <c r="I508" s="83"/>
      <c r="J508" s="82"/>
      <c r="K508" s="89"/>
      <c r="L508" s="81"/>
      <c r="M508" s="80"/>
      <c r="N508" s="80"/>
      <c r="O508" s="80"/>
      <c r="P508" s="80"/>
      <c r="Q508" s="80"/>
      <c r="R508" s="80"/>
      <c r="S508" s="80"/>
      <c r="T508" s="80"/>
      <c r="U508" s="80"/>
      <c r="V508" s="80"/>
      <c r="W508" s="80"/>
      <c r="X508" s="80"/>
      <c r="Y508" s="80"/>
      <c r="Z508" s="80"/>
    </row>
    <row r="509">
      <c r="A509" s="81"/>
      <c r="B509" s="82"/>
      <c r="C509" s="82"/>
      <c r="D509" s="81"/>
      <c r="E509" s="81"/>
      <c r="F509" s="81"/>
      <c r="G509" s="81"/>
      <c r="H509" s="83"/>
      <c r="I509" s="83"/>
      <c r="J509" s="82"/>
      <c r="K509" s="89"/>
      <c r="L509" s="81"/>
      <c r="M509" s="80"/>
      <c r="N509" s="80"/>
      <c r="O509" s="80"/>
      <c r="P509" s="80"/>
      <c r="Q509" s="80"/>
      <c r="R509" s="80"/>
      <c r="S509" s="80"/>
      <c r="T509" s="80"/>
      <c r="U509" s="80"/>
      <c r="V509" s="80"/>
      <c r="W509" s="80"/>
      <c r="X509" s="80"/>
      <c r="Y509" s="80"/>
      <c r="Z509" s="80"/>
    </row>
    <row r="510">
      <c r="A510" s="81"/>
      <c r="B510" s="82"/>
      <c r="C510" s="82"/>
      <c r="D510" s="81"/>
      <c r="E510" s="81"/>
      <c r="F510" s="81"/>
      <c r="G510" s="81"/>
      <c r="H510" s="83"/>
      <c r="I510" s="83"/>
      <c r="J510" s="82"/>
      <c r="K510" s="89"/>
      <c r="L510" s="81"/>
      <c r="M510" s="80"/>
      <c r="N510" s="80"/>
      <c r="O510" s="80"/>
      <c r="P510" s="80"/>
      <c r="Q510" s="80"/>
      <c r="R510" s="80"/>
      <c r="S510" s="80"/>
      <c r="T510" s="80"/>
      <c r="U510" s="80"/>
      <c r="V510" s="80"/>
      <c r="W510" s="80"/>
      <c r="X510" s="80"/>
      <c r="Y510" s="80"/>
      <c r="Z510" s="80"/>
    </row>
    <row r="511">
      <c r="A511" s="81"/>
      <c r="B511" s="82"/>
      <c r="C511" s="82"/>
      <c r="D511" s="81"/>
      <c r="E511" s="81"/>
      <c r="F511" s="81"/>
      <c r="G511" s="81"/>
      <c r="H511" s="83"/>
      <c r="I511" s="83"/>
      <c r="J511" s="82"/>
      <c r="K511" s="89"/>
      <c r="L511" s="81"/>
      <c r="M511" s="80"/>
      <c r="N511" s="80"/>
      <c r="O511" s="80"/>
      <c r="P511" s="80"/>
      <c r="Q511" s="80"/>
      <c r="R511" s="80"/>
      <c r="S511" s="80"/>
      <c r="T511" s="80"/>
      <c r="U511" s="80"/>
      <c r="V511" s="80"/>
      <c r="W511" s="80"/>
      <c r="X511" s="80"/>
      <c r="Y511" s="80"/>
      <c r="Z511" s="80"/>
    </row>
    <row r="512">
      <c r="A512" s="81"/>
      <c r="B512" s="82"/>
      <c r="C512" s="82"/>
      <c r="D512" s="81"/>
      <c r="E512" s="81"/>
      <c r="F512" s="81"/>
      <c r="G512" s="81"/>
      <c r="H512" s="83"/>
      <c r="I512" s="83"/>
      <c r="J512" s="82"/>
      <c r="K512" s="89"/>
      <c r="L512" s="81"/>
      <c r="M512" s="80"/>
      <c r="N512" s="80"/>
      <c r="O512" s="80"/>
      <c r="P512" s="80"/>
      <c r="Q512" s="80"/>
      <c r="R512" s="80"/>
      <c r="S512" s="80"/>
      <c r="T512" s="80"/>
      <c r="U512" s="80"/>
      <c r="V512" s="80"/>
      <c r="W512" s="80"/>
      <c r="X512" s="80"/>
      <c r="Y512" s="80"/>
      <c r="Z512" s="80"/>
    </row>
    <row r="513">
      <c r="A513" s="81"/>
      <c r="B513" s="82"/>
      <c r="C513" s="82"/>
      <c r="D513" s="81"/>
      <c r="E513" s="81"/>
      <c r="F513" s="81"/>
      <c r="G513" s="81"/>
      <c r="H513" s="83"/>
      <c r="I513" s="83"/>
      <c r="J513" s="82"/>
      <c r="K513" s="89"/>
      <c r="L513" s="81"/>
      <c r="M513" s="80"/>
      <c r="N513" s="80"/>
      <c r="O513" s="80"/>
      <c r="P513" s="80"/>
      <c r="Q513" s="80"/>
      <c r="R513" s="80"/>
      <c r="S513" s="80"/>
      <c r="T513" s="80"/>
      <c r="U513" s="80"/>
      <c r="V513" s="80"/>
      <c r="W513" s="80"/>
      <c r="X513" s="80"/>
      <c r="Y513" s="80"/>
      <c r="Z513" s="80"/>
    </row>
    <row r="514">
      <c r="A514" s="81"/>
      <c r="B514" s="82"/>
      <c r="C514" s="82"/>
      <c r="D514" s="81"/>
      <c r="E514" s="81"/>
      <c r="F514" s="81"/>
      <c r="G514" s="81"/>
      <c r="H514" s="83"/>
      <c r="I514" s="83"/>
      <c r="J514" s="82"/>
      <c r="K514" s="89"/>
      <c r="L514" s="81"/>
      <c r="M514" s="80"/>
      <c r="N514" s="80"/>
      <c r="O514" s="80"/>
      <c r="P514" s="80"/>
      <c r="Q514" s="80"/>
      <c r="R514" s="80"/>
      <c r="S514" s="80"/>
      <c r="T514" s="80"/>
      <c r="U514" s="80"/>
      <c r="V514" s="80"/>
      <c r="W514" s="80"/>
      <c r="X514" s="80"/>
      <c r="Y514" s="80"/>
      <c r="Z514" s="80"/>
    </row>
    <row r="515">
      <c r="A515" s="81"/>
      <c r="B515" s="82"/>
      <c r="C515" s="82"/>
      <c r="D515" s="81"/>
      <c r="E515" s="81"/>
      <c r="F515" s="81"/>
      <c r="G515" s="81"/>
      <c r="H515" s="83"/>
      <c r="I515" s="83"/>
      <c r="J515" s="82"/>
      <c r="K515" s="89"/>
      <c r="L515" s="81"/>
      <c r="M515" s="80"/>
      <c r="N515" s="80"/>
      <c r="O515" s="80"/>
      <c r="P515" s="80"/>
      <c r="Q515" s="80"/>
      <c r="R515" s="80"/>
      <c r="S515" s="80"/>
      <c r="T515" s="80"/>
      <c r="U515" s="80"/>
      <c r="V515" s="80"/>
      <c r="W515" s="80"/>
      <c r="X515" s="80"/>
      <c r="Y515" s="80"/>
      <c r="Z515" s="80"/>
    </row>
    <row r="516">
      <c r="A516" s="81"/>
      <c r="B516" s="82"/>
      <c r="C516" s="82"/>
      <c r="D516" s="81"/>
      <c r="E516" s="81"/>
      <c r="F516" s="81"/>
      <c r="G516" s="81"/>
      <c r="H516" s="83"/>
      <c r="I516" s="83"/>
      <c r="J516" s="82"/>
      <c r="K516" s="89"/>
      <c r="L516" s="81"/>
      <c r="M516" s="80"/>
      <c r="N516" s="80"/>
      <c r="O516" s="80"/>
      <c r="P516" s="80"/>
      <c r="Q516" s="80"/>
      <c r="R516" s="80"/>
      <c r="S516" s="80"/>
      <c r="T516" s="80"/>
      <c r="U516" s="80"/>
      <c r="V516" s="80"/>
      <c r="W516" s="80"/>
      <c r="X516" s="80"/>
      <c r="Y516" s="80"/>
      <c r="Z516" s="80"/>
    </row>
    <row r="517">
      <c r="A517" s="81"/>
      <c r="B517" s="82"/>
      <c r="C517" s="82"/>
      <c r="D517" s="81"/>
      <c r="E517" s="81"/>
      <c r="F517" s="81"/>
      <c r="G517" s="81"/>
      <c r="H517" s="83"/>
      <c r="I517" s="83"/>
      <c r="J517" s="82"/>
      <c r="K517" s="89"/>
      <c r="L517" s="81"/>
      <c r="M517" s="80"/>
      <c r="N517" s="80"/>
      <c r="O517" s="80"/>
      <c r="P517" s="80"/>
      <c r="Q517" s="80"/>
      <c r="R517" s="80"/>
      <c r="S517" s="80"/>
      <c r="T517" s="80"/>
      <c r="U517" s="80"/>
      <c r="V517" s="80"/>
      <c r="W517" s="80"/>
      <c r="X517" s="80"/>
      <c r="Y517" s="80"/>
      <c r="Z517" s="80"/>
    </row>
    <row r="518">
      <c r="A518" s="81"/>
      <c r="B518" s="82"/>
      <c r="C518" s="82"/>
      <c r="D518" s="81"/>
      <c r="E518" s="81"/>
      <c r="F518" s="81"/>
      <c r="G518" s="81"/>
      <c r="H518" s="83"/>
      <c r="I518" s="83"/>
      <c r="J518" s="82"/>
      <c r="K518" s="89"/>
      <c r="L518" s="81"/>
      <c r="M518" s="80"/>
      <c r="N518" s="80"/>
      <c r="O518" s="80"/>
      <c r="P518" s="80"/>
      <c r="Q518" s="80"/>
      <c r="R518" s="80"/>
      <c r="S518" s="80"/>
      <c r="T518" s="80"/>
      <c r="U518" s="80"/>
      <c r="V518" s="80"/>
      <c r="W518" s="80"/>
      <c r="X518" s="80"/>
      <c r="Y518" s="80"/>
      <c r="Z518" s="80"/>
    </row>
    <row r="519">
      <c r="A519" s="81"/>
      <c r="B519" s="82"/>
      <c r="C519" s="82"/>
      <c r="D519" s="81"/>
      <c r="E519" s="81"/>
      <c r="F519" s="81"/>
      <c r="G519" s="81"/>
      <c r="H519" s="83"/>
      <c r="I519" s="83"/>
      <c r="J519" s="82"/>
      <c r="K519" s="89"/>
      <c r="L519" s="81"/>
      <c r="M519" s="80"/>
      <c r="N519" s="80"/>
      <c r="O519" s="80"/>
      <c r="P519" s="80"/>
      <c r="Q519" s="80"/>
      <c r="R519" s="80"/>
      <c r="S519" s="80"/>
      <c r="T519" s="80"/>
      <c r="U519" s="80"/>
      <c r="V519" s="80"/>
      <c r="W519" s="80"/>
      <c r="X519" s="80"/>
      <c r="Y519" s="80"/>
      <c r="Z519" s="80"/>
    </row>
    <row r="520">
      <c r="A520" s="81"/>
      <c r="B520" s="82"/>
      <c r="C520" s="82"/>
      <c r="D520" s="81"/>
      <c r="E520" s="81"/>
      <c r="F520" s="81"/>
      <c r="G520" s="81"/>
      <c r="H520" s="83"/>
      <c r="I520" s="83"/>
      <c r="J520" s="82"/>
      <c r="K520" s="89"/>
      <c r="L520" s="81"/>
      <c r="M520" s="80"/>
      <c r="N520" s="80"/>
      <c r="O520" s="80"/>
      <c r="P520" s="80"/>
      <c r="Q520" s="80"/>
      <c r="R520" s="80"/>
      <c r="S520" s="80"/>
      <c r="T520" s="80"/>
      <c r="U520" s="80"/>
      <c r="V520" s="80"/>
      <c r="W520" s="80"/>
      <c r="X520" s="80"/>
      <c r="Y520" s="80"/>
      <c r="Z520" s="80"/>
    </row>
    <row r="521">
      <c r="A521" s="81"/>
      <c r="B521" s="82"/>
      <c r="C521" s="82"/>
      <c r="D521" s="81"/>
      <c r="E521" s="81"/>
      <c r="F521" s="81"/>
      <c r="G521" s="81"/>
      <c r="H521" s="83"/>
      <c r="I521" s="83"/>
      <c r="J521" s="82"/>
      <c r="K521" s="89"/>
      <c r="L521" s="81"/>
      <c r="M521" s="80"/>
      <c r="N521" s="80"/>
      <c r="O521" s="80"/>
      <c r="P521" s="80"/>
      <c r="Q521" s="80"/>
      <c r="R521" s="80"/>
      <c r="S521" s="80"/>
      <c r="T521" s="80"/>
      <c r="U521" s="80"/>
      <c r="V521" s="80"/>
      <c r="W521" s="80"/>
      <c r="X521" s="80"/>
      <c r="Y521" s="80"/>
      <c r="Z521" s="80"/>
    </row>
    <row r="522">
      <c r="A522" s="81"/>
      <c r="B522" s="82"/>
      <c r="C522" s="82"/>
      <c r="D522" s="81"/>
      <c r="E522" s="81"/>
      <c r="F522" s="81"/>
      <c r="G522" s="81"/>
      <c r="H522" s="83"/>
      <c r="I522" s="83"/>
      <c r="J522" s="82"/>
      <c r="K522" s="89"/>
      <c r="L522" s="81"/>
      <c r="M522" s="80"/>
      <c r="N522" s="80"/>
      <c r="O522" s="80"/>
      <c r="P522" s="80"/>
      <c r="Q522" s="80"/>
      <c r="R522" s="80"/>
      <c r="S522" s="80"/>
      <c r="T522" s="80"/>
      <c r="U522" s="80"/>
      <c r="V522" s="80"/>
      <c r="W522" s="80"/>
      <c r="X522" s="80"/>
      <c r="Y522" s="80"/>
      <c r="Z522" s="80"/>
    </row>
    <row r="523">
      <c r="A523" s="81"/>
      <c r="B523" s="82"/>
      <c r="C523" s="82"/>
      <c r="D523" s="81"/>
      <c r="E523" s="81"/>
      <c r="F523" s="81"/>
      <c r="G523" s="81"/>
      <c r="H523" s="83"/>
      <c r="I523" s="83"/>
      <c r="J523" s="82"/>
      <c r="K523" s="89"/>
      <c r="L523" s="81"/>
      <c r="M523" s="80"/>
      <c r="N523" s="80"/>
      <c r="O523" s="80"/>
      <c r="P523" s="80"/>
      <c r="Q523" s="80"/>
      <c r="R523" s="80"/>
      <c r="S523" s="80"/>
      <c r="T523" s="80"/>
      <c r="U523" s="80"/>
      <c r="V523" s="80"/>
      <c r="W523" s="80"/>
      <c r="X523" s="80"/>
      <c r="Y523" s="80"/>
      <c r="Z523" s="80"/>
    </row>
    <row r="524">
      <c r="A524" s="81"/>
      <c r="B524" s="82"/>
      <c r="C524" s="82"/>
      <c r="D524" s="81"/>
      <c r="E524" s="81"/>
      <c r="F524" s="81"/>
      <c r="G524" s="81"/>
      <c r="H524" s="83"/>
      <c r="I524" s="83"/>
      <c r="J524" s="82"/>
      <c r="K524" s="89"/>
      <c r="L524" s="81"/>
      <c r="M524" s="80"/>
      <c r="N524" s="80"/>
      <c r="O524" s="80"/>
      <c r="P524" s="80"/>
      <c r="Q524" s="80"/>
      <c r="R524" s="80"/>
      <c r="S524" s="80"/>
      <c r="T524" s="80"/>
      <c r="U524" s="80"/>
      <c r="V524" s="80"/>
      <c r="W524" s="80"/>
      <c r="X524" s="80"/>
      <c r="Y524" s="80"/>
      <c r="Z524" s="80"/>
    </row>
    <row r="525">
      <c r="A525" s="81"/>
      <c r="B525" s="82"/>
      <c r="C525" s="82"/>
      <c r="D525" s="81"/>
      <c r="E525" s="81"/>
      <c r="F525" s="81"/>
      <c r="G525" s="81"/>
      <c r="H525" s="83"/>
      <c r="I525" s="83"/>
      <c r="J525" s="82"/>
      <c r="K525" s="89"/>
      <c r="L525" s="81"/>
      <c r="M525" s="80"/>
      <c r="N525" s="80"/>
      <c r="O525" s="80"/>
      <c r="P525" s="80"/>
      <c r="Q525" s="80"/>
      <c r="R525" s="80"/>
      <c r="S525" s="80"/>
      <c r="T525" s="80"/>
      <c r="U525" s="80"/>
      <c r="V525" s="80"/>
      <c r="W525" s="80"/>
      <c r="X525" s="80"/>
      <c r="Y525" s="80"/>
      <c r="Z525" s="80"/>
    </row>
    <row r="526">
      <c r="A526" s="81"/>
      <c r="B526" s="82"/>
      <c r="C526" s="82"/>
      <c r="D526" s="81"/>
      <c r="E526" s="81"/>
      <c r="F526" s="81"/>
      <c r="G526" s="81"/>
      <c r="H526" s="83"/>
      <c r="I526" s="83"/>
      <c r="J526" s="82"/>
      <c r="K526" s="89"/>
      <c r="L526" s="81"/>
      <c r="M526" s="80"/>
      <c r="N526" s="80"/>
      <c r="O526" s="80"/>
      <c r="P526" s="80"/>
      <c r="Q526" s="80"/>
      <c r="R526" s="80"/>
      <c r="S526" s="80"/>
      <c r="T526" s="80"/>
      <c r="U526" s="80"/>
      <c r="V526" s="80"/>
      <c r="W526" s="80"/>
      <c r="X526" s="80"/>
      <c r="Y526" s="80"/>
      <c r="Z526" s="80"/>
    </row>
    <row r="527">
      <c r="A527" s="81"/>
      <c r="B527" s="82"/>
      <c r="C527" s="82"/>
      <c r="D527" s="81"/>
      <c r="E527" s="81"/>
      <c r="F527" s="81"/>
      <c r="G527" s="81"/>
      <c r="H527" s="83"/>
      <c r="I527" s="83"/>
      <c r="J527" s="82"/>
      <c r="K527" s="89"/>
      <c r="L527" s="81"/>
      <c r="M527" s="80"/>
      <c r="N527" s="80"/>
      <c r="O527" s="80"/>
      <c r="P527" s="80"/>
      <c r="Q527" s="80"/>
      <c r="R527" s="80"/>
      <c r="S527" s="80"/>
      <c r="T527" s="80"/>
      <c r="U527" s="80"/>
      <c r="V527" s="80"/>
      <c r="W527" s="80"/>
      <c r="X527" s="80"/>
      <c r="Y527" s="80"/>
      <c r="Z527" s="80"/>
    </row>
    <row r="528">
      <c r="A528" s="81"/>
      <c r="B528" s="82"/>
      <c r="C528" s="82"/>
      <c r="D528" s="81"/>
      <c r="E528" s="81"/>
      <c r="F528" s="81"/>
      <c r="G528" s="81"/>
      <c r="H528" s="83"/>
      <c r="I528" s="83"/>
      <c r="J528" s="82"/>
      <c r="K528" s="89"/>
      <c r="L528" s="81"/>
      <c r="M528" s="80"/>
      <c r="N528" s="80"/>
      <c r="O528" s="80"/>
      <c r="P528" s="80"/>
      <c r="Q528" s="80"/>
      <c r="R528" s="80"/>
      <c r="S528" s="80"/>
      <c r="T528" s="80"/>
      <c r="U528" s="80"/>
      <c r="V528" s="80"/>
      <c r="W528" s="80"/>
      <c r="X528" s="80"/>
      <c r="Y528" s="80"/>
      <c r="Z528" s="80"/>
    </row>
    <row r="529">
      <c r="A529" s="81"/>
      <c r="B529" s="82"/>
      <c r="C529" s="82"/>
      <c r="D529" s="81"/>
      <c r="E529" s="81"/>
      <c r="F529" s="81"/>
      <c r="G529" s="81"/>
      <c r="H529" s="83"/>
      <c r="I529" s="83"/>
      <c r="J529" s="82"/>
      <c r="K529" s="89"/>
      <c r="L529" s="81"/>
      <c r="M529" s="80"/>
      <c r="N529" s="80"/>
      <c r="O529" s="80"/>
      <c r="P529" s="80"/>
      <c r="Q529" s="80"/>
      <c r="R529" s="80"/>
      <c r="S529" s="80"/>
      <c r="T529" s="80"/>
      <c r="U529" s="80"/>
      <c r="V529" s="80"/>
      <c r="W529" s="80"/>
      <c r="X529" s="80"/>
      <c r="Y529" s="80"/>
      <c r="Z529" s="80"/>
    </row>
    <row r="530">
      <c r="A530" s="81"/>
      <c r="B530" s="82"/>
      <c r="C530" s="82"/>
      <c r="D530" s="81"/>
      <c r="E530" s="81"/>
      <c r="F530" s="81"/>
      <c r="G530" s="81"/>
      <c r="H530" s="83"/>
      <c r="I530" s="83"/>
      <c r="J530" s="82"/>
      <c r="K530" s="89"/>
      <c r="L530" s="81"/>
      <c r="M530" s="80"/>
      <c r="N530" s="80"/>
      <c r="O530" s="80"/>
      <c r="P530" s="80"/>
      <c r="Q530" s="80"/>
      <c r="R530" s="80"/>
      <c r="S530" s="80"/>
      <c r="T530" s="80"/>
      <c r="U530" s="80"/>
      <c r="V530" s="80"/>
      <c r="W530" s="80"/>
      <c r="X530" s="80"/>
      <c r="Y530" s="80"/>
      <c r="Z530" s="80"/>
    </row>
    <row r="531">
      <c r="A531" s="81"/>
      <c r="B531" s="82"/>
      <c r="C531" s="82"/>
      <c r="D531" s="81"/>
      <c r="E531" s="81"/>
      <c r="F531" s="81"/>
      <c r="G531" s="81"/>
      <c r="H531" s="83"/>
      <c r="I531" s="83"/>
      <c r="J531" s="82"/>
      <c r="K531" s="89"/>
      <c r="L531" s="81"/>
      <c r="M531" s="80"/>
      <c r="N531" s="80"/>
      <c r="O531" s="80"/>
      <c r="P531" s="80"/>
      <c r="Q531" s="80"/>
      <c r="R531" s="80"/>
      <c r="S531" s="80"/>
      <c r="T531" s="80"/>
      <c r="U531" s="80"/>
      <c r="V531" s="80"/>
      <c r="W531" s="80"/>
      <c r="X531" s="80"/>
      <c r="Y531" s="80"/>
      <c r="Z531" s="80"/>
    </row>
    <row r="532">
      <c r="A532" s="81"/>
      <c r="B532" s="82"/>
      <c r="C532" s="82"/>
      <c r="D532" s="81"/>
      <c r="E532" s="81"/>
      <c r="F532" s="81"/>
      <c r="G532" s="81"/>
      <c r="H532" s="83"/>
      <c r="I532" s="83"/>
      <c r="J532" s="82"/>
      <c r="K532" s="89"/>
      <c r="L532" s="81"/>
      <c r="M532" s="80"/>
      <c r="N532" s="80"/>
      <c r="O532" s="80"/>
      <c r="P532" s="80"/>
      <c r="Q532" s="80"/>
      <c r="R532" s="80"/>
      <c r="S532" s="80"/>
      <c r="T532" s="80"/>
      <c r="U532" s="80"/>
      <c r="V532" s="80"/>
      <c r="W532" s="80"/>
      <c r="X532" s="80"/>
      <c r="Y532" s="80"/>
      <c r="Z532" s="80"/>
    </row>
    <row r="533">
      <c r="A533" s="81"/>
      <c r="B533" s="82"/>
      <c r="C533" s="82"/>
      <c r="D533" s="81"/>
      <c r="E533" s="81"/>
      <c r="F533" s="81"/>
      <c r="G533" s="81"/>
      <c r="H533" s="83"/>
      <c r="I533" s="83"/>
      <c r="J533" s="82"/>
      <c r="K533" s="89"/>
      <c r="L533" s="81"/>
      <c r="M533" s="80"/>
      <c r="N533" s="80"/>
      <c r="O533" s="80"/>
      <c r="P533" s="80"/>
      <c r="Q533" s="80"/>
      <c r="R533" s="80"/>
      <c r="S533" s="80"/>
      <c r="T533" s="80"/>
      <c r="U533" s="80"/>
      <c r="V533" s="80"/>
      <c r="W533" s="80"/>
      <c r="X533" s="80"/>
      <c r="Y533" s="80"/>
      <c r="Z533" s="80"/>
    </row>
    <row r="534">
      <c r="A534" s="81"/>
      <c r="B534" s="82"/>
      <c r="C534" s="82"/>
      <c r="D534" s="81"/>
      <c r="E534" s="81"/>
      <c r="F534" s="81"/>
      <c r="G534" s="81"/>
      <c r="H534" s="83"/>
      <c r="I534" s="83"/>
      <c r="J534" s="82"/>
      <c r="K534" s="89"/>
      <c r="L534" s="81"/>
      <c r="M534" s="80"/>
      <c r="N534" s="80"/>
      <c r="O534" s="80"/>
      <c r="P534" s="80"/>
      <c r="Q534" s="80"/>
      <c r="R534" s="80"/>
      <c r="S534" s="80"/>
      <c r="T534" s="80"/>
      <c r="U534" s="80"/>
      <c r="V534" s="80"/>
      <c r="W534" s="80"/>
      <c r="X534" s="80"/>
      <c r="Y534" s="80"/>
      <c r="Z534" s="80"/>
    </row>
    <row r="535">
      <c r="A535" s="81"/>
      <c r="B535" s="82"/>
      <c r="C535" s="82"/>
      <c r="D535" s="81"/>
      <c r="E535" s="81"/>
      <c r="F535" s="81"/>
      <c r="G535" s="81"/>
      <c r="H535" s="83"/>
      <c r="I535" s="83"/>
      <c r="J535" s="82"/>
      <c r="K535" s="89"/>
      <c r="L535" s="81"/>
      <c r="M535" s="80"/>
      <c r="N535" s="80"/>
      <c r="O535" s="80"/>
      <c r="P535" s="80"/>
      <c r="Q535" s="80"/>
      <c r="R535" s="80"/>
      <c r="S535" s="80"/>
      <c r="T535" s="80"/>
      <c r="U535" s="80"/>
      <c r="V535" s="80"/>
      <c r="W535" s="80"/>
      <c r="X535" s="80"/>
      <c r="Y535" s="80"/>
      <c r="Z535" s="80"/>
    </row>
    <row r="536">
      <c r="A536" s="81"/>
      <c r="B536" s="82"/>
      <c r="C536" s="82"/>
      <c r="D536" s="81"/>
      <c r="E536" s="81"/>
      <c r="F536" s="81"/>
      <c r="G536" s="81"/>
      <c r="H536" s="83"/>
      <c r="I536" s="83"/>
      <c r="J536" s="82"/>
      <c r="K536" s="89"/>
      <c r="L536" s="81"/>
      <c r="M536" s="80"/>
      <c r="N536" s="80"/>
      <c r="O536" s="80"/>
      <c r="P536" s="80"/>
      <c r="Q536" s="80"/>
      <c r="R536" s="80"/>
      <c r="S536" s="80"/>
      <c r="T536" s="80"/>
      <c r="U536" s="80"/>
      <c r="V536" s="80"/>
      <c r="W536" s="80"/>
      <c r="X536" s="80"/>
      <c r="Y536" s="80"/>
      <c r="Z536" s="80"/>
    </row>
    <row r="537">
      <c r="A537" s="81"/>
      <c r="B537" s="82"/>
      <c r="C537" s="82"/>
      <c r="D537" s="81"/>
      <c r="E537" s="81"/>
      <c r="F537" s="81"/>
      <c r="G537" s="81"/>
      <c r="H537" s="83"/>
      <c r="I537" s="83"/>
      <c r="J537" s="82"/>
      <c r="K537" s="89"/>
      <c r="L537" s="81"/>
      <c r="M537" s="80"/>
      <c r="N537" s="80"/>
      <c r="O537" s="80"/>
      <c r="P537" s="80"/>
      <c r="Q537" s="80"/>
      <c r="R537" s="80"/>
      <c r="S537" s="80"/>
      <c r="T537" s="80"/>
      <c r="U537" s="80"/>
      <c r="V537" s="80"/>
      <c r="W537" s="80"/>
      <c r="X537" s="80"/>
      <c r="Y537" s="80"/>
      <c r="Z537" s="80"/>
    </row>
    <row r="538">
      <c r="A538" s="81"/>
      <c r="B538" s="82"/>
      <c r="C538" s="82"/>
      <c r="D538" s="81"/>
      <c r="E538" s="81"/>
      <c r="F538" s="81"/>
      <c r="G538" s="81"/>
      <c r="H538" s="83"/>
      <c r="I538" s="83"/>
      <c r="J538" s="82"/>
      <c r="K538" s="89"/>
      <c r="L538" s="81"/>
      <c r="M538" s="80"/>
      <c r="N538" s="80"/>
      <c r="O538" s="80"/>
      <c r="P538" s="80"/>
      <c r="Q538" s="80"/>
      <c r="R538" s="80"/>
      <c r="S538" s="80"/>
      <c r="T538" s="80"/>
      <c r="U538" s="80"/>
      <c r="V538" s="80"/>
      <c r="W538" s="80"/>
      <c r="X538" s="80"/>
      <c r="Y538" s="80"/>
      <c r="Z538" s="80"/>
    </row>
    <row r="539">
      <c r="A539" s="81"/>
      <c r="B539" s="82"/>
      <c r="C539" s="82"/>
      <c r="D539" s="81"/>
      <c r="E539" s="81"/>
      <c r="F539" s="81"/>
      <c r="G539" s="81"/>
      <c r="H539" s="83"/>
      <c r="I539" s="83"/>
      <c r="J539" s="82"/>
      <c r="K539" s="89"/>
      <c r="L539" s="81"/>
      <c r="M539" s="80"/>
      <c r="N539" s="80"/>
      <c r="O539" s="80"/>
      <c r="P539" s="80"/>
      <c r="Q539" s="80"/>
      <c r="R539" s="80"/>
      <c r="S539" s="80"/>
      <c r="T539" s="80"/>
      <c r="U539" s="80"/>
      <c r="V539" s="80"/>
      <c r="W539" s="80"/>
      <c r="X539" s="80"/>
      <c r="Y539" s="80"/>
      <c r="Z539" s="80"/>
    </row>
    <row r="540">
      <c r="A540" s="81"/>
      <c r="B540" s="82"/>
      <c r="C540" s="82"/>
      <c r="D540" s="81"/>
      <c r="E540" s="81"/>
      <c r="F540" s="81"/>
      <c r="G540" s="81"/>
      <c r="H540" s="83"/>
      <c r="I540" s="83"/>
      <c r="J540" s="82"/>
      <c r="K540" s="89"/>
      <c r="L540" s="81"/>
      <c r="M540" s="80"/>
      <c r="N540" s="80"/>
      <c r="O540" s="80"/>
      <c r="P540" s="80"/>
      <c r="Q540" s="80"/>
      <c r="R540" s="80"/>
      <c r="S540" s="80"/>
      <c r="T540" s="80"/>
      <c r="U540" s="80"/>
      <c r="V540" s="80"/>
      <c r="W540" s="80"/>
      <c r="X540" s="80"/>
      <c r="Y540" s="80"/>
      <c r="Z540" s="80"/>
    </row>
    <row r="541">
      <c r="A541" s="81"/>
      <c r="B541" s="82"/>
      <c r="C541" s="82"/>
      <c r="D541" s="81"/>
      <c r="E541" s="81"/>
      <c r="F541" s="81"/>
      <c r="G541" s="81"/>
      <c r="H541" s="83"/>
      <c r="I541" s="83"/>
      <c r="J541" s="82"/>
      <c r="K541" s="89"/>
      <c r="L541" s="81"/>
      <c r="M541" s="80"/>
      <c r="N541" s="80"/>
      <c r="O541" s="80"/>
      <c r="P541" s="80"/>
      <c r="Q541" s="80"/>
      <c r="R541" s="80"/>
      <c r="S541" s="80"/>
      <c r="T541" s="80"/>
      <c r="U541" s="80"/>
      <c r="V541" s="80"/>
      <c r="W541" s="80"/>
      <c r="X541" s="80"/>
      <c r="Y541" s="80"/>
      <c r="Z541" s="80"/>
    </row>
    <row r="542">
      <c r="A542" s="81"/>
      <c r="B542" s="82"/>
      <c r="C542" s="82"/>
      <c r="D542" s="81"/>
      <c r="E542" s="81"/>
      <c r="F542" s="81"/>
      <c r="G542" s="81"/>
      <c r="H542" s="83"/>
      <c r="I542" s="83"/>
      <c r="J542" s="82"/>
      <c r="K542" s="89"/>
      <c r="L542" s="81"/>
      <c r="M542" s="80"/>
      <c r="N542" s="80"/>
      <c r="O542" s="80"/>
      <c r="P542" s="80"/>
      <c r="Q542" s="80"/>
      <c r="R542" s="80"/>
      <c r="S542" s="80"/>
      <c r="T542" s="80"/>
      <c r="U542" s="80"/>
      <c r="V542" s="80"/>
      <c r="W542" s="80"/>
      <c r="X542" s="80"/>
      <c r="Y542" s="80"/>
      <c r="Z542" s="80"/>
    </row>
    <row r="543">
      <c r="A543" s="81"/>
      <c r="B543" s="82"/>
      <c r="C543" s="82"/>
      <c r="D543" s="81"/>
      <c r="E543" s="81"/>
      <c r="F543" s="81"/>
      <c r="G543" s="81"/>
      <c r="H543" s="83"/>
      <c r="I543" s="83"/>
      <c r="J543" s="82"/>
      <c r="K543" s="89"/>
      <c r="L543" s="81"/>
      <c r="M543" s="80"/>
      <c r="N543" s="80"/>
      <c r="O543" s="80"/>
      <c r="P543" s="80"/>
      <c r="Q543" s="80"/>
      <c r="R543" s="80"/>
      <c r="S543" s="80"/>
      <c r="T543" s="80"/>
      <c r="U543" s="80"/>
      <c r="V543" s="80"/>
      <c r="W543" s="80"/>
      <c r="X543" s="80"/>
      <c r="Y543" s="80"/>
      <c r="Z543" s="80"/>
    </row>
    <row r="544">
      <c r="A544" s="81"/>
      <c r="B544" s="82"/>
      <c r="C544" s="82"/>
      <c r="D544" s="81"/>
      <c r="E544" s="81"/>
      <c r="F544" s="81"/>
      <c r="G544" s="81"/>
      <c r="H544" s="83"/>
      <c r="I544" s="83"/>
      <c r="J544" s="82"/>
      <c r="K544" s="89"/>
      <c r="L544" s="81"/>
      <c r="M544" s="80"/>
      <c r="N544" s="80"/>
      <c r="O544" s="80"/>
      <c r="P544" s="80"/>
      <c r="Q544" s="80"/>
      <c r="R544" s="80"/>
      <c r="S544" s="80"/>
      <c r="T544" s="80"/>
      <c r="U544" s="80"/>
      <c r="V544" s="80"/>
      <c r="W544" s="80"/>
      <c r="X544" s="80"/>
      <c r="Y544" s="80"/>
      <c r="Z544" s="80"/>
    </row>
    <row r="545">
      <c r="A545" s="81"/>
      <c r="B545" s="82"/>
      <c r="C545" s="82"/>
      <c r="D545" s="81"/>
      <c r="E545" s="81"/>
      <c r="F545" s="81"/>
      <c r="G545" s="81"/>
      <c r="H545" s="83"/>
      <c r="I545" s="83"/>
      <c r="J545" s="82"/>
      <c r="K545" s="89"/>
      <c r="L545" s="81"/>
      <c r="M545" s="80"/>
      <c r="N545" s="80"/>
      <c r="O545" s="80"/>
      <c r="P545" s="80"/>
      <c r="Q545" s="80"/>
      <c r="R545" s="80"/>
      <c r="S545" s="80"/>
      <c r="T545" s="80"/>
      <c r="U545" s="80"/>
      <c r="V545" s="80"/>
      <c r="W545" s="80"/>
      <c r="X545" s="80"/>
      <c r="Y545" s="80"/>
      <c r="Z545" s="80"/>
    </row>
    <row r="546">
      <c r="A546" s="81"/>
      <c r="B546" s="82"/>
      <c r="C546" s="82"/>
      <c r="D546" s="81"/>
      <c r="E546" s="81"/>
      <c r="F546" s="81"/>
      <c r="G546" s="81"/>
      <c r="H546" s="83"/>
      <c r="I546" s="83"/>
      <c r="J546" s="82"/>
      <c r="K546" s="89"/>
      <c r="L546" s="81"/>
      <c r="M546" s="80"/>
      <c r="N546" s="80"/>
      <c r="O546" s="80"/>
      <c r="P546" s="80"/>
      <c r="Q546" s="80"/>
      <c r="R546" s="80"/>
      <c r="S546" s="80"/>
      <c r="T546" s="80"/>
      <c r="U546" s="80"/>
      <c r="V546" s="80"/>
      <c r="W546" s="80"/>
      <c r="X546" s="80"/>
      <c r="Y546" s="80"/>
      <c r="Z546" s="80"/>
    </row>
    <row r="547">
      <c r="A547" s="81"/>
      <c r="B547" s="82"/>
      <c r="C547" s="82"/>
      <c r="D547" s="81"/>
      <c r="E547" s="81"/>
      <c r="F547" s="81"/>
      <c r="G547" s="81"/>
      <c r="H547" s="83"/>
      <c r="I547" s="83"/>
      <c r="J547" s="82"/>
      <c r="K547" s="89"/>
      <c r="L547" s="81"/>
      <c r="M547" s="80"/>
      <c r="N547" s="80"/>
      <c r="O547" s="80"/>
      <c r="P547" s="80"/>
      <c r="Q547" s="80"/>
      <c r="R547" s="80"/>
      <c r="S547" s="80"/>
      <c r="T547" s="80"/>
      <c r="U547" s="80"/>
      <c r="V547" s="80"/>
      <c r="W547" s="80"/>
      <c r="X547" s="80"/>
      <c r="Y547" s="80"/>
      <c r="Z547" s="80"/>
    </row>
    <row r="548">
      <c r="A548" s="81"/>
      <c r="B548" s="82"/>
      <c r="C548" s="82"/>
      <c r="D548" s="81"/>
      <c r="E548" s="81"/>
      <c r="F548" s="81"/>
      <c r="G548" s="81"/>
      <c r="H548" s="83"/>
      <c r="I548" s="83"/>
      <c r="J548" s="82"/>
      <c r="K548" s="89"/>
      <c r="L548" s="81"/>
      <c r="M548" s="80"/>
      <c r="N548" s="80"/>
      <c r="O548" s="80"/>
      <c r="P548" s="80"/>
      <c r="Q548" s="80"/>
      <c r="R548" s="80"/>
      <c r="S548" s="80"/>
      <c r="T548" s="80"/>
      <c r="U548" s="80"/>
      <c r="V548" s="80"/>
      <c r="W548" s="80"/>
      <c r="X548" s="80"/>
      <c r="Y548" s="80"/>
      <c r="Z548" s="80"/>
    </row>
    <row r="549">
      <c r="A549" s="81"/>
      <c r="B549" s="82"/>
      <c r="C549" s="82"/>
      <c r="D549" s="81"/>
      <c r="E549" s="81"/>
      <c r="F549" s="81"/>
      <c r="G549" s="81"/>
      <c r="H549" s="83"/>
      <c r="I549" s="83"/>
      <c r="J549" s="82"/>
      <c r="K549" s="89"/>
      <c r="L549" s="81"/>
      <c r="M549" s="80"/>
      <c r="N549" s="80"/>
      <c r="O549" s="80"/>
      <c r="P549" s="80"/>
      <c r="Q549" s="80"/>
      <c r="R549" s="80"/>
      <c r="S549" s="80"/>
      <c r="T549" s="80"/>
      <c r="U549" s="80"/>
      <c r="V549" s="80"/>
      <c r="W549" s="80"/>
      <c r="X549" s="80"/>
      <c r="Y549" s="80"/>
      <c r="Z549" s="80"/>
    </row>
    <row r="550">
      <c r="A550" s="81"/>
      <c r="B550" s="82"/>
      <c r="C550" s="82"/>
      <c r="D550" s="81"/>
      <c r="E550" s="81"/>
      <c r="F550" s="81"/>
      <c r="G550" s="81"/>
      <c r="H550" s="83"/>
      <c r="I550" s="83"/>
      <c r="J550" s="82"/>
      <c r="K550" s="89"/>
      <c r="L550" s="81"/>
      <c r="M550" s="80"/>
      <c r="N550" s="80"/>
      <c r="O550" s="80"/>
      <c r="P550" s="80"/>
      <c r="Q550" s="80"/>
      <c r="R550" s="80"/>
      <c r="S550" s="80"/>
      <c r="T550" s="80"/>
      <c r="U550" s="80"/>
      <c r="V550" s="80"/>
      <c r="W550" s="80"/>
      <c r="X550" s="80"/>
      <c r="Y550" s="80"/>
      <c r="Z550" s="80"/>
    </row>
    <row r="551">
      <c r="A551" s="81"/>
      <c r="B551" s="82"/>
      <c r="C551" s="82"/>
      <c r="D551" s="81"/>
      <c r="E551" s="81"/>
      <c r="F551" s="81"/>
      <c r="G551" s="81"/>
      <c r="H551" s="83"/>
      <c r="I551" s="83"/>
      <c r="J551" s="82"/>
      <c r="K551" s="89"/>
      <c r="L551" s="81"/>
      <c r="M551" s="80"/>
      <c r="N551" s="80"/>
      <c r="O551" s="80"/>
      <c r="P551" s="80"/>
      <c r="Q551" s="80"/>
      <c r="R551" s="80"/>
      <c r="S551" s="80"/>
      <c r="T551" s="80"/>
      <c r="U551" s="80"/>
      <c r="V551" s="80"/>
      <c r="W551" s="80"/>
      <c r="X551" s="80"/>
      <c r="Y551" s="80"/>
      <c r="Z551" s="80"/>
    </row>
    <row r="552">
      <c r="A552" s="81"/>
      <c r="B552" s="82"/>
      <c r="C552" s="82"/>
      <c r="D552" s="81"/>
      <c r="E552" s="81"/>
      <c r="F552" s="81"/>
      <c r="G552" s="81"/>
      <c r="H552" s="83"/>
      <c r="I552" s="83"/>
      <c r="J552" s="82"/>
      <c r="K552" s="89"/>
      <c r="L552" s="81"/>
      <c r="M552" s="80"/>
      <c r="N552" s="80"/>
      <c r="O552" s="80"/>
      <c r="P552" s="80"/>
      <c r="Q552" s="80"/>
      <c r="R552" s="80"/>
      <c r="S552" s="80"/>
      <c r="T552" s="80"/>
      <c r="U552" s="80"/>
      <c r="V552" s="80"/>
      <c r="W552" s="80"/>
      <c r="X552" s="80"/>
      <c r="Y552" s="80"/>
      <c r="Z552" s="80"/>
    </row>
    <row r="553">
      <c r="A553" s="81"/>
      <c r="B553" s="82"/>
      <c r="C553" s="82"/>
      <c r="D553" s="81"/>
      <c r="E553" s="81"/>
      <c r="F553" s="81"/>
      <c r="G553" s="81"/>
      <c r="H553" s="83"/>
      <c r="I553" s="83"/>
      <c r="J553" s="82"/>
      <c r="K553" s="89"/>
      <c r="L553" s="81"/>
      <c r="M553" s="80"/>
      <c r="N553" s="80"/>
      <c r="O553" s="80"/>
      <c r="P553" s="80"/>
      <c r="Q553" s="80"/>
      <c r="R553" s="80"/>
      <c r="S553" s="80"/>
      <c r="T553" s="80"/>
      <c r="U553" s="80"/>
      <c r="V553" s="80"/>
      <c r="W553" s="80"/>
      <c r="X553" s="80"/>
      <c r="Y553" s="80"/>
      <c r="Z553" s="80"/>
    </row>
    <row r="554">
      <c r="A554" s="81"/>
      <c r="B554" s="82"/>
      <c r="C554" s="82"/>
      <c r="D554" s="81"/>
      <c r="E554" s="81"/>
      <c r="F554" s="81"/>
      <c r="G554" s="81"/>
      <c r="H554" s="83"/>
      <c r="I554" s="83"/>
      <c r="J554" s="82"/>
      <c r="K554" s="89"/>
      <c r="L554" s="81"/>
      <c r="M554" s="80"/>
      <c r="N554" s="80"/>
      <c r="O554" s="80"/>
      <c r="P554" s="80"/>
      <c r="Q554" s="80"/>
      <c r="R554" s="80"/>
      <c r="S554" s="80"/>
      <c r="T554" s="80"/>
      <c r="U554" s="80"/>
      <c r="V554" s="80"/>
      <c r="W554" s="80"/>
      <c r="X554" s="80"/>
      <c r="Y554" s="80"/>
      <c r="Z554" s="80"/>
    </row>
    <row r="555">
      <c r="A555" s="81"/>
      <c r="B555" s="82"/>
      <c r="C555" s="82"/>
      <c r="D555" s="81"/>
      <c r="E555" s="81"/>
      <c r="F555" s="81"/>
      <c r="G555" s="81"/>
      <c r="H555" s="83"/>
      <c r="I555" s="83"/>
      <c r="J555" s="82"/>
      <c r="K555" s="89"/>
      <c r="L555" s="81"/>
      <c r="M555" s="80"/>
      <c r="N555" s="80"/>
      <c r="O555" s="80"/>
      <c r="P555" s="80"/>
      <c r="Q555" s="80"/>
      <c r="R555" s="80"/>
      <c r="S555" s="80"/>
      <c r="T555" s="80"/>
      <c r="U555" s="80"/>
      <c r="V555" s="80"/>
      <c r="W555" s="80"/>
      <c r="X555" s="80"/>
      <c r="Y555" s="80"/>
      <c r="Z555" s="80"/>
    </row>
    <row r="556">
      <c r="A556" s="81"/>
      <c r="B556" s="82"/>
      <c r="C556" s="82"/>
      <c r="D556" s="81"/>
      <c r="E556" s="81"/>
      <c r="F556" s="81"/>
      <c r="G556" s="81"/>
      <c r="H556" s="83"/>
      <c r="I556" s="83"/>
      <c r="J556" s="82"/>
      <c r="K556" s="89"/>
      <c r="L556" s="81"/>
      <c r="M556" s="80"/>
      <c r="N556" s="80"/>
      <c r="O556" s="80"/>
      <c r="P556" s="80"/>
      <c r="Q556" s="80"/>
      <c r="R556" s="80"/>
      <c r="S556" s="80"/>
      <c r="T556" s="80"/>
      <c r="U556" s="80"/>
      <c r="V556" s="80"/>
      <c r="W556" s="80"/>
      <c r="X556" s="80"/>
      <c r="Y556" s="80"/>
      <c r="Z556" s="80"/>
    </row>
    <row r="557">
      <c r="A557" s="81"/>
      <c r="B557" s="82"/>
      <c r="C557" s="82"/>
      <c r="D557" s="81"/>
      <c r="E557" s="81"/>
      <c r="F557" s="81"/>
      <c r="G557" s="81"/>
      <c r="H557" s="83"/>
      <c r="I557" s="83"/>
      <c r="J557" s="82"/>
      <c r="K557" s="89"/>
      <c r="L557" s="81"/>
      <c r="M557" s="80"/>
      <c r="N557" s="80"/>
      <c r="O557" s="80"/>
      <c r="P557" s="80"/>
      <c r="Q557" s="80"/>
      <c r="R557" s="80"/>
      <c r="S557" s="80"/>
      <c r="T557" s="80"/>
      <c r="U557" s="80"/>
      <c r="V557" s="80"/>
      <c r="W557" s="80"/>
      <c r="X557" s="80"/>
      <c r="Y557" s="80"/>
      <c r="Z557" s="80"/>
    </row>
    <row r="558">
      <c r="A558" s="81"/>
      <c r="B558" s="82"/>
      <c r="C558" s="82"/>
      <c r="D558" s="81"/>
      <c r="E558" s="81"/>
      <c r="F558" s="81"/>
      <c r="G558" s="81"/>
      <c r="H558" s="83"/>
      <c r="I558" s="83"/>
      <c r="J558" s="82"/>
      <c r="K558" s="89"/>
      <c r="L558" s="81"/>
      <c r="M558" s="80"/>
      <c r="N558" s="80"/>
      <c r="O558" s="80"/>
      <c r="P558" s="80"/>
      <c r="Q558" s="80"/>
      <c r="R558" s="80"/>
      <c r="S558" s="80"/>
      <c r="T558" s="80"/>
      <c r="U558" s="80"/>
      <c r="V558" s="80"/>
      <c r="W558" s="80"/>
      <c r="X558" s="80"/>
      <c r="Y558" s="80"/>
      <c r="Z558" s="80"/>
    </row>
    <row r="559">
      <c r="A559" s="81"/>
      <c r="B559" s="82"/>
      <c r="C559" s="82"/>
      <c r="D559" s="81"/>
      <c r="E559" s="81"/>
      <c r="F559" s="81"/>
      <c r="G559" s="81"/>
      <c r="H559" s="83"/>
      <c r="I559" s="83"/>
      <c r="J559" s="82"/>
      <c r="K559" s="89"/>
      <c r="L559" s="81"/>
      <c r="M559" s="80"/>
      <c r="N559" s="80"/>
      <c r="O559" s="80"/>
      <c r="P559" s="80"/>
      <c r="Q559" s="80"/>
      <c r="R559" s="80"/>
      <c r="S559" s="80"/>
      <c r="T559" s="80"/>
      <c r="U559" s="80"/>
      <c r="V559" s="80"/>
      <c r="W559" s="80"/>
      <c r="X559" s="80"/>
      <c r="Y559" s="80"/>
      <c r="Z559" s="80"/>
    </row>
    <row r="560">
      <c r="A560" s="81"/>
      <c r="B560" s="82"/>
      <c r="C560" s="82"/>
      <c r="D560" s="81"/>
      <c r="E560" s="81"/>
      <c r="F560" s="81"/>
      <c r="G560" s="81"/>
      <c r="H560" s="83"/>
      <c r="I560" s="83"/>
      <c r="J560" s="82"/>
      <c r="K560" s="89"/>
      <c r="L560" s="81"/>
      <c r="M560" s="80"/>
      <c r="N560" s="80"/>
      <c r="O560" s="80"/>
      <c r="P560" s="80"/>
      <c r="Q560" s="80"/>
      <c r="R560" s="80"/>
      <c r="S560" s="80"/>
      <c r="T560" s="80"/>
      <c r="U560" s="80"/>
      <c r="V560" s="80"/>
      <c r="W560" s="80"/>
      <c r="X560" s="80"/>
      <c r="Y560" s="80"/>
      <c r="Z560" s="80"/>
    </row>
    <row r="561">
      <c r="A561" s="81"/>
      <c r="B561" s="82"/>
      <c r="C561" s="82"/>
      <c r="D561" s="81"/>
      <c r="E561" s="81"/>
      <c r="F561" s="81"/>
      <c r="G561" s="81"/>
      <c r="H561" s="83"/>
      <c r="I561" s="83"/>
      <c r="J561" s="82"/>
      <c r="K561" s="89"/>
      <c r="L561" s="81"/>
      <c r="M561" s="80"/>
      <c r="N561" s="80"/>
      <c r="O561" s="80"/>
      <c r="P561" s="80"/>
      <c r="Q561" s="80"/>
      <c r="R561" s="80"/>
      <c r="S561" s="80"/>
      <c r="T561" s="80"/>
      <c r="U561" s="80"/>
      <c r="V561" s="80"/>
      <c r="W561" s="80"/>
      <c r="X561" s="80"/>
      <c r="Y561" s="80"/>
      <c r="Z561" s="80"/>
    </row>
    <row r="562">
      <c r="A562" s="81"/>
      <c r="B562" s="82"/>
      <c r="C562" s="82"/>
      <c r="D562" s="81"/>
      <c r="E562" s="81"/>
      <c r="F562" s="81"/>
      <c r="G562" s="81"/>
      <c r="H562" s="83"/>
      <c r="I562" s="83"/>
      <c r="J562" s="82"/>
      <c r="K562" s="89"/>
      <c r="L562" s="81"/>
      <c r="M562" s="80"/>
      <c r="N562" s="80"/>
      <c r="O562" s="80"/>
      <c r="P562" s="80"/>
      <c r="Q562" s="80"/>
      <c r="R562" s="80"/>
      <c r="S562" s="80"/>
      <c r="T562" s="80"/>
      <c r="U562" s="80"/>
      <c r="V562" s="80"/>
      <c r="W562" s="80"/>
      <c r="X562" s="80"/>
      <c r="Y562" s="80"/>
      <c r="Z562" s="80"/>
    </row>
    <row r="563">
      <c r="A563" s="81"/>
      <c r="B563" s="82"/>
      <c r="C563" s="82"/>
      <c r="D563" s="81"/>
      <c r="E563" s="81"/>
      <c r="F563" s="81"/>
      <c r="G563" s="81"/>
      <c r="H563" s="83"/>
      <c r="I563" s="83"/>
      <c r="J563" s="82"/>
      <c r="K563" s="89"/>
      <c r="L563" s="81"/>
      <c r="M563" s="80"/>
      <c r="N563" s="80"/>
      <c r="O563" s="80"/>
      <c r="P563" s="80"/>
      <c r="Q563" s="80"/>
      <c r="R563" s="80"/>
      <c r="S563" s="80"/>
      <c r="T563" s="80"/>
      <c r="U563" s="80"/>
      <c r="V563" s="80"/>
      <c r="W563" s="80"/>
      <c r="X563" s="80"/>
      <c r="Y563" s="80"/>
      <c r="Z563" s="80"/>
    </row>
    <row r="564">
      <c r="A564" s="81"/>
      <c r="B564" s="82"/>
      <c r="C564" s="82"/>
      <c r="D564" s="81"/>
      <c r="E564" s="81"/>
      <c r="F564" s="81"/>
      <c r="G564" s="81"/>
      <c r="H564" s="83"/>
      <c r="I564" s="83"/>
      <c r="J564" s="82"/>
      <c r="K564" s="89"/>
      <c r="L564" s="81"/>
      <c r="M564" s="80"/>
      <c r="N564" s="80"/>
      <c r="O564" s="80"/>
      <c r="P564" s="80"/>
      <c r="Q564" s="80"/>
      <c r="R564" s="80"/>
      <c r="S564" s="80"/>
      <c r="T564" s="80"/>
      <c r="U564" s="80"/>
      <c r="V564" s="80"/>
      <c r="W564" s="80"/>
      <c r="X564" s="80"/>
      <c r="Y564" s="80"/>
      <c r="Z564" s="80"/>
    </row>
    <row r="565">
      <c r="A565" s="81"/>
      <c r="B565" s="82"/>
      <c r="C565" s="82"/>
      <c r="D565" s="81"/>
      <c r="E565" s="81"/>
      <c r="F565" s="81"/>
      <c r="G565" s="81"/>
      <c r="H565" s="83"/>
      <c r="I565" s="83"/>
      <c r="J565" s="82"/>
      <c r="K565" s="89"/>
      <c r="L565" s="81"/>
      <c r="M565" s="80"/>
      <c r="N565" s="80"/>
      <c r="O565" s="80"/>
      <c r="P565" s="80"/>
      <c r="Q565" s="80"/>
      <c r="R565" s="80"/>
      <c r="S565" s="80"/>
      <c r="T565" s="80"/>
      <c r="U565" s="80"/>
      <c r="V565" s="80"/>
      <c r="W565" s="80"/>
      <c r="X565" s="80"/>
      <c r="Y565" s="80"/>
      <c r="Z565" s="80"/>
    </row>
    <row r="566">
      <c r="A566" s="81"/>
      <c r="B566" s="82"/>
      <c r="C566" s="82"/>
      <c r="D566" s="81"/>
      <c r="E566" s="81"/>
      <c r="F566" s="81"/>
      <c r="G566" s="81"/>
      <c r="H566" s="83"/>
      <c r="I566" s="83"/>
      <c r="J566" s="82"/>
      <c r="K566" s="89"/>
      <c r="L566" s="81"/>
      <c r="M566" s="80"/>
      <c r="N566" s="80"/>
      <c r="O566" s="80"/>
      <c r="P566" s="80"/>
      <c r="Q566" s="80"/>
      <c r="R566" s="80"/>
      <c r="S566" s="80"/>
      <c r="T566" s="80"/>
      <c r="U566" s="80"/>
      <c r="V566" s="80"/>
      <c r="W566" s="80"/>
      <c r="X566" s="80"/>
      <c r="Y566" s="80"/>
      <c r="Z566" s="80"/>
    </row>
    <row r="567">
      <c r="A567" s="81"/>
      <c r="B567" s="82"/>
      <c r="C567" s="82"/>
      <c r="D567" s="81"/>
      <c r="E567" s="81"/>
      <c r="F567" s="81"/>
      <c r="G567" s="81"/>
      <c r="H567" s="83"/>
      <c r="I567" s="83"/>
      <c r="J567" s="82"/>
      <c r="K567" s="89"/>
      <c r="L567" s="81"/>
      <c r="M567" s="80"/>
      <c r="N567" s="80"/>
      <c r="O567" s="80"/>
      <c r="P567" s="80"/>
      <c r="Q567" s="80"/>
      <c r="R567" s="80"/>
      <c r="S567" s="80"/>
      <c r="T567" s="80"/>
      <c r="U567" s="80"/>
      <c r="V567" s="80"/>
      <c r="W567" s="80"/>
      <c r="X567" s="80"/>
      <c r="Y567" s="80"/>
      <c r="Z567" s="80"/>
    </row>
    <row r="568">
      <c r="A568" s="81"/>
      <c r="B568" s="82"/>
      <c r="C568" s="82"/>
      <c r="D568" s="81"/>
      <c r="E568" s="81"/>
      <c r="F568" s="81"/>
      <c r="G568" s="81"/>
      <c r="H568" s="83"/>
      <c r="I568" s="83"/>
      <c r="J568" s="82"/>
      <c r="K568" s="89"/>
      <c r="L568" s="81"/>
      <c r="M568" s="80"/>
      <c r="N568" s="80"/>
      <c r="O568" s="80"/>
      <c r="P568" s="80"/>
      <c r="Q568" s="80"/>
      <c r="R568" s="80"/>
      <c r="S568" s="80"/>
      <c r="T568" s="80"/>
      <c r="U568" s="80"/>
      <c r="V568" s="80"/>
      <c r="W568" s="80"/>
      <c r="X568" s="80"/>
      <c r="Y568" s="80"/>
      <c r="Z568" s="80"/>
    </row>
    <row r="569">
      <c r="A569" s="81"/>
      <c r="B569" s="82"/>
      <c r="C569" s="82"/>
      <c r="D569" s="81"/>
      <c r="E569" s="81"/>
      <c r="F569" s="81"/>
      <c r="G569" s="81"/>
      <c r="H569" s="83"/>
      <c r="I569" s="83"/>
      <c r="J569" s="82"/>
      <c r="K569" s="89"/>
      <c r="L569" s="81"/>
      <c r="M569" s="80"/>
      <c r="N569" s="80"/>
      <c r="O569" s="80"/>
      <c r="P569" s="80"/>
      <c r="Q569" s="80"/>
      <c r="R569" s="80"/>
      <c r="S569" s="80"/>
      <c r="T569" s="80"/>
      <c r="U569" s="80"/>
      <c r="V569" s="80"/>
      <c r="W569" s="80"/>
      <c r="X569" s="80"/>
      <c r="Y569" s="80"/>
      <c r="Z569" s="80"/>
    </row>
    <row r="570">
      <c r="A570" s="81"/>
      <c r="B570" s="82"/>
      <c r="C570" s="82"/>
      <c r="D570" s="81"/>
      <c r="E570" s="81"/>
      <c r="F570" s="81"/>
      <c r="G570" s="81"/>
      <c r="H570" s="83"/>
      <c r="I570" s="83"/>
      <c r="J570" s="82"/>
      <c r="K570" s="89"/>
      <c r="L570" s="81"/>
      <c r="M570" s="80"/>
      <c r="N570" s="80"/>
      <c r="O570" s="80"/>
      <c r="P570" s="80"/>
      <c r="Q570" s="80"/>
      <c r="R570" s="80"/>
      <c r="S570" s="80"/>
      <c r="T570" s="80"/>
      <c r="U570" s="80"/>
      <c r="V570" s="80"/>
      <c r="W570" s="80"/>
      <c r="X570" s="80"/>
      <c r="Y570" s="80"/>
      <c r="Z570" s="80"/>
    </row>
    <row r="571">
      <c r="A571" s="81"/>
      <c r="B571" s="82"/>
      <c r="C571" s="82"/>
      <c r="D571" s="81"/>
      <c r="E571" s="81"/>
      <c r="F571" s="81"/>
      <c r="G571" s="81"/>
      <c r="H571" s="83"/>
      <c r="I571" s="83"/>
      <c r="J571" s="82"/>
      <c r="K571" s="89"/>
      <c r="L571" s="81"/>
      <c r="M571" s="80"/>
      <c r="N571" s="80"/>
      <c r="O571" s="80"/>
      <c r="P571" s="80"/>
      <c r="Q571" s="80"/>
      <c r="R571" s="80"/>
      <c r="S571" s="80"/>
      <c r="T571" s="80"/>
      <c r="U571" s="80"/>
      <c r="V571" s="80"/>
      <c r="W571" s="80"/>
      <c r="X571" s="80"/>
      <c r="Y571" s="80"/>
      <c r="Z571" s="80"/>
    </row>
    <row r="572">
      <c r="A572" s="81"/>
      <c r="B572" s="82"/>
      <c r="C572" s="82"/>
      <c r="D572" s="81"/>
      <c r="E572" s="81"/>
      <c r="F572" s="81"/>
      <c r="G572" s="81"/>
      <c r="H572" s="83"/>
      <c r="I572" s="83"/>
      <c r="J572" s="82"/>
      <c r="K572" s="89"/>
      <c r="L572" s="81"/>
      <c r="M572" s="80"/>
      <c r="N572" s="80"/>
      <c r="O572" s="80"/>
      <c r="P572" s="80"/>
      <c r="Q572" s="80"/>
      <c r="R572" s="80"/>
      <c r="S572" s="80"/>
      <c r="T572" s="80"/>
      <c r="U572" s="80"/>
      <c r="V572" s="80"/>
      <c r="W572" s="80"/>
      <c r="X572" s="80"/>
      <c r="Y572" s="80"/>
      <c r="Z572" s="80"/>
    </row>
    <row r="573">
      <c r="A573" s="81"/>
      <c r="B573" s="82"/>
      <c r="C573" s="82"/>
      <c r="D573" s="81"/>
      <c r="E573" s="81"/>
      <c r="F573" s="81"/>
      <c r="G573" s="81"/>
      <c r="H573" s="83"/>
      <c r="I573" s="83"/>
      <c r="J573" s="82"/>
      <c r="K573" s="89"/>
      <c r="L573" s="81"/>
      <c r="M573" s="80"/>
      <c r="N573" s="80"/>
      <c r="O573" s="80"/>
      <c r="P573" s="80"/>
      <c r="Q573" s="80"/>
      <c r="R573" s="80"/>
      <c r="S573" s="80"/>
      <c r="T573" s="80"/>
      <c r="U573" s="80"/>
      <c r="V573" s="80"/>
      <c r="W573" s="80"/>
      <c r="X573" s="80"/>
      <c r="Y573" s="80"/>
      <c r="Z573" s="80"/>
    </row>
    <row r="574">
      <c r="A574" s="81"/>
      <c r="B574" s="82"/>
      <c r="C574" s="82"/>
      <c r="D574" s="81"/>
      <c r="E574" s="81"/>
      <c r="F574" s="81"/>
      <c r="G574" s="81"/>
      <c r="H574" s="83"/>
      <c r="I574" s="83"/>
      <c r="J574" s="82"/>
      <c r="K574" s="89"/>
      <c r="L574" s="81"/>
      <c r="M574" s="80"/>
      <c r="N574" s="80"/>
      <c r="O574" s="80"/>
      <c r="P574" s="80"/>
      <c r="Q574" s="80"/>
      <c r="R574" s="80"/>
      <c r="S574" s="80"/>
      <c r="T574" s="80"/>
      <c r="U574" s="80"/>
      <c r="V574" s="80"/>
      <c r="W574" s="80"/>
      <c r="X574" s="80"/>
      <c r="Y574" s="80"/>
      <c r="Z574" s="80"/>
    </row>
    <row r="575">
      <c r="A575" s="81"/>
      <c r="B575" s="82"/>
      <c r="C575" s="82"/>
      <c r="D575" s="81"/>
      <c r="E575" s="81"/>
      <c r="F575" s="81"/>
      <c r="G575" s="81"/>
      <c r="H575" s="83"/>
      <c r="I575" s="83"/>
      <c r="J575" s="82"/>
      <c r="K575" s="89"/>
      <c r="L575" s="81"/>
      <c r="M575" s="80"/>
      <c r="N575" s="80"/>
      <c r="O575" s="80"/>
      <c r="P575" s="80"/>
      <c r="Q575" s="80"/>
      <c r="R575" s="80"/>
      <c r="S575" s="80"/>
      <c r="T575" s="80"/>
      <c r="U575" s="80"/>
      <c r="V575" s="80"/>
      <c r="W575" s="80"/>
      <c r="X575" s="80"/>
      <c r="Y575" s="80"/>
      <c r="Z575" s="80"/>
    </row>
    <row r="576">
      <c r="A576" s="81"/>
      <c r="B576" s="82"/>
      <c r="C576" s="82"/>
      <c r="D576" s="81"/>
      <c r="E576" s="81"/>
      <c r="F576" s="81"/>
      <c r="G576" s="81"/>
      <c r="H576" s="83"/>
      <c r="I576" s="83"/>
      <c r="J576" s="82"/>
      <c r="K576" s="89"/>
      <c r="L576" s="81"/>
      <c r="M576" s="80"/>
      <c r="N576" s="80"/>
      <c r="O576" s="80"/>
      <c r="P576" s="80"/>
      <c r="Q576" s="80"/>
      <c r="R576" s="80"/>
      <c r="S576" s="80"/>
      <c r="T576" s="80"/>
      <c r="U576" s="80"/>
      <c r="V576" s="80"/>
      <c r="W576" s="80"/>
      <c r="X576" s="80"/>
      <c r="Y576" s="80"/>
      <c r="Z576" s="80"/>
    </row>
    <row r="577">
      <c r="A577" s="81"/>
      <c r="B577" s="82"/>
      <c r="C577" s="82"/>
      <c r="D577" s="81"/>
      <c r="E577" s="81"/>
      <c r="F577" s="81"/>
      <c r="G577" s="81"/>
      <c r="H577" s="83"/>
      <c r="I577" s="83"/>
      <c r="J577" s="82"/>
      <c r="K577" s="89"/>
      <c r="L577" s="81"/>
      <c r="M577" s="80"/>
      <c r="N577" s="80"/>
      <c r="O577" s="80"/>
      <c r="P577" s="80"/>
      <c r="Q577" s="80"/>
      <c r="R577" s="80"/>
      <c r="S577" s="80"/>
      <c r="T577" s="80"/>
      <c r="U577" s="80"/>
      <c r="V577" s="80"/>
      <c r="W577" s="80"/>
      <c r="X577" s="80"/>
      <c r="Y577" s="80"/>
      <c r="Z577" s="80"/>
    </row>
    <row r="578">
      <c r="A578" s="81"/>
      <c r="B578" s="82"/>
      <c r="C578" s="82"/>
      <c r="D578" s="81"/>
      <c r="E578" s="81"/>
      <c r="F578" s="81"/>
      <c r="G578" s="81"/>
      <c r="H578" s="83"/>
      <c r="I578" s="83"/>
      <c r="J578" s="82"/>
      <c r="K578" s="89"/>
      <c r="L578" s="81"/>
      <c r="M578" s="80"/>
      <c r="N578" s="80"/>
      <c r="O578" s="80"/>
      <c r="P578" s="80"/>
      <c r="Q578" s="80"/>
      <c r="R578" s="80"/>
      <c r="S578" s="80"/>
      <c r="T578" s="80"/>
      <c r="U578" s="80"/>
      <c r="V578" s="80"/>
      <c r="W578" s="80"/>
      <c r="X578" s="80"/>
      <c r="Y578" s="80"/>
      <c r="Z578" s="80"/>
    </row>
    <row r="579">
      <c r="A579" s="81"/>
      <c r="B579" s="82"/>
      <c r="C579" s="82"/>
      <c r="D579" s="81"/>
      <c r="E579" s="81"/>
      <c r="F579" s="81"/>
      <c r="G579" s="81"/>
      <c r="H579" s="83"/>
      <c r="I579" s="83"/>
      <c r="J579" s="82"/>
      <c r="K579" s="89"/>
      <c r="L579" s="81"/>
      <c r="M579" s="80"/>
      <c r="N579" s="80"/>
      <c r="O579" s="80"/>
      <c r="P579" s="80"/>
      <c r="Q579" s="80"/>
      <c r="R579" s="80"/>
      <c r="S579" s="80"/>
      <c r="T579" s="80"/>
      <c r="U579" s="80"/>
      <c r="V579" s="80"/>
      <c r="W579" s="80"/>
      <c r="X579" s="80"/>
      <c r="Y579" s="80"/>
      <c r="Z579" s="80"/>
    </row>
    <row r="580">
      <c r="A580" s="81"/>
      <c r="B580" s="82"/>
      <c r="C580" s="82"/>
      <c r="D580" s="81"/>
      <c r="E580" s="81"/>
      <c r="F580" s="81"/>
      <c r="G580" s="81"/>
      <c r="H580" s="83"/>
      <c r="I580" s="83"/>
      <c r="J580" s="82"/>
      <c r="K580" s="89"/>
      <c r="L580" s="81"/>
      <c r="M580" s="80"/>
      <c r="N580" s="80"/>
      <c r="O580" s="80"/>
      <c r="P580" s="80"/>
      <c r="Q580" s="80"/>
      <c r="R580" s="80"/>
      <c r="S580" s="80"/>
      <c r="T580" s="80"/>
      <c r="U580" s="80"/>
      <c r="V580" s="80"/>
      <c r="W580" s="80"/>
      <c r="X580" s="80"/>
      <c r="Y580" s="80"/>
      <c r="Z580" s="80"/>
    </row>
    <row r="581">
      <c r="A581" s="81"/>
      <c r="B581" s="82"/>
      <c r="C581" s="82"/>
      <c r="D581" s="81"/>
      <c r="E581" s="81"/>
      <c r="F581" s="81"/>
      <c r="G581" s="81"/>
      <c r="H581" s="83"/>
      <c r="I581" s="83"/>
      <c r="J581" s="82"/>
      <c r="K581" s="89"/>
      <c r="L581" s="81"/>
      <c r="M581" s="80"/>
      <c r="N581" s="80"/>
      <c r="O581" s="80"/>
      <c r="P581" s="80"/>
      <c r="Q581" s="80"/>
      <c r="R581" s="80"/>
      <c r="S581" s="80"/>
      <c r="T581" s="80"/>
      <c r="U581" s="80"/>
      <c r="V581" s="80"/>
      <c r="W581" s="80"/>
      <c r="X581" s="80"/>
      <c r="Y581" s="80"/>
      <c r="Z581" s="80"/>
    </row>
    <row r="582">
      <c r="A582" s="81"/>
      <c r="B582" s="82"/>
      <c r="C582" s="82"/>
      <c r="D582" s="81"/>
      <c r="E582" s="81"/>
      <c r="F582" s="81"/>
      <c r="G582" s="81"/>
      <c r="H582" s="83"/>
      <c r="I582" s="83"/>
      <c r="J582" s="82"/>
      <c r="K582" s="89"/>
      <c r="L582" s="81"/>
      <c r="M582" s="80"/>
      <c r="N582" s="80"/>
      <c r="O582" s="80"/>
      <c r="P582" s="80"/>
      <c r="Q582" s="80"/>
      <c r="R582" s="80"/>
      <c r="S582" s="80"/>
      <c r="T582" s="80"/>
      <c r="U582" s="80"/>
      <c r="V582" s="80"/>
      <c r="W582" s="80"/>
      <c r="X582" s="80"/>
      <c r="Y582" s="80"/>
      <c r="Z582" s="80"/>
    </row>
    <row r="583">
      <c r="A583" s="81"/>
      <c r="B583" s="82"/>
      <c r="C583" s="82"/>
      <c r="D583" s="81"/>
      <c r="E583" s="81"/>
      <c r="F583" s="81"/>
      <c r="G583" s="81"/>
      <c r="H583" s="83"/>
      <c r="I583" s="83"/>
      <c r="J583" s="82"/>
      <c r="K583" s="89"/>
      <c r="L583" s="81"/>
      <c r="M583" s="80"/>
      <c r="N583" s="80"/>
      <c r="O583" s="80"/>
      <c r="P583" s="80"/>
      <c r="Q583" s="80"/>
      <c r="R583" s="80"/>
      <c r="S583" s="80"/>
      <c r="T583" s="80"/>
      <c r="U583" s="80"/>
      <c r="V583" s="80"/>
      <c r="W583" s="80"/>
      <c r="X583" s="80"/>
      <c r="Y583" s="80"/>
      <c r="Z583" s="80"/>
    </row>
    <row r="584">
      <c r="A584" s="81"/>
      <c r="B584" s="82"/>
      <c r="C584" s="82"/>
      <c r="D584" s="81"/>
      <c r="E584" s="81"/>
      <c r="F584" s="81"/>
      <c r="G584" s="81"/>
      <c r="H584" s="83"/>
      <c r="I584" s="83"/>
      <c r="J584" s="82"/>
      <c r="K584" s="89"/>
      <c r="L584" s="81"/>
      <c r="M584" s="80"/>
      <c r="N584" s="80"/>
      <c r="O584" s="80"/>
      <c r="P584" s="80"/>
      <c r="Q584" s="80"/>
      <c r="R584" s="80"/>
      <c r="S584" s="80"/>
      <c r="T584" s="80"/>
      <c r="U584" s="80"/>
      <c r="V584" s="80"/>
      <c r="W584" s="80"/>
      <c r="X584" s="80"/>
      <c r="Y584" s="80"/>
      <c r="Z584" s="80"/>
    </row>
    <row r="585">
      <c r="A585" s="81"/>
      <c r="B585" s="82"/>
      <c r="C585" s="82"/>
      <c r="D585" s="81"/>
      <c r="E585" s="81"/>
      <c r="F585" s="81"/>
      <c r="G585" s="81"/>
      <c r="H585" s="83"/>
      <c r="I585" s="83"/>
      <c r="J585" s="82"/>
      <c r="K585" s="89"/>
      <c r="L585" s="81"/>
      <c r="M585" s="80"/>
      <c r="N585" s="80"/>
      <c r="O585" s="80"/>
      <c r="P585" s="80"/>
      <c r="Q585" s="80"/>
      <c r="R585" s="80"/>
      <c r="S585" s="80"/>
      <c r="T585" s="80"/>
      <c r="U585" s="80"/>
      <c r="V585" s="80"/>
      <c r="W585" s="80"/>
      <c r="X585" s="80"/>
      <c r="Y585" s="80"/>
      <c r="Z585" s="80"/>
    </row>
    <row r="586">
      <c r="A586" s="81"/>
      <c r="B586" s="82"/>
      <c r="C586" s="82"/>
      <c r="D586" s="81"/>
      <c r="E586" s="81"/>
      <c r="F586" s="81"/>
      <c r="G586" s="81"/>
      <c r="H586" s="83"/>
      <c r="I586" s="83"/>
      <c r="J586" s="82"/>
      <c r="K586" s="89"/>
      <c r="L586" s="81"/>
      <c r="M586" s="80"/>
      <c r="N586" s="80"/>
      <c r="O586" s="80"/>
      <c r="P586" s="80"/>
      <c r="Q586" s="80"/>
      <c r="R586" s="80"/>
      <c r="S586" s="80"/>
      <c r="T586" s="80"/>
      <c r="U586" s="80"/>
      <c r="V586" s="80"/>
      <c r="W586" s="80"/>
      <c r="X586" s="80"/>
      <c r="Y586" s="80"/>
      <c r="Z586" s="80"/>
    </row>
    <row r="587">
      <c r="A587" s="81"/>
      <c r="B587" s="82"/>
      <c r="C587" s="82"/>
      <c r="D587" s="81"/>
      <c r="E587" s="81"/>
      <c r="F587" s="81"/>
      <c r="G587" s="81"/>
      <c r="H587" s="83"/>
      <c r="I587" s="83"/>
      <c r="J587" s="82"/>
      <c r="K587" s="89"/>
      <c r="L587" s="81"/>
      <c r="M587" s="80"/>
      <c r="N587" s="80"/>
      <c r="O587" s="80"/>
      <c r="P587" s="80"/>
      <c r="Q587" s="80"/>
      <c r="R587" s="80"/>
      <c r="S587" s="80"/>
      <c r="T587" s="80"/>
      <c r="U587" s="80"/>
      <c r="V587" s="80"/>
      <c r="W587" s="80"/>
      <c r="X587" s="80"/>
      <c r="Y587" s="80"/>
      <c r="Z587" s="80"/>
    </row>
    <row r="588">
      <c r="A588" s="81"/>
      <c r="B588" s="82"/>
      <c r="C588" s="82"/>
      <c r="D588" s="81"/>
      <c r="E588" s="81"/>
      <c r="F588" s="81"/>
      <c r="G588" s="81"/>
      <c r="H588" s="83"/>
      <c r="I588" s="83"/>
      <c r="J588" s="82"/>
      <c r="K588" s="89"/>
      <c r="L588" s="81"/>
      <c r="M588" s="80"/>
      <c r="N588" s="80"/>
      <c r="O588" s="80"/>
      <c r="P588" s="80"/>
      <c r="Q588" s="80"/>
      <c r="R588" s="80"/>
      <c r="S588" s="80"/>
      <c r="T588" s="80"/>
      <c r="U588" s="80"/>
      <c r="V588" s="80"/>
      <c r="W588" s="80"/>
      <c r="X588" s="80"/>
      <c r="Y588" s="80"/>
      <c r="Z588" s="80"/>
    </row>
    <row r="589">
      <c r="A589" s="81"/>
      <c r="B589" s="82"/>
      <c r="C589" s="82"/>
      <c r="D589" s="81"/>
      <c r="E589" s="81"/>
      <c r="F589" s="81"/>
      <c r="G589" s="81"/>
      <c r="H589" s="83"/>
      <c r="I589" s="83"/>
      <c r="J589" s="82"/>
      <c r="K589" s="89"/>
      <c r="L589" s="81"/>
      <c r="M589" s="80"/>
      <c r="N589" s="80"/>
      <c r="O589" s="80"/>
      <c r="P589" s="80"/>
      <c r="Q589" s="80"/>
      <c r="R589" s="80"/>
      <c r="S589" s="80"/>
      <c r="T589" s="80"/>
      <c r="U589" s="80"/>
      <c r="V589" s="80"/>
      <c r="W589" s="80"/>
      <c r="X589" s="80"/>
      <c r="Y589" s="80"/>
      <c r="Z589" s="80"/>
    </row>
    <row r="590">
      <c r="A590" s="81"/>
      <c r="B590" s="82"/>
      <c r="C590" s="82"/>
      <c r="D590" s="81"/>
      <c r="E590" s="81"/>
      <c r="F590" s="81"/>
      <c r="G590" s="81"/>
      <c r="H590" s="83"/>
      <c r="I590" s="83"/>
      <c r="J590" s="82"/>
      <c r="K590" s="89"/>
      <c r="L590" s="81"/>
      <c r="M590" s="80"/>
      <c r="N590" s="80"/>
      <c r="O590" s="80"/>
      <c r="P590" s="80"/>
      <c r="Q590" s="80"/>
      <c r="R590" s="80"/>
      <c r="S590" s="80"/>
      <c r="T590" s="80"/>
      <c r="U590" s="80"/>
      <c r="V590" s="80"/>
      <c r="W590" s="80"/>
      <c r="X590" s="80"/>
      <c r="Y590" s="80"/>
      <c r="Z590" s="80"/>
    </row>
    <row r="591">
      <c r="A591" s="81"/>
      <c r="B591" s="82"/>
      <c r="C591" s="82"/>
      <c r="D591" s="81"/>
      <c r="E591" s="81"/>
      <c r="F591" s="81"/>
      <c r="G591" s="81"/>
      <c r="H591" s="83"/>
      <c r="I591" s="83"/>
      <c r="J591" s="82"/>
      <c r="K591" s="89"/>
      <c r="L591" s="81"/>
      <c r="M591" s="80"/>
      <c r="N591" s="80"/>
      <c r="O591" s="80"/>
      <c r="P591" s="80"/>
      <c r="Q591" s="80"/>
      <c r="R591" s="80"/>
      <c r="S591" s="80"/>
      <c r="T591" s="80"/>
      <c r="U591" s="80"/>
      <c r="V591" s="80"/>
      <c r="W591" s="80"/>
      <c r="X591" s="80"/>
      <c r="Y591" s="80"/>
      <c r="Z591" s="80"/>
    </row>
    <row r="592">
      <c r="A592" s="81"/>
      <c r="B592" s="82"/>
      <c r="C592" s="82"/>
      <c r="D592" s="81"/>
      <c r="E592" s="81"/>
      <c r="F592" s="81"/>
      <c r="G592" s="81"/>
      <c r="H592" s="83"/>
      <c r="I592" s="83"/>
      <c r="J592" s="82"/>
      <c r="K592" s="89"/>
      <c r="L592" s="81"/>
      <c r="M592" s="80"/>
      <c r="N592" s="80"/>
      <c r="O592" s="80"/>
      <c r="P592" s="80"/>
      <c r="Q592" s="80"/>
      <c r="R592" s="80"/>
      <c r="S592" s="80"/>
      <c r="T592" s="80"/>
      <c r="U592" s="80"/>
      <c r="V592" s="80"/>
      <c r="W592" s="80"/>
      <c r="X592" s="80"/>
      <c r="Y592" s="80"/>
      <c r="Z592" s="80"/>
    </row>
    <row r="593">
      <c r="A593" s="81"/>
      <c r="B593" s="82"/>
      <c r="C593" s="82"/>
      <c r="D593" s="81"/>
      <c r="E593" s="81"/>
      <c r="F593" s="81"/>
      <c r="G593" s="81"/>
      <c r="H593" s="83"/>
      <c r="I593" s="83"/>
      <c r="J593" s="82"/>
      <c r="K593" s="89"/>
      <c r="L593" s="81"/>
      <c r="M593" s="80"/>
      <c r="N593" s="80"/>
      <c r="O593" s="80"/>
      <c r="P593" s="80"/>
      <c r="Q593" s="80"/>
      <c r="R593" s="80"/>
      <c r="S593" s="80"/>
      <c r="T593" s="80"/>
      <c r="U593" s="80"/>
      <c r="V593" s="80"/>
      <c r="W593" s="80"/>
      <c r="X593" s="80"/>
      <c r="Y593" s="80"/>
      <c r="Z593" s="80"/>
    </row>
    <row r="594">
      <c r="A594" s="81"/>
      <c r="B594" s="82"/>
      <c r="C594" s="82"/>
      <c r="D594" s="81"/>
      <c r="E594" s="81"/>
      <c r="F594" s="81"/>
      <c r="G594" s="81"/>
      <c r="H594" s="83"/>
      <c r="I594" s="83"/>
      <c r="J594" s="82"/>
      <c r="K594" s="89"/>
      <c r="L594" s="81"/>
      <c r="M594" s="80"/>
      <c r="N594" s="80"/>
      <c r="O594" s="80"/>
      <c r="P594" s="80"/>
      <c r="Q594" s="80"/>
      <c r="R594" s="80"/>
      <c r="S594" s="80"/>
      <c r="T594" s="80"/>
      <c r="U594" s="80"/>
      <c r="V594" s="80"/>
      <c r="W594" s="80"/>
      <c r="X594" s="80"/>
      <c r="Y594" s="80"/>
      <c r="Z594" s="80"/>
    </row>
    <row r="595">
      <c r="A595" s="81"/>
      <c r="B595" s="82"/>
      <c r="C595" s="82"/>
      <c r="D595" s="81"/>
      <c r="E595" s="81"/>
      <c r="F595" s="81"/>
      <c r="G595" s="81"/>
      <c r="H595" s="83"/>
      <c r="I595" s="83"/>
      <c r="J595" s="82"/>
      <c r="K595" s="89"/>
      <c r="L595" s="81"/>
      <c r="M595" s="80"/>
      <c r="N595" s="80"/>
      <c r="O595" s="80"/>
      <c r="P595" s="80"/>
      <c r="Q595" s="80"/>
      <c r="R595" s="80"/>
      <c r="S595" s="80"/>
      <c r="T595" s="80"/>
      <c r="U595" s="80"/>
      <c r="V595" s="80"/>
      <c r="W595" s="80"/>
      <c r="X595" s="80"/>
      <c r="Y595" s="80"/>
      <c r="Z595" s="80"/>
    </row>
    <row r="596">
      <c r="A596" s="81"/>
      <c r="B596" s="82"/>
      <c r="C596" s="82"/>
      <c r="D596" s="81"/>
      <c r="E596" s="81"/>
      <c r="F596" s="81"/>
      <c r="G596" s="81"/>
      <c r="H596" s="83"/>
      <c r="I596" s="83"/>
      <c r="J596" s="82"/>
      <c r="K596" s="89"/>
      <c r="L596" s="81"/>
      <c r="M596" s="80"/>
      <c r="N596" s="80"/>
      <c r="O596" s="80"/>
      <c r="P596" s="80"/>
      <c r="Q596" s="80"/>
      <c r="R596" s="80"/>
      <c r="S596" s="80"/>
      <c r="T596" s="80"/>
      <c r="U596" s="80"/>
      <c r="V596" s="80"/>
      <c r="W596" s="80"/>
      <c r="X596" s="80"/>
      <c r="Y596" s="80"/>
      <c r="Z596" s="80"/>
    </row>
    <row r="597">
      <c r="A597" s="81"/>
      <c r="B597" s="82"/>
      <c r="C597" s="82"/>
      <c r="D597" s="81"/>
      <c r="E597" s="81"/>
      <c r="F597" s="81"/>
      <c r="G597" s="81"/>
      <c r="H597" s="83"/>
      <c r="I597" s="83"/>
      <c r="J597" s="82"/>
      <c r="K597" s="89"/>
      <c r="L597" s="81"/>
      <c r="M597" s="80"/>
      <c r="N597" s="80"/>
      <c r="O597" s="80"/>
      <c r="P597" s="80"/>
      <c r="Q597" s="80"/>
      <c r="R597" s="80"/>
      <c r="S597" s="80"/>
      <c r="T597" s="80"/>
      <c r="U597" s="80"/>
      <c r="V597" s="80"/>
      <c r="W597" s="80"/>
      <c r="X597" s="80"/>
      <c r="Y597" s="80"/>
      <c r="Z597" s="80"/>
    </row>
    <row r="598">
      <c r="A598" s="81"/>
      <c r="B598" s="82"/>
      <c r="C598" s="82"/>
      <c r="D598" s="81"/>
      <c r="E598" s="81"/>
      <c r="F598" s="81"/>
      <c r="G598" s="81"/>
      <c r="H598" s="83"/>
      <c r="I598" s="83"/>
      <c r="J598" s="82"/>
      <c r="K598" s="89"/>
      <c r="L598" s="81"/>
      <c r="M598" s="80"/>
      <c r="N598" s="80"/>
      <c r="O598" s="80"/>
      <c r="P598" s="80"/>
      <c r="Q598" s="80"/>
      <c r="R598" s="80"/>
      <c r="S598" s="80"/>
      <c r="T598" s="80"/>
      <c r="U598" s="80"/>
      <c r="V598" s="80"/>
      <c r="W598" s="80"/>
      <c r="X598" s="80"/>
      <c r="Y598" s="80"/>
      <c r="Z598" s="80"/>
    </row>
    <row r="599">
      <c r="A599" s="81"/>
      <c r="B599" s="82"/>
      <c r="C599" s="82"/>
      <c r="D599" s="81"/>
      <c r="E599" s="81"/>
      <c r="F599" s="81"/>
      <c r="G599" s="81"/>
      <c r="H599" s="83"/>
      <c r="I599" s="83"/>
      <c r="J599" s="82"/>
      <c r="K599" s="89"/>
      <c r="L599" s="81"/>
      <c r="M599" s="80"/>
      <c r="N599" s="80"/>
      <c r="O599" s="80"/>
      <c r="P599" s="80"/>
      <c r="Q599" s="80"/>
      <c r="R599" s="80"/>
      <c r="S599" s="80"/>
      <c r="T599" s="80"/>
      <c r="U599" s="80"/>
      <c r="V599" s="80"/>
      <c r="W599" s="80"/>
      <c r="X599" s="80"/>
      <c r="Y599" s="80"/>
      <c r="Z599" s="80"/>
    </row>
    <row r="600">
      <c r="A600" s="81"/>
      <c r="B600" s="82"/>
      <c r="C600" s="82"/>
      <c r="D600" s="81"/>
      <c r="E600" s="81"/>
      <c r="F600" s="81"/>
      <c r="G600" s="81"/>
      <c r="H600" s="83"/>
      <c r="I600" s="83"/>
      <c r="J600" s="82"/>
      <c r="K600" s="89"/>
      <c r="L600" s="81"/>
      <c r="M600" s="80"/>
      <c r="N600" s="80"/>
      <c r="O600" s="80"/>
      <c r="P600" s="80"/>
      <c r="Q600" s="80"/>
      <c r="R600" s="80"/>
      <c r="S600" s="80"/>
      <c r="T600" s="80"/>
      <c r="U600" s="80"/>
      <c r="V600" s="80"/>
      <c r="W600" s="80"/>
      <c r="X600" s="80"/>
      <c r="Y600" s="80"/>
      <c r="Z600" s="80"/>
    </row>
    <row r="601">
      <c r="A601" s="81"/>
      <c r="B601" s="82"/>
      <c r="C601" s="82"/>
      <c r="D601" s="81"/>
      <c r="E601" s="81"/>
      <c r="F601" s="81"/>
      <c r="G601" s="81"/>
      <c r="H601" s="83"/>
      <c r="I601" s="83"/>
      <c r="J601" s="82"/>
      <c r="K601" s="89"/>
      <c r="L601" s="81"/>
      <c r="M601" s="80"/>
      <c r="N601" s="80"/>
      <c r="O601" s="80"/>
      <c r="P601" s="80"/>
      <c r="Q601" s="80"/>
      <c r="R601" s="80"/>
      <c r="S601" s="80"/>
      <c r="T601" s="80"/>
      <c r="U601" s="80"/>
      <c r="V601" s="80"/>
      <c r="W601" s="80"/>
      <c r="X601" s="80"/>
      <c r="Y601" s="80"/>
      <c r="Z601" s="80"/>
    </row>
    <row r="602">
      <c r="A602" s="81"/>
      <c r="B602" s="82"/>
      <c r="C602" s="82"/>
      <c r="D602" s="81"/>
      <c r="E602" s="81"/>
      <c r="F602" s="81"/>
      <c r="G602" s="81"/>
      <c r="H602" s="83"/>
      <c r="I602" s="83"/>
      <c r="J602" s="82"/>
      <c r="K602" s="89"/>
      <c r="L602" s="81"/>
      <c r="M602" s="80"/>
      <c r="N602" s="80"/>
      <c r="O602" s="80"/>
      <c r="P602" s="80"/>
      <c r="Q602" s="80"/>
      <c r="R602" s="80"/>
      <c r="S602" s="80"/>
      <c r="T602" s="80"/>
      <c r="U602" s="80"/>
      <c r="V602" s="80"/>
      <c r="W602" s="80"/>
      <c r="X602" s="80"/>
      <c r="Y602" s="80"/>
      <c r="Z602" s="80"/>
    </row>
    <row r="603">
      <c r="A603" s="81"/>
      <c r="B603" s="82"/>
      <c r="C603" s="82"/>
      <c r="D603" s="81"/>
      <c r="E603" s="81"/>
      <c r="F603" s="81"/>
      <c r="G603" s="81"/>
      <c r="H603" s="83"/>
      <c r="I603" s="83"/>
      <c r="J603" s="82"/>
      <c r="K603" s="89"/>
      <c r="L603" s="81"/>
      <c r="M603" s="80"/>
      <c r="N603" s="80"/>
      <c r="O603" s="80"/>
      <c r="P603" s="80"/>
      <c r="Q603" s="80"/>
      <c r="R603" s="80"/>
      <c r="S603" s="80"/>
      <c r="T603" s="80"/>
      <c r="U603" s="80"/>
      <c r="V603" s="80"/>
      <c r="W603" s="80"/>
      <c r="X603" s="80"/>
      <c r="Y603" s="80"/>
      <c r="Z603" s="80"/>
    </row>
    <row r="604">
      <c r="A604" s="81"/>
      <c r="B604" s="82"/>
      <c r="C604" s="82"/>
      <c r="D604" s="81"/>
      <c r="E604" s="81"/>
      <c r="F604" s="81"/>
      <c r="G604" s="81"/>
      <c r="H604" s="83"/>
      <c r="I604" s="83"/>
      <c r="J604" s="82"/>
      <c r="K604" s="89"/>
      <c r="L604" s="81"/>
      <c r="M604" s="80"/>
      <c r="N604" s="80"/>
      <c r="O604" s="80"/>
      <c r="P604" s="80"/>
      <c r="Q604" s="80"/>
      <c r="R604" s="80"/>
      <c r="S604" s="80"/>
      <c r="T604" s="80"/>
      <c r="U604" s="80"/>
      <c r="V604" s="80"/>
      <c r="W604" s="80"/>
      <c r="X604" s="80"/>
      <c r="Y604" s="80"/>
      <c r="Z604" s="80"/>
    </row>
    <row r="605">
      <c r="A605" s="81"/>
      <c r="B605" s="82"/>
      <c r="C605" s="82"/>
      <c r="D605" s="81"/>
      <c r="E605" s="81"/>
      <c r="F605" s="81"/>
      <c r="G605" s="81"/>
      <c r="H605" s="83"/>
      <c r="I605" s="83"/>
      <c r="J605" s="82"/>
      <c r="K605" s="89"/>
      <c r="L605" s="81"/>
      <c r="M605" s="80"/>
      <c r="N605" s="80"/>
      <c r="O605" s="80"/>
      <c r="P605" s="80"/>
      <c r="Q605" s="80"/>
      <c r="R605" s="80"/>
      <c r="S605" s="80"/>
      <c r="T605" s="80"/>
      <c r="U605" s="80"/>
      <c r="V605" s="80"/>
      <c r="W605" s="80"/>
      <c r="X605" s="80"/>
      <c r="Y605" s="80"/>
      <c r="Z605" s="80"/>
    </row>
    <row r="606">
      <c r="A606" s="81"/>
      <c r="B606" s="82"/>
      <c r="C606" s="82"/>
      <c r="D606" s="81"/>
      <c r="E606" s="81"/>
      <c r="F606" s="81"/>
      <c r="G606" s="81"/>
      <c r="H606" s="83"/>
      <c r="I606" s="83"/>
      <c r="J606" s="82"/>
      <c r="K606" s="89"/>
      <c r="L606" s="81"/>
      <c r="M606" s="80"/>
      <c r="N606" s="80"/>
      <c r="O606" s="80"/>
      <c r="P606" s="80"/>
      <c r="Q606" s="80"/>
      <c r="R606" s="80"/>
      <c r="S606" s="80"/>
      <c r="T606" s="80"/>
      <c r="U606" s="80"/>
      <c r="V606" s="80"/>
      <c r="W606" s="80"/>
      <c r="X606" s="80"/>
      <c r="Y606" s="80"/>
      <c r="Z606" s="80"/>
    </row>
    <row r="607">
      <c r="A607" s="81"/>
      <c r="B607" s="82"/>
      <c r="C607" s="82"/>
      <c r="D607" s="81"/>
      <c r="E607" s="81"/>
      <c r="F607" s="81"/>
      <c r="G607" s="81"/>
      <c r="H607" s="83"/>
      <c r="I607" s="83"/>
      <c r="J607" s="82"/>
      <c r="K607" s="89"/>
      <c r="L607" s="81"/>
      <c r="M607" s="80"/>
      <c r="N607" s="80"/>
      <c r="O607" s="80"/>
      <c r="P607" s="80"/>
      <c r="Q607" s="80"/>
      <c r="R607" s="80"/>
      <c r="S607" s="80"/>
      <c r="T607" s="80"/>
      <c r="U607" s="80"/>
      <c r="V607" s="80"/>
      <c r="W607" s="80"/>
      <c r="X607" s="80"/>
      <c r="Y607" s="80"/>
      <c r="Z607" s="80"/>
    </row>
    <row r="608">
      <c r="A608" s="81"/>
      <c r="B608" s="82"/>
      <c r="C608" s="82"/>
      <c r="D608" s="81"/>
      <c r="E608" s="81"/>
      <c r="F608" s="81"/>
      <c r="G608" s="81"/>
      <c r="H608" s="83"/>
      <c r="I608" s="83"/>
      <c r="J608" s="82"/>
      <c r="K608" s="89"/>
      <c r="L608" s="81"/>
      <c r="M608" s="80"/>
      <c r="N608" s="80"/>
      <c r="O608" s="80"/>
      <c r="P608" s="80"/>
      <c r="Q608" s="80"/>
      <c r="R608" s="80"/>
      <c r="S608" s="80"/>
      <c r="T608" s="80"/>
      <c r="U608" s="80"/>
      <c r="V608" s="80"/>
      <c r="W608" s="80"/>
      <c r="X608" s="80"/>
      <c r="Y608" s="80"/>
      <c r="Z608" s="80"/>
    </row>
    <row r="609">
      <c r="A609" s="81"/>
      <c r="B609" s="82"/>
      <c r="C609" s="82"/>
      <c r="D609" s="81"/>
      <c r="E609" s="81"/>
      <c r="F609" s="81"/>
      <c r="G609" s="81"/>
      <c r="H609" s="83"/>
      <c r="I609" s="83"/>
      <c r="J609" s="82"/>
      <c r="K609" s="89"/>
      <c r="L609" s="81"/>
      <c r="M609" s="80"/>
      <c r="N609" s="80"/>
      <c r="O609" s="80"/>
      <c r="P609" s="80"/>
      <c r="Q609" s="80"/>
      <c r="R609" s="80"/>
      <c r="S609" s="80"/>
      <c r="T609" s="80"/>
      <c r="U609" s="80"/>
      <c r="V609" s="80"/>
      <c r="W609" s="80"/>
      <c r="X609" s="80"/>
      <c r="Y609" s="80"/>
      <c r="Z609" s="80"/>
    </row>
    <row r="610">
      <c r="A610" s="81"/>
      <c r="B610" s="82"/>
      <c r="C610" s="82"/>
      <c r="D610" s="81"/>
      <c r="E610" s="81"/>
      <c r="F610" s="81"/>
      <c r="G610" s="81"/>
      <c r="H610" s="83"/>
      <c r="I610" s="83"/>
      <c r="J610" s="82"/>
      <c r="K610" s="89"/>
      <c r="L610" s="81"/>
      <c r="M610" s="80"/>
      <c r="N610" s="80"/>
      <c r="O610" s="80"/>
      <c r="P610" s="80"/>
      <c r="Q610" s="80"/>
      <c r="R610" s="80"/>
      <c r="S610" s="80"/>
      <c r="T610" s="80"/>
      <c r="U610" s="80"/>
      <c r="V610" s="80"/>
      <c r="W610" s="80"/>
      <c r="X610" s="80"/>
      <c r="Y610" s="80"/>
      <c r="Z610" s="80"/>
    </row>
    <row r="611">
      <c r="A611" s="81"/>
      <c r="B611" s="82"/>
      <c r="C611" s="82"/>
      <c r="D611" s="81"/>
      <c r="E611" s="81"/>
      <c r="F611" s="81"/>
      <c r="G611" s="81"/>
      <c r="H611" s="83"/>
      <c r="I611" s="83"/>
      <c r="J611" s="82"/>
      <c r="K611" s="89"/>
      <c r="L611" s="81"/>
      <c r="M611" s="80"/>
      <c r="N611" s="80"/>
      <c r="O611" s="80"/>
      <c r="P611" s="80"/>
      <c r="Q611" s="80"/>
      <c r="R611" s="80"/>
      <c r="S611" s="80"/>
      <c r="T611" s="80"/>
      <c r="U611" s="80"/>
      <c r="V611" s="80"/>
      <c r="W611" s="80"/>
      <c r="X611" s="80"/>
      <c r="Y611" s="80"/>
      <c r="Z611" s="80"/>
    </row>
    <row r="612">
      <c r="A612" s="81"/>
      <c r="B612" s="82"/>
      <c r="C612" s="82"/>
      <c r="D612" s="81"/>
      <c r="E612" s="81"/>
      <c r="F612" s="81"/>
      <c r="G612" s="81"/>
      <c r="H612" s="83"/>
      <c r="I612" s="83"/>
      <c r="J612" s="82"/>
      <c r="K612" s="89"/>
      <c r="L612" s="81"/>
      <c r="M612" s="80"/>
      <c r="N612" s="80"/>
      <c r="O612" s="80"/>
      <c r="P612" s="80"/>
      <c r="Q612" s="80"/>
      <c r="R612" s="80"/>
      <c r="S612" s="80"/>
      <c r="T612" s="80"/>
      <c r="U612" s="80"/>
      <c r="V612" s="80"/>
      <c r="W612" s="80"/>
      <c r="X612" s="80"/>
      <c r="Y612" s="80"/>
      <c r="Z612" s="80"/>
    </row>
    <row r="613">
      <c r="A613" s="81"/>
      <c r="B613" s="82"/>
      <c r="C613" s="82"/>
      <c r="D613" s="81"/>
      <c r="E613" s="81"/>
      <c r="F613" s="81"/>
      <c r="G613" s="81"/>
      <c r="H613" s="83"/>
      <c r="I613" s="83"/>
      <c r="J613" s="82"/>
      <c r="K613" s="89"/>
      <c r="L613" s="81"/>
      <c r="M613" s="80"/>
      <c r="N613" s="80"/>
      <c r="O613" s="80"/>
      <c r="P613" s="80"/>
      <c r="Q613" s="80"/>
      <c r="R613" s="80"/>
      <c r="S613" s="80"/>
      <c r="T613" s="80"/>
      <c r="U613" s="80"/>
      <c r="V613" s="80"/>
      <c r="W613" s="80"/>
      <c r="X613" s="80"/>
      <c r="Y613" s="80"/>
      <c r="Z613" s="80"/>
    </row>
    <row r="614">
      <c r="A614" s="81"/>
      <c r="B614" s="82"/>
      <c r="C614" s="82"/>
      <c r="D614" s="81"/>
      <c r="E614" s="81"/>
      <c r="F614" s="81"/>
      <c r="G614" s="81"/>
      <c r="H614" s="83"/>
      <c r="I614" s="83"/>
      <c r="J614" s="82"/>
      <c r="K614" s="89"/>
      <c r="L614" s="81"/>
      <c r="M614" s="80"/>
      <c r="N614" s="80"/>
      <c r="O614" s="80"/>
      <c r="P614" s="80"/>
      <c r="Q614" s="80"/>
      <c r="R614" s="80"/>
      <c r="S614" s="80"/>
      <c r="T614" s="80"/>
      <c r="U614" s="80"/>
      <c r="V614" s="80"/>
      <c r="W614" s="80"/>
      <c r="X614" s="80"/>
      <c r="Y614" s="80"/>
      <c r="Z614" s="80"/>
    </row>
    <row r="615">
      <c r="A615" s="81"/>
      <c r="B615" s="82"/>
      <c r="C615" s="82"/>
      <c r="D615" s="81"/>
      <c r="E615" s="81"/>
      <c r="F615" s="81"/>
      <c r="G615" s="81"/>
      <c r="H615" s="83"/>
      <c r="I615" s="83"/>
      <c r="J615" s="82"/>
      <c r="K615" s="89"/>
      <c r="L615" s="81"/>
      <c r="M615" s="80"/>
      <c r="N615" s="80"/>
      <c r="O615" s="80"/>
      <c r="P615" s="80"/>
      <c r="Q615" s="80"/>
      <c r="R615" s="80"/>
      <c r="S615" s="80"/>
      <c r="T615" s="80"/>
      <c r="U615" s="80"/>
      <c r="V615" s="80"/>
      <c r="W615" s="80"/>
      <c r="X615" s="80"/>
      <c r="Y615" s="80"/>
      <c r="Z615" s="80"/>
    </row>
    <row r="616">
      <c r="A616" s="81"/>
      <c r="B616" s="82"/>
      <c r="C616" s="82"/>
      <c r="D616" s="81"/>
      <c r="E616" s="81"/>
      <c r="F616" s="81"/>
      <c r="G616" s="81"/>
      <c r="H616" s="83"/>
      <c r="I616" s="83"/>
      <c r="J616" s="82"/>
      <c r="K616" s="89"/>
      <c r="L616" s="81"/>
      <c r="M616" s="80"/>
      <c r="N616" s="80"/>
      <c r="O616" s="80"/>
      <c r="P616" s="80"/>
      <c r="Q616" s="80"/>
      <c r="R616" s="80"/>
      <c r="S616" s="80"/>
      <c r="T616" s="80"/>
      <c r="U616" s="80"/>
      <c r="V616" s="80"/>
      <c r="W616" s="80"/>
      <c r="X616" s="80"/>
      <c r="Y616" s="80"/>
      <c r="Z616" s="80"/>
    </row>
    <row r="617">
      <c r="A617" s="81"/>
      <c r="B617" s="82"/>
      <c r="C617" s="82"/>
      <c r="D617" s="81"/>
      <c r="E617" s="81"/>
      <c r="F617" s="81"/>
      <c r="G617" s="81"/>
      <c r="H617" s="83"/>
      <c r="I617" s="83"/>
      <c r="J617" s="82"/>
      <c r="K617" s="89"/>
      <c r="L617" s="81"/>
      <c r="M617" s="80"/>
      <c r="N617" s="80"/>
      <c r="O617" s="80"/>
      <c r="P617" s="80"/>
      <c r="Q617" s="80"/>
      <c r="R617" s="80"/>
      <c r="S617" s="80"/>
      <c r="T617" s="80"/>
      <c r="U617" s="80"/>
      <c r="V617" s="80"/>
      <c r="W617" s="80"/>
      <c r="X617" s="80"/>
      <c r="Y617" s="80"/>
      <c r="Z617" s="80"/>
    </row>
    <row r="618">
      <c r="A618" s="81"/>
      <c r="B618" s="82"/>
      <c r="C618" s="82"/>
      <c r="D618" s="81"/>
      <c r="E618" s="81"/>
      <c r="F618" s="81"/>
      <c r="G618" s="81"/>
      <c r="H618" s="83"/>
      <c r="I618" s="83"/>
      <c r="J618" s="82"/>
      <c r="K618" s="89"/>
      <c r="L618" s="81"/>
      <c r="M618" s="80"/>
      <c r="N618" s="80"/>
      <c r="O618" s="80"/>
      <c r="P618" s="80"/>
      <c r="Q618" s="80"/>
      <c r="R618" s="80"/>
      <c r="S618" s="80"/>
      <c r="T618" s="80"/>
      <c r="U618" s="80"/>
      <c r="V618" s="80"/>
      <c r="W618" s="80"/>
      <c r="X618" s="80"/>
      <c r="Y618" s="80"/>
      <c r="Z618" s="80"/>
    </row>
    <row r="619">
      <c r="A619" s="81"/>
      <c r="B619" s="82"/>
      <c r="C619" s="82"/>
      <c r="D619" s="81"/>
      <c r="E619" s="81"/>
      <c r="F619" s="81"/>
      <c r="G619" s="81"/>
      <c r="H619" s="83"/>
      <c r="I619" s="83"/>
      <c r="J619" s="82"/>
      <c r="K619" s="89"/>
      <c r="L619" s="81"/>
      <c r="M619" s="80"/>
      <c r="N619" s="80"/>
      <c r="O619" s="80"/>
      <c r="P619" s="80"/>
      <c r="Q619" s="80"/>
      <c r="R619" s="80"/>
      <c r="S619" s="80"/>
      <c r="T619" s="80"/>
      <c r="U619" s="80"/>
      <c r="V619" s="80"/>
      <c r="W619" s="80"/>
      <c r="X619" s="80"/>
      <c r="Y619" s="80"/>
      <c r="Z619" s="80"/>
    </row>
    <row r="620">
      <c r="A620" s="81"/>
      <c r="B620" s="82"/>
      <c r="C620" s="82"/>
      <c r="D620" s="81"/>
      <c r="E620" s="81"/>
      <c r="F620" s="81"/>
      <c r="G620" s="81"/>
      <c r="H620" s="83"/>
      <c r="I620" s="83"/>
      <c r="J620" s="82"/>
      <c r="K620" s="89"/>
      <c r="L620" s="81"/>
      <c r="M620" s="80"/>
      <c r="N620" s="80"/>
      <c r="O620" s="80"/>
      <c r="P620" s="80"/>
      <c r="Q620" s="80"/>
      <c r="R620" s="80"/>
      <c r="S620" s="80"/>
      <c r="T620" s="80"/>
      <c r="U620" s="80"/>
      <c r="V620" s="80"/>
      <c r="W620" s="80"/>
      <c r="X620" s="80"/>
      <c r="Y620" s="80"/>
      <c r="Z620" s="80"/>
    </row>
    <row r="621">
      <c r="A621" s="81"/>
      <c r="B621" s="82"/>
      <c r="C621" s="82"/>
      <c r="D621" s="81"/>
      <c r="E621" s="81"/>
      <c r="F621" s="81"/>
      <c r="G621" s="81"/>
      <c r="H621" s="83"/>
      <c r="I621" s="83"/>
      <c r="J621" s="82"/>
      <c r="K621" s="89"/>
      <c r="L621" s="81"/>
      <c r="M621" s="80"/>
      <c r="N621" s="80"/>
      <c r="O621" s="80"/>
      <c r="P621" s="80"/>
      <c r="Q621" s="80"/>
      <c r="R621" s="80"/>
      <c r="S621" s="80"/>
      <c r="T621" s="80"/>
      <c r="U621" s="80"/>
      <c r="V621" s="80"/>
      <c r="W621" s="80"/>
      <c r="X621" s="80"/>
      <c r="Y621" s="80"/>
      <c r="Z621" s="80"/>
    </row>
    <row r="622">
      <c r="A622" s="81"/>
      <c r="B622" s="82"/>
      <c r="C622" s="82"/>
      <c r="D622" s="81"/>
      <c r="E622" s="81"/>
      <c r="F622" s="81"/>
      <c r="G622" s="81"/>
      <c r="H622" s="83"/>
      <c r="I622" s="83"/>
      <c r="J622" s="82"/>
      <c r="K622" s="89"/>
      <c r="L622" s="81"/>
      <c r="M622" s="80"/>
      <c r="N622" s="80"/>
      <c r="O622" s="80"/>
      <c r="P622" s="80"/>
      <c r="Q622" s="80"/>
      <c r="R622" s="80"/>
      <c r="S622" s="80"/>
      <c r="T622" s="80"/>
      <c r="U622" s="80"/>
      <c r="V622" s="80"/>
      <c r="W622" s="80"/>
      <c r="X622" s="80"/>
      <c r="Y622" s="80"/>
      <c r="Z622" s="80"/>
    </row>
    <row r="623">
      <c r="A623" s="81"/>
      <c r="B623" s="82"/>
      <c r="C623" s="82"/>
      <c r="D623" s="81"/>
      <c r="E623" s="81"/>
      <c r="F623" s="81"/>
      <c r="G623" s="81"/>
      <c r="H623" s="83"/>
      <c r="I623" s="83"/>
      <c r="J623" s="82"/>
      <c r="K623" s="89"/>
      <c r="L623" s="81"/>
      <c r="M623" s="80"/>
      <c r="N623" s="80"/>
      <c r="O623" s="80"/>
      <c r="P623" s="80"/>
      <c r="Q623" s="80"/>
      <c r="R623" s="80"/>
      <c r="S623" s="80"/>
      <c r="T623" s="80"/>
      <c r="U623" s="80"/>
      <c r="V623" s="80"/>
      <c r="W623" s="80"/>
      <c r="X623" s="80"/>
      <c r="Y623" s="80"/>
      <c r="Z623" s="80"/>
    </row>
    <row r="624">
      <c r="A624" s="81"/>
      <c r="B624" s="82"/>
      <c r="C624" s="82"/>
      <c r="D624" s="81"/>
      <c r="E624" s="81"/>
      <c r="F624" s="81"/>
      <c r="G624" s="81"/>
      <c r="H624" s="83"/>
      <c r="I624" s="83"/>
      <c r="J624" s="82"/>
      <c r="K624" s="89"/>
      <c r="L624" s="81"/>
      <c r="M624" s="80"/>
      <c r="N624" s="80"/>
      <c r="O624" s="80"/>
      <c r="P624" s="80"/>
      <c r="Q624" s="80"/>
      <c r="R624" s="80"/>
      <c r="S624" s="80"/>
      <c r="T624" s="80"/>
      <c r="U624" s="80"/>
      <c r="V624" s="80"/>
      <c r="W624" s="80"/>
      <c r="X624" s="80"/>
      <c r="Y624" s="80"/>
      <c r="Z624" s="80"/>
    </row>
    <row r="625">
      <c r="A625" s="81"/>
      <c r="B625" s="82"/>
      <c r="C625" s="82"/>
      <c r="D625" s="81"/>
      <c r="E625" s="81"/>
      <c r="F625" s="81"/>
      <c r="G625" s="81"/>
      <c r="H625" s="83"/>
      <c r="I625" s="83"/>
      <c r="J625" s="82"/>
      <c r="K625" s="89"/>
      <c r="L625" s="81"/>
      <c r="M625" s="80"/>
      <c r="N625" s="80"/>
      <c r="O625" s="80"/>
      <c r="P625" s="80"/>
      <c r="Q625" s="80"/>
      <c r="R625" s="80"/>
      <c r="S625" s="80"/>
      <c r="T625" s="80"/>
      <c r="U625" s="80"/>
      <c r="V625" s="80"/>
      <c r="W625" s="80"/>
      <c r="X625" s="80"/>
      <c r="Y625" s="80"/>
      <c r="Z625" s="80"/>
    </row>
    <row r="626">
      <c r="A626" s="81"/>
      <c r="B626" s="82"/>
      <c r="C626" s="82"/>
      <c r="D626" s="81"/>
      <c r="E626" s="81"/>
      <c r="F626" s="81"/>
      <c r="G626" s="81"/>
      <c r="H626" s="83"/>
      <c r="I626" s="83"/>
      <c r="J626" s="82"/>
      <c r="K626" s="89"/>
      <c r="L626" s="81"/>
      <c r="M626" s="80"/>
      <c r="N626" s="80"/>
      <c r="O626" s="80"/>
      <c r="P626" s="80"/>
      <c r="Q626" s="80"/>
      <c r="R626" s="80"/>
      <c r="S626" s="80"/>
      <c r="T626" s="80"/>
      <c r="U626" s="80"/>
      <c r="V626" s="80"/>
      <c r="W626" s="80"/>
      <c r="X626" s="80"/>
      <c r="Y626" s="80"/>
      <c r="Z626" s="80"/>
    </row>
    <row r="627">
      <c r="A627" s="81"/>
      <c r="B627" s="82"/>
      <c r="C627" s="82"/>
      <c r="D627" s="81"/>
      <c r="E627" s="81"/>
      <c r="F627" s="81"/>
      <c r="G627" s="81"/>
      <c r="H627" s="83"/>
      <c r="I627" s="83"/>
      <c r="J627" s="82"/>
      <c r="K627" s="89"/>
      <c r="L627" s="81"/>
      <c r="M627" s="80"/>
      <c r="N627" s="80"/>
      <c r="O627" s="80"/>
      <c r="P627" s="80"/>
      <c r="Q627" s="80"/>
      <c r="R627" s="80"/>
      <c r="S627" s="80"/>
      <c r="T627" s="80"/>
      <c r="U627" s="80"/>
      <c r="V627" s="80"/>
      <c r="W627" s="80"/>
      <c r="X627" s="80"/>
      <c r="Y627" s="80"/>
      <c r="Z627" s="80"/>
    </row>
    <row r="628">
      <c r="A628" s="81"/>
      <c r="B628" s="82"/>
      <c r="C628" s="82"/>
      <c r="D628" s="81"/>
      <c r="E628" s="81"/>
      <c r="F628" s="81"/>
      <c r="G628" s="81"/>
      <c r="H628" s="83"/>
      <c r="I628" s="83"/>
      <c r="J628" s="82"/>
      <c r="K628" s="89"/>
      <c r="L628" s="81"/>
      <c r="M628" s="80"/>
      <c r="N628" s="80"/>
      <c r="O628" s="80"/>
      <c r="P628" s="80"/>
      <c r="Q628" s="80"/>
      <c r="R628" s="80"/>
      <c r="S628" s="80"/>
      <c r="T628" s="80"/>
      <c r="U628" s="80"/>
      <c r="V628" s="80"/>
      <c r="W628" s="80"/>
      <c r="X628" s="80"/>
      <c r="Y628" s="80"/>
      <c r="Z628" s="80"/>
    </row>
    <row r="629">
      <c r="A629" s="81"/>
      <c r="B629" s="82"/>
      <c r="C629" s="82"/>
      <c r="D629" s="81"/>
      <c r="E629" s="81"/>
      <c r="F629" s="81"/>
      <c r="G629" s="81"/>
      <c r="H629" s="83"/>
      <c r="I629" s="83"/>
      <c r="J629" s="82"/>
      <c r="K629" s="89"/>
      <c r="L629" s="81"/>
      <c r="M629" s="80"/>
      <c r="N629" s="80"/>
      <c r="O629" s="80"/>
      <c r="P629" s="80"/>
      <c r="Q629" s="80"/>
      <c r="R629" s="80"/>
      <c r="S629" s="80"/>
      <c r="T629" s="80"/>
      <c r="U629" s="80"/>
      <c r="V629" s="80"/>
      <c r="W629" s="80"/>
      <c r="X629" s="80"/>
      <c r="Y629" s="80"/>
      <c r="Z629" s="80"/>
    </row>
    <row r="630">
      <c r="A630" s="81"/>
      <c r="B630" s="82"/>
      <c r="C630" s="82"/>
      <c r="D630" s="81"/>
      <c r="E630" s="81"/>
      <c r="F630" s="81"/>
      <c r="G630" s="81"/>
      <c r="H630" s="83"/>
      <c r="I630" s="83"/>
      <c r="J630" s="82"/>
      <c r="K630" s="89"/>
      <c r="L630" s="81"/>
      <c r="M630" s="80"/>
      <c r="N630" s="80"/>
      <c r="O630" s="80"/>
      <c r="P630" s="80"/>
      <c r="Q630" s="80"/>
      <c r="R630" s="80"/>
      <c r="S630" s="80"/>
      <c r="T630" s="80"/>
      <c r="U630" s="80"/>
      <c r="V630" s="80"/>
      <c r="W630" s="80"/>
      <c r="X630" s="80"/>
      <c r="Y630" s="80"/>
      <c r="Z630" s="80"/>
    </row>
    <row r="631">
      <c r="A631" s="81"/>
      <c r="B631" s="82"/>
      <c r="C631" s="82"/>
      <c r="D631" s="81"/>
      <c r="E631" s="81"/>
      <c r="F631" s="81"/>
      <c r="G631" s="81"/>
      <c r="H631" s="83"/>
      <c r="I631" s="83"/>
      <c r="J631" s="82"/>
      <c r="K631" s="89"/>
      <c r="L631" s="81"/>
      <c r="M631" s="80"/>
      <c r="N631" s="80"/>
      <c r="O631" s="80"/>
      <c r="P631" s="80"/>
      <c r="Q631" s="80"/>
      <c r="R631" s="80"/>
      <c r="S631" s="80"/>
      <c r="T631" s="80"/>
      <c r="U631" s="80"/>
      <c r="V631" s="80"/>
      <c r="W631" s="80"/>
      <c r="X631" s="80"/>
      <c r="Y631" s="80"/>
      <c r="Z631" s="80"/>
    </row>
    <row r="632">
      <c r="A632" s="81"/>
      <c r="B632" s="82"/>
      <c r="C632" s="82"/>
      <c r="D632" s="81"/>
      <c r="E632" s="81"/>
      <c r="F632" s="81"/>
      <c r="G632" s="81"/>
      <c r="H632" s="83"/>
      <c r="I632" s="83"/>
      <c r="J632" s="82"/>
      <c r="K632" s="89"/>
      <c r="L632" s="81"/>
      <c r="M632" s="80"/>
      <c r="N632" s="80"/>
      <c r="O632" s="80"/>
      <c r="P632" s="80"/>
      <c r="Q632" s="80"/>
      <c r="R632" s="80"/>
      <c r="S632" s="80"/>
      <c r="T632" s="80"/>
      <c r="U632" s="80"/>
      <c r="V632" s="80"/>
      <c r="W632" s="80"/>
      <c r="X632" s="80"/>
      <c r="Y632" s="80"/>
      <c r="Z632" s="80"/>
    </row>
    <row r="633">
      <c r="A633" s="81"/>
      <c r="B633" s="82"/>
      <c r="C633" s="82"/>
      <c r="D633" s="81"/>
      <c r="E633" s="81"/>
      <c r="F633" s="81"/>
      <c r="G633" s="81"/>
      <c r="H633" s="83"/>
      <c r="I633" s="83"/>
      <c r="J633" s="82"/>
      <c r="K633" s="89"/>
      <c r="L633" s="81"/>
      <c r="M633" s="80"/>
      <c r="N633" s="80"/>
      <c r="O633" s="80"/>
      <c r="P633" s="80"/>
      <c r="Q633" s="80"/>
      <c r="R633" s="80"/>
      <c r="S633" s="80"/>
      <c r="T633" s="80"/>
      <c r="U633" s="80"/>
      <c r="V633" s="80"/>
      <c r="W633" s="80"/>
      <c r="X633" s="80"/>
      <c r="Y633" s="80"/>
      <c r="Z633" s="80"/>
    </row>
    <row r="634">
      <c r="A634" s="81"/>
      <c r="B634" s="82"/>
      <c r="C634" s="82"/>
      <c r="D634" s="81"/>
      <c r="E634" s="81"/>
      <c r="F634" s="81"/>
      <c r="G634" s="81"/>
      <c r="H634" s="83"/>
      <c r="I634" s="83"/>
      <c r="J634" s="82"/>
      <c r="K634" s="89"/>
      <c r="L634" s="81"/>
      <c r="M634" s="80"/>
      <c r="N634" s="80"/>
      <c r="O634" s="80"/>
      <c r="P634" s="80"/>
      <c r="Q634" s="80"/>
      <c r="R634" s="80"/>
      <c r="S634" s="80"/>
      <c r="T634" s="80"/>
      <c r="U634" s="80"/>
      <c r="V634" s="80"/>
      <c r="W634" s="80"/>
      <c r="X634" s="80"/>
      <c r="Y634" s="80"/>
      <c r="Z634" s="80"/>
    </row>
    <row r="635">
      <c r="A635" s="81"/>
      <c r="B635" s="82"/>
      <c r="C635" s="82"/>
      <c r="D635" s="81"/>
      <c r="E635" s="81"/>
      <c r="F635" s="81"/>
      <c r="G635" s="81"/>
      <c r="H635" s="83"/>
      <c r="I635" s="83"/>
      <c r="J635" s="82"/>
      <c r="K635" s="89"/>
      <c r="L635" s="81"/>
      <c r="M635" s="80"/>
      <c r="N635" s="80"/>
      <c r="O635" s="80"/>
      <c r="P635" s="80"/>
      <c r="Q635" s="80"/>
      <c r="R635" s="80"/>
      <c r="S635" s="80"/>
      <c r="T635" s="80"/>
      <c r="U635" s="80"/>
      <c r="V635" s="80"/>
      <c r="W635" s="80"/>
      <c r="X635" s="80"/>
      <c r="Y635" s="80"/>
      <c r="Z635" s="80"/>
    </row>
    <row r="636">
      <c r="A636" s="81"/>
      <c r="B636" s="82"/>
      <c r="C636" s="82"/>
      <c r="D636" s="81"/>
      <c r="E636" s="81"/>
      <c r="F636" s="81"/>
      <c r="G636" s="81"/>
      <c r="H636" s="83"/>
      <c r="I636" s="83"/>
      <c r="J636" s="82"/>
      <c r="K636" s="89"/>
      <c r="L636" s="81"/>
      <c r="M636" s="80"/>
      <c r="N636" s="80"/>
      <c r="O636" s="80"/>
      <c r="P636" s="80"/>
      <c r="Q636" s="80"/>
      <c r="R636" s="80"/>
      <c r="S636" s="80"/>
      <c r="T636" s="80"/>
      <c r="U636" s="80"/>
      <c r="V636" s="80"/>
      <c r="W636" s="80"/>
      <c r="X636" s="80"/>
      <c r="Y636" s="80"/>
      <c r="Z636" s="80"/>
    </row>
    <row r="637">
      <c r="A637" s="81"/>
      <c r="B637" s="82"/>
      <c r="C637" s="82"/>
      <c r="D637" s="81"/>
      <c r="E637" s="81"/>
      <c r="F637" s="81"/>
      <c r="G637" s="81"/>
      <c r="H637" s="83"/>
      <c r="I637" s="83"/>
      <c r="J637" s="82"/>
      <c r="K637" s="89"/>
      <c r="L637" s="81"/>
      <c r="M637" s="80"/>
      <c r="N637" s="80"/>
      <c r="O637" s="80"/>
      <c r="P637" s="80"/>
      <c r="Q637" s="80"/>
      <c r="R637" s="80"/>
      <c r="S637" s="80"/>
      <c r="T637" s="80"/>
      <c r="U637" s="80"/>
      <c r="V637" s="80"/>
      <c r="W637" s="80"/>
      <c r="X637" s="80"/>
      <c r="Y637" s="80"/>
      <c r="Z637" s="80"/>
    </row>
    <row r="638">
      <c r="A638" s="81"/>
      <c r="B638" s="82"/>
      <c r="C638" s="82"/>
      <c r="D638" s="81"/>
      <c r="E638" s="81"/>
      <c r="F638" s="81"/>
      <c r="G638" s="81"/>
      <c r="H638" s="83"/>
      <c r="I638" s="83"/>
      <c r="J638" s="82"/>
      <c r="K638" s="89"/>
      <c r="L638" s="81"/>
      <c r="M638" s="80"/>
      <c r="N638" s="80"/>
      <c r="O638" s="80"/>
      <c r="P638" s="80"/>
      <c r="Q638" s="80"/>
      <c r="R638" s="80"/>
      <c r="S638" s="80"/>
      <c r="T638" s="80"/>
      <c r="U638" s="80"/>
      <c r="V638" s="80"/>
      <c r="W638" s="80"/>
      <c r="X638" s="80"/>
      <c r="Y638" s="80"/>
      <c r="Z638" s="80"/>
    </row>
    <row r="639">
      <c r="A639" s="81"/>
      <c r="B639" s="82"/>
      <c r="C639" s="82"/>
      <c r="D639" s="81"/>
      <c r="E639" s="81"/>
      <c r="F639" s="81"/>
      <c r="G639" s="81"/>
      <c r="H639" s="83"/>
      <c r="I639" s="83"/>
      <c r="J639" s="82"/>
      <c r="K639" s="89"/>
      <c r="L639" s="81"/>
      <c r="M639" s="80"/>
      <c r="N639" s="80"/>
      <c r="O639" s="80"/>
      <c r="P639" s="80"/>
      <c r="Q639" s="80"/>
      <c r="R639" s="80"/>
      <c r="S639" s="80"/>
      <c r="T639" s="80"/>
      <c r="U639" s="80"/>
      <c r="V639" s="80"/>
      <c r="W639" s="80"/>
      <c r="X639" s="80"/>
      <c r="Y639" s="80"/>
      <c r="Z639" s="80"/>
    </row>
    <row r="640">
      <c r="A640" s="81"/>
      <c r="B640" s="82"/>
      <c r="C640" s="82"/>
      <c r="D640" s="81"/>
      <c r="E640" s="81"/>
      <c r="F640" s="81"/>
      <c r="G640" s="81"/>
      <c r="H640" s="83"/>
      <c r="I640" s="83"/>
      <c r="J640" s="82"/>
      <c r="K640" s="89"/>
      <c r="L640" s="81"/>
      <c r="M640" s="80"/>
      <c r="N640" s="80"/>
      <c r="O640" s="80"/>
      <c r="P640" s="80"/>
      <c r="Q640" s="80"/>
      <c r="R640" s="80"/>
      <c r="S640" s="80"/>
      <c r="T640" s="80"/>
      <c r="U640" s="80"/>
      <c r="V640" s="80"/>
      <c r="W640" s="80"/>
      <c r="X640" s="80"/>
      <c r="Y640" s="80"/>
      <c r="Z640" s="80"/>
    </row>
    <row r="641">
      <c r="A641" s="81"/>
      <c r="B641" s="80"/>
      <c r="C641" s="80"/>
      <c r="D641" s="81"/>
      <c r="E641" s="81"/>
      <c r="F641" s="81"/>
      <c r="G641" s="81"/>
      <c r="H641" s="83"/>
      <c r="I641" s="83"/>
      <c r="J641" s="80"/>
      <c r="K641" s="89"/>
      <c r="L641" s="81"/>
      <c r="M641" s="80"/>
      <c r="N641" s="80"/>
      <c r="O641" s="80"/>
      <c r="P641" s="80"/>
      <c r="Q641" s="80"/>
      <c r="R641" s="80"/>
      <c r="S641" s="80"/>
      <c r="T641" s="80"/>
      <c r="U641" s="80"/>
      <c r="V641" s="80"/>
      <c r="W641" s="80"/>
      <c r="X641" s="80"/>
      <c r="Y641" s="80"/>
      <c r="Z641" s="80"/>
    </row>
    <row r="642">
      <c r="A642" s="81"/>
      <c r="B642" s="80"/>
      <c r="C642" s="80"/>
      <c r="D642" s="81"/>
      <c r="E642" s="81"/>
      <c r="F642" s="81"/>
      <c r="G642" s="81"/>
      <c r="H642" s="83"/>
      <c r="I642" s="83"/>
      <c r="J642" s="80"/>
      <c r="K642" s="89"/>
      <c r="L642" s="81"/>
      <c r="M642" s="80"/>
      <c r="N642" s="80"/>
      <c r="O642" s="80"/>
      <c r="P642" s="80"/>
      <c r="Q642" s="80"/>
      <c r="R642" s="80"/>
      <c r="S642" s="80"/>
      <c r="T642" s="80"/>
      <c r="U642" s="80"/>
      <c r="V642" s="80"/>
      <c r="W642" s="80"/>
      <c r="X642" s="80"/>
      <c r="Y642" s="80"/>
      <c r="Z642" s="80"/>
    </row>
    <row r="643">
      <c r="A643" s="81"/>
      <c r="B643" s="80"/>
      <c r="C643" s="80"/>
      <c r="D643" s="81"/>
      <c r="E643" s="81"/>
      <c r="F643" s="81"/>
      <c r="G643" s="81"/>
      <c r="H643" s="83"/>
      <c r="I643" s="83"/>
      <c r="J643" s="80"/>
      <c r="K643" s="89"/>
      <c r="L643" s="81"/>
      <c r="M643" s="80"/>
      <c r="N643" s="80"/>
      <c r="O643" s="80"/>
      <c r="P643" s="80"/>
      <c r="Q643" s="80"/>
      <c r="R643" s="80"/>
      <c r="S643" s="80"/>
      <c r="T643" s="80"/>
      <c r="U643" s="80"/>
      <c r="V643" s="80"/>
      <c r="W643" s="80"/>
      <c r="X643" s="80"/>
      <c r="Y643" s="80"/>
      <c r="Z643" s="80"/>
    </row>
    <row r="644">
      <c r="A644" s="81"/>
      <c r="B644" s="80"/>
      <c r="C644" s="80"/>
      <c r="D644" s="81"/>
      <c r="E644" s="81"/>
      <c r="F644" s="81"/>
      <c r="G644" s="81"/>
      <c r="H644" s="83"/>
      <c r="I644" s="83"/>
      <c r="J644" s="80"/>
      <c r="K644" s="89"/>
      <c r="L644" s="81"/>
      <c r="M644" s="80"/>
      <c r="N644" s="80"/>
      <c r="O644" s="80"/>
      <c r="P644" s="80"/>
      <c r="Q644" s="80"/>
      <c r="R644" s="80"/>
      <c r="S644" s="80"/>
      <c r="T644" s="80"/>
      <c r="U644" s="80"/>
      <c r="V644" s="80"/>
      <c r="W644" s="80"/>
      <c r="X644" s="80"/>
      <c r="Y644" s="80"/>
      <c r="Z644" s="80"/>
    </row>
    <row r="645">
      <c r="A645" s="81"/>
      <c r="B645" s="80"/>
      <c r="C645" s="80"/>
      <c r="D645" s="81"/>
      <c r="E645" s="81"/>
      <c r="F645" s="81"/>
      <c r="G645" s="81"/>
      <c r="H645" s="83"/>
      <c r="I645" s="83"/>
      <c r="J645" s="80"/>
      <c r="K645" s="89"/>
      <c r="L645" s="81"/>
      <c r="M645" s="80"/>
      <c r="N645" s="80"/>
      <c r="O645" s="80"/>
      <c r="P645" s="80"/>
      <c r="Q645" s="80"/>
      <c r="R645" s="80"/>
      <c r="S645" s="80"/>
      <c r="T645" s="80"/>
      <c r="U645" s="80"/>
      <c r="V645" s="80"/>
      <c r="W645" s="80"/>
      <c r="X645" s="80"/>
      <c r="Y645" s="80"/>
      <c r="Z645" s="80"/>
    </row>
    <row r="646">
      <c r="A646" s="81"/>
      <c r="B646" s="80"/>
      <c r="C646" s="80"/>
      <c r="D646" s="81"/>
      <c r="E646" s="81"/>
      <c r="F646" s="81"/>
      <c r="G646" s="81"/>
      <c r="H646" s="83"/>
      <c r="I646" s="83"/>
      <c r="J646" s="80"/>
      <c r="K646" s="89"/>
      <c r="L646" s="81"/>
      <c r="M646" s="80"/>
      <c r="N646" s="80"/>
      <c r="O646" s="80"/>
      <c r="P646" s="80"/>
      <c r="Q646" s="80"/>
      <c r="R646" s="80"/>
      <c r="S646" s="80"/>
      <c r="T646" s="80"/>
      <c r="U646" s="80"/>
      <c r="V646" s="80"/>
      <c r="W646" s="80"/>
      <c r="X646" s="80"/>
      <c r="Y646" s="80"/>
      <c r="Z646" s="80"/>
    </row>
    <row r="647">
      <c r="A647" s="81"/>
      <c r="B647" s="80"/>
      <c r="C647" s="80"/>
      <c r="D647" s="81"/>
      <c r="E647" s="81"/>
      <c r="F647" s="81"/>
      <c r="G647" s="81"/>
      <c r="H647" s="83"/>
      <c r="I647" s="83"/>
      <c r="J647" s="80"/>
      <c r="K647" s="89"/>
      <c r="L647" s="81"/>
      <c r="M647" s="80"/>
      <c r="N647" s="80"/>
      <c r="O647" s="80"/>
      <c r="P647" s="80"/>
      <c r="Q647" s="80"/>
      <c r="R647" s="80"/>
      <c r="S647" s="80"/>
      <c r="T647" s="80"/>
      <c r="U647" s="80"/>
      <c r="V647" s="80"/>
      <c r="W647" s="80"/>
      <c r="X647" s="80"/>
      <c r="Y647" s="80"/>
      <c r="Z647" s="80"/>
    </row>
    <row r="648">
      <c r="A648" s="81"/>
      <c r="B648" s="80"/>
      <c r="C648" s="80"/>
      <c r="D648" s="81"/>
      <c r="E648" s="81"/>
      <c r="F648" s="81"/>
      <c r="G648" s="81"/>
      <c r="H648" s="83"/>
      <c r="I648" s="83"/>
      <c r="J648" s="80"/>
      <c r="K648" s="89"/>
      <c r="L648" s="81"/>
      <c r="M648" s="80"/>
      <c r="N648" s="80"/>
      <c r="O648" s="80"/>
      <c r="P648" s="80"/>
      <c r="Q648" s="80"/>
      <c r="R648" s="80"/>
      <c r="S648" s="80"/>
      <c r="T648" s="80"/>
      <c r="U648" s="80"/>
      <c r="V648" s="80"/>
      <c r="W648" s="80"/>
      <c r="X648" s="80"/>
      <c r="Y648" s="80"/>
      <c r="Z648" s="80"/>
    </row>
    <row r="649">
      <c r="A649" s="81"/>
      <c r="B649" s="80"/>
      <c r="C649" s="80"/>
      <c r="D649" s="81"/>
      <c r="E649" s="81"/>
      <c r="F649" s="81"/>
      <c r="G649" s="81"/>
      <c r="H649" s="83"/>
      <c r="I649" s="83"/>
      <c r="J649" s="80"/>
      <c r="K649" s="89"/>
      <c r="L649" s="81"/>
      <c r="M649" s="80"/>
      <c r="N649" s="80"/>
      <c r="O649" s="80"/>
      <c r="P649" s="80"/>
      <c r="Q649" s="80"/>
      <c r="R649" s="80"/>
      <c r="S649" s="80"/>
      <c r="T649" s="80"/>
      <c r="U649" s="80"/>
      <c r="V649" s="80"/>
      <c r="W649" s="80"/>
      <c r="X649" s="80"/>
      <c r="Y649" s="80"/>
      <c r="Z649" s="80"/>
    </row>
    <row r="650">
      <c r="A650" s="81"/>
      <c r="B650" s="80"/>
      <c r="C650" s="80"/>
      <c r="D650" s="81"/>
      <c r="E650" s="81"/>
      <c r="F650" s="81"/>
      <c r="G650" s="81"/>
      <c r="H650" s="83"/>
      <c r="I650" s="83"/>
      <c r="J650" s="80"/>
      <c r="K650" s="89"/>
      <c r="L650" s="81"/>
      <c r="M650" s="80"/>
      <c r="N650" s="80"/>
      <c r="O650" s="80"/>
      <c r="P650" s="80"/>
      <c r="Q650" s="80"/>
      <c r="R650" s="80"/>
      <c r="S650" s="80"/>
      <c r="T650" s="80"/>
      <c r="U650" s="80"/>
      <c r="V650" s="80"/>
      <c r="W650" s="80"/>
      <c r="X650" s="80"/>
      <c r="Y650" s="80"/>
      <c r="Z650" s="80"/>
    </row>
    <row r="651">
      <c r="A651" s="81"/>
      <c r="B651" s="80"/>
      <c r="C651" s="80"/>
      <c r="D651" s="81"/>
      <c r="E651" s="81"/>
      <c r="F651" s="81"/>
      <c r="G651" s="81"/>
      <c r="H651" s="83"/>
      <c r="I651" s="83"/>
      <c r="J651" s="80"/>
      <c r="K651" s="89"/>
      <c r="L651" s="81"/>
      <c r="M651" s="80"/>
      <c r="N651" s="80"/>
      <c r="O651" s="80"/>
      <c r="P651" s="80"/>
      <c r="Q651" s="80"/>
      <c r="R651" s="80"/>
      <c r="S651" s="80"/>
      <c r="T651" s="80"/>
      <c r="U651" s="80"/>
      <c r="V651" s="80"/>
      <c r="W651" s="80"/>
      <c r="X651" s="80"/>
      <c r="Y651" s="80"/>
      <c r="Z651" s="80"/>
    </row>
    <row r="652">
      <c r="A652" s="81"/>
      <c r="B652" s="80"/>
      <c r="C652" s="80"/>
      <c r="D652" s="81"/>
      <c r="E652" s="81"/>
      <c r="F652" s="81"/>
      <c r="G652" s="81"/>
      <c r="H652" s="83"/>
      <c r="I652" s="83"/>
      <c r="J652" s="80"/>
      <c r="K652" s="89"/>
      <c r="L652" s="81"/>
      <c r="M652" s="80"/>
      <c r="N652" s="80"/>
      <c r="O652" s="80"/>
      <c r="P652" s="80"/>
      <c r="Q652" s="80"/>
      <c r="R652" s="80"/>
      <c r="S652" s="80"/>
      <c r="T652" s="80"/>
      <c r="U652" s="80"/>
      <c r="V652" s="80"/>
      <c r="W652" s="80"/>
      <c r="X652" s="80"/>
      <c r="Y652" s="80"/>
      <c r="Z652" s="80"/>
    </row>
    <row r="653">
      <c r="A653" s="81"/>
      <c r="B653" s="80"/>
      <c r="C653" s="80"/>
      <c r="D653" s="81"/>
      <c r="E653" s="81"/>
      <c r="F653" s="81"/>
      <c r="G653" s="81"/>
      <c r="H653" s="83"/>
      <c r="I653" s="83"/>
      <c r="J653" s="80"/>
      <c r="K653" s="89"/>
      <c r="L653" s="81"/>
      <c r="M653" s="80"/>
      <c r="N653" s="80"/>
      <c r="O653" s="80"/>
      <c r="P653" s="80"/>
      <c r="Q653" s="80"/>
      <c r="R653" s="80"/>
      <c r="S653" s="80"/>
      <c r="T653" s="80"/>
      <c r="U653" s="80"/>
      <c r="V653" s="80"/>
      <c r="W653" s="80"/>
      <c r="X653" s="80"/>
      <c r="Y653" s="80"/>
      <c r="Z653" s="80"/>
    </row>
    <row r="654">
      <c r="A654" s="81"/>
      <c r="B654" s="80"/>
      <c r="C654" s="80"/>
      <c r="D654" s="81"/>
      <c r="E654" s="81"/>
      <c r="F654" s="81"/>
      <c r="G654" s="81"/>
      <c r="H654" s="83"/>
      <c r="I654" s="83"/>
      <c r="J654" s="80"/>
      <c r="K654" s="89"/>
      <c r="L654" s="81"/>
      <c r="M654" s="80"/>
      <c r="N654" s="80"/>
      <c r="O654" s="80"/>
      <c r="P654" s="80"/>
      <c r="Q654" s="80"/>
      <c r="R654" s="80"/>
      <c r="S654" s="80"/>
      <c r="T654" s="80"/>
      <c r="U654" s="80"/>
      <c r="V654" s="80"/>
      <c r="W654" s="80"/>
      <c r="X654" s="80"/>
      <c r="Y654" s="80"/>
      <c r="Z654" s="80"/>
    </row>
    <row r="655">
      <c r="A655" s="81"/>
      <c r="B655" s="80"/>
      <c r="C655" s="80"/>
      <c r="D655" s="81"/>
      <c r="E655" s="81"/>
      <c r="F655" s="81"/>
      <c r="G655" s="81"/>
      <c r="H655" s="83"/>
      <c r="I655" s="83"/>
      <c r="J655" s="80"/>
      <c r="K655" s="89"/>
      <c r="L655" s="81"/>
      <c r="M655" s="80"/>
      <c r="N655" s="80"/>
      <c r="O655" s="80"/>
      <c r="P655" s="80"/>
      <c r="Q655" s="80"/>
      <c r="R655" s="80"/>
      <c r="S655" s="80"/>
      <c r="T655" s="80"/>
      <c r="U655" s="80"/>
      <c r="V655" s="80"/>
      <c r="W655" s="80"/>
      <c r="X655" s="80"/>
      <c r="Y655" s="80"/>
      <c r="Z655" s="80"/>
    </row>
    <row r="656">
      <c r="A656" s="81"/>
      <c r="B656" s="80"/>
      <c r="C656" s="80"/>
      <c r="D656" s="81"/>
      <c r="E656" s="81"/>
      <c r="F656" s="81"/>
      <c r="G656" s="81"/>
      <c r="H656" s="83"/>
      <c r="I656" s="83"/>
      <c r="J656" s="80"/>
      <c r="K656" s="89"/>
      <c r="L656" s="81"/>
      <c r="M656" s="80"/>
      <c r="N656" s="80"/>
      <c r="O656" s="80"/>
      <c r="P656" s="80"/>
      <c r="Q656" s="80"/>
      <c r="R656" s="80"/>
      <c r="S656" s="80"/>
      <c r="T656" s="80"/>
      <c r="U656" s="80"/>
      <c r="V656" s="80"/>
      <c r="W656" s="80"/>
      <c r="X656" s="80"/>
      <c r="Y656" s="80"/>
      <c r="Z656" s="80"/>
    </row>
    <row r="657">
      <c r="A657" s="81"/>
      <c r="B657" s="80"/>
      <c r="C657" s="80"/>
      <c r="D657" s="81"/>
      <c r="E657" s="81"/>
      <c r="F657" s="81"/>
      <c r="G657" s="81"/>
      <c r="H657" s="83"/>
      <c r="I657" s="83"/>
      <c r="J657" s="80"/>
      <c r="K657" s="81"/>
      <c r="L657" s="81"/>
      <c r="M657" s="80"/>
      <c r="N657" s="80"/>
      <c r="O657" s="80"/>
      <c r="P657" s="80"/>
      <c r="Q657" s="80"/>
      <c r="R657" s="80"/>
      <c r="S657" s="80"/>
      <c r="T657" s="80"/>
      <c r="U657" s="80"/>
      <c r="V657" s="80"/>
      <c r="W657" s="80"/>
      <c r="X657" s="80"/>
      <c r="Y657" s="80"/>
      <c r="Z657" s="80"/>
    </row>
    <row r="658">
      <c r="A658" s="81"/>
      <c r="B658" s="80"/>
      <c r="C658" s="80"/>
      <c r="D658" s="81"/>
      <c r="E658" s="81"/>
      <c r="F658" s="81"/>
      <c r="G658" s="81"/>
      <c r="H658" s="83"/>
      <c r="I658" s="83"/>
      <c r="J658" s="80"/>
      <c r="K658" s="81"/>
      <c r="L658" s="81"/>
      <c r="M658" s="80"/>
      <c r="N658" s="80"/>
      <c r="O658" s="80"/>
      <c r="P658" s="80"/>
      <c r="Q658" s="80"/>
      <c r="R658" s="80"/>
      <c r="S658" s="80"/>
      <c r="T658" s="80"/>
      <c r="U658" s="80"/>
      <c r="V658" s="80"/>
      <c r="W658" s="80"/>
      <c r="X658" s="80"/>
      <c r="Y658" s="80"/>
      <c r="Z658" s="80"/>
    </row>
    <row r="659">
      <c r="A659" s="81"/>
      <c r="B659" s="80"/>
      <c r="C659" s="80"/>
      <c r="D659" s="81"/>
      <c r="E659" s="81"/>
      <c r="F659" s="81"/>
      <c r="G659" s="81"/>
      <c r="H659" s="83"/>
      <c r="I659" s="83"/>
      <c r="J659" s="80"/>
      <c r="K659" s="81"/>
      <c r="L659" s="81"/>
      <c r="M659" s="80"/>
      <c r="N659" s="80"/>
      <c r="O659" s="80"/>
      <c r="P659" s="80"/>
      <c r="Q659" s="80"/>
      <c r="R659" s="80"/>
      <c r="S659" s="80"/>
      <c r="T659" s="80"/>
      <c r="U659" s="80"/>
      <c r="V659" s="80"/>
      <c r="W659" s="80"/>
      <c r="X659" s="80"/>
      <c r="Y659" s="80"/>
      <c r="Z659" s="80"/>
    </row>
    <row r="660">
      <c r="A660" s="81"/>
      <c r="B660" s="80"/>
      <c r="C660" s="80"/>
      <c r="D660" s="81"/>
      <c r="E660" s="81"/>
      <c r="F660" s="81"/>
      <c r="G660" s="81"/>
      <c r="H660" s="83"/>
      <c r="I660" s="83"/>
      <c r="J660" s="80"/>
      <c r="K660" s="81"/>
      <c r="L660" s="81"/>
      <c r="M660" s="80"/>
      <c r="N660" s="80"/>
      <c r="O660" s="80"/>
      <c r="P660" s="80"/>
      <c r="Q660" s="80"/>
      <c r="R660" s="80"/>
      <c r="S660" s="80"/>
      <c r="T660" s="80"/>
      <c r="U660" s="80"/>
      <c r="V660" s="80"/>
      <c r="W660" s="80"/>
      <c r="X660" s="80"/>
      <c r="Y660" s="80"/>
      <c r="Z660" s="80"/>
    </row>
    <row r="661">
      <c r="A661" s="81"/>
      <c r="B661" s="80"/>
      <c r="C661" s="80"/>
      <c r="D661" s="81"/>
      <c r="E661" s="81"/>
      <c r="F661" s="81"/>
      <c r="G661" s="81"/>
      <c r="H661" s="83"/>
      <c r="I661" s="83"/>
      <c r="J661" s="80"/>
      <c r="K661" s="81"/>
      <c r="L661" s="81"/>
      <c r="M661" s="80"/>
      <c r="N661" s="80"/>
      <c r="O661" s="80"/>
      <c r="P661" s="80"/>
      <c r="Q661" s="80"/>
      <c r="R661" s="80"/>
      <c r="S661" s="80"/>
      <c r="T661" s="80"/>
      <c r="U661" s="80"/>
      <c r="V661" s="80"/>
      <c r="W661" s="80"/>
      <c r="X661" s="80"/>
      <c r="Y661" s="80"/>
      <c r="Z661" s="80"/>
    </row>
    <row r="662">
      <c r="A662" s="81"/>
      <c r="B662" s="80"/>
      <c r="C662" s="80"/>
      <c r="D662" s="81"/>
      <c r="E662" s="81"/>
      <c r="F662" s="81"/>
      <c r="G662" s="81"/>
      <c r="H662" s="83"/>
      <c r="I662" s="83"/>
      <c r="J662" s="80"/>
      <c r="K662" s="81"/>
      <c r="L662" s="81"/>
      <c r="M662" s="80"/>
      <c r="N662" s="80"/>
      <c r="O662" s="80"/>
      <c r="P662" s="80"/>
      <c r="Q662" s="80"/>
      <c r="R662" s="80"/>
      <c r="S662" s="80"/>
      <c r="T662" s="80"/>
      <c r="U662" s="80"/>
      <c r="V662" s="80"/>
      <c r="W662" s="80"/>
      <c r="X662" s="80"/>
      <c r="Y662" s="80"/>
      <c r="Z662" s="80"/>
    </row>
    <row r="663">
      <c r="A663" s="81"/>
      <c r="B663" s="80"/>
      <c r="C663" s="80"/>
      <c r="D663" s="81"/>
      <c r="E663" s="81"/>
      <c r="F663" s="81"/>
      <c r="G663" s="81"/>
      <c r="H663" s="83"/>
      <c r="I663" s="83"/>
      <c r="J663" s="80"/>
      <c r="K663" s="81"/>
      <c r="L663" s="81"/>
      <c r="M663" s="80"/>
      <c r="N663" s="80"/>
      <c r="O663" s="80"/>
      <c r="P663" s="80"/>
      <c r="Q663" s="80"/>
      <c r="R663" s="80"/>
      <c r="S663" s="80"/>
      <c r="T663" s="80"/>
      <c r="U663" s="80"/>
      <c r="V663" s="80"/>
      <c r="W663" s="80"/>
      <c r="X663" s="80"/>
      <c r="Y663" s="80"/>
      <c r="Z663" s="80"/>
    </row>
    <row r="664">
      <c r="A664" s="81"/>
      <c r="B664" s="80"/>
      <c r="C664" s="80"/>
      <c r="D664" s="81"/>
      <c r="E664" s="81"/>
      <c r="F664" s="81"/>
      <c r="G664" s="81"/>
      <c r="H664" s="83"/>
      <c r="I664" s="83"/>
      <c r="J664" s="80"/>
      <c r="K664" s="81"/>
      <c r="L664" s="81"/>
      <c r="M664" s="80"/>
      <c r="N664" s="80"/>
      <c r="O664" s="80"/>
      <c r="P664" s="80"/>
      <c r="Q664" s="80"/>
      <c r="R664" s="80"/>
      <c r="S664" s="80"/>
      <c r="T664" s="80"/>
      <c r="U664" s="80"/>
      <c r="V664" s="80"/>
      <c r="W664" s="80"/>
      <c r="X664" s="80"/>
      <c r="Y664" s="80"/>
      <c r="Z664" s="80"/>
    </row>
    <row r="665">
      <c r="A665" s="81"/>
      <c r="B665" s="80"/>
      <c r="C665" s="80"/>
      <c r="D665" s="81"/>
      <c r="E665" s="81"/>
      <c r="F665" s="81"/>
      <c r="G665" s="81"/>
      <c r="H665" s="83"/>
      <c r="I665" s="83"/>
      <c r="J665" s="80"/>
      <c r="K665" s="81"/>
      <c r="L665" s="81"/>
      <c r="M665" s="80"/>
      <c r="N665" s="80"/>
      <c r="O665" s="80"/>
      <c r="P665" s="80"/>
      <c r="Q665" s="80"/>
      <c r="R665" s="80"/>
      <c r="S665" s="80"/>
      <c r="T665" s="80"/>
      <c r="U665" s="80"/>
      <c r="V665" s="80"/>
      <c r="W665" s="80"/>
      <c r="X665" s="80"/>
      <c r="Y665" s="80"/>
      <c r="Z665" s="80"/>
    </row>
    <row r="666">
      <c r="A666" s="81"/>
      <c r="B666" s="80"/>
      <c r="C666" s="80"/>
      <c r="D666" s="81"/>
      <c r="E666" s="81"/>
      <c r="F666" s="81"/>
      <c r="G666" s="81"/>
      <c r="H666" s="83"/>
      <c r="I666" s="83"/>
      <c r="J666" s="80"/>
      <c r="K666" s="81"/>
      <c r="L666" s="81"/>
      <c r="M666" s="80"/>
      <c r="N666" s="80"/>
      <c r="O666" s="80"/>
      <c r="P666" s="80"/>
      <c r="Q666" s="80"/>
      <c r="R666" s="80"/>
      <c r="S666" s="80"/>
      <c r="T666" s="80"/>
      <c r="U666" s="80"/>
      <c r="V666" s="80"/>
      <c r="W666" s="80"/>
      <c r="X666" s="80"/>
      <c r="Y666" s="80"/>
      <c r="Z666" s="80"/>
    </row>
    <row r="667">
      <c r="A667" s="81"/>
      <c r="B667" s="80"/>
      <c r="C667" s="80"/>
      <c r="D667" s="81"/>
      <c r="E667" s="81"/>
      <c r="F667" s="81"/>
      <c r="G667" s="81"/>
      <c r="H667" s="83"/>
      <c r="I667" s="83"/>
      <c r="J667" s="80"/>
      <c r="K667" s="81"/>
      <c r="L667" s="81"/>
      <c r="M667" s="80"/>
      <c r="N667" s="80"/>
      <c r="O667" s="80"/>
      <c r="P667" s="80"/>
      <c r="Q667" s="80"/>
      <c r="R667" s="80"/>
      <c r="S667" s="80"/>
      <c r="T667" s="80"/>
      <c r="U667" s="80"/>
      <c r="V667" s="80"/>
      <c r="W667" s="80"/>
      <c r="X667" s="80"/>
      <c r="Y667" s="80"/>
      <c r="Z667" s="80"/>
    </row>
    <row r="668">
      <c r="A668" s="81"/>
      <c r="B668" s="80"/>
      <c r="C668" s="80"/>
      <c r="D668" s="81"/>
      <c r="E668" s="81"/>
      <c r="F668" s="81"/>
      <c r="G668" s="81"/>
      <c r="H668" s="83"/>
      <c r="I668" s="83"/>
      <c r="J668" s="80"/>
      <c r="K668" s="81"/>
      <c r="L668" s="81"/>
      <c r="M668" s="80"/>
      <c r="N668" s="80"/>
      <c r="O668" s="80"/>
      <c r="P668" s="80"/>
      <c r="Q668" s="80"/>
      <c r="R668" s="80"/>
      <c r="S668" s="80"/>
      <c r="T668" s="80"/>
      <c r="U668" s="80"/>
      <c r="V668" s="80"/>
      <c r="W668" s="80"/>
      <c r="X668" s="80"/>
      <c r="Y668" s="80"/>
      <c r="Z668" s="80"/>
    </row>
    <row r="669">
      <c r="A669" s="81"/>
      <c r="B669" s="80"/>
      <c r="C669" s="80"/>
      <c r="D669" s="81"/>
      <c r="E669" s="81"/>
      <c r="F669" s="81"/>
      <c r="G669" s="81"/>
      <c r="H669" s="83"/>
      <c r="I669" s="83"/>
      <c r="J669" s="80"/>
      <c r="K669" s="81"/>
      <c r="L669" s="81"/>
      <c r="M669" s="80"/>
      <c r="N669" s="80"/>
      <c r="O669" s="80"/>
      <c r="P669" s="80"/>
      <c r="Q669" s="80"/>
      <c r="R669" s="80"/>
      <c r="S669" s="80"/>
      <c r="T669" s="80"/>
      <c r="U669" s="80"/>
      <c r="V669" s="80"/>
      <c r="W669" s="80"/>
      <c r="X669" s="80"/>
      <c r="Y669" s="80"/>
      <c r="Z669" s="80"/>
    </row>
    <row r="670">
      <c r="A670" s="81"/>
      <c r="B670" s="80"/>
      <c r="C670" s="80"/>
      <c r="D670" s="81"/>
      <c r="E670" s="81"/>
      <c r="F670" s="81"/>
      <c r="G670" s="81"/>
      <c r="H670" s="83"/>
      <c r="I670" s="83"/>
      <c r="J670" s="80"/>
      <c r="K670" s="81"/>
      <c r="L670" s="81"/>
      <c r="M670" s="80"/>
      <c r="N670" s="80"/>
      <c r="O670" s="80"/>
      <c r="P670" s="80"/>
      <c r="Q670" s="80"/>
      <c r="R670" s="80"/>
      <c r="S670" s="80"/>
      <c r="T670" s="80"/>
      <c r="U670" s="80"/>
      <c r="V670" s="80"/>
      <c r="W670" s="80"/>
      <c r="X670" s="80"/>
      <c r="Y670" s="80"/>
      <c r="Z670" s="80"/>
    </row>
    <row r="671">
      <c r="A671" s="81"/>
      <c r="B671" s="80"/>
      <c r="C671" s="80"/>
      <c r="D671" s="81"/>
      <c r="E671" s="81"/>
      <c r="F671" s="81"/>
      <c r="G671" s="81"/>
      <c r="H671" s="83"/>
      <c r="I671" s="83"/>
      <c r="J671" s="80"/>
      <c r="K671" s="81"/>
      <c r="L671" s="81"/>
      <c r="M671" s="80"/>
      <c r="N671" s="80"/>
      <c r="O671" s="80"/>
      <c r="P671" s="80"/>
      <c r="Q671" s="80"/>
      <c r="R671" s="80"/>
      <c r="S671" s="80"/>
      <c r="T671" s="80"/>
      <c r="U671" s="80"/>
      <c r="V671" s="80"/>
      <c r="W671" s="80"/>
      <c r="X671" s="80"/>
      <c r="Y671" s="80"/>
      <c r="Z671" s="80"/>
    </row>
    <row r="672">
      <c r="A672" s="81"/>
      <c r="B672" s="80"/>
      <c r="C672" s="80"/>
      <c r="D672" s="81"/>
      <c r="E672" s="81"/>
      <c r="F672" s="81"/>
      <c r="G672" s="81"/>
      <c r="H672" s="83"/>
      <c r="I672" s="83"/>
      <c r="J672" s="80"/>
      <c r="K672" s="81"/>
      <c r="L672" s="81"/>
      <c r="M672" s="80"/>
      <c r="N672" s="80"/>
      <c r="O672" s="80"/>
      <c r="P672" s="80"/>
      <c r="Q672" s="80"/>
      <c r="R672" s="80"/>
      <c r="S672" s="80"/>
      <c r="T672" s="80"/>
      <c r="U672" s="80"/>
      <c r="V672" s="80"/>
      <c r="W672" s="80"/>
      <c r="X672" s="80"/>
      <c r="Y672" s="80"/>
      <c r="Z672" s="80"/>
    </row>
    <row r="673">
      <c r="A673" s="81"/>
      <c r="B673" s="80"/>
      <c r="C673" s="80"/>
      <c r="D673" s="81"/>
      <c r="E673" s="81"/>
      <c r="F673" s="81"/>
      <c r="G673" s="81"/>
      <c r="H673" s="83"/>
      <c r="I673" s="83"/>
      <c r="J673" s="80"/>
      <c r="K673" s="81"/>
      <c r="L673" s="81"/>
      <c r="M673" s="80"/>
      <c r="N673" s="80"/>
      <c r="O673" s="80"/>
      <c r="P673" s="80"/>
      <c r="Q673" s="80"/>
      <c r="R673" s="80"/>
      <c r="S673" s="80"/>
      <c r="T673" s="80"/>
      <c r="U673" s="80"/>
      <c r="V673" s="80"/>
      <c r="W673" s="80"/>
      <c r="X673" s="80"/>
      <c r="Y673" s="80"/>
      <c r="Z673" s="80"/>
    </row>
    <row r="674">
      <c r="A674" s="81"/>
      <c r="B674" s="80"/>
      <c r="C674" s="80"/>
      <c r="D674" s="81"/>
      <c r="E674" s="81"/>
      <c r="F674" s="81"/>
      <c r="G674" s="81"/>
      <c r="H674" s="83"/>
      <c r="I674" s="83"/>
      <c r="J674" s="80"/>
      <c r="K674" s="81"/>
      <c r="L674" s="81"/>
      <c r="M674" s="80"/>
      <c r="N674" s="80"/>
      <c r="O674" s="80"/>
      <c r="P674" s="80"/>
      <c r="Q674" s="80"/>
      <c r="R674" s="80"/>
      <c r="S674" s="80"/>
      <c r="T674" s="80"/>
      <c r="U674" s="80"/>
      <c r="V674" s="80"/>
      <c r="W674" s="80"/>
      <c r="X674" s="80"/>
      <c r="Y674" s="80"/>
      <c r="Z674" s="80"/>
    </row>
    <row r="675">
      <c r="A675" s="81"/>
      <c r="B675" s="80"/>
      <c r="C675" s="80"/>
      <c r="D675" s="81"/>
      <c r="E675" s="81"/>
      <c r="F675" s="81"/>
      <c r="G675" s="81"/>
      <c r="H675" s="83"/>
      <c r="I675" s="83"/>
      <c r="J675" s="80"/>
      <c r="K675" s="81"/>
      <c r="L675" s="81"/>
      <c r="M675" s="80"/>
      <c r="N675" s="80"/>
      <c r="O675" s="80"/>
      <c r="P675" s="80"/>
      <c r="Q675" s="80"/>
      <c r="R675" s="80"/>
      <c r="S675" s="80"/>
      <c r="T675" s="80"/>
      <c r="U675" s="80"/>
      <c r="V675" s="80"/>
      <c r="W675" s="80"/>
      <c r="X675" s="80"/>
      <c r="Y675" s="80"/>
      <c r="Z675" s="80"/>
    </row>
    <row r="676">
      <c r="A676" s="81"/>
      <c r="B676" s="80"/>
      <c r="C676" s="80"/>
      <c r="D676" s="81"/>
      <c r="E676" s="81"/>
      <c r="F676" s="81"/>
      <c r="G676" s="81"/>
      <c r="H676" s="83"/>
      <c r="I676" s="83"/>
      <c r="J676" s="80"/>
      <c r="K676" s="81"/>
      <c r="L676" s="81"/>
      <c r="M676" s="80"/>
      <c r="N676" s="80"/>
      <c r="O676" s="80"/>
      <c r="P676" s="80"/>
      <c r="Q676" s="80"/>
      <c r="R676" s="80"/>
      <c r="S676" s="80"/>
      <c r="T676" s="80"/>
      <c r="U676" s="80"/>
      <c r="V676" s="80"/>
      <c r="W676" s="80"/>
      <c r="X676" s="80"/>
      <c r="Y676" s="80"/>
      <c r="Z676" s="80"/>
    </row>
    <row r="677">
      <c r="A677" s="81"/>
      <c r="B677" s="80"/>
      <c r="C677" s="80"/>
      <c r="D677" s="81"/>
      <c r="E677" s="81"/>
      <c r="F677" s="81"/>
      <c r="G677" s="81"/>
      <c r="H677" s="83"/>
      <c r="I677" s="83"/>
      <c r="J677" s="80"/>
      <c r="K677" s="81"/>
      <c r="L677" s="81"/>
      <c r="M677" s="80"/>
      <c r="N677" s="80"/>
      <c r="O677" s="80"/>
      <c r="P677" s="80"/>
      <c r="Q677" s="80"/>
      <c r="R677" s="80"/>
      <c r="S677" s="80"/>
      <c r="T677" s="80"/>
      <c r="U677" s="80"/>
      <c r="V677" s="80"/>
      <c r="W677" s="80"/>
      <c r="X677" s="80"/>
      <c r="Y677" s="80"/>
      <c r="Z677" s="80"/>
    </row>
    <row r="678">
      <c r="A678" s="81"/>
      <c r="B678" s="80"/>
      <c r="C678" s="80"/>
      <c r="D678" s="81"/>
      <c r="E678" s="81"/>
      <c r="F678" s="81"/>
      <c r="G678" s="81"/>
      <c r="H678" s="83"/>
      <c r="I678" s="83"/>
      <c r="J678" s="80"/>
      <c r="K678" s="81"/>
      <c r="L678" s="81"/>
      <c r="M678" s="80"/>
      <c r="N678" s="80"/>
      <c r="O678" s="80"/>
      <c r="P678" s="80"/>
      <c r="Q678" s="80"/>
      <c r="R678" s="80"/>
      <c r="S678" s="80"/>
      <c r="T678" s="80"/>
      <c r="U678" s="80"/>
      <c r="V678" s="80"/>
      <c r="W678" s="80"/>
      <c r="X678" s="80"/>
      <c r="Y678" s="80"/>
      <c r="Z678" s="80"/>
    </row>
    <row r="679">
      <c r="A679" s="81"/>
      <c r="B679" s="80"/>
      <c r="C679" s="80"/>
      <c r="D679" s="81"/>
      <c r="E679" s="81"/>
      <c r="F679" s="81"/>
      <c r="G679" s="81"/>
      <c r="H679" s="83"/>
      <c r="I679" s="83"/>
      <c r="J679" s="80"/>
      <c r="K679" s="81"/>
      <c r="L679" s="81"/>
      <c r="M679" s="80"/>
      <c r="N679" s="80"/>
      <c r="O679" s="80"/>
      <c r="P679" s="80"/>
      <c r="Q679" s="80"/>
      <c r="R679" s="80"/>
      <c r="S679" s="80"/>
      <c r="T679" s="80"/>
      <c r="U679" s="80"/>
      <c r="V679" s="80"/>
      <c r="W679" s="80"/>
      <c r="X679" s="80"/>
      <c r="Y679" s="80"/>
      <c r="Z679" s="80"/>
    </row>
    <row r="680">
      <c r="A680" s="81"/>
      <c r="B680" s="80"/>
      <c r="C680" s="80"/>
      <c r="D680" s="81"/>
      <c r="E680" s="81"/>
      <c r="F680" s="81"/>
      <c r="G680" s="81"/>
      <c r="H680" s="83"/>
      <c r="I680" s="83"/>
      <c r="J680" s="80"/>
      <c r="K680" s="81"/>
      <c r="L680" s="81"/>
      <c r="M680" s="80"/>
      <c r="N680" s="80"/>
      <c r="O680" s="80"/>
      <c r="P680" s="80"/>
      <c r="Q680" s="80"/>
      <c r="R680" s="80"/>
      <c r="S680" s="80"/>
      <c r="T680" s="80"/>
      <c r="U680" s="80"/>
      <c r="V680" s="80"/>
      <c r="W680" s="80"/>
      <c r="X680" s="80"/>
      <c r="Y680" s="80"/>
      <c r="Z680" s="80"/>
    </row>
    <row r="681">
      <c r="A681" s="81"/>
      <c r="B681" s="80"/>
      <c r="C681" s="80"/>
      <c r="D681" s="81"/>
      <c r="E681" s="81"/>
      <c r="F681" s="81"/>
      <c r="G681" s="81"/>
      <c r="H681" s="83"/>
      <c r="I681" s="83"/>
      <c r="J681" s="80"/>
      <c r="K681" s="81"/>
      <c r="L681" s="81"/>
      <c r="M681" s="80"/>
      <c r="N681" s="80"/>
      <c r="O681" s="80"/>
      <c r="P681" s="80"/>
      <c r="Q681" s="80"/>
      <c r="R681" s="80"/>
      <c r="S681" s="80"/>
      <c r="T681" s="80"/>
      <c r="U681" s="80"/>
      <c r="V681" s="80"/>
      <c r="W681" s="80"/>
      <c r="X681" s="80"/>
      <c r="Y681" s="80"/>
      <c r="Z681" s="80"/>
    </row>
    <row r="682">
      <c r="A682" s="81"/>
      <c r="B682" s="80"/>
      <c r="C682" s="80"/>
      <c r="D682" s="81"/>
      <c r="E682" s="81"/>
      <c r="F682" s="81"/>
      <c r="G682" s="81"/>
      <c r="H682" s="83"/>
      <c r="I682" s="83"/>
      <c r="J682" s="80"/>
      <c r="K682" s="81"/>
      <c r="L682" s="81"/>
      <c r="M682" s="80"/>
      <c r="N682" s="80"/>
      <c r="O682" s="80"/>
      <c r="P682" s="80"/>
      <c r="Q682" s="80"/>
      <c r="R682" s="80"/>
      <c r="S682" s="80"/>
      <c r="T682" s="80"/>
      <c r="U682" s="80"/>
      <c r="V682" s="80"/>
      <c r="W682" s="80"/>
      <c r="X682" s="80"/>
      <c r="Y682" s="80"/>
      <c r="Z682" s="80"/>
    </row>
    <row r="683">
      <c r="A683" s="81"/>
      <c r="B683" s="80"/>
      <c r="C683" s="80"/>
      <c r="D683" s="81"/>
      <c r="E683" s="81"/>
      <c r="F683" s="81"/>
      <c r="G683" s="81"/>
      <c r="H683" s="83"/>
      <c r="I683" s="83"/>
      <c r="J683" s="80"/>
      <c r="K683" s="81"/>
      <c r="L683" s="81"/>
      <c r="M683" s="80"/>
      <c r="N683" s="80"/>
      <c r="O683" s="80"/>
      <c r="P683" s="80"/>
      <c r="Q683" s="80"/>
      <c r="R683" s="80"/>
      <c r="S683" s="80"/>
      <c r="T683" s="80"/>
      <c r="U683" s="80"/>
      <c r="V683" s="80"/>
      <c r="W683" s="80"/>
      <c r="X683" s="80"/>
      <c r="Y683" s="80"/>
      <c r="Z683" s="80"/>
    </row>
    <row r="684">
      <c r="A684" s="81"/>
      <c r="B684" s="80"/>
      <c r="C684" s="80"/>
      <c r="D684" s="81"/>
      <c r="E684" s="81"/>
      <c r="F684" s="81"/>
      <c r="G684" s="81"/>
      <c r="H684" s="83"/>
      <c r="I684" s="83"/>
      <c r="J684" s="80"/>
      <c r="K684" s="81"/>
      <c r="L684" s="81"/>
      <c r="M684" s="80"/>
      <c r="N684" s="80"/>
      <c r="O684" s="80"/>
      <c r="P684" s="80"/>
      <c r="Q684" s="80"/>
      <c r="R684" s="80"/>
      <c r="S684" s="80"/>
      <c r="T684" s="80"/>
      <c r="U684" s="80"/>
      <c r="V684" s="80"/>
      <c r="W684" s="80"/>
      <c r="X684" s="80"/>
      <c r="Y684" s="80"/>
      <c r="Z684" s="80"/>
    </row>
    <row r="685">
      <c r="A685" s="81"/>
      <c r="B685" s="80"/>
      <c r="C685" s="80"/>
      <c r="D685" s="81"/>
      <c r="E685" s="81"/>
      <c r="F685" s="81"/>
      <c r="G685" s="81"/>
      <c r="H685" s="83"/>
      <c r="I685" s="83"/>
      <c r="J685" s="80"/>
      <c r="K685" s="81"/>
      <c r="L685" s="81"/>
      <c r="M685" s="80"/>
      <c r="N685" s="80"/>
      <c r="O685" s="80"/>
      <c r="P685" s="80"/>
      <c r="Q685" s="80"/>
      <c r="R685" s="80"/>
      <c r="S685" s="80"/>
      <c r="T685" s="80"/>
      <c r="U685" s="80"/>
      <c r="V685" s="80"/>
      <c r="W685" s="80"/>
      <c r="X685" s="80"/>
      <c r="Y685" s="80"/>
      <c r="Z685" s="80"/>
    </row>
    <row r="686">
      <c r="A686" s="81"/>
      <c r="B686" s="80"/>
      <c r="C686" s="80"/>
      <c r="D686" s="81"/>
      <c r="E686" s="81"/>
      <c r="F686" s="81"/>
      <c r="G686" s="81"/>
      <c r="H686" s="83"/>
      <c r="I686" s="83"/>
      <c r="J686" s="80"/>
      <c r="K686" s="81"/>
      <c r="L686" s="81"/>
      <c r="M686" s="80"/>
      <c r="N686" s="80"/>
      <c r="O686" s="80"/>
      <c r="P686" s="80"/>
      <c r="Q686" s="80"/>
      <c r="R686" s="80"/>
      <c r="S686" s="80"/>
      <c r="T686" s="80"/>
      <c r="U686" s="80"/>
      <c r="V686" s="80"/>
      <c r="W686" s="80"/>
      <c r="X686" s="80"/>
      <c r="Y686" s="80"/>
      <c r="Z686" s="80"/>
    </row>
    <row r="687">
      <c r="A687" s="81"/>
      <c r="B687" s="80"/>
      <c r="C687" s="80"/>
      <c r="D687" s="81"/>
      <c r="E687" s="81"/>
      <c r="F687" s="81"/>
      <c r="G687" s="81"/>
      <c r="H687" s="83"/>
      <c r="I687" s="83"/>
      <c r="J687" s="80"/>
      <c r="K687" s="81"/>
      <c r="L687" s="81"/>
      <c r="M687" s="80"/>
      <c r="N687" s="80"/>
      <c r="O687" s="80"/>
      <c r="P687" s="80"/>
      <c r="Q687" s="80"/>
      <c r="R687" s="80"/>
      <c r="S687" s="80"/>
      <c r="T687" s="80"/>
      <c r="U687" s="80"/>
      <c r="V687" s="80"/>
      <c r="W687" s="80"/>
      <c r="X687" s="80"/>
      <c r="Y687" s="80"/>
      <c r="Z687" s="80"/>
    </row>
    <row r="688">
      <c r="A688" s="81"/>
      <c r="B688" s="80"/>
      <c r="C688" s="80"/>
      <c r="D688" s="81"/>
      <c r="E688" s="81"/>
      <c r="F688" s="81"/>
      <c r="G688" s="81"/>
      <c r="H688" s="83"/>
      <c r="I688" s="83"/>
      <c r="J688" s="80"/>
      <c r="K688" s="81"/>
      <c r="L688" s="81"/>
      <c r="M688" s="80"/>
      <c r="N688" s="80"/>
      <c r="O688" s="80"/>
      <c r="P688" s="80"/>
      <c r="Q688" s="80"/>
      <c r="R688" s="80"/>
      <c r="S688" s="80"/>
      <c r="T688" s="80"/>
      <c r="U688" s="80"/>
      <c r="V688" s="80"/>
      <c r="W688" s="80"/>
      <c r="X688" s="80"/>
      <c r="Y688" s="80"/>
      <c r="Z688" s="80"/>
    </row>
    <row r="689">
      <c r="A689" s="81"/>
      <c r="B689" s="80"/>
      <c r="C689" s="80"/>
      <c r="D689" s="81"/>
      <c r="E689" s="81"/>
      <c r="F689" s="81"/>
      <c r="G689" s="81"/>
      <c r="H689" s="83"/>
      <c r="I689" s="83"/>
      <c r="J689" s="80"/>
      <c r="K689" s="81"/>
      <c r="L689" s="81"/>
      <c r="M689" s="80"/>
      <c r="N689" s="80"/>
      <c r="O689" s="80"/>
      <c r="P689" s="80"/>
      <c r="Q689" s="80"/>
      <c r="R689" s="80"/>
      <c r="S689" s="80"/>
      <c r="T689" s="80"/>
      <c r="U689" s="80"/>
      <c r="V689" s="80"/>
      <c r="W689" s="80"/>
      <c r="X689" s="80"/>
      <c r="Y689" s="80"/>
      <c r="Z689" s="80"/>
    </row>
    <row r="690">
      <c r="A690" s="81"/>
      <c r="B690" s="80"/>
      <c r="C690" s="80"/>
      <c r="D690" s="81"/>
      <c r="E690" s="81"/>
      <c r="F690" s="81"/>
      <c r="G690" s="81"/>
      <c r="H690" s="83"/>
      <c r="I690" s="83"/>
      <c r="J690" s="80"/>
      <c r="K690" s="81"/>
      <c r="L690" s="81"/>
      <c r="M690" s="80"/>
      <c r="N690" s="80"/>
      <c r="O690" s="80"/>
      <c r="P690" s="80"/>
      <c r="Q690" s="80"/>
      <c r="R690" s="80"/>
      <c r="S690" s="80"/>
      <c r="T690" s="80"/>
      <c r="U690" s="80"/>
      <c r="V690" s="80"/>
      <c r="W690" s="80"/>
      <c r="X690" s="80"/>
      <c r="Y690" s="80"/>
      <c r="Z690" s="80"/>
    </row>
    <row r="691">
      <c r="A691" s="81"/>
      <c r="B691" s="80"/>
      <c r="C691" s="80"/>
      <c r="D691" s="81"/>
      <c r="E691" s="81"/>
      <c r="F691" s="81"/>
      <c r="G691" s="81"/>
      <c r="H691" s="83"/>
      <c r="I691" s="83"/>
      <c r="J691" s="80"/>
      <c r="K691" s="81"/>
      <c r="L691" s="81"/>
      <c r="M691" s="80"/>
      <c r="N691" s="80"/>
      <c r="O691" s="80"/>
      <c r="P691" s="80"/>
      <c r="Q691" s="80"/>
      <c r="R691" s="80"/>
      <c r="S691" s="80"/>
      <c r="T691" s="80"/>
      <c r="U691" s="80"/>
      <c r="V691" s="80"/>
      <c r="W691" s="80"/>
      <c r="X691" s="80"/>
      <c r="Y691" s="80"/>
      <c r="Z691" s="80"/>
    </row>
    <row r="692">
      <c r="A692" s="81"/>
      <c r="B692" s="80"/>
      <c r="C692" s="80"/>
      <c r="D692" s="81"/>
      <c r="E692" s="81"/>
      <c r="F692" s="81"/>
      <c r="G692" s="81"/>
      <c r="H692" s="83"/>
      <c r="I692" s="83"/>
      <c r="J692" s="80"/>
      <c r="K692" s="81"/>
      <c r="L692" s="81"/>
      <c r="M692" s="80"/>
      <c r="N692" s="80"/>
      <c r="O692" s="80"/>
      <c r="P692" s="80"/>
      <c r="Q692" s="80"/>
      <c r="R692" s="80"/>
      <c r="S692" s="80"/>
      <c r="T692" s="80"/>
      <c r="U692" s="80"/>
      <c r="V692" s="80"/>
      <c r="W692" s="80"/>
      <c r="X692" s="80"/>
      <c r="Y692" s="80"/>
      <c r="Z692" s="80"/>
    </row>
    <row r="693">
      <c r="A693" s="81"/>
      <c r="B693" s="80"/>
      <c r="C693" s="80"/>
      <c r="D693" s="81"/>
      <c r="E693" s="81"/>
      <c r="F693" s="81"/>
      <c r="G693" s="81"/>
      <c r="H693" s="83"/>
      <c r="I693" s="83"/>
      <c r="J693" s="80"/>
      <c r="K693" s="81"/>
      <c r="L693" s="81"/>
      <c r="M693" s="80"/>
      <c r="N693" s="80"/>
      <c r="O693" s="80"/>
      <c r="P693" s="80"/>
      <c r="Q693" s="80"/>
      <c r="R693" s="80"/>
      <c r="S693" s="80"/>
      <c r="T693" s="80"/>
      <c r="U693" s="80"/>
      <c r="V693" s="80"/>
      <c r="W693" s="80"/>
      <c r="X693" s="80"/>
      <c r="Y693" s="80"/>
      <c r="Z693" s="80"/>
    </row>
    <row r="694">
      <c r="A694" s="81"/>
      <c r="B694" s="80"/>
      <c r="C694" s="80"/>
      <c r="D694" s="81"/>
      <c r="E694" s="81"/>
      <c r="F694" s="81"/>
      <c r="G694" s="81"/>
      <c r="H694" s="83"/>
      <c r="I694" s="83"/>
      <c r="J694" s="80"/>
      <c r="K694" s="81"/>
      <c r="L694" s="81"/>
      <c r="M694" s="80"/>
      <c r="N694" s="80"/>
      <c r="O694" s="80"/>
      <c r="P694" s="80"/>
      <c r="Q694" s="80"/>
      <c r="R694" s="80"/>
      <c r="S694" s="80"/>
      <c r="T694" s="80"/>
      <c r="U694" s="80"/>
      <c r="V694" s="80"/>
      <c r="W694" s="80"/>
      <c r="X694" s="80"/>
      <c r="Y694" s="80"/>
      <c r="Z694" s="80"/>
    </row>
    <row r="695">
      <c r="A695" s="81"/>
      <c r="B695" s="80"/>
      <c r="C695" s="80"/>
      <c r="D695" s="81"/>
      <c r="E695" s="81"/>
      <c r="F695" s="81"/>
      <c r="G695" s="81"/>
      <c r="H695" s="83"/>
      <c r="I695" s="83"/>
      <c r="J695" s="80"/>
      <c r="K695" s="81"/>
      <c r="L695" s="81"/>
      <c r="M695" s="80"/>
      <c r="N695" s="80"/>
      <c r="O695" s="80"/>
      <c r="P695" s="80"/>
      <c r="Q695" s="80"/>
      <c r="R695" s="80"/>
      <c r="S695" s="80"/>
      <c r="T695" s="80"/>
      <c r="U695" s="80"/>
      <c r="V695" s="80"/>
      <c r="W695" s="80"/>
      <c r="X695" s="80"/>
      <c r="Y695" s="80"/>
      <c r="Z695" s="80"/>
    </row>
    <row r="696">
      <c r="A696" s="81"/>
      <c r="B696" s="80"/>
      <c r="C696" s="80"/>
      <c r="D696" s="81"/>
      <c r="E696" s="81"/>
      <c r="F696" s="81"/>
      <c r="G696" s="81"/>
      <c r="H696" s="83"/>
      <c r="I696" s="83"/>
      <c r="J696" s="80"/>
      <c r="K696" s="81"/>
      <c r="L696" s="81"/>
      <c r="M696" s="80"/>
      <c r="N696" s="80"/>
      <c r="O696" s="80"/>
      <c r="P696" s="80"/>
      <c r="Q696" s="80"/>
      <c r="R696" s="80"/>
      <c r="S696" s="80"/>
      <c r="T696" s="80"/>
      <c r="U696" s="80"/>
      <c r="V696" s="80"/>
      <c r="W696" s="80"/>
      <c r="X696" s="80"/>
      <c r="Y696" s="80"/>
      <c r="Z696" s="80"/>
    </row>
    <row r="697">
      <c r="A697" s="81"/>
      <c r="B697" s="80"/>
      <c r="C697" s="80"/>
      <c r="D697" s="81"/>
      <c r="E697" s="81"/>
      <c r="F697" s="81"/>
      <c r="G697" s="81"/>
      <c r="H697" s="83"/>
      <c r="I697" s="83"/>
      <c r="J697" s="80"/>
      <c r="K697" s="81"/>
      <c r="L697" s="81"/>
      <c r="M697" s="80"/>
      <c r="N697" s="80"/>
      <c r="O697" s="80"/>
      <c r="P697" s="80"/>
      <c r="Q697" s="80"/>
      <c r="R697" s="80"/>
      <c r="S697" s="80"/>
      <c r="T697" s="80"/>
      <c r="U697" s="80"/>
      <c r="V697" s="80"/>
      <c r="W697" s="80"/>
      <c r="X697" s="80"/>
      <c r="Y697" s="80"/>
      <c r="Z697" s="80"/>
    </row>
    <row r="698">
      <c r="A698" s="81"/>
      <c r="B698" s="80"/>
      <c r="C698" s="80"/>
      <c r="D698" s="81"/>
      <c r="E698" s="81"/>
      <c r="F698" s="81"/>
      <c r="G698" s="81"/>
      <c r="H698" s="83"/>
      <c r="I698" s="83"/>
      <c r="J698" s="80"/>
      <c r="K698" s="81"/>
      <c r="L698" s="81"/>
      <c r="M698" s="80"/>
      <c r="N698" s="80"/>
      <c r="O698" s="80"/>
      <c r="P698" s="80"/>
      <c r="Q698" s="80"/>
      <c r="R698" s="80"/>
      <c r="S698" s="80"/>
      <c r="T698" s="80"/>
      <c r="U698" s="80"/>
      <c r="V698" s="80"/>
      <c r="W698" s="80"/>
      <c r="X698" s="80"/>
      <c r="Y698" s="80"/>
      <c r="Z698" s="80"/>
    </row>
    <row r="699">
      <c r="A699" s="81"/>
      <c r="B699" s="80"/>
      <c r="C699" s="80"/>
      <c r="D699" s="81"/>
      <c r="E699" s="81"/>
      <c r="F699" s="81"/>
      <c r="G699" s="81"/>
      <c r="H699" s="83"/>
      <c r="I699" s="83"/>
      <c r="J699" s="80"/>
      <c r="K699" s="81"/>
      <c r="L699" s="81"/>
      <c r="M699" s="80"/>
      <c r="N699" s="80"/>
      <c r="O699" s="80"/>
      <c r="P699" s="80"/>
      <c r="Q699" s="80"/>
      <c r="R699" s="80"/>
      <c r="S699" s="80"/>
      <c r="T699" s="80"/>
      <c r="U699" s="80"/>
      <c r="V699" s="80"/>
      <c r="W699" s="80"/>
      <c r="X699" s="80"/>
      <c r="Y699" s="80"/>
      <c r="Z699" s="80"/>
    </row>
    <row r="700">
      <c r="A700" s="81"/>
      <c r="B700" s="80"/>
      <c r="C700" s="80"/>
      <c r="D700" s="81"/>
      <c r="E700" s="81"/>
      <c r="F700" s="81"/>
      <c r="G700" s="81"/>
      <c r="H700" s="83"/>
      <c r="I700" s="83"/>
      <c r="J700" s="80"/>
      <c r="K700" s="81"/>
      <c r="L700" s="81"/>
      <c r="M700" s="80"/>
      <c r="N700" s="80"/>
      <c r="O700" s="80"/>
      <c r="P700" s="80"/>
      <c r="Q700" s="80"/>
      <c r="R700" s="80"/>
      <c r="S700" s="80"/>
      <c r="T700" s="80"/>
      <c r="U700" s="80"/>
      <c r="V700" s="80"/>
      <c r="W700" s="80"/>
      <c r="X700" s="80"/>
      <c r="Y700" s="80"/>
      <c r="Z700" s="80"/>
    </row>
    <row r="701">
      <c r="A701" s="81"/>
      <c r="B701" s="80"/>
      <c r="C701" s="80"/>
      <c r="D701" s="81"/>
      <c r="E701" s="81"/>
      <c r="F701" s="81"/>
      <c r="G701" s="81"/>
      <c r="H701" s="83"/>
      <c r="I701" s="83"/>
      <c r="J701" s="80"/>
      <c r="K701" s="81"/>
      <c r="L701" s="81"/>
      <c r="M701" s="80"/>
      <c r="N701" s="80"/>
      <c r="O701" s="80"/>
      <c r="P701" s="80"/>
      <c r="Q701" s="80"/>
      <c r="R701" s="80"/>
      <c r="S701" s="80"/>
      <c r="T701" s="80"/>
      <c r="U701" s="80"/>
      <c r="V701" s="80"/>
      <c r="W701" s="80"/>
      <c r="X701" s="80"/>
      <c r="Y701" s="80"/>
      <c r="Z701" s="80"/>
    </row>
    <row r="702">
      <c r="A702" s="81"/>
      <c r="B702" s="80"/>
      <c r="C702" s="80"/>
      <c r="D702" s="81"/>
      <c r="E702" s="81"/>
      <c r="F702" s="81"/>
      <c r="G702" s="81"/>
      <c r="H702" s="83"/>
      <c r="I702" s="83"/>
      <c r="J702" s="80"/>
      <c r="K702" s="81"/>
      <c r="L702" s="81"/>
      <c r="M702" s="80"/>
      <c r="N702" s="80"/>
      <c r="O702" s="80"/>
      <c r="P702" s="80"/>
      <c r="Q702" s="80"/>
      <c r="R702" s="80"/>
      <c r="S702" s="80"/>
      <c r="T702" s="80"/>
      <c r="U702" s="80"/>
      <c r="V702" s="80"/>
      <c r="W702" s="80"/>
      <c r="X702" s="80"/>
      <c r="Y702" s="80"/>
      <c r="Z702" s="80"/>
    </row>
    <row r="703">
      <c r="A703" s="81"/>
      <c r="B703" s="80"/>
      <c r="C703" s="80"/>
      <c r="D703" s="81"/>
      <c r="E703" s="81"/>
      <c r="F703" s="81"/>
      <c r="G703" s="81"/>
      <c r="H703" s="83"/>
      <c r="I703" s="83"/>
      <c r="J703" s="80"/>
      <c r="K703" s="81"/>
      <c r="L703" s="81"/>
      <c r="M703" s="80"/>
      <c r="N703" s="80"/>
      <c r="O703" s="80"/>
      <c r="P703" s="80"/>
      <c r="Q703" s="80"/>
      <c r="R703" s="80"/>
      <c r="S703" s="80"/>
      <c r="T703" s="80"/>
      <c r="U703" s="80"/>
      <c r="V703" s="80"/>
      <c r="W703" s="80"/>
      <c r="X703" s="80"/>
      <c r="Y703" s="80"/>
      <c r="Z703" s="80"/>
    </row>
    <row r="704">
      <c r="A704" s="81"/>
      <c r="B704" s="80"/>
      <c r="C704" s="80"/>
      <c r="D704" s="81"/>
      <c r="E704" s="81"/>
      <c r="F704" s="81"/>
      <c r="G704" s="81"/>
      <c r="H704" s="83"/>
      <c r="I704" s="83"/>
      <c r="J704" s="80"/>
      <c r="K704" s="81"/>
      <c r="L704" s="81"/>
      <c r="M704" s="80"/>
      <c r="N704" s="80"/>
      <c r="O704" s="80"/>
      <c r="P704" s="80"/>
      <c r="Q704" s="80"/>
      <c r="R704" s="80"/>
      <c r="S704" s="80"/>
      <c r="T704" s="80"/>
      <c r="U704" s="80"/>
      <c r="V704" s="80"/>
      <c r="W704" s="80"/>
      <c r="X704" s="80"/>
      <c r="Y704" s="80"/>
      <c r="Z704" s="80"/>
    </row>
    <row r="705">
      <c r="A705" s="81"/>
      <c r="B705" s="80"/>
      <c r="C705" s="80"/>
      <c r="D705" s="81"/>
      <c r="E705" s="81"/>
      <c r="F705" s="81"/>
      <c r="G705" s="81"/>
      <c r="H705" s="83"/>
      <c r="I705" s="83"/>
      <c r="J705" s="80"/>
      <c r="K705" s="81"/>
      <c r="L705" s="81"/>
      <c r="M705" s="80"/>
      <c r="N705" s="80"/>
      <c r="O705" s="80"/>
      <c r="P705" s="80"/>
      <c r="Q705" s="80"/>
      <c r="R705" s="80"/>
      <c r="S705" s="80"/>
      <c r="T705" s="80"/>
      <c r="U705" s="80"/>
      <c r="V705" s="80"/>
      <c r="W705" s="80"/>
      <c r="X705" s="80"/>
      <c r="Y705" s="80"/>
      <c r="Z705" s="80"/>
    </row>
    <row r="706">
      <c r="A706" s="81"/>
      <c r="B706" s="80"/>
      <c r="C706" s="80"/>
      <c r="D706" s="81"/>
      <c r="E706" s="81"/>
      <c r="F706" s="81"/>
      <c r="G706" s="81"/>
      <c r="H706" s="83"/>
      <c r="I706" s="83"/>
      <c r="J706" s="80"/>
      <c r="K706" s="81"/>
      <c r="L706" s="81"/>
      <c r="M706" s="80"/>
      <c r="N706" s="80"/>
      <c r="O706" s="80"/>
      <c r="P706" s="80"/>
      <c r="Q706" s="80"/>
      <c r="R706" s="80"/>
      <c r="S706" s="80"/>
      <c r="T706" s="80"/>
      <c r="U706" s="80"/>
      <c r="V706" s="80"/>
      <c r="W706" s="80"/>
      <c r="X706" s="80"/>
      <c r="Y706" s="80"/>
      <c r="Z706" s="80"/>
    </row>
    <row r="707">
      <c r="A707" s="81"/>
      <c r="B707" s="80"/>
      <c r="C707" s="80"/>
      <c r="D707" s="81"/>
      <c r="E707" s="81"/>
      <c r="F707" s="81"/>
      <c r="G707" s="81"/>
      <c r="H707" s="83"/>
      <c r="I707" s="83"/>
      <c r="J707" s="80"/>
      <c r="K707" s="81"/>
      <c r="L707" s="81"/>
      <c r="M707" s="80"/>
      <c r="N707" s="80"/>
      <c r="O707" s="80"/>
      <c r="P707" s="80"/>
      <c r="Q707" s="80"/>
      <c r="R707" s="80"/>
      <c r="S707" s="80"/>
      <c r="T707" s="80"/>
      <c r="U707" s="80"/>
      <c r="V707" s="80"/>
      <c r="W707" s="80"/>
      <c r="X707" s="80"/>
      <c r="Y707" s="80"/>
      <c r="Z707" s="80"/>
    </row>
    <row r="708">
      <c r="A708" s="81"/>
      <c r="B708" s="80"/>
      <c r="C708" s="80"/>
      <c r="D708" s="81"/>
      <c r="E708" s="81"/>
      <c r="F708" s="81"/>
      <c r="G708" s="81"/>
      <c r="H708" s="83"/>
      <c r="I708" s="83"/>
      <c r="J708" s="80"/>
      <c r="K708" s="81"/>
      <c r="L708" s="81"/>
      <c r="M708" s="80"/>
      <c r="N708" s="80"/>
      <c r="O708" s="80"/>
      <c r="P708" s="80"/>
      <c r="Q708" s="80"/>
      <c r="R708" s="80"/>
      <c r="S708" s="80"/>
      <c r="T708" s="80"/>
      <c r="U708" s="80"/>
      <c r="V708" s="80"/>
      <c r="W708" s="80"/>
      <c r="X708" s="80"/>
      <c r="Y708" s="80"/>
      <c r="Z708" s="80"/>
    </row>
    <row r="709">
      <c r="A709" s="81"/>
      <c r="B709" s="80"/>
      <c r="C709" s="80"/>
      <c r="D709" s="81"/>
      <c r="E709" s="81"/>
      <c r="F709" s="81"/>
      <c r="G709" s="81"/>
      <c r="H709" s="83"/>
      <c r="I709" s="83"/>
      <c r="J709" s="80"/>
      <c r="K709" s="81"/>
      <c r="L709" s="81"/>
      <c r="M709" s="80"/>
      <c r="N709" s="80"/>
      <c r="O709" s="80"/>
      <c r="P709" s="80"/>
      <c r="Q709" s="80"/>
      <c r="R709" s="80"/>
      <c r="S709" s="80"/>
      <c r="T709" s="80"/>
      <c r="U709" s="80"/>
      <c r="V709" s="80"/>
      <c r="W709" s="80"/>
      <c r="X709" s="80"/>
      <c r="Y709" s="80"/>
      <c r="Z709" s="80"/>
    </row>
    <row r="710">
      <c r="A710" s="81"/>
      <c r="B710" s="80"/>
      <c r="C710" s="80"/>
      <c r="D710" s="81"/>
      <c r="E710" s="81"/>
      <c r="F710" s="81"/>
      <c r="G710" s="81"/>
      <c r="H710" s="83"/>
      <c r="I710" s="83"/>
      <c r="J710" s="80"/>
      <c r="K710" s="81"/>
      <c r="L710" s="81"/>
      <c r="M710" s="80"/>
      <c r="N710" s="80"/>
      <c r="O710" s="80"/>
      <c r="P710" s="80"/>
      <c r="Q710" s="80"/>
      <c r="R710" s="80"/>
      <c r="S710" s="80"/>
      <c r="T710" s="80"/>
      <c r="U710" s="80"/>
      <c r="V710" s="80"/>
      <c r="W710" s="80"/>
      <c r="X710" s="80"/>
      <c r="Y710" s="80"/>
      <c r="Z710" s="80"/>
    </row>
    <row r="711">
      <c r="A711" s="81"/>
      <c r="B711" s="80"/>
      <c r="C711" s="80"/>
      <c r="D711" s="81"/>
      <c r="E711" s="81"/>
      <c r="F711" s="81"/>
      <c r="G711" s="81"/>
      <c r="H711" s="83"/>
      <c r="I711" s="83"/>
      <c r="J711" s="80"/>
      <c r="K711" s="81"/>
      <c r="L711" s="81"/>
      <c r="M711" s="80"/>
      <c r="N711" s="80"/>
      <c r="O711" s="80"/>
      <c r="P711" s="80"/>
      <c r="Q711" s="80"/>
      <c r="R711" s="80"/>
      <c r="S711" s="80"/>
      <c r="T711" s="80"/>
      <c r="U711" s="80"/>
      <c r="V711" s="80"/>
      <c r="W711" s="80"/>
      <c r="X711" s="80"/>
      <c r="Y711" s="80"/>
      <c r="Z711" s="80"/>
    </row>
    <row r="712">
      <c r="A712" s="81"/>
      <c r="B712" s="80"/>
      <c r="C712" s="80"/>
      <c r="D712" s="81"/>
      <c r="E712" s="81"/>
      <c r="F712" s="81"/>
      <c r="G712" s="81"/>
      <c r="H712" s="83"/>
      <c r="I712" s="83"/>
      <c r="J712" s="80"/>
      <c r="K712" s="81"/>
      <c r="L712" s="81"/>
      <c r="M712" s="80"/>
      <c r="N712" s="80"/>
      <c r="O712" s="80"/>
      <c r="P712" s="80"/>
      <c r="Q712" s="80"/>
      <c r="R712" s="80"/>
      <c r="S712" s="80"/>
      <c r="T712" s="80"/>
      <c r="U712" s="80"/>
      <c r="V712" s="80"/>
      <c r="W712" s="80"/>
      <c r="X712" s="80"/>
      <c r="Y712" s="80"/>
      <c r="Z712" s="80"/>
    </row>
    <row r="713">
      <c r="A713" s="81"/>
      <c r="B713" s="80"/>
      <c r="C713" s="80"/>
      <c r="D713" s="81"/>
      <c r="E713" s="81"/>
      <c r="F713" s="81"/>
      <c r="G713" s="81"/>
      <c r="H713" s="83"/>
      <c r="I713" s="83"/>
      <c r="J713" s="80"/>
      <c r="K713" s="81"/>
      <c r="L713" s="81"/>
      <c r="M713" s="80"/>
      <c r="N713" s="80"/>
      <c r="O713" s="80"/>
      <c r="P713" s="80"/>
      <c r="Q713" s="80"/>
      <c r="R713" s="80"/>
      <c r="S713" s="80"/>
      <c r="T713" s="80"/>
      <c r="U713" s="80"/>
      <c r="V713" s="80"/>
      <c r="W713" s="80"/>
      <c r="X713" s="80"/>
      <c r="Y713" s="80"/>
      <c r="Z713" s="80"/>
    </row>
    <row r="714">
      <c r="A714" s="81"/>
      <c r="B714" s="80"/>
      <c r="C714" s="80"/>
      <c r="D714" s="81"/>
      <c r="E714" s="81"/>
      <c r="F714" s="81"/>
      <c r="G714" s="81"/>
      <c r="H714" s="83"/>
      <c r="I714" s="83"/>
      <c r="J714" s="80"/>
      <c r="K714" s="81"/>
      <c r="L714" s="81"/>
      <c r="M714" s="80"/>
      <c r="N714" s="80"/>
      <c r="O714" s="80"/>
      <c r="P714" s="80"/>
      <c r="Q714" s="80"/>
      <c r="R714" s="80"/>
      <c r="S714" s="80"/>
      <c r="T714" s="80"/>
      <c r="U714" s="80"/>
      <c r="V714" s="80"/>
      <c r="W714" s="80"/>
      <c r="X714" s="80"/>
      <c r="Y714" s="80"/>
      <c r="Z714" s="80"/>
    </row>
    <row r="715">
      <c r="A715" s="81"/>
      <c r="B715" s="80"/>
      <c r="C715" s="80"/>
      <c r="D715" s="81"/>
      <c r="E715" s="81"/>
      <c r="F715" s="81"/>
      <c r="G715" s="81"/>
      <c r="H715" s="83"/>
      <c r="I715" s="83"/>
      <c r="J715" s="80"/>
      <c r="K715" s="81"/>
      <c r="L715" s="81"/>
      <c r="M715" s="80"/>
      <c r="N715" s="80"/>
      <c r="O715" s="80"/>
      <c r="P715" s="80"/>
      <c r="Q715" s="80"/>
      <c r="R715" s="80"/>
      <c r="S715" s="80"/>
      <c r="T715" s="80"/>
      <c r="U715" s="80"/>
      <c r="V715" s="80"/>
      <c r="W715" s="80"/>
      <c r="X715" s="80"/>
      <c r="Y715" s="80"/>
      <c r="Z715" s="80"/>
    </row>
    <row r="716">
      <c r="A716" s="81"/>
      <c r="B716" s="80"/>
      <c r="C716" s="80"/>
      <c r="D716" s="81"/>
      <c r="E716" s="81"/>
      <c r="F716" s="81"/>
      <c r="G716" s="81"/>
      <c r="H716" s="83"/>
      <c r="I716" s="83"/>
      <c r="J716" s="80"/>
      <c r="K716" s="81"/>
      <c r="L716" s="81"/>
      <c r="M716" s="80"/>
      <c r="N716" s="80"/>
      <c r="O716" s="80"/>
      <c r="P716" s="80"/>
      <c r="Q716" s="80"/>
      <c r="R716" s="80"/>
      <c r="S716" s="80"/>
      <c r="T716" s="80"/>
      <c r="U716" s="80"/>
      <c r="V716" s="80"/>
      <c r="W716" s="80"/>
      <c r="X716" s="80"/>
      <c r="Y716" s="80"/>
      <c r="Z716" s="80"/>
    </row>
    <row r="717">
      <c r="A717" s="81"/>
      <c r="B717" s="80"/>
      <c r="C717" s="80"/>
      <c r="D717" s="81"/>
      <c r="E717" s="81"/>
      <c r="F717" s="81"/>
      <c r="G717" s="81"/>
      <c r="H717" s="83"/>
      <c r="I717" s="83"/>
      <c r="J717" s="80"/>
      <c r="K717" s="81"/>
      <c r="L717" s="81"/>
      <c r="M717" s="80"/>
      <c r="N717" s="80"/>
      <c r="O717" s="80"/>
      <c r="P717" s="80"/>
      <c r="Q717" s="80"/>
      <c r="R717" s="80"/>
      <c r="S717" s="80"/>
      <c r="T717" s="80"/>
      <c r="U717" s="80"/>
      <c r="V717" s="80"/>
      <c r="W717" s="80"/>
      <c r="X717" s="80"/>
      <c r="Y717" s="80"/>
      <c r="Z717" s="80"/>
    </row>
    <row r="718">
      <c r="A718" s="81"/>
      <c r="B718" s="80"/>
      <c r="C718" s="80"/>
      <c r="D718" s="81"/>
      <c r="E718" s="81"/>
      <c r="F718" s="81"/>
      <c r="G718" s="81"/>
      <c r="H718" s="83"/>
      <c r="I718" s="83"/>
      <c r="J718" s="80"/>
      <c r="K718" s="81"/>
      <c r="L718" s="81"/>
      <c r="M718" s="80"/>
      <c r="N718" s="80"/>
      <c r="O718" s="80"/>
      <c r="P718" s="80"/>
      <c r="Q718" s="80"/>
      <c r="R718" s="80"/>
      <c r="S718" s="80"/>
      <c r="T718" s="80"/>
      <c r="U718" s="80"/>
      <c r="V718" s="80"/>
      <c r="W718" s="80"/>
      <c r="X718" s="80"/>
      <c r="Y718" s="80"/>
      <c r="Z718" s="80"/>
    </row>
    <row r="719">
      <c r="A719" s="81"/>
      <c r="B719" s="80"/>
      <c r="C719" s="80"/>
      <c r="D719" s="81"/>
      <c r="E719" s="81"/>
      <c r="F719" s="81"/>
      <c r="G719" s="81"/>
      <c r="H719" s="83"/>
      <c r="I719" s="83"/>
      <c r="J719" s="80"/>
      <c r="K719" s="81"/>
      <c r="L719" s="81"/>
      <c r="M719" s="80"/>
      <c r="N719" s="80"/>
      <c r="O719" s="80"/>
      <c r="P719" s="80"/>
      <c r="Q719" s="80"/>
      <c r="R719" s="80"/>
      <c r="S719" s="80"/>
      <c r="T719" s="80"/>
      <c r="U719" s="80"/>
      <c r="V719" s="80"/>
      <c r="W719" s="80"/>
      <c r="X719" s="80"/>
      <c r="Y719" s="80"/>
      <c r="Z719" s="80"/>
    </row>
    <row r="720">
      <c r="A720" s="81"/>
      <c r="B720" s="80"/>
      <c r="C720" s="80"/>
      <c r="D720" s="81"/>
      <c r="E720" s="81"/>
      <c r="F720" s="81"/>
      <c r="G720" s="81"/>
      <c r="H720" s="83"/>
      <c r="I720" s="83"/>
      <c r="J720" s="80"/>
      <c r="K720" s="81"/>
      <c r="L720" s="81"/>
      <c r="M720" s="80"/>
      <c r="N720" s="80"/>
      <c r="O720" s="80"/>
      <c r="P720" s="80"/>
      <c r="Q720" s="80"/>
      <c r="R720" s="80"/>
      <c r="S720" s="80"/>
      <c r="T720" s="80"/>
      <c r="U720" s="80"/>
      <c r="V720" s="80"/>
      <c r="W720" s="80"/>
      <c r="X720" s="80"/>
      <c r="Y720" s="80"/>
      <c r="Z720" s="80"/>
    </row>
    <row r="721">
      <c r="A721" s="81"/>
      <c r="B721" s="80"/>
      <c r="C721" s="80"/>
      <c r="D721" s="81"/>
      <c r="E721" s="81"/>
      <c r="F721" s="81"/>
      <c r="G721" s="81"/>
      <c r="H721" s="83"/>
      <c r="I721" s="83"/>
      <c r="J721" s="80"/>
      <c r="K721" s="81"/>
      <c r="L721" s="81"/>
      <c r="M721" s="80"/>
      <c r="N721" s="80"/>
      <c r="O721" s="80"/>
      <c r="P721" s="80"/>
      <c r="Q721" s="80"/>
      <c r="R721" s="80"/>
      <c r="S721" s="80"/>
      <c r="T721" s="80"/>
      <c r="U721" s="80"/>
      <c r="V721" s="80"/>
      <c r="W721" s="80"/>
      <c r="X721" s="80"/>
      <c r="Y721" s="80"/>
      <c r="Z721" s="80"/>
    </row>
    <row r="722">
      <c r="A722" s="81"/>
      <c r="B722" s="80"/>
      <c r="C722" s="80"/>
      <c r="D722" s="81"/>
      <c r="E722" s="81"/>
      <c r="F722" s="81"/>
      <c r="G722" s="81"/>
      <c r="H722" s="83"/>
      <c r="I722" s="83"/>
      <c r="J722" s="80"/>
      <c r="K722" s="81"/>
      <c r="L722" s="81"/>
      <c r="M722" s="80"/>
      <c r="N722" s="80"/>
      <c r="O722" s="80"/>
      <c r="P722" s="80"/>
      <c r="Q722" s="80"/>
      <c r="R722" s="80"/>
      <c r="S722" s="80"/>
      <c r="T722" s="80"/>
      <c r="U722" s="80"/>
      <c r="V722" s="80"/>
      <c r="W722" s="80"/>
      <c r="X722" s="80"/>
      <c r="Y722" s="80"/>
      <c r="Z722" s="80"/>
    </row>
    <row r="723">
      <c r="A723" s="81"/>
      <c r="B723" s="80"/>
      <c r="C723" s="80"/>
      <c r="D723" s="81"/>
      <c r="E723" s="81"/>
      <c r="F723" s="81"/>
      <c r="G723" s="81"/>
      <c r="H723" s="83"/>
      <c r="I723" s="83"/>
      <c r="J723" s="80"/>
      <c r="K723" s="81"/>
      <c r="L723" s="81"/>
      <c r="M723" s="80"/>
      <c r="N723" s="80"/>
      <c r="O723" s="80"/>
      <c r="P723" s="80"/>
      <c r="Q723" s="80"/>
      <c r="R723" s="80"/>
      <c r="S723" s="80"/>
      <c r="T723" s="80"/>
      <c r="U723" s="80"/>
      <c r="V723" s="80"/>
      <c r="W723" s="80"/>
      <c r="X723" s="80"/>
      <c r="Y723" s="80"/>
      <c r="Z723" s="80"/>
    </row>
    <row r="724">
      <c r="A724" s="81"/>
      <c r="B724" s="80"/>
      <c r="C724" s="80"/>
      <c r="D724" s="81"/>
      <c r="E724" s="81"/>
      <c r="F724" s="81"/>
      <c r="G724" s="81"/>
      <c r="H724" s="83"/>
      <c r="I724" s="83"/>
      <c r="J724" s="80"/>
      <c r="K724" s="81"/>
      <c r="L724" s="81"/>
      <c r="M724" s="80"/>
      <c r="N724" s="80"/>
      <c r="O724" s="80"/>
      <c r="P724" s="80"/>
      <c r="Q724" s="80"/>
      <c r="R724" s="80"/>
      <c r="S724" s="80"/>
      <c r="T724" s="80"/>
      <c r="U724" s="80"/>
      <c r="V724" s="80"/>
      <c r="W724" s="80"/>
      <c r="X724" s="80"/>
      <c r="Y724" s="80"/>
      <c r="Z724" s="80"/>
    </row>
    <row r="725">
      <c r="A725" s="81"/>
      <c r="B725" s="80"/>
      <c r="C725" s="80"/>
      <c r="D725" s="81"/>
      <c r="E725" s="81"/>
      <c r="F725" s="81"/>
      <c r="G725" s="81"/>
      <c r="H725" s="83"/>
      <c r="I725" s="83"/>
      <c r="J725" s="80"/>
      <c r="K725" s="81"/>
      <c r="L725" s="81"/>
      <c r="M725" s="80"/>
      <c r="N725" s="80"/>
      <c r="O725" s="80"/>
      <c r="P725" s="80"/>
      <c r="Q725" s="80"/>
      <c r="R725" s="80"/>
      <c r="S725" s="80"/>
      <c r="T725" s="80"/>
      <c r="U725" s="80"/>
      <c r="V725" s="80"/>
      <c r="W725" s="80"/>
      <c r="X725" s="80"/>
      <c r="Y725" s="80"/>
      <c r="Z725" s="80"/>
    </row>
    <row r="726">
      <c r="A726" s="81"/>
      <c r="B726" s="80"/>
      <c r="C726" s="80"/>
      <c r="D726" s="81"/>
      <c r="E726" s="81"/>
      <c r="F726" s="81"/>
      <c r="G726" s="81"/>
      <c r="H726" s="83"/>
      <c r="I726" s="83"/>
      <c r="J726" s="80"/>
      <c r="K726" s="81"/>
      <c r="L726" s="81"/>
      <c r="M726" s="80"/>
      <c r="N726" s="80"/>
      <c r="O726" s="80"/>
      <c r="P726" s="80"/>
      <c r="Q726" s="80"/>
      <c r="R726" s="80"/>
      <c r="S726" s="80"/>
      <c r="T726" s="80"/>
      <c r="U726" s="80"/>
      <c r="V726" s="80"/>
      <c r="W726" s="80"/>
      <c r="X726" s="80"/>
      <c r="Y726" s="80"/>
      <c r="Z726" s="80"/>
    </row>
    <row r="727">
      <c r="A727" s="81"/>
      <c r="B727" s="80"/>
      <c r="C727" s="80"/>
      <c r="D727" s="81"/>
      <c r="E727" s="81"/>
      <c r="F727" s="81"/>
      <c r="G727" s="81"/>
      <c r="H727" s="83"/>
      <c r="I727" s="83"/>
      <c r="J727" s="80"/>
      <c r="K727" s="81"/>
      <c r="L727" s="81"/>
      <c r="M727" s="80"/>
      <c r="N727" s="80"/>
      <c r="O727" s="80"/>
      <c r="P727" s="80"/>
      <c r="Q727" s="80"/>
      <c r="R727" s="80"/>
      <c r="S727" s="80"/>
      <c r="T727" s="80"/>
      <c r="U727" s="80"/>
      <c r="V727" s="80"/>
      <c r="W727" s="80"/>
      <c r="X727" s="80"/>
      <c r="Y727" s="80"/>
      <c r="Z727" s="80"/>
    </row>
    <row r="728">
      <c r="A728" s="81"/>
      <c r="B728" s="80"/>
      <c r="C728" s="80"/>
      <c r="D728" s="81"/>
      <c r="E728" s="81"/>
      <c r="F728" s="81"/>
      <c r="G728" s="81"/>
      <c r="H728" s="83"/>
      <c r="I728" s="83"/>
      <c r="J728" s="80"/>
      <c r="K728" s="81"/>
      <c r="L728" s="81"/>
      <c r="M728" s="80"/>
      <c r="N728" s="80"/>
      <c r="O728" s="80"/>
      <c r="P728" s="80"/>
      <c r="Q728" s="80"/>
      <c r="R728" s="80"/>
      <c r="S728" s="80"/>
      <c r="T728" s="80"/>
      <c r="U728" s="80"/>
      <c r="V728" s="80"/>
      <c r="W728" s="80"/>
      <c r="X728" s="80"/>
      <c r="Y728" s="80"/>
      <c r="Z728" s="80"/>
    </row>
    <row r="729">
      <c r="A729" s="81"/>
      <c r="B729" s="80"/>
      <c r="C729" s="80"/>
      <c r="D729" s="81"/>
      <c r="E729" s="81"/>
      <c r="F729" s="81"/>
      <c r="G729" s="81"/>
      <c r="H729" s="83"/>
      <c r="I729" s="83"/>
      <c r="J729" s="80"/>
      <c r="K729" s="81"/>
      <c r="L729" s="81"/>
      <c r="M729" s="80"/>
      <c r="N729" s="80"/>
      <c r="O729" s="80"/>
      <c r="P729" s="80"/>
      <c r="Q729" s="80"/>
      <c r="R729" s="80"/>
      <c r="S729" s="80"/>
      <c r="T729" s="80"/>
      <c r="U729" s="80"/>
      <c r="V729" s="80"/>
      <c r="W729" s="80"/>
      <c r="X729" s="80"/>
      <c r="Y729" s="80"/>
      <c r="Z729" s="80"/>
    </row>
    <row r="730">
      <c r="A730" s="81"/>
      <c r="B730" s="80"/>
      <c r="C730" s="80"/>
      <c r="D730" s="81"/>
      <c r="E730" s="81"/>
      <c r="F730" s="81"/>
      <c r="G730" s="81"/>
      <c r="H730" s="83"/>
      <c r="I730" s="83"/>
      <c r="J730" s="80"/>
      <c r="K730" s="81"/>
      <c r="L730" s="81"/>
      <c r="M730" s="80"/>
      <c r="N730" s="80"/>
      <c r="O730" s="80"/>
      <c r="P730" s="80"/>
      <c r="Q730" s="80"/>
      <c r="R730" s="80"/>
      <c r="S730" s="80"/>
      <c r="T730" s="80"/>
      <c r="U730" s="80"/>
      <c r="V730" s="80"/>
      <c r="W730" s="80"/>
      <c r="X730" s="80"/>
      <c r="Y730" s="80"/>
      <c r="Z730" s="80"/>
    </row>
    <row r="731">
      <c r="A731" s="81"/>
      <c r="B731" s="80"/>
      <c r="C731" s="80"/>
      <c r="D731" s="81"/>
      <c r="E731" s="81"/>
      <c r="F731" s="81"/>
      <c r="G731" s="81"/>
      <c r="H731" s="83"/>
      <c r="I731" s="83"/>
      <c r="J731" s="80"/>
      <c r="K731" s="81"/>
      <c r="L731" s="81"/>
      <c r="M731" s="80"/>
      <c r="N731" s="80"/>
      <c r="O731" s="80"/>
      <c r="P731" s="80"/>
      <c r="Q731" s="80"/>
      <c r="R731" s="80"/>
      <c r="S731" s="80"/>
      <c r="T731" s="80"/>
      <c r="U731" s="80"/>
      <c r="V731" s="80"/>
      <c r="W731" s="80"/>
      <c r="X731" s="80"/>
      <c r="Y731" s="80"/>
      <c r="Z731" s="80"/>
    </row>
    <row r="732">
      <c r="A732" s="81"/>
      <c r="B732" s="80"/>
      <c r="C732" s="80"/>
      <c r="D732" s="81"/>
      <c r="E732" s="81"/>
      <c r="F732" s="81"/>
      <c r="G732" s="81"/>
      <c r="H732" s="83"/>
      <c r="I732" s="83"/>
      <c r="J732" s="80"/>
      <c r="K732" s="81"/>
      <c r="L732" s="81"/>
      <c r="M732" s="80"/>
      <c r="N732" s="80"/>
      <c r="O732" s="80"/>
      <c r="P732" s="80"/>
      <c r="Q732" s="80"/>
      <c r="R732" s="80"/>
      <c r="S732" s="80"/>
      <c r="T732" s="80"/>
      <c r="U732" s="80"/>
      <c r="V732" s="80"/>
      <c r="W732" s="80"/>
      <c r="X732" s="80"/>
      <c r="Y732" s="80"/>
      <c r="Z732" s="80"/>
    </row>
    <row r="733">
      <c r="A733" s="81"/>
      <c r="B733" s="80"/>
      <c r="C733" s="80"/>
      <c r="D733" s="81"/>
      <c r="E733" s="81"/>
      <c r="F733" s="81"/>
      <c r="G733" s="81"/>
      <c r="H733" s="83"/>
      <c r="I733" s="83"/>
      <c r="J733" s="80"/>
      <c r="K733" s="81"/>
      <c r="L733" s="81"/>
      <c r="M733" s="80"/>
      <c r="N733" s="80"/>
      <c r="O733" s="80"/>
      <c r="P733" s="80"/>
      <c r="Q733" s="80"/>
      <c r="R733" s="80"/>
      <c r="S733" s="80"/>
      <c r="T733" s="80"/>
      <c r="U733" s="80"/>
      <c r="V733" s="80"/>
      <c r="W733" s="80"/>
      <c r="X733" s="80"/>
      <c r="Y733" s="80"/>
      <c r="Z733" s="80"/>
    </row>
    <row r="734">
      <c r="A734" s="81"/>
      <c r="B734" s="80"/>
      <c r="C734" s="80"/>
      <c r="D734" s="81"/>
      <c r="E734" s="81"/>
      <c r="F734" s="81"/>
      <c r="G734" s="81"/>
      <c r="H734" s="83"/>
      <c r="I734" s="83"/>
      <c r="J734" s="80"/>
      <c r="K734" s="81"/>
      <c r="L734" s="81"/>
      <c r="M734" s="80"/>
      <c r="N734" s="80"/>
      <c r="O734" s="80"/>
      <c r="P734" s="80"/>
      <c r="Q734" s="80"/>
      <c r="R734" s="80"/>
      <c r="S734" s="80"/>
      <c r="T734" s="80"/>
      <c r="U734" s="80"/>
      <c r="V734" s="80"/>
      <c r="W734" s="80"/>
      <c r="X734" s="80"/>
      <c r="Y734" s="80"/>
      <c r="Z734" s="80"/>
    </row>
    <row r="735">
      <c r="A735" s="81"/>
      <c r="B735" s="80"/>
      <c r="C735" s="80"/>
      <c r="D735" s="81"/>
      <c r="E735" s="81"/>
      <c r="F735" s="81"/>
      <c r="G735" s="81"/>
      <c r="H735" s="83"/>
      <c r="I735" s="83"/>
      <c r="J735" s="80"/>
      <c r="K735" s="81"/>
      <c r="L735" s="81"/>
      <c r="M735" s="80"/>
      <c r="N735" s="80"/>
      <c r="O735" s="80"/>
      <c r="P735" s="80"/>
      <c r="Q735" s="80"/>
      <c r="R735" s="80"/>
      <c r="S735" s="80"/>
      <c r="T735" s="80"/>
      <c r="U735" s="80"/>
      <c r="V735" s="80"/>
      <c r="W735" s="80"/>
      <c r="X735" s="80"/>
      <c r="Y735" s="80"/>
      <c r="Z735" s="80"/>
    </row>
    <row r="736">
      <c r="A736" s="81"/>
      <c r="B736" s="80"/>
      <c r="C736" s="80"/>
      <c r="D736" s="81"/>
      <c r="E736" s="81"/>
      <c r="F736" s="81"/>
      <c r="G736" s="81"/>
      <c r="H736" s="83"/>
      <c r="I736" s="83"/>
      <c r="J736" s="80"/>
      <c r="K736" s="81"/>
      <c r="L736" s="81"/>
      <c r="M736" s="80"/>
      <c r="N736" s="80"/>
      <c r="O736" s="80"/>
      <c r="P736" s="80"/>
      <c r="Q736" s="80"/>
      <c r="R736" s="80"/>
      <c r="S736" s="80"/>
      <c r="T736" s="80"/>
      <c r="U736" s="80"/>
      <c r="V736" s="80"/>
      <c r="W736" s="80"/>
      <c r="X736" s="80"/>
      <c r="Y736" s="80"/>
      <c r="Z736" s="80"/>
    </row>
    <row r="737">
      <c r="A737" s="81"/>
      <c r="B737" s="80"/>
      <c r="C737" s="80"/>
      <c r="D737" s="81"/>
      <c r="E737" s="81"/>
      <c r="F737" s="81"/>
      <c r="G737" s="81"/>
      <c r="H737" s="83"/>
      <c r="I737" s="83"/>
      <c r="J737" s="80"/>
      <c r="K737" s="81"/>
      <c r="L737" s="81"/>
      <c r="M737" s="80"/>
      <c r="N737" s="80"/>
      <c r="O737" s="80"/>
      <c r="P737" s="80"/>
      <c r="Q737" s="80"/>
      <c r="R737" s="80"/>
      <c r="S737" s="80"/>
      <c r="T737" s="80"/>
      <c r="U737" s="80"/>
      <c r="V737" s="80"/>
      <c r="W737" s="80"/>
      <c r="X737" s="80"/>
      <c r="Y737" s="80"/>
      <c r="Z737" s="80"/>
    </row>
    <row r="738">
      <c r="A738" s="81"/>
      <c r="B738" s="80"/>
      <c r="C738" s="80"/>
      <c r="D738" s="81"/>
      <c r="E738" s="81"/>
      <c r="F738" s="81"/>
      <c r="G738" s="81"/>
      <c r="H738" s="83"/>
      <c r="I738" s="83"/>
      <c r="J738" s="80"/>
      <c r="K738" s="81"/>
      <c r="L738" s="81"/>
      <c r="M738" s="80"/>
      <c r="N738" s="80"/>
      <c r="O738" s="80"/>
      <c r="P738" s="80"/>
      <c r="Q738" s="80"/>
      <c r="R738" s="80"/>
      <c r="S738" s="80"/>
      <c r="T738" s="80"/>
      <c r="U738" s="80"/>
      <c r="V738" s="80"/>
      <c r="W738" s="80"/>
      <c r="X738" s="80"/>
      <c r="Y738" s="80"/>
      <c r="Z738" s="80"/>
    </row>
    <row r="739">
      <c r="A739" s="81"/>
      <c r="B739" s="80"/>
      <c r="C739" s="80"/>
      <c r="D739" s="81"/>
      <c r="E739" s="81"/>
      <c r="F739" s="81"/>
      <c r="G739" s="81"/>
      <c r="H739" s="83"/>
      <c r="I739" s="83"/>
      <c r="J739" s="80"/>
      <c r="K739" s="81"/>
      <c r="L739" s="81"/>
      <c r="M739" s="80"/>
      <c r="N739" s="80"/>
      <c r="O739" s="80"/>
      <c r="P739" s="80"/>
      <c r="Q739" s="80"/>
      <c r="R739" s="80"/>
      <c r="S739" s="80"/>
      <c r="T739" s="80"/>
      <c r="U739" s="80"/>
      <c r="V739" s="80"/>
      <c r="W739" s="80"/>
      <c r="X739" s="80"/>
      <c r="Y739" s="80"/>
      <c r="Z739" s="80"/>
    </row>
    <row r="740">
      <c r="A740" s="81"/>
      <c r="B740" s="80"/>
      <c r="C740" s="80"/>
      <c r="D740" s="81"/>
      <c r="E740" s="81"/>
      <c r="F740" s="81"/>
      <c r="G740" s="81"/>
      <c r="H740" s="83"/>
      <c r="I740" s="83"/>
      <c r="J740" s="80"/>
      <c r="K740" s="81"/>
      <c r="L740" s="81"/>
      <c r="M740" s="80"/>
      <c r="N740" s="80"/>
      <c r="O740" s="80"/>
      <c r="P740" s="80"/>
      <c r="Q740" s="80"/>
      <c r="R740" s="80"/>
      <c r="S740" s="80"/>
      <c r="T740" s="80"/>
      <c r="U740" s="80"/>
      <c r="V740" s="80"/>
      <c r="W740" s="80"/>
      <c r="X740" s="80"/>
      <c r="Y740" s="80"/>
      <c r="Z740" s="80"/>
    </row>
    <row r="741">
      <c r="A741" s="81"/>
      <c r="B741" s="80"/>
      <c r="C741" s="80"/>
      <c r="D741" s="81"/>
      <c r="E741" s="81"/>
      <c r="F741" s="81"/>
      <c r="G741" s="81"/>
      <c r="H741" s="83"/>
      <c r="I741" s="83"/>
      <c r="J741" s="80"/>
      <c r="K741" s="81"/>
      <c r="L741" s="81"/>
      <c r="M741" s="80"/>
      <c r="N741" s="80"/>
      <c r="O741" s="80"/>
      <c r="P741" s="80"/>
      <c r="Q741" s="80"/>
      <c r="R741" s="80"/>
      <c r="S741" s="80"/>
      <c r="T741" s="80"/>
      <c r="U741" s="80"/>
      <c r="V741" s="80"/>
      <c r="W741" s="80"/>
      <c r="X741" s="80"/>
      <c r="Y741" s="80"/>
      <c r="Z741" s="80"/>
    </row>
    <row r="742">
      <c r="A742" s="81"/>
      <c r="B742" s="80"/>
      <c r="C742" s="80"/>
      <c r="D742" s="81"/>
      <c r="E742" s="81"/>
      <c r="F742" s="81"/>
      <c r="G742" s="81"/>
      <c r="H742" s="83"/>
      <c r="I742" s="83"/>
      <c r="J742" s="80"/>
      <c r="K742" s="81"/>
      <c r="L742" s="81"/>
      <c r="M742" s="80"/>
      <c r="N742" s="80"/>
      <c r="O742" s="80"/>
      <c r="P742" s="80"/>
      <c r="Q742" s="80"/>
      <c r="R742" s="80"/>
      <c r="S742" s="80"/>
      <c r="T742" s="80"/>
      <c r="U742" s="80"/>
      <c r="V742" s="80"/>
      <c r="W742" s="80"/>
      <c r="X742" s="80"/>
      <c r="Y742" s="80"/>
      <c r="Z742" s="80"/>
    </row>
    <row r="743">
      <c r="A743" s="81"/>
      <c r="B743" s="80"/>
      <c r="C743" s="80"/>
      <c r="D743" s="81"/>
      <c r="E743" s="81"/>
      <c r="F743" s="81"/>
      <c r="G743" s="81"/>
      <c r="H743" s="83"/>
      <c r="I743" s="83"/>
      <c r="J743" s="80"/>
      <c r="K743" s="81"/>
      <c r="L743" s="81"/>
      <c r="M743" s="80"/>
      <c r="N743" s="80"/>
      <c r="O743" s="80"/>
      <c r="P743" s="80"/>
      <c r="Q743" s="80"/>
      <c r="R743" s="80"/>
      <c r="S743" s="80"/>
      <c r="T743" s="80"/>
      <c r="U743" s="80"/>
      <c r="V743" s="80"/>
      <c r="W743" s="80"/>
      <c r="X743" s="80"/>
      <c r="Y743" s="80"/>
      <c r="Z743" s="80"/>
    </row>
    <row r="744">
      <c r="A744" s="81"/>
      <c r="B744" s="80"/>
      <c r="C744" s="80"/>
      <c r="D744" s="81"/>
      <c r="E744" s="81"/>
      <c r="F744" s="81"/>
      <c r="G744" s="81"/>
      <c r="H744" s="83"/>
      <c r="I744" s="83"/>
      <c r="J744" s="80"/>
      <c r="K744" s="81"/>
      <c r="L744" s="81"/>
      <c r="M744" s="80"/>
      <c r="N744" s="80"/>
      <c r="O744" s="80"/>
      <c r="P744" s="80"/>
      <c r="Q744" s="80"/>
      <c r="R744" s="80"/>
      <c r="S744" s="80"/>
      <c r="T744" s="80"/>
      <c r="U744" s="80"/>
      <c r="V744" s="80"/>
      <c r="W744" s="80"/>
      <c r="X744" s="80"/>
      <c r="Y744" s="80"/>
      <c r="Z744" s="80"/>
    </row>
    <row r="745">
      <c r="A745" s="81"/>
      <c r="B745" s="80"/>
      <c r="C745" s="80"/>
      <c r="D745" s="81"/>
      <c r="E745" s="81"/>
      <c r="F745" s="81"/>
      <c r="G745" s="81"/>
      <c r="H745" s="83"/>
      <c r="I745" s="83"/>
      <c r="J745" s="80"/>
      <c r="K745" s="81"/>
      <c r="L745" s="81"/>
      <c r="M745" s="80"/>
      <c r="N745" s="80"/>
      <c r="O745" s="80"/>
      <c r="P745" s="80"/>
      <c r="Q745" s="80"/>
      <c r="R745" s="80"/>
      <c r="S745" s="80"/>
      <c r="T745" s="80"/>
      <c r="U745" s="80"/>
      <c r="V745" s="80"/>
      <c r="W745" s="80"/>
      <c r="X745" s="80"/>
      <c r="Y745" s="80"/>
      <c r="Z745" s="80"/>
    </row>
    <row r="746">
      <c r="A746" s="81"/>
      <c r="B746" s="80"/>
      <c r="C746" s="80"/>
      <c r="D746" s="81"/>
      <c r="E746" s="81"/>
      <c r="F746" s="81"/>
      <c r="G746" s="81"/>
      <c r="H746" s="83"/>
      <c r="I746" s="83"/>
      <c r="J746" s="80"/>
      <c r="K746" s="81"/>
      <c r="L746" s="81"/>
      <c r="M746" s="80"/>
      <c r="N746" s="80"/>
      <c r="O746" s="80"/>
      <c r="P746" s="80"/>
      <c r="Q746" s="80"/>
      <c r="R746" s="80"/>
      <c r="S746" s="80"/>
      <c r="T746" s="80"/>
      <c r="U746" s="80"/>
      <c r="V746" s="80"/>
      <c r="W746" s="80"/>
      <c r="X746" s="80"/>
      <c r="Y746" s="80"/>
      <c r="Z746" s="80"/>
    </row>
    <row r="747">
      <c r="A747" s="81"/>
      <c r="B747" s="80"/>
      <c r="C747" s="80"/>
      <c r="D747" s="81"/>
      <c r="E747" s="81"/>
      <c r="F747" s="81"/>
      <c r="G747" s="81"/>
      <c r="H747" s="83"/>
      <c r="I747" s="83"/>
      <c r="J747" s="80"/>
      <c r="K747" s="81"/>
      <c r="L747" s="81"/>
      <c r="M747" s="80"/>
      <c r="N747" s="80"/>
      <c r="O747" s="80"/>
      <c r="P747" s="80"/>
      <c r="Q747" s="80"/>
      <c r="R747" s="80"/>
      <c r="S747" s="80"/>
      <c r="T747" s="80"/>
      <c r="U747" s="80"/>
      <c r="V747" s="80"/>
      <c r="W747" s="80"/>
      <c r="X747" s="80"/>
      <c r="Y747" s="80"/>
      <c r="Z747" s="80"/>
    </row>
    <row r="748">
      <c r="A748" s="81"/>
      <c r="B748" s="80"/>
      <c r="C748" s="80"/>
      <c r="D748" s="81"/>
      <c r="E748" s="81"/>
      <c r="F748" s="81"/>
      <c r="G748" s="81"/>
      <c r="H748" s="83"/>
      <c r="I748" s="83"/>
      <c r="J748" s="80"/>
      <c r="K748" s="81"/>
      <c r="L748" s="81"/>
      <c r="M748" s="80"/>
      <c r="N748" s="80"/>
      <c r="O748" s="80"/>
      <c r="P748" s="80"/>
      <c r="Q748" s="80"/>
      <c r="R748" s="80"/>
      <c r="S748" s="80"/>
      <c r="T748" s="80"/>
      <c r="U748" s="80"/>
      <c r="V748" s="80"/>
      <c r="W748" s="80"/>
      <c r="X748" s="80"/>
      <c r="Y748" s="80"/>
      <c r="Z748" s="80"/>
    </row>
    <row r="749">
      <c r="A749" s="81"/>
      <c r="B749" s="80"/>
      <c r="C749" s="80"/>
      <c r="D749" s="81"/>
      <c r="E749" s="81"/>
      <c r="F749" s="81"/>
      <c r="G749" s="81"/>
      <c r="H749" s="83"/>
      <c r="I749" s="83"/>
      <c r="J749" s="80"/>
      <c r="K749" s="81"/>
      <c r="L749" s="81"/>
      <c r="M749" s="80"/>
      <c r="N749" s="80"/>
      <c r="O749" s="80"/>
      <c r="P749" s="80"/>
      <c r="Q749" s="80"/>
      <c r="R749" s="80"/>
      <c r="S749" s="80"/>
      <c r="T749" s="80"/>
      <c r="U749" s="80"/>
      <c r="V749" s="80"/>
      <c r="W749" s="80"/>
      <c r="X749" s="80"/>
      <c r="Y749" s="80"/>
      <c r="Z749" s="80"/>
    </row>
    <row r="750">
      <c r="A750" s="81"/>
      <c r="B750" s="80"/>
      <c r="C750" s="80"/>
      <c r="D750" s="81"/>
      <c r="E750" s="81"/>
      <c r="F750" s="81"/>
      <c r="G750" s="81"/>
      <c r="H750" s="83"/>
      <c r="I750" s="83"/>
      <c r="J750" s="80"/>
      <c r="K750" s="81"/>
      <c r="L750" s="81"/>
      <c r="M750" s="80"/>
      <c r="N750" s="80"/>
      <c r="O750" s="80"/>
      <c r="P750" s="80"/>
      <c r="Q750" s="80"/>
      <c r="R750" s="80"/>
      <c r="S750" s="80"/>
      <c r="T750" s="80"/>
      <c r="U750" s="80"/>
      <c r="V750" s="80"/>
      <c r="W750" s="80"/>
      <c r="X750" s="80"/>
      <c r="Y750" s="80"/>
      <c r="Z750" s="80"/>
    </row>
    <row r="751">
      <c r="A751" s="81"/>
      <c r="B751" s="80"/>
      <c r="C751" s="80"/>
      <c r="D751" s="81"/>
      <c r="E751" s="81"/>
      <c r="F751" s="81"/>
      <c r="G751" s="81"/>
      <c r="H751" s="83"/>
      <c r="I751" s="83"/>
      <c r="J751" s="80"/>
      <c r="K751" s="81"/>
      <c r="L751" s="81"/>
      <c r="M751" s="80"/>
      <c r="N751" s="80"/>
      <c r="O751" s="80"/>
      <c r="P751" s="80"/>
      <c r="Q751" s="80"/>
      <c r="R751" s="80"/>
      <c r="S751" s="80"/>
      <c r="T751" s="80"/>
      <c r="U751" s="80"/>
      <c r="V751" s="80"/>
      <c r="W751" s="80"/>
      <c r="X751" s="80"/>
      <c r="Y751" s="80"/>
      <c r="Z751" s="80"/>
    </row>
    <row r="752">
      <c r="A752" s="81"/>
      <c r="B752" s="80"/>
      <c r="C752" s="80"/>
      <c r="D752" s="81"/>
      <c r="E752" s="81"/>
      <c r="F752" s="81"/>
      <c r="G752" s="81"/>
      <c r="H752" s="83"/>
      <c r="I752" s="83"/>
      <c r="J752" s="80"/>
      <c r="K752" s="81"/>
      <c r="L752" s="81"/>
      <c r="M752" s="80"/>
      <c r="N752" s="80"/>
      <c r="O752" s="80"/>
      <c r="P752" s="80"/>
      <c r="Q752" s="80"/>
      <c r="R752" s="80"/>
      <c r="S752" s="80"/>
      <c r="T752" s="80"/>
      <c r="U752" s="80"/>
      <c r="V752" s="80"/>
      <c r="W752" s="80"/>
      <c r="X752" s="80"/>
      <c r="Y752" s="80"/>
      <c r="Z752" s="80"/>
    </row>
    <row r="753">
      <c r="A753" s="81"/>
      <c r="B753" s="80"/>
      <c r="C753" s="80"/>
      <c r="D753" s="81"/>
      <c r="E753" s="81"/>
      <c r="F753" s="81"/>
      <c r="G753" s="81"/>
      <c r="H753" s="83"/>
      <c r="I753" s="83"/>
      <c r="J753" s="80"/>
      <c r="K753" s="81"/>
      <c r="L753" s="81"/>
      <c r="M753" s="80"/>
      <c r="N753" s="80"/>
      <c r="O753" s="80"/>
      <c r="P753" s="80"/>
      <c r="Q753" s="80"/>
      <c r="R753" s="80"/>
      <c r="S753" s="80"/>
      <c r="T753" s="80"/>
      <c r="U753" s="80"/>
      <c r="V753" s="80"/>
      <c r="W753" s="80"/>
      <c r="X753" s="80"/>
      <c r="Y753" s="80"/>
      <c r="Z753" s="80"/>
    </row>
    <row r="754">
      <c r="A754" s="81"/>
      <c r="B754" s="80"/>
      <c r="C754" s="80"/>
      <c r="D754" s="81"/>
      <c r="E754" s="81"/>
      <c r="F754" s="81"/>
      <c r="G754" s="81"/>
      <c r="H754" s="83"/>
      <c r="I754" s="83"/>
      <c r="J754" s="80"/>
      <c r="K754" s="81"/>
      <c r="L754" s="81"/>
      <c r="M754" s="80"/>
      <c r="N754" s="80"/>
      <c r="O754" s="80"/>
      <c r="P754" s="80"/>
      <c r="Q754" s="80"/>
      <c r="R754" s="80"/>
      <c r="S754" s="80"/>
      <c r="T754" s="80"/>
      <c r="U754" s="80"/>
      <c r="V754" s="80"/>
      <c r="W754" s="80"/>
      <c r="X754" s="80"/>
      <c r="Y754" s="80"/>
      <c r="Z754" s="80"/>
    </row>
    <row r="755">
      <c r="A755" s="81"/>
      <c r="B755" s="80"/>
      <c r="C755" s="80"/>
      <c r="D755" s="81"/>
      <c r="E755" s="81"/>
      <c r="F755" s="81"/>
      <c r="G755" s="81"/>
      <c r="H755" s="83"/>
      <c r="I755" s="83"/>
      <c r="J755" s="80"/>
      <c r="K755" s="81"/>
      <c r="L755" s="81"/>
      <c r="M755" s="80"/>
      <c r="N755" s="80"/>
      <c r="O755" s="80"/>
      <c r="P755" s="80"/>
      <c r="Q755" s="80"/>
      <c r="R755" s="80"/>
      <c r="S755" s="80"/>
      <c r="T755" s="80"/>
      <c r="U755" s="80"/>
      <c r="V755" s="80"/>
      <c r="W755" s="80"/>
      <c r="X755" s="80"/>
      <c r="Y755" s="80"/>
      <c r="Z755" s="80"/>
    </row>
    <row r="756">
      <c r="A756" s="81"/>
      <c r="B756" s="80"/>
      <c r="C756" s="80"/>
      <c r="D756" s="81"/>
      <c r="E756" s="81"/>
      <c r="F756" s="81"/>
      <c r="G756" s="81"/>
      <c r="H756" s="83"/>
      <c r="I756" s="83"/>
      <c r="J756" s="80"/>
      <c r="K756" s="81"/>
      <c r="L756" s="81"/>
      <c r="M756" s="80"/>
      <c r="N756" s="80"/>
      <c r="O756" s="80"/>
      <c r="P756" s="80"/>
      <c r="Q756" s="80"/>
      <c r="R756" s="80"/>
      <c r="S756" s="80"/>
      <c r="T756" s="80"/>
      <c r="U756" s="80"/>
      <c r="V756" s="80"/>
      <c r="W756" s="80"/>
      <c r="X756" s="80"/>
      <c r="Y756" s="80"/>
      <c r="Z756" s="80"/>
    </row>
    <row r="757">
      <c r="A757" s="81"/>
      <c r="B757" s="80"/>
      <c r="C757" s="80"/>
      <c r="D757" s="81"/>
      <c r="E757" s="81"/>
      <c r="F757" s="81"/>
      <c r="G757" s="81"/>
      <c r="H757" s="83"/>
      <c r="I757" s="83"/>
      <c r="J757" s="80"/>
      <c r="K757" s="81"/>
      <c r="L757" s="81"/>
      <c r="M757" s="80"/>
      <c r="N757" s="80"/>
      <c r="O757" s="80"/>
      <c r="P757" s="80"/>
      <c r="Q757" s="80"/>
      <c r="R757" s="80"/>
      <c r="S757" s="80"/>
      <c r="T757" s="80"/>
      <c r="U757" s="80"/>
      <c r="V757" s="80"/>
      <c r="W757" s="80"/>
      <c r="X757" s="80"/>
      <c r="Y757" s="80"/>
      <c r="Z757" s="80"/>
    </row>
    <row r="758">
      <c r="A758" s="81"/>
      <c r="B758" s="80"/>
      <c r="C758" s="80"/>
      <c r="D758" s="81"/>
      <c r="E758" s="81"/>
      <c r="F758" s="81"/>
      <c r="G758" s="81"/>
      <c r="H758" s="83"/>
      <c r="I758" s="83"/>
      <c r="J758" s="80"/>
      <c r="K758" s="81"/>
      <c r="L758" s="81"/>
      <c r="M758" s="80"/>
      <c r="N758" s="80"/>
      <c r="O758" s="80"/>
      <c r="P758" s="80"/>
      <c r="Q758" s="80"/>
      <c r="R758" s="80"/>
      <c r="S758" s="80"/>
      <c r="T758" s="80"/>
      <c r="U758" s="80"/>
      <c r="V758" s="80"/>
      <c r="W758" s="80"/>
      <c r="X758" s="80"/>
      <c r="Y758" s="80"/>
      <c r="Z758" s="80"/>
    </row>
    <row r="759">
      <c r="A759" s="81"/>
      <c r="B759" s="80"/>
      <c r="C759" s="80"/>
      <c r="D759" s="81"/>
      <c r="E759" s="81"/>
      <c r="F759" s="81"/>
      <c r="G759" s="81"/>
      <c r="H759" s="83"/>
      <c r="I759" s="83"/>
      <c r="J759" s="80"/>
      <c r="K759" s="81"/>
      <c r="L759" s="81"/>
      <c r="M759" s="80"/>
      <c r="N759" s="80"/>
      <c r="O759" s="80"/>
      <c r="P759" s="80"/>
      <c r="Q759" s="80"/>
      <c r="R759" s="80"/>
      <c r="S759" s="80"/>
      <c r="T759" s="80"/>
      <c r="U759" s="80"/>
      <c r="V759" s="80"/>
      <c r="W759" s="80"/>
      <c r="X759" s="80"/>
      <c r="Y759" s="80"/>
      <c r="Z759" s="80"/>
    </row>
    <row r="760">
      <c r="A760" s="81"/>
      <c r="B760" s="80"/>
      <c r="C760" s="80"/>
      <c r="D760" s="81"/>
      <c r="E760" s="81"/>
      <c r="F760" s="81"/>
      <c r="G760" s="81"/>
      <c r="H760" s="83"/>
      <c r="I760" s="83"/>
      <c r="J760" s="80"/>
      <c r="K760" s="81"/>
      <c r="L760" s="81"/>
      <c r="M760" s="80"/>
      <c r="N760" s="80"/>
      <c r="O760" s="80"/>
      <c r="P760" s="80"/>
      <c r="Q760" s="80"/>
      <c r="R760" s="80"/>
      <c r="S760" s="80"/>
      <c r="T760" s="80"/>
      <c r="U760" s="80"/>
      <c r="V760" s="80"/>
      <c r="W760" s="80"/>
      <c r="X760" s="80"/>
      <c r="Y760" s="80"/>
      <c r="Z760" s="80"/>
    </row>
    <row r="761">
      <c r="A761" s="81"/>
      <c r="B761" s="80"/>
      <c r="C761" s="80"/>
      <c r="D761" s="81"/>
      <c r="E761" s="81"/>
      <c r="F761" s="81"/>
      <c r="G761" s="81"/>
      <c r="H761" s="83"/>
      <c r="I761" s="83"/>
      <c r="J761" s="80"/>
      <c r="K761" s="81"/>
      <c r="L761" s="81"/>
      <c r="M761" s="80"/>
      <c r="N761" s="80"/>
      <c r="O761" s="80"/>
      <c r="P761" s="80"/>
      <c r="Q761" s="80"/>
      <c r="R761" s="80"/>
      <c r="S761" s="80"/>
      <c r="T761" s="80"/>
      <c r="U761" s="80"/>
      <c r="V761" s="80"/>
      <c r="W761" s="80"/>
      <c r="X761" s="80"/>
      <c r="Y761" s="80"/>
      <c r="Z761" s="80"/>
    </row>
    <row r="762">
      <c r="A762" s="81"/>
      <c r="B762" s="80"/>
      <c r="C762" s="80"/>
      <c r="D762" s="81"/>
      <c r="E762" s="81"/>
      <c r="F762" s="81"/>
      <c r="G762" s="81"/>
      <c r="H762" s="83"/>
      <c r="I762" s="83"/>
      <c r="J762" s="80"/>
      <c r="K762" s="81"/>
      <c r="L762" s="81"/>
      <c r="M762" s="80"/>
      <c r="N762" s="80"/>
      <c r="O762" s="80"/>
      <c r="P762" s="80"/>
      <c r="Q762" s="80"/>
      <c r="R762" s="80"/>
      <c r="S762" s="80"/>
      <c r="T762" s="80"/>
      <c r="U762" s="80"/>
      <c r="V762" s="80"/>
      <c r="W762" s="80"/>
      <c r="X762" s="80"/>
      <c r="Y762" s="80"/>
      <c r="Z762" s="80"/>
    </row>
    <row r="763">
      <c r="A763" s="81"/>
      <c r="B763" s="80"/>
      <c r="C763" s="80"/>
      <c r="D763" s="81"/>
      <c r="E763" s="81"/>
      <c r="F763" s="81"/>
      <c r="G763" s="81"/>
      <c r="H763" s="83"/>
      <c r="I763" s="83"/>
      <c r="J763" s="80"/>
      <c r="K763" s="81"/>
      <c r="L763" s="81"/>
      <c r="M763" s="80"/>
      <c r="N763" s="80"/>
      <c r="O763" s="80"/>
      <c r="P763" s="80"/>
      <c r="Q763" s="80"/>
      <c r="R763" s="80"/>
      <c r="S763" s="80"/>
      <c r="T763" s="80"/>
      <c r="U763" s="80"/>
      <c r="V763" s="80"/>
      <c r="W763" s="80"/>
      <c r="X763" s="80"/>
      <c r="Y763" s="80"/>
      <c r="Z763" s="80"/>
    </row>
    <row r="764">
      <c r="A764" s="81"/>
      <c r="B764" s="80"/>
      <c r="C764" s="80"/>
      <c r="D764" s="81"/>
      <c r="E764" s="81"/>
      <c r="F764" s="81"/>
      <c r="G764" s="81"/>
      <c r="H764" s="83"/>
      <c r="I764" s="83"/>
      <c r="J764" s="80"/>
      <c r="K764" s="81"/>
      <c r="L764" s="81"/>
      <c r="M764" s="80"/>
      <c r="N764" s="80"/>
      <c r="O764" s="80"/>
      <c r="P764" s="80"/>
      <c r="Q764" s="80"/>
      <c r="R764" s="80"/>
      <c r="S764" s="80"/>
      <c r="T764" s="80"/>
      <c r="U764" s="80"/>
      <c r="V764" s="80"/>
      <c r="W764" s="80"/>
      <c r="X764" s="80"/>
      <c r="Y764" s="80"/>
      <c r="Z764" s="80"/>
    </row>
    <row r="765">
      <c r="A765" s="81"/>
      <c r="B765" s="80"/>
      <c r="C765" s="80"/>
      <c r="D765" s="81"/>
      <c r="E765" s="81"/>
      <c r="F765" s="81"/>
      <c r="G765" s="81"/>
      <c r="H765" s="83"/>
      <c r="I765" s="83"/>
      <c r="J765" s="80"/>
      <c r="K765" s="81"/>
      <c r="L765" s="81"/>
      <c r="M765" s="80"/>
      <c r="N765" s="80"/>
      <c r="O765" s="80"/>
      <c r="P765" s="80"/>
      <c r="Q765" s="80"/>
      <c r="R765" s="80"/>
      <c r="S765" s="80"/>
      <c r="T765" s="80"/>
      <c r="U765" s="80"/>
      <c r="V765" s="80"/>
      <c r="W765" s="80"/>
      <c r="X765" s="80"/>
      <c r="Y765" s="80"/>
      <c r="Z765" s="80"/>
    </row>
    <row r="766">
      <c r="A766" s="81"/>
      <c r="B766" s="80"/>
      <c r="C766" s="80"/>
      <c r="D766" s="81"/>
      <c r="E766" s="81"/>
      <c r="F766" s="81"/>
      <c r="G766" s="81"/>
      <c r="H766" s="83"/>
      <c r="I766" s="83"/>
      <c r="J766" s="80"/>
      <c r="K766" s="81"/>
      <c r="L766" s="81"/>
      <c r="M766" s="80"/>
      <c r="N766" s="80"/>
      <c r="O766" s="80"/>
      <c r="P766" s="80"/>
      <c r="Q766" s="80"/>
      <c r="R766" s="80"/>
      <c r="S766" s="80"/>
      <c r="T766" s="80"/>
      <c r="U766" s="80"/>
      <c r="V766" s="80"/>
      <c r="W766" s="80"/>
      <c r="X766" s="80"/>
      <c r="Y766" s="80"/>
      <c r="Z766" s="80"/>
    </row>
    <row r="767">
      <c r="A767" s="81"/>
      <c r="B767" s="80"/>
      <c r="C767" s="80"/>
      <c r="D767" s="81"/>
      <c r="E767" s="81"/>
      <c r="F767" s="81"/>
      <c r="G767" s="81"/>
      <c r="H767" s="83"/>
      <c r="I767" s="83"/>
      <c r="J767" s="80"/>
      <c r="K767" s="81"/>
      <c r="L767" s="81"/>
      <c r="M767" s="80"/>
      <c r="N767" s="80"/>
      <c r="O767" s="80"/>
      <c r="P767" s="80"/>
      <c r="Q767" s="80"/>
      <c r="R767" s="80"/>
      <c r="S767" s="80"/>
      <c r="T767" s="80"/>
      <c r="U767" s="80"/>
      <c r="V767" s="80"/>
      <c r="W767" s="80"/>
      <c r="X767" s="80"/>
      <c r="Y767" s="80"/>
      <c r="Z767" s="80"/>
    </row>
    <row r="768">
      <c r="A768" s="81"/>
      <c r="B768" s="80"/>
      <c r="C768" s="80"/>
      <c r="D768" s="81"/>
      <c r="E768" s="81"/>
      <c r="F768" s="81"/>
      <c r="G768" s="81"/>
      <c r="H768" s="83"/>
      <c r="I768" s="83"/>
      <c r="J768" s="80"/>
      <c r="K768" s="81"/>
      <c r="L768" s="81"/>
      <c r="M768" s="80"/>
      <c r="N768" s="80"/>
      <c r="O768" s="80"/>
      <c r="P768" s="80"/>
      <c r="Q768" s="80"/>
      <c r="R768" s="80"/>
      <c r="S768" s="80"/>
      <c r="T768" s="80"/>
      <c r="U768" s="80"/>
      <c r="V768" s="80"/>
      <c r="W768" s="80"/>
      <c r="X768" s="80"/>
      <c r="Y768" s="80"/>
      <c r="Z768" s="80"/>
    </row>
    <row r="769">
      <c r="A769" s="81"/>
      <c r="B769" s="80"/>
      <c r="C769" s="80"/>
      <c r="D769" s="81"/>
      <c r="E769" s="81"/>
      <c r="F769" s="81"/>
      <c r="G769" s="81"/>
      <c r="H769" s="83"/>
      <c r="I769" s="83"/>
      <c r="J769" s="80"/>
      <c r="K769" s="81"/>
      <c r="L769" s="81"/>
      <c r="M769" s="80"/>
      <c r="N769" s="80"/>
      <c r="O769" s="80"/>
      <c r="P769" s="80"/>
      <c r="Q769" s="80"/>
      <c r="R769" s="80"/>
      <c r="S769" s="80"/>
      <c r="T769" s="80"/>
      <c r="U769" s="80"/>
      <c r="V769" s="80"/>
      <c r="W769" s="80"/>
      <c r="X769" s="80"/>
      <c r="Y769" s="80"/>
      <c r="Z769" s="80"/>
    </row>
    <row r="770">
      <c r="A770" s="81"/>
      <c r="B770" s="80"/>
      <c r="C770" s="80"/>
      <c r="D770" s="81"/>
      <c r="E770" s="81"/>
      <c r="F770" s="81"/>
      <c r="G770" s="81"/>
      <c r="H770" s="83"/>
      <c r="I770" s="83"/>
      <c r="J770" s="80"/>
      <c r="K770" s="81"/>
      <c r="L770" s="81"/>
      <c r="M770" s="80"/>
      <c r="N770" s="80"/>
      <c r="O770" s="80"/>
      <c r="P770" s="80"/>
      <c r="Q770" s="80"/>
      <c r="R770" s="80"/>
      <c r="S770" s="80"/>
      <c r="T770" s="80"/>
      <c r="U770" s="80"/>
      <c r="V770" s="80"/>
      <c r="W770" s="80"/>
      <c r="X770" s="80"/>
      <c r="Y770" s="80"/>
      <c r="Z770" s="80"/>
    </row>
    <row r="771">
      <c r="A771" s="81"/>
      <c r="B771" s="80"/>
      <c r="C771" s="80"/>
      <c r="D771" s="81"/>
      <c r="E771" s="81"/>
      <c r="F771" s="81"/>
      <c r="G771" s="81"/>
      <c r="H771" s="83"/>
      <c r="I771" s="83"/>
      <c r="J771" s="80"/>
      <c r="K771" s="81"/>
      <c r="L771" s="81"/>
      <c r="M771" s="80"/>
      <c r="N771" s="80"/>
      <c r="O771" s="80"/>
      <c r="P771" s="80"/>
      <c r="Q771" s="80"/>
      <c r="R771" s="80"/>
      <c r="S771" s="80"/>
      <c r="T771" s="80"/>
      <c r="U771" s="80"/>
      <c r="V771" s="80"/>
      <c r="W771" s="80"/>
      <c r="X771" s="80"/>
      <c r="Y771" s="80"/>
      <c r="Z771" s="80"/>
    </row>
    <row r="772">
      <c r="A772" s="81"/>
      <c r="B772" s="80"/>
      <c r="C772" s="80"/>
      <c r="D772" s="81"/>
      <c r="E772" s="81"/>
      <c r="F772" s="81"/>
      <c r="G772" s="81"/>
      <c r="H772" s="83"/>
      <c r="I772" s="83"/>
      <c r="J772" s="80"/>
      <c r="K772" s="81"/>
      <c r="L772" s="81"/>
      <c r="M772" s="80"/>
      <c r="N772" s="80"/>
      <c r="O772" s="80"/>
      <c r="P772" s="80"/>
      <c r="Q772" s="80"/>
      <c r="R772" s="80"/>
      <c r="S772" s="80"/>
      <c r="T772" s="80"/>
      <c r="U772" s="80"/>
      <c r="V772" s="80"/>
      <c r="W772" s="80"/>
      <c r="X772" s="80"/>
      <c r="Y772" s="80"/>
      <c r="Z772" s="80"/>
    </row>
    <row r="773">
      <c r="A773" s="81"/>
      <c r="B773" s="80"/>
      <c r="C773" s="80"/>
      <c r="D773" s="81"/>
      <c r="E773" s="81"/>
      <c r="F773" s="81"/>
      <c r="G773" s="81"/>
      <c r="H773" s="83"/>
      <c r="I773" s="83"/>
      <c r="J773" s="80"/>
      <c r="K773" s="81"/>
      <c r="L773" s="81"/>
      <c r="M773" s="80"/>
      <c r="N773" s="80"/>
      <c r="O773" s="80"/>
      <c r="P773" s="80"/>
      <c r="Q773" s="80"/>
      <c r="R773" s="80"/>
      <c r="S773" s="80"/>
      <c r="T773" s="80"/>
      <c r="U773" s="80"/>
      <c r="V773" s="80"/>
      <c r="W773" s="80"/>
      <c r="X773" s="80"/>
      <c r="Y773" s="80"/>
      <c r="Z773" s="80"/>
    </row>
    <row r="774">
      <c r="A774" s="81"/>
      <c r="B774" s="80"/>
      <c r="C774" s="80"/>
      <c r="D774" s="81"/>
      <c r="E774" s="81"/>
      <c r="F774" s="81"/>
      <c r="G774" s="81"/>
      <c r="H774" s="83"/>
      <c r="I774" s="83"/>
      <c r="J774" s="80"/>
      <c r="K774" s="81"/>
      <c r="L774" s="81"/>
      <c r="M774" s="80"/>
      <c r="N774" s="80"/>
      <c r="O774" s="80"/>
      <c r="P774" s="80"/>
      <c r="Q774" s="80"/>
      <c r="R774" s="80"/>
      <c r="S774" s="80"/>
      <c r="T774" s="80"/>
      <c r="U774" s="80"/>
      <c r="V774" s="80"/>
      <c r="W774" s="80"/>
      <c r="X774" s="80"/>
      <c r="Y774" s="80"/>
      <c r="Z774" s="80"/>
    </row>
    <row r="775">
      <c r="A775" s="81"/>
      <c r="B775" s="80"/>
      <c r="C775" s="80"/>
      <c r="D775" s="81"/>
      <c r="E775" s="81"/>
      <c r="F775" s="81"/>
      <c r="G775" s="81"/>
      <c r="H775" s="83"/>
      <c r="I775" s="83"/>
      <c r="J775" s="80"/>
      <c r="K775" s="81"/>
      <c r="L775" s="81"/>
      <c r="M775" s="80"/>
      <c r="N775" s="80"/>
      <c r="O775" s="80"/>
      <c r="P775" s="80"/>
      <c r="Q775" s="80"/>
      <c r="R775" s="80"/>
      <c r="S775" s="80"/>
      <c r="T775" s="80"/>
      <c r="U775" s="80"/>
      <c r="V775" s="80"/>
      <c r="W775" s="80"/>
      <c r="X775" s="80"/>
      <c r="Y775" s="80"/>
      <c r="Z775" s="80"/>
    </row>
    <row r="776">
      <c r="A776" s="81"/>
      <c r="B776" s="80"/>
      <c r="C776" s="80"/>
      <c r="D776" s="81"/>
      <c r="E776" s="81"/>
      <c r="F776" s="81"/>
      <c r="G776" s="81"/>
      <c r="H776" s="83"/>
      <c r="I776" s="83"/>
      <c r="J776" s="80"/>
      <c r="K776" s="81"/>
      <c r="L776" s="81"/>
      <c r="M776" s="80"/>
      <c r="N776" s="80"/>
      <c r="O776" s="80"/>
      <c r="P776" s="80"/>
      <c r="Q776" s="80"/>
      <c r="R776" s="80"/>
      <c r="S776" s="80"/>
      <c r="T776" s="80"/>
      <c r="U776" s="80"/>
      <c r="V776" s="80"/>
      <c r="W776" s="80"/>
      <c r="X776" s="80"/>
      <c r="Y776" s="80"/>
      <c r="Z776" s="80"/>
    </row>
    <row r="777">
      <c r="A777" s="81"/>
      <c r="B777" s="80"/>
      <c r="C777" s="80"/>
      <c r="D777" s="81"/>
      <c r="E777" s="81"/>
      <c r="F777" s="81"/>
      <c r="G777" s="81"/>
      <c r="H777" s="83"/>
      <c r="I777" s="83"/>
      <c r="J777" s="80"/>
      <c r="K777" s="81"/>
      <c r="L777" s="81"/>
      <c r="M777" s="80"/>
      <c r="N777" s="80"/>
      <c r="O777" s="80"/>
      <c r="P777" s="80"/>
      <c r="Q777" s="80"/>
      <c r="R777" s="80"/>
      <c r="S777" s="80"/>
      <c r="T777" s="80"/>
      <c r="U777" s="80"/>
      <c r="V777" s="80"/>
      <c r="W777" s="80"/>
      <c r="X777" s="80"/>
      <c r="Y777" s="80"/>
      <c r="Z777" s="80"/>
    </row>
    <row r="778">
      <c r="A778" s="81"/>
      <c r="B778" s="80"/>
      <c r="C778" s="80"/>
      <c r="D778" s="81"/>
      <c r="E778" s="81"/>
      <c r="F778" s="81"/>
      <c r="G778" s="81"/>
      <c r="H778" s="83"/>
      <c r="I778" s="83"/>
      <c r="J778" s="80"/>
      <c r="K778" s="81"/>
      <c r="L778" s="81"/>
      <c r="M778" s="80"/>
      <c r="N778" s="80"/>
      <c r="O778" s="80"/>
      <c r="P778" s="80"/>
      <c r="Q778" s="80"/>
      <c r="R778" s="80"/>
      <c r="S778" s="80"/>
      <c r="T778" s="80"/>
      <c r="U778" s="80"/>
      <c r="V778" s="80"/>
      <c r="W778" s="80"/>
      <c r="X778" s="80"/>
      <c r="Y778" s="80"/>
      <c r="Z778" s="80"/>
    </row>
    <row r="779">
      <c r="A779" s="81"/>
      <c r="B779" s="80"/>
      <c r="C779" s="80"/>
      <c r="D779" s="81"/>
      <c r="E779" s="81"/>
      <c r="F779" s="81"/>
      <c r="G779" s="81"/>
      <c r="H779" s="83"/>
      <c r="I779" s="83"/>
      <c r="J779" s="80"/>
      <c r="K779" s="81"/>
      <c r="L779" s="81"/>
      <c r="M779" s="80"/>
      <c r="N779" s="80"/>
      <c r="O779" s="80"/>
      <c r="P779" s="80"/>
      <c r="Q779" s="80"/>
      <c r="R779" s="80"/>
      <c r="S779" s="80"/>
      <c r="T779" s="80"/>
      <c r="U779" s="80"/>
      <c r="V779" s="80"/>
      <c r="W779" s="80"/>
      <c r="X779" s="80"/>
      <c r="Y779" s="80"/>
      <c r="Z779" s="80"/>
    </row>
    <row r="780">
      <c r="A780" s="81"/>
      <c r="B780" s="80"/>
      <c r="C780" s="80"/>
      <c r="D780" s="81"/>
      <c r="E780" s="81"/>
      <c r="F780" s="81"/>
      <c r="G780" s="81"/>
      <c r="H780" s="83"/>
      <c r="I780" s="83"/>
      <c r="J780" s="80"/>
      <c r="K780" s="81"/>
      <c r="L780" s="81"/>
      <c r="M780" s="80"/>
      <c r="N780" s="80"/>
      <c r="O780" s="80"/>
      <c r="P780" s="80"/>
      <c r="Q780" s="80"/>
      <c r="R780" s="80"/>
      <c r="S780" s="80"/>
      <c r="T780" s="80"/>
      <c r="U780" s="80"/>
      <c r="V780" s="80"/>
      <c r="W780" s="80"/>
      <c r="X780" s="80"/>
      <c r="Y780" s="80"/>
      <c r="Z780" s="80"/>
    </row>
    <row r="781">
      <c r="A781" s="81"/>
      <c r="B781" s="80"/>
      <c r="C781" s="80"/>
      <c r="D781" s="81"/>
      <c r="E781" s="81"/>
      <c r="F781" s="81"/>
      <c r="G781" s="81"/>
      <c r="H781" s="83"/>
      <c r="I781" s="83"/>
      <c r="J781" s="80"/>
      <c r="K781" s="81"/>
      <c r="L781" s="81"/>
      <c r="M781" s="80"/>
      <c r="N781" s="80"/>
      <c r="O781" s="80"/>
      <c r="P781" s="80"/>
      <c r="Q781" s="80"/>
      <c r="R781" s="80"/>
      <c r="S781" s="80"/>
      <c r="T781" s="80"/>
      <c r="U781" s="80"/>
      <c r="V781" s="80"/>
      <c r="W781" s="80"/>
      <c r="X781" s="80"/>
      <c r="Y781" s="80"/>
      <c r="Z781" s="80"/>
    </row>
    <row r="782">
      <c r="A782" s="81"/>
      <c r="B782" s="80"/>
      <c r="C782" s="80"/>
      <c r="D782" s="81"/>
      <c r="E782" s="81"/>
      <c r="F782" s="81"/>
      <c r="G782" s="81"/>
      <c r="H782" s="83"/>
      <c r="I782" s="83"/>
      <c r="J782" s="80"/>
      <c r="K782" s="81"/>
      <c r="L782" s="81"/>
      <c r="M782" s="80"/>
      <c r="N782" s="80"/>
      <c r="O782" s="80"/>
      <c r="P782" s="80"/>
      <c r="Q782" s="80"/>
      <c r="R782" s="80"/>
      <c r="S782" s="80"/>
      <c r="T782" s="80"/>
      <c r="U782" s="80"/>
      <c r="V782" s="80"/>
      <c r="W782" s="80"/>
      <c r="X782" s="80"/>
      <c r="Y782" s="80"/>
      <c r="Z782" s="80"/>
    </row>
    <row r="783">
      <c r="A783" s="81"/>
      <c r="B783" s="80"/>
      <c r="C783" s="80"/>
      <c r="D783" s="81"/>
      <c r="E783" s="81"/>
      <c r="F783" s="81"/>
      <c r="G783" s="81"/>
      <c r="H783" s="83"/>
      <c r="I783" s="83"/>
      <c r="J783" s="80"/>
      <c r="K783" s="81"/>
      <c r="L783" s="81"/>
      <c r="M783" s="80"/>
      <c r="N783" s="80"/>
      <c r="O783" s="80"/>
      <c r="P783" s="80"/>
      <c r="Q783" s="80"/>
      <c r="R783" s="80"/>
      <c r="S783" s="80"/>
      <c r="T783" s="80"/>
      <c r="U783" s="80"/>
      <c r="V783" s="80"/>
      <c r="W783" s="80"/>
      <c r="X783" s="80"/>
      <c r="Y783" s="80"/>
      <c r="Z783" s="80"/>
    </row>
    <row r="784">
      <c r="A784" s="81"/>
      <c r="B784" s="80"/>
      <c r="C784" s="80"/>
      <c r="D784" s="81"/>
      <c r="E784" s="81"/>
      <c r="F784" s="81"/>
      <c r="G784" s="81"/>
      <c r="H784" s="83"/>
      <c r="I784" s="83"/>
      <c r="J784" s="80"/>
      <c r="K784" s="81"/>
      <c r="L784" s="81"/>
      <c r="M784" s="80"/>
      <c r="N784" s="80"/>
      <c r="O784" s="80"/>
      <c r="P784" s="80"/>
      <c r="Q784" s="80"/>
      <c r="R784" s="80"/>
      <c r="S784" s="80"/>
      <c r="T784" s="80"/>
      <c r="U784" s="80"/>
      <c r="V784" s="80"/>
      <c r="W784" s="80"/>
      <c r="X784" s="80"/>
      <c r="Y784" s="80"/>
      <c r="Z784" s="80"/>
    </row>
    <row r="785">
      <c r="A785" s="81"/>
      <c r="B785" s="80"/>
      <c r="C785" s="80"/>
      <c r="D785" s="81"/>
      <c r="E785" s="81"/>
      <c r="F785" s="81"/>
      <c r="G785" s="81"/>
      <c r="H785" s="83"/>
      <c r="I785" s="83"/>
      <c r="J785" s="80"/>
      <c r="K785" s="81"/>
      <c r="L785" s="81"/>
      <c r="M785" s="80"/>
      <c r="N785" s="80"/>
      <c r="O785" s="80"/>
      <c r="P785" s="80"/>
      <c r="Q785" s="80"/>
      <c r="R785" s="80"/>
      <c r="S785" s="80"/>
      <c r="T785" s="80"/>
      <c r="U785" s="80"/>
      <c r="V785" s="80"/>
      <c r="W785" s="80"/>
      <c r="X785" s="80"/>
      <c r="Y785" s="80"/>
      <c r="Z785" s="80"/>
    </row>
    <row r="786">
      <c r="A786" s="81"/>
      <c r="B786" s="80"/>
      <c r="C786" s="80"/>
      <c r="D786" s="81"/>
      <c r="E786" s="81"/>
      <c r="F786" s="81"/>
      <c r="G786" s="81"/>
      <c r="H786" s="83"/>
      <c r="I786" s="83"/>
      <c r="J786" s="80"/>
      <c r="K786" s="81"/>
      <c r="L786" s="81"/>
      <c r="M786" s="80"/>
      <c r="N786" s="80"/>
      <c r="O786" s="80"/>
      <c r="P786" s="80"/>
      <c r="Q786" s="80"/>
      <c r="R786" s="80"/>
      <c r="S786" s="80"/>
      <c r="T786" s="80"/>
      <c r="U786" s="80"/>
      <c r="V786" s="80"/>
      <c r="W786" s="80"/>
      <c r="X786" s="80"/>
      <c r="Y786" s="80"/>
      <c r="Z786" s="80"/>
    </row>
    <row r="787">
      <c r="A787" s="81"/>
      <c r="B787" s="80"/>
      <c r="C787" s="80"/>
      <c r="D787" s="81"/>
      <c r="E787" s="81"/>
      <c r="F787" s="81"/>
      <c r="G787" s="81"/>
      <c r="H787" s="83"/>
      <c r="I787" s="83"/>
      <c r="J787" s="80"/>
      <c r="K787" s="81"/>
      <c r="L787" s="81"/>
      <c r="M787" s="80"/>
      <c r="N787" s="80"/>
      <c r="O787" s="80"/>
      <c r="P787" s="80"/>
      <c r="Q787" s="80"/>
      <c r="R787" s="80"/>
      <c r="S787" s="80"/>
      <c r="T787" s="80"/>
      <c r="U787" s="80"/>
      <c r="V787" s="80"/>
      <c r="W787" s="80"/>
      <c r="X787" s="80"/>
      <c r="Y787" s="80"/>
      <c r="Z787" s="80"/>
    </row>
    <row r="788">
      <c r="A788" s="81"/>
      <c r="B788" s="80"/>
      <c r="C788" s="80"/>
      <c r="D788" s="81"/>
      <c r="E788" s="81"/>
      <c r="F788" s="81"/>
      <c r="G788" s="81"/>
      <c r="H788" s="83"/>
      <c r="I788" s="83"/>
      <c r="J788" s="80"/>
      <c r="K788" s="81"/>
      <c r="L788" s="81"/>
      <c r="M788" s="80"/>
      <c r="N788" s="80"/>
      <c r="O788" s="80"/>
      <c r="P788" s="80"/>
      <c r="Q788" s="80"/>
      <c r="R788" s="80"/>
      <c r="S788" s="80"/>
      <c r="T788" s="80"/>
      <c r="U788" s="80"/>
      <c r="V788" s="80"/>
      <c r="W788" s="80"/>
      <c r="X788" s="80"/>
      <c r="Y788" s="80"/>
      <c r="Z788" s="80"/>
    </row>
    <row r="789">
      <c r="A789" s="81"/>
      <c r="B789" s="80"/>
      <c r="C789" s="80"/>
      <c r="D789" s="81"/>
      <c r="E789" s="81"/>
      <c r="F789" s="81"/>
      <c r="G789" s="81"/>
      <c r="H789" s="83"/>
      <c r="I789" s="83"/>
      <c r="J789" s="80"/>
      <c r="K789" s="81"/>
      <c r="L789" s="81"/>
      <c r="M789" s="80"/>
      <c r="N789" s="80"/>
      <c r="O789" s="80"/>
      <c r="P789" s="80"/>
      <c r="Q789" s="80"/>
      <c r="R789" s="80"/>
      <c r="S789" s="80"/>
      <c r="T789" s="80"/>
      <c r="U789" s="80"/>
      <c r="V789" s="80"/>
      <c r="W789" s="80"/>
      <c r="X789" s="80"/>
      <c r="Y789" s="80"/>
      <c r="Z789" s="80"/>
    </row>
    <row r="790">
      <c r="A790" s="81"/>
      <c r="B790" s="80"/>
      <c r="C790" s="80"/>
      <c r="D790" s="81"/>
      <c r="E790" s="81"/>
      <c r="F790" s="81"/>
      <c r="G790" s="81"/>
      <c r="H790" s="83"/>
      <c r="I790" s="83"/>
      <c r="J790" s="80"/>
      <c r="K790" s="81"/>
      <c r="L790" s="81"/>
      <c r="M790" s="80"/>
      <c r="N790" s="80"/>
      <c r="O790" s="80"/>
      <c r="P790" s="80"/>
      <c r="Q790" s="80"/>
      <c r="R790" s="80"/>
      <c r="S790" s="80"/>
      <c r="T790" s="80"/>
      <c r="U790" s="80"/>
      <c r="V790" s="80"/>
      <c r="W790" s="80"/>
      <c r="X790" s="80"/>
      <c r="Y790" s="80"/>
      <c r="Z790" s="80"/>
    </row>
    <row r="791">
      <c r="A791" s="81"/>
      <c r="B791" s="80"/>
      <c r="C791" s="80"/>
      <c r="D791" s="81"/>
      <c r="E791" s="81"/>
      <c r="F791" s="81"/>
      <c r="G791" s="81"/>
      <c r="H791" s="83"/>
      <c r="I791" s="83"/>
      <c r="J791" s="80"/>
      <c r="K791" s="81"/>
      <c r="L791" s="81"/>
      <c r="M791" s="80"/>
      <c r="N791" s="80"/>
      <c r="O791" s="80"/>
      <c r="P791" s="80"/>
      <c r="Q791" s="80"/>
      <c r="R791" s="80"/>
      <c r="S791" s="80"/>
      <c r="T791" s="80"/>
      <c r="U791" s="80"/>
      <c r="V791" s="80"/>
      <c r="W791" s="80"/>
      <c r="X791" s="80"/>
      <c r="Y791" s="80"/>
      <c r="Z791" s="80"/>
    </row>
    <row r="792">
      <c r="A792" s="81"/>
      <c r="B792" s="80"/>
      <c r="C792" s="80"/>
      <c r="D792" s="81"/>
      <c r="E792" s="81"/>
      <c r="F792" s="81"/>
      <c r="G792" s="81"/>
      <c r="H792" s="83"/>
      <c r="I792" s="83"/>
      <c r="J792" s="80"/>
      <c r="K792" s="81"/>
      <c r="L792" s="81"/>
      <c r="M792" s="80"/>
      <c r="N792" s="80"/>
      <c r="O792" s="80"/>
      <c r="P792" s="80"/>
      <c r="Q792" s="80"/>
      <c r="R792" s="80"/>
      <c r="S792" s="80"/>
      <c r="T792" s="80"/>
      <c r="U792" s="80"/>
      <c r="V792" s="80"/>
      <c r="W792" s="80"/>
      <c r="X792" s="80"/>
      <c r="Y792" s="80"/>
      <c r="Z792" s="80"/>
    </row>
    <row r="793">
      <c r="A793" s="81"/>
      <c r="B793" s="80"/>
      <c r="C793" s="80"/>
      <c r="D793" s="81"/>
      <c r="E793" s="81"/>
      <c r="F793" s="81"/>
      <c r="G793" s="81"/>
      <c r="H793" s="83"/>
      <c r="I793" s="83"/>
      <c r="J793" s="80"/>
      <c r="K793" s="81"/>
      <c r="L793" s="81"/>
      <c r="M793" s="80"/>
      <c r="N793" s="80"/>
      <c r="O793" s="80"/>
      <c r="P793" s="80"/>
      <c r="Q793" s="80"/>
      <c r="R793" s="80"/>
      <c r="S793" s="80"/>
      <c r="T793" s="80"/>
      <c r="U793" s="80"/>
      <c r="V793" s="80"/>
      <c r="W793" s="80"/>
      <c r="X793" s="80"/>
      <c r="Y793" s="80"/>
      <c r="Z793" s="80"/>
    </row>
    <row r="794">
      <c r="A794" s="81"/>
      <c r="B794" s="80"/>
      <c r="C794" s="80"/>
      <c r="D794" s="81"/>
      <c r="E794" s="81"/>
      <c r="F794" s="81"/>
      <c r="G794" s="81"/>
      <c r="H794" s="83"/>
      <c r="I794" s="83"/>
      <c r="J794" s="80"/>
      <c r="K794" s="81"/>
      <c r="L794" s="81"/>
      <c r="M794" s="80"/>
      <c r="N794" s="80"/>
      <c r="O794" s="80"/>
      <c r="P794" s="80"/>
      <c r="Q794" s="80"/>
      <c r="R794" s="80"/>
      <c r="S794" s="80"/>
      <c r="T794" s="80"/>
      <c r="U794" s="80"/>
      <c r="V794" s="80"/>
      <c r="W794" s="80"/>
      <c r="X794" s="80"/>
      <c r="Y794" s="80"/>
      <c r="Z794" s="80"/>
    </row>
    <row r="795">
      <c r="A795" s="81"/>
      <c r="B795" s="80"/>
      <c r="C795" s="80"/>
      <c r="D795" s="81"/>
      <c r="E795" s="81"/>
      <c r="F795" s="81"/>
      <c r="G795" s="81"/>
      <c r="H795" s="83"/>
      <c r="I795" s="83"/>
      <c r="J795" s="80"/>
      <c r="K795" s="81"/>
      <c r="L795" s="81"/>
      <c r="M795" s="80"/>
      <c r="N795" s="80"/>
      <c r="O795" s="80"/>
      <c r="P795" s="80"/>
      <c r="Q795" s="80"/>
      <c r="R795" s="80"/>
      <c r="S795" s="80"/>
      <c r="T795" s="80"/>
      <c r="U795" s="80"/>
      <c r="V795" s="80"/>
      <c r="W795" s="80"/>
      <c r="X795" s="80"/>
      <c r="Y795" s="80"/>
      <c r="Z795" s="80"/>
    </row>
    <row r="796">
      <c r="A796" s="81"/>
      <c r="B796" s="80"/>
      <c r="C796" s="80"/>
      <c r="D796" s="81"/>
      <c r="E796" s="81"/>
      <c r="F796" s="81"/>
      <c r="G796" s="81"/>
      <c r="H796" s="83"/>
      <c r="I796" s="83"/>
      <c r="J796" s="80"/>
      <c r="K796" s="81"/>
      <c r="L796" s="81"/>
      <c r="M796" s="80"/>
      <c r="N796" s="80"/>
      <c r="O796" s="80"/>
      <c r="P796" s="80"/>
      <c r="Q796" s="80"/>
      <c r="R796" s="80"/>
      <c r="S796" s="80"/>
      <c r="T796" s="80"/>
      <c r="U796" s="80"/>
      <c r="V796" s="80"/>
      <c r="W796" s="80"/>
      <c r="X796" s="80"/>
      <c r="Y796" s="80"/>
      <c r="Z796" s="80"/>
    </row>
    <row r="797">
      <c r="A797" s="81"/>
      <c r="B797" s="80"/>
      <c r="C797" s="80"/>
      <c r="D797" s="81"/>
      <c r="E797" s="81"/>
      <c r="F797" s="81"/>
      <c r="G797" s="81"/>
      <c r="H797" s="83"/>
      <c r="I797" s="83"/>
      <c r="J797" s="80"/>
      <c r="K797" s="81"/>
      <c r="L797" s="81"/>
      <c r="M797" s="80"/>
      <c r="N797" s="80"/>
      <c r="O797" s="80"/>
      <c r="P797" s="80"/>
      <c r="Q797" s="80"/>
      <c r="R797" s="80"/>
      <c r="S797" s="80"/>
      <c r="T797" s="80"/>
      <c r="U797" s="80"/>
      <c r="V797" s="80"/>
      <c r="W797" s="80"/>
      <c r="X797" s="80"/>
      <c r="Y797" s="80"/>
      <c r="Z797" s="80"/>
    </row>
    <row r="798">
      <c r="A798" s="81"/>
      <c r="B798" s="80"/>
      <c r="C798" s="80"/>
      <c r="D798" s="81"/>
      <c r="E798" s="81"/>
      <c r="F798" s="81"/>
      <c r="G798" s="81"/>
      <c r="H798" s="83"/>
      <c r="I798" s="83"/>
      <c r="J798" s="80"/>
      <c r="K798" s="81"/>
      <c r="L798" s="81"/>
      <c r="M798" s="80"/>
      <c r="N798" s="80"/>
      <c r="O798" s="80"/>
      <c r="P798" s="80"/>
      <c r="Q798" s="80"/>
      <c r="R798" s="80"/>
      <c r="S798" s="80"/>
      <c r="T798" s="80"/>
      <c r="U798" s="80"/>
      <c r="V798" s="80"/>
      <c r="W798" s="80"/>
      <c r="X798" s="80"/>
      <c r="Y798" s="80"/>
      <c r="Z798" s="80"/>
    </row>
    <row r="799">
      <c r="A799" s="81"/>
      <c r="B799" s="80"/>
      <c r="C799" s="80"/>
      <c r="D799" s="81"/>
      <c r="E799" s="81"/>
      <c r="F799" s="81"/>
      <c r="G799" s="81"/>
      <c r="H799" s="83"/>
      <c r="I799" s="83"/>
      <c r="J799" s="80"/>
      <c r="K799" s="81"/>
      <c r="L799" s="81"/>
      <c r="M799" s="80"/>
      <c r="N799" s="80"/>
      <c r="O799" s="80"/>
      <c r="P799" s="80"/>
      <c r="Q799" s="80"/>
      <c r="R799" s="80"/>
      <c r="S799" s="80"/>
      <c r="T799" s="80"/>
      <c r="U799" s="80"/>
      <c r="V799" s="80"/>
      <c r="W799" s="80"/>
      <c r="X799" s="80"/>
      <c r="Y799" s="80"/>
      <c r="Z799" s="80"/>
    </row>
    <row r="800">
      <c r="A800" s="81"/>
      <c r="B800" s="80"/>
      <c r="C800" s="80"/>
      <c r="D800" s="81"/>
      <c r="E800" s="81"/>
      <c r="F800" s="81"/>
      <c r="G800" s="81"/>
      <c r="H800" s="83"/>
      <c r="I800" s="83"/>
      <c r="J800" s="80"/>
      <c r="K800" s="81"/>
      <c r="L800" s="81"/>
      <c r="M800" s="80"/>
      <c r="N800" s="80"/>
      <c r="O800" s="80"/>
      <c r="P800" s="80"/>
      <c r="Q800" s="80"/>
      <c r="R800" s="80"/>
      <c r="S800" s="80"/>
      <c r="T800" s="80"/>
      <c r="U800" s="80"/>
      <c r="V800" s="80"/>
      <c r="W800" s="80"/>
      <c r="X800" s="80"/>
      <c r="Y800" s="80"/>
      <c r="Z800" s="80"/>
    </row>
    <row r="801">
      <c r="A801" s="81"/>
      <c r="B801" s="80"/>
      <c r="C801" s="80"/>
      <c r="D801" s="81"/>
      <c r="E801" s="81"/>
      <c r="F801" s="81"/>
      <c r="G801" s="81"/>
      <c r="H801" s="83"/>
      <c r="I801" s="83"/>
      <c r="J801" s="80"/>
      <c r="K801" s="81"/>
      <c r="L801" s="81"/>
      <c r="M801" s="80"/>
      <c r="N801" s="80"/>
      <c r="O801" s="80"/>
      <c r="P801" s="80"/>
      <c r="Q801" s="80"/>
      <c r="R801" s="80"/>
      <c r="S801" s="80"/>
      <c r="T801" s="80"/>
      <c r="U801" s="80"/>
      <c r="V801" s="80"/>
      <c r="W801" s="80"/>
      <c r="X801" s="80"/>
      <c r="Y801" s="80"/>
      <c r="Z801" s="80"/>
    </row>
    <row r="802">
      <c r="A802" s="81"/>
      <c r="B802" s="80"/>
      <c r="C802" s="80"/>
      <c r="D802" s="81"/>
      <c r="E802" s="81"/>
      <c r="F802" s="81"/>
      <c r="G802" s="81"/>
      <c r="H802" s="83"/>
      <c r="I802" s="83"/>
      <c r="J802" s="80"/>
      <c r="K802" s="81"/>
      <c r="L802" s="81"/>
      <c r="M802" s="80"/>
      <c r="N802" s="80"/>
      <c r="O802" s="80"/>
      <c r="P802" s="80"/>
      <c r="Q802" s="80"/>
      <c r="R802" s="80"/>
      <c r="S802" s="80"/>
      <c r="T802" s="80"/>
      <c r="U802" s="80"/>
      <c r="V802" s="80"/>
      <c r="W802" s="80"/>
      <c r="X802" s="80"/>
      <c r="Y802" s="80"/>
      <c r="Z802" s="80"/>
    </row>
    <row r="803">
      <c r="A803" s="81"/>
      <c r="B803" s="80"/>
      <c r="C803" s="80"/>
      <c r="D803" s="81"/>
      <c r="E803" s="81"/>
      <c r="F803" s="81"/>
      <c r="G803" s="81"/>
      <c r="H803" s="83"/>
      <c r="I803" s="83"/>
      <c r="J803" s="80"/>
      <c r="K803" s="81"/>
      <c r="L803" s="81"/>
      <c r="M803" s="80"/>
      <c r="N803" s="80"/>
      <c r="O803" s="80"/>
      <c r="P803" s="80"/>
      <c r="Q803" s="80"/>
      <c r="R803" s="80"/>
      <c r="S803" s="80"/>
      <c r="T803" s="80"/>
      <c r="U803" s="80"/>
      <c r="V803" s="80"/>
      <c r="W803" s="80"/>
      <c r="X803" s="80"/>
      <c r="Y803" s="80"/>
      <c r="Z803" s="80"/>
    </row>
    <row r="804">
      <c r="A804" s="81"/>
      <c r="B804" s="80"/>
      <c r="C804" s="80"/>
      <c r="D804" s="81"/>
      <c r="E804" s="81"/>
      <c r="F804" s="81"/>
      <c r="G804" s="81"/>
      <c r="H804" s="83"/>
      <c r="I804" s="83"/>
      <c r="J804" s="80"/>
      <c r="K804" s="81"/>
      <c r="L804" s="81"/>
      <c r="M804" s="80"/>
      <c r="N804" s="80"/>
      <c r="O804" s="80"/>
      <c r="P804" s="80"/>
      <c r="Q804" s="80"/>
      <c r="R804" s="80"/>
      <c r="S804" s="80"/>
      <c r="T804" s="80"/>
      <c r="U804" s="80"/>
      <c r="V804" s="80"/>
      <c r="W804" s="80"/>
      <c r="X804" s="80"/>
      <c r="Y804" s="80"/>
      <c r="Z804" s="80"/>
    </row>
    <row r="805">
      <c r="A805" s="81"/>
      <c r="B805" s="80"/>
      <c r="C805" s="80"/>
      <c r="D805" s="81"/>
      <c r="E805" s="81"/>
      <c r="F805" s="81"/>
      <c r="G805" s="81"/>
      <c r="H805" s="83"/>
      <c r="I805" s="83"/>
      <c r="J805" s="80"/>
      <c r="K805" s="81"/>
      <c r="L805" s="81"/>
      <c r="M805" s="80"/>
      <c r="N805" s="80"/>
      <c r="O805" s="80"/>
      <c r="P805" s="80"/>
      <c r="Q805" s="80"/>
      <c r="R805" s="80"/>
      <c r="S805" s="80"/>
      <c r="T805" s="80"/>
      <c r="U805" s="80"/>
      <c r="V805" s="80"/>
      <c r="W805" s="80"/>
      <c r="X805" s="80"/>
      <c r="Y805" s="80"/>
      <c r="Z805" s="80"/>
    </row>
    <row r="806">
      <c r="A806" s="81"/>
      <c r="B806" s="80"/>
      <c r="C806" s="80"/>
      <c r="D806" s="81"/>
      <c r="E806" s="81"/>
      <c r="F806" s="81"/>
      <c r="G806" s="81"/>
      <c r="H806" s="83"/>
      <c r="I806" s="83"/>
      <c r="J806" s="80"/>
      <c r="K806" s="81"/>
      <c r="L806" s="81"/>
      <c r="M806" s="80"/>
      <c r="N806" s="80"/>
      <c r="O806" s="80"/>
      <c r="P806" s="80"/>
      <c r="Q806" s="80"/>
      <c r="R806" s="80"/>
      <c r="S806" s="80"/>
      <c r="T806" s="80"/>
      <c r="U806" s="80"/>
      <c r="V806" s="80"/>
      <c r="W806" s="80"/>
      <c r="X806" s="80"/>
      <c r="Y806" s="80"/>
      <c r="Z806" s="80"/>
    </row>
    <row r="807">
      <c r="A807" s="81"/>
      <c r="B807" s="80"/>
      <c r="C807" s="80"/>
      <c r="D807" s="81"/>
      <c r="E807" s="81"/>
      <c r="F807" s="81"/>
      <c r="G807" s="81"/>
      <c r="H807" s="83"/>
      <c r="I807" s="83"/>
      <c r="J807" s="80"/>
      <c r="K807" s="81"/>
      <c r="L807" s="81"/>
      <c r="M807" s="80"/>
      <c r="N807" s="80"/>
      <c r="O807" s="80"/>
      <c r="P807" s="80"/>
      <c r="Q807" s="80"/>
      <c r="R807" s="80"/>
      <c r="S807" s="80"/>
      <c r="T807" s="80"/>
      <c r="U807" s="80"/>
      <c r="V807" s="80"/>
      <c r="W807" s="80"/>
      <c r="X807" s="80"/>
      <c r="Y807" s="80"/>
      <c r="Z807" s="80"/>
    </row>
    <row r="808">
      <c r="A808" s="81"/>
      <c r="B808" s="80"/>
      <c r="C808" s="80"/>
      <c r="D808" s="81"/>
      <c r="E808" s="81"/>
      <c r="F808" s="81"/>
      <c r="G808" s="81"/>
      <c r="H808" s="83"/>
      <c r="I808" s="83"/>
      <c r="J808" s="80"/>
      <c r="K808" s="81"/>
      <c r="L808" s="81"/>
      <c r="M808" s="80"/>
      <c r="N808" s="80"/>
      <c r="O808" s="80"/>
      <c r="P808" s="80"/>
      <c r="Q808" s="80"/>
      <c r="R808" s="80"/>
      <c r="S808" s="80"/>
      <c r="T808" s="80"/>
      <c r="U808" s="80"/>
      <c r="V808" s="80"/>
      <c r="W808" s="80"/>
      <c r="X808" s="80"/>
      <c r="Y808" s="80"/>
      <c r="Z808" s="80"/>
    </row>
    <row r="809">
      <c r="A809" s="81"/>
      <c r="B809" s="80"/>
      <c r="C809" s="80"/>
      <c r="D809" s="81"/>
      <c r="E809" s="81"/>
      <c r="F809" s="81"/>
      <c r="G809" s="81"/>
      <c r="H809" s="83"/>
      <c r="I809" s="83"/>
      <c r="J809" s="80"/>
      <c r="K809" s="81"/>
      <c r="L809" s="81"/>
      <c r="M809" s="80"/>
      <c r="N809" s="80"/>
      <c r="O809" s="80"/>
      <c r="P809" s="80"/>
      <c r="Q809" s="80"/>
      <c r="R809" s="80"/>
      <c r="S809" s="80"/>
      <c r="T809" s="80"/>
      <c r="U809" s="80"/>
      <c r="V809" s="80"/>
      <c r="W809" s="80"/>
      <c r="X809" s="80"/>
      <c r="Y809" s="80"/>
      <c r="Z809" s="80"/>
    </row>
    <row r="810">
      <c r="A810" s="81"/>
      <c r="B810" s="80"/>
      <c r="C810" s="80"/>
      <c r="D810" s="81"/>
      <c r="E810" s="81"/>
      <c r="F810" s="81"/>
      <c r="G810" s="81"/>
      <c r="H810" s="83"/>
      <c r="I810" s="83"/>
      <c r="J810" s="80"/>
      <c r="K810" s="81"/>
      <c r="L810" s="81"/>
      <c r="M810" s="80"/>
      <c r="N810" s="80"/>
      <c r="O810" s="80"/>
      <c r="P810" s="80"/>
      <c r="Q810" s="80"/>
      <c r="R810" s="80"/>
      <c r="S810" s="80"/>
      <c r="T810" s="80"/>
      <c r="U810" s="80"/>
      <c r="V810" s="80"/>
      <c r="W810" s="80"/>
      <c r="X810" s="80"/>
      <c r="Y810" s="80"/>
      <c r="Z810" s="80"/>
    </row>
    <row r="811">
      <c r="A811" s="81"/>
      <c r="B811" s="80"/>
      <c r="C811" s="80"/>
      <c r="D811" s="81"/>
      <c r="E811" s="81"/>
      <c r="F811" s="81"/>
      <c r="G811" s="81"/>
      <c r="H811" s="83"/>
      <c r="I811" s="83"/>
      <c r="J811" s="80"/>
      <c r="K811" s="81"/>
      <c r="L811" s="81"/>
      <c r="M811" s="80"/>
      <c r="N811" s="80"/>
      <c r="O811" s="80"/>
      <c r="P811" s="80"/>
      <c r="Q811" s="80"/>
      <c r="R811" s="80"/>
      <c r="S811" s="80"/>
      <c r="T811" s="80"/>
      <c r="U811" s="80"/>
      <c r="V811" s="80"/>
      <c r="W811" s="80"/>
      <c r="X811" s="80"/>
      <c r="Y811" s="80"/>
      <c r="Z811" s="80"/>
    </row>
    <row r="812">
      <c r="A812" s="81"/>
      <c r="B812" s="80"/>
      <c r="C812" s="80"/>
      <c r="D812" s="81"/>
      <c r="E812" s="81"/>
      <c r="F812" s="81"/>
      <c r="G812" s="81"/>
      <c r="H812" s="83"/>
      <c r="I812" s="83"/>
      <c r="J812" s="80"/>
      <c r="K812" s="81"/>
      <c r="L812" s="81"/>
      <c r="M812" s="80"/>
      <c r="N812" s="80"/>
      <c r="O812" s="80"/>
      <c r="P812" s="80"/>
      <c r="Q812" s="80"/>
      <c r="R812" s="80"/>
      <c r="S812" s="80"/>
      <c r="T812" s="80"/>
      <c r="U812" s="80"/>
      <c r="V812" s="80"/>
      <c r="W812" s="80"/>
      <c r="X812" s="80"/>
      <c r="Y812" s="80"/>
      <c r="Z812" s="80"/>
    </row>
    <row r="813">
      <c r="A813" s="81"/>
      <c r="B813" s="80"/>
      <c r="C813" s="80"/>
      <c r="D813" s="81"/>
      <c r="E813" s="81"/>
      <c r="F813" s="81"/>
      <c r="G813" s="81"/>
      <c r="H813" s="83"/>
      <c r="I813" s="83"/>
      <c r="J813" s="80"/>
      <c r="K813" s="81"/>
      <c r="L813" s="81"/>
      <c r="M813" s="80"/>
      <c r="N813" s="80"/>
      <c r="O813" s="80"/>
      <c r="P813" s="80"/>
      <c r="Q813" s="80"/>
      <c r="R813" s="80"/>
      <c r="S813" s="80"/>
      <c r="T813" s="80"/>
      <c r="U813" s="80"/>
      <c r="V813" s="80"/>
      <c r="W813" s="80"/>
      <c r="X813" s="80"/>
      <c r="Y813" s="80"/>
      <c r="Z813" s="80"/>
    </row>
    <row r="814">
      <c r="A814" s="81"/>
      <c r="B814" s="80"/>
      <c r="C814" s="80"/>
      <c r="D814" s="81"/>
      <c r="E814" s="81"/>
      <c r="F814" s="81"/>
      <c r="G814" s="81"/>
      <c r="H814" s="83"/>
      <c r="I814" s="83"/>
      <c r="J814" s="80"/>
      <c r="K814" s="81"/>
      <c r="L814" s="81"/>
      <c r="M814" s="80"/>
      <c r="N814" s="80"/>
      <c r="O814" s="80"/>
      <c r="P814" s="80"/>
      <c r="Q814" s="80"/>
      <c r="R814" s="80"/>
      <c r="S814" s="80"/>
      <c r="T814" s="80"/>
      <c r="U814" s="80"/>
      <c r="V814" s="80"/>
      <c r="W814" s="80"/>
      <c r="X814" s="80"/>
      <c r="Y814" s="80"/>
      <c r="Z814" s="80"/>
    </row>
    <row r="815">
      <c r="A815" s="81"/>
      <c r="B815" s="80"/>
      <c r="C815" s="80"/>
      <c r="D815" s="81"/>
      <c r="E815" s="81"/>
      <c r="F815" s="81"/>
      <c r="G815" s="81"/>
      <c r="H815" s="83"/>
      <c r="I815" s="83"/>
      <c r="J815" s="80"/>
      <c r="K815" s="81"/>
      <c r="L815" s="81"/>
      <c r="M815" s="80"/>
      <c r="N815" s="80"/>
      <c r="O815" s="80"/>
      <c r="P815" s="80"/>
      <c r="Q815" s="80"/>
      <c r="R815" s="80"/>
      <c r="S815" s="80"/>
      <c r="T815" s="80"/>
      <c r="U815" s="80"/>
      <c r="V815" s="80"/>
      <c r="W815" s="80"/>
      <c r="X815" s="80"/>
      <c r="Y815" s="80"/>
      <c r="Z815" s="80"/>
    </row>
    <row r="816">
      <c r="A816" s="81"/>
      <c r="B816" s="80"/>
      <c r="C816" s="80"/>
      <c r="D816" s="81"/>
      <c r="E816" s="81"/>
      <c r="F816" s="81"/>
      <c r="G816" s="81"/>
      <c r="H816" s="83"/>
      <c r="I816" s="83"/>
      <c r="J816" s="80"/>
      <c r="K816" s="81"/>
      <c r="L816" s="81"/>
      <c r="M816" s="80"/>
      <c r="N816" s="80"/>
      <c r="O816" s="80"/>
      <c r="P816" s="80"/>
      <c r="Q816" s="80"/>
      <c r="R816" s="80"/>
      <c r="S816" s="80"/>
      <c r="T816" s="80"/>
      <c r="U816" s="80"/>
      <c r="V816" s="80"/>
      <c r="W816" s="80"/>
      <c r="X816" s="80"/>
      <c r="Y816" s="80"/>
      <c r="Z816" s="80"/>
    </row>
    <row r="817">
      <c r="A817" s="81"/>
      <c r="B817" s="80"/>
      <c r="C817" s="80"/>
      <c r="D817" s="81"/>
      <c r="E817" s="81"/>
      <c r="F817" s="81"/>
      <c r="G817" s="81"/>
      <c r="H817" s="83"/>
      <c r="I817" s="83"/>
      <c r="J817" s="80"/>
      <c r="K817" s="81"/>
      <c r="L817" s="81"/>
      <c r="M817" s="80"/>
      <c r="N817" s="80"/>
      <c r="O817" s="80"/>
      <c r="P817" s="80"/>
      <c r="Q817" s="80"/>
      <c r="R817" s="80"/>
      <c r="S817" s="80"/>
      <c r="T817" s="80"/>
      <c r="U817" s="80"/>
      <c r="V817" s="80"/>
      <c r="W817" s="80"/>
      <c r="X817" s="80"/>
      <c r="Y817" s="80"/>
      <c r="Z817" s="80"/>
    </row>
    <row r="818">
      <c r="A818" s="81"/>
      <c r="B818" s="80"/>
      <c r="C818" s="80"/>
      <c r="D818" s="81"/>
      <c r="E818" s="81"/>
      <c r="F818" s="81"/>
      <c r="G818" s="81"/>
      <c r="H818" s="83"/>
      <c r="I818" s="83"/>
      <c r="J818" s="80"/>
      <c r="K818" s="81"/>
      <c r="L818" s="81"/>
      <c r="M818" s="80"/>
      <c r="N818" s="80"/>
      <c r="O818" s="80"/>
      <c r="P818" s="80"/>
      <c r="Q818" s="80"/>
      <c r="R818" s="80"/>
      <c r="S818" s="80"/>
      <c r="T818" s="80"/>
      <c r="U818" s="80"/>
      <c r="V818" s="80"/>
      <c r="W818" s="80"/>
      <c r="X818" s="80"/>
      <c r="Y818" s="80"/>
      <c r="Z818" s="80"/>
    </row>
    <row r="819">
      <c r="A819" s="81"/>
      <c r="B819" s="80"/>
      <c r="C819" s="80"/>
      <c r="D819" s="81"/>
      <c r="E819" s="81"/>
      <c r="F819" s="81"/>
      <c r="G819" s="81"/>
      <c r="H819" s="83"/>
      <c r="I819" s="83"/>
      <c r="J819" s="80"/>
      <c r="K819" s="81"/>
      <c r="L819" s="81"/>
      <c r="M819" s="80"/>
      <c r="N819" s="80"/>
      <c r="O819" s="80"/>
      <c r="P819" s="80"/>
      <c r="Q819" s="80"/>
      <c r="R819" s="80"/>
      <c r="S819" s="80"/>
      <c r="T819" s="80"/>
      <c r="U819" s="80"/>
      <c r="V819" s="80"/>
      <c r="W819" s="80"/>
      <c r="X819" s="80"/>
      <c r="Y819" s="80"/>
      <c r="Z819" s="80"/>
    </row>
    <row r="820">
      <c r="A820" s="81"/>
      <c r="B820" s="80"/>
      <c r="C820" s="80"/>
      <c r="D820" s="81"/>
      <c r="E820" s="81"/>
      <c r="F820" s="81"/>
      <c r="G820" s="81"/>
      <c r="H820" s="83"/>
      <c r="I820" s="83"/>
      <c r="J820" s="80"/>
      <c r="K820" s="81"/>
      <c r="L820" s="81"/>
      <c r="M820" s="80"/>
      <c r="N820" s="80"/>
      <c r="O820" s="80"/>
      <c r="P820" s="80"/>
      <c r="Q820" s="80"/>
      <c r="R820" s="80"/>
      <c r="S820" s="80"/>
      <c r="T820" s="80"/>
      <c r="U820" s="80"/>
      <c r="V820" s="80"/>
      <c r="W820" s="80"/>
      <c r="X820" s="80"/>
      <c r="Y820" s="80"/>
      <c r="Z820" s="80"/>
    </row>
    <row r="821">
      <c r="A821" s="81"/>
      <c r="B821" s="80"/>
      <c r="C821" s="80"/>
      <c r="D821" s="81"/>
      <c r="E821" s="81"/>
      <c r="F821" s="81"/>
      <c r="G821" s="81"/>
      <c r="H821" s="83"/>
      <c r="I821" s="83"/>
      <c r="J821" s="80"/>
      <c r="K821" s="81"/>
      <c r="L821" s="81"/>
      <c r="M821" s="80"/>
      <c r="N821" s="80"/>
      <c r="O821" s="80"/>
      <c r="P821" s="80"/>
      <c r="Q821" s="80"/>
      <c r="R821" s="80"/>
      <c r="S821" s="80"/>
      <c r="T821" s="80"/>
      <c r="U821" s="80"/>
      <c r="V821" s="80"/>
      <c r="W821" s="80"/>
      <c r="X821" s="80"/>
      <c r="Y821" s="80"/>
      <c r="Z821" s="80"/>
    </row>
    <row r="822">
      <c r="A822" s="81"/>
      <c r="B822" s="80"/>
      <c r="C822" s="80"/>
      <c r="D822" s="81"/>
      <c r="E822" s="81"/>
      <c r="F822" s="81"/>
      <c r="G822" s="81"/>
      <c r="H822" s="83"/>
      <c r="I822" s="83"/>
      <c r="J822" s="80"/>
      <c r="K822" s="81"/>
      <c r="L822" s="81"/>
      <c r="M822" s="80"/>
      <c r="N822" s="80"/>
      <c r="O822" s="80"/>
      <c r="P822" s="80"/>
      <c r="Q822" s="80"/>
      <c r="R822" s="80"/>
      <c r="S822" s="80"/>
      <c r="T822" s="80"/>
      <c r="U822" s="80"/>
      <c r="V822" s="80"/>
      <c r="W822" s="80"/>
      <c r="X822" s="80"/>
      <c r="Y822" s="80"/>
      <c r="Z822" s="80"/>
    </row>
    <row r="823">
      <c r="A823" s="81"/>
      <c r="B823" s="80"/>
      <c r="C823" s="80"/>
      <c r="D823" s="81"/>
      <c r="E823" s="81"/>
      <c r="F823" s="81"/>
      <c r="G823" s="81"/>
      <c r="H823" s="83"/>
      <c r="I823" s="83"/>
      <c r="J823" s="80"/>
      <c r="K823" s="81"/>
      <c r="L823" s="81"/>
      <c r="M823" s="80"/>
      <c r="N823" s="80"/>
      <c r="O823" s="80"/>
      <c r="P823" s="80"/>
      <c r="Q823" s="80"/>
      <c r="R823" s="80"/>
      <c r="S823" s="80"/>
      <c r="T823" s="80"/>
      <c r="U823" s="80"/>
      <c r="V823" s="80"/>
      <c r="W823" s="80"/>
      <c r="X823" s="80"/>
      <c r="Y823" s="80"/>
      <c r="Z823" s="80"/>
    </row>
    <row r="824">
      <c r="A824" s="81"/>
      <c r="B824" s="80"/>
      <c r="C824" s="80"/>
      <c r="D824" s="81"/>
      <c r="E824" s="81"/>
      <c r="F824" s="81"/>
      <c r="G824" s="81"/>
      <c r="H824" s="83"/>
      <c r="I824" s="83"/>
      <c r="J824" s="80"/>
      <c r="K824" s="81"/>
      <c r="L824" s="81"/>
      <c r="M824" s="80"/>
      <c r="N824" s="80"/>
      <c r="O824" s="80"/>
      <c r="P824" s="80"/>
      <c r="Q824" s="80"/>
      <c r="R824" s="80"/>
      <c r="S824" s="80"/>
      <c r="T824" s="80"/>
      <c r="U824" s="80"/>
      <c r="V824" s="80"/>
      <c r="W824" s="80"/>
      <c r="X824" s="80"/>
      <c r="Y824" s="80"/>
      <c r="Z824" s="80"/>
    </row>
    <row r="825">
      <c r="A825" s="81"/>
      <c r="B825" s="80"/>
      <c r="C825" s="80"/>
      <c r="D825" s="81"/>
      <c r="E825" s="81"/>
      <c r="F825" s="81"/>
      <c r="G825" s="81"/>
      <c r="H825" s="83"/>
      <c r="I825" s="83"/>
      <c r="J825" s="80"/>
      <c r="K825" s="81"/>
      <c r="L825" s="81"/>
      <c r="M825" s="80"/>
      <c r="N825" s="80"/>
      <c r="O825" s="80"/>
      <c r="P825" s="80"/>
      <c r="Q825" s="80"/>
      <c r="R825" s="80"/>
      <c r="S825" s="80"/>
      <c r="T825" s="80"/>
      <c r="U825" s="80"/>
      <c r="V825" s="80"/>
      <c r="W825" s="80"/>
      <c r="X825" s="80"/>
      <c r="Y825" s="80"/>
      <c r="Z825" s="80"/>
    </row>
    <row r="826">
      <c r="A826" s="81"/>
      <c r="B826" s="80"/>
      <c r="C826" s="80"/>
      <c r="D826" s="81"/>
      <c r="E826" s="81"/>
      <c r="F826" s="81"/>
      <c r="G826" s="81"/>
      <c r="H826" s="83"/>
      <c r="I826" s="83"/>
      <c r="J826" s="80"/>
      <c r="K826" s="81"/>
      <c r="L826" s="81"/>
      <c r="M826" s="80"/>
      <c r="N826" s="80"/>
      <c r="O826" s="80"/>
      <c r="P826" s="80"/>
      <c r="Q826" s="80"/>
      <c r="R826" s="80"/>
      <c r="S826" s="80"/>
      <c r="T826" s="80"/>
      <c r="U826" s="80"/>
      <c r="V826" s="80"/>
      <c r="W826" s="80"/>
      <c r="X826" s="80"/>
      <c r="Y826" s="80"/>
      <c r="Z826" s="80"/>
    </row>
    <row r="827">
      <c r="A827" s="81"/>
      <c r="B827" s="80"/>
      <c r="C827" s="80"/>
      <c r="D827" s="81"/>
      <c r="E827" s="81"/>
      <c r="F827" s="81"/>
      <c r="G827" s="81"/>
      <c r="H827" s="83"/>
      <c r="I827" s="83"/>
      <c r="J827" s="80"/>
      <c r="K827" s="81"/>
      <c r="L827" s="81"/>
      <c r="M827" s="80"/>
      <c r="N827" s="80"/>
      <c r="O827" s="80"/>
      <c r="P827" s="80"/>
      <c r="Q827" s="80"/>
      <c r="R827" s="80"/>
      <c r="S827" s="80"/>
      <c r="T827" s="80"/>
      <c r="U827" s="80"/>
      <c r="V827" s="80"/>
      <c r="W827" s="80"/>
      <c r="X827" s="80"/>
      <c r="Y827" s="80"/>
      <c r="Z827" s="80"/>
    </row>
    <row r="828">
      <c r="A828" s="81"/>
      <c r="B828" s="80"/>
      <c r="C828" s="80"/>
      <c r="D828" s="81"/>
      <c r="E828" s="81"/>
      <c r="F828" s="81"/>
      <c r="G828" s="81"/>
      <c r="H828" s="83"/>
      <c r="I828" s="83"/>
      <c r="J828" s="80"/>
      <c r="K828" s="81"/>
      <c r="L828" s="81"/>
      <c r="M828" s="80"/>
      <c r="N828" s="80"/>
      <c r="O828" s="80"/>
      <c r="P828" s="80"/>
      <c r="Q828" s="80"/>
      <c r="R828" s="80"/>
      <c r="S828" s="80"/>
      <c r="T828" s="80"/>
      <c r="U828" s="80"/>
      <c r="V828" s="80"/>
      <c r="W828" s="80"/>
      <c r="X828" s="80"/>
      <c r="Y828" s="80"/>
      <c r="Z828" s="80"/>
    </row>
    <row r="829">
      <c r="A829" s="81"/>
      <c r="B829" s="80"/>
      <c r="C829" s="80"/>
      <c r="D829" s="81"/>
      <c r="E829" s="81"/>
      <c r="F829" s="81"/>
      <c r="G829" s="81"/>
      <c r="H829" s="83"/>
      <c r="I829" s="83"/>
      <c r="J829" s="80"/>
      <c r="K829" s="81"/>
      <c r="L829" s="81"/>
      <c r="M829" s="80"/>
      <c r="N829" s="80"/>
      <c r="O829" s="80"/>
      <c r="P829" s="80"/>
      <c r="Q829" s="80"/>
      <c r="R829" s="80"/>
      <c r="S829" s="80"/>
      <c r="T829" s="80"/>
      <c r="U829" s="80"/>
      <c r="V829" s="80"/>
      <c r="W829" s="80"/>
      <c r="X829" s="80"/>
      <c r="Y829" s="80"/>
      <c r="Z829" s="80"/>
    </row>
    <row r="830">
      <c r="A830" s="81"/>
      <c r="B830" s="80"/>
      <c r="C830" s="80"/>
      <c r="D830" s="81"/>
      <c r="E830" s="81"/>
      <c r="F830" s="81"/>
      <c r="G830" s="81"/>
      <c r="H830" s="83"/>
      <c r="I830" s="83"/>
      <c r="J830" s="80"/>
      <c r="K830" s="81"/>
      <c r="L830" s="81"/>
      <c r="M830" s="80"/>
      <c r="N830" s="80"/>
      <c r="O830" s="80"/>
      <c r="P830" s="80"/>
      <c r="Q830" s="80"/>
      <c r="R830" s="80"/>
      <c r="S830" s="80"/>
      <c r="T830" s="80"/>
      <c r="U830" s="80"/>
      <c r="V830" s="80"/>
      <c r="W830" s="80"/>
      <c r="X830" s="80"/>
      <c r="Y830" s="80"/>
      <c r="Z830" s="80"/>
    </row>
    <row r="831">
      <c r="A831" s="81"/>
      <c r="B831" s="80"/>
      <c r="C831" s="80"/>
      <c r="D831" s="81"/>
      <c r="E831" s="81"/>
      <c r="F831" s="81"/>
      <c r="G831" s="81"/>
      <c r="H831" s="83"/>
      <c r="I831" s="83"/>
      <c r="J831" s="80"/>
      <c r="K831" s="81"/>
      <c r="L831" s="81"/>
      <c r="M831" s="80"/>
      <c r="N831" s="80"/>
      <c r="O831" s="80"/>
      <c r="P831" s="80"/>
      <c r="Q831" s="80"/>
      <c r="R831" s="80"/>
      <c r="S831" s="80"/>
      <c r="T831" s="80"/>
      <c r="U831" s="80"/>
      <c r="V831" s="80"/>
      <c r="W831" s="80"/>
      <c r="X831" s="80"/>
      <c r="Y831" s="80"/>
      <c r="Z831" s="80"/>
    </row>
    <row r="832">
      <c r="A832" s="81"/>
      <c r="B832" s="80"/>
      <c r="C832" s="80"/>
      <c r="D832" s="81"/>
      <c r="E832" s="81"/>
      <c r="F832" s="81"/>
      <c r="G832" s="81"/>
      <c r="H832" s="83"/>
      <c r="I832" s="83"/>
      <c r="J832" s="80"/>
      <c r="K832" s="81"/>
      <c r="L832" s="81"/>
      <c r="M832" s="80"/>
      <c r="N832" s="80"/>
      <c r="O832" s="80"/>
      <c r="P832" s="80"/>
      <c r="Q832" s="80"/>
      <c r="R832" s="80"/>
      <c r="S832" s="80"/>
      <c r="T832" s="80"/>
      <c r="U832" s="80"/>
      <c r="V832" s="80"/>
      <c r="W832" s="80"/>
      <c r="X832" s="80"/>
      <c r="Y832" s="80"/>
      <c r="Z832" s="80"/>
    </row>
    <row r="833">
      <c r="A833" s="81"/>
      <c r="B833" s="80"/>
      <c r="C833" s="80"/>
      <c r="D833" s="81"/>
      <c r="E833" s="81"/>
      <c r="F833" s="81"/>
      <c r="G833" s="81"/>
      <c r="H833" s="83"/>
      <c r="I833" s="83"/>
      <c r="J833" s="80"/>
      <c r="K833" s="81"/>
      <c r="L833" s="81"/>
      <c r="M833" s="80"/>
      <c r="N833" s="80"/>
      <c r="O833" s="80"/>
      <c r="P833" s="80"/>
      <c r="Q833" s="80"/>
      <c r="R833" s="80"/>
      <c r="S833" s="80"/>
      <c r="T833" s="80"/>
      <c r="U833" s="80"/>
      <c r="V833" s="80"/>
      <c r="W833" s="80"/>
      <c r="X833" s="80"/>
      <c r="Y833" s="80"/>
      <c r="Z833" s="80"/>
    </row>
    <row r="834">
      <c r="A834" s="81"/>
      <c r="B834" s="80"/>
      <c r="C834" s="80"/>
      <c r="D834" s="81"/>
      <c r="E834" s="81"/>
      <c r="F834" s="81"/>
      <c r="G834" s="81"/>
      <c r="H834" s="83"/>
      <c r="I834" s="83"/>
      <c r="J834" s="80"/>
      <c r="K834" s="81"/>
      <c r="L834" s="81"/>
      <c r="M834" s="80"/>
      <c r="N834" s="80"/>
      <c r="O834" s="80"/>
      <c r="P834" s="80"/>
      <c r="Q834" s="80"/>
      <c r="R834" s="80"/>
      <c r="S834" s="80"/>
      <c r="T834" s="80"/>
      <c r="U834" s="80"/>
      <c r="V834" s="80"/>
      <c r="W834" s="80"/>
      <c r="X834" s="80"/>
      <c r="Y834" s="80"/>
      <c r="Z834" s="80"/>
    </row>
    <row r="835">
      <c r="A835" s="81"/>
      <c r="B835" s="80"/>
      <c r="C835" s="80"/>
      <c r="D835" s="81"/>
      <c r="E835" s="81"/>
      <c r="F835" s="81"/>
      <c r="G835" s="81"/>
      <c r="H835" s="83"/>
      <c r="I835" s="83"/>
      <c r="J835" s="80"/>
      <c r="K835" s="81"/>
      <c r="L835" s="81"/>
      <c r="M835" s="80"/>
      <c r="N835" s="80"/>
      <c r="O835" s="80"/>
      <c r="P835" s="80"/>
      <c r="Q835" s="80"/>
      <c r="R835" s="80"/>
      <c r="S835" s="80"/>
      <c r="T835" s="80"/>
      <c r="U835" s="80"/>
      <c r="V835" s="80"/>
      <c r="W835" s="80"/>
      <c r="X835" s="80"/>
      <c r="Y835" s="80"/>
      <c r="Z835" s="80"/>
    </row>
    <row r="836">
      <c r="A836" s="81"/>
      <c r="B836" s="80"/>
      <c r="C836" s="80"/>
      <c r="D836" s="81"/>
      <c r="E836" s="81"/>
      <c r="F836" s="81"/>
      <c r="G836" s="81"/>
      <c r="H836" s="83"/>
      <c r="I836" s="83"/>
      <c r="J836" s="80"/>
      <c r="K836" s="81"/>
      <c r="L836" s="81"/>
      <c r="M836" s="80"/>
      <c r="N836" s="80"/>
      <c r="O836" s="80"/>
      <c r="P836" s="80"/>
      <c r="Q836" s="80"/>
      <c r="R836" s="80"/>
      <c r="S836" s="80"/>
      <c r="T836" s="80"/>
      <c r="U836" s="80"/>
      <c r="V836" s="80"/>
      <c r="W836" s="80"/>
      <c r="X836" s="80"/>
      <c r="Y836" s="80"/>
      <c r="Z836" s="80"/>
    </row>
    <row r="837">
      <c r="A837" s="81"/>
      <c r="B837" s="80"/>
      <c r="C837" s="80"/>
      <c r="D837" s="81"/>
      <c r="E837" s="81"/>
      <c r="F837" s="81"/>
      <c r="G837" s="81"/>
      <c r="H837" s="83"/>
      <c r="I837" s="83"/>
      <c r="J837" s="80"/>
      <c r="K837" s="81"/>
      <c r="L837" s="81"/>
      <c r="M837" s="80"/>
      <c r="N837" s="80"/>
      <c r="O837" s="80"/>
      <c r="P837" s="80"/>
      <c r="Q837" s="80"/>
      <c r="R837" s="80"/>
      <c r="S837" s="80"/>
      <c r="T837" s="80"/>
      <c r="U837" s="80"/>
      <c r="V837" s="80"/>
      <c r="W837" s="80"/>
      <c r="X837" s="80"/>
      <c r="Y837" s="80"/>
      <c r="Z837" s="80"/>
    </row>
    <row r="838">
      <c r="A838" s="81"/>
      <c r="B838" s="80"/>
      <c r="C838" s="80"/>
      <c r="D838" s="81"/>
      <c r="E838" s="81"/>
      <c r="F838" s="81"/>
      <c r="G838" s="81"/>
      <c r="H838" s="83"/>
      <c r="I838" s="83"/>
      <c r="J838" s="80"/>
      <c r="K838" s="81"/>
      <c r="L838" s="81"/>
      <c r="M838" s="80"/>
      <c r="N838" s="80"/>
      <c r="O838" s="80"/>
      <c r="P838" s="80"/>
      <c r="Q838" s="80"/>
      <c r="R838" s="80"/>
      <c r="S838" s="80"/>
      <c r="T838" s="80"/>
      <c r="U838" s="80"/>
      <c r="V838" s="80"/>
      <c r="W838" s="80"/>
      <c r="X838" s="80"/>
      <c r="Y838" s="80"/>
      <c r="Z838" s="80"/>
    </row>
    <row r="839">
      <c r="A839" s="81"/>
      <c r="B839" s="80"/>
      <c r="C839" s="80"/>
      <c r="D839" s="81"/>
      <c r="E839" s="81"/>
      <c r="F839" s="81"/>
      <c r="G839" s="81"/>
      <c r="H839" s="83"/>
      <c r="I839" s="83"/>
      <c r="J839" s="80"/>
      <c r="K839" s="81"/>
      <c r="L839" s="81"/>
      <c r="M839" s="80"/>
      <c r="N839" s="80"/>
      <c r="O839" s="80"/>
      <c r="P839" s="80"/>
      <c r="Q839" s="80"/>
      <c r="R839" s="80"/>
      <c r="S839" s="80"/>
      <c r="T839" s="80"/>
      <c r="U839" s="80"/>
      <c r="V839" s="80"/>
      <c r="W839" s="80"/>
      <c r="X839" s="80"/>
      <c r="Y839" s="80"/>
      <c r="Z839" s="80"/>
    </row>
    <row r="840">
      <c r="A840" s="81"/>
      <c r="B840" s="80"/>
      <c r="C840" s="80"/>
      <c r="D840" s="81"/>
      <c r="E840" s="81"/>
      <c r="F840" s="81"/>
      <c r="G840" s="81"/>
      <c r="H840" s="83"/>
      <c r="I840" s="83"/>
      <c r="J840" s="80"/>
      <c r="K840" s="81"/>
      <c r="L840" s="81"/>
      <c r="M840" s="80"/>
      <c r="N840" s="80"/>
      <c r="O840" s="80"/>
      <c r="P840" s="80"/>
      <c r="Q840" s="80"/>
      <c r="R840" s="80"/>
      <c r="S840" s="80"/>
      <c r="T840" s="80"/>
      <c r="U840" s="80"/>
      <c r="V840" s="80"/>
      <c r="W840" s="80"/>
      <c r="X840" s="80"/>
      <c r="Y840" s="80"/>
      <c r="Z840" s="80"/>
    </row>
    <row r="841">
      <c r="A841" s="81"/>
      <c r="B841" s="80"/>
      <c r="C841" s="80"/>
      <c r="D841" s="81"/>
      <c r="E841" s="81"/>
      <c r="F841" s="81"/>
      <c r="G841" s="81"/>
      <c r="H841" s="83"/>
      <c r="I841" s="83"/>
      <c r="J841" s="80"/>
      <c r="K841" s="81"/>
      <c r="L841" s="81"/>
      <c r="M841" s="80"/>
      <c r="N841" s="80"/>
      <c r="O841" s="80"/>
      <c r="P841" s="80"/>
      <c r="Q841" s="80"/>
      <c r="R841" s="80"/>
      <c r="S841" s="80"/>
      <c r="T841" s="80"/>
      <c r="U841" s="80"/>
      <c r="V841" s="80"/>
      <c r="W841" s="80"/>
      <c r="X841" s="80"/>
      <c r="Y841" s="80"/>
      <c r="Z841" s="80"/>
    </row>
    <row r="842">
      <c r="A842" s="81"/>
      <c r="B842" s="80"/>
      <c r="C842" s="80"/>
      <c r="D842" s="81"/>
      <c r="E842" s="81"/>
      <c r="F842" s="81"/>
      <c r="G842" s="81"/>
      <c r="H842" s="83"/>
      <c r="I842" s="83"/>
      <c r="J842" s="80"/>
      <c r="K842" s="81"/>
      <c r="L842" s="81"/>
      <c r="M842" s="80"/>
      <c r="N842" s="80"/>
      <c r="O842" s="80"/>
      <c r="P842" s="80"/>
      <c r="Q842" s="80"/>
      <c r="R842" s="80"/>
      <c r="S842" s="80"/>
      <c r="T842" s="80"/>
      <c r="U842" s="80"/>
      <c r="V842" s="80"/>
      <c r="W842" s="80"/>
      <c r="X842" s="80"/>
      <c r="Y842" s="80"/>
      <c r="Z842" s="80"/>
    </row>
    <row r="843">
      <c r="A843" s="81"/>
      <c r="B843" s="80"/>
      <c r="C843" s="80"/>
      <c r="D843" s="81"/>
      <c r="E843" s="81"/>
      <c r="F843" s="81"/>
      <c r="G843" s="81"/>
      <c r="H843" s="83"/>
      <c r="I843" s="83"/>
      <c r="J843" s="80"/>
      <c r="K843" s="81"/>
      <c r="L843" s="81"/>
      <c r="M843" s="80"/>
      <c r="N843" s="80"/>
      <c r="O843" s="80"/>
      <c r="P843" s="80"/>
      <c r="Q843" s="80"/>
      <c r="R843" s="80"/>
      <c r="S843" s="80"/>
      <c r="T843" s="80"/>
      <c r="U843" s="80"/>
      <c r="V843" s="80"/>
      <c r="W843" s="80"/>
      <c r="X843" s="80"/>
      <c r="Y843" s="80"/>
      <c r="Z843" s="80"/>
    </row>
    <row r="844">
      <c r="A844" s="81"/>
      <c r="B844" s="80"/>
      <c r="C844" s="80"/>
      <c r="D844" s="81"/>
      <c r="E844" s="81"/>
      <c r="F844" s="81"/>
      <c r="G844" s="81"/>
      <c r="H844" s="83"/>
      <c r="I844" s="83"/>
      <c r="J844" s="80"/>
      <c r="K844" s="81"/>
      <c r="L844" s="81"/>
      <c r="M844" s="80"/>
      <c r="N844" s="80"/>
      <c r="O844" s="80"/>
      <c r="P844" s="80"/>
      <c r="Q844" s="80"/>
      <c r="R844" s="80"/>
      <c r="S844" s="80"/>
      <c r="T844" s="80"/>
      <c r="U844" s="80"/>
      <c r="V844" s="80"/>
      <c r="W844" s="80"/>
      <c r="X844" s="80"/>
      <c r="Y844" s="80"/>
      <c r="Z844" s="80"/>
    </row>
    <row r="845">
      <c r="A845" s="81"/>
      <c r="B845" s="80"/>
      <c r="C845" s="80"/>
      <c r="D845" s="81"/>
      <c r="E845" s="81"/>
      <c r="F845" s="81"/>
      <c r="G845" s="81"/>
      <c r="H845" s="83"/>
      <c r="I845" s="83"/>
      <c r="J845" s="80"/>
      <c r="K845" s="81"/>
      <c r="L845" s="81"/>
      <c r="M845" s="80"/>
      <c r="N845" s="80"/>
      <c r="O845" s="80"/>
      <c r="P845" s="80"/>
      <c r="Q845" s="80"/>
      <c r="R845" s="80"/>
      <c r="S845" s="80"/>
      <c r="T845" s="80"/>
      <c r="U845" s="80"/>
      <c r="V845" s="80"/>
      <c r="W845" s="80"/>
      <c r="X845" s="80"/>
      <c r="Y845" s="80"/>
      <c r="Z845" s="80"/>
    </row>
    <row r="846">
      <c r="A846" s="81"/>
      <c r="B846" s="80"/>
      <c r="C846" s="80"/>
      <c r="D846" s="81"/>
      <c r="E846" s="81"/>
      <c r="F846" s="81"/>
      <c r="G846" s="81"/>
      <c r="H846" s="83"/>
      <c r="I846" s="83"/>
      <c r="J846" s="80"/>
      <c r="K846" s="81"/>
      <c r="L846" s="81"/>
      <c r="M846" s="80"/>
      <c r="N846" s="80"/>
      <c r="O846" s="80"/>
      <c r="P846" s="80"/>
      <c r="Q846" s="80"/>
      <c r="R846" s="80"/>
      <c r="S846" s="80"/>
      <c r="T846" s="80"/>
      <c r="U846" s="80"/>
      <c r="V846" s="80"/>
      <c r="W846" s="80"/>
      <c r="X846" s="80"/>
      <c r="Y846" s="80"/>
      <c r="Z846" s="80"/>
    </row>
    <row r="847">
      <c r="A847" s="81"/>
      <c r="B847" s="80"/>
      <c r="C847" s="80"/>
      <c r="D847" s="81"/>
      <c r="E847" s="81"/>
      <c r="F847" s="81"/>
      <c r="G847" s="81"/>
      <c r="H847" s="83"/>
      <c r="I847" s="83"/>
      <c r="J847" s="80"/>
      <c r="K847" s="81"/>
      <c r="L847" s="81"/>
      <c r="M847" s="80"/>
      <c r="N847" s="80"/>
      <c r="O847" s="80"/>
      <c r="P847" s="80"/>
      <c r="Q847" s="80"/>
      <c r="R847" s="80"/>
      <c r="S847" s="80"/>
      <c r="T847" s="80"/>
      <c r="U847" s="80"/>
      <c r="V847" s="80"/>
      <c r="W847" s="80"/>
      <c r="X847" s="80"/>
      <c r="Y847" s="80"/>
      <c r="Z847" s="80"/>
    </row>
    <row r="848">
      <c r="A848" s="81"/>
      <c r="B848" s="80"/>
      <c r="C848" s="80"/>
      <c r="D848" s="81"/>
      <c r="E848" s="81"/>
      <c r="F848" s="81"/>
      <c r="G848" s="81"/>
      <c r="H848" s="83"/>
      <c r="I848" s="83"/>
      <c r="J848" s="80"/>
      <c r="K848" s="81"/>
      <c r="L848" s="81"/>
      <c r="M848" s="80"/>
      <c r="N848" s="80"/>
      <c r="O848" s="80"/>
      <c r="P848" s="80"/>
      <c r="Q848" s="80"/>
      <c r="R848" s="80"/>
      <c r="S848" s="80"/>
      <c r="T848" s="80"/>
      <c r="U848" s="80"/>
      <c r="V848" s="80"/>
      <c r="W848" s="80"/>
      <c r="X848" s="80"/>
      <c r="Y848" s="80"/>
      <c r="Z848" s="80"/>
    </row>
    <row r="849">
      <c r="A849" s="81"/>
      <c r="B849" s="80"/>
      <c r="C849" s="80"/>
      <c r="D849" s="81"/>
      <c r="E849" s="81"/>
      <c r="F849" s="81"/>
      <c r="G849" s="81"/>
      <c r="H849" s="83"/>
      <c r="I849" s="83"/>
      <c r="J849" s="80"/>
      <c r="K849" s="81"/>
      <c r="L849" s="81"/>
      <c r="M849" s="80"/>
      <c r="N849" s="80"/>
      <c r="O849" s="80"/>
      <c r="P849" s="80"/>
      <c r="Q849" s="80"/>
      <c r="R849" s="80"/>
      <c r="S849" s="80"/>
      <c r="T849" s="80"/>
      <c r="U849" s="80"/>
      <c r="V849" s="80"/>
      <c r="W849" s="80"/>
      <c r="X849" s="80"/>
      <c r="Y849" s="80"/>
      <c r="Z849" s="80"/>
    </row>
    <row r="850">
      <c r="A850" s="81"/>
      <c r="B850" s="80"/>
      <c r="C850" s="80"/>
      <c r="D850" s="81"/>
      <c r="E850" s="81"/>
      <c r="F850" s="81"/>
      <c r="G850" s="81"/>
      <c r="H850" s="83"/>
      <c r="I850" s="83"/>
      <c r="J850" s="80"/>
      <c r="K850" s="81"/>
      <c r="L850" s="81"/>
      <c r="M850" s="80"/>
      <c r="N850" s="80"/>
      <c r="O850" s="80"/>
      <c r="P850" s="80"/>
      <c r="Q850" s="80"/>
      <c r="R850" s="80"/>
      <c r="S850" s="80"/>
      <c r="T850" s="80"/>
      <c r="U850" s="80"/>
      <c r="V850" s="80"/>
      <c r="W850" s="80"/>
      <c r="X850" s="80"/>
      <c r="Y850" s="80"/>
      <c r="Z850" s="80"/>
    </row>
    <row r="851">
      <c r="A851" s="81"/>
      <c r="B851" s="80"/>
      <c r="C851" s="80"/>
      <c r="D851" s="81"/>
      <c r="E851" s="81"/>
      <c r="F851" s="81"/>
      <c r="G851" s="81"/>
      <c r="H851" s="83"/>
      <c r="I851" s="83"/>
      <c r="J851" s="80"/>
      <c r="K851" s="81"/>
      <c r="L851" s="81"/>
      <c r="M851" s="80"/>
      <c r="N851" s="80"/>
      <c r="O851" s="80"/>
      <c r="P851" s="80"/>
      <c r="Q851" s="80"/>
      <c r="R851" s="80"/>
      <c r="S851" s="80"/>
      <c r="T851" s="80"/>
      <c r="U851" s="80"/>
      <c r="V851" s="80"/>
      <c r="W851" s="80"/>
      <c r="X851" s="80"/>
      <c r="Y851" s="80"/>
      <c r="Z851" s="80"/>
    </row>
    <row r="852">
      <c r="A852" s="81"/>
      <c r="B852" s="80"/>
      <c r="C852" s="80"/>
      <c r="D852" s="81"/>
      <c r="E852" s="81"/>
      <c r="F852" s="81"/>
      <c r="G852" s="81"/>
      <c r="H852" s="83"/>
      <c r="I852" s="83"/>
      <c r="J852" s="80"/>
      <c r="K852" s="81"/>
      <c r="L852" s="81"/>
      <c r="M852" s="80"/>
      <c r="N852" s="80"/>
      <c r="O852" s="80"/>
      <c r="P852" s="80"/>
      <c r="Q852" s="80"/>
      <c r="R852" s="80"/>
      <c r="S852" s="80"/>
      <c r="T852" s="80"/>
      <c r="U852" s="80"/>
      <c r="V852" s="80"/>
      <c r="W852" s="80"/>
      <c r="X852" s="80"/>
      <c r="Y852" s="80"/>
      <c r="Z852" s="80"/>
    </row>
    <row r="853">
      <c r="A853" s="81"/>
      <c r="B853" s="80"/>
      <c r="C853" s="80"/>
      <c r="D853" s="81"/>
      <c r="E853" s="81"/>
      <c r="F853" s="81"/>
      <c r="G853" s="81"/>
      <c r="H853" s="83"/>
      <c r="I853" s="83"/>
      <c r="J853" s="80"/>
      <c r="K853" s="81"/>
      <c r="L853" s="81"/>
      <c r="M853" s="80"/>
      <c r="N853" s="80"/>
      <c r="O853" s="80"/>
      <c r="P853" s="80"/>
      <c r="Q853" s="80"/>
      <c r="R853" s="80"/>
      <c r="S853" s="80"/>
      <c r="T853" s="80"/>
      <c r="U853" s="80"/>
      <c r="V853" s="80"/>
      <c r="W853" s="80"/>
      <c r="X853" s="80"/>
      <c r="Y853" s="80"/>
      <c r="Z853" s="80"/>
    </row>
    <row r="854">
      <c r="A854" s="81"/>
      <c r="B854" s="80"/>
      <c r="C854" s="80"/>
      <c r="D854" s="81"/>
      <c r="E854" s="81"/>
      <c r="F854" s="81"/>
      <c r="G854" s="81"/>
      <c r="H854" s="83"/>
      <c r="I854" s="83"/>
      <c r="J854" s="80"/>
      <c r="K854" s="81"/>
      <c r="L854" s="81"/>
      <c r="M854" s="80"/>
      <c r="N854" s="80"/>
      <c r="O854" s="80"/>
      <c r="P854" s="80"/>
      <c r="Q854" s="80"/>
      <c r="R854" s="80"/>
      <c r="S854" s="80"/>
      <c r="T854" s="80"/>
      <c r="U854" s="80"/>
      <c r="V854" s="80"/>
      <c r="W854" s="80"/>
      <c r="X854" s="80"/>
      <c r="Y854" s="80"/>
      <c r="Z854" s="80"/>
    </row>
    <row r="855">
      <c r="A855" s="81"/>
      <c r="B855" s="80"/>
      <c r="C855" s="80"/>
      <c r="D855" s="81"/>
      <c r="E855" s="81"/>
      <c r="F855" s="81"/>
      <c r="G855" s="81"/>
      <c r="H855" s="83"/>
      <c r="I855" s="83"/>
      <c r="J855" s="80"/>
      <c r="K855" s="81"/>
      <c r="L855" s="81"/>
      <c r="M855" s="80"/>
      <c r="N855" s="80"/>
      <c r="O855" s="80"/>
      <c r="P855" s="80"/>
      <c r="Q855" s="80"/>
      <c r="R855" s="80"/>
      <c r="S855" s="80"/>
      <c r="T855" s="80"/>
      <c r="U855" s="80"/>
      <c r="V855" s="80"/>
      <c r="W855" s="80"/>
      <c r="X855" s="80"/>
      <c r="Y855" s="80"/>
      <c r="Z855" s="80"/>
    </row>
    <row r="856">
      <c r="A856" s="81"/>
      <c r="B856" s="80"/>
      <c r="C856" s="80"/>
      <c r="D856" s="81"/>
      <c r="E856" s="81"/>
      <c r="F856" s="81"/>
      <c r="G856" s="81"/>
      <c r="H856" s="83"/>
      <c r="I856" s="83"/>
      <c r="J856" s="80"/>
      <c r="K856" s="81"/>
      <c r="L856" s="81"/>
      <c r="M856" s="80"/>
      <c r="N856" s="80"/>
      <c r="O856" s="80"/>
      <c r="P856" s="80"/>
      <c r="Q856" s="80"/>
      <c r="R856" s="80"/>
      <c r="S856" s="80"/>
      <c r="T856" s="80"/>
      <c r="U856" s="80"/>
      <c r="V856" s="80"/>
      <c r="W856" s="80"/>
      <c r="X856" s="80"/>
      <c r="Y856" s="80"/>
      <c r="Z856" s="80"/>
    </row>
    <row r="857">
      <c r="A857" s="81"/>
      <c r="B857" s="80"/>
      <c r="C857" s="80"/>
      <c r="D857" s="81"/>
      <c r="E857" s="81"/>
      <c r="F857" s="81"/>
      <c r="G857" s="81"/>
      <c r="H857" s="83"/>
      <c r="I857" s="83"/>
      <c r="J857" s="80"/>
      <c r="K857" s="81"/>
      <c r="L857" s="81"/>
      <c r="M857" s="80"/>
      <c r="N857" s="80"/>
      <c r="O857" s="80"/>
      <c r="P857" s="80"/>
      <c r="Q857" s="80"/>
      <c r="R857" s="80"/>
      <c r="S857" s="80"/>
      <c r="T857" s="80"/>
      <c r="U857" s="80"/>
      <c r="V857" s="80"/>
      <c r="W857" s="80"/>
      <c r="X857" s="80"/>
      <c r="Y857" s="80"/>
      <c r="Z857" s="80"/>
    </row>
    <row r="858">
      <c r="A858" s="81"/>
      <c r="B858" s="80"/>
      <c r="C858" s="80"/>
      <c r="D858" s="81"/>
      <c r="E858" s="81"/>
      <c r="F858" s="81"/>
      <c r="G858" s="81"/>
      <c r="H858" s="83"/>
      <c r="I858" s="83"/>
      <c r="J858" s="80"/>
      <c r="K858" s="81"/>
      <c r="L858" s="81"/>
      <c r="M858" s="80"/>
      <c r="N858" s="80"/>
      <c r="O858" s="80"/>
      <c r="P858" s="80"/>
      <c r="Q858" s="80"/>
      <c r="R858" s="80"/>
      <c r="S858" s="80"/>
      <c r="T858" s="80"/>
      <c r="U858" s="80"/>
      <c r="V858" s="80"/>
      <c r="W858" s="80"/>
      <c r="X858" s="80"/>
      <c r="Y858" s="80"/>
      <c r="Z858" s="80"/>
    </row>
    <row r="859">
      <c r="A859" s="81"/>
      <c r="B859" s="80"/>
      <c r="C859" s="80"/>
      <c r="D859" s="81"/>
      <c r="E859" s="81"/>
      <c r="F859" s="81"/>
      <c r="G859" s="81"/>
      <c r="H859" s="83"/>
      <c r="I859" s="83"/>
      <c r="J859" s="80"/>
      <c r="K859" s="81"/>
      <c r="L859" s="81"/>
      <c r="M859" s="80"/>
      <c r="N859" s="80"/>
      <c r="O859" s="80"/>
      <c r="P859" s="80"/>
      <c r="Q859" s="80"/>
      <c r="R859" s="80"/>
      <c r="S859" s="80"/>
      <c r="T859" s="80"/>
      <c r="U859" s="80"/>
      <c r="V859" s="80"/>
      <c r="W859" s="80"/>
      <c r="X859" s="80"/>
      <c r="Y859" s="80"/>
      <c r="Z859" s="80"/>
    </row>
    <row r="860">
      <c r="A860" s="81"/>
      <c r="B860" s="80"/>
      <c r="C860" s="80"/>
      <c r="D860" s="81"/>
      <c r="E860" s="81"/>
      <c r="F860" s="81"/>
      <c r="G860" s="81"/>
      <c r="H860" s="83"/>
      <c r="I860" s="83"/>
      <c r="J860" s="80"/>
      <c r="K860" s="81"/>
      <c r="L860" s="81"/>
      <c r="M860" s="80"/>
      <c r="N860" s="80"/>
      <c r="O860" s="80"/>
      <c r="P860" s="80"/>
      <c r="Q860" s="80"/>
      <c r="R860" s="80"/>
      <c r="S860" s="80"/>
      <c r="T860" s="80"/>
      <c r="U860" s="80"/>
      <c r="V860" s="80"/>
      <c r="W860" s="80"/>
      <c r="X860" s="80"/>
      <c r="Y860" s="80"/>
      <c r="Z860" s="80"/>
    </row>
    <row r="861">
      <c r="A861" s="81"/>
      <c r="B861" s="80"/>
      <c r="C861" s="80"/>
      <c r="D861" s="81"/>
      <c r="E861" s="81"/>
      <c r="F861" s="81"/>
      <c r="G861" s="81"/>
      <c r="H861" s="83"/>
      <c r="I861" s="83"/>
      <c r="J861" s="80"/>
      <c r="K861" s="81"/>
      <c r="L861" s="81"/>
      <c r="M861" s="80"/>
      <c r="N861" s="80"/>
      <c r="O861" s="80"/>
      <c r="P861" s="80"/>
      <c r="Q861" s="80"/>
      <c r="R861" s="80"/>
      <c r="S861" s="80"/>
      <c r="T861" s="80"/>
      <c r="U861" s="80"/>
      <c r="V861" s="80"/>
      <c r="W861" s="80"/>
      <c r="X861" s="80"/>
      <c r="Y861" s="80"/>
      <c r="Z861" s="80"/>
    </row>
    <row r="862">
      <c r="A862" s="81"/>
      <c r="B862" s="80"/>
      <c r="C862" s="80"/>
      <c r="D862" s="81"/>
      <c r="E862" s="81"/>
      <c r="F862" s="81"/>
      <c r="G862" s="81"/>
      <c r="H862" s="83"/>
      <c r="I862" s="83"/>
      <c r="J862" s="80"/>
      <c r="K862" s="81"/>
      <c r="L862" s="81"/>
      <c r="M862" s="80"/>
      <c r="N862" s="80"/>
      <c r="O862" s="80"/>
      <c r="P862" s="80"/>
      <c r="Q862" s="80"/>
      <c r="R862" s="80"/>
      <c r="S862" s="80"/>
      <c r="T862" s="80"/>
      <c r="U862" s="80"/>
      <c r="V862" s="80"/>
      <c r="W862" s="80"/>
      <c r="X862" s="80"/>
      <c r="Y862" s="80"/>
      <c r="Z862" s="80"/>
    </row>
    <row r="863">
      <c r="A863" s="81"/>
      <c r="B863" s="80"/>
      <c r="C863" s="80"/>
      <c r="D863" s="81"/>
      <c r="E863" s="81"/>
      <c r="F863" s="81"/>
      <c r="G863" s="81"/>
      <c r="H863" s="83"/>
      <c r="I863" s="83"/>
      <c r="J863" s="80"/>
      <c r="K863" s="81"/>
      <c r="L863" s="81"/>
      <c r="M863" s="80"/>
      <c r="N863" s="80"/>
      <c r="O863" s="80"/>
      <c r="P863" s="80"/>
      <c r="Q863" s="80"/>
      <c r="R863" s="80"/>
      <c r="S863" s="80"/>
      <c r="T863" s="80"/>
      <c r="U863" s="80"/>
      <c r="V863" s="80"/>
      <c r="W863" s="80"/>
      <c r="X863" s="80"/>
      <c r="Y863" s="80"/>
      <c r="Z863" s="80"/>
    </row>
    <row r="864">
      <c r="A864" s="81"/>
      <c r="B864" s="80"/>
      <c r="C864" s="80"/>
      <c r="D864" s="81"/>
      <c r="E864" s="81"/>
      <c r="F864" s="81"/>
      <c r="G864" s="81"/>
      <c r="H864" s="83"/>
      <c r="I864" s="83"/>
      <c r="J864" s="80"/>
      <c r="K864" s="81"/>
      <c r="L864" s="81"/>
      <c r="M864" s="80"/>
      <c r="N864" s="80"/>
      <c r="O864" s="80"/>
      <c r="P864" s="80"/>
      <c r="Q864" s="80"/>
      <c r="R864" s="80"/>
      <c r="S864" s="80"/>
      <c r="T864" s="80"/>
      <c r="U864" s="80"/>
      <c r="V864" s="80"/>
      <c r="W864" s="80"/>
      <c r="X864" s="80"/>
      <c r="Y864" s="80"/>
      <c r="Z864" s="80"/>
    </row>
    <row r="865">
      <c r="A865" s="81"/>
      <c r="B865" s="80"/>
      <c r="C865" s="80"/>
      <c r="D865" s="81"/>
      <c r="E865" s="81"/>
      <c r="F865" s="81"/>
      <c r="G865" s="81"/>
      <c r="H865" s="83"/>
      <c r="I865" s="83"/>
      <c r="J865" s="80"/>
      <c r="K865" s="81"/>
      <c r="L865" s="81"/>
      <c r="M865" s="80"/>
      <c r="N865" s="80"/>
      <c r="O865" s="80"/>
      <c r="P865" s="80"/>
      <c r="Q865" s="80"/>
      <c r="R865" s="80"/>
      <c r="S865" s="80"/>
      <c r="T865" s="80"/>
      <c r="U865" s="80"/>
      <c r="V865" s="80"/>
      <c r="W865" s="80"/>
      <c r="X865" s="80"/>
      <c r="Y865" s="80"/>
      <c r="Z865" s="80"/>
    </row>
    <row r="866">
      <c r="A866" s="81"/>
      <c r="B866" s="80"/>
      <c r="C866" s="80"/>
      <c r="D866" s="81"/>
      <c r="E866" s="81"/>
      <c r="F866" s="81"/>
      <c r="G866" s="81"/>
      <c r="H866" s="83"/>
      <c r="I866" s="83"/>
      <c r="J866" s="80"/>
      <c r="K866" s="81"/>
      <c r="L866" s="81"/>
      <c r="M866" s="80"/>
      <c r="N866" s="80"/>
      <c r="O866" s="80"/>
      <c r="P866" s="80"/>
      <c r="Q866" s="80"/>
      <c r="R866" s="80"/>
      <c r="S866" s="80"/>
      <c r="T866" s="80"/>
      <c r="U866" s="80"/>
      <c r="V866" s="80"/>
      <c r="W866" s="80"/>
      <c r="X866" s="80"/>
      <c r="Y866" s="80"/>
      <c r="Z866" s="80"/>
    </row>
    <row r="867">
      <c r="A867" s="81"/>
      <c r="B867" s="80"/>
      <c r="C867" s="80"/>
      <c r="D867" s="81"/>
      <c r="E867" s="81"/>
      <c r="F867" s="81"/>
      <c r="G867" s="81"/>
      <c r="H867" s="83"/>
      <c r="I867" s="83"/>
      <c r="J867" s="80"/>
      <c r="K867" s="81"/>
      <c r="L867" s="81"/>
      <c r="M867" s="80"/>
      <c r="N867" s="80"/>
      <c r="O867" s="80"/>
      <c r="P867" s="80"/>
      <c r="Q867" s="80"/>
      <c r="R867" s="80"/>
      <c r="S867" s="80"/>
      <c r="T867" s="80"/>
      <c r="U867" s="80"/>
      <c r="V867" s="80"/>
      <c r="W867" s="80"/>
      <c r="X867" s="80"/>
      <c r="Y867" s="80"/>
      <c r="Z867" s="80"/>
    </row>
    <row r="868">
      <c r="A868" s="81"/>
      <c r="B868" s="80"/>
      <c r="C868" s="80"/>
      <c r="D868" s="81"/>
      <c r="E868" s="81"/>
      <c r="F868" s="81"/>
      <c r="G868" s="81"/>
      <c r="H868" s="83"/>
      <c r="I868" s="83"/>
      <c r="J868" s="80"/>
      <c r="K868" s="81"/>
      <c r="L868" s="81"/>
      <c r="M868" s="80"/>
      <c r="N868" s="80"/>
      <c r="O868" s="80"/>
      <c r="P868" s="80"/>
      <c r="Q868" s="80"/>
      <c r="R868" s="80"/>
      <c r="S868" s="80"/>
      <c r="T868" s="80"/>
      <c r="U868" s="80"/>
      <c r="V868" s="80"/>
      <c r="W868" s="80"/>
      <c r="X868" s="80"/>
      <c r="Y868" s="80"/>
      <c r="Z868" s="80"/>
    </row>
    <row r="869">
      <c r="A869" s="81"/>
      <c r="B869" s="80"/>
      <c r="C869" s="80"/>
      <c r="D869" s="81"/>
      <c r="E869" s="81"/>
      <c r="F869" s="81"/>
      <c r="G869" s="81"/>
      <c r="H869" s="83"/>
      <c r="I869" s="83"/>
      <c r="J869" s="80"/>
      <c r="K869" s="81"/>
      <c r="L869" s="81"/>
      <c r="M869" s="80"/>
      <c r="N869" s="80"/>
      <c r="O869" s="80"/>
      <c r="P869" s="80"/>
      <c r="Q869" s="80"/>
      <c r="R869" s="80"/>
      <c r="S869" s="80"/>
      <c r="T869" s="80"/>
      <c r="U869" s="80"/>
      <c r="V869" s="80"/>
      <c r="W869" s="80"/>
      <c r="X869" s="80"/>
      <c r="Y869" s="80"/>
      <c r="Z869" s="80"/>
    </row>
    <row r="870">
      <c r="A870" s="81"/>
      <c r="B870" s="80"/>
      <c r="C870" s="80"/>
      <c r="D870" s="81"/>
      <c r="E870" s="81"/>
      <c r="F870" s="81"/>
      <c r="G870" s="81"/>
      <c r="H870" s="83"/>
      <c r="I870" s="83"/>
      <c r="J870" s="80"/>
      <c r="K870" s="81"/>
      <c r="L870" s="81"/>
      <c r="M870" s="80"/>
      <c r="N870" s="80"/>
      <c r="O870" s="80"/>
      <c r="P870" s="80"/>
      <c r="Q870" s="80"/>
      <c r="R870" s="80"/>
      <c r="S870" s="80"/>
      <c r="T870" s="80"/>
      <c r="U870" s="80"/>
      <c r="V870" s="80"/>
      <c r="W870" s="80"/>
      <c r="X870" s="80"/>
      <c r="Y870" s="80"/>
      <c r="Z870" s="80"/>
    </row>
    <row r="871">
      <c r="A871" s="81"/>
      <c r="B871" s="80"/>
      <c r="C871" s="80"/>
      <c r="D871" s="81"/>
      <c r="E871" s="81"/>
      <c r="F871" s="81"/>
      <c r="G871" s="81"/>
      <c r="H871" s="83"/>
      <c r="I871" s="83"/>
      <c r="J871" s="80"/>
      <c r="K871" s="81"/>
      <c r="L871" s="81"/>
      <c r="M871" s="80"/>
      <c r="N871" s="80"/>
      <c r="O871" s="80"/>
      <c r="P871" s="80"/>
      <c r="Q871" s="80"/>
      <c r="R871" s="80"/>
      <c r="S871" s="80"/>
      <c r="T871" s="80"/>
      <c r="U871" s="80"/>
      <c r="V871" s="80"/>
      <c r="W871" s="80"/>
      <c r="X871" s="80"/>
      <c r="Y871" s="80"/>
      <c r="Z871" s="80"/>
    </row>
    <row r="872">
      <c r="A872" s="81"/>
      <c r="B872" s="80"/>
      <c r="C872" s="80"/>
      <c r="D872" s="81"/>
      <c r="E872" s="81"/>
      <c r="F872" s="81"/>
      <c r="G872" s="81"/>
      <c r="H872" s="83"/>
      <c r="I872" s="83"/>
      <c r="J872" s="80"/>
      <c r="K872" s="81"/>
      <c r="L872" s="81"/>
      <c r="M872" s="80"/>
      <c r="N872" s="80"/>
      <c r="O872" s="80"/>
      <c r="P872" s="80"/>
      <c r="Q872" s="80"/>
      <c r="R872" s="80"/>
      <c r="S872" s="80"/>
      <c r="T872" s="80"/>
      <c r="U872" s="80"/>
      <c r="V872" s="80"/>
      <c r="W872" s="80"/>
      <c r="X872" s="80"/>
      <c r="Y872" s="80"/>
      <c r="Z872" s="80"/>
    </row>
    <row r="873">
      <c r="A873" s="81"/>
      <c r="B873" s="80"/>
      <c r="C873" s="80"/>
      <c r="D873" s="81"/>
      <c r="E873" s="81"/>
      <c r="F873" s="81"/>
      <c r="G873" s="81"/>
      <c r="H873" s="83"/>
      <c r="I873" s="83"/>
      <c r="J873" s="80"/>
      <c r="K873" s="81"/>
      <c r="L873" s="81"/>
      <c r="M873" s="80"/>
      <c r="N873" s="80"/>
      <c r="O873" s="80"/>
      <c r="P873" s="80"/>
      <c r="Q873" s="80"/>
      <c r="R873" s="80"/>
      <c r="S873" s="80"/>
      <c r="T873" s="80"/>
      <c r="U873" s="80"/>
      <c r="V873" s="80"/>
      <c r="W873" s="80"/>
      <c r="X873" s="80"/>
      <c r="Y873" s="80"/>
      <c r="Z873" s="80"/>
    </row>
    <row r="874">
      <c r="A874" s="81"/>
      <c r="B874" s="80"/>
      <c r="C874" s="80"/>
      <c r="D874" s="81"/>
      <c r="E874" s="81"/>
      <c r="F874" s="81"/>
      <c r="G874" s="81"/>
      <c r="H874" s="83"/>
      <c r="I874" s="83"/>
      <c r="J874" s="80"/>
      <c r="K874" s="81"/>
      <c r="L874" s="81"/>
      <c r="M874" s="80"/>
      <c r="N874" s="80"/>
      <c r="O874" s="80"/>
      <c r="P874" s="80"/>
      <c r="Q874" s="80"/>
      <c r="R874" s="80"/>
      <c r="S874" s="80"/>
      <c r="T874" s="80"/>
      <c r="U874" s="80"/>
      <c r="V874" s="80"/>
      <c r="W874" s="80"/>
      <c r="X874" s="80"/>
      <c r="Y874" s="80"/>
      <c r="Z874" s="80"/>
    </row>
    <row r="875">
      <c r="A875" s="81"/>
      <c r="B875" s="80"/>
      <c r="C875" s="80"/>
      <c r="D875" s="81"/>
      <c r="E875" s="81"/>
      <c r="F875" s="81"/>
      <c r="G875" s="81"/>
      <c r="H875" s="83"/>
      <c r="I875" s="83"/>
      <c r="J875" s="80"/>
      <c r="K875" s="81"/>
      <c r="L875" s="81"/>
      <c r="M875" s="80"/>
      <c r="N875" s="80"/>
      <c r="O875" s="80"/>
      <c r="P875" s="80"/>
      <c r="Q875" s="80"/>
      <c r="R875" s="80"/>
      <c r="S875" s="80"/>
      <c r="T875" s="80"/>
      <c r="U875" s="80"/>
      <c r="V875" s="80"/>
      <c r="W875" s="80"/>
      <c r="X875" s="80"/>
      <c r="Y875" s="80"/>
      <c r="Z875" s="80"/>
    </row>
    <row r="876">
      <c r="A876" s="81"/>
      <c r="B876" s="80"/>
      <c r="C876" s="80"/>
      <c r="D876" s="81"/>
      <c r="E876" s="81"/>
      <c r="F876" s="81"/>
      <c r="G876" s="81"/>
      <c r="H876" s="83"/>
      <c r="I876" s="83"/>
      <c r="J876" s="80"/>
      <c r="K876" s="81"/>
      <c r="L876" s="81"/>
      <c r="M876" s="80"/>
      <c r="N876" s="80"/>
      <c r="O876" s="80"/>
      <c r="P876" s="80"/>
      <c r="Q876" s="80"/>
      <c r="R876" s="80"/>
      <c r="S876" s="80"/>
      <c r="T876" s="80"/>
      <c r="U876" s="80"/>
      <c r="V876" s="80"/>
      <c r="W876" s="80"/>
      <c r="X876" s="80"/>
      <c r="Y876" s="80"/>
      <c r="Z876" s="80"/>
    </row>
    <row r="877">
      <c r="A877" s="81"/>
      <c r="B877" s="80"/>
      <c r="C877" s="80"/>
      <c r="D877" s="81"/>
      <c r="E877" s="81"/>
      <c r="F877" s="81"/>
      <c r="G877" s="81"/>
      <c r="H877" s="83"/>
      <c r="I877" s="83"/>
      <c r="J877" s="80"/>
      <c r="K877" s="81"/>
      <c r="L877" s="81"/>
      <c r="M877" s="80"/>
      <c r="N877" s="80"/>
      <c r="O877" s="80"/>
      <c r="P877" s="80"/>
      <c r="Q877" s="80"/>
      <c r="R877" s="80"/>
      <c r="S877" s="80"/>
      <c r="T877" s="80"/>
      <c r="U877" s="80"/>
      <c r="V877" s="80"/>
      <c r="W877" s="80"/>
      <c r="X877" s="80"/>
      <c r="Y877" s="80"/>
      <c r="Z877" s="80"/>
    </row>
    <row r="878">
      <c r="A878" s="81"/>
      <c r="B878" s="80"/>
      <c r="C878" s="80"/>
      <c r="D878" s="81"/>
      <c r="E878" s="81"/>
      <c r="F878" s="81"/>
      <c r="G878" s="81"/>
      <c r="H878" s="83"/>
      <c r="I878" s="83"/>
      <c r="J878" s="80"/>
      <c r="K878" s="81"/>
      <c r="L878" s="81"/>
      <c r="M878" s="80"/>
      <c r="N878" s="80"/>
      <c r="O878" s="80"/>
      <c r="P878" s="80"/>
      <c r="Q878" s="80"/>
      <c r="R878" s="80"/>
      <c r="S878" s="80"/>
      <c r="T878" s="80"/>
      <c r="U878" s="80"/>
      <c r="V878" s="80"/>
      <c r="W878" s="80"/>
      <c r="X878" s="80"/>
      <c r="Y878" s="80"/>
      <c r="Z878" s="80"/>
    </row>
    <row r="879">
      <c r="A879" s="81"/>
      <c r="B879" s="80"/>
      <c r="C879" s="80"/>
      <c r="D879" s="81"/>
      <c r="E879" s="81"/>
      <c r="F879" s="81"/>
      <c r="G879" s="81"/>
      <c r="H879" s="83"/>
      <c r="I879" s="83"/>
      <c r="J879" s="80"/>
      <c r="K879" s="81"/>
      <c r="L879" s="81"/>
      <c r="M879" s="80"/>
      <c r="N879" s="80"/>
      <c r="O879" s="80"/>
      <c r="P879" s="80"/>
      <c r="Q879" s="80"/>
      <c r="R879" s="80"/>
      <c r="S879" s="80"/>
      <c r="T879" s="80"/>
      <c r="U879" s="80"/>
      <c r="V879" s="80"/>
      <c r="W879" s="80"/>
      <c r="X879" s="80"/>
      <c r="Y879" s="80"/>
      <c r="Z879" s="80"/>
    </row>
    <row r="880">
      <c r="A880" s="81"/>
      <c r="B880" s="80"/>
      <c r="C880" s="80"/>
      <c r="D880" s="81"/>
      <c r="E880" s="81"/>
      <c r="F880" s="81"/>
      <c r="G880" s="81"/>
      <c r="H880" s="83"/>
      <c r="I880" s="83"/>
      <c r="J880" s="80"/>
      <c r="K880" s="81"/>
      <c r="L880" s="81"/>
      <c r="M880" s="80"/>
      <c r="N880" s="80"/>
      <c r="O880" s="80"/>
      <c r="P880" s="80"/>
      <c r="Q880" s="80"/>
      <c r="R880" s="80"/>
      <c r="S880" s="80"/>
      <c r="T880" s="80"/>
      <c r="U880" s="80"/>
      <c r="V880" s="80"/>
      <c r="W880" s="80"/>
      <c r="X880" s="80"/>
      <c r="Y880" s="80"/>
      <c r="Z880" s="80"/>
    </row>
    <row r="881">
      <c r="A881" s="81"/>
      <c r="B881" s="80"/>
      <c r="C881" s="80"/>
      <c r="D881" s="81"/>
      <c r="E881" s="81"/>
      <c r="F881" s="81"/>
      <c r="G881" s="81"/>
      <c r="H881" s="83"/>
      <c r="I881" s="83"/>
      <c r="J881" s="80"/>
      <c r="K881" s="81"/>
      <c r="L881" s="81"/>
      <c r="M881" s="80"/>
      <c r="N881" s="80"/>
      <c r="O881" s="80"/>
      <c r="P881" s="80"/>
      <c r="Q881" s="80"/>
      <c r="R881" s="80"/>
      <c r="S881" s="80"/>
      <c r="T881" s="80"/>
      <c r="U881" s="80"/>
      <c r="V881" s="80"/>
      <c r="W881" s="80"/>
      <c r="X881" s="80"/>
      <c r="Y881" s="80"/>
      <c r="Z881" s="80"/>
    </row>
    <row r="882">
      <c r="A882" s="81"/>
      <c r="B882" s="80"/>
      <c r="C882" s="80"/>
      <c r="D882" s="81"/>
      <c r="E882" s="81"/>
      <c r="F882" s="81"/>
      <c r="G882" s="81"/>
      <c r="H882" s="83"/>
      <c r="I882" s="83"/>
      <c r="J882" s="80"/>
      <c r="K882" s="81"/>
      <c r="L882" s="81"/>
      <c r="M882" s="80"/>
      <c r="N882" s="80"/>
      <c r="O882" s="80"/>
      <c r="P882" s="80"/>
      <c r="Q882" s="80"/>
      <c r="R882" s="80"/>
      <c r="S882" s="80"/>
      <c r="T882" s="80"/>
      <c r="U882" s="80"/>
      <c r="V882" s="80"/>
      <c r="W882" s="80"/>
      <c r="X882" s="80"/>
      <c r="Y882" s="80"/>
      <c r="Z882" s="80"/>
    </row>
    <row r="883">
      <c r="A883" s="81"/>
      <c r="B883" s="80"/>
      <c r="C883" s="80"/>
      <c r="D883" s="81"/>
      <c r="E883" s="81"/>
      <c r="F883" s="81"/>
      <c r="G883" s="81"/>
      <c r="H883" s="83"/>
      <c r="I883" s="83"/>
      <c r="J883" s="80"/>
      <c r="K883" s="81"/>
      <c r="L883" s="81"/>
      <c r="M883" s="80"/>
      <c r="N883" s="80"/>
      <c r="O883" s="80"/>
      <c r="P883" s="80"/>
      <c r="Q883" s="80"/>
      <c r="R883" s="80"/>
      <c r="S883" s="80"/>
      <c r="T883" s="80"/>
      <c r="U883" s="80"/>
      <c r="V883" s="80"/>
      <c r="W883" s="80"/>
      <c r="X883" s="80"/>
      <c r="Y883" s="80"/>
      <c r="Z883" s="80"/>
    </row>
    <row r="884">
      <c r="A884" s="81"/>
      <c r="B884" s="80"/>
      <c r="C884" s="80"/>
      <c r="D884" s="81"/>
      <c r="E884" s="81"/>
      <c r="F884" s="81"/>
      <c r="G884" s="81"/>
      <c r="H884" s="83"/>
      <c r="I884" s="83"/>
      <c r="J884" s="80"/>
      <c r="K884" s="81"/>
      <c r="L884" s="81"/>
      <c r="M884" s="80"/>
      <c r="N884" s="80"/>
      <c r="O884" s="80"/>
      <c r="P884" s="80"/>
      <c r="Q884" s="80"/>
      <c r="R884" s="80"/>
      <c r="S884" s="80"/>
      <c r="T884" s="80"/>
      <c r="U884" s="80"/>
      <c r="V884" s="80"/>
      <c r="W884" s="80"/>
      <c r="X884" s="80"/>
      <c r="Y884" s="80"/>
      <c r="Z884" s="80"/>
    </row>
    <row r="885">
      <c r="A885" s="81"/>
      <c r="B885" s="80"/>
      <c r="C885" s="80"/>
      <c r="D885" s="81"/>
      <c r="E885" s="81"/>
      <c r="F885" s="81"/>
      <c r="G885" s="81"/>
      <c r="H885" s="83"/>
      <c r="I885" s="83"/>
      <c r="J885" s="80"/>
      <c r="K885" s="81"/>
      <c r="L885" s="81"/>
      <c r="M885" s="80"/>
      <c r="N885" s="80"/>
      <c r="O885" s="80"/>
      <c r="P885" s="80"/>
      <c r="Q885" s="80"/>
      <c r="R885" s="80"/>
      <c r="S885" s="80"/>
      <c r="T885" s="80"/>
      <c r="U885" s="80"/>
      <c r="V885" s="80"/>
      <c r="W885" s="80"/>
      <c r="X885" s="80"/>
      <c r="Y885" s="80"/>
      <c r="Z885" s="80"/>
    </row>
    <row r="886">
      <c r="A886" s="81"/>
      <c r="B886" s="80"/>
      <c r="C886" s="80"/>
      <c r="D886" s="81"/>
      <c r="E886" s="81"/>
      <c r="F886" s="81"/>
      <c r="G886" s="81"/>
      <c r="H886" s="83"/>
      <c r="I886" s="83"/>
      <c r="J886" s="80"/>
      <c r="K886" s="81"/>
      <c r="L886" s="81"/>
      <c r="M886" s="80"/>
      <c r="N886" s="80"/>
      <c r="O886" s="80"/>
      <c r="P886" s="80"/>
      <c r="Q886" s="80"/>
      <c r="R886" s="80"/>
      <c r="S886" s="80"/>
      <c r="T886" s="80"/>
      <c r="U886" s="80"/>
      <c r="V886" s="80"/>
      <c r="W886" s="80"/>
      <c r="X886" s="80"/>
      <c r="Y886" s="80"/>
      <c r="Z886" s="80"/>
    </row>
    <row r="887">
      <c r="A887" s="81"/>
      <c r="B887" s="80"/>
      <c r="C887" s="80"/>
      <c r="D887" s="81"/>
      <c r="E887" s="81"/>
      <c r="F887" s="81"/>
      <c r="G887" s="81"/>
      <c r="H887" s="83"/>
      <c r="I887" s="83"/>
      <c r="J887" s="80"/>
      <c r="K887" s="81"/>
      <c r="L887" s="81"/>
      <c r="M887" s="80"/>
      <c r="N887" s="80"/>
      <c r="O887" s="80"/>
      <c r="P887" s="80"/>
      <c r="Q887" s="80"/>
      <c r="R887" s="80"/>
      <c r="S887" s="80"/>
      <c r="T887" s="80"/>
      <c r="U887" s="80"/>
      <c r="V887" s="80"/>
      <c r="W887" s="80"/>
      <c r="X887" s="80"/>
      <c r="Y887" s="80"/>
      <c r="Z887" s="80"/>
    </row>
    <row r="888">
      <c r="A888" s="81"/>
      <c r="B888" s="80"/>
      <c r="C888" s="80"/>
      <c r="D888" s="81"/>
      <c r="E888" s="81"/>
      <c r="F888" s="81"/>
      <c r="G888" s="81"/>
      <c r="H888" s="83"/>
      <c r="I888" s="83"/>
      <c r="J888" s="80"/>
      <c r="K888" s="81"/>
      <c r="L888" s="81"/>
      <c r="M888" s="80"/>
      <c r="N888" s="80"/>
      <c r="O888" s="80"/>
      <c r="P888" s="80"/>
      <c r="Q888" s="80"/>
      <c r="R888" s="80"/>
      <c r="S888" s="80"/>
      <c r="T888" s="80"/>
      <c r="U888" s="80"/>
      <c r="V888" s="80"/>
      <c r="W888" s="80"/>
      <c r="X888" s="80"/>
      <c r="Y888" s="80"/>
      <c r="Z888" s="80"/>
    </row>
    <row r="889">
      <c r="A889" s="81"/>
      <c r="B889" s="80"/>
      <c r="C889" s="80"/>
      <c r="D889" s="81"/>
      <c r="E889" s="81"/>
      <c r="F889" s="81"/>
      <c r="G889" s="81"/>
      <c r="H889" s="83"/>
      <c r="I889" s="83"/>
      <c r="J889" s="80"/>
      <c r="K889" s="81"/>
      <c r="L889" s="81"/>
      <c r="M889" s="80"/>
      <c r="N889" s="80"/>
      <c r="O889" s="80"/>
      <c r="P889" s="80"/>
      <c r="Q889" s="80"/>
      <c r="R889" s="80"/>
      <c r="S889" s="80"/>
      <c r="T889" s="80"/>
      <c r="U889" s="80"/>
      <c r="V889" s="80"/>
      <c r="W889" s="80"/>
      <c r="X889" s="80"/>
      <c r="Y889" s="80"/>
      <c r="Z889" s="80"/>
    </row>
    <row r="890">
      <c r="A890" s="81"/>
      <c r="B890" s="80"/>
      <c r="C890" s="80"/>
      <c r="D890" s="81"/>
      <c r="E890" s="81"/>
      <c r="F890" s="81"/>
      <c r="G890" s="81"/>
      <c r="H890" s="83"/>
      <c r="I890" s="83"/>
      <c r="J890" s="80"/>
      <c r="K890" s="81"/>
      <c r="L890" s="81"/>
      <c r="M890" s="80"/>
      <c r="N890" s="80"/>
      <c r="O890" s="80"/>
      <c r="P890" s="80"/>
      <c r="Q890" s="80"/>
      <c r="R890" s="80"/>
      <c r="S890" s="80"/>
      <c r="T890" s="80"/>
      <c r="U890" s="80"/>
      <c r="V890" s="80"/>
      <c r="W890" s="80"/>
      <c r="X890" s="80"/>
      <c r="Y890" s="80"/>
      <c r="Z890" s="80"/>
    </row>
    <row r="891">
      <c r="A891" s="81"/>
      <c r="B891" s="80"/>
      <c r="C891" s="80"/>
      <c r="D891" s="81"/>
      <c r="E891" s="81"/>
      <c r="F891" s="81"/>
      <c r="G891" s="81"/>
      <c r="H891" s="83"/>
      <c r="I891" s="83"/>
      <c r="J891" s="80"/>
      <c r="K891" s="81"/>
      <c r="L891" s="81"/>
      <c r="M891" s="80"/>
      <c r="N891" s="80"/>
      <c r="O891" s="80"/>
      <c r="P891" s="80"/>
      <c r="Q891" s="80"/>
      <c r="R891" s="80"/>
      <c r="S891" s="80"/>
      <c r="T891" s="80"/>
      <c r="U891" s="80"/>
      <c r="V891" s="80"/>
      <c r="W891" s="80"/>
      <c r="X891" s="80"/>
      <c r="Y891" s="80"/>
      <c r="Z891" s="80"/>
    </row>
    <row r="892">
      <c r="A892" s="81"/>
      <c r="B892" s="80"/>
      <c r="C892" s="80"/>
      <c r="D892" s="81"/>
      <c r="E892" s="81"/>
      <c r="F892" s="81"/>
      <c r="G892" s="81"/>
      <c r="H892" s="83"/>
      <c r="I892" s="83"/>
      <c r="J892" s="80"/>
      <c r="K892" s="81"/>
      <c r="L892" s="81"/>
      <c r="M892" s="80"/>
      <c r="N892" s="80"/>
      <c r="O892" s="80"/>
      <c r="P892" s="80"/>
      <c r="Q892" s="80"/>
      <c r="R892" s="80"/>
      <c r="S892" s="80"/>
      <c r="T892" s="80"/>
      <c r="U892" s="80"/>
      <c r="V892" s="80"/>
      <c r="W892" s="80"/>
      <c r="X892" s="80"/>
      <c r="Y892" s="80"/>
      <c r="Z892" s="80"/>
    </row>
    <row r="893">
      <c r="A893" s="81"/>
      <c r="B893" s="80"/>
      <c r="C893" s="80"/>
      <c r="D893" s="81"/>
      <c r="E893" s="81"/>
      <c r="F893" s="81"/>
      <c r="G893" s="81"/>
      <c r="H893" s="83"/>
      <c r="I893" s="83"/>
      <c r="J893" s="80"/>
      <c r="K893" s="81"/>
      <c r="L893" s="81"/>
      <c r="M893" s="80"/>
      <c r="N893" s="80"/>
      <c r="O893" s="80"/>
      <c r="P893" s="80"/>
      <c r="Q893" s="80"/>
      <c r="R893" s="80"/>
      <c r="S893" s="80"/>
      <c r="T893" s="80"/>
      <c r="U893" s="80"/>
      <c r="V893" s="80"/>
      <c r="W893" s="80"/>
      <c r="X893" s="80"/>
      <c r="Y893" s="80"/>
      <c r="Z893" s="80"/>
    </row>
    <row r="894">
      <c r="A894" s="81"/>
      <c r="B894" s="80"/>
      <c r="C894" s="80"/>
      <c r="D894" s="81"/>
      <c r="E894" s="81"/>
      <c r="F894" s="81"/>
      <c r="G894" s="81"/>
      <c r="H894" s="83"/>
      <c r="I894" s="83"/>
      <c r="J894" s="80"/>
      <c r="K894" s="81"/>
      <c r="L894" s="81"/>
      <c r="M894" s="80"/>
      <c r="N894" s="80"/>
      <c r="O894" s="80"/>
      <c r="P894" s="80"/>
      <c r="Q894" s="80"/>
      <c r="R894" s="80"/>
      <c r="S894" s="80"/>
      <c r="T894" s="80"/>
      <c r="U894" s="80"/>
      <c r="V894" s="80"/>
      <c r="W894" s="80"/>
      <c r="X894" s="80"/>
      <c r="Y894" s="80"/>
      <c r="Z894" s="80"/>
    </row>
    <row r="895">
      <c r="A895" s="81"/>
      <c r="B895" s="80"/>
      <c r="C895" s="80"/>
      <c r="D895" s="81"/>
      <c r="E895" s="81"/>
      <c r="F895" s="81"/>
      <c r="G895" s="81"/>
      <c r="H895" s="83"/>
      <c r="I895" s="83"/>
      <c r="J895" s="80"/>
      <c r="K895" s="81"/>
      <c r="L895" s="81"/>
      <c r="M895" s="80"/>
      <c r="N895" s="80"/>
      <c r="O895" s="80"/>
      <c r="P895" s="80"/>
      <c r="Q895" s="80"/>
      <c r="R895" s="80"/>
      <c r="S895" s="80"/>
      <c r="T895" s="80"/>
      <c r="U895" s="80"/>
      <c r="V895" s="80"/>
      <c r="W895" s="80"/>
      <c r="X895" s="80"/>
      <c r="Y895" s="80"/>
      <c r="Z895" s="80"/>
    </row>
    <row r="896">
      <c r="A896" s="81"/>
      <c r="B896" s="80"/>
      <c r="C896" s="80"/>
      <c r="D896" s="81"/>
      <c r="E896" s="81"/>
      <c r="F896" s="81"/>
      <c r="G896" s="81"/>
      <c r="H896" s="83"/>
      <c r="I896" s="83"/>
      <c r="J896" s="80"/>
      <c r="K896" s="81"/>
      <c r="L896" s="81"/>
      <c r="M896" s="80"/>
      <c r="N896" s="80"/>
      <c r="O896" s="80"/>
      <c r="P896" s="80"/>
      <c r="Q896" s="80"/>
      <c r="R896" s="80"/>
      <c r="S896" s="80"/>
      <c r="T896" s="80"/>
      <c r="U896" s="80"/>
      <c r="V896" s="80"/>
      <c r="W896" s="80"/>
      <c r="X896" s="80"/>
      <c r="Y896" s="80"/>
      <c r="Z896" s="80"/>
    </row>
    <row r="897">
      <c r="A897" s="81"/>
      <c r="B897" s="80"/>
      <c r="C897" s="80"/>
      <c r="D897" s="81"/>
      <c r="E897" s="81"/>
      <c r="F897" s="81"/>
      <c r="G897" s="81"/>
      <c r="H897" s="83"/>
      <c r="I897" s="83"/>
      <c r="J897" s="80"/>
      <c r="K897" s="81"/>
      <c r="L897" s="81"/>
      <c r="M897" s="80"/>
      <c r="N897" s="80"/>
      <c r="O897" s="80"/>
      <c r="P897" s="80"/>
      <c r="Q897" s="80"/>
      <c r="R897" s="80"/>
      <c r="S897" s="80"/>
      <c r="T897" s="80"/>
      <c r="U897" s="80"/>
      <c r="V897" s="80"/>
      <c r="W897" s="80"/>
      <c r="X897" s="80"/>
      <c r="Y897" s="80"/>
      <c r="Z897" s="80"/>
    </row>
    <row r="898">
      <c r="A898" s="81"/>
      <c r="B898" s="80"/>
      <c r="C898" s="80"/>
      <c r="D898" s="81"/>
      <c r="E898" s="81"/>
      <c r="F898" s="81"/>
      <c r="G898" s="81"/>
      <c r="H898" s="83"/>
      <c r="I898" s="83"/>
      <c r="J898" s="80"/>
      <c r="K898" s="81"/>
      <c r="L898" s="81"/>
      <c r="M898" s="80"/>
      <c r="N898" s="80"/>
      <c r="O898" s="80"/>
      <c r="P898" s="80"/>
      <c r="Q898" s="80"/>
      <c r="R898" s="80"/>
      <c r="S898" s="80"/>
      <c r="T898" s="80"/>
      <c r="U898" s="80"/>
      <c r="V898" s="80"/>
      <c r="W898" s="80"/>
      <c r="X898" s="80"/>
      <c r="Y898" s="80"/>
      <c r="Z898" s="80"/>
    </row>
    <row r="899">
      <c r="A899" s="81"/>
      <c r="B899" s="80"/>
      <c r="C899" s="80"/>
      <c r="D899" s="81"/>
      <c r="E899" s="81"/>
      <c r="F899" s="81"/>
      <c r="G899" s="81"/>
      <c r="H899" s="83"/>
      <c r="I899" s="83"/>
      <c r="J899" s="80"/>
      <c r="K899" s="81"/>
      <c r="L899" s="81"/>
      <c r="M899" s="80"/>
      <c r="N899" s="80"/>
      <c r="O899" s="80"/>
      <c r="P899" s="80"/>
      <c r="Q899" s="80"/>
      <c r="R899" s="80"/>
      <c r="S899" s="80"/>
      <c r="T899" s="80"/>
      <c r="U899" s="80"/>
      <c r="V899" s="80"/>
      <c r="W899" s="80"/>
      <c r="X899" s="80"/>
      <c r="Y899" s="80"/>
      <c r="Z899" s="80"/>
    </row>
    <row r="900">
      <c r="A900" s="81"/>
      <c r="B900" s="80"/>
      <c r="C900" s="80"/>
      <c r="D900" s="81"/>
      <c r="E900" s="81"/>
      <c r="F900" s="81"/>
      <c r="G900" s="81"/>
      <c r="H900" s="83"/>
      <c r="I900" s="83"/>
      <c r="J900" s="80"/>
      <c r="K900" s="81"/>
      <c r="L900" s="81"/>
      <c r="M900" s="80"/>
      <c r="N900" s="80"/>
      <c r="O900" s="80"/>
      <c r="P900" s="80"/>
      <c r="Q900" s="80"/>
      <c r="R900" s="80"/>
      <c r="S900" s="80"/>
      <c r="T900" s="80"/>
      <c r="U900" s="80"/>
      <c r="V900" s="80"/>
      <c r="W900" s="80"/>
      <c r="X900" s="80"/>
      <c r="Y900" s="80"/>
      <c r="Z900" s="80"/>
    </row>
    <row r="901">
      <c r="A901" s="81"/>
      <c r="B901" s="80"/>
      <c r="C901" s="80"/>
      <c r="D901" s="81"/>
      <c r="E901" s="81"/>
      <c r="F901" s="81"/>
      <c r="G901" s="81"/>
      <c r="H901" s="83"/>
      <c r="I901" s="83"/>
      <c r="J901" s="80"/>
      <c r="K901" s="81"/>
      <c r="L901" s="81"/>
      <c r="M901" s="80"/>
      <c r="N901" s="80"/>
      <c r="O901" s="80"/>
      <c r="P901" s="80"/>
      <c r="Q901" s="80"/>
      <c r="R901" s="80"/>
      <c r="S901" s="80"/>
      <c r="T901" s="80"/>
      <c r="U901" s="80"/>
      <c r="V901" s="80"/>
      <c r="W901" s="80"/>
      <c r="X901" s="80"/>
      <c r="Y901" s="80"/>
      <c r="Z901" s="80"/>
    </row>
    <row r="902">
      <c r="A902" s="81"/>
      <c r="B902" s="80"/>
      <c r="C902" s="80"/>
      <c r="D902" s="81"/>
      <c r="E902" s="81"/>
      <c r="F902" s="81"/>
      <c r="G902" s="81"/>
      <c r="H902" s="83"/>
      <c r="I902" s="83"/>
      <c r="J902" s="80"/>
      <c r="K902" s="81"/>
      <c r="L902" s="81"/>
      <c r="M902" s="80"/>
      <c r="N902" s="80"/>
      <c r="O902" s="80"/>
      <c r="P902" s="80"/>
      <c r="Q902" s="80"/>
      <c r="R902" s="80"/>
      <c r="S902" s="80"/>
      <c r="T902" s="80"/>
      <c r="U902" s="80"/>
      <c r="V902" s="80"/>
      <c r="W902" s="80"/>
      <c r="X902" s="80"/>
      <c r="Y902" s="80"/>
      <c r="Z902" s="80"/>
    </row>
    <row r="903">
      <c r="A903" s="81"/>
      <c r="B903" s="80"/>
      <c r="C903" s="80"/>
      <c r="D903" s="81"/>
      <c r="E903" s="81"/>
      <c r="F903" s="81"/>
      <c r="G903" s="81"/>
      <c r="H903" s="83"/>
      <c r="I903" s="83"/>
      <c r="J903" s="80"/>
      <c r="K903" s="81"/>
      <c r="L903" s="81"/>
      <c r="M903" s="80"/>
      <c r="N903" s="80"/>
      <c r="O903" s="80"/>
      <c r="P903" s="80"/>
      <c r="Q903" s="80"/>
      <c r="R903" s="80"/>
      <c r="S903" s="80"/>
      <c r="T903" s="80"/>
      <c r="U903" s="80"/>
      <c r="V903" s="80"/>
      <c r="W903" s="80"/>
      <c r="X903" s="80"/>
      <c r="Y903" s="80"/>
      <c r="Z903" s="80"/>
    </row>
    <row r="904">
      <c r="A904" s="81"/>
      <c r="B904" s="80"/>
      <c r="C904" s="80"/>
      <c r="D904" s="81"/>
      <c r="E904" s="81"/>
      <c r="F904" s="81"/>
      <c r="G904" s="81"/>
      <c r="H904" s="83"/>
      <c r="I904" s="83"/>
      <c r="J904" s="80"/>
      <c r="K904" s="81"/>
      <c r="L904" s="81"/>
      <c r="M904" s="80"/>
      <c r="N904" s="80"/>
      <c r="O904" s="80"/>
      <c r="P904" s="80"/>
      <c r="Q904" s="80"/>
      <c r="R904" s="80"/>
      <c r="S904" s="80"/>
      <c r="T904" s="80"/>
      <c r="U904" s="80"/>
      <c r="V904" s="80"/>
      <c r="W904" s="80"/>
      <c r="X904" s="80"/>
      <c r="Y904" s="80"/>
      <c r="Z904" s="80"/>
    </row>
    <row r="905">
      <c r="A905" s="81"/>
      <c r="B905" s="80"/>
      <c r="C905" s="80"/>
      <c r="D905" s="81"/>
      <c r="E905" s="81"/>
      <c r="F905" s="81"/>
      <c r="G905" s="81"/>
      <c r="H905" s="83"/>
      <c r="I905" s="83"/>
      <c r="J905" s="80"/>
      <c r="K905" s="81"/>
      <c r="L905" s="81"/>
      <c r="M905" s="80"/>
      <c r="N905" s="80"/>
      <c r="O905" s="80"/>
      <c r="P905" s="80"/>
      <c r="Q905" s="80"/>
      <c r="R905" s="80"/>
      <c r="S905" s="80"/>
      <c r="T905" s="80"/>
      <c r="U905" s="80"/>
      <c r="V905" s="80"/>
      <c r="W905" s="80"/>
      <c r="X905" s="80"/>
      <c r="Y905" s="80"/>
      <c r="Z905" s="80"/>
    </row>
    <row r="906">
      <c r="A906" s="81"/>
      <c r="B906" s="80"/>
      <c r="C906" s="80"/>
      <c r="D906" s="81"/>
      <c r="E906" s="81"/>
      <c r="F906" s="81"/>
      <c r="G906" s="81"/>
      <c r="H906" s="83"/>
      <c r="I906" s="83"/>
      <c r="J906" s="80"/>
      <c r="K906" s="81"/>
      <c r="L906" s="81"/>
      <c r="M906" s="80"/>
      <c r="N906" s="80"/>
      <c r="O906" s="80"/>
      <c r="P906" s="80"/>
      <c r="Q906" s="80"/>
      <c r="R906" s="80"/>
      <c r="S906" s="80"/>
      <c r="T906" s="80"/>
      <c r="U906" s="80"/>
      <c r="V906" s="80"/>
      <c r="W906" s="80"/>
      <c r="X906" s="80"/>
      <c r="Y906" s="80"/>
      <c r="Z906" s="80"/>
    </row>
    <row r="907">
      <c r="A907" s="81"/>
      <c r="B907" s="80"/>
      <c r="C907" s="80"/>
      <c r="D907" s="81"/>
      <c r="E907" s="81"/>
      <c r="F907" s="81"/>
      <c r="G907" s="81"/>
      <c r="H907" s="83"/>
      <c r="I907" s="83"/>
      <c r="J907" s="80"/>
      <c r="K907" s="81"/>
      <c r="L907" s="81"/>
      <c r="M907" s="80"/>
      <c r="N907" s="80"/>
      <c r="O907" s="80"/>
      <c r="P907" s="80"/>
      <c r="Q907" s="80"/>
      <c r="R907" s="80"/>
      <c r="S907" s="80"/>
      <c r="T907" s="80"/>
      <c r="U907" s="80"/>
      <c r="V907" s="80"/>
      <c r="W907" s="80"/>
      <c r="X907" s="80"/>
      <c r="Y907" s="80"/>
      <c r="Z907" s="80"/>
    </row>
    <row r="908">
      <c r="A908" s="81"/>
      <c r="B908" s="80"/>
      <c r="C908" s="80"/>
      <c r="D908" s="81"/>
      <c r="E908" s="81"/>
      <c r="F908" s="81"/>
      <c r="G908" s="81"/>
      <c r="H908" s="83"/>
      <c r="I908" s="83"/>
      <c r="J908" s="80"/>
      <c r="K908" s="81"/>
      <c r="L908" s="81"/>
      <c r="M908" s="80"/>
      <c r="N908" s="80"/>
      <c r="O908" s="80"/>
      <c r="P908" s="80"/>
      <c r="Q908" s="80"/>
      <c r="R908" s="80"/>
      <c r="S908" s="80"/>
      <c r="T908" s="80"/>
      <c r="U908" s="80"/>
      <c r="V908" s="80"/>
      <c r="W908" s="80"/>
      <c r="X908" s="80"/>
      <c r="Y908" s="80"/>
      <c r="Z908" s="80"/>
    </row>
    <row r="909">
      <c r="A909" s="81"/>
      <c r="B909" s="80"/>
      <c r="C909" s="80"/>
      <c r="D909" s="81"/>
      <c r="E909" s="81"/>
      <c r="F909" s="81"/>
      <c r="G909" s="81"/>
      <c r="H909" s="83"/>
      <c r="I909" s="83"/>
      <c r="J909" s="80"/>
      <c r="K909" s="81"/>
      <c r="L909" s="81"/>
      <c r="M909" s="80"/>
      <c r="N909" s="80"/>
      <c r="O909" s="80"/>
      <c r="P909" s="80"/>
      <c r="Q909" s="80"/>
      <c r="R909" s="80"/>
      <c r="S909" s="80"/>
      <c r="T909" s="80"/>
      <c r="U909" s="80"/>
      <c r="V909" s="80"/>
      <c r="W909" s="80"/>
      <c r="X909" s="80"/>
      <c r="Y909" s="80"/>
      <c r="Z909" s="80"/>
    </row>
    <row r="910">
      <c r="A910" s="81"/>
      <c r="B910" s="80"/>
      <c r="C910" s="80"/>
      <c r="D910" s="81"/>
      <c r="E910" s="81"/>
      <c r="F910" s="81"/>
      <c r="G910" s="81"/>
      <c r="H910" s="83"/>
      <c r="I910" s="83"/>
      <c r="J910" s="80"/>
      <c r="K910" s="81"/>
      <c r="L910" s="81"/>
      <c r="M910" s="80"/>
      <c r="N910" s="80"/>
      <c r="O910" s="80"/>
      <c r="P910" s="80"/>
      <c r="Q910" s="80"/>
      <c r="R910" s="80"/>
      <c r="S910" s="80"/>
      <c r="T910" s="80"/>
      <c r="U910" s="80"/>
      <c r="V910" s="80"/>
      <c r="W910" s="80"/>
      <c r="X910" s="80"/>
      <c r="Y910" s="80"/>
      <c r="Z910" s="80"/>
    </row>
    <row r="911">
      <c r="A911" s="81"/>
      <c r="B911" s="80"/>
      <c r="C911" s="80"/>
      <c r="D911" s="81"/>
      <c r="E911" s="81"/>
      <c r="F911" s="81"/>
      <c r="G911" s="81"/>
      <c r="H911" s="83"/>
      <c r="I911" s="83"/>
      <c r="J911" s="80"/>
      <c r="K911" s="81"/>
      <c r="L911" s="81"/>
      <c r="M911" s="80"/>
      <c r="N911" s="80"/>
      <c r="O911" s="80"/>
      <c r="P911" s="80"/>
      <c r="Q911" s="80"/>
      <c r="R911" s="80"/>
      <c r="S911" s="80"/>
      <c r="T911" s="80"/>
      <c r="U911" s="80"/>
      <c r="V911" s="80"/>
      <c r="W911" s="80"/>
      <c r="X911" s="80"/>
      <c r="Y911" s="80"/>
      <c r="Z911" s="80"/>
    </row>
    <row r="912">
      <c r="A912" s="81"/>
      <c r="B912" s="80"/>
      <c r="C912" s="80"/>
      <c r="D912" s="81"/>
      <c r="E912" s="81"/>
      <c r="F912" s="81"/>
      <c r="G912" s="81"/>
      <c r="H912" s="83"/>
      <c r="I912" s="83"/>
      <c r="J912" s="80"/>
      <c r="K912" s="81"/>
      <c r="L912" s="81"/>
      <c r="M912" s="80"/>
      <c r="N912" s="80"/>
      <c r="O912" s="80"/>
      <c r="P912" s="80"/>
      <c r="Q912" s="80"/>
      <c r="R912" s="80"/>
      <c r="S912" s="80"/>
      <c r="T912" s="80"/>
      <c r="U912" s="80"/>
      <c r="V912" s="80"/>
      <c r="W912" s="80"/>
      <c r="X912" s="80"/>
      <c r="Y912" s="80"/>
      <c r="Z912" s="80"/>
    </row>
    <row r="913">
      <c r="A913" s="81"/>
      <c r="B913" s="80"/>
      <c r="C913" s="80"/>
      <c r="D913" s="81"/>
      <c r="E913" s="81"/>
      <c r="F913" s="81"/>
      <c r="G913" s="81"/>
      <c r="H913" s="83"/>
      <c r="I913" s="83"/>
      <c r="J913" s="80"/>
      <c r="K913" s="81"/>
      <c r="L913" s="81"/>
      <c r="M913" s="80"/>
      <c r="N913" s="80"/>
      <c r="O913" s="80"/>
      <c r="P913" s="80"/>
      <c r="Q913" s="80"/>
      <c r="R913" s="80"/>
      <c r="S913" s="80"/>
      <c r="T913" s="80"/>
      <c r="U913" s="80"/>
      <c r="V913" s="80"/>
      <c r="W913" s="80"/>
      <c r="X913" s="80"/>
      <c r="Y913" s="80"/>
      <c r="Z913" s="80"/>
    </row>
    <row r="914">
      <c r="A914" s="81"/>
      <c r="B914" s="80"/>
      <c r="C914" s="80"/>
      <c r="D914" s="81"/>
      <c r="E914" s="81"/>
      <c r="F914" s="81"/>
      <c r="G914" s="81"/>
      <c r="H914" s="83"/>
      <c r="I914" s="83"/>
      <c r="J914" s="80"/>
      <c r="K914" s="81"/>
      <c r="L914" s="81"/>
      <c r="M914" s="80"/>
      <c r="N914" s="80"/>
      <c r="O914" s="80"/>
      <c r="P914" s="80"/>
      <c r="Q914" s="80"/>
      <c r="R914" s="80"/>
      <c r="S914" s="80"/>
      <c r="T914" s="80"/>
      <c r="U914" s="80"/>
      <c r="V914" s="80"/>
      <c r="W914" s="80"/>
      <c r="X914" s="80"/>
      <c r="Y914" s="80"/>
      <c r="Z914" s="80"/>
    </row>
    <row r="915">
      <c r="A915" s="81"/>
      <c r="B915" s="80"/>
      <c r="C915" s="80"/>
      <c r="D915" s="81"/>
      <c r="E915" s="81"/>
      <c r="F915" s="81"/>
      <c r="G915" s="81"/>
      <c r="H915" s="83"/>
      <c r="I915" s="83"/>
      <c r="J915" s="80"/>
      <c r="K915" s="81"/>
      <c r="L915" s="81"/>
      <c r="M915" s="80"/>
      <c r="N915" s="80"/>
      <c r="O915" s="80"/>
      <c r="P915" s="80"/>
      <c r="Q915" s="80"/>
      <c r="R915" s="80"/>
      <c r="S915" s="80"/>
      <c r="T915" s="80"/>
      <c r="U915" s="80"/>
      <c r="V915" s="80"/>
      <c r="W915" s="80"/>
      <c r="X915" s="80"/>
      <c r="Y915" s="80"/>
      <c r="Z915" s="80"/>
    </row>
    <row r="916">
      <c r="A916" s="81"/>
      <c r="B916" s="80"/>
      <c r="C916" s="80"/>
      <c r="D916" s="81"/>
      <c r="E916" s="81"/>
      <c r="F916" s="81"/>
      <c r="G916" s="81"/>
      <c r="H916" s="83"/>
      <c r="I916" s="83"/>
      <c r="J916" s="80"/>
      <c r="K916" s="81"/>
      <c r="L916" s="81"/>
      <c r="M916" s="80"/>
      <c r="N916" s="80"/>
      <c r="O916" s="80"/>
      <c r="P916" s="80"/>
      <c r="Q916" s="80"/>
      <c r="R916" s="80"/>
      <c r="S916" s="80"/>
      <c r="T916" s="80"/>
      <c r="U916" s="80"/>
      <c r="V916" s="80"/>
      <c r="W916" s="80"/>
      <c r="X916" s="80"/>
      <c r="Y916" s="80"/>
      <c r="Z916" s="80"/>
    </row>
    <row r="917">
      <c r="A917" s="81"/>
      <c r="B917" s="80"/>
      <c r="C917" s="80"/>
      <c r="D917" s="81"/>
      <c r="E917" s="81"/>
      <c r="F917" s="81"/>
      <c r="G917" s="81"/>
      <c r="H917" s="83"/>
      <c r="I917" s="83"/>
      <c r="J917" s="80"/>
      <c r="K917" s="81"/>
      <c r="L917" s="81"/>
      <c r="M917" s="80"/>
      <c r="N917" s="80"/>
      <c r="O917" s="80"/>
      <c r="P917" s="80"/>
      <c r="Q917" s="80"/>
      <c r="R917" s="80"/>
      <c r="S917" s="80"/>
      <c r="T917" s="80"/>
      <c r="U917" s="80"/>
      <c r="V917" s="80"/>
      <c r="W917" s="80"/>
      <c r="X917" s="80"/>
      <c r="Y917" s="80"/>
      <c r="Z917" s="80"/>
    </row>
    <row r="918">
      <c r="A918" s="81"/>
      <c r="B918" s="80"/>
      <c r="C918" s="80"/>
      <c r="D918" s="81"/>
      <c r="E918" s="81"/>
      <c r="F918" s="81"/>
      <c r="G918" s="81"/>
      <c r="H918" s="83"/>
      <c r="I918" s="83"/>
      <c r="J918" s="80"/>
      <c r="K918" s="81"/>
      <c r="L918" s="81"/>
      <c r="M918" s="80"/>
      <c r="N918" s="80"/>
      <c r="O918" s="80"/>
      <c r="P918" s="80"/>
      <c r="Q918" s="80"/>
      <c r="R918" s="80"/>
      <c r="S918" s="80"/>
      <c r="T918" s="80"/>
      <c r="U918" s="80"/>
      <c r="V918" s="80"/>
      <c r="W918" s="80"/>
      <c r="X918" s="80"/>
      <c r="Y918" s="80"/>
      <c r="Z918" s="80"/>
    </row>
    <row r="919">
      <c r="A919" s="81"/>
      <c r="B919" s="80"/>
      <c r="C919" s="80"/>
      <c r="D919" s="81"/>
      <c r="E919" s="81"/>
      <c r="F919" s="81"/>
      <c r="G919" s="81"/>
      <c r="H919" s="83"/>
      <c r="I919" s="83"/>
      <c r="J919" s="80"/>
      <c r="K919" s="81"/>
      <c r="L919" s="81"/>
      <c r="M919" s="80"/>
      <c r="N919" s="80"/>
      <c r="O919" s="80"/>
      <c r="P919" s="80"/>
      <c r="Q919" s="80"/>
      <c r="R919" s="80"/>
      <c r="S919" s="80"/>
      <c r="T919" s="80"/>
      <c r="U919" s="80"/>
      <c r="V919" s="80"/>
      <c r="W919" s="80"/>
      <c r="X919" s="80"/>
      <c r="Y919" s="80"/>
      <c r="Z919" s="80"/>
    </row>
    <row r="920">
      <c r="A920" s="81"/>
      <c r="B920" s="80"/>
      <c r="C920" s="80"/>
      <c r="D920" s="81"/>
      <c r="E920" s="81"/>
      <c r="F920" s="81"/>
      <c r="G920" s="81"/>
      <c r="H920" s="83"/>
      <c r="I920" s="83"/>
      <c r="J920" s="80"/>
      <c r="K920" s="81"/>
      <c r="L920" s="81"/>
      <c r="M920" s="80"/>
      <c r="N920" s="80"/>
      <c r="O920" s="80"/>
      <c r="P920" s="80"/>
      <c r="Q920" s="80"/>
      <c r="R920" s="80"/>
      <c r="S920" s="80"/>
      <c r="T920" s="80"/>
      <c r="U920" s="80"/>
      <c r="V920" s="80"/>
      <c r="W920" s="80"/>
      <c r="X920" s="80"/>
      <c r="Y920" s="80"/>
      <c r="Z920" s="80"/>
    </row>
    <row r="921">
      <c r="A921" s="81"/>
      <c r="B921" s="80"/>
      <c r="C921" s="80"/>
      <c r="D921" s="81"/>
      <c r="E921" s="81"/>
      <c r="F921" s="81"/>
      <c r="G921" s="81"/>
      <c r="H921" s="83"/>
      <c r="I921" s="83"/>
      <c r="J921" s="80"/>
      <c r="K921" s="81"/>
      <c r="L921" s="81"/>
      <c r="M921" s="80"/>
      <c r="N921" s="80"/>
      <c r="O921" s="80"/>
      <c r="P921" s="80"/>
      <c r="Q921" s="80"/>
      <c r="R921" s="80"/>
      <c r="S921" s="80"/>
      <c r="T921" s="80"/>
      <c r="U921" s="80"/>
      <c r="V921" s="80"/>
      <c r="W921" s="80"/>
      <c r="X921" s="80"/>
      <c r="Y921" s="80"/>
      <c r="Z921" s="80"/>
    </row>
    <row r="922">
      <c r="A922" s="81"/>
      <c r="B922" s="80"/>
      <c r="C922" s="80"/>
      <c r="D922" s="81"/>
      <c r="E922" s="81"/>
      <c r="F922" s="81"/>
      <c r="G922" s="81"/>
      <c r="H922" s="83"/>
      <c r="I922" s="83"/>
      <c r="J922" s="80"/>
      <c r="K922" s="81"/>
      <c r="L922" s="81"/>
      <c r="M922" s="80"/>
      <c r="N922" s="80"/>
      <c r="O922" s="80"/>
      <c r="P922" s="80"/>
      <c r="Q922" s="80"/>
      <c r="R922" s="80"/>
      <c r="S922" s="80"/>
      <c r="T922" s="80"/>
      <c r="U922" s="80"/>
      <c r="V922" s="80"/>
      <c r="W922" s="80"/>
      <c r="X922" s="80"/>
      <c r="Y922" s="80"/>
      <c r="Z922" s="80"/>
    </row>
    <row r="923">
      <c r="A923" s="81"/>
      <c r="B923" s="80"/>
      <c r="C923" s="80"/>
      <c r="D923" s="81"/>
      <c r="E923" s="81"/>
      <c r="F923" s="81"/>
      <c r="G923" s="81"/>
      <c r="H923" s="83"/>
      <c r="I923" s="83"/>
      <c r="J923" s="80"/>
      <c r="K923" s="81"/>
      <c r="L923" s="81"/>
      <c r="M923" s="80"/>
      <c r="N923" s="80"/>
      <c r="O923" s="80"/>
      <c r="P923" s="80"/>
      <c r="Q923" s="80"/>
      <c r="R923" s="80"/>
      <c r="S923" s="80"/>
      <c r="T923" s="80"/>
      <c r="U923" s="80"/>
      <c r="V923" s="80"/>
      <c r="W923" s="80"/>
      <c r="X923" s="80"/>
      <c r="Y923" s="80"/>
      <c r="Z923" s="80"/>
    </row>
    <row r="924">
      <c r="A924" s="81"/>
      <c r="B924" s="80"/>
      <c r="C924" s="80"/>
      <c r="D924" s="81"/>
      <c r="E924" s="81"/>
      <c r="F924" s="81"/>
      <c r="G924" s="81"/>
      <c r="H924" s="83"/>
      <c r="I924" s="83"/>
      <c r="J924" s="80"/>
      <c r="K924" s="81"/>
      <c r="L924" s="81"/>
      <c r="M924" s="80"/>
      <c r="N924" s="80"/>
      <c r="O924" s="80"/>
      <c r="P924" s="80"/>
      <c r="Q924" s="80"/>
      <c r="R924" s="80"/>
      <c r="S924" s="80"/>
      <c r="T924" s="80"/>
      <c r="U924" s="80"/>
      <c r="V924" s="80"/>
      <c r="W924" s="80"/>
      <c r="X924" s="80"/>
      <c r="Y924" s="80"/>
      <c r="Z924" s="80"/>
    </row>
    <row r="925">
      <c r="A925" s="81"/>
      <c r="B925" s="80"/>
      <c r="C925" s="80"/>
      <c r="D925" s="81"/>
      <c r="E925" s="81"/>
      <c r="F925" s="81"/>
      <c r="G925" s="81"/>
      <c r="H925" s="83"/>
      <c r="I925" s="83"/>
      <c r="J925" s="80"/>
      <c r="K925" s="81"/>
      <c r="L925" s="81"/>
      <c r="M925" s="80"/>
      <c r="N925" s="80"/>
      <c r="O925" s="80"/>
      <c r="P925" s="80"/>
      <c r="Q925" s="80"/>
      <c r="R925" s="80"/>
      <c r="S925" s="80"/>
      <c r="T925" s="80"/>
      <c r="U925" s="80"/>
      <c r="V925" s="80"/>
      <c r="W925" s="80"/>
      <c r="X925" s="80"/>
      <c r="Y925" s="80"/>
      <c r="Z925" s="80"/>
    </row>
    <row r="926">
      <c r="A926" s="81"/>
      <c r="B926" s="80"/>
      <c r="C926" s="80"/>
      <c r="D926" s="81"/>
      <c r="E926" s="81"/>
      <c r="F926" s="81"/>
      <c r="G926" s="81"/>
      <c r="H926" s="83"/>
      <c r="I926" s="83"/>
      <c r="J926" s="80"/>
      <c r="K926" s="81"/>
      <c r="L926" s="81"/>
      <c r="M926" s="80"/>
      <c r="N926" s="80"/>
      <c r="O926" s="80"/>
      <c r="P926" s="80"/>
      <c r="Q926" s="80"/>
      <c r="R926" s="80"/>
      <c r="S926" s="80"/>
      <c r="T926" s="80"/>
      <c r="U926" s="80"/>
      <c r="V926" s="80"/>
      <c r="W926" s="80"/>
      <c r="X926" s="80"/>
      <c r="Y926" s="80"/>
      <c r="Z926" s="80"/>
    </row>
    <row r="927">
      <c r="A927" s="81"/>
      <c r="B927" s="80"/>
      <c r="C927" s="80"/>
      <c r="D927" s="81"/>
      <c r="E927" s="81"/>
      <c r="F927" s="81"/>
      <c r="G927" s="81"/>
      <c r="H927" s="83"/>
      <c r="I927" s="83"/>
      <c r="J927" s="80"/>
      <c r="K927" s="81"/>
      <c r="L927" s="81"/>
      <c r="M927" s="80"/>
      <c r="N927" s="80"/>
      <c r="O927" s="80"/>
      <c r="P927" s="80"/>
      <c r="Q927" s="80"/>
      <c r="R927" s="80"/>
      <c r="S927" s="80"/>
      <c r="T927" s="80"/>
      <c r="U927" s="80"/>
      <c r="V927" s="80"/>
      <c r="W927" s="80"/>
      <c r="X927" s="80"/>
      <c r="Y927" s="80"/>
      <c r="Z927" s="80"/>
    </row>
    <row r="928">
      <c r="A928" s="81"/>
      <c r="B928" s="80"/>
      <c r="C928" s="80"/>
      <c r="D928" s="81"/>
      <c r="E928" s="81"/>
      <c r="F928" s="81"/>
      <c r="G928" s="81"/>
      <c r="H928" s="83"/>
      <c r="I928" s="83"/>
      <c r="J928" s="80"/>
      <c r="K928" s="81"/>
      <c r="L928" s="81"/>
      <c r="M928" s="80"/>
      <c r="N928" s="80"/>
      <c r="O928" s="80"/>
      <c r="P928" s="80"/>
      <c r="Q928" s="80"/>
      <c r="R928" s="80"/>
      <c r="S928" s="80"/>
      <c r="T928" s="80"/>
      <c r="U928" s="80"/>
      <c r="V928" s="80"/>
      <c r="W928" s="80"/>
      <c r="X928" s="80"/>
      <c r="Y928" s="80"/>
      <c r="Z928" s="80"/>
    </row>
    <row r="929">
      <c r="A929" s="81"/>
      <c r="B929" s="80"/>
      <c r="C929" s="80"/>
      <c r="D929" s="81"/>
      <c r="E929" s="81"/>
      <c r="F929" s="81"/>
      <c r="G929" s="81"/>
      <c r="H929" s="83"/>
      <c r="I929" s="83"/>
      <c r="J929" s="80"/>
      <c r="K929" s="81"/>
      <c r="L929" s="81"/>
      <c r="M929" s="80"/>
      <c r="N929" s="80"/>
      <c r="O929" s="80"/>
      <c r="P929" s="80"/>
      <c r="Q929" s="80"/>
      <c r="R929" s="80"/>
      <c r="S929" s="80"/>
      <c r="T929" s="80"/>
      <c r="U929" s="80"/>
      <c r="V929" s="80"/>
      <c r="W929" s="80"/>
      <c r="X929" s="80"/>
      <c r="Y929" s="80"/>
      <c r="Z929" s="80"/>
    </row>
    <row r="930">
      <c r="A930" s="81"/>
      <c r="B930" s="80"/>
      <c r="C930" s="80"/>
      <c r="D930" s="81"/>
      <c r="E930" s="81"/>
      <c r="F930" s="81"/>
      <c r="G930" s="81"/>
      <c r="H930" s="83"/>
      <c r="I930" s="83"/>
      <c r="J930" s="80"/>
      <c r="K930" s="81"/>
      <c r="L930" s="81"/>
      <c r="M930" s="80"/>
      <c r="N930" s="80"/>
      <c r="O930" s="80"/>
      <c r="P930" s="80"/>
      <c r="Q930" s="80"/>
      <c r="R930" s="80"/>
      <c r="S930" s="80"/>
      <c r="T930" s="80"/>
      <c r="U930" s="80"/>
      <c r="V930" s="80"/>
      <c r="W930" s="80"/>
      <c r="X930" s="80"/>
      <c r="Y930" s="80"/>
      <c r="Z930" s="80"/>
    </row>
    <row r="931">
      <c r="A931" s="81"/>
      <c r="B931" s="80"/>
      <c r="C931" s="80"/>
      <c r="D931" s="81"/>
      <c r="E931" s="81"/>
      <c r="F931" s="81"/>
      <c r="G931" s="81"/>
      <c r="H931" s="83"/>
      <c r="I931" s="83"/>
      <c r="J931" s="80"/>
      <c r="K931" s="81"/>
      <c r="L931" s="81"/>
      <c r="M931" s="80"/>
      <c r="N931" s="80"/>
      <c r="O931" s="80"/>
      <c r="P931" s="80"/>
      <c r="Q931" s="80"/>
      <c r="R931" s="80"/>
      <c r="S931" s="80"/>
      <c r="T931" s="80"/>
      <c r="U931" s="80"/>
      <c r="V931" s="80"/>
      <c r="W931" s="80"/>
      <c r="X931" s="80"/>
      <c r="Y931" s="80"/>
      <c r="Z931" s="80"/>
    </row>
    <row r="932">
      <c r="A932" s="81"/>
      <c r="B932" s="80"/>
      <c r="C932" s="80"/>
      <c r="D932" s="81"/>
      <c r="E932" s="81"/>
      <c r="F932" s="81"/>
      <c r="G932" s="81"/>
      <c r="H932" s="83"/>
      <c r="I932" s="83"/>
      <c r="J932" s="80"/>
      <c r="K932" s="81"/>
      <c r="L932" s="81"/>
      <c r="M932" s="80"/>
      <c r="N932" s="80"/>
      <c r="O932" s="80"/>
      <c r="P932" s="80"/>
      <c r="Q932" s="80"/>
      <c r="R932" s="80"/>
      <c r="S932" s="80"/>
      <c r="T932" s="80"/>
      <c r="U932" s="80"/>
      <c r="V932" s="80"/>
      <c r="W932" s="80"/>
      <c r="X932" s="80"/>
      <c r="Y932" s="80"/>
      <c r="Z932" s="80"/>
    </row>
    <row r="933">
      <c r="A933" s="81"/>
      <c r="B933" s="80"/>
      <c r="C933" s="80"/>
      <c r="D933" s="81"/>
      <c r="E933" s="81"/>
      <c r="F933" s="81"/>
      <c r="G933" s="81"/>
      <c r="H933" s="83"/>
      <c r="I933" s="83"/>
      <c r="J933" s="80"/>
      <c r="K933" s="81"/>
      <c r="L933" s="81"/>
      <c r="M933" s="80"/>
      <c r="N933" s="80"/>
      <c r="O933" s="80"/>
      <c r="P933" s="80"/>
      <c r="Q933" s="80"/>
      <c r="R933" s="80"/>
      <c r="S933" s="80"/>
      <c r="T933" s="80"/>
      <c r="U933" s="80"/>
      <c r="V933" s="80"/>
      <c r="W933" s="80"/>
      <c r="X933" s="80"/>
      <c r="Y933" s="80"/>
      <c r="Z933" s="80"/>
    </row>
    <row r="934">
      <c r="A934" s="81"/>
      <c r="B934" s="80"/>
      <c r="C934" s="80"/>
      <c r="D934" s="81"/>
      <c r="E934" s="81"/>
      <c r="F934" s="81"/>
      <c r="G934" s="81"/>
      <c r="H934" s="83"/>
      <c r="I934" s="83"/>
      <c r="J934" s="80"/>
      <c r="K934" s="81"/>
      <c r="L934" s="81"/>
      <c r="M934" s="80"/>
      <c r="N934" s="80"/>
      <c r="O934" s="80"/>
      <c r="P934" s="80"/>
      <c r="Q934" s="80"/>
      <c r="R934" s="80"/>
      <c r="S934" s="80"/>
      <c r="T934" s="80"/>
      <c r="U934" s="80"/>
      <c r="V934" s="80"/>
      <c r="W934" s="80"/>
      <c r="X934" s="80"/>
      <c r="Y934" s="80"/>
      <c r="Z934" s="80"/>
    </row>
    <row r="935">
      <c r="A935" s="81"/>
      <c r="B935" s="80"/>
      <c r="C935" s="80"/>
      <c r="D935" s="81"/>
      <c r="E935" s="81"/>
      <c r="F935" s="81"/>
      <c r="G935" s="81"/>
      <c r="H935" s="83"/>
      <c r="I935" s="83"/>
      <c r="J935" s="80"/>
      <c r="K935" s="81"/>
      <c r="L935" s="81"/>
      <c r="M935" s="80"/>
      <c r="N935" s="80"/>
      <c r="O935" s="80"/>
      <c r="P935" s="80"/>
      <c r="Q935" s="80"/>
      <c r="R935" s="80"/>
      <c r="S935" s="80"/>
      <c r="T935" s="80"/>
      <c r="U935" s="80"/>
      <c r="V935" s="80"/>
      <c r="W935" s="80"/>
      <c r="X935" s="80"/>
      <c r="Y935" s="80"/>
      <c r="Z935" s="80"/>
    </row>
    <row r="936">
      <c r="A936" s="81"/>
      <c r="B936" s="80"/>
      <c r="C936" s="80"/>
      <c r="D936" s="81"/>
      <c r="E936" s="81"/>
      <c r="F936" s="81"/>
      <c r="G936" s="81"/>
      <c r="H936" s="83"/>
      <c r="I936" s="83"/>
      <c r="J936" s="80"/>
      <c r="K936" s="81"/>
      <c r="L936" s="81"/>
      <c r="M936" s="80"/>
      <c r="N936" s="80"/>
      <c r="O936" s="80"/>
      <c r="P936" s="80"/>
      <c r="Q936" s="80"/>
      <c r="R936" s="80"/>
      <c r="S936" s="80"/>
      <c r="T936" s="80"/>
      <c r="U936" s="80"/>
      <c r="V936" s="80"/>
      <c r="W936" s="80"/>
      <c r="X936" s="80"/>
      <c r="Y936" s="80"/>
      <c r="Z936" s="80"/>
    </row>
    <row r="937">
      <c r="A937" s="81"/>
      <c r="B937" s="80"/>
      <c r="C937" s="80"/>
      <c r="D937" s="81"/>
      <c r="E937" s="81"/>
      <c r="F937" s="81"/>
      <c r="G937" s="81"/>
      <c r="H937" s="83"/>
      <c r="I937" s="83"/>
      <c r="J937" s="80"/>
      <c r="K937" s="81"/>
      <c r="L937" s="81"/>
      <c r="M937" s="80"/>
      <c r="N937" s="80"/>
      <c r="O937" s="80"/>
      <c r="P937" s="80"/>
      <c r="Q937" s="80"/>
      <c r="R937" s="80"/>
      <c r="S937" s="80"/>
      <c r="T937" s="80"/>
      <c r="U937" s="80"/>
      <c r="V937" s="80"/>
      <c r="W937" s="80"/>
      <c r="X937" s="80"/>
      <c r="Y937" s="80"/>
      <c r="Z937" s="80"/>
    </row>
    <row r="938">
      <c r="A938" s="81"/>
      <c r="B938" s="80"/>
      <c r="C938" s="80"/>
      <c r="D938" s="81"/>
      <c r="E938" s="81"/>
      <c r="F938" s="81"/>
      <c r="G938" s="81"/>
      <c r="H938" s="83"/>
      <c r="I938" s="83"/>
      <c r="J938" s="80"/>
      <c r="K938" s="81"/>
      <c r="L938" s="81"/>
      <c r="M938" s="80"/>
      <c r="N938" s="80"/>
      <c r="O938" s="80"/>
      <c r="P938" s="80"/>
      <c r="Q938" s="80"/>
      <c r="R938" s="80"/>
      <c r="S938" s="80"/>
      <c r="T938" s="80"/>
      <c r="U938" s="80"/>
      <c r="V938" s="80"/>
      <c r="W938" s="80"/>
      <c r="X938" s="80"/>
      <c r="Y938" s="80"/>
      <c r="Z938" s="80"/>
    </row>
    <row r="939">
      <c r="A939" s="81"/>
      <c r="B939" s="80"/>
      <c r="C939" s="80"/>
      <c r="D939" s="81"/>
      <c r="E939" s="81"/>
      <c r="F939" s="81"/>
      <c r="G939" s="81"/>
      <c r="H939" s="83"/>
      <c r="I939" s="83"/>
      <c r="J939" s="80"/>
      <c r="K939" s="81"/>
      <c r="L939" s="81"/>
      <c r="M939" s="80"/>
      <c r="N939" s="80"/>
      <c r="O939" s="80"/>
      <c r="P939" s="80"/>
      <c r="Q939" s="80"/>
      <c r="R939" s="80"/>
      <c r="S939" s="80"/>
      <c r="T939" s="80"/>
      <c r="U939" s="80"/>
      <c r="V939" s="80"/>
      <c r="W939" s="80"/>
      <c r="X939" s="80"/>
      <c r="Y939" s="80"/>
      <c r="Z939" s="80"/>
    </row>
    <row r="940">
      <c r="A940" s="81"/>
      <c r="B940" s="80"/>
      <c r="C940" s="80"/>
      <c r="D940" s="81"/>
      <c r="E940" s="81"/>
      <c r="F940" s="81"/>
      <c r="G940" s="81"/>
      <c r="H940" s="83"/>
      <c r="I940" s="83"/>
      <c r="J940" s="80"/>
      <c r="K940" s="81"/>
      <c r="L940" s="81"/>
      <c r="M940" s="80"/>
      <c r="N940" s="80"/>
      <c r="O940" s="80"/>
      <c r="P940" s="80"/>
      <c r="Q940" s="80"/>
      <c r="R940" s="80"/>
      <c r="S940" s="80"/>
      <c r="T940" s="80"/>
      <c r="U940" s="80"/>
      <c r="V940" s="80"/>
      <c r="W940" s="80"/>
      <c r="X940" s="80"/>
      <c r="Y940" s="80"/>
      <c r="Z940" s="80"/>
    </row>
    <row r="941">
      <c r="A941" s="81"/>
      <c r="B941" s="80"/>
      <c r="C941" s="80"/>
      <c r="D941" s="81"/>
      <c r="E941" s="81"/>
      <c r="F941" s="81"/>
      <c r="G941" s="81"/>
      <c r="H941" s="83"/>
      <c r="I941" s="83"/>
      <c r="J941" s="80"/>
      <c r="K941" s="81"/>
      <c r="L941" s="81"/>
      <c r="M941" s="80"/>
      <c r="N941" s="80"/>
      <c r="O941" s="80"/>
      <c r="P941" s="80"/>
      <c r="Q941" s="80"/>
      <c r="R941" s="80"/>
      <c r="S941" s="80"/>
      <c r="T941" s="80"/>
      <c r="U941" s="80"/>
      <c r="V941" s="80"/>
      <c r="W941" s="80"/>
      <c r="X941" s="80"/>
      <c r="Y941" s="80"/>
      <c r="Z941" s="80"/>
    </row>
    <row r="942">
      <c r="A942" s="81"/>
      <c r="B942" s="80"/>
      <c r="C942" s="80"/>
      <c r="D942" s="81"/>
      <c r="E942" s="81"/>
      <c r="F942" s="81"/>
      <c r="G942" s="81"/>
      <c r="H942" s="83"/>
      <c r="I942" s="83"/>
      <c r="J942" s="80"/>
      <c r="K942" s="81"/>
      <c r="L942" s="81"/>
      <c r="M942" s="80"/>
      <c r="N942" s="80"/>
      <c r="O942" s="80"/>
      <c r="P942" s="80"/>
      <c r="Q942" s="80"/>
      <c r="R942" s="80"/>
      <c r="S942" s="80"/>
      <c r="T942" s="80"/>
      <c r="U942" s="80"/>
      <c r="V942" s="80"/>
      <c r="W942" s="80"/>
      <c r="X942" s="80"/>
      <c r="Y942" s="80"/>
      <c r="Z942" s="80"/>
    </row>
    <row r="943">
      <c r="A943" s="81"/>
      <c r="B943" s="80"/>
      <c r="C943" s="80"/>
      <c r="D943" s="81"/>
      <c r="E943" s="81"/>
      <c r="F943" s="81"/>
      <c r="G943" s="81"/>
      <c r="H943" s="83"/>
      <c r="I943" s="83"/>
      <c r="J943" s="80"/>
      <c r="K943" s="81"/>
      <c r="L943" s="81"/>
      <c r="M943" s="80"/>
      <c r="N943" s="80"/>
      <c r="O943" s="80"/>
      <c r="P943" s="80"/>
      <c r="Q943" s="80"/>
      <c r="R943" s="80"/>
      <c r="S943" s="80"/>
      <c r="T943" s="80"/>
      <c r="U943" s="80"/>
      <c r="V943" s="80"/>
      <c r="W943" s="80"/>
      <c r="X943" s="80"/>
      <c r="Y943" s="80"/>
      <c r="Z943" s="80"/>
    </row>
    <row r="944">
      <c r="A944" s="81"/>
      <c r="B944" s="80"/>
      <c r="C944" s="80"/>
      <c r="D944" s="81"/>
      <c r="E944" s="81"/>
      <c r="F944" s="81"/>
      <c r="G944" s="81"/>
      <c r="H944" s="83"/>
      <c r="I944" s="83"/>
      <c r="J944" s="80"/>
      <c r="K944" s="81"/>
      <c r="L944" s="81"/>
      <c r="M944" s="80"/>
      <c r="N944" s="80"/>
      <c r="O944" s="80"/>
      <c r="P944" s="80"/>
      <c r="Q944" s="80"/>
      <c r="R944" s="80"/>
      <c r="S944" s="80"/>
      <c r="T944" s="80"/>
      <c r="U944" s="80"/>
      <c r="V944" s="80"/>
      <c r="W944" s="80"/>
      <c r="X944" s="80"/>
      <c r="Y944" s="80"/>
      <c r="Z944" s="80"/>
    </row>
    <row r="945">
      <c r="A945" s="81"/>
      <c r="B945" s="80"/>
      <c r="C945" s="80"/>
      <c r="D945" s="81"/>
      <c r="E945" s="81"/>
      <c r="F945" s="81"/>
      <c r="G945" s="81"/>
      <c r="H945" s="83"/>
      <c r="I945" s="83"/>
      <c r="J945" s="80"/>
      <c r="K945" s="81"/>
      <c r="L945" s="81"/>
      <c r="M945" s="80"/>
      <c r="N945" s="80"/>
      <c r="O945" s="80"/>
      <c r="P945" s="80"/>
      <c r="Q945" s="80"/>
      <c r="R945" s="80"/>
      <c r="S945" s="80"/>
      <c r="T945" s="80"/>
      <c r="U945" s="80"/>
      <c r="V945" s="80"/>
      <c r="W945" s="80"/>
      <c r="X945" s="80"/>
      <c r="Y945" s="80"/>
      <c r="Z945" s="80"/>
    </row>
    <row r="946">
      <c r="A946" s="81"/>
      <c r="B946" s="80"/>
      <c r="C946" s="80"/>
      <c r="D946" s="81"/>
      <c r="E946" s="81"/>
      <c r="F946" s="81"/>
      <c r="G946" s="81"/>
      <c r="H946" s="83"/>
      <c r="I946" s="83"/>
      <c r="J946" s="80"/>
      <c r="K946" s="81"/>
      <c r="L946" s="81"/>
      <c r="M946" s="80"/>
      <c r="N946" s="80"/>
      <c r="O946" s="80"/>
      <c r="P946" s="80"/>
      <c r="Q946" s="80"/>
      <c r="R946" s="80"/>
      <c r="S946" s="80"/>
      <c r="T946" s="80"/>
      <c r="U946" s="80"/>
      <c r="V946" s="80"/>
      <c r="W946" s="80"/>
      <c r="X946" s="80"/>
      <c r="Y946" s="80"/>
      <c r="Z946" s="80"/>
    </row>
    <row r="947">
      <c r="A947" s="81"/>
      <c r="B947" s="80"/>
      <c r="C947" s="80"/>
      <c r="D947" s="81"/>
      <c r="E947" s="81"/>
      <c r="F947" s="81"/>
      <c r="G947" s="81"/>
      <c r="H947" s="83"/>
      <c r="I947" s="83"/>
      <c r="J947" s="80"/>
      <c r="K947" s="81"/>
      <c r="L947" s="81"/>
      <c r="M947" s="80"/>
      <c r="N947" s="80"/>
      <c r="O947" s="80"/>
      <c r="P947" s="80"/>
      <c r="Q947" s="80"/>
      <c r="R947" s="80"/>
      <c r="S947" s="80"/>
      <c r="T947" s="80"/>
      <c r="U947" s="80"/>
      <c r="V947" s="80"/>
      <c r="W947" s="80"/>
      <c r="X947" s="80"/>
      <c r="Y947" s="80"/>
      <c r="Z947" s="80"/>
    </row>
    <row r="948">
      <c r="A948" s="81"/>
      <c r="B948" s="80"/>
      <c r="C948" s="80"/>
      <c r="D948" s="81"/>
      <c r="E948" s="81"/>
      <c r="F948" s="81"/>
      <c r="G948" s="81"/>
      <c r="H948" s="83"/>
      <c r="I948" s="83"/>
      <c r="J948" s="80"/>
      <c r="K948" s="81"/>
      <c r="L948" s="81"/>
      <c r="M948" s="80"/>
      <c r="N948" s="80"/>
      <c r="O948" s="80"/>
      <c r="P948" s="80"/>
      <c r="Q948" s="80"/>
      <c r="R948" s="80"/>
      <c r="S948" s="80"/>
      <c r="T948" s="80"/>
      <c r="U948" s="80"/>
      <c r="V948" s="80"/>
      <c r="W948" s="80"/>
      <c r="X948" s="80"/>
      <c r="Y948" s="80"/>
      <c r="Z948" s="80"/>
    </row>
    <row r="949">
      <c r="A949" s="81"/>
      <c r="B949" s="80"/>
      <c r="C949" s="80"/>
      <c r="D949" s="81"/>
      <c r="E949" s="81"/>
      <c r="F949" s="81"/>
      <c r="G949" s="81"/>
      <c r="H949" s="83"/>
      <c r="I949" s="83"/>
      <c r="J949" s="80"/>
      <c r="K949" s="81"/>
      <c r="L949" s="81"/>
      <c r="M949" s="80"/>
      <c r="N949" s="80"/>
      <c r="O949" s="80"/>
      <c r="P949" s="80"/>
      <c r="Q949" s="80"/>
      <c r="R949" s="80"/>
      <c r="S949" s="80"/>
      <c r="T949" s="80"/>
      <c r="U949" s="80"/>
      <c r="V949" s="80"/>
      <c r="W949" s="80"/>
      <c r="X949" s="80"/>
      <c r="Y949" s="80"/>
      <c r="Z949" s="80"/>
    </row>
    <row r="950">
      <c r="A950" s="81"/>
      <c r="B950" s="80"/>
      <c r="C950" s="80"/>
      <c r="D950" s="81"/>
      <c r="E950" s="81"/>
      <c r="F950" s="81"/>
      <c r="G950" s="81"/>
      <c r="H950" s="83"/>
      <c r="I950" s="83"/>
      <c r="J950" s="80"/>
      <c r="K950" s="81"/>
      <c r="L950" s="81"/>
      <c r="M950" s="80"/>
      <c r="N950" s="80"/>
      <c r="O950" s="80"/>
      <c r="P950" s="80"/>
      <c r="Q950" s="80"/>
      <c r="R950" s="80"/>
      <c r="S950" s="80"/>
      <c r="T950" s="80"/>
      <c r="U950" s="80"/>
      <c r="V950" s="80"/>
      <c r="W950" s="80"/>
      <c r="X950" s="80"/>
      <c r="Y950" s="80"/>
      <c r="Z950" s="80"/>
    </row>
    <row r="951">
      <c r="A951" s="81"/>
      <c r="B951" s="80"/>
      <c r="C951" s="80"/>
      <c r="D951" s="81"/>
      <c r="E951" s="81"/>
      <c r="F951" s="81"/>
      <c r="G951" s="81"/>
      <c r="H951" s="83"/>
      <c r="I951" s="83"/>
      <c r="J951" s="80"/>
      <c r="K951" s="81"/>
      <c r="L951" s="81"/>
      <c r="M951" s="80"/>
      <c r="N951" s="80"/>
      <c r="O951" s="80"/>
      <c r="P951" s="80"/>
      <c r="Q951" s="80"/>
      <c r="R951" s="80"/>
      <c r="S951" s="80"/>
      <c r="T951" s="80"/>
      <c r="U951" s="80"/>
      <c r="V951" s="80"/>
      <c r="W951" s="80"/>
      <c r="X951" s="80"/>
      <c r="Y951" s="80"/>
      <c r="Z951" s="80"/>
    </row>
    <row r="952">
      <c r="A952" s="81"/>
      <c r="B952" s="80"/>
      <c r="C952" s="80"/>
      <c r="D952" s="81"/>
      <c r="E952" s="81"/>
      <c r="F952" s="81"/>
      <c r="G952" s="81"/>
      <c r="H952" s="83"/>
      <c r="I952" s="83"/>
      <c r="J952" s="80"/>
      <c r="K952" s="81"/>
      <c r="L952" s="81"/>
      <c r="M952" s="80"/>
      <c r="N952" s="80"/>
      <c r="O952" s="80"/>
      <c r="P952" s="80"/>
      <c r="Q952" s="80"/>
      <c r="R952" s="80"/>
      <c r="S952" s="80"/>
      <c r="T952" s="80"/>
      <c r="U952" s="80"/>
      <c r="V952" s="80"/>
      <c r="W952" s="80"/>
      <c r="X952" s="80"/>
      <c r="Y952" s="80"/>
      <c r="Z952" s="80"/>
    </row>
    <row r="953">
      <c r="A953" s="81"/>
      <c r="B953" s="80"/>
      <c r="C953" s="80"/>
      <c r="D953" s="81"/>
      <c r="E953" s="81"/>
      <c r="F953" s="81"/>
      <c r="G953" s="81"/>
      <c r="H953" s="83"/>
      <c r="I953" s="83"/>
      <c r="J953" s="80"/>
      <c r="K953" s="81"/>
      <c r="L953" s="81"/>
      <c r="M953" s="80"/>
      <c r="N953" s="80"/>
      <c r="O953" s="80"/>
      <c r="P953" s="80"/>
      <c r="Q953" s="80"/>
      <c r="R953" s="80"/>
      <c r="S953" s="80"/>
      <c r="T953" s="80"/>
      <c r="U953" s="80"/>
      <c r="V953" s="80"/>
      <c r="W953" s="80"/>
      <c r="X953" s="80"/>
      <c r="Y953" s="80"/>
      <c r="Z953" s="80"/>
    </row>
    <row r="954">
      <c r="A954" s="81"/>
      <c r="B954" s="80"/>
      <c r="C954" s="80"/>
      <c r="D954" s="81"/>
      <c r="E954" s="81"/>
      <c r="F954" s="81"/>
      <c r="G954" s="81"/>
      <c r="H954" s="83"/>
      <c r="I954" s="83"/>
      <c r="J954" s="80"/>
      <c r="K954" s="81"/>
      <c r="L954" s="81"/>
      <c r="M954" s="80"/>
      <c r="N954" s="80"/>
      <c r="O954" s="80"/>
      <c r="P954" s="80"/>
      <c r="Q954" s="80"/>
      <c r="R954" s="80"/>
      <c r="S954" s="80"/>
      <c r="T954" s="80"/>
      <c r="U954" s="80"/>
      <c r="V954" s="80"/>
      <c r="W954" s="80"/>
      <c r="X954" s="80"/>
      <c r="Y954" s="80"/>
      <c r="Z954" s="80"/>
    </row>
    <row r="955">
      <c r="A955" s="81"/>
      <c r="B955" s="80"/>
      <c r="C955" s="80"/>
      <c r="D955" s="81"/>
      <c r="E955" s="81"/>
      <c r="F955" s="81"/>
      <c r="G955" s="81"/>
      <c r="H955" s="83"/>
      <c r="I955" s="83"/>
      <c r="J955" s="80"/>
      <c r="K955" s="81"/>
      <c r="L955" s="81"/>
      <c r="M955" s="80"/>
      <c r="N955" s="80"/>
      <c r="O955" s="80"/>
      <c r="P955" s="80"/>
      <c r="Q955" s="80"/>
      <c r="R955" s="80"/>
      <c r="S955" s="80"/>
      <c r="T955" s="80"/>
      <c r="U955" s="80"/>
      <c r="V955" s="80"/>
      <c r="W955" s="80"/>
      <c r="X955" s="80"/>
      <c r="Y955" s="80"/>
      <c r="Z955" s="80"/>
    </row>
    <row r="956">
      <c r="A956" s="81"/>
      <c r="B956" s="80"/>
      <c r="C956" s="80"/>
      <c r="D956" s="81"/>
      <c r="E956" s="81"/>
      <c r="F956" s="81"/>
      <c r="G956" s="81"/>
      <c r="H956" s="83"/>
      <c r="I956" s="83"/>
      <c r="J956" s="80"/>
      <c r="K956" s="81"/>
      <c r="L956" s="81"/>
      <c r="M956" s="80"/>
      <c r="N956" s="80"/>
      <c r="O956" s="80"/>
      <c r="P956" s="80"/>
      <c r="Q956" s="80"/>
      <c r="R956" s="80"/>
      <c r="S956" s="80"/>
      <c r="T956" s="80"/>
      <c r="U956" s="80"/>
      <c r="V956" s="80"/>
      <c r="W956" s="80"/>
      <c r="X956" s="80"/>
      <c r="Y956" s="80"/>
      <c r="Z956" s="80"/>
    </row>
    <row r="957">
      <c r="A957" s="81"/>
      <c r="B957" s="80"/>
      <c r="C957" s="80"/>
      <c r="D957" s="81"/>
      <c r="E957" s="81"/>
      <c r="F957" s="81"/>
      <c r="G957" s="81"/>
      <c r="H957" s="83"/>
      <c r="I957" s="83"/>
      <c r="J957" s="80"/>
      <c r="K957" s="81"/>
      <c r="L957" s="81"/>
      <c r="M957" s="80"/>
      <c r="N957" s="80"/>
      <c r="O957" s="80"/>
      <c r="P957" s="80"/>
      <c r="Q957" s="80"/>
      <c r="R957" s="80"/>
      <c r="S957" s="80"/>
      <c r="T957" s="80"/>
      <c r="U957" s="80"/>
      <c r="V957" s="80"/>
      <c r="W957" s="80"/>
      <c r="X957" s="80"/>
      <c r="Y957" s="80"/>
      <c r="Z957" s="80"/>
    </row>
    <row r="958">
      <c r="A958" s="81"/>
      <c r="B958" s="80"/>
      <c r="C958" s="80"/>
      <c r="D958" s="81"/>
      <c r="E958" s="81"/>
      <c r="F958" s="81"/>
      <c r="G958" s="81"/>
      <c r="H958" s="83"/>
      <c r="I958" s="83"/>
      <c r="J958" s="80"/>
      <c r="K958" s="81"/>
      <c r="L958" s="81"/>
      <c r="M958" s="80"/>
      <c r="N958" s="80"/>
      <c r="O958" s="80"/>
      <c r="P958" s="80"/>
      <c r="Q958" s="80"/>
      <c r="R958" s="80"/>
      <c r="S958" s="80"/>
      <c r="T958" s="80"/>
      <c r="U958" s="80"/>
      <c r="V958" s="80"/>
      <c r="W958" s="80"/>
      <c r="X958" s="80"/>
      <c r="Y958" s="80"/>
      <c r="Z958" s="80"/>
    </row>
    <row r="959">
      <c r="A959" s="81"/>
      <c r="B959" s="80"/>
      <c r="C959" s="80"/>
      <c r="D959" s="81"/>
      <c r="E959" s="81"/>
      <c r="F959" s="81"/>
      <c r="G959" s="81"/>
      <c r="H959" s="83"/>
      <c r="I959" s="83"/>
      <c r="J959" s="80"/>
      <c r="K959" s="81"/>
      <c r="L959" s="81"/>
      <c r="M959" s="80"/>
      <c r="N959" s="80"/>
      <c r="O959" s="80"/>
      <c r="P959" s="80"/>
      <c r="Q959" s="80"/>
      <c r="R959" s="80"/>
      <c r="S959" s="80"/>
      <c r="T959" s="80"/>
      <c r="U959" s="80"/>
      <c r="V959" s="80"/>
      <c r="W959" s="80"/>
      <c r="X959" s="80"/>
      <c r="Y959" s="80"/>
      <c r="Z959" s="80"/>
    </row>
    <row r="960">
      <c r="A960" s="81"/>
      <c r="B960" s="80"/>
      <c r="C960" s="80"/>
      <c r="D960" s="81"/>
      <c r="E960" s="81"/>
      <c r="F960" s="81"/>
      <c r="G960" s="81"/>
      <c r="H960" s="83"/>
      <c r="I960" s="83"/>
      <c r="J960" s="80"/>
      <c r="K960" s="81"/>
      <c r="L960" s="81"/>
      <c r="M960" s="80"/>
      <c r="N960" s="80"/>
      <c r="O960" s="80"/>
      <c r="P960" s="80"/>
      <c r="Q960" s="80"/>
      <c r="R960" s="80"/>
      <c r="S960" s="80"/>
      <c r="T960" s="80"/>
      <c r="U960" s="80"/>
      <c r="V960" s="80"/>
      <c r="W960" s="80"/>
      <c r="X960" s="80"/>
      <c r="Y960" s="80"/>
      <c r="Z960" s="80"/>
    </row>
    <row r="961">
      <c r="A961" s="81"/>
      <c r="B961" s="80"/>
      <c r="C961" s="80"/>
      <c r="D961" s="81"/>
      <c r="E961" s="81"/>
      <c r="F961" s="81"/>
      <c r="G961" s="81"/>
      <c r="H961" s="83"/>
      <c r="I961" s="83"/>
      <c r="J961" s="80"/>
      <c r="K961" s="81"/>
      <c r="L961" s="81"/>
      <c r="M961" s="80"/>
      <c r="N961" s="80"/>
      <c r="O961" s="80"/>
      <c r="P961" s="80"/>
      <c r="Q961" s="80"/>
      <c r="R961" s="80"/>
      <c r="S961" s="80"/>
      <c r="T961" s="80"/>
      <c r="U961" s="80"/>
      <c r="V961" s="80"/>
      <c r="W961" s="80"/>
      <c r="X961" s="80"/>
      <c r="Y961" s="80"/>
      <c r="Z961" s="80"/>
    </row>
    <row r="962">
      <c r="A962" s="81"/>
      <c r="B962" s="80"/>
      <c r="C962" s="80"/>
      <c r="D962" s="81"/>
      <c r="E962" s="81"/>
      <c r="F962" s="81"/>
      <c r="G962" s="81"/>
      <c r="H962" s="83"/>
      <c r="I962" s="83"/>
      <c r="J962" s="80"/>
      <c r="K962" s="81"/>
      <c r="L962" s="81"/>
      <c r="M962" s="80"/>
      <c r="N962" s="80"/>
      <c r="O962" s="80"/>
      <c r="P962" s="80"/>
      <c r="Q962" s="80"/>
      <c r="R962" s="80"/>
      <c r="S962" s="80"/>
      <c r="T962" s="80"/>
      <c r="U962" s="80"/>
      <c r="V962" s="80"/>
      <c r="W962" s="80"/>
      <c r="X962" s="80"/>
      <c r="Y962" s="80"/>
      <c r="Z962" s="80"/>
    </row>
    <row r="963">
      <c r="A963" s="81"/>
      <c r="B963" s="80"/>
      <c r="C963" s="80"/>
      <c r="D963" s="81"/>
      <c r="E963" s="81"/>
      <c r="F963" s="81"/>
      <c r="G963" s="81"/>
      <c r="H963" s="83"/>
      <c r="I963" s="83"/>
      <c r="J963" s="80"/>
      <c r="K963" s="81"/>
      <c r="L963" s="81"/>
      <c r="M963" s="80"/>
      <c r="N963" s="80"/>
      <c r="O963" s="80"/>
      <c r="P963" s="80"/>
      <c r="Q963" s="80"/>
      <c r="R963" s="80"/>
      <c r="S963" s="80"/>
      <c r="T963" s="80"/>
      <c r="U963" s="80"/>
      <c r="V963" s="80"/>
      <c r="W963" s="80"/>
      <c r="X963" s="80"/>
      <c r="Y963" s="80"/>
      <c r="Z963" s="80"/>
    </row>
    <row r="964">
      <c r="A964" s="81"/>
      <c r="B964" s="80"/>
      <c r="C964" s="80"/>
      <c r="D964" s="81"/>
      <c r="E964" s="81"/>
      <c r="F964" s="81"/>
      <c r="G964" s="81"/>
      <c r="H964" s="83"/>
      <c r="I964" s="83"/>
      <c r="J964" s="80"/>
      <c r="K964" s="81"/>
      <c r="L964" s="81"/>
      <c r="M964" s="80"/>
      <c r="N964" s="80"/>
      <c r="O964" s="80"/>
      <c r="P964" s="80"/>
      <c r="Q964" s="80"/>
      <c r="R964" s="80"/>
      <c r="S964" s="80"/>
      <c r="T964" s="80"/>
      <c r="U964" s="80"/>
      <c r="V964" s="80"/>
      <c r="W964" s="80"/>
      <c r="X964" s="80"/>
      <c r="Y964" s="80"/>
      <c r="Z964" s="80"/>
    </row>
    <row r="965">
      <c r="A965" s="81"/>
      <c r="B965" s="80"/>
      <c r="C965" s="80"/>
      <c r="D965" s="81"/>
      <c r="E965" s="81"/>
      <c r="F965" s="81"/>
      <c r="G965" s="81"/>
      <c r="H965" s="83"/>
      <c r="I965" s="83"/>
      <c r="J965" s="80"/>
      <c r="K965" s="81"/>
      <c r="L965" s="81"/>
      <c r="M965" s="80"/>
      <c r="N965" s="80"/>
      <c r="O965" s="80"/>
      <c r="P965" s="80"/>
      <c r="Q965" s="80"/>
      <c r="R965" s="80"/>
      <c r="S965" s="80"/>
      <c r="T965" s="80"/>
      <c r="U965" s="80"/>
      <c r="V965" s="80"/>
      <c r="W965" s="80"/>
      <c r="X965" s="80"/>
      <c r="Y965" s="80"/>
      <c r="Z965" s="80"/>
    </row>
    <row r="966">
      <c r="A966" s="81"/>
      <c r="B966" s="80"/>
      <c r="C966" s="80"/>
      <c r="D966" s="81"/>
      <c r="E966" s="81"/>
      <c r="F966" s="81"/>
      <c r="G966" s="81"/>
      <c r="H966" s="83"/>
      <c r="I966" s="83"/>
      <c r="J966" s="80"/>
      <c r="K966" s="81"/>
      <c r="L966" s="81"/>
      <c r="M966" s="80"/>
      <c r="N966" s="80"/>
      <c r="O966" s="80"/>
      <c r="P966" s="80"/>
      <c r="Q966" s="80"/>
      <c r="R966" s="80"/>
      <c r="S966" s="80"/>
      <c r="T966" s="80"/>
      <c r="U966" s="80"/>
      <c r="V966" s="80"/>
      <c r="W966" s="80"/>
      <c r="X966" s="80"/>
      <c r="Y966" s="80"/>
      <c r="Z966" s="80"/>
    </row>
    <row r="967">
      <c r="A967" s="81"/>
      <c r="B967" s="80"/>
      <c r="C967" s="80"/>
      <c r="D967" s="81"/>
      <c r="E967" s="81"/>
      <c r="F967" s="81"/>
      <c r="G967" s="81"/>
      <c r="H967" s="83"/>
      <c r="I967" s="83"/>
      <c r="J967" s="80"/>
      <c r="K967" s="81"/>
      <c r="L967" s="81"/>
      <c r="M967" s="80"/>
      <c r="N967" s="80"/>
      <c r="O967" s="80"/>
      <c r="P967" s="80"/>
      <c r="Q967" s="80"/>
      <c r="R967" s="80"/>
      <c r="S967" s="80"/>
      <c r="T967" s="80"/>
      <c r="U967" s="80"/>
      <c r="V967" s="80"/>
      <c r="W967" s="80"/>
      <c r="X967" s="80"/>
      <c r="Y967" s="80"/>
      <c r="Z967" s="80"/>
    </row>
    <row r="968">
      <c r="A968" s="81"/>
      <c r="B968" s="80"/>
      <c r="C968" s="80"/>
      <c r="D968" s="81"/>
      <c r="E968" s="81"/>
      <c r="F968" s="81"/>
      <c r="G968" s="81"/>
      <c r="H968" s="83"/>
      <c r="I968" s="83"/>
      <c r="J968" s="80"/>
      <c r="K968" s="81"/>
      <c r="L968" s="81"/>
      <c r="M968" s="80"/>
      <c r="N968" s="80"/>
      <c r="O968" s="80"/>
      <c r="P968" s="80"/>
      <c r="Q968" s="80"/>
      <c r="R968" s="80"/>
      <c r="S968" s="80"/>
      <c r="T968" s="80"/>
      <c r="U968" s="80"/>
      <c r="V968" s="80"/>
      <c r="W968" s="80"/>
      <c r="X968" s="80"/>
      <c r="Y968" s="80"/>
      <c r="Z968" s="80"/>
    </row>
    <row r="969">
      <c r="A969" s="81"/>
      <c r="B969" s="80"/>
      <c r="C969" s="80"/>
      <c r="D969" s="81"/>
      <c r="E969" s="81"/>
      <c r="F969" s="81"/>
      <c r="G969" s="81"/>
      <c r="H969" s="83"/>
      <c r="I969" s="83"/>
      <c r="J969" s="80"/>
      <c r="K969" s="81"/>
      <c r="L969" s="81"/>
      <c r="M969" s="80"/>
      <c r="N969" s="80"/>
      <c r="O969" s="80"/>
      <c r="P969" s="80"/>
      <c r="Q969" s="80"/>
      <c r="R969" s="80"/>
      <c r="S969" s="80"/>
      <c r="T969" s="80"/>
      <c r="U969" s="80"/>
      <c r="V969" s="80"/>
      <c r="W969" s="80"/>
      <c r="X969" s="80"/>
      <c r="Y969" s="80"/>
      <c r="Z969" s="80"/>
    </row>
    <row r="970">
      <c r="A970" s="81"/>
      <c r="B970" s="80"/>
      <c r="C970" s="80"/>
      <c r="D970" s="81"/>
      <c r="E970" s="81"/>
      <c r="F970" s="81"/>
      <c r="G970" s="81"/>
      <c r="H970" s="83"/>
      <c r="I970" s="83"/>
      <c r="J970" s="80"/>
      <c r="K970" s="81"/>
      <c r="L970" s="81"/>
      <c r="M970" s="80"/>
      <c r="N970" s="80"/>
      <c r="O970" s="80"/>
      <c r="P970" s="80"/>
      <c r="Q970" s="80"/>
      <c r="R970" s="80"/>
      <c r="S970" s="80"/>
      <c r="T970" s="80"/>
      <c r="U970" s="80"/>
      <c r="V970" s="80"/>
      <c r="W970" s="80"/>
      <c r="X970" s="80"/>
      <c r="Y970" s="80"/>
      <c r="Z970" s="80"/>
    </row>
    <row r="971">
      <c r="A971" s="81"/>
      <c r="B971" s="80"/>
      <c r="C971" s="80"/>
      <c r="D971" s="81"/>
      <c r="E971" s="81"/>
      <c r="F971" s="81"/>
      <c r="G971" s="81"/>
      <c r="H971" s="83"/>
      <c r="I971" s="83"/>
      <c r="J971" s="80"/>
      <c r="K971" s="81"/>
      <c r="L971" s="81"/>
      <c r="M971" s="80"/>
      <c r="N971" s="80"/>
      <c r="O971" s="80"/>
      <c r="P971" s="80"/>
      <c r="Q971" s="80"/>
      <c r="R971" s="80"/>
      <c r="S971" s="80"/>
      <c r="T971" s="80"/>
      <c r="U971" s="80"/>
      <c r="V971" s="80"/>
      <c r="W971" s="80"/>
      <c r="X971" s="80"/>
      <c r="Y971" s="80"/>
      <c r="Z971" s="80"/>
    </row>
    <row r="972">
      <c r="A972" s="81"/>
      <c r="B972" s="80"/>
      <c r="C972" s="80"/>
      <c r="D972" s="81"/>
      <c r="E972" s="81"/>
      <c r="F972" s="81"/>
      <c r="G972" s="81"/>
      <c r="H972" s="83"/>
      <c r="I972" s="83"/>
      <c r="J972" s="80"/>
      <c r="K972" s="81"/>
      <c r="L972" s="81"/>
      <c r="M972" s="80"/>
      <c r="N972" s="80"/>
      <c r="O972" s="80"/>
      <c r="P972" s="80"/>
      <c r="Q972" s="80"/>
      <c r="R972" s="80"/>
      <c r="S972" s="80"/>
      <c r="T972" s="80"/>
      <c r="U972" s="80"/>
      <c r="V972" s="80"/>
      <c r="W972" s="80"/>
      <c r="X972" s="80"/>
      <c r="Y972" s="80"/>
      <c r="Z972" s="80"/>
    </row>
    <row r="973">
      <c r="A973" s="81"/>
      <c r="B973" s="80"/>
      <c r="C973" s="80"/>
      <c r="D973" s="81"/>
      <c r="E973" s="81"/>
      <c r="F973" s="81"/>
      <c r="G973" s="81"/>
      <c r="H973" s="83"/>
      <c r="I973" s="83"/>
      <c r="J973" s="80"/>
      <c r="K973" s="81"/>
      <c r="L973" s="81"/>
      <c r="M973" s="80"/>
      <c r="N973" s="80"/>
      <c r="O973" s="80"/>
      <c r="P973" s="80"/>
      <c r="Q973" s="80"/>
      <c r="R973" s="80"/>
      <c r="S973" s="80"/>
      <c r="T973" s="80"/>
      <c r="U973" s="80"/>
      <c r="V973" s="80"/>
      <c r="W973" s="80"/>
      <c r="X973" s="80"/>
      <c r="Y973" s="80"/>
      <c r="Z973" s="80"/>
    </row>
    <row r="974">
      <c r="A974" s="81"/>
      <c r="B974" s="80"/>
      <c r="C974" s="80"/>
      <c r="D974" s="81"/>
      <c r="E974" s="81"/>
      <c r="F974" s="81"/>
      <c r="G974" s="81"/>
      <c r="H974" s="83"/>
      <c r="I974" s="83"/>
      <c r="J974" s="80"/>
      <c r="K974" s="81"/>
      <c r="L974" s="81"/>
      <c r="M974" s="80"/>
      <c r="N974" s="80"/>
      <c r="O974" s="80"/>
      <c r="P974" s="80"/>
      <c r="Q974" s="80"/>
      <c r="R974" s="80"/>
      <c r="S974" s="80"/>
      <c r="T974" s="80"/>
      <c r="U974" s="80"/>
      <c r="V974" s="80"/>
      <c r="W974" s="80"/>
      <c r="X974" s="80"/>
      <c r="Y974" s="80"/>
      <c r="Z974" s="80"/>
    </row>
    <row r="975">
      <c r="A975" s="81"/>
      <c r="B975" s="80"/>
      <c r="C975" s="80"/>
      <c r="D975" s="81"/>
      <c r="E975" s="81"/>
      <c r="F975" s="81"/>
      <c r="G975" s="81"/>
      <c r="H975" s="83"/>
      <c r="I975" s="83"/>
      <c r="J975" s="80"/>
      <c r="K975" s="81"/>
      <c r="L975" s="81"/>
      <c r="M975" s="80"/>
      <c r="N975" s="80"/>
      <c r="O975" s="80"/>
      <c r="P975" s="80"/>
      <c r="Q975" s="80"/>
      <c r="R975" s="80"/>
      <c r="S975" s="80"/>
      <c r="T975" s="80"/>
      <c r="U975" s="80"/>
      <c r="V975" s="80"/>
      <c r="W975" s="80"/>
      <c r="X975" s="80"/>
      <c r="Y975" s="80"/>
      <c r="Z975" s="80"/>
    </row>
    <row r="976">
      <c r="A976" s="81"/>
      <c r="B976" s="80"/>
      <c r="C976" s="80"/>
      <c r="D976" s="81"/>
      <c r="E976" s="81"/>
      <c r="F976" s="81"/>
      <c r="G976" s="81"/>
      <c r="H976" s="83"/>
      <c r="I976" s="83"/>
      <c r="J976" s="80"/>
      <c r="K976" s="81"/>
      <c r="L976" s="81"/>
      <c r="M976" s="80"/>
      <c r="N976" s="80"/>
      <c r="O976" s="80"/>
      <c r="P976" s="80"/>
      <c r="Q976" s="80"/>
      <c r="R976" s="80"/>
      <c r="S976" s="80"/>
      <c r="T976" s="80"/>
      <c r="U976" s="80"/>
      <c r="V976" s="80"/>
      <c r="W976" s="80"/>
      <c r="X976" s="80"/>
      <c r="Y976" s="80"/>
      <c r="Z976" s="80"/>
    </row>
    <row r="977">
      <c r="A977" s="81"/>
      <c r="B977" s="80"/>
      <c r="C977" s="80"/>
      <c r="D977" s="81"/>
      <c r="E977" s="81"/>
      <c r="F977" s="81"/>
      <c r="G977" s="81"/>
      <c r="H977" s="83"/>
      <c r="I977" s="83"/>
      <c r="J977" s="80"/>
      <c r="K977" s="81"/>
      <c r="L977" s="81"/>
      <c r="M977" s="80"/>
      <c r="N977" s="80"/>
      <c r="O977" s="80"/>
      <c r="P977" s="80"/>
      <c r="Q977" s="80"/>
      <c r="R977" s="80"/>
      <c r="S977" s="80"/>
      <c r="T977" s="80"/>
      <c r="U977" s="80"/>
      <c r="V977" s="80"/>
      <c r="W977" s="80"/>
      <c r="X977" s="80"/>
      <c r="Y977" s="80"/>
      <c r="Z977" s="80"/>
    </row>
    <row r="978">
      <c r="A978" s="81"/>
      <c r="B978" s="80"/>
      <c r="C978" s="80"/>
      <c r="D978" s="81"/>
      <c r="E978" s="81"/>
      <c r="F978" s="81"/>
      <c r="G978" s="81"/>
      <c r="H978" s="83"/>
      <c r="I978" s="83"/>
      <c r="J978" s="80"/>
      <c r="K978" s="81"/>
      <c r="L978" s="81"/>
      <c r="M978" s="80"/>
      <c r="N978" s="80"/>
      <c r="O978" s="80"/>
      <c r="P978" s="80"/>
      <c r="Q978" s="80"/>
      <c r="R978" s="80"/>
      <c r="S978" s="80"/>
      <c r="T978" s="80"/>
      <c r="U978" s="80"/>
      <c r="V978" s="80"/>
      <c r="W978" s="80"/>
      <c r="X978" s="80"/>
      <c r="Y978" s="80"/>
      <c r="Z978" s="80"/>
    </row>
    <row r="979">
      <c r="A979" s="81"/>
      <c r="B979" s="80"/>
      <c r="C979" s="80"/>
      <c r="D979" s="81"/>
      <c r="E979" s="81"/>
      <c r="F979" s="81"/>
      <c r="G979" s="81"/>
      <c r="H979" s="83"/>
      <c r="I979" s="83"/>
      <c r="J979" s="80"/>
      <c r="K979" s="81"/>
      <c r="L979" s="81"/>
      <c r="M979" s="80"/>
      <c r="N979" s="80"/>
      <c r="O979" s="80"/>
      <c r="P979" s="80"/>
      <c r="Q979" s="80"/>
      <c r="R979" s="80"/>
      <c r="S979" s="80"/>
      <c r="T979" s="80"/>
      <c r="U979" s="80"/>
      <c r="V979" s="80"/>
      <c r="W979" s="80"/>
      <c r="X979" s="80"/>
      <c r="Y979" s="80"/>
      <c r="Z979" s="80"/>
    </row>
    <row r="980">
      <c r="A980" s="81"/>
      <c r="B980" s="80"/>
      <c r="C980" s="80"/>
      <c r="D980" s="81"/>
      <c r="E980" s="81"/>
      <c r="F980" s="81"/>
      <c r="G980" s="81"/>
      <c r="H980" s="83"/>
      <c r="I980" s="83"/>
      <c r="J980" s="80"/>
      <c r="K980" s="81"/>
      <c r="L980" s="81"/>
      <c r="M980" s="80"/>
      <c r="N980" s="80"/>
      <c r="O980" s="80"/>
      <c r="P980" s="80"/>
      <c r="Q980" s="80"/>
      <c r="R980" s="80"/>
      <c r="S980" s="80"/>
      <c r="T980" s="80"/>
      <c r="U980" s="80"/>
      <c r="V980" s="80"/>
      <c r="W980" s="80"/>
      <c r="X980" s="80"/>
      <c r="Y980" s="80"/>
      <c r="Z980" s="80"/>
    </row>
    <row r="981">
      <c r="A981" s="81"/>
      <c r="B981" s="80"/>
      <c r="C981" s="80"/>
      <c r="D981" s="81"/>
      <c r="E981" s="81"/>
      <c r="F981" s="81"/>
      <c r="G981" s="81"/>
      <c r="H981" s="83"/>
      <c r="I981" s="83"/>
      <c r="J981" s="80"/>
      <c r="K981" s="81"/>
      <c r="L981" s="81"/>
      <c r="M981" s="80"/>
      <c r="N981" s="80"/>
      <c r="O981" s="80"/>
      <c r="P981" s="80"/>
      <c r="Q981" s="80"/>
      <c r="R981" s="80"/>
      <c r="S981" s="80"/>
      <c r="T981" s="80"/>
      <c r="U981" s="80"/>
      <c r="V981" s="80"/>
      <c r="W981" s="80"/>
      <c r="X981" s="80"/>
      <c r="Y981" s="80"/>
      <c r="Z981" s="80"/>
    </row>
    <row r="982">
      <c r="A982" s="81"/>
      <c r="B982" s="80"/>
      <c r="C982" s="80"/>
      <c r="D982" s="81"/>
      <c r="E982" s="81"/>
      <c r="F982" s="81"/>
      <c r="G982" s="81"/>
      <c r="H982" s="83"/>
      <c r="I982" s="83"/>
      <c r="J982" s="80"/>
      <c r="K982" s="81"/>
      <c r="L982" s="81"/>
      <c r="M982" s="80"/>
      <c r="N982" s="80"/>
      <c r="O982" s="80"/>
      <c r="P982" s="80"/>
      <c r="Q982" s="80"/>
      <c r="R982" s="80"/>
      <c r="S982" s="80"/>
      <c r="T982" s="80"/>
      <c r="U982" s="80"/>
      <c r="V982" s="80"/>
      <c r="W982" s="80"/>
      <c r="X982" s="80"/>
      <c r="Y982" s="80"/>
      <c r="Z982" s="80"/>
    </row>
    <row r="983">
      <c r="A983" s="81"/>
      <c r="B983" s="80"/>
      <c r="C983" s="80"/>
      <c r="D983" s="81"/>
      <c r="E983" s="81"/>
      <c r="F983" s="81"/>
      <c r="G983" s="81"/>
      <c r="H983" s="83"/>
      <c r="I983" s="83"/>
      <c r="J983" s="80"/>
      <c r="K983" s="81"/>
      <c r="L983" s="81"/>
      <c r="M983" s="80"/>
      <c r="N983" s="80"/>
      <c r="O983" s="80"/>
      <c r="P983" s="80"/>
      <c r="Q983" s="80"/>
      <c r="R983" s="80"/>
      <c r="S983" s="80"/>
      <c r="T983" s="80"/>
      <c r="U983" s="80"/>
      <c r="V983" s="80"/>
      <c r="W983" s="80"/>
      <c r="X983" s="80"/>
      <c r="Y983" s="80"/>
      <c r="Z983" s="80"/>
    </row>
    <row r="984">
      <c r="A984" s="81"/>
      <c r="B984" s="80"/>
      <c r="C984" s="80"/>
      <c r="D984" s="81"/>
      <c r="E984" s="81"/>
      <c r="F984" s="81"/>
      <c r="G984" s="81"/>
      <c r="H984" s="83"/>
      <c r="I984" s="83"/>
      <c r="J984" s="80"/>
      <c r="K984" s="81"/>
      <c r="L984" s="81"/>
      <c r="M984" s="80"/>
      <c r="N984" s="80"/>
      <c r="O984" s="80"/>
      <c r="P984" s="80"/>
      <c r="Q984" s="80"/>
      <c r="R984" s="80"/>
      <c r="S984" s="80"/>
      <c r="T984" s="80"/>
      <c r="U984" s="80"/>
      <c r="V984" s="80"/>
      <c r="W984" s="80"/>
      <c r="X984" s="80"/>
      <c r="Y984" s="80"/>
      <c r="Z984" s="80"/>
    </row>
    <row r="985">
      <c r="A985" s="81"/>
      <c r="B985" s="80"/>
      <c r="C985" s="80"/>
      <c r="D985" s="81"/>
      <c r="E985" s="81"/>
      <c r="F985" s="81"/>
      <c r="G985" s="81"/>
      <c r="H985" s="83"/>
      <c r="I985" s="83"/>
      <c r="J985" s="80"/>
      <c r="K985" s="81"/>
      <c r="L985" s="81"/>
      <c r="M985" s="80"/>
      <c r="N985" s="80"/>
      <c r="O985" s="80"/>
      <c r="P985" s="80"/>
      <c r="Q985" s="80"/>
      <c r="R985" s="80"/>
      <c r="S985" s="80"/>
      <c r="T985" s="80"/>
      <c r="U985" s="80"/>
      <c r="V985" s="80"/>
      <c r="W985" s="80"/>
      <c r="X985" s="80"/>
      <c r="Y985" s="80"/>
      <c r="Z985" s="80"/>
    </row>
    <row r="986">
      <c r="A986" s="81"/>
      <c r="B986" s="80"/>
      <c r="C986" s="80"/>
      <c r="D986" s="81"/>
      <c r="E986" s="81"/>
      <c r="F986" s="81"/>
      <c r="G986" s="81"/>
      <c r="H986" s="83"/>
      <c r="I986" s="83"/>
      <c r="J986" s="80"/>
      <c r="K986" s="81"/>
      <c r="L986" s="81"/>
      <c r="M986" s="80"/>
      <c r="N986" s="80"/>
      <c r="O986" s="80"/>
      <c r="P986" s="80"/>
      <c r="Q986" s="80"/>
      <c r="R986" s="80"/>
      <c r="S986" s="80"/>
      <c r="T986" s="80"/>
      <c r="U986" s="80"/>
      <c r="V986" s="80"/>
      <c r="W986" s="80"/>
      <c r="X986" s="80"/>
      <c r="Y986" s="80"/>
      <c r="Z986" s="80"/>
    </row>
    <row r="987">
      <c r="A987" s="81"/>
      <c r="B987" s="80"/>
      <c r="C987" s="80"/>
      <c r="D987" s="81"/>
      <c r="E987" s="81"/>
      <c r="F987" s="81"/>
      <c r="G987" s="81"/>
      <c r="H987" s="83"/>
      <c r="I987" s="83"/>
      <c r="J987" s="80"/>
      <c r="K987" s="81"/>
      <c r="L987" s="81"/>
      <c r="M987" s="80"/>
      <c r="N987" s="80"/>
      <c r="O987" s="80"/>
      <c r="P987" s="80"/>
      <c r="Q987" s="80"/>
      <c r="R987" s="80"/>
      <c r="S987" s="80"/>
      <c r="T987" s="80"/>
      <c r="U987" s="80"/>
      <c r="V987" s="80"/>
      <c r="W987" s="80"/>
      <c r="X987" s="80"/>
      <c r="Y987" s="80"/>
      <c r="Z987" s="80"/>
    </row>
    <row r="988">
      <c r="A988" s="81"/>
      <c r="B988" s="80"/>
      <c r="C988" s="80"/>
      <c r="D988" s="81"/>
      <c r="E988" s="81"/>
      <c r="F988" s="81"/>
      <c r="G988" s="81"/>
      <c r="H988" s="83"/>
      <c r="I988" s="83"/>
      <c r="J988" s="80"/>
      <c r="K988" s="81"/>
      <c r="L988" s="81"/>
      <c r="M988" s="80"/>
      <c r="N988" s="80"/>
      <c r="O988" s="80"/>
      <c r="P988" s="80"/>
      <c r="Q988" s="80"/>
      <c r="R988" s="80"/>
      <c r="S988" s="80"/>
      <c r="T988" s="80"/>
      <c r="U988" s="80"/>
      <c r="V988" s="80"/>
      <c r="W988" s="80"/>
      <c r="X988" s="80"/>
      <c r="Y988" s="80"/>
      <c r="Z988" s="80"/>
    </row>
    <row r="989">
      <c r="A989" s="81"/>
      <c r="B989" s="80"/>
      <c r="C989" s="80"/>
      <c r="D989" s="81"/>
      <c r="E989" s="81"/>
      <c r="F989" s="81"/>
      <c r="G989" s="81"/>
      <c r="H989" s="83"/>
      <c r="I989" s="83"/>
      <c r="J989" s="80"/>
      <c r="K989" s="81"/>
      <c r="L989" s="81"/>
      <c r="M989" s="80"/>
      <c r="N989" s="80"/>
      <c r="O989" s="80"/>
      <c r="P989" s="80"/>
      <c r="Q989" s="80"/>
      <c r="R989" s="80"/>
      <c r="S989" s="80"/>
      <c r="T989" s="80"/>
      <c r="U989" s="80"/>
      <c r="V989" s="80"/>
      <c r="W989" s="80"/>
      <c r="X989" s="80"/>
      <c r="Y989" s="80"/>
      <c r="Z989" s="80"/>
    </row>
    <row r="990">
      <c r="A990" s="81"/>
      <c r="B990" s="80"/>
      <c r="C990" s="80"/>
      <c r="D990" s="81"/>
      <c r="E990" s="81"/>
      <c r="F990" s="81"/>
      <c r="G990" s="81"/>
      <c r="H990" s="83"/>
      <c r="I990" s="83"/>
      <c r="J990" s="80"/>
      <c r="K990" s="81"/>
      <c r="L990" s="81"/>
      <c r="M990" s="80"/>
      <c r="N990" s="80"/>
      <c r="O990" s="80"/>
      <c r="P990" s="80"/>
      <c r="Q990" s="80"/>
      <c r="R990" s="80"/>
      <c r="S990" s="80"/>
      <c r="T990" s="80"/>
      <c r="U990" s="80"/>
      <c r="V990" s="80"/>
      <c r="W990" s="80"/>
      <c r="X990" s="80"/>
      <c r="Y990" s="80"/>
      <c r="Z990" s="80"/>
    </row>
    <row r="991">
      <c r="A991" s="81"/>
      <c r="B991" s="80"/>
      <c r="C991" s="80"/>
      <c r="D991" s="81"/>
      <c r="E991" s="81"/>
      <c r="F991" s="81"/>
      <c r="G991" s="81"/>
      <c r="H991" s="83"/>
      <c r="I991" s="83"/>
      <c r="J991" s="80"/>
      <c r="K991" s="81"/>
      <c r="L991" s="81"/>
      <c r="M991" s="80"/>
      <c r="N991" s="80"/>
      <c r="O991" s="80"/>
      <c r="P991" s="80"/>
      <c r="Q991" s="80"/>
      <c r="R991" s="80"/>
      <c r="S991" s="80"/>
      <c r="T991" s="80"/>
      <c r="U991" s="80"/>
      <c r="V991" s="80"/>
      <c r="W991" s="80"/>
      <c r="X991" s="80"/>
      <c r="Y991" s="80"/>
      <c r="Z991" s="80"/>
    </row>
    <row r="992">
      <c r="A992" s="81"/>
      <c r="B992" s="80"/>
      <c r="C992" s="80"/>
      <c r="D992" s="81"/>
      <c r="E992" s="81"/>
      <c r="F992" s="81"/>
      <c r="G992" s="81"/>
      <c r="H992" s="83"/>
      <c r="I992" s="83"/>
      <c r="J992" s="80"/>
      <c r="K992" s="81"/>
      <c r="L992" s="81"/>
      <c r="M992" s="80"/>
      <c r="N992" s="80"/>
      <c r="O992" s="80"/>
      <c r="P992" s="80"/>
      <c r="Q992" s="80"/>
      <c r="R992" s="80"/>
      <c r="S992" s="80"/>
      <c r="T992" s="80"/>
      <c r="U992" s="80"/>
      <c r="V992" s="80"/>
      <c r="W992" s="80"/>
      <c r="X992" s="80"/>
      <c r="Y992" s="80"/>
      <c r="Z992" s="80"/>
    </row>
    <row r="993">
      <c r="A993" s="81"/>
      <c r="B993" s="80"/>
      <c r="C993" s="80"/>
      <c r="D993" s="81"/>
      <c r="E993" s="81"/>
      <c r="F993" s="81"/>
      <c r="G993" s="81"/>
      <c r="H993" s="83"/>
      <c r="I993" s="83"/>
      <c r="J993" s="80"/>
      <c r="K993" s="81"/>
      <c r="L993" s="81"/>
      <c r="M993" s="80"/>
      <c r="N993" s="80"/>
      <c r="O993" s="80"/>
      <c r="P993" s="80"/>
      <c r="Q993" s="80"/>
      <c r="R993" s="80"/>
      <c r="S993" s="80"/>
      <c r="T993" s="80"/>
      <c r="U993" s="80"/>
      <c r="V993" s="80"/>
      <c r="W993" s="80"/>
      <c r="X993" s="80"/>
      <c r="Y993" s="80"/>
      <c r="Z993" s="80"/>
    </row>
    <row r="994">
      <c r="A994" s="81"/>
      <c r="B994" s="80"/>
      <c r="C994" s="80"/>
      <c r="D994" s="81"/>
      <c r="E994" s="81"/>
      <c r="F994" s="81"/>
      <c r="G994" s="81"/>
      <c r="H994" s="83"/>
      <c r="I994" s="83"/>
      <c r="J994" s="80"/>
      <c r="K994" s="81"/>
      <c r="L994" s="81"/>
      <c r="M994" s="80"/>
      <c r="N994" s="80"/>
      <c r="O994" s="80"/>
      <c r="P994" s="80"/>
      <c r="Q994" s="80"/>
      <c r="R994" s="80"/>
      <c r="S994" s="80"/>
      <c r="T994" s="80"/>
      <c r="U994" s="80"/>
      <c r="V994" s="80"/>
      <c r="W994" s="80"/>
      <c r="X994" s="80"/>
      <c r="Y994" s="80"/>
      <c r="Z994" s="80"/>
    </row>
    <row r="995">
      <c r="A995" s="81"/>
      <c r="B995" s="80"/>
      <c r="C995" s="80"/>
      <c r="D995" s="81"/>
      <c r="E995" s="81"/>
      <c r="F995" s="81"/>
      <c r="G995" s="81"/>
      <c r="H995" s="83"/>
      <c r="I995" s="83"/>
      <c r="J995" s="80"/>
      <c r="K995" s="81"/>
      <c r="L995" s="81"/>
      <c r="M995" s="80"/>
      <c r="N995" s="80"/>
      <c r="O995" s="80"/>
      <c r="P995" s="80"/>
      <c r="Q995" s="80"/>
      <c r="R995" s="80"/>
      <c r="S995" s="80"/>
      <c r="T995" s="80"/>
      <c r="U995" s="80"/>
      <c r="V995" s="80"/>
      <c r="W995" s="80"/>
      <c r="X995" s="80"/>
      <c r="Y995" s="80"/>
      <c r="Z995" s="80"/>
    </row>
    <row r="996">
      <c r="A996" s="81"/>
      <c r="B996" s="80"/>
      <c r="C996" s="80"/>
      <c r="D996" s="81"/>
      <c r="E996" s="81"/>
      <c r="F996" s="81"/>
      <c r="G996" s="81"/>
      <c r="H996" s="83"/>
      <c r="I996" s="83"/>
      <c r="J996" s="80"/>
      <c r="K996" s="81"/>
      <c r="L996" s="81"/>
      <c r="M996" s="80"/>
      <c r="N996" s="80"/>
      <c r="O996" s="80"/>
      <c r="P996" s="80"/>
      <c r="Q996" s="80"/>
      <c r="R996" s="80"/>
      <c r="S996" s="80"/>
      <c r="T996" s="80"/>
      <c r="U996" s="80"/>
      <c r="V996" s="80"/>
      <c r="W996" s="80"/>
      <c r="X996" s="80"/>
      <c r="Y996" s="80"/>
      <c r="Z996" s="80"/>
    </row>
    <row r="997">
      <c r="A997" s="81"/>
      <c r="B997" s="80"/>
      <c r="C997" s="80"/>
      <c r="D997" s="81"/>
      <c r="E997" s="81"/>
      <c r="F997" s="81"/>
      <c r="G997" s="81"/>
      <c r="H997" s="83"/>
      <c r="I997" s="83"/>
      <c r="J997" s="80"/>
      <c r="K997" s="81"/>
      <c r="L997" s="81"/>
      <c r="M997" s="80"/>
      <c r="N997" s="80"/>
      <c r="O997" s="80"/>
      <c r="P997" s="80"/>
      <c r="Q997" s="80"/>
      <c r="R997" s="80"/>
      <c r="S997" s="80"/>
      <c r="T997" s="80"/>
      <c r="U997" s="80"/>
      <c r="V997" s="80"/>
      <c r="W997" s="80"/>
      <c r="X997" s="80"/>
      <c r="Y997" s="80"/>
      <c r="Z997" s="80"/>
    </row>
    <row r="998">
      <c r="A998" s="81"/>
      <c r="B998" s="80"/>
      <c r="C998" s="80"/>
      <c r="D998" s="81"/>
      <c r="E998" s="81"/>
      <c r="F998" s="81"/>
      <c r="G998" s="81"/>
      <c r="H998" s="83"/>
      <c r="I998" s="83"/>
      <c r="J998" s="80"/>
      <c r="K998" s="81"/>
      <c r="L998" s="81"/>
      <c r="M998" s="80"/>
      <c r="N998" s="80"/>
      <c r="O998" s="80"/>
      <c r="P998" s="80"/>
      <c r="Q998" s="80"/>
      <c r="R998" s="80"/>
      <c r="S998" s="80"/>
      <c r="T998" s="80"/>
      <c r="U998" s="80"/>
      <c r="V998" s="80"/>
      <c r="W998" s="80"/>
      <c r="X998" s="80"/>
      <c r="Y998" s="80"/>
      <c r="Z998" s="80"/>
    </row>
    <row r="999">
      <c r="A999" s="81"/>
      <c r="B999" s="80"/>
      <c r="C999" s="80"/>
      <c r="D999" s="81"/>
      <c r="E999" s="81"/>
      <c r="F999" s="81"/>
      <c r="G999" s="81"/>
      <c r="H999" s="83"/>
      <c r="I999" s="83"/>
      <c r="J999" s="80"/>
      <c r="K999" s="81"/>
      <c r="L999" s="81"/>
      <c r="M999" s="80"/>
      <c r="N999" s="80"/>
      <c r="O999" s="80"/>
      <c r="P999" s="80"/>
      <c r="Q999" s="80"/>
      <c r="R999" s="80"/>
      <c r="S999" s="80"/>
      <c r="T999" s="80"/>
      <c r="U999" s="80"/>
      <c r="V999" s="80"/>
      <c r="W999" s="80"/>
      <c r="X999" s="80"/>
      <c r="Y999" s="80"/>
      <c r="Z999" s="80"/>
    </row>
    <row r="1000">
      <c r="A1000" s="81"/>
      <c r="B1000" s="80"/>
      <c r="C1000" s="80"/>
      <c r="D1000" s="81"/>
      <c r="E1000" s="81"/>
      <c r="F1000" s="81"/>
      <c r="G1000" s="81"/>
      <c r="H1000" s="83"/>
      <c r="I1000" s="83"/>
      <c r="J1000" s="80"/>
      <c r="K1000" s="81"/>
      <c r="L1000" s="81"/>
      <c r="M1000" s="80"/>
      <c r="N1000" s="80"/>
      <c r="O1000" s="80"/>
      <c r="P1000" s="80"/>
      <c r="Q1000" s="80"/>
      <c r="R1000" s="80"/>
      <c r="S1000" s="80"/>
      <c r="T1000" s="80"/>
      <c r="U1000" s="80"/>
      <c r="V1000" s="80"/>
      <c r="W1000" s="80"/>
      <c r="X1000" s="80"/>
      <c r="Y1000" s="80"/>
      <c r="Z1000" s="80"/>
    </row>
    <row r="1001">
      <c r="A1001" s="81"/>
      <c r="B1001" s="80"/>
      <c r="C1001" s="80"/>
      <c r="D1001" s="81"/>
      <c r="E1001" s="81"/>
      <c r="F1001" s="81"/>
      <c r="G1001" s="81"/>
      <c r="H1001" s="83"/>
      <c r="I1001" s="83"/>
      <c r="J1001" s="80"/>
      <c r="K1001" s="81"/>
      <c r="L1001" s="81"/>
      <c r="M1001" s="80"/>
      <c r="N1001" s="80"/>
      <c r="O1001" s="80"/>
      <c r="P1001" s="80"/>
      <c r="Q1001" s="80"/>
      <c r="R1001" s="80"/>
      <c r="S1001" s="80"/>
      <c r="T1001" s="80"/>
      <c r="U1001" s="80"/>
      <c r="V1001" s="80"/>
      <c r="W1001" s="80"/>
      <c r="X1001" s="80"/>
      <c r="Y1001" s="80"/>
      <c r="Z1001" s="80"/>
    </row>
    <row r="1002">
      <c r="A1002" s="81"/>
      <c r="B1002" s="80"/>
      <c r="C1002" s="80"/>
      <c r="D1002" s="81"/>
      <c r="E1002" s="81"/>
      <c r="F1002" s="81"/>
      <c r="G1002" s="81"/>
      <c r="H1002" s="83"/>
      <c r="I1002" s="83"/>
      <c r="J1002" s="80"/>
      <c r="K1002" s="81"/>
      <c r="L1002" s="81"/>
      <c r="M1002" s="80"/>
      <c r="N1002" s="80"/>
      <c r="O1002" s="80"/>
      <c r="P1002" s="80"/>
      <c r="Q1002" s="80"/>
      <c r="R1002" s="80"/>
      <c r="S1002" s="80"/>
      <c r="T1002" s="80"/>
      <c r="U1002" s="80"/>
      <c r="V1002" s="80"/>
      <c r="W1002" s="80"/>
      <c r="X1002" s="80"/>
      <c r="Y1002" s="80"/>
      <c r="Z1002" s="80"/>
    </row>
    <row r="1003">
      <c r="A1003" s="81"/>
      <c r="B1003" s="80"/>
      <c r="C1003" s="80"/>
      <c r="D1003" s="81"/>
      <c r="E1003" s="81"/>
      <c r="F1003" s="81"/>
      <c r="G1003" s="81"/>
      <c r="H1003" s="83"/>
      <c r="I1003" s="83"/>
      <c r="J1003" s="80"/>
      <c r="K1003" s="81"/>
      <c r="L1003" s="81"/>
      <c r="M1003" s="80"/>
      <c r="N1003" s="80"/>
      <c r="O1003" s="80"/>
      <c r="P1003" s="80"/>
      <c r="Q1003" s="80"/>
      <c r="R1003" s="80"/>
      <c r="S1003" s="80"/>
      <c r="T1003" s="80"/>
      <c r="U1003" s="80"/>
      <c r="V1003" s="80"/>
      <c r="W1003" s="80"/>
      <c r="X1003" s="80"/>
      <c r="Y1003" s="80"/>
      <c r="Z1003" s="80"/>
    </row>
    <row r="1004">
      <c r="A1004" s="81"/>
      <c r="B1004" s="80"/>
      <c r="C1004" s="80"/>
      <c r="D1004" s="81"/>
      <c r="E1004" s="81"/>
      <c r="F1004" s="81"/>
      <c r="G1004" s="81"/>
      <c r="H1004" s="83"/>
      <c r="I1004" s="83"/>
      <c r="J1004" s="80"/>
      <c r="K1004" s="81"/>
      <c r="L1004" s="81"/>
      <c r="M1004" s="80"/>
      <c r="N1004" s="80"/>
      <c r="O1004" s="80"/>
      <c r="P1004" s="80"/>
      <c r="Q1004" s="80"/>
      <c r="R1004" s="80"/>
      <c r="S1004" s="80"/>
      <c r="T1004" s="80"/>
      <c r="U1004" s="80"/>
      <c r="V1004" s="80"/>
      <c r="W1004" s="80"/>
      <c r="X1004" s="80"/>
      <c r="Y1004" s="80"/>
      <c r="Z1004" s="80"/>
    </row>
    <row r="1005">
      <c r="A1005" s="81"/>
      <c r="B1005" s="80"/>
      <c r="C1005" s="80"/>
      <c r="D1005" s="81"/>
      <c r="E1005" s="81"/>
      <c r="F1005" s="81"/>
      <c r="G1005" s="81"/>
      <c r="H1005" s="83"/>
      <c r="I1005" s="83"/>
      <c r="J1005" s="80"/>
      <c r="K1005" s="81"/>
      <c r="L1005" s="81"/>
      <c r="M1005" s="80"/>
      <c r="N1005" s="80"/>
      <c r="O1005" s="80"/>
      <c r="P1005" s="80"/>
      <c r="Q1005" s="80"/>
      <c r="R1005" s="80"/>
      <c r="S1005" s="80"/>
      <c r="T1005" s="80"/>
      <c r="U1005" s="80"/>
      <c r="V1005" s="80"/>
      <c r="W1005" s="80"/>
      <c r="X1005" s="80"/>
      <c r="Y1005" s="80"/>
      <c r="Z1005" s="80"/>
    </row>
    <row r="1006">
      <c r="A1006" s="81"/>
      <c r="B1006" s="80"/>
      <c r="C1006" s="80"/>
      <c r="D1006" s="81"/>
      <c r="E1006" s="81"/>
      <c r="F1006" s="81"/>
      <c r="G1006" s="81"/>
      <c r="H1006" s="83"/>
      <c r="I1006" s="83"/>
      <c r="J1006" s="80"/>
      <c r="K1006" s="81"/>
      <c r="L1006" s="81"/>
      <c r="M1006" s="80"/>
      <c r="N1006" s="80"/>
      <c r="O1006" s="80"/>
      <c r="P1006" s="80"/>
      <c r="Q1006" s="80"/>
      <c r="R1006" s="80"/>
      <c r="S1006" s="80"/>
      <c r="T1006" s="80"/>
      <c r="U1006" s="80"/>
      <c r="V1006" s="80"/>
      <c r="W1006" s="80"/>
      <c r="X1006" s="80"/>
      <c r="Y1006" s="80"/>
      <c r="Z1006" s="80"/>
    </row>
    <row r="1007">
      <c r="A1007" s="81"/>
      <c r="B1007" s="80"/>
      <c r="C1007" s="80"/>
      <c r="D1007" s="81"/>
      <c r="E1007" s="81"/>
      <c r="F1007" s="81"/>
      <c r="G1007" s="81"/>
      <c r="H1007" s="83"/>
      <c r="I1007" s="83"/>
      <c r="J1007" s="80"/>
      <c r="K1007" s="81"/>
      <c r="L1007" s="81"/>
      <c r="M1007" s="80"/>
      <c r="N1007" s="80"/>
      <c r="O1007" s="80"/>
      <c r="P1007" s="80"/>
      <c r="Q1007" s="80"/>
      <c r="R1007" s="80"/>
      <c r="S1007" s="80"/>
      <c r="T1007" s="80"/>
      <c r="U1007" s="80"/>
      <c r="V1007" s="80"/>
      <c r="W1007" s="80"/>
      <c r="X1007" s="80"/>
      <c r="Y1007" s="80"/>
      <c r="Z1007" s="80"/>
    </row>
    <row r="1008">
      <c r="A1008" s="81"/>
      <c r="B1008" s="80"/>
      <c r="C1008" s="80"/>
      <c r="D1008" s="81"/>
      <c r="E1008" s="81"/>
      <c r="F1008" s="81"/>
      <c r="G1008" s="81"/>
      <c r="H1008" s="83"/>
      <c r="I1008" s="83"/>
      <c r="J1008" s="80"/>
      <c r="K1008" s="81"/>
      <c r="L1008" s="81"/>
      <c r="M1008" s="80"/>
      <c r="N1008" s="80"/>
      <c r="O1008" s="80"/>
      <c r="P1008" s="80"/>
      <c r="Q1008" s="80"/>
      <c r="R1008" s="80"/>
      <c r="S1008" s="80"/>
      <c r="T1008" s="80"/>
      <c r="U1008" s="80"/>
      <c r="V1008" s="80"/>
      <c r="W1008" s="80"/>
      <c r="X1008" s="80"/>
      <c r="Y1008" s="80"/>
      <c r="Z1008" s="80"/>
    </row>
    <row r="1009">
      <c r="A1009" s="81"/>
      <c r="B1009" s="80"/>
      <c r="C1009" s="80"/>
      <c r="D1009" s="81"/>
      <c r="E1009" s="81"/>
      <c r="F1009" s="81"/>
      <c r="G1009" s="81"/>
      <c r="H1009" s="83"/>
      <c r="I1009" s="83"/>
      <c r="J1009" s="80"/>
      <c r="K1009" s="81"/>
      <c r="L1009" s="81"/>
      <c r="M1009" s="80"/>
      <c r="N1009" s="80"/>
      <c r="O1009" s="80"/>
      <c r="P1009" s="80"/>
      <c r="Q1009" s="80"/>
      <c r="R1009" s="80"/>
      <c r="S1009" s="80"/>
      <c r="T1009" s="80"/>
      <c r="U1009" s="80"/>
      <c r="V1009" s="80"/>
      <c r="W1009" s="80"/>
      <c r="X1009" s="80"/>
      <c r="Y1009" s="80"/>
      <c r="Z1009" s="80"/>
    </row>
    <row r="1010">
      <c r="A1010" s="81"/>
      <c r="B1010" s="80"/>
      <c r="C1010" s="80"/>
      <c r="D1010" s="81"/>
      <c r="E1010" s="81"/>
      <c r="F1010" s="81"/>
      <c r="G1010" s="81"/>
      <c r="H1010" s="83"/>
      <c r="I1010" s="83"/>
      <c r="J1010" s="80"/>
      <c r="K1010" s="81"/>
      <c r="L1010" s="81"/>
      <c r="M1010" s="80"/>
      <c r="N1010" s="80"/>
      <c r="O1010" s="80"/>
      <c r="P1010" s="80"/>
      <c r="Q1010" s="80"/>
      <c r="R1010" s="80"/>
      <c r="S1010" s="80"/>
      <c r="T1010" s="80"/>
      <c r="U1010" s="80"/>
      <c r="V1010" s="80"/>
      <c r="W1010" s="80"/>
      <c r="X1010" s="80"/>
      <c r="Y1010" s="80"/>
      <c r="Z1010" s="80"/>
    </row>
    <row r="1011">
      <c r="A1011" s="81"/>
      <c r="B1011" s="80"/>
      <c r="C1011" s="80"/>
      <c r="D1011" s="81"/>
      <c r="E1011" s="81"/>
      <c r="F1011" s="81"/>
      <c r="G1011" s="81"/>
      <c r="H1011" s="83"/>
      <c r="I1011" s="83"/>
      <c r="J1011" s="80"/>
      <c r="K1011" s="81"/>
      <c r="L1011" s="81"/>
      <c r="M1011" s="80"/>
      <c r="N1011" s="80"/>
      <c r="O1011" s="80"/>
      <c r="P1011" s="80"/>
      <c r="Q1011" s="80"/>
      <c r="R1011" s="80"/>
      <c r="S1011" s="80"/>
      <c r="T1011" s="80"/>
      <c r="U1011" s="80"/>
      <c r="V1011" s="80"/>
      <c r="W1011" s="80"/>
      <c r="X1011" s="80"/>
      <c r="Y1011" s="80"/>
      <c r="Z1011" s="80"/>
    </row>
    <row r="1012">
      <c r="A1012" s="81"/>
      <c r="B1012" s="80"/>
      <c r="C1012" s="80"/>
      <c r="D1012" s="81"/>
      <c r="E1012" s="81"/>
      <c r="F1012" s="81"/>
      <c r="G1012" s="81"/>
      <c r="H1012" s="83"/>
      <c r="I1012" s="83"/>
      <c r="J1012" s="80"/>
      <c r="K1012" s="81"/>
      <c r="L1012" s="81"/>
      <c r="M1012" s="80"/>
      <c r="N1012" s="80"/>
      <c r="O1012" s="80"/>
      <c r="P1012" s="80"/>
      <c r="Q1012" s="80"/>
      <c r="R1012" s="80"/>
      <c r="S1012" s="80"/>
      <c r="T1012" s="80"/>
      <c r="U1012" s="80"/>
      <c r="V1012" s="80"/>
      <c r="W1012" s="80"/>
      <c r="X1012" s="80"/>
      <c r="Y1012" s="80"/>
      <c r="Z1012" s="80"/>
    </row>
    <row r="1013">
      <c r="A1013" s="81"/>
      <c r="B1013" s="80"/>
      <c r="C1013" s="80"/>
      <c r="D1013" s="81"/>
      <c r="E1013" s="81"/>
      <c r="F1013" s="81"/>
      <c r="G1013" s="81"/>
      <c r="H1013" s="83"/>
      <c r="I1013" s="83"/>
      <c r="J1013" s="80"/>
      <c r="K1013" s="81"/>
      <c r="L1013" s="81"/>
      <c r="M1013" s="80"/>
      <c r="N1013" s="80"/>
      <c r="O1013" s="80"/>
      <c r="P1013" s="80"/>
      <c r="Q1013" s="80"/>
      <c r="R1013" s="80"/>
      <c r="S1013" s="80"/>
      <c r="T1013" s="80"/>
      <c r="U1013" s="80"/>
      <c r="V1013" s="80"/>
      <c r="W1013" s="80"/>
      <c r="X1013" s="80"/>
      <c r="Y1013" s="80"/>
      <c r="Z1013" s="80"/>
    </row>
    <row r="1014">
      <c r="A1014" s="81"/>
      <c r="B1014" s="80"/>
      <c r="C1014" s="80"/>
      <c r="D1014" s="81"/>
      <c r="E1014" s="81"/>
      <c r="F1014" s="81"/>
      <c r="G1014" s="81"/>
      <c r="H1014" s="83"/>
      <c r="I1014" s="83"/>
      <c r="J1014" s="80"/>
      <c r="K1014" s="81"/>
      <c r="L1014" s="81"/>
      <c r="M1014" s="80"/>
      <c r="N1014" s="80"/>
      <c r="O1014" s="80"/>
      <c r="P1014" s="80"/>
      <c r="Q1014" s="80"/>
      <c r="R1014" s="80"/>
      <c r="S1014" s="80"/>
      <c r="T1014" s="80"/>
      <c r="U1014" s="80"/>
      <c r="V1014" s="80"/>
      <c r="W1014" s="80"/>
      <c r="X1014" s="80"/>
      <c r="Y1014" s="80"/>
      <c r="Z1014" s="80"/>
    </row>
    <row r="1015">
      <c r="A1015" s="81"/>
      <c r="B1015" s="80"/>
      <c r="C1015" s="80"/>
      <c r="D1015" s="81"/>
      <c r="E1015" s="81"/>
      <c r="F1015" s="81"/>
      <c r="G1015" s="81"/>
      <c r="H1015" s="83"/>
      <c r="I1015" s="83"/>
      <c r="J1015" s="80"/>
      <c r="K1015" s="81"/>
      <c r="L1015" s="81"/>
      <c r="M1015" s="80"/>
      <c r="N1015" s="80"/>
      <c r="O1015" s="80"/>
      <c r="P1015" s="80"/>
      <c r="Q1015" s="80"/>
      <c r="R1015" s="80"/>
      <c r="S1015" s="80"/>
      <c r="T1015" s="80"/>
      <c r="U1015" s="80"/>
      <c r="V1015" s="80"/>
      <c r="W1015" s="80"/>
      <c r="X1015" s="80"/>
      <c r="Y1015" s="80"/>
      <c r="Z1015" s="80"/>
    </row>
    <row r="1016">
      <c r="A1016" s="81"/>
      <c r="B1016" s="80"/>
      <c r="C1016" s="80"/>
      <c r="D1016" s="81"/>
      <c r="E1016" s="81"/>
      <c r="F1016" s="81"/>
      <c r="G1016" s="81"/>
      <c r="H1016" s="83"/>
      <c r="I1016" s="83"/>
      <c r="J1016" s="80"/>
      <c r="K1016" s="81"/>
      <c r="L1016" s="81"/>
      <c r="M1016" s="80"/>
      <c r="N1016" s="80"/>
      <c r="O1016" s="80"/>
      <c r="P1016" s="80"/>
      <c r="Q1016" s="80"/>
      <c r="R1016" s="80"/>
      <c r="S1016" s="80"/>
      <c r="T1016" s="80"/>
      <c r="U1016" s="80"/>
      <c r="V1016" s="80"/>
      <c r="W1016" s="80"/>
      <c r="X1016" s="80"/>
      <c r="Y1016" s="80"/>
      <c r="Z1016" s="80"/>
    </row>
    <row r="1017">
      <c r="A1017" s="81"/>
      <c r="B1017" s="80"/>
      <c r="C1017" s="80"/>
      <c r="D1017" s="81"/>
      <c r="E1017" s="81"/>
      <c r="F1017" s="81"/>
      <c r="G1017" s="81"/>
      <c r="H1017" s="83"/>
      <c r="I1017" s="83"/>
      <c r="J1017" s="80"/>
      <c r="K1017" s="81"/>
      <c r="L1017" s="81"/>
      <c r="M1017" s="80"/>
      <c r="N1017" s="80"/>
      <c r="O1017" s="80"/>
      <c r="P1017" s="80"/>
      <c r="Q1017" s="80"/>
      <c r="R1017" s="80"/>
      <c r="S1017" s="80"/>
      <c r="T1017" s="80"/>
      <c r="U1017" s="80"/>
      <c r="V1017" s="80"/>
      <c r="W1017" s="80"/>
      <c r="X1017" s="80"/>
      <c r="Y1017" s="80"/>
      <c r="Z1017" s="80"/>
    </row>
    <row r="1018">
      <c r="A1018" s="81"/>
      <c r="B1018" s="80"/>
      <c r="C1018" s="80"/>
      <c r="D1018" s="81"/>
      <c r="E1018" s="81"/>
      <c r="F1018" s="81"/>
      <c r="G1018" s="81"/>
      <c r="H1018" s="83"/>
      <c r="I1018" s="83"/>
      <c r="J1018" s="80"/>
      <c r="K1018" s="81"/>
      <c r="L1018" s="81"/>
      <c r="M1018" s="80"/>
      <c r="N1018" s="80"/>
      <c r="O1018" s="80"/>
      <c r="P1018" s="80"/>
      <c r="Q1018" s="80"/>
      <c r="R1018" s="80"/>
      <c r="S1018" s="80"/>
      <c r="T1018" s="80"/>
      <c r="U1018" s="80"/>
      <c r="V1018" s="80"/>
      <c r="W1018" s="80"/>
      <c r="X1018" s="80"/>
      <c r="Y1018" s="80"/>
      <c r="Z1018" s="80"/>
    </row>
    <row r="1019">
      <c r="A1019" s="81"/>
      <c r="B1019" s="80"/>
      <c r="C1019" s="80"/>
      <c r="D1019" s="81"/>
      <c r="E1019" s="81"/>
      <c r="F1019" s="81"/>
      <c r="G1019" s="81"/>
      <c r="H1019" s="83"/>
      <c r="I1019" s="83"/>
      <c r="J1019" s="80"/>
      <c r="K1019" s="81"/>
      <c r="L1019" s="81"/>
      <c r="M1019" s="80"/>
      <c r="N1019" s="80"/>
      <c r="O1019" s="80"/>
      <c r="P1019" s="80"/>
      <c r="Q1019" s="80"/>
      <c r="R1019" s="80"/>
      <c r="S1019" s="80"/>
      <c r="T1019" s="80"/>
      <c r="U1019" s="80"/>
      <c r="V1019" s="80"/>
      <c r="W1019" s="80"/>
      <c r="X1019" s="80"/>
      <c r="Y1019" s="80"/>
      <c r="Z1019" s="80"/>
    </row>
    <row r="1020">
      <c r="A1020" s="81"/>
      <c r="B1020" s="80"/>
      <c r="C1020" s="80"/>
      <c r="D1020" s="81"/>
      <c r="E1020" s="81"/>
      <c r="F1020" s="81"/>
      <c r="G1020" s="81"/>
      <c r="H1020" s="83"/>
      <c r="I1020" s="83"/>
      <c r="J1020" s="80"/>
      <c r="K1020" s="81"/>
      <c r="L1020" s="81"/>
      <c r="M1020" s="80"/>
      <c r="N1020" s="80"/>
      <c r="O1020" s="80"/>
      <c r="P1020" s="80"/>
      <c r="Q1020" s="80"/>
      <c r="R1020" s="80"/>
      <c r="S1020" s="80"/>
      <c r="T1020" s="80"/>
      <c r="U1020" s="80"/>
      <c r="V1020" s="80"/>
      <c r="W1020" s="80"/>
      <c r="X1020" s="80"/>
      <c r="Y1020" s="80"/>
      <c r="Z1020" s="80"/>
    </row>
    <row r="1021">
      <c r="A1021" s="81"/>
      <c r="B1021" s="80"/>
      <c r="C1021" s="80"/>
      <c r="D1021" s="81"/>
      <c r="E1021" s="81"/>
      <c r="F1021" s="81"/>
      <c r="G1021" s="81"/>
      <c r="H1021" s="83"/>
      <c r="I1021" s="83"/>
      <c r="J1021" s="80"/>
      <c r="K1021" s="81"/>
      <c r="L1021" s="81"/>
      <c r="M1021" s="80"/>
      <c r="N1021" s="80"/>
      <c r="O1021" s="80"/>
      <c r="P1021" s="80"/>
      <c r="Q1021" s="80"/>
      <c r="R1021" s="80"/>
      <c r="S1021" s="80"/>
      <c r="T1021" s="80"/>
      <c r="U1021" s="80"/>
      <c r="V1021" s="80"/>
      <c r="W1021" s="80"/>
      <c r="X1021" s="80"/>
      <c r="Y1021" s="80"/>
      <c r="Z1021" s="80"/>
    </row>
    <row r="1022">
      <c r="A1022" s="81"/>
      <c r="B1022" s="80"/>
      <c r="C1022" s="80"/>
      <c r="D1022" s="81"/>
      <c r="E1022" s="81"/>
      <c r="F1022" s="81"/>
      <c r="G1022" s="81"/>
      <c r="H1022" s="83"/>
      <c r="I1022" s="83"/>
      <c r="J1022" s="80"/>
      <c r="K1022" s="81"/>
      <c r="L1022" s="81"/>
      <c r="M1022" s="80"/>
      <c r="N1022" s="80"/>
      <c r="O1022" s="80"/>
      <c r="P1022" s="80"/>
      <c r="Q1022" s="80"/>
      <c r="R1022" s="80"/>
      <c r="S1022" s="80"/>
      <c r="T1022" s="80"/>
      <c r="U1022" s="80"/>
      <c r="V1022" s="80"/>
      <c r="W1022" s="80"/>
      <c r="X1022" s="80"/>
      <c r="Y1022" s="80"/>
      <c r="Z1022" s="80"/>
    </row>
    <row r="1023">
      <c r="A1023" s="81"/>
      <c r="B1023" s="80"/>
      <c r="C1023" s="80"/>
      <c r="D1023" s="81"/>
      <c r="E1023" s="81"/>
      <c r="F1023" s="81"/>
      <c r="G1023" s="81"/>
      <c r="H1023" s="83"/>
      <c r="I1023" s="83"/>
      <c r="J1023" s="80"/>
      <c r="K1023" s="81"/>
      <c r="L1023" s="81"/>
      <c r="M1023" s="80"/>
      <c r="N1023" s="80"/>
      <c r="O1023" s="80"/>
      <c r="P1023" s="80"/>
      <c r="Q1023" s="80"/>
      <c r="R1023" s="80"/>
      <c r="S1023" s="80"/>
      <c r="T1023" s="80"/>
      <c r="U1023" s="80"/>
      <c r="V1023" s="80"/>
      <c r="W1023" s="80"/>
      <c r="X1023" s="80"/>
      <c r="Y1023" s="80"/>
      <c r="Z1023" s="80"/>
    </row>
    <row r="1024">
      <c r="A1024" s="81"/>
      <c r="B1024" s="80"/>
      <c r="C1024" s="80"/>
      <c r="D1024" s="81"/>
      <c r="E1024" s="81"/>
      <c r="F1024" s="81"/>
      <c r="G1024" s="81"/>
      <c r="H1024" s="83"/>
      <c r="I1024" s="83"/>
      <c r="J1024" s="80"/>
      <c r="K1024" s="81"/>
      <c r="L1024" s="81"/>
      <c r="M1024" s="80"/>
      <c r="N1024" s="80"/>
      <c r="O1024" s="80"/>
      <c r="P1024" s="80"/>
      <c r="Q1024" s="80"/>
      <c r="R1024" s="80"/>
      <c r="S1024" s="80"/>
      <c r="T1024" s="80"/>
      <c r="U1024" s="80"/>
      <c r="V1024" s="80"/>
      <c r="W1024" s="80"/>
      <c r="X1024" s="80"/>
      <c r="Y1024" s="80"/>
      <c r="Z1024" s="80"/>
    </row>
    <row r="1025">
      <c r="A1025" s="81"/>
      <c r="B1025" s="80"/>
      <c r="C1025" s="80"/>
      <c r="D1025" s="81"/>
      <c r="E1025" s="81"/>
      <c r="F1025" s="81"/>
      <c r="G1025" s="81"/>
      <c r="H1025" s="83"/>
      <c r="I1025" s="83"/>
      <c r="J1025" s="80"/>
      <c r="K1025" s="81"/>
      <c r="L1025" s="81"/>
      <c r="M1025" s="80"/>
      <c r="N1025" s="80"/>
      <c r="O1025" s="80"/>
      <c r="P1025" s="80"/>
      <c r="Q1025" s="80"/>
      <c r="R1025" s="80"/>
      <c r="S1025" s="80"/>
      <c r="T1025" s="80"/>
      <c r="U1025" s="80"/>
      <c r="V1025" s="80"/>
      <c r="W1025" s="80"/>
      <c r="X1025" s="80"/>
      <c r="Y1025" s="80"/>
      <c r="Z1025" s="80"/>
    </row>
    <row r="1026">
      <c r="A1026" s="81"/>
      <c r="B1026" s="80"/>
      <c r="C1026" s="80"/>
      <c r="D1026" s="81"/>
      <c r="E1026" s="81"/>
      <c r="F1026" s="81"/>
      <c r="G1026" s="81"/>
      <c r="H1026" s="83"/>
      <c r="I1026" s="83"/>
      <c r="J1026" s="80"/>
      <c r="K1026" s="81"/>
      <c r="L1026" s="81"/>
      <c r="M1026" s="80"/>
      <c r="N1026" s="80"/>
      <c r="O1026" s="80"/>
      <c r="P1026" s="80"/>
      <c r="Q1026" s="80"/>
      <c r="R1026" s="80"/>
      <c r="S1026" s="80"/>
      <c r="T1026" s="80"/>
      <c r="U1026" s="80"/>
      <c r="V1026" s="80"/>
      <c r="W1026" s="80"/>
      <c r="X1026" s="80"/>
      <c r="Y1026" s="80"/>
      <c r="Z1026" s="80"/>
    </row>
    <row r="1027">
      <c r="A1027" s="81"/>
      <c r="B1027" s="80"/>
      <c r="C1027" s="80"/>
      <c r="D1027" s="81"/>
      <c r="E1027" s="81"/>
      <c r="F1027" s="81"/>
      <c r="G1027" s="81"/>
      <c r="H1027" s="83"/>
      <c r="I1027" s="83"/>
      <c r="J1027" s="80"/>
      <c r="K1027" s="81"/>
      <c r="L1027" s="81"/>
      <c r="M1027" s="80"/>
      <c r="N1027" s="80"/>
      <c r="O1027" s="80"/>
      <c r="P1027" s="80"/>
      <c r="Q1027" s="80"/>
      <c r="R1027" s="80"/>
      <c r="S1027" s="80"/>
      <c r="T1027" s="80"/>
      <c r="U1027" s="80"/>
      <c r="V1027" s="80"/>
      <c r="W1027" s="80"/>
      <c r="X1027" s="80"/>
      <c r="Y1027" s="80"/>
      <c r="Z1027" s="80"/>
    </row>
    <row r="1028">
      <c r="A1028" s="81"/>
      <c r="B1028" s="80"/>
      <c r="C1028" s="80"/>
      <c r="D1028" s="81"/>
      <c r="E1028" s="81"/>
      <c r="F1028" s="81"/>
      <c r="G1028" s="81"/>
      <c r="H1028" s="83"/>
      <c r="I1028" s="83"/>
      <c r="J1028" s="80"/>
      <c r="K1028" s="81"/>
      <c r="L1028" s="81"/>
      <c r="M1028" s="80"/>
      <c r="N1028" s="80"/>
      <c r="O1028" s="80"/>
      <c r="P1028" s="80"/>
      <c r="Q1028" s="80"/>
      <c r="R1028" s="80"/>
      <c r="S1028" s="80"/>
      <c r="T1028" s="80"/>
      <c r="U1028" s="80"/>
      <c r="V1028" s="80"/>
      <c r="W1028" s="80"/>
      <c r="X1028" s="80"/>
      <c r="Y1028" s="80"/>
      <c r="Z1028" s="80"/>
    </row>
    <row r="1029">
      <c r="A1029" s="81"/>
      <c r="B1029" s="80"/>
      <c r="C1029" s="80"/>
      <c r="D1029" s="81"/>
      <c r="E1029" s="81"/>
      <c r="F1029" s="81"/>
      <c r="G1029" s="81"/>
      <c r="H1029" s="83"/>
      <c r="I1029" s="83"/>
      <c r="J1029" s="80"/>
      <c r="K1029" s="81"/>
      <c r="L1029" s="81"/>
      <c r="M1029" s="80"/>
      <c r="N1029" s="80"/>
      <c r="O1029" s="80"/>
      <c r="P1029" s="80"/>
      <c r="Q1029" s="80"/>
      <c r="R1029" s="80"/>
      <c r="S1029" s="80"/>
      <c r="T1029" s="80"/>
      <c r="U1029" s="80"/>
      <c r="V1029" s="80"/>
      <c r="W1029" s="80"/>
      <c r="X1029" s="80"/>
      <c r="Y1029" s="80"/>
      <c r="Z1029" s="80"/>
    </row>
    <row r="1030">
      <c r="A1030" s="81"/>
      <c r="B1030" s="80"/>
      <c r="C1030" s="80"/>
      <c r="D1030" s="81"/>
      <c r="E1030" s="81"/>
      <c r="F1030" s="81"/>
      <c r="G1030" s="81"/>
      <c r="H1030" s="83"/>
      <c r="I1030" s="83"/>
      <c r="J1030" s="80"/>
      <c r="K1030" s="81"/>
      <c r="L1030" s="81"/>
      <c r="M1030" s="80"/>
      <c r="N1030" s="80"/>
      <c r="O1030" s="80"/>
      <c r="P1030" s="80"/>
      <c r="Q1030" s="80"/>
      <c r="R1030" s="80"/>
      <c r="S1030" s="80"/>
      <c r="T1030" s="80"/>
      <c r="U1030" s="80"/>
      <c r="V1030" s="80"/>
      <c r="W1030" s="80"/>
      <c r="X1030" s="80"/>
      <c r="Y1030" s="80"/>
      <c r="Z1030" s="80"/>
    </row>
    <row r="1031">
      <c r="A1031" s="81"/>
      <c r="B1031" s="80"/>
      <c r="C1031" s="80"/>
      <c r="D1031" s="81"/>
      <c r="E1031" s="81"/>
      <c r="F1031" s="81"/>
      <c r="G1031" s="81"/>
      <c r="H1031" s="83"/>
      <c r="I1031" s="83"/>
      <c r="J1031" s="80"/>
      <c r="K1031" s="81"/>
      <c r="L1031" s="81"/>
      <c r="M1031" s="80"/>
      <c r="N1031" s="80"/>
      <c r="O1031" s="80"/>
      <c r="P1031" s="80"/>
      <c r="Q1031" s="80"/>
      <c r="R1031" s="80"/>
      <c r="S1031" s="80"/>
      <c r="T1031" s="80"/>
      <c r="U1031" s="80"/>
      <c r="V1031" s="80"/>
      <c r="W1031" s="80"/>
      <c r="X1031" s="80"/>
      <c r="Y1031" s="80"/>
      <c r="Z1031" s="80"/>
    </row>
    <row r="1032">
      <c r="A1032" s="81"/>
      <c r="B1032" s="80"/>
      <c r="C1032" s="80"/>
      <c r="D1032" s="81"/>
      <c r="E1032" s="81"/>
      <c r="F1032" s="81"/>
      <c r="G1032" s="81"/>
      <c r="H1032" s="83"/>
      <c r="I1032" s="83"/>
      <c r="J1032" s="80"/>
      <c r="K1032" s="81"/>
      <c r="L1032" s="81"/>
      <c r="M1032" s="80"/>
      <c r="N1032" s="80"/>
      <c r="O1032" s="80"/>
      <c r="P1032" s="80"/>
      <c r="Q1032" s="80"/>
      <c r="R1032" s="80"/>
      <c r="S1032" s="80"/>
      <c r="T1032" s="80"/>
      <c r="U1032" s="80"/>
      <c r="V1032" s="80"/>
      <c r="W1032" s="80"/>
      <c r="X1032" s="80"/>
      <c r="Y1032" s="80"/>
      <c r="Z1032" s="80"/>
    </row>
    <row r="1033">
      <c r="A1033" s="81"/>
      <c r="B1033" s="80"/>
      <c r="C1033" s="80"/>
      <c r="D1033" s="81"/>
      <c r="E1033" s="81"/>
      <c r="F1033" s="81"/>
      <c r="G1033" s="81"/>
      <c r="H1033" s="83"/>
      <c r="I1033" s="83"/>
      <c r="J1033" s="80"/>
      <c r="K1033" s="81"/>
      <c r="L1033" s="81"/>
      <c r="M1033" s="80"/>
      <c r="N1033" s="80"/>
      <c r="O1033" s="80"/>
      <c r="P1033" s="80"/>
      <c r="Q1033" s="80"/>
      <c r="R1033" s="80"/>
      <c r="S1033" s="80"/>
      <c r="T1033" s="80"/>
      <c r="U1033" s="80"/>
      <c r="V1033" s="80"/>
      <c r="W1033" s="80"/>
      <c r="X1033" s="80"/>
      <c r="Y1033" s="80"/>
      <c r="Z1033" s="80"/>
    </row>
    <row r="1034">
      <c r="A1034" s="81"/>
      <c r="B1034" s="80"/>
      <c r="C1034" s="80"/>
      <c r="D1034" s="81"/>
      <c r="E1034" s="81"/>
      <c r="F1034" s="81"/>
      <c r="G1034" s="81"/>
      <c r="H1034" s="83"/>
      <c r="I1034" s="83"/>
      <c r="J1034" s="80"/>
      <c r="K1034" s="81"/>
      <c r="L1034" s="81"/>
      <c r="M1034" s="80"/>
      <c r="N1034" s="80"/>
      <c r="O1034" s="80"/>
      <c r="P1034" s="80"/>
      <c r="Q1034" s="80"/>
      <c r="R1034" s="80"/>
      <c r="S1034" s="80"/>
      <c r="T1034" s="80"/>
      <c r="U1034" s="80"/>
      <c r="V1034" s="80"/>
      <c r="W1034" s="80"/>
      <c r="X1034" s="80"/>
      <c r="Y1034" s="80"/>
      <c r="Z1034" s="80"/>
    </row>
    <row r="1035">
      <c r="A1035" s="81"/>
      <c r="B1035" s="80"/>
      <c r="C1035" s="80"/>
      <c r="D1035" s="81"/>
      <c r="E1035" s="81"/>
      <c r="F1035" s="81"/>
      <c r="G1035" s="81"/>
      <c r="H1035" s="83"/>
      <c r="I1035" s="83"/>
      <c r="J1035" s="80"/>
      <c r="K1035" s="81"/>
      <c r="L1035" s="81"/>
      <c r="M1035" s="80"/>
      <c r="N1035" s="80"/>
      <c r="O1035" s="80"/>
      <c r="P1035" s="80"/>
      <c r="Q1035" s="80"/>
      <c r="R1035" s="80"/>
      <c r="S1035" s="80"/>
      <c r="T1035" s="80"/>
      <c r="U1035" s="80"/>
      <c r="V1035" s="80"/>
      <c r="W1035" s="80"/>
      <c r="X1035" s="80"/>
      <c r="Y1035" s="80"/>
      <c r="Z1035" s="80"/>
    </row>
    <row r="1036">
      <c r="A1036" s="81"/>
      <c r="B1036" s="80"/>
      <c r="C1036" s="80"/>
      <c r="D1036" s="81"/>
      <c r="E1036" s="81"/>
      <c r="F1036" s="81"/>
      <c r="G1036" s="81"/>
      <c r="H1036" s="83"/>
      <c r="I1036" s="83"/>
      <c r="J1036" s="80"/>
      <c r="K1036" s="81"/>
      <c r="L1036" s="81"/>
      <c r="M1036" s="80"/>
      <c r="N1036" s="80"/>
      <c r="O1036" s="80"/>
      <c r="P1036" s="80"/>
      <c r="Q1036" s="80"/>
      <c r="R1036" s="80"/>
      <c r="S1036" s="80"/>
      <c r="T1036" s="80"/>
      <c r="U1036" s="80"/>
      <c r="V1036" s="80"/>
      <c r="W1036" s="80"/>
      <c r="X1036" s="80"/>
      <c r="Y1036" s="80"/>
      <c r="Z1036" s="80"/>
    </row>
    <row r="1037">
      <c r="A1037" s="81"/>
      <c r="B1037" s="80"/>
      <c r="C1037" s="80"/>
      <c r="D1037" s="81"/>
      <c r="E1037" s="81"/>
      <c r="F1037" s="81"/>
      <c r="G1037" s="81"/>
      <c r="H1037" s="83"/>
      <c r="I1037" s="83"/>
      <c r="J1037" s="80"/>
      <c r="K1037" s="81"/>
      <c r="L1037" s="81"/>
      <c r="M1037" s="80"/>
      <c r="N1037" s="80"/>
      <c r="O1037" s="80"/>
      <c r="P1037" s="80"/>
      <c r="Q1037" s="80"/>
      <c r="R1037" s="80"/>
      <c r="S1037" s="80"/>
      <c r="T1037" s="80"/>
      <c r="U1037" s="80"/>
      <c r="V1037" s="80"/>
      <c r="W1037" s="80"/>
      <c r="X1037" s="80"/>
      <c r="Y1037" s="80"/>
      <c r="Z1037" s="80"/>
    </row>
    <row r="1038">
      <c r="A1038" s="81"/>
      <c r="B1038" s="80"/>
      <c r="C1038" s="80"/>
      <c r="D1038" s="81"/>
      <c r="E1038" s="81"/>
      <c r="F1038" s="81"/>
      <c r="G1038" s="81"/>
      <c r="H1038" s="83"/>
      <c r="I1038" s="83"/>
      <c r="J1038" s="80"/>
      <c r="K1038" s="81"/>
      <c r="L1038" s="81"/>
      <c r="M1038" s="80"/>
      <c r="N1038" s="80"/>
      <c r="O1038" s="80"/>
      <c r="P1038" s="80"/>
      <c r="Q1038" s="80"/>
      <c r="R1038" s="80"/>
      <c r="S1038" s="80"/>
      <c r="T1038" s="80"/>
      <c r="U1038" s="80"/>
      <c r="V1038" s="80"/>
      <c r="W1038" s="80"/>
      <c r="X1038" s="80"/>
      <c r="Y1038" s="80"/>
      <c r="Z1038" s="80"/>
    </row>
    <row r="1039">
      <c r="A1039" s="81"/>
      <c r="B1039" s="80"/>
      <c r="C1039" s="80"/>
      <c r="D1039" s="81"/>
      <c r="E1039" s="81"/>
      <c r="F1039" s="81"/>
      <c r="G1039" s="81"/>
      <c r="H1039" s="83"/>
      <c r="I1039" s="83"/>
      <c r="J1039" s="80"/>
      <c r="K1039" s="81"/>
      <c r="L1039" s="81"/>
      <c r="M1039" s="80"/>
      <c r="N1039" s="80"/>
      <c r="O1039" s="80"/>
      <c r="P1039" s="80"/>
      <c r="Q1039" s="80"/>
      <c r="R1039" s="80"/>
      <c r="S1039" s="80"/>
      <c r="T1039" s="80"/>
      <c r="U1039" s="80"/>
      <c r="V1039" s="80"/>
      <c r="W1039" s="80"/>
      <c r="X1039" s="80"/>
      <c r="Y1039" s="80"/>
      <c r="Z1039" s="80"/>
    </row>
    <row r="1040">
      <c r="A1040" s="81"/>
      <c r="B1040" s="80"/>
      <c r="C1040" s="80"/>
      <c r="D1040" s="81"/>
      <c r="E1040" s="81"/>
      <c r="F1040" s="81"/>
      <c r="G1040" s="81"/>
      <c r="H1040" s="83"/>
      <c r="I1040" s="83"/>
      <c r="J1040" s="80"/>
      <c r="K1040" s="81"/>
      <c r="L1040" s="81"/>
      <c r="M1040" s="80"/>
      <c r="N1040" s="80"/>
      <c r="O1040" s="80"/>
      <c r="P1040" s="80"/>
      <c r="Q1040" s="80"/>
      <c r="R1040" s="80"/>
      <c r="S1040" s="80"/>
      <c r="T1040" s="80"/>
      <c r="U1040" s="80"/>
      <c r="V1040" s="80"/>
      <c r="W1040" s="80"/>
      <c r="X1040" s="80"/>
      <c r="Y1040" s="80"/>
      <c r="Z1040" s="80"/>
    </row>
    <row r="1041">
      <c r="A1041" s="81"/>
      <c r="B1041" s="80"/>
      <c r="C1041" s="80"/>
      <c r="D1041" s="81"/>
      <c r="E1041" s="81"/>
      <c r="F1041" s="81"/>
      <c r="G1041" s="81"/>
      <c r="H1041" s="83"/>
      <c r="I1041" s="83"/>
      <c r="J1041" s="80"/>
      <c r="K1041" s="81"/>
      <c r="L1041" s="81"/>
      <c r="M1041" s="80"/>
      <c r="N1041" s="80"/>
      <c r="O1041" s="80"/>
      <c r="P1041" s="80"/>
      <c r="Q1041" s="80"/>
      <c r="R1041" s="80"/>
      <c r="S1041" s="80"/>
      <c r="T1041" s="80"/>
      <c r="U1041" s="80"/>
      <c r="V1041" s="80"/>
      <c r="W1041" s="80"/>
      <c r="X1041" s="80"/>
      <c r="Y1041" s="80"/>
      <c r="Z1041" s="80"/>
    </row>
    <row r="1042">
      <c r="A1042" s="81"/>
      <c r="B1042" s="80"/>
      <c r="C1042" s="80"/>
      <c r="D1042" s="81"/>
      <c r="E1042" s="81"/>
      <c r="F1042" s="81"/>
      <c r="G1042" s="81"/>
      <c r="H1042" s="83"/>
      <c r="I1042" s="83"/>
      <c r="J1042" s="80"/>
      <c r="K1042" s="81"/>
      <c r="L1042" s="81"/>
      <c r="M1042" s="80"/>
      <c r="N1042" s="80"/>
      <c r="O1042" s="80"/>
      <c r="P1042" s="80"/>
      <c r="Q1042" s="80"/>
      <c r="R1042" s="80"/>
      <c r="S1042" s="80"/>
      <c r="T1042" s="80"/>
      <c r="U1042" s="80"/>
      <c r="V1042" s="80"/>
      <c r="W1042" s="80"/>
      <c r="X1042" s="80"/>
      <c r="Y1042" s="80"/>
      <c r="Z1042" s="80"/>
    </row>
    <row r="1043">
      <c r="A1043" s="81"/>
      <c r="B1043" s="80"/>
      <c r="C1043" s="80"/>
      <c r="D1043" s="81"/>
      <c r="E1043" s="81"/>
      <c r="F1043" s="81"/>
      <c r="G1043" s="81"/>
      <c r="H1043" s="83"/>
      <c r="I1043" s="83"/>
      <c r="J1043" s="80"/>
      <c r="K1043" s="81"/>
      <c r="L1043" s="81"/>
      <c r="M1043" s="80"/>
      <c r="N1043" s="80"/>
      <c r="O1043" s="80"/>
      <c r="P1043" s="80"/>
      <c r="Q1043" s="80"/>
      <c r="R1043" s="80"/>
      <c r="S1043" s="80"/>
      <c r="T1043" s="80"/>
      <c r="U1043" s="80"/>
      <c r="V1043" s="80"/>
      <c r="W1043" s="80"/>
      <c r="X1043" s="80"/>
      <c r="Y1043" s="80"/>
      <c r="Z1043" s="80"/>
    </row>
    <row r="1044">
      <c r="A1044" s="81"/>
      <c r="B1044" s="80"/>
      <c r="C1044" s="80"/>
      <c r="D1044" s="81"/>
      <c r="E1044" s="81"/>
      <c r="F1044" s="81"/>
      <c r="G1044" s="81"/>
      <c r="H1044" s="83"/>
      <c r="I1044" s="83"/>
      <c r="J1044" s="80"/>
      <c r="K1044" s="81"/>
      <c r="L1044" s="81"/>
      <c r="M1044" s="80"/>
      <c r="N1044" s="80"/>
      <c r="O1044" s="80"/>
      <c r="P1044" s="80"/>
      <c r="Q1044" s="80"/>
      <c r="R1044" s="80"/>
      <c r="S1044" s="80"/>
      <c r="T1044" s="80"/>
      <c r="U1044" s="80"/>
      <c r="V1044" s="80"/>
      <c r="W1044" s="80"/>
      <c r="X1044" s="80"/>
      <c r="Y1044" s="80"/>
      <c r="Z1044" s="80"/>
    </row>
    <row r="1045">
      <c r="A1045" s="81"/>
      <c r="B1045" s="80"/>
      <c r="C1045" s="80"/>
      <c r="D1045" s="81"/>
      <c r="E1045" s="81"/>
      <c r="F1045" s="81"/>
      <c r="G1045" s="81"/>
      <c r="H1045" s="83"/>
      <c r="I1045" s="83"/>
      <c r="J1045" s="80"/>
      <c r="K1045" s="81"/>
      <c r="L1045" s="81"/>
      <c r="M1045" s="80"/>
      <c r="N1045" s="80"/>
      <c r="O1045" s="80"/>
      <c r="P1045" s="80"/>
      <c r="Q1045" s="80"/>
      <c r="R1045" s="80"/>
      <c r="S1045" s="80"/>
      <c r="T1045" s="80"/>
      <c r="U1045" s="80"/>
      <c r="V1045" s="80"/>
      <c r="W1045" s="80"/>
      <c r="X1045" s="80"/>
      <c r="Y1045" s="80"/>
      <c r="Z1045" s="80"/>
    </row>
    <row r="1046">
      <c r="A1046" s="81"/>
      <c r="B1046" s="80"/>
      <c r="C1046" s="80"/>
      <c r="D1046" s="81"/>
      <c r="E1046" s="81"/>
      <c r="F1046" s="81"/>
      <c r="G1046" s="81"/>
      <c r="H1046" s="83"/>
      <c r="I1046" s="83"/>
      <c r="J1046" s="80"/>
      <c r="K1046" s="81"/>
      <c r="L1046" s="81"/>
      <c r="M1046" s="80"/>
      <c r="N1046" s="80"/>
      <c r="O1046" s="80"/>
      <c r="P1046" s="80"/>
      <c r="Q1046" s="80"/>
      <c r="R1046" s="80"/>
      <c r="S1046" s="80"/>
      <c r="T1046" s="80"/>
      <c r="U1046" s="80"/>
      <c r="V1046" s="80"/>
      <c r="W1046" s="80"/>
      <c r="X1046" s="80"/>
      <c r="Y1046" s="80"/>
      <c r="Z1046" s="80"/>
    </row>
    <row r="1047">
      <c r="A1047" s="81"/>
      <c r="B1047" s="80"/>
      <c r="C1047" s="80"/>
      <c r="D1047" s="81"/>
      <c r="E1047" s="81"/>
      <c r="F1047" s="81"/>
      <c r="G1047" s="81"/>
      <c r="H1047" s="83"/>
      <c r="I1047" s="83"/>
      <c r="J1047" s="80"/>
      <c r="K1047" s="81"/>
      <c r="L1047" s="81"/>
      <c r="M1047" s="80"/>
      <c r="N1047" s="80"/>
      <c r="O1047" s="80"/>
      <c r="P1047" s="80"/>
      <c r="Q1047" s="80"/>
      <c r="R1047" s="80"/>
      <c r="S1047" s="80"/>
      <c r="T1047" s="80"/>
      <c r="U1047" s="80"/>
      <c r="V1047" s="80"/>
      <c r="W1047" s="80"/>
      <c r="X1047" s="80"/>
      <c r="Y1047" s="80"/>
      <c r="Z1047" s="80"/>
    </row>
    <row r="1048">
      <c r="A1048" s="81"/>
      <c r="B1048" s="80"/>
      <c r="C1048" s="80"/>
      <c r="D1048" s="81"/>
      <c r="E1048" s="81"/>
      <c r="F1048" s="81"/>
      <c r="G1048" s="81"/>
      <c r="H1048" s="83"/>
      <c r="I1048" s="83"/>
      <c r="J1048" s="80"/>
      <c r="K1048" s="81"/>
      <c r="L1048" s="81"/>
      <c r="M1048" s="80"/>
      <c r="N1048" s="80"/>
      <c r="O1048" s="80"/>
      <c r="P1048" s="80"/>
      <c r="Q1048" s="80"/>
      <c r="R1048" s="80"/>
      <c r="S1048" s="80"/>
      <c r="T1048" s="80"/>
      <c r="U1048" s="80"/>
      <c r="V1048" s="80"/>
      <c r="W1048" s="80"/>
      <c r="X1048" s="80"/>
      <c r="Y1048" s="80"/>
      <c r="Z1048" s="80"/>
    </row>
    <row r="1049">
      <c r="A1049" s="81"/>
      <c r="B1049" s="80"/>
      <c r="C1049" s="80"/>
      <c r="D1049" s="81"/>
      <c r="E1049" s="81"/>
      <c r="F1049" s="81"/>
      <c r="G1049" s="81"/>
      <c r="H1049" s="83"/>
      <c r="I1049" s="83"/>
      <c r="J1049" s="80"/>
      <c r="K1049" s="81"/>
      <c r="L1049" s="81"/>
      <c r="M1049" s="80"/>
      <c r="N1049" s="80"/>
      <c r="O1049" s="80"/>
      <c r="P1049" s="80"/>
      <c r="Q1049" s="80"/>
      <c r="R1049" s="80"/>
      <c r="S1049" s="80"/>
      <c r="T1049" s="80"/>
      <c r="U1049" s="80"/>
      <c r="V1049" s="80"/>
      <c r="W1049" s="80"/>
      <c r="X1049" s="80"/>
      <c r="Y1049" s="80"/>
      <c r="Z1049" s="80"/>
    </row>
    <row r="1050">
      <c r="A1050" s="81"/>
      <c r="B1050" s="80"/>
      <c r="C1050" s="80"/>
      <c r="D1050" s="81"/>
      <c r="E1050" s="81"/>
      <c r="F1050" s="81"/>
      <c r="G1050" s="81"/>
      <c r="H1050" s="83"/>
      <c r="I1050" s="83"/>
      <c r="J1050" s="80"/>
      <c r="K1050" s="81"/>
      <c r="L1050" s="81"/>
      <c r="M1050" s="80"/>
      <c r="N1050" s="80"/>
      <c r="O1050" s="80"/>
      <c r="P1050" s="80"/>
      <c r="Q1050" s="80"/>
      <c r="R1050" s="80"/>
      <c r="S1050" s="80"/>
      <c r="T1050" s="80"/>
      <c r="U1050" s="80"/>
      <c r="V1050" s="80"/>
      <c r="W1050" s="80"/>
      <c r="X1050" s="80"/>
      <c r="Y1050" s="80"/>
      <c r="Z1050" s="80"/>
    </row>
    <row r="1051">
      <c r="A1051" s="81"/>
      <c r="B1051" s="80"/>
      <c r="C1051" s="80"/>
      <c r="D1051" s="81"/>
      <c r="E1051" s="81"/>
      <c r="F1051" s="81"/>
      <c r="G1051" s="81"/>
      <c r="H1051" s="83"/>
      <c r="I1051" s="83"/>
      <c r="J1051" s="80"/>
      <c r="K1051" s="81"/>
      <c r="L1051" s="81"/>
      <c r="M1051" s="80"/>
      <c r="N1051" s="80"/>
      <c r="O1051" s="80"/>
      <c r="P1051" s="80"/>
      <c r="Q1051" s="80"/>
      <c r="R1051" s="80"/>
      <c r="S1051" s="80"/>
      <c r="T1051" s="80"/>
      <c r="U1051" s="80"/>
      <c r="V1051" s="80"/>
      <c r="W1051" s="80"/>
      <c r="X1051" s="80"/>
      <c r="Y1051" s="80"/>
      <c r="Z1051" s="80"/>
    </row>
    <row r="1052">
      <c r="A1052" s="81"/>
      <c r="B1052" s="80"/>
      <c r="C1052" s="80"/>
      <c r="D1052" s="81"/>
      <c r="E1052" s="81"/>
      <c r="F1052" s="81"/>
      <c r="G1052" s="81"/>
      <c r="H1052" s="83"/>
      <c r="I1052" s="83"/>
      <c r="J1052" s="80"/>
      <c r="K1052" s="81"/>
      <c r="L1052" s="81"/>
      <c r="M1052" s="80"/>
      <c r="N1052" s="80"/>
      <c r="O1052" s="80"/>
      <c r="P1052" s="80"/>
      <c r="Q1052" s="80"/>
      <c r="R1052" s="80"/>
      <c r="S1052" s="80"/>
      <c r="T1052" s="80"/>
      <c r="U1052" s="80"/>
      <c r="V1052" s="80"/>
      <c r="W1052" s="80"/>
      <c r="X1052" s="80"/>
      <c r="Y1052" s="80"/>
      <c r="Z1052" s="80"/>
    </row>
    <row r="1053">
      <c r="A1053" s="81"/>
      <c r="B1053" s="80"/>
      <c r="C1053" s="80"/>
      <c r="D1053" s="81"/>
      <c r="E1053" s="81"/>
      <c r="F1053" s="81"/>
      <c r="G1053" s="81"/>
      <c r="H1053" s="83"/>
      <c r="I1053" s="83"/>
      <c r="J1053" s="80"/>
      <c r="K1053" s="81"/>
      <c r="L1053" s="81"/>
      <c r="M1053" s="80"/>
      <c r="N1053" s="80"/>
      <c r="O1053" s="80"/>
      <c r="P1053" s="80"/>
      <c r="Q1053" s="80"/>
      <c r="R1053" s="80"/>
      <c r="S1053" s="80"/>
      <c r="T1053" s="80"/>
      <c r="U1053" s="80"/>
      <c r="V1053" s="80"/>
      <c r="W1053" s="80"/>
      <c r="X1053" s="80"/>
      <c r="Y1053" s="80"/>
      <c r="Z1053" s="80"/>
    </row>
    <row r="1054">
      <c r="A1054" s="81"/>
      <c r="B1054" s="80"/>
      <c r="C1054" s="80"/>
      <c r="D1054" s="81"/>
      <c r="E1054" s="81"/>
      <c r="F1054" s="81"/>
      <c r="G1054" s="81"/>
      <c r="H1054" s="83"/>
      <c r="I1054" s="83"/>
      <c r="J1054" s="80"/>
      <c r="K1054" s="81"/>
      <c r="L1054" s="81"/>
      <c r="M1054" s="80"/>
      <c r="N1054" s="80"/>
      <c r="O1054" s="80"/>
      <c r="P1054" s="80"/>
      <c r="Q1054" s="80"/>
      <c r="R1054" s="80"/>
      <c r="S1054" s="80"/>
      <c r="T1054" s="80"/>
      <c r="U1054" s="80"/>
      <c r="V1054" s="80"/>
      <c r="W1054" s="80"/>
      <c r="X1054" s="80"/>
      <c r="Y1054" s="80"/>
      <c r="Z1054" s="80"/>
    </row>
    <row r="1055">
      <c r="A1055" s="81"/>
      <c r="B1055" s="80"/>
      <c r="C1055" s="80"/>
      <c r="D1055" s="81"/>
      <c r="E1055" s="81"/>
      <c r="F1055" s="81"/>
      <c r="G1055" s="81"/>
      <c r="H1055" s="83"/>
      <c r="I1055" s="83"/>
      <c r="J1055" s="80"/>
      <c r="K1055" s="81"/>
      <c r="L1055" s="81"/>
      <c r="M1055" s="80"/>
      <c r="N1055" s="80"/>
      <c r="O1055" s="80"/>
      <c r="P1055" s="80"/>
      <c r="Q1055" s="80"/>
      <c r="R1055" s="80"/>
      <c r="S1055" s="80"/>
      <c r="T1055" s="80"/>
      <c r="U1055" s="80"/>
      <c r="V1055" s="80"/>
      <c r="W1055" s="80"/>
      <c r="X1055" s="80"/>
      <c r="Y1055" s="80"/>
      <c r="Z1055" s="80"/>
    </row>
    <row r="1056">
      <c r="A1056" s="81"/>
      <c r="B1056" s="80"/>
      <c r="C1056" s="80"/>
      <c r="D1056" s="81"/>
      <c r="E1056" s="81"/>
      <c r="F1056" s="81"/>
      <c r="G1056" s="81"/>
      <c r="H1056" s="83"/>
      <c r="I1056" s="83"/>
      <c r="J1056" s="80"/>
      <c r="K1056" s="81"/>
      <c r="L1056" s="81"/>
      <c r="M1056" s="80"/>
      <c r="N1056" s="80"/>
      <c r="O1056" s="80"/>
      <c r="P1056" s="80"/>
      <c r="Q1056" s="80"/>
      <c r="R1056" s="80"/>
      <c r="S1056" s="80"/>
      <c r="T1056" s="80"/>
      <c r="U1056" s="80"/>
      <c r="V1056" s="80"/>
      <c r="W1056" s="80"/>
      <c r="X1056" s="80"/>
      <c r="Y1056" s="80"/>
      <c r="Z1056" s="80"/>
    </row>
    <row r="1057">
      <c r="A1057" s="81"/>
      <c r="B1057" s="80"/>
      <c r="C1057" s="80"/>
      <c r="D1057" s="81"/>
      <c r="E1057" s="81"/>
      <c r="F1057" s="81"/>
      <c r="G1057" s="81"/>
      <c r="H1057" s="83"/>
      <c r="I1057" s="83"/>
      <c r="J1057" s="80"/>
      <c r="K1057" s="81"/>
      <c r="L1057" s="81"/>
      <c r="M1057" s="80"/>
      <c r="N1057" s="80"/>
      <c r="O1057" s="80"/>
      <c r="P1057" s="80"/>
      <c r="Q1057" s="80"/>
      <c r="R1057" s="80"/>
      <c r="S1057" s="80"/>
      <c r="T1057" s="80"/>
      <c r="U1057" s="80"/>
      <c r="V1057" s="80"/>
      <c r="W1057" s="80"/>
      <c r="X1057" s="80"/>
      <c r="Y1057" s="80"/>
      <c r="Z1057" s="80"/>
    </row>
    <row r="1058">
      <c r="A1058" s="81"/>
      <c r="B1058" s="80"/>
      <c r="C1058" s="80"/>
      <c r="D1058" s="81"/>
      <c r="E1058" s="81"/>
      <c r="F1058" s="81"/>
      <c r="G1058" s="81"/>
      <c r="H1058" s="83"/>
      <c r="I1058" s="83"/>
      <c r="J1058" s="80"/>
      <c r="K1058" s="81"/>
      <c r="L1058" s="81"/>
      <c r="M1058" s="80"/>
      <c r="N1058" s="80"/>
      <c r="O1058" s="80"/>
      <c r="P1058" s="80"/>
      <c r="Q1058" s="80"/>
      <c r="R1058" s="80"/>
      <c r="S1058" s="80"/>
      <c r="T1058" s="80"/>
      <c r="U1058" s="80"/>
      <c r="V1058" s="80"/>
      <c r="W1058" s="80"/>
      <c r="X1058" s="80"/>
      <c r="Y1058" s="80"/>
      <c r="Z1058" s="80"/>
    </row>
    <row r="1059">
      <c r="A1059" s="81"/>
      <c r="B1059" s="80"/>
      <c r="C1059" s="80"/>
      <c r="D1059" s="81"/>
      <c r="E1059" s="81"/>
      <c r="F1059" s="81"/>
      <c r="G1059" s="81"/>
      <c r="H1059" s="83"/>
      <c r="I1059" s="83"/>
      <c r="J1059" s="80"/>
      <c r="K1059" s="81"/>
      <c r="L1059" s="81"/>
      <c r="M1059" s="80"/>
      <c r="N1059" s="80"/>
      <c r="O1059" s="80"/>
      <c r="P1059" s="80"/>
      <c r="Q1059" s="80"/>
      <c r="R1059" s="80"/>
      <c r="S1059" s="80"/>
      <c r="T1059" s="80"/>
      <c r="U1059" s="80"/>
      <c r="V1059" s="80"/>
      <c r="W1059" s="80"/>
      <c r="X1059" s="80"/>
      <c r="Y1059" s="80"/>
      <c r="Z1059" s="80"/>
    </row>
    <row r="1060">
      <c r="A1060" s="81"/>
      <c r="B1060" s="80"/>
      <c r="C1060" s="80"/>
      <c r="D1060" s="81"/>
      <c r="E1060" s="81"/>
      <c r="F1060" s="81"/>
      <c r="G1060" s="81"/>
      <c r="H1060" s="83"/>
      <c r="I1060" s="83"/>
      <c r="J1060" s="80"/>
      <c r="K1060" s="81"/>
      <c r="L1060" s="81"/>
      <c r="M1060" s="80"/>
      <c r="N1060" s="80"/>
      <c r="O1060" s="80"/>
      <c r="P1060" s="80"/>
      <c r="Q1060" s="80"/>
      <c r="R1060" s="80"/>
      <c r="S1060" s="80"/>
      <c r="T1060" s="80"/>
      <c r="U1060" s="80"/>
      <c r="V1060" s="80"/>
      <c r="W1060" s="80"/>
      <c r="X1060" s="80"/>
      <c r="Y1060" s="80"/>
      <c r="Z1060" s="80"/>
    </row>
    <row r="1061">
      <c r="A1061" s="81"/>
      <c r="B1061" s="80"/>
      <c r="C1061" s="80"/>
      <c r="D1061" s="81"/>
      <c r="E1061" s="81"/>
      <c r="F1061" s="81"/>
      <c r="G1061" s="81"/>
      <c r="H1061" s="83"/>
      <c r="I1061" s="83"/>
      <c r="J1061" s="80"/>
      <c r="K1061" s="81"/>
      <c r="L1061" s="81"/>
      <c r="M1061" s="80"/>
      <c r="N1061" s="80"/>
      <c r="O1061" s="80"/>
      <c r="P1061" s="80"/>
      <c r="Q1061" s="80"/>
      <c r="R1061" s="80"/>
      <c r="S1061" s="80"/>
      <c r="T1061" s="80"/>
      <c r="U1061" s="80"/>
      <c r="V1061" s="80"/>
      <c r="W1061" s="80"/>
      <c r="X1061" s="80"/>
      <c r="Y1061" s="80"/>
      <c r="Z1061" s="80"/>
    </row>
    <row r="1062">
      <c r="A1062" s="81"/>
      <c r="B1062" s="80"/>
      <c r="C1062" s="80"/>
      <c r="D1062" s="81"/>
      <c r="E1062" s="81"/>
      <c r="F1062" s="81"/>
      <c r="G1062" s="81"/>
      <c r="H1062" s="83"/>
      <c r="I1062" s="83"/>
      <c r="J1062" s="80"/>
      <c r="K1062" s="81"/>
      <c r="L1062" s="81"/>
      <c r="M1062" s="80"/>
      <c r="N1062" s="80"/>
      <c r="O1062" s="80"/>
      <c r="P1062" s="80"/>
      <c r="Q1062" s="80"/>
      <c r="R1062" s="80"/>
      <c r="S1062" s="80"/>
      <c r="T1062" s="80"/>
      <c r="U1062" s="80"/>
      <c r="V1062" s="80"/>
      <c r="W1062" s="80"/>
      <c r="X1062" s="80"/>
      <c r="Y1062" s="80"/>
      <c r="Z1062" s="80"/>
    </row>
    <row r="1063">
      <c r="A1063" s="81"/>
      <c r="B1063" s="80"/>
      <c r="C1063" s="80"/>
      <c r="D1063" s="81"/>
      <c r="E1063" s="81"/>
      <c r="F1063" s="81"/>
      <c r="G1063" s="81"/>
      <c r="H1063" s="83"/>
      <c r="I1063" s="83"/>
      <c r="J1063" s="80"/>
      <c r="K1063" s="81"/>
      <c r="L1063" s="81"/>
      <c r="M1063" s="80"/>
      <c r="N1063" s="80"/>
      <c r="O1063" s="80"/>
      <c r="P1063" s="80"/>
      <c r="Q1063" s="80"/>
      <c r="R1063" s="80"/>
      <c r="S1063" s="80"/>
      <c r="T1063" s="80"/>
      <c r="U1063" s="80"/>
      <c r="V1063" s="80"/>
      <c r="W1063" s="80"/>
      <c r="X1063" s="80"/>
      <c r="Y1063" s="80"/>
      <c r="Z1063" s="80"/>
    </row>
    <row r="1064">
      <c r="A1064" s="81"/>
      <c r="B1064" s="80"/>
      <c r="C1064" s="80"/>
      <c r="D1064" s="81"/>
      <c r="E1064" s="81"/>
      <c r="F1064" s="81"/>
      <c r="G1064" s="81"/>
      <c r="H1064" s="83"/>
      <c r="I1064" s="83"/>
      <c r="J1064" s="80"/>
      <c r="K1064" s="81"/>
      <c r="L1064" s="81"/>
      <c r="M1064" s="80"/>
      <c r="N1064" s="80"/>
      <c r="O1064" s="80"/>
      <c r="P1064" s="80"/>
      <c r="Q1064" s="80"/>
      <c r="R1064" s="80"/>
      <c r="S1064" s="80"/>
      <c r="T1064" s="80"/>
      <c r="U1064" s="80"/>
      <c r="V1064" s="80"/>
      <c r="W1064" s="80"/>
      <c r="X1064" s="80"/>
      <c r="Y1064" s="80"/>
      <c r="Z1064" s="80"/>
    </row>
    <row r="1065">
      <c r="A1065" s="81"/>
      <c r="B1065" s="80"/>
      <c r="C1065" s="80"/>
      <c r="D1065" s="81"/>
      <c r="E1065" s="81"/>
      <c r="F1065" s="81"/>
      <c r="G1065" s="81"/>
      <c r="H1065" s="83"/>
      <c r="I1065" s="83"/>
      <c r="J1065" s="80"/>
      <c r="K1065" s="81"/>
      <c r="L1065" s="81"/>
      <c r="M1065" s="80"/>
      <c r="N1065" s="80"/>
      <c r="O1065" s="80"/>
      <c r="P1065" s="80"/>
      <c r="Q1065" s="80"/>
      <c r="R1065" s="80"/>
      <c r="S1065" s="80"/>
      <c r="T1065" s="80"/>
      <c r="U1065" s="80"/>
      <c r="V1065" s="80"/>
      <c r="W1065" s="80"/>
      <c r="X1065" s="80"/>
      <c r="Y1065" s="80"/>
      <c r="Z1065" s="80"/>
    </row>
    <row r="1066">
      <c r="A1066" s="81"/>
      <c r="B1066" s="80"/>
      <c r="C1066" s="80"/>
      <c r="D1066" s="81"/>
      <c r="E1066" s="81"/>
      <c r="F1066" s="81"/>
      <c r="G1066" s="81"/>
      <c r="H1066" s="83"/>
      <c r="I1066" s="83"/>
      <c r="J1066" s="80"/>
      <c r="K1066" s="81"/>
      <c r="L1066" s="81"/>
      <c r="M1066" s="80"/>
      <c r="N1066" s="80"/>
      <c r="O1066" s="80"/>
      <c r="P1066" s="80"/>
      <c r="Q1066" s="80"/>
      <c r="R1066" s="80"/>
      <c r="S1066" s="80"/>
      <c r="T1066" s="80"/>
      <c r="U1066" s="80"/>
      <c r="V1066" s="80"/>
      <c r="W1066" s="80"/>
      <c r="X1066" s="80"/>
      <c r="Y1066" s="80"/>
      <c r="Z1066" s="80"/>
    </row>
    <row r="1067">
      <c r="A1067" s="81"/>
      <c r="B1067" s="80"/>
      <c r="C1067" s="80"/>
      <c r="D1067" s="81"/>
      <c r="E1067" s="81"/>
      <c r="F1067" s="81"/>
      <c r="G1067" s="81"/>
      <c r="H1067" s="83"/>
      <c r="I1067" s="83"/>
      <c r="J1067" s="80"/>
      <c r="K1067" s="81"/>
      <c r="L1067" s="81"/>
      <c r="M1067" s="80"/>
      <c r="N1067" s="80"/>
      <c r="O1067" s="80"/>
      <c r="P1067" s="80"/>
      <c r="Q1067" s="80"/>
      <c r="R1067" s="80"/>
      <c r="S1067" s="80"/>
      <c r="T1067" s="80"/>
      <c r="U1067" s="80"/>
      <c r="V1067" s="80"/>
      <c r="W1067" s="80"/>
      <c r="X1067" s="80"/>
      <c r="Y1067" s="80"/>
      <c r="Z1067" s="80"/>
    </row>
    <row r="1068">
      <c r="A1068" s="81"/>
      <c r="B1068" s="80"/>
      <c r="C1068" s="80"/>
      <c r="D1068" s="81"/>
      <c r="E1068" s="81"/>
      <c r="F1068" s="81"/>
      <c r="G1068" s="81"/>
      <c r="H1068" s="83"/>
      <c r="I1068" s="83"/>
      <c r="J1068" s="80"/>
      <c r="K1068" s="81"/>
      <c r="L1068" s="81"/>
      <c r="M1068" s="80"/>
      <c r="N1068" s="80"/>
      <c r="O1068" s="80"/>
      <c r="P1068" s="80"/>
      <c r="Q1068" s="80"/>
      <c r="R1068" s="80"/>
      <c r="S1068" s="80"/>
      <c r="T1068" s="80"/>
      <c r="U1068" s="80"/>
      <c r="V1068" s="80"/>
      <c r="W1068" s="80"/>
      <c r="X1068" s="80"/>
      <c r="Y1068" s="80"/>
      <c r="Z1068" s="80"/>
    </row>
    <row r="1069">
      <c r="A1069" s="81"/>
      <c r="B1069" s="80"/>
      <c r="C1069" s="80"/>
      <c r="D1069" s="81"/>
      <c r="E1069" s="81"/>
      <c r="F1069" s="81"/>
      <c r="G1069" s="81"/>
      <c r="H1069" s="83"/>
      <c r="I1069" s="83"/>
      <c r="J1069" s="80"/>
      <c r="K1069" s="81"/>
      <c r="L1069" s="81"/>
      <c r="M1069" s="80"/>
      <c r="N1069" s="80"/>
      <c r="O1069" s="80"/>
      <c r="P1069" s="80"/>
      <c r="Q1069" s="80"/>
      <c r="R1069" s="80"/>
      <c r="S1069" s="80"/>
      <c r="T1069" s="80"/>
      <c r="U1069" s="80"/>
      <c r="V1069" s="80"/>
      <c r="W1069" s="80"/>
      <c r="X1069" s="80"/>
      <c r="Y1069" s="80"/>
      <c r="Z1069" s="80"/>
    </row>
    <row r="1070">
      <c r="A1070" s="81"/>
      <c r="B1070" s="80"/>
      <c r="C1070" s="80"/>
      <c r="D1070" s="81"/>
      <c r="E1070" s="81"/>
      <c r="F1070" s="81"/>
      <c r="G1070" s="81"/>
      <c r="H1070" s="83"/>
      <c r="I1070" s="83"/>
      <c r="J1070" s="80"/>
      <c r="K1070" s="81"/>
      <c r="L1070" s="81"/>
      <c r="M1070" s="80"/>
      <c r="N1070" s="80"/>
      <c r="O1070" s="80"/>
      <c r="P1070" s="80"/>
      <c r="Q1070" s="80"/>
      <c r="R1070" s="80"/>
      <c r="S1070" s="80"/>
      <c r="T1070" s="80"/>
      <c r="U1070" s="80"/>
      <c r="V1070" s="80"/>
      <c r="W1070" s="80"/>
      <c r="X1070" s="80"/>
      <c r="Y1070" s="80"/>
      <c r="Z1070" s="80"/>
    </row>
    <row r="1071">
      <c r="A1071" s="81"/>
      <c r="B1071" s="80"/>
      <c r="C1071" s="80"/>
      <c r="D1071" s="81"/>
      <c r="E1071" s="81"/>
      <c r="F1071" s="81"/>
      <c r="G1071" s="81"/>
      <c r="H1071" s="83"/>
      <c r="I1071" s="83"/>
      <c r="J1071" s="80"/>
      <c r="K1071" s="81"/>
      <c r="L1071" s="81"/>
      <c r="M1071" s="80"/>
      <c r="N1071" s="80"/>
      <c r="O1071" s="80"/>
      <c r="P1071" s="80"/>
      <c r="Q1071" s="80"/>
      <c r="R1071" s="80"/>
      <c r="S1071" s="80"/>
      <c r="T1071" s="80"/>
      <c r="U1071" s="80"/>
      <c r="V1071" s="80"/>
      <c r="W1071" s="80"/>
      <c r="X1071" s="80"/>
      <c r="Y1071" s="80"/>
      <c r="Z1071" s="80"/>
    </row>
    <row r="1072">
      <c r="A1072" s="81"/>
      <c r="B1072" s="80"/>
      <c r="C1072" s="80"/>
      <c r="D1072" s="81"/>
      <c r="E1072" s="81"/>
      <c r="F1072" s="81"/>
      <c r="G1072" s="81"/>
      <c r="H1072" s="83"/>
      <c r="I1072" s="83"/>
      <c r="J1072" s="80"/>
      <c r="K1072" s="81"/>
      <c r="L1072" s="81"/>
      <c r="M1072" s="80"/>
      <c r="N1072" s="80"/>
      <c r="O1072" s="80"/>
      <c r="P1072" s="80"/>
      <c r="Q1072" s="80"/>
      <c r="R1072" s="80"/>
      <c r="S1072" s="80"/>
      <c r="T1072" s="80"/>
      <c r="U1072" s="80"/>
      <c r="V1072" s="80"/>
      <c r="W1072" s="80"/>
      <c r="X1072" s="80"/>
      <c r="Y1072" s="80"/>
      <c r="Z1072" s="80"/>
    </row>
    <row r="1073">
      <c r="A1073" s="81"/>
      <c r="B1073" s="80"/>
      <c r="C1073" s="80"/>
      <c r="D1073" s="81"/>
      <c r="E1073" s="81"/>
      <c r="F1073" s="81"/>
      <c r="G1073" s="81"/>
      <c r="H1073" s="83"/>
      <c r="I1073" s="83"/>
      <c r="J1073" s="80"/>
      <c r="K1073" s="81"/>
      <c r="L1073" s="81"/>
      <c r="M1073" s="80"/>
      <c r="N1073" s="80"/>
      <c r="O1073" s="80"/>
      <c r="P1073" s="80"/>
      <c r="Q1073" s="80"/>
      <c r="R1073" s="80"/>
      <c r="S1073" s="80"/>
      <c r="T1073" s="80"/>
      <c r="U1073" s="80"/>
      <c r="V1073" s="80"/>
      <c r="W1073" s="80"/>
      <c r="X1073" s="80"/>
      <c r="Y1073" s="80"/>
      <c r="Z1073" s="80"/>
    </row>
    <row r="1074">
      <c r="A1074" s="81"/>
      <c r="B1074" s="80"/>
      <c r="C1074" s="80"/>
      <c r="D1074" s="81"/>
      <c r="E1074" s="81"/>
      <c r="F1074" s="81"/>
      <c r="G1074" s="81"/>
      <c r="H1074" s="83"/>
      <c r="I1074" s="83"/>
      <c r="J1074" s="80"/>
      <c r="K1074" s="81"/>
      <c r="L1074" s="81"/>
      <c r="M1074" s="80"/>
      <c r="N1074" s="80"/>
      <c r="O1074" s="80"/>
      <c r="P1074" s="80"/>
      <c r="Q1074" s="80"/>
      <c r="R1074" s="80"/>
      <c r="S1074" s="80"/>
      <c r="T1074" s="80"/>
      <c r="U1074" s="80"/>
      <c r="V1074" s="80"/>
      <c r="W1074" s="80"/>
      <c r="X1074" s="80"/>
      <c r="Y1074" s="80"/>
      <c r="Z1074" s="80"/>
    </row>
    <row r="1075">
      <c r="A1075" s="81"/>
      <c r="B1075" s="80"/>
      <c r="C1075" s="80"/>
      <c r="D1075" s="81"/>
      <c r="E1075" s="81"/>
      <c r="F1075" s="81"/>
      <c r="G1075" s="81"/>
      <c r="H1075" s="83"/>
      <c r="I1075" s="83"/>
      <c r="J1075" s="80"/>
      <c r="K1075" s="81"/>
      <c r="L1075" s="81"/>
      <c r="M1075" s="80"/>
      <c r="N1075" s="80"/>
      <c r="O1075" s="80"/>
      <c r="P1075" s="80"/>
      <c r="Q1075" s="80"/>
      <c r="R1075" s="80"/>
      <c r="S1075" s="80"/>
      <c r="T1075" s="80"/>
      <c r="U1075" s="80"/>
      <c r="V1075" s="80"/>
      <c r="W1075" s="80"/>
      <c r="X1075" s="80"/>
      <c r="Y1075" s="80"/>
      <c r="Z1075" s="80"/>
    </row>
    <row r="1076">
      <c r="A1076" s="81"/>
      <c r="B1076" s="80"/>
      <c r="C1076" s="80"/>
      <c r="D1076" s="81"/>
      <c r="E1076" s="81"/>
      <c r="F1076" s="81"/>
      <c r="G1076" s="81"/>
      <c r="H1076" s="83"/>
      <c r="I1076" s="83"/>
      <c r="J1076" s="80"/>
      <c r="K1076" s="81"/>
      <c r="L1076" s="81"/>
      <c r="M1076" s="80"/>
      <c r="N1076" s="80"/>
      <c r="O1076" s="80"/>
      <c r="P1076" s="80"/>
      <c r="Q1076" s="80"/>
      <c r="R1076" s="80"/>
      <c r="S1076" s="80"/>
      <c r="T1076" s="80"/>
      <c r="U1076" s="80"/>
      <c r="V1076" s="80"/>
      <c r="W1076" s="80"/>
      <c r="X1076" s="80"/>
      <c r="Y1076" s="80"/>
      <c r="Z1076" s="80"/>
    </row>
    <row r="1077">
      <c r="A1077" s="81"/>
      <c r="B1077" s="80"/>
      <c r="C1077" s="80"/>
      <c r="D1077" s="81"/>
      <c r="E1077" s="81"/>
      <c r="F1077" s="81"/>
      <c r="G1077" s="81"/>
      <c r="H1077" s="83"/>
      <c r="I1077" s="83"/>
      <c r="J1077" s="80"/>
      <c r="K1077" s="81"/>
      <c r="L1077" s="81"/>
      <c r="M1077" s="80"/>
      <c r="N1077" s="80"/>
      <c r="O1077" s="80"/>
      <c r="P1077" s="80"/>
      <c r="Q1077" s="80"/>
      <c r="R1077" s="80"/>
      <c r="S1077" s="80"/>
      <c r="T1077" s="80"/>
      <c r="U1077" s="80"/>
      <c r="V1077" s="80"/>
      <c r="W1077" s="80"/>
      <c r="X1077" s="80"/>
      <c r="Y1077" s="80"/>
      <c r="Z1077" s="80"/>
    </row>
    <row r="1078">
      <c r="A1078" s="81"/>
      <c r="B1078" s="80"/>
      <c r="C1078" s="80"/>
      <c r="D1078" s="81"/>
      <c r="E1078" s="81"/>
      <c r="F1078" s="81"/>
      <c r="G1078" s="81"/>
      <c r="H1078" s="83"/>
      <c r="I1078" s="83"/>
      <c r="J1078" s="80"/>
      <c r="K1078" s="81"/>
      <c r="L1078" s="81"/>
      <c r="M1078" s="80"/>
      <c r="N1078" s="80"/>
      <c r="O1078" s="80"/>
      <c r="P1078" s="80"/>
      <c r="Q1078" s="80"/>
      <c r="R1078" s="80"/>
      <c r="S1078" s="80"/>
      <c r="T1078" s="80"/>
      <c r="U1078" s="80"/>
      <c r="V1078" s="80"/>
      <c r="W1078" s="80"/>
      <c r="X1078" s="80"/>
      <c r="Y1078" s="80"/>
      <c r="Z1078" s="80"/>
    </row>
    <row r="1079">
      <c r="A1079" s="81"/>
      <c r="B1079" s="80"/>
      <c r="C1079" s="80"/>
      <c r="D1079" s="81"/>
      <c r="E1079" s="81"/>
      <c r="F1079" s="81"/>
      <c r="G1079" s="81"/>
      <c r="H1079" s="83"/>
      <c r="I1079" s="83"/>
      <c r="J1079" s="80"/>
      <c r="K1079" s="81"/>
      <c r="L1079" s="81"/>
      <c r="M1079" s="80"/>
      <c r="N1079" s="80"/>
      <c r="O1079" s="80"/>
      <c r="P1079" s="80"/>
      <c r="Q1079" s="80"/>
      <c r="R1079" s="80"/>
      <c r="S1079" s="80"/>
      <c r="T1079" s="80"/>
      <c r="U1079" s="80"/>
      <c r="V1079" s="80"/>
      <c r="W1079" s="80"/>
      <c r="X1079" s="80"/>
      <c r="Y1079" s="80"/>
      <c r="Z1079" s="80"/>
    </row>
    <row r="1080">
      <c r="A1080" s="81"/>
      <c r="B1080" s="80"/>
      <c r="C1080" s="80"/>
      <c r="D1080" s="81"/>
      <c r="E1080" s="81"/>
      <c r="F1080" s="81"/>
      <c r="G1080" s="81"/>
      <c r="H1080" s="83"/>
      <c r="I1080" s="83"/>
      <c r="J1080" s="80"/>
      <c r="K1080" s="81"/>
      <c r="L1080" s="81"/>
      <c r="M1080" s="80"/>
      <c r="N1080" s="80"/>
      <c r="O1080" s="80"/>
      <c r="P1080" s="80"/>
      <c r="Q1080" s="80"/>
      <c r="R1080" s="80"/>
      <c r="S1080" s="80"/>
      <c r="T1080" s="80"/>
      <c r="U1080" s="80"/>
      <c r="V1080" s="80"/>
      <c r="W1080" s="80"/>
      <c r="X1080" s="80"/>
      <c r="Y1080" s="80"/>
      <c r="Z1080" s="80"/>
    </row>
    <row r="1081">
      <c r="A1081" s="81"/>
      <c r="B1081" s="80"/>
      <c r="C1081" s="80"/>
      <c r="D1081" s="81"/>
      <c r="E1081" s="81"/>
      <c r="F1081" s="81"/>
      <c r="G1081" s="81"/>
      <c r="H1081" s="83"/>
      <c r="I1081" s="83"/>
      <c r="J1081" s="80"/>
      <c r="K1081" s="81"/>
      <c r="L1081" s="81"/>
      <c r="M1081" s="80"/>
      <c r="N1081" s="80"/>
      <c r="O1081" s="80"/>
      <c r="P1081" s="80"/>
      <c r="Q1081" s="80"/>
      <c r="R1081" s="80"/>
      <c r="S1081" s="80"/>
      <c r="T1081" s="80"/>
      <c r="U1081" s="80"/>
      <c r="V1081" s="80"/>
      <c r="W1081" s="80"/>
      <c r="X1081" s="80"/>
      <c r="Y1081" s="80"/>
      <c r="Z1081" s="80"/>
    </row>
    <row r="1082">
      <c r="A1082" s="81"/>
      <c r="B1082" s="80"/>
      <c r="C1082" s="80"/>
      <c r="D1082" s="81"/>
      <c r="E1082" s="81"/>
      <c r="F1082" s="81"/>
      <c r="G1082" s="81"/>
      <c r="H1082" s="83"/>
      <c r="I1082" s="83"/>
      <c r="J1082" s="80"/>
      <c r="K1082" s="81"/>
      <c r="L1082" s="81"/>
      <c r="M1082" s="80"/>
      <c r="N1082" s="80"/>
      <c r="O1082" s="80"/>
      <c r="P1082" s="80"/>
      <c r="Q1082" s="80"/>
      <c r="R1082" s="80"/>
      <c r="S1082" s="80"/>
      <c r="T1082" s="80"/>
      <c r="U1082" s="80"/>
      <c r="V1082" s="80"/>
      <c r="W1082" s="80"/>
      <c r="X1082" s="80"/>
      <c r="Y1082" s="80"/>
      <c r="Z1082" s="80"/>
    </row>
    <row r="1083">
      <c r="A1083" s="81"/>
      <c r="B1083" s="80"/>
      <c r="C1083" s="80"/>
      <c r="D1083" s="81"/>
      <c r="E1083" s="81"/>
      <c r="F1083" s="81"/>
      <c r="G1083" s="81"/>
      <c r="H1083" s="83"/>
      <c r="I1083" s="83"/>
      <c r="J1083" s="80"/>
      <c r="K1083" s="81"/>
      <c r="L1083" s="81"/>
      <c r="M1083" s="80"/>
      <c r="N1083" s="80"/>
      <c r="O1083" s="80"/>
      <c r="P1083" s="80"/>
      <c r="Q1083" s="80"/>
      <c r="R1083" s="80"/>
      <c r="S1083" s="80"/>
      <c r="T1083" s="80"/>
      <c r="U1083" s="80"/>
      <c r="V1083" s="80"/>
      <c r="W1083" s="80"/>
      <c r="X1083" s="80"/>
      <c r="Y1083" s="80"/>
      <c r="Z1083" s="80"/>
    </row>
    <row r="1084">
      <c r="A1084" s="81"/>
      <c r="B1084" s="80"/>
      <c r="C1084" s="80"/>
      <c r="D1084" s="81"/>
      <c r="E1084" s="81"/>
      <c r="F1084" s="81"/>
      <c r="G1084" s="81"/>
      <c r="H1084" s="83"/>
      <c r="I1084" s="83"/>
      <c r="J1084" s="80"/>
      <c r="K1084" s="81"/>
      <c r="L1084" s="81"/>
      <c r="M1084" s="80"/>
      <c r="N1084" s="80"/>
      <c r="O1084" s="80"/>
      <c r="P1084" s="80"/>
      <c r="Q1084" s="80"/>
      <c r="R1084" s="80"/>
      <c r="S1084" s="80"/>
      <c r="T1084" s="80"/>
      <c r="U1084" s="80"/>
      <c r="V1084" s="80"/>
      <c r="W1084" s="80"/>
      <c r="X1084" s="80"/>
      <c r="Y1084" s="80"/>
      <c r="Z1084" s="80"/>
    </row>
    <row r="1085">
      <c r="A1085" s="81"/>
      <c r="B1085" s="80"/>
      <c r="C1085" s="80"/>
      <c r="D1085" s="81"/>
      <c r="E1085" s="81"/>
      <c r="F1085" s="81"/>
      <c r="G1085" s="81"/>
      <c r="H1085" s="83"/>
      <c r="I1085" s="83"/>
      <c r="J1085" s="80"/>
      <c r="K1085" s="81"/>
      <c r="L1085" s="81"/>
      <c r="M1085" s="80"/>
      <c r="N1085" s="80"/>
      <c r="O1085" s="80"/>
      <c r="P1085" s="80"/>
      <c r="Q1085" s="80"/>
      <c r="R1085" s="80"/>
      <c r="S1085" s="80"/>
      <c r="T1085" s="80"/>
      <c r="U1085" s="80"/>
      <c r="V1085" s="80"/>
      <c r="W1085" s="80"/>
      <c r="X1085" s="80"/>
      <c r="Y1085" s="80"/>
      <c r="Z1085" s="80"/>
    </row>
    <row r="1086">
      <c r="A1086" s="81"/>
      <c r="B1086" s="80"/>
      <c r="C1086" s="80"/>
      <c r="D1086" s="81"/>
      <c r="E1086" s="81"/>
      <c r="F1086" s="81"/>
      <c r="G1086" s="81"/>
      <c r="H1086" s="83"/>
      <c r="I1086" s="83"/>
      <c r="J1086" s="80"/>
      <c r="K1086" s="81"/>
      <c r="L1086" s="81"/>
      <c r="M1086" s="80"/>
      <c r="N1086" s="80"/>
      <c r="O1086" s="80"/>
      <c r="P1086" s="80"/>
      <c r="Q1086" s="80"/>
      <c r="R1086" s="80"/>
      <c r="S1086" s="80"/>
      <c r="T1086" s="80"/>
      <c r="U1086" s="80"/>
      <c r="V1086" s="80"/>
      <c r="W1086" s="80"/>
      <c r="X1086" s="80"/>
      <c r="Y1086" s="80"/>
      <c r="Z1086" s="80"/>
    </row>
    <row r="1087">
      <c r="A1087" s="81"/>
      <c r="B1087" s="80"/>
      <c r="C1087" s="80"/>
      <c r="D1087" s="81"/>
      <c r="E1087" s="81"/>
      <c r="F1087" s="81"/>
      <c r="G1087" s="81"/>
      <c r="H1087" s="83"/>
      <c r="I1087" s="83"/>
      <c r="J1087" s="80"/>
      <c r="K1087" s="81"/>
      <c r="L1087" s="81"/>
      <c r="M1087" s="80"/>
      <c r="N1087" s="80"/>
      <c r="O1087" s="80"/>
      <c r="P1087" s="80"/>
      <c r="Q1087" s="80"/>
      <c r="R1087" s="80"/>
      <c r="S1087" s="80"/>
      <c r="T1087" s="80"/>
      <c r="U1087" s="80"/>
      <c r="V1087" s="80"/>
      <c r="W1087" s="80"/>
      <c r="X1087" s="80"/>
      <c r="Y1087" s="80"/>
      <c r="Z1087" s="80"/>
    </row>
    <row r="1088">
      <c r="A1088" s="81"/>
      <c r="B1088" s="80"/>
      <c r="C1088" s="80"/>
      <c r="D1088" s="81"/>
      <c r="E1088" s="81"/>
      <c r="F1088" s="81"/>
      <c r="G1088" s="81"/>
      <c r="H1088" s="83"/>
      <c r="I1088" s="83"/>
      <c r="J1088" s="80"/>
      <c r="K1088" s="81"/>
      <c r="L1088" s="81"/>
      <c r="M1088" s="80"/>
      <c r="N1088" s="80"/>
      <c r="O1088" s="80"/>
      <c r="P1088" s="80"/>
      <c r="Q1088" s="80"/>
      <c r="R1088" s="80"/>
      <c r="S1088" s="80"/>
      <c r="T1088" s="80"/>
      <c r="U1088" s="80"/>
      <c r="V1088" s="80"/>
      <c r="W1088" s="80"/>
      <c r="X1088" s="80"/>
      <c r="Y1088" s="80"/>
      <c r="Z1088" s="80"/>
    </row>
    <row r="1089">
      <c r="A1089" s="81"/>
      <c r="B1089" s="80"/>
      <c r="C1089" s="80"/>
      <c r="D1089" s="81"/>
      <c r="E1089" s="81"/>
      <c r="F1089" s="81"/>
      <c r="G1089" s="81"/>
      <c r="H1089" s="83"/>
      <c r="I1089" s="83"/>
      <c r="J1089" s="80"/>
      <c r="K1089" s="81"/>
      <c r="L1089" s="81"/>
      <c r="M1089" s="80"/>
      <c r="N1089" s="80"/>
      <c r="O1089" s="80"/>
      <c r="P1089" s="80"/>
      <c r="Q1089" s="80"/>
      <c r="R1089" s="80"/>
      <c r="S1089" s="80"/>
      <c r="T1089" s="80"/>
      <c r="U1089" s="80"/>
      <c r="V1089" s="80"/>
      <c r="W1089" s="80"/>
      <c r="X1089" s="80"/>
      <c r="Y1089" s="80"/>
      <c r="Z1089" s="80"/>
    </row>
    <row r="1090">
      <c r="A1090" s="81"/>
      <c r="B1090" s="80"/>
      <c r="C1090" s="80"/>
      <c r="D1090" s="81"/>
      <c r="E1090" s="81"/>
      <c r="F1090" s="81"/>
      <c r="G1090" s="81"/>
      <c r="H1090" s="83"/>
      <c r="I1090" s="83"/>
      <c r="J1090" s="80"/>
      <c r="K1090" s="81"/>
      <c r="L1090" s="81"/>
      <c r="M1090" s="80"/>
      <c r="N1090" s="80"/>
      <c r="O1090" s="80"/>
      <c r="P1090" s="80"/>
      <c r="Q1090" s="80"/>
      <c r="R1090" s="80"/>
      <c r="S1090" s="80"/>
      <c r="T1090" s="80"/>
      <c r="U1090" s="80"/>
      <c r="V1090" s="80"/>
      <c r="W1090" s="80"/>
      <c r="X1090" s="80"/>
      <c r="Y1090" s="80"/>
      <c r="Z1090" s="80"/>
    </row>
    <row r="1091">
      <c r="A1091" s="81"/>
      <c r="B1091" s="80"/>
      <c r="C1091" s="80"/>
      <c r="D1091" s="81"/>
      <c r="E1091" s="81"/>
      <c r="F1091" s="81"/>
      <c r="G1091" s="81"/>
      <c r="H1091" s="83"/>
      <c r="I1091" s="83"/>
      <c r="J1091" s="80"/>
      <c r="K1091" s="81"/>
      <c r="L1091" s="81"/>
      <c r="M1091" s="80"/>
      <c r="N1091" s="80"/>
      <c r="O1091" s="80"/>
      <c r="P1091" s="80"/>
      <c r="Q1091" s="80"/>
      <c r="R1091" s="80"/>
      <c r="S1091" s="80"/>
      <c r="T1091" s="80"/>
      <c r="U1091" s="80"/>
      <c r="V1091" s="80"/>
      <c r="W1091" s="80"/>
      <c r="X1091" s="80"/>
      <c r="Y1091" s="80"/>
      <c r="Z1091" s="80"/>
    </row>
    <row r="1092">
      <c r="A1092" s="81"/>
      <c r="B1092" s="80"/>
      <c r="C1092" s="80"/>
      <c r="D1092" s="81"/>
      <c r="E1092" s="81"/>
      <c r="F1092" s="81"/>
      <c r="G1092" s="81"/>
      <c r="H1092" s="83"/>
      <c r="I1092" s="83"/>
      <c r="J1092" s="80"/>
      <c r="K1092" s="81"/>
      <c r="L1092" s="81"/>
      <c r="M1092" s="80"/>
      <c r="N1092" s="80"/>
      <c r="O1092" s="80"/>
      <c r="P1092" s="80"/>
      <c r="Q1092" s="80"/>
      <c r="R1092" s="80"/>
      <c r="S1092" s="80"/>
      <c r="T1092" s="80"/>
      <c r="U1092" s="80"/>
      <c r="V1092" s="80"/>
      <c r="W1092" s="80"/>
      <c r="X1092" s="80"/>
      <c r="Y1092" s="80"/>
      <c r="Z1092" s="80"/>
    </row>
    <row r="1093">
      <c r="A1093" s="81"/>
      <c r="B1093" s="80"/>
      <c r="C1093" s="80"/>
      <c r="D1093" s="81"/>
      <c r="E1093" s="81"/>
      <c r="F1093" s="81"/>
      <c r="G1093" s="81"/>
      <c r="H1093" s="83"/>
      <c r="I1093" s="83"/>
      <c r="J1093" s="80"/>
      <c r="K1093" s="81"/>
      <c r="L1093" s="81"/>
      <c r="M1093" s="80"/>
      <c r="N1093" s="80"/>
      <c r="O1093" s="80"/>
      <c r="P1093" s="80"/>
      <c r="Q1093" s="80"/>
      <c r="R1093" s="80"/>
      <c r="S1093" s="80"/>
      <c r="T1093" s="80"/>
      <c r="U1093" s="80"/>
      <c r="V1093" s="80"/>
      <c r="W1093" s="80"/>
      <c r="X1093" s="80"/>
      <c r="Y1093" s="80"/>
      <c r="Z1093" s="80"/>
    </row>
    <row r="1094">
      <c r="A1094" s="81"/>
      <c r="B1094" s="80"/>
      <c r="C1094" s="80"/>
      <c r="D1094" s="81"/>
      <c r="E1094" s="81"/>
      <c r="F1094" s="81"/>
      <c r="G1094" s="81"/>
      <c r="H1094" s="83"/>
      <c r="I1094" s="83"/>
      <c r="J1094" s="80"/>
      <c r="K1094" s="81"/>
      <c r="L1094" s="81"/>
      <c r="M1094" s="80"/>
      <c r="N1094" s="80"/>
      <c r="O1094" s="80"/>
      <c r="P1094" s="80"/>
      <c r="Q1094" s="80"/>
      <c r="R1094" s="80"/>
      <c r="S1094" s="80"/>
      <c r="T1094" s="80"/>
      <c r="U1094" s="80"/>
      <c r="V1094" s="80"/>
      <c r="W1094" s="80"/>
      <c r="X1094" s="80"/>
      <c r="Y1094" s="80"/>
      <c r="Z1094" s="80"/>
    </row>
    <row r="1095">
      <c r="A1095" s="81"/>
      <c r="B1095" s="80"/>
      <c r="C1095" s="80"/>
      <c r="D1095" s="81"/>
      <c r="E1095" s="81"/>
      <c r="F1095" s="81"/>
      <c r="G1095" s="81"/>
      <c r="H1095" s="83"/>
      <c r="I1095" s="83"/>
      <c r="J1095" s="80"/>
      <c r="K1095" s="81"/>
      <c r="L1095" s="81"/>
      <c r="M1095" s="80"/>
      <c r="N1095" s="80"/>
      <c r="O1095" s="80"/>
      <c r="P1095" s="80"/>
      <c r="Q1095" s="80"/>
      <c r="R1095" s="80"/>
      <c r="S1095" s="80"/>
      <c r="T1095" s="80"/>
      <c r="U1095" s="80"/>
      <c r="V1095" s="80"/>
      <c r="W1095" s="80"/>
      <c r="X1095" s="80"/>
      <c r="Y1095" s="80"/>
      <c r="Z1095" s="80"/>
    </row>
    <row r="1096">
      <c r="A1096" s="81"/>
      <c r="B1096" s="80"/>
      <c r="C1096" s="80"/>
      <c r="D1096" s="81"/>
      <c r="E1096" s="81"/>
      <c r="F1096" s="81"/>
      <c r="G1096" s="81"/>
      <c r="H1096" s="83"/>
      <c r="I1096" s="83"/>
      <c r="J1096" s="80"/>
      <c r="K1096" s="81"/>
      <c r="L1096" s="81"/>
      <c r="M1096" s="80"/>
      <c r="N1096" s="80"/>
      <c r="O1096" s="80"/>
      <c r="P1096" s="80"/>
      <c r="Q1096" s="80"/>
      <c r="R1096" s="80"/>
      <c r="S1096" s="80"/>
      <c r="T1096" s="80"/>
      <c r="U1096" s="80"/>
      <c r="V1096" s="80"/>
      <c r="W1096" s="80"/>
      <c r="X1096" s="80"/>
      <c r="Y1096" s="80"/>
      <c r="Z1096" s="80"/>
    </row>
    <row r="1097">
      <c r="A1097" s="81"/>
      <c r="B1097" s="80"/>
      <c r="C1097" s="80"/>
      <c r="D1097" s="81"/>
      <c r="E1097" s="81"/>
      <c r="F1097" s="81"/>
      <c r="G1097" s="81"/>
      <c r="H1097" s="83"/>
      <c r="I1097" s="83"/>
      <c r="J1097" s="80"/>
      <c r="K1097" s="81"/>
      <c r="L1097" s="81"/>
      <c r="M1097" s="80"/>
      <c r="N1097" s="80"/>
      <c r="O1097" s="80"/>
      <c r="P1097" s="80"/>
      <c r="Q1097" s="80"/>
      <c r="R1097" s="80"/>
      <c r="S1097" s="80"/>
      <c r="T1097" s="80"/>
      <c r="U1097" s="80"/>
      <c r="V1097" s="80"/>
      <c r="W1097" s="80"/>
      <c r="X1097" s="80"/>
      <c r="Y1097" s="80"/>
      <c r="Z1097" s="80"/>
    </row>
    <row r="1098">
      <c r="A1098" s="81"/>
      <c r="B1098" s="80"/>
      <c r="C1098" s="80"/>
      <c r="D1098" s="81"/>
      <c r="E1098" s="81"/>
      <c r="F1098" s="81"/>
      <c r="G1098" s="81"/>
      <c r="H1098" s="83"/>
      <c r="I1098" s="83"/>
      <c r="J1098" s="80"/>
      <c r="K1098" s="81"/>
      <c r="L1098" s="81"/>
      <c r="M1098" s="80"/>
      <c r="N1098" s="80"/>
      <c r="O1098" s="80"/>
      <c r="P1098" s="80"/>
      <c r="Q1098" s="80"/>
      <c r="R1098" s="80"/>
      <c r="S1098" s="80"/>
      <c r="T1098" s="80"/>
      <c r="U1098" s="80"/>
      <c r="V1098" s="80"/>
      <c r="W1098" s="80"/>
      <c r="X1098" s="80"/>
      <c r="Y1098" s="80"/>
      <c r="Z1098" s="80"/>
    </row>
    <row r="1099">
      <c r="A1099" s="81"/>
      <c r="B1099" s="80"/>
      <c r="C1099" s="80"/>
      <c r="D1099" s="81"/>
      <c r="E1099" s="81"/>
      <c r="F1099" s="81"/>
      <c r="G1099" s="81"/>
      <c r="H1099" s="83"/>
      <c r="I1099" s="83"/>
      <c r="J1099" s="80"/>
      <c r="K1099" s="81"/>
      <c r="L1099" s="81"/>
      <c r="M1099" s="80"/>
      <c r="N1099" s="80"/>
      <c r="O1099" s="80"/>
      <c r="P1099" s="80"/>
      <c r="Q1099" s="80"/>
      <c r="R1099" s="80"/>
      <c r="S1099" s="80"/>
      <c r="T1099" s="80"/>
      <c r="U1099" s="80"/>
      <c r="V1099" s="80"/>
      <c r="W1099" s="80"/>
      <c r="X1099" s="80"/>
      <c r="Y1099" s="80"/>
      <c r="Z1099" s="80"/>
    </row>
    <row r="1100">
      <c r="A1100" s="81"/>
      <c r="B1100" s="80"/>
      <c r="C1100" s="80"/>
      <c r="D1100" s="81"/>
      <c r="E1100" s="81"/>
      <c r="F1100" s="81"/>
      <c r="G1100" s="81"/>
      <c r="H1100" s="83"/>
      <c r="I1100" s="83"/>
      <c r="J1100" s="80"/>
      <c r="K1100" s="81"/>
      <c r="L1100" s="81"/>
      <c r="M1100" s="80"/>
      <c r="N1100" s="80"/>
      <c r="O1100" s="80"/>
      <c r="P1100" s="80"/>
      <c r="Q1100" s="80"/>
      <c r="R1100" s="80"/>
      <c r="S1100" s="80"/>
      <c r="T1100" s="80"/>
      <c r="U1100" s="80"/>
      <c r="V1100" s="80"/>
      <c r="W1100" s="80"/>
      <c r="X1100" s="80"/>
      <c r="Y1100" s="80"/>
      <c r="Z1100" s="80"/>
    </row>
    <row r="1101">
      <c r="A1101" s="81"/>
      <c r="B1101" s="80"/>
      <c r="C1101" s="80"/>
      <c r="D1101" s="81"/>
      <c r="E1101" s="81"/>
      <c r="F1101" s="81"/>
      <c r="G1101" s="81"/>
      <c r="H1101" s="83"/>
      <c r="I1101" s="83"/>
      <c r="J1101" s="80"/>
      <c r="K1101" s="81"/>
      <c r="L1101" s="81"/>
      <c r="M1101" s="80"/>
      <c r="N1101" s="80"/>
      <c r="O1101" s="80"/>
      <c r="P1101" s="80"/>
      <c r="Q1101" s="80"/>
      <c r="R1101" s="80"/>
      <c r="S1101" s="80"/>
      <c r="T1101" s="80"/>
      <c r="U1101" s="80"/>
      <c r="V1101" s="80"/>
      <c r="W1101" s="80"/>
      <c r="X1101" s="80"/>
      <c r="Y1101" s="80"/>
      <c r="Z1101" s="80"/>
    </row>
    <row r="1102">
      <c r="A1102" s="81"/>
      <c r="B1102" s="80"/>
      <c r="C1102" s="80"/>
      <c r="D1102" s="81"/>
      <c r="E1102" s="81"/>
      <c r="F1102" s="81"/>
      <c r="G1102" s="81"/>
      <c r="H1102" s="83"/>
      <c r="I1102" s="83"/>
      <c r="J1102" s="80"/>
      <c r="K1102" s="81"/>
      <c r="L1102" s="81"/>
      <c r="M1102" s="80"/>
      <c r="N1102" s="80"/>
      <c r="O1102" s="80"/>
      <c r="P1102" s="80"/>
      <c r="Q1102" s="80"/>
      <c r="R1102" s="80"/>
      <c r="S1102" s="80"/>
      <c r="T1102" s="80"/>
      <c r="U1102" s="80"/>
      <c r="V1102" s="80"/>
      <c r="W1102" s="80"/>
      <c r="X1102" s="80"/>
      <c r="Y1102" s="80"/>
      <c r="Z1102" s="80"/>
    </row>
    <row r="1103">
      <c r="A1103" s="81"/>
      <c r="B1103" s="80"/>
      <c r="C1103" s="80"/>
      <c r="D1103" s="81"/>
      <c r="E1103" s="81"/>
      <c r="F1103" s="81"/>
      <c r="G1103" s="81"/>
      <c r="H1103" s="83"/>
      <c r="I1103" s="83"/>
      <c r="J1103" s="80"/>
      <c r="K1103" s="81"/>
      <c r="L1103" s="81"/>
      <c r="M1103" s="80"/>
      <c r="N1103" s="80"/>
      <c r="O1103" s="80"/>
      <c r="P1103" s="80"/>
      <c r="Q1103" s="80"/>
      <c r="R1103" s="80"/>
      <c r="S1103" s="80"/>
      <c r="T1103" s="80"/>
      <c r="U1103" s="80"/>
      <c r="V1103" s="80"/>
      <c r="W1103" s="80"/>
      <c r="X1103" s="80"/>
      <c r="Y1103" s="80"/>
      <c r="Z1103" s="80"/>
    </row>
    <row r="1104">
      <c r="A1104" s="81"/>
      <c r="B1104" s="80"/>
      <c r="C1104" s="80"/>
      <c r="D1104" s="81"/>
      <c r="E1104" s="81"/>
      <c r="F1104" s="81"/>
      <c r="G1104" s="81"/>
      <c r="H1104" s="83"/>
      <c r="I1104" s="83"/>
      <c r="J1104" s="80"/>
      <c r="K1104" s="81"/>
      <c r="L1104" s="81"/>
      <c r="M1104" s="80"/>
      <c r="N1104" s="80"/>
      <c r="O1104" s="80"/>
      <c r="P1104" s="80"/>
      <c r="Q1104" s="80"/>
      <c r="R1104" s="80"/>
      <c r="S1104" s="80"/>
      <c r="T1104" s="80"/>
      <c r="U1104" s="80"/>
      <c r="V1104" s="80"/>
      <c r="W1104" s="80"/>
      <c r="X1104" s="80"/>
      <c r="Y1104" s="80"/>
      <c r="Z1104" s="80"/>
    </row>
    <row r="1105">
      <c r="A1105" s="81"/>
      <c r="B1105" s="80"/>
      <c r="C1105" s="80"/>
      <c r="D1105" s="81"/>
      <c r="E1105" s="81"/>
      <c r="F1105" s="81"/>
      <c r="G1105" s="81"/>
      <c r="H1105" s="83"/>
      <c r="I1105" s="83"/>
      <c r="J1105" s="80"/>
      <c r="K1105" s="81"/>
      <c r="L1105" s="81"/>
      <c r="M1105" s="80"/>
      <c r="N1105" s="80"/>
      <c r="O1105" s="80"/>
      <c r="P1105" s="80"/>
      <c r="Q1105" s="80"/>
      <c r="R1105" s="80"/>
      <c r="S1105" s="80"/>
      <c r="T1105" s="80"/>
      <c r="U1105" s="80"/>
      <c r="V1105" s="80"/>
      <c r="W1105" s="80"/>
      <c r="X1105" s="80"/>
      <c r="Y1105" s="80"/>
      <c r="Z1105" s="80"/>
    </row>
    <row r="1106">
      <c r="A1106" s="81"/>
      <c r="B1106" s="80"/>
      <c r="C1106" s="80"/>
      <c r="D1106" s="81"/>
      <c r="E1106" s="81"/>
      <c r="F1106" s="81"/>
      <c r="G1106" s="81"/>
      <c r="H1106" s="83"/>
      <c r="I1106" s="83"/>
      <c r="J1106" s="80"/>
      <c r="K1106" s="81"/>
      <c r="L1106" s="81"/>
      <c r="M1106" s="80"/>
      <c r="N1106" s="80"/>
      <c r="O1106" s="80"/>
      <c r="P1106" s="80"/>
      <c r="Q1106" s="80"/>
      <c r="R1106" s="80"/>
      <c r="S1106" s="80"/>
      <c r="T1106" s="80"/>
      <c r="U1106" s="80"/>
      <c r="V1106" s="80"/>
      <c r="W1106" s="80"/>
      <c r="X1106" s="80"/>
      <c r="Y1106" s="80"/>
      <c r="Z1106" s="80"/>
    </row>
    <row r="1107">
      <c r="A1107" s="81"/>
      <c r="B1107" s="80"/>
      <c r="C1107" s="80"/>
      <c r="D1107" s="81"/>
      <c r="E1107" s="81"/>
      <c r="F1107" s="81"/>
      <c r="G1107" s="81"/>
      <c r="H1107" s="83"/>
      <c r="I1107" s="83"/>
      <c r="J1107" s="80"/>
      <c r="K1107" s="81"/>
      <c r="L1107" s="81"/>
      <c r="M1107" s="80"/>
      <c r="N1107" s="80"/>
      <c r="O1107" s="80"/>
      <c r="P1107" s="80"/>
      <c r="Q1107" s="80"/>
      <c r="R1107" s="80"/>
      <c r="S1107" s="80"/>
      <c r="T1107" s="80"/>
      <c r="U1107" s="80"/>
      <c r="V1107" s="80"/>
      <c r="W1107" s="80"/>
      <c r="X1107" s="80"/>
      <c r="Y1107" s="80"/>
      <c r="Z1107" s="80"/>
    </row>
    <row r="1108">
      <c r="A1108" s="81"/>
      <c r="B1108" s="80"/>
      <c r="C1108" s="80"/>
      <c r="D1108" s="81"/>
      <c r="E1108" s="81"/>
      <c r="F1108" s="81"/>
      <c r="G1108" s="81"/>
      <c r="H1108" s="83"/>
      <c r="I1108" s="83"/>
      <c r="J1108" s="80"/>
      <c r="K1108" s="81"/>
      <c r="L1108" s="81"/>
      <c r="M1108" s="80"/>
      <c r="N1108" s="80"/>
      <c r="O1108" s="80"/>
      <c r="P1108" s="80"/>
      <c r="Q1108" s="80"/>
      <c r="R1108" s="80"/>
      <c r="S1108" s="80"/>
      <c r="T1108" s="80"/>
      <c r="U1108" s="80"/>
      <c r="V1108" s="80"/>
      <c r="W1108" s="80"/>
      <c r="X1108" s="80"/>
      <c r="Y1108" s="80"/>
      <c r="Z1108" s="80"/>
    </row>
    <row r="1109">
      <c r="A1109" s="81"/>
      <c r="B1109" s="80"/>
      <c r="C1109" s="80"/>
      <c r="D1109" s="81"/>
      <c r="E1109" s="81"/>
      <c r="F1109" s="81"/>
      <c r="G1109" s="81"/>
      <c r="H1109" s="83"/>
      <c r="I1109" s="83"/>
      <c r="J1109" s="80"/>
      <c r="K1109" s="81"/>
      <c r="L1109" s="81"/>
      <c r="M1109" s="80"/>
      <c r="N1109" s="80"/>
      <c r="O1109" s="80"/>
      <c r="P1109" s="80"/>
      <c r="Q1109" s="80"/>
      <c r="R1109" s="80"/>
      <c r="S1109" s="80"/>
      <c r="T1109" s="80"/>
      <c r="U1109" s="80"/>
      <c r="V1109" s="80"/>
      <c r="W1109" s="80"/>
      <c r="X1109" s="80"/>
      <c r="Y1109" s="80"/>
      <c r="Z1109" s="80"/>
    </row>
    <row r="1110">
      <c r="A1110" s="81"/>
      <c r="B1110" s="80"/>
      <c r="C1110" s="80"/>
      <c r="D1110" s="81"/>
      <c r="E1110" s="81"/>
      <c r="F1110" s="81"/>
      <c r="G1110" s="81"/>
      <c r="H1110" s="83"/>
      <c r="I1110" s="83"/>
      <c r="J1110" s="80"/>
      <c r="K1110" s="81"/>
      <c r="L1110" s="81"/>
      <c r="M1110" s="80"/>
      <c r="N1110" s="80"/>
      <c r="O1110" s="80"/>
      <c r="P1110" s="80"/>
      <c r="Q1110" s="80"/>
      <c r="R1110" s="80"/>
      <c r="S1110" s="80"/>
      <c r="T1110" s="80"/>
      <c r="U1110" s="80"/>
      <c r="V1110" s="80"/>
      <c r="W1110" s="80"/>
      <c r="X1110" s="80"/>
      <c r="Y1110" s="80"/>
      <c r="Z1110" s="80"/>
    </row>
    <row r="1111">
      <c r="A1111" s="81"/>
      <c r="B1111" s="80"/>
      <c r="C1111" s="80"/>
      <c r="D1111" s="81"/>
      <c r="E1111" s="81"/>
      <c r="F1111" s="81"/>
      <c r="G1111" s="81"/>
      <c r="H1111" s="83"/>
      <c r="I1111" s="83"/>
      <c r="J1111" s="80"/>
      <c r="K1111" s="81"/>
      <c r="L1111" s="81"/>
      <c r="M1111" s="80"/>
      <c r="N1111" s="80"/>
      <c r="O1111" s="80"/>
      <c r="P1111" s="80"/>
      <c r="Q1111" s="80"/>
      <c r="R1111" s="80"/>
      <c r="S1111" s="80"/>
      <c r="T1111" s="80"/>
      <c r="U1111" s="80"/>
      <c r="V1111" s="80"/>
      <c r="W1111" s="80"/>
      <c r="X1111" s="80"/>
      <c r="Y1111" s="80"/>
      <c r="Z1111" s="80"/>
    </row>
    <row r="1112">
      <c r="A1112" s="81"/>
      <c r="B1112" s="80"/>
      <c r="C1112" s="80"/>
      <c r="D1112" s="81"/>
      <c r="E1112" s="81"/>
      <c r="F1112" s="81"/>
      <c r="G1112" s="81"/>
      <c r="H1112" s="83"/>
      <c r="I1112" s="83"/>
      <c r="J1112" s="80"/>
      <c r="K1112" s="81"/>
      <c r="L1112" s="81"/>
      <c r="M1112" s="80"/>
      <c r="N1112" s="80"/>
      <c r="O1112" s="80"/>
      <c r="P1112" s="80"/>
      <c r="Q1112" s="80"/>
      <c r="R1112" s="80"/>
      <c r="S1112" s="80"/>
      <c r="T1112" s="80"/>
      <c r="U1112" s="80"/>
      <c r="V1112" s="80"/>
      <c r="W1112" s="80"/>
      <c r="X1112" s="80"/>
      <c r="Y1112" s="80"/>
      <c r="Z1112" s="80"/>
    </row>
    <row r="1113">
      <c r="A1113" s="81"/>
      <c r="B1113" s="80"/>
      <c r="C1113" s="80"/>
      <c r="D1113" s="81"/>
      <c r="E1113" s="81"/>
      <c r="F1113" s="81"/>
      <c r="G1113" s="81"/>
      <c r="H1113" s="83"/>
      <c r="I1113" s="83"/>
      <c r="J1113" s="80"/>
      <c r="K1113" s="81"/>
      <c r="L1113" s="81"/>
      <c r="M1113" s="80"/>
      <c r="N1113" s="80"/>
      <c r="O1113" s="80"/>
      <c r="P1113" s="80"/>
      <c r="Q1113" s="80"/>
      <c r="R1113" s="80"/>
      <c r="S1113" s="80"/>
      <c r="T1113" s="80"/>
      <c r="U1113" s="80"/>
      <c r="V1113" s="80"/>
      <c r="W1113" s="80"/>
      <c r="X1113" s="80"/>
      <c r="Y1113" s="80"/>
      <c r="Z1113" s="80"/>
    </row>
    <row r="1114">
      <c r="A1114" s="81"/>
      <c r="B1114" s="80"/>
      <c r="C1114" s="80"/>
      <c r="D1114" s="81"/>
      <c r="E1114" s="81"/>
      <c r="F1114" s="81"/>
      <c r="G1114" s="81"/>
      <c r="H1114" s="83"/>
      <c r="I1114" s="83"/>
      <c r="J1114" s="80"/>
      <c r="K1114" s="81"/>
      <c r="L1114" s="81"/>
      <c r="M1114" s="80"/>
      <c r="N1114" s="80"/>
      <c r="O1114" s="80"/>
      <c r="P1114" s="80"/>
      <c r="Q1114" s="80"/>
      <c r="R1114" s="80"/>
      <c r="S1114" s="80"/>
      <c r="T1114" s="80"/>
      <c r="U1114" s="80"/>
      <c r="V1114" s="80"/>
      <c r="W1114" s="80"/>
      <c r="X1114" s="80"/>
      <c r="Y1114" s="80"/>
      <c r="Z1114" s="80"/>
    </row>
    <row r="1115">
      <c r="A1115" s="81"/>
      <c r="B1115" s="80"/>
      <c r="C1115" s="80"/>
      <c r="D1115" s="81"/>
      <c r="E1115" s="81"/>
      <c r="F1115" s="81"/>
      <c r="G1115" s="81"/>
      <c r="H1115" s="83"/>
      <c r="I1115" s="83"/>
      <c r="J1115" s="80"/>
      <c r="K1115" s="81"/>
      <c r="L1115" s="81"/>
      <c r="M1115" s="80"/>
      <c r="N1115" s="80"/>
      <c r="O1115" s="80"/>
      <c r="P1115" s="80"/>
      <c r="Q1115" s="80"/>
      <c r="R1115" s="80"/>
      <c r="S1115" s="80"/>
      <c r="T1115" s="80"/>
      <c r="U1115" s="80"/>
      <c r="V1115" s="80"/>
      <c r="W1115" s="80"/>
      <c r="X1115" s="80"/>
      <c r="Y1115" s="80"/>
      <c r="Z1115" s="80"/>
    </row>
    <row r="1116">
      <c r="A1116" s="81"/>
      <c r="B1116" s="80"/>
      <c r="C1116" s="80"/>
      <c r="D1116" s="81"/>
      <c r="E1116" s="81"/>
      <c r="F1116" s="81"/>
      <c r="G1116" s="81"/>
      <c r="H1116" s="83"/>
      <c r="I1116" s="83"/>
      <c r="J1116" s="80"/>
      <c r="K1116" s="81"/>
      <c r="L1116" s="81"/>
      <c r="M1116" s="80"/>
      <c r="N1116" s="80"/>
      <c r="O1116" s="80"/>
      <c r="P1116" s="80"/>
      <c r="Q1116" s="80"/>
      <c r="R1116" s="80"/>
      <c r="S1116" s="80"/>
      <c r="T1116" s="80"/>
      <c r="U1116" s="80"/>
      <c r="V1116" s="80"/>
      <c r="W1116" s="80"/>
      <c r="X1116" s="80"/>
      <c r="Y1116" s="80"/>
      <c r="Z1116" s="80"/>
    </row>
    <row r="1117">
      <c r="A1117" s="81"/>
      <c r="B1117" s="80"/>
      <c r="C1117" s="80"/>
      <c r="D1117" s="81"/>
      <c r="E1117" s="81"/>
      <c r="F1117" s="81"/>
      <c r="G1117" s="81"/>
      <c r="H1117" s="83"/>
      <c r="I1117" s="83"/>
      <c r="J1117" s="80"/>
      <c r="K1117" s="81"/>
      <c r="L1117" s="81"/>
      <c r="M1117" s="80"/>
      <c r="N1117" s="80"/>
      <c r="O1117" s="80"/>
      <c r="P1117" s="80"/>
      <c r="Q1117" s="80"/>
      <c r="R1117" s="80"/>
      <c r="S1117" s="80"/>
      <c r="T1117" s="80"/>
      <c r="U1117" s="80"/>
      <c r="V1117" s="80"/>
      <c r="W1117" s="80"/>
      <c r="X1117" s="80"/>
      <c r="Y1117" s="80"/>
      <c r="Z1117" s="80"/>
    </row>
    <row r="1118">
      <c r="A1118" s="81"/>
      <c r="B1118" s="80"/>
      <c r="C1118" s="80"/>
      <c r="D1118" s="81"/>
      <c r="E1118" s="81"/>
      <c r="F1118" s="81"/>
      <c r="G1118" s="81"/>
      <c r="H1118" s="83"/>
      <c r="I1118" s="83"/>
      <c r="J1118" s="80"/>
      <c r="K1118" s="81"/>
      <c r="L1118" s="81"/>
      <c r="M1118" s="80"/>
      <c r="N1118" s="80"/>
      <c r="O1118" s="80"/>
      <c r="P1118" s="80"/>
      <c r="Q1118" s="80"/>
      <c r="R1118" s="80"/>
      <c r="S1118" s="80"/>
      <c r="T1118" s="80"/>
      <c r="U1118" s="80"/>
      <c r="V1118" s="80"/>
      <c r="W1118" s="80"/>
      <c r="X1118" s="80"/>
      <c r="Y1118" s="80"/>
      <c r="Z1118" s="80"/>
    </row>
    <row r="1119">
      <c r="A1119" s="81"/>
      <c r="B1119" s="80"/>
      <c r="C1119" s="80"/>
      <c r="D1119" s="81"/>
      <c r="E1119" s="81"/>
      <c r="F1119" s="81"/>
      <c r="G1119" s="81"/>
      <c r="H1119" s="83"/>
      <c r="I1119" s="83"/>
      <c r="J1119" s="80"/>
      <c r="K1119" s="81"/>
      <c r="L1119" s="81"/>
      <c r="M1119" s="80"/>
      <c r="N1119" s="80"/>
      <c r="O1119" s="80"/>
      <c r="P1119" s="80"/>
      <c r="Q1119" s="80"/>
      <c r="R1119" s="80"/>
      <c r="S1119" s="80"/>
      <c r="T1119" s="80"/>
      <c r="U1119" s="80"/>
      <c r="V1119" s="80"/>
      <c r="W1119" s="80"/>
      <c r="X1119" s="80"/>
      <c r="Y1119" s="80"/>
      <c r="Z1119" s="80"/>
    </row>
    <row r="1120">
      <c r="A1120" s="81"/>
      <c r="B1120" s="80"/>
      <c r="C1120" s="80"/>
      <c r="D1120" s="81"/>
      <c r="E1120" s="81"/>
      <c r="F1120" s="81"/>
      <c r="G1120" s="81"/>
      <c r="H1120" s="83"/>
      <c r="I1120" s="83"/>
      <c r="J1120" s="80"/>
      <c r="K1120" s="81"/>
      <c r="L1120" s="81"/>
      <c r="M1120" s="80"/>
      <c r="N1120" s="80"/>
      <c r="O1120" s="80"/>
      <c r="P1120" s="80"/>
      <c r="Q1120" s="80"/>
      <c r="R1120" s="80"/>
      <c r="S1120" s="80"/>
      <c r="T1120" s="80"/>
      <c r="U1120" s="80"/>
      <c r="V1120" s="80"/>
      <c r="W1120" s="80"/>
      <c r="X1120" s="80"/>
      <c r="Y1120" s="80"/>
      <c r="Z1120" s="80"/>
    </row>
    <row r="1121">
      <c r="A1121" s="81"/>
      <c r="B1121" s="80"/>
      <c r="C1121" s="80"/>
      <c r="D1121" s="81"/>
      <c r="E1121" s="81"/>
      <c r="F1121" s="81"/>
      <c r="G1121" s="81"/>
      <c r="H1121" s="83"/>
      <c r="I1121" s="83"/>
      <c r="J1121" s="80"/>
      <c r="K1121" s="81"/>
      <c r="L1121" s="81"/>
      <c r="M1121" s="80"/>
      <c r="N1121" s="80"/>
      <c r="O1121" s="80"/>
      <c r="P1121" s="80"/>
      <c r="Q1121" s="80"/>
      <c r="R1121" s="80"/>
      <c r="S1121" s="80"/>
      <c r="T1121" s="80"/>
      <c r="U1121" s="80"/>
      <c r="V1121" s="80"/>
      <c r="W1121" s="80"/>
      <c r="X1121" s="80"/>
      <c r="Y1121" s="80"/>
      <c r="Z1121" s="80"/>
    </row>
    <row r="1122">
      <c r="A1122" s="81"/>
      <c r="B1122" s="80"/>
      <c r="C1122" s="80"/>
      <c r="D1122" s="81"/>
      <c r="E1122" s="81"/>
      <c r="F1122" s="81"/>
      <c r="G1122" s="81"/>
      <c r="H1122" s="83"/>
      <c r="I1122" s="83"/>
      <c r="J1122" s="80"/>
      <c r="K1122" s="81"/>
      <c r="L1122" s="81"/>
      <c r="M1122" s="80"/>
      <c r="N1122" s="80"/>
      <c r="O1122" s="80"/>
      <c r="P1122" s="80"/>
      <c r="Q1122" s="80"/>
      <c r="R1122" s="80"/>
      <c r="S1122" s="80"/>
      <c r="T1122" s="80"/>
      <c r="U1122" s="80"/>
      <c r="V1122" s="80"/>
      <c r="W1122" s="80"/>
      <c r="X1122" s="80"/>
      <c r="Y1122" s="80"/>
      <c r="Z1122" s="80"/>
    </row>
    <row r="1123">
      <c r="A1123" s="81"/>
      <c r="B1123" s="80"/>
      <c r="C1123" s="80"/>
      <c r="D1123" s="81"/>
      <c r="E1123" s="81"/>
      <c r="F1123" s="81"/>
      <c r="G1123" s="81"/>
      <c r="H1123" s="83"/>
      <c r="I1123" s="83"/>
      <c r="J1123" s="80"/>
      <c r="K1123" s="81"/>
      <c r="L1123" s="81"/>
      <c r="M1123" s="80"/>
      <c r="N1123" s="80"/>
      <c r="O1123" s="80"/>
      <c r="P1123" s="80"/>
      <c r="Q1123" s="80"/>
      <c r="R1123" s="80"/>
      <c r="S1123" s="80"/>
      <c r="T1123" s="80"/>
      <c r="U1123" s="80"/>
      <c r="V1123" s="80"/>
      <c r="W1123" s="80"/>
      <c r="X1123" s="80"/>
      <c r="Y1123" s="80"/>
      <c r="Z1123" s="80"/>
    </row>
    <row r="1124">
      <c r="A1124" s="81"/>
      <c r="B1124" s="80"/>
      <c r="C1124" s="80"/>
      <c r="D1124" s="81"/>
      <c r="E1124" s="81"/>
      <c r="F1124" s="81"/>
      <c r="G1124" s="81"/>
      <c r="H1124" s="83"/>
      <c r="I1124" s="83"/>
      <c r="J1124" s="80"/>
      <c r="K1124" s="81"/>
      <c r="L1124" s="81"/>
      <c r="M1124" s="80"/>
      <c r="N1124" s="80"/>
      <c r="O1124" s="80"/>
      <c r="P1124" s="80"/>
      <c r="Q1124" s="80"/>
      <c r="R1124" s="80"/>
      <c r="S1124" s="80"/>
      <c r="T1124" s="80"/>
      <c r="U1124" s="80"/>
      <c r="V1124" s="80"/>
      <c r="W1124" s="80"/>
      <c r="X1124" s="80"/>
      <c r="Y1124" s="80"/>
      <c r="Z1124" s="80"/>
    </row>
    <row r="1125">
      <c r="A1125" s="81"/>
      <c r="B1125" s="80"/>
      <c r="C1125" s="80"/>
      <c r="D1125" s="81"/>
      <c r="E1125" s="81"/>
      <c r="F1125" s="81"/>
      <c r="G1125" s="81"/>
      <c r="H1125" s="83"/>
      <c r="I1125" s="83"/>
      <c r="J1125" s="80"/>
      <c r="K1125" s="81"/>
      <c r="L1125" s="81"/>
      <c r="M1125" s="80"/>
      <c r="N1125" s="80"/>
      <c r="O1125" s="80"/>
      <c r="P1125" s="80"/>
      <c r="Q1125" s="80"/>
      <c r="R1125" s="80"/>
      <c r="S1125" s="80"/>
      <c r="T1125" s="80"/>
      <c r="U1125" s="80"/>
      <c r="V1125" s="80"/>
      <c r="W1125" s="80"/>
      <c r="X1125" s="80"/>
      <c r="Y1125" s="80"/>
      <c r="Z1125" s="80"/>
    </row>
    <row r="1126">
      <c r="A1126" s="81"/>
      <c r="B1126" s="80"/>
      <c r="C1126" s="80"/>
      <c r="D1126" s="81"/>
      <c r="E1126" s="81"/>
      <c r="F1126" s="81"/>
      <c r="G1126" s="81"/>
      <c r="H1126" s="83"/>
      <c r="I1126" s="83"/>
      <c r="J1126" s="80"/>
      <c r="K1126" s="81"/>
      <c r="L1126" s="81"/>
      <c r="M1126" s="80"/>
      <c r="N1126" s="80"/>
      <c r="O1126" s="80"/>
      <c r="P1126" s="80"/>
      <c r="Q1126" s="80"/>
      <c r="R1126" s="80"/>
      <c r="S1126" s="80"/>
      <c r="T1126" s="80"/>
      <c r="U1126" s="80"/>
      <c r="V1126" s="80"/>
      <c r="W1126" s="80"/>
      <c r="X1126" s="80"/>
      <c r="Y1126" s="80"/>
      <c r="Z1126" s="80"/>
    </row>
    <row r="1127">
      <c r="A1127" s="81"/>
      <c r="B1127" s="80"/>
      <c r="C1127" s="80"/>
      <c r="D1127" s="81"/>
      <c r="E1127" s="81"/>
      <c r="F1127" s="81"/>
      <c r="G1127" s="81"/>
      <c r="H1127" s="83"/>
      <c r="I1127" s="83"/>
      <c r="J1127" s="80"/>
      <c r="K1127" s="81"/>
      <c r="L1127" s="81"/>
      <c r="M1127" s="80"/>
      <c r="N1127" s="80"/>
      <c r="O1127" s="80"/>
      <c r="P1127" s="80"/>
      <c r="Q1127" s="80"/>
      <c r="R1127" s="80"/>
      <c r="S1127" s="80"/>
      <c r="T1127" s="80"/>
      <c r="U1127" s="80"/>
      <c r="V1127" s="80"/>
      <c r="W1127" s="80"/>
      <c r="X1127" s="80"/>
      <c r="Y1127" s="80"/>
      <c r="Z1127" s="80"/>
    </row>
    <row r="1128">
      <c r="A1128" s="81"/>
      <c r="B1128" s="80"/>
      <c r="C1128" s="80"/>
      <c r="D1128" s="81"/>
      <c r="E1128" s="81"/>
      <c r="F1128" s="81"/>
      <c r="G1128" s="81"/>
      <c r="H1128" s="83"/>
      <c r="I1128" s="83"/>
      <c r="J1128" s="80"/>
      <c r="K1128" s="81"/>
      <c r="L1128" s="81"/>
      <c r="M1128" s="80"/>
      <c r="N1128" s="80"/>
      <c r="O1128" s="80"/>
      <c r="P1128" s="80"/>
      <c r="Q1128" s="80"/>
      <c r="R1128" s="80"/>
      <c r="S1128" s="80"/>
      <c r="T1128" s="80"/>
      <c r="U1128" s="80"/>
      <c r="V1128" s="80"/>
      <c r="W1128" s="80"/>
      <c r="X1128" s="80"/>
      <c r="Y1128" s="80"/>
      <c r="Z1128" s="80"/>
    </row>
    <row r="1129">
      <c r="A1129" s="81"/>
      <c r="B1129" s="80"/>
      <c r="C1129" s="80"/>
      <c r="D1129" s="81"/>
      <c r="E1129" s="81"/>
      <c r="F1129" s="81"/>
      <c r="G1129" s="81"/>
      <c r="H1129" s="83"/>
      <c r="I1129" s="83"/>
      <c r="J1129" s="80"/>
      <c r="K1129" s="81"/>
      <c r="L1129" s="81"/>
      <c r="M1129" s="80"/>
      <c r="N1129" s="80"/>
      <c r="O1129" s="80"/>
      <c r="P1129" s="80"/>
      <c r="Q1129" s="80"/>
      <c r="R1129" s="80"/>
      <c r="S1129" s="80"/>
      <c r="T1129" s="80"/>
      <c r="U1129" s="80"/>
      <c r="V1129" s="80"/>
      <c r="W1129" s="80"/>
      <c r="X1129" s="80"/>
      <c r="Y1129" s="80"/>
      <c r="Z1129" s="80"/>
    </row>
    <row r="1130">
      <c r="A1130" s="81"/>
      <c r="B1130" s="80"/>
      <c r="C1130" s="80"/>
      <c r="D1130" s="81"/>
      <c r="E1130" s="81"/>
      <c r="F1130" s="81"/>
      <c r="G1130" s="81"/>
      <c r="H1130" s="83"/>
      <c r="I1130" s="83"/>
      <c r="J1130" s="80"/>
      <c r="K1130" s="81"/>
      <c r="L1130" s="81"/>
      <c r="M1130" s="80"/>
      <c r="N1130" s="80"/>
      <c r="O1130" s="80"/>
      <c r="P1130" s="80"/>
      <c r="Q1130" s="80"/>
      <c r="R1130" s="80"/>
      <c r="S1130" s="80"/>
      <c r="T1130" s="80"/>
      <c r="U1130" s="80"/>
      <c r="V1130" s="80"/>
      <c r="W1130" s="80"/>
      <c r="X1130" s="80"/>
      <c r="Y1130" s="80"/>
      <c r="Z1130" s="80"/>
    </row>
    <row r="1131">
      <c r="A1131" s="81"/>
      <c r="B1131" s="80"/>
      <c r="C1131" s="80"/>
      <c r="D1131" s="81"/>
      <c r="E1131" s="81"/>
      <c r="F1131" s="81"/>
      <c r="G1131" s="81"/>
      <c r="H1131" s="83"/>
      <c r="I1131" s="83"/>
      <c r="J1131" s="80"/>
      <c r="K1131" s="81"/>
      <c r="L1131" s="81"/>
      <c r="M1131" s="80"/>
      <c r="N1131" s="80"/>
      <c r="O1131" s="80"/>
      <c r="P1131" s="80"/>
      <c r="Q1131" s="80"/>
      <c r="R1131" s="80"/>
      <c r="S1131" s="80"/>
      <c r="T1131" s="80"/>
      <c r="U1131" s="80"/>
      <c r="V1131" s="80"/>
      <c r="W1131" s="80"/>
      <c r="X1131" s="80"/>
      <c r="Y1131" s="80"/>
      <c r="Z1131" s="80"/>
    </row>
    <row r="1132">
      <c r="A1132" s="81"/>
      <c r="B1132" s="80"/>
      <c r="C1132" s="80"/>
      <c r="D1132" s="81"/>
      <c r="E1132" s="81"/>
      <c r="F1132" s="81"/>
      <c r="G1132" s="81"/>
      <c r="H1132" s="83"/>
      <c r="I1132" s="83"/>
      <c r="J1132" s="80"/>
      <c r="K1132" s="81"/>
      <c r="L1132" s="81"/>
      <c r="M1132" s="80"/>
      <c r="N1132" s="80"/>
      <c r="O1132" s="80"/>
      <c r="P1132" s="80"/>
      <c r="Q1132" s="80"/>
      <c r="R1132" s="80"/>
      <c r="S1132" s="80"/>
      <c r="T1132" s="80"/>
      <c r="U1132" s="80"/>
      <c r="V1132" s="80"/>
      <c r="W1132" s="80"/>
      <c r="X1132" s="80"/>
      <c r="Y1132" s="80"/>
      <c r="Z1132" s="80"/>
    </row>
    <row r="1133">
      <c r="A1133" s="81"/>
      <c r="B1133" s="80"/>
      <c r="C1133" s="80"/>
      <c r="D1133" s="81"/>
      <c r="E1133" s="81"/>
      <c r="F1133" s="81"/>
      <c r="G1133" s="81"/>
      <c r="H1133" s="83"/>
      <c r="I1133" s="83"/>
      <c r="J1133" s="80"/>
      <c r="K1133" s="81"/>
      <c r="L1133" s="81"/>
      <c r="M1133" s="80"/>
      <c r="N1133" s="80"/>
      <c r="O1133" s="80"/>
      <c r="P1133" s="80"/>
      <c r="Q1133" s="80"/>
      <c r="R1133" s="80"/>
      <c r="S1133" s="80"/>
      <c r="T1133" s="80"/>
      <c r="U1133" s="80"/>
      <c r="V1133" s="80"/>
      <c r="W1133" s="80"/>
      <c r="X1133" s="80"/>
      <c r="Y1133" s="80"/>
      <c r="Z1133" s="80"/>
    </row>
    <row r="1134">
      <c r="A1134" s="81"/>
      <c r="B1134" s="80"/>
      <c r="C1134" s="80"/>
      <c r="D1134" s="81"/>
      <c r="E1134" s="81"/>
      <c r="F1134" s="81"/>
      <c r="G1134" s="81"/>
      <c r="H1134" s="83"/>
      <c r="I1134" s="83"/>
      <c r="J1134" s="80"/>
      <c r="K1134" s="81"/>
      <c r="L1134" s="81"/>
      <c r="M1134" s="80"/>
      <c r="N1134" s="80"/>
      <c r="O1134" s="80"/>
      <c r="P1134" s="80"/>
      <c r="Q1134" s="80"/>
      <c r="R1134" s="80"/>
      <c r="S1134" s="80"/>
      <c r="T1134" s="80"/>
      <c r="U1134" s="80"/>
      <c r="V1134" s="80"/>
      <c r="W1134" s="80"/>
      <c r="X1134" s="80"/>
      <c r="Y1134" s="80"/>
      <c r="Z1134" s="80"/>
    </row>
    <row r="1135">
      <c r="A1135" s="81"/>
      <c r="B1135" s="80"/>
      <c r="C1135" s="80"/>
      <c r="D1135" s="81"/>
      <c r="E1135" s="81"/>
      <c r="F1135" s="81"/>
      <c r="G1135" s="81"/>
      <c r="H1135" s="83"/>
      <c r="I1135" s="83"/>
      <c r="J1135" s="80"/>
      <c r="K1135" s="81"/>
      <c r="L1135" s="81"/>
      <c r="M1135" s="80"/>
      <c r="N1135" s="80"/>
      <c r="O1135" s="80"/>
      <c r="P1135" s="80"/>
      <c r="Q1135" s="80"/>
      <c r="R1135" s="80"/>
      <c r="S1135" s="80"/>
      <c r="T1135" s="80"/>
      <c r="U1135" s="80"/>
      <c r="V1135" s="80"/>
      <c r="W1135" s="80"/>
      <c r="X1135" s="80"/>
      <c r="Y1135" s="80"/>
      <c r="Z1135" s="80"/>
    </row>
    <row r="1136">
      <c r="A1136" s="81"/>
      <c r="B1136" s="80"/>
      <c r="C1136" s="80"/>
      <c r="D1136" s="81"/>
      <c r="E1136" s="81"/>
      <c r="F1136" s="81"/>
      <c r="G1136" s="81"/>
      <c r="H1136" s="83"/>
      <c r="I1136" s="83"/>
      <c r="J1136" s="80"/>
      <c r="K1136" s="81"/>
      <c r="L1136" s="81"/>
      <c r="M1136" s="80"/>
      <c r="N1136" s="80"/>
      <c r="O1136" s="80"/>
      <c r="P1136" s="80"/>
      <c r="Q1136" s="80"/>
      <c r="R1136" s="80"/>
      <c r="S1136" s="80"/>
      <c r="T1136" s="80"/>
      <c r="U1136" s="80"/>
      <c r="V1136" s="80"/>
      <c r="W1136" s="80"/>
      <c r="X1136" s="80"/>
      <c r="Y1136" s="80"/>
      <c r="Z1136" s="80"/>
    </row>
    <row r="1137">
      <c r="A1137" s="81"/>
      <c r="B1137" s="80"/>
      <c r="C1137" s="80"/>
      <c r="D1137" s="81"/>
      <c r="E1137" s="81"/>
      <c r="F1137" s="81"/>
      <c r="G1137" s="81"/>
      <c r="H1137" s="83"/>
      <c r="I1137" s="83"/>
      <c r="J1137" s="80"/>
      <c r="K1137" s="81"/>
      <c r="L1137" s="81"/>
      <c r="M1137" s="80"/>
      <c r="N1137" s="80"/>
      <c r="O1137" s="80"/>
      <c r="P1137" s="80"/>
      <c r="Q1137" s="80"/>
      <c r="R1137" s="80"/>
      <c r="S1137" s="80"/>
      <c r="T1137" s="80"/>
      <c r="U1137" s="80"/>
      <c r="V1137" s="80"/>
      <c r="W1137" s="80"/>
      <c r="X1137" s="80"/>
      <c r="Y1137" s="80"/>
      <c r="Z1137" s="80"/>
    </row>
    <row r="1138">
      <c r="A1138" s="81"/>
      <c r="B1138" s="80"/>
      <c r="C1138" s="80"/>
      <c r="D1138" s="81"/>
      <c r="E1138" s="81"/>
      <c r="F1138" s="81"/>
      <c r="G1138" s="81"/>
      <c r="H1138" s="83"/>
      <c r="I1138" s="83"/>
      <c r="J1138" s="80"/>
      <c r="K1138" s="81"/>
      <c r="L1138" s="81"/>
      <c r="M1138" s="80"/>
      <c r="N1138" s="80"/>
      <c r="O1138" s="80"/>
      <c r="P1138" s="80"/>
      <c r="Q1138" s="80"/>
      <c r="R1138" s="80"/>
      <c r="S1138" s="80"/>
      <c r="T1138" s="80"/>
      <c r="U1138" s="80"/>
      <c r="V1138" s="80"/>
      <c r="W1138" s="80"/>
      <c r="X1138" s="80"/>
      <c r="Y1138" s="80"/>
      <c r="Z1138" s="80"/>
    </row>
    <row r="1139">
      <c r="A1139" s="81"/>
      <c r="B1139" s="80"/>
      <c r="C1139" s="80"/>
      <c r="D1139" s="81"/>
      <c r="E1139" s="81"/>
      <c r="F1139" s="81"/>
      <c r="G1139" s="81"/>
      <c r="H1139" s="83"/>
      <c r="I1139" s="83"/>
      <c r="J1139" s="80"/>
      <c r="K1139" s="81"/>
      <c r="L1139" s="81"/>
      <c r="M1139" s="80"/>
      <c r="N1139" s="80"/>
      <c r="O1139" s="80"/>
      <c r="P1139" s="80"/>
      <c r="Q1139" s="80"/>
      <c r="R1139" s="80"/>
      <c r="S1139" s="80"/>
      <c r="T1139" s="80"/>
      <c r="U1139" s="80"/>
      <c r="V1139" s="80"/>
      <c r="W1139" s="80"/>
      <c r="X1139" s="80"/>
      <c r="Y1139" s="80"/>
      <c r="Z1139" s="80"/>
    </row>
    <row r="1140">
      <c r="A1140" s="81"/>
      <c r="B1140" s="80"/>
      <c r="C1140" s="80"/>
      <c r="D1140" s="81"/>
      <c r="E1140" s="81"/>
      <c r="F1140" s="81"/>
      <c r="G1140" s="81"/>
      <c r="H1140" s="83"/>
      <c r="I1140" s="83"/>
      <c r="J1140" s="80"/>
      <c r="K1140" s="81"/>
      <c r="L1140" s="81"/>
      <c r="M1140" s="80"/>
      <c r="N1140" s="80"/>
      <c r="O1140" s="80"/>
      <c r="P1140" s="80"/>
      <c r="Q1140" s="80"/>
      <c r="R1140" s="80"/>
      <c r="S1140" s="80"/>
      <c r="T1140" s="80"/>
      <c r="U1140" s="80"/>
      <c r="V1140" s="80"/>
      <c r="W1140" s="80"/>
      <c r="X1140" s="80"/>
      <c r="Y1140" s="80"/>
      <c r="Z1140" s="80"/>
    </row>
    <row r="1141">
      <c r="A1141" s="81"/>
      <c r="B1141" s="80"/>
      <c r="C1141" s="80"/>
      <c r="D1141" s="81"/>
      <c r="E1141" s="81"/>
      <c r="F1141" s="81"/>
      <c r="G1141" s="81"/>
      <c r="H1141" s="83"/>
      <c r="I1141" s="83"/>
      <c r="J1141" s="80"/>
      <c r="K1141" s="81"/>
      <c r="L1141" s="81"/>
      <c r="M1141" s="80"/>
      <c r="N1141" s="80"/>
      <c r="O1141" s="80"/>
      <c r="P1141" s="80"/>
      <c r="Q1141" s="80"/>
      <c r="R1141" s="80"/>
      <c r="S1141" s="80"/>
      <c r="T1141" s="80"/>
      <c r="U1141" s="80"/>
      <c r="V1141" s="80"/>
      <c r="W1141" s="80"/>
      <c r="X1141" s="80"/>
      <c r="Y1141" s="80"/>
      <c r="Z1141" s="80"/>
    </row>
    <row r="1142">
      <c r="A1142" s="81"/>
      <c r="B1142" s="80"/>
      <c r="C1142" s="80"/>
      <c r="D1142" s="81"/>
      <c r="E1142" s="81"/>
      <c r="F1142" s="81"/>
      <c r="G1142" s="81"/>
      <c r="H1142" s="83"/>
      <c r="I1142" s="83"/>
      <c r="J1142" s="80"/>
      <c r="K1142" s="81"/>
      <c r="L1142" s="81"/>
      <c r="M1142" s="80"/>
      <c r="N1142" s="80"/>
      <c r="O1142" s="80"/>
      <c r="P1142" s="80"/>
      <c r="Q1142" s="80"/>
      <c r="R1142" s="80"/>
      <c r="S1142" s="80"/>
      <c r="T1142" s="80"/>
      <c r="U1142" s="80"/>
      <c r="V1142" s="80"/>
      <c r="W1142" s="80"/>
      <c r="X1142" s="80"/>
      <c r="Y1142" s="80"/>
      <c r="Z1142" s="80"/>
    </row>
    <row r="1143">
      <c r="A1143" s="81"/>
      <c r="B1143" s="80"/>
      <c r="C1143" s="80"/>
      <c r="D1143" s="81"/>
      <c r="E1143" s="81"/>
      <c r="F1143" s="81"/>
      <c r="G1143" s="81"/>
      <c r="H1143" s="83"/>
      <c r="I1143" s="83"/>
      <c r="J1143" s="80"/>
      <c r="K1143" s="81"/>
      <c r="L1143" s="81"/>
      <c r="M1143" s="80"/>
      <c r="N1143" s="80"/>
      <c r="O1143" s="80"/>
      <c r="P1143" s="80"/>
      <c r="Q1143" s="80"/>
      <c r="R1143" s="80"/>
      <c r="S1143" s="80"/>
      <c r="T1143" s="80"/>
      <c r="U1143" s="80"/>
      <c r="V1143" s="80"/>
      <c r="W1143" s="80"/>
      <c r="X1143" s="80"/>
      <c r="Y1143" s="80"/>
      <c r="Z1143" s="80"/>
    </row>
    <row r="1144">
      <c r="A1144" s="81"/>
      <c r="B1144" s="80"/>
      <c r="C1144" s="80"/>
      <c r="D1144" s="81"/>
      <c r="E1144" s="81"/>
      <c r="F1144" s="81"/>
      <c r="G1144" s="81"/>
      <c r="H1144" s="83"/>
      <c r="I1144" s="83"/>
      <c r="J1144" s="80"/>
      <c r="K1144" s="81"/>
      <c r="L1144" s="81"/>
      <c r="M1144" s="80"/>
      <c r="N1144" s="80"/>
      <c r="O1144" s="80"/>
      <c r="P1144" s="80"/>
      <c r="Q1144" s="80"/>
      <c r="R1144" s="80"/>
      <c r="S1144" s="80"/>
      <c r="T1144" s="80"/>
      <c r="U1144" s="80"/>
      <c r="V1144" s="80"/>
      <c r="W1144" s="80"/>
      <c r="X1144" s="80"/>
      <c r="Y1144" s="80"/>
      <c r="Z1144" s="80"/>
    </row>
    <row r="1145">
      <c r="A1145" s="81"/>
      <c r="B1145" s="80"/>
      <c r="C1145" s="80"/>
      <c r="D1145" s="81"/>
      <c r="E1145" s="81"/>
      <c r="F1145" s="81"/>
      <c r="G1145" s="81"/>
      <c r="H1145" s="83"/>
      <c r="I1145" s="83"/>
      <c r="J1145" s="80"/>
      <c r="K1145" s="81"/>
      <c r="L1145" s="81"/>
      <c r="M1145" s="80"/>
      <c r="N1145" s="80"/>
      <c r="O1145" s="80"/>
      <c r="P1145" s="80"/>
      <c r="Q1145" s="80"/>
      <c r="R1145" s="80"/>
      <c r="S1145" s="80"/>
      <c r="T1145" s="80"/>
      <c r="U1145" s="80"/>
      <c r="V1145" s="80"/>
      <c r="W1145" s="80"/>
      <c r="X1145" s="80"/>
      <c r="Y1145" s="80"/>
      <c r="Z1145" s="80"/>
    </row>
    <row r="1146">
      <c r="A1146" s="81"/>
      <c r="B1146" s="80"/>
      <c r="C1146" s="80"/>
      <c r="D1146" s="81"/>
      <c r="E1146" s="81"/>
      <c r="F1146" s="81"/>
      <c r="G1146" s="81"/>
      <c r="H1146" s="83"/>
      <c r="I1146" s="83"/>
      <c r="J1146" s="80"/>
      <c r="K1146" s="81"/>
      <c r="L1146" s="81"/>
      <c r="M1146" s="80"/>
      <c r="N1146" s="80"/>
      <c r="O1146" s="80"/>
      <c r="P1146" s="80"/>
      <c r="Q1146" s="80"/>
      <c r="R1146" s="80"/>
      <c r="S1146" s="80"/>
      <c r="T1146" s="80"/>
      <c r="U1146" s="80"/>
      <c r="V1146" s="80"/>
      <c r="W1146" s="80"/>
      <c r="X1146" s="80"/>
      <c r="Y1146" s="80"/>
      <c r="Z1146" s="80"/>
    </row>
    <row r="1147">
      <c r="A1147" s="81"/>
      <c r="B1147" s="80"/>
      <c r="C1147" s="80"/>
      <c r="D1147" s="81"/>
      <c r="E1147" s="81"/>
      <c r="F1147" s="81"/>
      <c r="G1147" s="81"/>
      <c r="H1147" s="83"/>
      <c r="I1147" s="83"/>
      <c r="J1147" s="80"/>
      <c r="K1147" s="81"/>
      <c r="L1147" s="81"/>
      <c r="M1147" s="80"/>
      <c r="N1147" s="80"/>
      <c r="O1147" s="80"/>
      <c r="P1147" s="80"/>
      <c r="Q1147" s="80"/>
      <c r="R1147" s="80"/>
      <c r="S1147" s="80"/>
      <c r="T1147" s="80"/>
      <c r="U1147" s="80"/>
      <c r="V1147" s="80"/>
      <c r="W1147" s="80"/>
      <c r="X1147" s="80"/>
      <c r="Y1147" s="80"/>
      <c r="Z1147" s="80"/>
    </row>
    <row r="1148">
      <c r="A1148" s="81"/>
      <c r="B1148" s="80"/>
      <c r="C1148" s="80"/>
      <c r="D1148" s="81"/>
      <c r="E1148" s="81"/>
      <c r="F1148" s="81"/>
      <c r="G1148" s="81"/>
      <c r="H1148" s="83"/>
      <c r="I1148" s="83"/>
      <c r="J1148" s="80"/>
      <c r="K1148" s="81"/>
      <c r="L1148" s="81"/>
      <c r="M1148" s="80"/>
      <c r="N1148" s="80"/>
      <c r="O1148" s="80"/>
      <c r="P1148" s="80"/>
      <c r="Q1148" s="80"/>
      <c r="R1148" s="80"/>
      <c r="S1148" s="80"/>
      <c r="T1148" s="80"/>
      <c r="U1148" s="80"/>
      <c r="V1148" s="80"/>
      <c r="W1148" s="80"/>
      <c r="X1148" s="80"/>
      <c r="Y1148" s="80"/>
      <c r="Z1148" s="80"/>
    </row>
    <row r="1149">
      <c r="A1149" s="81"/>
      <c r="B1149" s="80"/>
      <c r="C1149" s="80"/>
      <c r="D1149" s="81"/>
      <c r="E1149" s="81"/>
      <c r="F1149" s="81"/>
      <c r="G1149" s="81"/>
      <c r="H1149" s="83"/>
      <c r="I1149" s="83"/>
      <c r="J1149" s="80"/>
      <c r="K1149" s="81"/>
      <c r="L1149" s="81"/>
      <c r="M1149" s="80"/>
      <c r="N1149" s="80"/>
      <c r="O1149" s="80"/>
      <c r="P1149" s="80"/>
      <c r="Q1149" s="80"/>
      <c r="R1149" s="80"/>
      <c r="S1149" s="80"/>
      <c r="T1149" s="80"/>
      <c r="U1149" s="80"/>
      <c r="V1149" s="80"/>
      <c r="W1149" s="80"/>
      <c r="X1149" s="80"/>
      <c r="Y1149" s="80"/>
      <c r="Z1149" s="80"/>
    </row>
    <row r="1150">
      <c r="A1150" s="81"/>
      <c r="B1150" s="80"/>
      <c r="C1150" s="80"/>
      <c r="D1150" s="81"/>
      <c r="E1150" s="81"/>
      <c r="F1150" s="81"/>
      <c r="G1150" s="81"/>
      <c r="H1150" s="83"/>
      <c r="I1150" s="83"/>
      <c r="J1150" s="80"/>
      <c r="K1150" s="81"/>
      <c r="L1150" s="81"/>
      <c r="M1150" s="80"/>
      <c r="N1150" s="80"/>
      <c r="O1150" s="80"/>
      <c r="P1150" s="80"/>
      <c r="Q1150" s="80"/>
      <c r="R1150" s="80"/>
      <c r="S1150" s="80"/>
      <c r="T1150" s="80"/>
      <c r="U1150" s="80"/>
      <c r="V1150" s="80"/>
      <c r="W1150" s="80"/>
      <c r="X1150" s="80"/>
      <c r="Y1150" s="80"/>
      <c r="Z1150" s="80"/>
    </row>
    <row r="1151">
      <c r="A1151" s="81"/>
      <c r="B1151" s="80"/>
      <c r="C1151" s="80"/>
      <c r="D1151" s="81"/>
      <c r="E1151" s="81"/>
      <c r="F1151" s="81"/>
      <c r="G1151" s="81"/>
      <c r="H1151" s="83"/>
      <c r="I1151" s="83"/>
      <c r="J1151" s="80"/>
      <c r="K1151" s="81"/>
      <c r="L1151" s="81"/>
      <c r="M1151" s="80"/>
      <c r="N1151" s="80"/>
      <c r="O1151" s="80"/>
      <c r="P1151" s="80"/>
      <c r="Q1151" s="80"/>
      <c r="R1151" s="80"/>
      <c r="S1151" s="80"/>
      <c r="T1151" s="80"/>
      <c r="U1151" s="80"/>
      <c r="V1151" s="80"/>
      <c r="W1151" s="80"/>
      <c r="X1151" s="80"/>
      <c r="Y1151" s="80"/>
      <c r="Z1151" s="80"/>
    </row>
    <row r="1152">
      <c r="A1152" s="81"/>
      <c r="B1152" s="80"/>
      <c r="C1152" s="80"/>
      <c r="D1152" s="81"/>
      <c r="E1152" s="81"/>
      <c r="F1152" s="81"/>
      <c r="G1152" s="81"/>
      <c r="H1152" s="83"/>
      <c r="I1152" s="83"/>
      <c r="J1152" s="80"/>
      <c r="K1152" s="81"/>
      <c r="L1152" s="81"/>
      <c r="M1152" s="80"/>
      <c r="N1152" s="80"/>
      <c r="O1152" s="80"/>
      <c r="P1152" s="80"/>
      <c r="Q1152" s="80"/>
      <c r="R1152" s="80"/>
      <c r="S1152" s="80"/>
      <c r="T1152" s="80"/>
      <c r="U1152" s="80"/>
      <c r="V1152" s="80"/>
      <c r="W1152" s="80"/>
      <c r="X1152" s="80"/>
      <c r="Y1152" s="80"/>
      <c r="Z1152" s="80"/>
    </row>
    <row r="1153">
      <c r="A1153" s="81"/>
      <c r="B1153" s="80"/>
      <c r="C1153" s="80"/>
      <c r="D1153" s="81"/>
      <c r="E1153" s="81"/>
      <c r="F1153" s="81"/>
      <c r="G1153" s="81"/>
      <c r="H1153" s="83"/>
      <c r="I1153" s="83"/>
      <c r="J1153" s="80"/>
      <c r="K1153" s="81"/>
      <c r="L1153" s="81"/>
      <c r="M1153" s="80"/>
      <c r="N1153" s="80"/>
      <c r="O1153" s="80"/>
      <c r="P1153" s="80"/>
      <c r="Q1153" s="80"/>
      <c r="R1153" s="80"/>
      <c r="S1153" s="80"/>
      <c r="T1153" s="80"/>
      <c r="U1153" s="80"/>
      <c r="V1153" s="80"/>
      <c r="W1153" s="80"/>
      <c r="X1153" s="80"/>
      <c r="Y1153" s="80"/>
      <c r="Z1153" s="80"/>
    </row>
    <row r="1154">
      <c r="A1154" s="81"/>
      <c r="B1154" s="80"/>
      <c r="C1154" s="80"/>
      <c r="D1154" s="81"/>
      <c r="E1154" s="81"/>
      <c r="F1154" s="81"/>
      <c r="G1154" s="81"/>
      <c r="H1154" s="83"/>
      <c r="I1154" s="83"/>
      <c r="J1154" s="80"/>
      <c r="K1154" s="81"/>
      <c r="L1154" s="81"/>
      <c r="M1154" s="80"/>
      <c r="N1154" s="80"/>
      <c r="O1154" s="80"/>
      <c r="P1154" s="80"/>
      <c r="Q1154" s="80"/>
      <c r="R1154" s="80"/>
      <c r="S1154" s="80"/>
      <c r="T1154" s="80"/>
      <c r="U1154" s="80"/>
      <c r="V1154" s="80"/>
      <c r="W1154" s="80"/>
      <c r="X1154" s="80"/>
      <c r="Y1154" s="80"/>
      <c r="Z1154" s="80"/>
    </row>
    <row r="1155">
      <c r="A1155" s="81"/>
      <c r="B1155" s="80"/>
      <c r="C1155" s="80"/>
      <c r="D1155" s="81"/>
      <c r="E1155" s="81"/>
      <c r="F1155" s="81"/>
      <c r="G1155" s="81"/>
      <c r="H1155" s="83"/>
      <c r="I1155" s="83"/>
      <c r="J1155" s="80"/>
      <c r="K1155" s="81"/>
      <c r="L1155" s="81"/>
      <c r="M1155" s="80"/>
      <c r="N1155" s="80"/>
      <c r="O1155" s="80"/>
      <c r="P1155" s="80"/>
      <c r="Q1155" s="80"/>
      <c r="R1155" s="80"/>
      <c r="S1155" s="80"/>
      <c r="T1155" s="80"/>
      <c r="U1155" s="80"/>
      <c r="V1155" s="80"/>
      <c r="W1155" s="80"/>
      <c r="X1155" s="80"/>
      <c r="Y1155" s="80"/>
      <c r="Z1155" s="80"/>
    </row>
    <row r="1156">
      <c r="A1156" s="81"/>
      <c r="B1156" s="80"/>
      <c r="C1156" s="80"/>
      <c r="D1156" s="81"/>
      <c r="E1156" s="81"/>
      <c r="F1156" s="81"/>
      <c r="G1156" s="81"/>
      <c r="H1156" s="83"/>
      <c r="I1156" s="83"/>
      <c r="J1156" s="80"/>
      <c r="K1156" s="81"/>
      <c r="L1156" s="81"/>
      <c r="M1156" s="80"/>
      <c r="N1156" s="80"/>
      <c r="O1156" s="80"/>
      <c r="P1156" s="80"/>
      <c r="Q1156" s="80"/>
      <c r="R1156" s="80"/>
      <c r="S1156" s="80"/>
      <c r="T1156" s="80"/>
      <c r="U1156" s="80"/>
      <c r="V1156" s="80"/>
      <c r="W1156" s="80"/>
      <c r="X1156" s="80"/>
      <c r="Y1156" s="80"/>
      <c r="Z1156" s="80"/>
    </row>
    <row r="1157">
      <c r="A1157" s="81"/>
      <c r="B1157" s="80"/>
      <c r="C1157" s="80"/>
      <c r="D1157" s="81"/>
      <c r="E1157" s="81"/>
      <c r="F1157" s="81"/>
      <c r="G1157" s="81"/>
      <c r="H1157" s="83"/>
      <c r="I1157" s="83"/>
      <c r="J1157" s="80"/>
      <c r="K1157" s="81"/>
      <c r="L1157" s="81"/>
      <c r="M1157" s="80"/>
      <c r="N1157" s="80"/>
      <c r="O1157" s="80"/>
      <c r="P1157" s="80"/>
      <c r="Q1157" s="80"/>
      <c r="R1157" s="80"/>
      <c r="S1157" s="80"/>
      <c r="T1157" s="80"/>
      <c r="U1157" s="80"/>
      <c r="V1157" s="80"/>
      <c r="W1157" s="80"/>
      <c r="X1157" s="80"/>
      <c r="Y1157" s="80"/>
      <c r="Z1157" s="80"/>
    </row>
    <row r="1158">
      <c r="A1158" s="81"/>
      <c r="B1158" s="80"/>
      <c r="C1158" s="80"/>
      <c r="D1158" s="81"/>
      <c r="E1158" s="81"/>
      <c r="F1158" s="81"/>
      <c r="G1158" s="81"/>
      <c r="H1158" s="83"/>
      <c r="I1158" s="83"/>
      <c r="J1158" s="80"/>
      <c r="K1158" s="81"/>
      <c r="L1158" s="81"/>
      <c r="M1158" s="80"/>
      <c r="N1158" s="80"/>
      <c r="O1158" s="80"/>
      <c r="P1158" s="80"/>
      <c r="Q1158" s="80"/>
      <c r="R1158" s="80"/>
      <c r="S1158" s="80"/>
      <c r="T1158" s="80"/>
      <c r="U1158" s="80"/>
      <c r="V1158" s="80"/>
      <c r="W1158" s="80"/>
      <c r="X1158" s="80"/>
      <c r="Y1158" s="80"/>
      <c r="Z1158" s="80"/>
    </row>
    <row r="1159">
      <c r="A1159" s="81"/>
      <c r="B1159" s="80"/>
      <c r="C1159" s="80"/>
      <c r="D1159" s="81"/>
      <c r="E1159" s="81"/>
      <c r="F1159" s="81"/>
      <c r="G1159" s="81"/>
      <c r="H1159" s="83"/>
      <c r="I1159" s="83"/>
      <c r="J1159" s="80"/>
      <c r="K1159" s="81"/>
      <c r="L1159" s="81"/>
      <c r="M1159" s="80"/>
      <c r="N1159" s="80"/>
      <c r="O1159" s="80"/>
      <c r="P1159" s="80"/>
      <c r="Q1159" s="80"/>
      <c r="R1159" s="80"/>
      <c r="S1159" s="80"/>
      <c r="T1159" s="80"/>
      <c r="U1159" s="80"/>
      <c r="V1159" s="80"/>
      <c r="W1159" s="80"/>
      <c r="X1159" s="80"/>
      <c r="Y1159" s="80"/>
      <c r="Z1159" s="80"/>
    </row>
    <row r="1160">
      <c r="A1160" s="81"/>
      <c r="B1160" s="80"/>
      <c r="C1160" s="80"/>
      <c r="D1160" s="81"/>
      <c r="E1160" s="81"/>
      <c r="F1160" s="81"/>
      <c r="G1160" s="81"/>
      <c r="H1160" s="83"/>
      <c r="I1160" s="83"/>
      <c r="J1160" s="80"/>
      <c r="K1160" s="81"/>
      <c r="L1160" s="81"/>
      <c r="M1160" s="80"/>
      <c r="N1160" s="80"/>
      <c r="O1160" s="80"/>
      <c r="P1160" s="80"/>
      <c r="Q1160" s="80"/>
      <c r="R1160" s="80"/>
      <c r="S1160" s="80"/>
      <c r="T1160" s="80"/>
      <c r="U1160" s="80"/>
      <c r="V1160" s="80"/>
      <c r="W1160" s="80"/>
      <c r="X1160" s="80"/>
      <c r="Y1160" s="80"/>
      <c r="Z1160" s="80"/>
    </row>
    <row r="1161">
      <c r="A1161" s="81"/>
      <c r="B1161" s="80"/>
      <c r="C1161" s="80"/>
      <c r="D1161" s="81"/>
      <c r="E1161" s="81"/>
      <c r="F1161" s="81"/>
      <c r="G1161" s="81"/>
      <c r="H1161" s="83"/>
      <c r="I1161" s="83"/>
      <c r="J1161" s="80"/>
      <c r="K1161" s="81"/>
      <c r="L1161" s="81"/>
      <c r="M1161" s="80"/>
      <c r="N1161" s="80"/>
      <c r="O1161" s="80"/>
      <c r="P1161" s="80"/>
      <c r="Q1161" s="80"/>
      <c r="R1161" s="80"/>
      <c r="S1161" s="80"/>
      <c r="T1161" s="80"/>
      <c r="U1161" s="80"/>
      <c r="V1161" s="80"/>
      <c r="W1161" s="80"/>
      <c r="X1161" s="80"/>
      <c r="Y1161" s="80"/>
      <c r="Z1161" s="80"/>
    </row>
    <row r="1162">
      <c r="A1162" s="81"/>
      <c r="B1162" s="80"/>
      <c r="C1162" s="80"/>
      <c r="D1162" s="81"/>
      <c r="E1162" s="81"/>
      <c r="F1162" s="81"/>
      <c r="G1162" s="81"/>
      <c r="H1162" s="83"/>
      <c r="I1162" s="83"/>
      <c r="J1162" s="80"/>
      <c r="K1162" s="81"/>
      <c r="L1162" s="81"/>
      <c r="M1162" s="80"/>
      <c r="N1162" s="80"/>
      <c r="O1162" s="80"/>
      <c r="P1162" s="80"/>
      <c r="Q1162" s="80"/>
      <c r="R1162" s="80"/>
      <c r="S1162" s="80"/>
      <c r="T1162" s="80"/>
      <c r="U1162" s="80"/>
      <c r="V1162" s="80"/>
      <c r="W1162" s="80"/>
      <c r="X1162" s="80"/>
      <c r="Y1162" s="80"/>
      <c r="Z1162" s="80"/>
    </row>
    <row r="1163">
      <c r="A1163" s="81"/>
      <c r="B1163" s="80"/>
      <c r="C1163" s="80"/>
      <c r="D1163" s="81"/>
      <c r="E1163" s="81"/>
      <c r="F1163" s="81"/>
      <c r="G1163" s="81"/>
      <c r="H1163" s="83"/>
      <c r="I1163" s="83"/>
      <c r="J1163" s="80"/>
      <c r="K1163" s="81"/>
      <c r="L1163" s="81"/>
      <c r="M1163" s="80"/>
      <c r="N1163" s="80"/>
      <c r="O1163" s="80"/>
      <c r="P1163" s="80"/>
      <c r="Q1163" s="80"/>
      <c r="R1163" s="80"/>
      <c r="S1163" s="80"/>
      <c r="T1163" s="80"/>
      <c r="U1163" s="80"/>
      <c r="V1163" s="80"/>
      <c r="W1163" s="80"/>
      <c r="X1163" s="80"/>
      <c r="Y1163" s="80"/>
      <c r="Z1163" s="80"/>
    </row>
    <row r="1164">
      <c r="A1164" s="81"/>
      <c r="B1164" s="80"/>
      <c r="C1164" s="80"/>
      <c r="D1164" s="81"/>
      <c r="E1164" s="81"/>
      <c r="F1164" s="81"/>
      <c r="G1164" s="81"/>
      <c r="H1164" s="83"/>
      <c r="I1164" s="83"/>
      <c r="J1164" s="80"/>
      <c r="K1164" s="81"/>
      <c r="L1164" s="81"/>
      <c r="M1164" s="80"/>
      <c r="N1164" s="80"/>
      <c r="O1164" s="80"/>
      <c r="P1164" s="80"/>
      <c r="Q1164" s="80"/>
      <c r="R1164" s="80"/>
      <c r="S1164" s="80"/>
      <c r="T1164" s="80"/>
      <c r="U1164" s="80"/>
      <c r="V1164" s="80"/>
      <c r="W1164" s="80"/>
      <c r="X1164" s="80"/>
      <c r="Y1164" s="80"/>
      <c r="Z1164" s="80"/>
    </row>
    <row r="1165">
      <c r="A1165" s="81"/>
      <c r="B1165" s="80"/>
      <c r="C1165" s="80"/>
      <c r="D1165" s="81"/>
      <c r="E1165" s="81"/>
      <c r="F1165" s="81"/>
      <c r="G1165" s="81"/>
      <c r="H1165" s="83"/>
      <c r="I1165" s="83"/>
      <c r="J1165" s="80"/>
      <c r="K1165" s="81"/>
      <c r="L1165" s="81"/>
      <c r="M1165" s="80"/>
      <c r="N1165" s="80"/>
      <c r="O1165" s="80"/>
      <c r="P1165" s="80"/>
      <c r="Q1165" s="80"/>
      <c r="R1165" s="80"/>
      <c r="S1165" s="80"/>
      <c r="T1165" s="80"/>
      <c r="U1165" s="80"/>
      <c r="V1165" s="80"/>
      <c r="W1165" s="80"/>
      <c r="X1165" s="80"/>
      <c r="Y1165" s="80"/>
      <c r="Z1165" s="80"/>
    </row>
    <row r="1166">
      <c r="A1166" s="81"/>
      <c r="B1166" s="80"/>
      <c r="C1166" s="80"/>
      <c r="D1166" s="81"/>
      <c r="E1166" s="81"/>
      <c r="F1166" s="81"/>
      <c r="G1166" s="81"/>
      <c r="H1166" s="83"/>
      <c r="I1166" s="83"/>
      <c r="J1166" s="80"/>
      <c r="K1166" s="81"/>
      <c r="L1166" s="81"/>
      <c r="M1166" s="80"/>
      <c r="N1166" s="80"/>
      <c r="O1166" s="80"/>
      <c r="P1166" s="80"/>
      <c r="Q1166" s="80"/>
      <c r="R1166" s="80"/>
      <c r="S1166" s="80"/>
      <c r="T1166" s="80"/>
      <c r="U1166" s="80"/>
      <c r="V1166" s="80"/>
      <c r="W1166" s="80"/>
      <c r="X1166" s="80"/>
      <c r="Y1166" s="80"/>
      <c r="Z1166" s="80"/>
    </row>
    <row r="1167">
      <c r="A1167" s="81"/>
      <c r="B1167" s="80"/>
      <c r="C1167" s="80"/>
      <c r="D1167" s="81"/>
      <c r="E1167" s="81"/>
      <c r="F1167" s="81"/>
      <c r="G1167" s="81"/>
      <c r="H1167" s="83"/>
      <c r="I1167" s="83"/>
      <c r="J1167" s="80"/>
      <c r="K1167" s="81"/>
      <c r="L1167" s="81"/>
      <c r="M1167" s="80"/>
      <c r="N1167" s="80"/>
      <c r="O1167" s="80"/>
      <c r="P1167" s="80"/>
      <c r="Q1167" s="80"/>
      <c r="R1167" s="80"/>
      <c r="S1167" s="80"/>
      <c r="T1167" s="80"/>
      <c r="U1167" s="80"/>
      <c r="V1167" s="80"/>
      <c r="W1167" s="80"/>
      <c r="X1167" s="80"/>
      <c r="Y1167" s="80"/>
      <c r="Z1167" s="80"/>
    </row>
    <row r="1168">
      <c r="A1168" s="81"/>
      <c r="B1168" s="80"/>
      <c r="C1168" s="80"/>
      <c r="D1168" s="81"/>
      <c r="E1168" s="81"/>
      <c r="F1168" s="81"/>
      <c r="G1168" s="81"/>
      <c r="H1168" s="83"/>
      <c r="I1168" s="83"/>
      <c r="J1168" s="80"/>
      <c r="K1168" s="81"/>
      <c r="L1168" s="81"/>
      <c r="M1168" s="80"/>
      <c r="N1168" s="80"/>
      <c r="O1168" s="80"/>
      <c r="P1168" s="80"/>
      <c r="Q1168" s="80"/>
      <c r="R1168" s="80"/>
      <c r="S1168" s="80"/>
      <c r="T1168" s="80"/>
      <c r="U1168" s="80"/>
      <c r="V1168" s="80"/>
      <c r="W1168" s="80"/>
      <c r="X1168" s="80"/>
      <c r="Y1168" s="80"/>
      <c r="Z1168" s="80"/>
    </row>
    <row r="1169">
      <c r="A1169" s="81"/>
      <c r="B1169" s="80"/>
      <c r="C1169" s="80"/>
      <c r="D1169" s="81"/>
      <c r="E1169" s="81"/>
      <c r="F1169" s="81"/>
      <c r="G1169" s="81"/>
      <c r="H1169" s="83"/>
      <c r="I1169" s="83"/>
      <c r="J1169" s="80"/>
      <c r="K1169" s="81"/>
      <c r="L1169" s="81"/>
      <c r="M1169" s="80"/>
      <c r="N1169" s="80"/>
      <c r="O1169" s="80"/>
      <c r="P1169" s="80"/>
      <c r="Q1169" s="80"/>
      <c r="R1169" s="80"/>
      <c r="S1169" s="80"/>
      <c r="T1169" s="80"/>
      <c r="U1169" s="80"/>
      <c r="V1169" s="80"/>
      <c r="W1169" s="80"/>
      <c r="X1169" s="80"/>
      <c r="Y1169" s="80"/>
      <c r="Z1169" s="80"/>
    </row>
    <row r="1170">
      <c r="A1170" s="81"/>
      <c r="B1170" s="80"/>
      <c r="C1170" s="80"/>
      <c r="D1170" s="81"/>
      <c r="E1170" s="81"/>
      <c r="F1170" s="81"/>
      <c r="G1170" s="81"/>
      <c r="H1170" s="83"/>
      <c r="I1170" s="83"/>
      <c r="J1170" s="80"/>
      <c r="K1170" s="81"/>
      <c r="L1170" s="81"/>
      <c r="M1170" s="80"/>
      <c r="N1170" s="80"/>
      <c r="O1170" s="80"/>
      <c r="P1170" s="80"/>
      <c r="Q1170" s="80"/>
      <c r="R1170" s="80"/>
      <c r="S1170" s="80"/>
      <c r="T1170" s="80"/>
      <c r="U1170" s="80"/>
      <c r="V1170" s="80"/>
      <c r="W1170" s="80"/>
      <c r="X1170" s="80"/>
      <c r="Y1170" s="80"/>
      <c r="Z1170" s="80"/>
    </row>
    <row r="1171">
      <c r="A1171" s="81"/>
      <c r="B1171" s="80"/>
      <c r="C1171" s="80"/>
      <c r="D1171" s="81"/>
      <c r="E1171" s="81"/>
      <c r="F1171" s="81"/>
      <c r="G1171" s="81"/>
      <c r="H1171" s="83"/>
      <c r="I1171" s="83"/>
      <c r="J1171" s="80"/>
      <c r="K1171" s="81"/>
      <c r="L1171" s="81"/>
      <c r="M1171" s="80"/>
      <c r="N1171" s="80"/>
      <c r="O1171" s="80"/>
      <c r="P1171" s="80"/>
      <c r="Q1171" s="80"/>
      <c r="R1171" s="80"/>
      <c r="S1171" s="80"/>
      <c r="T1171" s="80"/>
      <c r="U1171" s="80"/>
      <c r="V1171" s="80"/>
      <c r="W1171" s="80"/>
      <c r="X1171" s="80"/>
      <c r="Y1171" s="80"/>
      <c r="Z1171" s="80"/>
    </row>
    <row r="1172">
      <c r="A1172" s="81"/>
      <c r="B1172" s="80"/>
      <c r="C1172" s="80"/>
      <c r="D1172" s="81"/>
      <c r="E1172" s="81"/>
      <c r="F1172" s="81"/>
      <c r="G1172" s="81"/>
      <c r="H1172" s="83"/>
      <c r="I1172" s="83"/>
      <c r="J1172" s="80"/>
      <c r="K1172" s="81"/>
      <c r="L1172" s="81"/>
      <c r="M1172" s="80"/>
      <c r="N1172" s="80"/>
      <c r="O1172" s="80"/>
      <c r="P1172" s="80"/>
      <c r="Q1172" s="80"/>
      <c r="R1172" s="80"/>
      <c r="S1172" s="80"/>
      <c r="T1172" s="80"/>
      <c r="U1172" s="80"/>
      <c r="V1172" s="80"/>
      <c r="W1172" s="80"/>
      <c r="X1172" s="80"/>
      <c r="Y1172" s="80"/>
      <c r="Z1172" s="80"/>
    </row>
    <row r="1173">
      <c r="A1173" s="81"/>
      <c r="B1173" s="80"/>
      <c r="C1173" s="80"/>
      <c r="D1173" s="81"/>
      <c r="E1173" s="81"/>
      <c r="F1173" s="81"/>
      <c r="G1173" s="81"/>
      <c r="H1173" s="83"/>
      <c r="I1173" s="83"/>
      <c r="J1173" s="80"/>
      <c r="K1173" s="81"/>
      <c r="L1173" s="81"/>
      <c r="M1173" s="80"/>
      <c r="N1173" s="80"/>
      <c r="O1173" s="80"/>
      <c r="P1173" s="80"/>
      <c r="Q1173" s="80"/>
      <c r="R1173" s="80"/>
      <c r="S1173" s="80"/>
      <c r="T1173" s="80"/>
      <c r="U1173" s="80"/>
      <c r="V1173" s="80"/>
      <c r="W1173" s="80"/>
      <c r="X1173" s="80"/>
      <c r="Y1173" s="80"/>
      <c r="Z1173" s="80"/>
    </row>
    <row r="1174">
      <c r="A1174" s="81"/>
      <c r="B1174" s="80"/>
      <c r="C1174" s="80"/>
      <c r="D1174" s="81"/>
      <c r="E1174" s="81"/>
      <c r="F1174" s="81"/>
      <c r="G1174" s="81"/>
      <c r="H1174" s="83"/>
      <c r="I1174" s="83"/>
      <c r="J1174" s="80"/>
      <c r="K1174" s="81"/>
      <c r="L1174" s="81"/>
      <c r="M1174" s="80"/>
      <c r="N1174" s="80"/>
      <c r="O1174" s="80"/>
      <c r="P1174" s="80"/>
      <c r="Q1174" s="80"/>
      <c r="R1174" s="80"/>
      <c r="S1174" s="80"/>
      <c r="T1174" s="80"/>
      <c r="U1174" s="80"/>
      <c r="V1174" s="80"/>
      <c r="W1174" s="80"/>
      <c r="X1174" s="80"/>
      <c r="Y1174" s="80"/>
      <c r="Z1174" s="80"/>
    </row>
    <row r="1175">
      <c r="A1175" s="81"/>
      <c r="B1175" s="80"/>
      <c r="C1175" s="80"/>
      <c r="D1175" s="81"/>
      <c r="E1175" s="81"/>
      <c r="F1175" s="81"/>
      <c r="G1175" s="81"/>
      <c r="H1175" s="83"/>
      <c r="I1175" s="83"/>
      <c r="J1175" s="80"/>
      <c r="K1175" s="81"/>
      <c r="L1175" s="81"/>
      <c r="M1175" s="80"/>
      <c r="N1175" s="80"/>
      <c r="O1175" s="80"/>
      <c r="P1175" s="80"/>
      <c r="Q1175" s="80"/>
      <c r="R1175" s="80"/>
      <c r="S1175" s="80"/>
      <c r="T1175" s="80"/>
      <c r="U1175" s="80"/>
      <c r="V1175" s="80"/>
      <c r="W1175" s="80"/>
      <c r="X1175" s="80"/>
      <c r="Y1175" s="80"/>
      <c r="Z1175" s="80"/>
    </row>
    <row r="1176">
      <c r="A1176" s="81"/>
      <c r="B1176" s="80"/>
      <c r="C1176" s="80"/>
      <c r="D1176" s="81"/>
      <c r="E1176" s="81"/>
      <c r="F1176" s="81"/>
      <c r="G1176" s="81"/>
      <c r="H1176" s="83"/>
      <c r="I1176" s="83"/>
      <c r="J1176" s="80"/>
      <c r="K1176" s="81"/>
      <c r="L1176" s="81"/>
      <c r="M1176" s="80"/>
      <c r="N1176" s="80"/>
      <c r="O1176" s="80"/>
      <c r="P1176" s="80"/>
      <c r="Q1176" s="80"/>
      <c r="R1176" s="80"/>
      <c r="S1176" s="80"/>
      <c r="T1176" s="80"/>
      <c r="U1176" s="80"/>
      <c r="V1176" s="80"/>
      <c r="W1176" s="80"/>
      <c r="X1176" s="80"/>
      <c r="Y1176" s="80"/>
      <c r="Z1176" s="80"/>
    </row>
    <row r="1177">
      <c r="A1177" s="81"/>
      <c r="B1177" s="80"/>
      <c r="C1177" s="80"/>
      <c r="D1177" s="81"/>
      <c r="E1177" s="81"/>
      <c r="F1177" s="81"/>
      <c r="G1177" s="81"/>
      <c r="H1177" s="83"/>
      <c r="I1177" s="83"/>
      <c r="J1177" s="80"/>
      <c r="K1177" s="81"/>
      <c r="L1177" s="81"/>
      <c r="M1177" s="80"/>
      <c r="N1177" s="80"/>
      <c r="O1177" s="80"/>
      <c r="P1177" s="80"/>
      <c r="Q1177" s="80"/>
      <c r="R1177" s="80"/>
      <c r="S1177" s="80"/>
      <c r="T1177" s="80"/>
      <c r="U1177" s="80"/>
      <c r="V1177" s="80"/>
      <c r="W1177" s="80"/>
      <c r="X1177" s="80"/>
      <c r="Y1177" s="80"/>
      <c r="Z1177" s="80"/>
    </row>
    <row r="1178">
      <c r="A1178" s="81"/>
      <c r="B1178" s="80"/>
      <c r="C1178" s="80"/>
      <c r="D1178" s="81"/>
      <c r="E1178" s="81"/>
      <c r="F1178" s="81"/>
      <c r="G1178" s="81"/>
      <c r="H1178" s="83"/>
      <c r="I1178" s="83"/>
      <c r="J1178" s="80"/>
      <c r="K1178" s="81"/>
      <c r="L1178" s="81"/>
      <c r="M1178" s="80"/>
      <c r="N1178" s="80"/>
      <c r="O1178" s="80"/>
      <c r="P1178" s="80"/>
      <c r="Q1178" s="80"/>
      <c r="R1178" s="80"/>
      <c r="S1178" s="80"/>
      <c r="T1178" s="80"/>
      <c r="U1178" s="80"/>
      <c r="V1178" s="80"/>
      <c r="W1178" s="80"/>
      <c r="X1178" s="80"/>
      <c r="Y1178" s="80"/>
      <c r="Z1178" s="80"/>
    </row>
    <row r="1179">
      <c r="A1179" s="81"/>
      <c r="B1179" s="80"/>
      <c r="C1179" s="80"/>
      <c r="D1179" s="81"/>
      <c r="E1179" s="81"/>
      <c r="F1179" s="81"/>
      <c r="G1179" s="81"/>
      <c r="H1179" s="83"/>
      <c r="I1179" s="83"/>
      <c r="J1179" s="80"/>
      <c r="K1179" s="81"/>
      <c r="L1179" s="81"/>
      <c r="M1179" s="80"/>
      <c r="N1179" s="80"/>
      <c r="O1179" s="80"/>
      <c r="P1179" s="80"/>
      <c r="Q1179" s="80"/>
      <c r="R1179" s="80"/>
      <c r="S1179" s="80"/>
      <c r="T1179" s="80"/>
      <c r="U1179" s="80"/>
      <c r="V1179" s="80"/>
      <c r="W1179" s="80"/>
      <c r="X1179" s="80"/>
      <c r="Y1179" s="80"/>
      <c r="Z1179" s="80"/>
    </row>
    <row r="1180">
      <c r="A1180" s="81"/>
      <c r="B1180" s="80"/>
      <c r="C1180" s="80"/>
      <c r="D1180" s="81"/>
      <c r="E1180" s="81"/>
      <c r="F1180" s="81"/>
      <c r="G1180" s="81"/>
      <c r="H1180" s="83"/>
      <c r="I1180" s="83"/>
      <c r="J1180" s="80"/>
      <c r="K1180" s="81"/>
      <c r="L1180" s="81"/>
      <c r="M1180" s="80"/>
      <c r="N1180" s="80"/>
      <c r="O1180" s="80"/>
      <c r="P1180" s="80"/>
      <c r="Q1180" s="80"/>
      <c r="R1180" s="80"/>
      <c r="S1180" s="80"/>
      <c r="T1180" s="80"/>
      <c r="U1180" s="80"/>
      <c r="V1180" s="80"/>
      <c r="W1180" s="80"/>
      <c r="X1180" s="80"/>
      <c r="Y1180" s="80"/>
      <c r="Z1180" s="80"/>
    </row>
    <row r="1181">
      <c r="A1181" s="81"/>
      <c r="B1181" s="80"/>
      <c r="C1181" s="80"/>
      <c r="D1181" s="81"/>
      <c r="E1181" s="81"/>
      <c r="F1181" s="81"/>
      <c r="G1181" s="81"/>
      <c r="H1181" s="83"/>
      <c r="I1181" s="83"/>
      <c r="J1181" s="80"/>
      <c r="K1181" s="81"/>
      <c r="L1181" s="81"/>
      <c r="M1181" s="80"/>
      <c r="N1181" s="80"/>
      <c r="O1181" s="80"/>
      <c r="P1181" s="80"/>
      <c r="Q1181" s="80"/>
      <c r="R1181" s="80"/>
      <c r="S1181" s="80"/>
      <c r="T1181" s="80"/>
      <c r="U1181" s="80"/>
      <c r="V1181" s="80"/>
      <c r="W1181" s="80"/>
      <c r="X1181" s="80"/>
      <c r="Y1181" s="80"/>
      <c r="Z1181" s="80"/>
    </row>
    <row r="1182">
      <c r="A1182" s="81"/>
      <c r="B1182" s="80"/>
      <c r="C1182" s="80"/>
      <c r="D1182" s="81"/>
      <c r="E1182" s="81"/>
      <c r="F1182" s="81"/>
      <c r="G1182" s="81"/>
      <c r="H1182" s="83"/>
      <c r="I1182" s="83"/>
      <c r="J1182" s="80"/>
      <c r="K1182" s="81"/>
      <c r="L1182" s="81"/>
      <c r="M1182" s="80"/>
      <c r="N1182" s="80"/>
      <c r="O1182" s="80"/>
      <c r="P1182" s="80"/>
      <c r="Q1182" s="80"/>
      <c r="R1182" s="80"/>
      <c r="S1182" s="80"/>
      <c r="T1182" s="80"/>
      <c r="U1182" s="80"/>
      <c r="V1182" s="80"/>
      <c r="W1182" s="80"/>
      <c r="X1182" s="80"/>
      <c r="Y1182" s="80"/>
      <c r="Z1182" s="80"/>
    </row>
    <row r="1183">
      <c r="A1183" s="81"/>
      <c r="B1183" s="80"/>
      <c r="C1183" s="80"/>
      <c r="D1183" s="81"/>
      <c r="E1183" s="81"/>
      <c r="F1183" s="81"/>
      <c r="G1183" s="81"/>
      <c r="H1183" s="83"/>
      <c r="I1183" s="83"/>
      <c r="J1183" s="80"/>
      <c r="K1183" s="81"/>
      <c r="L1183" s="81"/>
      <c r="M1183" s="80"/>
      <c r="N1183" s="80"/>
      <c r="O1183" s="80"/>
      <c r="P1183" s="80"/>
      <c r="Q1183" s="80"/>
      <c r="R1183" s="80"/>
      <c r="S1183" s="80"/>
      <c r="T1183" s="80"/>
      <c r="U1183" s="80"/>
      <c r="V1183" s="80"/>
      <c r="W1183" s="80"/>
      <c r="X1183" s="80"/>
      <c r="Y1183" s="80"/>
      <c r="Z1183" s="80"/>
    </row>
    <row r="1184">
      <c r="A1184" s="81"/>
      <c r="B1184" s="80"/>
      <c r="C1184" s="80"/>
      <c r="D1184" s="81"/>
      <c r="E1184" s="81"/>
      <c r="F1184" s="81"/>
      <c r="G1184" s="81"/>
      <c r="H1184" s="83"/>
      <c r="I1184" s="83"/>
      <c r="J1184" s="80"/>
      <c r="K1184" s="81"/>
      <c r="L1184" s="81"/>
      <c r="M1184" s="80"/>
      <c r="N1184" s="80"/>
      <c r="O1184" s="80"/>
      <c r="P1184" s="80"/>
      <c r="Q1184" s="80"/>
      <c r="R1184" s="80"/>
      <c r="S1184" s="80"/>
      <c r="T1184" s="80"/>
      <c r="U1184" s="80"/>
      <c r="V1184" s="80"/>
      <c r="W1184" s="80"/>
      <c r="X1184" s="80"/>
      <c r="Y1184" s="80"/>
      <c r="Z1184" s="80"/>
    </row>
    <row r="1185">
      <c r="A1185" s="81"/>
      <c r="B1185" s="80"/>
      <c r="C1185" s="80"/>
      <c r="D1185" s="81"/>
      <c r="E1185" s="81"/>
      <c r="F1185" s="81"/>
      <c r="G1185" s="81"/>
      <c r="H1185" s="83"/>
      <c r="I1185" s="83"/>
      <c r="J1185" s="80"/>
      <c r="K1185" s="81"/>
      <c r="L1185" s="81"/>
      <c r="M1185" s="80"/>
      <c r="N1185" s="80"/>
      <c r="O1185" s="80"/>
      <c r="P1185" s="80"/>
      <c r="Q1185" s="80"/>
      <c r="R1185" s="80"/>
      <c r="S1185" s="80"/>
      <c r="T1185" s="80"/>
      <c r="U1185" s="80"/>
      <c r="V1185" s="80"/>
      <c r="W1185" s="80"/>
      <c r="X1185" s="80"/>
      <c r="Y1185" s="80"/>
      <c r="Z1185" s="80"/>
    </row>
    <row r="1186">
      <c r="A1186" s="81"/>
      <c r="B1186" s="80"/>
      <c r="C1186" s="80"/>
      <c r="D1186" s="81"/>
      <c r="E1186" s="81"/>
      <c r="F1186" s="81"/>
      <c r="G1186" s="81"/>
      <c r="H1186" s="83"/>
      <c r="I1186" s="83"/>
      <c r="J1186" s="80"/>
      <c r="K1186" s="81"/>
      <c r="L1186" s="81"/>
      <c r="M1186" s="80"/>
      <c r="N1186" s="80"/>
      <c r="O1186" s="80"/>
      <c r="P1186" s="80"/>
      <c r="Q1186" s="80"/>
      <c r="R1186" s="80"/>
      <c r="S1186" s="80"/>
      <c r="T1186" s="80"/>
      <c r="U1186" s="80"/>
      <c r="V1186" s="80"/>
      <c r="W1186" s="80"/>
      <c r="X1186" s="80"/>
      <c r="Y1186" s="80"/>
      <c r="Z1186" s="80"/>
    </row>
    <row r="1187">
      <c r="A1187" s="81"/>
      <c r="B1187" s="80"/>
      <c r="C1187" s="80"/>
      <c r="D1187" s="81"/>
      <c r="E1187" s="81"/>
      <c r="F1187" s="81"/>
      <c r="G1187" s="81"/>
      <c r="H1187" s="83"/>
      <c r="I1187" s="83"/>
      <c r="J1187" s="80"/>
      <c r="K1187" s="81"/>
      <c r="L1187" s="81"/>
      <c r="M1187" s="80"/>
      <c r="N1187" s="80"/>
      <c r="O1187" s="80"/>
      <c r="P1187" s="80"/>
      <c r="Q1187" s="80"/>
      <c r="R1187" s="80"/>
      <c r="S1187" s="80"/>
      <c r="T1187" s="80"/>
      <c r="U1187" s="80"/>
      <c r="V1187" s="80"/>
      <c r="W1187" s="80"/>
      <c r="X1187" s="80"/>
      <c r="Y1187" s="80"/>
      <c r="Z1187" s="80"/>
    </row>
    <row r="1188">
      <c r="A1188" s="81"/>
      <c r="B1188" s="80"/>
      <c r="C1188" s="80"/>
      <c r="D1188" s="81"/>
      <c r="E1188" s="81"/>
      <c r="F1188" s="81"/>
      <c r="G1188" s="81"/>
      <c r="H1188" s="83"/>
      <c r="I1188" s="83"/>
      <c r="J1188" s="80"/>
      <c r="K1188" s="81"/>
      <c r="L1188" s="81"/>
      <c r="M1188" s="80"/>
      <c r="N1188" s="80"/>
      <c r="O1188" s="80"/>
      <c r="P1188" s="80"/>
      <c r="Q1188" s="80"/>
      <c r="R1188" s="80"/>
      <c r="S1188" s="80"/>
      <c r="T1188" s="80"/>
      <c r="U1188" s="80"/>
      <c r="V1188" s="80"/>
      <c r="W1188" s="80"/>
      <c r="X1188" s="80"/>
      <c r="Y1188" s="80"/>
      <c r="Z1188" s="80"/>
    </row>
    <row r="1189">
      <c r="A1189" s="81"/>
      <c r="B1189" s="80"/>
      <c r="C1189" s="80"/>
      <c r="D1189" s="81"/>
      <c r="E1189" s="81"/>
      <c r="F1189" s="81"/>
      <c r="G1189" s="81"/>
      <c r="H1189" s="83"/>
      <c r="I1189" s="83"/>
      <c r="J1189" s="80"/>
      <c r="K1189" s="81"/>
      <c r="L1189" s="81"/>
      <c r="M1189" s="80"/>
      <c r="N1189" s="80"/>
      <c r="O1189" s="80"/>
      <c r="P1189" s="80"/>
      <c r="Q1189" s="80"/>
      <c r="R1189" s="80"/>
      <c r="S1189" s="80"/>
      <c r="T1189" s="80"/>
      <c r="U1189" s="80"/>
      <c r="V1189" s="80"/>
      <c r="W1189" s="80"/>
      <c r="X1189" s="80"/>
      <c r="Y1189" s="80"/>
      <c r="Z1189" s="80"/>
    </row>
    <row r="1190">
      <c r="A1190" s="81"/>
      <c r="B1190" s="80"/>
      <c r="C1190" s="80"/>
      <c r="D1190" s="81"/>
      <c r="E1190" s="81"/>
      <c r="F1190" s="81"/>
      <c r="G1190" s="81"/>
      <c r="H1190" s="83"/>
      <c r="I1190" s="83"/>
      <c r="J1190" s="80"/>
      <c r="K1190" s="81"/>
      <c r="L1190" s="81"/>
      <c r="M1190" s="80"/>
      <c r="N1190" s="80"/>
      <c r="O1190" s="80"/>
      <c r="P1190" s="80"/>
      <c r="Q1190" s="80"/>
      <c r="R1190" s="80"/>
      <c r="S1190" s="80"/>
      <c r="T1190" s="80"/>
      <c r="U1190" s="80"/>
      <c r="V1190" s="80"/>
      <c r="W1190" s="80"/>
      <c r="X1190" s="80"/>
      <c r="Y1190" s="80"/>
      <c r="Z1190" s="80"/>
    </row>
    <row r="1191">
      <c r="A1191" s="81"/>
      <c r="B1191" s="80"/>
      <c r="C1191" s="80"/>
      <c r="D1191" s="81"/>
      <c r="E1191" s="81"/>
      <c r="F1191" s="81"/>
      <c r="G1191" s="81"/>
      <c r="H1191" s="83"/>
      <c r="I1191" s="83"/>
      <c r="J1191" s="80"/>
      <c r="K1191" s="81"/>
      <c r="L1191" s="81"/>
      <c r="M1191" s="80"/>
      <c r="N1191" s="80"/>
      <c r="O1191" s="80"/>
      <c r="P1191" s="80"/>
      <c r="Q1191" s="80"/>
      <c r="R1191" s="80"/>
      <c r="S1191" s="80"/>
      <c r="T1191" s="80"/>
      <c r="U1191" s="80"/>
      <c r="V1191" s="80"/>
      <c r="W1191" s="80"/>
      <c r="X1191" s="80"/>
      <c r="Y1191" s="80"/>
      <c r="Z1191" s="80"/>
    </row>
    <row r="1192">
      <c r="A1192" s="81"/>
      <c r="B1192" s="80"/>
      <c r="C1192" s="80"/>
      <c r="D1192" s="81"/>
      <c r="E1192" s="81"/>
      <c r="F1192" s="81"/>
      <c r="G1192" s="81"/>
      <c r="H1192" s="83"/>
      <c r="I1192" s="83"/>
      <c r="J1192" s="80"/>
      <c r="K1192" s="81"/>
      <c r="L1192" s="81"/>
      <c r="M1192" s="80"/>
      <c r="N1192" s="80"/>
      <c r="O1192" s="80"/>
      <c r="P1192" s="80"/>
      <c r="Q1192" s="80"/>
      <c r="R1192" s="80"/>
      <c r="S1192" s="80"/>
      <c r="T1192" s="80"/>
      <c r="U1192" s="80"/>
      <c r="V1192" s="80"/>
      <c r="W1192" s="80"/>
      <c r="X1192" s="80"/>
      <c r="Y1192" s="80"/>
      <c r="Z1192" s="80"/>
    </row>
    <row r="1193">
      <c r="A1193" s="81"/>
      <c r="B1193" s="80"/>
      <c r="C1193" s="80"/>
      <c r="D1193" s="81"/>
      <c r="E1193" s="81"/>
      <c r="F1193" s="81"/>
      <c r="G1193" s="81"/>
      <c r="H1193" s="83"/>
      <c r="I1193" s="83"/>
      <c r="J1193" s="80"/>
      <c r="K1193" s="81"/>
      <c r="L1193" s="81"/>
      <c r="M1193" s="80"/>
      <c r="N1193" s="80"/>
      <c r="O1193" s="80"/>
      <c r="P1193" s="80"/>
      <c r="Q1193" s="80"/>
      <c r="R1193" s="80"/>
      <c r="S1193" s="80"/>
      <c r="T1193" s="80"/>
      <c r="U1193" s="80"/>
      <c r="V1193" s="80"/>
      <c r="W1193" s="80"/>
      <c r="X1193" s="80"/>
      <c r="Y1193" s="80"/>
      <c r="Z1193" s="80"/>
    </row>
    <row r="1194">
      <c r="A1194" s="81"/>
      <c r="B1194" s="80"/>
      <c r="C1194" s="80"/>
      <c r="D1194" s="81"/>
      <c r="E1194" s="81"/>
      <c r="F1194" s="81"/>
      <c r="G1194" s="81"/>
      <c r="H1194" s="83"/>
      <c r="I1194" s="83"/>
      <c r="J1194" s="80"/>
      <c r="K1194" s="81"/>
      <c r="L1194" s="81"/>
      <c r="M1194" s="80"/>
      <c r="N1194" s="80"/>
      <c r="O1194" s="80"/>
      <c r="P1194" s="80"/>
      <c r="Q1194" s="80"/>
      <c r="R1194" s="80"/>
      <c r="S1194" s="80"/>
      <c r="T1194" s="80"/>
      <c r="U1194" s="80"/>
      <c r="V1194" s="80"/>
      <c r="W1194" s="80"/>
      <c r="X1194" s="80"/>
      <c r="Y1194" s="80"/>
      <c r="Z1194" s="80"/>
    </row>
    <row r="1195">
      <c r="A1195" s="81"/>
      <c r="B1195" s="80"/>
      <c r="C1195" s="80"/>
      <c r="D1195" s="81"/>
      <c r="E1195" s="81"/>
      <c r="F1195" s="81"/>
      <c r="G1195" s="81"/>
      <c r="H1195" s="83"/>
      <c r="I1195" s="83"/>
      <c r="J1195" s="80"/>
      <c r="K1195" s="81"/>
      <c r="L1195" s="81"/>
      <c r="M1195" s="80"/>
      <c r="N1195" s="80"/>
      <c r="O1195" s="80"/>
      <c r="P1195" s="80"/>
      <c r="Q1195" s="80"/>
      <c r="R1195" s="80"/>
      <c r="S1195" s="80"/>
      <c r="T1195" s="80"/>
      <c r="U1195" s="80"/>
      <c r="V1195" s="80"/>
      <c r="W1195" s="80"/>
      <c r="X1195" s="80"/>
      <c r="Y1195" s="80"/>
      <c r="Z1195" s="80"/>
    </row>
    <row r="1196">
      <c r="A1196" s="81"/>
      <c r="B1196" s="80"/>
      <c r="C1196" s="80"/>
      <c r="D1196" s="81"/>
      <c r="E1196" s="81"/>
      <c r="F1196" s="81"/>
      <c r="G1196" s="81"/>
      <c r="H1196" s="83"/>
      <c r="I1196" s="83"/>
      <c r="J1196" s="80"/>
      <c r="K1196" s="81"/>
      <c r="L1196" s="81"/>
      <c r="M1196" s="80"/>
      <c r="N1196" s="80"/>
      <c r="O1196" s="80"/>
      <c r="P1196" s="80"/>
      <c r="Q1196" s="80"/>
      <c r="R1196" s="80"/>
      <c r="S1196" s="80"/>
      <c r="T1196" s="80"/>
      <c r="U1196" s="80"/>
      <c r="V1196" s="80"/>
      <c r="W1196" s="80"/>
      <c r="X1196" s="80"/>
      <c r="Y1196" s="80"/>
      <c r="Z1196" s="80"/>
    </row>
    <row r="1197">
      <c r="A1197" s="81"/>
      <c r="B1197" s="80"/>
      <c r="C1197" s="80"/>
      <c r="D1197" s="81"/>
      <c r="E1197" s="81"/>
      <c r="F1197" s="81"/>
      <c r="G1197" s="81"/>
      <c r="H1197" s="83"/>
      <c r="I1197" s="83"/>
      <c r="J1197" s="80"/>
      <c r="K1197" s="81"/>
      <c r="L1197" s="81"/>
      <c r="M1197" s="80"/>
      <c r="N1197" s="80"/>
      <c r="O1197" s="80"/>
      <c r="P1197" s="80"/>
      <c r="Q1197" s="80"/>
      <c r="R1197" s="80"/>
      <c r="S1197" s="80"/>
      <c r="T1197" s="80"/>
      <c r="U1197" s="80"/>
      <c r="V1197" s="80"/>
      <c r="W1197" s="80"/>
      <c r="X1197" s="80"/>
      <c r="Y1197" s="80"/>
      <c r="Z1197" s="80"/>
    </row>
    <row r="1198">
      <c r="A1198" s="81"/>
      <c r="B1198" s="80"/>
      <c r="C1198" s="80"/>
      <c r="D1198" s="81"/>
      <c r="E1198" s="81"/>
      <c r="F1198" s="81"/>
      <c r="G1198" s="81"/>
      <c r="H1198" s="83"/>
      <c r="I1198" s="83"/>
      <c r="J1198" s="80"/>
      <c r="K1198" s="81"/>
      <c r="L1198" s="81"/>
      <c r="M1198" s="80"/>
      <c r="N1198" s="80"/>
      <c r="O1198" s="80"/>
      <c r="P1198" s="80"/>
      <c r="Q1198" s="80"/>
      <c r="R1198" s="80"/>
      <c r="S1198" s="80"/>
      <c r="T1198" s="80"/>
      <c r="U1198" s="80"/>
      <c r="V1198" s="80"/>
      <c r="W1198" s="80"/>
      <c r="X1198" s="80"/>
      <c r="Y1198" s="80"/>
      <c r="Z1198" s="80"/>
    </row>
    <row r="1199">
      <c r="A1199" s="81"/>
      <c r="B1199" s="80"/>
      <c r="C1199" s="80"/>
      <c r="D1199" s="81"/>
      <c r="E1199" s="81"/>
      <c r="F1199" s="81"/>
      <c r="G1199" s="81"/>
      <c r="H1199" s="83"/>
      <c r="I1199" s="83"/>
      <c r="J1199" s="80"/>
      <c r="K1199" s="81"/>
      <c r="L1199" s="81"/>
      <c r="M1199" s="80"/>
      <c r="N1199" s="80"/>
      <c r="O1199" s="80"/>
      <c r="P1199" s="80"/>
      <c r="Q1199" s="80"/>
      <c r="R1199" s="80"/>
      <c r="S1199" s="80"/>
      <c r="T1199" s="80"/>
      <c r="U1199" s="80"/>
      <c r="V1199" s="80"/>
      <c r="W1199" s="80"/>
      <c r="X1199" s="80"/>
      <c r="Y1199" s="80"/>
      <c r="Z1199" s="80"/>
    </row>
    <row r="1200">
      <c r="A1200" s="81"/>
      <c r="B1200" s="80"/>
      <c r="C1200" s="80"/>
      <c r="D1200" s="81"/>
      <c r="E1200" s="81"/>
      <c r="F1200" s="81"/>
      <c r="G1200" s="81"/>
      <c r="H1200" s="83"/>
      <c r="I1200" s="83"/>
      <c r="J1200" s="80"/>
      <c r="K1200" s="81"/>
      <c r="L1200" s="81"/>
      <c r="M1200" s="80"/>
      <c r="N1200" s="80"/>
      <c r="O1200" s="80"/>
      <c r="P1200" s="80"/>
      <c r="Q1200" s="80"/>
      <c r="R1200" s="80"/>
      <c r="S1200" s="80"/>
      <c r="T1200" s="80"/>
      <c r="U1200" s="80"/>
      <c r="V1200" s="80"/>
      <c r="W1200" s="80"/>
      <c r="X1200" s="80"/>
      <c r="Y1200" s="80"/>
      <c r="Z1200" s="80"/>
    </row>
    <row r="1201">
      <c r="A1201" s="81"/>
      <c r="B1201" s="80"/>
      <c r="C1201" s="80"/>
      <c r="D1201" s="81"/>
      <c r="E1201" s="81"/>
      <c r="F1201" s="81"/>
      <c r="G1201" s="81"/>
      <c r="H1201" s="83"/>
      <c r="I1201" s="83"/>
      <c r="J1201" s="80"/>
      <c r="K1201" s="81"/>
      <c r="L1201" s="81"/>
      <c r="M1201" s="80"/>
      <c r="N1201" s="80"/>
      <c r="O1201" s="80"/>
      <c r="P1201" s="80"/>
      <c r="Q1201" s="80"/>
      <c r="R1201" s="80"/>
      <c r="S1201" s="80"/>
      <c r="T1201" s="80"/>
      <c r="U1201" s="80"/>
      <c r="V1201" s="80"/>
      <c r="W1201" s="80"/>
      <c r="X1201" s="80"/>
      <c r="Y1201" s="80"/>
      <c r="Z1201" s="80"/>
    </row>
    <row r="1202">
      <c r="A1202" s="81"/>
      <c r="B1202" s="80"/>
      <c r="C1202" s="80"/>
      <c r="D1202" s="81"/>
      <c r="E1202" s="81"/>
      <c r="F1202" s="81"/>
      <c r="G1202" s="81"/>
      <c r="H1202" s="83"/>
      <c r="I1202" s="83"/>
      <c r="J1202" s="80"/>
      <c r="K1202" s="81"/>
      <c r="L1202" s="81"/>
      <c r="M1202" s="80"/>
      <c r="N1202" s="80"/>
      <c r="O1202" s="80"/>
      <c r="P1202" s="80"/>
      <c r="Q1202" s="80"/>
      <c r="R1202" s="80"/>
      <c r="S1202" s="80"/>
      <c r="T1202" s="80"/>
      <c r="U1202" s="80"/>
      <c r="V1202" s="80"/>
      <c r="W1202" s="80"/>
      <c r="X1202" s="80"/>
      <c r="Y1202" s="80"/>
      <c r="Z1202" s="80"/>
    </row>
    <row r="1203">
      <c r="A1203" s="81"/>
      <c r="B1203" s="80"/>
      <c r="C1203" s="80"/>
      <c r="D1203" s="81"/>
      <c r="E1203" s="81"/>
      <c r="F1203" s="81"/>
      <c r="G1203" s="81"/>
      <c r="H1203" s="83"/>
      <c r="I1203" s="83"/>
      <c r="J1203" s="80"/>
      <c r="K1203" s="81"/>
      <c r="L1203" s="81"/>
      <c r="M1203" s="80"/>
      <c r="N1203" s="80"/>
      <c r="O1203" s="80"/>
      <c r="P1203" s="80"/>
      <c r="Q1203" s="80"/>
      <c r="R1203" s="80"/>
      <c r="S1203" s="80"/>
      <c r="T1203" s="80"/>
      <c r="U1203" s="80"/>
      <c r="V1203" s="80"/>
      <c r="W1203" s="80"/>
      <c r="X1203" s="80"/>
      <c r="Y1203" s="80"/>
      <c r="Z1203" s="80"/>
    </row>
    <row r="1204">
      <c r="A1204" s="81"/>
      <c r="B1204" s="80"/>
      <c r="C1204" s="80"/>
      <c r="D1204" s="81"/>
      <c r="E1204" s="81"/>
      <c r="F1204" s="81"/>
      <c r="G1204" s="81"/>
      <c r="H1204" s="83"/>
      <c r="I1204" s="83"/>
      <c r="J1204" s="80"/>
      <c r="K1204" s="81"/>
      <c r="L1204" s="81"/>
      <c r="M1204" s="80"/>
      <c r="N1204" s="80"/>
      <c r="O1204" s="80"/>
      <c r="P1204" s="80"/>
      <c r="Q1204" s="80"/>
      <c r="R1204" s="80"/>
      <c r="S1204" s="80"/>
      <c r="T1204" s="80"/>
      <c r="U1204" s="80"/>
      <c r="V1204" s="80"/>
      <c r="W1204" s="80"/>
      <c r="X1204" s="80"/>
      <c r="Y1204" s="80"/>
      <c r="Z1204" s="80"/>
    </row>
    <row r="1205">
      <c r="A1205" s="81"/>
      <c r="B1205" s="80"/>
      <c r="C1205" s="80"/>
      <c r="D1205" s="81"/>
      <c r="E1205" s="81"/>
      <c r="F1205" s="81"/>
      <c r="G1205" s="81"/>
      <c r="H1205" s="83"/>
      <c r="I1205" s="83"/>
      <c r="J1205" s="80"/>
      <c r="K1205" s="81"/>
      <c r="L1205" s="81"/>
      <c r="M1205" s="80"/>
      <c r="N1205" s="80"/>
      <c r="O1205" s="80"/>
      <c r="P1205" s="80"/>
      <c r="Q1205" s="80"/>
      <c r="R1205" s="80"/>
      <c r="S1205" s="80"/>
      <c r="T1205" s="80"/>
      <c r="U1205" s="80"/>
      <c r="V1205" s="80"/>
      <c r="W1205" s="80"/>
      <c r="X1205" s="80"/>
      <c r="Y1205" s="80"/>
      <c r="Z1205" s="80"/>
    </row>
    <row r="1206">
      <c r="A1206" s="81"/>
      <c r="B1206" s="80"/>
      <c r="C1206" s="80"/>
      <c r="D1206" s="81"/>
      <c r="E1206" s="81"/>
      <c r="F1206" s="81"/>
      <c r="G1206" s="81"/>
      <c r="H1206" s="83"/>
      <c r="I1206" s="83"/>
      <c r="J1206" s="80"/>
      <c r="K1206" s="81"/>
      <c r="L1206" s="81"/>
      <c r="M1206" s="80"/>
      <c r="N1206" s="80"/>
      <c r="O1206" s="80"/>
      <c r="P1206" s="80"/>
      <c r="Q1206" s="80"/>
      <c r="R1206" s="80"/>
      <c r="S1206" s="80"/>
      <c r="T1206" s="80"/>
      <c r="U1206" s="80"/>
      <c r="V1206" s="80"/>
      <c r="W1206" s="80"/>
      <c r="X1206" s="80"/>
      <c r="Y1206" s="80"/>
      <c r="Z1206" s="80"/>
    </row>
    <row r="1207">
      <c r="A1207" s="81"/>
      <c r="B1207" s="80"/>
      <c r="C1207" s="80"/>
      <c r="D1207" s="81"/>
      <c r="E1207" s="81"/>
      <c r="F1207" s="81"/>
      <c r="G1207" s="81"/>
      <c r="H1207" s="83"/>
      <c r="I1207" s="83"/>
      <c r="J1207" s="80"/>
      <c r="K1207" s="81"/>
      <c r="L1207" s="81"/>
      <c r="M1207" s="80"/>
      <c r="N1207" s="80"/>
      <c r="O1207" s="80"/>
      <c r="P1207" s="80"/>
      <c r="Q1207" s="80"/>
      <c r="R1207" s="80"/>
      <c r="S1207" s="80"/>
      <c r="T1207" s="80"/>
      <c r="U1207" s="80"/>
      <c r="V1207" s="80"/>
      <c r="W1207" s="80"/>
      <c r="X1207" s="80"/>
      <c r="Y1207" s="80"/>
      <c r="Z1207" s="80"/>
    </row>
    <row r="1208">
      <c r="A1208" s="81"/>
      <c r="B1208" s="80"/>
      <c r="C1208" s="80"/>
      <c r="D1208" s="81"/>
      <c r="E1208" s="81"/>
      <c r="F1208" s="81"/>
      <c r="G1208" s="81"/>
      <c r="H1208" s="83"/>
      <c r="I1208" s="83"/>
      <c r="J1208" s="80"/>
      <c r="K1208" s="81"/>
      <c r="L1208" s="81"/>
      <c r="M1208" s="80"/>
      <c r="N1208" s="80"/>
      <c r="O1208" s="80"/>
      <c r="P1208" s="80"/>
      <c r="Q1208" s="80"/>
      <c r="R1208" s="80"/>
      <c r="S1208" s="80"/>
      <c r="T1208" s="80"/>
      <c r="U1208" s="80"/>
      <c r="V1208" s="80"/>
      <c r="W1208" s="80"/>
      <c r="X1208" s="80"/>
      <c r="Y1208" s="80"/>
      <c r="Z1208" s="80"/>
    </row>
    <row r="1209">
      <c r="A1209" s="81"/>
      <c r="B1209" s="80"/>
      <c r="C1209" s="80"/>
      <c r="D1209" s="81"/>
      <c r="E1209" s="81"/>
      <c r="F1209" s="81"/>
      <c r="G1209" s="81"/>
      <c r="H1209" s="83"/>
      <c r="I1209" s="83"/>
      <c r="J1209" s="80"/>
      <c r="K1209" s="81"/>
      <c r="L1209" s="81"/>
      <c r="M1209" s="80"/>
      <c r="N1209" s="80"/>
      <c r="O1209" s="80"/>
      <c r="P1209" s="80"/>
      <c r="Q1209" s="80"/>
      <c r="R1209" s="80"/>
      <c r="S1209" s="80"/>
      <c r="T1209" s="80"/>
      <c r="U1209" s="80"/>
      <c r="V1209" s="80"/>
      <c r="W1209" s="80"/>
      <c r="X1209" s="80"/>
      <c r="Y1209" s="80"/>
      <c r="Z1209" s="80"/>
    </row>
    <row r="1210">
      <c r="A1210" s="81"/>
      <c r="B1210" s="80"/>
      <c r="C1210" s="80"/>
      <c r="D1210" s="81"/>
      <c r="E1210" s="81"/>
      <c r="F1210" s="81"/>
      <c r="G1210" s="81"/>
      <c r="H1210" s="83"/>
      <c r="I1210" s="83"/>
      <c r="J1210" s="80"/>
      <c r="K1210" s="81"/>
      <c r="L1210" s="81"/>
      <c r="M1210" s="80"/>
      <c r="N1210" s="80"/>
      <c r="O1210" s="80"/>
      <c r="P1210" s="80"/>
      <c r="Q1210" s="80"/>
      <c r="R1210" s="80"/>
      <c r="S1210" s="80"/>
      <c r="T1210" s="80"/>
      <c r="U1210" s="80"/>
      <c r="V1210" s="80"/>
      <c r="W1210" s="80"/>
      <c r="X1210" s="80"/>
      <c r="Y1210" s="80"/>
      <c r="Z1210" s="80"/>
    </row>
    <row r="1211">
      <c r="A1211" s="81"/>
      <c r="B1211" s="80"/>
      <c r="C1211" s="80"/>
      <c r="D1211" s="81"/>
      <c r="E1211" s="81"/>
      <c r="F1211" s="81"/>
      <c r="G1211" s="81"/>
      <c r="H1211" s="83"/>
      <c r="I1211" s="83"/>
      <c r="J1211" s="80"/>
      <c r="K1211" s="81"/>
      <c r="L1211" s="81"/>
      <c r="M1211" s="80"/>
      <c r="N1211" s="80"/>
      <c r="O1211" s="80"/>
      <c r="P1211" s="80"/>
      <c r="Q1211" s="80"/>
      <c r="R1211" s="80"/>
      <c r="S1211" s="80"/>
      <c r="T1211" s="80"/>
      <c r="U1211" s="80"/>
      <c r="V1211" s="80"/>
      <c r="W1211" s="80"/>
      <c r="X1211" s="80"/>
      <c r="Y1211" s="80"/>
      <c r="Z1211" s="80"/>
    </row>
    <row r="1212">
      <c r="A1212" s="81"/>
      <c r="B1212" s="80"/>
      <c r="C1212" s="80"/>
      <c r="D1212" s="81"/>
      <c r="E1212" s="81"/>
      <c r="F1212" s="81"/>
      <c r="G1212" s="81"/>
      <c r="H1212" s="83"/>
      <c r="I1212" s="83"/>
      <c r="J1212" s="80"/>
      <c r="K1212" s="81"/>
      <c r="L1212" s="81"/>
      <c r="M1212" s="80"/>
      <c r="N1212" s="80"/>
      <c r="O1212" s="80"/>
      <c r="P1212" s="80"/>
      <c r="Q1212" s="80"/>
      <c r="R1212" s="80"/>
      <c r="S1212" s="80"/>
      <c r="T1212" s="80"/>
      <c r="U1212" s="80"/>
      <c r="V1212" s="80"/>
      <c r="W1212" s="80"/>
      <c r="X1212" s="80"/>
      <c r="Y1212" s="80"/>
      <c r="Z1212" s="80"/>
    </row>
    <row r="1213">
      <c r="A1213" s="81"/>
      <c r="B1213" s="80"/>
      <c r="C1213" s="80"/>
      <c r="D1213" s="81"/>
      <c r="E1213" s="81"/>
      <c r="F1213" s="81"/>
      <c r="G1213" s="81"/>
      <c r="H1213" s="83"/>
      <c r="I1213" s="83"/>
      <c r="J1213" s="80"/>
      <c r="K1213" s="81"/>
      <c r="L1213" s="81"/>
      <c r="M1213" s="80"/>
      <c r="N1213" s="80"/>
      <c r="O1213" s="80"/>
      <c r="P1213" s="80"/>
      <c r="Q1213" s="80"/>
      <c r="R1213" s="80"/>
      <c r="S1213" s="80"/>
      <c r="T1213" s="80"/>
      <c r="U1213" s="80"/>
      <c r="V1213" s="80"/>
      <c r="W1213" s="80"/>
      <c r="X1213" s="80"/>
      <c r="Y1213" s="80"/>
      <c r="Z1213" s="80"/>
    </row>
    <row r="1214">
      <c r="A1214" s="81"/>
      <c r="B1214" s="80"/>
      <c r="C1214" s="80"/>
      <c r="D1214" s="81"/>
      <c r="E1214" s="81"/>
      <c r="F1214" s="81"/>
      <c r="G1214" s="81"/>
      <c r="H1214" s="83"/>
      <c r="I1214" s="83"/>
      <c r="J1214" s="80"/>
      <c r="K1214" s="81"/>
      <c r="L1214" s="81"/>
      <c r="M1214" s="80"/>
      <c r="N1214" s="80"/>
      <c r="O1214" s="80"/>
      <c r="P1214" s="80"/>
      <c r="Q1214" s="80"/>
      <c r="R1214" s="80"/>
      <c r="S1214" s="80"/>
      <c r="T1214" s="80"/>
      <c r="U1214" s="80"/>
      <c r="V1214" s="80"/>
      <c r="W1214" s="80"/>
      <c r="X1214" s="80"/>
      <c r="Y1214" s="80"/>
      <c r="Z1214" s="80"/>
    </row>
    <row r="1215">
      <c r="A1215" s="81"/>
      <c r="B1215" s="80"/>
      <c r="C1215" s="80"/>
      <c r="D1215" s="81"/>
      <c r="E1215" s="81"/>
      <c r="F1215" s="81"/>
      <c r="G1215" s="81"/>
      <c r="H1215" s="83"/>
      <c r="I1215" s="83"/>
      <c r="J1215" s="80"/>
      <c r="K1215" s="81"/>
      <c r="L1215" s="81"/>
      <c r="M1215" s="80"/>
      <c r="N1215" s="80"/>
      <c r="O1215" s="80"/>
      <c r="P1215" s="80"/>
      <c r="Q1215" s="80"/>
      <c r="R1215" s="80"/>
      <c r="S1215" s="80"/>
      <c r="T1215" s="80"/>
      <c r="U1215" s="80"/>
      <c r="V1215" s="80"/>
      <c r="W1215" s="80"/>
      <c r="X1215" s="80"/>
      <c r="Y1215" s="80"/>
      <c r="Z1215" s="80"/>
    </row>
    <row r="1216">
      <c r="A1216" s="81"/>
      <c r="B1216" s="80"/>
      <c r="C1216" s="80"/>
      <c r="D1216" s="81"/>
      <c r="E1216" s="81"/>
      <c r="F1216" s="81"/>
      <c r="G1216" s="81"/>
      <c r="H1216" s="83"/>
      <c r="I1216" s="83"/>
      <c r="J1216" s="80"/>
      <c r="K1216" s="81"/>
      <c r="L1216" s="81"/>
      <c r="M1216" s="80"/>
      <c r="N1216" s="80"/>
      <c r="O1216" s="80"/>
      <c r="P1216" s="80"/>
      <c r="Q1216" s="80"/>
      <c r="R1216" s="80"/>
      <c r="S1216" s="80"/>
      <c r="T1216" s="80"/>
      <c r="U1216" s="80"/>
      <c r="V1216" s="80"/>
      <c r="W1216" s="80"/>
      <c r="X1216" s="80"/>
      <c r="Y1216" s="80"/>
      <c r="Z1216" s="80"/>
    </row>
    <row r="1217">
      <c r="A1217" s="81"/>
      <c r="B1217" s="80"/>
      <c r="C1217" s="80"/>
      <c r="D1217" s="81"/>
      <c r="E1217" s="81"/>
      <c r="F1217" s="81"/>
      <c r="G1217" s="81"/>
      <c r="H1217" s="83"/>
      <c r="I1217" s="83"/>
      <c r="J1217" s="80"/>
      <c r="K1217" s="81"/>
      <c r="L1217" s="81"/>
      <c r="M1217" s="80"/>
      <c r="N1217" s="80"/>
      <c r="O1217" s="80"/>
      <c r="P1217" s="80"/>
      <c r="Q1217" s="80"/>
      <c r="R1217" s="80"/>
      <c r="S1217" s="80"/>
      <c r="T1217" s="80"/>
      <c r="U1217" s="80"/>
      <c r="V1217" s="80"/>
      <c r="W1217" s="80"/>
      <c r="X1217" s="80"/>
      <c r="Y1217" s="80"/>
      <c r="Z1217" s="8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1.63"/>
    <col customWidth="1" min="3" max="3" width="26.75"/>
    <col customWidth="1" min="4" max="4" width="20.25"/>
    <col customWidth="1" min="5" max="5" width="15.0"/>
    <col customWidth="1" min="6" max="6" width="13.75"/>
    <col customWidth="1" min="7" max="7" width="10.63"/>
    <col customWidth="1" min="8" max="8" width="13.38"/>
    <col customWidth="1" min="9" max="9" width="15.75"/>
    <col customWidth="1" min="10" max="10" width="13.25"/>
    <col customWidth="1" min="11" max="11" width="12.13"/>
    <col customWidth="1" min="12" max="12" width="9.88"/>
    <col customWidth="1" min="13" max="13" width="20.88"/>
    <col customWidth="1" min="14" max="14" width="17.63"/>
    <col customWidth="1" min="15" max="15" width="20.25"/>
    <col customWidth="1" min="16" max="17" width="17.63"/>
    <col customWidth="1" min="18" max="18" width="15.25"/>
    <col customWidth="1" min="19" max="19" width="20.5"/>
    <col customWidth="1" min="21" max="21" width="8.0"/>
  </cols>
  <sheetData>
    <row r="1">
      <c r="A1" s="90" t="s">
        <v>594</v>
      </c>
      <c r="B1" s="90" t="s">
        <v>595</v>
      </c>
      <c r="C1" s="90" t="s">
        <v>596</v>
      </c>
      <c r="D1" s="91" t="s">
        <v>597</v>
      </c>
      <c r="E1" s="90" t="s">
        <v>598</v>
      </c>
      <c r="F1" s="92" t="s">
        <v>599</v>
      </c>
      <c r="G1" s="92" t="s">
        <v>600</v>
      </c>
      <c r="H1" s="92" t="s">
        <v>601</v>
      </c>
      <c r="I1" s="90" t="s">
        <v>602</v>
      </c>
      <c r="J1" s="90" t="s">
        <v>603</v>
      </c>
      <c r="K1" s="90" t="s">
        <v>604</v>
      </c>
      <c r="L1" s="90" t="s">
        <v>605</v>
      </c>
      <c r="M1" s="93" t="s">
        <v>606</v>
      </c>
      <c r="N1" s="93" t="s">
        <v>607</v>
      </c>
      <c r="O1" s="94"/>
      <c r="P1" s="94"/>
      <c r="S1" s="94"/>
    </row>
    <row r="2">
      <c r="A2" s="95">
        <f>'RECURSO ACTUAL'!A2</f>
        <v>3284</v>
      </c>
      <c r="B2" s="96">
        <f>'RECURSO ACTUAL'!F2</f>
        <v>46668</v>
      </c>
      <c r="C2" s="97" t="str">
        <f>'RECURSO ACTUAL'!B2</f>
        <v>02-Medellin</v>
      </c>
      <c r="D2" s="91">
        <f>VLOOKUP(A2,'Q LUB'!A:L,8,FALSE)</f>
        <v>46078</v>
      </c>
      <c r="E2" s="92">
        <f t="shared" ref="E2:E223" si="2">ABS(D2-TODAY())</f>
        <v>138</v>
      </c>
      <c r="F2" s="92">
        <f>VLOOKUP(A2,'Q LUB'!A:L,7,FALSE)</f>
        <v>5187</v>
      </c>
      <c r="G2" s="92">
        <f>VLOOKUP(A2,'Q LUB'!A:L,5,FALSE)</f>
        <v>180</v>
      </c>
      <c r="H2" s="92">
        <f>VLOOKUP(A2,'Q LUB'!A:L,4,FALSE)</f>
        <v>5000</v>
      </c>
      <c r="I2" s="92">
        <f t="shared" ref="I2:J2" si="1">G2-E2</f>
        <v>42</v>
      </c>
      <c r="J2" s="92">
        <f t="shared" si="1"/>
        <v>-187</v>
      </c>
      <c r="K2" s="97" t="str">
        <f t="shared" ref="K2:K223" si="4">IF(E2&gt;G2,"PASADO",(IF(AND(E2&gt;=G2-$M$2,E2&lt;=G2),"PRÓXIMO","VIGENTE")))</f>
        <v>VIGENTE</v>
      </c>
      <c r="L2" s="97" t="str">
        <f t="shared" ref="L2:L223" si="5">IF(F2&gt;H2,"PASADO",(IF(AND(F2&gt;=H2-$N$2,F2&lt;=H2),"PRÓXIMO","VIGENTE")))</f>
        <v>PASADO</v>
      </c>
      <c r="M2" s="98">
        <v>10.0</v>
      </c>
      <c r="N2" s="98">
        <v>700.0</v>
      </c>
      <c r="O2" s="99"/>
      <c r="P2" s="99"/>
      <c r="S2" s="99"/>
      <c r="T2" s="100"/>
      <c r="U2" s="101"/>
    </row>
    <row r="3">
      <c r="A3" s="95">
        <f>'RECURSO ACTUAL'!A3</f>
        <v>3283</v>
      </c>
      <c r="B3" s="96">
        <f>'RECURSO ACTUAL'!F3</f>
        <v>46668</v>
      </c>
      <c r="C3" s="97" t="str">
        <f>'RECURSO ACTUAL'!B3</f>
        <v>02-Medellin</v>
      </c>
      <c r="D3" s="91">
        <f>VLOOKUP(A3,'Q LUB'!A:L,8,FALSE)</f>
        <v>46062</v>
      </c>
      <c r="E3" s="92">
        <f t="shared" si="2"/>
        <v>154</v>
      </c>
      <c r="F3" s="92">
        <f>VLOOKUP(A3,'Q LUB'!A:L,7,FALSE)</f>
        <v>6291</v>
      </c>
      <c r="G3" s="92">
        <f>VLOOKUP(A3,'Q LUB'!A:L,5,FALSE)</f>
        <v>180</v>
      </c>
      <c r="H3" s="92">
        <f>VLOOKUP(A3,'Q LUB'!A:L,4,FALSE)</f>
        <v>5000</v>
      </c>
      <c r="I3" s="92">
        <f t="shared" ref="I3:J3" si="3">G3-E3</f>
        <v>26</v>
      </c>
      <c r="J3" s="92">
        <f t="shared" si="3"/>
        <v>-1291</v>
      </c>
      <c r="K3" s="97" t="str">
        <f t="shared" si="4"/>
        <v>VIGENTE</v>
      </c>
      <c r="L3" s="97" t="str">
        <f t="shared" si="5"/>
        <v>PASADO</v>
      </c>
      <c r="N3" s="99"/>
      <c r="O3" s="99"/>
      <c r="P3" s="99"/>
      <c r="Q3" s="99"/>
      <c r="R3" s="99"/>
      <c r="S3" s="99"/>
      <c r="T3" s="100"/>
      <c r="U3" s="101"/>
    </row>
    <row r="4">
      <c r="A4" s="95">
        <f>'RECURSO ACTUAL'!A4</f>
        <v>3282</v>
      </c>
      <c r="B4" s="96">
        <f>'RECURSO ACTUAL'!F4</f>
        <v>46668</v>
      </c>
      <c r="C4" s="97" t="str">
        <f>'RECURSO ACTUAL'!B4</f>
        <v>02-Medellin</v>
      </c>
      <c r="D4" s="91">
        <f>VLOOKUP(A4,'Q LUB'!A:L,8,FALSE)</f>
        <v>46086</v>
      </c>
      <c r="E4" s="92">
        <f t="shared" si="2"/>
        <v>130</v>
      </c>
      <c r="F4" s="92">
        <f>VLOOKUP(A4,'Q LUB'!A:L,7,FALSE)</f>
        <v>5790</v>
      </c>
      <c r="G4" s="92">
        <f>VLOOKUP(A4,'Q LUB'!A:L,5,FALSE)</f>
        <v>180</v>
      </c>
      <c r="H4" s="92">
        <f>VLOOKUP(A4,'Q LUB'!A:L,4,FALSE)</f>
        <v>5000</v>
      </c>
      <c r="I4" s="92">
        <f t="shared" ref="I4:J4" si="6">G4-E4</f>
        <v>50</v>
      </c>
      <c r="J4" s="92">
        <f t="shared" si="6"/>
        <v>-790</v>
      </c>
      <c r="K4" s="97" t="str">
        <f t="shared" si="4"/>
        <v>VIGENTE</v>
      </c>
      <c r="L4" s="97" t="str">
        <f t="shared" si="5"/>
        <v>PASADO</v>
      </c>
      <c r="N4" s="99"/>
      <c r="O4" s="99"/>
      <c r="P4" s="99"/>
      <c r="Q4" s="99"/>
      <c r="R4" s="99"/>
      <c r="S4" s="99"/>
      <c r="T4" s="100"/>
      <c r="U4" s="101"/>
    </row>
    <row r="5">
      <c r="A5" s="95">
        <f>'RECURSO ACTUAL'!A5</f>
        <v>3281</v>
      </c>
      <c r="B5" s="96">
        <f>'RECURSO ACTUAL'!F5</f>
        <v>46668</v>
      </c>
      <c r="C5" s="97" t="str">
        <f>'RECURSO ACTUAL'!B5</f>
        <v>02-Medellin</v>
      </c>
      <c r="D5" s="91">
        <f>VLOOKUP(A5,'Q LUB'!A:L,8,FALSE)</f>
        <v>46078</v>
      </c>
      <c r="E5" s="92">
        <f t="shared" si="2"/>
        <v>138</v>
      </c>
      <c r="F5" s="92">
        <f>VLOOKUP(A5,'Q LUB'!A:L,7,FALSE)</f>
        <v>5415</v>
      </c>
      <c r="G5" s="92">
        <f>VLOOKUP(A5,'Q LUB'!A:L,5,FALSE)</f>
        <v>180</v>
      </c>
      <c r="H5" s="92">
        <f>VLOOKUP(A5,'Q LUB'!A:L,4,FALSE)</f>
        <v>5000</v>
      </c>
      <c r="I5" s="92">
        <f t="shared" ref="I5:J5" si="7">G5-E5</f>
        <v>42</v>
      </c>
      <c r="J5" s="92">
        <f t="shared" si="7"/>
        <v>-415</v>
      </c>
      <c r="K5" s="97" t="str">
        <f t="shared" si="4"/>
        <v>VIGENTE</v>
      </c>
      <c r="L5" s="97" t="str">
        <f t="shared" si="5"/>
        <v>PASADO</v>
      </c>
      <c r="N5" s="99"/>
      <c r="O5" s="99"/>
      <c r="P5" s="99"/>
      <c r="Q5" s="99"/>
      <c r="R5" s="99"/>
      <c r="S5" s="99"/>
    </row>
    <row r="6">
      <c r="A6" s="95">
        <f>'RECURSO ACTUAL'!A6</f>
        <v>3280</v>
      </c>
      <c r="B6" s="96">
        <f>'RECURSO ACTUAL'!F6</f>
        <v>46668</v>
      </c>
      <c r="C6" s="97" t="str">
        <f>'RECURSO ACTUAL'!B6</f>
        <v>02-Medellin</v>
      </c>
      <c r="D6" s="91">
        <f>VLOOKUP(A6,'Q LUB'!A:L,8,FALSE)</f>
        <v>46087</v>
      </c>
      <c r="E6" s="92">
        <f t="shared" si="2"/>
        <v>129</v>
      </c>
      <c r="F6" s="92">
        <f>VLOOKUP(A6,'Q LUB'!A:L,7,FALSE)</f>
        <v>5847</v>
      </c>
      <c r="G6" s="92">
        <f>VLOOKUP(A6,'Q LUB'!A:L,5,FALSE)</f>
        <v>180</v>
      </c>
      <c r="H6" s="92">
        <f>VLOOKUP(A6,'Q LUB'!A:L,4,FALSE)</f>
        <v>5000</v>
      </c>
      <c r="I6" s="92">
        <f t="shared" ref="I6:J6" si="8">G6-E6</f>
        <v>51</v>
      </c>
      <c r="J6" s="92">
        <f t="shared" si="8"/>
        <v>-847</v>
      </c>
      <c r="K6" s="97" t="str">
        <f t="shared" si="4"/>
        <v>VIGENTE</v>
      </c>
      <c r="L6" s="97" t="str">
        <f t="shared" si="5"/>
        <v>PASADO</v>
      </c>
      <c r="N6" s="99"/>
      <c r="O6" s="99"/>
      <c r="P6" s="99"/>
      <c r="Q6" s="99"/>
      <c r="R6" s="99"/>
      <c r="S6" s="99"/>
    </row>
    <row r="7">
      <c r="A7" s="95">
        <f>'RECURSO ACTUAL'!A7</f>
        <v>3279</v>
      </c>
      <c r="B7" s="96">
        <f>'RECURSO ACTUAL'!F7</f>
        <v>46668</v>
      </c>
      <c r="C7" s="97" t="str">
        <f>'RECURSO ACTUAL'!B7</f>
        <v>02-Medellin</v>
      </c>
      <c r="D7" s="91">
        <f>VLOOKUP(A7,'Q LUB'!A:L,8,FALSE)</f>
        <v>46126</v>
      </c>
      <c r="E7" s="92">
        <f t="shared" si="2"/>
        <v>90</v>
      </c>
      <c r="F7" s="92">
        <f>VLOOKUP(A7,'Q LUB'!A:L,7,FALSE)</f>
        <v>3342</v>
      </c>
      <c r="G7" s="92">
        <f>VLOOKUP(A7,'Q LUB'!A:L,5,FALSE)</f>
        <v>180</v>
      </c>
      <c r="H7" s="92">
        <f>VLOOKUP(A7,'Q LUB'!A:L,4,FALSE)</f>
        <v>5000</v>
      </c>
      <c r="I7" s="92">
        <f t="shared" ref="I7:J7" si="9">G7-E7</f>
        <v>90</v>
      </c>
      <c r="J7" s="92">
        <f t="shared" si="9"/>
        <v>1658</v>
      </c>
      <c r="K7" s="97" t="str">
        <f t="shared" si="4"/>
        <v>VIGENTE</v>
      </c>
      <c r="L7" s="97" t="str">
        <f t="shared" si="5"/>
        <v>VIGENTE</v>
      </c>
      <c r="N7" s="99"/>
      <c r="O7" s="99"/>
      <c r="P7" s="99"/>
      <c r="Q7" s="99"/>
      <c r="R7" s="99"/>
      <c r="S7" s="99"/>
    </row>
    <row r="8">
      <c r="A8" s="95">
        <f>'RECURSO ACTUAL'!A8</f>
        <v>3278</v>
      </c>
      <c r="B8" s="96">
        <f>'RECURSO ACTUAL'!F8</f>
        <v>46668</v>
      </c>
      <c r="C8" s="97" t="str">
        <f>'RECURSO ACTUAL'!B8</f>
        <v>02-Medellin</v>
      </c>
      <c r="D8" s="91">
        <f>VLOOKUP(A8,'Q LUB'!A:L,8,FALSE)</f>
        <v>46150</v>
      </c>
      <c r="E8" s="92">
        <f t="shared" si="2"/>
        <v>66</v>
      </c>
      <c r="F8" s="92">
        <f>VLOOKUP(A8,'Q LUB'!A:L,7,FALSE)</f>
        <v>2440</v>
      </c>
      <c r="G8" s="92">
        <f>VLOOKUP(A8,'Q LUB'!A:L,5,FALSE)</f>
        <v>180</v>
      </c>
      <c r="H8" s="92">
        <f>VLOOKUP(A8,'Q LUB'!A:L,4,FALSE)</f>
        <v>5000</v>
      </c>
      <c r="I8" s="92">
        <f t="shared" ref="I8:J8" si="10">G8-E8</f>
        <v>114</v>
      </c>
      <c r="J8" s="92">
        <f t="shared" si="10"/>
        <v>2560</v>
      </c>
      <c r="K8" s="97" t="str">
        <f t="shared" si="4"/>
        <v>VIGENTE</v>
      </c>
      <c r="L8" s="97" t="str">
        <f t="shared" si="5"/>
        <v>VIGENTE</v>
      </c>
      <c r="N8" s="99"/>
      <c r="O8" s="99"/>
      <c r="P8" s="99"/>
      <c r="Q8" s="99"/>
      <c r="R8" s="99"/>
      <c r="S8" s="99"/>
    </row>
    <row r="9">
      <c r="A9" s="95">
        <f>'RECURSO ACTUAL'!A9</f>
        <v>3275</v>
      </c>
      <c r="B9" s="96">
        <f>'RECURSO ACTUAL'!F9</f>
        <v>46668</v>
      </c>
      <c r="C9" s="97" t="str">
        <f>'RECURSO ACTUAL'!B9</f>
        <v>02-Medellin</v>
      </c>
      <c r="D9" s="91">
        <f>VLOOKUP(A9,'Q LUB'!A:L,8,FALSE)</f>
        <v>46070</v>
      </c>
      <c r="E9" s="92">
        <f t="shared" si="2"/>
        <v>146</v>
      </c>
      <c r="F9" s="92">
        <f>VLOOKUP(A9,'Q LUB'!A:L,7,FALSE)</f>
        <v>4607</v>
      </c>
      <c r="G9" s="92">
        <f>VLOOKUP(A9,'Q LUB'!A:L,5,FALSE)</f>
        <v>180</v>
      </c>
      <c r="H9" s="92">
        <f>VLOOKUP(A9,'Q LUB'!A:L,4,FALSE)</f>
        <v>5000</v>
      </c>
      <c r="I9" s="92">
        <f t="shared" ref="I9:J9" si="11">G9-E9</f>
        <v>34</v>
      </c>
      <c r="J9" s="92">
        <f t="shared" si="11"/>
        <v>393</v>
      </c>
      <c r="K9" s="97" t="str">
        <f t="shared" si="4"/>
        <v>VIGENTE</v>
      </c>
      <c r="L9" s="97" t="str">
        <f t="shared" si="5"/>
        <v>PRÓXIMO</v>
      </c>
      <c r="N9" s="99"/>
      <c r="O9" s="99"/>
      <c r="P9" s="99"/>
      <c r="Q9" s="99"/>
      <c r="R9" s="99"/>
      <c r="S9" s="99"/>
    </row>
    <row r="10">
      <c r="A10" s="95">
        <f>'RECURSO ACTUAL'!A10</f>
        <v>3273</v>
      </c>
      <c r="B10" s="96">
        <f>'RECURSO ACTUAL'!F10</f>
        <v>46668</v>
      </c>
      <c r="C10" s="97" t="str">
        <f>'RECURSO ACTUAL'!B10</f>
        <v>02-Medellin</v>
      </c>
      <c r="D10" s="91">
        <f>VLOOKUP(A10,'Q LUB'!A:L,8,FALSE)</f>
        <v>46070</v>
      </c>
      <c r="E10" s="92">
        <f t="shared" si="2"/>
        <v>146</v>
      </c>
      <c r="F10" s="92">
        <f>VLOOKUP(A10,'Q LUB'!A:L,7,FALSE)</f>
        <v>4563</v>
      </c>
      <c r="G10" s="92">
        <f>VLOOKUP(A10,'Q LUB'!A:L,5,FALSE)</f>
        <v>180</v>
      </c>
      <c r="H10" s="92">
        <f>VLOOKUP(A10,'Q LUB'!A:L,4,FALSE)</f>
        <v>5000</v>
      </c>
      <c r="I10" s="92">
        <f t="shared" ref="I10:J10" si="12">G10-E10</f>
        <v>34</v>
      </c>
      <c r="J10" s="92">
        <f t="shared" si="12"/>
        <v>437</v>
      </c>
      <c r="K10" s="97" t="str">
        <f t="shared" si="4"/>
        <v>VIGENTE</v>
      </c>
      <c r="L10" s="97" t="str">
        <f t="shared" si="5"/>
        <v>PRÓXIMO</v>
      </c>
      <c r="N10" s="99"/>
      <c r="O10" s="99"/>
      <c r="P10" s="99"/>
      <c r="Q10" s="99"/>
      <c r="R10" s="99"/>
      <c r="S10" s="99"/>
    </row>
    <row r="11">
      <c r="A11" s="95">
        <f>'RECURSO ACTUAL'!A11</f>
        <v>3271</v>
      </c>
      <c r="B11" s="96">
        <f>'RECURSO ACTUAL'!F11</f>
        <v>46668</v>
      </c>
      <c r="C11" s="97" t="str">
        <f>'RECURSO ACTUAL'!B11</f>
        <v>02-Medellin</v>
      </c>
      <c r="D11" s="91">
        <f>VLOOKUP(A11,'Q LUB'!A:L,8,FALSE)</f>
        <v>46097</v>
      </c>
      <c r="E11" s="92">
        <f t="shared" si="2"/>
        <v>119</v>
      </c>
      <c r="F11" s="92">
        <f>VLOOKUP(A11,'Q LUB'!A:L,7,FALSE)</f>
        <v>4954</v>
      </c>
      <c r="G11" s="92">
        <f>VLOOKUP(A11,'Q LUB'!A:L,5,FALSE)</f>
        <v>180</v>
      </c>
      <c r="H11" s="92">
        <f>VLOOKUP(A11,'Q LUB'!A:L,4,FALSE)</f>
        <v>5000</v>
      </c>
      <c r="I11" s="92">
        <f t="shared" ref="I11:J11" si="13">G11-E11</f>
        <v>61</v>
      </c>
      <c r="J11" s="92">
        <f t="shared" si="13"/>
        <v>46</v>
      </c>
      <c r="K11" s="97" t="str">
        <f t="shared" si="4"/>
        <v>VIGENTE</v>
      </c>
      <c r="L11" s="97" t="str">
        <f t="shared" si="5"/>
        <v>PRÓXIMO</v>
      </c>
      <c r="N11" s="99"/>
      <c r="O11" s="99"/>
      <c r="P11" s="99"/>
      <c r="Q11" s="99"/>
      <c r="R11" s="99"/>
      <c r="S11" s="99"/>
    </row>
    <row r="12">
      <c r="A12" s="95">
        <f>'RECURSO ACTUAL'!A12</f>
        <v>3264</v>
      </c>
      <c r="B12" s="96">
        <f>'RECURSO ACTUAL'!F12</f>
        <v>46668</v>
      </c>
      <c r="C12" s="97" t="str">
        <f>'RECURSO ACTUAL'!B12</f>
        <v>02-Medellin</v>
      </c>
      <c r="D12" s="91">
        <f>VLOOKUP(A12,'Q LUB'!A:L,8,FALSE)</f>
        <v>46106</v>
      </c>
      <c r="E12" s="92">
        <f t="shared" si="2"/>
        <v>110</v>
      </c>
      <c r="F12" s="92">
        <f>VLOOKUP(A12,'Q LUB'!A:L,7,FALSE)</f>
        <v>3474</v>
      </c>
      <c r="G12" s="92">
        <f>VLOOKUP(A12,'Q LUB'!A:L,5,FALSE)</f>
        <v>180</v>
      </c>
      <c r="H12" s="92">
        <f>VLOOKUP(A12,'Q LUB'!A:L,4,FALSE)</f>
        <v>5000</v>
      </c>
      <c r="I12" s="92">
        <f t="shared" ref="I12:J12" si="14">G12-E12</f>
        <v>70</v>
      </c>
      <c r="J12" s="92">
        <f t="shared" si="14"/>
        <v>1526</v>
      </c>
      <c r="K12" s="97" t="str">
        <f t="shared" si="4"/>
        <v>VIGENTE</v>
      </c>
      <c r="L12" s="97" t="str">
        <f t="shared" si="5"/>
        <v>VIGENTE</v>
      </c>
      <c r="N12" s="99"/>
      <c r="O12" s="99"/>
      <c r="P12" s="99"/>
      <c r="Q12" s="99"/>
      <c r="R12" s="99"/>
      <c r="S12" s="99"/>
    </row>
    <row r="13">
      <c r="A13" s="95">
        <f>'RECURSO ACTUAL'!A13</f>
        <v>3256</v>
      </c>
      <c r="B13" s="96">
        <f>'RECURSO ACTUAL'!F13</f>
        <v>46668</v>
      </c>
      <c r="C13" s="97" t="str">
        <f>'RECURSO ACTUAL'!B13</f>
        <v>02-Medellin</v>
      </c>
      <c r="D13" s="91">
        <f>VLOOKUP(A13,'Q LUB'!A:L,8,FALSE)</f>
        <v>46128</v>
      </c>
      <c r="E13" s="92">
        <f t="shared" si="2"/>
        <v>88</v>
      </c>
      <c r="F13" s="92">
        <f>VLOOKUP(A13,'Q LUB'!A:L,7,FALSE)</f>
        <v>3397</v>
      </c>
      <c r="G13" s="92">
        <f>VLOOKUP(A13,'Q LUB'!A:L,5,FALSE)</f>
        <v>180</v>
      </c>
      <c r="H13" s="92">
        <f>VLOOKUP(A13,'Q LUB'!A:L,4,FALSE)</f>
        <v>5000</v>
      </c>
      <c r="I13" s="92">
        <f t="shared" ref="I13:J13" si="15">G13-E13</f>
        <v>92</v>
      </c>
      <c r="J13" s="92">
        <f t="shared" si="15"/>
        <v>1603</v>
      </c>
      <c r="K13" s="97" t="str">
        <f t="shared" si="4"/>
        <v>VIGENTE</v>
      </c>
      <c r="L13" s="97" t="str">
        <f t="shared" si="5"/>
        <v>VIGENTE</v>
      </c>
      <c r="N13" s="99"/>
      <c r="O13" s="99"/>
      <c r="P13" s="99"/>
      <c r="Q13" s="99"/>
      <c r="R13" s="99"/>
      <c r="S13" s="99"/>
    </row>
    <row r="14">
      <c r="A14" s="95">
        <f>'RECURSO ACTUAL'!A14</f>
        <v>3252</v>
      </c>
      <c r="B14" s="96">
        <f>'RECURSO ACTUAL'!F14</f>
        <v>46661</v>
      </c>
      <c r="C14" s="97" t="str">
        <f>'RECURSO ACTUAL'!B14</f>
        <v>24-Rionegro</v>
      </c>
      <c r="D14" s="91">
        <f>VLOOKUP(A14,'Q LUB'!A:L,8,FALSE)</f>
        <v>46161</v>
      </c>
      <c r="E14" s="92">
        <f t="shared" si="2"/>
        <v>55</v>
      </c>
      <c r="F14" s="92">
        <f>VLOOKUP(A14,'Q LUB'!A:L,7,FALSE)</f>
        <v>2288</v>
      </c>
      <c r="G14" s="92">
        <f>VLOOKUP(A14,'Q LUB'!A:L,5,FALSE)</f>
        <v>180</v>
      </c>
      <c r="H14" s="92">
        <f>VLOOKUP(A14,'Q LUB'!A:L,4,FALSE)</f>
        <v>5000</v>
      </c>
      <c r="I14" s="92">
        <f t="shared" ref="I14:J14" si="16">G14-E14</f>
        <v>125</v>
      </c>
      <c r="J14" s="92">
        <f t="shared" si="16"/>
        <v>2712</v>
      </c>
      <c r="K14" s="97" t="str">
        <f t="shared" si="4"/>
        <v>VIGENTE</v>
      </c>
      <c r="L14" s="97" t="str">
        <f t="shared" si="5"/>
        <v>VIGENTE</v>
      </c>
      <c r="N14" s="99"/>
      <c r="O14" s="99"/>
      <c r="P14" s="99"/>
      <c r="Q14" s="99"/>
      <c r="R14" s="99"/>
      <c r="S14" s="99"/>
    </row>
    <row r="15">
      <c r="A15" s="95">
        <f>'RECURSO ACTUAL'!A15</f>
        <v>3251</v>
      </c>
      <c r="B15" s="96">
        <f>'RECURSO ACTUAL'!F15</f>
        <v>46661</v>
      </c>
      <c r="C15" s="97" t="str">
        <f>'RECURSO ACTUAL'!B15</f>
        <v>24-Rionegro</v>
      </c>
      <c r="D15" s="91">
        <f>VLOOKUP(A15,'Q LUB'!A:L,8,FALSE)</f>
        <v>46087</v>
      </c>
      <c r="E15" s="92">
        <f t="shared" si="2"/>
        <v>129</v>
      </c>
      <c r="F15" s="92">
        <f>VLOOKUP(A15,'Q LUB'!A:L,7,FALSE)</f>
        <v>5016</v>
      </c>
      <c r="G15" s="92">
        <f>VLOOKUP(A15,'Q LUB'!A:L,5,FALSE)</f>
        <v>180</v>
      </c>
      <c r="H15" s="92">
        <f>VLOOKUP(A15,'Q LUB'!A:L,4,FALSE)</f>
        <v>5000</v>
      </c>
      <c r="I15" s="92">
        <f t="shared" ref="I15:J15" si="17">G15-E15</f>
        <v>51</v>
      </c>
      <c r="J15" s="92">
        <f t="shared" si="17"/>
        <v>-16</v>
      </c>
      <c r="K15" s="97" t="str">
        <f t="shared" si="4"/>
        <v>VIGENTE</v>
      </c>
      <c r="L15" s="97" t="str">
        <f t="shared" si="5"/>
        <v>PASADO</v>
      </c>
      <c r="N15" s="99"/>
      <c r="O15" s="99"/>
      <c r="P15" s="99"/>
      <c r="Q15" s="99"/>
      <c r="R15" s="99"/>
      <c r="S15" s="99"/>
    </row>
    <row r="16">
      <c r="A16" s="95">
        <f>'RECURSO ACTUAL'!A16</f>
        <v>3250</v>
      </c>
      <c r="B16" s="96">
        <f>'RECURSO ACTUAL'!F16</f>
        <v>46661</v>
      </c>
      <c r="C16" s="97" t="str">
        <f>'RECURSO ACTUAL'!B16</f>
        <v>02-Medellin</v>
      </c>
      <c r="D16" s="91">
        <f>VLOOKUP(A16,'Q LUB'!A:L,8,FALSE)</f>
        <v>46161</v>
      </c>
      <c r="E16" s="92">
        <f t="shared" si="2"/>
        <v>55</v>
      </c>
      <c r="F16" s="92">
        <f>VLOOKUP(A16,'Q LUB'!A:L,7,FALSE)</f>
        <v>2684</v>
      </c>
      <c r="G16" s="92">
        <f>VLOOKUP(A16,'Q LUB'!A:L,5,FALSE)</f>
        <v>180</v>
      </c>
      <c r="H16" s="92">
        <f>VLOOKUP(A16,'Q LUB'!A:L,4,FALSE)</f>
        <v>5000</v>
      </c>
      <c r="I16" s="92">
        <f t="shared" ref="I16:J16" si="18">G16-E16</f>
        <v>125</v>
      </c>
      <c r="J16" s="92">
        <f t="shared" si="18"/>
        <v>2316</v>
      </c>
      <c r="K16" s="97" t="str">
        <f t="shared" si="4"/>
        <v>VIGENTE</v>
      </c>
      <c r="L16" s="97" t="str">
        <f t="shared" si="5"/>
        <v>VIGENTE</v>
      </c>
      <c r="N16" s="99"/>
      <c r="O16" s="99"/>
      <c r="P16" s="99"/>
      <c r="Q16" s="99"/>
      <c r="R16" s="99"/>
      <c r="S16" s="99"/>
    </row>
    <row r="17">
      <c r="A17" s="95">
        <f>'RECURSO ACTUAL'!A17</f>
        <v>3249</v>
      </c>
      <c r="B17" s="96">
        <f>'RECURSO ACTUAL'!F17</f>
        <v>46661</v>
      </c>
      <c r="C17" s="97" t="str">
        <f>'RECURSO ACTUAL'!B17</f>
        <v>02-Medellin</v>
      </c>
      <c r="D17" s="91">
        <f>VLOOKUP(A17,'Q LUB'!A:L,8,FALSE)</f>
        <v>46090</v>
      </c>
      <c r="E17" s="92">
        <f t="shared" si="2"/>
        <v>126</v>
      </c>
      <c r="F17" s="92">
        <f>VLOOKUP(A17,'Q LUB'!A:L,7,FALSE)</f>
        <v>4050</v>
      </c>
      <c r="G17" s="92">
        <f>VLOOKUP(A17,'Q LUB'!A:L,5,FALSE)</f>
        <v>180</v>
      </c>
      <c r="H17" s="92">
        <f>VLOOKUP(A17,'Q LUB'!A:L,4,FALSE)</f>
        <v>5000</v>
      </c>
      <c r="I17" s="92">
        <f t="shared" ref="I17:J17" si="19">G17-E17</f>
        <v>54</v>
      </c>
      <c r="J17" s="92">
        <f t="shared" si="19"/>
        <v>950</v>
      </c>
      <c r="K17" s="97" t="str">
        <f t="shared" si="4"/>
        <v>VIGENTE</v>
      </c>
      <c r="L17" s="97" t="str">
        <f t="shared" si="5"/>
        <v>VIGENTE</v>
      </c>
      <c r="N17" s="99"/>
      <c r="O17" s="99"/>
      <c r="P17" s="99"/>
      <c r="Q17" s="99"/>
      <c r="R17" s="99"/>
      <c r="S17" s="99"/>
    </row>
    <row r="18">
      <c r="A18" s="95">
        <f>'RECURSO ACTUAL'!A18</f>
        <v>3247</v>
      </c>
      <c r="B18" s="96">
        <f>'RECURSO ACTUAL'!F18</f>
        <v>46661</v>
      </c>
      <c r="C18" s="97" t="str">
        <f>'RECURSO ACTUAL'!B18</f>
        <v>02-Medellin</v>
      </c>
      <c r="D18" s="91">
        <f>VLOOKUP(A18,'Q LUB'!A:L,8,FALSE)</f>
        <v>46092</v>
      </c>
      <c r="E18" s="92">
        <f t="shared" si="2"/>
        <v>124</v>
      </c>
      <c r="F18" s="92">
        <f>VLOOKUP(A18,'Q LUB'!A:L,7,FALSE)</f>
        <v>4419</v>
      </c>
      <c r="G18" s="92">
        <f>VLOOKUP(A18,'Q LUB'!A:L,5,FALSE)</f>
        <v>180</v>
      </c>
      <c r="H18" s="92">
        <f>VLOOKUP(A18,'Q LUB'!A:L,4,FALSE)</f>
        <v>5000</v>
      </c>
      <c r="I18" s="92">
        <f t="shared" ref="I18:J18" si="20">G18-E18</f>
        <v>56</v>
      </c>
      <c r="J18" s="92">
        <f t="shared" si="20"/>
        <v>581</v>
      </c>
      <c r="K18" s="97" t="str">
        <f t="shared" si="4"/>
        <v>VIGENTE</v>
      </c>
      <c r="L18" s="97" t="str">
        <f t="shared" si="5"/>
        <v>PRÓXIMO</v>
      </c>
      <c r="N18" s="99"/>
      <c r="O18" s="99"/>
      <c r="P18" s="99"/>
      <c r="Q18" s="99"/>
      <c r="R18" s="99"/>
      <c r="S18" s="99"/>
    </row>
    <row r="19">
      <c r="A19" s="95">
        <f>'RECURSO ACTUAL'!A19</f>
        <v>3246</v>
      </c>
      <c r="B19" s="96">
        <f>'RECURSO ACTUAL'!F19</f>
        <v>46661</v>
      </c>
      <c r="C19" s="97" t="str">
        <f>'RECURSO ACTUAL'!B19</f>
        <v>02-Medellin</v>
      </c>
      <c r="D19" s="91">
        <f>VLOOKUP(A19,'Q LUB'!A:L,8,FALSE)</f>
        <v>46042</v>
      </c>
      <c r="E19" s="92">
        <f t="shared" si="2"/>
        <v>174</v>
      </c>
      <c r="F19" s="92">
        <f>VLOOKUP(A19,'Q LUB'!A:L,7,FALSE)</f>
        <v>4726</v>
      </c>
      <c r="G19" s="92">
        <f>VLOOKUP(A19,'Q LUB'!A:L,5,FALSE)</f>
        <v>180</v>
      </c>
      <c r="H19" s="92">
        <f>VLOOKUP(A19,'Q LUB'!A:L,4,FALSE)</f>
        <v>5000</v>
      </c>
      <c r="I19" s="92">
        <f t="shared" ref="I19:J19" si="21">G19-E19</f>
        <v>6</v>
      </c>
      <c r="J19" s="92">
        <f t="shared" si="21"/>
        <v>274</v>
      </c>
      <c r="K19" s="97" t="str">
        <f t="shared" si="4"/>
        <v>PRÓXIMO</v>
      </c>
      <c r="L19" s="97" t="str">
        <f t="shared" si="5"/>
        <v>PRÓXIMO</v>
      </c>
      <c r="N19" s="99"/>
      <c r="O19" s="99"/>
      <c r="P19" s="99"/>
      <c r="Q19" s="99"/>
      <c r="R19" s="99"/>
      <c r="S19" s="99"/>
    </row>
    <row r="20">
      <c r="A20" s="95">
        <f>'RECURSO ACTUAL'!A20</f>
        <v>3241</v>
      </c>
      <c r="B20" s="96">
        <f>'RECURSO ACTUAL'!F20</f>
        <v>46661</v>
      </c>
      <c r="C20" s="97" t="str">
        <f>'RECURSO ACTUAL'!B20</f>
        <v>02-Medellin</v>
      </c>
      <c r="D20" s="91">
        <f>VLOOKUP(A20,'Q LUB'!A:L,8,FALSE)</f>
        <v>46146</v>
      </c>
      <c r="E20" s="92">
        <f t="shared" si="2"/>
        <v>70</v>
      </c>
      <c r="F20" s="92">
        <f>VLOOKUP(A20,'Q LUB'!A:L,7,FALSE)</f>
        <v>3223</v>
      </c>
      <c r="G20" s="92">
        <f>VLOOKUP(A20,'Q LUB'!A:L,5,FALSE)</f>
        <v>180</v>
      </c>
      <c r="H20" s="92">
        <f>VLOOKUP(A20,'Q LUB'!A:L,4,FALSE)</f>
        <v>5000</v>
      </c>
      <c r="I20" s="92">
        <f t="shared" ref="I20:J20" si="22">G20-E20</f>
        <v>110</v>
      </c>
      <c r="J20" s="92">
        <f t="shared" si="22"/>
        <v>1777</v>
      </c>
      <c r="K20" s="97" t="str">
        <f t="shared" si="4"/>
        <v>VIGENTE</v>
      </c>
      <c r="L20" s="97" t="str">
        <f t="shared" si="5"/>
        <v>VIGENTE</v>
      </c>
      <c r="N20" s="99"/>
      <c r="O20" s="99"/>
      <c r="P20" s="99"/>
      <c r="Q20" s="99"/>
      <c r="R20" s="99"/>
      <c r="S20" s="99"/>
    </row>
    <row r="21">
      <c r="A21" s="95">
        <f>'RECURSO ACTUAL'!A21</f>
        <v>3231</v>
      </c>
      <c r="B21" s="96">
        <f>'RECURSO ACTUAL'!F21</f>
        <v>46660</v>
      </c>
      <c r="C21" s="97" t="str">
        <f>'RECURSO ACTUAL'!B21</f>
        <v>02-Medellin</v>
      </c>
      <c r="D21" s="91">
        <f>VLOOKUP(A21,'Q LUB'!A:L,8,FALSE)</f>
        <v>46056</v>
      </c>
      <c r="E21" s="92">
        <f t="shared" si="2"/>
        <v>160</v>
      </c>
      <c r="F21" s="92">
        <f>VLOOKUP(A21,'Q LUB'!A:L,7,FALSE)</f>
        <v>4258</v>
      </c>
      <c r="G21" s="92">
        <f>VLOOKUP(A21,'Q LUB'!A:L,5,FALSE)</f>
        <v>180</v>
      </c>
      <c r="H21" s="92">
        <f>VLOOKUP(A21,'Q LUB'!A:L,4,FALSE)</f>
        <v>5000</v>
      </c>
      <c r="I21" s="92">
        <f t="shared" ref="I21:J21" si="23">G21-E21</f>
        <v>20</v>
      </c>
      <c r="J21" s="92">
        <f t="shared" si="23"/>
        <v>742</v>
      </c>
      <c r="K21" s="97" t="str">
        <f t="shared" si="4"/>
        <v>VIGENTE</v>
      </c>
      <c r="L21" s="97" t="str">
        <f t="shared" si="5"/>
        <v>VIGENTE</v>
      </c>
      <c r="N21" s="99"/>
      <c r="O21" s="99"/>
      <c r="P21" s="99"/>
      <c r="Q21" s="99"/>
      <c r="R21" s="99"/>
      <c r="S21" s="99"/>
    </row>
    <row r="22">
      <c r="A22" s="95">
        <f>'RECURSO ACTUAL'!A22</f>
        <v>3219</v>
      </c>
      <c r="B22" s="96">
        <f>'RECURSO ACTUAL'!F22</f>
        <v>46654</v>
      </c>
      <c r="C22" s="97" t="str">
        <f>'RECURSO ACTUAL'!B22</f>
        <v>02-Medellin</v>
      </c>
      <c r="D22" s="91">
        <f>VLOOKUP(A22,'Q LUB'!A:L,8,FALSE)</f>
        <v>46112</v>
      </c>
      <c r="E22" s="92">
        <f t="shared" si="2"/>
        <v>104</v>
      </c>
      <c r="F22" s="92">
        <f>VLOOKUP(A22,'Q LUB'!A:L,7,FALSE)</f>
        <v>3645</v>
      </c>
      <c r="G22" s="92">
        <f>VLOOKUP(A22,'Q LUB'!A:L,5,FALSE)</f>
        <v>180</v>
      </c>
      <c r="H22" s="92">
        <f>VLOOKUP(A22,'Q LUB'!A:L,4,FALSE)</f>
        <v>5000</v>
      </c>
      <c r="I22" s="92">
        <f t="shared" ref="I22:J22" si="24">G22-E22</f>
        <v>76</v>
      </c>
      <c r="J22" s="92">
        <f t="shared" si="24"/>
        <v>1355</v>
      </c>
      <c r="K22" s="97" t="str">
        <f t="shared" si="4"/>
        <v>VIGENTE</v>
      </c>
      <c r="L22" s="97" t="str">
        <f t="shared" si="5"/>
        <v>VIGENTE</v>
      </c>
      <c r="N22" s="99"/>
      <c r="O22" s="99"/>
      <c r="P22" s="99"/>
      <c r="Q22" s="99"/>
      <c r="R22" s="99"/>
      <c r="S22" s="99"/>
    </row>
    <row r="23">
      <c r="A23" s="95">
        <f>'RECURSO ACTUAL'!A23</f>
        <v>3216</v>
      </c>
      <c r="B23" s="96">
        <f>'RECURSO ACTUAL'!F23</f>
        <v>46654</v>
      </c>
      <c r="C23" s="97" t="str">
        <f>'RECURSO ACTUAL'!B23</f>
        <v>02-Medellin</v>
      </c>
      <c r="D23" s="91">
        <f>VLOOKUP(A23,'Q LUB'!A:L,8,FALSE)</f>
        <v>46100</v>
      </c>
      <c r="E23" s="92">
        <f t="shared" si="2"/>
        <v>116</v>
      </c>
      <c r="F23" s="92">
        <f>VLOOKUP(A23,'Q LUB'!A:L,7,FALSE)</f>
        <v>3457</v>
      </c>
      <c r="G23" s="92">
        <f>VLOOKUP(A23,'Q LUB'!A:L,5,FALSE)</f>
        <v>180</v>
      </c>
      <c r="H23" s="92">
        <f>VLOOKUP(A23,'Q LUB'!A:L,4,FALSE)</f>
        <v>5000</v>
      </c>
      <c r="I23" s="92">
        <f t="shared" ref="I23:J23" si="25">G23-E23</f>
        <v>64</v>
      </c>
      <c r="J23" s="92">
        <f t="shared" si="25"/>
        <v>1543</v>
      </c>
      <c r="K23" s="97" t="str">
        <f t="shared" si="4"/>
        <v>VIGENTE</v>
      </c>
      <c r="L23" s="97" t="str">
        <f t="shared" si="5"/>
        <v>VIGENTE</v>
      </c>
      <c r="N23" s="99"/>
      <c r="O23" s="99"/>
      <c r="P23" s="99"/>
      <c r="Q23" s="99"/>
      <c r="R23" s="99"/>
      <c r="S23" s="99"/>
    </row>
    <row r="24">
      <c r="A24" s="95">
        <f>'RECURSO ACTUAL'!A24</f>
        <v>3215</v>
      </c>
      <c r="B24" s="96">
        <f>'RECURSO ACTUAL'!F24</f>
        <v>46654</v>
      </c>
      <c r="C24" s="97" t="str">
        <f>'RECURSO ACTUAL'!B24</f>
        <v>02-Medellin</v>
      </c>
      <c r="D24" s="91">
        <f>VLOOKUP(A24,'Q LUB'!A:L,8,FALSE)</f>
        <v>46120</v>
      </c>
      <c r="E24" s="92">
        <f t="shared" si="2"/>
        <v>96</v>
      </c>
      <c r="F24" s="92">
        <f>VLOOKUP(A24,'Q LUB'!A:L,7,FALSE)</f>
        <v>2549</v>
      </c>
      <c r="G24" s="92">
        <f>VLOOKUP(A24,'Q LUB'!A:L,5,FALSE)</f>
        <v>180</v>
      </c>
      <c r="H24" s="92">
        <f>VLOOKUP(A24,'Q LUB'!A:L,4,FALSE)</f>
        <v>5000</v>
      </c>
      <c r="I24" s="92">
        <f t="shared" ref="I24:J24" si="26">G24-E24</f>
        <v>84</v>
      </c>
      <c r="J24" s="92">
        <f t="shared" si="26"/>
        <v>2451</v>
      </c>
      <c r="K24" s="97" t="str">
        <f t="shared" si="4"/>
        <v>VIGENTE</v>
      </c>
      <c r="L24" s="97" t="str">
        <f t="shared" si="5"/>
        <v>VIGENTE</v>
      </c>
      <c r="N24" s="99"/>
      <c r="O24" s="99"/>
      <c r="P24" s="99"/>
      <c r="Q24" s="99"/>
      <c r="R24" s="99"/>
      <c r="S24" s="99"/>
    </row>
    <row r="25">
      <c r="A25" s="95">
        <f>'RECURSO ACTUAL'!A25</f>
        <v>3214</v>
      </c>
      <c r="B25" s="96">
        <f>'RECURSO ACTUAL'!F25</f>
        <v>46654</v>
      </c>
      <c r="C25" s="97" t="str">
        <f>'RECURSO ACTUAL'!B25</f>
        <v>02-Medellin</v>
      </c>
      <c r="D25" s="91">
        <f>VLOOKUP(A25,'Q LUB'!A:L,8,FALSE)</f>
        <v>46100</v>
      </c>
      <c r="E25" s="92">
        <f t="shared" si="2"/>
        <v>116</v>
      </c>
      <c r="F25" s="92">
        <f>VLOOKUP(A25,'Q LUB'!A:L,7,FALSE)</f>
        <v>3673</v>
      </c>
      <c r="G25" s="92">
        <f>VLOOKUP(A25,'Q LUB'!A:L,5,FALSE)</f>
        <v>180</v>
      </c>
      <c r="H25" s="92">
        <f>VLOOKUP(A25,'Q LUB'!A:L,4,FALSE)</f>
        <v>5000</v>
      </c>
      <c r="I25" s="92">
        <f t="shared" ref="I25:J25" si="27">G25-E25</f>
        <v>64</v>
      </c>
      <c r="J25" s="92">
        <f t="shared" si="27"/>
        <v>1327</v>
      </c>
      <c r="K25" s="97" t="str">
        <f t="shared" si="4"/>
        <v>VIGENTE</v>
      </c>
      <c r="L25" s="97" t="str">
        <f t="shared" si="5"/>
        <v>VIGENTE</v>
      </c>
      <c r="N25" s="99"/>
      <c r="O25" s="99"/>
      <c r="P25" s="99"/>
      <c r="Q25" s="99"/>
      <c r="R25" s="99"/>
      <c r="S25" s="99"/>
      <c r="T25" s="102"/>
    </row>
    <row r="26">
      <c r="A26" s="95">
        <f>'RECURSO ACTUAL'!A26</f>
        <v>3213</v>
      </c>
      <c r="B26" s="96">
        <f>'RECURSO ACTUAL'!F26</f>
        <v>46654</v>
      </c>
      <c r="C26" s="97" t="str">
        <f>'RECURSO ACTUAL'!B26</f>
        <v>02-Medellin</v>
      </c>
      <c r="D26" s="91">
        <f>VLOOKUP(A26,'Q LUB'!A:L,8,FALSE)</f>
        <v>46091</v>
      </c>
      <c r="E26" s="92">
        <f t="shared" si="2"/>
        <v>125</v>
      </c>
      <c r="F26" s="92">
        <f>VLOOKUP(A26,'Q LUB'!A:L,7,FALSE)</f>
        <v>4308</v>
      </c>
      <c r="G26" s="92">
        <f>VLOOKUP(A26,'Q LUB'!A:L,5,FALSE)</f>
        <v>180</v>
      </c>
      <c r="H26" s="92">
        <f>VLOOKUP(A26,'Q LUB'!A:L,4,FALSE)</f>
        <v>5000</v>
      </c>
      <c r="I26" s="92">
        <f t="shared" ref="I26:J26" si="28">G26-E26</f>
        <v>55</v>
      </c>
      <c r="J26" s="92">
        <f t="shared" si="28"/>
        <v>692</v>
      </c>
      <c r="K26" s="97" t="str">
        <f t="shared" si="4"/>
        <v>VIGENTE</v>
      </c>
      <c r="L26" s="97" t="str">
        <f t="shared" si="5"/>
        <v>PRÓXIMO</v>
      </c>
      <c r="N26" s="99"/>
      <c r="O26" s="99"/>
      <c r="P26" s="99"/>
      <c r="Q26" s="99"/>
      <c r="R26" s="99"/>
      <c r="S26" s="99"/>
    </row>
    <row r="27">
      <c r="A27" s="95">
        <f>'RECURSO ACTUAL'!A27</f>
        <v>3212</v>
      </c>
      <c r="B27" s="96">
        <f>'RECURSO ACTUAL'!F27</f>
        <v>46654</v>
      </c>
      <c r="C27" s="97" t="str">
        <f>'RECURSO ACTUAL'!B27</f>
        <v>02-Medellin</v>
      </c>
      <c r="D27" s="91">
        <f>VLOOKUP(A27,'Q LUB'!A:L,8,FALSE)</f>
        <v>46112</v>
      </c>
      <c r="E27" s="92">
        <f t="shared" si="2"/>
        <v>104</v>
      </c>
      <c r="F27" s="92">
        <f>VLOOKUP(A27,'Q LUB'!A:L,7,FALSE)</f>
        <v>3471</v>
      </c>
      <c r="G27" s="92">
        <f>VLOOKUP(A27,'Q LUB'!A:L,5,FALSE)</f>
        <v>180</v>
      </c>
      <c r="H27" s="92">
        <f>VLOOKUP(A27,'Q LUB'!A:L,4,FALSE)</f>
        <v>5000</v>
      </c>
      <c r="I27" s="92">
        <f t="shared" ref="I27:J27" si="29">G27-E27</f>
        <v>76</v>
      </c>
      <c r="J27" s="92">
        <f t="shared" si="29"/>
        <v>1529</v>
      </c>
      <c r="K27" s="97" t="str">
        <f t="shared" si="4"/>
        <v>VIGENTE</v>
      </c>
      <c r="L27" s="97" t="str">
        <f t="shared" si="5"/>
        <v>VIGENTE</v>
      </c>
      <c r="N27" s="99"/>
      <c r="O27" s="99"/>
      <c r="P27" s="99"/>
      <c r="Q27" s="99"/>
      <c r="R27" s="99"/>
      <c r="S27" s="99"/>
    </row>
    <row r="28">
      <c r="A28" s="95">
        <f>'RECURSO ACTUAL'!A28</f>
        <v>3210</v>
      </c>
      <c r="B28" s="96">
        <f>'RECURSO ACTUAL'!F28</f>
        <v>46648</v>
      </c>
      <c r="C28" s="97" t="str">
        <f>'RECURSO ACTUAL'!B28</f>
        <v>02-Medellin</v>
      </c>
      <c r="D28" s="91">
        <f>VLOOKUP(A28,'Q LUB'!A:L,8,FALSE)</f>
        <v>46147</v>
      </c>
      <c r="E28" s="92">
        <f t="shared" si="2"/>
        <v>69</v>
      </c>
      <c r="F28" s="92">
        <f>VLOOKUP(A28,'Q LUB'!A:L,7,FALSE)</f>
        <v>2955</v>
      </c>
      <c r="G28" s="92">
        <f>VLOOKUP(A28,'Q LUB'!A:L,5,FALSE)</f>
        <v>180</v>
      </c>
      <c r="H28" s="92">
        <f>VLOOKUP(A28,'Q LUB'!A:L,4,FALSE)</f>
        <v>5000</v>
      </c>
      <c r="I28" s="92">
        <f t="shared" ref="I28:J28" si="30">G28-E28</f>
        <v>111</v>
      </c>
      <c r="J28" s="92">
        <f t="shared" si="30"/>
        <v>2045</v>
      </c>
      <c r="K28" s="97" t="str">
        <f t="shared" si="4"/>
        <v>VIGENTE</v>
      </c>
      <c r="L28" s="97" t="str">
        <f t="shared" si="5"/>
        <v>VIGENTE</v>
      </c>
      <c r="N28" s="99"/>
      <c r="O28" s="99"/>
      <c r="P28" s="99"/>
      <c r="Q28" s="99"/>
      <c r="R28" s="99"/>
      <c r="S28" s="99"/>
    </row>
    <row r="29">
      <c r="A29" s="95">
        <f>'RECURSO ACTUAL'!A30</f>
        <v>3202</v>
      </c>
      <c r="B29" s="96">
        <f>'RECURSO ACTUAL'!F30</f>
        <v>46653</v>
      </c>
      <c r="C29" s="97" t="str">
        <f>'RECURSO ACTUAL'!B30</f>
        <v>02-Medellin</v>
      </c>
      <c r="D29" s="91">
        <f>VLOOKUP(A29,'Q LUB'!A:L,8,FALSE)</f>
        <v>46112</v>
      </c>
      <c r="E29" s="92">
        <f t="shared" si="2"/>
        <v>104</v>
      </c>
      <c r="F29" s="92">
        <f>VLOOKUP(A29,'Q LUB'!A:L,7,FALSE)</f>
        <v>5377</v>
      </c>
      <c r="G29" s="92">
        <f>VLOOKUP(A29,'Q LUB'!A:L,5,FALSE)</f>
        <v>180</v>
      </c>
      <c r="H29" s="92">
        <f>VLOOKUP(A29,'Q LUB'!A:L,4,FALSE)</f>
        <v>5000</v>
      </c>
      <c r="I29" s="92">
        <f t="shared" ref="I29:J29" si="31">G29-E29</f>
        <v>76</v>
      </c>
      <c r="J29" s="92">
        <f t="shared" si="31"/>
        <v>-377</v>
      </c>
      <c r="K29" s="97" t="str">
        <f t="shared" si="4"/>
        <v>VIGENTE</v>
      </c>
      <c r="L29" s="97" t="str">
        <f t="shared" si="5"/>
        <v>PASADO</v>
      </c>
      <c r="N29" s="99"/>
      <c r="O29" s="99"/>
      <c r="P29" s="99"/>
      <c r="Q29" s="99"/>
      <c r="R29" s="99"/>
      <c r="S29" s="99"/>
    </row>
    <row r="30">
      <c r="A30" s="95">
        <f>'RECURSO ACTUAL'!A31</f>
        <v>3201</v>
      </c>
      <c r="B30" s="96">
        <f>'RECURSO ACTUAL'!F31</f>
        <v>46654</v>
      </c>
      <c r="C30" s="97" t="str">
        <f>'RECURSO ACTUAL'!B31</f>
        <v>02-Medellin</v>
      </c>
      <c r="D30" s="91">
        <f>VLOOKUP(A30,'Q LUB'!A:L,8,FALSE)</f>
        <v>46097</v>
      </c>
      <c r="E30" s="92">
        <f t="shared" si="2"/>
        <v>119</v>
      </c>
      <c r="F30" s="92">
        <f>VLOOKUP(A30,'Q LUB'!A:L,7,FALSE)</f>
        <v>3840</v>
      </c>
      <c r="G30" s="92">
        <f>VLOOKUP(A30,'Q LUB'!A:L,5,FALSE)</f>
        <v>180</v>
      </c>
      <c r="H30" s="92">
        <f>VLOOKUP(A30,'Q LUB'!A:L,4,FALSE)</f>
        <v>5000</v>
      </c>
      <c r="I30" s="92">
        <f t="shared" ref="I30:J30" si="32">G30-E30</f>
        <v>61</v>
      </c>
      <c r="J30" s="92">
        <f t="shared" si="32"/>
        <v>1160</v>
      </c>
      <c r="K30" s="97" t="str">
        <f t="shared" si="4"/>
        <v>VIGENTE</v>
      </c>
      <c r="L30" s="97" t="str">
        <f t="shared" si="5"/>
        <v>VIGENTE</v>
      </c>
      <c r="N30" s="99"/>
      <c r="O30" s="99"/>
      <c r="P30" s="99"/>
      <c r="Q30" s="99"/>
      <c r="R30" s="99"/>
      <c r="S30" s="99"/>
    </row>
    <row r="31">
      <c r="A31" s="95">
        <f>'RECURSO ACTUAL'!A32</f>
        <v>3200</v>
      </c>
      <c r="B31" s="96">
        <f>'RECURSO ACTUAL'!F32</f>
        <v>46654</v>
      </c>
      <c r="C31" s="97" t="str">
        <f>'RECURSO ACTUAL'!B32</f>
        <v>02-Medellin</v>
      </c>
      <c r="D31" s="91">
        <f>VLOOKUP(A31,'Q LUB'!A:L,8,FALSE)</f>
        <v>46091</v>
      </c>
      <c r="E31" s="92">
        <f t="shared" si="2"/>
        <v>125</v>
      </c>
      <c r="F31" s="92">
        <f>VLOOKUP(A31,'Q LUB'!A:L,7,FALSE)</f>
        <v>4976</v>
      </c>
      <c r="G31" s="92">
        <f>VLOOKUP(A31,'Q LUB'!A:L,5,FALSE)</f>
        <v>180</v>
      </c>
      <c r="H31" s="92">
        <f>VLOOKUP(A31,'Q LUB'!A:L,4,FALSE)</f>
        <v>5000</v>
      </c>
      <c r="I31" s="92">
        <f t="shared" ref="I31:J31" si="33">G31-E31</f>
        <v>55</v>
      </c>
      <c r="J31" s="92">
        <f t="shared" si="33"/>
        <v>24</v>
      </c>
      <c r="K31" s="97" t="str">
        <f t="shared" si="4"/>
        <v>VIGENTE</v>
      </c>
      <c r="L31" s="97" t="str">
        <f t="shared" si="5"/>
        <v>PRÓXIMO</v>
      </c>
      <c r="N31" s="99"/>
      <c r="O31" s="99"/>
      <c r="P31" s="99"/>
      <c r="Q31" s="99"/>
      <c r="R31" s="99"/>
      <c r="S31" s="99"/>
    </row>
    <row r="32">
      <c r="A32" s="95">
        <f>'RECURSO ACTUAL'!A33</f>
        <v>3198</v>
      </c>
      <c r="B32" s="96">
        <f>'RECURSO ACTUAL'!F33</f>
        <v>46654</v>
      </c>
      <c r="C32" s="97" t="str">
        <f>'RECURSO ACTUAL'!B33</f>
        <v>31-Copacabana</v>
      </c>
      <c r="D32" s="91">
        <f>VLOOKUP(A32,'Q LUB'!A:L,8,FALSE)</f>
        <v>46062</v>
      </c>
      <c r="E32" s="92">
        <f t="shared" si="2"/>
        <v>154</v>
      </c>
      <c r="F32" s="92">
        <f>VLOOKUP(A32,'Q LUB'!A:L,7,FALSE)</f>
        <v>5962</v>
      </c>
      <c r="G32" s="92">
        <f>VLOOKUP(A32,'Q LUB'!A:L,5,FALSE)</f>
        <v>180</v>
      </c>
      <c r="H32" s="92">
        <f>VLOOKUP(A32,'Q LUB'!A:L,4,FALSE)</f>
        <v>5000</v>
      </c>
      <c r="I32" s="92">
        <f t="shared" ref="I32:J32" si="34">G32-E32</f>
        <v>26</v>
      </c>
      <c r="J32" s="92">
        <f t="shared" si="34"/>
        <v>-962</v>
      </c>
      <c r="K32" s="97" t="str">
        <f t="shared" si="4"/>
        <v>VIGENTE</v>
      </c>
      <c r="L32" s="97" t="str">
        <f t="shared" si="5"/>
        <v>PASADO</v>
      </c>
      <c r="N32" s="99"/>
      <c r="O32" s="99"/>
      <c r="P32" s="99"/>
      <c r="Q32" s="99"/>
      <c r="R32" s="99"/>
      <c r="S32" s="99"/>
    </row>
    <row r="33">
      <c r="A33" s="95">
        <f>'RECURSO ACTUAL'!A34</f>
        <v>3197</v>
      </c>
      <c r="B33" s="96">
        <f>'RECURSO ACTUAL'!F34</f>
        <v>46653</v>
      </c>
      <c r="C33" s="97" t="str">
        <f>'RECURSO ACTUAL'!B34</f>
        <v>02-Medellin</v>
      </c>
      <c r="D33" s="91">
        <f>VLOOKUP(A33,'Q LUB'!A:L,8,FALSE)</f>
        <v>46078</v>
      </c>
      <c r="E33" s="92">
        <f t="shared" si="2"/>
        <v>138</v>
      </c>
      <c r="F33" s="92">
        <f>VLOOKUP(A33,'Q LUB'!A:L,7,FALSE)</f>
        <v>4369</v>
      </c>
      <c r="G33" s="92">
        <f>VLOOKUP(A33,'Q LUB'!A:L,5,FALSE)</f>
        <v>180</v>
      </c>
      <c r="H33" s="92">
        <f>VLOOKUP(A33,'Q LUB'!A:L,4,FALSE)</f>
        <v>5000</v>
      </c>
      <c r="I33" s="92">
        <f t="shared" ref="I33:J33" si="35">G33-E33</f>
        <v>42</v>
      </c>
      <c r="J33" s="92">
        <f t="shared" si="35"/>
        <v>631</v>
      </c>
      <c r="K33" s="97" t="str">
        <f t="shared" si="4"/>
        <v>VIGENTE</v>
      </c>
      <c r="L33" s="97" t="str">
        <f t="shared" si="5"/>
        <v>PRÓXIMO</v>
      </c>
      <c r="N33" s="99"/>
      <c r="O33" s="99"/>
      <c r="P33" s="99"/>
      <c r="Q33" s="99"/>
      <c r="R33" s="99"/>
      <c r="S33" s="99"/>
    </row>
    <row r="34">
      <c r="A34" s="95">
        <f>'RECURSO ACTUAL'!A35</f>
        <v>2927</v>
      </c>
      <c r="B34" s="96">
        <f>'RECURSO ACTUAL'!F35</f>
        <v>46318</v>
      </c>
      <c r="C34" s="97" t="str">
        <f>'RECURSO ACTUAL'!B35</f>
        <v>02-Medellin</v>
      </c>
      <c r="D34" s="91">
        <f>VLOOKUP(A34,'Q LUB'!A:L,8,FALSE)</f>
        <v>46070</v>
      </c>
      <c r="E34" s="92">
        <f t="shared" si="2"/>
        <v>146</v>
      </c>
      <c r="F34" s="92">
        <f>VLOOKUP(A34,'Q LUB'!A:L,7,FALSE)</f>
        <v>4990</v>
      </c>
      <c r="G34" s="92">
        <f>VLOOKUP(A34,'Q LUB'!A:L,5,FALSE)</f>
        <v>180</v>
      </c>
      <c r="H34" s="92">
        <f>VLOOKUP(A34,'Q LUB'!A:L,4,FALSE)</f>
        <v>5000</v>
      </c>
      <c r="I34" s="92">
        <f t="shared" ref="I34:J34" si="36">G34-E34</f>
        <v>34</v>
      </c>
      <c r="J34" s="92">
        <f t="shared" si="36"/>
        <v>10</v>
      </c>
      <c r="K34" s="97" t="str">
        <f t="shared" si="4"/>
        <v>VIGENTE</v>
      </c>
      <c r="L34" s="97" t="str">
        <f t="shared" si="5"/>
        <v>PRÓXIMO</v>
      </c>
      <c r="N34" s="99"/>
      <c r="O34" s="99"/>
      <c r="P34" s="99"/>
      <c r="Q34" s="99"/>
      <c r="R34" s="99"/>
      <c r="S34" s="99"/>
    </row>
    <row r="35">
      <c r="A35" s="95">
        <f>'RECURSO ACTUAL'!A36</f>
        <v>2926</v>
      </c>
      <c r="B35" s="96">
        <f>'RECURSO ACTUAL'!F36</f>
        <v>46318</v>
      </c>
      <c r="C35" s="97" t="str">
        <f>'RECURSO ACTUAL'!B36</f>
        <v>31-Copacabana</v>
      </c>
      <c r="D35" s="91">
        <f>VLOOKUP(A35,'Q LUB'!A:L,8,FALSE)</f>
        <v>46101</v>
      </c>
      <c r="E35" s="92">
        <f t="shared" si="2"/>
        <v>115</v>
      </c>
      <c r="F35" s="92">
        <f>VLOOKUP(A35,'Q LUB'!A:L,7,FALSE)</f>
        <v>4791</v>
      </c>
      <c r="G35" s="92">
        <f>VLOOKUP(A35,'Q LUB'!A:L,5,FALSE)</f>
        <v>180</v>
      </c>
      <c r="H35" s="92">
        <f>VLOOKUP(A35,'Q LUB'!A:L,4,FALSE)</f>
        <v>5000</v>
      </c>
      <c r="I35" s="92">
        <f t="shared" ref="I35:J35" si="37">G35-E35</f>
        <v>65</v>
      </c>
      <c r="J35" s="92">
        <f t="shared" si="37"/>
        <v>209</v>
      </c>
      <c r="K35" s="97" t="str">
        <f t="shared" si="4"/>
        <v>VIGENTE</v>
      </c>
      <c r="L35" s="97" t="str">
        <f t="shared" si="5"/>
        <v>PRÓXIMO</v>
      </c>
      <c r="N35" s="99"/>
      <c r="O35" s="99"/>
      <c r="P35" s="99"/>
      <c r="Q35" s="99"/>
      <c r="R35" s="99"/>
      <c r="S35" s="99"/>
    </row>
    <row r="36">
      <c r="A36" s="95">
        <f>'RECURSO ACTUAL'!A37</f>
        <v>2925</v>
      </c>
      <c r="B36" s="96">
        <f>'RECURSO ACTUAL'!F37</f>
        <v>46318</v>
      </c>
      <c r="C36" s="97" t="str">
        <f>'RECURSO ACTUAL'!B37</f>
        <v>02-Medellin</v>
      </c>
      <c r="D36" s="91">
        <f>VLOOKUP(A36,'Q LUB'!A:L,8,FALSE)</f>
        <v>46087</v>
      </c>
      <c r="E36" s="92">
        <f t="shared" si="2"/>
        <v>129</v>
      </c>
      <c r="F36" s="92">
        <f>VLOOKUP(A36,'Q LUB'!A:L,7,FALSE)</f>
        <v>5412</v>
      </c>
      <c r="G36" s="92">
        <f>VLOOKUP(A36,'Q LUB'!A:L,5,FALSE)</f>
        <v>180</v>
      </c>
      <c r="H36" s="92">
        <f>VLOOKUP(A36,'Q LUB'!A:L,4,FALSE)</f>
        <v>5000</v>
      </c>
      <c r="I36" s="92">
        <f t="shared" ref="I36:J36" si="38">G36-E36</f>
        <v>51</v>
      </c>
      <c r="J36" s="92">
        <f t="shared" si="38"/>
        <v>-412</v>
      </c>
      <c r="K36" s="97" t="str">
        <f t="shared" si="4"/>
        <v>VIGENTE</v>
      </c>
      <c r="L36" s="97" t="str">
        <f t="shared" si="5"/>
        <v>PASADO</v>
      </c>
      <c r="N36" s="99"/>
      <c r="O36" s="99"/>
      <c r="P36" s="99"/>
      <c r="Q36" s="99"/>
      <c r="R36" s="99"/>
      <c r="S36" s="99"/>
    </row>
    <row r="37">
      <c r="A37" s="95">
        <f>'RECURSO ACTUAL'!A38</f>
        <v>2924</v>
      </c>
      <c r="B37" s="96">
        <f>'RECURSO ACTUAL'!F38</f>
        <v>46318</v>
      </c>
      <c r="C37" s="97" t="str">
        <f>'RECURSO ACTUAL'!B38</f>
        <v>02-Medellin</v>
      </c>
      <c r="D37" s="91">
        <f>VLOOKUP(A37,'Q LUB'!A:L,8,FALSE)</f>
        <v>46155</v>
      </c>
      <c r="E37" s="92">
        <f t="shared" si="2"/>
        <v>61</v>
      </c>
      <c r="F37" s="92">
        <f>VLOOKUP(A37,'Q LUB'!A:L,7,FALSE)</f>
        <v>2198</v>
      </c>
      <c r="G37" s="92">
        <f>VLOOKUP(A37,'Q LUB'!A:L,5,FALSE)</f>
        <v>180</v>
      </c>
      <c r="H37" s="92">
        <f>VLOOKUP(A37,'Q LUB'!A:L,4,FALSE)</f>
        <v>5000</v>
      </c>
      <c r="I37" s="92">
        <f t="shared" ref="I37:J37" si="39">G37-E37</f>
        <v>119</v>
      </c>
      <c r="J37" s="92">
        <f t="shared" si="39"/>
        <v>2802</v>
      </c>
      <c r="K37" s="97" t="str">
        <f t="shared" si="4"/>
        <v>VIGENTE</v>
      </c>
      <c r="L37" s="97" t="str">
        <f t="shared" si="5"/>
        <v>VIGENTE</v>
      </c>
      <c r="N37" s="99"/>
      <c r="O37" s="99"/>
      <c r="P37" s="99"/>
      <c r="Q37" s="99"/>
      <c r="R37" s="99"/>
      <c r="S37" s="99"/>
    </row>
    <row r="38">
      <c r="A38" s="95">
        <f>'RECURSO ACTUAL'!A39</f>
        <v>2923</v>
      </c>
      <c r="B38" s="96">
        <f>'RECURSO ACTUAL'!F39</f>
        <v>46318</v>
      </c>
      <c r="C38" s="97" t="str">
        <f>'RECURSO ACTUAL'!B39</f>
        <v>BULTOS</v>
      </c>
      <c r="D38" s="91">
        <f>VLOOKUP(A38,'Q LUB'!A:L,8,FALSE)</f>
        <v>46135</v>
      </c>
      <c r="E38" s="92">
        <f t="shared" si="2"/>
        <v>81</v>
      </c>
      <c r="F38" s="92">
        <f>VLOOKUP(A38,'Q LUB'!A:L,7,FALSE)</f>
        <v>5969</v>
      </c>
      <c r="G38" s="92">
        <f>VLOOKUP(A38,'Q LUB'!A:L,5,FALSE)</f>
        <v>180</v>
      </c>
      <c r="H38" s="92">
        <f>VLOOKUP(A38,'Q LUB'!A:L,4,FALSE)</f>
        <v>5000</v>
      </c>
      <c r="I38" s="92">
        <f t="shared" ref="I38:J38" si="40">G38-E38</f>
        <v>99</v>
      </c>
      <c r="J38" s="92">
        <f t="shared" si="40"/>
        <v>-969</v>
      </c>
      <c r="K38" s="97" t="str">
        <f t="shared" si="4"/>
        <v>VIGENTE</v>
      </c>
      <c r="L38" s="97" t="str">
        <f t="shared" si="5"/>
        <v>PASADO</v>
      </c>
      <c r="N38" s="99"/>
      <c r="O38" s="99"/>
      <c r="P38" s="99"/>
      <c r="Q38" s="99"/>
      <c r="R38" s="99"/>
      <c r="S38" s="99"/>
    </row>
    <row r="39">
      <c r="A39" s="95">
        <f>'RECURSO ACTUAL'!A40</f>
        <v>2922</v>
      </c>
      <c r="B39" s="96">
        <f>'RECURSO ACTUAL'!F40</f>
        <v>46318</v>
      </c>
      <c r="C39" s="97" t="str">
        <f>'RECURSO ACTUAL'!B40</f>
        <v>02-Medellin</v>
      </c>
      <c r="D39" s="91">
        <f>VLOOKUP(A39,'Q LUB'!A:L,8,FALSE)</f>
        <v>46062</v>
      </c>
      <c r="E39" s="92">
        <f t="shared" si="2"/>
        <v>154</v>
      </c>
      <c r="F39" s="92">
        <f>VLOOKUP(A39,'Q LUB'!A:L,7,FALSE)</f>
        <v>4383</v>
      </c>
      <c r="G39" s="92">
        <f>VLOOKUP(A39,'Q LUB'!A:L,5,FALSE)</f>
        <v>180</v>
      </c>
      <c r="H39" s="92">
        <f>VLOOKUP(A39,'Q LUB'!A:L,4,FALSE)</f>
        <v>5000</v>
      </c>
      <c r="I39" s="92">
        <f t="shared" ref="I39:J39" si="41">G39-E39</f>
        <v>26</v>
      </c>
      <c r="J39" s="92">
        <f t="shared" si="41"/>
        <v>617</v>
      </c>
      <c r="K39" s="97" t="str">
        <f t="shared" si="4"/>
        <v>VIGENTE</v>
      </c>
      <c r="L39" s="97" t="str">
        <f t="shared" si="5"/>
        <v>PRÓXIMO</v>
      </c>
      <c r="N39" s="99"/>
      <c r="O39" s="99"/>
      <c r="P39" s="99"/>
      <c r="Q39" s="99"/>
      <c r="R39" s="99"/>
      <c r="S39" s="99"/>
    </row>
    <row r="40">
      <c r="A40" s="95">
        <f>'RECURSO ACTUAL'!A41</f>
        <v>2921</v>
      </c>
      <c r="B40" s="96">
        <f>'RECURSO ACTUAL'!F41</f>
        <v>46318</v>
      </c>
      <c r="C40" s="97" t="str">
        <f>'RECURSO ACTUAL'!B41</f>
        <v>MAYORCA</v>
      </c>
      <c r="D40" s="91">
        <f>VLOOKUP(A40,'Q LUB'!A:L,8,FALSE)</f>
        <v>46056</v>
      </c>
      <c r="E40" s="92">
        <f t="shared" si="2"/>
        <v>160</v>
      </c>
      <c r="F40" s="92">
        <f>VLOOKUP(A40,'Q LUB'!A:L,7,FALSE)</f>
        <v>4653</v>
      </c>
      <c r="G40" s="92">
        <f>VLOOKUP(A40,'Q LUB'!A:L,5,FALSE)</f>
        <v>180</v>
      </c>
      <c r="H40" s="92">
        <f>VLOOKUP(A40,'Q LUB'!A:L,4,FALSE)</f>
        <v>5000</v>
      </c>
      <c r="I40" s="92">
        <f t="shared" ref="I40:J40" si="42">G40-E40</f>
        <v>20</v>
      </c>
      <c r="J40" s="92">
        <f t="shared" si="42"/>
        <v>347</v>
      </c>
      <c r="K40" s="97" t="str">
        <f t="shared" si="4"/>
        <v>VIGENTE</v>
      </c>
      <c r="L40" s="97" t="str">
        <f t="shared" si="5"/>
        <v>PRÓXIMO</v>
      </c>
      <c r="N40" s="99"/>
      <c r="O40" s="99"/>
      <c r="P40" s="99"/>
      <c r="Q40" s="99"/>
      <c r="R40" s="99"/>
      <c r="S40" s="99"/>
    </row>
    <row r="41">
      <c r="A41" s="95">
        <f>'RECURSO ACTUAL'!A42</f>
        <v>2920</v>
      </c>
      <c r="B41" s="96">
        <f>'RECURSO ACTUAL'!F42</f>
        <v>46317</v>
      </c>
      <c r="C41" s="97" t="str">
        <f>'RECURSO ACTUAL'!B42</f>
        <v>31-Copacabana</v>
      </c>
      <c r="D41" s="91">
        <f>VLOOKUP(A41,'Q LUB'!A:L,8,FALSE)</f>
        <v>46108</v>
      </c>
      <c r="E41" s="92">
        <f t="shared" si="2"/>
        <v>108</v>
      </c>
      <c r="F41" s="92">
        <f>VLOOKUP(A41,'Q LUB'!A:L,7,FALSE)</f>
        <v>5047</v>
      </c>
      <c r="G41" s="92">
        <f>VLOOKUP(A41,'Q LUB'!A:L,5,FALSE)</f>
        <v>180</v>
      </c>
      <c r="H41" s="92">
        <f>VLOOKUP(A41,'Q LUB'!A:L,4,FALSE)</f>
        <v>5000</v>
      </c>
      <c r="I41" s="92">
        <f t="shared" ref="I41:J41" si="43">G41-E41</f>
        <v>72</v>
      </c>
      <c r="J41" s="92">
        <f t="shared" si="43"/>
        <v>-47</v>
      </c>
      <c r="K41" s="97" t="str">
        <f t="shared" si="4"/>
        <v>VIGENTE</v>
      </c>
      <c r="L41" s="97" t="str">
        <f t="shared" si="5"/>
        <v>PASADO</v>
      </c>
      <c r="N41" s="99"/>
      <c r="O41" s="99"/>
      <c r="P41" s="99"/>
      <c r="Q41" s="99"/>
      <c r="R41" s="99"/>
      <c r="S41" s="99"/>
    </row>
    <row r="42">
      <c r="A42" s="95">
        <f>'RECURSO ACTUAL'!A43</f>
        <v>2919</v>
      </c>
      <c r="B42" s="96">
        <f>'RECURSO ACTUAL'!F43</f>
        <v>46303</v>
      </c>
      <c r="C42" s="97" t="str">
        <f>'RECURSO ACTUAL'!B43</f>
        <v>MAYORCA</v>
      </c>
      <c r="D42" s="91">
        <f>VLOOKUP(A42,'Q LUB'!A:L,8,FALSE)</f>
        <v>46145</v>
      </c>
      <c r="E42" s="92">
        <f t="shared" si="2"/>
        <v>71</v>
      </c>
      <c r="F42" s="92">
        <f>VLOOKUP(A42,'Q LUB'!A:L,7,FALSE)</f>
        <v>1377</v>
      </c>
      <c r="G42" s="92">
        <f>VLOOKUP(A42,'Q LUB'!A:L,5,FALSE)</f>
        <v>180</v>
      </c>
      <c r="H42" s="92">
        <f>VLOOKUP(A42,'Q LUB'!A:L,4,FALSE)</f>
        <v>5000</v>
      </c>
      <c r="I42" s="92">
        <f t="shared" ref="I42:J42" si="44">G42-E42</f>
        <v>109</v>
      </c>
      <c r="J42" s="92">
        <f t="shared" si="44"/>
        <v>3623</v>
      </c>
      <c r="K42" s="97" t="str">
        <f t="shared" si="4"/>
        <v>VIGENTE</v>
      </c>
      <c r="L42" s="97" t="str">
        <f t="shared" si="5"/>
        <v>VIGENTE</v>
      </c>
      <c r="N42" s="99"/>
      <c r="O42" s="99"/>
      <c r="P42" s="99"/>
      <c r="Q42" s="99"/>
      <c r="R42" s="99"/>
      <c r="S42" s="99"/>
    </row>
    <row r="43">
      <c r="A43" s="95">
        <f>'RECURSO ACTUAL'!A44</f>
        <v>2918</v>
      </c>
      <c r="B43" s="96">
        <f>'RECURSO ACTUAL'!F44</f>
        <v>46303</v>
      </c>
      <c r="C43" s="97" t="str">
        <f>'RECURSO ACTUAL'!B44</f>
        <v>02-Medellin</v>
      </c>
      <c r="D43" s="91">
        <f>VLOOKUP(A43,'Q LUB'!A:L,8,FALSE)</f>
        <v>46118</v>
      </c>
      <c r="E43" s="92">
        <f t="shared" si="2"/>
        <v>98</v>
      </c>
      <c r="F43" s="92">
        <f>VLOOKUP(A43,'Q LUB'!A:L,7,FALSE)</f>
        <v>3353</v>
      </c>
      <c r="G43" s="92">
        <f>VLOOKUP(A43,'Q LUB'!A:L,5,FALSE)</f>
        <v>180</v>
      </c>
      <c r="H43" s="92">
        <f>VLOOKUP(A43,'Q LUB'!A:L,4,FALSE)</f>
        <v>5000</v>
      </c>
      <c r="I43" s="92">
        <f t="shared" ref="I43:J43" si="45">G43-E43</f>
        <v>82</v>
      </c>
      <c r="J43" s="92">
        <f t="shared" si="45"/>
        <v>1647</v>
      </c>
      <c r="K43" s="97" t="str">
        <f t="shared" si="4"/>
        <v>VIGENTE</v>
      </c>
      <c r="L43" s="97" t="str">
        <f t="shared" si="5"/>
        <v>VIGENTE</v>
      </c>
      <c r="N43" s="99"/>
      <c r="O43" s="99"/>
      <c r="P43" s="99"/>
      <c r="Q43" s="99"/>
      <c r="R43" s="99"/>
      <c r="S43" s="99"/>
    </row>
    <row r="44">
      <c r="A44" s="95">
        <f>'RECURSO ACTUAL'!A45</f>
        <v>2911</v>
      </c>
      <c r="B44" s="96">
        <f>'RECURSO ACTUAL'!F45</f>
        <v>46275</v>
      </c>
      <c r="C44" s="97" t="str">
        <f>'RECURSO ACTUAL'!B45</f>
        <v>31-Copacabana</v>
      </c>
      <c r="D44" s="91">
        <f>VLOOKUP(A44,'Q LUB'!A:L,8,FALSE)</f>
        <v>46101</v>
      </c>
      <c r="E44" s="92">
        <f t="shared" si="2"/>
        <v>115</v>
      </c>
      <c r="F44" s="92">
        <f>VLOOKUP(A44,'Q LUB'!A:L,7,FALSE)</f>
        <v>5921</v>
      </c>
      <c r="G44" s="92">
        <f>VLOOKUP(A44,'Q LUB'!A:L,5,FALSE)</f>
        <v>180</v>
      </c>
      <c r="H44" s="92">
        <f>VLOOKUP(A44,'Q LUB'!A:L,4,FALSE)</f>
        <v>5000</v>
      </c>
      <c r="I44" s="92">
        <f t="shared" ref="I44:J44" si="46">G44-E44</f>
        <v>65</v>
      </c>
      <c r="J44" s="92">
        <f t="shared" si="46"/>
        <v>-921</v>
      </c>
      <c r="K44" s="97" t="str">
        <f t="shared" si="4"/>
        <v>VIGENTE</v>
      </c>
      <c r="L44" s="97" t="str">
        <f t="shared" si="5"/>
        <v>PASADO</v>
      </c>
      <c r="N44" s="99"/>
      <c r="O44" s="99"/>
      <c r="P44" s="99"/>
      <c r="Q44" s="99"/>
      <c r="R44" s="99"/>
      <c r="S44" s="99"/>
    </row>
    <row r="45">
      <c r="A45" s="95">
        <f>'RECURSO ACTUAL'!A46</f>
        <v>2910</v>
      </c>
      <c r="B45" s="96">
        <f>'RECURSO ACTUAL'!F46</f>
        <v>46275</v>
      </c>
      <c r="C45" s="97" t="str">
        <f>'RECURSO ACTUAL'!B46</f>
        <v>24-Rionegro</v>
      </c>
      <c r="D45" s="91">
        <f>VLOOKUP(A45,'Q LUB'!A:L,8,FALSE)</f>
        <v>46112</v>
      </c>
      <c r="E45" s="92">
        <f t="shared" si="2"/>
        <v>104</v>
      </c>
      <c r="F45" s="92">
        <f>VLOOKUP(A45,'Q LUB'!A:L,7,FALSE)</f>
        <v>6394</v>
      </c>
      <c r="G45" s="92">
        <f>VLOOKUP(A45,'Q LUB'!A:L,5,FALSE)</f>
        <v>180</v>
      </c>
      <c r="H45" s="92">
        <f>VLOOKUP(A45,'Q LUB'!A:L,4,FALSE)</f>
        <v>5000</v>
      </c>
      <c r="I45" s="92">
        <f t="shared" ref="I45:J45" si="47">G45-E45</f>
        <v>76</v>
      </c>
      <c r="J45" s="92">
        <f t="shared" si="47"/>
        <v>-1394</v>
      </c>
      <c r="K45" s="97" t="str">
        <f t="shared" si="4"/>
        <v>VIGENTE</v>
      </c>
      <c r="L45" s="97" t="str">
        <f t="shared" si="5"/>
        <v>PASADO</v>
      </c>
      <c r="N45" s="99"/>
      <c r="O45" s="99"/>
      <c r="P45" s="99"/>
      <c r="Q45" s="99"/>
      <c r="R45" s="99"/>
      <c r="S45" s="99"/>
    </row>
    <row r="46">
      <c r="A46" s="95">
        <f>'RECURSO ACTUAL'!A47</f>
        <v>2909</v>
      </c>
      <c r="B46" s="96">
        <f>'RECURSO ACTUAL'!F47</f>
        <v>46275</v>
      </c>
      <c r="C46" s="97" t="str">
        <f>'RECURSO ACTUAL'!B47</f>
        <v>02-Medellin</v>
      </c>
      <c r="D46" s="91">
        <f>VLOOKUP(A46,'Q LUB'!A:L,8,FALSE)</f>
        <v>46105</v>
      </c>
      <c r="E46" s="92">
        <f t="shared" si="2"/>
        <v>111</v>
      </c>
      <c r="F46" s="92">
        <f>VLOOKUP(A46,'Q LUB'!A:L,7,FALSE)</f>
        <v>5874</v>
      </c>
      <c r="G46" s="92">
        <f>VLOOKUP(A46,'Q LUB'!A:L,5,FALSE)</f>
        <v>180</v>
      </c>
      <c r="H46" s="92">
        <f>VLOOKUP(A46,'Q LUB'!A:L,4,FALSE)</f>
        <v>5000</v>
      </c>
      <c r="I46" s="92">
        <f t="shared" ref="I46:J46" si="48">G46-E46</f>
        <v>69</v>
      </c>
      <c r="J46" s="92">
        <f t="shared" si="48"/>
        <v>-874</v>
      </c>
      <c r="K46" s="97" t="str">
        <f t="shared" si="4"/>
        <v>VIGENTE</v>
      </c>
      <c r="L46" s="97" t="str">
        <f t="shared" si="5"/>
        <v>PASADO</v>
      </c>
      <c r="N46" s="99"/>
      <c r="O46" s="99"/>
      <c r="P46" s="99"/>
      <c r="Q46" s="99"/>
      <c r="R46" s="99"/>
      <c r="S46" s="99"/>
    </row>
    <row r="47">
      <c r="A47" s="95">
        <f>'RECURSO ACTUAL'!A48</f>
        <v>2908</v>
      </c>
      <c r="B47" s="96">
        <f>'RECURSO ACTUAL'!F48</f>
        <v>46275</v>
      </c>
      <c r="C47" s="97" t="str">
        <f>'RECURSO ACTUAL'!B48</f>
        <v>24-Rionegro</v>
      </c>
      <c r="D47" s="91">
        <f>VLOOKUP(A47,'Q LUB'!A:L,8,FALSE)</f>
        <v>46135</v>
      </c>
      <c r="E47" s="92">
        <f t="shared" si="2"/>
        <v>81</v>
      </c>
      <c r="F47" s="92">
        <f>VLOOKUP(A47,'Q LUB'!A:L,7,FALSE)</f>
        <v>4332</v>
      </c>
      <c r="G47" s="92">
        <f>VLOOKUP(A47,'Q LUB'!A:L,5,FALSE)</f>
        <v>180</v>
      </c>
      <c r="H47" s="92">
        <f>VLOOKUP(A47,'Q LUB'!A:L,4,FALSE)</f>
        <v>5000</v>
      </c>
      <c r="I47" s="92">
        <f t="shared" ref="I47:J47" si="49">G47-E47</f>
        <v>99</v>
      </c>
      <c r="J47" s="92">
        <f t="shared" si="49"/>
        <v>668</v>
      </c>
      <c r="K47" s="97" t="str">
        <f t="shared" si="4"/>
        <v>VIGENTE</v>
      </c>
      <c r="L47" s="97" t="str">
        <f t="shared" si="5"/>
        <v>PRÓXIMO</v>
      </c>
      <c r="N47" s="99"/>
      <c r="O47" s="99"/>
      <c r="P47" s="99"/>
      <c r="Q47" s="99"/>
      <c r="R47" s="99"/>
      <c r="S47" s="99"/>
    </row>
    <row r="48">
      <c r="A48" s="95">
        <f>'RECURSO ACTUAL'!A49</f>
        <v>2907</v>
      </c>
      <c r="B48" s="96">
        <f>'RECURSO ACTUAL'!F49</f>
        <v>46275</v>
      </c>
      <c r="C48" s="97" t="str">
        <f>'RECURSO ACTUAL'!B49</f>
        <v>38-La ceja</v>
      </c>
      <c r="D48" s="91">
        <f>VLOOKUP(A48,'Q LUB'!A:L,8,FALSE)</f>
        <v>46157</v>
      </c>
      <c r="E48" s="92">
        <f t="shared" si="2"/>
        <v>59</v>
      </c>
      <c r="F48" s="92">
        <f>VLOOKUP(A48,'Q LUB'!A:L,7,FALSE)</f>
        <v>4155</v>
      </c>
      <c r="G48" s="92">
        <f>VLOOKUP(A48,'Q LUB'!A:L,5,FALSE)</f>
        <v>180</v>
      </c>
      <c r="H48" s="92">
        <f>VLOOKUP(A48,'Q LUB'!A:L,4,FALSE)</f>
        <v>5000</v>
      </c>
      <c r="I48" s="92">
        <f t="shared" ref="I48:J48" si="50">G48-E48</f>
        <v>121</v>
      </c>
      <c r="J48" s="92">
        <f t="shared" si="50"/>
        <v>845</v>
      </c>
      <c r="K48" s="97" t="str">
        <f t="shared" si="4"/>
        <v>VIGENTE</v>
      </c>
      <c r="L48" s="97" t="str">
        <f t="shared" si="5"/>
        <v>VIGENTE</v>
      </c>
      <c r="N48" s="99"/>
      <c r="O48" s="99"/>
      <c r="P48" s="99"/>
      <c r="Q48" s="99"/>
      <c r="R48" s="99"/>
      <c r="S48" s="99"/>
    </row>
    <row r="49">
      <c r="A49" s="95">
        <f>'RECURSO ACTUAL'!A50</f>
        <v>2906</v>
      </c>
      <c r="B49" s="96">
        <f>'RECURSO ACTUAL'!F50</f>
        <v>46275</v>
      </c>
      <c r="C49" s="97" t="str">
        <f>'RECURSO ACTUAL'!B50</f>
        <v>02-Medellin</v>
      </c>
      <c r="D49" s="91">
        <f>VLOOKUP(A49,'Q LUB'!A:L,8,FALSE)</f>
        <v>46084</v>
      </c>
      <c r="E49" s="92">
        <f t="shared" si="2"/>
        <v>132</v>
      </c>
      <c r="F49" s="92">
        <f>VLOOKUP(A49,'Q LUB'!A:L,7,FALSE)</f>
        <v>4590</v>
      </c>
      <c r="G49" s="92">
        <f>VLOOKUP(A49,'Q LUB'!A:L,5,FALSE)</f>
        <v>180</v>
      </c>
      <c r="H49" s="92">
        <f>VLOOKUP(A49,'Q LUB'!A:L,4,FALSE)</f>
        <v>5000</v>
      </c>
      <c r="I49" s="92">
        <f t="shared" ref="I49:J49" si="51">G49-E49</f>
        <v>48</v>
      </c>
      <c r="J49" s="92">
        <f t="shared" si="51"/>
        <v>410</v>
      </c>
      <c r="K49" s="97" t="str">
        <f t="shared" si="4"/>
        <v>VIGENTE</v>
      </c>
      <c r="L49" s="97" t="str">
        <f t="shared" si="5"/>
        <v>PRÓXIMO</v>
      </c>
      <c r="N49" s="99"/>
      <c r="O49" s="99"/>
      <c r="P49" s="99"/>
      <c r="Q49" s="99"/>
      <c r="R49" s="99"/>
      <c r="S49" s="99"/>
    </row>
    <row r="50">
      <c r="A50" s="95">
        <f>'RECURSO ACTUAL'!A51</f>
        <v>2905</v>
      </c>
      <c r="B50" s="96">
        <f>'RECURSO ACTUAL'!F51</f>
        <v>46275</v>
      </c>
      <c r="C50" s="97" t="str">
        <f>'RECURSO ACTUAL'!B51</f>
        <v>02-Medellin</v>
      </c>
      <c r="D50" s="91">
        <f>VLOOKUP(A50,'Q LUB'!A:L,8,FALSE)</f>
        <v>46157</v>
      </c>
      <c r="E50" s="92">
        <f t="shared" si="2"/>
        <v>59</v>
      </c>
      <c r="F50" s="92">
        <f>VLOOKUP(A50,'Q LUB'!A:L,7,FALSE)</f>
        <v>2158</v>
      </c>
      <c r="G50" s="92">
        <f>VLOOKUP(A50,'Q LUB'!A:L,5,FALSE)</f>
        <v>180</v>
      </c>
      <c r="H50" s="92">
        <f>VLOOKUP(A50,'Q LUB'!A:L,4,FALSE)</f>
        <v>5000</v>
      </c>
      <c r="I50" s="92">
        <f t="shared" ref="I50:J50" si="52">G50-E50</f>
        <v>121</v>
      </c>
      <c r="J50" s="92">
        <f t="shared" si="52"/>
        <v>2842</v>
      </c>
      <c r="K50" s="97" t="str">
        <f t="shared" si="4"/>
        <v>VIGENTE</v>
      </c>
      <c r="L50" s="97" t="str">
        <f t="shared" si="5"/>
        <v>VIGENTE</v>
      </c>
      <c r="N50" s="99"/>
      <c r="O50" s="99"/>
      <c r="P50" s="99"/>
      <c r="Q50" s="99"/>
      <c r="R50" s="99"/>
      <c r="S50" s="99"/>
    </row>
    <row r="51">
      <c r="A51" s="95">
        <f>'RECURSO ACTUAL'!A52</f>
        <v>2904</v>
      </c>
      <c r="B51" s="96">
        <f>'RECURSO ACTUAL'!F52</f>
        <v>46275</v>
      </c>
      <c r="C51" s="97" t="str">
        <f>'RECURSO ACTUAL'!B52</f>
        <v>02-Medellin</v>
      </c>
      <c r="D51" s="91">
        <f>VLOOKUP(A51,'Q LUB'!A:L,8,FALSE)</f>
        <v>46167</v>
      </c>
      <c r="E51" s="92">
        <f t="shared" si="2"/>
        <v>49</v>
      </c>
      <c r="F51" s="92">
        <f>VLOOKUP(A51,'Q LUB'!A:L,7,FALSE)</f>
        <v>1570</v>
      </c>
      <c r="G51" s="92">
        <f>VLOOKUP(A51,'Q LUB'!A:L,5,FALSE)</f>
        <v>180</v>
      </c>
      <c r="H51" s="92">
        <f>VLOOKUP(A51,'Q LUB'!A:L,4,FALSE)</f>
        <v>5000</v>
      </c>
      <c r="I51" s="92">
        <f t="shared" ref="I51:J51" si="53">G51-E51</f>
        <v>131</v>
      </c>
      <c r="J51" s="92">
        <f t="shared" si="53"/>
        <v>3430</v>
      </c>
      <c r="K51" s="97" t="str">
        <f t="shared" si="4"/>
        <v>VIGENTE</v>
      </c>
      <c r="L51" s="97" t="str">
        <f t="shared" si="5"/>
        <v>VIGENTE</v>
      </c>
      <c r="N51" s="99"/>
      <c r="O51" s="99"/>
      <c r="P51" s="99"/>
      <c r="Q51" s="99"/>
      <c r="R51" s="99"/>
      <c r="S51" s="99"/>
    </row>
    <row r="52">
      <c r="A52" s="95">
        <f>'RECURSO ACTUAL'!A53</f>
        <v>2903</v>
      </c>
      <c r="B52" s="96">
        <f>'RECURSO ACTUAL'!F53</f>
        <v>46275</v>
      </c>
      <c r="C52" s="97" t="str">
        <f>'RECURSO ACTUAL'!B53</f>
        <v>02-Medellin</v>
      </c>
      <c r="D52" s="91">
        <f>VLOOKUP(A52,'Q LUB'!A:L,8,FALSE)</f>
        <v>46042</v>
      </c>
      <c r="E52" s="92">
        <f t="shared" si="2"/>
        <v>174</v>
      </c>
      <c r="F52" s="92">
        <f>VLOOKUP(A52,'Q LUB'!A:L,7,FALSE)</f>
        <v>5228</v>
      </c>
      <c r="G52" s="92">
        <f>VLOOKUP(A52,'Q LUB'!A:L,5,FALSE)</f>
        <v>180</v>
      </c>
      <c r="H52" s="92">
        <f>VLOOKUP(A52,'Q LUB'!A:L,4,FALSE)</f>
        <v>5000</v>
      </c>
      <c r="I52" s="92">
        <f t="shared" ref="I52:J52" si="54">G52-E52</f>
        <v>6</v>
      </c>
      <c r="J52" s="92">
        <f t="shared" si="54"/>
        <v>-228</v>
      </c>
      <c r="K52" s="97" t="str">
        <f t="shared" si="4"/>
        <v>PRÓXIMO</v>
      </c>
      <c r="L52" s="97" t="str">
        <f t="shared" si="5"/>
        <v>PASADO</v>
      </c>
      <c r="N52" s="99"/>
      <c r="O52" s="99"/>
      <c r="P52" s="99"/>
      <c r="Q52" s="99"/>
      <c r="R52" s="99"/>
      <c r="S52" s="99"/>
    </row>
    <row r="53">
      <c r="A53" s="95">
        <f>'RECURSO ACTUAL'!A54</f>
        <v>2898</v>
      </c>
      <c r="B53" s="96">
        <f>'RECURSO ACTUAL'!F54</f>
        <v>46242</v>
      </c>
      <c r="C53" s="97" t="str">
        <f>'RECURSO ACTUAL'!B54</f>
        <v>31-Copacabana</v>
      </c>
      <c r="D53" s="91">
        <f>VLOOKUP(A53,'Q LUB'!A:L,8,FALSE)</f>
        <v>46177</v>
      </c>
      <c r="E53" s="92">
        <f t="shared" si="2"/>
        <v>39</v>
      </c>
      <c r="F53" s="92">
        <f>VLOOKUP(A53,'Q LUB'!A:L,7,FALSE)</f>
        <v>1242</v>
      </c>
      <c r="G53" s="92">
        <f>VLOOKUP(A53,'Q LUB'!A:L,5,FALSE)</f>
        <v>180</v>
      </c>
      <c r="H53" s="92">
        <f>VLOOKUP(A53,'Q LUB'!A:L,4,FALSE)</f>
        <v>5000</v>
      </c>
      <c r="I53" s="92">
        <f t="shared" ref="I53:J53" si="55">G53-E53</f>
        <v>141</v>
      </c>
      <c r="J53" s="92">
        <f t="shared" si="55"/>
        <v>3758</v>
      </c>
      <c r="K53" s="97" t="str">
        <f t="shared" si="4"/>
        <v>VIGENTE</v>
      </c>
      <c r="L53" s="97" t="str">
        <f t="shared" si="5"/>
        <v>VIGENTE</v>
      </c>
      <c r="N53" s="99"/>
      <c r="O53" s="99"/>
      <c r="P53" s="99"/>
      <c r="Q53" s="99"/>
      <c r="R53" s="99"/>
      <c r="S53" s="99"/>
    </row>
    <row r="54">
      <c r="A54" s="95">
        <f>'RECURSO ACTUAL'!A55</f>
        <v>2897</v>
      </c>
      <c r="B54" s="96">
        <f>'RECURSO ACTUAL'!F55</f>
        <v>46242</v>
      </c>
      <c r="C54" s="97" t="str">
        <f>'RECURSO ACTUAL'!B55</f>
        <v>31-Copacabana QUIMICOS</v>
      </c>
      <c r="D54" s="91">
        <f>VLOOKUP(A54,'Q LUB'!A:L,8,FALSE)</f>
        <v>46132</v>
      </c>
      <c r="E54" s="92">
        <f t="shared" si="2"/>
        <v>84</v>
      </c>
      <c r="F54" s="92">
        <f>VLOOKUP(A54,'Q LUB'!A:L,7,FALSE)</f>
        <v>5423</v>
      </c>
      <c r="G54" s="92">
        <f>VLOOKUP(A54,'Q LUB'!A:L,5,FALSE)</f>
        <v>180</v>
      </c>
      <c r="H54" s="92">
        <f>VLOOKUP(A54,'Q LUB'!A:L,4,FALSE)</f>
        <v>5000</v>
      </c>
      <c r="I54" s="92">
        <f t="shared" ref="I54:J54" si="56">G54-E54</f>
        <v>96</v>
      </c>
      <c r="J54" s="92">
        <f t="shared" si="56"/>
        <v>-423</v>
      </c>
      <c r="K54" s="97" t="str">
        <f t="shared" si="4"/>
        <v>VIGENTE</v>
      </c>
      <c r="L54" s="97" t="str">
        <f t="shared" si="5"/>
        <v>PASADO</v>
      </c>
      <c r="N54" s="99"/>
      <c r="O54" s="99"/>
      <c r="P54" s="99"/>
      <c r="Q54" s="99"/>
      <c r="R54" s="99"/>
      <c r="S54" s="99"/>
    </row>
    <row r="55">
      <c r="A55" s="95">
        <f>'RECURSO ACTUAL'!A56</f>
        <v>2896</v>
      </c>
      <c r="B55" s="96">
        <f>'RECURSO ACTUAL'!F56</f>
        <v>46242</v>
      </c>
      <c r="C55" s="97" t="str">
        <f>'RECURSO ACTUAL'!B56</f>
        <v>02-Medellin</v>
      </c>
      <c r="D55" s="91">
        <f>VLOOKUP(A55,'Q LUB'!A:L,8,FALSE)</f>
        <v>46156</v>
      </c>
      <c r="E55" s="92">
        <f t="shared" si="2"/>
        <v>60</v>
      </c>
      <c r="F55" s="92">
        <f>VLOOKUP(A55,'Q LUB'!A:L,7,FALSE)</f>
        <v>6966</v>
      </c>
      <c r="G55" s="92">
        <f>VLOOKUP(A55,'Q LUB'!A:L,5,FALSE)</f>
        <v>180</v>
      </c>
      <c r="H55" s="92">
        <f>VLOOKUP(A55,'Q LUB'!A:L,4,FALSE)</f>
        <v>5000</v>
      </c>
      <c r="I55" s="92">
        <f t="shared" ref="I55:J55" si="57">G55-E55</f>
        <v>120</v>
      </c>
      <c r="J55" s="92">
        <f t="shared" si="57"/>
        <v>-1966</v>
      </c>
      <c r="K55" s="97" t="str">
        <f t="shared" si="4"/>
        <v>VIGENTE</v>
      </c>
      <c r="L55" s="97" t="str">
        <f t="shared" si="5"/>
        <v>PASADO</v>
      </c>
      <c r="N55" s="99"/>
      <c r="O55" s="99"/>
      <c r="P55" s="99"/>
      <c r="Q55" s="99"/>
      <c r="R55" s="99"/>
      <c r="S55" s="99"/>
    </row>
    <row r="56">
      <c r="A56" s="95">
        <f>'RECURSO ACTUAL'!A57</f>
        <v>2895</v>
      </c>
      <c r="B56" s="96">
        <f>'RECURSO ACTUAL'!F57</f>
        <v>46242</v>
      </c>
      <c r="C56" s="97" t="str">
        <f>'RECURSO ACTUAL'!B57</f>
        <v>31-Copacabana</v>
      </c>
      <c r="D56" s="91">
        <f>VLOOKUP(A56,'Q LUB'!A:L,8,FALSE)</f>
        <v>46156</v>
      </c>
      <c r="E56" s="92">
        <f t="shared" si="2"/>
        <v>60</v>
      </c>
      <c r="F56" s="92">
        <f>VLOOKUP(A56,'Q LUB'!A:L,7,FALSE)</f>
        <v>4313</v>
      </c>
      <c r="G56" s="92">
        <f>VLOOKUP(A56,'Q LUB'!A:L,5,FALSE)</f>
        <v>180</v>
      </c>
      <c r="H56" s="92">
        <f>VLOOKUP(A56,'Q LUB'!A:L,4,FALSE)</f>
        <v>5000</v>
      </c>
      <c r="I56" s="92">
        <f t="shared" ref="I56:J56" si="58">G56-E56</f>
        <v>120</v>
      </c>
      <c r="J56" s="92">
        <f t="shared" si="58"/>
        <v>687</v>
      </c>
      <c r="K56" s="97" t="str">
        <f t="shared" si="4"/>
        <v>VIGENTE</v>
      </c>
      <c r="L56" s="97" t="str">
        <f t="shared" si="5"/>
        <v>PRÓXIMO</v>
      </c>
      <c r="N56" s="99"/>
      <c r="O56" s="99"/>
      <c r="P56" s="99"/>
      <c r="Q56" s="99"/>
      <c r="R56" s="99"/>
      <c r="S56" s="99"/>
    </row>
    <row r="57">
      <c r="A57" s="95">
        <f>'RECURSO ACTUAL'!A58</f>
        <v>2894</v>
      </c>
      <c r="B57" s="96">
        <f>'RECURSO ACTUAL'!F58</f>
        <v>46242</v>
      </c>
      <c r="C57" s="97" t="str">
        <f>'RECURSO ACTUAL'!B58</f>
        <v>02-Medellin</v>
      </c>
      <c r="D57" s="91">
        <f>VLOOKUP(A57,'Q LUB'!A:L,8,FALSE)</f>
        <v>46084</v>
      </c>
      <c r="E57" s="92">
        <f t="shared" si="2"/>
        <v>132</v>
      </c>
      <c r="F57" s="92">
        <f>VLOOKUP(A57,'Q LUB'!A:L,7,FALSE)</f>
        <v>5439</v>
      </c>
      <c r="G57" s="92">
        <f>VLOOKUP(A57,'Q LUB'!A:L,5,FALSE)</f>
        <v>180</v>
      </c>
      <c r="H57" s="92">
        <f>VLOOKUP(A57,'Q LUB'!A:L,4,FALSE)</f>
        <v>5000</v>
      </c>
      <c r="I57" s="92">
        <f t="shared" ref="I57:J57" si="59">G57-E57</f>
        <v>48</v>
      </c>
      <c r="J57" s="92">
        <f t="shared" si="59"/>
        <v>-439</v>
      </c>
      <c r="K57" s="97" t="str">
        <f t="shared" si="4"/>
        <v>VIGENTE</v>
      </c>
      <c r="L57" s="97" t="str">
        <f t="shared" si="5"/>
        <v>PASADO</v>
      </c>
      <c r="N57" s="99"/>
      <c r="O57" s="99"/>
      <c r="P57" s="99"/>
      <c r="Q57" s="99"/>
      <c r="R57" s="99"/>
      <c r="S57" s="99"/>
    </row>
    <row r="58">
      <c r="A58" s="95">
        <f>'RECURSO ACTUAL'!A59</f>
        <v>2893</v>
      </c>
      <c r="B58" s="96">
        <f>'RECURSO ACTUAL'!F59</f>
        <v>46242</v>
      </c>
      <c r="C58" s="97" t="str">
        <f>'RECURSO ACTUAL'!B59</f>
        <v>31-Copacabana</v>
      </c>
      <c r="D58" s="91">
        <f>VLOOKUP(A58,'Q LUB'!A:L,8,FALSE)</f>
        <v>46157</v>
      </c>
      <c r="E58" s="92">
        <f t="shared" si="2"/>
        <v>59</v>
      </c>
      <c r="F58" s="92">
        <f>VLOOKUP(A58,'Q LUB'!A:L,7,FALSE)</f>
        <v>1979</v>
      </c>
      <c r="G58" s="92">
        <f>VLOOKUP(A58,'Q LUB'!A:L,5,FALSE)</f>
        <v>180</v>
      </c>
      <c r="H58" s="92">
        <f>VLOOKUP(A58,'Q LUB'!A:L,4,FALSE)</f>
        <v>5000</v>
      </c>
      <c r="I58" s="92">
        <f t="shared" ref="I58:J58" si="60">G58-E58</f>
        <v>121</v>
      </c>
      <c r="J58" s="92">
        <f t="shared" si="60"/>
        <v>3021</v>
      </c>
      <c r="K58" s="97" t="str">
        <f t="shared" si="4"/>
        <v>VIGENTE</v>
      </c>
      <c r="L58" s="97" t="str">
        <f t="shared" si="5"/>
        <v>VIGENTE</v>
      </c>
      <c r="N58" s="99"/>
      <c r="O58" s="99"/>
      <c r="P58" s="99"/>
      <c r="Q58" s="99"/>
      <c r="R58" s="99"/>
      <c r="S58" s="99"/>
    </row>
    <row r="59">
      <c r="A59" s="95">
        <f>'RECURSO ACTUAL'!A60</f>
        <v>2892</v>
      </c>
      <c r="B59" s="96">
        <f>'RECURSO ACTUAL'!F60</f>
        <v>46242</v>
      </c>
      <c r="C59" s="97" t="str">
        <f>'RECURSO ACTUAL'!B60</f>
        <v>24-Rionegro</v>
      </c>
      <c r="D59" s="91">
        <f>VLOOKUP(A59,'Q LUB'!A:L,8,FALSE)</f>
        <v>46134</v>
      </c>
      <c r="E59" s="92">
        <f t="shared" si="2"/>
        <v>82</v>
      </c>
      <c r="F59" s="92">
        <f>VLOOKUP(A59,'Q LUB'!A:L,7,FALSE)</f>
        <v>4658</v>
      </c>
      <c r="G59" s="92">
        <f>VLOOKUP(A59,'Q LUB'!A:L,5,FALSE)</f>
        <v>180</v>
      </c>
      <c r="H59" s="92">
        <f>VLOOKUP(A59,'Q LUB'!A:L,4,FALSE)</f>
        <v>5000</v>
      </c>
      <c r="I59" s="92">
        <f t="shared" ref="I59:J59" si="61">G59-E59</f>
        <v>98</v>
      </c>
      <c r="J59" s="92">
        <f t="shared" si="61"/>
        <v>342</v>
      </c>
      <c r="K59" s="97" t="str">
        <f t="shared" si="4"/>
        <v>VIGENTE</v>
      </c>
      <c r="L59" s="97" t="str">
        <f t="shared" si="5"/>
        <v>PRÓXIMO</v>
      </c>
      <c r="N59" s="99"/>
      <c r="O59" s="99"/>
      <c r="P59" s="99"/>
      <c r="Q59" s="99"/>
      <c r="R59" s="99"/>
      <c r="S59" s="99"/>
    </row>
    <row r="60">
      <c r="A60" s="95">
        <f>'RECURSO ACTUAL'!A61</f>
        <v>2891</v>
      </c>
      <c r="B60" s="96">
        <f>'RECURSO ACTUAL'!F61</f>
        <v>46242</v>
      </c>
      <c r="C60" s="97" t="str">
        <f>'RECURSO ACTUAL'!B61</f>
        <v>31-Copacabana</v>
      </c>
      <c r="D60" s="91">
        <f>VLOOKUP(A60,'Q LUB'!A:L,8,FALSE)</f>
        <v>46107</v>
      </c>
      <c r="E60" s="92">
        <f t="shared" si="2"/>
        <v>109</v>
      </c>
      <c r="F60" s="92">
        <f>VLOOKUP(A60,'Q LUB'!A:L,7,FALSE)</f>
        <v>4543</v>
      </c>
      <c r="G60" s="92">
        <f>VLOOKUP(A60,'Q LUB'!A:L,5,FALSE)</f>
        <v>180</v>
      </c>
      <c r="H60" s="92">
        <f>VLOOKUP(A60,'Q LUB'!A:L,4,FALSE)</f>
        <v>5000</v>
      </c>
      <c r="I60" s="92">
        <f t="shared" ref="I60:J60" si="62">G60-E60</f>
        <v>71</v>
      </c>
      <c r="J60" s="92">
        <f t="shared" si="62"/>
        <v>457</v>
      </c>
      <c r="K60" s="97" t="str">
        <f t="shared" si="4"/>
        <v>VIGENTE</v>
      </c>
      <c r="L60" s="97" t="str">
        <f t="shared" si="5"/>
        <v>PRÓXIMO</v>
      </c>
      <c r="N60" s="99"/>
      <c r="O60" s="99"/>
      <c r="P60" s="99"/>
      <c r="Q60" s="99"/>
      <c r="R60" s="99"/>
      <c r="S60" s="99"/>
    </row>
    <row r="61">
      <c r="A61" s="95">
        <f>'RECURSO ACTUAL'!A62</f>
        <v>2890</v>
      </c>
      <c r="B61" s="96">
        <f>'RECURSO ACTUAL'!F62</f>
        <v>46233</v>
      </c>
      <c r="C61" s="97" t="str">
        <f>'RECURSO ACTUAL'!B62</f>
        <v>02-Medellin</v>
      </c>
      <c r="D61" s="91">
        <f>VLOOKUP(A61,'Q LUB'!A:L,8,FALSE)</f>
        <v>46084</v>
      </c>
      <c r="E61" s="92">
        <f t="shared" si="2"/>
        <v>132</v>
      </c>
      <c r="F61" s="92">
        <f>VLOOKUP(A61,'Q LUB'!A:L,7,FALSE)</f>
        <v>5424</v>
      </c>
      <c r="G61" s="92">
        <f>VLOOKUP(A61,'Q LUB'!A:L,5,FALSE)</f>
        <v>180</v>
      </c>
      <c r="H61" s="92">
        <f>VLOOKUP(A61,'Q LUB'!A:L,4,FALSE)</f>
        <v>5000</v>
      </c>
      <c r="I61" s="92">
        <f t="shared" ref="I61:J61" si="63">G61-E61</f>
        <v>48</v>
      </c>
      <c r="J61" s="92">
        <f t="shared" si="63"/>
        <v>-424</v>
      </c>
      <c r="K61" s="97" t="str">
        <f t="shared" si="4"/>
        <v>VIGENTE</v>
      </c>
      <c r="L61" s="97" t="str">
        <f t="shared" si="5"/>
        <v>PASADO</v>
      </c>
      <c r="N61" s="99"/>
      <c r="O61" s="99"/>
      <c r="P61" s="99"/>
      <c r="Q61" s="99"/>
      <c r="R61" s="99"/>
      <c r="S61" s="99"/>
    </row>
    <row r="62">
      <c r="A62" s="95">
        <f>'RECURSO ACTUAL'!A63</f>
        <v>2889</v>
      </c>
      <c r="B62" s="96">
        <f>'RECURSO ACTUAL'!F63</f>
        <v>46233</v>
      </c>
      <c r="C62" s="97" t="str">
        <f>'RECURSO ACTUAL'!B63</f>
        <v>31-Copacabana</v>
      </c>
      <c r="D62" s="91">
        <f>VLOOKUP(A62,'Q LUB'!A:L,8,FALSE)</f>
        <v>46141</v>
      </c>
      <c r="E62" s="92">
        <f t="shared" si="2"/>
        <v>75</v>
      </c>
      <c r="F62" s="92">
        <f>VLOOKUP(A62,'Q LUB'!A:L,7,FALSE)</f>
        <v>3151</v>
      </c>
      <c r="G62" s="92">
        <f>VLOOKUP(A62,'Q LUB'!A:L,5,FALSE)</f>
        <v>180</v>
      </c>
      <c r="H62" s="92">
        <f>VLOOKUP(A62,'Q LUB'!A:L,4,FALSE)</f>
        <v>5000</v>
      </c>
      <c r="I62" s="92">
        <f t="shared" ref="I62:J62" si="64">G62-E62</f>
        <v>105</v>
      </c>
      <c r="J62" s="92">
        <f t="shared" si="64"/>
        <v>1849</v>
      </c>
      <c r="K62" s="97" t="str">
        <f t="shared" si="4"/>
        <v>VIGENTE</v>
      </c>
      <c r="L62" s="97" t="str">
        <f t="shared" si="5"/>
        <v>VIGENTE</v>
      </c>
      <c r="N62" s="99"/>
      <c r="O62" s="99"/>
      <c r="P62" s="99"/>
      <c r="Q62" s="99"/>
      <c r="R62" s="99"/>
      <c r="S62" s="99"/>
    </row>
    <row r="63">
      <c r="A63" s="95">
        <f>'RECURSO ACTUAL'!A64</f>
        <v>2888</v>
      </c>
      <c r="B63" s="96">
        <f>'RECURSO ACTUAL'!F64</f>
        <v>46233</v>
      </c>
      <c r="C63" s="97" t="str">
        <f>'RECURSO ACTUAL'!B64</f>
        <v>24-Rionegro</v>
      </c>
      <c r="D63" s="91">
        <f>VLOOKUP(A63,'Q LUB'!A:L,8,FALSE)</f>
        <v>46162</v>
      </c>
      <c r="E63" s="92">
        <f t="shared" si="2"/>
        <v>54</v>
      </c>
      <c r="F63" s="92">
        <f>VLOOKUP(A63,'Q LUB'!A:L,7,FALSE)</f>
        <v>2519</v>
      </c>
      <c r="G63" s="92">
        <f>VLOOKUP(A63,'Q LUB'!A:L,5,FALSE)</f>
        <v>180</v>
      </c>
      <c r="H63" s="92">
        <f>VLOOKUP(A63,'Q LUB'!A:L,4,FALSE)</f>
        <v>5000</v>
      </c>
      <c r="I63" s="92">
        <f t="shared" ref="I63:J63" si="65">G63-E63</f>
        <v>126</v>
      </c>
      <c r="J63" s="92">
        <f t="shared" si="65"/>
        <v>2481</v>
      </c>
      <c r="K63" s="97" t="str">
        <f t="shared" si="4"/>
        <v>VIGENTE</v>
      </c>
      <c r="L63" s="97" t="str">
        <f t="shared" si="5"/>
        <v>VIGENTE</v>
      </c>
      <c r="N63" s="99"/>
      <c r="O63" s="99"/>
      <c r="P63" s="99"/>
      <c r="Q63" s="99"/>
      <c r="R63" s="99"/>
      <c r="S63" s="99"/>
    </row>
    <row r="64">
      <c r="A64" s="95">
        <f>'RECURSO ACTUAL'!A65</f>
        <v>2887</v>
      </c>
      <c r="B64" s="96">
        <f>'RECURSO ACTUAL'!F65</f>
        <v>46233</v>
      </c>
      <c r="C64" s="97" t="str">
        <f>'RECURSO ACTUAL'!B65</f>
        <v>02-Medellin</v>
      </c>
      <c r="D64" s="91">
        <f>VLOOKUP(A64,'Q LUB'!A:L,8,FALSE)</f>
        <v>46044</v>
      </c>
      <c r="E64" s="92">
        <f t="shared" si="2"/>
        <v>172</v>
      </c>
      <c r="F64" s="92">
        <f>VLOOKUP(A64,'Q LUB'!A:L,7,FALSE)</f>
        <v>2941</v>
      </c>
      <c r="G64" s="92">
        <f>VLOOKUP(A64,'Q LUB'!A:L,5,FALSE)</f>
        <v>180</v>
      </c>
      <c r="H64" s="92">
        <f>VLOOKUP(A64,'Q LUB'!A:L,4,FALSE)</f>
        <v>5000</v>
      </c>
      <c r="I64" s="92">
        <f t="shared" ref="I64:J64" si="66">G64-E64</f>
        <v>8</v>
      </c>
      <c r="J64" s="92">
        <f t="shared" si="66"/>
        <v>2059</v>
      </c>
      <c r="K64" s="97" t="str">
        <f t="shared" si="4"/>
        <v>PRÓXIMO</v>
      </c>
      <c r="L64" s="97" t="str">
        <f t="shared" si="5"/>
        <v>VIGENTE</v>
      </c>
      <c r="N64" s="99"/>
      <c r="O64" s="99"/>
      <c r="P64" s="99"/>
      <c r="Q64" s="99"/>
      <c r="R64" s="99"/>
      <c r="S64" s="99"/>
    </row>
    <row r="65">
      <c r="A65" s="95">
        <f>'RECURSO ACTUAL'!A66</f>
        <v>2886</v>
      </c>
      <c r="B65" s="96">
        <f>'RECURSO ACTUAL'!F66</f>
        <v>46233</v>
      </c>
      <c r="C65" s="97" t="str">
        <f>'RECURSO ACTUAL'!B66</f>
        <v>02-Medellin</v>
      </c>
      <c r="D65" s="91">
        <f>VLOOKUP(A65,'Q LUB'!A:L,8,FALSE)</f>
        <v>46148</v>
      </c>
      <c r="E65" s="92">
        <f t="shared" si="2"/>
        <v>68</v>
      </c>
      <c r="F65" s="92">
        <f>VLOOKUP(A65,'Q LUB'!A:L,7,FALSE)</f>
        <v>1424</v>
      </c>
      <c r="G65" s="92">
        <f>VLOOKUP(A65,'Q LUB'!A:L,5,FALSE)</f>
        <v>180</v>
      </c>
      <c r="H65" s="92">
        <f>VLOOKUP(A65,'Q LUB'!A:L,4,FALSE)</f>
        <v>5000</v>
      </c>
      <c r="I65" s="92">
        <f t="shared" ref="I65:J65" si="67">G65-E65</f>
        <v>112</v>
      </c>
      <c r="J65" s="92">
        <f t="shared" si="67"/>
        <v>3576</v>
      </c>
      <c r="K65" s="97" t="str">
        <f t="shared" si="4"/>
        <v>VIGENTE</v>
      </c>
      <c r="L65" s="97" t="str">
        <f t="shared" si="5"/>
        <v>VIGENTE</v>
      </c>
      <c r="N65" s="99"/>
      <c r="O65" s="99"/>
      <c r="P65" s="99"/>
      <c r="Q65" s="99"/>
      <c r="R65" s="99"/>
      <c r="S65" s="99"/>
    </row>
    <row r="66">
      <c r="A66" s="95">
        <f>'RECURSO ACTUAL'!A67</f>
        <v>2885</v>
      </c>
      <c r="B66" s="96">
        <f>'RECURSO ACTUAL'!F67</f>
        <v>46233</v>
      </c>
      <c r="C66" s="97" t="str">
        <f>'RECURSO ACTUAL'!B67</f>
        <v>MAYORCA</v>
      </c>
      <c r="D66" s="91">
        <f>VLOOKUP(A66,'Q LUB'!A:L,8,FALSE)</f>
        <v>46149</v>
      </c>
      <c r="E66" s="92">
        <f t="shared" si="2"/>
        <v>67</v>
      </c>
      <c r="F66" s="92">
        <f>VLOOKUP(A66,'Q LUB'!A:L,7,FALSE)</f>
        <v>3591</v>
      </c>
      <c r="G66" s="92">
        <f>VLOOKUP(A66,'Q LUB'!A:L,5,FALSE)</f>
        <v>180</v>
      </c>
      <c r="H66" s="92">
        <f>VLOOKUP(A66,'Q LUB'!A:L,4,FALSE)</f>
        <v>5000</v>
      </c>
      <c r="I66" s="92">
        <f t="shared" ref="I66:J66" si="68">G66-E66</f>
        <v>113</v>
      </c>
      <c r="J66" s="92">
        <f t="shared" si="68"/>
        <v>1409</v>
      </c>
      <c r="K66" s="97" t="str">
        <f t="shared" si="4"/>
        <v>VIGENTE</v>
      </c>
      <c r="L66" s="97" t="str">
        <f t="shared" si="5"/>
        <v>VIGENTE</v>
      </c>
      <c r="N66" s="99"/>
      <c r="O66" s="99"/>
      <c r="P66" s="99"/>
      <c r="Q66" s="99"/>
      <c r="R66" s="99"/>
      <c r="S66" s="99"/>
    </row>
    <row r="67">
      <c r="A67" s="95">
        <f>'RECURSO ACTUAL'!A68</f>
        <v>2884</v>
      </c>
      <c r="B67" s="96">
        <f>'RECURSO ACTUAL'!F68</f>
        <v>46233</v>
      </c>
      <c r="C67" s="97" t="str">
        <f>'RECURSO ACTUAL'!B68</f>
        <v>24-Rionegro</v>
      </c>
      <c r="D67" s="91">
        <f>VLOOKUP(A67,'Q LUB'!A:L,8,FALSE)</f>
        <v>46133</v>
      </c>
      <c r="E67" s="92">
        <f t="shared" si="2"/>
        <v>83</v>
      </c>
      <c r="F67" s="92">
        <f>VLOOKUP(A67,'Q LUB'!A:L,7,FALSE)</f>
        <v>2874</v>
      </c>
      <c r="G67" s="92">
        <f>VLOOKUP(A67,'Q LUB'!A:L,5,FALSE)</f>
        <v>180</v>
      </c>
      <c r="H67" s="92">
        <f>VLOOKUP(A67,'Q LUB'!A:L,4,FALSE)</f>
        <v>5000</v>
      </c>
      <c r="I67" s="92">
        <f t="shared" ref="I67:J67" si="69">G67-E67</f>
        <v>97</v>
      </c>
      <c r="J67" s="92">
        <f t="shared" si="69"/>
        <v>2126</v>
      </c>
      <c r="K67" s="97" t="str">
        <f t="shared" si="4"/>
        <v>VIGENTE</v>
      </c>
      <c r="L67" s="97" t="str">
        <f t="shared" si="5"/>
        <v>VIGENTE</v>
      </c>
      <c r="N67" s="99"/>
      <c r="O67" s="99"/>
      <c r="P67" s="99"/>
      <c r="Q67" s="99"/>
      <c r="R67" s="99"/>
      <c r="S67" s="99"/>
    </row>
    <row r="68">
      <c r="A68" s="95">
        <f>'RECURSO ACTUAL'!A69</f>
        <v>2883</v>
      </c>
      <c r="B68" s="96">
        <f>'RECURSO ACTUAL'!F69</f>
        <v>46233</v>
      </c>
      <c r="C68" s="97" t="str">
        <f>'RECURSO ACTUAL'!B69</f>
        <v>MAYORCA</v>
      </c>
      <c r="D68" s="91">
        <f>VLOOKUP(A68,'Q LUB'!A:L,8,FALSE)</f>
        <v>46162</v>
      </c>
      <c r="E68" s="92">
        <f t="shared" si="2"/>
        <v>54</v>
      </c>
      <c r="F68" s="92">
        <f>VLOOKUP(A68,'Q LUB'!A:L,7,FALSE)</f>
        <v>1204</v>
      </c>
      <c r="G68" s="92">
        <f>VLOOKUP(A68,'Q LUB'!A:L,5,FALSE)</f>
        <v>180</v>
      </c>
      <c r="H68" s="92">
        <f>VLOOKUP(A68,'Q LUB'!A:L,4,FALSE)</f>
        <v>5000</v>
      </c>
      <c r="I68" s="92">
        <f t="shared" ref="I68:J68" si="70">G68-E68</f>
        <v>126</v>
      </c>
      <c r="J68" s="92">
        <f t="shared" si="70"/>
        <v>3796</v>
      </c>
      <c r="K68" s="97" t="str">
        <f t="shared" si="4"/>
        <v>VIGENTE</v>
      </c>
      <c r="L68" s="97" t="str">
        <f t="shared" si="5"/>
        <v>VIGENTE</v>
      </c>
      <c r="N68" s="99"/>
      <c r="O68" s="99"/>
      <c r="P68" s="99"/>
      <c r="Q68" s="99"/>
      <c r="R68" s="99"/>
      <c r="S68" s="99"/>
    </row>
    <row r="69">
      <c r="A69" s="95">
        <f>'RECURSO ACTUAL'!A70</f>
        <v>2882</v>
      </c>
      <c r="B69" s="96">
        <f>'RECURSO ACTUAL'!F70</f>
        <v>46233</v>
      </c>
      <c r="C69" s="97" t="str">
        <f>'RECURSO ACTUAL'!B70</f>
        <v>38-La ceja</v>
      </c>
      <c r="D69" s="91">
        <f>VLOOKUP(A69,'Q LUB'!A:L,8,FALSE)</f>
        <v>46139</v>
      </c>
      <c r="E69" s="92">
        <f t="shared" si="2"/>
        <v>77</v>
      </c>
      <c r="F69" s="92">
        <f>VLOOKUP(A69,'Q LUB'!A:L,7,FALSE)</f>
        <v>6209</v>
      </c>
      <c r="G69" s="92">
        <f>VLOOKUP(A69,'Q LUB'!A:L,5,FALSE)</f>
        <v>180</v>
      </c>
      <c r="H69" s="92">
        <f>VLOOKUP(A69,'Q LUB'!A:L,4,FALSE)</f>
        <v>5000</v>
      </c>
      <c r="I69" s="92">
        <f t="shared" ref="I69:J69" si="71">G69-E69</f>
        <v>103</v>
      </c>
      <c r="J69" s="92">
        <f t="shared" si="71"/>
        <v>-1209</v>
      </c>
      <c r="K69" s="97" t="str">
        <f t="shared" si="4"/>
        <v>VIGENTE</v>
      </c>
      <c r="L69" s="97" t="str">
        <f t="shared" si="5"/>
        <v>PASADO</v>
      </c>
      <c r="N69" s="99"/>
      <c r="O69" s="99"/>
      <c r="P69" s="99"/>
      <c r="Q69" s="99"/>
      <c r="R69" s="99"/>
      <c r="S69" s="99"/>
    </row>
    <row r="70">
      <c r="A70" s="95">
        <f>'RECURSO ACTUAL'!A71</f>
        <v>2881</v>
      </c>
      <c r="B70" s="96">
        <f>'RECURSO ACTUAL'!F71</f>
        <v>46226</v>
      </c>
      <c r="C70" s="97" t="str">
        <f>'RECURSO ACTUAL'!B71</f>
        <v>02-Medellin</v>
      </c>
      <c r="D70" s="91">
        <f>VLOOKUP(A70,'Q LUB'!A:L,8,FALSE)</f>
        <v>46038</v>
      </c>
      <c r="E70" s="92">
        <f t="shared" si="2"/>
        <v>178</v>
      </c>
      <c r="F70" s="92">
        <f>VLOOKUP(A70,'Q LUB'!A:L,7,FALSE)</f>
        <v>7581</v>
      </c>
      <c r="G70" s="92">
        <f>VLOOKUP(A70,'Q LUB'!A:L,5,FALSE)</f>
        <v>180</v>
      </c>
      <c r="H70" s="92">
        <f>VLOOKUP(A70,'Q LUB'!A:L,4,FALSE)</f>
        <v>10000</v>
      </c>
      <c r="I70" s="92">
        <f t="shared" ref="I70:J70" si="72">G70-E70</f>
        <v>2</v>
      </c>
      <c r="J70" s="92">
        <f t="shared" si="72"/>
        <v>2419</v>
      </c>
      <c r="K70" s="97" t="str">
        <f t="shared" si="4"/>
        <v>PRÓXIMO</v>
      </c>
      <c r="L70" s="97" t="str">
        <f t="shared" si="5"/>
        <v>VIGENTE</v>
      </c>
      <c r="N70" s="99"/>
      <c r="O70" s="99"/>
      <c r="P70" s="99"/>
      <c r="Q70" s="99"/>
      <c r="R70" s="99"/>
      <c r="S70" s="99"/>
    </row>
    <row r="71">
      <c r="A71" s="95">
        <f>'RECURSO ACTUAL'!A72</f>
        <v>2880</v>
      </c>
      <c r="B71" s="96">
        <f>'RECURSO ACTUAL'!F72</f>
        <v>46226</v>
      </c>
      <c r="C71" s="97" t="str">
        <f>'RECURSO ACTUAL'!B72</f>
        <v>MAYORCA</v>
      </c>
      <c r="D71" s="91">
        <f>VLOOKUP(A71,'Q LUB'!A:L,8,FALSE)</f>
        <v>46041</v>
      </c>
      <c r="E71" s="92">
        <f t="shared" si="2"/>
        <v>175</v>
      </c>
      <c r="F71" s="92">
        <f>VLOOKUP(A71,'Q LUB'!A:L,7,FALSE)</f>
        <v>21147</v>
      </c>
      <c r="G71" s="92">
        <f>VLOOKUP(A71,'Q LUB'!A:L,5,FALSE)</f>
        <v>180</v>
      </c>
      <c r="H71" s="92">
        <f>VLOOKUP(A71,'Q LUB'!A:L,4,FALSE)</f>
        <v>10000</v>
      </c>
      <c r="I71" s="92">
        <f t="shared" ref="I71:J71" si="73">G71-E71</f>
        <v>5</v>
      </c>
      <c r="J71" s="92">
        <f t="shared" si="73"/>
        <v>-11147</v>
      </c>
      <c r="K71" s="97" t="str">
        <f t="shared" si="4"/>
        <v>PRÓXIMO</v>
      </c>
      <c r="L71" s="97" t="str">
        <f t="shared" si="5"/>
        <v>PASADO</v>
      </c>
      <c r="N71" s="99"/>
      <c r="O71" s="99"/>
      <c r="P71" s="99"/>
      <c r="Q71" s="99"/>
      <c r="R71" s="99"/>
      <c r="S71" s="99"/>
    </row>
    <row r="72">
      <c r="A72" s="95">
        <f>'RECURSO ACTUAL'!A73</f>
        <v>2879</v>
      </c>
      <c r="B72" s="96">
        <f>'RECURSO ACTUAL'!F73</f>
        <v>46226</v>
      </c>
      <c r="C72" s="97" t="str">
        <f>'RECURSO ACTUAL'!B73</f>
        <v>02-Medellin</v>
      </c>
      <c r="D72" s="91">
        <f>VLOOKUP(A72,'Q LUB'!A:L,8,FALSE)</f>
        <v>46132</v>
      </c>
      <c r="E72" s="92">
        <f t="shared" si="2"/>
        <v>84</v>
      </c>
      <c r="F72" s="92">
        <f>VLOOKUP(A72,'Q LUB'!A:L,7,FALSE)</f>
        <v>1402</v>
      </c>
      <c r="G72" s="92">
        <f>VLOOKUP(A72,'Q LUB'!A:L,5,FALSE)</f>
        <v>180</v>
      </c>
      <c r="H72" s="92">
        <f>VLOOKUP(A72,'Q LUB'!A:L,4,FALSE)</f>
        <v>10000</v>
      </c>
      <c r="I72" s="92">
        <f t="shared" ref="I72:J72" si="74">G72-E72</f>
        <v>96</v>
      </c>
      <c r="J72" s="92">
        <f t="shared" si="74"/>
        <v>8598</v>
      </c>
      <c r="K72" s="97" t="str">
        <f t="shared" si="4"/>
        <v>VIGENTE</v>
      </c>
      <c r="L72" s="97" t="str">
        <f t="shared" si="5"/>
        <v>VIGENTE</v>
      </c>
      <c r="N72" s="99"/>
      <c r="O72" s="99"/>
      <c r="P72" s="99"/>
      <c r="Q72" s="99"/>
      <c r="R72" s="99"/>
      <c r="S72" s="99"/>
    </row>
    <row r="73">
      <c r="A73" s="95">
        <f>'RECURSO ACTUAL'!A74</f>
        <v>2878</v>
      </c>
      <c r="B73" s="96">
        <f>'RECURSO ACTUAL'!F74</f>
        <v>46226</v>
      </c>
      <c r="C73" s="97" t="str">
        <f>'RECURSO ACTUAL'!B74</f>
        <v>02-Medellin</v>
      </c>
      <c r="D73" s="91">
        <f>VLOOKUP(A73,'Q LUB'!A:L,8,FALSE)</f>
        <v>46112</v>
      </c>
      <c r="E73" s="92">
        <f t="shared" si="2"/>
        <v>104</v>
      </c>
      <c r="F73" s="92">
        <f>VLOOKUP(A73,'Q LUB'!A:L,7,FALSE)</f>
        <v>3657</v>
      </c>
      <c r="G73" s="92">
        <f>VLOOKUP(A73,'Q LUB'!A:L,5,FALSE)</f>
        <v>180</v>
      </c>
      <c r="H73" s="92">
        <f>VLOOKUP(A73,'Q LUB'!A:L,4,FALSE)</f>
        <v>10000</v>
      </c>
      <c r="I73" s="92">
        <f t="shared" ref="I73:J73" si="75">G73-E73</f>
        <v>76</v>
      </c>
      <c r="J73" s="92">
        <f t="shared" si="75"/>
        <v>6343</v>
      </c>
      <c r="K73" s="97" t="str">
        <f t="shared" si="4"/>
        <v>VIGENTE</v>
      </c>
      <c r="L73" s="97" t="str">
        <f t="shared" si="5"/>
        <v>VIGENTE</v>
      </c>
      <c r="N73" s="99"/>
      <c r="O73" s="99"/>
      <c r="P73" s="99"/>
      <c r="Q73" s="99"/>
      <c r="R73" s="99"/>
      <c r="S73" s="99"/>
    </row>
    <row r="74">
      <c r="A74" s="95">
        <f>'RECURSO ACTUAL'!A75</f>
        <v>2877</v>
      </c>
      <c r="B74" s="96">
        <f>'RECURSO ACTUAL'!F75</f>
        <v>46226</v>
      </c>
      <c r="C74" s="97" t="str">
        <f>'RECURSO ACTUAL'!B75</f>
        <v>MAYORCA</v>
      </c>
      <c r="D74" s="91">
        <f>VLOOKUP(A74,'Q LUB'!A:L,8,FALSE)</f>
        <v>46135</v>
      </c>
      <c r="E74" s="92">
        <f t="shared" si="2"/>
        <v>81</v>
      </c>
      <c r="F74" s="92">
        <f>VLOOKUP(A74,'Q LUB'!A:L,7,FALSE)</f>
        <v>11344</v>
      </c>
      <c r="G74" s="92">
        <f>VLOOKUP(A74,'Q LUB'!A:L,5,FALSE)</f>
        <v>180</v>
      </c>
      <c r="H74" s="92">
        <f>VLOOKUP(A74,'Q LUB'!A:L,4,FALSE)</f>
        <v>10000</v>
      </c>
      <c r="I74" s="92">
        <f t="shared" ref="I74:J74" si="76">G74-E74</f>
        <v>99</v>
      </c>
      <c r="J74" s="92">
        <f t="shared" si="76"/>
        <v>-1344</v>
      </c>
      <c r="K74" s="97" t="str">
        <f t="shared" si="4"/>
        <v>VIGENTE</v>
      </c>
      <c r="L74" s="97" t="str">
        <f t="shared" si="5"/>
        <v>PASADO</v>
      </c>
      <c r="N74" s="99"/>
      <c r="O74" s="99"/>
      <c r="P74" s="99"/>
      <c r="Q74" s="99"/>
      <c r="R74" s="99"/>
      <c r="S74" s="99"/>
    </row>
    <row r="75">
      <c r="A75" s="95">
        <f>'RECURSO ACTUAL'!A76</f>
        <v>2876</v>
      </c>
      <c r="B75" s="96">
        <f>'RECURSO ACTUAL'!F76</f>
        <v>46226</v>
      </c>
      <c r="C75" s="97" t="str">
        <f>'RECURSO ACTUAL'!B76</f>
        <v>02-Medellin</v>
      </c>
      <c r="D75" s="91">
        <f>VLOOKUP(A75,'Q LUB'!A:L,8,FALSE)</f>
        <v>46135</v>
      </c>
      <c r="E75" s="92">
        <f t="shared" si="2"/>
        <v>81</v>
      </c>
      <c r="F75" s="92">
        <f>VLOOKUP(A75,'Q LUB'!A:L,7,FALSE)</f>
        <v>9906</v>
      </c>
      <c r="G75" s="92">
        <f>VLOOKUP(A75,'Q LUB'!A:L,5,FALSE)</f>
        <v>180</v>
      </c>
      <c r="H75" s="92">
        <f>VLOOKUP(A75,'Q LUB'!A:L,4,FALSE)</f>
        <v>10000</v>
      </c>
      <c r="I75" s="92">
        <f t="shared" ref="I75:J75" si="77">G75-E75</f>
        <v>99</v>
      </c>
      <c r="J75" s="92">
        <f t="shared" si="77"/>
        <v>94</v>
      </c>
      <c r="K75" s="97" t="str">
        <f t="shared" si="4"/>
        <v>VIGENTE</v>
      </c>
      <c r="L75" s="97" t="str">
        <f t="shared" si="5"/>
        <v>PRÓXIMO</v>
      </c>
      <c r="N75" s="99"/>
      <c r="O75" s="99"/>
      <c r="P75" s="99"/>
      <c r="Q75" s="99"/>
      <c r="R75" s="99"/>
      <c r="S75" s="99"/>
    </row>
    <row r="76">
      <c r="A76" s="95">
        <f>'RECURSO ACTUAL'!A77</f>
        <v>2875</v>
      </c>
      <c r="B76" s="96">
        <f>'RECURSO ACTUAL'!F77</f>
        <v>46226</v>
      </c>
      <c r="C76" s="97" t="str">
        <f>'RECURSO ACTUAL'!B77</f>
        <v>02-Medellin</v>
      </c>
      <c r="D76" s="91">
        <f>VLOOKUP(A76,'Q LUB'!A:L,8,FALSE)</f>
        <v>46056</v>
      </c>
      <c r="E76" s="92">
        <f t="shared" si="2"/>
        <v>160</v>
      </c>
      <c r="F76" s="92">
        <f>VLOOKUP(A76,'Q LUB'!A:L,7,FALSE)</f>
        <v>2982</v>
      </c>
      <c r="G76" s="92">
        <f>VLOOKUP(A76,'Q LUB'!A:L,5,FALSE)</f>
        <v>180</v>
      </c>
      <c r="H76" s="92">
        <f>VLOOKUP(A76,'Q LUB'!A:L,4,FALSE)</f>
        <v>10000</v>
      </c>
      <c r="I76" s="92">
        <f t="shared" ref="I76:J76" si="78">G76-E76</f>
        <v>20</v>
      </c>
      <c r="J76" s="92">
        <f t="shared" si="78"/>
        <v>7018</v>
      </c>
      <c r="K76" s="97" t="str">
        <f t="shared" si="4"/>
        <v>VIGENTE</v>
      </c>
      <c r="L76" s="97" t="str">
        <f t="shared" si="5"/>
        <v>VIGENTE</v>
      </c>
      <c r="N76" s="99"/>
      <c r="O76" s="99"/>
      <c r="P76" s="99"/>
      <c r="Q76" s="99"/>
      <c r="R76" s="99"/>
      <c r="S76" s="99"/>
    </row>
    <row r="77">
      <c r="A77" s="95">
        <f>'RECURSO ACTUAL'!A78</f>
        <v>2867</v>
      </c>
      <c r="B77" s="96">
        <f>'RECURSO ACTUAL'!F78</f>
        <v>46226</v>
      </c>
      <c r="C77" s="97" t="str">
        <f>'RECURSO ACTUAL'!B78</f>
        <v>02-Medellin</v>
      </c>
      <c r="D77" s="91">
        <f>VLOOKUP(A77,'Q LUB'!A:L,8,FALSE)</f>
        <v>46167</v>
      </c>
      <c r="E77" s="92">
        <f t="shared" si="2"/>
        <v>49</v>
      </c>
      <c r="F77" s="92">
        <f>VLOOKUP(A77,'Q LUB'!A:L,7,FALSE)</f>
        <v>2228</v>
      </c>
      <c r="G77" s="92">
        <f>VLOOKUP(A77,'Q LUB'!A:L,5,FALSE)</f>
        <v>180</v>
      </c>
      <c r="H77" s="92">
        <f>VLOOKUP(A77,'Q LUB'!A:L,4,FALSE)</f>
        <v>5000</v>
      </c>
      <c r="I77" s="92">
        <f t="shared" ref="I77:J77" si="79">G77-E77</f>
        <v>131</v>
      </c>
      <c r="J77" s="92">
        <f t="shared" si="79"/>
        <v>2772</v>
      </c>
      <c r="K77" s="97" t="str">
        <f t="shared" si="4"/>
        <v>VIGENTE</v>
      </c>
      <c r="L77" s="97" t="str">
        <f t="shared" si="5"/>
        <v>VIGENTE</v>
      </c>
      <c r="N77" s="99"/>
      <c r="O77" s="99"/>
      <c r="P77" s="99"/>
      <c r="Q77" s="99"/>
      <c r="R77" s="99"/>
      <c r="S77" s="99"/>
    </row>
    <row r="78">
      <c r="A78" s="95">
        <f>'RECURSO ACTUAL'!A79</f>
        <v>2866</v>
      </c>
      <c r="B78" s="96">
        <f>'RECURSO ACTUAL'!F79</f>
        <v>46221</v>
      </c>
      <c r="C78" s="97" t="str">
        <f>'RECURSO ACTUAL'!B79</f>
        <v>02-Medellin</v>
      </c>
      <c r="D78" s="91">
        <f>VLOOKUP(A78,'Q LUB'!A:L,8,FALSE)</f>
        <v>46156</v>
      </c>
      <c r="E78" s="92">
        <f t="shared" si="2"/>
        <v>60</v>
      </c>
      <c r="F78" s="92">
        <f>VLOOKUP(A78,'Q LUB'!A:L,7,FALSE)</f>
        <v>1754</v>
      </c>
      <c r="G78" s="92">
        <f>VLOOKUP(A78,'Q LUB'!A:L,5,FALSE)</f>
        <v>180</v>
      </c>
      <c r="H78" s="92">
        <f>VLOOKUP(A78,'Q LUB'!A:L,4,FALSE)</f>
        <v>5000</v>
      </c>
      <c r="I78" s="92">
        <f t="shared" ref="I78:J78" si="80">G78-E78</f>
        <v>120</v>
      </c>
      <c r="J78" s="92">
        <f t="shared" si="80"/>
        <v>3246</v>
      </c>
      <c r="K78" s="97" t="str">
        <f t="shared" si="4"/>
        <v>VIGENTE</v>
      </c>
      <c r="L78" s="97" t="str">
        <f t="shared" si="5"/>
        <v>VIGENTE</v>
      </c>
      <c r="N78" s="99"/>
      <c r="O78" s="99"/>
      <c r="P78" s="99"/>
      <c r="Q78" s="99"/>
      <c r="R78" s="99"/>
      <c r="S78" s="99"/>
    </row>
    <row r="79">
      <c r="A79" s="95">
        <f>'RECURSO ACTUAL'!A80</f>
        <v>2862</v>
      </c>
      <c r="B79" s="96">
        <f>'RECURSO ACTUAL'!F80</f>
        <v>46221</v>
      </c>
      <c r="C79" s="97" t="str">
        <f>'RECURSO ACTUAL'!B80</f>
        <v>02-Medellin</v>
      </c>
      <c r="D79" s="91">
        <f>VLOOKUP(A79,'Q LUB'!A:L,8,FALSE)</f>
        <v>46139</v>
      </c>
      <c r="E79" s="92">
        <f t="shared" si="2"/>
        <v>77</v>
      </c>
      <c r="F79" s="92">
        <f>VLOOKUP(A79,'Q LUB'!A:L,7,FALSE)</f>
        <v>2300</v>
      </c>
      <c r="G79" s="92">
        <f>VLOOKUP(A79,'Q LUB'!A:L,5,FALSE)</f>
        <v>180</v>
      </c>
      <c r="H79" s="92">
        <f>VLOOKUP(A79,'Q LUB'!A:L,4,FALSE)</f>
        <v>5000</v>
      </c>
      <c r="I79" s="92">
        <f t="shared" ref="I79:J79" si="81">G79-E79</f>
        <v>103</v>
      </c>
      <c r="J79" s="92">
        <f t="shared" si="81"/>
        <v>2700</v>
      </c>
      <c r="K79" s="97" t="str">
        <f t="shared" si="4"/>
        <v>VIGENTE</v>
      </c>
      <c r="L79" s="97" t="str">
        <f t="shared" si="5"/>
        <v>VIGENTE</v>
      </c>
      <c r="N79" s="99"/>
      <c r="O79" s="99"/>
      <c r="P79" s="99"/>
      <c r="Q79" s="99"/>
      <c r="R79" s="99"/>
      <c r="S79" s="99"/>
    </row>
    <row r="80">
      <c r="A80" s="95">
        <f>'RECURSO ACTUAL'!A81</f>
        <v>2861</v>
      </c>
      <c r="B80" s="96">
        <f>'RECURSO ACTUAL'!F81</f>
        <v>46226</v>
      </c>
      <c r="C80" s="97" t="str">
        <f>'RECURSO ACTUAL'!B81</f>
        <v>02-Medellin</v>
      </c>
      <c r="D80" s="91">
        <f>VLOOKUP(A80,'Q LUB'!A:L,8,FALSE)</f>
        <v>46101</v>
      </c>
      <c r="E80" s="92">
        <f t="shared" si="2"/>
        <v>115</v>
      </c>
      <c r="F80" s="92">
        <f>VLOOKUP(A80,'Q LUB'!A:L,7,FALSE)</f>
        <v>4083</v>
      </c>
      <c r="G80" s="92">
        <f>VLOOKUP(A80,'Q LUB'!A:L,5,FALSE)</f>
        <v>180</v>
      </c>
      <c r="H80" s="92">
        <f>VLOOKUP(A80,'Q LUB'!A:L,4,FALSE)</f>
        <v>5000</v>
      </c>
      <c r="I80" s="92">
        <f t="shared" ref="I80:J80" si="82">G80-E80</f>
        <v>65</v>
      </c>
      <c r="J80" s="92">
        <f t="shared" si="82"/>
        <v>917</v>
      </c>
      <c r="K80" s="97" t="str">
        <f t="shared" si="4"/>
        <v>VIGENTE</v>
      </c>
      <c r="L80" s="97" t="str">
        <f t="shared" si="5"/>
        <v>VIGENTE</v>
      </c>
      <c r="N80" s="99"/>
      <c r="O80" s="99"/>
      <c r="P80" s="99"/>
      <c r="Q80" s="99"/>
      <c r="R80" s="99"/>
      <c r="S80" s="99"/>
    </row>
    <row r="81">
      <c r="A81" s="95">
        <f>'RECURSO ACTUAL'!A82</f>
        <v>2860</v>
      </c>
      <c r="B81" s="96">
        <f>'RECURSO ACTUAL'!F82</f>
        <v>46221</v>
      </c>
      <c r="C81" s="97" t="str">
        <f>'RECURSO ACTUAL'!B82</f>
        <v>02-Medellin</v>
      </c>
      <c r="D81" s="91">
        <f>VLOOKUP(A81,'Q LUB'!A:L,8,FALSE)</f>
        <v>46162</v>
      </c>
      <c r="E81" s="92">
        <f t="shared" si="2"/>
        <v>54</v>
      </c>
      <c r="F81" s="92">
        <f>VLOOKUP(A81,'Q LUB'!A:L,7,FALSE)</f>
        <v>2037</v>
      </c>
      <c r="G81" s="92">
        <f>VLOOKUP(A81,'Q LUB'!A:L,5,FALSE)</f>
        <v>180</v>
      </c>
      <c r="H81" s="92">
        <f>VLOOKUP(A81,'Q LUB'!A:L,4,FALSE)</f>
        <v>5000</v>
      </c>
      <c r="I81" s="92">
        <f t="shared" ref="I81:J81" si="83">G81-E81</f>
        <v>126</v>
      </c>
      <c r="J81" s="92">
        <f t="shared" si="83"/>
        <v>2963</v>
      </c>
      <c r="K81" s="97" t="str">
        <f t="shared" si="4"/>
        <v>VIGENTE</v>
      </c>
      <c r="L81" s="97" t="str">
        <f t="shared" si="5"/>
        <v>VIGENTE</v>
      </c>
      <c r="N81" s="99"/>
      <c r="O81" s="99"/>
      <c r="P81" s="99"/>
      <c r="Q81" s="99"/>
      <c r="R81" s="99"/>
      <c r="S81" s="99"/>
    </row>
    <row r="82">
      <c r="A82" s="95">
        <f>'RECURSO ACTUAL'!A83</f>
        <v>2859</v>
      </c>
      <c r="B82" s="96">
        <f>'RECURSO ACTUAL'!F83</f>
        <v>46226</v>
      </c>
      <c r="C82" s="97" t="str">
        <f>'RECURSO ACTUAL'!B83</f>
        <v>MAYORCA</v>
      </c>
      <c r="D82" s="91">
        <f>VLOOKUP(A82,'Q LUB'!A:L,8,FALSE)</f>
        <v>46056</v>
      </c>
      <c r="E82" s="92">
        <f t="shared" si="2"/>
        <v>160</v>
      </c>
      <c r="F82" s="92">
        <f>VLOOKUP(A82,'Q LUB'!A:L,7,FALSE)</f>
        <v>4636</v>
      </c>
      <c r="G82" s="92">
        <f>VLOOKUP(A82,'Q LUB'!A:L,5,FALSE)</f>
        <v>180</v>
      </c>
      <c r="H82" s="92">
        <f>VLOOKUP(A82,'Q LUB'!A:L,4,FALSE)</f>
        <v>5000</v>
      </c>
      <c r="I82" s="92">
        <f t="shared" ref="I82:J82" si="84">G82-E82</f>
        <v>20</v>
      </c>
      <c r="J82" s="92">
        <f t="shared" si="84"/>
        <v>364</v>
      </c>
      <c r="K82" s="97" t="str">
        <f t="shared" si="4"/>
        <v>VIGENTE</v>
      </c>
      <c r="L82" s="97" t="str">
        <f t="shared" si="5"/>
        <v>PRÓXIMO</v>
      </c>
      <c r="N82" s="99"/>
      <c r="O82" s="99"/>
      <c r="P82" s="99"/>
      <c r="Q82" s="99"/>
      <c r="R82" s="99"/>
      <c r="S82" s="99"/>
    </row>
    <row r="83">
      <c r="A83" s="95">
        <f>'RECURSO ACTUAL'!A84</f>
        <v>2858</v>
      </c>
      <c r="B83" s="96">
        <f>'RECURSO ACTUAL'!F84</f>
        <v>46215</v>
      </c>
      <c r="C83" s="97" t="str">
        <f>'RECURSO ACTUAL'!B84</f>
        <v>MAYORCA</v>
      </c>
      <c r="D83" s="91">
        <f>VLOOKUP(A83,'Q LUB'!A:L,8,FALSE)</f>
        <v>46139</v>
      </c>
      <c r="E83" s="92">
        <f t="shared" si="2"/>
        <v>77</v>
      </c>
      <c r="F83" s="92">
        <f>VLOOKUP(A83,'Q LUB'!A:L,7,FALSE)</f>
        <v>2911</v>
      </c>
      <c r="G83" s="92">
        <f>VLOOKUP(A83,'Q LUB'!A:L,5,FALSE)</f>
        <v>180</v>
      </c>
      <c r="H83" s="92">
        <f>VLOOKUP(A83,'Q LUB'!A:L,4,FALSE)</f>
        <v>5000</v>
      </c>
      <c r="I83" s="92">
        <f t="shared" ref="I83:J83" si="85">G83-E83</f>
        <v>103</v>
      </c>
      <c r="J83" s="92">
        <f t="shared" si="85"/>
        <v>2089</v>
      </c>
      <c r="K83" s="97" t="str">
        <f t="shared" si="4"/>
        <v>VIGENTE</v>
      </c>
      <c r="L83" s="97" t="str">
        <f t="shared" si="5"/>
        <v>VIGENTE</v>
      </c>
      <c r="N83" s="99"/>
      <c r="O83" s="99"/>
      <c r="P83" s="99"/>
      <c r="Q83" s="99"/>
      <c r="R83" s="99"/>
      <c r="S83" s="99"/>
    </row>
    <row r="84">
      <c r="A84" s="95">
        <f>'RECURSO ACTUAL'!A85</f>
        <v>2857</v>
      </c>
      <c r="B84" s="96">
        <f>'RECURSO ACTUAL'!F85</f>
        <v>46215</v>
      </c>
      <c r="C84" s="97" t="str">
        <f>'RECURSO ACTUAL'!B85</f>
        <v>24-Rionegro</v>
      </c>
      <c r="D84" s="91">
        <f>VLOOKUP(A84,'Q LUB'!A:L,8,FALSE)</f>
        <v>46203</v>
      </c>
      <c r="E84" s="92">
        <f t="shared" si="2"/>
        <v>13</v>
      </c>
      <c r="F84" s="92">
        <f>VLOOKUP(A84,'Q LUB'!A:L,7,FALSE)</f>
        <v>409</v>
      </c>
      <c r="G84" s="92">
        <f>VLOOKUP(A84,'Q LUB'!A:L,5,FALSE)</f>
        <v>180</v>
      </c>
      <c r="H84" s="92">
        <f>VLOOKUP(A84,'Q LUB'!A:L,4,FALSE)</f>
        <v>5000</v>
      </c>
      <c r="I84" s="92">
        <f t="shared" ref="I84:J84" si="86">G84-E84</f>
        <v>167</v>
      </c>
      <c r="J84" s="92">
        <f t="shared" si="86"/>
        <v>4591</v>
      </c>
      <c r="K84" s="97" t="str">
        <f t="shared" si="4"/>
        <v>VIGENTE</v>
      </c>
      <c r="L84" s="97" t="str">
        <f t="shared" si="5"/>
        <v>VIGENTE</v>
      </c>
      <c r="N84" s="99"/>
      <c r="O84" s="99"/>
      <c r="P84" s="99"/>
      <c r="Q84" s="99"/>
      <c r="R84" s="99"/>
      <c r="S84" s="99"/>
    </row>
    <row r="85">
      <c r="A85" s="95">
        <f>'RECURSO ACTUAL'!A86</f>
        <v>2856</v>
      </c>
      <c r="B85" s="96">
        <f>'RECURSO ACTUAL'!F86</f>
        <v>46215</v>
      </c>
      <c r="C85" s="97" t="str">
        <f>'RECURSO ACTUAL'!B86</f>
        <v>MAYORCA</v>
      </c>
      <c r="D85" s="91">
        <f>VLOOKUP(A85,'Q LUB'!A:L,8,FALSE)</f>
        <v>46128</v>
      </c>
      <c r="E85" s="92">
        <f t="shared" si="2"/>
        <v>88</v>
      </c>
      <c r="F85" s="92">
        <f>VLOOKUP(A85,'Q LUB'!A:L,7,FALSE)</f>
        <v>2692</v>
      </c>
      <c r="G85" s="92">
        <f>VLOOKUP(A85,'Q LUB'!A:L,5,FALSE)</f>
        <v>180</v>
      </c>
      <c r="H85" s="92">
        <f>VLOOKUP(A85,'Q LUB'!A:L,4,FALSE)</f>
        <v>5000</v>
      </c>
      <c r="I85" s="92">
        <f t="shared" ref="I85:J85" si="87">G85-E85</f>
        <v>92</v>
      </c>
      <c r="J85" s="92">
        <f t="shared" si="87"/>
        <v>2308</v>
      </c>
      <c r="K85" s="97" t="str">
        <f t="shared" si="4"/>
        <v>VIGENTE</v>
      </c>
      <c r="L85" s="97" t="str">
        <f t="shared" si="5"/>
        <v>VIGENTE</v>
      </c>
      <c r="N85" s="99"/>
      <c r="O85" s="99"/>
      <c r="P85" s="99"/>
      <c r="Q85" s="99"/>
      <c r="R85" s="99"/>
      <c r="S85" s="99"/>
    </row>
    <row r="86">
      <c r="A86" s="95">
        <f>'RECURSO ACTUAL'!A87</f>
        <v>2855</v>
      </c>
      <c r="B86" s="96">
        <f>'RECURSO ACTUAL'!F87</f>
        <v>46575</v>
      </c>
      <c r="C86" s="97" t="str">
        <f>'RECURSO ACTUAL'!B87</f>
        <v>02-Medellin</v>
      </c>
      <c r="D86" s="91">
        <f>VLOOKUP(A86,'Q LUB'!A:L,8,FALSE)</f>
        <v>46091</v>
      </c>
      <c r="E86" s="92">
        <f t="shared" si="2"/>
        <v>125</v>
      </c>
      <c r="F86" s="92">
        <f>VLOOKUP(A86,'Q LUB'!A:L,7,FALSE)</f>
        <v>3385</v>
      </c>
      <c r="G86" s="92">
        <f>VLOOKUP(A86,'Q LUB'!A:L,5,FALSE)</f>
        <v>180</v>
      </c>
      <c r="H86" s="92">
        <f>VLOOKUP(A86,'Q LUB'!A:L,4,FALSE)</f>
        <v>5000</v>
      </c>
      <c r="I86" s="92">
        <f t="shared" ref="I86:J86" si="88">G86-E86</f>
        <v>55</v>
      </c>
      <c r="J86" s="92">
        <f t="shared" si="88"/>
        <v>1615</v>
      </c>
      <c r="K86" s="97" t="str">
        <f t="shared" si="4"/>
        <v>VIGENTE</v>
      </c>
      <c r="L86" s="97" t="str">
        <f t="shared" si="5"/>
        <v>VIGENTE</v>
      </c>
      <c r="N86" s="99"/>
      <c r="O86" s="99"/>
      <c r="P86" s="99"/>
      <c r="Q86" s="99"/>
      <c r="R86" s="99"/>
      <c r="S86" s="99"/>
    </row>
    <row r="87">
      <c r="A87" s="95">
        <f>'RECURSO ACTUAL'!A88</f>
        <v>2854</v>
      </c>
      <c r="B87" s="96">
        <f>'RECURSO ACTUAL'!F88</f>
        <v>46575</v>
      </c>
      <c r="C87" s="97" t="str">
        <f>'RECURSO ACTUAL'!B88</f>
        <v>02-Medellin</v>
      </c>
      <c r="D87" s="91">
        <f>VLOOKUP(A87,'Q LUB'!A:L,8,FALSE)</f>
        <v>46062</v>
      </c>
      <c r="E87" s="92">
        <f t="shared" si="2"/>
        <v>154</v>
      </c>
      <c r="F87" s="92">
        <f>VLOOKUP(A87,'Q LUB'!A:L,7,FALSE)</f>
        <v>3388</v>
      </c>
      <c r="G87" s="92">
        <f>VLOOKUP(A87,'Q LUB'!A:L,5,FALSE)</f>
        <v>180</v>
      </c>
      <c r="H87" s="92">
        <f>VLOOKUP(A87,'Q LUB'!A:L,4,FALSE)</f>
        <v>5000</v>
      </c>
      <c r="I87" s="92">
        <f t="shared" ref="I87:J87" si="89">G87-E87</f>
        <v>26</v>
      </c>
      <c r="J87" s="92">
        <f t="shared" si="89"/>
        <v>1612</v>
      </c>
      <c r="K87" s="97" t="str">
        <f t="shared" si="4"/>
        <v>VIGENTE</v>
      </c>
      <c r="L87" s="97" t="str">
        <f t="shared" si="5"/>
        <v>VIGENTE</v>
      </c>
      <c r="N87" s="99"/>
      <c r="O87" s="99"/>
      <c r="P87" s="99"/>
      <c r="Q87" s="99"/>
      <c r="R87" s="99"/>
      <c r="S87" s="99"/>
    </row>
    <row r="88">
      <c r="A88" s="95">
        <f>'RECURSO ACTUAL'!A89</f>
        <v>2853</v>
      </c>
      <c r="B88" s="96">
        <f>'RECURSO ACTUAL'!F89</f>
        <v>46576</v>
      </c>
      <c r="C88" s="97" t="str">
        <f>'RECURSO ACTUAL'!B89</f>
        <v>BULTOS</v>
      </c>
      <c r="D88" s="91">
        <f>VLOOKUP(A88,'Q LUB'!A:L,8,FALSE)</f>
        <v>46109</v>
      </c>
      <c r="E88" s="92">
        <f t="shared" si="2"/>
        <v>107</v>
      </c>
      <c r="F88" s="92">
        <f>VLOOKUP(A88,'Q LUB'!A:L,7,FALSE)</f>
        <v>6262</v>
      </c>
      <c r="G88" s="92">
        <f>VLOOKUP(A88,'Q LUB'!A:L,5,FALSE)</f>
        <v>180</v>
      </c>
      <c r="H88" s="92">
        <f>VLOOKUP(A88,'Q LUB'!A:L,4,FALSE)</f>
        <v>5000</v>
      </c>
      <c r="I88" s="92">
        <f t="shared" ref="I88:J88" si="90">G88-E88</f>
        <v>73</v>
      </c>
      <c r="J88" s="92">
        <f t="shared" si="90"/>
        <v>-1262</v>
      </c>
      <c r="K88" s="97" t="str">
        <f t="shared" si="4"/>
        <v>VIGENTE</v>
      </c>
      <c r="L88" s="97" t="str">
        <f t="shared" si="5"/>
        <v>PASADO</v>
      </c>
      <c r="N88" s="99"/>
      <c r="O88" s="99"/>
      <c r="P88" s="99"/>
      <c r="Q88" s="99"/>
      <c r="R88" s="99"/>
      <c r="S88" s="99"/>
    </row>
    <row r="89">
      <c r="A89" s="95">
        <f>'RECURSO ACTUAL'!A90</f>
        <v>2852</v>
      </c>
      <c r="B89" s="96">
        <f>'RECURSO ACTUAL'!F90</f>
        <v>46576</v>
      </c>
      <c r="C89" s="97" t="str">
        <f>'RECURSO ACTUAL'!B90</f>
        <v>24-Rionegro</v>
      </c>
      <c r="D89" s="91">
        <f>VLOOKUP(A89,'Q LUB'!A:L,8,FALSE)</f>
        <v>46165</v>
      </c>
      <c r="E89" s="92">
        <f t="shared" si="2"/>
        <v>51</v>
      </c>
      <c r="F89" s="92">
        <f>VLOOKUP(A89,'Q LUB'!A:L,7,FALSE)</f>
        <v>4290</v>
      </c>
      <c r="G89" s="92">
        <f>VLOOKUP(A89,'Q LUB'!A:L,5,FALSE)</f>
        <v>180</v>
      </c>
      <c r="H89" s="92">
        <f>VLOOKUP(A89,'Q LUB'!A:L,4,FALSE)</f>
        <v>5000</v>
      </c>
      <c r="I89" s="92">
        <f t="shared" ref="I89:J89" si="91">G89-E89</f>
        <v>129</v>
      </c>
      <c r="J89" s="92">
        <f t="shared" si="91"/>
        <v>710</v>
      </c>
      <c r="K89" s="97" t="str">
        <f t="shared" si="4"/>
        <v>VIGENTE</v>
      </c>
      <c r="L89" s="97" t="str">
        <f t="shared" si="5"/>
        <v>VIGENTE</v>
      </c>
      <c r="N89" s="99"/>
      <c r="O89" s="99"/>
      <c r="P89" s="99"/>
      <c r="Q89" s="99"/>
      <c r="R89" s="99"/>
      <c r="S89" s="99"/>
    </row>
    <row r="90">
      <c r="A90" s="95">
        <f>'RECURSO ACTUAL'!A91</f>
        <v>2851</v>
      </c>
      <c r="B90" s="96">
        <f>'RECURSO ACTUAL'!F91</f>
        <v>46569</v>
      </c>
      <c r="C90" s="97" t="str">
        <f>'RECURSO ACTUAL'!B91</f>
        <v>02-Medellin</v>
      </c>
      <c r="D90" s="91">
        <f>VLOOKUP(A90,'Q LUB'!A:L,8,FALSE)</f>
        <v>46084</v>
      </c>
      <c r="E90" s="92">
        <f t="shared" si="2"/>
        <v>132</v>
      </c>
      <c r="F90" s="92">
        <f>VLOOKUP(A90,'Q LUB'!A:L,7,FALSE)</f>
        <v>3842</v>
      </c>
      <c r="G90" s="92">
        <f>VLOOKUP(A90,'Q LUB'!A:L,5,FALSE)</f>
        <v>180</v>
      </c>
      <c r="H90" s="92">
        <f>VLOOKUP(A90,'Q LUB'!A:L,4,FALSE)</f>
        <v>5000</v>
      </c>
      <c r="I90" s="92">
        <f t="shared" ref="I90:J90" si="92">G90-E90</f>
        <v>48</v>
      </c>
      <c r="J90" s="92">
        <f t="shared" si="92"/>
        <v>1158</v>
      </c>
      <c r="K90" s="97" t="str">
        <f t="shared" si="4"/>
        <v>VIGENTE</v>
      </c>
      <c r="L90" s="97" t="str">
        <f t="shared" si="5"/>
        <v>VIGENTE</v>
      </c>
      <c r="N90" s="99"/>
      <c r="O90" s="99"/>
      <c r="P90" s="99"/>
      <c r="Q90" s="99"/>
      <c r="R90" s="99"/>
      <c r="S90" s="99"/>
    </row>
    <row r="91">
      <c r="A91" s="95">
        <f>'RECURSO ACTUAL'!A92</f>
        <v>2850</v>
      </c>
      <c r="B91" s="96">
        <f>'RECURSO ACTUAL'!F92</f>
        <v>46570</v>
      </c>
      <c r="C91" s="97" t="str">
        <f>'RECURSO ACTUAL'!B92</f>
        <v>MAYORCA</v>
      </c>
      <c r="D91" s="91">
        <f>VLOOKUP(A91,'Q LUB'!A:L,8,FALSE)</f>
        <v>46120</v>
      </c>
      <c r="E91" s="92">
        <f t="shared" si="2"/>
        <v>96</v>
      </c>
      <c r="F91" s="92">
        <f>VLOOKUP(A91,'Q LUB'!A:L,7,FALSE)</f>
        <v>4923</v>
      </c>
      <c r="G91" s="92">
        <f>VLOOKUP(A91,'Q LUB'!A:L,5,FALSE)</f>
        <v>180</v>
      </c>
      <c r="H91" s="92">
        <f>VLOOKUP(A91,'Q LUB'!A:L,4,FALSE)</f>
        <v>5000</v>
      </c>
      <c r="I91" s="92">
        <f t="shared" ref="I91:J91" si="93">G91-E91</f>
        <v>84</v>
      </c>
      <c r="J91" s="92">
        <f t="shared" si="93"/>
        <v>77</v>
      </c>
      <c r="K91" s="97" t="str">
        <f t="shared" si="4"/>
        <v>VIGENTE</v>
      </c>
      <c r="L91" s="97" t="str">
        <f t="shared" si="5"/>
        <v>PRÓXIMO</v>
      </c>
      <c r="N91" s="99"/>
      <c r="O91" s="99"/>
      <c r="P91" s="99"/>
      <c r="Q91" s="99"/>
      <c r="R91" s="99"/>
      <c r="S91" s="99"/>
    </row>
    <row r="92">
      <c r="A92" s="95">
        <f>'RECURSO ACTUAL'!A93</f>
        <v>2849</v>
      </c>
      <c r="B92" s="96">
        <f>'RECURSO ACTUAL'!F93</f>
        <v>46570</v>
      </c>
      <c r="C92" s="97" t="str">
        <f>'RECURSO ACTUAL'!B93</f>
        <v>24-Rionegro</v>
      </c>
      <c r="D92" s="91">
        <f>VLOOKUP(A92,'Q LUB'!A:L,8,FALSE)</f>
        <v>46107</v>
      </c>
      <c r="E92" s="92">
        <f t="shared" si="2"/>
        <v>109</v>
      </c>
      <c r="F92" s="92">
        <f>VLOOKUP(A92,'Q LUB'!A:L,7,FALSE)</f>
        <v>3898</v>
      </c>
      <c r="G92" s="92">
        <f>VLOOKUP(A92,'Q LUB'!A:L,5,FALSE)</f>
        <v>180</v>
      </c>
      <c r="H92" s="92">
        <f>VLOOKUP(A92,'Q LUB'!A:L,4,FALSE)</f>
        <v>5000</v>
      </c>
      <c r="I92" s="92">
        <f t="shared" ref="I92:J92" si="94">G92-E92</f>
        <v>71</v>
      </c>
      <c r="J92" s="92">
        <f t="shared" si="94"/>
        <v>1102</v>
      </c>
      <c r="K92" s="97" t="str">
        <f t="shared" si="4"/>
        <v>VIGENTE</v>
      </c>
      <c r="L92" s="97" t="str">
        <f t="shared" si="5"/>
        <v>VIGENTE</v>
      </c>
      <c r="N92" s="99"/>
      <c r="O92" s="99"/>
      <c r="P92" s="99"/>
      <c r="Q92" s="99"/>
      <c r="R92" s="99"/>
      <c r="S92" s="99"/>
    </row>
    <row r="93">
      <c r="A93" s="95">
        <f>'RECURSO ACTUAL'!A94</f>
        <v>2848</v>
      </c>
      <c r="B93" s="96">
        <f>'RECURSO ACTUAL'!F94</f>
        <v>46561</v>
      </c>
      <c r="C93" s="97" t="str">
        <f>'RECURSO ACTUAL'!B94</f>
        <v>02-Medellin</v>
      </c>
      <c r="D93" s="91">
        <f>VLOOKUP(A93,'Q LUB'!A:L,8,FALSE)</f>
        <v>46132</v>
      </c>
      <c r="E93" s="92">
        <f t="shared" si="2"/>
        <v>84</v>
      </c>
      <c r="F93" s="92">
        <f>VLOOKUP(A93,'Q LUB'!A:L,7,FALSE)</f>
        <v>3549</v>
      </c>
      <c r="G93" s="92">
        <f>VLOOKUP(A93,'Q LUB'!A:L,5,FALSE)</f>
        <v>180</v>
      </c>
      <c r="H93" s="92">
        <f>VLOOKUP(A93,'Q LUB'!A:L,4,FALSE)</f>
        <v>5000</v>
      </c>
      <c r="I93" s="92">
        <f t="shared" ref="I93:J93" si="95">G93-E93</f>
        <v>96</v>
      </c>
      <c r="J93" s="92">
        <f t="shared" si="95"/>
        <v>1451</v>
      </c>
      <c r="K93" s="97" t="str">
        <f t="shared" si="4"/>
        <v>VIGENTE</v>
      </c>
      <c r="L93" s="97" t="str">
        <f t="shared" si="5"/>
        <v>VIGENTE</v>
      </c>
      <c r="N93" s="99"/>
      <c r="O93" s="99"/>
      <c r="P93" s="99"/>
      <c r="Q93" s="99"/>
      <c r="R93" s="99"/>
      <c r="S93" s="99"/>
    </row>
    <row r="94">
      <c r="A94" s="95">
        <f>'RECURSO ACTUAL'!A95</f>
        <v>2847</v>
      </c>
      <c r="B94" s="96">
        <f>'RECURSO ACTUAL'!F95</f>
        <v>46559</v>
      </c>
      <c r="C94" s="97" t="str">
        <f>'RECURSO ACTUAL'!B95</f>
        <v>31-Copacabana</v>
      </c>
      <c r="D94" s="91">
        <f>VLOOKUP(A94,'Q LUB'!A:L,8,FALSE)</f>
        <v>46142</v>
      </c>
      <c r="E94" s="92">
        <f t="shared" si="2"/>
        <v>74</v>
      </c>
      <c r="F94" s="92">
        <f>VLOOKUP(A94,'Q LUB'!A:L,7,FALSE)</f>
        <v>4794</v>
      </c>
      <c r="G94" s="92">
        <f>VLOOKUP(A94,'Q LUB'!A:L,5,FALSE)</f>
        <v>180</v>
      </c>
      <c r="H94" s="92">
        <f>VLOOKUP(A94,'Q LUB'!A:L,4,FALSE)</f>
        <v>5000</v>
      </c>
      <c r="I94" s="92">
        <f t="shared" ref="I94:J94" si="96">G94-E94</f>
        <v>106</v>
      </c>
      <c r="J94" s="92">
        <f t="shared" si="96"/>
        <v>206</v>
      </c>
      <c r="K94" s="97" t="str">
        <f t="shared" si="4"/>
        <v>VIGENTE</v>
      </c>
      <c r="L94" s="97" t="str">
        <f t="shared" si="5"/>
        <v>PRÓXIMO</v>
      </c>
      <c r="N94" s="99"/>
      <c r="O94" s="99"/>
      <c r="P94" s="99"/>
      <c r="Q94" s="99"/>
      <c r="R94" s="99"/>
      <c r="S94" s="99"/>
    </row>
    <row r="95">
      <c r="A95" s="95">
        <f>'RECURSO ACTUAL'!A96</f>
        <v>2846</v>
      </c>
      <c r="B95" s="96">
        <f>'RECURSO ACTUAL'!F96</f>
        <v>46561</v>
      </c>
      <c r="C95" s="97" t="str">
        <f>'RECURSO ACTUAL'!B96</f>
        <v>38-La ceja</v>
      </c>
      <c r="D95" s="91">
        <f>VLOOKUP(A95,'Q LUB'!A:L,8,FALSE)</f>
        <v>46142</v>
      </c>
      <c r="E95" s="92">
        <f t="shared" si="2"/>
        <v>74</v>
      </c>
      <c r="F95" s="92">
        <f>VLOOKUP(A95,'Q LUB'!A:L,7,FALSE)</f>
        <v>5818</v>
      </c>
      <c r="G95" s="92">
        <f>VLOOKUP(A95,'Q LUB'!A:L,5,FALSE)</f>
        <v>180</v>
      </c>
      <c r="H95" s="92">
        <f>VLOOKUP(A95,'Q LUB'!A:L,4,FALSE)</f>
        <v>5000</v>
      </c>
      <c r="I95" s="92">
        <f t="shared" ref="I95:J95" si="97">G95-E95</f>
        <v>106</v>
      </c>
      <c r="J95" s="92">
        <f t="shared" si="97"/>
        <v>-818</v>
      </c>
      <c r="K95" s="97" t="str">
        <f t="shared" si="4"/>
        <v>VIGENTE</v>
      </c>
      <c r="L95" s="97" t="str">
        <f t="shared" si="5"/>
        <v>PASADO</v>
      </c>
      <c r="N95" s="99"/>
      <c r="O95" s="99"/>
      <c r="P95" s="99"/>
      <c r="Q95" s="99"/>
      <c r="R95" s="99"/>
      <c r="S95" s="99"/>
    </row>
    <row r="96">
      <c r="A96" s="95">
        <f>'RECURSO ACTUAL'!A97</f>
        <v>2845</v>
      </c>
      <c r="B96" s="96">
        <f>'RECURSO ACTUAL'!F97</f>
        <v>46561</v>
      </c>
      <c r="C96" s="97" t="str">
        <f>'RECURSO ACTUAL'!B97</f>
        <v>02-Medellin</v>
      </c>
      <c r="D96" s="91">
        <f>VLOOKUP(A96,'Q LUB'!A:L,8,FALSE)</f>
        <v>46042</v>
      </c>
      <c r="E96" s="92">
        <f t="shared" si="2"/>
        <v>174</v>
      </c>
      <c r="F96" s="92">
        <f>VLOOKUP(A96,'Q LUB'!A:L,7,FALSE)</f>
        <v>4884</v>
      </c>
      <c r="G96" s="92">
        <f>VLOOKUP(A96,'Q LUB'!A:L,5,FALSE)</f>
        <v>180</v>
      </c>
      <c r="H96" s="92">
        <f>VLOOKUP(A96,'Q LUB'!A:L,4,FALSE)</f>
        <v>5000</v>
      </c>
      <c r="I96" s="92">
        <f t="shared" ref="I96:J96" si="98">G96-E96</f>
        <v>6</v>
      </c>
      <c r="J96" s="92">
        <f t="shared" si="98"/>
        <v>116</v>
      </c>
      <c r="K96" s="97" t="str">
        <f t="shared" si="4"/>
        <v>PRÓXIMO</v>
      </c>
      <c r="L96" s="97" t="str">
        <f t="shared" si="5"/>
        <v>PRÓXIMO</v>
      </c>
      <c r="N96" s="99"/>
      <c r="O96" s="99"/>
      <c r="P96" s="99"/>
      <c r="Q96" s="99"/>
      <c r="R96" s="99"/>
      <c r="S96" s="99"/>
    </row>
    <row r="97">
      <c r="A97" s="95">
        <f>'RECURSO ACTUAL'!A98</f>
        <v>2844</v>
      </c>
      <c r="B97" s="96">
        <f>'RECURSO ACTUAL'!F98</f>
        <v>46562</v>
      </c>
      <c r="C97" s="97" t="str">
        <f>'RECURSO ACTUAL'!B98</f>
        <v>02-Medellin</v>
      </c>
      <c r="D97" s="91">
        <f>VLOOKUP(A97,'Q LUB'!A:L,8,FALSE)</f>
        <v>46084</v>
      </c>
      <c r="E97" s="92">
        <f t="shared" si="2"/>
        <v>132</v>
      </c>
      <c r="F97" s="92">
        <f>VLOOKUP(A97,'Q LUB'!A:L,7,FALSE)</f>
        <v>3884</v>
      </c>
      <c r="G97" s="92">
        <f>VLOOKUP(A97,'Q LUB'!A:L,5,FALSE)</f>
        <v>180</v>
      </c>
      <c r="H97" s="92">
        <f>VLOOKUP(A97,'Q LUB'!A:L,4,FALSE)</f>
        <v>5000</v>
      </c>
      <c r="I97" s="92">
        <f t="shared" ref="I97:J97" si="99">G97-E97</f>
        <v>48</v>
      </c>
      <c r="J97" s="92">
        <f t="shared" si="99"/>
        <v>1116</v>
      </c>
      <c r="K97" s="97" t="str">
        <f t="shared" si="4"/>
        <v>VIGENTE</v>
      </c>
      <c r="L97" s="97" t="str">
        <f t="shared" si="5"/>
        <v>VIGENTE</v>
      </c>
      <c r="N97" s="99"/>
      <c r="O97" s="99"/>
      <c r="P97" s="99"/>
      <c r="Q97" s="99"/>
      <c r="R97" s="99"/>
      <c r="S97" s="99"/>
    </row>
    <row r="98">
      <c r="A98" s="95">
        <f>'RECURSO ACTUAL'!A99</f>
        <v>2843</v>
      </c>
      <c r="B98" s="96">
        <f>'RECURSO ACTUAL'!F99</f>
        <v>46562</v>
      </c>
      <c r="C98" s="97" t="str">
        <f>'RECURSO ACTUAL'!B99</f>
        <v>31-Copacabana</v>
      </c>
      <c r="D98" s="91">
        <f>VLOOKUP(A98,'Q LUB'!A:L,8,FALSE)</f>
        <v>46132</v>
      </c>
      <c r="E98" s="92">
        <f t="shared" si="2"/>
        <v>84</v>
      </c>
      <c r="F98" s="92">
        <f>VLOOKUP(A98,'Q LUB'!A:L,7,FALSE)</f>
        <v>3481</v>
      </c>
      <c r="G98" s="92">
        <f>VLOOKUP(A98,'Q LUB'!A:L,5,FALSE)</f>
        <v>180</v>
      </c>
      <c r="H98" s="92">
        <f>VLOOKUP(A98,'Q LUB'!A:L,4,FALSE)</f>
        <v>5000</v>
      </c>
      <c r="I98" s="92">
        <f t="shared" ref="I98:J98" si="100">G98-E98</f>
        <v>96</v>
      </c>
      <c r="J98" s="92">
        <f t="shared" si="100"/>
        <v>1519</v>
      </c>
      <c r="K98" s="97" t="str">
        <f t="shared" si="4"/>
        <v>VIGENTE</v>
      </c>
      <c r="L98" s="97" t="str">
        <f t="shared" si="5"/>
        <v>VIGENTE</v>
      </c>
      <c r="N98" s="99"/>
      <c r="O98" s="99"/>
      <c r="P98" s="99"/>
      <c r="Q98" s="99"/>
      <c r="R98" s="99"/>
      <c r="S98" s="99"/>
    </row>
    <row r="99">
      <c r="A99" s="95">
        <f>'RECURSO ACTUAL'!A100</f>
        <v>2842</v>
      </c>
      <c r="B99" s="96">
        <f>'RECURSO ACTUAL'!F100</f>
        <v>46562</v>
      </c>
      <c r="C99" s="97" t="str">
        <f>'RECURSO ACTUAL'!B100</f>
        <v>24-Rionegro</v>
      </c>
      <c r="D99" s="91">
        <f>VLOOKUP(A99,'Q LUB'!A:L,8,FALSE)</f>
        <v>46139</v>
      </c>
      <c r="E99" s="92">
        <f t="shared" si="2"/>
        <v>77</v>
      </c>
      <c r="F99" s="92">
        <f>VLOOKUP(A99,'Q LUB'!A:L,7,FALSE)</f>
        <v>6687</v>
      </c>
      <c r="G99" s="92">
        <f>VLOOKUP(A99,'Q LUB'!A:L,5,FALSE)</f>
        <v>180</v>
      </c>
      <c r="H99" s="92">
        <f>VLOOKUP(A99,'Q LUB'!A:L,4,FALSE)</f>
        <v>5000</v>
      </c>
      <c r="I99" s="92">
        <f t="shared" ref="I99:J99" si="101">G99-E99</f>
        <v>103</v>
      </c>
      <c r="J99" s="92">
        <f t="shared" si="101"/>
        <v>-1687</v>
      </c>
      <c r="K99" s="97" t="str">
        <f t="shared" si="4"/>
        <v>VIGENTE</v>
      </c>
      <c r="L99" s="97" t="str">
        <f t="shared" si="5"/>
        <v>PASADO</v>
      </c>
      <c r="N99" s="99"/>
      <c r="O99" s="99"/>
      <c r="P99" s="99"/>
      <c r="Q99" s="99"/>
      <c r="R99" s="99"/>
      <c r="S99" s="99"/>
    </row>
    <row r="100">
      <c r="A100" s="95">
        <f>'RECURSO ACTUAL'!A101</f>
        <v>2683</v>
      </c>
      <c r="B100" s="96">
        <f>'RECURSO ACTUAL'!F101</f>
        <v>46512</v>
      </c>
      <c r="C100" s="97" t="str">
        <f>'RECURSO ACTUAL'!B101</f>
        <v>02-Medellin</v>
      </c>
      <c r="D100" s="91">
        <f>VLOOKUP(A100,'Q LUB'!A:L,8,FALSE)</f>
        <v>46087</v>
      </c>
      <c r="E100" s="92">
        <f t="shared" si="2"/>
        <v>129</v>
      </c>
      <c r="F100" s="92">
        <f>VLOOKUP(A100,'Q LUB'!A:L,7,FALSE)</f>
        <v>3186</v>
      </c>
      <c r="G100" s="92">
        <f>VLOOKUP(A100,'Q LUB'!A:L,5,FALSE)</f>
        <v>180</v>
      </c>
      <c r="H100" s="92">
        <f>VLOOKUP(A100,'Q LUB'!A:L,4,FALSE)</f>
        <v>10000</v>
      </c>
      <c r="I100" s="92">
        <f t="shared" ref="I100:J100" si="102">G100-E100</f>
        <v>51</v>
      </c>
      <c r="J100" s="92">
        <f t="shared" si="102"/>
        <v>6814</v>
      </c>
      <c r="K100" s="97" t="str">
        <f t="shared" si="4"/>
        <v>VIGENTE</v>
      </c>
      <c r="L100" s="97" t="str">
        <f t="shared" si="5"/>
        <v>VIGENTE</v>
      </c>
      <c r="N100" s="99"/>
      <c r="O100" s="99"/>
      <c r="P100" s="99"/>
      <c r="Q100" s="99"/>
      <c r="R100" s="99"/>
      <c r="S100" s="99"/>
    </row>
    <row r="101">
      <c r="A101" s="95">
        <f>'RECURSO ACTUAL'!A102</f>
        <v>2682</v>
      </c>
      <c r="B101" s="96">
        <f>'RECURSO ACTUAL'!F102</f>
        <v>46506</v>
      </c>
      <c r="C101" s="97" t="str">
        <f>'RECURSO ACTUAL'!B102</f>
        <v>24-Rionegro</v>
      </c>
      <c r="D101" s="91">
        <f>VLOOKUP(A101,'Q LUB'!A:L,8,FALSE)</f>
        <v>46035</v>
      </c>
      <c r="E101" s="92">
        <f t="shared" si="2"/>
        <v>181</v>
      </c>
      <c r="F101" s="92">
        <f>VLOOKUP(A101,'Q LUB'!A:L,7,FALSE)</f>
        <v>7476.5</v>
      </c>
      <c r="G101" s="92">
        <f>VLOOKUP(A101,'Q LUB'!A:L,5,FALSE)</f>
        <v>180</v>
      </c>
      <c r="H101" s="92">
        <f>VLOOKUP(A101,'Q LUB'!A:L,4,FALSE)</f>
        <v>10000</v>
      </c>
      <c r="I101" s="92">
        <f t="shared" ref="I101:J101" si="103">G101-E101</f>
        <v>-1</v>
      </c>
      <c r="J101" s="92">
        <f t="shared" si="103"/>
        <v>2523.5</v>
      </c>
      <c r="K101" s="97" t="str">
        <f t="shared" si="4"/>
        <v>PASADO</v>
      </c>
      <c r="L101" s="97" t="str">
        <f t="shared" si="5"/>
        <v>VIGENTE</v>
      </c>
      <c r="N101" s="99"/>
      <c r="O101" s="99"/>
      <c r="P101" s="99"/>
      <c r="Q101" s="99"/>
      <c r="R101" s="99"/>
      <c r="S101" s="99"/>
    </row>
    <row r="102">
      <c r="A102" s="95">
        <f>'RECURSO ACTUAL'!A103</f>
        <v>2681</v>
      </c>
      <c r="B102" s="96">
        <f>'RECURSO ACTUAL'!F103</f>
        <v>46514</v>
      </c>
      <c r="C102" s="97" t="str">
        <f>'RECURSO ACTUAL'!B103</f>
        <v>27-Apartado</v>
      </c>
      <c r="D102" s="91">
        <f>VLOOKUP(A102,'Q LUB'!A:L,8,FALSE)</f>
        <v>46029</v>
      </c>
      <c r="E102" s="92">
        <f t="shared" si="2"/>
        <v>187</v>
      </c>
      <c r="F102" s="92">
        <f>VLOOKUP(A102,'Q LUB'!A:L,7,FALSE)</f>
        <v>11846.3</v>
      </c>
      <c r="G102" s="92">
        <f>VLOOKUP(A102,'Q LUB'!A:L,5,FALSE)</f>
        <v>180</v>
      </c>
      <c r="H102" s="92">
        <f>VLOOKUP(A102,'Q LUB'!A:L,4,FALSE)</f>
        <v>10000</v>
      </c>
      <c r="I102" s="92">
        <f t="shared" ref="I102:J102" si="104">G102-E102</f>
        <v>-7</v>
      </c>
      <c r="J102" s="92">
        <f t="shared" si="104"/>
        <v>-1846.3</v>
      </c>
      <c r="K102" s="97" t="str">
        <f t="shared" si="4"/>
        <v>PASADO</v>
      </c>
      <c r="L102" s="97" t="str">
        <f t="shared" si="5"/>
        <v>PASADO</v>
      </c>
      <c r="N102" s="99"/>
      <c r="O102" s="99"/>
      <c r="P102" s="99"/>
      <c r="Q102" s="99"/>
      <c r="R102" s="99"/>
      <c r="S102" s="99"/>
    </row>
    <row r="103">
      <c r="A103" s="95">
        <f>'RECURSO ACTUAL'!A104</f>
        <v>2680</v>
      </c>
      <c r="B103" s="96">
        <f>'RECURSO ACTUAL'!F104</f>
        <v>46501</v>
      </c>
      <c r="C103" s="97" t="str">
        <f>'RECURSO ACTUAL'!B104</f>
        <v>BULTOS</v>
      </c>
      <c r="D103" s="91">
        <f>VLOOKUP(A103,'Q LUB'!A:L,8,FALSE)</f>
        <v>46086</v>
      </c>
      <c r="E103" s="92">
        <f t="shared" si="2"/>
        <v>130</v>
      </c>
      <c r="F103" s="92">
        <f>VLOOKUP(A103,'Q LUB'!A:L,7,FALSE)</f>
        <v>7911.7</v>
      </c>
      <c r="G103" s="92">
        <f>VLOOKUP(A103,'Q LUB'!A:L,5,FALSE)</f>
        <v>180</v>
      </c>
      <c r="H103" s="92">
        <f>VLOOKUP(A103,'Q LUB'!A:L,4,FALSE)</f>
        <v>10000</v>
      </c>
      <c r="I103" s="92">
        <f t="shared" ref="I103:J103" si="105">G103-E103</f>
        <v>50</v>
      </c>
      <c r="J103" s="92">
        <f t="shared" si="105"/>
        <v>2088.3</v>
      </c>
      <c r="K103" s="97" t="str">
        <f t="shared" si="4"/>
        <v>VIGENTE</v>
      </c>
      <c r="L103" s="97" t="str">
        <f t="shared" si="5"/>
        <v>VIGENTE</v>
      </c>
      <c r="N103" s="99"/>
      <c r="O103" s="99"/>
      <c r="P103" s="99"/>
      <c r="Q103" s="99"/>
      <c r="R103" s="99"/>
      <c r="S103" s="99"/>
    </row>
    <row r="104">
      <c r="A104" s="95">
        <f>'RECURSO ACTUAL'!A105</f>
        <v>2679</v>
      </c>
      <c r="B104" s="96">
        <f>'RECURSO ACTUAL'!F105</f>
        <v>46499</v>
      </c>
      <c r="C104" s="97" t="str">
        <f>'RECURSO ACTUAL'!B105</f>
        <v>02-Medellin</v>
      </c>
      <c r="D104" s="91">
        <f>VLOOKUP(A104,'Q LUB'!A:L,8,FALSE)</f>
        <v>46157</v>
      </c>
      <c r="E104" s="92">
        <f t="shared" si="2"/>
        <v>59</v>
      </c>
      <c r="F104" s="92">
        <f>VLOOKUP(A104,'Q LUB'!A:L,7,FALSE)</f>
        <v>1408.8</v>
      </c>
      <c r="G104" s="92">
        <f>VLOOKUP(A104,'Q LUB'!A:L,5,FALSE)</f>
        <v>180</v>
      </c>
      <c r="H104" s="92">
        <f>VLOOKUP(A104,'Q LUB'!A:L,4,FALSE)</f>
        <v>10000</v>
      </c>
      <c r="I104" s="92">
        <f t="shared" ref="I104:J104" si="106">G104-E104</f>
        <v>121</v>
      </c>
      <c r="J104" s="92">
        <f t="shared" si="106"/>
        <v>8591.2</v>
      </c>
      <c r="K104" s="97" t="str">
        <f t="shared" si="4"/>
        <v>VIGENTE</v>
      </c>
      <c r="L104" s="97" t="str">
        <f t="shared" si="5"/>
        <v>VIGENTE</v>
      </c>
      <c r="N104" s="99"/>
      <c r="O104" s="99"/>
      <c r="P104" s="99"/>
      <c r="Q104" s="99"/>
      <c r="R104" s="99"/>
      <c r="S104" s="99"/>
    </row>
    <row r="105">
      <c r="A105" s="95">
        <f>'RECURSO ACTUAL'!A106</f>
        <v>2678</v>
      </c>
      <c r="B105" s="96">
        <f>'RECURSO ACTUAL'!F106</f>
        <v>46500</v>
      </c>
      <c r="C105" s="97" t="str">
        <f>'RECURSO ACTUAL'!B106</f>
        <v>MAYORCA</v>
      </c>
      <c r="D105" s="91">
        <f>VLOOKUP(A105,'Q LUB'!A:L,8,FALSE)</f>
        <v>46156</v>
      </c>
      <c r="E105" s="92">
        <f t="shared" si="2"/>
        <v>60</v>
      </c>
      <c r="F105" s="92">
        <f>VLOOKUP(A105,'Q LUB'!A:L,7,FALSE)</f>
        <v>1371.4</v>
      </c>
      <c r="G105" s="92">
        <f>VLOOKUP(A105,'Q LUB'!A:L,5,FALSE)</f>
        <v>180</v>
      </c>
      <c r="H105" s="92">
        <f>VLOOKUP(A105,'Q LUB'!A:L,4,FALSE)</f>
        <v>10000</v>
      </c>
      <c r="I105" s="92">
        <f t="shared" ref="I105:J105" si="107">G105-E105</f>
        <v>120</v>
      </c>
      <c r="J105" s="92">
        <f t="shared" si="107"/>
        <v>8628.6</v>
      </c>
      <c r="K105" s="97" t="str">
        <f t="shared" si="4"/>
        <v>VIGENTE</v>
      </c>
      <c r="L105" s="97" t="str">
        <f t="shared" si="5"/>
        <v>VIGENTE</v>
      </c>
      <c r="N105" s="99"/>
      <c r="O105" s="99"/>
      <c r="P105" s="99"/>
      <c r="Q105" s="99"/>
      <c r="R105" s="99"/>
      <c r="S105" s="99"/>
    </row>
    <row r="106">
      <c r="A106" s="95">
        <f>'RECURSO ACTUAL'!A107</f>
        <v>2677</v>
      </c>
      <c r="B106" s="96">
        <f>'RECURSO ACTUAL'!F107</f>
        <v>46497</v>
      </c>
      <c r="C106" s="97" t="str">
        <f>'RECURSO ACTUAL'!B107</f>
        <v>02-Medellin</v>
      </c>
      <c r="D106" s="91">
        <f>VLOOKUP(A106,'Q LUB'!A:L,8,FALSE)</f>
        <v>46056</v>
      </c>
      <c r="E106" s="92">
        <f t="shared" si="2"/>
        <v>160</v>
      </c>
      <c r="F106" s="92">
        <f>VLOOKUP(A106,'Q LUB'!A:L,7,FALSE)</f>
        <v>1740.6</v>
      </c>
      <c r="G106" s="92">
        <f>VLOOKUP(A106,'Q LUB'!A:L,5,FALSE)</f>
        <v>180</v>
      </c>
      <c r="H106" s="92">
        <f>VLOOKUP(A106,'Q LUB'!A:L,4,FALSE)</f>
        <v>10000</v>
      </c>
      <c r="I106" s="92">
        <f t="shared" ref="I106:J106" si="108">G106-E106</f>
        <v>20</v>
      </c>
      <c r="J106" s="92">
        <f t="shared" si="108"/>
        <v>8259.4</v>
      </c>
      <c r="K106" s="97" t="str">
        <f t="shared" si="4"/>
        <v>VIGENTE</v>
      </c>
      <c r="L106" s="97" t="str">
        <f t="shared" si="5"/>
        <v>VIGENTE</v>
      </c>
      <c r="N106" s="99"/>
      <c r="O106" s="99"/>
      <c r="P106" s="99"/>
      <c r="Q106" s="99"/>
      <c r="R106" s="99"/>
      <c r="S106" s="99"/>
    </row>
    <row r="107">
      <c r="A107" s="95">
        <f>'RECURSO ACTUAL'!A108</f>
        <v>2676</v>
      </c>
      <c r="B107" s="96">
        <f>'RECURSO ACTUAL'!F108</f>
        <v>46502</v>
      </c>
      <c r="C107" s="97" t="str">
        <f>'RECURSO ACTUAL'!B108</f>
        <v>02-Medellin</v>
      </c>
      <c r="D107" s="91">
        <f>VLOOKUP(A107,'Q LUB'!A:L,8,FALSE)</f>
        <v>46175</v>
      </c>
      <c r="E107" s="92">
        <f t="shared" si="2"/>
        <v>41</v>
      </c>
      <c r="F107" s="92">
        <f>VLOOKUP(A107,'Q LUB'!A:L,7,FALSE)</f>
        <v>2237.4</v>
      </c>
      <c r="G107" s="92">
        <f>VLOOKUP(A107,'Q LUB'!A:L,5,FALSE)</f>
        <v>180</v>
      </c>
      <c r="H107" s="92">
        <f>VLOOKUP(A107,'Q LUB'!A:L,4,FALSE)</f>
        <v>10000</v>
      </c>
      <c r="I107" s="92">
        <f t="shared" ref="I107:J107" si="109">G107-E107</f>
        <v>139</v>
      </c>
      <c r="J107" s="92">
        <f t="shared" si="109"/>
        <v>7762.6</v>
      </c>
      <c r="K107" s="97" t="str">
        <f t="shared" si="4"/>
        <v>VIGENTE</v>
      </c>
      <c r="L107" s="97" t="str">
        <f t="shared" si="5"/>
        <v>VIGENTE</v>
      </c>
      <c r="N107" s="99"/>
      <c r="O107" s="99"/>
      <c r="P107" s="99"/>
      <c r="Q107" s="99"/>
      <c r="R107" s="99"/>
      <c r="S107" s="99"/>
    </row>
    <row r="108">
      <c r="A108" s="95">
        <f>'RECURSO ACTUAL'!A109</f>
        <v>2675</v>
      </c>
      <c r="B108" s="96">
        <f>'RECURSO ACTUAL'!F109</f>
        <v>46494</v>
      </c>
      <c r="C108" s="97" t="str">
        <f>'RECURSO ACTUAL'!B109</f>
        <v>02-Medellin</v>
      </c>
      <c r="D108" s="91">
        <f>VLOOKUP(A108,'Q LUB'!A:L,8,FALSE)</f>
        <v>46056</v>
      </c>
      <c r="E108" s="92">
        <f t="shared" si="2"/>
        <v>160</v>
      </c>
      <c r="F108" s="92">
        <f>VLOOKUP(A108,'Q LUB'!A:L,7,FALSE)</f>
        <v>4685.3</v>
      </c>
      <c r="G108" s="92">
        <f>VLOOKUP(A108,'Q LUB'!A:L,5,FALSE)</f>
        <v>180</v>
      </c>
      <c r="H108" s="92">
        <f>VLOOKUP(A108,'Q LUB'!A:L,4,FALSE)</f>
        <v>10000</v>
      </c>
      <c r="I108" s="92">
        <f t="shared" ref="I108:J108" si="110">G108-E108</f>
        <v>20</v>
      </c>
      <c r="J108" s="92">
        <f t="shared" si="110"/>
        <v>5314.7</v>
      </c>
      <c r="K108" s="97" t="str">
        <f t="shared" si="4"/>
        <v>VIGENTE</v>
      </c>
      <c r="L108" s="97" t="str">
        <f t="shared" si="5"/>
        <v>VIGENTE</v>
      </c>
      <c r="N108" s="99"/>
      <c r="O108" s="99"/>
      <c r="P108" s="99"/>
      <c r="Q108" s="99"/>
      <c r="R108" s="99"/>
      <c r="S108" s="99"/>
    </row>
    <row r="109">
      <c r="A109" s="95">
        <f>'RECURSO ACTUAL'!A110</f>
        <v>2674</v>
      </c>
      <c r="B109" s="96">
        <f>'RECURSO ACTUAL'!F110</f>
        <v>46507</v>
      </c>
      <c r="C109" s="97" t="str">
        <f>'RECURSO ACTUAL'!B110</f>
        <v>27-Apartado</v>
      </c>
      <c r="D109" s="91">
        <f>VLOOKUP(A109,'Q LUB'!A:L,8,FALSE)</f>
        <v>46132</v>
      </c>
      <c r="E109" s="92">
        <f t="shared" si="2"/>
        <v>84</v>
      </c>
      <c r="F109" s="92">
        <f>VLOOKUP(A109,'Q LUB'!A:L,7,FALSE)</f>
        <v>2068.4</v>
      </c>
      <c r="G109" s="92">
        <f>VLOOKUP(A109,'Q LUB'!A:L,5,FALSE)</f>
        <v>180</v>
      </c>
      <c r="H109" s="92">
        <f>VLOOKUP(A109,'Q LUB'!A:L,4,FALSE)</f>
        <v>10000</v>
      </c>
      <c r="I109" s="92">
        <f t="shared" ref="I109:J109" si="111">G109-E109</f>
        <v>96</v>
      </c>
      <c r="J109" s="92">
        <f t="shared" si="111"/>
        <v>7931.6</v>
      </c>
      <c r="K109" s="97" t="str">
        <f t="shared" si="4"/>
        <v>VIGENTE</v>
      </c>
      <c r="L109" s="97" t="str">
        <f t="shared" si="5"/>
        <v>VIGENTE</v>
      </c>
      <c r="N109" s="99"/>
      <c r="O109" s="99"/>
      <c r="P109" s="99"/>
      <c r="Q109" s="99"/>
      <c r="R109" s="99"/>
      <c r="S109" s="99"/>
    </row>
    <row r="110">
      <c r="A110" s="95">
        <f>'RECURSO ACTUAL'!A111</f>
        <v>2673</v>
      </c>
      <c r="B110" s="96">
        <f>'RECURSO ACTUAL'!F111</f>
        <v>46516</v>
      </c>
      <c r="C110" s="97" t="str">
        <f>'RECURSO ACTUAL'!B111</f>
        <v>02-Medellin</v>
      </c>
      <c r="D110" s="91">
        <f>VLOOKUP(A110,'Q LUB'!A:L,8,FALSE)</f>
        <v>46006</v>
      </c>
      <c r="E110" s="92">
        <f t="shared" si="2"/>
        <v>210</v>
      </c>
      <c r="F110" s="92">
        <f>VLOOKUP(A110,'Q LUB'!A:L,7,FALSE)</f>
        <v>7201.7</v>
      </c>
      <c r="G110" s="92">
        <f>VLOOKUP(A110,'Q LUB'!A:L,5,FALSE)</f>
        <v>180</v>
      </c>
      <c r="H110" s="92">
        <f>VLOOKUP(A110,'Q LUB'!A:L,4,FALSE)</f>
        <v>10000</v>
      </c>
      <c r="I110" s="92">
        <f t="shared" ref="I110:J110" si="112">G110-E110</f>
        <v>-30</v>
      </c>
      <c r="J110" s="92">
        <f t="shared" si="112"/>
        <v>2798.3</v>
      </c>
      <c r="K110" s="97" t="str">
        <f t="shared" si="4"/>
        <v>PASADO</v>
      </c>
      <c r="L110" s="97" t="str">
        <f t="shared" si="5"/>
        <v>VIGENTE</v>
      </c>
      <c r="N110" s="99"/>
      <c r="O110" s="99"/>
      <c r="P110" s="99"/>
      <c r="Q110" s="99"/>
      <c r="R110" s="99"/>
      <c r="S110" s="99"/>
    </row>
    <row r="111">
      <c r="A111" s="95">
        <f>'RECURSO ACTUAL'!A112</f>
        <v>2672</v>
      </c>
      <c r="B111" s="96">
        <f>'RECURSO ACTUAL'!F112</f>
        <v>46511</v>
      </c>
      <c r="C111" s="97" t="str">
        <f>'RECURSO ACTUAL'!B112</f>
        <v>02-Medellin</v>
      </c>
      <c r="D111" s="91">
        <f>VLOOKUP(A111,'Q LUB'!A:L,8,FALSE)</f>
        <v>46101</v>
      </c>
      <c r="E111" s="92">
        <f t="shared" si="2"/>
        <v>115</v>
      </c>
      <c r="F111" s="92">
        <f>VLOOKUP(A111,'Q LUB'!A:L,7,FALSE)</f>
        <v>2385</v>
      </c>
      <c r="G111" s="92">
        <f>VLOOKUP(A111,'Q LUB'!A:L,5,FALSE)</f>
        <v>180</v>
      </c>
      <c r="H111" s="92">
        <f>VLOOKUP(A111,'Q LUB'!A:L,4,FALSE)</f>
        <v>10000</v>
      </c>
      <c r="I111" s="92">
        <f t="shared" ref="I111:J111" si="113">G111-E111</f>
        <v>65</v>
      </c>
      <c r="J111" s="92">
        <f t="shared" si="113"/>
        <v>7615</v>
      </c>
      <c r="K111" s="97" t="str">
        <f t="shared" si="4"/>
        <v>VIGENTE</v>
      </c>
      <c r="L111" s="97" t="str">
        <f t="shared" si="5"/>
        <v>VIGENTE</v>
      </c>
      <c r="N111" s="99"/>
      <c r="O111" s="99"/>
      <c r="P111" s="99"/>
      <c r="Q111" s="99"/>
      <c r="R111" s="99"/>
      <c r="S111" s="99"/>
    </row>
    <row r="112">
      <c r="A112" s="95">
        <f>'RECURSO ACTUAL'!A113</f>
        <v>2671</v>
      </c>
      <c r="B112" s="96">
        <f>'RECURSO ACTUAL'!F113</f>
        <v>46507</v>
      </c>
      <c r="C112" s="97" t="str">
        <f>'RECURSO ACTUAL'!B113</f>
        <v>MAYORCA</v>
      </c>
      <c r="D112" s="91">
        <f>VLOOKUP(A112,'Q LUB'!A:L,8,FALSE)</f>
        <v>46004</v>
      </c>
      <c r="E112" s="92">
        <f t="shared" si="2"/>
        <v>212</v>
      </c>
      <c r="F112" s="92">
        <f>VLOOKUP(A112,'Q LUB'!A:L,7,FALSE)</f>
        <v>10471.9</v>
      </c>
      <c r="G112" s="92">
        <f>VLOOKUP(A112,'Q LUB'!A:L,5,FALSE)</f>
        <v>180</v>
      </c>
      <c r="H112" s="92">
        <f>VLOOKUP(A112,'Q LUB'!A:L,4,FALSE)</f>
        <v>10000</v>
      </c>
      <c r="I112" s="92">
        <f t="shared" ref="I112:J112" si="114">G112-E112</f>
        <v>-32</v>
      </c>
      <c r="J112" s="92">
        <f t="shared" si="114"/>
        <v>-471.9</v>
      </c>
      <c r="K112" s="97" t="str">
        <f t="shared" si="4"/>
        <v>PASADO</v>
      </c>
      <c r="L112" s="97" t="str">
        <f t="shared" si="5"/>
        <v>PASADO</v>
      </c>
      <c r="N112" s="99"/>
      <c r="O112" s="99"/>
      <c r="P112" s="99"/>
      <c r="Q112" s="99"/>
      <c r="R112" s="99"/>
      <c r="S112" s="99"/>
    </row>
    <row r="113">
      <c r="A113" s="95">
        <f>'RECURSO ACTUAL'!A114</f>
        <v>2669</v>
      </c>
      <c r="B113" s="96">
        <f>'RECURSO ACTUAL'!F114</f>
        <v>46511</v>
      </c>
      <c r="C113" s="97" t="str">
        <f>'RECURSO ACTUAL'!B114</f>
        <v>02-Medellin</v>
      </c>
      <c r="D113" s="91">
        <f>VLOOKUP(A113,'Q LUB'!A:L,8,FALSE)</f>
        <v>46162</v>
      </c>
      <c r="E113" s="92">
        <f t="shared" si="2"/>
        <v>54</v>
      </c>
      <c r="F113" s="92">
        <f>VLOOKUP(A113,'Q LUB'!A:L,7,FALSE)</f>
        <v>1570.1</v>
      </c>
      <c r="G113" s="92">
        <f>VLOOKUP(A113,'Q LUB'!A:L,5,FALSE)</f>
        <v>180</v>
      </c>
      <c r="H113" s="92">
        <f>VLOOKUP(A113,'Q LUB'!A:L,4,FALSE)</f>
        <v>10000</v>
      </c>
      <c r="I113" s="92">
        <f t="shared" ref="I113:J113" si="115">G113-E113</f>
        <v>126</v>
      </c>
      <c r="J113" s="92">
        <f t="shared" si="115"/>
        <v>8429.9</v>
      </c>
      <c r="K113" s="97" t="str">
        <f t="shared" si="4"/>
        <v>VIGENTE</v>
      </c>
      <c r="L113" s="97" t="str">
        <f t="shared" si="5"/>
        <v>VIGENTE</v>
      </c>
      <c r="N113" s="99"/>
      <c r="O113" s="99"/>
      <c r="P113" s="99"/>
      <c r="Q113" s="99"/>
      <c r="R113" s="99"/>
      <c r="S113" s="99"/>
    </row>
    <row r="114">
      <c r="A114" s="95">
        <f>'RECURSO ACTUAL'!A115</f>
        <v>2666</v>
      </c>
      <c r="B114" s="96">
        <f>'RECURSO ACTUAL'!F115</f>
        <v>46492</v>
      </c>
      <c r="C114" s="97" t="str">
        <f>'RECURSO ACTUAL'!B115</f>
        <v>02-Medellin</v>
      </c>
      <c r="D114" s="91">
        <f>VLOOKUP(A114,'Q LUB'!A:L,8,FALSE)</f>
        <v>46056</v>
      </c>
      <c r="E114" s="92">
        <f t="shared" si="2"/>
        <v>160</v>
      </c>
      <c r="F114" s="92">
        <f>VLOOKUP(A114,'Q LUB'!A:L,7,FALSE)</f>
        <v>6136.7</v>
      </c>
      <c r="G114" s="92">
        <f>VLOOKUP(A114,'Q LUB'!A:L,5,FALSE)</f>
        <v>180</v>
      </c>
      <c r="H114" s="92">
        <f>VLOOKUP(A114,'Q LUB'!A:L,4,FALSE)</f>
        <v>10000</v>
      </c>
      <c r="I114" s="92">
        <f t="shared" ref="I114:J114" si="116">G114-E114</f>
        <v>20</v>
      </c>
      <c r="J114" s="92">
        <f t="shared" si="116"/>
        <v>3863.3</v>
      </c>
      <c r="K114" s="97" t="str">
        <f t="shared" si="4"/>
        <v>VIGENTE</v>
      </c>
      <c r="L114" s="97" t="str">
        <f t="shared" si="5"/>
        <v>VIGENTE</v>
      </c>
      <c r="N114" s="99"/>
      <c r="O114" s="99"/>
      <c r="P114" s="99"/>
      <c r="Q114" s="99"/>
      <c r="R114" s="99"/>
      <c r="S114" s="99"/>
    </row>
    <row r="115">
      <c r="A115" s="95">
        <f>'RECURSO ACTUAL'!A116</f>
        <v>2663</v>
      </c>
      <c r="B115" s="96">
        <f>'RECURSO ACTUAL'!F116</f>
        <v>46493</v>
      </c>
      <c r="C115" s="97" t="str">
        <f>'RECURSO ACTUAL'!B116</f>
        <v>24-Rionegro</v>
      </c>
      <c r="D115" s="91">
        <f>VLOOKUP(A115,'Q LUB'!A:L,8,FALSE)</f>
        <v>46056</v>
      </c>
      <c r="E115" s="92">
        <f t="shared" si="2"/>
        <v>160</v>
      </c>
      <c r="F115" s="92">
        <f>VLOOKUP(A115,'Q LUB'!A:L,7,FALSE)</f>
        <v>11436.1</v>
      </c>
      <c r="G115" s="92">
        <f>VLOOKUP(A115,'Q LUB'!A:L,5,FALSE)</f>
        <v>180</v>
      </c>
      <c r="H115" s="92">
        <f>VLOOKUP(A115,'Q LUB'!A:L,4,FALSE)</f>
        <v>10000</v>
      </c>
      <c r="I115" s="92">
        <f t="shared" ref="I115:J115" si="117">G115-E115</f>
        <v>20</v>
      </c>
      <c r="J115" s="92">
        <f t="shared" si="117"/>
        <v>-1436.1</v>
      </c>
      <c r="K115" s="97" t="str">
        <f t="shared" si="4"/>
        <v>VIGENTE</v>
      </c>
      <c r="L115" s="97" t="str">
        <f t="shared" si="5"/>
        <v>PASADO</v>
      </c>
      <c r="N115" s="99"/>
      <c r="O115" s="99"/>
      <c r="P115" s="99"/>
      <c r="Q115" s="99"/>
      <c r="R115" s="99"/>
      <c r="S115" s="99"/>
    </row>
    <row r="116">
      <c r="A116" s="95">
        <f>'RECURSO ACTUAL'!A117</f>
        <v>2661</v>
      </c>
      <c r="B116" s="96">
        <f>'RECURSO ACTUAL'!F117</f>
        <v>46489</v>
      </c>
      <c r="C116" s="97" t="str">
        <f>'RECURSO ACTUAL'!B117</f>
        <v>02-Medellin</v>
      </c>
      <c r="D116" s="91">
        <f>VLOOKUP(A116,'Q LUB'!A:L,8,FALSE)</f>
        <v>46100</v>
      </c>
      <c r="E116" s="92">
        <f t="shared" si="2"/>
        <v>116</v>
      </c>
      <c r="F116" s="92">
        <f>VLOOKUP(A116,'Q LUB'!A:L,7,FALSE)</f>
        <v>5787</v>
      </c>
      <c r="G116" s="92">
        <f>VLOOKUP(A116,'Q LUB'!A:L,5,FALSE)</f>
        <v>180</v>
      </c>
      <c r="H116" s="92">
        <f>VLOOKUP(A116,'Q LUB'!A:L,4,FALSE)</f>
        <v>10000</v>
      </c>
      <c r="I116" s="92">
        <f t="shared" ref="I116:J116" si="118">G116-E116</f>
        <v>64</v>
      </c>
      <c r="J116" s="92">
        <f t="shared" si="118"/>
        <v>4213</v>
      </c>
      <c r="K116" s="97" t="str">
        <f t="shared" si="4"/>
        <v>VIGENTE</v>
      </c>
      <c r="L116" s="97" t="str">
        <f t="shared" si="5"/>
        <v>VIGENTE</v>
      </c>
      <c r="N116" s="99"/>
      <c r="O116" s="99"/>
      <c r="P116" s="99"/>
      <c r="Q116" s="99"/>
      <c r="R116" s="99"/>
      <c r="S116" s="99"/>
    </row>
    <row r="117">
      <c r="A117" s="95">
        <f>'RECURSO ACTUAL'!A118</f>
        <v>2660</v>
      </c>
      <c r="B117" s="96">
        <f>'RECURSO ACTUAL'!F118</f>
        <v>46491</v>
      </c>
      <c r="C117" s="97" t="str">
        <f>'RECURSO ACTUAL'!B118</f>
        <v>24-Rionegro</v>
      </c>
      <c r="D117" s="91">
        <f>VLOOKUP(A117,'Q LUB'!A:L,8,FALSE)</f>
        <v>46090</v>
      </c>
      <c r="E117" s="92">
        <f t="shared" si="2"/>
        <v>126</v>
      </c>
      <c r="F117" s="92">
        <f>VLOOKUP(A117,'Q LUB'!A:L,7,FALSE)</f>
        <v>4486</v>
      </c>
      <c r="G117" s="92">
        <f>VLOOKUP(A117,'Q LUB'!A:L,5,FALSE)</f>
        <v>180</v>
      </c>
      <c r="H117" s="92">
        <f>VLOOKUP(A117,'Q LUB'!A:L,4,FALSE)</f>
        <v>10000</v>
      </c>
      <c r="I117" s="92">
        <f t="shared" ref="I117:J117" si="119">G117-E117</f>
        <v>54</v>
      </c>
      <c r="J117" s="92">
        <f t="shared" si="119"/>
        <v>5514</v>
      </c>
      <c r="K117" s="97" t="str">
        <f t="shared" si="4"/>
        <v>VIGENTE</v>
      </c>
      <c r="L117" s="97" t="str">
        <f t="shared" si="5"/>
        <v>VIGENTE</v>
      </c>
      <c r="N117" s="99"/>
      <c r="O117" s="99"/>
      <c r="P117" s="99"/>
      <c r="Q117" s="99"/>
      <c r="R117" s="99"/>
      <c r="S117" s="99"/>
    </row>
    <row r="118">
      <c r="A118" s="95">
        <f>'RECURSO ACTUAL'!A119</f>
        <v>2659</v>
      </c>
      <c r="B118" s="96">
        <f>'RECURSO ACTUAL'!F119</f>
        <v>46487</v>
      </c>
      <c r="C118" s="97" t="str">
        <f>'RECURSO ACTUAL'!B119</f>
        <v>02-Medellin</v>
      </c>
      <c r="D118" s="91">
        <f>VLOOKUP(A118,'Q LUB'!A:L,8,FALSE)</f>
        <v>46070</v>
      </c>
      <c r="E118" s="92">
        <f t="shared" si="2"/>
        <v>146</v>
      </c>
      <c r="F118" s="92">
        <f>VLOOKUP(A118,'Q LUB'!A:L,7,FALSE)</f>
        <v>3698</v>
      </c>
      <c r="G118" s="92">
        <f>VLOOKUP(A118,'Q LUB'!A:L,5,FALSE)</f>
        <v>180</v>
      </c>
      <c r="H118" s="92">
        <f>VLOOKUP(A118,'Q LUB'!A:L,4,FALSE)</f>
        <v>10000</v>
      </c>
      <c r="I118" s="92">
        <f t="shared" ref="I118:J118" si="120">G118-E118</f>
        <v>34</v>
      </c>
      <c r="J118" s="92">
        <f t="shared" si="120"/>
        <v>6302</v>
      </c>
      <c r="K118" s="97" t="str">
        <f t="shared" si="4"/>
        <v>VIGENTE</v>
      </c>
      <c r="L118" s="97" t="str">
        <f t="shared" si="5"/>
        <v>VIGENTE</v>
      </c>
      <c r="N118" s="99"/>
      <c r="O118" s="99"/>
      <c r="P118" s="99"/>
      <c r="Q118" s="99"/>
      <c r="R118" s="99"/>
      <c r="S118" s="99"/>
    </row>
    <row r="119">
      <c r="A119" s="95">
        <f>'RECURSO ACTUAL'!A120</f>
        <v>2657</v>
      </c>
      <c r="B119" s="96">
        <f>'RECURSO ACTUAL'!F120</f>
        <v>46486</v>
      </c>
      <c r="C119" s="97" t="str">
        <f>'RECURSO ACTUAL'!B120</f>
        <v>MAYORCA</v>
      </c>
      <c r="D119" s="91">
        <f>VLOOKUP(A119,'Q LUB'!A:L,8,FALSE)</f>
        <v>46100</v>
      </c>
      <c r="E119" s="92">
        <f t="shared" si="2"/>
        <v>116</v>
      </c>
      <c r="F119" s="92">
        <f>VLOOKUP(A119,'Q LUB'!A:L,7,FALSE)</f>
        <v>3292</v>
      </c>
      <c r="G119" s="92">
        <f>VLOOKUP(A119,'Q LUB'!A:L,5,FALSE)</f>
        <v>180</v>
      </c>
      <c r="H119" s="92">
        <f>VLOOKUP(A119,'Q LUB'!A:L,4,FALSE)</f>
        <v>10000</v>
      </c>
      <c r="I119" s="92">
        <f t="shared" ref="I119:J119" si="121">G119-E119</f>
        <v>64</v>
      </c>
      <c r="J119" s="92">
        <f t="shared" si="121"/>
        <v>6708</v>
      </c>
      <c r="K119" s="97" t="str">
        <f t="shared" si="4"/>
        <v>VIGENTE</v>
      </c>
      <c r="L119" s="97" t="str">
        <f t="shared" si="5"/>
        <v>VIGENTE</v>
      </c>
      <c r="N119" s="99"/>
      <c r="O119" s="99"/>
      <c r="P119" s="99"/>
      <c r="Q119" s="99"/>
      <c r="R119" s="99"/>
      <c r="S119" s="99"/>
    </row>
    <row r="120">
      <c r="A120" s="95">
        <f>'RECURSO ACTUAL'!A121</f>
        <v>2656</v>
      </c>
      <c r="B120" s="96">
        <f>'RECURSO ACTUAL'!F121</f>
        <v>46485</v>
      </c>
      <c r="C120" s="97" t="str">
        <f>'RECURSO ACTUAL'!B121</f>
        <v>02-Medellin</v>
      </c>
      <c r="D120" s="91">
        <f>VLOOKUP(A120,'Q LUB'!A:L,8,FALSE)</f>
        <v>46163</v>
      </c>
      <c r="E120" s="92">
        <f t="shared" si="2"/>
        <v>53</v>
      </c>
      <c r="F120" s="92">
        <f>VLOOKUP(A120,'Q LUB'!A:L,7,FALSE)</f>
        <v>1199</v>
      </c>
      <c r="G120" s="92">
        <f>VLOOKUP(A120,'Q LUB'!A:L,5,FALSE)</f>
        <v>180</v>
      </c>
      <c r="H120" s="92">
        <f>VLOOKUP(A120,'Q LUB'!A:L,4,FALSE)</f>
        <v>10000</v>
      </c>
      <c r="I120" s="92">
        <f t="shared" ref="I120:J120" si="122">G120-E120</f>
        <v>127</v>
      </c>
      <c r="J120" s="92">
        <f t="shared" si="122"/>
        <v>8801</v>
      </c>
      <c r="K120" s="97" t="str">
        <f t="shared" si="4"/>
        <v>VIGENTE</v>
      </c>
      <c r="L120" s="97" t="str">
        <f t="shared" si="5"/>
        <v>VIGENTE</v>
      </c>
      <c r="N120" s="99"/>
      <c r="O120" s="99"/>
      <c r="P120" s="99"/>
      <c r="Q120" s="99"/>
      <c r="R120" s="99"/>
      <c r="S120" s="99"/>
    </row>
    <row r="121">
      <c r="A121" s="95">
        <f>'RECURSO ACTUAL'!A122</f>
        <v>2643</v>
      </c>
      <c r="B121" s="96">
        <f>'RECURSO ACTUAL'!F122</f>
        <v>46259</v>
      </c>
      <c r="C121" s="97" t="str">
        <f>'RECURSO ACTUAL'!B122</f>
        <v>27-Apartado</v>
      </c>
      <c r="D121" s="91">
        <f>VLOOKUP(A121,'Q LUB'!A:L,8,FALSE)</f>
        <v>46037</v>
      </c>
      <c r="E121" s="92">
        <f t="shared" si="2"/>
        <v>179</v>
      </c>
      <c r="F121" s="92">
        <f>VLOOKUP(A121,'Q LUB'!A:L,7,FALSE)</f>
        <v>5986</v>
      </c>
      <c r="G121" s="92">
        <f>VLOOKUP(A121,'Q LUB'!A:L,5,FALSE)</f>
        <v>180</v>
      </c>
      <c r="H121" s="92">
        <f>VLOOKUP(A121,'Q LUB'!A:L,4,FALSE)</f>
        <v>10000</v>
      </c>
      <c r="I121" s="92">
        <f t="shared" ref="I121:J121" si="123">G121-E121</f>
        <v>1</v>
      </c>
      <c r="J121" s="92">
        <f t="shared" si="123"/>
        <v>4014</v>
      </c>
      <c r="K121" s="97" t="str">
        <f t="shared" si="4"/>
        <v>PRÓXIMO</v>
      </c>
      <c r="L121" s="97" t="str">
        <f t="shared" si="5"/>
        <v>VIGENTE</v>
      </c>
      <c r="N121" s="99"/>
      <c r="O121" s="99"/>
      <c r="P121" s="99"/>
      <c r="Q121" s="99"/>
      <c r="R121" s="99"/>
      <c r="S121" s="99"/>
    </row>
    <row r="122">
      <c r="A122" s="95">
        <f>'RECURSO ACTUAL'!A123</f>
        <v>2640</v>
      </c>
      <c r="B122" s="96">
        <f>'RECURSO ACTUAL'!F123</f>
        <v>46254</v>
      </c>
      <c r="C122" s="97" t="str">
        <f>'RECURSO ACTUAL'!B123</f>
        <v>27-Apartado</v>
      </c>
      <c r="D122" s="91">
        <f>VLOOKUP(A122,'Q LUB'!A:L,8,FALSE)</f>
        <v>46037</v>
      </c>
      <c r="E122" s="92">
        <f t="shared" si="2"/>
        <v>179</v>
      </c>
      <c r="F122" s="92">
        <f>VLOOKUP(A122,'Q LUB'!A:L,7,FALSE)</f>
        <v>4275</v>
      </c>
      <c r="G122" s="92">
        <f>VLOOKUP(A122,'Q LUB'!A:L,5,FALSE)</f>
        <v>180</v>
      </c>
      <c r="H122" s="92">
        <f>VLOOKUP(A122,'Q LUB'!A:L,4,FALSE)</f>
        <v>10000</v>
      </c>
      <c r="I122" s="92">
        <f t="shared" ref="I122:J122" si="124">G122-E122</f>
        <v>1</v>
      </c>
      <c r="J122" s="92">
        <f t="shared" si="124"/>
        <v>5725</v>
      </c>
      <c r="K122" s="97" t="str">
        <f t="shared" si="4"/>
        <v>PRÓXIMO</v>
      </c>
      <c r="L122" s="97" t="str">
        <f t="shared" si="5"/>
        <v>VIGENTE</v>
      </c>
      <c r="N122" s="99"/>
      <c r="O122" s="99"/>
      <c r="P122" s="99"/>
      <c r="Q122" s="99"/>
      <c r="R122" s="99"/>
      <c r="S122" s="99"/>
    </row>
    <row r="123">
      <c r="A123" s="95">
        <f>'RECURSO ACTUAL'!A124</f>
        <v>2637</v>
      </c>
      <c r="B123" s="96">
        <f>'RECURSO ACTUAL'!F124</f>
        <v>46249</v>
      </c>
      <c r="C123" s="97" t="str">
        <f>'RECURSO ACTUAL'!B124</f>
        <v>02-Medellin</v>
      </c>
      <c r="D123" s="91">
        <f>VLOOKUP(A123,'Q LUB'!A:L,8,FALSE)</f>
        <v>46092</v>
      </c>
      <c r="E123" s="92">
        <f t="shared" si="2"/>
        <v>124</v>
      </c>
      <c r="F123" s="92">
        <f>VLOOKUP(A123,'Q LUB'!A:L,7,FALSE)</f>
        <v>5553.8</v>
      </c>
      <c r="G123" s="92">
        <f>VLOOKUP(A123,'Q LUB'!A:L,5,FALSE)</f>
        <v>180</v>
      </c>
      <c r="H123" s="92">
        <f>VLOOKUP(A123,'Q LUB'!A:L,4,FALSE)</f>
        <v>7000</v>
      </c>
      <c r="I123" s="92">
        <f t="shared" ref="I123:J123" si="125">G123-E123</f>
        <v>56</v>
      </c>
      <c r="J123" s="92">
        <f t="shared" si="125"/>
        <v>1446.2</v>
      </c>
      <c r="K123" s="97" t="str">
        <f t="shared" si="4"/>
        <v>VIGENTE</v>
      </c>
      <c r="L123" s="97" t="str">
        <f t="shared" si="5"/>
        <v>VIGENTE</v>
      </c>
      <c r="N123" s="99"/>
      <c r="O123" s="99"/>
      <c r="P123" s="99"/>
      <c r="Q123" s="99"/>
      <c r="R123" s="99"/>
      <c r="S123" s="99"/>
    </row>
    <row r="124">
      <c r="A124" s="95">
        <f>'RECURSO ACTUAL'!A125</f>
        <v>2635</v>
      </c>
      <c r="B124" s="96">
        <f>'RECURSO ACTUAL'!F125</f>
        <v>46254</v>
      </c>
      <c r="C124" s="97" t="str">
        <f>'RECURSO ACTUAL'!B125</f>
        <v>02-Medellin</v>
      </c>
      <c r="D124" s="91">
        <f>VLOOKUP(A124,'Q LUB'!A:L,8,FALSE)</f>
        <v>46156</v>
      </c>
      <c r="E124" s="92">
        <f t="shared" si="2"/>
        <v>60</v>
      </c>
      <c r="F124" s="92">
        <f>VLOOKUP(A124,'Q LUB'!A:L,7,FALSE)</f>
        <v>2488.7</v>
      </c>
      <c r="G124" s="92">
        <f>VLOOKUP(A124,'Q LUB'!A:L,5,FALSE)</f>
        <v>180</v>
      </c>
      <c r="H124" s="92">
        <f>VLOOKUP(A124,'Q LUB'!A:L,4,FALSE)</f>
        <v>7000</v>
      </c>
      <c r="I124" s="92">
        <f t="shared" ref="I124:J124" si="126">G124-E124</f>
        <v>120</v>
      </c>
      <c r="J124" s="92">
        <f t="shared" si="126"/>
        <v>4511.3</v>
      </c>
      <c r="K124" s="97" t="str">
        <f t="shared" si="4"/>
        <v>VIGENTE</v>
      </c>
      <c r="L124" s="97" t="str">
        <f t="shared" si="5"/>
        <v>VIGENTE</v>
      </c>
      <c r="N124" s="99"/>
      <c r="O124" s="99"/>
      <c r="P124" s="99"/>
      <c r="Q124" s="99"/>
      <c r="R124" s="99"/>
      <c r="S124" s="99"/>
    </row>
    <row r="125">
      <c r="A125" s="95">
        <f>'RECURSO ACTUAL'!A126</f>
        <v>2628</v>
      </c>
      <c r="B125" s="96">
        <f>'RECURSO ACTUAL'!F126</f>
        <v>46269</v>
      </c>
      <c r="C125" s="97" t="str">
        <f>'RECURSO ACTUAL'!B126</f>
        <v>38-La ceja</v>
      </c>
      <c r="D125" s="91">
        <f>VLOOKUP(A125,'Q LUB'!A:L,8,FALSE)</f>
        <v>46070</v>
      </c>
      <c r="E125" s="92">
        <f t="shared" si="2"/>
        <v>146</v>
      </c>
      <c r="F125" s="92">
        <f>VLOOKUP(A125,'Q LUB'!A:L,7,FALSE)</f>
        <v>1242.3</v>
      </c>
      <c r="G125" s="92">
        <f>VLOOKUP(A125,'Q LUB'!A:L,5,FALSE)</f>
        <v>180</v>
      </c>
      <c r="H125" s="92">
        <f>VLOOKUP(A125,'Q LUB'!A:L,4,FALSE)</f>
        <v>10000</v>
      </c>
      <c r="I125" s="92">
        <f t="shared" ref="I125:J125" si="127">G125-E125</f>
        <v>34</v>
      </c>
      <c r="J125" s="92">
        <f t="shared" si="127"/>
        <v>8757.7</v>
      </c>
      <c r="K125" s="97" t="str">
        <f t="shared" si="4"/>
        <v>VIGENTE</v>
      </c>
      <c r="L125" s="97" t="str">
        <f t="shared" si="5"/>
        <v>VIGENTE</v>
      </c>
      <c r="N125" s="99"/>
      <c r="O125" s="99"/>
      <c r="P125" s="99"/>
      <c r="Q125" s="99"/>
      <c r="R125" s="99"/>
      <c r="S125" s="99"/>
    </row>
    <row r="126">
      <c r="A126" s="95">
        <f>'RECURSO ACTUAL'!A127</f>
        <v>2623</v>
      </c>
      <c r="B126" s="96">
        <f>'RECURSO ACTUAL'!F127</f>
        <v>46268</v>
      </c>
      <c r="C126" s="97" t="str">
        <f>'RECURSO ACTUAL'!B127</f>
        <v>02-Medellin</v>
      </c>
      <c r="D126" s="91">
        <f>VLOOKUP(A126,'Q LUB'!A:L,8,FALSE)</f>
        <v>46157</v>
      </c>
      <c r="E126" s="92">
        <f t="shared" si="2"/>
        <v>59</v>
      </c>
      <c r="F126" s="92">
        <f>VLOOKUP(A126,'Q LUB'!A:L,7,FALSE)</f>
        <v>2154.4</v>
      </c>
      <c r="G126" s="92">
        <f>VLOOKUP(A126,'Q LUB'!A:L,5,FALSE)</f>
        <v>180</v>
      </c>
      <c r="H126" s="92">
        <f>VLOOKUP(A126,'Q LUB'!A:L,4,FALSE)</f>
        <v>10000</v>
      </c>
      <c r="I126" s="92">
        <f t="shared" ref="I126:J126" si="128">G126-E126</f>
        <v>121</v>
      </c>
      <c r="J126" s="92">
        <f t="shared" si="128"/>
        <v>7845.6</v>
      </c>
      <c r="K126" s="97" t="str">
        <f t="shared" si="4"/>
        <v>VIGENTE</v>
      </c>
      <c r="L126" s="97" t="str">
        <f t="shared" si="5"/>
        <v>VIGENTE</v>
      </c>
      <c r="N126" s="99"/>
      <c r="O126" s="99"/>
      <c r="P126" s="99"/>
      <c r="Q126" s="99"/>
      <c r="R126" s="99"/>
      <c r="S126" s="99"/>
    </row>
    <row r="127">
      <c r="A127" s="95">
        <f>'RECURSO ACTUAL'!A128</f>
        <v>2573</v>
      </c>
      <c r="B127" s="96">
        <f>'RECURSO ACTUAL'!F128</f>
        <v>46239</v>
      </c>
      <c r="C127" s="97" t="str">
        <f>'RECURSO ACTUAL'!B128</f>
        <v>02-Medellin</v>
      </c>
      <c r="D127" s="91">
        <f>VLOOKUP(A127,'Q LUB'!A:L,8,FALSE)</f>
        <v>46141</v>
      </c>
      <c r="E127" s="92">
        <f t="shared" si="2"/>
        <v>75</v>
      </c>
      <c r="F127" s="92">
        <f>VLOOKUP(A127,'Q LUB'!A:L,7,FALSE)</f>
        <v>1315</v>
      </c>
      <c r="G127" s="92">
        <f>VLOOKUP(A127,'Q LUB'!A:L,5,FALSE)</f>
        <v>180</v>
      </c>
      <c r="H127" s="92">
        <f>VLOOKUP(A127,'Q LUB'!A:L,4,FALSE)</f>
        <v>10000</v>
      </c>
      <c r="I127" s="92">
        <f t="shared" ref="I127:J127" si="129">G127-E127</f>
        <v>105</v>
      </c>
      <c r="J127" s="92">
        <f t="shared" si="129"/>
        <v>8685</v>
      </c>
      <c r="K127" s="97" t="str">
        <f t="shared" si="4"/>
        <v>VIGENTE</v>
      </c>
      <c r="L127" s="97" t="str">
        <f t="shared" si="5"/>
        <v>VIGENTE</v>
      </c>
      <c r="N127" s="99"/>
      <c r="O127" s="99"/>
      <c r="P127" s="99"/>
      <c r="Q127" s="99"/>
      <c r="R127" s="99"/>
      <c r="S127" s="99"/>
    </row>
    <row r="128">
      <c r="A128" s="95">
        <f>'RECURSO ACTUAL'!A129</f>
        <v>2572</v>
      </c>
      <c r="B128" s="96">
        <f>'RECURSO ACTUAL'!F129</f>
        <v>46245</v>
      </c>
      <c r="C128" s="97" t="str">
        <f>'RECURSO ACTUAL'!B129</f>
        <v>31-Copacabana</v>
      </c>
      <c r="D128" s="91">
        <f>VLOOKUP(A128,'Q LUB'!A:L,8,FALSE)</f>
        <v>46057</v>
      </c>
      <c r="E128" s="92">
        <f t="shared" si="2"/>
        <v>159</v>
      </c>
      <c r="F128" s="92">
        <f>VLOOKUP(A128,'Q LUB'!A:L,7,FALSE)</f>
        <v>10481</v>
      </c>
      <c r="G128" s="92">
        <f>VLOOKUP(A128,'Q LUB'!A:L,5,FALSE)</f>
        <v>180</v>
      </c>
      <c r="H128" s="92">
        <f>VLOOKUP(A128,'Q LUB'!A:L,4,FALSE)</f>
        <v>10000</v>
      </c>
      <c r="I128" s="92">
        <f t="shared" ref="I128:J128" si="130">G128-E128</f>
        <v>21</v>
      </c>
      <c r="J128" s="92">
        <f t="shared" si="130"/>
        <v>-481</v>
      </c>
      <c r="K128" s="97" t="str">
        <f t="shared" si="4"/>
        <v>VIGENTE</v>
      </c>
      <c r="L128" s="97" t="str">
        <f t="shared" si="5"/>
        <v>PASADO</v>
      </c>
      <c r="N128" s="99"/>
      <c r="O128" s="99"/>
      <c r="P128" s="99"/>
      <c r="Q128" s="99"/>
      <c r="R128" s="99"/>
      <c r="S128" s="99"/>
    </row>
    <row r="129">
      <c r="A129" s="95">
        <f>'RECURSO ACTUAL'!A130</f>
        <v>2570</v>
      </c>
      <c r="B129" s="96">
        <f>'RECURSO ACTUAL'!F130</f>
        <v>46236</v>
      </c>
      <c r="C129" s="97" t="str">
        <f>'RECURSO ACTUAL'!B130</f>
        <v>02-Medellin</v>
      </c>
      <c r="D129" s="91">
        <f>VLOOKUP(A129,'Q LUB'!A:L,8,FALSE)</f>
        <v>46167</v>
      </c>
      <c r="E129" s="92">
        <f t="shared" si="2"/>
        <v>49</v>
      </c>
      <c r="F129" s="92">
        <f>VLOOKUP(A129,'Q LUB'!A:L,7,FALSE)</f>
        <v>1024</v>
      </c>
      <c r="G129" s="92">
        <f>VLOOKUP(A129,'Q LUB'!A:L,5,FALSE)</f>
        <v>180</v>
      </c>
      <c r="H129" s="92">
        <f>VLOOKUP(A129,'Q LUB'!A:L,4,FALSE)</f>
        <v>10000</v>
      </c>
      <c r="I129" s="92">
        <f t="shared" ref="I129:J129" si="131">G129-E129</f>
        <v>131</v>
      </c>
      <c r="J129" s="92">
        <f t="shared" si="131"/>
        <v>8976</v>
      </c>
      <c r="K129" s="97" t="str">
        <f t="shared" si="4"/>
        <v>VIGENTE</v>
      </c>
      <c r="L129" s="97" t="str">
        <f t="shared" si="5"/>
        <v>VIGENTE</v>
      </c>
      <c r="N129" s="99"/>
      <c r="O129" s="99"/>
      <c r="P129" s="99"/>
      <c r="Q129" s="99"/>
      <c r="R129" s="99"/>
      <c r="S129" s="99"/>
    </row>
    <row r="130">
      <c r="A130" s="95">
        <f>'RECURSO ACTUAL'!A131</f>
        <v>2492</v>
      </c>
      <c r="B130" s="96">
        <f>'RECURSO ACTUAL'!F131</f>
        <v>46555</v>
      </c>
      <c r="C130" s="97" t="str">
        <f>'RECURSO ACTUAL'!B131</f>
        <v>02-Medellin</v>
      </c>
      <c r="D130" s="91">
        <f>VLOOKUP(A130,'Q LUB'!A:L,8,FALSE)</f>
        <v>46142</v>
      </c>
      <c r="E130" s="92">
        <f t="shared" si="2"/>
        <v>74</v>
      </c>
      <c r="F130" s="92">
        <f>VLOOKUP(A130,'Q LUB'!A:L,7,FALSE)</f>
        <v>1201.3</v>
      </c>
      <c r="G130" s="92">
        <f>VLOOKUP(A130,'Q LUB'!A:L,5,FALSE)</f>
        <v>180</v>
      </c>
      <c r="H130" s="92">
        <f>VLOOKUP(A130,'Q LUB'!A:L,4,FALSE)</f>
        <v>5000</v>
      </c>
      <c r="I130" s="92">
        <f t="shared" ref="I130:J130" si="132">G130-E130</f>
        <v>106</v>
      </c>
      <c r="J130" s="92">
        <f t="shared" si="132"/>
        <v>3798.7</v>
      </c>
      <c r="K130" s="97" t="str">
        <f t="shared" si="4"/>
        <v>VIGENTE</v>
      </c>
      <c r="L130" s="97" t="str">
        <f t="shared" si="5"/>
        <v>VIGENTE</v>
      </c>
      <c r="N130" s="99"/>
      <c r="O130" s="99"/>
      <c r="P130" s="99"/>
      <c r="Q130" s="99"/>
      <c r="R130" s="99"/>
      <c r="S130" s="99"/>
    </row>
    <row r="131">
      <c r="A131" s="95">
        <f>'RECURSO ACTUAL'!A132</f>
        <v>2490</v>
      </c>
      <c r="B131" s="96">
        <f>'RECURSO ACTUAL'!F132</f>
        <v>46303</v>
      </c>
      <c r="C131" s="97" t="str">
        <f>'RECURSO ACTUAL'!B132</f>
        <v>02-Medellin</v>
      </c>
      <c r="D131" s="91">
        <f>VLOOKUP(A131,'Q LUB'!A:L,8,FALSE)</f>
        <v>46071</v>
      </c>
      <c r="E131" s="92">
        <f t="shared" si="2"/>
        <v>145</v>
      </c>
      <c r="F131" s="92">
        <f>VLOOKUP(A131,'Q LUB'!A:L,7,FALSE)</f>
        <v>4280</v>
      </c>
      <c r="G131" s="92">
        <f>VLOOKUP(A131,'Q LUB'!A:L,5,FALSE)</f>
        <v>180</v>
      </c>
      <c r="H131" s="92">
        <f>VLOOKUP(A131,'Q LUB'!A:L,4,FALSE)</f>
        <v>5000</v>
      </c>
      <c r="I131" s="92">
        <f t="shared" ref="I131:J131" si="133">G131-E131</f>
        <v>35</v>
      </c>
      <c r="J131" s="92">
        <f t="shared" si="133"/>
        <v>720</v>
      </c>
      <c r="K131" s="97" t="str">
        <f t="shared" si="4"/>
        <v>VIGENTE</v>
      </c>
      <c r="L131" s="97" t="str">
        <f t="shared" si="5"/>
        <v>VIGENTE</v>
      </c>
      <c r="N131" s="99"/>
      <c r="O131" s="99"/>
      <c r="P131" s="99"/>
      <c r="Q131" s="99"/>
      <c r="R131" s="99"/>
      <c r="S131" s="99"/>
    </row>
    <row r="132">
      <c r="A132" s="95">
        <f>'RECURSO ACTUAL'!A133</f>
        <v>2484</v>
      </c>
      <c r="B132" s="96">
        <f>'RECURSO ACTUAL'!F133</f>
        <v>46309</v>
      </c>
      <c r="C132" s="97" t="str">
        <f>'RECURSO ACTUAL'!B133</f>
        <v>MAYORCA</v>
      </c>
      <c r="D132" s="91">
        <f>VLOOKUP(A132,'Q LUB'!A:L,8,FALSE)</f>
        <v>46042</v>
      </c>
      <c r="E132" s="92">
        <f t="shared" si="2"/>
        <v>174</v>
      </c>
      <c r="F132" s="92">
        <f>VLOOKUP(A132,'Q LUB'!A:L,7,FALSE)</f>
        <v>5423.7</v>
      </c>
      <c r="G132" s="92">
        <f>VLOOKUP(A132,'Q LUB'!A:L,5,FALSE)</f>
        <v>180</v>
      </c>
      <c r="H132" s="92">
        <f>VLOOKUP(A132,'Q LUB'!A:L,4,FALSE)</f>
        <v>5000</v>
      </c>
      <c r="I132" s="92">
        <f t="shared" ref="I132:J132" si="134">G132-E132</f>
        <v>6</v>
      </c>
      <c r="J132" s="92">
        <f t="shared" si="134"/>
        <v>-423.7</v>
      </c>
      <c r="K132" s="97" t="str">
        <f t="shared" si="4"/>
        <v>PRÓXIMO</v>
      </c>
      <c r="L132" s="97" t="str">
        <f t="shared" si="5"/>
        <v>PASADO</v>
      </c>
      <c r="N132" s="99"/>
      <c r="O132" s="99"/>
      <c r="P132" s="99"/>
      <c r="Q132" s="99"/>
      <c r="R132" s="99"/>
      <c r="S132" s="99"/>
    </row>
    <row r="133">
      <c r="A133" s="95">
        <f>'RECURSO ACTUAL'!A134</f>
        <v>2469</v>
      </c>
      <c r="B133" s="96">
        <f>'RECURSO ACTUAL'!F134</f>
        <v>46292</v>
      </c>
      <c r="C133" s="97" t="str">
        <f>'RECURSO ACTUAL'!B134</f>
        <v>31-Copacabana QUIMICOS</v>
      </c>
      <c r="D133" s="91">
        <f>VLOOKUP(A133,'Q LUB'!A:L,8,FALSE)</f>
        <v>46062</v>
      </c>
      <c r="E133" s="92">
        <f t="shared" si="2"/>
        <v>154</v>
      </c>
      <c r="F133" s="92">
        <f>VLOOKUP(A133,'Q LUB'!A:L,7,FALSE)</f>
        <v>11881.2</v>
      </c>
      <c r="G133" s="92">
        <f>VLOOKUP(A133,'Q LUB'!A:L,5,FALSE)</f>
        <v>180</v>
      </c>
      <c r="H133" s="92">
        <f>VLOOKUP(A133,'Q LUB'!A:L,4,FALSE)</f>
        <v>10000</v>
      </c>
      <c r="I133" s="92">
        <f t="shared" ref="I133:J133" si="135">G133-E133</f>
        <v>26</v>
      </c>
      <c r="J133" s="92">
        <f t="shared" si="135"/>
        <v>-1881.2</v>
      </c>
      <c r="K133" s="97" t="str">
        <f t="shared" si="4"/>
        <v>VIGENTE</v>
      </c>
      <c r="L133" s="97" t="str">
        <f t="shared" si="5"/>
        <v>PASADO</v>
      </c>
      <c r="N133" s="99"/>
      <c r="O133" s="99"/>
      <c r="P133" s="99"/>
      <c r="Q133" s="99"/>
      <c r="R133" s="99"/>
      <c r="S133" s="99"/>
    </row>
    <row r="134">
      <c r="A134" s="95">
        <f>'RECURSO ACTUAL'!A135</f>
        <v>2468</v>
      </c>
      <c r="B134" s="96">
        <f>'RECURSO ACTUAL'!F135</f>
        <v>46304</v>
      </c>
      <c r="C134" s="97" t="str">
        <f>'RECURSO ACTUAL'!B135</f>
        <v>02-Medellin</v>
      </c>
      <c r="D134" s="91">
        <f>VLOOKUP(A134,'Q LUB'!A:L,8,FALSE)</f>
        <v>46177</v>
      </c>
      <c r="E134" s="92">
        <f t="shared" si="2"/>
        <v>39</v>
      </c>
      <c r="F134" s="92">
        <f>VLOOKUP(A134,'Q LUB'!A:L,7,FALSE)</f>
        <v>1659</v>
      </c>
      <c r="G134" s="92">
        <f>VLOOKUP(A134,'Q LUB'!A:L,5,FALSE)</f>
        <v>180</v>
      </c>
      <c r="H134" s="92">
        <f>VLOOKUP(A134,'Q LUB'!A:L,4,FALSE)</f>
        <v>10000</v>
      </c>
      <c r="I134" s="92">
        <f t="shared" ref="I134:J134" si="136">G134-E134</f>
        <v>141</v>
      </c>
      <c r="J134" s="92">
        <f t="shared" si="136"/>
        <v>8341</v>
      </c>
      <c r="K134" s="97" t="str">
        <f t="shared" si="4"/>
        <v>VIGENTE</v>
      </c>
      <c r="L134" s="97" t="str">
        <f t="shared" si="5"/>
        <v>VIGENTE</v>
      </c>
      <c r="N134" s="99"/>
      <c r="O134" s="99"/>
      <c r="P134" s="99"/>
      <c r="Q134" s="99"/>
      <c r="R134" s="99"/>
      <c r="S134" s="99"/>
    </row>
    <row r="135">
      <c r="A135" s="95">
        <f>'RECURSO ACTUAL'!A136</f>
        <v>2466</v>
      </c>
      <c r="B135" s="96">
        <f>'RECURSO ACTUAL'!F136</f>
        <v>46297</v>
      </c>
      <c r="C135" s="97" t="str">
        <f>'RECURSO ACTUAL'!B136</f>
        <v>02-Medellin</v>
      </c>
      <c r="D135" s="91">
        <f>VLOOKUP(A135,'Q LUB'!A:L,8,FALSE)</f>
        <v>46163</v>
      </c>
      <c r="E135" s="92">
        <f t="shared" si="2"/>
        <v>53</v>
      </c>
      <c r="F135" s="92">
        <f>VLOOKUP(A135,'Q LUB'!A:L,7,FALSE)</f>
        <v>1243.6</v>
      </c>
      <c r="G135" s="92">
        <f>VLOOKUP(A135,'Q LUB'!A:L,5,FALSE)</f>
        <v>180</v>
      </c>
      <c r="H135" s="92">
        <f>VLOOKUP(A135,'Q LUB'!A:L,4,FALSE)</f>
        <v>10000</v>
      </c>
      <c r="I135" s="92">
        <f t="shared" ref="I135:J135" si="137">G135-E135</f>
        <v>127</v>
      </c>
      <c r="J135" s="92">
        <f t="shared" si="137"/>
        <v>8756.4</v>
      </c>
      <c r="K135" s="97" t="str">
        <f t="shared" si="4"/>
        <v>VIGENTE</v>
      </c>
      <c r="L135" s="97" t="str">
        <f t="shared" si="5"/>
        <v>VIGENTE</v>
      </c>
      <c r="N135" s="99"/>
      <c r="O135" s="99"/>
      <c r="P135" s="99"/>
      <c r="Q135" s="99"/>
      <c r="R135" s="99"/>
      <c r="S135" s="99"/>
    </row>
    <row r="136">
      <c r="A136" s="95">
        <f>'RECURSO ACTUAL'!A137</f>
        <v>2464</v>
      </c>
      <c r="B136" s="96">
        <f>'RECURSO ACTUAL'!F137</f>
        <v>46295</v>
      </c>
      <c r="C136" s="97" t="str">
        <f>'RECURSO ACTUAL'!B137</f>
        <v>02-Medellin</v>
      </c>
      <c r="D136" s="91">
        <f>VLOOKUP(A136,'Q LUB'!A:L,8,FALSE)</f>
        <v>46061</v>
      </c>
      <c r="E136" s="92">
        <f t="shared" si="2"/>
        <v>155</v>
      </c>
      <c r="F136" s="92">
        <f>VLOOKUP(A136,'Q LUB'!A:L,7,FALSE)</f>
        <v>6067.9</v>
      </c>
      <c r="G136" s="92">
        <f>VLOOKUP(A136,'Q LUB'!A:L,5,FALSE)</f>
        <v>180</v>
      </c>
      <c r="H136" s="92">
        <f>VLOOKUP(A136,'Q LUB'!A:L,4,FALSE)</f>
        <v>10000</v>
      </c>
      <c r="I136" s="92">
        <f t="shared" ref="I136:J136" si="138">G136-E136</f>
        <v>25</v>
      </c>
      <c r="J136" s="92">
        <f t="shared" si="138"/>
        <v>3932.1</v>
      </c>
      <c r="K136" s="97" t="str">
        <f t="shared" si="4"/>
        <v>VIGENTE</v>
      </c>
      <c r="L136" s="97" t="str">
        <f t="shared" si="5"/>
        <v>VIGENTE</v>
      </c>
      <c r="N136" s="99"/>
      <c r="O136" s="99"/>
      <c r="P136" s="99"/>
      <c r="Q136" s="99"/>
      <c r="R136" s="99"/>
      <c r="S136" s="99"/>
    </row>
    <row r="137">
      <c r="A137" s="95">
        <f>'RECURSO ACTUAL'!A138</f>
        <v>2463</v>
      </c>
      <c r="B137" s="96">
        <f>'RECURSO ACTUAL'!F138</f>
        <v>46305</v>
      </c>
      <c r="C137" s="97" t="str">
        <f>'RECURSO ACTUAL'!B138</f>
        <v>02-Medellin</v>
      </c>
      <c r="D137" s="91">
        <f>VLOOKUP(A137,'Q LUB'!A:L,8,FALSE)</f>
        <v>46128</v>
      </c>
      <c r="E137" s="92">
        <f t="shared" si="2"/>
        <v>88</v>
      </c>
      <c r="F137" s="92">
        <f>VLOOKUP(A137,'Q LUB'!A:L,7,FALSE)</f>
        <v>3582</v>
      </c>
      <c r="G137" s="92">
        <f>VLOOKUP(A137,'Q LUB'!A:L,5,FALSE)</f>
        <v>180</v>
      </c>
      <c r="H137" s="92">
        <f>VLOOKUP(A137,'Q LUB'!A:L,4,FALSE)</f>
        <v>10000</v>
      </c>
      <c r="I137" s="92">
        <f t="shared" ref="I137:J137" si="139">G137-E137</f>
        <v>92</v>
      </c>
      <c r="J137" s="92">
        <f t="shared" si="139"/>
        <v>6418</v>
      </c>
      <c r="K137" s="97" t="str">
        <f t="shared" si="4"/>
        <v>VIGENTE</v>
      </c>
      <c r="L137" s="97" t="str">
        <f t="shared" si="5"/>
        <v>VIGENTE</v>
      </c>
      <c r="N137" s="99"/>
      <c r="O137" s="99"/>
      <c r="P137" s="99"/>
      <c r="Q137" s="99"/>
      <c r="R137" s="99"/>
      <c r="S137" s="99"/>
    </row>
    <row r="138">
      <c r="A138" s="95">
        <f>'RECURSO ACTUAL'!A139</f>
        <v>2462</v>
      </c>
      <c r="B138" s="96">
        <f>'RECURSO ACTUAL'!F139</f>
        <v>46299</v>
      </c>
      <c r="C138" s="97" t="str">
        <f>'RECURSO ACTUAL'!B139</f>
        <v>02-Medellin</v>
      </c>
      <c r="D138" s="91">
        <f>VLOOKUP(A138,'Q LUB'!A:L,8,FALSE)</f>
        <v>46145</v>
      </c>
      <c r="E138" s="92">
        <f t="shared" si="2"/>
        <v>71</v>
      </c>
      <c r="F138" s="92">
        <f>VLOOKUP(A138,'Q LUB'!A:L,7,FALSE)</f>
        <v>2821.4</v>
      </c>
      <c r="G138" s="92">
        <f>VLOOKUP(A138,'Q LUB'!A:L,5,FALSE)</f>
        <v>180</v>
      </c>
      <c r="H138" s="92">
        <f>VLOOKUP(A138,'Q LUB'!A:L,4,FALSE)</f>
        <v>10000</v>
      </c>
      <c r="I138" s="92">
        <f t="shared" ref="I138:J138" si="140">G138-E138</f>
        <v>109</v>
      </c>
      <c r="J138" s="92">
        <f t="shared" si="140"/>
        <v>7178.6</v>
      </c>
      <c r="K138" s="97" t="str">
        <f t="shared" si="4"/>
        <v>VIGENTE</v>
      </c>
      <c r="L138" s="97" t="str">
        <f t="shared" si="5"/>
        <v>VIGENTE</v>
      </c>
      <c r="N138" s="99"/>
      <c r="O138" s="99"/>
      <c r="P138" s="99"/>
      <c r="Q138" s="99"/>
      <c r="R138" s="99"/>
      <c r="S138" s="99"/>
    </row>
    <row r="139">
      <c r="A139" s="95">
        <f>'RECURSO ACTUAL'!A140</f>
        <v>2460</v>
      </c>
      <c r="B139" s="96">
        <f>'RECURSO ACTUAL'!F140</f>
        <v>46298</v>
      </c>
      <c r="C139" s="97" t="str">
        <f>'RECURSO ACTUAL'!B140</f>
        <v>BULTOS</v>
      </c>
      <c r="D139" s="91">
        <f>VLOOKUP(A139,'Q LUB'!A:L,8,FALSE)</f>
        <v>46056</v>
      </c>
      <c r="E139" s="92">
        <f t="shared" si="2"/>
        <v>160</v>
      </c>
      <c r="F139" s="92">
        <f>VLOOKUP(A139,'Q LUB'!A:L,7,FALSE)</f>
        <v>10437.6</v>
      </c>
      <c r="G139" s="92">
        <f>VLOOKUP(A139,'Q LUB'!A:L,5,FALSE)</f>
        <v>180</v>
      </c>
      <c r="H139" s="92">
        <f>VLOOKUP(A139,'Q LUB'!A:L,4,FALSE)</f>
        <v>10000</v>
      </c>
      <c r="I139" s="92">
        <f t="shared" ref="I139:J139" si="141">G139-E139</f>
        <v>20</v>
      </c>
      <c r="J139" s="92">
        <f t="shared" si="141"/>
        <v>-437.6</v>
      </c>
      <c r="K139" s="97" t="str">
        <f t="shared" si="4"/>
        <v>VIGENTE</v>
      </c>
      <c r="L139" s="97" t="str">
        <f t="shared" si="5"/>
        <v>PASADO</v>
      </c>
      <c r="N139" s="99"/>
      <c r="O139" s="99"/>
      <c r="P139" s="99"/>
      <c r="Q139" s="99"/>
      <c r="R139" s="99"/>
      <c r="S139" s="99"/>
    </row>
    <row r="140">
      <c r="A140" s="95">
        <f>'RECURSO ACTUAL'!A141</f>
        <v>2459</v>
      </c>
      <c r="B140" s="96">
        <f>'RECURSO ACTUAL'!F141</f>
        <v>46301</v>
      </c>
      <c r="C140" s="97" t="str">
        <f>'RECURSO ACTUAL'!B141</f>
        <v>02-Medellin</v>
      </c>
      <c r="D140" s="91">
        <f>VLOOKUP(A140,'Q LUB'!A:L,8,FALSE)</f>
        <v>46061</v>
      </c>
      <c r="E140" s="92">
        <f t="shared" si="2"/>
        <v>155</v>
      </c>
      <c r="F140" s="92">
        <f>VLOOKUP(A140,'Q LUB'!A:L,7,FALSE)</f>
        <v>6535.8</v>
      </c>
      <c r="G140" s="92">
        <f>VLOOKUP(A140,'Q LUB'!A:L,5,FALSE)</f>
        <v>180</v>
      </c>
      <c r="H140" s="92">
        <f>VLOOKUP(A140,'Q LUB'!A:L,4,FALSE)</f>
        <v>10000</v>
      </c>
      <c r="I140" s="92">
        <f t="shared" ref="I140:J140" si="142">G140-E140</f>
        <v>25</v>
      </c>
      <c r="J140" s="92">
        <f t="shared" si="142"/>
        <v>3464.2</v>
      </c>
      <c r="K140" s="97" t="str">
        <f t="shared" si="4"/>
        <v>VIGENTE</v>
      </c>
      <c r="L140" s="97" t="str">
        <f t="shared" si="5"/>
        <v>VIGENTE</v>
      </c>
      <c r="N140" s="99"/>
      <c r="O140" s="99"/>
      <c r="P140" s="99"/>
      <c r="Q140" s="99"/>
      <c r="R140" s="99"/>
      <c r="S140" s="99"/>
    </row>
    <row r="141">
      <c r="A141" s="95">
        <f>'RECURSO ACTUAL'!A142</f>
        <v>2458</v>
      </c>
      <c r="B141" s="96">
        <f>'RECURSO ACTUAL'!F142</f>
        <v>46288</v>
      </c>
      <c r="C141" s="97" t="str">
        <f>'RECURSO ACTUAL'!B142</f>
        <v>02-Medellin</v>
      </c>
      <c r="D141" s="91">
        <f>VLOOKUP(A141,'Q LUB'!A:L,8,FALSE)</f>
        <v>46132</v>
      </c>
      <c r="E141" s="92">
        <f t="shared" si="2"/>
        <v>84</v>
      </c>
      <c r="F141" s="92">
        <f>VLOOKUP(A141,'Q LUB'!A:L,7,FALSE)</f>
        <v>2217.5</v>
      </c>
      <c r="G141" s="92">
        <f>VLOOKUP(A141,'Q LUB'!A:L,5,FALSE)</f>
        <v>180</v>
      </c>
      <c r="H141" s="92">
        <f>VLOOKUP(A141,'Q LUB'!A:L,4,FALSE)</f>
        <v>10000</v>
      </c>
      <c r="I141" s="92">
        <f t="shared" ref="I141:J141" si="143">G141-E141</f>
        <v>96</v>
      </c>
      <c r="J141" s="92">
        <f t="shared" si="143"/>
        <v>7782.5</v>
      </c>
      <c r="K141" s="97" t="str">
        <f t="shared" si="4"/>
        <v>VIGENTE</v>
      </c>
      <c r="L141" s="97" t="str">
        <f t="shared" si="5"/>
        <v>VIGENTE</v>
      </c>
      <c r="N141" s="99"/>
      <c r="O141" s="99"/>
      <c r="P141" s="99"/>
      <c r="Q141" s="99"/>
      <c r="R141" s="99"/>
      <c r="S141" s="99"/>
    </row>
    <row r="142">
      <c r="A142" s="95">
        <f>'RECURSO ACTUAL'!A143</f>
        <v>2457</v>
      </c>
      <c r="B142" s="96">
        <f>'RECURSO ACTUAL'!F143</f>
        <v>46302</v>
      </c>
      <c r="C142" s="97" t="str">
        <f>'RECURSO ACTUAL'!B143</f>
        <v>BULTOS</v>
      </c>
      <c r="D142" s="91">
        <f>VLOOKUP(A142,'Q LUB'!A:L,8,FALSE)</f>
        <v>46134</v>
      </c>
      <c r="E142" s="92">
        <f t="shared" si="2"/>
        <v>82</v>
      </c>
      <c r="F142" s="92">
        <f>VLOOKUP(A142,'Q LUB'!A:L,7,FALSE)</f>
        <v>4680.9</v>
      </c>
      <c r="G142" s="92">
        <f>VLOOKUP(A142,'Q LUB'!A:L,5,FALSE)</f>
        <v>180</v>
      </c>
      <c r="H142" s="92">
        <f>VLOOKUP(A142,'Q LUB'!A:L,4,FALSE)</f>
        <v>10000</v>
      </c>
      <c r="I142" s="92">
        <f t="shared" ref="I142:J142" si="144">G142-E142</f>
        <v>98</v>
      </c>
      <c r="J142" s="92">
        <f t="shared" si="144"/>
        <v>5319.1</v>
      </c>
      <c r="K142" s="97" t="str">
        <f t="shared" si="4"/>
        <v>VIGENTE</v>
      </c>
      <c r="L142" s="97" t="str">
        <f t="shared" si="5"/>
        <v>VIGENTE</v>
      </c>
      <c r="N142" s="99"/>
      <c r="O142" s="99"/>
      <c r="P142" s="99"/>
      <c r="Q142" s="99"/>
      <c r="R142" s="99"/>
      <c r="S142" s="99"/>
    </row>
    <row r="143">
      <c r="A143" s="95">
        <f>'RECURSO ACTUAL'!A144</f>
        <v>2456</v>
      </c>
      <c r="B143" s="96">
        <f>'RECURSO ACTUAL'!F144</f>
        <v>46296</v>
      </c>
      <c r="C143" s="97" t="str">
        <f>'RECURSO ACTUAL'!B144</f>
        <v>02-Medellin</v>
      </c>
      <c r="D143" s="91">
        <f>VLOOKUP(A143,'Q LUB'!A:L,8,FALSE)</f>
        <v>46126</v>
      </c>
      <c r="E143" s="92">
        <f t="shared" si="2"/>
        <v>90</v>
      </c>
      <c r="F143" s="92">
        <f>VLOOKUP(A143,'Q LUB'!A:L,7,FALSE)</f>
        <v>1917.6</v>
      </c>
      <c r="G143" s="92">
        <f>VLOOKUP(A143,'Q LUB'!A:L,5,FALSE)</f>
        <v>180</v>
      </c>
      <c r="H143" s="92">
        <f>VLOOKUP(A143,'Q LUB'!A:L,4,FALSE)</f>
        <v>10000</v>
      </c>
      <c r="I143" s="92">
        <f t="shared" ref="I143:J143" si="145">G143-E143</f>
        <v>90</v>
      </c>
      <c r="J143" s="92">
        <f t="shared" si="145"/>
        <v>8082.4</v>
      </c>
      <c r="K143" s="97" t="str">
        <f t="shared" si="4"/>
        <v>VIGENTE</v>
      </c>
      <c r="L143" s="97" t="str">
        <f t="shared" si="5"/>
        <v>VIGENTE</v>
      </c>
      <c r="N143" s="99"/>
      <c r="O143" s="99"/>
      <c r="P143" s="99"/>
      <c r="Q143" s="99"/>
      <c r="R143" s="99"/>
      <c r="S143" s="99"/>
    </row>
    <row r="144">
      <c r="A144" s="95">
        <f>'RECURSO ACTUAL'!A145</f>
        <v>2455</v>
      </c>
      <c r="B144" s="96">
        <f>'RECURSO ACTUAL'!F145</f>
        <v>46298</v>
      </c>
      <c r="C144" s="97" t="str">
        <f>'RECURSO ACTUAL'!B145</f>
        <v>02-Medellin</v>
      </c>
      <c r="D144" s="91">
        <f>VLOOKUP(A144,'Q LUB'!A:L,8,FALSE)</f>
        <v>46107</v>
      </c>
      <c r="E144" s="92">
        <f t="shared" si="2"/>
        <v>109</v>
      </c>
      <c r="F144" s="92">
        <f>VLOOKUP(A144,'Q LUB'!A:L,7,FALSE)</f>
        <v>1972</v>
      </c>
      <c r="G144" s="92">
        <f>VLOOKUP(A144,'Q LUB'!A:L,5,FALSE)</f>
        <v>180</v>
      </c>
      <c r="H144" s="92">
        <f>VLOOKUP(A144,'Q LUB'!A:L,4,FALSE)</f>
        <v>10000</v>
      </c>
      <c r="I144" s="92">
        <f t="shared" ref="I144:J144" si="146">G144-E144</f>
        <v>71</v>
      </c>
      <c r="J144" s="92">
        <f t="shared" si="146"/>
        <v>8028</v>
      </c>
      <c r="K144" s="97" t="str">
        <f t="shared" si="4"/>
        <v>VIGENTE</v>
      </c>
      <c r="L144" s="97" t="str">
        <f t="shared" si="5"/>
        <v>VIGENTE</v>
      </c>
      <c r="N144" s="99"/>
      <c r="O144" s="99"/>
      <c r="P144" s="99"/>
      <c r="Q144" s="99"/>
      <c r="R144" s="99"/>
      <c r="S144" s="99"/>
    </row>
    <row r="145">
      <c r="A145" s="95">
        <f>'RECURSO ACTUAL'!A146</f>
        <v>2454</v>
      </c>
      <c r="B145" s="96">
        <f>'RECURSO ACTUAL'!F146</f>
        <v>46291</v>
      </c>
      <c r="C145" s="97" t="str">
        <f>'RECURSO ACTUAL'!B146</f>
        <v>02-Medellin</v>
      </c>
      <c r="D145" s="91">
        <f>VLOOKUP(A145,'Q LUB'!A:L,8,FALSE)</f>
        <v>46121</v>
      </c>
      <c r="E145" s="92">
        <f t="shared" si="2"/>
        <v>95</v>
      </c>
      <c r="F145" s="92">
        <f>VLOOKUP(A145,'Q LUB'!A:L,7,FALSE)</f>
        <v>3502</v>
      </c>
      <c r="G145" s="92">
        <f>VLOOKUP(A145,'Q LUB'!A:L,5,FALSE)</f>
        <v>180</v>
      </c>
      <c r="H145" s="92">
        <f>VLOOKUP(A145,'Q LUB'!A:L,4,FALSE)</f>
        <v>10000</v>
      </c>
      <c r="I145" s="92">
        <f t="shared" ref="I145:J145" si="147">G145-E145</f>
        <v>85</v>
      </c>
      <c r="J145" s="92">
        <f t="shared" si="147"/>
        <v>6498</v>
      </c>
      <c r="K145" s="97" t="str">
        <f t="shared" si="4"/>
        <v>VIGENTE</v>
      </c>
      <c r="L145" s="97" t="str">
        <f t="shared" si="5"/>
        <v>VIGENTE</v>
      </c>
      <c r="N145" s="99"/>
      <c r="O145" s="99"/>
      <c r="P145" s="99"/>
      <c r="Q145" s="99"/>
      <c r="R145" s="99"/>
      <c r="S145" s="99"/>
    </row>
    <row r="146">
      <c r="A146" s="95">
        <f>'RECURSO ACTUAL'!A147</f>
        <v>2450</v>
      </c>
      <c r="B146" s="96">
        <f>'RECURSO ACTUAL'!F147</f>
        <v>46290</v>
      </c>
      <c r="C146" s="97" t="str">
        <f>'RECURSO ACTUAL'!B147</f>
        <v>MAYORCA</v>
      </c>
      <c r="D146" s="91">
        <f>VLOOKUP(A146,'Q LUB'!A:L,8,FALSE)</f>
        <v>46027</v>
      </c>
      <c r="E146" s="92">
        <f t="shared" si="2"/>
        <v>189</v>
      </c>
      <c r="F146" s="92">
        <f>VLOOKUP(A146,'Q LUB'!A:L,7,FALSE)</f>
        <v>10274</v>
      </c>
      <c r="G146" s="92">
        <f>VLOOKUP(A146,'Q LUB'!A:L,5,FALSE)</f>
        <v>180</v>
      </c>
      <c r="H146" s="92">
        <f>VLOOKUP(A146,'Q LUB'!A:L,4,FALSE)</f>
        <v>10000</v>
      </c>
      <c r="I146" s="92">
        <f t="shared" ref="I146:J146" si="148">G146-E146</f>
        <v>-9</v>
      </c>
      <c r="J146" s="92">
        <f t="shared" si="148"/>
        <v>-274</v>
      </c>
      <c r="K146" s="97" t="str">
        <f t="shared" si="4"/>
        <v>PASADO</v>
      </c>
      <c r="L146" s="97" t="str">
        <f t="shared" si="5"/>
        <v>PASADO</v>
      </c>
      <c r="N146" s="99"/>
      <c r="O146" s="99"/>
      <c r="P146" s="99"/>
      <c r="Q146" s="99"/>
      <c r="R146" s="99"/>
      <c r="S146" s="99"/>
    </row>
    <row r="147">
      <c r="A147" s="95">
        <f>'RECURSO ACTUAL'!A148</f>
        <v>2438</v>
      </c>
      <c r="B147" s="96">
        <f>'RECURSO ACTUAL'!F148</f>
        <v>46521</v>
      </c>
      <c r="C147" s="97" t="str">
        <f>'RECURSO ACTUAL'!B148</f>
        <v>02-Medellin</v>
      </c>
      <c r="D147" s="91">
        <f>VLOOKUP(A147,'Q LUB'!A:L,8,FALSE)</f>
        <v>46061</v>
      </c>
      <c r="E147" s="92">
        <f t="shared" si="2"/>
        <v>155</v>
      </c>
      <c r="F147" s="92">
        <f>VLOOKUP(A147,'Q LUB'!A:L,7,FALSE)</f>
        <v>5268</v>
      </c>
      <c r="G147" s="92">
        <f>VLOOKUP(A147,'Q LUB'!A:L,5,FALSE)</f>
        <v>180</v>
      </c>
      <c r="H147" s="92">
        <f>VLOOKUP(A147,'Q LUB'!A:L,4,FALSE)</f>
        <v>10000</v>
      </c>
      <c r="I147" s="92">
        <f t="shared" ref="I147:J147" si="149">G147-E147</f>
        <v>25</v>
      </c>
      <c r="J147" s="92">
        <f t="shared" si="149"/>
        <v>4732</v>
      </c>
      <c r="K147" s="97" t="str">
        <f t="shared" si="4"/>
        <v>VIGENTE</v>
      </c>
      <c r="L147" s="97" t="str">
        <f t="shared" si="5"/>
        <v>VIGENTE</v>
      </c>
      <c r="N147" s="99"/>
      <c r="O147" s="99"/>
      <c r="P147" s="99"/>
      <c r="Q147" s="99"/>
      <c r="R147" s="99"/>
      <c r="S147" s="99"/>
    </row>
    <row r="148">
      <c r="A148" s="95">
        <f>'RECURSO ACTUAL'!A149</f>
        <v>2437</v>
      </c>
      <c r="B148" s="96">
        <f>'RECURSO ACTUAL'!F149</f>
        <v>46528</v>
      </c>
      <c r="C148" s="97" t="str">
        <f>'RECURSO ACTUAL'!B149</f>
        <v>02-Medellin</v>
      </c>
      <c r="D148" s="91">
        <f>VLOOKUP(A148,'Q LUB'!A:L,8,FALSE)</f>
        <v>46006</v>
      </c>
      <c r="E148" s="92">
        <f t="shared" si="2"/>
        <v>210</v>
      </c>
      <c r="F148" s="92">
        <f>VLOOKUP(A148,'Q LUB'!A:L,7,FALSE)</f>
        <v>10543</v>
      </c>
      <c r="G148" s="92">
        <f>VLOOKUP(A148,'Q LUB'!A:L,5,FALSE)</f>
        <v>180</v>
      </c>
      <c r="H148" s="92">
        <f>VLOOKUP(A148,'Q LUB'!A:L,4,FALSE)</f>
        <v>10000</v>
      </c>
      <c r="I148" s="92">
        <f t="shared" ref="I148:J148" si="150">G148-E148</f>
        <v>-30</v>
      </c>
      <c r="J148" s="92">
        <f t="shared" si="150"/>
        <v>-543</v>
      </c>
      <c r="K148" s="97" t="str">
        <f t="shared" si="4"/>
        <v>PASADO</v>
      </c>
      <c r="L148" s="97" t="str">
        <f t="shared" si="5"/>
        <v>PASADO</v>
      </c>
      <c r="N148" s="99"/>
      <c r="O148" s="99"/>
      <c r="P148" s="99"/>
      <c r="Q148" s="99"/>
      <c r="R148" s="99"/>
      <c r="S148" s="99"/>
    </row>
    <row r="149">
      <c r="A149" s="95">
        <f>'RECURSO ACTUAL'!A150</f>
        <v>2436</v>
      </c>
      <c r="B149" s="96">
        <f>'RECURSO ACTUAL'!F150</f>
        <v>46558</v>
      </c>
      <c r="C149" s="97" t="str">
        <f>'RECURSO ACTUAL'!B150</f>
        <v>02-Medellin</v>
      </c>
      <c r="D149" s="91">
        <f>VLOOKUP(A149,'Q LUB'!A:L,8,FALSE)</f>
        <v>46070</v>
      </c>
      <c r="E149" s="92">
        <f t="shared" si="2"/>
        <v>146</v>
      </c>
      <c r="F149" s="92">
        <f>VLOOKUP(A149,'Q LUB'!A:L,7,FALSE)</f>
        <v>5274.6</v>
      </c>
      <c r="G149" s="92">
        <f>VLOOKUP(A149,'Q LUB'!A:L,5,FALSE)</f>
        <v>180</v>
      </c>
      <c r="H149" s="92">
        <f>VLOOKUP(A149,'Q LUB'!A:L,4,FALSE)</f>
        <v>10000</v>
      </c>
      <c r="I149" s="92">
        <f t="shared" ref="I149:J149" si="151">G149-E149</f>
        <v>34</v>
      </c>
      <c r="J149" s="92">
        <f t="shared" si="151"/>
        <v>4725.4</v>
      </c>
      <c r="K149" s="97" t="str">
        <f t="shared" si="4"/>
        <v>VIGENTE</v>
      </c>
      <c r="L149" s="97" t="str">
        <f t="shared" si="5"/>
        <v>VIGENTE</v>
      </c>
      <c r="N149" s="99"/>
      <c r="O149" s="99"/>
      <c r="P149" s="99"/>
      <c r="Q149" s="99"/>
      <c r="R149" s="99"/>
      <c r="S149" s="99"/>
    </row>
    <row r="150">
      <c r="A150" s="95">
        <f>'RECURSO ACTUAL'!A151</f>
        <v>2435</v>
      </c>
      <c r="B150" s="96">
        <f>'RECURSO ACTUAL'!F151</f>
        <v>46530</v>
      </c>
      <c r="C150" s="97" t="str">
        <f>'RECURSO ACTUAL'!B151</f>
        <v>02-Medellin</v>
      </c>
      <c r="D150" s="91">
        <f>VLOOKUP(A150,'Q LUB'!A:L,8,FALSE)</f>
        <v>46129</v>
      </c>
      <c r="E150" s="92">
        <f t="shared" si="2"/>
        <v>87</v>
      </c>
      <c r="F150" s="92">
        <f>VLOOKUP(A150,'Q LUB'!A:L,7,FALSE)</f>
        <v>2187</v>
      </c>
      <c r="G150" s="92">
        <f>VLOOKUP(A150,'Q LUB'!A:L,5,FALSE)</f>
        <v>180</v>
      </c>
      <c r="H150" s="92">
        <f>VLOOKUP(A150,'Q LUB'!A:L,4,FALSE)</f>
        <v>10000</v>
      </c>
      <c r="I150" s="92">
        <f t="shared" ref="I150:J150" si="152">G150-E150</f>
        <v>93</v>
      </c>
      <c r="J150" s="92">
        <f t="shared" si="152"/>
        <v>7813</v>
      </c>
      <c r="K150" s="97" t="str">
        <f t="shared" si="4"/>
        <v>VIGENTE</v>
      </c>
      <c r="L150" s="97" t="str">
        <f t="shared" si="5"/>
        <v>VIGENTE</v>
      </c>
      <c r="N150" s="99"/>
      <c r="O150" s="99"/>
      <c r="P150" s="99"/>
      <c r="Q150" s="99"/>
      <c r="R150" s="99"/>
      <c r="S150" s="99"/>
    </row>
    <row r="151">
      <c r="A151" s="95">
        <f>'RECURSO ACTUAL'!A152</f>
        <v>2432</v>
      </c>
      <c r="B151" s="96">
        <f>'RECURSO ACTUAL'!F152</f>
        <v>46571</v>
      </c>
      <c r="C151" s="97" t="str">
        <f>'RECURSO ACTUAL'!B152</f>
        <v>02-Medellin</v>
      </c>
      <c r="D151" s="91">
        <f>VLOOKUP(A151,'Q LUB'!A:L,8,FALSE)</f>
        <v>46157</v>
      </c>
      <c r="E151" s="92">
        <f t="shared" si="2"/>
        <v>59</v>
      </c>
      <c r="F151" s="92">
        <f>VLOOKUP(A151,'Q LUB'!A:L,7,FALSE)</f>
        <v>1134.7</v>
      </c>
      <c r="G151" s="92">
        <f>VLOOKUP(A151,'Q LUB'!A:L,5,FALSE)</f>
        <v>180</v>
      </c>
      <c r="H151" s="92">
        <f>VLOOKUP(A151,'Q LUB'!A:L,4,FALSE)</f>
        <v>10000</v>
      </c>
      <c r="I151" s="92">
        <f t="shared" ref="I151:J151" si="153">G151-E151</f>
        <v>121</v>
      </c>
      <c r="J151" s="92">
        <f t="shared" si="153"/>
        <v>8865.3</v>
      </c>
      <c r="K151" s="97" t="str">
        <f t="shared" si="4"/>
        <v>VIGENTE</v>
      </c>
      <c r="L151" s="97" t="str">
        <f t="shared" si="5"/>
        <v>VIGENTE</v>
      </c>
      <c r="N151" s="99"/>
      <c r="O151" s="99"/>
      <c r="P151" s="99"/>
      <c r="Q151" s="99"/>
      <c r="R151" s="99"/>
      <c r="S151" s="99"/>
    </row>
    <row r="152">
      <c r="A152" s="95">
        <f>'RECURSO ACTUAL'!A153</f>
        <v>2425</v>
      </c>
      <c r="B152" s="96">
        <f>'RECURSO ACTUAL'!F153</f>
        <v>46477</v>
      </c>
      <c r="C152" s="97" t="str">
        <f>'RECURSO ACTUAL'!B153</f>
        <v>BULTOS</v>
      </c>
      <c r="D152" s="91">
        <f>VLOOKUP(A152,'Q LUB'!A:L,8,FALSE)</f>
        <v>46027</v>
      </c>
      <c r="E152" s="92">
        <f t="shared" si="2"/>
        <v>189</v>
      </c>
      <c r="F152" s="92">
        <f>VLOOKUP(A152,'Q LUB'!A:L,7,FALSE)</f>
        <v>12668</v>
      </c>
      <c r="G152" s="92">
        <f>VLOOKUP(A152,'Q LUB'!A:L,5,FALSE)</f>
        <v>180</v>
      </c>
      <c r="H152" s="92">
        <f>VLOOKUP(A152,'Q LUB'!A:L,4,FALSE)</f>
        <v>10000</v>
      </c>
      <c r="I152" s="92">
        <f t="shared" ref="I152:J152" si="154">G152-E152</f>
        <v>-9</v>
      </c>
      <c r="J152" s="92">
        <f t="shared" si="154"/>
        <v>-2668</v>
      </c>
      <c r="K152" s="97" t="str">
        <f t="shared" si="4"/>
        <v>PASADO</v>
      </c>
      <c r="L152" s="97" t="str">
        <f t="shared" si="5"/>
        <v>PASADO</v>
      </c>
      <c r="N152" s="99"/>
      <c r="O152" s="99"/>
      <c r="P152" s="99"/>
      <c r="Q152" s="99"/>
      <c r="R152" s="99"/>
      <c r="S152" s="99"/>
    </row>
    <row r="153">
      <c r="A153" s="95">
        <f>'RECURSO ACTUAL'!A154</f>
        <v>2424</v>
      </c>
      <c r="B153" s="96">
        <f>'RECURSO ACTUAL'!F154</f>
        <v>46528</v>
      </c>
      <c r="C153" s="97" t="str">
        <f>'RECURSO ACTUAL'!B154</f>
        <v>02-Medellin</v>
      </c>
      <c r="D153" s="91">
        <f>VLOOKUP(A153,'Q LUB'!A:L,8,FALSE)</f>
        <v>46009</v>
      </c>
      <c r="E153" s="92">
        <f t="shared" si="2"/>
        <v>207</v>
      </c>
      <c r="F153" s="92">
        <f>VLOOKUP(A153,'Q LUB'!A:L,7,FALSE)</f>
        <v>7863</v>
      </c>
      <c r="G153" s="92">
        <f>VLOOKUP(A153,'Q LUB'!A:L,5,FALSE)</f>
        <v>180</v>
      </c>
      <c r="H153" s="92">
        <f>VLOOKUP(A153,'Q LUB'!A:L,4,FALSE)</f>
        <v>10000</v>
      </c>
      <c r="I153" s="92">
        <f t="shared" ref="I153:J153" si="155">G153-E153</f>
        <v>-27</v>
      </c>
      <c r="J153" s="92">
        <f t="shared" si="155"/>
        <v>2137</v>
      </c>
      <c r="K153" s="97" t="str">
        <f t="shared" si="4"/>
        <v>PASADO</v>
      </c>
      <c r="L153" s="97" t="str">
        <f t="shared" si="5"/>
        <v>VIGENTE</v>
      </c>
      <c r="N153" s="99"/>
      <c r="O153" s="99"/>
      <c r="P153" s="99"/>
      <c r="Q153" s="99"/>
      <c r="R153" s="99"/>
      <c r="S153" s="99"/>
    </row>
    <row r="154">
      <c r="A154" s="95">
        <f>'RECURSO ACTUAL'!A155</f>
        <v>2423</v>
      </c>
      <c r="B154" s="96">
        <f>'RECURSO ACTUAL'!F155</f>
        <v>46513</v>
      </c>
      <c r="C154" s="97" t="str">
        <f>'RECURSO ACTUAL'!B155</f>
        <v>02-Medellin</v>
      </c>
      <c r="D154" s="91">
        <f>VLOOKUP(A154,'Q LUB'!A:L,8,FALSE)</f>
        <v>46167</v>
      </c>
      <c r="E154" s="92">
        <f t="shared" si="2"/>
        <v>49</v>
      </c>
      <c r="F154" s="92">
        <f>VLOOKUP(A154,'Q LUB'!A:L,7,FALSE)</f>
        <v>2060</v>
      </c>
      <c r="G154" s="92">
        <f>VLOOKUP(A154,'Q LUB'!A:L,5,FALSE)</f>
        <v>180</v>
      </c>
      <c r="H154" s="92">
        <f>VLOOKUP(A154,'Q LUB'!A:L,4,FALSE)</f>
        <v>10000</v>
      </c>
      <c r="I154" s="92">
        <f t="shared" ref="I154:J154" si="156">G154-E154</f>
        <v>131</v>
      </c>
      <c r="J154" s="92">
        <f t="shared" si="156"/>
        <v>7940</v>
      </c>
      <c r="K154" s="97" t="str">
        <f t="shared" si="4"/>
        <v>VIGENTE</v>
      </c>
      <c r="L154" s="97" t="str">
        <f t="shared" si="5"/>
        <v>VIGENTE</v>
      </c>
      <c r="N154" s="99"/>
      <c r="O154" s="99"/>
      <c r="P154" s="99"/>
      <c r="Q154" s="99"/>
      <c r="R154" s="99"/>
      <c r="S154" s="99"/>
    </row>
    <row r="155">
      <c r="A155" s="95">
        <f>'RECURSO ACTUAL'!A156</f>
        <v>2422</v>
      </c>
      <c r="B155" s="96">
        <f>'RECURSO ACTUAL'!F156</f>
        <v>46471</v>
      </c>
      <c r="C155" s="97" t="str">
        <f>'RECURSO ACTUAL'!B156</f>
        <v>31-Copacabana QUIMICOS</v>
      </c>
      <c r="D155" s="91">
        <f>VLOOKUP(A155,'Q LUB'!A:L,8,FALSE)</f>
        <v>46156</v>
      </c>
      <c r="E155" s="92">
        <f t="shared" si="2"/>
        <v>60</v>
      </c>
      <c r="F155" s="92">
        <f>VLOOKUP(A155,'Q LUB'!A:L,7,FALSE)</f>
        <v>4655.9</v>
      </c>
      <c r="G155" s="92">
        <f>VLOOKUP(A155,'Q LUB'!A:L,5,FALSE)</f>
        <v>180</v>
      </c>
      <c r="H155" s="92">
        <f>VLOOKUP(A155,'Q LUB'!A:L,4,FALSE)</f>
        <v>10000</v>
      </c>
      <c r="I155" s="92">
        <f t="shared" ref="I155:J155" si="157">G155-E155</f>
        <v>120</v>
      </c>
      <c r="J155" s="92">
        <f t="shared" si="157"/>
        <v>5344.1</v>
      </c>
      <c r="K155" s="97" t="str">
        <f t="shared" si="4"/>
        <v>VIGENTE</v>
      </c>
      <c r="L155" s="97" t="str">
        <f t="shared" si="5"/>
        <v>VIGENTE</v>
      </c>
      <c r="N155" s="99"/>
      <c r="O155" s="99"/>
      <c r="P155" s="99"/>
      <c r="Q155" s="99"/>
      <c r="R155" s="99"/>
      <c r="S155" s="99"/>
    </row>
    <row r="156">
      <c r="A156" s="95">
        <f>'RECURSO ACTUAL'!A157</f>
        <v>2421</v>
      </c>
      <c r="B156" s="96">
        <f>'RECURSO ACTUAL'!F157</f>
        <v>46529</v>
      </c>
      <c r="C156" s="97" t="str">
        <f>'RECURSO ACTUAL'!B157</f>
        <v>02-Medellin</v>
      </c>
      <c r="D156" s="91">
        <f>VLOOKUP(A156,'Q LUB'!A:L,8,FALSE)</f>
        <v>46161</v>
      </c>
      <c r="E156" s="92">
        <f t="shared" si="2"/>
        <v>55</v>
      </c>
      <c r="F156" s="92">
        <f>VLOOKUP(A156,'Q LUB'!A:L,7,FALSE)</f>
        <v>1618.2</v>
      </c>
      <c r="G156" s="92">
        <f>VLOOKUP(A156,'Q LUB'!A:L,5,FALSE)</f>
        <v>180</v>
      </c>
      <c r="H156" s="92">
        <f>VLOOKUP(A156,'Q LUB'!A:L,4,FALSE)</f>
        <v>10000</v>
      </c>
      <c r="I156" s="92">
        <f t="shared" ref="I156:J156" si="158">G156-E156</f>
        <v>125</v>
      </c>
      <c r="J156" s="92">
        <f t="shared" si="158"/>
        <v>8381.8</v>
      </c>
      <c r="K156" s="97" t="str">
        <f t="shared" si="4"/>
        <v>VIGENTE</v>
      </c>
      <c r="L156" s="97" t="str">
        <f t="shared" si="5"/>
        <v>VIGENTE</v>
      </c>
      <c r="N156" s="99"/>
      <c r="O156" s="99"/>
      <c r="P156" s="99"/>
      <c r="Q156" s="99"/>
      <c r="R156" s="99"/>
      <c r="S156" s="99"/>
    </row>
    <row r="157">
      <c r="A157" s="95">
        <f>'RECURSO ACTUAL'!A158</f>
        <v>2419</v>
      </c>
      <c r="B157" s="96">
        <f>'RECURSO ACTUAL'!F158</f>
        <v>46528</v>
      </c>
      <c r="C157" s="97" t="str">
        <f>'RECURSO ACTUAL'!B158</f>
        <v>02-Medellin</v>
      </c>
      <c r="D157" s="91">
        <f>VLOOKUP(A157,'Q LUB'!A:L,8,FALSE)</f>
        <v>46139</v>
      </c>
      <c r="E157" s="92">
        <f t="shared" si="2"/>
        <v>77</v>
      </c>
      <c r="F157" s="92">
        <f>VLOOKUP(A157,'Q LUB'!A:L,7,FALSE)</f>
        <v>2406.1</v>
      </c>
      <c r="G157" s="92">
        <f>VLOOKUP(A157,'Q LUB'!A:L,5,FALSE)</f>
        <v>180</v>
      </c>
      <c r="H157" s="92">
        <f>VLOOKUP(A157,'Q LUB'!A:L,4,FALSE)</f>
        <v>10000</v>
      </c>
      <c r="I157" s="92">
        <f t="shared" ref="I157:J157" si="159">G157-E157</f>
        <v>103</v>
      </c>
      <c r="J157" s="92">
        <f t="shared" si="159"/>
        <v>7593.9</v>
      </c>
      <c r="K157" s="97" t="str">
        <f t="shared" si="4"/>
        <v>VIGENTE</v>
      </c>
      <c r="L157" s="97" t="str">
        <f t="shared" si="5"/>
        <v>VIGENTE</v>
      </c>
      <c r="N157" s="99"/>
      <c r="O157" s="99"/>
      <c r="P157" s="99"/>
      <c r="Q157" s="99"/>
      <c r="R157" s="99"/>
      <c r="S157" s="99"/>
    </row>
    <row r="158">
      <c r="A158" s="95">
        <f>'RECURSO ACTUAL'!A159</f>
        <v>2418</v>
      </c>
      <c r="B158" s="96">
        <f>'RECURSO ACTUAL'!F159</f>
        <v>46520</v>
      </c>
      <c r="C158" s="97" t="str">
        <f>'RECURSO ACTUAL'!B159</f>
        <v>02-Medellin</v>
      </c>
      <c r="D158" s="91">
        <f>VLOOKUP(A158,'Q LUB'!A:L,8,FALSE)</f>
        <v>46051</v>
      </c>
      <c r="E158" s="92">
        <f t="shared" si="2"/>
        <v>165</v>
      </c>
      <c r="F158" s="92">
        <f>VLOOKUP(A158,'Q LUB'!A:L,7,FALSE)</f>
        <v>2810.5</v>
      </c>
      <c r="G158" s="92">
        <f>VLOOKUP(A158,'Q LUB'!A:L,5,FALSE)</f>
        <v>180</v>
      </c>
      <c r="H158" s="92">
        <f>VLOOKUP(A158,'Q LUB'!A:L,4,FALSE)</f>
        <v>10000</v>
      </c>
      <c r="I158" s="92">
        <f t="shared" ref="I158:J158" si="160">G158-E158</f>
        <v>15</v>
      </c>
      <c r="J158" s="92">
        <f t="shared" si="160"/>
        <v>7189.5</v>
      </c>
      <c r="K158" s="97" t="str">
        <f t="shared" si="4"/>
        <v>VIGENTE</v>
      </c>
      <c r="L158" s="97" t="str">
        <f t="shared" si="5"/>
        <v>VIGENTE</v>
      </c>
      <c r="N158" s="99"/>
      <c r="O158" s="99"/>
      <c r="P158" s="99"/>
      <c r="Q158" s="99"/>
      <c r="R158" s="99"/>
      <c r="S158" s="99"/>
    </row>
    <row r="159">
      <c r="A159" s="95">
        <f>'RECURSO ACTUAL'!A160</f>
        <v>2414</v>
      </c>
      <c r="B159" s="96">
        <f>'RECURSO ACTUAL'!F160</f>
        <v>46549</v>
      </c>
      <c r="C159" s="97" t="str">
        <f>'RECURSO ACTUAL'!B160</f>
        <v>02-Medellin</v>
      </c>
      <c r="D159" s="91">
        <f>VLOOKUP(A159,'Q LUB'!A:L,8,FALSE)</f>
        <v>46128</v>
      </c>
      <c r="E159" s="92">
        <f t="shared" si="2"/>
        <v>88</v>
      </c>
      <c r="F159" s="92">
        <f>VLOOKUP(A159,'Q LUB'!A:L,7,FALSE)</f>
        <v>3277.8</v>
      </c>
      <c r="G159" s="92">
        <f>VLOOKUP(A159,'Q LUB'!A:L,5,FALSE)</f>
        <v>180</v>
      </c>
      <c r="H159" s="92">
        <f>VLOOKUP(A159,'Q LUB'!A:L,4,FALSE)</f>
        <v>10000</v>
      </c>
      <c r="I159" s="92">
        <f t="shared" ref="I159:J159" si="161">G159-E159</f>
        <v>92</v>
      </c>
      <c r="J159" s="92">
        <f t="shared" si="161"/>
        <v>6722.2</v>
      </c>
      <c r="K159" s="97" t="str">
        <f t="shared" si="4"/>
        <v>VIGENTE</v>
      </c>
      <c r="L159" s="97" t="str">
        <f t="shared" si="5"/>
        <v>VIGENTE</v>
      </c>
      <c r="N159" s="99"/>
      <c r="O159" s="99"/>
      <c r="P159" s="99"/>
      <c r="Q159" s="99"/>
      <c r="R159" s="99"/>
      <c r="S159" s="99"/>
    </row>
    <row r="160">
      <c r="A160" s="95">
        <f>'RECURSO ACTUAL'!A161</f>
        <v>2404</v>
      </c>
      <c r="B160" s="96">
        <f>'RECURSO ACTUAL'!F161</f>
        <v>46484</v>
      </c>
      <c r="C160" s="97" t="str">
        <f>'RECURSO ACTUAL'!B161</f>
        <v>02-Medellin</v>
      </c>
      <c r="D160" s="91">
        <f>VLOOKUP(A160,'Q LUB'!A:L,8,FALSE)</f>
        <v>46142</v>
      </c>
      <c r="E160" s="92">
        <f t="shared" si="2"/>
        <v>74</v>
      </c>
      <c r="F160" s="92">
        <f>VLOOKUP(A160,'Q LUB'!A:L,7,FALSE)</f>
        <v>1685.4</v>
      </c>
      <c r="G160" s="92">
        <f>VLOOKUP(A160,'Q LUB'!A:L,5,FALSE)</f>
        <v>180</v>
      </c>
      <c r="H160" s="92">
        <f>VLOOKUP(A160,'Q LUB'!A:L,4,FALSE)</f>
        <v>10000</v>
      </c>
      <c r="I160" s="92">
        <f t="shared" ref="I160:J160" si="162">G160-E160</f>
        <v>106</v>
      </c>
      <c r="J160" s="92">
        <f t="shared" si="162"/>
        <v>8314.6</v>
      </c>
      <c r="K160" s="97" t="str">
        <f t="shared" si="4"/>
        <v>VIGENTE</v>
      </c>
      <c r="L160" s="97" t="str">
        <f t="shared" si="5"/>
        <v>VIGENTE</v>
      </c>
      <c r="N160" s="99"/>
      <c r="O160" s="99"/>
      <c r="P160" s="99"/>
      <c r="Q160" s="99"/>
      <c r="R160" s="99"/>
      <c r="S160" s="99"/>
    </row>
    <row r="161">
      <c r="A161" s="95">
        <f>'RECURSO ACTUAL'!A162</f>
        <v>2403</v>
      </c>
      <c r="B161" s="96">
        <f>'RECURSO ACTUAL'!F162</f>
        <v>46457</v>
      </c>
      <c r="C161" s="97" t="str">
        <f>'RECURSO ACTUAL'!B162</f>
        <v>BULTOS</v>
      </c>
      <c r="D161" s="91">
        <f>VLOOKUP(A161,'Q LUB'!A:L,8,FALSE)</f>
        <v>46090</v>
      </c>
      <c r="E161" s="92">
        <f t="shared" si="2"/>
        <v>126</v>
      </c>
      <c r="F161" s="92">
        <f>VLOOKUP(A161,'Q LUB'!A:L,7,FALSE)</f>
        <v>6302.9</v>
      </c>
      <c r="G161" s="92">
        <f>VLOOKUP(A161,'Q LUB'!A:L,5,FALSE)</f>
        <v>180</v>
      </c>
      <c r="H161" s="92">
        <f>VLOOKUP(A161,'Q LUB'!A:L,4,FALSE)</f>
        <v>10000</v>
      </c>
      <c r="I161" s="92">
        <f t="shared" ref="I161:J161" si="163">G161-E161</f>
        <v>54</v>
      </c>
      <c r="J161" s="92">
        <f t="shared" si="163"/>
        <v>3697.1</v>
      </c>
      <c r="K161" s="97" t="str">
        <f t="shared" si="4"/>
        <v>VIGENTE</v>
      </c>
      <c r="L161" s="97" t="str">
        <f t="shared" si="5"/>
        <v>VIGENTE</v>
      </c>
      <c r="N161" s="99"/>
      <c r="O161" s="99"/>
      <c r="P161" s="99"/>
      <c r="Q161" s="99"/>
      <c r="R161" s="99"/>
      <c r="S161" s="99"/>
    </row>
    <row r="162">
      <c r="A162" s="95">
        <f>'RECURSO ACTUAL'!A163</f>
        <v>2402</v>
      </c>
      <c r="B162" s="96">
        <f>'RECURSO ACTUAL'!F163</f>
        <v>46514</v>
      </c>
      <c r="C162" s="97" t="str">
        <f>'RECURSO ACTUAL'!B163</f>
        <v>MAYORCA</v>
      </c>
      <c r="D162" s="91">
        <f>VLOOKUP(A162,'Q LUB'!A:L,8,FALSE)</f>
        <v>46085</v>
      </c>
      <c r="E162" s="92">
        <f t="shared" si="2"/>
        <v>131</v>
      </c>
      <c r="F162" s="92">
        <f>VLOOKUP(A162,'Q LUB'!A:L,7,FALSE)</f>
        <v>4380.1</v>
      </c>
      <c r="G162" s="92">
        <f>VLOOKUP(A162,'Q LUB'!A:L,5,FALSE)</f>
        <v>180</v>
      </c>
      <c r="H162" s="92">
        <f>VLOOKUP(A162,'Q LUB'!A:L,4,FALSE)</f>
        <v>10000</v>
      </c>
      <c r="I162" s="92">
        <f t="shared" ref="I162:J162" si="164">G162-E162</f>
        <v>49</v>
      </c>
      <c r="J162" s="92">
        <f t="shared" si="164"/>
        <v>5619.9</v>
      </c>
      <c r="K162" s="97" t="str">
        <f t="shared" si="4"/>
        <v>VIGENTE</v>
      </c>
      <c r="L162" s="97" t="str">
        <f t="shared" si="5"/>
        <v>VIGENTE</v>
      </c>
      <c r="N162" s="99"/>
      <c r="O162" s="99"/>
      <c r="P162" s="99"/>
      <c r="Q162" s="99"/>
      <c r="R162" s="99"/>
      <c r="S162" s="99"/>
    </row>
    <row r="163">
      <c r="A163" s="95">
        <f>'RECURSO ACTUAL'!A164</f>
        <v>2400</v>
      </c>
      <c r="B163" s="96">
        <f>'RECURSO ACTUAL'!F164</f>
        <v>46542</v>
      </c>
      <c r="C163" s="97" t="str">
        <f>'RECURSO ACTUAL'!B164</f>
        <v>MAYORCA</v>
      </c>
      <c r="D163" s="91">
        <f>VLOOKUP(A163,'Q LUB'!A:L,8,FALSE)</f>
        <v>46079</v>
      </c>
      <c r="E163" s="92">
        <f t="shared" si="2"/>
        <v>137</v>
      </c>
      <c r="F163" s="92">
        <f>VLOOKUP(A163,'Q LUB'!A:L,7,FALSE)</f>
        <v>2423</v>
      </c>
      <c r="G163" s="92">
        <f>VLOOKUP(A163,'Q LUB'!A:L,5,FALSE)</f>
        <v>180</v>
      </c>
      <c r="H163" s="92">
        <f>VLOOKUP(A163,'Q LUB'!A:L,4,FALSE)</f>
        <v>10000</v>
      </c>
      <c r="I163" s="92">
        <f t="shared" ref="I163:J163" si="165">G163-E163</f>
        <v>43</v>
      </c>
      <c r="J163" s="92">
        <f t="shared" si="165"/>
        <v>7577</v>
      </c>
      <c r="K163" s="97" t="str">
        <f t="shared" si="4"/>
        <v>VIGENTE</v>
      </c>
      <c r="L163" s="97" t="str">
        <f t="shared" si="5"/>
        <v>VIGENTE</v>
      </c>
      <c r="N163" s="99"/>
      <c r="O163" s="99"/>
      <c r="P163" s="99"/>
      <c r="Q163" s="99"/>
      <c r="R163" s="99"/>
      <c r="S163" s="99"/>
    </row>
    <row r="164">
      <c r="A164" s="95">
        <f>'RECURSO ACTUAL'!A165</f>
        <v>2395</v>
      </c>
      <c r="B164" s="96">
        <f>'RECURSO ACTUAL'!F165</f>
        <v>46446</v>
      </c>
      <c r="C164" s="97" t="str">
        <f>'RECURSO ACTUAL'!B165</f>
        <v>02-Medellin</v>
      </c>
      <c r="D164" s="91">
        <f>VLOOKUP(A164,'Q LUB'!A:L,8,FALSE)</f>
        <v>46127</v>
      </c>
      <c r="E164" s="92">
        <f t="shared" si="2"/>
        <v>89</v>
      </c>
      <c r="F164" s="92">
        <f>VLOOKUP(A164,'Q LUB'!A:L,7,FALSE)</f>
        <v>3162</v>
      </c>
      <c r="G164" s="92">
        <f>VLOOKUP(A164,'Q LUB'!A:L,5,FALSE)</f>
        <v>180</v>
      </c>
      <c r="H164" s="92">
        <f>VLOOKUP(A164,'Q LUB'!A:L,4,FALSE)</f>
        <v>10000</v>
      </c>
      <c r="I164" s="92">
        <f t="shared" ref="I164:J164" si="166">G164-E164</f>
        <v>91</v>
      </c>
      <c r="J164" s="92">
        <f t="shared" si="166"/>
        <v>6838</v>
      </c>
      <c r="K164" s="97" t="str">
        <f t="shared" si="4"/>
        <v>VIGENTE</v>
      </c>
      <c r="L164" s="97" t="str">
        <f t="shared" si="5"/>
        <v>VIGENTE</v>
      </c>
      <c r="N164" s="99"/>
      <c r="O164" s="99"/>
      <c r="P164" s="99"/>
      <c r="Q164" s="99"/>
      <c r="R164" s="99"/>
      <c r="S164" s="99"/>
    </row>
    <row r="165">
      <c r="A165" s="95">
        <f>'RECURSO ACTUAL'!A166</f>
        <v>2394</v>
      </c>
      <c r="B165" s="96">
        <f>'RECURSO ACTUAL'!F166</f>
        <v>46467</v>
      </c>
      <c r="C165" s="97" t="str">
        <f>'RECURSO ACTUAL'!B166</f>
        <v>MAYORCA</v>
      </c>
      <c r="D165" s="91">
        <f>VLOOKUP(A165,'Q LUB'!A:L,8,FALSE)</f>
        <v>46042</v>
      </c>
      <c r="E165" s="92">
        <f t="shared" si="2"/>
        <v>174</v>
      </c>
      <c r="F165" s="92">
        <f>VLOOKUP(A165,'Q LUB'!A:L,7,FALSE)</f>
        <v>4891.8</v>
      </c>
      <c r="G165" s="92">
        <f>VLOOKUP(A165,'Q LUB'!A:L,5,FALSE)</f>
        <v>180</v>
      </c>
      <c r="H165" s="92">
        <f>VLOOKUP(A165,'Q LUB'!A:L,4,FALSE)</f>
        <v>10000</v>
      </c>
      <c r="I165" s="92">
        <f t="shared" ref="I165:J165" si="167">G165-E165</f>
        <v>6</v>
      </c>
      <c r="J165" s="92">
        <f t="shared" si="167"/>
        <v>5108.2</v>
      </c>
      <c r="K165" s="97" t="str">
        <f t="shared" si="4"/>
        <v>PRÓXIMO</v>
      </c>
      <c r="L165" s="97" t="str">
        <f t="shared" si="5"/>
        <v>VIGENTE</v>
      </c>
      <c r="N165" s="99"/>
      <c r="O165" s="99"/>
      <c r="P165" s="99"/>
      <c r="Q165" s="99"/>
      <c r="R165" s="99"/>
      <c r="S165" s="99"/>
    </row>
    <row r="166">
      <c r="A166" s="95">
        <f>'RECURSO ACTUAL'!A167</f>
        <v>2393</v>
      </c>
      <c r="B166" s="96">
        <f>'RECURSO ACTUAL'!F167</f>
        <v>46559</v>
      </c>
      <c r="C166" s="97" t="str">
        <f>'RECURSO ACTUAL'!B167</f>
        <v>MAYORCA</v>
      </c>
      <c r="D166" s="91">
        <f>VLOOKUP(A166,'Q LUB'!A:L,8,FALSE)</f>
        <v>46161</v>
      </c>
      <c r="E166" s="92">
        <f t="shared" si="2"/>
        <v>55</v>
      </c>
      <c r="F166" s="92">
        <f>VLOOKUP(A166,'Q LUB'!A:L,7,FALSE)</f>
        <v>1793.3</v>
      </c>
      <c r="G166" s="92">
        <f>VLOOKUP(A166,'Q LUB'!A:L,5,FALSE)</f>
        <v>180</v>
      </c>
      <c r="H166" s="92">
        <f>VLOOKUP(A166,'Q LUB'!A:L,4,FALSE)</f>
        <v>10000</v>
      </c>
      <c r="I166" s="92">
        <f t="shared" ref="I166:J166" si="168">G166-E166</f>
        <v>125</v>
      </c>
      <c r="J166" s="92">
        <f t="shared" si="168"/>
        <v>8206.7</v>
      </c>
      <c r="K166" s="97" t="str">
        <f t="shared" si="4"/>
        <v>VIGENTE</v>
      </c>
      <c r="L166" s="97" t="str">
        <f t="shared" si="5"/>
        <v>VIGENTE</v>
      </c>
      <c r="N166" s="99"/>
      <c r="O166" s="99"/>
      <c r="P166" s="99"/>
      <c r="Q166" s="99"/>
      <c r="R166" s="99"/>
      <c r="S166" s="99"/>
    </row>
    <row r="167">
      <c r="A167" s="95">
        <f>'RECURSO ACTUAL'!A168</f>
        <v>2392</v>
      </c>
      <c r="B167" s="96">
        <f>'RECURSO ACTUAL'!F168</f>
        <v>46548</v>
      </c>
      <c r="C167" s="97" t="str">
        <f>'RECURSO ACTUAL'!B168</f>
        <v>02-Medellin</v>
      </c>
      <c r="D167" s="91">
        <f>VLOOKUP(A167,'Q LUB'!A:L,8,FALSE)</f>
        <v>45980</v>
      </c>
      <c r="E167" s="92">
        <f t="shared" si="2"/>
        <v>236</v>
      </c>
      <c r="F167" s="92">
        <f>VLOOKUP(A167,'Q LUB'!A:L,7,FALSE)</f>
        <v>8295.7</v>
      </c>
      <c r="G167" s="92">
        <f>VLOOKUP(A167,'Q LUB'!A:L,5,FALSE)</f>
        <v>180</v>
      </c>
      <c r="H167" s="92">
        <f>VLOOKUP(A167,'Q LUB'!A:L,4,FALSE)</f>
        <v>10000</v>
      </c>
      <c r="I167" s="92">
        <f t="shared" ref="I167:J167" si="169">G167-E167</f>
        <v>-56</v>
      </c>
      <c r="J167" s="92">
        <f t="shared" si="169"/>
        <v>1704.3</v>
      </c>
      <c r="K167" s="97" t="str">
        <f t="shared" si="4"/>
        <v>PASADO</v>
      </c>
      <c r="L167" s="97" t="str">
        <f t="shared" si="5"/>
        <v>VIGENTE</v>
      </c>
      <c r="N167" s="99"/>
      <c r="O167" s="99"/>
      <c r="P167" s="99"/>
      <c r="Q167" s="99"/>
      <c r="R167" s="99"/>
      <c r="S167" s="99"/>
    </row>
    <row r="168">
      <c r="A168" s="95">
        <f>'RECURSO ACTUAL'!A169</f>
        <v>2391</v>
      </c>
      <c r="B168" s="96">
        <f>'RECURSO ACTUAL'!F169</f>
        <v>46527</v>
      </c>
      <c r="C168" s="97" t="str">
        <f>'RECURSO ACTUAL'!B169</f>
        <v>02-Medellin</v>
      </c>
      <c r="D168" s="91">
        <f>VLOOKUP(A168,'Q LUB'!A:L,8,FALSE)</f>
        <v>46126</v>
      </c>
      <c r="E168" s="92">
        <f t="shared" si="2"/>
        <v>90</v>
      </c>
      <c r="F168" s="92">
        <f>VLOOKUP(A168,'Q LUB'!A:L,7,FALSE)</f>
        <v>3031.3</v>
      </c>
      <c r="G168" s="92">
        <f>VLOOKUP(A168,'Q LUB'!A:L,5,FALSE)</f>
        <v>180</v>
      </c>
      <c r="H168" s="92">
        <f>VLOOKUP(A168,'Q LUB'!A:L,4,FALSE)</f>
        <v>10000</v>
      </c>
      <c r="I168" s="92">
        <f t="shared" ref="I168:J168" si="170">G168-E168</f>
        <v>90</v>
      </c>
      <c r="J168" s="92">
        <f t="shared" si="170"/>
        <v>6968.7</v>
      </c>
      <c r="K168" s="97" t="str">
        <f t="shared" si="4"/>
        <v>VIGENTE</v>
      </c>
      <c r="L168" s="97" t="str">
        <f t="shared" si="5"/>
        <v>VIGENTE</v>
      </c>
      <c r="N168" s="99"/>
      <c r="O168" s="99"/>
      <c r="P168" s="99"/>
      <c r="Q168" s="99"/>
      <c r="R168" s="99"/>
      <c r="S168" s="99"/>
    </row>
    <row r="169">
      <c r="A169" s="95">
        <f>'RECURSO ACTUAL'!A170</f>
        <v>2390</v>
      </c>
      <c r="B169" s="96">
        <f>'RECURSO ACTUAL'!F170</f>
        <v>46544</v>
      </c>
      <c r="C169" s="97" t="str">
        <f>'RECURSO ACTUAL'!B170</f>
        <v>MAYORCA</v>
      </c>
      <c r="D169" s="91">
        <f>VLOOKUP(A169,'Q LUB'!A:L,8,FALSE)</f>
        <v>46161</v>
      </c>
      <c r="E169" s="92">
        <f t="shared" si="2"/>
        <v>55</v>
      </c>
      <c r="F169" s="92">
        <f>VLOOKUP(A169,'Q LUB'!A:L,7,FALSE)</f>
        <v>2153.1</v>
      </c>
      <c r="G169" s="92">
        <f>VLOOKUP(A169,'Q LUB'!A:L,5,FALSE)</f>
        <v>180</v>
      </c>
      <c r="H169" s="92">
        <f>VLOOKUP(A169,'Q LUB'!A:L,4,FALSE)</f>
        <v>10000</v>
      </c>
      <c r="I169" s="92">
        <f t="shared" ref="I169:J169" si="171">G169-E169</f>
        <v>125</v>
      </c>
      <c r="J169" s="92">
        <f t="shared" si="171"/>
        <v>7846.9</v>
      </c>
      <c r="K169" s="97" t="str">
        <f t="shared" si="4"/>
        <v>VIGENTE</v>
      </c>
      <c r="L169" s="97" t="str">
        <f t="shared" si="5"/>
        <v>VIGENTE</v>
      </c>
      <c r="N169" s="99"/>
      <c r="O169" s="99"/>
      <c r="P169" s="99"/>
      <c r="Q169" s="99"/>
      <c r="R169" s="99"/>
      <c r="S169" s="99"/>
    </row>
    <row r="170">
      <c r="A170" s="95">
        <f>'RECURSO ACTUAL'!A171</f>
        <v>2389</v>
      </c>
      <c r="B170" s="96">
        <f>'RECURSO ACTUAL'!F171</f>
        <v>46527</v>
      </c>
      <c r="C170" s="97" t="str">
        <f>'RECURSO ACTUAL'!B171</f>
        <v>24-Rionegro</v>
      </c>
      <c r="D170" s="91">
        <f>VLOOKUP(A170,'Q LUB'!A:L,8,FALSE)</f>
        <v>46111</v>
      </c>
      <c r="E170" s="92">
        <f t="shared" si="2"/>
        <v>105</v>
      </c>
      <c r="F170" s="92">
        <f>VLOOKUP(A170,'Q LUB'!A:L,7,FALSE)</f>
        <v>6110.2</v>
      </c>
      <c r="G170" s="92">
        <f>VLOOKUP(A170,'Q LUB'!A:L,5,FALSE)</f>
        <v>180</v>
      </c>
      <c r="H170" s="92">
        <f>VLOOKUP(A170,'Q LUB'!A:L,4,FALSE)</f>
        <v>10000</v>
      </c>
      <c r="I170" s="92">
        <f t="shared" ref="I170:J170" si="172">G170-E170</f>
        <v>75</v>
      </c>
      <c r="J170" s="92">
        <f t="shared" si="172"/>
        <v>3889.8</v>
      </c>
      <c r="K170" s="97" t="str">
        <f t="shared" si="4"/>
        <v>VIGENTE</v>
      </c>
      <c r="L170" s="97" t="str">
        <f t="shared" si="5"/>
        <v>VIGENTE</v>
      </c>
      <c r="N170" s="99"/>
      <c r="O170" s="99"/>
      <c r="P170" s="99"/>
      <c r="Q170" s="99"/>
      <c r="R170" s="99"/>
      <c r="S170" s="99"/>
    </row>
    <row r="171">
      <c r="A171" s="95">
        <f>'RECURSO ACTUAL'!A172</f>
        <v>2388</v>
      </c>
      <c r="B171" s="96">
        <f>'RECURSO ACTUAL'!F172</f>
        <v>46466</v>
      </c>
      <c r="C171" s="97" t="str">
        <f>'RECURSO ACTUAL'!B172</f>
        <v>02-Medellin</v>
      </c>
      <c r="D171" s="91">
        <f>VLOOKUP(A171,'Q LUB'!A:L,8,FALSE)</f>
        <v>46161</v>
      </c>
      <c r="E171" s="92">
        <f t="shared" si="2"/>
        <v>55</v>
      </c>
      <c r="F171" s="92">
        <f>VLOOKUP(A171,'Q LUB'!A:L,7,FALSE)</f>
        <v>1235.4</v>
      </c>
      <c r="G171" s="92">
        <f>VLOOKUP(A171,'Q LUB'!A:L,5,FALSE)</f>
        <v>180</v>
      </c>
      <c r="H171" s="92">
        <f>VLOOKUP(A171,'Q LUB'!A:L,4,FALSE)</f>
        <v>10000</v>
      </c>
      <c r="I171" s="92">
        <f t="shared" ref="I171:J171" si="173">G171-E171</f>
        <v>125</v>
      </c>
      <c r="J171" s="92">
        <f t="shared" si="173"/>
        <v>8764.6</v>
      </c>
      <c r="K171" s="97" t="str">
        <f t="shared" si="4"/>
        <v>VIGENTE</v>
      </c>
      <c r="L171" s="97" t="str">
        <f t="shared" si="5"/>
        <v>VIGENTE</v>
      </c>
      <c r="N171" s="99"/>
      <c r="O171" s="99"/>
      <c r="P171" s="99"/>
      <c r="Q171" s="99"/>
      <c r="R171" s="99"/>
      <c r="S171" s="99"/>
    </row>
    <row r="172">
      <c r="A172" s="95">
        <f>'RECURSO ACTUAL'!A173</f>
        <v>2387</v>
      </c>
      <c r="B172" s="96">
        <f>'RECURSO ACTUAL'!F173</f>
        <v>46466</v>
      </c>
      <c r="C172" s="97" t="str">
        <f>'RECURSO ACTUAL'!B173</f>
        <v>BULTOS</v>
      </c>
      <c r="D172" s="91">
        <f>VLOOKUP(A172,'Q LUB'!A:L,8,FALSE)</f>
        <v>46109</v>
      </c>
      <c r="E172" s="92">
        <f t="shared" si="2"/>
        <v>107</v>
      </c>
      <c r="F172" s="92">
        <f>VLOOKUP(A172,'Q LUB'!A:L,7,FALSE)</f>
        <v>5804.9</v>
      </c>
      <c r="G172" s="92">
        <f>VLOOKUP(A172,'Q LUB'!A:L,5,FALSE)</f>
        <v>180</v>
      </c>
      <c r="H172" s="92">
        <f>VLOOKUP(A172,'Q LUB'!A:L,4,FALSE)</f>
        <v>10000</v>
      </c>
      <c r="I172" s="92">
        <f t="shared" ref="I172:J172" si="174">G172-E172</f>
        <v>73</v>
      </c>
      <c r="J172" s="92">
        <f t="shared" si="174"/>
        <v>4195.1</v>
      </c>
      <c r="K172" s="97" t="str">
        <f t="shared" si="4"/>
        <v>VIGENTE</v>
      </c>
      <c r="L172" s="97" t="str">
        <f t="shared" si="5"/>
        <v>VIGENTE</v>
      </c>
      <c r="N172" s="99"/>
      <c r="O172" s="99"/>
      <c r="P172" s="99"/>
      <c r="Q172" s="99"/>
      <c r="R172" s="99"/>
      <c r="S172" s="99"/>
    </row>
    <row r="173">
      <c r="A173" s="95">
        <f>'RECURSO ACTUAL'!A174</f>
        <v>2385</v>
      </c>
      <c r="B173" s="96">
        <f>'RECURSO ACTUAL'!F174</f>
        <v>46463</v>
      </c>
      <c r="C173" s="97" t="str">
        <f>'RECURSO ACTUAL'!B174</f>
        <v>02-Medellin</v>
      </c>
      <c r="D173" s="91">
        <f>VLOOKUP(A173,'Q LUB'!A:L,8,FALSE)</f>
        <v>46139</v>
      </c>
      <c r="E173" s="92">
        <f t="shared" si="2"/>
        <v>77</v>
      </c>
      <c r="F173" s="92">
        <f>VLOOKUP(A173,'Q LUB'!A:L,7,FALSE)</f>
        <v>1318.2</v>
      </c>
      <c r="G173" s="92">
        <f>VLOOKUP(A173,'Q LUB'!A:L,5,FALSE)</f>
        <v>180</v>
      </c>
      <c r="H173" s="92">
        <f>VLOOKUP(A173,'Q LUB'!A:L,4,FALSE)</f>
        <v>10000</v>
      </c>
      <c r="I173" s="92">
        <f t="shared" ref="I173:J173" si="175">G173-E173</f>
        <v>103</v>
      </c>
      <c r="J173" s="92">
        <f t="shared" si="175"/>
        <v>8681.8</v>
      </c>
      <c r="K173" s="97" t="str">
        <f t="shared" si="4"/>
        <v>VIGENTE</v>
      </c>
      <c r="L173" s="97" t="str">
        <f t="shared" si="5"/>
        <v>VIGENTE</v>
      </c>
      <c r="N173" s="99"/>
      <c r="O173" s="99"/>
      <c r="P173" s="99"/>
      <c r="Q173" s="99"/>
      <c r="R173" s="99"/>
      <c r="S173" s="99"/>
    </row>
    <row r="174">
      <c r="A174" s="95">
        <f>'RECURSO ACTUAL'!A175</f>
        <v>2384</v>
      </c>
      <c r="B174" s="96">
        <f>'RECURSO ACTUAL'!F175</f>
        <v>46571</v>
      </c>
      <c r="C174" s="97" t="str">
        <f>'RECURSO ACTUAL'!B175</f>
        <v>02-Medellin</v>
      </c>
      <c r="D174" s="91">
        <f>VLOOKUP(A174,'Q LUB'!A:L,8,FALSE)</f>
        <v>46029</v>
      </c>
      <c r="E174" s="92">
        <f t="shared" si="2"/>
        <v>187</v>
      </c>
      <c r="F174" s="92">
        <f>VLOOKUP(A174,'Q LUB'!A:L,7,FALSE)</f>
        <v>7091.7</v>
      </c>
      <c r="G174" s="92">
        <f>VLOOKUP(A174,'Q LUB'!A:L,5,FALSE)</f>
        <v>180</v>
      </c>
      <c r="H174" s="92">
        <f>VLOOKUP(A174,'Q LUB'!A:L,4,FALSE)</f>
        <v>10000</v>
      </c>
      <c r="I174" s="92">
        <f t="shared" ref="I174:J174" si="176">G174-E174</f>
        <v>-7</v>
      </c>
      <c r="J174" s="92">
        <f t="shared" si="176"/>
        <v>2908.3</v>
      </c>
      <c r="K174" s="97" t="str">
        <f t="shared" si="4"/>
        <v>PASADO</v>
      </c>
      <c r="L174" s="97" t="str">
        <f t="shared" si="5"/>
        <v>VIGENTE</v>
      </c>
      <c r="N174" s="99"/>
      <c r="O174" s="99"/>
      <c r="P174" s="99"/>
      <c r="Q174" s="99"/>
      <c r="R174" s="99"/>
      <c r="S174" s="99"/>
    </row>
    <row r="175">
      <c r="A175" s="95">
        <f>'RECURSO ACTUAL'!A176</f>
        <v>2379</v>
      </c>
      <c r="B175" s="96">
        <f>'RECURSO ACTUAL'!F176</f>
        <v>46457</v>
      </c>
      <c r="C175" s="97" t="str">
        <f>'RECURSO ACTUAL'!B176</f>
        <v>31-Copacabana QUIMICOS</v>
      </c>
      <c r="D175" s="91">
        <f>VLOOKUP(A175,'Q LUB'!A:L,8,FALSE)</f>
        <v>46150</v>
      </c>
      <c r="E175" s="92">
        <f t="shared" si="2"/>
        <v>66</v>
      </c>
      <c r="F175" s="92">
        <f>VLOOKUP(A175,'Q LUB'!A:L,7,FALSE)</f>
        <v>4798</v>
      </c>
      <c r="G175" s="92">
        <f>VLOOKUP(A175,'Q LUB'!A:L,5,FALSE)</f>
        <v>180</v>
      </c>
      <c r="H175" s="92">
        <f>VLOOKUP(A175,'Q LUB'!A:L,4,FALSE)</f>
        <v>10000</v>
      </c>
      <c r="I175" s="92">
        <f t="shared" ref="I175:J175" si="177">G175-E175</f>
        <v>114</v>
      </c>
      <c r="J175" s="92">
        <f t="shared" si="177"/>
        <v>5202</v>
      </c>
      <c r="K175" s="97" t="str">
        <f t="shared" si="4"/>
        <v>VIGENTE</v>
      </c>
      <c r="L175" s="97" t="str">
        <f t="shared" si="5"/>
        <v>VIGENTE</v>
      </c>
      <c r="N175" s="99"/>
      <c r="O175" s="99"/>
      <c r="P175" s="99"/>
      <c r="Q175" s="99"/>
      <c r="R175" s="99"/>
      <c r="S175" s="99"/>
    </row>
    <row r="176">
      <c r="A176" s="95">
        <f>'RECURSO ACTUAL'!A177</f>
        <v>2378</v>
      </c>
      <c r="B176" s="96">
        <f>'RECURSO ACTUAL'!F177</f>
        <v>46542</v>
      </c>
      <c r="C176" s="97" t="str">
        <f>'RECURSO ACTUAL'!B177</f>
        <v>MAYORCA</v>
      </c>
      <c r="D176" s="91">
        <f>VLOOKUP(A176,'Q LUB'!A:L,8,FALSE)</f>
        <v>46167</v>
      </c>
      <c r="E176" s="92">
        <f t="shared" si="2"/>
        <v>49</v>
      </c>
      <c r="F176" s="92">
        <f>VLOOKUP(A176,'Q LUB'!A:L,7,FALSE)</f>
        <v>1100.3</v>
      </c>
      <c r="G176" s="92">
        <f>VLOOKUP(A176,'Q LUB'!A:L,5,FALSE)</f>
        <v>180</v>
      </c>
      <c r="H176" s="92">
        <f>VLOOKUP(A176,'Q LUB'!A:L,4,FALSE)</f>
        <v>10000</v>
      </c>
      <c r="I176" s="92">
        <f t="shared" ref="I176:J176" si="178">G176-E176</f>
        <v>131</v>
      </c>
      <c r="J176" s="92">
        <f t="shared" si="178"/>
        <v>8899.7</v>
      </c>
      <c r="K176" s="97" t="str">
        <f t="shared" si="4"/>
        <v>VIGENTE</v>
      </c>
      <c r="L176" s="97" t="str">
        <f t="shared" si="5"/>
        <v>VIGENTE</v>
      </c>
      <c r="N176" s="99"/>
      <c r="O176" s="99"/>
      <c r="P176" s="99"/>
      <c r="Q176" s="99"/>
      <c r="R176" s="99"/>
      <c r="S176" s="99"/>
    </row>
    <row r="177">
      <c r="A177" s="95">
        <f>'RECURSO ACTUAL'!A178</f>
        <v>2376</v>
      </c>
      <c r="B177" s="96">
        <f>'RECURSO ACTUAL'!F178</f>
        <v>46540</v>
      </c>
      <c r="C177" s="97" t="str">
        <f>'RECURSO ACTUAL'!B178</f>
        <v>02-Medellin</v>
      </c>
      <c r="D177" s="91">
        <f>VLOOKUP(A177,'Q LUB'!A:L,8,FALSE)</f>
        <v>46084</v>
      </c>
      <c r="E177" s="92">
        <f t="shared" si="2"/>
        <v>132</v>
      </c>
      <c r="F177" s="92">
        <f>VLOOKUP(A177,'Q LUB'!A:L,7,FALSE)</f>
        <v>2356.5</v>
      </c>
      <c r="G177" s="92">
        <f>VLOOKUP(A177,'Q LUB'!A:L,5,FALSE)</f>
        <v>180</v>
      </c>
      <c r="H177" s="92">
        <f>VLOOKUP(A177,'Q LUB'!A:L,4,FALSE)</f>
        <v>10000</v>
      </c>
      <c r="I177" s="92">
        <f t="shared" ref="I177:J177" si="179">G177-E177</f>
        <v>48</v>
      </c>
      <c r="J177" s="92">
        <f t="shared" si="179"/>
        <v>7643.5</v>
      </c>
      <c r="K177" s="97" t="str">
        <f t="shared" si="4"/>
        <v>VIGENTE</v>
      </c>
      <c r="L177" s="97" t="str">
        <f t="shared" si="5"/>
        <v>VIGENTE</v>
      </c>
      <c r="N177" s="99"/>
      <c r="O177" s="99"/>
      <c r="P177" s="99"/>
      <c r="Q177" s="99"/>
      <c r="R177" s="99"/>
      <c r="S177" s="99"/>
    </row>
    <row r="178">
      <c r="A178" s="95">
        <f>'RECURSO ACTUAL'!A179</f>
        <v>2374</v>
      </c>
      <c r="B178" s="96">
        <f>'RECURSO ACTUAL'!F179</f>
        <v>46460</v>
      </c>
      <c r="C178" s="97" t="str">
        <f>'RECURSO ACTUAL'!B179</f>
        <v>02-Medellin</v>
      </c>
      <c r="D178" s="91">
        <f>VLOOKUP(A178,'Q LUB'!A:L,8,FALSE)</f>
        <v>46161</v>
      </c>
      <c r="E178" s="92">
        <f t="shared" si="2"/>
        <v>55</v>
      </c>
      <c r="F178" s="92">
        <f>VLOOKUP(A178,'Q LUB'!A:L,7,FALSE)</f>
        <v>1849.8</v>
      </c>
      <c r="G178" s="92">
        <f>VLOOKUP(A178,'Q LUB'!A:L,5,FALSE)</f>
        <v>180</v>
      </c>
      <c r="H178" s="92">
        <f>VLOOKUP(A178,'Q LUB'!A:L,4,FALSE)</f>
        <v>10000</v>
      </c>
      <c r="I178" s="92">
        <f t="shared" ref="I178:J178" si="180">G178-E178</f>
        <v>125</v>
      </c>
      <c r="J178" s="92">
        <f t="shared" si="180"/>
        <v>8150.2</v>
      </c>
      <c r="K178" s="97" t="str">
        <f t="shared" si="4"/>
        <v>VIGENTE</v>
      </c>
      <c r="L178" s="97" t="str">
        <f t="shared" si="5"/>
        <v>VIGENTE</v>
      </c>
      <c r="N178" s="99"/>
      <c r="O178" s="99"/>
      <c r="P178" s="99"/>
      <c r="Q178" s="99"/>
      <c r="R178" s="99"/>
      <c r="S178" s="99"/>
    </row>
    <row r="179">
      <c r="A179" s="95">
        <f>'RECURSO ACTUAL'!A180</f>
        <v>2369</v>
      </c>
      <c r="B179" s="96">
        <f>'RECURSO ACTUAL'!F180</f>
        <v>46541</v>
      </c>
      <c r="C179" s="97" t="str">
        <f>'RECURSO ACTUAL'!B180</f>
        <v>02-Medellin</v>
      </c>
      <c r="D179" s="91">
        <f>VLOOKUP(A179,'Q LUB'!A:L,8,FALSE)</f>
        <v>46101</v>
      </c>
      <c r="E179" s="92">
        <f t="shared" si="2"/>
        <v>115</v>
      </c>
      <c r="F179" s="92">
        <f>VLOOKUP(A179,'Q LUB'!A:L,7,FALSE)</f>
        <v>8296.6</v>
      </c>
      <c r="G179" s="92">
        <f>VLOOKUP(A179,'Q LUB'!A:L,5,FALSE)</f>
        <v>180</v>
      </c>
      <c r="H179" s="92">
        <f>VLOOKUP(A179,'Q LUB'!A:L,4,FALSE)</f>
        <v>10000</v>
      </c>
      <c r="I179" s="92">
        <f t="shared" ref="I179:J179" si="181">G179-E179</f>
        <v>65</v>
      </c>
      <c r="J179" s="92">
        <f t="shared" si="181"/>
        <v>1703.4</v>
      </c>
      <c r="K179" s="97" t="str">
        <f t="shared" si="4"/>
        <v>VIGENTE</v>
      </c>
      <c r="L179" s="97" t="str">
        <f t="shared" si="5"/>
        <v>VIGENTE</v>
      </c>
      <c r="N179" s="99"/>
      <c r="O179" s="99"/>
      <c r="P179" s="99"/>
      <c r="Q179" s="99"/>
      <c r="R179" s="99"/>
      <c r="S179" s="99"/>
    </row>
    <row r="180">
      <c r="A180" s="95">
        <f>'RECURSO ACTUAL'!A181</f>
        <v>2367</v>
      </c>
      <c r="B180" s="96">
        <f>'RECURSO ACTUAL'!F181</f>
        <v>46522</v>
      </c>
      <c r="C180" s="97" t="str">
        <f>'RECURSO ACTUAL'!B181</f>
        <v>31-Copacabana QUIMICOS</v>
      </c>
      <c r="D180" s="91">
        <f>VLOOKUP(A180,'Q LUB'!A:L,8,FALSE)</f>
        <v>46167</v>
      </c>
      <c r="E180" s="92">
        <f t="shared" si="2"/>
        <v>49</v>
      </c>
      <c r="F180" s="92">
        <f>VLOOKUP(A180,'Q LUB'!A:L,7,FALSE)</f>
        <v>5479</v>
      </c>
      <c r="G180" s="92">
        <f>VLOOKUP(A180,'Q LUB'!A:L,5,FALSE)</f>
        <v>180</v>
      </c>
      <c r="H180" s="92">
        <f>VLOOKUP(A180,'Q LUB'!A:L,4,FALSE)</f>
        <v>10000</v>
      </c>
      <c r="I180" s="92">
        <f t="shared" ref="I180:J180" si="182">G180-E180</f>
        <v>131</v>
      </c>
      <c r="J180" s="92">
        <f t="shared" si="182"/>
        <v>4521</v>
      </c>
      <c r="K180" s="97" t="str">
        <f t="shared" si="4"/>
        <v>VIGENTE</v>
      </c>
      <c r="L180" s="97" t="str">
        <f t="shared" si="5"/>
        <v>VIGENTE</v>
      </c>
      <c r="N180" s="99"/>
      <c r="O180" s="99"/>
      <c r="P180" s="99"/>
      <c r="Q180" s="99"/>
      <c r="R180" s="99"/>
      <c r="S180" s="99"/>
    </row>
    <row r="181">
      <c r="A181" s="95">
        <f>'RECURSO ACTUAL'!A182</f>
        <v>2366</v>
      </c>
      <c r="B181" s="96">
        <f>'RECURSO ACTUAL'!F182</f>
        <v>46306</v>
      </c>
      <c r="C181" s="97" t="str">
        <f>'RECURSO ACTUAL'!B182</f>
        <v>02-Medellin</v>
      </c>
      <c r="D181" s="91">
        <f>VLOOKUP(A181,'Q LUB'!A:L,8,FALSE)</f>
        <v>46112</v>
      </c>
      <c r="E181" s="92">
        <f t="shared" si="2"/>
        <v>104</v>
      </c>
      <c r="F181" s="92">
        <f>VLOOKUP(A181,'Q LUB'!A:L,7,FALSE)</f>
        <v>3088.3</v>
      </c>
      <c r="G181" s="92">
        <f>VLOOKUP(A181,'Q LUB'!A:L,5,FALSE)</f>
        <v>180</v>
      </c>
      <c r="H181" s="92">
        <f>VLOOKUP(A181,'Q LUB'!A:L,4,FALSE)</f>
        <v>10000</v>
      </c>
      <c r="I181" s="92">
        <f t="shared" ref="I181:J181" si="183">G181-E181</f>
        <v>76</v>
      </c>
      <c r="J181" s="92">
        <f t="shared" si="183"/>
        <v>6911.7</v>
      </c>
      <c r="K181" s="97" t="str">
        <f t="shared" si="4"/>
        <v>VIGENTE</v>
      </c>
      <c r="L181" s="97" t="str">
        <f t="shared" si="5"/>
        <v>VIGENTE</v>
      </c>
      <c r="N181" s="99"/>
      <c r="O181" s="99"/>
      <c r="P181" s="99"/>
      <c r="Q181" s="99"/>
      <c r="R181" s="99"/>
      <c r="S181" s="99"/>
    </row>
    <row r="182">
      <c r="A182" s="95">
        <f>'RECURSO ACTUAL'!A183</f>
        <v>2360</v>
      </c>
      <c r="B182" s="96">
        <f>'RECURSO ACTUAL'!F183</f>
        <v>46445</v>
      </c>
      <c r="C182" s="97" t="str">
        <f>'RECURSO ACTUAL'!B183</f>
        <v>02-Medellin</v>
      </c>
      <c r="D182" s="91">
        <f>VLOOKUP(A182,'Q LUB'!A:L,8,FALSE)</f>
        <v>46161</v>
      </c>
      <c r="E182" s="92">
        <f t="shared" si="2"/>
        <v>55</v>
      </c>
      <c r="F182" s="92">
        <f>VLOOKUP(A182,'Q LUB'!A:L,7,FALSE)</f>
        <v>2083.2</v>
      </c>
      <c r="G182" s="92">
        <f>VLOOKUP(A182,'Q LUB'!A:L,5,FALSE)</f>
        <v>180</v>
      </c>
      <c r="H182" s="92">
        <f>VLOOKUP(A182,'Q LUB'!A:L,4,FALSE)</f>
        <v>10000</v>
      </c>
      <c r="I182" s="92">
        <f t="shared" ref="I182:J182" si="184">G182-E182</f>
        <v>125</v>
      </c>
      <c r="J182" s="92">
        <f t="shared" si="184"/>
        <v>7916.8</v>
      </c>
      <c r="K182" s="97" t="str">
        <f t="shared" si="4"/>
        <v>VIGENTE</v>
      </c>
      <c r="L182" s="97" t="str">
        <f t="shared" si="5"/>
        <v>VIGENTE</v>
      </c>
      <c r="N182" s="99"/>
      <c r="O182" s="99"/>
      <c r="P182" s="99"/>
      <c r="Q182" s="99"/>
      <c r="R182" s="99"/>
      <c r="S182" s="99"/>
    </row>
    <row r="183">
      <c r="A183" s="95">
        <f>'RECURSO ACTUAL'!A184</f>
        <v>2355</v>
      </c>
      <c r="B183" s="96">
        <f>'RECURSO ACTUAL'!F184</f>
        <v>46439</v>
      </c>
      <c r="C183" s="97" t="str">
        <f>'RECURSO ACTUAL'!B184</f>
        <v>31-Copacabana</v>
      </c>
      <c r="D183" s="91">
        <f>VLOOKUP(A183,'Q LUB'!A:L,8,FALSE)</f>
        <v>46101</v>
      </c>
      <c r="E183" s="92">
        <f t="shared" si="2"/>
        <v>115</v>
      </c>
      <c r="F183" s="92">
        <f>VLOOKUP(A183,'Q LUB'!A:L,7,FALSE)</f>
        <v>4107.2</v>
      </c>
      <c r="G183" s="92">
        <f>VLOOKUP(A183,'Q LUB'!A:L,5,FALSE)</f>
        <v>180</v>
      </c>
      <c r="H183" s="92">
        <f>VLOOKUP(A183,'Q LUB'!A:L,4,FALSE)</f>
        <v>10000</v>
      </c>
      <c r="I183" s="92">
        <f t="shared" ref="I183:J183" si="185">G183-E183</f>
        <v>65</v>
      </c>
      <c r="J183" s="92">
        <f t="shared" si="185"/>
        <v>5892.8</v>
      </c>
      <c r="K183" s="97" t="str">
        <f t="shared" si="4"/>
        <v>VIGENTE</v>
      </c>
      <c r="L183" s="97" t="str">
        <f t="shared" si="5"/>
        <v>VIGENTE</v>
      </c>
      <c r="N183" s="99"/>
      <c r="O183" s="99"/>
      <c r="P183" s="99"/>
      <c r="Q183" s="99"/>
      <c r="R183" s="99"/>
      <c r="S183" s="99"/>
    </row>
    <row r="184">
      <c r="A184" s="95">
        <f>'RECURSO ACTUAL'!A185</f>
        <v>2354</v>
      </c>
      <c r="B184" s="96">
        <f>'RECURSO ACTUAL'!F185</f>
        <v>46435</v>
      </c>
      <c r="C184" s="97" t="str">
        <f>'RECURSO ACTUAL'!B185</f>
        <v>31-Copacabana</v>
      </c>
      <c r="D184" s="91">
        <f>VLOOKUP(A184,'Q LUB'!A:L,8,FALSE)</f>
        <v>46037</v>
      </c>
      <c r="E184" s="92">
        <f t="shared" si="2"/>
        <v>179</v>
      </c>
      <c r="F184" s="92">
        <f>VLOOKUP(A184,'Q LUB'!A:L,7,FALSE)</f>
        <v>6999.2</v>
      </c>
      <c r="G184" s="92">
        <f>VLOOKUP(A184,'Q LUB'!A:L,5,FALSE)</f>
        <v>180</v>
      </c>
      <c r="H184" s="92">
        <f>VLOOKUP(A184,'Q LUB'!A:L,4,FALSE)</f>
        <v>10000</v>
      </c>
      <c r="I184" s="92">
        <f t="shared" ref="I184:J184" si="186">G184-E184</f>
        <v>1</v>
      </c>
      <c r="J184" s="92">
        <f t="shared" si="186"/>
        <v>3000.8</v>
      </c>
      <c r="K184" s="97" t="str">
        <f t="shared" si="4"/>
        <v>PRÓXIMO</v>
      </c>
      <c r="L184" s="97" t="str">
        <f t="shared" si="5"/>
        <v>VIGENTE</v>
      </c>
      <c r="N184" s="99"/>
      <c r="O184" s="99"/>
      <c r="P184" s="99"/>
      <c r="Q184" s="99"/>
      <c r="R184" s="99"/>
      <c r="S184" s="99"/>
    </row>
    <row r="185">
      <c r="A185" s="95">
        <f>'RECURSO ACTUAL'!A186</f>
        <v>2339</v>
      </c>
      <c r="B185" s="96">
        <f>'RECURSO ACTUAL'!F186</f>
        <v>46572</v>
      </c>
      <c r="C185" s="97" t="str">
        <f>'RECURSO ACTUAL'!B186</f>
        <v>02-Medellin</v>
      </c>
      <c r="D185" s="91">
        <f>VLOOKUP(A185,'Q LUB'!A:L,8,FALSE)</f>
        <v>46029</v>
      </c>
      <c r="E185" s="92">
        <f t="shared" si="2"/>
        <v>187</v>
      </c>
      <c r="F185" s="92">
        <f>VLOOKUP(A185,'Q LUB'!A:L,7,FALSE)</f>
        <v>9301.9</v>
      </c>
      <c r="G185" s="92">
        <f>VLOOKUP(A185,'Q LUB'!A:L,5,FALSE)</f>
        <v>180</v>
      </c>
      <c r="H185" s="92">
        <f>VLOOKUP(A185,'Q LUB'!A:L,4,FALSE)</f>
        <v>10000</v>
      </c>
      <c r="I185" s="92">
        <f t="shared" ref="I185:J185" si="187">G185-E185</f>
        <v>-7</v>
      </c>
      <c r="J185" s="92">
        <f t="shared" si="187"/>
        <v>698.1</v>
      </c>
      <c r="K185" s="97" t="str">
        <f t="shared" si="4"/>
        <v>PASADO</v>
      </c>
      <c r="L185" s="97" t="str">
        <f t="shared" si="5"/>
        <v>PRÓXIMO</v>
      </c>
      <c r="N185" s="99"/>
      <c r="O185" s="99"/>
      <c r="P185" s="99"/>
      <c r="Q185" s="99"/>
      <c r="R185" s="99"/>
      <c r="S185" s="99"/>
    </row>
    <row r="186">
      <c r="A186" s="95">
        <f>'RECURSO ACTUAL'!A187</f>
        <v>2334</v>
      </c>
      <c r="B186" s="96">
        <f>'RECURSO ACTUAL'!F187</f>
        <v>46543</v>
      </c>
      <c r="C186" s="97" t="str">
        <f>'RECURSO ACTUAL'!B187</f>
        <v>27-Apartado</v>
      </c>
      <c r="D186" s="91">
        <f>VLOOKUP(A186,'Q LUB'!A:L,8,FALSE)</f>
        <v>46030</v>
      </c>
      <c r="E186" s="92">
        <f t="shared" si="2"/>
        <v>186</v>
      </c>
      <c r="F186" s="92">
        <f>VLOOKUP(A186,'Q LUB'!A:L,7,FALSE)</f>
        <v>11111</v>
      </c>
      <c r="G186" s="92">
        <f>VLOOKUP(A186,'Q LUB'!A:L,5,FALSE)</f>
        <v>180</v>
      </c>
      <c r="H186" s="92">
        <f>VLOOKUP(A186,'Q LUB'!A:L,4,FALSE)</f>
        <v>10000</v>
      </c>
      <c r="I186" s="92">
        <f t="shared" ref="I186:J186" si="188">G186-E186</f>
        <v>-6</v>
      </c>
      <c r="J186" s="92">
        <f t="shared" si="188"/>
        <v>-1111</v>
      </c>
      <c r="K186" s="97" t="str">
        <f t="shared" si="4"/>
        <v>PASADO</v>
      </c>
      <c r="L186" s="97" t="str">
        <f t="shared" si="5"/>
        <v>PASADO</v>
      </c>
      <c r="N186" s="103"/>
      <c r="O186" s="103"/>
      <c r="P186" s="103"/>
      <c r="Q186" s="103"/>
      <c r="R186" s="103"/>
    </row>
    <row r="187">
      <c r="A187" s="95">
        <f>'RECURSO ACTUAL'!A188</f>
        <v>2276</v>
      </c>
      <c r="B187" s="96">
        <f>'RECURSO ACTUAL'!F188</f>
        <v>46366</v>
      </c>
      <c r="C187" s="97" t="str">
        <f>'RECURSO ACTUAL'!B188</f>
        <v>02-Medellin</v>
      </c>
      <c r="D187" s="91">
        <f>VLOOKUP(A187,'Q LUB'!A:L,8,FALSE)</f>
        <v>46001</v>
      </c>
      <c r="E187" s="92">
        <f t="shared" si="2"/>
        <v>215</v>
      </c>
      <c r="F187" s="92">
        <f>VLOOKUP(A187,'Q LUB'!A:L,7,FALSE)</f>
        <v>4892.1</v>
      </c>
      <c r="G187" s="92">
        <f>VLOOKUP(A187,'Q LUB'!A:L,5,FALSE)</f>
        <v>180</v>
      </c>
      <c r="H187" s="92">
        <f>VLOOKUP(A187,'Q LUB'!A:L,4,FALSE)</f>
        <v>5000</v>
      </c>
      <c r="I187" s="92">
        <f t="shared" ref="I187:J187" si="189">G187-E187</f>
        <v>-35</v>
      </c>
      <c r="J187" s="92">
        <f t="shared" si="189"/>
        <v>107.9</v>
      </c>
      <c r="K187" s="97" t="str">
        <f t="shared" si="4"/>
        <v>PASADO</v>
      </c>
      <c r="L187" s="97" t="str">
        <f t="shared" si="5"/>
        <v>PRÓXIMO</v>
      </c>
      <c r="N187" s="103"/>
      <c r="O187" s="103"/>
      <c r="P187" s="103"/>
      <c r="Q187" s="103"/>
      <c r="R187" s="103"/>
    </row>
    <row r="188">
      <c r="A188" s="95">
        <f>'RECURSO ACTUAL'!A189</f>
        <v>2275</v>
      </c>
      <c r="B188" s="96">
        <f>'RECURSO ACTUAL'!F189</f>
        <v>46263</v>
      </c>
      <c r="C188" s="97" t="str">
        <f>'RECURSO ACTUAL'!B189</f>
        <v>02-Medellin</v>
      </c>
      <c r="D188" s="91">
        <f>VLOOKUP(A188,'Q LUB'!A:L,8,FALSE)</f>
        <v>46042</v>
      </c>
      <c r="E188" s="92">
        <f t="shared" si="2"/>
        <v>174</v>
      </c>
      <c r="F188" s="92">
        <f>VLOOKUP(A188,'Q LUB'!A:L,7,FALSE)</f>
        <v>1501</v>
      </c>
      <c r="G188" s="92">
        <f>VLOOKUP(A188,'Q LUB'!A:L,5,FALSE)</f>
        <v>180</v>
      </c>
      <c r="H188" s="92">
        <f>VLOOKUP(A188,'Q LUB'!A:L,4,FALSE)</f>
        <v>5000</v>
      </c>
      <c r="I188" s="92">
        <f t="shared" ref="I188:J188" si="190">G188-E188</f>
        <v>6</v>
      </c>
      <c r="J188" s="92">
        <f t="shared" si="190"/>
        <v>3499</v>
      </c>
      <c r="K188" s="97" t="str">
        <f t="shared" si="4"/>
        <v>PRÓXIMO</v>
      </c>
      <c r="L188" s="97" t="str">
        <f t="shared" si="5"/>
        <v>VIGENTE</v>
      </c>
      <c r="N188" s="103"/>
      <c r="O188" s="103"/>
      <c r="P188" s="103"/>
      <c r="Q188" s="103"/>
      <c r="R188" s="103"/>
    </row>
    <row r="189">
      <c r="A189" s="95">
        <f>'RECURSO ACTUAL'!A190</f>
        <v>2230</v>
      </c>
      <c r="B189" s="96">
        <f>'RECURSO ACTUAL'!F190</f>
        <v>46570</v>
      </c>
      <c r="C189" s="97" t="str">
        <f>'RECURSO ACTUAL'!B190</f>
        <v>02-Medellin</v>
      </c>
      <c r="D189" s="91">
        <f>VLOOKUP(A189,'Q LUB'!A:L,8,FALSE)</f>
        <v>46008</v>
      </c>
      <c r="E189" s="92">
        <f t="shared" si="2"/>
        <v>208</v>
      </c>
      <c r="F189" s="92">
        <f>VLOOKUP(A189,'Q LUB'!A:L,7,FALSE)</f>
        <v>5624.3</v>
      </c>
      <c r="G189" s="92">
        <f>VLOOKUP(A189,'Q LUB'!A:L,5,FALSE)</f>
        <v>180</v>
      </c>
      <c r="H189" s="92">
        <f>VLOOKUP(A189,'Q LUB'!A:L,4,FALSE)</f>
        <v>8000</v>
      </c>
      <c r="I189" s="92">
        <f t="shared" ref="I189:J189" si="191">G189-E189</f>
        <v>-28</v>
      </c>
      <c r="J189" s="92">
        <f t="shared" si="191"/>
        <v>2375.7</v>
      </c>
      <c r="K189" s="97" t="str">
        <f t="shared" si="4"/>
        <v>PASADO</v>
      </c>
      <c r="L189" s="97" t="str">
        <f t="shared" si="5"/>
        <v>VIGENTE</v>
      </c>
      <c r="N189" s="103"/>
      <c r="O189" s="103"/>
      <c r="P189" s="103"/>
      <c r="Q189" s="103"/>
      <c r="R189" s="103"/>
    </row>
    <row r="190">
      <c r="A190" s="95">
        <f>'RECURSO ACTUAL'!A191</f>
        <v>2206</v>
      </c>
      <c r="B190" s="96">
        <f>'RECURSO ACTUAL'!F191</f>
        <v>46548</v>
      </c>
      <c r="C190" s="97" t="str">
        <f>'RECURSO ACTUAL'!B191</f>
        <v>MAYORCA</v>
      </c>
      <c r="D190" s="91">
        <f>VLOOKUP(A190,'Q LUB'!A:L,8,FALSE)</f>
        <v>46090</v>
      </c>
      <c r="E190" s="92">
        <f t="shared" si="2"/>
        <v>126</v>
      </c>
      <c r="F190" s="92">
        <f>VLOOKUP(A190,'Q LUB'!A:L,7,FALSE)</f>
        <v>1038.4</v>
      </c>
      <c r="G190" s="92">
        <f>VLOOKUP(A190,'Q LUB'!A:L,5,FALSE)</f>
        <v>180</v>
      </c>
      <c r="H190" s="92">
        <f>VLOOKUP(A190,'Q LUB'!A:L,4,FALSE)</f>
        <v>10000</v>
      </c>
      <c r="I190" s="92">
        <f t="shared" ref="I190:J190" si="192">G190-E190</f>
        <v>54</v>
      </c>
      <c r="J190" s="92">
        <f t="shared" si="192"/>
        <v>8961.6</v>
      </c>
      <c r="K190" s="97" t="str">
        <f t="shared" si="4"/>
        <v>VIGENTE</v>
      </c>
      <c r="L190" s="97" t="str">
        <f t="shared" si="5"/>
        <v>VIGENTE</v>
      </c>
      <c r="N190" s="103"/>
      <c r="O190" s="103"/>
      <c r="P190" s="103"/>
      <c r="Q190" s="103"/>
      <c r="R190" s="103"/>
    </row>
    <row r="191">
      <c r="A191" s="95">
        <f>'RECURSO ACTUAL'!A192</f>
        <v>2204</v>
      </c>
      <c r="B191" s="96">
        <f>'RECURSO ACTUAL'!F192</f>
        <v>46523</v>
      </c>
      <c r="C191" s="97" t="str">
        <f>'RECURSO ACTUAL'!B192</f>
        <v>BULTOS</v>
      </c>
      <c r="D191" s="91">
        <f>VLOOKUP(A191,'Q LUB'!A:L,8,FALSE)</f>
        <v>46135</v>
      </c>
      <c r="E191" s="92">
        <f t="shared" si="2"/>
        <v>81</v>
      </c>
      <c r="F191" s="92">
        <f>VLOOKUP(A191,'Q LUB'!A:L,7,FALSE)</f>
        <v>4573.5</v>
      </c>
      <c r="G191" s="92">
        <f>VLOOKUP(A191,'Q LUB'!A:L,5,FALSE)</f>
        <v>180</v>
      </c>
      <c r="H191" s="92">
        <f>VLOOKUP(A191,'Q LUB'!A:L,4,FALSE)</f>
        <v>10000</v>
      </c>
      <c r="I191" s="92">
        <f t="shared" ref="I191:J191" si="193">G191-E191</f>
        <v>99</v>
      </c>
      <c r="J191" s="92">
        <f t="shared" si="193"/>
        <v>5426.5</v>
      </c>
      <c r="K191" s="97" t="str">
        <f t="shared" si="4"/>
        <v>VIGENTE</v>
      </c>
      <c r="L191" s="97" t="str">
        <f t="shared" si="5"/>
        <v>VIGENTE</v>
      </c>
      <c r="N191" s="103"/>
      <c r="O191" s="103"/>
      <c r="P191" s="103"/>
      <c r="Q191" s="103"/>
      <c r="R191" s="103"/>
    </row>
    <row r="192">
      <c r="A192" s="95">
        <f>'RECURSO ACTUAL'!A193</f>
        <v>2202</v>
      </c>
      <c r="B192" s="96">
        <f>'RECURSO ACTUAL'!F193</f>
        <v>46527</v>
      </c>
      <c r="C192" s="97" t="str">
        <f>'RECURSO ACTUAL'!B193</f>
        <v>02-Medellin</v>
      </c>
      <c r="D192" s="91">
        <f>VLOOKUP(A192,'Q LUB'!A:L,8,FALSE)</f>
        <v>46061</v>
      </c>
      <c r="E192" s="92">
        <f t="shared" si="2"/>
        <v>155</v>
      </c>
      <c r="F192" s="92">
        <f>VLOOKUP(A192,'Q LUB'!A:L,7,FALSE)</f>
        <v>3509</v>
      </c>
      <c r="G192" s="92">
        <f>VLOOKUP(A192,'Q LUB'!A:L,5,FALSE)</f>
        <v>180</v>
      </c>
      <c r="H192" s="92">
        <f>VLOOKUP(A192,'Q LUB'!A:L,4,FALSE)</f>
        <v>10000</v>
      </c>
      <c r="I192" s="92">
        <f t="shared" ref="I192:J192" si="194">G192-E192</f>
        <v>25</v>
      </c>
      <c r="J192" s="92">
        <f t="shared" si="194"/>
        <v>6491</v>
      </c>
      <c r="K192" s="97" t="str">
        <f t="shared" si="4"/>
        <v>VIGENTE</v>
      </c>
      <c r="L192" s="97" t="str">
        <f t="shared" si="5"/>
        <v>VIGENTE</v>
      </c>
      <c r="N192" s="103"/>
      <c r="O192" s="103"/>
      <c r="P192" s="103"/>
      <c r="Q192" s="103"/>
      <c r="R192" s="103"/>
    </row>
    <row r="193">
      <c r="A193" s="95">
        <f>'RECURSO ACTUAL'!A194</f>
        <v>2201</v>
      </c>
      <c r="B193" s="96">
        <f>'RECURSO ACTUAL'!F194</f>
        <v>46543</v>
      </c>
      <c r="C193" s="97" t="str">
        <f>'RECURSO ACTUAL'!B194</f>
        <v>02-Medellin</v>
      </c>
      <c r="D193" s="91">
        <f>VLOOKUP(A193,'Q LUB'!A:L,8,FALSE)</f>
        <v>45986</v>
      </c>
      <c r="E193" s="92">
        <f t="shared" si="2"/>
        <v>230</v>
      </c>
      <c r="F193" s="92">
        <f>VLOOKUP(A193,'Q LUB'!A:L,7,FALSE)</f>
        <v>6367</v>
      </c>
      <c r="G193" s="92">
        <f>VLOOKUP(A193,'Q LUB'!A:L,5,FALSE)</f>
        <v>180</v>
      </c>
      <c r="H193" s="92">
        <f>VLOOKUP(A193,'Q LUB'!A:L,4,FALSE)</f>
        <v>10000</v>
      </c>
      <c r="I193" s="92">
        <f t="shared" ref="I193:J193" si="195">G193-E193</f>
        <v>-50</v>
      </c>
      <c r="J193" s="92">
        <f t="shared" si="195"/>
        <v>3633</v>
      </c>
      <c r="K193" s="97" t="str">
        <f t="shared" si="4"/>
        <v>PASADO</v>
      </c>
      <c r="L193" s="97" t="str">
        <f t="shared" si="5"/>
        <v>VIGENTE</v>
      </c>
      <c r="N193" s="103"/>
      <c r="O193" s="103"/>
      <c r="P193" s="103"/>
      <c r="Q193" s="103"/>
      <c r="R193" s="103"/>
    </row>
    <row r="194">
      <c r="A194" s="95">
        <f>'RECURSO ACTUAL'!A195</f>
        <v>2200</v>
      </c>
      <c r="B194" s="96">
        <f>'RECURSO ACTUAL'!F195</f>
        <v>46478</v>
      </c>
      <c r="C194" s="97" t="str">
        <f>'RECURSO ACTUAL'!B195</f>
        <v>BULTOS</v>
      </c>
      <c r="D194" s="91">
        <f>VLOOKUP(A194,'Q LUB'!A:L,8,FALSE)</f>
        <v>46044</v>
      </c>
      <c r="E194" s="92">
        <f t="shared" si="2"/>
        <v>172</v>
      </c>
      <c r="F194" s="92">
        <f>VLOOKUP(A194,'Q LUB'!A:L,7,FALSE)</f>
        <v>8207.3</v>
      </c>
      <c r="G194" s="92">
        <f>VLOOKUP(A194,'Q LUB'!A:L,5,FALSE)</f>
        <v>180</v>
      </c>
      <c r="H194" s="92">
        <f>VLOOKUP(A194,'Q LUB'!A:L,4,FALSE)</f>
        <v>10000</v>
      </c>
      <c r="I194" s="92">
        <f t="shared" ref="I194:J194" si="196">G194-E194</f>
        <v>8</v>
      </c>
      <c r="J194" s="92">
        <f t="shared" si="196"/>
        <v>1792.7</v>
      </c>
      <c r="K194" s="97" t="str">
        <f t="shared" si="4"/>
        <v>PRÓXIMO</v>
      </c>
      <c r="L194" s="97" t="str">
        <f t="shared" si="5"/>
        <v>VIGENTE</v>
      </c>
      <c r="M194" s="104"/>
      <c r="N194" s="103"/>
      <c r="O194" s="103"/>
      <c r="P194" s="103"/>
      <c r="Q194" s="103"/>
      <c r="R194" s="103"/>
    </row>
    <row r="195">
      <c r="A195" s="95">
        <f>'RECURSO ACTUAL'!A196</f>
        <v>2198</v>
      </c>
      <c r="B195" s="96">
        <f>'RECURSO ACTUAL'!F196</f>
        <v>46515</v>
      </c>
      <c r="C195" s="97" t="str">
        <f>'RECURSO ACTUAL'!B196</f>
        <v>02-Medellin</v>
      </c>
      <c r="D195" s="91">
        <f>VLOOKUP(A195,'Q LUB'!A:L,8,FALSE)</f>
        <v>46028</v>
      </c>
      <c r="E195" s="92">
        <f t="shared" si="2"/>
        <v>188</v>
      </c>
      <c r="F195" s="92">
        <f>VLOOKUP(A195,'Q LUB'!A:L,7,FALSE)</f>
        <v>6583</v>
      </c>
      <c r="G195" s="92">
        <f>VLOOKUP(A195,'Q LUB'!A:L,5,FALSE)</f>
        <v>180</v>
      </c>
      <c r="H195" s="92">
        <f>VLOOKUP(A195,'Q LUB'!A:L,4,FALSE)</f>
        <v>10000</v>
      </c>
      <c r="I195" s="92">
        <f t="shared" ref="I195:J195" si="197">G195-E195</f>
        <v>-8</v>
      </c>
      <c r="J195" s="92">
        <f t="shared" si="197"/>
        <v>3417</v>
      </c>
      <c r="K195" s="97" t="str">
        <f t="shared" si="4"/>
        <v>PASADO</v>
      </c>
      <c r="L195" s="97" t="str">
        <f t="shared" si="5"/>
        <v>VIGENTE</v>
      </c>
      <c r="M195" s="104"/>
      <c r="N195" s="103"/>
      <c r="O195" s="103"/>
      <c r="P195" s="103"/>
      <c r="Q195" s="103"/>
      <c r="R195" s="103"/>
    </row>
    <row r="196">
      <c r="A196" s="95">
        <f>'RECURSO ACTUAL'!A197</f>
        <v>2197</v>
      </c>
      <c r="B196" s="96">
        <f>'RECURSO ACTUAL'!F197</f>
        <v>46529</v>
      </c>
      <c r="C196" s="97" t="str">
        <f>'RECURSO ACTUAL'!B197</f>
        <v>02-Medellin</v>
      </c>
      <c r="D196" s="91">
        <f>VLOOKUP(A196,'Q LUB'!A:L,8,FALSE)</f>
        <v>46086</v>
      </c>
      <c r="E196" s="92">
        <f t="shared" si="2"/>
        <v>130</v>
      </c>
      <c r="F196" s="92">
        <f>VLOOKUP(A196,'Q LUB'!A:L,7,FALSE)</f>
        <v>3620.8</v>
      </c>
      <c r="G196" s="92">
        <f>VLOOKUP(A196,'Q LUB'!A:L,5,FALSE)</f>
        <v>180</v>
      </c>
      <c r="H196" s="92">
        <f>VLOOKUP(A196,'Q LUB'!A:L,4,FALSE)</f>
        <v>10000</v>
      </c>
      <c r="I196" s="92">
        <f t="shared" ref="I196:J196" si="198">G196-E196</f>
        <v>50</v>
      </c>
      <c r="J196" s="92">
        <f t="shared" si="198"/>
        <v>6379.2</v>
      </c>
      <c r="K196" s="97" t="str">
        <f t="shared" si="4"/>
        <v>VIGENTE</v>
      </c>
      <c r="L196" s="97" t="str">
        <f t="shared" si="5"/>
        <v>VIGENTE</v>
      </c>
      <c r="M196" s="104"/>
      <c r="N196" s="103"/>
      <c r="O196" s="103"/>
      <c r="P196" s="103"/>
      <c r="Q196" s="103"/>
      <c r="R196" s="103"/>
    </row>
    <row r="197">
      <c r="A197" s="95">
        <f>'RECURSO ACTUAL'!A198</f>
        <v>2196</v>
      </c>
      <c r="B197" s="96">
        <f>'RECURSO ACTUAL'!F198</f>
        <v>46542</v>
      </c>
      <c r="C197" s="97" t="str">
        <f>'RECURSO ACTUAL'!B198</f>
        <v>02-Medellin</v>
      </c>
      <c r="D197" s="91">
        <f>VLOOKUP(A197,'Q LUB'!A:L,8,FALSE)</f>
        <v>46102</v>
      </c>
      <c r="E197" s="92">
        <f t="shared" si="2"/>
        <v>114</v>
      </c>
      <c r="F197" s="92">
        <f>VLOOKUP(A197,'Q LUB'!A:L,7,FALSE)</f>
        <v>3530.4</v>
      </c>
      <c r="G197" s="92">
        <f>VLOOKUP(A197,'Q LUB'!A:L,5,FALSE)</f>
        <v>180</v>
      </c>
      <c r="H197" s="92">
        <f>VLOOKUP(A197,'Q LUB'!A:L,4,FALSE)</f>
        <v>10000</v>
      </c>
      <c r="I197" s="92">
        <f t="shared" ref="I197:J197" si="199">G197-E197</f>
        <v>66</v>
      </c>
      <c r="J197" s="92">
        <f t="shared" si="199"/>
        <v>6469.6</v>
      </c>
      <c r="K197" s="97" t="str">
        <f t="shared" si="4"/>
        <v>VIGENTE</v>
      </c>
      <c r="L197" s="97" t="str">
        <f t="shared" si="5"/>
        <v>VIGENTE</v>
      </c>
      <c r="M197" s="104"/>
      <c r="N197" s="103"/>
      <c r="O197" s="103"/>
      <c r="P197" s="103"/>
      <c r="Q197" s="103"/>
      <c r="R197" s="103"/>
    </row>
    <row r="198">
      <c r="A198" s="95">
        <f>'RECURSO ACTUAL'!A199</f>
        <v>2195</v>
      </c>
      <c r="B198" s="96">
        <f>'RECURSO ACTUAL'!F199</f>
        <v>46544</v>
      </c>
      <c r="C198" s="97" t="str">
        <f>'RECURSO ACTUAL'!B199</f>
        <v>02-Medellin</v>
      </c>
      <c r="D198" s="91">
        <f>VLOOKUP(A198,'Q LUB'!A:L,8,FALSE)</f>
        <v>46108</v>
      </c>
      <c r="E198" s="92">
        <f t="shared" si="2"/>
        <v>108</v>
      </c>
      <c r="F198" s="92">
        <f>VLOOKUP(A198,'Q LUB'!A:L,7,FALSE)</f>
        <v>2852</v>
      </c>
      <c r="G198" s="92">
        <f>VLOOKUP(A198,'Q LUB'!A:L,5,FALSE)</f>
        <v>180</v>
      </c>
      <c r="H198" s="92">
        <f>VLOOKUP(A198,'Q LUB'!A:L,4,FALSE)</f>
        <v>10000</v>
      </c>
      <c r="I198" s="92">
        <f t="shared" ref="I198:J198" si="200">G198-E198</f>
        <v>72</v>
      </c>
      <c r="J198" s="92">
        <f t="shared" si="200"/>
        <v>7148</v>
      </c>
      <c r="K198" s="97" t="str">
        <f t="shared" si="4"/>
        <v>VIGENTE</v>
      </c>
      <c r="L198" s="97" t="str">
        <f t="shared" si="5"/>
        <v>VIGENTE</v>
      </c>
      <c r="M198" s="104"/>
      <c r="N198" s="103"/>
      <c r="O198" s="103"/>
      <c r="P198" s="103"/>
      <c r="Q198" s="103"/>
      <c r="R198" s="103"/>
    </row>
    <row r="199">
      <c r="A199" s="95">
        <f>'RECURSO ACTUAL'!A200</f>
        <v>2194</v>
      </c>
      <c r="B199" s="96">
        <f>'RECURSO ACTUAL'!F200</f>
        <v>46530</v>
      </c>
      <c r="C199" s="97" t="str">
        <f>'RECURSO ACTUAL'!B200</f>
        <v>02-Medellin</v>
      </c>
      <c r="D199" s="91">
        <f>VLOOKUP(A199,'Q LUB'!A:L,8,FALSE)</f>
        <v>46098</v>
      </c>
      <c r="E199" s="92">
        <f t="shared" si="2"/>
        <v>118</v>
      </c>
      <c r="F199" s="92">
        <f>VLOOKUP(A199,'Q LUB'!A:L,7,FALSE)</f>
        <v>5230</v>
      </c>
      <c r="G199" s="92">
        <f>VLOOKUP(A199,'Q LUB'!A:L,5,FALSE)</f>
        <v>180</v>
      </c>
      <c r="H199" s="92">
        <f>VLOOKUP(A199,'Q LUB'!A:L,4,FALSE)</f>
        <v>10000</v>
      </c>
      <c r="I199" s="92">
        <f t="shared" ref="I199:J199" si="201">G199-E199</f>
        <v>62</v>
      </c>
      <c r="J199" s="92">
        <f t="shared" si="201"/>
        <v>4770</v>
      </c>
      <c r="K199" s="97" t="str">
        <f t="shared" si="4"/>
        <v>VIGENTE</v>
      </c>
      <c r="L199" s="97" t="str">
        <f t="shared" si="5"/>
        <v>VIGENTE</v>
      </c>
      <c r="M199" s="104"/>
      <c r="N199" s="103"/>
      <c r="O199" s="103"/>
      <c r="P199" s="103"/>
      <c r="Q199" s="103"/>
      <c r="R199" s="103"/>
    </row>
    <row r="200">
      <c r="A200" s="95">
        <f>'RECURSO ACTUAL'!A201</f>
        <v>2188</v>
      </c>
      <c r="B200" s="96">
        <f>'RECURSO ACTUAL'!F201</f>
        <v>46375</v>
      </c>
      <c r="C200" s="97" t="str">
        <f>'RECURSO ACTUAL'!B201</f>
        <v>BULTOS</v>
      </c>
      <c r="D200" s="91">
        <f>VLOOKUP(A200,'Q LUB'!A:L,8,FALSE)</f>
        <v>46042</v>
      </c>
      <c r="E200" s="92">
        <f t="shared" si="2"/>
        <v>174</v>
      </c>
      <c r="F200" s="92">
        <f>VLOOKUP(A200,'Q LUB'!A:L,7,FALSE)</f>
        <v>9139.9</v>
      </c>
      <c r="G200" s="92">
        <f>VLOOKUP(A200,'Q LUB'!A:L,5,FALSE)</f>
        <v>180</v>
      </c>
      <c r="H200" s="92">
        <f>VLOOKUP(A200,'Q LUB'!A:L,4,FALSE)</f>
        <v>8000</v>
      </c>
      <c r="I200" s="92">
        <f t="shared" ref="I200:J200" si="202">G200-E200</f>
        <v>6</v>
      </c>
      <c r="J200" s="92">
        <f t="shared" si="202"/>
        <v>-1139.9</v>
      </c>
      <c r="K200" s="97" t="str">
        <f t="shared" si="4"/>
        <v>PRÓXIMO</v>
      </c>
      <c r="L200" s="97" t="str">
        <f t="shared" si="5"/>
        <v>PASADO</v>
      </c>
      <c r="M200" s="104"/>
      <c r="N200" s="103"/>
      <c r="O200" s="103"/>
      <c r="P200" s="103"/>
      <c r="Q200" s="103"/>
      <c r="R200" s="103"/>
    </row>
    <row r="201">
      <c r="A201" s="95">
        <f>'RECURSO ACTUAL'!A202</f>
        <v>2187</v>
      </c>
      <c r="B201" s="96">
        <f>'RECURSO ACTUAL'!F202</f>
        <v>46410</v>
      </c>
      <c r="C201" s="97" t="str">
        <f>'RECURSO ACTUAL'!B202</f>
        <v>02-Medellin</v>
      </c>
      <c r="D201" s="91">
        <f>VLOOKUP(A201,'Q LUB'!A:L,8,FALSE)</f>
        <v>46167</v>
      </c>
      <c r="E201" s="92">
        <f t="shared" si="2"/>
        <v>49</v>
      </c>
      <c r="F201" s="92">
        <f>VLOOKUP(A201,'Q LUB'!A:L,7,FALSE)</f>
        <v>1179.5</v>
      </c>
      <c r="G201" s="92">
        <f>VLOOKUP(A201,'Q LUB'!A:L,5,FALSE)</f>
        <v>180</v>
      </c>
      <c r="H201" s="92">
        <f>VLOOKUP(A201,'Q LUB'!A:L,4,FALSE)</f>
        <v>8000</v>
      </c>
      <c r="I201" s="92">
        <f t="shared" ref="I201:J201" si="203">G201-E201</f>
        <v>131</v>
      </c>
      <c r="J201" s="92">
        <f t="shared" si="203"/>
        <v>6820.5</v>
      </c>
      <c r="K201" s="97" t="str">
        <f t="shared" si="4"/>
        <v>VIGENTE</v>
      </c>
      <c r="L201" s="97" t="str">
        <f t="shared" si="5"/>
        <v>VIGENTE</v>
      </c>
      <c r="M201" s="104"/>
      <c r="N201" s="103"/>
      <c r="O201" s="103"/>
      <c r="P201" s="103"/>
      <c r="Q201" s="103"/>
      <c r="R201" s="103"/>
    </row>
    <row r="202">
      <c r="A202" s="95">
        <f>'RECURSO ACTUAL'!A203</f>
        <v>2179</v>
      </c>
      <c r="B202" s="96">
        <f>'RECURSO ACTUAL'!F203</f>
        <v>46383</v>
      </c>
      <c r="C202" s="97" t="str">
        <f>'RECURSO ACTUAL'!B203</f>
        <v>02-Medellin</v>
      </c>
      <c r="D202" s="91">
        <f>VLOOKUP(A202,'Q LUB'!A:L,8,FALSE)</f>
        <v>46084</v>
      </c>
      <c r="E202" s="92">
        <f t="shared" si="2"/>
        <v>132</v>
      </c>
      <c r="F202" s="92">
        <f>VLOOKUP(A202,'Q LUB'!A:L,7,FALSE)</f>
        <v>2225</v>
      </c>
      <c r="G202" s="92">
        <f>VLOOKUP(A202,'Q LUB'!A:L,5,FALSE)</f>
        <v>180</v>
      </c>
      <c r="H202" s="92">
        <f>VLOOKUP(A202,'Q LUB'!A:L,4,FALSE)</f>
        <v>8000</v>
      </c>
      <c r="I202" s="92">
        <f t="shared" ref="I202:J202" si="204">G202-E202</f>
        <v>48</v>
      </c>
      <c r="J202" s="92">
        <f t="shared" si="204"/>
        <v>5775</v>
      </c>
      <c r="K202" s="97" t="str">
        <f t="shared" si="4"/>
        <v>VIGENTE</v>
      </c>
      <c r="L202" s="97" t="str">
        <f t="shared" si="5"/>
        <v>VIGENTE</v>
      </c>
      <c r="M202" s="104"/>
      <c r="N202" s="103"/>
      <c r="O202" s="103"/>
      <c r="P202" s="103"/>
      <c r="Q202" s="103"/>
      <c r="R202" s="103"/>
    </row>
    <row r="203">
      <c r="A203" s="95">
        <f>'RECURSO ACTUAL'!A204</f>
        <v>1798</v>
      </c>
      <c r="B203" s="96">
        <f>'RECURSO ACTUAL'!F204</f>
        <v>46565</v>
      </c>
      <c r="C203" s="97" t="str">
        <f>'RECURSO ACTUAL'!B204</f>
        <v>02-Medellin</v>
      </c>
      <c r="D203" s="91">
        <f>VLOOKUP(A203,'Q LUB'!A:L,8,FALSE)</f>
        <v>46161</v>
      </c>
      <c r="E203" s="92">
        <f t="shared" si="2"/>
        <v>55</v>
      </c>
      <c r="F203" s="92">
        <f>VLOOKUP(A203,'Q LUB'!A:L,7,FALSE)</f>
        <v>1823.2</v>
      </c>
      <c r="G203" s="92">
        <f>VLOOKUP(A203,'Q LUB'!A:L,5,FALSE)</f>
        <v>180</v>
      </c>
      <c r="H203" s="92">
        <f>VLOOKUP(A203,'Q LUB'!A:L,4,FALSE)</f>
        <v>5000</v>
      </c>
      <c r="I203" s="92">
        <f t="shared" ref="I203:J203" si="205">G203-E203</f>
        <v>125</v>
      </c>
      <c r="J203" s="92">
        <f t="shared" si="205"/>
        <v>3176.8</v>
      </c>
      <c r="K203" s="97" t="str">
        <f t="shared" si="4"/>
        <v>VIGENTE</v>
      </c>
      <c r="L203" s="97" t="str">
        <f t="shared" si="5"/>
        <v>VIGENTE</v>
      </c>
      <c r="M203" s="104"/>
      <c r="N203" s="103"/>
      <c r="O203" s="103"/>
      <c r="P203" s="103"/>
      <c r="Q203" s="103"/>
      <c r="R203" s="103"/>
    </row>
    <row r="204">
      <c r="A204" s="95">
        <f>'RECURSO ACTUAL'!A205</f>
        <v>982</v>
      </c>
      <c r="B204" s="96">
        <f>'RECURSO ACTUAL'!F205</f>
        <v>46551</v>
      </c>
      <c r="C204" s="97" t="str">
        <f>'RECURSO ACTUAL'!B205</f>
        <v>02-Medellin</v>
      </c>
      <c r="D204" s="91" t="str">
        <f>VLOOKUP(A204,'Q LUB'!A:L,8,FALSE)</f>
        <v>#N/A</v>
      </c>
      <c r="E204" s="92" t="str">
        <f t="shared" si="2"/>
        <v>#N/A</v>
      </c>
      <c r="F204" s="92" t="str">
        <f>VLOOKUP(A204,'Q LUB'!A:L,7,FALSE)</f>
        <v>#N/A</v>
      </c>
      <c r="G204" s="92" t="str">
        <f>VLOOKUP(A204,'Q LUB'!A:L,5,FALSE)</f>
        <v>#N/A</v>
      </c>
      <c r="H204" s="92" t="str">
        <f>VLOOKUP(A204,'Q LUB'!A:L,4,FALSE)</f>
        <v>#N/A</v>
      </c>
      <c r="I204" s="92" t="str">
        <f t="shared" ref="I204:J204" si="206">G204-E204</f>
        <v>#N/A</v>
      </c>
      <c r="J204" s="92" t="str">
        <f t="shared" si="206"/>
        <v>#N/A</v>
      </c>
      <c r="K204" s="97" t="str">
        <f t="shared" si="4"/>
        <v>#N/A</v>
      </c>
      <c r="L204" s="97" t="str">
        <f t="shared" si="5"/>
        <v>#N/A</v>
      </c>
      <c r="M204" s="104"/>
      <c r="N204" s="103"/>
      <c r="O204" s="103"/>
      <c r="P204" s="103"/>
      <c r="Q204" s="103"/>
      <c r="R204" s="103"/>
    </row>
    <row r="205">
      <c r="A205" s="95">
        <f>'RECURSO ACTUAL'!A206</f>
        <v>962</v>
      </c>
      <c r="B205" s="96">
        <f>'RECURSO ACTUAL'!F206</f>
        <v>46500</v>
      </c>
      <c r="C205" s="97" t="str">
        <f>'RECURSO ACTUAL'!B206</f>
        <v>02-Medellin</v>
      </c>
      <c r="D205" s="91" t="str">
        <f>VLOOKUP(A205,'Q LUB'!A:L,8,FALSE)</f>
        <v>#N/A</v>
      </c>
      <c r="E205" s="92" t="str">
        <f t="shared" si="2"/>
        <v>#N/A</v>
      </c>
      <c r="F205" s="92" t="str">
        <f>VLOOKUP(A205,'Q LUB'!A:L,7,FALSE)</f>
        <v>#N/A</v>
      </c>
      <c r="G205" s="92" t="str">
        <f>VLOOKUP(A205,'Q LUB'!A:L,5,FALSE)</f>
        <v>#N/A</v>
      </c>
      <c r="H205" s="92" t="str">
        <f>VLOOKUP(A205,'Q LUB'!A:L,4,FALSE)</f>
        <v>#N/A</v>
      </c>
      <c r="I205" s="92" t="str">
        <f t="shared" ref="I205:J205" si="207">G205-E205</f>
        <v>#N/A</v>
      </c>
      <c r="J205" s="92" t="str">
        <f t="shared" si="207"/>
        <v>#N/A</v>
      </c>
      <c r="K205" s="97" t="str">
        <f t="shared" si="4"/>
        <v>#N/A</v>
      </c>
      <c r="L205" s="97" t="str">
        <f t="shared" si="5"/>
        <v>#N/A</v>
      </c>
      <c r="M205" s="104"/>
      <c r="N205" s="103"/>
      <c r="O205" s="103"/>
      <c r="P205" s="103"/>
      <c r="Q205" s="103"/>
      <c r="R205" s="103"/>
    </row>
    <row r="206">
      <c r="A206" s="95">
        <f>'RECURSO ACTUAL'!A207</f>
        <v>975</v>
      </c>
      <c r="B206" s="96">
        <f>'RECURSO ACTUAL'!F207</f>
        <v>46214</v>
      </c>
      <c r="C206" s="97" t="str">
        <f>'RECURSO ACTUAL'!B207</f>
        <v>02-Medellin</v>
      </c>
      <c r="D206" s="91" t="str">
        <f>VLOOKUP(A206,'Q LUB'!A:L,8,FALSE)</f>
        <v>#N/A</v>
      </c>
      <c r="E206" s="92" t="str">
        <f t="shared" si="2"/>
        <v>#N/A</v>
      </c>
      <c r="F206" s="92" t="str">
        <f>VLOOKUP(A206,'Q LUB'!A:L,7,FALSE)</f>
        <v>#N/A</v>
      </c>
      <c r="G206" s="92" t="str">
        <f>VLOOKUP(A206,'Q LUB'!A:L,5,FALSE)</f>
        <v>#N/A</v>
      </c>
      <c r="H206" s="92" t="str">
        <f>VLOOKUP(A206,'Q LUB'!A:L,4,FALSE)</f>
        <v>#N/A</v>
      </c>
      <c r="I206" s="92" t="str">
        <f t="shared" ref="I206:J206" si="208">G206-E206</f>
        <v>#N/A</v>
      </c>
      <c r="J206" s="92" t="str">
        <f t="shared" si="208"/>
        <v>#N/A</v>
      </c>
      <c r="K206" s="97" t="str">
        <f t="shared" si="4"/>
        <v>#N/A</v>
      </c>
      <c r="L206" s="97" t="str">
        <f t="shared" si="5"/>
        <v>#N/A</v>
      </c>
      <c r="M206" s="104"/>
      <c r="N206" s="103"/>
      <c r="O206" s="103"/>
      <c r="P206" s="103"/>
      <c r="Q206" s="103"/>
      <c r="R206" s="103"/>
    </row>
    <row r="207">
      <c r="A207" s="95">
        <f>'RECURSO ACTUAL'!A208</f>
        <v>976</v>
      </c>
      <c r="B207" s="96">
        <f>'RECURSO ACTUAL'!F208</f>
        <v>46047</v>
      </c>
      <c r="C207" s="97" t="str">
        <f>'RECURSO ACTUAL'!B208</f>
        <v>02-Medellin</v>
      </c>
      <c r="D207" s="91" t="str">
        <f>VLOOKUP(A207,'Q LUB'!A:L,8,FALSE)</f>
        <v>#N/A</v>
      </c>
      <c r="E207" s="92" t="str">
        <f t="shared" si="2"/>
        <v>#N/A</v>
      </c>
      <c r="F207" s="92" t="str">
        <f>VLOOKUP(A207,'Q LUB'!A:L,7,FALSE)</f>
        <v>#N/A</v>
      </c>
      <c r="G207" s="92" t="str">
        <f>VLOOKUP(A207,'Q LUB'!A:L,5,FALSE)</f>
        <v>#N/A</v>
      </c>
      <c r="H207" s="92" t="str">
        <f>VLOOKUP(A207,'Q LUB'!A:L,4,FALSE)</f>
        <v>#N/A</v>
      </c>
      <c r="I207" s="92" t="str">
        <f t="shared" ref="I207:J207" si="209">G207-E207</f>
        <v>#N/A</v>
      </c>
      <c r="J207" s="92" t="str">
        <f t="shared" si="209"/>
        <v>#N/A</v>
      </c>
      <c r="K207" s="97" t="str">
        <f t="shared" si="4"/>
        <v>#N/A</v>
      </c>
      <c r="L207" s="97" t="str">
        <f t="shared" si="5"/>
        <v>#N/A</v>
      </c>
      <c r="M207" s="104"/>
      <c r="N207" s="103"/>
      <c r="O207" s="103"/>
      <c r="P207" s="103"/>
      <c r="Q207" s="103"/>
      <c r="R207" s="103"/>
    </row>
    <row r="208">
      <c r="A208" s="95">
        <f>'RECURSO ACTUAL'!A209</f>
        <v>951</v>
      </c>
      <c r="B208" s="96">
        <f>'RECURSO ACTUAL'!F209</f>
        <v>46211</v>
      </c>
      <c r="C208" s="97" t="str">
        <f>'RECURSO ACTUAL'!B209</f>
        <v>02-Medellin</v>
      </c>
      <c r="D208" s="91">
        <f>VLOOKUP(A208,'Q LUB'!A:L,8,FALSE)</f>
        <v>45841</v>
      </c>
      <c r="E208" s="92">
        <f t="shared" si="2"/>
        <v>375</v>
      </c>
      <c r="F208" s="92">
        <f>VLOOKUP(A208,'Q LUB'!A:L,7,FALSE)</f>
        <v>0</v>
      </c>
      <c r="G208" s="92">
        <f>VLOOKUP(A208,'Q LUB'!A:L,5,FALSE)</f>
        <v>720</v>
      </c>
      <c r="H208" s="92">
        <f>VLOOKUP(A208,'Q LUB'!A:L,4,FALSE)</f>
        <v>5000</v>
      </c>
      <c r="I208" s="92">
        <f t="shared" ref="I208:J208" si="210">G208-E208</f>
        <v>345</v>
      </c>
      <c r="J208" s="92">
        <f t="shared" si="210"/>
        <v>5000</v>
      </c>
      <c r="K208" s="97" t="str">
        <f t="shared" si="4"/>
        <v>VIGENTE</v>
      </c>
      <c r="L208" s="97" t="str">
        <f t="shared" si="5"/>
        <v>VIGENTE</v>
      </c>
      <c r="M208" s="104"/>
      <c r="N208" s="103"/>
      <c r="O208" s="103"/>
      <c r="P208" s="103"/>
      <c r="Q208" s="103"/>
      <c r="R208" s="103"/>
    </row>
    <row r="209">
      <c r="A209" s="95">
        <f>'RECURSO ACTUAL'!A210</f>
        <v>2779</v>
      </c>
      <c r="B209" s="96">
        <f>'RECURSO ACTUAL'!F210</f>
        <v>46306</v>
      </c>
      <c r="C209" s="97" t="str">
        <f>'RECURSO ACTUAL'!B210</f>
        <v>02-Medellin</v>
      </c>
      <c r="D209" s="91">
        <f>VLOOKUP(A209,'Q LUB'!A:L,8,FALSE)</f>
        <v>46161</v>
      </c>
      <c r="E209" s="92">
        <f t="shared" si="2"/>
        <v>55</v>
      </c>
      <c r="F209" s="92">
        <f>VLOOKUP(A209,'Q LUB'!A:L,7,FALSE)</f>
        <v>17936.7</v>
      </c>
      <c r="G209" s="92">
        <f>VLOOKUP(A209,'Q LUB'!A:L,5,FALSE)</f>
        <v>120</v>
      </c>
      <c r="H209" s="92">
        <f>VLOOKUP(A209,'Q LUB'!A:L,4,FALSE)</f>
        <v>30000</v>
      </c>
      <c r="I209" s="92">
        <f t="shared" ref="I209:J209" si="211">G209-E209</f>
        <v>65</v>
      </c>
      <c r="J209" s="92">
        <f t="shared" si="211"/>
        <v>12063.3</v>
      </c>
      <c r="K209" s="97" t="str">
        <f t="shared" si="4"/>
        <v>VIGENTE</v>
      </c>
      <c r="L209" s="97" t="str">
        <f t="shared" si="5"/>
        <v>VIGENTE</v>
      </c>
      <c r="M209" s="104"/>
      <c r="N209" s="103"/>
      <c r="O209" s="103"/>
      <c r="P209" s="103"/>
      <c r="Q209" s="103"/>
      <c r="R209" s="103"/>
    </row>
    <row r="210">
      <c r="A210" s="95">
        <f>'RECURSO ACTUAL'!A211</f>
        <v>3047</v>
      </c>
      <c r="B210" s="96">
        <f>'RECURSO ACTUAL'!F211</f>
        <v>46276</v>
      </c>
      <c r="C210" s="97" t="str">
        <f>'RECURSO ACTUAL'!B211</f>
        <v>02-Medellin</v>
      </c>
      <c r="D210" s="91">
        <f>VLOOKUP(A210,'Q LUB'!A:L,8,FALSE)</f>
        <v>46193</v>
      </c>
      <c r="E210" s="92">
        <f t="shared" si="2"/>
        <v>23</v>
      </c>
      <c r="F210" s="92">
        <f>VLOOKUP(A210,'Q LUB'!A:L,7,FALSE)</f>
        <v>4532.8</v>
      </c>
      <c r="G210" s="92">
        <f>VLOOKUP(A210,'Q LUB'!A:L,5,FALSE)</f>
        <v>180</v>
      </c>
      <c r="H210" s="92">
        <f>VLOOKUP(A210,'Q LUB'!A:L,4,FALSE)</f>
        <v>30000</v>
      </c>
      <c r="I210" s="92">
        <f t="shared" ref="I210:J210" si="212">G210-E210</f>
        <v>157</v>
      </c>
      <c r="J210" s="92">
        <f t="shared" si="212"/>
        <v>25467.2</v>
      </c>
      <c r="K210" s="97" t="str">
        <f t="shared" si="4"/>
        <v>VIGENTE</v>
      </c>
      <c r="L210" s="97" t="str">
        <f t="shared" si="5"/>
        <v>VIGENTE</v>
      </c>
      <c r="M210" s="104"/>
      <c r="N210" s="103"/>
      <c r="O210" s="103"/>
      <c r="P210" s="103"/>
      <c r="Q210" s="103"/>
      <c r="R210" s="103"/>
    </row>
    <row r="211">
      <c r="A211" s="95">
        <f>'RECURSO ACTUAL'!A212</f>
        <v>3048</v>
      </c>
      <c r="B211" s="96">
        <f>'RECURSO ACTUAL'!F212</f>
        <v>46280</v>
      </c>
      <c r="C211" s="97" t="str">
        <f>'RECURSO ACTUAL'!B212</f>
        <v>02-Medellin</v>
      </c>
      <c r="D211" s="91">
        <f>VLOOKUP(A211,'Q LUB'!A:L,8,FALSE)</f>
        <v>46050</v>
      </c>
      <c r="E211" s="92">
        <f t="shared" si="2"/>
        <v>166</v>
      </c>
      <c r="F211" s="92">
        <f>VLOOKUP(A211,'Q LUB'!A:L,7,FALSE)</f>
        <v>10693.5</v>
      </c>
      <c r="G211" s="92">
        <f>VLOOKUP(A211,'Q LUB'!A:L,5,FALSE)</f>
        <v>180</v>
      </c>
      <c r="H211" s="92">
        <f>VLOOKUP(A211,'Q LUB'!A:L,4,FALSE)</f>
        <v>30000</v>
      </c>
      <c r="I211" s="92">
        <f t="shared" ref="I211:J211" si="213">G211-E211</f>
        <v>14</v>
      </c>
      <c r="J211" s="92">
        <f t="shared" si="213"/>
        <v>19306.5</v>
      </c>
      <c r="K211" s="97" t="str">
        <f t="shared" si="4"/>
        <v>VIGENTE</v>
      </c>
      <c r="L211" s="97" t="str">
        <f t="shared" si="5"/>
        <v>VIGENTE</v>
      </c>
      <c r="M211" s="104"/>
      <c r="N211" s="103"/>
      <c r="O211" s="103"/>
      <c r="P211" s="103"/>
      <c r="Q211" s="103"/>
      <c r="R211" s="103"/>
    </row>
    <row r="212">
      <c r="A212" s="95">
        <f>'RECURSO ACTUAL'!A213</f>
        <v>3049</v>
      </c>
      <c r="B212" s="96">
        <f>'RECURSO ACTUAL'!F213</f>
        <v>46273</v>
      </c>
      <c r="C212" s="97" t="str">
        <f>'RECURSO ACTUAL'!B213</f>
        <v>02-Medellin</v>
      </c>
      <c r="D212" s="91">
        <f>VLOOKUP(A212,'Q LUB'!A:L,8,FALSE)</f>
        <v>46060</v>
      </c>
      <c r="E212" s="92">
        <f t="shared" si="2"/>
        <v>156</v>
      </c>
      <c r="F212" s="92">
        <f>VLOOKUP(A212,'Q LUB'!A:L,7,FALSE)</f>
        <v>9280.4</v>
      </c>
      <c r="G212" s="92">
        <f>VLOOKUP(A212,'Q LUB'!A:L,5,FALSE)</f>
        <v>180</v>
      </c>
      <c r="H212" s="92">
        <f>VLOOKUP(A212,'Q LUB'!A:L,4,FALSE)</f>
        <v>30000</v>
      </c>
      <c r="I212" s="92">
        <f t="shared" ref="I212:J212" si="214">G212-E212</f>
        <v>24</v>
      </c>
      <c r="J212" s="92">
        <f t="shared" si="214"/>
        <v>20719.6</v>
      </c>
      <c r="K212" s="97" t="str">
        <f t="shared" si="4"/>
        <v>VIGENTE</v>
      </c>
      <c r="L212" s="97" t="str">
        <f t="shared" si="5"/>
        <v>VIGENTE</v>
      </c>
      <c r="M212" s="104"/>
      <c r="N212" s="103"/>
      <c r="O212" s="103"/>
      <c r="P212" s="103"/>
      <c r="Q212" s="103"/>
      <c r="R212" s="103"/>
    </row>
    <row r="213">
      <c r="A213" s="95">
        <f>'RECURSO ACTUAL'!A214</f>
        <v>461</v>
      </c>
      <c r="B213" s="96">
        <f>'RECURSO ACTUAL'!F214</f>
        <v>46420</v>
      </c>
      <c r="C213" s="97" t="str">
        <f>'RECURSO ACTUAL'!B214</f>
        <v>02-Medellin</v>
      </c>
      <c r="D213" s="91">
        <f>VLOOKUP(A213,'Q LUB'!A:L,8,FALSE)</f>
        <v>46093</v>
      </c>
      <c r="E213" s="92">
        <f t="shared" si="2"/>
        <v>123</v>
      </c>
      <c r="F213" s="92">
        <f>VLOOKUP(A213,'Q LUB'!A:L,7,FALSE)</f>
        <v>9761.5</v>
      </c>
      <c r="G213" s="92">
        <f>VLOOKUP(A213,'Q LUB'!A:L,5,FALSE)</f>
        <v>180</v>
      </c>
      <c r="H213" s="92">
        <f>VLOOKUP(A213,'Q LUB'!A:L,4,FALSE)</f>
        <v>30000</v>
      </c>
      <c r="I213" s="92">
        <f t="shared" ref="I213:J213" si="215">G213-E213</f>
        <v>57</v>
      </c>
      <c r="J213" s="92">
        <f t="shared" si="215"/>
        <v>20238.5</v>
      </c>
      <c r="K213" s="97" t="str">
        <f t="shared" si="4"/>
        <v>VIGENTE</v>
      </c>
      <c r="L213" s="97" t="str">
        <f t="shared" si="5"/>
        <v>VIGENTE</v>
      </c>
      <c r="M213" s="104"/>
      <c r="N213" s="103"/>
      <c r="O213" s="103"/>
      <c r="P213" s="103"/>
      <c r="Q213" s="103"/>
      <c r="R213" s="103"/>
    </row>
    <row r="214">
      <c r="A214" s="95">
        <f>'RECURSO ACTUAL'!A215</f>
        <v>464</v>
      </c>
      <c r="B214" s="96">
        <f>'RECURSO ACTUAL'!F215</f>
        <v>46464</v>
      </c>
      <c r="C214" s="97" t="str">
        <f>'RECURSO ACTUAL'!B215</f>
        <v>02-Medellin</v>
      </c>
      <c r="D214" s="91">
        <f>VLOOKUP(A214,'Q LUB'!A:L,8,FALSE)</f>
        <v>46099</v>
      </c>
      <c r="E214" s="92">
        <f t="shared" si="2"/>
        <v>117</v>
      </c>
      <c r="F214" s="92">
        <f>VLOOKUP(A214,'Q LUB'!A:L,7,FALSE)</f>
        <v>6353.4</v>
      </c>
      <c r="G214" s="92">
        <f>VLOOKUP(A214,'Q LUB'!A:L,5,FALSE)</f>
        <v>120</v>
      </c>
      <c r="H214" s="92">
        <f>VLOOKUP(A214,'Q LUB'!A:L,4,FALSE)</f>
        <v>30000</v>
      </c>
      <c r="I214" s="92">
        <f t="shared" ref="I214:J214" si="216">G214-E214</f>
        <v>3</v>
      </c>
      <c r="J214" s="92">
        <f t="shared" si="216"/>
        <v>23646.6</v>
      </c>
      <c r="K214" s="97" t="str">
        <f t="shared" si="4"/>
        <v>PRÓXIMO</v>
      </c>
      <c r="L214" s="97" t="str">
        <f t="shared" si="5"/>
        <v>VIGENTE</v>
      </c>
      <c r="M214" s="104"/>
      <c r="N214" s="103"/>
      <c r="O214" s="103"/>
      <c r="P214" s="103"/>
      <c r="Q214" s="103"/>
      <c r="R214" s="103"/>
    </row>
    <row r="215">
      <c r="A215" s="95">
        <f>'RECURSO ACTUAL'!A216</f>
        <v>472</v>
      </c>
      <c r="B215" s="96">
        <f>'RECURSO ACTUAL'!F216</f>
        <v>46213</v>
      </c>
      <c r="C215" s="97" t="str">
        <f>'RECURSO ACTUAL'!B216</f>
        <v>02-Medellin</v>
      </c>
      <c r="D215" s="91">
        <f>VLOOKUP(A215,'Q LUB'!A:L,8,FALSE)</f>
        <v>46146</v>
      </c>
      <c r="E215" s="92">
        <f t="shared" si="2"/>
        <v>70</v>
      </c>
      <c r="F215" s="92">
        <f>VLOOKUP(A215,'Q LUB'!A:L,7,FALSE)</f>
        <v>7494.5</v>
      </c>
      <c r="G215" s="92">
        <f>VLOOKUP(A215,'Q LUB'!A:L,5,FALSE)</f>
        <v>180</v>
      </c>
      <c r="H215" s="92">
        <f>VLOOKUP(A215,'Q LUB'!A:L,4,FALSE)</f>
        <v>30000</v>
      </c>
      <c r="I215" s="92">
        <f t="shared" ref="I215:J215" si="217">G215-E215</f>
        <v>110</v>
      </c>
      <c r="J215" s="92">
        <f t="shared" si="217"/>
        <v>22505.5</v>
      </c>
      <c r="K215" s="97" t="str">
        <f t="shared" si="4"/>
        <v>VIGENTE</v>
      </c>
      <c r="L215" s="97" t="str">
        <f t="shared" si="5"/>
        <v>VIGENTE</v>
      </c>
      <c r="M215" s="104"/>
      <c r="N215" s="103"/>
      <c r="O215" s="103"/>
      <c r="P215" s="103"/>
      <c r="Q215" s="103"/>
      <c r="R215" s="103"/>
    </row>
    <row r="216">
      <c r="A216" s="95">
        <f>'RECURSO ACTUAL'!A217</f>
        <v>481</v>
      </c>
      <c r="B216" s="96">
        <f>'RECURSO ACTUAL'!F217</f>
        <v>46287</v>
      </c>
      <c r="C216" s="97" t="str">
        <f>'RECURSO ACTUAL'!B217</f>
        <v>02-Medellin</v>
      </c>
      <c r="D216" s="91">
        <f>VLOOKUP(A216,'Q LUB'!A:L,8,FALSE)</f>
        <v>46036</v>
      </c>
      <c r="E216" s="92">
        <f t="shared" si="2"/>
        <v>180</v>
      </c>
      <c r="F216" s="92">
        <f>VLOOKUP(A216,'Q LUB'!A:L,7,FALSE)</f>
        <v>17198.2</v>
      </c>
      <c r="G216" s="92">
        <f>VLOOKUP(A216,'Q LUB'!A:L,5,FALSE)</f>
        <v>180</v>
      </c>
      <c r="H216" s="92">
        <f>VLOOKUP(A216,'Q LUB'!A:L,4,FALSE)</f>
        <v>30000</v>
      </c>
      <c r="I216" s="92">
        <f t="shared" ref="I216:J216" si="218">G216-E216</f>
        <v>0</v>
      </c>
      <c r="J216" s="92">
        <f t="shared" si="218"/>
        <v>12801.8</v>
      </c>
      <c r="K216" s="97" t="str">
        <f t="shared" si="4"/>
        <v>PRÓXIMO</v>
      </c>
      <c r="L216" s="97" t="str">
        <f t="shared" si="5"/>
        <v>VIGENTE</v>
      </c>
      <c r="M216" s="104"/>
      <c r="N216" s="103"/>
      <c r="O216" s="103"/>
      <c r="P216" s="103"/>
      <c r="Q216" s="103"/>
      <c r="R216" s="103"/>
    </row>
    <row r="217">
      <c r="A217" s="95">
        <f>'RECURSO ACTUAL'!A218</f>
        <v>487</v>
      </c>
      <c r="B217" s="96">
        <f>'RECURSO ACTUAL'!F218</f>
        <v>46242</v>
      </c>
      <c r="C217" s="97" t="str">
        <f>'RECURSO ACTUAL'!B218</f>
        <v>02-Medellin</v>
      </c>
      <c r="D217" s="91">
        <f>VLOOKUP(A217,'Q LUB'!A:L,8,FALSE)</f>
        <v>46037</v>
      </c>
      <c r="E217" s="92">
        <f t="shared" si="2"/>
        <v>179</v>
      </c>
      <c r="F217" s="92">
        <f>VLOOKUP(A217,'Q LUB'!A:L,7,FALSE)</f>
        <v>19236.6</v>
      </c>
      <c r="G217" s="92">
        <f>VLOOKUP(A217,'Q LUB'!A:L,5,FALSE)</f>
        <v>180</v>
      </c>
      <c r="H217" s="92">
        <f>VLOOKUP(A217,'Q LUB'!A:L,4,FALSE)</f>
        <v>30000</v>
      </c>
      <c r="I217" s="92">
        <f t="shared" ref="I217:J217" si="219">G217-E217</f>
        <v>1</v>
      </c>
      <c r="J217" s="92">
        <f t="shared" si="219"/>
        <v>10763.4</v>
      </c>
      <c r="K217" s="97" t="str">
        <f t="shared" si="4"/>
        <v>PRÓXIMO</v>
      </c>
      <c r="L217" s="97" t="str">
        <f t="shared" si="5"/>
        <v>VIGENTE</v>
      </c>
      <c r="M217" s="104"/>
      <c r="N217" s="103"/>
      <c r="O217" s="103"/>
      <c r="P217" s="103"/>
      <c r="Q217" s="103"/>
      <c r="R217" s="103"/>
    </row>
    <row r="218">
      <c r="A218" s="95">
        <f>'RECURSO ACTUAL'!A219</f>
        <v>495</v>
      </c>
      <c r="B218" s="96">
        <f>'RECURSO ACTUAL'!F219</f>
        <v>46297</v>
      </c>
      <c r="C218" s="97" t="str">
        <f>'RECURSO ACTUAL'!B219</f>
        <v>02-Medellin</v>
      </c>
      <c r="D218" s="91">
        <f>VLOOKUP(A218,'Q LUB'!A:L,8,FALSE)</f>
        <v>46035</v>
      </c>
      <c r="E218" s="92">
        <f t="shared" si="2"/>
        <v>181</v>
      </c>
      <c r="F218" s="92">
        <f>VLOOKUP(A218,'Q LUB'!A:L,7,FALSE)</f>
        <v>15764.7</v>
      </c>
      <c r="G218" s="92">
        <f>VLOOKUP(A218,'Q LUB'!A:L,5,FALSE)</f>
        <v>180</v>
      </c>
      <c r="H218" s="92">
        <f>VLOOKUP(A218,'Q LUB'!A:L,4,FALSE)</f>
        <v>30000</v>
      </c>
      <c r="I218" s="92">
        <f t="shared" ref="I218:J218" si="220">G218-E218</f>
        <v>-1</v>
      </c>
      <c r="J218" s="92">
        <f t="shared" si="220"/>
        <v>14235.3</v>
      </c>
      <c r="K218" s="97" t="str">
        <f t="shared" si="4"/>
        <v>PASADO</v>
      </c>
      <c r="L218" s="97" t="str">
        <f t="shared" si="5"/>
        <v>VIGENTE</v>
      </c>
      <c r="M218" s="104"/>
      <c r="N218" s="103"/>
      <c r="O218" s="103"/>
      <c r="P218" s="103"/>
      <c r="Q218" s="103"/>
      <c r="R218" s="103"/>
    </row>
    <row r="219">
      <c r="A219" s="95">
        <f>'RECURSO ACTUAL'!A220</f>
        <v>496</v>
      </c>
      <c r="B219" s="96">
        <f>'RECURSO ACTUAL'!F220</f>
        <v>46315</v>
      </c>
      <c r="C219" s="97" t="str">
        <f>'RECURSO ACTUAL'!B220</f>
        <v>02-Medellin</v>
      </c>
      <c r="D219" s="91">
        <f>VLOOKUP(A219,'Q LUB'!A:L,8,FALSE)</f>
        <v>46038</v>
      </c>
      <c r="E219" s="92">
        <f t="shared" si="2"/>
        <v>178</v>
      </c>
      <c r="F219" s="92">
        <f>VLOOKUP(A219,'Q LUB'!A:L,7,FALSE)</f>
        <v>12592.2</v>
      </c>
      <c r="G219" s="92">
        <f>VLOOKUP(A219,'Q LUB'!A:L,5,FALSE)</f>
        <v>180</v>
      </c>
      <c r="H219" s="92">
        <f>VLOOKUP(A219,'Q LUB'!A:L,4,FALSE)</f>
        <v>30000</v>
      </c>
      <c r="I219" s="92">
        <f t="shared" ref="I219:J219" si="221">G219-E219</f>
        <v>2</v>
      </c>
      <c r="J219" s="92">
        <f t="shared" si="221"/>
        <v>17407.8</v>
      </c>
      <c r="K219" s="97" t="str">
        <f t="shared" si="4"/>
        <v>PRÓXIMO</v>
      </c>
      <c r="L219" s="97" t="str">
        <f t="shared" si="5"/>
        <v>VIGENTE</v>
      </c>
      <c r="M219" s="104"/>
      <c r="N219" s="103"/>
      <c r="O219" s="103"/>
      <c r="P219" s="103"/>
      <c r="Q219" s="103"/>
      <c r="R219" s="103"/>
    </row>
    <row r="220">
      <c r="A220" s="95">
        <f>'RECURSO ACTUAL'!A221</f>
        <v>654</v>
      </c>
      <c r="B220" s="96">
        <f>'RECURSO ACTUAL'!F221</f>
        <v>46309</v>
      </c>
      <c r="C220" s="97" t="str">
        <f>'RECURSO ACTUAL'!B221</f>
        <v>02-Medellin</v>
      </c>
      <c r="D220" s="91">
        <f>VLOOKUP(A220,'Q LUB'!A:L,8,FALSE)</f>
        <v>46061</v>
      </c>
      <c r="E220" s="92">
        <f t="shared" si="2"/>
        <v>155</v>
      </c>
      <c r="F220" s="92">
        <f>VLOOKUP(A220,'Q LUB'!A:L,7,FALSE)</f>
        <v>12411.7</v>
      </c>
      <c r="G220" s="92">
        <f>VLOOKUP(A220,'Q LUB'!A:L,5,FALSE)</f>
        <v>180</v>
      </c>
      <c r="H220" s="92">
        <f>VLOOKUP(A220,'Q LUB'!A:L,4,FALSE)</f>
        <v>30000</v>
      </c>
      <c r="I220" s="92">
        <f t="shared" ref="I220:J220" si="222">G220-E220</f>
        <v>25</v>
      </c>
      <c r="J220" s="92">
        <f t="shared" si="222"/>
        <v>17588.3</v>
      </c>
      <c r="K220" s="97" t="str">
        <f t="shared" si="4"/>
        <v>VIGENTE</v>
      </c>
      <c r="L220" s="97" t="str">
        <f t="shared" si="5"/>
        <v>VIGENTE</v>
      </c>
      <c r="M220" s="104"/>
      <c r="N220" s="103"/>
      <c r="O220" s="103"/>
      <c r="P220" s="103"/>
      <c r="Q220" s="103"/>
      <c r="R220" s="103"/>
    </row>
    <row r="221">
      <c r="A221" s="95">
        <f>'RECURSO ACTUAL'!A222</f>
        <v>657</v>
      </c>
      <c r="B221" s="96">
        <f>'RECURSO ACTUAL'!F222</f>
        <v>46301</v>
      </c>
      <c r="C221" s="97" t="str">
        <f>'RECURSO ACTUAL'!B222</f>
        <v>02-Medellin</v>
      </c>
      <c r="D221" s="91">
        <f>VLOOKUP(A221,'Q LUB'!A:L,8,FALSE)</f>
        <v>46078</v>
      </c>
      <c r="E221" s="92">
        <f t="shared" si="2"/>
        <v>138</v>
      </c>
      <c r="F221" s="92">
        <f>VLOOKUP(A221,'Q LUB'!A:L,7,FALSE)</f>
        <v>10449</v>
      </c>
      <c r="G221" s="92">
        <f>VLOOKUP(A221,'Q LUB'!A:L,5,FALSE)</f>
        <v>180</v>
      </c>
      <c r="H221" s="92">
        <f>VLOOKUP(A221,'Q LUB'!A:L,4,FALSE)</f>
        <v>30000</v>
      </c>
      <c r="I221" s="92">
        <f t="shared" ref="I221:J221" si="223">G221-E221</f>
        <v>42</v>
      </c>
      <c r="J221" s="92">
        <f t="shared" si="223"/>
        <v>19551</v>
      </c>
      <c r="K221" s="97" t="str">
        <f t="shared" si="4"/>
        <v>VIGENTE</v>
      </c>
      <c r="L221" s="97" t="str">
        <f t="shared" si="5"/>
        <v>VIGENTE</v>
      </c>
      <c r="M221" s="104"/>
      <c r="N221" s="103"/>
      <c r="O221" s="103"/>
      <c r="P221" s="103"/>
      <c r="Q221" s="103"/>
      <c r="R221" s="103"/>
    </row>
    <row r="222">
      <c r="A222" s="95">
        <f>'RECURSO ACTUAL'!A223</f>
        <v>661</v>
      </c>
      <c r="B222" s="96">
        <f>'RECURSO ACTUAL'!F223</f>
        <v>46420</v>
      </c>
      <c r="C222" s="97" t="str">
        <f>'RECURSO ACTUAL'!B223</f>
        <v>02-Medellin</v>
      </c>
      <c r="D222" s="91">
        <f>VLOOKUP(A222,'Q LUB'!A:L,8,FALSE)</f>
        <v>46090</v>
      </c>
      <c r="E222" s="92">
        <f t="shared" si="2"/>
        <v>126</v>
      </c>
      <c r="F222" s="92">
        <f>VLOOKUP(A222,'Q LUB'!A:L,7,FALSE)</f>
        <v>7636.5</v>
      </c>
      <c r="G222" s="92">
        <f>VLOOKUP(A222,'Q LUB'!A:L,5,FALSE)</f>
        <v>120</v>
      </c>
      <c r="H222" s="92">
        <f>VLOOKUP(A222,'Q LUB'!A:L,4,FALSE)</f>
        <v>30000</v>
      </c>
      <c r="I222" s="92">
        <f t="shared" ref="I222:J222" si="224">G222-E222</f>
        <v>-6</v>
      </c>
      <c r="J222" s="92">
        <f t="shared" si="224"/>
        <v>22363.5</v>
      </c>
      <c r="K222" s="97" t="str">
        <f t="shared" si="4"/>
        <v>PASADO</v>
      </c>
      <c r="L222" s="97" t="str">
        <f t="shared" si="5"/>
        <v>VIGENTE</v>
      </c>
      <c r="M222" s="104"/>
      <c r="N222" s="103"/>
      <c r="O222" s="103"/>
      <c r="P222" s="103"/>
      <c r="Q222" s="103"/>
      <c r="R222" s="103"/>
    </row>
    <row r="223">
      <c r="A223" s="95" t="str">
        <f>'RECURSO ACTUAL'!A224</f>
        <v/>
      </c>
      <c r="B223" s="95" t="str">
        <f>'RECURSO ACTUAL'!F224</f>
        <v/>
      </c>
      <c r="C223" s="97" t="str">
        <f>'RECURSO ACTUAL'!B224</f>
        <v/>
      </c>
      <c r="D223" s="91" t="str">
        <f>VLOOKUP(A223,'Q LUB'!A:L,8,FALSE)</f>
        <v>#N/A</v>
      </c>
      <c r="E223" s="92" t="str">
        <f t="shared" si="2"/>
        <v>#N/A</v>
      </c>
      <c r="F223" s="92" t="str">
        <f>VLOOKUP(A223,'Q LUB'!A:L,7,FALSE)</f>
        <v>#N/A</v>
      </c>
      <c r="G223" s="92" t="str">
        <f>VLOOKUP(A223,'Q LUB'!A:L,5,FALSE)</f>
        <v>#N/A</v>
      </c>
      <c r="H223" s="92" t="str">
        <f>VLOOKUP(A223,'Q LUB'!A:L,4,FALSE)</f>
        <v>#N/A</v>
      </c>
      <c r="I223" s="92" t="str">
        <f t="shared" ref="I223:J223" si="225">G223-E223</f>
        <v>#N/A</v>
      </c>
      <c r="J223" s="92" t="str">
        <f t="shared" si="225"/>
        <v>#N/A</v>
      </c>
      <c r="K223" s="97" t="str">
        <f t="shared" si="4"/>
        <v>#N/A</v>
      </c>
      <c r="L223" s="97" t="str">
        <f t="shared" si="5"/>
        <v>#N/A</v>
      </c>
      <c r="M223" s="104"/>
      <c r="N223" s="103"/>
      <c r="O223" s="103"/>
      <c r="P223" s="103"/>
      <c r="Q223" s="103"/>
      <c r="R223" s="103"/>
    </row>
    <row r="224">
      <c r="A224" s="105" t="str">
        <f>'RECURSO ACTUAL'!A226</f>
        <v/>
      </c>
      <c r="B224" s="103"/>
      <c r="C224" s="106"/>
      <c r="D224" s="106"/>
      <c r="E224" s="107"/>
      <c r="F224" s="108"/>
      <c r="G224" s="107"/>
      <c r="H224" s="107"/>
      <c r="I224" s="107"/>
      <c r="J224" s="107"/>
      <c r="K224" s="107"/>
      <c r="L224" s="107"/>
      <c r="M224" s="104"/>
      <c r="N224" s="103"/>
      <c r="O224" s="103"/>
      <c r="P224" s="103"/>
      <c r="Q224" s="103"/>
      <c r="R224" s="103"/>
    </row>
    <row r="225">
      <c r="A225" s="109" t="str">
        <f>'RECURSO ACTUAL'!A227</f>
        <v/>
      </c>
      <c r="B225" s="103"/>
      <c r="C225" s="106"/>
      <c r="D225" s="106"/>
      <c r="E225" s="107"/>
      <c r="F225" s="108"/>
      <c r="G225" s="107"/>
      <c r="H225" s="107"/>
      <c r="I225" s="107"/>
      <c r="J225" s="107"/>
      <c r="K225" s="107"/>
      <c r="L225" s="107"/>
      <c r="M225" s="104"/>
      <c r="N225" s="103"/>
      <c r="O225" s="103"/>
      <c r="P225" s="103"/>
      <c r="Q225" s="103"/>
      <c r="R225" s="103"/>
    </row>
    <row r="226">
      <c r="A226" s="109" t="str">
        <f>'RECURSO ACTUAL'!A228</f>
        <v/>
      </c>
      <c r="B226" s="103"/>
      <c r="C226" s="106"/>
      <c r="D226" s="106"/>
      <c r="E226" s="107"/>
      <c r="F226" s="108"/>
      <c r="G226" s="107"/>
      <c r="H226" s="107"/>
      <c r="I226" s="107"/>
      <c r="J226" s="107"/>
      <c r="K226" s="107"/>
      <c r="L226" s="107"/>
      <c r="M226" s="104"/>
      <c r="N226" s="103"/>
      <c r="O226" s="103"/>
      <c r="P226" s="103"/>
      <c r="Q226" s="103"/>
      <c r="R226" s="103"/>
    </row>
    <row r="227">
      <c r="A227" s="109" t="str">
        <f>'RECURSO ACTUAL'!A229</f>
        <v/>
      </c>
      <c r="B227" s="103"/>
      <c r="C227" s="106"/>
      <c r="D227" s="106"/>
      <c r="E227" s="107"/>
      <c r="F227" s="108"/>
      <c r="G227" s="107"/>
      <c r="H227" s="107"/>
      <c r="I227" s="107"/>
      <c r="J227" s="107"/>
      <c r="K227" s="107"/>
      <c r="L227" s="107"/>
      <c r="M227" s="104"/>
      <c r="N227" s="103"/>
      <c r="O227" s="103"/>
      <c r="P227" s="103"/>
      <c r="Q227" s="103"/>
      <c r="R227" s="103"/>
    </row>
    <row r="228">
      <c r="A228" s="109" t="str">
        <f>'RECURSO ACTUAL'!A230</f>
        <v/>
      </c>
      <c r="B228" s="103"/>
      <c r="C228" s="106"/>
      <c r="D228" s="106"/>
      <c r="E228" s="107"/>
      <c r="F228" s="108"/>
      <c r="G228" s="107"/>
      <c r="H228" s="107"/>
      <c r="I228" s="107"/>
      <c r="J228" s="107"/>
      <c r="K228" s="107"/>
      <c r="L228" s="107"/>
      <c r="M228" s="104"/>
      <c r="N228" s="103"/>
      <c r="O228" s="103"/>
      <c r="P228" s="103"/>
      <c r="Q228" s="103"/>
      <c r="R228" s="103"/>
    </row>
    <row r="229">
      <c r="A229" s="109" t="str">
        <f>'RECURSO ACTUAL'!A231</f>
        <v/>
      </c>
      <c r="B229" s="103"/>
      <c r="C229" s="106"/>
      <c r="D229" s="106"/>
      <c r="E229" s="107"/>
      <c r="F229" s="108"/>
      <c r="G229" s="107"/>
      <c r="H229" s="107"/>
      <c r="I229" s="107"/>
      <c r="J229" s="107"/>
      <c r="K229" s="107"/>
      <c r="L229" s="107"/>
      <c r="M229" s="104"/>
      <c r="N229" s="103"/>
      <c r="O229" s="103"/>
      <c r="P229" s="103"/>
      <c r="Q229" s="103"/>
      <c r="R229" s="103"/>
    </row>
    <row r="230">
      <c r="A230" s="109" t="str">
        <f>'RECURSO ACTUAL'!A232</f>
        <v/>
      </c>
      <c r="B230" s="103"/>
      <c r="C230" s="106"/>
      <c r="D230" s="106"/>
      <c r="E230" s="107"/>
      <c r="F230" s="108"/>
      <c r="G230" s="107"/>
      <c r="H230" s="107"/>
      <c r="I230" s="107"/>
      <c r="J230" s="107"/>
      <c r="K230" s="107"/>
      <c r="L230" s="107"/>
      <c r="M230" s="104"/>
      <c r="N230" s="103"/>
      <c r="O230" s="103"/>
      <c r="P230" s="103"/>
      <c r="Q230" s="103"/>
      <c r="R230" s="103"/>
    </row>
    <row r="231">
      <c r="A231" s="109" t="str">
        <f>'RECURSO ACTUAL'!A233</f>
        <v/>
      </c>
      <c r="B231" s="103"/>
      <c r="C231" s="106"/>
      <c r="D231" s="106"/>
      <c r="E231" s="107"/>
      <c r="F231" s="108"/>
      <c r="G231" s="107"/>
      <c r="H231" s="107"/>
      <c r="I231" s="107"/>
      <c r="J231" s="107"/>
      <c r="K231" s="107"/>
      <c r="L231" s="107"/>
      <c r="M231" s="104"/>
      <c r="N231" s="103"/>
      <c r="O231" s="103"/>
      <c r="P231" s="103"/>
      <c r="Q231" s="103"/>
      <c r="R231" s="103"/>
    </row>
    <row r="232">
      <c r="A232" s="109" t="str">
        <f>'RECURSO ACTUAL'!A234</f>
        <v/>
      </c>
      <c r="B232" s="103"/>
      <c r="C232" s="106"/>
      <c r="D232" s="106"/>
      <c r="E232" s="107"/>
      <c r="F232" s="108"/>
      <c r="G232" s="107"/>
      <c r="H232" s="107"/>
      <c r="I232" s="107"/>
      <c r="J232" s="107"/>
      <c r="K232" s="107"/>
      <c r="L232" s="107"/>
      <c r="M232" s="104"/>
      <c r="N232" s="103"/>
      <c r="O232" s="103"/>
      <c r="P232" s="103"/>
      <c r="Q232" s="103"/>
      <c r="R232" s="103"/>
    </row>
    <row r="233">
      <c r="A233" s="109" t="str">
        <f>'RECURSO ACTUAL'!A235</f>
        <v/>
      </c>
      <c r="B233" s="103"/>
      <c r="C233" s="106"/>
      <c r="D233" s="106"/>
      <c r="E233" s="107"/>
      <c r="F233" s="108"/>
      <c r="G233" s="107"/>
      <c r="H233" s="107"/>
      <c r="I233" s="107"/>
      <c r="J233" s="107"/>
      <c r="K233" s="107"/>
      <c r="L233" s="107"/>
      <c r="M233" s="104"/>
      <c r="N233" s="103"/>
      <c r="O233" s="103"/>
      <c r="P233" s="103"/>
      <c r="Q233" s="103"/>
      <c r="R233" s="103"/>
    </row>
    <row r="234">
      <c r="A234" s="109" t="str">
        <f>'RECURSO ACTUAL'!A236</f>
        <v/>
      </c>
      <c r="B234" s="103"/>
      <c r="C234" s="106"/>
      <c r="D234" s="106"/>
      <c r="E234" s="107"/>
      <c r="F234" s="108"/>
      <c r="G234" s="107"/>
      <c r="H234" s="107"/>
      <c r="I234" s="107"/>
      <c r="J234" s="107"/>
      <c r="K234" s="107"/>
      <c r="L234" s="107"/>
      <c r="M234" s="104"/>
      <c r="N234" s="103"/>
      <c r="O234" s="103"/>
      <c r="P234" s="103"/>
      <c r="Q234" s="103"/>
      <c r="R234" s="103"/>
    </row>
    <row r="235">
      <c r="A235" s="109" t="str">
        <f>'RECURSO ACTUAL'!A237</f>
        <v/>
      </c>
      <c r="B235" s="103"/>
      <c r="C235" s="106"/>
      <c r="D235" s="106"/>
      <c r="E235" s="107"/>
      <c r="F235" s="108"/>
      <c r="G235" s="107"/>
      <c r="H235" s="107"/>
      <c r="I235" s="107"/>
      <c r="J235" s="107"/>
      <c r="K235" s="107"/>
      <c r="L235" s="107"/>
      <c r="M235" s="104"/>
      <c r="N235" s="103"/>
      <c r="O235" s="103"/>
      <c r="P235" s="103"/>
      <c r="Q235" s="103"/>
      <c r="R235" s="103"/>
    </row>
    <row r="236">
      <c r="A236" s="109" t="str">
        <f>'RECURSO ACTUAL'!A238</f>
        <v/>
      </c>
      <c r="B236" s="103"/>
      <c r="C236" s="106"/>
      <c r="D236" s="106"/>
      <c r="E236" s="107"/>
      <c r="F236" s="108"/>
      <c r="G236" s="107"/>
      <c r="H236" s="107"/>
      <c r="I236" s="107"/>
      <c r="J236" s="107"/>
      <c r="K236" s="107"/>
      <c r="L236" s="107"/>
      <c r="M236" s="104"/>
      <c r="N236" s="103"/>
      <c r="O236" s="103"/>
      <c r="P236" s="103"/>
      <c r="Q236" s="103"/>
      <c r="R236" s="103"/>
    </row>
    <row r="237">
      <c r="A237" s="109" t="str">
        <f>'RECURSO ACTUAL'!A239</f>
        <v/>
      </c>
      <c r="B237" s="103"/>
      <c r="C237" s="106"/>
      <c r="D237" s="106"/>
      <c r="E237" s="107"/>
      <c r="F237" s="108"/>
      <c r="G237" s="107"/>
      <c r="H237" s="107"/>
      <c r="I237" s="107"/>
      <c r="J237" s="107"/>
      <c r="K237" s="107"/>
      <c r="L237" s="107"/>
      <c r="M237" s="104"/>
      <c r="N237" s="103"/>
      <c r="O237" s="103"/>
      <c r="P237" s="103"/>
      <c r="Q237" s="103"/>
      <c r="R237" s="103"/>
    </row>
    <row r="238">
      <c r="A238" s="109" t="str">
        <f>'RECURSO ACTUAL'!A240</f>
        <v/>
      </c>
      <c r="B238" s="103"/>
      <c r="C238" s="106"/>
      <c r="D238" s="106"/>
      <c r="E238" s="107"/>
      <c r="F238" s="108"/>
      <c r="G238" s="107"/>
      <c r="H238" s="107"/>
      <c r="I238" s="107"/>
      <c r="J238" s="107"/>
      <c r="K238" s="107"/>
      <c r="L238" s="107"/>
      <c r="M238" s="104"/>
      <c r="N238" s="103"/>
      <c r="O238" s="103"/>
      <c r="P238" s="103"/>
      <c r="Q238" s="103"/>
      <c r="R238" s="103"/>
    </row>
    <row r="239">
      <c r="A239" s="109" t="str">
        <f>'RECURSO ACTUAL'!A241</f>
        <v/>
      </c>
      <c r="B239" s="103"/>
      <c r="C239" s="106"/>
      <c r="D239" s="106"/>
      <c r="E239" s="107"/>
      <c r="F239" s="108"/>
      <c r="G239" s="107"/>
      <c r="H239" s="107"/>
      <c r="I239" s="107"/>
      <c r="J239" s="107"/>
      <c r="K239" s="107"/>
      <c r="L239" s="107"/>
      <c r="M239" s="104"/>
      <c r="N239" s="103"/>
      <c r="O239" s="103"/>
      <c r="P239" s="103"/>
      <c r="Q239" s="103"/>
      <c r="R239" s="103"/>
    </row>
    <row r="240">
      <c r="A240" s="109" t="str">
        <f>'RECURSO ACTUAL'!A242</f>
        <v/>
      </c>
      <c r="B240" s="103"/>
      <c r="C240" s="106"/>
      <c r="D240" s="106"/>
      <c r="E240" s="107"/>
      <c r="F240" s="108"/>
      <c r="G240" s="107"/>
      <c r="H240" s="107"/>
      <c r="I240" s="107"/>
      <c r="J240" s="107"/>
      <c r="K240" s="107"/>
      <c r="L240" s="107"/>
      <c r="M240" s="104"/>
      <c r="N240" s="103"/>
      <c r="O240" s="103"/>
      <c r="P240" s="103"/>
      <c r="Q240" s="103"/>
      <c r="R240" s="103"/>
    </row>
    <row r="241">
      <c r="A241" s="109" t="str">
        <f>'RECURSO ACTUAL'!A243</f>
        <v/>
      </c>
      <c r="B241" s="103"/>
      <c r="C241" s="106"/>
      <c r="D241" s="106"/>
      <c r="E241" s="107"/>
      <c r="F241" s="108"/>
      <c r="G241" s="107"/>
      <c r="H241" s="107"/>
      <c r="I241" s="107"/>
      <c r="J241" s="107"/>
      <c r="K241" s="107"/>
      <c r="L241" s="107"/>
      <c r="M241" s="104"/>
      <c r="N241" s="103"/>
      <c r="O241" s="103"/>
      <c r="P241" s="103"/>
      <c r="Q241" s="103"/>
      <c r="R241" s="103"/>
    </row>
    <row r="242">
      <c r="A242" s="109" t="str">
        <f>'RECURSO ACTUAL'!A244</f>
        <v/>
      </c>
      <c r="B242" s="103"/>
      <c r="C242" s="106"/>
      <c r="D242" s="106"/>
      <c r="E242" s="107"/>
      <c r="F242" s="108"/>
      <c r="G242" s="107"/>
      <c r="H242" s="107"/>
      <c r="I242" s="107"/>
      <c r="J242" s="107"/>
      <c r="K242" s="107"/>
      <c r="L242" s="107"/>
      <c r="M242" s="104"/>
      <c r="N242" s="103"/>
      <c r="O242" s="103"/>
      <c r="P242" s="103"/>
      <c r="Q242" s="103"/>
      <c r="R242" s="103"/>
    </row>
    <row r="243">
      <c r="A243" s="109" t="str">
        <f>'RECURSO ACTUAL'!A245</f>
        <v/>
      </c>
      <c r="B243" s="103"/>
      <c r="C243" s="106"/>
      <c r="D243" s="106"/>
      <c r="E243" s="107"/>
      <c r="F243" s="108"/>
      <c r="G243" s="107"/>
      <c r="H243" s="107"/>
      <c r="I243" s="107"/>
      <c r="J243" s="107"/>
      <c r="K243" s="107"/>
      <c r="L243" s="107"/>
      <c r="M243" s="104"/>
      <c r="N243" s="103"/>
      <c r="O243" s="103"/>
      <c r="P243" s="103"/>
      <c r="Q243" s="103"/>
      <c r="R243" s="103"/>
    </row>
    <row r="244">
      <c r="A244" s="109" t="str">
        <f>'RECURSO ACTUAL'!A246</f>
        <v/>
      </c>
      <c r="B244" s="103"/>
      <c r="C244" s="106"/>
      <c r="D244" s="106"/>
      <c r="E244" s="107"/>
      <c r="F244" s="108"/>
      <c r="G244" s="107"/>
      <c r="H244" s="107"/>
      <c r="I244" s="107"/>
      <c r="J244" s="107"/>
      <c r="K244" s="107"/>
      <c r="L244" s="107"/>
      <c r="M244" s="104"/>
      <c r="N244" s="103"/>
      <c r="O244" s="103"/>
      <c r="P244" s="103"/>
      <c r="Q244" s="103"/>
      <c r="R244" s="103"/>
    </row>
    <row r="245">
      <c r="A245" s="109" t="str">
        <f>'RECURSO ACTUAL'!A247</f>
        <v/>
      </c>
      <c r="B245" s="103"/>
      <c r="C245" s="106"/>
      <c r="D245" s="106"/>
      <c r="E245" s="107"/>
      <c r="F245" s="108"/>
      <c r="G245" s="107"/>
      <c r="H245" s="107"/>
      <c r="I245" s="107"/>
      <c r="J245" s="107"/>
      <c r="K245" s="107"/>
      <c r="L245" s="107"/>
      <c r="M245" s="104"/>
      <c r="N245" s="103"/>
      <c r="O245" s="103"/>
      <c r="P245" s="103"/>
      <c r="Q245" s="103"/>
      <c r="R245" s="103"/>
    </row>
    <row r="246">
      <c r="A246" s="109" t="str">
        <f>'RECURSO ACTUAL'!A248</f>
        <v/>
      </c>
      <c r="B246" s="103"/>
      <c r="C246" s="106"/>
      <c r="D246" s="106"/>
      <c r="E246" s="107"/>
      <c r="F246" s="108"/>
      <c r="G246" s="107"/>
      <c r="H246" s="107"/>
      <c r="I246" s="107"/>
      <c r="J246" s="107"/>
      <c r="K246" s="107"/>
      <c r="L246" s="107"/>
      <c r="M246" s="104"/>
      <c r="N246" s="103"/>
      <c r="O246" s="103"/>
      <c r="P246" s="103"/>
      <c r="Q246" s="103"/>
      <c r="R246" s="103"/>
    </row>
    <row r="247">
      <c r="A247" s="109" t="str">
        <f>'RECURSO ACTUAL'!A249</f>
        <v/>
      </c>
      <c r="B247" s="103"/>
      <c r="C247" s="106"/>
      <c r="D247" s="106"/>
      <c r="E247" s="107"/>
      <c r="F247" s="108"/>
      <c r="G247" s="107"/>
      <c r="H247" s="107"/>
      <c r="I247" s="107"/>
      <c r="J247" s="107"/>
      <c r="K247" s="107"/>
      <c r="L247" s="107"/>
      <c r="M247" s="104"/>
      <c r="N247" s="103"/>
      <c r="O247" s="103"/>
      <c r="P247" s="103"/>
      <c r="Q247" s="103"/>
      <c r="R247" s="103"/>
    </row>
    <row r="248">
      <c r="A248" s="109" t="str">
        <f>'RECURSO ACTUAL'!A250</f>
        <v/>
      </c>
      <c r="B248" s="103"/>
      <c r="C248" s="106"/>
      <c r="D248" s="106"/>
      <c r="E248" s="107"/>
      <c r="F248" s="108"/>
      <c r="G248" s="107"/>
      <c r="H248" s="107"/>
      <c r="I248" s="107"/>
      <c r="J248" s="107"/>
      <c r="K248" s="107"/>
      <c r="L248" s="107"/>
      <c r="M248" s="104"/>
      <c r="N248" s="103"/>
      <c r="O248" s="103"/>
      <c r="P248" s="103"/>
      <c r="Q248" s="103"/>
      <c r="R248" s="103"/>
    </row>
    <row r="249">
      <c r="A249" s="103"/>
      <c r="B249" s="103"/>
      <c r="C249" s="106"/>
      <c r="D249" s="106"/>
      <c r="E249" s="107"/>
      <c r="F249" s="108"/>
      <c r="G249" s="107"/>
      <c r="H249" s="107"/>
      <c r="I249" s="107"/>
      <c r="J249" s="107"/>
      <c r="K249" s="107"/>
      <c r="L249" s="107"/>
      <c r="M249" s="104"/>
      <c r="N249" s="103"/>
      <c r="O249" s="103"/>
      <c r="P249" s="103"/>
      <c r="Q249" s="103"/>
      <c r="R249" s="103"/>
    </row>
    <row r="250">
      <c r="A250" s="103"/>
      <c r="B250" s="103"/>
      <c r="C250" s="106"/>
      <c r="D250" s="106"/>
      <c r="E250" s="107"/>
      <c r="F250" s="108"/>
      <c r="G250" s="107"/>
      <c r="H250" s="107"/>
      <c r="I250" s="107"/>
      <c r="J250" s="107"/>
      <c r="K250" s="107"/>
      <c r="L250" s="107"/>
      <c r="M250" s="104"/>
      <c r="N250" s="103"/>
      <c r="O250" s="103"/>
      <c r="P250" s="103"/>
      <c r="Q250" s="103"/>
      <c r="R250" s="103"/>
    </row>
    <row r="251">
      <c r="A251" s="103"/>
      <c r="B251" s="103"/>
      <c r="C251" s="106"/>
      <c r="D251" s="106"/>
      <c r="E251" s="107"/>
      <c r="F251" s="108"/>
      <c r="G251" s="107"/>
      <c r="H251" s="107"/>
      <c r="I251" s="107"/>
      <c r="J251" s="107"/>
      <c r="K251" s="107"/>
      <c r="L251" s="107"/>
      <c r="M251" s="104"/>
      <c r="N251" s="103"/>
      <c r="O251" s="103"/>
      <c r="P251" s="103"/>
      <c r="Q251" s="103"/>
      <c r="R251" s="103"/>
    </row>
    <row r="252">
      <c r="A252" s="103"/>
      <c r="B252" s="103"/>
      <c r="C252" s="106"/>
      <c r="D252" s="106"/>
      <c r="E252" s="107"/>
      <c r="F252" s="108"/>
      <c r="G252" s="107"/>
      <c r="H252" s="107"/>
      <c r="I252" s="107"/>
      <c r="J252" s="107"/>
      <c r="K252" s="107"/>
      <c r="L252" s="107"/>
      <c r="M252" s="104"/>
      <c r="N252" s="103"/>
      <c r="O252" s="103"/>
      <c r="P252" s="103"/>
      <c r="Q252" s="103"/>
      <c r="R252" s="103"/>
    </row>
    <row r="253">
      <c r="A253" s="103"/>
      <c r="B253" s="103"/>
      <c r="C253" s="106"/>
      <c r="D253" s="106"/>
      <c r="E253" s="107"/>
      <c r="F253" s="108"/>
      <c r="G253" s="107"/>
      <c r="H253" s="107"/>
      <c r="I253" s="107"/>
      <c r="J253" s="107"/>
      <c r="K253" s="107"/>
      <c r="L253" s="107"/>
      <c r="M253" s="104"/>
      <c r="N253" s="103"/>
      <c r="O253" s="103"/>
      <c r="P253" s="103"/>
      <c r="Q253" s="103"/>
      <c r="R253" s="103"/>
    </row>
    <row r="254">
      <c r="A254" s="103"/>
      <c r="B254" s="103"/>
      <c r="C254" s="106"/>
      <c r="D254" s="106"/>
      <c r="E254" s="107"/>
      <c r="F254" s="108"/>
      <c r="G254" s="107"/>
      <c r="H254" s="107"/>
      <c r="I254" s="107"/>
      <c r="J254" s="107"/>
      <c r="K254" s="107"/>
      <c r="L254" s="107"/>
      <c r="M254" s="104"/>
      <c r="N254" s="103"/>
      <c r="O254" s="103"/>
      <c r="P254" s="103"/>
      <c r="Q254" s="103"/>
      <c r="R254" s="103"/>
    </row>
    <row r="255">
      <c r="A255" s="103"/>
      <c r="B255" s="103"/>
      <c r="C255" s="106"/>
      <c r="D255" s="106"/>
      <c r="E255" s="107"/>
      <c r="F255" s="108"/>
      <c r="G255" s="107"/>
      <c r="H255" s="107"/>
      <c r="I255" s="107"/>
      <c r="J255" s="107"/>
      <c r="K255" s="107"/>
      <c r="L255" s="107"/>
      <c r="M255" s="104"/>
      <c r="N255" s="103"/>
      <c r="O255" s="103"/>
      <c r="P255" s="103"/>
      <c r="Q255" s="103"/>
      <c r="R255" s="103"/>
    </row>
    <row r="256">
      <c r="A256" s="103"/>
      <c r="B256" s="103"/>
      <c r="C256" s="106"/>
      <c r="D256" s="106"/>
      <c r="E256" s="107"/>
      <c r="F256" s="108"/>
      <c r="G256" s="107"/>
      <c r="H256" s="107"/>
      <c r="I256" s="107"/>
      <c r="J256" s="107"/>
      <c r="K256" s="107"/>
      <c r="L256" s="107"/>
      <c r="M256" s="104"/>
      <c r="N256" s="103"/>
      <c r="O256" s="103"/>
      <c r="P256" s="103"/>
      <c r="Q256" s="103"/>
      <c r="R256" s="103"/>
    </row>
    <row r="257">
      <c r="A257" s="103"/>
      <c r="B257" s="103"/>
      <c r="C257" s="106"/>
      <c r="D257" s="106"/>
      <c r="E257" s="107"/>
      <c r="F257" s="108"/>
      <c r="G257" s="107"/>
      <c r="H257" s="107"/>
      <c r="I257" s="107"/>
      <c r="J257" s="107"/>
      <c r="K257" s="107"/>
      <c r="L257" s="107"/>
      <c r="M257" s="104"/>
      <c r="N257" s="103"/>
      <c r="O257" s="103"/>
      <c r="P257" s="103"/>
      <c r="Q257" s="103"/>
      <c r="R257" s="103"/>
    </row>
    <row r="258">
      <c r="A258" s="103"/>
      <c r="B258" s="103"/>
      <c r="C258" s="106"/>
      <c r="D258" s="106"/>
      <c r="E258" s="107"/>
      <c r="F258" s="108"/>
      <c r="G258" s="107"/>
      <c r="H258" s="107"/>
      <c r="I258" s="107"/>
      <c r="J258" s="107"/>
      <c r="K258" s="107"/>
      <c r="L258" s="107"/>
      <c r="M258" s="104"/>
      <c r="N258" s="103"/>
      <c r="O258" s="103"/>
      <c r="P258" s="103"/>
      <c r="Q258" s="103"/>
      <c r="R258" s="103"/>
    </row>
    <row r="259">
      <c r="A259" s="103"/>
      <c r="B259" s="103"/>
      <c r="C259" s="106"/>
      <c r="D259" s="106"/>
      <c r="E259" s="107"/>
      <c r="F259" s="108"/>
      <c r="G259" s="107"/>
      <c r="H259" s="107"/>
      <c r="I259" s="107"/>
      <c r="J259" s="107"/>
      <c r="K259" s="107"/>
      <c r="L259" s="107"/>
      <c r="M259" s="104"/>
      <c r="N259" s="103"/>
      <c r="O259" s="103"/>
      <c r="P259" s="103"/>
      <c r="Q259" s="103"/>
      <c r="R259" s="103"/>
    </row>
    <row r="260">
      <c r="A260" s="103"/>
      <c r="B260" s="103"/>
      <c r="C260" s="106"/>
      <c r="D260" s="106"/>
      <c r="E260" s="107"/>
      <c r="F260" s="108"/>
      <c r="G260" s="107"/>
      <c r="H260" s="107"/>
      <c r="I260" s="107"/>
      <c r="J260" s="107"/>
      <c r="K260" s="107"/>
      <c r="L260" s="107"/>
      <c r="M260" s="104"/>
      <c r="N260" s="103"/>
      <c r="O260" s="103"/>
      <c r="P260" s="103"/>
      <c r="Q260" s="103"/>
      <c r="R260" s="103"/>
    </row>
    <row r="261">
      <c r="A261" s="103"/>
      <c r="B261" s="103"/>
      <c r="C261" s="106"/>
      <c r="D261" s="106"/>
      <c r="E261" s="107"/>
      <c r="F261" s="108"/>
      <c r="G261" s="107"/>
      <c r="H261" s="107"/>
      <c r="I261" s="107"/>
      <c r="J261" s="107"/>
      <c r="K261" s="107"/>
      <c r="L261" s="107"/>
      <c r="M261" s="104"/>
      <c r="N261" s="103"/>
      <c r="O261" s="103"/>
      <c r="P261" s="103"/>
      <c r="Q261" s="103"/>
      <c r="R261" s="103"/>
    </row>
    <row r="262">
      <c r="A262" s="103"/>
      <c r="B262" s="103"/>
      <c r="C262" s="106"/>
      <c r="D262" s="106"/>
      <c r="E262" s="107"/>
      <c r="F262" s="108"/>
      <c r="G262" s="107"/>
      <c r="H262" s="107"/>
      <c r="I262" s="107"/>
      <c r="J262" s="107"/>
      <c r="K262" s="107"/>
      <c r="L262" s="107"/>
      <c r="M262" s="104"/>
      <c r="N262" s="103"/>
      <c r="O262" s="103"/>
      <c r="P262" s="103"/>
      <c r="Q262" s="103"/>
      <c r="R262" s="103"/>
    </row>
    <row r="263">
      <c r="A263" s="103"/>
      <c r="B263" s="103"/>
      <c r="C263" s="106"/>
      <c r="D263" s="106"/>
      <c r="E263" s="107"/>
      <c r="F263" s="108"/>
      <c r="G263" s="107"/>
      <c r="H263" s="107"/>
      <c r="I263" s="107"/>
      <c r="J263" s="107"/>
      <c r="K263" s="107"/>
      <c r="L263" s="107"/>
      <c r="M263" s="104"/>
      <c r="N263" s="103"/>
      <c r="O263" s="103"/>
      <c r="P263" s="103"/>
      <c r="Q263" s="103"/>
      <c r="R263" s="103"/>
    </row>
    <row r="264">
      <c r="A264" s="103"/>
      <c r="B264" s="103"/>
      <c r="C264" s="106"/>
      <c r="D264" s="106"/>
      <c r="E264" s="107"/>
      <c r="F264" s="108"/>
      <c r="G264" s="107"/>
      <c r="H264" s="107"/>
      <c r="I264" s="107"/>
      <c r="J264" s="107"/>
      <c r="K264" s="107"/>
      <c r="L264" s="107"/>
      <c r="M264" s="104"/>
      <c r="N264" s="103"/>
      <c r="O264" s="103"/>
      <c r="P264" s="103"/>
      <c r="Q264" s="103"/>
      <c r="R264" s="103"/>
    </row>
    <row r="265">
      <c r="A265" s="103"/>
      <c r="B265" s="103"/>
      <c r="C265" s="106"/>
      <c r="D265" s="106"/>
      <c r="E265" s="107"/>
      <c r="F265" s="108"/>
      <c r="G265" s="107"/>
      <c r="H265" s="107"/>
      <c r="I265" s="107"/>
      <c r="J265" s="107"/>
      <c r="K265" s="107"/>
      <c r="L265" s="107"/>
      <c r="M265" s="104"/>
      <c r="N265" s="103"/>
      <c r="O265" s="103"/>
      <c r="P265" s="103"/>
      <c r="Q265" s="103"/>
      <c r="R265" s="103"/>
    </row>
    <row r="266">
      <c r="A266" s="103"/>
      <c r="B266" s="103"/>
      <c r="C266" s="106"/>
      <c r="D266" s="106"/>
      <c r="E266" s="107"/>
      <c r="F266" s="108"/>
      <c r="G266" s="107"/>
      <c r="H266" s="107"/>
      <c r="I266" s="107"/>
      <c r="J266" s="107"/>
      <c r="K266" s="107"/>
      <c r="L266" s="107"/>
      <c r="M266" s="104"/>
      <c r="N266" s="103"/>
      <c r="O266" s="103"/>
      <c r="P266" s="103"/>
      <c r="Q266" s="103"/>
      <c r="R266" s="103"/>
    </row>
    <row r="267">
      <c r="A267" s="103"/>
      <c r="B267" s="103"/>
      <c r="C267" s="106"/>
      <c r="D267" s="106"/>
      <c r="E267" s="107"/>
      <c r="F267" s="108"/>
      <c r="G267" s="107"/>
      <c r="H267" s="107"/>
      <c r="I267" s="107"/>
      <c r="J267" s="107"/>
      <c r="K267" s="107"/>
      <c r="L267" s="107"/>
      <c r="M267" s="104"/>
      <c r="N267" s="103"/>
      <c r="O267" s="103"/>
      <c r="P267" s="103"/>
      <c r="Q267" s="103"/>
      <c r="R267" s="103"/>
    </row>
    <row r="268">
      <c r="A268" s="103"/>
      <c r="B268" s="103"/>
      <c r="C268" s="106"/>
      <c r="D268" s="106"/>
      <c r="E268" s="107"/>
      <c r="F268" s="108"/>
      <c r="G268" s="107"/>
      <c r="H268" s="107"/>
      <c r="I268" s="107"/>
      <c r="J268" s="107"/>
      <c r="K268" s="107"/>
      <c r="L268" s="107"/>
      <c r="M268" s="104"/>
      <c r="N268" s="103"/>
      <c r="O268" s="103"/>
      <c r="P268" s="103"/>
      <c r="Q268" s="103"/>
      <c r="R268" s="103"/>
    </row>
    <row r="269">
      <c r="A269" s="103"/>
      <c r="B269" s="103"/>
      <c r="C269" s="106"/>
      <c r="D269" s="106"/>
      <c r="E269" s="107"/>
      <c r="F269" s="108"/>
      <c r="G269" s="107"/>
      <c r="H269" s="107"/>
      <c r="I269" s="107"/>
      <c r="J269" s="107"/>
      <c r="K269" s="107"/>
      <c r="L269" s="107"/>
      <c r="M269" s="104"/>
      <c r="N269" s="103"/>
      <c r="O269" s="103"/>
      <c r="P269" s="103"/>
      <c r="Q269" s="103"/>
      <c r="R269" s="103"/>
    </row>
    <row r="270">
      <c r="A270" s="103"/>
      <c r="B270" s="103"/>
      <c r="C270" s="106"/>
      <c r="D270" s="106"/>
      <c r="E270" s="107"/>
      <c r="F270" s="108"/>
      <c r="G270" s="107"/>
      <c r="H270" s="107"/>
      <c r="I270" s="107"/>
      <c r="J270" s="107"/>
      <c r="K270" s="107"/>
      <c r="L270" s="107"/>
      <c r="M270" s="104"/>
      <c r="N270" s="103"/>
      <c r="O270" s="103"/>
      <c r="P270" s="103"/>
      <c r="Q270" s="103"/>
      <c r="R270" s="103"/>
    </row>
    <row r="271">
      <c r="A271" s="103"/>
      <c r="B271" s="103"/>
      <c r="C271" s="106"/>
      <c r="D271" s="106"/>
      <c r="E271" s="107"/>
      <c r="F271" s="108"/>
      <c r="G271" s="107"/>
      <c r="H271" s="107"/>
      <c r="I271" s="107"/>
      <c r="J271" s="107"/>
      <c r="K271" s="107"/>
      <c r="L271" s="107"/>
      <c r="M271" s="104"/>
      <c r="N271" s="103"/>
      <c r="O271" s="103"/>
      <c r="P271" s="103"/>
      <c r="Q271" s="103"/>
      <c r="R271" s="103"/>
    </row>
    <row r="272">
      <c r="A272" s="103"/>
      <c r="B272" s="103"/>
      <c r="C272" s="106"/>
      <c r="D272" s="106"/>
      <c r="E272" s="107"/>
      <c r="F272" s="108"/>
      <c r="G272" s="107"/>
      <c r="H272" s="107"/>
      <c r="I272" s="107"/>
      <c r="J272" s="107"/>
      <c r="K272" s="107"/>
      <c r="L272" s="107"/>
      <c r="M272" s="104"/>
      <c r="N272" s="103"/>
      <c r="O272" s="103"/>
      <c r="P272" s="103"/>
      <c r="Q272" s="103"/>
      <c r="R272" s="103"/>
    </row>
    <row r="273">
      <c r="A273" s="103"/>
      <c r="B273" s="103"/>
      <c r="C273" s="106"/>
      <c r="D273" s="106"/>
      <c r="E273" s="107"/>
      <c r="F273" s="108"/>
      <c r="G273" s="107"/>
      <c r="H273" s="107"/>
      <c r="I273" s="107"/>
      <c r="J273" s="107"/>
      <c r="K273" s="107"/>
      <c r="L273" s="107"/>
      <c r="M273" s="104"/>
      <c r="N273" s="103"/>
      <c r="O273" s="103"/>
      <c r="P273" s="103"/>
      <c r="Q273" s="103"/>
      <c r="R273" s="103"/>
    </row>
    <row r="274">
      <c r="A274" s="103"/>
      <c r="B274" s="103"/>
      <c r="C274" s="106"/>
      <c r="D274" s="106"/>
      <c r="E274" s="107"/>
      <c r="F274" s="108"/>
      <c r="G274" s="107"/>
      <c r="H274" s="107"/>
      <c r="I274" s="107"/>
      <c r="J274" s="107"/>
      <c r="K274" s="107"/>
      <c r="L274" s="107"/>
      <c r="M274" s="104"/>
      <c r="N274" s="103"/>
      <c r="O274" s="103"/>
      <c r="P274" s="103"/>
      <c r="Q274" s="103"/>
      <c r="R274" s="103"/>
    </row>
    <row r="275">
      <c r="A275" s="103"/>
      <c r="B275" s="103"/>
      <c r="C275" s="106"/>
      <c r="D275" s="106"/>
      <c r="E275" s="107"/>
      <c r="F275" s="108"/>
      <c r="G275" s="107"/>
      <c r="H275" s="107"/>
      <c r="I275" s="107"/>
      <c r="J275" s="107"/>
      <c r="K275" s="107"/>
      <c r="L275" s="107"/>
      <c r="M275" s="104"/>
      <c r="N275" s="103"/>
      <c r="O275" s="103"/>
      <c r="P275" s="103"/>
      <c r="Q275" s="103"/>
      <c r="R275" s="103"/>
    </row>
    <row r="276">
      <c r="A276" s="103"/>
      <c r="B276" s="103"/>
      <c r="C276" s="106"/>
      <c r="D276" s="106"/>
      <c r="E276" s="107"/>
      <c r="F276" s="108"/>
      <c r="G276" s="107"/>
      <c r="H276" s="107"/>
      <c r="I276" s="107"/>
      <c r="J276" s="107"/>
      <c r="K276" s="107"/>
      <c r="L276" s="107"/>
      <c r="M276" s="104"/>
      <c r="N276" s="103"/>
      <c r="O276" s="103"/>
      <c r="P276" s="103"/>
      <c r="Q276" s="103"/>
      <c r="R276" s="103"/>
    </row>
    <row r="277">
      <c r="A277" s="103"/>
      <c r="B277" s="103"/>
      <c r="C277" s="106"/>
      <c r="D277" s="106"/>
      <c r="E277" s="107"/>
      <c r="F277" s="108"/>
      <c r="G277" s="107"/>
      <c r="H277" s="107"/>
      <c r="I277" s="107"/>
      <c r="J277" s="107"/>
      <c r="K277" s="107"/>
      <c r="L277" s="107"/>
      <c r="M277" s="104"/>
      <c r="N277" s="103"/>
      <c r="O277" s="103"/>
      <c r="P277" s="103"/>
      <c r="Q277" s="103"/>
      <c r="R277" s="103"/>
    </row>
    <row r="278">
      <c r="A278" s="103"/>
      <c r="B278" s="103"/>
      <c r="C278" s="106"/>
      <c r="D278" s="106"/>
      <c r="E278" s="107"/>
      <c r="F278" s="108"/>
      <c r="G278" s="107"/>
      <c r="H278" s="107"/>
      <c r="I278" s="107"/>
      <c r="J278" s="107"/>
      <c r="K278" s="107"/>
      <c r="L278" s="107"/>
      <c r="M278" s="104"/>
      <c r="N278" s="103"/>
      <c r="O278" s="103"/>
      <c r="P278" s="103"/>
      <c r="Q278" s="103"/>
      <c r="R278" s="103"/>
    </row>
    <row r="279">
      <c r="A279" s="103"/>
      <c r="B279" s="103"/>
      <c r="C279" s="106"/>
      <c r="D279" s="106"/>
      <c r="E279" s="107"/>
      <c r="F279" s="108"/>
      <c r="G279" s="107"/>
      <c r="H279" s="107"/>
      <c r="I279" s="107"/>
      <c r="J279" s="107"/>
      <c r="K279" s="107"/>
      <c r="L279" s="107"/>
      <c r="M279" s="104"/>
      <c r="N279" s="103"/>
      <c r="O279" s="103"/>
      <c r="P279" s="103"/>
      <c r="Q279" s="103"/>
      <c r="R279" s="103"/>
    </row>
    <row r="280">
      <c r="A280" s="103"/>
      <c r="B280" s="103"/>
      <c r="C280" s="106"/>
      <c r="D280" s="106"/>
      <c r="E280" s="107"/>
      <c r="F280" s="108"/>
      <c r="G280" s="107"/>
      <c r="H280" s="107"/>
      <c r="I280" s="107"/>
      <c r="J280" s="107"/>
      <c r="K280" s="107"/>
      <c r="L280" s="107"/>
      <c r="M280" s="104"/>
      <c r="N280" s="103"/>
      <c r="O280" s="103"/>
      <c r="P280" s="103"/>
      <c r="Q280" s="103"/>
      <c r="R280" s="103"/>
    </row>
    <row r="281">
      <c r="A281" s="103"/>
      <c r="B281" s="103"/>
      <c r="C281" s="106"/>
      <c r="D281" s="106"/>
      <c r="E281" s="107"/>
      <c r="F281" s="108"/>
      <c r="G281" s="107"/>
      <c r="H281" s="107"/>
      <c r="I281" s="107"/>
      <c r="J281" s="107"/>
      <c r="K281" s="107"/>
      <c r="L281" s="107"/>
      <c r="M281" s="104"/>
      <c r="N281" s="103"/>
      <c r="O281" s="103"/>
      <c r="P281" s="103"/>
      <c r="Q281" s="103"/>
      <c r="R281" s="103"/>
    </row>
    <row r="282">
      <c r="A282" s="103"/>
      <c r="B282" s="103"/>
      <c r="C282" s="106"/>
      <c r="D282" s="106"/>
      <c r="E282" s="107"/>
      <c r="F282" s="108"/>
      <c r="G282" s="107"/>
      <c r="H282" s="107"/>
      <c r="I282" s="107"/>
      <c r="J282" s="107"/>
      <c r="K282" s="107"/>
      <c r="L282" s="107"/>
      <c r="M282" s="104"/>
      <c r="N282" s="103"/>
      <c r="O282" s="103"/>
      <c r="P282" s="103"/>
      <c r="Q282" s="103"/>
      <c r="R282" s="103"/>
    </row>
    <row r="283">
      <c r="A283" s="103"/>
      <c r="B283" s="103"/>
      <c r="C283" s="106"/>
      <c r="D283" s="106"/>
      <c r="E283" s="107"/>
      <c r="F283" s="108"/>
      <c r="G283" s="107"/>
      <c r="H283" s="107"/>
      <c r="I283" s="107"/>
      <c r="J283" s="107"/>
      <c r="K283" s="107"/>
      <c r="L283" s="107"/>
      <c r="M283" s="104"/>
      <c r="N283" s="103"/>
      <c r="O283" s="103"/>
      <c r="P283" s="103"/>
      <c r="Q283" s="103"/>
      <c r="R283" s="103"/>
    </row>
    <row r="284">
      <c r="A284" s="103"/>
      <c r="B284" s="103"/>
      <c r="C284" s="106"/>
      <c r="D284" s="106"/>
      <c r="E284" s="107"/>
      <c r="F284" s="108"/>
      <c r="G284" s="107"/>
      <c r="H284" s="107"/>
      <c r="I284" s="107"/>
      <c r="J284" s="107"/>
      <c r="K284" s="107"/>
      <c r="L284" s="107"/>
      <c r="M284" s="104"/>
      <c r="N284" s="103"/>
      <c r="O284" s="103"/>
      <c r="P284" s="103"/>
      <c r="Q284" s="103"/>
      <c r="R284" s="103"/>
    </row>
    <row r="285">
      <c r="A285" s="103"/>
      <c r="B285" s="103"/>
      <c r="C285" s="106"/>
      <c r="D285" s="106"/>
      <c r="E285" s="107"/>
      <c r="F285" s="108"/>
      <c r="G285" s="107"/>
      <c r="H285" s="107"/>
      <c r="I285" s="107"/>
      <c r="J285" s="107"/>
      <c r="K285" s="107"/>
      <c r="L285" s="107"/>
      <c r="M285" s="104"/>
      <c r="N285" s="103"/>
      <c r="O285" s="103"/>
      <c r="P285" s="103"/>
      <c r="Q285" s="103"/>
      <c r="R285" s="103"/>
    </row>
    <row r="286">
      <c r="A286" s="103"/>
      <c r="B286" s="103"/>
      <c r="C286" s="106"/>
      <c r="D286" s="106"/>
      <c r="E286" s="107"/>
      <c r="F286" s="108"/>
      <c r="G286" s="107"/>
      <c r="H286" s="107"/>
      <c r="I286" s="107"/>
      <c r="J286" s="107"/>
      <c r="K286" s="107"/>
      <c r="L286" s="107"/>
      <c r="M286" s="104"/>
      <c r="N286" s="103"/>
      <c r="O286" s="103"/>
      <c r="P286" s="103"/>
      <c r="Q286" s="103"/>
      <c r="R286" s="103"/>
    </row>
    <row r="287">
      <c r="A287" s="103"/>
      <c r="B287" s="103"/>
      <c r="C287" s="106"/>
      <c r="D287" s="106"/>
      <c r="E287" s="107"/>
      <c r="F287" s="108"/>
      <c r="G287" s="107"/>
      <c r="H287" s="107"/>
      <c r="I287" s="107"/>
      <c r="J287" s="107"/>
      <c r="K287" s="107"/>
      <c r="L287" s="107"/>
      <c r="M287" s="104"/>
      <c r="N287" s="103"/>
      <c r="O287" s="103"/>
      <c r="P287" s="103"/>
      <c r="Q287" s="103"/>
      <c r="R287" s="103"/>
    </row>
    <row r="288">
      <c r="A288" s="103"/>
      <c r="B288" s="103"/>
      <c r="C288" s="106"/>
      <c r="D288" s="106"/>
      <c r="E288" s="107"/>
      <c r="F288" s="108"/>
      <c r="G288" s="107"/>
      <c r="H288" s="107"/>
      <c r="I288" s="107"/>
      <c r="J288" s="107"/>
      <c r="K288" s="107"/>
      <c r="L288" s="107"/>
      <c r="M288" s="104"/>
      <c r="N288" s="103"/>
      <c r="O288" s="103"/>
      <c r="P288" s="103"/>
      <c r="Q288" s="103"/>
      <c r="R288" s="103"/>
    </row>
    <row r="289">
      <c r="A289" s="103"/>
      <c r="B289" s="103"/>
      <c r="C289" s="106"/>
      <c r="D289" s="106"/>
      <c r="E289" s="107"/>
      <c r="F289" s="108"/>
      <c r="G289" s="107"/>
      <c r="H289" s="107"/>
      <c r="I289" s="107"/>
      <c r="J289" s="107"/>
      <c r="K289" s="107"/>
      <c r="L289" s="107"/>
      <c r="M289" s="104"/>
      <c r="N289" s="103"/>
      <c r="O289" s="103"/>
      <c r="P289" s="103"/>
      <c r="Q289" s="103"/>
      <c r="R289" s="103"/>
    </row>
    <row r="290">
      <c r="A290" s="103"/>
      <c r="B290" s="103"/>
      <c r="C290" s="106"/>
      <c r="D290" s="106"/>
      <c r="E290" s="107"/>
      <c r="F290" s="108"/>
      <c r="G290" s="107"/>
      <c r="H290" s="107"/>
      <c r="I290" s="107"/>
      <c r="J290" s="107"/>
      <c r="K290" s="107"/>
      <c r="L290" s="107"/>
      <c r="M290" s="104"/>
      <c r="N290" s="103"/>
      <c r="O290" s="103"/>
      <c r="P290" s="103"/>
      <c r="Q290" s="103"/>
      <c r="R290" s="103"/>
    </row>
    <row r="291">
      <c r="A291" s="103"/>
      <c r="B291" s="103"/>
      <c r="C291" s="106"/>
      <c r="D291" s="106"/>
      <c r="E291" s="107"/>
      <c r="F291" s="108"/>
      <c r="G291" s="107"/>
      <c r="H291" s="107"/>
      <c r="I291" s="107"/>
      <c r="J291" s="107"/>
      <c r="K291" s="107"/>
      <c r="L291" s="107"/>
      <c r="M291" s="104"/>
      <c r="N291" s="103"/>
      <c r="O291" s="103"/>
      <c r="P291" s="103"/>
      <c r="Q291" s="103"/>
      <c r="R291" s="103"/>
    </row>
    <row r="292">
      <c r="A292" s="103"/>
      <c r="B292" s="103"/>
      <c r="C292" s="106"/>
      <c r="D292" s="106"/>
      <c r="E292" s="107"/>
      <c r="F292" s="108"/>
      <c r="G292" s="107"/>
      <c r="H292" s="107"/>
      <c r="I292" s="107"/>
      <c r="J292" s="107"/>
      <c r="K292" s="107"/>
      <c r="L292" s="107"/>
      <c r="M292" s="104"/>
      <c r="N292" s="103"/>
      <c r="O292" s="103"/>
      <c r="P292" s="103"/>
      <c r="Q292" s="103"/>
      <c r="R292" s="103"/>
    </row>
    <row r="293">
      <c r="A293" s="103"/>
      <c r="B293" s="103"/>
      <c r="C293" s="106"/>
      <c r="D293" s="106"/>
      <c r="E293" s="107"/>
      <c r="F293" s="108"/>
      <c r="G293" s="107"/>
      <c r="H293" s="107"/>
      <c r="I293" s="107"/>
      <c r="J293" s="107"/>
      <c r="K293" s="107"/>
      <c r="L293" s="107"/>
      <c r="M293" s="104"/>
      <c r="N293" s="103"/>
      <c r="O293" s="103"/>
      <c r="P293" s="103"/>
      <c r="Q293" s="103"/>
      <c r="R293" s="103"/>
    </row>
    <row r="294">
      <c r="A294" s="103"/>
      <c r="B294" s="103"/>
      <c r="C294" s="106"/>
      <c r="D294" s="106"/>
      <c r="E294" s="107"/>
      <c r="F294" s="108"/>
      <c r="G294" s="107"/>
      <c r="H294" s="107"/>
      <c r="I294" s="107"/>
      <c r="J294" s="107"/>
      <c r="K294" s="107"/>
      <c r="L294" s="107"/>
      <c r="M294" s="104"/>
      <c r="N294" s="103"/>
      <c r="O294" s="103"/>
      <c r="P294" s="103"/>
      <c r="Q294" s="103"/>
      <c r="R294" s="103"/>
    </row>
    <row r="295">
      <c r="A295" s="103"/>
      <c r="B295" s="103"/>
      <c r="C295" s="106"/>
      <c r="D295" s="106"/>
      <c r="E295" s="107"/>
      <c r="F295" s="108"/>
      <c r="G295" s="107"/>
      <c r="H295" s="107"/>
      <c r="I295" s="107"/>
      <c r="J295" s="107"/>
      <c r="K295" s="107"/>
      <c r="L295" s="107"/>
      <c r="M295" s="104"/>
      <c r="N295" s="103"/>
      <c r="O295" s="103"/>
      <c r="P295" s="103"/>
      <c r="Q295" s="103"/>
      <c r="R295" s="103"/>
    </row>
    <row r="296">
      <c r="A296" s="103"/>
      <c r="B296" s="103"/>
      <c r="C296" s="106"/>
      <c r="D296" s="106"/>
      <c r="E296" s="107"/>
      <c r="F296" s="108"/>
      <c r="G296" s="107"/>
      <c r="H296" s="107"/>
      <c r="I296" s="107"/>
      <c r="J296" s="107"/>
      <c r="K296" s="107"/>
      <c r="L296" s="107"/>
      <c r="M296" s="104"/>
      <c r="N296" s="103"/>
      <c r="O296" s="103"/>
      <c r="P296" s="103"/>
      <c r="Q296" s="103"/>
      <c r="R296" s="103"/>
    </row>
    <row r="297">
      <c r="A297" s="103"/>
      <c r="B297" s="103"/>
      <c r="C297" s="106"/>
      <c r="D297" s="106"/>
      <c r="E297" s="107"/>
      <c r="F297" s="108"/>
      <c r="G297" s="107"/>
      <c r="H297" s="107"/>
      <c r="I297" s="107"/>
      <c r="J297" s="107"/>
      <c r="K297" s="107"/>
      <c r="L297" s="107"/>
      <c r="M297" s="104"/>
      <c r="N297" s="103"/>
      <c r="O297" s="103"/>
      <c r="P297" s="103"/>
      <c r="Q297" s="103"/>
      <c r="R297" s="103"/>
    </row>
    <row r="298">
      <c r="A298" s="103"/>
      <c r="B298" s="103"/>
      <c r="C298" s="106"/>
      <c r="D298" s="106"/>
      <c r="E298" s="107"/>
      <c r="F298" s="108"/>
      <c r="G298" s="107"/>
      <c r="H298" s="107"/>
      <c r="I298" s="107"/>
      <c r="J298" s="107"/>
      <c r="K298" s="107"/>
      <c r="L298" s="107"/>
      <c r="M298" s="104"/>
      <c r="N298" s="103"/>
      <c r="O298" s="103"/>
      <c r="P298" s="103"/>
      <c r="Q298" s="103"/>
      <c r="R298" s="103"/>
    </row>
    <row r="299">
      <c r="A299" s="103"/>
      <c r="B299" s="103"/>
      <c r="C299" s="106"/>
      <c r="D299" s="106"/>
      <c r="E299" s="107"/>
      <c r="F299" s="108"/>
      <c r="G299" s="107"/>
      <c r="H299" s="107"/>
      <c r="I299" s="107"/>
      <c r="J299" s="107"/>
      <c r="K299" s="107"/>
      <c r="L299" s="107"/>
      <c r="M299" s="104"/>
      <c r="N299" s="103"/>
      <c r="O299" s="103"/>
      <c r="P299" s="103"/>
      <c r="Q299" s="103"/>
      <c r="R299" s="103"/>
    </row>
    <row r="300">
      <c r="A300" s="103"/>
      <c r="B300" s="103"/>
      <c r="C300" s="106"/>
      <c r="D300" s="106"/>
      <c r="E300" s="107"/>
      <c r="F300" s="108"/>
      <c r="G300" s="107"/>
      <c r="H300" s="107"/>
      <c r="I300" s="107"/>
      <c r="J300" s="107"/>
      <c r="K300" s="107"/>
      <c r="L300" s="107"/>
      <c r="M300" s="104"/>
      <c r="N300" s="103"/>
      <c r="O300" s="103"/>
      <c r="P300" s="103"/>
      <c r="Q300" s="103"/>
      <c r="R300" s="103"/>
    </row>
    <row r="301">
      <c r="A301" s="103"/>
      <c r="B301" s="103"/>
      <c r="C301" s="106"/>
      <c r="D301" s="106"/>
      <c r="E301" s="107"/>
      <c r="F301" s="108"/>
      <c r="G301" s="107"/>
      <c r="H301" s="107"/>
      <c r="I301" s="107"/>
      <c r="J301" s="107"/>
      <c r="K301" s="107"/>
      <c r="L301" s="107"/>
      <c r="M301" s="104"/>
      <c r="N301" s="103"/>
      <c r="O301" s="103"/>
      <c r="P301" s="103"/>
      <c r="Q301" s="103"/>
      <c r="R301" s="103"/>
    </row>
    <row r="302">
      <c r="A302" s="103"/>
      <c r="B302" s="103"/>
      <c r="C302" s="106"/>
      <c r="D302" s="106"/>
      <c r="E302" s="107"/>
      <c r="F302" s="108"/>
      <c r="G302" s="107"/>
      <c r="H302" s="107"/>
      <c r="I302" s="107"/>
      <c r="J302" s="107"/>
      <c r="K302" s="107"/>
      <c r="L302" s="107"/>
      <c r="M302" s="104"/>
      <c r="N302" s="103"/>
      <c r="O302" s="103"/>
      <c r="P302" s="103"/>
      <c r="Q302" s="103"/>
      <c r="R302" s="103"/>
    </row>
    <row r="303">
      <c r="A303" s="103"/>
      <c r="B303" s="103"/>
      <c r="C303" s="106"/>
      <c r="D303" s="106"/>
      <c r="E303" s="107"/>
      <c r="F303" s="108"/>
      <c r="G303" s="107"/>
      <c r="H303" s="107"/>
      <c r="I303" s="107"/>
      <c r="J303" s="107"/>
      <c r="K303" s="107"/>
      <c r="L303" s="107"/>
      <c r="M303" s="104"/>
      <c r="N303" s="103"/>
      <c r="O303" s="103"/>
      <c r="P303" s="103"/>
      <c r="Q303" s="103"/>
      <c r="R303" s="103"/>
    </row>
    <row r="304">
      <c r="A304" s="103"/>
      <c r="B304" s="103"/>
      <c r="C304" s="106"/>
      <c r="D304" s="106"/>
      <c r="E304" s="107"/>
      <c r="F304" s="108"/>
      <c r="G304" s="107"/>
      <c r="H304" s="107"/>
      <c r="I304" s="107"/>
      <c r="J304" s="107"/>
      <c r="K304" s="107"/>
      <c r="L304" s="107"/>
      <c r="M304" s="104"/>
      <c r="N304" s="103"/>
      <c r="O304" s="103"/>
      <c r="P304" s="103"/>
      <c r="Q304" s="103"/>
      <c r="R304" s="103"/>
    </row>
    <row r="305">
      <c r="A305" s="103"/>
      <c r="B305" s="103"/>
      <c r="C305" s="106"/>
      <c r="D305" s="106"/>
      <c r="E305" s="107"/>
      <c r="F305" s="108"/>
      <c r="G305" s="107"/>
      <c r="H305" s="107"/>
      <c r="I305" s="107"/>
      <c r="J305" s="107"/>
      <c r="K305" s="107"/>
      <c r="L305" s="107"/>
      <c r="M305" s="104"/>
      <c r="N305" s="103"/>
      <c r="O305" s="103"/>
      <c r="P305" s="103"/>
      <c r="Q305" s="103"/>
      <c r="R305" s="103"/>
    </row>
    <row r="306">
      <c r="A306" s="103"/>
      <c r="B306" s="103"/>
      <c r="C306" s="106"/>
      <c r="D306" s="106"/>
      <c r="E306" s="107"/>
      <c r="F306" s="108"/>
      <c r="G306" s="107"/>
      <c r="H306" s="107"/>
      <c r="I306" s="107"/>
      <c r="J306" s="107"/>
      <c r="K306" s="107"/>
      <c r="L306" s="107"/>
      <c r="M306" s="104"/>
      <c r="N306" s="103"/>
      <c r="O306" s="103"/>
      <c r="P306" s="103"/>
      <c r="Q306" s="103"/>
      <c r="R306" s="103"/>
    </row>
    <row r="307">
      <c r="A307" s="103"/>
      <c r="B307" s="103"/>
      <c r="C307" s="106"/>
      <c r="D307" s="106"/>
      <c r="E307" s="107"/>
      <c r="F307" s="108"/>
      <c r="G307" s="107"/>
      <c r="H307" s="107"/>
      <c r="I307" s="107"/>
      <c r="J307" s="107"/>
      <c r="K307" s="107"/>
      <c r="L307" s="107"/>
      <c r="M307" s="104"/>
      <c r="N307" s="103"/>
      <c r="O307" s="103"/>
      <c r="P307" s="103"/>
      <c r="Q307" s="103"/>
      <c r="R307" s="103"/>
    </row>
    <row r="308">
      <c r="A308" s="103"/>
      <c r="B308" s="103"/>
      <c r="C308" s="106"/>
      <c r="D308" s="106"/>
      <c r="E308" s="107"/>
      <c r="F308" s="108"/>
      <c r="G308" s="107"/>
      <c r="H308" s="107"/>
      <c r="I308" s="107"/>
      <c r="J308" s="107"/>
      <c r="K308" s="107"/>
      <c r="L308" s="107"/>
      <c r="M308" s="104"/>
      <c r="N308" s="103"/>
      <c r="O308" s="103"/>
      <c r="P308" s="103"/>
      <c r="Q308" s="103"/>
      <c r="R308" s="103"/>
    </row>
    <row r="309">
      <c r="A309" s="103"/>
      <c r="B309" s="103"/>
      <c r="C309" s="106"/>
      <c r="D309" s="106"/>
      <c r="E309" s="107"/>
      <c r="F309" s="108"/>
      <c r="G309" s="107"/>
      <c r="H309" s="107"/>
      <c r="I309" s="107"/>
      <c r="J309" s="107"/>
      <c r="K309" s="107"/>
      <c r="L309" s="107"/>
      <c r="M309" s="104"/>
      <c r="N309" s="103"/>
      <c r="O309" s="103"/>
      <c r="P309" s="103"/>
      <c r="Q309" s="103"/>
      <c r="R309" s="103"/>
    </row>
    <row r="310">
      <c r="A310" s="103"/>
      <c r="B310" s="103"/>
      <c r="C310" s="106"/>
      <c r="D310" s="106"/>
      <c r="E310" s="107"/>
      <c r="F310" s="108"/>
      <c r="G310" s="107"/>
      <c r="H310" s="107"/>
      <c r="I310" s="107"/>
      <c r="J310" s="107"/>
      <c r="K310" s="107"/>
      <c r="L310" s="107"/>
      <c r="M310" s="104"/>
      <c r="N310" s="103"/>
      <c r="O310" s="103"/>
      <c r="P310" s="103"/>
      <c r="Q310" s="103"/>
      <c r="R310" s="103"/>
    </row>
    <row r="311">
      <c r="A311" s="103"/>
      <c r="B311" s="103"/>
      <c r="C311" s="106"/>
      <c r="D311" s="106"/>
      <c r="E311" s="107"/>
      <c r="F311" s="108"/>
      <c r="G311" s="107"/>
      <c r="H311" s="107"/>
      <c r="I311" s="107"/>
      <c r="J311" s="107"/>
      <c r="K311" s="107"/>
      <c r="L311" s="107"/>
      <c r="M311" s="104"/>
      <c r="N311" s="103"/>
      <c r="O311" s="103"/>
      <c r="P311" s="103"/>
      <c r="Q311" s="103"/>
      <c r="R311" s="103"/>
    </row>
    <row r="312">
      <c r="A312" s="103"/>
      <c r="B312" s="103"/>
      <c r="C312" s="106"/>
      <c r="D312" s="106"/>
      <c r="E312" s="107"/>
      <c r="F312" s="108"/>
      <c r="G312" s="107"/>
      <c r="H312" s="107"/>
      <c r="I312" s="107"/>
      <c r="J312" s="107"/>
      <c r="K312" s="107"/>
      <c r="L312" s="107"/>
      <c r="M312" s="104"/>
      <c r="N312" s="103"/>
      <c r="O312" s="103"/>
      <c r="P312" s="103"/>
      <c r="Q312" s="103"/>
      <c r="R312" s="103"/>
    </row>
    <row r="313">
      <c r="A313" s="103"/>
      <c r="B313" s="103"/>
      <c r="C313" s="106"/>
      <c r="D313" s="106"/>
      <c r="E313" s="107"/>
      <c r="F313" s="108"/>
      <c r="G313" s="107"/>
      <c r="H313" s="107"/>
      <c r="I313" s="107"/>
      <c r="J313" s="107"/>
      <c r="K313" s="107"/>
      <c r="L313" s="107"/>
      <c r="M313" s="104"/>
      <c r="N313" s="103"/>
      <c r="O313" s="103"/>
      <c r="P313" s="103"/>
      <c r="Q313" s="103"/>
      <c r="R313" s="103"/>
    </row>
    <row r="314">
      <c r="A314" s="103"/>
      <c r="B314" s="103"/>
      <c r="C314" s="106"/>
      <c r="D314" s="106"/>
      <c r="E314" s="107"/>
      <c r="F314" s="108"/>
      <c r="G314" s="107"/>
      <c r="H314" s="107"/>
      <c r="I314" s="107"/>
      <c r="J314" s="107"/>
      <c r="K314" s="107"/>
      <c r="L314" s="107"/>
      <c r="M314" s="104"/>
      <c r="N314" s="103"/>
      <c r="O314" s="103"/>
      <c r="P314" s="103"/>
      <c r="Q314" s="103"/>
      <c r="R314" s="103"/>
    </row>
    <row r="315">
      <c r="A315" s="103"/>
      <c r="B315" s="103"/>
      <c r="C315" s="106"/>
      <c r="D315" s="106"/>
      <c r="E315" s="107"/>
      <c r="F315" s="108"/>
      <c r="G315" s="107"/>
      <c r="H315" s="107"/>
      <c r="I315" s="107"/>
      <c r="J315" s="107"/>
      <c r="K315" s="107"/>
      <c r="L315" s="107"/>
      <c r="M315" s="104"/>
      <c r="N315" s="103"/>
      <c r="O315" s="103"/>
      <c r="P315" s="103"/>
      <c r="Q315" s="103"/>
      <c r="R315" s="103"/>
    </row>
    <row r="316">
      <c r="A316" s="103"/>
      <c r="B316" s="103"/>
      <c r="C316" s="106"/>
      <c r="D316" s="106"/>
      <c r="E316" s="107"/>
      <c r="F316" s="108"/>
      <c r="G316" s="107"/>
      <c r="H316" s="107"/>
      <c r="I316" s="107"/>
      <c r="J316" s="107"/>
      <c r="K316" s="107"/>
      <c r="L316" s="107"/>
      <c r="M316" s="104"/>
      <c r="N316" s="103"/>
      <c r="O316" s="103"/>
      <c r="P316" s="103"/>
      <c r="Q316" s="103"/>
      <c r="R316" s="103"/>
    </row>
    <row r="317">
      <c r="A317" s="103"/>
      <c r="B317" s="103"/>
      <c r="C317" s="106"/>
      <c r="D317" s="106"/>
      <c r="E317" s="107"/>
      <c r="F317" s="108"/>
      <c r="G317" s="107"/>
      <c r="H317" s="107"/>
      <c r="I317" s="107"/>
      <c r="J317" s="107"/>
      <c r="K317" s="107"/>
      <c r="L317" s="107"/>
      <c r="M317" s="104"/>
      <c r="N317" s="103"/>
      <c r="O317" s="103"/>
      <c r="P317" s="103"/>
      <c r="Q317" s="103"/>
      <c r="R317" s="103"/>
    </row>
    <row r="318">
      <c r="A318" s="103"/>
      <c r="B318" s="103"/>
      <c r="C318" s="106"/>
      <c r="D318" s="106"/>
      <c r="E318" s="107"/>
      <c r="F318" s="108"/>
      <c r="G318" s="107"/>
      <c r="H318" s="107"/>
      <c r="I318" s="107"/>
      <c r="J318" s="107"/>
      <c r="K318" s="107"/>
      <c r="L318" s="107"/>
      <c r="M318" s="104"/>
      <c r="N318" s="103"/>
      <c r="O318" s="103"/>
      <c r="P318" s="103"/>
      <c r="Q318" s="103"/>
      <c r="R318" s="103"/>
    </row>
    <row r="319">
      <c r="A319" s="103"/>
      <c r="B319" s="103"/>
      <c r="C319" s="106"/>
      <c r="D319" s="106"/>
      <c r="E319" s="107"/>
      <c r="F319" s="108"/>
      <c r="G319" s="107"/>
      <c r="H319" s="107"/>
      <c r="I319" s="107"/>
      <c r="J319" s="107"/>
      <c r="K319" s="107"/>
      <c r="L319" s="107"/>
      <c r="M319" s="104"/>
      <c r="N319" s="103"/>
      <c r="O319" s="103"/>
      <c r="P319" s="103"/>
      <c r="Q319" s="103"/>
      <c r="R319" s="103"/>
    </row>
    <row r="320">
      <c r="A320" s="103"/>
      <c r="B320" s="103"/>
      <c r="C320" s="106"/>
      <c r="D320" s="106"/>
      <c r="E320" s="107"/>
      <c r="F320" s="108"/>
      <c r="G320" s="107"/>
      <c r="H320" s="107"/>
      <c r="I320" s="107"/>
      <c r="J320" s="107"/>
      <c r="K320" s="107"/>
      <c r="L320" s="107"/>
      <c r="M320" s="104"/>
      <c r="N320" s="103"/>
      <c r="O320" s="103"/>
      <c r="P320" s="103"/>
      <c r="Q320" s="103"/>
      <c r="R320" s="103"/>
    </row>
    <row r="321">
      <c r="A321" s="103"/>
      <c r="B321" s="103"/>
      <c r="C321" s="106"/>
      <c r="D321" s="106"/>
      <c r="E321" s="107"/>
      <c r="F321" s="108"/>
      <c r="G321" s="107"/>
      <c r="H321" s="107"/>
      <c r="I321" s="107"/>
      <c r="J321" s="107"/>
      <c r="K321" s="107"/>
      <c r="L321" s="107"/>
      <c r="M321" s="104"/>
      <c r="N321" s="103"/>
      <c r="O321" s="103"/>
      <c r="P321" s="103"/>
      <c r="Q321" s="103"/>
      <c r="R321" s="103"/>
    </row>
    <row r="322">
      <c r="A322" s="103"/>
      <c r="B322" s="103"/>
      <c r="C322" s="106"/>
      <c r="D322" s="106"/>
      <c r="E322" s="107"/>
      <c r="F322" s="108"/>
      <c r="G322" s="107"/>
      <c r="H322" s="107"/>
      <c r="I322" s="107"/>
      <c r="J322" s="107"/>
      <c r="K322" s="107"/>
      <c r="L322" s="107"/>
      <c r="M322" s="104"/>
      <c r="N322" s="103"/>
      <c r="O322" s="103"/>
      <c r="P322" s="103"/>
      <c r="Q322" s="103"/>
      <c r="R322" s="103"/>
    </row>
    <row r="323">
      <c r="A323" s="103"/>
      <c r="B323" s="103"/>
      <c r="C323" s="106"/>
      <c r="D323" s="106"/>
      <c r="E323" s="107"/>
      <c r="F323" s="108"/>
      <c r="G323" s="107"/>
      <c r="H323" s="107"/>
      <c r="I323" s="107"/>
      <c r="J323" s="107"/>
      <c r="K323" s="107"/>
      <c r="L323" s="107"/>
      <c r="M323" s="104"/>
      <c r="N323" s="103"/>
      <c r="O323" s="103"/>
      <c r="P323" s="103"/>
      <c r="Q323" s="103"/>
      <c r="R323" s="103"/>
    </row>
    <row r="324">
      <c r="A324" s="103"/>
      <c r="B324" s="103"/>
      <c r="C324" s="106"/>
      <c r="D324" s="106"/>
      <c r="E324" s="107"/>
      <c r="F324" s="108"/>
      <c r="G324" s="107"/>
      <c r="H324" s="107"/>
      <c r="I324" s="107"/>
      <c r="J324" s="107"/>
      <c r="K324" s="107"/>
      <c r="L324" s="107"/>
      <c r="M324" s="104"/>
      <c r="N324" s="103"/>
      <c r="O324" s="103"/>
      <c r="P324" s="103"/>
      <c r="Q324" s="103"/>
      <c r="R324" s="103"/>
    </row>
    <row r="325">
      <c r="A325" s="103"/>
      <c r="B325" s="103"/>
      <c r="C325" s="106"/>
      <c r="D325" s="106"/>
      <c r="E325" s="107"/>
      <c r="F325" s="108"/>
      <c r="G325" s="107"/>
      <c r="H325" s="107"/>
      <c r="I325" s="107"/>
      <c r="J325" s="107"/>
      <c r="K325" s="107"/>
      <c r="L325" s="107"/>
      <c r="M325" s="104"/>
      <c r="N325" s="103"/>
      <c r="O325" s="103"/>
      <c r="P325" s="103"/>
      <c r="Q325" s="103"/>
      <c r="R325" s="103"/>
    </row>
    <row r="326">
      <c r="A326" s="103"/>
      <c r="B326" s="103"/>
      <c r="C326" s="106"/>
      <c r="D326" s="106"/>
      <c r="E326" s="107"/>
      <c r="F326" s="108"/>
      <c r="G326" s="107"/>
      <c r="H326" s="107"/>
      <c r="I326" s="107"/>
      <c r="J326" s="107"/>
      <c r="K326" s="107"/>
      <c r="L326" s="107"/>
      <c r="M326" s="104"/>
      <c r="N326" s="103"/>
      <c r="O326" s="103"/>
      <c r="P326" s="103"/>
      <c r="Q326" s="103"/>
      <c r="R326" s="103"/>
    </row>
    <row r="327">
      <c r="A327" s="103"/>
      <c r="B327" s="103"/>
      <c r="C327" s="106"/>
      <c r="D327" s="106"/>
      <c r="E327" s="107"/>
      <c r="F327" s="108"/>
      <c r="G327" s="107"/>
      <c r="H327" s="107"/>
      <c r="I327" s="107"/>
      <c r="J327" s="107"/>
      <c r="K327" s="107"/>
      <c r="L327" s="107"/>
      <c r="M327" s="104"/>
      <c r="N327" s="103"/>
      <c r="O327" s="103"/>
      <c r="P327" s="103"/>
      <c r="Q327" s="103"/>
      <c r="R327" s="103"/>
    </row>
    <row r="328">
      <c r="A328" s="103"/>
      <c r="B328" s="103"/>
      <c r="C328" s="106"/>
      <c r="D328" s="106"/>
      <c r="E328" s="107"/>
      <c r="F328" s="108"/>
      <c r="G328" s="107"/>
      <c r="H328" s="107"/>
      <c r="I328" s="107"/>
      <c r="J328" s="107"/>
      <c r="K328" s="107"/>
      <c r="L328" s="107"/>
      <c r="M328" s="104"/>
      <c r="N328" s="103"/>
      <c r="O328" s="103"/>
      <c r="P328" s="103"/>
      <c r="Q328" s="103"/>
      <c r="R328" s="103"/>
    </row>
    <row r="329">
      <c r="A329" s="103"/>
      <c r="B329" s="103"/>
      <c r="C329" s="106"/>
      <c r="D329" s="106"/>
      <c r="E329" s="107"/>
      <c r="F329" s="108"/>
      <c r="G329" s="107"/>
      <c r="H329" s="107"/>
      <c r="I329" s="107"/>
      <c r="J329" s="107"/>
      <c r="K329" s="107"/>
      <c r="L329" s="107"/>
      <c r="M329" s="104"/>
      <c r="N329" s="103"/>
      <c r="O329" s="103"/>
      <c r="P329" s="103"/>
      <c r="Q329" s="103"/>
      <c r="R329" s="103"/>
    </row>
    <row r="330">
      <c r="A330" s="103"/>
      <c r="B330" s="103"/>
      <c r="C330" s="106"/>
      <c r="D330" s="106"/>
      <c r="E330" s="107"/>
      <c r="F330" s="108"/>
      <c r="G330" s="107"/>
      <c r="H330" s="107"/>
      <c r="I330" s="107"/>
      <c r="J330" s="107"/>
      <c r="K330" s="107"/>
      <c r="L330" s="107"/>
      <c r="M330" s="104"/>
      <c r="N330" s="103"/>
      <c r="O330" s="103"/>
      <c r="P330" s="103"/>
      <c r="Q330" s="103"/>
      <c r="R330" s="103"/>
    </row>
    <row r="331">
      <c r="A331" s="103"/>
      <c r="B331" s="103"/>
      <c r="C331" s="106"/>
      <c r="D331" s="106"/>
      <c r="E331" s="107"/>
      <c r="F331" s="108"/>
      <c r="G331" s="107"/>
      <c r="H331" s="107"/>
      <c r="I331" s="107"/>
      <c r="J331" s="107"/>
      <c r="K331" s="107"/>
      <c r="L331" s="107"/>
      <c r="M331" s="104"/>
      <c r="N331" s="103"/>
      <c r="O331" s="103"/>
      <c r="P331" s="103"/>
      <c r="Q331" s="103"/>
      <c r="R331" s="103"/>
    </row>
    <row r="332">
      <c r="A332" s="103"/>
      <c r="B332" s="103"/>
      <c r="C332" s="106"/>
      <c r="D332" s="106"/>
      <c r="E332" s="107"/>
      <c r="F332" s="108"/>
      <c r="G332" s="107"/>
      <c r="H332" s="107"/>
      <c r="I332" s="107"/>
      <c r="J332" s="107"/>
      <c r="K332" s="107"/>
      <c r="L332" s="107"/>
      <c r="M332" s="104"/>
      <c r="N332" s="103"/>
      <c r="O332" s="103"/>
      <c r="P332" s="103"/>
      <c r="Q332" s="103"/>
      <c r="R332" s="103"/>
    </row>
    <row r="333">
      <c r="A333" s="103"/>
      <c r="B333" s="103"/>
      <c r="C333" s="106"/>
      <c r="D333" s="106"/>
      <c r="E333" s="107"/>
      <c r="F333" s="108"/>
      <c r="G333" s="107"/>
      <c r="H333" s="107"/>
      <c r="I333" s="107"/>
      <c r="J333" s="107"/>
      <c r="K333" s="107"/>
      <c r="L333" s="107"/>
      <c r="M333" s="104"/>
      <c r="N333" s="103"/>
      <c r="O333" s="103"/>
      <c r="P333" s="103"/>
      <c r="Q333" s="103"/>
      <c r="R333" s="103"/>
    </row>
    <row r="334">
      <c r="A334" s="103"/>
      <c r="B334" s="103"/>
      <c r="C334" s="106"/>
      <c r="D334" s="106"/>
      <c r="E334" s="107"/>
      <c r="F334" s="108"/>
      <c r="G334" s="107"/>
      <c r="H334" s="107"/>
      <c r="I334" s="107"/>
      <c r="J334" s="107"/>
      <c r="K334" s="107"/>
      <c r="L334" s="107"/>
      <c r="M334" s="104"/>
      <c r="N334" s="103"/>
      <c r="O334" s="103"/>
      <c r="P334" s="103"/>
      <c r="Q334" s="103"/>
      <c r="R334" s="103"/>
    </row>
    <row r="335">
      <c r="A335" s="103"/>
      <c r="B335" s="103"/>
      <c r="C335" s="106"/>
      <c r="D335" s="106"/>
      <c r="E335" s="107"/>
      <c r="F335" s="108"/>
      <c r="G335" s="107"/>
      <c r="H335" s="107"/>
      <c r="I335" s="107"/>
      <c r="J335" s="107"/>
      <c r="K335" s="107"/>
      <c r="L335" s="107"/>
      <c r="M335" s="104"/>
      <c r="N335" s="103"/>
      <c r="O335" s="103"/>
      <c r="P335" s="103"/>
      <c r="Q335" s="103"/>
      <c r="R335" s="103"/>
    </row>
    <row r="336">
      <c r="A336" s="103"/>
      <c r="B336" s="103"/>
      <c r="C336" s="106"/>
      <c r="D336" s="106"/>
      <c r="E336" s="107"/>
      <c r="F336" s="108"/>
      <c r="G336" s="107"/>
      <c r="H336" s="107"/>
      <c r="I336" s="107"/>
      <c r="J336" s="107"/>
      <c r="K336" s="107"/>
      <c r="L336" s="107"/>
      <c r="M336" s="104"/>
      <c r="N336" s="103"/>
      <c r="O336" s="103"/>
      <c r="P336" s="103"/>
      <c r="Q336" s="103"/>
      <c r="R336" s="103"/>
    </row>
    <row r="337">
      <c r="A337" s="103"/>
      <c r="B337" s="103"/>
      <c r="C337" s="106"/>
      <c r="D337" s="106"/>
      <c r="E337" s="107"/>
      <c r="F337" s="108"/>
      <c r="G337" s="107"/>
      <c r="H337" s="107"/>
      <c r="I337" s="107"/>
      <c r="J337" s="107"/>
      <c r="K337" s="107"/>
      <c r="L337" s="107"/>
      <c r="M337" s="104"/>
      <c r="N337" s="103"/>
      <c r="O337" s="103"/>
      <c r="P337" s="103"/>
      <c r="Q337" s="103"/>
      <c r="R337" s="103"/>
    </row>
    <row r="338">
      <c r="A338" s="103"/>
      <c r="B338" s="103"/>
      <c r="C338" s="106"/>
      <c r="D338" s="106"/>
      <c r="E338" s="107"/>
      <c r="F338" s="108"/>
      <c r="G338" s="107"/>
      <c r="H338" s="107"/>
      <c r="I338" s="107"/>
      <c r="J338" s="107"/>
      <c r="K338" s="107"/>
      <c r="L338" s="107"/>
      <c r="M338" s="104"/>
      <c r="N338" s="103"/>
      <c r="O338" s="103"/>
      <c r="P338" s="103"/>
      <c r="Q338" s="103"/>
      <c r="R338" s="103"/>
    </row>
    <row r="339">
      <c r="A339" s="103"/>
      <c r="B339" s="103"/>
      <c r="C339" s="106"/>
      <c r="D339" s="106"/>
      <c r="E339" s="107"/>
      <c r="F339" s="108"/>
      <c r="G339" s="107"/>
      <c r="H339" s="107"/>
      <c r="I339" s="107"/>
      <c r="J339" s="107"/>
      <c r="K339" s="107"/>
      <c r="L339" s="107"/>
      <c r="M339" s="104"/>
      <c r="N339" s="103"/>
      <c r="O339" s="103"/>
      <c r="P339" s="103"/>
      <c r="Q339" s="103"/>
      <c r="R339" s="103"/>
    </row>
    <row r="340">
      <c r="A340" s="103"/>
      <c r="B340" s="103"/>
      <c r="C340" s="106"/>
      <c r="D340" s="106"/>
      <c r="E340" s="107"/>
      <c r="F340" s="108"/>
      <c r="G340" s="107"/>
      <c r="H340" s="107"/>
      <c r="I340" s="107"/>
      <c r="J340" s="107"/>
      <c r="K340" s="107"/>
      <c r="L340" s="107"/>
      <c r="M340" s="104"/>
      <c r="N340" s="103"/>
      <c r="O340" s="103"/>
      <c r="P340" s="103"/>
      <c r="Q340" s="103"/>
      <c r="R340" s="103"/>
    </row>
    <row r="341">
      <c r="A341" s="103"/>
      <c r="B341" s="103"/>
      <c r="C341" s="106"/>
      <c r="D341" s="106"/>
      <c r="E341" s="107"/>
      <c r="F341" s="108"/>
      <c r="G341" s="107"/>
      <c r="H341" s="107"/>
      <c r="I341" s="107"/>
      <c r="J341" s="107"/>
      <c r="K341" s="107"/>
      <c r="L341" s="107"/>
      <c r="M341" s="104"/>
      <c r="N341" s="103"/>
      <c r="O341" s="103"/>
      <c r="P341" s="103"/>
      <c r="Q341" s="103"/>
      <c r="R341" s="103"/>
    </row>
    <row r="342">
      <c r="A342" s="103"/>
      <c r="B342" s="103"/>
      <c r="C342" s="106"/>
      <c r="D342" s="106"/>
      <c r="E342" s="107"/>
      <c r="F342" s="108"/>
      <c r="G342" s="107"/>
      <c r="H342" s="107"/>
      <c r="I342" s="107"/>
      <c r="J342" s="107"/>
      <c r="K342" s="107"/>
      <c r="L342" s="107"/>
      <c r="M342" s="104"/>
      <c r="N342" s="103"/>
      <c r="O342" s="103"/>
      <c r="P342" s="103"/>
      <c r="Q342" s="103"/>
      <c r="R342" s="103"/>
    </row>
    <row r="343">
      <c r="A343" s="103"/>
      <c r="B343" s="103"/>
      <c r="C343" s="106"/>
      <c r="D343" s="106"/>
      <c r="E343" s="107"/>
      <c r="F343" s="108"/>
      <c r="G343" s="107"/>
      <c r="H343" s="107"/>
      <c r="I343" s="107"/>
      <c r="J343" s="107"/>
      <c r="K343" s="107"/>
      <c r="L343" s="107"/>
      <c r="M343" s="104"/>
      <c r="N343" s="103"/>
      <c r="O343" s="103"/>
      <c r="P343" s="103"/>
      <c r="Q343" s="103"/>
      <c r="R343" s="103"/>
    </row>
    <row r="344">
      <c r="A344" s="103"/>
      <c r="B344" s="103"/>
      <c r="C344" s="106"/>
      <c r="D344" s="106"/>
      <c r="E344" s="107"/>
      <c r="F344" s="108"/>
      <c r="G344" s="107"/>
      <c r="H344" s="107"/>
      <c r="I344" s="107"/>
      <c r="J344" s="107"/>
      <c r="K344" s="107"/>
      <c r="L344" s="107"/>
      <c r="M344" s="104"/>
      <c r="N344" s="103"/>
      <c r="O344" s="103"/>
      <c r="P344" s="103"/>
      <c r="Q344" s="103"/>
      <c r="R344" s="103"/>
    </row>
    <row r="345">
      <c r="A345" s="103"/>
      <c r="B345" s="103"/>
      <c r="C345" s="106"/>
      <c r="D345" s="106"/>
      <c r="E345" s="107"/>
      <c r="F345" s="108"/>
      <c r="G345" s="107"/>
      <c r="H345" s="107"/>
      <c r="I345" s="107"/>
      <c r="J345" s="107"/>
      <c r="K345" s="107"/>
      <c r="L345" s="107"/>
      <c r="M345" s="104"/>
      <c r="N345" s="103"/>
      <c r="O345" s="103"/>
      <c r="P345" s="103"/>
      <c r="Q345" s="103"/>
      <c r="R345" s="103"/>
    </row>
    <row r="346">
      <c r="A346" s="103"/>
      <c r="B346" s="103"/>
      <c r="C346" s="106"/>
      <c r="D346" s="106"/>
      <c r="E346" s="107"/>
      <c r="F346" s="108"/>
      <c r="G346" s="107"/>
      <c r="H346" s="107"/>
      <c r="I346" s="107"/>
      <c r="J346" s="107"/>
      <c r="K346" s="107"/>
      <c r="L346" s="107"/>
      <c r="M346" s="104"/>
      <c r="N346" s="103"/>
      <c r="O346" s="103"/>
      <c r="P346" s="103"/>
      <c r="Q346" s="103"/>
      <c r="R346" s="103"/>
    </row>
    <row r="347">
      <c r="A347" s="103"/>
      <c r="B347" s="103"/>
      <c r="C347" s="106"/>
      <c r="D347" s="106"/>
      <c r="E347" s="107"/>
      <c r="F347" s="108"/>
      <c r="G347" s="107"/>
      <c r="H347" s="107"/>
      <c r="I347" s="107"/>
      <c r="J347" s="107"/>
      <c r="K347" s="107"/>
      <c r="L347" s="107"/>
      <c r="M347" s="104"/>
      <c r="N347" s="103"/>
      <c r="O347" s="103"/>
      <c r="P347" s="103"/>
      <c r="Q347" s="103"/>
      <c r="R347" s="103"/>
    </row>
    <row r="348">
      <c r="A348" s="103"/>
      <c r="B348" s="103"/>
      <c r="C348" s="106"/>
      <c r="D348" s="106"/>
      <c r="E348" s="107"/>
      <c r="F348" s="108"/>
      <c r="G348" s="107"/>
      <c r="H348" s="107"/>
      <c r="I348" s="107"/>
      <c r="J348" s="107"/>
      <c r="K348" s="107"/>
      <c r="L348" s="107"/>
      <c r="M348" s="104"/>
      <c r="N348" s="103"/>
      <c r="O348" s="103"/>
      <c r="P348" s="103"/>
      <c r="Q348" s="103"/>
      <c r="R348" s="103"/>
    </row>
    <row r="349">
      <c r="A349" s="103"/>
      <c r="B349" s="103"/>
      <c r="C349" s="106"/>
      <c r="D349" s="106"/>
      <c r="E349" s="107"/>
      <c r="F349" s="108"/>
      <c r="G349" s="107"/>
      <c r="H349" s="107"/>
      <c r="I349" s="107"/>
      <c r="J349" s="107"/>
      <c r="K349" s="107"/>
      <c r="L349" s="107"/>
      <c r="M349" s="104"/>
      <c r="N349" s="103"/>
      <c r="O349" s="103"/>
      <c r="P349" s="103"/>
      <c r="Q349" s="103"/>
      <c r="R349" s="103"/>
    </row>
    <row r="350">
      <c r="A350" s="103"/>
      <c r="B350" s="103"/>
      <c r="C350" s="106"/>
      <c r="D350" s="106"/>
      <c r="E350" s="107"/>
      <c r="F350" s="108"/>
      <c r="G350" s="107"/>
      <c r="H350" s="107"/>
      <c r="I350" s="107"/>
      <c r="J350" s="107"/>
      <c r="K350" s="107"/>
      <c r="L350" s="107"/>
      <c r="M350" s="104"/>
      <c r="N350" s="103"/>
      <c r="O350" s="103"/>
      <c r="P350" s="103"/>
      <c r="Q350" s="103"/>
      <c r="R350" s="103"/>
    </row>
    <row r="351">
      <c r="A351" s="103"/>
      <c r="B351" s="103"/>
      <c r="C351" s="106"/>
      <c r="D351" s="106"/>
      <c r="E351" s="107"/>
      <c r="F351" s="108"/>
      <c r="G351" s="107"/>
      <c r="H351" s="107"/>
      <c r="I351" s="107"/>
      <c r="J351" s="107"/>
      <c r="K351" s="107"/>
      <c r="L351" s="107"/>
      <c r="M351" s="104"/>
      <c r="N351" s="103"/>
      <c r="O351" s="103"/>
      <c r="P351" s="103"/>
      <c r="Q351" s="103"/>
      <c r="R351" s="103"/>
    </row>
    <row r="352">
      <c r="A352" s="103"/>
      <c r="B352" s="103"/>
      <c r="C352" s="106"/>
      <c r="D352" s="106"/>
      <c r="E352" s="107"/>
      <c r="F352" s="108"/>
      <c r="G352" s="107"/>
      <c r="H352" s="107"/>
      <c r="I352" s="107"/>
      <c r="J352" s="107"/>
      <c r="K352" s="107"/>
      <c r="L352" s="107"/>
      <c r="M352" s="104"/>
      <c r="N352" s="103"/>
      <c r="O352" s="103"/>
      <c r="P352" s="103"/>
      <c r="Q352" s="103"/>
      <c r="R352" s="103"/>
    </row>
    <row r="353">
      <c r="A353" s="103"/>
      <c r="B353" s="103"/>
      <c r="C353" s="106"/>
      <c r="D353" s="106"/>
      <c r="E353" s="107"/>
      <c r="F353" s="108"/>
      <c r="G353" s="107"/>
      <c r="H353" s="107"/>
      <c r="I353" s="107"/>
      <c r="J353" s="107"/>
      <c r="K353" s="107"/>
      <c r="L353" s="107"/>
      <c r="M353" s="104"/>
      <c r="N353" s="103"/>
      <c r="O353" s="103"/>
      <c r="P353" s="103"/>
      <c r="Q353" s="103"/>
      <c r="R353" s="103"/>
    </row>
    <row r="354">
      <c r="A354" s="103"/>
      <c r="B354" s="103"/>
      <c r="C354" s="106"/>
      <c r="D354" s="106"/>
      <c r="E354" s="107"/>
      <c r="F354" s="108"/>
      <c r="G354" s="107"/>
      <c r="H354" s="107"/>
      <c r="I354" s="107"/>
      <c r="J354" s="107"/>
      <c r="K354" s="107"/>
      <c r="L354" s="107"/>
      <c r="M354" s="104"/>
      <c r="N354" s="103"/>
      <c r="O354" s="103"/>
      <c r="P354" s="103"/>
      <c r="Q354" s="103"/>
      <c r="R354" s="103"/>
    </row>
    <row r="355">
      <c r="A355" s="103"/>
      <c r="B355" s="103"/>
      <c r="C355" s="106"/>
      <c r="D355" s="106"/>
      <c r="E355" s="107"/>
      <c r="F355" s="108"/>
      <c r="G355" s="107"/>
      <c r="H355" s="107"/>
      <c r="I355" s="107"/>
      <c r="J355" s="107"/>
      <c r="K355" s="107"/>
      <c r="L355" s="107"/>
      <c r="M355" s="104"/>
      <c r="N355" s="103"/>
      <c r="O355" s="103"/>
      <c r="P355" s="103"/>
      <c r="Q355" s="103"/>
      <c r="R355" s="103"/>
    </row>
    <row r="356">
      <c r="A356" s="103"/>
      <c r="B356" s="103"/>
      <c r="C356" s="106"/>
      <c r="D356" s="106"/>
      <c r="E356" s="107"/>
      <c r="F356" s="108"/>
      <c r="G356" s="107"/>
      <c r="H356" s="107"/>
      <c r="I356" s="107"/>
      <c r="J356" s="107"/>
      <c r="K356" s="107"/>
      <c r="L356" s="107"/>
      <c r="M356" s="104"/>
      <c r="N356" s="103"/>
      <c r="O356" s="103"/>
      <c r="P356" s="103"/>
      <c r="Q356" s="103"/>
      <c r="R356" s="103"/>
    </row>
    <row r="357">
      <c r="A357" s="103"/>
      <c r="B357" s="103"/>
      <c r="C357" s="106"/>
      <c r="D357" s="106"/>
      <c r="E357" s="107"/>
      <c r="F357" s="108"/>
      <c r="G357" s="107"/>
      <c r="H357" s="107"/>
      <c r="I357" s="107"/>
      <c r="J357" s="107"/>
      <c r="K357" s="107"/>
      <c r="L357" s="107"/>
      <c r="M357" s="104"/>
      <c r="N357" s="103"/>
      <c r="O357" s="103"/>
      <c r="P357" s="103"/>
      <c r="Q357" s="103"/>
      <c r="R357" s="103"/>
    </row>
    <row r="358">
      <c r="A358" s="103"/>
      <c r="B358" s="103"/>
      <c r="C358" s="106"/>
      <c r="D358" s="106"/>
      <c r="E358" s="107"/>
      <c r="F358" s="108"/>
      <c r="G358" s="107"/>
      <c r="H358" s="107"/>
      <c r="I358" s="107"/>
      <c r="J358" s="107"/>
      <c r="K358" s="107"/>
      <c r="L358" s="107"/>
      <c r="M358" s="104"/>
      <c r="N358" s="103"/>
      <c r="O358" s="103"/>
      <c r="P358" s="103"/>
      <c r="Q358" s="103"/>
      <c r="R358" s="103"/>
    </row>
    <row r="359">
      <c r="A359" s="103"/>
      <c r="B359" s="103"/>
      <c r="C359" s="106"/>
      <c r="D359" s="106"/>
      <c r="E359" s="107"/>
      <c r="F359" s="108"/>
      <c r="G359" s="107"/>
      <c r="H359" s="107"/>
      <c r="I359" s="107"/>
      <c r="J359" s="107"/>
      <c r="K359" s="107"/>
      <c r="L359" s="107"/>
      <c r="M359" s="104"/>
      <c r="N359" s="103"/>
      <c r="O359" s="103"/>
      <c r="P359" s="103"/>
      <c r="Q359" s="103"/>
      <c r="R359" s="103"/>
    </row>
    <row r="360">
      <c r="A360" s="103"/>
      <c r="B360" s="103"/>
      <c r="C360" s="106"/>
      <c r="D360" s="106"/>
      <c r="E360" s="107"/>
      <c r="F360" s="108"/>
      <c r="G360" s="107"/>
      <c r="H360" s="107"/>
      <c r="I360" s="107"/>
      <c r="J360" s="107"/>
      <c r="K360" s="107"/>
      <c r="L360" s="107"/>
      <c r="M360" s="104"/>
      <c r="N360" s="103"/>
      <c r="O360" s="103"/>
      <c r="P360" s="103"/>
      <c r="Q360" s="103"/>
      <c r="R360" s="103"/>
    </row>
    <row r="361">
      <c r="A361" s="103"/>
      <c r="B361" s="103"/>
      <c r="C361" s="106"/>
      <c r="D361" s="106"/>
      <c r="E361" s="107"/>
      <c r="F361" s="108"/>
      <c r="G361" s="107"/>
      <c r="H361" s="107"/>
      <c r="I361" s="107"/>
      <c r="J361" s="107"/>
      <c r="K361" s="107"/>
      <c r="L361" s="107"/>
      <c r="M361" s="104"/>
      <c r="N361" s="103"/>
      <c r="O361" s="103"/>
      <c r="P361" s="103"/>
      <c r="Q361" s="103"/>
      <c r="R361" s="103"/>
    </row>
    <row r="362">
      <c r="A362" s="103"/>
      <c r="B362" s="103"/>
      <c r="C362" s="106"/>
      <c r="D362" s="106"/>
      <c r="E362" s="107"/>
      <c r="F362" s="108"/>
      <c r="G362" s="107"/>
      <c r="H362" s="107"/>
      <c r="I362" s="107"/>
      <c r="J362" s="107"/>
      <c r="K362" s="107"/>
      <c r="L362" s="107"/>
      <c r="M362" s="104"/>
      <c r="N362" s="103"/>
      <c r="O362" s="103"/>
      <c r="P362" s="103"/>
      <c r="Q362" s="103"/>
      <c r="R362" s="103"/>
    </row>
    <row r="363">
      <c r="A363" s="103"/>
      <c r="B363" s="103"/>
      <c r="C363" s="106"/>
      <c r="D363" s="106"/>
      <c r="E363" s="107"/>
      <c r="F363" s="108"/>
      <c r="G363" s="107"/>
      <c r="H363" s="107"/>
      <c r="I363" s="107"/>
      <c r="J363" s="107"/>
      <c r="K363" s="107"/>
      <c r="L363" s="107"/>
      <c r="M363" s="104"/>
      <c r="N363" s="103"/>
      <c r="O363" s="103"/>
      <c r="P363" s="103"/>
      <c r="Q363" s="103"/>
      <c r="R363" s="103"/>
    </row>
    <row r="364">
      <c r="A364" s="103"/>
      <c r="B364" s="103"/>
      <c r="C364" s="106"/>
      <c r="D364" s="106"/>
      <c r="E364" s="107"/>
      <c r="F364" s="108"/>
      <c r="G364" s="107"/>
      <c r="H364" s="107"/>
      <c r="I364" s="107"/>
      <c r="J364" s="107"/>
      <c r="K364" s="107"/>
      <c r="L364" s="107"/>
      <c r="M364" s="104"/>
      <c r="N364" s="103"/>
      <c r="O364" s="103"/>
      <c r="P364" s="103"/>
      <c r="Q364" s="103"/>
      <c r="R364" s="103"/>
    </row>
    <row r="365">
      <c r="A365" s="103"/>
      <c r="B365" s="103"/>
      <c r="C365" s="106"/>
      <c r="D365" s="106"/>
      <c r="E365" s="107"/>
      <c r="F365" s="108"/>
      <c r="G365" s="107"/>
      <c r="H365" s="107"/>
      <c r="I365" s="107"/>
      <c r="J365" s="107"/>
      <c r="K365" s="107"/>
      <c r="L365" s="107"/>
      <c r="M365" s="104"/>
      <c r="N365" s="103"/>
      <c r="O365" s="103"/>
      <c r="P365" s="103"/>
      <c r="Q365" s="103"/>
      <c r="R365" s="103"/>
    </row>
    <row r="366">
      <c r="A366" s="103"/>
      <c r="B366" s="103"/>
      <c r="C366" s="106"/>
      <c r="D366" s="106"/>
      <c r="E366" s="107"/>
      <c r="F366" s="108"/>
      <c r="G366" s="107"/>
      <c r="H366" s="107"/>
      <c r="I366" s="107"/>
      <c r="J366" s="107"/>
      <c r="K366" s="107"/>
      <c r="L366" s="107"/>
      <c r="M366" s="104"/>
      <c r="N366" s="103"/>
      <c r="O366" s="103"/>
      <c r="P366" s="103"/>
      <c r="Q366" s="103"/>
      <c r="R366" s="103"/>
    </row>
    <row r="367">
      <c r="A367" s="103"/>
      <c r="B367" s="103"/>
      <c r="C367" s="106"/>
      <c r="D367" s="106"/>
      <c r="E367" s="107"/>
      <c r="F367" s="108"/>
      <c r="G367" s="107"/>
      <c r="H367" s="107"/>
      <c r="I367" s="107"/>
      <c r="J367" s="107"/>
      <c r="K367" s="107"/>
      <c r="L367" s="107"/>
      <c r="M367" s="104"/>
      <c r="N367" s="103"/>
      <c r="O367" s="103"/>
      <c r="P367" s="103"/>
      <c r="Q367" s="103"/>
      <c r="R367" s="103"/>
    </row>
    <row r="368">
      <c r="A368" s="103"/>
      <c r="B368" s="103"/>
      <c r="C368" s="106"/>
      <c r="D368" s="106"/>
      <c r="E368" s="107"/>
      <c r="F368" s="108"/>
      <c r="G368" s="107"/>
      <c r="H368" s="107"/>
      <c r="I368" s="107"/>
      <c r="J368" s="107"/>
      <c r="K368" s="107"/>
      <c r="L368" s="107"/>
      <c r="M368" s="104"/>
      <c r="N368" s="103"/>
      <c r="O368" s="103"/>
      <c r="P368" s="103"/>
      <c r="Q368" s="103"/>
      <c r="R368" s="103"/>
    </row>
    <row r="369">
      <c r="A369" s="103"/>
      <c r="B369" s="103"/>
      <c r="C369" s="106"/>
      <c r="D369" s="106"/>
      <c r="E369" s="107"/>
      <c r="F369" s="108"/>
      <c r="G369" s="107"/>
      <c r="H369" s="107"/>
      <c r="I369" s="107"/>
      <c r="J369" s="107"/>
      <c r="K369" s="107"/>
      <c r="L369" s="107"/>
      <c r="M369" s="104"/>
      <c r="N369" s="103"/>
      <c r="O369" s="103"/>
      <c r="P369" s="103"/>
      <c r="Q369" s="103"/>
      <c r="R369" s="103"/>
    </row>
    <row r="370">
      <c r="A370" s="103"/>
      <c r="B370" s="103"/>
      <c r="C370" s="106"/>
      <c r="D370" s="106"/>
      <c r="E370" s="107"/>
      <c r="F370" s="108"/>
      <c r="G370" s="107"/>
      <c r="H370" s="107"/>
      <c r="I370" s="107"/>
      <c r="J370" s="107"/>
      <c r="K370" s="107"/>
      <c r="L370" s="107"/>
      <c r="M370" s="104"/>
      <c r="N370" s="103"/>
      <c r="O370" s="103"/>
      <c r="P370" s="103"/>
      <c r="Q370" s="103"/>
      <c r="R370" s="103"/>
    </row>
    <row r="371">
      <c r="A371" s="103"/>
      <c r="B371" s="103"/>
      <c r="C371" s="106"/>
      <c r="D371" s="106"/>
      <c r="E371" s="107"/>
      <c r="F371" s="108"/>
      <c r="G371" s="107"/>
      <c r="H371" s="107"/>
      <c r="I371" s="107"/>
      <c r="J371" s="107"/>
      <c r="K371" s="107"/>
      <c r="L371" s="107"/>
      <c r="M371" s="104"/>
      <c r="N371" s="103"/>
      <c r="O371" s="103"/>
      <c r="P371" s="103"/>
      <c r="Q371" s="103"/>
      <c r="R371" s="103"/>
    </row>
    <row r="372">
      <c r="A372" s="103"/>
      <c r="B372" s="103"/>
      <c r="C372" s="106"/>
      <c r="D372" s="106"/>
      <c r="E372" s="107"/>
      <c r="F372" s="108"/>
      <c r="G372" s="107"/>
      <c r="H372" s="107"/>
      <c r="I372" s="107"/>
      <c r="J372" s="107"/>
      <c r="K372" s="107"/>
      <c r="L372" s="107"/>
      <c r="M372" s="104"/>
      <c r="N372" s="103"/>
      <c r="O372" s="103"/>
      <c r="P372" s="103"/>
      <c r="Q372" s="103"/>
      <c r="R372" s="103"/>
    </row>
    <row r="373">
      <c r="A373" s="103"/>
      <c r="B373" s="103"/>
      <c r="C373" s="106"/>
      <c r="D373" s="106"/>
      <c r="E373" s="107"/>
      <c r="F373" s="108"/>
      <c r="G373" s="107"/>
      <c r="H373" s="107"/>
      <c r="I373" s="107"/>
      <c r="J373" s="107"/>
      <c r="K373" s="107"/>
      <c r="L373" s="107"/>
      <c r="M373" s="104"/>
      <c r="N373" s="103"/>
      <c r="O373" s="103"/>
      <c r="P373" s="103"/>
      <c r="Q373" s="103"/>
      <c r="R373" s="103"/>
    </row>
    <row r="374">
      <c r="A374" s="103"/>
      <c r="B374" s="103"/>
      <c r="C374" s="106"/>
      <c r="D374" s="106"/>
      <c r="E374" s="107"/>
      <c r="F374" s="108"/>
      <c r="G374" s="107"/>
      <c r="H374" s="107"/>
      <c r="I374" s="107"/>
      <c r="J374" s="107"/>
      <c r="K374" s="107"/>
      <c r="L374" s="107"/>
      <c r="M374" s="104"/>
      <c r="N374" s="103"/>
      <c r="O374" s="103"/>
      <c r="P374" s="103"/>
      <c r="Q374" s="103"/>
      <c r="R374" s="103"/>
    </row>
    <row r="375">
      <c r="A375" s="103"/>
      <c r="B375" s="103"/>
      <c r="C375" s="106"/>
      <c r="D375" s="106"/>
      <c r="E375" s="107"/>
      <c r="F375" s="108"/>
      <c r="G375" s="107"/>
      <c r="H375" s="107"/>
      <c r="I375" s="107"/>
      <c r="J375" s="107"/>
      <c r="K375" s="107"/>
      <c r="L375" s="107"/>
      <c r="M375" s="104"/>
      <c r="N375" s="103"/>
      <c r="O375" s="103"/>
      <c r="P375" s="103"/>
      <c r="Q375" s="103"/>
      <c r="R375" s="103"/>
    </row>
    <row r="376">
      <c r="A376" s="103"/>
      <c r="B376" s="103"/>
      <c r="C376" s="106"/>
      <c r="D376" s="106"/>
      <c r="E376" s="107"/>
      <c r="F376" s="108"/>
      <c r="G376" s="107"/>
      <c r="H376" s="107"/>
      <c r="I376" s="107"/>
      <c r="J376" s="107"/>
      <c r="K376" s="107"/>
      <c r="L376" s="107"/>
      <c r="M376" s="104"/>
      <c r="N376" s="103"/>
      <c r="O376" s="103"/>
      <c r="P376" s="103"/>
      <c r="Q376" s="103"/>
      <c r="R376" s="103"/>
    </row>
    <row r="377">
      <c r="A377" s="103"/>
      <c r="B377" s="103"/>
      <c r="C377" s="106"/>
      <c r="D377" s="106"/>
      <c r="E377" s="107"/>
      <c r="F377" s="108"/>
      <c r="G377" s="107"/>
      <c r="H377" s="107"/>
      <c r="I377" s="107"/>
      <c r="J377" s="107"/>
      <c r="K377" s="107"/>
      <c r="L377" s="107"/>
      <c r="M377" s="104"/>
      <c r="N377" s="103"/>
      <c r="O377" s="103"/>
      <c r="P377" s="103"/>
      <c r="Q377" s="103"/>
      <c r="R377" s="103"/>
    </row>
    <row r="378">
      <c r="A378" s="103"/>
      <c r="B378" s="103"/>
      <c r="C378" s="106"/>
      <c r="D378" s="106"/>
      <c r="E378" s="107"/>
      <c r="F378" s="108"/>
      <c r="G378" s="107"/>
      <c r="H378" s="107"/>
      <c r="I378" s="107"/>
      <c r="J378" s="107"/>
      <c r="K378" s="107"/>
      <c r="L378" s="107"/>
      <c r="M378" s="104"/>
      <c r="N378" s="103"/>
      <c r="O378" s="103"/>
      <c r="P378" s="103"/>
      <c r="Q378" s="103"/>
      <c r="R378" s="103"/>
    </row>
    <row r="379">
      <c r="A379" s="103"/>
      <c r="B379" s="103"/>
      <c r="C379" s="106"/>
      <c r="D379" s="106"/>
      <c r="E379" s="107"/>
      <c r="F379" s="108"/>
      <c r="G379" s="107"/>
      <c r="H379" s="107"/>
      <c r="I379" s="107"/>
      <c r="J379" s="107"/>
      <c r="K379" s="107"/>
      <c r="L379" s="107"/>
      <c r="M379" s="104"/>
      <c r="N379" s="103"/>
      <c r="O379" s="103"/>
      <c r="P379" s="103"/>
      <c r="Q379" s="103"/>
      <c r="R379" s="103"/>
    </row>
    <row r="380">
      <c r="A380" s="103"/>
      <c r="B380" s="103"/>
      <c r="C380" s="106"/>
      <c r="D380" s="106"/>
      <c r="E380" s="107"/>
      <c r="F380" s="108"/>
      <c r="G380" s="107"/>
      <c r="H380" s="107"/>
      <c r="I380" s="107"/>
      <c r="J380" s="107"/>
      <c r="K380" s="107"/>
      <c r="L380" s="107"/>
      <c r="M380" s="104"/>
      <c r="N380" s="103"/>
      <c r="O380" s="103"/>
      <c r="P380" s="103"/>
      <c r="Q380" s="103"/>
      <c r="R380" s="103"/>
    </row>
    <row r="381">
      <c r="A381" s="103"/>
      <c r="B381" s="103"/>
      <c r="C381" s="106"/>
      <c r="D381" s="106"/>
      <c r="E381" s="107"/>
      <c r="F381" s="108"/>
      <c r="G381" s="107"/>
      <c r="H381" s="107"/>
      <c r="I381" s="107"/>
      <c r="J381" s="107"/>
      <c r="K381" s="107"/>
      <c r="L381" s="107"/>
      <c r="M381" s="104"/>
      <c r="N381" s="103"/>
      <c r="O381" s="103"/>
      <c r="P381" s="103"/>
      <c r="Q381" s="103"/>
      <c r="R381" s="103"/>
    </row>
    <row r="382">
      <c r="A382" s="103"/>
      <c r="B382" s="103"/>
      <c r="C382" s="106"/>
      <c r="D382" s="106"/>
      <c r="E382" s="107"/>
      <c r="F382" s="108"/>
      <c r="G382" s="107"/>
      <c r="H382" s="107"/>
      <c r="I382" s="107"/>
      <c r="J382" s="107"/>
      <c r="K382" s="107"/>
      <c r="L382" s="107"/>
      <c r="M382" s="104"/>
      <c r="N382" s="103"/>
      <c r="O382" s="103"/>
      <c r="P382" s="103"/>
      <c r="Q382" s="103"/>
      <c r="R382" s="103"/>
    </row>
    <row r="383">
      <c r="A383" s="103"/>
      <c r="B383" s="103"/>
      <c r="C383" s="106"/>
      <c r="D383" s="106"/>
      <c r="E383" s="107"/>
      <c r="F383" s="108"/>
      <c r="G383" s="107"/>
      <c r="H383" s="107"/>
      <c r="I383" s="107"/>
      <c r="J383" s="107"/>
      <c r="K383" s="107"/>
      <c r="L383" s="107"/>
      <c r="M383" s="104"/>
      <c r="N383" s="103"/>
      <c r="O383" s="103"/>
      <c r="P383" s="103"/>
      <c r="Q383" s="103"/>
      <c r="R383" s="103"/>
    </row>
    <row r="384">
      <c r="A384" s="103"/>
      <c r="B384" s="103"/>
      <c r="C384" s="106"/>
      <c r="D384" s="106"/>
      <c r="E384" s="107"/>
      <c r="F384" s="108"/>
      <c r="G384" s="107"/>
      <c r="H384" s="107"/>
      <c r="I384" s="107"/>
      <c r="J384" s="107"/>
      <c r="K384" s="107"/>
      <c r="L384" s="107"/>
      <c r="M384" s="104"/>
      <c r="N384" s="103"/>
      <c r="O384" s="103"/>
      <c r="P384" s="103"/>
      <c r="Q384" s="103"/>
      <c r="R384" s="103"/>
    </row>
    <row r="385">
      <c r="A385" s="103"/>
      <c r="B385" s="103"/>
      <c r="C385" s="106"/>
      <c r="D385" s="106"/>
      <c r="E385" s="107"/>
      <c r="F385" s="108"/>
      <c r="G385" s="107"/>
      <c r="H385" s="107"/>
      <c r="I385" s="107"/>
      <c r="J385" s="107"/>
      <c r="K385" s="107"/>
      <c r="L385" s="107"/>
      <c r="M385" s="104"/>
      <c r="N385" s="103"/>
      <c r="O385" s="103"/>
      <c r="P385" s="103"/>
      <c r="Q385" s="103"/>
      <c r="R385" s="103"/>
    </row>
    <row r="386">
      <c r="A386" s="103"/>
      <c r="B386" s="103"/>
      <c r="C386" s="106"/>
      <c r="D386" s="106"/>
      <c r="E386" s="107"/>
      <c r="F386" s="108"/>
      <c r="G386" s="107"/>
      <c r="H386" s="107"/>
      <c r="I386" s="107"/>
      <c r="J386" s="107"/>
      <c r="K386" s="107"/>
      <c r="L386" s="107"/>
      <c r="M386" s="104"/>
      <c r="N386" s="103"/>
      <c r="O386" s="103"/>
      <c r="P386" s="103"/>
      <c r="Q386" s="103"/>
      <c r="R386" s="103"/>
    </row>
    <row r="387">
      <c r="A387" s="103"/>
      <c r="B387" s="103"/>
      <c r="C387" s="106"/>
      <c r="D387" s="106"/>
      <c r="E387" s="107"/>
      <c r="F387" s="108"/>
      <c r="G387" s="107"/>
      <c r="H387" s="107"/>
      <c r="I387" s="107"/>
      <c r="J387" s="107"/>
      <c r="K387" s="107"/>
      <c r="L387" s="107"/>
      <c r="M387" s="104"/>
      <c r="N387" s="103"/>
      <c r="O387" s="103"/>
      <c r="P387" s="103"/>
      <c r="Q387" s="103"/>
      <c r="R387" s="103"/>
    </row>
    <row r="388">
      <c r="A388" s="103"/>
      <c r="B388" s="103"/>
      <c r="C388" s="106"/>
      <c r="D388" s="106"/>
      <c r="E388" s="107"/>
      <c r="F388" s="108"/>
      <c r="G388" s="107"/>
      <c r="H388" s="107"/>
      <c r="I388" s="107"/>
      <c r="J388" s="107"/>
      <c r="K388" s="107"/>
      <c r="L388" s="107"/>
      <c r="M388" s="104"/>
      <c r="N388" s="103"/>
      <c r="O388" s="103"/>
      <c r="P388" s="103"/>
      <c r="Q388" s="103"/>
      <c r="R388" s="103"/>
    </row>
    <row r="389">
      <c r="A389" s="103"/>
      <c r="B389" s="103"/>
      <c r="C389" s="106"/>
      <c r="D389" s="106"/>
      <c r="E389" s="107"/>
      <c r="F389" s="108"/>
      <c r="G389" s="107"/>
      <c r="H389" s="107"/>
      <c r="I389" s="107"/>
      <c r="J389" s="107"/>
      <c r="K389" s="107"/>
      <c r="L389" s="107"/>
      <c r="M389" s="104"/>
      <c r="N389" s="103"/>
      <c r="O389" s="103"/>
      <c r="P389" s="103"/>
      <c r="Q389" s="103"/>
      <c r="R389" s="103"/>
    </row>
    <row r="390">
      <c r="A390" s="103"/>
      <c r="B390" s="103"/>
      <c r="C390" s="106"/>
      <c r="D390" s="106"/>
      <c r="E390" s="107"/>
      <c r="F390" s="108"/>
      <c r="G390" s="107"/>
      <c r="H390" s="107"/>
      <c r="I390" s="107"/>
      <c r="J390" s="107"/>
      <c r="K390" s="107"/>
      <c r="L390" s="107"/>
      <c r="M390" s="104"/>
      <c r="N390" s="103"/>
      <c r="O390" s="103"/>
      <c r="P390" s="103"/>
      <c r="Q390" s="103"/>
      <c r="R390" s="103"/>
    </row>
    <row r="391">
      <c r="A391" s="103"/>
      <c r="B391" s="103"/>
      <c r="C391" s="106"/>
      <c r="D391" s="106"/>
      <c r="E391" s="107"/>
      <c r="F391" s="108"/>
      <c r="G391" s="107"/>
      <c r="H391" s="107"/>
      <c r="I391" s="107"/>
      <c r="J391" s="107"/>
      <c r="K391" s="107"/>
      <c r="L391" s="107"/>
      <c r="M391" s="104"/>
      <c r="N391" s="103"/>
      <c r="O391" s="103"/>
      <c r="P391" s="103"/>
      <c r="Q391" s="103"/>
      <c r="R391" s="103"/>
    </row>
    <row r="392">
      <c r="A392" s="103"/>
      <c r="B392" s="103"/>
      <c r="C392" s="106"/>
      <c r="D392" s="106"/>
      <c r="E392" s="107"/>
      <c r="F392" s="108"/>
      <c r="G392" s="107"/>
      <c r="H392" s="107"/>
      <c r="I392" s="107"/>
      <c r="J392" s="107"/>
      <c r="K392" s="107"/>
      <c r="L392" s="107"/>
      <c r="M392" s="104"/>
      <c r="N392" s="103"/>
      <c r="O392" s="103"/>
      <c r="P392" s="103"/>
      <c r="Q392" s="103"/>
      <c r="R392" s="103"/>
    </row>
    <row r="393">
      <c r="A393" s="103"/>
      <c r="B393" s="103"/>
      <c r="C393" s="106"/>
      <c r="D393" s="106"/>
      <c r="E393" s="107"/>
      <c r="F393" s="108"/>
      <c r="G393" s="107"/>
      <c r="H393" s="107"/>
      <c r="I393" s="107"/>
      <c r="J393" s="107"/>
      <c r="K393" s="107"/>
      <c r="L393" s="107"/>
      <c r="M393" s="104"/>
      <c r="N393" s="103"/>
      <c r="O393" s="103"/>
      <c r="P393" s="103"/>
      <c r="Q393" s="103"/>
      <c r="R393" s="103"/>
    </row>
    <row r="394">
      <c r="A394" s="103"/>
      <c r="B394" s="103"/>
      <c r="C394" s="106"/>
      <c r="D394" s="106"/>
      <c r="E394" s="107"/>
      <c r="F394" s="108"/>
      <c r="G394" s="107"/>
      <c r="H394" s="107"/>
      <c r="I394" s="107"/>
      <c r="J394" s="107"/>
      <c r="K394" s="107"/>
      <c r="L394" s="107"/>
      <c r="M394" s="104"/>
      <c r="N394" s="103"/>
      <c r="O394" s="103"/>
      <c r="P394" s="103"/>
      <c r="Q394" s="103"/>
      <c r="R394" s="103"/>
    </row>
    <row r="395">
      <c r="A395" s="103"/>
      <c r="B395" s="103"/>
      <c r="C395" s="106"/>
      <c r="D395" s="106"/>
      <c r="E395" s="107"/>
      <c r="F395" s="108"/>
      <c r="G395" s="107"/>
      <c r="H395" s="107"/>
      <c r="I395" s="107"/>
      <c r="J395" s="107"/>
      <c r="K395" s="107"/>
      <c r="L395" s="107"/>
      <c r="M395" s="104"/>
      <c r="N395" s="103"/>
      <c r="O395" s="103"/>
      <c r="P395" s="103"/>
      <c r="Q395" s="103"/>
      <c r="R395" s="103"/>
    </row>
    <row r="396">
      <c r="A396" s="103"/>
      <c r="B396" s="103"/>
      <c r="C396" s="106"/>
      <c r="D396" s="106"/>
      <c r="E396" s="107"/>
      <c r="F396" s="108"/>
      <c r="G396" s="107"/>
      <c r="H396" s="107"/>
      <c r="I396" s="107"/>
      <c r="J396" s="107"/>
      <c r="K396" s="107"/>
      <c r="L396" s="107"/>
      <c r="M396" s="104"/>
      <c r="N396" s="103"/>
      <c r="O396" s="103"/>
      <c r="P396" s="103"/>
      <c r="Q396" s="103"/>
      <c r="R396" s="103"/>
    </row>
    <row r="397">
      <c r="A397" s="103"/>
      <c r="B397" s="103"/>
      <c r="C397" s="106"/>
      <c r="D397" s="106"/>
      <c r="E397" s="107"/>
      <c r="F397" s="108"/>
      <c r="G397" s="107"/>
      <c r="H397" s="107"/>
      <c r="I397" s="107"/>
      <c r="J397" s="107"/>
      <c r="K397" s="107"/>
      <c r="L397" s="107"/>
      <c r="M397" s="104"/>
      <c r="N397" s="103"/>
      <c r="O397" s="103"/>
      <c r="P397" s="103"/>
      <c r="Q397" s="103"/>
      <c r="R397" s="103"/>
    </row>
    <row r="398">
      <c r="A398" s="103"/>
      <c r="B398" s="103"/>
      <c r="C398" s="106"/>
      <c r="D398" s="106"/>
      <c r="E398" s="107"/>
      <c r="F398" s="108"/>
      <c r="G398" s="107"/>
      <c r="H398" s="107"/>
      <c r="I398" s="107"/>
      <c r="J398" s="107"/>
      <c r="K398" s="107"/>
      <c r="L398" s="107"/>
      <c r="M398" s="104"/>
      <c r="N398" s="103"/>
      <c r="O398" s="103"/>
      <c r="P398" s="103"/>
      <c r="Q398" s="103"/>
      <c r="R398" s="103"/>
    </row>
    <row r="399">
      <c r="A399" s="103"/>
      <c r="B399" s="103"/>
      <c r="C399" s="106"/>
      <c r="D399" s="106"/>
      <c r="E399" s="107"/>
      <c r="F399" s="108"/>
      <c r="G399" s="107"/>
      <c r="H399" s="107"/>
      <c r="I399" s="107"/>
      <c r="J399" s="107"/>
      <c r="K399" s="107"/>
      <c r="L399" s="107"/>
      <c r="M399" s="104"/>
      <c r="N399" s="103"/>
      <c r="O399" s="103"/>
      <c r="P399" s="103"/>
      <c r="Q399" s="103"/>
      <c r="R399" s="103"/>
    </row>
    <row r="400">
      <c r="A400" s="103"/>
      <c r="B400" s="103"/>
      <c r="C400" s="106"/>
      <c r="D400" s="106"/>
      <c r="E400" s="107"/>
      <c r="F400" s="108"/>
      <c r="G400" s="107"/>
      <c r="H400" s="107"/>
      <c r="I400" s="107"/>
      <c r="J400" s="107"/>
      <c r="K400" s="107"/>
      <c r="L400" s="107"/>
      <c r="M400" s="104"/>
      <c r="N400" s="103"/>
      <c r="O400" s="103"/>
      <c r="P400" s="103"/>
      <c r="Q400" s="103"/>
      <c r="R400" s="103"/>
    </row>
    <row r="401">
      <c r="A401" s="103"/>
      <c r="B401" s="103"/>
      <c r="C401" s="106"/>
      <c r="D401" s="106"/>
      <c r="E401" s="107"/>
      <c r="F401" s="108"/>
      <c r="G401" s="107"/>
      <c r="H401" s="107"/>
      <c r="I401" s="107"/>
      <c r="J401" s="107"/>
      <c r="K401" s="107"/>
      <c r="L401" s="107"/>
      <c r="M401" s="104"/>
      <c r="N401" s="103"/>
      <c r="O401" s="103"/>
      <c r="P401" s="103"/>
      <c r="Q401" s="103"/>
      <c r="R401" s="103"/>
    </row>
    <row r="402">
      <c r="A402" s="103"/>
      <c r="B402" s="103"/>
      <c r="C402" s="106"/>
      <c r="D402" s="106"/>
      <c r="E402" s="107"/>
      <c r="F402" s="108"/>
      <c r="G402" s="107"/>
      <c r="H402" s="107"/>
      <c r="I402" s="107"/>
      <c r="J402" s="107"/>
      <c r="K402" s="107"/>
      <c r="L402" s="107"/>
      <c r="M402" s="104"/>
      <c r="N402" s="103"/>
      <c r="O402" s="103"/>
      <c r="P402" s="103"/>
      <c r="Q402" s="103"/>
      <c r="R402" s="103"/>
    </row>
    <row r="403">
      <c r="A403" s="103"/>
      <c r="B403" s="103"/>
      <c r="C403" s="106"/>
      <c r="D403" s="106"/>
      <c r="E403" s="107"/>
      <c r="F403" s="108"/>
      <c r="G403" s="107"/>
      <c r="H403" s="107"/>
      <c r="I403" s="107"/>
      <c r="J403" s="107"/>
      <c r="K403" s="107"/>
      <c r="L403" s="107"/>
      <c r="M403" s="104"/>
      <c r="N403" s="103"/>
      <c r="O403" s="103"/>
      <c r="P403" s="103"/>
      <c r="Q403" s="103"/>
      <c r="R403" s="103"/>
    </row>
    <row r="404">
      <c r="A404" s="103"/>
      <c r="B404" s="103"/>
      <c r="C404" s="106"/>
      <c r="D404" s="106"/>
      <c r="E404" s="107"/>
      <c r="F404" s="108"/>
      <c r="G404" s="107"/>
      <c r="H404" s="107"/>
      <c r="I404" s="107"/>
      <c r="J404" s="107"/>
      <c r="K404" s="107"/>
      <c r="L404" s="107"/>
      <c r="M404" s="104"/>
      <c r="N404" s="103"/>
      <c r="O404" s="103"/>
      <c r="P404" s="103"/>
      <c r="Q404" s="103"/>
      <c r="R404" s="103"/>
    </row>
    <row r="405">
      <c r="A405" s="103"/>
      <c r="B405" s="103"/>
      <c r="C405" s="106"/>
      <c r="D405" s="106"/>
      <c r="E405" s="107"/>
      <c r="F405" s="108"/>
      <c r="G405" s="107"/>
      <c r="H405" s="107"/>
      <c r="I405" s="107"/>
      <c r="J405" s="107"/>
      <c r="K405" s="107"/>
      <c r="L405" s="107"/>
      <c r="M405" s="104"/>
      <c r="N405" s="103"/>
      <c r="O405" s="103"/>
      <c r="P405" s="103"/>
      <c r="Q405" s="103"/>
      <c r="R405" s="103"/>
    </row>
    <row r="406">
      <c r="A406" s="103"/>
      <c r="B406" s="103"/>
      <c r="C406" s="106"/>
      <c r="D406" s="106"/>
      <c r="E406" s="107"/>
      <c r="F406" s="108"/>
      <c r="G406" s="107"/>
      <c r="H406" s="107"/>
      <c r="I406" s="107"/>
      <c r="J406" s="107"/>
      <c r="K406" s="107"/>
      <c r="L406" s="107"/>
      <c r="M406" s="104"/>
      <c r="N406" s="103"/>
      <c r="O406" s="103"/>
      <c r="P406" s="103"/>
      <c r="Q406" s="103"/>
      <c r="R406" s="103"/>
    </row>
    <row r="407">
      <c r="A407" s="103"/>
      <c r="B407" s="103"/>
      <c r="C407" s="106"/>
      <c r="D407" s="106"/>
      <c r="E407" s="107"/>
      <c r="F407" s="108"/>
      <c r="G407" s="107"/>
      <c r="H407" s="107"/>
      <c r="I407" s="107"/>
      <c r="J407" s="107"/>
      <c r="K407" s="107"/>
      <c r="L407" s="107"/>
      <c r="M407" s="104"/>
      <c r="N407" s="103"/>
      <c r="O407" s="103"/>
      <c r="P407" s="103"/>
      <c r="Q407" s="103"/>
      <c r="R407" s="103"/>
    </row>
    <row r="408">
      <c r="A408" s="103"/>
      <c r="B408" s="103"/>
      <c r="C408" s="106"/>
      <c r="D408" s="106"/>
      <c r="E408" s="107"/>
      <c r="F408" s="108"/>
      <c r="G408" s="107"/>
      <c r="H408" s="107"/>
      <c r="I408" s="107"/>
      <c r="J408" s="107"/>
      <c r="K408" s="107"/>
      <c r="L408" s="107"/>
      <c r="M408" s="104"/>
      <c r="N408" s="103"/>
      <c r="O408" s="103"/>
      <c r="P408" s="103"/>
      <c r="Q408" s="103"/>
      <c r="R408" s="103"/>
    </row>
    <row r="409">
      <c r="A409" s="103"/>
      <c r="B409" s="103"/>
      <c r="C409" s="106"/>
      <c r="D409" s="106"/>
      <c r="E409" s="107"/>
      <c r="F409" s="108"/>
      <c r="G409" s="107"/>
      <c r="H409" s="107"/>
      <c r="I409" s="107"/>
      <c r="J409" s="107"/>
      <c r="K409" s="107"/>
      <c r="L409" s="107"/>
      <c r="M409" s="104"/>
      <c r="N409" s="103"/>
      <c r="O409" s="103"/>
      <c r="P409" s="103"/>
      <c r="Q409" s="103"/>
      <c r="R409" s="103"/>
    </row>
    <row r="410">
      <c r="A410" s="103"/>
      <c r="B410" s="103"/>
      <c r="C410" s="106"/>
      <c r="D410" s="106"/>
      <c r="E410" s="107"/>
      <c r="F410" s="108"/>
      <c r="G410" s="107"/>
      <c r="H410" s="107"/>
      <c r="I410" s="107"/>
      <c r="J410" s="107"/>
      <c r="K410" s="107"/>
      <c r="L410" s="107"/>
      <c r="M410" s="104"/>
      <c r="N410" s="103"/>
      <c r="O410" s="103"/>
      <c r="P410" s="103"/>
      <c r="Q410" s="103"/>
      <c r="R410" s="103"/>
    </row>
    <row r="411">
      <c r="A411" s="103"/>
      <c r="B411" s="103"/>
      <c r="C411" s="106"/>
      <c r="D411" s="106"/>
      <c r="E411" s="107"/>
      <c r="F411" s="108"/>
      <c r="G411" s="107"/>
      <c r="H411" s="107"/>
      <c r="I411" s="107"/>
      <c r="J411" s="107"/>
      <c r="K411" s="107"/>
      <c r="L411" s="107"/>
      <c r="M411" s="104"/>
      <c r="N411" s="103"/>
      <c r="O411" s="103"/>
      <c r="P411" s="103"/>
      <c r="Q411" s="103"/>
      <c r="R411" s="103"/>
    </row>
    <row r="412">
      <c r="A412" s="103"/>
      <c r="B412" s="103"/>
      <c r="C412" s="106"/>
      <c r="D412" s="106"/>
      <c r="E412" s="107"/>
      <c r="F412" s="108"/>
      <c r="G412" s="107"/>
      <c r="H412" s="107"/>
      <c r="I412" s="107"/>
      <c r="J412" s="107"/>
      <c r="K412" s="107"/>
      <c r="L412" s="107"/>
      <c r="M412" s="104"/>
      <c r="N412" s="103"/>
      <c r="O412" s="103"/>
      <c r="P412" s="103"/>
      <c r="Q412" s="103"/>
      <c r="R412" s="103"/>
    </row>
    <row r="413">
      <c r="A413" s="103"/>
      <c r="B413" s="103"/>
      <c r="C413" s="106"/>
      <c r="D413" s="106"/>
      <c r="E413" s="107"/>
      <c r="F413" s="108"/>
      <c r="G413" s="107"/>
      <c r="H413" s="107"/>
      <c r="I413" s="107"/>
      <c r="J413" s="107"/>
      <c r="K413" s="107"/>
      <c r="L413" s="107"/>
      <c r="M413" s="104"/>
      <c r="N413" s="103"/>
      <c r="O413" s="103"/>
      <c r="P413" s="103"/>
      <c r="Q413" s="103"/>
      <c r="R413" s="103"/>
    </row>
    <row r="414">
      <c r="A414" s="103"/>
      <c r="B414" s="103"/>
      <c r="C414" s="106"/>
      <c r="D414" s="106"/>
      <c r="E414" s="107"/>
      <c r="F414" s="108"/>
      <c r="G414" s="107"/>
      <c r="H414" s="107"/>
      <c r="I414" s="107"/>
      <c r="J414" s="107"/>
      <c r="K414" s="107"/>
      <c r="L414" s="107"/>
      <c r="M414" s="104"/>
      <c r="N414" s="103"/>
      <c r="O414" s="103"/>
      <c r="P414" s="103"/>
      <c r="Q414" s="103"/>
      <c r="R414" s="103"/>
    </row>
    <row r="415">
      <c r="A415" s="103"/>
      <c r="B415" s="103"/>
      <c r="C415" s="106"/>
      <c r="D415" s="106"/>
      <c r="E415" s="107"/>
      <c r="F415" s="108"/>
      <c r="G415" s="107"/>
      <c r="H415" s="107"/>
      <c r="I415" s="107"/>
      <c r="J415" s="107"/>
      <c r="K415" s="107"/>
      <c r="L415" s="107"/>
      <c r="M415" s="104"/>
      <c r="N415" s="103"/>
      <c r="O415" s="103"/>
      <c r="P415" s="103"/>
      <c r="Q415" s="103"/>
      <c r="R415" s="103"/>
    </row>
    <row r="416">
      <c r="A416" s="103"/>
      <c r="B416" s="103"/>
      <c r="C416" s="106"/>
      <c r="D416" s="106"/>
      <c r="E416" s="107"/>
      <c r="F416" s="108"/>
      <c r="G416" s="107"/>
      <c r="H416" s="107"/>
      <c r="I416" s="107"/>
      <c r="J416" s="107"/>
      <c r="K416" s="107"/>
      <c r="L416" s="107"/>
      <c r="M416" s="104"/>
      <c r="N416" s="103"/>
      <c r="O416" s="103"/>
      <c r="P416" s="103"/>
      <c r="Q416" s="103"/>
      <c r="R416" s="103"/>
    </row>
    <row r="417">
      <c r="A417" s="103"/>
      <c r="B417" s="103"/>
      <c r="C417" s="106"/>
      <c r="D417" s="106"/>
      <c r="E417" s="107"/>
      <c r="F417" s="108"/>
      <c r="G417" s="107"/>
      <c r="H417" s="107"/>
      <c r="I417" s="107"/>
      <c r="J417" s="107"/>
      <c r="K417" s="107"/>
      <c r="L417" s="107"/>
      <c r="M417" s="104"/>
      <c r="N417" s="103"/>
      <c r="O417" s="103"/>
      <c r="P417" s="103"/>
      <c r="Q417" s="103"/>
      <c r="R417" s="103"/>
    </row>
    <row r="418">
      <c r="A418" s="103"/>
      <c r="B418" s="103"/>
      <c r="C418" s="106"/>
      <c r="D418" s="106"/>
      <c r="E418" s="107"/>
      <c r="F418" s="108"/>
      <c r="G418" s="107"/>
      <c r="H418" s="107"/>
      <c r="I418" s="107"/>
      <c r="J418" s="107"/>
      <c r="K418" s="107"/>
      <c r="L418" s="107"/>
      <c r="M418" s="104"/>
      <c r="N418" s="103"/>
      <c r="O418" s="103"/>
      <c r="P418" s="103"/>
      <c r="Q418" s="103"/>
      <c r="R418" s="103"/>
    </row>
    <row r="419">
      <c r="A419" s="103"/>
      <c r="B419" s="103"/>
      <c r="C419" s="106"/>
      <c r="D419" s="106"/>
      <c r="E419" s="107"/>
      <c r="F419" s="108"/>
      <c r="G419" s="107"/>
      <c r="H419" s="107"/>
      <c r="I419" s="107"/>
      <c r="J419" s="107"/>
      <c r="K419" s="107"/>
      <c r="L419" s="107"/>
      <c r="M419" s="104"/>
      <c r="N419" s="103"/>
      <c r="O419" s="103"/>
      <c r="P419" s="103"/>
      <c r="Q419" s="103"/>
      <c r="R419" s="103"/>
    </row>
    <row r="420">
      <c r="A420" s="103"/>
      <c r="B420" s="103"/>
      <c r="C420" s="106"/>
      <c r="D420" s="106"/>
      <c r="E420" s="107"/>
      <c r="F420" s="108"/>
      <c r="G420" s="107"/>
      <c r="H420" s="107"/>
      <c r="I420" s="107"/>
      <c r="J420" s="107"/>
      <c r="K420" s="107"/>
      <c r="L420" s="107"/>
      <c r="M420" s="104"/>
      <c r="N420" s="103"/>
      <c r="O420" s="103"/>
      <c r="P420" s="103"/>
      <c r="Q420" s="103"/>
      <c r="R420" s="103"/>
    </row>
    <row r="421">
      <c r="A421" s="103"/>
      <c r="B421" s="103"/>
      <c r="C421" s="106"/>
      <c r="D421" s="106"/>
      <c r="E421" s="107"/>
      <c r="F421" s="108"/>
      <c r="G421" s="107"/>
      <c r="H421" s="107"/>
      <c r="I421" s="107"/>
      <c r="J421" s="107"/>
      <c r="K421" s="107"/>
      <c r="L421" s="107"/>
      <c r="M421" s="104"/>
      <c r="N421" s="103"/>
      <c r="O421" s="103"/>
      <c r="P421" s="103"/>
      <c r="Q421" s="103"/>
      <c r="R421" s="103"/>
    </row>
    <row r="422">
      <c r="A422" s="103"/>
      <c r="B422" s="103"/>
      <c r="C422" s="106"/>
      <c r="D422" s="106"/>
      <c r="E422" s="107"/>
      <c r="F422" s="108"/>
      <c r="G422" s="107"/>
      <c r="H422" s="107"/>
      <c r="I422" s="107"/>
      <c r="J422" s="107"/>
      <c r="K422" s="107"/>
      <c r="L422" s="107"/>
      <c r="M422" s="104"/>
      <c r="N422" s="103"/>
      <c r="O422" s="103"/>
      <c r="P422" s="103"/>
      <c r="Q422" s="103"/>
      <c r="R422" s="103"/>
    </row>
    <row r="423">
      <c r="A423" s="103"/>
      <c r="B423" s="103"/>
      <c r="C423" s="106"/>
      <c r="D423" s="106"/>
      <c r="E423" s="107"/>
      <c r="F423" s="108"/>
      <c r="G423" s="107"/>
      <c r="H423" s="107"/>
      <c r="I423" s="107"/>
      <c r="J423" s="107"/>
      <c r="K423" s="107"/>
      <c r="L423" s="107"/>
      <c r="M423" s="104"/>
      <c r="N423" s="103"/>
      <c r="O423" s="103"/>
      <c r="P423" s="103"/>
      <c r="Q423" s="103"/>
      <c r="R423" s="103"/>
    </row>
    <row r="424">
      <c r="A424" s="103"/>
      <c r="B424" s="103"/>
      <c r="C424" s="106"/>
      <c r="D424" s="106"/>
      <c r="E424" s="107"/>
      <c r="F424" s="108"/>
      <c r="G424" s="107"/>
      <c r="H424" s="107"/>
      <c r="I424" s="107"/>
      <c r="J424" s="107"/>
      <c r="K424" s="107"/>
      <c r="L424" s="107"/>
      <c r="M424" s="104"/>
      <c r="N424" s="103"/>
      <c r="O424" s="103"/>
      <c r="P424" s="103"/>
      <c r="Q424" s="103"/>
      <c r="R424" s="103"/>
    </row>
    <row r="425">
      <c r="A425" s="103"/>
      <c r="B425" s="103"/>
      <c r="C425" s="106"/>
      <c r="D425" s="106"/>
      <c r="E425" s="107"/>
      <c r="F425" s="108"/>
      <c r="G425" s="107"/>
      <c r="H425" s="107"/>
      <c r="I425" s="107"/>
      <c r="J425" s="107"/>
      <c r="K425" s="107"/>
      <c r="L425" s="107"/>
      <c r="M425" s="104"/>
      <c r="N425" s="103"/>
      <c r="O425" s="103"/>
      <c r="P425" s="103"/>
      <c r="Q425" s="103"/>
      <c r="R425" s="103"/>
    </row>
    <row r="426">
      <c r="A426" s="103"/>
      <c r="B426" s="103"/>
      <c r="C426" s="106"/>
      <c r="D426" s="106"/>
      <c r="E426" s="107"/>
      <c r="F426" s="108"/>
      <c r="G426" s="107"/>
      <c r="H426" s="107"/>
      <c r="I426" s="107"/>
      <c r="J426" s="107"/>
      <c r="K426" s="107"/>
      <c r="L426" s="107"/>
      <c r="M426" s="104"/>
      <c r="N426" s="103"/>
      <c r="O426" s="103"/>
      <c r="P426" s="103"/>
      <c r="Q426" s="103"/>
      <c r="R426" s="103"/>
    </row>
    <row r="427">
      <c r="A427" s="103"/>
      <c r="B427" s="103"/>
      <c r="C427" s="106"/>
      <c r="D427" s="106"/>
      <c r="E427" s="107"/>
      <c r="F427" s="108"/>
      <c r="G427" s="107"/>
      <c r="H427" s="107"/>
      <c r="I427" s="107"/>
      <c r="J427" s="107"/>
      <c r="K427" s="107"/>
      <c r="L427" s="107"/>
      <c r="M427" s="104"/>
      <c r="N427" s="103"/>
      <c r="O427" s="103"/>
      <c r="P427" s="103"/>
      <c r="Q427" s="103"/>
      <c r="R427" s="103"/>
    </row>
    <row r="428">
      <c r="A428" s="103"/>
      <c r="B428" s="103"/>
      <c r="C428" s="106"/>
      <c r="D428" s="106"/>
      <c r="E428" s="107"/>
      <c r="F428" s="108"/>
      <c r="G428" s="107"/>
      <c r="H428" s="107"/>
      <c r="I428" s="107"/>
      <c r="J428" s="107"/>
      <c r="K428" s="107"/>
      <c r="L428" s="107"/>
      <c r="M428" s="104"/>
      <c r="N428" s="103"/>
      <c r="O428" s="103"/>
      <c r="P428" s="103"/>
      <c r="Q428" s="103"/>
      <c r="R428" s="103"/>
    </row>
    <row r="429">
      <c r="A429" s="103"/>
      <c r="B429" s="103"/>
      <c r="C429" s="106"/>
      <c r="D429" s="106"/>
      <c r="E429" s="107"/>
      <c r="F429" s="108"/>
      <c r="G429" s="107"/>
      <c r="H429" s="107"/>
      <c r="I429" s="107"/>
      <c r="J429" s="107"/>
      <c r="K429" s="107"/>
      <c r="L429" s="107"/>
      <c r="M429" s="104"/>
      <c r="N429" s="103"/>
      <c r="O429" s="103"/>
      <c r="P429" s="103"/>
      <c r="Q429" s="103"/>
      <c r="R429" s="103"/>
    </row>
    <row r="430">
      <c r="A430" s="103"/>
      <c r="B430" s="103"/>
      <c r="C430" s="106"/>
      <c r="D430" s="106"/>
      <c r="E430" s="107"/>
      <c r="F430" s="108"/>
      <c r="G430" s="107"/>
      <c r="H430" s="107"/>
      <c r="I430" s="107"/>
      <c r="J430" s="107"/>
      <c r="K430" s="107"/>
      <c r="L430" s="107"/>
      <c r="M430" s="104"/>
      <c r="N430" s="103"/>
      <c r="O430" s="103"/>
      <c r="P430" s="103"/>
      <c r="Q430" s="103"/>
      <c r="R430" s="103"/>
    </row>
    <row r="431">
      <c r="A431" s="103"/>
      <c r="B431" s="103"/>
      <c r="C431" s="106"/>
      <c r="D431" s="106"/>
      <c r="E431" s="107"/>
      <c r="F431" s="108"/>
      <c r="G431" s="107"/>
      <c r="H431" s="107"/>
      <c r="I431" s="107"/>
      <c r="J431" s="107"/>
      <c r="K431" s="107"/>
      <c r="L431" s="107"/>
      <c r="M431" s="104"/>
      <c r="N431" s="103"/>
      <c r="O431" s="103"/>
      <c r="P431" s="103"/>
      <c r="Q431" s="103"/>
      <c r="R431" s="103"/>
    </row>
    <row r="432">
      <c r="A432" s="103"/>
      <c r="B432" s="103"/>
      <c r="C432" s="106"/>
      <c r="D432" s="106"/>
      <c r="E432" s="107"/>
      <c r="F432" s="108"/>
      <c r="G432" s="107"/>
      <c r="H432" s="107"/>
      <c r="I432" s="107"/>
      <c r="J432" s="107"/>
      <c r="K432" s="107"/>
      <c r="L432" s="107"/>
      <c r="M432" s="104"/>
      <c r="N432" s="103"/>
      <c r="O432" s="103"/>
      <c r="P432" s="103"/>
      <c r="Q432" s="103"/>
      <c r="R432" s="103"/>
    </row>
    <row r="433">
      <c r="A433" s="103"/>
      <c r="B433" s="103"/>
      <c r="C433" s="106"/>
      <c r="D433" s="106"/>
      <c r="E433" s="107"/>
      <c r="F433" s="108"/>
      <c r="G433" s="107"/>
      <c r="H433" s="107"/>
      <c r="I433" s="107"/>
      <c r="J433" s="107"/>
      <c r="K433" s="107"/>
      <c r="L433" s="107"/>
      <c r="M433" s="104"/>
      <c r="N433" s="103"/>
      <c r="O433" s="103"/>
      <c r="P433" s="103"/>
      <c r="Q433" s="103"/>
      <c r="R433" s="103"/>
    </row>
    <row r="434">
      <c r="A434" s="103"/>
      <c r="B434" s="103"/>
      <c r="C434" s="106"/>
      <c r="D434" s="106"/>
      <c r="E434" s="107"/>
      <c r="F434" s="108"/>
      <c r="G434" s="107"/>
      <c r="H434" s="107"/>
      <c r="I434" s="107"/>
      <c r="J434" s="107"/>
      <c r="K434" s="107"/>
      <c r="L434" s="107"/>
      <c r="M434" s="104"/>
      <c r="N434" s="103"/>
      <c r="O434" s="103"/>
      <c r="P434" s="103"/>
      <c r="Q434" s="103"/>
      <c r="R434" s="103"/>
    </row>
    <row r="435">
      <c r="A435" s="103"/>
      <c r="B435" s="103"/>
      <c r="C435" s="106"/>
      <c r="D435" s="106"/>
      <c r="E435" s="107"/>
      <c r="F435" s="108"/>
      <c r="G435" s="107"/>
      <c r="H435" s="107"/>
      <c r="I435" s="107"/>
      <c r="J435" s="107"/>
      <c r="K435" s="107"/>
      <c r="L435" s="107"/>
      <c r="M435" s="104"/>
      <c r="N435" s="103"/>
      <c r="O435" s="103"/>
      <c r="P435" s="103"/>
      <c r="Q435" s="103"/>
      <c r="R435" s="103"/>
    </row>
    <row r="436">
      <c r="A436" s="103"/>
      <c r="B436" s="103"/>
      <c r="C436" s="106"/>
      <c r="D436" s="106"/>
      <c r="E436" s="107"/>
      <c r="F436" s="108"/>
      <c r="G436" s="107"/>
      <c r="H436" s="107"/>
      <c r="I436" s="107"/>
      <c r="J436" s="107"/>
      <c r="K436" s="107"/>
      <c r="L436" s="107"/>
      <c r="M436" s="104"/>
      <c r="N436" s="103"/>
      <c r="O436" s="103"/>
      <c r="P436" s="103"/>
      <c r="Q436" s="103"/>
      <c r="R436" s="103"/>
    </row>
    <row r="437">
      <c r="A437" s="103"/>
      <c r="B437" s="103"/>
      <c r="C437" s="106"/>
      <c r="D437" s="106"/>
      <c r="E437" s="107"/>
      <c r="F437" s="108"/>
      <c r="G437" s="107"/>
      <c r="H437" s="107"/>
      <c r="I437" s="107"/>
      <c r="J437" s="107"/>
      <c r="K437" s="107"/>
      <c r="L437" s="107"/>
      <c r="M437" s="104"/>
      <c r="N437" s="103"/>
      <c r="O437" s="103"/>
      <c r="P437" s="103"/>
      <c r="Q437" s="103"/>
      <c r="R437" s="103"/>
    </row>
    <row r="438">
      <c r="A438" s="103"/>
      <c r="B438" s="103"/>
      <c r="C438" s="106"/>
      <c r="D438" s="106"/>
      <c r="E438" s="107"/>
      <c r="F438" s="108"/>
      <c r="G438" s="107"/>
      <c r="H438" s="107"/>
      <c r="I438" s="107"/>
      <c r="J438" s="107"/>
      <c r="K438" s="107"/>
      <c r="L438" s="107"/>
      <c r="M438" s="104"/>
      <c r="N438" s="103"/>
      <c r="O438" s="103"/>
      <c r="P438" s="103"/>
      <c r="Q438" s="103"/>
      <c r="R438" s="103"/>
    </row>
    <row r="439">
      <c r="A439" s="103"/>
      <c r="B439" s="103"/>
      <c r="C439" s="106"/>
      <c r="D439" s="106"/>
      <c r="E439" s="107"/>
      <c r="F439" s="108"/>
      <c r="G439" s="107"/>
      <c r="H439" s="107"/>
      <c r="I439" s="107"/>
      <c r="J439" s="107"/>
      <c r="K439" s="107"/>
      <c r="L439" s="107"/>
      <c r="M439" s="104"/>
      <c r="N439" s="103"/>
      <c r="O439" s="103"/>
      <c r="P439" s="103"/>
      <c r="Q439" s="103"/>
      <c r="R439" s="103"/>
    </row>
    <row r="440">
      <c r="A440" s="103"/>
      <c r="B440" s="103"/>
      <c r="C440" s="106"/>
      <c r="D440" s="106"/>
      <c r="E440" s="107"/>
      <c r="F440" s="108"/>
      <c r="G440" s="107"/>
      <c r="H440" s="107"/>
      <c r="I440" s="107"/>
      <c r="J440" s="107"/>
      <c r="K440" s="107"/>
      <c r="L440" s="107"/>
      <c r="M440" s="104"/>
      <c r="N440" s="103"/>
      <c r="O440" s="103"/>
      <c r="P440" s="103"/>
      <c r="Q440" s="103"/>
      <c r="R440" s="103"/>
    </row>
    <row r="441">
      <c r="A441" s="103"/>
      <c r="B441" s="103"/>
      <c r="C441" s="106"/>
      <c r="D441" s="106"/>
      <c r="E441" s="107"/>
      <c r="F441" s="108"/>
      <c r="G441" s="107"/>
      <c r="H441" s="107"/>
      <c r="I441" s="107"/>
      <c r="J441" s="107"/>
      <c r="K441" s="107"/>
      <c r="L441" s="107"/>
      <c r="M441" s="104"/>
      <c r="N441" s="103"/>
      <c r="O441" s="103"/>
      <c r="P441" s="103"/>
      <c r="Q441" s="103"/>
      <c r="R441" s="103"/>
    </row>
    <row r="442">
      <c r="A442" s="103"/>
      <c r="B442" s="103"/>
      <c r="C442" s="106"/>
      <c r="D442" s="106"/>
      <c r="E442" s="107"/>
      <c r="F442" s="108"/>
      <c r="G442" s="107"/>
      <c r="H442" s="107"/>
      <c r="I442" s="107"/>
      <c r="J442" s="107"/>
      <c r="K442" s="107"/>
      <c r="L442" s="107"/>
      <c r="M442" s="104"/>
      <c r="N442" s="103"/>
      <c r="O442" s="103"/>
      <c r="P442" s="103"/>
      <c r="Q442" s="103"/>
      <c r="R442" s="103"/>
    </row>
    <row r="443">
      <c r="A443" s="103"/>
      <c r="B443" s="103"/>
      <c r="C443" s="106"/>
      <c r="D443" s="106"/>
      <c r="E443" s="107"/>
      <c r="F443" s="108"/>
      <c r="G443" s="107"/>
      <c r="H443" s="107"/>
      <c r="I443" s="107"/>
      <c r="J443" s="107"/>
      <c r="K443" s="107"/>
      <c r="L443" s="107"/>
      <c r="M443" s="104"/>
      <c r="N443" s="103"/>
      <c r="O443" s="103"/>
      <c r="P443" s="103"/>
      <c r="Q443" s="103"/>
      <c r="R443" s="103"/>
    </row>
    <row r="444">
      <c r="A444" s="103"/>
      <c r="B444" s="103"/>
      <c r="C444" s="106"/>
      <c r="D444" s="106"/>
      <c r="E444" s="107"/>
      <c r="F444" s="108"/>
      <c r="G444" s="107"/>
      <c r="H444" s="107"/>
      <c r="I444" s="107"/>
      <c r="J444" s="107"/>
      <c r="K444" s="107"/>
      <c r="L444" s="107"/>
      <c r="M444" s="104"/>
      <c r="N444" s="103"/>
      <c r="O444" s="103"/>
      <c r="P444" s="103"/>
      <c r="Q444" s="103"/>
      <c r="R444" s="103"/>
    </row>
    <row r="445">
      <c r="A445" s="103"/>
      <c r="B445" s="103"/>
      <c r="C445" s="106"/>
      <c r="D445" s="106"/>
      <c r="E445" s="107"/>
      <c r="F445" s="108"/>
      <c r="G445" s="107"/>
      <c r="H445" s="107"/>
      <c r="I445" s="107"/>
      <c r="J445" s="107"/>
      <c r="K445" s="107"/>
      <c r="L445" s="107"/>
      <c r="M445" s="104"/>
      <c r="N445" s="103"/>
      <c r="O445" s="103"/>
      <c r="P445" s="103"/>
      <c r="Q445" s="103"/>
      <c r="R445" s="103"/>
    </row>
    <row r="446">
      <c r="A446" s="103"/>
      <c r="B446" s="103"/>
      <c r="C446" s="106"/>
      <c r="D446" s="106"/>
      <c r="E446" s="107"/>
      <c r="F446" s="108"/>
      <c r="G446" s="107"/>
      <c r="H446" s="107"/>
      <c r="I446" s="107"/>
      <c r="J446" s="107"/>
      <c r="K446" s="107"/>
      <c r="L446" s="107"/>
      <c r="M446" s="104"/>
      <c r="N446" s="103"/>
      <c r="O446" s="103"/>
      <c r="P446" s="103"/>
      <c r="Q446" s="103"/>
      <c r="R446" s="103"/>
    </row>
    <row r="447">
      <c r="A447" s="103"/>
      <c r="B447" s="103"/>
      <c r="C447" s="106"/>
      <c r="D447" s="106"/>
      <c r="E447" s="107"/>
      <c r="F447" s="108"/>
      <c r="G447" s="107"/>
      <c r="H447" s="107"/>
      <c r="I447" s="107"/>
      <c r="J447" s="107"/>
      <c r="K447" s="107"/>
      <c r="L447" s="107"/>
      <c r="M447" s="104"/>
      <c r="N447" s="103"/>
      <c r="O447" s="103"/>
      <c r="P447" s="103"/>
      <c r="Q447" s="103"/>
      <c r="R447" s="103"/>
    </row>
    <row r="448">
      <c r="A448" s="103"/>
      <c r="B448" s="103"/>
      <c r="C448" s="106"/>
      <c r="D448" s="106"/>
      <c r="E448" s="107"/>
      <c r="F448" s="108"/>
      <c r="G448" s="107"/>
      <c r="H448" s="107"/>
      <c r="I448" s="107"/>
      <c r="J448" s="107"/>
      <c r="K448" s="107"/>
      <c r="L448" s="107"/>
      <c r="M448" s="104"/>
      <c r="N448" s="103"/>
      <c r="O448" s="103"/>
      <c r="P448" s="103"/>
      <c r="Q448" s="103"/>
      <c r="R448" s="103"/>
    </row>
    <row r="449">
      <c r="A449" s="103"/>
      <c r="B449" s="103"/>
      <c r="C449" s="106"/>
      <c r="D449" s="106"/>
      <c r="E449" s="107"/>
      <c r="F449" s="108"/>
      <c r="G449" s="107"/>
      <c r="H449" s="107"/>
      <c r="I449" s="107"/>
      <c r="J449" s="107"/>
      <c r="K449" s="107"/>
      <c r="L449" s="107"/>
      <c r="M449" s="104"/>
      <c r="N449" s="103"/>
      <c r="O449" s="103"/>
      <c r="P449" s="103"/>
      <c r="Q449" s="103"/>
      <c r="R449" s="103"/>
    </row>
    <row r="450">
      <c r="A450" s="103"/>
      <c r="B450" s="103"/>
      <c r="C450" s="106"/>
      <c r="D450" s="106"/>
      <c r="E450" s="107"/>
      <c r="F450" s="108"/>
      <c r="G450" s="107"/>
      <c r="H450" s="107"/>
      <c r="I450" s="107"/>
      <c r="J450" s="107"/>
      <c r="K450" s="107"/>
      <c r="L450" s="107"/>
      <c r="M450" s="104"/>
      <c r="N450" s="103"/>
      <c r="O450" s="103"/>
      <c r="P450" s="103"/>
      <c r="Q450" s="103"/>
      <c r="R450" s="103"/>
    </row>
    <row r="451">
      <c r="A451" s="103"/>
      <c r="B451" s="103"/>
      <c r="C451" s="106"/>
      <c r="D451" s="106"/>
      <c r="E451" s="107"/>
      <c r="F451" s="108"/>
      <c r="G451" s="107"/>
      <c r="H451" s="107"/>
      <c r="I451" s="107"/>
      <c r="J451" s="107"/>
      <c r="K451" s="107"/>
      <c r="L451" s="107"/>
      <c r="M451" s="104"/>
      <c r="N451" s="103"/>
      <c r="O451" s="103"/>
      <c r="P451" s="103"/>
      <c r="Q451" s="103"/>
      <c r="R451" s="103"/>
    </row>
    <row r="452">
      <c r="A452" s="103"/>
      <c r="B452" s="103"/>
      <c r="C452" s="106"/>
      <c r="D452" s="106"/>
      <c r="E452" s="107"/>
      <c r="F452" s="108"/>
      <c r="G452" s="107"/>
      <c r="H452" s="107"/>
      <c r="I452" s="107"/>
      <c r="J452" s="107"/>
      <c r="K452" s="107"/>
      <c r="L452" s="107"/>
      <c r="M452" s="104"/>
      <c r="N452" s="103"/>
      <c r="O452" s="103"/>
      <c r="P452" s="103"/>
      <c r="Q452" s="103"/>
      <c r="R452" s="103"/>
    </row>
    <row r="453">
      <c r="A453" s="103"/>
      <c r="B453" s="103"/>
      <c r="C453" s="106"/>
      <c r="D453" s="106"/>
      <c r="E453" s="107"/>
      <c r="F453" s="108"/>
      <c r="G453" s="107"/>
      <c r="H453" s="107"/>
      <c r="I453" s="107"/>
      <c r="J453" s="107"/>
      <c r="K453" s="107"/>
      <c r="L453" s="107"/>
      <c r="M453" s="104"/>
      <c r="N453" s="103"/>
      <c r="O453" s="103"/>
      <c r="P453" s="103"/>
      <c r="Q453" s="103"/>
      <c r="R453" s="103"/>
    </row>
    <row r="454">
      <c r="A454" s="103"/>
      <c r="B454" s="103"/>
      <c r="C454" s="106"/>
      <c r="D454" s="106"/>
      <c r="E454" s="107"/>
      <c r="F454" s="108"/>
      <c r="G454" s="107"/>
      <c r="H454" s="107"/>
      <c r="I454" s="107"/>
      <c r="J454" s="107"/>
      <c r="K454" s="107"/>
      <c r="L454" s="107"/>
      <c r="M454" s="104"/>
      <c r="N454" s="103"/>
      <c r="O454" s="103"/>
      <c r="P454" s="103"/>
      <c r="Q454" s="103"/>
      <c r="R454" s="103"/>
    </row>
    <row r="455">
      <c r="A455" s="103"/>
      <c r="B455" s="103"/>
      <c r="C455" s="106"/>
      <c r="D455" s="106"/>
      <c r="E455" s="107"/>
      <c r="F455" s="108"/>
      <c r="G455" s="107"/>
      <c r="H455" s="107"/>
      <c r="I455" s="107"/>
      <c r="J455" s="107"/>
      <c r="K455" s="107"/>
      <c r="L455" s="107"/>
      <c r="M455" s="104"/>
      <c r="N455" s="103"/>
      <c r="O455" s="103"/>
      <c r="P455" s="103"/>
      <c r="Q455" s="103"/>
      <c r="R455" s="103"/>
    </row>
    <row r="456">
      <c r="A456" s="103"/>
      <c r="B456" s="103"/>
      <c r="C456" s="106"/>
      <c r="D456" s="106"/>
      <c r="E456" s="107"/>
      <c r="F456" s="108"/>
      <c r="G456" s="107"/>
      <c r="H456" s="107"/>
      <c r="I456" s="107"/>
      <c r="J456" s="107"/>
      <c r="K456" s="107"/>
      <c r="L456" s="107"/>
      <c r="M456" s="104"/>
      <c r="N456" s="103"/>
      <c r="O456" s="103"/>
      <c r="P456" s="103"/>
      <c r="Q456" s="103"/>
      <c r="R456" s="103"/>
    </row>
    <row r="457">
      <c r="A457" s="103"/>
      <c r="B457" s="103"/>
      <c r="C457" s="106"/>
      <c r="D457" s="106"/>
      <c r="E457" s="107"/>
      <c r="F457" s="108"/>
      <c r="G457" s="107"/>
      <c r="H457" s="107"/>
      <c r="I457" s="107"/>
      <c r="J457" s="107"/>
      <c r="K457" s="107"/>
      <c r="L457" s="107"/>
      <c r="M457" s="104"/>
      <c r="N457" s="103"/>
      <c r="O457" s="103"/>
      <c r="P457" s="103"/>
      <c r="Q457" s="103"/>
      <c r="R457" s="103"/>
    </row>
    <row r="458">
      <c r="A458" s="103"/>
      <c r="B458" s="103"/>
      <c r="C458" s="106"/>
      <c r="D458" s="106"/>
      <c r="E458" s="107"/>
      <c r="F458" s="108"/>
      <c r="G458" s="107"/>
      <c r="H458" s="107"/>
      <c r="I458" s="107"/>
      <c r="J458" s="107"/>
      <c r="K458" s="107"/>
      <c r="L458" s="107"/>
      <c r="M458" s="104"/>
      <c r="N458" s="103"/>
      <c r="O458" s="103"/>
      <c r="P458" s="103"/>
      <c r="Q458" s="103"/>
      <c r="R458" s="103"/>
    </row>
    <row r="459">
      <c r="A459" s="103"/>
      <c r="B459" s="103"/>
      <c r="C459" s="106"/>
      <c r="D459" s="106"/>
      <c r="E459" s="107"/>
      <c r="F459" s="108"/>
      <c r="G459" s="107"/>
      <c r="H459" s="107"/>
      <c r="I459" s="107"/>
      <c r="J459" s="107"/>
      <c r="K459" s="107"/>
      <c r="L459" s="107"/>
      <c r="M459" s="104"/>
      <c r="N459" s="103"/>
      <c r="O459" s="103"/>
      <c r="P459" s="103"/>
      <c r="Q459" s="103"/>
      <c r="R459" s="103"/>
    </row>
    <row r="460">
      <c r="A460" s="103"/>
      <c r="B460" s="103"/>
      <c r="C460" s="106"/>
      <c r="D460" s="106"/>
      <c r="E460" s="107"/>
      <c r="F460" s="108"/>
      <c r="G460" s="107"/>
      <c r="H460" s="107"/>
      <c r="I460" s="107"/>
      <c r="J460" s="107"/>
      <c r="K460" s="107"/>
      <c r="L460" s="107"/>
      <c r="M460" s="104"/>
      <c r="N460" s="103"/>
      <c r="O460" s="103"/>
      <c r="P460" s="103"/>
      <c r="Q460" s="103"/>
      <c r="R460" s="103"/>
    </row>
    <row r="461">
      <c r="A461" s="103"/>
      <c r="B461" s="103"/>
      <c r="C461" s="106"/>
      <c r="D461" s="106"/>
      <c r="E461" s="107"/>
      <c r="F461" s="108"/>
      <c r="G461" s="107"/>
      <c r="H461" s="107"/>
      <c r="I461" s="107"/>
      <c r="J461" s="107"/>
      <c r="K461" s="107"/>
      <c r="L461" s="107"/>
      <c r="M461" s="104"/>
      <c r="N461" s="103"/>
      <c r="O461" s="103"/>
      <c r="P461" s="103"/>
      <c r="Q461" s="103"/>
      <c r="R461" s="103"/>
    </row>
    <row r="462">
      <c r="A462" s="103"/>
      <c r="B462" s="103"/>
      <c r="C462" s="106"/>
      <c r="D462" s="106"/>
      <c r="E462" s="107"/>
      <c r="F462" s="108"/>
      <c r="G462" s="107"/>
      <c r="H462" s="107"/>
      <c r="I462" s="107"/>
      <c r="J462" s="107"/>
      <c r="K462" s="107"/>
      <c r="L462" s="107"/>
      <c r="M462" s="104"/>
      <c r="N462" s="103"/>
      <c r="O462" s="103"/>
      <c r="P462" s="103"/>
      <c r="Q462" s="103"/>
      <c r="R462" s="103"/>
    </row>
    <row r="463">
      <c r="A463" s="103"/>
      <c r="B463" s="103"/>
      <c r="C463" s="106"/>
      <c r="D463" s="106"/>
      <c r="E463" s="107"/>
      <c r="F463" s="108"/>
      <c r="G463" s="107"/>
      <c r="H463" s="107"/>
      <c r="I463" s="107"/>
      <c r="J463" s="107"/>
      <c r="K463" s="107"/>
      <c r="L463" s="107"/>
      <c r="M463" s="104"/>
      <c r="N463" s="103"/>
      <c r="O463" s="103"/>
      <c r="P463" s="103"/>
      <c r="Q463" s="103"/>
      <c r="R463" s="103"/>
    </row>
    <row r="464">
      <c r="A464" s="103"/>
      <c r="B464" s="103"/>
      <c r="C464" s="106"/>
      <c r="D464" s="106"/>
      <c r="E464" s="107"/>
      <c r="F464" s="108"/>
      <c r="G464" s="107"/>
      <c r="H464" s="107"/>
      <c r="I464" s="107"/>
      <c r="J464" s="107"/>
      <c r="K464" s="107"/>
      <c r="L464" s="107"/>
      <c r="M464" s="104"/>
      <c r="N464" s="103"/>
      <c r="O464" s="103"/>
      <c r="P464" s="103"/>
      <c r="Q464" s="103"/>
      <c r="R464" s="103"/>
    </row>
    <row r="465">
      <c r="A465" s="103"/>
      <c r="B465" s="103"/>
      <c r="C465" s="106"/>
      <c r="D465" s="106"/>
      <c r="E465" s="107"/>
      <c r="F465" s="108"/>
      <c r="G465" s="107"/>
      <c r="H465" s="107"/>
      <c r="I465" s="107"/>
      <c r="J465" s="107"/>
      <c r="K465" s="107"/>
      <c r="L465" s="107"/>
      <c r="M465" s="104"/>
      <c r="N465" s="103"/>
      <c r="O465" s="103"/>
      <c r="P465" s="103"/>
      <c r="Q465" s="103"/>
      <c r="R465" s="103"/>
    </row>
    <row r="466">
      <c r="A466" s="103"/>
      <c r="B466" s="103"/>
      <c r="C466" s="106"/>
      <c r="D466" s="106"/>
      <c r="E466" s="107"/>
      <c r="F466" s="108"/>
      <c r="G466" s="107"/>
      <c r="H466" s="107"/>
      <c r="I466" s="107"/>
      <c r="J466" s="107"/>
      <c r="K466" s="107"/>
      <c r="L466" s="107"/>
      <c r="M466" s="104"/>
      <c r="N466" s="103"/>
      <c r="O466" s="103"/>
      <c r="P466" s="103"/>
      <c r="Q466" s="103"/>
      <c r="R466" s="103"/>
    </row>
    <row r="467">
      <c r="A467" s="103"/>
      <c r="B467" s="103"/>
      <c r="C467" s="106"/>
      <c r="D467" s="106"/>
      <c r="E467" s="107"/>
      <c r="F467" s="108"/>
      <c r="G467" s="107"/>
      <c r="H467" s="107"/>
      <c r="I467" s="107"/>
      <c r="J467" s="107"/>
      <c r="K467" s="107"/>
      <c r="L467" s="107"/>
      <c r="M467" s="104"/>
      <c r="N467" s="103"/>
      <c r="O467" s="103"/>
      <c r="P467" s="103"/>
      <c r="Q467" s="103"/>
      <c r="R467" s="103"/>
    </row>
    <row r="468">
      <c r="A468" s="103"/>
      <c r="B468" s="103"/>
      <c r="C468" s="106"/>
      <c r="D468" s="106"/>
      <c r="E468" s="107"/>
      <c r="F468" s="108"/>
      <c r="G468" s="107"/>
      <c r="H468" s="107"/>
      <c r="I468" s="107"/>
      <c r="J468" s="107"/>
      <c r="K468" s="107"/>
      <c r="L468" s="107"/>
      <c r="M468" s="104"/>
      <c r="N468" s="103"/>
      <c r="O468" s="103"/>
      <c r="P468" s="103"/>
      <c r="Q468" s="103"/>
      <c r="R468" s="103"/>
    </row>
    <row r="469">
      <c r="A469" s="103"/>
      <c r="B469" s="103"/>
      <c r="C469" s="106"/>
      <c r="D469" s="106"/>
      <c r="E469" s="107"/>
      <c r="F469" s="108"/>
      <c r="G469" s="107"/>
      <c r="H469" s="107"/>
      <c r="I469" s="107"/>
      <c r="J469" s="107"/>
      <c r="K469" s="107"/>
      <c r="L469" s="107"/>
      <c r="M469" s="104"/>
      <c r="N469" s="103"/>
      <c r="O469" s="103"/>
      <c r="P469" s="103"/>
      <c r="Q469" s="103"/>
      <c r="R469" s="103"/>
    </row>
    <row r="470">
      <c r="A470" s="103"/>
      <c r="B470" s="103"/>
      <c r="C470" s="106"/>
      <c r="D470" s="106"/>
      <c r="E470" s="107"/>
      <c r="F470" s="108"/>
      <c r="G470" s="107"/>
      <c r="H470" s="107"/>
      <c r="I470" s="107"/>
      <c r="J470" s="107"/>
      <c r="K470" s="107"/>
      <c r="L470" s="107"/>
      <c r="M470" s="104"/>
      <c r="N470" s="103"/>
      <c r="O470" s="103"/>
      <c r="P470" s="103"/>
      <c r="Q470" s="103"/>
      <c r="R470" s="103"/>
    </row>
    <row r="471">
      <c r="A471" s="103"/>
      <c r="B471" s="103"/>
      <c r="C471" s="106"/>
      <c r="D471" s="106"/>
      <c r="E471" s="107"/>
      <c r="F471" s="108"/>
      <c r="G471" s="107"/>
      <c r="H471" s="107"/>
      <c r="I471" s="107"/>
      <c r="J471" s="107"/>
      <c r="K471" s="107"/>
      <c r="L471" s="107"/>
      <c r="M471" s="104"/>
      <c r="N471" s="103"/>
      <c r="O471" s="103"/>
      <c r="P471" s="103"/>
      <c r="Q471" s="103"/>
      <c r="R471" s="103"/>
    </row>
    <row r="472">
      <c r="A472" s="103"/>
      <c r="B472" s="103"/>
      <c r="C472" s="106"/>
      <c r="D472" s="106"/>
      <c r="E472" s="107"/>
      <c r="F472" s="108"/>
      <c r="G472" s="107"/>
      <c r="H472" s="107"/>
      <c r="I472" s="107"/>
      <c r="J472" s="107"/>
      <c r="K472" s="107"/>
      <c r="L472" s="107"/>
      <c r="M472" s="104"/>
      <c r="N472" s="103"/>
      <c r="O472" s="103"/>
      <c r="P472" s="103"/>
      <c r="Q472" s="103"/>
      <c r="R472" s="103"/>
    </row>
    <row r="473">
      <c r="A473" s="103"/>
      <c r="B473" s="103"/>
      <c r="C473" s="106"/>
      <c r="D473" s="106"/>
      <c r="E473" s="107"/>
      <c r="F473" s="108"/>
      <c r="G473" s="107"/>
      <c r="H473" s="107"/>
      <c r="I473" s="107"/>
      <c r="J473" s="107"/>
      <c r="K473" s="107"/>
      <c r="L473" s="107"/>
      <c r="M473" s="104"/>
      <c r="N473" s="103"/>
      <c r="O473" s="103"/>
      <c r="P473" s="103"/>
      <c r="Q473" s="103"/>
      <c r="R473" s="103"/>
    </row>
    <row r="474">
      <c r="A474" s="103"/>
      <c r="B474" s="103"/>
      <c r="C474" s="106"/>
      <c r="D474" s="106"/>
      <c r="E474" s="107"/>
      <c r="F474" s="108"/>
      <c r="G474" s="107"/>
      <c r="H474" s="107"/>
      <c r="I474" s="107"/>
      <c r="J474" s="107"/>
      <c r="K474" s="107"/>
      <c r="L474" s="107"/>
      <c r="M474" s="104"/>
      <c r="N474" s="103"/>
      <c r="O474" s="103"/>
      <c r="P474" s="103"/>
      <c r="Q474" s="103"/>
      <c r="R474" s="103"/>
    </row>
    <row r="475">
      <c r="A475" s="103"/>
      <c r="B475" s="103"/>
      <c r="C475" s="106"/>
      <c r="D475" s="106"/>
      <c r="E475" s="107"/>
      <c r="F475" s="108"/>
      <c r="G475" s="107"/>
      <c r="H475" s="107"/>
      <c r="I475" s="107"/>
      <c r="J475" s="107"/>
      <c r="K475" s="107"/>
      <c r="L475" s="107"/>
      <c r="M475" s="104"/>
      <c r="N475" s="103"/>
      <c r="O475" s="103"/>
      <c r="P475" s="103"/>
      <c r="Q475" s="103"/>
      <c r="R475" s="103"/>
    </row>
    <row r="476">
      <c r="A476" s="103"/>
      <c r="B476" s="103"/>
      <c r="C476" s="106"/>
      <c r="D476" s="106"/>
      <c r="E476" s="107"/>
      <c r="F476" s="108"/>
      <c r="G476" s="107"/>
      <c r="H476" s="107"/>
      <c r="I476" s="107"/>
      <c r="J476" s="107"/>
      <c r="K476" s="107"/>
      <c r="L476" s="107"/>
      <c r="M476" s="104"/>
      <c r="N476" s="103"/>
      <c r="O476" s="103"/>
      <c r="P476" s="103"/>
      <c r="Q476" s="103"/>
      <c r="R476" s="103"/>
    </row>
    <row r="477">
      <c r="A477" s="103"/>
      <c r="B477" s="103"/>
      <c r="C477" s="106"/>
      <c r="D477" s="106"/>
      <c r="E477" s="107"/>
      <c r="F477" s="108"/>
      <c r="G477" s="107"/>
      <c r="H477" s="107"/>
      <c r="I477" s="107"/>
      <c r="J477" s="107"/>
      <c r="K477" s="107"/>
      <c r="L477" s="107"/>
      <c r="M477" s="104"/>
      <c r="N477" s="103"/>
      <c r="O477" s="103"/>
      <c r="P477" s="103"/>
      <c r="Q477" s="103"/>
      <c r="R477" s="103"/>
    </row>
    <row r="478">
      <c r="A478" s="103"/>
      <c r="B478" s="103"/>
      <c r="C478" s="106"/>
      <c r="D478" s="106"/>
      <c r="E478" s="107"/>
      <c r="F478" s="108"/>
      <c r="G478" s="107"/>
      <c r="H478" s="107"/>
      <c r="I478" s="107"/>
      <c r="J478" s="107"/>
      <c r="K478" s="107"/>
      <c r="L478" s="107"/>
      <c r="M478" s="104"/>
      <c r="N478" s="103"/>
      <c r="O478" s="103"/>
      <c r="P478" s="103"/>
      <c r="Q478" s="103"/>
      <c r="R478" s="103"/>
    </row>
    <row r="479">
      <c r="A479" s="103"/>
      <c r="B479" s="103"/>
      <c r="C479" s="106"/>
      <c r="D479" s="106"/>
      <c r="E479" s="107"/>
      <c r="F479" s="108"/>
      <c r="G479" s="107"/>
      <c r="H479" s="107"/>
      <c r="I479" s="107"/>
      <c r="J479" s="107"/>
      <c r="K479" s="107"/>
      <c r="L479" s="107"/>
      <c r="M479" s="104"/>
      <c r="N479" s="103"/>
      <c r="O479" s="103"/>
      <c r="P479" s="103"/>
      <c r="Q479" s="103"/>
      <c r="R479" s="103"/>
    </row>
    <row r="480">
      <c r="A480" s="103"/>
      <c r="B480" s="103"/>
      <c r="C480" s="106"/>
      <c r="D480" s="106"/>
      <c r="E480" s="107"/>
      <c r="F480" s="108"/>
      <c r="G480" s="107"/>
      <c r="H480" s="107"/>
      <c r="I480" s="107"/>
      <c r="J480" s="107"/>
      <c r="K480" s="107"/>
      <c r="L480" s="107"/>
      <c r="M480" s="104"/>
      <c r="N480" s="103"/>
      <c r="O480" s="103"/>
      <c r="P480" s="103"/>
      <c r="Q480" s="103"/>
      <c r="R480" s="103"/>
    </row>
    <row r="481">
      <c r="A481" s="103"/>
      <c r="B481" s="103"/>
      <c r="C481" s="106"/>
      <c r="D481" s="106"/>
      <c r="E481" s="107"/>
      <c r="F481" s="108"/>
      <c r="G481" s="107"/>
      <c r="H481" s="107"/>
      <c r="I481" s="107"/>
      <c r="J481" s="107"/>
      <c r="K481" s="107"/>
      <c r="L481" s="107"/>
      <c r="M481" s="104"/>
      <c r="N481" s="103"/>
      <c r="O481" s="103"/>
      <c r="P481" s="103"/>
      <c r="Q481" s="103"/>
      <c r="R481" s="103"/>
    </row>
    <row r="482">
      <c r="A482" s="103"/>
      <c r="B482" s="103"/>
      <c r="C482" s="106"/>
      <c r="D482" s="106"/>
      <c r="E482" s="107"/>
      <c r="F482" s="108"/>
      <c r="G482" s="107"/>
      <c r="H482" s="107"/>
      <c r="I482" s="107"/>
      <c r="J482" s="107"/>
      <c r="K482" s="107"/>
      <c r="L482" s="107"/>
      <c r="M482" s="104"/>
      <c r="N482" s="103"/>
      <c r="O482" s="103"/>
      <c r="P482" s="103"/>
      <c r="Q482" s="103"/>
      <c r="R482" s="103"/>
    </row>
    <row r="483">
      <c r="A483" s="103"/>
      <c r="B483" s="103"/>
      <c r="C483" s="106"/>
      <c r="D483" s="106"/>
      <c r="E483" s="107"/>
      <c r="F483" s="108"/>
      <c r="G483" s="107"/>
      <c r="H483" s="107"/>
      <c r="I483" s="107"/>
      <c r="J483" s="107"/>
      <c r="K483" s="107"/>
      <c r="L483" s="107"/>
      <c r="M483" s="104"/>
      <c r="N483" s="103"/>
      <c r="O483" s="103"/>
      <c r="P483" s="103"/>
      <c r="Q483" s="103"/>
      <c r="R483" s="103"/>
    </row>
    <row r="484">
      <c r="A484" s="103"/>
      <c r="B484" s="103"/>
      <c r="C484" s="106"/>
      <c r="D484" s="106"/>
      <c r="E484" s="107"/>
      <c r="F484" s="108"/>
      <c r="G484" s="107"/>
      <c r="H484" s="107"/>
      <c r="I484" s="107"/>
      <c r="J484" s="107"/>
      <c r="K484" s="107"/>
      <c r="L484" s="107"/>
      <c r="M484" s="104"/>
      <c r="N484" s="103"/>
      <c r="O484" s="103"/>
      <c r="P484" s="103"/>
      <c r="Q484" s="103"/>
      <c r="R484" s="103"/>
    </row>
    <row r="485">
      <c r="A485" s="103"/>
      <c r="B485" s="103"/>
      <c r="C485" s="106"/>
      <c r="D485" s="106"/>
      <c r="E485" s="107"/>
      <c r="F485" s="108"/>
      <c r="G485" s="107"/>
      <c r="H485" s="107"/>
      <c r="I485" s="107"/>
      <c r="J485" s="107"/>
      <c r="K485" s="107"/>
      <c r="L485" s="107"/>
      <c r="M485" s="104"/>
      <c r="N485" s="103"/>
      <c r="O485" s="103"/>
      <c r="P485" s="103"/>
      <c r="Q485" s="103"/>
      <c r="R485" s="103"/>
    </row>
    <row r="486">
      <c r="A486" s="103"/>
      <c r="B486" s="103"/>
      <c r="C486" s="106"/>
      <c r="D486" s="106"/>
      <c r="E486" s="107"/>
      <c r="F486" s="108"/>
      <c r="G486" s="107"/>
      <c r="H486" s="107"/>
      <c r="I486" s="107"/>
      <c r="J486" s="107"/>
      <c r="K486" s="107"/>
      <c r="L486" s="107"/>
      <c r="M486" s="104"/>
      <c r="N486" s="103"/>
      <c r="O486" s="103"/>
      <c r="P486" s="103"/>
      <c r="Q486" s="103"/>
      <c r="R486" s="103"/>
    </row>
    <row r="487">
      <c r="A487" s="103"/>
      <c r="B487" s="103"/>
      <c r="C487" s="106"/>
      <c r="D487" s="106"/>
      <c r="E487" s="107"/>
      <c r="F487" s="108"/>
      <c r="G487" s="107"/>
      <c r="H487" s="107"/>
      <c r="I487" s="107"/>
      <c r="J487" s="107"/>
      <c r="K487" s="107"/>
      <c r="L487" s="107"/>
      <c r="M487" s="104"/>
      <c r="N487" s="103"/>
      <c r="O487" s="103"/>
      <c r="P487" s="103"/>
      <c r="Q487" s="103"/>
      <c r="R487" s="103"/>
    </row>
    <row r="488">
      <c r="A488" s="103"/>
      <c r="B488" s="103"/>
      <c r="C488" s="106"/>
      <c r="D488" s="106"/>
      <c r="E488" s="107"/>
      <c r="F488" s="108"/>
      <c r="G488" s="107"/>
      <c r="H488" s="107"/>
      <c r="I488" s="107"/>
      <c r="J488" s="107"/>
      <c r="K488" s="107"/>
      <c r="L488" s="107"/>
      <c r="M488" s="104"/>
      <c r="N488" s="103"/>
      <c r="O488" s="103"/>
      <c r="P488" s="103"/>
      <c r="Q488" s="103"/>
      <c r="R488" s="103"/>
    </row>
    <row r="489">
      <c r="A489" s="103"/>
      <c r="B489" s="103"/>
      <c r="C489" s="106"/>
      <c r="D489" s="106"/>
      <c r="E489" s="107"/>
      <c r="F489" s="108"/>
      <c r="G489" s="107"/>
      <c r="H489" s="107"/>
      <c r="I489" s="107"/>
      <c r="J489" s="107"/>
      <c r="K489" s="107"/>
      <c r="L489" s="107"/>
      <c r="M489" s="104"/>
      <c r="N489" s="103"/>
      <c r="O489" s="103"/>
      <c r="P489" s="103"/>
      <c r="Q489" s="103"/>
      <c r="R489" s="103"/>
    </row>
    <row r="490">
      <c r="A490" s="103"/>
      <c r="B490" s="103"/>
      <c r="C490" s="106"/>
      <c r="D490" s="106"/>
      <c r="E490" s="107"/>
      <c r="F490" s="108"/>
      <c r="G490" s="107"/>
      <c r="H490" s="107"/>
      <c r="I490" s="107"/>
      <c r="J490" s="107"/>
      <c r="K490" s="107"/>
      <c r="L490" s="107"/>
      <c r="M490" s="104"/>
      <c r="N490" s="103"/>
      <c r="O490" s="103"/>
      <c r="P490" s="103"/>
      <c r="Q490" s="103"/>
      <c r="R490" s="103"/>
    </row>
    <row r="491">
      <c r="A491" s="103"/>
      <c r="B491" s="103"/>
      <c r="C491" s="106"/>
      <c r="D491" s="106"/>
      <c r="E491" s="107"/>
      <c r="F491" s="108"/>
      <c r="G491" s="107"/>
      <c r="H491" s="107"/>
      <c r="I491" s="107"/>
      <c r="J491" s="107"/>
      <c r="K491" s="107"/>
      <c r="L491" s="107"/>
      <c r="M491" s="104"/>
      <c r="N491" s="103"/>
      <c r="O491" s="103"/>
      <c r="P491" s="103"/>
      <c r="Q491" s="103"/>
      <c r="R491" s="103"/>
    </row>
    <row r="492">
      <c r="A492" s="103"/>
      <c r="B492" s="103"/>
      <c r="C492" s="106"/>
      <c r="D492" s="106"/>
      <c r="E492" s="107"/>
      <c r="F492" s="108"/>
      <c r="G492" s="107"/>
      <c r="H492" s="107"/>
      <c r="I492" s="107"/>
      <c r="J492" s="107"/>
      <c r="K492" s="107"/>
      <c r="L492" s="107"/>
      <c r="M492" s="104"/>
      <c r="N492" s="103"/>
      <c r="O492" s="103"/>
      <c r="P492" s="103"/>
      <c r="Q492" s="103"/>
      <c r="R492" s="103"/>
    </row>
    <row r="493">
      <c r="A493" s="103"/>
      <c r="B493" s="103"/>
      <c r="C493" s="106"/>
      <c r="D493" s="106"/>
      <c r="E493" s="107"/>
      <c r="F493" s="108"/>
      <c r="G493" s="107"/>
      <c r="H493" s="107"/>
      <c r="I493" s="107"/>
      <c r="J493" s="107"/>
      <c r="K493" s="107"/>
      <c r="L493" s="107"/>
      <c r="M493" s="104"/>
      <c r="N493" s="103"/>
      <c r="O493" s="103"/>
      <c r="P493" s="103"/>
      <c r="Q493" s="103"/>
      <c r="R493" s="103"/>
    </row>
    <row r="494">
      <c r="A494" s="103"/>
      <c r="B494" s="103"/>
      <c r="C494" s="106"/>
      <c r="D494" s="106"/>
      <c r="E494" s="107"/>
      <c r="F494" s="108"/>
      <c r="G494" s="107"/>
      <c r="H494" s="107"/>
      <c r="I494" s="107"/>
      <c r="J494" s="107"/>
      <c r="K494" s="107"/>
      <c r="L494" s="107"/>
      <c r="M494" s="104"/>
      <c r="N494" s="103"/>
      <c r="O494" s="103"/>
      <c r="P494" s="103"/>
      <c r="Q494" s="103"/>
      <c r="R494" s="103"/>
    </row>
    <row r="495">
      <c r="A495" s="103"/>
      <c r="B495" s="103"/>
      <c r="C495" s="106"/>
      <c r="D495" s="106"/>
      <c r="E495" s="107"/>
      <c r="F495" s="108"/>
      <c r="G495" s="107"/>
      <c r="H495" s="107"/>
      <c r="I495" s="107"/>
      <c r="J495" s="107"/>
      <c r="K495" s="107"/>
      <c r="L495" s="107"/>
      <c r="M495" s="104"/>
      <c r="N495" s="103"/>
      <c r="O495" s="103"/>
      <c r="P495" s="103"/>
      <c r="Q495" s="103"/>
      <c r="R495" s="103"/>
    </row>
    <row r="496">
      <c r="A496" s="103"/>
      <c r="B496" s="103"/>
      <c r="C496" s="106"/>
      <c r="D496" s="106"/>
      <c r="E496" s="107"/>
      <c r="F496" s="108"/>
      <c r="G496" s="107"/>
      <c r="H496" s="107"/>
      <c r="I496" s="107"/>
      <c r="J496" s="107"/>
      <c r="K496" s="107"/>
      <c r="L496" s="107"/>
      <c r="M496" s="104"/>
      <c r="N496" s="103"/>
      <c r="O496" s="103"/>
      <c r="P496" s="103"/>
      <c r="Q496" s="103"/>
      <c r="R496" s="103"/>
    </row>
    <row r="497">
      <c r="A497" s="103"/>
      <c r="B497" s="103"/>
      <c r="C497" s="106"/>
      <c r="D497" s="106"/>
      <c r="E497" s="107"/>
      <c r="F497" s="108"/>
      <c r="G497" s="107"/>
      <c r="H497" s="107"/>
      <c r="I497" s="107"/>
      <c r="J497" s="107"/>
      <c r="K497" s="107"/>
      <c r="L497" s="107"/>
      <c r="M497" s="104"/>
      <c r="N497" s="103"/>
      <c r="O497" s="103"/>
      <c r="P497" s="103"/>
      <c r="Q497" s="103"/>
      <c r="R497" s="103"/>
    </row>
    <row r="498">
      <c r="A498" s="103"/>
      <c r="B498" s="103"/>
      <c r="C498" s="106"/>
      <c r="D498" s="106"/>
      <c r="E498" s="107"/>
      <c r="F498" s="108"/>
      <c r="G498" s="107"/>
      <c r="H498" s="107"/>
      <c r="I498" s="107"/>
      <c r="J498" s="107"/>
      <c r="K498" s="107"/>
      <c r="L498" s="107"/>
      <c r="M498" s="104"/>
      <c r="N498" s="103"/>
      <c r="O498" s="103"/>
      <c r="P498" s="103"/>
      <c r="Q498" s="103"/>
      <c r="R498" s="103"/>
    </row>
    <row r="499">
      <c r="A499" s="103"/>
      <c r="B499" s="103"/>
      <c r="C499" s="106"/>
      <c r="D499" s="106"/>
      <c r="E499" s="107"/>
      <c r="F499" s="108"/>
      <c r="G499" s="107"/>
      <c r="H499" s="107"/>
      <c r="I499" s="107"/>
      <c r="J499" s="107"/>
      <c r="K499" s="107"/>
      <c r="L499" s="107"/>
      <c r="M499" s="104"/>
      <c r="N499" s="103"/>
      <c r="O499" s="103"/>
      <c r="P499" s="103"/>
      <c r="Q499" s="103"/>
      <c r="R499" s="103"/>
    </row>
    <row r="500">
      <c r="A500" s="103"/>
      <c r="B500" s="103"/>
      <c r="C500" s="106"/>
      <c r="D500" s="106"/>
      <c r="E500" s="107"/>
      <c r="F500" s="108"/>
      <c r="G500" s="107"/>
      <c r="H500" s="107"/>
      <c r="I500" s="107"/>
      <c r="J500" s="107"/>
      <c r="K500" s="107"/>
      <c r="L500" s="107"/>
      <c r="M500" s="104"/>
      <c r="N500" s="103"/>
      <c r="O500" s="103"/>
      <c r="P500" s="103"/>
      <c r="Q500" s="103"/>
      <c r="R500" s="103"/>
    </row>
    <row r="501">
      <c r="A501" s="103"/>
      <c r="B501" s="103"/>
      <c r="C501" s="106"/>
      <c r="D501" s="106"/>
      <c r="E501" s="107"/>
      <c r="F501" s="108"/>
      <c r="G501" s="107"/>
      <c r="H501" s="107"/>
      <c r="I501" s="107"/>
      <c r="J501" s="107"/>
      <c r="K501" s="107"/>
      <c r="L501" s="107"/>
      <c r="M501" s="104"/>
      <c r="N501" s="103"/>
      <c r="O501" s="103"/>
      <c r="P501" s="103"/>
      <c r="Q501" s="103"/>
      <c r="R501" s="103"/>
    </row>
    <row r="502">
      <c r="A502" s="103"/>
      <c r="B502" s="103"/>
      <c r="C502" s="106"/>
      <c r="D502" s="106"/>
      <c r="E502" s="107"/>
      <c r="F502" s="108"/>
      <c r="G502" s="107"/>
      <c r="H502" s="107"/>
      <c r="I502" s="107"/>
      <c r="J502" s="107"/>
      <c r="K502" s="107"/>
      <c r="L502" s="107"/>
      <c r="M502" s="104"/>
      <c r="N502" s="103"/>
      <c r="O502" s="103"/>
      <c r="P502" s="103"/>
      <c r="Q502" s="103"/>
      <c r="R502" s="103"/>
    </row>
    <row r="503">
      <c r="A503" s="103"/>
      <c r="B503" s="103"/>
      <c r="C503" s="106"/>
      <c r="D503" s="106"/>
      <c r="E503" s="107"/>
      <c r="F503" s="108"/>
      <c r="G503" s="107"/>
      <c r="H503" s="107"/>
      <c r="I503" s="107"/>
      <c r="J503" s="107"/>
      <c r="K503" s="107"/>
      <c r="L503" s="107"/>
      <c r="M503" s="104"/>
      <c r="N503" s="103"/>
      <c r="O503" s="103"/>
      <c r="P503" s="103"/>
      <c r="Q503" s="103"/>
      <c r="R503" s="103"/>
    </row>
    <row r="504">
      <c r="A504" s="103"/>
      <c r="B504" s="103"/>
      <c r="C504" s="106"/>
      <c r="D504" s="106"/>
      <c r="E504" s="107"/>
      <c r="F504" s="108"/>
      <c r="G504" s="107"/>
      <c r="H504" s="107"/>
      <c r="I504" s="107"/>
      <c r="J504" s="107"/>
      <c r="K504" s="107"/>
      <c r="L504" s="107"/>
      <c r="M504" s="104"/>
      <c r="N504" s="103"/>
      <c r="O504" s="103"/>
      <c r="P504" s="103"/>
      <c r="Q504" s="103"/>
      <c r="R504" s="103"/>
    </row>
    <row r="505">
      <c r="A505" s="103"/>
      <c r="B505" s="103"/>
      <c r="C505" s="106"/>
      <c r="D505" s="106"/>
      <c r="E505" s="107"/>
      <c r="F505" s="108"/>
      <c r="G505" s="107"/>
      <c r="H505" s="107"/>
      <c r="I505" s="107"/>
      <c r="J505" s="107"/>
      <c r="K505" s="107"/>
      <c r="L505" s="107"/>
      <c r="M505" s="104"/>
      <c r="N505" s="103"/>
      <c r="O505" s="103"/>
      <c r="P505" s="103"/>
      <c r="Q505" s="103"/>
      <c r="R505" s="103"/>
    </row>
    <row r="506">
      <c r="A506" s="103"/>
      <c r="B506" s="103"/>
      <c r="C506" s="106"/>
      <c r="D506" s="106"/>
      <c r="E506" s="107"/>
      <c r="F506" s="108"/>
      <c r="G506" s="107"/>
      <c r="H506" s="107"/>
      <c r="I506" s="107"/>
      <c r="J506" s="107"/>
      <c r="K506" s="107"/>
      <c r="L506" s="107"/>
      <c r="M506" s="104"/>
      <c r="N506" s="103"/>
      <c r="O506" s="103"/>
      <c r="P506" s="103"/>
      <c r="Q506" s="103"/>
      <c r="R506" s="103"/>
    </row>
    <row r="507">
      <c r="A507" s="103"/>
      <c r="B507" s="103"/>
      <c r="C507" s="106"/>
      <c r="D507" s="106"/>
      <c r="E507" s="107"/>
      <c r="F507" s="108"/>
      <c r="G507" s="107"/>
      <c r="H507" s="107"/>
      <c r="I507" s="107"/>
      <c r="J507" s="107"/>
      <c r="K507" s="107"/>
      <c r="L507" s="107"/>
      <c r="M507" s="104"/>
      <c r="N507" s="103"/>
      <c r="O507" s="103"/>
      <c r="P507" s="103"/>
      <c r="Q507" s="103"/>
      <c r="R507" s="103"/>
    </row>
    <row r="508">
      <c r="A508" s="103"/>
      <c r="B508" s="103"/>
      <c r="C508" s="106"/>
      <c r="D508" s="106"/>
      <c r="E508" s="107"/>
      <c r="F508" s="108"/>
      <c r="G508" s="107"/>
      <c r="H508" s="107"/>
      <c r="I508" s="107"/>
      <c r="J508" s="107"/>
      <c r="K508" s="107"/>
      <c r="L508" s="107"/>
      <c r="M508" s="104"/>
      <c r="N508" s="103"/>
      <c r="O508" s="103"/>
      <c r="P508" s="103"/>
      <c r="Q508" s="103"/>
      <c r="R508" s="103"/>
    </row>
    <row r="509">
      <c r="A509" s="103"/>
      <c r="B509" s="103"/>
      <c r="C509" s="106"/>
      <c r="D509" s="106"/>
      <c r="E509" s="107"/>
      <c r="F509" s="108"/>
      <c r="G509" s="107"/>
      <c r="H509" s="107"/>
      <c r="I509" s="107"/>
      <c r="J509" s="107"/>
      <c r="K509" s="107"/>
      <c r="L509" s="107"/>
      <c r="M509" s="104"/>
      <c r="N509" s="103"/>
      <c r="O509" s="103"/>
      <c r="P509" s="103"/>
      <c r="Q509" s="103"/>
      <c r="R509" s="103"/>
    </row>
    <row r="510">
      <c r="A510" s="103"/>
      <c r="B510" s="103"/>
      <c r="C510" s="106"/>
      <c r="D510" s="106"/>
      <c r="E510" s="107"/>
      <c r="F510" s="108"/>
      <c r="G510" s="107"/>
      <c r="H510" s="107"/>
      <c r="I510" s="107"/>
      <c r="J510" s="107"/>
      <c r="K510" s="107"/>
      <c r="L510" s="107"/>
      <c r="M510" s="104"/>
      <c r="N510" s="103"/>
      <c r="O510" s="103"/>
      <c r="P510" s="103"/>
      <c r="Q510" s="103"/>
      <c r="R510" s="103"/>
    </row>
    <row r="511">
      <c r="A511" s="103"/>
      <c r="B511" s="103"/>
      <c r="C511" s="106"/>
      <c r="D511" s="106"/>
      <c r="E511" s="107"/>
      <c r="F511" s="108"/>
      <c r="G511" s="107"/>
      <c r="H511" s="107"/>
      <c r="I511" s="107"/>
      <c r="J511" s="107"/>
      <c r="K511" s="107"/>
      <c r="L511" s="107"/>
      <c r="M511" s="104"/>
      <c r="N511" s="103"/>
      <c r="O511" s="103"/>
      <c r="P511" s="103"/>
      <c r="Q511" s="103"/>
      <c r="R511" s="103"/>
    </row>
    <row r="512">
      <c r="A512" s="103"/>
      <c r="B512" s="103"/>
      <c r="C512" s="106"/>
      <c r="D512" s="106"/>
      <c r="E512" s="107"/>
      <c r="F512" s="108"/>
      <c r="G512" s="107"/>
      <c r="H512" s="107"/>
      <c r="I512" s="107"/>
      <c r="J512" s="107"/>
      <c r="K512" s="107"/>
      <c r="L512" s="107"/>
      <c r="M512" s="104"/>
      <c r="N512" s="103"/>
      <c r="O512" s="103"/>
      <c r="P512" s="103"/>
      <c r="Q512" s="103"/>
      <c r="R512" s="103"/>
    </row>
    <row r="513">
      <c r="A513" s="103"/>
      <c r="B513" s="103"/>
      <c r="C513" s="106"/>
      <c r="D513" s="106"/>
      <c r="E513" s="107"/>
      <c r="F513" s="108"/>
      <c r="G513" s="107"/>
      <c r="H513" s="107"/>
      <c r="I513" s="107"/>
      <c r="J513" s="107"/>
      <c r="K513" s="107"/>
      <c r="L513" s="107"/>
      <c r="M513" s="104"/>
      <c r="N513" s="103"/>
      <c r="O513" s="103"/>
      <c r="P513" s="103"/>
      <c r="Q513" s="103"/>
      <c r="R513" s="103"/>
    </row>
    <row r="514">
      <c r="A514" s="103"/>
      <c r="B514" s="103"/>
      <c r="C514" s="106"/>
      <c r="D514" s="106"/>
      <c r="E514" s="107"/>
      <c r="F514" s="108"/>
      <c r="G514" s="107"/>
      <c r="H514" s="107"/>
      <c r="I514" s="107"/>
      <c r="J514" s="107"/>
      <c r="K514" s="107"/>
      <c r="L514" s="107"/>
      <c r="M514" s="104"/>
      <c r="N514" s="103"/>
      <c r="O514" s="103"/>
      <c r="P514" s="103"/>
      <c r="Q514" s="103"/>
      <c r="R514" s="103"/>
    </row>
    <row r="515">
      <c r="A515" s="103"/>
      <c r="B515" s="103"/>
      <c r="C515" s="106"/>
      <c r="D515" s="106"/>
      <c r="E515" s="107"/>
      <c r="F515" s="108"/>
      <c r="G515" s="107"/>
      <c r="H515" s="107"/>
      <c r="I515" s="107"/>
      <c r="J515" s="107"/>
      <c r="K515" s="107"/>
      <c r="L515" s="107"/>
      <c r="M515" s="104"/>
      <c r="N515" s="103"/>
      <c r="O515" s="103"/>
      <c r="P515" s="103"/>
      <c r="Q515" s="103"/>
      <c r="R515" s="103"/>
    </row>
    <row r="516">
      <c r="A516" s="103"/>
      <c r="B516" s="103"/>
      <c r="C516" s="106"/>
      <c r="D516" s="106"/>
      <c r="E516" s="107"/>
      <c r="F516" s="108"/>
      <c r="G516" s="107"/>
      <c r="H516" s="107"/>
      <c r="I516" s="107"/>
      <c r="J516" s="107"/>
      <c r="K516" s="107"/>
      <c r="L516" s="107"/>
      <c r="M516" s="104"/>
      <c r="N516" s="103"/>
      <c r="O516" s="103"/>
      <c r="P516" s="103"/>
      <c r="Q516" s="103"/>
      <c r="R516" s="103"/>
    </row>
    <row r="517">
      <c r="A517" s="103"/>
      <c r="B517" s="103"/>
      <c r="C517" s="106"/>
      <c r="D517" s="106"/>
      <c r="E517" s="107"/>
      <c r="F517" s="108"/>
      <c r="G517" s="107"/>
      <c r="H517" s="107"/>
      <c r="I517" s="107"/>
      <c r="J517" s="107"/>
      <c r="K517" s="107"/>
      <c r="L517" s="107"/>
      <c r="M517" s="104"/>
      <c r="N517" s="103"/>
      <c r="O517" s="103"/>
      <c r="P517" s="103"/>
      <c r="Q517" s="103"/>
      <c r="R517" s="103"/>
    </row>
    <row r="518">
      <c r="A518" s="103"/>
      <c r="B518" s="103"/>
      <c r="C518" s="106"/>
      <c r="D518" s="106"/>
      <c r="E518" s="107"/>
      <c r="F518" s="108"/>
      <c r="G518" s="107"/>
      <c r="H518" s="107"/>
      <c r="I518" s="107"/>
      <c r="J518" s="107"/>
      <c r="K518" s="107"/>
      <c r="L518" s="107"/>
      <c r="M518" s="104"/>
      <c r="N518" s="103"/>
      <c r="O518" s="103"/>
      <c r="P518" s="103"/>
      <c r="Q518" s="103"/>
      <c r="R518" s="103"/>
    </row>
    <row r="519">
      <c r="A519" s="103"/>
      <c r="B519" s="103"/>
      <c r="C519" s="106"/>
      <c r="D519" s="106"/>
      <c r="E519" s="107"/>
      <c r="F519" s="108"/>
      <c r="G519" s="107"/>
      <c r="H519" s="107"/>
      <c r="I519" s="107"/>
      <c r="J519" s="107"/>
      <c r="K519" s="107"/>
      <c r="L519" s="107"/>
      <c r="M519" s="104"/>
      <c r="N519" s="103"/>
      <c r="O519" s="103"/>
      <c r="P519" s="103"/>
      <c r="Q519" s="103"/>
      <c r="R519" s="103"/>
    </row>
    <row r="520">
      <c r="A520" s="103"/>
      <c r="B520" s="103"/>
      <c r="C520" s="106"/>
      <c r="D520" s="106"/>
      <c r="E520" s="107"/>
      <c r="F520" s="108"/>
      <c r="G520" s="107"/>
      <c r="H520" s="107"/>
      <c r="I520" s="107"/>
      <c r="J520" s="107"/>
      <c r="K520" s="107"/>
      <c r="L520" s="107"/>
      <c r="M520" s="104"/>
      <c r="N520" s="103"/>
      <c r="O520" s="103"/>
      <c r="P520" s="103"/>
      <c r="Q520" s="103"/>
      <c r="R520" s="103"/>
    </row>
    <row r="521">
      <c r="A521" s="103"/>
      <c r="B521" s="103"/>
      <c r="C521" s="106"/>
      <c r="D521" s="106"/>
      <c r="E521" s="107"/>
      <c r="F521" s="108"/>
      <c r="G521" s="107"/>
      <c r="H521" s="107"/>
      <c r="I521" s="107"/>
      <c r="J521" s="107"/>
      <c r="K521" s="107"/>
      <c r="L521" s="107"/>
      <c r="M521" s="104"/>
      <c r="N521" s="103"/>
      <c r="O521" s="103"/>
      <c r="P521" s="103"/>
      <c r="Q521" s="103"/>
      <c r="R521" s="103"/>
    </row>
    <row r="522">
      <c r="A522" s="103"/>
      <c r="B522" s="103"/>
      <c r="C522" s="106"/>
      <c r="D522" s="106"/>
      <c r="E522" s="107"/>
      <c r="F522" s="108"/>
      <c r="G522" s="107"/>
      <c r="H522" s="107"/>
      <c r="I522" s="107"/>
      <c r="J522" s="107"/>
      <c r="K522" s="107"/>
      <c r="L522" s="107"/>
      <c r="M522" s="104"/>
      <c r="N522" s="103"/>
      <c r="O522" s="103"/>
      <c r="P522" s="103"/>
      <c r="Q522" s="103"/>
      <c r="R522" s="103"/>
    </row>
    <row r="523">
      <c r="A523" s="103"/>
      <c r="B523" s="103"/>
      <c r="C523" s="106"/>
      <c r="D523" s="106"/>
      <c r="E523" s="107"/>
      <c r="F523" s="108"/>
      <c r="G523" s="107"/>
      <c r="H523" s="107"/>
      <c r="I523" s="107"/>
      <c r="J523" s="107"/>
      <c r="K523" s="107"/>
      <c r="L523" s="107"/>
      <c r="M523" s="104"/>
      <c r="N523" s="103"/>
      <c r="O523" s="103"/>
      <c r="P523" s="103"/>
      <c r="Q523" s="103"/>
      <c r="R523" s="103"/>
    </row>
    <row r="524">
      <c r="A524" s="103"/>
      <c r="B524" s="103"/>
      <c r="C524" s="106"/>
      <c r="D524" s="106"/>
      <c r="E524" s="107"/>
      <c r="F524" s="108"/>
      <c r="G524" s="107"/>
      <c r="H524" s="107"/>
      <c r="I524" s="107"/>
      <c r="J524" s="107"/>
      <c r="K524" s="107"/>
      <c r="L524" s="107"/>
      <c r="M524" s="104"/>
      <c r="N524" s="103"/>
      <c r="O524" s="103"/>
      <c r="P524" s="103"/>
      <c r="Q524" s="103"/>
      <c r="R524" s="103"/>
    </row>
    <row r="525">
      <c r="A525" s="103"/>
      <c r="B525" s="103"/>
      <c r="C525" s="106"/>
      <c r="D525" s="106"/>
      <c r="E525" s="107"/>
      <c r="F525" s="108"/>
      <c r="G525" s="107"/>
      <c r="H525" s="107"/>
      <c r="I525" s="107"/>
      <c r="J525" s="107"/>
      <c r="K525" s="107"/>
      <c r="L525" s="107"/>
      <c r="M525" s="104"/>
      <c r="N525" s="103"/>
      <c r="O525" s="103"/>
      <c r="P525" s="103"/>
      <c r="Q525" s="103"/>
      <c r="R525" s="103"/>
    </row>
    <row r="526">
      <c r="A526" s="103"/>
      <c r="B526" s="103"/>
      <c r="C526" s="106"/>
      <c r="D526" s="106"/>
      <c r="E526" s="107"/>
      <c r="F526" s="108"/>
      <c r="G526" s="107"/>
      <c r="H526" s="107"/>
      <c r="I526" s="107"/>
      <c r="J526" s="107"/>
      <c r="K526" s="107"/>
      <c r="L526" s="107"/>
      <c r="M526" s="104"/>
      <c r="N526" s="103"/>
      <c r="O526" s="103"/>
      <c r="P526" s="103"/>
      <c r="Q526" s="103"/>
      <c r="R526" s="103"/>
    </row>
    <row r="527">
      <c r="A527" s="103"/>
      <c r="B527" s="103"/>
      <c r="C527" s="106"/>
      <c r="D527" s="106"/>
      <c r="E527" s="107"/>
      <c r="F527" s="108"/>
      <c r="G527" s="107"/>
      <c r="H527" s="107"/>
      <c r="I527" s="107"/>
      <c r="J527" s="107"/>
      <c r="K527" s="107"/>
      <c r="L527" s="107"/>
      <c r="M527" s="104"/>
      <c r="N527" s="103"/>
      <c r="O527" s="103"/>
      <c r="P527" s="103"/>
      <c r="Q527" s="103"/>
      <c r="R527" s="103"/>
    </row>
    <row r="528">
      <c r="A528" s="103"/>
      <c r="B528" s="103"/>
      <c r="C528" s="106"/>
      <c r="D528" s="106"/>
      <c r="E528" s="107"/>
      <c r="F528" s="108"/>
      <c r="G528" s="107"/>
      <c r="H528" s="107"/>
      <c r="I528" s="107"/>
      <c r="J528" s="107"/>
      <c r="K528" s="107"/>
      <c r="L528" s="107"/>
      <c r="M528" s="104"/>
      <c r="N528" s="103"/>
      <c r="O528" s="103"/>
      <c r="P528" s="103"/>
      <c r="Q528" s="103"/>
      <c r="R528" s="103"/>
    </row>
    <row r="529">
      <c r="A529" s="103"/>
      <c r="B529" s="103"/>
      <c r="C529" s="106"/>
      <c r="D529" s="106"/>
      <c r="E529" s="107"/>
      <c r="F529" s="108"/>
      <c r="G529" s="107"/>
      <c r="H529" s="107"/>
      <c r="I529" s="107"/>
      <c r="J529" s="107"/>
      <c r="K529" s="107"/>
      <c r="L529" s="107"/>
      <c r="M529" s="104"/>
      <c r="N529" s="103"/>
      <c r="O529" s="103"/>
      <c r="P529" s="103"/>
      <c r="Q529" s="103"/>
      <c r="R529" s="103"/>
    </row>
    <row r="530">
      <c r="A530" s="103"/>
      <c r="B530" s="103"/>
      <c r="C530" s="106"/>
      <c r="D530" s="106"/>
      <c r="E530" s="107"/>
      <c r="F530" s="108"/>
      <c r="G530" s="107"/>
      <c r="H530" s="107"/>
      <c r="I530" s="107"/>
      <c r="J530" s="107"/>
      <c r="K530" s="107"/>
      <c r="L530" s="107"/>
      <c r="M530" s="104"/>
      <c r="N530" s="103"/>
      <c r="O530" s="103"/>
      <c r="P530" s="103"/>
      <c r="Q530" s="103"/>
      <c r="R530" s="103"/>
    </row>
    <row r="531">
      <c r="A531" s="103"/>
      <c r="B531" s="103"/>
      <c r="C531" s="106"/>
      <c r="D531" s="106"/>
      <c r="E531" s="107"/>
      <c r="F531" s="108"/>
      <c r="G531" s="107"/>
      <c r="H531" s="107"/>
      <c r="I531" s="107"/>
      <c r="J531" s="107"/>
      <c r="K531" s="107"/>
      <c r="L531" s="107"/>
      <c r="M531" s="104"/>
      <c r="N531" s="103"/>
      <c r="O531" s="103"/>
      <c r="P531" s="103"/>
      <c r="Q531" s="103"/>
      <c r="R531" s="103"/>
    </row>
    <row r="532">
      <c r="A532" s="103"/>
      <c r="B532" s="103"/>
      <c r="C532" s="106"/>
      <c r="D532" s="106"/>
      <c r="E532" s="107"/>
      <c r="F532" s="108"/>
      <c r="G532" s="107"/>
      <c r="H532" s="107"/>
      <c r="I532" s="107"/>
      <c r="J532" s="107"/>
      <c r="K532" s="107"/>
      <c r="L532" s="107"/>
      <c r="M532" s="104"/>
      <c r="N532" s="103"/>
      <c r="O532" s="103"/>
      <c r="P532" s="103"/>
      <c r="Q532" s="103"/>
      <c r="R532" s="103"/>
    </row>
    <row r="533">
      <c r="A533" s="103"/>
      <c r="B533" s="103"/>
      <c r="C533" s="106"/>
      <c r="D533" s="106"/>
      <c r="E533" s="107"/>
      <c r="F533" s="108"/>
      <c r="G533" s="107"/>
      <c r="H533" s="107"/>
      <c r="I533" s="107"/>
      <c r="J533" s="107"/>
      <c r="K533" s="107"/>
      <c r="L533" s="107"/>
      <c r="M533" s="104"/>
      <c r="N533" s="103"/>
      <c r="O533" s="103"/>
      <c r="P533" s="103"/>
      <c r="Q533" s="103"/>
      <c r="R533" s="103"/>
    </row>
    <row r="534">
      <c r="A534" s="103"/>
      <c r="B534" s="103"/>
      <c r="C534" s="106"/>
      <c r="D534" s="106"/>
      <c r="E534" s="107"/>
      <c r="F534" s="108"/>
      <c r="G534" s="107"/>
      <c r="H534" s="107"/>
      <c r="I534" s="107"/>
      <c r="J534" s="107"/>
      <c r="K534" s="107"/>
      <c r="L534" s="107"/>
      <c r="M534" s="104"/>
      <c r="N534" s="103"/>
      <c r="O534" s="103"/>
      <c r="P534" s="103"/>
      <c r="Q534" s="103"/>
      <c r="R534" s="103"/>
    </row>
    <row r="535">
      <c r="A535" s="103"/>
      <c r="B535" s="103"/>
      <c r="C535" s="106"/>
      <c r="D535" s="106"/>
      <c r="E535" s="107"/>
      <c r="F535" s="108"/>
      <c r="G535" s="107"/>
      <c r="H535" s="107"/>
      <c r="I535" s="107"/>
      <c r="J535" s="107"/>
      <c r="K535" s="107"/>
      <c r="L535" s="107"/>
      <c r="M535" s="104"/>
      <c r="N535" s="103"/>
      <c r="O535" s="103"/>
      <c r="P535" s="103"/>
      <c r="Q535" s="103"/>
      <c r="R535" s="103"/>
    </row>
    <row r="536">
      <c r="A536" s="103"/>
      <c r="B536" s="103"/>
      <c r="C536" s="106"/>
      <c r="D536" s="106"/>
      <c r="E536" s="107"/>
      <c r="F536" s="108"/>
      <c r="G536" s="107"/>
      <c r="H536" s="107"/>
      <c r="I536" s="107"/>
      <c r="J536" s="107"/>
      <c r="K536" s="107"/>
      <c r="L536" s="107"/>
      <c r="M536" s="104"/>
      <c r="N536" s="103"/>
      <c r="O536" s="103"/>
      <c r="P536" s="103"/>
      <c r="Q536" s="103"/>
      <c r="R536" s="103"/>
    </row>
    <row r="537">
      <c r="A537" s="103"/>
      <c r="B537" s="103"/>
      <c r="C537" s="106"/>
      <c r="D537" s="106"/>
      <c r="E537" s="107"/>
      <c r="F537" s="108"/>
      <c r="G537" s="107"/>
      <c r="H537" s="107"/>
      <c r="I537" s="107"/>
      <c r="J537" s="107"/>
      <c r="K537" s="107"/>
      <c r="L537" s="107"/>
      <c r="M537" s="104"/>
      <c r="N537" s="103"/>
      <c r="O537" s="103"/>
      <c r="P537" s="103"/>
      <c r="Q537" s="103"/>
      <c r="R537" s="103"/>
    </row>
    <row r="538">
      <c r="A538" s="103"/>
      <c r="B538" s="103"/>
      <c r="C538" s="106"/>
      <c r="D538" s="106"/>
      <c r="E538" s="107"/>
      <c r="F538" s="108"/>
      <c r="G538" s="107"/>
      <c r="H538" s="107"/>
      <c r="I538" s="107"/>
      <c r="J538" s="107"/>
      <c r="K538" s="107"/>
      <c r="L538" s="107"/>
      <c r="M538" s="104"/>
      <c r="N538" s="103"/>
      <c r="O538" s="103"/>
      <c r="P538" s="103"/>
      <c r="Q538" s="103"/>
      <c r="R538" s="103"/>
    </row>
    <row r="539">
      <c r="A539" s="103"/>
      <c r="B539" s="103"/>
      <c r="C539" s="106"/>
      <c r="D539" s="106"/>
      <c r="E539" s="107"/>
      <c r="F539" s="108"/>
      <c r="G539" s="107"/>
      <c r="H539" s="107"/>
      <c r="I539" s="107"/>
      <c r="J539" s="107"/>
      <c r="K539" s="107"/>
      <c r="L539" s="107"/>
      <c r="M539" s="104"/>
      <c r="N539" s="103"/>
      <c r="O539" s="103"/>
      <c r="P539" s="103"/>
      <c r="Q539" s="103"/>
      <c r="R539" s="103"/>
    </row>
    <row r="540">
      <c r="A540" s="103"/>
      <c r="B540" s="103"/>
      <c r="C540" s="106"/>
      <c r="D540" s="106"/>
      <c r="E540" s="107"/>
      <c r="F540" s="108"/>
      <c r="G540" s="107"/>
      <c r="H540" s="107"/>
      <c r="I540" s="107"/>
      <c r="J540" s="107"/>
      <c r="K540" s="107"/>
      <c r="L540" s="107"/>
      <c r="M540" s="104"/>
      <c r="N540" s="103"/>
      <c r="O540" s="103"/>
      <c r="P540" s="103"/>
      <c r="Q540" s="103"/>
      <c r="R540" s="103"/>
    </row>
    <row r="541">
      <c r="A541" s="103"/>
      <c r="B541" s="103"/>
      <c r="C541" s="106"/>
      <c r="D541" s="106"/>
      <c r="E541" s="107"/>
      <c r="F541" s="108"/>
      <c r="G541" s="107"/>
      <c r="H541" s="107"/>
      <c r="I541" s="107"/>
      <c r="J541" s="107"/>
      <c r="K541" s="107"/>
      <c r="L541" s="107"/>
      <c r="M541" s="104"/>
      <c r="N541" s="103"/>
      <c r="O541" s="103"/>
      <c r="P541" s="103"/>
      <c r="Q541" s="103"/>
      <c r="R541" s="103"/>
    </row>
    <row r="542">
      <c r="A542" s="103"/>
      <c r="B542" s="103"/>
      <c r="C542" s="106"/>
      <c r="D542" s="106"/>
      <c r="E542" s="107"/>
      <c r="F542" s="108"/>
      <c r="G542" s="107"/>
      <c r="H542" s="107"/>
      <c r="I542" s="107"/>
      <c r="J542" s="107"/>
      <c r="K542" s="107"/>
      <c r="L542" s="107"/>
      <c r="M542" s="104"/>
      <c r="N542" s="103"/>
      <c r="O542" s="103"/>
      <c r="P542" s="103"/>
      <c r="Q542" s="103"/>
      <c r="R542" s="103"/>
    </row>
    <row r="543">
      <c r="A543" s="103"/>
      <c r="B543" s="103"/>
      <c r="C543" s="106"/>
      <c r="D543" s="106"/>
      <c r="E543" s="107"/>
      <c r="F543" s="108"/>
      <c r="G543" s="107"/>
      <c r="H543" s="107"/>
      <c r="I543" s="107"/>
      <c r="J543" s="107"/>
      <c r="K543" s="107"/>
      <c r="L543" s="107"/>
      <c r="M543" s="104"/>
      <c r="N543" s="103"/>
      <c r="O543" s="103"/>
      <c r="P543" s="103"/>
      <c r="Q543" s="103"/>
      <c r="R543" s="103"/>
    </row>
    <row r="544">
      <c r="A544" s="103"/>
      <c r="B544" s="103"/>
      <c r="C544" s="106"/>
      <c r="D544" s="106"/>
      <c r="E544" s="107"/>
      <c r="F544" s="108"/>
      <c r="G544" s="107"/>
      <c r="H544" s="107"/>
      <c r="I544" s="107"/>
      <c r="J544" s="107"/>
      <c r="K544" s="107"/>
      <c r="L544" s="107"/>
      <c r="M544" s="104"/>
      <c r="N544" s="103"/>
      <c r="O544" s="103"/>
      <c r="P544" s="103"/>
      <c r="Q544" s="103"/>
      <c r="R544" s="103"/>
    </row>
    <row r="545">
      <c r="A545" s="103"/>
      <c r="B545" s="103"/>
      <c r="C545" s="106"/>
      <c r="D545" s="106"/>
      <c r="E545" s="107"/>
      <c r="F545" s="108"/>
      <c r="G545" s="107"/>
      <c r="H545" s="107"/>
      <c r="I545" s="107"/>
      <c r="J545" s="107"/>
      <c r="K545" s="107"/>
      <c r="L545" s="107"/>
      <c r="M545" s="104"/>
      <c r="N545" s="103"/>
      <c r="O545" s="103"/>
      <c r="P545" s="103"/>
      <c r="Q545" s="103"/>
      <c r="R545" s="103"/>
    </row>
    <row r="546">
      <c r="A546" s="103"/>
      <c r="B546" s="103"/>
      <c r="C546" s="106"/>
      <c r="D546" s="106"/>
      <c r="E546" s="107"/>
      <c r="F546" s="108"/>
      <c r="G546" s="107"/>
      <c r="H546" s="107"/>
      <c r="I546" s="107"/>
      <c r="J546" s="107"/>
      <c r="K546" s="107"/>
      <c r="L546" s="107"/>
      <c r="M546" s="104"/>
      <c r="N546" s="103"/>
      <c r="O546" s="103"/>
      <c r="P546" s="103"/>
      <c r="Q546" s="103"/>
      <c r="R546" s="103"/>
    </row>
    <row r="547">
      <c r="A547" s="103"/>
      <c r="B547" s="103"/>
      <c r="C547" s="106"/>
      <c r="D547" s="106"/>
      <c r="E547" s="107"/>
      <c r="F547" s="108"/>
      <c r="G547" s="107"/>
      <c r="H547" s="107"/>
      <c r="I547" s="107"/>
      <c r="J547" s="107"/>
      <c r="K547" s="107"/>
      <c r="L547" s="107"/>
      <c r="M547" s="104"/>
      <c r="N547" s="103"/>
      <c r="O547" s="103"/>
      <c r="P547" s="103"/>
      <c r="Q547" s="103"/>
      <c r="R547" s="103"/>
    </row>
    <row r="548">
      <c r="A548" s="103"/>
      <c r="B548" s="103"/>
      <c r="C548" s="106"/>
      <c r="D548" s="106"/>
      <c r="E548" s="107"/>
      <c r="F548" s="108"/>
      <c r="G548" s="107"/>
      <c r="H548" s="107"/>
      <c r="I548" s="107"/>
      <c r="J548" s="107"/>
      <c r="K548" s="107"/>
      <c r="L548" s="107"/>
      <c r="M548" s="104"/>
      <c r="N548" s="103"/>
      <c r="O548" s="103"/>
      <c r="P548" s="103"/>
      <c r="Q548" s="103"/>
      <c r="R548" s="103"/>
    </row>
    <row r="549">
      <c r="A549" s="103"/>
      <c r="B549" s="103"/>
      <c r="C549" s="106"/>
      <c r="D549" s="106"/>
      <c r="E549" s="107"/>
      <c r="F549" s="108"/>
      <c r="G549" s="107"/>
      <c r="H549" s="107"/>
      <c r="I549" s="107"/>
      <c r="J549" s="107"/>
      <c r="K549" s="107"/>
      <c r="L549" s="107"/>
      <c r="M549" s="104"/>
      <c r="N549" s="103"/>
      <c r="O549" s="103"/>
      <c r="P549" s="103"/>
      <c r="Q549" s="103"/>
      <c r="R549" s="103"/>
    </row>
    <row r="550">
      <c r="A550" s="103"/>
      <c r="B550" s="103"/>
      <c r="C550" s="106"/>
      <c r="D550" s="106"/>
      <c r="E550" s="107"/>
      <c r="F550" s="108"/>
      <c r="G550" s="107"/>
      <c r="H550" s="107"/>
      <c r="I550" s="107"/>
      <c r="J550" s="107"/>
      <c r="K550" s="107"/>
      <c r="L550" s="107"/>
      <c r="M550" s="104"/>
      <c r="N550" s="103"/>
      <c r="O550" s="103"/>
      <c r="P550" s="103"/>
      <c r="Q550" s="103"/>
      <c r="R550" s="103"/>
    </row>
    <row r="551">
      <c r="A551" s="103"/>
      <c r="B551" s="103"/>
      <c r="C551" s="106"/>
      <c r="D551" s="106"/>
      <c r="E551" s="107"/>
      <c r="F551" s="108"/>
      <c r="G551" s="107"/>
      <c r="H551" s="107"/>
      <c r="I551" s="107"/>
      <c r="J551" s="107"/>
      <c r="K551" s="107"/>
      <c r="L551" s="107"/>
      <c r="M551" s="104"/>
      <c r="N551" s="103"/>
      <c r="O551" s="103"/>
      <c r="P551" s="103"/>
      <c r="Q551" s="103"/>
      <c r="R551" s="103"/>
    </row>
    <row r="552">
      <c r="A552" s="103"/>
      <c r="B552" s="103"/>
      <c r="C552" s="106"/>
      <c r="D552" s="106"/>
      <c r="E552" s="107"/>
      <c r="F552" s="108"/>
      <c r="G552" s="107"/>
      <c r="H552" s="107"/>
      <c r="I552" s="107"/>
      <c r="J552" s="107"/>
      <c r="K552" s="107"/>
      <c r="L552" s="107"/>
      <c r="M552" s="104"/>
      <c r="N552" s="103"/>
      <c r="O552" s="103"/>
      <c r="P552" s="103"/>
      <c r="Q552" s="103"/>
      <c r="R552" s="103"/>
    </row>
    <row r="553">
      <c r="A553" s="103"/>
      <c r="B553" s="103"/>
      <c r="C553" s="106"/>
      <c r="D553" s="106"/>
      <c r="E553" s="107"/>
      <c r="F553" s="108"/>
      <c r="G553" s="107"/>
      <c r="H553" s="107"/>
      <c r="I553" s="107"/>
      <c r="J553" s="107"/>
      <c r="K553" s="107"/>
      <c r="L553" s="107"/>
      <c r="M553" s="104"/>
      <c r="N553" s="103"/>
      <c r="O553" s="103"/>
      <c r="P553" s="103"/>
      <c r="Q553" s="103"/>
      <c r="R553" s="103"/>
    </row>
    <row r="554">
      <c r="A554" s="103"/>
      <c r="B554" s="103"/>
      <c r="C554" s="106"/>
      <c r="D554" s="106"/>
      <c r="E554" s="107"/>
      <c r="F554" s="108"/>
      <c r="G554" s="107"/>
      <c r="H554" s="107"/>
      <c r="I554" s="107"/>
      <c r="J554" s="107"/>
      <c r="K554" s="107"/>
      <c r="L554" s="107"/>
      <c r="M554" s="104"/>
      <c r="N554" s="103"/>
      <c r="O554" s="103"/>
      <c r="P554" s="103"/>
      <c r="Q554" s="103"/>
      <c r="R554" s="103"/>
    </row>
    <row r="555">
      <c r="A555" s="103"/>
      <c r="B555" s="103"/>
      <c r="C555" s="106"/>
      <c r="D555" s="106"/>
      <c r="E555" s="107"/>
      <c r="F555" s="108"/>
      <c r="G555" s="107"/>
      <c r="H555" s="107"/>
      <c r="I555" s="107"/>
      <c r="J555" s="107"/>
      <c r="K555" s="107"/>
      <c r="L555" s="107"/>
      <c r="M555" s="104"/>
      <c r="N555" s="103"/>
      <c r="O555" s="103"/>
      <c r="P555" s="103"/>
      <c r="Q555" s="103"/>
      <c r="R555" s="103"/>
    </row>
    <row r="556">
      <c r="A556" s="103"/>
      <c r="B556" s="103"/>
      <c r="C556" s="106"/>
      <c r="D556" s="106"/>
      <c r="E556" s="107"/>
      <c r="F556" s="108"/>
      <c r="G556" s="107"/>
      <c r="H556" s="107"/>
      <c r="I556" s="107"/>
      <c r="J556" s="107"/>
      <c r="K556" s="107"/>
      <c r="L556" s="107"/>
      <c r="M556" s="104"/>
      <c r="N556" s="103"/>
      <c r="O556" s="103"/>
      <c r="P556" s="103"/>
      <c r="Q556" s="103"/>
      <c r="R556" s="103"/>
    </row>
    <row r="557">
      <c r="A557" s="103"/>
      <c r="B557" s="103"/>
      <c r="C557" s="106"/>
      <c r="D557" s="106"/>
      <c r="E557" s="107"/>
      <c r="F557" s="108"/>
      <c r="G557" s="107"/>
      <c r="H557" s="107"/>
      <c r="I557" s="107"/>
      <c r="J557" s="107"/>
      <c r="K557" s="107"/>
      <c r="L557" s="107"/>
      <c r="M557" s="104"/>
      <c r="N557" s="103"/>
      <c r="O557" s="103"/>
      <c r="P557" s="103"/>
      <c r="Q557" s="103"/>
      <c r="R557" s="103"/>
    </row>
    <row r="558">
      <c r="A558" s="103"/>
      <c r="B558" s="103"/>
      <c r="C558" s="106"/>
      <c r="D558" s="106"/>
      <c r="E558" s="107"/>
      <c r="F558" s="108"/>
      <c r="G558" s="107"/>
      <c r="H558" s="107"/>
      <c r="I558" s="107"/>
      <c r="J558" s="107"/>
      <c r="K558" s="107"/>
      <c r="L558" s="107"/>
      <c r="M558" s="104"/>
      <c r="N558" s="103"/>
      <c r="O558" s="103"/>
      <c r="P558" s="103"/>
      <c r="Q558" s="103"/>
      <c r="R558" s="103"/>
    </row>
    <row r="559">
      <c r="A559" s="103"/>
      <c r="B559" s="103"/>
      <c r="C559" s="106"/>
      <c r="D559" s="106"/>
      <c r="E559" s="107"/>
      <c r="F559" s="108"/>
      <c r="G559" s="107"/>
      <c r="H559" s="107"/>
      <c r="I559" s="107"/>
      <c r="J559" s="107"/>
      <c r="K559" s="107"/>
      <c r="L559" s="107"/>
      <c r="M559" s="104"/>
      <c r="N559" s="103"/>
      <c r="O559" s="103"/>
      <c r="P559" s="103"/>
      <c r="Q559" s="103"/>
      <c r="R559" s="103"/>
    </row>
    <row r="560">
      <c r="A560" s="103"/>
      <c r="B560" s="103"/>
      <c r="C560" s="106"/>
      <c r="D560" s="106"/>
      <c r="E560" s="107"/>
      <c r="F560" s="108"/>
      <c r="G560" s="107"/>
      <c r="H560" s="107"/>
      <c r="I560" s="107"/>
      <c r="J560" s="107"/>
      <c r="K560" s="107"/>
      <c r="L560" s="107"/>
      <c r="M560" s="104"/>
      <c r="N560" s="103"/>
      <c r="O560" s="103"/>
      <c r="P560" s="103"/>
      <c r="Q560" s="103"/>
      <c r="R560" s="103"/>
    </row>
    <row r="561">
      <c r="A561" s="103"/>
      <c r="B561" s="103"/>
      <c r="C561" s="106"/>
      <c r="D561" s="106"/>
      <c r="E561" s="107"/>
      <c r="F561" s="108"/>
      <c r="G561" s="107"/>
      <c r="H561" s="107"/>
      <c r="I561" s="107"/>
      <c r="J561" s="107"/>
      <c r="K561" s="107"/>
      <c r="L561" s="107"/>
      <c r="M561" s="104"/>
      <c r="N561" s="103"/>
      <c r="O561" s="103"/>
      <c r="P561" s="103"/>
      <c r="Q561" s="103"/>
      <c r="R561" s="103"/>
    </row>
    <row r="562">
      <c r="A562" s="103"/>
      <c r="B562" s="103"/>
      <c r="C562" s="106"/>
      <c r="D562" s="106"/>
      <c r="E562" s="107"/>
      <c r="F562" s="108"/>
      <c r="G562" s="107"/>
      <c r="H562" s="107"/>
      <c r="I562" s="107"/>
      <c r="J562" s="107"/>
      <c r="K562" s="107"/>
      <c r="L562" s="107"/>
      <c r="M562" s="104"/>
      <c r="N562" s="103"/>
      <c r="O562" s="103"/>
      <c r="P562" s="103"/>
      <c r="Q562" s="103"/>
      <c r="R562" s="103"/>
    </row>
    <row r="563">
      <c r="A563" s="103"/>
      <c r="B563" s="103"/>
      <c r="C563" s="106"/>
      <c r="D563" s="106"/>
      <c r="E563" s="107"/>
      <c r="F563" s="108"/>
      <c r="G563" s="107"/>
      <c r="H563" s="107"/>
      <c r="I563" s="107"/>
      <c r="J563" s="107"/>
      <c r="K563" s="107"/>
      <c r="L563" s="107"/>
      <c r="M563" s="104"/>
      <c r="N563" s="103"/>
      <c r="O563" s="103"/>
      <c r="P563" s="103"/>
      <c r="Q563" s="103"/>
      <c r="R563" s="103"/>
    </row>
    <row r="564">
      <c r="A564" s="103"/>
      <c r="B564" s="103"/>
      <c r="C564" s="106"/>
      <c r="D564" s="106"/>
      <c r="E564" s="107"/>
      <c r="F564" s="108"/>
      <c r="G564" s="107"/>
      <c r="H564" s="107"/>
      <c r="I564" s="107"/>
      <c r="J564" s="107"/>
      <c r="K564" s="107"/>
      <c r="L564" s="107"/>
      <c r="M564" s="104"/>
      <c r="N564" s="103"/>
      <c r="O564" s="103"/>
      <c r="P564" s="103"/>
      <c r="Q564" s="103"/>
      <c r="R564" s="103"/>
    </row>
    <row r="565">
      <c r="A565" s="103"/>
      <c r="B565" s="103"/>
      <c r="C565" s="106"/>
      <c r="D565" s="106"/>
      <c r="E565" s="107"/>
      <c r="F565" s="108"/>
      <c r="G565" s="107"/>
      <c r="H565" s="107"/>
      <c r="I565" s="107"/>
      <c r="J565" s="107"/>
      <c r="K565" s="107"/>
      <c r="L565" s="107"/>
      <c r="M565" s="104"/>
      <c r="N565" s="103"/>
      <c r="O565" s="103"/>
      <c r="P565" s="103"/>
      <c r="Q565" s="103"/>
      <c r="R565" s="103"/>
    </row>
    <row r="566">
      <c r="A566" s="103"/>
      <c r="B566" s="103"/>
      <c r="C566" s="106"/>
      <c r="D566" s="106"/>
      <c r="E566" s="107"/>
      <c r="F566" s="108"/>
      <c r="G566" s="107"/>
      <c r="H566" s="107"/>
      <c r="I566" s="107"/>
      <c r="J566" s="107"/>
      <c r="K566" s="107"/>
      <c r="L566" s="107"/>
      <c r="M566" s="104"/>
      <c r="N566" s="103"/>
      <c r="O566" s="103"/>
      <c r="P566" s="103"/>
      <c r="Q566" s="103"/>
      <c r="R566" s="103"/>
    </row>
    <row r="567">
      <c r="A567" s="103"/>
      <c r="B567" s="103"/>
      <c r="C567" s="106"/>
      <c r="D567" s="106"/>
      <c r="E567" s="107"/>
      <c r="F567" s="108"/>
      <c r="G567" s="107"/>
      <c r="H567" s="107"/>
      <c r="I567" s="107"/>
      <c r="J567" s="107"/>
      <c r="K567" s="107"/>
      <c r="L567" s="107"/>
      <c r="M567" s="104"/>
      <c r="N567" s="103"/>
      <c r="O567" s="103"/>
      <c r="P567" s="103"/>
      <c r="Q567" s="103"/>
      <c r="R567" s="103"/>
    </row>
    <row r="568">
      <c r="A568" s="103"/>
      <c r="B568" s="103"/>
      <c r="C568" s="106"/>
      <c r="D568" s="106"/>
      <c r="E568" s="107"/>
      <c r="F568" s="108"/>
      <c r="G568" s="107"/>
      <c r="H568" s="107"/>
      <c r="I568" s="107"/>
      <c r="J568" s="107"/>
      <c r="K568" s="107"/>
      <c r="L568" s="107"/>
      <c r="M568" s="104"/>
      <c r="N568" s="103"/>
      <c r="O568" s="103"/>
      <c r="P568" s="103"/>
      <c r="Q568" s="103"/>
      <c r="R568" s="103"/>
    </row>
    <row r="569">
      <c r="A569" s="103"/>
      <c r="B569" s="103"/>
      <c r="C569" s="106"/>
      <c r="D569" s="106"/>
      <c r="E569" s="107"/>
      <c r="F569" s="108"/>
      <c r="G569" s="107"/>
      <c r="H569" s="107"/>
      <c r="I569" s="107"/>
      <c r="J569" s="107"/>
      <c r="K569" s="107"/>
      <c r="L569" s="107"/>
      <c r="M569" s="104"/>
      <c r="N569" s="103"/>
      <c r="O569" s="103"/>
      <c r="P569" s="103"/>
      <c r="Q569" s="103"/>
      <c r="R569" s="103"/>
    </row>
    <row r="570">
      <c r="A570" s="103"/>
      <c r="B570" s="103"/>
      <c r="C570" s="106"/>
      <c r="D570" s="106"/>
      <c r="E570" s="107"/>
      <c r="F570" s="108"/>
      <c r="G570" s="107"/>
      <c r="H570" s="107"/>
      <c r="I570" s="107"/>
      <c r="J570" s="107"/>
      <c r="K570" s="107"/>
      <c r="L570" s="107"/>
      <c r="M570" s="104"/>
      <c r="N570" s="103"/>
      <c r="O570" s="103"/>
      <c r="P570" s="103"/>
      <c r="Q570" s="103"/>
      <c r="R570" s="103"/>
    </row>
    <row r="571">
      <c r="A571" s="103"/>
      <c r="B571" s="103"/>
      <c r="C571" s="106"/>
      <c r="D571" s="106"/>
      <c r="E571" s="107"/>
      <c r="F571" s="108"/>
      <c r="G571" s="107"/>
      <c r="H571" s="107"/>
      <c r="I571" s="107"/>
      <c r="J571" s="107"/>
      <c r="K571" s="107"/>
      <c r="L571" s="107"/>
      <c r="M571" s="104"/>
      <c r="N571" s="103"/>
      <c r="O571" s="103"/>
      <c r="P571" s="103"/>
      <c r="Q571" s="103"/>
      <c r="R571" s="103"/>
    </row>
    <row r="572">
      <c r="A572" s="103"/>
      <c r="B572" s="103"/>
      <c r="C572" s="106"/>
      <c r="D572" s="106"/>
      <c r="E572" s="107"/>
      <c r="F572" s="108"/>
      <c r="G572" s="107"/>
      <c r="H572" s="107"/>
      <c r="I572" s="107"/>
      <c r="J572" s="107"/>
      <c r="K572" s="107"/>
      <c r="L572" s="107"/>
      <c r="M572" s="104"/>
      <c r="N572" s="103"/>
      <c r="O572" s="103"/>
      <c r="P572" s="103"/>
      <c r="Q572" s="103"/>
      <c r="R572" s="103"/>
    </row>
    <row r="573">
      <c r="A573" s="103"/>
      <c r="B573" s="103"/>
      <c r="C573" s="106"/>
      <c r="D573" s="106"/>
      <c r="E573" s="107"/>
      <c r="F573" s="108"/>
      <c r="G573" s="107"/>
      <c r="H573" s="107"/>
      <c r="I573" s="107"/>
      <c r="J573" s="107"/>
      <c r="K573" s="107"/>
      <c r="L573" s="107"/>
      <c r="M573" s="104"/>
      <c r="N573" s="103"/>
      <c r="O573" s="103"/>
      <c r="P573" s="103"/>
      <c r="Q573" s="103"/>
      <c r="R573" s="103"/>
    </row>
    <row r="574">
      <c r="A574" s="103"/>
      <c r="B574" s="103"/>
      <c r="C574" s="106"/>
      <c r="D574" s="106"/>
      <c r="E574" s="107"/>
      <c r="F574" s="108"/>
      <c r="G574" s="107"/>
      <c r="H574" s="107"/>
      <c r="I574" s="107"/>
      <c r="J574" s="107"/>
      <c r="K574" s="107"/>
      <c r="L574" s="107"/>
      <c r="M574" s="104"/>
      <c r="N574" s="103"/>
      <c r="O574" s="103"/>
      <c r="P574" s="103"/>
      <c r="Q574" s="103"/>
      <c r="R574" s="103"/>
    </row>
    <row r="575">
      <c r="A575" s="103"/>
      <c r="B575" s="103"/>
      <c r="C575" s="106"/>
      <c r="D575" s="106"/>
      <c r="E575" s="107"/>
      <c r="F575" s="108"/>
      <c r="G575" s="107"/>
      <c r="H575" s="107"/>
      <c r="I575" s="107"/>
      <c r="J575" s="107"/>
      <c r="K575" s="107"/>
      <c r="L575" s="107"/>
      <c r="M575" s="104"/>
      <c r="N575" s="103"/>
      <c r="O575" s="103"/>
      <c r="P575" s="103"/>
      <c r="Q575" s="103"/>
      <c r="R575" s="103"/>
    </row>
    <row r="576">
      <c r="A576" s="103"/>
      <c r="B576" s="103"/>
      <c r="C576" s="106"/>
      <c r="D576" s="106"/>
      <c r="E576" s="107"/>
      <c r="F576" s="108"/>
      <c r="G576" s="107"/>
      <c r="H576" s="107"/>
      <c r="I576" s="107"/>
      <c r="J576" s="107"/>
      <c r="K576" s="107"/>
      <c r="L576" s="107"/>
      <c r="M576" s="104"/>
      <c r="N576" s="103"/>
      <c r="O576" s="103"/>
      <c r="P576" s="103"/>
      <c r="Q576" s="103"/>
      <c r="R576" s="103"/>
    </row>
    <row r="577">
      <c r="A577" s="103"/>
      <c r="B577" s="103"/>
      <c r="C577" s="106"/>
      <c r="D577" s="106"/>
      <c r="E577" s="107"/>
      <c r="F577" s="108"/>
      <c r="G577" s="107"/>
      <c r="H577" s="107"/>
      <c r="I577" s="107"/>
      <c r="J577" s="107"/>
      <c r="K577" s="107"/>
      <c r="L577" s="107"/>
      <c r="M577" s="104"/>
      <c r="N577" s="103"/>
      <c r="O577" s="103"/>
      <c r="P577" s="103"/>
      <c r="Q577" s="103"/>
      <c r="R577" s="103"/>
    </row>
    <row r="578">
      <c r="A578" s="103"/>
      <c r="B578" s="103"/>
      <c r="C578" s="106"/>
      <c r="D578" s="106"/>
      <c r="E578" s="107"/>
      <c r="F578" s="108"/>
      <c r="G578" s="107"/>
      <c r="H578" s="107"/>
      <c r="I578" s="107"/>
      <c r="J578" s="107"/>
      <c r="K578" s="107"/>
      <c r="L578" s="107"/>
      <c r="M578" s="104"/>
      <c r="N578" s="103"/>
      <c r="O578" s="103"/>
      <c r="P578" s="103"/>
      <c r="Q578" s="103"/>
      <c r="R578" s="103"/>
    </row>
    <row r="579">
      <c r="A579" s="103"/>
      <c r="B579" s="103"/>
      <c r="C579" s="106"/>
      <c r="D579" s="106"/>
      <c r="E579" s="107"/>
      <c r="F579" s="108"/>
      <c r="G579" s="107"/>
      <c r="H579" s="107"/>
      <c r="I579" s="107"/>
      <c r="J579" s="107"/>
      <c r="K579" s="107"/>
      <c r="L579" s="107"/>
      <c r="M579" s="104"/>
      <c r="N579" s="103"/>
      <c r="O579" s="103"/>
      <c r="P579" s="103"/>
      <c r="Q579" s="103"/>
      <c r="R579" s="103"/>
    </row>
    <row r="580">
      <c r="A580" s="103"/>
      <c r="B580" s="103"/>
      <c r="C580" s="106"/>
      <c r="D580" s="106"/>
      <c r="E580" s="107"/>
      <c r="F580" s="108"/>
      <c r="G580" s="107"/>
      <c r="H580" s="107"/>
      <c r="I580" s="107"/>
      <c r="J580" s="107"/>
      <c r="K580" s="107"/>
      <c r="L580" s="107"/>
      <c r="M580" s="104"/>
      <c r="N580" s="103"/>
      <c r="O580" s="103"/>
      <c r="P580" s="103"/>
      <c r="Q580" s="103"/>
      <c r="R580" s="103"/>
    </row>
    <row r="581">
      <c r="A581" s="103"/>
      <c r="B581" s="103"/>
      <c r="C581" s="106"/>
      <c r="D581" s="106"/>
      <c r="E581" s="107"/>
      <c r="F581" s="108"/>
      <c r="G581" s="107"/>
      <c r="H581" s="107"/>
      <c r="I581" s="107"/>
      <c r="J581" s="107"/>
      <c r="K581" s="107"/>
      <c r="L581" s="107"/>
      <c r="M581" s="104"/>
      <c r="N581" s="103"/>
      <c r="O581" s="103"/>
      <c r="P581" s="103"/>
      <c r="Q581" s="103"/>
      <c r="R581" s="103"/>
    </row>
    <row r="582">
      <c r="A582" s="103"/>
      <c r="B582" s="103"/>
      <c r="C582" s="106"/>
      <c r="D582" s="106"/>
      <c r="E582" s="107"/>
      <c r="F582" s="108"/>
      <c r="G582" s="107"/>
      <c r="H582" s="107"/>
      <c r="I582" s="107"/>
      <c r="J582" s="107"/>
      <c r="K582" s="107"/>
      <c r="L582" s="107"/>
      <c r="M582" s="104"/>
      <c r="N582" s="103"/>
      <c r="O582" s="103"/>
      <c r="P582" s="103"/>
      <c r="Q582" s="103"/>
      <c r="R582" s="103"/>
    </row>
    <row r="583">
      <c r="A583" s="103"/>
      <c r="B583" s="103"/>
      <c r="C583" s="106"/>
      <c r="D583" s="106"/>
      <c r="E583" s="107"/>
      <c r="F583" s="108"/>
      <c r="G583" s="107"/>
      <c r="H583" s="107"/>
      <c r="I583" s="107"/>
      <c r="J583" s="107"/>
      <c r="K583" s="107"/>
      <c r="L583" s="107"/>
      <c r="M583" s="104"/>
      <c r="N583" s="103"/>
      <c r="O583" s="103"/>
      <c r="P583" s="103"/>
      <c r="Q583" s="103"/>
      <c r="R583" s="103"/>
    </row>
    <row r="584">
      <c r="A584" s="103"/>
      <c r="B584" s="103"/>
      <c r="C584" s="106"/>
      <c r="D584" s="106"/>
      <c r="E584" s="107"/>
      <c r="F584" s="108"/>
      <c r="G584" s="107"/>
      <c r="H584" s="107"/>
      <c r="I584" s="107"/>
      <c r="J584" s="107"/>
      <c r="K584" s="107"/>
      <c r="L584" s="107"/>
      <c r="M584" s="104"/>
      <c r="N584" s="103"/>
      <c r="O584" s="103"/>
      <c r="P584" s="103"/>
      <c r="Q584" s="103"/>
      <c r="R584" s="103"/>
    </row>
    <row r="585">
      <c r="A585" s="103"/>
      <c r="B585" s="103"/>
      <c r="C585" s="106"/>
      <c r="D585" s="106"/>
      <c r="E585" s="107"/>
      <c r="F585" s="108"/>
      <c r="G585" s="107"/>
      <c r="H585" s="107"/>
      <c r="I585" s="107"/>
      <c r="J585" s="107"/>
      <c r="K585" s="107"/>
      <c r="L585" s="107"/>
      <c r="M585" s="104"/>
      <c r="N585" s="103"/>
      <c r="O585" s="103"/>
      <c r="P585" s="103"/>
      <c r="Q585" s="103"/>
      <c r="R585" s="103"/>
    </row>
    <row r="586">
      <c r="A586" s="103"/>
      <c r="B586" s="103"/>
      <c r="C586" s="106"/>
      <c r="D586" s="106"/>
      <c r="E586" s="107"/>
      <c r="F586" s="108"/>
      <c r="G586" s="107"/>
      <c r="H586" s="107"/>
      <c r="I586" s="107"/>
      <c r="J586" s="107"/>
      <c r="K586" s="107"/>
      <c r="L586" s="107"/>
      <c r="M586" s="104"/>
      <c r="N586" s="103"/>
      <c r="O586" s="103"/>
      <c r="P586" s="103"/>
      <c r="Q586" s="103"/>
      <c r="R586" s="103"/>
    </row>
    <row r="587">
      <c r="A587" s="103"/>
      <c r="B587" s="103"/>
      <c r="C587" s="106"/>
      <c r="D587" s="106"/>
      <c r="E587" s="107"/>
      <c r="F587" s="108"/>
      <c r="G587" s="107"/>
      <c r="H587" s="107"/>
      <c r="I587" s="107"/>
      <c r="J587" s="107"/>
      <c r="K587" s="107"/>
      <c r="L587" s="107"/>
      <c r="M587" s="104"/>
      <c r="N587" s="103"/>
      <c r="O587" s="103"/>
      <c r="P587" s="103"/>
      <c r="Q587" s="103"/>
      <c r="R587" s="103"/>
    </row>
    <row r="588">
      <c r="A588" s="103"/>
      <c r="B588" s="103"/>
      <c r="C588" s="106"/>
      <c r="D588" s="106"/>
      <c r="E588" s="107"/>
      <c r="F588" s="108"/>
      <c r="G588" s="107"/>
      <c r="H588" s="107"/>
      <c r="I588" s="107"/>
      <c r="J588" s="107"/>
      <c r="K588" s="107"/>
      <c r="L588" s="107"/>
      <c r="M588" s="104"/>
      <c r="N588" s="103"/>
      <c r="O588" s="103"/>
      <c r="P588" s="103"/>
      <c r="Q588" s="103"/>
      <c r="R588" s="103"/>
    </row>
    <row r="589">
      <c r="A589" s="103"/>
      <c r="B589" s="103"/>
      <c r="C589" s="106"/>
      <c r="D589" s="106"/>
      <c r="E589" s="107"/>
      <c r="F589" s="108"/>
      <c r="G589" s="107"/>
      <c r="H589" s="107"/>
      <c r="I589" s="107"/>
      <c r="J589" s="107"/>
      <c r="K589" s="107"/>
      <c r="L589" s="107"/>
      <c r="M589" s="104"/>
      <c r="N589" s="103"/>
      <c r="O589" s="103"/>
      <c r="P589" s="103"/>
      <c r="Q589" s="103"/>
      <c r="R589" s="103"/>
    </row>
    <row r="590">
      <c r="A590" s="103"/>
      <c r="B590" s="103"/>
      <c r="C590" s="106"/>
      <c r="D590" s="106"/>
      <c r="E590" s="107"/>
      <c r="F590" s="108"/>
      <c r="G590" s="107"/>
      <c r="H590" s="107"/>
      <c r="I590" s="107"/>
      <c r="J590" s="107"/>
      <c r="K590" s="107"/>
      <c r="L590" s="107"/>
      <c r="M590" s="104"/>
      <c r="N590" s="103"/>
      <c r="O590" s="103"/>
      <c r="P590" s="103"/>
      <c r="Q590" s="103"/>
      <c r="R590" s="103"/>
    </row>
    <row r="591">
      <c r="A591" s="103"/>
      <c r="B591" s="103"/>
      <c r="C591" s="106"/>
      <c r="D591" s="106"/>
      <c r="E591" s="107"/>
      <c r="F591" s="108"/>
      <c r="G591" s="107"/>
      <c r="H591" s="107"/>
      <c r="I591" s="107"/>
      <c r="J591" s="107"/>
      <c r="K591" s="107"/>
      <c r="L591" s="107"/>
      <c r="M591" s="104"/>
      <c r="N591" s="103"/>
      <c r="O591" s="103"/>
      <c r="P591" s="103"/>
      <c r="Q591" s="103"/>
      <c r="R591" s="103"/>
    </row>
    <row r="592">
      <c r="A592" s="103"/>
      <c r="B592" s="103"/>
      <c r="C592" s="106"/>
      <c r="D592" s="106"/>
      <c r="E592" s="107"/>
      <c r="F592" s="108"/>
      <c r="G592" s="107"/>
      <c r="H592" s="107"/>
      <c r="I592" s="107"/>
      <c r="J592" s="107"/>
      <c r="K592" s="107"/>
      <c r="L592" s="107"/>
      <c r="M592" s="104"/>
      <c r="N592" s="103"/>
      <c r="O592" s="103"/>
      <c r="P592" s="103"/>
      <c r="Q592" s="103"/>
      <c r="R592" s="103"/>
    </row>
    <row r="593">
      <c r="A593" s="103"/>
      <c r="B593" s="103"/>
      <c r="C593" s="106"/>
      <c r="D593" s="106"/>
      <c r="E593" s="107"/>
      <c r="F593" s="108"/>
      <c r="G593" s="107"/>
      <c r="H593" s="107"/>
      <c r="I593" s="107"/>
      <c r="J593" s="107"/>
      <c r="K593" s="107"/>
      <c r="L593" s="107"/>
      <c r="M593" s="104"/>
      <c r="N593" s="103"/>
      <c r="O593" s="103"/>
      <c r="P593" s="103"/>
      <c r="Q593" s="103"/>
      <c r="R593" s="103"/>
    </row>
    <row r="594">
      <c r="A594" s="103"/>
      <c r="B594" s="103"/>
      <c r="C594" s="106"/>
      <c r="D594" s="106"/>
      <c r="E594" s="107"/>
      <c r="F594" s="108"/>
      <c r="G594" s="107"/>
      <c r="H594" s="107"/>
      <c r="I594" s="107"/>
      <c r="J594" s="107"/>
      <c r="K594" s="107"/>
      <c r="L594" s="107"/>
      <c r="M594" s="104"/>
      <c r="N594" s="103"/>
      <c r="O594" s="103"/>
      <c r="P594" s="103"/>
      <c r="Q594" s="103"/>
      <c r="R594" s="103"/>
    </row>
    <row r="595">
      <c r="A595" s="103"/>
      <c r="B595" s="103"/>
      <c r="C595" s="106"/>
      <c r="D595" s="106"/>
      <c r="E595" s="107"/>
      <c r="F595" s="108"/>
      <c r="G595" s="107"/>
      <c r="H595" s="107"/>
      <c r="I595" s="107"/>
      <c r="J595" s="107"/>
      <c r="K595" s="107"/>
      <c r="L595" s="107"/>
      <c r="M595" s="104"/>
      <c r="N595" s="103"/>
      <c r="O595" s="103"/>
      <c r="P595" s="103"/>
      <c r="Q595" s="103"/>
      <c r="R595" s="103"/>
    </row>
    <row r="596">
      <c r="A596" s="103"/>
      <c r="B596" s="103"/>
      <c r="C596" s="106"/>
      <c r="D596" s="106"/>
      <c r="E596" s="107"/>
      <c r="F596" s="108"/>
      <c r="G596" s="107"/>
      <c r="H596" s="107"/>
      <c r="I596" s="107"/>
      <c r="J596" s="107"/>
      <c r="K596" s="107"/>
      <c r="L596" s="107"/>
      <c r="M596" s="104"/>
      <c r="N596" s="103"/>
      <c r="O596" s="103"/>
      <c r="P596" s="103"/>
      <c r="Q596" s="103"/>
      <c r="R596" s="103"/>
    </row>
    <row r="597">
      <c r="A597" s="103"/>
      <c r="B597" s="103"/>
      <c r="C597" s="106"/>
      <c r="D597" s="106"/>
      <c r="E597" s="107"/>
      <c r="F597" s="108"/>
      <c r="G597" s="107"/>
      <c r="H597" s="107"/>
      <c r="I597" s="107"/>
      <c r="J597" s="107"/>
      <c r="K597" s="107"/>
      <c r="L597" s="107"/>
      <c r="M597" s="104"/>
      <c r="N597" s="103"/>
      <c r="O597" s="103"/>
      <c r="P597" s="103"/>
      <c r="Q597" s="103"/>
      <c r="R597" s="103"/>
    </row>
    <row r="598">
      <c r="A598" s="103"/>
      <c r="B598" s="103"/>
      <c r="C598" s="106"/>
      <c r="D598" s="106"/>
      <c r="E598" s="107"/>
      <c r="F598" s="108"/>
      <c r="G598" s="107"/>
      <c r="H598" s="107"/>
      <c r="I598" s="107"/>
      <c r="J598" s="107"/>
      <c r="K598" s="107"/>
      <c r="L598" s="107"/>
      <c r="M598" s="104"/>
      <c r="N598" s="103"/>
      <c r="O598" s="103"/>
      <c r="P598" s="103"/>
      <c r="Q598" s="103"/>
      <c r="R598" s="103"/>
    </row>
    <row r="599">
      <c r="A599" s="103"/>
      <c r="B599" s="103"/>
      <c r="C599" s="106"/>
      <c r="D599" s="106"/>
      <c r="E599" s="107"/>
      <c r="F599" s="108"/>
      <c r="G599" s="107"/>
      <c r="H599" s="107"/>
      <c r="I599" s="107"/>
      <c r="J599" s="107"/>
      <c r="K599" s="107"/>
      <c r="L599" s="107"/>
      <c r="M599" s="104"/>
      <c r="N599" s="103"/>
      <c r="O599" s="103"/>
      <c r="P599" s="103"/>
      <c r="Q599" s="103"/>
      <c r="R599" s="103"/>
    </row>
    <row r="600">
      <c r="A600" s="103"/>
      <c r="B600" s="103"/>
      <c r="C600" s="106"/>
      <c r="D600" s="106"/>
      <c r="E600" s="107"/>
      <c r="F600" s="108"/>
      <c r="G600" s="107"/>
      <c r="H600" s="107"/>
      <c r="I600" s="107"/>
      <c r="J600" s="107"/>
      <c r="K600" s="107"/>
      <c r="L600" s="107"/>
      <c r="M600" s="104"/>
      <c r="N600" s="103"/>
      <c r="O600" s="103"/>
      <c r="P600" s="103"/>
      <c r="Q600" s="103"/>
      <c r="R600" s="103"/>
    </row>
    <row r="601">
      <c r="A601" s="103"/>
      <c r="B601" s="103"/>
      <c r="C601" s="106"/>
      <c r="D601" s="106"/>
      <c r="E601" s="107"/>
      <c r="F601" s="108"/>
      <c r="G601" s="107"/>
      <c r="H601" s="107"/>
      <c r="I601" s="107"/>
      <c r="J601" s="107"/>
      <c r="K601" s="107"/>
      <c r="L601" s="107"/>
      <c r="M601" s="104"/>
      <c r="N601" s="103"/>
      <c r="O601" s="103"/>
      <c r="P601" s="103"/>
      <c r="Q601" s="103"/>
      <c r="R601" s="103"/>
    </row>
    <row r="602">
      <c r="A602" s="103"/>
      <c r="B602" s="103"/>
      <c r="C602" s="106"/>
      <c r="D602" s="106"/>
      <c r="E602" s="107"/>
      <c r="F602" s="108"/>
      <c r="G602" s="107"/>
      <c r="H602" s="107"/>
      <c r="I602" s="107"/>
      <c r="J602" s="107"/>
      <c r="K602" s="107"/>
      <c r="L602" s="107"/>
      <c r="M602" s="104"/>
      <c r="N602" s="103"/>
      <c r="O602" s="103"/>
      <c r="P602" s="103"/>
      <c r="Q602" s="103"/>
      <c r="R602" s="103"/>
    </row>
    <row r="603">
      <c r="A603" s="103"/>
      <c r="B603" s="103"/>
      <c r="C603" s="106"/>
      <c r="D603" s="106"/>
      <c r="E603" s="107"/>
      <c r="F603" s="108"/>
      <c r="G603" s="107"/>
      <c r="H603" s="107"/>
      <c r="I603" s="107"/>
      <c r="J603" s="107"/>
      <c r="K603" s="107"/>
      <c r="L603" s="107"/>
      <c r="M603" s="104"/>
      <c r="N603" s="103"/>
      <c r="O603" s="103"/>
      <c r="P603" s="103"/>
      <c r="Q603" s="103"/>
      <c r="R603" s="103"/>
    </row>
    <row r="604">
      <c r="A604" s="103"/>
      <c r="B604" s="103"/>
      <c r="C604" s="106"/>
      <c r="D604" s="106"/>
      <c r="E604" s="107"/>
      <c r="F604" s="108"/>
      <c r="G604" s="107"/>
      <c r="H604" s="107"/>
      <c r="I604" s="107"/>
      <c r="J604" s="107"/>
      <c r="K604" s="107"/>
      <c r="L604" s="107"/>
      <c r="M604" s="104"/>
      <c r="N604" s="103"/>
      <c r="O604" s="103"/>
      <c r="P604" s="103"/>
      <c r="Q604" s="103"/>
      <c r="R604" s="103"/>
    </row>
    <row r="605">
      <c r="A605" s="103"/>
      <c r="B605" s="103"/>
      <c r="C605" s="106"/>
      <c r="D605" s="106"/>
      <c r="E605" s="107"/>
      <c r="F605" s="108"/>
      <c r="G605" s="107"/>
      <c r="H605" s="107"/>
      <c r="I605" s="107"/>
      <c r="J605" s="107"/>
      <c r="K605" s="107"/>
      <c r="L605" s="107"/>
      <c r="M605" s="104"/>
      <c r="N605" s="103"/>
      <c r="O605" s="103"/>
      <c r="P605" s="103"/>
      <c r="Q605" s="103"/>
      <c r="R605" s="103"/>
    </row>
    <row r="606">
      <c r="A606" s="103"/>
      <c r="B606" s="103"/>
      <c r="C606" s="106"/>
      <c r="D606" s="106"/>
      <c r="E606" s="107"/>
      <c r="F606" s="108"/>
      <c r="G606" s="107"/>
      <c r="H606" s="107"/>
      <c r="I606" s="107"/>
      <c r="J606" s="107"/>
      <c r="K606" s="107"/>
      <c r="L606" s="107"/>
      <c r="M606" s="104"/>
      <c r="N606" s="103"/>
      <c r="O606" s="103"/>
      <c r="P606" s="103"/>
      <c r="Q606" s="103"/>
      <c r="R606" s="103"/>
    </row>
    <row r="607">
      <c r="M607" s="104"/>
      <c r="N607" s="103"/>
      <c r="O607" s="103"/>
      <c r="P607" s="103"/>
      <c r="Q607" s="103"/>
      <c r="R607" s="103"/>
    </row>
  </sheetData>
  <printOptions gridLines="1" horizontalCentered="1"/>
  <pageMargins bottom="1.0" footer="0.0" header="0.0" left="1.0" right="1.0" top="1.0"/>
  <pageSetup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 customWidth="1" min="3" max="3" width="14.25"/>
  </cols>
  <sheetData>
    <row r="1">
      <c r="A1" s="87" t="s">
        <v>520</v>
      </c>
      <c r="B1" s="82" t="s">
        <v>521</v>
      </c>
      <c r="C1" s="82" t="s">
        <v>522</v>
      </c>
      <c r="D1" s="87" t="s">
        <v>523</v>
      </c>
      <c r="E1" s="87" t="s">
        <v>524</v>
      </c>
      <c r="F1" s="87" t="s">
        <v>525</v>
      </c>
      <c r="G1" s="87" t="s">
        <v>526</v>
      </c>
      <c r="H1" s="83" t="s">
        <v>527</v>
      </c>
      <c r="I1" s="83" t="s">
        <v>528</v>
      </c>
      <c r="J1" s="82" t="s">
        <v>529</v>
      </c>
      <c r="K1" s="87" t="s">
        <v>530</v>
      </c>
      <c r="L1" s="87" t="s">
        <v>608</v>
      </c>
      <c r="M1" s="80" t="s">
        <v>532</v>
      </c>
      <c r="N1" s="80"/>
      <c r="O1" s="80"/>
      <c r="P1" s="80"/>
      <c r="Q1" s="80"/>
      <c r="R1" s="80"/>
      <c r="S1" s="80"/>
      <c r="T1" s="80"/>
      <c r="U1" s="80"/>
      <c r="V1" s="80"/>
      <c r="W1" s="80"/>
      <c r="X1" s="80"/>
      <c r="Y1" s="80"/>
      <c r="Z1" s="80"/>
    </row>
    <row r="2">
      <c r="A2" s="87">
        <v>451.0</v>
      </c>
      <c r="B2" s="82" t="s">
        <v>533</v>
      </c>
      <c r="C2" s="82" t="s">
        <v>534</v>
      </c>
      <c r="D2" s="110">
        <v>10000.0</v>
      </c>
      <c r="E2" s="110">
        <v>90.0</v>
      </c>
      <c r="F2" s="110">
        <v>23.0</v>
      </c>
      <c r="G2" s="110">
        <v>8810.3</v>
      </c>
      <c r="H2" s="85">
        <v>46189.0</v>
      </c>
      <c r="I2" s="85">
        <v>46212.0</v>
      </c>
      <c r="J2" s="82" t="s">
        <v>535</v>
      </c>
      <c r="K2" s="86">
        <v>1161824.0</v>
      </c>
      <c r="L2" s="110">
        <v>2226205.52</v>
      </c>
      <c r="M2" s="80" t="s">
        <v>536</v>
      </c>
      <c r="N2" s="80"/>
      <c r="O2" s="80"/>
      <c r="P2" s="80"/>
      <c r="Q2" s="80"/>
      <c r="R2" s="80"/>
      <c r="S2" s="80"/>
      <c r="T2" s="80"/>
      <c r="U2" s="80"/>
      <c r="V2" s="80"/>
      <c r="W2" s="80"/>
      <c r="X2" s="80"/>
      <c r="Y2" s="80"/>
      <c r="Z2" s="80"/>
    </row>
    <row r="3">
      <c r="A3" s="87">
        <v>461.0</v>
      </c>
      <c r="B3" s="82" t="s">
        <v>533</v>
      </c>
      <c r="C3" s="82" t="s">
        <v>536</v>
      </c>
      <c r="D3" s="110">
        <v>10000.0</v>
      </c>
      <c r="E3" s="110">
        <v>90.0</v>
      </c>
      <c r="F3" s="110">
        <v>86.0</v>
      </c>
      <c r="G3" s="110">
        <v>8013.7</v>
      </c>
      <c r="H3" s="85">
        <v>46126.0</v>
      </c>
      <c r="I3" s="85">
        <v>46212.0</v>
      </c>
      <c r="J3" s="82" t="s">
        <v>535</v>
      </c>
      <c r="K3" s="86">
        <v>1156100.0</v>
      </c>
      <c r="L3" s="110">
        <v>1276855.62</v>
      </c>
      <c r="M3" s="80" t="s">
        <v>537</v>
      </c>
      <c r="N3" s="80"/>
      <c r="O3" s="80"/>
      <c r="P3" s="80"/>
      <c r="Q3" s="80"/>
      <c r="R3" s="80"/>
      <c r="S3" s="80"/>
      <c r="T3" s="80"/>
      <c r="U3" s="80"/>
      <c r="V3" s="80"/>
      <c r="W3" s="80"/>
      <c r="X3" s="80"/>
      <c r="Y3" s="80"/>
      <c r="Z3" s="80"/>
    </row>
    <row r="4">
      <c r="A4" s="87">
        <v>463.0</v>
      </c>
      <c r="B4" s="82" t="s">
        <v>533</v>
      </c>
      <c r="C4" s="82" t="s">
        <v>534</v>
      </c>
      <c r="D4" s="110">
        <v>10000.0</v>
      </c>
      <c r="E4" s="110">
        <v>60.0</v>
      </c>
      <c r="F4" s="110">
        <v>56.0</v>
      </c>
      <c r="G4" s="110">
        <v>15920.8</v>
      </c>
      <c r="H4" s="85">
        <v>46156.0</v>
      </c>
      <c r="I4" s="85">
        <v>46212.0</v>
      </c>
      <c r="J4" s="82" t="s">
        <v>540</v>
      </c>
      <c r="K4" s="86">
        <v>1159885.0</v>
      </c>
      <c r="L4" s="110">
        <v>1845598.04</v>
      </c>
      <c r="M4" s="80" t="s">
        <v>536</v>
      </c>
      <c r="N4" s="80"/>
      <c r="O4" s="80"/>
      <c r="P4" s="80"/>
      <c r="Q4" s="80"/>
      <c r="R4" s="80"/>
      <c r="S4" s="80"/>
      <c r="T4" s="80"/>
      <c r="U4" s="80"/>
      <c r="V4" s="80"/>
      <c r="W4" s="80"/>
      <c r="X4" s="80"/>
      <c r="Y4" s="80"/>
      <c r="Z4" s="80"/>
    </row>
    <row r="5">
      <c r="A5" s="87">
        <v>464.0</v>
      </c>
      <c r="B5" s="87" t="s">
        <v>533</v>
      </c>
      <c r="C5" s="82" t="s">
        <v>536</v>
      </c>
      <c r="D5" s="110">
        <v>10000.0</v>
      </c>
      <c r="E5" s="110">
        <v>90.0</v>
      </c>
      <c r="F5" s="110">
        <v>142.0</v>
      </c>
      <c r="G5" s="110">
        <v>8507.3</v>
      </c>
      <c r="H5" s="85">
        <v>46070.0</v>
      </c>
      <c r="I5" s="85">
        <v>46212.0</v>
      </c>
      <c r="J5" s="82" t="s">
        <v>540</v>
      </c>
      <c r="K5" s="86">
        <v>1150098.0</v>
      </c>
      <c r="L5" s="110">
        <v>1492920.85</v>
      </c>
      <c r="M5" s="80" t="s">
        <v>538</v>
      </c>
      <c r="N5" s="80"/>
      <c r="O5" s="80"/>
      <c r="P5" s="80"/>
      <c r="Q5" s="80"/>
      <c r="R5" s="80"/>
      <c r="S5" s="80"/>
      <c r="T5" s="80"/>
      <c r="U5" s="80"/>
      <c r="V5" s="80"/>
      <c r="W5" s="80"/>
      <c r="X5" s="80"/>
      <c r="Y5" s="80"/>
      <c r="Z5" s="80"/>
    </row>
    <row r="6">
      <c r="A6" s="87">
        <v>467.0</v>
      </c>
      <c r="B6" s="81" t="s">
        <v>533</v>
      </c>
      <c r="C6" s="82" t="s">
        <v>534</v>
      </c>
      <c r="D6" s="110">
        <v>10000.0</v>
      </c>
      <c r="E6" s="110">
        <v>60.0</v>
      </c>
      <c r="F6" s="110">
        <v>87.0</v>
      </c>
      <c r="G6" s="110">
        <v>32986.2</v>
      </c>
      <c r="H6" s="85">
        <v>46125.0</v>
      </c>
      <c r="I6" s="85">
        <v>46212.0</v>
      </c>
      <c r="J6" s="82" t="s">
        <v>540</v>
      </c>
      <c r="K6" s="86">
        <v>1155919.0</v>
      </c>
      <c r="L6" s="110">
        <v>1625697.11</v>
      </c>
      <c r="M6" s="80" t="s">
        <v>539</v>
      </c>
      <c r="N6" s="80"/>
      <c r="O6" s="80"/>
      <c r="P6" s="80"/>
      <c r="Q6" s="80"/>
      <c r="R6" s="80"/>
      <c r="S6" s="80"/>
      <c r="T6" s="80"/>
      <c r="U6" s="80"/>
      <c r="V6" s="80"/>
      <c r="W6" s="80"/>
      <c r="X6" s="80"/>
      <c r="Y6" s="80"/>
      <c r="Z6" s="80"/>
    </row>
    <row r="7">
      <c r="A7" s="87">
        <v>471.0</v>
      </c>
      <c r="B7" s="87" t="s">
        <v>533</v>
      </c>
      <c r="C7" s="81" t="s">
        <v>534</v>
      </c>
      <c r="D7" s="110">
        <v>10000.0</v>
      </c>
      <c r="E7" s="110">
        <v>60.0</v>
      </c>
      <c r="F7" s="110">
        <v>21.0</v>
      </c>
      <c r="G7" s="110">
        <v>7086.0</v>
      </c>
      <c r="H7" s="85">
        <v>46191.0</v>
      </c>
      <c r="I7" s="85">
        <v>46212.0</v>
      </c>
      <c r="J7" s="82" t="s">
        <v>535</v>
      </c>
      <c r="K7" s="86">
        <v>1161863.0</v>
      </c>
      <c r="L7" s="110">
        <v>1698539.26</v>
      </c>
      <c r="M7" s="80" t="s">
        <v>541</v>
      </c>
      <c r="N7" s="80"/>
      <c r="O7" s="80"/>
      <c r="P7" s="80"/>
      <c r="Q7" s="80"/>
      <c r="R7" s="80"/>
      <c r="S7" s="80"/>
      <c r="T7" s="80"/>
      <c r="U7" s="80"/>
      <c r="V7" s="80"/>
      <c r="W7" s="80"/>
      <c r="X7" s="80"/>
      <c r="Y7" s="80"/>
      <c r="Z7" s="80"/>
    </row>
    <row r="8">
      <c r="A8" s="87">
        <v>472.0</v>
      </c>
      <c r="B8" s="82" t="s">
        <v>533</v>
      </c>
      <c r="C8" s="83" t="s">
        <v>536</v>
      </c>
      <c r="D8" s="110">
        <v>10000.0</v>
      </c>
      <c r="E8" s="110">
        <v>90.0</v>
      </c>
      <c r="F8" s="110">
        <v>55.0</v>
      </c>
      <c r="G8" s="110">
        <v>5692.9</v>
      </c>
      <c r="H8" s="85">
        <v>46157.0</v>
      </c>
      <c r="I8" s="85">
        <v>46212.0</v>
      </c>
      <c r="J8" s="82" t="s">
        <v>535</v>
      </c>
      <c r="K8" s="86">
        <v>1159975.0</v>
      </c>
      <c r="L8" s="110">
        <v>1591924.5</v>
      </c>
      <c r="M8" s="80" t="s">
        <v>538</v>
      </c>
      <c r="N8" s="80"/>
      <c r="O8" s="80"/>
      <c r="P8" s="80"/>
      <c r="Q8" s="80"/>
      <c r="R8" s="80"/>
      <c r="S8" s="80"/>
      <c r="T8" s="80"/>
      <c r="U8" s="80"/>
      <c r="V8" s="80"/>
      <c r="W8" s="80"/>
      <c r="X8" s="80"/>
      <c r="Y8" s="80"/>
      <c r="Z8" s="80"/>
    </row>
    <row r="9">
      <c r="A9" s="87">
        <v>473.0</v>
      </c>
      <c r="B9" s="82" t="s">
        <v>533</v>
      </c>
      <c r="C9" s="82" t="s">
        <v>534</v>
      </c>
      <c r="D9" s="110">
        <v>10000.0</v>
      </c>
      <c r="E9" s="110">
        <v>60.0</v>
      </c>
      <c r="F9" s="110">
        <v>147.0</v>
      </c>
      <c r="G9" s="110">
        <v>18755.9</v>
      </c>
      <c r="H9" s="85">
        <v>46065.0</v>
      </c>
      <c r="I9" s="85">
        <v>46212.0</v>
      </c>
      <c r="J9" s="82" t="s">
        <v>540</v>
      </c>
      <c r="K9" s="86">
        <v>1149531.0</v>
      </c>
      <c r="L9" s="110">
        <v>1684009.56</v>
      </c>
      <c r="M9" s="80" t="s">
        <v>536</v>
      </c>
      <c r="N9" s="80"/>
      <c r="O9" s="80"/>
      <c r="P9" s="80"/>
      <c r="Q9" s="80"/>
      <c r="R9" s="80"/>
      <c r="S9" s="80"/>
      <c r="T9" s="80"/>
      <c r="U9" s="80"/>
      <c r="V9" s="80"/>
      <c r="W9" s="80"/>
      <c r="X9" s="80"/>
      <c r="Y9" s="80"/>
      <c r="Z9" s="80"/>
    </row>
    <row r="10">
      <c r="A10" s="87">
        <v>475.0</v>
      </c>
      <c r="B10" s="87" t="s">
        <v>533</v>
      </c>
      <c r="C10" s="82" t="s">
        <v>534</v>
      </c>
      <c r="D10" s="110">
        <v>10000.0</v>
      </c>
      <c r="E10" s="110">
        <v>60.0</v>
      </c>
      <c r="F10" s="110">
        <v>84.0</v>
      </c>
      <c r="G10" s="110">
        <v>19149.4</v>
      </c>
      <c r="H10" s="85">
        <v>46128.0</v>
      </c>
      <c r="I10" s="85">
        <v>46212.0</v>
      </c>
      <c r="J10" s="81" t="s">
        <v>540</v>
      </c>
      <c r="K10" s="86">
        <v>1156406.0</v>
      </c>
      <c r="L10" s="110">
        <v>1622905.17</v>
      </c>
      <c r="M10" s="80" t="s">
        <v>542</v>
      </c>
      <c r="N10" s="80"/>
      <c r="O10" s="80"/>
      <c r="P10" s="80"/>
      <c r="Q10" s="80"/>
      <c r="R10" s="80"/>
      <c r="S10" s="80"/>
      <c r="T10" s="80"/>
      <c r="U10" s="80"/>
      <c r="V10" s="80"/>
      <c r="W10" s="80"/>
      <c r="X10" s="80"/>
      <c r="Y10" s="80"/>
      <c r="Z10" s="80"/>
    </row>
    <row r="11">
      <c r="A11" s="87">
        <v>477.0</v>
      </c>
      <c r="B11" s="82" t="s">
        <v>533</v>
      </c>
      <c r="C11" s="87" t="s">
        <v>534</v>
      </c>
      <c r="D11" s="110">
        <v>10000.0</v>
      </c>
      <c r="E11" s="110">
        <v>60.0</v>
      </c>
      <c r="F11" s="110">
        <v>16.0</v>
      </c>
      <c r="G11" s="110">
        <v>4156.7</v>
      </c>
      <c r="H11" s="85">
        <v>46196.0</v>
      </c>
      <c r="I11" s="85">
        <v>46212.0</v>
      </c>
      <c r="J11" s="82" t="s">
        <v>535</v>
      </c>
      <c r="K11" s="86">
        <v>1161933.0</v>
      </c>
      <c r="L11" s="110">
        <v>1592403.15</v>
      </c>
      <c r="M11" s="80" t="s">
        <v>539</v>
      </c>
      <c r="N11" s="80"/>
      <c r="O11" s="80"/>
      <c r="P11" s="80"/>
      <c r="Q11" s="80"/>
      <c r="R11" s="80"/>
      <c r="S11" s="80"/>
      <c r="T11" s="80"/>
      <c r="U11" s="80"/>
      <c r="V11" s="80"/>
      <c r="W11" s="80"/>
      <c r="X11" s="80"/>
      <c r="Y11" s="80"/>
      <c r="Z11" s="80"/>
    </row>
    <row r="12">
      <c r="A12" s="87">
        <v>478.0</v>
      </c>
      <c r="B12" s="82" t="s">
        <v>533</v>
      </c>
      <c r="C12" s="82" t="s">
        <v>534</v>
      </c>
      <c r="D12" s="110">
        <v>10000.0</v>
      </c>
      <c r="E12" s="110">
        <v>60.0</v>
      </c>
      <c r="F12" s="110">
        <v>30.0</v>
      </c>
      <c r="G12" s="110">
        <v>10476.6</v>
      </c>
      <c r="H12" s="85">
        <v>46182.0</v>
      </c>
      <c r="I12" s="85">
        <v>46212.0</v>
      </c>
      <c r="J12" s="82" t="s">
        <v>540</v>
      </c>
      <c r="K12" s="86">
        <v>1161695.0</v>
      </c>
      <c r="L12" s="110">
        <v>1460648.65</v>
      </c>
      <c r="M12" s="80" t="s">
        <v>539</v>
      </c>
      <c r="N12" s="80"/>
      <c r="O12" s="80"/>
      <c r="P12" s="80"/>
      <c r="Q12" s="80"/>
      <c r="R12" s="80"/>
      <c r="S12" s="80"/>
      <c r="T12" s="80"/>
      <c r="U12" s="80"/>
      <c r="V12" s="80"/>
      <c r="W12" s="80"/>
      <c r="X12" s="80"/>
      <c r="Y12" s="80"/>
      <c r="Z12" s="80"/>
    </row>
    <row r="13">
      <c r="A13" s="87">
        <v>481.0</v>
      </c>
      <c r="B13" s="82" t="s">
        <v>533</v>
      </c>
      <c r="C13" s="82" t="s">
        <v>536</v>
      </c>
      <c r="D13" s="110">
        <v>10000.0</v>
      </c>
      <c r="E13" s="110">
        <v>90.0</v>
      </c>
      <c r="F13" s="110">
        <v>56.0</v>
      </c>
      <c r="G13" s="110">
        <v>5912.6</v>
      </c>
      <c r="H13" s="85">
        <v>46156.0</v>
      </c>
      <c r="I13" s="85">
        <v>46212.0</v>
      </c>
      <c r="J13" s="82" t="s">
        <v>535</v>
      </c>
      <c r="K13" s="86">
        <v>1159896.0</v>
      </c>
      <c r="L13" s="110">
        <v>1139335.71</v>
      </c>
      <c r="M13" s="80" t="s">
        <v>536</v>
      </c>
      <c r="N13" s="80"/>
      <c r="O13" s="80"/>
      <c r="P13" s="80"/>
      <c r="Q13" s="80"/>
      <c r="R13" s="80"/>
      <c r="S13" s="80"/>
      <c r="T13" s="80"/>
      <c r="U13" s="80"/>
      <c r="V13" s="80"/>
      <c r="W13" s="80"/>
      <c r="X13" s="80"/>
      <c r="Y13" s="80"/>
      <c r="Z13" s="80"/>
    </row>
    <row r="14">
      <c r="A14" s="87">
        <v>487.0</v>
      </c>
      <c r="B14" s="82" t="s">
        <v>533</v>
      </c>
      <c r="C14" s="82" t="s">
        <v>536</v>
      </c>
      <c r="D14" s="110">
        <v>10000.0</v>
      </c>
      <c r="E14" s="110">
        <v>90.0</v>
      </c>
      <c r="F14" s="110">
        <v>133.0</v>
      </c>
      <c r="G14" s="110">
        <v>16561.8</v>
      </c>
      <c r="H14" s="85">
        <v>46079.0</v>
      </c>
      <c r="I14" s="85">
        <v>46212.0</v>
      </c>
      <c r="J14" s="82" t="s">
        <v>540</v>
      </c>
      <c r="K14" s="86">
        <v>1151297.0</v>
      </c>
      <c r="L14" s="110">
        <v>1525338.32</v>
      </c>
      <c r="M14" s="80" t="s">
        <v>543</v>
      </c>
      <c r="N14" s="80"/>
      <c r="O14" s="80"/>
      <c r="P14" s="80"/>
      <c r="Q14" s="80"/>
      <c r="R14" s="80"/>
      <c r="S14" s="80"/>
      <c r="T14" s="80"/>
      <c r="U14" s="80"/>
      <c r="V14" s="80"/>
      <c r="W14" s="80"/>
      <c r="X14" s="80"/>
      <c r="Y14" s="80"/>
      <c r="Z14" s="80"/>
    </row>
    <row r="15">
      <c r="A15" s="87">
        <v>493.0</v>
      </c>
      <c r="B15" s="82" t="s">
        <v>533</v>
      </c>
      <c r="C15" s="82" t="s">
        <v>534</v>
      </c>
      <c r="D15" s="110">
        <v>10000.0</v>
      </c>
      <c r="E15" s="110">
        <v>60.0</v>
      </c>
      <c r="F15" s="110">
        <v>29.0</v>
      </c>
      <c r="G15" s="110">
        <v>9746.4</v>
      </c>
      <c r="H15" s="85">
        <v>46183.0</v>
      </c>
      <c r="I15" s="85">
        <v>46212.0</v>
      </c>
      <c r="J15" s="82" t="s">
        <v>535</v>
      </c>
      <c r="K15" s="86">
        <v>1161709.0</v>
      </c>
      <c r="L15" s="110">
        <v>1430072.29</v>
      </c>
      <c r="M15" s="80" t="s">
        <v>536</v>
      </c>
      <c r="N15" s="80"/>
      <c r="O15" s="80"/>
      <c r="P15" s="80"/>
      <c r="Q15" s="80"/>
      <c r="R15" s="80"/>
      <c r="S15" s="80"/>
      <c r="T15" s="80"/>
      <c r="U15" s="80"/>
      <c r="V15" s="80"/>
      <c r="W15" s="80"/>
      <c r="X15" s="80"/>
      <c r="Y15" s="80"/>
      <c r="Z15" s="80"/>
    </row>
    <row r="16">
      <c r="A16" s="87">
        <v>494.0</v>
      </c>
      <c r="B16" s="82" t="s">
        <v>533</v>
      </c>
      <c r="C16" s="82" t="s">
        <v>534</v>
      </c>
      <c r="D16" s="110">
        <v>10000.0</v>
      </c>
      <c r="E16" s="110">
        <v>60.0</v>
      </c>
      <c r="F16" s="110">
        <v>48.0</v>
      </c>
      <c r="G16" s="110">
        <v>12463.0</v>
      </c>
      <c r="H16" s="85">
        <v>46164.0</v>
      </c>
      <c r="I16" s="85">
        <v>46212.0</v>
      </c>
      <c r="J16" s="82" t="s">
        <v>540</v>
      </c>
      <c r="K16" s="86">
        <v>1161079.0</v>
      </c>
      <c r="L16" s="110">
        <v>1674136.83</v>
      </c>
      <c r="M16" s="80" t="s">
        <v>539</v>
      </c>
      <c r="N16" s="80"/>
      <c r="O16" s="80"/>
      <c r="P16" s="80"/>
      <c r="Q16" s="80"/>
      <c r="R16" s="80"/>
      <c r="S16" s="80"/>
      <c r="T16" s="80"/>
      <c r="U16" s="80"/>
      <c r="V16" s="80"/>
      <c r="W16" s="80"/>
      <c r="X16" s="80"/>
      <c r="Y16" s="80"/>
      <c r="Z16" s="80"/>
    </row>
    <row r="17">
      <c r="A17" s="87">
        <v>495.0</v>
      </c>
      <c r="B17" s="82" t="s">
        <v>533</v>
      </c>
      <c r="C17" s="82" t="s">
        <v>536</v>
      </c>
      <c r="D17" s="110">
        <v>10000.0</v>
      </c>
      <c r="E17" s="110">
        <v>90.0</v>
      </c>
      <c r="F17" s="110">
        <v>142.0</v>
      </c>
      <c r="G17" s="110">
        <v>13102.4</v>
      </c>
      <c r="H17" s="85">
        <v>46070.0</v>
      </c>
      <c r="I17" s="85">
        <v>46212.0</v>
      </c>
      <c r="J17" s="82" t="s">
        <v>540</v>
      </c>
      <c r="K17" s="86">
        <v>1150101.0</v>
      </c>
      <c r="L17" s="110">
        <v>1214782.41</v>
      </c>
      <c r="M17" s="80" t="s">
        <v>536</v>
      </c>
      <c r="N17" s="80"/>
      <c r="O17" s="80"/>
      <c r="P17" s="80"/>
      <c r="Q17" s="80"/>
      <c r="R17" s="80"/>
      <c r="S17" s="80"/>
      <c r="T17" s="80"/>
      <c r="U17" s="80"/>
      <c r="V17" s="80"/>
      <c r="W17" s="80"/>
      <c r="X17" s="80"/>
      <c r="Y17" s="80"/>
      <c r="Z17" s="80"/>
    </row>
    <row r="18">
      <c r="A18" s="87">
        <v>496.0</v>
      </c>
      <c r="B18" s="82" t="s">
        <v>533</v>
      </c>
      <c r="C18" s="82" t="s">
        <v>536</v>
      </c>
      <c r="D18" s="110">
        <v>10000.0</v>
      </c>
      <c r="E18" s="110">
        <v>90.0</v>
      </c>
      <c r="F18" s="110">
        <v>142.0</v>
      </c>
      <c r="G18" s="110">
        <v>11059.2</v>
      </c>
      <c r="H18" s="85">
        <v>46070.0</v>
      </c>
      <c r="I18" s="85">
        <v>46212.0</v>
      </c>
      <c r="J18" s="82" t="s">
        <v>540</v>
      </c>
      <c r="K18" s="86">
        <v>1150097.0</v>
      </c>
      <c r="L18" s="110">
        <v>1303231.01</v>
      </c>
      <c r="M18" s="80" t="s">
        <v>538</v>
      </c>
      <c r="N18" s="80"/>
      <c r="O18" s="80"/>
      <c r="P18" s="80"/>
      <c r="Q18" s="80"/>
      <c r="R18" s="80"/>
      <c r="S18" s="80"/>
      <c r="T18" s="80"/>
      <c r="U18" s="80"/>
      <c r="V18" s="80"/>
      <c r="W18" s="80"/>
      <c r="X18" s="80"/>
      <c r="Y18" s="80"/>
      <c r="Z18" s="80"/>
    </row>
    <row r="19">
      <c r="A19" s="87">
        <v>499.0</v>
      </c>
      <c r="B19" s="82" t="s">
        <v>533</v>
      </c>
      <c r="C19" s="82" t="s">
        <v>534</v>
      </c>
      <c r="D19" s="110">
        <v>10000.0</v>
      </c>
      <c r="E19" s="110">
        <v>60.0</v>
      </c>
      <c r="F19" s="110">
        <v>17.0</v>
      </c>
      <c r="G19" s="110">
        <v>5958.0</v>
      </c>
      <c r="H19" s="85">
        <v>46195.0</v>
      </c>
      <c r="I19" s="85">
        <v>46212.0</v>
      </c>
      <c r="J19" s="82" t="s">
        <v>535</v>
      </c>
      <c r="K19" s="86">
        <v>1161920.0</v>
      </c>
      <c r="L19" s="110">
        <v>1598421.85</v>
      </c>
      <c r="M19" s="80" t="s">
        <v>539</v>
      </c>
      <c r="N19" s="80"/>
      <c r="O19" s="80"/>
      <c r="P19" s="80"/>
      <c r="Q19" s="80"/>
      <c r="R19" s="80"/>
      <c r="S19" s="80"/>
      <c r="T19" s="80"/>
      <c r="U19" s="80"/>
      <c r="V19" s="80"/>
      <c r="W19" s="80"/>
      <c r="X19" s="80"/>
      <c r="Y19" s="80"/>
      <c r="Z19" s="80"/>
    </row>
    <row r="20">
      <c r="A20" s="87">
        <v>637.0</v>
      </c>
      <c r="B20" s="82" t="s">
        <v>544</v>
      </c>
      <c r="C20" s="82" t="s">
        <v>534</v>
      </c>
      <c r="D20" s="110">
        <v>10000.0</v>
      </c>
      <c r="E20" s="110">
        <v>60.0</v>
      </c>
      <c r="F20" s="110">
        <v>7.0</v>
      </c>
      <c r="G20" s="110">
        <v>2150.1</v>
      </c>
      <c r="H20" s="85">
        <v>46205.0</v>
      </c>
      <c r="I20" s="85">
        <v>46212.0</v>
      </c>
      <c r="J20" s="82" t="s">
        <v>535</v>
      </c>
      <c r="K20" s="86">
        <v>1162075.0</v>
      </c>
      <c r="L20" s="110">
        <v>1560945.52</v>
      </c>
      <c r="M20" s="80" t="s">
        <v>545</v>
      </c>
      <c r="N20" s="80"/>
      <c r="O20" s="80"/>
      <c r="P20" s="80"/>
      <c r="Q20" s="80"/>
      <c r="R20" s="80"/>
      <c r="S20" s="80"/>
      <c r="T20" s="80"/>
      <c r="U20" s="80"/>
      <c r="V20" s="80"/>
      <c r="W20" s="80"/>
      <c r="X20" s="80"/>
      <c r="Y20" s="80"/>
      <c r="Z20" s="80"/>
    </row>
    <row r="21">
      <c r="A21" s="87">
        <v>644.0</v>
      </c>
      <c r="B21" s="82" t="s">
        <v>533</v>
      </c>
      <c r="C21" s="82" t="s">
        <v>534</v>
      </c>
      <c r="D21" s="110">
        <v>10000.0</v>
      </c>
      <c r="E21" s="110">
        <v>60.0</v>
      </c>
      <c r="F21" s="110">
        <v>99.0</v>
      </c>
      <c r="G21" s="110">
        <v>21101.2</v>
      </c>
      <c r="H21" s="85">
        <v>46113.0</v>
      </c>
      <c r="I21" s="85">
        <v>46212.0</v>
      </c>
      <c r="J21" s="82" t="s">
        <v>540</v>
      </c>
      <c r="K21" s="86">
        <v>1154951.0</v>
      </c>
      <c r="L21" s="110">
        <v>1590856.64</v>
      </c>
      <c r="M21" s="80" t="s">
        <v>537</v>
      </c>
      <c r="N21" s="80"/>
      <c r="O21" s="80"/>
      <c r="P21" s="80"/>
      <c r="Q21" s="80"/>
      <c r="R21" s="80"/>
      <c r="S21" s="80"/>
      <c r="T21" s="80"/>
      <c r="U21" s="80"/>
      <c r="V21" s="80"/>
      <c r="W21" s="80"/>
      <c r="X21" s="80"/>
      <c r="Y21" s="80"/>
      <c r="Z21" s="80"/>
    </row>
    <row r="22">
      <c r="A22" s="87">
        <v>645.0</v>
      </c>
      <c r="B22" s="82" t="s">
        <v>533</v>
      </c>
      <c r="C22" s="82" t="s">
        <v>534</v>
      </c>
      <c r="D22" s="110">
        <v>10000.0</v>
      </c>
      <c r="E22" s="110">
        <v>60.0</v>
      </c>
      <c r="F22" s="110">
        <v>54.0</v>
      </c>
      <c r="G22" s="110">
        <v>20455.7</v>
      </c>
      <c r="H22" s="85">
        <v>46158.0</v>
      </c>
      <c r="I22" s="85">
        <v>46212.0</v>
      </c>
      <c r="J22" s="82" t="s">
        <v>540</v>
      </c>
      <c r="K22" s="86">
        <v>1160102.0</v>
      </c>
      <c r="L22" s="110">
        <v>1649357.34</v>
      </c>
      <c r="M22" s="80" t="s">
        <v>543</v>
      </c>
      <c r="N22" s="80"/>
      <c r="O22" s="80"/>
      <c r="P22" s="80"/>
      <c r="Q22" s="80"/>
      <c r="R22" s="80"/>
      <c r="S22" s="80"/>
      <c r="T22" s="80"/>
      <c r="U22" s="80"/>
      <c r="V22" s="80"/>
      <c r="W22" s="80"/>
      <c r="X22" s="80"/>
      <c r="Y22" s="80"/>
      <c r="Z22" s="80"/>
    </row>
    <row r="23">
      <c r="A23" s="87">
        <v>646.0</v>
      </c>
      <c r="B23" s="82" t="s">
        <v>533</v>
      </c>
      <c r="C23" s="82" t="s">
        <v>534</v>
      </c>
      <c r="D23" s="110">
        <v>10000.0</v>
      </c>
      <c r="E23" s="110">
        <v>60.0</v>
      </c>
      <c r="F23" s="110">
        <v>100.0</v>
      </c>
      <c r="G23" s="110">
        <v>30979.2</v>
      </c>
      <c r="H23" s="85">
        <v>46112.0</v>
      </c>
      <c r="I23" s="85">
        <v>46212.0</v>
      </c>
      <c r="J23" s="82" t="s">
        <v>540</v>
      </c>
      <c r="K23" s="86">
        <v>1154823.0</v>
      </c>
      <c r="L23" s="110">
        <v>1475230.41</v>
      </c>
      <c r="M23" s="80" t="s">
        <v>541</v>
      </c>
      <c r="N23" s="80"/>
      <c r="O23" s="80"/>
      <c r="P23" s="80"/>
      <c r="Q23" s="80"/>
      <c r="R23" s="80"/>
      <c r="S23" s="80"/>
      <c r="T23" s="80"/>
      <c r="U23" s="80"/>
      <c r="V23" s="80"/>
      <c r="W23" s="80"/>
      <c r="X23" s="80"/>
      <c r="Y23" s="80"/>
      <c r="Z23" s="80"/>
    </row>
    <row r="24">
      <c r="A24" s="87">
        <v>647.0</v>
      </c>
      <c r="B24" s="82" t="s">
        <v>533</v>
      </c>
      <c r="C24" s="82" t="s">
        <v>534</v>
      </c>
      <c r="D24" s="110">
        <v>10000.0</v>
      </c>
      <c r="E24" s="110">
        <v>60.0</v>
      </c>
      <c r="F24" s="110">
        <v>34.0</v>
      </c>
      <c r="G24" s="110">
        <v>10770.2</v>
      </c>
      <c r="H24" s="85">
        <v>46178.0</v>
      </c>
      <c r="I24" s="85">
        <v>46212.0</v>
      </c>
      <c r="J24" s="82" t="s">
        <v>540</v>
      </c>
      <c r="K24" s="86">
        <v>1161673.0</v>
      </c>
      <c r="L24" s="110">
        <v>1404569.26</v>
      </c>
      <c r="M24" s="80" t="s">
        <v>546</v>
      </c>
      <c r="N24" s="80"/>
      <c r="O24" s="80"/>
      <c r="P24" s="80"/>
      <c r="Q24" s="80"/>
      <c r="R24" s="80"/>
      <c r="S24" s="80"/>
      <c r="T24" s="80"/>
      <c r="U24" s="80"/>
      <c r="V24" s="80"/>
      <c r="W24" s="80"/>
      <c r="X24" s="80"/>
      <c r="Y24" s="80"/>
      <c r="Z24" s="80"/>
    </row>
    <row r="25">
      <c r="A25" s="87">
        <v>648.0</v>
      </c>
      <c r="B25" s="82" t="s">
        <v>533</v>
      </c>
      <c r="C25" s="82" t="s">
        <v>534</v>
      </c>
      <c r="D25" s="110">
        <v>10000.0</v>
      </c>
      <c r="E25" s="110">
        <v>60.0</v>
      </c>
      <c r="F25" s="110">
        <v>45.0</v>
      </c>
      <c r="G25" s="110">
        <v>12038.8</v>
      </c>
      <c r="H25" s="85">
        <v>46167.0</v>
      </c>
      <c r="I25" s="85">
        <v>46212.0</v>
      </c>
      <c r="J25" s="82" t="s">
        <v>540</v>
      </c>
      <c r="K25" s="86">
        <v>1161258.0</v>
      </c>
      <c r="L25" s="110">
        <v>1605402.83</v>
      </c>
      <c r="M25" s="80" t="s">
        <v>547</v>
      </c>
      <c r="N25" s="80"/>
      <c r="O25" s="80"/>
      <c r="P25" s="80"/>
      <c r="Q25" s="80"/>
      <c r="R25" s="80"/>
      <c r="S25" s="80"/>
      <c r="T25" s="80"/>
      <c r="U25" s="80"/>
      <c r="V25" s="80"/>
      <c r="W25" s="80"/>
      <c r="X25" s="80"/>
      <c r="Y25" s="80"/>
      <c r="Z25" s="80"/>
    </row>
    <row r="26">
      <c r="A26" s="87">
        <v>649.0</v>
      </c>
      <c r="B26" s="82" t="s">
        <v>533</v>
      </c>
      <c r="C26" s="82" t="s">
        <v>534</v>
      </c>
      <c r="D26" s="110">
        <v>10000.0</v>
      </c>
      <c r="E26" s="110">
        <v>60.0</v>
      </c>
      <c r="F26" s="110">
        <v>125.0</v>
      </c>
      <c r="G26" s="110">
        <v>30305.1</v>
      </c>
      <c r="H26" s="85">
        <v>46087.0</v>
      </c>
      <c r="I26" s="85">
        <v>46212.0</v>
      </c>
      <c r="J26" s="82" t="s">
        <v>540</v>
      </c>
      <c r="K26" s="86">
        <v>1152249.0</v>
      </c>
      <c r="L26" s="110">
        <v>1489237.87</v>
      </c>
      <c r="M26" s="80" t="s">
        <v>548</v>
      </c>
      <c r="N26" s="80"/>
      <c r="O26" s="80"/>
      <c r="P26" s="80"/>
      <c r="Q26" s="80"/>
      <c r="R26" s="80"/>
      <c r="S26" s="80"/>
      <c r="T26" s="80"/>
      <c r="U26" s="80"/>
      <c r="V26" s="80"/>
      <c r="W26" s="80"/>
      <c r="X26" s="80"/>
      <c r="Y26" s="80"/>
      <c r="Z26" s="80"/>
    </row>
    <row r="27">
      <c r="A27" s="87">
        <v>654.0</v>
      </c>
      <c r="B27" s="82" t="s">
        <v>533</v>
      </c>
      <c r="C27" s="82" t="s">
        <v>536</v>
      </c>
      <c r="D27" s="110">
        <v>10000.0</v>
      </c>
      <c r="E27" s="110">
        <v>90.0</v>
      </c>
      <c r="F27" s="110">
        <v>62.0</v>
      </c>
      <c r="G27" s="110">
        <v>5421.1</v>
      </c>
      <c r="H27" s="85">
        <v>46150.0</v>
      </c>
      <c r="I27" s="85">
        <v>46212.0</v>
      </c>
      <c r="J27" s="82" t="s">
        <v>535</v>
      </c>
      <c r="K27" s="86">
        <v>1159008.0</v>
      </c>
      <c r="L27" s="110">
        <v>1354798.04</v>
      </c>
      <c r="M27" s="80" t="s">
        <v>536</v>
      </c>
      <c r="N27" s="80"/>
      <c r="O27" s="80"/>
      <c r="P27" s="80"/>
      <c r="Q27" s="80"/>
      <c r="R27" s="80"/>
      <c r="S27" s="80"/>
      <c r="T27" s="80"/>
      <c r="U27" s="80"/>
      <c r="V27" s="80"/>
      <c r="W27" s="80"/>
      <c r="X27" s="80"/>
      <c r="Y27" s="80"/>
      <c r="Z27" s="80"/>
    </row>
    <row r="28">
      <c r="A28" s="87">
        <v>655.0</v>
      </c>
      <c r="B28" s="82" t="s">
        <v>533</v>
      </c>
      <c r="C28" s="82" t="s">
        <v>534</v>
      </c>
      <c r="D28" s="110">
        <v>10000.0</v>
      </c>
      <c r="E28" s="110">
        <v>60.0</v>
      </c>
      <c r="F28" s="110">
        <v>77.0</v>
      </c>
      <c r="G28" s="110">
        <v>22278.0</v>
      </c>
      <c r="H28" s="85">
        <v>46135.0</v>
      </c>
      <c r="I28" s="85">
        <v>46212.0</v>
      </c>
      <c r="J28" s="82" t="s">
        <v>540</v>
      </c>
      <c r="K28" s="86">
        <v>1157172.0</v>
      </c>
      <c r="L28" s="110">
        <v>1554736.78</v>
      </c>
      <c r="M28" s="80" t="s">
        <v>536</v>
      </c>
      <c r="N28" s="80"/>
      <c r="O28" s="80"/>
      <c r="P28" s="80"/>
      <c r="Q28" s="80"/>
      <c r="R28" s="80"/>
      <c r="S28" s="80"/>
      <c r="T28" s="80"/>
      <c r="U28" s="80"/>
      <c r="V28" s="80"/>
      <c r="W28" s="80"/>
      <c r="X28" s="80"/>
      <c r="Y28" s="80"/>
      <c r="Z28" s="80"/>
    </row>
    <row r="29">
      <c r="A29" s="87">
        <v>656.0</v>
      </c>
      <c r="B29" s="82" t="s">
        <v>533</v>
      </c>
      <c r="C29" s="82" t="s">
        <v>534</v>
      </c>
      <c r="D29" s="110">
        <v>10000.0</v>
      </c>
      <c r="E29" s="110">
        <v>60.0</v>
      </c>
      <c r="F29" s="110">
        <v>20.0</v>
      </c>
      <c r="G29" s="110">
        <v>5766.3</v>
      </c>
      <c r="H29" s="85">
        <v>46192.0</v>
      </c>
      <c r="I29" s="85">
        <v>46212.0</v>
      </c>
      <c r="J29" s="82" t="s">
        <v>535</v>
      </c>
      <c r="K29" s="86">
        <v>1161905.0</v>
      </c>
      <c r="L29" s="110">
        <v>1523393.66</v>
      </c>
      <c r="M29" s="80" t="s">
        <v>549</v>
      </c>
      <c r="N29" s="80"/>
      <c r="O29" s="80"/>
      <c r="P29" s="80"/>
      <c r="Q29" s="80"/>
      <c r="R29" s="80"/>
      <c r="S29" s="80"/>
      <c r="T29" s="80"/>
      <c r="U29" s="80"/>
      <c r="V29" s="80"/>
      <c r="W29" s="80"/>
      <c r="X29" s="80"/>
      <c r="Y29" s="80"/>
      <c r="Z29" s="80"/>
    </row>
    <row r="30">
      <c r="A30" s="87">
        <v>657.0</v>
      </c>
      <c r="B30" s="82" t="s">
        <v>533</v>
      </c>
      <c r="C30" s="82" t="s">
        <v>536</v>
      </c>
      <c r="D30" s="110">
        <v>10000.0</v>
      </c>
      <c r="E30" s="110">
        <v>90.0</v>
      </c>
      <c r="F30" s="110">
        <v>143.0</v>
      </c>
      <c r="G30" s="110">
        <v>11182.7</v>
      </c>
      <c r="H30" s="85">
        <v>46069.0</v>
      </c>
      <c r="I30" s="85">
        <v>46212.0</v>
      </c>
      <c r="J30" s="82" t="s">
        <v>540</v>
      </c>
      <c r="K30" s="86">
        <v>1150005.0</v>
      </c>
      <c r="L30" s="110">
        <v>1308873.25</v>
      </c>
      <c r="M30" s="80" t="s">
        <v>538</v>
      </c>
      <c r="N30" s="80"/>
      <c r="O30" s="80"/>
      <c r="P30" s="80"/>
      <c r="Q30" s="80"/>
      <c r="R30" s="80"/>
      <c r="S30" s="80"/>
      <c r="T30" s="80"/>
      <c r="U30" s="80"/>
      <c r="V30" s="80"/>
      <c r="W30" s="80"/>
      <c r="X30" s="80"/>
      <c r="Y30" s="80"/>
      <c r="Z30" s="80"/>
    </row>
    <row r="31">
      <c r="A31" s="87">
        <v>658.0</v>
      </c>
      <c r="B31" s="82" t="s">
        <v>533</v>
      </c>
      <c r="C31" s="82" t="s">
        <v>534</v>
      </c>
      <c r="D31" s="110">
        <v>10000.0</v>
      </c>
      <c r="E31" s="110">
        <v>60.0</v>
      </c>
      <c r="F31" s="110">
        <v>62.0</v>
      </c>
      <c r="G31" s="110">
        <v>14028.2</v>
      </c>
      <c r="H31" s="85">
        <v>46150.0</v>
      </c>
      <c r="I31" s="85">
        <v>46212.0</v>
      </c>
      <c r="J31" s="82" t="s">
        <v>540</v>
      </c>
      <c r="K31" s="86">
        <v>1159067.0</v>
      </c>
      <c r="L31" s="110">
        <v>1552365.82</v>
      </c>
      <c r="M31" s="80" t="s">
        <v>543</v>
      </c>
      <c r="N31" s="80"/>
      <c r="O31" s="80"/>
      <c r="P31" s="80"/>
      <c r="Q31" s="80"/>
      <c r="R31" s="80"/>
      <c r="S31" s="80"/>
      <c r="T31" s="80"/>
      <c r="U31" s="80"/>
      <c r="V31" s="80"/>
      <c r="W31" s="80"/>
      <c r="X31" s="80"/>
      <c r="Y31" s="80"/>
      <c r="Z31" s="80"/>
    </row>
    <row r="32">
      <c r="A32" s="87">
        <v>661.0</v>
      </c>
      <c r="B32" s="82" t="s">
        <v>533</v>
      </c>
      <c r="C32" s="82" t="s">
        <v>536</v>
      </c>
      <c r="D32" s="110">
        <v>10000.0</v>
      </c>
      <c r="E32" s="110">
        <v>90.0</v>
      </c>
      <c r="F32" s="110">
        <v>142.0</v>
      </c>
      <c r="G32" s="110">
        <v>9567.0</v>
      </c>
      <c r="H32" s="85">
        <v>46070.0</v>
      </c>
      <c r="I32" s="85">
        <v>46212.0</v>
      </c>
      <c r="J32" s="82" t="s">
        <v>540</v>
      </c>
      <c r="K32" s="86">
        <v>1150100.0</v>
      </c>
      <c r="L32" s="110">
        <v>1145389.82</v>
      </c>
      <c r="M32" s="80" t="s">
        <v>536</v>
      </c>
      <c r="N32" s="80"/>
      <c r="O32" s="80"/>
      <c r="P32" s="80"/>
      <c r="Q32" s="80"/>
      <c r="R32" s="80"/>
      <c r="S32" s="80"/>
      <c r="T32" s="80"/>
      <c r="U32" s="80"/>
      <c r="V32" s="80"/>
      <c r="W32" s="80"/>
      <c r="X32" s="80"/>
      <c r="Y32" s="80"/>
      <c r="Z32" s="80"/>
    </row>
    <row r="33">
      <c r="A33" s="87">
        <v>663.0</v>
      </c>
      <c r="B33" s="82" t="s">
        <v>533</v>
      </c>
      <c r="C33" s="82" t="s">
        <v>534</v>
      </c>
      <c r="D33" s="110">
        <v>10000.0</v>
      </c>
      <c r="E33" s="110">
        <v>60.0</v>
      </c>
      <c r="F33" s="110">
        <v>250.0</v>
      </c>
      <c r="G33" s="110">
        <v>52038.5</v>
      </c>
      <c r="H33" s="85">
        <v>45962.0</v>
      </c>
      <c r="I33" s="85">
        <v>46212.0</v>
      </c>
      <c r="J33" s="82" t="s">
        <v>540</v>
      </c>
      <c r="K33" s="86">
        <v>1137231.0</v>
      </c>
      <c r="L33" s="110">
        <v>1356526.41</v>
      </c>
      <c r="M33" s="80" t="s">
        <v>537</v>
      </c>
      <c r="N33" s="80"/>
      <c r="O33" s="80"/>
      <c r="P33" s="80"/>
      <c r="Q33" s="80"/>
      <c r="R33" s="80"/>
      <c r="S33" s="80"/>
      <c r="T33" s="80"/>
      <c r="U33" s="80"/>
      <c r="V33" s="80"/>
      <c r="W33" s="80"/>
      <c r="X33" s="80"/>
      <c r="Y33" s="80"/>
      <c r="Z33" s="80"/>
    </row>
    <row r="34">
      <c r="A34" s="87">
        <v>664.0</v>
      </c>
      <c r="B34" s="82" t="s">
        <v>533</v>
      </c>
      <c r="C34" s="82" t="s">
        <v>534</v>
      </c>
      <c r="D34" s="110">
        <v>10000.0</v>
      </c>
      <c r="E34" s="110">
        <v>60.0</v>
      </c>
      <c r="F34" s="110">
        <v>133.0</v>
      </c>
      <c r="G34" s="110">
        <v>39149.5</v>
      </c>
      <c r="H34" s="85">
        <v>46079.0</v>
      </c>
      <c r="I34" s="85">
        <v>46212.0</v>
      </c>
      <c r="J34" s="82" t="s">
        <v>540</v>
      </c>
      <c r="K34" s="86">
        <v>1151314.0</v>
      </c>
      <c r="L34" s="110">
        <v>1517857.49</v>
      </c>
      <c r="M34" s="80" t="s">
        <v>547</v>
      </c>
      <c r="N34" s="80"/>
      <c r="O34" s="80"/>
      <c r="P34" s="80"/>
      <c r="Q34" s="80"/>
      <c r="R34" s="80"/>
      <c r="S34" s="80"/>
      <c r="T34" s="80"/>
      <c r="U34" s="80"/>
      <c r="V34" s="80"/>
      <c r="W34" s="80"/>
      <c r="X34" s="80"/>
      <c r="Y34" s="80"/>
      <c r="Z34" s="80"/>
    </row>
    <row r="35">
      <c r="A35" s="87">
        <v>671.0</v>
      </c>
      <c r="B35" s="82" t="s">
        <v>533</v>
      </c>
      <c r="C35" s="82" t="s">
        <v>534</v>
      </c>
      <c r="D35" s="110">
        <v>10000.0</v>
      </c>
      <c r="E35" s="110">
        <v>60.0</v>
      </c>
      <c r="F35" s="110">
        <v>8.0</v>
      </c>
      <c r="G35" s="110">
        <v>2840.8</v>
      </c>
      <c r="H35" s="85">
        <v>46204.0</v>
      </c>
      <c r="I35" s="85">
        <v>46212.0</v>
      </c>
      <c r="J35" s="82" t="s">
        <v>535</v>
      </c>
      <c r="K35" s="86">
        <v>1162061.0</v>
      </c>
      <c r="L35" s="110">
        <v>531572.99</v>
      </c>
      <c r="M35" s="80" t="s">
        <v>539</v>
      </c>
      <c r="N35" s="80"/>
      <c r="O35" s="80"/>
      <c r="P35" s="80"/>
      <c r="Q35" s="80"/>
      <c r="R35" s="80"/>
      <c r="S35" s="80"/>
      <c r="T35" s="80"/>
      <c r="U35" s="80"/>
      <c r="V35" s="80"/>
      <c r="W35" s="80"/>
      <c r="X35" s="80"/>
      <c r="Y35" s="80"/>
      <c r="Z35" s="80"/>
    </row>
    <row r="36">
      <c r="A36" s="87">
        <v>672.0</v>
      </c>
      <c r="B36" s="82" t="s">
        <v>533</v>
      </c>
      <c r="C36" s="82" t="s">
        <v>534</v>
      </c>
      <c r="D36" s="110">
        <v>10000.0</v>
      </c>
      <c r="E36" s="110">
        <v>60.0</v>
      </c>
      <c r="F36" s="110">
        <v>28.0</v>
      </c>
      <c r="G36" s="110">
        <v>9757.9</v>
      </c>
      <c r="H36" s="85">
        <v>46184.0</v>
      </c>
      <c r="I36" s="85">
        <v>46212.0</v>
      </c>
      <c r="J36" s="82" t="s">
        <v>535</v>
      </c>
      <c r="K36" s="86">
        <v>1161745.0</v>
      </c>
      <c r="L36" s="110">
        <v>524746.18</v>
      </c>
      <c r="M36" s="80" t="s">
        <v>538</v>
      </c>
      <c r="N36" s="80"/>
      <c r="O36" s="80"/>
      <c r="P36" s="80"/>
      <c r="Q36" s="80"/>
      <c r="R36" s="80"/>
      <c r="S36" s="80"/>
      <c r="T36" s="80"/>
      <c r="U36" s="80"/>
      <c r="V36" s="80"/>
      <c r="W36" s="80"/>
      <c r="X36" s="80"/>
      <c r="Y36" s="80"/>
      <c r="Z36" s="80"/>
    </row>
    <row r="37">
      <c r="A37" s="87">
        <v>682.0</v>
      </c>
      <c r="B37" s="82" t="s">
        <v>533</v>
      </c>
      <c r="C37" s="82" t="s">
        <v>534</v>
      </c>
      <c r="D37" s="110">
        <v>10000.0</v>
      </c>
      <c r="E37" s="110">
        <v>60.0</v>
      </c>
      <c r="F37" s="110">
        <v>1.0</v>
      </c>
      <c r="G37" s="110">
        <v>0.0</v>
      </c>
      <c r="H37" s="85">
        <v>46211.0</v>
      </c>
      <c r="I37" s="85">
        <v>46212.0</v>
      </c>
      <c r="J37" s="82" t="s">
        <v>535</v>
      </c>
      <c r="K37" s="86">
        <v>1162199.0</v>
      </c>
      <c r="L37" s="110">
        <v>1379263.25</v>
      </c>
      <c r="M37" s="80" t="s">
        <v>536</v>
      </c>
      <c r="N37" s="80"/>
      <c r="O37" s="80"/>
      <c r="P37" s="80"/>
      <c r="Q37" s="80"/>
      <c r="R37" s="80"/>
      <c r="S37" s="80"/>
      <c r="T37" s="80"/>
      <c r="U37" s="80"/>
      <c r="V37" s="80"/>
      <c r="W37" s="80"/>
      <c r="X37" s="80"/>
      <c r="Y37" s="80"/>
      <c r="Z37" s="80"/>
    </row>
    <row r="38">
      <c r="A38" s="87">
        <v>686.0</v>
      </c>
      <c r="B38" s="82" t="s">
        <v>533</v>
      </c>
      <c r="C38" s="82" t="s">
        <v>534</v>
      </c>
      <c r="D38" s="110">
        <v>10000.0</v>
      </c>
      <c r="E38" s="110">
        <v>60.0</v>
      </c>
      <c r="F38" s="110">
        <v>70.0</v>
      </c>
      <c r="G38" s="110">
        <v>18998.0</v>
      </c>
      <c r="H38" s="85">
        <v>46142.0</v>
      </c>
      <c r="I38" s="85">
        <v>46212.0</v>
      </c>
      <c r="J38" s="82" t="s">
        <v>540</v>
      </c>
      <c r="K38" s="86">
        <v>1158090.0</v>
      </c>
      <c r="L38" s="110">
        <v>1395901.73</v>
      </c>
      <c r="M38" s="80" t="s">
        <v>550</v>
      </c>
      <c r="N38" s="80"/>
      <c r="O38" s="80"/>
      <c r="P38" s="80"/>
      <c r="Q38" s="80"/>
      <c r="R38" s="80"/>
      <c r="S38" s="80"/>
      <c r="T38" s="80"/>
      <c r="U38" s="80"/>
      <c r="V38" s="80"/>
      <c r="W38" s="80"/>
      <c r="X38" s="80"/>
      <c r="Y38" s="80"/>
      <c r="Z38" s="80"/>
    </row>
    <row r="39">
      <c r="A39" s="87">
        <v>687.0</v>
      </c>
      <c r="B39" s="82" t="s">
        <v>533</v>
      </c>
      <c r="C39" s="82" t="s">
        <v>534</v>
      </c>
      <c r="D39" s="110">
        <v>10000.0</v>
      </c>
      <c r="E39" s="110">
        <v>60.0</v>
      </c>
      <c r="F39" s="110">
        <v>40.0</v>
      </c>
      <c r="G39" s="110">
        <v>10977.0</v>
      </c>
      <c r="H39" s="85">
        <v>46172.0</v>
      </c>
      <c r="I39" s="85">
        <v>46212.0</v>
      </c>
      <c r="J39" s="82" t="s">
        <v>540</v>
      </c>
      <c r="K39" s="86">
        <v>1161518.0</v>
      </c>
      <c r="L39" s="110">
        <v>2178678.08</v>
      </c>
      <c r="M39" s="80" t="s">
        <v>539</v>
      </c>
      <c r="N39" s="80"/>
      <c r="O39" s="80"/>
      <c r="P39" s="80"/>
      <c r="Q39" s="80"/>
      <c r="R39" s="80"/>
      <c r="S39" s="80"/>
      <c r="T39" s="80"/>
      <c r="U39" s="80"/>
      <c r="V39" s="80"/>
      <c r="W39" s="80"/>
      <c r="X39" s="80"/>
      <c r="Y39" s="80"/>
      <c r="Z39" s="80"/>
    </row>
    <row r="40">
      <c r="A40" s="87">
        <v>688.0</v>
      </c>
      <c r="B40" s="82" t="s">
        <v>533</v>
      </c>
      <c r="C40" s="82" t="s">
        <v>534</v>
      </c>
      <c r="D40" s="110">
        <v>10000.0</v>
      </c>
      <c r="E40" s="110">
        <v>60.0</v>
      </c>
      <c r="F40" s="110">
        <v>42.0</v>
      </c>
      <c r="G40" s="110">
        <v>14575.9</v>
      </c>
      <c r="H40" s="85">
        <v>46170.0</v>
      </c>
      <c r="I40" s="85">
        <v>46212.0</v>
      </c>
      <c r="J40" s="82" t="s">
        <v>540</v>
      </c>
      <c r="K40" s="86">
        <v>1161452.0</v>
      </c>
      <c r="L40" s="110">
        <v>1434209.27</v>
      </c>
      <c r="M40" s="80" t="s">
        <v>551</v>
      </c>
      <c r="N40" s="80"/>
      <c r="O40" s="80"/>
      <c r="P40" s="80"/>
      <c r="Q40" s="80"/>
      <c r="R40" s="80"/>
      <c r="S40" s="80"/>
      <c r="T40" s="80"/>
      <c r="U40" s="80"/>
      <c r="V40" s="80"/>
      <c r="W40" s="80"/>
      <c r="X40" s="80"/>
      <c r="Y40" s="80"/>
      <c r="Z40" s="80"/>
    </row>
    <row r="41">
      <c r="A41" s="87">
        <v>689.0</v>
      </c>
      <c r="B41" s="82" t="s">
        <v>533</v>
      </c>
      <c r="C41" s="82" t="s">
        <v>534</v>
      </c>
      <c r="D41" s="110">
        <v>10000.0</v>
      </c>
      <c r="E41" s="110">
        <v>60.0</v>
      </c>
      <c r="F41" s="110">
        <v>43.0</v>
      </c>
      <c r="G41" s="110">
        <v>3582.5</v>
      </c>
      <c r="H41" s="85">
        <v>46169.0</v>
      </c>
      <c r="I41" s="85">
        <v>46212.0</v>
      </c>
      <c r="J41" s="82" t="s">
        <v>535</v>
      </c>
      <c r="K41" s="86">
        <v>1161369.0</v>
      </c>
      <c r="L41" s="110">
        <v>1434120.11</v>
      </c>
      <c r="M41" s="80" t="s">
        <v>543</v>
      </c>
      <c r="N41" s="80"/>
      <c r="O41" s="80"/>
      <c r="P41" s="80"/>
      <c r="Q41" s="80"/>
      <c r="R41" s="80"/>
      <c r="S41" s="80"/>
      <c r="T41" s="80"/>
      <c r="U41" s="80"/>
      <c r="V41" s="80"/>
      <c r="W41" s="80"/>
      <c r="X41" s="80"/>
      <c r="Y41" s="80"/>
      <c r="Z41" s="80"/>
    </row>
    <row r="42">
      <c r="A42" s="87">
        <v>690.0</v>
      </c>
      <c r="B42" s="82" t="s">
        <v>533</v>
      </c>
      <c r="C42" s="82" t="s">
        <v>534</v>
      </c>
      <c r="D42" s="110">
        <v>10000.0</v>
      </c>
      <c r="E42" s="110">
        <v>60.0</v>
      </c>
      <c r="F42" s="110">
        <v>28.0</v>
      </c>
      <c r="G42" s="110">
        <v>10921.7</v>
      </c>
      <c r="H42" s="85">
        <v>46184.0</v>
      </c>
      <c r="I42" s="85">
        <v>46212.0</v>
      </c>
      <c r="J42" s="82" t="s">
        <v>540</v>
      </c>
      <c r="K42" s="86">
        <v>1161780.0</v>
      </c>
      <c r="L42" s="110">
        <v>1512219.2</v>
      </c>
      <c r="M42" s="80" t="s">
        <v>547</v>
      </c>
      <c r="N42" s="80"/>
      <c r="O42" s="80"/>
      <c r="P42" s="80"/>
      <c r="Q42" s="80"/>
      <c r="R42" s="80"/>
      <c r="S42" s="80"/>
      <c r="T42" s="80"/>
      <c r="U42" s="80"/>
      <c r="V42" s="80"/>
      <c r="W42" s="80"/>
      <c r="X42" s="80"/>
      <c r="Y42" s="80"/>
      <c r="Z42" s="80"/>
    </row>
    <row r="43">
      <c r="A43" s="87">
        <v>692.0</v>
      </c>
      <c r="B43" s="82" t="s">
        <v>533</v>
      </c>
      <c r="C43" s="82" t="s">
        <v>534</v>
      </c>
      <c r="D43" s="110">
        <v>10000.0</v>
      </c>
      <c r="E43" s="110">
        <v>60.0</v>
      </c>
      <c r="F43" s="110">
        <v>14.0</v>
      </c>
      <c r="G43" s="110">
        <v>3403.4</v>
      </c>
      <c r="H43" s="85">
        <v>46198.0</v>
      </c>
      <c r="I43" s="85">
        <v>46212.0</v>
      </c>
      <c r="J43" s="82" t="s">
        <v>535</v>
      </c>
      <c r="K43" s="86">
        <v>1161998.0</v>
      </c>
      <c r="L43" s="110">
        <v>1490699.14</v>
      </c>
      <c r="M43" s="80" t="s">
        <v>537</v>
      </c>
      <c r="N43" s="80"/>
      <c r="O43" s="80"/>
      <c r="P43" s="80"/>
      <c r="Q43" s="80"/>
      <c r="R43" s="80"/>
      <c r="S43" s="80"/>
      <c r="T43" s="80"/>
      <c r="U43" s="80"/>
      <c r="V43" s="80"/>
      <c r="W43" s="80"/>
      <c r="X43" s="80"/>
      <c r="Y43" s="80"/>
      <c r="Z43" s="80"/>
    </row>
    <row r="44">
      <c r="A44" s="87">
        <v>693.0</v>
      </c>
      <c r="B44" s="82" t="s">
        <v>533</v>
      </c>
      <c r="C44" s="82" t="s">
        <v>534</v>
      </c>
      <c r="D44" s="110">
        <v>10000.0</v>
      </c>
      <c r="E44" s="110">
        <v>60.0</v>
      </c>
      <c r="F44" s="110">
        <v>3.0</v>
      </c>
      <c r="G44" s="110">
        <v>1261.6</v>
      </c>
      <c r="H44" s="85">
        <v>46209.0</v>
      </c>
      <c r="I44" s="85">
        <v>46212.0</v>
      </c>
      <c r="J44" s="82" t="s">
        <v>535</v>
      </c>
      <c r="K44" s="86">
        <v>1162142.0</v>
      </c>
      <c r="L44" s="110">
        <v>1581668.17</v>
      </c>
      <c r="M44" s="80" t="s">
        <v>536</v>
      </c>
      <c r="N44" s="80"/>
      <c r="O44" s="80"/>
      <c r="P44" s="80"/>
      <c r="Q44" s="80"/>
      <c r="R44" s="80"/>
      <c r="S44" s="80"/>
      <c r="T44" s="80"/>
      <c r="U44" s="80"/>
      <c r="V44" s="80"/>
      <c r="W44" s="80"/>
      <c r="X44" s="80"/>
      <c r="Y44" s="80"/>
      <c r="Z44" s="80"/>
    </row>
    <row r="45">
      <c r="A45" s="87">
        <v>695.0</v>
      </c>
      <c r="B45" s="82" t="s">
        <v>533</v>
      </c>
      <c r="C45" s="82" t="s">
        <v>534</v>
      </c>
      <c r="D45" s="110">
        <v>10000.0</v>
      </c>
      <c r="E45" s="110">
        <v>60.0</v>
      </c>
      <c r="F45" s="110">
        <v>45.0</v>
      </c>
      <c r="G45" s="110">
        <v>12044.0</v>
      </c>
      <c r="H45" s="85">
        <v>46167.0</v>
      </c>
      <c r="I45" s="85">
        <v>46212.0</v>
      </c>
      <c r="J45" s="82" t="s">
        <v>540</v>
      </c>
      <c r="K45" s="86">
        <v>1161232.0</v>
      </c>
      <c r="L45" s="110">
        <v>1473028.88</v>
      </c>
      <c r="M45" s="80" t="s">
        <v>539</v>
      </c>
      <c r="N45" s="80"/>
      <c r="O45" s="80"/>
      <c r="P45" s="80"/>
      <c r="Q45" s="80"/>
      <c r="R45" s="80"/>
      <c r="S45" s="80"/>
      <c r="T45" s="80"/>
      <c r="U45" s="80"/>
      <c r="V45" s="80"/>
      <c r="W45" s="80"/>
      <c r="X45" s="80"/>
      <c r="Y45" s="80"/>
      <c r="Z45" s="80"/>
    </row>
    <row r="46">
      <c r="A46" s="87">
        <v>698.0</v>
      </c>
      <c r="B46" s="82" t="s">
        <v>533</v>
      </c>
      <c r="C46" s="82" t="s">
        <v>534</v>
      </c>
      <c r="D46" s="110">
        <v>10000.0</v>
      </c>
      <c r="E46" s="110">
        <v>60.0</v>
      </c>
      <c r="F46" s="110">
        <v>83.0</v>
      </c>
      <c r="G46" s="110">
        <v>28417.2</v>
      </c>
      <c r="H46" s="85">
        <v>46129.0</v>
      </c>
      <c r="I46" s="85">
        <v>46212.0</v>
      </c>
      <c r="J46" s="82" t="s">
        <v>540</v>
      </c>
      <c r="K46" s="86">
        <v>1156574.0</v>
      </c>
      <c r="L46" s="110">
        <v>1327447.18</v>
      </c>
      <c r="M46" s="80" t="s">
        <v>552</v>
      </c>
      <c r="N46" s="80"/>
      <c r="O46" s="80"/>
      <c r="P46" s="80"/>
      <c r="Q46" s="80"/>
      <c r="R46" s="80"/>
      <c r="S46" s="80"/>
      <c r="T46" s="80"/>
      <c r="U46" s="80"/>
      <c r="V46" s="80"/>
      <c r="W46" s="80"/>
      <c r="X46" s="80"/>
      <c r="Y46" s="80"/>
      <c r="Z46" s="80"/>
    </row>
    <row r="47">
      <c r="A47" s="87">
        <v>951.0</v>
      </c>
      <c r="B47" s="82" t="s">
        <v>553</v>
      </c>
      <c r="C47" s="82" t="s">
        <v>536</v>
      </c>
      <c r="D47" s="110">
        <v>5000.0</v>
      </c>
      <c r="E47" s="110">
        <v>90.0</v>
      </c>
      <c r="F47" s="110">
        <v>58.0</v>
      </c>
      <c r="G47" s="110">
        <v>0.0</v>
      </c>
      <c r="H47" s="85">
        <v>46154.0</v>
      </c>
      <c r="I47" s="85">
        <v>46212.0</v>
      </c>
      <c r="J47" s="82" t="s">
        <v>535</v>
      </c>
      <c r="K47" s="86">
        <v>1159500.0</v>
      </c>
      <c r="L47" s="110">
        <v>120707.6</v>
      </c>
      <c r="M47" s="80" t="s">
        <v>554</v>
      </c>
      <c r="N47" s="80"/>
      <c r="O47" s="80"/>
      <c r="P47" s="80"/>
      <c r="Q47" s="80"/>
      <c r="R47" s="80"/>
      <c r="S47" s="80"/>
      <c r="T47" s="80"/>
      <c r="U47" s="80"/>
      <c r="V47" s="80"/>
      <c r="W47" s="80"/>
      <c r="X47" s="80"/>
      <c r="Y47" s="80"/>
      <c r="Z47" s="80"/>
    </row>
    <row r="48">
      <c r="A48" s="87">
        <v>1162.0</v>
      </c>
      <c r="B48" s="82" t="s">
        <v>533</v>
      </c>
      <c r="C48" s="82" t="s">
        <v>534</v>
      </c>
      <c r="D48" s="110">
        <v>10000.0</v>
      </c>
      <c r="E48" s="110">
        <v>60.0</v>
      </c>
      <c r="F48" s="110">
        <v>63.0</v>
      </c>
      <c r="G48" s="110">
        <v>22308.6</v>
      </c>
      <c r="H48" s="85">
        <v>46149.0</v>
      </c>
      <c r="I48" s="85">
        <v>46212.0</v>
      </c>
      <c r="J48" s="82" t="s">
        <v>540</v>
      </c>
      <c r="K48" s="86">
        <v>1158859.0</v>
      </c>
      <c r="L48" s="110">
        <v>1069530.74</v>
      </c>
      <c r="M48" s="80" t="s">
        <v>537</v>
      </c>
      <c r="N48" s="80"/>
      <c r="O48" s="80"/>
      <c r="P48" s="80"/>
      <c r="Q48" s="80"/>
      <c r="R48" s="80"/>
      <c r="S48" s="80"/>
      <c r="T48" s="80"/>
      <c r="U48" s="80"/>
      <c r="V48" s="80"/>
      <c r="W48" s="80"/>
      <c r="X48" s="80"/>
      <c r="Y48" s="80"/>
      <c r="Z48" s="80"/>
    </row>
    <row r="49">
      <c r="A49" s="87">
        <v>1181.0</v>
      </c>
      <c r="B49" s="82" t="s">
        <v>555</v>
      </c>
      <c r="C49" s="82" t="s">
        <v>534</v>
      </c>
      <c r="D49" s="110">
        <v>10000.0</v>
      </c>
      <c r="E49" s="110">
        <v>60.0</v>
      </c>
      <c r="F49" s="110">
        <v>73.0</v>
      </c>
      <c r="G49" s="110">
        <v>186.6</v>
      </c>
      <c r="H49" s="85">
        <v>46139.0</v>
      </c>
      <c r="I49" s="85">
        <v>46212.0</v>
      </c>
      <c r="J49" s="82" t="s">
        <v>540</v>
      </c>
      <c r="K49" s="86">
        <v>1157413.0</v>
      </c>
      <c r="L49" s="110">
        <v>1277872.57</v>
      </c>
      <c r="M49" s="80" t="s">
        <v>542</v>
      </c>
      <c r="N49" s="80"/>
      <c r="O49" s="80"/>
      <c r="P49" s="80"/>
      <c r="Q49" s="80"/>
      <c r="R49" s="80"/>
      <c r="S49" s="80"/>
      <c r="T49" s="80"/>
      <c r="U49" s="80"/>
      <c r="V49" s="80"/>
      <c r="W49" s="80"/>
      <c r="X49" s="80"/>
      <c r="Y49" s="80"/>
      <c r="Z49" s="80"/>
    </row>
    <row r="50">
      <c r="A50" s="87">
        <v>1184.0</v>
      </c>
      <c r="B50" s="82" t="s">
        <v>555</v>
      </c>
      <c r="C50" s="82" t="s">
        <v>534</v>
      </c>
      <c r="D50" s="110">
        <v>10000.0</v>
      </c>
      <c r="E50" s="110">
        <v>60.0</v>
      </c>
      <c r="F50" s="110">
        <v>6.0</v>
      </c>
      <c r="G50" s="110">
        <v>1772.9</v>
      </c>
      <c r="H50" s="85">
        <v>46206.0</v>
      </c>
      <c r="I50" s="85">
        <v>46212.0</v>
      </c>
      <c r="J50" s="82" t="s">
        <v>535</v>
      </c>
      <c r="K50" s="86">
        <v>1162112.0</v>
      </c>
      <c r="L50" s="110">
        <v>1321672.71</v>
      </c>
      <c r="M50" s="80" t="s">
        <v>547</v>
      </c>
      <c r="N50" s="80"/>
      <c r="O50" s="80"/>
      <c r="P50" s="80"/>
      <c r="Q50" s="80"/>
      <c r="R50" s="80"/>
      <c r="S50" s="80"/>
      <c r="T50" s="80"/>
      <c r="U50" s="80"/>
      <c r="V50" s="80"/>
      <c r="W50" s="80"/>
      <c r="X50" s="80"/>
      <c r="Y50" s="80"/>
      <c r="Z50" s="80"/>
    </row>
    <row r="51">
      <c r="A51" s="87">
        <v>1189.0</v>
      </c>
      <c r="B51" s="82" t="s">
        <v>555</v>
      </c>
      <c r="C51" s="82" t="s">
        <v>534</v>
      </c>
      <c r="D51" s="110">
        <v>10000.0</v>
      </c>
      <c r="E51" s="110">
        <v>60.0</v>
      </c>
      <c r="F51" s="110">
        <v>16.0</v>
      </c>
      <c r="G51" s="110">
        <v>3939.9</v>
      </c>
      <c r="H51" s="85">
        <v>46196.0</v>
      </c>
      <c r="I51" s="85">
        <v>46212.0</v>
      </c>
      <c r="J51" s="82" t="s">
        <v>535</v>
      </c>
      <c r="K51" s="86">
        <v>1161932.0</v>
      </c>
      <c r="L51" s="110">
        <v>1397648.28</v>
      </c>
      <c r="M51" s="80" t="s">
        <v>556</v>
      </c>
      <c r="N51" s="80"/>
      <c r="O51" s="80"/>
      <c r="P51" s="80"/>
      <c r="Q51" s="80"/>
      <c r="R51" s="80"/>
      <c r="S51" s="80"/>
      <c r="T51" s="80"/>
      <c r="U51" s="80"/>
      <c r="V51" s="80"/>
      <c r="W51" s="80"/>
      <c r="X51" s="80"/>
      <c r="Y51" s="80"/>
      <c r="Z51" s="80"/>
    </row>
    <row r="52">
      <c r="A52" s="87">
        <v>1199.0</v>
      </c>
      <c r="B52" s="82" t="s">
        <v>557</v>
      </c>
      <c r="C52" s="82" t="s">
        <v>534</v>
      </c>
      <c r="D52" s="110">
        <v>10000.0</v>
      </c>
      <c r="E52" s="110">
        <v>60.0</v>
      </c>
      <c r="F52" s="110">
        <v>62.0</v>
      </c>
      <c r="G52" s="110">
        <v>19128.2</v>
      </c>
      <c r="H52" s="85">
        <v>46150.0</v>
      </c>
      <c r="I52" s="85">
        <v>46212.0</v>
      </c>
      <c r="J52" s="82" t="s">
        <v>540</v>
      </c>
      <c r="K52" s="86">
        <v>1159066.0</v>
      </c>
      <c r="L52" s="110">
        <v>1257462.68</v>
      </c>
      <c r="M52" s="80" t="s">
        <v>541</v>
      </c>
      <c r="N52" s="80"/>
      <c r="O52" s="80"/>
      <c r="P52" s="80"/>
      <c r="Q52" s="80"/>
      <c r="R52" s="80"/>
      <c r="S52" s="80"/>
      <c r="T52" s="80"/>
      <c r="U52" s="80"/>
      <c r="V52" s="80"/>
      <c r="W52" s="80"/>
      <c r="X52" s="80"/>
      <c r="Y52" s="80"/>
      <c r="Z52" s="80"/>
    </row>
    <row r="53">
      <c r="A53" s="87">
        <v>1200.0</v>
      </c>
      <c r="B53" s="82" t="s">
        <v>557</v>
      </c>
      <c r="C53" s="82" t="s">
        <v>534</v>
      </c>
      <c r="D53" s="110">
        <v>10000.0</v>
      </c>
      <c r="E53" s="110">
        <v>60.0</v>
      </c>
      <c r="F53" s="110">
        <v>9.0</v>
      </c>
      <c r="G53" s="110">
        <v>2668.0</v>
      </c>
      <c r="H53" s="85">
        <v>46203.0</v>
      </c>
      <c r="I53" s="85">
        <v>46212.0</v>
      </c>
      <c r="J53" s="82" t="s">
        <v>535</v>
      </c>
      <c r="K53" s="86">
        <v>1162046.0</v>
      </c>
      <c r="L53" s="110">
        <v>1198459.39</v>
      </c>
      <c r="M53" s="80" t="s">
        <v>558</v>
      </c>
      <c r="N53" s="80"/>
      <c r="O53" s="80"/>
      <c r="P53" s="80"/>
      <c r="Q53" s="80"/>
      <c r="R53" s="80"/>
      <c r="S53" s="80"/>
      <c r="T53" s="80"/>
      <c r="U53" s="80"/>
      <c r="V53" s="80"/>
      <c r="W53" s="80"/>
      <c r="X53" s="80"/>
      <c r="Y53" s="80"/>
      <c r="Z53" s="80"/>
    </row>
    <row r="54">
      <c r="A54" s="87">
        <v>1208.0</v>
      </c>
      <c r="B54" s="82" t="s">
        <v>557</v>
      </c>
      <c r="C54" s="82" t="s">
        <v>534</v>
      </c>
      <c r="D54" s="110">
        <v>10000.0</v>
      </c>
      <c r="E54" s="110">
        <v>60.0</v>
      </c>
      <c r="F54" s="110">
        <v>14.0</v>
      </c>
      <c r="G54" s="110">
        <v>2085.7</v>
      </c>
      <c r="H54" s="85">
        <v>46198.0</v>
      </c>
      <c r="I54" s="85">
        <v>46212.0</v>
      </c>
      <c r="J54" s="82" t="s">
        <v>535</v>
      </c>
      <c r="K54" s="86">
        <v>1161991.0</v>
      </c>
      <c r="L54" s="110">
        <v>1408048.9</v>
      </c>
      <c r="M54" s="80" t="s">
        <v>543</v>
      </c>
      <c r="N54" s="80"/>
      <c r="O54" s="80"/>
      <c r="P54" s="80"/>
      <c r="Q54" s="80"/>
      <c r="R54" s="80"/>
      <c r="S54" s="80"/>
      <c r="T54" s="80"/>
      <c r="U54" s="80"/>
      <c r="V54" s="80"/>
      <c r="W54" s="80"/>
      <c r="X54" s="80"/>
      <c r="Y54" s="80"/>
      <c r="Z54" s="80"/>
    </row>
    <row r="55">
      <c r="A55" s="87">
        <v>1288.0</v>
      </c>
      <c r="B55" s="82" t="s">
        <v>533</v>
      </c>
      <c r="C55" s="82" t="s">
        <v>534</v>
      </c>
      <c r="D55" s="110">
        <v>10000.0</v>
      </c>
      <c r="E55" s="110">
        <v>60.0</v>
      </c>
      <c r="F55" s="110">
        <v>76.0</v>
      </c>
      <c r="G55" s="110">
        <v>13469.5</v>
      </c>
      <c r="H55" s="85">
        <v>46136.0</v>
      </c>
      <c r="I55" s="85">
        <v>46212.0</v>
      </c>
      <c r="J55" s="82" t="s">
        <v>540</v>
      </c>
      <c r="K55" s="86">
        <v>1157300.0</v>
      </c>
      <c r="L55" s="110">
        <v>379532.0</v>
      </c>
      <c r="M55" s="80" t="s">
        <v>549</v>
      </c>
      <c r="N55" s="80"/>
      <c r="O55" s="80"/>
      <c r="P55" s="80"/>
      <c r="Q55" s="80"/>
      <c r="R55" s="80"/>
      <c r="S55" s="80"/>
      <c r="T55" s="80"/>
      <c r="U55" s="80"/>
      <c r="V55" s="80"/>
      <c r="W55" s="80"/>
      <c r="X55" s="80"/>
      <c r="Y55" s="80"/>
      <c r="Z55" s="80"/>
    </row>
    <row r="56">
      <c r="A56" s="87">
        <v>1327.0</v>
      </c>
      <c r="B56" s="82" t="s">
        <v>557</v>
      </c>
      <c r="C56" s="82" t="s">
        <v>534</v>
      </c>
      <c r="D56" s="110">
        <v>10000.0</v>
      </c>
      <c r="E56" s="110">
        <v>60.0</v>
      </c>
      <c r="F56" s="110">
        <v>38.0</v>
      </c>
      <c r="G56" s="110">
        <v>13242.2</v>
      </c>
      <c r="H56" s="85">
        <v>46174.0</v>
      </c>
      <c r="I56" s="85">
        <v>46212.0</v>
      </c>
      <c r="J56" s="82" t="s">
        <v>540</v>
      </c>
      <c r="K56" s="86">
        <v>1161533.0</v>
      </c>
      <c r="L56" s="110">
        <v>1357380.18</v>
      </c>
      <c r="M56" s="80" t="s">
        <v>547</v>
      </c>
      <c r="N56" s="80"/>
      <c r="O56" s="80"/>
      <c r="P56" s="80"/>
      <c r="Q56" s="80"/>
      <c r="R56" s="80"/>
      <c r="S56" s="80"/>
      <c r="T56" s="80"/>
      <c r="U56" s="80"/>
      <c r="V56" s="80"/>
      <c r="W56" s="80"/>
      <c r="X56" s="80"/>
      <c r="Y56" s="80"/>
      <c r="Z56" s="80"/>
    </row>
    <row r="57">
      <c r="A57" s="87">
        <v>1328.0</v>
      </c>
      <c r="B57" s="82" t="s">
        <v>533</v>
      </c>
      <c r="C57" s="82" t="s">
        <v>534</v>
      </c>
      <c r="D57" s="110">
        <v>10000.0</v>
      </c>
      <c r="E57" s="110">
        <v>60.0</v>
      </c>
      <c r="F57" s="110">
        <v>21.0</v>
      </c>
      <c r="G57" s="110">
        <v>4286.5</v>
      </c>
      <c r="H57" s="85">
        <v>46191.0</v>
      </c>
      <c r="I57" s="85">
        <v>46212.0</v>
      </c>
      <c r="J57" s="82" t="s">
        <v>535</v>
      </c>
      <c r="K57" s="86">
        <v>1161861.0</v>
      </c>
      <c r="L57" s="110">
        <v>880697.64</v>
      </c>
      <c r="M57" s="80" t="s">
        <v>539</v>
      </c>
      <c r="N57" s="80"/>
      <c r="O57" s="80"/>
      <c r="P57" s="80"/>
      <c r="Q57" s="80"/>
      <c r="R57" s="80"/>
      <c r="S57" s="80"/>
      <c r="T57" s="80"/>
      <c r="U57" s="80"/>
      <c r="V57" s="80"/>
      <c r="W57" s="80"/>
      <c r="X57" s="80"/>
      <c r="Y57" s="80"/>
      <c r="Z57" s="80"/>
    </row>
    <row r="58">
      <c r="A58" s="87">
        <v>1335.0</v>
      </c>
      <c r="B58" s="82" t="s">
        <v>557</v>
      </c>
      <c r="C58" s="82" t="s">
        <v>534</v>
      </c>
      <c r="D58" s="110">
        <v>10000.0</v>
      </c>
      <c r="E58" s="110">
        <v>60.0</v>
      </c>
      <c r="F58" s="110">
        <v>23.0</v>
      </c>
      <c r="G58" s="110">
        <v>9374.7</v>
      </c>
      <c r="H58" s="85">
        <v>46189.0</v>
      </c>
      <c r="I58" s="85">
        <v>46212.0</v>
      </c>
      <c r="J58" s="82" t="s">
        <v>535</v>
      </c>
      <c r="K58" s="86">
        <v>1161821.0</v>
      </c>
      <c r="L58" s="110">
        <v>1163737.3</v>
      </c>
      <c r="M58" s="80" t="s">
        <v>536</v>
      </c>
      <c r="N58" s="80"/>
      <c r="O58" s="80"/>
      <c r="P58" s="80"/>
      <c r="Q58" s="80"/>
      <c r="R58" s="80"/>
      <c r="S58" s="80"/>
      <c r="T58" s="80"/>
      <c r="U58" s="80"/>
      <c r="V58" s="80"/>
      <c r="W58" s="80"/>
      <c r="X58" s="80"/>
      <c r="Y58" s="80"/>
      <c r="Z58" s="80"/>
    </row>
    <row r="59">
      <c r="A59" s="87">
        <v>1336.0</v>
      </c>
      <c r="B59" s="82" t="s">
        <v>557</v>
      </c>
      <c r="C59" s="82" t="s">
        <v>534</v>
      </c>
      <c r="D59" s="110">
        <v>10000.0</v>
      </c>
      <c r="E59" s="110">
        <v>60.0</v>
      </c>
      <c r="F59" s="110">
        <v>42.0</v>
      </c>
      <c r="G59" s="110">
        <v>3139.1</v>
      </c>
      <c r="H59" s="85">
        <v>46170.0</v>
      </c>
      <c r="I59" s="85">
        <v>46212.0</v>
      </c>
      <c r="J59" s="82" t="s">
        <v>535</v>
      </c>
      <c r="K59" s="86">
        <v>1161453.0</v>
      </c>
      <c r="L59" s="110">
        <v>925744.74</v>
      </c>
      <c r="M59" s="80" t="s">
        <v>537</v>
      </c>
      <c r="N59" s="80"/>
      <c r="O59" s="80"/>
      <c r="P59" s="80"/>
      <c r="Q59" s="80"/>
      <c r="R59" s="80"/>
      <c r="S59" s="80"/>
      <c r="T59" s="80"/>
      <c r="U59" s="80"/>
      <c r="V59" s="80"/>
      <c r="W59" s="80"/>
      <c r="X59" s="80"/>
      <c r="Y59" s="80"/>
      <c r="Z59" s="80"/>
    </row>
    <row r="60">
      <c r="A60" s="87">
        <v>1343.0</v>
      </c>
      <c r="B60" s="82" t="s">
        <v>533</v>
      </c>
      <c r="C60" s="82" t="s">
        <v>534</v>
      </c>
      <c r="D60" s="110">
        <v>10000.0</v>
      </c>
      <c r="E60" s="110">
        <v>60.0</v>
      </c>
      <c r="F60" s="110">
        <v>15.0</v>
      </c>
      <c r="G60" s="110">
        <v>4935.3</v>
      </c>
      <c r="H60" s="85">
        <v>46197.0</v>
      </c>
      <c r="I60" s="85">
        <v>46212.0</v>
      </c>
      <c r="J60" s="82" t="s">
        <v>535</v>
      </c>
      <c r="K60" s="86">
        <v>1161952.0</v>
      </c>
      <c r="L60" s="110">
        <v>835417.41</v>
      </c>
      <c r="M60" s="80" t="s">
        <v>539</v>
      </c>
      <c r="N60" s="80"/>
      <c r="O60" s="80"/>
      <c r="P60" s="80"/>
      <c r="Q60" s="80"/>
      <c r="R60" s="80"/>
      <c r="S60" s="80"/>
      <c r="T60" s="80"/>
      <c r="U60" s="80"/>
      <c r="V60" s="80"/>
      <c r="W60" s="80"/>
      <c r="X60" s="80"/>
      <c r="Y60" s="80"/>
      <c r="Z60" s="80"/>
    </row>
    <row r="61">
      <c r="A61" s="87">
        <v>1344.0</v>
      </c>
      <c r="B61" s="82" t="s">
        <v>533</v>
      </c>
      <c r="C61" s="82" t="s">
        <v>534</v>
      </c>
      <c r="D61" s="110">
        <v>10000.0</v>
      </c>
      <c r="E61" s="110">
        <v>60.0</v>
      </c>
      <c r="F61" s="110">
        <v>78.0</v>
      </c>
      <c r="G61" s="110">
        <v>20189.4</v>
      </c>
      <c r="H61" s="85">
        <v>46134.0</v>
      </c>
      <c r="I61" s="85">
        <v>46212.0</v>
      </c>
      <c r="J61" s="82" t="s">
        <v>540</v>
      </c>
      <c r="K61" s="86">
        <v>1157014.0</v>
      </c>
      <c r="L61" s="110">
        <v>1217139.13</v>
      </c>
      <c r="M61" s="80" t="s">
        <v>559</v>
      </c>
      <c r="N61" s="80"/>
      <c r="O61" s="80"/>
      <c r="P61" s="80"/>
      <c r="Q61" s="80"/>
      <c r="R61" s="80"/>
      <c r="S61" s="80"/>
      <c r="T61" s="80"/>
      <c r="U61" s="80"/>
      <c r="V61" s="80"/>
      <c r="W61" s="80"/>
      <c r="X61" s="80"/>
      <c r="Y61" s="80"/>
      <c r="Z61" s="80"/>
    </row>
    <row r="62">
      <c r="A62" s="87">
        <v>1354.0</v>
      </c>
      <c r="B62" s="82" t="s">
        <v>533</v>
      </c>
      <c r="C62" s="82" t="s">
        <v>534</v>
      </c>
      <c r="D62" s="110">
        <v>10000.0</v>
      </c>
      <c r="E62" s="110">
        <v>60.0</v>
      </c>
      <c r="F62" s="110">
        <v>17.0</v>
      </c>
      <c r="G62" s="110">
        <v>5456.9</v>
      </c>
      <c r="H62" s="85">
        <v>46195.0</v>
      </c>
      <c r="I62" s="85">
        <v>46212.0</v>
      </c>
      <c r="J62" s="82" t="s">
        <v>535</v>
      </c>
      <c r="K62" s="86">
        <v>1161917.0</v>
      </c>
      <c r="L62" s="110">
        <v>949092.19</v>
      </c>
      <c r="M62" s="80" t="s">
        <v>539</v>
      </c>
      <c r="N62" s="80"/>
      <c r="O62" s="80"/>
      <c r="P62" s="80"/>
      <c r="Q62" s="80"/>
      <c r="R62" s="80"/>
      <c r="S62" s="80"/>
      <c r="T62" s="80"/>
      <c r="U62" s="80"/>
      <c r="V62" s="80"/>
      <c r="W62" s="80"/>
      <c r="X62" s="80"/>
      <c r="Y62" s="80"/>
      <c r="Z62" s="80"/>
    </row>
    <row r="63">
      <c r="A63" s="87">
        <v>1798.0</v>
      </c>
      <c r="B63" s="82" t="s">
        <v>560</v>
      </c>
      <c r="C63" s="82" t="s">
        <v>536</v>
      </c>
      <c r="D63" s="110">
        <v>5000.0</v>
      </c>
      <c r="E63" s="110">
        <v>90.0</v>
      </c>
      <c r="F63" s="110">
        <v>43.0</v>
      </c>
      <c r="G63" s="110">
        <v>1559.2</v>
      </c>
      <c r="H63" s="85">
        <v>46169.0</v>
      </c>
      <c r="I63" s="85">
        <v>46212.0</v>
      </c>
      <c r="J63" s="82" t="s">
        <v>535</v>
      </c>
      <c r="K63" s="86">
        <v>1161362.0</v>
      </c>
      <c r="L63" s="110">
        <v>159556.28</v>
      </c>
      <c r="M63" s="80" t="s">
        <v>554</v>
      </c>
      <c r="N63" s="80"/>
      <c r="O63" s="80"/>
      <c r="P63" s="80"/>
      <c r="Q63" s="80"/>
      <c r="R63" s="80"/>
      <c r="S63" s="80"/>
      <c r="T63" s="80"/>
      <c r="U63" s="80"/>
      <c r="V63" s="80"/>
      <c r="W63" s="80"/>
      <c r="X63" s="80"/>
      <c r="Y63" s="80"/>
      <c r="Z63" s="80"/>
    </row>
    <row r="64">
      <c r="A64" s="87">
        <v>1991.0</v>
      </c>
      <c r="B64" s="82" t="s">
        <v>533</v>
      </c>
      <c r="C64" s="82" t="s">
        <v>534</v>
      </c>
      <c r="D64" s="110">
        <v>10000.0</v>
      </c>
      <c r="E64" s="110">
        <v>60.0</v>
      </c>
      <c r="F64" s="110">
        <v>29.0</v>
      </c>
      <c r="G64" s="110">
        <v>7479.8</v>
      </c>
      <c r="H64" s="85">
        <v>46183.0</v>
      </c>
      <c r="I64" s="85">
        <v>46212.0</v>
      </c>
      <c r="J64" s="82" t="s">
        <v>535</v>
      </c>
      <c r="K64" s="86">
        <v>1161710.0</v>
      </c>
      <c r="L64" s="110">
        <v>890298.78</v>
      </c>
      <c r="M64" s="80" t="s">
        <v>539</v>
      </c>
      <c r="N64" s="80"/>
      <c r="O64" s="80"/>
      <c r="P64" s="80"/>
      <c r="Q64" s="80"/>
      <c r="R64" s="80"/>
      <c r="S64" s="80"/>
      <c r="T64" s="80"/>
      <c r="U64" s="80"/>
      <c r="V64" s="80"/>
      <c r="W64" s="80"/>
      <c r="X64" s="80"/>
      <c r="Y64" s="80"/>
      <c r="Z64" s="80"/>
    </row>
    <row r="65">
      <c r="A65" s="87">
        <v>2020.0</v>
      </c>
      <c r="B65" s="82" t="s">
        <v>533</v>
      </c>
      <c r="C65" s="82" t="s">
        <v>534</v>
      </c>
      <c r="D65" s="110">
        <v>10000.0</v>
      </c>
      <c r="E65" s="110">
        <v>60.0</v>
      </c>
      <c r="F65" s="110">
        <v>40.0</v>
      </c>
      <c r="G65" s="110">
        <v>13498.0</v>
      </c>
      <c r="H65" s="85">
        <v>46172.0</v>
      </c>
      <c r="I65" s="85">
        <v>46212.0</v>
      </c>
      <c r="J65" s="82" t="s">
        <v>540</v>
      </c>
      <c r="K65" s="86">
        <v>1161510.0</v>
      </c>
      <c r="L65" s="110">
        <v>927481.8</v>
      </c>
      <c r="M65" s="80" t="s">
        <v>537</v>
      </c>
      <c r="N65" s="80"/>
      <c r="O65" s="80"/>
      <c r="P65" s="80"/>
      <c r="Q65" s="80"/>
      <c r="R65" s="80"/>
      <c r="S65" s="80"/>
      <c r="T65" s="80"/>
      <c r="U65" s="80"/>
      <c r="V65" s="80"/>
      <c r="W65" s="80"/>
      <c r="X65" s="80"/>
      <c r="Y65" s="80"/>
      <c r="Z65" s="80"/>
    </row>
    <row r="66">
      <c r="A66" s="87">
        <v>2021.0</v>
      </c>
      <c r="B66" s="82" t="s">
        <v>561</v>
      </c>
      <c r="C66" s="82" t="s">
        <v>534</v>
      </c>
      <c r="D66" s="110">
        <v>10000.0</v>
      </c>
      <c r="E66" s="110">
        <v>60.0</v>
      </c>
      <c r="F66" s="110">
        <v>3.0</v>
      </c>
      <c r="G66" s="110">
        <v>918.7</v>
      </c>
      <c r="H66" s="85">
        <v>46209.0</v>
      </c>
      <c r="I66" s="85">
        <v>46212.0</v>
      </c>
      <c r="J66" s="82" t="s">
        <v>535</v>
      </c>
      <c r="K66" s="86">
        <v>1162141.0</v>
      </c>
      <c r="L66" s="110">
        <v>456074.03</v>
      </c>
      <c r="M66" s="80" t="s">
        <v>536</v>
      </c>
      <c r="N66" s="80"/>
      <c r="O66" s="80"/>
      <c r="P66" s="80"/>
      <c r="Q66" s="80"/>
      <c r="R66" s="80"/>
      <c r="S66" s="80"/>
      <c r="T66" s="80"/>
      <c r="U66" s="80"/>
      <c r="V66" s="80"/>
      <c r="W66" s="80"/>
      <c r="X66" s="80"/>
      <c r="Y66" s="80"/>
      <c r="Z66" s="80"/>
    </row>
    <row r="67">
      <c r="A67" s="87">
        <v>2022.0</v>
      </c>
      <c r="B67" s="82" t="s">
        <v>561</v>
      </c>
      <c r="C67" s="82" t="s">
        <v>534</v>
      </c>
      <c r="D67" s="110">
        <v>10000.0</v>
      </c>
      <c r="E67" s="110">
        <v>60.0</v>
      </c>
      <c r="F67" s="110">
        <v>27.0</v>
      </c>
      <c r="G67" s="110">
        <v>9484.2</v>
      </c>
      <c r="H67" s="85">
        <v>46185.0</v>
      </c>
      <c r="I67" s="85">
        <v>46212.0</v>
      </c>
      <c r="J67" s="82" t="s">
        <v>535</v>
      </c>
      <c r="K67" s="86">
        <v>1161792.0</v>
      </c>
      <c r="L67" s="110">
        <v>424939.94</v>
      </c>
      <c r="M67" s="80" t="s">
        <v>547</v>
      </c>
      <c r="N67" s="80"/>
      <c r="O67" s="80"/>
      <c r="P67" s="80"/>
      <c r="Q67" s="80"/>
      <c r="R67" s="80"/>
      <c r="S67" s="80"/>
      <c r="T67" s="80"/>
      <c r="U67" s="80"/>
      <c r="V67" s="80"/>
      <c r="W67" s="80"/>
      <c r="X67" s="80"/>
      <c r="Y67" s="80"/>
      <c r="Z67" s="80"/>
    </row>
    <row r="68">
      <c r="A68" s="87">
        <v>2025.0</v>
      </c>
      <c r="B68" s="82" t="s">
        <v>533</v>
      </c>
      <c r="C68" s="82" t="s">
        <v>534</v>
      </c>
      <c r="D68" s="110">
        <v>10000.0</v>
      </c>
      <c r="E68" s="110">
        <v>60.0</v>
      </c>
      <c r="F68" s="110">
        <v>29.0</v>
      </c>
      <c r="G68" s="110">
        <v>9008.2</v>
      </c>
      <c r="H68" s="85">
        <v>46183.0</v>
      </c>
      <c r="I68" s="85">
        <v>46212.0</v>
      </c>
      <c r="J68" s="82" t="s">
        <v>535</v>
      </c>
      <c r="K68" s="86">
        <v>1161713.0</v>
      </c>
      <c r="L68" s="110">
        <v>820844.29</v>
      </c>
      <c r="M68" s="80" t="s">
        <v>549</v>
      </c>
      <c r="N68" s="80"/>
      <c r="O68" s="80"/>
      <c r="P68" s="80"/>
      <c r="Q68" s="80"/>
      <c r="R68" s="80"/>
      <c r="S68" s="80"/>
      <c r="T68" s="80"/>
      <c r="U68" s="80"/>
      <c r="V68" s="80"/>
      <c r="W68" s="80"/>
      <c r="X68" s="80"/>
      <c r="Y68" s="80"/>
      <c r="Z68" s="80"/>
    </row>
    <row r="69">
      <c r="A69" s="87">
        <v>2028.0</v>
      </c>
      <c r="B69" s="82" t="s">
        <v>561</v>
      </c>
      <c r="C69" s="82" t="s">
        <v>534</v>
      </c>
      <c r="D69" s="110">
        <v>10000.0</v>
      </c>
      <c r="E69" s="110">
        <v>60.0</v>
      </c>
      <c r="F69" s="110">
        <v>43.0</v>
      </c>
      <c r="G69" s="110">
        <v>12472.4</v>
      </c>
      <c r="H69" s="85">
        <v>46169.0</v>
      </c>
      <c r="I69" s="85">
        <v>46212.0</v>
      </c>
      <c r="J69" s="82" t="s">
        <v>540</v>
      </c>
      <c r="K69" s="86">
        <v>1161411.0</v>
      </c>
      <c r="L69" s="110">
        <v>385262.9</v>
      </c>
      <c r="M69" s="80" t="s">
        <v>562</v>
      </c>
      <c r="N69" s="80"/>
      <c r="O69" s="80"/>
      <c r="P69" s="80"/>
      <c r="Q69" s="80"/>
      <c r="R69" s="80"/>
      <c r="S69" s="80"/>
      <c r="T69" s="80"/>
      <c r="U69" s="80"/>
      <c r="V69" s="80"/>
      <c r="W69" s="80"/>
      <c r="X69" s="80"/>
      <c r="Y69" s="80"/>
      <c r="Z69" s="80"/>
    </row>
    <row r="70">
      <c r="A70" s="87">
        <v>2029.0</v>
      </c>
      <c r="B70" s="82" t="s">
        <v>533</v>
      </c>
      <c r="C70" s="82" t="s">
        <v>534</v>
      </c>
      <c r="D70" s="110">
        <v>10000.0</v>
      </c>
      <c r="E70" s="110">
        <v>60.0</v>
      </c>
      <c r="F70" s="110">
        <v>9.0</v>
      </c>
      <c r="G70" s="110">
        <v>2949.3</v>
      </c>
      <c r="H70" s="85">
        <v>46203.0</v>
      </c>
      <c r="I70" s="85">
        <v>46212.0</v>
      </c>
      <c r="J70" s="82" t="s">
        <v>535</v>
      </c>
      <c r="K70" s="86">
        <v>1162043.0</v>
      </c>
      <c r="L70" s="110">
        <v>759455.19</v>
      </c>
      <c r="M70" s="80" t="s">
        <v>539</v>
      </c>
      <c r="N70" s="80"/>
      <c r="O70" s="80"/>
      <c r="P70" s="80"/>
      <c r="Q70" s="80"/>
      <c r="R70" s="80"/>
      <c r="S70" s="80"/>
      <c r="T70" s="80"/>
      <c r="U70" s="80"/>
      <c r="V70" s="80"/>
      <c r="W70" s="80"/>
      <c r="X70" s="80"/>
      <c r="Y70" s="80"/>
      <c r="Z70" s="80"/>
    </row>
    <row r="71">
      <c r="A71" s="87">
        <v>2031.0</v>
      </c>
      <c r="B71" s="82" t="s">
        <v>557</v>
      </c>
      <c r="C71" s="82" t="s">
        <v>534</v>
      </c>
      <c r="D71" s="110">
        <v>10000.0</v>
      </c>
      <c r="E71" s="110">
        <v>60.0</v>
      </c>
      <c r="F71" s="110">
        <v>73.0</v>
      </c>
      <c r="G71" s="110">
        <v>21172.2</v>
      </c>
      <c r="H71" s="85">
        <v>46139.0</v>
      </c>
      <c r="I71" s="85">
        <v>46212.0</v>
      </c>
      <c r="J71" s="82" t="s">
        <v>540</v>
      </c>
      <c r="K71" s="86">
        <v>1157505.0</v>
      </c>
      <c r="L71" s="110">
        <v>1671356.2</v>
      </c>
      <c r="M71" s="80" t="s">
        <v>547</v>
      </c>
      <c r="N71" s="80"/>
      <c r="O71" s="80"/>
      <c r="P71" s="80"/>
      <c r="Q71" s="80"/>
      <c r="R71" s="80"/>
      <c r="S71" s="80"/>
      <c r="T71" s="80"/>
      <c r="U71" s="80"/>
      <c r="V71" s="80"/>
      <c r="W71" s="80"/>
      <c r="X71" s="80"/>
      <c r="Y71" s="80"/>
      <c r="Z71" s="80"/>
    </row>
    <row r="72">
      <c r="A72" s="87">
        <v>2032.0</v>
      </c>
      <c r="B72" s="82" t="s">
        <v>557</v>
      </c>
      <c r="C72" s="82" t="s">
        <v>534</v>
      </c>
      <c r="D72" s="110">
        <v>10000.0</v>
      </c>
      <c r="E72" s="110">
        <v>60.0</v>
      </c>
      <c r="F72" s="110">
        <v>174.0</v>
      </c>
      <c r="G72" s="110">
        <v>12694.5</v>
      </c>
      <c r="H72" s="85">
        <v>46038.0</v>
      </c>
      <c r="I72" s="85">
        <v>46212.0</v>
      </c>
      <c r="J72" s="82" t="s">
        <v>540</v>
      </c>
      <c r="K72" s="86">
        <v>1146341.0</v>
      </c>
      <c r="L72" s="110">
        <v>1599325.37</v>
      </c>
      <c r="M72" s="80" t="s">
        <v>562</v>
      </c>
      <c r="N72" s="80"/>
      <c r="O72" s="80"/>
      <c r="P72" s="80"/>
      <c r="Q72" s="80"/>
      <c r="R72" s="80"/>
      <c r="S72" s="80"/>
      <c r="T72" s="80"/>
      <c r="U72" s="80"/>
      <c r="V72" s="80"/>
      <c r="W72" s="80"/>
      <c r="X72" s="80"/>
      <c r="Y72" s="80"/>
      <c r="Z72" s="80"/>
    </row>
    <row r="73">
      <c r="A73" s="87">
        <v>2033.0</v>
      </c>
      <c r="B73" s="82" t="s">
        <v>557</v>
      </c>
      <c r="C73" s="82" t="s">
        <v>534</v>
      </c>
      <c r="D73" s="110">
        <v>10000.0</v>
      </c>
      <c r="E73" s="110">
        <v>60.0</v>
      </c>
      <c r="F73" s="110">
        <v>16.0</v>
      </c>
      <c r="G73" s="110">
        <v>4678.5</v>
      </c>
      <c r="H73" s="85">
        <v>46196.0</v>
      </c>
      <c r="I73" s="85">
        <v>46212.0</v>
      </c>
      <c r="J73" s="82" t="s">
        <v>535</v>
      </c>
      <c r="K73" s="86">
        <v>1161930.0</v>
      </c>
      <c r="L73" s="110">
        <v>1600369.54</v>
      </c>
      <c r="M73" s="80" t="s">
        <v>539</v>
      </c>
      <c r="N73" s="80"/>
      <c r="O73" s="80"/>
      <c r="P73" s="80"/>
      <c r="Q73" s="80"/>
      <c r="R73" s="80"/>
      <c r="S73" s="80"/>
      <c r="T73" s="80"/>
      <c r="U73" s="80"/>
      <c r="V73" s="80"/>
      <c r="W73" s="80"/>
      <c r="X73" s="80"/>
      <c r="Y73" s="80"/>
      <c r="Z73" s="80"/>
    </row>
    <row r="74">
      <c r="A74" s="87">
        <v>2034.0</v>
      </c>
      <c r="B74" s="82" t="s">
        <v>557</v>
      </c>
      <c r="C74" s="82" t="s">
        <v>534</v>
      </c>
      <c r="D74" s="110">
        <v>10000.0</v>
      </c>
      <c r="E74" s="110">
        <v>60.0</v>
      </c>
      <c r="F74" s="110">
        <v>8.0</v>
      </c>
      <c r="G74" s="110">
        <v>582.3</v>
      </c>
      <c r="H74" s="85">
        <v>46204.0</v>
      </c>
      <c r="I74" s="85">
        <v>46212.0</v>
      </c>
      <c r="J74" s="82" t="s">
        <v>535</v>
      </c>
      <c r="K74" s="86">
        <v>1162060.0</v>
      </c>
      <c r="L74" s="110">
        <v>1043549.51</v>
      </c>
      <c r="M74" s="80" t="s">
        <v>539</v>
      </c>
      <c r="N74" s="80"/>
      <c r="O74" s="80"/>
      <c r="P74" s="80"/>
      <c r="Q74" s="80"/>
      <c r="R74" s="80"/>
      <c r="S74" s="80"/>
      <c r="T74" s="80"/>
      <c r="U74" s="80"/>
      <c r="V74" s="80"/>
      <c r="W74" s="80"/>
      <c r="X74" s="80"/>
      <c r="Y74" s="80"/>
      <c r="Z74" s="80"/>
    </row>
    <row r="75">
      <c r="A75" s="87">
        <v>2035.0</v>
      </c>
      <c r="B75" s="82" t="s">
        <v>557</v>
      </c>
      <c r="C75" s="82" t="s">
        <v>534</v>
      </c>
      <c r="D75" s="110">
        <v>10000.0</v>
      </c>
      <c r="E75" s="110">
        <v>60.0</v>
      </c>
      <c r="F75" s="110">
        <v>176.0</v>
      </c>
      <c r="G75" s="110">
        <v>25241.2</v>
      </c>
      <c r="H75" s="85">
        <v>46036.0</v>
      </c>
      <c r="I75" s="85">
        <v>46212.0</v>
      </c>
      <c r="J75" s="82" t="s">
        <v>540</v>
      </c>
      <c r="K75" s="86">
        <v>1145980.0</v>
      </c>
      <c r="L75" s="110">
        <v>1331862.57</v>
      </c>
      <c r="M75" s="80" t="s">
        <v>547</v>
      </c>
      <c r="N75" s="80"/>
      <c r="O75" s="80"/>
      <c r="P75" s="80"/>
      <c r="Q75" s="80"/>
      <c r="R75" s="80"/>
      <c r="S75" s="80"/>
      <c r="T75" s="80"/>
      <c r="U75" s="80"/>
      <c r="V75" s="80"/>
      <c r="W75" s="80"/>
      <c r="X75" s="80"/>
      <c r="Y75" s="80"/>
      <c r="Z75" s="80"/>
    </row>
    <row r="76">
      <c r="A76" s="87">
        <v>2036.0</v>
      </c>
      <c r="B76" s="82" t="s">
        <v>557</v>
      </c>
      <c r="C76" s="82" t="s">
        <v>534</v>
      </c>
      <c r="D76" s="110">
        <v>10000.0</v>
      </c>
      <c r="E76" s="110">
        <v>60.0</v>
      </c>
      <c r="F76" s="110">
        <v>51.0</v>
      </c>
      <c r="G76" s="110">
        <v>14631.2</v>
      </c>
      <c r="H76" s="85">
        <v>46161.0</v>
      </c>
      <c r="I76" s="85">
        <v>46212.0</v>
      </c>
      <c r="J76" s="82" t="s">
        <v>540</v>
      </c>
      <c r="K76" s="86">
        <v>1160301.0</v>
      </c>
      <c r="L76" s="110">
        <v>1417098.0</v>
      </c>
      <c r="M76" s="80" t="s">
        <v>549</v>
      </c>
      <c r="N76" s="80"/>
      <c r="O76" s="80"/>
      <c r="P76" s="80"/>
      <c r="Q76" s="80"/>
      <c r="R76" s="80"/>
      <c r="S76" s="80"/>
      <c r="T76" s="80"/>
      <c r="U76" s="80"/>
      <c r="V76" s="80"/>
      <c r="W76" s="80"/>
      <c r="X76" s="80"/>
      <c r="Y76" s="80"/>
      <c r="Z76" s="80"/>
    </row>
    <row r="77">
      <c r="A77" s="87">
        <v>2039.0</v>
      </c>
      <c r="B77" s="82" t="s">
        <v>557</v>
      </c>
      <c r="C77" s="82" t="s">
        <v>534</v>
      </c>
      <c r="D77" s="110">
        <v>10000.0</v>
      </c>
      <c r="E77" s="110">
        <v>60.0</v>
      </c>
      <c r="F77" s="110">
        <v>99.0</v>
      </c>
      <c r="G77" s="110">
        <v>13755.8</v>
      </c>
      <c r="H77" s="85">
        <v>46113.0</v>
      </c>
      <c r="I77" s="85">
        <v>46212.0</v>
      </c>
      <c r="J77" s="82" t="s">
        <v>540</v>
      </c>
      <c r="K77" s="86">
        <v>1154952.0</v>
      </c>
      <c r="L77" s="110">
        <v>1235462.23</v>
      </c>
      <c r="M77" s="80" t="s">
        <v>563</v>
      </c>
      <c r="N77" s="80"/>
      <c r="O77" s="80"/>
      <c r="P77" s="80"/>
      <c r="Q77" s="80"/>
      <c r="R77" s="80"/>
      <c r="S77" s="80"/>
      <c r="T77" s="80"/>
      <c r="U77" s="80"/>
      <c r="V77" s="80"/>
      <c r="W77" s="80"/>
      <c r="X77" s="80"/>
      <c r="Y77" s="80"/>
      <c r="Z77" s="80"/>
    </row>
    <row r="78">
      <c r="A78" s="87">
        <v>2040.0</v>
      </c>
      <c r="B78" s="82" t="s">
        <v>557</v>
      </c>
      <c r="C78" s="82" t="s">
        <v>534</v>
      </c>
      <c r="D78" s="110">
        <v>10000.0</v>
      </c>
      <c r="E78" s="110">
        <v>60.0</v>
      </c>
      <c r="F78" s="110">
        <v>57.0</v>
      </c>
      <c r="G78" s="110">
        <v>17482.9</v>
      </c>
      <c r="H78" s="85">
        <v>46155.0</v>
      </c>
      <c r="I78" s="85">
        <v>46212.0</v>
      </c>
      <c r="J78" s="82" t="s">
        <v>540</v>
      </c>
      <c r="K78" s="86">
        <v>1159756.0</v>
      </c>
      <c r="L78" s="110">
        <v>1386017.53</v>
      </c>
      <c r="M78" s="80" t="s">
        <v>547</v>
      </c>
      <c r="N78" s="80"/>
      <c r="O78" s="80"/>
      <c r="P78" s="80"/>
      <c r="Q78" s="80"/>
      <c r="R78" s="80"/>
      <c r="S78" s="80"/>
      <c r="T78" s="80"/>
      <c r="U78" s="80"/>
      <c r="V78" s="80"/>
      <c r="W78" s="80"/>
      <c r="X78" s="80"/>
      <c r="Y78" s="80"/>
      <c r="Z78" s="80"/>
    </row>
    <row r="79">
      <c r="A79" s="87">
        <v>2041.0</v>
      </c>
      <c r="B79" s="82" t="s">
        <v>557</v>
      </c>
      <c r="C79" s="82" t="s">
        <v>534</v>
      </c>
      <c r="D79" s="110">
        <v>10000.0</v>
      </c>
      <c r="E79" s="110">
        <v>60.0</v>
      </c>
      <c r="F79" s="110">
        <v>83.0</v>
      </c>
      <c r="G79" s="110">
        <v>8741.6</v>
      </c>
      <c r="H79" s="85">
        <v>46129.0</v>
      </c>
      <c r="I79" s="85">
        <v>46212.0</v>
      </c>
      <c r="J79" s="82" t="s">
        <v>540</v>
      </c>
      <c r="K79" s="86">
        <v>1156491.0</v>
      </c>
      <c r="L79" s="110">
        <v>1347513.23</v>
      </c>
      <c r="M79" s="80" t="s">
        <v>539</v>
      </c>
      <c r="N79" s="80"/>
      <c r="O79" s="80"/>
      <c r="P79" s="80"/>
      <c r="Q79" s="80"/>
      <c r="R79" s="80"/>
      <c r="S79" s="80"/>
      <c r="T79" s="80"/>
      <c r="U79" s="80"/>
      <c r="V79" s="80"/>
      <c r="W79" s="80"/>
      <c r="X79" s="80"/>
      <c r="Y79" s="80"/>
      <c r="Z79" s="80"/>
    </row>
    <row r="80">
      <c r="A80" s="87">
        <v>2042.0</v>
      </c>
      <c r="B80" s="82" t="s">
        <v>557</v>
      </c>
      <c r="C80" s="82" t="s">
        <v>534</v>
      </c>
      <c r="D80" s="110">
        <v>10000.0</v>
      </c>
      <c r="E80" s="110">
        <v>60.0</v>
      </c>
      <c r="F80" s="110">
        <v>21.0</v>
      </c>
      <c r="G80" s="110">
        <v>7907.1</v>
      </c>
      <c r="H80" s="85">
        <v>46191.0</v>
      </c>
      <c r="I80" s="85">
        <v>46212.0</v>
      </c>
      <c r="J80" s="82" t="s">
        <v>535</v>
      </c>
      <c r="K80" s="86">
        <v>1161862.0</v>
      </c>
      <c r="L80" s="110">
        <v>1126013.24</v>
      </c>
      <c r="M80" s="80" t="s">
        <v>536</v>
      </c>
      <c r="N80" s="80"/>
      <c r="O80" s="80"/>
      <c r="P80" s="80"/>
      <c r="Q80" s="80"/>
      <c r="R80" s="80"/>
      <c r="S80" s="80"/>
      <c r="T80" s="80"/>
      <c r="U80" s="80"/>
      <c r="V80" s="80"/>
      <c r="W80" s="80"/>
      <c r="X80" s="80"/>
      <c r="Y80" s="80"/>
      <c r="Z80" s="80"/>
    </row>
    <row r="81">
      <c r="A81" s="87">
        <v>2043.0</v>
      </c>
      <c r="B81" s="82" t="s">
        <v>533</v>
      </c>
      <c r="C81" s="82" t="s">
        <v>534</v>
      </c>
      <c r="D81" s="110">
        <v>10000.0</v>
      </c>
      <c r="E81" s="110">
        <v>60.0</v>
      </c>
      <c r="F81" s="110">
        <v>2.0</v>
      </c>
      <c r="G81" s="110">
        <v>780.8</v>
      </c>
      <c r="H81" s="85">
        <v>46210.0</v>
      </c>
      <c r="I81" s="85">
        <v>46212.0</v>
      </c>
      <c r="J81" s="82" t="s">
        <v>535</v>
      </c>
      <c r="K81" s="86">
        <v>1162153.0</v>
      </c>
      <c r="L81" s="110">
        <v>1493785.9</v>
      </c>
      <c r="M81" s="80" t="s">
        <v>547</v>
      </c>
      <c r="N81" s="80"/>
      <c r="O81" s="80"/>
      <c r="P81" s="80"/>
      <c r="Q81" s="80"/>
      <c r="R81" s="80"/>
      <c r="S81" s="80"/>
      <c r="T81" s="80"/>
      <c r="U81" s="80"/>
      <c r="V81" s="80"/>
      <c r="W81" s="80"/>
      <c r="X81" s="80"/>
      <c r="Y81" s="80"/>
      <c r="Z81" s="80"/>
    </row>
    <row r="82">
      <c r="A82" s="87">
        <v>2044.0</v>
      </c>
      <c r="B82" s="82" t="s">
        <v>533</v>
      </c>
      <c r="C82" s="82" t="s">
        <v>534</v>
      </c>
      <c r="D82" s="110">
        <v>10000.0</v>
      </c>
      <c r="E82" s="110">
        <v>60.0</v>
      </c>
      <c r="F82" s="110">
        <v>23.0</v>
      </c>
      <c r="G82" s="110">
        <v>2261.1</v>
      </c>
      <c r="H82" s="85">
        <v>46189.0</v>
      </c>
      <c r="I82" s="85">
        <v>46212.0</v>
      </c>
      <c r="J82" s="82" t="s">
        <v>535</v>
      </c>
      <c r="K82" s="86">
        <v>1161823.0</v>
      </c>
      <c r="L82" s="110">
        <v>1446175.12</v>
      </c>
      <c r="M82" s="80" t="s">
        <v>539</v>
      </c>
      <c r="N82" s="80"/>
      <c r="O82" s="80"/>
      <c r="P82" s="80"/>
      <c r="Q82" s="80"/>
      <c r="R82" s="80"/>
      <c r="S82" s="80"/>
      <c r="T82" s="80"/>
      <c r="U82" s="80"/>
      <c r="V82" s="80"/>
      <c r="W82" s="80"/>
      <c r="X82" s="80"/>
      <c r="Y82" s="80"/>
      <c r="Z82" s="80"/>
    </row>
    <row r="83">
      <c r="A83" s="87">
        <v>2045.0</v>
      </c>
      <c r="B83" s="82" t="s">
        <v>533</v>
      </c>
      <c r="C83" s="82" t="s">
        <v>534</v>
      </c>
      <c r="D83" s="110">
        <v>10000.0</v>
      </c>
      <c r="E83" s="110">
        <v>60.0</v>
      </c>
      <c r="F83" s="110">
        <v>38.0</v>
      </c>
      <c r="G83" s="110">
        <v>6866.4</v>
      </c>
      <c r="H83" s="85">
        <v>46174.0</v>
      </c>
      <c r="I83" s="85">
        <v>46212.0</v>
      </c>
      <c r="J83" s="82" t="s">
        <v>535</v>
      </c>
      <c r="K83" s="86">
        <v>1161538.0</v>
      </c>
      <c r="L83" s="110">
        <v>1435326.86</v>
      </c>
      <c r="M83" s="80" t="s">
        <v>549</v>
      </c>
      <c r="N83" s="80"/>
      <c r="O83" s="80"/>
      <c r="P83" s="80"/>
      <c r="Q83" s="80"/>
      <c r="R83" s="80"/>
      <c r="S83" s="80"/>
      <c r="T83" s="80"/>
      <c r="U83" s="80"/>
      <c r="V83" s="80"/>
      <c r="W83" s="80"/>
      <c r="X83" s="80"/>
      <c r="Y83" s="80"/>
      <c r="Z83" s="80"/>
    </row>
    <row r="84">
      <c r="A84" s="87">
        <v>2046.0</v>
      </c>
      <c r="B84" s="82" t="s">
        <v>533</v>
      </c>
      <c r="C84" s="82" t="s">
        <v>534</v>
      </c>
      <c r="D84" s="110">
        <v>10000.0</v>
      </c>
      <c r="E84" s="110">
        <v>60.0</v>
      </c>
      <c r="F84" s="110">
        <v>64.0</v>
      </c>
      <c r="G84" s="110">
        <v>15114.8</v>
      </c>
      <c r="H84" s="85">
        <v>46148.0</v>
      </c>
      <c r="I84" s="85">
        <v>46212.0</v>
      </c>
      <c r="J84" s="82" t="s">
        <v>540</v>
      </c>
      <c r="K84" s="86">
        <v>1158730.0</v>
      </c>
      <c r="L84" s="110">
        <v>1182139.76</v>
      </c>
      <c r="M84" s="80" t="s">
        <v>543</v>
      </c>
      <c r="N84" s="80"/>
      <c r="O84" s="80"/>
      <c r="P84" s="80"/>
      <c r="Q84" s="80"/>
      <c r="R84" s="80"/>
      <c r="S84" s="80"/>
      <c r="T84" s="80"/>
      <c r="U84" s="80"/>
      <c r="V84" s="80"/>
      <c r="W84" s="80"/>
      <c r="X84" s="80"/>
      <c r="Y84" s="80"/>
      <c r="Z84" s="80"/>
    </row>
    <row r="85">
      <c r="A85" s="87">
        <v>2047.0</v>
      </c>
      <c r="B85" s="82" t="s">
        <v>533</v>
      </c>
      <c r="C85" s="82" t="s">
        <v>534</v>
      </c>
      <c r="D85" s="110">
        <v>10000.0</v>
      </c>
      <c r="E85" s="110">
        <v>60.0</v>
      </c>
      <c r="F85" s="110">
        <v>65.0</v>
      </c>
      <c r="G85" s="110">
        <v>26248.6</v>
      </c>
      <c r="H85" s="85">
        <v>46147.0</v>
      </c>
      <c r="I85" s="85">
        <v>46212.0</v>
      </c>
      <c r="J85" s="82" t="s">
        <v>540</v>
      </c>
      <c r="K85" s="86">
        <v>1158520.0</v>
      </c>
      <c r="L85" s="110">
        <v>1370030.0</v>
      </c>
      <c r="M85" s="80" t="s">
        <v>536</v>
      </c>
      <c r="N85" s="80"/>
      <c r="O85" s="80"/>
      <c r="P85" s="80"/>
      <c r="Q85" s="80"/>
      <c r="R85" s="80"/>
      <c r="S85" s="80"/>
      <c r="T85" s="80"/>
      <c r="U85" s="80"/>
      <c r="V85" s="80"/>
      <c r="W85" s="80"/>
      <c r="X85" s="80"/>
      <c r="Y85" s="80"/>
      <c r="Z85" s="80"/>
    </row>
    <row r="86">
      <c r="A86" s="87">
        <v>2048.0</v>
      </c>
      <c r="B86" s="82" t="s">
        <v>533</v>
      </c>
      <c r="C86" s="82" t="s">
        <v>534</v>
      </c>
      <c r="D86" s="110">
        <v>10000.0</v>
      </c>
      <c r="E86" s="110">
        <v>60.0</v>
      </c>
      <c r="F86" s="110">
        <v>12.0</v>
      </c>
      <c r="G86" s="110">
        <v>3636.7</v>
      </c>
      <c r="H86" s="85">
        <v>46200.0</v>
      </c>
      <c r="I86" s="85">
        <v>46212.0</v>
      </c>
      <c r="J86" s="82" t="s">
        <v>535</v>
      </c>
      <c r="K86" s="86">
        <v>1162020.0</v>
      </c>
      <c r="L86" s="110">
        <v>1622678.24</v>
      </c>
      <c r="M86" s="80" t="s">
        <v>549</v>
      </c>
      <c r="N86" s="80"/>
      <c r="O86" s="80"/>
      <c r="P86" s="80"/>
      <c r="Q86" s="80"/>
      <c r="R86" s="80"/>
      <c r="S86" s="80"/>
      <c r="T86" s="80"/>
      <c r="U86" s="80"/>
      <c r="V86" s="80"/>
      <c r="W86" s="80"/>
      <c r="X86" s="80"/>
      <c r="Y86" s="80"/>
      <c r="Z86" s="80"/>
    </row>
    <row r="87">
      <c r="A87" s="87">
        <v>2049.0</v>
      </c>
      <c r="B87" s="82" t="s">
        <v>533</v>
      </c>
      <c r="C87" s="82" t="s">
        <v>534</v>
      </c>
      <c r="D87" s="110">
        <v>10000.0</v>
      </c>
      <c r="E87" s="110">
        <v>60.0</v>
      </c>
      <c r="F87" s="110">
        <v>35.0</v>
      </c>
      <c r="G87" s="110">
        <v>8702.8</v>
      </c>
      <c r="H87" s="85">
        <v>46177.0</v>
      </c>
      <c r="I87" s="85">
        <v>46212.0</v>
      </c>
      <c r="J87" s="82" t="s">
        <v>535</v>
      </c>
      <c r="K87" s="86">
        <v>1161648.0</v>
      </c>
      <c r="L87" s="110">
        <v>1322355.89</v>
      </c>
      <c r="M87" s="80" t="s">
        <v>537</v>
      </c>
      <c r="N87" s="80"/>
      <c r="O87" s="80"/>
      <c r="P87" s="80"/>
      <c r="Q87" s="80"/>
      <c r="R87" s="80"/>
      <c r="S87" s="80"/>
      <c r="T87" s="80"/>
      <c r="U87" s="80"/>
      <c r="V87" s="80"/>
      <c r="W87" s="80"/>
      <c r="X87" s="80"/>
      <c r="Y87" s="80"/>
      <c r="Z87" s="80"/>
    </row>
    <row r="88">
      <c r="A88" s="87">
        <v>2050.0</v>
      </c>
      <c r="B88" s="82" t="s">
        <v>533</v>
      </c>
      <c r="C88" s="82" t="s">
        <v>534</v>
      </c>
      <c r="D88" s="110">
        <v>10000.0</v>
      </c>
      <c r="E88" s="110">
        <v>60.0</v>
      </c>
      <c r="F88" s="110">
        <v>48.0</v>
      </c>
      <c r="G88" s="110">
        <v>15717.6</v>
      </c>
      <c r="H88" s="85">
        <v>46164.0</v>
      </c>
      <c r="I88" s="85">
        <v>46212.0</v>
      </c>
      <c r="J88" s="82" t="s">
        <v>540</v>
      </c>
      <c r="K88" s="86">
        <v>1161078.0</v>
      </c>
      <c r="L88" s="110">
        <v>1365851.62</v>
      </c>
      <c r="M88" s="80" t="s">
        <v>539</v>
      </c>
      <c r="N88" s="80"/>
      <c r="O88" s="80"/>
      <c r="P88" s="80"/>
      <c r="Q88" s="80"/>
      <c r="R88" s="80"/>
      <c r="S88" s="80"/>
      <c r="T88" s="80"/>
      <c r="U88" s="80"/>
      <c r="V88" s="80"/>
      <c r="W88" s="80"/>
      <c r="X88" s="80"/>
      <c r="Y88" s="80"/>
      <c r="Z88" s="80"/>
    </row>
    <row r="89">
      <c r="A89" s="87">
        <v>2051.0</v>
      </c>
      <c r="B89" s="82" t="s">
        <v>533</v>
      </c>
      <c r="C89" s="82" t="s">
        <v>534</v>
      </c>
      <c r="D89" s="110">
        <v>10000.0</v>
      </c>
      <c r="E89" s="110">
        <v>60.0</v>
      </c>
      <c r="F89" s="110">
        <v>37.0</v>
      </c>
      <c r="G89" s="110">
        <v>8834.6</v>
      </c>
      <c r="H89" s="85">
        <v>46175.0</v>
      </c>
      <c r="I89" s="85">
        <v>46212.0</v>
      </c>
      <c r="J89" s="82" t="s">
        <v>535</v>
      </c>
      <c r="K89" s="86">
        <v>1161562.0</v>
      </c>
      <c r="L89" s="110">
        <v>1317980.68</v>
      </c>
      <c r="M89" s="80" t="s">
        <v>564</v>
      </c>
      <c r="N89" s="80"/>
      <c r="O89" s="80"/>
      <c r="P89" s="80"/>
      <c r="Q89" s="80"/>
      <c r="R89" s="80"/>
      <c r="S89" s="80"/>
      <c r="T89" s="80"/>
      <c r="U89" s="80"/>
      <c r="V89" s="80"/>
      <c r="W89" s="80"/>
      <c r="X89" s="80"/>
      <c r="Y89" s="80"/>
      <c r="Z89" s="80"/>
    </row>
    <row r="90">
      <c r="A90" s="87">
        <v>2052.0</v>
      </c>
      <c r="B90" s="82" t="s">
        <v>533</v>
      </c>
      <c r="C90" s="82" t="s">
        <v>534</v>
      </c>
      <c r="D90" s="110">
        <v>10000.0</v>
      </c>
      <c r="E90" s="110">
        <v>60.0</v>
      </c>
      <c r="F90" s="110">
        <v>26.0</v>
      </c>
      <c r="G90" s="110">
        <v>8204.8</v>
      </c>
      <c r="H90" s="85">
        <v>46186.0</v>
      </c>
      <c r="I90" s="85">
        <v>46212.0</v>
      </c>
      <c r="J90" s="82" t="s">
        <v>535</v>
      </c>
      <c r="K90" s="86">
        <v>1161802.0</v>
      </c>
      <c r="L90" s="110">
        <v>1328270.56</v>
      </c>
      <c r="M90" s="80" t="s">
        <v>539</v>
      </c>
      <c r="N90" s="80"/>
      <c r="O90" s="80"/>
      <c r="P90" s="80"/>
      <c r="Q90" s="80"/>
      <c r="R90" s="80"/>
      <c r="S90" s="80"/>
      <c r="T90" s="80"/>
      <c r="U90" s="80"/>
      <c r="V90" s="80"/>
      <c r="W90" s="80"/>
      <c r="X90" s="80"/>
      <c r="Y90" s="80"/>
      <c r="Z90" s="80"/>
    </row>
    <row r="91">
      <c r="A91" s="87">
        <v>2053.0</v>
      </c>
      <c r="B91" s="82" t="s">
        <v>533</v>
      </c>
      <c r="C91" s="82" t="s">
        <v>534</v>
      </c>
      <c r="D91" s="110">
        <v>10000.0</v>
      </c>
      <c r="E91" s="110">
        <v>60.0</v>
      </c>
      <c r="F91" s="110">
        <v>51.0</v>
      </c>
      <c r="G91" s="110">
        <v>18123.9</v>
      </c>
      <c r="H91" s="85">
        <v>46161.0</v>
      </c>
      <c r="I91" s="85">
        <v>46212.0</v>
      </c>
      <c r="J91" s="82" t="s">
        <v>540</v>
      </c>
      <c r="K91" s="86">
        <v>1160300.0</v>
      </c>
      <c r="L91" s="110">
        <v>1255649.51</v>
      </c>
      <c r="M91" s="80" t="s">
        <v>539</v>
      </c>
      <c r="N91" s="80"/>
      <c r="O91" s="80"/>
      <c r="P91" s="80"/>
      <c r="Q91" s="80"/>
      <c r="R91" s="80"/>
      <c r="S91" s="80"/>
      <c r="T91" s="80"/>
      <c r="U91" s="80"/>
      <c r="V91" s="80"/>
      <c r="W91" s="80"/>
      <c r="X91" s="80"/>
      <c r="Y91" s="80"/>
      <c r="Z91" s="80"/>
    </row>
    <row r="92">
      <c r="A92" s="87">
        <v>2054.0</v>
      </c>
      <c r="B92" s="82" t="s">
        <v>533</v>
      </c>
      <c r="C92" s="82" t="s">
        <v>534</v>
      </c>
      <c r="D92" s="110">
        <v>10000.0</v>
      </c>
      <c r="E92" s="110">
        <v>60.0</v>
      </c>
      <c r="F92" s="110">
        <v>15.0</v>
      </c>
      <c r="G92" s="110">
        <v>3432.6</v>
      </c>
      <c r="H92" s="85">
        <v>46197.0</v>
      </c>
      <c r="I92" s="85">
        <v>46212.0</v>
      </c>
      <c r="J92" s="82" t="s">
        <v>535</v>
      </c>
      <c r="K92" s="86">
        <v>1161953.0</v>
      </c>
      <c r="L92" s="110">
        <v>1231309.58</v>
      </c>
      <c r="M92" s="80" t="s">
        <v>536</v>
      </c>
      <c r="N92" s="80"/>
      <c r="O92" s="80"/>
      <c r="P92" s="80"/>
      <c r="Q92" s="80"/>
      <c r="R92" s="80"/>
      <c r="S92" s="80"/>
      <c r="T92" s="80"/>
      <c r="U92" s="80"/>
      <c r="V92" s="80"/>
      <c r="W92" s="80"/>
      <c r="X92" s="80"/>
      <c r="Y92" s="80"/>
      <c r="Z92" s="80"/>
    </row>
    <row r="93">
      <c r="A93" s="87">
        <v>2055.0</v>
      </c>
      <c r="B93" s="82" t="s">
        <v>533</v>
      </c>
      <c r="C93" s="82" t="s">
        <v>534</v>
      </c>
      <c r="D93" s="110">
        <v>10000.0</v>
      </c>
      <c r="E93" s="110">
        <v>60.0</v>
      </c>
      <c r="F93" s="110">
        <v>57.0</v>
      </c>
      <c r="G93" s="110">
        <v>18185.5</v>
      </c>
      <c r="H93" s="85">
        <v>46155.0</v>
      </c>
      <c r="I93" s="85">
        <v>46212.0</v>
      </c>
      <c r="J93" s="82" t="s">
        <v>540</v>
      </c>
      <c r="K93" s="86">
        <v>1159757.0</v>
      </c>
      <c r="L93" s="110">
        <v>1192486.81</v>
      </c>
      <c r="M93" s="80" t="s">
        <v>543</v>
      </c>
      <c r="N93" s="80"/>
      <c r="O93" s="80"/>
      <c r="P93" s="80"/>
      <c r="Q93" s="80"/>
      <c r="R93" s="80"/>
      <c r="S93" s="80"/>
      <c r="T93" s="80"/>
      <c r="U93" s="80"/>
      <c r="V93" s="80"/>
      <c r="W93" s="80"/>
      <c r="X93" s="80"/>
      <c r="Y93" s="80"/>
      <c r="Z93" s="80"/>
    </row>
    <row r="94">
      <c r="A94" s="87">
        <v>2056.0</v>
      </c>
      <c r="B94" s="82" t="s">
        <v>555</v>
      </c>
      <c r="C94" s="82" t="s">
        <v>534</v>
      </c>
      <c r="D94" s="110">
        <v>10000.0</v>
      </c>
      <c r="E94" s="110">
        <v>60.0</v>
      </c>
      <c r="F94" s="110">
        <v>21.0</v>
      </c>
      <c r="G94" s="110">
        <v>4328.4</v>
      </c>
      <c r="H94" s="85">
        <v>46191.0</v>
      </c>
      <c r="I94" s="85">
        <v>46212.0</v>
      </c>
      <c r="J94" s="82" t="s">
        <v>535</v>
      </c>
      <c r="K94" s="86">
        <v>1161864.0</v>
      </c>
      <c r="L94" s="110">
        <v>1189831.84</v>
      </c>
      <c r="M94" s="80" t="s">
        <v>549</v>
      </c>
      <c r="N94" s="80"/>
      <c r="O94" s="80"/>
      <c r="P94" s="80"/>
      <c r="Q94" s="80"/>
      <c r="R94" s="80"/>
      <c r="S94" s="80"/>
      <c r="T94" s="80"/>
      <c r="U94" s="80"/>
      <c r="V94" s="80"/>
      <c r="W94" s="80"/>
      <c r="X94" s="80"/>
      <c r="Y94" s="80"/>
      <c r="Z94" s="80"/>
    </row>
    <row r="95">
      <c r="A95" s="87">
        <v>2057.0</v>
      </c>
      <c r="B95" s="82" t="s">
        <v>555</v>
      </c>
      <c r="C95" s="82" t="s">
        <v>534</v>
      </c>
      <c r="D95" s="110">
        <v>10000.0</v>
      </c>
      <c r="E95" s="110">
        <v>60.0</v>
      </c>
      <c r="F95" s="110">
        <v>22.0</v>
      </c>
      <c r="G95" s="110">
        <v>7911.3</v>
      </c>
      <c r="H95" s="85">
        <v>46190.0</v>
      </c>
      <c r="I95" s="85">
        <v>46212.0</v>
      </c>
      <c r="J95" s="82" t="s">
        <v>535</v>
      </c>
      <c r="K95" s="86">
        <v>1161843.0</v>
      </c>
      <c r="L95" s="110">
        <v>1281656.76</v>
      </c>
      <c r="M95" s="80" t="s">
        <v>539</v>
      </c>
      <c r="N95" s="80"/>
      <c r="O95" s="80"/>
      <c r="P95" s="80"/>
      <c r="Q95" s="80"/>
      <c r="R95" s="80"/>
      <c r="S95" s="80"/>
      <c r="T95" s="80"/>
      <c r="U95" s="80"/>
      <c r="V95" s="80"/>
      <c r="W95" s="80"/>
      <c r="X95" s="80"/>
      <c r="Y95" s="80"/>
      <c r="Z95" s="80"/>
    </row>
    <row r="96">
      <c r="A96" s="87">
        <v>2058.0</v>
      </c>
      <c r="B96" s="82" t="s">
        <v>555</v>
      </c>
      <c r="C96" s="82" t="s">
        <v>534</v>
      </c>
      <c r="D96" s="110">
        <v>10000.0</v>
      </c>
      <c r="E96" s="110">
        <v>60.0</v>
      </c>
      <c r="F96" s="110">
        <v>77.0</v>
      </c>
      <c r="G96" s="110">
        <v>27298.2</v>
      </c>
      <c r="H96" s="85">
        <v>46135.0</v>
      </c>
      <c r="I96" s="85">
        <v>46212.0</v>
      </c>
      <c r="J96" s="82" t="s">
        <v>540</v>
      </c>
      <c r="K96" s="86">
        <v>1157162.0</v>
      </c>
      <c r="L96" s="110">
        <v>1501359.33</v>
      </c>
      <c r="M96" s="80" t="s">
        <v>536</v>
      </c>
      <c r="N96" s="80"/>
      <c r="O96" s="80"/>
      <c r="P96" s="80"/>
      <c r="Q96" s="80"/>
      <c r="R96" s="80"/>
      <c r="S96" s="80"/>
      <c r="T96" s="80"/>
      <c r="U96" s="80"/>
      <c r="V96" s="80"/>
      <c r="W96" s="80"/>
      <c r="X96" s="80"/>
      <c r="Y96" s="80"/>
      <c r="Z96" s="80"/>
    </row>
    <row r="97">
      <c r="A97" s="87">
        <v>2059.0</v>
      </c>
      <c r="B97" s="82" t="s">
        <v>555</v>
      </c>
      <c r="C97" s="82" t="s">
        <v>534</v>
      </c>
      <c r="D97" s="110">
        <v>10000.0</v>
      </c>
      <c r="E97" s="110">
        <v>60.0</v>
      </c>
      <c r="F97" s="110">
        <v>93.0</v>
      </c>
      <c r="G97" s="110">
        <v>23060.6</v>
      </c>
      <c r="H97" s="85">
        <v>46119.0</v>
      </c>
      <c r="I97" s="85">
        <v>46212.0</v>
      </c>
      <c r="J97" s="82" t="s">
        <v>540</v>
      </c>
      <c r="K97" s="86">
        <v>1155321.0</v>
      </c>
      <c r="L97" s="110">
        <v>1190877.52</v>
      </c>
      <c r="M97" s="80" t="s">
        <v>546</v>
      </c>
      <c r="N97" s="80"/>
      <c r="O97" s="80"/>
      <c r="P97" s="80"/>
      <c r="Q97" s="80"/>
      <c r="R97" s="80"/>
      <c r="S97" s="80"/>
      <c r="T97" s="80"/>
      <c r="U97" s="80"/>
      <c r="V97" s="80"/>
      <c r="W97" s="80"/>
      <c r="X97" s="80"/>
      <c r="Y97" s="80"/>
      <c r="Z97" s="80"/>
    </row>
    <row r="98">
      <c r="A98" s="87">
        <v>2060.0</v>
      </c>
      <c r="B98" s="82" t="s">
        <v>557</v>
      </c>
      <c r="C98" s="82" t="s">
        <v>534</v>
      </c>
      <c r="D98" s="110">
        <v>10000.0</v>
      </c>
      <c r="E98" s="110">
        <v>60.0</v>
      </c>
      <c r="F98" s="110">
        <v>91.0</v>
      </c>
      <c r="G98" s="110">
        <v>19599.7</v>
      </c>
      <c r="H98" s="85">
        <v>46121.0</v>
      </c>
      <c r="I98" s="85">
        <v>46212.0</v>
      </c>
      <c r="J98" s="82" t="s">
        <v>540</v>
      </c>
      <c r="K98" s="86">
        <v>1155616.0</v>
      </c>
      <c r="L98" s="110">
        <v>1343002.87</v>
      </c>
      <c r="M98" s="80" t="s">
        <v>542</v>
      </c>
      <c r="N98" s="80"/>
      <c r="O98" s="80"/>
      <c r="P98" s="80"/>
      <c r="Q98" s="80"/>
      <c r="R98" s="80"/>
      <c r="S98" s="80"/>
      <c r="T98" s="80"/>
      <c r="U98" s="80"/>
      <c r="V98" s="80"/>
      <c r="W98" s="80"/>
      <c r="X98" s="80"/>
      <c r="Y98" s="80"/>
      <c r="Z98" s="80"/>
    </row>
    <row r="99">
      <c r="A99" s="87">
        <v>2061.0</v>
      </c>
      <c r="B99" s="82" t="s">
        <v>533</v>
      </c>
      <c r="C99" s="82" t="s">
        <v>534</v>
      </c>
      <c r="D99" s="110">
        <v>10000.0</v>
      </c>
      <c r="E99" s="110">
        <v>60.0</v>
      </c>
      <c r="F99" s="110">
        <v>13.0</v>
      </c>
      <c r="G99" s="110">
        <v>4069.4</v>
      </c>
      <c r="H99" s="85">
        <v>46199.0</v>
      </c>
      <c r="I99" s="85">
        <v>46212.0</v>
      </c>
      <c r="J99" s="82" t="s">
        <v>535</v>
      </c>
      <c r="K99" s="86">
        <v>1162008.0</v>
      </c>
      <c r="L99" s="110">
        <v>1130177.96</v>
      </c>
      <c r="M99" s="80" t="s">
        <v>539</v>
      </c>
      <c r="N99" s="80"/>
      <c r="O99" s="80"/>
      <c r="P99" s="80"/>
      <c r="Q99" s="80"/>
      <c r="R99" s="80"/>
      <c r="S99" s="80"/>
      <c r="T99" s="80"/>
      <c r="U99" s="80"/>
      <c r="V99" s="80"/>
      <c r="W99" s="80"/>
      <c r="X99" s="80"/>
      <c r="Y99" s="80"/>
      <c r="Z99" s="80"/>
    </row>
    <row r="100">
      <c r="A100" s="87">
        <v>2062.0</v>
      </c>
      <c r="B100" s="82" t="s">
        <v>533</v>
      </c>
      <c r="C100" s="82" t="s">
        <v>534</v>
      </c>
      <c r="D100" s="110">
        <v>10000.0</v>
      </c>
      <c r="E100" s="110">
        <v>60.0</v>
      </c>
      <c r="F100" s="110">
        <v>80.0</v>
      </c>
      <c r="G100" s="110">
        <v>28289.8</v>
      </c>
      <c r="H100" s="85">
        <v>46132.0</v>
      </c>
      <c r="I100" s="85">
        <v>46212.0</v>
      </c>
      <c r="J100" s="82" t="s">
        <v>540</v>
      </c>
      <c r="K100" s="86">
        <v>1156743.0</v>
      </c>
      <c r="L100" s="110">
        <v>930727.54</v>
      </c>
      <c r="M100" s="80" t="s">
        <v>539</v>
      </c>
      <c r="N100" s="80"/>
      <c r="O100" s="80"/>
      <c r="P100" s="80"/>
      <c r="Q100" s="80"/>
      <c r="R100" s="80"/>
      <c r="S100" s="80"/>
      <c r="T100" s="80"/>
      <c r="U100" s="80"/>
      <c r="V100" s="80"/>
      <c r="W100" s="80"/>
      <c r="X100" s="80"/>
      <c r="Y100" s="80"/>
      <c r="Z100" s="80"/>
    </row>
    <row r="101">
      <c r="A101" s="87">
        <v>2064.0</v>
      </c>
      <c r="B101" s="82" t="s">
        <v>533</v>
      </c>
      <c r="C101" s="82" t="s">
        <v>534</v>
      </c>
      <c r="D101" s="110">
        <v>10000.0</v>
      </c>
      <c r="E101" s="110">
        <v>60.0</v>
      </c>
      <c r="F101" s="110">
        <v>9.0</v>
      </c>
      <c r="G101" s="110">
        <v>3430.5</v>
      </c>
      <c r="H101" s="85">
        <v>46203.0</v>
      </c>
      <c r="I101" s="85">
        <v>46212.0</v>
      </c>
      <c r="J101" s="82" t="s">
        <v>535</v>
      </c>
      <c r="K101" s="86">
        <v>1162044.0</v>
      </c>
      <c r="L101" s="110">
        <v>905619.77</v>
      </c>
      <c r="M101" s="80" t="s">
        <v>565</v>
      </c>
      <c r="N101" s="80"/>
      <c r="O101" s="80"/>
      <c r="P101" s="80"/>
      <c r="Q101" s="80"/>
      <c r="R101" s="80"/>
      <c r="S101" s="80"/>
      <c r="T101" s="80"/>
      <c r="U101" s="80"/>
      <c r="V101" s="80"/>
      <c r="W101" s="80"/>
      <c r="X101" s="80"/>
      <c r="Y101" s="80"/>
      <c r="Z101" s="80"/>
    </row>
    <row r="102">
      <c r="A102" s="87">
        <v>2081.0</v>
      </c>
      <c r="B102" s="82" t="s">
        <v>561</v>
      </c>
      <c r="C102" s="82" t="s">
        <v>534</v>
      </c>
      <c r="D102" s="110">
        <v>10000.0</v>
      </c>
      <c r="E102" s="110">
        <v>60.0</v>
      </c>
      <c r="F102" s="110">
        <v>51.0</v>
      </c>
      <c r="G102" s="110">
        <v>12850.1</v>
      </c>
      <c r="H102" s="85">
        <v>46161.0</v>
      </c>
      <c r="I102" s="85">
        <v>46212.0</v>
      </c>
      <c r="J102" s="82" t="s">
        <v>540</v>
      </c>
      <c r="K102" s="86">
        <v>1160374.0</v>
      </c>
      <c r="L102" s="110">
        <v>277343.84</v>
      </c>
      <c r="M102" s="80" t="s">
        <v>539</v>
      </c>
      <c r="N102" s="80"/>
      <c r="O102" s="80"/>
      <c r="P102" s="80"/>
      <c r="Q102" s="80"/>
      <c r="R102" s="80"/>
      <c r="S102" s="80"/>
      <c r="T102" s="80"/>
      <c r="U102" s="80"/>
      <c r="V102" s="80"/>
      <c r="W102" s="80"/>
      <c r="X102" s="80"/>
      <c r="Y102" s="80"/>
      <c r="Z102" s="80"/>
    </row>
    <row r="103">
      <c r="A103" s="87">
        <v>2082.0</v>
      </c>
      <c r="B103" s="82" t="s">
        <v>561</v>
      </c>
      <c r="C103" s="82" t="s">
        <v>534</v>
      </c>
      <c r="D103" s="110">
        <v>10000.0</v>
      </c>
      <c r="E103" s="110">
        <v>60.0</v>
      </c>
      <c r="F103" s="110">
        <v>14.0</v>
      </c>
      <c r="G103" s="110">
        <v>4484.6</v>
      </c>
      <c r="H103" s="85">
        <v>46198.0</v>
      </c>
      <c r="I103" s="85">
        <v>46212.0</v>
      </c>
      <c r="J103" s="82" t="s">
        <v>535</v>
      </c>
      <c r="K103" s="86">
        <v>1161992.0</v>
      </c>
      <c r="L103" s="110">
        <v>369655.42</v>
      </c>
      <c r="M103" s="80" t="s">
        <v>539</v>
      </c>
      <c r="N103" s="80"/>
      <c r="O103" s="80"/>
      <c r="P103" s="80"/>
      <c r="Q103" s="80"/>
      <c r="R103" s="80"/>
      <c r="S103" s="80"/>
      <c r="T103" s="80"/>
      <c r="U103" s="80"/>
      <c r="V103" s="80"/>
      <c r="W103" s="80"/>
      <c r="X103" s="80"/>
      <c r="Y103" s="80"/>
      <c r="Z103" s="80"/>
    </row>
    <row r="104">
      <c r="A104" s="87">
        <v>2086.0</v>
      </c>
      <c r="B104" s="82" t="s">
        <v>561</v>
      </c>
      <c r="C104" s="82" t="s">
        <v>534</v>
      </c>
      <c r="D104" s="110">
        <v>10000.0</v>
      </c>
      <c r="E104" s="110">
        <v>60.0</v>
      </c>
      <c r="F104" s="110">
        <v>20.0</v>
      </c>
      <c r="G104" s="110">
        <v>5067.2</v>
      </c>
      <c r="H104" s="85">
        <v>46192.0</v>
      </c>
      <c r="I104" s="85">
        <v>46212.0</v>
      </c>
      <c r="J104" s="82" t="s">
        <v>535</v>
      </c>
      <c r="K104" s="86">
        <v>1161903.0</v>
      </c>
      <c r="L104" s="110">
        <v>422657.77</v>
      </c>
      <c r="M104" s="80" t="s">
        <v>539</v>
      </c>
      <c r="N104" s="80"/>
      <c r="O104" s="80"/>
      <c r="P104" s="80"/>
      <c r="Q104" s="80"/>
      <c r="R104" s="80"/>
      <c r="S104" s="80"/>
      <c r="T104" s="80"/>
      <c r="U104" s="80"/>
      <c r="V104" s="80"/>
      <c r="W104" s="80"/>
      <c r="X104" s="80"/>
      <c r="Y104" s="80"/>
      <c r="Z104" s="80"/>
    </row>
    <row r="105">
      <c r="A105" s="87">
        <v>2087.0</v>
      </c>
      <c r="B105" s="82" t="s">
        <v>561</v>
      </c>
      <c r="C105" s="82" t="s">
        <v>534</v>
      </c>
      <c r="D105" s="110">
        <v>10000.0</v>
      </c>
      <c r="E105" s="110">
        <v>60.0</v>
      </c>
      <c r="F105" s="110">
        <v>30.0</v>
      </c>
      <c r="G105" s="110">
        <v>4977.8</v>
      </c>
      <c r="H105" s="85">
        <v>46182.0</v>
      </c>
      <c r="I105" s="85">
        <v>46212.0</v>
      </c>
      <c r="J105" s="82" t="s">
        <v>535</v>
      </c>
      <c r="K105" s="86">
        <v>1161699.0</v>
      </c>
      <c r="L105" s="110">
        <v>419667.58</v>
      </c>
      <c r="M105" s="80" t="s">
        <v>536</v>
      </c>
      <c r="N105" s="80"/>
      <c r="O105" s="80"/>
      <c r="P105" s="80"/>
      <c r="Q105" s="80"/>
      <c r="R105" s="80"/>
      <c r="S105" s="80"/>
      <c r="T105" s="80"/>
      <c r="U105" s="80"/>
      <c r="V105" s="80"/>
      <c r="W105" s="80"/>
      <c r="X105" s="80"/>
      <c r="Y105" s="80"/>
      <c r="Z105" s="80"/>
    </row>
    <row r="106">
      <c r="A106" s="87">
        <v>2179.0</v>
      </c>
      <c r="B106" s="82" t="s">
        <v>566</v>
      </c>
      <c r="C106" s="82" t="s">
        <v>536</v>
      </c>
      <c r="D106" s="110">
        <v>5000.0</v>
      </c>
      <c r="E106" s="110">
        <v>90.0</v>
      </c>
      <c r="F106" s="110">
        <v>125.0</v>
      </c>
      <c r="G106" s="110">
        <v>2148.1</v>
      </c>
      <c r="H106" s="85">
        <v>46087.0</v>
      </c>
      <c r="I106" s="85">
        <v>46212.0</v>
      </c>
      <c r="J106" s="82" t="s">
        <v>540</v>
      </c>
      <c r="K106" s="86">
        <v>1152236.0</v>
      </c>
      <c r="L106" s="110">
        <v>281345.75</v>
      </c>
      <c r="M106" s="80" t="s">
        <v>554</v>
      </c>
      <c r="N106" s="80"/>
      <c r="O106" s="80"/>
      <c r="P106" s="80"/>
      <c r="Q106" s="80"/>
      <c r="R106" s="80"/>
      <c r="S106" s="80"/>
      <c r="T106" s="80"/>
      <c r="U106" s="80"/>
      <c r="V106" s="80"/>
      <c r="W106" s="80"/>
      <c r="X106" s="80"/>
      <c r="Y106" s="80"/>
      <c r="Z106" s="80"/>
    </row>
    <row r="107">
      <c r="A107" s="87">
        <v>2187.0</v>
      </c>
      <c r="B107" s="82" t="s">
        <v>566</v>
      </c>
      <c r="C107" s="82" t="s">
        <v>536</v>
      </c>
      <c r="D107" s="110">
        <v>5000.0</v>
      </c>
      <c r="E107" s="110">
        <v>90.0</v>
      </c>
      <c r="F107" s="110">
        <v>125.0</v>
      </c>
      <c r="G107" s="110">
        <v>3150.8</v>
      </c>
      <c r="H107" s="85">
        <v>46087.0</v>
      </c>
      <c r="I107" s="85">
        <v>46212.0</v>
      </c>
      <c r="J107" s="82" t="s">
        <v>540</v>
      </c>
      <c r="K107" s="86">
        <v>1152239.0</v>
      </c>
      <c r="L107" s="110">
        <v>329753.53</v>
      </c>
      <c r="M107" s="80" t="s">
        <v>554</v>
      </c>
      <c r="N107" s="80"/>
      <c r="O107" s="80"/>
      <c r="P107" s="80"/>
      <c r="Q107" s="80"/>
      <c r="R107" s="80"/>
      <c r="S107" s="80"/>
      <c r="T107" s="80"/>
      <c r="U107" s="80"/>
      <c r="V107" s="80"/>
      <c r="W107" s="80"/>
      <c r="X107" s="80"/>
      <c r="Y107" s="80"/>
      <c r="Z107" s="80"/>
    </row>
    <row r="108">
      <c r="A108" s="87">
        <v>2188.0</v>
      </c>
      <c r="B108" s="82" t="s">
        <v>566</v>
      </c>
      <c r="C108" s="82" t="s">
        <v>536</v>
      </c>
      <c r="D108" s="110">
        <v>5000.0</v>
      </c>
      <c r="E108" s="110">
        <v>90.0</v>
      </c>
      <c r="F108" s="110">
        <v>44.0</v>
      </c>
      <c r="G108" s="110">
        <v>2220.7</v>
      </c>
      <c r="H108" s="85">
        <v>46168.0</v>
      </c>
      <c r="I108" s="85">
        <v>46212.0</v>
      </c>
      <c r="J108" s="82" t="s">
        <v>535</v>
      </c>
      <c r="K108" s="86">
        <v>1161296.0</v>
      </c>
      <c r="L108" s="110">
        <v>361381.06</v>
      </c>
      <c r="M108" s="80" t="s">
        <v>538</v>
      </c>
      <c r="N108" s="80"/>
      <c r="O108" s="80"/>
      <c r="P108" s="80"/>
      <c r="Q108" s="80"/>
      <c r="R108" s="80"/>
      <c r="S108" s="80"/>
      <c r="T108" s="80"/>
      <c r="U108" s="80"/>
      <c r="V108" s="80"/>
      <c r="W108" s="80"/>
      <c r="X108" s="80"/>
      <c r="Y108" s="80"/>
      <c r="Z108" s="80"/>
    </row>
    <row r="109">
      <c r="A109" s="87">
        <v>2194.0</v>
      </c>
      <c r="B109" s="82" t="s">
        <v>567</v>
      </c>
      <c r="C109" s="82" t="s">
        <v>536</v>
      </c>
      <c r="D109" s="110">
        <v>5000.0</v>
      </c>
      <c r="E109" s="110">
        <v>90.0</v>
      </c>
      <c r="F109" s="110">
        <v>45.0</v>
      </c>
      <c r="G109" s="110">
        <v>2081.0</v>
      </c>
      <c r="H109" s="85">
        <v>46167.0</v>
      </c>
      <c r="I109" s="85">
        <v>46212.0</v>
      </c>
      <c r="J109" s="82" t="s">
        <v>535</v>
      </c>
      <c r="K109" s="86">
        <v>1161126.0</v>
      </c>
      <c r="L109" s="110">
        <v>352492.44</v>
      </c>
      <c r="M109" s="80" t="s">
        <v>554</v>
      </c>
      <c r="N109" s="80"/>
      <c r="O109" s="80"/>
      <c r="P109" s="80"/>
      <c r="Q109" s="80"/>
      <c r="R109" s="80"/>
      <c r="S109" s="80"/>
      <c r="T109" s="80"/>
      <c r="U109" s="80"/>
      <c r="V109" s="80"/>
      <c r="W109" s="80"/>
      <c r="X109" s="80"/>
      <c r="Y109" s="80"/>
      <c r="Z109" s="80"/>
    </row>
    <row r="110">
      <c r="A110" s="87">
        <v>2195.0</v>
      </c>
      <c r="B110" s="82" t="s">
        <v>567</v>
      </c>
      <c r="C110" s="82" t="s">
        <v>536</v>
      </c>
      <c r="D110" s="110">
        <v>5000.0</v>
      </c>
      <c r="E110" s="110">
        <v>90.0</v>
      </c>
      <c r="F110" s="110">
        <v>35.0</v>
      </c>
      <c r="G110" s="110">
        <v>929.0</v>
      </c>
      <c r="H110" s="85">
        <v>46177.0</v>
      </c>
      <c r="I110" s="85">
        <v>46212.0</v>
      </c>
      <c r="J110" s="82" t="s">
        <v>535</v>
      </c>
      <c r="K110" s="86">
        <v>1161654.0</v>
      </c>
      <c r="L110" s="110">
        <v>249116.16</v>
      </c>
      <c r="M110" s="80" t="s">
        <v>554</v>
      </c>
      <c r="N110" s="80"/>
      <c r="O110" s="80"/>
      <c r="P110" s="80"/>
      <c r="Q110" s="80"/>
      <c r="R110" s="80"/>
      <c r="S110" s="80"/>
      <c r="T110" s="80"/>
      <c r="U110" s="80"/>
      <c r="V110" s="80"/>
      <c r="W110" s="80"/>
      <c r="X110" s="80"/>
      <c r="Y110" s="80"/>
      <c r="Z110" s="80"/>
    </row>
    <row r="111">
      <c r="A111" s="87">
        <v>2196.0</v>
      </c>
      <c r="B111" s="82" t="s">
        <v>567</v>
      </c>
      <c r="C111" s="82" t="s">
        <v>536</v>
      </c>
      <c r="D111" s="110">
        <v>5000.0</v>
      </c>
      <c r="E111" s="110">
        <v>90.0</v>
      </c>
      <c r="F111" s="110">
        <v>36.0</v>
      </c>
      <c r="G111" s="110">
        <v>1223.4</v>
      </c>
      <c r="H111" s="85">
        <v>46176.0</v>
      </c>
      <c r="I111" s="85">
        <v>46212.0</v>
      </c>
      <c r="J111" s="82" t="s">
        <v>535</v>
      </c>
      <c r="K111" s="86">
        <v>1161575.0</v>
      </c>
      <c r="L111" s="110">
        <v>290767.73</v>
      </c>
      <c r="M111" s="80" t="s">
        <v>554</v>
      </c>
      <c r="N111" s="80"/>
      <c r="O111" s="80"/>
      <c r="P111" s="80"/>
      <c r="Q111" s="80"/>
      <c r="R111" s="80"/>
      <c r="S111" s="80"/>
      <c r="T111" s="80"/>
      <c r="U111" s="80"/>
      <c r="V111" s="80"/>
      <c r="W111" s="80"/>
      <c r="X111" s="80"/>
      <c r="Y111" s="80"/>
      <c r="Z111" s="80"/>
    </row>
    <row r="112">
      <c r="A112" s="87">
        <v>2197.0</v>
      </c>
      <c r="B112" s="82" t="s">
        <v>567</v>
      </c>
      <c r="C112" s="82" t="s">
        <v>536</v>
      </c>
      <c r="D112" s="110">
        <v>5000.0</v>
      </c>
      <c r="E112" s="110">
        <v>90.0</v>
      </c>
      <c r="F112" s="110">
        <v>49.0</v>
      </c>
      <c r="G112" s="110">
        <v>1280.7</v>
      </c>
      <c r="H112" s="85">
        <v>46163.0</v>
      </c>
      <c r="I112" s="85">
        <v>46212.0</v>
      </c>
      <c r="J112" s="82" t="s">
        <v>535</v>
      </c>
      <c r="K112" s="86">
        <v>1160719.0</v>
      </c>
      <c r="L112" s="110">
        <v>367062.01</v>
      </c>
      <c r="M112" s="80" t="s">
        <v>554</v>
      </c>
      <c r="N112" s="80"/>
      <c r="O112" s="80"/>
      <c r="P112" s="80"/>
      <c r="Q112" s="80"/>
      <c r="R112" s="80"/>
      <c r="S112" s="80"/>
      <c r="T112" s="80"/>
      <c r="U112" s="80"/>
      <c r="V112" s="80"/>
      <c r="W112" s="80"/>
      <c r="X112" s="80"/>
      <c r="Y112" s="80"/>
      <c r="Z112" s="80"/>
    </row>
    <row r="113">
      <c r="A113" s="87">
        <v>2198.0</v>
      </c>
      <c r="B113" s="82" t="s">
        <v>567</v>
      </c>
      <c r="C113" s="82" t="s">
        <v>536</v>
      </c>
      <c r="D113" s="110">
        <v>5000.0</v>
      </c>
      <c r="E113" s="110">
        <v>90.0</v>
      </c>
      <c r="F113" s="110">
        <v>62.0</v>
      </c>
      <c r="G113" s="110">
        <v>2495.0</v>
      </c>
      <c r="H113" s="85">
        <v>46150.0</v>
      </c>
      <c r="I113" s="85">
        <v>46212.0</v>
      </c>
      <c r="J113" s="82" t="s">
        <v>535</v>
      </c>
      <c r="K113" s="86">
        <v>1158995.0</v>
      </c>
      <c r="L113" s="110">
        <v>201287.97</v>
      </c>
      <c r="M113" s="80" t="s">
        <v>554</v>
      </c>
      <c r="N113" s="80"/>
      <c r="O113" s="80"/>
      <c r="P113" s="80"/>
      <c r="Q113" s="80"/>
      <c r="R113" s="80"/>
      <c r="S113" s="80"/>
      <c r="T113" s="80"/>
      <c r="U113" s="80"/>
      <c r="V113" s="80"/>
      <c r="W113" s="80"/>
      <c r="X113" s="80"/>
      <c r="Y113" s="80"/>
      <c r="Z113" s="80"/>
    </row>
    <row r="114">
      <c r="A114" s="87">
        <v>2200.0</v>
      </c>
      <c r="B114" s="82" t="s">
        <v>567</v>
      </c>
      <c r="C114" s="82" t="s">
        <v>536</v>
      </c>
      <c r="D114" s="110">
        <v>5000.0</v>
      </c>
      <c r="E114" s="110">
        <v>90.0</v>
      </c>
      <c r="F114" s="110">
        <v>100.0</v>
      </c>
      <c r="G114" s="110">
        <v>4760.8</v>
      </c>
      <c r="H114" s="85">
        <v>46112.0</v>
      </c>
      <c r="I114" s="85">
        <v>46212.0</v>
      </c>
      <c r="J114" s="82" t="s">
        <v>540</v>
      </c>
      <c r="K114" s="86">
        <v>1154834.0</v>
      </c>
      <c r="L114" s="110">
        <v>353947.11</v>
      </c>
      <c r="M114" s="80" t="s">
        <v>554</v>
      </c>
      <c r="N114" s="80"/>
      <c r="O114" s="80"/>
      <c r="P114" s="80"/>
      <c r="Q114" s="80"/>
      <c r="R114" s="80"/>
      <c r="S114" s="80"/>
      <c r="T114" s="80"/>
      <c r="U114" s="80"/>
      <c r="V114" s="80"/>
      <c r="W114" s="80"/>
      <c r="X114" s="80"/>
      <c r="Y114" s="80"/>
      <c r="Z114" s="80"/>
    </row>
    <row r="115">
      <c r="A115" s="87">
        <v>2201.0</v>
      </c>
      <c r="B115" s="82" t="s">
        <v>567</v>
      </c>
      <c r="C115" s="82" t="s">
        <v>536</v>
      </c>
      <c r="D115" s="110">
        <v>5000.0</v>
      </c>
      <c r="E115" s="110">
        <v>90.0</v>
      </c>
      <c r="F115" s="110">
        <v>35.0</v>
      </c>
      <c r="G115" s="110">
        <v>825.0</v>
      </c>
      <c r="H115" s="85">
        <v>46177.0</v>
      </c>
      <c r="I115" s="85">
        <v>46212.0</v>
      </c>
      <c r="J115" s="82" t="s">
        <v>535</v>
      </c>
      <c r="K115" s="86">
        <v>1161653.0</v>
      </c>
      <c r="L115" s="110">
        <v>275463.24</v>
      </c>
      <c r="M115" s="80" t="s">
        <v>536</v>
      </c>
      <c r="N115" s="80"/>
      <c r="O115" s="80"/>
      <c r="P115" s="80"/>
      <c r="Q115" s="80"/>
      <c r="R115" s="80"/>
      <c r="S115" s="80"/>
      <c r="T115" s="80"/>
      <c r="U115" s="80"/>
      <c r="V115" s="80"/>
      <c r="W115" s="80"/>
      <c r="X115" s="80"/>
      <c r="Y115" s="80"/>
      <c r="Z115" s="80"/>
    </row>
    <row r="116">
      <c r="A116" s="87">
        <v>2202.0</v>
      </c>
      <c r="B116" s="82" t="s">
        <v>567</v>
      </c>
      <c r="C116" s="82" t="s">
        <v>536</v>
      </c>
      <c r="D116" s="110">
        <v>5000.0</v>
      </c>
      <c r="E116" s="110">
        <v>90.0</v>
      </c>
      <c r="F116" s="110">
        <v>62.0</v>
      </c>
      <c r="G116" s="110">
        <v>1421.2</v>
      </c>
      <c r="H116" s="85">
        <v>46150.0</v>
      </c>
      <c r="I116" s="85">
        <v>46212.0</v>
      </c>
      <c r="J116" s="82" t="s">
        <v>535</v>
      </c>
      <c r="K116" s="86">
        <v>1159009.0</v>
      </c>
      <c r="L116" s="110">
        <v>258350.94</v>
      </c>
      <c r="M116" s="80" t="s">
        <v>554</v>
      </c>
      <c r="N116" s="80"/>
      <c r="O116" s="80"/>
      <c r="P116" s="80"/>
      <c r="Q116" s="80"/>
      <c r="R116" s="80"/>
      <c r="S116" s="80"/>
      <c r="T116" s="80"/>
      <c r="U116" s="80"/>
      <c r="V116" s="80"/>
      <c r="W116" s="80"/>
      <c r="X116" s="80"/>
      <c r="Y116" s="80"/>
      <c r="Z116" s="80"/>
    </row>
    <row r="117">
      <c r="A117" s="87">
        <v>2204.0</v>
      </c>
      <c r="B117" s="82" t="s">
        <v>567</v>
      </c>
      <c r="C117" s="82" t="s">
        <v>536</v>
      </c>
      <c r="D117" s="110">
        <v>5000.0</v>
      </c>
      <c r="E117" s="110">
        <v>90.0</v>
      </c>
      <c r="F117" s="110">
        <v>56.0</v>
      </c>
      <c r="G117" s="110">
        <v>3402.5</v>
      </c>
      <c r="H117" s="85">
        <v>46156.0</v>
      </c>
      <c r="I117" s="85">
        <v>46212.0</v>
      </c>
      <c r="J117" s="82" t="s">
        <v>535</v>
      </c>
      <c r="K117" s="86">
        <v>1159857.0</v>
      </c>
      <c r="L117" s="110">
        <v>371621.01</v>
      </c>
      <c r="M117" s="80" t="s">
        <v>554</v>
      </c>
      <c r="N117" s="80"/>
      <c r="O117" s="80"/>
      <c r="P117" s="80"/>
      <c r="Q117" s="80"/>
      <c r="R117" s="80"/>
      <c r="S117" s="80"/>
      <c r="T117" s="80"/>
      <c r="U117" s="80"/>
      <c r="V117" s="80"/>
      <c r="W117" s="80"/>
      <c r="X117" s="80"/>
      <c r="Y117" s="80"/>
      <c r="Z117" s="80"/>
    </row>
    <row r="118">
      <c r="A118" s="87">
        <v>2206.0</v>
      </c>
      <c r="B118" s="82" t="s">
        <v>567</v>
      </c>
      <c r="C118" s="82" t="s">
        <v>536</v>
      </c>
      <c r="D118" s="110">
        <v>5000.0</v>
      </c>
      <c r="E118" s="110">
        <v>90.0</v>
      </c>
      <c r="F118" s="110">
        <v>122.0</v>
      </c>
      <c r="G118" s="110">
        <v>1038.4</v>
      </c>
      <c r="H118" s="85">
        <v>46090.0</v>
      </c>
      <c r="I118" s="85">
        <v>46212.0</v>
      </c>
      <c r="J118" s="82" t="s">
        <v>540</v>
      </c>
      <c r="K118" s="86">
        <v>1152383.0</v>
      </c>
      <c r="L118" s="110">
        <v>243380.71</v>
      </c>
      <c r="M118" s="80" t="s">
        <v>554</v>
      </c>
      <c r="N118" s="80"/>
      <c r="O118" s="80"/>
      <c r="P118" s="80"/>
      <c r="Q118" s="80"/>
      <c r="R118" s="80"/>
      <c r="S118" s="80"/>
      <c r="T118" s="80"/>
      <c r="U118" s="80"/>
      <c r="V118" s="80"/>
      <c r="W118" s="80"/>
      <c r="X118" s="80"/>
      <c r="Y118" s="80"/>
      <c r="Z118" s="80"/>
    </row>
    <row r="119">
      <c r="A119" s="87">
        <v>2230.0</v>
      </c>
      <c r="B119" s="82" t="s">
        <v>566</v>
      </c>
      <c r="C119" s="82" t="s">
        <v>536</v>
      </c>
      <c r="D119" s="110">
        <v>5000.0</v>
      </c>
      <c r="E119" s="110">
        <v>90.0</v>
      </c>
      <c r="F119" s="110">
        <v>119.0</v>
      </c>
      <c r="G119" s="110">
        <v>3435.1</v>
      </c>
      <c r="H119" s="85">
        <v>46093.0</v>
      </c>
      <c r="I119" s="85">
        <v>46212.0</v>
      </c>
      <c r="J119" s="82" t="s">
        <v>540</v>
      </c>
      <c r="K119" s="86">
        <v>1153096.0</v>
      </c>
      <c r="L119" s="110">
        <v>210945.25</v>
      </c>
      <c r="M119" s="80" t="s">
        <v>554</v>
      </c>
      <c r="N119" s="80"/>
      <c r="O119" s="80"/>
      <c r="P119" s="80"/>
      <c r="Q119" s="80"/>
      <c r="R119" s="80"/>
      <c r="S119" s="80"/>
      <c r="T119" s="80"/>
      <c r="U119" s="80"/>
      <c r="V119" s="80"/>
      <c r="W119" s="80"/>
      <c r="X119" s="80"/>
      <c r="Y119" s="80"/>
      <c r="Z119" s="80"/>
    </row>
    <row r="120">
      <c r="A120" s="87">
        <v>2275.0</v>
      </c>
      <c r="B120" s="82" t="s">
        <v>568</v>
      </c>
      <c r="C120" s="82" t="s">
        <v>536</v>
      </c>
      <c r="D120" s="110">
        <v>5000.0</v>
      </c>
      <c r="E120" s="110">
        <v>90.0</v>
      </c>
      <c r="F120" s="110">
        <v>150.0</v>
      </c>
      <c r="G120" s="110">
        <v>987.1</v>
      </c>
      <c r="H120" s="85">
        <v>46062.0</v>
      </c>
      <c r="I120" s="85">
        <v>46212.0</v>
      </c>
      <c r="J120" s="82" t="s">
        <v>540</v>
      </c>
      <c r="K120" s="86">
        <v>1149192.0</v>
      </c>
      <c r="L120" s="110">
        <v>252898.48</v>
      </c>
      <c r="M120" s="80" t="s">
        <v>554</v>
      </c>
      <c r="N120" s="80"/>
      <c r="O120" s="80"/>
      <c r="P120" s="80"/>
      <c r="Q120" s="80"/>
      <c r="R120" s="80"/>
      <c r="S120" s="80"/>
      <c r="T120" s="80"/>
      <c r="U120" s="80"/>
      <c r="V120" s="80"/>
      <c r="W120" s="80"/>
      <c r="X120" s="80"/>
      <c r="Y120" s="80"/>
      <c r="Z120" s="80"/>
    </row>
    <row r="121">
      <c r="A121" s="87">
        <v>2276.0</v>
      </c>
      <c r="B121" s="82" t="s">
        <v>568</v>
      </c>
      <c r="C121" s="82" t="s">
        <v>536</v>
      </c>
      <c r="D121" s="110">
        <v>5000.0</v>
      </c>
      <c r="E121" s="110">
        <v>90.0</v>
      </c>
      <c r="F121" s="110">
        <v>86.0</v>
      </c>
      <c r="G121" s="110">
        <v>2421.0</v>
      </c>
      <c r="H121" s="85">
        <v>46126.0</v>
      </c>
      <c r="I121" s="85">
        <v>46212.0</v>
      </c>
      <c r="J121" s="82" t="s">
        <v>535</v>
      </c>
      <c r="K121" s="86">
        <v>1156101.0</v>
      </c>
      <c r="L121" s="110">
        <v>281259.35</v>
      </c>
      <c r="M121" s="80" t="s">
        <v>554</v>
      </c>
      <c r="N121" s="80"/>
      <c r="O121" s="80"/>
      <c r="P121" s="80"/>
      <c r="Q121" s="80"/>
      <c r="R121" s="80"/>
      <c r="S121" s="80"/>
      <c r="T121" s="80"/>
      <c r="U121" s="80"/>
      <c r="V121" s="80"/>
      <c r="W121" s="80"/>
      <c r="X121" s="80"/>
      <c r="Y121" s="80"/>
      <c r="Z121" s="80"/>
    </row>
    <row r="122">
      <c r="A122" s="87">
        <v>2334.0</v>
      </c>
      <c r="B122" s="82" t="s">
        <v>569</v>
      </c>
      <c r="C122" s="82" t="s">
        <v>570</v>
      </c>
      <c r="D122" s="110">
        <v>5000.0</v>
      </c>
      <c r="E122" s="110">
        <v>90.0</v>
      </c>
      <c r="F122" s="110">
        <v>35.0</v>
      </c>
      <c r="G122" s="110">
        <v>2291.0</v>
      </c>
      <c r="H122" s="85">
        <v>46177.0</v>
      </c>
      <c r="I122" s="85">
        <v>46212.0</v>
      </c>
      <c r="J122" s="82" t="s">
        <v>535</v>
      </c>
      <c r="K122" s="86">
        <v>1161652.0</v>
      </c>
      <c r="L122" s="110">
        <v>611575.34</v>
      </c>
      <c r="M122" s="80" t="s">
        <v>554</v>
      </c>
      <c r="N122" s="80"/>
      <c r="O122" s="80"/>
      <c r="P122" s="80"/>
      <c r="Q122" s="80"/>
      <c r="R122" s="80"/>
      <c r="S122" s="80"/>
      <c r="T122" s="80"/>
      <c r="U122" s="80"/>
      <c r="V122" s="80"/>
      <c r="W122" s="80"/>
      <c r="X122" s="80"/>
      <c r="Y122" s="80"/>
      <c r="Z122" s="80"/>
    </row>
    <row r="123">
      <c r="A123" s="87">
        <v>2339.0</v>
      </c>
      <c r="B123" s="82" t="s">
        <v>569</v>
      </c>
      <c r="C123" s="82" t="s">
        <v>536</v>
      </c>
      <c r="D123" s="110">
        <v>5000.0</v>
      </c>
      <c r="E123" s="110">
        <v>90.0</v>
      </c>
      <c r="F123" s="110">
        <v>111.0</v>
      </c>
      <c r="G123" s="110">
        <v>5563.3</v>
      </c>
      <c r="H123" s="85">
        <v>46101.0</v>
      </c>
      <c r="I123" s="85">
        <v>46212.0</v>
      </c>
      <c r="J123" s="82" t="s">
        <v>540</v>
      </c>
      <c r="K123" s="86">
        <v>1153983.0</v>
      </c>
      <c r="L123" s="110">
        <v>398154.72</v>
      </c>
      <c r="M123" s="80" t="s">
        <v>554</v>
      </c>
      <c r="N123" s="80"/>
      <c r="O123" s="80"/>
      <c r="P123" s="80"/>
      <c r="Q123" s="80"/>
      <c r="R123" s="80"/>
      <c r="S123" s="80"/>
      <c r="T123" s="80"/>
      <c r="U123" s="80"/>
      <c r="V123" s="80"/>
      <c r="W123" s="80"/>
      <c r="X123" s="80"/>
      <c r="Y123" s="80"/>
      <c r="Z123" s="80"/>
    </row>
    <row r="124">
      <c r="A124" s="87">
        <v>2354.0</v>
      </c>
      <c r="B124" s="82" t="s">
        <v>571</v>
      </c>
      <c r="C124" s="82" t="s">
        <v>537</v>
      </c>
      <c r="D124" s="110">
        <v>5000.0</v>
      </c>
      <c r="E124" s="110">
        <v>90.0</v>
      </c>
      <c r="F124" s="110">
        <v>43.0</v>
      </c>
      <c r="G124" s="110">
        <v>1659.9</v>
      </c>
      <c r="H124" s="85">
        <v>46169.0</v>
      </c>
      <c r="I124" s="85">
        <v>46212.0</v>
      </c>
      <c r="J124" s="82" t="s">
        <v>535</v>
      </c>
      <c r="K124" s="86">
        <v>1161358.0</v>
      </c>
      <c r="L124" s="110">
        <v>1036660.7</v>
      </c>
      <c r="M124" s="80" t="s">
        <v>554</v>
      </c>
      <c r="N124" s="80"/>
      <c r="O124" s="80"/>
      <c r="P124" s="80"/>
      <c r="Q124" s="80"/>
      <c r="R124" s="80"/>
      <c r="S124" s="80"/>
      <c r="T124" s="80"/>
      <c r="U124" s="80"/>
      <c r="V124" s="80"/>
      <c r="W124" s="80"/>
      <c r="X124" s="80"/>
      <c r="Y124" s="80"/>
      <c r="Z124" s="80"/>
    </row>
    <row r="125">
      <c r="A125" s="87">
        <v>2355.0</v>
      </c>
      <c r="B125" s="82" t="s">
        <v>571</v>
      </c>
      <c r="C125" s="82" t="s">
        <v>537</v>
      </c>
      <c r="D125" s="110">
        <v>5000.0</v>
      </c>
      <c r="E125" s="110">
        <v>90.0</v>
      </c>
      <c r="F125" s="110">
        <v>139.0</v>
      </c>
      <c r="G125" s="110">
        <v>5454.7</v>
      </c>
      <c r="H125" s="85">
        <v>46073.0</v>
      </c>
      <c r="I125" s="85">
        <v>46212.0</v>
      </c>
      <c r="J125" s="82" t="s">
        <v>540</v>
      </c>
      <c r="K125" s="86">
        <v>1150560.0</v>
      </c>
      <c r="L125" s="110">
        <v>181200.05</v>
      </c>
      <c r="M125" s="80" t="s">
        <v>554</v>
      </c>
      <c r="N125" s="80"/>
      <c r="O125" s="80"/>
      <c r="P125" s="80"/>
      <c r="Q125" s="80"/>
      <c r="R125" s="80"/>
      <c r="S125" s="80"/>
      <c r="T125" s="80"/>
      <c r="U125" s="80"/>
      <c r="V125" s="80"/>
      <c r="W125" s="80"/>
      <c r="X125" s="80"/>
      <c r="Y125" s="80"/>
      <c r="Z125" s="80"/>
    </row>
    <row r="126">
      <c r="A126" s="87">
        <v>2360.0</v>
      </c>
      <c r="B126" s="82" t="s">
        <v>571</v>
      </c>
      <c r="C126" s="82" t="s">
        <v>536</v>
      </c>
      <c r="D126" s="110">
        <v>5000.0</v>
      </c>
      <c r="E126" s="110">
        <v>90.0</v>
      </c>
      <c r="F126" s="110">
        <v>33.0</v>
      </c>
      <c r="G126" s="110">
        <v>1244.4</v>
      </c>
      <c r="H126" s="85">
        <v>46179.0</v>
      </c>
      <c r="I126" s="85">
        <v>46212.0</v>
      </c>
      <c r="J126" s="82" t="s">
        <v>535</v>
      </c>
      <c r="K126" s="86">
        <v>1161677.0</v>
      </c>
      <c r="L126" s="110">
        <v>221867.06</v>
      </c>
      <c r="M126" s="80" t="s">
        <v>554</v>
      </c>
      <c r="N126" s="80"/>
      <c r="O126" s="80"/>
      <c r="P126" s="80"/>
      <c r="Q126" s="80"/>
      <c r="R126" s="80"/>
      <c r="S126" s="80"/>
      <c r="T126" s="80"/>
      <c r="U126" s="80"/>
      <c r="V126" s="80"/>
      <c r="W126" s="80"/>
      <c r="X126" s="80"/>
      <c r="Y126" s="80"/>
      <c r="Z126" s="80"/>
    </row>
    <row r="127">
      <c r="A127" s="87">
        <v>2366.0</v>
      </c>
      <c r="B127" s="82" t="s">
        <v>571</v>
      </c>
      <c r="C127" s="82" t="s">
        <v>536</v>
      </c>
      <c r="D127" s="110">
        <v>5000.0</v>
      </c>
      <c r="E127" s="110">
        <v>90.0</v>
      </c>
      <c r="F127" s="110">
        <v>100.0</v>
      </c>
      <c r="G127" s="110">
        <v>3088.3</v>
      </c>
      <c r="H127" s="85">
        <v>46112.0</v>
      </c>
      <c r="I127" s="85">
        <v>46212.0</v>
      </c>
      <c r="J127" s="82" t="s">
        <v>540</v>
      </c>
      <c r="K127" s="86">
        <v>1154833.0</v>
      </c>
      <c r="L127" s="110">
        <v>234425.02</v>
      </c>
      <c r="M127" s="80" t="s">
        <v>554</v>
      </c>
      <c r="N127" s="80"/>
      <c r="O127" s="80"/>
      <c r="P127" s="80"/>
      <c r="Q127" s="80"/>
      <c r="R127" s="80"/>
      <c r="S127" s="80"/>
      <c r="T127" s="80"/>
      <c r="U127" s="80"/>
      <c r="V127" s="80"/>
      <c r="W127" s="80"/>
      <c r="X127" s="80"/>
      <c r="Y127" s="80"/>
      <c r="Z127" s="80"/>
    </row>
    <row r="128">
      <c r="A128" s="87">
        <v>2367.0</v>
      </c>
      <c r="B128" s="82" t="s">
        <v>572</v>
      </c>
      <c r="C128" s="82" t="s">
        <v>537</v>
      </c>
      <c r="D128" s="110">
        <v>5000.0</v>
      </c>
      <c r="E128" s="110">
        <v>90.0</v>
      </c>
      <c r="F128" s="110">
        <v>59.0</v>
      </c>
      <c r="G128" s="110">
        <v>7228.0</v>
      </c>
      <c r="H128" s="85">
        <v>46153.0</v>
      </c>
      <c r="I128" s="85">
        <v>46212.0</v>
      </c>
      <c r="J128" s="82" t="s">
        <v>540</v>
      </c>
      <c r="K128" s="86">
        <v>1159295.0</v>
      </c>
      <c r="L128" s="110">
        <v>343923.53</v>
      </c>
      <c r="M128" s="80" t="s">
        <v>536</v>
      </c>
      <c r="N128" s="80"/>
      <c r="O128" s="80"/>
      <c r="P128" s="80"/>
      <c r="Q128" s="80"/>
      <c r="R128" s="80"/>
      <c r="S128" s="80"/>
      <c r="T128" s="80"/>
      <c r="U128" s="80"/>
      <c r="V128" s="80"/>
      <c r="W128" s="80"/>
      <c r="X128" s="80"/>
      <c r="Y128" s="80"/>
      <c r="Z128" s="80"/>
    </row>
    <row r="129">
      <c r="A129" s="87">
        <v>2369.0</v>
      </c>
      <c r="B129" s="82" t="s">
        <v>572</v>
      </c>
      <c r="C129" s="82" t="s">
        <v>536</v>
      </c>
      <c r="D129" s="110">
        <v>5000.0</v>
      </c>
      <c r="E129" s="110">
        <v>90.0</v>
      </c>
      <c r="F129" s="110">
        <v>36.0</v>
      </c>
      <c r="G129" s="110">
        <v>2406.3</v>
      </c>
      <c r="H129" s="85">
        <v>46176.0</v>
      </c>
      <c r="I129" s="85">
        <v>46212.0</v>
      </c>
      <c r="J129" s="82" t="s">
        <v>535</v>
      </c>
      <c r="K129" s="86">
        <v>1161579.0</v>
      </c>
      <c r="L129" s="110">
        <v>204413.06</v>
      </c>
      <c r="M129" s="80" t="s">
        <v>554</v>
      </c>
      <c r="N129" s="80"/>
      <c r="O129" s="80"/>
      <c r="P129" s="80"/>
      <c r="Q129" s="80"/>
      <c r="R129" s="80"/>
      <c r="S129" s="80"/>
      <c r="T129" s="80"/>
      <c r="U129" s="80"/>
      <c r="V129" s="80"/>
      <c r="W129" s="80"/>
      <c r="X129" s="80"/>
      <c r="Y129" s="80"/>
      <c r="Z129" s="80"/>
    </row>
    <row r="130">
      <c r="A130" s="87">
        <v>2374.0</v>
      </c>
      <c r="B130" s="82" t="s">
        <v>569</v>
      </c>
      <c r="C130" s="82" t="s">
        <v>536</v>
      </c>
      <c r="D130" s="110">
        <v>5000.0</v>
      </c>
      <c r="E130" s="110">
        <v>90.0</v>
      </c>
      <c r="F130" s="110">
        <v>119.0</v>
      </c>
      <c r="G130" s="110">
        <v>4320.8</v>
      </c>
      <c r="H130" s="85">
        <v>46093.0</v>
      </c>
      <c r="I130" s="85">
        <v>46212.0</v>
      </c>
      <c r="J130" s="82" t="s">
        <v>540</v>
      </c>
      <c r="K130" s="86">
        <v>1153100.0</v>
      </c>
      <c r="L130" s="110">
        <v>295767.34</v>
      </c>
      <c r="M130" s="80" t="s">
        <v>554</v>
      </c>
      <c r="N130" s="80"/>
      <c r="O130" s="80"/>
      <c r="P130" s="80"/>
      <c r="Q130" s="80"/>
      <c r="R130" s="80"/>
      <c r="S130" s="80"/>
      <c r="T130" s="80"/>
      <c r="U130" s="80"/>
      <c r="V130" s="80"/>
      <c r="W130" s="80"/>
      <c r="X130" s="80"/>
      <c r="Y130" s="80"/>
      <c r="Z130" s="80"/>
    </row>
    <row r="131">
      <c r="A131" s="87">
        <v>2376.0</v>
      </c>
      <c r="B131" s="82" t="s">
        <v>569</v>
      </c>
      <c r="C131" s="82" t="s">
        <v>536</v>
      </c>
      <c r="D131" s="110">
        <v>5000.0</v>
      </c>
      <c r="E131" s="110">
        <v>90.0</v>
      </c>
      <c r="F131" s="110">
        <v>62.0</v>
      </c>
      <c r="G131" s="110">
        <v>1111.6</v>
      </c>
      <c r="H131" s="85">
        <v>46150.0</v>
      </c>
      <c r="I131" s="85">
        <v>46212.0</v>
      </c>
      <c r="J131" s="82" t="s">
        <v>535</v>
      </c>
      <c r="K131" s="86">
        <v>1159006.0</v>
      </c>
      <c r="L131" s="110">
        <v>216215.06</v>
      </c>
      <c r="M131" s="80" t="s">
        <v>554</v>
      </c>
      <c r="N131" s="80"/>
      <c r="O131" s="80"/>
      <c r="P131" s="80"/>
      <c r="Q131" s="80"/>
      <c r="R131" s="80"/>
      <c r="S131" s="80"/>
      <c r="T131" s="80"/>
      <c r="U131" s="80"/>
      <c r="V131" s="80"/>
      <c r="W131" s="80"/>
      <c r="X131" s="80"/>
      <c r="Y131" s="80"/>
      <c r="Z131" s="80"/>
    </row>
    <row r="132">
      <c r="A132" s="87">
        <v>2378.0</v>
      </c>
      <c r="B132" s="82" t="s">
        <v>569</v>
      </c>
      <c r="C132" s="82" t="s">
        <v>536</v>
      </c>
      <c r="D132" s="110">
        <v>5000.0</v>
      </c>
      <c r="E132" s="110">
        <v>90.0</v>
      </c>
      <c r="F132" s="110">
        <v>43.0</v>
      </c>
      <c r="G132" s="110">
        <v>1022.8</v>
      </c>
      <c r="H132" s="85">
        <v>46169.0</v>
      </c>
      <c r="I132" s="85">
        <v>46212.0</v>
      </c>
      <c r="J132" s="82" t="s">
        <v>535</v>
      </c>
      <c r="K132" s="86">
        <v>1161360.0</v>
      </c>
      <c r="L132" s="110">
        <v>355601.11</v>
      </c>
      <c r="M132" s="80" t="s">
        <v>554</v>
      </c>
      <c r="N132" s="80"/>
      <c r="O132" s="80"/>
      <c r="P132" s="80"/>
      <c r="Q132" s="80"/>
      <c r="R132" s="80"/>
      <c r="S132" s="80"/>
      <c r="T132" s="80"/>
      <c r="U132" s="80"/>
      <c r="V132" s="80"/>
      <c r="W132" s="80"/>
      <c r="X132" s="80"/>
      <c r="Y132" s="80"/>
      <c r="Z132" s="80"/>
    </row>
    <row r="133">
      <c r="A133" s="87">
        <v>2379.0</v>
      </c>
      <c r="B133" s="82" t="s">
        <v>569</v>
      </c>
      <c r="C133" s="82" t="s">
        <v>537</v>
      </c>
      <c r="D133" s="110">
        <v>5000.0</v>
      </c>
      <c r="E133" s="110">
        <v>90.0</v>
      </c>
      <c r="F133" s="110">
        <v>62.0</v>
      </c>
      <c r="G133" s="110">
        <v>4798.0</v>
      </c>
      <c r="H133" s="85">
        <v>46150.0</v>
      </c>
      <c r="I133" s="85">
        <v>46212.0</v>
      </c>
      <c r="J133" s="82" t="s">
        <v>535</v>
      </c>
      <c r="K133" s="86">
        <v>1158981.0</v>
      </c>
      <c r="L133" s="110">
        <v>278217.68</v>
      </c>
      <c r="M133" s="80" t="s">
        <v>554</v>
      </c>
      <c r="N133" s="80"/>
      <c r="O133" s="80"/>
      <c r="P133" s="80"/>
      <c r="Q133" s="80"/>
      <c r="R133" s="80"/>
      <c r="S133" s="80"/>
      <c r="T133" s="80"/>
      <c r="U133" s="80"/>
      <c r="V133" s="80"/>
      <c r="W133" s="80"/>
      <c r="X133" s="80"/>
      <c r="Y133" s="80"/>
      <c r="Z133" s="80"/>
    </row>
    <row r="134">
      <c r="A134" s="87">
        <v>2384.0</v>
      </c>
      <c r="B134" s="82" t="s">
        <v>569</v>
      </c>
      <c r="C134" s="82" t="s">
        <v>536</v>
      </c>
      <c r="D134" s="110">
        <v>5000.0</v>
      </c>
      <c r="E134" s="110">
        <v>90.0</v>
      </c>
      <c r="F134" s="110">
        <v>70.0</v>
      </c>
      <c r="G134" s="110">
        <v>2692.3</v>
      </c>
      <c r="H134" s="85">
        <v>46142.0</v>
      </c>
      <c r="I134" s="85">
        <v>46212.0</v>
      </c>
      <c r="J134" s="82" t="s">
        <v>535</v>
      </c>
      <c r="K134" s="86">
        <v>1158022.0</v>
      </c>
      <c r="L134" s="110">
        <v>358460.52</v>
      </c>
      <c r="M134" s="80" t="s">
        <v>554</v>
      </c>
      <c r="N134" s="80"/>
      <c r="O134" s="80"/>
      <c r="P134" s="80"/>
      <c r="Q134" s="80"/>
      <c r="R134" s="80"/>
      <c r="S134" s="80"/>
      <c r="T134" s="80"/>
      <c r="U134" s="80"/>
      <c r="V134" s="80"/>
      <c r="W134" s="80"/>
      <c r="X134" s="80"/>
      <c r="Y134" s="80"/>
      <c r="Z134" s="80"/>
    </row>
    <row r="135">
      <c r="A135" s="87">
        <v>2385.0</v>
      </c>
      <c r="B135" s="82" t="s">
        <v>569</v>
      </c>
      <c r="C135" s="82" t="s">
        <v>536</v>
      </c>
      <c r="D135" s="110">
        <v>5000.0</v>
      </c>
      <c r="E135" s="110">
        <v>90.0</v>
      </c>
      <c r="F135" s="110">
        <v>115.0</v>
      </c>
      <c r="G135" s="110">
        <v>2051.9</v>
      </c>
      <c r="H135" s="85">
        <v>46097.0</v>
      </c>
      <c r="I135" s="85">
        <v>46212.0</v>
      </c>
      <c r="J135" s="82" t="s">
        <v>540</v>
      </c>
      <c r="K135" s="86">
        <v>1153501.0</v>
      </c>
      <c r="L135" s="110">
        <v>196945.03</v>
      </c>
      <c r="M135" s="80" t="s">
        <v>554</v>
      </c>
      <c r="N135" s="80"/>
      <c r="O135" s="80"/>
      <c r="P135" s="80"/>
      <c r="Q135" s="80"/>
      <c r="R135" s="80"/>
      <c r="S135" s="80"/>
      <c r="T135" s="80"/>
      <c r="U135" s="80"/>
      <c r="V135" s="80"/>
      <c r="W135" s="80"/>
      <c r="X135" s="80"/>
      <c r="Y135" s="80"/>
      <c r="Z135" s="80"/>
    </row>
    <row r="136">
      <c r="A136" s="87">
        <v>2387.0</v>
      </c>
      <c r="B136" s="82" t="s">
        <v>569</v>
      </c>
      <c r="C136" s="82" t="s">
        <v>536</v>
      </c>
      <c r="D136" s="110">
        <v>5000.0</v>
      </c>
      <c r="E136" s="110">
        <v>90.0</v>
      </c>
      <c r="F136" s="110">
        <v>113.0</v>
      </c>
      <c r="G136" s="110">
        <v>6484.7</v>
      </c>
      <c r="H136" s="85">
        <v>46099.0</v>
      </c>
      <c r="I136" s="85">
        <v>46212.0</v>
      </c>
      <c r="J136" s="82" t="s">
        <v>540</v>
      </c>
      <c r="K136" s="86">
        <v>1153738.0</v>
      </c>
      <c r="L136" s="110">
        <v>346883.97</v>
      </c>
      <c r="M136" s="80" t="s">
        <v>554</v>
      </c>
      <c r="N136" s="80"/>
      <c r="O136" s="80"/>
      <c r="P136" s="80"/>
      <c r="Q136" s="80"/>
      <c r="R136" s="80"/>
      <c r="S136" s="80"/>
      <c r="T136" s="80"/>
      <c r="U136" s="80"/>
      <c r="V136" s="80"/>
      <c r="W136" s="80"/>
      <c r="X136" s="80"/>
      <c r="Y136" s="80"/>
      <c r="Z136" s="80"/>
    </row>
    <row r="137">
      <c r="A137" s="87">
        <v>2388.0</v>
      </c>
      <c r="B137" s="82" t="s">
        <v>569</v>
      </c>
      <c r="C137" s="82" t="s">
        <v>536</v>
      </c>
      <c r="D137" s="110">
        <v>5000.0</v>
      </c>
      <c r="E137" s="110">
        <v>90.0</v>
      </c>
      <c r="F137" s="110">
        <v>112.0</v>
      </c>
      <c r="G137" s="110">
        <v>2614.2</v>
      </c>
      <c r="H137" s="85">
        <v>46100.0</v>
      </c>
      <c r="I137" s="85">
        <v>46212.0</v>
      </c>
      <c r="J137" s="82" t="s">
        <v>540</v>
      </c>
      <c r="K137" s="86">
        <v>1153849.0</v>
      </c>
      <c r="L137" s="110">
        <v>302506.74</v>
      </c>
      <c r="M137" s="80" t="s">
        <v>554</v>
      </c>
      <c r="N137" s="80"/>
      <c r="O137" s="80"/>
      <c r="P137" s="80"/>
      <c r="Q137" s="80"/>
      <c r="R137" s="80"/>
      <c r="S137" s="80"/>
      <c r="T137" s="80"/>
      <c r="U137" s="80"/>
      <c r="V137" s="80"/>
      <c r="W137" s="80"/>
      <c r="X137" s="80"/>
      <c r="Y137" s="80"/>
      <c r="Z137" s="80"/>
    </row>
    <row r="138">
      <c r="A138" s="87">
        <v>2389.0</v>
      </c>
      <c r="B138" s="82" t="s">
        <v>569</v>
      </c>
      <c r="C138" s="83" t="s">
        <v>538</v>
      </c>
      <c r="D138" s="110">
        <v>5000.0</v>
      </c>
      <c r="E138" s="110">
        <v>90.0</v>
      </c>
      <c r="F138" s="110">
        <v>65.0</v>
      </c>
      <c r="G138" s="110">
        <v>2604.2</v>
      </c>
      <c r="H138" s="85">
        <v>46147.0</v>
      </c>
      <c r="I138" s="85">
        <v>46212.0</v>
      </c>
      <c r="J138" s="82" t="s">
        <v>535</v>
      </c>
      <c r="K138" s="86">
        <v>1158460.0</v>
      </c>
      <c r="L138" s="110">
        <v>399255.09</v>
      </c>
      <c r="M138" s="80" t="s">
        <v>554</v>
      </c>
      <c r="N138" s="80"/>
      <c r="O138" s="80"/>
      <c r="P138" s="80"/>
      <c r="Q138" s="80"/>
      <c r="R138" s="80"/>
      <c r="S138" s="80"/>
      <c r="T138" s="80"/>
      <c r="U138" s="80"/>
      <c r="V138" s="80"/>
      <c r="W138" s="80"/>
      <c r="X138" s="80"/>
      <c r="Y138" s="80"/>
      <c r="Z138" s="80"/>
    </row>
    <row r="139">
      <c r="A139" s="87">
        <v>2390.0</v>
      </c>
      <c r="B139" s="82" t="s">
        <v>569</v>
      </c>
      <c r="C139" s="82" t="s">
        <v>536</v>
      </c>
      <c r="D139" s="110">
        <v>5000.0</v>
      </c>
      <c r="E139" s="110">
        <v>90.0</v>
      </c>
      <c r="F139" s="110">
        <v>33.0</v>
      </c>
      <c r="G139" s="110">
        <v>1246.4</v>
      </c>
      <c r="H139" s="85">
        <v>46179.0</v>
      </c>
      <c r="I139" s="85">
        <v>46212.0</v>
      </c>
      <c r="J139" s="82" t="s">
        <v>535</v>
      </c>
      <c r="K139" s="86">
        <v>1161676.0</v>
      </c>
      <c r="L139" s="110">
        <v>241266.52</v>
      </c>
      <c r="M139" s="80" t="s">
        <v>554</v>
      </c>
      <c r="N139" s="80"/>
      <c r="O139" s="80"/>
      <c r="P139" s="80"/>
      <c r="Q139" s="80"/>
      <c r="R139" s="80"/>
      <c r="S139" s="80"/>
      <c r="T139" s="80"/>
      <c r="U139" s="80"/>
      <c r="V139" s="80"/>
      <c r="W139" s="80"/>
      <c r="X139" s="80"/>
      <c r="Y139" s="80"/>
      <c r="Z139" s="80"/>
    </row>
    <row r="140">
      <c r="A140" s="87">
        <v>2391.0</v>
      </c>
      <c r="B140" s="82" t="s">
        <v>569</v>
      </c>
      <c r="C140" s="82" t="s">
        <v>536</v>
      </c>
      <c r="D140" s="110">
        <v>5000.0</v>
      </c>
      <c r="E140" s="110">
        <v>90.0</v>
      </c>
      <c r="F140" s="110">
        <v>51.0</v>
      </c>
      <c r="G140" s="110">
        <v>1796.8</v>
      </c>
      <c r="H140" s="85">
        <v>46161.0</v>
      </c>
      <c r="I140" s="85">
        <v>46212.0</v>
      </c>
      <c r="J140" s="82" t="s">
        <v>535</v>
      </c>
      <c r="K140" s="86">
        <v>1160356.0</v>
      </c>
      <c r="L140" s="110">
        <v>211732.39</v>
      </c>
      <c r="M140" s="80" t="s">
        <v>554</v>
      </c>
      <c r="N140" s="80"/>
      <c r="O140" s="80"/>
      <c r="P140" s="80"/>
      <c r="Q140" s="80"/>
      <c r="R140" s="80"/>
      <c r="S140" s="80"/>
      <c r="T140" s="80"/>
      <c r="U140" s="80"/>
      <c r="V140" s="80"/>
      <c r="W140" s="80"/>
      <c r="X140" s="80"/>
      <c r="Y140" s="80"/>
      <c r="Z140" s="80"/>
    </row>
    <row r="141">
      <c r="A141" s="87">
        <v>2392.0</v>
      </c>
      <c r="B141" s="82" t="s">
        <v>569</v>
      </c>
      <c r="C141" s="82" t="s">
        <v>536</v>
      </c>
      <c r="D141" s="110">
        <v>5000.0</v>
      </c>
      <c r="E141" s="110">
        <v>90.0</v>
      </c>
      <c r="F141" s="110">
        <v>126.0</v>
      </c>
      <c r="G141" s="110">
        <v>6463.5</v>
      </c>
      <c r="H141" s="85">
        <v>46086.0</v>
      </c>
      <c r="I141" s="85">
        <v>46212.0</v>
      </c>
      <c r="J141" s="82" t="s">
        <v>540</v>
      </c>
      <c r="K141" s="86">
        <v>1152099.0</v>
      </c>
      <c r="L141" s="110">
        <v>307349.11</v>
      </c>
      <c r="M141" s="80" t="s">
        <v>554</v>
      </c>
      <c r="N141" s="80"/>
      <c r="O141" s="80"/>
      <c r="P141" s="80"/>
      <c r="Q141" s="80"/>
      <c r="R141" s="80"/>
      <c r="S141" s="80"/>
      <c r="T141" s="80"/>
      <c r="U141" s="80"/>
      <c r="V141" s="80"/>
      <c r="W141" s="80"/>
      <c r="X141" s="80"/>
      <c r="Y141" s="80"/>
      <c r="Z141" s="80"/>
    </row>
    <row r="142">
      <c r="A142" s="87">
        <v>2393.0</v>
      </c>
      <c r="B142" s="82" t="s">
        <v>569</v>
      </c>
      <c r="C142" s="82" t="s">
        <v>536</v>
      </c>
      <c r="D142" s="110">
        <v>5000.0</v>
      </c>
      <c r="E142" s="110">
        <v>90.0</v>
      </c>
      <c r="F142" s="110">
        <v>51.0</v>
      </c>
      <c r="G142" s="110">
        <v>1793.3</v>
      </c>
      <c r="H142" s="85">
        <v>46161.0</v>
      </c>
      <c r="I142" s="85">
        <v>46212.0</v>
      </c>
      <c r="J142" s="82" t="s">
        <v>535</v>
      </c>
      <c r="K142" s="86">
        <v>1160359.0</v>
      </c>
      <c r="L142" s="110">
        <v>365787.68</v>
      </c>
      <c r="M142" s="80" t="s">
        <v>554</v>
      </c>
      <c r="N142" s="80"/>
      <c r="O142" s="80"/>
      <c r="P142" s="80"/>
      <c r="Q142" s="80"/>
      <c r="R142" s="80"/>
      <c r="S142" s="80"/>
      <c r="T142" s="80"/>
      <c r="U142" s="80"/>
      <c r="V142" s="80"/>
      <c r="W142" s="80"/>
      <c r="X142" s="80"/>
      <c r="Y142" s="80"/>
      <c r="Z142" s="80"/>
    </row>
    <row r="143">
      <c r="A143" s="87">
        <v>2394.0</v>
      </c>
      <c r="B143" s="82" t="s">
        <v>569</v>
      </c>
      <c r="C143" s="82" t="s">
        <v>536</v>
      </c>
      <c r="D143" s="110">
        <v>5000.0</v>
      </c>
      <c r="E143" s="110">
        <v>90.0</v>
      </c>
      <c r="F143" s="110">
        <v>111.0</v>
      </c>
      <c r="G143" s="110">
        <v>2946.5</v>
      </c>
      <c r="H143" s="85">
        <v>46101.0</v>
      </c>
      <c r="I143" s="85">
        <v>46212.0</v>
      </c>
      <c r="J143" s="82" t="s">
        <v>540</v>
      </c>
      <c r="K143" s="86">
        <v>1153984.0</v>
      </c>
      <c r="L143" s="110">
        <v>159599.32</v>
      </c>
      <c r="M143" s="80" t="s">
        <v>554</v>
      </c>
      <c r="N143" s="80"/>
      <c r="O143" s="80"/>
      <c r="P143" s="80"/>
      <c r="Q143" s="80"/>
      <c r="R143" s="80"/>
      <c r="S143" s="80"/>
      <c r="T143" s="80"/>
      <c r="U143" s="80"/>
      <c r="V143" s="80"/>
      <c r="W143" s="80"/>
      <c r="X143" s="80"/>
      <c r="Y143" s="80"/>
      <c r="Z143" s="80"/>
    </row>
    <row r="144">
      <c r="A144" s="87">
        <v>2395.0</v>
      </c>
      <c r="B144" s="82" t="s">
        <v>569</v>
      </c>
      <c r="C144" s="82" t="s">
        <v>536</v>
      </c>
      <c r="D144" s="110">
        <v>5000.0</v>
      </c>
      <c r="E144" s="110">
        <v>90.0</v>
      </c>
      <c r="F144" s="110">
        <v>132.0</v>
      </c>
      <c r="G144" s="110">
        <v>4909.4</v>
      </c>
      <c r="H144" s="85">
        <v>46080.0</v>
      </c>
      <c r="I144" s="85">
        <v>46212.0</v>
      </c>
      <c r="J144" s="82" t="s">
        <v>540</v>
      </c>
      <c r="K144" s="86">
        <v>1151469.0</v>
      </c>
      <c r="L144" s="110">
        <v>216411.52</v>
      </c>
      <c r="M144" s="80" t="s">
        <v>554</v>
      </c>
      <c r="N144" s="80"/>
      <c r="O144" s="80"/>
      <c r="P144" s="80"/>
      <c r="Q144" s="80"/>
      <c r="R144" s="80"/>
      <c r="S144" s="80"/>
      <c r="T144" s="80"/>
      <c r="U144" s="80"/>
      <c r="V144" s="80"/>
      <c r="W144" s="80"/>
      <c r="X144" s="80"/>
      <c r="Y144" s="80"/>
      <c r="Z144" s="80"/>
    </row>
    <row r="145">
      <c r="A145" s="87">
        <v>2400.0</v>
      </c>
      <c r="B145" s="82" t="s">
        <v>569</v>
      </c>
      <c r="C145" s="82" t="s">
        <v>536</v>
      </c>
      <c r="D145" s="110">
        <v>5000.0</v>
      </c>
      <c r="E145" s="110">
        <v>90.0</v>
      </c>
      <c r="F145" s="110">
        <v>122.0</v>
      </c>
      <c r="G145" s="110">
        <v>2039.8</v>
      </c>
      <c r="H145" s="85">
        <v>46090.0</v>
      </c>
      <c r="I145" s="85">
        <v>46212.0</v>
      </c>
      <c r="J145" s="82" t="s">
        <v>540</v>
      </c>
      <c r="K145" s="86">
        <v>1152380.0</v>
      </c>
      <c r="L145" s="110">
        <v>392164.56</v>
      </c>
      <c r="M145" s="80" t="s">
        <v>554</v>
      </c>
      <c r="N145" s="80"/>
      <c r="O145" s="80"/>
      <c r="P145" s="80"/>
      <c r="Q145" s="80"/>
      <c r="R145" s="80"/>
      <c r="S145" s="80"/>
      <c r="T145" s="80"/>
      <c r="U145" s="80"/>
      <c r="V145" s="80"/>
      <c r="W145" s="80"/>
      <c r="X145" s="80"/>
      <c r="Y145" s="80"/>
      <c r="Z145" s="80"/>
    </row>
    <row r="146">
      <c r="A146" s="87">
        <v>2402.0</v>
      </c>
      <c r="B146" s="82" t="s">
        <v>569</v>
      </c>
      <c r="C146" s="82" t="s">
        <v>536</v>
      </c>
      <c r="D146" s="110">
        <v>5000.0</v>
      </c>
      <c r="E146" s="110">
        <v>90.0</v>
      </c>
      <c r="F146" s="110">
        <v>78.0</v>
      </c>
      <c r="G146" s="110">
        <v>2758.8</v>
      </c>
      <c r="H146" s="85">
        <v>46134.0</v>
      </c>
      <c r="I146" s="85">
        <v>46212.0</v>
      </c>
      <c r="J146" s="82" t="s">
        <v>535</v>
      </c>
      <c r="K146" s="86">
        <v>1157019.0</v>
      </c>
      <c r="L146" s="110">
        <v>357173.64</v>
      </c>
      <c r="M146" s="80" t="s">
        <v>554</v>
      </c>
      <c r="N146" s="80"/>
      <c r="O146" s="80"/>
      <c r="P146" s="80"/>
      <c r="Q146" s="80"/>
      <c r="R146" s="80"/>
      <c r="S146" s="80"/>
      <c r="T146" s="80"/>
      <c r="U146" s="80"/>
      <c r="V146" s="80"/>
      <c r="W146" s="80"/>
      <c r="X146" s="80"/>
      <c r="Y146" s="80"/>
      <c r="Z146" s="80"/>
    </row>
    <row r="147">
      <c r="A147" s="87">
        <v>2403.0</v>
      </c>
      <c r="B147" s="82" t="s">
        <v>569</v>
      </c>
      <c r="C147" s="82" t="s">
        <v>536</v>
      </c>
      <c r="D147" s="110">
        <v>5000.0</v>
      </c>
      <c r="E147" s="110">
        <v>90.0</v>
      </c>
      <c r="F147" s="110">
        <v>120.0</v>
      </c>
      <c r="G147" s="110">
        <v>6216.2</v>
      </c>
      <c r="H147" s="85">
        <v>46092.0</v>
      </c>
      <c r="I147" s="85">
        <v>46212.0</v>
      </c>
      <c r="J147" s="82" t="s">
        <v>540</v>
      </c>
      <c r="K147" s="86">
        <v>1152846.0</v>
      </c>
      <c r="L147" s="110">
        <v>289384.87</v>
      </c>
      <c r="M147" s="80" t="s">
        <v>554</v>
      </c>
      <c r="N147" s="80"/>
      <c r="O147" s="80"/>
      <c r="P147" s="80"/>
      <c r="Q147" s="80"/>
      <c r="R147" s="80"/>
      <c r="S147" s="80"/>
      <c r="T147" s="80"/>
      <c r="U147" s="80"/>
      <c r="V147" s="80"/>
      <c r="W147" s="80"/>
      <c r="X147" s="80"/>
      <c r="Y147" s="80"/>
      <c r="Z147" s="80"/>
    </row>
    <row r="148">
      <c r="A148" s="87">
        <v>2404.0</v>
      </c>
      <c r="B148" s="82" t="s">
        <v>569</v>
      </c>
      <c r="C148" s="82" t="s">
        <v>536</v>
      </c>
      <c r="D148" s="110">
        <v>5000.0</v>
      </c>
      <c r="E148" s="110">
        <v>90.0</v>
      </c>
      <c r="F148" s="110">
        <v>100.0</v>
      </c>
      <c r="G148" s="110">
        <v>2378.0</v>
      </c>
      <c r="H148" s="85">
        <v>46112.0</v>
      </c>
      <c r="I148" s="85">
        <v>46212.0</v>
      </c>
      <c r="J148" s="82" t="s">
        <v>540</v>
      </c>
      <c r="K148" s="86">
        <v>1154837.0</v>
      </c>
      <c r="L148" s="110">
        <v>351460.79</v>
      </c>
      <c r="M148" s="80" t="s">
        <v>554</v>
      </c>
      <c r="N148" s="80"/>
      <c r="O148" s="80"/>
      <c r="P148" s="80"/>
      <c r="Q148" s="80"/>
      <c r="R148" s="80"/>
      <c r="S148" s="80"/>
      <c r="T148" s="80"/>
      <c r="U148" s="80"/>
      <c r="V148" s="80"/>
      <c r="W148" s="80"/>
      <c r="X148" s="80"/>
      <c r="Y148" s="80"/>
      <c r="Z148" s="80"/>
    </row>
    <row r="149">
      <c r="A149" s="87">
        <v>2411.0</v>
      </c>
      <c r="B149" s="82" t="s">
        <v>533</v>
      </c>
      <c r="C149" s="82" t="s">
        <v>534</v>
      </c>
      <c r="D149" s="110">
        <v>10000.0</v>
      </c>
      <c r="E149" s="110">
        <v>60.0</v>
      </c>
      <c r="F149" s="110">
        <v>87.0</v>
      </c>
      <c r="G149" s="110">
        <v>9445.7</v>
      </c>
      <c r="H149" s="85">
        <v>46125.0</v>
      </c>
      <c r="I149" s="85">
        <v>46212.0</v>
      </c>
      <c r="J149" s="82" t="s">
        <v>540</v>
      </c>
      <c r="K149" s="86">
        <v>1155924.0</v>
      </c>
      <c r="L149" s="110">
        <v>1211063.33</v>
      </c>
      <c r="M149" s="80" t="s">
        <v>539</v>
      </c>
      <c r="N149" s="80"/>
      <c r="O149" s="80"/>
      <c r="P149" s="80"/>
      <c r="Q149" s="80"/>
      <c r="R149" s="80"/>
      <c r="S149" s="80"/>
      <c r="T149" s="80"/>
      <c r="U149" s="80"/>
      <c r="V149" s="80"/>
      <c r="W149" s="80"/>
      <c r="X149" s="80"/>
      <c r="Y149" s="80"/>
      <c r="Z149" s="80"/>
    </row>
    <row r="150">
      <c r="A150" s="87">
        <v>2414.0</v>
      </c>
      <c r="B150" s="82" t="s">
        <v>572</v>
      </c>
      <c r="C150" s="82" t="s">
        <v>536</v>
      </c>
      <c r="D150" s="110">
        <v>6000.0</v>
      </c>
      <c r="E150" s="110">
        <v>90.0</v>
      </c>
      <c r="F150" s="110">
        <v>42.0</v>
      </c>
      <c r="G150" s="110">
        <v>1591.9</v>
      </c>
      <c r="H150" s="85">
        <v>46170.0</v>
      </c>
      <c r="I150" s="85">
        <v>46212.0</v>
      </c>
      <c r="J150" s="82" t="s">
        <v>535</v>
      </c>
      <c r="K150" s="86">
        <v>1161438.0</v>
      </c>
      <c r="L150" s="110">
        <v>796799.23</v>
      </c>
      <c r="M150" s="80" t="s">
        <v>548</v>
      </c>
      <c r="N150" s="80"/>
      <c r="O150" s="80"/>
      <c r="P150" s="80"/>
      <c r="Q150" s="80"/>
      <c r="R150" s="80"/>
      <c r="S150" s="80"/>
      <c r="T150" s="80"/>
      <c r="U150" s="80"/>
      <c r="V150" s="80"/>
      <c r="W150" s="80"/>
      <c r="X150" s="80"/>
      <c r="Y150" s="80"/>
      <c r="Z150" s="80"/>
    </row>
    <row r="151">
      <c r="A151" s="87">
        <v>2418.0</v>
      </c>
      <c r="B151" s="82" t="s">
        <v>569</v>
      </c>
      <c r="C151" s="82" t="s">
        <v>536</v>
      </c>
      <c r="D151" s="110">
        <v>5000.0</v>
      </c>
      <c r="E151" s="110">
        <v>90.0</v>
      </c>
      <c r="F151" s="110">
        <v>58.0</v>
      </c>
      <c r="G151" s="110">
        <v>1090.1</v>
      </c>
      <c r="H151" s="85">
        <v>46154.0</v>
      </c>
      <c r="I151" s="85">
        <v>46212.0</v>
      </c>
      <c r="J151" s="82" t="s">
        <v>535</v>
      </c>
      <c r="K151" s="86">
        <v>1159490.0</v>
      </c>
      <c r="L151" s="110">
        <v>452493.31</v>
      </c>
      <c r="M151" s="80" t="s">
        <v>536</v>
      </c>
      <c r="N151" s="80"/>
      <c r="O151" s="80"/>
      <c r="P151" s="80"/>
      <c r="Q151" s="80"/>
      <c r="R151" s="80"/>
      <c r="S151" s="80"/>
      <c r="T151" s="80"/>
      <c r="U151" s="80"/>
      <c r="V151" s="80"/>
      <c r="W151" s="80"/>
      <c r="X151" s="80"/>
      <c r="Y151" s="80"/>
      <c r="Z151" s="80"/>
    </row>
    <row r="152">
      <c r="A152" s="87">
        <v>2419.0</v>
      </c>
      <c r="B152" s="82" t="s">
        <v>569</v>
      </c>
      <c r="C152" s="82" t="s">
        <v>536</v>
      </c>
      <c r="D152" s="110">
        <v>5000.0</v>
      </c>
      <c r="E152" s="110">
        <v>90.0</v>
      </c>
      <c r="F152" s="110">
        <v>50.0</v>
      </c>
      <c r="G152" s="110">
        <v>1737.7</v>
      </c>
      <c r="H152" s="85">
        <v>46162.0</v>
      </c>
      <c r="I152" s="85">
        <v>46212.0</v>
      </c>
      <c r="J152" s="82" t="s">
        <v>535</v>
      </c>
      <c r="K152" s="86">
        <v>1160449.0</v>
      </c>
      <c r="L152" s="110">
        <v>117280.49</v>
      </c>
      <c r="M152" s="80" t="s">
        <v>554</v>
      </c>
      <c r="N152" s="80"/>
      <c r="O152" s="80"/>
      <c r="P152" s="80"/>
      <c r="Q152" s="80"/>
      <c r="R152" s="80"/>
      <c r="S152" s="80"/>
      <c r="T152" s="80"/>
      <c r="U152" s="80"/>
      <c r="V152" s="80"/>
      <c r="W152" s="80"/>
      <c r="X152" s="80"/>
      <c r="Y152" s="80"/>
      <c r="Z152" s="80"/>
    </row>
    <row r="153">
      <c r="A153" s="87">
        <v>2421.0</v>
      </c>
      <c r="B153" s="82" t="s">
        <v>569</v>
      </c>
      <c r="C153" s="82" t="s">
        <v>536</v>
      </c>
      <c r="D153" s="110">
        <v>5000.0</v>
      </c>
      <c r="E153" s="110">
        <v>90.0</v>
      </c>
      <c r="F153" s="110">
        <v>86.0</v>
      </c>
      <c r="G153" s="110">
        <v>2690.6</v>
      </c>
      <c r="H153" s="85">
        <v>46126.0</v>
      </c>
      <c r="I153" s="85">
        <v>46212.0</v>
      </c>
      <c r="J153" s="82" t="s">
        <v>535</v>
      </c>
      <c r="K153" s="86">
        <v>1156103.0</v>
      </c>
      <c r="L153" s="110">
        <v>192220.61</v>
      </c>
      <c r="M153" s="80" t="s">
        <v>554</v>
      </c>
      <c r="N153" s="80"/>
      <c r="O153" s="80"/>
      <c r="P153" s="80"/>
      <c r="Q153" s="80"/>
      <c r="R153" s="80"/>
      <c r="S153" s="80"/>
      <c r="T153" s="80"/>
      <c r="U153" s="80"/>
      <c r="V153" s="80"/>
      <c r="W153" s="80"/>
      <c r="X153" s="80"/>
      <c r="Y153" s="80"/>
      <c r="Z153" s="80"/>
    </row>
    <row r="154">
      <c r="A154" s="87">
        <v>2422.0</v>
      </c>
      <c r="B154" s="82" t="s">
        <v>569</v>
      </c>
      <c r="C154" s="82" t="s">
        <v>537</v>
      </c>
      <c r="D154" s="110">
        <v>5000.0</v>
      </c>
      <c r="E154" s="110">
        <v>90.0</v>
      </c>
      <c r="F154" s="110">
        <v>56.0</v>
      </c>
      <c r="G154" s="110">
        <v>4655.9</v>
      </c>
      <c r="H154" s="85">
        <v>46156.0</v>
      </c>
      <c r="I154" s="85">
        <v>46212.0</v>
      </c>
      <c r="J154" s="82" t="s">
        <v>535</v>
      </c>
      <c r="K154" s="86">
        <v>1159809.0</v>
      </c>
      <c r="L154" s="110">
        <v>365520.59</v>
      </c>
      <c r="M154" s="80" t="s">
        <v>554</v>
      </c>
      <c r="N154" s="80"/>
      <c r="O154" s="80"/>
      <c r="P154" s="80"/>
      <c r="Q154" s="80"/>
      <c r="R154" s="80"/>
      <c r="S154" s="80"/>
      <c r="T154" s="80"/>
      <c r="U154" s="80"/>
      <c r="V154" s="80"/>
      <c r="W154" s="80"/>
      <c r="X154" s="80"/>
      <c r="Y154" s="80"/>
      <c r="Z154" s="80"/>
    </row>
    <row r="155">
      <c r="A155" s="87">
        <v>2423.0</v>
      </c>
      <c r="B155" s="82" t="s">
        <v>569</v>
      </c>
      <c r="C155" s="82" t="s">
        <v>536</v>
      </c>
      <c r="D155" s="110">
        <v>5000.0</v>
      </c>
      <c r="E155" s="110">
        <v>90.0</v>
      </c>
      <c r="F155" s="110">
        <v>65.0</v>
      </c>
      <c r="G155" s="110">
        <v>3051.8</v>
      </c>
      <c r="H155" s="85">
        <v>46147.0</v>
      </c>
      <c r="I155" s="85">
        <v>46212.0</v>
      </c>
      <c r="J155" s="82" t="s">
        <v>535</v>
      </c>
      <c r="K155" s="86">
        <v>1158473.0</v>
      </c>
      <c r="L155" s="110">
        <v>294170.09</v>
      </c>
      <c r="M155" s="80" t="s">
        <v>554</v>
      </c>
      <c r="N155" s="80"/>
      <c r="O155" s="80"/>
      <c r="P155" s="80"/>
      <c r="Q155" s="80"/>
      <c r="R155" s="80"/>
      <c r="S155" s="80"/>
      <c r="T155" s="80"/>
      <c r="U155" s="80"/>
      <c r="V155" s="80"/>
      <c r="W155" s="80"/>
      <c r="X155" s="80"/>
      <c r="Y155" s="80"/>
      <c r="Z155" s="80"/>
    </row>
    <row r="156">
      <c r="A156" s="87">
        <v>2424.0</v>
      </c>
      <c r="B156" s="82" t="s">
        <v>569</v>
      </c>
      <c r="C156" s="82" t="s">
        <v>536</v>
      </c>
      <c r="D156" s="110">
        <v>5000.0</v>
      </c>
      <c r="E156" s="110">
        <v>90.0</v>
      </c>
      <c r="F156" s="110">
        <v>83.0</v>
      </c>
      <c r="G156" s="110">
        <v>3021.0</v>
      </c>
      <c r="H156" s="85">
        <v>46129.0</v>
      </c>
      <c r="I156" s="85">
        <v>46212.0</v>
      </c>
      <c r="J156" s="82" t="s">
        <v>535</v>
      </c>
      <c r="K156" s="86">
        <v>1156598.0</v>
      </c>
      <c r="L156" s="110">
        <v>761998.71</v>
      </c>
      <c r="M156" s="80" t="s">
        <v>554</v>
      </c>
      <c r="N156" s="80"/>
      <c r="O156" s="80"/>
      <c r="P156" s="80"/>
      <c r="Q156" s="80"/>
      <c r="R156" s="80"/>
      <c r="S156" s="80"/>
      <c r="T156" s="80"/>
      <c r="U156" s="80"/>
      <c r="V156" s="80"/>
      <c r="W156" s="80"/>
      <c r="X156" s="80"/>
      <c r="Y156" s="80"/>
      <c r="Z156" s="80"/>
    </row>
    <row r="157">
      <c r="A157" s="87">
        <v>2425.0</v>
      </c>
      <c r="B157" s="82" t="s">
        <v>569</v>
      </c>
      <c r="C157" s="82" t="s">
        <v>536</v>
      </c>
      <c r="D157" s="110">
        <v>5000.0</v>
      </c>
      <c r="E157" s="110">
        <v>90.0</v>
      </c>
      <c r="F157" s="110">
        <v>43.0</v>
      </c>
      <c r="G157" s="110">
        <v>3227.0</v>
      </c>
      <c r="H157" s="85">
        <v>46169.0</v>
      </c>
      <c r="I157" s="85">
        <v>46212.0</v>
      </c>
      <c r="J157" s="82" t="s">
        <v>535</v>
      </c>
      <c r="K157" s="86">
        <v>1161356.0</v>
      </c>
      <c r="L157" s="110">
        <v>252810.61</v>
      </c>
      <c r="M157" s="80" t="s">
        <v>554</v>
      </c>
      <c r="N157" s="80"/>
      <c r="O157" s="80"/>
      <c r="P157" s="80"/>
      <c r="Q157" s="80"/>
      <c r="R157" s="80"/>
      <c r="S157" s="80"/>
      <c r="T157" s="80"/>
      <c r="U157" s="80"/>
      <c r="V157" s="80"/>
      <c r="W157" s="80"/>
      <c r="X157" s="80"/>
      <c r="Y157" s="80"/>
      <c r="Z157" s="80"/>
    </row>
    <row r="158">
      <c r="A158" s="87">
        <v>2432.0</v>
      </c>
      <c r="B158" s="82" t="s">
        <v>572</v>
      </c>
      <c r="C158" s="82" t="s">
        <v>536</v>
      </c>
      <c r="D158" s="110">
        <v>5000.0</v>
      </c>
      <c r="E158" s="110">
        <v>90.0</v>
      </c>
      <c r="F158" s="110">
        <v>119.0</v>
      </c>
      <c r="G158" s="110">
        <v>2666.0</v>
      </c>
      <c r="H158" s="85">
        <v>46093.0</v>
      </c>
      <c r="I158" s="85">
        <v>46212.0</v>
      </c>
      <c r="J158" s="82" t="s">
        <v>540</v>
      </c>
      <c r="K158" s="86">
        <v>1153106.0</v>
      </c>
      <c r="L158" s="110">
        <v>516480.94</v>
      </c>
      <c r="M158" s="80" t="s">
        <v>554</v>
      </c>
      <c r="N158" s="80"/>
      <c r="O158" s="80"/>
      <c r="P158" s="80"/>
      <c r="Q158" s="80"/>
      <c r="R158" s="80"/>
      <c r="S158" s="80"/>
      <c r="T158" s="80"/>
      <c r="U158" s="80"/>
      <c r="V158" s="80"/>
      <c r="W158" s="80"/>
      <c r="X158" s="80"/>
      <c r="Y158" s="80"/>
      <c r="Z158" s="80"/>
    </row>
    <row r="159">
      <c r="A159" s="87">
        <v>2435.0</v>
      </c>
      <c r="B159" s="82" t="s">
        <v>572</v>
      </c>
      <c r="C159" s="82" t="s">
        <v>536</v>
      </c>
      <c r="D159" s="110">
        <v>5000.0</v>
      </c>
      <c r="E159" s="110">
        <v>90.0</v>
      </c>
      <c r="F159" s="110">
        <v>45.0</v>
      </c>
      <c r="G159" s="110">
        <v>1185.4</v>
      </c>
      <c r="H159" s="85">
        <v>46167.0</v>
      </c>
      <c r="I159" s="85">
        <v>46212.0</v>
      </c>
      <c r="J159" s="82" t="s">
        <v>535</v>
      </c>
      <c r="K159" s="86">
        <v>1161124.0</v>
      </c>
      <c r="L159" s="110">
        <v>267558.98</v>
      </c>
      <c r="M159" s="80" t="s">
        <v>554</v>
      </c>
      <c r="N159" s="80"/>
      <c r="O159" s="80"/>
      <c r="P159" s="80"/>
      <c r="Q159" s="80"/>
      <c r="R159" s="80"/>
      <c r="S159" s="80"/>
      <c r="T159" s="80"/>
      <c r="U159" s="80"/>
      <c r="V159" s="80"/>
      <c r="W159" s="80"/>
      <c r="X159" s="80"/>
      <c r="Y159" s="80"/>
      <c r="Z159" s="80"/>
    </row>
    <row r="160">
      <c r="A160" s="87">
        <v>2436.0</v>
      </c>
      <c r="B160" s="82" t="s">
        <v>569</v>
      </c>
      <c r="C160" s="82" t="s">
        <v>536</v>
      </c>
      <c r="D160" s="110">
        <v>5000.0</v>
      </c>
      <c r="E160" s="110">
        <v>90.0</v>
      </c>
      <c r="F160" s="110">
        <v>45.0</v>
      </c>
      <c r="G160" s="110">
        <v>1632.2</v>
      </c>
      <c r="H160" s="85">
        <v>46167.0</v>
      </c>
      <c r="I160" s="85">
        <v>46212.0</v>
      </c>
      <c r="J160" s="82" t="s">
        <v>535</v>
      </c>
      <c r="K160" s="86">
        <v>1161131.0</v>
      </c>
      <c r="L160" s="110">
        <v>286551.19</v>
      </c>
      <c r="M160" s="80" t="s">
        <v>536</v>
      </c>
      <c r="N160" s="80"/>
      <c r="O160" s="80"/>
      <c r="P160" s="80"/>
      <c r="Q160" s="80"/>
      <c r="R160" s="80"/>
      <c r="S160" s="80"/>
      <c r="T160" s="80"/>
      <c r="U160" s="80"/>
      <c r="V160" s="80"/>
      <c r="W160" s="80"/>
      <c r="X160" s="80"/>
      <c r="Y160" s="80"/>
      <c r="Z160" s="80"/>
    </row>
    <row r="161">
      <c r="A161" s="87">
        <v>2437.0</v>
      </c>
      <c r="B161" s="82" t="s">
        <v>569</v>
      </c>
      <c r="C161" s="82" t="s">
        <v>536</v>
      </c>
      <c r="D161" s="110">
        <v>5000.0</v>
      </c>
      <c r="E161" s="110">
        <v>90.0</v>
      </c>
      <c r="F161" s="110">
        <v>64.0</v>
      </c>
      <c r="G161" s="110">
        <v>3176.0</v>
      </c>
      <c r="H161" s="85">
        <v>46148.0</v>
      </c>
      <c r="I161" s="85">
        <v>46212.0</v>
      </c>
      <c r="J161" s="82" t="s">
        <v>535</v>
      </c>
      <c r="K161" s="86">
        <v>1158736.0</v>
      </c>
      <c r="L161" s="110">
        <v>842352.72</v>
      </c>
      <c r="M161" s="80" t="s">
        <v>554</v>
      </c>
      <c r="N161" s="80"/>
      <c r="O161" s="80"/>
      <c r="P161" s="80"/>
      <c r="Q161" s="80"/>
      <c r="R161" s="80"/>
      <c r="S161" s="80"/>
      <c r="T161" s="80"/>
      <c r="U161" s="80"/>
      <c r="V161" s="80"/>
      <c r="W161" s="80"/>
      <c r="X161" s="80"/>
      <c r="Y161" s="80"/>
      <c r="Z161" s="80"/>
    </row>
    <row r="162">
      <c r="A162" s="87">
        <v>2438.0</v>
      </c>
      <c r="B162" s="82" t="s">
        <v>569</v>
      </c>
      <c r="C162" s="82" t="s">
        <v>536</v>
      </c>
      <c r="D162" s="110">
        <v>5000.0</v>
      </c>
      <c r="E162" s="110">
        <v>90.0</v>
      </c>
      <c r="F162" s="110">
        <v>70.0</v>
      </c>
      <c r="G162" s="110">
        <v>2192.4</v>
      </c>
      <c r="H162" s="85">
        <v>46142.0</v>
      </c>
      <c r="I162" s="85">
        <v>46212.0</v>
      </c>
      <c r="J162" s="82" t="s">
        <v>535</v>
      </c>
      <c r="K162" s="86">
        <v>1158025.0</v>
      </c>
      <c r="L162" s="110">
        <v>241408.92</v>
      </c>
      <c r="M162" s="80" t="s">
        <v>554</v>
      </c>
      <c r="N162" s="80"/>
      <c r="O162" s="80"/>
      <c r="P162" s="80"/>
      <c r="Q162" s="80"/>
      <c r="R162" s="80"/>
      <c r="S162" s="80"/>
      <c r="T162" s="80"/>
      <c r="U162" s="80"/>
      <c r="V162" s="80"/>
      <c r="W162" s="80"/>
      <c r="X162" s="80"/>
      <c r="Y162" s="80"/>
      <c r="Z162" s="80"/>
    </row>
    <row r="163">
      <c r="A163" s="87">
        <v>2450.0</v>
      </c>
      <c r="B163" s="82" t="s">
        <v>569</v>
      </c>
      <c r="C163" s="82" t="s">
        <v>536</v>
      </c>
      <c r="D163" s="110">
        <v>5000.0</v>
      </c>
      <c r="E163" s="110">
        <v>90.0</v>
      </c>
      <c r="F163" s="110">
        <v>129.0</v>
      </c>
      <c r="G163" s="110">
        <v>7168.2</v>
      </c>
      <c r="H163" s="85">
        <v>46083.0</v>
      </c>
      <c r="I163" s="85">
        <v>46212.0</v>
      </c>
      <c r="J163" s="82" t="s">
        <v>540</v>
      </c>
      <c r="K163" s="86">
        <v>1151734.0</v>
      </c>
      <c r="L163" s="110">
        <v>294147.78</v>
      </c>
      <c r="M163" s="80" t="s">
        <v>554</v>
      </c>
      <c r="N163" s="80"/>
      <c r="O163" s="80"/>
      <c r="P163" s="80"/>
      <c r="Q163" s="80"/>
      <c r="R163" s="80"/>
      <c r="S163" s="80"/>
      <c r="T163" s="80"/>
      <c r="U163" s="80"/>
      <c r="V163" s="80"/>
      <c r="W163" s="80"/>
      <c r="X163" s="80"/>
      <c r="Y163" s="80"/>
      <c r="Z163" s="80"/>
    </row>
    <row r="164">
      <c r="A164" s="87">
        <v>2454.0</v>
      </c>
      <c r="B164" s="82" t="s">
        <v>569</v>
      </c>
      <c r="C164" s="82" t="s">
        <v>536</v>
      </c>
      <c r="D164" s="110">
        <v>5000.0</v>
      </c>
      <c r="E164" s="110">
        <v>90.0</v>
      </c>
      <c r="F164" s="110">
        <v>42.0</v>
      </c>
      <c r="G164" s="110">
        <v>1563.9</v>
      </c>
      <c r="H164" s="85">
        <v>46170.0</v>
      </c>
      <c r="I164" s="85">
        <v>46212.0</v>
      </c>
      <c r="J164" s="82" t="s">
        <v>535</v>
      </c>
      <c r="K164" s="86">
        <v>1161436.0</v>
      </c>
      <c r="L164" s="110">
        <v>195277.75</v>
      </c>
      <c r="M164" s="80" t="s">
        <v>554</v>
      </c>
      <c r="N164" s="80"/>
      <c r="O164" s="80"/>
      <c r="P164" s="80"/>
      <c r="Q164" s="80"/>
      <c r="R164" s="80"/>
      <c r="S164" s="80"/>
      <c r="T164" s="80"/>
      <c r="U164" s="80"/>
      <c r="V164" s="80"/>
      <c r="W164" s="80"/>
      <c r="X164" s="80"/>
      <c r="Y164" s="80"/>
      <c r="Z164" s="80"/>
    </row>
    <row r="165">
      <c r="A165" s="87">
        <v>2455.0</v>
      </c>
      <c r="B165" s="82" t="s">
        <v>569</v>
      </c>
      <c r="C165" s="82" t="s">
        <v>536</v>
      </c>
      <c r="D165" s="110">
        <v>5000.0</v>
      </c>
      <c r="E165" s="110">
        <v>90.0</v>
      </c>
      <c r="F165" s="110">
        <v>119.0</v>
      </c>
      <c r="G165" s="110">
        <v>2221.0</v>
      </c>
      <c r="H165" s="85">
        <v>46093.0</v>
      </c>
      <c r="I165" s="85">
        <v>46212.0</v>
      </c>
      <c r="J165" s="82" t="s">
        <v>540</v>
      </c>
      <c r="K165" s="86">
        <v>1153072.0</v>
      </c>
      <c r="L165" s="110">
        <v>366254.24</v>
      </c>
      <c r="M165" s="80" t="s">
        <v>554</v>
      </c>
      <c r="N165" s="80"/>
      <c r="O165" s="80"/>
      <c r="P165" s="80"/>
      <c r="Q165" s="80"/>
      <c r="R165" s="80"/>
      <c r="S165" s="80"/>
      <c r="T165" s="80"/>
      <c r="U165" s="80"/>
      <c r="V165" s="80"/>
      <c r="W165" s="80"/>
      <c r="X165" s="80"/>
      <c r="Y165" s="80"/>
      <c r="Z165" s="80"/>
    </row>
    <row r="166">
      <c r="A166" s="87">
        <v>2456.0</v>
      </c>
      <c r="B166" s="82" t="s">
        <v>569</v>
      </c>
      <c r="C166" s="82" t="s">
        <v>536</v>
      </c>
      <c r="D166" s="110">
        <v>5000.0</v>
      </c>
      <c r="E166" s="110">
        <v>90.0</v>
      </c>
      <c r="F166" s="110">
        <v>126.0</v>
      </c>
      <c r="G166" s="110">
        <v>2716.3</v>
      </c>
      <c r="H166" s="85">
        <v>46086.0</v>
      </c>
      <c r="I166" s="85">
        <v>46212.0</v>
      </c>
      <c r="J166" s="82" t="s">
        <v>540</v>
      </c>
      <c r="K166" s="86">
        <v>1152102.0</v>
      </c>
      <c r="L166" s="110">
        <v>191071.14</v>
      </c>
      <c r="M166" s="80" t="s">
        <v>554</v>
      </c>
      <c r="N166" s="80"/>
      <c r="O166" s="80"/>
      <c r="P166" s="80"/>
      <c r="Q166" s="80"/>
      <c r="R166" s="80"/>
      <c r="S166" s="80"/>
      <c r="T166" s="80"/>
      <c r="U166" s="80"/>
      <c r="V166" s="80"/>
      <c r="W166" s="80"/>
      <c r="X166" s="80"/>
      <c r="Y166" s="80"/>
      <c r="Z166" s="80"/>
    </row>
    <row r="167">
      <c r="A167" s="87">
        <v>2457.0</v>
      </c>
      <c r="B167" s="82" t="s">
        <v>569</v>
      </c>
      <c r="C167" s="82" t="s">
        <v>536</v>
      </c>
      <c r="D167" s="110">
        <v>5000.0</v>
      </c>
      <c r="E167" s="110">
        <v>90.0</v>
      </c>
      <c r="F167" s="110">
        <v>112.0</v>
      </c>
      <c r="G167" s="110">
        <v>6746.4</v>
      </c>
      <c r="H167" s="85">
        <v>46100.0</v>
      </c>
      <c r="I167" s="85">
        <v>46212.0</v>
      </c>
      <c r="J167" s="82" t="s">
        <v>540</v>
      </c>
      <c r="K167" s="86">
        <v>1153854.0</v>
      </c>
      <c r="L167" s="110">
        <v>239879.12</v>
      </c>
      <c r="M167" s="80" t="s">
        <v>554</v>
      </c>
      <c r="N167" s="80"/>
      <c r="O167" s="80"/>
      <c r="P167" s="80"/>
      <c r="Q167" s="80"/>
      <c r="R167" s="80"/>
      <c r="S167" s="80"/>
      <c r="T167" s="80"/>
      <c r="U167" s="80"/>
      <c r="V167" s="80"/>
      <c r="W167" s="80"/>
      <c r="X167" s="80"/>
      <c r="Y167" s="80"/>
      <c r="Z167" s="80"/>
    </row>
    <row r="168">
      <c r="A168" s="87">
        <v>2458.0</v>
      </c>
      <c r="B168" s="82" t="s">
        <v>569</v>
      </c>
      <c r="C168" s="82" t="s">
        <v>536</v>
      </c>
      <c r="D168" s="110">
        <v>5000.0</v>
      </c>
      <c r="E168" s="110">
        <v>90.0</v>
      </c>
      <c r="F168" s="110">
        <v>35.0</v>
      </c>
      <c r="G168" s="110">
        <v>930.7</v>
      </c>
      <c r="H168" s="85">
        <v>46177.0</v>
      </c>
      <c r="I168" s="85">
        <v>46212.0</v>
      </c>
      <c r="J168" s="82" t="s">
        <v>535</v>
      </c>
      <c r="K168" s="86">
        <v>1161651.0</v>
      </c>
      <c r="L168" s="110">
        <v>310381.02</v>
      </c>
      <c r="M168" s="80" t="s">
        <v>554</v>
      </c>
      <c r="N168" s="80"/>
      <c r="O168" s="80"/>
      <c r="P168" s="80"/>
      <c r="Q168" s="80"/>
      <c r="R168" s="80"/>
      <c r="S168" s="80"/>
      <c r="T168" s="80"/>
      <c r="U168" s="80"/>
      <c r="V168" s="80"/>
      <c r="W168" s="80"/>
      <c r="X168" s="80"/>
      <c r="Y168" s="80"/>
      <c r="Z168" s="80"/>
    </row>
    <row r="169">
      <c r="A169" s="87">
        <v>2459.0</v>
      </c>
      <c r="B169" s="82" t="s">
        <v>569</v>
      </c>
      <c r="C169" s="82" t="s">
        <v>536</v>
      </c>
      <c r="D169" s="110">
        <v>5000.0</v>
      </c>
      <c r="E169" s="110">
        <v>90.0</v>
      </c>
      <c r="F169" s="110">
        <v>113.0</v>
      </c>
      <c r="G169" s="110">
        <v>4750.3</v>
      </c>
      <c r="H169" s="85">
        <v>46099.0</v>
      </c>
      <c r="I169" s="85">
        <v>46212.0</v>
      </c>
      <c r="J169" s="82" t="s">
        <v>540</v>
      </c>
      <c r="K169" s="86">
        <v>1153737.0</v>
      </c>
      <c r="L169" s="110">
        <v>191330.58</v>
      </c>
      <c r="M169" s="80" t="s">
        <v>554</v>
      </c>
      <c r="N169" s="80"/>
      <c r="O169" s="80"/>
      <c r="P169" s="80"/>
      <c r="Q169" s="80"/>
      <c r="R169" s="80"/>
      <c r="S169" s="80"/>
      <c r="T169" s="80"/>
      <c r="U169" s="80"/>
      <c r="V169" s="80"/>
      <c r="W169" s="80"/>
      <c r="X169" s="80"/>
      <c r="Y169" s="80"/>
      <c r="Z169" s="80"/>
    </row>
    <row r="170">
      <c r="A170" s="87">
        <v>2460.0</v>
      </c>
      <c r="B170" s="82" t="s">
        <v>569</v>
      </c>
      <c r="C170" s="82" t="s">
        <v>536</v>
      </c>
      <c r="D170" s="110">
        <v>5000.0</v>
      </c>
      <c r="E170" s="110">
        <v>90.0</v>
      </c>
      <c r="F170" s="110">
        <v>120.0</v>
      </c>
      <c r="G170" s="110">
        <v>7638.6</v>
      </c>
      <c r="H170" s="85">
        <v>46092.0</v>
      </c>
      <c r="I170" s="85">
        <v>46212.0</v>
      </c>
      <c r="J170" s="82" t="s">
        <v>540</v>
      </c>
      <c r="K170" s="86">
        <v>1152905.0</v>
      </c>
      <c r="L170" s="110">
        <v>274466.7</v>
      </c>
      <c r="M170" s="80" t="s">
        <v>554</v>
      </c>
      <c r="N170" s="80"/>
      <c r="O170" s="80"/>
      <c r="P170" s="80"/>
      <c r="Q170" s="80"/>
      <c r="R170" s="80"/>
      <c r="S170" s="80"/>
      <c r="T170" s="80"/>
      <c r="U170" s="80"/>
      <c r="V170" s="80"/>
      <c r="W170" s="80"/>
      <c r="X170" s="80"/>
      <c r="Y170" s="80"/>
      <c r="Z170" s="80"/>
    </row>
    <row r="171">
      <c r="A171" s="87">
        <v>2462.0</v>
      </c>
      <c r="B171" s="82" t="s">
        <v>569</v>
      </c>
      <c r="C171" s="82" t="s">
        <v>536</v>
      </c>
      <c r="D171" s="110">
        <v>5000.0</v>
      </c>
      <c r="E171" s="110">
        <v>90.0</v>
      </c>
      <c r="F171" s="110">
        <v>120.0</v>
      </c>
      <c r="G171" s="110">
        <v>4834.2</v>
      </c>
      <c r="H171" s="85">
        <v>46092.0</v>
      </c>
      <c r="I171" s="85">
        <v>46212.0</v>
      </c>
      <c r="J171" s="82" t="s">
        <v>540</v>
      </c>
      <c r="K171" s="86">
        <v>1152904.0</v>
      </c>
      <c r="L171" s="110">
        <v>226108.14</v>
      </c>
      <c r="M171" s="80" t="s">
        <v>554</v>
      </c>
      <c r="N171" s="80"/>
      <c r="O171" s="80"/>
      <c r="P171" s="80"/>
      <c r="Q171" s="80"/>
      <c r="R171" s="80"/>
      <c r="S171" s="80"/>
      <c r="T171" s="80"/>
      <c r="U171" s="80"/>
      <c r="V171" s="80"/>
      <c r="W171" s="80"/>
      <c r="X171" s="80"/>
      <c r="Y171" s="80"/>
      <c r="Z171" s="80"/>
    </row>
    <row r="172">
      <c r="A172" s="87">
        <v>2463.0</v>
      </c>
      <c r="B172" s="82" t="s">
        <v>569</v>
      </c>
      <c r="C172" s="82" t="s">
        <v>536</v>
      </c>
      <c r="D172" s="110">
        <v>5000.0</v>
      </c>
      <c r="E172" s="110">
        <v>90.0</v>
      </c>
      <c r="F172" s="110">
        <v>80.0</v>
      </c>
      <c r="G172" s="110">
        <v>3446.0</v>
      </c>
      <c r="H172" s="85">
        <v>46132.0</v>
      </c>
      <c r="I172" s="85">
        <v>46212.0</v>
      </c>
      <c r="J172" s="82" t="s">
        <v>535</v>
      </c>
      <c r="K172" s="86">
        <v>1156783.0</v>
      </c>
      <c r="L172" s="110">
        <v>311812.8</v>
      </c>
      <c r="M172" s="80" t="s">
        <v>554</v>
      </c>
      <c r="N172" s="80"/>
      <c r="O172" s="80"/>
      <c r="P172" s="80"/>
      <c r="Q172" s="80"/>
      <c r="R172" s="80"/>
      <c r="S172" s="80"/>
      <c r="T172" s="80"/>
      <c r="U172" s="80"/>
      <c r="V172" s="80"/>
      <c r="W172" s="80"/>
      <c r="X172" s="80"/>
      <c r="Y172" s="80"/>
      <c r="Z172" s="80"/>
    </row>
    <row r="173">
      <c r="A173" s="87">
        <v>2464.0</v>
      </c>
      <c r="B173" s="82" t="s">
        <v>569</v>
      </c>
      <c r="C173" s="82" t="s">
        <v>536</v>
      </c>
      <c r="D173" s="110">
        <v>5000.0</v>
      </c>
      <c r="E173" s="110">
        <v>90.0</v>
      </c>
      <c r="F173" s="110">
        <v>126.0</v>
      </c>
      <c r="G173" s="110">
        <v>5008.2</v>
      </c>
      <c r="H173" s="85">
        <v>46086.0</v>
      </c>
      <c r="I173" s="85">
        <v>46212.0</v>
      </c>
      <c r="J173" s="82" t="s">
        <v>540</v>
      </c>
      <c r="K173" s="86">
        <v>1152100.0</v>
      </c>
      <c r="L173" s="110">
        <v>227020.19</v>
      </c>
      <c r="M173" s="80" t="s">
        <v>554</v>
      </c>
      <c r="N173" s="80"/>
      <c r="O173" s="80"/>
      <c r="P173" s="80"/>
      <c r="Q173" s="80"/>
      <c r="R173" s="80"/>
      <c r="S173" s="80"/>
      <c r="T173" s="80"/>
      <c r="U173" s="80"/>
      <c r="V173" s="80"/>
      <c r="W173" s="80"/>
      <c r="X173" s="80"/>
      <c r="Y173" s="80"/>
      <c r="Z173" s="80"/>
    </row>
    <row r="174">
      <c r="A174" s="87">
        <v>2466.0</v>
      </c>
      <c r="B174" s="82" t="s">
        <v>572</v>
      </c>
      <c r="C174" s="82" t="s">
        <v>536</v>
      </c>
      <c r="D174" s="110">
        <v>5000.0</v>
      </c>
      <c r="E174" s="110">
        <v>90.0</v>
      </c>
      <c r="F174" s="110">
        <v>122.0</v>
      </c>
      <c r="G174" s="110">
        <v>3095.4</v>
      </c>
      <c r="H174" s="85">
        <v>46090.0</v>
      </c>
      <c r="I174" s="85">
        <v>46212.0</v>
      </c>
      <c r="J174" s="82" t="s">
        <v>540</v>
      </c>
      <c r="K174" s="86">
        <v>1152449.0</v>
      </c>
      <c r="L174" s="110">
        <v>371177.01</v>
      </c>
      <c r="M174" s="80" t="s">
        <v>554</v>
      </c>
      <c r="N174" s="80"/>
      <c r="O174" s="80"/>
      <c r="P174" s="80"/>
      <c r="Q174" s="80"/>
      <c r="R174" s="80"/>
      <c r="S174" s="80"/>
      <c r="T174" s="80"/>
      <c r="U174" s="80"/>
      <c r="V174" s="80"/>
      <c r="W174" s="80"/>
      <c r="X174" s="80"/>
      <c r="Y174" s="80"/>
      <c r="Z174" s="80"/>
    </row>
    <row r="175">
      <c r="A175" s="87">
        <v>2468.0</v>
      </c>
      <c r="B175" s="82" t="s">
        <v>569</v>
      </c>
      <c r="C175" s="82" t="s">
        <v>536</v>
      </c>
      <c r="D175" s="110">
        <v>5000.0</v>
      </c>
      <c r="E175" s="110">
        <v>90.0</v>
      </c>
      <c r="F175" s="110">
        <v>111.0</v>
      </c>
      <c r="G175" s="110">
        <v>5135.0</v>
      </c>
      <c r="H175" s="85">
        <v>46101.0</v>
      </c>
      <c r="I175" s="85">
        <v>46212.0</v>
      </c>
      <c r="J175" s="82" t="s">
        <v>540</v>
      </c>
      <c r="K175" s="86">
        <v>1153982.0</v>
      </c>
      <c r="L175" s="110">
        <v>256694.27</v>
      </c>
      <c r="M175" s="80" t="s">
        <v>554</v>
      </c>
      <c r="N175" s="80"/>
      <c r="O175" s="80"/>
      <c r="P175" s="80"/>
      <c r="Q175" s="80"/>
      <c r="R175" s="80"/>
      <c r="S175" s="80"/>
      <c r="T175" s="80"/>
      <c r="U175" s="80"/>
      <c r="V175" s="80"/>
      <c r="W175" s="80"/>
      <c r="X175" s="80"/>
      <c r="Y175" s="80"/>
      <c r="Z175" s="80"/>
    </row>
    <row r="176">
      <c r="A176" s="87">
        <v>2469.0</v>
      </c>
      <c r="B176" s="82" t="s">
        <v>569</v>
      </c>
      <c r="C176" s="82" t="s">
        <v>537</v>
      </c>
      <c r="D176" s="110">
        <v>5000.0</v>
      </c>
      <c r="E176" s="110">
        <v>90.0</v>
      </c>
      <c r="F176" s="110">
        <v>40.0</v>
      </c>
      <c r="G176" s="110">
        <v>2510.7</v>
      </c>
      <c r="H176" s="85">
        <v>46172.0</v>
      </c>
      <c r="I176" s="85">
        <v>46212.0</v>
      </c>
      <c r="J176" s="82" t="s">
        <v>535</v>
      </c>
      <c r="K176" s="86">
        <v>1161502.0</v>
      </c>
      <c r="L176" s="110">
        <v>266105.45</v>
      </c>
      <c r="M176" s="80" t="s">
        <v>538</v>
      </c>
      <c r="N176" s="80"/>
      <c r="O176" s="80"/>
      <c r="P176" s="80"/>
      <c r="Q176" s="80"/>
      <c r="R176" s="80"/>
      <c r="S176" s="80"/>
      <c r="T176" s="80"/>
      <c r="U176" s="80"/>
      <c r="V176" s="80"/>
      <c r="W176" s="80"/>
      <c r="X176" s="80"/>
      <c r="Y176" s="80"/>
      <c r="Z176" s="80"/>
    </row>
    <row r="177">
      <c r="A177" s="87">
        <v>2484.0</v>
      </c>
      <c r="B177" s="82" t="s">
        <v>560</v>
      </c>
      <c r="C177" s="82" t="s">
        <v>536</v>
      </c>
      <c r="D177" s="110">
        <v>5000.0</v>
      </c>
      <c r="E177" s="110">
        <v>90.0</v>
      </c>
      <c r="F177" s="110">
        <v>104.0</v>
      </c>
      <c r="G177" s="110">
        <v>3197.8</v>
      </c>
      <c r="H177" s="85">
        <v>46108.0</v>
      </c>
      <c r="I177" s="85">
        <v>46212.0</v>
      </c>
      <c r="J177" s="82" t="s">
        <v>540</v>
      </c>
      <c r="K177" s="86">
        <v>1154490.0</v>
      </c>
      <c r="L177" s="110">
        <v>165189.81</v>
      </c>
      <c r="M177" s="80" t="s">
        <v>554</v>
      </c>
      <c r="N177" s="80"/>
      <c r="O177" s="80"/>
      <c r="P177" s="80"/>
      <c r="Q177" s="80"/>
      <c r="R177" s="80"/>
      <c r="S177" s="80"/>
      <c r="T177" s="80"/>
      <c r="U177" s="80"/>
      <c r="V177" s="80"/>
      <c r="W177" s="80"/>
      <c r="X177" s="80"/>
      <c r="Y177" s="80"/>
      <c r="Z177" s="80"/>
    </row>
    <row r="178">
      <c r="A178" s="87">
        <v>2490.0</v>
      </c>
      <c r="B178" s="82" t="s">
        <v>560</v>
      </c>
      <c r="C178" s="82" t="s">
        <v>536</v>
      </c>
      <c r="D178" s="110">
        <v>5000.0</v>
      </c>
      <c r="E178" s="110">
        <v>90.0</v>
      </c>
      <c r="F178" s="110">
        <v>94.0</v>
      </c>
      <c r="G178" s="110">
        <v>2764.2</v>
      </c>
      <c r="H178" s="85">
        <v>46118.0</v>
      </c>
      <c r="I178" s="85">
        <v>46212.0</v>
      </c>
      <c r="J178" s="82" t="s">
        <v>540</v>
      </c>
      <c r="K178" s="86">
        <v>1155246.0</v>
      </c>
      <c r="L178" s="110">
        <v>184974.24</v>
      </c>
      <c r="M178" s="80" t="s">
        <v>554</v>
      </c>
      <c r="N178" s="80"/>
      <c r="O178" s="80"/>
      <c r="P178" s="80"/>
      <c r="Q178" s="80"/>
      <c r="R178" s="80"/>
      <c r="S178" s="80"/>
      <c r="T178" s="80"/>
      <c r="U178" s="80"/>
      <c r="V178" s="80"/>
      <c r="W178" s="80"/>
      <c r="X178" s="80"/>
      <c r="Y178" s="80"/>
      <c r="Z178" s="80"/>
    </row>
    <row r="179">
      <c r="A179" s="87">
        <v>2492.0</v>
      </c>
      <c r="B179" s="82" t="s">
        <v>573</v>
      </c>
      <c r="C179" s="82" t="s">
        <v>536</v>
      </c>
      <c r="D179" s="110">
        <v>5000.0</v>
      </c>
      <c r="E179" s="110">
        <v>90.0</v>
      </c>
      <c r="F179" s="110">
        <v>49.0</v>
      </c>
      <c r="G179" s="110">
        <v>792.9</v>
      </c>
      <c r="H179" s="85">
        <v>46163.0</v>
      </c>
      <c r="I179" s="85">
        <v>46212.0</v>
      </c>
      <c r="J179" s="82" t="s">
        <v>535</v>
      </c>
      <c r="K179" s="86">
        <v>1160718.0</v>
      </c>
      <c r="L179" s="110">
        <v>137733.45</v>
      </c>
      <c r="M179" s="80" t="s">
        <v>554</v>
      </c>
      <c r="N179" s="80"/>
      <c r="O179" s="80"/>
      <c r="P179" s="80"/>
      <c r="Q179" s="80"/>
      <c r="R179" s="80"/>
      <c r="S179" s="80"/>
      <c r="T179" s="80"/>
      <c r="U179" s="80"/>
      <c r="V179" s="80"/>
      <c r="W179" s="80"/>
      <c r="X179" s="80"/>
      <c r="Y179" s="80"/>
      <c r="Z179" s="80"/>
    </row>
    <row r="180">
      <c r="A180" s="87">
        <v>2570.0</v>
      </c>
      <c r="B180" s="82" t="s">
        <v>574</v>
      </c>
      <c r="C180" s="82" t="s">
        <v>536</v>
      </c>
      <c r="D180" s="110">
        <v>5000.0</v>
      </c>
      <c r="E180" s="110">
        <v>90.0</v>
      </c>
      <c r="F180" s="110">
        <v>90.0</v>
      </c>
      <c r="G180" s="110">
        <v>1930.0</v>
      </c>
      <c r="H180" s="85">
        <v>46122.0</v>
      </c>
      <c r="I180" s="85">
        <v>46212.0</v>
      </c>
      <c r="J180" s="82" t="s">
        <v>540</v>
      </c>
      <c r="K180" s="86">
        <v>1155716.0</v>
      </c>
      <c r="L180" s="110">
        <v>56840.25</v>
      </c>
      <c r="M180" s="80" t="s">
        <v>554</v>
      </c>
      <c r="N180" s="80"/>
      <c r="O180" s="80"/>
      <c r="P180" s="80"/>
      <c r="Q180" s="80"/>
      <c r="R180" s="80"/>
      <c r="S180" s="80"/>
      <c r="T180" s="80"/>
      <c r="U180" s="80"/>
      <c r="V180" s="80"/>
      <c r="W180" s="80"/>
      <c r="X180" s="80"/>
      <c r="Y180" s="80"/>
      <c r="Z180" s="80"/>
    </row>
    <row r="181">
      <c r="A181" s="87">
        <v>2572.0</v>
      </c>
      <c r="B181" s="82" t="s">
        <v>574</v>
      </c>
      <c r="C181" s="82" t="s">
        <v>537</v>
      </c>
      <c r="D181" s="110">
        <v>5000.0</v>
      </c>
      <c r="E181" s="110">
        <v>90.0</v>
      </c>
      <c r="F181" s="110">
        <v>65.0</v>
      </c>
      <c r="G181" s="110">
        <v>4262.0</v>
      </c>
      <c r="H181" s="85">
        <v>46147.0</v>
      </c>
      <c r="I181" s="85">
        <v>46212.0</v>
      </c>
      <c r="J181" s="82" t="s">
        <v>535</v>
      </c>
      <c r="K181" s="86">
        <v>1158475.0</v>
      </c>
      <c r="L181" s="110">
        <v>153321.76</v>
      </c>
      <c r="M181" s="80" t="s">
        <v>554</v>
      </c>
      <c r="N181" s="80"/>
      <c r="O181" s="80"/>
      <c r="P181" s="80"/>
      <c r="Q181" s="80"/>
      <c r="R181" s="80"/>
      <c r="S181" s="80"/>
      <c r="T181" s="80"/>
      <c r="U181" s="80"/>
      <c r="V181" s="80"/>
      <c r="W181" s="80"/>
      <c r="X181" s="80"/>
      <c r="Y181" s="80"/>
      <c r="Z181" s="80"/>
    </row>
    <row r="182">
      <c r="A182" s="87">
        <v>2573.0</v>
      </c>
      <c r="B182" s="82" t="s">
        <v>574</v>
      </c>
      <c r="C182" s="82" t="s">
        <v>536</v>
      </c>
      <c r="D182" s="110">
        <v>5000.0</v>
      </c>
      <c r="E182" s="110">
        <v>90.0</v>
      </c>
      <c r="F182" s="110">
        <v>35.0</v>
      </c>
      <c r="G182" s="110">
        <v>622.7</v>
      </c>
      <c r="H182" s="85">
        <v>46177.0</v>
      </c>
      <c r="I182" s="85">
        <v>46212.0</v>
      </c>
      <c r="J182" s="82" t="s">
        <v>535</v>
      </c>
      <c r="K182" s="86">
        <v>1161650.0</v>
      </c>
      <c r="L182" s="110">
        <v>245234.36</v>
      </c>
      <c r="M182" s="80" t="s">
        <v>538</v>
      </c>
      <c r="N182" s="80"/>
      <c r="O182" s="80"/>
      <c r="P182" s="80"/>
      <c r="Q182" s="80"/>
      <c r="R182" s="80"/>
      <c r="S182" s="80"/>
      <c r="T182" s="80"/>
      <c r="U182" s="80"/>
      <c r="V182" s="80"/>
      <c r="W182" s="80"/>
      <c r="X182" s="80"/>
      <c r="Y182" s="80"/>
      <c r="Z182" s="80"/>
    </row>
    <row r="183">
      <c r="A183" s="87">
        <v>2623.0</v>
      </c>
      <c r="B183" s="82" t="s">
        <v>575</v>
      </c>
      <c r="C183" s="82" t="s">
        <v>536</v>
      </c>
      <c r="D183" s="110">
        <v>5000.0</v>
      </c>
      <c r="E183" s="110">
        <v>90.0</v>
      </c>
      <c r="F183" s="110">
        <v>90.0</v>
      </c>
      <c r="G183" s="110">
        <v>3344.2</v>
      </c>
      <c r="H183" s="85">
        <v>46122.0</v>
      </c>
      <c r="I183" s="85">
        <v>46212.0</v>
      </c>
      <c r="J183" s="82" t="s">
        <v>540</v>
      </c>
      <c r="K183" s="86">
        <v>1155717.0</v>
      </c>
      <c r="L183" s="110">
        <v>101738.44</v>
      </c>
      <c r="M183" s="80" t="s">
        <v>554</v>
      </c>
      <c r="N183" s="80"/>
      <c r="O183" s="80"/>
      <c r="P183" s="80"/>
      <c r="Q183" s="80"/>
      <c r="R183" s="80"/>
      <c r="S183" s="80"/>
      <c r="T183" s="80"/>
      <c r="U183" s="80"/>
      <c r="V183" s="80"/>
      <c r="W183" s="80"/>
      <c r="X183" s="80"/>
      <c r="Y183" s="80"/>
      <c r="Z183" s="80"/>
    </row>
    <row r="184">
      <c r="A184" s="87">
        <v>2628.0</v>
      </c>
      <c r="B184" s="82" t="s">
        <v>575</v>
      </c>
      <c r="C184" s="82" t="s">
        <v>576</v>
      </c>
      <c r="D184" s="110">
        <v>5000.0</v>
      </c>
      <c r="E184" s="110">
        <v>90.0</v>
      </c>
      <c r="F184" s="110">
        <v>56.0</v>
      </c>
      <c r="G184" s="110">
        <v>0.0</v>
      </c>
      <c r="H184" s="85">
        <v>46156.0</v>
      </c>
      <c r="I184" s="85">
        <v>46212.0</v>
      </c>
      <c r="J184" s="82" t="s">
        <v>535</v>
      </c>
      <c r="K184" s="86">
        <v>1159894.0</v>
      </c>
      <c r="L184" s="110">
        <v>171940.51</v>
      </c>
      <c r="M184" s="80" t="s">
        <v>536</v>
      </c>
      <c r="N184" s="80"/>
      <c r="O184" s="80"/>
      <c r="P184" s="80"/>
      <c r="Q184" s="80"/>
      <c r="R184" s="80"/>
      <c r="S184" s="80"/>
      <c r="T184" s="80"/>
      <c r="U184" s="80"/>
      <c r="V184" s="80"/>
      <c r="W184" s="80"/>
      <c r="X184" s="80"/>
      <c r="Y184" s="80"/>
      <c r="Z184" s="80"/>
    </row>
    <row r="185">
      <c r="A185" s="87">
        <v>2635.0</v>
      </c>
      <c r="B185" s="82" t="s">
        <v>577</v>
      </c>
      <c r="C185" s="82" t="s">
        <v>536</v>
      </c>
      <c r="D185" s="110">
        <v>5000.0</v>
      </c>
      <c r="E185" s="110">
        <v>90.0</v>
      </c>
      <c r="F185" s="110">
        <v>56.0</v>
      </c>
      <c r="G185" s="110">
        <v>2488.7</v>
      </c>
      <c r="H185" s="85">
        <v>46156.0</v>
      </c>
      <c r="I185" s="85">
        <v>46212.0</v>
      </c>
      <c r="J185" s="82" t="s">
        <v>535</v>
      </c>
      <c r="K185" s="86">
        <v>1159860.0</v>
      </c>
      <c r="L185" s="110">
        <v>101018.53</v>
      </c>
      <c r="M185" s="80" t="s">
        <v>554</v>
      </c>
      <c r="N185" s="80"/>
      <c r="O185" s="80"/>
      <c r="P185" s="80"/>
      <c r="Q185" s="80"/>
      <c r="R185" s="80"/>
      <c r="S185" s="80"/>
      <c r="T185" s="80"/>
      <c r="U185" s="80"/>
      <c r="V185" s="80"/>
      <c r="W185" s="80"/>
      <c r="X185" s="80"/>
      <c r="Y185" s="80"/>
      <c r="Z185" s="80"/>
    </row>
    <row r="186">
      <c r="A186" s="87">
        <v>2637.0</v>
      </c>
      <c r="B186" s="82" t="s">
        <v>577</v>
      </c>
      <c r="C186" s="82" t="s">
        <v>536</v>
      </c>
      <c r="D186" s="110">
        <v>5000.0</v>
      </c>
      <c r="E186" s="110">
        <v>90.0</v>
      </c>
      <c r="F186" s="110">
        <v>44.0</v>
      </c>
      <c r="G186" s="110">
        <v>1933.3</v>
      </c>
      <c r="H186" s="85">
        <v>46168.0</v>
      </c>
      <c r="I186" s="85">
        <v>46212.0</v>
      </c>
      <c r="J186" s="82" t="s">
        <v>535</v>
      </c>
      <c r="K186" s="86">
        <v>1161295.0</v>
      </c>
      <c r="L186" s="110">
        <v>106238.01</v>
      </c>
      <c r="M186" s="80" t="s">
        <v>554</v>
      </c>
      <c r="N186" s="80"/>
      <c r="O186" s="80"/>
      <c r="P186" s="80"/>
      <c r="Q186" s="80"/>
      <c r="R186" s="80"/>
      <c r="S186" s="80"/>
      <c r="T186" s="80"/>
      <c r="U186" s="80"/>
      <c r="V186" s="80"/>
      <c r="W186" s="80"/>
      <c r="X186" s="80"/>
      <c r="Y186" s="80"/>
      <c r="Z186" s="80"/>
    </row>
    <row r="187">
      <c r="A187" s="87">
        <v>2640.0</v>
      </c>
      <c r="B187" s="82" t="s">
        <v>578</v>
      </c>
      <c r="C187" s="82" t="s">
        <v>570</v>
      </c>
      <c r="D187" s="110">
        <v>5000.0</v>
      </c>
      <c r="E187" s="110">
        <v>90.0</v>
      </c>
      <c r="F187" s="110">
        <v>58.0</v>
      </c>
      <c r="G187" s="110">
        <v>1199.0</v>
      </c>
      <c r="H187" s="85">
        <v>46154.0</v>
      </c>
      <c r="I187" s="85">
        <v>46212.0</v>
      </c>
      <c r="J187" s="82" t="s">
        <v>535</v>
      </c>
      <c r="K187" s="86">
        <v>1159496.0</v>
      </c>
      <c r="L187" s="110">
        <v>81708.28</v>
      </c>
      <c r="M187" s="80" t="s">
        <v>536</v>
      </c>
      <c r="N187" s="80"/>
      <c r="O187" s="80"/>
      <c r="P187" s="80"/>
      <c r="Q187" s="80"/>
      <c r="R187" s="80"/>
      <c r="S187" s="80"/>
      <c r="T187" s="80"/>
      <c r="U187" s="80"/>
      <c r="V187" s="80"/>
      <c r="W187" s="80"/>
      <c r="X187" s="80"/>
      <c r="Y187" s="80"/>
      <c r="Z187" s="80"/>
    </row>
    <row r="188">
      <c r="A188" s="87">
        <v>2643.0</v>
      </c>
      <c r="B188" s="82" t="s">
        <v>578</v>
      </c>
      <c r="C188" s="82" t="s">
        <v>570</v>
      </c>
      <c r="D188" s="110">
        <v>5000.0</v>
      </c>
      <c r="E188" s="110">
        <v>90.0</v>
      </c>
      <c r="F188" s="110">
        <v>56.0</v>
      </c>
      <c r="G188" s="110">
        <v>2252.3</v>
      </c>
      <c r="H188" s="85">
        <v>46156.0</v>
      </c>
      <c r="I188" s="85">
        <v>46212.0</v>
      </c>
      <c r="J188" s="82" t="s">
        <v>535</v>
      </c>
      <c r="K188" s="86">
        <v>1159892.0</v>
      </c>
      <c r="L188" s="110">
        <v>100605.86</v>
      </c>
      <c r="M188" s="80" t="s">
        <v>554</v>
      </c>
      <c r="N188" s="80"/>
      <c r="O188" s="80"/>
      <c r="P188" s="80"/>
      <c r="Q188" s="80"/>
      <c r="R188" s="80"/>
      <c r="S188" s="80"/>
      <c r="T188" s="80"/>
      <c r="U188" s="80"/>
      <c r="V188" s="80"/>
      <c r="W188" s="80"/>
      <c r="X188" s="80"/>
      <c r="Y188" s="80"/>
      <c r="Z188" s="80"/>
    </row>
    <row r="189">
      <c r="A189" s="87">
        <v>2656.0</v>
      </c>
      <c r="B189" s="82" t="s">
        <v>579</v>
      </c>
      <c r="C189" s="82" t="s">
        <v>536</v>
      </c>
      <c r="D189" s="110">
        <v>5000.0</v>
      </c>
      <c r="E189" s="110">
        <v>90.0</v>
      </c>
      <c r="F189" s="110">
        <v>93.0</v>
      </c>
      <c r="G189" s="110">
        <v>2376.0</v>
      </c>
      <c r="H189" s="85">
        <v>46119.0</v>
      </c>
      <c r="I189" s="85">
        <v>46212.0</v>
      </c>
      <c r="J189" s="82" t="s">
        <v>540</v>
      </c>
      <c r="K189" s="86">
        <v>1155340.0</v>
      </c>
      <c r="L189" s="110">
        <v>98333.63</v>
      </c>
      <c r="M189" s="80" t="s">
        <v>570</v>
      </c>
      <c r="N189" s="80"/>
      <c r="O189" s="80"/>
      <c r="P189" s="80"/>
      <c r="Q189" s="80"/>
      <c r="R189" s="80"/>
      <c r="S189" s="80"/>
      <c r="T189" s="80"/>
      <c r="U189" s="80"/>
      <c r="V189" s="80"/>
      <c r="W189" s="80"/>
      <c r="X189" s="80"/>
      <c r="Y189" s="80"/>
      <c r="Z189" s="80"/>
    </row>
    <row r="190">
      <c r="A190" s="87">
        <v>2657.0</v>
      </c>
      <c r="B190" s="82" t="s">
        <v>579</v>
      </c>
      <c r="C190" s="82" t="s">
        <v>536</v>
      </c>
      <c r="D190" s="110">
        <v>5000.0</v>
      </c>
      <c r="E190" s="110">
        <v>90.0</v>
      </c>
      <c r="F190" s="110">
        <v>107.0</v>
      </c>
      <c r="G190" s="110">
        <v>3156.0</v>
      </c>
      <c r="H190" s="85">
        <v>46105.0</v>
      </c>
      <c r="I190" s="85">
        <v>46212.0</v>
      </c>
      <c r="J190" s="82" t="s">
        <v>540</v>
      </c>
      <c r="K190" s="86">
        <v>1154201.0</v>
      </c>
      <c r="L190" s="110">
        <v>96052.78</v>
      </c>
      <c r="M190" s="80" t="s">
        <v>570</v>
      </c>
      <c r="N190" s="80"/>
      <c r="O190" s="80"/>
      <c r="P190" s="80"/>
      <c r="Q190" s="80"/>
      <c r="R190" s="80"/>
      <c r="S190" s="80"/>
      <c r="T190" s="80"/>
      <c r="U190" s="80"/>
      <c r="V190" s="80"/>
      <c r="W190" s="80"/>
      <c r="X190" s="80"/>
      <c r="Y190" s="80"/>
      <c r="Z190" s="80"/>
    </row>
    <row r="191">
      <c r="A191" s="87">
        <v>2659.0</v>
      </c>
      <c r="B191" s="82" t="s">
        <v>579</v>
      </c>
      <c r="C191" s="82" t="s">
        <v>536</v>
      </c>
      <c r="D191" s="110">
        <v>5000.0</v>
      </c>
      <c r="E191" s="110">
        <v>90.0</v>
      </c>
      <c r="F191" s="110">
        <v>90.0</v>
      </c>
      <c r="G191" s="110">
        <v>2342.0</v>
      </c>
      <c r="H191" s="85">
        <v>46122.0</v>
      </c>
      <c r="I191" s="85">
        <v>46212.0</v>
      </c>
      <c r="J191" s="82" t="s">
        <v>540</v>
      </c>
      <c r="K191" s="86">
        <v>1155715.0</v>
      </c>
      <c r="L191" s="110">
        <v>68629.55</v>
      </c>
      <c r="M191" s="80" t="s">
        <v>554</v>
      </c>
      <c r="N191" s="80"/>
      <c r="O191" s="80"/>
      <c r="P191" s="80"/>
      <c r="Q191" s="80"/>
      <c r="R191" s="80"/>
      <c r="S191" s="80"/>
      <c r="T191" s="80"/>
      <c r="U191" s="80"/>
      <c r="V191" s="80"/>
      <c r="W191" s="80"/>
      <c r="X191" s="80"/>
      <c r="Y191" s="80"/>
      <c r="Z191" s="80"/>
    </row>
    <row r="192">
      <c r="A192" s="87">
        <v>2660.0</v>
      </c>
      <c r="B192" s="82" t="s">
        <v>579</v>
      </c>
      <c r="C192" s="82" t="s">
        <v>538</v>
      </c>
      <c r="D192" s="110">
        <v>5000.0</v>
      </c>
      <c r="E192" s="110">
        <v>90.0</v>
      </c>
      <c r="F192" s="110">
        <v>86.0</v>
      </c>
      <c r="G192" s="110">
        <v>3078.0</v>
      </c>
      <c r="H192" s="85">
        <v>46126.0</v>
      </c>
      <c r="I192" s="85">
        <v>46212.0</v>
      </c>
      <c r="J192" s="82" t="s">
        <v>535</v>
      </c>
      <c r="K192" s="86">
        <v>1156060.0</v>
      </c>
      <c r="L192" s="110">
        <v>157209.01</v>
      </c>
      <c r="M192" s="80" t="s">
        <v>537</v>
      </c>
      <c r="N192" s="80"/>
      <c r="O192" s="80"/>
      <c r="P192" s="80"/>
      <c r="Q192" s="80"/>
      <c r="R192" s="80"/>
      <c r="S192" s="80"/>
      <c r="T192" s="80"/>
      <c r="U192" s="80"/>
      <c r="V192" s="80"/>
      <c r="W192" s="80"/>
      <c r="X192" s="80"/>
      <c r="Y192" s="80"/>
      <c r="Z192" s="80"/>
    </row>
    <row r="193">
      <c r="A193" s="87">
        <v>2661.0</v>
      </c>
      <c r="B193" s="82" t="s">
        <v>579</v>
      </c>
      <c r="C193" s="82" t="s">
        <v>536</v>
      </c>
      <c r="D193" s="110">
        <v>5000.0</v>
      </c>
      <c r="E193" s="110">
        <v>90.0</v>
      </c>
      <c r="F193" s="110">
        <v>90.0</v>
      </c>
      <c r="G193" s="110">
        <v>4855.9</v>
      </c>
      <c r="H193" s="85">
        <v>46122.0</v>
      </c>
      <c r="I193" s="85">
        <v>46212.0</v>
      </c>
      <c r="J193" s="82" t="s">
        <v>540</v>
      </c>
      <c r="K193" s="86">
        <v>1155714.0</v>
      </c>
      <c r="L193" s="110">
        <v>103981.42</v>
      </c>
      <c r="M193" s="80" t="s">
        <v>554</v>
      </c>
      <c r="N193" s="80"/>
      <c r="O193" s="80"/>
      <c r="P193" s="80"/>
      <c r="Q193" s="80"/>
      <c r="R193" s="80"/>
      <c r="S193" s="80"/>
      <c r="T193" s="80"/>
      <c r="U193" s="80"/>
      <c r="V193" s="80"/>
      <c r="W193" s="80"/>
      <c r="X193" s="80"/>
      <c r="Y193" s="80"/>
      <c r="Z193" s="80"/>
    </row>
    <row r="194">
      <c r="A194" s="87">
        <v>2662.0</v>
      </c>
      <c r="B194" s="82" t="s">
        <v>579</v>
      </c>
      <c r="C194" s="82" t="s">
        <v>534</v>
      </c>
      <c r="D194" s="110">
        <v>5000.0</v>
      </c>
      <c r="E194" s="110">
        <v>90.0</v>
      </c>
      <c r="F194" s="110">
        <v>54.0</v>
      </c>
      <c r="G194" s="110">
        <v>4857.4</v>
      </c>
      <c r="H194" s="85">
        <v>46158.0</v>
      </c>
      <c r="I194" s="85">
        <v>46212.0</v>
      </c>
      <c r="J194" s="82" t="s">
        <v>535</v>
      </c>
      <c r="K194" s="86">
        <v>1160101.0</v>
      </c>
      <c r="L194" s="110">
        <v>162308.28</v>
      </c>
      <c r="M194" s="80" t="s">
        <v>539</v>
      </c>
      <c r="N194" s="80"/>
      <c r="O194" s="80"/>
      <c r="P194" s="80"/>
      <c r="Q194" s="80"/>
      <c r="R194" s="80"/>
      <c r="S194" s="80"/>
      <c r="T194" s="80"/>
      <c r="U194" s="80"/>
      <c r="V194" s="80"/>
      <c r="W194" s="80"/>
      <c r="X194" s="80"/>
      <c r="Y194" s="80"/>
      <c r="Z194" s="80"/>
    </row>
    <row r="195">
      <c r="A195" s="87">
        <v>2663.0</v>
      </c>
      <c r="B195" s="82" t="s">
        <v>579</v>
      </c>
      <c r="C195" s="82" t="s">
        <v>538</v>
      </c>
      <c r="D195" s="110">
        <v>5000.0</v>
      </c>
      <c r="E195" s="110">
        <v>90.0</v>
      </c>
      <c r="F195" s="110">
        <v>115.0</v>
      </c>
      <c r="G195" s="110">
        <v>7813.7</v>
      </c>
      <c r="H195" s="85">
        <v>46097.0</v>
      </c>
      <c r="I195" s="85">
        <v>46212.0</v>
      </c>
      <c r="J195" s="82" t="s">
        <v>540</v>
      </c>
      <c r="K195" s="86">
        <v>1153503.0</v>
      </c>
      <c r="L195" s="110">
        <v>140447.37</v>
      </c>
      <c r="M195" s="80" t="s">
        <v>536</v>
      </c>
      <c r="N195" s="80"/>
      <c r="O195" s="80"/>
      <c r="P195" s="80"/>
      <c r="Q195" s="80"/>
      <c r="R195" s="80"/>
      <c r="S195" s="80"/>
      <c r="T195" s="80"/>
      <c r="U195" s="80"/>
      <c r="V195" s="80"/>
      <c r="W195" s="80"/>
      <c r="X195" s="80"/>
      <c r="Y195" s="80"/>
      <c r="Z195" s="80"/>
    </row>
    <row r="196">
      <c r="A196" s="87">
        <v>2665.0</v>
      </c>
      <c r="B196" s="82" t="s">
        <v>579</v>
      </c>
      <c r="C196" s="82" t="s">
        <v>534</v>
      </c>
      <c r="D196" s="110">
        <v>5000.0</v>
      </c>
      <c r="E196" s="110">
        <v>90.0</v>
      </c>
      <c r="F196" s="110">
        <v>62.0</v>
      </c>
      <c r="G196" s="110">
        <v>6109.9</v>
      </c>
      <c r="H196" s="85">
        <v>46150.0</v>
      </c>
      <c r="I196" s="85">
        <v>46212.0</v>
      </c>
      <c r="J196" s="82" t="s">
        <v>540</v>
      </c>
      <c r="K196" s="86">
        <v>1159065.0</v>
      </c>
      <c r="L196" s="110">
        <v>386096.31</v>
      </c>
      <c r="M196" s="80" t="s">
        <v>580</v>
      </c>
      <c r="N196" s="80"/>
      <c r="O196" s="80"/>
      <c r="P196" s="80"/>
      <c r="Q196" s="80"/>
      <c r="R196" s="80"/>
      <c r="S196" s="80"/>
      <c r="T196" s="80"/>
      <c r="U196" s="80"/>
      <c r="V196" s="80"/>
      <c r="W196" s="80"/>
      <c r="X196" s="80"/>
      <c r="Y196" s="80"/>
      <c r="Z196" s="80"/>
    </row>
    <row r="197">
      <c r="A197" s="87">
        <v>2666.0</v>
      </c>
      <c r="B197" s="82" t="s">
        <v>579</v>
      </c>
      <c r="C197" s="82" t="s">
        <v>536</v>
      </c>
      <c r="D197" s="110">
        <v>5000.0</v>
      </c>
      <c r="E197" s="110">
        <v>90.0</v>
      </c>
      <c r="F197" s="110">
        <v>129.0</v>
      </c>
      <c r="G197" s="110">
        <v>5010.4</v>
      </c>
      <c r="H197" s="85">
        <v>46083.0</v>
      </c>
      <c r="I197" s="85">
        <v>46212.0</v>
      </c>
      <c r="J197" s="82" t="s">
        <v>540</v>
      </c>
      <c r="K197" s="86">
        <v>1151745.0</v>
      </c>
      <c r="L197" s="110">
        <v>194536.14</v>
      </c>
      <c r="M197" s="80" t="s">
        <v>536</v>
      </c>
      <c r="N197" s="80"/>
      <c r="O197" s="80"/>
      <c r="P197" s="80"/>
      <c r="Q197" s="80"/>
      <c r="R197" s="80"/>
      <c r="S197" s="80"/>
      <c r="T197" s="80"/>
      <c r="U197" s="80"/>
      <c r="V197" s="80"/>
      <c r="W197" s="80"/>
      <c r="X197" s="80"/>
      <c r="Y197" s="80"/>
      <c r="Z197" s="80"/>
    </row>
    <row r="198">
      <c r="A198" s="87">
        <v>2669.0</v>
      </c>
      <c r="B198" s="82" t="s">
        <v>579</v>
      </c>
      <c r="C198" s="82" t="s">
        <v>536</v>
      </c>
      <c r="D198" s="110">
        <v>5000.0</v>
      </c>
      <c r="E198" s="110">
        <v>90.0</v>
      </c>
      <c r="F198" s="110">
        <v>70.0</v>
      </c>
      <c r="G198" s="110">
        <v>2134.0</v>
      </c>
      <c r="H198" s="85">
        <v>46142.0</v>
      </c>
      <c r="I198" s="85">
        <v>46212.0</v>
      </c>
      <c r="J198" s="82" t="s">
        <v>535</v>
      </c>
      <c r="K198" s="86">
        <v>1158078.0</v>
      </c>
      <c r="L198" s="110">
        <v>173012.84</v>
      </c>
      <c r="M198" s="80" t="s">
        <v>570</v>
      </c>
      <c r="N198" s="80"/>
      <c r="O198" s="80"/>
      <c r="P198" s="80"/>
      <c r="Q198" s="80"/>
      <c r="R198" s="80"/>
      <c r="S198" s="80"/>
      <c r="T198" s="80"/>
      <c r="U198" s="80"/>
      <c r="V198" s="80"/>
      <c r="W198" s="80"/>
      <c r="X198" s="80"/>
      <c r="Y198" s="80"/>
      <c r="Z198" s="80"/>
    </row>
    <row r="199">
      <c r="A199" s="87">
        <v>2671.0</v>
      </c>
      <c r="B199" s="82" t="s">
        <v>579</v>
      </c>
      <c r="C199" s="82" t="s">
        <v>536</v>
      </c>
      <c r="D199" s="110">
        <v>5000.0</v>
      </c>
      <c r="E199" s="110">
        <v>90.0</v>
      </c>
      <c r="F199" s="110">
        <v>70.0</v>
      </c>
      <c r="G199" s="110">
        <v>3546.7</v>
      </c>
      <c r="H199" s="85">
        <v>46142.0</v>
      </c>
      <c r="I199" s="85">
        <v>46212.0</v>
      </c>
      <c r="J199" s="82" t="s">
        <v>535</v>
      </c>
      <c r="K199" s="86">
        <v>1158020.0</v>
      </c>
      <c r="L199" s="110">
        <v>181001.77</v>
      </c>
      <c r="M199" s="80" t="s">
        <v>570</v>
      </c>
      <c r="N199" s="80"/>
      <c r="O199" s="80"/>
      <c r="P199" s="80"/>
      <c r="Q199" s="80"/>
      <c r="R199" s="80"/>
      <c r="S199" s="80"/>
      <c r="T199" s="80"/>
      <c r="U199" s="80"/>
      <c r="V199" s="80"/>
      <c r="W199" s="80"/>
      <c r="X199" s="80"/>
      <c r="Y199" s="80"/>
      <c r="Z199" s="80"/>
    </row>
    <row r="200">
      <c r="A200" s="87">
        <v>2672.0</v>
      </c>
      <c r="B200" s="82" t="s">
        <v>581</v>
      </c>
      <c r="C200" s="82" t="s">
        <v>536</v>
      </c>
      <c r="D200" s="110">
        <v>5000.0</v>
      </c>
      <c r="E200" s="110">
        <v>90.0</v>
      </c>
      <c r="F200" s="110">
        <v>70.0</v>
      </c>
      <c r="G200" s="110">
        <v>1467.0</v>
      </c>
      <c r="H200" s="85">
        <v>46142.0</v>
      </c>
      <c r="I200" s="85">
        <v>46212.0</v>
      </c>
      <c r="J200" s="82" t="s">
        <v>535</v>
      </c>
      <c r="K200" s="86">
        <v>1158080.0</v>
      </c>
      <c r="L200" s="110">
        <v>94100.3</v>
      </c>
      <c r="M200" s="80" t="s">
        <v>554</v>
      </c>
      <c r="N200" s="80"/>
      <c r="O200" s="80"/>
      <c r="P200" s="80"/>
      <c r="Q200" s="80"/>
      <c r="R200" s="80"/>
      <c r="S200" s="80"/>
      <c r="T200" s="80"/>
      <c r="U200" s="80"/>
      <c r="V200" s="80"/>
      <c r="W200" s="80"/>
      <c r="X200" s="80"/>
      <c r="Y200" s="80"/>
      <c r="Z200" s="80"/>
    </row>
    <row r="201">
      <c r="A201" s="87">
        <v>2673.0</v>
      </c>
      <c r="B201" s="82" t="s">
        <v>581</v>
      </c>
      <c r="C201" s="82" t="s">
        <v>536</v>
      </c>
      <c r="D201" s="110">
        <v>5000.0</v>
      </c>
      <c r="E201" s="110">
        <v>90.0</v>
      </c>
      <c r="F201" s="110">
        <v>62.0</v>
      </c>
      <c r="G201" s="110">
        <v>2166.4</v>
      </c>
      <c r="H201" s="85">
        <v>46150.0</v>
      </c>
      <c r="I201" s="85">
        <v>46212.0</v>
      </c>
      <c r="J201" s="82" t="s">
        <v>535</v>
      </c>
      <c r="K201" s="86">
        <v>1158978.0</v>
      </c>
      <c r="L201" s="110">
        <v>72083.74</v>
      </c>
      <c r="M201" s="80" t="s">
        <v>554</v>
      </c>
      <c r="N201" s="80"/>
      <c r="O201" s="80"/>
      <c r="P201" s="80"/>
      <c r="Q201" s="80"/>
      <c r="R201" s="80"/>
      <c r="S201" s="80"/>
      <c r="T201" s="80"/>
      <c r="U201" s="80"/>
      <c r="V201" s="80"/>
      <c r="W201" s="80"/>
      <c r="X201" s="80"/>
      <c r="Y201" s="80"/>
      <c r="Z201" s="80"/>
    </row>
    <row r="202">
      <c r="A202" s="87">
        <v>2674.0</v>
      </c>
      <c r="B202" s="82" t="s">
        <v>581</v>
      </c>
      <c r="C202" s="82" t="s">
        <v>570</v>
      </c>
      <c r="D202" s="110">
        <v>5000.0</v>
      </c>
      <c r="E202" s="110">
        <v>90.0</v>
      </c>
      <c r="F202" s="110">
        <v>58.0</v>
      </c>
      <c r="G202" s="110">
        <v>1634.6</v>
      </c>
      <c r="H202" s="85">
        <v>46154.0</v>
      </c>
      <c r="I202" s="85">
        <v>46212.0</v>
      </c>
      <c r="J202" s="82" t="s">
        <v>535</v>
      </c>
      <c r="K202" s="86">
        <v>1159497.0</v>
      </c>
      <c r="L202" s="110">
        <v>55067.38</v>
      </c>
      <c r="M202" s="80" t="s">
        <v>536</v>
      </c>
      <c r="N202" s="80"/>
      <c r="O202" s="80"/>
      <c r="P202" s="80"/>
      <c r="Q202" s="80"/>
      <c r="R202" s="80"/>
      <c r="S202" s="80"/>
      <c r="T202" s="80"/>
      <c r="U202" s="80"/>
      <c r="V202" s="80"/>
      <c r="W202" s="80"/>
      <c r="X202" s="80"/>
      <c r="Y202" s="80"/>
      <c r="Z202" s="80"/>
    </row>
    <row r="203">
      <c r="A203" s="87">
        <v>2675.0</v>
      </c>
      <c r="B203" s="82" t="s">
        <v>581</v>
      </c>
      <c r="C203" s="82" t="s">
        <v>536</v>
      </c>
      <c r="D203" s="110">
        <v>5000.0</v>
      </c>
      <c r="E203" s="110">
        <v>90.0</v>
      </c>
      <c r="F203" s="110">
        <v>85.0</v>
      </c>
      <c r="G203" s="110">
        <v>2442.0</v>
      </c>
      <c r="H203" s="85">
        <v>46127.0</v>
      </c>
      <c r="I203" s="85">
        <v>46212.0</v>
      </c>
      <c r="J203" s="82" t="s">
        <v>535</v>
      </c>
      <c r="K203" s="86">
        <v>1156266.0</v>
      </c>
      <c r="L203" s="110">
        <v>61308.71</v>
      </c>
      <c r="M203" s="80" t="s">
        <v>554</v>
      </c>
      <c r="N203" s="80"/>
      <c r="O203" s="80"/>
      <c r="P203" s="80"/>
      <c r="Q203" s="80"/>
      <c r="R203" s="80"/>
      <c r="S203" s="80"/>
      <c r="T203" s="80"/>
      <c r="U203" s="80"/>
      <c r="V203" s="80"/>
      <c r="W203" s="80"/>
      <c r="X203" s="80"/>
      <c r="Y203" s="80"/>
      <c r="Z203" s="80"/>
    </row>
    <row r="204">
      <c r="A204" s="87">
        <v>2676.0</v>
      </c>
      <c r="B204" s="82" t="s">
        <v>581</v>
      </c>
      <c r="C204" s="82" t="s">
        <v>536</v>
      </c>
      <c r="D204" s="110">
        <v>5000.0</v>
      </c>
      <c r="E204" s="110">
        <v>90.0</v>
      </c>
      <c r="F204" s="110">
        <v>36.0</v>
      </c>
      <c r="G204" s="110">
        <v>2201.7</v>
      </c>
      <c r="H204" s="85">
        <v>46176.0</v>
      </c>
      <c r="I204" s="85">
        <v>46212.0</v>
      </c>
      <c r="J204" s="82" t="s">
        <v>535</v>
      </c>
      <c r="K204" s="86">
        <v>1161576.0</v>
      </c>
      <c r="L204" s="110">
        <v>69524.34</v>
      </c>
      <c r="M204" s="80" t="s">
        <v>554</v>
      </c>
      <c r="N204" s="80"/>
      <c r="O204" s="80"/>
      <c r="P204" s="80"/>
      <c r="Q204" s="80"/>
      <c r="R204" s="80"/>
      <c r="S204" s="80"/>
      <c r="T204" s="80"/>
      <c r="U204" s="80"/>
      <c r="V204" s="80"/>
      <c r="W204" s="80"/>
      <c r="X204" s="80"/>
      <c r="Y204" s="80"/>
      <c r="Z204" s="80"/>
    </row>
    <row r="205">
      <c r="A205" s="87">
        <v>2677.0</v>
      </c>
      <c r="B205" s="82" t="s">
        <v>581</v>
      </c>
      <c r="C205" s="82" t="s">
        <v>536</v>
      </c>
      <c r="D205" s="110">
        <v>5000.0</v>
      </c>
      <c r="E205" s="110">
        <v>90.0</v>
      </c>
      <c r="F205" s="110">
        <v>62.0</v>
      </c>
      <c r="G205" s="110">
        <v>770.1</v>
      </c>
      <c r="H205" s="85">
        <v>46150.0</v>
      </c>
      <c r="I205" s="85">
        <v>46212.0</v>
      </c>
      <c r="J205" s="82" t="s">
        <v>535</v>
      </c>
      <c r="K205" s="86">
        <v>1159003.0</v>
      </c>
      <c r="L205" s="110">
        <v>88310.73</v>
      </c>
      <c r="M205" s="80" t="s">
        <v>554</v>
      </c>
      <c r="N205" s="80"/>
      <c r="O205" s="80"/>
      <c r="P205" s="80"/>
      <c r="Q205" s="80"/>
      <c r="R205" s="80"/>
      <c r="S205" s="80"/>
      <c r="T205" s="80"/>
      <c r="U205" s="80"/>
      <c r="V205" s="80"/>
      <c r="W205" s="80"/>
      <c r="X205" s="80"/>
      <c r="Y205" s="80"/>
      <c r="Z205" s="80"/>
    </row>
    <row r="206">
      <c r="A206" s="87">
        <v>2678.0</v>
      </c>
      <c r="B206" s="82" t="s">
        <v>581</v>
      </c>
      <c r="C206" s="82" t="s">
        <v>536</v>
      </c>
      <c r="D206" s="110">
        <v>5000.0</v>
      </c>
      <c r="E206" s="110">
        <v>90.0</v>
      </c>
      <c r="F206" s="110">
        <v>78.0</v>
      </c>
      <c r="G206" s="110">
        <v>1976.6</v>
      </c>
      <c r="H206" s="85">
        <v>46134.0</v>
      </c>
      <c r="I206" s="85">
        <v>46212.0</v>
      </c>
      <c r="J206" s="82" t="s">
        <v>535</v>
      </c>
      <c r="K206" s="86">
        <v>1157020.0</v>
      </c>
      <c r="L206" s="110">
        <v>54292.25</v>
      </c>
      <c r="M206" s="80" t="s">
        <v>554</v>
      </c>
      <c r="N206" s="80"/>
      <c r="O206" s="80"/>
      <c r="P206" s="80"/>
      <c r="Q206" s="80"/>
      <c r="R206" s="80"/>
      <c r="S206" s="80"/>
      <c r="T206" s="80"/>
      <c r="U206" s="80"/>
      <c r="V206" s="80"/>
      <c r="W206" s="80"/>
      <c r="X206" s="80"/>
      <c r="Y206" s="80"/>
      <c r="Z206" s="80"/>
    </row>
    <row r="207">
      <c r="A207" s="87">
        <v>2679.0</v>
      </c>
      <c r="B207" s="82" t="s">
        <v>581</v>
      </c>
      <c r="C207" s="82" t="s">
        <v>536</v>
      </c>
      <c r="D207" s="110">
        <v>5000.0</v>
      </c>
      <c r="E207" s="110">
        <v>90.0</v>
      </c>
      <c r="F207" s="110">
        <v>104.0</v>
      </c>
      <c r="G207" s="110">
        <v>2965.8</v>
      </c>
      <c r="H207" s="85">
        <v>46108.0</v>
      </c>
      <c r="I207" s="85">
        <v>46212.0</v>
      </c>
      <c r="J207" s="82" t="s">
        <v>540</v>
      </c>
      <c r="K207" s="86">
        <v>1154486.0</v>
      </c>
      <c r="L207" s="110">
        <v>47792.69</v>
      </c>
      <c r="M207" s="80" t="s">
        <v>538</v>
      </c>
      <c r="N207" s="80"/>
      <c r="O207" s="80"/>
      <c r="P207" s="80"/>
      <c r="Q207" s="80"/>
      <c r="R207" s="80"/>
      <c r="S207" s="80"/>
      <c r="T207" s="80"/>
      <c r="U207" s="80"/>
      <c r="V207" s="80"/>
      <c r="W207" s="80"/>
      <c r="X207" s="80"/>
      <c r="Y207" s="80"/>
      <c r="Z207" s="80"/>
    </row>
    <row r="208">
      <c r="A208" s="87">
        <v>2680.0</v>
      </c>
      <c r="B208" s="82" t="s">
        <v>581</v>
      </c>
      <c r="C208" s="82" t="s">
        <v>536</v>
      </c>
      <c r="D208" s="110">
        <v>5000.0</v>
      </c>
      <c r="E208" s="110">
        <v>90.0</v>
      </c>
      <c r="F208" s="110">
        <v>35.0</v>
      </c>
      <c r="G208" s="110">
        <v>2138.4</v>
      </c>
      <c r="H208" s="85">
        <v>46177.0</v>
      </c>
      <c r="I208" s="85">
        <v>46212.0</v>
      </c>
      <c r="J208" s="82" t="s">
        <v>535</v>
      </c>
      <c r="K208" s="86">
        <v>1161655.0</v>
      </c>
      <c r="L208" s="110">
        <v>87431.07</v>
      </c>
      <c r="M208" s="80" t="s">
        <v>554</v>
      </c>
      <c r="N208" s="80"/>
      <c r="O208" s="80"/>
      <c r="P208" s="80"/>
      <c r="Q208" s="80"/>
      <c r="R208" s="80"/>
      <c r="S208" s="80"/>
      <c r="T208" s="80"/>
      <c r="U208" s="80"/>
      <c r="V208" s="80"/>
      <c r="W208" s="80"/>
      <c r="X208" s="80"/>
      <c r="Y208" s="80"/>
      <c r="Z208" s="80"/>
    </row>
    <row r="209">
      <c r="A209" s="87">
        <v>2681.0</v>
      </c>
      <c r="B209" s="82" t="s">
        <v>581</v>
      </c>
      <c r="C209" s="82" t="s">
        <v>570</v>
      </c>
      <c r="D209" s="110">
        <v>5000.0</v>
      </c>
      <c r="E209" s="110">
        <v>90.0</v>
      </c>
      <c r="F209" s="110">
        <v>58.0</v>
      </c>
      <c r="G209" s="110">
        <v>4006.6</v>
      </c>
      <c r="H209" s="85">
        <v>46154.0</v>
      </c>
      <c r="I209" s="85">
        <v>46212.0</v>
      </c>
      <c r="J209" s="82" t="s">
        <v>535</v>
      </c>
      <c r="K209" s="86">
        <v>1159495.0</v>
      </c>
      <c r="L209" s="110">
        <v>117411.31</v>
      </c>
      <c r="M209" s="80" t="s">
        <v>570</v>
      </c>
      <c r="N209" s="80"/>
      <c r="O209" s="80"/>
      <c r="P209" s="80"/>
      <c r="Q209" s="80"/>
      <c r="R209" s="80"/>
      <c r="S209" s="80"/>
      <c r="T209" s="80"/>
      <c r="U209" s="80"/>
      <c r="V209" s="80"/>
      <c r="W209" s="80"/>
      <c r="X209" s="80"/>
      <c r="Y209" s="80"/>
      <c r="Z209" s="80"/>
    </row>
    <row r="210">
      <c r="A210" s="87">
        <v>2682.0</v>
      </c>
      <c r="B210" s="82" t="s">
        <v>581</v>
      </c>
      <c r="C210" s="82" t="s">
        <v>538</v>
      </c>
      <c r="D210" s="110">
        <v>5000.0</v>
      </c>
      <c r="E210" s="110">
        <v>90.0</v>
      </c>
      <c r="F210" s="110">
        <v>72.0</v>
      </c>
      <c r="G210" s="110">
        <v>2747.9</v>
      </c>
      <c r="H210" s="85">
        <v>46140.0</v>
      </c>
      <c r="I210" s="85">
        <v>46212.0</v>
      </c>
      <c r="J210" s="82" t="s">
        <v>535</v>
      </c>
      <c r="K210" s="86">
        <v>1157662.0</v>
      </c>
      <c r="L210" s="110">
        <v>88494.76</v>
      </c>
      <c r="M210" s="80" t="s">
        <v>536</v>
      </c>
      <c r="N210" s="80"/>
      <c r="O210" s="80"/>
      <c r="P210" s="80"/>
      <c r="Q210" s="80"/>
      <c r="R210" s="80"/>
      <c r="S210" s="80"/>
      <c r="T210" s="80"/>
      <c r="U210" s="80"/>
      <c r="V210" s="80"/>
      <c r="W210" s="80"/>
      <c r="X210" s="80"/>
      <c r="Y210" s="80"/>
      <c r="Z210" s="80"/>
    </row>
    <row r="211">
      <c r="A211" s="87">
        <v>2683.0</v>
      </c>
      <c r="B211" s="82" t="s">
        <v>581</v>
      </c>
      <c r="C211" s="82" t="s">
        <v>536</v>
      </c>
      <c r="D211" s="110">
        <v>5000.0</v>
      </c>
      <c r="E211" s="110">
        <v>90.0</v>
      </c>
      <c r="F211" s="110">
        <v>65.0</v>
      </c>
      <c r="G211" s="110">
        <v>1684.0</v>
      </c>
      <c r="H211" s="85">
        <v>46147.0</v>
      </c>
      <c r="I211" s="85">
        <v>46212.0</v>
      </c>
      <c r="J211" s="82" t="s">
        <v>535</v>
      </c>
      <c r="K211" s="86">
        <v>1158450.0</v>
      </c>
      <c r="L211" s="110">
        <v>127631.34</v>
      </c>
      <c r="M211" s="80" t="s">
        <v>554</v>
      </c>
      <c r="N211" s="80"/>
      <c r="O211" s="80"/>
      <c r="P211" s="80"/>
      <c r="Q211" s="80"/>
      <c r="R211" s="80"/>
      <c r="S211" s="80"/>
      <c r="T211" s="80"/>
      <c r="U211" s="80"/>
      <c r="V211" s="80"/>
      <c r="W211" s="80"/>
      <c r="X211" s="80"/>
      <c r="Y211" s="80"/>
      <c r="Z211" s="80"/>
    </row>
    <row r="212">
      <c r="A212" s="87">
        <v>2691.0</v>
      </c>
      <c r="B212" s="82" t="s">
        <v>582</v>
      </c>
      <c r="C212" s="82" t="s">
        <v>534</v>
      </c>
      <c r="D212" s="110">
        <v>10000.0</v>
      </c>
      <c r="E212" s="110">
        <v>60.0</v>
      </c>
      <c r="F212" s="110">
        <v>78.0</v>
      </c>
      <c r="G212" s="110">
        <v>20469.9</v>
      </c>
      <c r="H212" s="85">
        <v>46134.0</v>
      </c>
      <c r="I212" s="85">
        <v>46212.0</v>
      </c>
      <c r="J212" s="82" t="s">
        <v>540</v>
      </c>
      <c r="K212" s="86">
        <v>1157017.0</v>
      </c>
      <c r="L212" s="110">
        <v>486262.96</v>
      </c>
      <c r="M212" s="80" t="s">
        <v>547</v>
      </c>
      <c r="N212" s="80"/>
      <c r="O212" s="80"/>
      <c r="P212" s="80"/>
      <c r="Q212" s="80"/>
      <c r="R212" s="80"/>
      <c r="S212" s="80"/>
      <c r="T212" s="80"/>
      <c r="U212" s="80"/>
      <c r="V212" s="80"/>
      <c r="W212" s="80"/>
      <c r="X212" s="80"/>
      <c r="Y212" s="80"/>
      <c r="Z212" s="80"/>
    </row>
    <row r="213">
      <c r="A213" s="87">
        <v>2692.0</v>
      </c>
      <c r="B213" s="82" t="s">
        <v>582</v>
      </c>
      <c r="C213" s="82" t="s">
        <v>534</v>
      </c>
      <c r="D213" s="110">
        <v>10000.0</v>
      </c>
      <c r="E213" s="110">
        <v>60.0</v>
      </c>
      <c r="F213" s="110">
        <v>27.0</v>
      </c>
      <c r="G213" s="110">
        <v>7706.9</v>
      </c>
      <c r="H213" s="85">
        <v>46185.0</v>
      </c>
      <c r="I213" s="85">
        <v>46212.0</v>
      </c>
      <c r="J213" s="82" t="s">
        <v>535</v>
      </c>
      <c r="K213" s="86">
        <v>1161794.0</v>
      </c>
      <c r="L213" s="110">
        <v>529745.24</v>
      </c>
      <c r="M213" s="80" t="s">
        <v>562</v>
      </c>
      <c r="N213" s="80"/>
      <c r="O213" s="80"/>
      <c r="P213" s="80"/>
      <c r="Q213" s="80"/>
      <c r="R213" s="80"/>
      <c r="S213" s="80"/>
      <c r="T213" s="80"/>
      <c r="U213" s="80"/>
      <c r="V213" s="80"/>
      <c r="W213" s="80"/>
      <c r="X213" s="80"/>
      <c r="Y213" s="80"/>
      <c r="Z213" s="80"/>
    </row>
    <row r="214">
      <c r="A214" s="87">
        <v>2693.0</v>
      </c>
      <c r="B214" s="82" t="s">
        <v>582</v>
      </c>
      <c r="C214" s="82" t="s">
        <v>534</v>
      </c>
      <c r="D214" s="110">
        <v>10000.0</v>
      </c>
      <c r="E214" s="110">
        <v>60.0</v>
      </c>
      <c r="F214" s="110">
        <v>72.0</v>
      </c>
      <c r="G214" s="110">
        <v>2775.6</v>
      </c>
      <c r="H214" s="85">
        <v>46140.0</v>
      </c>
      <c r="I214" s="85">
        <v>46212.0</v>
      </c>
      <c r="J214" s="82" t="s">
        <v>540</v>
      </c>
      <c r="K214" s="86">
        <v>1157612.0</v>
      </c>
      <c r="L214" s="110">
        <v>506580.83</v>
      </c>
      <c r="M214" s="80" t="s">
        <v>536</v>
      </c>
      <c r="N214" s="80"/>
      <c r="O214" s="80"/>
      <c r="P214" s="80"/>
      <c r="Q214" s="80"/>
      <c r="R214" s="80"/>
      <c r="S214" s="80"/>
      <c r="T214" s="80"/>
      <c r="U214" s="80"/>
      <c r="V214" s="80"/>
      <c r="W214" s="80"/>
      <c r="X214" s="80"/>
      <c r="Y214" s="80"/>
      <c r="Z214" s="80"/>
    </row>
    <row r="215">
      <c r="A215" s="87">
        <v>2694.0</v>
      </c>
      <c r="B215" s="82" t="s">
        <v>582</v>
      </c>
      <c r="C215" s="82" t="s">
        <v>534</v>
      </c>
      <c r="D215" s="110">
        <v>10000.0</v>
      </c>
      <c r="E215" s="110">
        <v>60.0</v>
      </c>
      <c r="F215" s="110">
        <v>20.0</v>
      </c>
      <c r="G215" s="110">
        <v>5458.6</v>
      </c>
      <c r="H215" s="85">
        <v>46192.0</v>
      </c>
      <c r="I215" s="85">
        <v>46212.0</v>
      </c>
      <c r="J215" s="82" t="s">
        <v>535</v>
      </c>
      <c r="K215" s="86">
        <v>1161900.0</v>
      </c>
      <c r="L215" s="110">
        <v>547584.2</v>
      </c>
      <c r="M215" s="80" t="s">
        <v>539</v>
      </c>
      <c r="N215" s="80"/>
      <c r="O215" s="80"/>
      <c r="P215" s="80"/>
      <c r="Q215" s="80"/>
      <c r="R215" s="80"/>
      <c r="S215" s="80"/>
      <c r="T215" s="80"/>
      <c r="U215" s="80"/>
      <c r="V215" s="80"/>
      <c r="W215" s="80"/>
      <c r="X215" s="80"/>
      <c r="Y215" s="80"/>
      <c r="Z215" s="80"/>
    </row>
    <row r="216">
      <c r="A216" s="87">
        <v>2695.0</v>
      </c>
      <c r="B216" s="82" t="s">
        <v>582</v>
      </c>
      <c r="C216" s="82" t="s">
        <v>534</v>
      </c>
      <c r="D216" s="110">
        <v>10000.0</v>
      </c>
      <c r="E216" s="110">
        <v>60.0</v>
      </c>
      <c r="F216" s="110">
        <v>29.0</v>
      </c>
      <c r="G216" s="110">
        <v>11105.0</v>
      </c>
      <c r="H216" s="85">
        <v>46183.0</v>
      </c>
      <c r="I216" s="85">
        <v>46212.0</v>
      </c>
      <c r="J216" s="82" t="s">
        <v>540</v>
      </c>
      <c r="K216" s="86">
        <v>1161711.0</v>
      </c>
      <c r="L216" s="110">
        <v>542537.31</v>
      </c>
      <c r="M216" s="80" t="s">
        <v>541</v>
      </c>
      <c r="N216" s="80"/>
      <c r="O216" s="80"/>
      <c r="P216" s="80"/>
      <c r="Q216" s="80"/>
      <c r="R216" s="80"/>
      <c r="S216" s="80"/>
      <c r="T216" s="80"/>
      <c r="U216" s="80"/>
      <c r="V216" s="80"/>
      <c r="W216" s="80"/>
      <c r="X216" s="80"/>
      <c r="Y216" s="80"/>
      <c r="Z216" s="80"/>
    </row>
    <row r="217">
      <c r="A217" s="87">
        <v>2696.0</v>
      </c>
      <c r="B217" s="82" t="s">
        <v>582</v>
      </c>
      <c r="C217" s="82" t="s">
        <v>534</v>
      </c>
      <c r="D217" s="110">
        <v>10000.0</v>
      </c>
      <c r="E217" s="110">
        <v>60.0</v>
      </c>
      <c r="F217" s="110">
        <v>41.0</v>
      </c>
      <c r="G217" s="110">
        <v>13017.8</v>
      </c>
      <c r="H217" s="85">
        <v>46171.0</v>
      </c>
      <c r="I217" s="85">
        <v>46212.0</v>
      </c>
      <c r="J217" s="82" t="s">
        <v>540</v>
      </c>
      <c r="K217" s="86">
        <v>1161495.0</v>
      </c>
      <c r="L217" s="110">
        <v>537449.41</v>
      </c>
      <c r="M217" s="80" t="s">
        <v>551</v>
      </c>
      <c r="N217" s="80"/>
      <c r="O217" s="80"/>
      <c r="P217" s="80"/>
      <c r="Q217" s="80"/>
      <c r="R217" s="80"/>
      <c r="S217" s="80"/>
      <c r="T217" s="80"/>
      <c r="U217" s="80"/>
      <c r="V217" s="80"/>
      <c r="W217" s="80"/>
      <c r="X217" s="80"/>
      <c r="Y217" s="80"/>
      <c r="Z217" s="80"/>
    </row>
    <row r="218">
      <c r="A218" s="87">
        <v>2697.0</v>
      </c>
      <c r="B218" s="82" t="s">
        <v>583</v>
      </c>
      <c r="C218" s="82" t="s">
        <v>534</v>
      </c>
      <c r="D218" s="110">
        <v>10000.0</v>
      </c>
      <c r="E218" s="110">
        <v>60.0</v>
      </c>
      <c r="F218" s="110">
        <v>146.0</v>
      </c>
      <c r="G218" s="110">
        <v>47653.7</v>
      </c>
      <c r="H218" s="85">
        <v>46066.0</v>
      </c>
      <c r="I218" s="85">
        <v>46212.0</v>
      </c>
      <c r="J218" s="82" t="s">
        <v>540</v>
      </c>
      <c r="K218" s="86">
        <v>1149746.0</v>
      </c>
      <c r="L218" s="110">
        <v>496119.76</v>
      </c>
      <c r="M218" s="80" t="s">
        <v>537</v>
      </c>
      <c r="N218" s="80"/>
      <c r="O218" s="80"/>
      <c r="P218" s="80"/>
      <c r="Q218" s="80"/>
      <c r="R218" s="80"/>
      <c r="S218" s="80"/>
      <c r="T218" s="80"/>
      <c r="U218" s="80"/>
      <c r="V218" s="80"/>
      <c r="W218" s="80"/>
      <c r="X218" s="80"/>
      <c r="Y218" s="80"/>
      <c r="Z218" s="80"/>
    </row>
    <row r="219">
      <c r="A219" s="87">
        <v>2698.0</v>
      </c>
      <c r="B219" s="82" t="s">
        <v>583</v>
      </c>
      <c r="C219" s="82" t="s">
        <v>534</v>
      </c>
      <c r="D219" s="110">
        <v>10000.0</v>
      </c>
      <c r="E219" s="110">
        <v>60.0</v>
      </c>
      <c r="F219" s="110">
        <v>8.0</v>
      </c>
      <c r="G219" s="110">
        <v>2801.2</v>
      </c>
      <c r="H219" s="85">
        <v>46204.0</v>
      </c>
      <c r="I219" s="85">
        <v>46212.0</v>
      </c>
      <c r="J219" s="82" t="s">
        <v>535</v>
      </c>
      <c r="K219" s="86">
        <v>1162058.0</v>
      </c>
      <c r="L219" s="110">
        <v>534319.93</v>
      </c>
      <c r="M219" s="80" t="s">
        <v>539</v>
      </c>
      <c r="N219" s="80"/>
      <c r="O219" s="80"/>
      <c r="P219" s="80"/>
      <c r="Q219" s="80"/>
      <c r="R219" s="80"/>
      <c r="S219" s="80"/>
      <c r="T219" s="80"/>
      <c r="U219" s="80"/>
      <c r="V219" s="80"/>
      <c r="W219" s="80"/>
      <c r="X219" s="80"/>
      <c r="Y219" s="80"/>
      <c r="Z219" s="80"/>
    </row>
    <row r="220">
      <c r="A220" s="87">
        <v>2699.0</v>
      </c>
      <c r="B220" s="82" t="s">
        <v>583</v>
      </c>
      <c r="C220" s="82" t="s">
        <v>534</v>
      </c>
      <c r="D220" s="110">
        <v>10000.0</v>
      </c>
      <c r="E220" s="110">
        <v>60.0</v>
      </c>
      <c r="F220" s="110">
        <v>16.0</v>
      </c>
      <c r="G220" s="110">
        <v>5618.2</v>
      </c>
      <c r="H220" s="85">
        <v>46196.0</v>
      </c>
      <c r="I220" s="85">
        <v>46212.0</v>
      </c>
      <c r="J220" s="82" t="s">
        <v>535</v>
      </c>
      <c r="K220" s="86">
        <v>1161934.0</v>
      </c>
      <c r="L220" s="110">
        <v>518176.49</v>
      </c>
      <c r="M220" s="80" t="s">
        <v>539</v>
      </c>
      <c r="N220" s="80"/>
      <c r="O220" s="80"/>
      <c r="P220" s="80"/>
      <c r="Q220" s="80"/>
      <c r="R220" s="80"/>
      <c r="S220" s="80"/>
      <c r="T220" s="80"/>
      <c r="U220" s="80"/>
      <c r="V220" s="80"/>
      <c r="W220" s="80"/>
      <c r="X220" s="80"/>
      <c r="Y220" s="80"/>
      <c r="Z220" s="80"/>
    </row>
    <row r="221">
      <c r="A221" s="87">
        <v>2700.0</v>
      </c>
      <c r="B221" s="82" t="s">
        <v>583</v>
      </c>
      <c r="C221" s="82" t="s">
        <v>534</v>
      </c>
      <c r="D221" s="110">
        <v>10000.0</v>
      </c>
      <c r="E221" s="110">
        <v>60.0</v>
      </c>
      <c r="F221" s="110">
        <v>26.0</v>
      </c>
      <c r="G221" s="110">
        <v>7066.5</v>
      </c>
      <c r="H221" s="85">
        <v>46186.0</v>
      </c>
      <c r="I221" s="85">
        <v>46212.0</v>
      </c>
      <c r="J221" s="82" t="s">
        <v>535</v>
      </c>
      <c r="K221" s="86">
        <v>1161801.0</v>
      </c>
      <c r="L221" s="110">
        <v>526126.46</v>
      </c>
      <c r="M221" s="80" t="s">
        <v>562</v>
      </c>
      <c r="N221" s="80"/>
      <c r="O221" s="80"/>
      <c r="P221" s="80"/>
      <c r="Q221" s="80"/>
      <c r="R221" s="80"/>
      <c r="S221" s="80"/>
      <c r="T221" s="80"/>
      <c r="U221" s="80"/>
      <c r="V221" s="80"/>
      <c r="W221" s="80"/>
      <c r="X221" s="80"/>
      <c r="Y221" s="80"/>
      <c r="Z221" s="80"/>
    </row>
    <row r="222">
      <c r="A222" s="87">
        <v>2701.0</v>
      </c>
      <c r="B222" s="82" t="s">
        <v>583</v>
      </c>
      <c r="C222" s="82" t="s">
        <v>534</v>
      </c>
      <c r="D222" s="110">
        <v>10000.0</v>
      </c>
      <c r="E222" s="110">
        <v>60.0</v>
      </c>
      <c r="F222" s="110">
        <v>1.0</v>
      </c>
      <c r="G222" s="110">
        <v>0.0</v>
      </c>
      <c r="H222" s="85">
        <v>46211.0</v>
      </c>
      <c r="I222" s="85">
        <v>46212.0</v>
      </c>
      <c r="J222" s="82" t="s">
        <v>535</v>
      </c>
      <c r="K222" s="86">
        <v>1162196.0</v>
      </c>
      <c r="L222" s="110">
        <v>567606.92</v>
      </c>
      <c r="M222" s="80" t="s">
        <v>537</v>
      </c>
      <c r="N222" s="80"/>
      <c r="O222" s="80"/>
      <c r="P222" s="80"/>
      <c r="Q222" s="80"/>
      <c r="R222" s="80"/>
      <c r="S222" s="80"/>
      <c r="T222" s="80"/>
      <c r="U222" s="80"/>
      <c r="V222" s="80"/>
      <c r="W222" s="80"/>
      <c r="X222" s="80"/>
      <c r="Y222" s="80"/>
      <c r="Z222" s="80"/>
    </row>
    <row r="223">
      <c r="A223" s="87">
        <v>2702.0</v>
      </c>
      <c r="B223" s="82" t="s">
        <v>583</v>
      </c>
      <c r="C223" s="82" t="s">
        <v>534</v>
      </c>
      <c r="D223" s="110">
        <v>10000.0</v>
      </c>
      <c r="E223" s="110">
        <v>60.0</v>
      </c>
      <c r="F223" s="110">
        <v>119.0</v>
      </c>
      <c r="G223" s="110">
        <v>39894.6</v>
      </c>
      <c r="H223" s="85">
        <v>46093.0</v>
      </c>
      <c r="I223" s="85">
        <v>46212.0</v>
      </c>
      <c r="J223" s="82" t="s">
        <v>540</v>
      </c>
      <c r="K223" s="86">
        <v>1153104.0</v>
      </c>
      <c r="L223" s="110">
        <v>503049.46</v>
      </c>
      <c r="M223" s="80" t="s">
        <v>564</v>
      </c>
      <c r="N223" s="80"/>
      <c r="O223" s="80"/>
      <c r="P223" s="80"/>
      <c r="Q223" s="80"/>
      <c r="R223" s="80"/>
      <c r="S223" s="80"/>
      <c r="T223" s="80"/>
      <c r="U223" s="80"/>
      <c r="V223" s="80"/>
      <c r="W223" s="80"/>
      <c r="X223" s="80"/>
      <c r="Y223" s="80"/>
      <c r="Z223" s="80"/>
    </row>
    <row r="224">
      <c r="A224" s="87">
        <v>2703.0</v>
      </c>
      <c r="B224" s="82" t="s">
        <v>583</v>
      </c>
      <c r="C224" s="82" t="s">
        <v>534</v>
      </c>
      <c r="D224" s="110">
        <v>10000.0</v>
      </c>
      <c r="E224" s="110">
        <v>60.0</v>
      </c>
      <c r="F224" s="110">
        <v>63.0</v>
      </c>
      <c r="G224" s="110">
        <v>5844.9</v>
      </c>
      <c r="H224" s="85">
        <v>46149.0</v>
      </c>
      <c r="I224" s="85">
        <v>46212.0</v>
      </c>
      <c r="J224" s="82" t="s">
        <v>540</v>
      </c>
      <c r="K224" s="86">
        <v>1158844.0</v>
      </c>
      <c r="L224" s="110">
        <v>497169.62</v>
      </c>
      <c r="M224" s="80" t="s">
        <v>564</v>
      </c>
      <c r="N224" s="80"/>
      <c r="O224" s="80"/>
      <c r="P224" s="80"/>
      <c r="Q224" s="80"/>
      <c r="R224" s="80"/>
      <c r="S224" s="80"/>
      <c r="T224" s="80"/>
      <c r="U224" s="80"/>
      <c r="V224" s="80"/>
      <c r="W224" s="80"/>
      <c r="X224" s="80"/>
      <c r="Y224" s="80"/>
      <c r="Z224" s="80"/>
    </row>
    <row r="225">
      <c r="A225" s="87">
        <v>2704.0</v>
      </c>
      <c r="B225" s="82" t="s">
        <v>583</v>
      </c>
      <c r="C225" s="82" t="s">
        <v>534</v>
      </c>
      <c r="D225" s="110">
        <v>10000.0</v>
      </c>
      <c r="E225" s="110">
        <v>60.0</v>
      </c>
      <c r="F225" s="110">
        <v>17.0</v>
      </c>
      <c r="G225" s="110">
        <v>6196.4</v>
      </c>
      <c r="H225" s="85">
        <v>46195.0</v>
      </c>
      <c r="I225" s="85">
        <v>46212.0</v>
      </c>
      <c r="J225" s="82" t="s">
        <v>535</v>
      </c>
      <c r="K225" s="86">
        <v>1161916.0</v>
      </c>
      <c r="L225" s="110">
        <v>519112.62</v>
      </c>
      <c r="M225" s="80" t="s">
        <v>565</v>
      </c>
      <c r="N225" s="80"/>
      <c r="O225" s="80"/>
      <c r="P225" s="80"/>
      <c r="Q225" s="80"/>
      <c r="R225" s="80"/>
      <c r="S225" s="80"/>
      <c r="T225" s="80"/>
      <c r="U225" s="80"/>
      <c r="V225" s="80"/>
      <c r="W225" s="80"/>
      <c r="X225" s="80"/>
      <c r="Y225" s="80"/>
      <c r="Z225" s="80"/>
    </row>
    <row r="226">
      <c r="A226" s="87">
        <v>2712.0</v>
      </c>
      <c r="B226" s="82" t="s">
        <v>583</v>
      </c>
      <c r="C226" s="82" t="s">
        <v>534</v>
      </c>
      <c r="D226" s="110">
        <v>10000.0</v>
      </c>
      <c r="E226" s="110">
        <v>60.0</v>
      </c>
      <c r="F226" s="110">
        <v>8.0</v>
      </c>
      <c r="G226" s="110">
        <v>1981.1</v>
      </c>
      <c r="H226" s="85">
        <v>46204.0</v>
      </c>
      <c r="I226" s="85">
        <v>46212.0</v>
      </c>
      <c r="J226" s="82" t="s">
        <v>535</v>
      </c>
      <c r="K226" s="86">
        <v>1162059.0</v>
      </c>
      <c r="L226" s="110">
        <v>516642.93</v>
      </c>
      <c r="M226" s="80" t="s">
        <v>549</v>
      </c>
      <c r="N226" s="80"/>
      <c r="O226" s="80"/>
      <c r="P226" s="80"/>
      <c r="Q226" s="80"/>
      <c r="R226" s="80"/>
      <c r="S226" s="80"/>
      <c r="T226" s="80"/>
      <c r="U226" s="80"/>
      <c r="V226" s="80"/>
      <c r="W226" s="80"/>
      <c r="X226" s="80"/>
      <c r="Y226" s="80"/>
      <c r="Z226" s="80"/>
    </row>
    <row r="227">
      <c r="A227" s="87">
        <v>2713.0</v>
      </c>
      <c r="B227" s="82" t="s">
        <v>583</v>
      </c>
      <c r="C227" s="82" t="s">
        <v>534</v>
      </c>
      <c r="D227" s="110">
        <v>10000.0</v>
      </c>
      <c r="E227" s="110">
        <v>60.0</v>
      </c>
      <c r="F227" s="110">
        <v>21.0</v>
      </c>
      <c r="G227" s="110">
        <v>7252.8</v>
      </c>
      <c r="H227" s="85">
        <v>46191.0</v>
      </c>
      <c r="I227" s="85">
        <v>46212.0</v>
      </c>
      <c r="J227" s="82" t="s">
        <v>535</v>
      </c>
      <c r="K227" s="86">
        <v>1161897.0</v>
      </c>
      <c r="L227" s="110">
        <v>556936.35</v>
      </c>
      <c r="M227" s="80" t="s">
        <v>549</v>
      </c>
      <c r="N227" s="80"/>
      <c r="O227" s="80"/>
      <c r="P227" s="80"/>
      <c r="Q227" s="80"/>
      <c r="R227" s="80"/>
      <c r="S227" s="80"/>
      <c r="T227" s="80"/>
      <c r="U227" s="80"/>
      <c r="V227" s="80"/>
      <c r="W227" s="80"/>
      <c r="X227" s="80"/>
      <c r="Y227" s="80"/>
      <c r="Z227" s="80"/>
    </row>
    <row r="228">
      <c r="A228" s="87">
        <v>2714.0</v>
      </c>
      <c r="B228" s="82" t="s">
        <v>583</v>
      </c>
      <c r="C228" s="82" t="s">
        <v>534</v>
      </c>
      <c r="D228" s="110">
        <v>10000.0</v>
      </c>
      <c r="E228" s="110">
        <v>60.0</v>
      </c>
      <c r="F228" s="110">
        <v>22.0</v>
      </c>
      <c r="G228" s="110">
        <v>2110.2</v>
      </c>
      <c r="H228" s="85">
        <v>46190.0</v>
      </c>
      <c r="I228" s="85">
        <v>46212.0</v>
      </c>
      <c r="J228" s="82" t="s">
        <v>535</v>
      </c>
      <c r="K228" s="86">
        <v>1161842.0</v>
      </c>
      <c r="L228" s="110">
        <v>544472.28</v>
      </c>
      <c r="M228" s="80" t="s">
        <v>539</v>
      </c>
      <c r="N228" s="80"/>
      <c r="O228" s="80"/>
      <c r="P228" s="80"/>
      <c r="Q228" s="80"/>
      <c r="R228" s="80"/>
      <c r="S228" s="80"/>
      <c r="T228" s="80"/>
      <c r="U228" s="80"/>
      <c r="V228" s="80"/>
      <c r="W228" s="80"/>
      <c r="X228" s="80"/>
      <c r="Y228" s="80"/>
      <c r="Z228" s="80"/>
    </row>
    <row r="229">
      <c r="A229" s="87">
        <v>2715.0</v>
      </c>
      <c r="B229" s="82" t="s">
        <v>583</v>
      </c>
      <c r="C229" s="82" t="s">
        <v>534</v>
      </c>
      <c r="D229" s="110">
        <v>10000.0</v>
      </c>
      <c r="E229" s="110">
        <v>60.0</v>
      </c>
      <c r="F229" s="110">
        <v>27.0</v>
      </c>
      <c r="G229" s="110">
        <v>8957.6</v>
      </c>
      <c r="H229" s="85">
        <v>46185.0</v>
      </c>
      <c r="I229" s="85">
        <v>46212.0</v>
      </c>
      <c r="J229" s="82" t="s">
        <v>535</v>
      </c>
      <c r="K229" s="86">
        <v>1161795.0</v>
      </c>
      <c r="L229" s="110">
        <v>523193.17</v>
      </c>
      <c r="M229" s="80" t="s">
        <v>539</v>
      </c>
      <c r="N229" s="80"/>
      <c r="O229" s="80"/>
      <c r="P229" s="80"/>
      <c r="Q229" s="80"/>
      <c r="R229" s="80"/>
      <c r="S229" s="80"/>
      <c r="T229" s="80"/>
      <c r="U229" s="80"/>
      <c r="V229" s="80"/>
      <c r="W229" s="80"/>
      <c r="X229" s="80"/>
      <c r="Y229" s="80"/>
      <c r="Z229" s="80"/>
    </row>
    <row r="230">
      <c r="A230" s="87">
        <v>2716.0</v>
      </c>
      <c r="B230" s="82" t="s">
        <v>583</v>
      </c>
      <c r="C230" s="82" t="s">
        <v>534</v>
      </c>
      <c r="D230" s="110">
        <v>10000.0</v>
      </c>
      <c r="E230" s="110">
        <v>60.0</v>
      </c>
      <c r="F230" s="110">
        <v>43.0</v>
      </c>
      <c r="G230" s="110">
        <v>14388.2</v>
      </c>
      <c r="H230" s="85">
        <v>46169.0</v>
      </c>
      <c r="I230" s="85">
        <v>46212.0</v>
      </c>
      <c r="J230" s="82" t="s">
        <v>540</v>
      </c>
      <c r="K230" s="86">
        <v>1161380.0</v>
      </c>
      <c r="L230" s="110">
        <v>493615.85</v>
      </c>
      <c r="M230" s="80" t="s">
        <v>541</v>
      </c>
      <c r="N230" s="80"/>
      <c r="O230" s="80"/>
      <c r="P230" s="80"/>
      <c r="Q230" s="80"/>
      <c r="R230" s="80"/>
      <c r="S230" s="80"/>
      <c r="T230" s="80"/>
      <c r="U230" s="80"/>
      <c r="V230" s="80"/>
      <c r="W230" s="80"/>
      <c r="X230" s="80"/>
      <c r="Y230" s="80"/>
      <c r="Z230" s="80"/>
    </row>
    <row r="231">
      <c r="A231" s="87">
        <v>2717.0</v>
      </c>
      <c r="B231" s="82" t="s">
        <v>583</v>
      </c>
      <c r="C231" s="82" t="s">
        <v>534</v>
      </c>
      <c r="D231" s="110">
        <v>10000.0</v>
      </c>
      <c r="E231" s="110">
        <v>60.0</v>
      </c>
      <c r="F231" s="110">
        <v>8.0</v>
      </c>
      <c r="G231" s="110">
        <v>2276.5</v>
      </c>
      <c r="H231" s="85">
        <v>46204.0</v>
      </c>
      <c r="I231" s="85">
        <v>46212.0</v>
      </c>
      <c r="J231" s="82" t="s">
        <v>535</v>
      </c>
      <c r="K231" s="86">
        <v>1162062.0</v>
      </c>
      <c r="L231" s="110">
        <v>553553.21</v>
      </c>
      <c r="M231" s="80" t="s">
        <v>536</v>
      </c>
      <c r="N231" s="80"/>
      <c r="O231" s="80"/>
      <c r="P231" s="80"/>
      <c r="Q231" s="80"/>
      <c r="R231" s="80"/>
      <c r="S231" s="80"/>
      <c r="T231" s="80"/>
      <c r="U231" s="80"/>
      <c r="V231" s="80"/>
      <c r="W231" s="80"/>
      <c r="X231" s="80"/>
      <c r="Y231" s="80"/>
      <c r="Z231" s="80"/>
    </row>
    <row r="232">
      <c r="A232" s="87">
        <v>2718.0</v>
      </c>
      <c r="B232" s="82" t="s">
        <v>583</v>
      </c>
      <c r="C232" s="82" t="s">
        <v>534</v>
      </c>
      <c r="D232" s="110">
        <v>10000.0</v>
      </c>
      <c r="E232" s="110">
        <v>60.0</v>
      </c>
      <c r="F232" s="110">
        <v>64.0</v>
      </c>
      <c r="G232" s="110">
        <v>18399.6</v>
      </c>
      <c r="H232" s="85">
        <v>46148.0</v>
      </c>
      <c r="I232" s="85">
        <v>46212.0</v>
      </c>
      <c r="J232" s="82" t="s">
        <v>540</v>
      </c>
      <c r="K232" s="86">
        <v>1158679.0</v>
      </c>
      <c r="L232" s="110">
        <v>525477.13</v>
      </c>
      <c r="M232" s="80" t="s">
        <v>536</v>
      </c>
      <c r="N232" s="80"/>
      <c r="O232" s="80"/>
      <c r="P232" s="80"/>
      <c r="Q232" s="80"/>
      <c r="R232" s="80"/>
      <c r="S232" s="80"/>
      <c r="T232" s="80"/>
      <c r="U232" s="80"/>
      <c r="V232" s="80"/>
      <c r="W232" s="80"/>
      <c r="X232" s="80"/>
      <c r="Y232" s="80"/>
      <c r="Z232" s="80"/>
    </row>
    <row r="233">
      <c r="A233" s="87">
        <v>2719.0</v>
      </c>
      <c r="B233" s="82" t="s">
        <v>583</v>
      </c>
      <c r="C233" s="82" t="s">
        <v>534</v>
      </c>
      <c r="D233" s="110">
        <v>10000.0</v>
      </c>
      <c r="E233" s="110">
        <v>60.0</v>
      </c>
      <c r="F233" s="110">
        <v>8.0</v>
      </c>
      <c r="G233" s="110">
        <v>2682.9</v>
      </c>
      <c r="H233" s="85">
        <v>46204.0</v>
      </c>
      <c r="I233" s="85">
        <v>46212.0</v>
      </c>
      <c r="J233" s="82" t="s">
        <v>535</v>
      </c>
      <c r="K233" s="86">
        <v>1162064.0</v>
      </c>
      <c r="L233" s="110">
        <v>509997.98</v>
      </c>
      <c r="M233" s="80" t="s">
        <v>539</v>
      </c>
      <c r="N233" s="80"/>
      <c r="O233" s="80"/>
      <c r="P233" s="80"/>
      <c r="Q233" s="80"/>
      <c r="R233" s="80"/>
      <c r="S233" s="80"/>
      <c r="T233" s="80"/>
      <c r="U233" s="80"/>
      <c r="V233" s="80"/>
      <c r="W233" s="80"/>
      <c r="X233" s="80"/>
      <c r="Y233" s="80"/>
      <c r="Z233" s="80"/>
    </row>
    <row r="234">
      <c r="A234" s="87">
        <v>2721.0</v>
      </c>
      <c r="B234" s="82" t="s">
        <v>583</v>
      </c>
      <c r="C234" s="82" t="s">
        <v>534</v>
      </c>
      <c r="D234" s="110">
        <v>10000.0</v>
      </c>
      <c r="E234" s="110">
        <v>60.0</v>
      </c>
      <c r="F234" s="110">
        <v>15.0</v>
      </c>
      <c r="G234" s="110">
        <v>6173.9</v>
      </c>
      <c r="H234" s="85">
        <v>46197.0</v>
      </c>
      <c r="I234" s="85">
        <v>46212.0</v>
      </c>
      <c r="J234" s="82" t="s">
        <v>535</v>
      </c>
      <c r="K234" s="86">
        <v>1161962.0</v>
      </c>
      <c r="L234" s="110">
        <v>528245.46</v>
      </c>
      <c r="M234" s="80" t="s">
        <v>536</v>
      </c>
      <c r="N234" s="80"/>
      <c r="O234" s="80"/>
      <c r="P234" s="80"/>
      <c r="Q234" s="80"/>
      <c r="R234" s="80"/>
      <c r="S234" s="80"/>
      <c r="T234" s="80"/>
      <c r="U234" s="80"/>
      <c r="V234" s="80"/>
      <c r="W234" s="80"/>
      <c r="X234" s="80"/>
      <c r="Y234" s="80"/>
      <c r="Z234" s="80"/>
    </row>
    <row r="235">
      <c r="A235" s="87">
        <v>2722.0</v>
      </c>
      <c r="B235" s="82" t="s">
        <v>583</v>
      </c>
      <c r="C235" s="82" t="s">
        <v>534</v>
      </c>
      <c r="D235" s="110">
        <v>10000.0</v>
      </c>
      <c r="E235" s="110">
        <v>60.0</v>
      </c>
      <c r="F235" s="110">
        <v>42.0</v>
      </c>
      <c r="G235" s="110">
        <v>1473.9</v>
      </c>
      <c r="H235" s="85">
        <v>46170.0</v>
      </c>
      <c r="I235" s="85">
        <v>46212.0</v>
      </c>
      <c r="J235" s="82" t="s">
        <v>535</v>
      </c>
      <c r="K235" s="86">
        <v>1161454.0</v>
      </c>
      <c r="L235" s="110">
        <v>510392.5</v>
      </c>
      <c r="M235" s="80" t="s">
        <v>539</v>
      </c>
      <c r="N235" s="80"/>
      <c r="O235" s="80"/>
      <c r="P235" s="80"/>
      <c r="Q235" s="80"/>
      <c r="R235" s="80"/>
      <c r="S235" s="80"/>
      <c r="T235" s="80"/>
      <c r="U235" s="80"/>
      <c r="V235" s="80"/>
      <c r="W235" s="80"/>
      <c r="X235" s="80"/>
      <c r="Y235" s="80"/>
      <c r="Z235" s="80"/>
    </row>
    <row r="236">
      <c r="A236" s="87">
        <v>2723.0</v>
      </c>
      <c r="B236" s="82" t="s">
        <v>583</v>
      </c>
      <c r="C236" s="82" t="s">
        <v>534</v>
      </c>
      <c r="D236" s="110">
        <v>10000.0</v>
      </c>
      <c r="E236" s="110">
        <v>60.0</v>
      </c>
      <c r="F236" s="110">
        <v>1.0</v>
      </c>
      <c r="G236" s="110">
        <v>0.0</v>
      </c>
      <c r="H236" s="85">
        <v>46211.0</v>
      </c>
      <c r="I236" s="85">
        <v>46212.0</v>
      </c>
      <c r="J236" s="82" t="s">
        <v>535</v>
      </c>
      <c r="K236" s="86">
        <v>1162198.0</v>
      </c>
      <c r="L236" s="110">
        <v>499394.55</v>
      </c>
      <c r="M236" s="80" t="s">
        <v>549</v>
      </c>
      <c r="N236" s="80"/>
      <c r="O236" s="80"/>
      <c r="P236" s="80"/>
      <c r="Q236" s="80"/>
      <c r="R236" s="80"/>
      <c r="S236" s="80"/>
      <c r="T236" s="80"/>
      <c r="U236" s="80"/>
      <c r="V236" s="80"/>
      <c r="W236" s="80"/>
      <c r="X236" s="80"/>
      <c r="Y236" s="80"/>
      <c r="Z236" s="80"/>
    </row>
    <row r="237">
      <c r="A237" s="87">
        <v>2724.0</v>
      </c>
      <c r="B237" s="82" t="s">
        <v>583</v>
      </c>
      <c r="C237" s="82" t="s">
        <v>534</v>
      </c>
      <c r="D237" s="110">
        <v>10000.0</v>
      </c>
      <c r="E237" s="110">
        <v>60.0</v>
      </c>
      <c r="F237" s="110">
        <v>23.0</v>
      </c>
      <c r="G237" s="110">
        <v>7507.6</v>
      </c>
      <c r="H237" s="85">
        <v>46189.0</v>
      </c>
      <c r="I237" s="85">
        <v>46212.0</v>
      </c>
      <c r="J237" s="82" t="s">
        <v>535</v>
      </c>
      <c r="K237" s="86">
        <v>1161825.0</v>
      </c>
      <c r="L237" s="110">
        <v>400900.87</v>
      </c>
      <c r="M237" s="80" t="s">
        <v>539</v>
      </c>
      <c r="N237" s="80"/>
      <c r="O237" s="80"/>
      <c r="P237" s="80"/>
      <c r="Q237" s="80"/>
      <c r="R237" s="80"/>
      <c r="S237" s="80"/>
      <c r="T237" s="80"/>
      <c r="U237" s="80"/>
      <c r="V237" s="80"/>
      <c r="W237" s="80"/>
      <c r="X237" s="80"/>
      <c r="Y237" s="80"/>
      <c r="Z237" s="80"/>
    </row>
    <row r="238">
      <c r="A238" s="87">
        <v>2725.0</v>
      </c>
      <c r="B238" s="82" t="s">
        <v>583</v>
      </c>
      <c r="C238" s="82" t="s">
        <v>534</v>
      </c>
      <c r="D238" s="110">
        <v>10000.0</v>
      </c>
      <c r="E238" s="110">
        <v>60.0</v>
      </c>
      <c r="F238" s="110">
        <v>15.0</v>
      </c>
      <c r="G238" s="110">
        <v>5549.4</v>
      </c>
      <c r="H238" s="85">
        <v>46197.0</v>
      </c>
      <c r="I238" s="85">
        <v>46212.0</v>
      </c>
      <c r="J238" s="82" t="s">
        <v>535</v>
      </c>
      <c r="K238" s="86">
        <v>1161951.0</v>
      </c>
      <c r="L238" s="110">
        <v>480325.91</v>
      </c>
      <c r="M238" s="80" t="s">
        <v>547</v>
      </c>
      <c r="N238" s="80"/>
      <c r="O238" s="80"/>
      <c r="P238" s="80"/>
      <c r="Q238" s="80"/>
      <c r="R238" s="80"/>
      <c r="S238" s="80"/>
      <c r="T238" s="80"/>
      <c r="U238" s="80"/>
      <c r="V238" s="80"/>
      <c r="W238" s="80"/>
      <c r="X238" s="80"/>
      <c r="Y238" s="80"/>
      <c r="Z238" s="80"/>
    </row>
    <row r="239">
      <c r="A239" s="87">
        <v>2726.0</v>
      </c>
      <c r="B239" s="82" t="s">
        <v>583</v>
      </c>
      <c r="C239" s="82" t="s">
        <v>534</v>
      </c>
      <c r="D239" s="110">
        <v>10000.0</v>
      </c>
      <c r="E239" s="110">
        <v>60.0</v>
      </c>
      <c r="F239" s="110">
        <v>91.0</v>
      </c>
      <c r="G239" s="110">
        <v>18557.0</v>
      </c>
      <c r="H239" s="85">
        <v>46121.0</v>
      </c>
      <c r="I239" s="85">
        <v>46212.0</v>
      </c>
      <c r="J239" s="82" t="s">
        <v>540</v>
      </c>
      <c r="K239" s="86">
        <v>1155620.0</v>
      </c>
      <c r="L239" s="110">
        <v>431017.17</v>
      </c>
      <c r="M239" s="80" t="s">
        <v>562</v>
      </c>
      <c r="N239" s="80"/>
      <c r="O239" s="80"/>
      <c r="P239" s="80"/>
      <c r="Q239" s="80"/>
      <c r="R239" s="80"/>
      <c r="S239" s="80"/>
      <c r="T239" s="80"/>
      <c r="U239" s="80"/>
      <c r="V239" s="80"/>
      <c r="W239" s="80"/>
      <c r="X239" s="80"/>
      <c r="Y239" s="80"/>
      <c r="Z239" s="80"/>
    </row>
    <row r="240">
      <c r="A240" s="87">
        <v>2727.0</v>
      </c>
      <c r="B240" s="82" t="s">
        <v>583</v>
      </c>
      <c r="C240" s="82" t="s">
        <v>534</v>
      </c>
      <c r="D240" s="110">
        <v>10000.0</v>
      </c>
      <c r="E240" s="110">
        <v>60.0</v>
      </c>
      <c r="F240" s="110">
        <v>65.0</v>
      </c>
      <c r="G240" s="110">
        <v>1172.8</v>
      </c>
      <c r="H240" s="85">
        <v>46147.0</v>
      </c>
      <c r="I240" s="85">
        <v>46212.0</v>
      </c>
      <c r="J240" s="82" t="s">
        <v>540</v>
      </c>
      <c r="K240" s="86">
        <v>1158517.0</v>
      </c>
      <c r="L240" s="110">
        <v>461832.45</v>
      </c>
      <c r="M240" s="80" t="s">
        <v>565</v>
      </c>
      <c r="N240" s="80"/>
      <c r="O240" s="80"/>
      <c r="P240" s="80"/>
      <c r="Q240" s="80"/>
      <c r="R240" s="80"/>
      <c r="S240" s="80"/>
      <c r="T240" s="80"/>
      <c r="U240" s="80"/>
      <c r="V240" s="80"/>
      <c r="W240" s="80"/>
      <c r="X240" s="80"/>
      <c r="Y240" s="80"/>
      <c r="Z240" s="80"/>
    </row>
    <row r="241">
      <c r="A241" s="87">
        <v>2728.0</v>
      </c>
      <c r="B241" s="82" t="s">
        <v>583</v>
      </c>
      <c r="C241" s="82" t="s">
        <v>534</v>
      </c>
      <c r="D241" s="110">
        <v>10000.0</v>
      </c>
      <c r="E241" s="110">
        <v>60.0</v>
      </c>
      <c r="F241" s="110">
        <v>3.0</v>
      </c>
      <c r="G241" s="110">
        <v>971.4</v>
      </c>
      <c r="H241" s="85">
        <v>46209.0</v>
      </c>
      <c r="I241" s="85">
        <v>46212.0</v>
      </c>
      <c r="J241" s="82" t="s">
        <v>535</v>
      </c>
      <c r="K241" s="86">
        <v>1162140.0</v>
      </c>
      <c r="L241" s="110">
        <v>508409.0</v>
      </c>
      <c r="M241" s="80" t="s">
        <v>539</v>
      </c>
      <c r="N241" s="80"/>
      <c r="O241" s="80"/>
      <c r="P241" s="80"/>
      <c r="Q241" s="80"/>
      <c r="R241" s="80"/>
      <c r="S241" s="80"/>
      <c r="T241" s="80"/>
      <c r="U241" s="80"/>
      <c r="V241" s="80"/>
      <c r="W241" s="80"/>
      <c r="X241" s="80"/>
      <c r="Y241" s="80"/>
      <c r="Z241" s="80"/>
    </row>
    <row r="242">
      <c r="A242" s="87">
        <v>2729.0</v>
      </c>
      <c r="B242" s="82" t="s">
        <v>583</v>
      </c>
      <c r="C242" s="82" t="s">
        <v>534</v>
      </c>
      <c r="D242" s="110">
        <v>10000.0</v>
      </c>
      <c r="E242" s="110">
        <v>60.0</v>
      </c>
      <c r="F242" s="110">
        <v>16.0</v>
      </c>
      <c r="G242" s="110">
        <v>5628.9</v>
      </c>
      <c r="H242" s="85">
        <v>46196.0</v>
      </c>
      <c r="I242" s="85">
        <v>46212.0</v>
      </c>
      <c r="J242" s="82" t="s">
        <v>535</v>
      </c>
      <c r="K242" s="86">
        <v>1161931.0</v>
      </c>
      <c r="L242" s="110">
        <v>458156.37</v>
      </c>
      <c r="M242" s="80" t="s">
        <v>537</v>
      </c>
      <c r="N242" s="80"/>
      <c r="O242" s="80"/>
      <c r="P242" s="80"/>
      <c r="Q242" s="80"/>
      <c r="R242" s="80"/>
      <c r="S242" s="80"/>
      <c r="T242" s="80"/>
      <c r="U242" s="80"/>
      <c r="V242" s="80"/>
      <c r="W242" s="80"/>
      <c r="X242" s="80"/>
      <c r="Y242" s="80"/>
      <c r="Z242" s="80"/>
    </row>
    <row r="243">
      <c r="A243" s="87">
        <v>2730.0</v>
      </c>
      <c r="B243" s="82" t="s">
        <v>583</v>
      </c>
      <c r="C243" s="82" t="s">
        <v>534</v>
      </c>
      <c r="D243" s="110">
        <v>10000.0</v>
      </c>
      <c r="E243" s="110">
        <v>60.0</v>
      </c>
      <c r="F243" s="110">
        <v>40.0</v>
      </c>
      <c r="G243" s="110">
        <v>12626.3</v>
      </c>
      <c r="H243" s="85">
        <v>46172.0</v>
      </c>
      <c r="I243" s="85">
        <v>46212.0</v>
      </c>
      <c r="J243" s="82" t="s">
        <v>540</v>
      </c>
      <c r="K243" s="86">
        <v>1161511.0</v>
      </c>
      <c r="L243" s="110">
        <v>471913.19</v>
      </c>
      <c r="M243" s="80" t="s">
        <v>541</v>
      </c>
      <c r="N243" s="80"/>
      <c r="O243" s="80"/>
      <c r="P243" s="80"/>
      <c r="Q243" s="80"/>
      <c r="R243" s="80"/>
      <c r="S243" s="80"/>
      <c r="T243" s="80"/>
      <c r="U243" s="80"/>
      <c r="V243" s="80"/>
      <c r="W243" s="80"/>
      <c r="X243" s="80"/>
      <c r="Y243" s="80"/>
      <c r="Z243" s="80"/>
    </row>
    <row r="244">
      <c r="A244" s="87">
        <v>2738.0</v>
      </c>
      <c r="B244" s="82" t="s">
        <v>583</v>
      </c>
      <c r="C244" s="82" t="s">
        <v>534</v>
      </c>
      <c r="D244" s="110">
        <v>10000.0</v>
      </c>
      <c r="E244" s="110">
        <v>60.0</v>
      </c>
      <c r="F244" s="110">
        <v>65.0</v>
      </c>
      <c r="G244" s="110">
        <v>22324.1</v>
      </c>
      <c r="H244" s="85">
        <v>46147.0</v>
      </c>
      <c r="I244" s="85">
        <v>46212.0</v>
      </c>
      <c r="J244" s="82" t="s">
        <v>540</v>
      </c>
      <c r="K244" s="86">
        <v>1158511.0</v>
      </c>
      <c r="L244" s="110">
        <v>451698.04</v>
      </c>
      <c r="M244" s="80" t="s">
        <v>547</v>
      </c>
      <c r="N244" s="80"/>
      <c r="O244" s="80"/>
      <c r="P244" s="80"/>
      <c r="Q244" s="80"/>
      <c r="R244" s="80"/>
      <c r="S244" s="80"/>
      <c r="T244" s="80"/>
      <c r="U244" s="80"/>
      <c r="V244" s="80"/>
      <c r="W244" s="80"/>
      <c r="X244" s="80"/>
      <c r="Y244" s="80"/>
      <c r="Z244" s="80"/>
    </row>
    <row r="245">
      <c r="A245" s="87">
        <v>2739.0</v>
      </c>
      <c r="B245" s="82" t="s">
        <v>583</v>
      </c>
      <c r="C245" s="82" t="s">
        <v>534</v>
      </c>
      <c r="D245" s="110">
        <v>10000.0</v>
      </c>
      <c r="E245" s="110">
        <v>60.0</v>
      </c>
      <c r="F245" s="110">
        <v>65.0</v>
      </c>
      <c r="G245" s="110">
        <v>21031.5</v>
      </c>
      <c r="H245" s="85">
        <v>46147.0</v>
      </c>
      <c r="I245" s="85">
        <v>46212.0</v>
      </c>
      <c r="J245" s="82" t="s">
        <v>540</v>
      </c>
      <c r="K245" s="86">
        <v>1158521.0</v>
      </c>
      <c r="L245" s="110">
        <v>408572.31</v>
      </c>
      <c r="M245" s="80" t="s">
        <v>541</v>
      </c>
      <c r="N245" s="80"/>
      <c r="O245" s="80"/>
      <c r="P245" s="80"/>
      <c r="Q245" s="80"/>
      <c r="R245" s="80"/>
      <c r="S245" s="80"/>
      <c r="T245" s="80"/>
      <c r="U245" s="80"/>
      <c r="V245" s="80"/>
      <c r="W245" s="80"/>
      <c r="X245" s="80"/>
      <c r="Y245" s="80"/>
      <c r="Z245" s="80"/>
    </row>
    <row r="246">
      <c r="A246" s="87">
        <v>2740.0</v>
      </c>
      <c r="B246" s="82" t="s">
        <v>561</v>
      </c>
      <c r="C246" s="82" t="s">
        <v>534</v>
      </c>
      <c r="D246" s="110">
        <v>10000.0</v>
      </c>
      <c r="E246" s="110">
        <v>60.0</v>
      </c>
      <c r="F246" s="110">
        <v>5.0</v>
      </c>
      <c r="G246" s="110">
        <v>1305.2</v>
      </c>
      <c r="H246" s="85">
        <v>46207.0</v>
      </c>
      <c r="I246" s="85">
        <v>46212.0</v>
      </c>
      <c r="J246" s="82" t="s">
        <v>535</v>
      </c>
      <c r="K246" s="86">
        <v>1162126.0</v>
      </c>
      <c r="L246" s="110">
        <v>503372.37</v>
      </c>
      <c r="M246" s="80" t="s">
        <v>551</v>
      </c>
      <c r="N246" s="80"/>
      <c r="O246" s="80"/>
      <c r="P246" s="80"/>
      <c r="Q246" s="80"/>
      <c r="R246" s="80"/>
      <c r="S246" s="80"/>
      <c r="T246" s="80"/>
      <c r="U246" s="80"/>
      <c r="V246" s="80"/>
      <c r="W246" s="80"/>
      <c r="X246" s="80"/>
      <c r="Y246" s="80"/>
      <c r="Z246" s="80"/>
    </row>
    <row r="247">
      <c r="A247" s="87">
        <v>2741.0</v>
      </c>
      <c r="B247" s="82" t="s">
        <v>561</v>
      </c>
      <c r="C247" s="82" t="s">
        <v>534</v>
      </c>
      <c r="D247" s="110">
        <v>10000.0</v>
      </c>
      <c r="E247" s="110">
        <v>60.0</v>
      </c>
      <c r="F247" s="110">
        <v>21.0</v>
      </c>
      <c r="G247" s="110">
        <v>7371.9</v>
      </c>
      <c r="H247" s="85">
        <v>46191.0</v>
      </c>
      <c r="I247" s="85">
        <v>46212.0</v>
      </c>
      <c r="J247" s="82" t="s">
        <v>535</v>
      </c>
      <c r="K247" s="86">
        <v>1161896.0</v>
      </c>
      <c r="L247" s="110">
        <v>499739.56</v>
      </c>
      <c r="M247" s="80" t="s">
        <v>539</v>
      </c>
      <c r="N247" s="80"/>
      <c r="O247" s="80"/>
      <c r="P247" s="80"/>
      <c r="Q247" s="80"/>
      <c r="R247" s="80"/>
      <c r="S247" s="80"/>
      <c r="T247" s="80"/>
      <c r="U247" s="80"/>
      <c r="V247" s="80"/>
      <c r="W247" s="80"/>
      <c r="X247" s="80"/>
      <c r="Y247" s="80"/>
      <c r="Z247" s="80"/>
    </row>
    <row r="248">
      <c r="A248" s="87">
        <v>2742.0</v>
      </c>
      <c r="B248" s="82" t="s">
        <v>561</v>
      </c>
      <c r="C248" s="82" t="s">
        <v>534</v>
      </c>
      <c r="D248" s="110">
        <v>10000.0</v>
      </c>
      <c r="E248" s="110">
        <v>60.0</v>
      </c>
      <c r="F248" s="110">
        <v>17.0</v>
      </c>
      <c r="G248" s="110">
        <v>6047.9</v>
      </c>
      <c r="H248" s="85">
        <v>46195.0</v>
      </c>
      <c r="I248" s="85">
        <v>46212.0</v>
      </c>
      <c r="J248" s="82" t="s">
        <v>535</v>
      </c>
      <c r="K248" s="86">
        <v>1161918.0</v>
      </c>
      <c r="L248" s="110">
        <v>496955.98</v>
      </c>
      <c r="M248" s="80" t="s">
        <v>541</v>
      </c>
      <c r="N248" s="80"/>
      <c r="O248" s="80"/>
      <c r="P248" s="80"/>
      <c r="Q248" s="80"/>
      <c r="R248" s="80"/>
      <c r="S248" s="80"/>
      <c r="T248" s="80"/>
      <c r="U248" s="80"/>
      <c r="V248" s="80"/>
      <c r="W248" s="80"/>
      <c r="X248" s="80"/>
      <c r="Y248" s="80"/>
      <c r="Z248" s="80"/>
    </row>
    <row r="249">
      <c r="A249" s="87">
        <v>2743.0</v>
      </c>
      <c r="B249" s="82" t="s">
        <v>561</v>
      </c>
      <c r="C249" s="82" t="s">
        <v>534</v>
      </c>
      <c r="D249" s="110">
        <v>10000.0</v>
      </c>
      <c r="E249" s="110">
        <v>60.0</v>
      </c>
      <c r="F249" s="110">
        <v>2.0</v>
      </c>
      <c r="G249" s="110">
        <v>241.7</v>
      </c>
      <c r="H249" s="85">
        <v>46210.0</v>
      </c>
      <c r="I249" s="85">
        <v>46212.0</v>
      </c>
      <c r="J249" s="82" t="s">
        <v>535</v>
      </c>
      <c r="K249" s="86">
        <v>1162154.0</v>
      </c>
      <c r="L249" s="110">
        <v>454708.87</v>
      </c>
      <c r="M249" s="80" t="s">
        <v>541</v>
      </c>
      <c r="N249" s="80"/>
      <c r="O249" s="80"/>
      <c r="P249" s="80"/>
      <c r="Q249" s="80"/>
      <c r="R249" s="80"/>
      <c r="S249" s="80"/>
      <c r="T249" s="80"/>
      <c r="U249" s="80"/>
      <c r="V249" s="80"/>
      <c r="W249" s="80"/>
      <c r="X249" s="80"/>
      <c r="Y249" s="80"/>
      <c r="Z249" s="80"/>
    </row>
    <row r="250">
      <c r="A250" s="87">
        <v>2744.0</v>
      </c>
      <c r="B250" s="82" t="s">
        <v>583</v>
      </c>
      <c r="C250" s="82" t="s">
        <v>534</v>
      </c>
      <c r="D250" s="110">
        <v>10000.0</v>
      </c>
      <c r="E250" s="110">
        <v>60.0</v>
      </c>
      <c r="F250" s="110">
        <v>9.0</v>
      </c>
      <c r="G250" s="110">
        <v>3017.4</v>
      </c>
      <c r="H250" s="85">
        <v>46203.0</v>
      </c>
      <c r="I250" s="85">
        <v>46212.0</v>
      </c>
      <c r="J250" s="82" t="s">
        <v>535</v>
      </c>
      <c r="K250" s="86">
        <v>1162048.0</v>
      </c>
      <c r="L250" s="110">
        <v>434311.27</v>
      </c>
      <c r="M250" s="80" t="s">
        <v>537</v>
      </c>
      <c r="N250" s="80"/>
      <c r="O250" s="80"/>
      <c r="P250" s="80"/>
      <c r="Q250" s="80"/>
      <c r="R250" s="80"/>
      <c r="S250" s="80"/>
      <c r="T250" s="80"/>
      <c r="U250" s="80"/>
      <c r="V250" s="80"/>
      <c r="W250" s="80"/>
      <c r="X250" s="80"/>
      <c r="Y250" s="80"/>
      <c r="Z250" s="80"/>
    </row>
    <row r="251">
      <c r="A251" s="87">
        <v>2745.0</v>
      </c>
      <c r="B251" s="82" t="s">
        <v>583</v>
      </c>
      <c r="C251" s="82" t="s">
        <v>534</v>
      </c>
      <c r="D251" s="110">
        <v>10000.0</v>
      </c>
      <c r="E251" s="110">
        <v>60.0</v>
      </c>
      <c r="F251" s="110">
        <v>38.0</v>
      </c>
      <c r="G251" s="110">
        <v>12157.8</v>
      </c>
      <c r="H251" s="85">
        <v>46174.0</v>
      </c>
      <c r="I251" s="85">
        <v>46212.0</v>
      </c>
      <c r="J251" s="82" t="s">
        <v>540</v>
      </c>
      <c r="K251" s="86">
        <v>1161534.0</v>
      </c>
      <c r="L251" s="110">
        <v>457648.98</v>
      </c>
      <c r="M251" s="80" t="s">
        <v>584</v>
      </c>
      <c r="N251" s="80"/>
      <c r="O251" s="80"/>
      <c r="P251" s="80"/>
      <c r="Q251" s="80"/>
      <c r="R251" s="80"/>
      <c r="S251" s="80"/>
      <c r="T251" s="80"/>
      <c r="U251" s="80"/>
      <c r="V251" s="80"/>
      <c r="W251" s="80"/>
      <c r="X251" s="80"/>
      <c r="Y251" s="80"/>
      <c r="Z251" s="80"/>
    </row>
    <row r="252">
      <c r="A252" s="87">
        <v>2746.0</v>
      </c>
      <c r="B252" s="82" t="s">
        <v>583</v>
      </c>
      <c r="C252" s="82" t="s">
        <v>534</v>
      </c>
      <c r="D252" s="110">
        <v>10000.0</v>
      </c>
      <c r="E252" s="110">
        <v>60.0</v>
      </c>
      <c r="F252" s="110">
        <v>3.0</v>
      </c>
      <c r="G252" s="110">
        <v>409.8</v>
      </c>
      <c r="H252" s="85">
        <v>46209.0</v>
      </c>
      <c r="I252" s="85">
        <v>46212.0</v>
      </c>
      <c r="J252" s="82" t="s">
        <v>535</v>
      </c>
      <c r="K252" s="86">
        <v>1162136.0</v>
      </c>
      <c r="L252" s="110">
        <v>439390.97</v>
      </c>
      <c r="M252" s="80" t="s">
        <v>549</v>
      </c>
      <c r="N252" s="80"/>
      <c r="O252" s="80"/>
      <c r="P252" s="80"/>
      <c r="Q252" s="80"/>
      <c r="R252" s="80"/>
      <c r="S252" s="80"/>
      <c r="T252" s="80"/>
      <c r="U252" s="80"/>
      <c r="V252" s="80"/>
      <c r="W252" s="80"/>
      <c r="X252" s="80"/>
      <c r="Y252" s="80"/>
      <c r="Z252" s="80"/>
    </row>
    <row r="253">
      <c r="A253" s="87">
        <v>2747.0</v>
      </c>
      <c r="B253" s="82" t="s">
        <v>583</v>
      </c>
      <c r="C253" s="82" t="s">
        <v>534</v>
      </c>
      <c r="D253" s="110">
        <v>10000.0</v>
      </c>
      <c r="E253" s="110">
        <v>60.0</v>
      </c>
      <c r="F253" s="110">
        <v>26.0</v>
      </c>
      <c r="G253" s="110">
        <v>7889.0</v>
      </c>
      <c r="H253" s="85">
        <v>46186.0</v>
      </c>
      <c r="I253" s="85">
        <v>46212.0</v>
      </c>
      <c r="J253" s="82" t="s">
        <v>535</v>
      </c>
      <c r="K253" s="86">
        <v>1161800.0</v>
      </c>
      <c r="L253" s="110">
        <v>404835.13</v>
      </c>
      <c r="M253" s="80" t="s">
        <v>563</v>
      </c>
      <c r="N253" s="80"/>
      <c r="O253" s="80"/>
      <c r="P253" s="80"/>
      <c r="Q253" s="80"/>
      <c r="R253" s="80"/>
      <c r="S253" s="80"/>
      <c r="T253" s="80"/>
      <c r="U253" s="80"/>
      <c r="V253" s="80"/>
      <c r="W253" s="80"/>
      <c r="X253" s="80"/>
      <c r="Y253" s="80"/>
      <c r="Z253" s="80"/>
    </row>
    <row r="254">
      <c r="A254" s="87">
        <v>2748.0</v>
      </c>
      <c r="B254" s="82" t="s">
        <v>583</v>
      </c>
      <c r="C254" s="82" t="s">
        <v>534</v>
      </c>
      <c r="D254" s="110">
        <v>10000.0</v>
      </c>
      <c r="E254" s="110">
        <v>60.0</v>
      </c>
      <c r="F254" s="110">
        <v>17.0</v>
      </c>
      <c r="G254" s="110">
        <v>6223.9</v>
      </c>
      <c r="H254" s="85">
        <v>46195.0</v>
      </c>
      <c r="I254" s="85">
        <v>46212.0</v>
      </c>
      <c r="J254" s="82" t="s">
        <v>535</v>
      </c>
      <c r="K254" s="86">
        <v>1161921.0</v>
      </c>
      <c r="L254" s="110">
        <v>454711.95</v>
      </c>
      <c r="M254" s="80" t="s">
        <v>537</v>
      </c>
      <c r="N254" s="80"/>
      <c r="O254" s="80"/>
      <c r="P254" s="80"/>
      <c r="Q254" s="80"/>
      <c r="R254" s="80"/>
      <c r="S254" s="80"/>
      <c r="T254" s="80"/>
      <c r="U254" s="80"/>
      <c r="V254" s="80"/>
      <c r="W254" s="80"/>
      <c r="X254" s="80"/>
      <c r="Y254" s="80"/>
      <c r="Z254" s="80"/>
    </row>
    <row r="255">
      <c r="A255" s="87">
        <v>2749.0</v>
      </c>
      <c r="B255" s="82" t="s">
        <v>583</v>
      </c>
      <c r="C255" s="82" t="s">
        <v>534</v>
      </c>
      <c r="D255" s="110">
        <v>10000.0</v>
      </c>
      <c r="E255" s="110">
        <v>60.0</v>
      </c>
      <c r="F255" s="110">
        <v>9.0</v>
      </c>
      <c r="G255" s="110">
        <v>3079.0</v>
      </c>
      <c r="H255" s="85">
        <v>46203.0</v>
      </c>
      <c r="I255" s="85">
        <v>46212.0</v>
      </c>
      <c r="J255" s="82" t="s">
        <v>535</v>
      </c>
      <c r="K255" s="86">
        <v>1162041.0</v>
      </c>
      <c r="L255" s="110">
        <v>420242.64</v>
      </c>
      <c r="M255" s="80" t="s">
        <v>547</v>
      </c>
      <c r="N255" s="80"/>
      <c r="O255" s="80"/>
      <c r="P255" s="80"/>
      <c r="Q255" s="80"/>
      <c r="R255" s="80"/>
      <c r="S255" s="80"/>
      <c r="T255" s="80"/>
      <c r="U255" s="80"/>
      <c r="V255" s="80"/>
      <c r="W255" s="80"/>
      <c r="X255" s="80"/>
      <c r="Y255" s="80"/>
      <c r="Z255" s="80"/>
    </row>
    <row r="256">
      <c r="A256" s="87">
        <v>2750.0</v>
      </c>
      <c r="B256" s="82" t="s">
        <v>583</v>
      </c>
      <c r="C256" s="82" t="s">
        <v>534</v>
      </c>
      <c r="D256" s="110">
        <v>10000.0</v>
      </c>
      <c r="E256" s="110">
        <v>60.0</v>
      </c>
      <c r="F256" s="110">
        <v>40.0</v>
      </c>
      <c r="G256" s="110">
        <v>13561.9</v>
      </c>
      <c r="H256" s="85">
        <v>46172.0</v>
      </c>
      <c r="I256" s="85">
        <v>46212.0</v>
      </c>
      <c r="J256" s="82" t="s">
        <v>540</v>
      </c>
      <c r="K256" s="86">
        <v>1161509.0</v>
      </c>
      <c r="L256" s="110">
        <v>441558.39</v>
      </c>
      <c r="M256" s="80" t="s">
        <v>541</v>
      </c>
      <c r="N256" s="80"/>
      <c r="O256" s="80"/>
      <c r="P256" s="80"/>
      <c r="Q256" s="80"/>
      <c r="R256" s="80"/>
      <c r="S256" s="80"/>
      <c r="T256" s="80"/>
      <c r="U256" s="80"/>
      <c r="V256" s="80"/>
      <c r="W256" s="80"/>
      <c r="X256" s="80"/>
      <c r="Y256" s="80"/>
      <c r="Z256" s="80"/>
    </row>
    <row r="257">
      <c r="A257" s="87">
        <v>2751.0</v>
      </c>
      <c r="B257" s="82" t="s">
        <v>583</v>
      </c>
      <c r="C257" s="82" t="s">
        <v>534</v>
      </c>
      <c r="D257" s="110">
        <v>10000.0</v>
      </c>
      <c r="E257" s="110">
        <v>60.0</v>
      </c>
      <c r="F257" s="110">
        <v>139.0</v>
      </c>
      <c r="G257" s="110">
        <v>48450.7</v>
      </c>
      <c r="H257" s="85">
        <v>46073.0</v>
      </c>
      <c r="I257" s="85">
        <v>46212.0</v>
      </c>
      <c r="J257" s="82" t="s">
        <v>540</v>
      </c>
      <c r="K257" s="86">
        <v>1150603.0</v>
      </c>
      <c r="L257" s="110">
        <v>362197.68</v>
      </c>
      <c r="M257" s="80" t="s">
        <v>539</v>
      </c>
      <c r="N257" s="80"/>
      <c r="O257" s="80"/>
      <c r="P257" s="80"/>
      <c r="Q257" s="80"/>
      <c r="R257" s="80"/>
      <c r="S257" s="80"/>
      <c r="T257" s="80"/>
      <c r="U257" s="80"/>
      <c r="V257" s="80"/>
      <c r="W257" s="80"/>
      <c r="X257" s="80"/>
      <c r="Y257" s="80"/>
      <c r="Z257" s="80"/>
    </row>
    <row r="258">
      <c r="A258" s="87">
        <v>2752.0</v>
      </c>
      <c r="B258" s="82" t="s">
        <v>583</v>
      </c>
      <c r="C258" s="82" t="s">
        <v>534</v>
      </c>
      <c r="D258" s="110">
        <v>10000.0</v>
      </c>
      <c r="E258" s="110">
        <v>60.0</v>
      </c>
      <c r="F258" s="110">
        <v>27.0</v>
      </c>
      <c r="G258" s="110">
        <v>8130.4</v>
      </c>
      <c r="H258" s="85">
        <v>46185.0</v>
      </c>
      <c r="I258" s="85">
        <v>46212.0</v>
      </c>
      <c r="J258" s="82" t="s">
        <v>535</v>
      </c>
      <c r="K258" s="86">
        <v>1161797.0</v>
      </c>
      <c r="L258" s="110">
        <v>401286.12</v>
      </c>
      <c r="M258" s="80" t="s">
        <v>549</v>
      </c>
      <c r="N258" s="80"/>
      <c r="O258" s="80"/>
      <c r="P258" s="80"/>
      <c r="Q258" s="80"/>
      <c r="R258" s="80"/>
      <c r="S258" s="80"/>
      <c r="T258" s="80"/>
      <c r="U258" s="80"/>
      <c r="V258" s="80"/>
      <c r="W258" s="80"/>
      <c r="X258" s="80"/>
      <c r="Y258" s="80"/>
      <c r="Z258" s="80"/>
    </row>
    <row r="259">
      <c r="A259" s="87">
        <v>2753.0</v>
      </c>
      <c r="B259" s="82" t="s">
        <v>561</v>
      </c>
      <c r="C259" s="82" t="s">
        <v>534</v>
      </c>
      <c r="D259" s="110">
        <v>10000.0</v>
      </c>
      <c r="E259" s="110">
        <v>60.0</v>
      </c>
      <c r="F259" s="110">
        <v>35.0</v>
      </c>
      <c r="G259" s="110">
        <v>11591.0</v>
      </c>
      <c r="H259" s="85">
        <v>46177.0</v>
      </c>
      <c r="I259" s="85">
        <v>46212.0</v>
      </c>
      <c r="J259" s="82" t="s">
        <v>540</v>
      </c>
      <c r="K259" s="86">
        <v>1161642.0</v>
      </c>
      <c r="L259" s="110">
        <v>245199.43</v>
      </c>
      <c r="M259" s="80" t="s">
        <v>536</v>
      </c>
      <c r="N259" s="80"/>
      <c r="O259" s="80"/>
      <c r="P259" s="80"/>
      <c r="Q259" s="80"/>
      <c r="R259" s="80"/>
      <c r="S259" s="80"/>
      <c r="T259" s="80"/>
      <c r="U259" s="80"/>
      <c r="V259" s="80"/>
      <c r="W259" s="80"/>
      <c r="X259" s="80"/>
      <c r="Y259" s="80"/>
      <c r="Z259" s="80"/>
    </row>
    <row r="260">
      <c r="A260" s="87">
        <v>2754.0</v>
      </c>
      <c r="B260" s="82" t="s">
        <v>561</v>
      </c>
      <c r="C260" s="82" t="s">
        <v>534</v>
      </c>
      <c r="D260" s="110">
        <v>10000.0</v>
      </c>
      <c r="E260" s="110">
        <v>60.0</v>
      </c>
      <c r="F260" s="110">
        <v>29.0</v>
      </c>
      <c r="G260" s="110">
        <v>9373.8</v>
      </c>
      <c r="H260" s="85">
        <v>46183.0</v>
      </c>
      <c r="I260" s="85">
        <v>46212.0</v>
      </c>
      <c r="J260" s="82" t="s">
        <v>535</v>
      </c>
      <c r="K260" s="86">
        <v>1161722.0</v>
      </c>
      <c r="L260" s="110">
        <v>283787.34</v>
      </c>
      <c r="M260" s="80" t="s">
        <v>550</v>
      </c>
      <c r="N260" s="80"/>
      <c r="O260" s="80"/>
      <c r="P260" s="80"/>
      <c r="Q260" s="80"/>
      <c r="R260" s="80"/>
      <c r="S260" s="80"/>
      <c r="T260" s="80"/>
      <c r="U260" s="80"/>
      <c r="V260" s="80"/>
      <c r="W260" s="80"/>
      <c r="X260" s="80"/>
      <c r="Y260" s="80"/>
      <c r="Z260" s="80"/>
    </row>
    <row r="261">
      <c r="A261" s="87">
        <v>2755.0</v>
      </c>
      <c r="B261" s="82" t="s">
        <v>561</v>
      </c>
      <c r="C261" s="82" t="s">
        <v>534</v>
      </c>
      <c r="D261" s="110">
        <v>10000.0</v>
      </c>
      <c r="E261" s="110">
        <v>60.0</v>
      </c>
      <c r="F261" s="110">
        <v>42.0</v>
      </c>
      <c r="G261" s="110">
        <v>13965.7</v>
      </c>
      <c r="H261" s="85">
        <v>46170.0</v>
      </c>
      <c r="I261" s="85">
        <v>46212.0</v>
      </c>
      <c r="J261" s="82" t="s">
        <v>540</v>
      </c>
      <c r="K261" s="86">
        <v>1161463.0</v>
      </c>
      <c r="L261" s="110">
        <v>294802.1</v>
      </c>
      <c r="M261" s="80" t="s">
        <v>537</v>
      </c>
      <c r="N261" s="80"/>
      <c r="O261" s="80"/>
      <c r="P261" s="80"/>
      <c r="Q261" s="80"/>
      <c r="R261" s="80"/>
      <c r="S261" s="80"/>
      <c r="T261" s="80"/>
      <c r="U261" s="80"/>
      <c r="V261" s="80"/>
      <c r="W261" s="80"/>
      <c r="X261" s="80"/>
      <c r="Y261" s="80"/>
      <c r="Z261" s="80"/>
    </row>
    <row r="262">
      <c r="A262" s="87">
        <v>2756.0</v>
      </c>
      <c r="B262" s="82" t="s">
        <v>561</v>
      </c>
      <c r="C262" s="82" t="s">
        <v>534</v>
      </c>
      <c r="D262" s="110">
        <v>10000.0</v>
      </c>
      <c r="E262" s="110">
        <v>60.0</v>
      </c>
      <c r="F262" s="110">
        <v>35.0</v>
      </c>
      <c r="G262" s="110">
        <v>10566.6</v>
      </c>
      <c r="H262" s="85">
        <v>46177.0</v>
      </c>
      <c r="I262" s="85">
        <v>46212.0</v>
      </c>
      <c r="J262" s="82" t="s">
        <v>540</v>
      </c>
      <c r="K262" s="86">
        <v>1161647.0</v>
      </c>
      <c r="L262" s="110">
        <v>292145.33</v>
      </c>
      <c r="M262" s="80" t="s">
        <v>536</v>
      </c>
      <c r="N262" s="80"/>
      <c r="O262" s="80"/>
      <c r="P262" s="80"/>
      <c r="Q262" s="80"/>
      <c r="R262" s="80"/>
      <c r="S262" s="80"/>
      <c r="T262" s="80"/>
      <c r="U262" s="80"/>
      <c r="V262" s="80"/>
      <c r="W262" s="80"/>
      <c r="X262" s="80"/>
      <c r="Y262" s="80"/>
      <c r="Z262" s="80"/>
    </row>
    <row r="263">
      <c r="A263" s="87">
        <v>2757.0</v>
      </c>
      <c r="B263" s="82" t="s">
        <v>561</v>
      </c>
      <c r="C263" s="82" t="s">
        <v>534</v>
      </c>
      <c r="D263" s="110">
        <v>10000.0</v>
      </c>
      <c r="E263" s="110">
        <v>60.0</v>
      </c>
      <c r="F263" s="110">
        <v>14.0</v>
      </c>
      <c r="G263" s="110">
        <v>4979.6</v>
      </c>
      <c r="H263" s="85">
        <v>46198.0</v>
      </c>
      <c r="I263" s="85">
        <v>46212.0</v>
      </c>
      <c r="J263" s="83" t="s">
        <v>535</v>
      </c>
      <c r="K263" s="86">
        <v>1161999.0</v>
      </c>
      <c r="L263" s="110">
        <v>308537.7</v>
      </c>
      <c r="M263" s="80" t="s">
        <v>539</v>
      </c>
      <c r="N263" s="80"/>
      <c r="O263" s="80"/>
      <c r="P263" s="80"/>
      <c r="Q263" s="80"/>
      <c r="R263" s="80"/>
      <c r="S263" s="80"/>
      <c r="T263" s="80"/>
      <c r="U263" s="80"/>
      <c r="V263" s="80"/>
      <c r="W263" s="80"/>
      <c r="X263" s="80"/>
      <c r="Y263" s="80"/>
      <c r="Z263" s="80"/>
    </row>
    <row r="264">
      <c r="A264" s="87">
        <v>2758.0</v>
      </c>
      <c r="B264" s="82" t="s">
        <v>561</v>
      </c>
      <c r="C264" s="82" t="s">
        <v>534</v>
      </c>
      <c r="D264" s="110">
        <v>10000.0</v>
      </c>
      <c r="E264" s="110">
        <v>60.0</v>
      </c>
      <c r="F264" s="110">
        <v>1.0</v>
      </c>
      <c r="G264" s="110">
        <v>0.0</v>
      </c>
      <c r="H264" s="85">
        <v>46211.0</v>
      </c>
      <c r="I264" s="85">
        <v>46212.0</v>
      </c>
      <c r="J264" s="82" t="s">
        <v>535</v>
      </c>
      <c r="K264" s="86">
        <v>1162202.0</v>
      </c>
      <c r="L264" s="110">
        <v>300916.29</v>
      </c>
      <c r="M264" s="80" t="s">
        <v>537</v>
      </c>
      <c r="N264" s="80"/>
      <c r="O264" s="80"/>
      <c r="P264" s="80"/>
      <c r="Q264" s="80"/>
      <c r="R264" s="80"/>
      <c r="S264" s="80"/>
      <c r="T264" s="80"/>
      <c r="U264" s="80"/>
      <c r="V264" s="80"/>
      <c r="W264" s="80"/>
      <c r="X264" s="80"/>
      <c r="Y264" s="80"/>
      <c r="Z264" s="80"/>
    </row>
    <row r="265">
      <c r="A265" s="87">
        <v>2759.0</v>
      </c>
      <c r="B265" s="82" t="s">
        <v>561</v>
      </c>
      <c r="C265" s="82" t="s">
        <v>534</v>
      </c>
      <c r="D265" s="110">
        <v>10000.0</v>
      </c>
      <c r="E265" s="110">
        <v>60.0</v>
      </c>
      <c r="F265" s="110">
        <v>30.0</v>
      </c>
      <c r="G265" s="110">
        <v>4593.0</v>
      </c>
      <c r="H265" s="85">
        <v>46182.0</v>
      </c>
      <c r="I265" s="85">
        <v>46212.0</v>
      </c>
      <c r="J265" s="82" t="s">
        <v>535</v>
      </c>
      <c r="K265" s="86">
        <v>1161694.0</v>
      </c>
      <c r="L265" s="110">
        <v>452086.5</v>
      </c>
      <c r="M265" s="80" t="s">
        <v>539</v>
      </c>
      <c r="N265" s="80"/>
      <c r="O265" s="80"/>
      <c r="P265" s="80"/>
      <c r="Q265" s="80"/>
      <c r="R265" s="80"/>
      <c r="S265" s="80"/>
      <c r="T265" s="80"/>
      <c r="U265" s="80"/>
      <c r="V265" s="80"/>
      <c r="W265" s="80"/>
      <c r="X265" s="80"/>
      <c r="Y265" s="80"/>
      <c r="Z265" s="80"/>
    </row>
    <row r="266">
      <c r="A266" s="87">
        <v>2760.0</v>
      </c>
      <c r="B266" s="82" t="s">
        <v>561</v>
      </c>
      <c r="C266" s="82" t="s">
        <v>534</v>
      </c>
      <c r="D266" s="110">
        <v>10000.0</v>
      </c>
      <c r="E266" s="110">
        <v>60.0</v>
      </c>
      <c r="F266" s="110">
        <v>27.0</v>
      </c>
      <c r="G266" s="110">
        <v>7797.1</v>
      </c>
      <c r="H266" s="85">
        <v>46185.0</v>
      </c>
      <c r="I266" s="85">
        <v>46212.0</v>
      </c>
      <c r="J266" s="82" t="s">
        <v>535</v>
      </c>
      <c r="K266" s="86">
        <v>1161798.0</v>
      </c>
      <c r="L266" s="110">
        <v>356338.11</v>
      </c>
      <c r="M266" s="80" t="s">
        <v>549</v>
      </c>
      <c r="N266" s="80"/>
      <c r="O266" s="80"/>
      <c r="P266" s="80"/>
      <c r="Q266" s="80"/>
      <c r="R266" s="80"/>
      <c r="S266" s="80"/>
      <c r="T266" s="80"/>
      <c r="U266" s="80"/>
      <c r="V266" s="80"/>
      <c r="W266" s="80"/>
      <c r="X266" s="80"/>
      <c r="Y266" s="80"/>
      <c r="Z266" s="80"/>
    </row>
    <row r="267">
      <c r="A267" s="87">
        <v>2761.0</v>
      </c>
      <c r="B267" s="82" t="s">
        <v>561</v>
      </c>
      <c r="C267" s="82" t="s">
        <v>534</v>
      </c>
      <c r="D267" s="110">
        <v>10000.0</v>
      </c>
      <c r="E267" s="110">
        <v>60.0</v>
      </c>
      <c r="F267" s="110">
        <v>9.0</v>
      </c>
      <c r="G267" s="110">
        <v>3461.8</v>
      </c>
      <c r="H267" s="85">
        <v>46203.0</v>
      </c>
      <c r="I267" s="85">
        <v>46212.0</v>
      </c>
      <c r="J267" s="82" t="s">
        <v>535</v>
      </c>
      <c r="K267" s="86">
        <v>1162047.0</v>
      </c>
      <c r="L267" s="110">
        <v>476163.88</v>
      </c>
      <c r="M267" s="80" t="s">
        <v>550</v>
      </c>
      <c r="N267" s="80"/>
      <c r="O267" s="80"/>
      <c r="P267" s="80"/>
      <c r="Q267" s="80"/>
      <c r="R267" s="80"/>
      <c r="S267" s="80"/>
      <c r="T267" s="80"/>
      <c r="U267" s="80"/>
      <c r="V267" s="80"/>
      <c r="W267" s="80"/>
      <c r="X267" s="80"/>
      <c r="Y267" s="80"/>
      <c r="Z267" s="80"/>
    </row>
    <row r="268">
      <c r="A268" s="87">
        <v>2779.0</v>
      </c>
      <c r="B268" s="82" t="s">
        <v>533</v>
      </c>
      <c r="C268" s="82" t="s">
        <v>536</v>
      </c>
      <c r="D268" s="110">
        <v>10000.0</v>
      </c>
      <c r="E268" s="110">
        <v>90.0</v>
      </c>
      <c r="F268" s="110">
        <v>62.0</v>
      </c>
      <c r="G268" s="110">
        <v>21170.2</v>
      </c>
      <c r="H268" s="85">
        <v>46150.0</v>
      </c>
      <c r="I268" s="85">
        <v>46212.0</v>
      </c>
      <c r="J268" s="82" t="s">
        <v>540</v>
      </c>
      <c r="K268" s="86">
        <v>1159021.0</v>
      </c>
      <c r="L268" s="110">
        <v>919682.64</v>
      </c>
      <c r="M268" s="80" t="s">
        <v>543</v>
      </c>
      <c r="N268" s="80"/>
      <c r="O268" s="80"/>
      <c r="P268" s="80"/>
      <c r="Q268" s="80"/>
      <c r="R268" s="80"/>
      <c r="S268" s="80"/>
      <c r="T268" s="80"/>
      <c r="U268" s="80"/>
      <c r="V268" s="80"/>
      <c r="W268" s="80"/>
      <c r="X268" s="80"/>
      <c r="Y268" s="80"/>
      <c r="Z268" s="80"/>
    </row>
    <row r="269">
      <c r="A269" s="87">
        <v>2832.0</v>
      </c>
      <c r="B269" s="82" t="s">
        <v>561</v>
      </c>
      <c r="C269" s="82" t="s">
        <v>534</v>
      </c>
      <c r="D269" s="110">
        <v>10000.0</v>
      </c>
      <c r="E269" s="110">
        <v>60.0</v>
      </c>
      <c r="F269" s="110">
        <v>3.0</v>
      </c>
      <c r="G269" s="110">
        <v>3.8</v>
      </c>
      <c r="H269" s="85">
        <v>46209.0</v>
      </c>
      <c r="I269" s="85">
        <v>46212.0</v>
      </c>
      <c r="J269" s="82" t="s">
        <v>535</v>
      </c>
      <c r="K269" s="86">
        <v>1162135.0</v>
      </c>
      <c r="L269" s="110">
        <v>377638.81</v>
      </c>
      <c r="M269" s="80" t="s">
        <v>549</v>
      </c>
      <c r="N269" s="80"/>
      <c r="O269" s="80"/>
      <c r="P269" s="80"/>
      <c r="Q269" s="80"/>
      <c r="R269" s="80"/>
      <c r="S269" s="80"/>
      <c r="T269" s="80"/>
      <c r="U269" s="80"/>
      <c r="V269" s="80"/>
      <c r="W269" s="80"/>
      <c r="X269" s="80"/>
      <c r="Y269" s="80"/>
      <c r="Z269" s="80"/>
    </row>
    <row r="270">
      <c r="A270" s="87">
        <v>2836.0</v>
      </c>
      <c r="B270" s="82" t="s">
        <v>533</v>
      </c>
      <c r="C270" s="82" t="s">
        <v>534</v>
      </c>
      <c r="D270" s="110">
        <v>10000.0</v>
      </c>
      <c r="E270" s="110">
        <v>60.0</v>
      </c>
      <c r="F270" s="110">
        <v>23.0</v>
      </c>
      <c r="G270" s="110">
        <v>6640.4</v>
      </c>
      <c r="H270" s="85">
        <v>46189.0</v>
      </c>
      <c r="I270" s="85">
        <v>46212.0</v>
      </c>
      <c r="J270" s="82" t="s">
        <v>535</v>
      </c>
      <c r="K270" s="86">
        <v>1161826.0</v>
      </c>
      <c r="L270" s="110">
        <v>898707.56</v>
      </c>
      <c r="M270" s="80" t="s">
        <v>549</v>
      </c>
      <c r="N270" s="80"/>
      <c r="O270" s="80"/>
      <c r="P270" s="80"/>
      <c r="Q270" s="80"/>
      <c r="R270" s="80"/>
      <c r="S270" s="80"/>
      <c r="T270" s="80"/>
      <c r="U270" s="80"/>
      <c r="V270" s="80"/>
      <c r="W270" s="80"/>
      <c r="X270" s="80"/>
      <c r="Y270" s="80"/>
      <c r="Z270" s="80"/>
    </row>
    <row r="271">
      <c r="A271" s="87">
        <v>2838.0</v>
      </c>
      <c r="B271" s="82" t="s">
        <v>533</v>
      </c>
      <c r="C271" s="82" t="s">
        <v>534</v>
      </c>
      <c r="D271" s="110">
        <v>10000.0</v>
      </c>
      <c r="E271" s="110">
        <v>60.0</v>
      </c>
      <c r="F271" s="110">
        <v>26.0</v>
      </c>
      <c r="G271" s="110">
        <v>5015.4</v>
      </c>
      <c r="H271" s="85">
        <v>46186.0</v>
      </c>
      <c r="I271" s="85">
        <v>46212.0</v>
      </c>
      <c r="J271" s="82" t="s">
        <v>535</v>
      </c>
      <c r="K271" s="86">
        <v>1161799.0</v>
      </c>
      <c r="L271" s="110">
        <v>842857.98</v>
      </c>
      <c r="M271" s="80" t="s">
        <v>585</v>
      </c>
      <c r="N271" s="80"/>
      <c r="O271" s="80"/>
      <c r="P271" s="80"/>
      <c r="Q271" s="80"/>
      <c r="R271" s="80"/>
      <c r="S271" s="80"/>
      <c r="T271" s="80"/>
      <c r="U271" s="80"/>
      <c r="V271" s="80"/>
      <c r="W271" s="80"/>
      <c r="X271" s="80"/>
      <c r="Y271" s="80"/>
      <c r="Z271" s="80"/>
    </row>
    <row r="272">
      <c r="A272" s="87">
        <v>2839.0</v>
      </c>
      <c r="B272" s="82" t="s">
        <v>533</v>
      </c>
      <c r="C272" s="82" t="s">
        <v>534</v>
      </c>
      <c r="D272" s="110">
        <v>10000.0</v>
      </c>
      <c r="E272" s="110">
        <v>60.0</v>
      </c>
      <c r="F272" s="110">
        <v>96.0</v>
      </c>
      <c r="G272" s="110">
        <v>33440.1</v>
      </c>
      <c r="H272" s="85">
        <v>46116.0</v>
      </c>
      <c r="I272" s="85">
        <v>46212.0</v>
      </c>
      <c r="J272" s="82" t="s">
        <v>540</v>
      </c>
      <c r="K272" s="86">
        <v>1155046.0</v>
      </c>
      <c r="L272" s="110">
        <v>864709.55</v>
      </c>
      <c r="M272" s="80" t="s">
        <v>542</v>
      </c>
      <c r="N272" s="80"/>
      <c r="O272" s="80"/>
      <c r="P272" s="80"/>
      <c r="Q272" s="80"/>
      <c r="R272" s="80"/>
      <c r="S272" s="80"/>
      <c r="T272" s="80"/>
      <c r="U272" s="80"/>
      <c r="V272" s="80"/>
      <c r="W272" s="80"/>
      <c r="X272" s="80"/>
      <c r="Y272" s="80"/>
      <c r="Z272" s="80"/>
    </row>
    <row r="273">
      <c r="A273" s="87">
        <v>2842.0</v>
      </c>
      <c r="B273" s="82" t="s">
        <v>581</v>
      </c>
      <c r="C273" s="82" t="s">
        <v>538</v>
      </c>
      <c r="D273" s="110">
        <v>5000.0</v>
      </c>
      <c r="E273" s="110">
        <v>90.0</v>
      </c>
      <c r="F273" s="110">
        <v>143.0</v>
      </c>
      <c r="G273" s="110">
        <v>13354.0</v>
      </c>
      <c r="H273" s="85">
        <v>46069.0</v>
      </c>
      <c r="I273" s="85">
        <v>46212.0</v>
      </c>
      <c r="J273" s="82" t="s">
        <v>540</v>
      </c>
      <c r="K273" s="86">
        <v>1149983.0</v>
      </c>
      <c r="L273" s="110">
        <v>55186.0</v>
      </c>
      <c r="M273" s="80" t="s">
        <v>554</v>
      </c>
      <c r="N273" s="80"/>
      <c r="O273" s="80"/>
      <c r="P273" s="80"/>
      <c r="Q273" s="80"/>
      <c r="R273" s="80"/>
      <c r="S273" s="80"/>
      <c r="T273" s="80"/>
      <c r="U273" s="80"/>
      <c r="V273" s="80"/>
      <c r="W273" s="80"/>
      <c r="X273" s="80"/>
      <c r="Y273" s="80"/>
      <c r="Z273" s="80"/>
    </row>
    <row r="274">
      <c r="A274" s="87">
        <v>2843.0</v>
      </c>
      <c r="B274" s="82" t="s">
        <v>581</v>
      </c>
      <c r="C274" s="82" t="s">
        <v>537</v>
      </c>
      <c r="D274" s="110">
        <v>5000.0</v>
      </c>
      <c r="E274" s="110">
        <v>90.0</v>
      </c>
      <c r="F274" s="110">
        <v>129.0</v>
      </c>
      <c r="G274" s="110">
        <v>6412.0</v>
      </c>
      <c r="H274" s="85">
        <v>46083.0</v>
      </c>
      <c r="I274" s="85">
        <v>46212.0</v>
      </c>
      <c r="J274" s="82" t="s">
        <v>540</v>
      </c>
      <c r="K274" s="86">
        <v>1151742.0</v>
      </c>
      <c r="L274" s="110">
        <v>36624.0</v>
      </c>
      <c r="M274" s="80" t="s">
        <v>554</v>
      </c>
      <c r="N274" s="80"/>
      <c r="O274" s="80"/>
      <c r="P274" s="80"/>
      <c r="Q274" s="80"/>
      <c r="R274" s="80"/>
      <c r="S274" s="80"/>
      <c r="T274" s="80"/>
      <c r="U274" s="80"/>
      <c r="V274" s="80"/>
      <c r="W274" s="80"/>
      <c r="X274" s="80"/>
      <c r="Y274" s="80"/>
      <c r="Z274" s="80"/>
    </row>
    <row r="275">
      <c r="A275" s="87">
        <v>2844.0</v>
      </c>
      <c r="B275" s="82" t="s">
        <v>581</v>
      </c>
      <c r="C275" s="82" t="s">
        <v>536</v>
      </c>
      <c r="D275" s="110">
        <v>5000.0</v>
      </c>
      <c r="E275" s="110">
        <v>90.0</v>
      </c>
      <c r="F275" s="110">
        <v>72.0</v>
      </c>
      <c r="G275" s="110">
        <v>1585.0</v>
      </c>
      <c r="H275" s="85">
        <v>46140.0</v>
      </c>
      <c r="I275" s="85">
        <v>46212.0</v>
      </c>
      <c r="J275" s="82" t="s">
        <v>535</v>
      </c>
      <c r="K275" s="86">
        <v>1157659.0</v>
      </c>
      <c r="L275" s="110">
        <v>28678.0</v>
      </c>
      <c r="M275" s="80" t="s">
        <v>554</v>
      </c>
      <c r="N275" s="80"/>
      <c r="O275" s="80"/>
      <c r="P275" s="80"/>
      <c r="Q275" s="80"/>
      <c r="R275" s="80"/>
      <c r="S275" s="80"/>
      <c r="T275" s="80"/>
      <c r="U275" s="80"/>
      <c r="V275" s="80"/>
      <c r="W275" s="80"/>
      <c r="X275" s="80"/>
      <c r="Y275" s="80"/>
      <c r="Z275" s="80"/>
    </row>
    <row r="276">
      <c r="A276" s="87">
        <v>2845.0</v>
      </c>
      <c r="B276" s="82" t="s">
        <v>581</v>
      </c>
      <c r="C276" s="82" t="s">
        <v>536</v>
      </c>
      <c r="D276" s="110">
        <v>5000.0</v>
      </c>
      <c r="E276" s="110">
        <v>90.0</v>
      </c>
      <c r="F276" s="110">
        <v>126.0</v>
      </c>
      <c r="G276" s="110">
        <v>3595.0</v>
      </c>
      <c r="H276" s="85">
        <v>46086.0</v>
      </c>
      <c r="I276" s="85">
        <v>46212.0</v>
      </c>
      <c r="J276" s="82" t="s">
        <v>540</v>
      </c>
      <c r="K276" s="86">
        <v>1152101.0</v>
      </c>
      <c r="L276" s="110">
        <v>19364.0</v>
      </c>
      <c r="M276" s="80" t="s">
        <v>554</v>
      </c>
      <c r="N276" s="80"/>
      <c r="O276" s="80"/>
      <c r="P276" s="80"/>
      <c r="Q276" s="80"/>
      <c r="R276" s="80"/>
      <c r="S276" s="80"/>
      <c r="T276" s="80"/>
      <c r="U276" s="80"/>
      <c r="V276" s="80"/>
      <c r="W276" s="80"/>
      <c r="X276" s="80"/>
      <c r="Y276" s="80"/>
      <c r="Z276" s="80"/>
    </row>
    <row r="277">
      <c r="A277" s="87">
        <v>2846.0</v>
      </c>
      <c r="B277" s="82" t="s">
        <v>581</v>
      </c>
      <c r="C277" s="82" t="s">
        <v>576</v>
      </c>
      <c r="D277" s="110">
        <v>5000.0</v>
      </c>
      <c r="E277" s="110">
        <v>90.0</v>
      </c>
      <c r="F277" s="110">
        <v>120.0</v>
      </c>
      <c r="G277" s="110">
        <v>10148.0</v>
      </c>
      <c r="H277" s="85">
        <v>46092.0</v>
      </c>
      <c r="I277" s="85">
        <v>46212.0</v>
      </c>
      <c r="J277" s="82" t="s">
        <v>540</v>
      </c>
      <c r="K277" s="86">
        <v>1152903.0</v>
      </c>
      <c r="L277" s="110">
        <v>55652.0</v>
      </c>
      <c r="M277" s="80" t="s">
        <v>576</v>
      </c>
      <c r="N277" s="80"/>
      <c r="O277" s="80"/>
      <c r="P277" s="80"/>
      <c r="Q277" s="80"/>
      <c r="R277" s="80"/>
      <c r="S277" s="80"/>
      <c r="T277" s="80"/>
      <c r="U277" s="80"/>
      <c r="V277" s="80"/>
      <c r="W277" s="80"/>
      <c r="X277" s="80"/>
      <c r="Y277" s="80"/>
      <c r="Z277" s="80"/>
    </row>
    <row r="278">
      <c r="A278" s="87">
        <v>2847.0</v>
      </c>
      <c r="B278" s="82" t="s">
        <v>581</v>
      </c>
      <c r="C278" s="82" t="s">
        <v>537</v>
      </c>
      <c r="D278" s="110">
        <v>5000.0</v>
      </c>
      <c r="E278" s="110">
        <v>90.0</v>
      </c>
      <c r="F278" s="110">
        <v>70.0</v>
      </c>
      <c r="G278" s="110">
        <v>4794.0</v>
      </c>
      <c r="H278" s="85">
        <v>46142.0</v>
      </c>
      <c r="I278" s="85">
        <v>46212.0</v>
      </c>
      <c r="J278" s="82" t="s">
        <v>535</v>
      </c>
      <c r="K278" s="86">
        <v>1158023.0</v>
      </c>
      <c r="L278" s="110">
        <v>42462.0</v>
      </c>
      <c r="M278" s="80" t="s">
        <v>554</v>
      </c>
      <c r="N278" s="80"/>
      <c r="O278" s="80"/>
      <c r="P278" s="80"/>
      <c r="Q278" s="80"/>
      <c r="R278" s="80"/>
      <c r="S278" s="80"/>
      <c r="T278" s="80"/>
      <c r="U278" s="80"/>
      <c r="V278" s="80"/>
      <c r="W278" s="80"/>
      <c r="X278" s="80"/>
      <c r="Y278" s="80"/>
      <c r="Z278" s="80"/>
    </row>
    <row r="279">
      <c r="A279" s="87">
        <v>2848.0</v>
      </c>
      <c r="B279" s="82" t="s">
        <v>581</v>
      </c>
      <c r="C279" s="82" t="s">
        <v>536</v>
      </c>
      <c r="D279" s="110">
        <v>5000.0</v>
      </c>
      <c r="E279" s="110">
        <v>90.0</v>
      </c>
      <c r="F279" s="110">
        <v>104.0</v>
      </c>
      <c r="G279" s="110">
        <v>4813.0</v>
      </c>
      <c r="H279" s="85">
        <v>46108.0</v>
      </c>
      <c r="I279" s="85">
        <v>46212.0</v>
      </c>
      <c r="J279" s="82" t="s">
        <v>540</v>
      </c>
      <c r="K279" s="86">
        <v>1154465.0</v>
      </c>
      <c r="L279" s="110">
        <v>41121.0</v>
      </c>
      <c r="M279" s="80" t="s">
        <v>554</v>
      </c>
      <c r="N279" s="80"/>
      <c r="O279" s="80"/>
      <c r="P279" s="80"/>
      <c r="Q279" s="80"/>
      <c r="R279" s="80"/>
      <c r="S279" s="80"/>
      <c r="T279" s="80"/>
      <c r="U279" s="80"/>
      <c r="V279" s="80"/>
      <c r="W279" s="80"/>
      <c r="X279" s="80"/>
      <c r="Y279" s="80"/>
      <c r="Z279" s="80"/>
    </row>
    <row r="280">
      <c r="A280" s="87">
        <v>2849.0</v>
      </c>
      <c r="B280" s="82" t="s">
        <v>581</v>
      </c>
      <c r="C280" s="82" t="s">
        <v>538</v>
      </c>
      <c r="D280" s="110">
        <v>5000.0</v>
      </c>
      <c r="E280" s="110">
        <v>90.0</v>
      </c>
      <c r="F280" s="110">
        <v>64.0</v>
      </c>
      <c r="G280" s="110">
        <v>2245.0</v>
      </c>
      <c r="H280" s="85">
        <v>46148.0</v>
      </c>
      <c r="I280" s="85">
        <v>46212.0</v>
      </c>
      <c r="J280" s="82" t="s">
        <v>535</v>
      </c>
      <c r="K280" s="86">
        <v>1158729.0</v>
      </c>
      <c r="L280" s="110">
        <v>39324.0</v>
      </c>
      <c r="M280" s="80" t="s">
        <v>554</v>
      </c>
      <c r="N280" s="80"/>
      <c r="O280" s="80"/>
      <c r="P280" s="80"/>
      <c r="Q280" s="80"/>
      <c r="R280" s="80"/>
      <c r="S280" s="80"/>
      <c r="T280" s="80"/>
      <c r="U280" s="80"/>
      <c r="V280" s="80"/>
      <c r="W280" s="80"/>
      <c r="X280" s="80"/>
      <c r="Y280" s="80"/>
      <c r="Z280" s="80"/>
    </row>
    <row r="281">
      <c r="A281" s="87">
        <v>2850.0</v>
      </c>
      <c r="B281" s="82" t="s">
        <v>581</v>
      </c>
      <c r="C281" s="82" t="s">
        <v>536</v>
      </c>
      <c r="D281" s="110">
        <v>5000.0</v>
      </c>
      <c r="E281" s="110">
        <v>90.0</v>
      </c>
      <c r="F281" s="110">
        <v>93.0</v>
      </c>
      <c r="G281" s="110">
        <v>4981.0</v>
      </c>
      <c r="H281" s="85">
        <v>46119.0</v>
      </c>
      <c r="I281" s="85">
        <v>46212.0</v>
      </c>
      <c r="J281" s="82" t="s">
        <v>540</v>
      </c>
      <c r="K281" s="86">
        <v>1155300.0</v>
      </c>
      <c r="L281" s="110">
        <v>34796.0</v>
      </c>
      <c r="M281" s="80" t="s">
        <v>554</v>
      </c>
      <c r="N281" s="80"/>
      <c r="O281" s="80"/>
      <c r="P281" s="80"/>
      <c r="Q281" s="80"/>
      <c r="R281" s="80"/>
      <c r="S281" s="80"/>
      <c r="T281" s="80"/>
      <c r="U281" s="80"/>
      <c r="V281" s="80"/>
      <c r="W281" s="80"/>
      <c r="X281" s="80"/>
      <c r="Y281" s="80"/>
      <c r="Z281" s="80"/>
    </row>
    <row r="282">
      <c r="A282" s="87">
        <v>2851.0</v>
      </c>
      <c r="B282" s="82" t="s">
        <v>581</v>
      </c>
      <c r="C282" s="82" t="s">
        <v>536</v>
      </c>
      <c r="D282" s="110">
        <v>5000.0</v>
      </c>
      <c r="E282" s="110">
        <v>90.0</v>
      </c>
      <c r="F282" s="110">
        <v>106.0</v>
      </c>
      <c r="G282" s="110">
        <v>3175.0</v>
      </c>
      <c r="H282" s="85">
        <v>46106.0</v>
      </c>
      <c r="I282" s="85">
        <v>46212.0</v>
      </c>
      <c r="J282" s="82" t="s">
        <v>540</v>
      </c>
      <c r="K282" s="86">
        <v>1154324.0</v>
      </c>
      <c r="L282" s="110">
        <v>45070.0</v>
      </c>
      <c r="M282" s="80" t="s">
        <v>554</v>
      </c>
      <c r="N282" s="80"/>
      <c r="O282" s="80"/>
      <c r="P282" s="80"/>
      <c r="Q282" s="80"/>
      <c r="R282" s="80"/>
      <c r="S282" s="80"/>
      <c r="T282" s="80"/>
      <c r="U282" s="80"/>
      <c r="V282" s="80"/>
      <c r="W282" s="80"/>
      <c r="X282" s="80"/>
      <c r="Y282" s="80"/>
      <c r="Z282" s="80"/>
    </row>
    <row r="283">
      <c r="A283" s="87">
        <v>2852.0</v>
      </c>
      <c r="B283" s="82" t="s">
        <v>581</v>
      </c>
      <c r="C283" s="82" t="s">
        <v>538</v>
      </c>
      <c r="D283" s="110">
        <v>5000.0</v>
      </c>
      <c r="E283" s="110">
        <v>90.0</v>
      </c>
      <c r="F283" s="110">
        <v>45.0</v>
      </c>
      <c r="G283" s="110">
        <v>4152.0</v>
      </c>
      <c r="H283" s="85">
        <v>46167.0</v>
      </c>
      <c r="I283" s="85">
        <v>46212.0</v>
      </c>
      <c r="J283" s="82" t="s">
        <v>535</v>
      </c>
      <c r="K283" s="86">
        <v>1161242.0</v>
      </c>
      <c r="L283" s="110">
        <v>62422.0</v>
      </c>
      <c r="M283" s="80" t="s">
        <v>554</v>
      </c>
      <c r="N283" s="80"/>
      <c r="O283" s="80"/>
      <c r="P283" s="80"/>
      <c r="Q283" s="80"/>
      <c r="R283" s="80"/>
      <c r="S283" s="80"/>
      <c r="T283" s="80"/>
      <c r="U283" s="80"/>
      <c r="V283" s="80"/>
      <c r="W283" s="80"/>
      <c r="X283" s="80"/>
      <c r="Y283" s="80"/>
      <c r="Z283" s="80"/>
    </row>
    <row r="284">
      <c r="A284" s="87">
        <v>2853.0</v>
      </c>
      <c r="B284" s="82" t="s">
        <v>581</v>
      </c>
      <c r="C284" s="82" t="s">
        <v>536</v>
      </c>
      <c r="D284" s="110">
        <v>5000.0</v>
      </c>
      <c r="E284" s="110">
        <v>90.0</v>
      </c>
      <c r="F284" s="110">
        <v>104.0</v>
      </c>
      <c r="G284" s="110">
        <v>6352.0</v>
      </c>
      <c r="H284" s="85">
        <v>46108.0</v>
      </c>
      <c r="I284" s="85">
        <v>46212.0</v>
      </c>
      <c r="J284" s="82" t="s">
        <v>540</v>
      </c>
      <c r="K284" s="86">
        <v>1154488.0</v>
      </c>
      <c r="L284" s="110">
        <v>35655.0</v>
      </c>
      <c r="M284" s="80" t="s">
        <v>554</v>
      </c>
      <c r="N284" s="80"/>
      <c r="O284" s="80"/>
      <c r="P284" s="80"/>
      <c r="Q284" s="80"/>
      <c r="R284" s="80"/>
      <c r="S284" s="80"/>
      <c r="T284" s="80"/>
      <c r="U284" s="80"/>
      <c r="V284" s="80"/>
      <c r="W284" s="80"/>
      <c r="X284" s="80"/>
      <c r="Y284" s="80"/>
      <c r="Z284" s="80"/>
    </row>
    <row r="285">
      <c r="A285" s="87">
        <v>2854.0</v>
      </c>
      <c r="B285" s="82" t="s">
        <v>581</v>
      </c>
      <c r="C285" s="82" t="s">
        <v>536</v>
      </c>
      <c r="D285" s="110">
        <v>5000.0</v>
      </c>
      <c r="E285" s="110">
        <v>90.0</v>
      </c>
      <c r="F285" s="110">
        <v>106.0</v>
      </c>
      <c r="G285" s="110">
        <v>2411.0</v>
      </c>
      <c r="H285" s="85">
        <v>46106.0</v>
      </c>
      <c r="I285" s="85">
        <v>46212.0</v>
      </c>
      <c r="J285" s="82" t="s">
        <v>540</v>
      </c>
      <c r="K285" s="86">
        <v>1154323.0</v>
      </c>
      <c r="L285" s="110">
        <v>16202.0</v>
      </c>
      <c r="M285" s="80" t="s">
        <v>554</v>
      </c>
      <c r="N285" s="80"/>
      <c r="O285" s="80"/>
      <c r="P285" s="80"/>
      <c r="Q285" s="80"/>
      <c r="R285" s="80"/>
      <c r="S285" s="80"/>
      <c r="T285" s="80"/>
      <c r="U285" s="80"/>
      <c r="V285" s="80"/>
      <c r="W285" s="80"/>
      <c r="X285" s="80"/>
      <c r="Y285" s="80"/>
      <c r="Z285" s="80"/>
    </row>
    <row r="286">
      <c r="A286" s="87">
        <v>2855.0</v>
      </c>
      <c r="B286" s="82" t="s">
        <v>581</v>
      </c>
      <c r="C286" s="82" t="s">
        <v>536</v>
      </c>
      <c r="D286" s="110">
        <v>5000.0</v>
      </c>
      <c r="E286" s="110">
        <v>90.0</v>
      </c>
      <c r="F286" s="110">
        <v>45.0</v>
      </c>
      <c r="G286" s="110">
        <v>1319.0</v>
      </c>
      <c r="H286" s="85">
        <v>46167.0</v>
      </c>
      <c r="I286" s="85">
        <v>46212.0</v>
      </c>
      <c r="J286" s="82" t="s">
        <v>535</v>
      </c>
      <c r="K286" s="86">
        <v>1161129.0</v>
      </c>
      <c r="L286" s="110">
        <v>20373.0</v>
      </c>
      <c r="M286" s="80" t="s">
        <v>554</v>
      </c>
      <c r="N286" s="80"/>
      <c r="O286" s="80"/>
      <c r="P286" s="80"/>
      <c r="Q286" s="80"/>
      <c r="R286" s="80"/>
      <c r="S286" s="80"/>
      <c r="T286" s="80"/>
      <c r="U286" s="80"/>
      <c r="V286" s="80"/>
      <c r="W286" s="80"/>
      <c r="X286" s="80"/>
      <c r="Y286" s="80"/>
      <c r="Z286" s="80"/>
    </row>
    <row r="287">
      <c r="A287" s="87">
        <v>2856.0</v>
      </c>
      <c r="B287" s="82" t="s">
        <v>581</v>
      </c>
      <c r="C287" s="82" t="s">
        <v>536</v>
      </c>
      <c r="D287" s="110">
        <v>5000.0</v>
      </c>
      <c r="E287" s="110">
        <v>90.0</v>
      </c>
      <c r="F287" s="110">
        <v>86.0</v>
      </c>
      <c r="G287" s="110">
        <v>2760.0</v>
      </c>
      <c r="H287" s="85">
        <v>46126.0</v>
      </c>
      <c r="I287" s="85">
        <v>46212.0</v>
      </c>
      <c r="J287" s="82" t="s">
        <v>535</v>
      </c>
      <c r="K287" s="86">
        <v>1156045.0</v>
      </c>
      <c r="L287" s="110">
        <v>20404.0</v>
      </c>
      <c r="M287" s="80" t="s">
        <v>554</v>
      </c>
      <c r="N287" s="80"/>
      <c r="O287" s="80"/>
      <c r="P287" s="80"/>
      <c r="Q287" s="80"/>
      <c r="R287" s="80"/>
      <c r="S287" s="80"/>
      <c r="T287" s="80"/>
      <c r="U287" s="80"/>
      <c r="V287" s="80"/>
      <c r="W287" s="80"/>
      <c r="X287" s="80"/>
      <c r="Y287" s="80"/>
      <c r="Z287" s="80"/>
    </row>
    <row r="288">
      <c r="A288" s="87">
        <v>2857.0</v>
      </c>
      <c r="B288" s="82" t="s">
        <v>581</v>
      </c>
      <c r="C288" s="82" t="s">
        <v>538</v>
      </c>
      <c r="D288" s="110">
        <v>5000.0</v>
      </c>
      <c r="E288" s="110">
        <v>90.0</v>
      </c>
      <c r="F288" s="110">
        <v>140.0</v>
      </c>
      <c r="G288" s="110">
        <v>6197.0</v>
      </c>
      <c r="H288" s="85">
        <v>46072.0</v>
      </c>
      <c r="I288" s="85">
        <v>46212.0</v>
      </c>
      <c r="J288" s="82" t="s">
        <v>540</v>
      </c>
      <c r="K288" s="86">
        <v>1150479.0</v>
      </c>
      <c r="L288" s="110">
        <v>31729.0</v>
      </c>
      <c r="M288" s="80" t="s">
        <v>554</v>
      </c>
      <c r="N288" s="80"/>
      <c r="O288" s="80"/>
      <c r="P288" s="80"/>
      <c r="Q288" s="80"/>
      <c r="R288" s="80"/>
      <c r="S288" s="80"/>
      <c r="T288" s="80"/>
      <c r="U288" s="80"/>
      <c r="V288" s="80"/>
      <c r="W288" s="80"/>
      <c r="X288" s="80"/>
      <c r="Y288" s="80"/>
      <c r="Z288" s="80"/>
    </row>
    <row r="289">
      <c r="A289" s="87">
        <v>2858.0</v>
      </c>
      <c r="B289" s="82" t="s">
        <v>581</v>
      </c>
      <c r="C289" s="82" t="s">
        <v>536</v>
      </c>
      <c r="D289" s="110">
        <v>5000.0</v>
      </c>
      <c r="E289" s="110">
        <v>90.0</v>
      </c>
      <c r="F289" s="110">
        <v>51.0</v>
      </c>
      <c r="G289" s="110">
        <v>2025.0</v>
      </c>
      <c r="H289" s="85">
        <v>46161.0</v>
      </c>
      <c r="I289" s="85">
        <v>46212.0</v>
      </c>
      <c r="J289" s="82" t="s">
        <v>535</v>
      </c>
      <c r="K289" s="86">
        <v>1160357.0</v>
      </c>
      <c r="L289" s="110">
        <v>25748.0</v>
      </c>
      <c r="M289" s="80" t="s">
        <v>554</v>
      </c>
      <c r="N289" s="80"/>
      <c r="O289" s="80"/>
      <c r="P289" s="80"/>
      <c r="Q289" s="80"/>
      <c r="R289" s="80"/>
      <c r="S289" s="80"/>
      <c r="T289" s="80"/>
      <c r="U289" s="80"/>
      <c r="V289" s="80"/>
      <c r="W289" s="80"/>
      <c r="X289" s="80"/>
      <c r="Y289" s="80"/>
      <c r="Z289" s="80"/>
    </row>
    <row r="290">
      <c r="A290" s="87">
        <v>2859.0</v>
      </c>
      <c r="B290" s="82" t="s">
        <v>586</v>
      </c>
      <c r="C290" s="82" t="s">
        <v>536</v>
      </c>
      <c r="D290" s="110">
        <v>5000.0</v>
      </c>
      <c r="E290" s="110">
        <v>90.0</v>
      </c>
      <c r="F290" s="110">
        <v>94.0</v>
      </c>
      <c r="G290" s="110">
        <v>3170.0</v>
      </c>
      <c r="H290" s="85">
        <v>46118.0</v>
      </c>
      <c r="I290" s="85">
        <v>46212.0</v>
      </c>
      <c r="J290" s="82" t="s">
        <v>540</v>
      </c>
      <c r="K290" s="86">
        <v>1155245.0</v>
      </c>
      <c r="L290" s="110">
        <v>20583.0</v>
      </c>
      <c r="M290" s="80" t="s">
        <v>554</v>
      </c>
      <c r="N290" s="80"/>
      <c r="O290" s="80"/>
      <c r="P290" s="80"/>
      <c r="Q290" s="80"/>
      <c r="R290" s="80"/>
      <c r="S290" s="80"/>
      <c r="T290" s="80"/>
      <c r="U290" s="80"/>
      <c r="V290" s="80"/>
      <c r="W290" s="80"/>
      <c r="X290" s="80"/>
      <c r="Y290" s="80"/>
      <c r="Z290" s="80"/>
    </row>
    <row r="291">
      <c r="A291" s="87">
        <v>2860.0</v>
      </c>
      <c r="B291" s="82" t="s">
        <v>586</v>
      </c>
      <c r="C291" s="82" t="s">
        <v>536</v>
      </c>
      <c r="D291" s="110">
        <v>5000.0</v>
      </c>
      <c r="E291" s="110">
        <v>90.0</v>
      </c>
      <c r="F291" s="110">
        <v>55.0</v>
      </c>
      <c r="G291" s="110">
        <v>2254.0</v>
      </c>
      <c r="H291" s="85">
        <v>46157.0</v>
      </c>
      <c r="I291" s="85">
        <v>46212.0</v>
      </c>
      <c r="J291" s="82" t="s">
        <v>535</v>
      </c>
      <c r="K291" s="86">
        <v>1159995.0</v>
      </c>
      <c r="L291" s="110">
        <v>31545.0</v>
      </c>
      <c r="M291" s="80" t="s">
        <v>554</v>
      </c>
      <c r="N291" s="80"/>
      <c r="O291" s="80"/>
      <c r="P291" s="80"/>
      <c r="Q291" s="80"/>
      <c r="R291" s="80"/>
      <c r="S291" s="80"/>
      <c r="T291" s="80"/>
      <c r="U291" s="80"/>
      <c r="V291" s="80"/>
      <c r="W291" s="80"/>
      <c r="X291" s="80"/>
      <c r="Y291" s="80"/>
      <c r="Z291" s="80"/>
    </row>
    <row r="292">
      <c r="A292" s="87">
        <v>2861.0</v>
      </c>
      <c r="B292" s="82" t="s">
        <v>586</v>
      </c>
      <c r="C292" s="82" t="s">
        <v>536</v>
      </c>
      <c r="D292" s="110">
        <v>5000.0</v>
      </c>
      <c r="E292" s="110">
        <v>90.0</v>
      </c>
      <c r="F292" s="110">
        <v>36.0</v>
      </c>
      <c r="G292" s="110">
        <v>1149.0</v>
      </c>
      <c r="H292" s="85">
        <v>46176.0</v>
      </c>
      <c r="I292" s="85">
        <v>46212.0</v>
      </c>
      <c r="J292" s="82" t="s">
        <v>535</v>
      </c>
      <c r="K292" s="86">
        <v>1161577.0</v>
      </c>
      <c r="L292" s="110">
        <v>22904.0</v>
      </c>
      <c r="M292" s="80" t="s">
        <v>554</v>
      </c>
      <c r="N292" s="80"/>
      <c r="O292" s="80"/>
      <c r="P292" s="80"/>
      <c r="Q292" s="80"/>
      <c r="R292" s="80"/>
      <c r="S292" s="80"/>
      <c r="T292" s="80"/>
      <c r="U292" s="80"/>
      <c r="V292" s="80"/>
      <c r="W292" s="80"/>
      <c r="X292" s="80"/>
      <c r="Y292" s="80"/>
      <c r="Z292" s="80"/>
    </row>
    <row r="293">
      <c r="A293" s="87">
        <v>2862.0</v>
      </c>
      <c r="B293" s="82" t="s">
        <v>586</v>
      </c>
      <c r="C293" s="82" t="s">
        <v>536</v>
      </c>
      <c r="D293" s="110">
        <v>5000.0</v>
      </c>
      <c r="E293" s="110">
        <v>90.0</v>
      </c>
      <c r="F293" s="110">
        <v>104.0</v>
      </c>
      <c r="G293" s="110">
        <v>4934.0</v>
      </c>
      <c r="H293" s="85">
        <v>46108.0</v>
      </c>
      <c r="I293" s="85">
        <v>46212.0</v>
      </c>
      <c r="J293" s="82" t="s">
        <v>540</v>
      </c>
      <c r="K293" s="86">
        <v>1154463.0</v>
      </c>
      <c r="L293" s="110">
        <v>32737.0</v>
      </c>
      <c r="M293" s="80" t="s">
        <v>554</v>
      </c>
      <c r="N293" s="80"/>
      <c r="O293" s="80"/>
      <c r="P293" s="80"/>
      <c r="Q293" s="80"/>
      <c r="R293" s="80"/>
      <c r="S293" s="80"/>
      <c r="T293" s="80"/>
      <c r="U293" s="80"/>
      <c r="V293" s="80"/>
      <c r="W293" s="80"/>
      <c r="X293" s="80"/>
      <c r="Y293" s="80"/>
      <c r="Z293" s="80"/>
    </row>
    <row r="294">
      <c r="A294" s="87">
        <v>2866.0</v>
      </c>
      <c r="B294" s="82" t="s">
        <v>586</v>
      </c>
      <c r="C294" s="82" t="s">
        <v>536</v>
      </c>
      <c r="D294" s="110">
        <v>5000.0</v>
      </c>
      <c r="E294" s="110">
        <v>90.0</v>
      </c>
      <c r="F294" s="110">
        <v>40.0</v>
      </c>
      <c r="G294" s="110">
        <v>1180.0</v>
      </c>
      <c r="H294" s="85">
        <v>46172.0</v>
      </c>
      <c r="I294" s="85">
        <v>46212.0</v>
      </c>
      <c r="J294" s="82" t="s">
        <v>535</v>
      </c>
      <c r="K294" s="86">
        <v>1161498.0</v>
      </c>
      <c r="L294" s="110">
        <v>26694.0</v>
      </c>
      <c r="M294" s="80" t="s">
        <v>554</v>
      </c>
      <c r="N294" s="80"/>
      <c r="O294" s="80"/>
      <c r="P294" s="80"/>
      <c r="Q294" s="80"/>
      <c r="R294" s="80"/>
      <c r="S294" s="80"/>
      <c r="T294" s="80"/>
      <c r="U294" s="80"/>
      <c r="V294" s="80"/>
      <c r="W294" s="80"/>
      <c r="X294" s="80"/>
      <c r="Y294" s="80"/>
      <c r="Z294" s="80"/>
    </row>
    <row r="295">
      <c r="A295" s="87">
        <v>2867.0</v>
      </c>
      <c r="B295" s="82" t="s">
        <v>586</v>
      </c>
      <c r="C295" s="82" t="s">
        <v>536</v>
      </c>
      <c r="D295" s="110">
        <v>5000.0</v>
      </c>
      <c r="E295" s="110">
        <v>90.0</v>
      </c>
      <c r="F295" s="110">
        <v>36.0</v>
      </c>
      <c r="G295" s="110">
        <v>1743.0</v>
      </c>
      <c r="H295" s="85">
        <v>46176.0</v>
      </c>
      <c r="I295" s="85">
        <v>46212.0</v>
      </c>
      <c r="J295" s="82" t="s">
        <v>535</v>
      </c>
      <c r="K295" s="86">
        <v>1161580.0</v>
      </c>
      <c r="L295" s="110">
        <v>28557.0</v>
      </c>
      <c r="M295" s="80" t="s">
        <v>554</v>
      </c>
      <c r="N295" s="80"/>
      <c r="O295" s="80"/>
      <c r="P295" s="80"/>
      <c r="Q295" s="80"/>
      <c r="R295" s="80"/>
      <c r="S295" s="80"/>
      <c r="T295" s="80"/>
      <c r="U295" s="80"/>
      <c r="V295" s="80"/>
      <c r="W295" s="80"/>
      <c r="X295" s="80"/>
      <c r="Y295" s="80"/>
      <c r="Z295" s="80"/>
    </row>
    <row r="296">
      <c r="A296" s="87">
        <v>2875.0</v>
      </c>
      <c r="B296" s="82" t="s">
        <v>579</v>
      </c>
      <c r="C296" s="82" t="s">
        <v>536</v>
      </c>
      <c r="D296" s="110">
        <v>5000.0</v>
      </c>
      <c r="E296" s="110">
        <v>90.0</v>
      </c>
      <c r="F296" s="110">
        <v>45.0</v>
      </c>
      <c r="G296" s="110">
        <v>851.0</v>
      </c>
      <c r="H296" s="85">
        <v>46167.0</v>
      </c>
      <c r="I296" s="85">
        <v>46212.0</v>
      </c>
      <c r="J296" s="82" t="s">
        <v>535</v>
      </c>
      <c r="K296" s="86">
        <v>1161123.0</v>
      </c>
      <c r="L296" s="110">
        <v>85141.0</v>
      </c>
      <c r="M296" s="80" t="s">
        <v>536</v>
      </c>
      <c r="N296" s="80"/>
      <c r="O296" s="80"/>
      <c r="P296" s="80"/>
      <c r="Q296" s="80"/>
      <c r="R296" s="80"/>
      <c r="S296" s="80"/>
      <c r="T296" s="80"/>
      <c r="U296" s="80"/>
      <c r="V296" s="80"/>
      <c r="W296" s="80"/>
      <c r="X296" s="80"/>
      <c r="Y296" s="80"/>
      <c r="Z296" s="80"/>
    </row>
    <row r="297">
      <c r="A297" s="87">
        <v>2876.0</v>
      </c>
      <c r="B297" s="82" t="s">
        <v>579</v>
      </c>
      <c r="C297" s="82" t="s">
        <v>536</v>
      </c>
      <c r="D297" s="110">
        <v>5000.0</v>
      </c>
      <c r="E297" s="110">
        <v>90.0</v>
      </c>
      <c r="F297" s="110">
        <v>49.0</v>
      </c>
      <c r="G297" s="110">
        <v>5678.0</v>
      </c>
      <c r="H297" s="85">
        <v>46163.0</v>
      </c>
      <c r="I297" s="85">
        <v>46212.0</v>
      </c>
      <c r="J297" s="82" t="s">
        <v>540</v>
      </c>
      <c r="K297" s="86">
        <v>1160751.0</v>
      </c>
      <c r="L297" s="110">
        <v>95362.0</v>
      </c>
      <c r="M297" s="80" t="s">
        <v>536</v>
      </c>
      <c r="N297" s="80"/>
      <c r="O297" s="80"/>
      <c r="P297" s="80"/>
      <c r="Q297" s="80"/>
      <c r="R297" s="80"/>
      <c r="S297" s="80"/>
      <c r="T297" s="80"/>
      <c r="U297" s="80"/>
      <c r="V297" s="80"/>
      <c r="W297" s="80"/>
      <c r="X297" s="80"/>
      <c r="Y297" s="80"/>
      <c r="Z297" s="80"/>
    </row>
    <row r="298">
      <c r="A298" s="87">
        <v>2877.0</v>
      </c>
      <c r="B298" s="82" t="s">
        <v>579</v>
      </c>
      <c r="C298" s="82" t="s">
        <v>536</v>
      </c>
      <c r="D298" s="110">
        <v>5000.0</v>
      </c>
      <c r="E298" s="110">
        <v>90.0</v>
      </c>
      <c r="F298" s="110">
        <v>65.0</v>
      </c>
      <c r="G298" s="110">
        <v>9714.0</v>
      </c>
      <c r="H298" s="85">
        <v>46147.0</v>
      </c>
      <c r="I298" s="85">
        <v>46212.0</v>
      </c>
      <c r="J298" s="82" t="s">
        <v>540</v>
      </c>
      <c r="K298" s="86">
        <v>1158474.0</v>
      </c>
      <c r="L298" s="110">
        <v>64507.0</v>
      </c>
      <c r="M298" s="80" t="s">
        <v>554</v>
      </c>
      <c r="N298" s="80"/>
      <c r="O298" s="80"/>
      <c r="P298" s="80"/>
      <c r="Q298" s="80"/>
      <c r="R298" s="80"/>
      <c r="S298" s="80"/>
      <c r="T298" s="80"/>
      <c r="U298" s="80"/>
      <c r="V298" s="80"/>
      <c r="W298" s="80"/>
      <c r="X298" s="80"/>
      <c r="Y298" s="80"/>
      <c r="Z298" s="80"/>
    </row>
    <row r="299">
      <c r="A299" s="87">
        <v>2878.0</v>
      </c>
      <c r="B299" s="82" t="s">
        <v>579</v>
      </c>
      <c r="C299" s="82" t="s">
        <v>536</v>
      </c>
      <c r="D299" s="110">
        <v>5000.0</v>
      </c>
      <c r="E299" s="110">
        <v>90.0</v>
      </c>
      <c r="F299" s="110">
        <v>62.0</v>
      </c>
      <c r="G299" s="110">
        <v>2459.0</v>
      </c>
      <c r="H299" s="85">
        <v>46150.0</v>
      </c>
      <c r="I299" s="85">
        <v>46212.0</v>
      </c>
      <c r="J299" s="82" t="s">
        <v>535</v>
      </c>
      <c r="K299" s="86">
        <v>1159004.0</v>
      </c>
      <c r="L299" s="110">
        <v>81713.0</v>
      </c>
      <c r="M299" s="80" t="s">
        <v>570</v>
      </c>
      <c r="N299" s="80"/>
      <c r="O299" s="80"/>
      <c r="P299" s="80"/>
      <c r="Q299" s="80"/>
      <c r="R299" s="80"/>
      <c r="S299" s="80"/>
      <c r="T299" s="80"/>
      <c r="U299" s="80"/>
      <c r="V299" s="80"/>
      <c r="W299" s="80"/>
      <c r="X299" s="80"/>
      <c r="Y299" s="80"/>
      <c r="Z299" s="80"/>
    </row>
    <row r="300">
      <c r="A300" s="87">
        <v>2879.0</v>
      </c>
      <c r="B300" s="82" t="s">
        <v>579</v>
      </c>
      <c r="C300" s="82" t="s">
        <v>536</v>
      </c>
      <c r="D300" s="110">
        <v>5000.0</v>
      </c>
      <c r="E300" s="110">
        <v>90.0</v>
      </c>
      <c r="F300" s="110">
        <v>91.0</v>
      </c>
      <c r="G300" s="110">
        <v>1661.0</v>
      </c>
      <c r="H300" s="85">
        <v>46121.0</v>
      </c>
      <c r="I300" s="85">
        <v>46212.0</v>
      </c>
      <c r="J300" s="82" t="s">
        <v>540</v>
      </c>
      <c r="K300" s="86">
        <v>1155605.0</v>
      </c>
      <c r="L300" s="110">
        <v>59690.0</v>
      </c>
      <c r="M300" s="80" t="s">
        <v>570</v>
      </c>
      <c r="N300" s="80"/>
      <c r="O300" s="80"/>
      <c r="P300" s="80"/>
      <c r="Q300" s="80"/>
      <c r="R300" s="80"/>
      <c r="S300" s="80"/>
      <c r="T300" s="80"/>
      <c r="U300" s="80"/>
      <c r="V300" s="80"/>
      <c r="W300" s="80"/>
      <c r="X300" s="80"/>
      <c r="Y300" s="80"/>
      <c r="Z300" s="80"/>
    </row>
    <row r="301">
      <c r="A301" s="87">
        <v>2880.0</v>
      </c>
      <c r="B301" s="82" t="s">
        <v>579</v>
      </c>
      <c r="C301" s="82" t="s">
        <v>536</v>
      </c>
      <c r="D301" s="110">
        <v>5000.0</v>
      </c>
      <c r="E301" s="110">
        <v>90.0</v>
      </c>
      <c r="F301" s="110">
        <v>86.0</v>
      </c>
      <c r="G301" s="110">
        <v>17622.0</v>
      </c>
      <c r="H301" s="85">
        <v>46126.0</v>
      </c>
      <c r="I301" s="85">
        <v>46212.0</v>
      </c>
      <c r="J301" s="82" t="s">
        <v>540</v>
      </c>
      <c r="K301" s="86">
        <v>1156093.0</v>
      </c>
      <c r="L301" s="110">
        <v>48680.0</v>
      </c>
      <c r="M301" s="80" t="s">
        <v>539</v>
      </c>
      <c r="N301" s="80"/>
      <c r="O301" s="80"/>
      <c r="P301" s="80"/>
      <c r="Q301" s="80"/>
      <c r="R301" s="80"/>
      <c r="S301" s="80"/>
      <c r="T301" s="80"/>
      <c r="U301" s="80"/>
      <c r="V301" s="80"/>
      <c r="W301" s="80"/>
      <c r="X301" s="80"/>
      <c r="Y301" s="80"/>
      <c r="Z301" s="80"/>
    </row>
    <row r="302">
      <c r="A302" s="87">
        <v>2881.0</v>
      </c>
      <c r="B302" s="82" t="s">
        <v>579</v>
      </c>
      <c r="C302" s="82" t="s">
        <v>536</v>
      </c>
      <c r="D302" s="110">
        <v>5000.0</v>
      </c>
      <c r="E302" s="110">
        <v>90.0</v>
      </c>
      <c r="F302" s="110">
        <v>43.0</v>
      </c>
      <c r="G302" s="110">
        <v>3629.0</v>
      </c>
      <c r="H302" s="85">
        <v>46169.0</v>
      </c>
      <c r="I302" s="85">
        <v>46212.0</v>
      </c>
      <c r="J302" s="82" t="s">
        <v>535</v>
      </c>
      <c r="K302" s="86">
        <v>1161359.0</v>
      </c>
      <c r="L302" s="110">
        <v>25982.0</v>
      </c>
      <c r="M302" s="80" t="s">
        <v>554</v>
      </c>
      <c r="N302" s="80"/>
      <c r="O302" s="80"/>
      <c r="P302" s="80"/>
      <c r="Q302" s="80"/>
      <c r="R302" s="80"/>
      <c r="S302" s="80"/>
      <c r="T302" s="80"/>
      <c r="U302" s="80"/>
      <c r="V302" s="80"/>
      <c r="W302" s="80"/>
      <c r="X302" s="80"/>
      <c r="Y302" s="80"/>
      <c r="Z302" s="80"/>
    </row>
    <row r="303">
      <c r="A303" s="87">
        <v>2882.0</v>
      </c>
      <c r="B303" s="82" t="s">
        <v>581</v>
      </c>
      <c r="C303" s="82" t="s">
        <v>576</v>
      </c>
      <c r="D303" s="110">
        <v>5000.0</v>
      </c>
      <c r="E303" s="110">
        <v>90.0</v>
      </c>
      <c r="F303" s="110">
        <v>42.0</v>
      </c>
      <c r="G303" s="110">
        <v>3465.0</v>
      </c>
      <c r="H303" s="85">
        <v>46170.0</v>
      </c>
      <c r="I303" s="85">
        <v>46212.0</v>
      </c>
      <c r="J303" s="82" t="s">
        <v>535</v>
      </c>
      <c r="K303" s="86">
        <v>1161435.0</v>
      </c>
      <c r="L303" s="110">
        <v>49519.0</v>
      </c>
      <c r="M303" s="80" t="s">
        <v>554</v>
      </c>
      <c r="N303" s="80"/>
      <c r="O303" s="80"/>
      <c r="P303" s="80"/>
      <c r="Q303" s="80"/>
      <c r="R303" s="80"/>
      <c r="S303" s="80"/>
      <c r="T303" s="80"/>
      <c r="U303" s="80"/>
      <c r="V303" s="80"/>
      <c r="W303" s="80"/>
      <c r="X303" s="80"/>
      <c r="Y303" s="80"/>
      <c r="Z303" s="80"/>
    </row>
    <row r="304">
      <c r="A304" s="87">
        <v>2883.0</v>
      </c>
      <c r="B304" s="82" t="s">
        <v>581</v>
      </c>
      <c r="C304" s="82" t="s">
        <v>536</v>
      </c>
      <c r="D304" s="110">
        <v>5000.0</v>
      </c>
      <c r="E304" s="110">
        <v>90.0</v>
      </c>
      <c r="F304" s="110">
        <v>57.0</v>
      </c>
      <c r="G304" s="110">
        <v>1420.0</v>
      </c>
      <c r="H304" s="85">
        <v>46155.0</v>
      </c>
      <c r="I304" s="85">
        <v>46212.0</v>
      </c>
      <c r="J304" s="82" t="s">
        <v>535</v>
      </c>
      <c r="K304" s="86">
        <v>1159742.0</v>
      </c>
      <c r="L304" s="110">
        <v>17891.0</v>
      </c>
      <c r="M304" s="80" t="s">
        <v>554</v>
      </c>
      <c r="N304" s="80"/>
      <c r="O304" s="80"/>
      <c r="P304" s="80"/>
      <c r="Q304" s="80"/>
      <c r="R304" s="80"/>
      <c r="S304" s="80"/>
      <c r="T304" s="80"/>
      <c r="U304" s="80"/>
      <c r="V304" s="80"/>
      <c r="W304" s="80"/>
      <c r="X304" s="80"/>
      <c r="Y304" s="80"/>
      <c r="Z304" s="80"/>
    </row>
    <row r="305">
      <c r="A305" s="87">
        <v>2884.0</v>
      </c>
      <c r="B305" s="82" t="s">
        <v>581</v>
      </c>
      <c r="C305" s="82" t="s">
        <v>538</v>
      </c>
      <c r="D305" s="110">
        <v>5000.0</v>
      </c>
      <c r="E305" s="110">
        <v>90.0</v>
      </c>
      <c r="F305" s="110">
        <v>65.0</v>
      </c>
      <c r="G305" s="110">
        <v>2374.0</v>
      </c>
      <c r="H305" s="85">
        <v>46147.0</v>
      </c>
      <c r="I305" s="85">
        <v>46212.0</v>
      </c>
      <c r="J305" s="82" t="s">
        <v>535</v>
      </c>
      <c r="K305" s="86">
        <v>1158479.0</v>
      </c>
      <c r="L305" s="110">
        <v>26080.0</v>
      </c>
      <c r="M305" s="80" t="s">
        <v>554</v>
      </c>
      <c r="N305" s="80"/>
      <c r="O305" s="80"/>
      <c r="P305" s="80"/>
      <c r="Q305" s="80"/>
      <c r="R305" s="80"/>
      <c r="S305" s="80"/>
      <c r="T305" s="80"/>
      <c r="U305" s="80"/>
      <c r="V305" s="80"/>
      <c r="W305" s="80"/>
      <c r="X305" s="80"/>
      <c r="Y305" s="80"/>
      <c r="Z305" s="80"/>
    </row>
    <row r="306">
      <c r="A306" s="87">
        <v>2885.0</v>
      </c>
      <c r="B306" s="82" t="s">
        <v>581</v>
      </c>
      <c r="C306" s="82" t="s">
        <v>536</v>
      </c>
      <c r="D306" s="110">
        <v>5000.0</v>
      </c>
      <c r="E306" s="110">
        <v>90.0</v>
      </c>
      <c r="F306" s="110">
        <v>64.0</v>
      </c>
      <c r="G306" s="110">
        <v>3647.0</v>
      </c>
      <c r="H306" s="85">
        <v>46148.0</v>
      </c>
      <c r="I306" s="85">
        <v>46212.0</v>
      </c>
      <c r="J306" s="82" t="s">
        <v>535</v>
      </c>
      <c r="K306" s="86">
        <v>1158733.0</v>
      </c>
      <c r="L306" s="110">
        <v>33405.0</v>
      </c>
      <c r="M306" s="80" t="s">
        <v>554</v>
      </c>
      <c r="N306" s="80"/>
      <c r="O306" s="80"/>
      <c r="P306" s="80"/>
      <c r="Q306" s="80"/>
      <c r="R306" s="80"/>
      <c r="S306" s="80"/>
      <c r="T306" s="80"/>
      <c r="U306" s="80"/>
      <c r="V306" s="80"/>
      <c r="W306" s="80"/>
      <c r="X306" s="80"/>
      <c r="Y306" s="80"/>
      <c r="Z306" s="80"/>
    </row>
    <row r="307">
      <c r="A307" s="87">
        <v>2886.0</v>
      </c>
      <c r="B307" s="82" t="s">
        <v>581</v>
      </c>
      <c r="C307" s="82" t="s">
        <v>536</v>
      </c>
      <c r="D307" s="110">
        <v>5000.0</v>
      </c>
      <c r="E307" s="110">
        <v>90.0</v>
      </c>
      <c r="F307" s="110">
        <v>65.0</v>
      </c>
      <c r="G307" s="110">
        <v>1453.0</v>
      </c>
      <c r="H307" s="85">
        <v>46147.0</v>
      </c>
      <c r="I307" s="85">
        <v>46212.0</v>
      </c>
      <c r="J307" s="82" t="s">
        <v>535</v>
      </c>
      <c r="K307" s="86">
        <v>1158454.0</v>
      </c>
      <c r="L307" s="110">
        <v>18749.0</v>
      </c>
      <c r="M307" s="80" t="s">
        <v>554</v>
      </c>
      <c r="N307" s="80"/>
      <c r="O307" s="80"/>
      <c r="P307" s="80"/>
      <c r="Q307" s="80"/>
      <c r="R307" s="80"/>
      <c r="S307" s="80"/>
      <c r="T307" s="80"/>
      <c r="U307" s="80"/>
      <c r="V307" s="80"/>
      <c r="W307" s="80"/>
      <c r="X307" s="80"/>
      <c r="Y307" s="80"/>
      <c r="Z307" s="80"/>
    </row>
    <row r="308">
      <c r="A308" s="87">
        <v>2887.0</v>
      </c>
      <c r="B308" s="82" t="s">
        <v>581</v>
      </c>
      <c r="C308" s="82" t="s">
        <v>536</v>
      </c>
      <c r="D308" s="110">
        <v>5000.0</v>
      </c>
      <c r="E308" s="110">
        <v>90.0</v>
      </c>
      <c r="F308" s="110">
        <v>42.0</v>
      </c>
      <c r="G308" s="110">
        <v>1602.0</v>
      </c>
      <c r="H308" s="85">
        <v>46170.0</v>
      </c>
      <c r="I308" s="85">
        <v>46212.0</v>
      </c>
      <c r="J308" s="82" t="s">
        <v>535</v>
      </c>
      <c r="K308" s="86">
        <v>1161439.0</v>
      </c>
      <c r="L308" s="110">
        <v>6707.0</v>
      </c>
      <c r="M308" s="80" t="s">
        <v>554</v>
      </c>
      <c r="N308" s="80"/>
      <c r="O308" s="80"/>
      <c r="P308" s="80"/>
      <c r="Q308" s="80"/>
      <c r="R308" s="80"/>
      <c r="S308" s="80"/>
      <c r="T308" s="80"/>
      <c r="U308" s="80"/>
      <c r="V308" s="80"/>
      <c r="W308" s="80"/>
      <c r="X308" s="80"/>
      <c r="Y308" s="80"/>
      <c r="Z308" s="80"/>
    </row>
    <row r="309">
      <c r="A309" s="87">
        <v>2888.0</v>
      </c>
      <c r="B309" s="82" t="s">
        <v>581</v>
      </c>
      <c r="C309" s="82" t="s">
        <v>538</v>
      </c>
      <c r="D309" s="110">
        <v>5000.0</v>
      </c>
      <c r="E309" s="110">
        <v>90.0</v>
      </c>
      <c r="F309" s="110">
        <v>63.0</v>
      </c>
      <c r="G309" s="110">
        <v>3607.0</v>
      </c>
      <c r="H309" s="85">
        <v>46149.0</v>
      </c>
      <c r="I309" s="85">
        <v>46212.0</v>
      </c>
      <c r="J309" s="82" t="s">
        <v>535</v>
      </c>
      <c r="K309" s="86">
        <v>1158812.0</v>
      </c>
      <c r="L309" s="110">
        <v>52769.0</v>
      </c>
      <c r="M309" s="80" t="s">
        <v>554</v>
      </c>
      <c r="N309" s="80"/>
      <c r="O309" s="80"/>
      <c r="P309" s="80"/>
      <c r="Q309" s="80"/>
      <c r="R309" s="80"/>
      <c r="S309" s="80"/>
      <c r="T309" s="80"/>
      <c r="U309" s="80"/>
      <c r="V309" s="80"/>
      <c r="W309" s="80"/>
      <c r="X309" s="80"/>
      <c r="Y309" s="80"/>
      <c r="Z309" s="80"/>
    </row>
    <row r="310">
      <c r="A310" s="87">
        <v>2889.0</v>
      </c>
      <c r="B310" s="82" t="s">
        <v>581</v>
      </c>
      <c r="C310" s="82" t="s">
        <v>537</v>
      </c>
      <c r="D310" s="110">
        <v>5000.0</v>
      </c>
      <c r="E310" s="110">
        <v>90.0</v>
      </c>
      <c r="F310" s="110">
        <v>80.0</v>
      </c>
      <c r="G310" s="110">
        <v>3628.0</v>
      </c>
      <c r="H310" s="85">
        <v>46132.0</v>
      </c>
      <c r="I310" s="85">
        <v>46212.0</v>
      </c>
      <c r="J310" s="82" t="s">
        <v>535</v>
      </c>
      <c r="K310" s="86">
        <v>1156782.0</v>
      </c>
      <c r="L310" s="110">
        <v>45244.0</v>
      </c>
      <c r="M310" s="80" t="s">
        <v>554</v>
      </c>
      <c r="N310" s="80"/>
      <c r="O310" s="80"/>
      <c r="P310" s="80"/>
      <c r="Q310" s="80"/>
      <c r="R310" s="80"/>
      <c r="S310" s="80"/>
      <c r="T310" s="80"/>
      <c r="U310" s="80"/>
      <c r="V310" s="80"/>
      <c r="W310" s="80"/>
      <c r="X310" s="80"/>
      <c r="Y310" s="80"/>
      <c r="Z310" s="80"/>
    </row>
    <row r="311">
      <c r="A311" s="87">
        <v>2890.0</v>
      </c>
      <c r="B311" s="82" t="s">
        <v>581</v>
      </c>
      <c r="C311" s="82" t="s">
        <v>536</v>
      </c>
      <c r="D311" s="110">
        <v>5000.0</v>
      </c>
      <c r="E311" s="110">
        <v>90.0</v>
      </c>
      <c r="F311" s="110">
        <v>62.0</v>
      </c>
      <c r="G311" s="110">
        <v>2492.0</v>
      </c>
      <c r="H311" s="85">
        <v>46150.0</v>
      </c>
      <c r="I311" s="85">
        <v>46212.0</v>
      </c>
      <c r="J311" s="82" t="s">
        <v>535</v>
      </c>
      <c r="K311" s="86">
        <v>1158999.0</v>
      </c>
      <c r="L311" s="110">
        <v>29107.0</v>
      </c>
      <c r="M311" s="80" t="s">
        <v>554</v>
      </c>
      <c r="N311" s="80"/>
      <c r="O311" s="80"/>
      <c r="P311" s="80"/>
      <c r="Q311" s="80"/>
      <c r="R311" s="80"/>
      <c r="S311" s="80"/>
      <c r="T311" s="80"/>
      <c r="U311" s="80"/>
      <c r="V311" s="80"/>
      <c r="W311" s="80"/>
      <c r="X311" s="80"/>
      <c r="Y311" s="80"/>
      <c r="Z311" s="80"/>
    </row>
    <row r="312">
      <c r="A312" s="87">
        <v>2891.0</v>
      </c>
      <c r="B312" s="82" t="s">
        <v>587</v>
      </c>
      <c r="C312" s="82" t="s">
        <v>537</v>
      </c>
      <c r="D312" s="110">
        <v>5000.0</v>
      </c>
      <c r="E312" s="110">
        <v>90.0</v>
      </c>
      <c r="F312" s="110">
        <v>63.0</v>
      </c>
      <c r="G312" s="110">
        <v>2550.0</v>
      </c>
      <c r="H312" s="85">
        <v>46149.0</v>
      </c>
      <c r="I312" s="85">
        <v>46212.0</v>
      </c>
      <c r="J312" s="82" t="s">
        <v>535</v>
      </c>
      <c r="K312" s="86">
        <v>1158804.0</v>
      </c>
      <c r="L312" s="110">
        <v>35138.0</v>
      </c>
      <c r="M312" s="80" t="s">
        <v>554</v>
      </c>
      <c r="N312" s="80"/>
      <c r="O312" s="80"/>
      <c r="P312" s="80"/>
      <c r="Q312" s="80"/>
      <c r="R312" s="80"/>
      <c r="S312" s="80"/>
      <c r="T312" s="80"/>
      <c r="U312" s="80"/>
      <c r="V312" s="80"/>
      <c r="W312" s="80"/>
      <c r="X312" s="80"/>
      <c r="Y312" s="80"/>
      <c r="Z312" s="80"/>
    </row>
    <row r="313">
      <c r="A313" s="87">
        <v>2892.0</v>
      </c>
      <c r="B313" s="82" t="s">
        <v>587</v>
      </c>
      <c r="C313" s="82" t="s">
        <v>538</v>
      </c>
      <c r="D313" s="110">
        <v>5000.0</v>
      </c>
      <c r="E313" s="110">
        <v>90.0</v>
      </c>
      <c r="F313" s="110">
        <v>106.0</v>
      </c>
      <c r="G313" s="110">
        <v>6384.0</v>
      </c>
      <c r="H313" s="85">
        <v>46106.0</v>
      </c>
      <c r="I313" s="85">
        <v>46212.0</v>
      </c>
      <c r="J313" s="82" t="s">
        <v>540</v>
      </c>
      <c r="K313" s="86">
        <v>1154269.0</v>
      </c>
      <c r="L313" s="110">
        <v>35605.0</v>
      </c>
      <c r="M313" s="80" t="s">
        <v>554</v>
      </c>
      <c r="N313" s="80"/>
      <c r="O313" s="80"/>
      <c r="P313" s="80"/>
      <c r="Q313" s="80"/>
      <c r="R313" s="80"/>
      <c r="S313" s="80"/>
      <c r="T313" s="80"/>
      <c r="U313" s="80"/>
      <c r="V313" s="80"/>
      <c r="W313" s="80"/>
      <c r="X313" s="80"/>
      <c r="Y313" s="80"/>
      <c r="Z313" s="80"/>
    </row>
    <row r="314">
      <c r="A314" s="87">
        <v>2893.0</v>
      </c>
      <c r="B314" s="82" t="s">
        <v>587</v>
      </c>
      <c r="C314" s="82" t="s">
        <v>537</v>
      </c>
      <c r="D314" s="110">
        <v>5000.0</v>
      </c>
      <c r="E314" s="110">
        <v>90.0</v>
      </c>
      <c r="F314" s="110">
        <v>64.0</v>
      </c>
      <c r="G314" s="110">
        <v>2390.0</v>
      </c>
      <c r="H314" s="85">
        <v>46148.0</v>
      </c>
      <c r="I314" s="85">
        <v>46212.0</v>
      </c>
      <c r="J314" s="82" t="s">
        <v>535</v>
      </c>
      <c r="K314" s="86">
        <v>1158732.0</v>
      </c>
      <c r="L314" s="110">
        <v>32128.0</v>
      </c>
      <c r="M314" s="80" t="s">
        <v>554</v>
      </c>
      <c r="N314" s="80"/>
      <c r="O314" s="80"/>
      <c r="P314" s="80"/>
      <c r="Q314" s="80"/>
      <c r="R314" s="80"/>
      <c r="S314" s="80"/>
      <c r="T314" s="80"/>
      <c r="U314" s="80"/>
      <c r="V314" s="80"/>
      <c r="W314" s="80"/>
      <c r="X314" s="80"/>
      <c r="Y314" s="80"/>
      <c r="Z314" s="80"/>
    </row>
    <row r="315">
      <c r="A315" s="87">
        <v>2894.0</v>
      </c>
      <c r="B315" s="82" t="s">
        <v>587</v>
      </c>
      <c r="C315" s="82" t="s">
        <v>536</v>
      </c>
      <c r="D315" s="110">
        <v>5000.0</v>
      </c>
      <c r="E315" s="110">
        <v>90.0</v>
      </c>
      <c r="F315" s="110">
        <v>43.0</v>
      </c>
      <c r="G315" s="110">
        <v>1919.0</v>
      </c>
      <c r="H315" s="85">
        <v>46169.0</v>
      </c>
      <c r="I315" s="85">
        <v>46212.0</v>
      </c>
      <c r="J315" s="82" t="s">
        <v>535</v>
      </c>
      <c r="K315" s="86">
        <v>1161357.0</v>
      </c>
      <c r="L315" s="110">
        <v>30204.0</v>
      </c>
      <c r="M315" s="80" t="s">
        <v>554</v>
      </c>
      <c r="N315" s="80"/>
      <c r="O315" s="80"/>
      <c r="P315" s="80"/>
      <c r="Q315" s="80"/>
      <c r="R315" s="80"/>
      <c r="S315" s="80"/>
      <c r="T315" s="80"/>
      <c r="U315" s="80"/>
      <c r="V315" s="80"/>
      <c r="W315" s="80"/>
      <c r="X315" s="80"/>
      <c r="Y315" s="80"/>
      <c r="Z315" s="80"/>
    </row>
    <row r="316">
      <c r="A316" s="87">
        <v>2895.0</v>
      </c>
      <c r="B316" s="82" t="s">
        <v>587</v>
      </c>
      <c r="C316" s="82" t="s">
        <v>537</v>
      </c>
      <c r="D316" s="110">
        <v>5000.0</v>
      </c>
      <c r="E316" s="110">
        <v>90.0</v>
      </c>
      <c r="F316" s="110">
        <v>93.0</v>
      </c>
      <c r="G316" s="110">
        <v>7288.0</v>
      </c>
      <c r="H316" s="85">
        <v>46119.0</v>
      </c>
      <c r="I316" s="85">
        <v>46212.0</v>
      </c>
      <c r="J316" s="82" t="s">
        <v>540</v>
      </c>
      <c r="K316" s="86">
        <v>1155301.0</v>
      </c>
      <c r="L316" s="110">
        <v>53401.0</v>
      </c>
      <c r="M316" s="80" t="s">
        <v>554</v>
      </c>
      <c r="N316" s="80"/>
      <c r="O316" s="80"/>
      <c r="P316" s="80"/>
      <c r="Q316" s="80"/>
      <c r="R316" s="80"/>
      <c r="S316" s="80"/>
      <c r="T316" s="80"/>
      <c r="U316" s="80"/>
      <c r="V316" s="80"/>
      <c r="W316" s="80"/>
      <c r="X316" s="80"/>
      <c r="Y316" s="80"/>
      <c r="Z316" s="80"/>
    </row>
    <row r="317">
      <c r="A317" s="87">
        <v>2896.0</v>
      </c>
      <c r="B317" s="82" t="s">
        <v>587</v>
      </c>
      <c r="C317" s="82" t="s">
        <v>536</v>
      </c>
      <c r="D317" s="110">
        <v>5000.0</v>
      </c>
      <c r="E317" s="110">
        <v>90.0</v>
      </c>
      <c r="F317" s="110">
        <v>119.0</v>
      </c>
      <c r="G317" s="110">
        <v>12716.0</v>
      </c>
      <c r="H317" s="85">
        <v>46093.0</v>
      </c>
      <c r="I317" s="85">
        <v>46212.0</v>
      </c>
      <c r="J317" s="82" t="s">
        <v>540</v>
      </c>
      <c r="K317" s="86">
        <v>1153099.0</v>
      </c>
      <c r="L317" s="110">
        <v>55962.0</v>
      </c>
      <c r="M317" s="80" t="s">
        <v>554</v>
      </c>
      <c r="N317" s="80"/>
      <c r="O317" s="80"/>
      <c r="P317" s="80"/>
      <c r="Q317" s="80"/>
      <c r="R317" s="80"/>
      <c r="S317" s="80"/>
      <c r="T317" s="80"/>
      <c r="U317" s="80"/>
      <c r="V317" s="80"/>
      <c r="W317" s="80"/>
      <c r="X317" s="80"/>
      <c r="Y317" s="80"/>
      <c r="Z317" s="80"/>
    </row>
    <row r="318">
      <c r="A318" s="87">
        <v>2897.0</v>
      </c>
      <c r="B318" s="82" t="s">
        <v>587</v>
      </c>
      <c r="C318" s="82" t="s">
        <v>537</v>
      </c>
      <c r="D318" s="110">
        <v>5000.0</v>
      </c>
      <c r="E318" s="110">
        <v>90.0</v>
      </c>
      <c r="F318" s="110">
        <v>42.0</v>
      </c>
      <c r="G318" s="110">
        <v>2918.0</v>
      </c>
      <c r="H318" s="85">
        <v>46170.0</v>
      </c>
      <c r="I318" s="85">
        <v>46212.0</v>
      </c>
      <c r="J318" s="82" t="s">
        <v>535</v>
      </c>
      <c r="K318" s="86">
        <v>1161418.0</v>
      </c>
      <c r="L318" s="110">
        <v>48916.52</v>
      </c>
      <c r="M318" s="80" t="s">
        <v>554</v>
      </c>
      <c r="N318" s="80"/>
      <c r="O318" s="80"/>
      <c r="P318" s="80"/>
      <c r="Q318" s="80"/>
      <c r="R318" s="80"/>
      <c r="S318" s="80"/>
      <c r="T318" s="80"/>
      <c r="U318" s="80"/>
      <c r="V318" s="80"/>
      <c r="W318" s="80"/>
      <c r="X318" s="80"/>
      <c r="Y318" s="80"/>
      <c r="Z318" s="80"/>
    </row>
    <row r="319">
      <c r="A319" s="87">
        <v>2898.0</v>
      </c>
      <c r="B319" s="82" t="s">
        <v>587</v>
      </c>
      <c r="C319" s="82" t="s">
        <v>537</v>
      </c>
      <c r="D319" s="110">
        <v>5000.0</v>
      </c>
      <c r="E319" s="110">
        <v>90.0</v>
      </c>
      <c r="F319" s="110">
        <v>78.0</v>
      </c>
      <c r="G319" s="110">
        <v>3508.0</v>
      </c>
      <c r="H319" s="85">
        <v>46134.0</v>
      </c>
      <c r="I319" s="85">
        <v>46212.0</v>
      </c>
      <c r="J319" s="82" t="s">
        <v>535</v>
      </c>
      <c r="K319" s="86">
        <v>1157022.0</v>
      </c>
      <c r="L319" s="110">
        <v>34296.0</v>
      </c>
      <c r="M319" s="80" t="s">
        <v>554</v>
      </c>
      <c r="N319" s="80"/>
      <c r="O319" s="80"/>
      <c r="P319" s="80"/>
      <c r="Q319" s="80"/>
      <c r="R319" s="80"/>
      <c r="S319" s="80"/>
      <c r="T319" s="80"/>
      <c r="U319" s="80"/>
      <c r="V319" s="80"/>
      <c r="W319" s="80"/>
      <c r="X319" s="80"/>
      <c r="Y319" s="80"/>
      <c r="Z319" s="80"/>
    </row>
    <row r="320">
      <c r="A320" s="87">
        <v>2903.0</v>
      </c>
      <c r="B320" s="82" t="s">
        <v>587</v>
      </c>
      <c r="C320" s="82" t="s">
        <v>536</v>
      </c>
      <c r="D320" s="110">
        <v>5000.0</v>
      </c>
      <c r="E320" s="110">
        <v>90.0</v>
      </c>
      <c r="F320" s="110">
        <v>49.0</v>
      </c>
      <c r="G320" s="110">
        <v>1425.0</v>
      </c>
      <c r="H320" s="85">
        <v>46163.0</v>
      </c>
      <c r="I320" s="85">
        <v>46212.0</v>
      </c>
      <c r="J320" s="82" t="s">
        <v>535</v>
      </c>
      <c r="K320" s="86">
        <v>1160717.0</v>
      </c>
      <c r="L320" s="110">
        <v>24829.0</v>
      </c>
      <c r="M320" s="80" t="s">
        <v>554</v>
      </c>
      <c r="N320" s="80"/>
      <c r="O320" s="80"/>
      <c r="P320" s="80"/>
      <c r="Q320" s="80"/>
      <c r="R320" s="80"/>
      <c r="S320" s="80"/>
      <c r="T320" s="80"/>
      <c r="U320" s="80"/>
      <c r="V320" s="80"/>
      <c r="W320" s="80"/>
      <c r="X320" s="80"/>
      <c r="Y320" s="80"/>
      <c r="Z320" s="80"/>
    </row>
    <row r="321">
      <c r="A321" s="87">
        <v>2904.0</v>
      </c>
      <c r="B321" s="82" t="s">
        <v>587</v>
      </c>
      <c r="C321" s="82" t="s">
        <v>536</v>
      </c>
      <c r="D321" s="110">
        <v>5000.0</v>
      </c>
      <c r="E321" s="110">
        <v>90.0</v>
      </c>
      <c r="F321" s="110">
        <v>58.0</v>
      </c>
      <c r="G321" s="110">
        <v>2095.0</v>
      </c>
      <c r="H321" s="85">
        <v>46154.0</v>
      </c>
      <c r="I321" s="85">
        <v>46212.0</v>
      </c>
      <c r="J321" s="82" t="s">
        <v>535</v>
      </c>
      <c r="K321" s="86">
        <v>1159499.0</v>
      </c>
      <c r="L321" s="110">
        <v>24618.0</v>
      </c>
      <c r="M321" s="80" t="s">
        <v>554</v>
      </c>
      <c r="N321" s="80"/>
      <c r="O321" s="80"/>
      <c r="P321" s="80"/>
      <c r="Q321" s="80"/>
      <c r="R321" s="80"/>
      <c r="S321" s="80"/>
      <c r="T321" s="80"/>
      <c r="U321" s="80"/>
      <c r="V321" s="80"/>
      <c r="W321" s="80"/>
      <c r="X321" s="80"/>
      <c r="Y321" s="80"/>
      <c r="Z321" s="80"/>
    </row>
    <row r="322">
      <c r="A322" s="87">
        <v>2905.0</v>
      </c>
      <c r="B322" s="82" t="s">
        <v>587</v>
      </c>
      <c r="C322" s="82" t="s">
        <v>536</v>
      </c>
      <c r="D322" s="110">
        <v>5000.0</v>
      </c>
      <c r="E322" s="110">
        <v>90.0</v>
      </c>
      <c r="F322" s="110">
        <v>33.0</v>
      </c>
      <c r="G322" s="110">
        <v>1242.0</v>
      </c>
      <c r="H322" s="85">
        <v>46179.0</v>
      </c>
      <c r="I322" s="85">
        <v>46212.0</v>
      </c>
      <c r="J322" s="82" t="s">
        <v>535</v>
      </c>
      <c r="K322" s="86">
        <v>1161675.0</v>
      </c>
      <c r="L322" s="110">
        <v>27732.0</v>
      </c>
      <c r="M322" s="80" t="s">
        <v>554</v>
      </c>
      <c r="N322" s="80"/>
      <c r="O322" s="80"/>
      <c r="P322" s="80"/>
      <c r="Q322" s="80"/>
      <c r="R322" s="80"/>
      <c r="S322" s="80"/>
      <c r="T322" s="80"/>
      <c r="U322" s="80"/>
      <c r="V322" s="80"/>
      <c r="W322" s="80"/>
      <c r="X322" s="80"/>
      <c r="Y322" s="80"/>
      <c r="Z322" s="80"/>
    </row>
    <row r="323">
      <c r="A323" s="87">
        <v>2906.0</v>
      </c>
      <c r="B323" s="82" t="s">
        <v>587</v>
      </c>
      <c r="C323" s="82" t="s">
        <v>536</v>
      </c>
      <c r="D323" s="110">
        <v>5000.0</v>
      </c>
      <c r="E323" s="110">
        <v>90.0</v>
      </c>
      <c r="F323" s="110">
        <v>33.0</v>
      </c>
      <c r="G323" s="110">
        <v>1250.0</v>
      </c>
      <c r="H323" s="85">
        <v>46179.0</v>
      </c>
      <c r="I323" s="85">
        <v>46212.0</v>
      </c>
      <c r="J323" s="82" t="s">
        <v>535</v>
      </c>
      <c r="K323" s="86">
        <v>1161674.0</v>
      </c>
      <c r="L323" s="110">
        <v>21441.0</v>
      </c>
      <c r="M323" s="80" t="s">
        <v>538</v>
      </c>
      <c r="N323" s="80"/>
      <c r="O323" s="80"/>
      <c r="P323" s="80"/>
      <c r="Q323" s="80"/>
      <c r="R323" s="80"/>
      <c r="S323" s="80"/>
      <c r="T323" s="80"/>
      <c r="U323" s="80"/>
      <c r="V323" s="80"/>
      <c r="W323" s="80"/>
      <c r="X323" s="80"/>
      <c r="Y323" s="80"/>
      <c r="Z323" s="80"/>
    </row>
    <row r="324">
      <c r="A324" s="87">
        <v>2907.0</v>
      </c>
      <c r="B324" s="82" t="s">
        <v>587</v>
      </c>
      <c r="C324" s="82" t="s">
        <v>576</v>
      </c>
      <c r="D324" s="110">
        <v>5000.0</v>
      </c>
      <c r="E324" s="110">
        <v>90.0</v>
      </c>
      <c r="F324" s="110">
        <v>129.0</v>
      </c>
      <c r="G324" s="110">
        <v>10110.0</v>
      </c>
      <c r="H324" s="85">
        <v>46083.0</v>
      </c>
      <c r="I324" s="85">
        <v>46212.0</v>
      </c>
      <c r="J324" s="82" t="s">
        <v>540</v>
      </c>
      <c r="K324" s="86">
        <v>1151740.0</v>
      </c>
      <c r="L324" s="110">
        <v>39696.0</v>
      </c>
      <c r="M324" s="80" t="s">
        <v>576</v>
      </c>
      <c r="N324" s="80"/>
      <c r="O324" s="80"/>
      <c r="P324" s="80"/>
      <c r="Q324" s="80"/>
      <c r="R324" s="80"/>
      <c r="S324" s="80"/>
      <c r="T324" s="80"/>
      <c r="U324" s="80"/>
      <c r="V324" s="80"/>
      <c r="W324" s="80"/>
      <c r="X324" s="80"/>
      <c r="Y324" s="80"/>
      <c r="Z324" s="80"/>
    </row>
    <row r="325">
      <c r="A325" s="87">
        <v>2908.0</v>
      </c>
      <c r="B325" s="82" t="s">
        <v>587</v>
      </c>
      <c r="C325" s="82" t="s">
        <v>538</v>
      </c>
      <c r="D325" s="110">
        <v>5000.0</v>
      </c>
      <c r="E325" s="110">
        <v>90.0</v>
      </c>
      <c r="F325" s="110">
        <v>63.0</v>
      </c>
      <c r="G325" s="110">
        <v>3523.0</v>
      </c>
      <c r="H325" s="85">
        <v>46149.0</v>
      </c>
      <c r="I325" s="85">
        <v>46212.0</v>
      </c>
      <c r="J325" s="82" t="s">
        <v>535</v>
      </c>
      <c r="K325" s="86">
        <v>1158815.0</v>
      </c>
      <c r="L325" s="110">
        <v>36692.0</v>
      </c>
      <c r="M325" s="80" t="s">
        <v>554</v>
      </c>
      <c r="N325" s="80"/>
      <c r="O325" s="80"/>
      <c r="P325" s="80"/>
      <c r="Q325" s="80"/>
      <c r="R325" s="80"/>
      <c r="S325" s="80"/>
      <c r="T325" s="80"/>
      <c r="U325" s="80"/>
      <c r="V325" s="80"/>
      <c r="W325" s="80"/>
      <c r="X325" s="80"/>
      <c r="Y325" s="80"/>
      <c r="Z325" s="80"/>
    </row>
    <row r="326">
      <c r="A326" s="87">
        <v>2909.0</v>
      </c>
      <c r="B326" s="82" t="s">
        <v>587</v>
      </c>
      <c r="C326" s="82" t="s">
        <v>536</v>
      </c>
      <c r="D326" s="110">
        <v>5000.0</v>
      </c>
      <c r="E326" s="110">
        <v>90.0</v>
      </c>
      <c r="F326" s="110">
        <v>80.0</v>
      </c>
      <c r="G326" s="110">
        <v>3959.0</v>
      </c>
      <c r="H326" s="85">
        <v>46132.0</v>
      </c>
      <c r="I326" s="85">
        <v>46212.0</v>
      </c>
      <c r="J326" s="82" t="s">
        <v>535</v>
      </c>
      <c r="K326" s="86">
        <v>1156776.0</v>
      </c>
      <c r="L326" s="110">
        <v>29246.0</v>
      </c>
      <c r="M326" s="80" t="s">
        <v>554</v>
      </c>
      <c r="N326" s="80"/>
      <c r="O326" s="80"/>
      <c r="P326" s="80"/>
      <c r="Q326" s="80"/>
      <c r="R326" s="80"/>
      <c r="S326" s="80"/>
      <c r="T326" s="80"/>
      <c r="U326" s="80"/>
      <c r="V326" s="80"/>
      <c r="W326" s="80"/>
      <c r="X326" s="80"/>
      <c r="Y326" s="80"/>
      <c r="Z326" s="80"/>
    </row>
    <row r="327">
      <c r="A327" s="87">
        <v>2910.0</v>
      </c>
      <c r="B327" s="82" t="s">
        <v>587</v>
      </c>
      <c r="C327" s="82" t="s">
        <v>538</v>
      </c>
      <c r="D327" s="110">
        <v>5000.0</v>
      </c>
      <c r="E327" s="110">
        <v>90.0</v>
      </c>
      <c r="F327" s="110">
        <v>58.0</v>
      </c>
      <c r="G327" s="110">
        <v>3839.0</v>
      </c>
      <c r="H327" s="85">
        <v>46154.0</v>
      </c>
      <c r="I327" s="85">
        <v>46212.0</v>
      </c>
      <c r="J327" s="82" t="s">
        <v>535</v>
      </c>
      <c r="K327" s="86">
        <v>1159498.0</v>
      </c>
      <c r="L327" s="110">
        <v>29178.0</v>
      </c>
      <c r="M327" s="80" t="s">
        <v>537</v>
      </c>
      <c r="N327" s="80"/>
      <c r="O327" s="80"/>
      <c r="P327" s="80"/>
      <c r="Q327" s="80"/>
      <c r="R327" s="80"/>
      <c r="S327" s="80"/>
      <c r="T327" s="80"/>
      <c r="U327" s="80"/>
      <c r="V327" s="80"/>
      <c r="W327" s="80"/>
      <c r="X327" s="80"/>
      <c r="Y327" s="80"/>
      <c r="Z327" s="80"/>
    </row>
    <row r="328">
      <c r="A328" s="87">
        <v>2911.0</v>
      </c>
      <c r="B328" s="82" t="s">
        <v>587</v>
      </c>
      <c r="C328" s="82" t="s">
        <v>537</v>
      </c>
      <c r="D328" s="110">
        <v>5000.0</v>
      </c>
      <c r="E328" s="110">
        <v>90.0</v>
      </c>
      <c r="F328" s="110">
        <v>65.0</v>
      </c>
      <c r="G328" s="110">
        <v>3398.0</v>
      </c>
      <c r="H328" s="85">
        <v>46147.0</v>
      </c>
      <c r="I328" s="85">
        <v>46212.0</v>
      </c>
      <c r="J328" s="82" t="s">
        <v>535</v>
      </c>
      <c r="K328" s="86">
        <v>1158452.0</v>
      </c>
      <c r="L328" s="110">
        <v>35134.0</v>
      </c>
      <c r="M328" s="80" t="s">
        <v>554</v>
      </c>
      <c r="N328" s="80"/>
      <c r="O328" s="80"/>
      <c r="P328" s="80"/>
      <c r="Q328" s="80"/>
      <c r="R328" s="80"/>
      <c r="S328" s="80"/>
      <c r="T328" s="80"/>
      <c r="U328" s="80"/>
      <c r="V328" s="80"/>
      <c r="W328" s="80"/>
      <c r="X328" s="80"/>
      <c r="Y328" s="80"/>
      <c r="Z328" s="80"/>
    </row>
    <row r="329">
      <c r="A329" s="87">
        <v>2918.0</v>
      </c>
      <c r="B329" s="82" t="s">
        <v>581</v>
      </c>
      <c r="C329" s="82" t="s">
        <v>536</v>
      </c>
      <c r="D329" s="110">
        <v>5000.0</v>
      </c>
      <c r="E329" s="110">
        <v>90.0</v>
      </c>
      <c r="F329" s="110">
        <v>72.0</v>
      </c>
      <c r="G329" s="110">
        <v>2406.0</v>
      </c>
      <c r="H329" s="85">
        <v>46140.0</v>
      </c>
      <c r="I329" s="85">
        <v>46212.0</v>
      </c>
      <c r="J329" s="82" t="s">
        <v>535</v>
      </c>
      <c r="K329" s="86">
        <v>1157660.0</v>
      </c>
      <c r="L329" s="110">
        <v>25924.0</v>
      </c>
      <c r="M329" s="80" t="s">
        <v>554</v>
      </c>
      <c r="N329" s="80"/>
      <c r="O329" s="80"/>
      <c r="P329" s="80"/>
      <c r="Q329" s="80"/>
      <c r="R329" s="80"/>
      <c r="S329" s="80"/>
      <c r="T329" s="80"/>
      <c r="U329" s="80"/>
      <c r="V329" s="80"/>
      <c r="W329" s="80"/>
      <c r="X329" s="80"/>
      <c r="Y329" s="80"/>
      <c r="Z329" s="80"/>
    </row>
    <row r="330">
      <c r="A330" s="87">
        <v>2919.0</v>
      </c>
      <c r="B330" s="82" t="s">
        <v>581</v>
      </c>
      <c r="C330" s="82" t="s">
        <v>536</v>
      </c>
      <c r="D330" s="110">
        <v>5000.0</v>
      </c>
      <c r="E330" s="110">
        <v>90.0</v>
      </c>
      <c r="F330" s="110">
        <v>59.0</v>
      </c>
      <c r="G330" s="110">
        <v>1237.0</v>
      </c>
      <c r="H330" s="85">
        <v>46153.0</v>
      </c>
      <c r="I330" s="85">
        <v>46212.0</v>
      </c>
      <c r="J330" s="82" t="s">
        <v>535</v>
      </c>
      <c r="K330" s="86">
        <v>1159275.0</v>
      </c>
      <c r="L330" s="110">
        <v>12672.0</v>
      </c>
      <c r="M330" s="80" t="s">
        <v>554</v>
      </c>
      <c r="N330" s="80"/>
      <c r="O330" s="80"/>
      <c r="P330" s="80"/>
      <c r="Q330" s="80"/>
      <c r="R330" s="80"/>
      <c r="S330" s="80"/>
      <c r="T330" s="80"/>
      <c r="U330" s="80"/>
      <c r="V330" s="80"/>
      <c r="W330" s="80"/>
      <c r="X330" s="80"/>
      <c r="Y330" s="80"/>
      <c r="Z330" s="80"/>
    </row>
    <row r="331">
      <c r="A331" s="87">
        <v>2920.0</v>
      </c>
      <c r="B331" s="82" t="s">
        <v>581</v>
      </c>
      <c r="C331" s="82" t="s">
        <v>537</v>
      </c>
      <c r="D331" s="110">
        <v>5000.0</v>
      </c>
      <c r="E331" s="110">
        <v>90.0</v>
      </c>
      <c r="F331" s="110">
        <v>57.0</v>
      </c>
      <c r="G331" s="110">
        <v>2703.0</v>
      </c>
      <c r="H331" s="85">
        <v>46155.0</v>
      </c>
      <c r="I331" s="85">
        <v>46212.0</v>
      </c>
      <c r="J331" s="82" t="s">
        <v>535</v>
      </c>
      <c r="K331" s="86">
        <v>1159729.0</v>
      </c>
      <c r="L331" s="110">
        <v>30425.0</v>
      </c>
      <c r="M331" s="80" t="s">
        <v>554</v>
      </c>
      <c r="N331" s="80"/>
      <c r="O331" s="80"/>
      <c r="P331" s="80"/>
      <c r="Q331" s="80"/>
      <c r="R331" s="80"/>
      <c r="S331" s="80"/>
      <c r="T331" s="80"/>
      <c r="U331" s="80"/>
      <c r="V331" s="80"/>
      <c r="W331" s="80"/>
      <c r="X331" s="80"/>
      <c r="Y331" s="80"/>
      <c r="Z331" s="80"/>
    </row>
    <row r="332">
      <c r="A332" s="87">
        <v>2921.0</v>
      </c>
      <c r="B332" s="82" t="s">
        <v>588</v>
      </c>
      <c r="C332" s="82" t="s">
        <v>536</v>
      </c>
      <c r="D332" s="110">
        <v>5000.0</v>
      </c>
      <c r="E332" s="110">
        <v>90.0</v>
      </c>
      <c r="F332" s="110">
        <v>91.0</v>
      </c>
      <c r="G332" s="110">
        <v>2718.0</v>
      </c>
      <c r="H332" s="85">
        <v>46121.0</v>
      </c>
      <c r="I332" s="85">
        <v>46212.0</v>
      </c>
      <c r="J332" s="82" t="s">
        <v>540</v>
      </c>
      <c r="K332" s="86">
        <v>1155604.0</v>
      </c>
      <c r="L332" s="110">
        <v>16101.0</v>
      </c>
      <c r="M332" s="80" t="s">
        <v>554</v>
      </c>
      <c r="N332" s="80"/>
      <c r="O332" s="80"/>
      <c r="P332" s="80"/>
      <c r="Q332" s="80"/>
      <c r="R332" s="80"/>
      <c r="S332" s="80"/>
      <c r="T332" s="80"/>
      <c r="U332" s="80"/>
      <c r="V332" s="80"/>
      <c r="W332" s="80"/>
      <c r="X332" s="80"/>
      <c r="Y332" s="80"/>
      <c r="Z332" s="80"/>
    </row>
    <row r="333">
      <c r="A333" s="87">
        <v>2922.0</v>
      </c>
      <c r="B333" s="82" t="s">
        <v>588</v>
      </c>
      <c r="C333" s="82" t="s">
        <v>536</v>
      </c>
      <c r="D333" s="110">
        <v>5000.0</v>
      </c>
      <c r="E333" s="110">
        <v>90.0</v>
      </c>
      <c r="F333" s="110">
        <v>41.0</v>
      </c>
      <c r="G333" s="110">
        <v>1111.0</v>
      </c>
      <c r="H333" s="85">
        <v>46171.0</v>
      </c>
      <c r="I333" s="85">
        <v>46212.0</v>
      </c>
      <c r="J333" s="82" t="s">
        <v>535</v>
      </c>
      <c r="K333" s="86">
        <v>1161484.0</v>
      </c>
      <c r="L333" s="110">
        <v>17198.0</v>
      </c>
      <c r="M333" s="80" t="s">
        <v>554</v>
      </c>
      <c r="N333" s="80"/>
      <c r="O333" s="80"/>
      <c r="P333" s="80"/>
      <c r="Q333" s="80"/>
      <c r="R333" s="80"/>
      <c r="S333" s="80"/>
      <c r="T333" s="80"/>
      <c r="U333" s="80"/>
      <c r="V333" s="80"/>
      <c r="W333" s="80"/>
      <c r="X333" s="80"/>
      <c r="Y333" s="80"/>
      <c r="Z333" s="80"/>
    </row>
    <row r="334">
      <c r="A334" s="87">
        <v>2923.0</v>
      </c>
      <c r="B334" s="82" t="s">
        <v>588</v>
      </c>
      <c r="C334" s="82" t="s">
        <v>536</v>
      </c>
      <c r="D334" s="110">
        <v>5000.0</v>
      </c>
      <c r="E334" s="110">
        <v>90.0</v>
      </c>
      <c r="F334" s="110">
        <v>93.0</v>
      </c>
      <c r="G334" s="110">
        <v>7217.0</v>
      </c>
      <c r="H334" s="85">
        <v>46119.0</v>
      </c>
      <c r="I334" s="85">
        <v>46212.0</v>
      </c>
      <c r="J334" s="82" t="s">
        <v>540</v>
      </c>
      <c r="K334" s="86">
        <v>1155342.0</v>
      </c>
      <c r="L334" s="110">
        <v>39192.0</v>
      </c>
      <c r="M334" s="80" t="s">
        <v>554</v>
      </c>
      <c r="N334" s="80"/>
      <c r="O334" s="80"/>
      <c r="P334" s="80"/>
      <c r="Q334" s="80"/>
      <c r="R334" s="80"/>
      <c r="S334" s="80"/>
      <c r="T334" s="80"/>
      <c r="U334" s="80"/>
      <c r="V334" s="80"/>
      <c r="W334" s="80"/>
      <c r="X334" s="80"/>
      <c r="Y334" s="80"/>
      <c r="Z334" s="80"/>
    </row>
    <row r="335">
      <c r="A335" s="87">
        <v>2924.0</v>
      </c>
      <c r="B335" s="82" t="s">
        <v>588</v>
      </c>
      <c r="C335" s="82" t="s">
        <v>536</v>
      </c>
      <c r="D335" s="110">
        <v>5000.0</v>
      </c>
      <c r="E335" s="110">
        <v>90.0</v>
      </c>
      <c r="F335" s="110">
        <v>36.0</v>
      </c>
      <c r="G335" s="110">
        <v>1422.0</v>
      </c>
      <c r="H335" s="85">
        <v>46176.0</v>
      </c>
      <c r="I335" s="85">
        <v>46212.0</v>
      </c>
      <c r="J335" s="82" t="s">
        <v>535</v>
      </c>
      <c r="K335" s="86">
        <v>1161574.0</v>
      </c>
      <c r="L335" s="110">
        <v>22420.0</v>
      </c>
      <c r="M335" s="80" t="s">
        <v>554</v>
      </c>
      <c r="N335" s="80"/>
      <c r="O335" s="80"/>
      <c r="P335" s="80"/>
      <c r="Q335" s="80"/>
      <c r="R335" s="80"/>
      <c r="S335" s="80"/>
      <c r="T335" s="80"/>
      <c r="U335" s="80"/>
      <c r="V335" s="80"/>
      <c r="W335" s="80"/>
      <c r="X335" s="80"/>
      <c r="Y335" s="80"/>
      <c r="Z335" s="80"/>
    </row>
    <row r="336">
      <c r="A336" s="87">
        <v>2925.0</v>
      </c>
      <c r="B336" s="82" t="s">
        <v>588</v>
      </c>
      <c r="C336" s="82" t="s">
        <v>536</v>
      </c>
      <c r="D336" s="110">
        <v>5000.0</v>
      </c>
      <c r="E336" s="110">
        <v>90.0</v>
      </c>
      <c r="F336" s="110">
        <v>50.0</v>
      </c>
      <c r="G336" s="110">
        <v>2254.0</v>
      </c>
      <c r="H336" s="85">
        <v>46162.0</v>
      </c>
      <c r="I336" s="85">
        <v>46212.0</v>
      </c>
      <c r="J336" s="82" t="s">
        <v>535</v>
      </c>
      <c r="K336" s="86">
        <v>1160451.0</v>
      </c>
      <c r="L336" s="110">
        <v>27120.0</v>
      </c>
      <c r="M336" s="80" t="s">
        <v>554</v>
      </c>
      <c r="N336" s="80"/>
      <c r="O336" s="80"/>
      <c r="P336" s="80"/>
      <c r="Q336" s="80"/>
      <c r="R336" s="80"/>
      <c r="S336" s="80"/>
      <c r="T336" s="80"/>
      <c r="U336" s="80"/>
      <c r="V336" s="80"/>
      <c r="W336" s="80"/>
      <c r="X336" s="80"/>
      <c r="Y336" s="80"/>
      <c r="Z336" s="80"/>
    </row>
    <row r="337">
      <c r="A337" s="87">
        <v>2926.0</v>
      </c>
      <c r="B337" s="82" t="s">
        <v>588</v>
      </c>
      <c r="C337" s="82" t="s">
        <v>537</v>
      </c>
      <c r="D337" s="110">
        <v>5000.0</v>
      </c>
      <c r="E337" s="110">
        <v>90.0</v>
      </c>
      <c r="F337" s="110">
        <v>139.0</v>
      </c>
      <c r="G337" s="110">
        <v>6160.0</v>
      </c>
      <c r="H337" s="85">
        <v>46073.0</v>
      </c>
      <c r="I337" s="85">
        <v>46212.0</v>
      </c>
      <c r="J337" s="82" t="s">
        <v>540</v>
      </c>
      <c r="K337" s="86">
        <v>1150558.0</v>
      </c>
      <c r="L337" s="110">
        <v>27707.0</v>
      </c>
      <c r="M337" s="80" t="s">
        <v>554</v>
      </c>
      <c r="N337" s="80"/>
      <c r="O337" s="80"/>
      <c r="P337" s="80"/>
      <c r="Q337" s="80"/>
      <c r="R337" s="80"/>
      <c r="S337" s="80"/>
      <c r="T337" s="80"/>
      <c r="U337" s="80"/>
      <c r="V337" s="80"/>
      <c r="W337" s="80"/>
      <c r="X337" s="80"/>
      <c r="Y337" s="80"/>
      <c r="Z337" s="80"/>
    </row>
    <row r="338">
      <c r="A338" s="87">
        <v>2927.0</v>
      </c>
      <c r="B338" s="82" t="s">
        <v>588</v>
      </c>
      <c r="C338" s="82" t="s">
        <v>536</v>
      </c>
      <c r="D338" s="110">
        <v>5000.0</v>
      </c>
      <c r="E338" s="110">
        <v>90.0</v>
      </c>
      <c r="F338" s="110">
        <v>51.0</v>
      </c>
      <c r="G338" s="110">
        <v>2119.0</v>
      </c>
      <c r="H338" s="85">
        <v>46161.0</v>
      </c>
      <c r="I338" s="85">
        <v>46212.0</v>
      </c>
      <c r="J338" s="82" t="s">
        <v>535</v>
      </c>
      <c r="K338" s="86">
        <v>1160355.0</v>
      </c>
      <c r="L338" s="110">
        <v>12683.0</v>
      </c>
      <c r="M338" s="80" t="s">
        <v>554</v>
      </c>
      <c r="N338" s="80"/>
      <c r="O338" s="80"/>
      <c r="P338" s="80"/>
      <c r="Q338" s="80"/>
      <c r="R338" s="80"/>
      <c r="S338" s="80"/>
      <c r="T338" s="80"/>
      <c r="U338" s="80"/>
      <c r="V338" s="80"/>
      <c r="W338" s="80"/>
      <c r="X338" s="80"/>
      <c r="Y338" s="80"/>
      <c r="Z338" s="80"/>
    </row>
    <row r="339">
      <c r="A339" s="87">
        <v>2930.0</v>
      </c>
      <c r="B339" s="82" t="s">
        <v>533</v>
      </c>
      <c r="C339" s="82" t="s">
        <v>534</v>
      </c>
      <c r="D339" s="110">
        <v>10000.0</v>
      </c>
      <c r="E339" s="110">
        <v>60.0</v>
      </c>
      <c r="F339" s="110">
        <v>13.0</v>
      </c>
      <c r="G339" s="110">
        <v>4065.0</v>
      </c>
      <c r="H339" s="85">
        <v>46199.0</v>
      </c>
      <c r="I339" s="85">
        <v>46212.0</v>
      </c>
      <c r="J339" s="82" t="s">
        <v>535</v>
      </c>
      <c r="K339" s="86">
        <v>1162005.0</v>
      </c>
      <c r="L339" s="110">
        <v>743122.79</v>
      </c>
      <c r="M339" s="80" t="s">
        <v>545</v>
      </c>
      <c r="N339" s="80"/>
      <c r="O339" s="80"/>
      <c r="P339" s="80"/>
      <c r="Q339" s="80"/>
      <c r="R339" s="80"/>
      <c r="S339" s="80"/>
      <c r="T339" s="80"/>
      <c r="U339" s="80"/>
      <c r="V339" s="80"/>
      <c r="W339" s="80"/>
      <c r="X339" s="80"/>
      <c r="Y339" s="80"/>
      <c r="Z339" s="80"/>
    </row>
    <row r="340">
      <c r="A340" s="87">
        <v>3047.0</v>
      </c>
      <c r="B340" s="82" t="s">
        <v>533</v>
      </c>
      <c r="C340" s="82" t="s">
        <v>536</v>
      </c>
      <c r="D340" s="110">
        <v>10000.0</v>
      </c>
      <c r="E340" s="110">
        <v>90.0</v>
      </c>
      <c r="F340" s="110">
        <v>80.0</v>
      </c>
      <c r="G340" s="110">
        <v>18567.8</v>
      </c>
      <c r="H340" s="85">
        <v>46132.0</v>
      </c>
      <c r="I340" s="85">
        <v>46212.0</v>
      </c>
      <c r="J340" s="82" t="s">
        <v>540</v>
      </c>
      <c r="K340" s="86">
        <v>1156780.0</v>
      </c>
      <c r="L340" s="110">
        <v>944713.97</v>
      </c>
      <c r="M340" s="80" t="s">
        <v>537</v>
      </c>
      <c r="N340" s="80"/>
      <c r="O340" s="80"/>
      <c r="P340" s="80"/>
      <c r="Q340" s="80"/>
      <c r="R340" s="80"/>
      <c r="S340" s="80"/>
      <c r="T340" s="80"/>
      <c r="U340" s="80"/>
      <c r="V340" s="80"/>
      <c r="W340" s="80"/>
      <c r="X340" s="80"/>
      <c r="Y340" s="80"/>
      <c r="Z340" s="80"/>
    </row>
    <row r="341">
      <c r="A341" s="87">
        <v>3048.0</v>
      </c>
      <c r="B341" s="82" t="s">
        <v>533</v>
      </c>
      <c r="C341" s="82" t="s">
        <v>536</v>
      </c>
      <c r="D341" s="110">
        <v>10000.0</v>
      </c>
      <c r="E341" s="110">
        <v>90.0</v>
      </c>
      <c r="F341" s="110">
        <v>62.0</v>
      </c>
      <c r="G341" s="110">
        <v>3533.5</v>
      </c>
      <c r="H341" s="85">
        <v>46150.0</v>
      </c>
      <c r="I341" s="85">
        <v>46212.0</v>
      </c>
      <c r="J341" s="82" t="s">
        <v>535</v>
      </c>
      <c r="K341" s="86">
        <v>1159022.0</v>
      </c>
      <c r="L341" s="110">
        <v>919756.47</v>
      </c>
      <c r="M341" s="80" t="s">
        <v>536</v>
      </c>
      <c r="N341" s="80"/>
      <c r="O341" s="80"/>
      <c r="P341" s="80"/>
      <c r="Q341" s="80"/>
      <c r="R341" s="80"/>
      <c r="S341" s="80"/>
      <c r="T341" s="80"/>
      <c r="U341" s="80"/>
      <c r="V341" s="80"/>
      <c r="W341" s="80"/>
      <c r="X341" s="80"/>
      <c r="Y341" s="80"/>
      <c r="Z341" s="80"/>
    </row>
    <row r="342">
      <c r="A342" s="87">
        <v>3049.0</v>
      </c>
      <c r="B342" s="82" t="s">
        <v>533</v>
      </c>
      <c r="C342" s="82" t="s">
        <v>536</v>
      </c>
      <c r="D342" s="110">
        <v>10000.0</v>
      </c>
      <c r="E342" s="110">
        <v>90.0</v>
      </c>
      <c r="F342" s="110">
        <v>55.0</v>
      </c>
      <c r="G342" s="110">
        <v>4130.3</v>
      </c>
      <c r="H342" s="85">
        <v>46157.0</v>
      </c>
      <c r="I342" s="85">
        <v>46212.0</v>
      </c>
      <c r="J342" s="82" t="s">
        <v>535</v>
      </c>
      <c r="K342" s="86">
        <v>1159971.0</v>
      </c>
      <c r="L342" s="110">
        <v>914086.61</v>
      </c>
      <c r="M342" s="80" t="s">
        <v>537</v>
      </c>
      <c r="N342" s="80"/>
      <c r="O342" s="80"/>
      <c r="P342" s="80"/>
      <c r="Q342" s="80"/>
      <c r="R342" s="80"/>
      <c r="S342" s="80"/>
      <c r="T342" s="80"/>
      <c r="U342" s="80"/>
      <c r="V342" s="80"/>
      <c r="W342" s="80"/>
      <c r="X342" s="80"/>
      <c r="Y342" s="80"/>
      <c r="Z342" s="80"/>
    </row>
    <row r="343">
      <c r="A343" s="87">
        <v>3063.0</v>
      </c>
      <c r="B343" s="82" t="s">
        <v>589</v>
      </c>
      <c r="C343" s="82" t="s">
        <v>534</v>
      </c>
      <c r="D343" s="110">
        <v>10000.0</v>
      </c>
      <c r="E343" s="110">
        <v>60.0</v>
      </c>
      <c r="F343" s="110">
        <v>7.0</v>
      </c>
      <c r="G343" s="110">
        <v>2568.1</v>
      </c>
      <c r="H343" s="85">
        <v>46205.0</v>
      </c>
      <c r="I343" s="85">
        <v>46212.0</v>
      </c>
      <c r="J343" s="82" t="s">
        <v>535</v>
      </c>
      <c r="K343" s="86">
        <v>1162078.0</v>
      </c>
      <c r="L343" s="110">
        <v>102216.66</v>
      </c>
      <c r="M343" s="80" t="s">
        <v>536</v>
      </c>
      <c r="N343" s="80"/>
      <c r="O343" s="80"/>
      <c r="P343" s="80"/>
      <c r="Q343" s="80"/>
      <c r="R343" s="80"/>
      <c r="S343" s="80"/>
      <c r="T343" s="80"/>
      <c r="U343" s="80"/>
      <c r="V343" s="80"/>
      <c r="W343" s="80"/>
      <c r="X343" s="80"/>
      <c r="Y343" s="80"/>
      <c r="Z343" s="80"/>
    </row>
    <row r="344">
      <c r="A344" s="87">
        <v>3064.0</v>
      </c>
      <c r="B344" s="82" t="s">
        <v>589</v>
      </c>
      <c r="C344" s="82" t="s">
        <v>534</v>
      </c>
      <c r="D344" s="110">
        <v>10000.0</v>
      </c>
      <c r="E344" s="110">
        <v>60.0</v>
      </c>
      <c r="F344" s="110">
        <v>28.0</v>
      </c>
      <c r="G344" s="110">
        <v>8796.5</v>
      </c>
      <c r="H344" s="85">
        <v>46184.0</v>
      </c>
      <c r="I344" s="85">
        <v>46212.0</v>
      </c>
      <c r="J344" s="82" t="s">
        <v>535</v>
      </c>
      <c r="K344" s="86">
        <v>1161779.0</v>
      </c>
      <c r="L344" s="110">
        <v>101686.85</v>
      </c>
      <c r="M344" s="80" t="s">
        <v>543</v>
      </c>
      <c r="N344" s="80"/>
      <c r="O344" s="80"/>
      <c r="P344" s="80"/>
      <c r="Q344" s="80"/>
      <c r="R344" s="80"/>
      <c r="S344" s="80"/>
      <c r="T344" s="80"/>
      <c r="U344" s="80"/>
      <c r="V344" s="80"/>
      <c r="W344" s="80"/>
      <c r="X344" s="80"/>
      <c r="Y344" s="80"/>
      <c r="Z344" s="80"/>
    </row>
    <row r="345">
      <c r="A345" s="87">
        <v>3065.0</v>
      </c>
      <c r="B345" s="82" t="s">
        <v>589</v>
      </c>
      <c r="C345" s="82" t="s">
        <v>534</v>
      </c>
      <c r="D345" s="110">
        <v>10000.0</v>
      </c>
      <c r="E345" s="110">
        <v>60.0</v>
      </c>
      <c r="F345" s="110">
        <v>9.0</v>
      </c>
      <c r="G345" s="110">
        <v>2994.5</v>
      </c>
      <c r="H345" s="85">
        <v>46203.0</v>
      </c>
      <c r="I345" s="85">
        <v>46212.0</v>
      </c>
      <c r="J345" s="82" t="s">
        <v>535</v>
      </c>
      <c r="K345" s="86">
        <v>1162042.0</v>
      </c>
      <c r="L345" s="110">
        <v>106143.03</v>
      </c>
      <c r="M345" s="80" t="s">
        <v>549</v>
      </c>
      <c r="N345" s="80"/>
      <c r="O345" s="80"/>
      <c r="P345" s="80"/>
      <c r="Q345" s="80"/>
      <c r="R345" s="80"/>
      <c r="S345" s="80"/>
      <c r="T345" s="80"/>
      <c r="U345" s="80"/>
      <c r="V345" s="80"/>
      <c r="W345" s="80"/>
      <c r="X345" s="80"/>
      <c r="Y345" s="80"/>
      <c r="Z345" s="80"/>
    </row>
    <row r="346">
      <c r="A346" s="87">
        <v>3066.0</v>
      </c>
      <c r="B346" s="82" t="s">
        <v>589</v>
      </c>
      <c r="C346" s="82" t="s">
        <v>534</v>
      </c>
      <c r="D346" s="110">
        <v>10000.0</v>
      </c>
      <c r="E346" s="110">
        <v>60.0</v>
      </c>
      <c r="F346" s="110">
        <v>28.0</v>
      </c>
      <c r="G346" s="110">
        <v>8846.3</v>
      </c>
      <c r="H346" s="85">
        <v>46184.0</v>
      </c>
      <c r="I346" s="85">
        <v>46212.0</v>
      </c>
      <c r="J346" s="82" t="s">
        <v>535</v>
      </c>
      <c r="K346" s="86">
        <v>1161747.0</v>
      </c>
      <c r="L346" s="110">
        <v>95918.93</v>
      </c>
      <c r="M346" s="80" t="s">
        <v>545</v>
      </c>
      <c r="N346" s="80"/>
      <c r="O346" s="80"/>
      <c r="P346" s="80"/>
      <c r="Q346" s="80"/>
      <c r="R346" s="80"/>
      <c r="S346" s="80"/>
      <c r="T346" s="80"/>
      <c r="U346" s="80"/>
      <c r="V346" s="80"/>
      <c r="W346" s="80"/>
      <c r="X346" s="80"/>
      <c r="Y346" s="80"/>
      <c r="Z346" s="80"/>
    </row>
    <row r="347">
      <c r="A347" s="87">
        <v>3067.0</v>
      </c>
      <c r="B347" s="82" t="s">
        <v>589</v>
      </c>
      <c r="C347" s="82" t="s">
        <v>534</v>
      </c>
      <c r="D347" s="110">
        <v>10000.0</v>
      </c>
      <c r="E347" s="110">
        <v>60.0</v>
      </c>
      <c r="F347" s="110">
        <v>14.0</v>
      </c>
      <c r="G347" s="110">
        <v>4093.4</v>
      </c>
      <c r="H347" s="85">
        <v>46198.0</v>
      </c>
      <c r="I347" s="85">
        <v>46212.0</v>
      </c>
      <c r="J347" s="82" t="s">
        <v>535</v>
      </c>
      <c r="K347" s="86">
        <v>1161990.0</v>
      </c>
      <c r="L347" s="110">
        <v>93286.94</v>
      </c>
      <c r="M347" s="80" t="s">
        <v>547</v>
      </c>
      <c r="N347" s="80"/>
      <c r="O347" s="80"/>
      <c r="P347" s="80"/>
      <c r="Q347" s="80"/>
      <c r="R347" s="80"/>
      <c r="S347" s="80"/>
      <c r="T347" s="80"/>
      <c r="U347" s="80"/>
      <c r="V347" s="80"/>
      <c r="W347" s="80"/>
      <c r="X347" s="80"/>
      <c r="Y347" s="80"/>
      <c r="Z347" s="80"/>
    </row>
    <row r="348">
      <c r="A348" s="87">
        <v>3068.0</v>
      </c>
      <c r="B348" s="82" t="s">
        <v>589</v>
      </c>
      <c r="C348" s="82" t="s">
        <v>534</v>
      </c>
      <c r="D348" s="110">
        <v>10000.0</v>
      </c>
      <c r="E348" s="110">
        <v>60.0</v>
      </c>
      <c r="F348" s="110">
        <v>1.0</v>
      </c>
      <c r="G348" s="110">
        <v>0.0</v>
      </c>
      <c r="H348" s="85">
        <v>46211.0</v>
      </c>
      <c r="I348" s="85">
        <v>46212.0</v>
      </c>
      <c r="J348" s="82" t="s">
        <v>535</v>
      </c>
      <c r="K348" s="86">
        <v>1162203.0</v>
      </c>
      <c r="L348" s="110">
        <v>109759.42</v>
      </c>
      <c r="M348" s="80" t="s">
        <v>539</v>
      </c>
      <c r="N348" s="80"/>
      <c r="O348" s="80"/>
      <c r="P348" s="80"/>
      <c r="Q348" s="80"/>
      <c r="R348" s="80"/>
      <c r="S348" s="80"/>
      <c r="T348" s="80"/>
      <c r="U348" s="80"/>
      <c r="V348" s="80"/>
      <c r="W348" s="80"/>
      <c r="X348" s="80"/>
      <c r="Y348" s="80"/>
      <c r="Z348" s="80"/>
    </row>
    <row r="349">
      <c r="A349" s="87">
        <v>3069.0</v>
      </c>
      <c r="B349" s="82" t="s">
        <v>589</v>
      </c>
      <c r="C349" s="82" t="s">
        <v>534</v>
      </c>
      <c r="D349" s="110">
        <v>10000.0</v>
      </c>
      <c r="E349" s="110">
        <v>60.0</v>
      </c>
      <c r="F349" s="110">
        <v>28.0</v>
      </c>
      <c r="G349" s="110">
        <v>9527.6</v>
      </c>
      <c r="H349" s="85">
        <v>46184.0</v>
      </c>
      <c r="I349" s="85">
        <v>46212.0</v>
      </c>
      <c r="J349" s="82" t="s">
        <v>535</v>
      </c>
      <c r="K349" s="86">
        <v>1161746.0</v>
      </c>
      <c r="L349" s="110">
        <v>98101.74</v>
      </c>
      <c r="M349" s="80" t="s">
        <v>543</v>
      </c>
      <c r="N349" s="80"/>
      <c r="O349" s="80"/>
      <c r="P349" s="80"/>
      <c r="Q349" s="80"/>
      <c r="R349" s="80"/>
      <c r="S349" s="80"/>
      <c r="T349" s="80"/>
      <c r="U349" s="80"/>
      <c r="V349" s="80"/>
      <c r="W349" s="80"/>
      <c r="X349" s="80"/>
      <c r="Y349" s="80"/>
      <c r="Z349" s="80"/>
    </row>
    <row r="350">
      <c r="A350" s="87">
        <v>3070.0</v>
      </c>
      <c r="B350" s="82" t="s">
        <v>589</v>
      </c>
      <c r="C350" s="82" t="s">
        <v>534</v>
      </c>
      <c r="D350" s="110">
        <v>10000.0</v>
      </c>
      <c r="E350" s="110">
        <v>60.0</v>
      </c>
      <c r="F350" s="110">
        <v>111.0</v>
      </c>
      <c r="G350" s="110">
        <v>32776.4</v>
      </c>
      <c r="H350" s="85">
        <v>46101.0</v>
      </c>
      <c r="I350" s="85">
        <v>46212.0</v>
      </c>
      <c r="J350" s="82" t="s">
        <v>540</v>
      </c>
      <c r="K350" s="86">
        <v>1153952.0</v>
      </c>
      <c r="L350" s="110">
        <v>82042.14</v>
      </c>
      <c r="M350" s="80" t="s">
        <v>564</v>
      </c>
      <c r="N350" s="80"/>
      <c r="O350" s="80"/>
      <c r="P350" s="80"/>
      <c r="Q350" s="80"/>
      <c r="R350" s="80"/>
      <c r="S350" s="80"/>
      <c r="T350" s="80"/>
      <c r="U350" s="80"/>
      <c r="V350" s="80"/>
      <c r="W350" s="80"/>
      <c r="X350" s="80"/>
      <c r="Y350" s="80"/>
      <c r="Z350" s="80"/>
    </row>
    <row r="351">
      <c r="A351" s="87">
        <v>3071.0</v>
      </c>
      <c r="B351" s="82" t="s">
        <v>589</v>
      </c>
      <c r="C351" s="82" t="s">
        <v>534</v>
      </c>
      <c r="D351" s="110">
        <v>10000.0</v>
      </c>
      <c r="E351" s="110">
        <v>60.0</v>
      </c>
      <c r="F351" s="110">
        <v>41.0</v>
      </c>
      <c r="G351" s="110">
        <v>13982.5</v>
      </c>
      <c r="H351" s="85">
        <v>46171.0</v>
      </c>
      <c r="I351" s="85">
        <v>46212.0</v>
      </c>
      <c r="J351" s="82" t="s">
        <v>540</v>
      </c>
      <c r="K351" s="86">
        <v>1161494.0</v>
      </c>
      <c r="L351" s="110">
        <v>73265.24</v>
      </c>
      <c r="M351" s="80" t="s">
        <v>547</v>
      </c>
      <c r="N351" s="80"/>
      <c r="O351" s="80"/>
      <c r="P351" s="80"/>
      <c r="Q351" s="80"/>
      <c r="R351" s="80"/>
      <c r="S351" s="80"/>
      <c r="T351" s="80"/>
      <c r="U351" s="80"/>
      <c r="V351" s="80"/>
      <c r="W351" s="80"/>
      <c r="X351" s="80"/>
      <c r="Y351" s="80"/>
      <c r="Z351" s="80"/>
    </row>
    <row r="352">
      <c r="A352" s="87">
        <v>3072.0</v>
      </c>
      <c r="B352" s="82" t="s">
        <v>589</v>
      </c>
      <c r="C352" s="82" t="s">
        <v>534</v>
      </c>
      <c r="D352" s="110">
        <v>10000.0</v>
      </c>
      <c r="E352" s="110">
        <v>60.0</v>
      </c>
      <c r="F352" s="110">
        <v>37.0</v>
      </c>
      <c r="G352" s="110">
        <v>11715.8</v>
      </c>
      <c r="H352" s="85">
        <v>46175.0</v>
      </c>
      <c r="I352" s="85">
        <v>46212.0</v>
      </c>
      <c r="J352" s="82" t="s">
        <v>540</v>
      </c>
      <c r="K352" s="86">
        <v>1161558.0</v>
      </c>
      <c r="L352" s="110">
        <v>95014.33</v>
      </c>
      <c r="M352" s="80" t="s">
        <v>539</v>
      </c>
      <c r="N352" s="80"/>
      <c r="O352" s="80"/>
      <c r="P352" s="80"/>
      <c r="Q352" s="80"/>
      <c r="R352" s="80"/>
      <c r="S352" s="80"/>
      <c r="T352" s="80"/>
      <c r="U352" s="80"/>
      <c r="V352" s="80"/>
      <c r="W352" s="80"/>
      <c r="X352" s="80"/>
      <c r="Y352" s="80"/>
      <c r="Z352" s="80"/>
    </row>
    <row r="353">
      <c r="A353" s="87">
        <v>3073.0</v>
      </c>
      <c r="B353" s="82" t="s">
        <v>589</v>
      </c>
      <c r="C353" s="82" t="s">
        <v>534</v>
      </c>
      <c r="D353" s="110">
        <v>10000.0</v>
      </c>
      <c r="E353" s="110">
        <v>60.0</v>
      </c>
      <c r="F353" s="110">
        <v>58.0</v>
      </c>
      <c r="G353" s="110">
        <v>17868.8</v>
      </c>
      <c r="H353" s="85">
        <v>46154.0</v>
      </c>
      <c r="I353" s="85">
        <v>46212.0</v>
      </c>
      <c r="J353" s="82" t="s">
        <v>540</v>
      </c>
      <c r="K353" s="86">
        <v>1159552.0</v>
      </c>
      <c r="L353" s="110">
        <v>89780.79</v>
      </c>
      <c r="M353" s="80" t="s">
        <v>542</v>
      </c>
      <c r="N353" s="80"/>
      <c r="O353" s="80"/>
      <c r="P353" s="80"/>
      <c r="Q353" s="80"/>
      <c r="R353" s="80"/>
      <c r="S353" s="80"/>
      <c r="T353" s="80"/>
      <c r="U353" s="80"/>
      <c r="V353" s="80"/>
      <c r="W353" s="80"/>
      <c r="X353" s="80"/>
      <c r="Y353" s="80"/>
      <c r="Z353" s="80"/>
    </row>
    <row r="354">
      <c r="A354" s="87">
        <v>3074.0</v>
      </c>
      <c r="B354" s="82" t="s">
        <v>589</v>
      </c>
      <c r="C354" s="82" t="s">
        <v>534</v>
      </c>
      <c r="D354" s="110">
        <v>10000.0</v>
      </c>
      <c r="E354" s="110">
        <v>60.0</v>
      </c>
      <c r="F354" s="110">
        <v>8.0</v>
      </c>
      <c r="G354" s="110">
        <v>2141.1</v>
      </c>
      <c r="H354" s="85">
        <v>46204.0</v>
      </c>
      <c r="I354" s="85">
        <v>46212.0</v>
      </c>
      <c r="J354" s="82" t="s">
        <v>535</v>
      </c>
      <c r="K354" s="86">
        <v>1162063.0</v>
      </c>
      <c r="L354" s="110">
        <v>101310.43</v>
      </c>
      <c r="M354" s="80" t="s">
        <v>549</v>
      </c>
      <c r="N354" s="80"/>
      <c r="O354" s="80"/>
      <c r="P354" s="80"/>
      <c r="Q354" s="80"/>
      <c r="R354" s="80"/>
      <c r="S354" s="80"/>
      <c r="T354" s="80"/>
      <c r="U354" s="80"/>
      <c r="V354" s="80"/>
      <c r="W354" s="80"/>
      <c r="X354" s="80"/>
      <c r="Y354" s="80"/>
      <c r="Z354" s="80"/>
    </row>
    <row r="355">
      <c r="A355" s="87">
        <v>3075.0</v>
      </c>
      <c r="B355" s="82" t="s">
        <v>589</v>
      </c>
      <c r="C355" s="82" t="s">
        <v>534</v>
      </c>
      <c r="D355" s="110">
        <v>10000.0</v>
      </c>
      <c r="E355" s="110">
        <v>60.0</v>
      </c>
      <c r="F355" s="110">
        <v>14.0</v>
      </c>
      <c r="G355" s="110">
        <v>3695.7</v>
      </c>
      <c r="H355" s="85">
        <v>46198.0</v>
      </c>
      <c r="I355" s="85">
        <v>46212.0</v>
      </c>
      <c r="J355" s="82" t="s">
        <v>535</v>
      </c>
      <c r="K355" s="86">
        <v>1161989.0</v>
      </c>
      <c r="L355" s="110">
        <v>86292.61</v>
      </c>
      <c r="M355" s="80" t="s">
        <v>539</v>
      </c>
      <c r="N355" s="80"/>
      <c r="O355" s="80"/>
      <c r="P355" s="80"/>
      <c r="Q355" s="80"/>
      <c r="R355" s="80"/>
      <c r="S355" s="80"/>
      <c r="T355" s="80"/>
      <c r="U355" s="80"/>
      <c r="V355" s="80"/>
      <c r="W355" s="80"/>
      <c r="X355" s="80"/>
      <c r="Y355" s="80"/>
      <c r="Z355" s="80"/>
    </row>
    <row r="356">
      <c r="A356" s="87">
        <v>3076.0</v>
      </c>
      <c r="B356" s="82" t="s">
        <v>589</v>
      </c>
      <c r="C356" s="82" t="s">
        <v>534</v>
      </c>
      <c r="D356" s="110">
        <v>10000.0</v>
      </c>
      <c r="E356" s="110">
        <v>60.0</v>
      </c>
      <c r="F356" s="110">
        <v>6.0</v>
      </c>
      <c r="G356" s="110">
        <v>1737.2</v>
      </c>
      <c r="H356" s="85">
        <v>46206.0</v>
      </c>
      <c r="I356" s="85">
        <v>46212.0</v>
      </c>
      <c r="J356" s="82" t="s">
        <v>535</v>
      </c>
      <c r="K356" s="86">
        <v>1162110.0</v>
      </c>
      <c r="L356" s="110">
        <v>23641.83</v>
      </c>
      <c r="M356" s="80" t="s">
        <v>539</v>
      </c>
      <c r="N356" s="80"/>
      <c r="O356" s="80"/>
      <c r="P356" s="80"/>
      <c r="Q356" s="80"/>
      <c r="R356" s="80"/>
      <c r="S356" s="80"/>
      <c r="T356" s="80"/>
      <c r="U356" s="80"/>
      <c r="V356" s="80"/>
      <c r="W356" s="80"/>
      <c r="X356" s="80"/>
      <c r="Y356" s="80"/>
      <c r="Z356" s="80"/>
    </row>
    <row r="357">
      <c r="A357" s="87">
        <v>3077.0</v>
      </c>
      <c r="B357" s="82" t="s">
        <v>589</v>
      </c>
      <c r="C357" s="82" t="s">
        <v>534</v>
      </c>
      <c r="D357" s="110">
        <v>10000.0</v>
      </c>
      <c r="E357" s="110">
        <v>60.0</v>
      </c>
      <c r="F357" s="110">
        <v>174.0</v>
      </c>
      <c r="G357" s="110">
        <v>54032.2</v>
      </c>
      <c r="H357" s="85">
        <v>46038.0</v>
      </c>
      <c r="I357" s="85">
        <v>46212.0</v>
      </c>
      <c r="J357" s="82" t="s">
        <v>540</v>
      </c>
      <c r="K357" s="86">
        <v>1146342.0</v>
      </c>
      <c r="L357" s="110">
        <v>54293.86</v>
      </c>
      <c r="M357" s="80" t="s">
        <v>547</v>
      </c>
      <c r="N357" s="80"/>
      <c r="O357" s="80"/>
      <c r="P357" s="80"/>
      <c r="Q357" s="80"/>
      <c r="R357" s="80"/>
      <c r="S357" s="80"/>
      <c r="T357" s="80"/>
      <c r="U357" s="80"/>
      <c r="V357" s="80"/>
      <c r="W357" s="80"/>
      <c r="X357" s="80"/>
      <c r="Y357" s="80"/>
      <c r="Z357" s="80"/>
    </row>
    <row r="358">
      <c r="A358" s="87">
        <v>3078.0</v>
      </c>
      <c r="B358" s="82" t="s">
        <v>589</v>
      </c>
      <c r="C358" s="82" t="s">
        <v>534</v>
      </c>
      <c r="D358" s="110">
        <v>10000.0</v>
      </c>
      <c r="E358" s="110">
        <v>60.0</v>
      </c>
      <c r="F358" s="110">
        <v>49.0</v>
      </c>
      <c r="G358" s="110">
        <v>16941.3</v>
      </c>
      <c r="H358" s="85">
        <v>46163.0</v>
      </c>
      <c r="I358" s="85">
        <v>46212.0</v>
      </c>
      <c r="J358" s="82" t="s">
        <v>540</v>
      </c>
      <c r="K358" s="86">
        <v>1160709.0</v>
      </c>
      <c r="L358" s="110">
        <v>96357.12</v>
      </c>
      <c r="M358" s="80" t="s">
        <v>539</v>
      </c>
      <c r="N358" s="80"/>
      <c r="O358" s="80"/>
      <c r="P358" s="80"/>
      <c r="Q358" s="80"/>
      <c r="R358" s="80"/>
      <c r="S358" s="80"/>
      <c r="T358" s="80"/>
      <c r="U358" s="80"/>
      <c r="V358" s="80"/>
      <c r="W358" s="80"/>
      <c r="X358" s="80"/>
      <c r="Y358" s="80"/>
      <c r="Z358" s="80"/>
    </row>
    <row r="359">
      <c r="A359" s="87">
        <v>3079.0</v>
      </c>
      <c r="B359" s="82" t="s">
        <v>589</v>
      </c>
      <c r="C359" s="82" t="s">
        <v>534</v>
      </c>
      <c r="D359" s="110">
        <v>10000.0</v>
      </c>
      <c r="E359" s="110">
        <v>60.0</v>
      </c>
      <c r="F359" s="110">
        <v>36.0</v>
      </c>
      <c r="G359" s="110">
        <v>11821.5</v>
      </c>
      <c r="H359" s="85">
        <v>46176.0</v>
      </c>
      <c r="I359" s="85">
        <v>46212.0</v>
      </c>
      <c r="J359" s="82" t="s">
        <v>540</v>
      </c>
      <c r="K359" s="86">
        <v>1161589.0</v>
      </c>
      <c r="L359" s="110">
        <v>110763.6</v>
      </c>
      <c r="M359" s="80" t="s">
        <v>541</v>
      </c>
      <c r="N359" s="80"/>
      <c r="O359" s="80"/>
      <c r="P359" s="80"/>
      <c r="Q359" s="80"/>
      <c r="R359" s="80"/>
      <c r="S359" s="80"/>
      <c r="T359" s="80"/>
      <c r="U359" s="80"/>
      <c r="V359" s="80"/>
      <c r="W359" s="80"/>
      <c r="X359" s="80"/>
      <c r="Y359" s="80"/>
      <c r="Z359" s="80"/>
    </row>
    <row r="360">
      <c r="A360" s="87">
        <v>3080.0</v>
      </c>
      <c r="B360" s="82" t="s">
        <v>589</v>
      </c>
      <c r="C360" s="82" t="s">
        <v>534</v>
      </c>
      <c r="D360" s="110">
        <v>10000.0</v>
      </c>
      <c r="E360" s="110">
        <v>60.0</v>
      </c>
      <c r="F360" s="110">
        <v>154.0</v>
      </c>
      <c r="G360" s="110">
        <v>52102.1</v>
      </c>
      <c r="H360" s="85">
        <v>46058.0</v>
      </c>
      <c r="I360" s="85">
        <v>46212.0</v>
      </c>
      <c r="J360" s="82" t="s">
        <v>540</v>
      </c>
      <c r="K360" s="86">
        <v>1148589.0</v>
      </c>
      <c r="L360" s="110">
        <v>54879.68</v>
      </c>
      <c r="M360" s="80" t="s">
        <v>562</v>
      </c>
      <c r="N360" s="80"/>
      <c r="O360" s="80"/>
      <c r="P360" s="80"/>
      <c r="Q360" s="80"/>
      <c r="R360" s="80"/>
      <c r="S360" s="80"/>
      <c r="T360" s="80"/>
      <c r="U360" s="80"/>
      <c r="V360" s="80"/>
      <c r="W360" s="80"/>
      <c r="X360" s="80"/>
      <c r="Y360" s="80"/>
      <c r="Z360" s="80"/>
    </row>
    <row r="361">
      <c r="A361" s="87">
        <v>3081.0</v>
      </c>
      <c r="B361" s="82" t="s">
        <v>589</v>
      </c>
      <c r="C361" s="82" t="s">
        <v>534</v>
      </c>
      <c r="D361" s="110">
        <v>10000.0</v>
      </c>
      <c r="E361" s="110">
        <v>60.0</v>
      </c>
      <c r="F361" s="110">
        <v>55.0</v>
      </c>
      <c r="G361" s="110">
        <v>18503.3</v>
      </c>
      <c r="H361" s="85">
        <v>46157.0</v>
      </c>
      <c r="I361" s="85">
        <v>46212.0</v>
      </c>
      <c r="J361" s="82" t="s">
        <v>540</v>
      </c>
      <c r="K361" s="86">
        <v>1160047.0</v>
      </c>
      <c r="L361" s="110">
        <v>84917.87</v>
      </c>
      <c r="M361" s="80" t="s">
        <v>541</v>
      </c>
      <c r="N361" s="80"/>
      <c r="O361" s="80"/>
      <c r="P361" s="80"/>
      <c r="Q361" s="80"/>
      <c r="R361" s="80"/>
      <c r="S361" s="80"/>
      <c r="T361" s="80"/>
      <c r="U361" s="80"/>
      <c r="V361" s="80"/>
      <c r="W361" s="80"/>
      <c r="X361" s="80"/>
      <c r="Y361" s="80"/>
      <c r="Z361" s="80"/>
    </row>
    <row r="362">
      <c r="A362" s="87">
        <v>3082.0</v>
      </c>
      <c r="B362" s="82" t="s">
        <v>589</v>
      </c>
      <c r="C362" s="82" t="s">
        <v>534</v>
      </c>
      <c r="D362" s="110">
        <v>10000.0</v>
      </c>
      <c r="E362" s="110">
        <v>60.0</v>
      </c>
      <c r="F362" s="110">
        <v>30.0</v>
      </c>
      <c r="G362" s="110">
        <v>7352.4</v>
      </c>
      <c r="H362" s="85">
        <v>46182.0</v>
      </c>
      <c r="I362" s="85">
        <v>46212.0</v>
      </c>
      <c r="J362" s="82" t="s">
        <v>535</v>
      </c>
      <c r="K362" s="86">
        <v>1161697.0</v>
      </c>
      <c r="L362" s="110">
        <v>103412.41</v>
      </c>
      <c r="M362" s="80" t="s">
        <v>536</v>
      </c>
      <c r="N362" s="80"/>
      <c r="O362" s="80"/>
      <c r="P362" s="80"/>
      <c r="Q362" s="80"/>
      <c r="R362" s="80"/>
      <c r="S362" s="80"/>
      <c r="T362" s="80"/>
      <c r="U362" s="80"/>
      <c r="V362" s="80"/>
      <c r="W362" s="80"/>
      <c r="X362" s="80"/>
      <c r="Y362" s="80"/>
      <c r="Z362" s="80"/>
    </row>
    <row r="363">
      <c r="A363" s="87">
        <v>3083.0</v>
      </c>
      <c r="B363" s="82" t="s">
        <v>589</v>
      </c>
      <c r="C363" s="82" t="s">
        <v>534</v>
      </c>
      <c r="D363" s="110">
        <v>10000.0</v>
      </c>
      <c r="E363" s="110">
        <v>60.0</v>
      </c>
      <c r="F363" s="110">
        <v>83.0</v>
      </c>
      <c r="G363" s="110">
        <v>30757.8</v>
      </c>
      <c r="H363" s="85">
        <v>46129.0</v>
      </c>
      <c r="I363" s="85">
        <v>46212.0</v>
      </c>
      <c r="J363" s="82" t="s">
        <v>540</v>
      </c>
      <c r="K363" s="86">
        <v>1156571.0</v>
      </c>
      <c r="L363" s="110">
        <v>73671.21</v>
      </c>
      <c r="M363" s="80" t="s">
        <v>541</v>
      </c>
      <c r="N363" s="80"/>
      <c r="O363" s="80"/>
      <c r="P363" s="80"/>
      <c r="Q363" s="80"/>
      <c r="R363" s="80"/>
      <c r="S363" s="80"/>
      <c r="T363" s="80"/>
      <c r="U363" s="80"/>
      <c r="V363" s="80"/>
      <c r="W363" s="80"/>
      <c r="X363" s="80"/>
      <c r="Y363" s="80"/>
      <c r="Z363" s="80"/>
    </row>
    <row r="364">
      <c r="A364" s="87">
        <v>3084.0</v>
      </c>
      <c r="B364" s="82" t="s">
        <v>589</v>
      </c>
      <c r="C364" s="82" t="s">
        <v>534</v>
      </c>
      <c r="D364" s="110">
        <v>10000.0</v>
      </c>
      <c r="E364" s="110">
        <v>60.0</v>
      </c>
      <c r="F364" s="110">
        <v>27.0</v>
      </c>
      <c r="G364" s="110">
        <v>9562.3</v>
      </c>
      <c r="H364" s="85">
        <v>46185.0</v>
      </c>
      <c r="I364" s="85">
        <v>46212.0</v>
      </c>
      <c r="J364" s="82" t="s">
        <v>535</v>
      </c>
      <c r="K364" s="86">
        <v>1161793.0</v>
      </c>
      <c r="L364" s="110">
        <v>103820.77</v>
      </c>
      <c r="M364" s="80" t="s">
        <v>536</v>
      </c>
      <c r="N364" s="80"/>
      <c r="O364" s="80"/>
      <c r="P364" s="80"/>
      <c r="Q364" s="80"/>
      <c r="R364" s="80"/>
      <c r="S364" s="80"/>
      <c r="T364" s="80"/>
      <c r="U364" s="80"/>
      <c r="V364" s="80"/>
      <c r="W364" s="80"/>
      <c r="X364" s="80"/>
      <c r="Y364" s="80"/>
      <c r="Z364" s="80"/>
    </row>
    <row r="365">
      <c r="A365" s="87">
        <v>3085.0</v>
      </c>
      <c r="B365" s="82" t="s">
        <v>589</v>
      </c>
      <c r="C365" s="82" t="s">
        <v>534</v>
      </c>
      <c r="D365" s="110">
        <v>10000.0</v>
      </c>
      <c r="E365" s="110">
        <v>60.0</v>
      </c>
      <c r="F365" s="110">
        <v>7.0</v>
      </c>
      <c r="G365" s="110">
        <v>2376.5</v>
      </c>
      <c r="H365" s="85">
        <v>46205.0</v>
      </c>
      <c r="I365" s="85">
        <v>46212.0</v>
      </c>
      <c r="J365" s="82" t="s">
        <v>535</v>
      </c>
      <c r="K365" s="86">
        <v>1162076.0</v>
      </c>
      <c r="L365" s="110">
        <v>116357.65</v>
      </c>
      <c r="M365" s="80" t="s">
        <v>543</v>
      </c>
      <c r="N365" s="80"/>
      <c r="O365" s="80"/>
      <c r="P365" s="80"/>
      <c r="Q365" s="80"/>
      <c r="R365" s="80"/>
      <c r="S365" s="80"/>
      <c r="T365" s="80"/>
      <c r="U365" s="80"/>
      <c r="V365" s="80"/>
      <c r="W365" s="80"/>
      <c r="X365" s="80"/>
      <c r="Y365" s="80"/>
      <c r="Z365" s="80"/>
    </row>
    <row r="366">
      <c r="A366" s="87">
        <v>3086.0</v>
      </c>
      <c r="B366" s="82" t="s">
        <v>589</v>
      </c>
      <c r="C366" s="82" t="s">
        <v>534</v>
      </c>
      <c r="D366" s="110">
        <v>10000.0</v>
      </c>
      <c r="E366" s="110">
        <v>60.0</v>
      </c>
      <c r="F366" s="110">
        <v>2.0</v>
      </c>
      <c r="G366" s="110">
        <v>425.1</v>
      </c>
      <c r="H366" s="85">
        <v>46210.0</v>
      </c>
      <c r="I366" s="85">
        <v>46212.0</v>
      </c>
      <c r="J366" s="82" t="s">
        <v>535</v>
      </c>
      <c r="K366" s="86">
        <v>1162156.0</v>
      </c>
      <c r="L366" s="110">
        <v>108140.19</v>
      </c>
      <c r="M366" s="80" t="s">
        <v>536</v>
      </c>
      <c r="N366" s="80"/>
      <c r="O366" s="80"/>
      <c r="P366" s="80"/>
      <c r="Q366" s="80"/>
      <c r="R366" s="80"/>
      <c r="S366" s="80"/>
      <c r="T366" s="80"/>
      <c r="U366" s="80"/>
      <c r="V366" s="80"/>
      <c r="W366" s="80"/>
      <c r="X366" s="80"/>
      <c r="Y366" s="80"/>
      <c r="Z366" s="80"/>
    </row>
    <row r="367">
      <c r="A367" s="87">
        <v>3087.0</v>
      </c>
      <c r="B367" s="82" t="s">
        <v>589</v>
      </c>
      <c r="C367" s="82" t="s">
        <v>534</v>
      </c>
      <c r="D367" s="110">
        <v>10000.0</v>
      </c>
      <c r="E367" s="110">
        <v>60.0</v>
      </c>
      <c r="F367" s="110">
        <v>15.0</v>
      </c>
      <c r="G367" s="110">
        <v>5592.2</v>
      </c>
      <c r="H367" s="85">
        <v>46197.0</v>
      </c>
      <c r="I367" s="85">
        <v>46212.0</v>
      </c>
      <c r="J367" s="82" t="s">
        <v>535</v>
      </c>
      <c r="K367" s="86">
        <v>1161961.0</v>
      </c>
      <c r="L367" s="110">
        <v>102567.78</v>
      </c>
      <c r="M367" s="80" t="s">
        <v>536</v>
      </c>
      <c r="N367" s="80"/>
      <c r="O367" s="80"/>
      <c r="P367" s="80"/>
      <c r="Q367" s="80"/>
      <c r="R367" s="80"/>
      <c r="S367" s="80"/>
      <c r="T367" s="80"/>
      <c r="U367" s="80"/>
      <c r="V367" s="80"/>
      <c r="W367" s="80"/>
      <c r="X367" s="80"/>
      <c r="Y367" s="80"/>
      <c r="Z367" s="80"/>
    </row>
    <row r="368">
      <c r="A368" s="87">
        <v>3088.0</v>
      </c>
      <c r="B368" s="82" t="s">
        <v>589</v>
      </c>
      <c r="C368" s="82" t="s">
        <v>534</v>
      </c>
      <c r="D368" s="110">
        <v>10000.0</v>
      </c>
      <c r="E368" s="110">
        <v>60.0</v>
      </c>
      <c r="F368" s="110">
        <v>54.0</v>
      </c>
      <c r="G368" s="110">
        <v>17456.5</v>
      </c>
      <c r="H368" s="85">
        <v>46158.0</v>
      </c>
      <c r="I368" s="85">
        <v>46212.0</v>
      </c>
      <c r="J368" s="82" t="s">
        <v>540</v>
      </c>
      <c r="K368" s="86">
        <v>1160103.0</v>
      </c>
      <c r="L368" s="110">
        <v>86504.68</v>
      </c>
      <c r="M368" s="80" t="s">
        <v>542</v>
      </c>
      <c r="N368" s="80"/>
      <c r="O368" s="80"/>
      <c r="P368" s="80"/>
      <c r="Q368" s="80"/>
      <c r="R368" s="80"/>
      <c r="S368" s="80"/>
      <c r="T368" s="80"/>
      <c r="U368" s="80"/>
      <c r="V368" s="80"/>
      <c r="W368" s="80"/>
      <c r="X368" s="80"/>
      <c r="Y368" s="80"/>
      <c r="Z368" s="80"/>
    </row>
    <row r="369">
      <c r="A369" s="87">
        <v>3089.0</v>
      </c>
      <c r="B369" s="82" t="s">
        <v>589</v>
      </c>
      <c r="C369" s="82" t="s">
        <v>534</v>
      </c>
      <c r="D369" s="110">
        <v>10000.0</v>
      </c>
      <c r="E369" s="110">
        <v>60.0</v>
      </c>
      <c r="F369" s="110">
        <v>23.0</v>
      </c>
      <c r="G369" s="110">
        <v>8532.5</v>
      </c>
      <c r="H369" s="85">
        <v>46189.0</v>
      </c>
      <c r="I369" s="85">
        <v>46212.0</v>
      </c>
      <c r="J369" s="82" t="s">
        <v>535</v>
      </c>
      <c r="K369" s="86">
        <v>1161829.0</v>
      </c>
      <c r="L369" s="110">
        <v>105745.35</v>
      </c>
      <c r="M369" s="80" t="s">
        <v>537</v>
      </c>
      <c r="N369" s="80"/>
      <c r="O369" s="80"/>
      <c r="P369" s="80"/>
      <c r="Q369" s="80"/>
      <c r="R369" s="80"/>
      <c r="S369" s="80"/>
      <c r="T369" s="80"/>
      <c r="U369" s="80"/>
      <c r="V369" s="80"/>
      <c r="W369" s="80"/>
      <c r="X369" s="80"/>
      <c r="Y369" s="80"/>
      <c r="Z369" s="80"/>
    </row>
    <row r="370">
      <c r="A370" s="87">
        <v>3090.0</v>
      </c>
      <c r="B370" s="82" t="s">
        <v>589</v>
      </c>
      <c r="C370" s="82" t="s">
        <v>534</v>
      </c>
      <c r="D370" s="110">
        <v>10000.0</v>
      </c>
      <c r="E370" s="110">
        <v>60.0</v>
      </c>
      <c r="F370" s="110">
        <v>14.0</v>
      </c>
      <c r="G370" s="110">
        <v>3849.7</v>
      </c>
      <c r="H370" s="85">
        <v>46198.0</v>
      </c>
      <c r="I370" s="85">
        <v>46212.0</v>
      </c>
      <c r="J370" s="82" t="s">
        <v>535</v>
      </c>
      <c r="K370" s="86">
        <v>1161988.0</v>
      </c>
      <c r="L370" s="110">
        <v>105397.9</v>
      </c>
      <c r="M370" s="80" t="s">
        <v>537</v>
      </c>
      <c r="N370" s="80"/>
      <c r="O370" s="80"/>
      <c r="P370" s="80"/>
      <c r="Q370" s="80"/>
      <c r="R370" s="80"/>
      <c r="S370" s="80"/>
      <c r="T370" s="80"/>
      <c r="U370" s="80"/>
      <c r="V370" s="80"/>
      <c r="W370" s="80"/>
      <c r="X370" s="80"/>
      <c r="Y370" s="80"/>
      <c r="Z370" s="80"/>
    </row>
    <row r="371">
      <c r="A371" s="87">
        <v>3091.0</v>
      </c>
      <c r="B371" s="82" t="s">
        <v>589</v>
      </c>
      <c r="C371" s="82" t="s">
        <v>534</v>
      </c>
      <c r="D371" s="110">
        <v>10000.0</v>
      </c>
      <c r="E371" s="110">
        <v>60.0</v>
      </c>
      <c r="F371" s="110">
        <v>40.0</v>
      </c>
      <c r="G371" s="110">
        <v>14632.2</v>
      </c>
      <c r="H371" s="85">
        <v>46172.0</v>
      </c>
      <c r="I371" s="85">
        <v>46212.0</v>
      </c>
      <c r="J371" s="82" t="s">
        <v>540</v>
      </c>
      <c r="K371" s="86">
        <v>1161512.0</v>
      </c>
      <c r="L371" s="110">
        <v>87859.64</v>
      </c>
      <c r="M371" s="80" t="s">
        <v>543</v>
      </c>
      <c r="N371" s="80"/>
      <c r="O371" s="80"/>
      <c r="P371" s="80"/>
      <c r="Q371" s="80"/>
      <c r="R371" s="80"/>
      <c r="S371" s="80"/>
      <c r="T371" s="80"/>
      <c r="U371" s="80"/>
      <c r="V371" s="80"/>
      <c r="W371" s="80"/>
      <c r="X371" s="80"/>
      <c r="Y371" s="80"/>
      <c r="Z371" s="80"/>
    </row>
    <row r="372">
      <c r="A372" s="87">
        <v>3092.0</v>
      </c>
      <c r="B372" s="82" t="s">
        <v>589</v>
      </c>
      <c r="C372" s="82" t="s">
        <v>534</v>
      </c>
      <c r="D372" s="110">
        <v>10000.0</v>
      </c>
      <c r="E372" s="110">
        <v>60.0</v>
      </c>
      <c r="F372" s="110">
        <v>50.0</v>
      </c>
      <c r="G372" s="110">
        <v>16941.8</v>
      </c>
      <c r="H372" s="85">
        <v>46162.0</v>
      </c>
      <c r="I372" s="85">
        <v>46212.0</v>
      </c>
      <c r="J372" s="82" t="s">
        <v>540</v>
      </c>
      <c r="K372" s="86">
        <v>1160511.0</v>
      </c>
      <c r="L372" s="110">
        <v>88176.05</v>
      </c>
      <c r="M372" s="80" t="s">
        <v>580</v>
      </c>
      <c r="N372" s="80"/>
      <c r="O372" s="80"/>
      <c r="P372" s="80"/>
      <c r="Q372" s="80"/>
      <c r="R372" s="80"/>
      <c r="S372" s="80"/>
      <c r="T372" s="80"/>
      <c r="U372" s="80"/>
      <c r="V372" s="80"/>
      <c r="W372" s="80"/>
      <c r="X372" s="80"/>
      <c r="Y372" s="80"/>
      <c r="Z372" s="80"/>
    </row>
    <row r="373">
      <c r="A373" s="87">
        <v>3134.0</v>
      </c>
      <c r="B373" s="82" t="s">
        <v>561</v>
      </c>
      <c r="C373" s="82" t="s">
        <v>534</v>
      </c>
      <c r="D373" s="110">
        <v>10000.0</v>
      </c>
      <c r="E373" s="110">
        <v>60.0</v>
      </c>
      <c r="F373" s="110">
        <v>13.0</v>
      </c>
      <c r="G373" s="110">
        <v>4386.8</v>
      </c>
      <c r="H373" s="85">
        <v>46199.0</v>
      </c>
      <c r="I373" s="85">
        <v>46212.0</v>
      </c>
      <c r="J373" s="82" t="s">
        <v>535</v>
      </c>
      <c r="K373" s="86">
        <v>1162006.0</v>
      </c>
      <c r="L373" s="110">
        <v>107678.17</v>
      </c>
      <c r="M373" s="80" t="s">
        <v>536</v>
      </c>
      <c r="N373" s="80"/>
      <c r="O373" s="80"/>
      <c r="P373" s="80"/>
      <c r="Q373" s="80"/>
      <c r="R373" s="80"/>
      <c r="S373" s="80"/>
      <c r="T373" s="80"/>
      <c r="U373" s="80"/>
      <c r="V373" s="80"/>
      <c r="W373" s="80"/>
      <c r="X373" s="80"/>
      <c r="Y373" s="80"/>
      <c r="Z373" s="80"/>
    </row>
    <row r="374">
      <c r="A374" s="87">
        <v>3135.0</v>
      </c>
      <c r="B374" s="82" t="s">
        <v>561</v>
      </c>
      <c r="C374" s="82" t="s">
        <v>534</v>
      </c>
      <c r="D374" s="110">
        <v>10000.0</v>
      </c>
      <c r="E374" s="110">
        <v>60.0</v>
      </c>
      <c r="F374" s="110">
        <v>83.0</v>
      </c>
      <c r="G374" s="110">
        <v>19792.4</v>
      </c>
      <c r="H374" s="85">
        <v>46129.0</v>
      </c>
      <c r="I374" s="85">
        <v>46212.0</v>
      </c>
      <c r="J374" s="82" t="s">
        <v>540</v>
      </c>
      <c r="K374" s="86">
        <v>1156576.0</v>
      </c>
      <c r="L374" s="110">
        <v>71739.99</v>
      </c>
      <c r="M374" s="80" t="s">
        <v>539</v>
      </c>
      <c r="N374" s="80"/>
      <c r="O374" s="80"/>
      <c r="P374" s="80"/>
      <c r="Q374" s="80"/>
      <c r="R374" s="80"/>
      <c r="S374" s="80"/>
      <c r="T374" s="80"/>
      <c r="U374" s="80"/>
      <c r="V374" s="80"/>
      <c r="W374" s="80"/>
      <c r="X374" s="80"/>
      <c r="Y374" s="80"/>
      <c r="Z374" s="80"/>
    </row>
    <row r="375">
      <c r="A375" s="87">
        <v>3136.0</v>
      </c>
      <c r="B375" s="82" t="s">
        <v>561</v>
      </c>
      <c r="C375" s="82" t="s">
        <v>534</v>
      </c>
      <c r="D375" s="110">
        <v>10000.0</v>
      </c>
      <c r="E375" s="110">
        <v>60.0</v>
      </c>
      <c r="F375" s="110">
        <v>20.0</v>
      </c>
      <c r="G375" s="110">
        <v>6860.2</v>
      </c>
      <c r="H375" s="85">
        <v>46192.0</v>
      </c>
      <c r="I375" s="85">
        <v>46212.0</v>
      </c>
      <c r="J375" s="82" t="s">
        <v>535</v>
      </c>
      <c r="K375" s="86">
        <v>1161902.0</v>
      </c>
      <c r="L375" s="110">
        <v>95276.11</v>
      </c>
      <c r="M375" s="80" t="s">
        <v>549</v>
      </c>
      <c r="N375" s="80"/>
      <c r="O375" s="80"/>
      <c r="P375" s="80"/>
      <c r="Q375" s="80"/>
      <c r="R375" s="80"/>
      <c r="S375" s="80"/>
      <c r="T375" s="80"/>
      <c r="U375" s="80"/>
      <c r="V375" s="80"/>
      <c r="W375" s="80"/>
      <c r="X375" s="80"/>
      <c r="Y375" s="80"/>
      <c r="Z375" s="80"/>
    </row>
    <row r="376">
      <c r="A376" s="87">
        <v>3137.0</v>
      </c>
      <c r="B376" s="82" t="s">
        <v>561</v>
      </c>
      <c r="C376" s="82" t="s">
        <v>534</v>
      </c>
      <c r="D376" s="110">
        <v>10000.0</v>
      </c>
      <c r="E376" s="110">
        <v>60.0</v>
      </c>
      <c r="F376" s="110">
        <v>57.0</v>
      </c>
      <c r="G376" s="110">
        <v>19909.0</v>
      </c>
      <c r="H376" s="85">
        <v>46155.0</v>
      </c>
      <c r="I376" s="85">
        <v>46212.0</v>
      </c>
      <c r="J376" s="82" t="s">
        <v>540</v>
      </c>
      <c r="K376" s="86">
        <v>1159674.0</v>
      </c>
      <c r="L376" s="110">
        <v>88103.5</v>
      </c>
      <c r="M376" s="80" t="s">
        <v>536</v>
      </c>
      <c r="N376" s="80"/>
      <c r="O376" s="80"/>
      <c r="P376" s="80"/>
      <c r="Q376" s="80"/>
      <c r="R376" s="80"/>
      <c r="S376" s="80"/>
      <c r="T376" s="80"/>
      <c r="U376" s="80"/>
      <c r="V376" s="80"/>
      <c r="W376" s="80"/>
      <c r="X376" s="80"/>
      <c r="Y376" s="80"/>
      <c r="Z376" s="80"/>
    </row>
    <row r="377">
      <c r="A377" s="87">
        <v>3138.0</v>
      </c>
      <c r="B377" s="82" t="s">
        <v>561</v>
      </c>
      <c r="C377" s="82" t="s">
        <v>534</v>
      </c>
      <c r="D377" s="110">
        <v>10000.0</v>
      </c>
      <c r="E377" s="110">
        <v>60.0</v>
      </c>
      <c r="F377" s="110">
        <v>125.0</v>
      </c>
      <c r="G377" s="110">
        <v>40251.1</v>
      </c>
      <c r="H377" s="85">
        <v>46087.0</v>
      </c>
      <c r="I377" s="85">
        <v>46212.0</v>
      </c>
      <c r="J377" s="82" t="s">
        <v>540</v>
      </c>
      <c r="K377" s="86">
        <v>1152234.0</v>
      </c>
      <c r="L377" s="110">
        <v>59986.55</v>
      </c>
      <c r="M377" s="80" t="s">
        <v>541</v>
      </c>
      <c r="N377" s="80"/>
      <c r="O377" s="80"/>
      <c r="P377" s="80"/>
      <c r="Q377" s="80"/>
      <c r="R377" s="80"/>
      <c r="S377" s="80"/>
      <c r="T377" s="80"/>
      <c r="U377" s="80"/>
      <c r="V377" s="80"/>
      <c r="W377" s="80"/>
      <c r="X377" s="80"/>
      <c r="Y377" s="80"/>
      <c r="Z377" s="80"/>
    </row>
    <row r="378">
      <c r="A378" s="87">
        <v>3139.0</v>
      </c>
      <c r="B378" s="82" t="s">
        <v>561</v>
      </c>
      <c r="C378" s="82" t="s">
        <v>534</v>
      </c>
      <c r="D378" s="110">
        <v>10000.0</v>
      </c>
      <c r="E378" s="110">
        <v>60.0</v>
      </c>
      <c r="F378" s="110">
        <v>13.0</v>
      </c>
      <c r="G378" s="110">
        <v>4109.1</v>
      </c>
      <c r="H378" s="85">
        <v>46199.0</v>
      </c>
      <c r="I378" s="85">
        <v>46212.0</v>
      </c>
      <c r="J378" s="82" t="s">
        <v>535</v>
      </c>
      <c r="K378" s="86">
        <v>1162011.0</v>
      </c>
      <c r="L378" s="110">
        <v>102348.2</v>
      </c>
      <c r="M378" s="80" t="s">
        <v>564</v>
      </c>
      <c r="N378" s="80"/>
      <c r="O378" s="80"/>
      <c r="P378" s="80"/>
      <c r="Q378" s="80"/>
      <c r="R378" s="80"/>
      <c r="S378" s="80"/>
      <c r="T378" s="80"/>
      <c r="U378" s="80"/>
      <c r="V378" s="80"/>
      <c r="W378" s="80"/>
      <c r="X378" s="80"/>
      <c r="Y378" s="80"/>
      <c r="Z378" s="80"/>
    </row>
    <row r="379">
      <c r="A379" s="87">
        <v>3140.0</v>
      </c>
      <c r="B379" s="82" t="s">
        <v>561</v>
      </c>
      <c r="C379" s="82" t="s">
        <v>534</v>
      </c>
      <c r="D379" s="110">
        <v>10000.0</v>
      </c>
      <c r="E379" s="110">
        <v>60.0</v>
      </c>
      <c r="F379" s="110">
        <v>138.0</v>
      </c>
      <c r="G379" s="110">
        <v>38867.3</v>
      </c>
      <c r="H379" s="85">
        <v>46074.0</v>
      </c>
      <c r="I379" s="85">
        <v>46212.0</v>
      </c>
      <c r="J379" s="82" t="s">
        <v>540</v>
      </c>
      <c r="K379" s="86">
        <v>1150705.0</v>
      </c>
      <c r="L379" s="110">
        <v>61615.69</v>
      </c>
      <c r="M379" s="80" t="s">
        <v>543</v>
      </c>
      <c r="N379" s="80"/>
      <c r="O379" s="80"/>
      <c r="P379" s="80"/>
      <c r="Q379" s="80"/>
      <c r="R379" s="80"/>
      <c r="S379" s="80"/>
      <c r="T379" s="80"/>
      <c r="U379" s="80"/>
      <c r="V379" s="80"/>
      <c r="W379" s="80"/>
      <c r="X379" s="80"/>
      <c r="Y379" s="80"/>
      <c r="Z379" s="80"/>
    </row>
    <row r="380">
      <c r="A380" s="87">
        <v>3141.0</v>
      </c>
      <c r="B380" s="82" t="s">
        <v>561</v>
      </c>
      <c r="C380" s="82" t="s">
        <v>534</v>
      </c>
      <c r="D380" s="110">
        <v>10000.0</v>
      </c>
      <c r="E380" s="110">
        <v>60.0</v>
      </c>
      <c r="F380" s="110">
        <v>58.0</v>
      </c>
      <c r="G380" s="110">
        <v>19190.4</v>
      </c>
      <c r="H380" s="85">
        <v>46154.0</v>
      </c>
      <c r="I380" s="85">
        <v>46212.0</v>
      </c>
      <c r="J380" s="82" t="s">
        <v>540</v>
      </c>
      <c r="K380" s="86">
        <v>1159516.0</v>
      </c>
      <c r="L380" s="110">
        <v>92562.78</v>
      </c>
      <c r="M380" s="80" t="s">
        <v>539</v>
      </c>
      <c r="N380" s="80"/>
      <c r="O380" s="80"/>
      <c r="P380" s="80"/>
      <c r="Q380" s="80"/>
      <c r="R380" s="80"/>
      <c r="S380" s="80"/>
      <c r="T380" s="80"/>
      <c r="U380" s="80"/>
      <c r="V380" s="80"/>
      <c r="W380" s="80"/>
      <c r="X380" s="80"/>
      <c r="Y380" s="80"/>
      <c r="Z380" s="80"/>
    </row>
    <row r="381">
      <c r="A381" s="87">
        <v>3142.0</v>
      </c>
      <c r="B381" s="82" t="s">
        <v>561</v>
      </c>
      <c r="C381" s="82" t="s">
        <v>534</v>
      </c>
      <c r="D381" s="110">
        <v>10000.0</v>
      </c>
      <c r="E381" s="110">
        <v>60.0</v>
      </c>
      <c r="F381" s="110">
        <v>34.0</v>
      </c>
      <c r="G381" s="110">
        <v>11223.1</v>
      </c>
      <c r="H381" s="85">
        <v>46178.0</v>
      </c>
      <c r="I381" s="85">
        <v>46212.0</v>
      </c>
      <c r="J381" s="82" t="s">
        <v>540</v>
      </c>
      <c r="K381" s="86">
        <v>1161668.0</v>
      </c>
      <c r="L381" s="110">
        <v>86982.37</v>
      </c>
      <c r="M381" s="80" t="s">
        <v>547</v>
      </c>
      <c r="N381" s="80"/>
      <c r="O381" s="80"/>
      <c r="P381" s="80"/>
      <c r="Q381" s="80"/>
      <c r="R381" s="80"/>
      <c r="S381" s="80"/>
      <c r="T381" s="80"/>
      <c r="U381" s="80"/>
      <c r="V381" s="80"/>
      <c r="W381" s="80"/>
      <c r="X381" s="80"/>
      <c r="Y381" s="80"/>
      <c r="Z381" s="80"/>
    </row>
    <row r="382">
      <c r="A382" s="87">
        <v>3143.0</v>
      </c>
      <c r="B382" s="82" t="s">
        <v>561</v>
      </c>
      <c r="C382" s="82" t="s">
        <v>534</v>
      </c>
      <c r="D382" s="110">
        <v>10000.0</v>
      </c>
      <c r="E382" s="110">
        <v>60.0</v>
      </c>
      <c r="F382" s="110">
        <v>34.0</v>
      </c>
      <c r="G382" s="110">
        <v>10666.4</v>
      </c>
      <c r="H382" s="85">
        <v>46178.0</v>
      </c>
      <c r="I382" s="85">
        <v>46212.0</v>
      </c>
      <c r="J382" s="82" t="s">
        <v>540</v>
      </c>
      <c r="K382" s="86">
        <v>1161669.0</v>
      </c>
      <c r="L382" s="110">
        <v>95846.37</v>
      </c>
      <c r="M382" s="80" t="s">
        <v>539</v>
      </c>
      <c r="N382" s="80"/>
      <c r="O382" s="80"/>
      <c r="P382" s="80"/>
      <c r="Q382" s="80"/>
      <c r="R382" s="80"/>
      <c r="S382" s="80"/>
      <c r="T382" s="80"/>
      <c r="U382" s="80"/>
      <c r="V382" s="80"/>
      <c r="W382" s="80"/>
      <c r="X382" s="80"/>
      <c r="Y382" s="80"/>
      <c r="Z382" s="80"/>
    </row>
    <row r="383">
      <c r="A383" s="87">
        <v>3167.0</v>
      </c>
      <c r="B383" s="82" t="s">
        <v>579</v>
      </c>
      <c r="C383" s="82" t="s">
        <v>534</v>
      </c>
      <c r="D383" s="110">
        <v>5000.0</v>
      </c>
      <c r="E383" s="110">
        <v>90.0</v>
      </c>
      <c r="F383" s="110">
        <v>2.0</v>
      </c>
      <c r="G383" s="110">
        <v>358.0</v>
      </c>
      <c r="H383" s="85">
        <v>46210.0</v>
      </c>
      <c r="I383" s="85">
        <v>46212.0</v>
      </c>
      <c r="J383" s="82" t="s">
        <v>535</v>
      </c>
      <c r="K383" s="86">
        <v>1162155.0</v>
      </c>
      <c r="L383" s="110">
        <v>67110.0</v>
      </c>
      <c r="M383" s="80" t="s">
        <v>539</v>
      </c>
      <c r="N383" s="80"/>
      <c r="O383" s="80"/>
      <c r="P383" s="80"/>
      <c r="Q383" s="80"/>
      <c r="R383" s="80"/>
      <c r="S383" s="80"/>
      <c r="T383" s="80"/>
      <c r="U383" s="80"/>
      <c r="V383" s="80"/>
      <c r="W383" s="80"/>
      <c r="X383" s="80"/>
      <c r="Y383" s="80"/>
      <c r="Z383" s="80"/>
    </row>
    <row r="384">
      <c r="A384" s="87">
        <v>3168.0</v>
      </c>
      <c r="B384" s="82" t="s">
        <v>579</v>
      </c>
      <c r="C384" s="82" t="s">
        <v>534</v>
      </c>
      <c r="D384" s="110">
        <v>5000.0</v>
      </c>
      <c r="E384" s="110">
        <v>90.0</v>
      </c>
      <c r="F384" s="110">
        <v>63.0</v>
      </c>
      <c r="G384" s="110">
        <v>13267.0</v>
      </c>
      <c r="H384" s="85">
        <v>46149.0</v>
      </c>
      <c r="I384" s="85">
        <v>46212.0</v>
      </c>
      <c r="J384" s="82" t="s">
        <v>540</v>
      </c>
      <c r="K384" s="86">
        <v>1158860.0</v>
      </c>
      <c r="L384" s="110">
        <v>48777.0</v>
      </c>
      <c r="M384" s="80" t="s">
        <v>563</v>
      </c>
      <c r="N384" s="80"/>
      <c r="O384" s="80"/>
      <c r="P384" s="80"/>
      <c r="Q384" s="80"/>
      <c r="R384" s="80"/>
      <c r="S384" s="80"/>
      <c r="T384" s="80"/>
      <c r="U384" s="80"/>
      <c r="V384" s="80"/>
      <c r="W384" s="80"/>
      <c r="X384" s="80"/>
      <c r="Y384" s="80"/>
      <c r="Z384" s="80"/>
    </row>
    <row r="385">
      <c r="A385" s="87">
        <v>3169.0</v>
      </c>
      <c r="B385" s="82" t="s">
        <v>579</v>
      </c>
      <c r="C385" s="82" t="s">
        <v>534</v>
      </c>
      <c r="D385" s="110">
        <v>5000.0</v>
      </c>
      <c r="E385" s="110">
        <v>90.0</v>
      </c>
      <c r="F385" s="110">
        <v>80.0</v>
      </c>
      <c r="G385" s="110">
        <v>20952.0</v>
      </c>
      <c r="H385" s="85">
        <v>46132.0</v>
      </c>
      <c r="I385" s="85">
        <v>46212.0</v>
      </c>
      <c r="J385" s="82" t="s">
        <v>540</v>
      </c>
      <c r="K385" s="86">
        <v>1156744.0</v>
      </c>
      <c r="L385" s="110">
        <v>48120.0</v>
      </c>
      <c r="M385" s="80" t="s">
        <v>539</v>
      </c>
      <c r="N385" s="80"/>
      <c r="O385" s="80"/>
      <c r="P385" s="80"/>
      <c r="Q385" s="80"/>
      <c r="R385" s="80"/>
      <c r="S385" s="80"/>
      <c r="T385" s="80"/>
      <c r="U385" s="80"/>
      <c r="V385" s="80"/>
      <c r="W385" s="80"/>
      <c r="X385" s="80"/>
      <c r="Y385" s="80"/>
      <c r="Z385" s="80"/>
    </row>
    <row r="386">
      <c r="A386" s="87">
        <v>3170.0</v>
      </c>
      <c r="B386" s="82" t="s">
        <v>579</v>
      </c>
      <c r="C386" s="82" t="s">
        <v>534</v>
      </c>
      <c r="D386" s="110">
        <v>5000.0</v>
      </c>
      <c r="E386" s="110">
        <v>90.0</v>
      </c>
      <c r="F386" s="110">
        <v>12.0</v>
      </c>
      <c r="G386" s="110">
        <v>2469.0</v>
      </c>
      <c r="H386" s="85">
        <v>46200.0</v>
      </c>
      <c r="I386" s="85">
        <v>46212.0</v>
      </c>
      <c r="J386" s="82" t="s">
        <v>535</v>
      </c>
      <c r="K386" s="86">
        <v>1162021.0</v>
      </c>
      <c r="L386" s="110">
        <v>82039.0</v>
      </c>
      <c r="M386" s="80" t="s">
        <v>542</v>
      </c>
      <c r="N386" s="80"/>
      <c r="O386" s="80"/>
      <c r="P386" s="80"/>
      <c r="Q386" s="80"/>
      <c r="R386" s="80"/>
      <c r="S386" s="80"/>
      <c r="T386" s="80"/>
      <c r="U386" s="80"/>
      <c r="V386" s="80"/>
      <c r="W386" s="80"/>
      <c r="X386" s="80"/>
      <c r="Y386" s="80"/>
      <c r="Z386" s="80"/>
    </row>
    <row r="387">
      <c r="A387" s="87">
        <v>3171.0</v>
      </c>
      <c r="B387" s="82" t="s">
        <v>579</v>
      </c>
      <c r="C387" s="82" t="s">
        <v>534</v>
      </c>
      <c r="D387" s="110">
        <v>5000.0</v>
      </c>
      <c r="E387" s="110">
        <v>90.0</v>
      </c>
      <c r="F387" s="110">
        <v>9.0</v>
      </c>
      <c r="G387" s="110">
        <v>2947.0</v>
      </c>
      <c r="H387" s="85">
        <v>46203.0</v>
      </c>
      <c r="I387" s="85">
        <v>46212.0</v>
      </c>
      <c r="J387" s="82" t="s">
        <v>535</v>
      </c>
      <c r="K387" s="86">
        <v>1162045.0</v>
      </c>
      <c r="L387" s="110">
        <v>45412.0</v>
      </c>
      <c r="M387" s="80" t="s">
        <v>539</v>
      </c>
      <c r="N387" s="80"/>
      <c r="O387" s="80"/>
      <c r="P387" s="80"/>
      <c r="Q387" s="80"/>
      <c r="R387" s="80"/>
      <c r="S387" s="80"/>
      <c r="T387" s="80"/>
      <c r="U387" s="80"/>
      <c r="V387" s="80"/>
      <c r="W387" s="80"/>
      <c r="X387" s="80"/>
      <c r="Y387" s="80"/>
      <c r="Z387" s="80"/>
    </row>
    <row r="388">
      <c r="A388" s="87">
        <v>3172.0</v>
      </c>
      <c r="B388" s="82" t="s">
        <v>579</v>
      </c>
      <c r="C388" s="82" t="s">
        <v>534</v>
      </c>
      <c r="D388" s="110">
        <v>5000.0</v>
      </c>
      <c r="E388" s="110">
        <v>90.0</v>
      </c>
      <c r="F388" s="110">
        <v>49.0</v>
      </c>
      <c r="G388" s="110">
        <v>13943.0</v>
      </c>
      <c r="H388" s="85">
        <v>46163.0</v>
      </c>
      <c r="I388" s="85">
        <v>46212.0</v>
      </c>
      <c r="J388" s="82" t="s">
        <v>540</v>
      </c>
      <c r="K388" s="86">
        <v>1160701.0</v>
      </c>
      <c r="L388" s="110">
        <v>61369.0</v>
      </c>
      <c r="M388" s="80" t="s">
        <v>549</v>
      </c>
      <c r="N388" s="80"/>
      <c r="O388" s="80"/>
      <c r="P388" s="80"/>
      <c r="Q388" s="80"/>
      <c r="R388" s="80"/>
      <c r="S388" s="80"/>
      <c r="T388" s="80"/>
      <c r="U388" s="80"/>
      <c r="V388" s="80"/>
      <c r="W388" s="80"/>
      <c r="X388" s="80"/>
      <c r="Y388" s="80"/>
      <c r="Z388" s="80"/>
    </row>
    <row r="389">
      <c r="A389" s="87">
        <v>3173.0</v>
      </c>
      <c r="B389" s="82" t="s">
        <v>579</v>
      </c>
      <c r="C389" s="82" t="s">
        <v>534</v>
      </c>
      <c r="D389" s="110">
        <v>5000.0</v>
      </c>
      <c r="E389" s="110">
        <v>90.0</v>
      </c>
      <c r="F389" s="110">
        <v>35.0</v>
      </c>
      <c r="G389" s="110">
        <v>9711.0</v>
      </c>
      <c r="H389" s="85">
        <v>46177.0</v>
      </c>
      <c r="I389" s="85">
        <v>46212.0</v>
      </c>
      <c r="J389" s="82" t="s">
        <v>540</v>
      </c>
      <c r="K389" s="86">
        <v>1161644.0</v>
      </c>
      <c r="L389" s="110">
        <v>52739.0</v>
      </c>
      <c r="M389" s="80" t="s">
        <v>537</v>
      </c>
      <c r="N389" s="80"/>
      <c r="O389" s="80"/>
      <c r="P389" s="80"/>
      <c r="Q389" s="80"/>
      <c r="R389" s="80"/>
      <c r="S389" s="80"/>
      <c r="T389" s="80"/>
      <c r="U389" s="80"/>
      <c r="V389" s="80"/>
      <c r="W389" s="80"/>
      <c r="X389" s="80"/>
      <c r="Y389" s="80"/>
      <c r="Z389" s="80"/>
    </row>
    <row r="390">
      <c r="A390" s="87">
        <v>3174.0</v>
      </c>
      <c r="B390" s="82" t="s">
        <v>579</v>
      </c>
      <c r="C390" s="82" t="s">
        <v>534</v>
      </c>
      <c r="D390" s="110">
        <v>5000.0</v>
      </c>
      <c r="E390" s="110">
        <v>90.0</v>
      </c>
      <c r="F390" s="110">
        <v>120.0</v>
      </c>
      <c r="G390" s="110">
        <v>3722.0</v>
      </c>
      <c r="H390" s="85">
        <v>46092.0</v>
      </c>
      <c r="I390" s="85">
        <v>46212.0</v>
      </c>
      <c r="J390" s="82" t="s">
        <v>540</v>
      </c>
      <c r="K390" s="86">
        <v>1152956.0</v>
      </c>
      <c r="L390" s="110">
        <v>48316.0</v>
      </c>
      <c r="M390" s="80" t="s">
        <v>539</v>
      </c>
      <c r="N390" s="80"/>
      <c r="O390" s="80"/>
      <c r="P390" s="80"/>
      <c r="Q390" s="80"/>
      <c r="R390" s="80"/>
      <c r="S390" s="80"/>
      <c r="T390" s="80"/>
      <c r="U390" s="80"/>
      <c r="V390" s="80"/>
      <c r="W390" s="80"/>
      <c r="X390" s="80"/>
      <c r="Y390" s="80"/>
      <c r="Z390" s="80"/>
    </row>
    <row r="391">
      <c r="A391" s="87">
        <v>3175.0</v>
      </c>
      <c r="B391" s="82" t="s">
        <v>579</v>
      </c>
      <c r="C391" s="82" t="s">
        <v>534</v>
      </c>
      <c r="D391" s="110">
        <v>5000.0</v>
      </c>
      <c r="E391" s="110">
        <v>90.0</v>
      </c>
      <c r="F391" s="110">
        <v>114.0</v>
      </c>
      <c r="G391" s="110">
        <v>29170.0</v>
      </c>
      <c r="H391" s="85">
        <v>46098.0</v>
      </c>
      <c r="I391" s="85">
        <v>46212.0</v>
      </c>
      <c r="J391" s="82" t="s">
        <v>540</v>
      </c>
      <c r="K391" s="86">
        <v>1153594.0</v>
      </c>
      <c r="L391" s="110">
        <v>45934.0</v>
      </c>
      <c r="M391" s="80" t="s">
        <v>563</v>
      </c>
      <c r="N391" s="80"/>
      <c r="O391" s="80"/>
      <c r="P391" s="80"/>
      <c r="Q391" s="80"/>
      <c r="R391" s="80"/>
      <c r="S391" s="80"/>
      <c r="T391" s="80"/>
      <c r="U391" s="80"/>
      <c r="V391" s="80"/>
      <c r="W391" s="80"/>
      <c r="X391" s="80"/>
      <c r="Y391" s="80"/>
      <c r="Z391" s="80"/>
    </row>
    <row r="392">
      <c r="A392" s="87">
        <v>3176.0</v>
      </c>
      <c r="B392" s="82" t="s">
        <v>579</v>
      </c>
      <c r="C392" s="82" t="s">
        <v>534</v>
      </c>
      <c r="D392" s="110">
        <v>5000.0</v>
      </c>
      <c r="E392" s="110">
        <v>90.0</v>
      </c>
      <c r="F392" s="110">
        <v>149.0</v>
      </c>
      <c r="G392" s="110">
        <v>21928.0</v>
      </c>
      <c r="H392" s="85">
        <v>46063.0</v>
      </c>
      <c r="I392" s="85">
        <v>46212.0</v>
      </c>
      <c r="J392" s="82" t="s">
        <v>540</v>
      </c>
      <c r="K392" s="86">
        <v>1149285.0</v>
      </c>
      <c r="L392" s="110">
        <v>39219.0</v>
      </c>
      <c r="M392" s="80" t="s">
        <v>541</v>
      </c>
      <c r="N392" s="80"/>
      <c r="O392" s="80"/>
      <c r="P392" s="80"/>
      <c r="Q392" s="80"/>
      <c r="R392" s="80"/>
      <c r="S392" s="80"/>
      <c r="T392" s="80"/>
      <c r="U392" s="80"/>
      <c r="V392" s="80"/>
      <c r="W392" s="80"/>
      <c r="X392" s="80"/>
      <c r="Y392" s="80"/>
      <c r="Z392" s="80"/>
    </row>
    <row r="393">
      <c r="A393" s="87">
        <v>3177.0</v>
      </c>
      <c r="B393" s="82" t="s">
        <v>579</v>
      </c>
      <c r="C393" s="82" t="s">
        <v>534</v>
      </c>
      <c r="D393" s="110">
        <v>5000.0</v>
      </c>
      <c r="E393" s="110">
        <v>90.0</v>
      </c>
      <c r="F393" s="110">
        <v>35.0</v>
      </c>
      <c r="G393" s="110">
        <v>8673.0</v>
      </c>
      <c r="H393" s="85">
        <v>46177.0</v>
      </c>
      <c r="I393" s="85">
        <v>46212.0</v>
      </c>
      <c r="J393" s="82" t="s">
        <v>540</v>
      </c>
      <c r="K393" s="86">
        <v>1161643.0</v>
      </c>
      <c r="L393" s="110">
        <v>71171.0</v>
      </c>
      <c r="M393" s="80" t="s">
        <v>539</v>
      </c>
      <c r="N393" s="80"/>
      <c r="O393" s="80"/>
      <c r="P393" s="80"/>
      <c r="Q393" s="80"/>
      <c r="R393" s="80"/>
      <c r="S393" s="80"/>
      <c r="T393" s="80"/>
      <c r="U393" s="80"/>
      <c r="V393" s="80"/>
      <c r="W393" s="80"/>
      <c r="X393" s="80"/>
      <c r="Y393" s="80"/>
      <c r="Z393" s="80"/>
    </row>
    <row r="394">
      <c r="A394" s="87">
        <v>3178.0</v>
      </c>
      <c r="B394" s="82" t="s">
        <v>579</v>
      </c>
      <c r="C394" s="82" t="s">
        <v>534</v>
      </c>
      <c r="D394" s="110">
        <v>5000.0</v>
      </c>
      <c r="E394" s="110">
        <v>90.0</v>
      </c>
      <c r="F394" s="110">
        <v>23.0</v>
      </c>
      <c r="G394" s="110">
        <v>1443.0</v>
      </c>
      <c r="H394" s="85">
        <v>46189.0</v>
      </c>
      <c r="I394" s="85">
        <v>46212.0</v>
      </c>
      <c r="J394" s="82" t="s">
        <v>535</v>
      </c>
      <c r="K394" s="86">
        <v>1161822.0</v>
      </c>
      <c r="L394" s="110">
        <v>66322.0</v>
      </c>
      <c r="M394" s="80" t="s">
        <v>539</v>
      </c>
      <c r="N394" s="80"/>
      <c r="O394" s="80"/>
      <c r="P394" s="80"/>
      <c r="Q394" s="80"/>
      <c r="R394" s="80"/>
      <c r="S394" s="80"/>
      <c r="T394" s="80"/>
      <c r="U394" s="80"/>
      <c r="V394" s="80"/>
      <c r="W394" s="80"/>
      <c r="X394" s="80"/>
      <c r="Y394" s="80"/>
      <c r="Z394" s="80"/>
    </row>
    <row r="395">
      <c r="A395" s="87">
        <v>3179.0</v>
      </c>
      <c r="B395" s="82" t="s">
        <v>579</v>
      </c>
      <c r="C395" s="82" t="s">
        <v>534</v>
      </c>
      <c r="D395" s="110">
        <v>5000.0</v>
      </c>
      <c r="E395" s="110">
        <v>90.0</v>
      </c>
      <c r="F395" s="110">
        <v>19.0</v>
      </c>
      <c r="G395" s="110">
        <v>1514.0</v>
      </c>
      <c r="H395" s="85">
        <v>46193.0</v>
      </c>
      <c r="I395" s="85">
        <v>46212.0</v>
      </c>
      <c r="J395" s="82" t="s">
        <v>535</v>
      </c>
      <c r="K395" s="86">
        <v>1161906.0</v>
      </c>
      <c r="L395" s="110">
        <v>67273.0</v>
      </c>
      <c r="M395" s="80" t="s">
        <v>539</v>
      </c>
      <c r="N395" s="80"/>
      <c r="O395" s="80"/>
      <c r="P395" s="80"/>
      <c r="Q395" s="80"/>
      <c r="R395" s="80"/>
      <c r="S395" s="80"/>
      <c r="T395" s="80"/>
      <c r="U395" s="80"/>
      <c r="V395" s="80"/>
      <c r="W395" s="80"/>
      <c r="X395" s="80"/>
      <c r="Y395" s="80"/>
      <c r="Z395" s="80"/>
    </row>
    <row r="396">
      <c r="A396" s="87">
        <v>3180.0</v>
      </c>
      <c r="B396" s="82" t="s">
        <v>579</v>
      </c>
      <c r="C396" s="82" t="s">
        <v>534</v>
      </c>
      <c r="D396" s="110">
        <v>5000.0</v>
      </c>
      <c r="E396" s="110">
        <v>90.0</v>
      </c>
      <c r="F396" s="110">
        <v>40.0</v>
      </c>
      <c r="G396" s="110">
        <v>7219.0</v>
      </c>
      <c r="H396" s="85">
        <v>46172.0</v>
      </c>
      <c r="I396" s="85">
        <v>46212.0</v>
      </c>
      <c r="J396" s="82" t="s">
        <v>540</v>
      </c>
      <c r="K396" s="86">
        <v>1161508.0</v>
      </c>
      <c r="L396" s="110">
        <v>60056.0</v>
      </c>
      <c r="M396" s="80" t="s">
        <v>565</v>
      </c>
      <c r="N396" s="80"/>
      <c r="O396" s="80"/>
      <c r="P396" s="80"/>
      <c r="Q396" s="80"/>
      <c r="R396" s="80"/>
      <c r="S396" s="80"/>
      <c r="T396" s="80"/>
      <c r="U396" s="80"/>
      <c r="V396" s="80"/>
      <c r="W396" s="80"/>
      <c r="X396" s="80"/>
      <c r="Y396" s="80"/>
      <c r="Z396" s="80"/>
    </row>
    <row r="397">
      <c r="A397" s="87">
        <v>3181.0</v>
      </c>
      <c r="B397" s="82" t="s">
        <v>579</v>
      </c>
      <c r="C397" s="82" t="s">
        <v>534</v>
      </c>
      <c r="D397" s="110">
        <v>5000.0</v>
      </c>
      <c r="E397" s="110">
        <v>90.0</v>
      </c>
      <c r="F397" s="110">
        <v>29.0</v>
      </c>
      <c r="G397" s="110">
        <v>7852.0</v>
      </c>
      <c r="H397" s="85">
        <v>46183.0</v>
      </c>
      <c r="I397" s="85">
        <v>46212.0</v>
      </c>
      <c r="J397" s="82" t="s">
        <v>540</v>
      </c>
      <c r="K397" s="86">
        <v>1161721.0</v>
      </c>
      <c r="L397" s="110">
        <v>64444.0</v>
      </c>
      <c r="M397" s="80" t="s">
        <v>554</v>
      </c>
      <c r="N397" s="80"/>
      <c r="O397" s="80"/>
      <c r="P397" s="80"/>
      <c r="Q397" s="80"/>
      <c r="R397" s="80"/>
      <c r="S397" s="80"/>
      <c r="T397" s="80"/>
      <c r="U397" s="80"/>
      <c r="V397" s="80"/>
      <c r="W397" s="80"/>
      <c r="X397" s="80"/>
      <c r="Y397" s="80"/>
      <c r="Z397" s="80"/>
    </row>
    <row r="398">
      <c r="A398" s="87">
        <v>3182.0</v>
      </c>
      <c r="B398" s="82" t="s">
        <v>579</v>
      </c>
      <c r="C398" s="82" t="s">
        <v>534</v>
      </c>
      <c r="D398" s="110">
        <v>5000.0</v>
      </c>
      <c r="E398" s="110">
        <v>90.0</v>
      </c>
      <c r="F398" s="110">
        <v>115.0</v>
      </c>
      <c r="G398" s="110">
        <v>11141.0</v>
      </c>
      <c r="H398" s="85">
        <v>46097.0</v>
      </c>
      <c r="I398" s="85">
        <v>46212.0</v>
      </c>
      <c r="J398" s="82" t="s">
        <v>540</v>
      </c>
      <c r="K398" s="86">
        <v>1153481.0</v>
      </c>
      <c r="L398" s="110">
        <v>47819.0</v>
      </c>
      <c r="M398" s="80" t="s">
        <v>536</v>
      </c>
      <c r="N398" s="80"/>
      <c r="O398" s="80"/>
      <c r="P398" s="80"/>
      <c r="Q398" s="80"/>
      <c r="R398" s="80"/>
      <c r="S398" s="80"/>
      <c r="T398" s="80"/>
      <c r="U398" s="80"/>
      <c r="V398" s="80"/>
      <c r="W398" s="80"/>
      <c r="X398" s="80"/>
      <c r="Y398" s="80"/>
      <c r="Z398" s="80"/>
    </row>
    <row r="399">
      <c r="A399" s="87">
        <v>3183.0</v>
      </c>
      <c r="B399" s="82" t="s">
        <v>579</v>
      </c>
      <c r="C399" s="82" t="s">
        <v>534</v>
      </c>
      <c r="D399" s="110">
        <v>5000.0</v>
      </c>
      <c r="E399" s="110">
        <v>90.0</v>
      </c>
      <c r="F399" s="110">
        <v>13.0</v>
      </c>
      <c r="G399" s="110">
        <v>3227.0</v>
      </c>
      <c r="H399" s="85">
        <v>46199.0</v>
      </c>
      <c r="I399" s="85">
        <v>46212.0</v>
      </c>
      <c r="J399" s="82" t="s">
        <v>535</v>
      </c>
      <c r="K399" s="86">
        <v>1162010.0</v>
      </c>
      <c r="L399" s="110">
        <v>71195.0</v>
      </c>
      <c r="M399" s="80" t="s">
        <v>549</v>
      </c>
      <c r="N399" s="80"/>
      <c r="O399" s="80"/>
      <c r="P399" s="80"/>
      <c r="Q399" s="80"/>
      <c r="R399" s="80"/>
      <c r="S399" s="80"/>
      <c r="T399" s="80"/>
      <c r="U399" s="80"/>
      <c r="V399" s="80"/>
      <c r="W399" s="80"/>
      <c r="X399" s="80"/>
      <c r="Y399" s="80"/>
      <c r="Z399" s="80"/>
    </row>
    <row r="400">
      <c r="A400" s="87">
        <v>3184.0</v>
      </c>
      <c r="B400" s="82" t="s">
        <v>579</v>
      </c>
      <c r="C400" s="82" t="s">
        <v>534</v>
      </c>
      <c r="D400" s="110">
        <v>5000.0</v>
      </c>
      <c r="E400" s="110">
        <v>90.0</v>
      </c>
      <c r="F400" s="110">
        <v>59.0</v>
      </c>
      <c r="G400" s="110">
        <v>16358.0</v>
      </c>
      <c r="H400" s="85">
        <v>46153.0</v>
      </c>
      <c r="I400" s="85">
        <v>46212.0</v>
      </c>
      <c r="J400" s="82" t="s">
        <v>540</v>
      </c>
      <c r="K400" s="86">
        <v>1159313.0</v>
      </c>
      <c r="L400" s="110">
        <v>51461.0</v>
      </c>
      <c r="M400" s="80" t="s">
        <v>539</v>
      </c>
      <c r="N400" s="80"/>
      <c r="O400" s="80"/>
      <c r="P400" s="80"/>
      <c r="Q400" s="80"/>
      <c r="R400" s="80"/>
      <c r="S400" s="80"/>
      <c r="T400" s="80"/>
      <c r="U400" s="80"/>
      <c r="V400" s="80"/>
      <c r="W400" s="80"/>
      <c r="X400" s="80"/>
      <c r="Y400" s="80"/>
      <c r="Z400" s="80"/>
    </row>
    <row r="401">
      <c r="A401" s="87">
        <v>3185.0</v>
      </c>
      <c r="B401" s="82" t="s">
        <v>579</v>
      </c>
      <c r="C401" s="82" t="s">
        <v>534</v>
      </c>
      <c r="D401" s="110">
        <v>5000.0</v>
      </c>
      <c r="E401" s="110">
        <v>90.0</v>
      </c>
      <c r="F401" s="110">
        <v>13.0</v>
      </c>
      <c r="G401" s="110">
        <v>2810.0</v>
      </c>
      <c r="H401" s="85">
        <v>46199.0</v>
      </c>
      <c r="I401" s="85">
        <v>46212.0</v>
      </c>
      <c r="J401" s="82" t="s">
        <v>535</v>
      </c>
      <c r="K401" s="86">
        <v>1162007.0</v>
      </c>
      <c r="L401" s="110">
        <v>40573.0</v>
      </c>
      <c r="M401" s="80" t="s">
        <v>539</v>
      </c>
      <c r="N401" s="80"/>
      <c r="O401" s="80"/>
      <c r="P401" s="80"/>
      <c r="Q401" s="80"/>
      <c r="R401" s="80"/>
      <c r="S401" s="80"/>
      <c r="T401" s="80"/>
      <c r="U401" s="80"/>
      <c r="V401" s="80"/>
      <c r="W401" s="80"/>
      <c r="X401" s="80"/>
      <c r="Y401" s="80"/>
      <c r="Z401" s="80"/>
    </row>
    <row r="402">
      <c r="A402" s="87">
        <v>3186.0</v>
      </c>
      <c r="B402" s="82" t="s">
        <v>579</v>
      </c>
      <c r="C402" s="82" t="s">
        <v>534</v>
      </c>
      <c r="D402" s="110">
        <v>5000.0</v>
      </c>
      <c r="E402" s="110">
        <v>90.0</v>
      </c>
      <c r="F402" s="110">
        <v>77.0</v>
      </c>
      <c r="G402" s="110">
        <v>15610.0</v>
      </c>
      <c r="H402" s="85">
        <v>46135.0</v>
      </c>
      <c r="I402" s="85">
        <v>46212.0</v>
      </c>
      <c r="J402" s="82" t="s">
        <v>540</v>
      </c>
      <c r="K402" s="86">
        <v>1157171.0</v>
      </c>
      <c r="L402" s="110">
        <v>54764.0</v>
      </c>
      <c r="M402" s="80" t="s">
        <v>536</v>
      </c>
      <c r="N402" s="80"/>
      <c r="O402" s="80"/>
      <c r="P402" s="80"/>
      <c r="Q402" s="80"/>
      <c r="R402" s="80"/>
      <c r="S402" s="80"/>
      <c r="T402" s="80"/>
      <c r="U402" s="80"/>
      <c r="V402" s="80"/>
      <c r="W402" s="80"/>
      <c r="X402" s="80"/>
      <c r="Y402" s="80"/>
      <c r="Z402" s="80"/>
    </row>
    <row r="403">
      <c r="A403" s="87">
        <v>3197.0</v>
      </c>
      <c r="B403" s="82" t="s">
        <v>586</v>
      </c>
      <c r="C403" s="82" t="s">
        <v>536</v>
      </c>
      <c r="D403" s="110">
        <v>5000.0</v>
      </c>
      <c r="E403" s="110">
        <v>90.0</v>
      </c>
      <c r="F403" s="110">
        <v>65.0</v>
      </c>
      <c r="G403" s="110">
        <v>1844.0</v>
      </c>
      <c r="H403" s="85">
        <v>46147.0</v>
      </c>
      <c r="I403" s="85">
        <v>46212.0</v>
      </c>
      <c r="J403" s="82" t="s">
        <v>535</v>
      </c>
      <c r="K403" s="86">
        <v>1158480.0</v>
      </c>
      <c r="L403" s="110">
        <v>7741.0</v>
      </c>
      <c r="M403" s="80" t="s">
        <v>554</v>
      </c>
      <c r="N403" s="80"/>
      <c r="O403" s="80"/>
      <c r="P403" s="80"/>
      <c r="Q403" s="80"/>
      <c r="R403" s="80"/>
      <c r="S403" s="80"/>
      <c r="T403" s="80"/>
      <c r="U403" s="80"/>
      <c r="V403" s="80"/>
      <c r="W403" s="80"/>
      <c r="X403" s="80"/>
      <c r="Y403" s="80"/>
      <c r="Z403" s="80"/>
    </row>
    <row r="404">
      <c r="A404" s="87">
        <v>3198.0</v>
      </c>
      <c r="B404" s="82" t="s">
        <v>586</v>
      </c>
      <c r="C404" s="82" t="s">
        <v>537</v>
      </c>
      <c r="D404" s="110">
        <v>5000.0</v>
      </c>
      <c r="E404" s="110">
        <v>90.0</v>
      </c>
      <c r="F404" s="110">
        <v>57.0</v>
      </c>
      <c r="G404" s="110">
        <v>2575.0</v>
      </c>
      <c r="H404" s="85">
        <v>46155.0</v>
      </c>
      <c r="I404" s="85">
        <v>46212.0</v>
      </c>
      <c r="J404" s="82" t="s">
        <v>535</v>
      </c>
      <c r="K404" s="86">
        <v>1159731.0</v>
      </c>
      <c r="L404" s="110">
        <v>8257.0</v>
      </c>
      <c r="M404" s="80" t="s">
        <v>554</v>
      </c>
      <c r="N404" s="80"/>
      <c r="O404" s="80"/>
      <c r="P404" s="80"/>
      <c r="Q404" s="80"/>
      <c r="R404" s="80"/>
      <c r="S404" s="80"/>
      <c r="T404" s="80"/>
      <c r="U404" s="80"/>
      <c r="V404" s="80"/>
      <c r="W404" s="80"/>
      <c r="X404" s="80"/>
      <c r="Y404" s="80"/>
      <c r="Z404" s="80"/>
    </row>
    <row r="405">
      <c r="A405" s="87">
        <v>3200.0</v>
      </c>
      <c r="B405" s="82" t="s">
        <v>586</v>
      </c>
      <c r="C405" s="82" t="s">
        <v>536</v>
      </c>
      <c r="D405" s="110">
        <v>5000.0</v>
      </c>
      <c r="E405" s="110">
        <v>90.0</v>
      </c>
      <c r="F405" s="110">
        <v>62.0</v>
      </c>
      <c r="G405" s="110">
        <v>2792.0</v>
      </c>
      <c r="H405" s="85">
        <v>46150.0</v>
      </c>
      <c r="I405" s="85">
        <v>46212.0</v>
      </c>
      <c r="J405" s="82" t="s">
        <v>535</v>
      </c>
      <c r="K405" s="86">
        <v>1159012.0</v>
      </c>
      <c r="L405" s="110">
        <v>6810.0</v>
      </c>
      <c r="M405" s="80" t="s">
        <v>554</v>
      </c>
      <c r="N405" s="80"/>
      <c r="O405" s="80"/>
      <c r="P405" s="80"/>
      <c r="Q405" s="80"/>
      <c r="R405" s="80"/>
      <c r="S405" s="80"/>
      <c r="T405" s="80"/>
      <c r="U405" s="80"/>
      <c r="V405" s="80"/>
      <c r="W405" s="80"/>
      <c r="X405" s="80"/>
      <c r="Y405" s="80"/>
      <c r="Z405" s="80"/>
    </row>
    <row r="406">
      <c r="A406" s="87">
        <v>3201.0</v>
      </c>
      <c r="B406" s="82" t="s">
        <v>586</v>
      </c>
      <c r="C406" s="82" t="s">
        <v>536</v>
      </c>
      <c r="D406" s="110">
        <v>5000.0</v>
      </c>
      <c r="E406" s="110">
        <v>90.0</v>
      </c>
      <c r="F406" s="110">
        <v>55.0</v>
      </c>
      <c r="G406" s="110">
        <v>1873.0</v>
      </c>
      <c r="H406" s="85">
        <v>46157.0</v>
      </c>
      <c r="I406" s="85">
        <v>46212.0</v>
      </c>
      <c r="J406" s="82" t="s">
        <v>535</v>
      </c>
      <c r="K406" s="86">
        <v>1159980.0</v>
      </c>
      <c r="L406" s="110">
        <v>7286.0</v>
      </c>
      <c r="M406" s="80" t="s">
        <v>554</v>
      </c>
      <c r="N406" s="80"/>
      <c r="O406" s="80"/>
      <c r="P406" s="80"/>
      <c r="Q406" s="80"/>
      <c r="R406" s="80"/>
      <c r="S406" s="80"/>
      <c r="T406" s="80"/>
      <c r="U406" s="80"/>
      <c r="V406" s="80"/>
      <c r="W406" s="80"/>
      <c r="X406" s="80"/>
      <c r="Y406" s="80"/>
      <c r="Z406" s="80"/>
    </row>
    <row r="407">
      <c r="A407" s="87">
        <v>3202.0</v>
      </c>
      <c r="B407" s="82" t="s">
        <v>586</v>
      </c>
      <c r="C407" s="82" t="s">
        <v>536</v>
      </c>
      <c r="D407" s="110">
        <v>5000.0</v>
      </c>
      <c r="E407" s="110">
        <v>90.0</v>
      </c>
      <c r="F407" s="110">
        <v>113.0</v>
      </c>
      <c r="G407" s="110">
        <v>6154.0</v>
      </c>
      <c r="H407" s="85">
        <v>46099.0</v>
      </c>
      <c r="I407" s="85">
        <v>46212.0</v>
      </c>
      <c r="J407" s="82" t="s">
        <v>540</v>
      </c>
      <c r="K407" s="86">
        <v>1153735.0</v>
      </c>
      <c r="L407" s="110">
        <v>9539.0</v>
      </c>
      <c r="M407" s="80" t="s">
        <v>554</v>
      </c>
      <c r="N407" s="80"/>
      <c r="O407" s="80"/>
      <c r="P407" s="80"/>
      <c r="Q407" s="80"/>
      <c r="R407" s="80"/>
      <c r="S407" s="80"/>
      <c r="T407" s="80"/>
      <c r="U407" s="80"/>
      <c r="V407" s="80"/>
      <c r="W407" s="80"/>
      <c r="X407" s="80"/>
      <c r="Y407" s="80"/>
      <c r="Z407" s="80"/>
    </row>
    <row r="408">
      <c r="A408" s="87">
        <v>3209.0</v>
      </c>
      <c r="B408" s="82" t="s">
        <v>586</v>
      </c>
      <c r="C408" s="82" t="s">
        <v>536</v>
      </c>
      <c r="D408" s="110">
        <v>5000.0</v>
      </c>
      <c r="E408" s="110">
        <v>90.0</v>
      </c>
      <c r="F408" s="110">
        <v>115.0</v>
      </c>
      <c r="G408" s="110">
        <v>5727.0</v>
      </c>
      <c r="H408" s="85">
        <v>46097.0</v>
      </c>
      <c r="I408" s="85">
        <v>46212.0</v>
      </c>
      <c r="J408" s="82" t="s">
        <v>540</v>
      </c>
      <c r="K408" s="86">
        <v>1153487.0</v>
      </c>
      <c r="L408" s="110">
        <v>8938.0</v>
      </c>
      <c r="M408" s="80" t="s">
        <v>554</v>
      </c>
      <c r="N408" s="80"/>
      <c r="O408" s="80"/>
      <c r="P408" s="80"/>
      <c r="Q408" s="80"/>
      <c r="R408" s="80"/>
      <c r="S408" s="80"/>
      <c r="T408" s="80"/>
      <c r="U408" s="80"/>
      <c r="V408" s="80"/>
      <c r="W408" s="80"/>
      <c r="X408" s="80"/>
      <c r="Y408" s="80"/>
      <c r="Z408" s="80"/>
    </row>
    <row r="409">
      <c r="A409" s="87">
        <v>3210.0</v>
      </c>
      <c r="B409" s="82" t="s">
        <v>586</v>
      </c>
      <c r="C409" s="82" t="s">
        <v>536</v>
      </c>
      <c r="D409" s="110">
        <v>5000.0</v>
      </c>
      <c r="E409" s="110">
        <v>90.0</v>
      </c>
      <c r="F409" s="110">
        <v>55.0</v>
      </c>
      <c r="G409" s="110">
        <v>2506.0</v>
      </c>
      <c r="H409" s="85">
        <v>46157.0</v>
      </c>
      <c r="I409" s="85">
        <v>46212.0</v>
      </c>
      <c r="J409" s="82" t="s">
        <v>535</v>
      </c>
      <c r="K409" s="86">
        <v>1159991.0</v>
      </c>
      <c r="L409" s="110">
        <v>11018.0</v>
      </c>
      <c r="M409" s="80" t="s">
        <v>554</v>
      </c>
      <c r="N409" s="80"/>
      <c r="O409" s="80"/>
      <c r="P409" s="80"/>
      <c r="Q409" s="80"/>
      <c r="R409" s="80"/>
      <c r="S409" s="80"/>
      <c r="T409" s="80"/>
      <c r="U409" s="80"/>
      <c r="V409" s="80"/>
      <c r="W409" s="80"/>
      <c r="X409" s="80"/>
      <c r="Y409" s="80"/>
      <c r="Z409" s="80"/>
    </row>
    <row r="410">
      <c r="A410" s="87">
        <v>3212.0</v>
      </c>
      <c r="B410" s="82" t="s">
        <v>586</v>
      </c>
      <c r="C410" s="82" t="s">
        <v>536</v>
      </c>
      <c r="D410" s="110">
        <v>5000.0</v>
      </c>
      <c r="E410" s="110">
        <v>90.0</v>
      </c>
      <c r="F410" s="110">
        <v>112.0</v>
      </c>
      <c r="G410" s="110">
        <v>3913.0</v>
      </c>
      <c r="H410" s="85">
        <v>46100.0</v>
      </c>
      <c r="I410" s="85">
        <v>46212.0</v>
      </c>
      <c r="J410" s="82" t="s">
        <v>540</v>
      </c>
      <c r="K410" s="86">
        <v>1153843.0</v>
      </c>
      <c r="L410" s="110">
        <v>4569.0</v>
      </c>
      <c r="M410" s="80" t="s">
        <v>554</v>
      </c>
      <c r="N410" s="80"/>
      <c r="O410" s="80"/>
      <c r="P410" s="80"/>
      <c r="Q410" s="80"/>
      <c r="R410" s="80"/>
      <c r="S410" s="80"/>
      <c r="T410" s="80"/>
      <c r="U410" s="80"/>
      <c r="V410" s="80"/>
      <c r="W410" s="80"/>
      <c r="X410" s="80"/>
      <c r="Y410" s="80"/>
      <c r="Z410" s="80"/>
    </row>
    <row r="411">
      <c r="A411" s="87">
        <v>3213.0</v>
      </c>
      <c r="B411" s="82" t="s">
        <v>586</v>
      </c>
      <c r="C411" s="82" t="s">
        <v>536</v>
      </c>
      <c r="D411" s="110">
        <v>5000.0</v>
      </c>
      <c r="E411" s="110">
        <v>90.0</v>
      </c>
      <c r="F411" s="110">
        <v>56.0</v>
      </c>
      <c r="G411" s="110">
        <v>2011.0</v>
      </c>
      <c r="H411" s="85">
        <v>46156.0</v>
      </c>
      <c r="I411" s="85">
        <v>46212.0</v>
      </c>
      <c r="J411" s="82" t="s">
        <v>535</v>
      </c>
      <c r="K411" s="86">
        <v>1159891.0</v>
      </c>
      <c r="L411" s="110">
        <v>7255.0</v>
      </c>
      <c r="M411" s="80" t="s">
        <v>554</v>
      </c>
      <c r="N411" s="80"/>
      <c r="O411" s="80"/>
      <c r="P411" s="80"/>
      <c r="Q411" s="80"/>
      <c r="R411" s="80"/>
      <c r="S411" s="80"/>
      <c r="T411" s="80"/>
      <c r="U411" s="80"/>
      <c r="V411" s="80"/>
      <c r="W411" s="80"/>
      <c r="X411" s="80"/>
      <c r="Y411" s="80"/>
      <c r="Z411" s="80"/>
    </row>
    <row r="412">
      <c r="A412" s="87">
        <v>3214.0</v>
      </c>
      <c r="B412" s="82" t="s">
        <v>586</v>
      </c>
      <c r="C412" s="82" t="s">
        <v>536</v>
      </c>
      <c r="D412" s="110">
        <v>5000.0</v>
      </c>
      <c r="E412" s="110">
        <v>90.0</v>
      </c>
      <c r="F412" s="110">
        <v>65.0</v>
      </c>
      <c r="G412" s="110">
        <v>2139.0</v>
      </c>
      <c r="H412" s="85">
        <v>46147.0</v>
      </c>
      <c r="I412" s="85">
        <v>46212.0</v>
      </c>
      <c r="J412" s="82" t="s">
        <v>535</v>
      </c>
      <c r="K412" s="86">
        <v>1158446.0</v>
      </c>
      <c r="L412" s="110">
        <v>6448.0</v>
      </c>
      <c r="M412" s="80" t="s">
        <v>554</v>
      </c>
      <c r="N412" s="80"/>
      <c r="O412" s="80"/>
      <c r="P412" s="80"/>
      <c r="Q412" s="80"/>
      <c r="R412" s="80"/>
      <c r="S412" s="80"/>
      <c r="T412" s="80"/>
      <c r="U412" s="80"/>
      <c r="V412" s="80"/>
      <c r="W412" s="80"/>
      <c r="X412" s="80"/>
      <c r="Y412" s="80"/>
      <c r="Z412" s="80"/>
    </row>
    <row r="413">
      <c r="A413" s="87">
        <v>3215.0</v>
      </c>
      <c r="B413" s="82" t="s">
        <v>586</v>
      </c>
      <c r="C413" s="82" t="s">
        <v>536</v>
      </c>
      <c r="D413" s="110">
        <v>5000.0</v>
      </c>
      <c r="E413" s="110">
        <v>90.0</v>
      </c>
      <c r="F413" s="110">
        <v>59.0</v>
      </c>
      <c r="G413" s="110">
        <v>1573.0</v>
      </c>
      <c r="H413" s="85">
        <v>46153.0</v>
      </c>
      <c r="I413" s="85">
        <v>46212.0</v>
      </c>
      <c r="J413" s="82" t="s">
        <v>535</v>
      </c>
      <c r="K413" s="86">
        <v>1159286.0</v>
      </c>
      <c r="L413" s="110">
        <v>5880.0</v>
      </c>
      <c r="M413" s="80" t="s">
        <v>554</v>
      </c>
      <c r="N413" s="80"/>
      <c r="O413" s="80"/>
      <c r="P413" s="80"/>
      <c r="Q413" s="80"/>
      <c r="R413" s="80"/>
      <c r="S413" s="80"/>
      <c r="T413" s="80"/>
      <c r="U413" s="80"/>
      <c r="V413" s="80"/>
      <c r="W413" s="80"/>
      <c r="X413" s="80"/>
      <c r="Y413" s="80"/>
      <c r="Z413" s="80"/>
    </row>
    <row r="414">
      <c r="A414" s="87">
        <v>3216.0</v>
      </c>
      <c r="B414" s="82" t="s">
        <v>586</v>
      </c>
      <c r="C414" s="82" t="s">
        <v>536</v>
      </c>
      <c r="D414" s="110">
        <v>5000.0</v>
      </c>
      <c r="E414" s="110">
        <v>90.0</v>
      </c>
      <c r="F414" s="110">
        <v>56.0</v>
      </c>
      <c r="G414" s="110">
        <v>1742.0</v>
      </c>
      <c r="H414" s="85">
        <v>46156.0</v>
      </c>
      <c r="I414" s="85">
        <v>46212.0</v>
      </c>
      <c r="J414" s="82" t="s">
        <v>535</v>
      </c>
      <c r="K414" s="86">
        <v>1159881.0</v>
      </c>
      <c r="L414" s="110">
        <v>6332.0</v>
      </c>
      <c r="M414" s="80" t="s">
        <v>554</v>
      </c>
      <c r="N414" s="80"/>
      <c r="O414" s="80"/>
      <c r="P414" s="80"/>
      <c r="Q414" s="80"/>
      <c r="R414" s="80"/>
      <c r="S414" s="80"/>
      <c r="T414" s="80"/>
      <c r="U414" s="80"/>
      <c r="V414" s="80"/>
      <c r="W414" s="80"/>
      <c r="X414" s="80"/>
      <c r="Y414" s="80"/>
      <c r="Z414" s="80"/>
    </row>
    <row r="415">
      <c r="A415" s="87">
        <v>3219.0</v>
      </c>
      <c r="B415" s="82" t="s">
        <v>586</v>
      </c>
      <c r="C415" s="82" t="s">
        <v>536</v>
      </c>
      <c r="D415" s="110">
        <v>5000.0</v>
      </c>
      <c r="E415" s="110">
        <v>90.0</v>
      </c>
      <c r="F415" s="110">
        <v>56.0</v>
      </c>
      <c r="G415" s="110">
        <v>2004.0</v>
      </c>
      <c r="H415" s="85">
        <v>46156.0</v>
      </c>
      <c r="I415" s="85">
        <v>46212.0</v>
      </c>
      <c r="J415" s="82" t="s">
        <v>535</v>
      </c>
      <c r="K415" s="86">
        <v>1159863.0</v>
      </c>
      <c r="L415" s="110">
        <v>7385.0</v>
      </c>
      <c r="M415" s="80" t="s">
        <v>554</v>
      </c>
      <c r="N415" s="80"/>
      <c r="O415" s="80"/>
      <c r="P415" s="80"/>
      <c r="Q415" s="80"/>
      <c r="R415" s="80"/>
      <c r="S415" s="80"/>
      <c r="T415" s="80"/>
      <c r="U415" s="80"/>
      <c r="V415" s="80"/>
      <c r="W415" s="80"/>
      <c r="X415" s="80"/>
      <c r="Y415" s="80"/>
      <c r="Z415" s="80"/>
    </row>
    <row r="416">
      <c r="A416" s="87">
        <v>3231.0</v>
      </c>
      <c r="B416" s="82" t="s">
        <v>586</v>
      </c>
      <c r="C416" s="82" t="s">
        <v>536</v>
      </c>
      <c r="D416" s="110">
        <v>5000.0</v>
      </c>
      <c r="E416" s="110">
        <v>90.0</v>
      </c>
      <c r="F416" s="110">
        <v>80.0</v>
      </c>
      <c r="G416" s="110">
        <v>2123.0</v>
      </c>
      <c r="H416" s="85">
        <v>46132.0</v>
      </c>
      <c r="I416" s="85">
        <v>46212.0</v>
      </c>
      <c r="J416" s="82" t="s">
        <v>535</v>
      </c>
      <c r="K416" s="86">
        <v>1156774.0</v>
      </c>
      <c r="L416" s="110">
        <v>7044.0</v>
      </c>
      <c r="M416" s="80" t="s">
        <v>554</v>
      </c>
      <c r="N416" s="80"/>
      <c r="O416" s="80"/>
      <c r="P416" s="80"/>
      <c r="Q416" s="80"/>
      <c r="R416" s="80"/>
      <c r="S416" s="80"/>
      <c r="T416" s="80"/>
      <c r="U416" s="80"/>
      <c r="V416" s="80"/>
      <c r="W416" s="80"/>
      <c r="X416" s="80"/>
      <c r="Y416" s="80"/>
      <c r="Z416" s="80"/>
    </row>
    <row r="417">
      <c r="A417" s="87">
        <v>3241.0</v>
      </c>
      <c r="B417" s="82" t="s">
        <v>586</v>
      </c>
      <c r="C417" s="82" t="s">
        <v>536</v>
      </c>
      <c r="D417" s="110">
        <v>5000.0</v>
      </c>
      <c r="E417" s="110">
        <v>90.0</v>
      </c>
      <c r="F417" s="110">
        <v>65.0</v>
      </c>
      <c r="G417" s="110">
        <v>3142.0</v>
      </c>
      <c r="H417" s="85">
        <v>46147.0</v>
      </c>
      <c r="I417" s="85">
        <v>46212.0</v>
      </c>
      <c r="J417" s="82" t="s">
        <v>535</v>
      </c>
      <c r="K417" s="86">
        <v>1158449.0</v>
      </c>
      <c r="L417" s="110">
        <v>9053.0</v>
      </c>
      <c r="M417" s="80" t="s">
        <v>554</v>
      </c>
      <c r="N417" s="80"/>
      <c r="O417" s="80"/>
      <c r="P417" s="80"/>
      <c r="Q417" s="80"/>
      <c r="R417" s="80"/>
      <c r="S417" s="80"/>
      <c r="T417" s="80"/>
      <c r="U417" s="80"/>
      <c r="V417" s="80"/>
      <c r="W417" s="80"/>
      <c r="X417" s="80"/>
      <c r="Y417" s="80"/>
      <c r="Z417" s="80"/>
    </row>
    <row r="418">
      <c r="A418" s="87">
        <v>3246.0</v>
      </c>
      <c r="B418" s="82" t="s">
        <v>586</v>
      </c>
      <c r="C418" s="82" t="s">
        <v>536</v>
      </c>
      <c r="D418" s="110">
        <v>5000.0</v>
      </c>
      <c r="E418" s="110">
        <v>90.0</v>
      </c>
      <c r="F418" s="110">
        <v>65.0</v>
      </c>
      <c r="G418" s="110">
        <v>1954.0</v>
      </c>
      <c r="H418" s="85">
        <v>46147.0</v>
      </c>
      <c r="I418" s="85">
        <v>46212.0</v>
      </c>
      <c r="J418" s="82" t="s">
        <v>535</v>
      </c>
      <c r="K418" s="86">
        <v>1158476.0</v>
      </c>
      <c r="L418" s="110">
        <v>6375.0</v>
      </c>
      <c r="M418" s="80" t="s">
        <v>554</v>
      </c>
      <c r="N418" s="80"/>
      <c r="O418" s="80"/>
      <c r="P418" s="80"/>
      <c r="Q418" s="80"/>
      <c r="R418" s="80"/>
      <c r="S418" s="80"/>
      <c r="T418" s="80"/>
      <c r="U418" s="80"/>
      <c r="V418" s="80"/>
      <c r="W418" s="80"/>
      <c r="X418" s="80"/>
      <c r="Y418" s="80"/>
      <c r="Z418" s="80"/>
    </row>
    <row r="419">
      <c r="A419" s="87">
        <v>3247.0</v>
      </c>
      <c r="B419" s="82" t="s">
        <v>586</v>
      </c>
      <c r="C419" s="82" t="s">
        <v>536</v>
      </c>
      <c r="D419" s="110">
        <v>5000.0</v>
      </c>
      <c r="E419" s="110">
        <v>90.0</v>
      </c>
      <c r="F419" s="110">
        <v>83.0</v>
      </c>
      <c r="G419" s="110">
        <v>3092.0</v>
      </c>
      <c r="H419" s="85">
        <v>46129.0</v>
      </c>
      <c r="I419" s="85">
        <v>46212.0</v>
      </c>
      <c r="J419" s="82" t="s">
        <v>535</v>
      </c>
      <c r="K419" s="86">
        <v>1156597.0</v>
      </c>
      <c r="L419" s="110">
        <v>7924.0</v>
      </c>
      <c r="M419" s="80" t="s">
        <v>554</v>
      </c>
      <c r="N419" s="80"/>
      <c r="O419" s="80"/>
      <c r="P419" s="80"/>
      <c r="Q419" s="80"/>
      <c r="R419" s="80"/>
      <c r="S419" s="80"/>
      <c r="T419" s="80"/>
      <c r="U419" s="80"/>
      <c r="V419" s="80"/>
      <c r="W419" s="80"/>
      <c r="X419" s="80"/>
      <c r="Y419" s="80"/>
      <c r="Z419" s="80"/>
    </row>
    <row r="420">
      <c r="A420" s="87">
        <v>3249.0</v>
      </c>
      <c r="B420" s="82" t="s">
        <v>586</v>
      </c>
      <c r="C420" s="82" t="s">
        <v>536</v>
      </c>
      <c r="D420" s="110">
        <v>5000.0</v>
      </c>
      <c r="E420" s="110">
        <v>90.0</v>
      </c>
      <c r="F420" s="110">
        <v>72.0</v>
      </c>
      <c r="G420" s="110">
        <v>2457.0</v>
      </c>
      <c r="H420" s="85">
        <v>46140.0</v>
      </c>
      <c r="I420" s="85">
        <v>46212.0</v>
      </c>
      <c r="J420" s="82" t="s">
        <v>535</v>
      </c>
      <c r="K420" s="86">
        <v>1157643.0</v>
      </c>
      <c r="L420" s="110">
        <v>6942.0</v>
      </c>
      <c r="M420" s="80" t="s">
        <v>554</v>
      </c>
      <c r="N420" s="80"/>
      <c r="O420" s="80"/>
      <c r="P420" s="80"/>
      <c r="Q420" s="80"/>
      <c r="R420" s="80"/>
      <c r="S420" s="80"/>
      <c r="T420" s="80"/>
      <c r="U420" s="80"/>
      <c r="V420" s="80"/>
      <c r="W420" s="80"/>
      <c r="X420" s="80"/>
      <c r="Y420" s="80"/>
      <c r="Z420" s="80"/>
    </row>
    <row r="421">
      <c r="A421" s="87">
        <v>3250.0</v>
      </c>
      <c r="B421" s="82" t="s">
        <v>586</v>
      </c>
      <c r="C421" s="82" t="s">
        <v>536</v>
      </c>
      <c r="D421" s="110">
        <v>5000.0</v>
      </c>
      <c r="E421" s="110">
        <v>90.0</v>
      </c>
      <c r="F421" s="110">
        <v>65.0</v>
      </c>
      <c r="G421" s="110">
        <v>3432.0</v>
      </c>
      <c r="H421" s="85">
        <v>46147.0</v>
      </c>
      <c r="I421" s="85">
        <v>46212.0</v>
      </c>
      <c r="J421" s="82" t="s">
        <v>535</v>
      </c>
      <c r="K421" s="86">
        <v>1158455.0</v>
      </c>
      <c r="L421" s="110">
        <v>9328.0</v>
      </c>
      <c r="M421" s="80" t="s">
        <v>554</v>
      </c>
      <c r="N421" s="80"/>
      <c r="O421" s="80"/>
      <c r="P421" s="80"/>
      <c r="Q421" s="80"/>
      <c r="R421" s="80"/>
      <c r="S421" s="80"/>
      <c r="T421" s="80"/>
      <c r="U421" s="80"/>
      <c r="V421" s="80"/>
      <c r="W421" s="80"/>
      <c r="X421" s="80"/>
      <c r="Y421" s="80"/>
      <c r="Z421" s="80"/>
    </row>
    <row r="422">
      <c r="A422" s="87">
        <v>3251.0</v>
      </c>
      <c r="B422" s="82" t="s">
        <v>586</v>
      </c>
      <c r="C422" s="82" t="s">
        <v>538</v>
      </c>
      <c r="D422" s="110">
        <v>5000.0</v>
      </c>
      <c r="E422" s="110">
        <v>90.0</v>
      </c>
      <c r="F422" s="110">
        <v>45.0</v>
      </c>
      <c r="G422" s="110">
        <v>1379.0</v>
      </c>
      <c r="H422" s="85">
        <v>46167.0</v>
      </c>
      <c r="I422" s="85">
        <v>46212.0</v>
      </c>
      <c r="J422" s="82" t="s">
        <v>535</v>
      </c>
      <c r="K422" s="86">
        <v>1161128.0</v>
      </c>
      <c r="L422" s="110">
        <v>9597.0</v>
      </c>
      <c r="M422" s="80" t="s">
        <v>554</v>
      </c>
      <c r="N422" s="80"/>
      <c r="O422" s="80"/>
      <c r="P422" s="80"/>
      <c r="Q422" s="80"/>
      <c r="R422" s="80"/>
      <c r="S422" s="80"/>
      <c r="T422" s="80"/>
      <c r="U422" s="80"/>
      <c r="V422" s="80"/>
      <c r="W422" s="80"/>
      <c r="X422" s="80"/>
      <c r="Y422" s="80"/>
      <c r="Z422" s="80"/>
    </row>
    <row r="423">
      <c r="A423" s="87">
        <v>3252.0</v>
      </c>
      <c r="B423" s="82" t="s">
        <v>586</v>
      </c>
      <c r="C423" s="82" t="s">
        <v>538</v>
      </c>
      <c r="D423" s="110">
        <v>5000.0</v>
      </c>
      <c r="E423" s="110">
        <v>90.0</v>
      </c>
      <c r="F423" s="110">
        <v>45.0</v>
      </c>
      <c r="G423" s="110">
        <v>1955.0</v>
      </c>
      <c r="H423" s="85">
        <v>46167.0</v>
      </c>
      <c r="I423" s="85">
        <v>46212.0</v>
      </c>
      <c r="J423" s="82" t="s">
        <v>535</v>
      </c>
      <c r="K423" s="86">
        <v>1161127.0</v>
      </c>
      <c r="L423" s="110">
        <v>9443.0</v>
      </c>
      <c r="M423" s="80" t="s">
        <v>554</v>
      </c>
      <c r="N423" s="80"/>
      <c r="O423" s="80"/>
      <c r="P423" s="80"/>
      <c r="Q423" s="80"/>
      <c r="R423" s="80"/>
      <c r="S423" s="80"/>
      <c r="T423" s="80"/>
      <c r="U423" s="80"/>
      <c r="V423" s="80"/>
      <c r="W423" s="80"/>
      <c r="X423" s="80"/>
      <c r="Y423" s="80"/>
      <c r="Z423" s="80"/>
    </row>
    <row r="424">
      <c r="A424" s="87">
        <v>3256.0</v>
      </c>
      <c r="B424" s="82" t="s">
        <v>586</v>
      </c>
      <c r="C424" s="82" t="s">
        <v>536</v>
      </c>
      <c r="D424" s="110">
        <v>5000.0</v>
      </c>
      <c r="E424" s="110">
        <v>90.0</v>
      </c>
      <c r="F424" s="110">
        <v>59.0</v>
      </c>
      <c r="G424" s="110">
        <v>2368.0</v>
      </c>
      <c r="H424" s="85">
        <v>46153.0</v>
      </c>
      <c r="I424" s="85">
        <v>46212.0</v>
      </c>
      <c r="J424" s="82" t="s">
        <v>535</v>
      </c>
      <c r="K424" s="86">
        <v>1159288.0</v>
      </c>
      <c r="L424" s="110">
        <v>5887.0</v>
      </c>
      <c r="M424" s="80" t="s">
        <v>554</v>
      </c>
      <c r="N424" s="80"/>
      <c r="O424" s="80"/>
      <c r="P424" s="80"/>
      <c r="Q424" s="80"/>
      <c r="R424" s="80"/>
      <c r="S424" s="80"/>
      <c r="T424" s="80"/>
      <c r="U424" s="80"/>
      <c r="V424" s="80"/>
      <c r="W424" s="80"/>
      <c r="X424" s="80"/>
      <c r="Y424" s="80"/>
      <c r="Z424" s="80"/>
    </row>
    <row r="425">
      <c r="A425" s="87">
        <v>3264.0</v>
      </c>
      <c r="B425" s="82" t="s">
        <v>586</v>
      </c>
      <c r="C425" s="82" t="s">
        <v>536</v>
      </c>
      <c r="D425" s="110">
        <v>5000.0</v>
      </c>
      <c r="E425" s="110">
        <v>90.0</v>
      </c>
      <c r="F425" s="110">
        <v>86.0</v>
      </c>
      <c r="G425" s="110">
        <v>2711.0</v>
      </c>
      <c r="H425" s="85">
        <v>46126.0</v>
      </c>
      <c r="I425" s="85">
        <v>46212.0</v>
      </c>
      <c r="J425" s="82" t="s">
        <v>535</v>
      </c>
      <c r="K425" s="86">
        <v>1156064.0</v>
      </c>
      <c r="L425" s="110">
        <v>5303.0</v>
      </c>
      <c r="M425" s="80" t="s">
        <v>554</v>
      </c>
      <c r="N425" s="80"/>
      <c r="O425" s="80"/>
      <c r="P425" s="80"/>
      <c r="Q425" s="80"/>
      <c r="R425" s="80"/>
      <c r="S425" s="80"/>
      <c r="T425" s="80"/>
      <c r="U425" s="80"/>
      <c r="V425" s="80"/>
      <c r="W425" s="80"/>
      <c r="X425" s="80"/>
      <c r="Y425" s="80"/>
      <c r="Z425" s="80"/>
    </row>
    <row r="426">
      <c r="A426" s="87">
        <v>3271.0</v>
      </c>
      <c r="B426" s="82" t="s">
        <v>586</v>
      </c>
      <c r="C426" s="82" t="s">
        <v>536</v>
      </c>
      <c r="D426" s="110">
        <v>5000.0</v>
      </c>
      <c r="E426" s="110">
        <v>90.0</v>
      </c>
      <c r="F426" s="110">
        <v>79.0</v>
      </c>
      <c r="G426" s="110">
        <v>3385.0</v>
      </c>
      <c r="H426" s="85">
        <v>46133.0</v>
      </c>
      <c r="I426" s="85">
        <v>46212.0</v>
      </c>
      <c r="J426" s="82" t="s">
        <v>535</v>
      </c>
      <c r="K426" s="86">
        <v>1156861.0</v>
      </c>
      <c r="L426" s="110">
        <v>6693.0</v>
      </c>
      <c r="M426" s="80" t="s">
        <v>554</v>
      </c>
      <c r="N426" s="80"/>
      <c r="O426" s="80"/>
      <c r="P426" s="80"/>
      <c r="Q426" s="80"/>
      <c r="R426" s="80"/>
      <c r="S426" s="80"/>
      <c r="T426" s="80"/>
      <c r="U426" s="80"/>
      <c r="V426" s="80"/>
      <c r="W426" s="80"/>
      <c r="X426" s="80"/>
      <c r="Y426" s="80"/>
      <c r="Z426" s="80"/>
    </row>
    <row r="427">
      <c r="A427" s="87">
        <v>3273.0</v>
      </c>
      <c r="B427" s="82" t="s">
        <v>586</v>
      </c>
      <c r="C427" s="82" t="s">
        <v>536</v>
      </c>
      <c r="D427" s="110">
        <v>5000.0</v>
      </c>
      <c r="E427" s="110">
        <v>90.0</v>
      </c>
      <c r="F427" s="110">
        <v>56.0</v>
      </c>
      <c r="G427" s="110">
        <v>2333.0</v>
      </c>
      <c r="H427" s="85">
        <v>46156.0</v>
      </c>
      <c r="I427" s="85">
        <v>46212.0</v>
      </c>
      <c r="J427" s="82" t="s">
        <v>535</v>
      </c>
      <c r="K427" s="86">
        <v>1159895.0</v>
      </c>
      <c r="L427" s="110">
        <v>6824.0</v>
      </c>
      <c r="M427" s="80" t="s">
        <v>554</v>
      </c>
      <c r="N427" s="80"/>
      <c r="O427" s="80"/>
      <c r="P427" s="80"/>
      <c r="Q427" s="80"/>
      <c r="R427" s="80"/>
      <c r="S427" s="80"/>
      <c r="T427" s="80"/>
      <c r="U427" s="80"/>
      <c r="V427" s="80"/>
      <c r="W427" s="80"/>
      <c r="X427" s="80"/>
      <c r="Y427" s="80"/>
      <c r="Z427" s="80"/>
    </row>
    <row r="428">
      <c r="A428" s="87">
        <v>3275.0</v>
      </c>
      <c r="B428" s="82" t="s">
        <v>586</v>
      </c>
      <c r="C428" s="82" t="s">
        <v>536</v>
      </c>
      <c r="D428" s="110">
        <v>5000.0</v>
      </c>
      <c r="E428" s="110">
        <v>90.0</v>
      </c>
      <c r="F428" s="110">
        <v>86.0</v>
      </c>
      <c r="G428" s="110">
        <v>2748.0</v>
      </c>
      <c r="H428" s="85">
        <v>46126.0</v>
      </c>
      <c r="I428" s="85">
        <v>46212.0</v>
      </c>
      <c r="J428" s="82" t="s">
        <v>535</v>
      </c>
      <c r="K428" s="86">
        <v>1156062.0</v>
      </c>
      <c r="L428" s="110">
        <v>6440.0</v>
      </c>
      <c r="M428" s="80" t="s">
        <v>554</v>
      </c>
      <c r="N428" s="80"/>
      <c r="O428" s="80"/>
      <c r="P428" s="80"/>
      <c r="Q428" s="80"/>
      <c r="R428" s="80"/>
      <c r="S428" s="80"/>
      <c r="T428" s="80"/>
      <c r="U428" s="80"/>
      <c r="V428" s="80"/>
      <c r="W428" s="80"/>
      <c r="X428" s="80"/>
      <c r="Y428" s="80"/>
      <c r="Z428" s="80"/>
    </row>
    <row r="429">
      <c r="A429" s="87">
        <v>3278.0</v>
      </c>
      <c r="B429" s="82" t="s">
        <v>586</v>
      </c>
      <c r="C429" s="82" t="s">
        <v>536</v>
      </c>
      <c r="D429" s="110">
        <v>5000.0</v>
      </c>
      <c r="E429" s="110">
        <v>90.0</v>
      </c>
      <c r="F429" s="110">
        <v>45.0</v>
      </c>
      <c r="G429" s="110">
        <v>1793.0</v>
      </c>
      <c r="H429" s="85">
        <v>46167.0</v>
      </c>
      <c r="I429" s="85">
        <v>46212.0</v>
      </c>
      <c r="J429" s="82" t="s">
        <v>535</v>
      </c>
      <c r="K429" s="86">
        <v>1161130.0</v>
      </c>
      <c r="L429" s="110">
        <v>7114.0</v>
      </c>
      <c r="M429" s="80" t="s">
        <v>554</v>
      </c>
      <c r="N429" s="80"/>
      <c r="O429" s="80"/>
      <c r="P429" s="80"/>
      <c r="Q429" s="80"/>
      <c r="R429" s="80"/>
      <c r="S429" s="80"/>
      <c r="T429" s="80"/>
      <c r="U429" s="80"/>
      <c r="V429" s="80"/>
      <c r="W429" s="80"/>
      <c r="X429" s="80"/>
      <c r="Y429" s="80"/>
      <c r="Z429" s="80"/>
    </row>
    <row r="430">
      <c r="A430" s="87">
        <v>3279.0</v>
      </c>
      <c r="B430" s="82" t="s">
        <v>586</v>
      </c>
      <c r="C430" s="82" t="s">
        <v>536</v>
      </c>
      <c r="D430" s="110">
        <v>5000.0</v>
      </c>
      <c r="E430" s="110">
        <v>90.0</v>
      </c>
      <c r="F430" s="110">
        <v>85.0</v>
      </c>
      <c r="G430" s="110">
        <v>3301.0</v>
      </c>
      <c r="H430" s="85">
        <v>46127.0</v>
      </c>
      <c r="I430" s="85">
        <v>46212.0</v>
      </c>
      <c r="J430" s="82" t="s">
        <v>535</v>
      </c>
      <c r="K430" s="86">
        <v>1156264.0</v>
      </c>
      <c r="L430" s="110">
        <v>4527.0</v>
      </c>
      <c r="M430" s="80" t="s">
        <v>554</v>
      </c>
      <c r="N430" s="80"/>
      <c r="O430" s="80"/>
      <c r="P430" s="80"/>
      <c r="Q430" s="80"/>
      <c r="R430" s="80"/>
      <c r="S430" s="80"/>
      <c r="T430" s="80"/>
      <c r="U430" s="80"/>
      <c r="V430" s="80"/>
      <c r="W430" s="80"/>
      <c r="X430" s="80"/>
      <c r="Y430" s="80"/>
      <c r="Z430" s="80"/>
    </row>
    <row r="431">
      <c r="A431" s="87">
        <v>3280.0</v>
      </c>
      <c r="B431" s="82" t="s">
        <v>586</v>
      </c>
      <c r="C431" s="82" t="s">
        <v>536</v>
      </c>
      <c r="D431" s="110">
        <v>5000.0</v>
      </c>
      <c r="E431" s="110">
        <v>90.0</v>
      </c>
      <c r="F431" s="110">
        <v>45.0</v>
      </c>
      <c r="G431" s="110">
        <v>2178.0</v>
      </c>
      <c r="H431" s="85">
        <v>46167.0</v>
      </c>
      <c r="I431" s="85">
        <v>46212.0</v>
      </c>
      <c r="J431" s="82" t="s">
        <v>535</v>
      </c>
      <c r="K431" s="86">
        <v>1161125.0</v>
      </c>
      <c r="L431" s="110">
        <v>8306.0</v>
      </c>
      <c r="M431" s="80" t="s">
        <v>554</v>
      </c>
      <c r="N431" s="80"/>
      <c r="O431" s="80"/>
      <c r="P431" s="80"/>
      <c r="Q431" s="80"/>
      <c r="R431" s="80"/>
      <c r="S431" s="80"/>
      <c r="T431" s="80"/>
      <c r="U431" s="80"/>
      <c r="V431" s="80"/>
      <c r="W431" s="80"/>
      <c r="X431" s="80"/>
      <c r="Y431" s="80"/>
      <c r="Z431" s="80"/>
    </row>
    <row r="432">
      <c r="A432" s="87">
        <v>3281.0</v>
      </c>
      <c r="B432" s="82" t="s">
        <v>586</v>
      </c>
      <c r="C432" s="82" t="s">
        <v>536</v>
      </c>
      <c r="D432" s="110">
        <v>5000.0</v>
      </c>
      <c r="E432" s="110">
        <v>90.0</v>
      </c>
      <c r="F432" s="110">
        <v>93.0</v>
      </c>
      <c r="G432" s="110">
        <v>3904.0</v>
      </c>
      <c r="H432" s="85">
        <v>46119.0</v>
      </c>
      <c r="I432" s="85">
        <v>46212.0</v>
      </c>
      <c r="J432" s="82" t="s">
        <v>540</v>
      </c>
      <c r="K432" s="86">
        <v>1155341.0</v>
      </c>
      <c r="L432" s="110">
        <v>6050.0</v>
      </c>
      <c r="M432" s="80" t="s">
        <v>554</v>
      </c>
      <c r="N432" s="80"/>
      <c r="O432" s="80"/>
      <c r="P432" s="80"/>
      <c r="Q432" s="80"/>
      <c r="R432" s="80"/>
      <c r="S432" s="80"/>
      <c r="T432" s="80"/>
      <c r="U432" s="80"/>
      <c r="V432" s="80"/>
      <c r="W432" s="80"/>
      <c r="X432" s="80"/>
      <c r="Y432" s="80"/>
      <c r="Z432" s="80"/>
    </row>
    <row r="433">
      <c r="A433" s="87">
        <v>3282.0</v>
      </c>
      <c r="B433" s="82" t="s">
        <v>586</v>
      </c>
      <c r="C433" s="82" t="s">
        <v>536</v>
      </c>
      <c r="D433" s="110">
        <v>5000.0</v>
      </c>
      <c r="E433" s="110">
        <v>90.0</v>
      </c>
      <c r="F433" s="110">
        <v>57.0</v>
      </c>
      <c r="G433" s="110">
        <v>2672.0</v>
      </c>
      <c r="H433" s="85">
        <v>46155.0</v>
      </c>
      <c r="I433" s="85">
        <v>46212.0</v>
      </c>
      <c r="J433" s="82" t="s">
        <v>535</v>
      </c>
      <c r="K433" s="86">
        <v>1159744.0</v>
      </c>
      <c r="L433" s="110">
        <v>7825.0</v>
      </c>
      <c r="M433" s="80" t="s">
        <v>554</v>
      </c>
      <c r="N433" s="80"/>
      <c r="O433" s="80"/>
      <c r="P433" s="80"/>
      <c r="Q433" s="80"/>
      <c r="R433" s="80"/>
      <c r="S433" s="80"/>
      <c r="T433" s="80"/>
      <c r="U433" s="80"/>
      <c r="V433" s="80"/>
      <c r="W433" s="80"/>
      <c r="X433" s="80"/>
      <c r="Y433" s="80"/>
      <c r="Z433" s="80"/>
    </row>
    <row r="434">
      <c r="A434" s="87">
        <v>3283.0</v>
      </c>
      <c r="B434" s="82" t="s">
        <v>586</v>
      </c>
      <c r="C434" s="82" t="s">
        <v>536</v>
      </c>
      <c r="D434" s="110">
        <v>5000.0</v>
      </c>
      <c r="E434" s="110">
        <v>90.0</v>
      </c>
      <c r="F434" s="110">
        <v>57.0</v>
      </c>
      <c r="G434" s="110">
        <v>2462.0</v>
      </c>
      <c r="H434" s="85">
        <v>46155.0</v>
      </c>
      <c r="I434" s="85">
        <v>46212.0</v>
      </c>
      <c r="J434" s="82" t="s">
        <v>535</v>
      </c>
      <c r="K434" s="86">
        <v>1159728.0</v>
      </c>
      <c r="L434" s="110">
        <v>8393.0</v>
      </c>
      <c r="M434" s="80" t="s">
        <v>554</v>
      </c>
      <c r="N434" s="80"/>
      <c r="O434" s="80"/>
      <c r="P434" s="80"/>
      <c r="Q434" s="80"/>
      <c r="R434" s="80"/>
      <c r="S434" s="80"/>
      <c r="T434" s="80"/>
      <c r="U434" s="80"/>
      <c r="V434" s="80"/>
      <c r="W434" s="80"/>
      <c r="X434" s="80"/>
      <c r="Y434" s="80"/>
      <c r="Z434" s="80"/>
    </row>
    <row r="435">
      <c r="A435" s="87">
        <v>3284.0</v>
      </c>
      <c r="B435" s="82" t="s">
        <v>586</v>
      </c>
      <c r="C435" s="82" t="s">
        <v>536</v>
      </c>
      <c r="D435" s="110">
        <v>5000.0</v>
      </c>
      <c r="E435" s="110">
        <v>90.0</v>
      </c>
      <c r="F435" s="110">
        <v>65.0</v>
      </c>
      <c r="G435" s="110">
        <v>2493.0</v>
      </c>
      <c r="H435" s="85">
        <v>46147.0</v>
      </c>
      <c r="I435" s="85">
        <v>46212.0</v>
      </c>
      <c r="J435" s="82" t="s">
        <v>535</v>
      </c>
      <c r="K435" s="86">
        <v>1158481.0</v>
      </c>
      <c r="L435" s="110">
        <v>7253.0</v>
      </c>
      <c r="M435" s="80" t="s">
        <v>554</v>
      </c>
      <c r="N435" s="80"/>
      <c r="O435" s="80"/>
      <c r="P435" s="80"/>
      <c r="Q435" s="80"/>
      <c r="R435" s="80"/>
      <c r="S435" s="80"/>
      <c r="T435" s="80"/>
      <c r="U435" s="80"/>
      <c r="V435" s="80"/>
      <c r="W435" s="80"/>
      <c r="X435" s="80"/>
      <c r="Y435" s="80"/>
      <c r="Z435" s="80"/>
    </row>
    <row r="436">
      <c r="A436" s="87">
        <v>222129.0</v>
      </c>
      <c r="B436" s="82" t="s">
        <v>590</v>
      </c>
      <c r="C436" s="82" t="s">
        <v>534</v>
      </c>
      <c r="D436" s="110">
        <v>0.0</v>
      </c>
      <c r="E436" s="110">
        <v>0.0</v>
      </c>
      <c r="F436" s="110">
        <v>0.0</v>
      </c>
      <c r="G436" s="110">
        <v>0.0</v>
      </c>
      <c r="H436" s="83" t="s">
        <v>591</v>
      </c>
      <c r="I436" s="85">
        <v>46212.0</v>
      </c>
      <c r="J436" s="82" t="s">
        <v>592</v>
      </c>
      <c r="K436" s="89" t="s">
        <v>591</v>
      </c>
      <c r="L436" s="110">
        <v>0.0</v>
      </c>
      <c r="M436" s="80" t="s">
        <v>537</v>
      </c>
      <c r="N436" s="80"/>
      <c r="O436" s="80"/>
      <c r="P436" s="80"/>
      <c r="Q436" s="80"/>
      <c r="R436" s="80"/>
      <c r="S436" s="80"/>
      <c r="T436" s="80"/>
      <c r="U436" s="80"/>
      <c r="V436" s="80"/>
      <c r="W436" s="80"/>
      <c r="X436" s="80"/>
      <c r="Y436" s="80"/>
      <c r="Z436" s="80"/>
    </row>
    <row r="437">
      <c r="A437" s="87">
        <v>222134.0</v>
      </c>
      <c r="B437" s="82" t="s">
        <v>593</v>
      </c>
      <c r="C437" s="82" t="s">
        <v>536</v>
      </c>
      <c r="D437" s="110">
        <v>0.0</v>
      </c>
      <c r="E437" s="110">
        <v>0.0</v>
      </c>
      <c r="F437" s="110">
        <v>0.0</v>
      </c>
      <c r="G437" s="110">
        <v>0.0</v>
      </c>
      <c r="H437" s="83" t="s">
        <v>591</v>
      </c>
      <c r="I437" s="85">
        <v>46212.0</v>
      </c>
      <c r="J437" s="82" t="s">
        <v>592</v>
      </c>
      <c r="K437" s="89" t="s">
        <v>591</v>
      </c>
      <c r="L437" s="110">
        <v>0.0</v>
      </c>
      <c r="M437" s="80" t="s">
        <v>554</v>
      </c>
      <c r="N437" s="80"/>
      <c r="O437" s="80"/>
      <c r="P437" s="80"/>
      <c r="Q437" s="80"/>
      <c r="R437" s="80"/>
      <c r="S437" s="80"/>
      <c r="T437" s="80"/>
      <c r="U437" s="80"/>
      <c r="V437" s="80"/>
      <c r="W437" s="80"/>
      <c r="X437" s="80"/>
      <c r="Y437" s="80"/>
      <c r="Z437" s="80"/>
    </row>
    <row r="438">
      <c r="A438" s="87"/>
      <c r="B438" s="82"/>
      <c r="C438" s="82"/>
      <c r="D438" s="87"/>
      <c r="E438" s="87"/>
      <c r="F438" s="87"/>
      <c r="G438" s="87"/>
      <c r="H438" s="83"/>
      <c r="I438" s="83"/>
      <c r="J438" s="82"/>
      <c r="K438" s="89"/>
      <c r="L438" s="87"/>
      <c r="M438" s="80"/>
      <c r="N438" s="80"/>
      <c r="O438" s="80"/>
      <c r="P438" s="80"/>
      <c r="Q438" s="80"/>
      <c r="R438" s="80"/>
      <c r="S438" s="80"/>
      <c r="T438" s="80"/>
      <c r="U438" s="80"/>
      <c r="V438" s="80"/>
      <c r="W438" s="80"/>
      <c r="X438" s="80"/>
      <c r="Y438" s="80"/>
      <c r="Z438" s="80"/>
    </row>
    <row r="439">
      <c r="A439" s="87"/>
      <c r="B439" s="82"/>
      <c r="C439" s="82"/>
      <c r="D439" s="87"/>
      <c r="E439" s="87"/>
      <c r="F439" s="87"/>
      <c r="G439" s="87"/>
      <c r="H439" s="83"/>
      <c r="I439" s="83"/>
      <c r="J439" s="82"/>
      <c r="K439" s="89"/>
      <c r="L439" s="87"/>
      <c r="M439" s="80"/>
      <c r="N439" s="80"/>
      <c r="O439" s="80"/>
      <c r="P439" s="80"/>
      <c r="Q439" s="80"/>
      <c r="R439" s="80"/>
      <c r="S439" s="80"/>
      <c r="T439" s="80"/>
      <c r="U439" s="80"/>
      <c r="V439" s="80"/>
      <c r="W439" s="80"/>
      <c r="X439" s="80"/>
      <c r="Y439" s="80"/>
      <c r="Z439" s="80"/>
    </row>
    <row r="440">
      <c r="A440" s="87"/>
      <c r="B440" s="82"/>
      <c r="C440" s="82"/>
      <c r="D440" s="87"/>
      <c r="E440" s="87"/>
      <c r="F440" s="87"/>
      <c r="G440" s="87"/>
      <c r="H440" s="83"/>
      <c r="I440" s="83"/>
      <c r="J440" s="82"/>
      <c r="K440" s="89"/>
      <c r="L440" s="87"/>
      <c r="M440" s="80"/>
      <c r="N440" s="80"/>
      <c r="O440" s="80"/>
      <c r="P440" s="80"/>
      <c r="Q440" s="80"/>
      <c r="R440" s="80"/>
      <c r="S440" s="80"/>
      <c r="T440" s="80"/>
      <c r="U440" s="80"/>
      <c r="V440" s="80"/>
      <c r="W440" s="80"/>
      <c r="X440" s="80"/>
      <c r="Y440" s="80"/>
      <c r="Z440" s="80"/>
    </row>
    <row r="441">
      <c r="A441" s="87"/>
      <c r="B441" s="82"/>
      <c r="C441" s="82"/>
      <c r="D441" s="87"/>
      <c r="E441" s="87"/>
      <c r="F441" s="87"/>
      <c r="G441" s="87"/>
      <c r="H441" s="83"/>
      <c r="I441" s="83"/>
      <c r="J441" s="82"/>
      <c r="K441" s="89"/>
      <c r="L441" s="87"/>
      <c r="M441" s="80"/>
      <c r="N441" s="80"/>
      <c r="O441" s="80"/>
      <c r="P441" s="80"/>
      <c r="Q441" s="80"/>
      <c r="R441" s="80"/>
      <c r="S441" s="80"/>
      <c r="T441" s="80"/>
      <c r="U441" s="80"/>
      <c r="V441" s="80"/>
      <c r="W441" s="80"/>
      <c r="X441" s="80"/>
      <c r="Y441" s="80"/>
      <c r="Z441" s="80"/>
    </row>
    <row r="442">
      <c r="A442" s="87"/>
      <c r="B442" s="82"/>
      <c r="C442" s="82"/>
      <c r="D442" s="87"/>
      <c r="E442" s="87"/>
      <c r="F442" s="87"/>
      <c r="G442" s="87"/>
      <c r="H442" s="83"/>
      <c r="I442" s="83"/>
      <c r="J442" s="82"/>
      <c r="K442" s="89"/>
      <c r="L442" s="87"/>
      <c r="M442" s="80"/>
      <c r="N442" s="80"/>
      <c r="O442" s="80"/>
      <c r="P442" s="80"/>
      <c r="Q442" s="80"/>
      <c r="R442" s="80"/>
      <c r="S442" s="80"/>
      <c r="T442" s="80"/>
      <c r="U442" s="80"/>
      <c r="V442" s="80"/>
      <c r="W442" s="80"/>
      <c r="X442" s="80"/>
      <c r="Y442" s="80"/>
      <c r="Z442" s="80"/>
    </row>
    <row r="443">
      <c r="A443" s="87"/>
      <c r="B443" s="82"/>
      <c r="C443" s="82"/>
      <c r="D443" s="87"/>
      <c r="E443" s="87"/>
      <c r="F443" s="87"/>
      <c r="G443" s="87"/>
      <c r="H443" s="83"/>
      <c r="I443" s="83"/>
      <c r="J443" s="82"/>
      <c r="K443" s="89"/>
      <c r="L443" s="87"/>
      <c r="M443" s="80"/>
      <c r="N443" s="80"/>
      <c r="O443" s="80"/>
      <c r="P443" s="80"/>
      <c r="Q443" s="80"/>
      <c r="R443" s="80"/>
      <c r="S443" s="80"/>
      <c r="T443" s="80"/>
      <c r="U443" s="80"/>
      <c r="V443" s="80"/>
      <c r="W443" s="80"/>
      <c r="X443" s="80"/>
      <c r="Y443" s="80"/>
      <c r="Z443" s="80"/>
    </row>
    <row r="444">
      <c r="A444" s="87"/>
      <c r="B444" s="82"/>
      <c r="C444" s="82"/>
      <c r="D444" s="87"/>
      <c r="E444" s="87"/>
      <c r="F444" s="87"/>
      <c r="G444" s="87"/>
      <c r="H444" s="83"/>
      <c r="I444" s="83"/>
      <c r="J444" s="82"/>
      <c r="K444" s="89"/>
      <c r="L444" s="87"/>
      <c r="M444" s="80"/>
      <c r="N444" s="80"/>
      <c r="O444" s="80"/>
      <c r="P444" s="80"/>
      <c r="Q444" s="80"/>
      <c r="R444" s="80"/>
      <c r="S444" s="80"/>
      <c r="T444" s="80"/>
      <c r="U444" s="80"/>
      <c r="V444" s="80"/>
      <c r="W444" s="80"/>
      <c r="X444" s="80"/>
      <c r="Y444" s="80"/>
      <c r="Z444" s="80"/>
    </row>
    <row r="445">
      <c r="A445" s="87"/>
      <c r="B445" s="82"/>
      <c r="C445" s="82"/>
      <c r="D445" s="87"/>
      <c r="E445" s="87"/>
      <c r="F445" s="87"/>
      <c r="G445" s="87"/>
      <c r="H445" s="83"/>
      <c r="I445" s="83"/>
      <c r="J445" s="82"/>
      <c r="K445" s="89"/>
      <c r="L445" s="87"/>
      <c r="M445" s="80"/>
      <c r="N445" s="80"/>
      <c r="O445" s="80"/>
      <c r="P445" s="80"/>
      <c r="Q445" s="80"/>
      <c r="R445" s="80"/>
      <c r="S445" s="80"/>
      <c r="T445" s="80"/>
      <c r="U445" s="80"/>
      <c r="V445" s="80"/>
      <c r="W445" s="80"/>
      <c r="X445" s="80"/>
      <c r="Y445" s="80"/>
      <c r="Z445" s="80"/>
    </row>
    <row r="446">
      <c r="A446" s="87"/>
      <c r="B446" s="82"/>
      <c r="C446" s="82"/>
      <c r="D446" s="87"/>
      <c r="E446" s="87"/>
      <c r="F446" s="87"/>
      <c r="G446" s="87"/>
      <c r="H446" s="83"/>
      <c r="I446" s="83"/>
      <c r="J446" s="82"/>
      <c r="K446" s="89"/>
      <c r="L446" s="87"/>
      <c r="M446" s="80"/>
      <c r="N446" s="80"/>
      <c r="O446" s="80"/>
      <c r="P446" s="80"/>
      <c r="Q446" s="80"/>
      <c r="R446" s="80"/>
      <c r="S446" s="80"/>
      <c r="T446" s="80"/>
      <c r="U446" s="80"/>
      <c r="V446" s="80"/>
      <c r="W446" s="80"/>
      <c r="X446" s="80"/>
      <c r="Y446" s="80"/>
      <c r="Z446" s="80"/>
    </row>
    <row r="447">
      <c r="A447" s="87"/>
      <c r="B447" s="82"/>
      <c r="C447" s="82"/>
      <c r="D447" s="87"/>
      <c r="E447" s="87"/>
      <c r="F447" s="87"/>
      <c r="G447" s="87"/>
      <c r="H447" s="83"/>
      <c r="I447" s="83"/>
      <c r="J447" s="82"/>
      <c r="K447" s="89"/>
      <c r="L447" s="87"/>
      <c r="M447" s="80"/>
      <c r="N447" s="80"/>
      <c r="O447" s="80"/>
      <c r="P447" s="80"/>
      <c r="Q447" s="80"/>
      <c r="R447" s="80"/>
      <c r="S447" s="80"/>
      <c r="T447" s="80"/>
      <c r="U447" s="80"/>
      <c r="V447" s="80"/>
      <c r="W447" s="80"/>
      <c r="X447" s="80"/>
      <c r="Y447" s="80"/>
      <c r="Z447" s="80"/>
    </row>
    <row r="448">
      <c r="A448" s="87"/>
      <c r="B448" s="82"/>
      <c r="C448" s="82"/>
      <c r="D448" s="87"/>
      <c r="E448" s="87"/>
      <c r="F448" s="87"/>
      <c r="G448" s="87"/>
      <c r="H448" s="83"/>
      <c r="I448" s="83"/>
      <c r="J448" s="82"/>
      <c r="K448" s="89"/>
      <c r="L448" s="87"/>
      <c r="M448" s="80"/>
      <c r="N448" s="80"/>
      <c r="O448" s="80"/>
      <c r="P448" s="80"/>
      <c r="Q448" s="80"/>
      <c r="R448" s="80"/>
      <c r="S448" s="80"/>
      <c r="T448" s="80"/>
      <c r="U448" s="80"/>
      <c r="V448" s="80"/>
      <c r="W448" s="80"/>
      <c r="X448" s="80"/>
      <c r="Y448" s="80"/>
      <c r="Z448" s="80"/>
    </row>
    <row r="449">
      <c r="A449" s="87"/>
      <c r="B449" s="82"/>
      <c r="C449" s="82"/>
      <c r="D449" s="87"/>
      <c r="E449" s="87"/>
      <c r="F449" s="87"/>
      <c r="G449" s="87"/>
      <c r="H449" s="83"/>
      <c r="I449" s="83"/>
      <c r="J449" s="82"/>
      <c r="K449" s="89"/>
      <c r="L449" s="87"/>
      <c r="M449" s="80"/>
      <c r="N449" s="80"/>
      <c r="O449" s="80"/>
      <c r="P449" s="80"/>
      <c r="Q449" s="80"/>
      <c r="R449" s="80"/>
      <c r="S449" s="80"/>
      <c r="T449" s="80"/>
      <c r="U449" s="80"/>
      <c r="V449" s="80"/>
      <c r="W449" s="80"/>
      <c r="X449" s="80"/>
      <c r="Y449" s="80"/>
      <c r="Z449" s="80"/>
    </row>
    <row r="450">
      <c r="A450" s="87"/>
      <c r="B450" s="82"/>
      <c r="C450" s="82"/>
      <c r="D450" s="87"/>
      <c r="E450" s="87"/>
      <c r="F450" s="87"/>
      <c r="G450" s="87"/>
      <c r="H450" s="83"/>
      <c r="I450" s="83"/>
      <c r="J450" s="82"/>
      <c r="K450" s="89"/>
      <c r="L450" s="87"/>
      <c r="M450" s="80"/>
      <c r="N450" s="80"/>
      <c r="O450" s="80"/>
      <c r="P450" s="80"/>
      <c r="Q450" s="80"/>
      <c r="R450" s="80"/>
      <c r="S450" s="80"/>
      <c r="T450" s="80"/>
      <c r="U450" s="80"/>
      <c r="V450" s="80"/>
      <c r="W450" s="80"/>
      <c r="X450" s="80"/>
      <c r="Y450" s="80"/>
      <c r="Z450" s="80"/>
    </row>
    <row r="451">
      <c r="A451" s="87"/>
      <c r="B451" s="82"/>
      <c r="C451" s="82"/>
      <c r="D451" s="87"/>
      <c r="E451" s="87"/>
      <c r="F451" s="87"/>
      <c r="G451" s="87"/>
      <c r="H451" s="83"/>
      <c r="I451" s="83"/>
      <c r="J451" s="82"/>
      <c r="K451" s="89"/>
      <c r="L451" s="87"/>
      <c r="M451" s="80"/>
      <c r="N451" s="80"/>
      <c r="O451" s="80"/>
      <c r="P451" s="80"/>
      <c r="Q451" s="80"/>
      <c r="R451" s="80"/>
      <c r="S451" s="80"/>
      <c r="T451" s="80"/>
      <c r="U451" s="80"/>
      <c r="V451" s="80"/>
      <c r="W451" s="80"/>
      <c r="X451" s="80"/>
      <c r="Y451" s="80"/>
      <c r="Z451" s="80"/>
    </row>
    <row r="452">
      <c r="A452" s="87"/>
      <c r="B452" s="82"/>
      <c r="C452" s="82"/>
      <c r="D452" s="87"/>
      <c r="E452" s="87"/>
      <c r="F452" s="87"/>
      <c r="G452" s="87"/>
      <c r="H452" s="83"/>
      <c r="I452" s="83"/>
      <c r="J452" s="82"/>
      <c r="K452" s="89"/>
      <c r="L452" s="87"/>
      <c r="M452" s="80"/>
      <c r="N452" s="80"/>
      <c r="O452" s="80"/>
      <c r="P452" s="80"/>
      <c r="Q452" s="80"/>
      <c r="R452" s="80"/>
      <c r="S452" s="80"/>
      <c r="T452" s="80"/>
      <c r="U452" s="80"/>
      <c r="V452" s="80"/>
      <c r="W452" s="80"/>
      <c r="X452" s="80"/>
      <c r="Y452" s="80"/>
      <c r="Z452" s="80"/>
    </row>
    <row r="453">
      <c r="A453" s="87"/>
      <c r="B453" s="82"/>
      <c r="C453" s="82"/>
      <c r="D453" s="87"/>
      <c r="E453" s="87"/>
      <c r="F453" s="87"/>
      <c r="G453" s="87"/>
      <c r="H453" s="83"/>
      <c r="I453" s="83"/>
      <c r="J453" s="82"/>
      <c r="K453" s="89"/>
      <c r="L453" s="87"/>
      <c r="M453" s="80"/>
      <c r="N453" s="80"/>
      <c r="O453" s="80"/>
      <c r="P453" s="80"/>
      <c r="Q453" s="80"/>
      <c r="R453" s="80"/>
      <c r="S453" s="80"/>
      <c r="T453" s="80"/>
      <c r="U453" s="80"/>
      <c r="V453" s="80"/>
      <c r="W453" s="80"/>
      <c r="X453" s="80"/>
      <c r="Y453" s="80"/>
      <c r="Z453" s="80"/>
    </row>
    <row r="454">
      <c r="A454" s="87"/>
      <c r="B454" s="82"/>
      <c r="C454" s="82"/>
      <c r="D454" s="87"/>
      <c r="E454" s="87"/>
      <c r="F454" s="87"/>
      <c r="G454" s="87"/>
      <c r="H454" s="83"/>
      <c r="I454" s="83"/>
      <c r="J454" s="82"/>
      <c r="K454" s="89"/>
      <c r="L454" s="87"/>
      <c r="M454" s="80"/>
      <c r="N454" s="80"/>
      <c r="O454" s="80"/>
      <c r="P454" s="80"/>
      <c r="Q454" s="80"/>
      <c r="R454" s="80"/>
      <c r="S454" s="80"/>
      <c r="T454" s="80"/>
      <c r="U454" s="80"/>
      <c r="V454" s="80"/>
      <c r="W454" s="80"/>
      <c r="X454" s="80"/>
      <c r="Y454" s="80"/>
      <c r="Z454" s="80"/>
    </row>
    <row r="455">
      <c r="A455" s="87"/>
      <c r="B455" s="82"/>
      <c r="C455" s="82"/>
      <c r="D455" s="87"/>
      <c r="E455" s="87"/>
      <c r="F455" s="87"/>
      <c r="G455" s="87"/>
      <c r="H455" s="83"/>
      <c r="I455" s="83"/>
      <c r="J455" s="82"/>
      <c r="K455" s="89"/>
      <c r="L455" s="87"/>
      <c r="M455" s="80"/>
      <c r="N455" s="80"/>
      <c r="O455" s="80"/>
      <c r="P455" s="80"/>
      <c r="Q455" s="80"/>
      <c r="R455" s="80"/>
      <c r="S455" s="80"/>
      <c r="T455" s="80"/>
      <c r="U455" s="80"/>
      <c r="V455" s="80"/>
      <c r="W455" s="80"/>
      <c r="X455" s="80"/>
      <c r="Y455" s="80"/>
      <c r="Z455" s="80"/>
    </row>
    <row r="456">
      <c r="A456" s="87"/>
      <c r="B456" s="82"/>
      <c r="C456" s="82"/>
      <c r="D456" s="87"/>
      <c r="E456" s="87"/>
      <c r="F456" s="87"/>
      <c r="G456" s="87"/>
      <c r="H456" s="83"/>
      <c r="I456" s="83"/>
      <c r="J456" s="82"/>
      <c r="K456" s="89"/>
      <c r="L456" s="87"/>
      <c r="M456" s="80"/>
      <c r="N456" s="80"/>
      <c r="O456" s="80"/>
      <c r="P456" s="80"/>
      <c r="Q456" s="80"/>
      <c r="R456" s="80"/>
      <c r="S456" s="80"/>
      <c r="T456" s="80"/>
      <c r="U456" s="80"/>
      <c r="V456" s="80"/>
      <c r="W456" s="80"/>
      <c r="X456" s="80"/>
      <c r="Y456" s="80"/>
      <c r="Z456" s="80"/>
    </row>
    <row r="457">
      <c r="A457" s="87"/>
      <c r="B457" s="82"/>
      <c r="C457" s="82"/>
      <c r="D457" s="87"/>
      <c r="E457" s="87"/>
      <c r="F457" s="87"/>
      <c r="G457" s="87"/>
      <c r="H457" s="83"/>
      <c r="I457" s="83"/>
      <c r="J457" s="82"/>
      <c r="K457" s="89"/>
      <c r="L457" s="87"/>
      <c r="M457" s="80"/>
      <c r="N457" s="80"/>
      <c r="O457" s="80"/>
      <c r="P457" s="80"/>
      <c r="Q457" s="80"/>
      <c r="R457" s="80"/>
      <c r="S457" s="80"/>
      <c r="T457" s="80"/>
      <c r="U457" s="80"/>
      <c r="V457" s="80"/>
      <c r="W457" s="80"/>
      <c r="X457" s="80"/>
      <c r="Y457" s="80"/>
      <c r="Z457" s="80"/>
    </row>
    <row r="458">
      <c r="A458" s="87"/>
      <c r="B458" s="82"/>
      <c r="C458" s="82"/>
      <c r="D458" s="87"/>
      <c r="E458" s="87"/>
      <c r="F458" s="87"/>
      <c r="G458" s="87"/>
      <c r="H458" s="83"/>
      <c r="I458" s="83"/>
      <c r="J458" s="82"/>
      <c r="K458" s="89"/>
      <c r="L458" s="87"/>
      <c r="M458" s="80"/>
      <c r="N458" s="80"/>
      <c r="O458" s="80"/>
      <c r="P458" s="80"/>
      <c r="Q458" s="80"/>
      <c r="R458" s="80"/>
      <c r="S458" s="80"/>
      <c r="T458" s="80"/>
      <c r="U458" s="80"/>
      <c r="V458" s="80"/>
      <c r="W458" s="80"/>
      <c r="X458" s="80"/>
      <c r="Y458" s="80"/>
      <c r="Z458" s="80"/>
    </row>
    <row r="459">
      <c r="A459" s="87"/>
      <c r="B459" s="82"/>
      <c r="C459" s="82"/>
      <c r="D459" s="87"/>
      <c r="E459" s="87"/>
      <c r="F459" s="87"/>
      <c r="G459" s="87"/>
      <c r="H459" s="83"/>
      <c r="I459" s="83"/>
      <c r="J459" s="82"/>
      <c r="K459" s="89"/>
      <c r="L459" s="87"/>
      <c r="M459" s="80"/>
      <c r="N459" s="80"/>
      <c r="O459" s="80"/>
      <c r="P459" s="80"/>
      <c r="Q459" s="80"/>
      <c r="R459" s="80"/>
      <c r="S459" s="80"/>
      <c r="T459" s="80"/>
      <c r="U459" s="80"/>
      <c r="V459" s="80"/>
      <c r="W459" s="80"/>
      <c r="X459" s="80"/>
      <c r="Y459" s="80"/>
      <c r="Z459" s="80"/>
    </row>
    <row r="460">
      <c r="A460" s="87"/>
      <c r="B460" s="82"/>
      <c r="C460" s="82"/>
      <c r="D460" s="87"/>
      <c r="E460" s="87"/>
      <c r="F460" s="87"/>
      <c r="G460" s="87"/>
      <c r="H460" s="83"/>
      <c r="I460" s="83"/>
      <c r="J460" s="82"/>
      <c r="K460" s="89"/>
      <c r="L460" s="87"/>
      <c r="M460" s="80"/>
      <c r="N460" s="80"/>
      <c r="O460" s="80"/>
      <c r="P460" s="80"/>
      <c r="Q460" s="80"/>
      <c r="R460" s="80"/>
      <c r="S460" s="80"/>
      <c r="T460" s="80"/>
      <c r="U460" s="80"/>
      <c r="V460" s="80"/>
      <c r="W460" s="80"/>
      <c r="X460" s="80"/>
      <c r="Y460" s="80"/>
      <c r="Z460" s="80"/>
    </row>
    <row r="461">
      <c r="A461" s="87"/>
      <c r="B461" s="82"/>
      <c r="C461" s="82"/>
      <c r="D461" s="87"/>
      <c r="E461" s="87"/>
      <c r="F461" s="87"/>
      <c r="G461" s="87"/>
      <c r="H461" s="83"/>
      <c r="I461" s="83"/>
      <c r="J461" s="82"/>
      <c r="K461" s="89"/>
      <c r="L461" s="87"/>
      <c r="M461" s="80"/>
      <c r="N461" s="80"/>
      <c r="O461" s="80"/>
      <c r="P461" s="80"/>
      <c r="Q461" s="80"/>
      <c r="R461" s="80"/>
      <c r="S461" s="80"/>
      <c r="T461" s="80"/>
      <c r="U461" s="80"/>
      <c r="V461" s="80"/>
      <c r="W461" s="80"/>
      <c r="X461" s="80"/>
      <c r="Y461" s="80"/>
      <c r="Z461" s="80"/>
    </row>
    <row r="462">
      <c r="A462" s="87"/>
      <c r="B462" s="82"/>
      <c r="C462" s="82"/>
      <c r="D462" s="87"/>
      <c r="E462" s="87"/>
      <c r="F462" s="87"/>
      <c r="G462" s="87"/>
      <c r="H462" s="83"/>
      <c r="I462" s="83"/>
      <c r="J462" s="82"/>
      <c r="K462" s="89"/>
      <c r="L462" s="87"/>
      <c r="M462" s="80"/>
      <c r="N462" s="80"/>
      <c r="O462" s="80"/>
      <c r="P462" s="80"/>
      <c r="Q462" s="80"/>
      <c r="R462" s="80"/>
      <c r="S462" s="80"/>
      <c r="T462" s="80"/>
      <c r="U462" s="80"/>
      <c r="V462" s="80"/>
      <c r="W462" s="80"/>
      <c r="X462" s="80"/>
      <c r="Y462" s="80"/>
      <c r="Z462" s="80"/>
    </row>
    <row r="463">
      <c r="A463" s="87"/>
      <c r="B463" s="82"/>
      <c r="C463" s="82"/>
      <c r="D463" s="87"/>
      <c r="E463" s="87"/>
      <c r="F463" s="87"/>
      <c r="G463" s="87"/>
      <c r="H463" s="83"/>
      <c r="I463" s="83"/>
      <c r="J463" s="82"/>
      <c r="K463" s="89"/>
      <c r="L463" s="87"/>
      <c r="M463" s="80"/>
      <c r="N463" s="80"/>
      <c r="O463" s="80"/>
      <c r="P463" s="80"/>
      <c r="Q463" s="80"/>
      <c r="R463" s="80"/>
      <c r="S463" s="80"/>
      <c r="T463" s="80"/>
      <c r="U463" s="80"/>
      <c r="V463" s="80"/>
      <c r="W463" s="80"/>
      <c r="X463" s="80"/>
      <c r="Y463" s="80"/>
      <c r="Z463" s="80"/>
    </row>
    <row r="464">
      <c r="A464" s="87"/>
      <c r="B464" s="82"/>
      <c r="C464" s="82"/>
      <c r="D464" s="87"/>
      <c r="E464" s="87"/>
      <c r="F464" s="87"/>
      <c r="G464" s="87"/>
      <c r="H464" s="83"/>
      <c r="I464" s="83"/>
      <c r="J464" s="82"/>
      <c r="K464" s="89"/>
      <c r="L464" s="87"/>
      <c r="M464" s="80"/>
      <c r="N464" s="80"/>
      <c r="O464" s="80"/>
      <c r="P464" s="80"/>
      <c r="Q464" s="80"/>
      <c r="R464" s="80"/>
      <c r="S464" s="80"/>
      <c r="T464" s="80"/>
      <c r="U464" s="80"/>
      <c r="V464" s="80"/>
      <c r="W464" s="80"/>
      <c r="X464" s="80"/>
      <c r="Y464" s="80"/>
      <c r="Z464" s="80"/>
    </row>
    <row r="465">
      <c r="A465" s="87"/>
      <c r="B465" s="82"/>
      <c r="C465" s="82"/>
      <c r="D465" s="87"/>
      <c r="E465" s="87"/>
      <c r="F465" s="87"/>
      <c r="G465" s="87"/>
      <c r="H465" s="83"/>
      <c r="I465" s="83"/>
      <c r="J465" s="82"/>
      <c r="K465" s="89"/>
      <c r="L465" s="87"/>
      <c r="M465" s="80"/>
      <c r="N465" s="80"/>
      <c r="O465" s="80"/>
      <c r="P465" s="80"/>
      <c r="Q465" s="80"/>
      <c r="R465" s="80"/>
      <c r="S465" s="80"/>
      <c r="T465" s="80"/>
      <c r="U465" s="80"/>
      <c r="V465" s="80"/>
      <c r="W465" s="80"/>
      <c r="X465" s="80"/>
      <c r="Y465" s="80"/>
      <c r="Z465" s="80"/>
    </row>
    <row r="466">
      <c r="A466" s="87"/>
      <c r="B466" s="82"/>
      <c r="C466" s="82"/>
      <c r="D466" s="87"/>
      <c r="E466" s="87"/>
      <c r="F466" s="87"/>
      <c r="G466" s="87"/>
      <c r="H466" s="83"/>
      <c r="I466" s="83"/>
      <c r="J466" s="82"/>
      <c r="K466" s="89"/>
      <c r="L466" s="87"/>
      <c r="M466" s="80"/>
      <c r="N466" s="80"/>
      <c r="O466" s="80"/>
      <c r="P466" s="80"/>
      <c r="Q466" s="80"/>
      <c r="R466" s="80"/>
      <c r="S466" s="80"/>
      <c r="T466" s="80"/>
      <c r="U466" s="80"/>
      <c r="V466" s="80"/>
      <c r="W466" s="80"/>
      <c r="X466" s="80"/>
      <c r="Y466" s="80"/>
      <c r="Z466" s="80"/>
    </row>
    <row r="467">
      <c r="A467" s="87"/>
      <c r="B467" s="82"/>
      <c r="C467" s="82"/>
      <c r="D467" s="87"/>
      <c r="E467" s="87"/>
      <c r="F467" s="87"/>
      <c r="G467" s="87"/>
      <c r="H467" s="83"/>
      <c r="I467" s="83"/>
      <c r="J467" s="82"/>
      <c r="K467" s="89"/>
      <c r="L467" s="87"/>
      <c r="M467" s="80"/>
      <c r="N467" s="80"/>
      <c r="O467" s="80"/>
      <c r="P467" s="80"/>
      <c r="Q467" s="80"/>
      <c r="R467" s="80"/>
      <c r="S467" s="80"/>
      <c r="T467" s="80"/>
      <c r="U467" s="80"/>
      <c r="V467" s="80"/>
      <c r="W467" s="80"/>
      <c r="X467" s="80"/>
      <c r="Y467" s="80"/>
      <c r="Z467" s="80"/>
    </row>
    <row r="468">
      <c r="A468" s="87"/>
      <c r="B468" s="82"/>
      <c r="C468" s="82"/>
      <c r="D468" s="87"/>
      <c r="E468" s="87"/>
      <c r="F468" s="87"/>
      <c r="G468" s="87"/>
      <c r="H468" s="83"/>
      <c r="I468" s="83"/>
      <c r="J468" s="82"/>
      <c r="K468" s="89"/>
      <c r="L468" s="87"/>
      <c r="M468" s="80"/>
      <c r="N468" s="80"/>
      <c r="O468" s="80"/>
      <c r="P468" s="80"/>
      <c r="Q468" s="80"/>
      <c r="R468" s="80"/>
      <c r="S468" s="80"/>
      <c r="T468" s="80"/>
      <c r="U468" s="80"/>
      <c r="V468" s="80"/>
      <c r="W468" s="80"/>
      <c r="X468" s="80"/>
      <c r="Y468" s="80"/>
      <c r="Z468" s="80"/>
    </row>
    <row r="469">
      <c r="A469" s="87"/>
      <c r="B469" s="82"/>
      <c r="C469" s="82"/>
      <c r="D469" s="87"/>
      <c r="E469" s="87"/>
      <c r="F469" s="87"/>
      <c r="G469" s="87"/>
      <c r="H469" s="83"/>
      <c r="I469" s="83"/>
      <c r="J469" s="82"/>
      <c r="K469" s="89"/>
      <c r="L469" s="87"/>
      <c r="M469" s="80"/>
      <c r="N469" s="80"/>
      <c r="O469" s="80"/>
      <c r="P469" s="80"/>
      <c r="Q469" s="80"/>
      <c r="R469" s="80"/>
      <c r="S469" s="80"/>
      <c r="T469" s="80"/>
      <c r="U469" s="80"/>
      <c r="V469" s="80"/>
      <c r="W469" s="80"/>
      <c r="X469" s="80"/>
      <c r="Y469" s="80"/>
      <c r="Z469" s="80"/>
    </row>
    <row r="470">
      <c r="A470" s="87"/>
      <c r="B470" s="82"/>
      <c r="C470" s="82"/>
      <c r="D470" s="87"/>
      <c r="E470" s="87"/>
      <c r="F470" s="87"/>
      <c r="G470" s="87"/>
      <c r="H470" s="83"/>
      <c r="I470" s="83"/>
      <c r="J470" s="82"/>
      <c r="K470" s="89"/>
      <c r="L470" s="87"/>
      <c r="M470" s="80"/>
      <c r="N470" s="80"/>
      <c r="O470" s="80"/>
      <c r="P470" s="80"/>
      <c r="Q470" s="80"/>
      <c r="R470" s="80"/>
      <c r="S470" s="80"/>
      <c r="T470" s="80"/>
      <c r="U470" s="80"/>
      <c r="V470" s="80"/>
      <c r="W470" s="80"/>
      <c r="X470" s="80"/>
      <c r="Y470" s="80"/>
      <c r="Z470" s="80"/>
    </row>
    <row r="471">
      <c r="A471" s="87"/>
      <c r="B471" s="82"/>
      <c r="C471" s="82"/>
      <c r="D471" s="87"/>
      <c r="E471" s="87"/>
      <c r="F471" s="87"/>
      <c r="G471" s="87"/>
      <c r="H471" s="83"/>
      <c r="I471" s="83"/>
      <c r="J471" s="82"/>
      <c r="K471" s="89"/>
      <c r="L471" s="87"/>
      <c r="M471" s="80"/>
      <c r="N471" s="80"/>
      <c r="O471" s="80"/>
      <c r="P471" s="80"/>
      <c r="Q471" s="80"/>
      <c r="R471" s="80"/>
      <c r="S471" s="80"/>
      <c r="T471" s="80"/>
      <c r="U471" s="80"/>
      <c r="V471" s="80"/>
      <c r="W471" s="80"/>
      <c r="X471" s="80"/>
      <c r="Y471" s="80"/>
      <c r="Z471" s="80"/>
    </row>
    <row r="472">
      <c r="A472" s="87"/>
      <c r="B472" s="82"/>
      <c r="C472" s="82"/>
      <c r="D472" s="87"/>
      <c r="E472" s="87"/>
      <c r="F472" s="87"/>
      <c r="G472" s="87"/>
      <c r="H472" s="83"/>
      <c r="I472" s="83"/>
      <c r="J472" s="82"/>
      <c r="K472" s="89"/>
      <c r="L472" s="87"/>
      <c r="M472" s="80"/>
      <c r="N472" s="80"/>
      <c r="O472" s="80"/>
      <c r="P472" s="80"/>
      <c r="Q472" s="80"/>
      <c r="R472" s="80"/>
      <c r="S472" s="80"/>
      <c r="T472" s="80"/>
      <c r="U472" s="80"/>
      <c r="V472" s="80"/>
      <c r="W472" s="80"/>
      <c r="X472" s="80"/>
      <c r="Y472" s="80"/>
      <c r="Z472" s="80"/>
    </row>
    <row r="473">
      <c r="A473" s="87"/>
      <c r="B473" s="82"/>
      <c r="C473" s="82"/>
      <c r="D473" s="87"/>
      <c r="E473" s="87"/>
      <c r="F473" s="87"/>
      <c r="G473" s="87"/>
      <c r="H473" s="83"/>
      <c r="I473" s="83"/>
      <c r="J473" s="82"/>
      <c r="K473" s="89"/>
      <c r="L473" s="87"/>
      <c r="M473" s="80"/>
      <c r="N473" s="80"/>
      <c r="O473" s="80"/>
      <c r="P473" s="80"/>
      <c r="Q473" s="80"/>
      <c r="R473" s="80"/>
      <c r="S473" s="80"/>
      <c r="T473" s="80"/>
      <c r="U473" s="80"/>
      <c r="V473" s="80"/>
      <c r="W473" s="80"/>
      <c r="X473" s="80"/>
      <c r="Y473" s="80"/>
      <c r="Z473" s="80"/>
    </row>
    <row r="474">
      <c r="A474" s="87"/>
      <c r="B474" s="82"/>
      <c r="C474" s="82"/>
      <c r="D474" s="87"/>
      <c r="E474" s="87"/>
      <c r="F474" s="87"/>
      <c r="G474" s="87"/>
      <c r="H474" s="83"/>
      <c r="I474" s="83"/>
      <c r="J474" s="82"/>
      <c r="K474" s="89"/>
      <c r="L474" s="87"/>
      <c r="M474" s="80"/>
      <c r="N474" s="80"/>
      <c r="O474" s="80"/>
      <c r="P474" s="80"/>
      <c r="Q474" s="80"/>
      <c r="R474" s="80"/>
      <c r="S474" s="80"/>
      <c r="T474" s="80"/>
      <c r="U474" s="80"/>
      <c r="V474" s="80"/>
      <c r="W474" s="80"/>
      <c r="X474" s="80"/>
      <c r="Y474" s="80"/>
      <c r="Z474" s="80"/>
    </row>
    <row r="475">
      <c r="A475" s="87"/>
      <c r="B475" s="82"/>
      <c r="C475" s="82"/>
      <c r="D475" s="87"/>
      <c r="E475" s="87"/>
      <c r="F475" s="87"/>
      <c r="G475" s="87"/>
      <c r="H475" s="83"/>
      <c r="I475" s="83"/>
      <c r="J475" s="82"/>
      <c r="K475" s="89"/>
      <c r="L475" s="87"/>
      <c r="M475" s="80"/>
      <c r="N475" s="80"/>
      <c r="O475" s="80"/>
      <c r="P475" s="80"/>
      <c r="Q475" s="80"/>
      <c r="R475" s="80"/>
      <c r="S475" s="80"/>
      <c r="T475" s="80"/>
      <c r="U475" s="80"/>
      <c r="V475" s="80"/>
      <c r="W475" s="80"/>
      <c r="X475" s="80"/>
      <c r="Y475" s="80"/>
      <c r="Z475" s="80"/>
    </row>
    <row r="476">
      <c r="A476" s="87"/>
      <c r="B476" s="82"/>
      <c r="C476" s="82"/>
      <c r="D476" s="87"/>
      <c r="E476" s="87"/>
      <c r="F476" s="87"/>
      <c r="G476" s="87"/>
      <c r="H476" s="83"/>
      <c r="I476" s="83"/>
      <c r="J476" s="82"/>
      <c r="K476" s="89"/>
      <c r="L476" s="87"/>
      <c r="M476" s="80"/>
      <c r="N476" s="80"/>
      <c r="O476" s="80"/>
      <c r="P476" s="80"/>
      <c r="Q476" s="80"/>
      <c r="R476" s="80"/>
      <c r="S476" s="80"/>
      <c r="T476" s="80"/>
      <c r="U476" s="80"/>
      <c r="V476" s="80"/>
      <c r="W476" s="80"/>
      <c r="X476" s="80"/>
      <c r="Y476" s="80"/>
      <c r="Z476" s="80"/>
    </row>
    <row r="477">
      <c r="A477" s="87"/>
      <c r="B477" s="82"/>
      <c r="C477" s="82"/>
      <c r="D477" s="87"/>
      <c r="E477" s="87"/>
      <c r="F477" s="87"/>
      <c r="G477" s="87"/>
      <c r="H477" s="83"/>
      <c r="I477" s="83"/>
      <c r="J477" s="82"/>
      <c r="K477" s="89"/>
      <c r="L477" s="87"/>
      <c r="M477" s="80"/>
      <c r="N477" s="80"/>
      <c r="O477" s="80"/>
      <c r="P477" s="80"/>
      <c r="Q477" s="80"/>
      <c r="R477" s="80"/>
      <c r="S477" s="80"/>
      <c r="T477" s="80"/>
      <c r="U477" s="80"/>
      <c r="V477" s="80"/>
      <c r="W477" s="80"/>
      <c r="X477" s="80"/>
      <c r="Y477" s="80"/>
      <c r="Z477" s="80"/>
    </row>
    <row r="478">
      <c r="A478" s="87"/>
      <c r="B478" s="82"/>
      <c r="C478" s="82"/>
      <c r="D478" s="87"/>
      <c r="E478" s="87"/>
      <c r="F478" s="87"/>
      <c r="G478" s="87"/>
      <c r="H478" s="83"/>
      <c r="I478" s="83"/>
      <c r="J478" s="82"/>
      <c r="K478" s="89"/>
      <c r="L478" s="87"/>
      <c r="M478" s="80"/>
      <c r="N478" s="80"/>
      <c r="O478" s="80"/>
      <c r="P478" s="80"/>
      <c r="Q478" s="80"/>
      <c r="R478" s="80"/>
      <c r="S478" s="80"/>
      <c r="T478" s="80"/>
      <c r="U478" s="80"/>
      <c r="V478" s="80"/>
      <c r="W478" s="80"/>
      <c r="X478" s="80"/>
      <c r="Y478" s="80"/>
      <c r="Z478" s="80"/>
    </row>
    <row r="479">
      <c r="A479" s="87"/>
      <c r="B479" s="82"/>
      <c r="C479" s="82"/>
      <c r="D479" s="87"/>
      <c r="E479" s="87"/>
      <c r="F479" s="87"/>
      <c r="G479" s="87"/>
      <c r="H479" s="83"/>
      <c r="I479" s="83"/>
      <c r="J479" s="82"/>
      <c r="K479" s="89"/>
      <c r="L479" s="87"/>
      <c r="M479" s="80"/>
      <c r="N479" s="80"/>
      <c r="O479" s="80"/>
      <c r="P479" s="80"/>
      <c r="Q479" s="80"/>
      <c r="R479" s="80"/>
      <c r="S479" s="80"/>
      <c r="T479" s="80"/>
      <c r="U479" s="80"/>
      <c r="V479" s="80"/>
      <c r="W479" s="80"/>
      <c r="X479" s="80"/>
      <c r="Y479" s="80"/>
      <c r="Z479" s="80"/>
    </row>
    <row r="480">
      <c r="A480" s="87"/>
      <c r="B480" s="82"/>
      <c r="C480" s="82"/>
      <c r="D480" s="87"/>
      <c r="E480" s="87"/>
      <c r="F480" s="87"/>
      <c r="G480" s="87"/>
      <c r="H480" s="83"/>
      <c r="I480" s="83"/>
      <c r="J480" s="82"/>
      <c r="K480" s="89"/>
      <c r="L480" s="87"/>
      <c r="M480" s="80"/>
      <c r="N480" s="80"/>
      <c r="O480" s="80"/>
      <c r="P480" s="80"/>
      <c r="Q480" s="80"/>
      <c r="R480" s="80"/>
      <c r="S480" s="80"/>
      <c r="T480" s="80"/>
      <c r="U480" s="80"/>
      <c r="V480" s="80"/>
      <c r="W480" s="80"/>
      <c r="X480" s="80"/>
      <c r="Y480" s="80"/>
      <c r="Z480" s="80"/>
    </row>
    <row r="481">
      <c r="A481" s="87"/>
      <c r="B481" s="82"/>
      <c r="C481" s="82"/>
      <c r="D481" s="87"/>
      <c r="E481" s="87"/>
      <c r="F481" s="87"/>
      <c r="G481" s="87"/>
      <c r="H481" s="83"/>
      <c r="I481" s="83"/>
      <c r="J481" s="82"/>
      <c r="K481" s="89"/>
      <c r="L481" s="87"/>
      <c r="M481" s="80"/>
      <c r="N481" s="80"/>
      <c r="O481" s="80"/>
      <c r="P481" s="80"/>
      <c r="Q481" s="80"/>
      <c r="R481" s="80"/>
      <c r="S481" s="80"/>
      <c r="T481" s="80"/>
      <c r="U481" s="80"/>
      <c r="V481" s="80"/>
      <c r="W481" s="80"/>
      <c r="X481" s="80"/>
      <c r="Y481" s="80"/>
      <c r="Z481" s="80"/>
    </row>
    <row r="482">
      <c r="A482" s="87"/>
      <c r="B482" s="82"/>
      <c r="C482" s="82"/>
      <c r="D482" s="87"/>
      <c r="E482" s="87"/>
      <c r="F482" s="87"/>
      <c r="G482" s="87"/>
      <c r="H482" s="83"/>
      <c r="I482" s="83"/>
      <c r="J482" s="82"/>
      <c r="K482" s="89"/>
      <c r="L482" s="87"/>
      <c r="M482" s="80"/>
      <c r="N482" s="80"/>
      <c r="O482" s="80"/>
      <c r="P482" s="80"/>
      <c r="Q482" s="80"/>
      <c r="R482" s="80"/>
      <c r="S482" s="80"/>
      <c r="T482" s="80"/>
      <c r="U482" s="80"/>
      <c r="V482" s="80"/>
      <c r="W482" s="80"/>
      <c r="X482" s="80"/>
      <c r="Y482" s="80"/>
      <c r="Z482" s="80"/>
    </row>
    <row r="483">
      <c r="A483" s="87"/>
      <c r="B483" s="82"/>
      <c r="C483" s="82"/>
      <c r="D483" s="87"/>
      <c r="E483" s="87"/>
      <c r="F483" s="87"/>
      <c r="G483" s="87"/>
      <c r="H483" s="83"/>
      <c r="I483" s="83"/>
      <c r="J483" s="82"/>
      <c r="K483" s="89"/>
      <c r="L483" s="87"/>
      <c r="M483" s="80"/>
      <c r="N483" s="80"/>
      <c r="O483" s="80"/>
      <c r="P483" s="80"/>
      <c r="Q483" s="80"/>
      <c r="R483" s="80"/>
      <c r="S483" s="80"/>
      <c r="T483" s="80"/>
      <c r="U483" s="80"/>
      <c r="V483" s="80"/>
      <c r="W483" s="80"/>
      <c r="X483" s="80"/>
      <c r="Y483" s="80"/>
      <c r="Z483" s="80"/>
    </row>
    <row r="484">
      <c r="A484" s="87"/>
      <c r="B484" s="82"/>
      <c r="C484" s="82"/>
      <c r="D484" s="87"/>
      <c r="E484" s="87"/>
      <c r="F484" s="87"/>
      <c r="G484" s="87"/>
      <c r="H484" s="83"/>
      <c r="I484" s="83"/>
      <c r="J484" s="82"/>
      <c r="K484" s="89"/>
      <c r="L484" s="87"/>
      <c r="M484" s="80"/>
      <c r="N484" s="80"/>
      <c r="O484" s="80"/>
      <c r="P484" s="80"/>
      <c r="Q484" s="80"/>
      <c r="R484" s="80"/>
      <c r="S484" s="80"/>
      <c r="T484" s="80"/>
      <c r="U484" s="80"/>
      <c r="V484" s="80"/>
      <c r="W484" s="80"/>
      <c r="X484" s="80"/>
      <c r="Y484" s="80"/>
      <c r="Z484" s="80"/>
    </row>
    <row r="485">
      <c r="A485" s="87"/>
      <c r="B485" s="82"/>
      <c r="C485" s="82"/>
      <c r="D485" s="87"/>
      <c r="E485" s="87"/>
      <c r="F485" s="87"/>
      <c r="G485" s="87"/>
      <c r="H485" s="83"/>
      <c r="I485" s="83"/>
      <c r="J485" s="82"/>
      <c r="K485" s="89"/>
      <c r="L485" s="87"/>
      <c r="M485" s="80"/>
      <c r="N485" s="80"/>
      <c r="O485" s="80"/>
      <c r="P485" s="80"/>
      <c r="Q485" s="80"/>
      <c r="R485" s="80"/>
      <c r="S485" s="80"/>
      <c r="T485" s="80"/>
      <c r="U485" s="80"/>
      <c r="V485" s="80"/>
      <c r="W485" s="80"/>
      <c r="X485" s="80"/>
      <c r="Y485" s="80"/>
      <c r="Z485" s="80"/>
    </row>
    <row r="486">
      <c r="A486" s="87"/>
      <c r="B486" s="82"/>
      <c r="C486" s="82"/>
      <c r="D486" s="87"/>
      <c r="E486" s="87"/>
      <c r="F486" s="87"/>
      <c r="G486" s="87"/>
      <c r="H486" s="83"/>
      <c r="I486" s="83"/>
      <c r="J486" s="82"/>
      <c r="K486" s="89"/>
      <c r="L486" s="87"/>
      <c r="M486" s="80"/>
      <c r="N486" s="80"/>
      <c r="O486" s="80"/>
      <c r="P486" s="80"/>
      <c r="Q486" s="80"/>
      <c r="R486" s="80"/>
      <c r="S486" s="80"/>
      <c r="T486" s="80"/>
      <c r="U486" s="80"/>
      <c r="V486" s="80"/>
      <c r="W486" s="80"/>
      <c r="X486" s="80"/>
      <c r="Y486" s="80"/>
      <c r="Z486" s="80"/>
    </row>
    <row r="487">
      <c r="A487" s="87"/>
      <c r="B487" s="82"/>
      <c r="C487" s="82"/>
      <c r="D487" s="87"/>
      <c r="E487" s="87"/>
      <c r="F487" s="87"/>
      <c r="G487" s="87"/>
      <c r="H487" s="83"/>
      <c r="I487" s="83"/>
      <c r="J487" s="82"/>
      <c r="K487" s="89"/>
      <c r="L487" s="87"/>
      <c r="M487" s="80"/>
      <c r="N487" s="80"/>
      <c r="O487" s="80"/>
      <c r="P487" s="80"/>
      <c r="Q487" s="80"/>
      <c r="R487" s="80"/>
      <c r="S487" s="80"/>
      <c r="T487" s="80"/>
      <c r="U487" s="80"/>
      <c r="V487" s="80"/>
      <c r="W487" s="80"/>
      <c r="X487" s="80"/>
      <c r="Y487" s="80"/>
      <c r="Z487" s="80"/>
    </row>
    <row r="488">
      <c r="A488" s="87"/>
      <c r="B488" s="82"/>
      <c r="C488" s="82"/>
      <c r="D488" s="87"/>
      <c r="E488" s="87"/>
      <c r="F488" s="87"/>
      <c r="G488" s="87"/>
      <c r="H488" s="83"/>
      <c r="I488" s="83"/>
      <c r="J488" s="82"/>
      <c r="K488" s="89"/>
      <c r="L488" s="87"/>
      <c r="M488" s="80"/>
      <c r="N488" s="80"/>
      <c r="O488" s="80"/>
      <c r="P488" s="80"/>
      <c r="Q488" s="80"/>
      <c r="R488" s="80"/>
      <c r="S488" s="80"/>
      <c r="T488" s="80"/>
      <c r="U488" s="80"/>
      <c r="V488" s="80"/>
      <c r="W488" s="80"/>
      <c r="X488" s="80"/>
      <c r="Y488" s="80"/>
      <c r="Z488" s="80"/>
    </row>
    <row r="489">
      <c r="A489" s="87"/>
      <c r="B489" s="82"/>
      <c r="C489" s="82"/>
      <c r="D489" s="87"/>
      <c r="E489" s="87"/>
      <c r="F489" s="87"/>
      <c r="G489" s="87"/>
      <c r="H489" s="83"/>
      <c r="I489" s="83"/>
      <c r="J489" s="82"/>
      <c r="K489" s="89"/>
      <c r="L489" s="87"/>
      <c r="M489" s="80"/>
      <c r="N489" s="80"/>
      <c r="O489" s="80"/>
      <c r="P489" s="80"/>
      <c r="Q489" s="80"/>
      <c r="R489" s="80"/>
      <c r="S489" s="80"/>
      <c r="T489" s="80"/>
      <c r="U489" s="80"/>
      <c r="V489" s="80"/>
      <c r="W489" s="80"/>
      <c r="X489" s="80"/>
      <c r="Y489" s="80"/>
      <c r="Z489" s="80"/>
    </row>
    <row r="490">
      <c r="A490" s="87"/>
      <c r="B490" s="82"/>
      <c r="C490" s="82"/>
      <c r="D490" s="87"/>
      <c r="E490" s="87"/>
      <c r="F490" s="87"/>
      <c r="G490" s="87"/>
      <c r="H490" s="83"/>
      <c r="I490" s="83"/>
      <c r="J490" s="82"/>
      <c r="K490" s="89"/>
      <c r="L490" s="87"/>
      <c r="M490" s="80"/>
      <c r="N490" s="80"/>
      <c r="O490" s="80"/>
      <c r="P490" s="80"/>
      <c r="Q490" s="80"/>
      <c r="R490" s="80"/>
      <c r="S490" s="80"/>
      <c r="T490" s="80"/>
      <c r="U490" s="80"/>
      <c r="V490" s="80"/>
      <c r="W490" s="80"/>
      <c r="X490" s="80"/>
      <c r="Y490" s="80"/>
      <c r="Z490" s="80"/>
    </row>
    <row r="491">
      <c r="A491" s="87"/>
      <c r="B491" s="82"/>
      <c r="C491" s="82"/>
      <c r="D491" s="87"/>
      <c r="E491" s="87"/>
      <c r="F491" s="87"/>
      <c r="G491" s="87"/>
      <c r="H491" s="83"/>
      <c r="I491" s="83"/>
      <c r="J491" s="82"/>
      <c r="K491" s="89"/>
      <c r="L491" s="87"/>
      <c r="M491" s="80"/>
      <c r="N491" s="80"/>
      <c r="O491" s="80"/>
      <c r="P491" s="80"/>
      <c r="Q491" s="80"/>
      <c r="R491" s="80"/>
      <c r="S491" s="80"/>
      <c r="T491" s="80"/>
      <c r="U491" s="80"/>
      <c r="V491" s="80"/>
      <c r="W491" s="80"/>
      <c r="X491" s="80"/>
      <c r="Y491" s="80"/>
      <c r="Z491" s="80"/>
    </row>
    <row r="492">
      <c r="A492" s="87"/>
      <c r="B492" s="82"/>
      <c r="C492" s="82"/>
      <c r="D492" s="87"/>
      <c r="E492" s="87"/>
      <c r="F492" s="87"/>
      <c r="G492" s="87"/>
      <c r="H492" s="83"/>
      <c r="I492" s="83"/>
      <c r="J492" s="82"/>
      <c r="K492" s="89"/>
      <c r="L492" s="87"/>
      <c r="M492" s="80"/>
      <c r="N492" s="80"/>
      <c r="O492" s="80"/>
      <c r="P492" s="80"/>
      <c r="Q492" s="80"/>
      <c r="R492" s="80"/>
      <c r="S492" s="80"/>
      <c r="T492" s="80"/>
      <c r="U492" s="80"/>
      <c r="V492" s="80"/>
      <c r="W492" s="80"/>
      <c r="X492" s="80"/>
      <c r="Y492" s="80"/>
      <c r="Z492" s="80"/>
    </row>
    <row r="493">
      <c r="A493" s="87"/>
      <c r="B493" s="82"/>
      <c r="C493" s="82"/>
      <c r="D493" s="87"/>
      <c r="E493" s="87"/>
      <c r="F493" s="87"/>
      <c r="G493" s="87"/>
      <c r="H493" s="83"/>
      <c r="I493" s="83"/>
      <c r="J493" s="82"/>
      <c r="K493" s="89"/>
      <c r="L493" s="87"/>
      <c r="M493" s="80"/>
      <c r="N493" s="80"/>
      <c r="O493" s="80"/>
      <c r="P493" s="80"/>
      <c r="Q493" s="80"/>
      <c r="R493" s="80"/>
      <c r="S493" s="80"/>
      <c r="T493" s="80"/>
      <c r="U493" s="80"/>
      <c r="V493" s="80"/>
      <c r="W493" s="80"/>
      <c r="X493" s="80"/>
      <c r="Y493" s="80"/>
      <c r="Z493" s="80"/>
    </row>
    <row r="494">
      <c r="A494" s="87"/>
      <c r="B494" s="82"/>
      <c r="C494" s="82"/>
      <c r="D494" s="87"/>
      <c r="E494" s="87"/>
      <c r="F494" s="87"/>
      <c r="G494" s="87"/>
      <c r="H494" s="83"/>
      <c r="I494" s="83"/>
      <c r="J494" s="82"/>
      <c r="K494" s="89"/>
      <c r="L494" s="87"/>
      <c r="M494" s="80"/>
      <c r="N494" s="80"/>
      <c r="O494" s="80"/>
      <c r="P494" s="80"/>
      <c r="Q494" s="80"/>
      <c r="R494" s="80"/>
      <c r="S494" s="80"/>
      <c r="T494" s="80"/>
      <c r="U494" s="80"/>
      <c r="V494" s="80"/>
      <c r="W494" s="80"/>
      <c r="X494" s="80"/>
      <c r="Y494" s="80"/>
      <c r="Z494" s="80"/>
    </row>
    <row r="495">
      <c r="A495" s="87"/>
      <c r="B495" s="82"/>
      <c r="C495" s="82"/>
      <c r="D495" s="87"/>
      <c r="E495" s="87"/>
      <c r="F495" s="87"/>
      <c r="G495" s="87"/>
      <c r="H495" s="83"/>
      <c r="I495" s="83"/>
      <c r="J495" s="82"/>
      <c r="K495" s="89"/>
      <c r="L495" s="87"/>
      <c r="M495" s="80"/>
      <c r="N495" s="80"/>
      <c r="O495" s="80"/>
      <c r="P495" s="80"/>
      <c r="Q495" s="80"/>
      <c r="R495" s="80"/>
      <c r="S495" s="80"/>
      <c r="T495" s="80"/>
      <c r="U495" s="80"/>
      <c r="V495" s="80"/>
      <c r="W495" s="80"/>
      <c r="X495" s="80"/>
      <c r="Y495" s="80"/>
      <c r="Z495" s="80"/>
    </row>
    <row r="496">
      <c r="A496" s="87"/>
      <c r="B496" s="82"/>
      <c r="C496" s="82"/>
      <c r="D496" s="87"/>
      <c r="E496" s="87"/>
      <c r="F496" s="87"/>
      <c r="G496" s="87"/>
      <c r="H496" s="83"/>
      <c r="I496" s="83"/>
      <c r="J496" s="82"/>
      <c r="K496" s="89"/>
      <c r="L496" s="87"/>
      <c r="M496" s="80"/>
      <c r="N496" s="80"/>
      <c r="O496" s="80"/>
      <c r="P496" s="80"/>
      <c r="Q496" s="80"/>
      <c r="R496" s="80"/>
      <c r="S496" s="80"/>
      <c r="T496" s="80"/>
      <c r="U496" s="80"/>
      <c r="V496" s="80"/>
      <c r="W496" s="80"/>
      <c r="X496" s="80"/>
      <c r="Y496" s="80"/>
      <c r="Z496" s="80"/>
    </row>
    <row r="497">
      <c r="A497" s="87"/>
      <c r="B497" s="82"/>
      <c r="C497" s="82"/>
      <c r="D497" s="87"/>
      <c r="E497" s="87"/>
      <c r="F497" s="87"/>
      <c r="G497" s="87"/>
      <c r="H497" s="83"/>
      <c r="I497" s="83"/>
      <c r="J497" s="82"/>
      <c r="K497" s="89"/>
      <c r="L497" s="87"/>
      <c r="M497" s="80"/>
      <c r="N497" s="80"/>
      <c r="O497" s="80"/>
      <c r="P497" s="80"/>
      <c r="Q497" s="80"/>
      <c r="R497" s="80"/>
      <c r="S497" s="80"/>
      <c r="T497" s="80"/>
      <c r="U497" s="80"/>
      <c r="V497" s="80"/>
      <c r="W497" s="80"/>
      <c r="X497" s="80"/>
      <c r="Y497" s="80"/>
      <c r="Z497" s="80"/>
    </row>
    <row r="498">
      <c r="A498" s="87"/>
      <c r="B498" s="82"/>
      <c r="C498" s="82"/>
      <c r="D498" s="87"/>
      <c r="E498" s="87"/>
      <c r="F498" s="87"/>
      <c r="G498" s="87"/>
      <c r="H498" s="83"/>
      <c r="I498" s="83"/>
      <c r="J498" s="82"/>
      <c r="K498" s="89"/>
      <c r="L498" s="87"/>
      <c r="M498" s="80"/>
      <c r="N498" s="80"/>
      <c r="O498" s="80"/>
      <c r="P498" s="80"/>
      <c r="Q498" s="80"/>
      <c r="R498" s="80"/>
      <c r="S498" s="80"/>
      <c r="T498" s="80"/>
      <c r="U498" s="80"/>
      <c r="V498" s="80"/>
      <c r="W498" s="80"/>
      <c r="X498" s="80"/>
      <c r="Y498" s="80"/>
      <c r="Z498" s="80"/>
    </row>
    <row r="499">
      <c r="A499" s="87"/>
      <c r="B499" s="82"/>
      <c r="C499" s="82"/>
      <c r="D499" s="87"/>
      <c r="E499" s="87"/>
      <c r="F499" s="87"/>
      <c r="G499" s="87"/>
      <c r="H499" s="83"/>
      <c r="I499" s="83"/>
      <c r="J499" s="82"/>
      <c r="K499" s="89"/>
      <c r="L499" s="87"/>
      <c r="M499" s="80"/>
      <c r="N499" s="80"/>
      <c r="O499" s="80"/>
      <c r="P499" s="80"/>
      <c r="Q499" s="80"/>
      <c r="R499" s="80"/>
      <c r="S499" s="80"/>
      <c r="T499" s="80"/>
      <c r="U499" s="80"/>
      <c r="V499" s="80"/>
      <c r="W499" s="80"/>
      <c r="X499" s="80"/>
      <c r="Y499" s="80"/>
      <c r="Z499" s="80"/>
    </row>
    <row r="500">
      <c r="A500" s="87"/>
      <c r="B500" s="82"/>
      <c r="C500" s="82"/>
      <c r="D500" s="87"/>
      <c r="E500" s="87"/>
      <c r="F500" s="87"/>
      <c r="G500" s="87"/>
      <c r="H500" s="83"/>
      <c r="I500" s="83"/>
      <c r="J500" s="82"/>
      <c r="K500" s="89"/>
      <c r="L500" s="87"/>
      <c r="M500" s="80"/>
      <c r="N500" s="80"/>
      <c r="O500" s="80"/>
      <c r="P500" s="80"/>
      <c r="Q500" s="80"/>
      <c r="R500" s="80"/>
      <c r="S500" s="80"/>
      <c r="T500" s="80"/>
      <c r="U500" s="80"/>
      <c r="V500" s="80"/>
      <c r="W500" s="80"/>
      <c r="X500" s="80"/>
      <c r="Y500" s="80"/>
      <c r="Z500" s="80"/>
    </row>
    <row r="501">
      <c r="A501" s="87"/>
      <c r="B501" s="82"/>
      <c r="C501" s="82"/>
      <c r="D501" s="87"/>
      <c r="E501" s="87"/>
      <c r="F501" s="87"/>
      <c r="G501" s="87"/>
      <c r="H501" s="83"/>
      <c r="I501" s="83"/>
      <c r="J501" s="82"/>
      <c r="K501" s="89"/>
      <c r="L501" s="87"/>
      <c r="M501" s="80"/>
      <c r="N501" s="80"/>
      <c r="O501" s="80"/>
      <c r="P501" s="80"/>
      <c r="Q501" s="80"/>
      <c r="R501" s="80"/>
      <c r="S501" s="80"/>
      <c r="T501" s="80"/>
      <c r="U501" s="80"/>
      <c r="V501" s="80"/>
      <c r="W501" s="80"/>
      <c r="X501" s="80"/>
      <c r="Y501" s="80"/>
      <c r="Z501" s="80"/>
    </row>
    <row r="502">
      <c r="A502" s="87"/>
      <c r="B502" s="82"/>
      <c r="C502" s="82"/>
      <c r="D502" s="87"/>
      <c r="E502" s="87"/>
      <c r="F502" s="87"/>
      <c r="G502" s="87"/>
      <c r="H502" s="83"/>
      <c r="I502" s="83"/>
      <c r="J502" s="82"/>
      <c r="K502" s="89"/>
      <c r="L502" s="87"/>
      <c r="M502" s="80"/>
      <c r="N502" s="80"/>
      <c r="O502" s="80"/>
      <c r="P502" s="80"/>
      <c r="Q502" s="80"/>
      <c r="R502" s="80"/>
      <c r="S502" s="80"/>
      <c r="T502" s="80"/>
      <c r="U502" s="80"/>
      <c r="V502" s="80"/>
      <c r="W502" s="80"/>
      <c r="X502" s="80"/>
      <c r="Y502" s="80"/>
      <c r="Z502" s="80"/>
    </row>
    <row r="503">
      <c r="A503" s="87"/>
      <c r="B503" s="82"/>
      <c r="C503" s="82"/>
      <c r="D503" s="87"/>
      <c r="E503" s="87"/>
      <c r="F503" s="87"/>
      <c r="G503" s="87"/>
      <c r="H503" s="83"/>
      <c r="I503" s="83"/>
      <c r="J503" s="82"/>
      <c r="K503" s="89"/>
      <c r="L503" s="87"/>
      <c r="M503" s="80"/>
      <c r="N503" s="80"/>
      <c r="O503" s="80"/>
      <c r="P503" s="80"/>
      <c r="Q503" s="80"/>
      <c r="R503" s="80"/>
      <c r="S503" s="80"/>
      <c r="T503" s="80"/>
      <c r="U503" s="80"/>
      <c r="V503" s="80"/>
      <c r="W503" s="80"/>
      <c r="X503" s="80"/>
      <c r="Y503" s="80"/>
      <c r="Z503" s="80"/>
    </row>
    <row r="504">
      <c r="A504" s="87"/>
      <c r="B504" s="82"/>
      <c r="C504" s="82"/>
      <c r="D504" s="87"/>
      <c r="E504" s="87"/>
      <c r="F504" s="87"/>
      <c r="G504" s="87"/>
      <c r="H504" s="83"/>
      <c r="I504" s="83"/>
      <c r="J504" s="82"/>
      <c r="K504" s="89"/>
      <c r="L504" s="87"/>
      <c r="M504" s="80"/>
      <c r="N504" s="80"/>
      <c r="O504" s="80"/>
      <c r="P504" s="80"/>
      <c r="Q504" s="80"/>
      <c r="R504" s="80"/>
      <c r="S504" s="80"/>
      <c r="T504" s="80"/>
      <c r="U504" s="80"/>
      <c r="V504" s="80"/>
      <c r="W504" s="80"/>
      <c r="X504" s="80"/>
      <c r="Y504" s="80"/>
      <c r="Z504" s="80"/>
    </row>
    <row r="505">
      <c r="A505" s="87"/>
      <c r="B505" s="82"/>
      <c r="C505" s="82"/>
      <c r="D505" s="87"/>
      <c r="E505" s="87"/>
      <c r="F505" s="87"/>
      <c r="G505" s="87"/>
      <c r="H505" s="83"/>
      <c r="I505" s="83"/>
      <c r="J505" s="82"/>
      <c r="K505" s="89"/>
      <c r="L505" s="87"/>
      <c r="M505" s="80"/>
      <c r="N505" s="80"/>
      <c r="O505" s="80"/>
      <c r="P505" s="80"/>
      <c r="Q505" s="80"/>
      <c r="R505" s="80"/>
      <c r="S505" s="80"/>
      <c r="T505" s="80"/>
      <c r="U505" s="80"/>
      <c r="V505" s="80"/>
      <c r="W505" s="80"/>
      <c r="X505" s="80"/>
      <c r="Y505" s="80"/>
      <c r="Z505" s="80"/>
    </row>
    <row r="506">
      <c r="A506" s="87"/>
      <c r="B506" s="82"/>
      <c r="C506" s="82"/>
      <c r="D506" s="87"/>
      <c r="E506" s="87"/>
      <c r="F506" s="87"/>
      <c r="G506" s="87"/>
      <c r="H506" s="83"/>
      <c r="I506" s="83"/>
      <c r="J506" s="82"/>
      <c r="K506" s="89"/>
      <c r="L506" s="87"/>
      <c r="M506" s="80"/>
      <c r="N506" s="80"/>
      <c r="O506" s="80"/>
      <c r="P506" s="80"/>
      <c r="Q506" s="80"/>
      <c r="R506" s="80"/>
      <c r="S506" s="80"/>
      <c r="T506" s="80"/>
      <c r="U506" s="80"/>
      <c r="V506" s="80"/>
      <c r="W506" s="80"/>
      <c r="X506" s="80"/>
      <c r="Y506" s="80"/>
      <c r="Z506" s="80"/>
    </row>
    <row r="507">
      <c r="A507" s="87"/>
      <c r="B507" s="82"/>
      <c r="C507" s="82"/>
      <c r="D507" s="87"/>
      <c r="E507" s="87"/>
      <c r="F507" s="87"/>
      <c r="G507" s="87"/>
      <c r="H507" s="83"/>
      <c r="I507" s="83"/>
      <c r="J507" s="82"/>
      <c r="K507" s="89"/>
      <c r="L507" s="87"/>
      <c r="M507" s="80"/>
      <c r="N507" s="80"/>
      <c r="O507" s="80"/>
      <c r="P507" s="80"/>
      <c r="Q507" s="80"/>
      <c r="R507" s="80"/>
      <c r="S507" s="80"/>
      <c r="T507" s="80"/>
      <c r="U507" s="80"/>
      <c r="V507" s="80"/>
      <c r="W507" s="80"/>
      <c r="X507" s="80"/>
      <c r="Y507" s="80"/>
      <c r="Z507" s="80"/>
    </row>
    <row r="508">
      <c r="A508" s="87"/>
      <c r="B508" s="82"/>
      <c r="C508" s="82"/>
      <c r="D508" s="87"/>
      <c r="E508" s="87"/>
      <c r="F508" s="87"/>
      <c r="G508" s="87"/>
      <c r="H508" s="83"/>
      <c r="I508" s="83"/>
      <c r="J508" s="82"/>
      <c r="K508" s="89"/>
      <c r="L508" s="87"/>
      <c r="M508" s="80"/>
      <c r="N508" s="80"/>
      <c r="O508" s="80"/>
      <c r="P508" s="80"/>
      <c r="Q508" s="80"/>
      <c r="R508" s="80"/>
      <c r="S508" s="80"/>
      <c r="T508" s="80"/>
      <c r="U508" s="80"/>
      <c r="V508" s="80"/>
      <c r="W508" s="80"/>
      <c r="X508" s="80"/>
      <c r="Y508" s="80"/>
      <c r="Z508" s="80"/>
    </row>
    <row r="509">
      <c r="A509" s="87"/>
      <c r="B509" s="82"/>
      <c r="C509" s="82"/>
      <c r="D509" s="87"/>
      <c r="E509" s="87"/>
      <c r="F509" s="87"/>
      <c r="G509" s="87"/>
      <c r="H509" s="83"/>
      <c r="I509" s="83"/>
      <c r="J509" s="82"/>
      <c r="K509" s="89"/>
      <c r="L509" s="87"/>
      <c r="M509" s="80"/>
      <c r="N509" s="80"/>
      <c r="O509" s="80"/>
      <c r="P509" s="80"/>
      <c r="Q509" s="80"/>
      <c r="R509" s="80"/>
      <c r="S509" s="80"/>
      <c r="T509" s="80"/>
      <c r="U509" s="80"/>
      <c r="V509" s="80"/>
      <c r="W509" s="80"/>
      <c r="X509" s="80"/>
      <c r="Y509" s="80"/>
      <c r="Z509" s="80"/>
    </row>
    <row r="510">
      <c r="A510" s="87"/>
      <c r="B510" s="82"/>
      <c r="C510" s="82"/>
      <c r="D510" s="87"/>
      <c r="E510" s="87"/>
      <c r="F510" s="87"/>
      <c r="G510" s="87"/>
      <c r="H510" s="83"/>
      <c r="I510" s="83"/>
      <c r="J510" s="82"/>
      <c r="K510" s="89"/>
      <c r="L510" s="87"/>
      <c r="M510" s="80"/>
      <c r="N510" s="80"/>
      <c r="O510" s="80"/>
      <c r="P510" s="80"/>
      <c r="Q510" s="80"/>
      <c r="R510" s="80"/>
      <c r="S510" s="80"/>
      <c r="T510" s="80"/>
      <c r="U510" s="80"/>
      <c r="V510" s="80"/>
      <c r="W510" s="80"/>
      <c r="X510" s="80"/>
      <c r="Y510" s="80"/>
      <c r="Z510" s="80"/>
    </row>
    <row r="511">
      <c r="A511" s="87"/>
      <c r="B511" s="82"/>
      <c r="C511" s="82"/>
      <c r="D511" s="87"/>
      <c r="E511" s="87"/>
      <c r="F511" s="87"/>
      <c r="G511" s="87"/>
      <c r="H511" s="83"/>
      <c r="I511" s="83"/>
      <c r="J511" s="82"/>
      <c r="K511" s="89"/>
      <c r="L511" s="87"/>
      <c r="M511" s="80"/>
      <c r="N511" s="80"/>
      <c r="O511" s="80"/>
      <c r="P511" s="80"/>
      <c r="Q511" s="80"/>
      <c r="R511" s="80"/>
      <c r="S511" s="80"/>
      <c r="T511" s="80"/>
      <c r="U511" s="80"/>
      <c r="V511" s="80"/>
      <c r="W511" s="80"/>
      <c r="X511" s="80"/>
      <c r="Y511" s="80"/>
      <c r="Z511" s="80"/>
    </row>
    <row r="512">
      <c r="A512" s="87"/>
      <c r="B512" s="82"/>
      <c r="C512" s="82"/>
      <c r="D512" s="87"/>
      <c r="E512" s="87"/>
      <c r="F512" s="87"/>
      <c r="G512" s="87"/>
      <c r="H512" s="83"/>
      <c r="I512" s="83"/>
      <c r="J512" s="82"/>
      <c r="K512" s="89"/>
      <c r="L512" s="87"/>
      <c r="M512" s="80"/>
      <c r="N512" s="80"/>
      <c r="O512" s="80"/>
      <c r="P512" s="80"/>
      <c r="Q512" s="80"/>
      <c r="R512" s="80"/>
      <c r="S512" s="80"/>
      <c r="T512" s="80"/>
      <c r="U512" s="80"/>
      <c r="V512" s="80"/>
      <c r="W512" s="80"/>
      <c r="X512" s="80"/>
      <c r="Y512" s="80"/>
      <c r="Z512" s="80"/>
    </row>
    <row r="513">
      <c r="A513" s="87"/>
      <c r="B513" s="82"/>
      <c r="C513" s="82"/>
      <c r="D513" s="87"/>
      <c r="E513" s="87"/>
      <c r="F513" s="87"/>
      <c r="G513" s="87"/>
      <c r="H513" s="83"/>
      <c r="I513" s="83"/>
      <c r="J513" s="82"/>
      <c r="K513" s="89"/>
      <c r="L513" s="87"/>
      <c r="M513" s="80"/>
      <c r="N513" s="80"/>
      <c r="O513" s="80"/>
      <c r="P513" s="80"/>
      <c r="Q513" s="80"/>
      <c r="R513" s="80"/>
      <c r="S513" s="80"/>
      <c r="T513" s="80"/>
      <c r="U513" s="80"/>
      <c r="V513" s="80"/>
      <c r="W513" s="80"/>
      <c r="X513" s="80"/>
      <c r="Y513" s="80"/>
      <c r="Z513" s="80"/>
    </row>
    <row r="514">
      <c r="A514" s="87"/>
      <c r="B514" s="82"/>
      <c r="C514" s="82"/>
      <c r="D514" s="87"/>
      <c r="E514" s="87"/>
      <c r="F514" s="87"/>
      <c r="G514" s="87"/>
      <c r="H514" s="83"/>
      <c r="I514" s="83"/>
      <c r="J514" s="82"/>
      <c r="K514" s="89"/>
      <c r="L514" s="87"/>
      <c r="M514" s="80"/>
      <c r="N514" s="80"/>
      <c r="O514" s="80"/>
      <c r="P514" s="80"/>
      <c r="Q514" s="80"/>
      <c r="R514" s="80"/>
      <c r="S514" s="80"/>
      <c r="T514" s="80"/>
      <c r="U514" s="80"/>
      <c r="V514" s="80"/>
      <c r="W514" s="80"/>
      <c r="X514" s="80"/>
      <c r="Y514" s="80"/>
      <c r="Z514" s="80"/>
    </row>
    <row r="515">
      <c r="A515" s="87"/>
      <c r="B515" s="82"/>
      <c r="C515" s="82"/>
      <c r="D515" s="87"/>
      <c r="E515" s="87"/>
      <c r="F515" s="87"/>
      <c r="G515" s="87"/>
      <c r="H515" s="83"/>
      <c r="I515" s="83"/>
      <c r="J515" s="82"/>
      <c r="K515" s="89"/>
      <c r="L515" s="87"/>
      <c r="M515" s="80"/>
      <c r="N515" s="80"/>
      <c r="O515" s="80"/>
      <c r="P515" s="80"/>
      <c r="Q515" s="80"/>
      <c r="R515" s="80"/>
      <c r="S515" s="80"/>
      <c r="T515" s="80"/>
      <c r="U515" s="80"/>
      <c r="V515" s="80"/>
      <c r="W515" s="80"/>
      <c r="X515" s="80"/>
      <c r="Y515" s="80"/>
      <c r="Z515" s="80"/>
    </row>
    <row r="516">
      <c r="A516" s="87"/>
      <c r="B516" s="82"/>
      <c r="C516" s="82"/>
      <c r="D516" s="87"/>
      <c r="E516" s="87"/>
      <c r="F516" s="87"/>
      <c r="G516" s="87"/>
      <c r="H516" s="83"/>
      <c r="I516" s="83"/>
      <c r="J516" s="82"/>
      <c r="K516" s="89"/>
      <c r="L516" s="87"/>
      <c r="M516" s="80"/>
      <c r="N516" s="80"/>
      <c r="O516" s="80"/>
      <c r="P516" s="80"/>
      <c r="Q516" s="80"/>
      <c r="R516" s="80"/>
      <c r="S516" s="80"/>
      <c r="T516" s="80"/>
      <c r="U516" s="80"/>
      <c r="V516" s="80"/>
      <c r="W516" s="80"/>
      <c r="X516" s="80"/>
      <c r="Y516" s="80"/>
      <c r="Z516" s="80"/>
    </row>
    <row r="517">
      <c r="A517" s="87"/>
      <c r="B517" s="82"/>
      <c r="C517" s="82"/>
      <c r="D517" s="87"/>
      <c r="E517" s="87"/>
      <c r="F517" s="87"/>
      <c r="G517" s="87"/>
      <c r="H517" s="83"/>
      <c r="I517" s="83"/>
      <c r="J517" s="82"/>
      <c r="K517" s="89"/>
      <c r="L517" s="87"/>
      <c r="M517" s="80"/>
      <c r="N517" s="80"/>
      <c r="O517" s="80"/>
      <c r="P517" s="80"/>
      <c r="Q517" s="80"/>
      <c r="R517" s="80"/>
      <c r="S517" s="80"/>
      <c r="T517" s="80"/>
      <c r="U517" s="80"/>
      <c r="V517" s="80"/>
      <c r="W517" s="80"/>
      <c r="X517" s="80"/>
      <c r="Y517" s="80"/>
      <c r="Z517" s="80"/>
    </row>
    <row r="518">
      <c r="A518" s="87"/>
      <c r="B518" s="82"/>
      <c r="C518" s="82"/>
      <c r="D518" s="87"/>
      <c r="E518" s="87"/>
      <c r="F518" s="87"/>
      <c r="G518" s="87"/>
      <c r="H518" s="83"/>
      <c r="I518" s="83"/>
      <c r="J518" s="82"/>
      <c r="K518" s="89"/>
      <c r="L518" s="87"/>
      <c r="M518" s="80"/>
      <c r="N518" s="80"/>
      <c r="O518" s="80"/>
      <c r="P518" s="80"/>
      <c r="Q518" s="80"/>
      <c r="R518" s="80"/>
      <c r="S518" s="80"/>
      <c r="T518" s="80"/>
      <c r="U518" s="80"/>
      <c r="V518" s="80"/>
      <c r="W518" s="80"/>
      <c r="X518" s="80"/>
      <c r="Y518" s="80"/>
      <c r="Z518" s="80"/>
    </row>
    <row r="519">
      <c r="A519" s="87"/>
      <c r="B519" s="82"/>
      <c r="C519" s="82"/>
      <c r="D519" s="87"/>
      <c r="E519" s="87"/>
      <c r="F519" s="87"/>
      <c r="G519" s="87"/>
      <c r="H519" s="83"/>
      <c r="I519" s="83"/>
      <c r="J519" s="82"/>
      <c r="K519" s="89"/>
      <c r="L519" s="87"/>
      <c r="M519" s="80"/>
      <c r="N519" s="80"/>
      <c r="O519" s="80"/>
      <c r="P519" s="80"/>
      <c r="Q519" s="80"/>
      <c r="R519" s="80"/>
      <c r="S519" s="80"/>
      <c r="T519" s="80"/>
      <c r="U519" s="80"/>
      <c r="V519" s="80"/>
      <c r="W519" s="80"/>
      <c r="X519" s="80"/>
      <c r="Y519" s="80"/>
      <c r="Z519" s="80"/>
    </row>
    <row r="520">
      <c r="A520" s="87"/>
      <c r="B520" s="82"/>
      <c r="C520" s="82"/>
      <c r="D520" s="87"/>
      <c r="E520" s="87"/>
      <c r="F520" s="87"/>
      <c r="G520" s="87"/>
      <c r="H520" s="83"/>
      <c r="I520" s="83"/>
      <c r="J520" s="82"/>
      <c r="K520" s="89"/>
      <c r="L520" s="87"/>
      <c r="M520" s="80"/>
      <c r="N520" s="80"/>
      <c r="O520" s="80"/>
      <c r="P520" s="80"/>
      <c r="Q520" s="80"/>
      <c r="R520" s="80"/>
      <c r="S520" s="80"/>
      <c r="T520" s="80"/>
      <c r="U520" s="80"/>
      <c r="V520" s="80"/>
      <c r="W520" s="80"/>
      <c r="X520" s="80"/>
      <c r="Y520" s="80"/>
      <c r="Z520" s="80"/>
    </row>
    <row r="521">
      <c r="A521" s="87"/>
      <c r="B521" s="82"/>
      <c r="C521" s="82"/>
      <c r="D521" s="87"/>
      <c r="E521" s="87"/>
      <c r="F521" s="87"/>
      <c r="G521" s="87"/>
      <c r="H521" s="83"/>
      <c r="I521" s="83"/>
      <c r="J521" s="82"/>
      <c r="K521" s="89"/>
      <c r="L521" s="87"/>
      <c r="M521" s="80"/>
      <c r="N521" s="80"/>
      <c r="O521" s="80"/>
      <c r="P521" s="80"/>
      <c r="Q521" s="80"/>
      <c r="R521" s="80"/>
      <c r="S521" s="80"/>
      <c r="T521" s="80"/>
      <c r="U521" s="80"/>
      <c r="V521" s="80"/>
      <c r="W521" s="80"/>
      <c r="X521" s="80"/>
      <c r="Y521" s="80"/>
      <c r="Z521" s="80"/>
    </row>
    <row r="522">
      <c r="A522" s="87"/>
      <c r="B522" s="82"/>
      <c r="C522" s="82"/>
      <c r="D522" s="87"/>
      <c r="E522" s="87"/>
      <c r="F522" s="87"/>
      <c r="G522" s="87"/>
      <c r="H522" s="83"/>
      <c r="I522" s="83"/>
      <c r="J522" s="82"/>
      <c r="K522" s="89"/>
      <c r="L522" s="87"/>
      <c r="M522" s="80"/>
      <c r="N522" s="80"/>
      <c r="O522" s="80"/>
      <c r="P522" s="80"/>
      <c r="Q522" s="80"/>
      <c r="R522" s="80"/>
      <c r="S522" s="80"/>
      <c r="T522" s="80"/>
      <c r="U522" s="80"/>
      <c r="V522" s="80"/>
      <c r="W522" s="80"/>
      <c r="X522" s="80"/>
      <c r="Y522" s="80"/>
      <c r="Z522" s="80"/>
    </row>
    <row r="523">
      <c r="A523" s="87"/>
      <c r="B523" s="82"/>
      <c r="C523" s="82"/>
      <c r="D523" s="87"/>
      <c r="E523" s="87"/>
      <c r="F523" s="87"/>
      <c r="G523" s="87"/>
      <c r="H523" s="83"/>
      <c r="I523" s="83"/>
      <c r="J523" s="82"/>
      <c r="K523" s="89"/>
      <c r="L523" s="87"/>
      <c r="M523" s="80"/>
      <c r="N523" s="80"/>
      <c r="O523" s="80"/>
      <c r="P523" s="80"/>
      <c r="Q523" s="80"/>
      <c r="R523" s="80"/>
      <c r="S523" s="80"/>
      <c r="T523" s="80"/>
      <c r="U523" s="80"/>
      <c r="V523" s="80"/>
      <c r="W523" s="80"/>
      <c r="X523" s="80"/>
      <c r="Y523" s="80"/>
      <c r="Z523" s="80"/>
    </row>
    <row r="524">
      <c r="A524" s="87"/>
      <c r="B524" s="82"/>
      <c r="C524" s="82"/>
      <c r="D524" s="87"/>
      <c r="E524" s="87"/>
      <c r="F524" s="87"/>
      <c r="G524" s="87"/>
      <c r="H524" s="83"/>
      <c r="I524" s="83"/>
      <c r="J524" s="82"/>
      <c r="K524" s="89"/>
      <c r="L524" s="87"/>
      <c r="M524" s="80"/>
      <c r="N524" s="80"/>
      <c r="O524" s="80"/>
      <c r="P524" s="80"/>
      <c r="Q524" s="80"/>
      <c r="R524" s="80"/>
      <c r="S524" s="80"/>
      <c r="T524" s="80"/>
      <c r="U524" s="80"/>
      <c r="V524" s="80"/>
      <c r="W524" s="80"/>
      <c r="X524" s="80"/>
      <c r="Y524" s="80"/>
      <c r="Z524" s="80"/>
    </row>
    <row r="525">
      <c r="A525" s="87"/>
      <c r="B525" s="82"/>
      <c r="C525" s="82"/>
      <c r="D525" s="87"/>
      <c r="E525" s="87"/>
      <c r="F525" s="87"/>
      <c r="G525" s="87"/>
      <c r="H525" s="83"/>
      <c r="I525" s="83"/>
      <c r="J525" s="82"/>
      <c r="K525" s="89"/>
      <c r="L525" s="87"/>
      <c r="M525" s="80"/>
      <c r="N525" s="80"/>
      <c r="O525" s="80"/>
      <c r="P525" s="80"/>
      <c r="Q525" s="80"/>
      <c r="R525" s="80"/>
      <c r="S525" s="80"/>
      <c r="T525" s="80"/>
      <c r="U525" s="80"/>
      <c r="V525" s="80"/>
      <c r="W525" s="80"/>
      <c r="X525" s="80"/>
      <c r="Y525" s="80"/>
      <c r="Z525" s="80"/>
    </row>
    <row r="526">
      <c r="A526" s="87"/>
      <c r="B526" s="82"/>
      <c r="C526" s="82"/>
      <c r="D526" s="87"/>
      <c r="E526" s="87"/>
      <c r="F526" s="87"/>
      <c r="G526" s="87"/>
      <c r="H526" s="83"/>
      <c r="I526" s="83"/>
      <c r="J526" s="82"/>
      <c r="K526" s="89"/>
      <c r="L526" s="87"/>
      <c r="M526" s="80"/>
      <c r="N526" s="80"/>
      <c r="O526" s="80"/>
      <c r="P526" s="80"/>
      <c r="Q526" s="80"/>
      <c r="R526" s="80"/>
      <c r="S526" s="80"/>
      <c r="T526" s="80"/>
      <c r="U526" s="80"/>
      <c r="V526" s="80"/>
      <c r="W526" s="80"/>
      <c r="X526" s="80"/>
      <c r="Y526" s="80"/>
      <c r="Z526" s="80"/>
    </row>
    <row r="527">
      <c r="A527" s="87"/>
      <c r="B527" s="82"/>
      <c r="C527" s="82"/>
      <c r="D527" s="87"/>
      <c r="E527" s="87"/>
      <c r="F527" s="87"/>
      <c r="G527" s="87"/>
      <c r="H527" s="83"/>
      <c r="I527" s="83"/>
      <c r="J527" s="82"/>
      <c r="K527" s="89"/>
      <c r="L527" s="87"/>
      <c r="M527" s="80"/>
      <c r="N527" s="80"/>
      <c r="O527" s="80"/>
      <c r="P527" s="80"/>
      <c r="Q527" s="80"/>
      <c r="R527" s="80"/>
      <c r="S527" s="80"/>
      <c r="T527" s="80"/>
      <c r="U527" s="80"/>
      <c r="V527" s="80"/>
      <c r="W527" s="80"/>
      <c r="X527" s="80"/>
      <c r="Y527" s="80"/>
      <c r="Z527" s="80"/>
    </row>
    <row r="528">
      <c r="A528" s="87"/>
      <c r="B528" s="82"/>
      <c r="C528" s="82"/>
      <c r="D528" s="87"/>
      <c r="E528" s="87"/>
      <c r="F528" s="87"/>
      <c r="G528" s="87"/>
      <c r="H528" s="83"/>
      <c r="I528" s="83"/>
      <c r="J528" s="82"/>
      <c r="K528" s="89"/>
      <c r="L528" s="87"/>
      <c r="M528" s="80"/>
      <c r="N528" s="80"/>
      <c r="O528" s="80"/>
      <c r="P528" s="80"/>
      <c r="Q528" s="80"/>
      <c r="R528" s="80"/>
      <c r="S528" s="80"/>
      <c r="T528" s="80"/>
      <c r="U528" s="80"/>
      <c r="V528" s="80"/>
      <c r="W528" s="80"/>
      <c r="X528" s="80"/>
      <c r="Y528" s="80"/>
      <c r="Z528" s="80"/>
    </row>
    <row r="529">
      <c r="A529" s="87"/>
      <c r="B529" s="82"/>
      <c r="C529" s="82"/>
      <c r="D529" s="87"/>
      <c r="E529" s="87"/>
      <c r="F529" s="87"/>
      <c r="G529" s="87"/>
      <c r="H529" s="83"/>
      <c r="I529" s="83"/>
      <c r="J529" s="82"/>
      <c r="K529" s="89"/>
      <c r="L529" s="87"/>
      <c r="M529" s="80"/>
      <c r="N529" s="80"/>
      <c r="O529" s="80"/>
      <c r="P529" s="80"/>
      <c r="Q529" s="80"/>
      <c r="R529" s="80"/>
      <c r="S529" s="80"/>
      <c r="T529" s="80"/>
      <c r="U529" s="80"/>
      <c r="V529" s="80"/>
      <c r="W529" s="80"/>
      <c r="X529" s="80"/>
      <c r="Y529" s="80"/>
      <c r="Z529" s="80"/>
    </row>
    <row r="530">
      <c r="A530" s="87"/>
      <c r="B530" s="82"/>
      <c r="C530" s="82"/>
      <c r="D530" s="87"/>
      <c r="E530" s="87"/>
      <c r="F530" s="87"/>
      <c r="G530" s="87"/>
      <c r="H530" s="83"/>
      <c r="I530" s="83"/>
      <c r="J530" s="82"/>
      <c r="K530" s="89"/>
      <c r="L530" s="87"/>
      <c r="M530" s="80"/>
      <c r="N530" s="80"/>
      <c r="O530" s="80"/>
      <c r="P530" s="80"/>
      <c r="Q530" s="80"/>
      <c r="R530" s="80"/>
      <c r="S530" s="80"/>
      <c r="T530" s="80"/>
      <c r="U530" s="80"/>
      <c r="V530" s="80"/>
      <c r="W530" s="80"/>
      <c r="X530" s="80"/>
      <c r="Y530" s="80"/>
      <c r="Z530" s="80"/>
    </row>
    <row r="531">
      <c r="A531" s="87"/>
      <c r="B531" s="82"/>
      <c r="C531" s="82"/>
      <c r="D531" s="87"/>
      <c r="E531" s="87"/>
      <c r="F531" s="87"/>
      <c r="G531" s="87"/>
      <c r="H531" s="83"/>
      <c r="I531" s="83"/>
      <c r="J531" s="82"/>
      <c r="K531" s="89"/>
      <c r="L531" s="87"/>
      <c r="M531" s="80"/>
      <c r="N531" s="80"/>
      <c r="O531" s="80"/>
      <c r="P531" s="80"/>
      <c r="Q531" s="80"/>
      <c r="R531" s="80"/>
      <c r="S531" s="80"/>
      <c r="T531" s="80"/>
      <c r="U531" s="80"/>
      <c r="V531" s="80"/>
      <c r="W531" s="80"/>
      <c r="X531" s="80"/>
      <c r="Y531" s="80"/>
      <c r="Z531" s="80"/>
    </row>
    <row r="532">
      <c r="A532" s="87"/>
      <c r="B532" s="82"/>
      <c r="C532" s="82"/>
      <c r="D532" s="87"/>
      <c r="E532" s="87"/>
      <c r="F532" s="87"/>
      <c r="G532" s="87"/>
      <c r="H532" s="83"/>
      <c r="I532" s="83"/>
      <c r="J532" s="82"/>
      <c r="K532" s="89"/>
      <c r="L532" s="87"/>
      <c r="M532" s="80"/>
      <c r="N532" s="80"/>
      <c r="O532" s="80"/>
      <c r="P532" s="80"/>
      <c r="Q532" s="80"/>
      <c r="R532" s="80"/>
      <c r="S532" s="80"/>
      <c r="T532" s="80"/>
      <c r="U532" s="80"/>
      <c r="V532" s="80"/>
      <c r="W532" s="80"/>
      <c r="X532" s="80"/>
      <c r="Y532" s="80"/>
      <c r="Z532" s="80"/>
    </row>
    <row r="533">
      <c r="A533" s="87"/>
      <c r="B533" s="82"/>
      <c r="C533" s="82"/>
      <c r="D533" s="87"/>
      <c r="E533" s="87"/>
      <c r="F533" s="87"/>
      <c r="G533" s="87"/>
      <c r="H533" s="83"/>
      <c r="I533" s="83"/>
      <c r="J533" s="82"/>
      <c r="K533" s="89"/>
      <c r="L533" s="87"/>
      <c r="M533" s="80"/>
      <c r="N533" s="80"/>
      <c r="O533" s="80"/>
      <c r="P533" s="80"/>
      <c r="Q533" s="80"/>
      <c r="R533" s="80"/>
      <c r="S533" s="80"/>
      <c r="T533" s="80"/>
      <c r="U533" s="80"/>
      <c r="V533" s="80"/>
      <c r="W533" s="80"/>
      <c r="X533" s="80"/>
      <c r="Y533" s="80"/>
      <c r="Z533" s="80"/>
    </row>
    <row r="534">
      <c r="A534" s="87"/>
      <c r="B534" s="82"/>
      <c r="C534" s="82"/>
      <c r="D534" s="87"/>
      <c r="E534" s="87"/>
      <c r="F534" s="87"/>
      <c r="G534" s="87"/>
      <c r="H534" s="83"/>
      <c r="I534" s="83"/>
      <c r="J534" s="82"/>
      <c r="K534" s="89"/>
      <c r="L534" s="87"/>
      <c r="M534" s="80"/>
      <c r="N534" s="80"/>
      <c r="O534" s="80"/>
      <c r="P534" s="80"/>
      <c r="Q534" s="80"/>
      <c r="R534" s="80"/>
      <c r="S534" s="80"/>
      <c r="T534" s="80"/>
      <c r="U534" s="80"/>
      <c r="V534" s="80"/>
      <c r="W534" s="80"/>
      <c r="X534" s="80"/>
      <c r="Y534" s="80"/>
      <c r="Z534" s="80"/>
    </row>
    <row r="535">
      <c r="A535" s="87"/>
      <c r="B535" s="82"/>
      <c r="C535" s="82"/>
      <c r="D535" s="87"/>
      <c r="E535" s="87"/>
      <c r="F535" s="87"/>
      <c r="G535" s="87"/>
      <c r="H535" s="83"/>
      <c r="I535" s="83"/>
      <c r="J535" s="82"/>
      <c r="K535" s="89"/>
      <c r="L535" s="87"/>
      <c r="M535" s="80"/>
      <c r="N535" s="80"/>
      <c r="O535" s="80"/>
      <c r="P535" s="80"/>
      <c r="Q535" s="80"/>
      <c r="R535" s="80"/>
      <c r="S535" s="80"/>
      <c r="T535" s="80"/>
      <c r="U535" s="80"/>
      <c r="V535" s="80"/>
      <c r="W535" s="80"/>
      <c r="X535" s="80"/>
      <c r="Y535" s="80"/>
      <c r="Z535" s="80"/>
    </row>
    <row r="536">
      <c r="A536" s="87"/>
      <c r="B536" s="82"/>
      <c r="C536" s="82"/>
      <c r="D536" s="87"/>
      <c r="E536" s="87"/>
      <c r="F536" s="87"/>
      <c r="G536" s="87"/>
      <c r="H536" s="83"/>
      <c r="I536" s="83"/>
      <c r="J536" s="82"/>
      <c r="K536" s="89"/>
      <c r="L536" s="87"/>
      <c r="M536" s="80"/>
      <c r="N536" s="80"/>
      <c r="O536" s="80"/>
      <c r="P536" s="80"/>
      <c r="Q536" s="80"/>
      <c r="R536" s="80"/>
      <c r="S536" s="80"/>
      <c r="T536" s="80"/>
      <c r="U536" s="80"/>
      <c r="V536" s="80"/>
      <c r="W536" s="80"/>
      <c r="X536" s="80"/>
      <c r="Y536" s="80"/>
      <c r="Z536" s="80"/>
    </row>
    <row r="537">
      <c r="A537" s="87"/>
      <c r="B537" s="82"/>
      <c r="C537" s="82"/>
      <c r="D537" s="87"/>
      <c r="E537" s="87"/>
      <c r="F537" s="87"/>
      <c r="G537" s="87"/>
      <c r="H537" s="83"/>
      <c r="I537" s="83"/>
      <c r="J537" s="82"/>
      <c r="K537" s="89"/>
      <c r="L537" s="87"/>
      <c r="M537" s="80"/>
      <c r="N537" s="80"/>
      <c r="O537" s="80"/>
      <c r="P537" s="80"/>
      <c r="Q537" s="80"/>
      <c r="R537" s="80"/>
      <c r="S537" s="80"/>
      <c r="T537" s="80"/>
      <c r="U537" s="80"/>
      <c r="V537" s="80"/>
      <c r="W537" s="80"/>
      <c r="X537" s="80"/>
      <c r="Y537" s="80"/>
      <c r="Z537" s="80"/>
    </row>
    <row r="538">
      <c r="A538" s="87"/>
      <c r="B538" s="82"/>
      <c r="C538" s="82"/>
      <c r="D538" s="87"/>
      <c r="E538" s="87"/>
      <c r="F538" s="87"/>
      <c r="G538" s="87"/>
      <c r="H538" s="83"/>
      <c r="I538" s="83"/>
      <c r="J538" s="82"/>
      <c r="K538" s="89"/>
      <c r="L538" s="87"/>
      <c r="M538" s="80"/>
      <c r="N538" s="80"/>
      <c r="O538" s="80"/>
      <c r="P538" s="80"/>
      <c r="Q538" s="80"/>
      <c r="R538" s="80"/>
      <c r="S538" s="80"/>
      <c r="T538" s="80"/>
      <c r="U538" s="80"/>
      <c r="V538" s="80"/>
      <c r="W538" s="80"/>
      <c r="X538" s="80"/>
      <c r="Y538" s="80"/>
      <c r="Z538" s="80"/>
    </row>
    <row r="539">
      <c r="A539" s="87"/>
      <c r="B539" s="82"/>
      <c r="C539" s="82"/>
      <c r="D539" s="87"/>
      <c r="E539" s="87"/>
      <c r="F539" s="87"/>
      <c r="G539" s="87"/>
      <c r="H539" s="83"/>
      <c r="I539" s="83"/>
      <c r="J539" s="82"/>
      <c r="K539" s="89"/>
      <c r="L539" s="87"/>
      <c r="M539" s="80"/>
      <c r="N539" s="80"/>
      <c r="O539" s="80"/>
      <c r="P539" s="80"/>
      <c r="Q539" s="80"/>
      <c r="R539" s="80"/>
      <c r="S539" s="80"/>
      <c r="T539" s="80"/>
      <c r="U539" s="80"/>
      <c r="V539" s="80"/>
      <c r="W539" s="80"/>
      <c r="X539" s="80"/>
      <c r="Y539" s="80"/>
      <c r="Z539" s="80"/>
    </row>
    <row r="540">
      <c r="A540" s="87"/>
      <c r="B540" s="82"/>
      <c r="C540" s="82"/>
      <c r="D540" s="87"/>
      <c r="E540" s="87"/>
      <c r="F540" s="87"/>
      <c r="G540" s="87"/>
      <c r="H540" s="83"/>
      <c r="I540" s="83"/>
      <c r="J540" s="82"/>
      <c r="K540" s="89"/>
      <c r="L540" s="87"/>
      <c r="M540" s="80"/>
      <c r="N540" s="80"/>
      <c r="O540" s="80"/>
      <c r="P540" s="80"/>
      <c r="Q540" s="80"/>
      <c r="R540" s="80"/>
      <c r="S540" s="80"/>
      <c r="T540" s="80"/>
      <c r="U540" s="80"/>
      <c r="V540" s="80"/>
      <c r="W540" s="80"/>
      <c r="X540" s="80"/>
      <c r="Y540" s="80"/>
      <c r="Z540" s="80"/>
    </row>
    <row r="541">
      <c r="A541" s="87"/>
      <c r="B541" s="82"/>
      <c r="C541" s="82"/>
      <c r="D541" s="87"/>
      <c r="E541" s="87"/>
      <c r="F541" s="87"/>
      <c r="G541" s="87"/>
      <c r="H541" s="83"/>
      <c r="I541" s="83"/>
      <c r="J541" s="82"/>
      <c r="K541" s="89"/>
      <c r="L541" s="87"/>
      <c r="M541" s="80"/>
      <c r="N541" s="80"/>
      <c r="O541" s="80"/>
      <c r="P541" s="80"/>
      <c r="Q541" s="80"/>
      <c r="R541" s="80"/>
      <c r="S541" s="80"/>
      <c r="T541" s="80"/>
      <c r="U541" s="80"/>
      <c r="V541" s="80"/>
      <c r="W541" s="80"/>
      <c r="X541" s="80"/>
      <c r="Y541" s="80"/>
      <c r="Z541" s="80"/>
    </row>
    <row r="542">
      <c r="A542" s="87"/>
      <c r="B542" s="82"/>
      <c r="C542" s="82"/>
      <c r="D542" s="87"/>
      <c r="E542" s="87"/>
      <c r="F542" s="87"/>
      <c r="G542" s="87"/>
      <c r="H542" s="83"/>
      <c r="I542" s="83"/>
      <c r="J542" s="82"/>
      <c r="K542" s="89"/>
      <c r="L542" s="87"/>
      <c r="M542" s="80"/>
      <c r="N542" s="80"/>
      <c r="O542" s="80"/>
      <c r="P542" s="80"/>
      <c r="Q542" s="80"/>
      <c r="R542" s="80"/>
      <c r="S542" s="80"/>
      <c r="T542" s="80"/>
      <c r="U542" s="80"/>
      <c r="V542" s="80"/>
      <c r="W542" s="80"/>
      <c r="X542" s="80"/>
      <c r="Y542" s="80"/>
      <c r="Z542" s="80"/>
    </row>
    <row r="543">
      <c r="A543" s="87"/>
      <c r="B543" s="82"/>
      <c r="C543" s="82"/>
      <c r="D543" s="87"/>
      <c r="E543" s="87"/>
      <c r="F543" s="87"/>
      <c r="G543" s="87"/>
      <c r="H543" s="83"/>
      <c r="I543" s="83"/>
      <c r="J543" s="82"/>
      <c r="K543" s="89"/>
      <c r="L543" s="87"/>
      <c r="M543" s="80"/>
      <c r="N543" s="80"/>
      <c r="O543" s="80"/>
      <c r="P543" s="80"/>
      <c r="Q543" s="80"/>
      <c r="R543" s="80"/>
      <c r="S543" s="80"/>
      <c r="T543" s="80"/>
      <c r="U543" s="80"/>
      <c r="V543" s="80"/>
      <c r="W543" s="80"/>
      <c r="X543" s="80"/>
      <c r="Y543" s="80"/>
      <c r="Z543" s="80"/>
    </row>
    <row r="544">
      <c r="A544" s="87"/>
      <c r="B544" s="82"/>
      <c r="C544" s="82"/>
      <c r="D544" s="87"/>
      <c r="E544" s="87"/>
      <c r="F544" s="87"/>
      <c r="G544" s="87"/>
      <c r="H544" s="83"/>
      <c r="I544" s="83"/>
      <c r="J544" s="82"/>
      <c r="K544" s="89"/>
      <c r="L544" s="87"/>
      <c r="M544" s="80"/>
      <c r="N544" s="80"/>
      <c r="O544" s="80"/>
      <c r="P544" s="80"/>
      <c r="Q544" s="80"/>
      <c r="R544" s="80"/>
      <c r="S544" s="80"/>
      <c r="T544" s="80"/>
      <c r="U544" s="80"/>
      <c r="V544" s="80"/>
      <c r="W544" s="80"/>
      <c r="X544" s="80"/>
      <c r="Y544" s="80"/>
      <c r="Z544" s="80"/>
    </row>
    <row r="545">
      <c r="A545" s="87"/>
      <c r="B545" s="82"/>
      <c r="C545" s="82"/>
      <c r="D545" s="87"/>
      <c r="E545" s="87"/>
      <c r="F545" s="87"/>
      <c r="G545" s="87"/>
      <c r="H545" s="83"/>
      <c r="I545" s="83"/>
      <c r="J545" s="82"/>
      <c r="K545" s="89"/>
      <c r="L545" s="87"/>
      <c r="M545" s="80"/>
      <c r="N545" s="80"/>
      <c r="O545" s="80"/>
      <c r="P545" s="80"/>
      <c r="Q545" s="80"/>
      <c r="R545" s="80"/>
      <c r="S545" s="80"/>
      <c r="T545" s="80"/>
      <c r="U545" s="80"/>
      <c r="V545" s="80"/>
      <c r="W545" s="80"/>
      <c r="X545" s="80"/>
      <c r="Y545" s="80"/>
      <c r="Z545" s="80"/>
    </row>
    <row r="546">
      <c r="A546" s="87"/>
      <c r="B546" s="82"/>
      <c r="C546" s="82"/>
      <c r="D546" s="87"/>
      <c r="E546" s="87"/>
      <c r="F546" s="87"/>
      <c r="G546" s="87"/>
      <c r="H546" s="83"/>
      <c r="I546" s="83"/>
      <c r="J546" s="82"/>
      <c r="K546" s="89"/>
      <c r="L546" s="87"/>
      <c r="M546" s="80"/>
      <c r="N546" s="80"/>
      <c r="O546" s="80"/>
      <c r="P546" s="80"/>
      <c r="Q546" s="80"/>
      <c r="R546" s="80"/>
      <c r="S546" s="80"/>
      <c r="T546" s="80"/>
      <c r="U546" s="80"/>
      <c r="V546" s="80"/>
      <c r="W546" s="80"/>
      <c r="X546" s="80"/>
      <c r="Y546" s="80"/>
      <c r="Z546" s="80"/>
    </row>
    <row r="547">
      <c r="A547" s="87"/>
      <c r="B547" s="82"/>
      <c r="C547" s="82"/>
      <c r="D547" s="87"/>
      <c r="E547" s="87"/>
      <c r="F547" s="87"/>
      <c r="G547" s="87"/>
      <c r="H547" s="83"/>
      <c r="I547" s="83"/>
      <c r="J547" s="82"/>
      <c r="K547" s="89"/>
      <c r="L547" s="87"/>
      <c r="M547" s="80"/>
      <c r="N547" s="80"/>
      <c r="O547" s="80"/>
      <c r="P547" s="80"/>
      <c r="Q547" s="80"/>
      <c r="R547" s="80"/>
      <c r="S547" s="80"/>
      <c r="T547" s="80"/>
      <c r="U547" s="80"/>
      <c r="V547" s="80"/>
      <c r="W547" s="80"/>
      <c r="X547" s="80"/>
      <c r="Y547" s="80"/>
      <c r="Z547" s="80"/>
    </row>
    <row r="548">
      <c r="A548" s="87"/>
      <c r="B548" s="82"/>
      <c r="C548" s="82"/>
      <c r="D548" s="87"/>
      <c r="E548" s="87"/>
      <c r="F548" s="87"/>
      <c r="G548" s="87"/>
      <c r="H548" s="83"/>
      <c r="I548" s="83"/>
      <c r="J548" s="82"/>
      <c r="K548" s="89"/>
      <c r="L548" s="87"/>
      <c r="M548" s="80"/>
      <c r="N548" s="80"/>
      <c r="O548" s="80"/>
      <c r="P548" s="80"/>
      <c r="Q548" s="80"/>
      <c r="R548" s="80"/>
      <c r="S548" s="80"/>
      <c r="T548" s="80"/>
      <c r="U548" s="80"/>
      <c r="V548" s="80"/>
      <c r="W548" s="80"/>
      <c r="X548" s="80"/>
      <c r="Y548" s="80"/>
      <c r="Z548" s="80"/>
    </row>
    <row r="549">
      <c r="A549" s="87"/>
      <c r="B549" s="82"/>
      <c r="C549" s="82"/>
      <c r="D549" s="87"/>
      <c r="E549" s="87"/>
      <c r="F549" s="87"/>
      <c r="G549" s="87"/>
      <c r="H549" s="83"/>
      <c r="I549" s="83"/>
      <c r="J549" s="82"/>
      <c r="K549" s="89"/>
      <c r="L549" s="87"/>
      <c r="M549" s="80"/>
      <c r="N549" s="80"/>
      <c r="O549" s="80"/>
      <c r="P549" s="80"/>
      <c r="Q549" s="80"/>
      <c r="R549" s="80"/>
      <c r="S549" s="80"/>
      <c r="T549" s="80"/>
      <c r="U549" s="80"/>
      <c r="V549" s="80"/>
      <c r="W549" s="80"/>
      <c r="X549" s="80"/>
      <c r="Y549" s="80"/>
      <c r="Z549" s="80"/>
    </row>
    <row r="550">
      <c r="A550" s="87"/>
      <c r="B550" s="82"/>
      <c r="C550" s="82"/>
      <c r="D550" s="87"/>
      <c r="E550" s="87"/>
      <c r="F550" s="87"/>
      <c r="G550" s="87"/>
      <c r="H550" s="83"/>
      <c r="I550" s="83"/>
      <c r="J550" s="82"/>
      <c r="K550" s="89"/>
      <c r="L550" s="87"/>
      <c r="M550" s="80"/>
      <c r="N550" s="80"/>
      <c r="O550" s="80"/>
      <c r="P550" s="80"/>
      <c r="Q550" s="80"/>
      <c r="R550" s="80"/>
      <c r="S550" s="80"/>
      <c r="T550" s="80"/>
      <c r="U550" s="80"/>
      <c r="V550" s="80"/>
      <c r="W550" s="80"/>
      <c r="X550" s="80"/>
      <c r="Y550" s="80"/>
      <c r="Z550" s="80"/>
    </row>
    <row r="551">
      <c r="A551" s="87"/>
      <c r="B551" s="82"/>
      <c r="C551" s="82"/>
      <c r="D551" s="87"/>
      <c r="E551" s="87"/>
      <c r="F551" s="87"/>
      <c r="G551" s="87"/>
      <c r="H551" s="83"/>
      <c r="I551" s="83"/>
      <c r="J551" s="82"/>
      <c r="K551" s="89"/>
      <c r="L551" s="87"/>
      <c r="M551" s="80"/>
      <c r="N551" s="80"/>
      <c r="O551" s="80"/>
      <c r="P551" s="80"/>
      <c r="Q551" s="80"/>
      <c r="R551" s="80"/>
      <c r="S551" s="80"/>
      <c r="T551" s="80"/>
      <c r="U551" s="80"/>
      <c r="V551" s="80"/>
      <c r="W551" s="80"/>
      <c r="X551" s="80"/>
      <c r="Y551" s="80"/>
      <c r="Z551" s="80"/>
    </row>
    <row r="552">
      <c r="A552" s="87"/>
      <c r="B552" s="82"/>
      <c r="C552" s="82"/>
      <c r="D552" s="87"/>
      <c r="E552" s="87"/>
      <c r="F552" s="87"/>
      <c r="G552" s="87"/>
      <c r="H552" s="83"/>
      <c r="I552" s="83"/>
      <c r="J552" s="82"/>
      <c r="K552" s="89"/>
      <c r="L552" s="87"/>
      <c r="M552" s="80"/>
      <c r="N552" s="80"/>
      <c r="O552" s="80"/>
      <c r="P552" s="80"/>
      <c r="Q552" s="80"/>
      <c r="R552" s="80"/>
      <c r="S552" s="80"/>
      <c r="T552" s="80"/>
      <c r="U552" s="80"/>
      <c r="V552" s="80"/>
      <c r="W552" s="80"/>
      <c r="X552" s="80"/>
      <c r="Y552" s="80"/>
      <c r="Z552" s="80"/>
    </row>
    <row r="553">
      <c r="A553" s="87"/>
      <c r="B553" s="82"/>
      <c r="C553" s="82"/>
      <c r="D553" s="87"/>
      <c r="E553" s="87"/>
      <c r="F553" s="87"/>
      <c r="G553" s="87"/>
      <c r="H553" s="83"/>
      <c r="I553" s="83"/>
      <c r="J553" s="82"/>
      <c r="K553" s="89"/>
      <c r="L553" s="87"/>
      <c r="M553" s="80"/>
      <c r="N553" s="80"/>
      <c r="O553" s="80"/>
      <c r="P553" s="80"/>
      <c r="Q553" s="80"/>
      <c r="R553" s="80"/>
      <c r="S553" s="80"/>
      <c r="T553" s="80"/>
      <c r="U553" s="80"/>
      <c r="V553" s="80"/>
      <c r="W553" s="80"/>
      <c r="X553" s="80"/>
      <c r="Y553" s="80"/>
      <c r="Z553" s="80"/>
    </row>
    <row r="554">
      <c r="A554" s="87"/>
      <c r="B554" s="82"/>
      <c r="C554" s="82"/>
      <c r="D554" s="87"/>
      <c r="E554" s="87"/>
      <c r="F554" s="87"/>
      <c r="G554" s="87"/>
      <c r="H554" s="83"/>
      <c r="I554" s="83"/>
      <c r="J554" s="82"/>
      <c r="K554" s="89"/>
      <c r="L554" s="87"/>
      <c r="M554" s="80"/>
      <c r="N554" s="80"/>
      <c r="O554" s="80"/>
      <c r="P554" s="80"/>
      <c r="Q554" s="80"/>
      <c r="R554" s="80"/>
      <c r="S554" s="80"/>
      <c r="T554" s="80"/>
      <c r="U554" s="80"/>
      <c r="V554" s="80"/>
      <c r="W554" s="80"/>
      <c r="X554" s="80"/>
      <c r="Y554" s="80"/>
      <c r="Z554" s="80"/>
    </row>
    <row r="555">
      <c r="A555" s="87"/>
      <c r="B555" s="82"/>
      <c r="C555" s="82"/>
      <c r="D555" s="87"/>
      <c r="E555" s="87"/>
      <c r="F555" s="87"/>
      <c r="G555" s="87"/>
      <c r="H555" s="83"/>
      <c r="I555" s="83"/>
      <c r="J555" s="82"/>
      <c r="K555" s="89"/>
      <c r="L555" s="87"/>
      <c r="M555" s="80"/>
      <c r="N555" s="80"/>
      <c r="O555" s="80"/>
      <c r="P555" s="80"/>
      <c r="Q555" s="80"/>
      <c r="R555" s="80"/>
      <c r="S555" s="80"/>
      <c r="T555" s="80"/>
      <c r="U555" s="80"/>
      <c r="V555" s="80"/>
      <c r="W555" s="80"/>
      <c r="X555" s="80"/>
      <c r="Y555" s="80"/>
      <c r="Z555" s="80"/>
    </row>
    <row r="556">
      <c r="A556" s="87"/>
      <c r="B556" s="82"/>
      <c r="C556" s="82"/>
      <c r="D556" s="87"/>
      <c r="E556" s="87"/>
      <c r="F556" s="87"/>
      <c r="G556" s="87"/>
      <c r="H556" s="83"/>
      <c r="I556" s="83"/>
      <c r="J556" s="82"/>
      <c r="K556" s="89"/>
      <c r="L556" s="87"/>
      <c r="M556" s="80"/>
      <c r="N556" s="80"/>
      <c r="O556" s="80"/>
      <c r="P556" s="80"/>
      <c r="Q556" s="80"/>
      <c r="R556" s="80"/>
      <c r="S556" s="80"/>
      <c r="T556" s="80"/>
      <c r="U556" s="80"/>
      <c r="V556" s="80"/>
      <c r="W556" s="80"/>
      <c r="X556" s="80"/>
      <c r="Y556" s="80"/>
      <c r="Z556" s="80"/>
    </row>
    <row r="557">
      <c r="A557" s="87"/>
      <c r="B557" s="82"/>
      <c r="C557" s="82"/>
      <c r="D557" s="87"/>
      <c r="E557" s="87"/>
      <c r="F557" s="87"/>
      <c r="G557" s="87"/>
      <c r="H557" s="83"/>
      <c r="I557" s="83"/>
      <c r="J557" s="82"/>
      <c r="K557" s="89"/>
      <c r="L557" s="87"/>
      <c r="M557" s="80"/>
      <c r="N557" s="80"/>
      <c r="O557" s="80"/>
      <c r="P557" s="80"/>
      <c r="Q557" s="80"/>
      <c r="R557" s="80"/>
      <c r="S557" s="80"/>
      <c r="T557" s="80"/>
      <c r="U557" s="80"/>
      <c r="V557" s="80"/>
      <c r="W557" s="80"/>
      <c r="X557" s="80"/>
      <c r="Y557" s="80"/>
      <c r="Z557" s="80"/>
    </row>
    <row r="558">
      <c r="A558" s="87"/>
      <c r="B558" s="82"/>
      <c r="C558" s="82"/>
      <c r="D558" s="87"/>
      <c r="E558" s="87"/>
      <c r="F558" s="87"/>
      <c r="G558" s="87"/>
      <c r="H558" s="83"/>
      <c r="I558" s="83"/>
      <c r="J558" s="82"/>
      <c r="K558" s="89"/>
      <c r="L558" s="87"/>
      <c r="M558" s="80"/>
      <c r="N558" s="80"/>
      <c r="O558" s="80"/>
      <c r="P558" s="80"/>
      <c r="Q558" s="80"/>
      <c r="R558" s="80"/>
      <c r="S558" s="80"/>
      <c r="T558" s="80"/>
      <c r="U558" s="80"/>
      <c r="V558" s="80"/>
      <c r="W558" s="80"/>
      <c r="X558" s="80"/>
      <c r="Y558" s="80"/>
      <c r="Z558" s="80"/>
    </row>
    <row r="559">
      <c r="A559" s="87"/>
      <c r="B559" s="82"/>
      <c r="C559" s="82"/>
      <c r="D559" s="87"/>
      <c r="E559" s="87"/>
      <c r="F559" s="87"/>
      <c r="G559" s="87"/>
      <c r="H559" s="83"/>
      <c r="I559" s="83"/>
      <c r="J559" s="82"/>
      <c r="K559" s="89"/>
      <c r="L559" s="87"/>
      <c r="M559" s="80"/>
      <c r="N559" s="80"/>
      <c r="O559" s="80"/>
      <c r="P559" s="80"/>
      <c r="Q559" s="80"/>
      <c r="R559" s="80"/>
      <c r="S559" s="80"/>
      <c r="T559" s="80"/>
      <c r="U559" s="80"/>
      <c r="V559" s="80"/>
      <c r="W559" s="80"/>
      <c r="X559" s="80"/>
      <c r="Y559" s="80"/>
      <c r="Z559" s="80"/>
    </row>
    <row r="560">
      <c r="A560" s="87"/>
      <c r="B560" s="82"/>
      <c r="C560" s="82"/>
      <c r="D560" s="87"/>
      <c r="E560" s="87"/>
      <c r="F560" s="87"/>
      <c r="G560" s="87"/>
      <c r="H560" s="83"/>
      <c r="I560" s="83"/>
      <c r="J560" s="82"/>
      <c r="K560" s="89"/>
      <c r="L560" s="87"/>
      <c r="M560" s="80"/>
      <c r="N560" s="80"/>
      <c r="O560" s="80"/>
      <c r="P560" s="80"/>
      <c r="Q560" s="80"/>
      <c r="R560" s="80"/>
      <c r="S560" s="80"/>
      <c r="T560" s="80"/>
      <c r="U560" s="80"/>
      <c r="V560" s="80"/>
      <c r="W560" s="80"/>
      <c r="X560" s="80"/>
      <c r="Y560" s="80"/>
      <c r="Z560" s="80"/>
    </row>
    <row r="561">
      <c r="A561" s="87"/>
      <c r="B561" s="82"/>
      <c r="C561" s="82"/>
      <c r="D561" s="87"/>
      <c r="E561" s="87"/>
      <c r="F561" s="87"/>
      <c r="G561" s="87"/>
      <c r="H561" s="83"/>
      <c r="I561" s="83"/>
      <c r="J561" s="82"/>
      <c r="K561" s="89"/>
      <c r="L561" s="87"/>
      <c r="M561" s="80"/>
      <c r="N561" s="80"/>
      <c r="O561" s="80"/>
      <c r="P561" s="80"/>
      <c r="Q561" s="80"/>
      <c r="R561" s="80"/>
      <c r="S561" s="80"/>
      <c r="T561" s="80"/>
      <c r="U561" s="80"/>
      <c r="V561" s="80"/>
      <c r="W561" s="80"/>
      <c r="X561" s="80"/>
      <c r="Y561" s="80"/>
      <c r="Z561" s="80"/>
    </row>
    <row r="562">
      <c r="A562" s="87"/>
      <c r="B562" s="82"/>
      <c r="C562" s="82"/>
      <c r="D562" s="87"/>
      <c r="E562" s="87"/>
      <c r="F562" s="87"/>
      <c r="G562" s="87"/>
      <c r="H562" s="83"/>
      <c r="I562" s="83"/>
      <c r="J562" s="82"/>
      <c r="K562" s="89"/>
      <c r="L562" s="87"/>
      <c r="M562" s="80"/>
      <c r="N562" s="80"/>
      <c r="O562" s="80"/>
      <c r="P562" s="80"/>
      <c r="Q562" s="80"/>
      <c r="R562" s="80"/>
      <c r="S562" s="80"/>
      <c r="T562" s="80"/>
      <c r="U562" s="80"/>
      <c r="V562" s="80"/>
      <c r="W562" s="80"/>
      <c r="X562" s="80"/>
      <c r="Y562" s="80"/>
      <c r="Z562" s="80"/>
    </row>
    <row r="563">
      <c r="A563" s="87"/>
      <c r="B563" s="82"/>
      <c r="C563" s="82"/>
      <c r="D563" s="87"/>
      <c r="E563" s="87"/>
      <c r="F563" s="87"/>
      <c r="G563" s="87"/>
      <c r="H563" s="83"/>
      <c r="I563" s="83"/>
      <c r="J563" s="82"/>
      <c r="K563" s="89"/>
      <c r="L563" s="87"/>
      <c r="M563" s="80"/>
      <c r="N563" s="80"/>
      <c r="O563" s="80"/>
      <c r="P563" s="80"/>
      <c r="Q563" s="80"/>
      <c r="R563" s="80"/>
      <c r="S563" s="80"/>
      <c r="T563" s="80"/>
      <c r="U563" s="80"/>
      <c r="V563" s="80"/>
      <c r="W563" s="80"/>
      <c r="X563" s="80"/>
      <c r="Y563" s="80"/>
      <c r="Z563" s="80"/>
    </row>
    <row r="564">
      <c r="A564" s="87"/>
      <c r="B564" s="82"/>
      <c r="C564" s="82"/>
      <c r="D564" s="87"/>
      <c r="E564" s="87"/>
      <c r="F564" s="87"/>
      <c r="G564" s="87"/>
      <c r="H564" s="83"/>
      <c r="I564" s="83"/>
      <c r="J564" s="82"/>
      <c r="K564" s="89"/>
      <c r="L564" s="87"/>
      <c r="M564" s="80"/>
      <c r="N564" s="80"/>
      <c r="O564" s="80"/>
      <c r="P564" s="80"/>
      <c r="Q564" s="80"/>
      <c r="R564" s="80"/>
      <c r="S564" s="80"/>
      <c r="T564" s="80"/>
      <c r="U564" s="80"/>
      <c r="V564" s="80"/>
      <c r="W564" s="80"/>
      <c r="X564" s="80"/>
      <c r="Y564" s="80"/>
      <c r="Z564" s="80"/>
    </row>
    <row r="565">
      <c r="A565" s="87"/>
      <c r="B565" s="82"/>
      <c r="C565" s="82"/>
      <c r="D565" s="87"/>
      <c r="E565" s="87"/>
      <c r="F565" s="87"/>
      <c r="G565" s="87"/>
      <c r="H565" s="83"/>
      <c r="I565" s="83"/>
      <c r="J565" s="82"/>
      <c r="K565" s="89"/>
      <c r="L565" s="87"/>
      <c r="M565" s="80"/>
      <c r="N565" s="80"/>
      <c r="O565" s="80"/>
      <c r="P565" s="80"/>
      <c r="Q565" s="80"/>
      <c r="R565" s="80"/>
      <c r="S565" s="80"/>
      <c r="T565" s="80"/>
      <c r="U565" s="80"/>
      <c r="V565" s="80"/>
      <c r="W565" s="80"/>
      <c r="X565" s="80"/>
      <c r="Y565" s="80"/>
      <c r="Z565" s="80"/>
    </row>
    <row r="566">
      <c r="A566" s="87"/>
      <c r="B566" s="82"/>
      <c r="C566" s="82"/>
      <c r="D566" s="87"/>
      <c r="E566" s="87"/>
      <c r="F566" s="87"/>
      <c r="G566" s="87"/>
      <c r="H566" s="83"/>
      <c r="I566" s="83"/>
      <c r="J566" s="82"/>
      <c r="K566" s="89"/>
      <c r="L566" s="87"/>
      <c r="M566" s="80"/>
      <c r="N566" s="80"/>
      <c r="O566" s="80"/>
      <c r="P566" s="80"/>
      <c r="Q566" s="80"/>
      <c r="R566" s="80"/>
      <c r="S566" s="80"/>
      <c r="T566" s="80"/>
      <c r="U566" s="80"/>
      <c r="V566" s="80"/>
      <c r="W566" s="80"/>
      <c r="X566" s="80"/>
      <c r="Y566" s="80"/>
      <c r="Z566" s="80"/>
    </row>
    <row r="567">
      <c r="A567" s="87"/>
      <c r="B567" s="82"/>
      <c r="C567" s="82"/>
      <c r="D567" s="87"/>
      <c r="E567" s="87"/>
      <c r="F567" s="87"/>
      <c r="G567" s="87"/>
      <c r="H567" s="83"/>
      <c r="I567" s="83"/>
      <c r="J567" s="82"/>
      <c r="K567" s="89"/>
      <c r="L567" s="87"/>
      <c r="M567" s="80"/>
      <c r="N567" s="80"/>
      <c r="O567" s="80"/>
      <c r="P567" s="80"/>
      <c r="Q567" s="80"/>
      <c r="R567" s="80"/>
      <c r="S567" s="80"/>
      <c r="T567" s="80"/>
      <c r="U567" s="80"/>
      <c r="V567" s="80"/>
      <c r="W567" s="80"/>
      <c r="X567" s="80"/>
      <c r="Y567" s="80"/>
      <c r="Z567" s="80"/>
    </row>
    <row r="568">
      <c r="A568" s="87"/>
      <c r="B568" s="82"/>
      <c r="C568" s="82"/>
      <c r="D568" s="87"/>
      <c r="E568" s="87"/>
      <c r="F568" s="87"/>
      <c r="G568" s="87"/>
      <c r="H568" s="83"/>
      <c r="I568" s="83"/>
      <c r="J568" s="82"/>
      <c r="K568" s="89"/>
      <c r="L568" s="87"/>
      <c r="M568" s="80"/>
      <c r="N568" s="80"/>
      <c r="O568" s="80"/>
      <c r="P568" s="80"/>
      <c r="Q568" s="80"/>
      <c r="R568" s="80"/>
      <c r="S568" s="80"/>
      <c r="T568" s="80"/>
      <c r="U568" s="80"/>
      <c r="V568" s="80"/>
      <c r="W568" s="80"/>
      <c r="X568" s="80"/>
      <c r="Y568" s="80"/>
      <c r="Z568" s="80"/>
    </row>
    <row r="569">
      <c r="A569" s="87"/>
      <c r="B569" s="82"/>
      <c r="C569" s="82"/>
      <c r="D569" s="87"/>
      <c r="E569" s="87"/>
      <c r="F569" s="87"/>
      <c r="G569" s="87"/>
      <c r="H569" s="83"/>
      <c r="I569" s="83"/>
      <c r="J569" s="82"/>
      <c r="K569" s="89"/>
      <c r="L569" s="87"/>
      <c r="M569" s="80"/>
      <c r="N569" s="80"/>
      <c r="O569" s="80"/>
      <c r="P569" s="80"/>
      <c r="Q569" s="80"/>
      <c r="R569" s="80"/>
      <c r="S569" s="80"/>
      <c r="T569" s="80"/>
      <c r="U569" s="80"/>
      <c r="V569" s="80"/>
      <c r="W569" s="80"/>
      <c r="X569" s="80"/>
      <c r="Y569" s="80"/>
      <c r="Z569" s="80"/>
    </row>
    <row r="570">
      <c r="A570" s="87"/>
      <c r="B570" s="82"/>
      <c r="C570" s="82"/>
      <c r="D570" s="87"/>
      <c r="E570" s="87"/>
      <c r="F570" s="87"/>
      <c r="G570" s="87"/>
      <c r="H570" s="83"/>
      <c r="I570" s="83"/>
      <c r="J570" s="82"/>
      <c r="K570" s="89"/>
      <c r="L570" s="87"/>
      <c r="M570" s="80"/>
      <c r="N570" s="80"/>
      <c r="O570" s="80"/>
      <c r="P570" s="80"/>
      <c r="Q570" s="80"/>
      <c r="R570" s="80"/>
      <c r="S570" s="80"/>
      <c r="T570" s="80"/>
      <c r="U570" s="80"/>
      <c r="V570" s="80"/>
      <c r="W570" s="80"/>
      <c r="X570" s="80"/>
      <c r="Y570" s="80"/>
      <c r="Z570" s="80"/>
    </row>
    <row r="571">
      <c r="A571" s="87"/>
      <c r="B571" s="82"/>
      <c r="C571" s="82"/>
      <c r="D571" s="87"/>
      <c r="E571" s="87"/>
      <c r="F571" s="87"/>
      <c r="G571" s="87"/>
      <c r="H571" s="83"/>
      <c r="I571" s="83"/>
      <c r="J571" s="82"/>
      <c r="K571" s="89"/>
      <c r="L571" s="87"/>
      <c r="M571" s="80"/>
      <c r="N571" s="80"/>
      <c r="O571" s="80"/>
      <c r="P571" s="80"/>
      <c r="Q571" s="80"/>
      <c r="R571" s="80"/>
      <c r="S571" s="80"/>
      <c r="T571" s="80"/>
      <c r="U571" s="80"/>
      <c r="V571" s="80"/>
      <c r="W571" s="80"/>
      <c r="X571" s="80"/>
      <c r="Y571" s="80"/>
      <c r="Z571" s="80"/>
    </row>
    <row r="572">
      <c r="A572" s="87"/>
      <c r="B572" s="82"/>
      <c r="C572" s="82"/>
      <c r="D572" s="87"/>
      <c r="E572" s="87"/>
      <c r="F572" s="87"/>
      <c r="G572" s="87"/>
      <c r="H572" s="83"/>
      <c r="I572" s="83"/>
      <c r="J572" s="82"/>
      <c r="K572" s="89"/>
      <c r="L572" s="87"/>
      <c r="M572" s="80"/>
      <c r="N572" s="80"/>
      <c r="O572" s="80"/>
      <c r="P572" s="80"/>
      <c r="Q572" s="80"/>
      <c r="R572" s="80"/>
      <c r="S572" s="80"/>
      <c r="T572" s="80"/>
      <c r="U572" s="80"/>
      <c r="V572" s="80"/>
      <c r="W572" s="80"/>
      <c r="X572" s="80"/>
      <c r="Y572" s="80"/>
      <c r="Z572" s="80"/>
    </row>
    <row r="573">
      <c r="A573" s="87"/>
      <c r="B573" s="82"/>
      <c r="C573" s="82"/>
      <c r="D573" s="87"/>
      <c r="E573" s="87"/>
      <c r="F573" s="87"/>
      <c r="G573" s="87"/>
      <c r="H573" s="83"/>
      <c r="I573" s="83"/>
      <c r="J573" s="82"/>
      <c r="K573" s="89"/>
      <c r="L573" s="87"/>
      <c r="M573" s="80"/>
      <c r="N573" s="80"/>
      <c r="O573" s="80"/>
      <c r="P573" s="80"/>
      <c r="Q573" s="80"/>
      <c r="R573" s="80"/>
      <c r="S573" s="80"/>
      <c r="T573" s="80"/>
      <c r="U573" s="80"/>
      <c r="V573" s="80"/>
      <c r="W573" s="80"/>
      <c r="X573" s="80"/>
      <c r="Y573" s="80"/>
      <c r="Z573" s="80"/>
    </row>
    <row r="574">
      <c r="A574" s="87"/>
      <c r="B574" s="82"/>
      <c r="C574" s="82"/>
      <c r="D574" s="87"/>
      <c r="E574" s="87"/>
      <c r="F574" s="87"/>
      <c r="G574" s="87"/>
      <c r="H574" s="83"/>
      <c r="I574" s="83"/>
      <c r="J574" s="82"/>
      <c r="K574" s="89"/>
      <c r="L574" s="87"/>
      <c r="M574" s="80"/>
      <c r="N574" s="80"/>
      <c r="O574" s="80"/>
      <c r="P574" s="80"/>
      <c r="Q574" s="80"/>
      <c r="R574" s="80"/>
      <c r="S574" s="80"/>
      <c r="T574" s="80"/>
      <c r="U574" s="80"/>
      <c r="V574" s="80"/>
      <c r="W574" s="80"/>
      <c r="X574" s="80"/>
      <c r="Y574" s="80"/>
      <c r="Z574" s="80"/>
    </row>
    <row r="575">
      <c r="A575" s="87"/>
      <c r="B575" s="82"/>
      <c r="C575" s="82"/>
      <c r="D575" s="87"/>
      <c r="E575" s="87"/>
      <c r="F575" s="87"/>
      <c r="G575" s="87"/>
      <c r="H575" s="83"/>
      <c r="I575" s="83"/>
      <c r="J575" s="82"/>
      <c r="K575" s="89"/>
      <c r="L575" s="87"/>
      <c r="M575" s="80"/>
      <c r="N575" s="80"/>
      <c r="O575" s="80"/>
      <c r="P575" s="80"/>
      <c r="Q575" s="80"/>
      <c r="R575" s="80"/>
      <c r="S575" s="80"/>
      <c r="T575" s="80"/>
      <c r="U575" s="80"/>
      <c r="V575" s="80"/>
      <c r="W575" s="80"/>
      <c r="X575" s="80"/>
      <c r="Y575" s="80"/>
      <c r="Z575" s="80"/>
    </row>
    <row r="576">
      <c r="A576" s="87"/>
      <c r="B576" s="82"/>
      <c r="C576" s="82"/>
      <c r="D576" s="87"/>
      <c r="E576" s="87"/>
      <c r="F576" s="87"/>
      <c r="G576" s="87"/>
      <c r="H576" s="83"/>
      <c r="I576" s="83"/>
      <c r="J576" s="82"/>
      <c r="K576" s="89"/>
      <c r="L576" s="87"/>
      <c r="M576" s="80"/>
      <c r="N576" s="80"/>
      <c r="O576" s="80"/>
      <c r="P576" s="80"/>
      <c r="Q576" s="80"/>
      <c r="R576" s="80"/>
      <c r="S576" s="80"/>
      <c r="T576" s="80"/>
      <c r="U576" s="80"/>
      <c r="V576" s="80"/>
      <c r="W576" s="80"/>
      <c r="X576" s="80"/>
      <c r="Y576" s="80"/>
      <c r="Z576" s="80"/>
    </row>
    <row r="577">
      <c r="A577" s="87"/>
      <c r="B577" s="82"/>
      <c r="C577" s="82"/>
      <c r="D577" s="87"/>
      <c r="E577" s="87"/>
      <c r="F577" s="87"/>
      <c r="G577" s="87"/>
      <c r="H577" s="83"/>
      <c r="I577" s="83"/>
      <c r="J577" s="82"/>
      <c r="K577" s="89"/>
      <c r="L577" s="87"/>
      <c r="M577" s="80"/>
      <c r="N577" s="80"/>
      <c r="O577" s="80"/>
      <c r="P577" s="80"/>
      <c r="Q577" s="80"/>
      <c r="R577" s="80"/>
      <c r="S577" s="80"/>
      <c r="T577" s="80"/>
      <c r="U577" s="80"/>
      <c r="V577" s="80"/>
      <c r="W577" s="80"/>
      <c r="X577" s="80"/>
      <c r="Y577" s="80"/>
      <c r="Z577" s="80"/>
    </row>
    <row r="578">
      <c r="A578" s="87"/>
      <c r="B578" s="82"/>
      <c r="C578" s="82"/>
      <c r="D578" s="87"/>
      <c r="E578" s="87"/>
      <c r="F578" s="87"/>
      <c r="G578" s="87"/>
      <c r="H578" s="83"/>
      <c r="I578" s="83"/>
      <c r="J578" s="82"/>
      <c r="K578" s="89"/>
      <c r="L578" s="87"/>
      <c r="M578" s="80"/>
      <c r="N578" s="80"/>
      <c r="O578" s="80"/>
      <c r="P578" s="80"/>
      <c r="Q578" s="80"/>
      <c r="R578" s="80"/>
      <c r="S578" s="80"/>
      <c r="T578" s="80"/>
      <c r="U578" s="80"/>
      <c r="V578" s="80"/>
      <c r="W578" s="80"/>
      <c r="X578" s="80"/>
      <c r="Y578" s="80"/>
      <c r="Z578" s="80"/>
    </row>
    <row r="579">
      <c r="A579" s="87"/>
      <c r="B579" s="82"/>
      <c r="C579" s="82"/>
      <c r="D579" s="87"/>
      <c r="E579" s="87"/>
      <c r="F579" s="87"/>
      <c r="G579" s="87"/>
      <c r="H579" s="83"/>
      <c r="I579" s="83"/>
      <c r="J579" s="82"/>
      <c r="K579" s="89"/>
      <c r="L579" s="87"/>
      <c r="M579" s="80"/>
      <c r="N579" s="80"/>
      <c r="O579" s="80"/>
      <c r="P579" s="80"/>
      <c r="Q579" s="80"/>
      <c r="R579" s="80"/>
      <c r="S579" s="80"/>
      <c r="T579" s="80"/>
      <c r="U579" s="80"/>
      <c r="V579" s="80"/>
      <c r="W579" s="80"/>
      <c r="X579" s="80"/>
      <c r="Y579" s="80"/>
      <c r="Z579" s="80"/>
    </row>
    <row r="580">
      <c r="A580" s="87"/>
      <c r="B580" s="82"/>
      <c r="C580" s="82"/>
      <c r="D580" s="87"/>
      <c r="E580" s="87"/>
      <c r="F580" s="87"/>
      <c r="G580" s="87"/>
      <c r="H580" s="83"/>
      <c r="I580" s="83"/>
      <c r="J580" s="82"/>
      <c r="K580" s="89"/>
      <c r="L580" s="87"/>
      <c r="M580" s="80"/>
      <c r="N580" s="80"/>
      <c r="O580" s="80"/>
      <c r="P580" s="80"/>
      <c r="Q580" s="80"/>
      <c r="R580" s="80"/>
      <c r="S580" s="80"/>
      <c r="T580" s="80"/>
      <c r="U580" s="80"/>
      <c r="V580" s="80"/>
      <c r="W580" s="80"/>
      <c r="X580" s="80"/>
      <c r="Y580" s="80"/>
      <c r="Z580" s="80"/>
    </row>
    <row r="581">
      <c r="A581" s="87"/>
      <c r="B581" s="82"/>
      <c r="C581" s="82"/>
      <c r="D581" s="87"/>
      <c r="E581" s="87"/>
      <c r="F581" s="87"/>
      <c r="G581" s="87"/>
      <c r="H581" s="83"/>
      <c r="I581" s="83"/>
      <c r="J581" s="82"/>
      <c r="K581" s="89"/>
      <c r="L581" s="87"/>
      <c r="M581" s="80"/>
      <c r="N581" s="80"/>
      <c r="O581" s="80"/>
      <c r="P581" s="80"/>
      <c r="Q581" s="80"/>
      <c r="R581" s="80"/>
      <c r="S581" s="80"/>
      <c r="T581" s="80"/>
      <c r="U581" s="80"/>
      <c r="V581" s="80"/>
      <c r="W581" s="80"/>
      <c r="X581" s="80"/>
      <c r="Y581" s="80"/>
      <c r="Z581" s="80"/>
    </row>
    <row r="582">
      <c r="A582" s="87"/>
      <c r="B582" s="82"/>
      <c r="C582" s="82"/>
      <c r="D582" s="87"/>
      <c r="E582" s="87"/>
      <c r="F582" s="87"/>
      <c r="G582" s="87"/>
      <c r="H582" s="83"/>
      <c r="I582" s="83"/>
      <c r="J582" s="82"/>
      <c r="K582" s="89"/>
      <c r="L582" s="87"/>
      <c r="M582" s="80"/>
      <c r="N582" s="80"/>
      <c r="O582" s="80"/>
      <c r="P582" s="80"/>
      <c r="Q582" s="80"/>
      <c r="R582" s="80"/>
      <c r="S582" s="80"/>
      <c r="T582" s="80"/>
      <c r="U582" s="80"/>
      <c r="V582" s="80"/>
      <c r="W582" s="80"/>
      <c r="X582" s="80"/>
      <c r="Y582" s="80"/>
      <c r="Z582" s="80"/>
    </row>
    <row r="583">
      <c r="A583" s="87"/>
      <c r="B583" s="82"/>
      <c r="C583" s="82"/>
      <c r="D583" s="87"/>
      <c r="E583" s="87"/>
      <c r="F583" s="87"/>
      <c r="G583" s="87"/>
      <c r="H583" s="83"/>
      <c r="I583" s="83"/>
      <c r="J583" s="82"/>
      <c r="K583" s="89"/>
      <c r="L583" s="87"/>
      <c r="M583" s="80"/>
      <c r="N583" s="80"/>
      <c r="O583" s="80"/>
      <c r="P583" s="80"/>
      <c r="Q583" s="80"/>
      <c r="R583" s="80"/>
      <c r="S583" s="80"/>
      <c r="T583" s="80"/>
      <c r="U583" s="80"/>
      <c r="V583" s="80"/>
      <c r="W583" s="80"/>
      <c r="X583" s="80"/>
      <c r="Y583" s="80"/>
      <c r="Z583" s="80"/>
    </row>
    <row r="584">
      <c r="A584" s="87"/>
      <c r="B584" s="82"/>
      <c r="C584" s="82"/>
      <c r="D584" s="87"/>
      <c r="E584" s="87"/>
      <c r="F584" s="87"/>
      <c r="G584" s="87"/>
      <c r="H584" s="83"/>
      <c r="I584" s="83"/>
      <c r="J584" s="82"/>
      <c r="K584" s="89"/>
      <c r="L584" s="87"/>
      <c r="M584" s="80"/>
      <c r="N584" s="80"/>
      <c r="O584" s="80"/>
      <c r="P584" s="80"/>
      <c r="Q584" s="80"/>
      <c r="R584" s="80"/>
      <c r="S584" s="80"/>
      <c r="T584" s="80"/>
      <c r="U584" s="80"/>
      <c r="V584" s="80"/>
      <c r="W584" s="80"/>
      <c r="X584" s="80"/>
      <c r="Y584" s="80"/>
      <c r="Z584" s="80"/>
    </row>
    <row r="585">
      <c r="A585" s="87"/>
      <c r="B585" s="82"/>
      <c r="C585" s="82"/>
      <c r="D585" s="87"/>
      <c r="E585" s="87"/>
      <c r="F585" s="87"/>
      <c r="G585" s="87"/>
      <c r="H585" s="83"/>
      <c r="I585" s="83"/>
      <c r="J585" s="82"/>
      <c r="K585" s="89"/>
      <c r="L585" s="87"/>
      <c r="M585" s="80"/>
      <c r="N585" s="80"/>
      <c r="O585" s="80"/>
      <c r="P585" s="80"/>
      <c r="Q585" s="80"/>
      <c r="R585" s="80"/>
      <c r="S585" s="80"/>
      <c r="T585" s="80"/>
      <c r="U585" s="80"/>
      <c r="V585" s="80"/>
      <c r="W585" s="80"/>
      <c r="X585" s="80"/>
      <c r="Y585" s="80"/>
      <c r="Z585" s="80"/>
    </row>
    <row r="586">
      <c r="A586" s="87"/>
      <c r="B586" s="82"/>
      <c r="C586" s="82"/>
      <c r="D586" s="87"/>
      <c r="E586" s="87"/>
      <c r="F586" s="87"/>
      <c r="G586" s="87"/>
      <c r="H586" s="83"/>
      <c r="I586" s="83"/>
      <c r="J586" s="82"/>
      <c r="K586" s="89"/>
      <c r="L586" s="87"/>
      <c r="M586" s="80"/>
      <c r="N586" s="80"/>
      <c r="O586" s="80"/>
      <c r="P586" s="80"/>
      <c r="Q586" s="80"/>
      <c r="R586" s="80"/>
      <c r="S586" s="80"/>
      <c r="T586" s="80"/>
      <c r="U586" s="80"/>
      <c r="V586" s="80"/>
      <c r="W586" s="80"/>
      <c r="X586" s="80"/>
      <c r="Y586" s="80"/>
      <c r="Z586" s="80"/>
    </row>
    <row r="587">
      <c r="A587" s="87"/>
      <c r="B587" s="82"/>
      <c r="C587" s="82"/>
      <c r="D587" s="87"/>
      <c r="E587" s="87"/>
      <c r="F587" s="87"/>
      <c r="G587" s="87"/>
      <c r="H587" s="83"/>
      <c r="I587" s="83"/>
      <c r="J587" s="82"/>
      <c r="K587" s="89"/>
      <c r="L587" s="87"/>
      <c r="M587" s="80"/>
      <c r="N587" s="80"/>
      <c r="O587" s="80"/>
      <c r="P587" s="80"/>
      <c r="Q587" s="80"/>
      <c r="R587" s="80"/>
      <c r="S587" s="80"/>
      <c r="T587" s="80"/>
      <c r="U587" s="80"/>
      <c r="V587" s="80"/>
      <c r="W587" s="80"/>
      <c r="X587" s="80"/>
      <c r="Y587" s="80"/>
      <c r="Z587" s="80"/>
    </row>
    <row r="588">
      <c r="A588" s="87"/>
      <c r="B588" s="82"/>
      <c r="C588" s="82"/>
      <c r="D588" s="87"/>
      <c r="E588" s="87"/>
      <c r="F588" s="87"/>
      <c r="G588" s="87"/>
      <c r="H588" s="83"/>
      <c r="I588" s="83"/>
      <c r="J588" s="82"/>
      <c r="K588" s="89"/>
      <c r="L588" s="87"/>
      <c r="M588" s="80"/>
      <c r="N588" s="80"/>
      <c r="O588" s="80"/>
      <c r="P588" s="80"/>
      <c r="Q588" s="80"/>
      <c r="R588" s="80"/>
      <c r="S588" s="80"/>
      <c r="T588" s="80"/>
      <c r="U588" s="80"/>
      <c r="V588" s="80"/>
      <c r="W588" s="80"/>
      <c r="X588" s="80"/>
      <c r="Y588" s="80"/>
      <c r="Z588" s="80"/>
    </row>
    <row r="589">
      <c r="A589" s="87"/>
      <c r="B589" s="82"/>
      <c r="C589" s="82"/>
      <c r="D589" s="87"/>
      <c r="E589" s="87"/>
      <c r="F589" s="87"/>
      <c r="G589" s="87"/>
      <c r="H589" s="83"/>
      <c r="I589" s="83"/>
      <c r="J589" s="82"/>
      <c r="K589" s="89"/>
      <c r="L589" s="87"/>
      <c r="M589" s="80"/>
      <c r="N589" s="80"/>
      <c r="O589" s="80"/>
      <c r="P589" s="80"/>
      <c r="Q589" s="80"/>
      <c r="R589" s="80"/>
      <c r="S589" s="80"/>
      <c r="T589" s="80"/>
      <c r="U589" s="80"/>
      <c r="V589" s="80"/>
      <c r="W589" s="80"/>
      <c r="X589" s="80"/>
      <c r="Y589" s="80"/>
      <c r="Z589" s="80"/>
    </row>
    <row r="590">
      <c r="A590" s="87"/>
      <c r="B590" s="82"/>
      <c r="C590" s="82"/>
      <c r="D590" s="87"/>
      <c r="E590" s="87"/>
      <c r="F590" s="87"/>
      <c r="G590" s="87"/>
      <c r="H590" s="83"/>
      <c r="I590" s="83"/>
      <c r="J590" s="82"/>
      <c r="K590" s="89"/>
      <c r="L590" s="87"/>
      <c r="M590" s="80"/>
      <c r="N590" s="80"/>
      <c r="O590" s="80"/>
      <c r="P590" s="80"/>
      <c r="Q590" s="80"/>
      <c r="R590" s="80"/>
      <c r="S590" s="80"/>
      <c r="T590" s="80"/>
      <c r="U590" s="80"/>
      <c r="V590" s="80"/>
      <c r="W590" s="80"/>
      <c r="X590" s="80"/>
      <c r="Y590" s="80"/>
      <c r="Z590" s="80"/>
    </row>
    <row r="591">
      <c r="A591" s="87"/>
      <c r="B591" s="82"/>
      <c r="C591" s="82"/>
      <c r="D591" s="87"/>
      <c r="E591" s="87"/>
      <c r="F591" s="87"/>
      <c r="G591" s="87"/>
      <c r="H591" s="83"/>
      <c r="I591" s="83"/>
      <c r="J591" s="82"/>
      <c r="K591" s="89"/>
      <c r="L591" s="87"/>
      <c r="M591" s="80"/>
      <c r="N591" s="80"/>
      <c r="O591" s="80"/>
      <c r="P591" s="80"/>
      <c r="Q591" s="80"/>
      <c r="R591" s="80"/>
      <c r="S591" s="80"/>
      <c r="T591" s="80"/>
      <c r="U591" s="80"/>
      <c r="V591" s="80"/>
      <c r="W591" s="80"/>
      <c r="X591" s="80"/>
      <c r="Y591" s="80"/>
      <c r="Z591" s="80"/>
    </row>
    <row r="592">
      <c r="A592" s="87"/>
      <c r="B592" s="82"/>
      <c r="C592" s="82"/>
      <c r="D592" s="87"/>
      <c r="E592" s="87"/>
      <c r="F592" s="87"/>
      <c r="G592" s="87"/>
      <c r="H592" s="83"/>
      <c r="I592" s="83"/>
      <c r="J592" s="82"/>
      <c r="K592" s="89"/>
      <c r="L592" s="87"/>
      <c r="M592" s="80"/>
      <c r="N592" s="80"/>
      <c r="O592" s="80"/>
      <c r="P592" s="80"/>
      <c r="Q592" s="80"/>
      <c r="R592" s="80"/>
      <c r="S592" s="80"/>
      <c r="T592" s="80"/>
      <c r="U592" s="80"/>
      <c r="V592" s="80"/>
      <c r="W592" s="80"/>
      <c r="X592" s="80"/>
      <c r="Y592" s="80"/>
      <c r="Z592" s="80"/>
    </row>
    <row r="593">
      <c r="A593" s="87"/>
      <c r="B593" s="82"/>
      <c r="C593" s="82"/>
      <c r="D593" s="87"/>
      <c r="E593" s="87"/>
      <c r="F593" s="87"/>
      <c r="G593" s="87"/>
      <c r="H593" s="83"/>
      <c r="I593" s="83"/>
      <c r="J593" s="82"/>
      <c r="K593" s="89"/>
      <c r="L593" s="87"/>
      <c r="M593" s="80"/>
      <c r="N593" s="80"/>
      <c r="O593" s="80"/>
      <c r="P593" s="80"/>
      <c r="Q593" s="80"/>
      <c r="R593" s="80"/>
      <c r="S593" s="80"/>
      <c r="T593" s="80"/>
      <c r="U593" s="80"/>
      <c r="V593" s="80"/>
      <c r="W593" s="80"/>
      <c r="X593" s="80"/>
      <c r="Y593" s="80"/>
      <c r="Z593" s="80"/>
    </row>
    <row r="594">
      <c r="A594" s="87"/>
      <c r="B594" s="82"/>
      <c r="C594" s="82"/>
      <c r="D594" s="87"/>
      <c r="E594" s="87"/>
      <c r="F594" s="87"/>
      <c r="G594" s="87"/>
      <c r="H594" s="83"/>
      <c r="I594" s="83"/>
      <c r="J594" s="82"/>
      <c r="K594" s="89"/>
      <c r="L594" s="87"/>
      <c r="M594" s="80"/>
      <c r="N594" s="80"/>
      <c r="O594" s="80"/>
      <c r="P594" s="80"/>
      <c r="Q594" s="80"/>
      <c r="R594" s="80"/>
      <c r="S594" s="80"/>
      <c r="T594" s="80"/>
      <c r="U594" s="80"/>
      <c r="V594" s="80"/>
      <c r="W594" s="80"/>
      <c r="X594" s="80"/>
      <c r="Y594" s="80"/>
      <c r="Z594" s="80"/>
    </row>
    <row r="595">
      <c r="A595" s="87"/>
      <c r="B595" s="82"/>
      <c r="C595" s="82"/>
      <c r="D595" s="87"/>
      <c r="E595" s="87"/>
      <c r="F595" s="87"/>
      <c r="G595" s="87"/>
      <c r="H595" s="83"/>
      <c r="I595" s="83"/>
      <c r="J595" s="82"/>
      <c r="K595" s="89"/>
      <c r="L595" s="87"/>
      <c r="M595" s="80"/>
      <c r="N595" s="80"/>
      <c r="O595" s="80"/>
      <c r="P595" s="80"/>
      <c r="Q595" s="80"/>
      <c r="R595" s="80"/>
      <c r="S595" s="80"/>
      <c r="T595" s="80"/>
      <c r="U595" s="80"/>
      <c r="V595" s="80"/>
      <c r="W595" s="80"/>
      <c r="X595" s="80"/>
      <c r="Y595" s="80"/>
      <c r="Z595" s="80"/>
    </row>
    <row r="596">
      <c r="A596" s="87"/>
      <c r="B596" s="82"/>
      <c r="C596" s="82"/>
      <c r="D596" s="87"/>
      <c r="E596" s="87"/>
      <c r="F596" s="87"/>
      <c r="G596" s="87"/>
      <c r="H596" s="83"/>
      <c r="I596" s="83"/>
      <c r="J596" s="82"/>
      <c r="K596" s="89"/>
      <c r="L596" s="87"/>
      <c r="M596" s="80"/>
      <c r="N596" s="80"/>
      <c r="O596" s="80"/>
      <c r="P596" s="80"/>
      <c r="Q596" s="80"/>
      <c r="R596" s="80"/>
      <c r="S596" s="80"/>
      <c r="T596" s="80"/>
      <c r="U596" s="80"/>
      <c r="V596" s="80"/>
      <c r="W596" s="80"/>
      <c r="X596" s="80"/>
      <c r="Y596" s="80"/>
      <c r="Z596" s="80"/>
    </row>
    <row r="597">
      <c r="A597" s="87"/>
      <c r="B597" s="82"/>
      <c r="C597" s="82"/>
      <c r="D597" s="87"/>
      <c r="E597" s="87"/>
      <c r="F597" s="87"/>
      <c r="G597" s="87"/>
      <c r="H597" s="83"/>
      <c r="I597" s="83"/>
      <c r="J597" s="82"/>
      <c r="K597" s="89"/>
      <c r="L597" s="87"/>
      <c r="M597" s="80"/>
      <c r="N597" s="80"/>
      <c r="O597" s="80"/>
      <c r="P597" s="80"/>
      <c r="Q597" s="80"/>
      <c r="R597" s="80"/>
      <c r="S597" s="80"/>
      <c r="T597" s="80"/>
      <c r="U597" s="80"/>
      <c r="V597" s="80"/>
      <c r="W597" s="80"/>
      <c r="X597" s="80"/>
      <c r="Y597" s="80"/>
      <c r="Z597" s="80"/>
    </row>
    <row r="598">
      <c r="A598" s="87"/>
      <c r="B598" s="82"/>
      <c r="C598" s="82"/>
      <c r="D598" s="87"/>
      <c r="E598" s="87"/>
      <c r="F598" s="87"/>
      <c r="G598" s="87"/>
      <c r="H598" s="83"/>
      <c r="I598" s="83"/>
      <c r="J598" s="82"/>
      <c r="K598" s="89"/>
      <c r="L598" s="87"/>
      <c r="M598" s="80"/>
      <c r="N598" s="80"/>
      <c r="O598" s="80"/>
      <c r="P598" s="80"/>
      <c r="Q598" s="80"/>
      <c r="R598" s="80"/>
      <c r="S598" s="80"/>
      <c r="T598" s="80"/>
      <c r="U598" s="80"/>
      <c r="V598" s="80"/>
      <c r="W598" s="80"/>
      <c r="X598" s="80"/>
      <c r="Y598" s="80"/>
      <c r="Z598" s="80"/>
    </row>
    <row r="599">
      <c r="A599" s="87"/>
      <c r="B599" s="82"/>
      <c r="C599" s="82"/>
      <c r="D599" s="87"/>
      <c r="E599" s="87"/>
      <c r="F599" s="87"/>
      <c r="G599" s="87"/>
      <c r="H599" s="83"/>
      <c r="I599" s="83"/>
      <c r="J599" s="82"/>
      <c r="K599" s="89"/>
      <c r="L599" s="87"/>
      <c r="M599" s="80"/>
      <c r="N599" s="80"/>
      <c r="O599" s="80"/>
      <c r="P599" s="80"/>
      <c r="Q599" s="80"/>
      <c r="R599" s="80"/>
      <c r="S599" s="80"/>
      <c r="T599" s="80"/>
      <c r="U599" s="80"/>
      <c r="V599" s="80"/>
      <c r="W599" s="80"/>
      <c r="X599" s="80"/>
      <c r="Y599" s="80"/>
      <c r="Z599" s="80"/>
    </row>
    <row r="600">
      <c r="A600" s="87"/>
      <c r="B600" s="82"/>
      <c r="C600" s="82"/>
      <c r="D600" s="87"/>
      <c r="E600" s="87"/>
      <c r="F600" s="87"/>
      <c r="G600" s="87"/>
      <c r="H600" s="83"/>
      <c r="I600" s="83"/>
      <c r="J600" s="82"/>
      <c r="K600" s="89"/>
      <c r="L600" s="87"/>
      <c r="M600" s="80"/>
      <c r="N600" s="80"/>
      <c r="O600" s="80"/>
      <c r="P600" s="80"/>
      <c r="Q600" s="80"/>
      <c r="R600" s="80"/>
      <c r="S600" s="80"/>
      <c r="T600" s="80"/>
      <c r="U600" s="80"/>
      <c r="V600" s="80"/>
      <c r="W600" s="80"/>
      <c r="X600" s="80"/>
      <c r="Y600" s="80"/>
      <c r="Z600" s="80"/>
    </row>
    <row r="601">
      <c r="A601" s="87"/>
      <c r="B601" s="82"/>
      <c r="C601" s="82"/>
      <c r="D601" s="87"/>
      <c r="E601" s="87"/>
      <c r="F601" s="87"/>
      <c r="G601" s="87"/>
      <c r="H601" s="83"/>
      <c r="I601" s="83"/>
      <c r="J601" s="82"/>
      <c r="K601" s="89"/>
      <c r="L601" s="87"/>
      <c r="M601" s="80"/>
      <c r="N601" s="80"/>
      <c r="O601" s="80"/>
      <c r="P601" s="80"/>
      <c r="Q601" s="80"/>
      <c r="R601" s="80"/>
      <c r="S601" s="80"/>
      <c r="T601" s="80"/>
      <c r="U601" s="80"/>
      <c r="V601" s="80"/>
      <c r="W601" s="80"/>
      <c r="X601" s="80"/>
      <c r="Y601" s="80"/>
      <c r="Z601" s="80"/>
    </row>
    <row r="602">
      <c r="A602" s="87"/>
      <c r="B602" s="82"/>
      <c r="C602" s="82"/>
      <c r="D602" s="87"/>
      <c r="E602" s="87"/>
      <c r="F602" s="87"/>
      <c r="G602" s="87"/>
      <c r="H602" s="83"/>
      <c r="I602" s="83"/>
      <c r="J602" s="82"/>
      <c r="K602" s="89"/>
      <c r="L602" s="87"/>
      <c r="M602" s="80"/>
      <c r="N602" s="80"/>
      <c r="O602" s="80"/>
      <c r="P602" s="80"/>
      <c r="Q602" s="80"/>
      <c r="R602" s="80"/>
      <c r="S602" s="80"/>
      <c r="T602" s="80"/>
      <c r="U602" s="80"/>
      <c r="V602" s="80"/>
      <c r="W602" s="80"/>
      <c r="X602" s="80"/>
      <c r="Y602" s="80"/>
      <c r="Z602" s="80"/>
    </row>
    <row r="603">
      <c r="A603" s="87"/>
      <c r="B603" s="82"/>
      <c r="C603" s="82"/>
      <c r="D603" s="87"/>
      <c r="E603" s="87"/>
      <c r="F603" s="87"/>
      <c r="G603" s="87"/>
      <c r="H603" s="83"/>
      <c r="I603" s="83"/>
      <c r="J603" s="82"/>
      <c r="K603" s="89"/>
      <c r="L603" s="87"/>
      <c r="M603" s="80"/>
      <c r="N603" s="80"/>
      <c r="O603" s="80"/>
      <c r="P603" s="80"/>
      <c r="Q603" s="80"/>
      <c r="R603" s="80"/>
      <c r="S603" s="80"/>
      <c r="T603" s="80"/>
      <c r="U603" s="80"/>
      <c r="V603" s="80"/>
      <c r="W603" s="80"/>
      <c r="X603" s="80"/>
      <c r="Y603" s="80"/>
      <c r="Z603" s="80"/>
    </row>
    <row r="604">
      <c r="A604" s="87"/>
      <c r="B604" s="82"/>
      <c r="C604" s="82"/>
      <c r="D604" s="87"/>
      <c r="E604" s="87"/>
      <c r="F604" s="87"/>
      <c r="G604" s="87"/>
      <c r="H604" s="83"/>
      <c r="I604" s="83"/>
      <c r="J604" s="82"/>
      <c r="K604" s="89"/>
      <c r="L604" s="87"/>
      <c r="M604" s="80"/>
      <c r="N604" s="80"/>
      <c r="O604" s="80"/>
      <c r="P604" s="80"/>
      <c r="Q604" s="80"/>
      <c r="R604" s="80"/>
      <c r="S604" s="80"/>
      <c r="T604" s="80"/>
      <c r="U604" s="80"/>
      <c r="V604" s="80"/>
      <c r="W604" s="80"/>
      <c r="X604" s="80"/>
      <c r="Y604" s="80"/>
      <c r="Z604" s="80"/>
    </row>
    <row r="605">
      <c r="A605" s="87"/>
      <c r="B605" s="82"/>
      <c r="C605" s="82"/>
      <c r="D605" s="87"/>
      <c r="E605" s="87"/>
      <c r="F605" s="87"/>
      <c r="G605" s="87"/>
      <c r="H605" s="83"/>
      <c r="I605" s="83"/>
      <c r="J605" s="82"/>
      <c r="K605" s="89"/>
      <c r="L605" s="87"/>
      <c r="M605" s="80"/>
      <c r="N605" s="80"/>
      <c r="O605" s="80"/>
      <c r="P605" s="80"/>
      <c r="Q605" s="80"/>
      <c r="R605" s="80"/>
      <c r="S605" s="80"/>
      <c r="T605" s="80"/>
      <c r="U605" s="80"/>
      <c r="V605" s="80"/>
      <c r="W605" s="80"/>
      <c r="X605" s="80"/>
      <c r="Y605" s="80"/>
      <c r="Z605" s="80"/>
    </row>
    <row r="606">
      <c r="A606" s="87"/>
      <c r="B606" s="82"/>
      <c r="C606" s="82"/>
      <c r="D606" s="87"/>
      <c r="E606" s="87"/>
      <c r="F606" s="87"/>
      <c r="G606" s="87"/>
      <c r="H606" s="83"/>
      <c r="I606" s="83"/>
      <c r="J606" s="82"/>
      <c r="K606" s="89"/>
      <c r="L606" s="87"/>
      <c r="M606" s="80"/>
      <c r="N606" s="80"/>
      <c r="O606" s="80"/>
      <c r="P606" s="80"/>
      <c r="Q606" s="80"/>
      <c r="R606" s="80"/>
      <c r="S606" s="80"/>
      <c r="T606" s="80"/>
      <c r="U606" s="80"/>
      <c r="V606" s="80"/>
      <c r="W606" s="80"/>
      <c r="X606" s="80"/>
      <c r="Y606" s="80"/>
      <c r="Z606" s="80"/>
    </row>
    <row r="607">
      <c r="A607" s="87"/>
      <c r="B607" s="82"/>
      <c r="C607" s="82"/>
      <c r="D607" s="87"/>
      <c r="E607" s="87"/>
      <c r="F607" s="87"/>
      <c r="G607" s="87"/>
      <c r="H607" s="83"/>
      <c r="I607" s="83"/>
      <c r="J607" s="82"/>
      <c r="K607" s="89"/>
      <c r="L607" s="87"/>
      <c r="M607" s="80"/>
      <c r="N607" s="80"/>
      <c r="O607" s="80"/>
      <c r="P607" s="80"/>
      <c r="Q607" s="80"/>
      <c r="R607" s="80"/>
      <c r="S607" s="80"/>
      <c r="T607" s="80"/>
      <c r="U607" s="80"/>
      <c r="V607" s="80"/>
      <c r="W607" s="80"/>
      <c r="X607" s="80"/>
      <c r="Y607" s="80"/>
      <c r="Z607" s="80"/>
    </row>
    <row r="608">
      <c r="A608" s="87"/>
      <c r="B608" s="82"/>
      <c r="C608" s="82"/>
      <c r="D608" s="87"/>
      <c r="E608" s="87"/>
      <c r="F608" s="87"/>
      <c r="G608" s="87"/>
      <c r="H608" s="83"/>
      <c r="I608" s="83"/>
      <c r="J608" s="82"/>
      <c r="K608" s="89"/>
      <c r="L608" s="87"/>
      <c r="M608" s="80"/>
      <c r="N608" s="80"/>
      <c r="O608" s="80"/>
      <c r="P608" s="80"/>
      <c r="Q608" s="80"/>
      <c r="R608" s="80"/>
      <c r="S608" s="80"/>
      <c r="T608" s="80"/>
      <c r="U608" s="80"/>
      <c r="V608" s="80"/>
      <c r="W608" s="80"/>
      <c r="X608" s="80"/>
      <c r="Y608" s="80"/>
      <c r="Z608" s="80"/>
    </row>
    <row r="609">
      <c r="A609" s="87"/>
      <c r="B609" s="82"/>
      <c r="C609" s="82"/>
      <c r="D609" s="87"/>
      <c r="E609" s="87"/>
      <c r="F609" s="87"/>
      <c r="G609" s="87"/>
      <c r="H609" s="83"/>
      <c r="I609" s="83"/>
      <c r="J609" s="82"/>
      <c r="K609" s="89"/>
      <c r="L609" s="87"/>
      <c r="M609" s="80"/>
      <c r="N609" s="80"/>
      <c r="O609" s="80"/>
      <c r="P609" s="80"/>
      <c r="Q609" s="80"/>
      <c r="R609" s="80"/>
      <c r="S609" s="80"/>
      <c r="T609" s="80"/>
      <c r="U609" s="80"/>
      <c r="V609" s="80"/>
      <c r="W609" s="80"/>
      <c r="X609" s="80"/>
      <c r="Y609" s="80"/>
      <c r="Z609" s="80"/>
    </row>
    <row r="610">
      <c r="A610" s="87"/>
      <c r="B610" s="82"/>
      <c r="C610" s="82"/>
      <c r="D610" s="87"/>
      <c r="E610" s="87"/>
      <c r="F610" s="87"/>
      <c r="G610" s="87"/>
      <c r="H610" s="83"/>
      <c r="I610" s="83"/>
      <c r="J610" s="82"/>
      <c r="K610" s="89"/>
      <c r="L610" s="87"/>
      <c r="M610" s="80"/>
      <c r="N610" s="80"/>
      <c r="O610" s="80"/>
      <c r="P610" s="80"/>
      <c r="Q610" s="80"/>
      <c r="R610" s="80"/>
      <c r="S610" s="80"/>
      <c r="T610" s="80"/>
      <c r="U610" s="80"/>
      <c r="V610" s="80"/>
      <c r="W610" s="80"/>
      <c r="X610" s="80"/>
      <c r="Y610" s="80"/>
      <c r="Z610" s="80"/>
    </row>
    <row r="611">
      <c r="A611" s="87"/>
      <c r="B611" s="82"/>
      <c r="C611" s="82"/>
      <c r="D611" s="87"/>
      <c r="E611" s="87"/>
      <c r="F611" s="87"/>
      <c r="G611" s="87"/>
      <c r="H611" s="83"/>
      <c r="I611" s="83"/>
      <c r="J611" s="82"/>
      <c r="K611" s="89"/>
      <c r="L611" s="87"/>
      <c r="M611" s="80"/>
      <c r="N611" s="80"/>
      <c r="O611" s="80"/>
      <c r="P611" s="80"/>
      <c r="Q611" s="80"/>
      <c r="R611" s="80"/>
      <c r="S611" s="80"/>
      <c r="T611" s="80"/>
      <c r="U611" s="80"/>
      <c r="V611" s="80"/>
      <c r="W611" s="80"/>
      <c r="X611" s="80"/>
      <c r="Y611" s="80"/>
      <c r="Z611" s="80"/>
    </row>
    <row r="612">
      <c r="A612" s="87"/>
      <c r="B612" s="82"/>
      <c r="C612" s="82"/>
      <c r="D612" s="87"/>
      <c r="E612" s="87"/>
      <c r="F612" s="87"/>
      <c r="G612" s="87"/>
      <c r="H612" s="83"/>
      <c r="I612" s="83"/>
      <c r="J612" s="82"/>
      <c r="K612" s="89"/>
      <c r="L612" s="87"/>
      <c r="M612" s="80"/>
      <c r="N612" s="80"/>
      <c r="O612" s="80"/>
      <c r="P612" s="80"/>
      <c r="Q612" s="80"/>
      <c r="R612" s="80"/>
      <c r="S612" s="80"/>
      <c r="T612" s="80"/>
      <c r="U612" s="80"/>
      <c r="V612" s="80"/>
      <c r="W612" s="80"/>
      <c r="X612" s="80"/>
      <c r="Y612" s="80"/>
      <c r="Z612" s="80"/>
    </row>
    <row r="613">
      <c r="A613" s="87"/>
      <c r="B613" s="82"/>
      <c r="C613" s="82"/>
      <c r="D613" s="87"/>
      <c r="E613" s="87"/>
      <c r="F613" s="87"/>
      <c r="G613" s="87"/>
      <c r="H613" s="83"/>
      <c r="I613" s="83"/>
      <c r="J613" s="82"/>
      <c r="K613" s="89"/>
      <c r="L613" s="87"/>
      <c r="M613" s="80"/>
      <c r="N613" s="80"/>
      <c r="O613" s="80"/>
      <c r="P613" s="80"/>
      <c r="Q613" s="80"/>
      <c r="R613" s="80"/>
      <c r="S613" s="80"/>
      <c r="T613" s="80"/>
      <c r="U613" s="80"/>
      <c r="V613" s="80"/>
      <c r="W613" s="80"/>
      <c r="X613" s="80"/>
      <c r="Y613" s="80"/>
      <c r="Z613" s="80"/>
    </row>
    <row r="614">
      <c r="A614" s="87"/>
      <c r="B614" s="82"/>
      <c r="C614" s="82"/>
      <c r="D614" s="87"/>
      <c r="E614" s="87"/>
      <c r="F614" s="87"/>
      <c r="G614" s="87"/>
      <c r="H614" s="83"/>
      <c r="I614" s="83"/>
      <c r="J614" s="82"/>
      <c r="K614" s="89"/>
      <c r="L614" s="87"/>
      <c r="M614" s="80"/>
      <c r="N614" s="80"/>
      <c r="O614" s="80"/>
      <c r="P614" s="80"/>
      <c r="Q614" s="80"/>
      <c r="R614" s="80"/>
      <c r="S614" s="80"/>
      <c r="T614" s="80"/>
      <c r="U614" s="80"/>
      <c r="V614" s="80"/>
      <c r="W614" s="80"/>
      <c r="X614" s="80"/>
      <c r="Y614" s="80"/>
      <c r="Z614" s="80"/>
    </row>
    <row r="615">
      <c r="A615" s="87"/>
      <c r="B615" s="82"/>
      <c r="C615" s="82"/>
      <c r="D615" s="87"/>
      <c r="E615" s="87"/>
      <c r="F615" s="87"/>
      <c r="G615" s="87"/>
      <c r="H615" s="83"/>
      <c r="I615" s="83"/>
      <c r="J615" s="82"/>
      <c r="K615" s="89"/>
      <c r="L615" s="87"/>
      <c r="M615" s="80"/>
      <c r="N615" s="80"/>
      <c r="O615" s="80"/>
      <c r="P615" s="80"/>
      <c r="Q615" s="80"/>
      <c r="R615" s="80"/>
      <c r="S615" s="80"/>
      <c r="T615" s="80"/>
      <c r="U615" s="80"/>
      <c r="V615" s="80"/>
      <c r="W615" s="80"/>
      <c r="X615" s="80"/>
      <c r="Y615" s="80"/>
      <c r="Z615" s="80"/>
    </row>
    <row r="616">
      <c r="A616" s="87"/>
      <c r="B616" s="82"/>
      <c r="C616" s="82"/>
      <c r="D616" s="87"/>
      <c r="E616" s="87"/>
      <c r="F616" s="87"/>
      <c r="G616" s="87"/>
      <c r="H616" s="83"/>
      <c r="I616" s="83"/>
      <c r="J616" s="82"/>
      <c r="K616" s="89"/>
      <c r="L616" s="87"/>
      <c r="M616" s="80"/>
      <c r="N616" s="80"/>
      <c r="O616" s="80"/>
      <c r="P616" s="80"/>
      <c r="Q616" s="80"/>
      <c r="R616" s="80"/>
      <c r="S616" s="80"/>
      <c r="T616" s="80"/>
      <c r="U616" s="80"/>
      <c r="V616" s="80"/>
      <c r="W616" s="80"/>
      <c r="X616" s="80"/>
      <c r="Y616" s="80"/>
      <c r="Z616" s="80"/>
    </row>
    <row r="617">
      <c r="A617" s="87"/>
      <c r="B617" s="82"/>
      <c r="C617" s="82"/>
      <c r="D617" s="87"/>
      <c r="E617" s="87"/>
      <c r="F617" s="87"/>
      <c r="G617" s="87"/>
      <c r="H617" s="83"/>
      <c r="I617" s="83"/>
      <c r="J617" s="82"/>
      <c r="K617" s="89"/>
      <c r="L617" s="87"/>
      <c r="M617" s="80"/>
      <c r="N617" s="80"/>
      <c r="O617" s="80"/>
      <c r="P617" s="80"/>
      <c r="Q617" s="80"/>
      <c r="R617" s="80"/>
      <c r="S617" s="80"/>
      <c r="T617" s="80"/>
      <c r="U617" s="80"/>
      <c r="V617" s="80"/>
      <c r="W617" s="80"/>
      <c r="X617" s="80"/>
      <c r="Y617" s="80"/>
      <c r="Z617" s="80"/>
    </row>
    <row r="618">
      <c r="A618" s="87"/>
      <c r="B618" s="82"/>
      <c r="C618" s="82"/>
      <c r="D618" s="87"/>
      <c r="E618" s="87"/>
      <c r="F618" s="87"/>
      <c r="G618" s="87"/>
      <c r="H618" s="83"/>
      <c r="I618" s="83"/>
      <c r="J618" s="82"/>
      <c r="K618" s="89"/>
      <c r="L618" s="87"/>
      <c r="M618" s="80"/>
      <c r="N618" s="80"/>
      <c r="O618" s="80"/>
      <c r="P618" s="80"/>
      <c r="Q618" s="80"/>
      <c r="R618" s="80"/>
      <c r="S618" s="80"/>
      <c r="T618" s="80"/>
      <c r="U618" s="80"/>
      <c r="V618" s="80"/>
      <c r="W618" s="80"/>
      <c r="X618" s="80"/>
      <c r="Y618" s="80"/>
      <c r="Z618" s="80"/>
    </row>
    <row r="619">
      <c r="A619" s="87"/>
      <c r="B619" s="82"/>
      <c r="C619" s="82"/>
      <c r="D619" s="87"/>
      <c r="E619" s="87"/>
      <c r="F619" s="87"/>
      <c r="G619" s="87"/>
      <c r="H619" s="83"/>
      <c r="I619" s="83"/>
      <c r="J619" s="82"/>
      <c r="K619" s="89"/>
      <c r="L619" s="87"/>
      <c r="M619" s="80"/>
      <c r="N619" s="80"/>
      <c r="O619" s="80"/>
      <c r="P619" s="80"/>
      <c r="Q619" s="80"/>
      <c r="R619" s="80"/>
      <c r="S619" s="80"/>
      <c r="T619" s="80"/>
      <c r="U619" s="80"/>
      <c r="V619" s="80"/>
      <c r="W619" s="80"/>
      <c r="X619" s="80"/>
      <c r="Y619" s="80"/>
      <c r="Z619" s="80"/>
    </row>
    <row r="620">
      <c r="A620" s="87"/>
      <c r="B620" s="82"/>
      <c r="C620" s="82"/>
      <c r="D620" s="87"/>
      <c r="E620" s="87"/>
      <c r="F620" s="87"/>
      <c r="G620" s="87"/>
      <c r="H620" s="83"/>
      <c r="I620" s="83"/>
      <c r="J620" s="82"/>
      <c r="K620" s="89"/>
      <c r="L620" s="87"/>
      <c r="M620" s="80"/>
      <c r="N620" s="80"/>
      <c r="O620" s="80"/>
      <c r="P620" s="80"/>
      <c r="Q620" s="80"/>
      <c r="R620" s="80"/>
      <c r="S620" s="80"/>
      <c r="T620" s="80"/>
      <c r="U620" s="80"/>
      <c r="V620" s="80"/>
      <c r="W620" s="80"/>
      <c r="X620" s="80"/>
      <c r="Y620" s="80"/>
      <c r="Z620" s="80"/>
    </row>
    <row r="621">
      <c r="A621" s="87"/>
      <c r="B621" s="82"/>
      <c r="C621" s="82"/>
      <c r="D621" s="87"/>
      <c r="E621" s="87"/>
      <c r="F621" s="87"/>
      <c r="G621" s="87"/>
      <c r="H621" s="83"/>
      <c r="I621" s="83"/>
      <c r="J621" s="82"/>
      <c r="K621" s="89"/>
      <c r="L621" s="87"/>
      <c r="M621" s="80"/>
      <c r="N621" s="80"/>
      <c r="O621" s="80"/>
      <c r="P621" s="80"/>
      <c r="Q621" s="80"/>
      <c r="R621" s="80"/>
      <c r="S621" s="80"/>
      <c r="T621" s="80"/>
      <c r="U621" s="80"/>
      <c r="V621" s="80"/>
      <c r="W621" s="80"/>
      <c r="X621" s="80"/>
      <c r="Y621" s="80"/>
      <c r="Z621" s="80"/>
    </row>
    <row r="622">
      <c r="A622" s="87"/>
      <c r="B622" s="82"/>
      <c r="C622" s="82"/>
      <c r="D622" s="87"/>
      <c r="E622" s="87"/>
      <c r="F622" s="87"/>
      <c r="G622" s="87"/>
      <c r="H622" s="83"/>
      <c r="I622" s="83"/>
      <c r="J622" s="82"/>
      <c r="K622" s="89"/>
      <c r="L622" s="87"/>
      <c r="M622" s="80"/>
      <c r="N622" s="80"/>
      <c r="O622" s="80"/>
      <c r="P622" s="80"/>
      <c r="Q622" s="80"/>
      <c r="R622" s="80"/>
      <c r="S622" s="80"/>
      <c r="T622" s="80"/>
      <c r="U622" s="80"/>
      <c r="V622" s="80"/>
      <c r="W622" s="80"/>
      <c r="X622" s="80"/>
      <c r="Y622" s="80"/>
      <c r="Z622" s="80"/>
    </row>
    <row r="623">
      <c r="A623" s="87"/>
      <c r="B623" s="82"/>
      <c r="C623" s="82"/>
      <c r="D623" s="87"/>
      <c r="E623" s="87"/>
      <c r="F623" s="87"/>
      <c r="G623" s="87"/>
      <c r="H623" s="83"/>
      <c r="I623" s="83"/>
      <c r="J623" s="82"/>
      <c r="K623" s="89"/>
      <c r="L623" s="87"/>
      <c r="M623" s="80"/>
      <c r="N623" s="80"/>
      <c r="O623" s="80"/>
      <c r="P623" s="80"/>
      <c r="Q623" s="80"/>
      <c r="R623" s="80"/>
      <c r="S623" s="80"/>
      <c r="T623" s="80"/>
      <c r="U623" s="80"/>
      <c r="V623" s="80"/>
      <c r="W623" s="80"/>
      <c r="X623" s="80"/>
      <c r="Y623" s="80"/>
      <c r="Z623" s="80"/>
    </row>
    <row r="624">
      <c r="A624" s="87"/>
      <c r="B624" s="82"/>
      <c r="C624" s="82"/>
      <c r="D624" s="87"/>
      <c r="E624" s="87"/>
      <c r="F624" s="87"/>
      <c r="G624" s="87"/>
      <c r="H624" s="83"/>
      <c r="I624" s="83"/>
      <c r="J624" s="82"/>
      <c r="K624" s="89"/>
      <c r="L624" s="87"/>
      <c r="M624" s="80"/>
      <c r="N624" s="80"/>
      <c r="O624" s="80"/>
      <c r="P624" s="80"/>
      <c r="Q624" s="80"/>
      <c r="R624" s="80"/>
      <c r="S624" s="80"/>
      <c r="T624" s="80"/>
      <c r="U624" s="80"/>
      <c r="V624" s="80"/>
      <c r="W624" s="80"/>
      <c r="X624" s="80"/>
      <c r="Y624" s="80"/>
      <c r="Z624" s="80"/>
    </row>
    <row r="625">
      <c r="A625" s="87"/>
      <c r="B625" s="82"/>
      <c r="C625" s="82"/>
      <c r="D625" s="87"/>
      <c r="E625" s="87"/>
      <c r="F625" s="87"/>
      <c r="G625" s="87"/>
      <c r="H625" s="83"/>
      <c r="I625" s="83"/>
      <c r="J625" s="82"/>
      <c r="K625" s="89"/>
      <c r="L625" s="87"/>
      <c r="M625" s="80"/>
      <c r="N625" s="80"/>
      <c r="O625" s="80"/>
      <c r="P625" s="80"/>
      <c r="Q625" s="80"/>
      <c r="R625" s="80"/>
      <c r="S625" s="80"/>
      <c r="T625" s="80"/>
      <c r="U625" s="80"/>
      <c r="V625" s="80"/>
      <c r="W625" s="80"/>
      <c r="X625" s="80"/>
      <c r="Y625" s="80"/>
      <c r="Z625" s="80"/>
    </row>
    <row r="626">
      <c r="A626" s="87"/>
      <c r="B626" s="82"/>
      <c r="C626" s="82"/>
      <c r="D626" s="87"/>
      <c r="E626" s="87"/>
      <c r="F626" s="87"/>
      <c r="G626" s="87"/>
      <c r="H626" s="83"/>
      <c r="I626" s="83"/>
      <c r="J626" s="82"/>
      <c r="K626" s="89"/>
      <c r="L626" s="87"/>
      <c r="M626" s="80"/>
      <c r="N626" s="80"/>
      <c r="O626" s="80"/>
      <c r="P626" s="80"/>
      <c r="Q626" s="80"/>
      <c r="R626" s="80"/>
      <c r="S626" s="80"/>
      <c r="T626" s="80"/>
      <c r="U626" s="80"/>
      <c r="V626" s="80"/>
      <c r="W626" s="80"/>
      <c r="X626" s="80"/>
      <c r="Y626" s="80"/>
      <c r="Z626" s="80"/>
    </row>
    <row r="627">
      <c r="A627" s="87"/>
      <c r="B627" s="82"/>
      <c r="C627" s="82"/>
      <c r="D627" s="87"/>
      <c r="E627" s="87"/>
      <c r="F627" s="87"/>
      <c r="G627" s="87"/>
      <c r="H627" s="83"/>
      <c r="I627" s="83"/>
      <c r="J627" s="82"/>
      <c r="K627" s="89"/>
      <c r="L627" s="87"/>
      <c r="M627" s="80"/>
      <c r="N627" s="80"/>
      <c r="O627" s="80"/>
      <c r="P627" s="80"/>
      <c r="Q627" s="80"/>
      <c r="R627" s="80"/>
      <c r="S627" s="80"/>
      <c r="T627" s="80"/>
      <c r="U627" s="80"/>
      <c r="V627" s="80"/>
      <c r="W627" s="80"/>
      <c r="X627" s="80"/>
      <c r="Y627" s="80"/>
      <c r="Z627" s="80"/>
    </row>
    <row r="628">
      <c r="A628" s="87"/>
      <c r="B628" s="82"/>
      <c r="C628" s="82"/>
      <c r="D628" s="87"/>
      <c r="E628" s="87"/>
      <c r="F628" s="87"/>
      <c r="G628" s="87"/>
      <c r="H628" s="83"/>
      <c r="I628" s="83"/>
      <c r="J628" s="82"/>
      <c r="K628" s="89"/>
      <c r="L628" s="87"/>
      <c r="M628" s="80"/>
      <c r="N628" s="80"/>
      <c r="O628" s="80"/>
      <c r="P628" s="80"/>
      <c r="Q628" s="80"/>
      <c r="R628" s="80"/>
      <c r="S628" s="80"/>
      <c r="T628" s="80"/>
      <c r="U628" s="80"/>
      <c r="V628" s="80"/>
      <c r="W628" s="80"/>
      <c r="X628" s="80"/>
      <c r="Y628" s="80"/>
      <c r="Z628" s="80"/>
    </row>
    <row r="629">
      <c r="A629" s="87"/>
      <c r="B629" s="82"/>
      <c r="C629" s="82"/>
      <c r="D629" s="87"/>
      <c r="E629" s="87"/>
      <c r="F629" s="87"/>
      <c r="G629" s="87"/>
      <c r="H629" s="83"/>
      <c r="I629" s="83"/>
      <c r="J629" s="82"/>
      <c r="K629" s="89"/>
      <c r="L629" s="87"/>
      <c r="M629" s="80"/>
      <c r="N629" s="80"/>
      <c r="O629" s="80"/>
      <c r="P629" s="80"/>
      <c r="Q629" s="80"/>
      <c r="R629" s="80"/>
      <c r="S629" s="80"/>
      <c r="T629" s="80"/>
      <c r="U629" s="80"/>
      <c r="V629" s="80"/>
      <c r="W629" s="80"/>
      <c r="X629" s="80"/>
      <c r="Y629" s="80"/>
      <c r="Z629" s="80"/>
    </row>
    <row r="630">
      <c r="A630" s="87"/>
      <c r="B630" s="82"/>
      <c r="C630" s="82"/>
      <c r="D630" s="87"/>
      <c r="E630" s="87"/>
      <c r="F630" s="87"/>
      <c r="G630" s="87"/>
      <c r="H630" s="83"/>
      <c r="I630" s="83"/>
      <c r="J630" s="82"/>
      <c r="K630" s="89"/>
      <c r="L630" s="87"/>
      <c r="M630" s="80"/>
      <c r="N630" s="80"/>
      <c r="O630" s="80"/>
      <c r="P630" s="80"/>
      <c r="Q630" s="80"/>
      <c r="R630" s="80"/>
      <c r="S630" s="80"/>
      <c r="T630" s="80"/>
      <c r="U630" s="80"/>
      <c r="V630" s="80"/>
      <c r="W630" s="80"/>
      <c r="X630" s="80"/>
      <c r="Y630" s="80"/>
      <c r="Z630" s="80"/>
    </row>
    <row r="631">
      <c r="A631" s="87"/>
      <c r="B631" s="82"/>
      <c r="C631" s="82"/>
      <c r="D631" s="87"/>
      <c r="E631" s="87"/>
      <c r="F631" s="87"/>
      <c r="G631" s="87"/>
      <c r="H631" s="83"/>
      <c r="I631" s="83"/>
      <c r="J631" s="82"/>
      <c r="K631" s="89"/>
      <c r="L631" s="87"/>
      <c r="M631" s="80"/>
      <c r="N631" s="80"/>
      <c r="O631" s="80"/>
      <c r="P631" s="80"/>
      <c r="Q631" s="80"/>
      <c r="R631" s="80"/>
      <c r="S631" s="80"/>
      <c r="T631" s="80"/>
      <c r="U631" s="80"/>
      <c r="V631" s="80"/>
      <c r="W631" s="80"/>
      <c r="X631" s="80"/>
      <c r="Y631" s="80"/>
      <c r="Z631" s="80"/>
    </row>
    <row r="632">
      <c r="A632" s="87"/>
      <c r="B632" s="82"/>
      <c r="C632" s="82"/>
      <c r="D632" s="87"/>
      <c r="E632" s="87"/>
      <c r="F632" s="87"/>
      <c r="G632" s="87"/>
      <c r="H632" s="83"/>
      <c r="I632" s="83"/>
      <c r="J632" s="82"/>
      <c r="K632" s="89"/>
      <c r="L632" s="87"/>
      <c r="M632" s="80"/>
      <c r="N632" s="80"/>
      <c r="O632" s="80"/>
      <c r="P632" s="80"/>
      <c r="Q632" s="80"/>
      <c r="R632" s="80"/>
      <c r="S632" s="80"/>
      <c r="T632" s="80"/>
      <c r="U632" s="80"/>
      <c r="V632" s="80"/>
      <c r="W632" s="80"/>
      <c r="X632" s="80"/>
      <c r="Y632" s="80"/>
      <c r="Z632" s="80"/>
    </row>
    <row r="633">
      <c r="A633" s="87"/>
      <c r="B633" s="82"/>
      <c r="C633" s="82"/>
      <c r="D633" s="87"/>
      <c r="E633" s="87"/>
      <c r="F633" s="87"/>
      <c r="G633" s="87"/>
      <c r="H633" s="83"/>
      <c r="I633" s="83"/>
      <c r="J633" s="82"/>
      <c r="K633" s="89"/>
      <c r="L633" s="87"/>
      <c r="M633" s="80"/>
      <c r="N633" s="80"/>
      <c r="O633" s="80"/>
      <c r="P633" s="80"/>
      <c r="Q633" s="80"/>
      <c r="R633" s="80"/>
      <c r="S633" s="80"/>
      <c r="T633" s="80"/>
      <c r="U633" s="80"/>
      <c r="V633" s="80"/>
      <c r="W633" s="80"/>
      <c r="X633" s="80"/>
      <c r="Y633" s="80"/>
      <c r="Z633" s="80"/>
    </row>
    <row r="634">
      <c r="A634" s="87"/>
      <c r="B634" s="82"/>
      <c r="C634" s="82"/>
      <c r="D634" s="87"/>
      <c r="E634" s="87"/>
      <c r="F634" s="87"/>
      <c r="G634" s="87"/>
      <c r="H634" s="83"/>
      <c r="I634" s="83"/>
      <c r="J634" s="82"/>
      <c r="K634" s="89"/>
      <c r="L634" s="87"/>
      <c r="M634" s="80"/>
      <c r="N634" s="80"/>
      <c r="O634" s="80"/>
      <c r="P634" s="80"/>
      <c r="Q634" s="80"/>
      <c r="R634" s="80"/>
      <c r="S634" s="80"/>
      <c r="T634" s="80"/>
      <c r="U634" s="80"/>
      <c r="V634" s="80"/>
      <c r="W634" s="80"/>
      <c r="X634" s="80"/>
      <c r="Y634" s="80"/>
      <c r="Z634" s="80"/>
    </row>
    <row r="635">
      <c r="A635" s="87"/>
      <c r="B635" s="82"/>
      <c r="C635" s="82"/>
      <c r="D635" s="87"/>
      <c r="E635" s="87"/>
      <c r="F635" s="87"/>
      <c r="G635" s="87"/>
      <c r="H635" s="83"/>
      <c r="I635" s="83"/>
      <c r="J635" s="82"/>
      <c r="K635" s="89"/>
      <c r="L635" s="87"/>
      <c r="M635" s="80"/>
      <c r="N635" s="80"/>
      <c r="O635" s="80"/>
      <c r="P635" s="80"/>
      <c r="Q635" s="80"/>
      <c r="R635" s="80"/>
      <c r="S635" s="80"/>
      <c r="T635" s="80"/>
      <c r="U635" s="80"/>
      <c r="V635" s="80"/>
      <c r="W635" s="80"/>
      <c r="X635" s="80"/>
      <c r="Y635" s="80"/>
      <c r="Z635" s="80"/>
    </row>
    <row r="636">
      <c r="A636" s="87"/>
      <c r="B636" s="82"/>
      <c r="C636" s="82"/>
      <c r="D636" s="87"/>
      <c r="E636" s="87"/>
      <c r="F636" s="87"/>
      <c r="G636" s="87"/>
      <c r="H636" s="83"/>
      <c r="I636" s="83"/>
      <c r="J636" s="82"/>
      <c r="K636" s="89"/>
      <c r="L636" s="87"/>
      <c r="M636" s="80"/>
      <c r="N636" s="80"/>
      <c r="O636" s="80"/>
      <c r="P636" s="80"/>
      <c r="Q636" s="80"/>
      <c r="R636" s="80"/>
      <c r="S636" s="80"/>
      <c r="T636" s="80"/>
      <c r="U636" s="80"/>
      <c r="V636" s="80"/>
      <c r="W636" s="80"/>
      <c r="X636" s="80"/>
      <c r="Y636" s="80"/>
      <c r="Z636" s="80"/>
    </row>
    <row r="637">
      <c r="A637" s="87"/>
      <c r="B637" s="82"/>
      <c r="C637" s="82"/>
      <c r="D637" s="87"/>
      <c r="E637" s="87"/>
      <c r="F637" s="87"/>
      <c r="G637" s="87"/>
      <c r="H637" s="83"/>
      <c r="I637" s="83"/>
      <c r="J637" s="82"/>
      <c r="K637" s="89"/>
      <c r="L637" s="87"/>
      <c r="M637" s="80"/>
      <c r="N637" s="80"/>
      <c r="O637" s="80"/>
      <c r="P637" s="80"/>
      <c r="Q637" s="80"/>
      <c r="R637" s="80"/>
      <c r="S637" s="80"/>
      <c r="T637" s="80"/>
      <c r="U637" s="80"/>
      <c r="V637" s="80"/>
      <c r="W637" s="80"/>
      <c r="X637" s="80"/>
      <c r="Y637" s="80"/>
      <c r="Z637" s="80"/>
    </row>
    <row r="638">
      <c r="A638" s="87"/>
      <c r="B638" s="82"/>
      <c r="C638" s="82"/>
      <c r="D638" s="87"/>
      <c r="E638" s="87"/>
      <c r="F638" s="87"/>
      <c r="G638" s="87"/>
      <c r="H638" s="83"/>
      <c r="I638" s="83"/>
      <c r="J638" s="82"/>
      <c r="K638" s="89"/>
      <c r="L638" s="87"/>
      <c r="M638" s="80"/>
      <c r="N638" s="80"/>
      <c r="O638" s="80"/>
      <c r="P638" s="80"/>
      <c r="Q638" s="80"/>
      <c r="R638" s="80"/>
      <c r="S638" s="80"/>
      <c r="T638" s="80"/>
      <c r="U638" s="80"/>
      <c r="V638" s="80"/>
      <c r="W638" s="80"/>
      <c r="X638" s="80"/>
      <c r="Y638" s="80"/>
      <c r="Z638" s="80"/>
    </row>
    <row r="639">
      <c r="A639" s="87"/>
      <c r="B639" s="82"/>
      <c r="C639" s="82"/>
      <c r="D639" s="87"/>
      <c r="E639" s="87"/>
      <c r="F639" s="87"/>
      <c r="G639" s="87"/>
      <c r="H639" s="83"/>
      <c r="I639" s="83"/>
      <c r="J639" s="82"/>
      <c r="K639" s="89"/>
      <c r="L639" s="87"/>
      <c r="M639" s="80"/>
      <c r="N639" s="80"/>
      <c r="O639" s="80"/>
      <c r="P639" s="80"/>
      <c r="Q639" s="80"/>
      <c r="R639" s="80"/>
      <c r="S639" s="80"/>
      <c r="T639" s="80"/>
      <c r="U639" s="80"/>
      <c r="V639" s="80"/>
      <c r="W639" s="80"/>
      <c r="X639" s="80"/>
      <c r="Y639" s="80"/>
      <c r="Z639" s="80"/>
    </row>
    <row r="640">
      <c r="A640" s="87"/>
      <c r="B640" s="82"/>
      <c r="C640" s="82"/>
      <c r="D640" s="87"/>
      <c r="E640" s="87"/>
      <c r="F640" s="87"/>
      <c r="G640" s="87"/>
      <c r="H640" s="83"/>
      <c r="I640" s="83"/>
      <c r="J640" s="82"/>
      <c r="K640" s="89"/>
      <c r="L640" s="87"/>
      <c r="M640" s="80"/>
      <c r="N640" s="80"/>
      <c r="O640" s="80"/>
      <c r="P640" s="80"/>
      <c r="Q640" s="80"/>
      <c r="R640" s="80"/>
      <c r="S640" s="80"/>
      <c r="T640" s="80"/>
      <c r="U640" s="80"/>
      <c r="V640" s="80"/>
      <c r="W640" s="80"/>
      <c r="X640" s="80"/>
      <c r="Y640" s="80"/>
      <c r="Z640" s="80"/>
    </row>
    <row r="641">
      <c r="A641" s="87"/>
      <c r="B641" s="82"/>
      <c r="C641" s="82"/>
      <c r="D641" s="87"/>
      <c r="E641" s="87"/>
      <c r="F641" s="87"/>
      <c r="G641" s="87"/>
      <c r="H641" s="83"/>
      <c r="I641" s="83"/>
      <c r="J641" s="82"/>
      <c r="K641" s="89"/>
      <c r="L641" s="87"/>
      <c r="M641" s="80"/>
      <c r="N641" s="80"/>
      <c r="O641" s="80"/>
      <c r="P641" s="80"/>
      <c r="Q641" s="80"/>
      <c r="R641" s="80"/>
      <c r="S641" s="80"/>
      <c r="T641" s="80"/>
      <c r="U641" s="80"/>
      <c r="V641" s="80"/>
      <c r="W641" s="80"/>
      <c r="X641" s="80"/>
      <c r="Y641" s="80"/>
      <c r="Z641" s="80"/>
    </row>
    <row r="642">
      <c r="A642" s="87"/>
      <c r="B642" s="82"/>
      <c r="C642" s="82"/>
      <c r="D642" s="87"/>
      <c r="E642" s="87"/>
      <c r="F642" s="87"/>
      <c r="G642" s="87"/>
      <c r="H642" s="83"/>
      <c r="I642" s="83"/>
      <c r="J642" s="82"/>
      <c r="K642" s="89"/>
      <c r="L642" s="87"/>
      <c r="M642" s="80"/>
      <c r="N642" s="80"/>
      <c r="O642" s="80"/>
      <c r="P642" s="80"/>
      <c r="Q642" s="80"/>
      <c r="R642" s="80"/>
      <c r="S642" s="80"/>
      <c r="T642" s="80"/>
      <c r="U642" s="80"/>
      <c r="V642" s="80"/>
      <c r="W642" s="80"/>
      <c r="X642" s="80"/>
      <c r="Y642" s="80"/>
      <c r="Z642" s="80"/>
    </row>
    <row r="643">
      <c r="A643" s="87"/>
      <c r="B643" s="82"/>
      <c r="C643" s="82"/>
      <c r="D643" s="87"/>
      <c r="E643" s="87"/>
      <c r="F643" s="87"/>
      <c r="G643" s="87"/>
      <c r="H643" s="83"/>
      <c r="I643" s="83"/>
      <c r="J643" s="82"/>
      <c r="K643" s="89"/>
      <c r="L643" s="87"/>
      <c r="M643" s="80"/>
      <c r="N643" s="80"/>
      <c r="O643" s="80"/>
      <c r="P643" s="80"/>
      <c r="Q643" s="80"/>
      <c r="R643" s="80"/>
      <c r="S643" s="80"/>
      <c r="T643" s="80"/>
      <c r="U643" s="80"/>
      <c r="V643" s="80"/>
      <c r="W643" s="80"/>
      <c r="X643" s="80"/>
      <c r="Y643" s="80"/>
      <c r="Z643" s="80"/>
    </row>
    <row r="644">
      <c r="A644" s="87"/>
      <c r="B644" s="82"/>
      <c r="C644" s="82"/>
      <c r="D644" s="87"/>
      <c r="E644" s="87"/>
      <c r="F644" s="87"/>
      <c r="G644" s="87"/>
      <c r="H644" s="83"/>
      <c r="I644" s="83"/>
      <c r="J644" s="82"/>
      <c r="K644" s="89"/>
      <c r="L644" s="87"/>
      <c r="M644" s="80"/>
      <c r="N644" s="80"/>
      <c r="O644" s="80"/>
      <c r="P644" s="80"/>
      <c r="Q644" s="80"/>
      <c r="R644" s="80"/>
      <c r="S644" s="80"/>
      <c r="T644" s="80"/>
      <c r="U644" s="80"/>
      <c r="V644" s="80"/>
      <c r="W644" s="80"/>
      <c r="X644" s="80"/>
      <c r="Y644" s="80"/>
      <c r="Z644" s="80"/>
    </row>
    <row r="645">
      <c r="A645" s="87"/>
      <c r="B645" s="82"/>
      <c r="C645" s="82"/>
      <c r="D645" s="87"/>
      <c r="E645" s="87"/>
      <c r="F645" s="87"/>
      <c r="G645" s="87"/>
      <c r="H645" s="83"/>
      <c r="I645" s="83"/>
      <c r="J645" s="82"/>
      <c r="K645" s="89"/>
      <c r="L645" s="87"/>
      <c r="M645" s="80"/>
      <c r="N645" s="80"/>
      <c r="O645" s="80"/>
      <c r="P645" s="80"/>
      <c r="Q645" s="80"/>
      <c r="R645" s="80"/>
      <c r="S645" s="80"/>
      <c r="T645" s="80"/>
      <c r="U645" s="80"/>
      <c r="V645" s="80"/>
      <c r="W645" s="80"/>
      <c r="X645" s="80"/>
      <c r="Y645" s="80"/>
      <c r="Z645" s="80"/>
    </row>
    <row r="646">
      <c r="A646" s="87"/>
      <c r="B646" s="82"/>
      <c r="C646" s="82"/>
      <c r="D646" s="87"/>
      <c r="E646" s="87"/>
      <c r="F646" s="87"/>
      <c r="G646" s="87"/>
      <c r="H646" s="83"/>
      <c r="I646" s="83"/>
      <c r="J646" s="82"/>
      <c r="K646" s="89"/>
      <c r="L646" s="87"/>
      <c r="M646" s="80"/>
      <c r="N646" s="80"/>
      <c r="O646" s="80"/>
      <c r="P646" s="80"/>
      <c r="Q646" s="80"/>
      <c r="R646" s="80"/>
      <c r="S646" s="80"/>
      <c r="T646" s="80"/>
      <c r="U646" s="80"/>
      <c r="V646" s="80"/>
      <c r="W646" s="80"/>
      <c r="X646" s="80"/>
      <c r="Y646" s="80"/>
      <c r="Z646" s="80"/>
    </row>
    <row r="647">
      <c r="A647" s="87"/>
      <c r="B647" s="82"/>
      <c r="C647" s="82"/>
      <c r="D647" s="87"/>
      <c r="E647" s="87"/>
      <c r="F647" s="87"/>
      <c r="G647" s="87"/>
      <c r="H647" s="83"/>
      <c r="I647" s="83"/>
      <c r="J647" s="82"/>
      <c r="K647" s="89"/>
      <c r="L647" s="87"/>
      <c r="M647" s="80"/>
      <c r="N647" s="80"/>
      <c r="O647" s="80"/>
      <c r="P647" s="80"/>
      <c r="Q647" s="80"/>
      <c r="R647" s="80"/>
      <c r="S647" s="80"/>
      <c r="T647" s="80"/>
      <c r="U647" s="80"/>
      <c r="V647" s="80"/>
      <c r="W647" s="80"/>
      <c r="X647" s="80"/>
      <c r="Y647" s="80"/>
      <c r="Z647" s="80"/>
    </row>
    <row r="648">
      <c r="A648" s="87"/>
      <c r="B648" s="82"/>
      <c r="C648" s="82"/>
      <c r="D648" s="87"/>
      <c r="E648" s="87"/>
      <c r="F648" s="87"/>
      <c r="G648" s="87"/>
      <c r="H648" s="83"/>
      <c r="I648" s="83"/>
      <c r="J648" s="82"/>
      <c r="K648" s="89"/>
      <c r="L648" s="87"/>
      <c r="M648" s="80"/>
      <c r="N648" s="80"/>
      <c r="O648" s="80"/>
      <c r="P648" s="80"/>
      <c r="Q648" s="80"/>
      <c r="R648" s="80"/>
      <c r="S648" s="80"/>
      <c r="T648" s="80"/>
      <c r="U648" s="80"/>
      <c r="V648" s="80"/>
      <c r="W648" s="80"/>
      <c r="X648" s="80"/>
      <c r="Y648" s="80"/>
      <c r="Z648" s="80"/>
    </row>
    <row r="649">
      <c r="A649" s="87"/>
      <c r="B649" s="82"/>
      <c r="C649" s="82"/>
      <c r="D649" s="87"/>
      <c r="E649" s="87"/>
      <c r="F649" s="87"/>
      <c r="G649" s="87"/>
      <c r="H649" s="83"/>
      <c r="I649" s="83"/>
      <c r="J649" s="82"/>
      <c r="K649" s="89"/>
      <c r="L649" s="87"/>
      <c r="M649" s="80"/>
      <c r="N649" s="80"/>
      <c r="O649" s="80"/>
      <c r="P649" s="80"/>
      <c r="Q649" s="80"/>
      <c r="R649" s="80"/>
      <c r="S649" s="80"/>
      <c r="T649" s="80"/>
      <c r="U649" s="80"/>
      <c r="V649" s="80"/>
      <c r="W649" s="80"/>
      <c r="X649" s="80"/>
      <c r="Y649" s="80"/>
      <c r="Z649" s="80"/>
    </row>
    <row r="650">
      <c r="A650" s="87"/>
      <c r="B650" s="82"/>
      <c r="C650" s="82"/>
      <c r="D650" s="87"/>
      <c r="E650" s="87"/>
      <c r="F650" s="87"/>
      <c r="G650" s="87"/>
      <c r="H650" s="83"/>
      <c r="I650" s="83"/>
      <c r="J650" s="82"/>
      <c r="K650" s="89"/>
      <c r="L650" s="87"/>
      <c r="M650" s="80"/>
      <c r="N650" s="80"/>
      <c r="O650" s="80"/>
      <c r="P650" s="80"/>
      <c r="Q650" s="80"/>
      <c r="R650" s="80"/>
      <c r="S650" s="80"/>
      <c r="T650" s="80"/>
      <c r="U650" s="80"/>
      <c r="V650" s="80"/>
      <c r="W650" s="80"/>
      <c r="X650" s="80"/>
      <c r="Y650" s="80"/>
      <c r="Z650" s="80"/>
    </row>
    <row r="651">
      <c r="A651" s="87"/>
      <c r="B651" s="82"/>
      <c r="C651" s="82"/>
      <c r="D651" s="87"/>
      <c r="E651" s="87"/>
      <c r="F651" s="87"/>
      <c r="G651" s="87"/>
      <c r="H651" s="83"/>
      <c r="I651" s="83"/>
      <c r="J651" s="82"/>
      <c r="K651" s="89"/>
      <c r="L651" s="87"/>
      <c r="M651" s="80"/>
      <c r="N651" s="80"/>
      <c r="O651" s="80"/>
      <c r="P651" s="80"/>
      <c r="Q651" s="80"/>
      <c r="R651" s="80"/>
      <c r="S651" s="80"/>
      <c r="T651" s="80"/>
      <c r="U651" s="80"/>
      <c r="V651" s="80"/>
      <c r="W651" s="80"/>
      <c r="X651" s="80"/>
      <c r="Y651" s="80"/>
      <c r="Z651" s="80"/>
    </row>
    <row r="652">
      <c r="A652" s="87"/>
      <c r="B652" s="82"/>
      <c r="C652" s="82"/>
      <c r="D652" s="87"/>
      <c r="E652" s="87"/>
      <c r="F652" s="87"/>
      <c r="G652" s="87"/>
      <c r="H652" s="83"/>
      <c r="I652" s="83"/>
      <c r="J652" s="82"/>
      <c r="K652" s="89"/>
      <c r="L652" s="87"/>
      <c r="M652" s="80"/>
      <c r="N652" s="80"/>
      <c r="O652" s="80"/>
      <c r="P652" s="80"/>
      <c r="Q652" s="80"/>
      <c r="R652" s="80"/>
      <c r="S652" s="80"/>
      <c r="T652" s="80"/>
      <c r="U652" s="80"/>
      <c r="V652" s="80"/>
      <c r="W652" s="80"/>
      <c r="X652" s="80"/>
      <c r="Y652" s="80"/>
      <c r="Z652" s="80"/>
    </row>
    <row r="653">
      <c r="A653" s="87"/>
      <c r="B653" s="82"/>
      <c r="C653" s="82"/>
      <c r="D653" s="87"/>
      <c r="E653" s="87"/>
      <c r="F653" s="87"/>
      <c r="G653" s="87"/>
      <c r="H653" s="83"/>
      <c r="I653" s="83"/>
      <c r="J653" s="82"/>
      <c r="K653" s="89"/>
      <c r="L653" s="87"/>
      <c r="M653" s="80"/>
      <c r="N653" s="80"/>
      <c r="O653" s="80"/>
      <c r="P653" s="80"/>
      <c r="Q653" s="80"/>
      <c r="R653" s="80"/>
      <c r="S653" s="80"/>
      <c r="T653" s="80"/>
      <c r="U653" s="80"/>
      <c r="V653" s="80"/>
      <c r="W653" s="80"/>
      <c r="X653" s="80"/>
      <c r="Y653" s="80"/>
      <c r="Z653" s="80"/>
    </row>
    <row r="654">
      <c r="A654" s="87"/>
      <c r="B654" s="82"/>
      <c r="C654" s="82"/>
      <c r="D654" s="87"/>
      <c r="E654" s="87"/>
      <c r="F654" s="87"/>
      <c r="G654" s="87"/>
      <c r="H654" s="83"/>
      <c r="I654" s="83"/>
      <c r="J654" s="82"/>
      <c r="K654" s="89"/>
      <c r="L654" s="87"/>
      <c r="M654" s="80"/>
      <c r="N654" s="80"/>
      <c r="O654" s="80"/>
      <c r="P654" s="80"/>
      <c r="Q654" s="80"/>
      <c r="R654" s="80"/>
      <c r="S654" s="80"/>
      <c r="T654" s="80"/>
      <c r="U654" s="80"/>
      <c r="V654" s="80"/>
      <c r="W654" s="80"/>
      <c r="X654" s="80"/>
      <c r="Y654" s="80"/>
      <c r="Z654" s="80"/>
    </row>
    <row r="655">
      <c r="A655" s="87"/>
      <c r="B655" s="82"/>
      <c r="C655" s="82"/>
      <c r="D655" s="87"/>
      <c r="E655" s="87"/>
      <c r="F655" s="87"/>
      <c r="G655" s="87"/>
      <c r="H655" s="83"/>
      <c r="I655" s="83"/>
      <c r="J655" s="82"/>
      <c r="K655" s="89"/>
      <c r="L655" s="87"/>
      <c r="M655" s="80"/>
      <c r="N655" s="80"/>
      <c r="O655" s="80"/>
      <c r="P655" s="80"/>
      <c r="Q655" s="80"/>
      <c r="R655" s="80"/>
      <c r="S655" s="80"/>
      <c r="T655" s="80"/>
      <c r="U655" s="80"/>
      <c r="V655" s="80"/>
      <c r="W655" s="80"/>
      <c r="X655" s="80"/>
      <c r="Y655" s="80"/>
      <c r="Z655" s="80"/>
    </row>
    <row r="656">
      <c r="A656" s="87"/>
      <c r="B656" s="82"/>
      <c r="C656" s="82"/>
      <c r="D656" s="87"/>
      <c r="E656" s="87"/>
      <c r="F656" s="87"/>
      <c r="G656" s="87"/>
      <c r="H656" s="83"/>
      <c r="I656" s="83"/>
      <c r="J656" s="82"/>
      <c r="K656" s="89"/>
      <c r="L656" s="87"/>
      <c r="M656" s="80"/>
      <c r="N656" s="80"/>
      <c r="O656" s="80"/>
      <c r="P656" s="80"/>
      <c r="Q656" s="80"/>
      <c r="R656" s="80"/>
      <c r="S656" s="80"/>
      <c r="T656" s="80"/>
      <c r="U656" s="80"/>
      <c r="V656" s="80"/>
      <c r="W656" s="80"/>
      <c r="X656" s="80"/>
      <c r="Y656" s="80"/>
      <c r="Z656" s="80"/>
    </row>
    <row r="657">
      <c r="A657" s="87"/>
      <c r="B657" s="82"/>
      <c r="C657" s="82"/>
      <c r="D657" s="87"/>
      <c r="E657" s="87"/>
      <c r="F657" s="87"/>
      <c r="G657" s="87"/>
      <c r="H657" s="83"/>
      <c r="I657" s="83"/>
      <c r="J657" s="82"/>
      <c r="K657" s="89"/>
      <c r="L657" s="87"/>
      <c r="M657" s="80"/>
      <c r="N657" s="80"/>
      <c r="O657" s="80"/>
      <c r="P657" s="80"/>
      <c r="Q657" s="80"/>
      <c r="R657" s="80"/>
      <c r="S657" s="80"/>
      <c r="T657" s="80"/>
      <c r="U657" s="80"/>
      <c r="V657" s="80"/>
      <c r="W657" s="80"/>
      <c r="X657" s="80"/>
      <c r="Y657" s="80"/>
      <c r="Z657" s="80"/>
    </row>
    <row r="658">
      <c r="A658" s="87"/>
      <c r="B658" s="82"/>
      <c r="C658" s="82"/>
      <c r="D658" s="87"/>
      <c r="E658" s="87"/>
      <c r="F658" s="87"/>
      <c r="G658" s="87"/>
      <c r="H658" s="83"/>
      <c r="I658" s="83"/>
      <c r="J658" s="82"/>
      <c r="K658" s="89"/>
      <c r="L658" s="87"/>
      <c r="M658" s="80"/>
      <c r="N658" s="80"/>
      <c r="O658" s="80"/>
      <c r="P658" s="80"/>
      <c r="Q658" s="80"/>
      <c r="R658" s="80"/>
      <c r="S658" s="80"/>
      <c r="T658" s="80"/>
      <c r="U658" s="80"/>
      <c r="V658" s="80"/>
      <c r="W658" s="80"/>
      <c r="X658" s="80"/>
      <c r="Y658" s="80"/>
      <c r="Z658" s="80"/>
    </row>
    <row r="659">
      <c r="A659" s="87"/>
      <c r="B659" s="82"/>
      <c r="C659" s="82"/>
      <c r="D659" s="87"/>
      <c r="E659" s="87"/>
      <c r="F659" s="87"/>
      <c r="G659" s="87"/>
      <c r="H659" s="83"/>
      <c r="I659" s="83"/>
      <c r="J659" s="82"/>
      <c r="K659" s="89"/>
      <c r="L659" s="87"/>
      <c r="M659" s="80"/>
      <c r="N659" s="80"/>
      <c r="O659" s="80"/>
      <c r="P659" s="80"/>
      <c r="Q659" s="80"/>
      <c r="R659" s="80"/>
      <c r="S659" s="80"/>
      <c r="T659" s="80"/>
      <c r="U659" s="80"/>
      <c r="V659" s="80"/>
      <c r="W659" s="80"/>
      <c r="X659" s="80"/>
      <c r="Y659" s="80"/>
      <c r="Z659" s="80"/>
    </row>
    <row r="660">
      <c r="A660" s="87"/>
      <c r="B660" s="82"/>
      <c r="C660" s="82"/>
      <c r="D660" s="87"/>
      <c r="E660" s="87"/>
      <c r="F660" s="87"/>
      <c r="G660" s="87"/>
      <c r="H660" s="83"/>
      <c r="I660" s="83"/>
      <c r="J660" s="82"/>
      <c r="K660" s="89"/>
      <c r="L660" s="87"/>
      <c r="M660" s="80"/>
      <c r="N660" s="80"/>
      <c r="O660" s="80"/>
      <c r="P660" s="80"/>
      <c r="Q660" s="80"/>
      <c r="R660" s="80"/>
      <c r="S660" s="80"/>
      <c r="T660" s="80"/>
      <c r="U660" s="80"/>
      <c r="V660" s="80"/>
      <c r="W660" s="80"/>
      <c r="X660" s="80"/>
      <c r="Y660" s="80"/>
      <c r="Z660" s="80"/>
    </row>
    <row r="661">
      <c r="A661" s="87"/>
      <c r="B661" s="82"/>
      <c r="C661" s="82"/>
      <c r="D661" s="87"/>
      <c r="E661" s="87"/>
      <c r="F661" s="87"/>
      <c r="G661" s="87"/>
      <c r="H661" s="83"/>
      <c r="I661" s="83"/>
      <c r="J661" s="82"/>
      <c r="K661" s="89"/>
      <c r="L661" s="87"/>
      <c r="M661" s="80"/>
      <c r="N661" s="80"/>
      <c r="O661" s="80"/>
      <c r="P661" s="80"/>
      <c r="Q661" s="80"/>
      <c r="R661" s="80"/>
      <c r="S661" s="80"/>
      <c r="T661" s="80"/>
      <c r="U661" s="80"/>
      <c r="V661" s="80"/>
      <c r="W661" s="80"/>
      <c r="X661" s="80"/>
      <c r="Y661" s="80"/>
      <c r="Z661" s="80"/>
    </row>
    <row r="662">
      <c r="A662" s="87"/>
      <c r="B662" s="82"/>
      <c r="C662" s="82"/>
      <c r="D662" s="87"/>
      <c r="E662" s="87"/>
      <c r="F662" s="87"/>
      <c r="G662" s="87"/>
      <c r="H662" s="83"/>
      <c r="I662" s="83"/>
      <c r="J662" s="82"/>
      <c r="K662" s="89"/>
      <c r="L662" s="87"/>
      <c r="M662" s="80"/>
      <c r="N662" s="80"/>
      <c r="O662" s="80"/>
      <c r="P662" s="80"/>
      <c r="Q662" s="80"/>
      <c r="R662" s="80"/>
      <c r="S662" s="80"/>
      <c r="T662" s="80"/>
      <c r="U662" s="80"/>
      <c r="V662" s="80"/>
      <c r="W662" s="80"/>
      <c r="X662" s="80"/>
      <c r="Y662" s="80"/>
      <c r="Z662" s="80"/>
    </row>
    <row r="663">
      <c r="A663" s="87"/>
      <c r="B663" s="82"/>
      <c r="C663" s="82"/>
      <c r="D663" s="87"/>
      <c r="E663" s="87"/>
      <c r="F663" s="87"/>
      <c r="G663" s="87"/>
      <c r="H663" s="83"/>
      <c r="I663" s="83"/>
      <c r="J663" s="82"/>
      <c r="K663" s="89"/>
      <c r="L663" s="87"/>
      <c r="M663" s="80"/>
      <c r="N663" s="80"/>
      <c r="O663" s="80"/>
      <c r="P663" s="80"/>
      <c r="Q663" s="80"/>
      <c r="R663" s="80"/>
      <c r="S663" s="80"/>
      <c r="T663" s="80"/>
      <c r="U663" s="80"/>
      <c r="V663" s="80"/>
      <c r="W663" s="80"/>
      <c r="X663" s="80"/>
      <c r="Y663" s="80"/>
      <c r="Z663" s="80"/>
    </row>
    <row r="664">
      <c r="A664" s="87"/>
      <c r="B664" s="82"/>
      <c r="C664" s="82"/>
      <c r="D664" s="87"/>
      <c r="E664" s="87"/>
      <c r="F664" s="87"/>
      <c r="G664" s="87"/>
      <c r="H664" s="83"/>
      <c r="I664" s="83"/>
      <c r="J664" s="82"/>
      <c r="K664" s="89"/>
      <c r="L664" s="87"/>
      <c r="M664" s="80"/>
      <c r="N664" s="80"/>
      <c r="O664" s="80"/>
      <c r="P664" s="80"/>
      <c r="Q664" s="80"/>
      <c r="R664" s="80"/>
      <c r="S664" s="80"/>
      <c r="T664" s="80"/>
      <c r="U664" s="80"/>
      <c r="V664" s="80"/>
      <c r="W664" s="80"/>
      <c r="X664" s="80"/>
      <c r="Y664" s="80"/>
      <c r="Z664" s="80"/>
    </row>
    <row r="665">
      <c r="A665" s="87"/>
      <c r="B665" s="82"/>
      <c r="C665" s="82"/>
      <c r="D665" s="87"/>
      <c r="E665" s="87"/>
      <c r="F665" s="87"/>
      <c r="G665" s="87"/>
      <c r="H665" s="83"/>
      <c r="I665" s="83"/>
      <c r="J665" s="82"/>
      <c r="K665" s="89"/>
      <c r="L665" s="87"/>
      <c r="M665" s="80"/>
      <c r="N665" s="80"/>
      <c r="O665" s="80"/>
      <c r="P665" s="80"/>
      <c r="Q665" s="80"/>
      <c r="R665" s="80"/>
      <c r="S665" s="80"/>
      <c r="T665" s="80"/>
      <c r="U665" s="80"/>
      <c r="V665" s="80"/>
      <c r="W665" s="80"/>
      <c r="X665" s="80"/>
      <c r="Y665" s="80"/>
      <c r="Z665" s="80"/>
    </row>
    <row r="666">
      <c r="A666" s="87"/>
      <c r="B666" s="82"/>
      <c r="C666" s="82"/>
      <c r="D666" s="87"/>
      <c r="E666" s="87"/>
      <c r="F666" s="87"/>
      <c r="G666" s="87"/>
      <c r="H666" s="83"/>
      <c r="I666" s="83"/>
      <c r="J666" s="82"/>
      <c r="K666" s="89"/>
      <c r="L666" s="87"/>
      <c r="M666" s="80"/>
      <c r="N666" s="80"/>
      <c r="O666" s="80"/>
      <c r="P666" s="80"/>
      <c r="Q666" s="80"/>
      <c r="R666" s="80"/>
      <c r="S666" s="80"/>
      <c r="T666" s="80"/>
      <c r="U666" s="80"/>
      <c r="V666" s="80"/>
      <c r="W666" s="80"/>
      <c r="X666" s="80"/>
      <c r="Y666" s="80"/>
      <c r="Z666" s="80"/>
    </row>
    <row r="667">
      <c r="A667" s="87"/>
      <c r="B667" s="82"/>
      <c r="C667" s="82"/>
      <c r="D667" s="87"/>
      <c r="E667" s="87"/>
      <c r="F667" s="87"/>
      <c r="G667" s="87"/>
      <c r="H667" s="83"/>
      <c r="I667" s="83"/>
      <c r="J667" s="82"/>
      <c r="K667" s="89"/>
      <c r="L667" s="87"/>
      <c r="M667" s="80"/>
      <c r="N667" s="80"/>
      <c r="O667" s="80"/>
      <c r="P667" s="80"/>
      <c r="Q667" s="80"/>
      <c r="R667" s="80"/>
      <c r="S667" s="80"/>
      <c r="T667" s="80"/>
      <c r="U667" s="80"/>
      <c r="V667" s="80"/>
      <c r="W667" s="80"/>
      <c r="X667" s="80"/>
      <c r="Y667" s="80"/>
      <c r="Z667" s="80"/>
    </row>
    <row r="668">
      <c r="A668" s="87"/>
      <c r="B668" s="82"/>
      <c r="C668" s="82"/>
      <c r="D668" s="87"/>
      <c r="E668" s="87"/>
      <c r="F668" s="87"/>
      <c r="G668" s="87"/>
      <c r="H668" s="83"/>
      <c r="I668" s="83"/>
      <c r="J668" s="82"/>
      <c r="K668" s="89"/>
      <c r="L668" s="87"/>
      <c r="M668" s="80"/>
      <c r="N668" s="80"/>
      <c r="O668" s="80"/>
      <c r="P668" s="80"/>
      <c r="Q668" s="80"/>
      <c r="R668" s="80"/>
      <c r="S668" s="80"/>
      <c r="T668" s="80"/>
      <c r="U668" s="80"/>
      <c r="V668" s="80"/>
      <c r="W668" s="80"/>
      <c r="X668" s="80"/>
      <c r="Y668" s="80"/>
      <c r="Z668" s="80"/>
    </row>
    <row r="669">
      <c r="A669" s="87"/>
      <c r="B669" s="82"/>
      <c r="C669" s="82"/>
      <c r="D669" s="87"/>
      <c r="E669" s="87"/>
      <c r="F669" s="87"/>
      <c r="G669" s="87"/>
      <c r="H669" s="83"/>
      <c r="I669" s="83"/>
      <c r="J669" s="82"/>
      <c r="K669" s="89"/>
      <c r="L669" s="87"/>
      <c r="M669" s="80"/>
      <c r="N669" s="80"/>
      <c r="O669" s="80"/>
      <c r="P669" s="80"/>
      <c r="Q669" s="80"/>
      <c r="R669" s="80"/>
      <c r="S669" s="80"/>
      <c r="T669" s="80"/>
      <c r="U669" s="80"/>
      <c r="V669" s="80"/>
      <c r="W669" s="80"/>
      <c r="X669" s="80"/>
      <c r="Y669" s="80"/>
      <c r="Z669" s="80"/>
    </row>
    <row r="670">
      <c r="A670" s="87"/>
      <c r="B670" s="82"/>
      <c r="C670" s="82"/>
      <c r="D670" s="87"/>
      <c r="E670" s="87"/>
      <c r="F670" s="87"/>
      <c r="G670" s="87"/>
      <c r="H670" s="83"/>
      <c r="I670" s="83"/>
      <c r="J670" s="82"/>
      <c r="K670" s="89"/>
      <c r="L670" s="87"/>
      <c r="M670" s="80"/>
      <c r="N670" s="80"/>
      <c r="O670" s="80"/>
      <c r="P670" s="80"/>
      <c r="Q670" s="80"/>
      <c r="R670" s="80"/>
      <c r="S670" s="80"/>
      <c r="T670" s="80"/>
      <c r="U670" s="80"/>
      <c r="V670" s="80"/>
      <c r="W670" s="80"/>
      <c r="X670" s="80"/>
      <c r="Y670" s="80"/>
      <c r="Z670" s="80"/>
    </row>
    <row r="671">
      <c r="A671" s="87"/>
      <c r="B671" s="82"/>
      <c r="C671" s="82"/>
      <c r="D671" s="87"/>
      <c r="E671" s="87"/>
      <c r="F671" s="87"/>
      <c r="G671" s="87"/>
      <c r="H671" s="83"/>
      <c r="I671" s="83"/>
      <c r="J671" s="82"/>
      <c r="K671" s="89"/>
      <c r="L671" s="87"/>
      <c r="M671" s="80"/>
      <c r="N671" s="80"/>
      <c r="O671" s="80"/>
      <c r="P671" s="80"/>
      <c r="Q671" s="80"/>
      <c r="R671" s="80"/>
      <c r="S671" s="80"/>
      <c r="T671" s="80"/>
      <c r="U671" s="80"/>
      <c r="V671" s="80"/>
      <c r="W671" s="80"/>
      <c r="X671" s="80"/>
      <c r="Y671" s="80"/>
      <c r="Z671" s="80"/>
    </row>
    <row r="672">
      <c r="A672" s="87"/>
      <c r="B672" s="82"/>
      <c r="C672" s="82"/>
      <c r="D672" s="87"/>
      <c r="E672" s="87"/>
      <c r="F672" s="87"/>
      <c r="G672" s="87"/>
      <c r="H672" s="83"/>
      <c r="I672" s="83"/>
      <c r="J672" s="82"/>
      <c r="K672" s="89"/>
      <c r="L672" s="87"/>
      <c r="M672" s="80"/>
      <c r="N672" s="80"/>
      <c r="O672" s="80"/>
      <c r="P672" s="80"/>
      <c r="Q672" s="80"/>
      <c r="R672" s="80"/>
      <c r="S672" s="80"/>
      <c r="T672" s="80"/>
      <c r="U672" s="80"/>
      <c r="V672" s="80"/>
      <c r="W672" s="80"/>
      <c r="X672" s="80"/>
      <c r="Y672" s="80"/>
      <c r="Z672" s="80"/>
    </row>
    <row r="673">
      <c r="A673" s="87"/>
      <c r="B673" s="82"/>
      <c r="C673" s="82"/>
      <c r="D673" s="87"/>
      <c r="E673" s="87"/>
      <c r="F673" s="87"/>
      <c r="G673" s="87"/>
      <c r="H673" s="83"/>
      <c r="I673" s="83"/>
      <c r="J673" s="82"/>
      <c r="K673" s="89"/>
      <c r="L673" s="87"/>
      <c r="M673" s="80"/>
      <c r="N673" s="80"/>
      <c r="O673" s="80"/>
      <c r="P673" s="80"/>
      <c r="Q673" s="80"/>
      <c r="R673" s="80"/>
      <c r="S673" s="80"/>
      <c r="T673" s="80"/>
      <c r="U673" s="80"/>
      <c r="V673" s="80"/>
      <c r="W673" s="80"/>
      <c r="X673" s="80"/>
      <c r="Y673" s="80"/>
      <c r="Z673" s="80"/>
    </row>
    <row r="674">
      <c r="A674" s="87"/>
      <c r="B674" s="82"/>
      <c r="C674" s="82"/>
      <c r="D674" s="87"/>
      <c r="E674" s="87"/>
      <c r="F674" s="87"/>
      <c r="G674" s="87"/>
      <c r="H674" s="83"/>
      <c r="I674" s="83"/>
      <c r="J674" s="82"/>
      <c r="K674" s="89"/>
      <c r="L674" s="87"/>
      <c r="M674" s="80"/>
      <c r="N674" s="80"/>
      <c r="O674" s="80"/>
      <c r="P674" s="80"/>
      <c r="Q674" s="80"/>
      <c r="R674" s="80"/>
      <c r="S674" s="80"/>
      <c r="T674" s="80"/>
      <c r="U674" s="80"/>
      <c r="V674" s="80"/>
      <c r="W674" s="80"/>
      <c r="X674" s="80"/>
      <c r="Y674" s="80"/>
      <c r="Z674" s="80"/>
    </row>
    <row r="675">
      <c r="A675" s="87"/>
      <c r="B675" s="82"/>
      <c r="C675" s="82"/>
      <c r="D675" s="87"/>
      <c r="E675" s="87"/>
      <c r="F675" s="87"/>
      <c r="G675" s="87"/>
      <c r="H675" s="83"/>
      <c r="I675" s="83"/>
      <c r="J675" s="82"/>
      <c r="K675" s="89"/>
      <c r="L675" s="87"/>
      <c r="M675" s="80"/>
      <c r="N675" s="80"/>
      <c r="O675" s="80"/>
      <c r="P675" s="80"/>
      <c r="Q675" s="80"/>
      <c r="R675" s="80"/>
      <c r="S675" s="80"/>
      <c r="T675" s="80"/>
      <c r="U675" s="80"/>
      <c r="V675" s="80"/>
      <c r="W675" s="80"/>
      <c r="X675" s="80"/>
      <c r="Y675" s="80"/>
      <c r="Z675" s="80"/>
    </row>
    <row r="676">
      <c r="A676" s="87"/>
      <c r="B676" s="82"/>
      <c r="C676" s="82"/>
      <c r="D676" s="87"/>
      <c r="E676" s="87"/>
      <c r="F676" s="87"/>
      <c r="G676" s="87"/>
      <c r="H676" s="83"/>
      <c r="I676" s="83"/>
      <c r="J676" s="82"/>
      <c r="K676" s="89"/>
      <c r="L676" s="87"/>
      <c r="M676" s="80"/>
      <c r="N676" s="80"/>
      <c r="O676" s="80"/>
      <c r="P676" s="80"/>
      <c r="Q676" s="80"/>
      <c r="R676" s="80"/>
      <c r="S676" s="80"/>
      <c r="T676" s="80"/>
      <c r="U676" s="80"/>
      <c r="V676" s="80"/>
      <c r="W676" s="80"/>
      <c r="X676" s="80"/>
      <c r="Y676" s="80"/>
      <c r="Z676" s="80"/>
    </row>
    <row r="677">
      <c r="A677" s="87"/>
      <c r="B677" s="82"/>
      <c r="C677" s="82"/>
      <c r="D677" s="87"/>
      <c r="E677" s="87"/>
      <c r="F677" s="87"/>
      <c r="G677" s="87"/>
      <c r="H677" s="83"/>
      <c r="I677" s="83"/>
      <c r="J677" s="82"/>
      <c r="K677" s="89"/>
      <c r="L677" s="87"/>
      <c r="M677" s="80"/>
      <c r="N677" s="80"/>
      <c r="O677" s="80"/>
      <c r="P677" s="80"/>
      <c r="Q677" s="80"/>
      <c r="R677" s="80"/>
      <c r="S677" s="80"/>
      <c r="T677" s="80"/>
      <c r="U677" s="80"/>
      <c r="V677" s="80"/>
      <c r="W677" s="80"/>
      <c r="X677" s="80"/>
      <c r="Y677" s="80"/>
      <c r="Z677" s="80"/>
    </row>
    <row r="678">
      <c r="A678" s="87"/>
      <c r="B678" s="82"/>
      <c r="C678" s="82"/>
      <c r="D678" s="87"/>
      <c r="E678" s="87"/>
      <c r="F678" s="87"/>
      <c r="G678" s="87"/>
      <c r="H678" s="83"/>
      <c r="I678" s="83"/>
      <c r="J678" s="82"/>
      <c r="K678" s="89"/>
      <c r="L678" s="87"/>
      <c r="M678" s="80"/>
      <c r="N678" s="80"/>
      <c r="O678" s="80"/>
      <c r="P678" s="80"/>
      <c r="Q678" s="80"/>
      <c r="R678" s="80"/>
      <c r="S678" s="80"/>
      <c r="T678" s="80"/>
      <c r="U678" s="80"/>
      <c r="V678" s="80"/>
      <c r="W678" s="80"/>
      <c r="X678" s="80"/>
      <c r="Y678" s="80"/>
      <c r="Z678" s="80"/>
    </row>
    <row r="679">
      <c r="A679" s="87"/>
      <c r="B679" s="82"/>
      <c r="C679" s="82"/>
      <c r="D679" s="87"/>
      <c r="E679" s="87"/>
      <c r="F679" s="87"/>
      <c r="G679" s="87"/>
      <c r="H679" s="83"/>
      <c r="I679" s="83"/>
      <c r="J679" s="82"/>
      <c r="K679" s="89"/>
      <c r="L679" s="87"/>
      <c r="M679" s="80"/>
      <c r="N679" s="80"/>
      <c r="O679" s="80"/>
      <c r="P679" s="80"/>
      <c r="Q679" s="80"/>
      <c r="R679" s="80"/>
      <c r="S679" s="80"/>
      <c r="T679" s="80"/>
      <c r="U679" s="80"/>
      <c r="V679" s="80"/>
      <c r="W679" s="80"/>
      <c r="X679" s="80"/>
      <c r="Y679" s="80"/>
      <c r="Z679" s="80"/>
    </row>
    <row r="680">
      <c r="A680" s="87"/>
      <c r="B680" s="82"/>
      <c r="C680" s="82"/>
      <c r="D680" s="87"/>
      <c r="E680" s="87"/>
      <c r="F680" s="87"/>
      <c r="G680" s="87"/>
      <c r="H680" s="83"/>
      <c r="I680" s="83"/>
      <c r="J680" s="82"/>
      <c r="K680" s="89"/>
      <c r="L680" s="87"/>
      <c r="M680" s="80"/>
      <c r="N680" s="80"/>
      <c r="O680" s="80"/>
      <c r="P680" s="80"/>
      <c r="Q680" s="80"/>
      <c r="R680" s="80"/>
      <c r="S680" s="80"/>
      <c r="T680" s="80"/>
      <c r="U680" s="80"/>
      <c r="V680" s="80"/>
      <c r="W680" s="80"/>
      <c r="X680" s="80"/>
      <c r="Y680" s="80"/>
      <c r="Z680" s="80"/>
    </row>
    <row r="681">
      <c r="A681" s="87"/>
      <c r="B681" s="82"/>
      <c r="C681" s="82"/>
      <c r="D681" s="87"/>
      <c r="E681" s="87"/>
      <c r="F681" s="87"/>
      <c r="G681" s="87"/>
      <c r="H681" s="83"/>
      <c r="I681" s="83"/>
      <c r="J681" s="82"/>
      <c r="K681" s="89"/>
      <c r="L681" s="87"/>
      <c r="M681" s="80"/>
      <c r="N681" s="80"/>
      <c r="O681" s="80"/>
      <c r="P681" s="80"/>
      <c r="Q681" s="80"/>
      <c r="R681" s="80"/>
      <c r="S681" s="80"/>
      <c r="T681" s="80"/>
      <c r="U681" s="80"/>
      <c r="V681" s="80"/>
      <c r="W681" s="80"/>
      <c r="X681" s="80"/>
      <c r="Y681" s="80"/>
      <c r="Z681" s="80"/>
    </row>
    <row r="682">
      <c r="A682" s="87"/>
      <c r="B682" s="82"/>
      <c r="C682" s="82"/>
      <c r="D682" s="87"/>
      <c r="E682" s="87"/>
      <c r="F682" s="87"/>
      <c r="G682" s="87"/>
      <c r="H682" s="83"/>
      <c r="I682" s="83"/>
      <c r="J682" s="82"/>
      <c r="K682" s="89"/>
      <c r="L682" s="87"/>
      <c r="M682" s="80"/>
      <c r="N682" s="80"/>
      <c r="O682" s="80"/>
      <c r="P682" s="80"/>
      <c r="Q682" s="80"/>
      <c r="R682" s="80"/>
      <c r="S682" s="80"/>
      <c r="T682" s="80"/>
      <c r="U682" s="80"/>
      <c r="V682" s="80"/>
      <c r="W682" s="80"/>
      <c r="X682" s="80"/>
      <c r="Y682" s="80"/>
      <c r="Z682" s="80"/>
    </row>
    <row r="683">
      <c r="A683" s="87"/>
      <c r="B683" s="82"/>
      <c r="C683" s="82"/>
      <c r="D683" s="87"/>
      <c r="E683" s="87"/>
      <c r="F683" s="87"/>
      <c r="G683" s="87"/>
      <c r="H683" s="83"/>
      <c r="I683" s="83"/>
      <c r="J683" s="82"/>
      <c r="K683" s="89"/>
      <c r="L683" s="87"/>
      <c r="M683" s="80"/>
      <c r="N683" s="80"/>
      <c r="O683" s="80"/>
      <c r="P683" s="80"/>
      <c r="Q683" s="80"/>
      <c r="R683" s="80"/>
      <c r="S683" s="80"/>
      <c r="T683" s="80"/>
      <c r="U683" s="80"/>
      <c r="V683" s="80"/>
      <c r="W683" s="80"/>
      <c r="X683" s="80"/>
      <c r="Y683" s="80"/>
      <c r="Z683" s="80"/>
    </row>
    <row r="684">
      <c r="A684" s="87"/>
      <c r="B684" s="82"/>
      <c r="C684" s="82"/>
      <c r="D684" s="87"/>
      <c r="E684" s="87"/>
      <c r="F684" s="87"/>
      <c r="G684" s="87"/>
      <c r="H684" s="83"/>
      <c r="I684" s="83"/>
      <c r="J684" s="82"/>
      <c r="K684" s="89"/>
      <c r="L684" s="87"/>
      <c r="M684" s="80"/>
      <c r="N684" s="80"/>
      <c r="O684" s="80"/>
      <c r="P684" s="80"/>
      <c r="Q684" s="80"/>
      <c r="R684" s="80"/>
      <c r="S684" s="80"/>
      <c r="T684" s="80"/>
      <c r="U684" s="80"/>
      <c r="V684" s="80"/>
      <c r="W684" s="80"/>
      <c r="X684" s="80"/>
      <c r="Y684" s="80"/>
      <c r="Z684" s="80"/>
    </row>
    <row r="685">
      <c r="A685" s="87"/>
      <c r="B685" s="82"/>
      <c r="C685" s="82"/>
      <c r="D685" s="87"/>
      <c r="E685" s="87"/>
      <c r="F685" s="87"/>
      <c r="G685" s="87"/>
      <c r="H685" s="83"/>
      <c r="I685" s="83"/>
      <c r="J685" s="82"/>
      <c r="K685" s="89"/>
      <c r="L685" s="87"/>
      <c r="M685" s="80"/>
      <c r="N685" s="80"/>
      <c r="O685" s="80"/>
      <c r="P685" s="80"/>
      <c r="Q685" s="80"/>
      <c r="R685" s="80"/>
      <c r="S685" s="80"/>
      <c r="T685" s="80"/>
      <c r="U685" s="80"/>
      <c r="V685" s="80"/>
      <c r="W685" s="80"/>
      <c r="X685" s="80"/>
      <c r="Y685" s="80"/>
      <c r="Z685" s="80"/>
    </row>
    <row r="686">
      <c r="A686" s="87"/>
      <c r="B686" s="82"/>
      <c r="C686" s="82"/>
      <c r="D686" s="87"/>
      <c r="E686" s="87"/>
      <c r="F686" s="87"/>
      <c r="G686" s="87"/>
      <c r="H686" s="83"/>
      <c r="I686" s="83"/>
      <c r="J686" s="82"/>
      <c r="K686" s="89"/>
      <c r="L686" s="87"/>
      <c r="M686" s="80"/>
      <c r="N686" s="80"/>
      <c r="O686" s="80"/>
      <c r="P686" s="80"/>
      <c r="Q686" s="80"/>
      <c r="R686" s="80"/>
      <c r="S686" s="80"/>
      <c r="T686" s="80"/>
      <c r="U686" s="80"/>
      <c r="V686" s="80"/>
      <c r="W686" s="80"/>
      <c r="X686" s="80"/>
      <c r="Y686" s="80"/>
      <c r="Z686" s="80"/>
    </row>
    <row r="687">
      <c r="A687" s="87"/>
      <c r="B687" s="82"/>
      <c r="C687" s="82"/>
      <c r="D687" s="87"/>
      <c r="E687" s="87"/>
      <c r="F687" s="87"/>
      <c r="G687" s="87"/>
      <c r="H687" s="83"/>
      <c r="I687" s="83"/>
      <c r="J687" s="82"/>
      <c r="K687" s="89"/>
      <c r="L687" s="87"/>
      <c r="M687" s="80"/>
      <c r="N687" s="80"/>
      <c r="O687" s="80"/>
      <c r="P687" s="80"/>
      <c r="Q687" s="80"/>
      <c r="R687" s="80"/>
      <c r="S687" s="80"/>
      <c r="T687" s="80"/>
      <c r="U687" s="80"/>
      <c r="V687" s="80"/>
      <c r="W687" s="80"/>
      <c r="X687" s="80"/>
      <c r="Y687" s="80"/>
      <c r="Z687" s="80"/>
    </row>
    <row r="688">
      <c r="A688" s="87"/>
      <c r="B688" s="82"/>
      <c r="C688" s="82"/>
      <c r="D688" s="87"/>
      <c r="E688" s="87"/>
      <c r="F688" s="87"/>
      <c r="G688" s="87"/>
      <c r="H688" s="83"/>
      <c r="I688" s="83"/>
      <c r="J688" s="82"/>
      <c r="K688" s="89"/>
      <c r="L688" s="87"/>
      <c r="M688" s="80"/>
      <c r="N688" s="80"/>
      <c r="O688" s="80"/>
      <c r="P688" s="80"/>
      <c r="Q688" s="80"/>
      <c r="R688" s="80"/>
      <c r="S688" s="80"/>
      <c r="T688" s="80"/>
      <c r="U688" s="80"/>
      <c r="V688" s="80"/>
      <c r="W688" s="80"/>
      <c r="X688" s="80"/>
      <c r="Y688" s="80"/>
      <c r="Z688" s="80"/>
    </row>
    <row r="689">
      <c r="A689" s="87"/>
      <c r="B689" s="82"/>
      <c r="C689" s="82"/>
      <c r="D689" s="87"/>
      <c r="E689" s="87"/>
      <c r="F689" s="87"/>
      <c r="G689" s="87"/>
      <c r="H689" s="83"/>
      <c r="I689" s="83"/>
      <c r="J689" s="82"/>
      <c r="K689" s="89"/>
      <c r="L689" s="87"/>
      <c r="M689" s="80"/>
      <c r="N689" s="80"/>
      <c r="O689" s="80"/>
      <c r="P689" s="80"/>
      <c r="Q689" s="80"/>
      <c r="R689" s="80"/>
      <c r="S689" s="80"/>
      <c r="T689" s="80"/>
      <c r="U689" s="80"/>
      <c r="V689" s="80"/>
      <c r="W689" s="80"/>
      <c r="X689" s="80"/>
      <c r="Y689" s="80"/>
      <c r="Z689" s="80"/>
    </row>
    <row r="690">
      <c r="A690" s="87"/>
      <c r="B690" s="82"/>
      <c r="C690" s="82"/>
      <c r="D690" s="87"/>
      <c r="E690" s="87"/>
      <c r="F690" s="87"/>
      <c r="G690" s="87"/>
      <c r="H690" s="83"/>
      <c r="I690" s="83"/>
      <c r="J690" s="82"/>
      <c r="K690" s="89"/>
      <c r="L690" s="87"/>
      <c r="M690" s="80"/>
      <c r="N690" s="80"/>
      <c r="O690" s="80"/>
      <c r="P690" s="80"/>
      <c r="Q690" s="80"/>
      <c r="R690" s="80"/>
      <c r="S690" s="80"/>
      <c r="T690" s="80"/>
      <c r="U690" s="80"/>
      <c r="V690" s="80"/>
      <c r="W690" s="80"/>
      <c r="X690" s="80"/>
      <c r="Y690" s="80"/>
      <c r="Z690" s="80"/>
    </row>
    <row r="691">
      <c r="A691" s="87"/>
      <c r="B691" s="82"/>
      <c r="C691" s="82"/>
      <c r="D691" s="87"/>
      <c r="E691" s="87"/>
      <c r="F691" s="87"/>
      <c r="G691" s="87"/>
      <c r="H691" s="83"/>
      <c r="I691" s="83"/>
      <c r="J691" s="82"/>
      <c r="K691" s="89"/>
      <c r="L691" s="87"/>
      <c r="M691" s="80"/>
      <c r="N691" s="80"/>
      <c r="O691" s="80"/>
      <c r="P691" s="80"/>
      <c r="Q691" s="80"/>
      <c r="R691" s="80"/>
      <c r="S691" s="80"/>
      <c r="T691" s="80"/>
      <c r="U691" s="80"/>
      <c r="V691" s="80"/>
      <c r="W691" s="80"/>
      <c r="X691" s="80"/>
      <c r="Y691" s="80"/>
      <c r="Z691" s="80"/>
    </row>
    <row r="692">
      <c r="A692" s="87"/>
      <c r="B692" s="82"/>
      <c r="C692" s="82"/>
      <c r="D692" s="87"/>
      <c r="E692" s="87"/>
      <c r="F692" s="87"/>
      <c r="G692" s="87"/>
      <c r="H692" s="83"/>
      <c r="I692" s="83"/>
      <c r="J692" s="82"/>
      <c r="K692" s="89"/>
      <c r="L692" s="87"/>
      <c r="M692" s="80"/>
      <c r="N692" s="80"/>
      <c r="O692" s="80"/>
      <c r="P692" s="80"/>
      <c r="Q692" s="80"/>
      <c r="R692" s="80"/>
      <c r="S692" s="80"/>
      <c r="T692" s="80"/>
      <c r="U692" s="80"/>
      <c r="V692" s="80"/>
      <c r="W692" s="80"/>
      <c r="X692" s="80"/>
      <c r="Y692" s="80"/>
      <c r="Z692" s="80"/>
    </row>
    <row r="693">
      <c r="A693" s="87"/>
      <c r="B693" s="82"/>
      <c r="C693" s="82"/>
      <c r="D693" s="87"/>
      <c r="E693" s="87"/>
      <c r="F693" s="87"/>
      <c r="G693" s="87"/>
      <c r="H693" s="83"/>
      <c r="I693" s="83"/>
      <c r="J693" s="82"/>
      <c r="K693" s="89"/>
      <c r="L693" s="87"/>
      <c r="M693" s="80"/>
      <c r="N693" s="80"/>
      <c r="O693" s="80"/>
      <c r="P693" s="80"/>
      <c r="Q693" s="80"/>
      <c r="R693" s="80"/>
      <c r="S693" s="80"/>
      <c r="T693" s="80"/>
      <c r="U693" s="80"/>
      <c r="V693" s="80"/>
      <c r="W693" s="80"/>
      <c r="X693" s="80"/>
      <c r="Y693" s="80"/>
      <c r="Z693" s="80"/>
    </row>
    <row r="694">
      <c r="A694" s="87"/>
      <c r="B694" s="82"/>
      <c r="C694" s="82"/>
      <c r="D694" s="87"/>
      <c r="E694" s="87"/>
      <c r="F694" s="87"/>
      <c r="G694" s="87"/>
      <c r="H694" s="83"/>
      <c r="I694" s="83"/>
      <c r="J694" s="82"/>
      <c r="K694" s="89"/>
      <c r="L694" s="87"/>
      <c r="M694" s="80"/>
      <c r="N694" s="80"/>
      <c r="O694" s="80"/>
      <c r="P694" s="80"/>
      <c r="Q694" s="80"/>
      <c r="R694" s="80"/>
      <c r="S694" s="80"/>
      <c r="T694" s="80"/>
      <c r="U694" s="80"/>
      <c r="V694" s="80"/>
      <c r="W694" s="80"/>
      <c r="X694" s="80"/>
      <c r="Y694" s="80"/>
      <c r="Z694" s="80"/>
    </row>
    <row r="695">
      <c r="A695" s="87"/>
      <c r="B695" s="82"/>
      <c r="C695" s="82"/>
      <c r="D695" s="87"/>
      <c r="E695" s="87"/>
      <c r="F695" s="87"/>
      <c r="G695" s="87"/>
      <c r="H695" s="83"/>
      <c r="I695" s="83"/>
      <c r="J695" s="82"/>
      <c r="K695" s="89"/>
      <c r="L695" s="87"/>
      <c r="M695" s="80"/>
      <c r="N695" s="80"/>
      <c r="O695" s="80"/>
      <c r="P695" s="80"/>
      <c r="Q695" s="80"/>
      <c r="R695" s="80"/>
      <c r="S695" s="80"/>
      <c r="T695" s="80"/>
      <c r="U695" s="80"/>
      <c r="V695" s="80"/>
      <c r="W695" s="80"/>
      <c r="X695" s="80"/>
      <c r="Y695" s="80"/>
      <c r="Z695" s="80"/>
    </row>
    <row r="696">
      <c r="A696" s="87"/>
      <c r="B696" s="82"/>
      <c r="C696" s="82"/>
      <c r="D696" s="87"/>
      <c r="E696" s="87"/>
      <c r="F696" s="87"/>
      <c r="G696" s="87"/>
      <c r="H696" s="83"/>
      <c r="I696" s="83"/>
      <c r="J696" s="82"/>
      <c r="K696" s="89"/>
      <c r="L696" s="87"/>
      <c r="M696" s="80"/>
      <c r="N696" s="80"/>
      <c r="O696" s="80"/>
      <c r="P696" s="80"/>
      <c r="Q696" s="80"/>
      <c r="R696" s="80"/>
      <c r="S696" s="80"/>
      <c r="T696" s="80"/>
      <c r="U696" s="80"/>
      <c r="V696" s="80"/>
      <c r="W696" s="80"/>
      <c r="X696" s="80"/>
      <c r="Y696" s="80"/>
      <c r="Z696" s="80"/>
    </row>
    <row r="697">
      <c r="A697" s="87"/>
      <c r="B697" s="82"/>
      <c r="C697" s="82"/>
      <c r="D697" s="87"/>
      <c r="E697" s="87"/>
      <c r="F697" s="87"/>
      <c r="G697" s="87"/>
      <c r="H697" s="83"/>
      <c r="I697" s="83"/>
      <c r="J697" s="82"/>
      <c r="K697" s="89"/>
      <c r="L697" s="87"/>
      <c r="M697" s="80"/>
      <c r="N697" s="80"/>
      <c r="O697" s="80"/>
      <c r="P697" s="80"/>
      <c r="Q697" s="80"/>
      <c r="R697" s="80"/>
      <c r="S697" s="80"/>
      <c r="T697" s="80"/>
      <c r="U697" s="80"/>
      <c r="V697" s="80"/>
      <c r="W697" s="80"/>
      <c r="X697" s="80"/>
      <c r="Y697" s="80"/>
      <c r="Z697" s="80"/>
    </row>
    <row r="698">
      <c r="A698" s="87"/>
      <c r="B698" s="82"/>
      <c r="C698" s="82"/>
      <c r="D698" s="87"/>
      <c r="E698" s="87"/>
      <c r="F698" s="87"/>
      <c r="G698" s="87"/>
      <c r="H698" s="83"/>
      <c r="I698" s="83"/>
      <c r="J698" s="82"/>
      <c r="K698" s="89"/>
      <c r="L698" s="87"/>
      <c r="M698" s="80"/>
      <c r="N698" s="80"/>
      <c r="O698" s="80"/>
      <c r="P698" s="80"/>
      <c r="Q698" s="80"/>
      <c r="R698" s="80"/>
      <c r="S698" s="80"/>
      <c r="T698" s="80"/>
      <c r="U698" s="80"/>
      <c r="V698" s="80"/>
      <c r="W698" s="80"/>
      <c r="X698" s="80"/>
      <c r="Y698" s="80"/>
      <c r="Z698" s="80"/>
    </row>
    <row r="699">
      <c r="A699" s="87"/>
      <c r="B699" s="82"/>
      <c r="C699" s="82"/>
      <c r="D699" s="87"/>
      <c r="E699" s="87"/>
      <c r="F699" s="87"/>
      <c r="G699" s="87"/>
      <c r="H699" s="83"/>
      <c r="I699" s="83"/>
      <c r="J699" s="82"/>
      <c r="K699" s="89"/>
      <c r="L699" s="87"/>
      <c r="M699" s="80"/>
      <c r="N699" s="80"/>
      <c r="O699" s="80"/>
      <c r="P699" s="80"/>
      <c r="Q699" s="80"/>
      <c r="R699" s="80"/>
      <c r="S699" s="80"/>
      <c r="T699" s="80"/>
      <c r="U699" s="80"/>
      <c r="V699" s="80"/>
      <c r="W699" s="80"/>
      <c r="X699" s="80"/>
      <c r="Y699" s="80"/>
      <c r="Z699" s="80"/>
    </row>
    <row r="700">
      <c r="A700" s="87"/>
      <c r="B700" s="82"/>
      <c r="C700" s="82"/>
      <c r="D700" s="87"/>
      <c r="E700" s="87"/>
      <c r="F700" s="87"/>
      <c r="G700" s="87"/>
      <c r="H700" s="83"/>
      <c r="I700" s="83"/>
      <c r="J700" s="82"/>
      <c r="K700" s="89"/>
      <c r="L700" s="87"/>
      <c r="M700" s="80"/>
      <c r="N700" s="80"/>
      <c r="O700" s="80"/>
      <c r="P700" s="80"/>
      <c r="Q700" s="80"/>
      <c r="R700" s="80"/>
      <c r="S700" s="80"/>
      <c r="T700" s="80"/>
      <c r="U700" s="80"/>
      <c r="V700" s="80"/>
      <c r="W700" s="80"/>
      <c r="X700" s="80"/>
      <c r="Y700" s="80"/>
      <c r="Z700" s="80"/>
    </row>
    <row r="701">
      <c r="A701" s="87"/>
      <c r="B701" s="82"/>
      <c r="C701" s="82"/>
      <c r="D701" s="87"/>
      <c r="E701" s="87"/>
      <c r="F701" s="87"/>
      <c r="G701" s="87"/>
      <c r="H701" s="83"/>
      <c r="I701" s="83"/>
      <c r="J701" s="82"/>
      <c r="K701" s="89"/>
      <c r="L701" s="87"/>
      <c r="M701" s="80"/>
      <c r="N701" s="80"/>
      <c r="O701" s="80"/>
      <c r="P701" s="80"/>
      <c r="Q701" s="80"/>
      <c r="R701" s="80"/>
      <c r="S701" s="80"/>
      <c r="T701" s="80"/>
      <c r="U701" s="80"/>
      <c r="V701" s="80"/>
      <c r="W701" s="80"/>
      <c r="X701" s="80"/>
      <c r="Y701" s="80"/>
      <c r="Z701" s="80"/>
    </row>
    <row r="702">
      <c r="A702" s="87"/>
      <c r="B702" s="82"/>
      <c r="C702" s="82"/>
      <c r="D702" s="87"/>
      <c r="E702" s="87"/>
      <c r="F702" s="87"/>
      <c r="G702" s="87"/>
      <c r="H702" s="83"/>
      <c r="I702" s="83"/>
      <c r="J702" s="82"/>
      <c r="K702" s="89"/>
      <c r="L702" s="87"/>
      <c r="M702" s="80"/>
      <c r="N702" s="80"/>
      <c r="O702" s="80"/>
      <c r="P702" s="80"/>
      <c r="Q702" s="80"/>
      <c r="R702" s="80"/>
      <c r="S702" s="80"/>
      <c r="T702" s="80"/>
      <c r="U702" s="80"/>
      <c r="V702" s="80"/>
      <c r="W702" s="80"/>
      <c r="X702" s="80"/>
      <c r="Y702" s="80"/>
      <c r="Z702" s="80"/>
    </row>
    <row r="703">
      <c r="A703" s="87"/>
      <c r="B703" s="82"/>
      <c r="C703" s="82"/>
      <c r="D703" s="87"/>
      <c r="E703" s="87"/>
      <c r="F703" s="87"/>
      <c r="G703" s="87"/>
      <c r="H703" s="83"/>
      <c r="I703" s="83"/>
      <c r="J703" s="82"/>
      <c r="K703" s="89"/>
      <c r="L703" s="87"/>
      <c r="M703" s="80"/>
      <c r="N703" s="80"/>
      <c r="O703" s="80"/>
      <c r="P703" s="80"/>
      <c r="Q703" s="80"/>
      <c r="R703" s="80"/>
      <c r="S703" s="80"/>
      <c r="T703" s="80"/>
      <c r="U703" s="80"/>
      <c r="V703" s="80"/>
      <c r="W703" s="80"/>
      <c r="X703" s="80"/>
      <c r="Y703" s="80"/>
      <c r="Z703" s="80"/>
    </row>
    <row r="704">
      <c r="A704" s="87"/>
      <c r="B704" s="82"/>
      <c r="C704" s="82"/>
      <c r="D704" s="87"/>
      <c r="E704" s="87"/>
      <c r="F704" s="87"/>
      <c r="G704" s="87"/>
      <c r="H704" s="83"/>
      <c r="I704" s="83"/>
      <c r="J704" s="82"/>
      <c r="K704" s="89"/>
      <c r="L704" s="87"/>
      <c r="M704" s="80"/>
      <c r="N704" s="80"/>
      <c r="O704" s="80"/>
      <c r="P704" s="80"/>
      <c r="Q704" s="80"/>
      <c r="R704" s="80"/>
      <c r="S704" s="80"/>
      <c r="T704" s="80"/>
      <c r="U704" s="80"/>
      <c r="V704" s="80"/>
      <c r="W704" s="80"/>
      <c r="X704" s="80"/>
      <c r="Y704" s="80"/>
      <c r="Z704" s="80"/>
    </row>
    <row r="705">
      <c r="A705" s="87"/>
      <c r="B705" s="82"/>
      <c r="C705" s="82"/>
      <c r="D705" s="87"/>
      <c r="E705" s="87"/>
      <c r="F705" s="87"/>
      <c r="G705" s="87"/>
      <c r="H705" s="83"/>
      <c r="I705" s="83"/>
      <c r="J705" s="82"/>
      <c r="K705" s="89"/>
      <c r="L705" s="87"/>
      <c r="M705" s="80"/>
      <c r="N705" s="80"/>
      <c r="O705" s="80"/>
      <c r="P705" s="80"/>
      <c r="Q705" s="80"/>
      <c r="R705" s="80"/>
      <c r="S705" s="80"/>
      <c r="T705" s="80"/>
      <c r="U705" s="80"/>
      <c r="V705" s="80"/>
      <c r="W705" s="80"/>
      <c r="X705" s="80"/>
      <c r="Y705" s="80"/>
      <c r="Z705" s="80"/>
    </row>
    <row r="706">
      <c r="A706" s="87"/>
      <c r="B706" s="82"/>
      <c r="C706" s="82"/>
      <c r="D706" s="87"/>
      <c r="E706" s="87"/>
      <c r="F706" s="87"/>
      <c r="G706" s="87"/>
      <c r="H706" s="83"/>
      <c r="I706" s="83"/>
      <c r="J706" s="82"/>
      <c r="K706" s="89"/>
      <c r="L706" s="87"/>
      <c r="M706" s="80"/>
      <c r="N706" s="80"/>
      <c r="O706" s="80"/>
      <c r="P706" s="80"/>
      <c r="Q706" s="80"/>
      <c r="R706" s="80"/>
      <c r="S706" s="80"/>
      <c r="T706" s="80"/>
      <c r="U706" s="80"/>
      <c r="V706" s="80"/>
      <c r="W706" s="80"/>
      <c r="X706" s="80"/>
      <c r="Y706" s="80"/>
      <c r="Z706" s="80"/>
    </row>
    <row r="707">
      <c r="A707" s="87"/>
      <c r="B707" s="82"/>
      <c r="C707" s="82"/>
      <c r="D707" s="87"/>
      <c r="E707" s="87"/>
      <c r="F707" s="87"/>
      <c r="G707" s="87"/>
      <c r="H707" s="83"/>
      <c r="I707" s="83"/>
      <c r="J707" s="82"/>
      <c r="K707" s="89"/>
      <c r="L707" s="87"/>
      <c r="M707" s="80"/>
      <c r="N707" s="80"/>
      <c r="O707" s="80"/>
      <c r="P707" s="80"/>
      <c r="Q707" s="80"/>
      <c r="R707" s="80"/>
      <c r="S707" s="80"/>
      <c r="T707" s="80"/>
      <c r="U707" s="80"/>
      <c r="V707" s="80"/>
      <c r="W707" s="80"/>
      <c r="X707" s="80"/>
      <c r="Y707" s="80"/>
      <c r="Z707" s="80"/>
    </row>
    <row r="708">
      <c r="A708" s="87"/>
      <c r="B708" s="82"/>
      <c r="C708" s="82"/>
      <c r="D708" s="87"/>
      <c r="E708" s="87"/>
      <c r="F708" s="87"/>
      <c r="G708" s="87"/>
      <c r="H708" s="83"/>
      <c r="I708" s="83"/>
      <c r="J708" s="82"/>
      <c r="K708" s="89"/>
      <c r="L708" s="87"/>
      <c r="M708" s="80"/>
      <c r="N708" s="80"/>
      <c r="O708" s="80"/>
      <c r="P708" s="80"/>
      <c r="Q708" s="80"/>
      <c r="R708" s="80"/>
      <c r="S708" s="80"/>
      <c r="T708" s="80"/>
      <c r="U708" s="80"/>
      <c r="V708" s="80"/>
      <c r="W708" s="80"/>
      <c r="X708" s="80"/>
      <c r="Y708" s="80"/>
      <c r="Z708" s="80"/>
    </row>
    <row r="709">
      <c r="A709" s="87"/>
      <c r="B709" s="82"/>
      <c r="C709" s="82"/>
      <c r="D709" s="87"/>
      <c r="E709" s="87"/>
      <c r="F709" s="87"/>
      <c r="G709" s="87"/>
      <c r="H709" s="83"/>
      <c r="I709" s="83"/>
      <c r="J709" s="82"/>
      <c r="K709" s="89"/>
      <c r="L709" s="87"/>
      <c r="M709" s="80"/>
      <c r="N709" s="80"/>
      <c r="O709" s="80"/>
      <c r="P709" s="80"/>
      <c r="Q709" s="80"/>
      <c r="R709" s="80"/>
      <c r="S709" s="80"/>
      <c r="T709" s="80"/>
      <c r="U709" s="80"/>
      <c r="V709" s="80"/>
      <c r="W709" s="80"/>
      <c r="X709" s="80"/>
      <c r="Y709" s="80"/>
      <c r="Z709" s="80"/>
    </row>
    <row r="710">
      <c r="A710" s="87"/>
      <c r="B710" s="82"/>
      <c r="C710" s="82"/>
      <c r="D710" s="87"/>
      <c r="E710" s="87"/>
      <c r="F710" s="87"/>
      <c r="G710" s="87"/>
      <c r="H710" s="83"/>
      <c r="I710" s="83"/>
      <c r="J710" s="82"/>
      <c r="K710" s="89"/>
      <c r="L710" s="87"/>
      <c r="M710" s="80"/>
      <c r="N710" s="80"/>
      <c r="O710" s="80"/>
      <c r="P710" s="80"/>
      <c r="Q710" s="80"/>
      <c r="R710" s="80"/>
      <c r="S710" s="80"/>
      <c r="T710" s="80"/>
      <c r="U710" s="80"/>
      <c r="V710" s="80"/>
      <c r="W710" s="80"/>
      <c r="X710" s="80"/>
      <c r="Y710" s="80"/>
      <c r="Z710" s="80"/>
    </row>
    <row r="711">
      <c r="A711" s="87"/>
      <c r="B711" s="82"/>
      <c r="C711" s="82"/>
      <c r="D711" s="87"/>
      <c r="E711" s="87"/>
      <c r="F711" s="87"/>
      <c r="G711" s="87"/>
      <c r="H711" s="83"/>
      <c r="I711" s="83"/>
      <c r="J711" s="82"/>
      <c r="K711" s="89"/>
      <c r="L711" s="87"/>
      <c r="M711" s="80"/>
      <c r="N711" s="80"/>
      <c r="O711" s="80"/>
      <c r="P711" s="80"/>
      <c r="Q711" s="80"/>
      <c r="R711" s="80"/>
      <c r="S711" s="80"/>
      <c r="T711" s="80"/>
      <c r="U711" s="80"/>
      <c r="V711" s="80"/>
      <c r="W711" s="80"/>
      <c r="X711" s="80"/>
      <c r="Y711" s="80"/>
      <c r="Z711" s="80"/>
    </row>
    <row r="712">
      <c r="A712" s="87"/>
      <c r="B712" s="82"/>
      <c r="C712" s="82"/>
      <c r="D712" s="87"/>
      <c r="E712" s="87"/>
      <c r="F712" s="87"/>
      <c r="G712" s="87"/>
      <c r="H712" s="83"/>
      <c r="I712" s="83"/>
      <c r="J712" s="82"/>
      <c r="K712" s="89"/>
      <c r="L712" s="87"/>
      <c r="M712" s="80"/>
      <c r="N712" s="80"/>
      <c r="O712" s="80"/>
      <c r="P712" s="80"/>
      <c r="Q712" s="80"/>
      <c r="R712" s="80"/>
      <c r="S712" s="80"/>
      <c r="T712" s="80"/>
      <c r="U712" s="80"/>
      <c r="V712" s="80"/>
      <c r="W712" s="80"/>
      <c r="X712" s="80"/>
      <c r="Y712" s="80"/>
      <c r="Z712" s="80"/>
    </row>
    <row r="713">
      <c r="A713" s="87"/>
      <c r="B713" s="82"/>
      <c r="C713" s="82"/>
      <c r="D713" s="87"/>
      <c r="E713" s="87"/>
      <c r="F713" s="87"/>
      <c r="G713" s="87"/>
      <c r="H713" s="83"/>
      <c r="I713" s="83"/>
      <c r="J713" s="82"/>
      <c r="K713" s="89"/>
      <c r="L713" s="87"/>
      <c r="M713" s="80"/>
      <c r="N713" s="80"/>
      <c r="O713" s="80"/>
      <c r="P713" s="80"/>
      <c r="Q713" s="80"/>
      <c r="R713" s="80"/>
      <c r="S713" s="80"/>
      <c r="T713" s="80"/>
      <c r="U713" s="80"/>
      <c r="V713" s="80"/>
      <c r="W713" s="80"/>
      <c r="X713" s="80"/>
      <c r="Y713" s="80"/>
      <c r="Z713" s="80"/>
    </row>
    <row r="714">
      <c r="A714" s="87"/>
      <c r="B714" s="82"/>
      <c r="C714" s="82"/>
      <c r="D714" s="87"/>
      <c r="E714" s="87"/>
      <c r="F714" s="87"/>
      <c r="G714" s="87"/>
      <c r="H714" s="83"/>
      <c r="I714" s="83"/>
      <c r="J714" s="82"/>
      <c r="K714" s="89"/>
      <c r="L714" s="87"/>
      <c r="M714" s="80"/>
      <c r="N714" s="80"/>
      <c r="O714" s="80"/>
      <c r="P714" s="80"/>
      <c r="Q714" s="80"/>
      <c r="R714" s="80"/>
      <c r="S714" s="80"/>
      <c r="T714" s="80"/>
      <c r="U714" s="80"/>
      <c r="V714" s="80"/>
      <c r="W714" s="80"/>
      <c r="X714" s="80"/>
      <c r="Y714" s="80"/>
      <c r="Z714" s="80"/>
    </row>
    <row r="715">
      <c r="A715" s="87"/>
      <c r="B715" s="82"/>
      <c r="C715" s="82"/>
      <c r="D715" s="87"/>
      <c r="E715" s="87"/>
      <c r="F715" s="87"/>
      <c r="G715" s="87"/>
      <c r="H715" s="83"/>
      <c r="I715" s="83"/>
      <c r="J715" s="82"/>
      <c r="K715" s="89"/>
      <c r="L715" s="87"/>
      <c r="M715" s="80"/>
      <c r="N715" s="80"/>
      <c r="O715" s="80"/>
      <c r="P715" s="80"/>
      <c r="Q715" s="80"/>
      <c r="R715" s="80"/>
      <c r="S715" s="80"/>
      <c r="T715" s="80"/>
      <c r="U715" s="80"/>
      <c r="V715" s="80"/>
      <c r="W715" s="80"/>
      <c r="X715" s="80"/>
      <c r="Y715" s="80"/>
      <c r="Z715" s="80"/>
    </row>
    <row r="716">
      <c r="A716" s="87"/>
      <c r="B716" s="82"/>
      <c r="C716" s="82"/>
      <c r="D716" s="87"/>
      <c r="E716" s="87"/>
      <c r="F716" s="87"/>
      <c r="G716" s="87"/>
      <c r="H716" s="83"/>
      <c r="I716" s="83"/>
      <c r="J716" s="82"/>
      <c r="K716" s="89"/>
      <c r="L716" s="87"/>
      <c r="M716" s="80"/>
      <c r="N716" s="80"/>
      <c r="O716" s="80"/>
      <c r="P716" s="80"/>
      <c r="Q716" s="80"/>
      <c r="R716" s="80"/>
      <c r="S716" s="80"/>
      <c r="T716" s="80"/>
      <c r="U716" s="80"/>
      <c r="V716" s="80"/>
      <c r="W716" s="80"/>
      <c r="X716" s="80"/>
      <c r="Y716" s="80"/>
      <c r="Z716" s="80"/>
    </row>
    <row r="717">
      <c r="A717" s="87"/>
      <c r="B717" s="82"/>
      <c r="C717" s="82"/>
      <c r="D717" s="87"/>
      <c r="E717" s="87"/>
      <c r="F717" s="87"/>
      <c r="G717" s="87"/>
      <c r="H717" s="83"/>
      <c r="I717" s="83"/>
      <c r="J717" s="82"/>
      <c r="K717" s="89"/>
      <c r="L717" s="87"/>
      <c r="M717" s="80"/>
      <c r="N717" s="80"/>
      <c r="O717" s="80"/>
      <c r="P717" s="80"/>
      <c r="Q717" s="80"/>
      <c r="R717" s="80"/>
      <c r="S717" s="80"/>
      <c r="T717" s="80"/>
      <c r="U717" s="80"/>
      <c r="V717" s="80"/>
      <c r="W717" s="80"/>
      <c r="X717" s="80"/>
      <c r="Y717" s="80"/>
      <c r="Z717" s="80"/>
    </row>
    <row r="718">
      <c r="A718" s="87"/>
      <c r="B718" s="82"/>
      <c r="C718" s="82"/>
      <c r="D718" s="87"/>
      <c r="E718" s="87"/>
      <c r="F718" s="87"/>
      <c r="G718" s="87"/>
      <c r="H718" s="83"/>
      <c r="I718" s="83"/>
      <c r="J718" s="82"/>
      <c r="K718" s="89"/>
      <c r="L718" s="87"/>
      <c r="M718" s="80"/>
      <c r="N718" s="80"/>
      <c r="O718" s="80"/>
      <c r="P718" s="80"/>
      <c r="Q718" s="80"/>
      <c r="R718" s="80"/>
      <c r="S718" s="80"/>
      <c r="T718" s="80"/>
      <c r="U718" s="80"/>
      <c r="V718" s="80"/>
      <c r="W718" s="80"/>
      <c r="X718" s="80"/>
      <c r="Y718" s="80"/>
      <c r="Z718" s="80"/>
    </row>
    <row r="719">
      <c r="A719" s="87"/>
      <c r="B719" s="82"/>
      <c r="C719" s="82"/>
      <c r="D719" s="87"/>
      <c r="E719" s="87"/>
      <c r="F719" s="87"/>
      <c r="G719" s="87"/>
      <c r="H719" s="83"/>
      <c r="I719" s="83"/>
      <c r="J719" s="82"/>
      <c r="K719" s="89"/>
      <c r="L719" s="87"/>
      <c r="M719" s="80"/>
      <c r="N719" s="80"/>
      <c r="O719" s="80"/>
      <c r="P719" s="80"/>
      <c r="Q719" s="80"/>
      <c r="R719" s="80"/>
      <c r="S719" s="80"/>
      <c r="T719" s="80"/>
      <c r="U719" s="80"/>
      <c r="V719" s="80"/>
      <c r="W719" s="80"/>
      <c r="X719" s="80"/>
      <c r="Y719" s="80"/>
      <c r="Z719" s="80"/>
    </row>
    <row r="720">
      <c r="A720" s="87"/>
      <c r="B720" s="82"/>
      <c r="C720" s="82"/>
      <c r="D720" s="87"/>
      <c r="E720" s="87"/>
      <c r="F720" s="87"/>
      <c r="G720" s="87"/>
      <c r="H720" s="83"/>
      <c r="I720" s="83"/>
      <c r="J720" s="82"/>
      <c r="K720" s="89"/>
      <c r="L720" s="87"/>
      <c r="M720" s="80"/>
      <c r="N720" s="80"/>
      <c r="O720" s="80"/>
      <c r="P720" s="80"/>
      <c r="Q720" s="80"/>
      <c r="R720" s="80"/>
      <c r="S720" s="80"/>
      <c r="T720" s="80"/>
      <c r="U720" s="80"/>
      <c r="V720" s="80"/>
      <c r="W720" s="80"/>
      <c r="X720" s="80"/>
      <c r="Y720" s="80"/>
      <c r="Z720" s="80"/>
    </row>
    <row r="721">
      <c r="A721" s="87"/>
      <c r="B721" s="82"/>
      <c r="C721" s="82"/>
      <c r="D721" s="87"/>
      <c r="E721" s="87"/>
      <c r="F721" s="87"/>
      <c r="G721" s="87"/>
      <c r="H721" s="83"/>
      <c r="I721" s="83"/>
      <c r="J721" s="82"/>
      <c r="K721" s="89"/>
      <c r="L721" s="87"/>
      <c r="M721" s="80"/>
      <c r="N721" s="80"/>
      <c r="O721" s="80"/>
      <c r="P721" s="80"/>
      <c r="Q721" s="80"/>
      <c r="R721" s="80"/>
      <c r="S721" s="80"/>
      <c r="T721" s="80"/>
      <c r="U721" s="80"/>
      <c r="V721" s="80"/>
      <c r="W721" s="80"/>
      <c r="X721" s="80"/>
      <c r="Y721" s="80"/>
      <c r="Z721" s="80"/>
    </row>
    <row r="722">
      <c r="A722" s="87"/>
      <c r="B722" s="82"/>
      <c r="C722" s="82"/>
      <c r="D722" s="87"/>
      <c r="E722" s="87"/>
      <c r="F722" s="87"/>
      <c r="G722" s="87"/>
      <c r="H722" s="83"/>
      <c r="I722" s="83"/>
      <c r="J722" s="82"/>
      <c r="K722" s="89"/>
      <c r="L722" s="87"/>
      <c r="M722" s="80"/>
      <c r="N722" s="80"/>
      <c r="O722" s="80"/>
      <c r="P722" s="80"/>
      <c r="Q722" s="80"/>
      <c r="R722" s="80"/>
      <c r="S722" s="80"/>
      <c r="T722" s="80"/>
      <c r="U722" s="80"/>
      <c r="V722" s="80"/>
      <c r="W722" s="80"/>
      <c r="X722" s="80"/>
      <c r="Y722" s="80"/>
      <c r="Z722" s="80"/>
    </row>
    <row r="723">
      <c r="A723" s="87"/>
      <c r="B723" s="82"/>
      <c r="C723" s="82"/>
      <c r="D723" s="87"/>
      <c r="E723" s="87"/>
      <c r="F723" s="87"/>
      <c r="G723" s="87"/>
      <c r="H723" s="83"/>
      <c r="I723" s="83"/>
      <c r="J723" s="82"/>
      <c r="K723" s="89"/>
      <c r="L723" s="87"/>
      <c r="M723" s="80"/>
      <c r="N723" s="80"/>
      <c r="O723" s="80"/>
      <c r="P723" s="80"/>
      <c r="Q723" s="80"/>
      <c r="R723" s="80"/>
      <c r="S723" s="80"/>
      <c r="T723" s="80"/>
      <c r="U723" s="80"/>
      <c r="V723" s="80"/>
      <c r="W723" s="80"/>
      <c r="X723" s="80"/>
      <c r="Y723" s="80"/>
      <c r="Z723" s="80"/>
    </row>
    <row r="724">
      <c r="A724" s="87"/>
      <c r="B724" s="82"/>
      <c r="C724" s="82"/>
      <c r="D724" s="87"/>
      <c r="E724" s="87"/>
      <c r="F724" s="87"/>
      <c r="G724" s="87"/>
      <c r="H724" s="83"/>
      <c r="I724" s="83"/>
      <c r="J724" s="82"/>
      <c r="K724" s="89"/>
      <c r="L724" s="87"/>
      <c r="M724" s="80"/>
      <c r="N724" s="80"/>
      <c r="O724" s="80"/>
      <c r="P724" s="80"/>
      <c r="Q724" s="80"/>
      <c r="R724" s="80"/>
      <c r="S724" s="80"/>
      <c r="T724" s="80"/>
      <c r="U724" s="80"/>
      <c r="V724" s="80"/>
      <c r="W724" s="80"/>
      <c r="X724" s="80"/>
      <c r="Y724" s="80"/>
      <c r="Z724" s="80"/>
    </row>
    <row r="725">
      <c r="A725" s="87"/>
      <c r="B725" s="82"/>
      <c r="C725" s="82"/>
      <c r="D725" s="87"/>
      <c r="E725" s="87"/>
      <c r="F725" s="87"/>
      <c r="G725" s="87"/>
      <c r="H725" s="83"/>
      <c r="I725" s="83"/>
      <c r="J725" s="82"/>
      <c r="K725" s="89"/>
      <c r="L725" s="87"/>
      <c r="M725" s="80"/>
      <c r="N725" s="80"/>
      <c r="O725" s="80"/>
      <c r="P725" s="80"/>
      <c r="Q725" s="80"/>
      <c r="R725" s="80"/>
      <c r="S725" s="80"/>
      <c r="T725" s="80"/>
      <c r="U725" s="80"/>
      <c r="V725" s="80"/>
      <c r="W725" s="80"/>
      <c r="X725" s="80"/>
      <c r="Y725" s="80"/>
      <c r="Z725" s="80"/>
    </row>
    <row r="726">
      <c r="A726" s="87"/>
      <c r="B726" s="82"/>
      <c r="C726" s="82"/>
      <c r="D726" s="87"/>
      <c r="E726" s="87"/>
      <c r="F726" s="87"/>
      <c r="G726" s="87"/>
      <c r="H726" s="83"/>
      <c r="I726" s="83"/>
      <c r="J726" s="82"/>
      <c r="K726" s="89"/>
      <c r="L726" s="87"/>
      <c r="M726" s="80"/>
      <c r="N726" s="80"/>
      <c r="O726" s="80"/>
      <c r="P726" s="80"/>
      <c r="Q726" s="80"/>
      <c r="R726" s="80"/>
      <c r="S726" s="80"/>
      <c r="T726" s="80"/>
      <c r="U726" s="80"/>
      <c r="V726" s="80"/>
      <c r="W726" s="80"/>
      <c r="X726" s="80"/>
      <c r="Y726" s="80"/>
      <c r="Z726" s="80"/>
    </row>
    <row r="727">
      <c r="A727" s="87"/>
      <c r="B727" s="82"/>
      <c r="C727" s="82"/>
      <c r="D727" s="87"/>
      <c r="E727" s="87"/>
      <c r="F727" s="87"/>
      <c r="G727" s="87"/>
      <c r="H727" s="83"/>
      <c r="I727" s="83"/>
      <c r="J727" s="82"/>
      <c r="K727" s="89"/>
      <c r="L727" s="87"/>
      <c r="M727" s="80"/>
      <c r="N727" s="80"/>
      <c r="O727" s="80"/>
      <c r="P727" s="80"/>
      <c r="Q727" s="80"/>
      <c r="R727" s="80"/>
      <c r="S727" s="80"/>
      <c r="T727" s="80"/>
      <c r="U727" s="80"/>
      <c r="V727" s="80"/>
      <c r="W727" s="80"/>
      <c r="X727" s="80"/>
      <c r="Y727" s="80"/>
      <c r="Z727" s="80"/>
    </row>
    <row r="728">
      <c r="A728" s="87"/>
      <c r="B728" s="82"/>
      <c r="C728" s="82"/>
      <c r="D728" s="87"/>
      <c r="E728" s="87"/>
      <c r="F728" s="87"/>
      <c r="G728" s="87"/>
      <c r="H728" s="83"/>
      <c r="I728" s="83"/>
      <c r="J728" s="82"/>
      <c r="K728" s="89"/>
      <c r="L728" s="87"/>
      <c r="M728" s="80"/>
      <c r="N728" s="80"/>
      <c r="O728" s="80"/>
      <c r="P728" s="80"/>
      <c r="Q728" s="80"/>
      <c r="R728" s="80"/>
      <c r="S728" s="80"/>
      <c r="T728" s="80"/>
      <c r="U728" s="80"/>
      <c r="V728" s="80"/>
      <c r="W728" s="80"/>
      <c r="X728" s="80"/>
      <c r="Y728" s="80"/>
      <c r="Z728" s="80"/>
    </row>
    <row r="729">
      <c r="A729" s="87"/>
      <c r="B729" s="82"/>
      <c r="C729" s="82"/>
      <c r="D729" s="87"/>
      <c r="E729" s="87"/>
      <c r="F729" s="87"/>
      <c r="G729" s="87"/>
      <c r="H729" s="83"/>
      <c r="I729" s="83"/>
      <c r="J729" s="82"/>
      <c r="K729" s="89"/>
      <c r="L729" s="87"/>
      <c r="M729" s="80"/>
      <c r="N729" s="80"/>
      <c r="O729" s="80"/>
      <c r="P729" s="80"/>
      <c r="Q729" s="80"/>
      <c r="R729" s="80"/>
      <c r="S729" s="80"/>
      <c r="T729" s="80"/>
      <c r="U729" s="80"/>
      <c r="V729" s="80"/>
      <c r="W729" s="80"/>
      <c r="X729" s="80"/>
      <c r="Y729" s="80"/>
      <c r="Z729" s="80"/>
    </row>
    <row r="730">
      <c r="A730" s="87"/>
      <c r="B730" s="82"/>
      <c r="C730" s="82"/>
      <c r="D730" s="87"/>
      <c r="E730" s="87"/>
      <c r="F730" s="87"/>
      <c r="G730" s="87"/>
      <c r="H730" s="83"/>
      <c r="I730" s="83"/>
      <c r="J730" s="82"/>
      <c r="K730" s="89"/>
      <c r="L730" s="87"/>
      <c r="M730" s="80"/>
      <c r="N730" s="80"/>
      <c r="O730" s="80"/>
      <c r="P730" s="80"/>
      <c r="Q730" s="80"/>
      <c r="R730" s="80"/>
      <c r="S730" s="80"/>
      <c r="T730" s="80"/>
      <c r="U730" s="80"/>
      <c r="V730" s="80"/>
      <c r="W730" s="80"/>
      <c r="X730" s="80"/>
      <c r="Y730" s="80"/>
      <c r="Z730" s="80"/>
    </row>
    <row r="731">
      <c r="A731" s="87"/>
      <c r="B731" s="82"/>
      <c r="C731" s="82"/>
      <c r="D731" s="87"/>
      <c r="E731" s="87"/>
      <c r="F731" s="87"/>
      <c r="G731" s="87"/>
      <c r="H731" s="83"/>
      <c r="I731" s="83"/>
      <c r="J731" s="82"/>
      <c r="K731" s="89"/>
      <c r="L731" s="87"/>
      <c r="M731" s="80"/>
      <c r="N731" s="80"/>
      <c r="O731" s="80"/>
      <c r="P731" s="80"/>
      <c r="Q731" s="80"/>
      <c r="R731" s="80"/>
      <c r="S731" s="80"/>
      <c r="T731" s="80"/>
      <c r="U731" s="80"/>
      <c r="V731" s="80"/>
      <c r="W731" s="80"/>
      <c r="X731" s="80"/>
      <c r="Y731" s="80"/>
      <c r="Z731" s="80"/>
    </row>
    <row r="732">
      <c r="A732" s="87"/>
      <c r="B732" s="82"/>
      <c r="C732" s="82"/>
      <c r="D732" s="87"/>
      <c r="E732" s="87"/>
      <c r="F732" s="87"/>
      <c r="G732" s="87"/>
      <c r="H732" s="83"/>
      <c r="I732" s="83"/>
      <c r="J732" s="82"/>
      <c r="K732" s="89"/>
      <c r="L732" s="87"/>
      <c r="M732" s="80"/>
      <c r="N732" s="80"/>
      <c r="O732" s="80"/>
      <c r="P732" s="80"/>
      <c r="Q732" s="80"/>
      <c r="R732" s="80"/>
      <c r="S732" s="80"/>
      <c r="T732" s="80"/>
      <c r="U732" s="80"/>
      <c r="V732" s="80"/>
      <c r="W732" s="80"/>
      <c r="X732" s="80"/>
      <c r="Y732" s="80"/>
      <c r="Z732" s="80"/>
    </row>
    <row r="733">
      <c r="A733" s="87"/>
      <c r="B733" s="82"/>
      <c r="C733" s="82"/>
      <c r="D733" s="87"/>
      <c r="E733" s="87"/>
      <c r="F733" s="87"/>
      <c r="G733" s="87"/>
      <c r="H733" s="83"/>
      <c r="I733" s="83"/>
      <c r="J733" s="82"/>
      <c r="K733" s="89"/>
      <c r="L733" s="87"/>
      <c r="M733" s="80"/>
      <c r="N733" s="80"/>
      <c r="O733" s="80"/>
      <c r="P733" s="80"/>
      <c r="Q733" s="80"/>
      <c r="R733" s="80"/>
      <c r="S733" s="80"/>
      <c r="T733" s="80"/>
      <c r="U733" s="80"/>
      <c r="V733" s="80"/>
      <c r="W733" s="80"/>
      <c r="X733" s="80"/>
      <c r="Y733" s="80"/>
      <c r="Z733" s="80"/>
    </row>
    <row r="734">
      <c r="A734" s="87"/>
      <c r="B734" s="82"/>
      <c r="C734" s="82"/>
      <c r="D734" s="87"/>
      <c r="E734" s="87"/>
      <c r="F734" s="87"/>
      <c r="G734" s="87"/>
      <c r="H734" s="83"/>
      <c r="I734" s="83"/>
      <c r="J734" s="82"/>
      <c r="K734" s="89"/>
      <c r="L734" s="87"/>
      <c r="M734" s="80"/>
      <c r="N734" s="80"/>
      <c r="O734" s="80"/>
      <c r="P734" s="80"/>
      <c r="Q734" s="80"/>
      <c r="R734" s="80"/>
      <c r="S734" s="80"/>
      <c r="T734" s="80"/>
      <c r="U734" s="80"/>
      <c r="V734" s="80"/>
      <c r="W734" s="80"/>
      <c r="X734" s="80"/>
      <c r="Y734" s="80"/>
      <c r="Z734" s="80"/>
    </row>
    <row r="735">
      <c r="A735" s="87"/>
      <c r="B735" s="82"/>
      <c r="C735" s="82"/>
      <c r="D735" s="87"/>
      <c r="E735" s="87"/>
      <c r="F735" s="87"/>
      <c r="G735" s="87"/>
      <c r="H735" s="83"/>
      <c r="I735" s="83"/>
      <c r="J735" s="82"/>
      <c r="K735" s="89"/>
      <c r="L735" s="87"/>
      <c r="M735" s="80"/>
      <c r="N735" s="80"/>
      <c r="O735" s="80"/>
      <c r="P735" s="80"/>
      <c r="Q735" s="80"/>
      <c r="R735" s="80"/>
      <c r="S735" s="80"/>
      <c r="T735" s="80"/>
      <c r="U735" s="80"/>
      <c r="V735" s="80"/>
      <c r="W735" s="80"/>
      <c r="X735" s="80"/>
      <c r="Y735" s="80"/>
      <c r="Z735" s="80"/>
    </row>
    <row r="736">
      <c r="A736" s="87"/>
      <c r="B736" s="82"/>
      <c r="C736" s="82"/>
      <c r="D736" s="87"/>
      <c r="E736" s="87"/>
      <c r="F736" s="87"/>
      <c r="G736" s="87"/>
      <c r="H736" s="83"/>
      <c r="I736" s="83"/>
      <c r="J736" s="82"/>
      <c r="K736" s="89"/>
      <c r="L736" s="87"/>
      <c r="M736" s="80"/>
      <c r="N736" s="80"/>
      <c r="O736" s="80"/>
      <c r="P736" s="80"/>
      <c r="Q736" s="80"/>
      <c r="R736" s="80"/>
      <c r="S736" s="80"/>
      <c r="T736" s="80"/>
      <c r="U736" s="80"/>
      <c r="V736" s="80"/>
      <c r="W736" s="80"/>
      <c r="X736" s="80"/>
      <c r="Y736" s="80"/>
      <c r="Z736" s="80"/>
    </row>
    <row r="737">
      <c r="A737" s="87"/>
      <c r="B737" s="82"/>
      <c r="C737" s="82"/>
      <c r="D737" s="87"/>
      <c r="E737" s="87"/>
      <c r="F737" s="87"/>
      <c r="G737" s="87"/>
      <c r="H737" s="83"/>
      <c r="I737" s="83"/>
      <c r="J737" s="82"/>
      <c r="K737" s="89"/>
      <c r="L737" s="87"/>
      <c r="M737" s="80"/>
      <c r="N737" s="80"/>
      <c r="O737" s="80"/>
      <c r="P737" s="80"/>
      <c r="Q737" s="80"/>
      <c r="R737" s="80"/>
      <c r="S737" s="80"/>
      <c r="T737" s="80"/>
      <c r="U737" s="80"/>
      <c r="V737" s="80"/>
      <c r="W737" s="80"/>
      <c r="X737" s="80"/>
      <c r="Y737" s="80"/>
      <c r="Z737" s="80"/>
    </row>
    <row r="738">
      <c r="A738" s="87"/>
      <c r="B738" s="82"/>
      <c r="C738" s="82"/>
      <c r="D738" s="87"/>
      <c r="E738" s="87"/>
      <c r="F738" s="87"/>
      <c r="G738" s="87"/>
      <c r="H738" s="83"/>
      <c r="I738" s="83"/>
      <c r="J738" s="82"/>
      <c r="K738" s="89"/>
      <c r="L738" s="87"/>
      <c r="M738" s="80"/>
      <c r="N738" s="80"/>
      <c r="O738" s="80"/>
      <c r="P738" s="80"/>
      <c r="Q738" s="80"/>
      <c r="R738" s="80"/>
      <c r="S738" s="80"/>
      <c r="T738" s="80"/>
      <c r="U738" s="80"/>
      <c r="V738" s="80"/>
      <c r="W738" s="80"/>
      <c r="X738" s="80"/>
      <c r="Y738" s="80"/>
      <c r="Z738" s="80"/>
    </row>
    <row r="739">
      <c r="A739" s="87"/>
      <c r="B739" s="82"/>
      <c r="C739" s="82"/>
      <c r="D739" s="87"/>
      <c r="E739" s="87"/>
      <c r="F739" s="87"/>
      <c r="G739" s="87"/>
      <c r="H739" s="83"/>
      <c r="I739" s="83"/>
      <c r="J739" s="82"/>
      <c r="K739" s="89"/>
      <c r="L739" s="87"/>
      <c r="M739" s="80"/>
      <c r="N739" s="80"/>
      <c r="O739" s="80"/>
      <c r="P739" s="80"/>
      <c r="Q739" s="80"/>
      <c r="R739" s="80"/>
      <c r="S739" s="80"/>
      <c r="T739" s="80"/>
      <c r="U739" s="80"/>
      <c r="V739" s="80"/>
      <c r="W739" s="80"/>
      <c r="X739" s="80"/>
      <c r="Y739" s="80"/>
      <c r="Z739" s="80"/>
    </row>
    <row r="740">
      <c r="A740" s="87"/>
      <c r="B740" s="82"/>
      <c r="C740" s="82"/>
      <c r="D740" s="87"/>
      <c r="E740" s="87"/>
      <c r="F740" s="87"/>
      <c r="G740" s="87"/>
      <c r="H740" s="83"/>
      <c r="I740" s="83"/>
      <c r="J740" s="82"/>
      <c r="K740" s="89"/>
      <c r="L740" s="87"/>
      <c r="M740" s="80"/>
      <c r="N740" s="80"/>
      <c r="O740" s="80"/>
      <c r="P740" s="80"/>
      <c r="Q740" s="80"/>
      <c r="R740" s="80"/>
      <c r="S740" s="80"/>
      <c r="T740" s="80"/>
      <c r="U740" s="80"/>
      <c r="V740" s="80"/>
      <c r="W740" s="80"/>
      <c r="X740" s="80"/>
      <c r="Y740" s="80"/>
      <c r="Z740" s="80"/>
    </row>
    <row r="741">
      <c r="A741" s="87"/>
      <c r="B741" s="82"/>
      <c r="C741" s="82"/>
      <c r="D741" s="87"/>
      <c r="E741" s="87"/>
      <c r="F741" s="87"/>
      <c r="G741" s="87"/>
      <c r="H741" s="83"/>
      <c r="I741" s="83"/>
      <c r="J741" s="82"/>
      <c r="K741" s="89"/>
      <c r="L741" s="87"/>
      <c r="M741" s="80"/>
      <c r="N741" s="80"/>
      <c r="O741" s="80"/>
      <c r="P741" s="80"/>
      <c r="Q741" s="80"/>
      <c r="R741" s="80"/>
      <c r="S741" s="80"/>
      <c r="T741" s="80"/>
      <c r="U741" s="80"/>
      <c r="V741" s="80"/>
      <c r="W741" s="80"/>
      <c r="X741" s="80"/>
      <c r="Y741" s="80"/>
      <c r="Z741" s="80"/>
    </row>
    <row r="742">
      <c r="A742" s="87"/>
      <c r="B742" s="82"/>
      <c r="C742" s="82"/>
      <c r="D742" s="87"/>
      <c r="E742" s="87"/>
      <c r="F742" s="87"/>
      <c r="G742" s="87"/>
      <c r="H742" s="83"/>
      <c r="I742" s="83"/>
      <c r="J742" s="82"/>
      <c r="K742" s="89"/>
      <c r="L742" s="87"/>
      <c r="M742" s="80"/>
      <c r="N742" s="80"/>
      <c r="O742" s="80"/>
      <c r="P742" s="80"/>
      <c r="Q742" s="80"/>
      <c r="R742" s="80"/>
      <c r="S742" s="80"/>
      <c r="T742" s="80"/>
      <c r="U742" s="80"/>
      <c r="V742" s="80"/>
      <c r="W742" s="80"/>
      <c r="X742" s="80"/>
      <c r="Y742" s="80"/>
      <c r="Z742" s="80"/>
    </row>
    <row r="743">
      <c r="A743" s="87"/>
      <c r="B743" s="82"/>
      <c r="C743" s="82"/>
      <c r="D743" s="87"/>
      <c r="E743" s="87"/>
      <c r="F743" s="87"/>
      <c r="G743" s="87"/>
      <c r="H743" s="83"/>
      <c r="I743" s="83"/>
      <c r="J743" s="82"/>
      <c r="K743" s="89"/>
      <c r="L743" s="87"/>
      <c r="M743" s="80"/>
      <c r="N743" s="80"/>
      <c r="O743" s="80"/>
      <c r="P743" s="80"/>
      <c r="Q743" s="80"/>
      <c r="R743" s="80"/>
      <c r="S743" s="80"/>
      <c r="T743" s="80"/>
      <c r="U743" s="80"/>
      <c r="V743" s="80"/>
      <c r="W743" s="80"/>
      <c r="X743" s="80"/>
      <c r="Y743" s="80"/>
      <c r="Z743" s="80"/>
    </row>
    <row r="744">
      <c r="A744" s="87"/>
      <c r="B744" s="82"/>
      <c r="C744" s="82"/>
      <c r="D744" s="87"/>
      <c r="E744" s="87"/>
      <c r="F744" s="87"/>
      <c r="G744" s="87"/>
      <c r="H744" s="83"/>
      <c r="I744" s="83"/>
      <c r="J744" s="82"/>
      <c r="K744" s="89"/>
      <c r="L744" s="87"/>
      <c r="M744" s="80"/>
      <c r="N744" s="80"/>
      <c r="O744" s="80"/>
      <c r="P744" s="80"/>
      <c r="Q744" s="80"/>
      <c r="R744" s="80"/>
      <c r="S744" s="80"/>
      <c r="T744" s="80"/>
      <c r="U744" s="80"/>
      <c r="V744" s="80"/>
      <c r="W744" s="80"/>
      <c r="X744" s="80"/>
      <c r="Y744" s="80"/>
      <c r="Z744" s="80"/>
    </row>
    <row r="745">
      <c r="A745" s="87"/>
      <c r="B745" s="82"/>
      <c r="C745" s="82"/>
      <c r="D745" s="87"/>
      <c r="E745" s="87"/>
      <c r="F745" s="87"/>
      <c r="G745" s="87"/>
      <c r="H745" s="83"/>
      <c r="I745" s="83"/>
      <c r="J745" s="82"/>
      <c r="K745" s="89"/>
      <c r="L745" s="87"/>
      <c r="M745" s="80"/>
      <c r="N745" s="80"/>
      <c r="O745" s="80"/>
      <c r="P745" s="80"/>
      <c r="Q745" s="80"/>
      <c r="R745" s="80"/>
      <c r="S745" s="80"/>
      <c r="T745" s="80"/>
      <c r="U745" s="80"/>
      <c r="V745" s="80"/>
      <c r="W745" s="80"/>
      <c r="X745" s="80"/>
      <c r="Y745" s="80"/>
      <c r="Z745" s="80"/>
    </row>
    <row r="746">
      <c r="A746" s="87"/>
      <c r="B746" s="82"/>
      <c r="C746" s="82"/>
      <c r="D746" s="87"/>
      <c r="E746" s="87"/>
      <c r="F746" s="87"/>
      <c r="G746" s="87"/>
      <c r="H746" s="83"/>
      <c r="I746" s="83"/>
      <c r="J746" s="82"/>
      <c r="K746" s="89"/>
      <c r="L746" s="87"/>
      <c r="M746" s="80"/>
      <c r="N746" s="80"/>
      <c r="O746" s="80"/>
      <c r="P746" s="80"/>
      <c r="Q746" s="80"/>
      <c r="R746" s="80"/>
      <c r="S746" s="80"/>
      <c r="T746" s="80"/>
      <c r="U746" s="80"/>
      <c r="V746" s="80"/>
      <c r="W746" s="80"/>
      <c r="X746" s="80"/>
      <c r="Y746" s="80"/>
      <c r="Z746" s="80"/>
    </row>
    <row r="747">
      <c r="A747" s="87"/>
      <c r="B747" s="82"/>
      <c r="C747" s="82"/>
      <c r="D747" s="87"/>
      <c r="E747" s="87"/>
      <c r="F747" s="87"/>
      <c r="G747" s="87"/>
      <c r="H747" s="83"/>
      <c r="I747" s="83"/>
      <c r="J747" s="82"/>
      <c r="K747" s="89"/>
      <c r="L747" s="87"/>
      <c r="M747" s="80"/>
      <c r="N747" s="80"/>
      <c r="O747" s="80"/>
      <c r="P747" s="80"/>
      <c r="Q747" s="80"/>
      <c r="R747" s="80"/>
      <c r="S747" s="80"/>
      <c r="T747" s="80"/>
      <c r="U747" s="80"/>
      <c r="V747" s="80"/>
      <c r="W747" s="80"/>
      <c r="X747" s="80"/>
      <c r="Y747" s="80"/>
      <c r="Z747" s="80"/>
    </row>
    <row r="748">
      <c r="A748" s="87"/>
      <c r="B748" s="82"/>
      <c r="C748" s="82"/>
      <c r="D748" s="87"/>
      <c r="E748" s="87"/>
      <c r="F748" s="87"/>
      <c r="G748" s="87"/>
      <c r="H748" s="83"/>
      <c r="I748" s="83"/>
      <c r="J748" s="82"/>
      <c r="K748" s="89"/>
      <c r="L748" s="87"/>
      <c r="M748" s="80"/>
      <c r="N748" s="80"/>
      <c r="O748" s="80"/>
      <c r="P748" s="80"/>
      <c r="Q748" s="80"/>
      <c r="R748" s="80"/>
      <c r="S748" s="80"/>
      <c r="T748" s="80"/>
      <c r="U748" s="80"/>
      <c r="V748" s="80"/>
      <c r="W748" s="80"/>
      <c r="X748" s="80"/>
      <c r="Y748" s="80"/>
      <c r="Z748" s="80"/>
    </row>
    <row r="749">
      <c r="A749" s="87"/>
      <c r="B749" s="82"/>
      <c r="C749" s="82"/>
      <c r="D749" s="87"/>
      <c r="E749" s="87"/>
      <c r="F749" s="87"/>
      <c r="G749" s="87"/>
      <c r="H749" s="83"/>
      <c r="I749" s="83"/>
      <c r="J749" s="82"/>
      <c r="K749" s="89"/>
      <c r="L749" s="87"/>
      <c r="M749" s="80"/>
      <c r="N749" s="80"/>
      <c r="O749" s="80"/>
      <c r="P749" s="80"/>
      <c r="Q749" s="80"/>
      <c r="R749" s="80"/>
      <c r="S749" s="80"/>
      <c r="T749" s="80"/>
      <c r="U749" s="80"/>
      <c r="V749" s="80"/>
      <c r="W749" s="80"/>
      <c r="X749" s="80"/>
      <c r="Y749" s="80"/>
      <c r="Z749" s="80"/>
    </row>
    <row r="750">
      <c r="A750" s="87"/>
      <c r="B750" s="82"/>
      <c r="C750" s="82"/>
      <c r="D750" s="87"/>
      <c r="E750" s="87"/>
      <c r="F750" s="87"/>
      <c r="G750" s="87"/>
      <c r="H750" s="83"/>
      <c r="I750" s="83"/>
      <c r="J750" s="82"/>
      <c r="K750" s="89"/>
      <c r="L750" s="87"/>
      <c r="M750" s="80"/>
      <c r="N750" s="80"/>
      <c r="O750" s="80"/>
      <c r="P750" s="80"/>
      <c r="Q750" s="80"/>
      <c r="R750" s="80"/>
      <c r="S750" s="80"/>
      <c r="T750" s="80"/>
      <c r="U750" s="80"/>
      <c r="V750" s="80"/>
      <c r="W750" s="80"/>
      <c r="X750" s="80"/>
      <c r="Y750" s="80"/>
      <c r="Z750" s="80"/>
    </row>
    <row r="751">
      <c r="A751" s="87"/>
      <c r="B751" s="82"/>
      <c r="C751" s="82"/>
      <c r="D751" s="87"/>
      <c r="E751" s="87"/>
      <c r="F751" s="87"/>
      <c r="G751" s="87"/>
      <c r="H751" s="83"/>
      <c r="I751" s="83"/>
      <c r="J751" s="82"/>
      <c r="K751" s="89"/>
      <c r="L751" s="87"/>
      <c r="M751" s="80"/>
      <c r="N751" s="80"/>
      <c r="O751" s="80"/>
      <c r="P751" s="80"/>
      <c r="Q751" s="80"/>
      <c r="R751" s="80"/>
      <c r="S751" s="80"/>
      <c r="T751" s="80"/>
      <c r="U751" s="80"/>
      <c r="V751" s="80"/>
      <c r="W751" s="80"/>
      <c r="X751" s="80"/>
      <c r="Y751" s="80"/>
      <c r="Z751" s="80"/>
    </row>
    <row r="752">
      <c r="A752" s="87"/>
      <c r="B752" s="82"/>
      <c r="C752" s="82"/>
      <c r="D752" s="87"/>
      <c r="E752" s="87"/>
      <c r="F752" s="87"/>
      <c r="G752" s="87"/>
      <c r="H752" s="83"/>
      <c r="I752" s="83"/>
      <c r="J752" s="82"/>
      <c r="K752" s="89"/>
      <c r="L752" s="87"/>
      <c r="M752" s="80"/>
      <c r="N752" s="80"/>
      <c r="O752" s="80"/>
      <c r="P752" s="80"/>
      <c r="Q752" s="80"/>
      <c r="R752" s="80"/>
      <c r="S752" s="80"/>
      <c r="T752" s="80"/>
      <c r="U752" s="80"/>
      <c r="V752" s="80"/>
      <c r="W752" s="80"/>
      <c r="X752" s="80"/>
      <c r="Y752" s="80"/>
      <c r="Z752" s="80"/>
    </row>
    <row r="753">
      <c r="A753" s="87"/>
      <c r="B753" s="82"/>
      <c r="C753" s="82"/>
      <c r="D753" s="87"/>
      <c r="E753" s="87"/>
      <c r="F753" s="87"/>
      <c r="G753" s="87"/>
      <c r="H753" s="83"/>
      <c r="I753" s="83"/>
      <c r="J753" s="82"/>
      <c r="K753" s="89"/>
      <c r="L753" s="87"/>
      <c r="M753" s="80"/>
      <c r="N753" s="80"/>
      <c r="O753" s="80"/>
      <c r="P753" s="80"/>
      <c r="Q753" s="80"/>
      <c r="R753" s="80"/>
      <c r="S753" s="80"/>
      <c r="T753" s="80"/>
      <c r="U753" s="80"/>
      <c r="V753" s="80"/>
      <c r="W753" s="80"/>
      <c r="X753" s="80"/>
      <c r="Y753" s="80"/>
      <c r="Z753" s="80"/>
    </row>
    <row r="754">
      <c r="A754" s="87"/>
      <c r="B754" s="82"/>
      <c r="C754" s="82"/>
      <c r="D754" s="87"/>
      <c r="E754" s="87"/>
      <c r="F754" s="87"/>
      <c r="G754" s="87"/>
      <c r="H754" s="83"/>
      <c r="I754" s="83"/>
      <c r="J754" s="82"/>
      <c r="K754" s="89"/>
      <c r="L754" s="87"/>
      <c r="M754" s="80"/>
      <c r="N754" s="80"/>
      <c r="O754" s="80"/>
      <c r="P754" s="80"/>
      <c r="Q754" s="80"/>
      <c r="R754" s="80"/>
      <c r="S754" s="80"/>
      <c r="T754" s="80"/>
      <c r="U754" s="80"/>
      <c r="V754" s="80"/>
      <c r="W754" s="80"/>
      <c r="X754" s="80"/>
      <c r="Y754" s="80"/>
      <c r="Z754" s="80"/>
    </row>
    <row r="755">
      <c r="A755" s="87"/>
      <c r="B755" s="80"/>
      <c r="C755" s="80"/>
      <c r="D755" s="87"/>
      <c r="E755" s="87"/>
      <c r="F755" s="87"/>
      <c r="G755" s="87"/>
      <c r="H755" s="83"/>
      <c r="I755" s="83"/>
      <c r="J755" s="80"/>
      <c r="K755" s="89"/>
      <c r="L755" s="87"/>
      <c r="M755" s="80"/>
      <c r="N755" s="80"/>
      <c r="O755" s="80"/>
      <c r="P755" s="80"/>
      <c r="Q755" s="80"/>
      <c r="R755" s="80"/>
      <c r="S755" s="80"/>
      <c r="T755" s="80"/>
      <c r="U755" s="80"/>
      <c r="V755" s="80"/>
      <c r="W755" s="80"/>
      <c r="X755" s="80"/>
      <c r="Y755" s="80"/>
      <c r="Z755" s="80"/>
    </row>
    <row r="756">
      <c r="A756" s="87"/>
      <c r="B756" s="80"/>
      <c r="C756" s="80"/>
      <c r="D756" s="87"/>
      <c r="E756" s="87"/>
      <c r="F756" s="87"/>
      <c r="G756" s="87"/>
      <c r="H756" s="83"/>
      <c r="I756" s="83"/>
      <c r="J756" s="80"/>
      <c r="K756" s="89"/>
      <c r="L756" s="87"/>
      <c r="M756" s="80"/>
      <c r="N756" s="80"/>
      <c r="O756" s="80"/>
      <c r="P756" s="80"/>
      <c r="Q756" s="80"/>
      <c r="R756" s="80"/>
      <c r="S756" s="80"/>
      <c r="T756" s="80"/>
      <c r="U756" s="80"/>
      <c r="V756" s="80"/>
      <c r="W756" s="80"/>
      <c r="X756" s="80"/>
      <c r="Y756" s="80"/>
      <c r="Z756" s="80"/>
    </row>
    <row r="757">
      <c r="A757" s="87"/>
      <c r="B757" s="80"/>
      <c r="C757" s="80"/>
      <c r="D757" s="87"/>
      <c r="E757" s="87"/>
      <c r="F757" s="87"/>
      <c r="G757" s="87"/>
      <c r="H757" s="83"/>
      <c r="I757" s="83"/>
      <c r="J757" s="80"/>
      <c r="K757" s="89"/>
      <c r="L757" s="87"/>
      <c r="M757" s="80"/>
      <c r="N757" s="80"/>
      <c r="O757" s="80"/>
      <c r="P757" s="80"/>
      <c r="Q757" s="80"/>
      <c r="R757" s="80"/>
      <c r="S757" s="80"/>
      <c r="T757" s="80"/>
      <c r="U757" s="80"/>
      <c r="V757" s="80"/>
      <c r="W757" s="80"/>
      <c r="X757" s="80"/>
      <c r="Y757" s="80"/>
      <c r="Z757" s="80"/>
    </row>
    <row r="758">
      <c r="A758" s="87"/>
      <c r="B758" s="80"/>
      <c r="C758" s="80"/>
      <c r="D758" s="87"/>
      <c r="E758" s="87"/>
      <c r="F758" s="87"/>
      <c r="G758" s="87"/>
      <c r="H758" s="83"/>
      <c r="I758" s="83"/>
      <c r="J758" s="80"/>
      <c r="K758" s="89"/>
      <c r="L758" s="87"/>
      <c r="M758" s="80"/>
      <c r="N758" s="80"/>
      <c r="O758" s="80"/>
      <c r="P758" s="80"/>
      <c r="Q758" s="80"/>
      <c r="R758" s="80"/>
      <c r="S758" s="80"/>
      <c r="T758" s="80"/>
      <c r="U758" s="80"/>
      <c r="V758" s="80"/>
      <c r="W758" s="80"/>
      <c r="X758" s="80"/>
      <c r="Y758" s="80"/>
      <c r="Z758" s="80"/>
    </row>
    <row r="759">
      <c r="A759" s="87"/>
      <c r="B759" s="80"/>
      <c r="C759" s="80"/>
      <c r="D759" s="87"/>
      <c r="E759" s="87"/>
      <c r="F759" s="87"/>
      <c r="G759" s="87"/>
      <c r="H759" s="83"/>
      <c r="I759" s="83"/>
      <c r="J759" s="80"/>
      <c r="K759" s="89"/>
      <c r="L759" s="87"/>
      <c r="M759" s="80"/>
      <c r="N759" s="80"/>
      <c r="O759" s="80"/>
      <c r="P759" s="80"/>
      <c r="Q759" s="80"/>
      <c r="R759" s="80"/>
      <c r="S759" s="80"/>
      <c r="T759" s="80"/>
      <c r="U759" s="80"/>
      <c r="V759" s="80"/>
      <c r="W759" s="80"/>
      <c r="X759" s="80"/>
      <c r="Y759" s="80"/>
      <c r="Z759" s="80"/>
    </row>
    <row r="760">
      <c r="A760" s="87"/>
      <c r="B760" s="80"/>
      <c r="C760" s="80"/>
      <c r="D760" s="87"/>
      <c r="E760" s="87"/>
      <c r="F760" s="87"/>
      <c r="G760" s="87"/>
      <c r="H760" s="83"/>
      <c r="I760" s="83"/>
      <c r="J760" s="80"/>
      <c r="K760" s="89"/>
      <c r="L760" s="87"/>
      <c r="M760" s="80"/>
      <c r="N760" s="80"/>
      <c r="O760" s="80"/>
      <c r="P760" s="80"/>
      <c r="Q760" s="80"/>
      <c r="R760" s="80"/>
      <c r="S760" s="80"/>
      <c r="T760" s="80"/>
      <c r="U760" s="80"/>
      <c r="V760" s="80"/>
      <c r="W760" s="80"/>
      <c r="X760" s="80"/>
      <c r="Y760" s="80"/>
      <c r="Z760" s="80"/>
    </row>
    <row r="761">
      <c r="A761" s="87"/>
      <c r="B761" s="80"/>
      <c r="C761" s="80"/>
      <c r="D761" s="87"/>
      <c r="E761" s="87"/>
      <c r="F761" s="87"/>
      <c r="G761" s="87"/>
      <c r="H761" s="83"/>
      <c r="I761" s="83"/>
      <c r="J761" s="80"/>
      <c r="K761" s="89"/>
      <c r="L761" s="87"/>
      <c r="M761" s="80"/>
      <c r="N761" s="80"/>
      <c r="O761" s="80"/>
      <c r="P761" s="80"/>
      <c r="Q761" s="80"/>
      <c r="R761" s="80"/>
      <c r="S761" s="80"/>
      <c r="T761" s="80"/>
      <c r="U761" s="80"/>
      <c r="V761" s="80"/>
      <c r="W761" s="80"/>
      <c r="X761" s="80"/>
      <c r="Y761" s="80"/>
      <c r="Z761" s="80"/>
    </row>
    <row r="762">
      <c r="A762" s="87"/>
      <c r="B762" s="80"/>
      <c r="C762" s="80"/>
      <c r="D762" s="87"/>
      <c r="E762" s="87"/>
      <c r="F762" s="87"/>
      <c r="G762" s="87"/>
      <c r="H762" s="83"/>
      <c r="I762" s="83"/>
      <c r="J762" s="80"/>
      <c r="K762" s="89"/>
      <c r="L762" s="87"/>
      <c r="M762" s="80"/>
      <c r="N762" s="80"/>
      <c r="O762" s="80"/>
      <c r="P762" s="80"/>
      <c r="Q762" s="80"/>
      <c r="R762" s="80"/>
      <c r="S762" s="80"/>
      <c r="T762" s="80"/>
      <c r="U762" s="80"/>
      <c r="V762" s="80"/>
      <c r="W762" s="80"/>
      <c r="X762" s="80"/>
      <c r="Y762" s="80"/>
      <c r="Z762" s="80"/>
    </row>
    <row r="763">
      <c r="A763" s="87"/>
      <c r="B763" s="80"/>
      <c r="C763" s="80"/>
      <c r="D763" s="87"/>
      <c r="E763" s="87"/>
      <c r="F763" s="87"/>
      <c r="G763" s="87"/>
      <c r="H763" s="83"/>
      <c r="I763" s="83"/>
      <c r="J763" s="80"/>
      <c r="K763" s="89"/>
      <c r="L763" s="87"/>
      <c r="M763" s="80"/>
      <c r="N763" s="80"/>
      <c r="O763" s="80"/>
      <c r="P763" s="80"/>
      <c r="Q763" s="80"/>
      <c r="R763" s="80"/>
      <c r="S763" s="80"/>
      <c r="T763" s="80"/>
      <c r="U763" s="80"/>
      <c r="V763" s="80"/>
      <c r="W763" s="80"/>
      <c r="X763" s="80"/>
      <c r="Y763" s="80"/>
      <c r="Z763" s="80"/>
    </row>
    <row r="764">
      <c r="A764" s="87"/>
      <c r="B764" s="80"/>
      <c r="C764" s="80"/>
      <c r="D764" s="87"/>
      <c r="E764" s="87"/>
      <c r="F764" s="87"/>
      <c r="G764" s="87"/>
      <c r="H764" s="83"/>
      <c r="I764" s="83"/>
      <c r="J764" s="80"/>
      <c r="K764" s="89"/>
      <c r="L764" s="87"/>
      <c r="M764" s="80"/>
      <c r="N764" s="80"/>
      <c r="O764" s="80"/>
      <c r="P764" s="80"/>
      <c r="Q764" s="80"/>
      <c r="R764" s="80"/>
      <c r="S764" s="80"/>
      <c r="T764" s="80"/>
      <c r="U764" s="80"/>
      <c r="V764" s="80"/>
      <c r="W764" s="80"/>
      <c r="X764" s="80"/>
      <c r="Y764" s="80"/>
      <c r="Z764" s="80"/>
    </row>
    <row r="765">
      <c r="A765" s="87"/>
      <c r="B765" s="80"/>
      <c r="C765" s="80"/>
      <c r="D765" s="87"/>
      <c r="E765" s="87"/>
      <c r="F765" s="87"/>
      <c r="G765" s="87"/>
      <c r="H765" s="83"/>
      <c r="I765" s="83"/>
      <c r="J765" s="80"/>
      <c r="K765" s="89"/>
      <c r="L765" s="87"/>
      <c r="M765" s="80"/>
      <c r="N765" s="80"/>
      <c r="O765" s="80"/>
      <c r="P765" s="80"/>
      <c r="Q765" s="80"/>
      <c r="R765" s="80"/>
      <c r="S765" s="80"/>
      <c r="T765" s="80"/>
      <c r="U765" s="80"/>
      <c r="V765" s="80"/>
      <c r="W765" s="80"/>
      <c r="X765" s="80"/>
      <c r="Y765" s="80"/>
      <c r="Z765" s="80"/>
    </row>
    <row r="766">
      <c r="A766" s="87"/>
      <c r="B766" s="80"/>
      <c r="C766" s="80"/>
      <c r="D766" s="87"/>
      <c r="E766" s="87"/>
      <c r="F766" s="87"/>
      <c r="G766" s="87"/>
      <c r="H766" s="83"/>
      <c r="I766" s="83"/>
      <c r="J766" s="80"/>
      <c r="K766" s="89"/>
      <c r="L766" s="87"/>
      <c r="M766" s="80"/>
      <c r="N766" s="80"/>
      <c r="O766" s="80"/>
      <c r="P766" s="80"/>
      <c r="Q766" s="80"/>
      <c r="R766" s="80"/>
      <c r="S766" s="80"/>
      <c r="T766" s="80"/>
      <c r="U766" s="80"/>
      <c r="V766" s="80"/>
      <c r="W766" s="80"/>
      <c r="X766" s="80"/>
      <c r="Y766" s="80"/>
      <c r="Z766" s="80"/>
    </row>
    <row r="767">
      <c r="A767" s="87"/>
      <c r="B767" s="80"/>
      <c r="C767" s="80"/>
      <c r="D767" s="87"/>
      <c r="E767" s="87"/>
      <c r="F767" s="87"/>
      <c r="G767" s="87"/>
      <c r="H767" s="83"/>
      <c r="I767" s="83"/>
      <c r="J767" s="80"/>
      <c r="K767" s="89"/>
      <c r="L767" s="87"/>
      <c r="M767" s="80"/>
      <c r="N767" s="80"/>
      <c r="O767" s="80"/>
      <c r="P767" s="80"/>
      <c r="Q767" s="80"/>
      <c r="R767" s="80"/>
      <c r="S767" s="80"/>
      <c r="T767" s="80"/>
      <c r="U767" s="80"/>
      <c r="V767" s="80"/>
      <c r="W767" s="80"/>
      <c r="X767" s="80"/>
      <c r="Y767" s="80"/>
      <c r="Z767" s="80"/>
    </row>
    <row r="768">
      <c r="A768" s="87"/>
      <c r="B768" s="80"/>
      <c r="C768" s="80"/>
      <c r="D768" s="87"/>
      <c r="E768" s="87"/>
      <c r="F768" s="87"/>
      <c r="G768" s="87"/>
      <c r="H768" s="83"/>
      <c r="I768" s="83"/>
      <c r="J768" s="80"/>
      <c r="K768" s="89"/>
      <c r="L768" s="87"/>
      <c r="M768" s="80"/>
      <c r="N768" s="80"/>
      <c r="O768" s="80"/>
      <c r="P768" s="80"/>
      <c r="Q768" s="80"/>
      <c r="R768" s="80"/>
      <c r="S768" s="80"/>
      <c r="T768" s="80"/>
      <c r="U768" s="80"/>
      <c r="V768" s="80"/>
      <c r="W768" s="80"/>
      <c r="X768" s="80"/>
      <c r="Y768" s="80"/>
      <c r="Z768" s="80"/>
    </row>
    <row r="769">
      <c r="A769" s="87"/>
      <c r="B769" s="80"/>
      <c r="C769" s="80"/>
      <c r="D769" s="87"/>
      <c r="E769" s="87"/>
      <c r="F769" s="87"/>
      <c r="G769" s="87"/>
      <c r="H769" s="83"/>
      <c r="I769" s="83"/>
      <c r="J769" s="80"/>
      <c r="K769" s="89"/>
      <c r="L769" s="87"/>
      <c r="M769" s="80"/>
      <c r="N769" s="80"/>
      <c r="O769" s="80"/>
      <c r="P769" s="80"/>
      <c r="Q769" s="80"/>
      <c r="R769" s="80"/>
      <c r="S769" s="80"/>
      <c r="T769" s="80"/>
      <c r="U769" s="80"/>
      <c r="V769" s="80"/>
      <c r="W769" s="80"/>
      <c r="X769" s="80"/>
      <c r="Y769" s="80"/>
      <c r="Z769" s="80"/>
    </row>
    <row r="770">
      <c r="A770" s="87"/>
      <c r="B770" s="80"/>
      <c r="C770" s="80"/>
      <c r="D770" s="87"/>
      <c r="E770" s="87"/>
      <c r="F770" s="87"/>
      <c r="G770" s="87"/>
      <c r="H770" s="83"/>
      <c r="I770" s="83"/>
      <c r="J770" s="80"/>
      <c r="K770" s="89"/>
      <c r="L770" s="87"/>
      <c r="M770" s="80"/>
      <c r="N770" s="80"/>
      <c r="O770" s="80"/>
      <c r="P770" s="80"/>
      <c r="Q770" s="80"/>
      <c r="R770" s="80"/>
      <c r="S770" s="80"/>
      <c r="T770" s="80"/>
      <c r="U770" s="80"/>
      <c r="V770" s="80"/>
      <c r="W770" s="80"/>
      <c r="X770" s="80"/>
      <c r="Y770" s="80"/>
      <c r="Z770" s="80"/>
    </row>
    <row r="771">
      <c r="A771" s="87"/>
      <c r="B771" s="80"/>
      <c r="C771" s="80"/>
      <c r="D771" s="87"/>
      <c r="E771" s="87"/>
      <c r="F771" s="87"/>
      <c r="G771" s="87"/>
      <c r="H771" s="83"/>
      <c r="I771" s="83"/>
      <c r="J771" s="80"/>
      <c r="K771" s="89"/>
      <c r="L771" s="87"/>
      <c r="M771" s="80"/>
      <c r="N771" s="80"/>
      <c r="O771" s="80"/>
      <c r="P771" s="80"/>
      <c r="Q771" s="80"/>
      <c r="R771" s="80"/>
      <c r="S771" s="80"/>
      <c r="T771" s="80"/>
      <c r="U771" s="80"/>
      <c r="V771" s="80"/>
      <c r="W771" s="80"/>
      <c r="X771" s="80"/>
      <c r="Y771" s="80"/>
      <c r="Z771" s="80"/>
    </row>
    <row r="772">
      <c r="A772" s="87"/>
      <c r="B772" s="80"/>
      <c r="C772" s="80"/>
      <c r="D772" s="87"/>
      <c r="E772" s="87"/>
      <c r="F772" s="87"/>
      <c r="G772" s="87"/>
      <c r="H772" s="83"/>
      <c r="I772" s="83"/>
      <c r="J772" s="80"/>
      <c r="K772" s="89"/>
      <c r="L772" s="87"/>
      <c r="M772" s="80"/>
      <c r="N772" s="80"/>
      <c r="O772" s="80"/>
      <c r="P772" s="80"/>
      <c r="Q772" s="80"/>
      <c r="R772" s="80"/>
      <c r="S772" s="80"/>
      <c r="T772" s="80"/>
      <c r="U772" s="80"/>
      <c r="V772" s="80"/>
      <c r="W772" s="80"/>
      <c r="X772" s="80"/>
      <c r="Y772" s="80"/>
      <c r="Z772" s="80"/>
    </row>
    <row r="773">
      <c r="A773" s="87"/>
      <c r="B773" s="80"/>
      <c r="C773" s="80"/>
      <c r="D773" s="87"/>
      <c r="E773" s="87"/>
      <c r="F773" s="87"/>
      <c r="G773" s="87"/>
      <c r="H773" s="83"/>
      <c r="I773" s="83"/>
      <c r="J773" s="80"/>
      <c r="K773" s="89"/>
      <c r="L773" s="87"/>
      <c r="M773" s="80"/>
      <c r="N773" s="80"/>
      <c r="O773" s="80"/>
      <c r="P773" s="80"/>
      <c r="Q773" s="80"/>
      <c r="R773" s="80"/>
      <c r="S773" s="80"/>
      <c r="T773" s="80"/>
      <c r="U773" s="80"/>
      <c r="V773" s="80"/>
      <c r="W773" s="80"/>
      <c r="X773" s="80"/>
      <c r="Y773" s="80"/>
      <c r="Z773" s="80"/>
    </row>
    <row r="774">
      <c r="A774" s="87"/>
      <c r="B774" s="80"/>
      <c r="C774" s="80"/>
      <c r="D774" s="87"/>
      <c r="E774" s="87"/>
      <c r="F774" s="87"/>
      <c r="G774" s="87"/>
      <c r="H774" s="83"/>
      <c r="I774" s="83"/>
      <c r="J774" s="80"/>
      <c r="K774" s="89"/>
      <c r="L774" s="87"/>
      <c r="M774" s="80"/>
      <c r="N774" s="80"/>
      <c r="O774" s="80"/>
      <c r="P774" s="80"/>
      <c r="Q774" s="80"/>
      <c r="R774" s="80"/>
      <c r="S774" s="80"/>
      <c r="T774" s="80"/>
      <c r="U774" s="80"/>
      <c r="V774" s="80"/>
      <c r="W774" s="80"/>
      <c r="X774" s="80"/>
      <c r="Y774" s="80"/>
      <c r="Z774" s="80"/>
    </row>
    <row r="775">
      <c r="A775" s="87"/>
      <c r="B775" s="80"/>
      <c r="C775" s="80"/>
      <c r="D775" s="87"/>
      <c r="E775" s="87"/>
      <c r="F775" s="87"/>
      <c r="G775" s="87"/>
      <c r="H775" s="83"/>
      <c r="I775" s="83"/>
      <c r="J775" s="80"/>
      <c r="K775" s="89"/>
      <c r="L775" s="87"/>
      <c r="M775" s="80"/>
      <c r="N775" s="80"/>
      <c r="O775" s="80"/>
      <c r="P775" s="80"/>
      <c r="Q775" s="80"/>
      <c r="R775" s="80"/>
      <c r="S775" s="80"/>
      <c r="T775" s="80"/>
      <c r="U775" s="80"/>
      <c r="V775" s="80"/>
      <c r="W775" s="80"/>
      <c r="X775" s="80"/>
      <c r="Y775" s="80"/>
      <c r="Z775" s="80"/>
    </row>
    <row r="776">
      <c r="A776" s="87"/>
      <c r="B776" s="80"/>
      <c r="C776" s="80"/>
      <c r="D776" s="87"/>
      <c r="E776" s="87"/>
      <c r="F776" s="87"/>
      <c r="G776" s="87"/>
      <c r="H776" s="83"/>
      <c r="I776" s="83"/>
      <c r="J776" s="80"/>
      <c r="K776" s="89"/>
      <c r="L776" s="87"/>
      <c r="M776" s="80"/>
      <c r="N776" s="80"/>
      <c r="O776" s="80"/>
      <c r="P776" s="80"/>
      <c r="Q776" s="80"/>
      <c r="R776" s="80"/>
      <c r="S776" s="80"/>
      <c r="T776" s="80"/>
      <c r="U776" s="80"/>
      <c r="V776" s="80"/>
      <c r="W776" s="80"/>
      <c r="X776" s="80"/>
      <c r="Y776" s="80"/>
      <c r="Z776" s="80"/>
    </row>
    <row r="777">
      <c r="A777" s="87"/>
      <c r="B777" s="80"/>
      <c r="C777" s="80"/>
      <c r="D777" s="87"/>
      <c r="E777" s="87"/>
      <c r="F777" s="87"/>
      <c r="G777" s="87"/>
      <c r="H777" s="83"/>
      <c r="I777" s="83"/>
      <c r="J777" s="80"/>
      <c r="K777" s="89"/>
      <c r="L777" s="87"/>
      <c r="M777" s="80"/>
      <c r="N777" s="80"/>
      <c r="O777" s="80"/>
      <c r="P777" s="80"/>
      <c r="Q777" s="80"/>
      <c r="R777" s="80"/>
      <c r="S777" s="80"/>
      <c r="T777" s="80"/>
      <c r="U777" s="80"/>
      <c r="V777" s="80"/>
      <c r="W777" s="80"/>
      <c r="X777" s="80"/>
      <c r="Y777" s="80"/>
      <c r="Z777" s="80"/>
    </row>
    <row r="778">
      <c r="A778" s="87"/>
      <c r="B778" s="80"/>
      <c r="C778" s="80"/>
      <c r="D778" s="87"/>
      <c r="E778" s="87"/>
      <c r="F778" s="87"/>
      <c r="G778" s="87"/>
      <c r="H778" s="83"/>
      <c r="I778" s="83"/>
      <c r="J778" s="80"/>
      <c r="K778" s="89"/>
      <c r="L778" s="87"/>
      <c r="M778" s="80"/>
      <c r="N778" s="80"/>
      <c r="O778" s="80"/>
      <c r="P778" s="80"/>
      <c r="Q778" s="80"/>
      <c r="R778" s="80"/>
      <c r="S778" s="80"/>
      <c r="T778" s="80"/>
      <c r="U778" s="80"/>
      <c r="V778" s="80"/>
      <c r="W778" s="80"/>
      <c r="X778" s="80"/>
      <c r="Y778" s="80"/>
      <c r="Z778" s="80"/>
    </row>
    <row r="779">
      <c r="A779" s="87"/>
      <c r="B779" s="80"/>
      <c r="C779" s="80"/>
      <c r="D779" s="87"/>
      <c r="E779" s="87"/>
      <c r="F779" s="87"/>
      <c r="G779" s="87"/>
      <c r="H779" s="83"/>
      <c r="I779" s="83"/>
      <c r="J779" s="80"/>
      <c r="K779" s="89"/>
      <c r="L779" s="87"/>
      <c r="M779" s="80"/>
      <c r="N779" s="80"/>
      <c r="O779" s="80"/>
      <c r="P779" s="80"/>
      <c r="Q779" s="80"/>
      <c r="R779" s="80"/>
      <c r="S779" s="80"/>
      <c r="T779" s="80"/>
      <c r="U779" s="80"/>
      <c r="V779" s="80"/>
      <c r="W779" s="80"/>
      <c r="X779" s="80"/>
      <c r="Y779" s="80"/>
      <c r="Z779" s="80"/>
    </row>
    <row r="780">
      <c r="A780" s="87"/>
      <c r="B780" s="80"/>
      <c r="C780" s="80"/>
      <c r="D780" s="87"/>
      <c r="E780" s="87"/>
      <c r="F780" s="87"/>
      <c r="G780" s="87"/>
      <c r="H780" s="83"/>
      <c r="I780" s="83"/>
      <c r="J780" s="80"/>
      <c r="K780" s="89"/>
      <c r="L780" s="87"/>
      <c r="M780" s="80"/>
      <c r="N780" s="80"/>
      <c r="O780" s="80"/>
      <c r="P780" s="80"/>
      <c r="Q780" s="80"/>
      <c r="R780" s="80"/>
      <c r="S780" s="80"/>
      <c r="T780" s="80"/>
      <c r="U780" s="80"/>
      <c r="V780" s="80"/>
      <c r="W780" s="80"/>
      <c r="X780" s="80"/>
      <c r="Y780" s="80"/>
      <c r="Z780" s="80"/>
    </row>
    <row r="781">
      <c r="A781" s="87"/>
      <c r="B781" s="80"/>
      <c r="C781" s="80"/>
      <c r="D781" s="87"/>
      <c r="E781" s="87"/>
      <c r="F781" s="87"/>
      <c r="G781" s="87"/>
      <c r="H781" s="83"/>
      <c r="I781" s="83"/>
      <c r="J781" s="80"/>
      <c r="K781" s="89"/>
      <c r="L781" s="87"/>
      <c r="M781" s="80"/>
      <c r="N781" s="80"/>
      <c r="O781" s="80"/>
      <c r="P781" s="80"/>
      <c r="Q781" s="80"/>
      <c r="R781" s="80"/>
      <c r="S781" s="80"/>
      <c r="T781" s="80"/>
      <c r="U781" s="80"/>
      <c r="V781" s="80"/>
      <c r="W781" s="80"/>
      <c r="X781" s="80"/>
      <c r="Y781" s="80"/>
      <c r="Z781" s="80"/>
    </row>
    <row r="782">
      <c r="A782" s="87"/>
      <c r="B782" s="80"/>
      <c r="C782" s="80"/>
      <c r="D782" s="87"/>
      <c r="E782" s="87"/>
      <c r="F782" s="87"/>
      <c r="G782" s="87"/>
      <c r="H782" s="83"/>
      <c r="I782" s="83"/>
      <c r="J782" s="80"/>
      <c r="K782" s="89"/>
      <c r="L782" s="87"/>
      <c r="M782" s="80"/>
      <c r="N782" s="80"/>
      <c r="O782" s="80"/>
      <c r="P782" s="80"/>
      <c r="Q782" s="80"/>
      <c r="R782" s="80"/>
      <c r="S782" s="80"/>
      <c r="T782" s="80"/>
      <c r="U782" s="80"/>
      <c r="V782" s="80"/>
      <c r="W782" s="80"/>
      <c r="X782" s="80"/>
      <c r="Y782" s="80"/>
      <c r="Z782" s="80"/>
    </row>
    <row r="783">
      <c r="A783" s="87"/>
      <c r="B783" s="80"/>
      <c r="C783" s="80"/>
      <c r="D783" s="87"/>
      <c r="E783" s="87"/>
      <c r="F783" s="87"/>
      <c r="G783" s="87"/>
      <c r="H783" s="83"/>
      <c r="I783" s="83"/>
      <c r="J783" s="80"/>
      <c r="K783" s="89"/>
      <c r="L783" s="87"/>
      <c r="M783" s="80"/>
      <c r="N783" s="80"/>
      <c r="O783" s="80"/>
      <c r="P783" s="80"/>
      <c r="Q783" s="80"/>
      <c r="R783" s="80"/>
      <c r="S783" s="80"/>
      <c r="T783" s="80"/>
      <c r="U783" s="80"/>
      <c r="V783" s="80"/>
      <c r="W783" s="80"/>
      <c r="X783" s="80"/>
      <c r="Y783" s="80"/>
      <c r="Z783" s="80"/>
    </row>
    <row r="784">
      <c r="A784" s="87"/>
      <c r="B784" s="80"/>
      <c r="C784" s="80"/>
      <c r="D784" s="87"/>
      <c r="E784" s="87"/>
      <c r="F784" s="87"/>
      <c r="G784" s="87"/>
      <c r="H784" s="83"/>
      <c r="I784" s="83"/>
      <c r="J784" s="80"/>
      <c r="K784" s="89"/>
      <c r="L784" s="87"/>
      <c r="M784" s="80"/>
      <c r="N784" s="80"/>
      <c r="O784" s="80"/>
      <c r="P784" s="80"/>
      <c r="Q784" s="80"/>
      <c r="R784" s="80"/>
      <c r="S784" s="80"/>
      <c r="T784" s="80"/>
      <c r="U784" s="80"/>
      <c r="V784" s="80"/>
      <c r="W784" s="80"/>
      <c r="X784" s="80"/>
      <c r="Y784" s="80"/>
      <c r="Z784" s="80"/>
    </row>
    <row r="785">
      <c r="A785" s="87"/>
      <c r="B785" s="80"/>
      <c r="C785" s="80"/>
      <c r="D785" s="87"/>
      <c r="E785" s="87"/>
      <c r="F785" s="87"/>
      <c r="G785" s="87"/>
      <c r="H785" s="83"/>
      <c r="I785" s="83"/>
      <c r="J785" s="80"/>
      <c r="K785" s="89"/>
      <c r="L785" s="87"/>
      <c r="M785" s="80"/>
      <c r="N785" s="80"/>
      <c r="O785" s="80"/>
      <c r="P785" s="80"/>
      <c r="Q785" s="80"/>
      <c r="R785" s="80"/>
      <c r="S785" s="80"/>
      <c r="T785" s="80"/>
      <c r="U785" s="80"/>
      <c r="V785" s="80"/>
      <c r="W785" s="80"/>
      <c r="X785" s="80"/>
      <c r="Y785" s="80"/>
      <c r="Z785" s="80"/>
    </row>
    <row r="786">
      <c r="A786" s="87"/>
      <c r="B786" s="80"/>
      <c r="C786" s="80"/>
      <c r="D786" s="87"/>
      <c r="E786" s="87"/>
      <c r="F786" s="87"/>
      <c r="G786" s="87"/>
      <c r="H786" s="83"/>
      <c r="I786" s="83"/>
      <c r="J786" s="80"/>
      <c r="K786" s="89"/>
      <c r="L786" s="87"/>
      <c r="M786" s="80"/>
      <c r="N786" s="80"/>
      <c r="O786" s="80"/>
      <c r="P786" s="80"/>
      <c r="Q786" s="80"/>
      <c r="R786" s="80"/>
      <c r="S786" s="80"/>
      <c r="T786" s="80"/>
      <c r="U786" s="80"/>
      <c r="V786" s="80"/>
      <c r="W786" s="80"/>
      <c r="X786" s="80"/>
      <c r="Y786" s="80"/>
      <c r="Z786" s="80"/>
    </row>
    <row r="787">
      <c r="A787" s="87"/>
      <c r="B787" s="80"/>
      <c r="C787" s="80"/>
      <c r="D787" s="87"/>
      <c r="E787" s="87"/>
      <c r="F787" s="87"/>
      <c r="G787" s="87"/>
      <c r="H787" s="83"/>
      <c r="I787" s="83"/>
      <c r="J787" s="80"/>
      <c r="K787" s="89"/>
      <c r="L787" s="87"/>
      <c r="M787" s="80"/>
      <c r="N787" s="80"/>
      <c r="O787" s="80"/>
      <c r="P787" s="80"/>
      <c r="Q787" s="80"/>
      <c r="R787" s="80"/>
      <c r="S787" s="80"/>
      <c r="T787" s="80"/>
      <c r="U787" s="80"/>
      <c r="V787" s="80"/>
      <c r="W787" s="80"/>
      <c r="X787" s="80"/>
      <c r="Y787" s="80"/>
      <c r="Z787" s="80"/>
    </row>
    <row r="788">
      <c r="A788" s="87"/>
      <c r="B788" s="80"/>
      <c r="C788" s="80"/>
      <c r="D788" s="87"/>
      <c r="E788" s="87"/>
      <c r="F788" s="87"/>
      <c r="G788" s="87"/>
      <c r="H788" s="83"/>
      <c r="I788" s="83"/>
      <c r="J788" s="80"/>
      <c r="K788" s="89"/>
      <c r="L788" s="87"/>
      <c r="M788" s="80"/>
      <c r="N788" s="80"/>
      <c r="O788" s="80"/>
      <c r="P788" s="80"/>
      <c r="Q788" s="80"/>
      <c r="R788" s="80"/>
      <c r="S788" s="80"/>
      <c r="T788" s="80"/>
      <c r="U788" s="80"/>
      <c r="V788" s="80"/>
      <c r="W788" s="80"/>
      <c r="X788" s="80"/>
      <c r="Y788" s="80"/>
      <c r="Z788" s="80"/>
    </row>
    <row r="789">
      <c r="A789" s="87"/>
      <c r="B789" s="80"/>
      <c r="C789" s="80"/>
      <c r="D789" s="87"/>
      <c r="E789" s="87"/>
      <c r="F789" s="87"/>
      <c r="G789" s="87"/>
      <c r="H789" s="83"/>
      <c r="I789" s="83"/>
      <c r="J789" s="80"/>
      <c r="K789" s="89"/>
      <c r="L789" s="87"/>
      <c r="M789" s="80"/>
      <c r="N789" s="80"/>
      <c r="O789" s="80"/>
      <c r="P789" s="80"/>
      <c r="Q789" s="80"/>
      <c r="R789" s="80"/>
      <c r="S789" s="80"/>
      <c r="T789" s="80"/>
      <c r="U789" s="80"/>
      <c r="V789" s="80"/>
      <c r="W789" s="80"/>
      <c r="X789" s="80"/>
      <c r="Y789" s="80"/>
      <c r="Z789" s="80"/>
    </row>
    <row r="790">
      <c r="A790" s="87"/>
      <c r="B790" s="80"/>
      <c r="C790" s="80"/>
      <c r="D790" s="87"/>
      <c r="E790" s="87"/>
      <c r="F790" s="87"/>
      <c r="G790" s="87"/>
      <c r="H790" s="83"/>
      <c r="I790" s="83"/>
      <c r="J790" s="80"/>
      <c r="K790" s="89"/>
      <c r="L790" s="87"/>
      <c r="M790" s="80"/>
      <c r="N790" s="80"/>
      <c r="O790" s="80"/>
      <c r="P790" s="80"/>
      <c r="Q790" s="80"/>
      <c r="R790" s="80"/>
      <c r="S790" s="80"/>
      <c r="T790" s="80"/>
      <c r="U790" s="80"/>
      <c r="V790" s="80"/>
      <c r="W790" s="80"/>
      <c r="X790" s="80"/>
      <c r="Y790" s="80"/>
      <c r="Z790" s="80"/>
    </row>
    <row r="791">
      <c r="A791" s="87"/>
      <c r="B791" s="80"/>
      <c r="C791" s="80"/>
      <c r="D791" s="87"/>
      <c r="E791" s="87"/>
      <c r="F791" s="87"/>
      <c r="G791" s="87"/>
      <c r="H791" s="83"/>
      <c r="I791" s="83"/>
      <c r="J791" s="80"/>
      <c r="K791" s="89"/>
      <c r="L791" s="87"/>
      <c r="M791" s="80"/>
      <c r="N791" s="80"/>
      <c r="O791" s="80"/>
      <c r="P791" s="80"/>
      <c r="Q791" s="80"/>
      <c r="R791" s="80"/>
      <c r="S791" s="80"/>
      <c r="T791" s="80"/>
      <c r="U791" s="80"/>
      <c r="V791" s="80"/>
      <c r="W791" s="80"/>
      <c r="X791" s="80"/>
      <c r="Y791" s="80"/>
      <c r="Z791" s="80"/>
    </row>
    <row r="792">
      <c r="A792" s="87"/>
      <c r="B792" s="80"/>
      <c r="C792" s="80"/>
      <c r="D792" s="87"/>
      <c r="E792" s="87"/>
      <c r="F792" s="87"/>
      <c r="G792" s="87"/>
      <c r="H792" s="83"/>
      <c r="I792" s="83"/>
      <c r="J792" s="80"/>
      <c r="K792" s="89"/>
      <c r="L792" s="87"/>
      <c r="M792" s="80"/>
      <c r="N792" s="80"/>
      <c r="O792" s="80"/>
      <c r="P792" s="80"/>
      <c r="Q792" s="80"/>
      <c r="R792" s="80"/>
      <c r="S792" s="80"/>
      <c r="T792" s="80"/>
      <c r="U792" s="80"/>
      <c r="V792" s="80"/>
      <c r="W792" s="80"/>
      <c r="X792" s="80"/>
      <c r="Y792" s="80"/>
      <c r="Z792" s="80"/>
    </row>
    <row r="793">
      <c r="A793" s="87"/>
      <c r="B793" s="80"/>
      <c r="C793" s="80"/>
      <c r="D793" s="87"/>
      <c r="E793" s="87"/>
      <c r="F793" s="87"/>
      <c r="G793" s="87"/>
      <c r="H793" s="83"/>
      <c r="I793" s="83"/>
      <c r="J793" s="80"/>
      <c r="K793" s="89"/>
      <c r="L793" s="87"/>
      <c r="M793" s="80"/>
      <c r="N793" s="80"/>
      <c r="O793" s="80"/>
      <c r="P793" s="80"/>
      <c r="Q793" s="80"/>
      <c r="R793" s="80"/>
      <c r="S793" s="80"/>
      <c r="T793" s="80"/>
      <c r="U793" s="80"/>
      <c r="V793" s="80"/>
      <c r="W793" s="80"/>
      <c r="X793" s="80"/>
      <c r="Y793" s="80"/>
      <c r="Z793" s="80"/>
    </row>
    <row r="794">
      <c r="A794" s="87"/>
      <c r="B794" s="80"/>
      <c r="C794" s="80"/>
      <c r="D794" s="87"/>
      <c r="E794" s="87"/>
      <c r="F794" s="87"/>
      <c r="G794" s="87"/>
      <c r="H794" s="83"/>
      <c r="I794" s="83"/>
      <c r="J794" s="80"/>
      <c r="K794" s="89"/>
      <c r="L794" s="87"/>
      <c r="M794" s="80"/>
      <c r="N794" s="80"/>
      <c r="O794" s="80"/>
      <c r="P794" s="80"/>
      <c r="Q794" s="80"/>
      <c r="R794" s="80"/>
      <c r="S794" s="80"/>
      <c r="T794" s="80"/>
      <c r="U794" s="80"/>
      <c r="V794" s="80"/>
      <c r="W794" s="80"/>
      <c r="X794" s="80"/>
      <c r="Y794" s="80"/>
      <c r="Z794" s="80"/>
    </row>
    <row r="795">
      <c r="A795" s="87"/>
      <c r="B795" s="80"/>
      <c r="C795" s="80"/>
      <c r="D795" s="87"/>
      <c r="E795" s="87"/>
      <c r="F795" s="87"/>
      <c r="G795" s="87"/>
      <c r="H795" s="83"/>
      <c r="I795" s="83"/>
      <c r="J795" s="80"/>
      <c r="K795" s="89"/>
      <c r="L795" s="87"/>
      <c r="M795" s="80"/>
      <c r="N795" s="80"/>
      <c r="O795" s="80"/>
      <c r="P795" s="80"/>
      <c r="Q795" s="80"/>
      <c r="R795" s="80"/>
      <c r="S795" s="80"/>
      <c r="T795" s="80"/>
      <c r="U795" s="80"/>
      <c r="V795" s="80"/>
      <c r="W795" s="80"/>
      <c r="X795" s="80"/>
      <c r="Y795" s="80"/>
      <c r="Z795" s="80"/>
    </row>
    <row r="796">
      <c r="A796" s="87"/>
      <c r="B796" s="80"/>
      <c r="C796" s="80"/>
      <c r="D796" s="87"/>
      <c r="E796" s="87"/>
      <c r="F796" s="87"/>
      <c r="G796" s="87"/>
      <c r="H796" s="83"/>
      <c r="I796" s="83"/>
      <c r="J796" s="80"/>
      <c r="K796" s="89"/>
      <c r="L796" s="87"/>
      <c r="M796" s="80"/>
      <c r="N796" s="80"/>
      <c r="O796" s="80"/>
      <c r="P796" s="80"/>
      <c r="Q796" s="80"/>
      <c r="R796" s="80"/>
      <c r="S796" s="80"/>
      <c r="T796" s="80"/>
      <c r="U796" s="80"/>
      <c r="V796" s="80"/>
      <c r="W796" s="80"/>
      <c r="X796" s="80"/>
      <c r="Y796" s="80"/>
      <c r="Z796" s="80"/>
    </row>
    <row r="797">
      <c r="A797" s="87"/>
      <c r="B797" s="80"/>
      <c r="C797" s="80"/>
      <c r="D797" s="87"/>
      <c r="E797" s="87"/>
      <c r="F797" s="87"/>
      <c r="G797" s="87"/>
      <c r="H797" s="83"/>
      <c r="I797" s="83"/>
      <c r="J797" s="80"/>
      <c r="K797" s="89"/>
      <c r="L797" s="87"/>
      <c r="M797" s="80"/>
      <c r="N797" s="80"/>
      <c r="O797" s="80"/>
      <c r="P797" s="80"/>
      <c r="Q797" s="80"/>
      <c r="R797" s="80"/>
      <c r="S797" s="80"/>
      <c r="T797" s="80"/>
      <c r="U797" s="80"/>
      <c r="V797" s="80"/>
      <c r="W797" s="80"/>
      <c r="X797" s="80"/>
      <c r="Y797" s="80"/>
      <c r="Z797" s="80"/>
    </row>
    <row r="798">
      <c r="A798" s="87"/>
      <c r="B798" s="80"/>
      <c r="C798" s="80"/>
      <c r="D798" s="87"/>
      <c r="E798" s="87"/>
      <c r="F798" s="87"/>
      <c r="G798" s="87"/>
      <c r="H798" s="83"/>
      <c r="I798" s="83"/>
      <c r="J798" s="80"/>
      <c r="K798" s="89"/>
      <c r="L798" s="87"/>
      <c r="M798" s="80"/>
      <c r="N798" s="80"/>
      <c r="O798" s="80"/>
      <c r="P798" s="80"/>
      <c r="Q798" s="80"/>
      <c r="R798" s="80"/>
      <c r="S798" s="80"/>
      <c r="T798" s="80"/>
      <c r="U798" s="80"/>
      <c r="V798" s="80"/>
      <c r="W798" s="80"/>
      <c r="X798" s="80"/>
      <c r="Y798" s="80"/>
      <c r="Z798" s="80"/>
    </row>
    <row r="799">
      <c r="A799" s="87"/>
      <c r="B799" s="80"/>
      <c r="C799" s="80"/>
      <c r="D799" s="87"/>
      <c r="E799" s="87"/>
      <c r="F799" s="87"/>
      <c r="G799" s="87"/>
      <c r="H799" s="83"/>
      <c r="I799" s="83"/>
      <c r="J799" s="80"/>
      <c r="K799" s="89"/>
      <c r="L799" s="87"/>
      <c r="M799" s="80"/>
      <c r="N799" s="80"/>
      <c r="O799" s="80"/>
      <c r="P799" s="80"/>
      <c r="Q799" s="80"/>
      <c r="R799" s="80"/>
      <c r="S799" s="80"/>
      <c r="T799" s="80"/>
      <c r="U799" s="80"/>
      <c r="V799" s="80"/>
      <c r="W799" s="80"/>
      <c r="X799" s="80"/>
      <c r="Y799" s="80"/>
      <c r="Z799" s="80"/>
    </row>
    <row r="800">
      <c r="A800" s="87"/>
      <c r="B800" s="80"/>
      <c r="C800" s="80"/>
      <c r="D800" s="87"/>
      <c r="E800" s="87"/>
      <c r="F800" s="87"/>
      <c r="G800" s="87"/>
      <c r="H800" s="83"/>
      <c r="I800" s="83"/>
      <c r="J800" s="80"/>
      <c r="K800" s="89"/>
      <c r="L800" s="87"/>
      <c r="M800" s="80"/>
      <c r="N800" s="80"/>
      <c r="O800" s="80"/>
      <c r="P800" s="80"/>
      <c r="Q800" s="80"/>
      <c r="R800" s="80"/>
      <c r="S800" s="80"/>
      <c r="T800" s="80"/>
      <c r="U800" s="80"/>
      <c r="V800" s="80"/>
      <c r="W800" s="80"/>
      <c r="X800" s="80"/>
      <c r="Y800" s="80"/>
      <c r="Z800" s="80"/>
    </row>
    <row r="801">
      <c r="A801" s="87"/>
      <c r="B801" s="80"/>
      <c r="C801" s="80"/>
      <c r="D801" s="87"/>
      <c r="E801" s="87"/>
      <c r="F801" s="87"/>
      <c r="G801" s="87"/>
      <c r="H801" s="83"/>
      <c r="I801" s="83"/>
      <c r="J801" s="80"/>
      <c r="K801" s="89"/>
      <c r="L801" s="87"/>
      <c r="M801" s="80"/>
      <c r="N801" s="80"/>
      <c r="O801" s="80"/>
      <c r="P801" s="80"/>
      <c r="Q801" s="80"/>
      <c r="R801" s="80"/>
      <c r="S801" s="80"/>
      <c r="T801" s="80"/>
      <c r="U801" s="80"/>
      <c r="V801" s="80"/>
      <c r="W801" s="80"/>
      <c r="X801" s="80"/>
      <c r="Y801" s="80"/>
      <c r="Z801" s="80"/>
    </row>
    <row r="802">
      <c r="A802" s="87"/>
      <c r="B802" s="80"/>
      <c r="C802" s="80"/>
      <c r="D802" s="87"/>
      <c r="E802" s="87"/>
      <c r="F802" s="87"/>
      <c r="G802" s="87"/>
      <c r="H802" s="83"/>
      <c r="I802" s="83"/>
      <c r="J802" s="80"/>
      <c r="K802" s="89"/>
      <c r="L802" s="87"/>
      <c r="M802" s="80"/>
      <c r="N802" s="80"/>
      <c r="O802" s="80"/>
      <c r="P802" s="80"/>
      <c r="Q802" s="80"/>
      <c r="R802" s="80"/>
      <c r="S802" s="80"/>
      <c r="T802" s="80"/>
      <c r="U802" s="80"/>
      <c r="V802" s="80"/>
      <c r="W802" s="80"/>
      <c r="X802" s="80"/>
      <c r="Y802" s="80"/>
      <c r="Z802" s="80"/>
    </row>
    <row r="803">
      <c r="A803" s="87"/>
      <c r="B803" s="80"/>
      <c r="C803" s="80"/>
      <c r="D803" s="87"/>
      <c r="E803" s="87"/>
      <c r="F803" s="87"/>
      <c r="G803" s="87"/>
      <c r="H803" s="83"/>
      <c r="I803" s="83"/>
      <c r="J803" s="80"/>
      <c r="K803" s="89"/>
      <c r="L803" s="87"/>
      <c r="M803" s="80"/>
      <c r="N803" s="80"/>
      <c r="O803" s="80"/>
      <c r="P803" s="80"/>
      <c r="Q803" s="80"/>
      <c r="R803" s="80"/>
      <c r="S803" s="80"/>
      <c r="T803" s="80"/>
      <c r="U803" s="80"/>
      <c r="V803" s="80"/>
      <c r="W803" s="80"/>
      <c r="X803" s="80"/>
      <c r="Y803" s="80"/>
      <c r="Z803" s="80"/>
    </row>
    <row r="804">
      <c r="A804" s="87"/>
      <c r="B804" s="80"/>
      <c r="C804" s="80"/>
      <c r="D804" s="87"/>
      <c r="E804" s="87"/>
      <c r="F804" s="87"/>
      <c r="G804" s="87"/>
      <c r="H804" s="83"/>
      <c r="I804" s="83"/>
      <c r="J804" s="80"/>
      <c r="K804" s="89"/>
      <c r="L804" s="87"/>
      <c r="M804" s="80"/>
      <c r="N804" s="80"/>
      <c r="O804" s="80"/>
      <c r="P804" s="80"/>
      <c r="Q804" s="80"/>
      <c r="R804" s="80"/>
      <c r="S804" s="80"/>
      <c r="T804" s="80"/>
      <c r="U804" s="80"/>
      <c r="V804" s="80"/>
      <c r="W804" s="80"/>
      <c r="X804" s="80"/>
      <c r="Y804" s="80"/>
      <c r="Z804" s="80"/>
    </row>
    <row r="805">
      <c r="A805" s="87"/>
      <c r="B805" s="80"/>
      <c r="C805" s="80"/>
      <c r="D805" s="87"/>
      <c r="E805" s="87"/>
      <c r="F805" s="87"/>
      <c r="G805" s="87"/>
      <c r="H805" s="83"/>
      <c r="I805" s="83"/>
      <c r="J805" s="80"/>
      <c r="K805" s="89"/>
      <c r="L805" s="87"/>
      <c r="M805" s="80"/>
      <c r="N805" s="80"/>
      <c r="O805" s="80"/>
      <c r="P805" s="80"/>
      <c r="Q805" s="80"/>
      <c r="R805" s="80"/>
      <c r="S805" s="80"/>
      <c r="T805" s="80"/>
      <c r="U805" s="80"/>
      <c r="V805" s="80"/>
      <c r="W805" s="80"/>
      <c r="X805" s="80"/>
      <c r="Y805" s="80"/>
      <c r="Z805" s="80"/>
    </row>
    <row r="806">
      <c r="A806" s="87"/>
      <c r="B806" s="80"/>
      <c r="C806" s="80"/>
      <c r="D806" s="87"/>
      <c r="E806" s="87"/>
      <c r="F806" s="87"/>
      <c r="G806" s="87"/>
      <c r="H806" s="83"/>
      <c r="I806" s="83"/>
      <c r="J806" s="80"/>
      <c r="K806" s="87"/>
      <c r="L806" s="87"/>
      <c r="M806" s="80"/>
      <c r="N806" s="80"/>
      <c r="O806" s="80"/>
      <c r="P806" s="80"/>
      <c r="Q806" s="80"/>
      <c r="R806" s="80"/>
      <c r="S806" s="80"/>
      <c r="T806" s="80"/>
      <c r="U806" s="80"/>
      <c r="V806" s="80"/>
      <c r="W806" s="80"/>
      <c r="X806" s="80"/>
      <c r="Y806" s="80"/>
      <c r="Z806" s="80"/>
    </row>
    <row r="807">
      <c r="A807" s="87"/>
      <c r="B807" s="80"/>
      <c r="C807" s="80"/>
      <c r="D807" s="87"/>
      <c r="E807" s="87"/>
      <c r="F807" s="87"/>
      <c r="G807" s="87"/>
      <c r="H807" s="83"/>
      <c r="I807" s="83"/>
      <c r="J807" s="80"/>
      <c r="K807" s="87"/>
      <c r="L807" s="87"/>
      <c r="M807" s="80"/>
      <c r="N807" s="80"/>
      <c r="O807" s="80"/>
      <c r="P807" s="80"/>
      <c r="Q807" s="80"/>
      <c r="R807" s="80"/>
      <c r="S807" s="80"/>
      <c r="T807" s="80"/>
      <c r="U807" s="80"/>
      <c r="V807" s="80"/>
      <c r="W807" s="80"/>
      <c r="X807" s="80"/>
      <c r="Y807" s="80"/>
      <c r="Z807" s="80"/>
    </row>
    <row r="808">
      <c r="A808" s="87"/>
      <c r="B808" s="80"/>
      <c r="C808" s="80"/>
      <c r="D808" s="87"/>
      <c r="E808" s="87"/>
      <c r="F808" s="87"/>
      <c r="G808" s="87"/>
      <c r="H808" s="83"/>
      <c r="I808" s="83"/>
      <c r="J808" s="80"/>
      <c r="K808" s="87"/>
      <c r="L808" s="87"/>
      <c r="M808" s="80"/>
      <c r="N808" s="80"/>
      <c r="O808" s="80"/>
      <c r="P808" s="80"/>
      <c r="Q808" s="80"/>
      <c r="R808" s="80"/>
      <c r="S808" s="80"/>
      <c r="T808" s="80"/>
      <c r="U808" s="80"/>
      <c r="V808" s="80"/>
      <c r="W808" s="80"/>
      <c r="X808" s="80"/>
      <c r="Y808" s="80"/>
      <c r="Z808" s="80"/>
    </row>
    <row r="809">
      <c r="A809" s="87"/>
      <c r="B809" s="80"/>
      <c r="C809" s="80"/>
      <c r="D809" s="87"/>
      <c r="E809" s="87"/>
      <c r="F809" s="87"/>
      <c r="G809" s="87"/>
      <c r="H809" s="83"/>
      <c r="I809" s="83"/>
      <c r="J809" s="80"/>
      <c r="K809" s="87"/>
      <c r="L809" s="87"/>
      <c r="M809" s="80"/>
      <c r="N809" s="80"/>
      <c r="O809" s="80"/>
      <c r="P809" s="80"/>
      <c r="Q809" s="80"/>
      <c r="R809" s="80"/>
      <c r="S809" s="80"/>
      <c r="T809" s="80"/>
      <c r="U809" s="80"/>
      <c r="V809" s="80"/>
      <c r="W809" s="80"/>
      <c r="X809" s="80"/>
      <c r="Y809" s="80"/>
      <c r="Z809" s="80"/>
    </row>
    <row r="810">
      <c r="A810" s="87"/>
      <c r="B810" s="80"/>
      <c r="C810" s="80"/>
      <c r="D810" s="87"/>
      <c r="E810" s="87"/>
      <c r="F810" s="87"/>
      <c r="G810" s="87"/>
      <c r="H810" s="83"/>
      <c r="I810" s="83"/>
      <c r="J810" s="80"/>
      <c r="K810" s="87"/>
      <c r="L810" s="87"/>
      <c r="M810" s="80"/>
      <c r="N810" s="80"/>
      <c r="O810" s="80"/>
      <c r="P810" s="80"/>
      <c r="Q810" s="80"/>
      <c r="R810" s="80"/>
      <c r="S810" s="80"/>
      <c r="T810" s="80"/>
      <c r="U810" s="80"/>
      <c r="V810" s="80"/>
      <c r="W810" s="80"/>
      <c r="X810" s="80"/>
      <c r="Y810" s="80"/>
      <c r="Z810" s="80"/>
    </row>
    <row r="811">
      <c r="A811" s="87"/>
      <c r="B811" s="80"/>
      <c r="C811" s="80"/>
      <c r="D811" s="87"/>
      <c r="E811" s="87"/>
      <c r="F811" s="87"/>
      <c r="G811" s="87"/>
      <c r="H811" s="83"/>
      <c r="I811" s="83"/>
      <c r="J811" s="80"/>
      <c r="K811" s="87"/>
      <c r="L811" s="87"/>
      <c r="M811" s="80"/>
      <c r="N811" s="80"/>
      <c r="O811" s="80"/>
      <c r="P811" s="80"/>
      <c r="Q811" s="80"/>
      <c r="R811" s="80"/>
      <c r="S811" s="80"/>
      <c r="T811" s="80"/>
      <c r="U811" s="80"/>
      <c r="V811" s="80"/>
      <c r="W811" s="80"/>
      <c r="X811" s="80"/>
      <c r="Y811" s="80"/>
      <c r="Z811" s="80"/>
    </row>
    <row r="812">
      <c r="A812" s="87"/>
      <c r="B812" s="80"/>
      <c r="C812" s="80"/>
      <c r="D812" s="87"/>
      <c r="E812" s="87"/>
      <c r="F812" s="87"/>
      <c r="G812" s="87"/>
      <c r="H812" s="83"/>
      <c r="I812" s="83"/>
      <c r="J812" s="80"/>
      <c r="K812" s="87"/>
      <c r="L812" s="87"/>
      <c r="M812" s="80"/>
      <c r="N812" s="80"/>
      <c r="O812" s="80"/>
      <c r="P812" s="80"/>
      <c r="Q812" s="80"/>
      <c r="R812" s="80"/>
      <c r="S812" s="80"/>
      <c r="T812" s="80"/>
      <c r="U812" s="80"/>
      <c r="V812" s="80"/>
      <c r="W812" s="80"/>
      <c r="X812" s="80"/>
      <c r="Y812" s="80"/>
      <c r="Z812" s="80"/>
    </row>
    <row r="813">
      <c r="A813" s="87"/>
      <c r="B813" s="80"/>
      <c r="C813" s="80"/>
      <c r="D813" s="87"/>
      <c r="E813" s="87"/>
      <c r="F813" s="87"/>
      <c r="G813" s="87"/>
      <c r="H813" s="83"/>
      <c r="I813" s="83"/>
      <c r="J813" s="80"/>
      <c r="K813" s="87"/>
      <c r="L813" s="87"/>
      <c r="M813" s="80"/>
      <c r="N813" s="80"/>
      <c r="O813" s="80"/>
      <c r="P813" s="80"/>
      <c r="Q813" s="80"/>
      <c r="R813" s="80"/>
      <c r="S813" s="80"/>
      <c r="T813" s="80"/>
      <c r="U813" s="80"/>
      <c r="V813" s="80"/>
      <c r="W813" s="80"/>
      <c r="X813" s="80"/>
      <c r="Y813" s="80"/>
      <c r="Z813" s="80"/>
    </row>
    <row r="814">
      <c r="A814" s="87"/>
      <c r="B814" s="80"/>
      <c r="C814" s="80"/>
      <c r="D814" s="87"/>
      <c r="E814" s="87"/>
      <c r="F814" s="87"/>
      <c r="G814" s="87"/>
      <c r="H814" s="83"/>
      <c r="I814" s="83"/>
      <c r="J814" s="80"/>
      <c r="K814" s="87"/>
      <c r="L814" s="87"/>
      <c r="M814" s="80"/>
      <c r="N814" s="80"/>
      <c r="O814" s="80"/>
      <c r="P814" s="80"/>
      <c r="Q814" s="80"/>
      <c r="R814" s="80"/>
      <c r="S814" s="80"/>
      <c r="T814" s="80"/>
      <c r="U814" s="80"/>
      <c r="V814" s="80"/>
      <c r="W814" s="80"/>
      <c r="X814" s="80"/>
      <c r="Y814" s="80"/>
      <c r="Z814" s="80"/>
    </row>
    <row r="815">
      <c r="A815" s="87"/>
      <c r="B815" s="80"/>
      <c r="C815" s="80"/>
      <c r="D815" s="87"/>
      <c r="E815" s="87"/>
      <c r="F815" s="87"/>
      <c r="G815" s="87"/>
      <c r="H815" s="83"/>
      <c r="I815" s="83"/>
      <c r="J815" s="80"/>
      <c r="K815" s="87"/>
      <c r="L815" s="87"/>
      <c r="M815" s="80"/>
      <c r="N815" s="80"/>
      <c r="O815" s="80"/>
      <c r="P815" s="80"/>
      <c r="Q815" s="80"/>
      <c r="R815" s="80"/>
      <c r="S815" s="80"/>
      <c r="T815" s="80"/>
      <c r="U815" s="80"/>
      <c r="V815" s="80"/>
      <c r="W815" s="80"/>
      <c r="X815" s="80"/>
      <c r="Y815" s="80"/>
      <c r="Z815" s="80"/>
    </row>
    <row r="816">
      <c r="A816" s="87"/>
      <c r="B816" s="80"/>
      <c r="C816" s="80"/>
      <c r="D816" s="87"/>
      <c r="E816" s="87"/>
      <c r="F816" s="87"/>
      <c r="G816" s="87"/>
      <c r="H816" s="83"/>
      <c r="I816" s="83"/>
      <c r="J816" s="80"/>
      <c r="K816" s="87"/>
      <c r="L816" s="87"/>
      <c r="M816" s="80"/>
      <c r="N816" s="80"/>
      <c r="O816" s="80"/>
      <c r="P816" s="80"/>
      <c r="Q816" s="80"/>
      <c r="R816" s="80"/>
      <c r="S816" s="80"/>
      <c r="T816" s="80"/>
      <c r="U816" s="80"/>
      <c r="V816" s="80"/>
      <c r="W816" s="80"/>
      <c r="X816" s="80"/>
      <c r="Y816" s="80"/>
      <c r="Z816" s="80"/>
    </row>
    <row r="817">
      <c r="A817" s="87"/>
      <c r="B817" s="80"/>
      <c r="C817" s="80"/>
      <c r="D817" s="87"/>
      <c r="E817" s="87"/>
      <c r="F817" s="87"/>
      <c r="G817" s="87"/>
      <c r="H817" s="83"/>
      <c r="I817" s="83"/>
      <c r="J817" s="80"/>
      <c r="K817" s="87"/>
      <c r="L817" s="87"/>
      <c r="M817" s="80"/>
      <c r="N817" s="80"/>
      <c r="O817" s="80"/>
      <c r="P817" s="80"/>
      <c r="Q817" s="80"/>
      <c r="R817" s="80"/>
      <c r="S817" s="80"/>
      <c r="T817" s="80"/>
      <c r="U817" s="80"/>
      <c r="V817" s="80"/>
      <c r="W817" s="80"/>
      <c r="X817" s="80"/>
      <c r="Y817" s="80"/>
      <c r="Z817" s="80"/>
    </row>
    <row r="818">
      <c r="A818" s="87"/>
      <c r="B818" s="80"/>
      <c r="C818" s="80"/>
      <c r="D818" s="87"/>
      <c r="E818" s="87"/>
      <c r="F818" s="87"/>
      <c r="G818" s="87"/>
      <c r="H818" s="83"/>
      <c r="I818" s="83"/>
      <c r="J818" s="80"/>
      <c r="K818" s="87"/>
      <c r="L818" s="87"/>
      <c r="M818" s="80"/>
      <c r="N818" s="80"/>
      <c r="O818" s="80"/>
      <c r="P818" s="80"/>
      <c r="Q818" s="80"/>
      <c r="R818" s="80"/>
      <c r="S818" s="80"/>
      <c r="T818" s="80"/>
      <c r="U818" s="80"/>
      <c r="V818" s="80"/>
      <c r="W818" s="80"/>
      <c r="X818" s="80"/>
      <c r="Y818" s="80"/>
      <c r="Z818" s="80"/>
    </row>
    <row r="819">
      <c r="A819" s="87"/>
      <c r="B819" s="80"/>
      <c r="C819" s="80"/>
      <c r="D819" s="87"/>
      <c r="E819" s="87"/>
      <c r="F819" s="87"/>
      <c r="G819" s="87"/>
      <c r="H819" s="83"/>
      <c r="I819" s="83"/>
      <c r="J819" s="80"/>
      <c r="K819" s="87"/>
      <c r="L819" s="87"/>
      <c r="M819" s="80"/>
      <c r="N819" s="80"/>
      <c r="O819" s="80"/>
      <c r="P819" s="80"/>
      <c r="Q819" s="80"/>
      <c r="R819" s="80"/>
      <c r="S819" s="80"/>
      <c r="T819" s="80"/>
      <c r="U819" s="80"/>
      <c r="V819" s="80"/>
      <c r="W819" s="80"/>
      <c r="X819" s="80"/>
      <c r="Y819" s="80"/>
      <c r="Z819" s="80"/>
    </row>
    <row r="820">
      <c r="A820" s="87"/>
      <c r="B820" s="80"/>
      <c r="C820" s="80"/>
      <c r="D820" s="87"/>
      <c r="E820" s="87"/>
      <c r="F820" s="87"/>
      <c r="G820" s="87"/>
      <c r="H820" s="83"/>
      <c r="I820" s="83"/>
      <c r="J820" s="80"/>
      <c r="K820" s="87"/>
      <c r="L820" s="87"/>
      <c r="M820" s="80"/>
      <c r="N820" s="80"/>
      <c r="O820" s="80"/>
      <c r="P820" s="80"/>
      <c r="Q820" s="80"/>
      <c r="R820" s="80"/>
      <c r="S820" s="80"/>
      <c r="T820" s="80"/>
      <c r="U820" s="80"/>
      <c r="V820" s="80"/>
      <c r="W820" s="80"/>
      <c r="X820" s="80"/>
      <c r="Y820" s="80"/>
      <c r="Z820" s="80"/>
    </row>
    <row r="821">
      <c r="A821" s="87"/>
      <c r="B821" s="80"/>
      <c r="C821" s="80"/>
      <c r="D821" s="87"/>
      <c r="E821" s="87"/>
      <c r="F821" s="87"/>
      <c r="G821" s="87"/>
      <c r="H821" s="83"/>
      <c r="I821" s="83"/>
      <c r="J821" s="80"/>
      <c r="K821" s="87"/>
      <c r="L821" s="87"/>
      <c r="M821" s="80"/>
      <c r="N821" s="80"/>
      <c r="O821" s="80"/>
      <c r="P821" s="80"/>
      <c r="Q821" s="80"/>
      <c r="R821" s="80"/>
      <c r="S821" s="80"/>
      <c r="T821" s="80"/>
      <c r="U821" s="80"/>
      <c r="V821" s="80"/>
      <c r="W821" s="80"/>
      <c r="X821" s="80"/>
      <c r="Y821" s="80"/>
      <c r="Z821" s="80"/>
    </row>
    <row r="822">
      <c r="A822" s="87"/>
      <c r="B822" s="80"/>
      <c r="C822" s="80"/>
      <c r="D822" s="87"/>
      <c r="E822" s="87"/>
      <c r="F822" s="87"/>
      <c r="G822" s="87"/>
      <c r="H822" s="83"/>
      <c r="I822" s="83"/>
      <c r="J822" s="80"/>
      <c r="K822" s="87"/>
      <c r="L822" s="87"/>
      <c r="M822" s="80"/>
      <c r="N822" s="80"/>
      <c r="O822" s="80"/>
      <c r="P822" s="80"/>
      <c r="Q822" s="80"/>
      <c r="R822" s="80"/>
      <c r="S822" s="80"/>
      <c r="T822" s="80"/>
      <c r="U822" s="80"/>
      <c r="V822" s="80"/>
      <c r="W822" s="80"/>
      <c r="X822" s="80"/>
      <c r="Y822" s="80"/>
      <c r="Z822" s="80"/>
    </row>
    <row r="823">
      <c r="A823" s="87"/>
      <c r="B823" s="80"/>
      <c r="C823" s="80"/>
      <c r="D823" s="87"/>
      <c r="E823" s="87"/>
      <c r="F823" s="87"/>
      <c r="G823" s="87"/>
      <c r="H823" s="83"/>
      <c r="I823" s="83"/>
      <c r="J823" s="80"/>
      <c r="K823" s="87"/>
      <c r="L823" s="87"/>
      <c r="M823" s="80"/>
      <c r="N823" s="80"/>
      <c r="O823" s="80"/>
      <c r="P823" s="80"/>
      <c r="Q823" s="80"/>
      <c r="R823" s="80"/>
      <c r="S823" s="80"/>
      <c r="T823" s="80"/>
      <c r="U823" s="80"/>
      <c r="V823" s="80"/>
      <c r="W823" s="80"/>
      <c r="X823" s="80"/>
      <c r="Y823" s="80"/>
      <c r="Z823" s="80"/>
    </row>
    <row r="824">
      <c r="A824" s="87"/>
      <c r="B824" s="80"/>
      <c r="C824" s="80"/>
      <c r="D824" s="87"/>
      <c r="E824" s="87"/>
      <c r="F824" s="87"/>
      <c r="G824" s="87"/>
      <c r="H824" s="83"/>
      <c r="I824" s="83"/>
      <c r="J824" s="80"/>
      <c r="K824" s="87"/>
      <c r="L824" s="87"/>
      <c r="M824" s="80"/>
      <c r="N824" s="80"/>
      <c r="O824" s="80"/>
      <c r="P824" s="80"/>
      <c r="Q824" s="80"/>
      <c r="R824" s="80"/>
      <c r="S824" s="80"/>
      <c r="T824" s="80"/>
      <c r="U824" s="80"/>
      <c r="V824" s="80"/>
      <c r="W824" s="80"/>
      <c r="X824" s="80"/>
      <c r="Y824" s="80"/>
      <c r="Z824" s="80"/>
    </row>
    <row r="825">
      <c r="A825" s="87"/>
      <c r="B825" s="80"/>
      <c r="C825" s="80"/>
      <c r="D825" s="87"/>
      <c r="E825" s="87"/>
      <c r="F825" s="87"/>
      <c r="G825" s="87"/>
      <c r="H825" s="83"/>
      <c r="I825" s="83"/>
      <c r="J825" s="80"/>
      <c r="K825" s="87"/>
      <c r="L825" s="87"/>
      <c r="M825" s="80"/>
      <c r="N825" s="80"/>
      <c r="O825" s="80"/>
      <c r="P825" s="80"/>
      <c r="Q825" s="80"/>
      <c r="R825" s="80"/>
      <c r="S825" s="80"/>
      <c r="T825" s="80"/>
      <c r="U825" s="80"/>
      <c r="V825" s="80"/>
      <c r="W825" s="80"/>
      <c r="X825" s="80"/>
      <c r="Y825" s="80"/>
      <c r="Z825" s="80"/>
    </row>
    <row r="826">
      <c r="A826" s="87"/>
      <c r="B826" s="80"/>
      <c r="C826" s="80"/>
      <c r="D826" s="87"/>
      <c r="E826" s="87"/>
      <c r="F826" s="87"/>
      <c r="G826" s="87"/>
      <c r="H826" s="83"/>
      <c r="I826" s="83"/>
      <c r="J826" s="80"/>
      <c r="K826" s="87"/>
      <c r="L826" s="87"/>
      <c r="M826" s="80"/>
      <c r="N826" s="80"/>
      <c r="O826" s="80"/>
      <c r="P826" s="80"/>
      <c r="Q826" s="80"/>
      <c r="R826" s="80"/>
      <c r="S826" s="80"/>
      <c r="T826" s="80"/>
      <c r="U826" s="80"/>
      <c r="V826" s="80"/>
      <c r="W826" s="80"/>
      <c r="X826" s="80"/>
      <c r="Y826" s="80"/>
      <c r="Z826" s="80"/>
    </row>
    <row r="827">
      <c r="A827" s="87"/>
      <c r="B827" s="80"/>
      <c r="C827" s="80"/>
      <c r="D827" s="87"/>
      <c r="E827" s="87"/>
      <c r="F827" s="87"/>
      <c r="G827" s="87"/>
      <c r="H827" s="83"/>
      <c r="I827" s="83"/>
      <c r="J827" s="80"/>
      <c r="K827" s="87"/>
      <c r="L827" s="87"/>
      <c r="M827" s="80"/>
      <c r="N827" s="80"/>
      <c r="O827" s="80"/>
      <c r="P827" s="80"/>
      <c r="Q827" s="80"/>
      <c r="R827" s="80"/>
      <c r="S827" s="80"/>
      <c r="T827" s="80"/>
      <c r="U827" s="80"/>
      <c r="V827" s="80"/>
      <c r="W827" s="80"/>
      <c r="X827" s="80"/>
      <c r="Y827" s="80"/>
      <c r="Z827" s="80"/>
    </row>
    <row r="828">
      <c r="A828" s="87"/>
      <c r="B828" s="80"/>
      <c r="C828" s="80"/>
      <c r="D828" s="87"/>
      <c r="E828" s="87"/>
      <c r="F828" s="87"/>
      <c r="G828" s="87"/>
      <c r="H828" s="83"/>
      <c r="I828" s="83"/>
      <c r="J828" s="80"/>
      <c r="K828" s="87"/>
      <c r="L828" s="87"/>
      <c r="M828" s="80"/>
      <c r="N828" s="80"/>
      <c r="O828" s="80"/>
      <c r="P828" s="80"/>
      <c r="Q828" s="80"/>
      <c r="R828" s="80"/>
      <c r="S828" s="80"/>
      <c r="T828" s="80"/>
      <c r="U828" s="80"/>
      <c r="V828" s="80"/>
      <c r="W828" s="80"/>
      <c r="X828" s="80"/>
      <c r="Y828" s="80"/>
      <c r="Z828" s="80"/>
    </row>
    <row r="829">
      <c r="A829" s="87"/>
      <c r="B829" s="80"/>
      <c r="C829" s="80"/>
      <c r="D829" s="87"/>
      <c r="E829" s="87"/>
      <c r="F829" s="87"/>
      <c r="G829" s="87"/>
      <c r="H829" s="83"/>
      <c r="I829" s="83"/>
      <c r="J829" s="80"/>
      <c r="K829" s="87"/>
      <c r="L829" s="87"/>
      <c r="M829" s="80"/>
      <c r="N829" s="80"/>
      <c r="O829" s="80"/>
      <c r="P829" s="80"/>
      <c r="Q829" s="80"/>
      <c r="R829" s="80"/>
      <c r="S829" s="80"/>
      <c r="T829" s="80"/>
      <c r="U829" s="80"/>
      <c r="V829" s="80"/>
      <c r="W829" s="80"/>
      <c r="X829" s="80"/>
      <c r="Y829" s="80"/>
      <c r="Z829" s="80"/>
    </row>
    <row r="830">
      <c r="A830" s="87"/>
      <c r="B830" s="80"/>
      <c r="C830" s="80"/>
      <c r="D830" s="87"/>
      <c r="E830" s="87"/>
      <c r="F830" s="87"/>
      <c r="G830" s="87"/>
      <c r="H830" s="83"/>
      <c r="I830" s="83"/>
      <c r="J830" s="80"/>
      <c r="K830" s="87"/>
      <c r="L830" s="87"/>
      <c r="M830" s="80"/>
      <c r="N830" s="80"/>
      <c r="O830" s="80"/>
      <c r="P830" s="80"/>
      <c r="Q830" s="80"/>
      <c r="R830" s="80"/>
      <c r="S830" s="80"/>
      <c r="T830" s="80"/>
      <c r="U830" s="80"/>
      <c r="V830" s="80"/>
      <c r="W830" s="80"/>
      <c r="X830" s="80"/>
      <c r="Y830" s="80"/>
      <c r="Z830" s="80"/>
    </row>
    <row r="831">
      <c r="A831" s="87"/>
      <c r="B831" s="80"/>
      <c r="C831" s="80"/>
      <c r="D831" s="87"/>
      <c r="E831" s="87"/>
      <c r="F831" s="87"/>
      <c r="G831" s="87"/>
      <c r="H831" s="83"/>
      <c r="I831" s="83"/>
      <c r="J831" s="80"/>
      <c r="K831" s="87"/>
      <c r="L831" s="87"/>
      <c r="M831" s="80"/>
      <c r="N831" s="80"/>
      <c r="O831" s="80"/>
      <c r="P831" s="80"/>
      <c r="Q831" s="80"/>
      <c r="R831" s="80"/>
      <c r="S831" s="80"/>
      <c r="T831" s="80"/>
      <c r="U831" s="80"/>
      <c r="V831" s="80"/>
      <c r="W831" s="80"/>
      <c r="X831" s="80"/>
      <c r="Y831" s="80"/>
      <c r="Z831" s="80"/>
    </row>
    <row r="832">
      <c r="A832" s="87"/>
      <c r="B832" s="80"/>
      <c r="C832" s="80"/>
      <c r="D832" s="87"/>
      <c r="E832" s="87"/>
      <c r="F832" s="87"/>
      <c r="G832" s="87"/>
      <c r="H832" s="83"/>
      <c r="I832" s="83"/>
      <c r="J832" s="80"/>
      <c r="K832" s="87"/>
      <c r="L832" s="87"/>
      <c r="M832" s="80"/>
      <c r="N832" s="80"/>
      <c r="O832" s="80"/>
      <c r="P832" s="80"/>
      <c r="Q832" s="80"/>
      <c r="R832" s="80"/>
      <c r="S832" s="80"/>
      <c r="T832" s="80"/>
      <c r="U832" s="80"/>
      <c r="V832" s="80"/>
      <c r="W832" s="80"/>
      <c r="X832" s="80"/>
      <c r="Y832" s="80"/>
      <c r="Z832" s="80"/>
    </row>
    <row r="833">
      <c r="A833" s="87"/>
      <c r="B833" s="80"/>
      <c r="C833" s="80"/>
      <c r="D833" s="87"/>
      <c r="E833" s="87"/>
      <c r="F833" s="87"/>
      <c r="G833" s="87"/>
      <c r="H833" s="83"/>
      <c r="I833" s="83"/>
      <c r="J833" s="80"/>
      <c r="K833" s="87"/>
      <c r="L833" s="87"/>
      <c r="M833" s="80"/>
      <c r="N833" s="80"/>
      <c r="O833" s="80"/>
      <c r="P833" s="80"/>
      <c r="Q833" s="80"/>
      <c r="R833" s="80"/>
      <c r="S833" s="80"/>
      <c r="T833" s="80"/>
      <c r="U833" s="80"/>
      <c r="V833" s="80"/>
      <c r="W833" s="80"/>
      <c r="X833" s="80"/>
      <c r="Y833" s="80"/>
      <c r="Z833" s="80"/>
    </row>
    <row r="834">
      <c r="A834" s="87"/>
      <c r="B834" s="80"/>
      <c r="C834" s="80"/>
      <c r="D834" s="87"/>
      <c r="E834" s="87"/>
      <c r="F834" s="87"/>
      <c r="G834" s="87"/>
      <c r="H834" s="83"/>
      <c r="I834" s="83"/>
      <c r="J834" s="80"/>
      <c r="K834" s="87"/>
      <c r="L834" s="87"/>
      <c r="M834" s="80"/>
      <c r="N834" s="80"/>
      <c r="O834" s="80"/>
      <c r="P834" s="80"/>
      <c r="Q834" s="80"/>
      <c r="R834" s="80"/>
      <c r="S834" s="80"/>
      <c r="T834" s="80"/>
      <c r="U834" s="80"/>
      <c r="V834" s="80"/>
      <c r="W834" s="80"/>
      <c r="X834" s="80"/>
      <c r="Y834" s="80"/>
      <c r="Z834" s="80"/>
    </row>
    <row r="835">
      <c r="A835" s="87"/>
      <c r="B835" s="80"/>
      <c r="C835" s="80"/>
      <c r="D835" s="87"/>
      <c r="E835" s="87"/>
      <c r="F835" s="87"/>
      <c r="G835" s="87"/>
      <c r="H835" s="83"/>
      <c r="I835" s="83"/>
      <c r="J835" s="80"/>
      <c r="K835" s="87"/>
      <c r="L835" s="87"/>
      <c r="M835" s="80"/>
      <c r="N835" s="80"/>
      <c r="O835" s="80"/>
      <c r="P835" s="80"/>
      <c r="Q835" s="80"/>
      <c r="R835" s="80"/>
      <c r="S835" s="80"/>
      <c r="T835" s="80"/>
      <c r="U835" s="80"/>
      <c r="V835" s="80"/>
      <c r="W835" s="80"/>
      <c r="X835" s="80"/>
      <c r="Y835" s="80"/>
      <c r="Z835" s="80"/>
    </row>
    <row r="836">
      <c r="A836" s="87"/>
      <c r="B836" s="80"/>
      <c r="C836" s="80"/>
      <c r="D836" s="87"/>
      <c r="E836" s="87"/>
      <c r="F836" s="87"/>
      <c r="G836" s="87"/>
      <c r="H836" s="83"/>
      <c r="I836" s="83"/>
      <c r="J836" s="80"/>
      <c r="K836" s="87"/>
      <c r="L836" s="87"/>
      <c r="M836" s="80"/>
      <c r="N836" s="80"/>
      <c r="O836" s="80"/>
      <c r="P836" s="80"/>
      <c r="Q836" s="80"/>
      <c r="R836" s="80"/>
      <c r="S836" s="80"/>
      <c r="T836" s="80"/>
      <c r="U836" s="80"/>
      <c r="V836" s="80"/>
      <c r="W836" s="80"/>
      <c r="X836" s="80"/>
      <c r="Y836" s="80"/>
      <c r="Z836" s="80"/>
    </row>
    <row r="837">
      <c r="A837" s="87"/>
      <c r="B837" s="80"/>
      <c r="C837" s="80"/>
      <c r="D837" s="87"/>
      <c r="E837" s="87"/>
      <c r="F837" s="87"/>
      <c r="G837" s="87"/>
      <c r="H837" s="83"/>
      <c r="I837" s="83"/>
      <c r="J837" s="80"/>
      <c r="K837" s="87"/>
      <c r="L837" s="87"/>
      <c r="M837" s="80"/>
      <c r="N837" s="80"/>
      <c r="O837" s="80"/>
      <c r="P837" s="80"/>
      <c r="Q837" s="80"/>
      <c r="R837" s="80"/>
      <c r="S837" s="80"/>
      <c r="T837" s="80"/>
      <c r="U837" s="80"/>
      <c r="V837" s="80"/>
      <c r="W837" s="80"/>
      <c r="X837" s="80"/>
      <c r="Y837" s="80"/>
      <c r="Z837" s="80"/>
    </row>
    <row r="838">
      <c r="A838" s="87"/>
      <c r="B838" s="80"/>
      <c r="C838" s="80"/>
      <c r="D838" s="87"/>
      <c r="E838" s="87"/>
      <c r="F838" s="87"/>
      <c r="G838" s="87"/>
      <c r="H838" s="83"/>
      <c r="I838" s="83"/>
      <c r="J838" s="80"/>
      <c r="K838" s="87"/>
      <c r="L838" s="87"/>
      <c r="M838" s="80"/>
      <c r="N838" s="80"/>
      <c r="O838" s="80"/>
      <c r="P838" s="80"/>
      <c r="Q838" s="80"/>
      <c r="R838" s="80"/>
      <c r="S838" s="80"/>
      <c r="T838" s="80"/>
      <c r="U838" s="80"/>
      <c r="V838" s="80"/>
      <c r="W838" s="80"/>
      <c r="X838" s="80"/>
      <c r="Y838" s="80"/>
      <c r="Z838" s="80"/>
    </row>
    <row r="839">
      <c r="A839" s="87"/>
      <c r="B839" s="80"/>
      <c r="C839" s="80"/>
      <c r="D839" s="87"/>
      <c r="E839" s="87"/>
      <c r="F839" s="87"/>
      <c r="G839" s="87"/>
      <c r="H839" s="83"/>
      <c r="I839" s="83"/>
      <c r="J839" s="80"/>
      <c r="K839" s="87"/>
      <c r="L839" s="87"/>
      <c r="M839" s="80"/>
      <c r="N839" s="80"/>
      <c r="O839" s="80"/>
      <c r="P839" s="80"/>
      <c r="Q839" s="80"/>
      <c r="R839" s="80"/>
      <c r="S839" s="80"/>
      <c r="T839" s="80"/>
      <c r="U839" s="80"/>
      <c r="V839" s="80"/>
      <c r="W839" s="80"/>
      <c r="X839" s="80"/>
      <c r="Y839" s="80"/>
      <c r="Z839" s="80"/>
    </row>
    <row r="840">
      <c r="A840" s="87"/>
      <c r="B840" s="80"/>
      <c r="C840" s="80"/>
      <c r="D840" s="87"/>
      <c r="E840" s="87"/>
      <c r="F840" s="87"/>
      <c r="G840" s="87"/>
      <c r="H840" s="83"/>
      <c r="I840" s="83"/>
      <c r="J840" s="80"/>
      <c r="K840" s="87"/>
      <c r="L840" s="87"/>
      <c r="M840" s="80"/>
      <c r="N840" s="80"/>
      <c r="O840" s="80"/>
      <c r="P840" s="80"/>
      <c r="Q840" s="80"/>
      <c r="R840" s="80"/>
      <c r="S840" s="80"/>
      <c r="T840" s="80"/>
      <c r="U840" s="80"/>
      <c r="V840" s="80"/>
      <c r="W840" s="80"/>
      <c r="X840" s="80"/>
      <c r="Y840" s="80"/>
      <c r="Z840" s="80"/>
    </row>
    <row r="841">
      <c r="A841" s="87"/>
      <c r="B841" s="80"/>
      <c r="C841" s="80"/>
      <c r="D841" s="87"/>
      <c r="E841" s="87"/>
      <c r="F841" s="87"/>
      <c r="G841" s="87"/>
      <c r="H841" s="83"/>
      <c r="I841" s="83"/>
      <c r="J841" s="80"/>
      <c r="K841" s="87"/>
      <c r="L841" s="87"/>
      <c r="M841" s="80"/>
      <c r="N841" s="80"/>
      <c r="O841" s="80"/>
      <c r="P841" s="80"/>
      <c r="Q841" s="80"/>
      <c r="R841" s="80"/>
      <c r="S841" s="80"/>
      <c r="T841" s="80"/>
      <c r="U841" s="80"/>
      <c r="V841" s="80"/>
      <c r="W841" s="80"/>
      <c r="X841" s="80"/>
      <c r="Y841" s="80"/>
      <c r="Z841" s="80"/>
    </row>
    <row r="842">
      <c r="A842" s="87"/>
      <c r="B842" s="80"/>
      <c r="C842" s="80"/>
      <c r="D842" s="87"/>
      <c r="E842" s="87"/>
      <c r="F842" s="87"/>
      <c r="G842" s="87"/>
      <c r="H842" s="83"/>
      <c r="I842" s="83"/>
      <c r="J842" s="80"/>
      <c r="K842" s="87"/>
      <c r="L842" s="87"/>
      <c r="M842" s="80"/>
      <c r="N842" s="80"/>
      <c r="O842" s="80"/>
      <c r="P842" s="80"/>
      <c r="Q842" s="80"/>
      <c r="R842" s="80"/>
      <c r="S842" s="80"/>
      <c r="T842" s="80"/>
      <c r="U842" s="80"/>
      <c r="V842" s="80"/>
      <c r="W842" s="80"/>
      <c r="X842" s="80"/>
      <c r="Y842" s="80"/>
      <c r="Z842" s="80"/>
    </row>
    <row r="843">
      <c r="A843" s="87"/>
      <c r="B843" s="80"/>
      <c r="C843" s="80"/>
      <c r="D843" s="87"/>
      <c r="E843" s="87"/>
      <c r="F843" s="87"/>
      <c r="G843" s="87"/>
      <c r="H843" s="83"/>
      <c r="I843" s="83"/>
      <c r="J843" s="80"/>
      <c r="K843" s="87"/>
      <c r="L843" s="87"/>
      <c r="M843" s="80"/>
      <c r="N843" s="80"/>
      <c r="O843" s="80"/>
      <c r="P843" s="80"/>
      <c r="Q843" s="80"/>
      <c r="R843" s="80"/>
      <c r="S843" s="80"/>
      <c r="T843" s="80"/>
      <c r="U843" s="80"/>
      <c r="V843" s="80"/>
      <c r="W843" s="80"/>
      <c r="X843" s="80"/>
      <c r="Y843" s="80"/>
      <c r="Z843" s="80"/>
    </row>
    <row r="844">
      <c r="A844" s="87"/>
      <c r="B844" s="80"/>
      <c r="C844" s="80"/>
      <c r="D844" s="87"/>
      <c r="E844" s="87"/>
      <c r="F844" s="87"/>
      <c r="G844" s="87"/>
      <c r="H844" s="83"/>
      <c r="I844" s="83"/>
      <c r="J844" s="80"/>
      <c r="K844" s="87"/>
      <c r="L844" s="87"/>
      <c r="M844" s="80"/>
      <c r="N844" s="80"/>
      <c r="O844" s="80"/>
      <c r="P844" s="80"/>
      <c r="Q844" s="80"/>
      <c r="R844" s="80"/>
      <c r="S844" s="80"/>
      <c r="T844" s="80"/>
      <c r="U844" s="80"/>
      <c r="V844" s="80"/>
      <c r="W844" s="80"/>
      <c r="X844" s="80"/>
      <c r="Y844" s="80"/>
      <c r="Z844" s="80"/>
    </row>
    <row r="845">
      <c r="A845" s="87"/>
      <c r="B845" s="80"/>
      <c r="C845" s="80"/>
      <c r="D845" s="87"/>
      <c r="E845" s="87"/>
      <c r="F845" s="87"/>
      <c r="G845" s="87"/>
      <c r="H845" s="83"/>
      <c r="I845" s="83"/>
      <c r="J845" s="80"/>
      <c r="K845" s="87"/>
      <c r="L845" s="87"/>
      <c r="M845" s="80"/>
      <c r="N845" s="80"/>
      <c r="O845" s="80"/>
      <c r="P845" s="80"/>
      <c r="Q845" s="80"/>
      <c r="R845" s="80"/>
      <c r="S845" s="80"/>
      <c r="T845" s="80"/>
      <c r="U845" s="80"/>
      <c r="V845" s="80"/>
      <c r="W845" s="80"/>
      <c r="X845" s="80"/>
      <c r="Y845" s="80"/>
      <c r="Z845" s="80"/>
    </row>
    <row r="846">
      <c r="A846" s="87"/>
      <c r="B846" s="80"/>
      <c r="C846" s="80"/>
      <c r="D846" s="87"/>
      <c r="E846" s="87"/>
      <c r="F846" s="87"/>
      <c r="G846" s="87"/>
      <c r="H846" s="83"/>
      <c r="I846" s="83"/>
      <c r="J846" s="80"/>
      <c r="K846" s="87"/>
      <c r="L846" s="87"/>
      <c r="M846" s="80"/>
      <c r="N846" s="80"/>
      <c r="O846" s="80"/>
      <c r="P846" s="80"/>
      <c r="Q846" s="80"/>
      <c r="R846" s="80"/>
      <c r="S846" s="80"/>
      <c r="T846" s="80"/>
      <c r="U846" s="80"/>
      <c r="V846" s="80"/>
      <c r="W846" s="80"/>
      <c r="X846" s="80"/>
      <c r="Y846" s="80"/>
      <c r="Z846" s="80"/>
    </row>
    <row r="847">
      <c r="A847" s="87"/>
      <c r="B847" s="80"/>
      <c r="C847" s="80"/>
      <c r="D847" s="87"/>
      <c r="E847" s="87"/>
      <c r="F847" s="87"/>
      <c r="G847" s="87"/>
      <c r="H847" s="83"/>
      <c r="I847" s="83"/>
      <c r="J847" s="80"/>
      <c r="K847" s="87"/>
      <c r="L847" s="87"/>
      <c r="M847" s="80"/>
      <c r="N847" s="80"/>
      <c r="O847" s="80"/>
      <c r="P847" s="80"/>
      <c r="Q847" s="80"/>
      <c r="R847" s="80"/>
      <c r="S847" s="80"/>
      <c r="T847" s="80"/>
      <c r="U847" s="80"/>
      <c r="V847" s="80"/>
      <c r="W847" s="80"/>
      <c r="X847" s="80"/>
      <c r="Y847" s="80"/>
      <c r="Z847" s="80"/>
    </row>
    <row r="848">
      <c r="A848" s="87"/>
      <c r="B848" s="80"/>
      <c r="C848" s="80"/>
      <c r="D848" s="87"/>
      <c r="E848" s="87"/>
      <c r="F848" s="87"/>
      <c r="G848" s="87"/>
      <c r="H848" s="83"/>
      <c r="I848" s="83"/>
      <c r="J848" s="80"/>
      <c r="K848" s="87"/>
      <c r="L848" s="87"/>
      <c r="M848" s="80"/>
      <c r="N848" s="80"/>
      <c r="O848" s="80"/>
      <c r="P848" s="80"/>
      <c r="Q848" s="80"/>
      <c r="R848" s="80"/>
      <c r="S848" s="80"/>
      <c r="T848" s="80"/>
      <c r="U848" s="80"/>
      <c r="V848" s="80"/>
      <c r="W848" s="80"/>
      <c r="X848" s="80"/>
      <c r="Y848" s="80"/>
      <c r="Z848" s="80"/>
    </row>
    <row r="849">
      <c r="A849" s="87"/>
      <c r="B849" s="80"/>
      <c r="C849" s="80"/>
      <c r="D849" s="87"/>
      <c r="E849" s="87"/>
      <c r="F849" s="87"/>
      <c r="G849" s="87"/>
      <c r="H849" s="83"/>
      <c r="I849" s="83"/>
      <c r="J849" s="80"/>
      <c r="K849" s="87"/>
      <c r="L849" s="87"/>
      <c r="M849" s="80"/>
      <c r="N849" s="80"/>
      <c r="O849" s="80"/>
      <c r="P849" s="80"/>
      <c r="Q849" s="80"/>
      <c r="R849" s="80"/>
      <c r="S849" s="80"/>
      <c r="T849" s="80"/>
      <c r="U849" s="80"/>
      <c r="V849" s="80"/>
      <c r="W849" s="80"/>
      <c r="X849" s="80"/>
      <c r="Y849" s="80"/>
      <c r="Z849" s="80"/>
    </row>
    <row r="850">
      <c r="A850" s="87"/>
      <c r="B850" s="80"/>
      <c r="C850" s="80"/>
      <c r="D850" s="87"/>
      <c r="E850" s="87"/>
      <c r="F850" s="87"/>
      <c r="G850" s="87"/>
      <c r="H850" s="83"/>
      <c r="I850" s="83"/>
      <c r="J850" s="80"/>
      <c r="K850" s="87"/>
      <c r="L850" s="87"/>
      <c r="M850" s="80"/>
      <c r="N850" s="80"/>
      <c r="O850" s="80"/>
      <c r="P850" s="80"/>
      <c r="Q850" s="80"/>
      <c r="R850" s="80"/>
      <c r="S850" s="80"/>
      <c r="T850" s="80"/>
      <c r="U850" s="80"/>
      <c r="V850" s="80"/>
      <c r="W850" s="80"/>
      <c r="X850" s="80"/>
      <c r="Y850" s="80"/>
      <c r="Z850" s="80"/>
    </row>
    <row r="851">
      <c r="A851" s="87"/>
      <c r="B851" s="80"/>
      <c r="C851" s="80"/>
      <c r="D851" s="87"/>
      <c r="E851" s="87"/>
      <c r="F851" s="87"/>
      <c r="G851" s="87"/>
      <c r="H851" s="83"/>
      <c r="I851" s="83"/>
      <c r="J851" s="80"/>
      <c r="K851" s="87"/>
      <c r="L851" s="87"/>
      <c r="M851" s="80"/>
      <c r="N851" s="80"/>
      <c r="O851" s="80"/>
      <c r="P851" s="80"/>
      <c r="Q851" s="80"/>
      <c r="R851" s="80"/>
      <c r="S851" s="80"/>
      <c r="T851" s="80"/>
      <c r="U851" s="80"/>
      <c r="V851" s="80"/>
      <c r="W851" s="80"/>
      <c r="X851" s="80"/>
      <c r="Y851" s="80"/>
      <c r="Z851" s="80"/>
    </row>
    <row r="852">
      <c r="A852" s="87"/>
      <c r="B852" s="80"/>
      <c r="C852" s="80"/>
      <c r="D852" s="87"/>
      <c r="E852" s="87"/>
      <c r="F852" s="87"/>
      <c r="G852" s="87"/>
      <c r="H852" s="83"/>
      <c r="I852" s="83"/>
      <c r="J852" s="80"/>
      <c r="K852" s="87"/>
      <c r="L852" s="87"/>
      <c r="M852" s="80"/>
      <c r="N852" s="80"/>
      <c r="O852" s="80"/>
      <c r="P852" s="80"/>
      <c r="Q852" s="80"/>
      <c r="R852" s="80"/>
      <c r="S852" s="80"/>
      <c r="T852" s="80"/>
      <c r="U852" s="80"/>
      <c r="V852" s="80"/>
      <c r="W852" s="80"/>
      <c r="X852" s="80"/>
      <c r="Y852" s="80"/>
      <c r="Z852" s="80"/>
    </row>
    <row r="853">
      <c r="A853" s="87"/>
      <c r="B853" s="80"/>
      <c r="C853" s="80"/>
      <c r="D853" s="87"/>
      <c r="E853" s="87"/>
      <c r="F853" s="87"/>
      <c r="G853" s="87"/>
      <c r="H853" s="83"/>
      <c r="I853" s="83"/>
      <c r="J853" s="80"/>
      <c r="K853" s="87"/>
      <c r="L853" s="87"/>
      <c r="M853" s="80"/>
      <c r="N853" s="80"/>
      <c r="O853" s="80"/>
      <c r="P853" s="80"/>
      <c r="Q853" s="80"/>
      <c r="R853" s="80"/>
      <c r="S853" s="80"/>
      <c r="T853" s="80"/>
      <c r="U853" s="80"/>
      <c r="V853" s="80"/>
      <c r="W853" s="80"/>
      <c r="X853" s="80"/>
      <c r="Y853" s="80"/>
      <c r="Z853" s="80"/>
    </row>
    <row r="854">
      <c r="A854" s="87"/>
      <c r="B854" s="80"/>
      <c r="C854" s="80"/>
      <c r="D854" s="87"/>
      <c r="E854" s="87"/>
      <c r="F854" s="87"/>
      <c r="G854" s="87"/>
      <c r="H854" s="83"/>
      <c r="I854" s="83"/>
      <c r="J854" s="80"/>
      <c r="K854" s="87"/>
      <c r="L854" s="87"/>
      <c r="M854" s="80"/>
      <c r="N854" s="80"/>
      <c r="O854" s="80"/>
      <c r="P854" s="80"/>
      <c r="Q854" s="80"/>
      <c r="R854" s="80"/>
      <c r="S854" s="80"/>
      <c r="T854" s="80"/>
      <c r="U854" s="80"/>
      <c r="V854" s="80"/>
      <c r="W854" s="80"/>
      <c r="X854" s="80"/>
      <c r="Y854" s="80"/>
      <c r="Z854" s="80"/>
    </row>
    <row r="855">
      <c r="A855" s="87"/>
      <c r="B855" s="80"/>
      <c r="C855" s="80"/>
      <c r="D855" s="87"/>
      <c r="E855" s="87"/>
      <c r="F855" s="87"/>
      <c r="G855" s="87"/>
      <c r="H855" s="83"/>
      <c r="I855" s="83"/>
      <c r="J855" s="80"/>
      <c r="K855" s="87"/>
      <c r="L855" s="87"/>
      <c r="M855" s="80"/>
      <c r="N855" s="80"/>
      <c r="O855" s="80"/>
      <c r="P855" s="80"/>
      <c r="Q855" s="80"/>
      <c r="R855" s="80"/>
      <c r="S855" s="80"/>
      <c r="T855" s="80"/>
      <c r="U855" s="80"/>
      <c r="V855" s="80"/>
      <c r="W855" s="80"/>
      <c r="X855" s="80"/>
      <c r="Y855" s="80"/>
      <c r="Z855" s="80"/>
    </row>
    <row r="856">
      <c r="A856" s="87"/>
      <c r="B856" s="80"/>
      <c r="C856" s="80"/>
      <c r="D856" s="87"/>
      <c r="E856" s="87"/>
      <c r="F856" s="87"/>
      <c r="G856" s="87"/>
      <c r="H856" s="83"/>
      <c r="I856" s="83"/>
      <c r="J856" s="80"/>
      <c r="K856" s="87"/>
      <c r="L856" s="87"/>
      <c r="M856" s="80"/>
      <c r="N856" s="80"/>
      <c r="O856" s="80"/>
      <c r="P856" s="80"/>
      <c r="Q856" s="80"/>
      <c r="R856" s="80"/>
      <c r="S856" s="80"/>
      <c r="T856" s="80"/>
      <c r="U856" s="80"/>
      <c r="V856" s="80"/>
      <c r="W856" s="80"/>
      <c r="X856" s="80"/>
      <c r="Y856" s="80"/>
      <c r="Z856" s="80"/>
    </row>
    <row r="857">
      <c r="A857" s="87"/>
      <c r="B857" s="80"/>
      <c r="C857" s="80"/>
      <c r="D857" s="87"/>
      <c r="E857" s="87"/>
      <c r="F857" s="87"/>
      <c r="G857" s="87"/>
      <c r="H857" s="83"/>
      <c r="I857" s="83"/>
      <c r="J857" s="80"/>
      <c r="K857" s="87"/>
      <c r="L857" s="87"/>
      <c r="M857" s="80"/>
      <c r="N857" s="80"/>
      <c r="O857" s="80"/>
      <c r="P857" s="80"/>
      <c r="Q857" s="80"/>
      <c r="R857" s="80"/>
      <c r="S857" s="80"/>
      <c r="T857" s="80"/>
      <c r="U857" s="80"/>
      <c r="V857" s="80"/>
      <c r="W857" s="80"/>
      <c r="X857" s="80"/>
      <c r="Y857" s="80"/>
      <c r="Z857" s="80"/>
    </row>
    <row r="858">
      <c r="A858" s="87"/>
      <c r="B858" s="80"/>
      <c r="C858" s="80"/>
      <c r="D858" s="87"/>
      <c r="E858" s="87"/>
      <c r="F858" s="87"/>
      <c r="G858" s="87"/>
      <c r="H858" s="83"/>
      <c r="I858" s="83"/>
      <c r="J858" s="80"/>
      <c r="K858" s="87"/>
      <c r="L858" s="87"/>
      <c r="M858" s="80"/>
      <c r="N858" s="80"/>
      <c r="O858" s="80"/>
      <c r="P858" s="80"/>
      <c r="Q858" s="80"/>
      <c r="R858" s="80"/>
      <c r="S858" s="80"/>
      <c r="T858" s="80"/>
      <c r="U858" s="80"/>
      <c r="V858" s="80"/>
      <c r="W858" s="80"/>
      <c r="X858" s="80"/>
      <c r="Y858" s="80"/>
      <c r="Z858" s="80"/>
    </row>
    <row r="859">
      <c r="A859" s="87"/>
      <c r="B859" s="80"/>
      <c r="C859" s="80"/>
      <c r="D859" s="87"/>
      <c r="E859" s="87"/>
      <c r="F859" s="87"/>
      <c r="G859" s="87"/>
      <c r="H859" s="83"/>
      <c r="I859" s="83"/>
      <c r="J859" s="80"/>
      <c r="K859" s="87"/>
      <c r="L859" s="87"/>
      <c r="M859" s="80"/>
      <c r="N859" s="80"/>
      <c r="O859" s="80"/>
      <c r="P859" s="80"/>
      <c r="Q859" s="80"/>
      <c r="R859" s="80"/>
      <c r="S859" s="80"/>
      <c r="T859" s="80"/>
      <c r="U859" s="80"/>
      <c r="V859" s="80"/>
      <c r="W859" s="80"/>
      <c r="X859" s="80"/>
      <c r="Y859" s="80"/>
      <c r="Z859" s="80"/>
    </row>
    <row r="860">
      <c r="A860" s="87"/>
      <c r="B860" s="80"/>
      <c r="C860" s="80"/>
      <c r="D860" s="87"/>
      <c r="E860" s="87"/>
      <c r="F860" s="87"/>
      <c r="G860" s="87"/>
      <c r="H860" s="83"/>
      <c r="I860" s="83"/>
      <c r="J860" s="80"/>
      <c r="K860" s="87"/>
      <c r="L860" s="87"/>
      <c r="M860" s="80"/>
      <c r="N860" s="80"/>
      <c r="O860" s="80"/>
      <c r="P860" s="80"/>
      <c r="Q860" s="80"/>
      <c r="R860" s="80"/>
      <c r="S860" s="80"/>
      <c r="T860" s="80"/>
      <c r="U860" s="80"/>
      <c r="V860" s="80"/>
      <c r="W860" s="80"/>
      <c r="X860" s="80"/>
      <c r="Y860" s="80"/>
      <c r="Z860" s="80"/>
    </row>
    <row r="861">
      <c r="A861" s="87"/>
      <c r="B861" s="80"/>
      <c r="C861" s="80"/>
      <c r="D861" s="87"/>
      <c r="E861" s="87"/>
      <c r="F861" s="87"/>
      <c r="G861" s="87"/>
      <c r="H861" s="83"/>
      <c r="I861" s="83"/>
      <c r="J861" s="80"/>
      <c r="K861" s="87"/>
      <c r="L861" s="87"/>
      <c r="M861" s="80"/>
      <c r="N861" s="80"/>
      <c r="O861" s="80"/>
      <c r="P861" s="80"/>
      <c r="Q861" s="80"/>
      <c r="R861" s="80"/>
      <c r="S861" s="80"/>
      <c r="T861" s="80"/>
      <c r="U861" s="80"/>
      <c r="V861" s="80"/>
      <c r="W861" s="80"/>
      <c r="X861" s="80"/>
      <c r="Y861" s="80"/>
      <c r="Z861" s="80"/>
    </row>
    <row r="862">
      <c r="A862" s="87"/>
      <c r="B862" s="80"/>
      <c r="C862" s="80"/>
      <c r="D862" s="87"/>
      <c r="E862" s="87"/>
      <c r="F862" s="87"/>
      <c r="G862" s="87"/>
      <c r="H862" s="83"/>
      <c r="I862" s="83"/>
      <c r="J862" s="80"/>
      <c r="K862" s="87"/>
      <c r="L862" s="87"/>
      <c r="M862" s="80"/>
      <c r="N862" s="80"/>
      <c r="O862" s="80"/>
      <c r="P862" s="80"/>
      <c r="Q862" s="80"/>
      <c r="R862" s="80"/>
      <c r="S862" s="80"/>
      <c r="T862" s="80"/>
      <c r="U862" s="80"/>
      <c r="V862" s="80"/>
      <c r="W862" s="80"/>
      <c r="X862" s="80"/>
      <c r="Y862" s="80"/>
      <c r="Z862" s="80"/>
    </row>
    <row r="863">
      <c r="A863" s="87"/>
      <c r="B863" s="80"/>
      <c r="C863" s="80"/>
      <c r="D863" s="87"/>
      <c r="E863" s="87"/>
      <c r="F863" s="87"/>
      <c r="G863" s="87"/>
      <c r="H863" s="83"/>
      <c r="I863" s="83"/>
      <c r="J863" s="80"/>
      <c r="K863" s="87"/>
      <c r="L863" s="87"/>
      <c r="M863" s="80"/>
      <c r="N863" s="80"/>
      <c r="O863" s="80"/>
      <c r="P863" s="80"/>
      <c r="Q863" s="80"/>
      <c r="R863" s="80"/>
      <c r="S863" s="80"/>
      <c r="T863" s="80"/>
      <c r="U863" s="80"/>
      <c r="V863" s="80"/>
      <c r="W863" s="80"/>
      <c r="X863" s="80"/>
      <c r="Y863" s="80"/>
      <c r="Z863" s="80"/>
    </row>
    <row r="864">
      <c r="A864" s="87"/>
      <c r="B864" s="80"/>
      <c r="C864" s="80"/>
      <c r="D864" s="87"/>
      <c r="E864" s="87"/>
      <c r="F864" s="87"/>
      <c r="G864" s="87"/>
      <c r="H864" s="83"/>
      <c r="I864" s="83"/>
      <c r="J864" s="80"/>
      <c r="K864" s="87"/>
      <c r="L864" s="87"/>
      <c r="M864" s="80"/>
      <c r="N864" s="80"/>
      <c r="O864" s="80"/>
      <c r="P864" s="80"/>
      <c r="Q864" s="80"/>
      <c r="R864" s="80"/>
      <c r="S864" s="80"/>
      <c r="T864" s="80"/>
      <c r="U864" s="80"/>
      <c r="V864" s="80"/>
      <c r="W864" s="80"/>
      <c r="X864" s="80"/>
      <c r="Y864" s="80"/>
      <c r="Z864" s="80"/>
    </row>
    <row r="865">
      <c r="A865" s="87"/>
      <c r="B865" s="80"/>
      <c r="C865" s="80"/>
      <c r="D865" s="87"/>
      <c r="E865" s="87"/>
      <c r="F865" s="87"/>
      <c r="G865" s="87"/>
      <c r="H865" s="83"/>
      <c r="I865" s="83"/>
      <c r="J865" s="80"/>
      <c r="K865" s="87"/>
      <c r="L865" s="87"/>
      <c r="M865" s="80"/>
      <c r="N865" s="80"/>
      <c r="O865" s="80"/>
      <c r="P865" s="80"/>
      <c r="Q865" s="80"/>
      <c r="R865" s="80"/>
      <c r="S865" s="80"/>
      <c r="T865" s="80"/>
      <c r="U865" s="80"/>
      <c r="V865" s="80"/>
      <c r="W865" s="80"/>
      <c r="X865" s="80"/>
      <c r="Y865" s="80"/>
      <c r="Z865" s="80"/>
    </row>
    <row r="866">
      <c r="A866" s="87"/>
      <c r="B866" s="80"/>
      <c r="C866" s="80"/>
      <c r="D866" s="87"/>
      <c r="E866" s="87"/>
      <c r="F866" s="87"/>
      <c r="G866" s="87"/>
      <c r="H866" s="83"/>
      <c r="I866" s="83"/>
      <c r="J866" s="80"/>
      <c r="K866" s="87"/>
      <c r="L866" s="87"/>
      <c r="M866" s="80"/>
      <c r="N866" s="80"/>
      <c r="O866" s="80"/>
      <c r="P866" s="80"/>
      <c r="Q866" s="80"/>
      <c r="R866" s="80"/>
      <c r="S866" s="80"/>
      <c r="T866" s="80"/>
      <c r="U866" s="80"/>
      <c r="V866" s="80"/>
      <c r="W866" s="80"/>
      <c r="X866" s="80"/>
      <c r="Y866" s="80"/>
      <c r="Z866" s="80"/>
    </row>
    <row r="867">
      <c r="A867" s="87"/>
      <c r="B867" s="80"/>
      <c r="C867" s="80"/>
      <c r="D867" s="87"/>
      <c r="E867" s="87"/>
      <c r="F867" s="87"/>
      <c r="G867" s="87"/>
      <c r="H867" s="83"/>
      <c r="I867" s="83"/>
      <c r="J867" s="80"/>
      <c r="K867" s="87"/>
      <c r="L867" s="87"/>
      <c r="M867" s="80"/>
      <c r="N867" s="80"/>
      <c r="O867" s="80"/>
      <c r="P867" s="80"/>
      <c r="Q867" s="80"/>
      <c r="R867" s="80"/>
      <c r="S867" s="80"/>
      <c r="T867" s="80"/>
      <c r="U867" s="80"/>
      <c r="V867" s="80"/>
      <c r="W867" s="80"/>
      <c r="X867" s="80"/>
      <c r="Y867" s="80"/>
      <c r="Z867" s="80"/>
    </row>
    <row r="868">
      <c r="A868" s="87"/>
      <c r="B868" s="80"/>
      <c r="C868" s="80"/>
      <c r="D868" s="87"/>
      <c r="E868" s="87"/>
      <c r="F868" s="87"/>
      <c r="G868" s="87"/>
      <c r="H868" s="83"/>
      <c r="I868" s="83"/>
      <c r="J868" s="80"/>
      <c r="K868" s="87"/>
      <c r="L868" s="87"/>
      <c r="M868" s="80"/>
      <c r="N868" s="80"/>
      <c r="O868" s="80"/>
      <c r="P868" s="80"/>
      <c r="Q868" s="80"/>
      <c r="R868" s="80"/>
      <c r="S868" s="80"/>
      <c r="T868" s="80"/>
      <c r="U868" s="80"/>
      <c r="V868" s="80"/>
      <c r="W868" s="80"/>
      <c r="X868" s="80"/>
      <c r="Y868" s="80"/>
      <c r="Z868" s="80"/>
    </row>
    <row r="869">
      <c r="A869" s="87"/>
      <c r="B869" s="80"/>
      <c r="C869" s="80"/>
      <c r="D869" s="87"/>
      <c r="E869" s="87"/>
      <c r="F869" s="87"/>
      <c r="G869" s="87"/>
      <c r="H869" s="83"/>
      <c r="I869" s="83"/>
      <c r="J869" s="80"/>
      <c r="K869" s="87"/>
      <c r="L869" s="87"/>
      <c r="M869" s="80"/>
      <c r="N869" s="80"/>
      <c r="O869" s="80"/>
      <c r="P869" s="80"/>
      <c r="Q869" s="80"/>
      <c r="R869" s="80"/>
      <c r="S869" s="80"/>
      <c r="T869" s="80"/>
      <c r="U869" s="80"/>
      <c r="V869" s="80"/>
      <c r="W869" s="80"/>
      <c r="X869" s="80"/>
      <c r="Y869" s="80"/>
      <c r="Z869" s="80"/>
    </row>
    <row r="870">
      <c r="A870" s="87"/>
      <c r="B870" s="80"/>
      <c r="C870" s="80"/>
      <c r="D870" s="87"/>
      <c r="E870" s="87"/>
      <c r="F870" s="87"/>
      <c r="G870" s="87"/>
      <c r="H870" s="83"/>
      <c r="I870" s="83"/>
      <c r="J870" s="80"/>
      <c r="K870" s="87"/>
      <c r="L870" s="87"/>
      <c r="M870" s="80"/>
      <c r="N870" s="80"/>
      <c r="O870" s="80"/>
      <c r="P870" s="80"/>
      <c r="Q870" s="80"/>
      <c r="R870" s="80"/>
      <c r="S870" s="80"/>
      <c r="T870" s="80"/>
      <c r="U870" s="80"/>
      <c r="V870" s="80"/>
      <c r="W870" s="80"/>
      <c r="X870" s="80"/>
      <c r="Y870" s="80"/>
      <c r="Z870" s="80"/>
    </row>
    <row r="871">
      <c r="A871" s="87"/>
      <c r="B871" s="80"/>
      <c r="C871" s="80"/>
      <c r="D871" s="87"/>
      <c r="E871" s="87"/>
      <c r="F871" s="87"/>
      <c r="G871" s="87"/>
      <c r="H871" s="83"/>
      <c r="I871" s="83"/>
      <c r="J871" s="80"/>
      <c r="K871" s="87"/>
      <c r="L871" s="87"/>
      <c r="M871" s="80"/>
      <c r="N871" s="80"/>
      <c r="O871" s="80"/>
      <c r="P871" s="80"/>
      <c r="Q871" s="80"/>
      <c r="R871" s="80"/>
      <c r="S871" s="80"/>
      <c r="T871" s="80"/>
      <c r="U871" s="80"/>
      <c r="V871" s="80"/>
      <c r="W871" s="80"/>
      <c r="X871" s="80"/>
      <c r="Y871" s="80"/>
      <c r="Z871" s="80"/>
    </row>
    <row r="872">
      <c r="A872" s="87"/>
      <c r="B872" s="80"/>
      <c r="C872" s="80"/>
      <c r="D872" s="87"/>
      <c r="E872" s="87"/>
      <c r="F872" s="87"/>
      <c r="G872" s="87"/>
      <c r="H872" s="83"/>
      <c r="I872" s="83"/>
      <c r="J872" s="80"/>
      <c r="K872" s="87"/>
      <c r="L872" s="87"/>
      <c r="M872" s="80"/>
      <c r="N872" s="80"/>
      <c r="O872" s="80"/>
      <c r="P872" s="80"/>
      <c r="Q872" s="80"/>
      <c r="R872" s="80"/>
      <c r="S872" s="80"/>
      <c r="T872" s="80"/>
      <c r="U872" s="80"/>
      <c r="V872" s="80"/>
      <c r="W872" s="80"/>
      <c r="X872" s="80"/>
      <c r="Y872" s="80"/>
      <c r="Z872" s="80"/>
    </row>
    <row r="873">
      <c r="A873" s="87"/>
      <c r="B873" s="80"/>
      <c r="C873" s="80"/>
      <c r="D873" s="87"/>
      <c r="E873" s="87"/>
      <c r="F873" s="87"/>
      <c r="G873" s="87"/>
      <c r="H873" s="83"/>
      <c r="I873" s="83"/>
      <c r="J873" s="80"/>
      <c r="K873" s="87"/>
      <c r="L873" s="87"/>
      <c r="M873" s="80"/>
      <c r="N873" s="80"/>
      <c r="O873" s="80"/>
      <c r="P873" s="80"/>
      <c r="Q873" s="80"/>
      <c r="R873" s="80"/>
      <c r="S873" s="80"/>
      <c r="T873" s="80"/>
      <c r="U873" s="80"/>
      <c r="V873" s="80"/>
      <c r="W873" s="80"/>
      <c r="X873" s="80"/>
      <c r="Y873" s="80"/>
      <c r="Z873" s="80"/>
    </row>
    <row r="874">
      <c r="A874" s="87"/>
      <c r="B874" s="80"/>
      <c r="C874" s="80"/>
      <c r="D874" s="87"/>
      <c r="E874" s="87"/>
      <c r="F874" s="87"/>
      <c r="G874" s="87"/>
      <c r="H874" s="83"/>
      <c r="I874" s="83"/>
      <c r="J874" s="80"/>
      <c r="K874" s="87"/>
      <c r="L874" s="87"/>
      <c r="M874" s="80"/>
      <c r="N874" s="80"/>
      <c r="O874" s="80"/>
      <c r="P874" s="80"/>
      <c r="Q874" s="80"/>
      <c r="R874" s="80"/>
      <c r="S874" s="80"/>
      <c r="T874" s="80"/>
      <c r="U874" s="80"/>
      <c r="V874" s="80"/>
      <c r="W874" s="80"/>
      <c r="X874" s="80"/>
      <c r="Y874" s="80"/>
      <c r="Z874" s="80"/>
    </row>
    <row r="875">
      <c r="A875" s="87"/>
      <c r="B875" s="80"/>
      <c r="C875" s="80"/>
      <c r="D875" s="87"/>
      <c r="E875" s="87"/>
      <c r="F875" s="87"/>
      <c r="G875" s="87"/>
      <c r="H875" s="83"/>
      <c r="I875" s="83"/>
      <c r="J875" s="80"/>
      <c r="K875" s="87"/>
      <c r="L875" s="87"/>
      <c r="M875" s="80"/>
      <c r="N875" s="80"/>
      <c r="O875" s="80"/>
      <c r="P875" s="80"/>
      <c r="Q875" s="80"/>
      <c r="R875" s="80"/>
      <c r="S875" s="80"/>
      <c r="T875" s="80"/>
      <c r="U875" s="80"/>
      <c r="V875" s="80"/>
      <c r="W875" s="80"/>
      <c r="X875" s="80"/>
      <c r="Y875" s="80"/>
      <c r="Z875" s="80"/>
    </row>
    <row r="876">
      <c r="A876" s="87"/>
      <c r="B876" s="80"/>
      <c r="C876" s="80"/>
      <c r="D876" s="87"/>
      <c r="E876" s="87"/>
      <c r="F876" s="87"/>
      <c r="G876" s="87"/>
      <c r="H876" s="83"/>
      <c r="I876" s="83"/>
      <c r="J876" s="80"/>
      <c r="K876" s="87"/>
      <c r="L876" s="87"/>
      <c r="M876" s="80"/>
      <c r="N876" s="80"/>
      <c r="O876" s="80"/>
      <c r="P876" s="80"/>
      <c r="Q876" s="80"/>
      <c r="R876" s="80"/>
      <c r="S876" s="80"/>
      <c r="T876" s="80"/>
      <c r="U876" s="80"/>
      <c r="V876" s="80"/>
      <c r="W876" s="80"/>
      <c r="X876" s="80"/>
      <c r="Y876" s="80"/>
      <c r="Z876" s="80"/>
    </row>
    <row r="877">
      <c r="A877" s="87"/>
      <c r="B877" s="80"/>
      <c r="C877" s="80"/>
      <c r="D877" s="87"/>
      <c r="E877" s="87"/>
      <c r="F877" s="87"/>
      <c r="G877" s="87"/>
      <c r="H877" s="83"/>
      <c r="I877" s="83"/>
      <c r="J877" s="80"/>
      <c r="K877" s="87"/>
      <c r="L877" s="87"/>
      <c r="M877" s="80"/>
      <c r="N877" s="80"/>
      <c r="O877" s="80"/>
      <c r="P877" s="80"/>
      <c r="Q877" s="80"/>
      <c r="R877" s="80"/>
      <c r="S877" s="80"/>
      <c r="T877" s="80"/>
      <c r="U877" s="80"/>
      <c r="V877" s="80"/>
      <c r="W877" s="80"/>
      <c r="X877" s="80"/>
      <c r="Y877" s="80"/>
      <c r="Z877" s="80"/>
    </row>
    <row r="878">
      <c r="A878" s="87"/>
      <c r="B878" s="80"/>
      <c r="C878" s="80"/>
      <c r="D878" s="87"/>
      <c r="E878" s="87"/>
      <c r="F878" s="87"/>
      <c r="G878" s="87"/>
      <c r="H878" s="83"/>
      <c r="I878" s="83"/>
      <c r="J878" s="80"/>
      <c r="K878" s="87"/>
      <c r="L878" s="87"/>
      <c r="M878" s="80"/>
      <c r="N878" s="80"/>
      <c r="O878" s="80"/>
      <c r="P878" s="80"/>
      <c r="Q878" s="80"/>
      <c r="R878" s="80"/>
      <c r="S878" s="80"/>
      <c r="T878" s="80"/>
      <c r="U878" s="80"/>
      <c r="V878" s="80"/>
      <c r="W878" s="80"/>
      <c r="X878" s="80"/>
      <c r="Y878" s="80"/>
      <c r="Z878" s="80"/>
    </row>
    <row r="879">
      <c r="A879" s="87"/>
      <c r="B879" s="80"/>
      <c r="C879" s="80"/>
      <c r="D879" s="87"/>
      <c r="E879" s="87"/>
      <c r="F879" s="87"/>
      <c r="G879" s="87"/>
      <c r="H879" s="83"/>
      <c r="I879" s="83"/>
      <c r="J879" s="80"/>
      <c r="K879" s="87"/>
      <c r="L879" s="87"/>
      <c r="M879" s="80"/>
      <c r="N879" s="80"/>
      <c r="O879" s="80"/>
      <c r="P879" s="80"/>
      <c r="Q879" s="80"/>
      <c r="R879" s="80"/>
      <c r="S879" s="80"/>
      <c r="T879" s="80"/>
      <c r="U879" s="80"/>
      <c r="V879" s="80"/>
      <c r="W879" s="80"/>
      <c r="X879" s="80"/>
      <c r="Y879" s="80"/>
      <c r="Z879" s="80"/>
    </row>
    <row r="880">
      <c r="A880" s="87"/>
      <c r="B880" s="80"/>
      <c r="C880" s="80"/>
      <c r="D880" s="87"/>
      <c r="E880" s="87"/>
      <c r="F880" s="87"/>
      <c r="G880" s="87"/>
      <c r="H880" s="83"/>
      <c r="I880" s="83"/>
      <c r="J880" s="80"/>
      <c r="K880" s="87"/>
      <c r="L880" s="87"/>
      <c r="M880" s="80"/>
      <c r="N880" s="80"/>
      <c r="O880" s="80"/>
      <c r="P880" s="80"/>
      <c r="Q880" s="80"/>
      <c r="R880" s="80"/>
      <c r="S880" s="80"/>
      <c r="T880" s="80"/>
      <c r="U880" s="80"/>
      <c r="V880" s="80"/>
      <c r="W880" s="80"/>
      <c r="X880" s="80"/>
      <c r="Y880" s="80"/>
      <c r="Z880" s="80"/>
    </row>
    <row r="881">
      <c r="A881" s="87"/>
      <c r="B881" s="80"/>
      <c r="C881" s="80"/>
      <c r="D881" s="87"/>
      <c r="E881" s="87"/>
      <c r="F881" s="87"/>
      <c r="G881" s="87"/>
      <c r="H881" s="83"/>
      <c r="I881" s="83"/>
      <c r="J881" s="80"/>
      <c r="K881" s="87"/>
      <c r="L881" s="87"/>
      <c r="M881" s="80"/>
      <c r="N881" s="80"/>
      <c r="O881" s="80"/>
      <c r="P881" s="80"/>
      <c r="Q881" s="80"/>
      <c r="R881" s="80"/>
      <c r="S881" s="80"/>
      <c r="T881" s="80"/>
      <c r="U881" s="80"/>
      <c r="V881" s="80"/>
      <c r="W881" s="80"/>
      <c r="X881" s="80"/>
      <c r="Y881" s="80"/>
      <c r="Z881" s="80"/>
    </row>
    <row r="882">
      <c r="A882" s="87"/>
      <c r="B882" s="80"/>
      <c r="C882" s="80"/>
      <c r="D882" s="87"/>
      <c r="E882" s="87"/>
      <c r="F882" s="87"/>
      <c r="G882" s="87"/>
      <c r="H882" s="83"/>
      <c r="I882" s="83"/>
      <c r="J882" s="80"/>
      <c r="K882" s="87"/>
      <c r="L882" s="87"/>
      <c r="M882" s="80"/>
      <c r="N882" s="80"/>
      <c r="O882" s="80"/>
      <c r="P882" s="80"/>
      <c r="Q882" s="80"/>
      <c r="R882" s="80"/>
      <c r="S882" s="80"/>
      <c r="T882" s="80"/>
      <c r="U882" s="80"/>
      <c r="V882" s="80"/>
      <c r="W882" s="80"/>
      <c r="X882" s="80"/>
      <c r="Y882" s="80"/>
      <c r="Z882" s="80"/>
    </row>
    <row r="883">
      <c r="A883" s="87"/>
      <c r="B883" s="80"/>
      <c r="C883" s="80"/>
      <c r="D883" s="87"/>
      <c r="E883" s="87"/>
      <c r="F883" s="87"/>
      <c r="G883" s="87"/>
      <c r="H883" s="83"/>
      <c r="I883" s="83"/>
      <c r="J883" s="80"/>
      <c r="K883" s="87"/>
      <c r="L883" s="87"/>
      <c r="M883" s="80"/>
      <c r="N883" s="80"/>
      <c r="O883" s="80"/>
      <c r="P883" s="80"/>
      <c r="Q883" s="80"/>
      <c r="R883" s="80"/>
      <c r="S883" s="80"/>
      <c r="T883" s="80"/>
      <c r="U883" s="80"/>
      <c r="V883" s="80"/>
      <c r="W883" s="80"/>
      <c r="X883" s="80"/>
      <c r="Y883" s="80"/>
      <c r="Z883" s="80"/>
    </row>
    <row r="884">
      <c r="A884" s="87"/>
      <c r="B884" s="80"/>
      <c r="C884" s="80"/>
      <c r="D884" s="87"/>
      <c r="E884" s="87"/>
      <c r="F884" s="87"/>
      <c r="G884" s="87"/>
      <c r="H884" s="83"/>
      <c r="I884" s="83"/>
      <c r="J884" s="80"/>
      <c r="K884" s="87"/>
      <c r="L884" s="87"/>
      <c r="M884" s="80"/>
      <c r="N884" s="80"/>
      <c r="O884" s="80"/>
      <c r="P884" s="80"/>
      <c r="Q884" s="80"/>
      <c r="R884" s="80"/>
      <c r="S884" s="80"/>
      <c r="T884" s="80"/>
      <c r="U884" s="80"/>
      <c r="V884" s="80"/>
      <c r="W884" s="80"/>
      <c r="X884" s="80"/>
      <c r="Y884" s="80"/>
      <c r="Z884" s="80"/>
    </row>
    <row r="885">
      <c r="A885" s="87"/>
      <c r="B885" s="80"/>
      <c r="C885" s="80"/>
      <c r="D885" s="87"/>
      <c r="E885" s="87"/>
      <c r="F885" s="87"/>
      <c r="G885" s="87"/>
      <c r="H885" s="83"/>
      <c r="I885" s="83"/>
      <c r="J885" s="80"/>
      <c r="K885" s="87"/>
      <c r="L885" s="87"/>
      <c r="M885" s="80"/>
      <c r="N885" s="80"/>
      <c r="O885" s="80"/>
      <c r="P885" s="80"/>
      <c r="Q885" s="80"/>
      <c r="R885" s="80"/>
      <c r="S885" s="80"/>
      <c r="T885" s="80"/>
      <c r="U885" s="80"/>
      <c r="V885" s="80"/>
      <c r="W885" s="80"/>
      <c r="X885" s="80"/>
      <c r="Y885" s="80"/>
      <c r="Z885" s="80"/>
    </row>
    <row r="886">
      <c r="A886" s="87"/>
      <c r="B886" s="80"/>
      <c r="C886" s="80"/>
      <c r="D886" s="87"/>
      <c r="E886" s="87"/>
      <c r="F886" s="87"/>
      <c r="G886" s="87"/>
      <c r="H886" s="83"/>
      <c r="I886" s="83"/>
      <c r="J886" s="80"/>
      <c r="K886" s="87"/>
      <c r="L886" s="87"/>
      <c r="M886" s="80"/>
      <c r="N886" s="80"/>
      <c r="O886" s="80"/>
      <c r="P886" s="80"/>
      <c r="Q886" s="80"/>
      <c r="R886" s="80"/>
      <c r="S886" s="80"/>
      <c r="T886" s="80"/>
      <c r="U886" s="80"/>
      <c r="V886" s="80"/>
      <c r="W886" s="80"/>
      <c r="X886" s="80"/>
      <c r="Y886" s="80"/>
      <c r="Z886" s="80"/>
    </row>
    <row r="887">
      <c r="A887" s="87"/>
      <c r="B887" s="80"/>
      <c r="C887" s="80"/>
      <c r="D887" s="87"/>
      <c r="E887" s="87"/>
      <c r="F887" s="87"/>
      <c r="G887" s="87"/>
      <c r="H887" s="83"/>
      <c r="I887" s="83"/>
      <c r="J887" s="80"/>
      <c r="K887" s="87"/>
      <c r="L887" s="87"/>
      <c r="M887" s="80"/>
      <c r="N887" s="80"/>
      <c r="O887" s="80"/>
      <c r="P887" s="80"/>
      <c r="Q887" s="80"/>
      <c r="R887" s="80"/>
      <c r="S887" s="80"/>
      <c r="T887" s="80"/>
      <c r="U887" s="80"/>
      <c r="V887" s="80"/>
      <c r="W887" s="80"/>
      <c r="X887" s="80"/>
      <c r="Y887" s="80"/>
      <c r="Z887" s="80"/>
    </row>
    <row r="888">
      <c r="A888" s="87"/>
      <c r="B888" s="80"/>
      <c r="C888" s="80"/>
      <c r="D888" s="87"/>
      <c r="E888" s="87"/>
      <c r="F888" s="87"/>
      <c r="G888" s="87"/>
      <c r="H888" s="83"/>
      <c r="I888" s="83"/>
      <c r="J888" s="80"/>
      <c r="K888" s="87"/>
      <c r="L888" s="87"/>
      <c r="M888" s="80"/>
      <c r="N888" s="80"/>
      <c r="O888" s="80"/>
      <c r="P888" s="80"/>
      <c r="Q888" s="80"/>
      <c r="R888" s="80"/>
      <c r="S888" s="80"/>
      <c r="T888" s="80"/>
      <c r="U888" s="80"/>
      <c r="V888" s="80"/>
      <c r="W888" s="80"/>
      <c r="X888" s="80"/>
      <c r="Y888" s="80"/>
      <c r="Z888" s="80"/>
    </row>
    <row r="889">
      <c r="A889" s="87"/>
      <c r="B889" s="80"/>
      <c r="C889" s="80"/>
      <c r="D889" s="87"/>
      <c r="E889" s="87"/>
      <c r="F889" s="87"/>
      <c r="G889" s="87"/>
      <c r="H889" s="83"/>
      <c r="I889" s="83"/>
      <c r="J889" s="80"/>
      <c r="K889" s="87"/>
      <c r="L889" s="87"/>
      <c r="M889" s="80"/>
      <c r="N889" s="80"/>
      <c r="O889" s="80"/>
      <c r="P889" s="80"/>
      <c r="Q889" s="80"/>
      <c r="R889" s="80"/>
      <c r="S889" s="80"/>
      <c r="T889" s="80"/>
      <c r="U889" s="80"/>
      <c r="V889" s="80"/>
      <c r="W889" s="80"/>
      <c r="X889" s="80"/>
      <c r="Y889" s="80"/>
      <c r="Z889" s="80"/>
    </row>
    <row r="890">
      <c r="A890" s="87"/>
      <c r="B890" s="80"/>
      <c r="C890" s="80"/>
      <c r="D890" s="87"/>
      <c r="E890" s="87"/>
      <c r="F890" s="87"/>
      <c r="G890" s="87"/>
      <c r="H890" s="83"/>
      <c r="I890" s="83"/>
      <c r="J890" s="80"/>
      <c r="K890" s="87"/>
      <c r="L890" s="87"/>
      <c r="M890" s="80"/>
      <c r="N890" s="80"/>
      <c r="O890" s="80"/>
      <c r="P890" s="80"/>
      <c r="Q890" s="80"/>
      <c r="R890" s="80"/>
      <c r="S890" s="80"/>
      <c r="T890" s="80"/>
      <c r="U890" s="80"/>
      <c r="V890" s="80"/>
      <c r="W890" s="80"/>
      <c r="X890" s="80"/>
      <c r="Y890" s="80"/>
      <c r="Z890" s="80"/>
    </row>
    <row r="891">
      <c r="A891" s="87"/>
      <c r="B891" s="80"/>
      <c r="C891" s="80"/>
      <c r="D891" s="87"/>
      <c r="E891" s="87"/>
      <c r="F891" s="87"/>
      <c r="G891" s="87"/>
      <c r="H891" s="83"/>
      <c r="I891" s="83"/>
      <c r="J891" s="80"/>
      <c r="K891" s="87"/>
      <c r="L891" s="87"/>
      <c r="M891" s="80"/>
      <c r="N891" s="80"/>
      <c r="O891" s="80"/>
      <c r="P891" s="80"/>
      <c r="Q891" s="80"/>
      <c r="R891" s="80"/>
      <c r="S891" s="80"/>
      <c r="T891" s="80"/>
      <c r="U891" s="80"/>
      <c r="V891" s="80"/>
      <c r="W891" s="80"/>
      <c r="X891" s="80"/>
      <c r="Y891" s="80"/>
      <c r="Z891" s="80"/>
    </row>
    <row r="892">
      <c r="A892" s="87"/>
      <c r="B892" s="80"/>
      <c r="C892" s="80"/>
      <c r="D892" s="87"/>
      <c r="E892" s="87"/>
      <c r="F892" s="87"/>
      <c r="G892" s="87"/>
      <c r="H892" s="83"/>
      <c r="I892" s="83"/>
      <c r="J892" s="80"/>
      <c r="K892" s="87"/>
      <c r="L892" s="87"/>
      <c r="M892" s="80"/>
      <c r="N892" s="80"/>
      <c r="O892" s="80"/>
      <c r="P892" s="80"/>
      <c r="Q892" s="80"/>
      <c r="R892" s="80"/>
      <c r="S892" s="80"/>
      <c r="T892" s="80"/>
      <c r="U892" s="80"/>
      <c r="V892" s="80"/>
      <c r="W892" s="80"/>
      <c r="X892" s="80"/>
      <c r="Y892" s="80"/>
      <c r="Z892" s="80"/>
    </row>
    <row r="893">
      <c r="A893" s="87"/>
      <c r="B893" s="80"/>
      <c r="C893" s="80"/>
      <c r="D893" s="87"/>
      <c r="E893" s="87"/>
      <c r="F893" s="87"/>
      <c r="G893" s="87"/>
      <c r="H893" s="83"/>
      <c r="I893" s="83"/>
      <c r="J893" s="80"/>
      <c r="K893" s="87"/>
      <c r="L893" s="87"/>
      <c r="M893" s="80"/>
      <c r="N893" s="80"/>
      <c r="O893" s="80"/>
      <c r="P893" s="80"/>
      <c r="Q893" s="80"/>
      <c r="R893" s="80"/>
      <c r="S893" s="80"/>
      <c r="T893" s="80"/>
      <c r="U893" s="80"/>
      <c r="V893" s="80"/>
      <c r="W893" s="80"/>
      <c r="X893" s="80"/>
      <c r="Y893" s="80"/>
      <c r="Z893" s="80"/>
    </row>
    <row r="894">
      <c r="A894" s="87"/>
      <c r="B894" s="80"/>
      <c r="C894" s="80"/>
      <c r="D894" s="87"/>
      <c r="E894" s="87"/>
      <c r="F894" s="87"/>
      <c r="G894" s="87"/>
      <c r="H894" s="83"/>
      <c r="I894" s="83"/>
      <c r="J894" s="80"/>
      <c r="K894" s="87"/>
      <c r="L894" s="87"/>
      <c r="M894" s="80"/>
      <c r="N894" s="80"/>
      <c r="O894" s="80"/>
      <c r="P894" s="80"/>
      <c r="Q894" s="80"/>
      <c r="R894" s="80"/>
      <c r="S894" s="80"/>
      <c r="T894" s="80"/>
      <c r="U894" s="80"/>
      <c r="V894" s="80"/>
      <c r="W894" s="80"/>
      <c r="X894" s="80"/>
      <c r="Y894" s="80"/>
      <c r="Z894" s="80"/>
    </row>
    <row r="895">
      <c r="A895" s="87"/>
      <c r="B895" s="80"/>
      <c r="C895" s="80"/>
      <c r="D895" s="87"/>
      <c r="E895" s="87"/>
      <c r="F895" s="87"/>
      <c r="G895" s="87"/>
      <c r="H895" s="83"/>
      <c r="I895" s="83"/>
      <c r="J895" s="80"/>
      <c r="K895" s="87"/>
      <c r="L895" s="87"/>
      <c r="M895" s="80"/>
      <c r="N895" s="80"/>
      <c r="O895" s="80"/>
      <c r="P895" s="80"/>
      <c r="Q895" s="80"/>
      <c r="R895" s="80"/>
      <c r="S895" s="80"/>
      <c r="T895" s="80"/>
      <c r="U895" s="80"/>
      <c r="V895" s="80"/>
      <c r="W895" s="80"/>
      <c r="X895" s="80"/>
      <c r="Y895" s="80"/>
      <c r="Z895" s="80"/>
    </row>
    <row r="896">
      <c r="A896" s="87"/>
      <c r="B896" s="80"/>
      <c r="C896" s="80"/>
      <c r="D896" s="87"/>
      <c r="E896" s="87"/>
      <c r="F896" s="87"/>
      <c r="G896" s="87"/>
      <c r="H896" s="83"/>
      <c r="I896" s="83"/>
      <c r="J896" s="80"/>
      <c r="K896" s="87"/>
      <c r="L896" s="87"/>
      <c r="M896" s="80"/>
      <c r="N896" s="80"/>
      <c r="O896" s="80"/>
      <c r="P896" s="80"/>
      <c r="Q896" s="80"/>
      <c r="R896" s="80"/>
      <c r="S896" s="80"/>
      <c r="T896" s="80"/>
      <c r="U896" s="80"/>
      <c r="V896" s="80"/>
      <c r="W896" s="80"/>
      <c r="X896" s="80"/>
      <c r="Y896" s="80"/>
      <c r="Z896" s="80"/>
    </row>
    <row r="897">
      <c r="A897" s="87"/>
      <c r="B897" s="80"/>
      <c r="C897" s="80"/>
      <c r="D897" s="87"/>
      <c r="E897" s="87"/>
      <c r="F897" s="87"/>
      <c r="G897" s="87"/>
      <c r="H897" s="83"/>
      <c r="I897" s="83"/>
      <c r="J897" s="80"/>
      <c r="K897" s="87"/>
      <c r="L897" s="87"/>
      <c r="M897" s="80"/>
      <c r="N897" s="80"/>
      <c r="O897" s="80"/>
      <c r="P897" s="80"/>
      <c r="Q897" s="80"/>
      <c r="R897" s="80"/>
      <c r="S897" s="80"/>
      <c r="T897" s="80"/>
      <c r="U897" s="80"/>
      <c r="V897" s="80"/>
      <c r="W897" s="80"/>
      <c r="X897" s="80"/>
      <c r="Y897" s="80"/>
      <c r="Z897" s="80"/>
    </row>
    <row r="898">
      <c r="A898" s="87"/>
      <c r="B898" s="80"/>
      <c r="C898" s="80"/>
      <c r="D898" s="87"/>
      <c r="E898" s="87"/>
      <c r="F898" s="87"/>
      <c r="G898" s="87"/>
      <c r="H898" s="83"/>
      <c r="I898" s="83"/>
      <c r="J898" s="80"/>
      <c r="K898" s="87"/>
      <c r="L898" s="87"/>
      <c r="M898" s="80"/>
      <c r="N898" s="80"/>
      <c r="O898" s="80"/>
      <c r="P898" s="80"/>
      <c r="Q898" s="80"/>
      <c r="R898" s="80"/>
      <c r="S898" s="80"/>
      <c r="T898" s="80"/>
      <c r="U898" s="80"/>
      <c r="V898" s="80"/>
      <c r="W898" s="80"/>
      <c r="X898" s="80"/>
      <c r="Y898" s="80"/>
      <c r="Z898" s="80"/>
    </row>
    <row r="899">
      <c r="A899" s="87"/>
      <c r="B899" s="80"/>
      <c r="C899" s="80"/>
      <c r="D899" s="87"/>
      <c r="E899" s="87"/>
      <c r="F899" s="87"/>
      <c r="G899" s="87"/>
      <c r="H899" s="83"/>
      <c r="I899" s="83"/>
      <c r="J899" s="80"/>
      <c r="K899" s="87"/>
      <c r="L899" s="87"/>
      <c r="M899" s="80"/>
      <c r="N899" s="80"/>
      <c r="O899" s="80"/>
      <c r="P899" s="80"/>
      <c r="Q899" s="80"/>
      <c r="R899" s="80"/>
      <c r="S899" s="80"/>
      <c r="T899" s="80"/>
      <c r="U899" s="80"/>
      <c r="V899" s="80"/>
      <c r="W899" s="80"/>
      <c r="X899" s="80"/>
      <c r="Y899" s="80"/>
      <c r="Z899" s="80"/>
    </row>
    <row r="900">
      <c r="A900" s="87"/>
      <c r="B900" s="80"/>
      <c r="C900" s="80"/>
      <c r="D900" s="87"/>
      <c r="E900" s="87"/>
      <c r="F900" s="87"/>
      <c r="G900" s="87"/>
      <c r="H900" s="83"/>
      <c r="I900" s="83"/>
      <c r="J900" s="80"/>
      <c r="K900" s="87"/>
      <c r="L900" s="87"/>
      <c r="M900" s="80"/>
      <c r="N900" s="80"/>
      <c r="O900" s="80"/>
      <c r="P900" s="80"/>
      <c r="Q900" s="80"/>
      <c r="R900" s="80"/>
      <c r="S900" s="80"/>
      <c r="T900" s="80"/>
      <c r="U900" s="80"/>
      <c r="V900" s="80"/>
      <c r="W900" s="80"/>
      <c r="X900" s="80"/>
      <c r="Y900" s="80"/>
      <c r="Z900" s="80"/>
    </row>
    <row r="901">
      <c r="A901" s="87"/>
      <c r="B901" s="80"/>
      <c r="C901" s="80"/>
      <c r="D901" s="87"/>
      <c r="E901" s="87"/>
      <c r="F901" s="87"/>
      <c r="G901" s="87"/>
      <c r="H901" s="83"/>
      <c r="I901" s="83"/>
      <c r="J901" s="80"/>
      <c r="K901" s="87"/>
      <c r="L901" s="87"/>
      <c r="M901" s="80"/>
      <c r="N901" s="80"/>
      <c r="O901" s="80"/>
      <c r="P901" s="80"/>
      <c r="Q901" s="80"/>
      <c r="R901" s="80"/>
      <c r="S901" s="80"/>
      <c r="T901" s="80"/>
      <c r="U901" s="80"/>
      <c r="V901" s="80"/>
      <c r="W901" s="80"/>
      <c r="X901" s="80"/>
      <c r="Y901" s="80"/>
      <c r="Z901" s="80"/>
    </row>
    <row r="902">
      <c r="A902" s="87"/>
      <c r="B902" s="80"/>
      <c r="C902" s="80"/>
      <c r="D902" s="87"/>
      <c r="E902" s="87"/>
      <c r="F902" s="87"/>
      <c r="G902" s="87"/>
      <c r="H902" s="83"/>
      <c r="I902" s="83"/>
      <c r="J902" s="80"/>
      <c r="K902" s="87"/>
      <c r="L902" s="87"/>
      <c r="M902" s="80"/>
      <c r="N902" s="80"/>
      <c r="O902" s="80"/>
      <c r="P902" s="80"/>
      <c r="Q902" s="80"/>
      <c r="R902" s="80"/>
      <c r="S902" s="80"/>
      <c r="T902" s="80"/>
      <c r="U902" s="80"/>
      <c r="V902" s="80"/>
      <c r="W902" s="80"/>
      <c r="X902" s="80"/>
      <c r="Y902" s="80"/>
      <c r="Z902" s="80"/>
    </row>
    <row r="903">
      <c r="A903" s="87"/>
      <c r="B903" s="80"/>
      <c r="C903" s="80"/>
      <c r="D903" s="87"/>
      <c r="E903" s="87"/>
      <c r="F903" s="87"/>
      <c r="G903" s="87"/>
      <c r="H903" s="83"/>
      <c r="I903" s="83"/>
      <c r="J903" s="80"/>
      <c r="K903" s="87"/>
      <c r="L903" s="87"/>
      <c r="M903" s="80"/>
      <c r="N903" s="80"/>
      <c r="O903" s="80"/>
      <c r="P903" s="80"/>
      <c r="Q903" s="80"/>
      <c r="R903" s="80"/>
      <c r="S903" s="80"/>
      <c r="T903" s="80"/>
      <c r="U903" s="80"/>
      <c r="V903" s="80"/>
      <c r="W903" s="80"/>
      <c r="X903" s="80"/>
      <c r="Y903" s="80"/>
      <c r="Z903" s="80"/>
    </row>
    <row r="904">
      <c r="A904" s="87"/>
      <c r="B904" s="80"/>
      <c r="C904" s="80"/>
      <c r="D904" s="87"/>
      <c r="E904" s="87"/>
      <c r="F904" s="87"/>
      <c r="G904" s="87"/>
      <c r="H904" s="83"/>
      <c r="I904" s="83"/>
      <c r="J904" s="80"/>
      <c r="K904" s="87"/>
      <c r="L904" s="87"/>
      <c r="M904" s="80"/>
      <c r="N904" s="80"/>
      <c r="O904" s="80"/>
      <c r="P904" s="80"/>
      <c r="Q904" s="80"/>
      <c r="R904" s="80"/>
      <c r="S904" s="80"/>
      <c r="T904" s="80"/>
      <c r="U904" s="80"/>
      <c r="V904" s="80"/>
      <c r="W904" s="80"/>
      <c r="X904" s="80"/>
      <c r="Y904" s="80"/>
      <c r="Z904" s="80"/>
    </row>
    <row r="905">
      <c r="A905" s="87"/>
      <c r="B905" s="80"/>
      <c r="C905" s="80"/>
      <c r="D905" s="87"/>
      <c r="E905" s="87"/>
      <c r="F905" s="87"/>
      <c r="G905" s="87"/>
      <c r="H905" s="83"/>
      <c r="I905" s="83"/>
      <c r="J905" s="80"/>
      <c r="K905" s="87"/>
      <c r="L905" s="87"/>
      <c r="M905" s="80"/>
      <c r="N905" s="80"/>
      <c r="O905" s="80"/>
      <c r="P905" s="80"/>
      <c r="Q905" s="80"/>
      <c r="R905" s="80"/>
      <c r="S905" s="80"/>
      <c r="T905" s="80"/>
      <c r="U905" s="80"/>
      <c r="V905" s="80"/>
      <c r="W905" s="80"/>
      <c r="X905" s="80"/>
      <c r="Y905" s="80"/>
      <c r="Z905" s="80"/>
    </row>
    <row r="906">
      <c r="A906" s="87"/>
      <c r="B906" s="80"/>
      <c r="C906" s="80"/>
      <c r="D906" s="87"/>
      <c r="E906" s="87"/>
      <c r="F906" s="87"/>
      <c r="G906" s="87"/>
      <c r="H906" s="83"/>
      <c r="I906" s="83"/>
      <c r="J906" s="80"/>
      <c r="K906" s="87"/>
      <c r="L906" s="87"/>
      <c r="M906" s="80"/>
      <c r="N906" s="80"/>
      <c r="O906" s="80"/>
      <c r="P906" s="80"/>
      <c r="Q906" s="80"/>
      <c r="R906" s="80"/>
      <c r="S906" s="80"/>
      <c r="T906" s="80"/>
      <c r="U906" s="80"/>
      <c r="V906" s="80"/>
      <c r="W906" s="80"/>
      <c r="X906" s="80"/>
      <c r="Y906" s="80"/>
      <c r="Z906" s="80"/>
    </row>
    <row r="907">
      <c r="A907" s="87"/>
      <c r="B907" s="80"/>
      <c r="C907" s="80"/>
      <c r="D907" s="87"/>
      <c r="E907" s="87"/>
      <c r="F907" s="87"/>
      <c r="G907" s="87"/>
      <c r="H907" s="83"/>
      <c r="I907" s="83"/>
      <c r="J907" s="80"/>
      <c r="K907" s="87"/>
      <c r="L907" s="87"/>
      <c r="M907" s="80"/>
      <c r="N907" s="80"/>
      <c r="O907" s="80"/>
      <c r="P907" s="80"/>
      <c r="Q907" s="80"/>
      <c r="R907" s="80"/>
      <c r="S907" s="80"/>
      <c r="T907" s="80"/>
      <c r="U907" s="80"/>
      <c r="V907" s="80"/>
      <c r="W907" s="80"/>
      <c r="X907" s="80"/>
      <c r="Y907" s="80"/>
      <c r="Z907" s="80"/>
    </row>
    <row r="908">
      <c r="A908" s="87"/>
      <c r="B908" s="80"/>
      <c r="C908" s="80"/>
      <c r="D908" s="87"/>
      <c r="E908" s="87"/>
      <c r="F908" s="87"/>
      <c r="G908" s="87"/>
      <c r="H908" s="83"/>
      <c r="I908" s="83"/>
      <c r="J908" s="80"/>
      <c r="K908" s="87"/>
      <c r="L908" s="87"/>
      <c r="M908" s="80"/>
      <c r="N908" s="80"/>
      <c r="O908" s="80"/>
      <c r="P908" s="80"/>
      <c r="Q908" s="80"/>
      <c r="R908" s="80"/>
      <c r="S908" s="80"/>
      <c r="T908" s="80"/>
      <c r="U908" s="80"/>
      <c r="V908" s="80"/>
      <c r="W908" s="80"/>
      <c r="X908" s="80"/>
      <c r="Y908" s="80"/>
      <c r="Z908" s="80"/>
    </row>
    <row r="909">
      <c r="A909" s="87"/>
      <c r="B909" s="80"/>
      <c r="C909" s="80"/>
      <c r="D909" s="87"/>
      <c r="E909" s="87"/>
      <c r="F909" s="87"/>
      <c r="G909" s="87"/>
      <c r="H909" s="83"/>
      <c r="I909" s="83"/>
      <c r="J909" s="80"/>
      <c r="K909" s="87"/>
      <c r="L909" s="87"/>
      <c r="M909" s="80"/>
      <c r="N909" s="80"/>
      <c r="O909" s="80"/>
      <c r="P909" s="80"/>
      <c r="Q909" s="80"/>
      <c r="R909" s="80"/>
      <c r="S909" s="80"/>
      <c r="T909" s="80"/>
      <c r="U909" s="80"/>
      <c r="V909" s="80"/>
      <c r="W909" s="80"/>
      <c r="X909" s="80"/>
      <c r="Y909" s="80"/>
      <c r="Z909" s="80"/>
    </row>
    <row r="910">
      <c r="A910" s="87"/>
      <c r="B910" s="80"/>
      <c r="C910" s="80"/>
      <c r="D910" s="87"/>
      <c r="E910" s="87"/>
      <c r="F910" s="87"/>
      <c r="G910" s="87"/>
      <c r="H910" s="83"/>
      <c r="I910" s="83"/>
      <c r="J910" s="80"/>
      <c r="K910" s="87"/>
      <c r="L910" s="87"/>
      <c r="M910" s="80"/>
      <c r="N910" s="80"/>
      <c r="O910" s="80"/>
      <c r="P910" s="80"/>
      <c r="Q910" s="80"/>
      <c r="R910" s="80"/>
      <c r="S910" s="80"/>
      <c r="T910" s="80"/>
      <c r="U910" s="80"/>
      <c r="V910" s="80"/>
      <c r="W910" s="80"/>
      <c r="X910" s="80"/>
      <c r="Y910" s="80"/>
      <c r="Z910" s="80"/>
    </row>
    <row r="911">
      <c r="A911" s="87"/>
      <c r="B911" s="80"/>
      <c r="C911" s="80"/>
      <c r="D911" s="87"/>
      <c r="E911" s="87"/>
      <c r="F911" s="87"/>
      <c r="G911" s="87"/>
      <c r="H911" s="83"/>
      <c r="I911" s="83"/>
      <c r="J911" s="80"/>
      <c r="K911" s="87"/>
      <c r="L911" s="87"/>
      <c r="M911" s="80"/>
      <c r="N911" s="80"/>
      <c r="O911" s="80"/>
      <c r="P911" s="80"/>
      <c r="Q911" s="80"/>
      <c r="R911" s="80"/>
      <c r="S911" s="80"/>
      <c r="T911" s="80"/>
      <c r="U911" s="80"/>
      <c r="V911" s="80"/>
      <c r="W911" s="80"/>
      <c r="X911" s="80"/>
      <c r="Y911" s="80"/>
      <c r="Z911" s="80"/>
    </row>
    <row r="912">
      <c r="A912" s="87"/>
      <c r="B912" s="80"/>
      <c r="C912" s="80"/>
      <c r="D912" s="87"/>
      <c r="E912" s="87"/>
      <c r="F912" s="87"/>
      <c r="G912" s="87"/>
      <c r="H912" s="83"/>
      <c r="I912" s="83"/>
      <c r="J912" s="80"/>
      <c r="K912" s="87"/>
      <c r="L912" s="87"/>
      <c r="M912" s="80"/>
      <c r="N912" s="80"/>
      <c r="O912" s="80"/>
      <c r="P912" s="80"/>
      <c r="Q912" s="80"/>
      <c r="R912" s="80"/>
      <c r="S912" s="80"/>
      <c r="T912" s="80"/>
      <c r="U912" s="80"/>
      <c r="V912" s="80"/>
      <c r="W912" s="80"/>
      <c r="X912" s="80"/>
      <c r="Y912" s="80"/>
      <c r="Z912" s="80"/>
    </row>
    <row r="913">
      <c r="A913" s="87"/>
      <c r="B913" s="80"/>
      <c r="C913" s="80"/>
      <c r="D913" s="87"/>
      <c r="E913" s="87"/>
      <c r="F913" s="87"/>
      <c r="G913" s="87"/>
      <c r="H913" s="83"/>
      <c r="I913" s="83"/>
      <c r="J913" s="80"/>
      <c r="K913" s="87"/>
      <c r="L913" s="87"/>
      <c r="M913" s="80"/>
      <c r="N913" s="80"/>
      <c r="O913" s="80"/>
      <c r="P913" s="80"/>
      <c r="Q913" s="80"/>
      <c r="R913" s="80"/>
      <c r="S913" s="80"/>
      <c r="T913" s="80"/>
      <c r="U913" s="80"/>
      <c r="V913" s="80"/>
      <c r="W913" s="80"/>
      <c r="X913" s="80"/>
      <c r="Y913" s="80"/>
      <c r="Z913" s="80"/>
    </row>
    <row r="914">
      <c r="A914" s="87"/>
      <c r="B914" s="80"/>
      <c r="C914" s="80"/>
      <c r="D914" s="87"/>
      <c r="E914" s="87"/>
      <c r="F914" s="87"/>
      <c r="G914" s="87"/>
      <c r="H914" s="83"/>
      <c r="I914" s="83"/>
      <c r="J914" s="80"/>
      <c r="K914" s="87"/>
      <c r="L914" s="87"/>
      <c r="M914" s="80"/>
      <c r="N914" s="80"/>
      <c r="O914" s="80"/>
      <c r="P914" s="80"/>
      <c r="Q914" s="80"/>
      <c r="R914" s="80"/>
      <c r="S914" s="80"/>
      <c r="T914" s="80"/>
      <c r="U914" s="80"/>
      <c r="V914" s="80"/>
      <c r="W914" s="80"/>
      <c r="X914" s="80"/>
      <c r="Y914" s="80"/>
      <c r="Z914" s="80"/>
    </row>
    <row r="915">
      <c r="A915" s="87"/>
      <c r="B915" s="80"/>
      <c r="C915" s="80"/>
      <c r="D915" s="87"/>
      <c r="E915" s="87"/>
      <c r="F915" s="87"/>
      <c r="G915" s="87"/>
      <c r="H915" s="83"/>
      <c r="I915" s="83"/>
      <c r="J915" s="80"/>
      <c r="K915" s="87"/>
      <c r="L915" s="87"/>
      <c r="M915" s="80"/>
      <c r="N915" s="80"/>
      <c r="O915" s="80"/>
      <c r="P915" s="80"/>
      <c r="Q915" s="80"/>
      <c r="R915" s="80"/>
      <c r="S915" s="80"/>
      <c r="T915" s="80"/>
      <c r="U915" s="80"/>
      <c r="V915" s="80"/>
      <c r="W915" s="80"/>
      <c r="X915" s="80"/>
      <c r="Y915" s="80"/>
      <c r="Z915" s="80"/>
    </row>
    <row r="916">
      <c r="A916" s="87"/>
      <c r="B916" s="80"/>
      <c r="C916" s="80"/>
      <c r="D916" s="87"/>
      <c r="E916" s="87"/>
      <c r="F916" s="87"/>
      <c r="G916" s="87"/>
      <c r="H916" s="83"/>
      <c r="I916" s="83"/>
      <c r="J916" s="80"/>
      <c r="K916" s="87"/>
      <c r="L916" s="87"/>
      <c r="M916" s="80"/>
      <c r="N916" s="80"/>
      <c r="O916" s="80"/>
      <c r="P916" s="80"/>
      <c r="Q916" s="80"/>
      <c r="R916" s="80"/>
      <c r="S916" s="80"/>
      <c r="T916" s="80"/>
      <c r="U916" s="80"/>
      <c r="V916" s="80"/>
      <c r="W916" s="80"/>
      <c r="X916" s="80"/>
      <c r="Y916" s="80"/>
      <c r="Z916" s="80"/>
    </row>
    <row r="917">
      <c r="A917" s="87"/>
      <c r="B917" s="80"/>
      <c r="C917" s="80"/>
      <c r="D917" s="87"/>
      <c r="E917" s="87"/>
      <c r="F917" s="87"/>
      <c r="G917" s="87"/>
      <c r="H917" s="83"/>
      <c r="I917" s="83"/>
      <c r="J917" s="80"/>
      <c r="K917" s="87"/>
      <c r="L917" s="87"/>
      <c r="M917" s="80"/>
      <c r="N917" s="80"/>
      <c r="O917" s="80"/>
      <c r="P917" s="80"/>
      <c r="Q917" s="80"/>
      <c r="R917" s="80"/>
      <c r="S917" s="80"/>
      <c r="T917" s="80"/>
      <c r="U917" s="80"/>
      <c r="V917" s="80"/>
      <c r="W917" s="80"/>
      <c r="X917" s="80"/>
      <c r="Y917" s="80"/>
      <c r="Z917" s="80"/>
    </row>
    <row r="918">
      <c r="A918" s="87"/>
      <c r="B918" s="80"/>
      <c r="C918" s="80"/>
      <c r="D918" s="87"/>
      <c r="E918" s="87"/>
      <c r="F918" s="87"/>
      <c r="G918" s="87"/>
      <c r="H918" s="83"/>
      <c r="I918" s="83"/>
      <c r="J918" s="80"/>
      <c r="K918" s="87"/>
      <c r="L918" s="87"/>
      <c r="M918" s="80"/>
      <c r="N918" s="80"/>
      <c r="O918" s="80"/>
      <c r="P918" s="80"/>
      <c r="Q918" s="80"/>
      <c r="R918" s="80"/>
      <c r="S918" s="80"/>
      <c r="T918" s="80"/>
      <c r="U918" s="80"/>
      <c r="V918" s="80"/>
      <c r="W918" s="80"/>
      <c r="X918" s="80"/>
      <c r="Y918" s="80"/>
      <c r="Z918" s="80"/>
    </row>
    <row r="919">
      <c r="A919" s="87"/>
      <c r="B919" s="80"/>
      <c r="C919" s="80"/>
      <c r="D919" s="87"/>
      <c r="E919" s="87"/>
      <c r="F919" s="87"/>
      <c r="G919" s="87"/>
      <c r="H919" s="83"/>
      <c r="I919" s="83"/>
      <c r="J919" s="80"/>
      <c r="K919" s="87"/>
      <c r="L919" s="87"/>
      <c r="M919" s="80"/>
      <c r="N919" s="80"/>
      <c r="O919" s="80"/>
      <c r="P919" s="80"/>
      <c r="Q919" s="80"/>
      <c r="R919" s="80"/>
      <c r="S919" s="80"/>
      <c r="T919" s="80"/>
      <c r="U919" s="80"/>
      <c r="V919" s="80"/>
      <c r="W919" s="80"/>
      <c r="X919" s="80"/>
      <c r="Y919" s="80"/>
      <c r="Z919" s="80"/>
    </row>
    <row r="920">
      <c r="A920" s="87"/>
      <c r="B920" s="80"/>
      <c r="C920" s="80"/>
      <c r="D920" s="87"/>
      <c r="E920" s="87"/>
      <c r="F920" s="87"/>
      <c r="G920" s="87"/>
      <c r="H920" s="83"/>
      <c r="I920" s="83"/>
      <c r="J920" s="80"/>
      <c r="K920" s="87"/>
      <c r="L920" s="87"/>
      <c r="M920" s="80"/>
      <c r="N920" s="80"/>
      <c r="O920" s="80"/>
      <c r="P920" s="80"/>
      <c r="Q920" s="80"/>
      <c r="R920" s="80"/>
      <c r="S920" s="80"/>
      <c r="T920" s="80"/>
      <c r="U920" s="80"/>
      <c r="V920" s="80"/>
      <c r="W920" s="80"/>
      <c r="X920" s="80"/>
      <c r="Y920" s="80"/>
      <c r="Z920" s="80"/>
    </row>
    <row r="921">
      <c r="A921" s="87"/>
      <c r="B921" s="80"/>
      <c r="C921" s="80"/>
      <c r="D921" s="87"/>
      <c r="E921" s="87"/>
      <c r="F921" s="87"/>
      <c r="G921" s="87"/>
      <c r="H921" s="83"/>
      <c r="I921" s="83"/>
      <c r="J921" s="80"/>
      <c r="K921" s="87"/>
      <c r="L921" s="87"/>
      <c r="M921" s="80"/>
      <c r="N921" s="80"/>
      <c r="O921" s="80"/>
      <c r="P921" s="80"/>
      <c r="Q921" s="80"/>
      <c r="R921" s="80"/>
      <c r="S921" s="80"/>
      <c r="T921" s="80"/>
      <c r="U921" s="80"/>
      <c r="V921" s="80"/>
      <c r="W921" s="80"/>
      <c r="X921" s="80"/>
      <c r="Y921" s="80"/>
      <c r="Z921" s="80"/>
    </row>
    <row r="922">
      <c r="A922" s="87"/>
      <c r="B922" s="80"/>
      <c r="C922" s="80"/>
      <c r="D922" s="87"/>
      <c r="E922" s="87"/>
      <c r="F922" s="87"/>
      <c r="G922" s="87"/>
      <c r="H922" s="83"/>
      <c r="I922" s="83"/>
      <c r="J922" s="80"/>
      <c r="K922" s="87"/>
      <c r="L922" s="87"/>
      <c r="M922" s="80"/>
      <c r="N922" s="80"/>
      <c r="O922" s="80"/>
      <c r="P922" s="80"/>
      <c r="Q922" s="80"/>
      <c r="R922" s="80"/>
      <c r="S922" s="80"/>
      <c r="T922" s="80"/>
      <c r="U922" s="80"/>
      <c r="V922" s="80"/>
      <c r="W922" s="80"/>
      <c r="X922" s="80"/>
      <c r="Y922" s="80"/>
      <c r="Z922" s="80"/>
    </row>
    <row r="923">
      <c r="A923" s="87"/>
      <c r="B923" s="80"/>
      <c r="C923" s="80"/>
      <c r="D923" s="87"/>
      <c r="E923" s="87"/>
      <c r="F923" s="87"/>
      <c r="G923" s="87"/>
      <c r="H923" s="83"/>
      <c r="I923" s="83"/>
      <c r="J923" s="80"/>
      <c r="K923" s="87"/>
      <c r="L923" s="87"/>
      <c r="M923" s="80"/>
      <c r="N923" s="80"/>
      <c r="O923" s="80"/>
      <c r="P923" s="80"/>
      <c r="Q923" s="80"/>
      <c r="R923" s="80"/>
      <c r="S923" s="80"/>
      <c r="T923" s="80"/>
      <c r="U923" s="80"/>
      <c r="V923" s="80"/>
      <c r="W923" s="80"/>
      <c r="X923" s="80"/>
      <c r="Y923" s="80"/>
      <c r="Z923" s="80"/>
    </row>
    <row r="924">
      <c r="A924" s="87"/>
      <c r="B924" s="80"/>
      <c r="C924" s="80"/>
      <c r="D924" s="87"/>
      <c r="E924" s="87"/>
      <c r="F924" s="87"/>
      <c r="G924" s="87"/>
      <c r="H924" s="83"/>
      <c r="I924" s="83"/>
      <c r="J924" s="80"/>
      <c r="K924" s="87"/>
      <c r="L924" s="87"/>
      <c r="M924" s="80"/>
      <c r="N924" s="80"/>
      <c r="O924" s="80"/>
      <c r="P924" s="80"/>
      <c r="Q924" s="80"/>
      <c r="R924" s="80"/>
      <c r="S924" s="80"/>
      <c r="T924" s="80"/>
      <c r="U924" s="80"/>
      <c r="V924" s="80"/>
      <c r="W924" s="80"/>
      <c r="X924" s="80"/>
      <c r="Y924" s="80"/>
      <c r="Z924" s="80"/>
    </row>
    <row r="925">
      <c r="A925" s="87"/>
      <c r="B925" s="80"/>
      <c r="C925" s="80"/>
      <c r="D925" s="87"/>
      <c r="E925" s="87"/>
      <c r="F925" s="87"/>
      <c r="G925" s="87"/>
      <c r="H925" s="83"/>
      <c r="I925" s="83"/>
      <c r="J925" s="80"/>
      <c r="K925" s="87"/>
      <c r="L925" s="87"/>
      <c r="M925" s="80"/>
      <c r="N925" s="80"/>
      <c r="O925" s="80"/>
      <c r="P925" s="80"/>
      <c r="Q925" s="80"/>
      <c r="R925" s="80"/>
      <c r="S925" s="80"/>
      <c r="T925" s="80"/>
      <c r="U925" s="80"/>
      <c r="V925" s="80"/>
      <c r="W925" s="80"/>
      <c r="X925" s="80"/>
      <c r="Y925" s="80"/>
      <c r="Z925" s="80"/>
    </row>
    <row r="926">
      <c r="A926" s="87"/>
      <c r="B926" s="80"/>
      <c r="C926" s="80"/>
      <c r="D926" s="87"/>
      <c r="E926" s="87"/>
      <c r="F926" s="87"/>
      <c r="G926" s="87"/>
      <c r="H926" s="83"/>
      <c r="I926" s="83"/>
      <c r="J926" s="80"/>
      <c r="K926" s="87"/>
      <c r="L926" s="87"/>
      <c r="M926" s="80"/>
      <c r="N926" s="80"/>
      <c r="O926" s="80"/>
      <c r="P926" s="80"/>
      <c r="Q926" s="80"/>
      <c r="R926" s="80"/>
      <c r="S926" s="80"/>
      <c r="T926" s="80"/>
      <c r="U926" s="80"/>
      <c r="V926" s="80"/>
      <c r="W926" s="80"/>
      <c r="X926" s="80"/>
      <c r="Y926" s="80"/>
      <c r="Z926" s="80"/>
    </row>
    <row r="927">
      <c r="A927" s="87"/>
      <c r="B927" s="80"/>
      <c r="C927" s="80"/>
      <c r="D927" s="87"/>
      <c r="E927" s="87"/>
      <c r="F927" s="87"/>
      <c r="G927" s="87"/>
      <c r="H927" s="83"/>
      <c r="I927" s="83"/>
      <c r="J927" s="80"/>
      <c r="K927" s="87"/>
      <c r="L927" s="87"/>
      <c r="M927" s="80"/>
      <c r="N927" s="80"/>
      <c r="O927" s="80"/>
      <c r="P927" s="80"/>
      <c r="Q927" s="80"/>
      <c r="R927" s="80"/>
      <c r="S927" s="80"/>
      <c r="T927" s="80"/>
      <c r="U927" s="80"/>
      <c r="V927" s="80"/>
      <c r="W927" s="80"/>
      <c r="X927" s="80"/>
      <c r="Y927" s="80"/>
      <c r="Z927" s="80"/>
    </row>
    <row r="928">
      <c r="A928" s="87"/>
      <c r="B928" s="80"/>
      <c r="C928" s="80"/>
      <c r="D928" s="87"/>
      <c r="E928" s="87"/>
      <c r="F928" s="87"/>
      <c r="G928" s="87"/>
      <c r="H928" s="83"/>
      <c r="I928" s="83"/>
      <c r="J928" s="80"/>
      <c r="K928" s="87"/>
      <c r="L928" s="87"/>
      <c r="M928" s="80"/>
      <c r="N928" s="80"/>
      <c r="O928" s="80"/>
      <c r="P928" s="80"/>
      <c r="Q928" s="80"/>
      <c r="R928" s="80"/>
      <c r="S928" s="80"/>
      <c r="T928" s="80"/>
      <c r="U928" s="80"/>
      <c r="V928" s="80"/>
      <c r="W928" s="80"/>
      <c r="X928" s="80"/>
      <c r="Y928" s="80"/>
      <c r="Z928" s="80"/>
    </row>
    <row r="929">
      <c r="A929" s="87"/>
      <c r="B929" s="80"/>
      <c r="C929" s="80"/>
      <c r="D929" s="87"/>
      <c r="E929" s="87"/>
      <c r="F929" s="87"/>
      <c r="G929" s="87"/>
      <c r="H929" s="83"/>
      <c r="I929" s="83"/>
      <c r="J929" s="80"/>
      <c r="K929" s="87"/>
      <c r="L929" s="87"/>
      <c r="M929" s="80"/>
      <c r="N929" s="80"/>
      <c r="O929" s="80"/>
      <c r="P929" s="80"/>
      <c r="Q929" s="80"/>
      <c r="R929" s="80"/>
      <c r="S929" s="80"/>
      <c r="T929" s="80"/>
      <c r="U929" s="80"/>
      <c r="V929" s="80"/>
      <c r="W929" s="80"/>
      <c r="X929" s="80"/>
      <c r="Y929" s="80"/>
      <c r="Z929" s="80"/>
    </row>
    <row r="930">
      <c r="A930" s="87"/>
      <c r="B930" s="80"/>
      <c r="C930" s="80"/>
      <c r="D930" s="87"/>
      <c r="E930" s="87"/>
      <c r="F930" s="87"/>
      <c r="G930" s="87"/>
      <c r="H930" s="83"/>
      <c r="I930" s="83"/>
      <c r="J930" s="80"/>
      <c r="K930" s="87"/>
      <c r="L930" s="87"/>
      <c r="M930" s="80"/>
      <c r="N930" s="80"/>
      <c r="O930" s="80"/>
      <c r="P930" s="80"/>
      <c r="Q930" s="80"/>
      <c r="R930" s="80"/>
      <c r="S930" s="80"/>
      <c r="T930" s="80"/>
      <c r="U930" s="80"/>
      <c r="V930" s="80"/>
      <c r="W930" s="80"/>
      <c r="X930" s="80"/>
      <c r="Y930" s="80"/>
      <c r="Z930" s="80"/>
    </row>
    <row r="931">
      <c r="A931" s="87"/>
      <c r="B931" s="80"/>
      <c r="C931" s="80"/>
      <c r="D931" s="87"/>
      <c r="E931" s="87"/>
      <c r="F931" s="87"/>
      <c r="G931" s="87"/>
      <c r="H931" s="83"/>
      <c r="I931" s="83"/>
      <c r="J931" s="80"/>
      <c r="K931" s="87"/>
      <c r="L931" s="87"/>
      <c r="M931" s="80"/>
      <c r="N931" s="80"/>
      <c r="O931" s="80"/>
      <c r="P931" s="80"/>
      <c r="Q931" s="80"/>
      <c r="R931" s="80"/>
      <c r="S931" s="80"/>
      <c r="T931" s="80"/>
      <c r="U931" s="80"/>
      <c r="V931" s="80"/>
      <c r="W931" s="80"/>
      <c r="X931" s="80"/>
      <c r="Y931" s="80"/>
      <c r="Z931" s="80"/>
    </row>
    <row r="932">
      <c r="A932" s="87"/>
      <c r="B932" s="80"/>
      <c r="C932" s="80"/>
      <c r="D932" s="87"/>
      <c r="E932" s="87"/>
      <c r="F932" s="87"/>
      <c r="G932" s="87"/>
      <c r="H932" s="83"/>
      <c r="I932" s="83"/>
      <c r="J932" s="80"/>
      <c r="K932" s="87"/>
      <c r="L932" s="87"/>
      <c r="M932" s="80"/>
      <c r="N932" s="80"/>
      <c r="O932" s="80"/>
      <c r="P932" s="80"/>
      <c r="Q932" s="80"/>
      <c r="R932" s="80"/>
      <c r="S932" s="80"/>
      <c r="T932" s="80"/>
      <c r="U932" s="80"/>
      <c r="V932" s="80"/>
      <c r="W932" s="80"/>
      <c r="X932" s="80"/>
      <c r="Y932" s="80"/>
      <c r="Z932" s="80"/>
    </row>
    <row r="933">
      <c r="A933" s="87"/>
      <c r="B933" s="80"/>
      <c r="C933" s="80"/>
      <c r="D933" s="87"/>
      <c r="E933" s="87"/>
      <c r="F933" s="87"/>
      <c r="G933" s="87"/>
      <c r="H933" s="83"/>
      <c r="I933" s="83"/>
      <c r="J933" s="80"/>
      <c r="K933" s="87"/>
      <c r="L933" s="87"/>
      <c r="M933" s="80"/>
      <c r="N933" s="80"/>
      <c r="O933" s="80"/>
      <c r="P933" s="80"/>
      <c r="Q933" s="80"/>
      <c r="R933" s="80"/>
      <c r="S933" s="80"/>
      <c r="T933" s="80"/>
      <c r="U933" s="80"/>
      <c r="V933" s="80"/>
      <c r="W933" s="80"/>
      <c r="X933" s="80"/>
      <c r="Y933" s="80"/>
      <c r="Z933" s="80"/>
    </row>
    <row r="934">
      <c r="A934" s="87"/>
      <c r="B934" s="80"/>
      <c r="C934" s="80"/>
      <c r="D934" s="87"/>
      <c r="E934" s="87"/>
      <c r="F934" s="87"/>
      <c r="G934" s="87"/>
      <c r="H934" s="83"/>
      <c r="I934" s="83"/>
      <c r="J934" s="80"/>
      <c r="K934" s="87"/>
      <c r="L934" s="87"/>
      <c r="M934" s="80"/>
      <c r="N934" s="80"/>
      <c r="O934" s="80"/>
      <c r="P934" s="80"/>
      <c r="Q934" s="80"/>
      <c r="R934" s="80"/>
      <c r="S934" s="80"/>
      <c r="T934" s="80"/>
      <c r="U934" s="80"/>
      <c r="V934" s="80"/>
      <c r="W934" s="80"/>
      <c r="X934" s="80"/>
      <c r="Y934" s="80"/>
      <c r="Z934" s="80"/>
    </row>
    <row r="935">
      <c r="A935" s="87"/>
      <c r="B935" s="80"/>
      <c r="C935" s="80"/>
      <c r="D935" s="87"/>
      <c r="E935" s="87"/>
      <c r="F935" s="87"/>
      <c r="G935" s="87"/>
      <c r="H935" s="83"/>
      <c r="I935" s="83"/>
      <c r="J935" s="80"/>
      <c r="K935" s="87"/>
      <c r="L935" s="87"/>
      <c r="M935" s="80"/>
      <c r="N935" s="80"/>
      <c r="O935" s="80"/>
      <c r="P935" s="80"/>
      <c r="Q935" s="80"/>
      <c r="R935" s="80"/>
      <c r="S935" s="80"/>
      <c r="T935" s="80"/>
      <c r="U935" s="80"/>
      <c r="V935" s="80"/>
      <c r="W935" s="80"/>
      <c r="X935" s="80"/>
      <c r="Y935" s="80"/>
      <c r="Z935" s="80"/>
    </row>
    <row r="936">
      <c r="A936" s="87"/>
      <c r="B936" s="80"/>
      <c r="C936" s="80"/>
      <c r="D936" s="87"/>
      <c r="E936" s="87"/>
      <c r="F936" s="87"/>
      <c r="G936" s="87"/>
      <c r="H936" s="83"/>
      <c r="I936" s="83"/>
      <c r="J936" s="80"/>
      <c r="K936" s="87"/>
      <c r="L936" s="87"/>
      <c r="M936" s="80"/>
      <c r="N936" s="80"/>
      <c r="O936" s="80"/>
      <c r="P936" s="80"/>
      <c r="Q936" s="80"/>
      <c r="R936" s="80"/>
      <c r="S936" s="80"/>
      <c r="T936" s="80"/>
      <c r="U936" s="80"/>
      <c r="V936" s="80"/>
      <c r="W936" s="80"/>
      <c r="X936" s="80"/>
      <c r="Y936" s="80"/>
      <c r="Z936" s="80"/>
    </row>
    <row r="937">
      <c r="A937" s="87"/>
      <c r="B937" s="80"/>
      <c r="C937" s="80"/>
      <c r="D937" s="87"/>
      <c r="E937" s="87"/>
      <c r="F937" s="87"/>
      <c r="G937" s="87"/>
      <c r="H937" s="83"/>
      <c r="I937" s="83"/>
      <c r="J937" s="80"/>
      <c r="K937" s="87"/>
      <c r="L937" s="87"/>
      <c r="M937" s="80"/>
      <c r="N937" s="80"/>
      <c r="O937" s="80"/>
      <c r="P937" s="80"/>
      <c r="Q937" s="80"/>
      <c r="R937" s="80"/>
      <c r="S937" s="80"/>
      <c r="T937" s="80"/>
      <c r="U937" s="80"/>
      <c r="V937" s="80"/>
      <c r="W937" s="80"/>
      <c r="X937" s="80"/>
      <c r="Y937" s="80"/>
      <c r="Z937" s="80"/>
    </row>
    <row r="938">
      <c r="A938" s="87"/>
      <c r="B938" s="80"/>
      <c r="C938" s="80"/>
      <c r="D938" s="87"/>
      <c r="E938" s="87"/>
      <c r="F938" s="87"/>
      <c r="G938" s="87"/>
      <c r="H938" s="83"/>
      <c r="I938" s="83"/>
      <c r="J938" s="80"/>
      <c r="K938" s="87"/>
      <c r="L938" s="87"/>
      <c r="M938" s="80"/>
      <c r="N938" s="80"/>
      <c r="O938" s="80"/>
      <c r="P938" s="80"/>
      <c r="Q938" s="80"/>
      <c r="R938" s="80"/>
      <c r="S938" s="80"/>
      <c r="T938" s="80"/>
      <c r="U938" s="80"/>
      <c r="V938" s="80"/>
      <c r="W938" s="80"/>
      <c r="X938" s="80"/>
      <c r="Y938" s="80"/>
      <c r="Z938" s="80"/>
    </row>
    <row r="939">
      <c r="A939" s="87"/>
      <c r="B939" s="80"/>
      <c r="C939" s="80"/>
      <c r="D939" s="87"/>
      <c r="E939" s="87"/>
      <c r="F939" s="87"/>
      <c r="G939" s="87"/>
      <c r="H939" s="83"/>
      <c r="I939" s="83"/>
      <c r="J939" s="80"/>
      <c r="K939" s="87"/>
      <c r="L939" s="87"/>
      <c r="M939" s="80"/>
      <c r="N939" s="80"/>
      <c r="O939" s="80"/>
      <c r="P939" s="80"/>
      <c r="Q939" s="80"/>
      <c r="R939" s="80"/>
      <c r="S939" s="80"/>
      <c r="T939" s="80"/>
      <c r="U939" s="80"/>
      <c r="V939" s="80"/>
      <c r="W939" s="80"/>
      <c r="X939" s="80"/>
      <c r="Y939" s="80"/>
      <c r="Z939" s="80"/>
    </row>
    <row r="940">
      <c r="A940" s="87"/>
      <c r="B940" s="80"/>
      <c r="C940" s="80"/>
      <c r="D940" s="87"/>
      <c r="E940" s="87"/>
      <c r="F940" s="87"/>
      <c r="G940" s="87"/>
      <c r="H940" s="83"/>
      <c r="I940" s="83"/>
      <c r="J940" s="80"/>
      <c r="K940" s="87"/>
      <c r="L940" s="87"/>
      <c r="M940" s="80"/>
      <c r="N940" s="80"/>
      <c r="O940" s="80"/>
      <c r="P940" s="80"/>
      <c r="Q940" s="80"/>
      <c r="R940" s="80"/>
      <c r="S940" s="80"/>
      <c r="T940" s="80"/>
      <c r="U940" s="80"/>
      <c r="V940" s="80"/>
      <c r="W940" s="80"/>
      <c r="X940" s="80"/>
      <c r="Y940" s="80"/>
      <c r="Z940" s="80"/>
    </row>
    <row r="941">
      <c r="A941" s="87"/>
      <c r="B941" s="80"/>
      <c r="C941" s="80"/>
      <c r="D941" s="87"/>
      <c r="E941" s="87"/>
      <c r="F941" s="87"/>
      <c r="G941" s="87"/>
      <c r="H941" s="83"/>
      <c r="I941" s="83"/>
      <c r="J941" s="80"/>
      <c r="K941" s="87"/>
      <c r="L941" s="87"/>
      <c r="M941" s="80"/>
      <c r="N941" s="80"/>
      <c r="O941" s="80"/>
      <c r="P941" s="80"/>
      <c r="Q941" s="80"/>
      <c r="R941" s="80"/>
      <c r="S941" s="80"/>
      <c r="T941" s="80"/>
      <c r="U941" s="80"/>
      <c r="V941" s="80"/>
      <c r="W941" s="80"/>
      <c r="X941" s="80"/>
      <c r="Y941" s="80"/>
      <c r="Z941" s="80"/>
    </row>
    <row r="942">
      <c r="A942" s="87"/>
      <c r="B942" s="80"/>
      <c r="C942" s="80"/>
      <c r="D942" s="87"/>
      <c r="E942" s="87"/>
      <c r="F942" s="87"/>
      <c r="G942" s="87"/>
      <c r="H942" s="83"/>
      <c r="I942" s="83"/>
      <c r="J942" s="80"/>
      <c r="K942" s="87"/>
      <c r="L942" s="87"/>
      <c r="M942" s="80"/>
      <c r="N942" s="80"/>
      <c r="O942" s="80"/>
      <c r="P942" s="80"/>
      <c r="Q942" s="80"/>
      <c r="R942" s="80"/>
      <c r="S942" s="80"/>
      <c r="T942" s="80"/>
      <c r="U942" s="80"/>
      <c r="V942" s="80"/>
      <c r="W942" s="80"/>
      <c r="X942" s="80"/>
      <c r="Y942" s="80"/>
      <c r="Z942" s="80"/>
    </row>
    <row r="943">
      <c r="A943" s="87"/>
      <c r="B943" s="80"/>
      <c r="C943" s="80"/>
      <c r="D943" s="87"/>
      <c r="E943" s="87"/>
      <c r="F943" s="87"/>
      <c r="G943" s="87"/>
      <c r="H943" s="83"/>
      <c r="I943" s="83"/>
      <c r="J943" s="80"/>
      <c r="K943" s="87"/>
      <c r="L943" s="87"/>
      <c r="M943" s="80"/>
      <c r="N943" s="80"/>
      <c r="O943" s="80"/>
      <c r="P943" s="80"/>
      <c r="Q943" s="80"/>
      <c r="R943" s="80"/>
      <c r="S943" s="80"/>
      <c r="T943" s="80"/>
      <c r="U943" s="80"/>
      <c r="V943" s="80"/>
      <c r="W943" s="80"/>
      <c r="X943" s="80"/>
      <c r="Y943" s="80"/>
      <c r="Z943" s="80"/>
    </row>
    <row r="944">
      <c r="A944" s="87"/>
      <c r="B944" s="80"/>
      <c r="C944" s="80"/>
      <c r="D944" s="87"/>
      <c r="E944" s="87"/>
      <c r="F944" s="87"/>
      <c r="G944" s="87"/>
      <c r="H944" s="83"/>
      <c r="I944" s="83"/>
      <c r="J944" s="80"/>
      <c r="K944" s="87"/>
      <c r="L944" s="87"/>
      <c r="M944" s="80"/>
      <c r="N944" s="80"/>
      <c r="O944" s="80"/>
      <c r="P944" s="80"/>
      <c r="Q944" s="80"/>
      <c r="R944" s="80"/>
      <c r="S944" s="80"/>
      <c r="T944" s="80"/>
      <c r="U944" s="80"/>
      <c r="V944" s="80"/>
      <c r="W944" s="80"/>
      <c r="X944" s="80"/>
      <c r="Y944" s="80"/>
      <c r="Z944" s="80"/>
    </row>
    <row r="945">
      <c r="A945" s="87"/>
      <c r="B945" s="80"/>
      <c r="C945" s="80"/>
      <c r="D945" s="87"/>
      <c r="E945" s="87"/>
      <c r="F945" s="87"/>
      <c r="G945" s="87"/>
      <c r="H945" s="83"/>
      <c r="I945" s="83"/>
      <c r="J945" s="80"/>
      <c r="K945" s="87"/>
      <c r="L945" s="87"/>
      <c r="M945" s="80"/>
      <c r="N945" s="80"/>
      <c r="O945" s="80"/>
      <c r="P945" s="80"/>
      <c r="Q945" s="80"/>
      <c r="R945" s="80"/>
      <c r="S945" s="80"/>
      <c r="T945" s="80"/>
      <c r="U945" s="80"/>
      <c r="V945" s="80"/>
      <c r="W945" s="80"/>
      <c r="X945" s="80"/>
      <c r="Y945" s="80"/>
      <c r="Z945" s="80"/>
    </row>
    <row r="946">
      <c r="A946" s="87"/>
      <c r="B946" s="80"/>
      <c r="C946" s="80"/>
      <c r="D946" s="87"/>
      <c r="E946" s="87"/>
      <c r="F946" s="87"/>
      <c r="G946" s="87"/>
      <c r="H946" s="83"/>
      <c r="I946" s="83"/>
      <c r="J946" s="80"/>
      <c r="K946" s="87"/>
      <c r="L946" s="87"/>
      <c r="M946" s="80"/>
      <c r="N946" s="80"/>
      <c r="O946" s="80"/>
      <c r="P946" s="80"/>
      <c r="Q946" s="80"/>
      <c r="R946" s="80"/>
      <c r="S946" s="80"/>
      <c r="T946" s="80"/>
      <c r="U946" s="80"/>
      <c r="V946" s="80"/>
      <c r="W946" s="80"/>
      <c r="X946" s="80"/>
      <c r="Y946" s="80"/>
      <c r="Z946" s="80"/>
    </row>
    <row r="947">
      <c r="A947" s="87"/>
      <c r="B947" s="80"/>
      <c r="C947" s="80"/>
      <c r="D947" s="87"/>
      <c r="E947" s="87"/>
      <c r="F947" s="87"/>
      <c r="G947" s="87"/>
      <c r="H947" s="83"/>
      <c r="I947" s="83"/>
      <c r="J947" s="80"/>
      <c r="K947" s="87"/>
      <c r="L947" s="87"/>
      <c r="M947" s="80"/>
      <c r="N947" s="80"/>
      <c r="O947" s="80"/>
      <c r="P947" s="80"/>
      <c r="Q947" s="80"/>
      <c r="R947" s="80"/>
      <c r="S947" s="80"/>
      <c r="T947" s="80"/>
      <c r="U947" s="80"/>
      <c r="V947" s="80"/>
      <c r="W947" s="80"/>
      <c r="X947" s="80"/>
      <c r="Y947" s="80"/>
      <c r="Z947" s="80"/>
    </row>
    <row r="948">
      <c r="A948" s="87"/>
      <c r="B948" s="80"/>
      <c r="C948" s="80"/>
      <c r="D948" s="87"/>
      <c r="E948" s="87"/>
      <c r="F948" s="87"/>
      <c r="G948" s="87"/>
      <c r="H948" s="83"/>
      <c r="I948" s="83"/>
      <c r="J948" s="80"/>
      <c r="K948" s="87"/>
      <c r="L948" s="87"/>
      <c r="M948" s="80"/>
      <c r="N948" s="80"/>
      <c r="O948" s="80"/>
      <c r="P948" s="80"/>
      <c r="Q948" s="80"/>
      <c r="R948" s="80"/>
      <c r="S948" s="80"/>
      <c r="T948" s="80"/>
      <c r="U948" s="80"/>
      <c r="V948" s="80"/>
      <c r="W948" s="80"/>
      <c r="X948" s="80"/>
      <c r="Y948" s="80"/>
      <c r="Z948" s="80"/>
    </row>
    <row r="949">
      <c r="A949" s="87"/>
      <c r="B949" s="80"/>
      <c r="C949" s="80"/>
      <c r="D949" s="87"/>
      <c r="E949" s="87"/>
      <c r="F949" s="87"/>
      <c r="G949" s="87"/>
      <c r="H949" s="83"/>
      <c r="I949" s="83"/>
      <c r="J949" s="80"/>
      <c r="K949" s="87"/>
      <c r="L949" s="87"/>
      <c r="M949" s="80"/>
      <c r="N949" s="80"/>
      <c r="O949" s="80"/>
      <c r="P949" s="80"/>
      <c r="Q949" s="80"/>
      <c r="R949" s="80"/>
      <c r="S949" s="80"/>
      <c r="T949" s="80"/>
      <c r="U949" s="80"/>
      <c r="V949" s="80"/>
      <c r="W949" s="80"/>
      <c r="X949" s="80"/>
      <c r="Y949" s="80"/>
      <c r="Z949" s="80"/>
    </row>
    <row r="950">
      <c r="A950" s="87"/>
      <c r="B950" s="80"/>
      <c r="C950" s="80"/>
      <c r="D950" s="87"/>
      <c r="E950" s="87"/>
      <c r="F950" s="87"/>
      <c r="G950" s="87"/>
      <c r="H950" s="83"/>
      <c r="I950" s="83"/>
      <c r="J950" s="80"/>
      <c r="K950" s="87"/>
      <c r="L950" s="87"/>
      <c r="M950" s="80"/>
      <c r="N950" s="80"/>
      <c r="O950" s="80"/>
      <c r="P950" s="80"/>
      <c r="Q950" s="80"/>
      <c r="R950" s="80"/>
      <c r="S950" s="80"/>
      <c r="T950" s="80"/>
      <c r="U950" s="80"/>
      <c r="V950" s="80"/>
      <c r="W950" s="80"/>
      <c r="X950" s="80"/>
      <c r="Y950" s="80"/>
      <c r="Z950" s="80"/>
    </row>
    <row r="951">
      <c r="A951" s="87"/>
      <c r="B951" s="80"/>
      <c r="C951" s="80"/>
      <c r="D951" s="87"/>
      <c r="E951" s="87"/>
      <c r="F951" s="87"/>
      <c r="G951" s="87"/>
      <c r="H951" s="83"/>
      <c r="I951" s="83"/>
      <c r="J951" s="80"/>
      <c r="K951" s="87"/>
      <c r="L951" s="87"/>
      <c r="M951" s="80"/>
      <c r="N951" s="80"/>
      <c r="O951" s="80"/>
      <c r="P951" s="80"/>
      <c r="Q951" s="80"/>
      <c r="R951" s="80"/>
      <c r="S951" s="80"/>
      <c r="T951" s="80"/>
      <c r="U951" s="80"/>
      <c r="V951" s="80"/>
      <c r="W951" s="80"/>
      <c r="X951" s="80"/>
      <c r="Y951" s="80"/>
      <c r="Z951" s="80"/>
    </row>
    <row r="952">
      <c r="A952" s="87"/>
      <c r="B952" s="80"/>
      <c r="C952" s="80"/>
      <c r="D952" s="87"/>
      <c r="E952" s="87"/>
      <c r="F952" s="87"/>
      <c r="G952" s="87"/>
      <c r="H952" s="83"/>
      <c r="I952" s="83"/>
      <c r="J952" s="80"/>
      <c r="K952" s="87"/>
      <c r="L952" s="87"/>
      <c r="M952" s="80"/>
      <c r="N952" s="80"/>
      <c r="O952" s="80"/>
      <c r="P952" s="80"/>
      <c r="Q952" s="80"/>
      <c r="R952" s="80"/>
      <c r="S952" s="80"/>
      <c r="T952" s="80"/>
      <c r="U952" s="80"/>
      <c r="V952" s="80"/>
      <c r="W952" s="80"/>
      <c r="X952" s="80"/>
      <c r="Y952" s="80"/>
      <c r="Z952" s="80"/>
    </row>
    <row r="953">
      <c r="A953" s="87"/>
      <c r="B953" s="80"/>
      <c r="C953" s="80"/>
      <c r="D953" s="87"/>
      <c r="E953" s="87"/>
      <c r="F953" s="87"/>
      <c r="G953" s="87"/>
      <c r="H953" s="83"/>
      <c r="I953" s="83"/>
      <c r="J953" s="80"/>
      <c r="K953" s="87"/>
      <c r="L953" s="87"/>
      <c r="M953" s="80"/>
      <c r="N953" s="80"/>
      <c r="O953" s="80"/>
      <c r="P953" s="80"/>
      <c r="Q953" s="80"/>
      <c r="R953" s="80"/>
      <c r="S953" s="80"/>
      <c r="T953" s="80"/>
      <c r="U953" s="80"/>
      <c r="V953" s="80"/>
      <c r="W953" s="80"/>
      <c r="X953" s="80"/>
      <c r="Y953" s="80"/>
      <c r="Z953" s="80"/>
    </row>
    <row r="954">
      <c r="A954" s="87"/>
      <c r="B954" s="80"/>
      <c r="C954" s="80"/>
      <c r="D954" s="87"/>
      <c r="E954" s="87"/>
      <c r="F954" s="87"/>
      <c r="G954" s="87"/>
      <c r="H954" s="83"/>
      <c r="I954" s="83"/>
      <c r="J954" s="80"/>
      <c r="K954" s="87"/>
      <c r="L954" s="87"/>
      <c r="M954" s="80"/>
      <c r="N954" s="80"/>
      <c r="O954" s="80"/>
      <c r="P954" s="80"/>
      <c r="Q954" s="80"/>
      <c r="R954" s="80"/>
      <c r="S954" s="80"/>
      <c r="T954" s="80"/>
      <c r="U954" s="80"/>
      <c r="V954" s="80"/>
      <c r="W954" s="80"/>
      <c r="X954" s="80"/>
      <c r="Y954" s="80"/>
      <c r="Z954" s="80"/>
    </row>
    <row r="955">
      <c r="A955" s="87"/>
      <c r="B955" s="80"/>
      <c r="C955" s="80"/>
      <c r="D955" s="87"/>
      <c r="E955" s="87"/>
      <c r="F955" s="87"/>
      <c r="G955" s="87"/>
      <c r="H955" s="83"/>
      <c r="I955" s="83"/>
      <c r="J955" s="80"/>
      <c r="K955" s="87"/>
      <c r="L955" s="87"/>
      <c r="M955" s="80"/>
      <c r="N955" s="80"/>
      <c r="O955" s="80"/>
      <c r="P955" s="80"/>
      <c r="Q955" s="80"/>
      <c r="R955" s="80"/>
      <c r="S955" s="80"/>
      <c r="T955" s="80"/>
      <c r="U955" s="80"/>
      <c r="V955" s="80"/>
      <c r="W955" s="80"/>
      <c r="X955" s="80"/>
      <c r="Y955" s="80"/>
      <c r="Z955" s="80"/>
    </row>
    <row r="956">
      <c r="A956" s="87"/>
      <c r="B956" s="80"/>
      <c r="C956" s="80"/>
      <c r="D956" s="87"/>
      <c r="E956" s="87"/>
      <c r="F956" s="87"/>
      <c r="G956" s="87"/>
      <c r="H956" s="83"/>
      <c r="I956" s="83"/>
      <c r="J956" s="80"/>
      <c r="K956" s="87"/>
      <c r="L956" s="87"/>
      <c r="M956" s="80"/>
      <c r="N956" s="80"/>
      <c r="O956" s="80"/>
      <c r="P956" s="80"/>
      <c r="Q956" s="80"/>
      <c r="R956" s="80"/>
      <c r="S956" s="80"/>
      <c r="T956" s="80"/>
      <c r="U956" s="80"/>
      <c r="V956" s="80"/>
      <c r="W956" s="80"/>
      <c r="X956" s="80"/>
      <c r="Y956" s="80"/>
      <c r="Z956" s="80"/>
    </row>
    <row r="957">
      <c r="A957" s="87"/>
      <c r="B957" s="80"/>
      <c r="C957" s="80"/>
      <c r="D957" s="87"/>
      <c r="E957" s="87"/>
      <c r="F957" s="87"/>
      <c r="G957" s="87"/>
      <c r="H957" s="83"/>
      <c r="I957" s="83"/>
      <c r="J957" s="80"/>
      <c r="K957" s="87"/>
      <c r="L957" s="87"/>
      <c r="M957" s="80"/>
      <c r="N957" s="80"/>
      <c r="O957" s="80"/>
      <c r="P957" s="80"/>
      <c r="Q957" s="80"/>
      <c r="R957" s="80"/>
      <c r="S957" s="80"/>
      <c r="T957" s="80"/>
      <c r="U957" s="80"/>
      <c r="V957" s="80"/>
      <c r="W957" s="80"/>
      <c r="X957" s="80"/>
      <c r="Y957" s="80"/>
      <c r="Z957" s="80"/>
    </row>
    <row r="958">
      <c r="A958" s="87"/>
      <c r="B958" s="80"/>
      <c r="C958" s="80"/>
      <c r="D958" s="87"/>
      <c r="E958" s="87"/>
      <c r="F958" s="87"/>
      <c r="G958" s="87"/>
      <c r="H958" s="83"/>
      <c r="I958" s="83"/>
      <c r="J958" s="80"/>
      <c r="K958" s="87"/>
      <c r="L958" s="87"/>
      <c r="M958" s="80"/>
      <c r="N958" s="80"/>
      <c r="O958" s="80"/>
      <c r="P958" s="80"/>
      <c r="Q958" s="80"/>
      <c r="R958" s="80"/>
      <c r="S958" s="80"/>
      <c r="T958" s="80"/>
      <c r="U958" s="80"/>
      <c r="V958" s="80"/>
      <c r="W958" s="80"/>
      <c r="X958" s="80"/>
      <c r="Y958" s="80"/>
      <c r="Z958" s="80"/>
    </row>
    <row r="959">
      <c r="A959" s="87"/>
      <c r="B959" s="80"/>
      <c r="C959" s="80"/>
      <c r="D959" s="87"/>
      <c r="E959" s="87"/>
      <c r="F959" s="87"/>
      <c r="G959" s="87"/>
      <c r="H959" s="83"/>
      <c r="I959" s="83"/>
      <c r="J959" s="80"/>
      <c r="K959" s="87"/>
      <c r="L959" s="87"/>
      <c r="M959" s="80"/>
      <c r="N959" s="80"/>
      <c r="O959" s="80"/>
      <c r="P959" s="80"/>
      <c r="Q959" s="80"/>
      <c r="R959" s="80"/>
      <c r="S959" s="80"/>
      <c r="T959" s="80"/>
      <c r="U959" s="80"/>
      <c r="V959" s="80"/>
      <c r="W959" s="80"/>
      <c r="X959" s="80"/>
      <c r="Y959" s="80"/>
      <c r="Z959" s="80"/>
    </row>
    <row r="960">
      <c r="A960" s="87"/>
      <c r="B960" s="80"/>
      <c r="C960" s="80"/>
      <c r="D960" s="87"/>
      <c r="E960" s="87"/>
      <c r="F960" s="87"/>
      <c r="G960" s="87"/>
      <c r="H960" s="83"/>
      <c r="I960" s="83"/>
      <c r="J960" s="80"/>
      <c r="K960" s="87"/>
      <c r="L960" s="87"/>
      <c r="M960" s="80"/>
      <c r="N960" s="80"/>
      <c r="O960" s="80"/>
      <c r="P960" s="80"/>
      <c r="Q960" s="80"/>
      <c r="R960" s="80"/>
      <c r="S960" s="80"/>
      <c r="T960" s="80"/>
      <c r="U960" s="80"/>
      <c r="V960" s="80"/>
      <c r="W960" s="80"/>
      <c r="X960" s="80"/>
      <c r="Y960" s="80"/>
      <c r="Z960" s="80"/>
    </row>
    <row r="961">
      <c r="A961" s="87"/>
      <c r="B961" s="80"/>
      <c r="C961" s="80"/>
      <c r="D961" s="87"/>
      <c r="E961" s="87"/>
      <c r="F961" s="87"/>
      <c r="G961" s="87"/>
      <c r="H961" s="83"/>
      <c r="I961" s="83"/>
      <c r="J961" s="80"/>
      <c r="K961" s="87"/>
      <c r="L961" s="87"/>
      <c r="M961" s="80"/>
      <c r="N961" s="80"/>
      <c r="O961" s="80"/>
      <c r="P961" s="80"/>
      <c r="Q961" s="80"/>
      <c r="R961" s="80"/>
      <c r="S961" s="80"/>
      <c r="T961" s="80"/>
      <c r="U961" s="80"/>
      <c r="V961" s="80"/>
      <c r="W961" s="80"/>
      <c r="X961" s="80"/>
      <c r="Y961" s="80"/>
      <c r="Z961" s="80"/>
    </row>
    <row r="962">
      <c r="A962" s="87"/>
      <c r="B962" s="80"/>
      <c r="C962" s="80"/>
      <c r="D962" s="87"/>
      <c r="E962" s="87"/>
      <c r="F962" s="87"/>
      <c r="G962" s="87"/>
      <c r="H962" s="83"/>
      <c r="I962" s="83"/>
      <c r="J962" s="80"/>
      <c r="K962" s="87"/>
      <c r="L962" s="87"/>
      <c r="M962" s="80"/>
      <c r="N962" s="80"/>
      <c r="O962" s="80"/>
      <c r="P962" s="80"/>
      <c r="Q962" s="80"/>
      <c r="R962" s="80"/>
      <c r="S962" s="80"/>
      <c r="T962" s="80"/>
      <c r="U962" s="80"/>
      <c r="V962" s="80"/>
      <c r="W962" s="80"/>
      <c r="X962" s="80"/>
      <c r="Y962" s="80"/>
      <c r="Z962" s="80"/>
    </row>
    <row r="963">
      <c r="A963" s="87"/>
      <c r="B963" s="80"/>
      <c r="C963" s="80"/>
      <c r="D963" s="87"/>
      <c r="E963" s="87"/>
      <c r="F963" s="87"/>
      <c r="G963" s="87"/>
      <c r="H963" s="83"/>
      <c r="I963" s="83"/>
      <c r="J963" s="80"/>
      <c r="K963" s="87"/>
      <c r="L963" s="87"/>
      <c r="M963" s="80"/>
      <c r="N963" s="80"/>
      <c r="O963" s="80"/>
      <c r="P963" s="80"/>
      <c r="Q963" s="80"/>
      <c r="R963" s="80"/>
      <c r="S963" s="80"/>
      <c r="T963" s="80"/>
      <c r="U963" s="80"/>
      <c r="V963" s="80"/>
      <c r="W963" s="80"/>
      <c r="X963" s="80"/>
      <c r="Y963" s="80"/>
      <c r="Z963" s="80"/>
    </row>
    <row r="964">
      <c r="A964" s="87"/>
      <c r="B964" s="80"/>
      <c r="C964" s="80"/>
      <c r="D964" s="87"/>
      <c r="E964" s="87"/>
      <c r="F964" s="87"/>
      <c r="G964" s="87"/>
      <c r="H964" s="83"/>
      <c r="I964" s="83"/>
      <c r="J964" s="80"/>
      <c r="K964" s="87"/>
      <c r="L964" s="87"/>
      <c r="M964" s="80"/>
      <c r="N964" s="80"/>
      <c r="O964" s="80"/>
      <c r="P964" s="80"/>
      <c r="Q964" s="80"/>
      <c r="R964" s="80"/>
      <c r="S964" s="80"/>
      <c r="T964" s="80"/>
      <c r="U964" s="80"/>
      <c r="V964" s="80"/>
      <c r="W964" s="80"/>
      <c r="X964" s="80"/>
      <c r="Y964" s="80"/>
      <c r="Z964" s="80"/>
    </row>
    <row r="965">
      <c r="A965" s="87"/>
      <c r="B965" s="80"/>
      <c r="C965" s="80"/>
      <c r="D965" s="87"/>
      <c r="E965" s="87"/>
      <c r="F965" s="87"/>
      <c r="G965" s="87"/>
      <c r="H965" s="83"/>
      <c r="I965" s="83"/>
      <c r="J965" s="80"/>
      <c r="K965" s="87"/>
      <c r="L965" s="87"/>
      <c r="M965" s="80"/>
      <c r="N965" s="80"/>
      <c r="O965" s="80"/>
      <c r="P965" s="80"/>
      <c r="Q965" s="80"/>
      <c r="R965" s="80"/>
      <c r="S965" s="80"/>
      <c r="T965" s="80"/>
      <c r="U965" s="80"/>
      <c r="V965" s="80"/>
      <c r="W965" s="80"/>
      <c r="X965" s="80"/>
      <c r="Y965" s="80"/>
      <c r="Z965" s="80"/>
    </row>
    <row r="966">
      <c r="A966" s="87"/>
      <c r="B966" s="80"/>
      <c r="C966" s="80"/>
      <c r="D966" s="87"/>
      <c r="E966" s="87"/>
      <c r="F966" s="87"/>
      <c r="G966" s="87"/>
      <c r="H966" s="83"/>
      <c r="I966" s="83"/>
      <c r="J966" s="80"/>
      <c r="K966" s="87"/>
      <c r="L966" s="87"/>
      <c r="M966" s="80"/>
      <c r="N966" s="80"/>
      <c r="O966" s="80"/>
      <c r="P966" s="80"/>
      <c r="Q966" s="80"/>
      <c r="R966" s="80"/>
      <c r="S966" s="80"/>
      <c r="T966" s="80"/>
      <c r="U966" s="80"/>
      <c r="V966" s="80"/>
      <c r="W966" s="80"/>
      <c r="X966" s="80"/>
      <c r="Y966" s="80"/>
      <c r="Z966" s="80"/>
    </row>
    <row r="967">
      <c r="A967" s="87"/>
      <c r="B967" s="80"/>
      <c r="C967" s="80"/>
      <c r="D967" s="87"/>
      <c r="E967" s="87"/>
      <c r="F967" s="87"/>
      <c r="G967" s="87"/>
      <c r="H967" s="83"/>
      <c r="I967" s="83"/>
      <c r="J967" s="80"/>
      <c r="K967" s="87"/>
      <c r="L967" s="87"/>
      <c r="M967" s="80"/>
      <c r="N967" s="80"/>
      <c r="O967" s="80"/>
      <c r="P967" s="80"/>
      <c r="Q967" s="80"/>
      <c r="R967" s="80"/>
      <c r="S967" s="80"/>
      <c r="T967" s="80"/>
      <c r="U967" s="80"/>
      <c r="V967" s="80"/>
      <c r="W967" s="80"/>
      <c r="X967" s="80"/>
      <c r="Y967" s="80"/>
      <c r="Z967" s="80"/>
    </row>
    <row r="968">
      <c r="A968" s="87"/>
      <c r="B968" s="80"/>
      <c r="C968" s="80"/>
      <c r="D968" s="87"/>
      <c r="E968" s="87"/>
      <c r="F968" s="87"/>
      <c r="G968" s="87"/>
      <c r="H968" s="83"/>
      <c r="I968" s="83"/>
      <c r="J968" s="80"/>
      <c r="K968" s="87"/>
      <c r="L968" s="87"/>
      <c r="M968" s="80"/>
      <c r="N968" s="80"/>
      <c r="O968" s="80"/>
      <c r="P968" s="80"/>
      <c r="Q968" s="80"/>
      <c r="R968" s="80"/>
      <c r="S968" s="80"/>
      <c r="T968" s="80"/>
      <c r="U968" s="80"/>
      <c r="V968" s="80"/>
      <c r="W968" s="80"/>
      <c r="X968" s="80"/>
      <c r="Y968" s="80"/>
      <c r="Z968" s="80"/>
    </row>
    <row r="969">
      <c r="A969" s="87"/>
      <c r="B969" s="80"/>
      <c r="C969" s="80"/>
      <c r="D969" s="87"/>
      <c r="E969" s="87"/>
      <c r="F969" s="87"/>
      <c r="G969" s="87"/>
      <c r="H969" s="83"/>
      <c r="I969" s="83"/>
      <c r="J969" s="80"/>
      <c r="K969" s="87"/>
      <c r="L969" s="87"/>
      <c r="M969" s="80"/>
      <c r="N969" s="80"/>
      <c r="O969" s="80"/>
      <c r="P969" s="80"/>
      <c r="Q969" s="80"/>
      <c r="R969" s="80"/>
      <c r="S969" s="80"/>
      <c r="T969" s="80"/>
      <c r="U969" s="80"/>
      <c r="V969" s="80"/>
      <c r="W969" s="80"/>
      <c r="X969" s="80"/>
      <c r="Y969" s="80"/>
      <c r="Z969" s="80"/>
    </row>
    <row r="970">
      <c r="A970" s="87"/>
      <c r="B970" s="80"/>
      <c r="C970" s="80"/>
      <c r="D970" s="87"/>
      <c r="E970" s="87"/>
      <c r="F970" s="87"/>
      <c r="G970" s="87"/>
      <c r="H970" s="83"/>
      <c r="I970" s="83"/>
      <c r="J970" s="80"/>
      <c r="K970" s="87"/>
      <c r="L970" s="87"/>
      <c r="M970" s="80"/>
      <c r="N970" s="80"/>
      <c r="O970" s="80"/>
      <c r="P970" s="80"/>
      <c r="Q970" s="80"/>
      <c r="R970" s="80"/>
      <c r="S970" s="80"/>
      <c r="T970" s="80"/>
      <c r="U970" s="80"/>
      <c r="V970" s="80"/>
      <c r="W970" s="80"/>
      <c r="X970" s="80"/>
      <c r="Y970" s="80"/>
      <c r="Z970" s="80"/>
    </row>
    <row r="971">
      <c r="A971" s="87"/>
      <c r="B971" s="80"/>
      <c r="C971" s="80"/>
      <c r="D971" s="87"/>
      <c r="E971" s="87"/>
      <c r="F971" s="87"/>
      <c r="G971" s="87"/>
      <c r="H971" s="83"/>
      <c r="I971" s="83"/>
      <c r="J971" s="80"/>
      <c r="K971" s="87"/>
      <c r="L971" s="87"/>
      <c r="M971" s="80"/>
      <c r="N971" s="80"/>
      <c r="O971" s="80"/>
      <c r="P971" s="80"/>
      <c r="Q971" s="80"/>
      <c r="R971" s="80"/>
      <c r="S971" s="80"/>
      <c r="T971" s="80"/>
      <c r="U971" s="80"/>
      <c r="V971" s="80"/>
      <c r="W971" s="80"/>
      <c r="X971" s="80"/>
      <c r="Y971" s="80"/>
      <c r="Z971" s="80"/>
    </row>
    <row r="972">
      <c r="A972" s="87"/>
      <c r="B972" s="80"/>
      <c r="C972" s="80"/>
      <c r="D972" s="87"/>
      <c r="E972" s="87"/>
      <c r="F972" s="87"/>
      <c r="G972" s="87"/>
      <c r="H972" s="83"/>
      <c r="I972" s="83"/>
      <c r="J972" s="80"/>
      <c r="K972" s="87"/>
      <c r="L972" s="87"/>
      <c r="M972" s="80"/>
      <c r="N972" s="80"/>
      <c r="O972" s="80"/>
      <c r="P972" s="80"/>
      <c r="Q972" s="80"/>
      <c r="R972" s="80"/>
      <c r="S972" s="80"/>
      <c r="T972" s="80"/>
      <c r="U972" s="80"/>
      <c r="V972" s="80"/>
      <c r="W972" s="80"/>
      <c r="X972" s="80"/>
      <c r="Y972" s="80"/>
      <c r="Z972" s="80"/>
    </row>
    <row r="973">
      <c r="A973" s="87"/>
      <c r="B973" s="80"/>
      <c r="C973" s="80"/>
      <c r="D973" s="87"/>
      <c r="E973" s="87"/>
      <c r="F973" s="87"/>
      <c r="G973" s="87"/>
      <c r="H973" s="83"/>
      <c r="I973" s="83"/>
      <c r="J973" s="80"/>
      <c r="K973" s="87"/>
      <c r="L973" s="87"/>
      <c r="M973" s="80"/>
      <c r="N973" s="80"/>
      <c r="O973" s="80"/>
      <c r="P973" s="80"/>
      <c r="Q973" s="80"/>
      <c r="R973" s="80"/>
      <c r="S973" s="80"/>
      <c r="T973" s="80"/>
      <c r="U973" s="80"/>
      <c r="V973" s="80"/>
      <c r="W973" s="80"/>
      <c r="X973" s="80"/>
      <c r="Y973" s="80"/>
      <c r="Z973" s="80"/>
    </row>
    <row r="974">
      <c r="A974" s="87"/>
      <c r="B974" s="80"/>
      <c r="C974" s="80"/>
      <c r="D974" s="87"/>
      <c r="E974" s="87"/>
      <c r="F974" s="87"/>
      <c r="G974" s="87"/>
      <c r="H974" s="83"/>
      <c r="I974" s="83"/>
      <c r="J974" s="80"/>
      <c r="K974" s="87"/>
      <c r="L974" s="87"/>
      <c r="M974" s="80"/>
      <c r="N974" s="80"/>
      <c r="O974" s="80"/>
      <c r="P974" s="80"/>
      <c r="Q974" s="80"/>
      <c r="R974" s="80"/>
      <c r="S974" s="80"/>
      <c r="T974" s="80"/>
      <c r="U974" s="80"/>
      <c r="V974" s="80"/>
      <c r="W974" s="80"/>
      <c r="X974" s="80"/>
      <c r="Y974" s="80"/>
      <c r="Z974" s="80"/>
    </row>
    <row r="975">
      <c r="A975" s="87"/>
      <c r="B975" s="80"/>
      <c r="C975" s="80"/>
      <c r="D975" s="87"/>
      <c r="E975" s="87"/>
      <c r="F975" s="87"/>
      <c r="G975" s="87"/>
      <c r="H975" s="83"/>
      <c r="I975" s="83"/>
      <c r="J975" s="80"/>
      <c r="K975" s="87"/>
      <c r="L975" s="87"/>
      <c r="M975" s="80"/>
      <c r="N975" s="80"/>
      <c r="O975" s="80"/>
      <c r="P975" s="80"/>
      <c r="Q975" s="80"/>
      <c r="R975" s="80"/>
      <c r="S975" s="80"/>
      <c r="T975" s="80"/>
      <c r="U975" s="80"/>
      <c r="V975" s="80"/>
      <c r="W975" s="80"/>
      <c r="X975" s="80"/>
      <c r="Y975" s="80"/>
      <c r="Z975" s="80"/>
    </row>
    <row r="976">
      <c r="A976" s="87"/>
      <c r="B976" s="80"/>
      <c r="C976" s="80"/>
      <c r="D976" s="87"/>
      <c r="E976" s="87"/>
      <c r="F976" s="87"/>
      <c r="G976" s="87"/>
      <c r="H976" s="83"/>
      <c r="I976" s="83"/>
      <c r="J976" s="80"/>
      <c r="K976" s="87"/>
      <c r="L976" s="87"/>
      <c r="M976" s="80"/>
      <c r="N976" s="80"/>
      <c r="O976" s="80"/>
      <c r="P976" s="80"/>
      <c r="Q976" s="80"/>
      <c r="R976" s="80"/>
      <c r="S976" s="80"/>
      <c r="T976" s="80"/>
      <c r="U976" s="80"/>
      <c r="V976" s="80"/>
      <c r="W976" s="80"/>
      <c r="X976" s="80"/>
      <c r="Y976" s="80"/>
      <c r="Z976" s="80"/>
    </row>
    <row r="977">
      <c r="A977" s="87"/>
      <c r="B977" s="80"/>
      <c r="C977" s="80"/>
      <c r="D977" s="87"/>
      <c r="E977" s="87"/>
      <c r="F977" s="87"/>
      <c r="G977" s="87"/>
      <c r="H977" s="83"/>
      <c r="I977" s="83"/>
      <c r="J977" s="80"/>
      <c r="K977" s="87"/>
      <c r="L977" s="87"/>
      <c r="M977" s="80"/>
      <c r="N977" s="80"/>
      <c r="O977" s="80"/>
      <c r="P977" s="80"/>
      <c r="Q977" s="80"/>
      <c r="R977" s="80"/>
      <c r="S977" s="80"/>
      <c r="T977" s="80"/>
      <c r="U977" s="80"/>
      <c r="V977" s="80"/>
      <c r="W977" s="80"/>
      <c r="X977" s="80"/>
      <c r="Y977" s="80"/>
      <c r="Z977" s="80"/>
    </row>
    <row r="978">
      <c r="A978" s="87"/>
      <c r="B978" s="80"/>
      <c r="C978" s="80"/>
      <c r="D978" s="87"/>
      <c r="E978" s="87"/>
      <c r="F978" s="87"/>
      <c r="G978" s="87"/>
      <c r="H978" s="83"/>
      <c r="I978" s="83"/>
      <c r="J978" s="80"/>
      <c r="K978" s="87"/>
      <c r="L978" s="87"/>
      <c r="M978" s="80"/>
      <c r="N978" s="80"/>
      <c r="O978" s="80"/>
      <c r="P978" s="80"/>
      <c r="Q978" s="80"/>
      <c r="R978" s="80"/>
      <c r="S978" s="80"/>
      <c r="T978" s="80"/>
      <c r="U978" s="80"/>
      <c r="V978" s="80"/>
      <c r="W978" s="80"/>
      <c r="X978" s="80"/>
      <c r="Y978" s="80"/>
      <c r="Z978" s="80"/>
    </row>
    <row r="979">
      <c r="A979" s="87"/>
      <c r="B979" s="80"/>
      <c r="C979" s="80"/>
      <c r="D979" s="87"/>
      <c r="E979" s="87"/>
      <c r="F979" s="87"/>
      <c r="G979" s="87"/>
      <c r="H979" s="83"/>
      <c r="I979" s="83"/>
      <c r="J979" s="80"/>
      <c r="K979" s="87"/>
      <c r="L979" s="87"/>
      <c r="M979" s="80"/>
      <c r="N979" s="80"/>
      <c r="O979" s="80"/>
      <c r="P979" s="80"/>
      <c r="Q979" s="80"/>
      <c r="R979" s="80"/>
      <c r="S979" s="80"/>
      <c r="T979" s="80"/>
      <c r="U979" s="80"/>
      <c r="V979" s="80"/>
      <c r="W979" s="80"/>
      <c r="X979" s="80"/>
      <c r="Y979" s="80"/>
      <c r="Z979" s="80"/>
    </row>
    <row r="980">
      <c r="A980" s="87"/>
      <c r="B980" s="80"/>
      <c r="C980" s="80"/>
      <c r="D980" s="87"/>
      <c r="E980" s="87"/>
      <c r="F980" s="87"/>
      <c r="G980" s="87"/>
      <c r="H980" s="83"/>
      <c r="I980" s="83"/>
      <c r="J980" s="80"/>
      <c r="K980" s="87"/>
      <c r="L980" s="87"/>
      <c r="M980" s="80"/>
      <c r="N980" s="80"/>
      <c r="O980" s="80"/>
      <c r="P980" s="80"/>
      <c r="Q980" s="80"/>
      <c r="R980" s="80"/>
      <c r="S980" s="80"/>
      <c r="T980" s="80"/>
      <c r="U980" s="80"/>
      <c r="V980" s="80"/>
      <c r="W980" s="80"/>
      <c r="X980" s="80"/>
      <c r="Y980" s="80"/>
      <c r="Z980" s="80"/>
    </row>
    <row r="981">
      <c r="A981" s="87"/>
      <c r="B981" s="80"/>
      <c r="C981" s="80"/>
      <c r="D981" s="87"/>
      <c r="E981" s="87"/>
      <c r="F981" s="87"/>
      <c r="G981" s="87"/>
      <c r="H981" s="83"/>
      <c r="I981" s="83"/>
      <c r="J981" s="80"/>
      <c r="K981" s="87"/>
      <c r="L981" s="87"/>
      <c r="M981" s="80"/>
      <c r="N981" s="80"/>
      <c r="O981" s="80"/>
      <c r="P981" s="80"/>
      <c r="Q981" s="80"/>
      <c r="R981" s="80"/>
      <c r="S981" s="80"/>
      <c r="T981" s="80"/>
      <c r="U981" s="80"/>
      <c r="V981" s="80"/>
      <c r="W981" s="80"/>
      <c r="X981" s="80"/>
      <c r="Y981" s="80"/>
      <c r="Z981" s="80"/>
    </row>
    <row r="982">
      <c r="A982" s="87"/>
      <c r="B982" s="80"/>
      <c r="C982" s="80"/>
      <c r="D982" s="87"/>
      <c r="E982" s="87"/>
      <c r="F982" s="87"/>
      <c r="G982" s="87"/>
      <c r="H982" s="83"/>
      <c r="I982" s="83"/>
      <c r="J982" s="80"/>
      <c r="K982" s="87"/>
      <c r="L982" s="87"/>
      <c r="M982" s="80"/>
      <c r="N982" s="80"/>
      <c r="O982" s="80"/>
      <c r="P982" s="80"/>
      <c r="Q982" s="80"/>
      <c r="R982" s="80"/>
      <c r="S982" s="80"/>
      <c r="T982" s="80"/>
      <c r="U982" s="80"/>
      <c r="V982" s="80"/>
      <c r="W982" s="80"/>
      <c r="X982" s="80"/>
      <c r="Y982" s="80"/>
      <c r="Z982" s="80"/>
    </row>
    <row r="983">
      <c r="A983" s="87"/>
      <c r="B983" s="80"/>
      <c r="C983" s="80"/>
      <c r="D983" s="87"/>
      <c r="E983" s="87"/>
      <c r="F983" s="87"/>
      <c r="G983" s="87"/>
      <c r="H983" s="83"/>
      <c r="I983" s="83"/>
      <c r="J983" s="80"/>
      <c r="K983" s="87"/>
      <c r="L983" s="87"/>
      <c r="M983" s="80"/>
      <c r="N983" s="80"/>
      <c r="O983" s="80"/>
      <c r="P983" s="80"/>
      <c r="Q983" s="80"/>
      <c r="R983" s="80"/>
      <c r="S983" s="80"/>
      <c r="T983" s="80"/>
      <c r="U983" s="80"/>
      <c r="V983" s="80"/>
      <c r="W983" s="80"/>
      <c r="X983" s="80"/>
      <c r="Y983" s="80"/>
      <c r="Z983" s="80"/>
    </row>
    <row r="984">
      <c r="A984" s="87"/>
      <c r="B984" s="80"/>
      <c r="C984" s="80"/>
      <c r="D984" s="87"/>
      <c r="E984" s="87"/>
      <c r="F984" s="87"/>
      <c r="G984" s="87"/>
      <c r="H984" s="83"/>
      <c r="I984" s="83"/>
      <c r="J984" s="80"/>
      <c r="K984" s="87"/>
      <c r="L984" s="87"/>
      <c r="M984" s="80"/>
      <c r="N984" s="80"/>
      <c r="O984" s="80"/>
      <c r="P984" s="80"/>
      <c r="Q984" s="80"/>
      <c r="R984" s="80"/>
      <c r="S984" s="80"/>
      <c r="T984" s="80"/>
      <c r="U984" s="80"/>
      <c r="V984" s="80"/>
      <c r="W984" s="80"/>
      <c r="X984" s="80"/>
      <c r="Y984" s="80"/>
      <c r="Z984" s="80"/>
    </row>
    <row r="985">
      <c r="A985" s="87"/>
      <c r="B985" s="80"/>
      <c r="C985" s="80"/>
      <c r="D985" s="87"/>
      <c r="E985" s="87"/>
      <c r="F985" s="87"/>
      <c r="G985" s="87"/>
      <c r="H985" s="83"/>
      <c r="I985" s="83"/>
      <c r="J985" s="80"/>
      <c r="K985" s="87"/>
      <c r="L985" s="87"/>
      <c r="M985" s="80"/>
      <c r="N985" s="80"/>
      <c r="O985" s="80"/>
      <c r="P985" s="80"/>
      <c r="Q985" s="80"/>
      <c r="R985" s="80"/>
      <c r="S985" s="80"/>
      <c r="T985" s="80"/>
      <c r="U985" s="80"/>
      <c r="V985" s="80"/>
      <c r="W985" s="80"/>
      <c r="X985" s="80"/>
      <c r="Y985" s="80"/>
      <c r="Z985" s="80"/>
    </row>
    <row r="986">
      <c r="A986" s="87"/>
      <c r="B986" s="80"/>
      <c r="C986" s="80"/>
      <c r="D986" s="87"/>
      <c r="E986" s="87"/>
      <c r="F986" s="87"/>
      <c r="G986" s="87"/>
      <c r="H986" s="83"/>
      <c r="I986" s="83"/>
      <c r="J986" s="80"/>
      <c r="K986" s="87"/>
      <c r="L986" s="87"/>
      <c r="M986" s="80"/>
      <c r="N986" s="80"/>
      <c r="O986" s="80"/>
      <c r="P986" s="80"/>
      <c r="Q986" s="80"/>
      <c r="R986" s="80"/>
      <c r="S986" s="80"/>
      <c r="T986" s="80"/>
      <c r="U986" s="80"/>
      <c r="V986" s="80"/>
      <c r="W986" s="80"/>
      <c r="X986" s="80"/>
      <c r="Y986" s="80"/>
      <c r="Z986" s="80"/>
    </row>
    <row r="987">
      <c r="A987" s="87"/>
      <c r="B987" s="80"/>
      <c r="C987" s="80"/>
      <c r="D987" s="87"/>
      <c r="E987" s="87"/>
      <c r="F987" s="87"/>
      <c r="G987" s="87"/>
      <c r="H987" s="83"/>
      <c r="I987" s="83"/>
      <c r="J987" s="80"/>
      <c r="K987" s="87"/>
      <c r="L987" s="87"/>
      <c r="M987" s="80"/>
      <c r="N987" s="80"/>
      <c r="O987" s="80"/>
      <c r="P987" s="80"/>
      <c r="Q987" s="80"/>
      <c r="R987" s="80"/>
      <c r="S987" s="80"/>
      <c r="T987" s="80"/>
      <c r="U987" s="80"/>
      <c r="V987" s="80"/>
      <c r="W987" s="80"/>
      <c r="X987" s="80"/>
      <c r="Y987" s="80"/>
      <c r="Z987" s="80"/>
    </row>
    <row r="988">
      <c r="A988" s="87"/>
      <c r="B988" s="80"/>
      <c r="C988" s="80"/>
      <c r="D988" s="87"/>
      <c r="E988" s="87"/>
      <c r="F988" s="87"/>
      <c r="G988" s="87"/>
      <c r="H988" s="83"/>
      <c r="I988" s="83"/>
      <c r="J988" s="80"/>
      <c r="K988" s="87"/>
      <c r="L988" s="87"/>
      <c r="M988" s="80"/>
      <c r="N988" s="80"/>
      <c r="O988" s="80"/>
      <c r="P988" s="80"/>
      <c r="Q988" s="80"/>
      <c r="R988" s="80"/>
      <c r="S988" s="80"/>
      <c r="T988" s="80"/>
      <c r="U988" s="80"/>
      <c r="V988" s="80"/>
      <c r="W988" s="80"/>
      <c r="X988" s="80"/>
      <c r="Y988" s="80"/>
      <c r="Z988" s="80"/>
    </row>
    <row r="989">
      <c r="A989" s="87"/>
      <c r="B989" s="80"/>
      <c r="C989" s="80"/>
      <c r="D989" s="87"/>
      <c r="E989" s="87"/>
      <c r="F989" s="87"/>
      <c r="G989" s="87"/>
      <c r="H989" s="83"/>
      <c r="I989" s="83"/>
      <c r="J989" s="80"/>
      <c r="K989" s="87"/>
      <c r="L989" s="87"/>
      <c r="M989" s="80"/>
      <c r="N989" s="80"/>
      <c r="O989" s="80"/>
      <c r="P989" s="80"/>
      <c r="Q989" s="80"/>
      <c r="R989" s="80"/>
      <c r="S989" s="80"/>
      <c r="T989" s="80"/>
      <c r="U989" s="80"/>
      <c r="V989" s="80"/>
      <c r="W989" s="80"/>
      <c r="X989" s="80"/>
      <c r="Y989" s="80"/>
      <c r="Z989" s="80"/>
    </row>
    <row r="990">
      <c r="A990" s="87"/>
      <c r="B990" s="80"/>
      <c r="C990" s="80"/>
      <c r="D990" s="87"/>
      <c r="E990" s="87"/>
      <c r="F990" s="87"/>
      <c r="G990" s="87"/>
      <c r="H990" s="83"/>
      <c r="I990" s="83"/>
      <c r="J990" s="80"/>
      <c r="K990" s="87"/>
      <c r="L990" s="87"/>
      <c r="M990" s="80"/>
      <c r="N990" s="80"/>
      <c r="O990" s="80"/>
      <c r="P990" s="80"/>
      <c r="Q990" s="80"/>
      <c r="R990" s="80"/>
      <c r="S990" s="80"/>
      <c r="T990" s="80"/>
      <c r="U990" s="80"/>
      <c r="V990" s="80"/>
      <c r="W990" s="80"/>
      <c r="X990" s="80"/>
      <c r="Y990" s="80"/>
      <c r="Z990" s="80"/>
    </row>
    <row r="991">
      <c r="A991" s="87"/>
      <c r="B991" s="80"/>
      <c r="C991" s="80"/>
      <c r="D991" s="87"/>
      <c r="E991" s="87"/>
      <c r="F991" s="87"/>
      <c r="G991" s="87"/>
      <c r="H991" s="83"/>
      <c r="I991" s="83"/>
      <c r="J991" s="80"/>
      <c r="K991" s="87"/>
      <c r="L991" s="87"/>
      <c r="M991" s="80"/>
      <c r="N991" s="80"/>
      <c r="O991" s="80"/>
      <c r="P991" s="80"/>
      <c r="Q991" s="80"/>
      <c r="R991" s="80"/>
      <c r="S991" s="80"/>
      <c r="T991" s="80"/>
      <c r="U991" s="80"/>
      <c r="V991" s="80"/>
      <c r="W991" s="80"/>
      <c r="X991" s="80"/>
      <c r="Y991" s="80"/>
      <c r="Z991" s="80"/>
    </row>
    <row r="992">
      <c r="A992" s="87"/>
      <c r="B992" s="80"/>
      <c r="C992" s="80"/>
      <c r="D992" s="87"/>
      <c r="E992" s="87"/>
      <c r="F992" s="87"/>
      <c r="G992" s="87"/>
      <c r="H992" s="83"/>
      <c r="I992" s="83"/>
      <c r="J992" s="80"/>
      <c r="K992" s="87"/>
      <c r="L992" s="87"/>
      <c r="M992" s="80"/>
      <c r="N992" s="80"/>
      <c r="O992" s="80"/>
      <c r="P992" s="80"/>
      <c r="Q992" s="80"/>
      <c r="R992" s="80"/>
      <c r="S992" s="80"/>
      <c r="T992" s="80"/>
      <c r="U992" s="80"/>
      <c r="V992" s="80"/>
      <c r="W992" s="80"/>
      <c r="X992" s="80"/>
      <c r="Y992" s="80"/>
      <c r="Z992" s="80"/>
    </row>
    <row r="993">
      <c r="A993" s="87"/>
      <c r="B993" s="80"/>
      <c r="C993" s="80"/>
      <c r="D993" s="87"/>
      <c r="E993" s="87"/>
      <c r="F993" s="87"/>
      <c r="G993" s="87"/>
      <c r="H993" s="83"/>
      <c r="I993" s="83"/>
      <c r="J993" s="80"/>
      <c r="K993" s="87"/>
      <c r="L993" s="87"/>
      <c r="M993" s="80"/>
      <c r="N993" s="80"/>
      <c r="O993" s="80"/>
      <c r="P993" s="80"/>
      <c r="Q993" s="80"/>
      <c r="R993" s="80"/>
      <c r="S993" s="80"/>
      <c r="T993" s="80"/>
      <c r="U993" s="80"/>
      <c r="V993" s="80"/>
      <c r="W993" s="80"/>
      <c r="X993" s="80"/>
      <c r="Y993" s="80"/>
      <c r="Z993" s="80"/>
    </row>
    <row r="994">
      <c r="A994" s="87"/>
      <c r="B994" s="80"/>
      <c r="C994" s="80"/>
      <c r="D994" s="87"/>
      <c r="E994" s="87"/>
      <c r="F994" s="87"/>
      <c r="G994" s="87"/>
      <c r="H994" s="83"/>
      <c r="I994" s="83"/>
      <c r="J994" s="80"/>
      <c r="K994" s="87"/>
      <c r="L994" s="87"/>
      <c r="M994" s="80"/>
      <c r="N994" s="80"/>
      <c r="O994" s="80"/>
      <c r="P994" s="80"/>
      <c r="Q994" s="80"/>
      <c r="R994" s="80"/>
      <c r="S994" s="80"/>
      <c r="T994" s="80"/>
      <c r="U994" s="80"/>
      <c r="V994" s="80"/>
      <c r="W994" s="80"/>
      <c r="X994" s="80"/>
      <c r="Y994" s="80"/>
      <c r="Z994" s="80"/>
    </row>
    <row r="995">
      <c r="A995" s="87"/>
      <c r="B995" s="80"/>
      <c r="C995" s="80"/>
      <c r="D995" s="87"/>
      <c r="E995" s="87"/>
      <c r="F995" s="87"/>
      <c r="G995" s="87"/>
      <c r="H995" s="83"/>
      <c r="I995" s="83"/>
      <c r="J995" s="80"/>
      <c r="K995" s="87"/>
      <c r="L995" s="87"/>
      <c r="M995" s="80"/>
      <c r="N995" s="80"/>
      <c r="O995" s="80"/>
      <c r="P995" s="80"/>
      <c r="Q995" s="80"/>
      <c r="R995" s="80"/>
      <c r="S995" s="80"/>
      <c r="T995" s="80"/>
      <c r="U995" s="80"/>
      <c r="V995" s="80"/>
      <c r="W995" s="80"/>
      <c r="X995" s="80"/>
      <c r="Y995" s="80"/>
      <c r="Z995" s="80"/>
    </row>
    <row r="996">
      <c r="A996" s="87"/>
      <c r="B996" s="80"/>
      <c r="C996" s="80"/>
      <c r="D996" s="87"/>
      <c r="E996" s="87"/>
      <c r="F996" s="87"/>
      <c r="G996" s="87"/>
      <c r="H996" s="83"/>
      <c r="I996" s="83"/>
      <c r="J996" s="80"/>
      <c r="K996" s="87"/>
      <c r="L996" s="87"/>
      <c r="M996" s="80"/>
      <c r="N996" s="80"/>
      <c r="O996" s="80"/>
      <c r="P996" s="80"/>
      <c r="Q996" s="80"/>
      <c r="R996" s="80"/>
      <c r="S996" s="80"/>
      <c r="T996" s="80"/>
      <c r="U996" s="80"/>
      <c r="V996" s="80"/>
      <c r="W996" s="80"/>
      <c r="X996" s="80"/>
      <c r="Y996" s="80"/>
      <c r="Z996" s="80"/>
    </row>
    <row r="997">
      <c r="A997" s="87"/>
      <c r="B997" s="80"/>
      <c r="C997" s="80"/>
      <c r="D997" s="87"/>
      <c r="E997" s="87"/>
      <c r="F997" s="87"/>
      <c r="G997" s="87"/>
      <c r="H997" s="83"/>
      <c r="I997" s="83"/>
      <c r="J997" s="80"/>
      <c r="K997" s="87"/>
      <c r="L997" s="87"/>
      <c r="M997" s="80"/>
      <c r="N997" s="80"/>
      <c r="O997" s="80"/>
      <c r="P997" s="80"/>
      <c r="Q997" s="80"/>
      <c r="R997" s="80"/>
      <c r="S997" s="80"/>
      <c r="T997" s="80"/>
      <c r="U997" s="80"/>
      <c r="V997" s="80"/>
      <c r="W997" s="80"/>
      <c r="X997" s="80"/>
      <c r="Y997" s="80"/>
      <c r="Z997" s="80"/>
    </row>
    <row r="998">
      <c r="A998" s="87"/>
      <c r="B998" s="80"/>
      <c r="C998" s="80"/>
      <c r="D998" s="87"/>
      <c r="E998" s="87"/>
      <c r="F998" s="87"/>
      <c r="G998" s="87"/>
      <c r="H998" s="83"/>
      <c r="I998" s="83"/>
      <c r="J998" s="80"/>
      <c r="K998" s="87"/>
      <c r="L998" s="87"/>
      <c r="M998" s="80"/>
      <c r="N998" s="80"/>
      <c r="O998" s="80"/>
      <c r="P998" s="80"/>
      <c r="Q998" s="80"/>
      <c r="R998" s="80"/>
      <c r="S998" s="80"/>
      <c r="T998" s="80"/>
      <c r="U998" s="80"/>
      <c r="V998" s="80"/>
      <c r="W998" s="80"/>
      <c r="X998" s="80"/>
      <c r="Y998" s="80"/>
      <c r="Z998" s="80"/>
    </row>
    <row r="999">
      <c r="A999" s="87"/>
      <c r="B999" s="80"/>
      <c r="C999" s="80"/>
      <c r="D999" s="87"/>
      <c r="E999" s="87"/>
      <c r="F999" s="87"/>
      <c r="G999" s="87"/>
      <c r="H999" s="83"/>
      <c r="I999" s="83"/>
      <c r="J999" s="80"/>
      <c r="K999" s="87"/>
      <c r="L999" s="87"/>
      <c r="M999" s="80"/>
      <c r="N999" s="80"/>
      <c r="O999" s="80"/>
      <c r="P999" s="80"/>
      <c r="Q999" s="80"/>
      <c r="R999" s="80"/>
      <c r="S999" s="80"/>
      <c r="T999" s="80"/>
      <c r="U999" s="80"/>
      <c r="V999" s="80"/>
      <c r="W999" s="80"/>
      <c r="X999" s="80"/>
      <c r="Y999" s="80"/>
      <c r="Z999" s="80"/>
    </row>
    <row r="1000">
      <c r="A1000" s="87"/>
      <c r="B1000" s="80"/>
      <c r="C1000" s="80"/>
      <c r="D1000" s="87"/>
      <c r="E1000" s="87"/>
      <c r="F1000" s="87"/>
      <c r="G1000" s="87"/>
      <c r="H1000" s="83"/>
      <c r="I1000" s="83"/>
      <c r="J1000" s="80"/>
      <c r="K1000" s="87"/>
      <c r="L1000" s="87"/>
      <c r="M1000" s="80"/>
      <c r="N1000" s="80"/>
      <c r="O1000" s="80"/>
      <c r="P1000" s="80"/>
      <c r="Q1000" s="80"/>
      <c r="R1000" s="80"/>
      <c r="S1000" s="80"/>
      <c r="T1000" s="80"/>
      <c r="U1000" s="80"/>
      <c r="V1000" s="80"/>
      <c r="W1000" s="80"/>
      <c r="X1000" s="80"/>
      <c r="Y1000" s="80"/>
      <c r="Z1000" s="8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13"/>
    <col customWidth="1" min="2" max="2" width="8.63"/>
    <col customWidth="1" min="3" max="3" width="6.75"/>
    <col customWidth="1" min="4" max="4" width="25.38"/>
    <col customWidth="1" min="5" max="5" width="15.63"/>
    <col customWidth="1" min="6" max="6" width="13.88"/>
    <col customWidth="1" min="7" max="7" width="11.0"/>
    <col customWidth="1" min="8" max="8" width="11.25"/>
    <col customWidth="1" min="9" max="9" width="10.38"/>
    <col customWidth="1" min="10" max="10" width="2.75"/>
    <col customWidth="1" min="11" max="11" width="7.88"/>
    <col customWidth="1" min="12" max="12" width="8.38"/>
    <col customWidth="1" min="13" max="13" width="26.13"/>
    <col customWidth="1" min="14" max="14" width="21.75"/>
    <col customWidth="1" min="15" max="15" width="14.0"/>
    <col customWidth="1" min="16" max="16" width="21.88"/>
    <col customWidth="1" min="17" max="17" width="8.88"/>
    <col customWidth="1" min="18" max="18" width="10.38"/>
    <col customWidth="1" min="19" max="19" width="9.25"/>
    <col customWidth="1" min="20" max="21" width="8.5"/>
    <col customWidth="1" min="22" max="22" width="9.88"/>
    <col customWidth="1" min="23" max="23" width="7.5"/>
    <col customWidth="1" min="24" max="24" width="5.5"/>
    <col customWidth="1" min="25" max="26" width="8.13"/>
    <col customWidth="1" min="27" max="27" width="10.75"/>
    <col customWidth="1" min="28" max="29" width="7.0"/>
    <col customWidth="1" min="30" max="30" width="11.63"/>
    <col customWidth="1" min="31" max="31" width="7.0"/>
    <col customWidth="1" min="32" max="32" width="10.5"/>
    <col customWidth="1" min="33" max="33" width="7.0"/>
    <col customWidth="1" min="34" max="34" width="21.75"/>
    <col customWidth="1" min="35" max="36" width="7.0"/>
    <col customWidth="1" min="40" max="40" width="13.88"/>
    <col customWidth="1" min="41" max="41" width="2.5"/>
    <col customWidth="1" min="42" max="42" width="7.88"/>
    <col customWidth="1" min="46" max="46" width="13.88"/>
    <col customWidth="1" min="47" max="47" width="2.63"/>
    <col customWidth="1" min="48" max="48" width="7.0"/>
    <col customWidth="1" min="52" max="52" width="13.88"/>
  </cols>
  <sheetData>
    <row r="1" ht="13.5" customHeight="1">
      <c r="A1" s="101"/>
      <c r="B1" s="111"/>
      <c r="C1" s="101"/>
      <c r="D1" s="101"/>
      <c r="E1" s="101"/>
      <c r="F1" s="101"/>
      <c r="G1" s="101"/>
      <c r="H1" s="101"/>
      <c r="I1" s="101"/>
      <c r="J1" s="101"/>
      <c r="K1" s="111"/>
      <c r="L1" s="101"/>
      <c r="M1" s="101"/>
      <c r="N1" s="101"/>
      <c r="O1" s="101"/>
      <c r="Y1" s="111"/>
      <c r="Z1" s="111"/>
      <c r="AA1" s="111"/>
      <c r="AB1" s="111"/>
      <c r="AC1" s="111"/>
      <c r="AD1" s="111"/>
      <c r="AE1" s="111"/>
      <c r="AF1" s="111"/>
      <c r="AG1" s="111"/>
      <c r="AH1" s="111"/>
      <c r="AI1" s="111"/>
      <c r="AJ1" s="111"/>
      <c r="AP1" s="111"/>
      <c r="AV1" s="111"/>
    </row>
    <row r="2">
      <c r="A2" s="101"/>
      <c r="B2" s="112" t="s">
        <v>609</v>
      </c>
      <c r="C2" s="113"/>
      <c r="D2" s="113"/>
      <c r="E2" s="113"/>
      <c r="F2" s="113"/>
      <c r="G2" s="113"/>
      <c r="H2" s="113"/>
      <c r="I2" s="114"/>
      <c r="J2" s="101"/>
      <c r="K2" s="112" t="s">
        <v>610</v>
      </c>
      <c r="L2" s="113"/>
      <c r="M2" s="113"/>
      <c r="N2" s="113"/>
      <c r="O2" s="113"/>
      <c r="P2" s="113"/>
      <c r="Q2" s="113"/>
      <c r="R2" s="114"/>
      <c r="T2" s="115" t="s">
        <v>611</v>
      </c>
      <c r="U2" s="114"/>
      <c r="V2" s="116"/>
      <c r="Y2" s="117"/>
      <c r="Z2" s="117"/>
      <c r="AA2" s="117"/>
      <c r="AB2" s="117"/>
      <c r="AC2" s="117"/>
      <c r="AD2" s="117"/>
      <c r="AE2" s="117"/>
      <c r="AF2" s="117"/>
      <c r="AG2" s="117"/>
      <c r="AH2" s="117"/>
      <c r="AI2" s="117"/>
      <c r="AJ2" s="118" t="s">
        <v>612</v>
      </c>
      <c r="AK2" s="113"/>
      <c r="AL2" s="113"/>
      <c r="AM2" s="113"/>
      <c r="AN2" s="114"/>
      <c r="AP2" s="119" t="s">
        <v>613</v>
      </c>
      <c r="AQ2" s="113"/>
      <c r="AR2" s="113"/>
      <c r="AS2" s="113"/>
      <c r="AT2" s="114"/>
      <c r="AV2" s="118" t="s">
        <v>612</v>
      </c>
      <c r="AW2" s="113"/>
      <c r="AX2" s="113"/>
      <c r="AY2" s="113"/>
      <c r="AZ2" s="114"/>
    </row>
    <row r="3" ht="29.25" customHeight="1">
      <c r="A3" s="120"/>
      <c r="B3" s="121" t="s">
        <v>614</v>
      </c>
      <c r="C3" s="121" t="s">
        <v>594</v>
      </c>
      <c r="D3" s="121" t="s">
        <v>595</v>
      </c>
      <c r="E3" s="121" t="s">
        <v>596</v>
      </c>
      <c r="F3" s="121" t="s">
        <v>615</v>
      </c>
      <c r="G3" s="121" t="s">
        <v>616</v>
      </c>
      <c r="H3" s="121" t="s">
        <v>617</v>
      </c>
      <c r="I3" s="121" t="s">
        <v>618</v>
      </c>
      <c r="J3" s="122"/>
      <c r="K3" s="121" t="s">
        <v>614</v>
      </c>
      <c r="L3" s="121" t="s">
        <v>594</v>
      </c>
      <c r="M3" s="121" t="s">
        <v>595</v>
      </c>
      <c r="N3" s="121" t="s">
        <v>596</v>
      </c>
      <c r="O3" s="121" t="s">
        <v>615</v>
      </c>
      <c r="P3" s="121" t="s">
        <v>616</v>
      </c>
      <c r="Q3" s="121" t="s">
        <v>617</v>
      </c>
      <c r="R3" s="121" t="s">
        <v>618</v>
      </c>
      <c r="T3" s="123" t="s">
        <v>619</v>
      </c>
      <c r="U3" s="123" t="s">
        <v>620</v>
      </c>
      <c r="V3" s="116"/>
      <c r="W3" s="124" t="s">
        <v>621</v>
      </c>
      <c r="X3" s="113"/>
      <c r="Y3" s="113"/>
      <c r="Z3" s="113"/>
      <c r="AA3" s="113"/>
      <c r="AB3" s="113"/>
      <c r="AC3" s="113"/>
      <c r="AD3" s="114"/>
      <c r="AE3" s="111"/>
      <c r="AF3" s="111"/>
      <c r="AG3" s="116"/>
      <c r="AH3" s="125"/>
      <c r="AI3" s="111"/>
      <c r="AJ3" s="126" t="s">
        <v>614</v>
      </c>
      <c r="AK3" s="127" t="str">
        <f>IFERROR(__xludf.DUMMYFUNCTION("QUERY('BD LUB'!A1:S58,""SELECT B,C,E,N ORDER BY E DESC"",1)"),"DESCRIPCIÓN")</f>
        <v>DESCRIPCIÓN</v>
      </c>
      <c r="AL3" s="128" t="str">
        <f>IFERROR(__xludf.DUMMYFUNCTION("""COMPUTED_VALUE"""),"POBLACIÓN")</f>
        <v>POBLACIÓN</v>
      </c>
      <c r="AM3" s="128" t="str">
        <f>IFERROR(__xludf.DUMMYFUNCTION("""COMPUTED_VALUE"""),"TIEMPO DEL ACEITE")</f>
        <v>TIEMPO DEL ACEITE</v>
      </c>
      <c r="AN3" s="128" t="str">
        <f>IFERROR(__xludf.DUMMYFUNCTION("""COMPUTED_VALUE"""),"KM DE PRÓXIMO")</f>
        <v>KM DE PRÓXIMO</v>
      </c>
      <c r="AP3" s="126" t="s">
        <v>614</v>
      </c>
      <c r="AQ3" s="127" t="str">
        <f>IFERROR(__xludf.DUMMYFUNCTION("QUERY('BD LUB'!A1:S58,""SELECT B,C,E,N ORDER BY E DESC"",1)"),"DESCRIPCIÓN")</f>
        <v>DESCRIPCIÓN</v>
      </c>
      <c r="AR3" s="128" t="str">
        <f>IFERROR(__xludf.DUMMYFUNCTION("""COMPUTED_VALUE"""),"POBLACIÓN")</f>
        <v>POBLACIÓN</v>
      </c>
      <c r="AS3" s="128" t="str">
        <f>IFERROR(__xludf.DUMMYFUNCTION("""COMPUTED_VALUE"""),"TIEMPO DEL ACEITE")</f>
        <v>TIEMPO DEL ACEITE</v>
      </c>
      <c r="AT3" s="128" t="str">
        <f>IFERROR(__xludf.DUMMYFUNCTION("""COMPUTED_VALUE"""),"KM DE PRÓXIMO")</f>
        <v>KM DE PRÓXIMO</v>
      </c>
      <c r="AV3" s="126" t="s">
        <v>614</v>
      </c>
      <c r="AW3" s="127" t="str">
        <f>IFERROR(__xludf.DUMMYFUNCTION("QUERY('BD LUB'!R1:AE58,""SELECT B,C,E,N ORDER BY E DESC"",1)"),"#VALUE!")</f>
        <v>#VALUE!</v>
      </c>
      <c r="AX3" s="128"/>
      <c r="AY3" s="128"/>
      <c r="AZ3" s="128"/>
    </row>
    <row r="4">
      <c r="A4" s="120"/>
      <c r="B4" s="126">
        <v>1.0</v>
      </c>
      <c r="C4" s="129">
        <f>IFERROR(__xludf.DUMMYFUNCTION("QUERY('BD LUB'!$A$2:$L$223,""SELECT A,B,C,D,I,K ORDER BY I ASC"")"),982.0)</f>
        <v>982</v>
      </c>
      <c r="D4" s="130">
        <f>IFERROR(__xludf.DUMMYFUNCTION("""COMPUTED_VALUE"""),46551.0)</f>
        <v>46551</v>
      </c>
      <c r="E4" s="129" t="str">
        <f>IFERROR(__xludf.DUMMYFUNCTION("""COMPUTED_VALUE"""),"02-Medellin")</f>
        <v>02-Medellin</v>
      </c>
      <c r="F4" s="130"/>
      <c r="G4" s="131"/>
      <c r="H4" s="132" t="str">
        <f>IFERROR(__xludf.DUMMYFUNCTION("""COMPUTED_VALUE"""),"#N/A")</f>
        <v>#N/A</v>
      </c>
      <c r="I4" s="132" t="str">
        <f t="shared" ref="I4:I225" si="1">IF(OR(H4="PASADO",H4="PRÓXIMO"), IF(AND(NOT(ISERROR(MATCH(C4,$T$4:$T$195,0))),NOT(ISERROR(MATCH(C4,$U$4:$U$195,0)))),"HECHO",IF(NOT(ISERROR(MATCH(C4,$U$4:$U$195,0))),"PEDIDO","NO PEDIDO")),"-")</f>
        <v>-</v>
      </c>
      <c r="J4" s="133"/>
      <c r="K4" s="126">
        <v>1.0</v>
      </c>
      <c r="L4" s="129">
        <f>IFERROR(__xludf.DUMMYFUNCTION("QUERY('BD LUB'!$A$2:$L$223,""SELECT A,B,C,D,J,L ORDER BY J ASC"")"),982.0)</f>
        <v>982</v>
      </c>
      <c r="M4" s="130">
        <f>IFERROR(__xludf.DUMMYFUNCTION("""COMPUTED_VALUE"""),46551.0)</f>
        <v>46551</v>
      </c>
      <c r="N4" s="129" t="str">
        <f>IFERROR(__xludf.DUMMYFUNCTION("""COMPUTED_VALUE"""),"02-Medellin")</f>
        <v>02-Medellin</v>
      </c>
      <c r="O4" s="130"/>
      <c r="P4" s="131"/>
      <c r="Q4" s="132" t="str">
        <f>IFERROR(__xludf.DUMMYFUNCTION("""COMPUTED_VALUE"""),"#N/A")</f>
        <v>#N/A</v>
      </c>
      <c r="R4" s="132"/>
      <c r="T4" s="134">
        <f>CALENDARIO!D16</f>
        <v>2425</v>
      </c>
      <c r="U4" s="135">
        <f>CALENDARIO!C16</f>
        <v>2880</v>
      </c>
      <c r="V4" s="116"/>
      <c r="W4" s="78">
        <f>IFERROR(__xludf.DUMMYFUNCTION("FLATTEN(QUERY(LUBRICACION!C8:I225,""SELECT C WHERE I='NO PEDIDO' ""),QUERY(LUBRICACION!L8:R225,""SELECT L WHERE R='NO PEDIDO'""))"),495.0)</f>
        <v>495</v>
      </c>
      <c r="X4" s="136">
        <f>(VLOOKUP(W4,'BD LUB'!$A$2:$L$223,5,FALSE)/VLOOKUP(W4,'BD LUB'!$A$2:$L$223,7,FALSE))+(VLOOKUP(W4,'BD LUB'!$A$2:$L$223,6,FALSE)/VLOOKUP(W4,'BD LUB'!$A$2:$L$223,8,FALSE))</f>
        <v>1.531045556</v>
      </c>
      <c r="Y4" s="137">
        <f>IF(AND(VLOOKUP(W4,'BD LUB'!$A$2:$L$223,11,FALSE)="PASADO",VLOOKUP(W4,'BD LUB'!$A$2:$L$223,12,FALSE)="PASADO"),1,IF(OR(AND(VLOOKUP(W4,'BD LUB'!$A$2:$L$223,11,FALSE)="PASADO",VLOOKUP(W4,'BD LUB'!$A$2:$L$223,12,FALSE)="PRÓXIMO"),AND(VLOOKUP(W4,'BD LUB'!$A$2:$L$223,11,FALSE)="PRÓXIMO",VLOOKUP(W4,'BD LUB'!$A$2:$L$223,12,FALSE)="PASADO")),2,IF(OR(AND(VLOOKUP(W4,'BD LUB'!$A$2:$L$223,11,FALSE)="PASADO",VLOOKUP(W4,'BD LUB'!$A$2:$L$223,12,FALSE)="VIGENTE"),AND(VLOOKUP(W4,'BD LUB'!$A$2:$L$223,11,FALSE)="VIGENTE",VLOOKUP(W4,'BD LUB'!$A$2:$L$223,12,FALSE)="PASADO")),3,IF(AND(VLOOKUP(W4,'BD LUB'!$A$2:$L$223,11,FALSE)="PRÓXIMO",VLOOKUP(W4,'BD LUB'!$A$2:$L$223,12,FALSE)="PRÓXIMO"),4,IF(OR(AND(VLOOKUP(W4,'BD LUB'!$A$2:$L$223,11,FALSE)="PRÓXIMO",VLOOKUP(W4,'BD LUB'!$A$2:$L$223,12,FALSE)="VIGENTE"),AND(VLOOKUP(W4,'BD LUB'!$A$2:$L$223,11,FALSE)="VIGENTE",VLOOKUP(W4,'BD LUB'!$A$2:$L$223,12,FALSE)="PRÓXIMO")),5,IF(AND(VLOOKUP(W4,'BD LUB'!$A$2:$L$223,11,FALSE)="VIGENTE",VLOOKUP(W4,'BD LUB'!$A$2:$L$223,12,FALSE)="VIGENTE"),6,"No definido"))))))</f>
        <v>3</v>
      </c>
      <c r="Z4" s="138">
        <f>IFERROR(__xludf.DUMMYFUNCTION("FLATTEN(QUERY(LUBRICACION!C8:I226,""SELECT C WHERE (H='PASADO' OR H='PRÓXIMO') AND (I='PEDIDO' OR I='NO PEDIDO')""),QUERY(LUBRICACION!L8:R226,""SELECT L WHERE (Q='PASADO' OR Q='PRÓXIMO') AND (R='PEDIDO' OR R='NO PEDIDO')""))"),2392.0)</f>
        <v>2392</v>
      </c>
      <c r="AA4" s="139">
        <f>(VLOOKUP(Z4,'BD LUB'!$A$2:$L$223,5,FALSE)/VLOOKUP(Z4,'BD LUB'!$A$2:$L$223,7,FALSE))+(VLOOKUP(Z4,'BD LUB'!$A$2:$L$223,6,FALSE)/VLOOKUP(Z4,'BD LUB'!$A$2:$L$223,8,FALSE))</f>
        <v>2.140681111</v>
      </c>
      <c r="AB4" s="78">
        <f>IF(AND(VLOOKUP(Z4,'BD LUB'!$A$2:$L$223,11,FALSE)="PASADO",VLOOKUP(Z4,'BD LUB'!$A$2:$L$223,12,FALSE)="PASADO"),1,IF(OR(AND(VLOOKUP(Z4,'BD LUB'!$A$2:$L$223,11,FALSE)="PASADO",VLOOKUP(Z4,'BD LUB'!$A$2:$L$223,12,FALSE)="PRÓXIMO"),AND(VLOOKUP(Z4,'BD LUB'!$A$2:$L$223,11,FALSE)="PRÓXIMO",VLOOKUP(Z4,'BD LUB'!$A$2:$L$223,12,FALSE)="PASADO")),2,IF(OR(AND(VLOOKUP(Z4,'BD LUB'!$A$2:$L$223,11,FALSE)="PASADO",VLOOKUP(Z4,'BD LUB'!$A$2:$L$223,12,FALSE)="VIGENTE"),AND(VLOOKUP(Z4,'BD LUB'!$A$2:$L$223,11,FALSE)="VIGENTE",VLOOKUP(Z4,'BD LUB'!$A$2:$L$223,12,FALSE)="PASADO")),3,IF(AND(VLOOKUP(Z4,'BD LUB'!$A$2:$L$223,11,FALSE)="PRÓXIMO",VLOOKUP(Z4,'BD LUB'!$A$2:$L$223,12,FALSE)="PRÓXIMO"),4,IF(OR(AND(VLOOKUP(Z4,'BD LUB'!$A$2:$L$223,11,FALSE)="PRÓXIMO",VLOOKUP(Z4,'BD LUB'!$A$2:$L$223,12,FALSE)="VIGENTE"),AND(VLOOKUP(Z4,'BD LUB'!$A$2:$L$223,11,FALSE)="VIGENTE",VLOOKUP(Z4,'BD LUB'!$A$2:$L$223,12,FALSE)="PRÓXIMO")),5,IF(AND(VLOOKUP(Z4,'BD LUB'!$A$2:$L$223,11,FALSE)="VIGENTE",VLOOKUP(Z4,'BD LUB'!$A$2:$L$223,12,FALSE)="VIGENTE"),6,"No definido"))))))</f>
        <v>3</v>
      </c>
      <c r="AC4" s="78">
        <f>IFERROR(__xludf.DUMMYFUNCTION("UNIQUE(QUERY(LUBRICACION!Z4:AB226,""SELECT Z ORDER BY AA DESC, AB ASC""))"),2671.0)</f>
        <v>2671</v>
      </c>
      <c r="AD4" s="136" t="str">
        <f>IF(VLOOKUP(AC4,'BD LUB'!$A$2:$C$223,3,FALSE)=$AH$20,AC4&amp;" MED",IF(VLOOKUP(AC4,'BD LUB'!$A$2:$C$223,3,FALSE)=$AH$19,AC4&amp;" MAY",IF(VLOOKUP(AC4,'BD LUB'!$A$2:$C$223,3,FALSE)=$AH$18,AC4&amp;" RN",IF(VLOOKUP(AC4,'BD LUB'!$A$2:$C$223,3,FALSE)=$AH$17,AC4&amp;" COPQUI",IF(VLOOKUP(AC4,'BD LUB'!$A$2:$C$223,3,FALSE)=$AH$16,AC4&amp;" CEJ",IF(VLOOKUP(AC4,'BD LUB'!$A$2:$C$223,3,FALSE)=$AH$15,AC4&amp;" BULT",IF(VLOOKUP(AC4,'BD LUB'!$A$2:$C$223,3,FALSE)=$AH$14,AC4&amp;" COP",IF(VLOOKUP(AC4,'BD LUB'!$A$2:$C$223,3,FALSE)=$AH$13,AC4&amp;" RIO",IF(VLOOKUP(AC4,'BD LUB'!$A$2:$C$223,3,FALSE)=$AH$21,AC4&amp;" APART","Dato no encontrado")))))))))</f>
        <v>2671 MAY</v>
      </c>
      <c r="AE4" s="111"/>
      <c r="AF4" s="111"/>
      <c r="AG4" s="116"/>
      <c r="AH4" s="140"/>
      <c r="AI4" s="111"/>
      <c r="AJ4" s="126">
        <v>1.0</v>
      </c>
      <c r="AK4" s="141">
        <f>IFERROR(__xludf.DUMMYFUNCTION("""COMPUTED_VALUE"""),46661.0)</f>
        <v>46661</v>
      </c>
      <c r="AL4" s="128" t="str">
        <f>IFERROR(__xludf.DUMMYFUNCTION("""COMPUTED_VALUE"""),"02-Medellin")</f>
        <v>02-Medellin</v>
      </c>
      <c r="AM4" s="142">
        <f>IFERROR(__xludf.DUMMYFUNCTION("""COMPUTED_VALUE"""),174.0)</f>
        <v>174</v>
      </c>
      <c r="AN4" s="128"/>
      <c r="AP4" s="126">
        <v>1.0</v>
      </c>
      <c r="AQ4" s="141">
        <f>IFERROR(__xludf.DUMMYFUNCTION("""COMPUTED_VALUE"""),46661.0)</f>
        <v>46661</v>
      </c>
      <c r="AR4" s="128" t="str">
        <f>IFERROR(__xludf.DUMMYFUNCTION("""COMPUTED_VALUE"""),"02-Medellin")</f>
        <v>02-Medellin</v>
      </c>
      <c r="AS4" s="142">
        <f>IFERROR(__xludf.DUMMYFUNCTION("""COMPUTED_VALUE"""),174.0)</f>
        <v>174</v>
      </c>
      <c r="AT4" s="128"/>
      <c r="AV4" s="126">
        <v>1.0</v>
      </c>
      <c r="AW4" s="128"/>
      <c r="AX4" s="128"/>
      <c r="AY4" s="128"/>
      <c r="AZ4" s="128"/>
    </row>
    <row r="5">
      <c r="A5" s="120"/>
      <c r="B5" s="126">
        <v>2.0</v>
      </c>
      <c r="C5" s="129">
        <f>IFERROR(__xludf.DUMMYFUNCTION("""COMPUTED_VALUE"""),962.0)</f>
        <v>962</v>
      </c>
      <c r="D5" s="130">
        <f>IFERROR(__xludf.DUMMYFUNCTION("""COMPUTED_VALUE"""),46500.0)</f>
        <v>46500</v>
      </c>
      <c r="E5" s="129" t="str">
        <f>IFERROR(__xludf.DUMMYFUNCTION("""COMPUTED_VALUE"""),"02-Medellin")</f>
        <v>02-Medellin</v>
      </c>
      <c r="F5" s="130"/>
      <c r="G5" s="131"/>
      <c r="H5" s="132" t="str">
        <f>IFERROR(__xludf.DUMMYFUNCTION("""COMPUTED_VALUE"""),"#N/A")</f>
        <v>#N/A</v>
      </c>
      <c r="I5" s="132" t="str">
        <f t="shared" si="1"/>
        <v>-</v>
      </c>
      <c r="J5" s="133"/>
      <c r="K5" s="126">
        <v>2.0</v>
      </c>
      <c r="L5" s="129">
        <f>IFERROR(__xludf.DUMMYFUNCTION("""COMPUTED_VALUE"""),962.0)</f>
        <v>962</v>
      </c>
      <c r="M5" s="130">
        <f>IFERROR(__xludf.DUMMYFUNCTION("""COMPUTED_VALUE"""),46500.0)</f>
        <v>46500</v>
      </c>
      <c r="N5" s="129" t="str">
        <f>IFERROR(__xludf.DUMMYFUNCTION("""COMPUTED_VALUE"""),"02-Medellin")</f>
        <v>02-Medellin</v>
      </c>
      <c r="O5" s="130"/>
      <c r="P5" s="131"/>
      <c r="Q5" s="132" t="str">
        <f>IFERROR(__xludf.DUMMYFUNCTION("""COMPUTED_VALUE"""),"#N/A")</f>
        <v>#N/A</v>
      </c>
      <c r="R5" s="132"/>
      <c r="T5" s="134">
        <f>CALENDARIO!D17</f>
        <v>2201</v>
      </c>
      <c r="U5" s="135">
        <f>CALENDARIO!C17</f>
        <v>2392</v>
      </c>
      <c r="V5" s="116"/>
      <c r="W5" s="78">
        <f>IFERROR(__xludf.DUMMYFUNCTION("""COMPUTED_VALUE"""),2640.0)</f>
        <v>2640</v>
      </c>
      <c r="X5" s="136">
        <f>(VLOOKUP(W5,'BD LUB'!$A$2:$L$223,5,FALSE)/VLOOKUP(W5,'BD LUB'!$A$2:$L$223,7,FALSE))+(VLOOKUP(W5,'BD LUB'!$A$2:$L$223,6,FALSE)/VLOOKUP(W5,'BD LUB'!$A$2:$L$223,8,FALSE))</f>
        <v>1.421944444</v>
      </c>
      <c r="Y5" s="137">
        <f>IF(AND(VLOOKUP(W5,'BD LUB'!$A$2:$L$223,11,FALSE)="PASADO",VLOOKUP(W5,'BD LUB'!$A$2:$L$223,12,FALSE)="PASADO"),1,IF(OR(AND(VLOOKUP(W5,'BD LUB'!$A$2:$L$223,11,FALSE)="PASADO",VLOOKUP(W5,'BD LUB'!$A$2:$L$223,12,FALSE)="PRÓXIMO"),AND(VLOOKUP(W5,'BD LUB'!$A$2:$L$223,11,FALSE)="PRÓXIMO",VLOOKUP(W5,'BD LUB'!$A$2:$L$223,12,FALSE)="PASADO")),2,IF(OR(AND(VLOOKUP(W5,'BD LUB'!$A$2:$L$223,11,FALSE)="PASADO",VLOOKUP(W5,'BD LUB'!$A$2:$L$223,12,FALSE)="VIGENTE"),AND(VLOOKUP(W5,'BD LUB'!$A$2:$L$223,11,FALSE)="VIGENTE",VLOOKUP(W5,'BD LUB'!$A$2:$L$223,12,FALSE)="PASADO")),3,IF(AND(VLOOKUP(W5,'BD LUB'!$A$2:$L$223,11,FALSE)="PRÓXIMO",VLOOKUP(W5,'BD LUB'!$A$2:$L$223,12,FALSE)="PRÓXIMO"),4,IF(OR(AND(VLOOKUP(W5,'BD LUB'!$A$2:$L$223,11,FALSE)="PRÓXIMO",VLOOKUP(W5,'BD LUB'!$A$2:$L$223,12,FALSE)="VIGENTE"),AND(VLOOKUP(W5,'BD LUB'!$A$2:$L$223,11,FALSE)="VIGENTE",VLOOKUP(W5,'BD LUB'!$A$2:$L$223,12,FALSE)="PRÓXIMO")),5,IF(AND(VLOOKUP(W5,'BD LUB'!$A$2:$L$223,11,FALSE)="VIGENTE",VLOOKUP(W5,'BD LUB'!$A$2:$L$223,12,FALSE)="VIGENTE"),6,"No definido"))))))</f>
        <v>5</v>
      </c>
      <c r="Z5" s="138">
        <f>IFERROR(__xludf.DUMMYFUNCTION("""COMPUTED_VALUE"""),2276.0)</f>
        <v>2276</v>
      </c>
      <c r="AA5" s="139">
        <f>(VLOOKUP(Z5,'BD LUB'!$A$2:$L$223,5,FALSE)/VLOOKUP(Z5,'BD LUB'!$A$2:$L$223,7,FALSE))+(VLOOKUP(Z5,'BD LUB'!$A$2:$L$223,6,FALSE)/VLOOKUP(Z5,'BD LUB'!$A$2:$L$223,8,FALSE))</f>
        <v>2.172864444</v>
      </c>
      <c r="AB5" s="78">
        <f>IF(AND(VLOOKUP(Z5,'BD LUB'!$A$2:$L$223,11,FALSE)="PASADO",VLOOKUP(Z5,'BD LUB'!$A$2:$L$223,12,FALSE)="PASADO"),1,IF(OR(AND(VLOOKUP(Z5,'BD LUB'!$A$2:$L$223,11,FALSE)="PASADO",VLOOKUP(Z5,'BD LUB'!$A$2:$L$223,12,FALSE)="PRÓXIMO"),AND(VLOOKUP(Z5,'BD LUB'!$A$2:$L$223,11,FALSE)="PRÓXIMO",VLOOKUP(Z5,'BD LUB'!$A$2:$L$223,12,FALSE)="PASADO")),2,IF(OR(AND(VLOOKUP(Z5,'BD LUB'!$A$2:$L$223,11,FALSE)="PASADO",VLOOKUP(Z5,'BD LUB'!$A$2:$L$223,12,FALSE)="VIGENTE"),AND(VLOOKUP(Z5,'BD LUB'!$A$2:$L$223,11,FALSE)="VIGENTE",VLOOKUP(Z5,'BD LUB'!$A$2:$L$223,12,FALSE)="PASADO")),3,IF(AND(VLOOKUP(Z5,'BD LUB'!$A$2:$L$223,11,FALSE)="PRÓXIMO",VLOOKUP(Z5,'BD LUB'!$A$2:$L$223,12,FALSE)="PRÓXIMO"),4,IF(OR(AND(VLOOKUP(Z5,'BD LUB'!$A$2:$L$223,11,FALSE)="PRÓXIMO",VLOOKUP(Z5,'BD LUB'!$A$2:$L$223,12,FALSE)="VIGENTE"),AND(VLOOKUP(Z5,'BD LUB'!$A$2:$L$223,11,FALSE)="VIGENTE",VLOOKUP(Z5,'BD LUB'!$A$2:$L$223,12,FALSE)="PRÓXIMO")),5,IF(AND(VLOOKUP(Z5,'BD LUB'!$A$2:$L$223,11,FALSE)="VIGENTE",VLOOKUP(Z5,'BD LUB'!$A$2:$L$223,12,FALSE)="VIGENTE"),6,"No definido"))))))</f>
        <v>2</v>
      </c>
      <c r="AC5" s="78">
        <f>IFERROR(__xludf.DUMMYFUNCTION("""COMPUTED_VALUE"""),2681.0)</f>
        <v>2681</v>
      </c>
      <c r="AD5" s="136" t="str">
        <f>IF(VLOOKUP(AC5,'BD LUB'!$A$2:$C$223,3,FALSE)=$AH$20,AC5&amp;" MED",IF(VLOOKUP(AC5,'BD LUB'!$A$2:$C$223,3,FALSE)=$AH$19,AC5&amp;" MAY",IF(VLOOKUP(AC5,'BD LUB'!$A$2:$C$223,3,FALSE)=$AH$18,AC5&amp;" RN",IF(VLOOKUP(AC5,'BD LUB'!$A$2:$C$223,3,FALSE)=$AH$17,AC5&amp;" COPQUI",IF(VLOOKUP(AC5,'BD LUB'!$A$2:$C$223,3,FALSE)=$AH$16,AC5&amp;" CEJ",IF(VLOOKUP(AC5,'BD LUB'!$A$2:$C$223,3,FALSE)=$AH$15,AC5&amp;" BULT",IF(VLOOKUP(AC5,'BD LUB'!$A$2:$C$223,3,FALSE)=$AH$14,AC5&amp;" COP",IF(VLOOKUP(AC5,'BD LUB'!$A$2:$C$223,3,FALSE)=$AH$13,AC5&amp;" RIO",IF(VLOOKUP(AC5,'BD LUB'!$A$2:$C$223,3,FALSE)=$AH$21,AC5&amp;" APART","Dato no encontrado")))))))))</f>
        <v>2681 APART</v>
      </c>
      <c r="AG5" s="116"/>
      <c r="AH5" s="143"/>
      <c r="AI5" s="111"/>
      <c r="AJ5" s="126">
        <v>2.0</v>
      </c>
      <c r="AK5" s="141">
        <f>IFERROR(__xludf.DUMMYFUNCTION("""COMPUTED_VALUE"""),46275.0)</f>
        <v>46275</v>
      </c>
      <c r="AL5" s="128" t="str">
        <f>IFERROR(__xludf.DUMMYFUNCTION("""COMPUTED_VALUE"""),"02-Medellin")</f>
        <v>02-Medellin</v>
      </c>
      <c r="AM5" s="142">
        <f>IFERROR(__xludf.DUMMYFUNCTION("""COMPUTED_VALUE"""),174.0)</f>
        <v>174</v>
      </c>
      <c r="AN5" s="128"/>
      <c r="AP5" s="126">
        <v>2.0</v>
      </c>
      <c r="AQ5" s="141">
        <f>IFERROR(__xludf.DUMMYFUNCTION("""COMPUTED_VALUE"""),46275.0)</f>
        <v>46275</v>
      </c>
      <c r="AR5" s="128" t="str">
        <f>IFERROR(__xludf.DUMMYFUNCTION("""COMPUTED_VALUE"""),"02-Medellin")</f>
        <v>02-Medellin</v>
      </c>
      <c r="AS5" s="142">
        <f>IFERROR(__xludf.DUMMYFUNCTION("""COMPUTED_VALUE"""),174.0)</f>
        <v>174</v>
      </c>
      <c r="AT5" s="128"/>
      <c r="AV5" s="126">
        <v>2.0</v>
      </c>
      <c r="AW5" s="128"/>
      <c r="AX5" s="128"/>
      <c r="AY5" s="128"/>
      <c r="AZ5" s="128"/>
    </row>
    <row r="6">
      <c r="A6" s="120"/>
      <c r="B6" s="126">
        <v>3.0</v>
      </c>
      <c r="C6" s="144">
        <f>IFERROR(__xludf.DUMMYFUNCTION("""COMPUTED_VALUE"""),975.0)</f>
        <v>975</v>
      </c>
      <c r="D6" s="9">
        <f>IFERROR(__xludf.DUMMYFUNCTION("""COMPUTED_VALUE"""),46214.0)</f>
        <v>46214</v>
      </c>
      <c r="E6" s="135" t="str">
        <f>IFERROR(__xludf.DUMMYFUNCTION("""COMPUTED_VALUE"""),"02-Medellin")</f>
        <v>02-Medellin</v>
      </c>
      <c r="F6" s="145"/>
      <c r="G6" s="146"/>
      <c r="H6" s="132" t="str">
        <f>IFERROR(__xludf.DUMMYFUNCTION("""COMPUTED_VALUE"""),"#N/A")</f>
        <v>#N/A</v>
      </c>
      <c r="I6" s="132" t="str">
        <f t="shared" si="1"/>
        <v>-</v>
      </c>
      <c r="J6" s="133"/>
      <c r="K6" s="126">
        <v>3.0</v>
      </c>
      <c r="L6" s="144">
        <f>IFERROR(__xludf.DUMMYFUNCTION("""COMPUTED_VALUE"""),975.0)</f>
        <v>975</v>
      </c>
      <c r="M6" s="145">
        <f>IFERROR(__xludf.DUMMYFUNCTION("""COMPUTED_VALUE"""),46214.0)</f>
        <v>46214</v>
      </c>
      <c r="N6" s="135" t="str">
        <f>IFERROR(__xludf.DUMMYFUNCTION("""COMPUTED_VALUE"""),"02-Medellin")</f>
        <v>02-Medellin</v>
      </c>
      <c r="O6" s="145"/>
      <c r="P6" s="146"/>
      <c r="Q6" s="132" t="str">
        <f>IFERROR(__xludf.DUMMYFUNCTION("""COMPUTED_VALUE"""),"#N/A")</f>
        <v>#N/A</v>
      </c>
      <c r="R6" s="132"/>
      <c r="T6" s="134">
        <f>CALENDARIO!D18</f>
        <v>3083</v>
      </c>
      <c r="U6" s="135">
        <f>CALENDARIO!C18</f>
        <v>2425</v>
      </c>
      <c r="V6" s="116"/>
      <c r="W6" s="78">
        <f>IFERROR(__xludf.DUMMYFUNCTION("""COMPUTED_VALUE"""),496.0)</f>
        <v>496</v>
      </c>
      <c r="X6" s="136">
        <f>(VLOOKUP(W6,'BD LUB'!$A$2:$L$223,5,FALSE)/VLOOKUP(W6,'BD LUB'!$A$2:$L$223,7,FALSE))+(VLOOKUP(W6,'BD LUB'!$A$2:$L$223,6,FALSE)/VLOOKUP(W6,'BD LUB'!$A$2:$L$223,8,FALSE))</f>
        <v>1.408628889</v>
      </c>
      <c r="Y6" s="137">
        <f>IF(AND(VLOOKUP(W6,'BD LUB'!$A$2:$L$223,11,FALSE)="PASADO",VLOOKUP(W6,'BD LUB'!$A$2:$L$223,12,FALSE)="PASADO"),1,IF(OR(AND(VLOOKUP(W6,'BD LUB'!$A$2:$L$223,11,FALSE)="PASADO",VLOOKUP(W6,'BD LUB'!$A$2:$L$223,12,FALSE)="PRÓXIMO"),AND(VLOOKUP(W6,'BD LUB'!$A$2:$L$223,11,FALSE)="PRÓXIMO",VLOOKUP(W6,'BD LUB'!$A$2:$L$223,12,FALSE)="PASADO")),2,IF(OR(AND(VLOOKUP(W6,'BD LUB'!$A$2:$L$223,11,FALSE)="PASADO",VLOOKUP(W6,'BD LUB'!$A$2:$L$223,12,FALSE)="VIGENTE"),AND(VLOOKUP(W6,'BD LUB'!$A$2:$L$223,11,FALSE)="VIGENTE",VLOOKUP(W6,'BD LUB'!$A$2:$L$223,12,FALSE)="PASADO")),3,IF(AND(VLOOKUP(W6,'BD LUB'!$A$2:$L$223,11,FALSE)="PRÓXIMO",VLOOKUP(W6,'BD LUB'!$A$2:$L$223,12,FALSE)="PRÓXIMO"),4,IF(OR(AND(VLOOKUP(W6,'BD LUB'!$A$2:$L$223,11,FALSE)="PRÓXIMO",VLOOKUP(W6,'BD LUB'!$A$2:$L$223,12,FALSE)="VIGENTE"),AND(VLOOKUP(W6,'BD LUB'!$A$2:$L$223,11,FALSE)="VIGENTE",VLOOKUP(W6,'BD LUB'!$A$2:$L$223,12,FALSE)="PRÓXIMO")),5,IF(AND(VLOOKUP(W6,'BD LUB'!$A$2:$L$223,11,FALSE)="VIGENTE",VLOOKUP(W6,'BD LUB'!$A$2:$L$223,12,FALSE)="VIGENTE"),6,"No definido"))))))</f>
        <v>5</v>
      </c>
      <c r="Z6" s="138">
        <f>IFERROR(__xludf.DUMMYFUNCTION("""COMPUTED_VALUE"""),2671.0)</f>
        <v>2671</v>
      </c>
      <c r="AA6" s="139">
        <f>(VLOOKUP(Z6,'BD LUB'!$A$2:$L$223,5,FALSE)/VLOOKUP(Z6,'BD LUB'!$A$2:$L$223,7,FALSE))+(VLOOKUP(Z6,'BD LUB'!$A$2:$L$223,6,FALSE)/VLOOKUP(Z6,'BD LUB'!$A$2:$L$223,8,FALSE))</f>
        <v>2.224967778</v>
      </c>
      <c r="AB6" s="78">
        <f>IF(AND(VLOOKUP(Z6,'BD LUB'!$A$2:$L$223,11,FALSE)="PASADO",VLOOKUP(Z6,'BD LUB'!$A$2:$L$223,12,FALSE)="PASADO"),1,IF(OR(AND(VLOOKUP(Z6,'BD LUB'!$A$2:$L$223,11,FALSE)="PASADO",VLOOKUP(Z6,'BD LUB'!$A$2:$L$223,12,FALSE)="PRÓXIMO"),AND(VLOOKUP(Z6,'BD LUB'!$A$2:$L$223,11,FALSE)="PRÓXIMO",VLOOKUP(Z6,'BD LUB'!$A$2:$L$223,12,FALSE)="PASADO")),2,IF(OR(AND(VLOOKUP(Z6,'BD LUB'!$A$2:$L$223,11,FALSE)="PASADO",VLOOKUP(Z6,'BD LUB'!$A$2:$L$223,12,FALSE)="VIGENTE"),AND(VLOOKUP(Z6,'BD LUB'!$A$2:$L$223,11,FALSE)="VIGENTE",VLOOKUP(Z6,'BD LUB'!$A$2:$L$223,12,FALSE)="PASADO")),3,IF(AND(VLOOKUP(Z6,'BD LUB'!$A$2:$L$223,11,FALSE)="PRÓXIMO",VLOOKUP(Z6,'BD LUB'!$A$2:$L$223,12,FALSE)="PRÓXIMO"),4,IF(OR(AND(VLOOKUP(Z6,'BD LUB'!$A$2:$L$223,11,FALSE)="PRÓXIMO",VLOOKUP(Z6,'BD LUB'!$A$2:$L$223,12,FALSE)="VIGENTE"),AND(VLOOKUP(Z6,'BD LUB'!$A$2:$L$223,11,FALSE)="VIGENTE",VLOOKUP(Z6,'BD LUB'!$A$2:$L$223,12,FALSE)="PRÓXIMO")),5,IF(AND(VLOOKUP(Z6,'BD LUB'!$A$2:$L$223,11,FALSE)="VIGENTE",VLOOKUP(Z6,'BD LUB'!$A$2:$L$223,12,FALSE)="VIGENTE"),6,"No definido"))))))</f>
        <v>1</v>
      </c>
      <c r="AC6" s="78">
        <f>IFERROR(__xludf.DUMMYFUNCTION("""COMPUTED_VALUE"""),2276.0)</f>
        <v>2276</v>
      </c>
      <c r="AD6" s="136" t="str">
        <f>IF(VLOOKUP(AC6,'BD LUB'!$A$2:$C$223,3,FALSE)=$AH$20,AC6&amp;" MED",IF(VLOOKUP(AC6,'BD LUB'!$A$2:$C$223,3,FALSE)=$AH$19,AC6&amp;" MAY",IF(VLOOKUP(AC6,'BD LUB'!$A$2:$C$223,3,FALSE)=$AH$18,AC6&amp;" RN",IF(VLOOKUP(AC6,'BD LUB'!$A$2:$C$223,3,FALSE)=$AH$17,AC6&amp;" COPQUI",IF(VLOOKUP(AC6,'BD LUB'!$A$2:$C$223,3,FALSE)=$AH$16,AC6&amp;" CEJ",IF(VLOOKUP(AC6,'BD LUB'!$A$2:$C$223,3,FALSE)=$AH$15,AC6&amp;" BULT",IF(VLOOKUP(AC6,'BD LUB'!$A$2:$C$223,3,FALSE)=$AH$14,AC6&amp;" COP",IF(VLOOKUP(AC6,'BD LUB'!$A$2:$C$223,3,FALSE)=$AH$13,AC6&amp;" RIO",IF(VLOOKUP(AC6,'BD LUB'!$A$2:$C$223,3,FALSE)=$AH$21,AC6&amp;" APART","Dato no encontrado")))))))))</f>
        <v>2276 MED</v>
      </c>
      <c r="AG6" s="116"/>
      <c r="AH6" s="143"/>
      <c r="AI6" s="111"/>
      <c r="AJ6" s="126">
        <v>3.0</v>
      </c>
      <c r="AK6" s="141">
        <f>IFERROR(__xludf.DUMMYFUNCTION("""COMPUTED_VALUE"""),46660.0)</f>
        <v>46660</v>
      </c>
      <c r="AL6" s="128" t="str">
        <f>IFERROR(__xludf.DUMMYFUNCTION("""COMPUTED_VALUE"""),"02-Medellin")</f>
        <v>02-Medellin</v>
      </c>
      <c r="AM6" s="142">
        <f>IFERROR(__xludf.DUMMYFUNCTION("""COMPUTED_VALUE"""),160.0)</f>
        <v>160</v>
      </c>
      <c r="AN6" s="128"/>
      <c r="AP6" s="126">
        <v>3.0</v>
      </c>
      <c r="AQ6" s="141">
        <f>IFERROR(__xludf.DUMMYFUNCTION("""COMPUTED_VALUE"""),46660.0)</f>
        <v>46660</v>
      </c>
      <c r="AR6" s="128" t="str">
        <f>IFERROR(__xludf.DUMMYFUNCTION("""COMPUTED_VALUE"""),"02-Medellin")</f>
        <v>02-Medellin</v>
      </c>
      <c r="AS6" s="142">
        <f>IFERROR(__xludf.DUMMYFUNCTION("""COMPUTED_VALUE"""),160.0)</f>
        <v>160</v>
      </c>
      <c r="AT6" s="128"/>
      <c r="AV6" s="126">
        <v>3.0</v>
      </c>
      <c r="AW6" s="128"/>
      <c r="AX6" s="128"/>
      <c r="AY6" s="128"/>
      <c r="AZ6" s="128"/>
    </row>
    <row r="7">
      <c r="A7" s="120"/>
      <c r="B7" s="126">
        <v>4.0</v>
      </c>
      <c r="C7" s="135">
        <f>IFERROR(__xludf.DUMMYFUNCTION("""COMPUTED_VALUE"""),976.0)</f>
        <v>976</v>
      </c>
      <c r="D7" s="145">
        <f>IFERROR(__xludf.DUMMYFUNCTION("""COMPUTED_VALUE"""),46047.0)</f>
        <v>46047</v>
      </c>
      <c r="E7" s="135" t="str">
        <f>IFERROR(__xludf.DUMMYFUNCTION("""COMPUTED_VALUE"""),"02-Medellin")</f>
        <v>02-Medellin</v>
      </c>
      <c r="F7" s="145"/>
      <c r="G7" s="146"/>
      <c r="H7" s="132" t="str">
        <f>IFERROR(__xludf.DUMMYFUNCTION("""COMPUTED_VALUE"""),"#N/A")</f>
        <v>#N/A</v>
      </c>
      <c r="I7" s="132" t="str">
        <f t="shared" si="1"/>
        <v>-</v>
      </c>
      <c r="J7" s="133"/>
      <c r="K7" s="126">
        <v>4.0</v>
      </c>
      <c r="L7" s="135">
        <f>IFERROR(__xludf.DUMMYFUNCTION("""COMPUTED_VALUE"""),976.0)</f>
        <v>976</v>
      </c>
      <c r="M7" s="147">
        <f>IFERROR(__xludf.DUMMYFUNCTION("""COMPUTED_VALUE"""),46047.0)</f>
        <v>46047</v>
      </c>
      <c r="N7" s="135" t="str">
        <f>IFERROR(__xludf.DUMMYFUNCTION("""COMPUTED_VALUE"""),"02-Medellin")</f>
        <v>02-Medellin</v>
      </c>
      <c r="O7" s="145"/>
      <c r="P7" s="146"/>
      <c r="Q7" s="132" t="str">
        <f>IFERROR(__xludf.DUMMYFUNCTION("""COMPUTED_VALUE"""),"#N/A")</f>
        <v>#N/A</v>
      </c>
      <c r="R7" s="132"/>
      <c r="T7" s="134">
        <f>CALENDARIO!D19</f>
        <v>3282</v>
      </c>
      <c r="U7" s="135">
        <f>CALENDARIO!C19</f>
        <v>2201</v>
      </c>
      <c r="V7" s="116"/>
      <c r="W7" s="129">
        <f>IFERROR(__xludf.DUMMYFUNCTION("""COMPUTED_VALUE"""),464.0)</f>
        <v>464</v>
      </c>
      <c r="X7" s="136">
        <f>(VLOOKUP(W7,'BD LUB'!$A$2:$L$223,5,FALSE)/VLOOKUP(W7,'BD LUB'!$A$2:$L$223,7,FALSE))+(VLOOKUP(W7,'BD LUB'!$A$2:$L$223,6,FALSE)/VLOOKUP(W7,'BD LUB'!$A$2:$L$223,8,FALSE))</f>
        <v>1.18678</v>
      </c>
      <c r="Y7" s="137">
        <f>IF(AND(VLOOKUP(W7,'BD LUB'!$A$2:$L$223,11,FALSE)="PASADO",VLOOKUP(W7,'BD LUB'!$A$2:$L$223,12,FALSE)="PASADO"),1,IF(OR(AND(VLOOKUP(W7,'BD LUB'!$A$2:$L$223,11,FALSE)="PASADO",VLOOKUP(W7,'BD LUB'!$A$2:$L$223,12,FALSE)="PRÓXIMO"),AND(VLOOKUP(W7,'BD LUB'!$A$2:$L$223,11,FALSE)="PRÓXIMO",VLOOKUP(W7,'BD LUB'!$A$2:$L$223,12,FALSE)="PASADO")),2,IF(OR(AND(VLOOKUP(W7,'BD LUB'!$A$2:$L$223,11,FALSE)="PASADO",VLOOKUP(W7,'BD LUB'!$A$2:$L$223,12,FALSE)="VIGENTE"),AND(VLOOKUP(W7,'BD LUB'!$A$2:$L$223,11,FALSE)="VIGENTE",VLOOKUP(W7,'BD LUB'!$A$2:$L$223,12,FALSE)="PASADO")),3,IF(AND(VLOOKUP(W7,'BD LUB'!$A$2:$L$223,11,FALSE)="PRÓXIMO",VLOOKUP(W7,'BD LUB'!$A$2:$L$223,12,FALSE)="PRÓXIMO"),4,IF(OR(AND(VLOOKUP(W7,'BD LUB'!$A$2:$L$223,11,FALSE)="PRÓXIMO",VLOOKUP(W7,'BD LUB'!$A$2:$L$223,12,FALSE)="VIGENTE"),AND(VLOOKUP(W7,'BD LUB'!$A$2:$L$223,11,FALSE)="VIGENTE",VLOOKUP(W7,'BD LUB'!$A$2:$L$223,12,FALSE)="PRÓXIMO")),5,IF(AND(VLOOKUP(W7,'BD LUB'!$A$2:$L$223,11,FALSE)="VIGENTE",VLOOKUP(W7,'BD LUB'!$A$2:$L$223,12,FALSE)="VIGENTE"),6,"No definido"))))))</f>
        <v>5</v>
      </c>
      <c r="Z7" s="138">
        <f>IFERROR(__xludf.DUMMYFUNCTION("""COMPUTED_VALUE"""),2673.0)</f>
        <v>2673</v>
      </c>
      <c r="AA7" s="139">
        <f>(VLOOKUP(Z7,'BD LUB'!$A$2:$L$223,5,FALSE)/VLOOKUP(Z7,'BD LUB'!$A$2:$L$223,7,FALSE))+(VLOOKUP(Z7,'BD LUB'!$A$2:$L$223,6,FALSE)/VLOOKUP(Z7,'BD LUB'!$A$2:$L$223,8,FALSE))</f>
        <v>1.886836667</v>
      </c>
      <c r="AB7" s="78">
        <f>IF(AND(VLOOKUP(Z7,'BD LUB'!$A$2:$L$223,11,FALSE)="PASADO",VLOOKUP(Z7,'BD LUB'!$A$2:$L$223,12,FALSE)="PASADO"),1,IF(OR(AND(VLOOKUP(Z7,'BD LUB'!$A$2:$L$223,11,FALSE)="PASADO",VLOOKUP(Z7,'BD LUB'!$A$2:$L$223,12,FALSE)="PRÓXIMO"),AND(VLOOKUP(Z7,'BD LUB'!$A$2:$L$223,11,FALSE)="PRÓXIMO",VLOOKUP(Z7,'BD LUB'!$A$2:$L$223,12,FALSE)="PASADO")),2,IF(OR(AND(VLOOKUP(Z7,'BD LUB'!$A$2:$L$223,11,FALSE)="PASADO",VLOOKUP(Z7,'BD LUB'!$A$2:$L$223,12,FALSE)="VIGENTE"),AND(VLOOKUP(Z7,'BD LUB'!$A$2:$L$223,11,FALSE)="VIGENTE",VLOOKUP(Z7,'BD LUB'!$A$2:$L$223,12,FALSE)="PASADO")),3,IF(AND(VLOOKUP(Z7,'BD LUB'!$A$2:$L$223,11,FALSE)="PRÓXIMO",VLOOKUP(Z7,'BD LUB'!$A$2:$L$223,12,FALSE)="PRÓXIMO"),4,IF(OR(AND(VLOOKUP(Z7,'BD LUB'!$A$2:$L$223,11,FALSE)="PRÓXIMO",VLOOKUP(Z7,'BD LUB'!$A$2:$L$223,12,FALSE)="VIGENTE"),AND(VLOOKUP(Z7,'BD LUB'!$A$2:$L$223,11,FALSE)="VIGENTE",VLOOKUP(Z7,'BD LUB'!$A$2:$L$223,12,FALSE)="PRÓXIMO")),5,IF(AND(VLOOKUP(Z7,'BD LUB'!$A$2:$L$223,11,FALSE)="VIGENTE",VLOOKUP(Z7,'BD LUB'!$A$2:$L$223,12,FALSE)="VIGENTE"),6,"No definido"))))))</f>
        <v>3</v>
      </c>
      <c r="AC7" s="78">
        <f>IFERROR(__xludf.DUMMYFUNCTION("""COMPUTED_VALUE"""),2334.0)</f>
        <v>2334</v>
      </c>
      <c r="AD7" s="136" t="str">
        <f>IF(VLOOKUP(AC7,'BD LUB'!$A$2:$C$223,3,FALSE)=$AH$20,AC7&amp;" MED",IF(VLOOKUP(AC7,'BD LUB'!$A$2:$C$223,3,FALSE)=$AH$19,AC7&amp;" MAY",IF(VLOOKUP(AC7,'BD LUB'!$A$2:$C$223,3,FALSE)=$AH$18,AC7&amp;" RN",IF(VLOOKUP(AC7,'BD LUB'!$A$2:$C$223,3,FALSE)=$AH$17,AC7&amp;" COPQUI",IF(VLOOKUP(AC7,'BD LUB'!$A$2:$C$223,3,FALSE)=$AH$16,AC7&amp;" CEJ",IF(VLOOKUP(AC7,'BD LUB'!$A$2:$C$223,3,FALSE)=$AH$15,AC7&amp;" BULT",IF(VLOOKUP(AC7,'BD LUB'!$A$2:$C$223,3,FALSE)=$AH$14,AC7&amp;" COP",IF(VLOOKUP(AC7,'BD LUB'!$A$2:$C$223,3,FALSE)=$AH$13,AC7&amp;" RIO",IF(VLOOKUP(AC7,'BD LUB'!$A$2:$C$223,3,FALSE)=$AH$21,AC7&amp;" APART","Dato no encontrado")))))))))</f>
        <v>2334 APART</v>
      </c>
      <c r="AG7" s="116"/>
      <c r="AH7" s="143"/>
      <c r="AI7" s="111"/>
      <c r="AJ7" s="126">
        <v>4.0</v>
      </c>
      <c r="AK7" s="141">
        <f>IFERROR(__xludf.DUMMYFUNCTION("""COMPUTED_VALUE"""),46318.0)</f>
        <v>46318</v>
      </c>
      <c r="AL7" s="128" t="str">
        <f>IFERROR(__xludf.DUMMYFUNCTION("""COMPUTED_VALUE"""),"MAYORCA")</f>
        <v>MAYORCA</v>
      </c>
      <c r="AM7" s="142">
        <f>IFERROR(__xludf.DUMMYFUNCTION("""COMPUTED_VALUE"""),160.0)</f>
        <v>160</v>
      </c>
      <c r="AN7" s="128"/>
      <c r="AP7" s="126">
        <v>4.0</v>
      </c>
      <c r="AQ7" s="141">
        <f>IFERROR(__xludf.DUMMYFUNCTION("""COMPUTED_VALUE"""),46318.0)</f>
        <v>46318</v>
      </c>
      <c r="AR7" s="128" t="str">
        <f>IFERROR(__xludf.DUMMYFUNCTION("""COMPUTED_VALUE"""),"MAYORCA")</f>
        <v>MAYORCA</v>
      </c>
      <c r="AS7" s="142">
        <f>IFERROR(__xludf.DUMMYFUNCTION("""COMPUTED_VALUE"""),160.0)</f>
        <v>160</v>
      </c>
      <c r="AT7" s="128"/>
      <c r="AV7" s="126">
        <v>4.0</v>
      </c>
      <c r="AW7" s="128"/>
      <c r="AX7" s="128"/>
      <c r="AY7" s="128"/>
      <c r="AZ7" s="128"/>
    </row>
    <row r="8">
      <c r="A8" s="120"/>
      <c r="B8" s="126">
        <v>5.0</v>
      </c>
      <c r="C8" s="135"/>
      <c r="D8" s="145"/>
      <c r="E8" s="135"/>
      <c r="F8" s="145"/>
      <c r="G8" s="146"/>
      <c r="H8" s="132" t="str">
        <f>IFERROR(__xludf.DUMMYFUNCTION("""COMPUTED_VALUE"""),"#N/A")</f>
        <v>#N/A</v>
      </c>
      <c r="I8" s="132" t="str">
        <f t="shared" si="1"/>
        <v>-</v>
      </c>
      <c r="J8" s="133"/>
      <c r="K8" s="126">
        <v>5.0</v>
      </c>
      <c r="L8" s="135"/>
      <c r="M8" s="145"/>
      <c r="N8" s="135"/>
      <c r="O8" s="145"/>
      <c r="P8" s="146"/>
      <c r="Q8" s="132" t="str">
        <f>IFERROR(__xludf.DUMMYFUNCTION("""COMPUTED_VALUE"""),"#N/A")</f>
        <v>#N/A</v>
      </c>
      <c r="R8" s="132"/>
      <c r="T8" s="134">
        <f>CALENDARIO!D20</f>
        <v>2845</v>
      </c>
      <c r="U8" s="135">
        <f>CALENDARIO!C20</f>
        <v>2437</v>
      </c>
      <c r="V8" s="116"/>
      <c r="W8" s="129">
        <f>IFERROR(__xludf.DUMMYFUNCTION("""COMPUTED_VALUE"""),2394.0)</f>
        <v>2394</v>
      </c>
      <c r="X8" s="136">
        <f>(VLOOKUP(W8,'BD LUB'!$A$2:$L$223,5,FALSE)/VLOOKUP(W8,'BD LUB'!$A$2:$L$223,7,FALSE))+(VLOOKUP(W8,'BD LUB'!$A$2:$L$223,6,FALSE)/VLOOKUP(W8,'BD LUB'!$A$2:$L$223,8,FALSE))</f>
        <v>1.455846667</v>
      </c>
      <c r="Y8" s="137">
        <f>IF(AND(VLOOKUP(W8,'BD LUB'!$A$2:$L$223,11,FALSE)="PASADO",VLOOKUP(W8,'BD LUB'!$A$2:$L$223,12,FALSE)="PASADO"),1,IF(OR(AND(VLOOKUP(W8,'BD LUB'!$A$2:$L$223,11,FALSE)="PASADO",VLOOKUP(W8,'BD LUB'!$A$2:$L$223,12,FALSE)="PRÓXIMO"),AND(VLOOKUP(W8,'BD LUB'!$A$2:$L$223,11,FALSE)="PRÓXIMO",VLOOKUP(W8,'BD LUB'!$A$2:$L$223,12,FALSE)="PASADO")),2,IF(OR(AND(VLOOKUP(W8,'BD LUB'!$A$2:$L$223,11,FALSE)="PASADO",VLOOKUP(W8,'BD LUB'!$A$2:$L$223,12,FALSE)="VIGENTE"),AND(VLOOKUP(W8,'BD LUB'!$A$2:$L$223,11,FALSE)="VIGENTE",VLOOKUP(W8,'BD LUB'!$A$2:$L$223,12,FALSE)="PASADO")),3,IF(AND(VLOOKUP(W8,'BD LUB'!$A$2:$L$223,11,FALSE)="PRÓXIMO",VLOOKUP(W8,'BD LUB'!$A$2:$L$223,12,FALSE)="PRÓXIMO"),4,IF(OR(AND(VLOOKUP(W8,'BD LUB'!$A$2:$L$223,11,FALSE)="PRÓXIMO",VLOOKUP(W8,'BD LUB'!$A$2:$L$223,12,FALSE)="VIGENTE"),AND(VLOOKUP(W8,'BD LUB'!$A$2:$L$223,11,FALSE)="VIGENTE",VLOOKUP(W8,'BD LUB'!$A$2:$L$223,12,FALSE)="PRÓXIMO")),5,IF(AND(VLOOKUP(W8,'BD LUB'!$A$2:$L$223,11,FALSE)="VIGENTE",VLOOKUP(W8,'BD LUB'!$A$2:$L$223,12,FALSE)="VIGENTE"),6,"No definido"))))))</f>
        <v>5</v>
      </c>
      <c r="Z8" s="138">
        <f>IFERROR(__xludf.DUMMYFUNCTION("""COMPUTED_VALUE"""),2424.0)</f>
        <v>2424</v>
      </c>
      <c r="AA8" s="139">
        <f>(VLOOKUP(Z8,'BD LUB'!$A$2:$L$223,5,FALSE)/VLOOKUP(Z8,'BD LUB'!$A$2:$L$223,7,FALSE))+(VLOOKUP(Z8,'BD LUB'!$A$2:$L$223,6,FALSE)/VLOOKUP(Z8,'BD LUB'!$A$2:$L$223,8,FALSE))</f>
        <v>1.9363</v>
      </c>
      <c r="AB8" s="78">
        <f>IF(AND(VLOOKUP(Z8,'BD LUB'!$A$2:$L$223,11,FALSE)="PASADO",VLOOKUP(Z8,'BD LUB'!$A$2:$L$223,12,FALSE)="PASADO"),1,IF(OR(AND(VLOOKUP(Z8,'BD LUB'!$A$2:$L$223,11,FALSE)="PASADO",VLOOKUP(Z8,'BD LUB'!$A$2:$L$223,12,FALSE)="PRÓXIMO"),AND(VLOOKUP(Z8,'BD LUB'!$A$2:$L$223,11,FALSE)="PRÓXIMO",VLOOKUP(Z8,'BD LUB'!$A$2:$L$223,12,FALSE)="PASADO")),2,IF(OR(AND(VLOOKUP(Z8,'BD LUB'!$A$2:$L$223,11,FALSE)="PASADO",VLOOKUP(Z8,'BD LUB'!$A$2:$L$223,12,FALSE)="VIGENTE"),AND(VLOOKUP(Z8,'BD LUB'!$A$2:$L$223,11,FALSE)="VIGENTE",VLOOKUP(Z8,'BD LUB'!$A$2:$L$223,12,FALSE)="PASADO")),3,IF(AND(VLOOKUP(Z8,'BD LUB'!$A$2:$L$223,11,FALSE)="PRÓXIMO",VLOOKUP(Z8,'BD LUB'!$A$2:$L$223,12,FALSE)="PRÓXIMO"),4,IF(OR(AND(VLOOKUP(Z8,'BD LUB'!$A$2:$L$223,11,FALSE)="PRÓXIMO",VLOOKUP(Z8,'BD LUB'!$A$2:$L$223,12,FALSE)="VIGENTE"),AND(VLOOKUP(Z8,'BD LUB'!$A$2:$L$223,11,FALSE)="VIGENTE",VLOOKUP(Z8,'BD LUB'!$A$2:$L$223,12,FALSE)="PRÓXIMO")),5,IF(AND(VLOOKUP(Z8,'BD LUB'!$A$2:$L$223,11,FALSE)="VIGENTE",VLOOKUP(Z8,'BD LUB'!$A$2:$L$223,12,FALSE)="VIGENTE"),6,"No definido"))))))</f>
        <v>3</v>
      </c>
      <c r="AC8" s="78">
        <f>IFERROR(__xludf.DUMMYFUNCTION("""COMPUTED_VALUE"""),2392.0)</f>
        <v>2392</v>
      </c>
      <c r="AD8" s="136" t="str">
        <f>IF(VLOOKUP(AC8,'BD LUB'!$A$2:$C$223,3,FALSE)=$AH$20,AC8&amp;" MED",IF(VLOOKUP(AC8,'BD LUB'!$A$2:$C$223,3,FALSE)=$AH$19,AC8&amp;" MAY",IF(VLOOKUP(AC8,'BD LUB'!$A$2:$C$223,3,FALSE)=$AH$18,AC8&amp;" RN",IF(VLOOKUP(AC8,'BD LUB'!$A$2:$C$223,3,FALSE)=$AH$17,AC8&amp;" COPQUI",IF(VLOOKUP(AC8,'BD LUB'!$A$2:$C$223,3,FALSE)=$AH$16,AC8&amp;" CEJ",IF(VLOOKUP(AC8,'BD LUB'!$A$2:$C$223,3,FALSE)=$AH$15,AC8&amp;" BULT",IF(VLOOKUP(AC8,'BD LUB'!$A$2:$C$223,3,FALSE)=$AH$14,AC8&amp;" COP",IF(VLOOKUP(AC8,'BD LUB'!$A$2:$C$223,3,FALSE)=$AH$13,AC8&amp;" RIO",IF(VLOOKUP(AC8,'BD LUB'!$A$2:$C$223,3,FALSE)=$AH$21,AC8&amp;" APART","Dato no encontrado")))))))))</f>
        <v>2392 MED</v>
      </c>
      <c r="AG8" s="116"/>
      <c r="AH8" s="148"/>
      <c r="AI8" s="111"/>
      <c r="AJ8" s="126">
        <v>5.0</v>
      </c>
      <c r="AK8" s="141">
        <f>IFERROR(__xludf.DUMMYFUNCTION("""COMPUTED_VALUE"""),46668.0)</f>
        <v>46668</v>
      </c>
      <c r="AL8" s="128" t="str">
        <f>IFERROR(__xludf.DUMMYFUNCTION("""COMPUTED_VALUE"""),"02-Medellin")</f>
        <v>02-Medellin</v>
      </c>
      <c r="AM8" s="142">
        <f>IFERROR(__xludf.DUMMYFUNCTION("""COMPUTED_VALUE"""),154.0)</f>
        <v>154</v>
      </c>
      <c r="AN8" s="128"/>
      <c r="AP8" s="126">
        <v>5.0</v>
      </c>
      <c r="AQ8" s="141">
        <f>IFERROR(__xludf.DUMMYFUNCTION("""COMPUTED_VALUE"""),46668.0)</f>
        <v>46668</v>
      </c>
      <c r="AR8" s="128" t="str">
        <f>IFERROR(__xludf.DUMMYFUNCTION("""COMPUTED_VALUE"""),"02-Medellin")</f>
        <v>02-Medellin</v>
      </c>
      <c r="AS8" s="142">
        <f>IFERROR(__xludf.DUMMYFUNCTION("""COMPUTED_VALUE"""),154.0)</f>
        <v>154</v>
      </c>
      <c r="AT8" s="128"/>
      <c r="AV8" s="126">
        <v>5.0</v>
      </c>
      <c r="AW8" s="128"/>
      <c r="AX8" s="128"/>
      <c r="AY8" s="128"/>
      <c r="AZ8" s="128"/>
    </row>
    <row r="9">
      <c r="A9" s="120"/>
      <c r="B9" s="126">
        <v>6.0</v>
      </c>
      <c r="C9" s="135">
        <f>IFERROR(__xludf.DUMMYFUNCTION("""COMPUTED_VALUE"""),2392.0)</f>
        <v>2392</v>
      </c>
      <c r="D9" s="145">
        <f>IFERROR(__xludf.DUMMYFUNCTION("""COMPUTED_VALUE"""),46548.0)</f>
        <v>46548</v>
      </c>
      <c r="E9" s="135" t="str">
        <f>IFERROR(__xludf.DUMMYFUNCTION("""COMPUTED_VALUE"""),"02-Medellin")</f>
        <v>02-Medellin</v>
      </c>
      <c r="F9" s="145">
        <f>IFERROR(__xludf.DUMMYFUNCTION("""COMPUTED_VALUE"""),45980.0)</f>
        <v>45980</v>
      </c>
      <c r="G9" s="146">
        <f>IFERROR(__xludf.DUMMYFUNCTION("""COMPUTED_VALUE"""),-56.0)</f>
        <v>-56</v>
      </c>
      <c r="H9" s="132" t="str">
        <f>IFERROR(__xludf.DUMMYFUNCTION("""COMPUTED_VALUE"""),"PASADO")</f>
        <v>PASADO</v>
      </c>
      <c r="I9" s="132" t="str">
        <f t="shared" si="1"/>
        <v>PEDIDO</v>
      </c>
      <c r="J9" s="133"/>
      <c r="K9" s="126">
        <v>6.0</v>
      </c>
      <c r="L9" s="135">
        <f>IFERROR(__xludf.DUMMYFUNCTION("""COMPUTED_VALUE"""),2880.0)</f>
        <v>2880</v>
      </c>
      <c r="M9" s="145">
        <f>IFERROR(__xludf.DUMMYFUNCTION("""COMPUTED_VALUE"""),46226.0)</f>
        <v>46226</v>
      </c>
      <c r="N9" s="135" t="str">
        <f>IFERROR(__xludf.DUMMYFUNCTION("""COMPUTED_VALUE"""),"MAYORCA")</f>
        <v>MAYORCA</v>
      </c>
      <c r="O9" s="145">
        <f>IFERROR(__xludf.DUMMYFUNCTION("""COMPUTED_VALUE"""),46041.0)</f>
        <v>46041</v>
      </c>
      <c r="P9" s="146">
        <f>IFERROR(__xludf.DUMMYFUNCTION("""COMPUTED_VALUE"""),-11147.0)</f>
        <v>-11147</v>
      </c>
      <c r="Q9" s="132" t="str">
        <f>IFERROR(__xludf.DUMMYFUNCTION("""COMPUTED_VALUE"""),"PASADO")</f>
        <v>PASADO</v>
      </c>
      <c r="R9" s="132" t="str">
        <f t="shared" ref="R9:R225" si="2">IF(OR(Q9="PASADO",Q9="PRÓXIMO"), IF(AND(NOT(ISERROR(MATCH(L9,$T$4:$T$195,0))),NOT(ISERROR(MATCH(L9,$U$4:$U$195,0)))),"HECHO",IF(NOT(ISERROR(MATCH(L9,$U$4:$U$195,0))),"PEDIDO","NO PEDIDO")),"-")</f>
        <v>HECHO</v>
      </c>
      <c r="T9" s="134">
        <f>CALENDARIO!D21</f>
        <v>3202</v>
      </c>
      <c r="U9" s="135">
        <f>CALENDARIO!C21</f>
        <v>2671</v>
      </c>
      <c r="W9" s="129">
        <f>IFERROR(__xludf.DUMMYFUNCTION("""COMPUTED_VALUE"""),2275.0)</f>
        <v>2275</v>
      </c>
      <c r="X9" s="136">
        <f>(VLOOKUP(W9,'BD LUB'!$A$2:$L$223,5,FALSE)/VLOOKUP(W9,'BD LUB'!$A$2:$L$223,7,FALSE))+(VLOOKUP(W9,'BD LUB'!$A$2:$L$223,6,FALSE)/VLOOKUP(W9,'BD LUB'!$A$2:$L$223,8,FALSE))</f>
        <v>1.266866667</v>
      </c>
      <c r="Y9" s="137">
        <f>IF(AND(VLOOKUP(W9,'BD LUB'!$A$2:$L$223,11,FALSE)="PASADO",VLOOKUP(W9,'BD LUB'!$A$2:$L$223,12,FALSE)="PASADO"),1,IF(OR(AND(VLOOKUP(W9,'BD LUB'!$A$2:$L$223,11,FALSE)="PASADO",VLOOKUP(W9,'BD LUB'!$A$2:$L$223,12,FALSE)="PRÓXIMO"),AND(VLOOKUP(W9,'BD LUB'!$A$2:$L$223,11,FALSE)="PRÓXIMO",VLOOKUP(W9,'BD LUB'!$A$2:$L$223,12,FALSE)="PASADO")),2,IF(OR(AND(VLOOKUP(W9,'BD LUB'!$A$2:$L$223,11,FALSE)="PASADO",VLOOKUP(W9,'BD LUB'!$A$2:$L$223,12,FALSE)="VIGENTE"),AND(VLOOKUP(W9,'BD LUB'!$A$2:$L$223,11,FALSE)="VIGENTE",VLOOKUP(W9,'BD LUB'!$A$2:$L$223,12,FALSE)="PASADO")),3,IF(AND(VLOOKUP(W9,'BD LUB'!$A$2:$L$223,11,FALSE)="PRÓXIMO",VLOOKUP(W9,'BD LUB'!$A$2:$L$223,12,FALSE)="PRÓXIMO"),4,IF(OR(AND(VLOOKUP(W9,'BD LUB'!$A$2:$L$223,11,FALSE)="PRÓXIMO",VLOOKUP(W9,'BD LUB'!$A$2:$L$223,12,FALSE)="VIGENTE"),AND(VLOOKUP(W9,'BD LUB'!$A$2:$L$223,11,FALSE)="VIGENTE",VLOOKUP(W9,'BD LUB'!$A$2:$L$223,12,FALSE)="PRÓXIMO")),5,IF(AND(VLOOKUP(W9,'BD LUB'!$A$2:$L$223,11,FALSE)="VIGENTE",VLOOKUP(W9,'BD LUB'!$A$2:$L$223,12,FALSE)="VIGENTE"),6,"No definido"))))))</f>
        <v>5</v>
      </c>
      <c r="Z9" s="138">
        <f>IFERROR(__xludf.DUMMYFUNCTION("""COMPUTED_VALUE"""),2681.0)</f>
        <v>2681</v>
      </c>
      <c r="AA9" s="139">
        <f>(VLOOKUP(Z9,'BD LUB'!$A$2:$L$223,5,FALSE)/VLOOKUP(Z9,'BD LUB'!$A$2:$L$223,7,FALSE))+(VLOOKUP(Z9,'BD LUB'!$A$2:$L$223,6,FALSE)/VLOOKUP(Z9,'BD LUB'!$A$2:$L$223,8,FALSE))</f>
        <v>2.223518889</v>
      </c>
      <c r="AB9" s="78">
        <f>IF(AND(VLOOKUP(Z9,'BD LUB'!$A$2:$L$223,11,FALSE)="PASADO",VLOOKUP(Z9,'BD LUB'!$A$2:$L$223,12,FALSE)="PASADO"),1,IF(OR(AND(VLOOKUP(Z9,'BD LUB'!$A$2:$L$223,11,FALSE)="PASADO",VLOOKUP(Z9,'BD LUB'!$A$2:$L$223,12,FALSE)="PRÓXIMO"),AND(VLOOKUP(Z9,'BD LUB'!$A$2:$L$223,11,FALSE)="PRÓXIMO",VLOOKUP(Z9,'BD LUB'!$A$2:$L$223,12,FALSE)="PASADO")),2,IF(OR(AND(VLOOKUP(Z9,'BD LUB'!$A$2:$L$223,11,FALSE)="PASADO",VLOOKUP(Z9,'BD LUB'!$A$2:$L$223,12,FALSE)="VIGENTE"),AND(VLOOKUP(Z9,'BD LUB'!$A$2:$L$223,11,FALSE)="VIGENTE",VLOOKUP(Z9,'BD LUB'!$A$2:$L$223,12,FALSE)="PASADO")),3,IF(AND(VLOOKUP(Z9,'BD LUB'!$A$2:$L$223,11,FALSE)="PRÓXIMO",VLOOKUP(Z9,'BD LUB'!$A$2:$L$223,12,FALSE)="PRÓXIMO"),4,IF(OR(AND(VLOOKUP(Z9,'BD LUB'!$A$2:$L$223,11,FALSE)="PRÓXIMO",VLOOKUP(Z9,'BD LUB'!$A$2:$L$223,12,FALSE)="VIGENTE"),AND(VLOOKUP(Z9,'BD LUB'!$A$2:$L$223,11,FALSE)="VIGENTE",VLOOKUP(Z9,'BD LUB'!$A$2:$L$223,12,FALSE)="PRÓXIMO")),5,IF(AND(VLOOKUP(Z9,'BD LUB'!$A$2:$L$223,11,FALSE)="VIGENTE",VLOOKUP(Z9,'BD LUB'!$A$2:$L$223,12,FALSE)="VIGENTE"),6,"No definido"))))))</f>
        <v>1</v>
      </c>
      <c r="AC9" s="78">
        <f>IFERROR(__xludf.DUMMYFUNCTION("""COMPUTED_VALUE"""),3283.0)</f>
        <v>3283</v>
      </c>
      <c r="AD9" s="136" t="str">
        <f>IF(VLOOKUP(AC9,'BD LUB'!$A$2:$C$223,3,FALSE)=$AH$20,AC9&amp;" MED",IF(VLOOKUP(AC9,'BD LUB'!$A$2:$C$223,3,FALSE)=$AH$19,AC9&amp;" MAY",IF(VLOOKUP(AC9,'BD LUB'!$A$2:$C$223,3,FALSE)=$AH$18,AC9&amp;" RN",IF(VLOOKUP(AC9,'BD LUB'!$A$2:$C$223,3,FALSE)=$AH$17,AC9&amp;" COPQUI",IF(VLOOKUP(AC9,'BD LUB'!$A$2:$C$223,3,FALSE)=$AH$16,AC9&amp;" CEJ",IF(VLOOKUP(AC9,'BD LUB'!$A$2:$C$223,3,FALSE)=$AH$15,AC9&amp;" BULT",IF(VLOOKUP(AC9,'BD LUB'!$A$2:$C$223,3,FALSE)=$AH$14,AC9&amp;" COP",IF(VLOOKUP(AC9,'BD LUB'!$A$2:$C$223,3,FALSE)=$AH$13,AC9&amp;" RIO",IF(VLOOKUP(AC9,'BD LUB'!$A$2:$C$223,3,FALSE)=$AH$21,AC9&amp;" APART","Dato no encontrado")))))))))</f>
        <v>3283 MED</v>
      </c>
      <c r="AG9" s="116"/>
      <c r="AH9" s="148"/>
      <c r="AI9" s="111"/>
      <c r="AJ9" s="126">
        <v>6.0</v>
      </c>
      <c r="AK9" s="141">
        <f>IFERROR(__xludf.DUMMYFUNCTION("""COMPUTED_VALUE"""),46654.0)</f>
        <v>46654</v>
      </c>
      <c r="AL9" s="128" t="str">
        <f>IFERROR(__xludf.DUMMYFUNCTION("""COMPUTED_VALUE"""),"31-Copacabana")</f>
        <v>31-Copacabana</v>
      </c>
      <c r="AM9" s="142">
        <f>IFERROR(__xludf.DUMMYFUNCTION("""COMPUTED_VALUE"""),154.0)</f>
        <v>154</v>
      </c>
      <c r="AN9" s="128"/>
      <c r="AP9" s="126">
        <v>6.0</v>
      </c>
      <c r="AQ9" s="141">
        <f>IFERROR(__xludf.DUMMYFUNCTION("""COMPUTED_VALUE"""),46654.0)</f>
        <v>46654</v>
      </c>
      <c r="AR9" s="128" t="str">
        <f>IFERROR(__xludf.DUMMYFUNCTION("""COMPUTED_VALUE"""),"31-Copacabana")</f>
        <v>31-Copacabana</v>
      </c>
      <c r="AS9" s="142">
        <f>IFERROR(__xludf.DUMMYFUNCTION("""COMPUTED_VALUE"""),154.0)</f>
        <v>154</v>
      </c>
      <c r="AT9" s="128"/>
      <c r="AV9" s="126">
        <v>6.0</v>
      </c>
      <c r="AW9" s="128"/>
      <c r="AX9" s="128"/>
      <c r="AY9" s="128"/>
      <c r="AZ9" s="128"/>
    </row>
    <row r="10">
      <c r="A10" s="120"/>
      <c r="B10" s="126">
        <v>7.0</v>
      </c>
      <c r="C10" s="135">
        <f>IFERROR(__xludf.DUMMYFUNCTION("""COMPUTED_VALUE"""),2201.0)</f>
        <v>2201</v>
      </c>
      <c r="D10" s="145">
        <f>IFERROR(__xludf.DUMMYFUNCTION("""COMPUTED_VALUE"""),46543.0)</f>
        <v>46543</v>
      </c>
      <c r="E10" s="135" t="str">
        <f>IFERROR(__xludf.DUMMYFUNCTION("""COMPUTED_VALUE"""),"02-Medellin")</f>
        <v>02-Medellin</v>
      </c>
      <c r="F10" s="145">
        <f>IFERROR(__xludf.DUMMYFUNCTION("""COMPUTED_VALUE"""),45986.0)</f>
        <v>45986</v>
      </c>
      <c r="G10" s="146">
        <f>IFERROR(__xludf.DUMMYFUNCTION("""COMPUTED_VALUE"""),-50.0)</f>
        <v>-50</v>
      </c>
      <c r="H10" s="132" t="str">
        <f>IFERROR(__xludf.DUMMYFUNCTION("""COMPUTED_VALUE"""),"PASADO")</f>
        <v>PASADO</v>
      </c>
      <c r="I10" s="132" t="str">
        <f t="shared" si="1"/>
        <v>HECHO</v>
      </c>
      <c r="J10" s="133"/>
      <c r="K10" s="126">
        <v>7.0</v>
      </c>
      <c r="L10" s="135">
        <f>IFERROR(__xludf.DUMMYFUNCTION("""COMPUTED_VALUE"""),2425.0)</f>
        <v>2425</v>
      </c>
      <c r="M10" s="145">
        <f>IFERROR(__xludf.DUMMYFUNCTION("""COMPUTED_VALUE"""),46477.0)</f>
        <v>46477</v>
      </c>
      <c r="N10" s="135" t="str">
        <f>IFERROR(__xludf.DUMMYFUNCTION("""COMPUTED_VALUE"""),"BULTOS")</f>
        <v>BULTOS</v>
      </c>
      <c r="O10" s="145">
        <f>IFERROR(__xludf.DUMMYFUNCTION("""COMPUTED_VALUE"""),46027.0)</f>
        <v>46027</v>
      </c>
      <c r="P10" s="146">
        <f>IFERROR(__xludf.DUMMYFUNCTION("""COMPUTED_VALUE"""),-2668.0)</f>
        <v>-2668</v>
      </c>
      <c r="Q10" s="132" t="str">
        <f>IFERROR(__xludf.DUMMYFUNCTION("""COMPUTED_VALUE"""),"PASADO")</f>
        <v>PASADO</v>
      </c>
      <c r="R10" s="132" t="str">
        <f t="shared" si="2"/>
        <v>HECHO</v>
      </c>
      <c r="T10" s="134">
        <f>CALENDARIO!D22</f>
        <v>3280</v>
      </c>
      <c r="U10" s="135">
        <f>CALENDARIO!C22</f>
        <v>2484</v>
      </c>
      <c r="W10" s="129">
        <f>IFERROR(__xludf.DUMMYFUNCTION("""COMPUTED_VALUE"""),2887.0)</f>
        <v>2887</v>
      </c>
      <c r="X10" s="136">
        <f>(VLOOKUP(W10,'BD LUB'!$A$2:$L$223,5,FALSE)/VLOOKUP(W10,'BD LUB'!$A$2:$L$223,7,FALSE))+(VLOOKUP(W10,'BD LUB'!$A$2:$L$223,6,FALSE)/VLOOKUP(W10,'BD LUB'!$A$2:$L$223,8,FALSE))</f>
        <v>1.543755556</v>
      </c>
      <c r="Y10" s="137">
        <f>IF(AND(VLOOKUP(W10,'BD LUB'!$A$2:$L$223,11,FALSE)="PASADO",VLOOKUP(W10,'BD LUB'!$A$2:$L$223,12,FALSE)="PASADO"),1,IF(OR(AND(VLOOKUP(W10,'BD LUB'!$A$2:$L$223,11,FALSE)="PASADO",VLOOKUP(W10,'BD LUB'!$A$2:$L$223,12,FALSE)="PRÓXIMO"),AND(VLOOKUP(W10,'BD LUB'!$A$2:$L$223,11,FALSE)="PRÓXIMO",VLOOKUP(W10,'BD LUB'!$A$2:$L$223,12,FALSE)="PASADO")),2,IF(OR(AND(VLOOKUP(W10,'BD LUB'!$A$2:$L$223,11,FALSE)="PASADO",VLOOKUP(W10,'BD LUB'!$A$2:$L$223,12,FALSE)="VIGENTE"),AND(VLOOKUP(W10,'BD LUB'!$A$2:$L$223,11,FALSE)="VIGENTE",VLOOKUP(W10,'BD LUB'!$A$2:$L$223,12,FALSE)="PASADO")),3,IF(AND(VLOOKUP(W10,'BD LUB'!$A$2:$L$223,11,FALSE)="PRÓXIMO",VLOOKUP(W10,'BD LUB'!$A$2:$L$223,12,FALSE)="PRÓXIMO"),4,IF(OR(AND(VLOOKUP(W10,'BD LUB'!$A$2:$L$223,11,FALSE)="PRÓXIMO",VLOOKUP(W10,'BD LUB'!$A$2:$L$223,12,FALSE)="VIGENTE"),AND(VLOOKUP(W10,'BD LUB'!$A$2:$L$223,11,FALSE)="VIGENTE",VLOOKUP(W10,'BD LUB'!$A$2:$L$223,12,FALSE)="PRÓXIMO")),5,IF(AND(VLOOKUP(W10,'BD LUB'!$A$2:$L$223,11,FALSE)="VIGENTE",VLOOKUP(W10,'BD LUB'!$A$2:$L$223,12,FALSE)="VIGENTE"),6,"No definido"))))))</f>
        <v>5</v>
      </c>
      <c r="Z10" s="138">
        <f>IFERROR(__xludf.DUMMYFUNCTION("""COMPUTED_VALUE"""),2334.0)</f>
        <v>2334</v>
      </c>
      <c r="AA10" s="139">
        <f>(VLOOKUP(Z10,'BD LUB'!$A$2:$L$223,5,FALSE)/VLOOKUP(Z10,'BD LUB'!$A$2:$L$223,7,FALSE))+(VLOOKUP(Z10,'BD LUB'!$A$2:$L$223,6,FALSE)/VLOOKUP(Z10,'BD LUB'!$A$2:$L$223,8,FALSE))</f>
        <v>2.144433333</v>
      </c>
      <c r="AB10" s="78">
        <f>IF(AND(VLOOKUP(Z10,'BD LUB'!$A$2:$L$223,11,FALSE)="PASADO",VLOOKUP(Z10,'BD LUB'!$A$2:$L$223,12,FALSE)="PASADO"),1,IF(OR(AND(VLOOKUP(Z10,'BD LUB'!$A$2:$L$223,11,FALSE)="PASADO",VLOOKUP(Z10,'BD LUB'!$A$2:$L$223,12,FALSE)="PRÓXIMO"),AND(VLOOKUP(Z10,'BD LUB'!$A$2:$L$223,11,FALSE)="PRÓXIMO",VLOOKUP(Z10,'BD LUB'!$A$2:$L$223,12,FALSE)="PASADO")),2,IF(OR(AND(VLOOKUP(Z10,'BD LUB'!$A$2:$L$223,11,FALSE)="PASADO",VLOOKUP(Z10,'BD LUB'!$A$2:$L$223,12,FALSE)="VIGENTE"),AND(VLOOKUP(Z10,'BD LUB'!$A$2:$L$223,11,FALSE)="VIGENTE",VLOOKUP(Z10,'BD LUB'!$A$2:$L$223,12,FALSE)="PASADO")),3,IF(AND(VLOOKUP(Z10,'BD LUB'!$A$2:$L$223,11,FALSE)="PRÓXIMO",VLOOKUP(Z10,'BD LUB'!$A$2:$L$223,12,FALSE)="PRÓXIMO"),4,IF(OR(AND(VLOOKUP(Z10,'BD LUB'!$A$2:$L$223,11,FALSE)="PRÓXIMO",VLOOKUP(Z10,'BD LUB'!$A$2:$L$223,12,FALSE)="VIGENTE"),AND(VLOOKUP(Z10,'BD LUB'!$A$2:$L$223,11,FALSE)="VIGENTE",VLOOKUP(Z10,'BD LUB'!$A$2:$L$223,12,FALSE)="PRÓXIMO")),5,IF(AND(VLOOKUP(Z10,'BD LUB'!$A$2:$L$223,11,FALSE)="VIGENTE",VLOOKUP(Z10,'BD LUB'!$A$2:$L$223,12,FALSE)="VIGENTE"),6,"No definido"))))))</f>
        <v>1</v>
      </c>
      <c r="AC10" s="78">
        <f>IFERROR(__xludf.DUMMYFUNCTION("""COMPUTED_VALUE"""),2188.0)</f>
        <v>2188</v>
      </c>
      <c r="AD10" s="136" t="str">
        <f>IF(VLOOKUP(AC10,'BD LUB'!$A$2:$C$223,3,FALSE)=$AH$20,AC10&amp;" MED",IF(VLOOKUP(AC10,'BD LUB'!$A$2:$C$223,3,FALSE)=$AH$19,AC10&amp;" MAY",IF(VLOOKUP(AC10,'BD LUB'!$A$2:$C$223,3,FALSE)=$AH$18,AC10&amp;" RN",IF(VLOOKUP(AC10,'BD LUB'!$A$2:$C$223,3,FALSE)=$AH$17,AC10&amp;" COPQUI",IF(VLOOKUP(AC10,'BD LUB'!$A$2:$C$223,3,FALSE)=$AH$16,AC10&amp;" CEJ",IF(VLOOKUP(AC10,'BD LUB'!$A$2:$C$223,3,FALSE)=$AH$15,AC10&amp;" BULT",IF(VLOOKUP(AC10,'BD LUB'!$A$2:$C$223,3,FALSE)=$AH$14,AC10&amp;" COP",IF(VLOOKUP(AC10,'BD LUB'!$A$2:$C$223,3,FALSE)=$AH$13,AC10&amp;" RIO",IF(VLOOKUP(AC10,'BD LUB'!$A$2:$C$223,3,FALSE)=$AH$21,AC10&amp;" APART","Dato no encontrado")))))))))</f>
        <v>2188 BULT</v>
      </c>
      <c r="AJ10" s="126">
        <v>7.0</v>
      </c>
      <c r="AK10" s="141">
        <f>IFERROR(__xludf.DUMMYFUNCTION("""COMPUTED_VALUE"""),46318.0)</f>
        <v>46318</v>
      </c>
      <c r="AL10" s="128" t="str">
        <f>IFERROR(__xludf.DUMMYFUNCTION("""COMPUTED_VALUE"""),"02-Medellin")</f>
        <v>02-Medellin</v>
      </c>
      <c r="AM10" s="142">
        <f>IFERROR(__xludf.DUMMYFUNCTION("""COMPUTED_VALUE"""),154.0)</f>
        <v>154</v>
      </c>
      <c r="AN10" s="128"/>
      <c r="AP10" s="126">
        <v>7.0</v>
      </c>
      <c r="AQ10" s="141">
        <f>IFERROR(__xludf.DUMMYFUNCTION("""COMPUTED_VALUE"""),46318.0)</f>
        <v>46318</v>
      </c>
      <c r="AR10" s="128" t="str">
        <f>IFERROR(__xludf.DUMMYFUNCTION("""COMPUTED_VALUE"""),"02-Medellin")</f>
        <v>02-Medellin</v>
      </c>
      <c r="AS10" s="142">
        <f>IFERROR(__xludf.DUMMYFUNCTION("""COMPUTED_VALUE"""),154.0)</f>
        <v>154</v>
      </c>
      <c r="AT10" s="128"/>
      <c r="AV10" s="126">
        <v>7.0</v>
      </c>
      <c r="AW10" s="128"/>
      <c r="AX10" s="128"/>
      <c r="AY10" s="128"/>
      <c r="AZ10" s="128"/>
    </row>
    <row r="11">
      <c r="A11" s="120"/>
      <c r="B11" s="126">
        <v>8.0</v>
      </c>
      <c r="C11" s="135">
        <f>IFERROR(__xludf.DUMMYFUNCTION("""COMPUTED_VALUE"""),2276.0)</f>
        <v>2276</v>
      </c>
      <c r="D11" s="149">
        <f>IFERROR(__xludf.DUMMYFUNCTION("""COMPUTED_VALUE"""),46366.0)</f>
        <v>46366</v>
      </c>
      <c r="E11" s="150" t="str">
        <f>IFERROR(__xludf.DUMMYFUNCTION("""COMPUTED_VALUE"""),"02-Medellin")</f>
        <v>02-Medellin</v>
      </c>
      <c r="F11" s="149">
        <f>IFERROR(__xludf.DUMMYFUNCTION("""COMPUTED_VALUE"""),46001.0)</f>
        <v>46001</v>
      </c>
      <c r="G11" s="151">
        <f>IFERROR(__xludf.DUMMYFUNCTION("""COMPUTED_VALUE"""),-35.0)</f>
        <v>-35</v>
      </c>
      <c r="H11" s="134" t="str">
        <f>IFERROR(__xludf.DUMMYFUNCTION("""COMPUTED_VALUE"""),"PASADO")</f>
        <v>PASADO</v>
      </c>
      <c r="I11" s="132" t="str">
        <f t="shared" si="1"/>
        <v>PEDIDO</v>
      </c>
      <c r="J11" s="120"/>
      <c r="K11" s="126">
        <v>8.0</v>
      </c>
      <c r="L11" s="135">
        <f>IFERROR(__xludf.DUMMYFUNCTION("""COMPUTED_VALUE"""),2896.0)</f>
        <v>2896</v>
      </c>
      <c r="M11" s="149">
        <f>IFERROR(__xludf.DUMMYFUNCTION("""COMPUTED_VALUE"""),46242.0)</f>
        <v>46242</v>
      </c>
      <c r="N11" s="150" t="str">
        <f>IFERROR(__xludf.DUMMYFUNCTION("""COMPUTED_VALUE"""),"02-Medellin")</f>
        <v>02-Medellin</v>
      </c>
      <c r="O11" s="149">
        <f>IFERROR(__xludf.DUMMYFUNCTION("""COMPUTED_VALUE"""),46156.0)</f>
        <v>46156</v>
      </c>
      <c r="P11" s="151">
        <f>IFERROR(__xludf.DUMMYFUNCTION("""COMPUTED_VALUE"""),-1966.0)</f>
        <v>-1966</v>
      </c>
      <c r="Q11" s="134" t="str">
        <f>IFERROR(__xludf.DUMMYFUNCTION("""COMPUTED_VALUE"""),"PASADO")</f>
        <v>PASADO</v>
      </c>
      <c r="R11" s="132" t="str">
        <f t="shared" si="2"/>
        <v>HECHO</v>
      </c>
      <c r="T11" s="134">
        <f>CALENDARIO!D23</f>
        <v>2198</v>
      </c>
      <c r="U11" s="135">
        <f>CALENDARIO!C23</f>
        <v>2681</v>
      </c>
      <c r="W11" s="129">
        <f>IFERROR(__xludf.DUMMYFUNCTION("""COMPUTED_VALUE"""),2200.0)</f>
        <v>2200</v>
      </c>
      <c r="X11" s="136">
        <f>(VLOOKUP(W11,'BD LUB'!$A$2:$L$223,5,FALSE)/VLOOKUP(W11,'BD LUB'!$A$2:$L$223,7,FALSE))+(VLOOKUP(W11,'BD LUB'!$A$2:$L$223,6,FALSE)/VLOOKUP(W11,'BD LUB'!$A$2:$L$223,8,FALSE))</f>
        <v>1.776285556</v>
      </c>
      <c r="Y11" s="137">
        <f>IF(AND(VLOOKUP(W11,'BD LUB'!$A$2:$L$223,11,FALSE)="PASADO",VLOOKUP(W11,'BD LUB'!$A$2:$L$223,12,FALSE)="PASADO"),1,IF(OR(AND(VLOOKUP(W11,'BD LUB'!$A$2:$L$223,11,FALSE)="PASADO",VLOOKUP(W11,'BD LUB'!$A$2:$L$223,12,FALSE)="PRÓXIMO"),AND(VLOOKUP(W11,'BD LUB'!$A$2:$L$223,11,FALSE)="PRÓXIMO",VLOOKUP(W11,'BD LUB'!$A$2:$L$223,12,FALSE)="PASADO")),2,IF(OR(AND(VLOOKUP(W11,'BD LUB'!$A$2:$L$223,11,FALSE)="PASADO",VLOOKUP(W11,'BD LUB'!$A$2:$L$223,12,FALSE)="VIGENTE"),AND(VLOOKUP(W11,'BD LUB'!$A$2:$L$223,11,FALSE)="VIGENTE",VLOOKUP(W11,'BD LUB'!$A$2:$L$223,12,FALSE)="PASADO")),3,IF(AND(VLOOKUP(W11,'BD LUB'!$A$2:$L$223,11,FALSE)="PRÓXIMO",VLOOKUP(W11,'BD LUB'!$A$2:$L$223,12,FALSE)="PRÓXIMO"),4,IF(OR(AND(VLOOKUP(W11,'BD LUB'!$A$2:$L$223,11,FALSE)="PRÓXIMO",VLOOKUP(W11,'BD LUB'!$A$2:$L$223,12,FALSE)="VIGENTE"),AND(VLOOKUP(W11,'BD LUB'!$A$2:$L$223,11,FALSE)="VIGENTE",VLOOKUP(W11,'BD LUB'!$A$2:$L$223,12,FALSE)="PRÓXIMO")),5,IF(AND(VLOOKUP(W11,'BD LUB'!$A$2:$L$223,11,FALSE)="VIGENTE",VLOOKUP(W11,'BD LUB'!$A$2:$L$223,12,FALSE)="VIGENTE"),6,"No definido"))))))</f>
        <v>5</v>
      </c>
      <c r="Z11" s="138">
        <f>IFERROR(__xludf.DUMMYFUNCTION("""COMPUTED_VALUE"""),661.0)</f>
        <v>661</v>
      </c>
      <c r="AA11" s="139">
        <f>(VLOOKUP(Z11,'BD LUB'!$A$2:$L$223,5,FALSE)/VLOOKUP(Z11,'BD LUB'!$A$2:$L$223,7,FALSE))+(VLOOKUP(Z11,'BD LUB'!$A$2:$L$223,6,FALSE)/VLOOKUP(Z11,'BD LUB'!$A$2:$L$223,8,FALSE))</f>
        <v>1.30455</v>
      </c>
      <c r="AB11" s="78">
        <f>IF(AND(VLOOKUP(Z11,'BD LUB'!$A$2:$L$223,11,FALSE)="PASADO",VLOOKUP(Z11,'BD LUB'!$A$2:$L$223,12,FALSE)="PASADO"),1,IF(OR(AND(VLOOKUP(Z11,'BD LUB'!$A$2:$L$223,11,FALSE)="PASADO",VLOOKUP(Z11,'BD LUB'!$A$2:$L$223,12,FALSE)="PRÓXIMO"),AND(VLOOKUP(Z11,'BD LUB'!$A$2:$L$223,11,FALSE)="PRÓXIMO",VLOOKUP(Z11,'BD LUB'!$A$2:$L$223,12,FALSE)="PASADO")),2,IF(OR(AND(VLOOKUP(Z11,'BD LUB'!$A$2:$L$223,11,FALSE)="PASADO",VLOOKUP(Z11,'BD LUB'!$A$2:$L$223,12,FALSE)="VIGENTE"),AND(VLOOKUP(Z11,'BD LUB'!$A$2:$L$223,11,FALSE)="VIGENTE",VLOOKUP(Z11,'BD LUB'!$A$2:$L$223,12,FALSE)="PASADO")),3,IF(AND(VLOOKUP(Z11,'BD LUB'!$A$2:$L$223,11,FALSE)="PRÓXIMO",VLOOKUP(Z11,'BD LUB'!$A$2:$L$223,12,FALSE)="PRÓXIMO"),4,IF(OR(AND(VLOOKUP(Z11,'BD LUB'!$A$2:$L$223,11,FALSE)="PRÓXIMO",VLOOKUP(Z11,'BD LUB'!$A$2:$L$223,12,FALSE)="VIGENTE"),AND(VLOOKUP(Z11,'BD LUB'!$A$2:$L$223,11,FALSE)="VIGENTE",VLOOKUP(Z11,'BD LUB'!$A$2:$L$223,12,FALSE)="PRÓXIMO")),5,IF(AND(VLOOKUP(Z11,'BD LUB'!$A$2:$L$223,11,FALSE)="VIGENTE",VLOOKUP(Z11,'BD LUB'!$A$2:$L$223,12,FALSE)="VIGENTE"),6,"No definido"))))))</f>
        <v>3</v>
      </c>
      <c r="AC11" s="78">
        <f>IFERROR(__xludf.DUMMYFUNCTION("""COMPUTED_VALUE"""),2484.0)</f>
        <v>2484</v>
      </c>
      <c r="AD11" s="136" t="str">
        <f>IF(VLOOKUP(AC11,'BD LUB'!$A$2:$C$223,3,FALSE)=$AH$20,AC11&amp;" MED",IF(VLOOKUP(AC11,'BD LUB'!$A$2:$C$223,3,FALSE)=$AH$19,AC11&amp;" MAY",IF(VLOOKUP(AC11,'BD LUB'!$A$2:$C$223,3,FALSE)=$AH$18,AC11&amp;" RN",IF(VLOOKUP(AC11,'BD LUB'!$A$2:$C$223,3,FALSE)=$AH$17,AC11&amp;" COPQUI",IF(VLOOKUP(AC11,'BD LUB'!$A$2:$C$223,3,FALSE)=$AH$16,AC11&amp;" CEJ",IF(VLOOKUP(AC11,'BD LUB'!$A$2:$C$223,3,FALSE)=$AH$15,AC11&amp;" BULT",IF(VLOOKUP(AC11,'BD LUB'!$A$2:$C$223,3,FALSE)=$AH$14,AC11&amp;" COP",IF(VLOOKUP(AC11,'BD LUB'!$A$2:$C$223,3,FALSE)=$AH$13,AC11&amp;" RIO",IF(VLOOKUP(AC11,'BD LUB'!$A$2:$C$223,3,FALSE)=$AH$21,AC11&amp;" APART","Dato no encontrado")))))))))</f>
        <v>2484 MAY</v>
      </c>
      <c r="AJ11" s="126">
        <v>8.0</v>
      </c>
      <c r="AK11" s="141">
        <f>IFERROR(__xludf.DUMMYFUNCTION("""COMPUTED_VALUE"""),46668.0)</f>
        <v>46668</v>
      </c>
      <c r="AL11" s="128" t="str">
        <f>IFERROR(__xludf.DUMMYFUNCTION("""COMPUTED_VALUE"""),"02-Medellin")</f>
        <v>02-Medellin</v>
      </c>
      <c r="AM11" s="142">
        <f>IFERROR(__xludf.DUMMYFUNCTION("""COMPUTED_VALUE"""),146.0)</f>
        <v>146</v>
      </c>
      <c r="AN11" s="128"/>
      <c r="AP11" s="126">
        <v>8.0</v>
      </c>
      <c r="AQ11" s="141">
        <f>IFERROR(__xludf.DUMMYFUNCTION("""COMPUTED_VALUE"""),46668.0)</f>
        <v>46668</v>
      </c>
      <c r="AR11" s="128" t="str">
        <f>IFERROR(__xludf.DUMMYFUNCTION("""COMPUTED_VALUE"""),"02-Medellin")</f>
        <v>02-Medellin</v>
      </c>
      <c r="AS11" s="142">
        <f>IFERROR(__xludf.DUMMYFUNCTION("""COMPUTED_VALUE"""),146.0)</f>
        <v>146</v>
      </c>
      <c r="AT11" s="128"/>
      <c r="AV11" s="126">
        <v>8.0</v>
      </c>
      <c r="AW11" s="128"/>
      <c r="AX11" s="128"/>
      <c r="AY11" s="128"/>
      <c r="AZ11" s="128"/>
    </row>
    <row r="12">
      <c r="A12" s="120"/>
      <c r="B12" s="126">
        <v>9.0</v>
      </c>
      <c r="C12" s="135">
        <f>IFERROR(__xludf.DUMMYFUNCTION("""COMPUTED_VALUE"""),2671.0)</f>
        <v>2671</v>
      </c>
      <c r="D12" s="149">
        <f>IFERROR(__xludf.DUMMYFUNCTION("""COMPUTED_VALUE"""),46507.0)</f>
        <v>46507</v>
      </c>
      <c r="E12" s="150" t="str">
        <f>IFERROR(__xludf.DUMMYFUNCTION("""COMPUTED_VALUE"""),"MAYORCA")</f>
        <v>MAYORCA</v>
      </c>
      <c r="F12" s="149">
        <f>IFERROR(__xludf.DUMMYFUNCTION("""COMPUTED_VALUE"""),46004.0)</f>
        <v>46004</v>
      </c>
      <c r="G12" s="151">
        <f>IFERROR(__xludf.DUMMYFUNCTION("""COMPUTED_VALUE"""),-32.0)</f>
        <v>-32</v>
      </c>
      <c r="H12" s="134" t="str">
        <f>IFERROR(__xludf.DUMMYFUNCTION("""COMPUTED_VALUE"""),"PASADO")</f>
        <v>PASADO</v>
      </c>
      <c r="I12" s="132" t="str">
        <f t="shared" si="1"/>
        <v>PEDIDO</v>
      </c>
      <c r="J12" s="120"/>
      <c r="K12" s="126">
        <v>9.0</v>
      </c>
      <c r="L12" s="135">
        <f>IFERROR(__xludf.DUMMYFUNCTION("""COMPUTED_VALUE"""),2469.0)</f>
        <v>2469</v>
      </c>
      <c r="M12" s="149">
        <f>IFERROR(__xludf.DUMMYFUNCTION("""COMPUTED_VALUE"""),46292.0)</f>
        <v>46292</v>
      </c>
      <c r="N12" s="150" t="str">
        <f>IFERROR(__xludf.DUMMYFUNCTION("""COMPUTED_VALUE"""),"31-Copacabana QUIMICOS")</f>
        <v>31-Copacabana QUIMICOS</v>
      </c>
      <c r="O12" s="149">
        <f>IFERROR(__xludf.DUMMYFUNCTION("""COMPUTED_VALUE"""),46062.0)</f>
        <v>46062</v>
      </c>
      <c r="P12" s="151">
        <f>IFERROR(__xludf.DUMMYFUNCTION("""COMPUTED_VALUE"""),-1881.2000000000007)</f>
        <v>-1881.2</v>
      </c>
      <c r="Q12" s="134" t="str">
        <f>IFERROR(__xludf.DUMMYFUNCTION("""COMPUTED_VALUE"""),"PASADO")</f>
        <v>PASADO</v>
      </c>
      <c r="R12" s="132" t="str">
        <f t="shared" si="2"/>
        <v>PEDIDO</v>
      </c>
      <c r="T12" s="134">
        <f>CALENDARIO!D24</f>
        <v>2572</v>
      </c>
      <c r="U12" s="135">
        <f>CALENDARIO!C24</f>
        <v>2276</v>
      </c>
      <c r="W12" s="129">
        <f>IFERROR(__xludf.DUMMYFUNCTION("""COMPUTED_VALUE"""),2847.0)</f>
        <v>2847</v>
      </c>
      <c r="X12" s="136">
        <f>(VLOOKUP(W12,'BD LUB'!$A$2:$L$223,5,FALSE)/VLOOKUP(W12,'BD LUB'!$A$2:$L$223,7,FALSE))+(VLOOKUP(W12,'BD LUB'!$A$2:$L$223,6,FALSE)/VLOOKUP(W12,'BD LUB'!$A$2:$L$223,8,FALSE))</f>
        <v>1.369911111</v>
      </c>
      <c r="Y12" s="137">
        <f>IF(AND(VLOOKUP(W12,'BD LUB'!$A$2:$L$223,11,FALSE)="PASADO",VLOOKUP(W12,'BD LUB'!$A$2:$L$223,12,FALSE)="PASADO"),1,IF(OR(AND(VLOOKUP(W12,'BD LUB'!$A$2:$L$223,11,FALSE)="PASADO",VLOOKUP(W12,'BD LUB'!$A$2:$L$223,12,FALSE)="PRÓXIMO"),AND(VLOOKUP(W12,'BD LUB'!$A$2:$L$223,11,FALSE)="PRÓXIMO",VLOOKUP(W12,'BD LUB'!$A$2:$L$223,12,FALSE)="PASADO")),2,IF(OR(AND(VLOOKUP(W12,'BD LUB'!$A$2:$L$223,11,FALSE)="PASADO",VLOOKUP(W12,'BD LUB'!$A$2:$L$223,12,FALSE)="VIGENTE"),AND(VLOOKUP(W12,'BD LUB'!$A$2:$L$223,11,FALSE)="VIGENTE",VLOOKUP(W12,'BD LUB'!$A$2:$L$223,12,FALSE)="PASADO")),3,IF(AND(VLOOKUP(W12,'BD LUB'!$A$2:$L$223,11,FALSE)="PRÓXIMO",VLOOKUP(W12,'BD LUB'!$A$2:$L$223,12,FALSE)="PRÓXIMO"),4,IF(OR(AND(VLOOKUP(W12,'BD LUB'!$A$2:$L$223,11,FALSE)="PRÓXIMO",VLOOKUP(W12,'BD LUB'!$A$2:$L$223,12,FALSE)="VIGENTE"),AND(VLOOKUP(W12,'BD LUB'!$A$2:$L$223,11,FALSE)="VIGENTE",VLOOKUP(W12,'BD LUB'!$A$2:$L$223,12,FALSE)="PRÓXIMO")),5,IF(AND(VLOOKUP(W12,'BD LUB'!$A$2:$L$223,11,FALSE)="VIGENTE",VLOOKUP(W12,'BD LUB'!$A$2:$L$223,12,FALSE)="VIGENTE"),6,"No definido"))))))</f>
        <v>5</v>
      </c>
      <c r="Z12" s="138">
        <f>IFERROR(__xludf.DUMMYFUNCTION("""COMPUTED_VALUE"""),495.0)</f>
        <v>495</v>
      </c>
      <c r="AA12" s="139">
        <f>(VLOOKUP(Z12,'BD LUB'!$A$2:$L$223,5,FALSE)/VLOOKUP(Z12,'BD LUB'!$A$2:$L$223,7,FALSE))+(VLOOKUP(Z12,'BD LUB'!$A$2:$L$223,6,FALSE)/VLOOKUP(Z12,'BD LUB'!$A$2:$L$223,8,FALSE))</f>
        <v>1.531045556</v>
      </c>
      <c r="AB12" s="78">
        <f>IF(AND(VLOOKUP(Z12,'BD LUB'!$A$2:$L$223,11,FALSE)="PASADO",VLOOKUP(Z12,'BD LUB'!$A$2:$L$223,12,FALSE)="PASADO"),1,IF(OR(AND(VLOOKUP(Z12,'BD LUB'!$A$2:$L$223,11,FALSE)="PASADO",VLOOKUP(Z12,'BD LUB'!$A$2:$L$223,12,FALSE)="PRÓXIMO"),AND(VLOOKUP(Z12,'BD LUB'!$A$2:$L$223,11,FALSE)="PRÓXIMO",VLOOKUP(Z12,'BD LUB'!$A$2:$L$223,12,FALSE)="PASADO")),2,IF(OR(AND(VLOOKUP(Z12,'BD LUB'!$A$2:$L$223,11,FALSE)="PASADO",VLOOKUP(Z12,'BD LUB'!$A$2:$L$223,12,FALSE)="VIGENTE"),AND(VLOOKUP(Z12,'BD LUB'!$A$2:$L$223,11,FALSE)="VIGENTE",VLOOKUP(Z12,'BD LUB'!$A$2:$L$223,12,FALSE)="PASADO")),3,IF(AND(VLOOKUP(Z12,'BD LUB'!$A$2:$L$223,11,FALSE)="PRÓXIMO",VLOOKUP(Z12,'BD LUB'!$A$2:$L$223,12,FALSE)="PRÓXIMO"),4,IF(OR(AND(VLOOKUP(Z12,'BD LUB'!$A$2:$L$223,11,FALSE)="PRÓXIMO",VLOOKUP(Z12,'BD LUB'!$A$2:$L$223,12,FALSE)="VIGENTE"),AND(VLOOKUP(Z12,'BD LUB'!$A$2:$L$223,11,FALSE)="VIGENTE",VLOOKUP(Z12,'BD LUB'!$A$2:$L$223,12,FALSE)="PRÓXIMO")),5,IF(AND(VLOOKUP(Z12,'BD LUB'!$A$2:$L$223,11,FALSE)="VIGENTE",VLOOKUP(Z12,'BD LUB'!$A$2:$L$223,12,FALSE)="VIGENTE"),6,"No definido"))))))</f>
        <v>3</v>
      </c>
      <c r="AC12" s="134">
        <f>IFERROR(__xludf.DUMMYFUNCTION("""COMPUTED_VALUE"""),3198.0)</f>
        <v>3198</v>
      </c>
      <c r="AD12" s="136" t="str">
        <f>IF(VLOOKUP(AC12,'BD LUB'!$A$2:$C$223,3,FALSE)=$AH$20,AC12&amp;" MED",IF(VLOOKUP(AC12,'BD LUB'!$A$2:$C$223,3,FALSE)=$AH$19,AC12&amp;" MAY",IF(VLOOKUP(AC12,'BD LUB'!$A$2:$C$223,3,FALSE)=$AH$18,AC12&amp;" RN",IF(VLOOKUP(AC12,'BD LUB'!$A$2:$C$223,3,FALSE)=$AH$17,AC12&amp;" COPQUI",IF(VLOOKUP(AC12,'BD LUB'!$A$2:$C$223,3,FALSE)=$AH$16,AC12&amp;" CEJ",IF(VLOOKUP(AC12,'BD LUB'!$A$2:$C$223,3,FALSE)=$AH$15,AC12&amp;" BULT",IF(VLOOKUP(AC12,'BD LUB'!$A$2:$C$223,3,FALSE)=$AH$14,AC12&amp;" COP",IF(VLOOKUP(AC12,'BD LUB'!$A$2:$C$223,3,FALSE)=$AH$13,AC12&amp;" RIO",IF(VLOOKUP(AC12,'BD LUB'!$A$2:$C$223,3,FALSE)=$AH$21,AC12&amp;" APART","Dato no encontrado")))))))))</f>
        <v>3198 COP</v>
      </c>
      <c r="AE12" s="111"/>
      <c r="AF12" s="111"/>
      <c r="AG12" s="111"/>
      <c r="AI12" s="111"/>
      <c r="AJ12" s="126">
        <v>9.0</v>
      </c>
      <c r="AK12" s="141">
        <f>IFERROR(__xludf.DUMMYFUNCTION("""COMPUTED_VALUE"""),46668.0)</f>
        <v>46668</v>
      </c>
      <c r="AL12" s="128" t="str">
        <f>IFERROR(__xludf.DUMMYFUNCTION("""COMPUTED_VALUE"""),"02-Medellin")</f>
        <v>02-Medellin</v>
      </c>
      <c r="AM12" s="142">
        <f>IFERROR(__xludf.DUMMYFUNCTION("""COMPUTED_VALUE"""),146.0)</f>
        <v>146</v>
      </c>
      <c r="AN12" s="128"/>
      <c r="AP12" s="126">
        <v>9.0</v>
      </c>
      <c r="AQ12" s="141">
        <f>IFERROR(__xludf.DUMMYFUNCTION("""COMPUTED_VALUE"""),46668.0)</f>
        <v>46668</v>
      </c>
      <c r="AR12" s="128" t="str">
        <f>IFERROR(__xludf.DUMMYFUNCTION("""COMPUTED_VALUE"""),"02-Medellin")</f>
        <v>02-Medellin</v>
      </c>
      <c r="AS12" s="142">
        <f>IFERROR(__xludf.DUMMYFUNCTION("""COMPUTED_VALUE"""),146.0)</f>
        <v>146</v>
      </c>
      <c r="AT12" s="128"/>
      <c r="AV12" s="126">
        <v>9.0</v>
      </c>
      <c r="AW12" s="128"/>
      <c r="AX12" s="128"/>
      <c r="AY12" s="128"/>
      <c r="AZ12" s="128"/>
    </row>
    <row r="13">
      <c r="A13" s="120"/>
      <c r="B13" s="126">
        <v>10.0</v>
      </c>
      <c r="C13" s="135">
        <f>IFERROR(__xludf.DUMMYFUNCTION("""COMPUTED_VALUE"""),2673.0)</f>
        <v>2673</v>
      </c>
      <c r="D13" s="149">
        <f>IFERROR(__xludf.DUMMYFUNCTION("""COMPUTED_VALUE"""),46516.0)</f>
        <v>46516</v>
      </c>
      <c r="E13" s="150" t="str">
        <f>IFERROR(__xludf.DUMMYFUNCTION("""COMPUTED_VALUE"""),"02-Medellin")</f>
        <v>02-Medellin</v>
      </c>
      <c r="F13" s="149">
        <f>IFERROR(__xludf.DUMMYFUNCTION("""COMPUTED_VALUE"""),46006.0)</f>
        <v>46006</v>
      </c>
      <c r="G13" s="151">
        <f>IFERROR(__xludf.DUMMYFUNCTION("""COMPUTED_VALUE"""),-30.0)</f>
        <v>-30</v>
      </c>
      <c r="H13" s="134" t="str">
        <f>IFERROR(__xludf.DUMMYFUNCTION("""COMPUTED_VALUE"""),"PASADO")</f>
        <v>PASADO</v>
      </c>
      <c r="I13" s="132" t="str">
        <f t="shared" si="1"/>
        <v>PEDIDO</v>
      </c>
      <c r="J13" s="120"/>
      <c r="K13" s="126">
        <v>10.0</v>
      </c>
      <c r="L13" s="135">
        <f>IFERROR(__xludf.DUMMYFUNCTION("""COMPUTED_VALUE"""),2681.0)</f>
        <v>2681</v>
      </c>
      <c r="M13" s="149">
        <f>IFERROR(__xludf.DUMMYFUNCTION("""COMPUTED_VALUE"""),46514.0)</f>
        <v>46514</v>
      </c>
      <c r="N13" s="150" t="str">
        <f>IFERROR(__xludf.DUMMYFUNCTION("""COMPUTED_VALUE"""),"27-Apartado")</f>
        <v>27-Apartado</v>
      </c>
      <c r="O13" s="149">
        <f>IFERROR(__xludf.DUMMYFUNCTION("""COMPUTED_VALUE"""),46029.0)</f>
        <v>46029</v>
      </c>
      <c r="P13" s="151">
        <f>IFERROR(__xludf.DUMMYFUNCTION("""COMPUTED_VALUE"""),-1846.2999999999993)</f>
        <v>-1846.3</v>
      </c>
      <c r="Q13" s="134" t="str">
        <f>IFERROR(__xludf.DUMMYFUNCTION("""COMPUTED_VALUE"""),"PASADO")</f>
        <v>PASADO</v>
      </c>
      <c r="R13" s="132" t="str">
        <f t="shared" si="2"/>
        <v>PEDIDO</v>
      </c>
      <c r="S13" s="104"/>
      <c r="T13" s="134">
        <f>CALENDARIO!D25</f>
        <v>3275</v>
      </c>
      <c r="U13" s="135">
        <f>CALENDARIO!C25</f>
        <v>2188</v>
      </c>
      <c r="V13" s="104"/>
      <c r="W13" s="129">
        <f>IFERROR(__xludf.DUMMYFUNCTION("""COMPUTED_VALUE"""),2892.0)</f>
        <v>2892</v>
      </c>
      <c r="X13" s="136">
        <f>(VLOOKUP(W13,'BD LUB'!$A$2:$L$223,5,FALSE)/VLOOKUP(W13,'BD LUB'!$A$2:$L$223,7,FALSE))+(VLOOKUP(W13,'BD LUB'!$A$2:$L$223,6,FALSE)/VLOOKUP(W13,'BD LUB'!$A$2:$L$223,8,FALSE))</f>
        <v>1.387155556</v>
      </c>
      <c r="Y13" s="137">
        <f>IF(AND(VLOOKUP(W13,'BD LUB'!$A$2:$L$223,11,FALSE)="PASADO",VLOOKUP(W13,'BD LUB'!$A$2:$L$223,12,FALSE)="PASADO"),1,IF(OR(AND(VLOOKUP(W13,'BD LUB'!$A$2:$L$223,11,FALSE)="PASADO",VLOOKUP(W13,'BD LUB'!$A$2:$L$223,12,FALSE)="PRÓXIMO"),AND(VLOOKUP(W13,'BD LUB'!$A$2:$L$223,11,FALSE)="PRÓXIMO",VLOOKUP(W13,'BD LUB'!$A$2:$L$223,12,FALSE)="PASADO")),2,IF(OR(AND(VLOOKUP(W13,'BD LUB'!$A$2:$L$223,11,FALSE)="PASADO",VLOOKUP(W13,'BD LUB'!$A$2:$L$223,12,FALSE)="VIGENTE"),AND(VLOOKUP(W13,'BD LUB'!$A$2:$L$223,11,FALSE)="VIGENTE",VLOOKUP(W13,'BD LUB'!$A$2:$L$223,12,FALSE)="PASADO")),3,IF(AND(VLOOKUP(W13,'BD LUB'!$A$2:$L$223,11,FALSE)="PRÓXIMO",VLOOKUP(W13,'BD LUB'!$A$2:$L$223,12,FALSE)="PRÓXIMO"),4,IF(OR(AND(VLOOKUP(W13,'BD LUB'!$A$2:$L$223,11,FALSE)="PRÓXIMO",VLOOKUP(W13,'BD LUB'!$A$2:$L$223,12,FALSE)="VIGENTE"),AND(VLOOKUP(W13,'BD LUB'!$A$2:$L$223,11,FALSE)="VIGENTE",VLOOKUP(W13,'BD LUB'!$A$2:$L$223,12,FALSE)="PRÓXIMO")),5,IF(AND(VLOOKUP(W13,'BD LUB'!$A$2:$L$223,11,FALSE)="VIGENTE",VLOOKUP(W13,'BD LUB'!$A$2:$L$223,12,FALSE)="VIGENTE"),6,"No definido"))))))</f>
        <v>5</v>
      </c>
      <c r="Z13" s="138">
        <f>IFERROR(__xludf.DUMMYFUNCTION("""COMPUTED_VALUE"""),481.0)</f>
        <v>481</v>
      </c>
      <c r="AA13" s="139">
        <f>(VLOOKUP(Z13,'BD LUB'!$A$2:$L$223,5,FALSE)/VLOOKUP(Z13,'BD LUB'!$A$2:$L$223,7,FALSE))+(VLOOKUP(Z13,'BD LUB'!$A$2:$L$223,6,FALSE)/VLOOKUP(Z13,'BD LUB'!$A$2:$L$223,8,FALSE))</f>
        <v>1.573273333</v>
      </c>
      <c r="AB13" s="78">
        <f>IF(AND(VLOOKUP(Z13,'BD LUB'!$A$2:$L$223,11,FALSE)="PASADO",VLOOKUP(Z13,'BD LUB'!$A$2:$L$223,12,FALSE)="PASADO"),1,IF(OR(AND(VLOOKUP(Z13,'BD LUB'!$A$2:$L$223,11,FALSE)="PASADO",VLOOKUP(Z13,'BD LUB'!$A$2:$L$223,12,FALSE)="PRÓXIMO"),AND(VLOOKUP(Z13,'BD LUB'!$A$2:$L$223,11,FALSE)="PRÓXIMO",VLOOKUP(Z13,'BD LUB'!$A$2:$L$223,12,FALSE)="PASADO")),2,IF(OR(AND(VLOOKUP(Z13,'BD LUB'!$A$2:$L$223,11,FALSE)="PASADO",VLOOKUP(Z13,'BD LUB'!$A$2:$L$223,12,FALSE)="VIGENTE"),AND(VLOOKUP(Z13,'BD LUB'!$A$2:$L$223,11,FALSE)="VIGENTE",VLOOKUP(Z13,'BD LUB'!$A$2:$L$223,12,FALSE)="PASADO")),3,IF(AND(VLOOKUP(Z13,'BD LUB'!$A$2:$L$223,11,FALSE)="PRÓXIMO",VLOOKUP(Z13,'BD LUB'!$A$2:$L$223,12,FALSE)="PRÓXIMO"),4,IF(OR(AND(VLOOKUP(Z13,'BD LUB'!$A$2:$L$223,11,FALSE)="PRÓXIMO",VLOOKUP(Z13,'BD LUB'!$A$2:$L$223,12,FALSE)="VIGENTE"),AND(VLOOKUP(Z13,'BD LUB'!$A$2:$L$223,11,FALSE)="VIGENTE",VLOOKUP(Z13,'BD LUB'!$A$2:$L$223,12,FALSE)="PRÓXIMO")),5,IF(AND(VLOOKUP(Z13,'BD LUB'!$A$2:$L$223,11,FALSE)="VIGENTE",VLOOKUP(Z13,'BD LUB'!$A$2:$L$223,12,FALSE)="VIGENTE"),6,"No definido"))))))</f>
        <v>5</v>
      </c>
      <c r="AC13" s="134">
        <f>IFERROR(__xludf.DUMMYFUNCTION("""COMPUTED_VALUE"""),2469.0)</f>
        <v>2469</v>
      </c>
      <c r="AD13" s="136" t="str">
        <f>IF(VLOOKUP(AC13,'BD LUB'!$A$2:$C$223,3,FALSE)=$AH$20,AC13&amp;" MED",IF(VLOOKUP(AC13,'BD LUB'!$A$2:$C$223,3,FALSE)=$AH$19,AC13&amp;" MAY",IF(VLOOKUP(AC13,'BD LUB'!$A$2:$C$223,3,FALSE)=$AH$18,AC13&amp;" RN",IF(VLOOKUP(AC13,'BD LUB'!$A$2:$C$223,3,FALSE)=$AH$17,AC13&amp;" COPQUI",IF(VLOOKUP(AC13,'BD LUB'!$A$2:$C$223,3,FALSE)=$AH$16,AC13&amp;" CEJ",IF(VLOOKUP(AC13,'BD LUB'!$A$2:$C$223,3,FALSE)=$AH$15,AC13&amp;" BULT",IF(VLOOKUP(AC13,'BD LUB'!$A$2:$C$223,3,FALSE)=$AH$14,AC13&amp;" COP",IF(VLOOKUP(AC13,'BD LUB'!$A$2:$C$223,3,FALSE)=$AH$13,AC13&amp;" RIO",IF(VLOOKUP(AC13,'BD LUB'!$A$2:$C$223,3,FALSE)=$AH$21,AC13&amp;" APART","Dato no encontrado")))))))))</f>
        <v>2469 COPQUI</v>
      </c>
      <c r="AE13" s="111"/>
      <c r="AF13" s="111"/>
      <c r="AG13" s="111"/>
      <c r="AH13" s="68" t="s">
        <v>622</v>
      </c>
      <c r="AI13" s="111"/>
      <c r="AJ13" s="126">
        <v>10.0</v>
      </c>
      <c r="AK13" s="141">
        <f>IFERROR(__xludf.DUMMYFUNCTION("""COMPUTED_VALUE"""),46318.0)</f>
        <v>46318</v>
      </c>
      <c r="AL13" s="128" t="str">
        <f>IFERROR(__xludf.DUMMYFUNCTION("""COMPUTED_VALUE"""),"02-Medellin")</f>
        <v>02-Medellin</v>
      </c>
      <c r="AM13" s="142">
        <f>IFERROR(__xludf.DUMMYFUNCTION("""COMPUTED_VALUE"""),146.0)</f>
        <v>146</v>
      </c>
      <c r="AN13" s="128"/>
      <c r="AP13" s="126">
        <v>10.0</v>
      </c>
      <c r="AQ13" s="141">
        <f>IFERROR(__xludf.DUMMYFUNCTION("""COMPUTED_VALUE"""),46318.0)</f>
        <v>46318</v>
      </c>
      <c r="AR13" s="128" t="str">
        <f>IFERROR(__xludf.DUMMYFUNCTION("""COMPUTED_VALUE"""),"02-Medellin")</f>
        <v>02-Medellin</v>
      </c>
      <c r="AS13" s="142">
        <f>IFERROR(__xludf.DUMMYFUNCTION("""COMPUTED_VALUE"""),146.0)</f>
        <v>146</v>
      </c>
      <c r="AT13" s="128"/>
      <c r="AV13" s="126">
        <v>10.0</v>
      </c>
      <c r="AW13" s="128"/>
      <c r="AX13" s="128"/>
      <c r="AY13" s="128"/>
      <c r="AZ13" s="128"/>
    </row>
    <row r="14">
      <c r="A14" s="120"/>
      <c r="B14" s="126">
        <v>11.0</v>
      </c>
      <c r="C14" s="135">
        <f>IFERROR(__xludf.DUMMYFUNCTION("""COMPUTED_VALUE"""),2437.0)</f>
        <v>2437</v>
      </c>
      <c r="D14" s="149">
        <f>IFERROR(__xludf.DUMMYFUNCTION("""COMPUTED_VALUE"""),46528.0)</f>
        <v>46528</v>
      </c>
      <c r="E14" s="150" t="str">
        <f>IFERROR(__xludf.DUMMYFUNCTION("""COMPUTED_VALUE"""),"02-Medellin")</f>
        <v>02-Medellin</v>
      </c>
      <c r="F14" s="149">
        <f>IFERROR(__xludf.DUMMYFUNCTION("""COMPUTED_VALUE"""),46006.0)</f>
        <v>46006</v>
      </c>
      <c r="G14" s="151">
        <f>IFERROR(__xludf.DUMMYFUNCTION("""COMPUTED_VALUE"""),-30.0)</f>
        <v>-30</v>
      </c>
      <c r="H14" s="134" t="str">
        <f>IFERROR(__xludf.DUMMYFUNCTION("""COMPUTED_VALUE"""),"PASADO")</f>
        <v>PASADO</v>
      </c>
      <c r="I14" s="132" t="str">
        <f t="shared" si="1"/>
        <v>HECHO</v>
      </c>
      <c r="J14" s="120"/>
      <c r="K14" s="126">
        <v>11.0</v>
      </c>
      <c r="L14" s="135">
        <f>IFERROR(__xludf.DUMMYFUNCTION("""COMPUTED_VALUE"""),2842.0)</f>
        <v>2842</v>
      </c>
      <c r="M14" s="149">
        <f>IFERROR(__xludf.DUMMYFUNCTION("""COMPUTED_VALUE"""),46562.0)</f>
        <v>46562</v>
      </c>
      <c r="N14" s="150" t="str">
        <f>IFERROR(__xludf.DUMMYFUNCTION("""COMPUTED_VALUE"""),"24-Rionegro")</f>
        <v>24-Rionegro</v>
      </c>
      <c r="O14" s="149">
        <f>IFERROR(__xludf.DUMMYFUNCTION("""COMPUTED_VALUE"""),46139.0)</f>
        <v>46139</v>
      </c>
      <c r="P14" s="151">
        <f>IFERROR(__xludf.DUMMYFUNCTION("""COMPUTED_VALUE"""),-1687.0)</f>
        <v>-1687</v>
      </c>
      <c r="Q14" s="134" t="str">
        <f>IFERROR(__xludf.DUMMYFUNCTION("""COMPUTED_VALUE"""),"PASADO")</f>
        <v>PASADO</v>
      </c>
      <c r="R14" s="132" t="str">
        <f t="shared" si="2"/>
        <v>PEDIDO</v>
      </c>
      <c r="S14" s="152"/>
      <c r="T14" s="134">
        <f>CALENDARIO!D26</f>
        <v>3284</v>
      </c>
      <c r="U14" s="135">
        <f>CALENDARIO!C26</f>
        <v>2469</v>
      </c>
      <c r="V14" s="104"/>
      <c r="W14" s="129">
        <f>IFERROR(__xludf.DUMMYFUNCTION("""COMPUTED_VALUE"""),2891.0)</f>
        <v>2891</v>
      </c>
      <c r="X14" s="136">
        <f>(VLOOKUP(W14,'BD LUB'!$A$2:$L$223,5,FALSE)/VLOOKUP(W14,'BD LUB'!$A$2:$L$223,7,FALSE))+(VLOOKUP(W14,'BD LUB'!$A$2:$L$223,6,FALSE)/VLOOKUP(W14,'BD LUB'!$A$2:$L$223,8,FALSE))</f>
        <v>1.514155556</v>
      </c>
      <c r="Y14" s="137">
        <f>IF(AND(VLOOKUP(W14,'BD LUB'!$A$2:$L$223,11,FALSE)="PASADO",VLOOKUP(W14,'BD LUB'!$A$2:$L$223,12,FALSE)="PASADO"),1,IF(OR(AND(VLOOKUP(W14,'BD LUB'!$A$2:$L$223,11,FALSE)="PASADO",VLOOKUP(W14,'BD LUB'!$A$2:$L$223,12,FALSE)="PRÓXIMO"),AND(VLOOKUP(W14,'BD LUB'!$A$2:$L$223,11,FALSE)="PRÓXIMO",VLOOKUP(W14,'BD LUB'!$A$2:$L$223,12,FALSE)="PASADO")),2,IF(OR(AND(VLOOKUP(W14,'BD LUB'!$A$2:$L$223,11,FALSE)="PASADO",VLOOKUP(W14,'BD LUB'!$A$2:$L$223,12,FALSE)="VIGENTE"),AND(VLOOKUP(W14,'BD LUB'!$A$2:$L$223,11,FALSE)="VIGENTE",VLOOKUP(W14,'BD LUB'!$A$2:$L$223,12,FALSE)="PASADO")),3,IF(AND(VLOOKUP(W14,'BD LUB'!$A$2:$L$223,11,FALSE)="PRÓXIMO",VLOOKUP(W14,'BD LUB'!$A$2:$L$223,12,FALSE)="PRÓXIMO"),4,IF(OR(AND(VLOOKUP(W14,'BD LUB'!$A$2:$L$223,11,FALSE)="PRÓXIMO",VLOOKUP(W14,'BD LUB'!$A$2:$L$223,12,FALSE)="VIGENTE"),AND(VLOOKUP(W14,'BD LUB'!$A$2:$L$223,11,FALSE)="VIGENTE",VLOOKUP(W14,'BD LUB'!$A$2:$L$223,12,FALSE)="PRÓXIMO")),5,IF(AND(VLOOKUP(W14,'BD LUB'!$A$2:$L$223,11,FALSE)="VIGENTE",VLOOKUP(W14,'BD LUB'!$A$2:$L$223,12,FALSE)="VIGENTE"),6,"No definido"))))))</f>
        <v>5</v>
      </c>
      <c r="Z14" s="138">
        <f>IFERROR(__xludf.DUMMYFUNCTION("""COMPUTED_VALUE"""),2643.0)</f>
        <v>2643</v>
      </c>
      <c r="AA14" s="139">
        <f>(VLOOKUP(Z14,'BD LUB'!$A$2:$L$223,5,FALSE)/VLOOKUP(Z14,'BD LUB'!$A$2:$L$223,7,FALSE))+(VLOOKUP(Z14,'BD LUB'!$A$2:$L$223,6,FALSE)/VLOOKUP(Z14,'BD LUB'!$A$2:$L$223,8,FALSE))</f>
        <v>1.593044444</v>
      </c>
      <c r="AB14" s="78">
        <f>IF(AND(VLOOKUP(Z14,'BD LUB'!$A$2:$L$223,11,FALSE)="PASADO",VLOOKUP(Z14,'BD LUB'!$A$2:$L$223,12,FALSE)="PASADO"),1,IF(OR(AND(VLOOKUP(Z14,'BD LUB'!$A$2:$L$223,11,FALSE)="PASADO",VLOOKUP(Z14,'BD LUB'!$A$2:$L$223,12,FALSE)="PRÓXIMO"),AND(VLOOKUP(Z14,'BD LUB'!$A$2:$L$223,11,FALSE)="PRÓXIMO",VLOOKUP(Z14,'BD LUB'!$A$2:$L$223,12,FALSE)="PASADO")),2,IF(OR(AND(VLOOKUP(Z14,'BD LUB'!$A$2:$L$223,11,FALSE)="PASADO",VLOOKUP(Z14,'BD LUB'!$A$2:$L$223,12,FALSE)="VIGENTE"),AND(VLOOKUP(Z14,'BD LUB'!$A$2:$L$223,11,FALSE)="VIGENTE",VLOOKUP(Z14,'BD LUB'!$A$2:$L$223,12,FALSE)="PASADO")),3,IF(AND(VLOOKUP(Z14,'BD LUB'!$A$2:$L$223,11,FALSE)="PRÓXIMO",VLOOKUP(Z14,'BD LUB'!$A$2:$L$223,12,FALSE)="PRÓXIMO"),4,IF(OR(AND(VLOOKUP(Z14,'BD LUB'!$A$2:$L$223,11,FALSE)="PRÓXIMO",VLOOKUP(Z14,'BD LUB'!$A$2:$L$223,12,FALSE)="VIGENTE"),AND(VLOOKUP(Z14,'BD LUB'!$A$2:$L$223,11,FALSE)="VIGENTE",VLOOKUP(Z14,'BD LUB'!$A$2:$L$223,12,FALSE)="PRÓXIMO")),5,IF(AND(VLOOKUP(Z14,'BD LUB'!$A$2:$L$223,11,FALSE)="VIGENTE",VLOOKUP(Z14,'BD LUB'!$A$2:$L$223,12,FALSE)="VIGENTE"),6,"No definido"))))))</f>
        <v>5</v>
      </c>
      <c r="AC14" s="134">
        <f>IFERROR(__xludf.DUMMYFUNCTION("""COMPUTED_VALUE"""),2663.0)</f>
        <v>2663</v>
      </c>
      <c r="AD14" s="136" t="str">
        <f>IF(VLOOKUP(AC14,'BD LUB'!$A$2:$C$223,3,FALSE)=$AH$20,AC14&amp;" MED",IF(VLOOKUP(AC14,'BD LUB'!$A$2:$C$223,3,FALSE)=$AH$19,AC14&amp;" MAY",IF(VLOOKUP(AC14,'BD LUB'!$A$2:$C$223,3,FALSE)=$AH$18,AC14&amp;" RN",IF(VLOOKUP(AC14,'BD LUB'!$A$2:$C$223,3,FALSE)=$AH$17,AC14&amp;" COPQUI",IF(VLOOKUP(AC14,'BD LUB'!$A$2:$C$223,3,FALSE)=$AH$16,AC14&amp;" CEJ",IF(VLOOKUP(AC14,'BD LUB'!$A$2:$C$223,3,FALSE)=$AH$15,AC14&amp;" BULT",IF(VLOOKUP(AC14,'BD LUB'!$A$2:$C$223,3,FALSE)=$AH$14,AC14&amp;" COP",IF(VLOOKUP(AC14,'BD LUB'!$A$2:$C$223,3,FALSE)=$AH$13,AC14&amp;" RIO",IF(VLOOKUP(AC14,'BD LUB'!$A$2:$C$223,3,FALSE)=$AH$21,AC14&amp;" APART","Dato no encontrado")))))))))</f>
        <v>2663 RIO</v>
      </c>
      <c r="AE14" s="111"/>
      <c r="AF14" s="111"/>
      <c r="AG14" s="111"/>
      <c r="AH14" s="68" t="s">
        <v>623</v>
      </c>
      <c r="AI14" s="111"/>
      <c r="AJ14" s="126">
        <v>11.0</v>
      </c>
      <c r="AK14" s="141">
        <f>IFERROR(__xludf.DUMMYFUNCTION("""COMPUTED_VALUE"""),46668.0)</f>
        <v>46668</v>
      </c>
      <c r="AL14" s="128" t="str">
        <f>IFERROR(__xludf.DUMMYFUNCTION("""COMPUTED_VALUE"""),"02-Medellin")</f>
        <v>02-Medellin</v>
      </c>
      <c r="AM14" s="142">
        <f>IFERROR(__xludf.DUMMYFUNCTION("""COMPUTED_VALUE"""),138.0)</f>
        <v>138</v>
      </c>
      <c r="AN14" s="128">
        <f>IFERROR(__xludf.DUMMYFUNCTION("""COMPUTED_VALUE"""),700.0)</f>
        <v>700</v>
      </c>
      <c r="AP14" s="126">
        <v>11.0</v>
      </c>
      <c r="AQ14" s="141">
        <f>IFERROR(__xludf.DUMMYFUNCTION("""COMPUTED_VALUE"""),46668.0)</f>
        <v>46668</v>
      </c>
      <c r="AR14" s="128" t="str">
        <f>IFERROR(__xludf.DUMMYFUNCTION("""COMPUTED_VALUE"""),"02-Medellin")</f>
        <v>02-Medellin</v>
      </c>
      <c r="AS14" s="142">
        <f>IFERROR(__xludf.DUMMYFUNCTION("""COMPUTED_VALUE"""),138.0)</f>
        <v>138</v>
      </c>
      <c r="AT14" s="128">
        <f>IFERROR(__xludf.DUMMYFUNCTION("""COMPUTED_VALUE"""),700.0)</f>
        <v>700</v>
      </c>
      <c r="AV14" s="126">
        <v>11.0</v>
      </c>
      <c r="AW14" s="128"/>
      <c r="AX14" s="128"/>
      <c r="AY14" s="128"/>
      <c r="AZ14" s="128"/>
    </row>
    <row r="15">
      <c r="A15" s="120"/>
      <c r="B15" s="126">
        <v>12.0</v>
      </c>
      <c r="C15" s="135">
        <f>IFERROR(__xludf.DUMMYFUNCTION("""COMPUTED_VALUE"""),2230.0)</f>
        <v>2230</v>
      </c>
      <c r="D15" s="149">
        <f>IFERROR(__xludf.DUMMYFUNCTION("""COMPUTED_VALUE"""),46570.0)</f>
        <v>46570</v>
      </c>
      <c r="E15" s="150" t="str">
        <f>IFERROR(__xludf.DUMMYFUNCTION("""COMPUTED_VALUE"""),"02-Medellin")</f>
        <v>02-Medellin</v>
      </c>
      <c r="F15" s="149">
        <f>IFERROR(__xludf.DUMMYFUNCTION("""COMPUTED_VALUE"""),46008.0)</f>
        <v>46008</v>
      </c>
      <c r="G15" s="151">
        <f>IFERROR(__xludf.DUMMYFUNCTION("""COMPUTED_VALUE"""),-28.0)</f>
        <v>-28</v>
      </c>
      <c r="H15" s="134" t="str">
        <f>IFERROR(__xludf.DUMMYFUNCTION("""COMPUTED_VALUE"""),"PASADO")</f>
        <v>PASADO</v>
      </c>
      <c r="I15" s="132" t="str">
        <f t="shared" si="1"/>
        <v>HECHO</v>
      </c>
      <c r="J15" s="120"/>
      <c r="K15" s="126">
        <v>12.0</v>
      </c>
      <c r="L15" s="135">
        <f>IFERROR(__xludf.DUMMYFUNCTION("""COMPUTED_VALUE"""),2663.0)</f>
        <v>2663</v>
      </c>
      <c r="M15" s="149">
        <f>IFERROR(__xludf.DUMMYFUNCTION("""COMPUTED_VALUE"""),46493.0)</f>
        <v>46493</v>
      </c>
      <c r="N15" s="150" t="str">
        <f>IFERROR(__xludf.DUMMYFUNCTION("""COMPUTED_VALUE"""),"24-Rionegro")</f>
        <v>24-Rionegro</v>
      </c>
      <c r="O15" s="149">
        <f>IFERROR(__xludf.DUMMYFUNCTION("""COMPUTED_VALUE"""),46056.0)</f>
        <v>46056</v>
      </c>
      <c r="P15" s="151">
        <f>IFERROR(__xludf.DUMMYFUNCTION("""COMPUTED_VALUE"""),-1436.1000000000004)</f>
        <v>-1436.1</v>
      </c>
      <c r="Q15" s="134" t="str">
        <f>IFERROR(__xludf.DUMMYFUNCTION("""COMPUTED_VALUE"""),"PASADO")</f>
        <v>PASADO</v>
      </c>
      <c r="R15" s="132" t="str">
        <f t="shared" si="2"/>
        <v>PEDIDO</v>
      </c>
      <c r="S15" s="153"/>
      <c r="T15" s="134">
        <f>CALENDARIO!D27</f>
        <v>2572</v>
      </c>
      <c r="U15" s="135">
        <f>CALENDARIO!C27</f>
        <v>3283</v>
      </c>
      <c r="V15" s="104"/>
      <c r="W15" s="129">
        <f>IFERROR(__xludf.DUMMYFUNCTION("""COMPUTED_VALUE"""),2908.0)</f>
        <v>2908</v>
      </c>
      <c r="X15" s="136">
        <f>(VLOOKUP(W15,'BD LUB'!$A$2:$L$223,5,FALSE)/VLOOKUP(W15,'BD LUB'!$A$2:$L$223,7,FALSE))+(VLOOKUP(W15,'BD LUB'!$A$2:$L$223,6,FALSE)/VLOOKUP(W15,'BD LUB'!$A$2:$L$223,8,FALSE))</f>
        <v>1.3164</v>
      </c>
      <c r="Y15" s="137">
        <f>IF(AND(VLOOKUP(W15,'BD LUB'!$A$2:$L$223,11,FALSE)="PASADO",VLOOKUP(W15,'BD LUB'!$A$2:$L$223,12,FALSE)="PASADO"),1,IF(OR(AND(VLOOKUP(W15,'BD LUB'!$A$2:$L$223,11,FALSE)="PASADO",VLOOKUP(W15,'BD LUB'!$A$2:$L$223,12,FALSE)="PRÓXIMO"),AND(VLOOKUP(W15,'BD LUB'!$A$2:$L$223,11,FALSE)="PRÓXIMO",VLOOKUP(W15,'BD LUB'!$A$2:$L$223,12,FALSE)="PASADO")),2,IF(OR(AND(VLOOKUP(W15,'BD LUB'!$A$2:$L$223,11,FALSE)="PASADO",VLOOKUP(W15,'BD LUB'!$A$2:$L$223,12,FALSE)="VIGENTE"),AND(VLOOKUP(W15,'BD LUB'!$A$2:$L$223,11,FALSE)="VIGENTE",VLOOKUP(W15,'BD LUB'!$A$2:$L$223,12,FALSE)="PASADO")),3,IF(AND(VLOOKUP(W15,'BD LUB'!$A$2:$L$223,11,FALSE)="PRÓXIMO",VLOOKUP(W15,'BD LUB'!$A$2:$L$223,12,FALSE)="PRÓXIMO"),4,IF(OR(AND(VLOOKUP(W15,'BD LUB'!$A$2:$L$223,11,FALSE)="PRÓXIMO",VLOOKUP(W15,'BD LUB'!$A$2:$L$223,12,FALSE)="VIGENTE"),AND(VLOOKUP(W15,'BD LUB'!$A$2:$L$223,11,FALSE)="VIGENTE",VLOOKUP(W15,'BD LUB'!$A$2:$L$223,12,FALSE)="PRÓXIMO")),5,IF(AND(VLOOKUP(W15,'BD LUB'!$A$2:$L$223,11,FALSE)="VIGENTE",VLOOKUP(W15,'BD LUB'!$A$2:$L$223,12,FALSE)="VIGENTE"),6,"No definido"))))))</f>
        <v>5</v>
      </c>
      <c r="Z15" s="138">
        <f>IFERROR(__xludf.DUMMYFUNCTION("""COMPUTED_VALUE"""),2640.0)</f>
        <v>2640</v>
      </c>
      <c r="AA15" s="139">
        <f>(VLOOKUP(Z15,'BD LUB'!$A$2:$L$223,5,FALSE)/VLOOKUP(Z15,'BD LUB'!$A$2:$L$223,7,FALSE))+(VLOOKUP(Z15,'BD LUB'!$A$2:$L$223,6,FALSE)/VLOOKUP(Z15,'BD LUB'!$A$2:$L$223,8,FALSE))</f>
        <v>1.421944444</v>
      </c>
      <c r="AB15" s="78">
        <f>IF(AND(VLOOKUP(Z15,'BD LUB'!$A$2:$L$223,11,FALSE)="PASADO",VLOOKUP(Z15,'BD LUB'!$A$2:$L$223,12,FALSE)="PASADO"),1,IF(OR(AND(VLOOKUP(Z15,'BD LUB'!$A$2:$L$223,11,FALSE)="PASADO",VLOOKUP(Z15,'BD LUB'!$A$2:$L$223,12,FALSE)="PRÓXIMO"),AND(VLOOKUP(Z15,'BD LUB'!$A$2:$L$223,11,FALSE)="PRÓXIMO",VLOOKUP(Z15,'BD LUB'!$A$2:$L$223,12,FALSE)="PASADO")),2,IF(OR(AND(VLOOKUP(Z15,'BD LUB'!$A$2:$L$223,11,FALSE)="PASADO",VLOOKUP(Z15,'BD LUB'!$A$2:$L$223,12,FALSE)="VIGENTE"),AND(VLOOKUP(Z15,'BD LUB'!$A$2:$L$223,11,FALSE)="VIGENTE",VLOOKUP(Z15,'BD LUB'!$A$2:$L$223,12,FALSE)="PASADO")),3,IF(AND(VLOOKUP(Z15,'BD LUB'!$A$2:$L$223,11,FALSE)="PRÓXIMO",VLOOKUP(Z15,'BD LUB'!$A$2:$L$223,12,FALSE)="PRÓXIMO"),4,IF(OR(AND(VLOOKUP(Z15,'BD LUB'!$A$2:$L$223,11,FALSE)="PRÓXIMO",VLOOKUP(Z15,'BD LUB'!$A$2:$L$223,12,FALSE)="VIGENTE"),AND(VLOOKUP(Z15,'BD LUB'!$A$2:$L$223,11,FALSE)="VIGENTE",VLOOKUP(Z15,'BD LUB'!$A$2:$L$223,12,FALSE)="PRÓXIMO")),5,IF(AND(VLOOKUP(Z15,'BD LUB'!$A$2:$L$223,11,FALSE)="VIGENTE",VLOOKUP(Z15,'BD LUB'!$A$2:$L$223,12,FALSE)="VIGENTE"),6,"No definido"))))))</f>
        <v>5</v>
      </c>
      <c r="AC15" s="134">
        <f>IFERROR(__xludf.DUMMYFUNCTION("""COMPUTED_VALUE"""),2424.0)</f>
        <v>2424</v>
      </c>
      <c r="AD15" s="136" t="str">
        <f>IF(VLOOKUP(AC15,'BD LUB'!$A$2:$C$223,3,FALSE)=$AH$20,AC15&amp;" MED",IF(VLOOKUP(AC15,'BD LUB'!$A$2:$C$223,3,FALSE)=$AH$19,AC15&amp;" MAY",IF(VLOOKUP(AC15,'BD LUB'!$A$2:$C$223,3,FALSE)=$AH$18,AC15&amp;" RN",IF(VLOOKUP(AC15,'BD LUB'!$A$2:$C$223,3,FALSE)=$AH$17,AC15&amp;" COPQUI",IF(VLOOKUP(AC15,'BD LUB'!$A$2:$C$223,3,FALSE)=$AH$16,AC15&amp;" CEJ",IF(VLOOKUP(AC15,'BD LUB'!$A$2:$C$223,3,FALSE)=$AH$15,AC15&amp;" BULT",IF(VLOOKUP(AC15,'BD LUB'!$A$2:$C$223,3,FALSE)=$AH$14,AC15&amp;" COP",IF(VLOOKUP(AC15,'BD LUB'!$A$2:$C$223,3,FALSE)=$AH$13,AC15&amp;" RIO",IF(VLOOKUP(AC15,'BD LUB'!$A$2:$C$223,3,FALSE)=$AH$21,AC15&amp;" APART","Dato no encontrado")))))))))</f>
        <v>2424 MED</v>
      </c>
      <c r="AE15" s="111"/>
      <c r="AF15" s="111"/>
      <c r="AG15" s="111"/>
      <c r="AH15" s="134" t="s">
        <v>624</v>
      </c>
      <c r="AI15" s="111"/>
      <c r="AJ15" s="126">
        <v>12.0</v>
      </c>
      <c r="AK15" s="141">
        <f>IFERROR(__xludf.DUMMYFUNCTION("""COMPUTED_VALUE"""),46668.0)</f>
        <v>46668</v>
      </c>
      <c r="AL15" s="128" t="str">
        <f>IFERROR(__xludf.DUMMYFUNCTION("""COMPUTED_VALUE"""),"02-Medellin")</f>
        <v>02-Medellin</v>
      </c>
      <c r="AM15" s="142">
        <f>IFERROR(__xludf.DUMMYFUNCTION("""COMPUTED_VALUE"""),138.0)</f>
        <v>138</v>
      </c>
      <c r="AN15" s="128"/>
      <c r="AP15" s="126">
        <v>12.0</v>
      </c>
      <c r="AQ15" s="141">
        <f>IFERROR(__xludf.DUMMYFUNCTION("""COMPUTED_VALUE"""),46668.0)</f>
        <v>46668</v>
      </c>
      <c r="AR15" s="128" t="str">
        <f>IFERROR(__xludf.DUMMYFUNCTION("""COMPUTED_VALUE"""),"02-Medellin")</f>
        <v>02-Medellin</v>
      </c>
      <c r="AS15" s="142">
        <f>IFERROR(__xludf.DUMMYFUNCTION("""COMPUTED_VALUE"""),138.0)</f>
        <v>138</v>
      </c>
      <c r="AT15" s="128"/>
      <c r="AV15" s="126">
        <v>12.0</v>
      </c>
      <c r="AW15" s="128"/>
      <c r="AX15" s="128"/>
      <c r="AY15" s="128"/>
      <c r="AZ15" s="128"/>
    </row>
    <row r="16">
      <c r="A16" s="120"/>
      <c r="B16" s="126">
        <v>13.0</v>
      </c>
      <c r="C16" s="135">
        <f>IFERROR(__xludf.DUMMYFUNCTION("""COMPUTED_VALUE"""),2424.0)</f>
        <v>2424</v>
      </c>
      <c r="D16" s="149">
        <f>IFERROR(__xludf.DUMMYFUNCTION("""COMPUTED_VALUE"""),46528.0)</f>
        <v>46528</v>
      </c>
      <c r="E16" s="150" t="str">
        <f>IFERROR(__xludf.DUMMYFUNCTION("""COMPUTED_VALUE"""),"02-Medellin")</f>
        <v>02-Medellin</v>
      </c>
      <c r="F16" s="149">
        <f>IFERROR(__xludf.DUMMYFUNCTION("""COMPUTED_VALUE"""),46009.0)</f>
        <v>46009</v>
      </c>
      <c r="G16" s="151">
        <f>IFERROR(__xludf.DUMMYFUNCTION("""COMPUTED_VALUE"""),-27.0)</f>
        <v>-27</v>
      </c>
      <c r="H16" s="134" t="str">
        <f>IFERROR(__xludf.DUMMYFUNCTION("""COMPUTED_VALUE"""),"PASADO")</f>
        <v>PASADO</v>
      </c>
      <c r="I16" s="132" t="str">
        <f t="shared" si="1"/>
        <v>PEDIDO</v>
      </c>
      <c r="J16" s="120"/>
      <c r="K16" s="126">
        <v>13.0</v>
      </c>
      <c r="L16" s="135">
        <f>IFERROR(__xludf.DUMMYFUNCTION("""COMPUTED_VALUE"""),2910.0)</f>
        <v>2910</v>
      </c>
      <c r="M16" s="149">
        <f>IFERROR(__xludf.DUMMYFUNCTION("""COMPUTED_VALUE"""),46275.0)</f>
        <v>46275</v>
      </c>
      <c r="N16" s="150" t="str">
        <f>IFERROR(__xludf.DUMMYFUNCTION("""COMPUTED_VALUE"""),"24-Rionegro")</f>
        <v>24-Rionegro</v>
      </c>
      <c r="O16" s="149">
        <f>IFERROR(__xludf.DUMMYFUNCTION("""COMPUTED_VALUE"""),46112.0)</f>
        <v>46112</v>
      </c>
      <c r="P16" s="151">
        <f>IFERROR(__xludf.DUMMYFUNCTION("""COMPUTED_VALUE"""),-1394.0)</f>
        <v>-1394</v>
      </c>
      <c r="Q16" s="134" t="str">
        <f>IFERROR(__xludf.DUMMYFUNCTION("""COMPUTED_VALUE"""),"PASADO")</f>
        <v>PASADO</v>
      </c>
      <c r="R16" s="132" t="str">
        <f t="shared" si="2"/>
        <v>PEDIDO</v>
      </c>
      <c r="S16" s="152"/>
      <c r="T16" s="134">
        <f>CALENDARIO!D28</f>
        <v>3251</v>
      </c>
      <c r="U16" s="135">
        <f>CALENDARIO!C28</f>
        <v>2903</v>
      </c>
      <c r="V16" s="104"/>
      <c r="W16" s="129">
        <f>IFERROR(__xludf.DUMMYFUNCTION("""COMPUTED_VALUE"""),2895.0)</f>
        <v>2895</v>
      </c>
      <c r="X16" s="136">
        <f>(VLOOKUP(W16,'BD LUB'!$A$2:$L$223,5,FALSE)/VLOOKUP(W16,'BD LUB'!$A$2:$L$223,7,FALSE))+(VLOOKUP(W16,'BD LUB'!$A$2:$L$223,6,FALSE)/VLOOKUP(W16,'BD LUB'!$A$2:$L$223,8,FALSE))</f>
        <v>1.195933333</v>
      </c>
      <c r="Y16" s="137">
        <f>IF(AND(VLOOKUP(W16,'BD LUB'!$A$2:$L$223,11,FALSE)="PASADO",VLOOKUP(W16,'BD LUB'!$A$2:$L$223,12,FALSE)="PASADO"),1,IF(OR(AND(VLOOKUP(W16,'BD LUB'!$A$2:$L$223,11,FALSE)="PASADO",VLOOKUP(W16,'BD LUB'!$A$2:$L$223,12,FALSE)="PRÓXIMO"),AND(VLOOKUP(W16,'BD LUB'!$A$2:$L$223,11,FALSE)="PRÓXIMO",VLOOKUP(W16,'BD LUB'!$A$2:$L$223,12,FALSE)="PASADO")),2,IF(OR(AND(VLOOKUP(W16,'BD LUB'!$A$2:$L$223,11,FALSE)="PASADO",VLOOKUP(W16,'BD LUB'!$A$2:$L$223,12,FALSE)="VIGENTE"),AND(VLOOKUP(W16,'BD LUB'!$A$2:$L$223,11,FALSE)="VIGENTE",VLOOKUP(W16,'BD LUB'!$A$2:$L$223,12,FALSE)="PASADO")),3,IF(AND(VLOOKUP(W16,'BD LUB'!$A$2:$L$223,11,FALSE)="PRÓXIMO",VLOOKUP(W16,'BD LUB'!$A$2:$L$223,12,FALSE)="PRÓXIMO"),4,IF(OR(AND(VLOOKUP(W16,'BD LUB'!$A$2:$L$223,11,FALSE)="PRÓXIMO",VLOOKUP(W16,'BD LUB'!$A$2:$L$223,12,FALSE)="VIGENTE"),AND(VLOOKUP(W16,'BD LUB'!$A$2:$L$223,11,FALSE)="VIGENTE",VLOOKUP(W16,'BD LUB'!$A$2:$L$223,12,FALSE)="PRÓXIMO")),5,IF(AND(VLOOKUP(W16,'BD LUB'!$A$2:$L$223,11,FALSE)="VIGENTE",VLOOKUP(W16,'BD LUB'!$A$2:$L$223,12,FALSE)="VIGENTE"),6,"No definido"))))))</f>
        <v>5</v>
      </c>
      <c r="Z16" s="138">
        <f>IFERROR(__xludf.DUMMYFUNCTION("""COMPUTED_VALUE"""),2354.0)</f>
        <v>2354</v>
      </c>
      <c r="AA16" s="139">
        <f>(VLOOKUP(Z16,'BD LUB'!$A$2:$L$223,5,FALSE)/VLOOKUP(Z16,'BD LUB'!$A$2:$L$223,7,FALSE))+(VLOOKUP(Z16,'BD LUB'!$A$2:$L$223,6,FALSE)/VLOOKUP(Z16,'BD LUB'!$A$2:$L$223,8,FALSE))</f>
        <v>1.694364444</v>
      </c>
      <c r="AB16" s="78">
        <f>IF(AND(VLOOKUP(Z16,'BD LUB'!$A$2:$L$223,11,FALSE)="PASADO",VLOOKUP(Z16,'BD LUB'!$A$2:$L$223,12,FALSE)="PASADO"),1,IF(OR(AND(VLOOKUP(Z16,'BD LUB'!$A$2:$L$223,11,FALSE)="PASADO",VLOOKUP(Z16,'BD LUB'!$A$2:$L$223,12,FALSE)="PRÓXIMO"),AND(VLOOKUP(Z16,'BD LUB'!$A$2:$L$223,11,FALSE)="PRÓXIMO",VLOOKUP(Z16,'BD LUB'!$A$2:$L$223,12,FALSE)="PASADO")),2,IF(OR(AND(VLOOKUP(Z16,'BD LUB'!$A$2:$L$223,11,FALSE)="PASADO",VLOOKUP(Z16,'BD LUB'!$A$2:$L$223,12,FALSE)="VIGENTE"),AND(VLOOKUP(Z16,'BD LUB'!$A$2:$L$223,11,FALSE)="VIGENTE",VLOOKUP(Z16,'BD LUB'!$A$2:$L$223,12,FALSE)="PASADO")),3,IF(AND(VLOOKUP(Z16,'BD LUB'!$A$2:$L$223,11,FALSE)="PRÓXIMO",VLOOKUP(Z16,'BD LUB'!$A$2:$L$223,12,FALSE)="PRÓXIMO"),4,IF(OR(AND(VLOOKUP(Z16,'BD LUB'!$A$2:$L$223,11,FALSE)="PRÓXIMO",VLOOKUP(Z16,'BD LUB'!$A$2:$L$223,12,FALSE)="VIGENTE"),AND(VLOOKUP(Z16,'BD LUB'!$A$2:$L$223,11,FALSE)="VIGENTE",VLOOKUP(Z16,'BD LUB'!$A$2:$L$223,12,FALSE)="PRÓXIMO")),5,IF(AND(VLOOKUP(Z16,'BD LUB'!$A$2:$L$223,11,FALSE)="VIGENTE",VLOOKUP(Z16,'BD LUB'!$A$2:$L$223,12,FALSE)="VIGENTE"),6,"No definido"))))))</f>
        <v>5</v>
      </c>
      <c r="AC16" s="134">
        <f>IFERROR(__xludf.DUMMYFUNCTION("""COMPUTED_VALUE"""),2460.0)</f>
        <v>2460</v>
      </c>
      <c r="AD16" s="136" t="str">
        <f>IF(VLOOKUP(AC16,'BD LUB'!$A$2:$C$223,3,FALSE)=$AH$20,AC16&amp;" MED",IF(VLOOKUP(AC16,'BD LUB'!$A$2:$C$223,3,FALSE)=$AH$19,AC16&amp;" MAY",IF(VLOOKUP(AC16,'BD LUB'!$A$2:$C$223,3,FALSE)=$AH$18,AC16&amp;" RN",IF(VLOOKUP(AC16,'BD LUB'!$A$2:$C$223,3,FALSE)=$AH$17,AC16&amp;" COPQUI",IF(VLOOKUP(AC16,'BD LUB'!$A$2:$C$223,3,FALSE)=$AH$16,AC16&amp;" CEJ",IF(VLOOKUP(AC16,'BD LUB'!$A$2:$C$223,3,FALSE)=$AH$15,AC16&amp;" BULT",IF(VLOOKUP(AC16,'BD LUB'!$A$2:$C$223,3,FALSE)=$AH$14,AC16&amp;" COP",IF(VLOOKUP(AC16,'BD LUB'!$A$2:$C$223,3,FALSE)=$AH$13,AC16&amp;" RIO",IF(VLOOKUP(AC16,'BD LUB'!$A$2:$C$223,3,FALSE)=$AH$21,AC16&amp;" APART","Dato no encontrado")))))))))</f>
        <v>2460 BULT</v>
      </c>
      <c r="AE16" s="111"/>
      <c r="AF16" s="111"/>
      <c r="AG16" s="111"/>
      <c r="AH16" s="134" t="s">
        <v>625</v>
      </c>
      <c r="AI16" s="111"/>
      <c r="AJ16" s="126">
        <v>13.0</v>
      </c>
      <c r="AK16" s="141">
        <f>IFERROR(__xludf.DUMMYFUNCTION("""COMPUTED_VALUE"""),46653.0)</f>
        <v>46653</v>
      </c>
      <c r="AL16" s="128" t="str">
        <f>IFERROR(__xludf.DUMMYFUNCTION("""COMPUTED_VALUE"""),"02-Medellin")</f>
        <v>02-Medellin</v>
      </c>
      <c r="AM16" s="142">
        <f>IFERROR(__xludf.DUMMYFUNCTION("""COMPUTED_VALUE"""),138.0)</f>
        <v>138</v>
      </c>
      <c r="AN16" s="128"/>
      <c r="AP16" s="126">
        <v>13.0</v>
      </c>
      <c r="AQ16" s="141">
        <f>IFERROR(__xludf.DUMMYFUNCTION("""COMPUTED_VALUE"""),46653.0)</f>
        <v>46653</v>
      </c>
      <c r="AR16" s="128" t="str">
        <f>IFERROR(__xludf.DUMMYFUNCTION("""COMPUTED_VALUE"""),"02-Medellin")</f>
        <v>02-Medellin</v>
      </c>
      <c r="AS16" s="142">
        <f>IFERROR(__xludf.DUMMYFUNCTION("""COMPUTED_VALUE"""),138.0)</f>
        <v>138</v>
      </c>
      <c r="AT16" s="128"/>
      <c r="AV16" s="126">
        <v>13.0</v>
      </c>
      <c r="AW16" s="128"/>
      <c r="AX16" s="128"/>
      <c r="AY16" s="128"/>
      <c r="AZ16" s="128"/>
    </row>
    <row r="17">
      <c r="A17" s="120"/>
      <c r="B17" s="126">
        <v>14.0</v>
      </c>
      <c r="C17" s="135">
        <f>IFERROR(__xludf.DUMMYFUNCTION("""COMPUTED_VALUE"""),2450.0)</f>
        <v>2450</v>
      </c>
      <c r="D17" s="149">
        <f>IFERROR(__xludf.DUMMYFUNCTION("""COMPUTED_VALUE"""),46290.0)</f>
        <v>46290</v>
      </c>
      <c r="E17" s="150" t="str">
        <f>IFERROR(__xludf.DUMMYFUNCTION("""COMPUTED_VALUE"""),"MAYORCA")</f>
        <v>MAYORCA</v>
      </c>
      <c r="F17" s="149">
        <f>IFERROR(__xludf.DUMMYFUNCTION("""COMPUTED_VALUE"""),46027.0)</f>
        <v>46027</v>
      </c>
      <c r="G17" s="151">
        <f>IFERROR(__xludf.DUMMYFUNCTION("""COMPUTED_VALUE"""),-9.0)</f>
        <v>-9</v>
      </c>
      <c r="H17" s="134" t="str">
        <f>IFERROR(__xludf.DUMMYFUNCTION("""COMPUTED_VALUE"""),"PASADO")</f>
        <v>PASADO</v>
      </c>
      <c r="I17" s="132" t="str">
        <f t="shared" si="1"/>
        <v>HECHO</v>
      </c>
      <c r="J17" s="120"/>
      <c r="K17" s="126">
        <v>14.0</v>
      </c>
      <c r="L17" s="135">
        <f>IFERROR(__xludf.DUMMYFUNCTION("""COMPUTED_VALUE"""),2877.0)</f>
        <v>2877</v>
      </c>
      <c r="M17" s="149">
        <f>IFERROR(__xludf.DUMMYFUNCTION("""COMPUTED_VALUE"""),46226.0)</f>
        <v>46226</v>
      </c>
      <c r="N17" s="150" t="str">
        <f>IFERROR(__xludf.DUMMYFUNCTION("""COMPUTED_VALUE"""),"MAYORCA")</f>
        <v>MAYORCA</v>
      </c>
      <c r="O17" s="149">
        <f>IFERROR(__xludf.DUMMYFUNCTION("""COMPUTED_VALUE"""),46135.0)</f>
        <v>46135</v>
      </c>
      <c r="P17" s="151">
        <f>IFERROR(__xludf.DUMMYFUNCTION("""COMPUTED_VALUE"""),-1344.0)</f>
        <v>-1344</v>
      </c>
      <c r="Q17" s="134" t="str">
        <f>IFERROR(__xludf.DUMMYFUNCTION("""COMPUTED_VALUE"""),"PASADO")</f>
        <v>PASADO</v>
      </c>
      <c r="R17" s="132" t="str">
        <f t="shared" si="2"/>
        <v>HECHO</v>
      </c>
      <c r="S17" s="152"/>
      <c r="T17" s="134">
        <f>CALENDARIO!D29</f>
        <v>2682</v>
      </c>
      <c r="U17" s="135">
        <f>CALENDARIO!C29</f>
        <v>2424</v>
      </c>
      <c r="V17" s="104"/>
      <c r="W17" s="129">
        <f>IFERROR(__xludf.DUMMYFUNCTION("""COMPUTED_VALUE"""),3213.0)</f>
        <v>3213</v>
      </c>
      <c r="X17" s="136">
        <f>(VLOOKUP(W17,'BD LUB'!$A$2:$L$223,5,FALSE)/VLOOKUP(W17,'BD LUB'!$A$2:$L$223,7,FALSE))+(VLOOKUP(W17,'BD LUB'!$A$2:$L$223,6,FALSE)/VLOOKUP(W17,'BD LUB'!$A$2:$L$223,8,FALSE))</f>
        <v>1.556044444</v>
      </c>
      <c r="Y17" s="137">
        <f>IF(AND(VLOOKUP(W17,'BD LUB'!$A$2:$L$223,11,FALSE)="PASADO",VLOOKUP(W17,'BD LUB'!$A$2:$L$223,12,FALSE)="PASADO"),1,IF(OR(AND(VLOOKUP(W17,'BD LUB'!$A$2:$L$223,11,FALSE)="PASADO",VLOOKUP(W17,'BD LUB'!$A$2:$L$223,12,FALSE)="PRÓXIMO"),AND(VLOOKUP(W17,'BD LUB'!$A$2:$L$223,11,FALSE)="PRÓXIMO",VLOOKUP(W17,'BD LUB'!$A$2:$L$223,12,FALSE)="PASADO")),2,IF(OR(AND(VLOOKUP(W17,'BD LUB'!$A$2:$L$223,11,FALSE)="PASADO",VLOOKUP(W17,'BD LUB'!$A$2:$L$223,12,FALSE)="VIGENTE"),AND(VLOOKUP(W17,'BD LUB'!$A$2:$L$223,11,FALSE)="VIGENTE",VLOOKUP(W17,'BD LUB'!$A$2:$L$223,12,FALSE)="PASADO")),3,IF(AND(VLOOKUP(W17,'BD LUB'!$A$2:$L$223,11,FALSE)="PRÓXIMO",VLOOKUP(W17,'BD LUB'!$A$2:$L$223,12,FALSE)="PRÓXIMO"),4,IF(OR(AND(VLOOKUP(W17,'BD LUB'!$A$2:$L$223,11,FALSE)="PRÓXIMO",VLOOKUP(W17,'BD LUB'!$A$2:$L$223,12,FALSE)="VIGENTE"),AND(VLOOKUP(W17,'BD LUB'!$A$2:$L$223,11,FALSE)="VIGENTE",VLOOKUP(W17,'BD LUB'!$A$2:$L$223,12,FALSE)="PRÓXIMO")),5,IF(AND(VLOOKUP(W17,'BD LUB'!$A$2:$L$223,11,FALSE)="VIGENTE",VLOOKUP(W17,'BD LUB'!$A$2:$L$223,12,FALSE)="VIGENTE"),6,"No definido"))))))</f>
        <v>5</v>
      </c>
      <c r="Z17" s="138">
        <f>IFERROR(__xludf.DUMMYFUNCTION("""COMPUTED_VALUE"""),487.0)</f>
        <v>487</v>
      </c>
      <c r="AA17" s="139">
        <f>(VLOOKUP(Z17,'BD LUB'!$A$2:$L$223,5,FALSE)/VLOOKUP(Z17,'BD LUB'!$A$2:$L$223,7,FALSE))+(VLOOKUP(Z17,'BD LUB'!$A$2:$L$223,6,FALSE)/VLOOKUP(Z17,'BD LUB'!$A$2:$L$223,8,FALSE))</f>
        <v>1.635664444</v>
      </c>
      <c r="AB17" s="78">
        <f>IF(AND(VLOOKUP(Z17,'BD LUB'!$A$2:$L$223,11,FALSE)="PASADO",VLOOKUP(Z17,'BD LUB'!$A$2:$L$223,12,FALSE)="PASADO"),1,IF(OR(AND(VLOOKUP(Z17,'BD LUB'!$A$2:$L$223,11,FALSE)="PASADO",VLOOKUP(Z17,'BD LUB'!$A$2:$L$223,12,FALSE)="PRÓXIMO"),AND(VLOOKUP(Z17,'BD LUB'!$A$2:$L$223,11,FALSE)="PRÓXIMO",VLOOKUP(Z17,'BD LUB'!$A$2:$L$223,12,FALSE)="PASADO")),2,IF(OR(AND(VLOOKUP(Z17,'BD LUB'!$A$2:$L$223,11,FALSE)="PASADO",VLOOKUP(Z17,'BD LUB'!$A$2:$L$223,12,FALSE)="VIGENTE"),AND(VLOOKUP(Z17,'BD LUB'!$A$2:$L$223,11,FALSE)="VIGENTE",VLOOKUP(Z17,'BD LUB'!$A$2:$L$223,12,FALSE)="PASADO")),3,IF(AND(VLOOKUP(Z17,'BD LUB'!$A$2:$L$223,11,FALSE)="PRÓXIMO",VLOOKUP(Z17,'BD LUB'!$A$2:$L$223,12,FALSE)="PRÓXIMO"),4,IF(OR(AND(VLOOKUP(Z17,'BD LUB'!$A$2:$L$223,11,FALSE)="PRÓXIMO",VLOOKUP(Z17,'BD LUB'!$A$2:$L$223,12,FALSE)="VIGENTE"),AND(VLOOKUP(Z17,'BD LUB'!$A$2:$L$223,11,FALSE)="VIGENTE",VLOOKUP(Z17,'BD LUB'!$A$2:$L$223,12,FALSE)="PRÓXIMO")),5,IF(AND(VLOOKUP(Z17,'BD LUB'!$A$2:$L$223,11,FALSE)="VIGENTE",VLOOKUP(Z17,'BD LUB'!$A$2:$L$223,12,FALSE)="VIGENTE"),6,"No definido"))))))</f>
        <v>5</v>
      </c>
      <c r="AC17" s="134">
        <f>IFERROR(__xludf.DUMMYFUNCTION("""COMPUTED_VALUE"""),2673.0)</f>
        <v>2673</v>
      </c>
      <c r="AD17" s="136" t="str">
        <f>IF(VLOOKUP(AC17,'BD LUB'!$A$2:$C$223,3,FALSE)=$AH$20,AC17&amp;" MED",IF(VLOOKUP(AC17,'BD LUB'!$A$2:$C$223,3,FALSE)=$AH$19,AC17&amp;" MAY",IF(VLOOKUP(AC17,'BD LUB'!$A$2:$C$223,3,FALSE)=$AH$18,AC17&amp;" RN",IF(VLOOKUP(AC17,'BD LUB'!$A$2:$C$223,3,FALSE)=$AH$17,AC17&amp;" COPQUI",IF(VLOOKUP(AC17,'BD LUB'!$A$2:$C$223,3,FALSE)=$AH$16,AC17&amp;" CEJ",IF(VLOOKUP(AC17,'BD LUB'!$A$2:$C$223,3,FALSE)=$AH$15,AC17&amp;" BULT",IF(VLOOKUP(AC17,'BD LUB'!$A$2:$C$223,3,FALSE)=$AH$14,AC17&amp;" COP",IF(VLOOKUP(AC17,'BD LUB'!$A$2:$C$223,3,FALSE)=$AH$13,AC17&amp;" RIO",IF(VLOOKUP(AC17,'BD LUB'!$A$2:$C$223,3,FALSE)=$AH$21,AC17&amp;" APART","Dato no encontrado")))))))))</f>
        <v>2673 MED</v>
      </c>
      <c r="AE17" s="111"/>
      <c r="AF17" s="111"/>
      <c r="AG17" s="111"/>
      <c r="AH17" s="134" t="s">
        <v>626</v>
      </c>
      <c r="AI17" s="111"/>
      <c r="AJ17" s="126">
        <v>14.0</v>
      </c>
      <c r="AK17" s="141">
        <f>IFERROR(__xludf.DUMMYFUNCTION("""COMPUTED_VALUE"""),46275.0)</f>
        <v>46275</v>
      </c>
      <c r="AL17" s="128" t="str">
        <f>IFERROR(__xludf.DUMMYFUNCTION("""COMPUTED_VALUE"""),"02-Medellin")</f>
        <v>02-Medellin</v>
      </c>
      <c r="AM17" s="142">
        <f>IFERROR(__xludf.DUMMYFUNCTION("""COMPUTED_VALUE"""),132.0)</f>
        <v>132</v>
      </c>
      <c r="AN17" s="128"/>
      <c r="AP17" s="126">
        <v>14.0</v>
      </c>
      <c r="AQ17" s="141">
        <f>IFERROR(__xludf.DUMMYFUNCTION("""COMPUTED_VALUE"""),46275.0)</f>
        <v>46275</v>
      </c>
      <c r="AR17" s="128" t="str">
        <f>IFERROR(__xludf.DUMMYFUNCTION("""COMPUTED_VALUE"""),"02-Medellin")</f>
        <v>02-Medellin</v>
      </c>
      <c r="AS17" s="142">
        <f>IFERROR(__xludf.DUMMYFUNCTION("""COMPUTED_VALUE"""),132.0)</f>
        <v>132</v>
      </c>
      <c r="AT17" s="128"/>
      <c r="AV17" s="126">
        <v>14.0</v>
      </c>
      <c r="AW17" s="128"/>
      <c r="AX17" s="128"/>
      <c r="AY17" s="128"/>
      <c r="AZ17" s="128"/>
    </row>
    <row r="18">
      <c r="A18" s="120"/>
      <c r="B18" s="126">
        <v>15.0</v>
      </c>
      <c r="C18" s="135">
        <f>IFERROR(__xludf.DUMMYFUNCTION("""COMPUTED_VALUE"""),2425.0)</f>
        <v>2425</v>
      </c>
      <c r="D18" s="149">
        <f>IFERROR(__xludf.DUMMYFUNCTION("""COMPUTED_VALUE"""),46477.0)</f>
        <v>46477</v>
      </c>
      <c r="E18" s="150" t="str">
        <f>IFERROR(__xludf.DUMMYFUNCTION("""COMPUTED_VALUE"""),"BULTOS")</f>
        <v>BULTOS</v>
      </c>
      <c r="F18" s="149">
        <f>IFERROR(__xludf.DUMMYFUNCTION("""COMPUTED_VALUE"""),46027.0)</f>
        <v>46027</v>
      </c>
      <c r="G18" s="151">
        <f>IFERROR(__xludf.DUMMYFUNCTION("""COMPUTED_VALUE"""),-9.0)</f>
        <v>-9</v>
      </c>
      <c r="H18" s="134" t="str">
        <f>IFERROR(__xludf.DUMMYFUNCTION("""COMPUTED_VALUE"""),"PASADO")</f>
        <v>PASADO</v>
      </c>
      <c r="I18" s="132" t="str">
        <f t="shared" si="1"/>
        <v>HECHO</v>
      </c>
      <c r="J18" s="120"/>
      <c r="K18" s="126">
        <v>15.0</v>
      </c>
      <c r="L18" s="135">
        <f>IFERROR(__xludf.DUMMYFUNCTION("""COMPUTED_VALUE"""),3283.0)</f>
        <v>3283</v>
      </c>
      <c r="M18" s="149">
        <f>IFERROR(__xludf.DUMMYFUNCTION("""COMPUTED_VALUE"""),46668.0)</f>
        <v>46668</v>
      </c>
      <c r="N18" s="150" t="str">
        <f>IFERROR(__xludf.DUMMYFUNCTION("""COMPUTED_VALUE"""),"02-Medellin")</f>
        <v>02-Medellin</v>
      </c>
      <c r="O18" s="149">
        <f>IFERROR(__xludf.DUMMYFUNCTION("""COMPUTED_VALUE"""),46062.0)</f>
        <v>46062</v>
      </c>
      <c r="P18" s="151">
        <f>IFERROR(__xludf.DUMMYFUNCTION("""COMPUTED_VALUE"""),-1291.0)</f>
        <v>-1291</v>
      </c>
      <c r="Q18" s="134" t="str">
        <f>IFERROR(__xludf.DUMMYFUNCTION("""COMPUTED_VALUE"""),"PASADO")</f>
        <v>PASADO</v>
      </c>
      <c r="R18" s="132" t="str">
        <f t="shared" si="2"/>
        <v>PEDIDO</v>
      </c>
      <c r="S18" s="152"/>
      <c r="T18" s="134">
        <f>CALENDARIO!D30</f>
        <v>2926</v>
      </c>
      <c r="U18" s="135">
        <f>CALENDARIO!C30</f>
        <v>2673</v>
      </c>
      <c r="V18" s="104"/>
      <c r="W18" s="129"/>
      <c r="X18" s="136" t="str">
        <f>(VLOOKUP(W18,'BD LUB'!$A$2:$L$223,5,FALSE)/VLOOKUP(W18,'BD LUB'!$A$2:$L$223,7,FALSE))+(VLOOKUP(W18,'BD LUB'!$A$2:$L$223,6,FALSE)/VLOOKUP(W18,'BD LUB'!$A$2:$L$223,8,FALSE))</f>
        <v>#N/A</v>
      </c>
      <c r="Y18" s="137" t="str">
        <f>IF(AND(VLOOKUP(W18,'BD LUB'!$A$2:$L$223,11,FALSE)="PASADO",VLOOKUP(W18,'BD LUB'!$A$2:$L$223,12,FALSE)="PASADO"),1,IF(OR(AND(VLOOKUP(W18,'BD LUB'!$A$2:$L$223,11,FALSE)="PASADO",VLOOKUP(W18,'BD LUB'!$A$2:$L$223,12,FALSE)="PRÓXIMO"),AND(VLOOKUP(W18,'BD LUB'!$A$2:$L$223,11,FALSE)="PRÓXIMO",VLOOKUP(W18,'BD LUB'!$A$2:$L$223,12,FALSE)="PASADO")),2,IF(OR(AND(VLOOKUP(W18,'BD LUB'!$A$2:$L$223,11,FALSE)="PASADO",VLOOKUP(W18,'BD LUB'!$A$2:$L$223,12,FALSE)="VIGENTE"),AND(VLOOKUP(W18,'BD LUB'!$A$2:$L$223,11,FALSE)="VIGENTE",VLOOKUP(W18,'BD LUB'!$A$2:$L$223,12,FALSE)="PASADO")),3,IF(AND(VLOOKUP(W18,'BD LUB'!$A$2:$L$223,11,FALSE)="PRÓXIMO",VLOOKUP(W18,'BD LUB'!$A$2:$L$223,12,FALSE)="PRÓXIMO"),4,IF(OR(AND(VLOOKUP(W18,'BD LUB'!$A$2:$L$223,11,FALSE)="PRÓXIMO",VLOOKUP(W18,'BD LUB'!$A$2:$L$223,12,FALSE)="VIGENTE"),AND(VLOOKUP(W18,'BD LUB'!$A$2:$L$223,11,FALSE)="VIGENTE",VLOOKUP(W18,'BD LUB'!$A$2:$L$223,12,FALSE)="PRÓXIMO")),5,IF(AND(VLOOKUP(W18,'BD LUB'!$A$2:$L$223,11,FALSE)="VIGENTE",VLOOKUP(W18,'BD LUB'!$A$2:$L$223,12,FALSE)="VIGENTE"),6,"No definido"))))))</f>
        <v>#N/A</v>
      </c>
      <c r="Z18" s="138">
        <f>IFERROR(__xludf.DUMMYFUNCTION("""COMPUTED_VALUE"""),2881.0)</f>
        <v>2881</v>
      </c>
      <c r="AA18" s="139">
        <f>(VLOOKUP(Z18,'BD LUB'!$A$2:$L$223,5,FALSE)/VLOOKUP(Z18,'BD LUB'!$A$2:$L$223,7,FALSE))+(VLOOKUP(Z18,'BD LUB'!$A$2:$L$223,6,FALSE)/VLOOKUP(Z18,'BD LUB'!$A$2:$L$223,8,FALSE))</f>
        <v>1.746988889</v>
      </c>
      <c r="AB18" s="78">
        <f>IF(AND(VLOOKUP(Z18,'BD LUB'!$A$2:$L$223,11,FALSE)="PASADO",VLOOKUP(Z18,'BD LUB'!$A$2:$L$223,12,FALSE)="PASADO"),1,IF(OR(AND(VLOOKUP(Z18,'BD LUB'!$A$2:$L$223,11,FALSE)="PASADO",VLOOKUP(Z18,'BD LUB'!$A$2:$L$223,12,FALSE)="PRÓXIMO"),AND(VLOOKUP(Z18,'BD LUB'!$A$2:$L$223,11,FALSE)="PRÓXIMO",VLOOKUP(Z18,'BD LUB'!$A$2:$L$223,12,FALSE)="PASADO")),2,IF(OR(AND(VLOOKUP(Z18,'BD LUB'!$A$2:$L$223,11,FALSE)="PASADO",VLOOKUP(Z18,'BD LUB'!$A$2:$L$223,12,FALSE)="VIGENTE"),AND(VLOOKUP(Z18,'BD LUB'!$A$2:$L$223,11,FALSE)="VIGENTE",VLOOKUP(Z18,'BD LUB'!$A$2:$L$223,12,FALSE)="PASADO")),3,IF(AND(VLOOKUP(Z18,'BD LUB'!$A$2:$L$223,11,FALSE)="PRÓXIMO",VLOOKUP(Z18,'BD LUB'!$A$2:$L$223,12,FALSE)="PRÓXIMO"),4,IF(OR(AND(VLOOKUP(Z18,'BD LUB'!$A$2:$L$223,11,FALSE)="PRÓXIMO",VLOOKUP(Z18,'BD LUB'!$A$2:$L$223,12,FALSE)="VIGENTE"),AND(VLOOKUP(Z18,'BD LUB'!$A$2:$L$223,11,FALSE)="VIGENTE",VLOOKUP(Z18,'BD LUB'!$A$2:$L$223,12,FALSE)="PRÓXIMO")),5,IF(AND(VLOOKUP(Z18,'BD LUB'!$A$2:$L$223,11,FALSE)="VIGENTE",VLOOKUP(Z18,'BD LUB'!$A$2:$L$223,12,FALSE)="VIGENTE"),6,"No definido"))))))</f>
        <v>5</v>
      </c>
      <c r="AC18" s="134">
        <f>IFERROR(__xludf.DUMMYFUNCTION("""COMPUTED_VALUE"""),2910.0)</f>
        <v>2910</v>
      </c>
      <c r="AD18" s="136" t="str">
        <f>IF(VLOOKUP(AC18,'BD LUB'!$A$2:$C$223,3,FALSE)=$AH$20,AC18&amp;" MED",IF(VLOOKUP(AC18,'BD LUB'!$A$2:$C$223,3,FALSE)=$AH$19,AC18&amp;" MAY",IF(VLOOKUP(AC18,'BD LUB'!$A$2:$C$223,3,FALSE)=$AH$18,AC18&amp;" RN",IF(VLOOKUP(AC18,'BD LUB'!$A$2:$C$223,3,FALSE)=$AH$17,AC18&amp;" COPQUI",IF(VLOOKUP(AC18,'BD LUB'!$A$2:$C$223,3,FALSE)=$AH$16,AC18&amp;" CEJ",IF(VLOOKUP(AC18,'BD LUB'!$A$2:$C$223,3,FALSE)=$AH$15,AC18&amp;" BULT",IF(VLOOKUP(AC18,'BD LUB'!$A$2:$C$223,3,FALSE)=$AH$14,AC18&amp;" COP",IF(VLOOKUP(AC18,'BD LUB'!$A$2:$C$223,3,FALSE)=$AH$13,AC18&amp;" RIO",IF(VLOOKUP(AC18,'BD LUB'!$A$2:$C$223,3,FALSE)=$AH$21,AC18&amp;" APART","Dato no encontrado")))))))))</f>
        <v>2910 RIO</v>
      </c>
      <c r="AE18" s="111"/>
      <c r="AF18" s="111"/>
      <c r="AG18" s="111"/>
      <c r="AH18" s="134" t="s">
        <v>627</v>
      </c>
      <c r="AI18" s="111"/>
      <c r="AJ18" s="126">
        <v>15.0</v>
      </c>
      <c r="AK18" s="141">
        <f>IFERROR(__xludf.DUMMYFUNCTION("""COMPUTED_VALUE"""),46242.0)</f>
        <v>46242</v>
      </c>
      <c r="AL18" s="128" t="str">
        <f>IFERROR(__xludf.DUMMYFUNCTION("""COMPUTED_VALUE"""),"02-Medellin")</f>
        <v>02-Medellin</v>
      </c>
      <c r="AM18" s="142">
        <f>IFERROR(__xludf.DUMMYFUNCTION("""COMPUTED_VALUE"""),132.0)</f>
        <v>132</v>
      </c>
      <c r="AN18" s="128"/>
      <c r="AP18" s="126">
        <v>15.0</v>
      </c>
      <c r="AQ18" s="141">
        <f>IFERROR(__xludf.DUMMYFUNCTION("""COMPUTED_VALUE"""),46242.0)</f>
        <v>46242</v>
      </c>
      <c r="AR18" s="128" t="str">
        <f>IFERROR(__xludf.DUMMYFUNCTION("""COMPUTED_VALUE"""),"02-Medellin")</f>
        <v>02-Medellin</v>
      </c>
      <c r="AS18" s="142">
        <f>IFERROR(__xludf.DUMMYFUNCTION("""COMPUTED_VALUE"""),132.0)</f>
        <v>132</v>
      </c>
      <c r="AT18" s="128"/>
      <c r="AV18" s="126">
        <v>15.0</v>
      </c>
      <c r="AW18" s="128"/>
      <c r="AX18" s="128"/>
      <c r="AY18" s="128"/>
      <c r="AZ18" s="128"/>
    </row>
    <row r="19">
      <c r="A19" s="120"/>
      <c r="B19" s="126">
        <v>16.0</v>
      </c>
      <c r="C19" s="135">
        <f>IFERROR(__xludf.DUMMYFUNCTION("""COMPUTED_VALUE"""),2198.0)</f>
        <v>2198</v>
      </c>
      <c r="D19" s="149">
        <f>IFERROR(__xludf.DUMMYFUNCTION("""COMPUTED_VALUE"""),46515.0)</f>
        <v>46515</v>
      </c>
      <c r="E19" s="150" t="str">
        <f>IFERROR(__xludf.DUMMYFUNCTION("""COMPUTED_VALUE"""),"02-Medellin")</f>
        <v>02-Medellin</v>
      </c>
      <c r="F19" s="149">
        <f>IFERROR(__xludf.DUMMYFUNCTION("""COMPUTED_VALUE"""),46028.0)</f>
        <v>46028</v>
      </c>
      <c r="G19" s="151">
        <f>IFERROR(__xludf.DUMMYFUNCTION("""COMPUTED_VALUE"""),-8.0)</f>
        <v>-8</v>
      </c>
      <c r="H19" s="134" t="str">
        <f>IFERROR(__xludf.DUMMYFUNCTION("""COMPUTED_VALUE"""),"PASADO")</f>
        <v>PASADO</v>
      </c>
      <c r="I19" s="132" t="str">
        <f t="shared" si="1"/>
        <v>HECHO</v>
      </c>
      <c r="J19" s="120"/>
      <c r="K19" s="126">
        <v>16.0</v>
      </c>
      <c r="L19" s="135">
        <f>IFERROR(__xludf.DUMMYFUNCTION("""COMPUTED_VALUE"""),2853.0)</f>
        <v>2853</v>
      </c>
      <c r="M19" s="149">
        <f>IFERROR(__xludf.DUMMYFUNCTION("""COMPUTED_VALUE"""),46576.0)</f>
        <v>46576</v>
      </c>
      <c r="N19" s="150" t="str">
        <f>IFERROR(__xludf.DUMMYFUNCTION("""COMPUTED_VALUE"""),"BULTOS")</f>
        <v>BULTOS</v>
      </c>
      <c r="O19" s="149">
        <f>IFERROR(__xludf.DUMMYFUNCTION("""COMPUTED_VALUE"""),46109.0)</f>
        <v>46109</v>
      </c>
      <c r="P19" s="151">
        <f>IFERROR(__xludf.DUMMYFUNCTION("""COMPUTED_VALUE"""),-1262.0)</f>
        <v>-1262</v>
      </c>
      <c r="Q19" s="134" t="str">
        <f>IFERROR(__xludf.DUMMYFUNCTION("""COMPUTED_VALUE"""),"PASADO")</f>
        <v>PASADO</v>
      </c>
      <c r="R19" s="132" t="str">
        <f t="shared" si="2"/>
        <v>HECHO</v>
      </c>
      <c r="S19" s="152"/>
      <c r="T19" s="134">
        <f>CALENDARIO!D31</f>
        <v>2903</v>
      </c>
      <c r="U19" s="135">
        <f>CALENDARIO!C31</f>
        <v>3198</v>
      </c>
      <c r="V19" s="104"/>
      <c r="W19" s="129"/>
      <c r="X19" s="136" t="str">
        <f>(VLOOKUP(W19,'BD LUB'!$A$2:$L$223,5,FALSE)/VLOOKUP(W19,'BD LUB'!$A$2:$L$223,7,FALSE))+(VLOOKUP(W19,'BD LUB'!$A$2:$L$223,6,FALSE)/VLOOKUP(W19,'BD LUB'!$A$2:$L$223,8,FALSE))</f>
        <v>#N/A</v>
      </c>
      <c r="Y19" s="137" t="str">
        <f>IF(AND(VLOOKUP(W19,'BD LUB'!$A$2:$L$223,11,FALSE)="PASADO",VLOOKUP(W19,'BD LUB'!$A$2:$L$223,12,FALSE)="PASADO"),1,IF(OR(AND(VLOOKUP(W19,'BD LUB'!$A$2:$L$223,11,FALSE)="PASADO",VLOOKUP(W19,'BD LUB'!$A$2:$L$223,12,FALSE)="PRÓXIMO"),AND(VLOOKUP(W19,'BD LUB'!$A$2:$L$223,11,FALSE)="PRÓXIMO",VLOOKUP(W19,'BD LUB'!$A$2:$L$223,12,FALSE)="PASADO")),2,IF(OR(AND(VLOOKUP(W19,'BD LUB'!$A$2:$L$223,11,FALSE)="PASADO",VLOOKUP(W19,'BD LUB'!$A$2:$L$223,12,FALSE)="VIGENTE"),AND(VLOOKUP(W19,'BD LUB'!$A$2:$L$223,11,FALSE)="VIGENTE",VLOOKUP(W19,'BD LUB'!$A$2:$L$223,12,FALSE)="PASADO")),3,IF(AND(VLOOKUP(W19,'BD LUB'!$A$2:$L$223,11,FALSE)="PRÓXIMO",VLOOKUP(W19,'BD LUB'!$A$2:$L$223,12,FALSE)="PRÓXIMO"),4,IF(OR(AND(VLOOKUP(W19,'BD LUB'!$A$2:$L$223,11,FALSE)="PRÓXIMO",VLOOKUP(W19,'BD LUB'!$A$2:$L$223,12,FALSE)="VIGENTE"),AND(VLOOKUP(W19,'BD LUB'!$A$2:$L$223,11,FALSE)="VIGENTE",VLOOKUP(W19,'BD LUB'!$A$2:$L$223,12,FALSE)="PRÓXIMO")),5,IF(AND(VLOOKUP(W19,'BD LUB'!$A$2:$L$223,11,FALSE)="VIGENTE",VLOOKUP(W19,'BD LUB'!$A$2:$L$223,12,FALSE)="VIGENTE"),6,"No definido"))))))</f>
        <v>#N/A</v>
      </c>
      <c r="Z19" s="138">
        <f>IFERROR(__xludf.DUMMYFUNCTION("""COMPUTED_VALUE"""),496.0)</f>
        <v>496</v>
      </c>
      <c r="AA19" s="139">
        <f>(VLOOKUP(Z19,'BD LUB'!$A$2:$L$223,5,FALSE)/VLOOKUP(Z19,'BD LUB'!$A$2:$L$223,7,FALSE))+(VLOOKUP(Z19,'BD LUB'!$A$2:$L$223,6,FALSE)/VLOOKUP(Z19,'BD LUB'!$A$2:$L$223,8,FALSE))</f>
        <v>1.408628889</v>
      </c>
      <c r="AB19" s="78">
        <f>IF(AND(VLOOKUP(Z19,'BD LUB'!$A$2:$L$223,11,FALSE)="PASADO",VLOOKUP(Z19,'BD LUB'!$A$2:$L$223,12,FALSE)="PASADO"),1,IF(OR(AND(VLOOKUP(Z19,'BD LUB'!$A$2:$L$223,11,FALSE)="PASADO",VLOOKUP(Z19,'BD LUB'!$A$2:$L$223,12,FALSE)="PRÓXIMO"),AND(VLOOKUP(Z19,'BD LUB'!$A$2:$L$223,11,FALSE)="PRÓXIMO",VLOOKUP(Z19,'BD LUB'!$A$2:$L$223,12,FALSE)="PASADO")),2,IF(OR(AND(VLOOKUP(Z19,'BD LUB'!$A$2:$L$223,11,FALSE)="PASADO",VLOOKUP(Z19,'BD LUB'!$A$2:$L$223,12,FALSE)="VIGENTE"),AND(VLOOKUP(Z19,'BD LUB'!$A$2:$L$223,11,FALSE)="VIGENTE",VLOOKUP(Z19,'BD LUB'!$A$2:$L$223,12,FALSE)="PASADO")),3,IF(AND(VLOOKUP(Z19,'BD LUB'!$A$2:$L$223,11,FALSE)="PRÓXIMO",VLOOKUP(Z19,'BD LUB'!$A$2:$L$223,12,FALSE)="PRÓXIMO"),4,IF(OR(AND(VLOOKUP(Z19,'BD LUB'!$A$2:$L$223,11,FALSE)="PRÓXIMO",VLOOKUP(Z19,'BD LUB'!$A$2:$L$223,12,FALSE)="VIGENTE"),AND(VLOOKUP(Z19,'BD LUB'!$A$2:$L$223,11,FALSE)="VIGENTE",VLOOKUP(Z19,'BD LUB'!$A$2:$L$223,12,FALSE)="PRÓXIMO")),5,IF(AND(VLOOKUP(Z19,'BD LUB'!$A$2:$L$223,11,FALSE)="VIGENTE",VLOOKUP(Z19,'BD LUB'!$A$2:$L$223,12,FALSE)="VIGENTE"),6,"No definido"))))))</f>
        <v>5</v>
      </c>
      <c r="AC19" s="134">
        <f>IFERROR(__xludf.DUMMYFUNCTION("""COMPUTED_VALUE"""),2921.0)</f>
        <v>2921</v>
      </c>
      <c r="AD19" s="136" t="str">
        <f>IF(VLOOKUP(AC19,'BD LUB'!$A$2:$C$223,3,FALSE)=$AH$20,AC19&amp;" MED",IF(VLOOKUP(AC19,'BD LUB'!$A$2:$C$223,3,FALSE)=$AH$19,AC19&amp;" MAY",IF(VLOOKUP(AC19,'BD LUB'!$A$2:$C$223,3,FALSE)=$AH$18,AC19&amp;" RN",IF(VLOOKUP(AC19,'BD LUB'!$A$2:$C$223,3,FALSE)=$AH$17,AC19&amp;" COPQUI",IF(VLOOKUP(AC19,'BD LUB'!$A$2:$C$223,3,FALSE)=$AH$16,AC19&amp;" CEJ",IF(VLOOKUP(AC19,'BD LUB'!$A$2:$C$223,3,FALSE)=$AH$15,AC19&amp;" BULT",IF(VLOOKUP(AC19,'BD LUB'!$A$2:$C$223,3,FALSE)=$AH$14,AC19&amp;" COP",IF(VLOOKUP(AC19,'BD LUB'!$A$2:$C$223,3,FALSE)=$AH$13,AC19&amp;" RIO",IF(VLOOKUP(AC19,'BD LUB'!$A$2:$C$223,3,FALSE)=$AH$21,AC19&amp;" APART","Dato no encontrado")))))))))</f>
        <v>2921 MAY</v>
      </c>
      <c r="AE19" s="111"/>
      <c r="AF19" s="111"/>
      <c r="AG19" s="111"/>
      <c r="AH19" s="134" t="s">
        <v>628</v>
      </c>
      <c r="AI19" s="111"/>
      <c r="AJ19" s="126">
        <v>16.0</v>
      </c>
      <c r="AK19" s="141">
        <f>IFERROR(__xludf.DUMMYFUNCTION("""COMPUTED_VALUE"""),46668.0)</f>
        <v>46668</v>
      </c>
      <c r="AL19" s="128" t="str">
        <f>IFERROR(__xludf.DUMMYFUNCTION("""COMPUTED_VALUE"""),"02-Medellin")</f>
        <v>02-Medellin</v>
      </c>
      <c r="AM19" s="142">
        <f>IFERROR(__xludf.DUMMYFUNCTION("""COMPUTED_VALUE"""),130.0)</f>
        <v>130</v>
      </c>
      <c r="AN19" s="128"/>
      <c r="AP19" s="126">
        <v>16.0</v>
      </c>
      <c r="AQ19" s="141">
        <f>IFERROR(__xludf.DUMMYFUNCTION("""COMPUTED_VALUE"""),46668.0)</f>
        <v>46668</v>
      </c>
      <c r="AR19" s="128" t="str">
        <f>IFERROR(__xludf.DUMMYFUNCTION("""COMPUTED_VALUE"""),"02-Medellin")</f>
        <v>02-Medellin</v>
      </c>
      <c r="AS19" s="142">
        <f>IFERROR(__xludf.DUMMYFUNCTION("""COMPUTED_VALUE"""),130.0)</f>
        <v>130</v>
      </c>
      <c r="AT19" s="128"/>
      <c r="AV19" s="126">
        <v>16.0</v>
      </c>
      <c r="AW19" s="128"/>
      <c r="AX19" s="128"/>
      <c r="AY19" s="128"/>
      <c r="AZ19" s="128"/>
    </row>
    <row r="20">
      <c r="A20" s="120"/>
      <c r="B20" s="126">
        <v>17.0</v>
      </c>
      <c r="C20" s="135">
        <f>IFERROR(__xludf.DUMMYFUNCTION("""COMPUTED_VALUE"""),2681.0)</f>
        <v>2681</v>
      </c>
      <c r="D20" s="149">
        <f>IFERROR(__xludf.DUMMYFUNCTION("""COMPUTED_VALUE"""),46514.0)</f>
        <v>46514</v>
      </c>
      <c r="E20" s="150" t="str">
        <f>IFERROR(__xludf.DUMMYFUNCTION("""COMPUTED_VALUE"""),"27-Apartado")</f>
        <v>27-Apartado</v>
      </c>
      <c r="F20" s="149">
        <f>IFERROR(__xludf.DUMMYFUNCTION("""COMPUTED_VALUE"""),46029.0)</f>
        <v>46029</v>
      </c>
      <c r="G20" s="151">
        <f>IFERROR(__xludf.DUMMYFUNCTION("""COMPUTED_VALUE"""),-7.0)</f>
        <v>-7</v>
      </c>
      <c r="H20" s="134" t="str">
        <f>IFERROR(__xludf.DUMMYFUNCTION("""COMPUTED_VALUE"""),"PASADO")</f>
        <v>PASADO</v>
      </c>
      <c r="I20" s="132" t="str">
        <f t="shared" si="1"/>
        <v>PEDIDO</v>
      </c>
      <c r="J20" s="120"/>
      <c r="K20" s="126">
        <v>17.0</v>
      </c>
      <c r="L20" s="135">
        <f>IFERROR(__xludf.DUMMYFUNCTION("""COMPUTED_VALUE"""),2882.0)</f>
        <v>2882</v>
      </c>
      <c r="M20" s="149">
        <f>IFERROR(__xludf.DUMMYFUNCTION("""COMPUTED_VALUE"""),46233.0)</f>
        <v>46233</v>
      </c>
      <c r="N20" s="150" t="str">
        <f>IFERROR(__xludf.DUMMYFUNCTION("""COMPUTED_VALUE"""),"38-La ceja")</f>
        <v>38-La ceja</v>
      </c>
      <c r="O20" s="149">
        <f>IFERROR(__xludf.DUMMYFUNCTION("""COMPUTED_VALUE"""),46139.0)</f>
        <v>46139</v>
      </c>
      <c r="P20" s="151">
        <f>IFERROR(__xludf.DUMMYFUNCTION("""COMPUTED_VALUE"""),-1209.0)</f>
        <v>-1209</v>
      </c>
      <c r="Q20" s="134" t="str">
        <f>IFERROR(__xludf.DUMMYFUNCTION("""COMPUTED_VALUE"""),"PASADO")</f>
        <v>PASADO</v>
      </c>
      <c r="R20" s="132" t="str">
        <f t="shared" si="2"/>
        <v>HECHO</v>
      </c>
      <c r="S20" s="152"/>
      <c r="T20" s="134">
        <f>CALENDARIO!D32</f>
        <v>2437</v>
      </c>
      <c r="U20" s="135">
        <f>CALENDARIO!C32</f>
        <v>2230</v>
      </c>
      <c r="V20" s="104"/>
      <c r="W20" s="129"/>
      <c r="X20" s="136" t="str">
        <f>(VLOOKUP(W20,'BD LUB'!$A$2:$L$223,5,FALSE)/VLOOKUP(W20,'BD LUB'!$A$2:$L$223,7,FALSE))+(VLOOKUP(W20,'BD LUB'!$A$2:$L$223,6,FALSE)/VLOOKUP(W20,'BD LUB'!$A$2:$L$223,8,FALSE))</f>
        <v>#N/A</v>
      </c>
      <c r="Y20" s="137" t="str">
        <f>IF(AND(VLOOKUP(W20,'BD LUB'!$A$2:$L$223,11,FALSE)="PASADO",VLOOKUP(W20,'BD LUB'!$A$2:$L$223,12,FALSE)="PASADO"),1,IF(OR(AND(VLOOKUP(W20,'BD LUB'!$A$2:$L$223,11,FALSE)="PASADO",VLOOKUP(W20,'BD LUB'!$A$2:$L$223,12,FALSE)="PRÓXIMO"),AND(VLOOKUP(W20,'BD LUB'!$A$2:$L$223,11,FALSE)="PRÓXIMO",VLOOKUP(W20,'BD LUB'!$A$2:$L$223,12,FALSE)="PASADO")),2,IF(OR(AND(VLOOKUP(W20,'BD LUB'!$A$2:$L$223,11,FALSE)="PASADO",VLOOKUP(W20,'BD LUB'!$A$2:$L$223,12,FALSE)="VIGENTE"),AND(VLOOKUP(W20,'BD LUB'!$A$2:$L$223,11,FALSE)="VIGENTE",VLOOKUP(W20,'BD LUB'!$A$2:$L$223,12,FALSE)="PASADO")),3,IF(AND(VLOOKUP(W20,'BD LUB'!$A$2:$L$223,11,FALSE)="PRÓXIMO",VLOOKUP(W20,'BD LUB'!$A$2:$L$223,12,FALSE)="PRÓXIMO"),4,IF(OR(AND(VLOOKUP(W20,'BD LUB'!$A$2:$L$223,11,FALSE)="PRÓXIMO",VLOOKUP(W20,'BD LUB'!$A$2:$L$223,12,FALSE)="VIGENTE"),AND(VLOOKUP(W20,'BD LUB'!$A$2:$L$223,11,FALSE)="VIGENTE",VLOOKUP(W20,'BD LUB'!$A$2:$L$223,12,FALSE)="PRÓXIMO")),5,IF(AND(VLOOKUP(W20,'BD LUB'!$A$2:$L$223,11,FALSE)="VIGENTE",VLOOKUP(W20,'BD LUB'!$A$2:$L$223,12,FALSE)="VIGENTE"),6,"No definido"))))))</f>
        <v>#N/A</v>
      </c>
      <c r="Z20" s="138">
        <f>IFERROR(__xludf.DUMMYFUNCTION("""COMPUTED_VALUE"""),464.0)</f>
        <v>464</v>
      </c>
      <c r="AA20" s="139">
        <f>(VLOOKUP(Z20,'BD LUB'!$A$2:$L$223,5,FALSE)/VLOOKUP(Z20,'BD LUB'!$A$2:$L$223,7,FALSE))+(VLOOKUP(Z20,'BD LUB'!$A$2:$L$223,6,FALSE)/VLOOKUP(Z20,'BD LUB'!$A$2:$L$223,8,FALSE))</f>
        <v>1.18678</v>
      </c>
      <c r="AB20" s="78">
        <f>IF(AND(VLOOKUP(Z20,'BD LUB'!$A$2:$L$223,11,FALSE)="PASADO",VLOOKUP(Z20,'BD LUB'!$A$2:$L$223,12,FALSE)="PASADO"),1,IF(OR(AND(VLOOKUP(Z20,'BD LUB'!$A$2:$L$223,11,FALSE)="PASADO",VLOOKUP(Z20,'BD LUB'!$A$2:$L$223,12,FALSE)="PRÓXIMO"),AND(VLOOKUP(Z20,'BD LUB'!$A$2:$L$223,11,FALSE)="PRÓXIMO",VLOOKUP(Z20,'BD LUB'!$A$2:$L$223,12,FALSE)="PASADO")),2,IF(OR(AND(VLOOKUP(Z20,'BD LUB'!$A$2:$L$223,11,FALSE)="PASADO",VLOOKUP(Z20,'BD LUB'!$A$2:$L$223,12,FALSE)="VIGENTE"),AND(VLOOKUP(Z20,'BD LUB'!$A$2:$L$223,11,FALSE)="VIGENTE",VLOOKUP(Z20,'BD LUB'!$A$2:$L$223,12,FALSE)="PASADO")),3,IF(AND(VLOOKUP(Z20,'BD LUB'!$A$2:$L$223,11,FALSE)="PRÓXIMO",VLOOKUP(Z20,'BD LUB'!$A$2:$L$223,12,FALSE)="PRÓXIMO"),4,IF(OR(AND(VLOOKUP(Z20,'BD LUB'!$A$2:$L$223,11,FALSE)="PRÓXIMO",VLOOKUP(Z20,'BD LUB'!$A$2:$L$223,12,FALSE)="VIGENTE"),AND(VLOOKUP(Z20,'BD LUB'!$A$2:$L$223,11,FALSE)="VIGENTE",VLOOKUP(Z20,'BD LUB'!$A$2:$L$223,12,FALSE)="PRÓXIMO")),5,IF(AND(VLOOKUP(Z20,'BD LUB'!$A$2:$L$223,11,FALSE)="VIGENTE",VLOOKUP(Z20,'BD LUB'!$A$2:$L$223,12,FALSE)="VIGENTE"),6,"No definido"))))))</f>
        <v>5</v>
      </c>
      <c r="AC20" s="134">
        <f>IFERROR(__xludf.DUMMYFUNCTION("""COMPUTED_VALUE"""),2859.0)</f>
        <v>2859</v>
      </c>
      <c r="AD20" s="136" t="str">
        <f>IF(VLOOKUP(AC20,'BD LUB'!$A$2:$C$223,3,FALSE)=$AH$20,AC20&amp;" MED",IF(VLOOKUP(AC20,'BD LUB'!$A$2:$C$223,3,FALSE)=$AH$19,AC20&amp;" MAY",IF(VLOOKUP(AC20,'BD LUB'!$A$2:$C$223,3,FALSE)=$AH$18,AC20&amp;" RN",IF(VLOOKUP(AC20,'BD LUB'!$A$2:$C$223,3,FALSE)=$AH$17,AC20&amp;" COPQUI",IF(VLOOKUP(AC20,'BD LUB'!$A$2:$C$223,3,FALSE)=$AH$16,AC20&amp;" CEJ",IF(VLOOKUP(AC20,'BD LUB'!$A$2:$C$223,3,FALSE)=$AH$15,AC20&amp;" BULT",IF(VLOOKUP(AC20,'BD LUB'!$A$2:$C$223,3,FALSE)=$AH$14,AC20&amp;" COP",IF(VLOOKUP(AC20,'BD LUB'!$A$2:$C$223,3,FALSE)=$AH$13,AC20&amp;" RIO",IF(VLOOKUP(AC20,'BD LUB'!$A$2:$C$223,3,FALSE)=$AH$21,AC20&amp;" APART","Dato no encontrado")))))))))</f>
        <v>2859 MAY</v>
      </c>
      <c r="AE20" s="111"/>
      <c r="AF20" s="111"/>
      <c r="AG20" s="111"/>
      <c r="AH20" s="154" t="s">
        <v>629</v>
      </c>
      <c r="AI20" s="111"/>
      <c r="AJ20" s="126">
        <v>17.0</v>
      </c>
      <c r="AK20" s="141">
        <f>IFERROR(__xludf.DUMMYFUNCTION("""COMPUTED_VALUE"""),46668.0)</f>
        <v>46668</v>
      </c>
      <c r="AL20" s="128" t="str">
        <f>IFERROR(__xludf.DUMMYFUNCTION("""COMPUTED_VALUE"""),"02-Medellin")</f>
        <v>02-Medellin</v>
      </c>
      <c r="AM20" s="142">
        <f>IFERROR(__xludf.DUMMYFUNCTION("""COMPUTED_VALUE"""),129.0)</f>
        <v>129</v>
      </c>
      <c r="AN20" s="128"/>
      <c r="AP20" s="126">
        <v>17.0</v>
      </c>
      <c r="AQ20" s="141">
        <f>IFERROR(__xludf.DUMMYFUNCTION("""COMPUTED_VALUE"""),46668.0)</f>
        <v>46668</v>
      </c>
      <c r="AR20" s="128" t="str">
        <f>IFERROR(__xludf.DUMMYFUNCTION("""COMPUTED_VALUE"""),"02-Medellin")</f>
        <v>02-Medellin</v>
      </c>
      <c r="AS20" s="142">
        <f>IFERROR(__xludf.DUMMYFUNCTION("""COMPUTED_VALUE"""),129.0)</f>
        <v>129</v>
      </c>
      <c r="AT20" s="128"/>
      <c r="AV20" s="126">
        <v>17.0</v>
      </c>
      <c r="AW20" s="128"/>
      <c r="AX20" s="128"/>
      <c r="AY20" s="128"/>
      <c r="AZ20" s="128"/>
    </row>
    <row r="21">
      <c r="A21" s="120"/>
      <c r="B21" s="126">
        <v>18.0</v>
      </c>
      <c r="C21" s="135">
        <f>IFERROR(__xludf.DUMMYFUNCTION("""COMPUTED_VALUE"""),2384.0)</f>
        <v>2384</v>
      </c>
      <c r="D21" s="149">
        <f>IFERROR(__xludf.DUMMYFUNCTION("""COMPUTED_VALUE"""),46571.0)</f>
        <v>46571</v>
      </c>
      <c r="E21" s="150" t="str">
        <f>IFERROR(__xludf.DUMMYFUNCTION("""COMPUTED_VALUE"""),"02-Medellin")</f>
        <v>02-Medellin</v>
      </c>
      <c r="F21" s="149">
        <f>IFERROR(__xludf.DUMMYFUNCTION("""COMPUTED_VALUE"""),46029.0)</f>
        <v>46029</v>
      </c>
      <c r="G21" s="151">
        <f>IFERROR(__xludf.DUMMYFUNCTION("""COMPUTED_VALUE"""),-7.0)</f>
        <v>-7</v>
      </c>
      <c r="H21" s="134" t="str">
        <f>IFERROR(__xludf.DUMMYFUNCTION("""COMPUTED_VALUE"""),"PASADO")</f>
        <v>PASADO</v>
      </c>
      <c r="I21" s="132" t="str">
        <f t="shared" si="1"/>
        <v>HECHO</v>
      </c>
      <c r="J21" s="120"/>
      <c r="K21" s="126">
        <v>18.0</v>
      </c>
      <c r="L21" s="135">
        <f>IFERROR(__xludf.DUMMYFUNCTION("""COMPUTED_VALUE"""),2188.0)</f>
        <v>2188</v>
      </c>
      <c r="M21" s="149">
        <f>IFERROR(__xludf.DUMMYFUNCTION("""COMPUTED_VALUE"""),46375.0)</f>
        <v>46375</v>
      </c>
      <c r="N21" s="150" t="str">
        <f>IFERROR(__xludf.DUMMYFUNCTION("""COMPUTED_VALUE"""),"BULTOS")</f>
        <v>BULTOS</v>
      </c>
      <c r="O21" s="149">
        <f>IFERROR(__xludf.DUMMYFUNCTION("""COMPUTED_VALUE"""),46042.0)</f>
        <v>46042</v>
      </c>
      <c r="P21" s="151">
        <f>IFERROR(__xludf.DUMMYFUNCTION("""COMPUTED_VALUE"""),-1139.8999999999996)</f>
        <v>-1139.9</v>
      </c>
      <c r="Q21" s="134" t="str">
        <f>IFERROR(__xludf.DUMMYFUNCTION("""COMPUTED_VALUE"""),"PASADO")</f>
        <v>PASADO</v>
      </c>
      <c r="R21" s="132" t="str">
        <f t="shared" si="2"/>
        <v>PEDIDO</v>
      </c>
      <c r="S21" s="152"/>
      <c r="T21" s="134">
        <f>CALENDARIO!D33</f>
        <v>2384</v>
      </c>
      <c r="U21" s="135">
        <f>CALENDARIO!C33</f>
        <v>3282</v>
      </c>
      <c r="V21" s="104"/>
      <c r="W21" s="129"/>
      <c r="X21" s="136" t="str">
        <f>(VLOOKUP(W21,'BD LUB'!$A$2:$L$223,5,FALSE)/VLOOKUP(W21,'BD LUB'!$A$2:$L$223,7,FALSE))+(VLOOKUP(W21,'BD LUB'!$A$2:$L$223,6,FALSE)/VLOOKUP(W21,'BD LUB'!$A$2:$L$223,8,FALSE))</f>
        <v>#N/A</v>
      </c>
      <c r="Y21" s="137" t="str">
        <f>IF(AND(VLOOKUP(W21,'BD LUB'!$A$2:$L$223,11,FALSE)="PASADO",VLOOKUP(W21,'BD LUB'!$A$2:$L$223,12,FALSE)="PASADO"),1,IF(OR(AND(VLOOKUP(W21,'BD LUB'!$A$2:$L$223,11,FALSE)="PASADO",VLOOKUP(W21,'BD LUB'!$A$2:$L$223,12,FALSE)="PRÓXIMO"),AND(VLOOKUP(W21,'BD LUB'!$A$2:$L$223,11,FALSE)="PRÓXIMO",VLOOKUP(W21,'BD LUB'!$A$2:$L$223,12,FALSE)="PASADO")),2,IF(OR(AND(VLOOKUP(W21,'BD LUB'!$A$2:$L$223,11,FALSE)="PASADO",VLOOKUP(W21,'BD LUB'!$A$2:$L$223,12,FALSE)="VIGENTE"),AND(VLOOKUP(W21,'BD LUB'!$A$2:$L$223,11,FALSE)="VIGENTE",VLOOKUP(W21,'BD LUB'!$A$2:$L$223,12,FALSE)="PASADO")),3,IF(AND(VLOOKUP(W21,'BD LUB'!$A$2:$L$223,11,FALSE)="PRÓXIMO",VLOOKUP(W21,'BD LUB'!$A$2:$L$223,12,FALSE)="PRÓXIMO"),4,IF(OR(AND(VLOOKUP(W21,'BD LUB'!$A$2:$L$223,11,FALSE)="PRÓXIMO",VLOOKUP(W21,'BD LUB'!$A$2:$L$223,12,FALSE)="VIGENTE"),AND(VLOOKUP(W21,'BD LUB'!$A$2:$L$223,11,FALSE)="VIGENTE",VLOOKUP(W21,'BD LUB'!$A$2:$L$223,12,FALSE)="PRÓXIMO")),5,IF(AND(VLOOKUP(W21,'BD LUB'!$A$2:$L$223,11,FALSE)="VIGENTE",VLOOKUP(W21,'BD LUB'!$A$2:$L$223,12,FALSE)="VIGENTE"),6,"No definido"))))))</f>
        <v>#N/A</v>
      </c>
      <c r="Z21" s="138">
        <f>IFERROR(__xludf.DUMMYFUNCTION("""COMPUTED_VALUE"""),2484.0)</f>
        <v>2484</v>
      </c>
      <c r="AA21" s="139">
        <f>(VLOOKUP(Z21,'BD LUB'!$A$2:$L$223,5,FALSE)/VLOOKUP(Z21,'BD LUB'!$A$2:$L$223,7,FALSE))+(VLOOKUP(Z21,'BD LUB'!$A$2:$L$223,6,FALSE)/VLOOKUP(Z21,'BD LUB'!$A$2:$L$223,8,FALSE))</f>
        <v>2.051406667</v>
      </c>
      <c r="AB21" s="78">
        <f>IF(AND(VLOOKUP(Z21,'BD LUB'!$A$2:$L$223,11,FALSE)="PASADO",VLOOKUP(Z21,'BD LUB'!$A$2:$L$223,12,FALSE)="PASADO"),1,IF(OR(AND(VLOOKUP(Z21,'BD LUB'!$A$2:$L$223,11,FALSE)="PASADO",VLOOKUP(Z21,'BD LUB'!$A$2:$L$223,12,FALSE)="PRÓXIMO"),AND(VLOOKUP(Z21,'BD LUB'!$A$2:$L$223,11,FALSE)="PRÓXIMO",VLOOKUP(Z21,'BD LUB'!$A$2:$L$223,12,FALSE)="PASADO")),2,IF(OR(AND(VLOOKUP(Z21,'BD LUB'!$A$2:$L$223,11,FALSE)="PASADO",VLOOKUP(Z21,'BD LUB'!$A$2:$L$223,12,FALSE)="VIGENTE"),AND(VLOOKUP(Z21,'BD LUB'!$A$2:$L$223,11,FALSE)="VIGENTE",VLOOKUP(Z21,'BD LUB'!$A$2:$L$223,12,FALSE)="PASADO")),3,IF(AND(VLOOKUP(Z21,'BD LUB'!$A$2:$L$223,11,FALSE)="PRÓXIMO",VLOOKUP(Z21,'BD LUB'!$A$2:$L$223,12,FALSE)="PRÓXIMO"),4,IF(OR(AND(VLOOKUP(Z21,'BD LUB'!$A$2:$L$223,11,FALSE)="PRÓXIMO",VLOOKUP(Z21,'BD LUB'!$A$2:$L$223,12,FALSE)="VIGENTE"),AND(VLOOKUP(Z21,'BD LUB'!$A$2:$L$223,11,FALSE)="VIGENTE",VLOOKUP(Z21,'BD LUB'!$A$2:$L$223,12,FALSE)="PRÓXIMO")),5,IF(AND(VLOOKUP(Z21,'BD LUB'!$A$2:$L$223,11,FALSE)="VIGENTE",VLOOKUP(Z21,'BD LUB'!$A$2:$L$223,12,FALSE)="VIGENTE"),6,"No definido"))))))</f>
        <v>2</v>
      </c>
      <c r="AC21" s="134">
        <f>IFERROR(__xludf.DUMMYFUNCTION("""COMPUTED_VALUE"""),2927.0)</f>
        <v>2927</v>
      </c>
      <c r="AD21" s="136" t="str">
        <f>IF(VLOOKUP(AC21,'BD LUB'!$A$2:$C$223,3,FALSE)=$AH$20,AC21&amp;" MED",IF(VLOOKUP(AC21,'BD LUB'!$A$2:$C$223,3,FALSE)=$AH$19,AC21&amp;" MAY",IF(VLOOKUP(AC21,'BD LUB'!$A$2:$C$223,3,FALSE)=$AH$18,AC21&amp;" RN",IF(VLOOKUP(AC21,'BD LUB'!$A$2:$C$223,3,FALSE)=$AH$17,AC21&amp;" COPQUI",IF(VLOOKUP(AC21,'BD LUB'!$A$2:$C$223,3,FALSE)=$AH$16,AC21&amp;" CEJ",IF(VLOOKUP(AC21,'BD LUB'!$A$2:$C$223,3,FALSE)=$AH$15,AC21&amp;" BULT",IF(VLOOKUP(AC21,'BD LUB'!$A$2:$C$223,3,FALSE)=$AH$14,AC21&amp;" COP",IF(VLOOKUP(AC21,'BD LUB'!$A$2:$C$223,3,FALSE)=$AH$13,AC21&amp;" RIO",IF(VLOOKUP(AC21,'BD LUB'!$A$2:$C$223,3,FALSE)=$AH$21,AC21&amp;" APART","Dato no encontrado")))))))))</f>
        <v>2927 MED</v>
      </c>
      <c r="AE21" s="111"/>
      <c r="AF21" s="111"/>
      <c r="AG21" s="111"/>
      <c r="AH21" s="134" t="s">
        <v>630</v>
      </c>
      <c r="AI21" s="111"/>
      <c r="AJ21" s="126">
        <v>18.0</v>
      </c>
      <c r="AK21" s="141">
        <f>IFERROR(__xludf.DUMMYFUNCTION("""COMPUTED_VALUE"""),46661.0)</f>
        <v>46661</v>
      </c>
      <c r="AL21" s="128" t="str">
        <f>IFERROR(__xludf.DUMMYFUNCTION("""COMPUTED_VALUE"""),"24-Rionegro")</f>
        <v>24-Rionegro</v>
      </c>
      <c r="AM21" s="142">
        <f>IFERROR(__xludf.DUMMYFUNCTION("""COMPUTED_VALUE"""),129.0)</f>
        <v>129</v>
      </c>
      <c r="AN21" s="128"/>
      <c r="AP21" s="126">
        <v>18.0</v>
      </c>
      <c r="AQ21" s="141">
        <f>IFERROR(__xludf.DUMMYFUNCTION("""COMPUTED_VALUE"""),46661.0)</f>
        <v>46661</v>
      </c>
      <c r="AR21" s="128" t="str">
        <f>IFERROR(__xludf.DUMMYFUNCTION("""COMPUTED_VALUE"""),"24-Rionegro")</f>
        <v>24-Rionegro</v>
      </c>
      <c r="AS21" s="142">
        <f>IFERROR(__xludf.DUMMYFUNCTION("""COMPUTED_VALUE"""),129.0)</f>
        <v>129</v>
      </c>
      <c r="AT21" s="128"/>
      <c r="AV21" s="126">
        <v>18.0</v>
      </c>
      <c r="AW21" s="128"/>
      <c r="AX21" s="128"/>
      <c r="AY21" s="128"/>
      <c r="AZ21" s="128"/>
    </row>
    <row r="22">
      <c r="A22" s="120"/>
      <c r="B22" s="126">
        <v>19.0</v>
      </c>
      <c r="C22" s="155">
        <f>IFERROR(__xludf.DUMMYFUNCTION("""COMPUTED_VALUE"""),2339.0)</f>
        <v>2339</v>
      </c>
      <c r="D22" s="156">
        <f>IFERROR(__xludf.DUMMYFUNCTION("""COMPUTED_VALUE"""),46572.0)</f>
        <v>46572</v>
      </c>
      <c r="E22" s="78" t="str">
        <f>IFERROR(__xludf.DUMMYFUNCTION("""COMPUTED_VALUE"""),"02-Medellin")</f>
        <v>02-Medellin</v>
      </c>
      <c r="F22" s="156">
        <f>IFERROR(__xludf.DUMMYFUNCTION("""COMPUTED_VALUE"""),46029.0)</f>
        <v>46029</v>
      </c>
      <c r="G22" s="151">
        <f>IFERROR(__xludf.DUMMYFUNCTION("""COMPUTED_VALUE"""),-7.0)</f>
        <v>-7</v>
      </c>
      <c r="H22" s="134" t="str">
        <f>IFERROR(__xludf.DUMMYFUNCTION("""COMPUTED_VALUE"""),"PASADO")</f>
        <v>PASADO</v>
      </c>
      <c r="I22" s="132" t="str">
        <f t="shared" si="1"/>
        <v>HECHO</v>
      </c>
      <c r="J22" s="120"/>
      <c r="K22" s="126">
        <v>19.0</v>
      </c>
      <c r="L22" s="155">
        <f>IFERROR(__xludf.DUMMYFUNCTION("""COMPUTED_VALUE"""),2334.0)</f>
        <v>2334</v>
      </c>
      <c r="M22" s="156">
        <f>IFERROR(__xludf.DUMMYFUNCTION("""COMPUTED_VALUE"""),46543.0)</f>
        <v>46543</v>
      </c>
      <c r="N22" s="78" t="str">
        <f>IFERROR(__xludf.DUMMYFUNCTION("""COMPUTED_VALUE"""),"27-Apartado")</f>
        <v>27-Apartado</v>
      </c>
      <c r="O22" s="156">
        <f>IFERROR(__xludf.DUMMYFUNCTION("""COMPUTED_VALUE"""),46030.0)</f>
        <v>46030</v>
      </c>
      <c r="P22" s="151">
        <f>IFERROR(__xludf.DUMMYFUNCTION("""COMPUTED_VALUE"""),-1111.0)</f>
        <v>-1111</v>
      </c>
      <c r="Q22" s="134" t="str">
        <f>IFERROR(__xludf.DUMMYFUNCTION("""COMPUTED_VALUE"""),"PASADO")</f>
        <v>PASADO</v>
      </c>
      <c r="R22" s="132" t="str">
        <f t="shared" si="2"/>
        <v>PEDIDO</v>
      </c>
      <c r="S22" s="152"/>
      <c r="T22" s="134">
        <f>CALENDARIO!D34</f>
        <v>2853</v>
      </c>
      <c r="U22" s="135">
        <f>CALENDARIO!C34</f>
        <v>3280</v>
      </c>
      <c r="V22" s="104"/>
      <c r="W22" s="129"/>
      <c r="X22" s="136" t="str">
        <f>(VLOOKUP(W22,'BD LUB'!$A$2:$L$223,5,FALSE)/VLOOKUP(W22,'BD LUB'!$A$2:$L$223,7,FALSE))+(VLOOKUP(W22,'BD LUB'!$A$2:$L$223,6,FALSE)/VLOOKUP(W22,'BD LUB'!$A$2:$L$223,8,FALSE))</f>
        <v>#N/A</v>
      </c>
      <c r="Y22" s="137" t="str">
        <f>IF(AND(VLOOKUP(W22,'BD LUB'!$A$2:$L$223,11,FALSE)="PASADO",VLOOKUP(W22,'BD LUB'!$A$2:$L$223,12,FALSE)="PASADO"),1,IF(OR(AND(VLOOKUP(W22,'BD LUB'!$A$2:$L$223,11,FALSE)="PASADO",VLOOKUP(W22,'BD LUB'!$A$2:$L$223,12,FALSE)="PRÓXIMO"),AND(VLOOKUP(W22,'BD LUB'!$A$2:$L$223,11,FALSE)="PRÓXIMO",VLOOKUP(W22,'BD LUB'!$A$2:$L$223,12,FALSE)="PASADO")),2,IF(OR(AND(VLOOKUP(W22,'BD LUB'!$A$2:$L$223,11,FALSE)="PASADO",VLOOKUP(W22,'BD LUB'!$A$2:$L$223,12,FALSE)="VIGENTE"),AND(VLOOKUP(W22,'BD LUB'!$A$2:$L$223,11,FALSE)="VIGENTE",VLOOKUP(W22,'BD LUB'!$A$2:$L$223,12,FALSE)="PASADO")),3,IF(AND(VLOOKUP(W22,'BD LUB'!$A$2:$L$223,11,FALSE)="PRÓXIMO",VLOOKUP(W22,'BD LUB'!$A$2:$L$223,12,FALSE)="PRÓXIMO"),4,IF(OR(AND(VLOOKUP(W22,'BD LUB'!$A$2:$L$223,11,FALSE)="PRÓXIMO",VLOOKUP(W22,'BD LUB'!$A$2:$L$223,12,FALSE)="VIGENTE"),AND(VLOOKUP(W22,'BD LUB'!$A$2:$L$223,11,FALSE)="VIGENTE",VLOOKUP(W22,'BD LUB'!$A$2:$L$223,12,FALSE)="PRÓXIMO")),5,IF(AND(VLOOKUP(W22,'BD LUB'!$A$2:$L$223,11,FALSE)="VIGENTE",VLOOKUP(W22,'BD LUB'!$A$2:$L$223,12,FALSE)="VIGENTE"),6,"No definido"))))))</f>
        <v>#N/A</v>
      </c>
      <c r="Z22" s="138">
        <f>IFERROR(__xludf.DUMMYFUNCTION("""COMPUTED_VALUE"""),2394.0)</f>
        <v>2394</v>
      </c>
      <c r="AA22" s="139">
        <f>(VLOOKUP(Z22,'BD LUB'!$A$2:$L$223,5,FALSE)/VLOOKUP(Z22,'BD LUB'!$A$2:$L$223,7,FALSE))+(VLOOKUP(Z22,'BD LUB'!$A$2:$L$223,6,FALSE)/VLOOKUP(Z22,'BD LUB'!$A$2:$L$223,8,FALSE))</f>
        <v>1.455846667</v>
      </c>
      <c r="AB22" s="78">
        <f>IF(AND(VLOOKUP(Z22,'BD LUB'!$A$2:$L$223,11,FALSE)="PASADO",VLOOKUP(Z22,'BD LUB'!$A$2:$L$223,12,FALSE)="PASADO"),1,IF(OR(AND(VLOOKUP(Z22,'BD LUB'!$A$2:$L$223,11,FALSE)="PASADO",VLOOKUP(Z22,'BD LUB'!$A$2:$L$223,12,FALSE)="PRÓXIMO"),AND(VLOOKUP(Z22,'BD LUB'!$A$2:$L$223,11,FALSE)="PRÓXIMO",VLOOKUP(Z22,'BD LUB'!$A$2:$L$223,12,FALSE)="PASADO")),2,IF(OR(AND(VLOOKUP(Z22,'BD LUB'!$A$2:$L$223,11,FALSE)="PASADO",VLOOKUP(Z22,'BD LUB'!$A$2:$L$223,12,FALSE)="VIGENTE"),AND(VLOOKUP(Z22,'BD LUB'!$A$2:$L$223,11,FALSE)="VIGENTE",VLOOKUP(Z22,'BD LUB'!$A$2:$L$223,12,FALSE)="PASADO")),3,IF(AND(VLOOKUP(Z22,'BD LUB'!$A$2:$L$223,11,FALSE)="PRÓXIMO",VLOOKUP(Z22,'BD LUB'!$A$2:$L$223,12,FALSE)="PRÓXIMO"),4,IF(OR(AND(VLOOKUP(Z22,'BD LUB'!$A$2:$L$223,11,FALSE)="PRÓXIMO",VLOOKUP(Z22,'BD LUB'!$A$2:$L$223,12,FALSE)="VIGENTE"),AND(VLOOKUP(Z22,'BD LUB'!$A$2:$L$223,11,FALSE)="VIGENTE",VLOOKUP(Z22,'BD LUB'!$A$2:$L$223,12,FALSE)="PRÓXIMO")),5,IF(AND(VLOOKUP(Z22,'BD LUB'!$A$2:$L$223,11,FALSE)="VIGENTE",VLOOKUP(Z22,'BD LUB'!$A$2:$L$223,12,FALSE)="VIGENTE"),6,"No definido"))))))</f>
        <v>5</v>
      </c>
      <c r="AC22" s="134">
        <f>IFERROR(__xludf.DUMMYFUNCTION("""COMPUTED_VALUE"""),2925.0)</f>
        <v>2925</v>
      </c>
      <c r="AD22" s="136" t="str">
        <f>IF(VLOOKUP(AC22,'BD LUB'!$A$2:$C$223,3,FALSE)=$AH$20,AC22&amp;" MED",IF(VLOOKUP(AC22,'BD LUB'!$A$2:$C$223,3,FALSE)=$AH$19,AC22&amp;" MAY",IF(VLOOKUP(AC22,'BD LUB'!$A$2:$C$223,3,FALSE)=$AH$18,AC22&amp;" RN",IF(VLOOKUP(AC22,'BD LUB'!$A$2:$C$223,3,FALSE)=$AH$17,AC22&amp;" COPQUI",IF(VLOOKUP(AC22,'BD LUB'!$A$2:$C$223,3,FALSE)=$AH$16,AC22&amp;" CEJ",IF(VLOOKUP(AC22,'BD LUB'!$A$2:$C$223,3,FALSE)=$AH$15,AC22&amp;" BULT",IF(VLOOKUP(AC22,'BD LUB'!$A$2:$C$223,3,FALSE)=$AH$14,AC22&amp;" COP",IF(VLOOKUP(AC22,'BD LUB'!$A$2:$C$223,3,FALSE)=$AH$13,AC22&amp;" RIO",IF(VLOOKUP(AC22,'BD LUB'!$A$2:$C$223,3,FALSE)=$AH$21,AC22&amp;" APART","Dato no encontrado")))))))))</f>
        <v>2925 MED</v>
      </c>
      <c r="AE22" s="111"/>
      <c r="AF22" s="111"/>
      <c r="AG22" s="111"/>
      <c r="AH22" s="111"/>
      <c r="AI22" s="111"/>
      <c r="AJ22" s="126">
        <v>19.0</v>
      </c>
      <c r="AK22" s="141">
        <f>IFERROR(__xludf.DUMMYFUNCTION("""COMPUTED_VALUE"""),46318.0)</f>
        <v>46318</v>
      </c>
      <c r="AL22" s="128" t="str">
        <f>IFERROR(__xludf.DUMMYFUNCTION("""COMPUTED_VALUE"""),"02-Medellin")</f>
        <v>02-Medellin</v>
      </c>
      <c r="AM22" s="142">
        <f>IFERROR(__xludf.DUMMYFUNCTION("""COMPUTED_VALUE"""),129.0)</f>
        <v>129</v>
      </c>
      <c r="AN22" s="128"/>
      <c r="AP22" s="126">
        <v>19.0</v>
      </c>
      <c r="AQ22" s="141">
        <f>IFERROR(__xludf.DUMMYFUNCTION("""COMPUTED_VALUE"""),46318.0)</f>
        <v>46318</v>
      </c>
      <c r="AR22" s="128" t="str">
        <f>IFERROR(__xludf.DUMMYFUNCTION("""COMPUTED_VALUE"""),"02-Medellin")</f>
        <v>02-Medellin</v>
      </c>
      <c r="AS22" s="142">
        <f>IFERROR(__xludf.DUMMYFUNCTION("""COMPUTED_VALUE"""),129.0)</f>
        <v>129</v>
      </c>
      <c r="AT22" s="128"/>
      <c r="AV22" s="126">
        <v>19.0</v>
      </c>
      <c r="AW22" s="128"/>
      <c r="AX22" s="128"/>
      <c r="AY22" s="128"/>
      <c r="AZ22" s="128"/>
    </row>
    <row r="23">
      <c r="A23" s="120"/>
      <c r="B23" s="126">
        <v>20.0</v>
      </c>
      <c r="C23" s="155">
        <f>IFERROR(__xludf.DUMMYFUNCTION("""COMPUTED_VALUE"""),2334.0)</f>
        <v>2334</v>
      </c>
      <c r="D23" s="156">
        <f>IFERROR(__xludf.DUMMYFUNCTION("""COMPUTED_VALUE"""),46543.0)</f>
        <v>46543</v>
      </c>
      <c r="E23" s="78" t="str">
        <f>IFERROR(__xludf.DUMMYFUNCTION("""COMPUTED_VALUE"""),"27-Apartado")</f>
        <v>27-Apartado</v>
      </c>
      <c r="F23" s="156">
        <f>IFERROR(__xludf.DUMMYFUNCTION("""COMPUTED_VALUE"""),46030.0)</f>
        <v>46030</v>
      </c>
      <c r="G23" s="151">
        <f>IFERROR(__xludf.DUMMYFUNCTION("""COMPUTED_VALUE"""),-6.0)</f>
        <v>-6</v>
      </c>
      <c r="H23" s="134" t="str">
        <f>IFERROR(__xludf.DUMMYFUNCTION("""COMPUTED_VALUE"""),"PASADO")</f>
        <v>PASADO</v>
      </c>
      <c r="I23" s="132" t="str">
        <f t="shared" si="1"/>
        <v>PEDIDO</v>
      </c>
      <c r="J23" s="120"/>
      <c r="K23" s="126">
        <v>20.0</v>
      </c>
      <c r="L23" s="155">
        <f>IFERROR(__xludf.DUMMYFUNCTION("""COMPUTED_VALUE"""),2923.0)</f>
        <v>2923</v>
      </c>
      <c r="M23" s="156">
        <f>IFERROR(__xludf.DUMMYFUNCTION("""COMPUTED_VALUE"""),46318.0)</f>
        <v>46318</v>
      </c>
      <c r="N23" s="78" t="str">
        <f>IFERROR(__xludf.DUMMYFUNCTION("""COMPUTED_VALUE"""),"BULTOS")</f>
        <v>BULTOS</v>
      </c>
      <c r="O23" s="156">
        <f>IFERROR(__xludf.DUMMYFUNCTION("""COMPUTED_VALUE"""),46135.0)</f>
        <v>46135</v>
      </c>
      <c r="P23" s="151">
        <f>IFERROR(__xludf.DUMMYFUNCTION("""COMPUTED_VALUE"""),-969.0)</f>
        <v>-969</v>
      </c>
      <c r="Q23" s="134" t="str">
        <f>IFERROR(__xludf.DUMMYFUNCTION("""COMPUTED_VALUE"""),"PASADO")</f>
        <v>PASADO</v>
      </c>
      <c r="R23" s="132" t="str">
        <f t="shared" si="2"/>
        <v>PEDIDO</v>
      </c>
      <c r="S23" s="152"/>
      <c r="T23" s="134">
        <f>CALENDARIO!D35</f>
        <v>650</v>
      </c>
      <c r="U23" s="135">
        <f>CALENDARIO!C35</f>
        <v>2911</v>
      </c>
      <c r="V23" s="104"/>
      <c r="W23" s="129"/>
      <c r="X23" s="136" t="str">
        <f>(VLOOKUP(W23,'BD LUB'!$A$2:$L$223,5,FALSE)/VLOOKUP(W23,'BD LUB'!$A$2:$L$223,7,FALSE))+(VLOOKUP(W23,'BD LUB'!$A$2:$L$223,6,FALSE)/VLOOKUP(W23,'BD LUB'!$A$2:$L$223,8,FALSE))</f>
        <v>#N/A</v>
      </c>
      <c r="Y23" s="137" t="str">
        <f>IF(AND(VLOOKUP(W23,'BD LUB'!$A$2:$L$223,11,FALSE)="PASADO",VLOOKUP(W23,'BD LUB'!$A$2:$L$223,12,FALSE)="PASADO"),1,IF(OR(AND(VLOOKUP(W23,'BD LUB'!$A$2:$L$223,11,FALSE)="PASADO",VLOOKUP(W23,'BD LUB'!$A$2:$L$223,12,FALSE)="PRÓXIMO"),AND(VLOOKUP(W23,'BD LUB'!$A$2:$L$223,11,FALSE)="PRÓXIMO",VLOOKUP(W23,'BD LUB'!$A$2:$L$223,12,FALSE)="PASADO")),2,IF(OR(AND(VLOOKUP(W23,'BD LUB'!$A$2:$L$223,11,FALSE)="PASADO",VLOOKUP(W23,'BD LUB'!$A$2:$L$223,12,FALSE)="VIGENTE"),AND(VLOOKUP(W23,'BD LUB'!$A$2:$L$223,11,FALSE)="VIGENTE",VLOOKUP(W23,'BD LUB'!$A$2:$L$223,12,FALSE)="PASADO")),3,IF(AND(VLOOKUP(W23,'BD LUB'!$A$2:$L$223,11,FALSE)="PRÓXIMO",VLOOKUP(W23,'BD LUB'!$A$2:$L$223,12,FALSE)="PRÓXIMO"),4,IF(OR(AND(VLOOKUP(W23,'BD LUB'!$A$2:$L$223,11,FALSE)="PRÓXIMO",VLOOKUP(W23,'BD LUB'!$A$2:$L$223,12,FALSE)="VIGENTE"),AND(VLOOKUP(W23,'BD LUB'!$A$2:$L$223,11,FALSE)="VIGENTE",VLOOKUP(W23,'BD LUB'!$A$2:$L$223,12,FALSE)="PRÓXIMO")),5,IF(AND(VLOOKUP(W23,'BD LUB'!$A$2:$L$223,11,FALSE)="VIGENTE",VLOOKUP(W23,'BD LUB'!$A$2:$L$223,12,FALSE)="VIGENTE"),6,"No definido"))))))</f>
        <v>#N/A</v>
      </c>
      <c r="Z23" s="138">
        <f>IFERROR(__xludf.DUMMYFUNCTION("""COMPUTED_VALUE"""),2275.0)</f>
        <v>2275</v>
      </c>
      <c r="AA23" s="139">
        <f>(VLOOKUP(Z23,'BD LUB'!$A$2:$L$223,5,FALSE)/VLOOKUP(Z23,'BD LUB'!$A$2:$L$223,7,FALSE))+(VLOOKUP(Z23,'BD LUB'!$A$2:$L$223,6,FALSE)/VLOOKUP(Z23,'BD LUB'!$A$2:$L$223,8,FALSE))</f>
        <v>1.266866667</v>
      </c>
      <c r="AB23" s="78">
        <f>IF(AND(VLOOKUP(Z23,'BD LUB'!$A$2:$L$223,11,FALSE)="PASADO",VLOOKUP(Z23,'BD LUB'!$A$2:$L$223,12,FALSE)="PASADO"),1,IF(OR(AND(VLOOKUP(Z23,'BD LUB'!$A$2:$L$223,11,FALSE)="PASADO",VLOOKUP(Z23,'BD LUB'!$A$2:$L$223,12,FALSE)="PRÓXIMO"),AND(VLOOKUP(Z23,'BD LUB'!$A$2:$L$223,11,FALSE)="PRÓXIMO",VLOOKUP(Z23,'BD LUB'!$A$2:$L$223,12,FALSE)="PASADO")),2,IF(OR(AND(VLOOKUP(Z23,'BD LUB'!$A$2:$L$223,11,FALSE)="PASADO",VLOOKUP(Z23,'BD LUB'!$A$2:$L$223,12,FALSE)="VIGENTE"),AND(VLOOKUP(Z23,'BD LUB'!$A$2:$L$223,11,FALSE)="VIGENTE",VLOOKUP(Z23,'BD LUB'!$A$2:$L$223,12,FALSE)="PASADO")),3,IF(AND(VLOOKUP(Z23,'BD LUB'!$A$2:$L$223,11,FALSE)="PRÓXIMO",VLOOKUP(Z23,'BD LUB'!$A$2:$L$223,12,FALSE)="PRÓXIMO"),4,IF(OR(AND(VLOOKUP(Z23,'BD LUB'!$A$2:$L$223,11,FALSE)="PRÓXIMO",VLOOKUP(Z23,'BD LUB'!$A$2:$L$223,12,FALSE)="VIGENTE"),AND(VLOOKUP(Z23,'BD LUB'!$A$2:$L$223,11,FALSE)="VIGENTE",VLOOKUP(Z23,'BD LUB'!$A$2:$L$223,12,FALSE)="PRÓXIMO")),5,IF(AND(VLOOKUP(Z23,'BD LUB'!$A$2:$L$223,11,FALSE)="VIGENTE",VLOOKUP(Z23,'BD LUB'!$A$2:$L$223,12,FALSE)="VIGENTE"),6,"No definido"))))))</f>
        <v>5</v>
      </c>
      <c r="AC23" s="134">
        <f>IFERROR(__xludf.DUMMYFUNCTION("""COMPUTED_VALUE"""),2909.0)</f>
        <v>2909</v>
      </c>
      <c r="AD23" s="136" t="str">
        <f>IF(VLOOKUP(AC23,'BD LUB'!$A$2:$C$223,3,FALSE)=$AH$20,AC23&amp;" MED",IF(VLOOKUP(AC23,'BD LUB'!$A$2:$C$223,3,FALSE)=$AH$19,AC23&amp;" MAY",IF(VLOOKUP(AC23,'BD LUB'!$A$2:$C$223,3,FALSE)=$AH$18,AC23&amp;" RN",IF(VLOOKUP(AC23,'BD LUB'!$A$2:$C$223,3,FALSE)=$AH$17,AC23&amp;" COPQUI",IF(VLOOKUP(AC23,'BD LUB'!$A$2:$C$223,3,FALSE)=$AH$16,AC23&amp;" CEJ",IF(VLOOKUP(AC23,'BD LUB'!$A$2:$C$223,3,FALSE)=$AH$15,AC23&amp;" BULT",IF(VLOOKUP(AC23,'BD LUB'!$A$2:$C$223,3,FALSE)=$AH$14,AC23&amp;" COP",IF(VLOOKUP(AC23,'BD LUB'!$A$2:$C$223,3,FALSE)=$AH$13,AC23&amp;" RIO",IF(VLOOKUP(AC23,'BD LUB'!$A$2:$C$223,3,FALSE)=$AH$21,AC23&amp;" APART","Dato no encontrado")))))))))</f>
        <v>2909 MED</v>
      </c>
      <c r="AE23" s="111"/>
      <c r="AF23" s="111"/>
      <c r="AG23" s="111"/>
      <c r="AH23" s="111"/>
      <c r="AI23" s="111"/>
      <c r="AJ23" s="126">
        <v>20.0</v>
      </c>
      <c r="AK23" s="141">
        <f>IFERROR(__xludf.DUMMYFUNCTION("""COMPUTED_VALUE"""),46661.0)</f>
        <v>46661</v>
      </c>
      <c r="AL23" s="128" t="str">
        <f>IFERROR(__xludf.DUMMYFUNCTION("""COMPUTED_VALUE"""),"02-Medellin")</f>
        <v>02-Medellin</v>
      </c>
      <c r="AM23" s="142">
        <f>IFERROR(__xludf.DUMMYFUNCTION("""COMPUTED_VALUE"""),126.0)</f>
        <v>126</v>
      </c>
      <c r="AN23" s="128"/>
      <c r="AP23" s="126">
        <v>20.0</v>
      </c>
      <c r="AQ23" s="141">
        <f>IFERROR(__xludf.DUMMYFUNCTION("""COMPUTED_VALUE"""),46661.0)</f>
        <v>46661</v>
      </c>
      <c r="AR23" s="128" t="str">
        <f>IFERROR(__xludf.DUMMYFUNCTION("""COMPUTED_VALUE"""),"02-Medellin")</f>
        <v>02-Medellin</v>
      </c>
      <c r="AS23" s="142">
        <f>IFERROR(__xludf.DUMMYFUNCTION("""COMPUTED_VALUE"""),126.0)</f>
        <v>126</v>
      </c>
      <c r="AT23" s="128"/>
      <c r="AV23" s="126">
        <v>20.0</v>
      </c>
      <c r="AW23" s="128"/>
      <c r="AX23" s="128"/>
      <c r="AY23" s="128"/>
      <c r="AZ23" s="128"/>
    </row>
    <row r="24">
      <c r="A24" s="120"/>
      <c r="B24" s="126">
        <v>21.0</v>
      </c>
      <c r="C24" s="144">
        <f>IFERROR(__xludf.DUMMYFUNCTION("""COMPUTED_VALUE"""),661.0)</f>
        <v>661</v>
      </c>
      <c r="D24" s="156">
        <f>IFERROR(__xludf.DUMMYFUNCTION("""COMPUTED_VALUE"""),46420.0)</f>
        <v>46420</v>
      </c>
      <c r="E24" s="78" t="str">
        <f>IFERROR(__xludf.DUMMYFUNCTION("""COMPUTED_VALUE"""),"02-Medellin")</f>
        <v>02-Medellin</v>
      </c>
      <c r="F24" s="156">
        <f>IFERROR(__xludf.DUMMYFUNCTION("""COMPUTED_VALUE"""),46090.0)</f>
        <v>46090</v>
      </c>
      <c r="G24" s="151">
        <f>IFERROR(__xludf.DUMMYFUNCTION("""COMPUTED_VALUE"""),-6.0)</f>
        <v>-6</v>
      </c>
      <c r="H24" s="134" t="str">
        <f>IFERROR(__xludf.DUMMYFUNCTION("""COMPUTED_VALUE"""),"PASADO")</f>
        <v>PASADO</v>
      </c>
      <c r="I24" s="132" t="str">
        <f t="shared" si="1"/>
        <v>PEDIDO</v>
      </c>
      <c r="J24" s="120"/>
      <c r="K24" s="126">
        <v>21.0</v>
      </c>
      <c r="L24" s="144">
        <f>IFERROR(__xludf.DUMMYFUNCTION("""COMPUTED_VALUE"""),3198.0)</f>
        <v>3198</v>
      </c>
      <c r="M24" s="156">
        <f>IFERROR(__xludf.DUMMYFUNCTION("""COMPUTED_VALUE"""),46654.0)</f>
        <v>46654</v>
      </c>
      <c r="N24" s="78" t="str">
        <f>IFERROR(__xludf.DUMMYFUNCTION("""COMPUTED_VALUE"""),"31-Copacabana")</f>
        <v>31-Copacabana</v>
      </c>
      <c r="O24" s="156">
        <f>IFERROR(__xludf.DUMMYFUNCTION("""COMPUTED_VALUE"""),46062.0)</f>
        <v>46062</v>
      </c>
      <c r="P24" s="151">
        <f>IFERROR(__xludf.DUMMYFUNCTION("""COMPUTED_VALUE"""),-962.0)</f>
        <v>-962</v>
      </c>
      <c r="Q24" s="134" t="str">
        <f>IFERROR(__xludf.DUMMYFUNCTION("""COMPUTED_VALUE"""),"PASADO")</f>
        <v>PASADO</v>
      </c>
      <c r="R24" s="132" t="str">
        <f t="shared" si="2"/>
        <v>PEDIDO</v>
      </c>
      <c r="S24" s="152"/>
      <c r="T24" s="134">
        <f>CALENDARIO!D36</f>
        <v>2339</v>
      </c>
      <c r="U24" s="135">
        <f>CALENDARIO!C36</f>
        <v>2909</v>
      </c>
      <c r="V24" s="104"/>
      <c r="W24" s="129"/>
      <c r="X24" s="136" t="str">
        <f>(VLOOKUP(W24,'BD LUB'!$A$2:$L$223,5,FALSE)/VLOOKUP(W24,'BD LUB'!$A$2:$L$223,7,FALSE))+(VLOOKUP(W24,'BD LUB'!$A$2:$L$223,6,FALSE)/VLOOKUP(W24,'BD LUB'!$A$2:$L$223,8,FALSE))</f>
        <v>#N/A</v>
      </c>
      <c r="Y24" s="137" t="str">
        <f>IF(AND(VLOOKUP(W24,'BD LUB'!$A$2:$L$223,11,FALSE)="PASADO",VLOOKUP(W24,'BD LUB'!$A$2:$L$223,12,FALSE)="PASADO"),1,IF(OR(AND(VLOOKUP(W24,'BD LUB'!$A$2:$L$223,11,FALSE)="PASADO",VLOOKUP(W24,'BD LUB'!$A$2:$L$223,12,FALSE)="PRÓXIMO"),AND(VLOOKUP(W24,'BD LUB'!$A$2:$L$223,11,FALSE)="PRÓXIMO",VLOOKUP(W24,'BD LUB'!$A$2:$L$223,12,FALSE)="PASADO")),2,IF(OR(AND(VLOOKUP(W24,'BD LUB'!$A$2:$L$223,11,FALSE)="PASADO",VLOOKUP(W24,'BD LUB'!$A$2:$L$223,12,FALSE)="VIGENTE"),AND(VLOOKUP(W24,'BD LUB'!$A$2:$L$223,11,FALSE)="VIGENTE",VLOOKUP(W24,'BD LUB'!$A$2:$L$223,12,FALSE)="PASADO")),3,IF(AND(VLOOKUP(W24,'BD LUB'!$A$2:$L$223,11,FALSE)="PRÓXIMO",VLOOKUP(W24,'BD LUB'!$A$2:$L$223,12,FALSE)="PRÓXIMO"),4,IF(OR(AND(VLOOKUP(W24,'BD LUB'!$A$2:$L$223,11,FALSE)="PRÓXIMO",VLOOKUP(W24,'BD LUB'!$A$2:$L$223,12,FALSE)="VIGENTE"),AND(VLOOKUP(W24,'BD LUB'!$A$2:$L$223,11,FALSE)="VIGENTE",VLOOKUP(W24,'BD LUB'!$A$2:$L$223,12,FALSE)="PRÓXIMO")),5,IF(AND(VLOOKUP(W24,'BD LUB'!$A$2:$L$223,11,FALSE)="VIGENTE",VLOOKUP(W24,'BD LUB'!$A$2:$L$223,12,FALSE)="VIGENTE"),6,"No definido"))))))</f>
        <v>#N/A</v>
      </c>
      <c r="Z24" s="138">
        <f>IFERROR(__xludf.DUMMYFUNCTION("""COMPUTED_VALUE"""),2188.0)</f>
        <v>2188</v>
      </c>
      <c r="AA24" s="139">
        <f>(VLOOKUP(Z24,'BD LUB'!$A$2:$L$223,5,FALSE)/VLOOKUP(Z24,'BD LUB'!$A$2:$L$223,7,FALSE))+(VLOOKUP(Z24,'BD LUB'!$A$2:$L$223,6,FALSE)/VLOOKUP(Z24,'BD LUB'!$A$2:$L$223,8,FALSE))</f>
        <v>2.109154167</v>
      </c>
      <c r="AB24" s="78">
        <f>IF(AND(VLOOKUP(Z24,'BD LUB'!$A$2:$L$223,11,FALSE)="PASADO",VLOOKUP(Z24,'BD LUB'!$A$2:$L$223,12,FALSE)="PASADO"),1,IF(OR(AND(VLOOKUP(Z24,'BD LUB'!$A$2:$L$223,11,FALSE)="PASADO",VLOOKUP(Z24,'BD LUB'!$A$2:$L$223,12,FALSE)="PRÓXIMO"),AND(VLOOKUP(Z24,'BD LUB'!$A$2:$L$223,11,FALSE)="PRÓXIMO",VLOOKUP(Z24,'BD LUB'!$A$2:$L$223,12,FALSE)="PASADO")),2,IF(OR(AND(VLOOKUP(Z24,'BD LUB'!$A$2:$L$223,11,FALSE)="PASADO",VLOOKUP(Z24,'BD LUB'!$A$2:$L$223,12,FALSE)="VIGENTE"),AND(VLOOKUP(Z24,'BD LUB'!$A$2:$L$223,11,FALSE)="VIGENTE",VLOOKUP(Z24,'BD LUB'!$A$2:$L$223,12,FALSE)="PASADO")),3,IF(AND(VLOOKUP(Z24,'BD LUB'!$A$2:$L$223,11,FALSE)="PRÓXIMO",VLOOKUP(Z24,'BD LUB'!$A$2:$L$223,12,FALSE)="PRÓXIMO"),4,IF(OR(AND(VLOOKUP(Z24,'BD LUB'!$A$2:$L$223,11,FALSE)="PRÓXIMO",VLOOKUP(Z24,'BD LUB'!$A$2:$L$223,12,FALSE)="VIGENTE"),AND(VLOOKUP(Z24,'BD LUB'!$A$2:$L$223,11,FALSE)="VIGENTE",VLOOKUP(Z24,'BD LUB'!$A$2:$L$223,12,FALSE)="PRÓXIMO")),5,IF(AND(VLOOKUP(Z24,'BD LUB'!$A$2:$L$223,11,FALSE)="VIGENTE",VLOOKUP(Z24,'BD LUB'!$A$2:$L$223,12,FALSE)="VIGENTE"),6,"No definido"))))))</f>
        <v>2</v>
      </c>
      <c r="AC24" s="134">
        <f>IFERROR(__xludf.DUMMYFUNCTION("""COMPUTED_VALUE"""),2200.0)</f>
        <v>2200</v>
      </c>
      <c r="AD24" s="136" t="str">
        <f>IF(VLOOKUP(AC24,'BD LUB'!$A$2:$C$223,3,FALSE)=$AH$20,AC24&amp;" MED",IF(VLOOKUP(AC24,'BD LUB'!$A$2:$C$223,3,FALSE)=$AH$19,AC24&amp;" MAY",IF(VLOOKUP(AC24,'BD LUB'!$A$2:$C$223,3,FALSE)=$AH$18,AC24&amp;" RN",IF(VLOOKUP(AC24,'BD LUB'!$A$2:$C$223,3,FALSE)=$AH$17,AC24&amp;" COPQUI",IF(VLOOKUP(AC24,'BD LUB'!$A$2:$C$223,3,FALSE)=$AH$16,AC24&amp;" CEJ",IF(VLOOKUP(AC24,'BD LUB'!$A$2:$C$223,3,FALSE)=$AH$15,AC24&amp;" BULT",IF(VLOOKUP(AC24,'BD LUB'!$A$2:$C$223,3,FALSE)=$AH$14,AC24&amp;" COP",IF(VLOOKUP(AC24,'BD LUB'!$A$2:$C$223,3,FALSE)=$AH$13,AC24&amp;" RIO",IF(VLOOKUP(AC24,'BD LUB'!$A$2:$C$223,3,FALSE)=$AH$21,AC24&amp;" APART","Dato no encontrado")))))))))</f>
        <v>2200 BULT</v>
      </c>
      <c r="AE24" s="111"/>
      <c r="AF24" s="111"/>
      <c r="AG24" s="111"/>
      <c r="AH24" s="111"/>
      <c r="AI24" s="111"/>
      <c r="AJ24" s="126">
        <v>21.0</v>
      </c>
      <c r="AK24" s="141">
        <f>IFERROR(__xludf.DUMMYFUNCTION("""COMPUTED_VALUE"""),46654.0)</f>
        <v>46654</v>
      </c>
      <c r="AL24" s="128" t="str">
        <f>IFERROR(__xludf.DUMMYFUNCTION("""COMPUTED_VALUE"""),"02-Medellin")</f>
        <v>02-Medellin</v>
      </c>
      <c r="AM24" s="142">
        <f>IFERROR(__xludf.DUMMYFUNCTION("""COMPUTED_VALUE"""),125.0)</f>
        <v>125</v>
      </c>
      <c r="AN24" s="128"/>
      <c r="AP24" s="126">
        <v>21.0</v>
      </c>
      <c r="AQ24" s="141">
        <f>IFERROR(__xludf.DUMMYFUNCTION("""COMPUTED_VALUE"""),46654.0)</f>
        <v>46654</v>
      </c>
      <c r="AR24" s="128" t="str">
        <f>IFERROR(__xludf.DUMMYFUNCTION("""COMPUTED_VALUE"""),"02-Medellin")</f>
        <v>02-Medellin</v>
      </c>
      <c r="AS24" s="142">
        <f>IFERROR(__xludf.DUMMYFUNCTION("""COMPUTED_VALUE"""),125.0)</f>
        <v>125</v>
      </c>
      <c r="AT24" s="128"/>
      <c r="AV24" s="126">
        <v>21.0</v>
      </c>
      <c r="AW24" s="128"/>
      <c r="AX24" s="128"/>
      <c r="AY24" s="128"/>
      <c r="AZ24" s="128"/>
    </row>
    <row r="25">
      <c r="A25" s="120"/>
      <c r="B25" s="126">
        <v>22.0</v>
      </c>
      <c r="C25" s="155">
        <f>IFERROR(__xludf.DUMMYFUNCTION("""COMPUTED_VALUE"""),2682.0)</f>
        <v>2682</v>
      </c>
      <c r="D25" s="156">
        <f>IFERROR(__xludf.DUMMYFUNCTION("""COMPUTED_VALUE"""),46506.0)</f>
        <v>46506</v>
      </c>
      <c r="E25" s="78" t="str">
        <f>IFERROR(__xludf.DUMMYFUNCTION("""COMPUTED_VALUE"""),"24-Rionegro")</f>
        <v>24-Rionegro</v>
      </c>
      <c r="F25" s="156">
        <f>IFERROR(__xludf.DUMMYFUNCTION("""COMPUTED_VALUE"""),46035.0)</f>
        <v>46035</v>
      </c>
      <c r="G25" s="151">
        <f>IFERROR(__xludf.DUMMYFUNCTION("""COMPUTED_VALUE"""),-1.0)</f>
        <v>-1</v>
      </c>
      <c r="H25" s="134" t="str">
        <f>IFERROR(__xludf.DUMMYFUNCTION("""COMPUTED_VALUE"""),"PASADO")</f>
        <v>PASADO</v>
      </c>
      <c r="I25" s="132" t="str">
        <f t="shared" si="1"/>
        <v>HECHO</v>
      </c>
      <c r="J25" s="120"/>
      <c r="K25" s="126">
        <v>22.0</v>
      </c>
      <c r="L25" s="155">
        <f>IFERROR(__xludf.DUMMYFUNCTION("""COMPUTED_VALUE"""),2911.0)</f>
        <v>2911</v>
      </c>
      <c r="M25" s="156">
        <f>IFERROR(__xludf.DUMMYFUNCTION("""COMPUTED_VALUE"""),46275.0)</f>
        <v>46275</v>
      </c>
      <c r="N25" s="78" t="str">
        <f>IFERROR(__xludf.DUMMYFUNCTION("""COMPUTED_VALUE"""),"31-Copacabana")</f>
        <v>31-Copacabana</v>
      </c>
      <c r="O25" s="156">
        <f>IFERROR(__xludf.DUMMYFUNCTION("""COMPUTED_VALUE"""),46101.0)</f>
        <v>46101</v>
      </c>
      <c r="P25" s="151">
        <f>IFERROR(__xludf.DUMMYFUNCTION("""COMPUTED_VALUE"""),-921.0)</f>
        <v>-921</v>
      </c>
      <c r="Q25" s="134" t="str">
        <f>IFERROR(__xludf.DUMMYFUNCTION("""COMPUTED_VALUE"""),"PASADO")</f>
        <v>PASADO</v>
      </c>
      <c r="R25" s="132" t="str">
        <f t="shared" si="2"/>
        <v>HECHO</v>
      </c>
      <c r="S25" s="152"/>
      <c r="T25" s="134">
        <f>CALENDARIO!D37</f>
        <v>2880</v>
      </c>
      <c r="U25" s="135">
        <f>CALENDARIO!C37</f>
        <v>2910</v>
      </c>
      <c r="V25" s="104"/>
      <c r="W25" s="129"/>
      <c r="X25" s="136" t="str">
        <f>(VLOOKUP(W25,'BD LUB'!$A$2:$L$223,5,FALSE)/VLOOKUP(W25,'BD LUB'!$A$2:$L$223,7,FALSE))+(VLOOKUP(W25,'BD LUB'!$A$2:$L$223,6,FALSE)/VLOOKUP(W25,'BD LUB'!$A$2:$L$223,8,FALSE))</f>
        <v>#N/A</v>
      </c>
      <c r="Y25" s="137" t="str">
        <f>IF(AND(VLOOKUP(W25,'BD LUB'!$A$2:$L$223,11,FALSE)="PASADO",VLOOKUP(W25,'BD LUB'!$A$2:$L$223,12,FALSE)="PASADO"),1,IF(OR(AND(VLOOKUP(W25,'BD LUB'!$A$2:$L$223,11,FALSE)="PASADO",VLOOKUP(W25,'BD LUB'!$A$2:$L$223,12,FALSE)="PRÓXIMO"),AND(VLOOKUP(W25,'BD LUB'!$A$2:$L$223,11,FALSE)="PRÓXIMO",VLOOKUP(W25,'BD LUB'!$A$2:$L$223,12,FALSE)="PASADO")),2,IF(OR(AND(VLOOKUP(W25,'BD LUB'!$A$2:$L$223,11,FALSE)="PASADO",VLOOKUP(W25,'BD LUB'!$A$2:$L$223,12,FALSE)="VIGENTE"),AND(VLOOKUP(W25,'BD LUB'!$A$2:$L$223,11,FALSE)="VIGENTE",VLOOKUP(W25,'BD LUB'!$A$2:$L$223,12,FALSE)="PASADO")),3,IF(AND(VLOOKUP(W25,'BD LUB'!$A$2:$L$223,11,FALSE)="PRÓXIMO",VLOOKUP(W25,'BD LUB'!$A$2:$L$223,12,FALSE)="PRÓXIMO"),4,IF(OR(AND(VLOOKUP(W25,'BD LUB'!$A$2:$L$223,11,FALSE)="PRÓXIMO",VLOOKUP(W25,'BD LUB'!$A$2:$L$223,12,FALSE)="VIGENTE"),AND(VLOOKUP(W25,'BD LUB'!$A$2:$L$223,11,FALSE)="VIGENTE",VLOOKUP(W25,'BD LUB'!$A$2:$L$223,12,FALSE)="PRÓXIMO")),5,IF(AND(VLOOKUP(W25,'BD LUB'!$A$2:$L$223,11,FALSE)="VIGENTE",VLOOKUP(W25,'BD LUB'!$A$2:$L$223,12,FALSE)="VIGENTE"),6,"No definido"))))))</f>
        <v>#N/A</v>
      </c>
      <c r="Z25" s="138">
        <f>IFERROR(__xludf.DUMMYFUNCTION("""COMPUTED_VALUE"""),2887.0)</f>
        <v>2887</v>
      </c>
      <c r="AA25" s="139">
        <f>(VLOOKUP(Z25,'BD LUB'!$A$2:$L$223,5,FALSE)/VLOOKUP(Z25,'BD LUB'!$A$2:$L$223,7,FALSE))+(VLOOKUP(Z25,'BD LUB'!$A$2:$L$223,6,FALSE)/VLOOKUP(Z25,'BD LUB'!$A$2:$L$223,8,FALSE))</f>
        <v>1.543755556</v>
      </c>
      <c r="AB25" s="78">
        <f>IF(AND(VLOOKUP(Z25,'BD LUB'!$A$2:$L$223,11,FALSE)="PASADO",VLOOKUP(Z25,'BD LUB'!$A$2:$L$223,12,FALSE)="PASADO"),1,IF(OR(AND(VLOOKUP(Z25,'BD LUB'!$A$2:$L$223,11,FALSE)="PASADO",VLOOKUP(Z25,'BD LUB'!$A$2:$L$223,12,FALSE)="PRÓXIMO"),AND(VLOOKUP(Z25,'BD LUB'!$A$2:$L$223,11,FALSE)="PRÓXIMO",VLOOKUP(Z25,'BD LUB'!$A$2:$L$223,12,FALSE)="PASADO")),2,IF(OR(AND(VLOOKUP(Z25,'BD LUB'!$A$2:$L$223,11,FALSE)="PASADO",VLOOKUP(Z25,'BD LUB'!$A$2:$L$223,12,FALSE)="VIGENTE"),AND(VLOOKUP(Z25,'BD LUB'!$A$2:$L$223,11,FALSE)="VIGENTE",VLOOKUP(Z25,'BD LUB'!$A$2:$L$223,12,FALSE)="PASADO")),3,IF(AND(VLOOKUP(Z25,'BD LUB'!$A$2:$L$223,11,FALSE)="PRÓXIMO",VLOOKUP(Z25,'BD LUB'!$A$2:$L$223,12,FALSE)="PRÓXIMO"),4,IF(OR(AND(VLOOKUP(Z25,'BD LUB'!$A$2:$L$223,11,FALSE)="PRÓXIMO",VLOOKUP(Z25,'BD LUB'!$A$2:$L$223,12,FALSE)="VIGENTE"),AND(VLOOKUP(Z25,'BD LUB'!$A$2:$L$223,11,FALSE)="VIGENTE",VLOOKUP(Z25,'BD LUB'!$A$2:$L$223,12,FALSE)="PRÓXIMO")),5,IF(AND(VLOOKUP(Z25,'BD LUB'!$A$2:$L$223,11,FALSE)="VIGENTE",VLOOKUP(Z25,'BD LUB'!$A$2:$L$223,12,FALSE)="VIGENTE"),6,"No definido"))))))</f>
        <v>5</v>
      </c>
      <c r="AC25" s="134">
        <f>IFERROR(__xludf.DUMMYFUNCTION("""COMPUTED_VALUE"""),2842.0)</f>
        <v>2842</v>
      </c>
      <c r="AD25" s="136" t="str">
        <f>IF(VLOOKUP(AC25,'BD LUB'!$A$2:$C$223,3,FALSE)=$AH$20,AC25&amp;" MED",IF(VLOOKUP(AC25,'BD LUB'!$A$2:$C$223,3,FALSE)=$AH$19,AC25&amp;" MAY",IF(VLOOKUP(AC25,'BD LUB'!$A$2:$C$223,3,FALSE)=$AH$18,AC25&amp;" RN",IF(VLOOKUP(AC25,'BD LUB'!$A$2:$C$223,3,FALSE)=$AH$17,AC25&amp;" COPQUI",IF(VLOOKUP(AC25,'BD LUB'!$A$2:$C$223,3,FALSE)=$AH$16,AC25&amp;" CEJ",IF(VLOOKUP(AC25,'BD LUB'!$A$2:$C$223,3,FALSE)=$AH$15,AC25&amp;" BULT",IF(VLOOKUP(AC25,'BD LUB'!$A$2:$C$223,3,FALSE)=$AH$14,AC25&amp;" COP",IF(VLOOKUP(AC25,'BD LUB'!$A$2:$C$223,3,FALSE)=$AH$13,AC25&amp;" RIO",IF(VLOOKUP(AC25,'BD LUB'!$A$2:$C$223,3,FALSE)=$AH$21,AC25&amp;" APART","Dato no encontrado")))))))))</f>
        <v>2842 RIO</v>
      </c>
      <c r="AE25" s="111"/>
      <c r="AF25" s="111"/>
      <c r="AG25" s="111"/>
      <c r="AH25" s="111"/>
      <c r="AI25" s="111"/>
      <c r="AJ25" s="126">
        <v>22.0</v>
      </c>
      <c r="AK25" s="141">
        <f>IFERROR(__xludf.DUMMYFUNCTION("""COMPUTED_VALUE"""),46654.0)</f>
        <v>46654</v>
      </c>
      <c r="AL25" s="128" t="str">
        <f>IFERROR(__xludf.DUMMYFUNCTION("""COMPUTED_VALUE"""),"02-Medellin")</f>
        <v>02-Medellin</v>
      </c>
      <c r="AM25" s="142">
        <f>IFERROR(__xludf.DUMMYFUNCTION("""COMPUTED_VALUE"""),125.0)</f>
        <v>125</v>
      </c>
      <c r="AN25" s="128"/>
      <c r="AP25" s="126">
        <v>22.0</v>
      </c>
      <c r="AQ25" s="141">
        <f>IFERROR(__xludf.DUMMYFUNCTION("""COMPUTED_VALUE"""),46654.0)</f>
        <v>46654</v>
      </c>
      <c r="AR25" s="128" t="str">
        <f>IFERROR(__xludf.DUMMYFUNCTION("""COMPUTED_VALUE"""),"02-Medellin")</f>
        <v>02-Medellin</v>
      </c>
      <c r="AS25" s="142">
        <f>IFERROR(__xludf.DUMMYFUNCTION("""COMPUTED_VALUE"""),125.0)</f>
        <v>125</v>
      </c>
      <c r="AT25" s="128"/>
      <c r="AV25" s="126">
        <v>22.0</v>
      </c>
      <c r="AW25" s="128"/>
      <c r="AX25" s="128"/>
      <c r="AY25" s="128"/>
      <c r="AZ25" s="128"/>
    </row>
    <row r="26">
      <c r="A26" s="120"/>
      <c r="B26" s="126">
        <v>23.0</v>
      </c>
      <c r="C26" s="155">
        <f>IFERROR(__xludf.DUMMYFUNCTION("""COMPUTED_VALUE"""),495.0)</f>
        <v>495</v>
      </c>
      <c r="D26" s="156">
        <f>IFERROR(__xludf.DUMMYFUNCTION("""COMPUTED_VALUE"""),46297.0)</f>
        <v>46297</v>
      </c>
      <c r="E26" s="78" t="str">
        <f>IFERROR(__xludf.DUMMYFUNCTION("""COMPUTED_VALUE"""),"02-Medellin")</f>
        <v>02-Medellin</v>
      </c>
      <c r="F26" s="156">
        <f>IFERROR(__xludf.DUMMYFUNCTION("""COMPUTED_VALUE"""),46035.0)</f>
        <v>46035</v>
      </c>
      <c r="G26" s="151">
        <f>IFERROR(__xludf.DUMMYFUNCTION("""COMPUTED_VALUE"""),-1.0)</f>
        <v>-1</v>
      </c>
      <c r="H26" s="134" t="str">
        <f>IFERROR(__xludf.DUMMYFUNCTION("""COMPUTED_VALUE"""),"PASADO")</f>
        <v>PASADO</v>
      </c>
      <c r="I26" s="132" t="str">
        <f t="shared" si="1"/>
        <v>NO PEDIDO</v>
      </c>
      <c r="J26" s="120"/>
      <c r="K26" s="126">
        <v>23.0</v>
      </c>
      <c r="L26" s="155">
        <f>IFERROR(__xludf.DUMMYFUNCTION("""COMPUTED_VALUE"""),2909.0)</f>
        <v>2909</v>
      </c>
      <c r="M26" s="156">
        <f>IFERROR(__xludf.DUMMYFUNCTION("""COMPUTED_VALUE"""),46275.0)</f>
        <v>46275</v>
      </c>
      <c r="N26" s="78" t="str">
        <f>IFERROR(__xludf.DUMMYFUNCTION("""COMPUTED_VALUE"""),"02-Medellin")</f>
        <v>02-Medellin</v>
      </c>
      <c r="O26" s="156">
        <f>IFERROR(__xludf.DUMMYFUNCTION("""COMPUTED_VALUE"""),46105.0)</f>
        <v>46105</v>
      </c>
      <c r="P26" s="151">
        <f>IFERROR(__xludf.DUMMYFUNCTION("""COMPUTED_VALUE"""),-874.0)</f>
        <v>-874</v>
      </c>
      <c r="Q26" s="134" t="str">
        <f>IFERROR(__xludf.DUMMYFUNCTION("""COMPUTED_VALUE"""),"PASADO")</f>
        <v>PASADO</v>
      </c>
      <c r="R26" s="132" t="str">
        <f t="shared" si="2"/>
        <v>PEDIDO</v>
      </c>
      <c r="S26" s="152"/>
      <c r="T26" s="134">
        <f>CALENDARIO!D38</f>
        <v>2882</v>
      </c>
      <c r="U26" s="135">
        <f>CALENDARIO!C38</f>
        <v>2334</v>
      </c>
      <c r="V26" s="104"/>
      <c r="W26" s="78"/>
      <c r="X26" s="136" t="str">
        <f>(VLOOKUP(W26,'BD LUB'!$A$2:$L$223,5,FALSE)/VLOOKUP(W26,'BD LUB'!$A$2:$L$223,7,FALSE))+(VLOOKUP(W26,'BD LUB'!$A$2:$L$223,6,FALSE)/VLOOKUP(W26,'BD LUB'!$A$2:$L$223,8,FALSE))</f>
        <v>#N/A</v>
      </c>
      <c r="Y26" s="137" t="str">
        <f>IF(AND(VLOOKUP(W26,'BD LUB'!$A$2:$L$223,11,FALSE)="PASADO",VLOOKUP(W26,'BD LUB'!$A$2:$L$223,12,FALSE)="PASADO"),1,IF(OR(AND(VLOOKUP(W26,'BD LUB'!$A$2:$L$223,11,FALSE)="PASADO",VLOOKUP(W26,'BD LUB'!$A$2:$L$223,12,FALSE)="PRÓXIMO"),AND(VLOOKUP(W26,'BD LUB'!$A$2:$L$223,11,FALSE)="PRÓXIMO",VLOOKUP(W26,'BD LUB'!$A$2:$L$223,12,FALSE)="PASADO")),2,IF(OR(AND(VLOOKUP(W26,'BD LUB'!$A$2:$L$223,11,FALSE)="PASADO",VLOOKUP(W26,'BD LUB'!$A$2:$L$223,12,FALSE)="VIGENTE"),AND(VLOOKUP(W26,'BD LUB'!$A$2:$L$223,11,FALSE)="VIGENTE",VLOOKUP(W26,'BD LUB'!$A$2:$L$223,12,FALSE)="PASADO")),3,IF(AND(VLOOKUP(W26,'BD LUB'!$A$2:$L$223,11,FALSE)="PRÓXIMO",VLOOKUP(W26,'BD LUB'!$A$2:$L$223,12,FALSE)="PRÓXIMO"),4,IF(OR(AND(VLOOKUP(W26,'BD LUB'!$A$2:$L$223,11,FALSE)="PRÓXIMO",VLOOKUP(W26,'BD LUB'!$A$2:$L$223,12,FALSE)="VIGENTE"),AND(VLOOKUP(W26,'BD LUB'!$A$2:$L$223,11,FALSE)="VIGENTE",VLOOKUP(W26,'BD LUB'!$A$2:$L$223,12,FALSE)="PRÓXIMO")),5,IF(AND(VLOOKUP(W26,'BD LUB'!$A$2:$L$223,11,FALSE)="VIGENTE",VLOOKUP(W26,'BD LUB'!$A$2:$L$223,12,FALSE)="VIGENTE"),6,"No definido"))))))</f>
        <v>#N/A</v>
      </c>
      <c r="Z26" s="138">
        <f>IFERROR(__xludf.DUMMYFUNCTION("""COMPUTED_VALUE"""),2200.0)</f>
        <v>2200</v>
      </c>
      <c r="AA26" s="139">
        <f>(VLOOKUP(Z26,'BD LUB'!$A$2:$L$223,5,FALSE)/VLOOKUP(Z26,'BD LUB'!$A$2:$L$223,7,FALSE))+(VLOOKUP(Z26,'BD LUB'!$A$2:$L$223,6,FALSE)/VLOOKUP(Z26,'BD LUB'!$A$2:$L$223,8,FALSE))</f>
        <v>1.776285556</v>
      </c>
      <c r="AB26" s="78">
        <f>IF(AND(VLOOKUP(Z26,'BD LUB'!$A$2:$L$223,11,FALSE)="PASADO",VLOOKUP(Z26,'BD LUB'!$A$2:$L$223,12,FALSE)="PASADO"),1,IF(OR(AND(VLOOKUP(Z26,'BD LUB'!$A$2:$L$223,11,FALSE)="PASADO",VLOOKUP(Z26,'BD LUB'!$A$2:$L$223,12,FALSE)="PRÓXIMO"),AND(VLOOKUP(Z26,'BD LUB'!$A$2:$L$223,11,FALSE)="PRÓXIMO",VLOOKUP(Z26,'BD LUB'!$A$2:$L$223,12,FALSE)="PASADO")),2,IF(OR(AND(VLOOKUP(Z26,'BD LUB'!$A$2:$L$223,11,FALSE)="PASADO",VLOOKUP(Z26,'BD LUB'!$A$2:$L$223,12,FALSE)="VIGENTE"),AND(VLOOKUP(Z26,'BD LUB'!$A$2:$L$223,11,FALSE)="VIGENTE",VLOOKUP(Z26,'BD LUB'!$A$2:$L$223,12,FALSE)="PASADO")),3,IF(AND(VLOOKUP(Z26,'BD LUB'!$A$2:$L$223,11,FALSE)="PRÓXIMO",VLOOKUP(Z26,'BD LUB'!$A$2:$L$223,12,FALSE)="PRÓXIMO"),4,IF(OR(AND(VLOOKUP(Z26,'BD LUB'!$A$2:$L$223,11,FALSE)="PRÓXIMO",VLOOKUP(Z26,'BD LUB'!$A$2:$L$223,12,FALSE)="VIGENTE"),AND(VLOOKUP(Z26,'BD LUB'!$A$2:$L$223,11,FALSE)="VIGENTE",VLOOKUP(Z26,'BD LUB'!$A$2:$L$223,12,FALSE)="PRÓXIMO")),5,IF(AND(VLOOKUP(Z26,'BD LUB'!$A$2:$L$223,11,FALSE)="VIGENTE",VLOOKUP(Z26,'BD LUB'!$A$2:$L$223,12,FALSE)="VIGENTE"),6,"No definido"))))))</f>
        <v>5</v>
      </c>
      <c r="AC26" s="134">
        <f>IFERROR(__xludf.DUMMYFUNCTION("""COMPUTED_VALUE"""),2881.0)</f>
        <v>2881</v>
      </c>
      <c r="AD26" s="136" t="str">
        <f>IF(VLOOKUP(AC26,'BD LUB'!$A$2:$C$223,3,FALSE)=$AH$20,AC26&amp;" MED",IF(VLOOKUP(AC26,'BD LUB'!$A$2:$C$223,3,FALSE)=$AH$19,AC26&amp;" MAY",IF(VLOOKUP(AC26,'BD LUB'!$A$2:$C$223,3,FALSE)=$AH$18,AC26&amp;" RN",IF(VLOOKUP(AC26,'BD LUB'!$A$2:$C$223,3,FALSE)=$AH$17,AC26&amp;" COPQUI",IF(VLOOKUP(AC26,'BD LUB'!$A$2:$C$223,3,FALSE)=$AH$16,AC26&amp;" CEJ",IF(VLOOKUP(AC26,'BD LUB'!$A$2:$C$223,3,FALSE)=$AH$15,AC26&amp;" BULT",IF(VLOOKUP(AC26,'BD LUB'!$A$2:$C$223,3,FALSE)=$AH$14,AC26&amp;" COP",IF(VLOOKUP(AC26,'BD LUB'!$A$2:$C$223,3,FALSE)=$AH$13,AC26&amp;" RIO",IF(VLOOKUP(AC26,'BD LUB'!$A$2:$C$223,3,FALSE)=$AH$21,AC26&amp;" APART","Dato no encontrado")))))))))</f>
        <v>2881 MED</v>
      </c>
      <c r="AE26" s="111"/>
      <c r="AF26" s="111"/>
      <c r="AG26" s="111"/>
      <c r="AH26" s="111"/>
      <c r="AI26" s="111"/>
      <c r="AJ26" s="126">
        <v>23.0</v>
      </c>
      <c r="AK26" s="141">
        <f>IFERROR(__xludf.DUMMYFUNCTION("""COMPUTED_VALUE"""),46661.0)</f>
        <v>46661</v>
      </c>
      <c r="AL26" s="128" t="str">
        <f>IFERROR(__xludf.DUMMYFUNCTION("""COMPUTED_VALUE"""),"02-Medellin")</f>
        <v>02-Medellin</v>
      </c>
      <c r="AM26" s="142">
        <f>IFERROR(__xludf.DUMMYFUNCTION("""COMPUTED_VALUE"""),124.0)</f>
        <v>124</v>
      </c>
      <c r="AN26" s="128"/>
      <c r="AP26" s="126">
        <v>23.0</v>
      </c>
      <c r="AQ26" s="141">
        <f>IFERROR(__xludf.DUMMYFUNCTION("""COMPUTED_VALUE"""),46661.0)</f>
        <v>46661</v>
      </c>
      <c r="AR26" s="128" t="str">
        <f>IFERROR(__xludf.DUMMYFUNCTION("""COMPUTED_VALUE"""),"02-Medellin")</f>
        <v>02-Medellin</v>
      </c>
      <c r="AS26" s="142">
        <f>IFERROR(__xludf.DUMMYFUNCTION("""COMPUTED_VALUE"""),124.0)</f>
        <v>124</v>
      </c>
      <c r="AT26" s="128"/>
      <c r="AV26" s="126">
        <v>23.0</v>
      </c>
      <c r="AW26" s="128"/>
      <c r="AX26" s="128"/>
      <c r="AY26" s="128"/>
      <c r="AZ26" s="128"/>
    </row>
    <row r="27">
      <c r="A27" s="120"/>
      <c r="B27" s="126">
        <v>24.0</v>
      </c>
      <c r="C27" s="155">
        <f>IFERROR(__xludf.DUMMYFUNCTION("""COMPUTED_VALUE"""),481.0)</f>
        <v>481</v>
      </c>
      <c r="D27" s="156">
        <f>IFERROR(__xludf.DUMMYFUNCTION("""COMPUTED_VALUE"""),46287.0)</f>
        <v>46287</v>
      </c>
      <c r="E27" s="78" t="str">
        <f>IFERROR(__xludf.DUMMYFUNCTION("""COMPUTED_VALUE"""),"02-Medellin")</f>
        <v>02-Medellin</v>
      </c>
      <c r="F27" s="156">
        <f>IFERROR(__xludf.DUMMYFUNCTION("""COMPUTED_VALUE"""),46036.0)</f>
        <v>46036</v>
      </c>
      <c r="G27" s="151">
        <f>IFERROR(__xludf.DUMMYFUNCTION("""COMPUTED_VALUE"""),0.0)</f>
        <v>0</v>
      </c>
      <c r="H27" s="134" t="str">
        <f>IFERROR(__xludf.DUMMYFUNCTION("""COMPUTED_VALUE"""),"PRÓXIMO")</f>
        <v>PRÓXIMO</v>
      </c>
      <c r="I27" s="132" t="str">
        <f t="shared" si="1"/>
        <v>PEDIDO</v>
      </c>
      <c r="J27" s="120"/>
      <c r="K27" s="126">
        <v>24.0</v>
      </c>
      <c r="L27" s="155">
        <f>IFERROR(__xludf.DUMMYFUNCTION("""COMPUTED_VALUE"""),3280.0)</f>
        <v>3280</v>
      </c>
      <c r="M27" s="156">
        <f>IFERROR(__xludf.DUMMYFUNCTION("""COMPUTED_VALUE"""),46668.0)</f>
        <v>46668</v>
      </c>
      <c r="N27" s="78" t="str">
        <f>IFERROR(__xludf.DUMMYFUNCTION("""COMPUTED_VALUE"""),"02-Medellin")</f>
        <v>02-Medellin</v>
      </c>
      <c r="O27" s="156">
        <f>IFERROR(__xludf.DUMMYFUNCTION("""COMPUTED_VALUE"""),46087.0)</f>
        <v>46087</v>
      </c>
      <c r="P27" s="151">
        <f>IFERROR(__xludf.DUMMYFUNCTION("""COMPUTED_VALUE"""),-847.0)</f>
        <v>-847</v>
      </c>
      <c r="Q27" s="134" t="str">
        <f>IFERROR(__xludf.DUMMYFUNCTION("""COMPUTED_VALUE"""),"PASADO")</f>
        <v>PASADO</v>
      </c>
      <c r="R27" s="132" t="str">
        <f t="shared" si="2"/>
        <v>HECHO</v>
      </c>
      <c r="S27" s="152"/>
      <c r="T27" s="134">
        <f>CALENDARIO!D39</f>
        <v>2897</v>
      </c>
      <c r="U27" s="135">
        <f>CALENDARIO!C39</f>
        <v>2663</v>
      </c>
      <c r="V27" s="104"/>
      <c r="W27" s="78"/>
      <c r="X27" s="136" t="str">
        <f>(VLOOKUP(W27,'BD LUB'!$A$2:$L$223,5,FALSE)/VLOOKUP(W27,'BD LUB'!$A$2:$L$223,7,FALSE))+(VLOOKUP(W27,'BD LUB'!$A$2:$L$223,6,FALSE)/VLOOKUP(W27,'BD LUB'!$A$2:$L$223,8,FALSE))</f>
        <v>#N/A</v>
      </c>
      <c r="Y27" s="137" t="str">
        <f>IF(AND(VLOOKUP(W27,'BD LUB'!$A$2:$L$223,11,FALSE)="PASADO",VLOOKUP(W27,'BD LUB'!$A$2:$L$223,12,FALSE)="PASADO"),1,IF(OR(AND(VLOOKUP(W27,'BD LUB'!$A$2:$L$223,11,FALSE)="PASADO",VLOOKUP(W27,'BD LUB'!$A$2:$L$223,12,FALSE)="PRÓXIMO"),AND(VLOOKUP(W27,'BD LUB'!$A$2:$L$223,11,FALSE)="PRÓXIMO",VLOOKUP(W27,'BD LUB'!$A$2:$L$223,12,FALSE)="PASADO")),2,IF(OR(AND(VLOOKUP(W27,'BD LUB'!$A$2:$L$223,11,FALSE)="PASADO",VLOOKUP(W27,'BD LUB'!$A$2:$L$223,12,FALSE)="VIGENTE"),AND(VLOOKUP(W27,'BD LUB'!$A$2:$L$223,11,FALSE)="VIGENTE",VLOOKUP(W27,'BD LUB'!$A$2:$L$223,12,FALSE)="PASADO")),3,IF(AND(VLOOKUP(W27,'BD LUB'!$A$2:$L$223,11,FALSE)="PRÓXIMO",VLOOKUP(W27,'BD LUB'!$A$2:$L$223,12,FALSE)="PRÓXIMO"),4,IF(OR(AND(VLOOKUP(W27,'BD LUB'!$A$2:$L$223,11,FALSE)="PRÓXIMO",VLOOKUP(W27,'BD LUB'!$A$2:$L$223,12,FALSE)="VIGENTE"),AND(VLOOKUP(W27,'BD LUB'!$A$2:$L$223,11,FALSE)="VIGENTE",VLOOKUP(W27,'BD LUB'!$A$2:$L$223,12,FALSE)="PRÓXIMO")),5,IF(AND(VLOOKUP(W27,'BD LUB'!$A$2:$L$223,11,FALSE)="VIGENTE",VLOOKUP(W27,'BD LUB'!$A$2:$L$223,12,FALSE)="VIGENTE"),6,"No definido"))))))</f>
        <v>#N/A</v>
      </c>
      <c r="Z27" s="138">
        <f>IFERROR(__xludf.DUMMYFUNCTION("""COMPUTED_VALUE"""),2469.0)</f>
        <v>2469</v>
      </c>
      <c r="AA27" s="139">
        <f>(VLOOKUP(Z27,'BD LUB'!$A$2:$L$223,5,FALSE)/VLOOKUP(Z27,'BD LUB'!$A$2:$L$223,7,FALSE))+(VLOOKUP(Z27,'BD LUB'!$A$2:$L$223,6,FALSE)/VLOOKUP(Z27,'BD LUB'!$A$2:$L$223,8,FALSE))</f>
        <v>2.043675556</v>
      </c>
      <c r="AB27" s="78">
        <f>IF(AND(VLOOKUP(Z27,'BD LUB'!$A$2:$L$223,11,FALSE)="PASADO",VLOOKUP(Z27,'BD LUB'!$A$2:$L$223,12,FALSE)="PASADO"),1,IF(OR(AND(VLOOKUP(Z27,'BD LUB'!$A$2:$L$223,11,FALSE)="PASADO",VLOOKUP(Z27,'BD LUB'!$A$2:$L$223,12,FALSE)="PRÓXIMO"),AND(VLOOKUP(Z27,'BD LUB'!$A$2:$L$223,11,FALSE)="PRÓXIMO",VLOOKUP(Z27,'BD LUB'!$A$2:$L$223,12,FALSE)="PASADO")),2,IF(OR(AND(VLOOKUP(Z27,'BD LUB'!$A$2:$L$223,11,FALSE)="PASADO",VLOOKUP(Z27,'BD LUB'!$A$2:$L$223,12,FALSE)="VIGENTE"),AND(VLOOKUP(Z27,'BD LUB'!$A$2:$L$223,11,FALSE)="VIGENTE",VLOOKUP(Z27,'BD LUB'!$A$2:$L$223,12,FALSE)="PASADO")),3,IF(AND(VLOOKUP(Z27,'BD LUB'!$A$2:$L$223,11,FALSE)="PRÓXIMO",VLOOKUP(Z27,'BD LUB'!$A$2:$L$223,12,FALSE)="PRÓXIMO"),4,IF(OR(AND(VLOOKUP(Z27,'BD LUB'!$A$2:$L$223,11,FALSE)="PRÓXIMO",VLOOKUP(Z27,'BD LUB'!$A$2:$L$223,12,FALSE)="VIGENTE"),AND(VLOOKUP(Z27,'BD LUB'!$A$2:$L$223,11,FALSE)="VIGENTE",VLOOKUP(Z27,'BD LUB'!$A$2:$L$223,12,FALSE)="PRÓXIMO")),5,IF(AND(VLOOKUP(Z27,'BD LUB'!$A$2:$L$223,11,FALSE)="VIGENTE",VLOOKUP(Z27,'BD LUB'!$A$2:$L$223,12,FALSE)="VIGENTE"),6,"No definido"))))))</f>
        <v>3</v>
      </c>
      <c r="AC27" s="134">
        <f>IFERROR(__xludf.DUMMYFUNCTION("""COMPUTED_VALUE"""),2922.0)</f>
        <v>2922</v>
      </c>
      <c r="AD27" s="136" t="str">
        <f>IF(VLOOKUP(AC27,'BD LUB'!$A$2:$C$223,3,FALSE)=$AH$20,AC27&amp;" MED",IF(VLOOKUP(AC27,'BD LUB'!$A$2:$C$223,3,FALSE)=$AH$19,AC27&amp;" MAY",IF(VLOOKUP(AC27,'BD LUB'!$A$2:$C$223,3,FALSE)=$AH$18,AC27&amp;" RN",IF(VLOOKUP(AC27,'BD LUB'!$A$2:$C$223,3,FALSE)=$AH$17,AC27&amp;" COPQUI",IF(VLOOKUP(AC27,'BD LUB'!$A$2:$C$223,3,FALSE)=$AH$16,AC27&amp;" CEJ",IF(VLOOKUP(AC27,'BD LUB'!$A$2:$C$223,3,FALSE)=$AH$15,AC27&amp;" BULT",IF(VLOOKUP(AC27,'BD LUB'!$A$2:$C$223,3,FALSE)=$AH$14,AC27&amp;" COP",IF(VLOOKUP(AC27,'BD LUB'!$A$2:$C$223,3,FALSE)=$AH$13,AC27&amp;" RIO",IF(VLOOKUP(AC27,'BD LUB'!$A$2:$C$223,3,FALSE)=$AH$21,AC27&amp;" APART","Dato no encontrado")))))))))</f>
        <v>2922 MED</v>
      </c>
      <c r="AE27" s="111"/>
      <c r="AF27" s="111"/>
      <c r="AG27" s="111"/>
      <c r="AH27" s="111"/>
      <c r="AI27" s="111"/>
      <c r="AJ27" s="126">
        <v>24.0</v>
      </c>
      <c r="AK27" s="141">
        <f>IFERROR(__xludf.DUMMYFUNCTION("""COMPUTED_VALUE"""),46668.0)</f>
        <v>46668</v>
      </c>
      <c r="AL27" s="128" t="str">
        <f>IFERROR(__xludf.DUMMYFUNCTION("""COMPUTED_VALUE"""),"02-Medellin")</f>
        <v>02-Medellin</v>
      </c>
      <c r="AM27" s="142">
        <f>IFERROR(__xludf.DUMMYFUNCTION("""COMPUTED_VALUE"""),119.0)</f>
        <v>119</v>
      </c>
      <c r="AN27" s="128"/>
      <c r="AP27" s="126">
        <v>24.0</v>
      </c>
      <c r="AQ27" s="141">
        <f>IFERROR(__xludf.DUMMYFUNCTION("""COMPUTED_VALUE"""),46668.0)</f>
        <v>46668</v>
      </c>
      <c r="AR27" s="128" t="str">
        <f>IFERROR(__xludf.DUMMYFUNCTION("""COMPUTED_VALUE"""),"02-Medellin")</f>
        <v>02-Medellin</v>
      </c>
      <c r="AS27" s="142">
        <f>IFERROR(__xludf.DUMMYFUNCTION("""COMPUTED_VALUE"""),119.0)</f>
        <v>119</v>
      </c>
      <c r="AT27" s="128"/>
      <c r="AV27" s="126">
        <v>24.0</v>
      </c>
      <c r="AW27" s="128"/>
      <c r="AX27" s="128"/>
      <c r="AY27" s="128"/>
      <c r="AZ27" s="128"/>
    </row>
    <row r="28">
      <c r="A28" s="120"/>
      <c r="B28" s="126">
        <v>25.0</v>
      </c>
      <c r="C28" s="155">
        <f>IFERROR(__xludf.DUMMYFUNCTION("""COMPUTED_VALUE"""),2643.0)</f>
        <v>2643</v>
      </c>
      <c r="D28" s="156">
        <f>IFERROR(__xludf.DUMMYFUNCTION("""COMPUTED_VALUE"""),46259.0)</f>
        <v>46259</v>
      </c>
      <c r="E28" s="78" t="str">
        <f>IFERROR(__xludf.DUMMYFUNCTION("""COMPUTED_VALUE"""),"27-Apartado")</f>
        <v>27-Apartado</v>
      </c>
      <c r="F28" s="156">
        <f>IFERROR(__xludf.DUMMYFUNCTION("""COMPUTED_VALUE"""),46037.0)</f>
        <v>46037</v>
      </c>
      <c r="G28" s="151">
        <f>IFERROR(__xludf.DUMMYFUNCTION("""COMPUTED_VALUE"""),1.0)</f>
        <v>1</v>
      </c>
      <c r="H28" s="134" t="str">
        <f>IFERROR(__xludf.DUMMYFUNCTION("""COMPUTED_VALUE"""),"PRÓXIMO")</f>
        <v>PRÓXIMO</v>
      </c>
      <c r="I28" s="132" t="str">
        <f t="shared" si="1"/>
        <v>PEDIDO</v>
      </c>
      <c r="J28" s="120"/>
      <c r="K28" s="126">
        <v>25.0</v>
      </c>
      <c r="L28" s="155">
        <f>IFERROR(__xludf.DUMMYFUNCTION("""COMPUTED_VALUE"""),2846.0)</f>
        <v>2846</v>
      </c>
      <c r="M28" s="156">
        <f>IFERROR(__xludf.DUMMYFUNCTION("""COMPUTED_VALUE"""),46561.0)</f>
        <v>46561</v>
      </c>
      <c r="N28" s="78" t="str">
        <f>IFERROR(__xludf.DUMMYFUNCTION("""COMPUTED_VALUE"""),"38-La ceja")</f>
        <v>38-La ceja</v>
      </c>
      <c r="O28" s="156">
        <f>IFERROR(__xludf.DUMMYFUNCTION("""COMPUTED_VALUE"""),46142.0)</f>
        <v>46142</v>
      </c>
      <c r="P28" s="151">
        <f>IFERROR(__xludf.DUMMYFUNCTION("""COMPUTED_VALUE"""),-818.0)</f>
        <v>-818</v>
      </c>
      <c r="Q28" s="134" t="str">
        <f>IFERROR(__xludf.DUMMYFUNCTION("""COMPUTED_VALUE"""),"PASADO")</f>
        <v>PASADO</v>
      </c>
      <c r="R28" s="132" t="str">
        <f t="shared" si="2"/>
        <v>HECHO</v>
      </c>
      <c r="S28" s="152"/>
      <c r="T28" s="134">
        <f>CALENDARIO!D40</f>
        <v>2040</v>
      </c>
      <c r="U28" s="135">
        <f>CALENDARIO!C40</f>
        <v>3284</v>
      </c>
      <c r="V28" s="104"/>
      <c r="W28" s="78"/>
      <c r="X28" s="136" t="str">
        <f>(VLOOKUP(W28,'BD LUB'!$A$2:$L$223,5,FALSE)/VLOOKUP(W28,'BD LUB'!$A$2:$L$223,7,FALSE))+(VLOOKUP(W28,'BD LUB'!$A$2:$L$223,6,FALSE)/VLOOKUP(W28,'BD LUB'!$A$2:$L$223,8,FALSE))</f>
        <v>#N/A</v>
      </c>
      <c r="Y28" s="137" t="str">
        <f>IF(AND(VLOOKUP(W28,'BD LUB'!$A$2:$L$223,11,FALSE)="PASADO",VLOOKUP(W28,'BD LUB'!$A$2:$L$223,12,FALSE)="PASADO"),1,IF(OR(AND(VLOOKUP(W28,'BD LUB'!$A$2:$L$223,11,FALSE)="PASADO",VLOOKUP(W28,'BD LUB'!$A$2:$L$223,12,FALSE)="PRÓXIMO"),AND(VLOOKUP(W28,'BD LUB'!$A$2:$L$223,11,FALSE)="PRÓXIMO",VLOOKUP(W28,'BD LUB'!$A$2:$L$223,12,FALSE)="PASADO")),2,IF(OR(AND(VLOOKUP(W28,'BD LUB'!$A$2:$L$223,11,FALSE)="PASADO",VLOOKUP(W28,'BD LUB'!$A$2:$L$223,12,FALSE)="VIGENTE"),AND(VLOOKUP(W28,'BD LUB'!$A$2:$L$223,11,FALSE)="VIGENTE",VLOOKUP(W28,'BD LUB'!$A$2:$L$223,12,FALSE)="PASADO")),3,IF(AND(VLOOKUP(W28,'BD LUB'!$A$2:$L$223,11,FALSE)="PRÓXIMO",VLOOKUP(W28,'BD LUB'!$A$2:$L$223,12,FALSE)="PRÓXIMO"),4,IF(OR(AND(VLOOKUP(W28,'BD LUB'!$A$2:$L$223,11,FALSE)="PRÓXIMO",VLOOKUP(W28,'BD LUB'!$A$2:$L$223,12,FALSE)="VIGENTE"),AND(VLOOKUP(W28,'BD LUB'!$A$2:$L$223,11,FALSE)="VIGENTE",VLOOKUP(W28,'BD LUB'!$A$2:$L$223,12,FALSE)="PRÓXIMO")),5,IF(AND(VLOOKUP(W28,'BD LUB'!$A$2:$L$223,11,FALSE)="VIGENTE",VLOOKUP(W28,'BD LUB'!$A$2:$L$223,12,FALSE)="VIGENTE"),6,"No definido"))))))</f>
        <v>#N/A</v>
      </c>
      <c r="Z28" s="138">
        <f>IFERROR(__xludf.DUMMYFUNCTION("""COMPUTED_VALUE"""),2681.0)</f>
        <v>2681</v>
      </c>
      <c r="AA28" s="139">
        <f>(VLOOKUP(Z28,'BD LUB'!$A$2:$L$223,5,FALSE)/VLOOKUP(Z28,'BD LUB'!$A$2:$L$223,7,FALSE))+(VLOOKUP(Z28,'BD LUB'!$A$2:$L$223,6,FALSE)/VLOOKUP(Z28,'BD LUB'!$A$2:$L$223,8,FALSE))</f>
        <v>2.223518889</v>
      </c>
      <c r="AB28" s="78">
        <f>IF(AND(VLOOKUP(Z28,'BD LUB'!$A$2:$L$223,11,FALSE)="PASADO",VLOOKUP(Z28,'BD LUB'!$A$2:$L$223,12,FALSE)="PASADO"),1,IF(OR(AND(VLOOKUP(Z28,'BD LUB'!$A$2:$L$223,11,FALSE)="PASADO",VLOOKUP(Z28,'BD LUB'!$A$2:$L$223,12,FALSE)="PRÓXIMO"),AND(VLOOKUP(Z28,'BD LUB'!$A$2:$L$223,11,FALSE)="PRÓXIMO",VLOOKUP(Z28,'BD LUB'!$A$2:$L$223,12,FALSE)="PASADO")),2,IF(OR(AND(VLOOKUP(Z28,'BD LUB'!$A$2:$L$223,11,FALSE)="PASADO",VLOOKUP(Z28,'BD LUB'!$A$2:$L$223,12,FALSE)="VIGENTE"),AND(VLOOKUP(Z28,'BD LUB'!$A$2:$L$223,11,FALSE)="VIGENTE",VLOOKUP(Z28,'BD LUB'!$A$2:$L$223,12,FALSE)="PASADO")),3,IF(AND(VLOOKUP(Z28,'BD LUB'!$A$2:$L$223,11,FALSE)="PRÓXIMO",VLOOKUP(Z28,'BD LUB'!$A$2:$L$223,12,FALSE)="PRÓXIMO"),4,IF(OR(AND(VLOOKUP(Z28,'BD LUB'!$A$2:$L$223,11,FALSE)="PRÓXIMO",VLOOKUP(Z28,'BD LUB'!$A$2:$L$223,12,FALSE)="VIGENTE"),AND(VLOOKUP(Z28,'BD LUB'!$A$2:$L$223,11,FALSE)="VIGENTE",VLOOKUP(Z28,'BD LUB'!$A$2:$L$223,12,FALSE)="PRÓXIMO")),5,IF(AND(VLOOKUP(Z28,'BD LUB'!$A$2:$L$223,11,FALSE)="VIGENTE",VLOOKUP(Z28,'BD LUB'!$A$2:$L$223,12,FALSE)="VIGENTE"),6,"No definido"))))))</f>
        <v>1</v>
      </c>
      <c r="AC28" s="134">
        <f>IFERROR(__xludf.DUMMYFUNCTION("""COMPUTED_VALUE"""),3273.0)</f>
        <v>3273</v>
      </c>
      <c r="AD28" s="136" t="str">
        <f>IF(VLOOKUP(AC28,'BD LUB'!$A$2:$C$223,3,FALSE)=$AH$20,AC28&amp;" MED",IF(VLOOKUP(AC28,'BD LUB'!$A$2:$C$223,3,FALSE)=$AH$19,AC28&amp;" MAY",IF(VLOOKUP(AC28,'BD LUB'!$A$2:$C$223,3,FALSE)=$AH$18,AC28&amp;" RN",IF(VLOOKUP(AC28,'BD LUB'!$A$2:$C$223,3,FALSE)=$AH$17,AC28&amp;" COPQUI",IF(VLOOKUP(AC28,'BD LUB'!$A$2:$C$223,3,FALSE)=$AH$16,AC28&amp;" CEJ",IF(VLOOKUP(AC28,'BD LUB'!$A$2:$C$223,3,FALSE)=$AH$15,AC28&amp;" BULT",IF(VLOOKUP(AC28,'BD LUB'!$A$2:$C$223,3,FALSE)=$AH$14,AC28&amp;" COP",IF(VLOOKUP(AC28,'BD LUB'!$A$2:$C$223,3,FALSE)=$AH$13,AC28&amp;" RIO",IF(VLOOKUP(AC28,'BD LUB'!$A$2:$C$223,3,FALSE)=$AH$21,AC28&amp;" APART","Dato no encontrado")))))))))</f>
        <v>3273 MED</v>
      </c>
      <c r="AE28" s="111"/>
      <c r="AF28" s="111"/>
      <c r="AG28" s="111"/>
      <c r="AH28" s="111"/>
      <c r="AI28" s="111"/>
      <c r="AJ28" s="126">
        <v>25.0</v>
      </c>
      <c r="AK28" s="141">
        <f>IFERROR(__xludf.DUMMYFUNCTION("""COMPUTED_VALUE"""),46654.0)</f>
        <v>46654</v>
      </c>
      <c r="AL28" s="128" t="str">
        <f>IFERROR(__xludf.DUMMYFUNCTION("""COMPUTED_VALUE"""),"02-Medellin")</f>
        <v>02-Medellin</v>
      </c>
      <c r="AM28" s="142">
        <f>IFERROR(__xludf.DUMMYFUNCTION("""COMPUTED_VALUE"""),119.0)</f>
        <v>119</v>
      </c>
      <c r="AN28" s="128"/>
      <c r="AP28" s="126">
        <v>25.0</v>
      </c>
      <c r="AQ28" s="141">
        <f>IFERROR(__xludf.DUMMYFUNCTION("""COMPUTED_VALUE"""),46654.0)</f>
        <v>46654</v>
      </c>
      <c r="AR28" s="128" t="str">
        <f>IFERROR(__xludf.DUMMYFUNCTION("""COMPUTED_VALUE"""),"02-Medellin")</f>
        <v>02-Medellin</v>
      </c>
      <c r="AS28" s="142">
        <f>IFERROR(__xludf.DUMMYFUNCTION("""COMPUTED_VALUE"""),119.0)</f>
        <v>119</v>
      </c>
      <c r="AT28" s="128"/>
      <c r="AV28" s="126">
        <v>25.0</v>
      </c>
      <c r="AW28" s="128"/>
      <c r="AX28" s="128"/>
      <c r="AY28" s="128"/>
      <c r="AZ28" s="128"/>
    </row>
    <row r="29">
      <c r="A29" s="120"/>
      <c r="B29" s="126">
        <v>26.0</v>
      </c>
      <c r="C29" s="155">
        <f>IFERROR(__xludf.DUMMYFUNCTION("""COMPUTED_VALUE"""),2640.0)</f>
        <v>2640</v>
      </c>
      <c r="D29" s="156">
        <f>IFERROR(__xludf.DUMMYFUNCTION("""COMPUTED_VALUE"""),46254.0)</f>
        <v>46254</v>
      </c>
      <c r="E29" s="78" t="str">
        <f>IFERROR(__xludf.DUMMYFUNCTION("""COMPUTED_VALUE"""),"27-Apartado")</f>
        <v>27-Apartado</v>
      </c>
      <c r="F29" s="156">
        <f>IFERROR(__xludf.DUMMYFUNCTION("""COMPUTED_VALUE"""),46037.0)</f>
        <v>46037</v>
      </c>
      <c r="G29" s="151">
        <f>IFERROR(__xludf.DUMMYFUNCTION("""COMPUTED_VALUE"""),1.0)</f>
        <v>1</v>
      </c>
      <c r="H29" s="134" t="str">
        <f>IFERROR(__xludf.DUMMYFUNCTION("""COMPUTED_VALUE"""),"PRÓXIMO")</f>
        <v>PRÓXIMO</v>
      </c>
      <c r="I29" s="132" t="str">
        <f t="shared" si="1"/>
        <v>NO PEDIDO</v>
      </c>
      <c r="J29" s="120"/>
      <c r="K29" s="126">
        <v>26.0</v>
      </c>
      <c r="L29" s="155">
        <f>IFERROR(__xludf.DUMMYFUNCTION("""COMPUTED_VALUE"""),3282.0)</f>
        <v>3282</v>
      </c>
      <c r="M29" s="156">
        <f>IFERROR(__xludf.DUMMYFUNCTION("""COMPUTED_VALUE"""),46668.0)</f>
        <v>46668</v>
      </c>
      <c r="N29" s="78" t="str">
        <f>IFERROR(__xludf.DUMMYFUNCTION("""COMPUTED_VALUE"""),"02-Medellin")</f>
        <v>02-Medellin</v>
      </c>
      <c r="O29" s="156">
        <f>IFERROR(__xludf.DUMMYFUNCTION("""COMPUTED_VALUE"""),46086.0)</f>
        <v>46086</v>
      </c>
      <c r="P29" s="151">
        <f>IFERROR(__xludf.DUMMYFUNCTION("""COMPUTED_VALUE"""),-790.0)</f>
        <v>-790</v>
      </c>
      <c r="Q29" s="134" t="str">
        <f>IFERROR(__xludf.DUMMYFUNCTION("""COMPUTED_VALUE"""),"PASADO")</f>
        <v>PASADO</v>
      </c>
      <c r="R29" s="132" t="str">
        <f t="shared" si="2"/>
        <v>HECHO</v>
      </c>
      <c r="S29" s="152"/>
      <c r="T29" s="134">
        <f>CALENDARIO!D41</f>
        <v>2450</v>
      </c>
      <c r="U29" s="135">
        <f>CALENDARIO!C41</f>
        <v>2890</v>
      </c>
      <c r="V29" s="104"/>
      <c r="W29" s="78"/>
      <c r="X29" s="136" t="str">
        <f>(VLOOKUP(W29,'BD LUB'!$A$2:$L$223,5,FALSE)/VLOOKUP(W29,'BD LUB'!$A$2:$L$223,7,FALSE))+(VLOOKUP(W29,'BD LUB'!$A$2:$L$223,6,FALSE)/VLOOKUP(W29,'BD LUB'!$A$2:$L$223,8,FALSE))</f>
        <v>#N/A</v>
      </c>
      <c r="Y29" s="137" t="str">
        <f>IF(AND(VLOOKUP(W29,'BD LUB'!$A$2:$L$223,11,FALSE)="PASADO",VLOOKUP(W29,'BD LUB'!$A$2:$L$223,12,FALSE)="PASADO"),1,IF(OR(AND(VLOOKUP(W29,'BD LUB'!$A$2:$L$223,11,FALSE)="PASADO",VLOOKUP(W29,'BD LUB'!$A$2:$L$223,12,FALSE)="PRÓXIMO"),AND(VLOOKUP(W29,'BD LUB'!$A$2:$L$223,11,FALSE)="PRÓXIMO",VLOOKUP(W29,'BD LUB'!$A$2:$L$223,12,FALSE)="PASADO")),2,IF(OR(AND(VLOOKUP(W29,'BD LUB'!$A$2:$L$223,11,FALSE)="PASADO",VLOOKUP(W29,'BD LUB'!$A$2:$L$223,12,FALSE)="VIGENTE"),AND(VLOOKUP(W29,'BD LUB'!$A$2:$L$223,11,FALSE)="VIGENTE",VLOOKUP(W29,'BD LUB'!$A$2:$L$223,12,FALSE)="PASADO")),3,IF(AND(VLOOKUP(W29,'BD LUB'!$A$2:$L$223,11,FALSE)="PRÓXIMO",VLOOKUP(W29,'BD LUB'!$A$2:$L$223,12,FALSE)="PRÓXIMO"),4,IF(OR(AND(VLOOKUP(W29,'BD LUB'!$A$2:$L$223,11,FALSE)="PRÓXIMO",VLOOKUP(W29,'BD LUB'!$A$2:$L$223,12,FALSE)="VIGENTE"),AND(VLOOKUP(W29,'BD LUB'!$A$2:$L$223,11,FALSE)="VIGENTE",VLOOKUP(W29,'BD LUB'!$A$2:$L$223,12,FALSE)="PRÓXIMO")),5,IF(AND(VLOOKUP(W29,'BD LUB'!$A$2:$L$223,11,FALSE)="VIGENTE",VLOOKUP(W29,'BD LUB'!$A$2:$L$223,12,FALSE)="VIGENTE"),6,"No definido"))))))</f>
        <v>#N/A</v>
      </c>
      <c r="Z29" s="138">
        <f>IFERROR(__xludf.DUMMYFUNCTION("""COMPUTED_VALUE"""),2842.0)</f>
        <v>2842</v>
      </c>
      <c r="AA29" s="139">
        <f>(VLOOKUP(Z29,'BD LUB'!$A$2:$L$223,5,FALSE)/VLOOKUP(Z29,'BD LUB'!$A$2:$L$223,7,FALSE))+(VLOOKUP(Z29,'BD LUB'!$A$2:$L$223,6,FALSE)/VLOOKUP(Z29,'BD LUB'!$A$2:$L$223,8,FALSE))</f>
        <v>1.765177778</v>
      </c>
      <c r="AB29" s="78">
        <f>IF(AND(VLOOKUP(Z29,'BD LUB'!$A$2:$L$223,11,FALSE)="PASADO",VLOOKUP(Z29,'BD LUB'!$A$2:$L$223,12,FALSE)="PASADO"),1,IF(OR(AND(VLOOKUP(Z29,'BD LUB'!$A$2:$L$223,11,FALSE)="PASADO",VLOOKUP(Z29,'BD LUB'!$A$2:$L$223,12,FALSE)="PRÓXIMO"),AND(VLOOKUP(Z29,'BD LUB'!$A$2:$L$223,11,FALSE)="PRÓXIMO",VLOOKUP(Z29,'BD LUB'!$A$2:$L$223,12,FALSE)="PASADO")),2,IF(OR(AND(VLOOKUP(Z29,'BD LUB'!$A$2:$L$223,11,FALSE)="PASADO",VLOOKUP(Z29,'BD LUB'!$A$2:$L$223,12,FALSE)="VIGENTE"),AND(VLOOKUP(Z29,'BD LUB'!$A$2:$L$223,11,FALSE)="VIGENTE",VLOOKUP(Z29,'BD LUB'!$A$2:$L$223,12,FALSE)="PASADO")),3,IF(AND(VLOOKUP(Z29,'BD LUB'!$A$2:$L$223,11,FALSE)="PRÓXIMO",VLOOKUP(Z29,'BD LUB'!$A$2:$L$223,12,FALSE)="PRÓXIMO"),4,IF(OR(AND(VLOOKUP(Z29,'BD LUB'!$A$2:$L$223,11,FALSE)="PRÓXIMO",VLOOKUP(Z29,'BD LUB'!$A$2:$L$223,12,FALSE)="VIGENTE"),AND(VLOOKUP(Z29,'BD LUB'!$A$2:$L$223,11,FALSE)="VIGENTE",VLOOKUP(Z29,'BD LUB'!$A$2:$L$223,12,FALSE)="PRÓXIMO")),5,IF(AND(VLOOKUP(Z29,'BD LUB'!$A$2:$L$223,11,FALSE)="VIGENTE",VLOOKUP(Z29,'BD LUB'!$A$2:$L$223,12,FALSE)="VIGENTE"),6,"No definido"))))))</f>
        <v>3</v>
      </c>
      <c r="AC29" s="134">
        <f>IFERROR(__xludf.DUMMYFUNCTION("""COMPUTED_VALUE"""),2354.0)</f>
        <v>2354</v>
      </c>
      <c r="AD29" s="136" t="str">
        <f>IF(VLOOKUP(AC29,'BD LUB'!$A$2:$C$223,3,FALSE)=$AH$20,AC29&amp;" MED",IF(VLOOKUP(AC29,'BD LUB'!$A$2:$C$223,3,FALSE)=$AH$19,AC29&amp;" MAY",IF(VLOOKUP(AC29,'BD LUB'!$A$2:$C$223,3,FALSE)=$AH$18,AC29&amp;" RN",IF(VLOOKUP(AC29,'BD LUB'!$A$2:$C$223,3,FALSE)=$AH$17,AC29&amp;" COPQUI",IF(VLOOKUP(AC29,'BD LUB'!$A$2:$C$223,3,FALSE)=$AH$16,AC29&amp;" CEJ",IF(VLOOKUP(AC29,'BD LUB'!$A$2:$C$223,3,FALSE)=$AH$15,AC29&amp;" BULT",IF(VLOOKUP(AC29,'BD LUB'!$A$2:$C$223,3,FALSE)=$AH$14,AC29&amp;" COP",IF(VLOOKUP(AC29,'BD LUB'!$A$2:$C$223,3,FALSE)=$AH$13,AC29&amp;" RIO",IF(VLOOKUP(AC29,'BD LUB'!$A$2:$C$223,3,FALSE)=$AH$21,AC29&amp;" APART","Dato no encontrado")))))))))</f>
        <v>2354 COP</v>
      </c>
      <c r="AE29" s="111"/>
      <c r="AF29" s="111"/>
      <c r="AG29" s="111"/>
      <c r="AH29" s="111"/>
      <c r="AI29" s="111"/>
      <c r="AJ29" s="126">
        <v>26.0</v>
      </c>
      <c r="AK29" s="141">
        <f>IFERROR(__xludf.DUMMYFUNCTION("""COMPUTED_VALUE"""),46654.0)</f>
        <v>46654</v>
      </c>
      <c r="AL29" s="128" t="str">
        <f>IFERROR(__xludf.DUMMYFUNCTION("""COMPUTED_VALUE"""),"02-Medellin")</f>
        <v>02-Medellin</v>
      </c>
      <c r="AM29" s="142">
        <f>IFERROR(__xludf.DUMMYFUNCTION("""COMPUTED_VALUE"""),116.0)</f>
        <v>116</v>
      </c>
      <c r="AN29" s="128"/>
      <c r="AP29" s="126">
        <v>26.0</v>
      </c>
      <c r="AQ29" s="141">
        <f>IFERROR(__xludf.DUMMYFUNCTION("""COMPUTED_VALUE"""),46654.0)</f>
        <v>46654</v>
      </c>
      <c r="AR29" s="128" t="str">
        <f>IFERROR(__xludf.DUMMYFUNCTION("""COMPUTED_VALUE"""),"02-Medellin")</f>
        <v>02-Medellin</v>
      </c>
      <c r="AS29" s="142">
        <f>IFERROR(__xludf.DUMMYFUNCTION("""COMPUTED_VALUE"""),116.0)</f>
        <v>116</v>
      </c>
      <c r="AT29" s="128"/>
      <c r="AV29" s="126">
        <v>26.0</v>
      </c>
      <c r="AW29" s="128"/>
      <c r="AX29" s="128"/>
      <c r="AY29" s="128"/>
      <c r="AZ29" s="128"/>
    </row>
    <row r="30">
      <c r="A30" s="120"/>
      <c r="B30" s="126">
        <v>27.0</v>
      </c>
      <c r="C30" s="155">
        <f>IFERROR(__xludf.DUMMYFUNCTION("""COMPUTED_VALUE"""),2354.0)</f>
        <v>2354</v>
      </c>
      <c r="D30" s="156">
        <f>IFERROR(__xludf.DUMMYFUNCTION("""COMPUTED_VALUE"""),46435.0)</f>
        <v>46435</v>
      </c>
      <c r="E30" s="78" t="str">
        <f>IFERROR(__xludf.DUMMYFUNCTION("""COMPUTED_VALUE"""),"31-Copacabana")</f>
        <v>31-Copacabana</v>
      </c>
      <c r="F30" s="156">
        <f>IFERROR(__xludf.DUMMYFUNCTION("""COMPUTED_VALUE"""),46037.0)</f>
        <v>46037</v>
      </c>
      <c r="G30" s="151">
        <f>IFERROR(__xludf.DUMMYFUNCTION("""COMPUTED_VALUE"""),1.0)</f>
        <v>1</v>
      </c>
      <c r="H30" s="134" t="str">
        <f>IFERROR(__xludf.DUMMYFUNCTION("""COMPUTED_VALUE"""),"PRÓXIMO")</f>
        <v>PRÓXIMO</v>
      </c>
      <c r="I30" s="132" t="str">
        <f t="shared" si="1"/>
        <v>PEDIDO</v>
      </c>
      <c r="J30" s="120"/>
      <c r="K30" s="126">
        <v>27.0</v>
      </c>
      <c r="L30" s="155">
        <f>IFERROR(__xludf.DUMMYFUNCTION("""COMPUTED_VALUE"""),2437.0)</f>
        <v>2437</v>
      </c>
      <c r="M30" s="156">
        <f>IFERROR(__xludf.DUMMYFUNCTION("""COMPUTED_VALUE"""),46528.0)</f>
        <v>46528</v>
      </c>
      <c r="N30" s="78" t="str">
        <f>IFERROR(__xludf.DUMMYFUNCTION("""COMPUTED_VALUE"""),"02-Medellin")</f>
        <v>02-Medellin</v>
      </c>
      <c r="O30" s="156">
        <f>IFERROR(__xludf.DUMMYFUNCTION("""COMPUTED_VALUE"""),46006.0)</f>
        <v>46006</v>
      </c>
      <c r="P30" s="151">
        <f>IFERROR(__xludf.DUMMYFUNCTION("""COMPUTED_VALUE"""),-543.0)</f>
        <v>-543</v>
      </c>
      <c r="Q30" s="134" t="str">
        <f>IFERROR(__xludf.DUMMYFUNCTION("""COMPUTED_VALUE"""),"PASADO")</f>
        <v>PASADO</v>
      </c>
      <c r="R30" s="132" t="str">
        <f t="shared" si="2"/>
        <v>HECHO</v>
      </c>
      <c r="S30" s="157"/>
      <c r="T30" s="134">
        <f>CALENDARIO!D42</f>
        <v>2890</v>
      </c>
      <c r="U30" s="135">
        <f>CALENDARIO!C42</f>
        <v>2894</v>
      </c>
      <c r="V30" s="104"/>
      <c r="W30" s="78"/>
      <c r="X30" s="136" t="str">
        <f>(VLOOKUP(W30,'BD LUB'!$A$2:$L$223,5,FALSE)/VLOOKUP(W30,'BD LUB'!$A$2:$L$223,7,FALSE))+(VLOOKUP(W30,'BD LUB'!$A$2:$L$223,6,FALSE)/VLOOKUP(W30,'BD LUB'!$A$2:$L$223,8,FALSE))</f>
        <v>#N/A</v>
      </c>
      <c r="Y30" s="137" t="str">
        <f>IF(AND(VLOOKUP(W30,'BD LUB'!$A$2:$L$223,11,FALSE)="PASADO",VLOOKUP(W30,'BD LUB'!$A$2:$L$223,12,FALSE)="PASADO"),1,IF(OR(AND(VLOOKUP(W30,'BD LUB'!$A$2:$L$223,11,FALSE)="PASADO",VLOOKUP(W30,'BD LUB'!$A$2:$L$223,12,FALSE)="PRÓXIMO"),AND(VLOOKUP(W30,'BD LUB'!$A$2:$L$223,11,FALSE)="PRÓXIMO",VLOOKUP(W30,'BD LUB'!$A$2:$L$223,12,FALSE)="PASADO")),2,IF(OR(AND(VLOOKUP(W30,'BD LUB'!$A$2:$L$223,11,FALSE)="PASADO",VLOOKUP(W30,'BD LUB'!$A$2:$L$223,12,FALSE)="VIGENTE"),AND(VLOOKUP(W30,'BD LUB'!$A$2:$L$223,11,FALSE)="VIGENTE",VLOOKUP(W30,'BD LUB'!$A$2:$L$223,12,FALSE)="PASADO")),3,IF(AND(VLOOKUP(W30,'BD LUB'!$A$2:$L$223,11,FALSE)="PRÓXIMO",VLOOKUP(W30,'BD LUB'!$A$2:$L$223,12,FALSE)="PRÓXIMO"),4,IF(OR(AND(VLOOKUP(W30,'BD LUB'!$A$2:$L$223,11,FALSE)="PRÓXIMO",VLOOKUP(W30,'BD LUB'!$A$2:$L$223,12,FALSE)="VIGENTE"),AND(VLOOKUP(W30,'BD LUB'!$A$2:$L$223,11,FALSE)="VIGENTE",VLOOKUP(W30,'BD LUB'!$A$2:$L$223,12,FALSE)="PRÓXIMO")),5,IF(AND(VLOOKUP(W30,'BD LUB'!$A$2:$L$223,11,FALSE)="VIGENTE",VLOOKUP(W30,'BD LUB'!$A$2:$L$223,12,FALSE)="VIGENTE"),6,"No definido"))))))</f>
        <v>#N/A</v>
      </c>
      <c r="Z30" s="138">
        <f>IFERROR(__xludf.DUMMYFUNCTION("""COMPUTED_VALUE"""),2663.0)</f>
        <v>2663</v>
      </c>
      <c r="AA30" s="139">
        <f>(VLOOKUP(Z30,'BD LUB'!$A$2:$L$223,5,FALSE)/VLOOKUP(Z30,'BD LUB'!$A$2:$L$223,7,FALSE))+(VLOOKUP(Z30,'BD LUB'!$A$2:$L$223,6,FALSE)/VLOOKUP(Z30,'BD LUB'!$A$2:$L$223,8,FALSE))</f>
        <v>2.032498889</v>
      </c>
      <c r="AB30" s="78">
        <f>IF(AND(VLOOKUP(Z30,'BD LUB'!$A$2:$L$223,11,FALSE)="PASADO",VLOOKUP(Z30,'BD LUB'!$A$2:$L$223,12,FALSE)="PASADO"),1,IF(OR(AND(VLOOKUP(Z30,'BD LUB'!$A$2:$L$223,11,FALSE)="PASADO",VLOOKUP(Z30,'BD LUB'!$A$2:$L$223,12,FALSE)="PRÓXIMO"),AND(VLOOKUP(Z30,'BD LUB'!$A$2:$L$223,11,FALSE)="PRÓXIMO",VLOOKUP(Z30,'BD LUB'!$A$2:$L$223,12,FALSE)="PASADO")),2,IF(OR(AND(VLOOKUP(Z30,'BD LUB'!$A$2:$L$223,11,FALSE)="PASADO",VLOOKUP(Z30,'BD LUB'!$A$2:$L$223,12,FALSE)="VIGENTE"),AND(VLOOKUP(Z30,'BD LUB'!$A$2:$L$223,11,FALSE)="VIGENTE",VLOOKUP(Z30,'BD LUB'!$A$2:$L$223,12,FALSE)="PASADO")),3,IF(AND(VLOOKUP(Z30,'BD LUB'!$A$2:$L$223,11,FALSE)="PRÓXIMO",VLOOKUP(Z30,'BD LUB'!$A$2:$L$223,12,FALSE)="PRÓXIMO"),4,IF(OR(AND(VLOOKUP(Z30,'BD LUB'!$A$2:$L$223,11,FALSE)="PRÓXIMO",VLOOKUP(Z30,'BD LUB'!$A$2:$L$223,12,FALSE)="VIGENTE"),AND(VLOOKUP(Z30,'BD LUB'!$A$2:$L$223,11,FALSE)="VIGENTE",VLOOKUP(Z30,'BD LUB'!$A$2:$L$223,12,FALSE)="PRÓXIMO")),5,IF(AND(VLOOKUP(Z30,'BD LUB'!$A$2:$L$223,11,FALSE)="VIGENTE",VLOOKUP(Z30,'BD LUB'!$A$2:$L$223,12,FALSE)="VIGENTE"),6,"No definido"))))))</f>
        <v>3</v>
      </c>
      <c r="AC30" s="134">
        <f>IFERROR(__xludf.DUMMYFUNCTION("""COMPUTED_VALUE"""),3200.0)</f>
        <v>3200</v>
      </c>
      <c r="AD30" s="136" t="str">
        <f>IF(VLOOKUP(AC30,'BD LUB'!$A$2:$C$223,3,FALSE)=$AH$20,AC30&amp;" MED",IF(VLOOKUP(AC30,'BD LUB'!$A$2:$C$223,3,FALSE)=$AH$19,AC30&amp;" MAY",IF(VLOOKUP(AC30,'BD LUB'!$A$2:$C$223,3,FALSE)=$AH$18,AC30&amp;" RN",IF(VLOOKUP(AC30,'BD LUB'!$A$2:$C$223,3,FALSE)=$AH$17,AC30&amp;" COPQUI",IF(VLOOKUP(AC30,'BD LUB'!$A$2:$C$223,3,FALSE)=$AH$16,AC30&amp;" CEJ",IF(VLOOKUP(AC30,'BD LUB'!$A$2:$C$223,3,FALSE)=$AH$15,AC30&amp;" BULT",IF(VLOOKUP(AC30,'BD LUB'!$A$2:$C$223,3,FALSE)=$AH$14,AC30&amp;" COP",IF(VLOOKUP(AC30,'BD LUB'!$A$2:$C$223,3,FALSE)=$AH$13,AC30&amp;" RIO",IF(VLOOKUP(AC30,'BD LUB'!$A$2:$C$223,3,FALSE)=$AH$21,AC30&amp;" APART","Dato no encontrado")))))))))</f>
        <v>3200 MED</v>
      </c>
      <c r="AE30" s="111"/>
      <c r="AF30" s="111"/>
      <c r="AG30" s="111"/>
      <c r="AH30" s="111"/>
      <c r="AI30" s="111"/>
      <c r="AJ30" s="126">
        <v>27.0</v>
      </c>
      <c r="AK30" s="141">
        <f>IFERROR(__xludf.DUMMYFUNCTION("""COMPUTED_VALUE"""),46654.0)</f>
        <v>46654</v>
      </c>
      <c r="AL30" s="128" t="str">
        <f>IFERROR(__xludf.DUMMYFUNCTION("""COMPUTED_VALUE"""),"02-Medellin")</f>
        <v>02-Medellin</v>
      </c>
      <c r="AM30" s="142">
        <f>IFERROR(__xludf.DUMMYFUNCTION("""COMPUTED_VALUE"""),116.0)</f>
        <v>116</v>
      </c>
      <c r="AN30" s="128"/>
      <c r="AP30" s="126">
        <v>27.0</v>
      </c>
      <c r="AQ30" s="141">
        <f>IFERROR(__xludf.DUMMYFUNCTION("""COMPUTED_VALUE"""),46654.0)</f>
        <v>46654</v>
      </c>
      <c r="AR30" s="128" t="str">
        <f>IFERROR(__xludf.DUMMYFUNCTION("""COMPUTED_VALUE"""),"02-Medellin")</f>
        <v>02-Medellin</v>
      </c>
      <c r="AS30" s="142">
        <f>IFERROR(__xludf.DUMMYFUNCTION("""COMPUTED_VALUE"""),116.0)</f>
        <v>116</v>
      </c>
      <c r="AT30" s="128"/>
      <c r="AV30" s="126">
        <v>27.0</v>
      </c>
      <c r="AW30" s="128"/>
      <c r="AX30" s="128"/>
      <c r="AY30" s="128"/>
      <c r="AZ30" s="128"/>
    </row>
    <row r="31">
      <c r="A31" s="120"/>
      <c r="B31" s="126">
        <v>28.0</v>
      </c>
      <c r="C31" s="155">
        <f>IFERROR(__xludf.DUMMYFUNCTION("""COMPUTED_VALUE"""),487.0)</f>
        <v>487</v>
      </c>
      <c r="D31" s="156">
        <f>IFERROR(__xludf.DUMMYFUNCTION("""COMPUTED_VALUE"""),46242.0)</f>
        <v>46242</v>
      </c>
      <c r="E31" s="78" t="str">
        <f>IFERROR(__xludf.DUMMYFUNCTION("""COMPUTED_VALUE"""),"02-Medellin")</f>
        <v>02-Medellin</v>
      </c>
      <c r="F31" s="156">
        <f>IFERROR(__xludf.DUMMYFUNCTION("""COMPUTED_VALUE"""),46037.0)</f>
        <v>46037</v>
      </c>
      <c r="G31" s="151">
        <f>IFERROR(__xludf.DUMMYFUNCTION("""COMPUTED_VALUE"""),1.0)</f>
        <v>1</v>
      </c>
      <c r="H31" s="134" t="str">
        <f>IFERROR(__xludf.DUMMYFUNCTION("""COMPUTED_VALUE"""),"PRÓXIMO")</f>
        <v>PRÓXIMO</v>
      </c>
      <c r="I31" s="132" t="str">
        <f t="shared" si="1"/>
        <v>PEDIDO</v>
      </c>
      <c r="J31" s="120"/>
      <c r="K31" s="126">
        <v>28.0</v>
      </c>
      <c r="L31" s="155">
        <f>IFERROR(__xludf.DUMMYFUNCTION("""COMPUTED_VALUE"""),2572.0)</f>
        <v>2572</v>
      </c>
      <c r="M31" s="156">
        <f>IFERROR(__xludf.DUMMYFUNCTION("""COMPUTED_VALUE"""),46245.0)</f>
        <v>46245</v>
      </c>
      <c r="N31" s="78" t="str">
        <f>IFERROR(__xludf.DUMMYFUNCTION("""COMPUTED_VALUE"""),"31-Copacabana")</f>
        <v>31-Copacabana</v>
      </c>
      <c r="O31" s="156">
        <f>IFERROR(__xludf.DUMMYFUNCTION("""COMPUTED_VALUE"""),46057.0)</f>
        <v>46057</v>
      </c>
      <c r="P31" s="151">
        <f>IFERROR(__xludf.DUMMYFUNCTION("""COMPUTED_VALUE"""),-481.0)</f>
        <v>-481</v>
      </c>
      <c r="Q31" s="134" t="str">
        <f>IFERROR(__xludf.DUMMYFUNCTION("""COMPUTED_VALUE"""),"PASADO")</f>
        <v>PASADO</v>
      </c>
      <c r="R31" s="132" t="str">
        <f t="shared" si="2"/>
        <v>HECHO</v>
      </c>
      <c r="S31" s="157"/>
      <c r="T31" s="134">
        <f>CALENDARIO!D43</f>
        <v>3246</v>
      </c>
      <c r="U31" s="135">
        <f>CALENDARIO!C43</f>
        <v>2925</v>
      </c>
      <c r="V31" s="157"/>
      <c r="W31" s="78"/>
      <c r="X31" s="136" t="str">
        <f>(VLOOKUP(W31,'BD LUB'!$A$2:$L$223,5,FALSE)/VLOOKUP(W31,'BD LUB'!$A$2:$L$223,7,FALSE))+(VLOOKUP(W31,'BD LUB'!$A$2:$L$223,6,FALSE)/VLOOKUP(W31,'BD LUB'!$A$2:$L$223,8,FALSE))</f>
        <v>#N/A</v>
      </c>
      <c r="Y31" s="137" t="str">
        <f>IF(AND(VLOOKUP(W31,'BD LUB'!$A$2:$L$223,11,FALSE)="PASADO",VLOOKUP(W31,'BD LUB'!$A$2:$L$223,12,FALSE)="PASADO"),1,IF(OR(AND(VLOOKUP(W31,'BD LUB'!$A$2:$L$223,11,FALSE)="PASADO",VLOOKUP(W31,'BD LUB'!$A$2:$L$223,12,FALSE)="PRÓXIMO"),AND(VLOOKUP(W31,'BD LUB'!$A$2:$L$223,11,FALSE)="PRÓXIMO",VLOOKUP(W31,'BD LUB'!$A$2:$L$223,12,FALSE)="PASADO")),2,IF(OR(AND(VLOOKUP(W31,'BD LUB'!$A$2:$L$223,11,FALSE)="PASADO",VLOOKUP(W31,'BD LUB'!$A$2:$L$223,12,FALSE)="VIGENTE"),AND(VLOOKUP(W31,'BD LUB'!$A$2:$L$223,11,FALSE)="VIGENTE",VLOOKUP(W31,'BD LUB'!$A$2:$L$223,12,FALSE)="PASADO")),3,IF(AND(VLOOKUP(W31,'BD LUB'!$A$2:$L$223,11,FALSE)="PRÓXIMO",VLOOKUP(W31,'BD LUB'!$A$2:$L$223,12,FALSE)="PRÓXIMO"),4,IF(OR(AND(VLOOKUP(W31,'BD LUB'!$A$2:$L$223,11,FALSE)="PRÓXIMO",VLOOKUP(W31,'BD LUB'!$A$2:$L$223,12,FALSE)="VIGENTE"),AND(VLOOKUP(W31,'BD LUB'!$A$2:$L$223,11,FALSE)="VIGENTE",VLOOKUP(W31,'BD LUB'!$A$2:$L$223,12,FALSE)="PRÓXIMO")),5,IF(AND(VLOOKUP(W31,'BD LUB'!$A$2:$L$223,11,FALSE)="VIGENTE",VLOOKUP(W31,'BD LUB'!$A$2:$L$223,12,FALSE)="VIGENTE"),6,"No definido"))))))</f>
        <v>#N/A</v>
      </c>
      <c r="Z31" s="138">
        <f>IFERROR(__xludf.DUMMYFUNCTION("""COMPUTED_VALUE"""),2910.0)</f>
        <v>2910</v>
      </c>
      <c r="AA31" s="139">
        <f>(VLOOKUP(Z31,'BD LUB'!$A$2:$L$223,5,FALSE)/VLOOKUP(Z31,'BD LUB'!$A$2:$L$223,7,FALSE))+(VLOOKUP(Z31,'BD LUB'!$A$2:$L$223,6,FALSE)/VLOOKUP(Z31,'BD LUB'!$A$2:$L$223,8,FALSE))</f>
        <v>1.856577778</v>
      </c>
      <c r="AB31" s="78">
        <f>IF(AND(VLOOKUP(Z31,'BD LUB'!$A$2:$L$223,11,FALSE)="PASADO",VLOOKUP(Z31,'BD LUB'!$A$2:$L$223,12,FALSE)="PASADO"),1,IF(OR(AND(VLOOKUP(Z31,'BD LUB'!$A$2:$L$223,11,FALSE)="PASADO",VLOOKUP(Z31,'BD LUB'!$A$2:$L$223,12,FALSE)="PRÓXIMO"),AND(VLOOKUP(Z31,'BD LUB'!$A$2:$L$223,11,FALSE)="PRÓXIMO",VLOOKUP(Z31,'BD LUB'!$A$2:$L$223,12,FALSE)="PASADO")),2,IF(OR(AND(VLOOKUP(Z31,'BD LUB'!$A$2:$L$223,11,FALSE)="PASADO",VLOOKUP(Z31,'BD LUB'!$A$2:$L$223,12,FALSE)="VIGENTE"),AND(VLOOKUP(Z31,'BD LUB'!$A$2:$L$223,11,FALSE)="VIGENTE",VLOOKUP(Z31,'BD LUB'!$A$2:$L$223,12,FALSE)="PASADO")),3,IF(AND(VLOOKUP(Z31,'BD LUB'!$A$2:$L$223,11,FALSE)="PRÓXIMO",VLOOKUP(Z31,'BD LUB'!$A$2:$L$223,12,FALSE)="PRÓXIMO"),4,IF(OR(AND(VLOOKUP(Z31,'BD LUB'!$A$2:$L$223,11,FALSE)="PRÓXIMO",VLOOKUP(Z31,'BD LUB'!$A$2:$L$223,12,FALSE)="VIGENTE"),AND(VLOOKUP(Z31,'BD LUB'!$A$2:$L$223,11,FALSE)="VIGENTE",VLOOKUP(Z31,'BD LUB'!$A$2:$L$223,12,FALSE)="PRÓXIMO")),5,IF(AND(VLOOKUP(Z31,'BD LUB'!$A$2:$L$223,11,FALSE)="VIGENTE",VLOOKUP(Z31,'BD LUB'!$A$2:$L$223,12,FALSE)="VIGENTE"),6,"No definido"))))))</f>
        <v>3</v>
      </c>
      <c r="AC31" s="134">
        <f>IFERROR(__xludf.DUMMYFUNCTION("""COMPUTED_VALUE"""),3271.0)</f>
        <v>3271</v>
      </c>
      <c r="AD31" s="136" t="str">
        <f>IF(VLOOKUP(AC31,'BD LUB'!$A$2:$C$223,3,FALSE)=$AH$20,AC31&amp;" MED",IF(VLOOKUP(AC31,'BD LUB'!$A$2:$C$223,3,FALSE)=$AH$19,AC31&amp;" MAY",IF(VLOOKUP(AC31,'BD LUB'!$A$2:$C$223,3,FALSE)=$AH$18,AC31&amp;" RN",IF(VLOOKUP(AC31,'BD LUB'!$A$2:$C$223,3,FALSE)=$AH$17,AC31&amp;" COPQUI",IF(VLOOKUP(AC31,'BD LUB'!$A$2:$C$223,3,FALSE)=$AH$16,AC31&amp;" CEJ",IF(VLOOKUP(AC31,'BD LUB'!$A$2:$C$223,3,FALSE)=$AH$15,AC31&amp;" BULT",IF(VLOOKUP(AC31,'BD LUB'!$A$2:$C$223,3,FALSE)=$AH$14,AC31&amp;" COP",IF(VLOOKUP(AC31,'BD LUB'!$A$2:$C$223,3,FALSE)=$AH$13,AC31&amp;" RIO",IF(VLOOKUP(AC31,'BD LUB'!$A$2:$C$223,3,FALSE)=$AH$21,AC31&amp;" APART","Dato no encontrado")))))))))</f>
        <v>3271 MED</v>
      </c>
      <c r="AE31" s="111"/>
      <c r="AF31" s="111"/>
      <c r="AG31" s="111"/>
      <c r="AH31" s="111"/>
      <c r="AI31" s="111"/>
      <c r="AJ31" s="126">
        <v>28.0</v>
      </c>
      <c r="AK31" s="141">
        <f>IFERROR(__xludf.DUMMYFUNCTION("""COMPUTED_VALUE"""),46318.0)</f>
        <v>46318</v>
      </c>
      <c r="AL31" s="128" t="str">
        <f>IFERROR(__xludf.DUMMYFUNCTION("""COMPUTED_VALUE"""),"31-Copacabana")</f>
        <v>31-Copacabana</v>
      </c>
      <c r="AM31" s="142">
        <f>IFERROR(__xludf.DUMMYFUNCTION("""COMPUTED_VALUE"""),115.0)</f>
        <v>115</v>
      </c>
      <c r="AN31" s="128"/>
      <c r="AP31" s="126">
        <v>28.0</v>
      </c>
      <c r="AQ31" s="141">
        <f>IFERROR(__xludf.DUMMYFUNCTION("""COMPUTED_VALUE"""),46318.0)</f>
        <v>46318</v>
      </c>
      <c r="AR31" s="128" t="str">
        <f>IFERROR(__xludf.DUMMYFUNCTION("""COMPUTED_VALUE"""),"31-Copacabana")</f>
        <v>31-Copacabana</v>
      </c>
      <c r="AS31" s="142">
        <f>IFERROR(__xludf.DUMMYFUNCTION("""COMPUTED_VALUE"""),115.0)</f>
        <v>115</v>
      </c>
      <c r="AT31" s="128"/>
      <c r="AV31" s="126">
        <v>28.0</v>
      </c>
      <c r="AW31" s="128"/>
      <c r="AX31" s="128"/>
      <c r="AY31" s="128"/>
      <c r="AZ31" s="128"/>
    </row>
    <row r="32">
      <c r="A32" s="120"/>
      <c r="B32" s="126">
        <v>29.0</v>
      </c>
      <c r="C32" s="155">
        <f>IFERROR(__xludf.DUMMYFUNCTION("""COMPUTED_VALUE"""),2881.0)</f>
        <v>2881</v>
      </c>
      <c r="D32" s="156">
        <f>IFERROR(__xludf.DUMMYFUNCTION("""COMPUTED_VALUE"""),46226.0)</f>
        <v>46226</v>
      </c>
      <c r="E32" s="78" t="str">
        <f>IFERROR(__xludf.DUMMYFUNCTION("""COMPUTED_VALUE"""),"02-Medellin")</f>
        <v>02-Medellin</v>
      </c>
      <c r="F32" s="156">
        <f>IFERROR(__xludf.DUMMYFUNCTION("""COMPUTED_VALUE"""),46038.0)</f>
        <v>46038</v>
      </c>
      <c r="G32" s="151">
        <f>IFERROR(__xludf.DUMMYFUNCTION("""COMPUTED_VALUE"""),2.0)</f>
        <v>2</v>
      </c>
      <c r="H32" s="134" t="str">
        <f>IFERROR(__xludf.DUMMYFUNCTION("""COMPUTED_VALUE"""),"PRÓXIMO")</f>
        <v>PRÓXIMO</v>
      </c>
      <c r="I32" s="132" t="str">
        <f t="shared" si="1"/>
        <v>PEDIDO</v>
      </c>
      <c r="J32" s="120"/>
      <c r="K32" s="126">
        <v>29.0</v>
      </c>
      <c r="L32" s="155">
        <f>IFERROR(__xludf.DUMMYFUNCTION("""COMPUTED_VALUE"""),2671.0)</f>
        <v>2671</v>
      </c>
      <c r="M32" s="156">
        <f>IFERROR(__xludf.DUMMYFUNCTION("""COMPUTED_VALUE"""),46507.0)</f>
        <v>46507</v>
      </c>
      <c r="N32" s="78" t="str">
        <f>IFERROR(__xludf.DUMMYFUNCTION("""COMPUTED_VALUE"""),"MAYORCA")</f>
        <v>MAYORCA</v>
      </c>
      <c r="O32" s="156">
        <f>IFERROR(__xludf.DUMMYFUNCTION("""COMPUTED_VALUE"""),46004.0)</f>
        <v>46004</v>
      </c>
      <c r="P32" s="151">
        <f>IFERROR(__xludf.DUMMYFUNCTION("""COMPUTED_VALUE"""),-471.89999999999964)</f>
        <v>-471.9</v>
      </c>
      <c r="Q32" s="134" t="str">
        <f>IFERROR(__xludf.DUMMYFUNCTION("""COMPUTED_VALUE"""),"PASADO")</f>
        <v>PASADO</v>
      </c>
      <c r="R32" s="132" t="str">
        <f t="shared" si="2"/>
        <v>PEDIDO</v>
      </c>
      <c r="T32" s="134">
        <f>CALENDARIO!D44</f>
        <v>499</v>
      </c>
      <c r="U32" s="135">
        <f>CALENDARIO!C44</f>
        <v>3251</v>
      </c>
      <c r="W32" s="78"/>
      <c r="X32" s="136" t="str">
        <f>(VLOOKUP(W32,'BD LUB'!$A$2:$L$223,5,FALSE)/VLOOKUP(W32,'BD LUB'!$A$2:$L$223,7,FALSE))+(VLOOKUP(W32,'BD LUB'!$A$2:$L$223,6,FALSE)/VLOOKUP(W32,'BD LUB'!$A$2:$L$223,8,FALSE))</f>
        <v>#N/A</v>
      </c>
      <c r="Y32" s="137" t="str">
        <f>IF(AND(VLOOKUP(W32,'BD LUB'!$A$2:$L$223,11,FALSE)="PASADO",VLOOKUP(W32,'BD LUB'!$A$2:$L$223,12,FALSE)="PASADO"),1,IF(OR(AND(VLOOKUP(W32,'BD LUB'!$A$2:$L$223,11,FALSE)="PASADO",VLOOKUP(W32,'BD LUB'!$A$2:$L$223,12,FALSE)="PRÓXIMO"),AND(VLOOKUP(W32,'BD LUB'!$A$2:$L$223,11,FALSE)="PRÓXIMO",VLOOKUP(W32,'BD LUB'!$A$2:$L$223,12,FALSE)="PASADO")),2,IF(OR(AND(VLOOKUP(W32,'BD LUB'!$A$2:$L$223,11,FALSE)="PASADO",VLOOKUP(W32,'BD LUB'!$A$2:$L$223,12,FALSE)="VIGENTE"),AND(VLOOKUP(W32,'BD LUB'!$A$2:$L$223,11,FALSE)="VIGENTE",VLOOKUP(W32,'BD LUB'!$A$2:$L$223,12,FALSE)="PASADO")),3,IF(AND(VLOOKUP(W32,'BD LUB'!$A$2:$L$223,11,FALSE)="PRÓXIMO",VLOOKUP(W32,'BD LUB'!$A$2:$L$223,12,FALSE)="PRÓXIMO"),4,IF(OR(AND(VLOOKUP(W32,'BD LUB'!$A$2:$L$223,11,FALSE)="PRÓXIMO",VLOOKUP(W32,'BD LUB'!$A$2:$L$223,12,FALSE)="VIGENTE"),AND(VLOOKUP(W32,'BD LUB'!$A$2:$L$223,11,FALSE)="VIGENTE",VLOOKUP(W32,'BD LUB'!$A$2:$L$223,12,FALSE)="PRÓXIMO")),5,IF(AND(VLOOKUP(W32,'BD LUB'!$A$2:$L$223,11,FALSE)="VIGENTE",VLOOKUP(W32,'BD LUB'!$A$2:$L$223,12,FALSE)="VIGENTE"),6,"No definido"))))))</f>
        <v>#N/A</v>
      </c>
      <c r="Z32" s="138">
        <f>IFERROR(__xludf.DUMMYFUNCTION("""COMPUTED_VALUE"""),3283.0)</f>
        <v>3283</v>
      </c>
      <c r="AA32" s="139">
        <f>(VLOOKUP(Z32,'BD LUB'!$A$2:$L$223,5,FALSE)/VLOOKUP(Z32,'BD LUB'!$A$2:$L$223,7,FALSE))+(VLOOKUP(Z32,'BD LUB'!$A$2:$L$223,6,FALSE)/VLOOKUP(Z32,'BD LUB'!$A$2:$L$223,8,FALSE))</f>
        <v>2.113755556</v>
      </c>
      <c r="AB32" s="78">
        <f>IF(AND(VLOOKUP(Z32,'BD LUB'!$A$2:$L$223,11,FALSE)="PASADO",VLOOKUP(Z32,'BD LUB'!$A$2:$L$223,12,FALSE)="PASADO"),1,IF(OR(AND(VLOOKUP(Z32,'BD LUB'!$A$2:$L$223,11,FALSE)="PASADO",VLOOKUP(Z32,'BD LUB'!$A$2:$L$223,12,FALSE)="PRÓXIMO"),AND(VLOOKUP(Z32,'BD LUB'!$A$2:$L$223,11,FALSE)="PRÓXIMO",VLOOKUP(Z32,'BD LUB'!$A$2:$L$223,12,FALSE)="PASADO")),2,IF(OR(AND(VLOOKUP(Z32,'BD LUB'!$A$2:$L$223,11,FALSE)="PASADO",VLOOKUP(Z32,'BD LUB'!$A$2:$L$223,12,FALSE)="VIGENTE"),AND(VLOOKUP(Z32,'BD LUB'!$A$2:$L$223,11,FALSE)="VIGENTE",VLOOKUP(Z32,'BD LUB'!$A$2:$L$223,12,FALSE)="PASADO")),3,IF(AND(VLOOKUP(Z32,'BD LUB'!$A$2:$L$223,11,FALSE)="PRÓXIMO",VLOOKUP(Z32,'BD LUB'!$A$2:$L$223,12,FALSE)="PRÓXIMO"),4,IF(OR(AND(VLOOKUP(Z32,'BD LUB'!$A$2:$L$223,11,FALSE)="PRÓXIMO",VLOOKUP(Z32,'BD LUB'!$A$2:$L$223,12,FALSE)="VIGENTE"),AND(VLOOKUP(Z32,'BD LUB'!$A$2:$L$223,11,FALSE)="VIGENTE",VLOOKUP(Z32,'BD LUB'!$A$2:$L$223,12,FALSE)="PRÓXIMO")),5,IF(AND(VLOOKUP(Z32,'BD LUB'!$A$2:$L$223,11,FALSE)="VIGENTE",VLOOKUP(Z32,'BD LUB'!$A$2:$L$223,12,FALSE)="VIGENTE"),6,"No definido"))))))</f>
        <v>3</v>
      </c>
      <c r="AC32" s="134">
        <f>IFERROR(__xludf.DUMMYFUNCTION("""COMPUTED_VALUE"""),2906.0)</f>
        <v>2906</v>
      </c>
      <c r="AD32" s="136" t="str">
        <f>IF(VLOOKUP(AC32,'BD LUB'!$A$2:$C$223,3,FALSE)=$AH$20,AC32&amp;" MED",IF(VLOOKUP(AC32,'BD LUB'!$A$2:$C$223,3,FALSE)=$AH$19,AC32&amp;" MAY",IF(VLOOKUP(AC32,'BD LUB'!$A$2:$C$223,3,FALSE)=$AH$18,AC32&amp;" RN",IF(VLOOKUP(AC32,'BD LUB'!$A$2:$C$223,3,FALSE)=$AH$17,AC32&amp;" COPQUI",IF(VLOOKUP(AC32,'BD LUB'!$A$2:$C$223,3,FALSE)=$AH$16,AC32&amp;" CEJ",IF(VLOOKUP(AC32,'BD LUB'!$A$2:$C$223,3,FALSE)=$AH$15,AC32&amp;" BULT",IF(VLOOKUP(AC32,'BD LUB'!$A$2:$C$223,3,FALSE)=$AH$14,AC32&amp;" COP",IF(VLOOKUP(AC32,'BD LUB'!$A$2:$C$223,3,FALSE)=$AH$13,AC32&amp;" RIO",IF(VLOOKUP(AC32,'BD LUB'!$A$2:$C$223,3,FALSE)=$AH$21,AC32&amp;" APART","Dato no encontrado")))))))))</f>
        <v>2906 MED</v>
      </c>
      <c r="AE32" s="111"/>
      <c r="AF32" s="111"/>
      <c r="AG32" s="111"/>
      <c r="AH32" s="111"/>
      <c r="AI32" s="111"/>
      <c r="AJ32" s="126">
        <v>29.0</v>
      </c>
      <c r="AK32" s="141">
        <f>IFERROR(__xludf.DUMMYFUNCTION("""COMPUTED_VALUE"""),46275.0)</f>
        <v>46275</v>
      </c>
      <c r="AL32" s="128" t="str">
        <f>IFERROR(__xludf.DUMMYFUNCTION("""COMPUTED_VALUE"""),"31-Copacabana")</f>
        <v>31-Copacabana</v>
      </c>
      <c r="AM32" s="142">
        <f>IFERROR(__xludf.DUMMYFUNCTION("""COMPUTED_VALUE"""),115.0)</f>
        <v>115</v>
      </c>
      <c r="AN32" s="128"/>
      <c r="AP32" s="126">
        <v>29.0</v>
      </c>
      <c r="AQ32" s="141">
        <f>IFERROR(__xludf.DUMMYFUNCTION("""COMPUTED_VALUE"""),46275.0)</f>
        <v>46275</v>
      </c>
      <c r="AR32" s="128" t="str">
        <f>IFERROR(__xludf.DUMMYFUNCTION("""COMPUTED_VALUE"""),"31-Copacabana")</f>
        <v>31-Copacabana</v>
      </c>
      <c r="AS32" s="142">
        <f>IFERROR(__xludf.DUMMYFUNCTION("""COMPUTED_VALUE"""),115.0)</f>
        <v>115</v>
      </c>
      <c r="AT32" s="128"/>
      <c r="AV32" s="126">
        <v>29.0</v>
      </c>
      <c r="AW32" s="128"/>
      <c r="AX32" s="128"/>
      <c r="AY32" s="128"/>
      <c r="AZ32" s="128"/>
    </row>
    <row r="33">
      <c r="A33" s="120"/>
      <c r="B33" s="126">
        <v>30.0</v>
      </c>
      <c r="C33" s="155">
        <f>IFERROR(__xludf.DUMMYFUNCTION("""COMPUTED_VALUE"""),496.0)</f>
        <v>496</v>
      </c>
      <c r="D33" s="156">
        <f>IFERROR(__xludf.DUMMYFUNCTION("""COMPUTED_VALUE"""),46315.0)</f>
        <v>46315</v>
      </c>
      <c r="E33" s="78" t="str">
        <f>IFERROR(__xludf.DUMMYFUNCTION("""COMPUTED_VALUE"""),"02-Medellin")</f>
        <v>02-Medellin</v>
      </c>
      <c r="F33" s="156">
        <f>IFERROR(__xludf.DUMMYFUNCTION("""COMPUTED_VALUE"""),46038.0)</f>
        <v>46038</v>
      </c>
      <c r="G33" s="151">
        <f>IFERROR(__xludf.DUMMYFUNCTION("""COMPUTED_VALUE"""),2.0)</f>
        <v>2</v>
      </c>
      <c r="H33" s="134" t="str">
        <f>IFERROR(__xludf.DUMMYFUNCTION("""COMPUTED_VALUE"""),"PRÓXIMO")</f>
        <v>PRÓXIMO</v>
      </c>
      <c r="I33" s="132" t="str">
        <f t="shared" si="1"/>
        <v>NO PEDIDO</v>
      </c>
      <c r="J33" s="120"/>
      <c r="K33" s="126">
        <v>30.0</v>
      </c>
      <c r="L33" s="155">
        <f>IFERROR(__xludf.DUMMYFUNCTION("""COMPUTED_VALUE"""),2894.0)</f>
        <v>2894</v>
      </c>
      <c r="M33" s="156">
        <f>IFERROR(__xludf.DUMMYFUNCTION("""COMPUTED_VALUE"""),46242.0)</f>
        <v>46242</v>
      </c>
      <c r="N33" s="78" t="str">
        <f>IFERROR(__xludf.DUMMYFUNCTION("""COMPUTED_VALUE"""),"02-Medellin")</f>
        <v>02-Medellin</v>
      </c>
      <c r="O33" s="156">
        <f>IFERROR(__xludf.DUMMYFUNCTION("""COMPUTED_VALUE"""),46084.0)</f>
        <v>46084</v>
      </c>
      <c r="P33" s="151">
        <f>IFERROR(__xludf.DUMMYFUNCTION("""COMPUTED_VALUE"""),-439.0)</f>
        <v>-439</v>
      </c>
      <c r="Q33" s="134" t="str">
        <f>IFERROR(__xludf.DUMMYFUNCTION("""COMPUTED_VALUE"""),"PASADO")</f>
        <v>PASADO</v>
      </c>
      <c r="R33" s="132" t="str">
        <f t="shared" si="2"/>
        <v>HECHO</v>
      </c>
      <c r="T33" s="134">
        <f>CALENDARIO!D45</f>
        <v>2087</v>
      </c>
      <c r="U33" s="135">
        <f>CALENDARIO!C45</f>
        <v>2853</v>
      </c>
      <c r="W33" s="78"/>
      <c r="X33" s="136" t="str">
        <f>(VLOOKUP(W33,'BD LUB'!$A$2:$L$223,5,FALSE)/VLOOKUP(W33,'BD LUB'!$A$2:$L$223,7,FALSE))+(VLOOKUP(W33,'BD LUB'!$A$2:$L$223,6,FALSE)/VLOOKUP(W33,'BD LUB'!$A$2:$L$223,8,FALSE))</f>
        <v>#N/A</v>
      </c>
      <c r="Y33" s="137" t="str">
        <f>IF(AND(VLOOKUP(W33,'BD LUB'!$A$2:$L$223,11,FALSE)="PASADO",VLOOKUP(W33,'BD LUB'!$A$2:$L$223,12,FALSE)="PASADO"),1,IF(OR(AND(VLOOKUP(W33,'BD LUB'!$A$2:$L$223,11,FALSE)="PASADO",VLOOKUP(W33,'BD LUB'!$A$2:$L$223,12,FALSE)="PRÓXIMO"),AND(VLOOKUP(W33,'BD LUB'!$A$2:$L$223,11,FALSE)="PRÓXIMO",VLOOKUP(W33,'BD LUB'!$A$2:$L$223,12,FALSE)="PASADO")),2,IF(OR(AND(VLOOKUP(W33,'BD LUB'!$A$2:$L$223,11,FALSE)="PASADO",VLOOKUP(W33,'BD LUB'!$A$2:$L$223,12,FALSE)="VIGENTE"),AND(VLOOKUP(W33,'BD LUB'!$A$2:$L$223,11,FALSE)="VIGENTE",VLOOKUP(W33,'BD LUB'!$A$2:$L$223,12,FALSE)="PASADO")),3,IF(AND(VLOOKUP(W33,'BD LUB'!$A$2:$L$223,11,FALSE)="PRÓXIMO",VLOOKUP(W33,'BD LUB'!$A$2:$L$223,12,FALSE)="PRÓXIMO"),4,IF(OR(AND(VLOOKUP(W33,'BD LUB'!$A$2:$L$223,11,FALSE)="PRÓXIMO",VLOOKUP(W33,'BD LUB'!$A$2:$L$223,12,FALSE)="VIGENTE"),AND(VLOOKUP(W33,'BD LUB'!$A$2:$L$223,11,FALSE)="VIGENTE",VLOOKUP(W33,'BD LUB'!$A$2:$L$223,12,FALSE)="PRÓXIMO")),5,IF(AND(VLOOKUP(W33,'BD LUB'!$A$2:$L$223,11,FALSE)="VIGENTE",VLOOKUP(W33,'BD LUB'!$A$2:$L$223,12,FALSE)="VIGENTE"),6,"No definido"))))))</f>
        <v>#N/A</v>
      </c>
      <c r="Z33" s="138">
        <f>IFERROR(__xludf.DUMMYFUNCTION("""COMPUTED_VALUE"""),2188.0)</f>
        <v>2188</v>
      </c>
      <c r="AA33" s="139">
        <f>(VLOOKUP(Z33,'BD LUB'!$A$2:$L$223,5,FALSE)/VLOOKUP(Z33,'BD LUB'!$A$2:$L$223,7,FALSE))+(VLOOKUP(Z33,'BD LUB'!$A$2:$L$223,6,FALSE)/VLOOKUP(Z33,'BD LUB'!$A$2:$L$223,8,FALSE))</f>
        <v>2.109154167</v>
      </c>
      <c r="AB33" s="78">
        <f>IF(AND(VLOOKUP(Z33,'BD LUB'!$A$2:$L$223,11,FALSE)="PASADO",VLOOKUP(Z33,'BD LUB'!$A$2:$L$223,12,FALSE)="PASADO"),1,IF(OR(AND(VLOOKUP(Z33,'BD LUB'!$A$2:$L$223,11,FALSE)="PASADO",VLOOKUP(Z33,'BD LUB'!$A$2:$L$223,12,FALSE)="PRÓXIMO"),AND(VLOOKUP(Z33,'BD LUB'!$A$2:$L$223,11,FALSE)="PRÓXIMO",VLOOKUP(Z33,'BD LUB'!$A$2:$L$223,12,FALSE)="PASADO")),2,IF(OR(AND(VLOOKUP(Z33,'BD LUB'!$A$2:$L$223,11,FALSE)="PASADO",VLOOKUP(Z33,'BD LUB'!$A$2:$L$223,12,FALSE)="VIGENTE"),AND(VLOOKUP(Z33,'BD LUB'!$A$2:$L$223,11,FALSE)="VIGENTE",VLOOKUP(Z33,'BD LUB'!$A$2:$L$223,12,FALSE)="PASADO")),3,IF(AND(VLOOKUP(Z33,'BD LUB'!$A$2:$L$223,11,FALSE)="PRÓXIMO",VLOOKUP(Z33,'BD LUB'!$A$2:$L$223,12,FALSE)="PRÓXIMO"),4,IF(OR(AND(VLOOKUP(Z33,'BD LUB'!$A$2:$L$223,11,FALSE)="PRÓXIMO",VLOOKUP(Z33,'BD LUB'!$A$2:$L$223,12,FALSE)="VIGENTE"),AND(VLOOKUP(Z33,'BD LUB'!$A$2:$L$223,11,FALSE)="VIGENTE",VLOOKUP(Z33,'BD LUB'!$A$2:$L$223,12,FALSE)="PRÓXIMO")),5,IF(AND(VLOOKUP(Z33,'BD LUB'!$A$2:$L$223,11,FALSE)="VIGENTE",VLOOKUP(Z33,'BD LUB'!$A$2:$L$223,12,FALSE)="VIGENTE"),6,"No definido"))))))</f>
        <v>2</v>
      </c>
      <c r="AC33" s="134">
        <f>IFERROR(__xludf.DUMMYFUNCTION("""COMPUTED_VALUE"""),2923.0)</f>
        <v>2923</v>
      </c>
      <c r="AD33" s="136" t="str">
        <f>IF(VLOOKUP(AC33,'BD LUB'!$A$2:$C$223,3,FALSE)=$AH$20,AC33&amp;" MED",IF(VLOOKUP(AC33,'BD LUB'!$A$2:$C$223,3,FALSE)=$AH$19,AC33&amp;" MAY",IF(VLOOKUP(AC33,'BD LUB'!$A$2:$C$223,3,FALSE)=$AH$18,AC33&amp;" RN",IF(VLOOKUP(AC33,'BD LUB'!$A$2:$C$223,3,FALSE)=$AH$17,AC33&amp;" COPQUI",IF(VLOOKUP(AC33,'BD LUB'!$A$2:$C$223,3,FALSE)=$AH$16,AC33&amp;" CEJ",IF(VLOOKUP(AC33,'BD LUB'!$A$2:$C$223,3,FALSE)=$AH$15,AC33&amp;" BULT",IF(VLOOKUP(AC33,'BD LUB'!$A$2:$C$223,3,FALSE)=$AH$14,AC33&amp;" COP",IF(VLOOKUP(AC33,'BD LUB'!$A$2:$C$223,3,FALSE)=$AH$13,AC33&amp;" RIO",IF(VLOOKUP(AC33,'BD LUB'!$A$2:$C$223,3,FALSE)=$AH$21,AC33&amp;" APART","Dato no encontrado")))))))))</f>
        <v>2923 BULT</v>
      </c>
      <c r="AE33" s="111"/>
      <c r="AF33" s="111"/>
      <c r="AG33" s="111"/>
      <c r="AH33" s="111"/>
      <c r="AI33" s="111"/>
      <c r="AJ33" s="126">
        <v>30.0</v>
      </c>
      <c r="AK33" s="141">
        <f>IFERROR(__xludf.DUMMYFUNCTION("""COMPUTED_VALUE"""),46275.0)</f>
        <v>46275</v>
      </c>
      <c r="AL33" s="128" t="str">
        <f>IFERROR(__xludf.DUMMYFUNCTION("""COMPUTED_VALUE"""),"02-Medellin")</f>
        <v>02-Medellin</v>
      </c>
      <c r="AM33" s="142">
        <f>IFERROR(__xludf.DUMMYFUNCTION("""COMPUTED_VALUE"""),111.0)</f>
        <v>111</v>
      </c>
      <c r="AN33" s="128"/>
      <c r="AP33" s="126">
        <v>30.0</v>
      </c>
      <c r="AQ33" s="141">
        <f>IFERROR(__xludf.DUMMYFUNCTION("""COMPUTED_VALUE"""),46275.0)</f>
        <v>46275</v>
      </c>
      <c r="AR33" s="128" t="str">
        <f>IFERROR(__xludf.DUMMYFUNCTION("""COMPUTED_VALUE"""),"02-Medellin")</f>
        <v>02-Medellin</v>
      </c>
      <c r="AS33" s="142">
        <f>IFERROR(__xludf.DUMMYFUNCTION("""COMPUTED_VALUE"""),111.0)</f>
        <v>111</v>
      </c>
      <c r="AT33" s="128"/>
      <c r="AV33" s="126">
        <v>30.0</v>
      </c>
      <c r="AW33" s="128"/>
      <c r="AX33" s="128"/>
      <c r="AY33" s="128"/>
      <c r="AZ33" s="128"/>
    </row>
    <row r="34">
      <c r="A34" s="120"/>
      <c r="B34" s="126">
        <v>31.0</v>
      </c>
      <c r="C34" s="155">
        <f>IFERROR(__xludf.DUMMYFUNCTION("""COMPUTED_VALUE"""),464.0)</f>
        <v>464</v>
      </c>
      <c r="D34" s="156">
        <f>IFERROR(__xludf.DUMMYFUNCTION("""COMPUTED_VALUE"""),46464.0)</f>
        <v>46464</v>
      </c>
      <c r="E34" s="78" t="str">
        <f>IFERROR(__xludf.DUMMYFUNCTION("""COMPUTED_VALUE"""),"02-Medellin")</f>
        <v>02-Medellin</v>
      </c>
      <c r="F34" s="156">
        <f>IFERROR(__xludf.DUMMYFUNCTION("""COMPUTED_VALUE"""),46099.0)</f>
        <v>46099</v>
      </c>
      <c r="G34" s="151">
        <f>IFERROR(__xludf.DUMMYFUNCTION("""COMPUTED_VALUE"""),3.0)</f>
        <v>3</v>
      </c>
      <c r="H34" s="134" t="str">
        <f>IFERROR(__xludf.DUMMYFUNCTION("""COMPUTED_VALUE"""),"PRÓXIMO")</f>
        <v>PRÓXIMO</v>
      </c>
      <c r="I34" s="132" t="str">
        <f t="shared" si="1"/>
        <v>NO PEDIDO</v>
      </c>
      <c r="J34" s="120"/>
      <c r="K34" s="126">
        <v>31.0</v>
      </c>
      <c r="L34" s="155">
        <f>IFERROR(__xludf.DUMMYFUNCTION("""COMPUTED_VALUE"""),2460.0)</f>
        <v>2460</v>
      </c>
      <c r="M34" s="156">
        <f>IFERROR(__xludf.DUMMYFUNCTION("""COMPUTED_VALUE"""),46298.0)</f>
        <v>46298</v>
      </c>
      <c r="N34" s="78" t="str">
        <f>IFERROR(__xludf.DUMMYFUNCTION("""COMPUTED_VALUE"""),"BULTOS")</f>
        <v>BULTOS</v>
      </c>
      <c r="O34" s="156">
        <f>IFERROR(__xludf.DUMMYFUNCTION("""COMPUTED_VALUE"""),46056.0)</f>
        <v>46056</v>
      </c>
      <c r="P34" s="151">
        <f>IFERROR(__xludf.DUMMYFUNCTION("""COMPUTED_VALUE"""),-437.60000000000036)</f>
        <v>-437.6</v>
      </c>
      <c r="Q34" s="134" t="str">
        <f>IFERROR(__xludf.DUMMYFUNCTION("""COMPUTED_VALUE"""),"PASADO")</f>
        <v>PASADO</v>
      </c>
      <c r="R34" s="132" t="str">
        <f t="shared" si="2"/>
        <v>PEDIDO</v>
      </c>
      <c r="T34" s="134">
        <f>CALENDARIO!D46</f>
        <v>2894</v>
      </c>
      <c r="U34" s="135">
        <f>CALENDARIO!C46</f>
        <v>3202</v>
      </c>
      <c r="W34" s="78"/>
      <c r="X34" s="136" t="str">
        <f>(VLOOKUP(W34,'BD LUB'!$A$2:$L$223,5,FALSE)/VLOOKUP(W34,'BD LUB'!$A$2:$L$223,7,FALSE))+(VLOOKUP(W34,'BD LUB'!$A$2:$L$223,6,FALSE)/VLOOKUP(W34,'BD LUB'!$A$2:$L$223,8,FALSE))</f>
        <v>#N/A</v>
      </c>
      <c r="Y34" s="137" t="str">
        <f>IF(AND(VLOOKUP(W34,'BD LUB'!$A$2:$L$223,11,FALSE)="PASADO",VLOOKUP(W34,'BD LUB'!$A$2:$L$223,12,FALSE)="PASADO"),1,IF(OR(AND(VLOOKUP(W34,'BD LUB'!$A$2:$L$223,11,FALSE)="PASADO",VLOOKUP(W34,'BD LUB'!$A$2:$L$223,12,FALSE)="PRÓXIMO"),AND(VLOOKUP(W34,'BD LUB'!$A$2:$L$223,11,FALSE)="PRÓXIMO",VLOOKUP(W34,'BD LUB'!$A$2:$L$223,12,FALSE)="PASADO")),2,IF(OR(AND(VLOOKUP(W34,'BD LUB'!$A$2:$L$223,11,FALSE)="PASADO",VLOOKUP(W34,'BD LUB'!$A$2:$L$223,12,FALSE)="VIGENTE"),AND(VLOOKUP(W34,'BD LUB'!$A$2:$L$223,11,FALSE)="VIGENTE",VLOOKUP(W34,'BD LUB'!$A$2:$L$223,12,FALSE)="PASADO")),3,IF(AND(VLOOKUP(W34,'BD LUB'!$A$2:$L$223,11,FALSE)="PRÓXIMO",VLOOKUP(W34,'BD LUB'!$A$2:$L$223,12,FALSE)="PRÓXIMO"),4,IF(OR(AND(VLOOKUP(W34,'BD LUB'!$A$2:$L$223,11,FALSE)="PRÓXIMO",VLOOKUP(W34,'BD LUB'!$A$2:$L$223,12,FALSE)="VIGENTE"),AND(VLOOKUP(W34,'BD LUB'!$A$2:$L$223,11,FALSE)="VIGENTE",VLOOKUP(W34,'BD LUB'!$A$2:$L$223,12,FALSE)="PRÓXIMO")),5,IF(AND(VLOOKUP(W34,'BD LUB'!$A$2:$L$223,11,FALSE)="VIGENTE",VLOOKUP(W34,'BD LUB'!$A$2:$L$223,12,FALSE)="VIGENTE"),6,"No definido"))))))</f>
        <v>#N/A</v>
      </c>
      <c r="Z34" s="138">
        <f>IFERROR(__xludf.DUMMYFUNCTION("""COMPUTED_VALUE"""),2334.0)</f>
        <v>2334</v>
      </c>
      <c r="AA34" s="139">
        <f>(VLOOKUP(Z34,'BD LUB'!$A$2:$L$223,5,FALSE)/VLOOKUP(Z34,'BD LUB'!$A$2:$L$223,7,FALSE))+(VLOOKUP(Z34,'BD LUB'!$A$2:$L$223,6,FALSE)/VLOOKUP(Z34,'BD LUB'!$A$2:$L$223,8,FALSE))</f>
        <v>2.144433333</v>
      </c>
      <c r="AB34" s="78">
        <f>IF(AND(VLOOKUP(Z34,'BD LUB'!$A$2:$L$223,11,FALSE)="PASADO",VLOOKUP(Z34,'BD LUB'!$A$2:$L$223,12,FALSE)="PASADO"),1,IF(OR(AND(VLOOKUP(Z34,'BD LUB'!$A$2:$L$223,11,FALSE)="PASADO",VLOOKUP(Z34,'BD LUB'!$A$2:$L$223,12,FALSE)="PRÓXIMO"),AND(VLOOKUP(Z34,'BD LUB'!$A$2:$L$223,11,FALSE)="PRÓXIMO",VLOOKUP(Z34,'BD LUB'!$A$2:$L$223,12,FALSE)="PASADO")),2,IF(OR(AND(VLOOKUP(Z34,'BD LUB'!$A$2:$L$223,11,FALSE)="PASADO",VLOOKUP(Z34,'BD LUB'!$A$2:$L$223,12,FALSE)="VIGENTE"),AND(VLOOKUP(Z34,'BD LUB'!$A$2:$L$223,11,FALSE)="VIGENTE",VLOOKUP(Z34,'BD LUB'!$A$2:$L$223,12,FALSE)="PASADO")),3,IF(AND(VLOOKUP(Z34,'BD LUB'!$A$2:$L$223,11,FALSE)="PRÓXIMO",VLOOKUP(Z34,'BD LUB'!$A$2:$L$223,12,FALSE)="PRÓXIMO"),4,IF(OR(AND(VLOOKUP(Z34,'BD LUB'!$A$2:$L$223,11,FALSE)="PRÓXIMO",VLOOKUP(Z34,'BD LUB'!$A$2:$L$223,12,FALSE)="VIGENTE"),AND(VLOOKUP(Z34,'BD LUB'!$A$2:$L$223,11,FALSE)="VIGENTE",VLOOKUP(Z34,'BD LUB'!$A$2:$L$223,12,FALSE)="PRÓXIMO")),5,IF(AND(VLOOKUP(Z34,'BD LUB'!$A$2:$L$223,11,FALSE)="VIGENTE",VLOOKUP(Z34,'BD LUB'!$A$2:$L$223,12,FALSE)="VIGENTE"),6,"No definido"))))))</f>
        <v>1</v>
      </c>
      <c r="AC34" s="134">
        <f>IFERROR(__xludf.DUMMYFUNCTION("""COMPUTED_VALUE"""),3197.0)</f>
        <v>3197</v>
      </c>
      <c r="AD34" s="136" t="str">
        <f>IF(VLOOKUP(AC34,'BD LUB'!$A$2:$C$223,3,FALSE)=$AH$20,AC34&amp;" MED",IF(VLOOKUP(AC34,'BD LUB'!$A$2:$C$223,3,FALSE)=$AH$19,AC34&amp;" MAY",IF(VLOOKUP(AC34,'BD LUB'!$A$2:$C$223,3,FALSE)=$AH$18,AC34&amp;" RN",IF(VLOOKUP(AC34,'BD LUB'!$A$2:$C$223,3,FALSE)=$AH$17,AC34&amp;" COPQUI",IF(VLOOKUP(AC34,'BD LUB'!$A$2:$C$223,3,FALSE)=$AH$16,AC34&amp;" CEJ",IF(VLOOKUP(AC34,'BD LUB'!$A$2:$C$223,3,FALSE)=$AH$15,AC34&amp;" BULT",IF(VLOOKUP(AC34,'BD LUB'!$A$2:$C$223,3,FALSE)=$AH$14,AC34&amp;" COP",IF(VLOOKUP(AC34,'BD LUB'!$A$2:$C$223,3,FALSE)=$AH$13,AC34&amp;" RIO",IF(VLOOKUP(AC34,'BD LUB'!$A$2:$C$223,3,FALSE)=$AH$21,AC34&amp;" APART","Dato no encontrado")))))))))</f>
        <v>3197 MED</v>
      </c>
      <c r="AE34" s="111"/>
      <c r="AF34" s="111"/>
      <c r="AG34" s="111"/>
      <c r="AH34" s="111"/>
      <c r="AI34" s="111"/>
      <c r="AJ34" s="126">
        <v>31.0</v>
      </c>
      <c r="AK34" s="141">
        <f>IFERROR(__xludf.DUMMYFUNCTION("""COMPUTED_VALUE"""),46668.0)</f>
        <v>46668</v>
      </c>
      <c r="AL34" s="128" t="str">
        <f>IFERROR(__xludf.DUMMYFUNCTION("""COMPUTED_VALUE"""),"02-Medellin")</f>
        <v>02-Medellin</v>
      </c>
      <c r="AM34" s="142">
        <f>IFERROR(__xludf.DUMMYFUNCTION("""COMPUTED_VALUE"""),110.0)</f>
        <v>110</v>
      </c>
      <c r="AN34" s="128"/>
      <c r="AP34" s="126">
        <v>31.0</v>
      </c>
      <c r="AQ34" s="141">
        <f>IFERROR(__xludf.DUMMYFUNCTION("""COMPUTED_VALUE"""),46668.0)</f>
        <v>46668</v>
      </c>
      <c r="AR34" s="128" t="str">
        <f>IFERROR(__xludf.DUMMYFUNCTION("""COMPUTED_VALUE"""),"02-Medellin")</f>
        <v>02-Medellin</v>
      </c>
      <c r="AS34" s="142">
        <f>IFERROR(__xludf.DUMMYFUNCTION("""COMPUTED_VALUE"""),110.0)</f>
        <v>110</v>
      </c>
      <c r="AT34" s="128"/>
      <c r="AV34" s="126">
        <v>31.0</v>
      </c>
      <c r="AW34" s="128"/>
      <c r="AX34" s="128"/>
      <c r="AY34" s="128"/>
      <c r="AZ34" s="128"/>
    </row>
    <row r="35">
      <c r="A35" s="120"/>
      <c r="B35" s="126">
        <v>32.0</v>
      </c>
      <c r="C35" s="155">
        <f>IFERROR(__xludf.DUMMYFUNCTION("""COMPUTED_VALUE"""),2880.0)</f>
        <v>2880</v>
      </c>
      <c r="D35" s="156">
        <f>IFERROR(__xludf.DUMMYFUNCTION("""COMPUTED_VALUE"""),46226.0)</f>
        <v>46226</v>
      </c>
      <c r="E35" s="78" t="str">
        <f>IFERROR(__xludf.DUMMYFUNCTION("""COMPUTED_VALUE"""),"MAYORCA")</f>
        <v>MAYORCA</v>
      </c>
      <c r="F35" s="156">
        <f>IFERROR(__xludf.DUMMYFUNCTION("""COMPUTED_VALUE"""),46041.0)</f>
        <v>46041</v>
      </c>
      <c r="G35" s="151">
        <f>IFERROR(__xludf.DUMMYFUNCTION("""COMPUTED_VALUE"""),5.0)</f>
        <v>5</v>
      </c>
      <c r="H35" s="134" t="str">
        <f>IFERROR(__xludf.DUMMYFUNCTION("""COMPUTED_VALUE"""),"PRÓXIMO")</f>
        <v>PRÓXIMO</v>
      </c>
      <c r="I35" s="132" t="str">
        <f t="shared" si="1"/>
        <v>HECHO</v>
      </c>
      <c r="J35" s="120"/>
      <c r="K35" s="126">
        <v>32.0</v>
      </c>
      <c r="L35" s="155">
        <f>IFERROR(__xludf.DUMMYFUNCTION("""COMPUTED_VALUE"""),2890.0)</f>
        <v>2890</v>
      </c>
      <c r="M35" s="156">
        <f>IFERROR(__xludf.DUMMYFUNCTION("""COMPUTED_VALUE"""),46233.0)</f>
        <v>46233</v>
      </c>
      <c r="N35" s="78" t="str">
        <f>IFERROR(__xludf.DUMMYFUNCTION("""COMPUTED_VALUE"""),"02-Medellin")</f>
        <v>02-Medellin</v>
      </c>
      <c r="O35" s="156">
        <f>IFERROR(__xludf.DUMMYFUNCTION("""COMPUTED_VALUE"""),46084.0)</f>
        <v>46084</v>
      </c>
      <c r="P35" s="151">
        <f>IFERROR(__xludf.DUMMYFUNCTION("""COMPUTED_VALUE"""),-424.0)</f>
        <v>-424</v>
      </c>
      <c r="Q35" s="134" t="str">
        <f>IFERROR(__xludf.DUMMYFUNCTION("""COMPUTED_VALUE"""),"PASADO")</f>
        <v>PASADO</v>
      </c>
      <c r="R35" s="132" t="str">
        <f t="shared" si="2"/>
        <v>HECHO</v>
      </c>
      <c r="T35" s="134">
        <f>CALENDARIO!D47</f>
        <v>2894</v>
      </c>
      <c r="U35" s="135">
        <f>CALENDARIO!C47</f>
        <v>2842</v>
      </c>
      <c r="W35" s="78"/>
      <c r="X35" s="136" t="str">
        <f>(VLOOKUP(W35,'BD LUB'!$A$2:$L$223,5,FALSE)/VLOOKUP(W35,'BD LUB'!$A$2:$L$223,7,FALSE))+(VLOOKUP(W35,'BD LUB'!$A$2:$L$223,6,FALSE)/VLOOKUP(W35,'BD LUB'!$A$2:$L$223,8,FALSE))</f>
        <v>#N/A</v>
      </c>
      <c r="Y35" s="137" t="str">
        <f>IF(AND(VLOOKUP(W35,'BD LUB'!$A$2:$L$223,11,FALSE)="PASADO",VLOOKUP(W35,'BD LUB'!$A$2:$L$223,12,FALSE)="PASADO"),1,IF(OR(AND(VLOOKUP(W35,'BD LUB'!$A$2:$L$223,11,FALSE)="PASADO",VLOOKUP(W35,'BD LUB'!$A$2:$L$223,12,FALSE)="PRÓXIMO"),AND(VLOOKUP(W35,'BD LUB'!$A$2:$L$223,11,FALSE)="PRÓXIMO",VLOOKUP(W35,'BD LUB'!$A$2:$L$223,12,FALSE)="PASADO")),2,IF(OR(AND(VLOOKUP(W35,'BD LUB'!$A$2:$L$223,11,FALSE)="PASADO",VLOOKUP(W35,'BD LUB'!$A$2:$L$223,12,FALSE)="VIGENTE"),AND(VLOOKUP(W35,'BD LUB'!$A$2:$L$223,11,FALSE)="VIGENTE",VLOOKUP(W35,'BD LUB'!$A$2:$L$223,12,FALSE)="PASADO")),3,IF(AND(VLOOKUP(W35,'BD LUB'!$A$2:$L$223,11,FALSE)="PRÓXIMO",VLOOKUP(W35,'BD LUB'!$A$2:$L$223,12,FALSE)="PRÓXIMO"),4,IF(OR(AND(VLOOKUP(W35,'BD LUB'!$A$2:$L$223,11,FALSE)="PRÓXIMO",VLOOKUP(W35,'BD LUB'!$A$2:$L$223,12,FALSE)="VIGENTE"),AND(VLOOKUP(W35,'BD LUB'!$A$2:$L$223,11,FALSE)="VIGENTE",VLOOKUP(W35,'BD LUB'!$A$2:$L$223,12,FALSE)="PRÓXIMO")),5,IF(AND(VLOOKUP(W35,'BD LUB'!$A$2:$L$223,11,FALSE)="VIGENTE",VLOOKUP(W35,'BD LUB'!$A$2:$L$223,12,FALSE)="VIGENTE"),6,"No definido"))))))</f>
        <v>#N/A</v>
      </c>
      <c r="Z35" s="138">
        <f>IFERROR(__xludf.DUMMYFUNCTION("""COMPUTED_VALUE"""),2923.0)</f>
        <v>2923</v>
      </c>
      <c r="AA35" s="139">
        <f>(VLOOKUP(Z35,'BD LUB'!$A$2:$L$223,5,FALSE)/VLOOKUP(Z35,'BD LUB'!$A$2:$L$223,7,FALSE))+(VLOOKUP(Z35,'BD LUB'!$A$2:$L$223,6,FALSE)/VLOOKUP(Z35,'BD LUB'!$A$2:$L$223,8,FALSE))</f>
        <v>1.6438</v>
      </c>
      <c r="AB35" s="78">
        <f>IF(AND(VLOOKUP(Z35,'BD LUB'!$A$2:$L$223,11,FALSE)="PASADO",VLOOKUP(Z35,'BD LUB'!$A$2:$L$223,12,FALSE)="PASADO"),1,IF(OR(AND(VLOOKUP(Z35,'BD LUB'!$A$2:$L$223,11,FALSE)="PASADO",VLOOKUP(Z35,'BD LUB'!$A$2:$L$223,12,FALSE)="PRÓXIMO"),AND(VLOOKUP(Z35,'BD LUB'!$A$2:$L$223,11,FALSE)="PRÓXIMO",VLOOKUP(Z35,'BD LUB'!$A$2:$L$223,12,FALSE)="PASADO")),2,IF(OR(AND(VLOOKUP(Z35,'BD LUB'!$A$2:$L$223,11,FALSE)="PASADO",VLOOKUP(Z35,'BD LUB'!$A$2:$L$223,12,FALSE)="VIGENTE"),AND(VLOOKUP(Z35,'BD LUB'!$A$2:$L$223,11,FALSE)="VIGENTE",VLOOKUP(Z35,'BD LUB'!$A$2:$L$223,12,FALSE)="PASADO")),3,IF(AND(VLOOKUP(Z35,'BD LUB'!$A$2:$L$223,11,FALSE)="PRÓXIMO",VLOOKUP(Z35,'BD LUB'!$A$2:$L$223,12,FALSE)="PRÓXIMO"),4,IF(OR(AND(VLOOKUP(Z35,'BD LUB'!$A$2:$L$223,11,FALSE)="PRÓXIMO",VLOOKUP(Z35,'BD LUB'!$A$2:$L$223,12,FALSE)="VIGENTE"),AND(VLOOKUP(Z35,'BD LUB'!$A$2:$L$223,11,FALSE)="VIGENTE",VLOOKUP(Z35,'BD LUB'!$A$2:$L$223,12,FALSE)="PRÓXIMO")),5,IF(AND(VLOOKUP(Z35,'BD LUB'!$A$2:$L$223,11,FALSE)="VIGENTE",VLOOKUP(Z35,'BD LUB'!$A$2:$L$223,12,FALSE)="VIGENTE"),6,"No definido"))))))</f>
        <v>3</v>
      </c>
      <c r="AC35" s="134">
        <f>IFERROR(__xludf.DUMMYFUNCTION("""COMPUTED_VALUE"""),487.0)</f>
        <v>487</v>
      </c>
      <c r="AD35" s="136" t="str">
        <f>IF(VLOOKUP(AC35,'BD LUB'!$A$2:$C$223,3,FALSE)=$AH$20,AC35&amp;" MED",IF(VLOOKUP(AC35,'BD LUB'!$A$2:$C$223,3,FALSE)=$AH$19,AC35&amp;" MAY",IF(VLOOKUP(AC35,'BD LUB'!$A$2:$C$223,3,FALSE)=$AH$18,AC35&amp;" RN",IF(VLOOKUP(AC35,'BD LUB'!$A$2:$C$223,3,FALSE)=$AH$17,AC35&amp;" COPQUI",IF(VLOOKUP(AC35,'BD LUB'!$A$2:$C$223,3,FALSE)=$AH$16,AC35&amp;" CEJ",IF(VLOOKUP(AC35,'BD LUB'!$A$2:$C$223,3,FALSE)=$AH$15,AC35&amp;" BULT",IF(VLOOKUP(AC35,'BD LUB'!$A$2:$C$223,3,FALSE)=$AH$14,AC35&amp;" COP",IF(VLOOKUP(AC35,'BD LUB'!$A$2:$C$223,3,FALSE)=$AH$13,AC35&amp;" RIO",IF(VLOOKUP(AC35,'BD LUB'!$A$2:$C$223,3,FALSE)=$AH$21,AC35&amp;" APART","Dato no encontrado")))))))))</f>
        <v>487 MED</v>
      </c>
      <c r="AE35" s="111"/>
      <c r="AF35" s="111"/>
      <c r="AG35" s="111"/>
      <c r="AH35" s="111"/>
      <c r="AI35" s="111"/>
      <c r="AJ35" s="126">
        <v>32.0</v>
      </c>
      <c r="AK35" s="141">
        <f>IFERROR(__xludf.DUMMYFUNCTION("""COMPUTED_VALUE"""),46317.0)</f>
        <v>46317</v>
      </c>
      <c r="AL35" s="128" t="str">
        <f>IFERROR(__xludf.DUMMYFUNCTION("""COMPUTED_VALUE"""),"31-Copacabana")</f>
        <v>31-Copacabana</v>
      </c>
      <c r="AM35" s="142">
        <f>IFERROR(__xludf.DUMMYFUNCTION("""COMPUTED_VALUE"""),108.0)</f>
        <v>108</v>
      </c>
      <c r="AN35" s="128"/>
      <c r="AP35" s="126">
        <v>32.0</v>
      </c>
      <c r="AQ35" s="141">
        <f>IFERROR(__xludf.DUMMYFUNCTION("""COMPUTED_VALUE"""),46317.0)</f>
        <v>46317</v>
      </c>
      <c r="AR35" s="128" t="str">
        <f>IFERROR(__xludf.DUMMYFUNCTION("""COMPUTED_VALUE"""),"31-Copacabana")</f>
        <v>31-Copacabana</v>
      </c>
      <c r="AS35" s="142">
        <f>IFERROR(__xludf.DUMMYFUNCTION("""COMPUTED_VALUE"""),108.0)</f>
        <v>108</v>
      </c>
      <c r="AT35" s="128"/>
      <c r="AV35" s="126">
        <v>32.0</v>
      </c>
      <c r="AW35" s="128"/>
      <c r="AX35" s="128"/>
      <c r="AY35" s="128"/>
      <c r="AZ35" s="128"/>
    </row>
    <row r="36">
      <c r="A36" s="120"/>
      <c r="B36" s="126">
        <v>33.0</v>
      </c>
      <c r="C36" s="78">
        <f>IFERROR(__xludf.DUMMYFUNCTION("""COMPUTED_VALUE"""),3246.0)</f>
        <v>3246</v>
      </c>
      <c r="D36" s="156">
        <f>IFERROR(__xludf.DUMMYFUNCTION("""COMPUTED_VALUE"""),46661.0)</f>
        <v>46661</v>
      </c>
      <c r="E36" s="78" t="str">
        <f>IFERROR(__xludf.DUMMYFUNCTION("""COMPUTED_VALUE"""),"02-Medellin")</f>
        <v>02-Medellin</v>
      </c>
      <c r="F36" s="156">
        <f>IFERROR(__xludf.DUMMYFUNCTION("""COMPUTED_VALUE"""),46042.0)</f>
        <v>46042</v>
      </c>
      <c r="G36" s="151">
        <f>IFERROR(__xludf.DUMMYFUNCTION("""COMPUTED_VALUE"""),6.0)</f>
        <v>6</v>
      </c>
      <c r="H36" s="134" t="str">
        <f>IFERROR(__xludf.DUMMYFUNCTION("""COMPUTED_VALUE"""),"PRÓXIMO")</f>
        <v>PRÓXIMO</v>
      </c>
      <c r="I36" s="132" t="str">
        <f t="shared" si="1"/>
        <v>HECHO</v>
      </c>
      <c r="J36" s="120"/>
      <c r="K36" s="126">
        <v>33.0</v>
      </c>
      <c r="L36" s="78">
        <f>IFERROR(__xludf.DUMMYFUNCTION("""COMPUTED_VALUE"""),2484.0)</f>
        <v>2484</v>
      </c>
      <c r="M36" s="156">
        <f>IFERROR(__xludf.DUMMYFUNCTION("""COMPUTED_VALUE"""),46309.0)</f>
        <v>46309</v>
      </c>
      <c r="N36" s="78" t="str">
        <f>IFERROR(__xludf.DUMMYFUNCTION("""COMPUTED_VALUE"""),"MAYORCA")</f>
        <v>MAYORCA</v>
      </c>
      <c r="O36" s="156">
        <f>IFERROR(__xludf.DUMMYFUNCTION("""COMPUTED_VALUE"""),46042.0)</f>
        <v>46042</v>
      </c>
      <c r="P36" s="151">
        <f>IFERROR(__xludf.DUMMYFUNCTION("""COMPUTED_VALUE"""),-423.6999999999998)</f>
        <v>-423.7</v>
      </c>
      <c r="Q36" s="134" t="str">
        <f>IFERROR(__xludf.DUMMYFUNCTION("""COMPUTED_VALUE"""),"PASADO")</f>
        <v>PASADO</v>
      </c>
      <c r="R36" s="132" t="str">
        <f t="shared" si="2"/>
        <v>PEDIDO</v>
      </c>
      <c r="T36" s="134">
        <f>CALENDARIO!D48</f>
        <v>2911</v>
      </c>
      <c r="U36" s="135">
        <f>CALENDARIO!C48</f>
        <v>2845</v>
      </c>
      <c r="W36" s="78"/>
      <c r="X36" s="136" t="str">
        <f>(VLOOKUP(W36,'BD LUB'!$A$2:$L$223,5,FALSE)/VLOOKUP(W36,'BD LUB'!$A$2:$L$223,7,FALSE))+(VLOOKUP(W36,'BD LUB'!$A$2:$L$223,6,FALSE)/VLOOKUP(W36,'BD LUB'!$A$2:$L$223,8,FALSE))</f>
        <v>#N/A</v>
      </c>
      <c r="Y36" s="137" t="str">
        <f>IF(AND(VLOOKUP(W36,'BD LUB'!$A$2:$L$223,11,FALSE)="PASADO",VLOOKUP(W36,'BD LUB'!$A$2:$L$223,12,FALSE)="PASADO"),1,IF(OR(AND(VLOOKUP(W36,'BD LUB'!$A$2:$L$223,11,FALSE)="PASADO",VLOOKUP(W36,'BD LUB'!$A$2:$L$223,12,FALSE)="PRÓXIMO"),AND(VLOOKUP(W36,'BD LUB'!$A$2:$L$223,11,FALSE)="PRÓXIMO",VLOOKUP(W36,'BD LUB'!$A$2:$L$223,12,FALSE)="PASADO")),2,IF(OR(AND(VLOOKUP(W36,'BD LUB'!$A$2:$L$223,11,FALSE)="PASADO",VLOOKUP(W36,'BD LUB'!$A$2:$L$223,12,FALSE)="VIGENTE"),AND(VLOOKUP(W36,'BD LUB'!$A$2:$L$223,11,FALSE)="VIGENTE",VLOOKUP(W36,'BD LUB'!$A$2:$L$223,12,FALSE)="PASADO")),3,IF(AND(VLOOKUP(W36,'BD LUB'!$A$2:$L$223,11,FALSE)="PRÓXIMO",VLOOKUP(W36,'BD LUB'!$A$2:$L$223,12,FALSE)="PRÓXIMO"),4,IF(OR(AND(VLOOKUP(W36,'BD LUB'!$A$2:$L$223,11,FALSE)="PRÓXIMO",VLOOKUP(W36,'BD LUB'!$A$2:$L$223,12,FALSE)="VIGENTE"),AND(VLOOKUP(W36,'BD LUB'!$A$2:$L$223,11,FALSE)="VIGENTE",VLOOKUP(W36,'BD LUB'!$A$2:$L$223,12,FALSE)="PRÓXIMO")),5,IF(AND(VLOOKUP(W36,'BD LUB'!$A$2:$L$223,11,FALSE)="VIGENTE",VLOOKUP(W36,'BD LUB'!$A$2:$L$223,12,FALSE)="VIGENTE"),6,"No definido"))))))</f>
        <v>#N/A</v>
      </c>
      <c r="Z36" s="138">
        <f>IFERROR(__xludf.DUMMYFUNCTION("""COMPUTED_VALUE"""),3198.0)</f>
        <v>3198</v>
      </c>
      <c r="AA36" s="139">
        <f>(VLOOKUP(Z36,'BD LUB'!$A$2:$L$223,5,FALSE)/VLOOKUP(Z36,'BD LUB'!$A$2:$L$223,7,FALSE))+(VLOOKUP(Z36,'BD LUB'!$A$2:$L$223,6,FALSE)/VLOOKUP(Z36,'BD LUB'!$A$2:$L$223,8,FALSE))</f>
        <v>2.047955556</v>
      </c>
      <c r="AB36" s="78">
        <f>IF(AND(VLOOKUP(Z36,'BD LUB'!$A$2:$L$223,11,FALSE)="PASADO",VLOOKUP(Z36,'BD LUB'!$A$2:$L$223,12,FALSE)="PASADO"),1,IF(OR(AND(VLOOKUP(Z36,'BD LUB'!$A$2:$L$223,11,FALSE)="PASADO",VLOOKUP(Z36,'BD LUB'!$A$2:$L$223,12,FALSE)="PRÓXIMO"),AND(VLOOKUP(Z36,'BD LUB'!$A$2:$L$223,11,FALSE)="PRÓXIMO",VLOOKUP(Z36,'BD LUB'!$A$2:$L$223,12,FALSE)="PASADO")),2,IF(OR(AND(VLOOKUP(Z36,'BD LUB'!$A$2:$L$223,11,FALSE)="PASADO",VLOOKUP(Z36,'BD LUB'!$A$2:$L$223,12,FALSE)="VIGENTE"),AND(VLOOKUP(Z36,'BD LUB'!$A$2:$L$223,11,FALSE)="VIGENTE",VLOOKUP(Z36,'BD LUB'!$A$2:$L$223,12,FALSE)="PASADO")),3,IF(AND(VLOOKUP(Z36,'BD LUB'!$A$2:$L$223,11,FALSE)="PRÓXIMO",VLOOKUP(Z36,'BD LUB'!$A$2:$L$223,12,FALSE)="PRÓXIMO"),4,IF(OR(AND(VLOOKUP(Z36,'BD LUB'!$A$2:$L$223,11,FALSE)="PRÓXIMO",VLOOKUP(Z36,'BD LUB'!$A$2:$L$223,12,FALSE)="VIGENTE"),AND(VLOOKUP(Z36,'BD LUB'!$A$2:$L$223,11,FALSE)="VIGENTE",VLOOKUP(Z36,'BD LUB'!$A$2:$L$223,12,FALSE)="PRÓXIMO")),5,IF(AND(VLOOKUP(Z36,'BD LUB'!$A$2:$L$223,11,FALSE)="VIGENTE",VLOOKUP(Z36,'BD LUB'!$A$2:$L$223,12,FALSE)="VIGENTE"),6,"No definido"))))))</f>
        <v>3</v>
      </c>
      <c r="AC36" s="134">
        <f>IFERROR(__xludf.DUMMYFUNCTION("""COMPUTED_VALUE"""),2920.0)</f>
        <v>2920</v>
      </c>
      <c r="AD36" s="136" t="str">
        <f>IF(VLOOKUP(AC36,'BD LUB'!$A$2:$C$223,3,FALSE)=$AH$20,AC36&amp;" MED",IF(VLOOKUP(AC36,'BD LUB'!$A$2:$C$223,3,FALSE)=$AH$19,AC36&amp;" MAY",IF(VLOOKUP(AC36,'BD LUB'!$A$2:$C$223,3,FALSE)=$AH$18,AC36&amp;" RN",IF(VLOOKUP(AC36,'BD LUB'!$A$2:$C$223,3,FALSE)=$AH$17,AC36&amp;" COPQUI",IF(VLOOKUP(AC36,'BD LUB'!$A$2:$C$223,3,FALSE)=$AH$16,AC36&amp;" CEJ",IF(VLOOKUP(AC36,'BD LUB'!$A$2:$C$223,3,FALSE)=$AH$15,AC36&amp;" BULT",IF(VLOOKUP(AC36,'BD LUB'!$A$2:$C$223,3,FALSE)=$AH$14,AC36&amp;" COP",IF(VLOOKUP(AC36,'BD LUB'!$A$2:$C$223,3,FALSE)=$AH$13,AC36&amp;" RIO",IF(VLOOKUP(AC36,'BD LUB'!$A$2:$C$223,3,FALSE)=$AH$21,AC36&amp;" APART","Dato no encontrado")))))))))</f>
        <v>2920 COP</v>
      </c>
      <c r="AE36" s="111"/>
      <c r="AF36" s="111"/>
      <c r="AG36" s="111"/>
      <c r="AH36" s="111"/>
      <c r="AI36" s="111"/>
      <c r="AJ36" s="126">
        <v>33.0</v>
      </c>
      <c r="AK36" s="141">
        <f>IFERROR(__xludf.DUMMYFUNCTION("""COMPUTED_VALUE"""),46654.0)</f>
        <v>46654</v>
      </c>
      <c r="AL36" s="128" t="str">
        <f>IFERROR(__xludf.DUMMYFUNCTION("""COMPUTED_VALUE"""),"02-Medellin")</f>
        <v>02-Medellin</v>
      </c>
      <c r="AM36" s="142">
        <f>IFERROR(__xludf.DUMMYFUNCTION("""COMPUTED_VALUE"""),104.0)</f>
        <v>104</v>
      </c>
      <c r="AN36" s="128"/>
      <c r="AP36" s="126">
        <v>33.0</v>
      </c>
      <c r="AQ36" s="141">
        <f>IFERROR(__xludf.DUMMYFUNCTION("""COMPUTED_VALUE"""),46654.0)</f>
        <v>46654</v>
      </c>
      <c r="AR36" s="128" t="str">
        <f>IFERROR(__xludf.DUMMYFUNCTION("""COMPUTED_VALUE"""),"02-Medellin")</f>
        <v>02-Medellin</v>
      </c>
      <c r="AS36" s="142">
        <f>IFERROR(__xludf.DUMMYFUNCTION("""COMPUTED_VALUE"""),104.0)</f>
        <v>104</v>
      </c>
      <c r="AT36" s="128"/>
      <c r="AV36" s="126">
        <v>33.0</v>
      </c>
      <c r="AW36" s="128"/>
      <c r="AX36" s="128"/>
      <c r="AY36" s="128"/>
      <c r="AZ36" s="128"/>
    </row>
    <row r="37">
      <c r="A37" s="120"/>
      <c r="B37" s="126">
        <v>34.0</v>
      </c>
      <c r="C37" s="78">
        <f>IFERROR(__xludf.DUMMYFUNCTION("""COMPUTED_VALUE"""),2903.0)</f>
        <v>2903</v>
      </c>
      <c r="D37" s="156">
        <f>IFERROR(__xludf.DUMMYFUNCTION("""COMPUTED_VALUE"""),46275.0)</f>
        <v>46275</v>
      </c>
      <c r="E37" s="78" t="str">
        <f>IFERROR(__xludf.DUMMYFUNCTION("""COMPUTED_VALUE"""),"02-Medellin")</f>
        <v>02-Medellin</v>
      </c>
      <c r="F37" s="156">
        <f>IFERROR(__xludf.DUMMYFUNCTION("""COMPUTED_VALUE"""),46042.0)</f>
        <v>46042</v>
      </c>
      <c r="G37" s="151">
        <f>IFERROR(__xludf.DUMMYFUNCTION("""COMPUTED_VALUE"""),6.0)</f>
        <v>6</v>
      </c>
      <c r="H37" s="134" t="str">
        <f>IFERROR(__xludf.DUMMYFUNCTION("""COMPUTED_VALUE"""),"PRÓXIMO")</f>
        <v>PRÓXIMO</v>
      </c>
      <c r="I37" s="132" t="str">
        <f t="shared" si="1"/>
        <v>HECHO</v>
      </c>
      <c r="J37" s="120"/>
      <c r="K37" s="126">
        <v>34.0</v>
      </c>
      <c r="L37" s="78">
        <f>IFERROR(__xludf.DUMMYFUNCTION("""COMPUTED_VALUE"""),2897.0)</f>
        <v>2897</v>
      </c>
      <c r="M37" s="156">
        <f>IFERROR(__xludf.DUMMYFUNCTION("""COMPUTED_VALUE"""),46242.0)</f>
        <v>46242</v>
      </c>
      <c r="N37" s="78" t="str">
        <f>IFERROR(__xludf.DUMMYFUNCTION("""COMPUTED_VALUE"""),"31-Copacabana QUIMICOS")</f>
        <v>31-Copacabana QUIMICOS</v>
      </c>
      <c r="O37" s="156">
        <f>IFERROR(__xludf.DUMMYFUNCTION("""COMPUTED_VALUE"""),46132.0)</f>
        <v>46132</v>
      </c>
      <c r="P37" s="151">
        <f>IFERROR(__xludf.DUMMYFUNCTION("""COMPUTED_VALUE"""),-423.0)</f>
        <v>-423</v>
      </c>
      <c r="Q37" s="134" t="str">
        <f>IFERROR(__xludf.DUMMYFUNCTION("""COMPUTED_VALUE"""),"PASADO")</f>
        <v>PASADO</v>
      </c>
      <c r="R37" s="132" t="str">
        <f t="shared" si="2"/>
        <v>HECHO</v>
      </c>
      <c r="T37" s="134">
        <f>CALENDARIO!D49</f>
        <v>2052</v>
      </c>
      <c r="U37" s="135">
        <f>CALENDARIO!C49</f>
        <v>2198</v>
      </c>
      <c r="W37" s="78"/>
      <c r="X37" s="136" t="str">
        <f>(VLOOKUP(W37,'BD LUB'!$A$2:$L$223,5,FALSE)/VLOOKUP(W37,'BD LUB'!$A$2:$L$223,7,FALSE))+(VLOOKUP(W37,'BD LUB'!$A$2:$L$223,6,FALSE)/VLOOKUP(W37,'BD LUB'!$A$2:$L$223,8,FALSE))</f>
        <v>#N/A</v>
      </c>
      <c r="Y37" s="137" t="str">
        <f>IF(AND(VLOOKUP(W37,'BD LUB'!$A$2:$L$223,11,FALSE)="PASADO",VLOOKUP(W37,'BD LUB'!$A$2:$L$223,12,FALSE)="PASADO"),1,IF(OR(AND(VLOOKUP(W37,'BD LUB'!$A$2:$L$223,11,FALSE)="PASADO",VLOOKUP(W37,'BD LUB'!$A$2:$L$223,12,FALSE)="PRÓXIMO"),AND(VLOOKUP(W37,'BD LUB'!$A$2:$L$223,11,FALSE)="PRÓXIMO",VLOOKUP(W37,'BD LUB'!$A$2:$L$223,12,FALSE)="PASADO")),2,IF(OR(AND(VLOOKUP(W37,'BD LUB'!$A$2:$L$223,11,FALSE)="PASADO",VLOOKUP(W37,'BD LUB'!$A$2:$L$223,12,FALSE)="VIGENTE"),AND(VLOOKUP(W37,'BD LUB'!$A$2:$L$223,11,FALSE)="VIGENTE",VLOOKUP(W37,'BD LUB'!$A$2:$L$223,12,FALSE)="PASADO")),3,IF(AND(VLOOKUP(W37,'BD LUB'!$A$2:$L$223,11,FALSE)="PRÓXIMO",VLOOKUP(W37,'BD LUB'!$A$2:$L$223,12,FALSE)="PRÓXIMO"),4,IF(OR(AND(VLOOKUP(W37,'BD LUB'!$A$2:$L$223,11,FALSE)="PRÓXIMO",VLOOKUP(W37,'BD LUB'!$A$2:$L$223,12,FALSE)="VIGENTE"),AND(VLOOKUP(W37,'BD LUB'!$A$2:$L$223,11,FALSE)="VIGENTE",VLOOKUP(W37,'BD LUB'!$A$2:$L$223,12,FALSE)="PRÓXIMO")),5,IF(AND(VLOOKUP(W37,'BD LUB'!$A$2:$L$223,11,FALSE)="VIGENTE",VLOOKUP(W37,'BD LUB'!$A$2:$L$223,12,FALSE)="VIGENTE"),6,"No definido"))))))</f>
        <v>#N/A</v>
      </c>
      <c r="Z37" s="138">
        <f>IFERROR(__xludf.DUMMYFUNCTION("""COMPUTED_VALUE"""),2909.0)</f>
        <v>2909</v>
      </c>
      <c r="AA37" s="139">
        <f>(VLOOKUP(Z37,'BD LUB'!$A$2:$L$223,5,FALSE)/VLOOKUP(Z37,'BD LUB'!$A$2:$L$223,7,FALSE))+(VLOOKUP(Z37,'BD LUB'!$A$2:$L$223,6,FALSE)/VLOOKUP(Z37,'BD LUB'!$A$2:$L$223,8,FALSE))</f>
        <v>1.791466667</v>
      </c>
      <c r="AB37" s="78">
        <f>IF(AND(VLOOKUP(Z37,'BD LUB'!$A$2:$L$223,11,FALSE)="PASADO",VLOOKUP(Z37,'BD LUB'!$A$2:$L$223,12,FALSE)="PASADO"),1,IF(OR(AND(VLOOKUP(Z37,'BD LUB'!$A$2:$L$223,11,FALSE)="PASADO",VLOOKUP(Z37,'BD LUB'!$A$2:$L$223,12,FALSE)="PRÓXIMO"),AND(VLOOKUP(Z37,'BD LUB'!$A$2:$L$223,11,FALSE)="PRÓXIMO",VLOOKUP(Z37,'BD LUB'!$A$2:$L$223,12,FALSE)="PASADO")),2,IF(OR(AND(VLOOKUP(Z37,'BD LUB'!$A$2:$L$223,11,FALSE)="PASADO",VLOOKUP(Z37,'BD LUB'!$A$2:$L$223,12,FALSE)="VIGENTE"),AND(VLOOKUP(Z37,'BD LUB'!$A$2:$L$223,11,FALSE)="VIGENTE",VLOOKUP(Z37,'BD LUB'!$A$2:$L$223,12,FALSE)="PASADO")),3,IF(AND(VLOOKUP(Z37,'BD LUB'!$A$2:$L$223,11,FALSE)="PRÓXIMO",VLOOKUP(Z37,'BD LUB'!$A$2:$L$223,12,FALSE)="PRÓXIMO"),4,IF(OR(AND(VLOOKUP(Z37,'BD LUB'!$A$2:$L$223,11,FALSE)="PRÓXIMO",VLOOKUP(Z37,'BD LUB'!$A$2:$L$223,12,FALSE)="VIGENTE"),AND(VLOOKUP(Z37,'BD LUB'!$A$2:$L$223,11,FALSE)="VIGENTE",VLOOKUP(Z37,'BD LUB'!$A$2:$L$223,12,FALSE)="PRÓXIMO")),5,IF(AND(VLOOKUP(Z37,'BD LUB'!$A$2:$L$223,11,FALSE)="VIGENTE",VLOOKUP(Z37,'BD LUB'!$A$2:$L$223,12,FALSE)="VIGENTE"),6,"No definido"))))))</f>
        <v>3</v>
      </c>
      <c r="AC37" s="134">
        <f>IFERROR(__xludf.DUMMYFUNCTION("""COMPUTED_VALUE"""),2643.0)</f>
        <v>2643</v>
      </c>
      <c r="AD37" s="136" t="str">
        <f>IF(VLOOKUP(AC37,'BD LUB'!$A$2:$C$223,3,FALSE)=$AH$20,AC37&amp;" MED",IF(VLOOKUP(AC37,'BD LUB'!$A$2:$C$223,3,FALSE)=$AH$19,AC37&amp;" MAY",IF(VLOOKUP(AC37,'BD LUB'!$A$2:$C$223,3,FALSE)=$AH$18,AC37&amp;" RN",IF(VLOOKUP(AC37,'BD LUB'!$A$2:$C$223,3,FALSE)=$AH$17,AC37&amp;" COPQUI",IF(VLOOKUP(AC37,'BD LUB'!$A$2:$C$223,3,FALSE)=$AH$16,AC37&amp;" CEJ",IF(VLOOKUP(AC37,'BD LUB'!$A$2:$C$223,3,FALSE)=$AH$15,AC37&amp;" BULT",IF(VLOOKUP(AC37,'BD LUB'!$A$2:$C$223,3,FALSE)=$AH$14,AC37&amp;" COP",IF(VLOOKUP(AC37,'BD LUB'!$A$2:$C$223,3,FALSE)=$AH$13,AC37&amp;" RIO",IF(VLOOKUP(AC37,'BD LUB'!$A$2:$C$223,3,FALSE)=$AH$21,AC37&amp;" APART","Dato no encontrado")))))))))</f>
        <v>2643 APART</v>
      </c>
      <c r="AE37" s="111"/>
      <c r="AF37" s="111"/>
      <c r="AG37" s="111"/>
      <c r="AH37" s="111"/>
      <c r="AI37" s="111"/>
      <c r="AJ37" s="126">
        <v>34.0</v>
      </c>
      <c r="AK37" s="141">
        <f>IFERROR(__xludf.DUMMYFUNCTION("""COMPUTED_VALUE"""),46654.0)</f>
        <v>46654</v>
      </c>
      <c r="AL37" s="128" t="str">
        <f>IFERROR(__xludf.DUMMYFUNCTION("""COMPUTED_VALUE"""),"02-Medellin")</f>
        <v>02-Medellin</v>
      </c>
      <c r="AM37" s="142">
        <f>IFERROR(__xludf.DUMMYFUNCTION("""COMPUTED_VALUE"""),104.0)</f>
        <v>104</v>
      </c>
      <c r="AN37" s="128"/>
      <c r="AP37" s="126">
        <v>34.0</v>
      </c>
      <c r="AQ37" s="141">
        <f>IFERROR(__xludf.DUMMYFUNCTION("""COMPUTED_VALUE"""),46654.0)</f>
        <v>46654</v>
      </c>
      <c r="AR37" s="128" t="str">
        <f>IFERROR(__xludf.DUMMYFUNCTION("""COMPUTED_VALUE"""),"02-Medellin")</f>
        <v>02-Medellin</v>
      </c>
      <c r="AS37" s="142">
        <f>IFERROR(__xludf.DUMMYFUNCTION("""COMPUTED_VALUE"""),104.0)</f>
        <v>104</v>
      </c>
      <c r="AT37" s="128"/>
      <c r="AV37" s="126">
        <v>34.0</v>
      </c>
      <c r="AW37" s="128"/>
      <c r="AX37" s="128"/>
      <c r="AY37" s="128"/>
      <c r="AZ37" s="128"/>
    </row>
    <row r="38">
      <c r="A38" s="120"/>
      <c r="B38" s="126">
        <v>35.0</v>
      </c>
      <c r="C38" s="78">
        <f>IFERROR(__xludf.DUMMYFUNCTION("""COMPUTED_VALUE"""),2845.0)</f>
        <v>2845</v>
      </c>
      <c r="D38" s="156">
        <f>IFERROR(__xludf.DUMMYFUNCTION("""COMPUTED_VALUE"""),46561.0)</f>
        <v>46561</v>
      </c>
      <c r="E38" s="78" t="str">
        <f>IFERROR(__xludf.DUMMYFUNCTION("""COMPUTED_VALUE"""),"02-Medellin")</f>
        <v>02-Medellin</v>
      </c>
      <c r="F38" s="156">
        <f>IFERROR(__xludf.DUMMYFUNCTION("""COMPUTED_VALUE"""),46042.0)</f>
        <v>46042</v>
      </c>
      <c r="G38" s="151">
        <f>IFERROR(__xludf.DUMMYFUNCTION("""COMPUTED_VALUE"""),6.0)</f>
        <v>6</v>
      </c>
      <c r="H38" s="134" t="str">
        <f>IFERROR(__xludf.DUMMYFUNCTION("""COMPUTED_VALUE"""),"PRÓXIMO")</f>
        <v>PRÓXIMO</v>
      </c>
      <c r="I38" s="132" t="str">
        <f t="shared" si="1"/>
        <v>HECHO</v>
      </c>
      <c r="J38" s="120"/>
      <c r="K38" s="126">
        <v>35.0</v>
      </c>
      <c r="L38" s="78">
        <f>IFERROR(__xludf.DUMMYFUNCTION("""COMPUTED_VALUE"""),3281.0)</f>
        <v>3281</v>
      </c>
      <c r="M38" s="156">
        <f>IFERROR(__xludf.DUMMYFUNCTION("""COMPUTED_VALUE"""),46668.0)</f>
        <v>46668</v>
      </c>
      <c r="N38" s="78" t="str">
        <f>IFERROR(__xludf.DUMMYFUNCTION("""COMPUTED_VALUE"""),"02-Medellin")</f>
        <v>02-Medellin</v>
      </c>
      <c r="O38" s="156">
        <f>IFERROR(__xludf.DUMMYFUNCTION("""COMPUTED_VALUE"""),46078.0)</f>
        <v>46078</v>
      </c>
      <c r="P38" s="151">
        <f>IFERROR(__xludf.DUMMYFUNCTION("""COMPUTED_VALUE"""),-415.0)</f>
        <v>-415</v>
      </c>
      <c r="Q38" s="134" t="str">
        <f>IFERROR(__xludf.DUMMYFUNCTION("""COMPUTED_VALUE"""),"PASADO")</f>
        <v>PASADO</v>
      </c>
      <c r="R38" s="132" t="str">
        <f t="shared" si="2"/>
        <v>HECHO</v>
      </c>
      <c r="T38" s="134">
        <f>CALENDARIO!D50</f>
        <v>2877</v>
      </c>
      <c r="U38" s="135">
        <f>CALENDARIO!C50</f>
        <v>2450</v>
      </c>
      <c r="W38" s="78"/>
      <c r="X38" s="136" t="str">
        <f>(VLOOKUP(W38,'BD LUB'!$A$2:$L$223,5,FALSE)/VLOOKUP(W38,'BD LUB'!$A$2:$L$223,7,FALSE))+(VLOOKUP(W38,'BD LUB'!$A$2:$L$223,6,FALSE)/VLOOKUP(W38,'BD LUB'!$A$2:$L$223,8,FALSE))</f>
        <v>#N/A</v>
      </c>
      <c r="Y38" s="137" t="str">
        <f>IF(AND(VLOOKUP(W38,'BD LUB'!$A$2:$L$223,11,FALSE)="PASADO",VLOOKUP(W38,'BD LUB'!$A$2:$L$223,12,FALSE)="PASADO"),1,IF(OR(AND(VLOOKUP(W38,'BD LUB'!$A$2:$L$223,11,FALSE)="PASADO",VLOOKUP(W38,'BD LUB'!$A$2:$L$223,12,FALSE)="PRÓXIMO"),AND(VLOOKUP(W38,'BD LUB'!$A$2:$L$223,11,FALSE)="PRÓXIMO",VLOOKUP(W38,'BD LUB'!$A$2:$L$223,12,FALSE)="PASADO")),2,IF(OR(AND(VLOOKUP(W38,'BD LUB'!$A$2:$L$223,11,FALSE)="PASADO",VLOOKUP(W38,'BD LUB'!$A$2:$L$223,12,FALSE)="VIGENTE"),AND(VLOOKUP(W38,'BD LUB'!$A$2:$L$223,11,FALSE)="VIGENTE",VLOOKUP(W38,'BD LUB'!$A$2:$L$223,12,FALSE)="PASADO")),3,IF(AND(VLOOKUP(W38,'BD LUB'!$A$2:$L$223,11,FALSE)="PRÓXIMO",VLOOKUP(W38,'BD LUB'!$A$2:$L$223,12,FALSE)="PRÓXIMO"),4,IF(OR(AND(VLOOKUP(W38,'BD LUB'!$A$2:$L$223,11,FALSE)="PRÓXIMO",VLOOKUP(W38,'BD LUB'!$A$2:$L$223,12,FALSE)="VIGENTE"),AND(VLOOKUP(W38,'BD LUB'!$A$2:$L$223,11,FALSE)="VIGENTE",VLOOKUP(W38,'BD LUB'!$A$2:$L$223,12,FALSE)="PRÓXIMO")),5,IF(AND(VLOOKUP(W38,'BD LUB'!$A$2:$L$223,11,FALSE)="VIGENTE",VLOOKUP(W38,'BD LUB'!$A$2:$L$223,12,FALSE)="VIGENTE"),6,"No definido"))))))</f>
        <v>#N/A</v>
      </c>
      <c r="Z38" s="138">
        <f>IFERROR(__xludf.DUMMYFUNCTION("""COMPUTED_VALUE"""),2671.0)</f>
        <v>2671</v>
      </c>
      <c r="AA38" s="139">
        <f>(VLOOKUP(Z38,'BD LUB'!$A$2:$L$223,5,FALSE)/VLOOKUP(Z38,'BD LUB'!$A$2:$L$223,7,FALSE))+(VLOOKUP(Z38,'BD LUB'!$A$2:$L$223,6,FALSE)/VLOOKUP(Z38,'BD LUB'!$A$2:$L$223,8,FALSE))</f>
        <v>2.224967778</v>
      </c>
      <c r="AB38" s="78">
        <f>IF(AND(VLOOKUP(Z38,'BD LUB'!$A$2:$L$223,11,FALSE)="PASADO",VLOOKUP(Z38,'BD LUB'!$A$2:$L$223,12,FALSE)="PASADO"),1,IF(OR(AND(VLOOKUP(Z38,'BD LUB'!$A$2:$L$223,11,FALSE)="PASADO",VLOOKUP(Z38,'BD LUB'!$A$2:$L$223,12,FALSE)="PRÓXIMO"),AND(VLOOKUP(Z38,'BD LUB'!$A$2:$L$223,11,FALSE)="PRÓXIMO",VLOOKUP(Z38,'BD LUB'!$A$2:$L$223,12,FALSE)="PASADO")),2,IF(OR(AND(VLOOKUP(Z38,'BD LUB'!$A$2:$L$223,11,FALSE)="PASADO",VLOOKUP(Z38,'BD LUB'!$A$2:$L$223,12,FALSE)="VIGENTE"),AND(VLOOKUP(Z38,'BD LUB'!$A$2:$L$223,11,FALSE)="VIGENTE",VLOOKUP(Z38,'BD LUB'!$A$2:$L$223,12,FALSE)="PASADO")),3,IF(AND(VLOOKUP(Z38,'BD LUB'!$A$2:$L$223,11,FALSE)="PRÓXIMO",VLOOKUP(Z38,'BD LUB'!$A$2:$L$223,12,FALSE)="PRÓXIMO"),4,IF(OR(AND(VLOOKUP(Z38,'BD LUB'!$A$2:$L$223,11,FALSE)="PRÓXIMO",VLOOKUP(Z38,'BD LUB'!$A$2:$L$223,12,FALSE)="VIGENTE"),AND(VLOOKUP(Z38,'BD LUB'!$A$2:$L$223,11,FALSE)="VIGENTE",VLOOKUP(Z38,'BD LUB'!$A$2:$L$223,12,FALSE)="PRÓXIMO")),5,IF(AND(VLOOKUP(Z38,'BD LUB'!$A$2:$L$223,11,FALSE)="VIGENTE",VLOOKUP(Z38,'BD LUB'!$A$2:$L$223,12,FALSE)="VIGENTE"),6,"No definido"))))))</f>
        <v>1</v>
      </c>
      <c r="AC38" s="134">
        <f>IFERROR(__xludf.DUMMYFUNCTION("""COMPUTED_VALUE"""),481.0)</f>
        <v>481</v>
      </c>
      <c r="AD38" s="136" t="str">
        <f>IF(VLOOKUP(AC38,'BD LUB'!$A$2:$C$223,3,FALSE)=$AH$20,AC38&amp;" MED",IF(VLOOKUP(AC38,'BD LUB'!$A$2:$C$223,3,FALSE)=$AH$19,AC38&amp;" MAY",IF(VLOOKUP(AC38,'BD LUB'!$A$2:$C$223,3,FALSE)=$AH$18,AC38&amp;" RN",IF(VLOOKUP(AC38,'BD LUB'!$A$2:$C$223,3,FALSE)=$AH$17,AC38&amp;" COPQUI",IF(VLOOKUP(AC38,'BD LUB'!$A$2:$C$223,3,FALSE)=$AH$16,AC38&amp;" CEJ",IF(VLOOKUP(AC38,'BD LUB'!$A$2:$C$223,3,FALSE)=$AH$15,AC38&amp;" BULT",IF(VLOOKUP(AC38,'BD LUB'!$A$2:$C$223,3,FALSE)=$AH$14,AC38&amp;" COP",IF(VLOOKUP(AC38,'BD LUB'!$A$2:$C$223,3,FALSE)=$AH$13,AC38&amp;" RIO",IF(VLOOKUP(AC38,'BD LUB'!$A$2:$C$223,3,FALSE)=$AH$21,AC38&amp;" APART","Dato no encontrado")))))))))</f>
        <v>481 MED</v>
      </c>
      <c r="AE38" s="111"/>
      <c r="AF38" s="111"/>
      <c r="AG38" s="111"/>
      <c r="AH38" s="111"/>
      <c r="AI38" s="111"/>
      <c r="AJ38" s="126">
        <v>35.0</v>
      </c>
      <c r="AK38" s="141">
        <f>IFERROR(__xludf.DUMMYFUNCTION("""COMPUTED_VALUE"""),46653.0)</f>
        <v>46653</v>
      </c>
      <c r="AL38" s="128" t="str">
        <f>IFERROR(__xludf.DUMMYFUNCTION("""COMPUTED_VALUE"""),"02-Medellin")</f>
        <v>02-Medellin</v>
      </c>
      <c r="AM38" s="142">
        <f>IFERROR(__xludf.DUMMYFUNCTION("""COMPUTED_VALUE"""),104.0)</f>
        <v>104</v>
      </c>
      <c r="AN38" s="128"/>
      <c r="AP38" s="126">
        <v>35.0</v>
      </c>
      <c r="AQ38" s="141">
        <f>IFERROR(__xludf.DUMMYFUNCTION("""COMPUTED_VALUE"""),46653.0)</f>
        <v>46653</v>
      </c>
      <c r="AR38" s="128" t="str">
        <f>IFERROR(__xludf.DUMMYFUNCTION("""COMPUTED_VALUE"""),"02-Medellin")</f>
        <v>02-Medellin</v>
      </c>
      <c r="AS38" s="142">
        <f>IFERROR(__xludf.DUMMYFUNCTION("""COMPUTED_VALUE"""),104.0)</f>
        <v>104</v>
      </c>
      <c r="AT38" s="128"/>
      <c r="AV38" s="126">
        <v>35.0</v>
      </c>
      <c r="AW38" s="128"/>
      <c r="AX38" s="128"/>
      <c r="AY38" s="128"/>
      <c r="AZ38" s="128"/>
    </row>
    <row r="39">
      <c r="A39" s="120"/>
      <c r="B39" s="126">
        <v>36.0</v>
      </c>
      <c r="C39" s="78">
        <f>IFERROR(__xludf.DUMMYFUNCTION("""COMPUTED_VALUE"""),2484.0)</f>
        <v>2484</v>
      </c>
      <c r="D39" s="156">
        <f>IFERROR(__xludf.DUMMYFUNCTION("""COMPUTED_VALUE"""),46309.0)</f>
        <v>46309</v>
      </c>
      <c r="E39" s="78" t="str">
        <f>IFERROR(__xludf.DUMMYFUNCTION("""COMPUTED_VALUE"""),"MAYORCA")</f>
        <v>MAYORCA</v>
      </c>
      <c r="F39" s="156">
        <f>IFERROR(__xludf.DUMMYFUNCTION("""COMPUTED_VALUE"""),46042.0)</f>
        <v>46042</v>
      </c>
      <c r="G39" s="151">
        <f>IFERROR(__xludf.DUMMYFUNCTION("""COMPUTED_VALUE"""),6.0)</f>
        <v>6</v>
      </c>
      <c r="H39" s="134" t="str">
        <f>IFERROR(__xludf.DUMMYFUNCTION("""COMPUTED_VALUE"""),"PRÓXIMO")</f>
        <v>PRÓXIMO</v>
      </c>
      <c r="I39" s="132" t="str">
        <f t="shared" si="1"/>
        <v>PEDIDO</v>
      </c>
      <c r="J39" s="120"/>
      <c r="K39" s="126">
        <v>36.0</v>
      </c>
      <c r="L39" s="78">
        <f>IFERROR(__xludf.DUMMYFUNCTION("""COMPUTED_VALUE"""),2925.0)</f>
        <v>2925</v>
      </c>
      <c r="M39" s="156">
        <f>IFERROR(__xludf.DUMMYFUNCTION("""COMPUTED_VALUE"""),46318.0)</f>
        <v>46318</v>
      </c>
      <c r="N39" s="78" t="str">
        <f>IFERROR(__xludf.DUMMYFUNCTION("""COMPUTED_VALUE"""),"02-Medellin")</f>
        <v>02-Medellin</v>
      </c>
      <c r="O39" s="156">
        <f>IFERROR(__xludf.DUMMYFUNCTION("""COMPUTED_VALUE"""),46087.0)</f>
        <v>46087</v>
      </c>
      <c r="P39" s="151">
        <f>IFERROR(__xludf.DUMMYFUNCTION("""COMPUTED_VALUE"""),-412.0)</f>
        <v>-412</v>
      </c>
      <c r="Q39" s="134" t="str">
        <f>IFERROR(__xludf.DUMMYFUNCTION("""COMPUTED_VALUE"""),"PASADO")</f>
        <v>PASADO</v>
      </c>
      <c r="R39" s="132" t="str">
        <f t="shared" si="2"/>
        <v>PEDIDO</v>
      </c>
      <c r="T39" s="134">
        <f>CALENDARIO!D51</f>
        <v>2896</v>
      </c>
      <c r="U39" s="135">
        <f>CALENDARIO!C51</f>
        <v>2339</v>
      </c>
      <c r="W39" s="78"/>
      <c r="X39" s="136" t="str">
        <f>(VLOOKUP(W39,'BD LUB'!$A$2:$L$223,5,FALSE)/VLOOKUP(W39,'BD LUB'!$A$2:$L$223,7,FALSE))+(VLOOKUP(W39,'BD LUB'!$A$2:$L$223,6,FALSE)/VLOOKUP(W39,'BD LUB'!$A$2:$L$223,8,FALSE))</f>
        <v>#N/A</v>
      </c>
      <c r="Y39" s="137" t="str">
        <f>IF(AND(VLOOKUP(W39,'BD LUB'!$A$2:$L$223,11,FALSE)="PASADO",VLOOKUP(W39,'BD LUB'!$A$2:$L$223,12,FALSE)="PASADO"),1,IF(OR(AND(VLOOKUP(W39,'BD LUB'!$A$2:$L$223,11,FALSE)="PASADO",VLOOKUP(W39,'BD LUB'!$A$2:$L$223,12,FALSE)="PRÓXIMO"),AND(VLOOKUP(W39,'BD LUB'!$A$2:$L$223,11,FALSE)="PRÓXIMO",VLOOKUP(W39,'BD LUB'!$A$2:$L$223,12,FALSE)="PASADO")),2,IF(OR(AND(VLOOKUP(W39,'BD LUB'!$A$2:$L$223,11,FALSE)="PASADO",VLOOKUP(W39,'BD LUB'!$A$2:$L$223,12,FALSE)="VIGENTE"),AND(VLOOKUP(W39,'BD LUB'!$A$2:$L$223,11,FALSE)="VIGENTE",VLOOKUP(W39,'BD LUB'!$A$2:$L$223,12,FALSE)="PASADO")),3,IF(AND(VLOOKUP(W39,'BD LUB'!$A$2:$L$223,11,FALSE)="PRÓXIMO",VLOOKUP(W39,'BD LUB'!$A$2:$L$223,12,FALSE)="PRÓXIMO"),4,IF(OR(AND(VLOOKUP(W39,'BD LUB'!$A$2:$L$223,11,FALSE)="PRÓXIMO",VLOOKUP(W39,'BD LUB'!$A$2:$L$223,12,FALSE)="VIGENTE"),AND(VLOOKUP(W39,'BD LUB'!$A$2:$L$223,11,FALSE)="VIGENTE",VLOOKUP(W39,'BD LUB'!$A$2:$L$223,12,FALSE)="PRÓXIMO")),5,IF(AND(VLOOKUP(W39,'BD LUB'!$A$2:$L$223,11,FALSE)="VIGENTE",VLOOKUP(W39,'BD LUB'!$A$2:$L$223,12,FALSE)="VIGENTE"),6,"No definido"))))))</f>
        <v>#N/A</v>
      </c>
      <c r="Z39" s="138">
        <f>IFERROR(__xludf.DUMMYFUNCTION("""COMPUTED_VALUE"""),2460.0)</f>
        <v>2460</v>
      </c>
      <c r="AA39" s="139">
        <f>(VLOOKUP(Z39,'BD LUB'!$A$2:$L$223,5,FALSE)/VLOOKUP(Z39,'BD LUB'!$A$2:$L$223,7,FALSE))+(VLOOKUP(Z39,'BD LUB'!$A$2:$L$223,6,FALSE)/VLOOKUP(Z39,'BD LUB'!$A$2:$L$223,8,FALSE))</f>
        <v>1.932648889</v>
      </c>
      <c r="AB39" s="78">
        <f>IF(AND(VLOOKUP(Z39,'BD LUB'!$A$2:$L$223,11,FALSE)="PASADO",VLOOKUP(Z39,'BD LUB'!$A$2:$L$223,12,FALSE)="PASADO"),1,IF(OR(AND(VLOOKUP(Z39,'BD LUB'!$A$2:$L$223,11,FALSE)="PASADO",VLOOKUP(Z39,'BD LUB'!$A$2:$L$223,12,FALSE)="PRÓXIMO"),AND(VLOOKUP(Z39,'BD LUB'!$A$2:$L$223,11,FALSE)="PRÓXIMO",VLOOKUP(Z39,'BD LUB'!$A$2:$L$223,12,FALSE)="PASADO")),2,IF(OR(AND(VLOOKUP(Z39,'BD LUB'!$A$2:$L$223,11,FALSE)="PASADO",VLOOKUP(Z39,'BD LUB'!$A$2:$L$223,12,FALSE)="VIGENTE"),AND(VLOOKUP(Z39,'BD LUB'!$A$2:$L$223,11,FALSE)="VIGENTE",VLOOKUP(Z39,'BD LUB'!$A$2:$L$223,12,FALSE)="PASADO")),3,IF(AND(VLOOKUP(Z39,'BD LUB'!$A$2:$L$223,11,FALSE)="PRÓXIMO",VLOOKUP(Z39,'BD LUB'!$A$2:$L$223,12,FALSE)="PRÓXIMO"),4,IF(OR(AND(VLOOKUP(Z39,'BD LUB'!$A$2:$L$223,11,FALSE)="PRÓXIMO",VLOOKUP(Z39,'BD LUB'!$A$2:$L$223,12,FALSE)="VIGENTE"),AND(VLOOKUP(Z39,'BD LUB'!$A$2:$L$223,11,FALSE)="VIGENTE",VLOOKUP(Z39,'BD LUB'!$A$2:$L$223,12,FALSE)="PRÓXIMO")),5,IF(AND(VLOOKUP(Z39,'BD LUB'!$A$2:$L$223,11,FALSE)="VIGENTE",VLOOKUP(Z39,'BD LUB'!$A$2:$L$223,12,FALSE)="VIGENTE"),6,"No definido"))))))</f>
        <v>3</v>
      </c>
      <c r="AC39" s="134">
        <f>IFERROR(__xludf.DUMMYFUNCTION("""COMPUTED_VALUE"""),3247.0)</f>
        <v>3247</v>
      </c>
      <c r="AD39" s="136" t="str">
        <f>IF(VLOOKUP(AC39,'BD LUB'!$A$2:$C$223,3,FALSE)=$AH$20,AC39&amp;" MED",IF(VLOOKUP(AC39,'BD LUB'!$A$2:$C$223,3,FALSE)=$AH$19,AC39&amp;" MAY",IF(VLOOKUP(AC39,'BD LUB'!$A$2:$C$223,3,FALSE)=$AH$18,AC39&amp;" RN",IF(VLOOKUP(AC39,'BD LUB'!$A$2:$C$223,3,FALSE)=$AH$17,AC39&amp;" COPQUI",IF(VLOOKUP(AC39,'BD LUB'!$A$2:$C$223,3,FALSE)=$AH$16,AC39&amp;" CEJ",IF(VLOOKUP(AC39,'BD LUB'!$A$2:$C$223,3,FALSE)=$AH$15,AC39&amp;" BULT",IF(VLOOKUP(AC39,'BD LUB'!$A$2:$C$223,3,FALSE)=$AH$14,AC39&amp;" COP",IF(VLOOKUP(AC39,'BD LUB'!$A$2:$C$223,3,FALSE)=$AH$13,AC39&amp;" RIO",IF(VLOOKUP(AC39,'BD LUB'!$A$2:$C$223,3,FALSE)=$AH$21,AC39&amp;" APART","Dato no encontrado")))))))))</f>
        <v>3247 MED</v>
      </c>
      <c r="AE39" s="111"/>
      <c r="AF39" s="111"/>
      <c r="AG39" s="111"/>
      <c r="AH39" s="111"/>
      <c r="AI39" s="111"/>
      <c r="AJ39" s="126">
        <v>36.0</v>
      </c>
      <c r="AK39" s="141">
        <f>IFERROR(__xludf.DUMMYFUNCTION("""COMPUTED_VALUE"""),46275.0)</f>
        <v>46275</v>
      </c>
      <c r="AL39" s="128" t="str">
        <f>IFERROR(__xludf.DUMMYFUNCTION("""COMPUTED_VALUE"""),"24-Rionegro")</f>
        <v>24-Rionegro</v>
      </c>
      <c r="AM39" s="142">
        <f>IFERROR(__xludf.DUMMYFUNCTION("""COMPUTED_VALUE"""),104.0)</f>
        <v>104</v>
      </c>
      <c r="AN39" s="128"/>
      <c r="AP39" s="126">
        <v>36.0</v>
      </c>
      <c r="AQ39" s="141">
        <f>IFERROR(__xludf.DUMMYFUNCTION("""COMPUTED_VALUE"""),46275.0)</f>
        <v>46275</v>
      </c>
      <c r="AR39" s="128" t="str">
        <f>IFERROR(__xludf.DUMMYFUNCTION("""COMPUTED_VALUE"""),"24-Rionegro")</f>
        <v>24-Rionegro</v>
      </c>
      <c r="AS39" s="142">
        <f>IFERROR(__xludf.DUMMYFUNCTION("""COMPUTED_VALUE"""),104.0)</f>
        <v>104</v>
      </c>
      <c r="AT39" s="128"/>
      <c r="AV39" s="126">
        <v>36.0</v>
      </c>
      <c r="AW39" s="128"/>
      <c r="AX39" s="128"/>
      <c r="AY39" s="128"/>
      <c r="AZ39" s="128"/>
    </row>
    <row r="40">
      <c r="A40" s="120"/>
      <c r="B40" s="126">
        <v>37.0</v>
      </c>
      <c r="C40" s="78">
        <f>IFERROR(__xludf.DUMMYFUNCTION("""COMPUTED_VALUE"""),2394.0)</f>
        <v>2394</v>
      </c>
      <c r="D40" s="156">
        <f>IFERROR(__xludf.DUMMYFUNCTION("""COMPUTED_VALUE"""),46467.0)</f>
        <v>46467</v>
      </c>
      <c r="E40" s="78" t="str">
        <f>IFERROR(__xludf.DUMMYFUNCTION("""COMPUTED_VALUE"""),"MAYORCA")</f>
        <v>MAYORCA</v>
      </c>
      <c r="F40" s="156">
        <f>IFERROR(__xludf.DUMMYFUNCTION("""COMPUTED_VALUE"""),46042.0)</f>
        <v>46042</v>
      </c>
      <c r="G40" s="151">
        <f>IFERROR(__xludf.DUMMYFUNCTION("""COMPUTED_VALUE"""),6.0)</f>
        <v>6</v>
      </c>
      <c r="H40" s="134" t="str">
        <f>IFERROR(__xludf.DUMMYFUNCTION("""COMPUTED_VALUE"""),"PRÓXIMO")</f>
        <v>PRÓXIMO</v>
      </c>
      <c r="I40" s="132" t="str">
        <f t="shared" si="1"/>
        <v>NO PEDIDO</v>
      </c>
      <c r="J40" s="120"/>
      <c r="K40" s="126">
        <v>37.0</v>
      </c>
      <c r="L40" s="78">
        <f>IFERROR(__xludf.DUMMYFUNCTION("""COMPUTED_VALUE"""),3202.0)</f>
        <v>3202</v>
      </c>
      <c r="M40" s="156">
        <f>IFERROR(__xludf.DUMMYFUNCTION("""COMPUTED_VALUE"""),46653.0)</f>
        <v>46653</v>
      </c>
      <c r="N40" s="78" t="str">
        <f>IFERROR(__xludf.DUMMYFUNCTION("""COMPUTED_VALUE"""),"02-Medellin")</f>
        <v>02-Medellin</v>
      </c>
      <c r="O40" s="156">
        <f>IFERROR(__xludf.DUMMYFUNCTION("""COMPUTED_VALUE"""),46112.0)</f>
        <v>46112</v>
      </c>
      <c r="P40" s="151">
        <f>IFERROR(__xludf.DUMMYFUNCTION("""COMPUTED_VALUE"""),-377.0)</f>
        <v>-377</v>
      </c>
      <c r="Q40" s="134" t="str">
        <f>IFERROR(__xludf.DUMMYFUNCTION("""COMPUTED_VALUE"""),"PASADO")</f>
        <v>PASADO</v>
      </c>
      <c r="R40" s="132" t="str">
        <f t="shared" si="2"/>
        <v>HECHO</v>
      </c>
      <c r="T40" s="134">
        <f>CALENDARIO!D52</f>
        <v>3175</v>
      </c>
      <c r="U40" s="135">
        <f>CALENDARIO!C52</f>
        <v>2572</v>
      </c>
      <c r="W40" s="78"/>
      <c r="X40" s="136" t="str">
        <f>(VLOOKUP(W40,'BD LUB'!$A$2:$L$223,5,FALSE)/VLOOKUP(W40,'BD LUB'!$A$2:$L$223,7,FALSE))+(VLOOKUP(W40,'BD LUB'!$A$2:$L$223,6,FALSE)/VLOOKUP(W40,'BD LUB'!$A$2:$L$223,8,FALSE))</f>
        <v>#N/A</v>
      </c>
      <c r="Y40" s="137" t="str">
        <f>IF(AND(VLOOKUP(W40,'BD LUB'!$A$2:$L$223,11,FALSE)="PASADO",VLOOKUP(W40,'BD LUB'!$A$2:$L$223,12,FALSE)="PASADO"),1,IF(OR(AND(VLOOKUP(W40,'BD LUB'!$A$2:$L$223,11,FALSE)="PASADO",VLOOKUP(W40,'BD LUB'!$A$2:$L$223,12,FALSE)="PRÓXIMO"),AND(VLOOKUP(W40,'BD LUB'!$A$2:$L$223,11,FALSE)="PRÓXIMO",VLOOKUP(W40,'BD LUB'!$A$2:$L$223,12,FALSE)="PASADO")),2,IF(OR(AND(VLOOKUP(W40,'BD LUB'!$A$2:$L$223,11,FALSE)="PASADO",VLOOKUP(W40,'BD LUB'!$A$2:$L$223,12,FALSE)="VIGENTE"),AND(VLOOKUP(W40,'BD LUB'!$A$2:$L$223,11,FALSE)="VIGENTE",VLOOKUP(W40,'BD LUB'!$A$2:$L$223,12,FALSE)="PASADO")),3,IF(AND(VLOOKUP(W40,'BD LUB'!$A$2:$L$223,11,FALSE)="PRÓXIMO",VLOOKUP(W40,'BD LUB'!$A$2:$L$223,12,FALSE)="PRÓXIMO"),4,IF(OR(AND(VLOOKUP(W40,'BD LUB'!$A$2:$L$223,11,FALSE)="PRÓXIMO",VLOOKUP(W40,'BD LUB'!$A$2:$L$223,12,FALSE)="VIGENTE"),AND(VLOOKUP(W40,'BD LUB'!$A$2:$L$223,11,FALSE)="VIGENTE",VLOOKUP(W40,'BD LUB'!$A$2:$L$223,12,FALSE)="PRÓXIMO")),5,IF(AND(VLOOKUP(W40,'BD LUB'!$A$2:$L$223,11,FALSE)="VIGENTE",VLOOKUP(W40,'BD LUB'!$A$2:$L$223,12,FALSE)="VIGENTE"),6,"No definido"))))))</f>
        <v>#N/A</v>
      </c>
      <c r="Z40" s="138">
        <f>IFERROR(__xludf.DUMMYFUNCTION("""COMPUTED_VALUE"""),2484.0)</f>
        <v>2484</v>
      </c>
      <c r="AA40" s="139">
        <f>(VLOOKUP(Z40,'BD LUB'!$A$2:$L$223,5,FALSE)/VLOOKUP(Z40,'BD LUB'!$A$2:$L$223,7,FALSE))+(VLOOKUP(Z40,'BD LUB'!$A$2:$L$223,6,FALSE)/VLOOKUP(Z40,'BD LUB'!$A$2:$L$223,8,FALSE))</f>
        <v>2.051406667</v>
      </c>
      <c r="AB40" s="78">
        <f>IF(AND(VLOOKUP(Z40,'BD LUB'!$A$2:$L$223,11,FALSE)="PASADO",VLOOKUP(Z40,'BD LUB'!$A$2:$L$223,12,FALSE)="PASADO"),1,IF(OR(AND(VLOOKUP(Z40,'BD LUB'!$A$2:$L$223,11,FALSE)="PASADO",VLOOKUP(Z40,'BD LUB'!$A$2:$L$223,12,FALSE)="PRÓXIMO"),AND(VLOOKUP(Z40,'BD LUB'!$A$2:$L$223,11,FALSE)="PRÓXIMO",VLOOKUP(Z40,'BD LUB'!$A$2:$L$223,12,FALSE)="PASADO")),2,IF(OR(AND(VLOOKUP(Z40,'BD LUB'!$A$2:$L$223,11,FALSE)="PASADO",VLOOKUP(Z40,'BD LUB'!$A$2:$L$223,12,FALSE)="VIGENTE"),AND(VLOOKUP(Z40,'BD LUB'!$A$2:$L$223,11,FALSE)="VIGENTE",VLOOKUP(Z40,'BD LUB'!$A$2:$L$223,12,FALSE)="PASADO")),3,IF(AND(VLOOKUP(Z40,'BD LUB'!$A$2:$L$223,11,FALSE)="PRÓXIMO",VLOOKUP(Z40,'BD LUB'!$A$2:$L$223,12,FALSE)="PRÓXIMO"),4,IF(OR(AND(VLOOKUP(Z40,'BD LUB'!$A$2:$L$223,11,FALSE)="PRÓXIMO",VLOOKUP(Z40,'BD LUB'!$A$2:$L$223,12,FALSE)="VIGENTE"),AND(VLOOKUP(Z40,'BD LUB'!$A$2:$L$223,11,FALSE)="VIGENTE",VLOOKUP(Z40,'BD LUB'!$A$2:$L$223,12,FALSE)="PRÓXIMO")),5,IF(AND(VLOOKUP(Z40,'BD LUB'!$A$2:$L$223,11,FALSE)="VIGENTE",VLOOKUP(Z40,'BD LUB'!$A$2:$L$223,12,FALSE)="VIGENTE"),6,"No definido"))))))</f>
        <v>2</v>
      </c>
      <c r="AC40" s="134">
        <f>IFERROR(__xludf.DUMMYFUNCTION("""COMPUTED_VALUE"""),3213.0)</f>
        <v>3213</v>
      </c>
      <c r="AD40" s="136" t="str">
        <f>IF(VLOOKUP(AC40,'BD LUB'!$A$2:$C$223,3,FALSE)=$AH$20,AC40&amp;" MED",IF(VLOOKUP(AC40,'BD LUB'!$A$2:$C$223,3,FALSE)=$AH$19,AC40&amp;" MAY",IF(VLOOKUP(AC40,'BD LUB'!$A$2:$C$223,3,FALSE)=$AH$18,AC40&amp;" RN",IF(VLOOKUP(AC40,'BD LUB'!$A$2:$C$223,3,FALSE)=$AH$17,AC40&amp;" COPQUI",IF(VLOOKUP(AC40,'BD LUB'!$A$2:$C$223,3,FALSE)=$AH$16,AC40&amp;" CEJ",IF(VLOOKUP(AC40,'BD LUB'!$A$2:$C$223,3,FALSE)=$AH$15,AC40&amp;" BULT",IF(VLOOKUP(AC40,'BD LUB'!$A$2:$C$223,3,FALSE)=$AH$14,AC40&amp;" COP",IF(VLOOKUP(AC40,'BD LUB'!$A$2:$C$223,3,FALSE)=$AH$13,AC40&amp;" RIO",IF(VLOOKUP(AC40,'BD LUB'!$A$2:$C$223,3,FALSE)=$AH$21,AC40&amp;" APART","Dato no encontrado")))))))))</f>
        <v>3213 MED</v>
      </c>
      <c r="AE40" s="111"/>
      <c r="AF40" s="111"/>
      <c r="AG40" s="111"/>
      <c r="AH40" s="111"/>
      <c r="AI40" s="111"/>
      <c r="AJ40" s="126">
        <v>37.0</v>
      </c>
      <c r="AK40" s="141">
        <f>IFERROR(__xludf.DUMMYFUNCTION("""COMPUTED_VALUE"""),46303.0)</f>
        <v>46303</v>
      </c>
      <c r="AL40" s="128" t="str">
        <f>IFERROR(__xludf.DUMMYFUNCTION("""COMPUTED_VALUE"""),"02-Medellin")</f>
        <v>02-Medellin</v>
      </c>
      <c r="AM40" s="142">
        <f>IFERROR(__xludf.DUMMYFUNCTION("""COMPUTED_VALUE"""),98.0)</f>
        <v>98</v>
      </c>
      <c r="AN40" s="128"/>
      <c r="AP40" s="126">
        <v>37.0</v>
      </c>
      <c r="AQ40" s="141">
        <f>IFERROR(__xludf.DUMMYFUNCTION("""COMPUTED_VALUE"""),46303.0)</f>
        <v>46303</v>
      </c>
      <c r="AR40" s="128" t="str">
        <f>IFERROR(__xludf.DUMMYFUNCTION("""COMPUTED_VALUE"""),"02-Medellin")</f>
        <v>02-Medellin</v>
      </c>
      <c r="AS40" s="142">
        <f>IFERROR(__xludf.DUMMYFUNCTION("""COMPUTED_VALUE"""),98.0)</f>
        <v>98</v>
      </c>
      <c r="AT40" s="128"/>
      <c r="AV40" s="126">
        <v>37.0</v>
      </c>
      <c r="AW40" s="128"/>
      <c r="AX40" s="128"/>
      <c r="AY40" s="128"/>
      <c r="AZ40" s="128"/>
    </row>
    <row r="41">
      <c r="A41" s="120"/>
      <c r="B41" s="126">
        <v>38.0</v>
      </c>
      <c r="C41" s="78">
        <f>IFERROR(__xludf.DUMMYFUNCTION("""COMPUTED_VALUE"""),2275.0)</f>
        <v>2275</v>
      </c>
      <c r="D41" s="156">
        <f>IFERROR(__xludf.DUMMYFUNCTION("""COMPUTED_VALUE"""),46263.0)</f>
        <v>46263</v>
      </c>
      <c r="E41" s="78" t="str">
        <f>IFERROR(__xludf.DUMMYFUNCTION("""COMPUTED_VALUE"""),"02-Medellin")</f>
        <v>02-Medellin</v>
      </c>
      <c r="F41" s="156">
        <f>IFERROR(__xludf.DUMMYFUNCTION("""COMPUTED_VALUE"""),46042.0)</f>
        <v>46042</v>
      </c>
      <c r="G41" s="151">
        <f>IFERROR(__xludf.DUMMYFUNCTION("""COMPUTED_VALUE"""),6.0)</f>
        <v>6</v>
      </c>
      <c r="H41" s="134" t="str">
        <f>IFERROR(__xludf.DUMMYFUNCTION("""COMPUTED_VALUE"""),"PRÓXIMO")</f>
        <v>PRÓXIMO</v>
      </c>
      <c r="I41" s="132" t="str">
        <f t="shared" si="1"/>
        <v>NO PEDIDO</v>
      </c>
      <c r="J41" s="120"/>
      <c r="K41" s="126">
        <v>38.0</v>
      </c>
      <c r="L41" s="78">
        <f>IFERROR(__xludf.DUMMYFUNCTION("""COMPUTED_VALUE"""),2450.0)</f>
        <v>2450</v>
      </c>
      <c r="M41" s="156">
        <f>IFERROR(__xludf.DUMMYFUNCTION("""COMPUTED_VALUE"""),46290.0)</f>
        <v>46290</v>
      </c>
      <c r="N41" s="78" t="str">
        <f>IFERROR(__xludf.DUMMYFUNCTION("""COMPUTED_VALUE"""),"MAYORCA")</f>
        <v>MAYORCA</v>
      </c>
      <c r="O41" s="156">
        <f>IFERROR(__xludf.DUMMYFUNCTION("""COMPUTED_VALUE"""),46027.0)</f>
        <v>46027</v>
      </c>
      <c r="P41" s="151">
        <f>IFERROR(__xludf.DUMMYFUNCTION("""COMPUTED_VALUE"""),-274.0)</f>
        <v>-274</v>
      </c>
      <c r="Q41" s="134" t="str">
        <f>IFERROR(__xludf.DUMMYFUNCTION("""COMPUTED_VALUE"""),"PASADO")</f>
        <v>PASADO</v>
      </c>
      <c r="R41" s="132" t="str">
        <f t="shared" si="2"/>
        <v>HECHO</v>
      </c>
      <c r="T41" s="134">
        <f>CALENDARIO!D53</f>
        <v>3281</v>
      </c>
      <c r="U41" s="135">
        <f>CALENDARIO!C53</f>
        <v>2460</v>
      </c>
      <c r="W41" s="78"/>
      <c r="X41" s="136" t="str">
        <f>(VLOOKUP(W41,'BD LUB'!$A$2:$L$223,5,FALSE)/VLOOKUP(W41,'BD LUB'!$A$2:$L$223,7,FALSE))+(VLOOKUP(W41,'BD LUB'!$A$2:$L$223,6,FALSE)/VLOOKUP(W41,'BD LUB'!$A$2:$L$223,8,FALSE))</f>
        <v>#N/A</v>
      </c>
      <c r="Y41" s="137" t="str">
        <f>IF(AND(VLOOKUP(W41,'BD LUB'!$A$2:$L$223,11,FALSE)="PASADO",VLOOKUP(W41,'BD LUB'!$A$2:$L$223,12,FALSE)="PASADO"),1,IF(OR(AND(VLOOKUP(W41,'BD LUB'!$A$2:$L$223,11,FALSE)="PASADO",VLOOKUP(W41,'BD LUB'!$A$2:$L$223,12,FALSE)="PRÓXIMO"),AND(VLOOKUP(W41,'BD LUB'!$A$2:$L$223,11,FALSE)="PRÓXIMO",VLOOKUP(W41,'BD LUB'!$A$2:$L$223,12,FALSE)="PASADO")),2,IF(OR(AND(VLOOKUP(W41,'BD LUB'!$A$2:$L$223,11,FALSE)="PASADO",VLOOKUP(W41,'BD LUB'!$A$2:$L$223,12,FALSE)="VIGENTE"),AND(VLOOKUP(W41,'BD LUB'!$A$2:$L$223,11,FALSE)="VIGENTE",VLOOKUP(W41,'BD LUB'!$A$2:$L$223,12,FALSE)="PASADO")),3,IF(AND(VLOOKUP(W41,'BD LUB'!$A$2:$L$223,11,FALSE)="PRÓXIMO",VLOOKUP(W41,'BD LUB'!$A$2:$L$223,12,FALSE)="PRÓXIMO"),4,IF(OR(AND(VLOOKUP(W41,'BD LUB'!$A$2:$L$223,11,FALSE)="PRÓXIMO",VLOOKUP(W41,'BD LUB'!$A$2:$L$223,12,FALSE)="VIGENTE"),AND(VLOOKUP(W41,'BD LUB'!$A$2:$L$223,11,FALSE)="VIGENTE",VLOOKUP(W41,'BD LUB'!$A$2:$L$223,12,FALSE)="PRÓXIMO")),5,IF(AND(VLOOKUP(W41,'BD LUB'!$A$2:$L$223,11,FALSE)="VIGENTE",VLOOKUP(W41,'BD LUB'!$A$2:$L$223,12,FALSE)="VIGENTE"),6,"No definido"))))))</f>
        <v>#N/A</v>
      </c>
      <c r="Z41" s="138">
        <f>IFERROR(__xludf.DUMMYFUNCTION("""COMPUTED_VALUE"""),2925.0)</f>
        <v>2925</v>
      </c>
      <c r="AA41" s="139">
        <f>(VLOOKUP(Z41,'BD LUB'!$A$2:$L$223,5,FALSE)/VLOOKUP(Z41,'BD LUB'!$A$2:$L$223,7,FALSE))+(VLOOKUP(Z41,'BD LUB'!$A$2:$L$223,6,FALSE)/VLOOKUP(Z41,'BD LUB'!$A$2:$L$223,8,FALSE))</f>
        <v>1.799066667</v>
      </c>
      <c r="AB41" s="78">
        <f>IF(AND(VLOOKUP(Z41,'BD LUB'!$A$2:$L$223,11,FALSE)="PASADO",VLOOKUP(Z41,'BD LUB'!$A$2:$L$223,12,FALSE)="PASADO"),1,IF(OR(AND(VLOOKUP(Z41,'BD LUB'!$A$2:$L$223,11,FALSE)="PASADO",VLOOKUP(Z41,'BD LUB'!$A$2:$L$223,12,FALSE)="PRÓXIMO"),AND(VLOOKUP(Z41,'BD LUB'!$A$2:$L$223,11,FALSE)="PRÓXIMO",VLOOKUP(Z41,'BD LUB'!$A$2:$L$223,12,FALSE)="PASADO")),2,IF(OR(AND(VLOOKUP(Z41,'BD LUB'!$A$2:$L$223,11,FALSE)="PASADO",VLOOKUP(Z41,'BD LUB'!$A$2:$L$223,12,FALSE)="VIGENTE"),AND(VLOOKUP(Z41,'BD LUB'!$A$2:$L$223,11,FALSE)="VIGENTE",VLOOKUP(Z41,'BD LUB'!$A$2:$L$223,12,FALSE)="PASADO")),3,IF(AND(VLOOKUP(Z41,'BD LUB'!$A$2:$L$223,11,FALSE)="PRÓXIMO",VLOOKUP(Z41,'BD LUB'!$A$2:$L$223,12,FALSE)="PRÓXIMO"),4,IF(OR(AND(VLOOKUP(Z41,'BD LUB'!$A$2:$L$223,11,FALSE)="PRÓXIMO",VLOOKUP(Z41,'BD LUB'!$A$2:$L$223,12,FALSE)="VIGENTE"),AND(VLOOKUP(Z41,'BD LUB'!$A$2:$L$223,11,FALSE)="VIGENTE",VLOOKUP(Z41,'BD LUB'!$A$2:$L$223,12,FALSE)="PRÓXIMO")),5,IF(AND(VLOOKUP(Z41,'BD LUB'!$A$2:$L$223,11,FALSE)="VIGENTE",VLOOKUP(Z41,'BD LUB'!$A$2:$L$223,12,FALSE)="VIGENTE"),6,"No definido"))))))</f>
        <v>3</v>
      </c>
      <c r="AC41" s="134">
        <f>IFERROR(__xludf.DUMMYFUNCTION("""COMPUTED_VALUE"""),2887.0)</f>
        <v>2887</v>
      </c>
      <c r="AD41" s="136" t="str">
        <f>IF(VLOOKUP(AC41,'BD LUB'!$A$2:$C$223,3,FALSE)=$AH$20,AC41&amp;" MED",IF(VLOOKUP(AC41,'BD LUB'!$A$2:$C$223,3,FALSE)=$AH$19,AC41&amp;" MAY",IF(VLOOKUP(AC41,'BD LUB'!$A$2:$C$223,3,FALSE)=$AH$18,AC41&amp;" RN",IF(VLOOKUP(AC41,'BD LUB'!$A$2:$C$223,3,FALSE)=$AH$17,AC41&amp;" COPQUI",IF(VLOOKUP(AC41,'BD LUB'!$A$2:$C$223,3,FALSE)=$AH$16,AC41&amp;" CEJ",IF(VLOOKUP(AC41,'BD LUB'!$A$2:$C$223,3,FALSE)=$AH$15,AC41&amp;" BULT",IF(VLOOKUP(AC41,'BD LUB'!$A$2:$C$223,3,FALSE)=$AH$14,AC41&amp;" COP",IF(VLOOKUP(AC41,'BD LUB'!$A$2:$C$223,3,FALSE)=$AH$13,AC41&amp;" RIO",IF(VLOOKUP(AC41,'BD LUB'!$A$2:$C$223,3,FALSE)=$AH$21,AC41&amp;" APART","Dato no encontrado")))))))))</f>
        <v>2887 MED</v>
      </c>
      <c r="AE41" s="111"/>
      <c r="AF41" s="111"/>
      <c r="AG41" s="111"/>
      <c r="AH41" s="111"/>
      <c r="AI41" s="111"/>
      <c r="AJ41" s="126">
        <v>38.0</v>
      </c>
      <c r="AK41" s="141">
        <f>IFERROR(__xludf.DUMMYFUNCTION("""COMPUTED_VALUE"""),46654.0)</f>
        <v>46654</v>
      </c>
      <c r="AL41" s="128" t="str">
        <f>IFERROR(__xludf.DUMMYFUNCTION("""COMPUTED_VALUE"""),"02-Medellin")</f>
        <v>02-Medellin</v>
      </c>
      <c r="AM41" s="142">
        <f>IFERROR(__xludf.DUMMYFUNCTION("""COMPUTED_VALUE"""),96.0)</f>
        <v>96</v>
      </c>
      <c r="AN41" s="128"/>
      <c r="AP41" s="126">
        <v>38.0</v>
      </c>
      <c r="AQ41" s="141">
        <f>IFERROR(__xludf.DUMMYFUNCTION("""COMPUTED_VALUE"""),46654.0)</f>
        <v>46654</v>
      </c>
      <c r="AR41" s="128" t="str">
        <f>IFERROR(__xludf.DUMMYFUNCTION("""COMPUTED_VALUE"""),"02-Medellin")</f>
        <v>02-Medellin</v>
      </c>
      <c r="AS41" s="142">
        <f>IFERROR(__xludf.DUMMYFUNCTION("""COMPUTED_VALUE"""),96.0)</f>
        <v>96</v>
      </c>
      <c r="AT41" s="128"/>
      <c r="AV41" s="126">
        <v>38.0</v>
      </c>
      <c r="AW41" s="128"/>
      <c r="AX41" s="128"/>
      <c r="AY41" s="128"/>
      <c r="AZ41" s="128"/>
    </row>
    <row r="42">
      <c r="A42" s="120"/>
      <c r="B42" s="126">
        <v>39.0</v>
      </c>
      <c r="C42" s="78">
        <f>IFERROR(__xludf.DUMMYFUNCTION("""COMPUTED_VALUE"""),2188.0)</f>
        <v>2188</v>
      </c>
      <c r="D42" s="156">
        <f>IFERROR(__xludf.DUMMYFUNCTION("""COMPUTED_VALUE"""),46375.0)</f>
        <v>46375</v>
      </c>
      <c r="E42" s="78" t="str">
        <f>IFERROR(__xludf.DUMMYFUNCTION("""COMPUTED_VALUE"""),"BULTOS")</f>
        <v>BULTOS</v>
      </c>
      <c r="F42" s="156">
        <f>IFERROR(__xludf.DUMMYFUNCTION("""COMPUTED_VALUE"""),46042.0)</f>
        <v>46042</v>
      </c>
      <c r="G42" s="151">
        <f>IFERROR(__xludf.DUMMYFUNCTION("""COMPUTED_VALUE"""),6.0)</f>
        <v>6</v>
      </c>
      <c r="H42" s="134" t="str">
        <f>IFERROR(__xludf.DUMMYFUNCTION("""COMPUTED_VALUE"""),"PRÓXIMO")</f>
        <v>PRÓXIMO</v>
      </c>
      <c r="I42" s="132" t="str">
        <f t="shared" si="1"/>
        <v>PEDIDO</v>
      </c>
      <c r="J42" s="120"/>
      <c r="K42" s="126">
        <v>39.0</v>
      </c>
      <c r="L42" s="78">
        <f>IFERROR(__xludf.DUMMYFUNCTION("""COMPUTED_VALUE"""),2903.0)</f>
        <v>2903</v>
      </c>
      <c r="M42" s="156">
        <f>IFERROR(__xludf.DUMMYFUNCTION("""COMPUTED_VALUE"""),46275.0)</f>
        <v>46275</v>
      </c>
      <c r="N42" s="78" t="str">
        <f>IFERROR(__xludf.DUMMYFUNCTION("""COMPUTED_VALUE"""),"02-Medellin")</f>
        <v>02-Medellin</v>
      </c>
      <c r="O42" s="156">
        <f>IFERROR(__xludf.DUMMYFUNCTION("""COMPUTED_VALUE"""),46042.0)</f>
        <v>46042</v>
      </c>
      <c r="P42" s="151">
        <f>IFERROR(__xludf.DUMMYFUNCTION("""COMPUTED_VALUE"""),-228.0)</f>
        <v>-228</v>
      </c>
      <c r="Q42" s="134" t="str">
        <f>IFERROR(__xludf.DUMMYFUNCTION("""COMPUTED_VALUE"""),"PASADO")</f>
        <v>PASADO</v>
      </c>
      <c r="R42" s="132" t="str">
        <f t="shared" si="2"/>
        <v>HECHO</v>
      </c>
      <c r="T42" s="134">
        <f>CALENDARIO!D54</f>
        <v>2230</v>
      </c>
      <c r="U42" s="135">
        <f>CALENDARIO!C54</f>
        <v>3246</v>
      </c>
      <c r="W42" s="78"/>
      <c r="X42" s="136" t="str">
        <f>(VLOOKUP(W42,'BD LUB'!$A$2:$L$223,5,FALSE)/VLOOKUP(W42,'BD LUB'!$A$2:$L$223,7,FALSE))+(VLOOKUP(W42,'BD LUB'!$A$2:$L$223,6,FALSE)/VLOOKUP(W42,'BD LUB'!$A$2:$L$223,8,FALSE))</f>
        <v>#N/A</v>
      </c>
      <c r="Y42" s="137" t="str">
        <f>IF(AND(VLOOKUP(W42,'BD LUB'!$A$2:$L$223,11,FALSE)="PASADO",VLOOKUP(W42,'BD LUB'!$A$2:$L$223,12,FALSE)="PASADO"),1,IF(OR(AND(VLOOKUP(W42,'BD LUB'!$A$2:$L$223,11,FALSE)="PASADO",VLOOKUP(W42,'BD LUB'!$A$2:$L$223,12,FALSE)="PRÓXIMO"),AND(VLOOKUP(W42,'BD LUB'!$A$2:$L$223,11,FALSE)="PRÓXIMO",VLOOKUP(W42,'BD LUB'!$A$2:$L$223,12,FALSE)="PASADO")),2,IF(OR(AND(VLOOKUP(W42,'BD LUB'!$A$2:$L$223,11,FALSE)="PASADO",VLOOKUP(W42,'BD LUB'!$A$2:$L$223,12,FALSE)="VIGENTE"),AND(VLOOKUP(W42,'BD LUB'!$A$2:$L$223,11,FALSE)="VIGENTE",VLOOKUP(W42,'BD LUB'!$A$2:$L$223,12,FALSE)="PASADO")),3,IF(AND(VLOOKUP(W42,'BD LUB'!$A$2:$L$223,11,FALSE)="PRÓXIMO",VLOOKUP(W42,'BD LUB'!$A$2:$L$223,12,FALSE)="PRÓXIMO"),4,IF(OR(AND(VLOOKUP(W42,'BD LUB'!$A$2:$L$223,11,FALSE)="PRÓXIMO",VLOOKUP(W42,'BD LUB'!$A$2:$L$223,12,FALSE)="VIGENTE"),AND(VLOOKUP(W42,'BD LUB'!$A$2:$L$223,11,FALSE)="VIGENTE",VLOOKUP(W42,'BD LUB'!$A$2:$L$223,12,FALSE)="PRÓXIMO")),5,IF(AND(VLOOKUP(W42,'BD LUB'!$A$2:$L$223,11,FALSE)="VIGENTE",VLOOKUP(W42,'BD LUB'!$A$2:$L$223,12,FALSE)="VIGENTE"),6,"No definido"))))))</f>
        <v>#N/A</v>
      </c>
      <c r="Z42" s="138">
        <f>IFERROR(__xludf.DUMMYFUNCTION("""COMPUTED_VALUE"""),2920.0)</f>
        <v>2920</v>
      </c>
      <c r="AA42" s="139">
        <f>(VLOOKUP(Z42,'BD LUB'!$A$2:$L$223,5,FALSE)/VLOOKUP(Z42,'BD LUB'!$A$2:$L$223,7,FALSE))+(VLOOKUP(Z42,'BD LUB'!$A$2:$L$223,6,FALSE)/VLOOKUP(Z42,'BD LUB'!$A$2:$L$223,8,FALSE))</f>
        <v>1.6094</v>
      </c>
      <c r="AB42" s="78">
        <f>IF(AND(VLOOKUP(Z42,'BD LUB'!$A$2:$L$223,11,FALSE)="PASADO",VLOOKUP(Z42,'BD LUB'!$A$2:$L$223,12,FALSE)="PASADO"),1,IF(OR(AND(VLOOKUP(Z42,'BD LUB'!$A$2:$L$223,11,FALSE)="PASADO",VLOOKUP(Z42,'BD LUB'!$A$2:$L$223,12,FALSE)="PRÓXIMO"),AND(VLOOKUP(Z42,'BD LUB'!$A$2:$L$223,11,FALSE)="PRÓXIMO",VLOOKUP(Z42,'BD LUB'!$A$2:$L$223,12,FALSE)="PASADO")),2,IF(OR(AND(VLOOKUP(Z42,'BD LUB'!$A$2:$L$223,11,FALSE)="PASADO",VLOOKUP(Z42,'BD LUB'!$A$2:$L$223,12,FALSE)="VIGENTE"),AND(VLOOKUP(Z42,'BD LUB'!$A$2:$L$223,11,FALSE)="VIGENTE",VLOOKUP(Z42,'BD LUB'!$A$2:$L$223,12,FALSE)="PASADO")),3,IF(AND(VLOOKUP(Z42,'BD LUB'!$A$2:$L$223,11,FALSE)="PRÓXIMO",VLOOKUP(Z42,'BD LUB'!$A$2:$L$223,12,FALSE)="PRÓXIMO"),4,IF(OR(AND(VLOOKUP(Z42,'BD LUB'!$A$2:$L$223,11,FALSE)="PRÓXIMO",VLOOKUP(Z42,'BD LUB'!$A$2:$L$223,12,FALSE)="VIGENTE"),AND(VLOOKUP(Z42,'BD LUB'!$A$2:$L$223,11,FALSE)="VIGENTE",VLOOKUP(Z42,'BD LUB'!$A$2:$L$223,12,FALSE)="PRÓXIMO")),5,IF(AND(VLOOKUP(Z42,'BD LUB'!$A$2:$L$223,11,FALSE)="VIGENTE",VLOOKUP(Z42,'BD LUB'!$A$2:$L$223,12,FALSE)="VIGENTE"),6,"No definido"))))))</f>
        <v>3</v>
      </c>
      <c r="AC42" s="134">
        <f>IFERROR(__xludf.DUMMYFUNCTION("""COMPUTED_VALUE"""),495.0)</f>
        <v>495</v>
      </c>
      <c r="AD42" s="136" t="str">
        <f>IF(VLOOKUP(AC42,'BD LUB'!$A$2:$C$223,3,FALSE)=$AH$20,AC42&amp;" MED",IF(VLOOKUP(AC42,'BD LUB'!$A$2:$C$223,3,FALSE)=$AH$19,AC42&amp;" MAY",IF(VLOOKUP(AC42,'BD LUB'!$A$2:$C$223,3,FALSE)=$AH$18,AC42&amp;" RN",IF(VLOOKUP(AC42,'BD LUB'!$A$2:$C$223,3,FALSE)=$AH$17,AC42&amp;" COPQUI",IF(VLOOKUP(AC42,'BD LUB'!$A$2:$C$223,3,FALSE)=$AH$16,AC42&amp;" CEJ",IF(VLOOKUP(AC42,'BD LUB'!$A$2:$C$223,3,FALSE)=$AH$15,AC42&amp;" BULT",IF(VLOOKUP(AC42,'BD LUB'!$A$2:$C$223,3,FALSE)=$AH$14,AC42&amp;" COP",IF(VLOOKUP(AC42,'BD LUB'!$A$2:$C$223,3,FALSE)=$AH$13,AC42&amp;" RIO",IF(VLOOKUP(AC42,'BD LUB'!$A$2:$C$223,3,FALSE)=$AH$21,AC42&amp;" APART","Dato no encontrado")))))))))</f>
        <v>495 MED</v>
      </c>
      <c r="AE42" s="111"/>
      <c r="AF42" s="111"/>
      <c r="AG42" s="111"/>
      <c r="AH42" s="111"/>
      <c r="AI42" s="111"/>
      <c r="AJ42" s="126">
        <v>39.0</v>
      </c>
      <c r="AK42" s="141">
        <f>IFERROR(__xludf.DUMMYFUNCTION("""COMPUTED_VALUE"""),46668.0)</f>
        <v>46668</v>
      </c>
      <c r="AL42" s="128" t="str">
        <f>IFERROR(__xludf.DUMMYFUNCTION("""COMPUTED_VALUE"""),"02-Medellin")</f>
        <v>02-Medellin</v>
      </c>
      <c r="AM42" s="142">
        <f>IFERROR(__xludf.DUMMYFUNCTION("""COMPUTED_VALUE"""),90.0)</f>
        <v>90</v>
      </c>
      <c r="AN42" s="128"/>
      <c r="AP42" s="126">
        <v>39.0</v>
      </c>
      <c r="AQ42" s="141">
        <f>IFERROR(__xludf.DUMMYFUNCTION("""COMPUTED_VALUE"""),46668.0)</f>
        <v>46668</v>
      </c>
      <c r="AR42" s="128" t="str">
        <f>IFERROR(__xludf.DUMMYFUNCTION("""COMPUTED_VALUE"""),"02-Medellin")</f>
        <v>02-Medellin</v>
      </c>
      <c r="AS42" s="142">
        <f>IFERROR(__xludf.DUMMYFUNCTION("""COMPUTED_VALUE"""),90.0)</f>
        <v>90</v>
      </c>
      <c r="AT42" s="128"/>
      <c r="AV42" s="126">
        <v>39.0</v>
      </c>
      <c r="AW42" s="128"/>
      <c r="AX42" s="128"/>
      <c r="AY42" s="128"/>
      <c r="AZ42" s="128"/>
    </row>
    <row r="43">
      <c r="A43" s="120"/>
      <c r="B43" s="126">
        <v>40.0</v>
      </c>
      <c r="C43" s="78">
        <f>IFERROR(__xludf.DUMMYFUNCTION("""COMPUTED_VALUE"""),2887.0)</f>
        <v>2887</v>
      </c>
      <c r="D43" s="156">
        <f>IFERROR(__xludf.DUMMYFUNCTION("""COMPUTED_VALUE"""),46233.0)</f>
        <v>46233</v>
      </c>
      <c r="E43" s="78" t="str">
        <f>IFERROR(__xludf.DUMMYFUNCTION("""COMPUTED_VALUE"""),"02-Medellin")</f>
        <v>02-Medellin</v>
      </c>
      <c r="F43" s="156">
        <f>IFERROR(__xludf.DUMMYFUNCTION("""COMPUTED_VALUE"""),46044.0)</f>
        <v>46044</v>
      </c>
      <c r="G43" s="151">
        <f>IFERROR(__xludf.DUMMYFUNCTION("""COMPUTED_VALUE"""),8.0)</f>
        <v>8</v>
      </c>
      <c r="H43" s="134" t="str">
        <f>IFERROR(__xludf.DUMMYFUNCTION("""COMPUTED_VALUE"""),"PRÓXIMO")</f>
        <v>PRÓXIMO</v>
      </c>
      <c r="I43" s="132" t="str">
        <f t="shared" si="1"/>
        <v>NO PEDIDO</v>
      </c>
      <c r="J43" s="120"/>
      <c r="K43" s="126">
        <v>40.0</v>
      </c>
      <c r="L43" s="78">
        <f>IFERROR(__xludf.DUMMYFUNCTION("""COMPUTED_VALUE"""),3284.0)</f>
        <v>3284</v>
      </c>
      <c r="M43" s="156">
        <f>IFERROR(__xludf.DUMMYFUNCTION("""COMPUTED_VALUE"""),46668.0)</f>
        <v>46668</v>
      </c>
      <c r="N43" s="78" t="str">
        <f>IFERROR(__xludf.DUMMYFUNCTION("""COMPUTED_VALUE"""),"02-Medellin")</f>
        <v>02-Medellin</v>
      </c>
      <c r="O43" s="156">
        <f>IFERROR(__xludf.DUMMYFUNCTION("""COMPUTED_VALUE"""),46078.0)</f>
        <v>46078</v>
      </c>
      <c r="P43" s="151">
        <f>IFERROR(__xludf.DUMMYFUNCTION("""COMPUTED_VALUE"""),-187.0)</f>
        <v>-187</v>
      </c>
      <c r="Q43" s="134" t="str">
        <f>IFERROR(__xludf.DUMMYFUNCTION("""COMPUTED_VALUE"""),"PASADO")</f>
        <v>PASADO</v>
      </c>
      <c r="R43" s="132" t="str">
        <f t="shared" si="2"/>
        <v>HECHO</v>
      </c>
      <c r="T43" s="134">
        <f>CALENDARIO!D55</f>
        <v>2846</v>
      </c>
      <c r="U43" s="135">
        <f>CALENDARIO!C55</f>
        <v>3047</v>
      </c>
      <c r="W43" s="78"/>
      <c r="X43" s="136" t="str">
        <f>(VLOOKUP(W43,'BD LUB'!$A$2:$L$223,5,FALSE)/VLOOKUP(W43,'BD LUB'!$A$2:$L$223,7,FALSE))+(VLOOKUP(W43,'BD LUB'!$A$2:$L$223,6,FALSE)/VLOOKUP(W43,'BD LUB'!$A$2:$L$223,8,FALSE))</f>
        <v>#N/A</v>
      </c>
      <c r="Y43" s="137" t="str">
        <f>IF(AND(VLOOKUP(W43,'BD LUB'!$A$2:$L$223,11,FALSE)="PASADO",VLOOKUP(W43,'BD LUB'!$A$2:$L$223,12,FALSE)="PASADO"),1,IF(OR(AND(VLOOKUP(W43,'BD LUB'!$A$2:$L$223,11,FALSE)="PASADO",VLOOKUP(W43,'BD LUB'!$A$2:$L$223,12,FALSE)="PRÓXIMO"),AND(VLOOKUP(W43,'BD LUB'!$A$2:$L$223,11,FALSE)="PRÓXIMO",VLOOKUP(W43,'BD LUB'!$A$2:$L$223,12,FALSE)="PASADO")),2,IF(OR(AND(VLOOKUP(W43,'BD LUB'!$A$2:$L$223,11,FALSE)="PASADO",VLOOKUP(W43,'BD LUB'!$A$2:$L$223,12,FALSE)="VIGENTE"),AND(VLOOKUP(W43,'BD LUB'!$A$2:$L$223,11,FALSE)="VIGENTE",VLOOKUP(W43,'BD LUB'!$A$2:$L$223,12,FALSE)="PASADO")),3,IF(AND(VLOOKUP(W43,'BD LUB'!$A$2:$L$223,11,FALSE)="PRÓXIMO",VLOOKUP(W43,'BD LUB'!$A$2:$L$223,12,FALSE)="PRÓXIMO"),4,IF(OR(AND(VLOOKUP(W43,'BD LUB'!$A$2:$L$223,11,FALSE)="PRÓXIMO",VLOOKUP(W43,'BD LUB'!$A$2:$L$223,12,FALSE)="VIGENTE"),AND(VLOOKUP(W43,'BD LUB'!$A$2:$L$223,11,FALSE)="VIGENTE",VLOOKUP(W43,'BD LUB'!$A$2:$L$223,12,FALSE)="PRÓXIMO")),5,IF(AND(VLOOKUP(W43,'BD LUB'!$A$2:$L$223,11,FALSE)="VIGENTE",VLOOKUP(W43,'BD LUB'!$A$2:$L$223,12,FALSE)="VIGENTE"),6,"No definido"))))))</f>
        <v>#N/A</v>
      </c>
      <c r="Z43" s="138">
        <f>IFERROR(__xludf.DUMMYFUNCTION("""COMPUTED_VALUE"""),2927.0)</f>
        <v>2927</v>
      </c>
      <c r="AA43" s="139">
        <f>(VLOOKUP(Z43,'BD LUB'!$A$2:$L$223,5,FALSE)/VLOOKUP(Z43,'BD LUB'!$A$2:$L$223,7,FALSE))+(VLOOKUP(Z43,'BD LUB'!$A$2:$L$223,6,FALSE)/VLOOKUP(Z43,'BD LUB'!$A$2:$L$223,8,FALSE))</f>
        <v>1.809111111</v>
      </c>
      <c r="AB43" s="78">
        <f>IF(AND(VLOOKUP(Z43,'BD LUB'!$A$2:$L$223,11,FALSE)="PASADO",VLOOKUP(Z43,'BD LUB'!$A$2:$L$223,12,FALSE)="PASADO"),1,IF(OR(AND(VLOOKUP(Z43,'BD LUB'!$A$2:$L$223,11,FALSE)="PASADO",VLOOKUP(Z43,'BD LUB'!$A$2:$L$223,12,FALSE)="PRÓXIMO"),AND(VLOOKUP(Z43,'BD LUB'!$A$2:$L$223,11,FALSE)="PRÓXIMO",VLOOKUP(Z43,'BD LUB'!$A$2:$L$223,12,FALSE)="PASADO")),2,IF(OR(AND(VLOOKUP(Z43,'BD LUB'!$A$2:$L$223,11,FALSE)="PASADO",VLOOKUP(Z43,'BD LUB'!$A$2:$L$223,12,FALSE)="VIGENTE"),AND(VLOOKUP(Z43,'BD LUB'!$A$2:$L$223,11,FALSE)="VIGENTE",VLOOKUP(Z43,'BD LUB'!$A$2:$L$223,12,FALSE)="PASADO")),3,IF(AND(VLOOKUP(Z43,'BD LUB'!$A$2:$L$223,11,FALSE)="PRÓXIMO",VLOOKUP(Z43,'BD LUB'!$A$2:$L$223,12,FALSE)="PRÓXIMO"),4,IF(OR(AND(VLOOKUP(Z43,'BD LUB'!$A$2:$L$223,11,FALSE)="PRÓXIMO",VLOOKUP(Z43,'BD LUB'!$A$2:$L$223,12,FALSE)="VIGENTE"),AND(VLOOKUP(Z43,'BD LUB'!$A$2:$L$223,11,FALSE)="VIGENTE",VLOOKUP(Z43,'BD LUB'!$A$2:$L$223,12,FALSE)="PRÓXIMO")),5,IF(AND(VLOOKUP(Z43,'BD LUB'!$A$2:$L$223,11,FALSE)="VIGENTE",VLOOKUP(Z43,'BD LUB'!$A$2:$L$223,12,FALSE)="VIGENTE"),6,"No definido"))))))</f>
        <v>5</v>
      </c>
      <c r="AC43" s="134">
        <f>IFERROR(__xludf.DUMMYFUNCTION("""COMPUTED_VALUE"""),2850.0)</f>
        <v>2850</v>
      </c>
      <c r="AD43" s="136" t="str">
        <f>IF(VLOOKUP(AC43,'BD LUB'!$A$2:$C$223,3,FALSE)=$AH$20,AC43&amp;" MED",IF(VLOOKUP(AC43,'BD LUB'!$A$2:$C$223,3,FALSE)=$AH$19,AC43&amp;" MAY",IF(VLOOKUP(AC43,'BD LUB'!$A$2:$C$223,3,FALSE)=$AH$18,AC43&amp;" RN",IF(VLOOKUP(AC43,'BD LUB'!$A$2:$C$223,3,FALSE)=$AH$17,AC43&amp;" COPQUI",IF(VLOOKUP(AC43,'BD LUB'!$A$2:$C$223,3,FALSE)=$AH$16,AC43&amp;" CEJ",IF(VLOOKUP(AC43,'BD LUB'!$A$2:$C$223,3,FALSE)=$AH$15,AC43&amp;" BULT",IF(VLOOKUP(AC43,'BD LUB'!$A$2:$C$223,3,FALSE)=$AH$14,AC43&amp;" COP",IF(VLOOKUP(AC43,'BD LUB'!$A$2:$C$223,3,FALSE)=$AH$13,AC43&amp;" RIO",IF(VLOOKUP(AC43,'BD LUB'!$A$2:$C$223,3,FALSE)=$AH$21,AC43&amp;" APART","Dato no encontrado")))))))))</f>
        <v>2850 MAY</v>
      </c>
      <c r="AE43" s="111"/>
      <c r="AF43" s="111"/>
      <c r="AG43" s="111"/>
      <c r="AH43" s="111"/>
      <c r="AI43" s="111"/>
      <c r="AJ43" s="126">
        <v>40.0</v>
      </c>
      <c r="AK43" s="141">
        <f>IFERROR(__xludf.DUMMYFUNCTION("""COMPUTED_VALUE"""),46668.0)</f>
        <v>46668</v>
      </c>
      <c r="AL43" s="128" t="str">
        <f>IFERROR(__xludf.DUMMYFUNCTION("""COMPUTED_VALUE"""),"02-Medellin")</f>
        <v>02-Medellin</v>
      </c>
      <c r="AM43" s="142">
        <f>IFERROR(__xludf.DUMMYFUNCTION("""COMPUTED_VALUE"""),88.0)</f>
        <v>88</v>
      </c>
      <c r="AN43" s="128"/>
      <c r="AP43" s="126">
        <v>40.0</v>
      </c>
      <c r="AQ43" s="141">
        <f>IFERROR(__xludf.DUMMYFUNCTION("""COMPUTED_VALUE"""),46668.0)</f>
        <v>46668</v>
      </c>
      <c r="AR43" s="128" t="str">
        <f>IFERROR(__xludf.DUMMYFUNCTION("""COMPUTED_VALUE"""),"02-Medellin")</f>
        <v>02-Medellin</v>
      </c>
      <c r="AS43" s="142">
        <f>IFERROR(__xludf.DUMMYFUNCTION("""COMPUTED_VALUE"""),88.0)</f>
        <v>88</v>
      </c>
      <c r="AT43" s="128"/>
      <c r="AV43" s="126">
        <v>40.0</v>
      </c>
      <c r="AW43" s="128"/>
      <c r="AX43" s="128"/>
      <c r="AY43" s="128"/>
      <c r="AZ43" s="128"/>
    </row>
    <row r="44">
      <c r="A44" s="120"/>
      <c r="B44" s="126">
        <v>41.0</v>
      </c>
      <c r="C44" s="78">
        <f>IFERROR(__xludf.DUMMYFUNCTION("""COMPUTED_VALUE"""),2200.0)</f>
        <v>2200</v>
      </c>
      <c r="D44" s="156">
        <f>IFERROR(__xludf.DUMMYFUNCTION("""COMPUTED_VALUE"""),46478.0)</f>
        <v>46478</v>
      </c>
      <c r="E44" s="78" t="str">
        <f>IFERROR(__xludf.DUMMYFUNCTION("""COMPUTED_VALUE"""),"BULTOS")</f>
        <v>BULTOS</v>
      </c>
      <c r="F44" s="156">
        <f>IFERROR(__xludf.DUMMYFUNCTION("""COMPUTED_VALUE"""),46044.0)</f>
        <v>46044</v>
      </c>
      <c r="G44" s="151">
        <f>IFERROR(__xludf.DUMMYFUNCTION("""COMPUTED_VALUE"""),8.0)</f>
        <v>8</v>
      </c>
      <c r="H44" s="134" t="str">
        <f>IFERROR(__xludf.DUMMYFUNCTION("""COMPUTED_VALUE"""),"PRÓXIMO")</f>
        <v>PRÓXIMO</v>
      </c>
      <c r="I44" s="132" t="str">
        <f t="shared" si="1"/>
        <v>NO PEDIDO</v>
      </c>
      <c r="J44" s="120"/>
      <c r="K44" s="126">
        <v>41.0</v>
      </c>
      <c r="L44" s="78">
        <f>IFERROR(__xludf.DUMMYFUNCTION("""COMPUTED_VALUE"""),2920.0)</f>
        <v>2920</v>
      </c>
      <c r="M44" s="156">
        <f>IFERROR(__xludf.DUMMYFUNCTION("""COMPUTED_VALUE"""),46317.0)</f>
        <v>46317</v>
      </c>
      <c r="N44" s="78" t="str">
        <f>IFERROR(__xludf.DUMMYFUNCTION("""COMPUTED_VALUE"""),"31-Copacabana")</f>
        <v>31-Copacabana</v>
      </c>
      <c r="O44" s="156">
        <f>IFERROR(__xludf.DUMMYFUNCTION("""COMPUTED_VALUE"""),46108.0)</f>
        <v>46108</v>
      </c>
      <c r="P44" s="151">
        <f>IFERROR(__xludf.DUMMYFUNCTION("""COMPUTED_VALUE"""),-47.0)</f>
        <v>-47</v>
      </c>
      <c r="Q44" s="134" t="str">
        <f>IFERROR(__xludf.DUMMYFUNCTION("""COMPUTED_VALUE"""),"PASADO")</f>
        <v>PASADO</v>
      </c>
      <c r="R44" s="132" t="str">
        <f t="shared" si="2"/>
        <v>PEDIDO</v>
      </c>
      <c r="T44" s="134" t="str">
        <f>CALENDARIO!D56</f>
        <v/>
      </c>
      <c r="U44" s="135">
        <f>CALENDARIO!C56</f>
        <v>2921</v>
      </c>
      <c r="W44" s="78"/>
      <c r="X44" s="136" t="str">
        <f>(VLOOKUP(W44,'BD LUB'!$A$2:$L$223,5,FALSE)/VLOOKUP(W44,'BD LUB'!$A$2:$L$223,7,FALSE))+(VLOOKUP(W44,'BD LUB'!$A$2:$L$223,6,FALSE)/VLOOKUP(W44,'BD LUB'!$A$2:$L$223,8,FALSE))</f>
        <v>#N/A</v>
      </c>
      <c r="Y44" s="137" t="str">
        <f>IF(AND(VLOOKUP(W44,'BD LUB'!$A$2:$L$223,11,FALSE)="PASADO",VLOOKUP(W44,'BD LUB'!$A$2:$L$223,12,FALSE)="PASADO"),1,IF(OR(AND(VLOOKUP(W44,'BD LUB'!$A$2:$L$223,11,FALSE)="PASADO",VLOOKUP(W44,'BD LUB'!$A$2:$L$223,12,FALSE)="PRÓXIMO"),AND(VLOOKUP(W44,'BD LUB'!$A$2:$L$223,11,FALSE)="PRÓXIMO",VLOOKUP(W44,'BD LUB'!$A$2:$L$223,12,FALSE)="PASADO")),2,IF(OR(AND(VLOOKUP(W44,'BD LUB'!$A$2:$L$223,11,FALSE)="PASADO",VLOOKUP(W44,'BD LUB'!$A$2:$L$223,12,FALSE)="VIGENTE"),AND(VLOOKUP(W44,'BD LUB'!$A$2:$L$223,11,FALSE)="VIGENTE",VLOOKUP(W44,'BD LUB'!$A$2:$L$223,12,FALSE)="PASADO")),3,IF(AND(VLOOKUP(W44,'BD LUB'!$A$2:$L$223,11,FALSE)="PRÓXIMO",VLOOKUP(W44,'BD LUB'!$A$2:$L$223,12,FALSE)="PRÓXIMO"),4,IF(OR(AND(VLOOKUP(W44,'BD LUB'!$A$2:$L$223,11,FALSE)="PRÓXIMO",VLOOKUP(W44,'BD LUB'!$A$2:$L$223,12,FALSE)="VIGENTE"),AND(VLOOKUP(W44,'BD LUB'!$A$2:$L$223,11,FALSE)="VIGENTE",VLOOKUP(W44,'BD LUB'!$A$2:$L$223,12,FALSE)="PRÓXIMO")),5,IF(AND(VLOOKUP(W44,'BD LUB'!$A$2:$L$223,11,FALSE)="VIGENTE",VLOOKUP(W44,'BD LUB'!$A$2:$L$223,12,FALSE)="VIGENTE"),6,"No definido"))))))</f>
        <v>#N/A</v>
      </c>
      <c r="Z44" s="138">
        <f>IFERROR(__xludf.DUMMYFUNCTION("""COMPUTED_VALUE"""),3200.0)</f>
        <v>3200</v>
      </c>
      <c r="AA44" s="139">
        <f>(VLOOKUP(Z44,'BD LUB'!$A$2:$L$223,5,FALSE)/VLOOKUP(Z44,'BD LUB'!$A$2:$L$223,7,FALSE))+(VLOOKUP(Z44,'BD LUB'!$A$2:$L$223,6,FALSE)/VLOOKUP(Z44,'BD LUB'!$A$2:$L$223,8,FALSE))</f>
        <v>1.689644444</v>
      </c>
      <c r="AB44" s="78">
        <f>IF(AND(VLOOKUP(Z44,'BD LUB'!$A$2:$L$223,11,FALSE)="PASADO",VLOOKUP(Z44,'BD LUB'!$A$2:$L$223,12,FALSE)="PASADO"),1,IF(OR(AND(VLOOKUP(Z44,'BD LUB'!$A$2:$L$223,11,FALSE)="PASADO",VLOOKUP(Z44,'BD LUB'!$A$2:$L$223,12,FALSE)="PRÓXIMO"),AND(VLOOKUP(Z44,'BD LUB'!$A$2:$L$223,11,FALSE)="PRÓXIMO",VLOOKUP(Z44,'BD LUB'!$A$2:$L$223,12,FALSE)="PASADO")),2,IF(OR(AND(VLOOKUP(Z44,'BD LUB'!$A$2:$L$223,11,FALSE)="PASADO",VLOOKUP(Z44,'BD LUB'!$A$2:$L$223,12,FALSE)="VIGENTE"),AND(VLOOKUP(Z44,'BD LUB'!$A$2:$L$223,11,FALSE)="VIGENTE",VLOOKUP(Z44,'BD LUB'!$A$2:$L$223,12,FALSE)="PASADO")),3,IF(AND(VLOOKUP(Z44,'BD LUB'!$A$2:$L$223,11,FALSE)="PRÓXIMO",VLOOKUP(Z44,'BD LUB'!$A$2:$L$223,12,FALSE)="PRÓXIMO"),4,IF(OR(AND(VLOOKUP(Z44,'BD LUB'!$A$2:$L$223,11,FALSE)="PRÓXIMO",VLOOKUP(Z44,'BD LUB'!$A$2:$L$223,12,FALSE)="VIGENTE"),AND(VLOOKUP(Z44,'BD LUB'!$A$2:$L$223,11,FALSE)="VIGENTE",VLOOKUP(Z44,'BD LUB'!$A$2:$L$223,12,FALSE)="PRÓXIMO")),5,IF(AND(VLOOKUP(Z44,'BD LUB'!$A$2:$L$223,11,FALSE)="VIGENTE",VLOOKUP(Z44,'BD LUB'!$A$2:$L$223,12,FALSE)="VIGENTE"),6,"No definido"))))))</f>
        <v>5</v>
      </c>
      <c r="AC44" s="134">
        <f>IFERROR(__xludf.DUMMYFUNCTION("""COMPUTED_VALUE"""),2891.0)</f>
        <v>2891</v>
      </c>
      <c r="AD44" s="136" t="str">
        <f>IF(VLOOKUP(AC44,'BD LUB'!$A$2:$C$223,3,FALSE)=$AH$20,AC44&amp;" MED",IF(VLOOKUP(AC44,'BD LUB'!$A$2:$C$223,3,FALSE)=$AH$19,AC44&amp;" MAY",IF(VLOOKUP(AC44,'BD LUB'!$A$2:$C$223,3,FALSE)=$AH$18,AC44&amp;" RN",IF(VLOOKUP(AC44,'BD LUB'!$A$2:$C$223,3,FALSE)=$AH$17,AC44&amp;" COPQUI",IF(VLOOKUP(AC44,'BD LUB'!$A$2:$C$223,3,FALSE)=$AH$16,AC44&amp;" CEJ",IF(VLOOKUP(AC44,'BD LUB'!$A$2:$C$223,3,FALSE)=$AH$15,AC44&amp;" BULT",IF(VLOOKUP(AC44,'BD LUB'!$A$2:$C$223,3,FALSE)=$AH$14,AC44&amp;" COP",IF(VLOOKUP(AC44,'BD LUB'!$A$2:$C$223,3,FALSE)=$AH$13,AC44&amp;" RIO",IF(VLOOKUP(AC44,'BD LUB'!$A$2:$C$223,3,FALSE)=$AH$21,AC44&amp;" APART","Dato no encontrado")))))))))</f>
        <v>2891 COP</v>
      </c>
      <c r="AE44" s="111"/>
      <c r="AF44" s="111"/>
      <c r="AG44" s="111"/>
      <c r="AH44" s="111"/>
      <c r="AI44" s="111"/>
      <c r="AJ44" s="126">
        <v>41.0</v>
      </c>
      <c r="AK44" s="141">
        <f>IFERROR(__xludf.DUMMYFUNCTION("""COMPUTED_VALUE"""),46242.0)</f>
        <v>46242</v>
      </c>
      <c r="AL44" s="128" t="str">
        <f>IFERROR(__xludf.DUMMYFUNCTION("""COMPUTED_VALUE"""),"31-Copacabana QUIMICOS")</f>
        <v>31-Copacabana QUIMICOS</v>
      </c>
      <c r="AM44" s="142">
        <f>IFERROR(__xludf.DUMMYFUNCTION("""COMPUTED_VALUE"""),84.0)</f>
        <v>84</v>
      </c>
      <c r="AN44" s="128"/>
      <c r="AP44" s="126">
        <v>41.0</v>
      </c>
      <c r="AQ44" s="141">
        <f>IFERROR(__xludf.DUMMYFUNCTION("""COMPUTED_VALUE"""),46242.0)</f>
        <v>46242</v>
      </c>
      <c r="AR44" s="128" t="str">
        <f>IFERROR(__xludf.DUMMYFUNCTION("""COMPUTED_VALUE"""),"31-Copacabana QUIMICOS")</f>
        <v>31-Copacabana QUIMICOS</v>
      </c>
      <c r="AS44" s="142">
        <f>IFERROR(__xludf.DUMMYFUNCTION("""COMPUTED_VALUE"""),84.0)</f>
        <v>84</v>
      </c>
      <c r="AT44" s="128"/>
      <c r="AV44" s="126">
        <v>41.0</v>
      </c>
      <c r="AW44" s="128"/>
      <c r="AX44" s="128"/>
      <c r="AY44" s="128"/>
      <c r="AZ44" s="128"/>
    </row>
    <row r="45">
      <c r="A45" s="120"/>
      <c r="B45" s="126">
        <v>42.0</v>
      </c>
      <c r="C45" s="78">
        <f>IFERROR(__xludf.DUMMYFUNCTION("""COMPUTED_VALUE"""),3048.0)</f>
        <v>3048</v>
      </c>
      <c r="D45" s="156">
        <f>IFERROR(__xludf.DUMMYFUNCTION("""COMPUTED_VALUE"""),46280.0)</f>
        <v>46280</v>
      </c>
      <c r="E45" s="78" t="str">
        <f>IFERROR(__xludf.DUMMYFUNCTION("""COMPUTED_VALUE"""),"02-Medellin")</f>
        <v>02-Medellin</v>
      </c>
      <c r="F45" s="156">
        <f>IFERROR(__xludf.DUMMYFUNCTION("""COMPUTED_VALUE"""),46050.0)</f>
        <v>46050</v>
      </c>
      <c r="G45" s="151">
        <f>IFERROR(__xludf.DUMMYFUNCTION("""COMPUTED_VALUE"""),14.0)</f>
        <v>14</v>
      </c>
      <c r="H45" s="134" t="str">
        <f>IFERROR(__xludf.DUMMYFUNCTION("""COMPUTED_VALUE"""),"VIGENTE")</f>
        <v>VIGENTE</v>
      </c>
      <c r="I45" s="132" t="str">
        <f t="shared" si="1"/>
        <v>-</v>
      </c>
      <c r="J45" s="120"/>
      <c r="K45" s="126">
        <v>42.0</v>
      </c>
      <c r="L45" s="78">
        <f>IFERROR(__xludf.DUMMYFUNCTION("""COMPUTED_VALUE"""),3251.0)</f>
        <v>3251</v>
      </c>
      <c r="M45" s="156">
        <f>IFERROR(__xludf.DUMMYFUNCTION("""COMPUTED_VALUE"""),46661.0)</f>
        <v>46661</v>
      </c>
      <c r="N45" s="78" t="str">
        <f>IFERROR(__xludf.DUMMYFUNCTION("""COMPUTED_VALUE"""),"24-Rionegro")</f>
        <v>24-Rionegro</v>
      </c>
      <c r="O45" s="156">
        <f>IFERROR(__xludf.DUMMYFUNCTION("""COMPUTED_VALUE"""),46087.0)</f>
        <v>46087</v>
      </c>
      <c r="P45" s="151">
        <f>IFERROR(__xludf.DUMMYFUNCTION("""COMPUTED_VALUE"""),-16.0)</f>
        <v>-16</v>
      </c>
      <c r="Q45" s="134" t="str">
        <f>IFERROR(__xludf.DUMMYFUNCTION("""COMPUTED_VALUE"""),"PASADO")</f>
        <v>PASADO</v>
      </c>
      <c r="R45" s="132" t="str">
        <f t="shared" si="2"/>
        <v>HECHO</v>
      </c>
      <c r="T45" s="134" t="str">
        <f>CALENDARIO!D57</f>
        <v/>
      </c>
      <c r="U45" s="135">
        <f>CALENDARIO!C57</f>
        <v>2859</v>
      </c>
      <c r="W45" s="78"/>
      <c r="X45" s="136" t="str">
        <f>(VLOOKUP(W45,'BD LUB'!$A$2:$L$223,5,FALSE)/VLOOKUP(W45,'BD LUB'!$A$2:$L$223,7,FALSE))+(VLOOKUP(W45,'BD LUB'!$A$2:$L$223,6,FALSE)/VLOOKUP(W45,'BD LUB'!$A$2:$L$223,8,FALSE))</f>
        <v>#N/A</v>
      </c>
      <c r="Y45" s="137" t="str">
        <f>IF(AND(VLOOKUP(W45,'BD LUB'!$A$2:$L$223,11,FALSE)="PASADO",VLOOKUP(W45,'BD LUB'!$A$2:$L$223,12,FALSE)="PASADO"),1,IF(OR(AND(VLOOKUP(W45,'BD LUB'!$A$2:$L$223,11,FALSE)="PASADO",VLOOKUP(W45,'BD LUB'!$A$2:$L$223,12,FALSE)="PRÓXIMO"),AND(VLOOKUP(W45,'BD LUB'!$A$2:$L$223,11,FALSE)="PRÓXIMO",VLOOKUP(W45,'BD LUB'!$A$2:$L$223,12,FALSE)="PASADO")),2,IF(OR(AND(VLOOKUP(W45,'BD LUB'!$A$2:$L$223,11,FALSE)="PASADO",VLOOKUP(W45,'BD LUB'!$A$2:$L$223,12,FALSE)="VIGENTE"),AND(VLOOKUP(W45,'BD LUB'!$A$2:$L$223,11,FALSE)="VIGENTE",VLOOKUP(W45,'BD LUB'!$A$2:$L$223,12,FALSE)="PASADO")),3,IF(AND(VLOOKUP(W45,'BD LUB'!$A$2:$L$223,11,FALSE)="PRÓXIMO",VLOOKUP(W45,'BD LUB'!$A$2:$L$223,12,FALSE)="PRÓXIMO"),4,IF(OR(AND(VLOOKUP(W45,'BD LUB'!$A$2:$L$223,11,FALSE)="PRÓXIMO",VLOOKUP(W45,'BD LUB'!$A$2:$L$223,12,FALSE)="VIGENTE"),AND(VLOOKUP(W45,'BD LUB'!$A$2:$L$223,11,FALSE)="VIGENTE",VLOOKUP(W45,'BD LUB'!$A$2:$L$223,12,FALSE)="PRÓXIMO")),5,IF(AND(VLOOKUP(W45,'BD LUB'!$A$2:$L$223,11,FALSE)="VIGENTE",VLOOKUP(W45,'BD LUB'!$A$2:$L$223,12,FALSE)="VIGENTE"),6,"No definido"))))))</f>
        <v>#N/A</v>
      </c>
      <c r="Z45" s="138">
        <f>IFERROR(__xludf.DUMMYFUNCTION("""COMPUTED_VALUE"""),3271.0)</f>
        <v>3271</v>
      </c>
      <c r="AA45" s="139">
        <f>(VLOOKUP(Z45,'BD LUB'!$A$2:$L$223,5,FALSE)/VLOOKUP(Z45,'BD LUB'!$A$2:$L$223,7,FALSE))+(VLOOKUP(Z45,'BD LUB'!$A$2:$L$223,6,FALSE)/VLOOKUP(Z45,'BD LUB'!$A$2:$L$223,8,FALSE))</f>
        <v>1.651911111</v>
      </c>
      <c r="AB45" s="78">
        <f>IF(AND(VLOOKUP(Z45,'BD LUB'!$A$2:$L$223,11,FALSE)="PASADO",VLOOKUP(Z45,'BD LUB'!$A$2:$L$223,12,FALSE)="PASADO"),1,IF(OR(AND(VLOOKUP(Z45,'BD LUB'!$A$2:$L$223,11,FALSE)="PASADO",VLOOKUP(Z45,'BD LUB'!$A$2:$L$223,12,FALSE)="PRÓXIMO"),AND(VLOOKUP(Z45,'BD LUB'!$A$2:$L$223,11,FALSE)="PRÓXIMO",VLOOKUP(Z45,'BD LUB'!$A$2:$L$223,12,FALSE)="PASADO")),2,IF(OR(AND(VLOOKUP(Z45,'BD LUB'!$A$2:$L$223,11,FALSE)="PASADO",VLOOKUP(Z45,'BD LUB'!$A$2:$L$223,12,FALSE)="VIGENTE"),AND(VLOOKUP(Z45,'BD LUB'!$A$2:$L$223,11,FALSE)="VIGENTE",VLOOKUP(Z45,'BD LUB'!$A$2:$L$223,12,FALSE)="PASADO")),3,IF(AND(VLOOKUP(Z45,'BD LUB'!$A$2:$L$223,11,FALSE)="PRÓXIMO",VLOOKUP(Z45,'BD LUB'!$A$2:$L$223,12,FALSE)="PRÓXIMO"),4,IF(OR(AND(VLOOKUP(Z45,'BD LUB'!$A$2:$L$223,11,FALSE)="PRÓXIMO",VLOOKUP(Z45,'BD LUB'!$A$2:$L$223,12,FALSE)="VIGENTE"),AND(VLOOKUP(Z45,'BD LUB'!$A$2:$L$223,11,FALSE)="VIGENTE",VLOOKUP(Z45,'BD LUB'!$A$2:$L$223,12,FALSE)="PRÓXIMO")),5,IF(AND(VLOOKUP(Z45,'BD LUB'!$A$2:$L$223,11,FALSE)="VIGENTE",VLOOKUP(Z45,'BD LUB'!$A$2:$L$223,12,FALSE)="VIGENTE"),6,"No definido"))))))</f>
        <v>5</v>
      </c>
      <c r="AC45" s="134">
        <f>IFERROR(__xludf.DUMMYFUNCTION("""COMPUTED_VALUE"""),2394.0)</f>
        <v>2394</v>
      </c>
      <c r="AD45" s="136" t="str">
        <f>IF(VLOOKUP(AC45,'BD LUB'!$A$2:$C$223,3,FALSE)=$AH$20,AC45&amp;" MED",IF(VLOOKUP(AC45,'BD LUB'!$A$2:$C$223,3,FALSE)=$AH$19,AC45&amp;" MAY",IF(VLOOKUP(AC45,'BD LUB'!$A$2:$C$223,3,FALSE)=$AH$18,AC45&amp;" RN",IF(VLOOKUP(AC45,'BD LUB'!$A$2:$C$223,3,FALSE)=$AH$17,AC45&amp;" COPQUI",IF(VLOOKUP(AC45,'BD LUB'!$A$2:$C$223,3,FALSE)=$AH$16,AC45&amp;" CEJ",IF(VLOOKUP(AC45,'BD LUB'!$A$2:$C$223,3,FALSE)=$AH$15,AC45&amp;" BULT",IF(VLOOKUP(AC45,'BD LUB'!$A$2:$C$223,3,FALSE)=$AH$14,AC45&amp;" COP",IF(VLOOKUP(AC45,'BD LUB'!$A$2:$C$223,3,FALSE)=$AH$13,AC45&amp;" RIO",IF(VLOOKUP(AC45,'BD LUB'!$A$2:$C$223,3,FALSE)=$AH$21,AC45&amp;" APART","Dato no encontrado")))))))))</f>
        <v>2394 MAY</v>
      </c>
      <c r="AE45" s="111"/>
      <c r="AF45" s="111"/>
      <c r="AG45" s="111"/>
      <c r="AH45" s="111"/>
      <c r="AI45" s="111"/>
      <c r="AJ45" s="126">
        <v>42.0</v>
      </c>
      <c r="AK45" s="141">
        <f>IFERROR(__xludf.DUMMYFUNCTION("""COMPUTED_VALUE"""),46318.0)</f>
        <v>46318</v>
      </c>
      <c r="AL45" s="128" t="str">
        <f>IFERROR(__xludf.DUMMYFUNCTION("""COMPUTED_VALUE"""),"BULTOS")</f>
        <v>BULTOS</v>
      </c>
      <c r="AM45" s="142">
        <f>IFERROR(__xludf.DUMMYFUNCTION("""COMPUTED_VALUE"""),81.0)</f>
        <v>81</v>
      </c>
      <c r="AN45" s="128"/>
      <c r="AP45" s="126">
        <v>42.0</v>
      </c>
      <c r="AQ45" s="141">
        <f>IFERROR(__xludf.DUMMYFUNCTION("""COMPUTED_VALUE"""),46318.0)</f>
        <v>46318</v>
      </c>
      <c r="AR45" s="128" t="str">
        <f>IFERROR(__xludf.DUMMYFUNCTION("""COMPUTED_VALUE"""),"BULTOS")</f>
        <v>BULTOS</v>
      </c>
      <c r="AS45" s="142">
        <f>IFERROR(__xludf.DUMMYFUNCTION("""COMPUTED_VALUE"""),81.0)</f>
        <v>81</v>
      </c>
      <c r="AT45" s="128"/>
      <c r="AV45" s="126">
        <v>42.0</v>
      </c>
      <c r="AW45" s="128"/>
      <c r="AX45" s="128"/>
      <c r="AY45" s="128"/>
      <c r="AZ45" s="128"/>
    </row>
    <row r="46">
      <c r="A46" s="120"/>
      <c r="B46" s="126">
        <v>43.0</v>
      </c>
      <c r="C46" s="78">
        <f>IFERROR(__xludf.DUMMYFUNCTION("""COMPUTED_VALUE"""),2418.0)</f>
        <v>2418</v>
      </c>
      <c r="D46" s="156">
        <f>IFERROR(__xludf.DUMMYFUNCTION("""COMPUTED_VALUE"""),46520.0)</f>
        <v>46520</v>
      </c>
      <c r="E46" s="78" t="str">
        <f>IFERROR(__xludf.DUMMYFUNCTION("""COMPUTED_VALUE"""),"02-Medellin")</f>
        <v>02-Medellin</v>
      </c>
      <c r="F46" s="156">
        <f>IFERROR(__xludf.DUMMYFUNCTION("""COMPUTED_VALUE"""),46051.0)</f>
        <v>46051</v>
      </c>
      <c r="G46" s="151">
        <f>IFERROR(__xludf.DUMMYFUNCTION("""COMPUTED_VALUE"""),15.0)</f>
        <v>15</v>
      </c>
      <c r="H46" s="134" t="str">
        <f>IFERROR(__xludf.DUMMYFUNCTION("""COMPUTED_VALUE"""),"VIGENTE")</f>
        <v>VIGENTE</v>
      </c>
      <c r="I46" s="132" t="str">
        <f t="shared" si="1"/>
        <v>-</v>
      </c>
      <c r="J46" s="120"/>
      <c r="K46" s="126">
        <v>43.0</v>
      </c>
      <c r="L46" s="78">
        <f>IFERROR(__xludf.DUMMYFUNCTION("""COMPUTED_VALUE"""),2927.0)</f>
        <v>2927</v>
      </c>
      <c r="M46" s="156">
        <f>IFERROR(__xludf.DUMMYFUNCTION("""COMPUTED_VALUE"""),46318.0)</f>
        <v>46318</v>
      </c>
      <c r="N46" s="78" t="str">
        <f>IFERROR(__xludf.DUMMYFUNCTION("""COMPUTED_VALUE"""),"02-Medellin")</f>
        <v>02-Medellin</v>
      </c>
      <c r="O46" s="156">
        <f>IFERROR(__xludf.DUMMYFUNCTION("""COMPUTED_VALUE"""),46070.0)</f>
        <v>46070</v>
      </c>
      <c r="P46" s="151">
        <f>IFERROR(__xludf.DUMMYFUNCTION("""COMPUTED_VALUE"""),10.0)</f>
        <v>10</v>
      </c>
      <c r="Q46" s="134" t="str">
        <f>IFERROR(__xludf.DUMMYFUNCTION("""COMPUTED_VALUE"""),"PRÓXIMO")</f>
        <v>PRÓXIMO</v>
      </c>
      <c r="R46" s="132" t="str">
        <f t="shared" si="2"/>
        <v>PEDIDO</v>
      </c>
      <c r="T46" s="134" t="str">
        <f>CALENDARIO!D58</f>
        <v/>
      </c>
      <c r="U46" s="135">
        <f>CALENDARIO!C58</f>
        <v>2927</v>
      </c>
      <c r="W46" s="78"/>
      <c r="X46" s="136" t="str">
        <f>(VLOOKUP(W46,'BD LUB'!$A$2:$L$223,5,FALSE)/VLOOKUP(W46,'BD LUB'!$A$2:$L$223,7,FALSE))+(VLOOKUP(W46,'BD LUB'!$A$2:$L$223,6,FALSE)/VLOOKUP(W46,'BD LUB'!$A$2:$L$223,8,FALSE))</f>
        <v>#N/A</v>
      </c>
      <c r="Y46" s="137" t="str">
        <f>IF(AND(VLOOKUP(W46,'BD LUB'!$A$2:$L$223,11,FALSE)="PASADO",VLOOKUP(W46,'BD LUB'!$A$2:$L$223,12,FALSE)="PASADO"),1,IF(OR(AND(VLOOKUP(W46,'BD LUB'!$A$2:$L$223,11,FALSE)="PASADO",VLOOKUP(W46,'BD LUB'!$A$2:$L$223,12,FALSE)="PRÓXIMO"),AND(VLOOKUP(W46,'BD LUB'!$A$2:$L$223,11,FALSE)="PRÓXIMO",VLOOKUP(W46,'BD LUB'!$A$2:$L$223,12,FALSE)="PASADO")),2,IF(OR(AND(VLOOKUP(W46,'BD LUB'!$A$2:$L$223,11,FALSE)="PASADO",VLOOKUP(W46,'BD LUB'!$A$2:$L$223,12,FALSE)="VIGENTE"),AND(VLOOKUP(W46,'BD LUB'!$A$2:$L$223,11,FALSE)="VIGENTE",VLOOKUP(W46,'BD LUB'!$A$2:$L$223,12,FALSE)="PASADO")),3,IF(AND(VLOOKUP(W46,'BD LUB'!$A$2:$L$223,11,FALSE)="PRÓXIMO",VLOOKUP(W46,'BD LUB'!$A$2:$L$223,12,FALSE)="PRÓXIMO"),4,IF(OR(AND(VLOOKUP(W46,'BD LUB'!$A$2:$L$223,11,FALSE)="PRÓXIMO",VLOOKUP(W46,'BD LUB'!$A$2:$L$223,12,FALSE)="VIGENTE"),AND(VLOOKUP(W46,'BD LUB'!$A$2:$L$223,11,FALSE)="VIGENTE",VLOOKUP(W46,'BD LUB'!$A$2:$L$223,12,FALSE)="PRÓXIMO")),5,IF(AND(VLOOKUP(W46,'BD LUB'!$A$2:$L$223,11,FALSE)="VIGENTE",VLOOKUP(W46,'BD LUB'!$A$2:$L$223,12,FALSE)="VIGENTE"),6,"No definido"))))))</f>
        <v>#N/A</v>
      </c>
      <c r="Z46" s="138">
        <f>IFERROR(__xludf.DUMMYFUNCTION("""COMPUTED_VALUE"""),2850.0)</f>
        <v>2850</v>
      </c>
      <c r="AA46" s="139">
        <f>(VLOOKUP(Z46,'BD LUB'!$A$2:$L$223,5,FALSE)/VLOOKUP(Z46,'BD LUB'!$A$2:$L$223,7,FALSE))+(VLOOKUP(Z46,'BD LUB'!$A$2:$L$223,6,FALSE)/VLOOKUP(Z46,'BD LUB'!$A$2:$L$223,8,FALSE))</f>
        <v>1.517933333</v>
      </c>
      <c r="AB46" s="78">
        <f>IF(AND(VLOOKUP(Z46,'BD LUB'!$A$2:$L$223,11,FALSE)="PASADO",VLOOKUP(Z46,'BD LUB'!$A$2:$L$223,12,FALSE)="PASADO"),1,IF(OR(AND(VLOOKUP(Z46,'BD LUB'!$A$2:$L$223,11,FALSE)="PASADO",VLOOKUP(Z46,'BD LUB'!$A$2:$L$223,12,FALSE)="PRÓXIMO"),AND(VLOOKUP(Z46,'BD LUB'!$A$2:$L$223,11,FALSE)="PRÓXIMO",VLOOKUP(Z46,'BD LUB'!$A$2:$L$223,12,FALSE)="PASADO")),2,IF(OR(AND(VLOOKUP(Z46,'BD LUB'!$A$2:$L$223,11,FALSE)="PASADO",VLOOKUP(Z46,'BD LUB'!$A$2:$L$223,12,FALSE)="VIGENTE"),AND(VLOOKUP(Z46,'BD LUB'!$A$2:$L$223,11,FALSE)="VIGENTE",VLOOKUP(Z46,'BD LUB'!$A$2:$L$223,12,FALSE)="PASADO")),3,IF(AND(VLOOKUP(Z46,'BD LUB'!$A$2:$L$223,11,FALSE)="PRÓXIMO",VLOOKUP(Z46,'BD LUB'!$A$2:$L$223,12,FALSE)="PRÓXIMO"),4,IF(OR(AND(VLOOKUP(Z46,'BD LUB'!$A$2:$L$223,11,FALSE)="PRÓXIMO",VLOOKUP(Z46,'BD LUB'!$A$2:$L$223,12,FALSE)="VIGENTE"),AND(VLOOKUP(Z46,'BD LUB'!$A$2:$L$223,11,FALSE)="VIGENTE",VLOOKUP(Z46,'BD LUB'!$A$2:$L$223,12,FALSE)="PRÓXIMO")),5,IF(AND(VLOOKUP(Z46,'BD LUB'!$A$2:$L$223,11,FALSE)="VIGENTE",VLOOKUP(Z46,'BD LUB'!$A$2:$L$223,12,FALSE)="VIGENTE"),6,"No definido"))))))</f>
        <v>5</v>
      </c>
      <c r="AC46" s="134">
        <f>IFERROR(__xludf.DUMMYFUNCTION("""COMPUTED_VALUE"""),2876.0)</f>
        <v>2876</v>
      </c>
      <c r="AD46" s="136" t="str">
        <f>IF(VLOOKUP(AC46,'BD LUB'!$A$2:$C$223,3,FALSE)=$AH$20,AC46&amp;" MED",IF(VLOOKUP(AC46,'BD LUB'!$A$2:$C$223,3,FALSE)=$AH$19,AC46&amp;" MAY",IF(VLOOKUP(AC46,'BD LUB'!$A$2:$C$223,3,FALSE)=$AH$18,AC46&amp;" RN",IF(VLOOKUP(AC46,'BD LUB'!$A$2:$C$223,3,FALSE)=$AH$17,AC46&amp;" COPQUI",IF(VLOOKUP(AC46,'BD LUB'!$A$2:$C$223,3,FALSE)=$AH$16,AC46&amp;" CEJ",IF(VLOOKUP(AC46,'BD LUB'!$A$2:$C$223,3,FALSE)=$AH$15,AC46&amp;" BULT",IF(VLOOKUP(AC46,'BD LUB'!$A$2:$C$223,3,FALSE)=$AH$14,AC46&amp;" COP",IF(VLOOKUP(AC46,'BD LUB'!$A$2:$C$223,3,FALSE)=$AH$13,AC46&amp;" RIO",IF(VLOOKUP(AC46,'BD LUB'!$A$2:$C$223,3,FALSE)=$AH$21,AC46&amp;" APART","Dato no encontrado")))))))))</f>
        <v>2876 MED</v>
      </c>
      <c r="AE46" s="111"/>
      <c r="AF46" s="111"/>
      <c r="AG46" s="111"/>
      <c r="AH46" s="111"/>
      <c r="AI46" s="111"/>
      <c r="AJ46" s="126">
        <v>43.0</v>
      </c>
      <c r="AK46" s="141">
        <f>IFERROR(__xludf.DUMMYFUNCTION("""COMPUTED_VALUE"""),46275.0)</f>
        <v>46275</v>
      </c>
      <c r="AL46" s="128" t="str">
        <f>IFERROR(__xludf.DUMMYFUNCTION("""COMPUTED_VALUE"""),"24-Rionegro")</f>
        <v>24-Rionegro</v>
      </c>
      <c r="AM46" s="142">
        <f>IFERROR(__xludf.DUMMYFUNCTION("""COMPUTED_VALUE"""),81.0)</f>
        <v>81</v>
      </c>
      <c r="AN46" s="128"/>
      <c r="AP46" s="126">
        <v>43.0</v>
      </c>
      <c r="AQ46" s="141">
        <f>IFERROR(__xludf.DUMMYFUNCTION("""COMPUTED_VALUE"""),46275.0)</f>
        <v>46275</v>
      </c>
      <c r="AR46" s="128" t="str">
        <f>IFERROR(__xludf.DUMMYFUNCTION("""COMPUTED_VALUE"""),"24-Rionegro")</f>
        <v>24-Rionegro</v>
      </c>
      <c r="AS46" s="142">
        <f>IFERROR(__xludf.DUMMYFUNCTION("""COMPUTED_VALUE"""),81.0)</f>
        <v>81</v>
      </c>
      <c r="AT46" s="128"/>
      <c r="AV46" s="126">
        <v>43.0</v>
      </c>
      <c r="AW46" s="128"/>
      <c r="AX46" s="128"/>
      <c r="AY46" s="128"/>
      <c r="AZ46" s="128"/>
    </row>
    <row r="47">
      <c r="A47" s="120"/>
      <c r="B47" s="126">
        <v>44.0</v>
      </c>
      <c r="C47" s="78">
        <f>IFERROR(__xludf.DUMMYFUNCTION("""COMPUTED_VALUE"""),3231.0)</f>
        <v>3231</v>
      </c>
      <c r="D47" s="156">
        <f>IFERROR(__xludf.DUMMYFUNCTION("""COMPUTED_VALUE"""),46660.0)</f>
        <v>46660</v>
      </c>
      <c r="E47" s="78" t="str">
        <f>IFERROR(__xludf.DUMMYFUNCTION("""COMPUTED_VALUE"""),"02-Medellin")</f>
        <v>02-Medellin</v>
      </c>
      <c r="F47" s="156">
        <f>IFERROR(__xludf.DUMMYFUNCTION("""COMPUTED_VALUE"""),46056.0)</f>
        <v>46056</v>
      </c>
      <c r="G47" s="151">
        <f>IFERROR(__xludf.DUMMYFUNCTION("""COMPUTED_VALUE"""),20.0)</f>
        <v>20</v>
      </c>
      <c r="H47" s="134" t="str">
        <f>IFERROR(__xludf.DUMMYFUNCTION("""COMPUTED_VALUE"""),"VIGENTE")</f>
        <v>VIGENTE</v>
      </c>
      <c r="I47" s="132" t="str">
        <f t="shared" si="1"/>
        <v>-</v>
      </c>
      <c r="J47" s="120"/>
      <c r="K47" s="126">
        <v>44.0</v>
      </c>
      <c r="L47" s="78">
        <f>IFERROR(__xludf.DUMMYFUNCTION("""COMPUTED_VALUE"""),3200.0)</f>
        <v>3200</v>
      </c>
      <c r="M47" s="156">
        <f>IFERROR(__xludf.DUMMYFUNCTION("""COMPUTED_VALUE"""),46654.0)</f>
        <v>46654</v>
      </c>
      <c r="N47" s="78" t="str">
        <f>IFERROR(__xludf.DUMMYFUNCTION("""COMPUTED_VALUE"""),"02-Medellin")</f>
        <v>02-Medellin</v>
      </c>
      <c r="O47" s="156">
        <f>IFERROR(__xludf.DUMMYFUNCTION("""COMPUTED_VALUE"""),46091.0)</f>
        <v>46091</v>
      </c>
      <c r="P47" s="151">
        <f>IFERROR(__xludf.DUMMYFUNCTION("""COMPUTED_VALUE"""),24.0)</f>
        <v>24</v>
      </c>
      <c r="Q47" s="134" t="str">
        <f>IFERROR(__xludf.DUMMYFUNCTION("""COMPUTED_VALUE"""),"PRÓXIMO")</f>
        <v>PRÓXIMO</v>
      </c>
      <c r="R47" s="132" t="str">
        <f t="shared" si="2"/>
        <v>PEDIDO</v>
      </c>
      <c r="T47" s="134" t="str">
        <f>CALENDARIO!D59</f>
        <v/>
      </c>
      <c r="U47" s="135">
        <f>CALENDARIO!C59</f>
        <v>3281</v>
      </c>
      <c r="W47" s="78"/>
      <c r="X47" s="136" t="str">
        <f>(VLOOKUP(W47,'BD LUB'!$A$2:$L$223,5,FALSE)/VLOOKUP(W47,'BD LUB'!$A$2:$L$223,7,FALSE))+(VLOOKUP(W47,'BD LUB'!$A$2:$L$223,6,FALSE)/VLOOKUP(W47,'BD LUB'!$A$2:$L$223,8,FALSE))</f>
        <v>#N/A</v>
      </c>
      <c r="Y47" s="137" t="str">
        <f>IF(AND(VLOOKUP(W47,'BD LUB'!$A$2:$L$223,11,FALSE)="PASADO",VLOOKUP(W47,'BD LUB'!$A$2:$L$223,12,FALSE)="PASADO"),1,IF(OR(AND(VLOOKUP(W47,'BD LUB'!$A$2:$L$223,11,FALSE)="PASADO",VLOOKUP(W47,'BD LUB'!$A$2:$L$223,12,FALSE)="PRÓXIMO"),AND(VLOOKUP(W47,'BD LUB'!$A$2:$L$223,11,FALSE)="PRÓXIMO",VLOOKUP(W47,'BD LUB'!$A$2:$L$223,12,FALSE)="PASADO")),2,IF(OR(AND(VLOOKUP(W47,'BD LUB'!$A$2:$L$223,11,FALSE)="PASADO",VLOOKUP(W47,'BD LUB'!$A$2:$L$223,12,FALSE)="VIGENTE"),AND(VLOOKUP(W47,'BD LUB'!$A$2:$L$223,11,FALSE)="VIGENTE",VLOOKUP(W47,'BD LUB'!$A$2:$L$223,12,FALSE)="PASADO")),3,IF(AND(VLOOKUP(W47,'BD LUB'!$A$2:$L$223,11,FALSE)="PRÓXIMO",VLOOKUP(W47,'BD LUB'!$A$2:$L$223,12,FALSE)="PRÓXIMO"),4,IF(OR(AND(VLOOKUP(W47,'BD LUB'!$A$2:$L$223,11,FALSE)="PRÓXIMO",VLOOKUP(W47,'BD LUB'!$A$2:$L$223,12,FALSE)="VIGENTE"),AND(VLOOKUP(W47,'BD LUB'!$A$2:$L$223,11,FALSE)="VIGENTE",VLOOKUP(W47,'BD LUB'!$A$2:$L$223,12,FALSE)="PRÓXIMO")),5,IF(AND(VLOOKUP(W47,'BD LUB'!$A$2:$L$223,11,FALSE)="VIGENTE",VLOOKUP(W47,'BD LUB'!$A$2:$L$223,12,FALSE)="VIGENTE"),6,"No definido"))))))</f>
        <v>#N/A</v>
      </c>
      <c r="Z47" s="138">
        <f>IFERROR(__xludf.DUMMYFUNCTION("""COMPUTED_VALUE"""),2876.0)</f>
        <v>2876</v>
      </c>
      <c r="AA47" s="139">
        <f>(VLOOKUP(Z47,'BD LUB'!$A$2:$L$223,5,FALSE)/VLOOKUP(Z47,'BD LUB'!$A$2:$L$223,7,FALSE))+(VLOOKUP(Z47,'BD LUB'!$A$2:$L$223,6,FALSE)/VLOOKUP(Z47,'BD LUB'!$A$2:$L$223,8,FALSE))</f>
        <v>1.4406</v>
      </c>
      <c r="AB47" s="78">
        <f>IF(AND(VLOOKUP(Z47,'BD LUB'!$A$2:$L$223,11,FALSE)="PASADO",VLOOKUP(Z47,'BD LUB'!$A$2:$L$223,12,FALSE)="PASADO"),1,IF(OR(AND(VLOOKUP(Z47,'BD LUB'!$A$2:$L$223,11,FALSE)="PASADO",VLOOKUP(Z47,'BD LUB'!$A$2:$L$223,12,FALSE)="PRÓXIMO"),AND(VLOOKUP(Z47,'BD LUB'!$A$2:$L$223,11,FALSE)="PRÓXIMO",VLOOKUP(Z47,'BD LUB'!$A$2:$L$223,12,FALSE)="PASADO")),2,IF(OR(AND(VLOOKUP(Z47,'BD LUB'!$A$2:$L$223,11,FALSE)="PASADO",VLOOKUP(Z47,'BD LUB'!$A$2:$L$223,12,FALSE)="VIGENTE"),AND(VLOOKUP(Z47,'BD LUB'!$A$2:$L$223,11,FALSE)="VIGENTE",VLOOKUP(Z47,'BD LUB'!$A$2:$L$223,12,FALSE)="PASADO")),3,IF(AND(VLOOKUP(Z47,'BD LUB'!$A$2:$L$223,11,FALSE)="PRÓXIMO",VLOOKUP(Z47,'BD LUB'!$A$2:$L$223,12,FALSE)="PRÓXIMO"),4,IF(OR(AND(VLOOKUP(Z47,'BD LUB'!$A$2:$L$223,11,FALSE)="PRÓXIMO",VLOOKUP(Z47,'BD LUB'!$A$2:$L$223,12,FALSE)="VIGENTE"),AND(VLOOKUP(Z47,'BD LUB'!$A$2:$L$223,11,FALSE)="VIGENTE",VLOOKUP(Z47,'BD LUB'!$A$2:$L$223,12,FALSE)="PRÓXIMO")),5,IF(AND(VLOOKUP(Z47,'BD LUB'!$A$2:$L$223,11,FALSE)="VIGENTE",VLOOKUP(Z47,'BD LUB'!$A$2:$L$223,12,FALSE)="VIGENTE"),6,"No definido"))))))</f>
        <v>5</v>
      </c>
      <c r="AC47" s="134">
        <f>IFERROR(__xludf.DUMMYFUNCTION("""COMPUTED_VALUE"""),2640.0)</f>
        <v>2640</v>
      </c>
      <c r="AD47" s="136" t="str">
        <f>IF(VLOOKUP(AC47,'BD LUB'!$A$2:$C$223,3,FALSE)=$AH$20,AC47&amp;" MED",IF(VLOOKUP(AC47,'BD LUB'!$A$2:$C$223,3,FALSE)=$AH$19,AC47&amp;" MAY",IF(VLOOKUP(AC47,'BD LUB'!$A$2:$C$223,3,FALSE)=$AH$18,AC47&amp;" RN",IF(VLOOKUP(AC47,'BD LUB'!$A$2:$C$223,3,FALSE)=$AH$17,AC47&amp;" COPQUI",IF(VLOOKUP(AC47,'BD LUB'!$A$2:$C$223,3,FALSE)=$AH$16,AC47&amp;" CEJ",IF(VLOOKUP(AC47,'BD LUB'!$A$2:$C$223,3,FALSE)=$AH$15,AC47&amp;" BULT",IF(VLOOKUP(AC47,'BD LUB'!$A$2:$C$223,3,FALSE)=$AH$14,AC47&amp;" COP",IF(VLOOKUP(AC47,'BD LUB'!$A$2:$C$223,3,FALSE)=$AH$13,AC47&amp;" RIO",IF(VLOOKUP(AC47,'BD LUB'!$A$2:$C$223,3,FALSE)=$AH$21,AC47&amp;" APART","Dato no encontrado")))))))))</f>
        <v>2640 APART</v>
      </c>
      <c r="AE47" s="111"/>
      <c r="AF47" s="111"/>
      <c r="AG47" s="111"/>
      <c r="AH47" s="111"/>
      <c r="AI47" s="111"/>
      <c r="AJ47" s="126">
        <v>44.0</v>
      </c>
      <c r="AK47" s="141">
        <f>IFERROR(__xludf.DUMMYFUNCTION("""COMPUTED_VALUE"""),46303.0)</f>
        <v>46303</v>
      </c>
      <c r="AL47" s="128" t="str">
        <f>IFERROR(__xludf.DUMMYFUNCTION("""COMPUTED_VALUE"""),"MAYORCA")</f>
        <v>MAYORCA</v>
      </c>
      <c r="AM47" s="142">
        <f>IFERROR(__xludf.DUMMYFUNCTION("""COMPUTED_VALUE"""),71.0)</f>
        <v>71</v>
      </c>
      <c r="AN47" s="128"/>
      <c r="AP47" s="126">
        <v>44.0</v>
      </c>
      <c r="AQ47" s="141">
        <f>IFERROR(__xludf.DUMMYFUNCTION("""COMPUTED_VALUE"""),46303.0)</f>
        <v>46303</v>
      </c>
      <c r="AR47" s="128" t="str">
        <f>IFERROR(__xludf.DUMMYFUNCTION("""COMPUTED_VALUE"""),"MAYORCA")</f>
        <v>MAYORCA</v>
      </c>
      <c r="AS47" s="142">
        <f>IFERROR(__xludf.DUMMYFUNCTION("""COMPUTED_VALUE"""),71.0)</f>
        <v>71</v>
      </c>
      <c r="AT47" s="128"/>
      <c r="AV47" s="126">
        <v>44.0</v>
      </c>
      <c r="AW47" s="128"/>
      <c r="AX47" s="128"/>
      <c r="AY47" s="128"/>
      <c r="AZ47" s="128"/>
    </row>
    <row r="48">
      <c r="A48" s="120"/>
      <c r="B48" s="126">
        <v>45.0</v>
      </c>
      <c r="C48" s="78">
        <f>IFERROR(__xludf.DUMMYFUNCTION("""COMPUTED_VALUE"""),2921.0)</f>
        <v>2921</v>
      </c>
      <c r="D48" s="156">
        <f>IFERROR(__xludf.DUMMYFUNCTION("""COMPUTED_VALUE"""),46318.0)</f>
        <v>46318</v>
      </c>
      <c r="E48" s="78" t="str">
        <f>IFERROR(__xludf.DUMMYFUNCTION("""COMPUTED_VALUE"""),"MAYORCA")</f>
        <v>MAYORCA</v>
      </c>
      <c r="F48" s="156">
        <f>IFERROR(__xludf.DUMMYFUNCTION("""COMPUTED_VALUE"""),46056.0)</f>
        <v>46056</v>
      </c>
      <c r="G48" s="151">
        <f>IFERROR(__xludf.DUMMYFUNCTION("""COMPUTED_VALUE"""),20.0)</f>
        <v>20</v>
      </c>
      <c r="H48" s="134" t="str">
        <f>IFERROR(__xludf.DUMMYFUNCTION("""COMPUTED_VALUE"""),"VIGENTE")</f>
        <v>VIGENTE</v>
      </c>
      <c r="I48" s="132" t="str">
        <f t="shared" si="1"/>
        <v>-</v>
      </c>
      <c r="J48" s="120"/>
      <c r="K48" s="126">
        <v>45.0</v>
      </c>
      <c r="L48" s="78">
        <f>IFERROR(__xludf.DUMMYFUNCTION("""COMPUTED_VALUE"""),3271.0)</f>
        <v>3271</v>
      </c>
      <c r="M48" s="156">
        <f>IFERROR(__xludf.DUMMYFUNCTION("""COMPUTED_VALUE"""),46668.0)</f>
        <v>46668</v>
      </c>
      <c r="N48" s="78" t="str">
        <f>IFERROR(__xludf.DUMMYFUNCTION("""COMPUTED_VALUE"""),"02-Medellin")</f>
        <v>02-Medellin</v>
      </c>
      <c r="O48" s="156">
        <f>IFERROR(__xludf.DUMMYFUNCTION("""COMPUTED_VALUE"""),46097.0)</f>
        <v>46097</v>
      </c>
      <c r="P48" s="151">
        <f>IFERROR(__xludf.DUMMYFUNCTION("""COMPUTED_VALUE"""),46.0)</f>
        <v>46</v>
      </c>
      <c r="Q48" s="134" t="str">
        <f>IFERROR(__xludf.DUMMYFUNCTION("""COMPUTED_VALUE"""),"PRÓXIMO")</f>
        <v>PRÓXIMO</v>
      </c>
      <c r="R48" s="132" t="str">
        <f t="shared" si="2"/>
        <v>PEDIDO</v>
      </c>
      <c r="T48" s="134" t="str">
        <f>CALENDARIO!D60</f>
        <v/>
      </c>
      <c r="U48" s="135">
        <f>CALENDARIO!C60</f>
        <v>2384</v>
      </c>
      <c r="W48" s="78"/>
      <c r="X48" s="136" t="str">
        <f>(VLOOKUP(W48,'BD LUB'!$A$2:$L$223,5,FALSE)/VLOOKUP(W48,'BD LUB'!$A$2:$L$223,7,FALSE))+(VLOOKUP(W48,'BD LUB'!$A$2:$L$223,6,FALSE)/VLOOKUP(W48,'BD LUB'!$A$2:$L$223,8,FALSE))</f>
        <v>#N/A</v>
      </c>
      <c r="Y48" s="137" t="str">
        <f>IF(AND(VLOOKUP(W48,'BD LUB'!$A$2:$L$223,11,FALSE)="PASADO",VLOOKUP(W48,'BD LUB'!$A$2:$L$223,12,FALSE)="PASADO"),1,IF(OR(AND(VLOOKUP(W48,'BD LUB'!$A$2:$L$223,11,FALSE)="PASADO",VLOOKUP(W48,'BD LUB'!$A$2:$L$223,12,FALSE)="PRÓXIMO"),AND(VLOOKUP(W48,'BD LUB'!$A$2:$L$223,11,FALSE)="PRÓXIMO",VLOOKUP(W48,'BD LUB'!$A$2:$L$223,12,FALSE)="PASADO")),2,IF(OR(AND(VLOOKUP(W48,'BD LUB'!$A$2:$L$223,11,FALSE)="PASADO",VLOOKUP(W48,'BD LUB'!$A$2:$L$223,12,FALSE)="VIGENTE"),AND(VLOOKUP(W48,'BD LUB'!$A$2:$L$223,11,FALSE)="VIGENTE",VLOOKUP(W48,'BD LUB'!$A$2:$L$223,12,FALSE)="PASADO")),3,IF(AND(VLOOKUP(W48,'BD LUB'!$A$2:$L$223,11,FALSE)="PRÓXIMO",VLOOKUP(W48,'BD LUB'!$A$2:$L$223,12,FALSE)="PRÓXIMO"),4,IF(OR(AND(VLOOKUP(W48,'BD LUB'!$A$2:$L$223,11,FALSE)="PRÓXIMO",VLOOKUP(W48,'BD LUB'!$A$2:$L$223,12,FALSE)="VIGENTE"),AND(VLOOKUP(W48,'BD LUB'!$A$2:$L$223,11,FALSE)="VIGENTE",VLOOKUP(W48,'BD LUB'!$A$2:$L$223,12,FALSE)="PRÓXIMO")),5,IF(AND(VLOOKUP(W48,'BD LUB'!$A$2:$L$223,11,FALSE)="VIGENTE",VLOOKUP(W48,'BD LUB'!$A$2:$L$223,12,FALSE)="VIGENTE"),6,"No definido"))))))</f>
        <v>#N/A</v>
      </c>
      <c r="Z48" s="138">
        <f>IFERROR(__xludf.DUMMYFUNCTION("""COMPUTED_VALUE"""),2276.0)</f>
        <v>2276</v>
      </c>
      <c r="AA48" s="139">
        <f>(VLOOKUP(Z48,'BD LUB'!$A$2:$L$223,5,FALSE)/VLOOKUP(Z48,'BD LUB'!$A$2:$L$223,7,FALSE))+(VLOOKUP(Z48,'BD LUB'!$A$2:$L$223,6,FALSE)/VLOOKUP(Z48,'BD LUB'!$A$2:$L$223,8,FALSE))</f>
        <v>2.172864444</v>
      </c>
      <c r="AB48" s="78">
        <f>IF(AND(VLOOKUP(Z48,'BD LUB'!$A$2:$L$223,11,FALSE)="PASADO",VLOOKUP(Z48,'BD LUB'!$A$2:$L$223,12,FALSE)="PASADO"),1,IF(OR(AND(VLOOKUP(Z48,'BD LUB'!$A$2:$L$223,11,FALSE)="PASADO",VLOOKUP(Z48,'BD LUB'!$A$2:$L$223,12,FALSE)="PRÓXIMO"),AND(VLOOKUP(Z48,'BD LUB'!$A$2:$L$223,11,FALSE)="PRÓXIMO",VLOOKUP(Z48,'BD LUB'!$A$2:$L$223,12,FALSE)="PASADO")),2,IF(OR(AND(VLOOKUP(Z48,'BD LUB'!$A$2:$L$223,11,FALSE)="PASADO",VLOOKUP(Z48,'BD LUB'!$A$2:$L$223,12,FALSE)="VIGENTE"),AND(VLOOKUP(Z48,'BD LUB'!$A$2:$L$223,11,FALSE)="VIGENTE",VLOOKUP(Z48,'BD LUB'!$A$2:$L$223,12,FALSE)="PASADO")),3,IF(AND(VLOOKUP(Z48,'BD LUB'!$A$2:$L$223,11,FALSE)="PRÓXIMO",VLOOKUP(Z48,'BD LUB'!$A$2:$L$223,12,FALSE)="PRÓXIMO"),4,IF(OR(AND(VLOOKUP(Z48,'BD LUB'!$A$2:$L$223,11,FALSE)="PRÓXIMO",VLOOKUP(Z48,'BD LUB'!$A$2:$L$223,12,FALSE)="VIGENTE"),AND(VLOOKUP(Z48,'BD LUB'!$A$2:$L$223,11,FALSE)="VIGENTE",VLOOKUP(Z48,'BD LUB'!$A$2:$L$223,12,FALSE)="PRÓXIMO")),5,IF(AND(VLOOKUP(Z48,'BD LUB'!$A$2:$L$223,11,FALSE)="VIGENTE",VLOOKUP(Z48,'BD LUB'!$A$2:$L$223,12,FALSE)="VIGENTE"),6,"No definido"))))))</f>
        <v>2</v>
      </c>
      <c r="AC48" s="134">
        <f>IFERROR(__xludf.DUMMYFUNCTION("""COMPUTED_VALUE"""),496.0)</f>
        <v>496</v>
      </c>
      <c r="AD48" s="136" t="str">
        <f>IF(VLOOKUP(AC48,'BD LUB'!$A$2:$C$223,3,FALSE)=$AH$20,AC48&amp;" MED",IF(VLOOKUP(AC48,'BD LUB'!$A$2:$C$223,3,FALSE)=$AH$19,AC48&amp;" MAY",IF(VLOOKUP(AC48,'BD LUB'!$A$2:$C$223,3,FALSE)=$AH$18,AC48&amp;" RN",IF(VLOOKUP(AC48,'BD LUB'!$A$2:$C$223,3,FALSE)=$AH$17,AC48&amp;" COPQUI",IF(VLOOKUP(AC48,'BD LUB'!$A$2:$C$223,3,FALSE)=$AH$16,AC48&amp;" CEJ",IF(VLOOKUP(AC48,'BD LUB'!$A$2:$C$223,3,FALSE)=$AH$15,AC48&amp;" BULT",IF(VLOOKUP(AC48,'BD LUB'!$A$2:$C$223,3,FALSE)=$AH$14,AC48&amp;" COP",IF(VLOOKUP(AC48,'BD LUB'!$A$2:$C$223,3,FALSE)=$AH$13,AC48&amp;" RIO",IF(VLOOKUP(AC48,'BD LUB'!$A$2:$C$223,3,FALSE)=$AH$21,AC48&amp;" APART","Dato no encontrado")))))))))</f>
        <v>496 MED</v>
      </c>
      <c r="AE48" s="111"/>
      <c r="AF48" s="111"/>
      <c r="AG48" s="111"/>
      <c r="AH48" s="111"/>
      <c r="AI48" s="111"/>
      <c r="AJ48" s="126">
        <v>45.0</v>
      </c>
      <c r="AK48" s="141">
        <f>IFERROR(__xludf.DUMMYFUNCTION("""COMPUTED_VALUE"""),46661.0)</f>
        <v>46661</v>
      </c>
      <c r="AL48" s="128" t="str">
        <f>IFERROR(__xludf.DUMMYFUNCTION("""COMPUTED_VALUE"""),"02-Medellin")</f>
        <v>02-Medellin</v>
      </c>
      <c r="AM48" s="142">
        <f>IFERROR(__xludf.DUMMYFUNCTION("""COMPUTED_VALUE"""),70.0)</f>
        <v>70</v>
      </c>
      <c r="AN48" s="128"/>
      <c r="AP48" s="126">
        <v>45.0</v>
      </c>
      <c r="AQ48" s="141">
        <f>IFERROR(__xludf.DUMMYFUNCTION("""COMPUTED_VALUE"""),46661.0)</f>
        <v>46661</v>
      </c>
      <c r="AR48" s="128" t="str">
        <f>IFERROR(__xludf.DUMMYFUNCTION("""COMPUTED_VALUE"""),"02-Medellin")</f>
        <v>02-Medellin</v>
      </c>
      <c r="AS48" s="142">
        <f>IFERROR(__xludf.DUMMYFUNCTION("""COMPUTED_VALUE"""),70.0)</f>
        <v>70</v>
      </c>
      <c r="AT48" s="128"/>
      <c r="AV48" s="126">
        <v>45.0</v>
      </c>
      <c r="AW48" s="128"/>
      <c r="AX48" s="128"/>
      <c r="AY48" s="128"/>
      <c r="AZ48" s="128"/>
    </row>
    <row r="49">
      <c r="A49" s="120"/>
      <c r="B49" s="126">
        <v>46.0</v>
      </c>
      <c r="C49" s="78">
        <f>IFERROR(__xludf.DUMMYFUNCTION("""COMPUTED_VALUE"""),2875.0)</f>
        <v>2875</v>
      </c>
      <c r="D49" s="156">
        <f>IFERROR(__xludf.DUMMYFUNCTION("""COMPUTED_VALUE"""),46226.0)</f>
        <v>46226</v>
      </c>
      <c r="E49" s="78" t="str">
        <f>IFERROR(__xludf.DUMMYFUNCTION("""COMPUTED_VALUE"""),"02-Medellin")</f>
        <v>02-Medellin</v>
      </c>
      <c r="F49" s="156">
        <f>IFERROR(__xludf.DUMMYFUNCTION("""COMPUTED_VALUE"""),46056.0)</f>
        <v>46056</v>
      </c>
      <c r="G49" s="151">
        <f>IFERROR(__xludf.DUMMYFUNCTION("""COMPUTED_VALUE"""),20.0)</f>
        <v>20</v>
      </c>
      <c r="H49" s="134" t="str">
        <f>IFERROR(__xludf.DUMMYFUNCTION("""COMPUTED_VALUE"""),"VIGENTE")</f>
        <v>VIGENTE</v>
      </c>
      <c r="I49" s="132" t="str">
        <f t="shared" si="1"/>
        <v>-</v>
      </c>
      <c r="J49" s="120"/>
      <c r="K49" s="126">
        <v>46.0</v>
      </c>
      <c r="L49" s="78">
        <f>IFERROR(__xludf.DUMMYFUNCTION("""COMPUTED_VALUE"""),2850.0)</f>
        <v>2850</v>
      </c>
      <c r="M49" s="156">
        <f>IFERROR(__xludf.DUMMYFUNCTION("""COMPUTED_VALUE"""),46570.0)</f>
        <v>46570</v>
      </c>
      <c r="N49" s="78" t="str">
        <f>IFERROR(__xludf.DUMMYFUNCTION("""COMPUTED_VALUE"""),"MAYORCA")</f>
        <v>MAYORCA</v>
      </c>
      <c r="O49" s="156">
        <f>IFERROR(__xludf.DUMMYFUNCTION("""COMPUTED_VALUE"""),46120.0)</f>
        <v>46120</v>
      </c>
      <c r="P49" s="151">
        <f>IFERROR(__xludf.DUMMYFUNCTION("""COMPUTED_VALUE"""),77.0)</f>
        <v>77</v>
      </c>
      <c r="Q49" s="134" t="str">
        <f>IFERROR(__xludf.DUMMYFUNCTION("""COMPUTED_VALUE"""),"PRÓXIMO")</f>
        <v>PRÓXIMO</v>
      </c>
      <c r="R49" s="132" t="str">
        <f t="shared" si="2"/>
        <v>PEDIDO</v>
      </c>
      <c r="T49" s="134" t="str">
        <f>CALENDARIO!D61</f>
        <v/>
      </c>
      <c r="U49" s="135">
        <f>CALENDARIO!C61</f>
        <v>3275</v>
      </c>
      <c r="W49" s="78"/>
      <c r="X49" s="136" t="str">
        <f>(VLOOKUP(W49,'BD LUB'!$A$2:$L$223,5,FALSE)/VLOOKUP(W49,'BD LUB'!$A$2:$L$223,7,FALSE))+(VLOOKUP(W49,'BD LUB'!$A$2:$L$223,6,FALSE)/VLOOKUP(W49,'BD LUB'!$A$2:$L$223,8,FALSE))</f>
        <v>#N/A</v>
      </c>
      <c r="Y49" s="137" t="str">
        <f>IF(AND(VLOOKUP(W49,'BD LUB'!$A$2:$L$223,11,FALSE)="PASADO",VLOOKUP(W49,'BD LUB'!$A$2:$L$223,12,FALSE)="PASADO"),1,IF(OR(AND(VLOOKUP(W49,'BD LUB'!$A$2:$L$223,11,FALSE)="PASADO",VLOOKUP(W49,'BD LUB'!$A$2:$L$223,12,FALSE)="PRÓXIMO"),AND(VLOOKUP(W49,'BD LUB'!$A$2:$L$223,11,FALSE)="PRÓXIMO",VLOOKUP(W49,'BD LUB'!$A$2:$L$223,12,FALSE)="PASADO")),2,IF(OR(AND(VLOOKUP(W49,'BD LUB'!$A$2:$L$223,11,FALSE)="PASADO",VLOOKUP(W49,'BD LUB'!$A$2:$L$223,12,FALSE)="VIGENTE"),AND(VLOOKUP(W49,'BD LUB'!$A$2:$L$223,11,FALSE)="VIGENTE",VLOOKUP(W49,'BD LUB'!$A$2:$L$223,12,FALSE)="PASADO")),3,IF(AND(VLOOKUP(W49,'BD LUB'!$A$2:$L$223,11,FALSE)="PRÓXIMO",VLOOKUP(W49,'BD LUB'!$A$2:$L$223,12,FALSE)="PRÓXIMO"),4,IF(OR(AND(VLOOKUP(W49,'BD LUB'!$A$2:$L$223,11,FALSE)="PRÓXIMO",VLOOKUP(W49,'BD LUB'!$A$2:$L$223,12,FALSE)="VIGENTE"),AND(VLOOKUP(W49,'BD LUB'!$A$2:$L$223,11,FALSE)="VIGENTE",VLOOKUP(W49,'BD LUB'!$A$2:$L$223,12,FALSE)="PRÓXIMO")),5,IF(AND(VLOOKUP(W49,'BD LUB'!$A$2:$L$223,11,FALSE)="VIGENTE",VLOOKUP(W49,'BD LUB'!$A$2:$L$223,12,FALSE)="VIGENTE"),6,"No definido"))))))</f>
        <v>#N/A</v>
      </c>
      <c r="Z49" s="138">
        <f>IFERROR(__xludf.DUMMYFUNCTION("""COMPUTED_VALUE"""),2847.0)</f>
        <v>2847</v>
      </c>
      <c r="AA49" s="139">
        <f>(VLOOKUP(Z49,'BD LUB'!$A$2:$L$223,5,FALSE)/VLOOKUP(Z49,'BD LUB'!$A$2:$L$223,7,FALSE))+(VLOOKUP(Z49,'BD LUB'!$A$2:$L$223,6,FALSE)/VLOOKUP(Z49,'BD LUB'!$A$2:$L$223,8,FALSE))</f>
        <v>1.369911111</v>
      </c>
      <c r="AB49" s="78">
        <f>IF(AND(VLOOKUP(Z49,'BD LUB'!$A$2:$L$223,11,FALSE)="PASADO",VLOOKUP(Z49,'BD LUB'!$A$2:$L$223,12,FALSE)="PASADO"),1,IF(OR(AND(VLOOKUP(Z49,'BD LUB'!$A$2:$L$223,11,FALSE)="PASADO",VLOOKUP(Z49,'BD LUB'!$A$2:$L$223,12,FALSE)="PRÓXIMO"),AND(VLOOKUP(Z49,'BD LUB'!$A$2:$L$223,11,FALSE)="PRÓXIMO",VLOOKUP(Z49,'BD LUB'!$A$2:$L$223,12,FALSE)="PASADO")),2,IF(OR(AND(VLOOKUP(Z49,'BD LUB'!$A$2:$L$223,11,FALSE)="PASADO",VLOOKUP(Z49,'BD LUB'!$A$2:$L$223,12,FALSE)="VIGENTE"),AND(VLOOKUP(Z49,'BD LUB'!$A$2:$L$223,11,FALSE)="VIGENTE",VLOOKUP(Z49,'BD LUB'!$A$2:$L$223,12,FALSE)="PASADO")),3,IF(AND(VLOOKUP(Z49,'BD LUB'!$A$2:$L$223,11,FALSE)="PRÓXIMO",VLOOKUP(Z49,'BD LUB'!$A$2:$L$223,12,FALSE)="PRÓXIMO"),4,IF(OR(AND(VLOOKUP(Z49,'BD LUB'!$A$2:$L$223,11,FALSE)="PRÓXIMO",VLOOKUP(Z49,'BD LUB'!$A$2:$L$223,12,FALSE)="VIGENTE"),AND(VLOOKUP(Z49,'BD LUB'!$A$2:$L$223,11,FALSE)="VIGENTE",VLOOKUP(Z49,'BD LUB'!$A$2:$L$223,12,FALSE)="PRÓXIMO")),5,IF(AND(VLOOKUP(Z49,'BD LUB'!$A$2:$L$223,11,FALSE)="VIGENTE",VLOOKUP(Z49,'BD LUB'!$A$2:$L$223,12,FALSE)="VIGENTE"),6,"No definido"))))))</f>
        <v>5</v>
      </c>
      <c r="AC49" s="134">
        <f>IFERROR(__xludf.DUMMYFUNCTION("""COMPUTED_VALUE"""),2892.0)</f>
        <v>2892</v>
      </c>
      <c r="AD49" s="136" t="str">
        <f>IF(VLOOKUP(AC49,'BD LUB'!$A$2:$C$223,3,FALSE)=$AH$20,AC49&amp;" MED",IF(VLOOKUP(AC49,'BD LUB'!$A$2:$C$223,3,FALSE)=$AH$19,AC49&amp;" MAY",IF(VLOOKUP(AC49,'BD LUB'!$A$2:$C$223,3,FALSE)=$AH$18,AC49&amp;" RN",IF(VLOOKUP(AC49,'BD LUB'!$A$2:$C$223,3,FALSE)=$AH$17,AC49&amp;" COPQUI",IF(VLOOKUP(AC49,'BD LUB'!$A$2:$C$223,3,FALSE)=$AH$16,AC49&amp;" CEJ",IF(VLOOKUP(AC49,'BD LUB'!$A$2:$C$223,3,FALSE)=$AH$15,AC49&amp;" BULT",IF(VLOOKUP(AC49,'BD LUB'!$A$2:$C$223,3,FALSE)=$AH$14,AC49&amp;" COP",IF(VLOOKUP(AC49,'BD LUB'!$A$2:$C$223,3,FALSE)=$AH$13,AC49&amp;" RIO",IF(VLOOKUP(AC49,'BD LUB'!$A$2:$C$223,3,FALSE)=$AH$21,AC49&amp;" APART","Dato no encontrado")))))))))</f>
        <v>2892 RIO</v>
      </c>
      <c r="AE49" s="111"/>
      <c r="AF49" s="111"/>
      <c r="AG49" s="111"/>
      <c r="AH49" s="111"/>
      <c r="AI49" s="111"/>
      <c r="AJ49" s="126">
        <v>46.0</v>
      </c>
      <c r="AK49" s="141">
        <f>IFERROR(__xludf.DUMMYFUNCTION("""COMPUTED_VALUE"""),46648.0)</f>
        <v>46648</v>
      </c>
      <c r="AL49" s="128" t="str">
        <f>IFERROR(__xludf.DUMMYFUNCTION("""COMPUTED_VALUE"""),"02-Medellin")</f>
        <v>02-Medellin</v>
      </c>
      <c r="AM49" s="142">
        <f>IFERROR(__xludf.DUMMYFUNCTION("""COMPUTED_VALUE"""),69.0)</f>
        <v>69</v>
      </c>
      <c r="AN49" s="128"/>
      <c r="AP49" s="126">
        <v>46.0</v>
      </c>
      <c r="AQ49" s="141">
        <f>IFERROR(__xludf.DUMMYFUNCTION("""COMPUTED_VALUE"""),46648.0)</f>
        <v>46648</v>
      </c>
      <c r="AR49" s="128" t="str">
        <f>IFERROR(__xludf.DUMMYFUNCTION("""COMPUTED_VALUE"""),"02-Medellin")</f>
        <v>02-Medellin</v>
      </c>
      <c r="AS49" s="142">
        <f>IFERROR(__xludf.DUMMYFUNCTION("""COMPUTED_VALUE"""),69.0)</f>
        <v>69</v>
      </c>
      <c r="AT49" s="128"/>
      <c r="AV49" s="126">
        <v>46.0</v>
      </c>
      <c r="AW49" s="128"/>
      <c r="AX49" s="128"/>
      <c r="AY49" s="128"/>
      <c r="AZ49" s="128"/>
    </row>
    <row r="50">
      <c r="A50" s="120"/>
      <c r="B50" s="126">
        <v>47.0</v>
      </c>
      <c r="C50" s="78">
        <f>IFERROR(__xludf.DUMMYFUNCTION("""COMPUTED_VALUE"""),2859.0)</f>
        <v>2859</v>
      </c>
      <c r="D50" s="156">
        <f>IFERROR(__xludf.DUMMYFUNCTION("""COMPUTED_VALUE"""),46226.0)</f>
        <v>46226</v>
      </c>
      <c r="E50" s="78" t="str">
        <f>IFERROR(__xludf.DUMMYFUNCTION("""COMPUTED_VALUE"""),"MAYORCA")</f>
        <v>MAYORCA</v>
      </c>
      <c r="F50" s="156">
        <f>IFERROR(__xludf.DUMMYFUNCTION("""COMPUTED_VALUE"""),46056.0)</f>
        <v>46056</v>
      </c>
      <c r="G50" s="151">
        <f>IFERROR(__xludf.DUMMYFUNCTION("""COMPUTED_VALUE"""),20.0)</f>
        <v>20</v>
      </c>
      <c r="H50" s="134" t="str">
        <f>IFERROR(__xludf.DUMMYFUNCTION("""COMPUTED_VALUE"""),"VIGENTE")</f>
        <v>VIGENTE</v>
      </c>
      <c r="I50" s="132" t="str">
        <f t="shared" si="1"/>
        <v>-</v>
      </c>
      <c r="J50" s="120"/>
      <c r="K50" s="126">
        <v>47.0</v>
      </c>
      <c r="L50" s="78">
        <f>IFERROR(__xludf.DUMMYFUNCTION("""COMPUTED_VALUE"""),2876.0)</f>
        <v>2876</v>
      </c>
      <c r="M50" s="156">
        <f>IFERROR(__xludf.DUMMYFUNCTION("""COMPUTED_VALUE"""),46226.0)</f>
        <v>46226</v>
      </c>
      <c r="N50" s="78" t="str">
        <f>IFERROR(__xludf.DUMMYFUNCTION("""COMPUTED_VALUE"""),"02-Medellin")</f>
        <v>02-Medellin</v>
      </c>
      <c r="O50" s="156">
        <f>IFERROR(__xludf.DUMMYFUNCTION("""COMPUTED_VALUE"""),46135.0)</f>
        <v>46135</v>
      </c>
      <c r="P50" s="151">
        <f>IFERROR(__xludf.DUMMYFUNCTION("""COMPUTED_VALUE"""),94.0)</f>
        <v>94</v>
      </c>
      <c r="Q50" s="134" t="str">
        <f>IFERROR(__xludf.DUMMYFUNCTION("""COMPUTED_VALUE"""),"PRÓXIMO")</f>
        <v>PRÓXIMO</v>
      </c>
      <c r="R50" s="132" t="str">
        <f t="shared" si="2"/>
        <v>PEDIDO</v>
      </c>
      <c r="T50" s="134" t="str">
        <f>CALENDARIO!D62</f>
        <v/>
      </c>
      <c r="U50" s="135">
        <f>CALENDARIO!C62</f>
        <v>3200</v>
      </c>
      <c r="W50" s="78"/>
      <c r="X50" s="136" t="str">
        <f>(VLOOKUP(W50,'BD LUB'!$A$2:$L$223,5,FALSE)/VLOOKUP(W50,'BD LUB'!$A$2:$L$223,7,FALSE))+(VLOOKUP(W50,'BD LUB'!$A$2:$L$223,6,FALSE)/VLOOKUP(W50,'BD LUB'!$A$2:$L$223,8,FALSE))</f>
        <v>#N/A</v>
      </c>
      <c r="Y50" s="137" t="str">
        <f>IF(AND(VLOOKUP(W50,'BD LUB'!$A$2:$L$223,11,FALSE)="PASADO",VLOOKUP(W50,'BD LUB'!$A$2:$L$223,12,FALSE)="PASADO"),1,IF(OR(AND(VLOOKUP(W50,'BD LUB'!$A$2:$L$223,11,FALSE)="PASADO",VLOOKUP(W50,'BD LUB'!$A$2:$L$223,12,FALSE)="PRÓXIMO"),AND(VLOOKUP(W50,'BD LUB'!$A$2:$L$223,11,FALSE)="PRÓXIMO",VLOOKUP(W50,'BD LUB'!$A$2:$L$223,12,FALSE)="PASADO")),2,IF(OR(AND(VLOOKUP(W50,'BD LUB'!$A$2:$L$223,11,FALSE)="PASADO",VLOOKUP(W50,'BD LUB'!$A$2:$L$223,12,FALSE)="VIGENTE"),AND(VLOOKUP(W50,'BD LUB'!$A$2:$L$223,11,FALSE)="VIGENTE",VLOOKUP(W50,'BD LUB'!$A$2:$L$223,12,FALSE)="PASADO")),3,IF(AND(VLOOKUP(W50,'BD LUB'!$A$2:$L$223,11,FALSE)="PRÓXIMO",VLOOKUP(W50,'BD LUB'!$A$2:$L$223,12,FALSE)="PRÓXIMO"),4,IF(OR(AND(VLOOKUP(W50,'BD LUB'!$A$2:$L$223,11,FALSE)="PRÓXIMO",VLOOKUP(W50,'BD LUB'!$A$2:$L$223,12,FALSE)="VIGENTE"),AND(VLOOKUP(W50,'BD LUB'!$A$2:$L$223,11,FALSE)="VIGENTE",VLOOKUP(W50,'BD LUB'!$A$2:$L$223,12,FALSE)="PRÓXIMO")),5,IF(AND(VLOOKUP(W50,'BD LUB'!$A$2:$L$223,11,FALSE)="VIGENTE",VLOOKUP(W50,'BD LUB'!$A$2:$L$223,12,FALSE)="VIGENTE"),6,"No definido"))))))</f>
        <v>#N/A</v>
      </c>
      <c r="Z50" s="138">
        <f>IFERROR(__xludf.DUMMYFUNCTION("""COMPUTED_VALUE"""),2892.0)</f>
        <v>2892</v>
      </c>
      <c r="AA50" s="139">
        <f>(VLOOKUP(Z50,'BD LUB'!$A$2:$L$223,5,FALSE)/VLOOKUP(Z50,'BD LUB'!$A$2:$L$223,7,FALSE))+(VLOOKUP(Z50,'BD LUB'!$A$2:$L$223,6,FALSE)/VLOOKUP(Z50,'BD LUB'!$A$2:$L$223,8,FALSE))</f>
        <v>1.387155556</v>
      </c>
      <c r="AB50" s="78">
        <f>IF(AND(VLOOKUP(Z50,'BD LUB'!$A$2:$L$223,11,FALSE)="PASADO",VLOOKUP(Z50,'BD LUB'!$A$2:$L$223,12,FALSE)="PASADO"),1,IF(OR(AND(VLOOKUP(Z50,'BD LUB'!$A$2:$L$223,11,FALSE)="PASADO",VLOOKUP(Z50,'BD LUB'!$A$2:$L$223,12,FALSE)="PRÓXIMO"),AND(VLOOKUP(Z50,'BD LUB'!$A$2:$L$223,11,FALSE)="PRÓXIMO",VLOOKUP(Z50,'BD LUB'!$A$2:$L$223,12,FALSE)="PASADO")),2,IF(OR(AND(VLOOKUP(Z50,'BD LUB'!$A$2:$L$223,11,FALSE)="PASADO",VLOOKUP(Z50,'BD LUB'!$A$2:$L$223,12,FALSE)="VIGENTE"),AND(VLOOKUP(Z50,'BD LUB'!$A$2:$L$223,11,FALSE)="VIGENTE",VLOOKUP(Z50,'BD LUB'!$A$2:$L$223,12,FALSE)="PASADO")),3,IF(AND(VLOOKUP(Z50,'BD LUB'!$A$2:$L$223,11,FALSE)="PRÓXIMO",VLOOKUP(Z50,'BD LUB'!$A$2:$L$223,12,FALSE)="PRÓXIMO"),4,IF(OR(AND(VLOOKUP(Z50,'BD LUB'!$A$2:$L$223,11,FALSE)="PRÓXIMO",VLOOKUP(Z50,'BD LUB'!$A$2:$L$223,12,FALSE)="VIGENTE"),AND(VLOOKUP(Z50,'BD LUB'!$A$2:$L$223,11,FALSE)="VIGENTE",VLOOKUP(Z50,'BD LUB'!$A$2:$L$223,12,FALSE)="PRÓXIMO")),5,IF(AND(VLOOKUP(Z50,'BD LUB'!$A$2:$L$223,11,FALSE)="VIGENTE",VLOOKUP(Z50,'BD LUB'!$A$2:$L$223,12,FALSE)="VIGENTE"),6,"No definido"))))))</f>
        <v>5</v>
      </c>
      <c r="AC50" s="134">
        <f>IFERROR(__xludf.DUMMYFUNCTION("""COMPUTED_VALUE"""),2847.0)</f>
        <v>2847</v>
      </c>
      <c r="AD50" s="136" t="str">
        <f>IF(VLOOKUP(AC50,'BD LUB'!$A$2:$C$223,3,FALSE)=$AH$20,AC50&amp;" MED",IF(VLOOKUP(AC50,'BD LUB'!$A$2:$C$223,3,FALSE)=$AH$19,AC50&amp;" MAY",IF(VLOOKUP(AC50,'BD LUB'!$A$2:$C$223,3,FALSE)=$AH$18,AC50&amp;" RN",IF(VLOOKUP(AC50,'BD LUB'!$A$2:$C$223,3,FALSE)=$AH$17,AC50&amp;" COPQUI",IF(VLOOKUP(AC50,'BD LUB'!$A$2:$C$223,3,FALSE)=$AH$16,AC50&amp;" CEJ",IF(VLOOKUP(AC50,'BD LUB'!$A$2:$C$223,3,FALSE)=$AH$15,AC50&amp;" BULT",IF(VLOOKUP(AC50,'BD LUB'!$A$2:$C$223,3,FALSE)=$AH$14,AC50&amp;" COP",IF(VLOOKUP(AC50,'BD LUB'!$A$2:$C$223,3,FALSE)=$AH$13,AC50&amp;" RIO",IF(VLOOKUP(AC50,'BD LUB'!$A$2:$C$223,3,FALSE)=$AH$21,AC50&amp;" APART","Dato no encontrado")))))))))</f>
        <v>2847 COP</v>
      </c>
      <c r="AE50" s="111"/>
      <c r="AF50" s="111"/>
      <c r="AG50" s="111"/>
      <c r="AH50" s="111"/>
      <c r="AI50" s="111"/>
      <c r="AJ50" s="126">
        <v>47.0</v>
      </c>
      <c r="AK50" s="141">
        <f>IFERROR(__xludf.DUMMYFUNCTION("""COMPUTED_VALUE"""),46668.0)</f>
        <v>46668</v>
      </c>
      <c r="AL50" s="128" t="str">
        <f>IFERROR(__xludf.DUMMYFUNCTION("""COMPUTED_VALUE"""),"02-Medellin")</f>
        <v>02-Medellin</v>
      </c>
      <c r="AM50" s="142">
        <f>IFERROR(__xludf.DUMMYFUNCTION("""COMPUTED_VALUE"""),66.0)</f>
        <v>66</v>
      </c>
      <c r="AN50" s="128"/>
      <c r="AP50" s="126">
        <v>47.0</v>
      </c>
      <c r="AQ50" s="141">
        <f>IFERROR(__xludf.DUMMYFUNCTION("""COMPUTED_VALUE"""),46668.0)</f>
        <v>46668</v>
      </c>
      <c r="AR50" s="128" t="str">
        <f>IFERROR(__xludf.DUMMYFUNCTION("""COMPUTED_VALUE"""),"02-Medellin")</f>
        <v>02-Medellin</v>
      </c>
      <c r="AS50" s="142">
        <f>IFERROR(__xludf.DUMMYFUNCTION("""COMPUTED_VALUE"""),66.0)</f>
        <v>66</v>
      </c>
      <c r="AT50" s="128"/>
      <c r="AV50" s="126">
        <v>47.0</v>
      </c>
      <c r="AW50" s="128"/>
      <c r="AX50" s="128"/>
      <c r="AY50" s="128"/>
      <c r="AZ50" s="128"/>
    </row>
    <row r="51">
      <c r="A51" s="120"/>
      <c r="B51" s="126">
        <v>48.0</v>
      </c>
      <c r="C51" s="78">
        <f>IFERROR(__xludf.DUMMYFUNCTION("""COMPUTED_VALUE"""),2677.0)</f>
        <v>2677</v>
      </c>
      <c r="D51" s="156">
        <f>IFERROR(__xludf.DUMMYFUNCTION("""COMPUTED_VALUE"""),46497.0)</f>
        <v>46497</v>
      </c>
      <c r="E51" s="78" t="str">
        <f>IFERROR(__xludf.DUMMYFUNCTION("""COMPUTED_VALUE"""),"02-Medellin")</f>
        <v>02-Medellin</v>
      </c>
      <c r="F51" s="156">
        <f>IFERROR(__xludf.DUMMYFUNCTION("""COMPUTED_VALUE"""),46056.0)</f>
        <v>46056</v>
      </c>
      <c r="G51" s="151">
        <f>IFERROR(__xludf.DUMMYFUNCTION("""COMPUTED_VALUE"""),20.0)</f>
        <v>20</v>
      </c>
      <c r="H51" s="134" t="str">
        <f>IFERROR(__xludf.DUMMYFUNCTION("""COMPUTED_VALUE"""),"VIGENTE")</f>
        <v>VIGENTE</v>
      </c>
      <c r="I51" s="132" t="str">
        <f t="shared" si="1"/>
        <v>-</v>
      </c>
      <c r="J51" s="120"/>
      <c r="K51" s="126">
        <v>48.0</v>
      </c>
      <c r="L51" s="78">
        <f>IFERROR(__xludf.DUMMYFUNCTION("""COMPUTED_VALUE"""),2276.0)</f>
        <v>2276</v>
      </c>
      <c r="M51" s="156">
        <f>IFERROR(__xludf.DUMMYFUNCTION("""COMPUTED_VALUE"""),46366.0)</f>
        <v>46366</v>
      </c>
      <c r="N51" s="78" t="str">
        <f>IFERROR(__xludf.DUMMYFUNCTION("""COMPUTED_VALUE"""),"02-Medellin")</f>
        <v>02-Medellin</v>
      </c>
      <c r="O51" s="156">
        <f>IFERROR(__xludf.DUMMYFUNCTION("""COMPUTED_VALUE"""),46001.0)</f>
        <v>46001</v>
      </c>
      <c r="P51" s="151">
        <f>IFERROR(__xludf.DUMMYFUNCTION("""COMPUTED_VALUE"""),107.89999999999964)</f>
        <v>107.9</v>
      </c>
      <c r="Q51" s="134" t="str">
        <f>IFERROR(__xludf.DUMMYFUNCTION("""COMPUTED_VALUE"""),"PRÓXIMO")</f>
        <v>PRÓXIMO</v>
      </c>
      <c r="R51" s="132" t="str">
        <f t="shared" si="2"/>
        <v>PEDIDO</v>
      </c>
      <c r="T51" s="134" t="str">
        <f>CALENDARIO!D63</f>
        <v/>
      </c>
      <c r="U51" s="135">
        <f>CALENDARIO!C63</f>
        <v>3271</v>
      </c>
      <c r="W51" s="78"/>
      <c r="X51" s="136" t="str">
        <f>(VLOOKUP(W51,'BD LUB'!$A$2:$L$223,5,FALSE)/VLOOKUP(W51,'BD LUB'!$A$2:$L$223,7,FALSE))+(VLOOKUP(W51,'BD LUB'!$A$2:$L$223,6,FALSE)/VLOOKUP(W51,'BD LUB'!$A$2:$L$223,8,FALSE))</f>
        <v>#N/A</v>
      </c>
      <c r="Y51" s="137" t="str">
        <f>IF(AND(VLOOKUP(W51,'BD LUB'!$A$2:$L$223,11,FALSE)="PASADO",VLOOKUP(W51,'BD LUB'!$A$2:$L$223,12,FALSE)="PASADO"),1,IF(OR(AND(VLOOKUP(W51,'BD LUB'!$A$2:$L$223,11,FALSE)="PASADO",VLOOKUP(W51,'BD LUB'!$A$2:$L$223,12,FALSE)="PRÓXIMO"),AND(VLOOKUP(W51,'BD LUB'!$A$2:$L$223,11,FALSE)="PRÓXIMO",VLOOKUP(W51,'BD LUB'!$A$2:$L$223,12,FALSE)="PASADO")),2,IF(OR(AND(VLOOKUP(W51,'BD LUB'!$A$2:$L$223,11,FALSE)="PASADO",VLOOKUP(W51,'BD LUB'!$A$2:$L$223,12,FALSE)="VIGENTE"),AND(VLOOKUP(W51,'BD LUB'!$A$2:$L$223,11,FALSE)="VIGENTE",VLOOKUP(W51,'BD LUB'!$A$2:$L$223,12,FALSE)="PASADO")),3,IF(AND(VLOOKUP(W51,'BD LUB'!$A$2:$L$223,11,FALSE)="PRÓXIMO",VLOOKUP(W51,'BD LUB'!$A$2:$L$223,12,FALSE)="PRÓXIMO"),4,IF(OR(AND(VLOOKUP(W51,'BD LUB'!$A$2:$L$223,11,FALSE)="PRÓXIMO",VLOOKUP(W51,'BD LUB'!$A$2:$L$223,12,FALSE)="VIGENTE"),AND(VLOOKUP(W51,'BD LUB'!$A$2:$L$223,11,FALSE)="VIGENTE",VLOOKUP(W51,'BD LUB'!$A$2:$L$223,12,FALSE)="PRÓXIMO")),5,IF(AND(VLOOKUP(W51,'BD LUB'!$A$2:$L$223,11,FALSE)="VIGENTE",VLOOKUP(W51,'BD LUB'!$A$2:$L$223,12,FALSE)="VIGENTE"),6,"No definido"))))))</f>
        <v>#N/A</v>
      </c>
      <c r="Z51" s="138">
        <f>IFERROR(__xludf.DUMMYFUNCTION("""COMPUTED_VALUE"""),2921.0)</f>
        <v>2921</v>
      </c>
      <c r="AA51" s="139">
        <f>(VLOOKUP(Z51,'BD LUB'!$A$2:$L$223,5,FALSE)/VLOOKUP(Z51,'BD LUB'!$A$2:$L$223,7,FALSE))+(VLOOKUP(Z51,'BD LUB'!$A$2:$L$223,6,FALSE)/VLOOKUP(Z51,'BD LUB'!$A$2:$L$223,8,FALSE))</f>
        <v>1.819488889</v>
      </c>
      <c r="AB51" s="78">
        <f>IF(AND(VLOOKUP(Z51,'BD LUB'!$A$2:$L$223,11,FALSE)="PASADO",VLOOKUP(Z51,'BD LUB'!$A$2:$L$223,12,FALSE)="PASADO"),1,IF(OR(AND(VLOOKUP(Z51,'BD LUB'!$A$2:$L$223,11,FALSE)="PASADO",VLOOKUP(Z51,'BD LUB'!$A$2:$L$223,12,FALSE)="PRÓXIMO"),AND(VLOOKUP(Z51,'BD LUB'!$A$2:$L$223,11,FALSE)="PRÓXIMO",VLOOKUP(Z51,'BD LUB'!$A$2:$L$223,12,FALSE)="PASADO")),2,IF(OR(AND(VLOOKUP(Z51,'BD LUB'!$A$2:$L$223,11,FALSE)="PASADO",VLOOKUP(Z51,'BD LUB'!$A$2:$L$223,12,FALSE)="VIGENTE"),AND(VLOOKUP(Z51,'BD LUB'!$A$2:$L$223,11,FALSE)="VIGENTE",VLOOKUP(Z51,'BD LUB'!$A$2:$L$223,12,FALSE)="PASADO")),3,IF(AND(VLOOKUP(Z51,'BD LUB'!$A$2:$L$223,11,FALSE)="PRÓXIMO",VLOOKUP(Z51,'BD LUB'!$A$2:$L$223,12,FALSE)="PRÓXIMO"),4,IF(OR(AND(VLOOKUP(Z51,'BD LUB'!$A$2:$L$223,11,FALSE)="PRÓXIMO",VLOOKUP(Z51,'BD LUB'!$A$2:$L$223,12,FALSE)="VIGENTE"),AND(VLOOKUP(Z51,'BD LUB'!$A$2:$L$223,11,FALSE)="VIGENTE",VLOOKUP(Z51,'BD LUB'!$A$2:$L$223,12,FALSE)="PRÓXIMO")),5,IF(AND(VLOOKUP(Z51,'BD LUB'!$A$2:$L$223,11,FALSE)="VIGENTE",VLOOKUP(Z51,'BD LUB'!$A$2:$L$223,12,FALSE)="VIGENTE"),6,"No definido"))))))</f>
        <v>5</v>
      </c>
      <c r="AC51" s="134">
        <f>IFERROR(__xludf.DUMMYFUNCTION("""COMPUTED_VALUE"""),2908.0)</f>
        <v>2908</v>
      </c>
      <c r="AD51" s="136" t="str">
        <f>IF(VLOOKUP(AC51,'BD LUB'!$A$2:$C$223,3,FALSE)=$AH$20,AC51&amp;" MED",IF(VLOOKUP(AC51,'BD LUB'!$A$2:$C$223,3,FALSE)=$AH$19,AC51&amp;" MAY",IF(VLOOKUP(AC51,'BD LUB'!$A$2:$C$223,3,FALSE)=$AH$18,AC51&amp;" RN",IF(VLOOKUP(AC51,'BD LUB'!$A$2:$C$223,3,FALSE)=$AH$17,AC51&amp;" COPQUI",IF(VLOOKUP(AC51,'BD LUB'!$A$2:$C$223,3,FALSE)=$AH$16,AC51&amp;" CEJ",IF(VLOOKUP(AC51,'BD LUB'!$A$2:$C$223,3,FALSE)=$AH$15,AC51&amp;" BULT",IF(VLOOKUP(AC51,'BD LUB'!$A$2:$C$223,3,FALSE)=$AH$14,AC51&amp;" COP",IF(VLOOKUP(AC51,'BD LUB'!$A$2:$C$223,3,FALSE)=$AH$13,AC51&amp;" RIO",IF(VLOOKUP(AC51,'BD LUB'!$A$2:$C$223,3,FALSE)=$AH$21,AC51&amp;" APART","Dato no encontrado")))))))))</f>
        <v>2908 RIO</v>
      </c>
      <c r="AE51" s="111"/>
      <c r="AF51" s="111"/>
      <c r="AG51" s="111"/>
      <c r="AH51" s="111"/>
      <c r="AI51" s="111"/>
      <c r="AJ51" s="126">
        <v>48.0</v>
      </c>
      <c r="AK51" s="141">
        <f>IFERROR(__xludf.DUMMYFUNCTION("""COMPUTED_VALUE"""),46318.0)</f>
        <v>46318</v>
      </c>
      <c r="AL51" s="128" t="str">
        <f>IFERROR(__xludf.DUMMYFUNCTION("""COMPUTED_VALUE"""),"02-Medellin")</f>
        <v>02-Medellin</v>
      </c>
      <c r="AM51" s="142">
        <f>IFERROR(__xludf.DUMMYFUNCTION("""COMPUTED_VALUE"""),61.0)</f>
        <v>61</v>
      </c>
      <c r="AN51" s="128"/>
      <c r="AP51" s="126">
        <v>48.0</v>
      </c>
      <c r="AQ51" s="141">
        <f>IFERROR(__xludf.DUMMYFUNCTION("""COMPUTED_VALUE"""),46318.0)</f>
        <v>46318</v>
      </c>
      <c r="AR51" s="128" t="str">
        <f>IFERROR(__xludf.DUMMYFUNCTION("""COMPUTED_VALUE"""),"02-Medellin")</f>
        <v>02-Medellin</v>
      </c>
      <c r="AS51" s="142">
        <f>IFERROR(__xludf.DUMMYFUNCTION("""COMPUTED_VALUE"""),61.0)</f>
        <v>61</v>
      </c>
      <c r="AT51" s="128"/>
      <c r="AV51" s="126">
        <v>48.0</v>
      </c>
      <c r="AW51" s="128"/>
      <c r="AX51" s="128"/>
      <c r="AY51" s="128"/>
      <c r="AZ51" s="128"/>
    </row>
    <row r="52">
      <c r="A52" s="120"/>
      <c r="B52" s="126">
        <v>49.0</v>
      </c>
      <c r="C52" s="78">
        <f>IFERROR(__xludf.DUMMYFUNCTION("""COMPUTED_VALUE"""),2675.0)</f>
        <v>2675</v>
      </c>
      <c r="D52" s="156">
        <f>IFERROR(__xludf.DUMMYFUNCTION("""COMPUTED_VALUE"""),46494.0)</f>
        <v>46494</v>
      </c>
      <c r="E52" s="78" t="str">
        <f>IFERROR(__xludf.DUMMYFUNCTION("""COMPUTED_VALUE"""),"02-Medellin")</f>
        <v>02-Medellin</v>
      </c>
      <c r="F52" s="156">
        <f>IFERROR(__xludf.DUMMYFUNCTION("""COMPUTED_VALUE"""),46056.0)</f>
        <v>46056</v>
      </c>
      <c r="G52" s="151">
        <f>IFERROR(__xludf.DUMMYFUNCTION("""COMPUTED_VALUE"""),20.0)</f>
        <v>20</v>
      </c>
      <c r="H52" s="134" t="str">
        <f>IFERROR(__xludf.DUMMYFUNCTION("""COMPUTED_VALUE"""),"VIGENTE")</f>
        <v>VIGENTE</v>
      </c>
      <c r="I52" s="132" t="str">
        <f t="shared" si="1"/>
        <v>-</v>
      </c>
      <c r="J52" s="120"/>
      <c r="K52" s="126">
        <v>49.0</v>
      </c>
      <c r="L52" s="78">
        <f>IFERROR(__xludf.DUMMYFUNCTION("""COMPUTED_VALUE"""),2845.0)</f>
        <v>2845</v>
      </c>
      <c r="M52" s="156">
        <f>IFERROR(__xludf.DUMMYFUNCTION("""COMPUTED_VALUE"""),46561.0)</f>
        <v>46561</v>
      </c>
      <c r="N52" s="78" t="str">
        <f>IFERROR(__xludf.DUMMYFUNCTION("""COMPUTED_VALUE"""),"02-Medellin")</f>
        <v>02-Medellin</v>
      </c>
      <c r="O52" s="156">
        <f>IFERROR(__xludf.DUMMYFUNCTION("""COMPUTED_VALUE"""),46042.0)</f>
        <v>46042</v>
      </c>
      <c r="P52" s="151">
        <f>IFERROR(__xludf.DUMMYFUNCTION("""COMPUTED_VALUE"""),116.0)</f>
        <v>116</v>
      </c>
      <c r="Q52" s="134" t="str">
        <f>IFERROR(__xludf.DUMMYFUNCTION("""COMPUTED_VALUE"""),"PRÓXIMO")</f>
        <v>PRÓXIMO</v>
      </c>
      <c r="R52" s="132" t="str">
        <f t="shared" si="2"/>
        <v>HECHO</v>
      </c>
      <c r="T52" s="134" t="str">
        <f>CALENDARIO!D64</f>
        <v/>
      </c>
      <c r="U52" s="135">
        <f>CALENDARIO!C64</f>
        <v>2882</v>
      </c>
      <c r="W52" s="78"/>
      <c r="X52" s="136" t="str">
        <f>(VLOOKUP(W52,'BD LUB'!$A$2:$L$223,5,FALSE)/VLOOKUP(W52,'BD LUB'!$A$2:$L$223,7,FALSE))+(VLOOKUP(W52,'BD LUB'!$A$2:$L$223,6,FALSE)/VLOOKUP(W52,'BD LUB'!$A$2:$L$223,8,FALSE))</f>
        <v>#N/A</v>
      </c>
      <c r="Y52" s="137" t="str">
        <f>IF(AND(VLOOKUP(W52,'BD LUB'!$A$2:$L$223,11,FALSE)="PASADO",VLOOKUP(W52,'BD LUB'!$A$2:$L$223,12,FALSE)="PASADO"),1,IF(OR(AND(VLOOKUP(W52,'BD LUB'!$A$2:$L$223,11,FALSE)="PASADO",VLOOKUP(W52,'BD LUB'!$A$2:$L$223,12,FALSE)="PRÓXIMO"),AND(VLOOKUP(W52,'BD LUB'!$A$2:$L$223,11,FALSE)="PRÓXIMO",VLOOKUP(W52,'BD LUB'!$A$2:$L$223,12,FALSE)="PASADO")),2,IF(OR(AND(VLOOKUP(W52,'BD LUB'!$A$2:$L$223,11,FALSE)="PASADO",VLOOKUP(W52,'BD LUB'!$A$2:$L$223,12,FALSE)="VIGENTE"),AND(VLOOKUP(W52,'BD LUB'!$A$2:$L$223,11,FALSE)="VIGENTE",VLOOKUP(W52,'BD LUB'!$A$2:$L$223,12,FALSE)="PASADO")),3,IF(AND(VLOOKUP(W52,'BD LUB'!$A$2:$L$223,11,FALSE)="PRÓXIMO",VLOOKUP(W52,'BD LUB'!$A$2:$L$223,12,FALSE)="PRÓXIMO"),4,IF(OR(AND(VLOOKUP(W52,'BD LUB'!$A$2:$L$223,11,FALSE)="PRÓXIMO",VLOOKUP(W52,'BD LUB'!$A$2:$L$223,12,FALSE)="VIGENTE"),AND(VLOOKUP(W52,'BD LUB'!$A$2:$L$223,11,FALSE)="VIGENTE",VLOOKUP(W52,'BD LUB'!$A$2:$L$223,12,FALSE)="PRÓXIMO")),5,IF(AND(VLOOKUP(W52,'BD LUB'!$A$2:$L$223,11,FALSE)="VIGENTE",VLOOKUP(W52,'BD LUB'!$A$2:$L$223,12,FALSE)="VIGENTE"),6,"No definido"))))))</f>
        <v>#N/A</v>
      </c>
      <c r="Z52" s="138">
        <f>IFERROR(__xludf.DUMMYFUNCTION("""COMPUTED_VALUE"""),2859.0)</f>
        <v>2859</v>
      </c>
      <c r="AA52" s="139">
        <f>(VLOOKUP(Z52,'BD LUB'!$A$2:$L$223,5,FALSE)/VLOOKUP(Z52,'BD LUB'!$A$2:$L$223,7,FALSE))+(VLOOKUP(Z52,'BD LUB'!$A$2:$L$223,6,FALSE)/VLOOKUP(Z52,'BD LUB'!$A$2:$L$223,8,FALSE))</f>
        <v>1.816088889</v>
      </c>
      <c r="AB52" s="78">
        <f>IF(AND(VLOOKUP(Z52,'BD LUB'!$A$2:$L$223,11,FALSE)="PASADO",VLOOKUP(Z52,'BD LUB'!$A$2:$L$223,12,FALSE)="PASADO"),1,IF(OR(AND(VLOOKUP(Z52,'BD LUB'!$A$2:$L$223,11,FALSE)="PASADO",VLOOKUP(Z52,'BD LUB'!$A$2:$L$223,12,FALSE)="PRÓXIMO"),AND(VLOOKUP(Z52,'BD LUB'!$A$2:$L$223,11,FALSE)="PRÓXIMO",VLOOKUP(Z52,'BD LUB'!$A$2:$L$223,12,FALSE)="PASADO")),2,IF(OR(AND(VLOOKUP(Z52,'BD LUB'!$A$2:$L$223,11,FALSE)="PASADO",VLOOKUP(Z52,'BD LUB'!$A$2:$L$223,12,FALSE)="VIGENTE"),AND(VLOOKUP(Z52,'BD LUB'!$A$2:$L$223,11,FALSE)="VIGENTE",VLOOKUP(Z52,'BD LUB'!$A$2:$L$223,12,FALSE)="PASADO")),3,IF(AND(VLOOKUP(Z52,'BD LUB'!$A$2:$L$223,11,FALSE)="PRÓXIMO",VLOOKUP(Z52,'BD LUB'!$A$2:$L$223,12,FALSE)="PRÓXIMO"),4,IF(OR(AND(VLOOKUP(Z52,'BD LUB'!$A$2:$L$223,11,FALSE)="PRÓXIMO",VLOOKUP(Z52,'BD LUB'!$A$2:$L$223,12,FALSE)="VIGENTE"),AND(VLOOKUP(Z52,'BD LUB'!$A$2:$L$223,11,FALSE)="VIGENTE",VLOOKUP(Z52,'BD LUB'!$A$2:$L$223,12,FALSE)="PRÓXIMO")),5,IF(AND(VLOOKUP(Z52,'BD LUB'!$A$2:$L$223,11,FALSE)="VIGENTE",VLOOKUP(Z52,'BD LUB'!$A$2:$L$223,12,FALSE)="VIGENTE"),6,"No definido"))))))</f>
        <v>5</v>
      </c>
      <c r="AC52" s="134">
        <f>IFERROR(__xludf.DUMMYFUNCTION("""COMPUTED_VALUE"""),661.0)</f>
        <v>661</v>
      </c>
      <c r="AD52" s="136" t="str">
        <f>IF(VLOOKUP(AC52,'BD LUB'!$A$2:$C$223,3,FALSE)=$AH$20,AC52&amp;" MED",IF(VLOOKUP(AC52,'BD LUB'!$A$2:$C$223,3,FALSE)=$AH$19,AC52&amp;" MAY",IF(VLOOKUP(AC52,'BD LUB'!$A$2:$C$223,3,FALSE)=$AH$18,AC52&amp;" RN",IF(VLOOKUP(AC52,'BD LUB'!$A$2:$C$223,3,FALSE)=$AH$17,AC52&amp;" COPQUI",IF(VLOOKUP(AC52,'BD LUB'!$A$2:$C$223,3,FALSE)=$AH$16,AC52&amp;" CEJ",IF(VLOOKUP(AC52,'BD LUB'!$A$2:$C$223,3,FALSE)=$AH$15,AC52&amp;" BULT",IF(VLOOKUP(AC52,'BD LUB'!$A$2:$C$223,3,FALSE)=$AH$14,AC52&amp;" COP",IF(VLOOKUP(AC52,'BD LUB'!$A$2:$C$223,3,FALSE)=$AH$13,AC52&amp;" RIO",IF(VLOOKUP(AC52,'BD LUB'!$A$2:$C$223,3,FALSE)=$AH$21,AC52&amp;" APART","Dato no encontrado")))))))))</f>
        <v>661 MED</v>
      </c>
      <c r="AE52" s="111"/>
      <c r="AF52" s="111"/>
      <c r="AG52" s="111"/>
      <c r="AH52" s="111"/>
      <c r="AI52" s="111"/>
      <c r="AJ52" s="126">
        <v>49.0</v>
      </c>
      <c r="AK52" s="141">
        <f>IFERROR(__xludf.DUMMYFUNCTION("""COMPUTED_VALUE"""),46242.0)</f>
        <v>46242</v>
      </c>
      <c r="AL52" s="128" t="str">
        <f>IFERROR(__xludf.DUMMYFUNCTION("""COMPUTED_VALUE"""),"02-Medellin")</f>
        <v>02-Medellin</v>
      </c>
      <c r="AM52" s="142">
        <f>IFERROR(__xludf.DUMMYFUNCTION("""COMPUTED_VALUE"""),60.0)</f>
        <v>60</v>
      </c>
      <c r="AN52" s="128"/>
      <c r="AP52" s="126">
        <v>49.0</v>
      </c>
      <c r="AQ52" s="141">
        <f>IFERROR(__xludf.DUMMYFUNCTION("""COMPUTED_VALUE"""),46242.0)</f>
        <v>46242</v>
      </c>
      <c r="AR52" s="128" t="str">
        <f>IFERROR(__xludf.DUMMYFUNCTION("""COMPUTED_VALUE"""),"02-Medellin")</f>
        <v>02-Medellin</v>
      </c>
      <c r="AS52" s="142">
        <f>IFERROR(__xludf.DUMMYFUNCTION("""COMPUTED_VALUE"""),60.0)</f>
        <v>60</v>
      </c>
      <c r="AT52" s="128"/>
      <c r="AV52" s="126">
        <v>49.0</v>
      </c>
      <c r="AW52" s="128"/>
      <c r="AX52" s="128"/>
      <c r="AY52" s="128"/>
      <c r="AZ52" s="128"/>
    </row>
    <row r="53">
      <c r="A53" s="120"/>
      <c r="B53" s="126">
        <v>50.0</v>
      </c>
      <c r="C53" s="78">
        <f>IFERROR(__xludf.DUMMYFUNCTION("""COMPUTED_VALUE"""),2666.0)</f>
        <v>2666</v>
      </c>
      <c r="D53" s="156">
        <f>IFERROR(__xludf.DUMMYFUNCTION("""COMPUTED_VALUE"""),46492.0)</f>
        <v>46492</v>
      </c>
      <c r="E53" s="78" t="str">
        <f>IFERROR(__xludf.DUMMYFUNCTION("""COMPUTED_VALUE"""),"02-Medellin")</f>
        <v>02-Medellin</v>
      </c>
      <c r="F53" s="156">
        <f>IFERROR(__xludf.DUMMYFUNCTION("""COMPUTED_VALUE"""),46056.0)</f>
        <v>46056</v>
      </c>
      <c r="G53" s="151">
        <f>IFERROR(__xludf.DUMMYFUNCTION("""COMPUTED_VALUE"""),20.0)</f>
        <v>20</v>
      </c>
      <c r="H53" s="134" t="str">
        <f>IFERROR(__xludf.DUMMYFUNCTION("""COMPUTED_VALUE"""),"VIGENTE")</f>
        <v>VIGENTE</v>
      </c>
      <c r="I53" s="132" t="str">
        <f t="shared" si="1"/>
        <v>-</v>
      </c>
      <c r="J53" s="120"/>
      <c r="K53" s="126">
        <v>50.0</v>
      </c>
      <c r="L53" s="78">
        <f>IFERROR(__xludf.DUMMYFUNCTION("""COMPUTED_VALUE"""),2847.0)</f>
        <v>2847</v>
      </c>
      <c r="M53" s="156">
        <f>IFERROR(__xludf.DUMMYFUNCTION("""COMPUTED_VALUE"""),46559.0)</f>
        <v>46559</v>
      </c>
      <c r="N53" s="78" t="str">
        <f>IFERROR(__xludf.DUMMYFUNCTION("""COMPUTED_VALUE"""),"31-Copacabana")</f>
        <v>31-Copacabana</v>
      </c>
      <c r="O53" s="156">
        <f>IFERROR(__xludf.DUMMYFUNCTION("""COMPUTED_VALUE"""),46142.0)</f>
        <v>46142</v>
      </c>
      <c r="P53" s="151">
        <f>IFERROR(__xludf.DUMMYFUNCTION("""COMPUTED_VALUE"""),206.0)</f>
        <v>206</v>
      </c>
      <c r="Q53" s="134" t="str">
        <f>IFERROR(__xludf.DUMMYFUNCTION("""COMPUTED_VALUE"""),"PRÓXIMO")</f>
        <v>PRÓXIMO</v>
      </c>
      <c r="R53" s="132" t="str">
        <f t="shared" si="2"/>
        <v>NO PEDIDO</v>
      </c>
      <c r="T53" s="134" t="str">
        <f>CALENDARIO!D65</f>
        <v/>
      </c>
      <c r="U53" s="135">
        <f>CALENDARIO!C65</f>
        <v>2926</v>
      </c>
      <c r="W53" s="78"/>
      <c r="X53" s="136" t="str">
        <f>(VLOOKUP(W53,'BD LUB'!$A$2:$L$223,5,FALSE)/VLOOKUP(W53,'BD LUB'!$A$2:$L$223,7,FALSE))+(VLOOKUP(W53,'BD LUB'!$A$2:$L$223,6,FALSE)/VLOOKUP(W53,'BD LUB'!$A$2:$L$223,8,FALSE))</f>
        <v>#N/A</v>
      </c>
      <c r="Y53" s="137" t="str">
        <f>IF(AND(VLOOKUP(W53,'BD LUB'!$A$2:$L$223,11,FALSE)="PASADO",VLOOKUP(W53,'BD LUB'!$A$2:$L$223,12,FALSE)="PASADO"),1,IF(OR(AND(VLOOKUP(W53,'BD LUB'!$A$2:$L$223,11,FALSE)="PASADO",VLOOKUP(W53,'BD LUB'!$A$2:$L$223,12,FALSE)="PRÓXIMO"),AND(VLOOKUP(W53,'BD LUB'!$A$2:$L$223,11,FALSE)="PRÓXIMO",VLOOKUP(W53,'BD LUB'!$A$2:$L$223,12,FALSE)="PASADO")),2,IF(OR(AND(VLOOKUP(W53,'BD LUB'!$A$2:$L$223,11,FALSE)="PASADO",VLOOKUP(W53,'BD LUB'!$A$2:$L$223,12,FALSE)="VIGENTE"),AND(VLOOKUP(W53,'BD LUB'!$A$2:$L$223,11,FALSE)="VIGENTE",VLOOKUP(W53,'BD LUB'!$A$2:$L$223,12,FALSE)="PASADO")),3,IF(AND(VLOOKUP(W53,'BD LUB'!$A$2:$L$223,11,FALSE)="PRÓXIMO",VLOOKUP(W53,'BD LUB'!$A$2:$L$223,12,FALSE)="PRÓXIMO"),4,IF(OR(AND(VLOOKUP(W53,'BD LUB'!$A$2:$L$223,11,FALSE)="PRÓXIMO",VLOOKUP(W53,'BD LUB'!$A$2:$L$223,12,FALSE)="VIGENTE"),AND(VLOOKUP(W53,'BD LUB'!$A$2:$L$223,11,FALSE)="VIGENTE",VLOOKUP(W53,'BD LUB'!$A$2:$L$223,12,FALSE)="PRÓXIMO")),5,IF(AND(VLOOKUP(W53,'BD LUB'!$A$2:$L$223,11,FALSE)="VIGENTE",VLOOKUP(W53,'BD LUB'!$A$2:$L$223,12,FALSE)="VIGENTE"),6,"No definido"))))))</f>
        <v>#N/A</v>
      </c>
      <c r="Z53" s="138">
        <f>IFERROR(__xludf.DUMMYFUNCTION("""COMPUTED_VALUE"""),2906.0)</f>
        <v>2906</v>
      </c>
      <c r="AA53" s="139">
        <f>(VLOOKUP(Z53,'BD LUB'!$A$2:$L$223,5,FALSE)/VLOOKUP(Z53,'BD LUB'!$A$2:$L$223,7,FALSE))+(VLOOKUP(Z53,'BD LUB'!$A$2:$L$223,6,FALSE)/VLOOKUP(Z53,'BD LUB'!$A$2:$L$223,8,FALSE))</f>
        <v>1.651333333</v>
      </c>
      <c r="AB53" s="78">
        <f>IF(AND(VLOOKUP(Z53,'BD LUB'!$A$2:$L$223,11,FALSE)="PASADO",VLOOKUP(Z53,'BD LUB'!$A$2:$L$223,12,FALSE)="PASADO"),1,IF(OR(AND(VLOOKUP(Z53,'BD LUB'!$A$2:$L$223,11,FALSE)="PASADO",VLOOKUP(Z53,'BD LUB'!$A$2:$L$223,12,FALSE)="PRÓXIMO"),AND(VLOOKUP(Z53,'BD LUB'!$A$2:$L$223,11,FALSE)="PRÓXIMO",VLOOKUP(Z53,'BD LUB'!$A$2:$L$223,12,FALSE)="PASADO")),2,IF(OR(AND(VLOOKUP(Z53,'BD LUB'!$A$2:$L$223,11,FALSE)="PASADO",VLOOKUP(Z53,'BD LUB'!$A$2:$L$223,12,FALSE)="VIGENTE"),AND(VLOOKUP(Z53,'BD LUB'!$A$2:$L$223,11,FALSE)="VIGENTE",VLOOKUP(Z53,'BD LUB'!$A$2:$L$223,12,FALSE)="PASADO")),3,IF(AND(VLOOKUP(Z53,'BD LUB'!$A$2:$L$223,11,FALSE)="PRÓXIMO",VLOOKUP(Z53,'BD LUB'!$A$2:$L$223,12,FALSE)="PRÓXIMO"),4,IF(OR(AND(VLOOKUP(Z53,'BD LUB'!$A$2:$L$223,11,FALSE)="PRÓXIMO",VLOOKUP(Z53,'BD LUB'!$A$2:$L$223,12,FALSE)="VIGENTE"),AND(VLOOKUP(Z53,'BD LUB'!$A$2:$L$223,11,FALSE)="VIGENTE",VLOOKUP(Z53,'BD LUB'!$A$2:$L$223,12,FALSE)="PRÓXIMO")),5,IF(AND(VLOOKUP(Z53,'BD LUB'!$A$2:$L$223,11,FALSE)="VIGENTE",VLOOKUP(Z53,'BD LUB'!$A$2:$L$223,12,FALSE)="VIGENTE"),6,"No definido"))))))</f>
        <v>5</v>
      </c>
      <c r="AC53" s="134">
        <f>IFERROR(__xludf.DUMMYFUNCTION("""COMPUTED_VALUE"""),2275.0)</f>
        <v>2275</v>
      </c>
      <c r="AD53" s="136" t="str">
        <f>IF(VLOOKUP(AC53,'BD LUB'!$A$2:$C$223,3,FALSE)=$AH$20,AC53&amp;" MED",IF(VLOOKUP(AC53,'BD LUB'!$A$2:$C$223,3,FALSE)=$AH$19,AC53&amp;" MAY",IF(VLOOKUP(AC53,'BD LUB'!$A$2:$C$223,3,FALSE)=$AH$18,AC53&amp;" RN",IF(VLOOKUP(AC53,'BD LUB'!$A$2:$C$223,3,FALSE)=$AH$17,AC53&amp;" COPQUI",IF(VLOOKUP(AC53,'BD LUB'!$A$2:$C$223,3,FALSE)=$AH$16,AC53&amp;" CEJ",IF(VLOOKUP(AC53,'BD LUB'!$A$2:$C$223,3,FALSE)=$AH$15,AC53&amp;" BULT",IF(VLOOKUP(AC53,'BD LUB'!$A$2:$C$223,3,FALSE)=$AH$14,AC53&amp;" COP",IF(VLOOKUP(AC53,'BD LUB'!$A$2:$C$223,3,FALSE)=$AH$13,AC53&amp;" RIO",IF(VLOOKUP(AC53,'BD LUB'!$A$2:$C$223,3,FALSE)=$AH$21,AC53&amp;" APART","Dato no encontrado")))))))))</f>
        <v>2275 MED</v>
      </c>
      <c r="AE53" s="111"/>
      <c r="AF53" s="111"/>
      <c r="AG53" s="111"/>
      <c r="AH53" s="111"/>
      <c r="AI53" s="111"/>
      <c r="AJ53" s="126">
        <v>50.0</v>
      </c>
      <c r="AK53" s="141">
        <f>IFERROR(__xludf.DUMMYFUNCTION("""COMPUTED_VALUE"""),46242.0)</f>
        <v>46242</v>
      </c>
      <c r="AL53" s="128" t="str">
        <f>IFERROR(__xludf.DUMMYFUNCTION("""COMPUTED_VALUE"""),"31-Copacabana")</f>
        <v>31-Copacabana</v>
      </c>
      <c r="AM53" s="142">
        <f>IFERROR(__xludf.DUMMYFUNCTION("""COMPUTED_VALUE"""),60.0)</f>
        <v>60</v>
      </c>
      <c r="AN53" s="128"/>
      <c r="AP53" s="126">
        <v>50.0</v>
      </c>
      <c r="AQ53" s="141">
        <f>IFERROR(__xludf.DUMMYFUNCTION("""COMPUTED_VALUE"""),46242.0)</f>
        <v>46242</v>
      </c>
      <c r="AR53" s="128" t="str">
        <f>IFERROR(__xludf.DUMMYFUNCTION("""COMPUTED_VALUE"""),"31-Copacabana")</f>
        <v>31-Copacabana</v>
      </c>
      <c r="AS53" s="142">
        <f>IFERROR(__xludf.DUMMYFUNCTION("""COMPUTED_VALUE"""),60.0)</f>
        <v>60</v>
      </c>
      <c r="AT53" s="128"/>
      <c r="AV53" s="126">
        <v>50.0</v>
      </c>
      <c r="AW53" s="128"/>
      <c r="AX53" s="128"/>
      <c r="AY53" s="128"/>
      <c r="AZ53" s="128"/>
    </row>
    <row r="54">
      <c r="A54" s="120"/>
      <c r="B54" s="126">
        <v>51.0</v>
      </c>
      <c r="C54" s="78">
        <f>IFERROR(__xludf.DUMMYFUNCTION("""COMPUTED_VALUE"""),2663.0)</f>
        <v>2663</v>
      </c>
      <c r="D54" s="156">
        <f>IFERROR(__xludf.DUMMYFUNCTION("""COMPUTED_VALUE"""),46493.0)</f>
        <v>46493</v>
      </c>
      <c r="E54" s="78" t="str">
        <f>IFERROR(__xludf.DUMMYFUNCTION("""COMPUTED_VALUE"""),"24-Rionegro")</f>
        <v>24-Rionegro</v>
      </c>
      <c r="F54" s="156">
        <f>IFERROR(__xludf.DUMMYFUNCTION("""COMPUTED_VALUE"""),46056.0)</f>
        <v>46056</v>
      </c>
      <c r="G54" s="151">
        <f>IFERROR(__xludf.DUMMYFUNCTION("""COMPUTED_VALUE"""),20.0)</f>
        <v>20</v>
      </c>
      <c r="H54" s="134" t="str">
        <f>IFERROR(__xludf.DUMMYFUNCTION("""COMPUTED_VALUE"""),"VIGENTE")</f>
        <v>VIGENTE</v>
      </c>
      <c r="I54" s="132" t="str">
        <f t="shared" si="1"/>
        <v>-</v>
      </c>
      <c r="J54" s="120"/>
      <c r="K54" s="126">
        <v>51.0</v>
      </c>
      <c r="L54" s="78">
        <f>IFERROR(__xludf.DUMMYFUNCTION("""COMPUTED_VALUE"""),2926.0)</f>
        <v>2926</v>
      </c>
      <c r="M54" s="156">
        <f>IFERROR(__xludf.DUMMYFUNCTION("""COMPUTED_VALUE"""),46318.0)</f>
        <v>46318</v>
      </c>
      <c r="N54" s="78" t="str">
        <f>IFERROR(__xludf.DUMMYFUNCTION("""COMPUTED_VALUE"""),"31-Copacabana")</f>
        <v>31-Copacabana</v>
      </c>
      <c r="O54" s="156">
        <f>IFERROR(__xludf.DUMMYFUNCTION("""COMPUTED_VALUE"""),46101.0)</f>
        <v>46101</v>
      </c>
      <c r="P54" s="151">
        <f>IFERROR(__xludf.DUMMYFUNCTION("""COMPUTED_VALUE"""),209.0)</f>
        <v>209</v>
      </c>
      <c r="Q54" s="134" t="str">
        <f>IFERROR(__xludf.DUMMYFUNCTION("""COMPUTED_VALUE"""),"PRÓXIMO")</f>
        <v>PRÓXIMO</v>
      </c>
      <c r="R54" s="132" t="str">
        <f t="shared" si="2"/>
        <v>HECHO</v>
      </c>
      <c r="T54" s="134" t="str">
        <f>CALENDARIO!D66</f>
        <v/>
      </c>
      <c r="U54" s="135">
        <f>CALENDARIO!C66</f>
        <v>2896</v>
      </c>
      <c r="W54" s="78"/>
      <c r="X54" s="136" t="str">
        <f>(VLOOKUP(W54,'BD LUB'!$A$2:$L$223,5,FALSE)/VLOOKUP(W54,'BD LUB'!$A$2:$L$223,7,FALSE))+(VLOOKUP(W54,'BD LUB'!$A$2:$L$223,6,FALSE)/VLOOKUP(W54,'BD LUB'!$A$2:$L$223,8,FALSE))</f>
        <v>#N/A</v>
      </c>
      <c r="Y54" s="137" t="str">
        <f>IF(AND(VLOOKUP(W54,'BD LUB'!$A$2:$L$223,11,FALSE)="PASADO",VLOOKUP(W54,'BD LUB'!$A$2:$L$223,12,FALSE)="PASADO"),1,IF(OR(AND(VLOOKUP(W54,'BD LUB'!$A$2:$L$223,11,FALSE)="PASADO",VLOOKUP(W54,'BD LUB'!$A$2:$L$223,12,FALSE)="PRÓXIMO"),AND(VLOOKUP(W54,'BD LUB'!$A$2:$L$223,11,FALSE)="PRÓXIMO",VLOOKUP(W54,'BD LUB'!$A$2:$L$223,12,FALSE)="PASADO")),2,IF(OR(AND(VLOOKUP(W54,'BD LUB'!$A$2:$L$223,11,FALSE)="PASADO",VLOOKUP(W54,'BD LUB'!$A$2:$L$223,12,FALSE)="VIGENTE"),AND(VLOOKUP(W54,'BD LUB'!$A$2:$L$223,11,FALSE)="VIGENTE",VLOOKUP(W54,'BD LUB'!$A$2:$L$223,12,FALSE)="PASADO")),3,IF(AND(VLOOKUP(W54,'BD LUB'!$A$2:$L$223,11,FALSE)="PRÓXIMO",VLOOKUP(W54,'BD LUB'!$A$2:$L$223,12,FALSE)="PRÓXIMO"),4,IF(OR(AND(VLOOKUP(W54,'BD LUB'!$A$2:$L$223,11,FALSE)="PRÓXIMO",VLOOKUP(W54,'BD LUB'!$A$2:$L$223,12,FALSE)="VIGENTE"),AND(VLOOKUP(W54,'BD LUB'!$A$2:$L$223,11,FALSE)="VIGENTE",VLOOKUP(W54,'BD LUB'!$A$2:$L$223,12,FALSE)="PRÓXIMO")),5,IF(AND(VLOOKUP(W54,'BD LUB'!$A$2:$L$223,11,FALSE)="VIGENTE",VLOOKUP(W54,'BD LUB'!$A$2:$L$223,12,FALSE)="VIGENTE"),6,"No definido"))))))</f>
        <v>#N/A</v>
      </c>
      <c r="Z54" s="138">
        <f>IFERROR(__xludf.DUMMYFUNCTION("""COMPUTED_VALUE"""),3273.0)</f>
        <v>3273</v>
      </c>
      <c r="AA54" s="139">
        <f>(VLOOKUP(Z54,'BD LUB'!$A$2:$L$223,5,FALSE)/VLOOKUP(Z54,'BD LUB'!$A$2:$L$223,7,FALSE))+(VLOOKUP(Z54,'BD LUB'!$A$2:$L$223,6,FALSE)/VLOOKUP(Z54,'BD LUB'!$A$2:$L$223,8,FALSE))</f>
        <v>1.723711111</v>
      </c>
      <c r="AB54" s="78">
        <f>IF(AND(VLOOKUP(Z54,'BD LUB'!$A$2:$L$223,11,FALSE)="PASADO",VLOOKUP(Z54,'BD LUB'!$A$2:$L$223,12,FALSE)="PASADO"),1,IF(OR(AND(VLOOKUP(Z54,'BD LUB'!$A$2:$L$223,11,FALSE)="PASADO",VLOOKUP(Z54,'BD LUB'!$A$2:$L$223,12,FALSE)="PRÓXIMO"),AND(VLOOKUP(Z54,'BD LUB'!$A$2:$L$223,11,FALSE)="PRÓXIMO",VLOOKUP(Z54,'BD LUB'!$A$2:$L$223,12,FALSE)="PASADO")),2,IF(OR(AND(VLOOKUP(Z54,'BD LUB'!$A$2:$L$223,11,FALSE)="PASADO",VLOOKUP(Z54,'BD LUB'!$A$2:$L$223,12,FALSE)="VIGENTE"),AND(VLOOKUP(Z54,'BD LUB'!$A$2:$L$223,11,FALSE)="VIGENTE",VLOOKUP(Z54,'BD LUB'!$A$2:$L$223,12,FALSE)="PASADO")),3,IF(AND(VLOOKUP(Z54,'BD LUB'!$A$2:$L$223,11,FALSE)="PRÓXIMO",VLOOKUP(Z54,'BD LUB'!$A$2:$L$223,12,FALSE)="PRÓXIMO"),4,IF(OR(AND(VLOOKUP(Z54,'BD LUB'!$A$2:$L$223,11,FALSE)="PRÓXIMO",VLOOKUP(Z54,'BD LUB'!$A$2:$L$223,12,FALSE)="VIGENTE"),AND(VLOOKUP(Z54,'BD LUB'!$A$2:$L$223,11,FALSE)="VIGENTE",VLOOKUP(Z54,'BD LUB'!$A$2:$L$223,12,FALSE)="PRÓXIMO")),5,IF(AND(VLOOKUP(Z54,'BD LUB'!$A$2:$L$223,11,FALSE)="VIGENTE",VLOOKUP(Z54,'BD LUB'!$A$2:$L$223,12,FALSE)="VIGENTE"),6,"No definido"))))))</f>
        <v>5</v>
      </c>
      <c r="AC54" s="134">
        <f>IFERROR(__xludf.DUMMYFUNCTION("""COMPUTED_VALUE"""),2895.0)</f>
        <v>2895</v>
      </c>
      <c r="AD54" s="136" t="str">
        <f>IF(VLOOKUP(AC54,'BD LUB'!$A$2:$C$223,3,FALSE)=$AH$20,AC54&amp;" MED",IF(VLOOKUP(AC54,'BD LUB'!$A$2:$C$223,3,FALSE)=$AH$19,AC54&amp;" MAY",IF(VLOOKUP(AC54,'BD LUB'!$A$2:$C$223,3,FALSE)=$AH$18,AC54&amp;" RN",IF(VLOOKUP(AC54,'BD LUB'!$A$2:$C$223,3,FALSE)=$AH$17,AC54&amp;" COPQUI",IF(VLOOKUP(AC54,'BD LUB'!$A$2:$C$223,3,FALSE)=$AH$16,AC54&amp;" CEJ",IF(VLOOKUP(AC54,'BD LUB'!$A$2:$C$223,3,FALSE)=$AH$15,AC54&amp;" BULT",IF(VLOOKUP(AC54,'BD LUB'!$A$2:$C$223,3,FALSE)=$AH$14,AC54&amp;" COP",IF(VLOOKUP(AC54,'BD LUB'!$A$2:$C$223,3,FALSE)=$AH$13,AC54&amp;" RIO",IF(VLOOKUP(AC54,'BD LUB'!$A$2:$C$223,3,FALSE)=$AH$21,AC54&amp;" APART","Dato no encontrado")))))))))</f>
        <v>2895 COP</v>
      </c>
      <c r="AE54" s="111"/>
      <c r="AF54" s="111"/>
      <c r="AG54" s="111"/>
      <c r="AH54" s="111"/>
      <c r="AI54" s="111"/>
      <c r="AJ54" s="126">
        <v>51.0</v>
      </c>
      <c r="AK54" s="141">
        <f>IFERROR(__xludf.DUMMYFUNCTION("""COMPUTED_VALUE"""),46275.0)</f>
        <v>46275</v>
      </c>
      <c r="AL54" s="128" t="str">
        <f>IFERROR(__xludf.DUMMYFUNCTION("""COMPUTED_VALUE"""),"38-La ceja")</f>
        <v>38-La ceja</v>
      </c>
      <c r="AM54" s="142">
        <f>IFERROR(__xludf.DUMMYFUNCTION("""COMPUTED_VALUE"""),59.0)</f>
        <v>59</v>
      </c>
      <c r="AN54" s="128"/>
      <c r="AP54" s="126">
        <v>51.0</v>
      </c>
      <c r="AQ54" s="141">
        <f>IFERROR(__xludf.DUMMYFUNCTION("""COMPUTED_VALUE"""),46275.0)</f>
        <v>46275</v>
      </c>
      <c r="AR54" s="128" t="str">
        <f>IFERROR(__xludf.DUMMYFUNCTION("""COMPUTED_VALUE"""),"38-La ceja")</f>
        <v>38-La ceja</v>
      </c>
      <c r="AS54" s="142">
        <f>IFERROR(__xludf.DUMMYFUNCTION("""COMPUTED_VALUE"""),59.0)</f>
        <v>59</v>
      </c>
      <c r="AT54" s="128"/>
      <c r="AV54" s="126">
        <v>51.0</v>
      </c>
      <c r="AW54" s="128"/>
      <c r="AX54" s="128"/>
      <c r="AY54" s="128"/>
      <c r="AZ54" s="128"/>
    </row>
    <row r="55">
      <c r="A55" s="120"/>
      <c r="B55" s="126">
        <v>52.0</v>
      </c>
      <c r="C55" s="78">
        <f>IFERROR(__xludf.DUMMYFUNCTION("""COMPUTED_VALUE"""),2460.0)</f>
        <v>2460</v>
      </c>
      <c r="D55" s="156">
        <f>IFERROR(__xludf.DUMMYFUNCTION("""COMPUTED_VALUE"""),46298.0)</f>
        <v>46298</v>
      </c>
      <c r="E55" s="78" t="str">
        <f>IFERROR(__xludf.DUMMYFUNCTION("""COMPUTED_VALUE"""),"BULTOS")</f>
        <v>BULTOS</v>
      </c>
      <c r="F55" s="156">
        <f>IFERROR(__xludf.DUMMYFUNCTION("""COMPUTED_VALUE"""),46056.0)</f>
        <v>46056</v>
      </c>
      <c r="G55" s="151">
        <f>IFERROR(__xludf.DUMMYFUNCTION("""COMPUTED_VALUE"""),20.0)</f>
        <v>20</v>
      </c>
      <c r="H55" s="134" t="str">
        <f>IFERROR(__xludf.DUMMYFUNCTION("""COMPUTED_VALUE"""),"VIGENTE")</f>
        <v>VIGENTE</v>
      </c>
      <c r="I55" s="132" t="str">
        <f t="shared" si="1"/>
        <v>-</v>
      </c>
      <c r="J55" s="120"/>
      <c r="K55" s="126">
        <v>52.0</v>
      </c>
      <c r="L55" s="78">
        <f>IFERROR(__xludf.DUMMYFUNCTION("""COMPUTED_VALUE"""),3246.0)</f>
        <v>3246</v>
      </c>
      <c r="M55" s="156">
        <f>IFERROR(__xludf.DUMMYFUNCTION("""COMPUTED_VALUE"""),46661.0)</f>
        <v>46661</v>
      </c>
      <c r="N55" s="78" t="str">
        <f>IFERROR(__xludf.DUMMYFUNCTION("""COMPUTED_VALUE"""),"02-Medellin")</f>
        <v>02-Medellin</v>
      </c>
      <c r="O55" s="156">
        <f>IFERROR(__xludf.DUMMYFUNCTION("""COMPUTED_VALUE"""),46042.0)</f>
        <v>46042</v>
      </c>
      <c r="P55" s="151">
        <f>IFERROR(__xludf.DUMMYFUNCTION("""COMPUTED_VALUE"""),274.0)</f>
        <v>274</v>
      </c>
      <c r="Q55" s="134" t="str">
        <f>IFERROR(__xludf.DUMMYFUNCTION("""COMPUTED_VALUE"""),"PRÓXIMO")</f>
        <v>PRÓXIMO</v>
      </c>
      <c r="R55" s="132" t="str">
        <f t="shared" si="2"/>
        <v>HECHO</v>
      </c>
      <c r="T55" s="134" t="str">
        <f>CALENDARIO!D67</f>
        <v/>
      </c>
      <c r="U55" s="135">
        <f>CALENDARIO!C67</f>
        <v>2920</v>
      </c>
      <c r="W55" s="78"/>
      <c r="X55" s="136" t="str">
        <f>(VLOOKUP(W55,'BD LUB'!$A$2:$L$223,5,FALSE)/VLOOKUP(W55,'BD LUB'!$A$2:$L$223,7,FALSE))+(VLOOKUP(W55,'BD LUB'!$A$2:$L$223,6,FALSE)/VLOOKUP(W55,'BD LUB'!$A$2:$L$223,8,FALSE))</f>
        <v>#N/A</v>
      </c>
      <c r="Y55" s="137" t="str">
        <f>IF(AND(VLOOKUP(W55,'BD LUB'!$A$2:$L$223,11,FALSE)="PASADO",VLOOKUP(W55,'BD LUB'!$A$2:$L$223,12,FALSE)="PASADO"),1,IF(OR(AND(VLOOKUP(W55,'BD LUB'!$A$2:$L$223,11,FALSE)="PASADO",VLOOKUP(W55,'BD LUB'!$A$2:$L$223,12,FALSE)="PRÓXIMO"),AND(VLOOKUP(W55,'BD LUB'!$A$2:$L$223,11,FALSE)="PRÓXIMO",VLOOKUP(W55,'BD LUB'!$A$2:$L$223,12,FALSE)="PASADO")),2,IF(OR(AND(VLOOKUP(W55,'BD LUB'!$A$2:$L$223,11,FALSE)="PASADO",VLOOKUP(W55,'BD LUB'!$A$2:$L$223,12,FALSE)="VIGENTE"),AND(VLOOKUP(W55,'BD LUB'!$A$2:$L$223,11,FALSE)="VIGENTE",VLOOKUP(W55,'BD LUB'!$A$2:$L$223,12,FALSE)="PASADO")),3,IF(AND(VLOOKUP(W55,'BD LUB'!$A$2:$L$223,11,FALSE)="PRÓXIMO",VLOOKUP(W55,'BD LUB'!$A$2:$L$223,12,FALSE)="PRÓXIMO"),4,IF(OR(AND(VLOOKUP(W55,'BD LUB'!$A$2:$L$223,11,FALSE)="PRÓXIMO",VLOOKUP(W55,'BD LUB'!$A$2:$L$223,12,FALSE)="VIGENTE"),AND(VLOOKUP(W55,'BD LUB'!$A$2:$L$223,11,FALSE)="VIGENTE",VLOOKUP(W55,'BD LUB'!$A$2:$L$223,12,FALSE)="PRÓXIMO")),5,IF(AND(VLOOKUP(W55,'BD LUB'!$A$2:$L$223,11,FALSE)="VIGENTE",VLOOKUP(W55,'BD LUB'!$A$2:$L$223,12,FALSE)="VIGENTE"),6,"No definido"))))))</f>
        <v>#N/A</v>
      </c>
      <c r="Z55" s="138">
        <f>IFERROR(__xludf.DUMMYFUNCTION("""COMPUTED_VALUE"""),2891.0)</f>
        <v>2891</v>
      </c>
      <c r="AA55" s="139">
        <f>(VLOOKUP(Z55,'BD LUB'!$A$2:$L$223,5,FALSE)/VLOOKUP(Z55,'BD LUB'!$A$2:$L$223,7,FALSE))+(VLOOKUP(Z55,'BD LUB'!$A$2:$L$223,6,FALSE)/VLOOKUP(Z55,'BD LUB'!$A$2:$L$223,8,FALSE))</f>
        <v>1.514155556</v>
      </c>
      <c r="AB55" s="78">
        <f>IF(AND(VLOOKUP(Z55,'BD LUB'!$A$2:$L$223,11,FALSE)="PASADO",VLOOKUP(Z55,'BD LUB'!$A$2:$L$223,12,FALSE)="PASADO"),1,IF(OR(AND(VLOOKUP(Z55,'BD LUB'!$A$2:$L$223,11,FALSE)="PASADO",VLOOKUP(Z55,'BD LUB'!$A$2:$L$223,12,FALSE)="PRÓXIMO"),AND(VLOOKUP(Z55,'BD LUB'!$A$2:$L$223,11,FALSE)="PRÓXIMO",VLOOKUP(Z55,'BD LUB'!$A$2:$L$223,12,FALSE)="PASADO")),2,IF(OR(AND(VLOOKUP(Z55,'BD LUB'!$A$2:$L$223,11,FALSE)="PASADO",VLOOKUP(Z55,'BD LUB'!$A$2:$L$223,12,FALSE)="VIGENTE"),AND(VLOOKUP(Z55,'BD LUB'!$A$2:$L$223,11,FALSE)="VIGENTE",VLOOKUP(Z55,'BD LUB'!$A$2:$L$223,12,FALSE)="PASADO")),3,IF(AND(VLOOKUP(Z55,'BD LUB'!$A$2:$L$223,11,FALSE)="PRÓXIMO",VLOOKUP(Z55,'BD LUB'!$A$2:$L$223,12,FALSE)="PRÓXIMO"),4,IF(OR(AND(VLOOKUP(Z55,'BD LUB'!$A$2:$L$223,11,FALSE)="PRÓXIMO",VLOOKUP(Z55,'BD LUB'!$A$2:$L$223,12,FALSE)="VIGENTE"),AND(VLOOKUP(Z55,'BD LUB'!$A$2:$L$223,11,FALSE)="VIGENTE",VLOOKUP(Z55,'BD LUB'!$A$2:$L$223,12,FALSE)="PRÓXIMO")),5,IF(AND(VLOOKUP(Z55,'BD LUB'!$A$2:$L$223,11,FALSE)="VIGENTE",VLOOKUP(Z55,'BD LUB'!$A$2:$L$223,12,FALSE)="VIGENTE"),6,"No definido"))))))</f>
        <v>5</v>
      </c>
      <c r="AC55" s="134">
        <f>IFERROR(__xludf.DUMMYFUNCTION("""COMPUTED_VALUE"""),464.0)</f>
        <v>464</v>
      </c>
      <c r="AD55" s="136" t="str">
        <f>IF(VLOOKUP(AC55,'BD LUB'!$A$2:$C$223,3,FALSE)=$AH$20,AC55&amp;" MED",IF(VLOOKUP(AC55,'BD LUB'!$A$2:$C$223,3,FALSE)=$AH$19,AC55&amp;" MAY",IF(VLOOKUP(AC55,'BD LUB'!$A$2:$C$223,3,FALSE)=$AH$18,AC55&amp;" RN",IF(VLOOKUP(AC55,'BD LUB'!$A$2:$C$223,3,FALSE)=$AH$17,AC55&amp;" COPQUI",IF(VLOOKUP(AC55,'BD LUB'!$A$2:$C$223,3,FALSE)=$AH$16,AC55&amp;" CEJ",IF(VLOOKUP(AC55,'BD LUB'!$A$2:$C$223,3,FALSE)=$AH$15,AC55&amp;" BULT",IF(VLOOKUP(AC55,'BD LUB'!$A$2:$C$223,3,FALSE)=$AH$14,AC55&amp;" COP",IF(VLOOKUP(AC55,'BD LUB'!$A$2:$C$223,3,FALSE)=$AH$13,AC55&amp;" RIO",IF(VLOOKUP(AC55,'BD LUB'!$A$2:$C$223,3,FALSE)=$AH$21,AC55&amp;" APART","Dato no encontrado")))))))))</f>
        <v>464 MED</v>
      </c>
      <c r="AE55" s="111"/>
      <c r="AF55" s="111"/>
      <c r="AG55" s="111"/>
      <c r="AH55" s="111"/>
      <c r="AI55" s="111"/>
      <c r="AJ55" s="126">
        <v>52.0</v>
      </c>
      <c r="AK55" s="141">
        <f>IFERROR(__xludf.DUMMYFUNCTION("""COMPUTED_VALUE"""),46275.0)</f>
        <v>46275</v>
      </c>
      <c r="AL55" s="128" t="str">
        <f>IFERROR(__xludf.DUMMYFUNCTION("""COMPUTED_VALUE"""),"02-Medellin")</f>
        <v>02-Medellin</v>
      </c>
      <c r="AM55" s="142">
        <f>IFERROR(__xludf.DUMMYFUNCTION("""COMPUTED_VALUE"""),59.0)</f>
        <v>59</v>
      </c>
      <c r="AN55" s="128"/>
      <c r="AP55" s="126">
        <v>52.0</v>
      </c>
      <c r="AQ55" s="141">
        <f>IFERROR(__xludf.DUMMYFUNCTION("""COMPUTED_VALUE"""),46275.0)</f>
        <v>46275</v>
      </c>
      <c r="AR55" s="128" t="str">
        <f>IFERROR(__xludf.DUMMYFUNCTION("""COMPUTED_VALUE"""),"02-Medellin")</f>
        <v>02-Medellin</v>
      </c>
      <c r="AS55" s="142">
        <f>IFERROR(__xludf.DUMMYFUNCTION("""COMPUTED_VALUE"""),59.0)</f>
        <v>59</v>
      </c>
      <c r="AT55" s="128"/>
      <c r="AV55" s="126">
        <v>52.0</v>
      </c>
      <c r="AW55" s="128"/>
      <c r="AX55" s="128"/>
      <c r="AY55" s="128"/>
      <c r="AZ55" s="128"/>
    </row>
    <row r="56">
      <c r="A56" s="120"/>
      <c r="B56" s="126">
        <v>53.0</v>
      </c>
      <c r="C56" s="78">
        <f>IFERROR(__xludf.DUMMYFUNCTION("""COMPUTED_VALUE"""),2572.0)</f>
        <v>2572</v>
      </c>
      <c r="D56" s="156">
        <f>IFERROR(__xludf.DUMMYFUNCTION("""COMPUTED_VALUE"""),46245.0)</f>
        <v>46245</v>
      </c>
      <c r="E56" s="78" t="str">
        <f>IFERROR(__xludf.DUMMYFUNCTION("""COMPUTED_VALUE"""),"31-Copacabana")</f>
        <v>31-Copacabana</v>
      </c>
      <c r="F56" s="156">
        <f>IFERROR(__xludf.DUMMYFUNCTION("""COMPUTED_VALUE"""),46057.0)</f>
        <v>46057</v>
      </c>
      <c r="G56" s="151">
        <f>IFERROR(__xludf.DUMMYFUNCTION("""COMPUTED_VALUE"""),21.0)</f>
        <v>21</v>
      </c>
      <c r="H56" s="134" t="str">
        <f>IFERROR(__xludf.DUMMYFUNCTION("""COMPUTED_VALUE"""),"VIGENTE")</f>
        <v>VIGENTE</v>
      </c>
      <c r="I56" s="132" t="str">
        <f t="shared" si="1"/>
        <v>-</v>
      </c>
      <c r="J56" s="120"/>
      <c r="K56" s="126">
        <v>53.0</v>
      </c>
      <c r="L56" s="78">
        <f>IFERROR(__xludf.DUMMYFUNCTION("""COMPUTED_VALUE"""),2892.0)</f>
        <v>2892</v>
      </c>
      <c r="M56" s="156">
        <f>IFERROR(__xludf.DUMMYFUNCTION("""COMPUTED_VALUE"""),46242.0)</f>
        <v>46242</v>
      </c>
      <c r="N56" s="78" t="str">
        <f>IFERROR(__xludf.DUMMYFUNCTION("""COMPUTED_VALUE"""),"24-Rionegro")</f>
        <v>24-Rionegro</v>
      </c>
      <c r="O56" s="156">
        <f>IFERROR(__xludf.DUMMYFUNCTION("""COMPUTED_VALUE"""),46134.0)</f>
        <v>46134</v>
      </c>
      <c r="P56" s="151">
        <f>IFERROR(__xludf.DUMMYFUNCTION("""COMPUTED_VALUE"""),342.0)</f>
        <v>342</v>
      </c>
      <c r="Q56" s="134" t="str">
        <f>IFERROR(__xludf.DUMMYFUNCTION("""COMPUTED_VALUE"""),"PRÓXIMO")</f>
        <v>PRÓXIMO</v>
      </c>
      <c r="R56" s="132" t="str">
        <f t="shared" si="2"/>
        <v>NO PEDIDO</v>
      </c>
      <c r="T56" s="134" t="str">
        <f>CALENDARIO!D68</f>
        <v/>
      </c>
      <c r="U56" s="135">
        <f>CALENDARIO!C68</f>
        <v>2923</v>
      </c>
      <c r="W56" s="78"/>
      <c r="X56" s="136" t="str">
        <f>(VLOOKUP(W56,'BD LUB'!$A$2:$L$223,5,FALSE)/VLOOKUP(W56,'BD LUB'!$A$2:$L$223,7,FALSE))+(VLOOKUP(W56,'BD LUB'!$A$2:$L$223,6,FALSE)/VLOOKUP(W56,'BD LUB'!$A$2:$L$223,8,FALSE))</f>
        <v>#N/A</v>
      </c>
      <c r="Y56" s="137" t="str">
        <f>IF(AND(VLOOKUP(W56,'BD LUB'!$A$2:$L$223,11,FALSE)="PASADO",VLOOKUP(W56,'BD LUB'!$A$2:$L$223,12,FALSE)="PASADO"),1,IF(OR(AND(VLOOKUP(W56,'BD LUB'!$A$2:$L$223,11,FALSE)="PASADO",VLOOKUP(W56,'BD LUB'!$A$2:$L$223,12,FALSE)="PRÓXIMO"),AND(VLOOKUP(W56,'BD LUB'!$A$2:$L$223,11,FALSE)="PRÓXIMO",VLOOKUP(W56,'BD LUB'!$A$2:$L$223,12,FALSE)="PASADO")),2,IF(OR(AND(VLOOKUP(W56,'BD LUB'!$A$2:$L$223,11,FALSE)="PASADO",VLOOKUP(W56,'BD LUB'!$A$2:$L$223,12,FALSE)="VIGENTE"),AND(VLOOKUP(W56,'BD LUB'!$A$2:$L$223,11,FALSE)="VIGENTE",VLOOKUP(W56,'BD LUB'!$A$2:$L$223,12,FALSE)="PASADO")),3,IF(AND(VLOOKUP(W56,'BD LUB'!$A$2:$L$223,11,FALSE)="PRÓXIMO",VLOOKUP(W56,'BD LUB'!$A$2:$L$223,12,FALSE)="PRÓXIMO"),4,IF(OR(AND(VLOOKUP(W56,'BD LUB'!$A$2:$L$223,11,FALSE)="PRÓXIMO",VLOOKUP(W56,'BD LUB'!$A$2:$L$223,12,FALSE)="VIGENTE"),AND(VLOOKUP(W56,'BD LUB'!$A$2:$L$223,11,FALSE)="VIGENTE",VLOOKUP(W56,'BD LUB'!$A$2:$L$223,12,FALSE)="PRÓXIMO")),5,IF(AND(VLOOKUP(W56,'BD LUB'!$A$2:$L$223,11,FALSE)="VIGENTE",VLOOKUP(W56,'BD LUB'!$A$2:$L$223,12,FALSE)="VIGENTE"),6,"No definido"))))))</f>
        <v>#N/A</v>
      </c>
      <c r="Z56" s="138">
        <f>IFERROR(__xludf.DUMMYFUNCTION("""COMPUTED_VALUE"""),3247.0)</f>
        <v>3247</v>
      </c>
      <c r="AA56" s="139">
        <f>(VLOOKUP(Z56,'BD LUB'!$A$2:$L$223,5,FALSE)/VLOOKUP(Z56,'BD LUB'!$A$2:$L$223,7,FALSE))+(VLOOKUP(Z56,'BD LUB'!$A$2:$L$223,6,FALSE)/VLOOKUP(Z56,'BD LUB'!$A$2:$L$223,8,FALSE))</f>
        <v>1.572688889</v>
      </c>
      <c r="AB56" s="78">
        <f>IF(AND(VLOOKUP(Z56,'BD LUB'!$A$2:$L$223,11,FALSE)="PASADO",VLOOKUP(Z56,'BD LUB'!$A$2:$L$223,12,FALSE)="PASADO"),1,IF(OR(AND(VLOOKUP(Z56,'BD LUB'!$A$2:$L$223,11,FALSE)="PASADO",VLOOKUP(Z56,'BD LUB'!$A$2:$L$223,12,FALSE)="PRÓXIMO"),AND(VLOOKUP(Z56,'BD LUB'!$A$2:$L$223,11,FALSE)="PRÓXIMO",VLOOKUP(Z56,'BD LUB'!$A$2:$L$223,12,FALSE)="PASADO")),2,IF(OR(AND(VLOOKUP(Z56,'BD LUB'!$A$2:$L$223,11,FALSE)="PASADO",VLOOKUP(Z56,'BD LUB'!$A$2:$L$223,12,FALSE)="VIGENTE"),AND(VLOOKUP(Z56,'BD LUB'!$A$2:$L$223,11,FALSE)="VIGENTE",VLOOKUP(Z56,'BD LUB'!$A$2:$L$223,12,FALSE)="PASADO")),3,IF(AND(VLOOKUP(Z56,'BD LUB'!$A$2:$L$223,11,FALSE)="PRÓXIMO",VLOOKUP(Z56,'BD LUB'!$A$2:$L$223,12,FALSE)="PRÓXIMO"),4,IF(OR(AND(VLOOKUP(Z56,'BD LUB'!$A$2:$L$223,11,FALSE)="PRÓXIMO",VLOOKUP(Z56,'BD LUB'!$A$2:$L$223,12,FALSE)="VIGENTE"),AND(VLOOKUP(Z56,'BD LUB'!$A$2:$L$223,11,FALSE)="VIGENTE",VLOOKUP(Z56,'BD LUB'!$A$2:$L$223,12,FALSE)="PRÓXIMO")),5,IF(AND(VLOOKUP(Z56,'BD LUB'!$A$2:$L$223,11,FALSE)="VIGENTE",VLOOKUP(Z56,'BD LUB'!$A$2:$L$223,12,FALSE)="VIGENTE"),6,"No definido"))))))</f>
        <v>5</v>
      </c>
      <c r="AC56" s="134"/>
      <c r="AD56" s="136" t="str">
        <f>IF(VLOOKUP(AC56,'BD LUB'!$A$2:$C$223,3,FALSE)=$AH$20,AC56&amp;" MED",IF(VLOOKUP(AC56,'BD LUB'!$A$2:$C$223,3,FALSE)=$AH$19,AC56&amp;" MAY",IF(VLOOKUP(AC56,'BD LUB'!$A$2:$C$223,3,FALSE)=$AH$18,AC56&amp;" RN",IF(VLOOKUP(AC56,'BD LUB'!$A$2:$C$223,3,FALSE)=$AH$17,AC56&amp;" COPQUI",IF(VLOOKUP(AC56,'BD LUB'!$A$2:$C$223,3,FALSE)=$AH$16,AC56&amp;" CEJ",IF(VLOOKUP(AC56,'BD LUB'!$A$2:$C$223,3,FALSE)=$AH$15,AC56&amp;" BULT",IF(VLOOKUP(AC56,'BD LUB'!$A$2:$C$223,3,FALSE)=$AH$14,AC56&amp;" COP",IF(VLOOKUP(AC56,'BD LUB'!$A$2:$C$223,3,FALSE)=$AH$13,AC56&amp;" RIO",IF(VLOOKUP(AC56,'BD LUB'!$A$2:$C$223,3,FALSE)=$AH$21,AC56&amp;" APART","Dato no encontrado")))))))))</f>
        <v>#N/A</v>
      </c>
      <c r="AE56" s="111"/>
      <c r="AF56" s="111"/>
      <c r="AG56" s="111"/>
      <c r="AH56" s="111"/>
      <c r="AI56" s="111"/>
      <c r="AJ56" s="126">
        <v>53.0</v>
      </c>
      <c r="AK56" s="141">
        <f>IFERROR(__xludf.DUMMYFUNCTION("""COMPUTED_VALUE"""),46242.0)</f>
        <v>46242</v>
      </c>
      <c r="AL56" s="128" t="str">
        <f>IFERROR(__xludf.DUMMYFUNCTION("""COMPUTED_VALUE"""),"31-Copacabana")</f>
        <v>31-Copacabana</v>
      </c>
      <c r="AM56" s="142">
        <f>IFERROR(__xludf.DUMMYFUNCTION("""COMPUTED_VALUE"""),59.0)</f>
        <v>59</v>
      </c>
      <c r="AN56" s="128"/>
      <c r="AP56" s="126">
        <v>53.0</v>
      </c>
      <c r="AQ56" s="141">
        <f>IFERROR(__xludf.DUMMYFUNCTION("""COMPUTED_VALUE"""),46242.0)</f>
        <v>46242</v>
      </c>
      <c r="AR56" s="128" t="str">
        <f>IFERROR(__xludf.DUMMYFUNCTION("""COMPUTED_VALUE"""),"31-Copacabana")</f>
        <v>31-Copacabana</v>
      </c>
      <c r="AS56" s="142">
        <f>IFERROR(__xludf.DUMMYFUNCTION("""COMPUTED_VALUE"""),59.0)</f>
        <v>59</v>
      </c>
      <c r="AT56" s="128"/>
      <c r="AV56" s="126">
        <v>53.0</v>
      </c>
      <c r="AW56" s="128"/>
      <c r="AX56" s="128"/>
      <c r="AY56" s="128"/>
      <c r="AZ56" s="128"/>
    </row>
    <row r="57">
      <c r="A57" s="120"/>
      <c r="B57" s="126">
        <v>54.0</v>
      </c>
      <c r="C57" s="78">
        <f>IFERROR(__xludf.DUMMYFUNCTION("""COMPUTED_VALUE"""),3049.0)</f>
        <v>3049</v>
      </c>
      <c r="D57" s="156">
        <f>IFERROR(__xludf.DUMMYFUNCTION("""COMPUTED_VALUE"""),46273.0)</f>
        <v>46273</v>
      </c>
      <c r="E57" s="78" t="str">
        <f>IFERROR(__xludf.DUMMYFUNCTION("""COMPUTED_VALUE"""),"02-Medellin")</f>
        <v>02-Medellin</v>
      </c>
      <c r="F57" s="156">
        <f>IFERROR(__xludf.DUMMYFUNCTION("""COMPUTED_VALUE"""),46060.0)</f>
        <v>46060</v>
      </c>
      <c r="G57" s="151">
        <f>IFERROR(__xludf.DUMMYFUNCTION("""COMPUTED_VALUE"""),24.0)</f>
        <v>24</v>
      </c>
      <c r="H57" s="134" t="str">
        <f>IFERROR(__xludf.DUMMYFUNCTION("""COMPUTED_VALUE"""),"VIGENTE")</f>
        <v>VIGENTE</v>
      </c>
      <c r="I57" s="132" t="str">
        <f t="shared" si="1"/>
        <v>-</v>
      </c>
      <c r="J57" s="120"/>
      <c r="K57" s="126">
        <v>54.0</v>
      </c>
      <c r="L57" s="78">
        <f>IFERROR(__xludf.DUMMYFUNCTION("""COMPUTED_VALUE"""),2921.0)</f>
        <v>2921</v>
      </c>
      <c r="M57" s="156">
        <f>IFERROR(__xludf.DUMMYFUNCTION("""COMPUTED_VALUE"""),46318.0)</f>
        <v>46318</v>
      </c>
      <c r="N57" s="78" t="str">
        <f>IFERROR(__xludf.DUMMYFUNCTION("""COMPUTED_VALUE"""),"MAYORCA")</f>
        <v>MAYORCA</v>
      </c>
      <c r="O57" s="156">
        <f>IFERROR(__xludf.DUMMYFUNCTION("""COMPUTED_VALUE"""),46056.0)</f>
        <v>46056</v>
      </c>
      <c r="P57" s="151">
        <f>IFERROR(__xludf.DUMMYFUNCTION("""COMPUTED_VALUE"""),347.0)</f>
        <v>347</v>
      </c>
      <c r="Q57" s="134" t="str">
        <f>IFERROR(__xludf.DUMMYFUNCTION("""COMPUTED_VALUE"""),"PRÓXIMO")</f>
        <v>PRÓXIMO</v>
      </c>
      <c r="R57" s="132" t="str">
        <f t="shared" si="2"/>
        <v>PEDIDO</v>
      </c>
      <c r="T57" s="134" t="str">
        <f>CALENDARIO!D69</f>
        <v/>
      </c>
      <c r="U57" s="135">
        <f>CALENDARIO!C69</f>
        <v>2897</v>
      </c>
      <c r="W57" s="78"/>
      <c r="X57" s="136" t="str">
        <f>(VLOOKUP(W57,'BD LUB'!$A$2:$L$223,5,FALSE)/VLOOKUP(W57,'BD LUB'!$A$2:$L$223,7,FALSE))+(VLOOKUP(W57,'BD LUB'!$A$2:$L$223,6,FALSE)/VLOOKUP(W57,'BD LUB'!$A$2:$L$223,8,FALSE))</f>
        <v>#N/A</v>
      </c>
      <c r="Y57" s="137" t="str">
        <f>IF(AND(VLOOKUP(W57,'BD LUB'!$A$2:$L$223,11,FALSE)="PASADO",VLOOKUP(W57,'BD LUB'!$A$2:$L$223,12,FALSE)="PASADO"),1,IF(OR(AND(VLOOKUP(W57,'BD LUB'!$A$2:$L$223,11,FALSE)="PASADO",VLOOKUP(W57,'BD LUB'!$A$2:$L$223,12,FALSE)="PRÓXIMO"),AND(VLOOKUP(W57,'BD LUB'!$A$2:$L$223,11,FALSE)="PRÓXIMO",VLOOKUP(W57,'BD LUB'!$A$2:$L$223,12,FALSE)="PASADO")),2,IF(OR(AND(VLOOKUP(W57,'BD LUB'!$A$2:$L$223,11,FALSE)="PASADO",VLOOKUP(W57,'BD LUB'!$A$2:$L$223,12,FALSE)="VIGENTE"),AND(VLOOKUP(W57,'BD LUB'!$A$2:$L$223,11,FALSE)="VIGENTE",VLOOKUP(W57,'BD LUB'!$A$2:$L$223,12,FALSE)="PASADO")),3,IF(AND(VLOOKUP(W57,'BD LUB'!$A$2:$L$223,11,FALSE)="PRÓXIMO",VLOOKUP(W57,'BD LUB'!$A$2:$L$223,12,FALSE)="PRÓXIMO"),4,IF(OR(AND(VLOOKUP(W57,'BD LUB'!$A$2:$L$223,11,FALSE)="PRÓXIMO",VLOOKUP(W57,'BD LUB'!$A$2:$L$223,12,FALSE)="VIGENTE"),AND(VLOOKUP(W57,'BD LUB'!$A$2:$L$223,11,FALSE)="VIGENTE",VLOOKUP(W57,'BD LUB'!$A$2:$L$223,12,FALSE)="PRÓXIMO")),5,IF(AND(VLOOKUP(W57,'BD LUB'!$A$2:$L$223,11,FALSE)="VIGENTE",VLOOKUP(W57,'BD LUB'!$A$2:$L$223,12,FALSE)="VIGENTE"),6,"No definido"))))))</f>
        <v>#N/A</v>
      </c>
      <c r="Z57" s="138">
        <f>IFERROR(__xludf.DUMMYFUNCTION("""COMPUTED_VALUE"""),2922.0)</f>
        <v>2922</v>
      </c>
      <c r="AA57" s="139">
        <f>(VLOOKUP(Z57,'BD LUB'!$A$2:$L$223,5,FALSE)/VLOOKUP(Z57,'BD LUB'!$A$2:$L$223,7,FALSE))+(VLOOKUP(Z57,'BD LUB'!$A$2:$L$223,6,FALSE)/VLOOKUP(Z57,'BD LUB'!$A$2:$L$223,8,FALSE))</f>
        <v>1.732155556</v>
      </c>
      <c r="AB57" s="78">
        <f>IF(AND(VLOOKUP(Z57,'BD LUB'!$A$2:$L$223,11,FALSE)="PASADO",VLOOKUP(Z57,'BD LUB'!$A$2:$L$223,12,FALSE)="PASADO"),1,IF(OR(AND(VLOOKUP(Z57,'BD LUB'!$A$2:$L$223,11,FALSE)="PASADO",VLOOKUP(Z57,'BD LUB'!$A$2:$L$223,12,FALSE)="PRÓXIMO"),AND(VLOOKUP(Z57,'BD LUB'!$A$2:$L$223,11,FALSE)="PRÓXIMO",VLOOKUP(Z57,'BD LUB'!$A$2:$L$223,12,FALSE)="PASADO")),2,IF(OR(AND(VLOOKUP(Z57,'BD LUB'!$A$2:$L$223,11,FALSE)="PASADO",VLOOKUP(Z57,'BD LUB'!$A$2:$L$223,12,FALSE)="VIGENTE"),AND(VLOOKUP(Z57,'BD LUB'!$A$2:$L$223,11,FALSE)="VIGENTE",VLOOKUP(Z57,'BD LUB'!$A$2:$L$223,12,FALSE)="PASADO")),3,IF(AND(VLOOKUP(Z57,'BD LUB'!$A$2:$L$223,11,FALSE)="PRÓXIMO",VLOOKUP(Z57,'BD LUB'!$A$2:$L$223,12,FALSE)="PRÓXIMO"),4,IF(OR(AND(VLOOKUP(Z57,'BD LUB'!$A$2:$L$223,11,FALSE)="PRÓXIMO",VLOOKUP(Z57,'BD LUB'!$A$2:$L$223,12,FALSE)="VIGENTE"),AND(VLOOKUP(Z57,'BD LUB'!$A$2:$L$223,11,FALSE)="VIGENTE",VLOOKUP(Z57,'BD LUB'!$A$2:$L$223,12,FALSE)="PRÓXIMO")),5,IF(AND(VLOOKUP(Z57,'BD LUB'!$A$2:$L$223,11,FALSE)="VIGENTE",VLOOKUP(Z57,'BD LUB'!$A$2:$L$223,12,FALSE)="VIGENTE"),6,"No definido"))))))</f>
        <v>5</v>
      </c>
      <c r="AC57" s="134"/>
      <c r="AD57" s="136" t="str">
        <f>IF(VLOOKUP(AC57,'BD LUB'!$A$2:$C$223,3,FALSE)=$AH$20,AC57&amp;" MED",IF(VLOOKUP(AC57,'BD LUB'!$A$2:$C$223,3,FALSE)=$AH$19,AC57&amp;" MAY",IF(VLOOKUP(AC57,'BD LUB'!$A$2:$C$223,3,FALSE)=$AH$18,AC57&amp;" RN",IF(VLOOKUP(AC57,'BD LUB'!$A$2:$C$223,3,FALSE)=$AH$17,AC57&amp;" COPQUI",IF(VLOOKUP(AC57,'BD LUB'!$A$2:$C$223,3,FALSE)=$AH$16,AC57&amp;" CEJ",IF(VLOOKUP(AC57,'BD LUB'!$A$2:$C$223,3,FALSE)=$AH$15,AC57&amp;" BULT",IF(VLOOKUP(AC57,'BD LUB'!$A$2:$C$223,3,FALSE)=$AH$14,AC57&amp;" COP",IF(VLOOKUP(AC57,'BD LUB'!$A$2:$C$223,3,FALSE)=$AH$13,AC57&amp;" RIO",IF(VLOOKUP(AC57,'BD LUB'!$A$2:$C$223,3,FALSE)=$AH$21,AC57&amp;" APART","Dato no encontrado")))))))))</f>
        <v>#N/A</v>
      </c>
      <c r="AE57" s="111"/>
      <c r="AF57" s="111"/>
      <c r="AG57" s="111"/>
      <c r="AH57" s="111"/>
      <c r="AI57" s="111"/>
      <c r="AJ57" s="126">
        <v>54.0</v>
      </c>
      <c r="AK57" s="141">
        <f>IFERROR(__xludf.DUMMYFUNCTION("""COMPUTED_VALUE"""),46661.0)</f>
        <v>46661</v>
      </c>
      <c r="AL57" s="128" t="str">
        <f>IFERROR(__xludf.DUMMYFUNCTION("""COMPUTED_VALUE"""),"24-Rionegro")</f>
        <v>24-Rionegro</v>
      </c>
      <c r="AM57" s="142">
        <f>IFERROR(__xludf.DUMMYFUNCTION("""COMPUTED_VALUE"""),55.0)</f>
        <v>55</v>
      </c>
      <c r="AN57" s="128"/>
      <c r="AP57" s="126">
        <v>54.0</v>
      </c>
      <c r="AQ57" s="141">
        <f>IFERROR(__xludf.DUMMYFUNCTION("""COMPUTED_VALUE"""),46661.0)</f>
        <v>46661</v>
      </c>
      <c r="AR57" s="128" t="str">
        <f>IFERROR(__xludf.DUMMYFUNCTION("""COMPUTED_VALUE"""),"24-Rionegro")</f>
        <v>24-Rionegro</v>
      </c>
      <c r="AS57" s="142">
        <f>IFERROR(__xludf.DUMMYFUNCTION("""COMPUTED_VALUE"""),55.0)</f>
        <v>55</v>
      </c>
      <c r="AT57" s="128"/>
      <c r="AV57" s="126">
        <v>54.0</v>
      </c>
      <c r="AW57" s="128"/>
      <c r="AX57" s="128"/>
      <c r="AY57" s="128"/>
      <c r="AZ57" s="128"/>
    </row>
    <row r="58">
      <c r="A58" s="120"/>
      <c r="B58" s="126">
        <v>55.0</v>
      </c>
      <c r="C58" s="78">
        <f>IFERROR(__xludf.DUMMYFUNCTION("""COMPUTED_VALUE"""),2464.0)</f>
        <v>2464</v>
      </c>
      <c r="D58" s="156">
        <f>IFERROR(__xludf.DUMMYFUNCTION("""COMPUTED_VALUE"""),46295.0)</f>
        <v>46295</v>
      </c>
      <c r="E58" s="78" t="str">
        <f>IFERROR(__xludf.DUMMYFUNCTION("""COMPUTED_VALUE"""),"02-Medellin")</f>
        <v>02-Medellin</v>
      </c>
      <c r="F58" s="156">
        <f>IFERROR(__xludf.DUMMYFUNCTION("""COMPUTED_VALUE"""),46061.0)</f>
        <v>46061</v>
      </c>
      <c r="G58" s="151">
        <f>IFERROR(__xludf.DUMMYFUNCTION("""COMPUTED_VALUE"""),25.0)</f>
        <v>25</v>
      </c>
      <c r="H58" s="134" t="str">
        <f>IFERROR(__xludf.DUMMYFUNCTION("""COMPUTED_VALUE"""),"VIGENTE")</f>
        <v>VIGENTE</v>
      </c>
      <c r="I58" s="132" t="str">
        <f t="shared" si="1"/>
        <v>-</v>
      </c>
      <c r="J58" s="120"/>
      <c r="K58" s="126">
        <v>55.0</v>
      </c>
      <c r="L58" s="78">
        <f>IFERROR(__xludf.DUMMYFUNCTION("""COMPUTED_VALUE"""),2859.0)</f>
        <v>2859</v>
      </c>
      <c r="M58" s="156">
        <f>IFERROR(__xludf.DUMMYFUNCTION("""COMPUTED_VALUE"""),46226.0)</f>
        <v>46226</v>
      </c>
      <c r="N58" s="78" t="str">
        <f>IFERROR(__xludf.DUMMYFUNCTION("""COMPUTED_VALUE"""),"MAYORCA")</f>
        <v>MAYORCA</v>
      </c>
      <c r="O58" s="156">
        <f>IFERROR(__xludf.DUMMYFUNCTION("""COMPUTED_VALUE"""),46056.0)</f>
        <v>46056</v>
      </c>
      <c r="P58" s="151">
        <f>IFERROR(__xludf.DUMMYFUNCTION("""COMPUTED_VALUE"""),364.0)</f>
        <v>364</v>
      </c>
      <c r="Q58" s="134" t="str">
        <f>IFERROR(__xludf.DUMMYFUNCTION("""COMPUTED_VALUE"""),"PRÓXIMO")</f>
        <v>PRÓXIMO</v>
      </c>
      <c r="R58" s="132" t="str">
        <f t="shared" si="2"/>
        <v>PEDIDO</v>
      </c>
      <c r="T58" s="134" t="str">
        <f>CALENDARIO!D70</f>
        <v/>
      </c>
      <c r="U58" s="135">
        <f>CALENDARIO!C70</f>
        <v>2876</v>
      </c>
      <c r="W58" s="78"/>
      <c r="X58" s="136" t="str">
        <f>(VLOOKUP(W58,'BD LUB'!$A$2:$L$223,5,FALSE)/VLOOKUP(W58,'BD LUB'!$A$2:$L$223,7,FALSE))+(VLOOKUP(W58,'BD LUB'!$A$2:$L$223,6,FALSE)/VLOOKUP(W58,'BD LUB'!$A$2:$L$223,8,FALSE))</f>
        <v>#N/A</v>
      </c>
      <c r="Y58" s="137" t="str">
        <f>IF(AND(VLOOKUP(W58,'BD LUB'!$A$2:$L$223,11,FALSE)="PASADO",VLOOKUP(W58,'BD LUB'!$A$2:$L$223,12,FALSE)="PASADO"),1,IF(OR(AND(VLOOKUP(W58,'BD LUB'!$A$2:$L$223,11,FALSE)="PASADO",VLOOKUP(W58,'BD LUB'!$A$2:$L$223,12,FALSE)="PRÓXIMO"),AND(VLOOKUP(W58,'BD LUB'!$A$2:$L$223,11,FALSE)="PRÓXIMO",VLOOKUP(W58,'BD LUB'!$A$2:$L$223,12,FALSE)="PASADO")),2,IF(OR(AND(VLOOKUP(W58,'BD LUB'!$A$2:$L$223,11,FALSE)="PASADO",VLOOKUP(W58,'BD LUB'!$A$2:$L$223,12,FALSE)="VIGENTE"),AND(VLOOKUP(W58,'BD LUB'!$A$2:$L$223,11,FALSE)="VIGENTE",VLOOKUP(W58,'BD LUB'!$A$2:$L$223,12,FALSE)="PASADO")),3,IF(AND(VLOOKUP(W58,'BD LUB'!$A$2:$L$223,11,FALSE)="PRÓXIMO",VLOOKUP(W58,'BD LUB'!$A$2:$L$223,12,FALSE)="PRÓXIMO"),4,IF(OR(AND(VLOOKUP(W58,'BD LUB'!$A$2:$L$223,11,FALSE)="PRÓXIMO",VLOOKUP(W58,'BD LUB'!$A$2:$L$223,12,FALSE)="VIGENTE"),AND(VLOOKUP(W58,'BD LUB'!$A$2:$L$223,11,FALSE)="VIGENTE",VLOOKUP(W58,'BD LUB'!$A$2:$L$223,12,FALSE)="PRÓXIMO")),5,IF(AND(VLOOKUP(W58,'BD LUB'!$A$2:$L$223,11,FALSE)="VIGENTE",VLOOKUP(W58,'BD LUB'!$A$2:$L$223,12,FALSE)="VIGENTE"),6,"No definido"))))))</f>
        <v>#N/A</v>
      </c>
      <c r="Z58" s="138">
        <f>IFERROR(__xludf.DUMMYFUNCTION("""COMPUTED_VALUE"""),3197.0)</f>
        <v>3197</v>
      </c>
      <c r="AA58" s="139">
        <f>(VLOOKUP(Z58,'BD LUB'!$A$2:$L$223,5,FALSE)/VLOOKUP(Z58,'BD LUB'!$A$2:$L$223,7,FALSE))+(VLOOKUP(Z58,'BD LUB'!$A$2:$L$223,6,FALSE)/VLOOKUP(Z58,'BD LUB'!$A$2:$L$223,8,FALSE))</f>
        <v>1.640466667</v>
      </c>
      <c r="AB58" s="78">
        <f>IF(AND(VLOOKUP(Z58,'BD LUB'!$A$2:$L$223,11,FALSE)="PASADO",VLOOKUP(Z58,'BD LUB'!$A$2:$L$223,12,FALSE)="PASADO"),1,IF(OR(AND(VLOOKUP(Z58,'BD LUB'!$A$2:$L$223,11,FALSE)="PASADO",VLOOKUP(Z58,'BD LUB'!$A$2:$L$223,12,FALSE)="PRÓXIMO"),AND(VLOOKUP(Z58,'BD LUB'!$A$2:$L$223,11,FALSE)="PRÓXIMO",VLOOKUP(Z58,'BD LUB'!$A$2:$L$223,12,FALSE)="PASADO")),2,IF(OR(AND(VLOOKUP(Z58,'BD LUB'!$A$2:$L$223,11,FALSE)="PASADO",VLOOKUP(Z58,'BD LUB'!$A$2:$L$223,12,FALSE)="VIGENTE"),AND(VLOOKUP(Z58,'BD LUB'!$A$2:$L$223,11,FALSE)="VIGENTE",VLOOKUP(Z58,'BD LUB'!$A$2:$L$223,12,FALSE)="PASADO")),3,IF(AND(VLOOKUP(Z58,'BD LUB'!$A$2:$L$223,11,FALSE)="PRÓXIMO",VLOOKUP(Z58,'BD LUB'!$A$2:$L$223,12,FALSE)="PRÓXIMO"),4,IF(OR(AND(VLOOKUP(Z58,'BD LUB'!$A$2:$L$223,11,FALSE)="PRÓXIMO",VLOOKUP(Z58,'BD LUB'!$A$2:$L$223,12,FALSE)="VIGENTE"),AND(VLOOKUP(Z58,'BD LUB'!$A$2:$L$223,11,FALSE)="VIGENTE",VLOOKUP(Z58,'BD LUB'!$A$2:$L$223,12,FALSE)="PRÓXIMO")),5,IF(AND(VLOOKUP(Z58,'BD LUB'!$A$2:$L$223,11,FALSE)="VIGENTE",VLOOKUP(Z58,'BD LUB'!$A$2:$L$223,12,FALSE)="VIGENTE"),6,"No definido"))))))</f>
        <v>5</v>
      </c>
      <c r="AC58" s="134"/>
      <c r="AD58" s="136" t="str">
        <f>IF(VLOOKUP(AC58,'BD LUB'!$A$2:$C$223,3,FALSE)=$AH$20,AC58&amp;" MED",IF(VLOOKUP(AC58,'BD LUB'!$A$2:$C$223,3,FALSE)=$AH$19,AC58&amp;" MAY",IF(VLOOKUP(AC58,'BD LUB'!$A$2:$C$223,3,FALSE)=$AH$18,AC58&amp;" RN",IF(VLOOKUP(AC58,'BD LUB'!$A$2:$C$223,3,FALSE)=$AH$17,AC58&amp;" COPQUI",IF(VLOOKUP(AC58,'BD LUB'!$A$2:$C$223,3,FALSE)=$AH$16,AC58&amp;" CEJ",IF(VLOOKUP(AC58,'BD LUB'!$A$2:$C$223,3,FALSE)=$AH$15,AC58&amp;" BULT",IF(VLOOKUP(AC58,'BD LUB'!$A$2:$C$223,3,FALSE)=$AH$14,AC58&amp;" COP",IF(VLOOKUP(AC58,'BD LUB'!$A$2:$C$223,3,FALSE)=$AH$13,AC58&amp;" RIO",IF(VLOOKUP(AC58,'BD LUB'!$A$2:$C$223,3,FALSE)=$AH$21,AC58&amp;" APART","Dato no encontrado")))))))))</f>
        <v>#N/A</v>
      </c>
      <c r="AE58" s="111"/>
      <c r="AF58" s="111"/>
      <c r="AG58" s="111"/>
      <c r="AH58" s="111"/>
      <c r="AI58" s="111"/>
      <c r="AJ58" s="126">
        <v>55.0</v>
      </c>
      <c r="AK58" s="141">
        <f>IFERROR(__xludf.DUMMYFUNCTION("""COMPUTED_VALUE"""),46661.0)</f>
        <v>46661</v>
      </c>
      <c r="AL58" s="128" t="str">
        <f>IFERROR(__xludf.DUMMYFUNCTION("""COMPUTED_VALUE"""),"02-Medellin")</f>
        <v>02-Medellin</v>
      </c>
      <c r="AM58" s="142">
        <f>IFERROR(__xludf.DUMMYFUNCTION("""COMPUTED_VALUE"""),55.0)</f>
        <v>55</v>
      </c>
      <c r="AN58" s="128"/>
      <c r="AP58" s="126">
        <v>55.0</v>
      </c>
      <c r="AQ58" s="141">
        <f>IFERROR(__xludf.DUMMYFUNCTION("""COMPUTED_VALUE"""),46661.0)</f>
        <v>46661</v>
      </c>
      <c r="AR58" s="128" t="str">
        <f>IFERROR(__xludf.DUMMYFUNCTION("""COMPUTED_VALUE"""),"02-Medellin")</f>
        <v>02-Medellin</v>
      </c>
      <c r="AS58" s="142">
        <f>IFERROR(__xludf.DUMMYFUNCTION("""COMPUTED_VALUE"""),55.0)</f>
        <v>55</v>
      </c>
      <c r="AT58" s="128"/>
      <c r="AV58" s="126">
        <v>55.0</v>
      </c>
      <c r="AW58" s="128"/>
      <c r="AX58" s="128"/>
      <c r="AY58" s="128"/>
      <c r="AZ58" s="128"/>
    </row>
    <row r="59">
      <c r="A59" s="120"/>
      <c r="B59" s="126">
        <v>56.0</v>
      </c>
      <c r="C59" s="78">
        <f>IFERROR(__xludf.DUMMYFUNCTION("""COMPUTED_VALUE"""),2459.0)</f>
        <v>2459</v>
      </c>
      <c r="D59" s="156">
        <f>IFERROR(__xludf.DUMMYFUNCTION("""COMPUTED_VALUE"""),46301.0)</f>
        <v>46301</v>
      </c>
      <c r="E59" s="78" t="str">
        <f>IFERROR(__xludf.DUMMYFUNCTION("""COMPUTED_VALUE"""),"02-Medellin")</f>
        <v>02-Medellin</v>
      </c>
      <c r="F59" s="156">
        <f>IFERROR(__xludf.DUMMYFUNCTION("""COMPUTED_VALUE"""),46061.0)</f>
        <v>46061</v>
      </c>
      <c r="G59" s="151">
        <f>IFERROR(__xludf.DUMMYFUNCTION("""COMPUTED_VALUE"""),25.0)</f>
        <v>25</v>
      </c>
      <c r="H59" s="134" t="str">
        <f>IFERROR(__xludf.DUMMYFUNCTION("""COMPUTED_VALUE"""),"VIGENTE")</f>
        <v>VIGENTE</v>
      </c>
      <c r="I59" s="132" t="str">
        <f t="shared" si="1"/>
        <v>-</v>
      </c>
      <c r="J59" s="120"/>
      <c r="K59" s="126">
        <v>56.0</v>
      </c>
      <c r="L59" s="78">
        <f>IFERROR(__xludf.DUMMYFUNCTION("""COMPUTED_VALUE"""),3275.0)</f>
        <v>3275</v>
      </c>
      <c r="M59" s="156">
        <f>IFERROR(__xludf.DUMMYFUNCTION("""COMPUTED_VALUE"""),46668.0)</f>
        <v>46668</v>
      </c>
      <c r="N59" s="78" t="str">
        <f>IFERROR(__xludf.DUMMYFUNCTION("""COMPUTED_VALUE"""),"02-Medellin")</f>
        <v>02-Medellin</v>
      </c>
      <c r="O59" s="156">
        <f>IFERROR(__xludf.DUMMYFUNCTION("""COMPUTED_VALUE"""),46070.0)</f>
        <v>46070</v>
      </c>
      <c r="P59" s="151">
        <f>IFERROR(__xludf.DUMMYFUNCTION("""COMPUTED_VALUE"""),393.0)</f>
        <v>393</v>
      </c>
      <c r="Q59" s="134" t="str">
        <f>IFERROR(__xludf.DUMMYFUNCTION("""COMPUTED_VALUE"""),"PRÓXIMO")</f>
        <v>PRÓXIMO</v>
      </c>
      <c r="R59" s="132" t="str">
        <f t="shared" si="2"/>
        <v>HECHO</v>
      </c>
      <c r="T59" s="134" t="str">
        <f>CALENDARIO!D71</f>
        <v/>
      </c>
      <c r="U59" s="135">
        <f>CALENDARIO!C71</f>
        <v>2846</v>
      </c>
      <c r="W59" s="78"/>
      <c r="X59" s="136" t="str">
        <f>(VLOOKUP(W59,'BD LUB'!$A$2:$L$223,5,FALSE)/VLOOKUP(W59,'BD LUB'!$A$2:$L$223,7,FALSE))+(VLOOKUP(W59,'BD LUB'!$A$2:$L$223,6,FALSE)/VLOOKUP(W59,'BD LUB'!$A$2:$L$223,8,FALSE))</f>
        <v>#N/A</v>
      </c>
      <c r="Y59" s="137" t="str">
        <f>IF(AND(VLOOKUP(W59,'BD LUB'!$A$2:$L$223,11,FALSE)="PASADO",VLOOKUP(W59,'BD LUB'!$A$2:$L$223,12,FALSE)="PASADO"),1,IF(OR(AND(VLOOKUP(W59,'BD LUB'!$A$2:$L$223,11,FALSE)="PASADO",VLOOKUP(W59,'BD LUB'!$A$2:$L$223,12,FALSE)="PRÓXIMO"),AND(VLOOKUP(W59,'BD LUB'!$A$2:$L$223,11,FALSE)="PRÓXIMO",VLOOKUP(W59,'BD LUB'!$A$2:$L$223,12,FALSE)="PASADO")),2,IF(OR(AND(VLOOKUP(W59,'BD LUB'!$A$2:$L$223,11,FALSE)="PASADO",VLOOKUP(W59,'BD LUB'!$A$2:$L$223,12,FALSE)="VIGENTE"),AND(VLOOKUP(W59,'BD LUB'!$A$2:$L$223,11,FALSE)="VIGENTE",VLOOKUP(W59,'BD LUB'!$A$2:$L$223,12,FALSE)="PASADO")),3,IF(AND(VLOOKUP(W59,'BD LUB'!$A$2:$L$223,11,FALSE)="PRÓXIMO",VLOOKUP(W59,'BD LUB'!$A$2:$L$223,12,FALSE)="PRÓXIMO"),4,IF(OR(AND(VLOOKUP(W59,'BD LUB'!$A$2:$L$223,11,FALSE)="PRÓXIMO",VLOOKUP(W59,'BD LUB'!$A$2:$L$223,12,FALSE)="VIGENTE"),AND(VLOOKUP(W59,'BD LUB'!$A$2:$L$223,11,FALSE)="VIGENTE",VLOOKUP(W59,'BD LUB'!$A$2:$L$223,12,FALSE)="PRÓXIMO")),5,IF(AND(VLOOKUP(W59,'BD LUB'!$A$2:$L$223,11,FALSE)="VIGENTE",VLOOKUP(W59,'BD LUB'!$A$2:$L$223,12,FALSE)="VIGENTE"),6,"No definido"))))))</f>
        <v>#N/A</v>
      </c>
      <c r="Z59" s="138">
        <f>IFERROR(__xludf.DUMMYFUNCTION("""COMPUTED_VALUE"""),2908.0)</f>
        <v>2908</v>
      </c>
      <c r="AA59" s="139">
        <f>(VLOOKUP(Z59,'BD LUB'!$A$2:$L$223,5,FALSE)/VLOOKUP(Z59,'BD LUB'!$A$2:$L$223,7,FALSE))+(VLOOKUP(Z59,'BD LUB'!$A$2:$L$223,6,FALSE)/VLOOKUP(Z59,'BD LUB'!$A$2:$L$223,8,FALSE))</f>
        <v>1.3164</v>
      </c>
      <c r="AB59" s="78">
        <f>IF(AND(VLOOKUP(Z59,'BD LUB'!$A$2:$L$223,11,FALSE)="PASADO",VLOOKUP(Z59,'BD LUB'!$A$2:$L$223,12,FALSE)="PASADO"),1,IF(OR(AND(VLOOKUP(Z59,'BD LUB'!$A$2:$L$223,11,FALSE)="PASADO",VLOOKUP(Z59,'BD LUB'!$A$2:$L$223,12,FALSE)="PRÓXIMO"),AND(VLOOKUP(Z59,'BD LUB'!$A$2:$L$223,11,FALSE)="PRÓXIMO",VLOOKUP(Z59,'BD LUB'!$A$2:$L$223,12,FALSE)="PASADO")),2,IF(OR(AND(VLOOKUP(Z59,'BD LUB'!$A$2:$L$223,11,FALSE)="PASADO",VLOOKUP(Z59,'BD LUB'!$A$2:$L$223,12,FALSE)="VIGENTE"),AND(VLOOKUP(Z59,'BD LUB'!$A$2:$L$223,11,FALSE)="VIGENTE",VLOOKUP(Z59,'BD LUB'!$A$2:$L$223,12,FALSE)="PASADO")),3,IF(AND(VLOOKUP(Z59,'BD LUB'!$A$2:$L$223,11,FALSE)="PRÓXIMO",VLOOKUP(Z59,'BD LUB'!$A$2:$L$223,12,FALSE)="PRÓXIMO"),4,IF(OR(AND(VLOOKUP(Z59,'BD LUB'!$A$2:$L$223,11,FALSE)="PRÓXIMO",VLOOKUP(Z59,'BD LUB'!$A$2:$L$223,12,FALSE)="VIGENTE"),AND(VLOOKUP(Z59,'BD LUB'!$A$2:$L$223,11,FALSE)="VIGENTE",VLOOKUP(Z59,'BD LUB'!$A$2:$L$223,12,FALSE)="PRÓXIMO")),5,IF(AND(VLOOKUP(Z59,'BD LUB'!$A$2:$L$223,11,FALSE)="VIGENTE",VLOOKUP(Z59,'BD LUB'!$A$2:$L$223,12,FALSE)="VIGENTE"),6,"No definido"))))))</f>
        <v>5</v>
      </c>
      <c r="AC59" s="134"/>
      <c r="AD59" s="136" t="str">
        <f>IF(VLOOKUP(AC59,'BD LUB'!$A$2:$C$223,3,FALSE)=$AH$20,AC59&amp;" MED",IF(VLOOKUP(AC59,'BD LUB'!$A$2:$C$223,3,FALSE)=$AH$19,AC59&amp;" MAY",IF(VLOOKUP(AC59,'BD LUB'!$A$2:$C$223,3,FALSE)=$AH$18,AC59&amp;" RN",IF(VLOOKUP(AC59,'BD LUB'!$A$2:$C$223,3,FALSE)=$AH$17,AC59&amp;" COPQUI",IF(VLOOKUP(AC59,'BD LUB'!$A$2:$C$223,3,FALSE)=$AH$16,AC59&amp;" CEJ",IF(VLOOKUP(AC59,'BD LUB'!$A$2:$C$223,3,FALSE)=$AH$15,AC59&amp;" BULT",IF(VLOOKUP(AC59,'BD LUB'!$A$2:$C$223,3,FALSE)=$AH$14,AC59&amp;" COP",IF(VLOOKUP(AC59,'BD LUB'!$A$2:$C$223,3,FALSE)=$AH$13,AC59&amp;" RIO",IF(VLOOKUP(AC59,'BD LUB'!$A$2:$C$223,3,FALSE)=$AH$21,AC59&amp;" APART","Dato no encontrado")))))))))</f>
        <v>#N/A</v>
      </c>
      <c r="AE59" s="111"/>
      <c r="AF59" s="111"/>
      <c r="AG59" s="111"/>
      <c r="AH59" s="111"/>
      <c r="AI59" s="111"/>
      <c r="AJ59" s="126">
        <v>56.0</v>
      </c>
      <c r="AK59" s="141">
        <f>IFERROR(__xludf.DUMMYFUNCTION("""COMPUTED_VALUE"""),46275.0)</f>
        <v>46275</v>
      </c>
      <c r="AL59" s="128" t="str">
        <f>IFERROR(__xludf.DUMMYFUNCTION("""COMPUTED_VALUE"""),"02-Medellin")</f>
        <v>02-Medellin</v>
      </c>
      <c r="AM59" s="142">
        <f>IFERROR(__xludf.DUMMYFUNCTION("""COMPUTED_VALUE"""),49.0)</f>
        <v>49</v>
      </c>
      <c r="AN59" s="128"/>
      <c r="AP59" s="126">
        <v>56.0</v>
      </c>
      <c r="AQ59" s="141">
        <f>IFERROR(__xludf.DUMMYFUNCTION("""COMPUTED_VALUE"""),46275.0)</f>
        <v>46275</v>
      </c>
      <c r="AR59" s="128" t="str">
        <f>IFERROR(__xludf.DUMMYFUNCTION("""COMPUTED_VALUE"""),"02-Medellin")</f>
        <v>02-Medellin</v>
      </c>
      <c r="AS59" s="142">
        <f>IFERROR(__xludf.DUMMYFUNCTION("""COMPUTED_VALUE"""),49.0)</f>
        <v>49</v>
      </c>
      <c r="AT59" s="128"/>
      <c r="AV59" s="126">
        <v>56.0</v>
      </c>
      <c r="AW59" s="128"/>
      <c r="AX59" s="128"/>
      <c r="AY59" s="128"/>
      <c r="AZ59" s="128"/>
    </row>
    <row r="60">
      <c r="A60" s="120"/>
      <c r="B60" s="126">
        <v>57.0</v>
      </c>
      <c r="C60" s="78">
        <f>IFERROR(__xludf.DUMMYFUNCTION("""COMPUTED_VALUE"""),2438.0)</f>
        <v>2438</v>
      </c>
      <c r="D60" s="156">
        <f>IFERROR(__xludf.DUMMYFUNCTION("""COMPUTED_VALUE"""),46521.0)</f>
        <v>46521</v>
      </c>
      <c r="E60" s="78" t="str">
        <f>IFERROR(__xludf.DUMMYFUNCTION("""COMPUTED_VALUE"""),"02-Medellin")</f>
        <v>02-Medellin</v>
      </c>
      <c r="F60" s="156">
        <f>IFERROR(__xludf.DUMMYFUNCTION("""COMPUTED_VALUE"""),46061.0)</f>
        <v>46061</v>
      </c>
      <c r="G60" s="151">
        <f>IFERROR(__xludf.DUMMYFUNCTION("""COMPUTED_VALUE"""),25.0)</f>
        <v>25</v>
      </c>
      <c r="H60" s="134" t="str">
        <f>IFERROR(__xludf.DUMMYFUNCTION("""COMPUTED_VALUE"""),"VIGENTE")</f>
        <v>VIGENTE</v>
      </c>
      <c r="I60" s="132" t="str">
        <f t="shared" si="1"/>
        <v>-</v>
      </c>
      <c r="J60" s="120"/>
      <c r="K60" s="126">
        <v>57.0</v>
      </c>
      <c r="L60" s="78">
        <f>IFERROR(__xludf.DUMMYFUNCTION("""COMPUTED_VALUE"""),2906.0)</f>
        <v>2906</v>
      </c>
      <c r="M60" s="156">
        <f>IFERROR(__xludf.DUMMYFUNCTION("""COMPUTED_VALUE"""),46275.0)</f>
        <v>46275</v>
      </c>
      <c r="N60" s="78" t="str">
        <f>IFERROR(__xludf.DUMMYFUNCTION("""COMPUTED_VALUE"""),"02-Medellin")</f>
        <v>02-Medellin</v>
      </c>
      <c r="O60" s="156">
        <f>IFERROR(__xludf.DUMMYFUNCTION("""COMPUTED_VALUE"""),46084.0)</f>
        <v>46084</v>
      </c>
      <c r="P60" s="151">
        <f>IFERROR(__xludf.DUMMYFUNCTION("""COMPUTED_VALUE"""),410.0)</f>
        <v>410</v>
      </c>
      <c r="Q60" s="134" t="str">
        <f>IFERROR(__xludf.DUMMYFUNCTION("""COMPUTED_VALUE"""),"PRÓXIMO")</f>
        <v>PRÓXIMO</v>
      </c>
      <c r="R60" s="132" t="str">
        <f t="shared" si="2"/>
        <v>PEDIDO</v>
      </c>
      <c r="T60" s="134" t="str">
        <f>CALENDARIO!D72</f>
        <v/>
      </c>
      <c r="U60" s="135">
        <f>CALENDARIO!C72</f>
        <v>2877</v>
      </c>
      <c r="W60" s="78"/>
      <c r="X60" s="136" t="str">
        <f>(VLOOKUP(W60,'BD LUB'!$A$2:$L$223,5,FALSE)/VLOOKUP(W60,'BD LUB'!$A$2:$L$223,7,FALSE))+(VLOOKUP(W60,'BD LUB'!$A$2:$L$223,6,FALSE)/VLOOKUP(W60,'BD LUB'!$A$2:$L$223,8,FALSE))</f>
        <v>#N/A</v>
      </c>
      <c r="Y60" s="137" t="str">
        <f>IF(AND(VLOOKUP(W60,'BD LUB'!$A$2:$L$223,11,FALSE)="PASADO",VLOOKUP(W60,'BD LUB'!$A$2:$L$223,12,FALSE)="PASADO"),1,IF(OR(AND(VLOOKUP(W60,'BD LUB'!$A$2:$L$223,11,FALSE)="PASADO",VLOOKUP(W60,'BD LUB'!$A$2:$L$223,12,FALSE)="PRÓXIMO"),AND(VLOOKUP(W60,'BD LUB'!$A$2:$L$223,11,FALSE)="PRÓXIMO",VLOOKUP(W60,'BD LUB'!$A$2:$L$223,12,FALSE)="PASADO")),2,IF(OR(AND(VLOOKUP(W60,'BD LUB'!$A$2:$L$223,11,FALSE)="PASADO",VLOOKUP(W60,'BD LUB'!$A$2:$L$223,12,FALSE)="VIGENTE"),AND(VLOOKUP(W60,'BD LUB'!$A$2:$L$223,11,FALSE)="VIGENTE",VLOOKUP(W60,'BD LUB'!$A$2:$L$223,12,FALSE)="PASADO")),3,IF(AND(VLOOKUP(W60,'BD LUB'!$A$2:$L$223,11,FALSE)="PRÓXIMO",VLOOKUP(W60,'BD LUB'!$A$2:$L$223,12,FALSE)="PRÓXIMO"),4,IF(OR(AND(VLOOKUP(W60,'BD LUB'!$A$2:$L$223,11,FALSE)="PRÓXIMO",VLOOKUP(W60,'BD LUB'!$A$2:$L$223,12,FALSE)="VIGENTE"),AND(VLOOKUP(W60,'BD LUB'!$A$2:$L$223,11,FALSE)="VIGENTE",VLOOKUP(W60,'BD LUB'!$A$2:$L$223,12,FALSE)="PRÓXIMO")),5,IF(AND(VLOOKUP(W60,'BD LUB'!$A$2:$L$223,11,FALSE)="VIGENTE",VLOOKUP(W60,'BD LUB'!$A$2:$L$223,12,FALSE)="VIGENTE"),6,"No definido"))))))</f>
        <v>#N/A</v>
      </c>
      <c r="Z60" s="138">
        <f>IFERROR(__xludf.DUMMYFUNCTION("""COMPUTED_VALUE"""),2895.0)</f>
        <v>2895</v>
      </c>
      <c r="AA60" s="139">
        <f>(VLOOKUP(Z60,'BD LUB'!$A$2:$L$223,5,FALSE)/VLOOKUP(Z60,'BD LUB'!$A$2:$L$223,7,FALSE))+(VLOOKUP(Z60,'BD LUB'!$A$2:$L$223,6,FALSE)/VLOOKUP(Z60,'BD LUB'!$A$2:$L$223,8,FALSE))</f>
        <v>1.195933333</v>
      </c>
      <c r="AB60" s="78">
        <f>IF(AND(VLOOKUP(Z60,'BD LUB'!$A$2:$L$223,11,FALSE)="PASADO",VLOOKUP(Z60,'BD LUB'!$A$2:$L$223,12,FALSE)="PASADO"),1,IF(OR(AND(VLOOKUP(Z60,'BD LUB'!$A$2:$L$223,11,FALSE)="PASADO",VLOOKUP(Z60,'BD LUB'!$A$2:$L$223,12,FALSE)="PRÓXIMO"),AND(VLOOKUP(Z60,'BD LUB'!$A$2:$L$223,11,FALSE)="PRÓXIMO",VLOOKUP(Z60,'BD LUB'!$A$2:$L$223,12,FALSE)="PASADO")),2,IF(OR(AND(VLOOKUP(Z60,'BD LUB'!$A$2:$L$223,11,FALSE)="PASADO",VLOOKUP(Z60,'BD LUB'!$A$2:$L$223,12,FALSE)="VIGENTE"),AND(VLOOKUP(Z60,'BD LUB'!$A$2:$L$223,11,FALSE)="VIGENTE",VLOOKUP(Z60,'BD LUB'!$A$2:$L$223,12,FALSE)="PASADO")),3,IF(AND(VLOOKUP(Z60,'BD LUB'!$A$2:$L$223,11,FALSE)="PRÓXIMO",VLOOKUP(Z60,'BD LUB'!$A$2:$L$223,12,FALSE)="PRÓXIMO"),4,IF(OR(AND(VLOOKUP(Z60,'BD LUB'!$A$2:$L$223,11,FALSE)="PRÓXIMO",VLOOKUP(Z60,'BD LUB'!$A$2:$L$223,12,FALSE)="VIGENTE"),AND(VLOOKUP(Z60,'BD LUB'!$A$2:$L$223,11,FALSE)="VIGENTE",VLOOKUP(Z60,'BD LUB'!$A$2:$L$223,12,FALSE)="PRÓXIMO")),5,IF(AND(VLOOKUP(Z60,'BD LUB'!$A$2:$L$223,11,FALSE)="VIGENTE",VLOOKUP(Z60,'BD LUB'!$A$2:$L$223,12,FALSE)="VIGENTE"),6,"No definido"))))))</f>
        <v>5</v>
      </c>
      <c r="AC60" s="134"/>
      <c r="AD60" s="136" t="str">
        <f>IF(VLOOKUP(AC60,'BD LUB'!$A$2:$C$223,3,FALSE)=$AH$20,AC60&amp;" MED",IF(VLOOKUP(AC60,'BD LUB'!$A$2:$C$223,3,FALSE)=$AH$19,AC60&amp;" MAY",IF(VLOOKUP(AC60,'BD LUB'!$A$2:$C$223,3,FALSE)=$AH$18,AC60&amp;" RN",IF(VLOOKUP(AC60,'BD LUB'!$A$2:$C$223,3,FALSE)=$AH$17,AC60&amp;" COPQUI",IF(VLOOKUP(AC60,'BD LUB'!$A$2:$C$223,3,FALSE)=$AH$16,AC60&amp;" CEJ",IF(VLOOKUP(AC60,'BD LUB'!$A$2:$C$223,3,FALSE)=$AH$15,AC60&amp;" BULT",IF(VLOOKUP(AC60,'BD LUB'!$A$2:$C$223,3,FALSE)=$AH$14,AC60&amp;" COP",IF(VLOOKUP(AC60,'BD LUB'!$A$2:$C$223,3,FALSE)=$AH$13,AC60&amp;" RIO",IF(VLOOKUP(AC60,'BD LUB'!$A$2:$C$223,3,FALSE)=$AH$21,AC60&amp;" APART","Dato no encontrado")))))))))</f>
        <v>#N/A</v>
      </c>
      <c r="AE60" s="111"/>
      <c r="AF60" s="111"/>
      <c r="AG60" s="111"/>
      <c r="AH60" s="111"/>
      <c r="AI60" s="111"/>
      <c r="AJ60" s="126">
        <v>57.0</v>
      </c>
      <c r="AK60" s="141">
        <f>IFERROR(__xludf.DUMMYFUNCTION("""COMPUTED_VALUE"""),46242.0)</f>
        <v>46242</v>
      </c>
      <c r="AL60" s="128" t="str">
        <f>IFERROR(__xludf.DUMMYFUNCTION("""COMPUTED_VALUE"""),"31-Copacabana")</f>
        <v>31-Copacabana</v>
      </c>
      <c r="AM60" s="142">
        <f>IFERROR(__xludf.DUMMYFUNCTION("""COMPUTED_VALUE"""),39.0)</f>
        <v>39</v>
      </c>
      <c r="AN60" s="128"/>
      <c r="AP60" s="126">
        <v>57.0</v>
      </c>
      <c r="AQ60" s="141">
        <f>IFERROR(__xludf.DUMMYFUNCTION("""COMPUTED_VALUE"""),46242.0)</f>
        <v>46242</v>
      </c>
      <c r="AR60" s="128" t="str">
        <f>IFERROR(__xludf.DUMMYFUNCTION("""COMPUTED_VALUE"""),"31-Copacabana")</f>
        <v>31-Copacabana</v>
      </c>
      <c r="AS60" s="142">
        <f>IFERROR(__xludf.DUMMYFUNCTION("""COMPUTED_VALUE"""),39.0)</f>
        <v>39</v>
      </c>
      <c r="AT60" s="128"/>
      <c r="AV60" s="126">
        <v>57.0</v>
      </c>
      <c r="AW60" s="128"/>
      <c r="AX60" s="128"/>
      <c r="AY60" s="128"/>
      <c r="AZ60" s="128"/>
    </row>
    <row r="61">
      <c r="A61" s="120"/>
      <c r="B61" s="126">
        <v>58.0</v>
      </c>
      <c r="C61" s="78">
        <f>IFERROR(__xludf.DUMMYFUNCTION("""COMPUTED_VALUE"""),2202.0)</f>
        <v>2202</v>
      </c>
      <c r="D61" s="156">
        <f>IFERROR(__xludf.DUMMYFUNCTION("""COMPUTED_VALUE"""),46527.0)</f>
        <v>46527</v>
      </c>
      <c r="E61" s="78" t="str">
        <f>IFERROR(__xludf.DUMMYFUNCTION("""COMPUTED_VALUE"""),"02-Medellin")</f>
        <v>02-Medellin</v>
      </c>
      <c r="F61" s="156">
        <f>IFERROR(__xludf.DUMMYFUNCTION("""COMPUTED_VALUE"""),46061.0)</f>
        <v>46061</v>
      </c>
      <c r="G61" s="151">
        <f>IFERROR(__xludf.DUMMYFUNCTION("""COMPUTED_VALUE"""),25.0)</f>
        <v>25</v>
      </c>
      <c r="H61" s="134" t="str">
        <f>IFERROR(__xludf.DUMMYFUNCTION("""COMPUTED_VALUE"""),"VIGENTE")</f>
        <v>VIGENTE</v>
      </c>
      <c r="I61" s="132" t="str">
        <f t="shared" si="1"/>
        <v>-</v>
      </c>
      <c r="J61" s="120"/>
      <c r="K61" s="126">
        <v>58.0</v>
      </c>
      <c r="L61" s="78">
        <f>IFERROR(__xludf.DUMMYFUNCTION("""COMPUTED_VALUE"""),3273.0)</f>
        <v>3273</v>
      </c>
      <c r="M61" s="156">
        <f>IFERROR(__xludf.DUMMYFUNCTION("""COMPUTED_VALUE"""),46668.0)</f>
        <v>46668</v>
      </c>
      <c r="N61" s="78" t="str">
        <f>IFERROR(__xludf.DUMMYFUNCTION("""COMPUTED_VALUE"""),"02-Medellin")</f>
        <v>02-Medellin</v>
      </c>
      <c r="O61" s="156">
        <f>IFERROR(__xludf.DUMMYFUNCTION("""COMPUTED_VALUE"""),46070.0)</f>
        <v>46070</v>
      </c>
      <c r="P61" s="151">
        <f>IFERROR(__xludf.DUMMYFUNCTION("""COMPUTED_VALUE"""),437.0)</f>
        <v>437</v>
      </c>
      <c r="Q61" s="134" t="str">
        <f>IFERROR(__xludf.DUMMYFUNCTION("""COMPUTED_VALUE"""),"PRÓXIMO")</f>
        <v>PRÓXIMO</v>
      </c>
      <c r="R61" s="132" t="str">
        <f t="shared" si="2"/>
        <v>PEDIDO</v>
      </c>
      <c r="T61" s="134" t="str">
        <f>CALENDARIO!D73</f>
        <v/>
      </c>
      <c r="U61" s="135">
        <f>CALENDARIO!C73</f>
        <v>2850</v>
      </c>
      <c r="W61" s="78"/>
      <c r="X61" s="136" t="str">
        <f>(VLOOKUP(W61,'BD LUB'!$A$2:$L$223,5,FALSE)/VLOOKUP(W61,'BD LUB'!$A$2:$L$223,7,FALSE))+(VLOOKUP(W61,'BD LUB'!$A$2:$L$223,6,FALSE)/VLOOKUP(W61,'BD LUB'!$A$2:$L$223,8,FALSE))</f>
        <v>#N/A</v>
      </c>
      <c r="Y61" s="137" t="str">
        <f>IF(AND(VLOOKUP(W61,'BD LUB'!$A$2:$L$223,11,FALSE)="PASADO",VLOOKUP(W61,'BD LUB'!$A$2:$L$223,12,FALSE)="PASADO"),1,IF(OR(AND(VLOOKUP(W61,'BD LUB'!$A$2:$L$223,11,FALSE)="PASADO",VLOOKUP(W61,'BD LUB'!$A$2:$L$223,12,FALSE)="PRÓXIMO"),AND(VLOOKUP(W61,'BD LUB'!$A$2:$L$223,11,FALSE)="PRÓXIMO",VLOOKUP(W61,'BD LUB'!$A$2:$L$223,12,FALSE)="PASADO")),2,IF(OR(AND(VLOOKUP(W61,'BD LUB'!$A$2:$L$223,11,FALSE)="PASADO",VLOOKUP(W61,'BD LUB'!$A$2:$L$223,12,FALSE)="VIGENTE"),AND(VLOOKUP(W61,'BD LUB'!$A$2:$L$223,11,FALSE)="VIGENTE",VLOOKUP(W61,'BD LUB'!$A$2:$L$223,12,FALSE)="PASADO")),3,IF(AND(VLOOKUP(W61,'BD LUB'!$A$2:$L$223,11,FALSE)="PRÓXIMO",VLOOKUP(W61,'BD LUB'!$A$2:$L$223,12,FALSE)="PRÓXIMO"),4,IF(OR(AND(VLOOKUP(W61,'BD LUB'!$A$2:$L$223,11,FALSE)="PRÓXIMO",VLOOKUP(W61,'BD LUB'!$A$2:$L$223,12,FALSE)="VIGENTE"),AND(VLOOKUP(W61,'BD LUB'!$A$2:$L$223,11,FALSE)="VIGENTE",VLOOKUP(W61,'BD LUB'!$A$2:$L$223,12,FALSE)="PRÓXIMO")),5,IF(AND(VLOOKUP(W61,'BD LUB'!$A$2:$L$223,11,FALSE)="VIGENTE",VLOOKUP(W61,'BD LUB'!$A$2:$L$223,12,FALSE)="VIGENTE"),6,"No definido"))))))</f>
        <v>#N/A</v>
      </c>
      <c r="Z61" s="138">
        <f>IFERROR(__xludf.DUMMYFUNCTION("""COMPUTED_VALUE"""),3213.0)</f>
        <v>3213</v>
      </c>
      <c r="AA61" s="139">
        <f>(VLOOKUP(Z61,'BD LUB'!$A$2:$L$223,5,FALSE)/VLOOKUP(Z61,'BD LUB'!$A$2:$L$223,7,FALSE))+(VLOOKUP(Z61,'BD LUB'!$A$2:$L$223,6,FALSE)/VLOOKUP(Z61,'BD LUB'!$A$2:$L$223,8,FALSE))</f>
        <v>1.556044444</v>
      </c>
      <c r="AB61" s="78">
        <f>IF(AND(VLOOKUP(Z61,'BD LUB'!$A$2:$L$223,11,FALSE)="PASADO",VLOOKUP(Z61,'BD LUB'!$A$2:$L$223,12,FALSE)="PASADO"),1,IF(OR(AND(VLOOKUP(Z61,'BD LUB'!$A$2:$L$223,11,FALSE)="PASADO",VLOOKUP(Z61,'BD LUB'!$A$2:$L$223,12,FALSE)="PRÓXIMO"),AND(VLOOKUP(Z61,'BD LUB'!$A$2:$L$223,11,FALSE)="PRÓXIMO",VLOOKUP(Z61,'BD LUB'!$A$2:$L$223,12,FALSE)="PASADO")),2,IF(OR(AND(VLOOKUP(Z61,'BD LUB'!$A$2:$L$223,11,FALSE)="PASADO",VLOOKUP(Z61,'BD LUB'!$A$2:$L$223,12,FALSE)="VIGENTE"),AND(VLOOKUP(Z61,'BD LUB'!$A$2:$L$223,11,FALSE)="VIGENTE",VLOOKUP(Z61,'BD LUB'!$A$2:$L$223,12,FALSE)="PASADO")),3,IF(AND(VLOOKUP(Z61,'BD LUB'!$A$2:$L$223,11,FALSE)="PRÓXIMO",VLOOKUP(Z61,'BD LUB'!$A$2:$L$223,12,FALSE)="PRÓXIMO"),4,IF(OR(AND(VLOOKUP(Z61,'BD LUB'!$A$2:$L$223,11,FALSE)="PRÓXIMO",VLOOKUP(Z61,'BD LUB'!$A$2:$L$223,12,FALSE)="VIGENTE"),AND(VLOOKUP(Z61,'BD LUB'!$A$2:$L$223,11,FALSE)="VIGENTE",VLOOKUP(Z61,'BD LUB'!$A$2:$L$223,12,FALSE)="PRÓXIMO")),5,IF(AND(VLOOKUP(Z61,'BD LUB'!$A$2:$L$223,11,FALSE)="VIGENTE",VLOOKUP(Z61,'BD LUB'!$A$2:$L$223,12,FALSE)="VIGENTE"),6,"No definido"))))))</f>
        <v>5</v>
      </c>
      <c r="AC61" s="134"/>
      <c r="AD61" s="136" t="str">
        <f>IF(VLOOKUP(AC61,'BD LUB'!$A$2:$C$223,3,FALSE)=$AH$20,AC61&amp;" MED",IF(VLOOKUP(AC61,'BD LUB'!$A$2:$C$223,3,FALSE)=$AH$19,AC61&amp;" MAY",IF(VLOOKUP(AC61,'BD LUB'!$A$2:$C$223,3,FALSE)=$AH$18,AC61&amp;" RN",IF(VLOOKUP(AC61,'BD LUB'!$A$2:$C$223,3,FALSE)=$AH$17,AC61&amp;" COPQUI",IF(VLOOKUP(AC61,'BD LUB'!$A$2:$C$223,3,FALSE)=$AH$16,AC61&amp;" CEJ",IF(VLOOKUP(AC61,'BD LUB'!$A$2:$C$223,3,FALSE)=$AH$15,AC61&amp;" BULT",IF(VLOOKUP(AC61,'BD LUB'!$A$2:$C$223,3,FALSE)=$AH$14,AC61&amp;" COP",IF(VLOOKUP(AC61,'BD LUB'!$A$2:$C$223,3,FALSE)=$AH$13,AC61&amp;" RIO",IF(VLOOKUP(AC61,'BD LUB'!$A$2:$C$223,3,FALSE)=$AH$21,AC61&amp;" APART","Dato no encontrado")))))))))</f>
        <v>#N/A</v>
      </c>
      <c r="AE61" s="111"/>
      <c r="AF61" s="111"/>
      <c r="AG61" s="111"/>
      <c r="AH61" s="111"/>
      <c r="AI61" s="111"/>
      <c r="AJ61" s="126">
        <v>58.0</v>
      </c>
      <c r="AK61" s="128"/>
      <c r="AL61" s="128"/>
      <c r="AM61" s="128"/>
      <c r="AN61" s="128"/>
      <c r="AP61" s="126">
        <v>58.0</v>
      </c>
      <c r="AQ61" s="128"/>
      <c r="AR61" s="128"/>
      <c r="AS61" s="128"/>
      <c r="AT61" s="128"/>
      <c r="AV61" s="126">
        <v>58.0</v>
      </c>
      <c r="AW61" s="128"/>
      <c r="AX61" s="128"/>
      <c r="AY61" s="128"/>
      <c r="AZ61" s="128"/>
    </row>
    <row r="62">
      <c r="A62" s="158"/>
      <c r="B62" s="126">
        <v>59.0</v>
      </c>
      <c r="C62" s="78">
        <f>IFERROR(__xludf.DUMMYFUNCTION("""COMPUTED_VALUE"""),654.0)</f>
        <v>654</v>
      </c>
      <c r="D62" s="156">
        <f>IFERROR(__xludf.DUMMYFUNCTION("""COMPUTED_VALUE"""),46309.0)</f>
        <v>46309</v>
      </c>
      <c r="E62" s="78" t="str">
        <f>IFERROR(__xludf.DUMMYFUNCTION("""COMPUTED_VALUE"""),"02-Medellin")</f>
        <v>02-Medellin</v>
      </c>
      <c r="F62" s="156">
        <f>IFERROR(__xludf.DUMMYFUNCTION("""COMPUTED_VALUE"""),46061.0)</f>
        <v>46061</v>
      </c>
      <c r="G62" s="159">
        <f>IFERROR(__xludf.DUMMYFUNCTION("""COMPUTED_VALUE"""),25.0)</f>
        <v>25</v>
      </c>
      <c r="H62" s="78" t="str">
        <f>IFERROR(__xludf.DUMMYFUNCTION("""COMPUTED_VALUE"""),"VIGENTE")</f>
        <v>VIGENTE</v>
      </c>
      <c r="I62" s="132" t="str">
        <f t="shared" si="1"/>
        <v>-</v>
      </c>
      <c r="J62" s="158"/>
      <c r="K62" s="126">
        <v>59.0</v>
      </c>
      <c r="L62" s="78">
        <f>IFERROR(__xludf.DUMMYFUNCTION("""COMPUTED_VALUE"""),2891.0)</f>
        <v>2891</v>
      </c>
      <c r="M62" s="156">
        <f>IFERROR(__xludf.DUMMYFUNCTION("""COMPUTED_VALUE"""),46242.0)</f>
        <v>46242</v>
      </c>
      <c r="N62" s="78" t="str">
        <f>IFERROR(__xludf.DUMMYFUNCTION("""COMPUTED_VALUE"""),"31-Copacabana")</f>
        <v>31-Copacabana</v>
      </c>
      <c r="O62" s="156">
        <f>IFERROR(__xludf.DUMMYFUNCTION("""COMPUTED_VALUE"""),46107.0)</f>
        <v>46107</v>
      </c>
      <c r="P62" s="159">
        <f>IFERROR(__xludf.DUMMYFUNCTION("""COMPUTED_VALUE"""),457.0)</f>
        <v>457</v>
      </c>
      <c r="Q62" s="78" t="str">
        <f>IFERROR(__xludf.DUMMYFUNCTION("""COMPUTED_VALUE"""),"PRÓXIMO")</f>
        <v>PRÓXIMO</v>
      </c>
      <c r="R62" s="132" t="str">
        <f t="shared" si="2"/>
        <v>NO PEDIDO</v>
      </c>
      <c r="T62" s="134" t="str">
        <f>CALENDARIO!D74</f>
        <v/>
      </c>
      <c r="U62" s="135">
        <f>CALENDARIO!C74</f>
        <v>661</v>
      </c>
      <c r="W62" s="78"/>
      <c r="X62" s="136" t="str">
        <f>(VLOOKUP(W62,'BD LUB'!$A$2:$L$223,5,FALSE)/VLOOKUP(W62,'BD LUB'!$A$2:$L$223,7,FALSE))+(VLOOKUP(W62,'BD LUB'!$A$2:$L$223,6,FALSE)/VLOOKUP(W62,'BD LUB'!$A$2:$L$223,8,FALSE))</f>
        <v>#N/A</v>
      </c>
      <c r="Y62" s="137" t="str">
        <f>IF(AND(VLOOKUP(W62,'BD LUB'!$A$2:$L$223,11,FALSE)="PASADO",VLOOKUP(W62,'BD LUB'!$A$2:$L$223,12,FALSE)="PASADO"),1,IF(OR(AND(VLOOKUP(W62,'BD LUB'!$A$2:$L$223,11,FALSE)="PASADO",VLOOKUP(W62,'BD LUB'!$A$2:$L$223,12,FALSE)="PRÓXIMO"),AND(VLOOKUP(W62,'BD LUB'!$A$2:$L$223,11,FALSE)="PRÓXIMO",VLOOKUP(W62,'BD LUB'!$A$2:$L$223,12,FALSE)="PASADO")),2,IF(OR(AND(VLOOKUP(W62,'BD LUB'!$A$2:$L$223,11,FALSE)="PASADO",VLOOKUP(W62,'BD LUB'!$A$2:$L$223,12,FALSE)="VIGENTE"),AND(VLOOKUP(W62,'BD LUB'!$A$2:$L$223,11,FALSE)="VIGENTE",VLOOKUP(W62,'BD LUB'!$A$2:$L$223,12,FALSE)="PASADO")),3,IF(AND(VLOOKUP(W62,'BD LUB'!$A$2:$L$223,11,FALSE)="PRÓXIMO",VLOOKUP(W62,'BD LUB'!$A$2:$L$223,12,FALSE)="PRÓXIMO"),4,IF(OR(AND(VLOOKUP(W62,'BD LUB'!$A$2:$L$223,11,FALSE)="PRÓXIMO",VLOOKUP(W62,'BD LUB'!$A$2:$L$223,12,FALSE)="VIGENTE"),AND(VLOOKUP(W62,'BD LUB'!$A$2:$L$223,11,FALSE)="VIGENTE",VLOOKUP(W62,'BD LUB'!$A$2:$L$223,12,FALSE)="PRÓXIMO")),5,IF(AND(VLOOKUP(W62,'BD LUB'!$A$2:$L$223,11,FALSE)="VIGENTE",VLOOKUP(W62,'BD LUB'!$A$2:$L$223,12,FALSE)="VIGENTE"),6,"No definido"))))))</f>
        <v>#N/A</v>
      </c>
      <c r="Z62" s="138"/>
      <c r="AA62" s="139" t="str">
        <f>(VLOOKUP(Z62,'BD LUB'!$A$2:$L$223,5,FALSE)/VLOOKUP(Z62,'BD LUB'!$A$2:$L$223,7,FALSE))+(VLOOKUP(Z62,'BD LUB'!$A$2:$L$223,6,FALSE)/VLOOKUP(Z62,'BD LUB'!$A$2:$L$223,8,FALSE))</f>
        <v>#N/A</v>
      </c>
      <c r="AB62" s="78" t="str">
        <f>IF(AND(VLOOKUP(Z62,'BD LUB'!$A$2:$L$223,11,FALSE)="PASADO",VLOOKUP(Z62,'BD LUB'!$A$2:$L$223,12,FALSE)="PASADO"),1,IF(OR(AND(VLOOKUP(Z62,'BD LUB'!$A$2:$L$223,11,FALSE)="PASADO",VLOOKUP(Z62,'BD LUB'!$A$2:$L$223,12,FALSE)="PRÓXIMO"),AND(VLOOKUP(Z62,'BD LUB'!$A$2:$L$223,11,FALSE)="PRÓXIMO",VLOOKUP(Z62,'BD LUB'!$A$2:$L$223,12,FALSE)="PASADO")),2,IF(OR(AND(VLOOKUP(Z62,'BD LUB'!$A$2:$L$223,11,FALSE)="PASADO",VLOOKUP(Z62,'BD LUB'!$A$2:$L$223,12,FALSE)="VIGENTE"),AND(VLOOKUP(Z62,'BD LUB'!$A$2:$L$223,11,FALSE)="VIGENTE",VLOOKUP(Z62,'BD LUB'!$A$2:$L$223,12,FALSE)="PASADO")),3,IF(AND(VLOOKUP(Z62,'BD LUB'!$A$2:$L$223,11,FALSE)="PRÓXIMO",VLOOKUP(Z62,'BD LUB'!$A$2:$L$223,12,FALSE)="PRÓXIMO"),4,IF(OR(AND(VLOOKUP(Z62,'BD LUB'!$A$2:$L$223,11,FALSE)="PRÓXIMO",VLOOKUP(Z62,'BD LUB'!$A$2:$L$223,12,FALSE)="VIGENTE"),AND(VLOOKUP(Z62,'BD LUB'!$A$2:$L$223,11,FALSE)="VIGENTE",VLOOKUP(Z62,'BD LUB'!$A$2:$L$223,12,FALSE)="PRÓXIMO")),5,IF(AND(VLOOKUP(Z62,'BD LUB'!$A$2:$L$223,11,FALSE)="VIGENTE",VLOOKUP(Z62,'BD LUB'!$A$2:$L$223,12,FALSE)="VIGENTE"),6,"No definido"))))))</f>
        <v>#N/A</v>
      </c>
      <c r="AC62" s="134"/>
      <c r="AD62" s="136" t="str">
        <f>IF(VLOOKUP(AC62,'BD LUB'!$A$2:$C$223,3,FALSE)=$AH$20,AC62&amp;" MED",IF(VLOOKUP(AC62,'BD LUB'!$A$2:$C$223,3,FALSE)=$AH$19,AC62&amp;" MAY",IF(VLOOKUP(AC62,'BD LUB'!$A$2:$C$223,3,FALSE)=$AH$18,AC62&amp;" RN",IF(VLOOKUP(AC62,'BD LUB'!$A$2:$C$223,3,FALSE)=$AH$17,AC62&amp;" COPQUI",IF(VLOOKUP(AC62,'BD LUB'!$A$2:$C$223,3,FALSE)=$AH$16,AC62&amp;" CEJ",IF(VLOOKUP(AC62,'BD LUB'!$A$2:$C$223,3,FALSE)=$AH$15,AC62&amp;" BULT",IF(VLOOKUP(AC62,'BD LUB'!$A$2:$C$223,3,FALSE)=$AH$14,AC62&amp;" COP",IF(VLOOKUP(AC62,'BD LUB'!$A$2:$C$223,3,FALSE)=$AH$13,AC62&amp;" RIO",IF(VLOOKUP(AC62,'BD LUB'!$A$2:$C$223,3,FALSE)=$AH$21,AC62&amp;" APART","Dato no encontrado")))))))))</f>
        <v>#N/A</v>
      </c>
      <c r="AE62" s="111"/>
      <c r="AF62" s="111"/>
      <c r="AG62" s="111"/>
      <c r="AH62" s="111"/>
      <c r="AI62" s="111"/>
      <c r="AJ62" s="126">
        <v>59.0</v>
      </c>
      <c r="AK62" s="128"/>
      <c r="AL62" s="128"/>
      <c r="AM62" s="128"/>
      <c r="AN62" s="128"/>
      <c r="AP62" s="126">
        <v>59.0</v>
      </c>
      <c r="AQ62" s="128"/>
      <c r="AR62" s="128"/>
      <c r="AS62" s="128"/>
      <c r="AT62" s="128"/>
      <c r="AV62" s="126">
        <v>59.0</v>
      </c>
      <c r="AW62" s="128"/>
      <c r="AX62" s="128"/>
      <c r="AY62" s="128"/>
      <c r="AZ62" s="128"/>
    </row>
    <row r="63">
      <c r="A63" s="158"/>
      <c r="B63" s="126">
        <v>60.0</v>
      </c>
      <c r="C63" s="78">
        <f>IFERROR(__xludf.DUMMYFUNCTION("""COMPUTED_VALUE"""),3283.0)</f>
        <v>3283</v>
      </c>
      <c r="D63" s="156">
        <f>IFERROR(__xludf.DUMMYFUNCTION("""COMPUTED_VALUE"""),46668.0)</f>
        <v>46668</v>
      </c>
      <c r="E63" s="78" t="str">
        <f>IFERROR(__xludf.DUMMYFUNCTION("""COMPUTED_VALUE"""),"02-Medellin")</f>
        <v>02-Medellin</v>
      </c>
      <c r="F63" s="156">
        <f>IFERROR(__xludf.DUMMYFUNCTION("""COMPUTED_VALUE"""),46062.0)</f>
        <v>46062</v>
      </c>
      <c r="G63" s="159">
        <f>IFERROR(__xludf.DUMMYFUNCTION("""COMPUTED_VALUE"""),26.0)</f>
        <v>26</v>
      </c>
      <c r="H63" s="78" t="str">
        <f>IFERROR(__xludf.DUMMYFUNCTION("""COMPUTED_VALUE"""),"VIGENTE")</f>
        <v>VIGENTE</v>
      </c>
      <c r="I63" s="132" t="str">
        <f t="shared" si="1"/>
        <v>-</v>
      </c>
      <c r="J63" s="158"/>
      <c r="K63" s="126">
        <v>60.0</v>
      </c>
      <c r="L63" s="78">
        <f>IFERROR(__xludf.DUMMYFUNCTION("""COMPUTED_VALUE"""),3247.0)</f>
        <v>3247</v>
      </c>
      <c r="M63" s="156">
        <f>IFERROR(__xludf.DUMMYFUNCTION("""COMPUTED_VALUE"""),46661.0)</f>
        <v>46661</v>
      </c>
      <c r="N63" s="78" t="str">
        <f>IFERROR(__xludf.DUMMYFUNCTION("""COMPUTED_VALUE"""),"02-Medellin")</f>
        <v>02-Medellin</v>
      </c>
      <c r="O63" s="156">
        <f>IFERROR(__xludf.DUMMYFUNCTION("""COMPUTED_VALUE"""),46092.0)</f>
        <v>46092</v>
      </c>
      <c r="P63" s="159">
        <f>IFERROR(__xludf.DUMMYFUNCTION("""COMPUTED_VALUE"""),581.0)</f>
        <v>581</v>
      </c>
      <c r="Q63" s="78" t="str">
        <f>IFERROR(__xludf.DUMMYFUNCTION("""COMPUTED_VALUE"""),"PRÓXIMO")</f>
        <v>PRÓXIMO</v>
      </c>
      <c r="R63" s="132" t="str">
        <f t="shared" si="2"/>
        <v>PEDIDO</v>
      </c>
      <c r="T63" s="134" t="str">
        <f>CALENDARIO!D75</f>
        <v/>
      </c>
      <c r="U63" s="135">
        <f>CALENDARIO!C75</f>
        <v>2682</v>
      </c>
      <c r="W63" s="78"/>
      <c r="X63" s="136" t="str">
        <f>(VLOOKUP(W63,'BD LUB'!$A$2:$L$223,5,FALSE)/VLOOKUP(W63,'BD LUB'!$A$2:$L$223,7,FALSE))+(VLOOKUP(W63,'BD LUB'!$A$2:$L$223,6,FALSE)/VLOOKUP(W63,'BD LUB'!$A$2:$L$223,8,FALSE))</f>
        <v>#N/A</v>
      </c>
      <c r="Y63" s="137" t="str">
        <f>IF(AND(VLOOKUP(W63,'BD LUB'!$A$2:$L$223,11,FALSE)="PASADO",VLOOKUP(W63,'BD LUB'!$A$2:$L$223,12,FALSE)="PASADO"),1,IF(OR(AND(VLOOKUP(W63,'BD LUB'!$A$2:$L$223,11,FALSE)="PASADO",VLOOKUP(W63,'BD LUB'!$A$2:$L$223,12,FALSE)="PRÓXIMO"),AND(VLOOKUP(W63,'BD LUB'!$A$2:$L$223,11,FALSE)="PRÓXIMO",VLOOKUP(W63,'BD LUB'!$A$2:$L$223,12,FALSE)="PASADO")),2,IF(OR(AND(VLOOKUP(W63,'BD LUB'!$A$2:$L$223,11,FALSE)="PASADO",VLOOKUP(W63,'BD LUB'!$A$2:$L$223,12,FALSE)="VIGENTE"),AND(VLOOKUP(W63,'BD LUB'!$A$2:$L$223,11,FALSE)="VIGENTE",VLOOKUP(W63,'BD LUB'!$A$2:$L$223,12,FALSE)="PASADO")),3,IF(AND(VLOOKUP(W63,'BD LUB'!$A$2:$L$223,11,FALSE)="PRÓXIMO",VLOOKUP(W63,'BD LUB'!$A$2:$L$223,12,FALSE)="PRÓXIMO"),4,IF(OR(AND(VLOOKUP(W63,'BD LUB'!$A$2:$L$223,11,FALSE)="PRÓXIMO",VLOOKUP(W63,'BD LUB'!$A$2:$L$223,12,FALSE)="VIGENTE"),AND(VLOOKUP(W63,'BD LUB'!$A$2:$L$223,11,FALSE)="VIGENTE",VLOOKUP(W63,'BD LUB'!$A$2:$L$223,12,FALSE)="PRÓXIMO")),5,IF(AND(VLOOKUP(W63,'BD LUB'!$A$2:$L$223,11,FALSE)="VIGENTE",VLOOKUP(W63,'BD LUB'!$A$2:$L$223,12,FALSE)="VIGENTE"),6,"No definido"))))))</f>
        <v>#N/A</v>
      </c>
      <c r="Z63" s="138"/>
      <c r="AA63" s="139" t="str">
        <f>(VLOOKUP(Z63,'BD LUB'!$A$2:$L$223,5,FALSE)/VLOOKUP(Z63,'BD LUB'!$A$2:$L$223,7,FALSE))+(VLOOKUP(Z63,'BD LUB'!$A$2:$L$223,6,FALSE)/VLOOKUP(Z63,'BD LUB'!$A$2:$L$223,8,FALSE))</f>
        <v>#N/A</v>
      </c>
      <c r="AB63" s="78" t="str">
        <f>IF(AND(VLOOKUP(Z63,'BD LUB'!$A$2:$L$223,11,FALSE)="PASADO",VLOOKUP(Z63,'BD LUB'!$A$2:$L$223,12,FALSE)="PASADO"),1,IF(OR(AND(VLOOKUP(Z63,'BD LUB'!$A$2:$L$223,11,FALSE)="PASADO",VLOOKUP(Z63,'BD LUB'!$A$2:$L$223,12,FALSE)="PRÓXIMO"),AND(VLOOKUP(Z63,'BD LUB'!$A$2:$L$223,11,FALSE)="PRÓXIMO",VLOOKUP(Z63,'BD LUB'!$A$2:$L$223,12,FALSE)="PASADO")),2,IF(OR(AND(VLOOKUP(Z63,'BD LUB'!$A$2:$L$223,11,FALSE)="PASADO",VLOOKUP(Z63,'BD LUB'!$A$2:$L$223,12,FALSE)="VIGENTE"),AND(VLOOKUP(Z63,'BD LUB'!$A$2:$L$223,11,FALSE)="VIGENTE",VLOOKUP(Z63,'BD LUB'!$A$2:$L$223,12,FALSE)="PASADO")),3,IF(AND(VLOOKUP(Z63,'BD LUB'!$A$2:$L$223,11,FALSE)="PRÓXIMO",VLOOKUP(Z63,'BD LUB'!$A$2:$L$223,12,FALSE)="PRÓXIMO"),4,IF(OR(AND(VLOOKUP(Z63,'BD LUB'!$A$2:$L$223,11,FALSE)="PRÓXIMO",VLOOKUP(Z63,'BD LUB'!$A$2:$L$223,12,FALSE)="VIGENTE"),AND(VLOOKUP(Z63,'BD LUB'!$A$2:$L$223,11,FALSE)="VIGENTE",VLOOKUP(Z63,'BD LUB'!$A$2:$L$223,12,FALSE)="PRÓXIMO")),5,IF(AND(VLOOKUP(Z63,'BD LUB'!$A$2:$L$223,11,FALSE)="VIGENTE",VLOOKUP(Z63,'BD LUB'!$A$2:$L$223,12,FALSE)="VIGENTE"),6,"No definido"))))))</f>
        <v>#N/A</v>
      </c>
      <c r="AC63" s="134"/>
      <c r="AD63" s="136" t="str">
        <f>IF(VLOOKUP(AC63,'BD LUB'!$A$2:$C$223,3,FALSE)=$AH$20,AC63&amp;" MED",IF(VLOOKUP(AC63,'BD LUB'!$A$2:$C$223,3,FALSE)=$AH$19,AC63&amp;" MAY",IF(VLOOKUP(AC63,'BD LUB'!$A$2:$C$223,3,FALSE)=$AH$18,AC63&amp;" RN",IF(VLOOKUP(AC63,'BD LUB'!$A$2:$C$223,3,FALSE)=$AH$17,AC63&amp;" COPQUI",IF(VLOOKUP(AC63,'BD LUB'!$A$2:$C$223,3,FALSE)=$AH$16,AC63&amp;" CEJ",IF(VLOOKUP(AC63,'BD LUB'!$A$2:$C$223,3,FALSE)=$AH$15,AC63&amp;" BULT",IF(VLOOKUP(AC63,'BD LUB'!$A$2:$C$223,3,FALSE)=$AH$14,AC63&amp;" COP",IF(VLOOKUP(AC63,'BD LUB'!$A$2:$C$223,3,FALSE)=$AH$13,AC63&amp;" RIO",IF(VLOOKUP(AC63,'BD LUB'!$A$2:$C$223,3,FALSE)=$AH$21,AC63&amp;" APART","Dato no encontrado")))))))))</f>
        <v>#N/A</v>
      </c>
      <c r="AE63" s="111"/>
      <c r="AF63" s="111"/>
      <c r="AG63" s="111"/>
      <c r="AH63" s="111"/>
      <c r="AI63" s="111"/>
      <c r="AJ63" s="126">
        <v>60.0</v>
      </c>
      <c r="AK63" s="128"/>
      <c r="AL63" s="128"/>
      <c r="AM63" s="128"/>
      <c r="AN63" s="128"/>
      <c r="AP63" s="126">
        <v>60.0</v>
      </c>
      <c r="AQ63" s="128"/>
      <c r="AR63" s="128"/>
      <c r="AS63" s="128"/>
      <c r="AT63" s="128"/>
      <c r="AV63" s="126">
        <v>60.0</v>
      </c>
      <c r="AW63" s="128"/>
      <c r="AX63" s="128"/>
      <c r="AY63" s="128"/>
      <c r="AZ63" s="128"/>
    </row>
    <row r="64">
      <c r="A64" s="158"/>
      <c r="B64" s="126">
        <v>61.0</v>
      </c>
      <c r="C64" s="78">
        <f>IFERROR(__xludf.DUMMYFUNCTION("""COMPUTED_VALUE"""),3198.0)</f>
        <v>3198</v>
      </c>
      <c r="D64" s="156">
        <f>IFERROR(__xludf.DUMMYFUNCTION("""COMPUTED_VALUE"""),46654.0)</f>
        <v>46654</v>
      </c>
      <c r="E64" s="78" t="str">
        <f>IFERROR(__xludf.DUMMYFUNCTION("""COMPUTED_VALUE"""),"31-Copacabana")</f>
        <v>31-Copacabana</v>
      </c>
      <c r="F64" s="156">
        <f>IFERROR(__xludf.DUMMYFUNCTION("""COMPUTED_VALUE"""),46062.0)</f>
        <v>46062</v>
      </c>
      <c r="G64" s="159">
        <f>IFERROR(__xludf.DUMMYFUNCTION("""COMPUTED_VALUE"""),26.0)</f>
        <v>26</v>
      </c>
      <c r="H64" s="78" t="str">
        <f>IFERROR(__xludf.DUMMYFUNCTION("""COMPUTED_VALUE"""),"VIGENTE")</f>
        <v>VIGENTE</v>
      </c>
      <c r="I64" s="132" t="str">
        <f t="shared" si="1"/>
        <v>-</v>
      </c>
      <c r="J64" s="158"/>
      <c r="K64" s="126">
        <v>61.0</v>
      </c>
      <c r="L64" s="78">
        <f>IFERROR(__xludf.DUMMYFUNCTION("""COMPUTED_VALUE"""),2922.0)</f>
        <v>2922</v>
      </c>
      <c r="M64" s="156">
        <f>IFERROR(__xludf.DUMMYFUNCTION("""COMPUTED_VALUE"""),46318.0)</f>
        <v>46318</v>
      </c>
      <c r="N64" s="78" t="str">
        <f>IFERROR(__xludf.DUMMYFUNCTION("""COMPUTED_VALUE"""),"02-Medellin")</f>
        <v>02-Medellin</v>
      </c>
      <c r="O64" s="156">
        <f>IFERROR(__xludf.DUMMYFUNCTION("""COMPUTED_VALUE"""),46062.0)</f>
        <v>46062</v>
      </c>
      <c r="P64" s="159">
        <f>IFERROR(__xludf.DUMMYFUNCTION("""COMPUTED_VALUE"""),617.0)</f>
        <v>617</v>
      </c>
      <c r="Q64" s="78" t="str">
        <f>IFERROR(__xludf.DUMMYFUNCTION("""COMPUTED_VALUE"""),"PRÓXIMO")</f>
        <v>PRÓXIMO</v>
      </c>
      <c r="R64" s="132" t="str">
        <f t="shared" si="2"/>
        <v>PEDIDO</v>
      </c>
      <c r="T64" s="134" t="str">
        <f>CALENDARIO!D76</f>
        <v/>
      </c>
      <c r="U64" s="135">
        <f>CALENDARIO!C76</f>
        <v>2881</v>
      </c>
      <c r="W64" s="78"/>
      <c r="X64" s="136" t="str">
        <f>(VLOOKUP(W64,'BD LUB'!$A$2:$L$223,5,FALSE)/VLOOKUP(W64,'BD LUB'!$A$2:$L$223,7,FALSE))+(VLOOKUP(W64,'BD LUB'!$A$2:$L$223,6,FALSE)/VLOOKUP(W64,'BD LUB'!$A$2:$L$223,8,FALSE))</f>
        <v>#N/A</v>
      </c>
      <c r="Y64" s="137" t="str">
        <f>IF(AND(VLOOKUP(W64,'BD LUB'!$A$2:$L$223,11,FALSE)="PASADO",VLOOKUP(W64,'BD LUB'!$A$2:$L$223,12,FALSE)="PASADO"),1,IF(OR(AND(VLOOKUP(W64,'BD LUB'!$A$2:$L$223,11,FALSE)="PASADO",VLOOKUP(W64,'BD LUB'!$A$2:$L$223,12,FALSE)="PRÓXIMO"),AND(VLOOKUP(W64,'BD LUB'!$A$2:$L$223,11,FALSE)="PRÓXIMO",VLOOKUP(W64,'BD LUB'!$A$2:$L$223,12,FALSE)="PASADO")),2,IF(OR(AND(VLOOKUP(W64,'BD LUB'!$A$2:$L$223,11,FALSE)="PASADO",VLOOKUP(W64,'BD LUB'!$A$2:$L$223,12,FALSE)="VIGENTE"),AND(VLOOKUP(W64,'BD LUB'!$A$2:$L$223,11,FALSE)="VIGENTE",VLOOKUP(W64,'BD LUB'!$A$2:$L$223,12,FALSE)="PASADO")),3,IF(AND(VLOOKUP(W64,'BD LUB'!$A$2:$L$223,11,FALSE)="PRÓXIMO",VLOOKUP(W64,'BD LUB'!$A$2:$L$223,12,FALSE)="PRÓXIMO"),4,IF(OR(AND(VLOOKUP(W64,'BD LUB'!$A$2:$L$223,11,FALSE)="PRÓXIMO",VLOOKUP(W64,'BD LUB'!$A$2:$L$223,12,FALSE)="VIGENTE"),AND(VLOOKUP(W64,'BD LUB'!$A$2:$L$223,11,FALSE)="VIGENTE",VLOOKUP(W64,'BD LUB'!$A$2:$L$223,12,FALSE)="PRÓXIMO")),5,IF(AND(VLOOKUP(W64,'BD LUB'!$A$2:$L$223,11,FALSE)="VIGENTE",VLOOKUP(W64,'BD LUB'!$A$2:$L$223,12,FALSE)="VIGENTE"),6,"No definido"))))))</f>
        <v>#N/A</v>
      </c>
      <c r="Z64" s="138"/>
      <c r="AA64" s="139" t="str">
        <f>(VLOOKUP(Z64,'BD LUB'!$A$2:$L$223,5,FALSE)/VLOOKUP(Z64,'BD LUB'!$A$2:$L$223,7,FALSE))+(VLOOKUP(Z64,'BD LUB'!$A$2:$L$223,6,FALSE)/VLOOKUP(Z64,'BD LUB'!$A$2:$L$223,8,FALSE))</f>
        <v>#N/A</v>
      </c>
      <c r="AB64" s="78" t="str">
        <f>IF(AND(VLOOKUP(Z64,'BD LUB'!$A$2:$L$223,11,FALSE)="PASADO",VLOOKUP(Z64,'BD LUB'!$A$2:$L$223,12,FALSE)="PASADO"),1,IF(OR(AND(VLOOKUP(Z64,'BD LUB'!$A$2:$L$223,11,FALSE)="PASADO",VLOOKUP(Z64,'BD LUB'!$A$2:$L$223,12,FALSE)="PRÓXIMO"),AND(VLOOKUP(Z64,'BD LUB'!$A$2:$L$223,11,FALSE)="PRÓXIMO",VLOOKUP(Z64,'BD LUB'!$A$2:$L$223,12,FALSE)="PASADO")),2,IF(OR(AND(VLOOKUP(Z64,'BD LUB'!$A$2:$L$223,11,FALSE)="PASADO",VLOOKUP(Z64,'BD LUB'!$A$2:$L$223,12,FALSE)="VIGENTE"),AND(VLOOKUP(Z64,'BD LUB'!$A$2:$L$223,11,FALSE)="VIGENTE",VLOOKUP(Z64,'BD LUB'!$A$2:$L$223,12,FALSE)="PASADO")),3,IF(AND(VLOOKUP(Z64,'BD LUB'!$A$2:$L$223,11,FALSE)="PRÓXIMO",VLOOKUP(Z64,'BD LUB'!$A$2:$L$223,12,FALSE)="PRÓXIMO"),4,IF(OR(AND(VLOOKUP(Z64,'BD LUB'!$A$2:$L$223,11,FALSE)="PRÓXIMO",VLOOKUP(Z64,'BD LUB'!$A$2:$L$223,12,FALSE)="VIGENTE"),AND(VLOOKUP(Z64,'BD LUB'!$A$2:$L$223,11,FALSE)="VIGENTE",VLOOKUP(Z64,'BD LUB'!$A$2:$L$223,12,FALSE)="PRÓXIMO")),5,IF(AND(VLOOKUP(Z64,'BD LUB'!$A$2:$L$223,11,FALSE)="VIGENTE",VLOOKUP(Z64,'BD LUB'!$A$2:$L$223,12,FALSE)="VIGENTE"),6,"No definido"))))))</f>
        <v>#N/A</v>
      </c>
      <c r="AC64" s="134"/>
      <c r="AD64" s="136" t="str">
        <f>IF(VLOOKUP(AC64,'BD LUB'!$A$2:$C$223,3,FALSE)=$AH$20,AC64&amp;" MED",IF(VLOOKUP(AC64,'BD LUB'!$A$2:$C$223,3,FALSE)=$AH$19,AC64&amp;" MAY",IF(VLOOKUP(AC64,'BD LUB'!$A$2:$C$223,3,FALSE)=$AH$18,AC64&amp;" RN",IF(VLOOKUP(AC64,'BD LUB'!$A$2:$C$223,3,FALSE)=$AH$17,AC64&amp;" COPQUI",IF(VLOOKUP(AC64,'BD LUB'!$A$2:$C$223,3,FALSE)=$AH$16,AC64&amp;" CEJ",IF(VLOOKUP(AC64,'BD LUB'!$A$2:$C$223,3,FALSE)=$AH$15,AC64&amp;" BULT",IF(VLOOKUP(AC64,'BD LUB'!$A$2:$C$223,3,FALSE)=$AH$14,AC64&amp;" COP",IF(VLOOKUP(AC64,'BD LUB'!$A$2:$C$223,3,FALSE)=$AH$13,AC64&amp;" RIO",IF(VLOOKUP(AC64,'BD LUB'!$A$2:$C$223,3,FALSE)=$AH$21,AC64&amp;" APART","Dato no encontrado")))))))))</f>
        <v>#N/A</v>
      </c>
      <c r="AE64" s="111"/>
      <c r="AF64" s="111"/>
      <c r="AG64" s="111"/>
      <c r="AH64" s="111"/>
      <c r="AI64" s="111"/>
      <c r="AJ64" s="126">
        <v>61.0</v>
      </c>
      <c r="AK64" s="128"/>
      <c r="AL64" s="128"/>
      <c r="AM64" s="128"/>
      <c r="AN64" s="128"/>
      <c r="AP64" s="126">
        <v>61.0</v>
      </c>
      <c r="AQ64" s="128"/>
      <c r="AR64" s="128"/>
      <c r="AS64" s="128"/>
      <c r="AT64" s="128"/>
      <c r="AV64" s="126">
        <v>61.0</v>
      </c>
      <c r="AW64" s="128"/>
      <c r="AX64" s="128"/>
      <c r="AY64" s="128"/>
      <c r="AZ64" s="128"/>
    </row>
    <row r="65">
      <c r="A65" s="158"/>
      <c r="B65" s="126">
        <v>62.0</v>
      </c>
      <c r="C65" s="78">
        <f>IFERROR(__xludf.DUMMYFUNCTION("""COMPUTED_VALUE"""),2922.0)</f>
        <v>2922</v>
      </c>
      <c r="D65" s="156">
        <f>IFERROR(__xludf.DUMMYFUNCTION("""COMPUTED_VALUE"""),46318.0)</f>
        <v>46318</v>
      </c>
      <c r="E65" s="78" t="str">
        <f>IFERROR(__xludf.DUMMYFUNCTION("""COMPUTED_VALUE"""),"02-Medellin")</f>
        <v>02-Medellin</v>
      </c>
      <c r="F65" s="156">
        <f>IFERROR(__xludf.DUMMYFUNCTION("""COMPUTED_VALUE"""),46062.0)</f>
        <v>46062</v>
      </c>
      <c r="G65" s="159">
        <f>IFERROR(__xludf.DUMMYFUNCTION("""COMPUTED_VALUE"""),26.0)</f>
        <v>26</v>
      </c>
      <c r="H65" s="78" t="str">
        <f>IFERROR(__xludf.DUMMYFUNCTION("""COMPUTED_VALUE"""),"VIGENTE")</f>
        <v>VIGENTE</v>
      </c>
      <c r="I65" s="132" t="str">
        <f t="shared" si="1"/>
        <v>-</v>
      </c>
      <c r="J65" s="158"/>
      <c r="K65" s="126">
        <v>62.0</v>
      </c>
      <c r="L65" s="78">
        <f>IFERROR(__xludf.DUMMYFUNCTION("""COMPUTED_VALUE"""),3197.0)</f>
        <v>3197</v>
      </c>
      <c r="M65" s="156">
        <f>IFERROR(__xludf.DUMMYFUNCTION("""COMPUTED_VALUE"""),46653.0)</f>
        <v>46653</v>
      </c>
      <c r="N65" s="78" t="str">
        <f>IFERROR(__xludf.DUMMYFUNCTION("""COMPUTED_VALUE"""),"02-Medellin")</f>
        <v>02-Medellin</v>
      </c>
      <c r="O65" s="156">
        <f>IFERROR(__xludf.DUMMYFUNCTION("""COMPUTED_VALUE"""),46078.0)</f>
        <v>46078</v>
      </c>
      <c r="P65" s="159">
        <f>IFERROR(__xludf.DUMMYFUNCTION("""COMPUTED_VALUE"""),631.0)</f>
        <v>631</v>
      </c>
      <c r="Q65" s="78" t="str">
        <f>IFERROR(__xludf.DUMMYFUNCTION("""COMPUTED_VALUE"""),"PRÓXIMO")</f>
        <v>PRÓXIMO</v>
      </c>
      <c r="R65" s="132" t="str">
        <f t="shared" si="2"/>
        <v>PEDIDO</v>
      </c>
      <c r="T65" s="134" t="str">
        <f>CALENDARIO!D77</f>
        <v/>
      </c>
      <c r="U65" s="135">
        <f>CALENDARIO!C77</f>
        <v>2922</v>
      </c>
      <c r="W65" s="78"/>
      <c r="X65" s="136" t="str">
        <f>(VLOOKUP(W65,'BD LUB'!$A$2:$L$223,5,FALSE)/VLOOKUP(W65,'BD LUB'!$A$2:$L$223,7,FALSE))+(VLOOKUP(W65,'BD LUB'!$A$2:$L$223,6,FALSE)/VLOOKUP(W65,'BD LUB'!$A$2:$L$223,8,FALSE))</f>
        <v>#N/A</v>
      </c>
      <c r="Y65" s="137" t="str">
        <f>IF(AND(VLOOKUP(W65,'BD LUB'!$A$2:$L$223,11,FALSE)="PASADO",VLOOKUP(W65,'BD LUB'!$A$2:$L$223,12,FALSE)="PASADO"),1,IF(OR(AND(VLOOKUP(W65,'BD LUB'!$A$2:$L$223,11,FALSE)="PASADO",VLOOKUP(W65,'BD LUB'!$A$2:$L$223,12,FALSE)="PRÓXIMO"),AND(VLOOKUP(W65,'BD LUB'!$A$2:$L$223,11,FALSE)="PRÓXIMO",VLOOKUP(W65,'BD LUB'!$A$2:$L$223,12,FALSE)="PASADO")),2,IF(OR(AND(VLOOKUP(W65,'BD LUB'!$A$2:$L$223,11,FALSE)="PASADO",VLOOKUP(W65,'BD LUB'!$A$2:$L$223,12,FALSE)="VIGENTE"),AND(VLOOKUP(W65,'BD LUB'!$A$2:$L$223,11,FALSE)="VIGENTE",VLOOKUP(W65,'BD LUB'!$A$2:$L$223,12,FALSE)="PASADO")),3,IF(AND(VLOOKUP(W65,'BD LUB'!$A$2:$L$223,11,FALSE)="PRÓXIMO",VLOOKUP(W65,'BD LUB'!$A$2:$L$223,12,FALSE)="PRÓXIMO"),4,IF(OR(AND(VLOOKUP(W65,'BD LUB'!$A$2:$L$223,11,FALSE)="PRÓXIMO",VLOOKUP(W65,'BD LUB'!$A$2:$L$223,12,FALSE)="VIGENTE"),AND(VLOOKUP(W65,'BD LUB'!$A$2:$L$223,11,FALSE)="VIGENTE",VLOOKUP(W65,'BD LUB'!$A$2:$L$223,12,FALSE)="PRÓXIMO")),5,IF(AND(VLOOKUP(W65,'BD LUB'!$A$2:$L$223,11,FALSE)="VIGENTE",VLOOKUP(W65,'BD LUB'!$A$2:$L$223,12,FALSE)="VIGENTE"),6,"No definido"))))))</f>
        <v>#N/A</v>
      </c>
      <c r="Z65" s="138"/>
      <c r="AA65" s="139" t="str">
        <f>(VLOOKUP(Z65,'BD LUB'!$A$2:$L$223,5,FALSE)/VLOOKUP(Z65,'BD LUB'!$A$2:$L$223,7,FALSE))+(VLOOKUP(Z65,'BD LUB'!$A$2:$L$223,6,FALSE)/VLOOKUP(Z65,'BD LUB'!$A$2:$L$223,8,FALSE))</f>
        <v>#N/A</v>
      </c>
      <c r="AB65" s="78" t="str">
        <f>IF(AND(VLOOKUP(Z65,'BD LUB'!$A$2:$L$223,11,FALSE)="PASADO",VLOOKUP(Z65,'BD LUB'!$A$2:$L$223,12,FALSE)="PASADO"),1,IF(OR(AND(VLOOKUP(Z65,'BD LUB'!$A$2:$L$223,11,FALSE)="PASADO",VLOOKUP(Z65,'BD LUB'!$A$2:$L$223,12,FALSE)="PRÓXIMO"),AND(VLOOKUP(Z65,'BD LUB'!$A$2:$L$223,11,FALSE)="PRÓXIMO",VLOOKUP(Z65,'BD LUB'!$A$2:$L$223,12,FALSE)="PASADO")),2,IF(OR(AND(VLOOKUP(Z65,'BD LUB'!$A$2:$L$223,11,FALSE)="PASADO",VLOOKUP(Z65,'BD LUB'!$A$2:$L$223,12,FALSE)="VIGENTE"),AND(VLOOKUP(Z65,'BD LUB'!$A$2:$L$223,11,FALSE)="VIGENTE",VLOOKUP(Z65,'BD LUB'!$A$2:$L$223,12,FALSE)="PASADO")),3,IF(AND(VLOOKUP(Z65,'BD LUB'!$A$2:$L$223,11,FALSE)="PRÓXIMO",VLOOKUP(Z65,'BD LUB'!$A$2:$L$223,12,FALSE)="PRÓXIMO"),4,IF(OR(AND(VLOOKUP(Z65,'BD LUB'!$A$2:$L$223,11,FALSE)="PRÓXIMO",VLOOKUP(Z65,'BD LUB'!$A$2:$L$223,12,FALSE)="VIGENTE"),AND(VLOOKUP(Z65,'BD LUB'!$A$2:$L$223,11,FALSE)="VIGENTE",VLOOKUP(Z65,'BD LUB'!$A$2:$L$223,12,FALSE)="PRÓXIMO")),5,IF(AND(VLOOKUP(Z65,'BD LUB'!$A$2:$L$223,11,FALSE)="VIGENTE",VLOOKUP(Z65,'BD LUB'!$A$2:$L$223,12,FALSE)="VIGENTE"),6,"No definido"))))))</f>
        <v>#N/A</v>
      </c>
      <c r="AC65" s="134"/>
      <c r="AD65" s="136" t="str">
        <f>IF(VLOOKUP(AC65,'BD LUB'!$A$2:$C$223,3,FALSE)=$AH$20,AC65&amp;" MED",IF(VLOOKUP(AC65,'BD LUB'!$A$2:$C$223,3,FALSE)=$AH$19,AC65&amp;" MAY",IF(VLOOKUP(AC65,'BD LUB'!$A$2:$C$223,3,FALSE)=$AH$18,AC65&amp;" RN",IF(VLOOKUP(AC65,'BD LUB'!$A$2:$C$223,3,FALSE)=$AH$17,AC65&amp;" COPQUI",IF(VLOOKUP(AC65,'BD LUB'!$A$2:$C$223,3,FALSE)=$AH$16,AC65&amp;" CEJ",IF(VLOOKUP(AC65,'BD LUB'!$A$2:$C$223,3,FALSE)=$AH$15,AC65&amp;" BULT",IF(VLOOKUP(AC65,'BD LUB'!$A$2:$C$223,3,FALSE)=$AH$14,AC65&amp;" COP",IF(VLOOKUP(AC65,'BD LUB'!$A$2:$C$223,3,FALSE)=$AH$13,AC65&amp;" RIO",IF(VLOOKUP(AC65,'BD LUB'!$A$2:$C$223,3,FALSE)=$AH$21,AC65&amp;" APART","Dato no encontrado")))))))))</f>
        <v>#N/A</v>
      </c>
      <c r="AE65" s="111"/>
      <c r="AF65" s="111"/>
      <c r="AG65" s="111"/>
      <c r="AH65" s="111"/>
      <c r="AI65" s="111"/>
      <c r="AJ65" s="126">
        <v>62.0</v>
      </c>
      <c r="AK65" s="128"/>
      <c r="AL65" s="128"/>
      <c r="AM65" s="128"/>
      <c r="AN65" s="128"/>
      <c r="AP65" s="126">
        <v>62.0</v>
      </c>
      <c r="AQ65" s="128"/>
      <c r="AR65" s="128"/>
      <c r="AS65" s="128"/>
      <c r="AT65" s="128"/>
      <c r="AV65" s="126">
        <v>62.0</v>
      </c>
      <c r="AW65" s="128"/>
      <c r="AX65" s="128"/>
      <c r="AY65" s="128"/>
      <c r="AZ65" s="128"/>
    </row>
    <row r="66">
      <c r="A66" s="158"/>
      <c r="B66" s="126">
        <v>63.0</v>
      </c>
      <c r="C66" s="78">
        <f>IFERROR(__xludf.DUMMYFUNCTION("""COMPUTED_VALUE"""),2854.0)</f>
        <v>2854</v>
      </c>
      <c r="D66" s="156">
        <f>IFERROR(__xludf.DUMMYFUNCTION("""COMPUTED_VALUE"""),46575.0)</f>
        <v>46575</v>
      </c>
      <c r="E66" s="78" t="str">
        <f>IFERROR(__xludf.DUMMYFUNCTION("""COMPUTED_VALUE"""),"02-Medellin")</f>
        <v>02-Medellin</v>
      </c>
      <c r="F66" s="156">
        <f>IFERROR(__xludf.DUMMYFUNCTION("""COMPUTED_VALUE"""),46062.0)</f>
        <v>46062</v>
      </c>
      <c r="G66" s="159">
        <f>IFERROR(__xludf.DUMMYFUNCTION("""COMPUTED_VALUE"""),26.0)</f>
        <v>26</v>
      </c>
      <c r="H66" s="78" t="str">
        <f>IFERROR(__xludf.DUMMYFUNCTION("""COMPUTED_VALUE"""),"VIGENTE")</f>
        <v>VIGENTE</v>
      </c>
      <c r="I66" s="132" t="str">
        <f t="shared" si="1"/>
        <v>-</v>
      </c>
      <c r="J66" s="158"/>
      <c r="K66" s="126">
        <v>63.0</v>
      </c>
      <c r="L66" s="78">
        <f>IFERROR(__xludf.DUMMYFUNCTION("""COMPUTED_VALUE"""),2908.0)</f>
        <v>2908</v>
      </c>
      <c r="M66" s="156">
        <f>IFERROR(__xludf.DUMMYFUNCTION("""COMPUTED_VALUE"""),46275.0)</f>
        <v>46275</v>
      </c>
      <c r="N66" s="78" t="str">
        <f>IFERROR(__xludf.DUMMYFUNCTION("""COMPUTED_VALUE"""),"24-Rionegro")</f>
        <v>24-Rionegro</v>
      </c>
      <c r="O66" s="156">
        <f>IFERROR(__xludf.DUMMYFUNCTION("""COMPUTED_VALUE"""),46135.0)</f>
        <v>46135</v>
      </c>
      <c r="P66" s="159">
        <f>IFERROR(__xludf.DUMMYFUNCTION("""COMPUTED_VALUE"""),668.0)</f>
        <v>668</v>
      </c>
      <c r="Q66" s="78" t="str">
        <f>IFERROR(__xludf.DUMMYFUNCTION("""COMPUTED_VALUE"""),"PRÓXIMO")</f>
        <v>PRÓXIMO</v>
      </c>
      <c r="R66" s="132" t="str">
        <f t="shared" si="2"/>
        <v>NO PEDIDO</v>
      </c>
      <c r="T66" s="134" t="str">
        <f>CALENDARIO!D78</f>
        <v/>
      </c>
      <c r="U66" s="135">
        <f>CALENDARIO!C78</f>
        <v>3273</v>
      </c>
      <c r="W66" s="78"/>
      <c r="X66" s="136" t="str">
        <f>(VLOOKUP(W66,'BD LUB'!$A$2:$L$223,5,FALSE)/VLOOKUP(W66,'BD LUB'!$A$2:$L$223,7,FALSE))+(VLOOKUP(W66,'BD LUB'!$A$2:$L$223,6,FALSE)/VLOOKUP(W66,'BD LUB'!$A$2:$L$223,8,FALSE))</f>
        <v>#N/A</v>
      </c>
      <c r="Y66" s="137" t="str">
        <f>IF(AND(VLOOKUP(W66,'BD LUB'!$A$2:$L$223,11,FALSE)="PASADO",VLOOKUP(W66,'BD LUB'!$A$2:$L$223,12,FALSE)="PASADO"),1,IF(OR(AND(VLOOKUP(W66,'BD LUB'!$A$2:$L$223,11,FALSE)="PASADO",VLOOKUP(W66,'BD LUB'!$A$2:$L$223,12,FALSE)="PRÓXIMO"),AND(VLOOKUP(W66,'BD LUB'!$A$2:$L$223,11,FALSE)="PRÓXIMO",VLOOKUP(W66,'BD LUB'!$A$2:$L$223,12,FALSE)="PASADO")),2,IF(OR(AND(VLOOKUP(W66,'BD LUB'!$A$2:$L$223,11,FALSE)="PASADO",VLOOKUP(W66,'BD LUB'!$A$2:$L$223,12,FALSE)="VIGENTE"),AND(VLOOKUP(W66,'BD LUB'!$A$2:$L$223,11,FALSE)="VIGENTE",VLOOKUP(W66,'BD LUB'!$A$2:$L$223,12,FALSE)="PASADO")),3,IF(AND(VLOOKUP(W66,'BD LUB'!$A$2:$L$223,11,FALSE)="PRÓXIMO",VLOOKUP(W66,'BD LUB'!$A$2:$L$223,12,FALSE)="PRÓXIMO"),4,IF(OR(AND(VLOOKUP(W66,'BD LUB'!$A$2:$L$223,11,FALSE)="PRÓXIMO",VLOOKUP(W66,'BD LUB'!$A$2:$L$223,12,FALSE)="VIGENTE"),AND(VLOOKUP(W66,'BD LUB'!$A$2:$L$223,11,FALSE)="VIGENTE",VLOOKUP(W66,'BD LUB'!$A$2:$L$223,12,FALSE)="PRÓXIMO")),5,IF(AND(VLOOKUP(W66,'BD LUB'!$A$2:$L$223,11,FALSE)="VIGENTE",VLOOKUP(W66,'BD LUB'!$A$2:$L$223,12,FALSE)="VIGENTE"),6,"No definido"))))))</f>
        <v>#N/A</v>
      </c>
      <c r="Z66" s="138"/>
      <c r="AA66" s="139" t="str">
        <f>(VLOOKUP(Z66,'BD LUB'!$A$2:$L$223,5,FALSE)/VLOOKUP(Z66,'BD LUB'!$A$2:$L$223,7,FALSE))+(VLOOKUP(Z66,'BD LUB'!$A$2:$L$223,6,FALSE)/VLOOKUP(Z66,'BD LUB'!$A$2:$L$223,8,FALSE))</f>
        <v>#N/A</v>
      </c>
      <c r="AB66" s="78" t="str">
        <f>IF(AND(VLOOKUP(Z66,'BD LUB'!$A$2:$L$223,11,FALSE)="PASADO",VLOOKUP(Z66,'BD LUB'!$A$2:$L$223,12,FALSE)="PASADO"),1,IF(OR(AND(VLOOKUP(Z66,'BD LUB'!$A$2:$L$223,11,FALSE)="PASADO",VLOOKUP(Z66,'BD LUB'!$A$2:$L$223,12,FALSE)="PRÓXIMO"),AND(VLOOKUP(Z66,'BD LUB'!$A$2:$L$223,11,FALSE)="PRÓXIMO",VLOOKUP(Z66,'BD LUB'!$A$2:$L$223,12,FALSE)="PASADO")),2,IF(OR(AND(VLOOKUP(Z66,'BD LUB'!$A$2:$L$223,11,FALSE)="PASADO",VLOOKUP(Z66,'BD LUB'!$A$2:$L$223,12,FALSE)="VIGENTE"),AND(VLOOKUP(Z66,'BD LUB'!$A$2:$L$223,11,FALSE)="VIGENTE",VLOOKUP(Z66,'BD LUB'!$A$2:$L$223,12,FALSE)="PASADO")),3,IF(AND(VLOOKUP(Z66,'BD LUB'!$A$2:$L$223,11,FALSE)="PRÓXIMO",VLOOKUP(Z66,'BD LUB'!$A$2:$L$223,12,FALSE)="PRÓXIMO"),4,IF(OR(AND(VLOOKUP(Z66,'BD LUB'!$A$2:$L$223,11,FALSE)="PRÓXIMO",VLOOKUP(Z66,'BD LUB'!$A$2:$L$223,12,FALSE)="VIGENTE"),AND(VLOOKUP(Z66,'BD LUB'!$A$2:$L$223,11,FALSE)="VIGENTE",VLOOKUP(Z66,'BD LUB'!$A$2:$L$223,12,FALSE)="PRÓXIMO")),5,IF(AND(VLOOKUP(Z66,'BD LUB'!$A$2:$L$223,11,FALSE)="VIGENTE",VLOOKUP(Z66,'BD LUB'!$A$2:$L$223,12,FALSE)="VIGENTE"),6,"No definido"))))))</f>
        <v>#N/A</v>
      </c>
      <c r="AC66" s="134"/>
      <c r="AD66" s="136" t="str">
        <f>IF(VLOOKUP(AC66,'BD LUB'!$A$2:$C$223,3,FALSE)=$AH$20,AC66&amp;" MED",IF(VLOOKUP(AC66,'BD LUB'!$A$2:$C$223,3,FALSE)=$AH$19,AC66&amp;" MAY",IF(VLOOKUP(AC66,'BD LUB'!$A$2:$C$223,3,FALSE)=$AH$18,AC66&amp;" RN",IF(VLOOKUP(AC66,'BD LUB'!$A$2:$C$223,3,FALSE)=$AH$17,AC66&amp;" COPQUI",IF(VLOOKUP(AC66,'BD LUB'!$A$2:$C$223,3,FALSE)=$AH$16,AC66&amp;" CEJ",IF(VLOOKUP(AC66,'BD LUB'!$A$2:$C$223,3,FALSE)=$AH$15,AC66&amp;" BULT",IF(VLOOKUP(AC66,'BD LUB'!$A$2:$C$223,3,FALSE)=$AH$14,AC66&amp;" COP",IF(VLOOKUP(AC66,'BD LUB'!$A$2:$C$223,3,FALSE)=$AH$13,AC66&amp;" RIO",IF(VLOOKUP(AC66,'BD LUB'!$A$2:$C$223,3,FALSE)=$AH$21,AC66&amp;" APART","Dato no encontrado")))))))))</f>
        <v>#N/A</v>
      </c>
      <c r="AE66" s="111"/>
      <c r="AF66" s="111"/>
      <c r="AG66" s="111"/>
      <c r="AH66" s="111"/>
      <c r="AI66" s="111"/>
      <c r="AJ66" s="126">
        <v>63.0</v>
      </c>
      <c r="AK66" s="128"/>
      <c r="AL66" s="128"/>
      <c r="AM66" s="128"/>
      <c r="AN66" s="128"/>
      <c r="AP66" s="126">
        <v>63.0</v>
      </c>
      <c r="AQ66" s="128"/>
      <c r="AR66" s="128"/>
      <c r="AS66" s="128"/>
      <c r="AT66" s="128"/>
      <c r="AV66" s="126">
        <v>63.0</v>
      </c>
      <c r="AW66" s="128"/>
      <c r="AX66" s="128"/>
      <c r="AY66" s="128"/>
      <c r="AZ66" s="128"/>
    </row>
    <row r="67">
      <c r="A67" s="158"/>
      <c r="B67" s="126">
        <v>64.0</v>
      </c>
      <c r="C67" s="78">
        <f>IFERROR(__xludf.DUMMYFUNCTION("""COMPUTED_VALUE"""),2469.0)</f>
        <v>2469</v>
      </c>
      <c r="D67" s="156">
        <f>IFERROR(__xludf.DUMMYFUNCTION("""COMPUTED_VALUE"""),46292.0)</f>
        <v>46292</v>
      </c>
      <c r="E67" s="78" t="str">
        <f>IFERROR(__xludf.DUMMYFUNCTION("""COMPUTED_VALUE"""),"31-Copacabana QUIMICOS")</f>
        <v>31-Copacabana QUIMICOS</v>
      </c>
      <c r="F67" s="156">
        <f>IFERROR(__xludf.DUMMYFUNCTION("""COMPUTED_VALUE"""),46062.0)</f>
        <v>46062</v>
      </c>
      <c r="G67" s="159">
        <f>IFERROR(__xludf.DUMMYFUNCTION("""COMPUTED_VALUE"""),26.0)</f>
        <v>26</v>
      </c>
      <c r="H67" s="78" t="str">
        <f>IFERROR(__xludf.DUMMYFUNCTION("""COMPUTED_VALUE"""),"VIGENTE")</f>
        <v>VIGENTE</v>
      </c>
      <c r="I67" s="132" t="str">
        <f t="shared" si="1"/>
        <v>-</v>
      </c>
      <c r="J67" s="158"/>
      <c r="K67" s="126">
        <v>64.0</v>
      </c>
      <c r="L67" s="78">
        <f>IFERROR(__xludf.DUMMYFUNCTION("""COMPUTED_VALUE"""),2895.0)</f>
        <v>2895</v>
      </c>
      <c r="M67" s="156">
        <f>IFERROR(__xludf.DUMMYFUNCTION("""COMPUTED_VALUE"""),46242.0)</f>
        <v>46242</v>
      </c>
      <c r="N67" s="78" t="str">
        <f>IFERROR(__xludf.DUMMYFUNCTION("""COMPUTED_VALUE"""),"31-Copacabana")</f>
        <v>31-Copacabana</v>
      </c>
      <c r="O67" s="156">
        <f>IFERROR(__xludf.DUMMYFUNCTION("""COMPUTED_VALUE"""),46156.0)</f>
        <v>46156</v>
      </c>
      <c r="P67" s="159">
        <f>IFERROR(__xludf.DUMMYFUNCTION("""COMPUTED_VALUE"""),687.0)</f>
        <v>687</v>
      </c>
      <c r="Q67" s="78" t="str">
        <f>IFERROR(__xludf.DUMMYFUNCTION("""COMPUTED_VALUE"""),"PRÓXIMO")</f>
        <v>PRÓXIMO</v>
      </c>
      <c r="R67" s="132" t="str">
        <f t="shared" si="2"/>
        <v>NO PEDIDO</v>
      </c>
      <c r="T67" s="134" t="str">
        <f>CALENDARIO!D79</f>
        <v/>
      </c>
      <c r="U67" s="135">
        <f>CALENDARIO!C79</f>
        <v>2354</v>
      </c>
      <c r="W67" s="78"/>
      <c r="X67" s="136" t="str">
        <f>(VLOOKUP(W67,'BD LUB'!$A$2:$L$223,5,FALSE)/VLOOKUP(W67,'BD LUB'!$A$2:$L$223,7,FALSE))+(VLOOKUP(W67,'BD LUB'!$A$2:$L$223,6,FALSE)/VLOOKUP(W67,'BD LUB'!$A$2:$L$223,8,FALSE))</f>
        <v>#N/A</v>
      </c>
      <c r="Y67" s="137" t="str">
        <f>IF(AND(VLOOKUP(W67,'BD LUB'!$A$2:$L$223,11,FALSE)="PASADO",VLOOKUP(W67,'BD LUB'!$A$2:$L$223,12,FALSE)="PASADO"),1,IF(OR(AND(VLOOKUP(W67,'BD LUB'!$A$2:$L$223,11,FALSE)="PASADO",VLOOKUP(W67,'BD LUB'!$A$2:$L$223,12,FALSE)="PRÓXIMO"),AND(VLOOKUP(W67,'BD LUB'!$A$2:$L$223,11,FALSE)="PRÓXIMO",VLOOKUP(W67,'BD LUB'!$A$2:$L$223,12,FALSE)="PASADO")),2,IF(OR(AND(VLOOKUP(W67,'BD LUB'!$A$2:$L$223,11,FALSE)="PASADO",VLOOKUP(W67,'BD LUB'!$A$2:$L$223,12,FALSE)="VIGENTE"),AND(VLOOKUP(W67,'BD LUB'!$A$2:$L$223,11,FALSE)="VIGENTE",VLOOKUP(W67,'BD LUB'!$A$2:$L$223,12,FALSE)="PASADO")),3,IF(AND(VLOOKUP(W67,'BD LUB'!$A$2:$L$223,11,FALSE)="PRÓXIMO",VLOOKUP(W67,'BD LUB'!$A$2:$L$223,12,FALSE)="PRÓXIMO"),4,IF(OR(AND(VLOOKUP(W67,'BD LUB'!$A$2:$L$223,11,FALSE)="PRÓXIMO",VLOOKUP(W67,'BD LUB'!$A$2:$L$223,12,FALSE)="VIGENTE"),AND(VLOOKUP(W67,'BD LUB'!$A$2:$L$223,11,FALSE)="VIGENTE",VLOOKUP(W67,'BD LUB'!$A$2:$L$223,12,FALSE)="PRÓXIMO")),5,IF(AND(VLOOKUP(W67,'BD LUB'!$A$2:$L$223,11,FALSE)="VIGENTE",VLOOKUP(W67,'BD LUB'!$A$2:$L$223,12,FALSE)="VIGENTE"),6,"No definido"))))))</f>
        <v>#N/A</v>
      </c>
      <c r="Z67" s="138"/>
      <c r="AA67" s="139" t="str">
        <f>(VLOOKUP(Z67,'BD LUB'!$A$2:$L$223,5,FALSE)/VLOOKUP(Z67,'BD LUB'!$A$2:$L$223,7,FALSE))+(VLOOKUP(Z67,'BD LUB'!$A$2:$L$223,6,FALSE)/VLOOKUP(Z67,'BD LUB'!$A$2:$L$223,8,FALSE))</f>
        <v>#N/A</v>
      </c>
      <c r="AB67" s="78" t="str">
        <f>IF(AND(VLOOKUP(Z67,'BD LUB'!$A$2:$L$223,11,FALSE)="PASADO",VLOOKUP(Z67,'BD LUB'!$A$2:$L$223,12,FALSE)="PASADO"),1,IF(OR(AND(VLOOKUP(Z67,'BD LUB'!$A$2:$L$223,11,FALSE)="PASADO",VLOOKUP(Z67,'BD LUB'!$A$2:$L$223,12,FALSE)="PRÓXIMO"),AND(VLOOKUP(Z67,'BD LUB'!$A$2:$L$223,11,FALSE)="PRÓXIMO",VLOOKUP(Z67,'BD LUB'!$A$2:$L$223,12,FALSE)="PASADO")),2,IF(OR(AND(VLOOKUP(Z67,'BD LUB'!$A$2:$L$223,11,FALSE)="PASADO",VLOOKUP(Z67,'BD LUB'!$A$2:$L$223,12,FALSE)="VIGENTE"),AND(VLOOKUP(Z67,'BD LUB'!$A$2:$L$223,11,FALSE)="VIGENTE",VLOOKUP(Z67,'BD LUB'!$A$2:$L$223,12,FALSE)="PASADO")),3,IF(AND(VLOOKUP(Z67,'BD LUB'!$A$2:$L$223,11,FALSE)="PRÓXIMO",VLOOKUP(Z67,'BD LUB'!$A$2:$L$223,12,FALSE)="PRÓXIMO"),4,IF(OR(AND(VLOOKUP(Z67,'BD LUB'!$A$2:$L$223,11,FALSE)="PRÓXIMO",VLOOKUP(Z67,'BD LUB'!$A$2:$L$223,12,FALSE)="VIGENTE"),AND(VLOOKUP(Z67,'BD LUB'!$A$2:$L$223,11,FALSE)="VIGENTE",VLOOKUP(Z67,'BD LUB'!$A$2:$L$223,12,FALSE)="PRÓXIMO")),5,IF(AND(VLOOKUP(Z67,'BD LUB'!$A$2:$L$223,11,FALSE)="VIGENTE",VLOOKUP(Z67,'BD LUB'!$A$2:$L$223,12,FALSE)="VIGENTE"),6,"No definido"))))))</f>
        <v>#N/A</v>
      </c>
      <c r="AC67" s="134"/>
      <c r="AD67" s="136" t="str">
        <f>IF(VLOOKUP(AC67,'BD LUB'!$A$2:$C$223,3,FALSE)=$AH$20,AC67&amp;" MED",IF(VLOOKUP(AC67,'BD LUB'!$A$2:$C$223,3,FALSE)=$AH$19,AC67&amp;" MAY",IF(VLOOKUP(AC67,'BD LUB'!$A$2:$C$223,3,FALSE)=$AH$18,AC67&amp;" RN",IF(VLOOKUP(AC67,'BD LUB'!$A$2:$C$223,3,FALSE)=$AH$17,AC67&amp;" COPQUI",IF(VLOOKUP(AC67,'BD LUB'!$A$2:$C$223,3,FALSE)=$AH$16,AC67&amp;" CEJ",IF(VLOOKUP(AC67,'BD LUB'!$A$2:$C$223,3,FALSE)=$AH$15,AC67&amp;" BULT",IF(VLOOKUP(AC67,'BD LUB'!$A$2:$C$223,3,FALSE)=$AH$14,AC67&amp;" COP",IF(VLOOKUP(AC67,'BD LUB'!$A$2:$C$223,3,FALSE)=$AH$13,AC67&amp;" RIO",IF(VLOOKUP(AC67,'BD LUB'!$A$2:$C$223,3,FALSE)=$AH$21,AC67&amp;" APART","Dato no encontrado")))))))))</f>
        <v>#N/A</v>
      </c>
      <c r="AE67" s="111"/>
      <c r="AF67" s="111"/>
      <c r="AG67" s="111"/>
      <c r="AH67" s="111"/>
      <c r="AI67" s="111"/>
      <c r="AJ67" s="126">
        <v>64.0</v>
      </c>
      <c r="AK67" s="128"/>
      <c r="AL67" s="128"/>
      <c r="AM67" s="128"/>
      <c r="AN67" s="128"/>
      <c r="AP67" s="126">
        <v>64.0</v>
      </c>
      <c r="AQ67" s="128"/>
      <c r="AR67" s="128"/>
      <c r="AS67" s="128"/>
      <c r="AT67" s="128"/>
      <c r="AV67" s="126">
        <v>64.0</v>
      </c>
      <c r="AW67" s="128"/>
      <c r="AX67" s="128"/>
      <c r="AY67" s="128"/>
      <c r="AZ67" s="128"/>
    </row>
    <row r="68">
      <c r="A68" s="158"/>
      <c r="B68" s="126">
        <v>65.0</v>
      </c>
      <c r="C68" s="78">
        <f>IFERROR(__xludf.DUMMYFUNCTION("""COMPUTED_VALUE"""),3275.0)</f>
        <v>3275</v>
      </c>
      <c r="D68" s="156">
        <f>IFERROR(__xludf.DUMMYFUNCTION("""COMPUTED_VALUE"""),46668.0)</f>
        <v>46668</v>
      </c>
      <c r="E68" s="78" t="str">
        <f>IFERROR(__xludf.DUMMYFUNCTION("""COMPUTED_VALUE"""),"02-Medellin")</f>
        <v>02-Medellin</v>
      </c>
      <c r="F68" s="156">
        <f>IFERROR(__xludf.DUMMYFUNCTION("""COMPUTED_VALUE"""),46070.0)</f>
        <v>46070</v>
      </c>
      <c r="G68" s="159">
        <f>IFERROR(__xludf.DUMMYFUNCTION("""COMPUTED_VALUE"""),34.0)</f>
        <v>34</v>
      </c>
      <c r="H68" s="78" t="str">
        <f>IFERROR(__xludf.DUMMYFUNCTION("""COMPUTED_VALUE"""),"VIGENTE")</f>
        <v>VIGENTE</v>
      </c>
      <c r="I68" s="132" t="str">
        <f t="shared" si="1"/>
        <v>-</v>
      </c>
      <c r="J68" s="158"/>
      <c r="K68" s="126">
        <v>65.0</v>
      </c>
      <c r="L68" s="78">
        <f>IFERROR(__xludf.DUMMYFUNCTION("""COMPUTED_VALUE"""),3213.0)</f>
        <v>3213</v>
      </c>
      <c r="M68" s="156">
        <f>IFERROR(__xludf.DUMMYFUNCTION("""COMPUTED_VALUE"""),46654.0)</f>
        <v>46654</v>
      </c>
      <c r="N68" s="78" t="str">
        <f>IFERROR(__xludf.DUMMYFUNCTION("""COMPUTED_VALUE"""),"02-Medellin")</f>
        <v>02-Medellin</v>
      </c>
      <c r="O68" s="156">
        <f>IFERROR(__xludf.DUMMYFUNCTION("""COMPUTED_VALUE"""),46091.0)</f>
        <v>46091</v>
      </c>
      <c r="P68" s="159">
        <f>IFERROR(__xludf.DUMMYFUNCTION("""COMPUTED_VALUE"""),692.0)</f>
        <v>692</v>
      </c>
      <c r="Q68" s="78" t="str">
        <f>IFERROR(__xludf.DUMMYFUNCTION("""COMPUTED_VALUE"""),"PRÓXIMO")</f>
        <v>PRÓXIMO</v>
      </c>
      <c r="R68" s="132" t="str">
        <f t="shared" si="2"/>
        <v>NO PEDIDO</v>
      </c>
      <c r="T68" s="134" t="str">
        <f>CALENDARIO!D80</f>
        <v/>
      </c>
      <c r="U68" s="135">
        <f>CALENDARIO!C80</f>
        <v>2906</v>
      </c>
      <c r="W68" s="78"/>
      <c r="X68" s="136" t="str">
        <f>(VLOOKUP(W68,'BD LUB'!$A$2:$L$223,5,FALSE)/VLOOKUP(W68,'BD LUB'!$A$2:$L$223,7,FALSE))+(VLOOKUP(W68,'BD LUB'!$A$2:$L$223,6,FALSE)/VLOOKUP(W68,'BD LUB'!$A$2:$L$223,8,FALSE))</f>
        <v>#N/A</v>
      </c>
      <c r="Y68" s="137" t="str">
        <f>IF(AND(VLOOKUP(W68,'BD LUB'!$A$2:$L$223,11,FALSE)="PASADO",VLOOKUP(W68,'BD LUB'!$A$2:$L$223,12,FALSE)="PASADO"),1,IF(OR(AND(VLOOKUP(W68,'BD LUB'!$A$2:$L$223,11,FALSE)="PASADO",VLOOKUP(W68,'BD LUB'!$A$2:$L$223,12,FALSE)="PRÓXIMO"),AND(VLOOKUP(W68,'BD LUB'!$A$2:$L$223,11,FALSE)="PRÓXIMO",VLOOKUP(W68,'BD LUB'!$A$2:$L$223,12,FALSE)="PASADO")),2,IF(OR(AND(VLOOKUP(W68,'BD LUB'!$A$2:$L$223,11,FALSE)="PASADO",VLOOKUP(W68,'BD LUB'!$A$2:$L$223,12,FALSE)="VIGENTE"),AND(VLOOKUP(W68,'BD LUB'!$A$2:$L$223,11,FALSE)="VIGENTE",VLOOKUP(W68,'BD LUB'!$A$2:$L$223,12,FALSE)="PASADO")),3,IF(AND(VLOOKUP(W68,'BD LUB'!$A$2:$L$223,11,FALSE)="PRÓXIMO",VLOOKUP(W68,'BD LUB'!$A$2:$L$223,12,FALSE)="PRÓXIMO"),4,IF(OR(AND(VLOOKUP(W68,'BD LUB'!$A$2:$L$223,11,FALSE)="PRÓXIMO",VLOOKUP(W68,'BD LUB'!$A$2:$L$223,12,FALSE)="VIGENTE"),AND(VLOOKUP(W68,'BD LUB'!$A$2:$L$223,11,FALSE)="VIGENTE",VLOOKUP(W68,'BD LUB'!$A$2:$L$223,12,FALSE)="PRÓXIMO")),5,IF(AND(VLOOKUP(W68,'BD LUB'!$A$2:$L$223,11,FALSE)="VIGENTE",VLOOKUP(W68,'BD LUB'!$A$2:$L$223,12,FALSE)="VIGENTE"),6,"No definido"))))))</f>
        <v>#N/A</v>
      </c>
      <c r="Z68" s="138"/>
      <c r="AA68" s="139" t="str">
        <f>(VLOOKUP(Z68,'BD LUB'!$A$2:$L$223,5,FALSE)/VLOOKUP(Z68,'BD LUB'!$A$2:$L$223,7,FALSE))+(VLOOKUP(Z68,'BD LUB'!$A$2:$L$223,6,FALSE)/VLOOKUP(Z68,'BD LUB'!$A$2:$L$223,8,FALSE))</f>
        <v>#N/A</v>
      </c>
      <c r="AB68" s="78" t="str">
        <f>IF(AND(VLOOKUP(Z68,'BD LUB'!$A$2:$L$223,11,FALSE)="PASADO",VLOOKUP(Z68,'BD LUB'!$A$2:$L$223,12,FALSE)="PASADO"),1,IF(OR(AND(VLOOKUP(Z68,'BD LUB'!$A$2:$L$223,11,FALSE)="PASADO",VLOOKUP(Z68,'BD LUB'!$A$2:$L$223,12,FALSE)="PRÓXIMO"),AND(VLOOKUP(Z68,'BD LUB'!$A$2:$L$223,11,FALSE)="PRÓXIMO",VLOOKUP(Z68,'BD LUB'!$A$2:$L$223,12,FALSE)="PASADO")),2,IF(OR(AND(VLOOKUP(Z68,'BD LUB'!$A$2:$L$223,11,FALSE)="PASADO",VLOOKUP(Z68,'BD LUB'!$A$2:$L$223,12,FALSE)="VIGENTE"),AND(VLOOKUP(Z68,'BD LUB'!$A$2:$L$223,11,FALSE)="VIGENTE",VLOOKUP(Z68,'BD LUB'!$A$2:$L$223,12,FALSE)="PASADO")),3,IF(AND(VLOOKUP(Z68,'BD LUB'!$A$2:$L$223,11,FALSE)="PRÓXIMO",VLOOKUP(Z68,'BD LUB'!$A$2:$L$223,12,FALSE)="PRÓXIMO"),4,IF(OR(AND(VLOOKUP(Z68,'BD LUB'!$A$2:$L$223,11,FALSE)="PRÓXIMO",VLOOKUP(Z68,'BD LUB'!$A$2:$L$223,12,FALSE)="VIGENTE"),AND(VLOOKUP(Z68,'BD LUB'!$A$2:$L$223,11,FALSE)="VIGENTE",VLOOKUP(Z68,'BD LUB'!$A$2:$L$223,12,FALSE)="PRÓXIMO")),5,IF(AND(VLOOKUP(Z68,'BD LUB'!$A$2:$L$223,11,FALSE)="VIGENTE",VLOOKUP(Z68,'BD LUB'!$A$2:$L$223,12,FALSE)="VIGENTE"),6,"No definido"))))))</f>
        <v>#N/A</v>
      </c>
      <c r="AC68" s="134"/>
      <c r="AD68" s="136" t="str">
        <f>IF(VLOOKUP(AC68,'BD LUB'!$A$2:$C$223,3,FALSE)=$AH$20,AC68&amp;" MED",IF(VLOOKUP(AC68,'BD LUB'!$A$2:$C$223,3,FALSE)=$AH$19,AC68&amp;" MAY",IF(VLOOKUP(AC68,'BD LUB'!$A$2:$C$223,3,FALSE)=$AH$18,AC68&amp;" RN",IF(VLOOKUP(AC68,'BD LUB'!$A$2:$C$223,3,FALSE)=$AH$17,AC68&amp;" COPQUI",IF(VLOOKUP(AC68,'BD LUB'!$A$2:$C$223,3,FALSE)=$AH$16,AC68&amp;" CEJ",IF(VLOOKUP(AC68,'BD LUB'!$A$2:$C$223,3,FALSE)=$AH$15,AC68&amp;" BULT",IF(VLOOKUP(AC68,'BD LUB'!$A$2:$C$223,3,FALSE)=$AH$14,AC68&amp;" COP",IF(VLOOKUP(AC68,'BD LUB'!$A$2:$C$223,3,FALSE)=$AH$13,AC68&amp;" RIO",IF(VLOOKUP(AC68,'BD LUB'!$A$2:$C$223,3,FALSE)=$AH$21,AC68&amp;" APART","Dato no encontrado")))))))))</f>
        <v>#N/A</v>
      </c>
      <c r="AE68" s="111"/>
      <c r="AF68" s="111"/>
      <c r="AG68" s="111"/>
      <c r="AH68" s="111"/>
      <c r="AI68" s="111"/>
      <c r="AJ68" s="126">
        <v>65.0</v>
      </c>
      <c r="AK68" s="128"/>
      <c r="AL68" s="128"/>
      <c r="AM68" s="128"/>
      <c r="AN68" s="128"/>
      <c r="AP68" s="126">
        <v>65.0</v>
      </c>
      <c r="AQ68" s="128"/>
      <c r="AR68" s="128"/>
      <c r="AS68" s="128"/>
      <c r="AT68" s="128"/>
      <c r="AV68" s="126">
        <v>65.0</v>
      </c>
      <c r="AW68" s="128"/>
      <c r="AX68" s="128"/>
      <c r="AY68" s="128"/>
      <c r="AZ68" s="128"/>
    </row>
    <row r="69">
      <c r="A69" s="158"/>
      <c r="B69" s="126">
        <v>66.0</v>
      </c>
      <c r="C69" s="78">
        <f>IFERROR(__xludf.DUMMYFUNCTION("""COMPUTED_VALUE"""),3273.0)</f>
        <v>3273</v>
      </c>
      <c r="D69" s="156">
        <f>IFERROR(__xludf.DUMMYFUNCTION("""COMPUTED_VALUE"""),46668.0)</f>
        <v>46668</v>
      </c>
      <c r="E69" s="78" t="str">
        <f>IFERROR(__xludf.DUMMYFUNCTION("""COMPUTED_VALUE"""),"02-Medellin")</f>
        <v>02-Medellin</v>
      </c>
      <c r="F69" s="156">
        <f>IFERROR(__xludf.DUMMYFUNCTION("""COMPUTED_VALUE"""),46070.0)</f>
        <v>46070</v>
      </c>
      <c r="G69" s="159">
        <f>IFERROR(__xludf.DUMMYFUNCTION("""COMPUTED_VALUE"""),34.0)</f>
        <v>34</v>
      </c>
      <c r="H69" s="78" t="str">
        <f>IFERROR(__xludf.DUMMYFUNCTION("""COMPUTED_VALUE"""),"VIGENTE")</f>
        <v>VIGENTE</v>
      </c>
      <c r="I69" s="132" t="str">
        <f t="shared" si="1"/>
        <v>-</v>
      </c>
      <c r="J69" s="158"/>
      <c r="K69" s="126">
        <v>66.0</v>
      </c>
      <c r="L69" s="78">
        <f>IFERROR(__xludf.DUMMYFUNCTION("""COMPUTED_VALUE"""),2339.0)</f>
        <v>2339</v>
      </c>
      <c r="M69" s="156">
        <f>IFERROR(__xludf.DUMMYFUNCTION("""COMPUTED_VALUE"""),46572.0)</f>
        <v>46572</v>
      </c>
      <c r="N69" s="78" t="str">
        <f>IFERROR(__xludf.DUMMYFUNCTION("""COMPUTED_VALUE"""),"02-Medellin")</f>
        <v>02-Medellin</v>
      </c>
      <c r="O69" s="156">
        <f>IFERROR(__xludf.DUMMYFUNCTION("""COMPUTED_VALUE"""),46029.0)</f>
        <v>46029</v>
      </c>
      <c r="P69" s="159">
        <f>IFERROR(__xludf.DUMMYFUNCTION("""COMPUTED_VALUE"""),698.1000000000004)</f>
        <v>698.1</v>
      </c>
      <c r="Q69" s="78" t="str">
        <f>IFERROR(__xludf.DUMMYFUNCTION("""COMPUTED_VALUE"""),"PRÓXIMO")</f>
        <v>PRÓXIMO</v>
      </c>
      <c r="R69" s="132" t="str">
        <f t="shared" si="2"/>
        <v>HECHO</v>
      </c>
      <c r="T69" s="134" t="str">
        <f>CALENDARIO!D81</f>
        <v/>
      </c>
      <c r="U69" s="135">
        <f>CALENDARIO!C81</f>
        <v>3197</v>
      </c>
      <c r="W69" s="78"/>
      <c r="X69" s="136" t="str">
        <f>(VLOOKUP(W69,'BD LUB'!$A$2:$L$223,5,FALSE)/VLOOKUP(W69,'BD LUB'!$A$2:$L$223,7,FALSE))+(VLOOKUP(W69,'BD LUB'!$A$2:$L$223,6,FALSE)/VLOOKUP(W69,'BD LUB'!$A$2:$L$223,8,FALSE))</f>
        <v>#N/A</v>
      </c>
      <c r="Y69" s="137" t="str">
        <f>IF(AND(VLOOKUP(W69,'BD LUB'!$A$2:$L$223,11,FALSE)="PASADO",VLOOKUP(W69,'BD LUB'!$A$2:$L$223,12,FALSE)="PASADO"),1,IF(OR(AND(VLOOKUP(W69,'BD LUB'!$A$2:$L$223,11,FALSE)="PASADO",VLOOKUP(W69,'BD LUB'!$A$2:$L$223,12,FALSE)="PRÓXIMO"),AND(VLOOKUP(W69,'BD LUB'!$A$2:$L$223,11,FALSE)="PRÓXIMO",VLOOKUP(W69,'BD LUB'!$A$2:$L$223,12,FALSE)="PASADO")),2,IF(OR(AND(VLOOKUP(W69,'BD LUB'!$A$2:$L$223,11,FALSE)="PASADO",VLOOKUP(W69,'BD LUB'!$A$2:$L$223,12,FALSE)="VIGENTE"),AND(VLOOKUP(W69,'BD LUB'!$A$2:$L$223,11,FALSE)="VIGENTE",VLOOKUP(W69,'BD LUB'!$A$2:$L$223,12,FALSE)="PASADO")),3,IF(AND(VLOOKUP(W69,'BD LUB'!$A$2:$L$223,11,FALSE)="PRÓXIMO",VLOOKUP(W69,'BD LUB'!$A$2:$L$223,12,FALSE)="PRÓXIMO"),4,IF(OR(AND(VLOOKUP(W69,'BD LUB'!$A$2:$L$223,11,FALSE)="PRÓXIMO",VLOOKUP(W69,'BD LUB'!$A$2:$L$223,12,FALSE)="VIGENTE"),AND(VLOOKUP(W69,'BD LUB'!$A$2:$L$223,11,FALSE)="VIGENTE",VLOOKUP(W69,'BD LUB'!$A$2:$L$223,12,FALSE)="PRÓXIMO")),5,IF(AND(VLOOKUP(W69,'BD LUB'!$A$2:$L$223,11,FALSE)="VIGENTE",VLOOKUP(W69,'BD LUB'!$A$2:$L$223,12,FALSE)="VIGENTE"),6,"No definido"))))))</f>
        <v>#N/A</v>
      </c>
      <c r="Z69" s="138"/>
      <c r="AA69" s="139" t="str">
        <f>(VLOOKUP(Z69,'BD LUB'!$A$2:$L$223,5,FALSE)/VLOOKUP(Z69,'BD LUB'!$A$2:$L$223,7,FALSE))+(VLOOKUP(Z69,'BD LUB'!$A$2:$L$223,6,FALSE)/VLOOKUP(Z69,'BD LUB'!$A$2:$L$223,8,FALSE))</f>
        <v>#N/A</v>
      </c>
      <c r="AB69" s="78" t="str">
        <f>IF(AND(VLOOKUP(Z69,'BD LUB'!$A$2:$L$223,11,FALSE)="PASADO",VLOOKUP(Z69,'BD LUB'!$A$2:$L$223,12,FALSE)="PASADO"),1,IF(OR(AND(VLOOKUP(Z69,'BD LUB'!$A$2:$L$223,11,FALSE)="PASADO",VLOOKUP(Z69,'BD LUB'!$A$2:$L$223,12,FALSE)="PRÓXIMO"),AND(VLOOKUP(Z69,'BD LUB'!$A$2:$L$223,11,FALSE)="PRÓXIMO",VLOOKUP(Z69,'BD LUB'!$A$2:$L$223,12,FALSE)="PASADO")),2,IF(OR(AND(VLOOKUP(Z69,'BD LUB'!$A$2:$L$223,11,FALSE)="PASADO",VLOOKUP(Z69,'BD LUB'!$A$2:$L$223,12,FALSE)="VIGENTE"),AND(VLOOKUP(Z69,'BD LUB'!$A$2:$L$223,11,FALSE)="VIGENTE",VLOOKUP(Z69,'BD LUB'!$A$2:$L$223,12,FALSE)="PASADO")),3,IF(AND(VLOOKUP(Z69,'BD LUB'!$A$2:$L$223,11,FALSE)="PRÓXIMO",VLOOKUP(Z69,'BD LUB'!$A$2:$L$223,12,FALSE)="PRÓXIMO"),4,IF(OR(AND(VLOOKUP(Z69,'BD LUB'!$A$2:$L$223,11,FALSE)="PRÓXIMO",VLOOKUP(Z69,'BD LUB'!$A$2:$L$223,12,FALSE)="VIGENTE"),AND(VLOOKUP(Z69,'BD LUB'!$A$2:$L$223,11,FALSE)="VIGENTE",VLOOKUP(Z69,'BD LUB'!$A$2:$L$223,12,FALSE)="PRÓXIMO")),5,IF(AND(VLOOKUP(Z69,'BD LUB'!$A$2:$L$223,11,FALSE)="VIGENTE",VLOOKUP(Z69,'BD LUB'!$A$2:$L$223,12,FALSE)="VIGENTE"),6,"No definido"))))))</f>
        <v>#N/A</v>
      </c>
      <c r="AC69" s="134"/>
      <c r="AD69" s="136" t="str">
        <f>IF(VLOOKUP(AC69,'BD LUB'!$A$2:$C$223,3,FALSE)=$AH$20,AC69&amp;" MED",IF(VLOOKUP(AC69,'BD LUB'!$A$2:$C$223,3,FALSE)=$AH$19,AC69&amp;" MAY",IF(VLOOKUP(AC69,'BD LUB'!$A$2:$C$223,3,FALSE)=$AH$18,AC69&amp;" RN",IF(VLOOKUP(AC69,'BD LUB'!$A$2:$C$223,3,FALSE)=$AH$17,AC69&amp;" COPQUI",IF(VLOOKUP(AC69,'BD LUB'!$A$2:$C$223,3,FALSE)=$AH$16,AC69&amp;" CEJ",IF(VLOOKUP(AC69,'BD LUB'!$A$2:$C$223,3,FALSE)=$AH$15,AC69&amp;" BULT",IF(VLOOKUP(AC69,'BD LUB'!$A$2:$C$223,3,FALSE)=$AH$14,AC69&amp;" COP",IF(VLOOKUP(AC69,'BD LUB'!$A$2:$C$223,3,FALSE)=$AH$13,AC69&amp;" RIO",IF(VLOOKUP(AC69,'BD LUB'!$A$2:$C$223,3,FALSE)=$AH$21,AC69&amp;" APART","Dato no encontrado")))))))))</f>
        <v>#N/A</v>
      </c>
      <c r="AE69" s="111"/>
      <c r="AF69" s="111"/>
      <c r="AG69" s="111"/>
      <c r="AH69" s="111"/>
      <c r="AI69" s="111"/>
      <c r="AJ69" s="126">
        <v>66.0</v>
      </c>
      <c r="AK69" s="128"/>
      <c r="AL69" s="128"/>
      <c r="AM69" s="128"/>
      <c r="AN69" s="128"/>
      <c r="AP69" s="126">
        <v>66.0</v>
      </c>
      <c r="AQ69" s="128"/>
      <c r="AR69" s="128"/>
      <c r="AS69" s="128"/>
      <c r="AT69" s="128"/>
      <c r="AV69" s="126">
        <v>66.0</v>
      </c>
      <c r="AW69" s="128"/>
      <c r="AX69" s="128"/>
      <c r="AY69" s="128"/>
      <c r="AZ69" s="128"/>
    </row>
    <row r="70">
      <c r="A70" s="158"/>
      <c r="B70" s="126">
        <v>67.0</v>
      </c>
      <c r="C70" s="78">
        <f>IFERROR(__xludf.DUMMYFUNCTION("""COMPUTED_VALUE"""),2927.0)</f>
        <v>2927</v>
      </c>
      <c r="D70" s="156">
        <f>IFERROR(__xludf.DUMMYFUNCTION("""COMPUTED_VALUE"""),46318.0)</f>
        <v>46318</v>
      </c>
      <c r="E70" s="78" t="str">
        <f>IFERROR(__xludf.DUMMYFUNCTION("""COMPUTED_VALUE"""),"02-Medellin")</f>
        <v>02-Medellin</v>
      </c>
      <c r="F70" s="156">
        <f>IFERROR(__xludf.DUMMYFUNCTION("""COMPUTED_VALUE"""),46070.0)</f>
        <v>46070</v>
      </c>
      <c r="G70" s="159">
        <f>IFERROR(__xludf.DUMMYFUNCTION("""COMPUTED_VALUE"""),34.0)</f>
        <v>34</v>
      </c>
      <c r="H70" s="78" t="str">
        <f>IFERROR(__xludf.DUMMYFUNCTION("""COMPUTED_VALUE"""),"VIGENTE")</f>
        <v>VIGENTE</v>
      </c>
      <c r="I70" s="132" t="str">
        <f t="shared" si="1"/>
        <v>-</v>
      </c>
      <c r="J70" s="158"/>
      <c r="K70" s="126">
        <v>67.0</v>
      </c>
      <c r="L70" s="78">
        <f>IFERROR(__xludf.DUMMYFUNCTION("""COMPUTED_VALUE"""),2852.0)</f>
        <v>2852</v>
      </c>
      <c r="M70" s="156">
        <f>IFERROR(__xludf.DUMMYFUNCTION("""COMPUTED_VALUE"""),46576.0)</f>
        <v>46576</v>
      </c>
      <c r="N70" s="78" t="str">
        <f>IFERROR(__xludf.DUMMYFUNCTION("""COMPUTED_VALUE"""),"24-Rionegro")</f>
        <v>24-Rionegro</v>
      </c>
      <c r="O70" s="156">
        <f>IFERROR(__xludf.DUMMYFUNCTION("""COMPUTED_VALUE"""),46165.0)</f>
        <v>46165</v>
      </c>
      <c r="P70" s="159">
        <f>IFERROR(__xludf.DUMMYFUNCTION("""COMPUTED_VALUE"""),710.0)</f>
        <v>710</v>
      </c>
      <c r="Q70" s="78" t="str">
        <f>IFERROR(__xludf.DUMMYFUNCTION("""COMPUTED_VALUE"""),"VIGENTE")</f>
        <v>VIGENTE</v>
      </c>
      <c r="R70" s="132" t="str">
        <f t="shared" si="2"/>
        <v>-</v>
      </c>
      <c r="T70" s="134" t="str">
        <f>CALENDARIO!D82</f>
        <v/>
      </c>
      <c r="U70" s="135">
        <f>CALENDARIO!C82</f>
        <v>487</v>
      </c>
      <c r="W70" s="78"/>
      <c r="X70" s="136" t="str">
        <f>(VLOOKUP(W70,'BD LUB'!$A$2:$L$223,5,FALSE)/VLOOKUP(W70,'BD LUB'!$A$2:$L$223,7,FALSE))+(VLOOKUP(W70,'BD LUB'!$A$2:$L$223,6,FALSE)/VLOOKUP(W70,'BD LUB'!$A$2:$L$223,8,FALSE))</f>
        <v>#N/A</v>
      </c>
      <c r="Y70" s="137" t="str">
        <f>IF(AND(VLOOKUP(W70,'BD LUB'!$A$2:$L$223,11,FALSE)="PASADO",VLOOKUP(W70,'BD LUB'!$A$2:$L$223,12,FALSE)="PASADO"),1,IF(OR(AND(VLOOKUP(W70,'BD LUB'!$A$2:$L$223,11,FALSE)="PASADO",VLOOKUP(W70,'BD LUB'!$A$2:$L$223,12,FALSE)="PRÓXIMO"),AND(VLOOKUP(W70,'BD LUB'!$A$2:$L$223,11,FALSE)="PRÓXIMO",VLOOKUP(W70,'BD LUB'!$A$2:$L$223,12,FALSE)="PASADO")),2,IF(OR(AND(VLOOKUP(W70,'BD LUB'!$A$2:$L$223,11,FALSE)="PASADO",VLOOKUP(W70,'BD LUB'!$A$2:$L$223,12,FALSE)="VIGENTE"),AND(VLOOKUP(W70,'BD LUB'!$A$2:$L$223,11,FALSE)="VIGENTE",VLOOKUP(W70,'BD LUB'!$A$2:$L$223,12,FALSE)="PASADO")),3,IF(AND(VLOOKUP(W70,'BD LUB'!$A$2:$L$223,11,FALSE)="PRÓXIMO",VLOOKUP(W70,'BD LUB'!$A$2:$L$223,12,FALSE)="PRÓXIMO"),4,IF(OR(AND(VLOOKUP(W70,'BD LUB'!$A$2:$L$223,11,FALSE)="PRÓXIMO",VLOOKUP(W70,'BD LUB'!$A$2:$L$223,12,FALSE)="VIGENTE"),AND(VLOOKUP(W70,'BD LUB'!$A$2:$L$223,11,FALSE)="VIGENTE",VLOOKUP(W70,'BD LUB'!$A$2:$L$223,12,FALSE)="PRÓXIMO")),5,IF(AND(VLOOKUP(W70,'BD LUB'!$A$2:$L$223,11,FALSE)="VIGENTE",VLOOKUP(W70,'BD LUB'!$A$2:$L$223,12,FALSE)="VIGENTE"),6,"No definido"))))))</f>
        <v>#N/A</v>
      </c>
      <c r="Z70" s="138"/>
      <c r="AA70" s="139" t="str">
        <f>(VLOOKUP(Z70,'BD LUB'!$A$2:$L$223,5,FALSE)/VLOOKUP(Z70,'BD LUB'!$A$2:$L$223,7,FALSE))+(VLOOKUP(Z70,'BD LUB'!$A$2:$L$223,6,FALSE)/VLOOKUP(Z70,'BD LUB'!$A$2:$L$223,8,FALSE))</f>
        <v>#N/A</v>
      </c>
      <c r="AB70" s="78" t="str">
        <f>IF(AND(VLOOKUP(Z70,'BD LUB'!$A$2:$L$223,11,FALSE)="PASADO",VLOOKUP(Z70,'BD LUB'!$A$2:$L$223,12,FALSE)="PASADO"),1,IF(OR(AND(VLOOKUP(Z70,'BD LUB'!$A$2:$L$223,11,FALSE)="PASADO",VLOOKUP(Z70,'BD LUB'!$A$2:$L$223,12,FALSE)="PRÓXIMO"),AND(VLOOKUP(Z70,'BD LUB'!$A$2:$L$223,11,FALSE)="PRÓXIMO",VLOOKUP(Z70,'BD LUB'!$A$2:$L$223,12,FALSE)="PASADO")),2,IF(OR(AND(VLOOKUP(Z70,'BD LUB'!$A$2:$L$223,11,FALSE)="PASADO",VLOOKUP(Z70,'BD LUB'!$A$2:$L$223,12,FALSE)="VIGENTE"),AND(VLOOKUP(Z70,'BD LUB'!$A$2:$L$223,11,FALSE)="VIGENTE",VLOOKUP(Z70,'BD LUB'!$A$2:$L$223,12,FALSE)="PASADO")),3,IF(AND(VLOOKUP(Z70,'BD LUB'!$A$2:$L$223,11,FALSE)="PRÓXIMO",VLOOKUP(Z70,'BD LUB'!$A$2:$L$223,12,FALSE)="PRÓXIMO"),4,IF(OR(AND(VLOOKUP(Z70,'BD LUB'!$A$2:$L$223,11,FALSE)="PRÓXIMO",VLOOKUP(Z70,'BD LUB'!$A$2:$L$223,12,FALSE)="VIGENTE"),AND(VLOOKUP(Z70,'BD LUB'!$A$2:$L$223,11,FALSE)="VIGENTE",VLOOKUP(Z70,'BD LUB'!$A$2:$L$223,12,FALSE)="PRÓXIMO")),5,IF(AND(VLOOKUP(Z70,'BD LUB'!$A$2:$L$223,11,FALSE)="VIGENTE",VLOOKUP(Z70,'BD LUB'!$A$2:$L$223,12,FALSE)="VIGENTE"),6,"No definido"))))))</f>
        <v>#N/A</v>
      </c>
      <c r="AC70" s="134"/>
      <c r="AD70" s="136" t="str">
        <f>IF(VLOOKUP(AC70,'BD LUB'!$A$2:$C$223,3,FALSE)=$AH$20,AC70&amp;" MED",IF(VLOOKUP(AC70,'BD LUB'!$A$2:$C$223,3,FALSE)=$AH$19,AC70&amp;" MAY",IF(VLOOKUP(AC70,'BD LUB'!$A$2:$C$223,3,FALSE)=$AH$18,AC70&amp;" RN",IF(VLOOKUP(AC70,'BD LUB'!$A$2:$C$223,3,FALSE)=$AH$17,AC70&amp;" COPQUI",IF(VLOOKUP(AC70,'BD LUB'!$A$2:$C$223,3,FALSE)=$AH$16,AC70&amp;" CEJ",IF(VLOOKUP(AC70,'BD LUB'!$A$2:$C$223,3,FALSE)=$AH$15,AC70&amp;" BULT",IF(VLOOKUP(AC70,'BD LUB'!$A$2:$C$223,3,FALSE)=$AH$14,AC70&amp;" COP",IF(VLOOKUP(AC70,'BD LUB'!$A$2:$C$223,3,FALSE)=$AH$13,AC70&amp;" RIO",IF(VLOOKUP(AC70,'BD LUB'!$A$2:$C$223,3,FALSE)=$AH$21,AC70&amp;" APART","Dato no encontrado")))))))))</f>
        <v>#N/A</v>
      </c>
      <c r="AE70" s="111"/>
      <c r="AF70" s="111"/>
      <c r="AG70" s="111"/>
      <c r="AH70" s="111"/>
      <c r="AI70" s="111"/>
      <c r="AJ70" s="126">
        <v>67.0</v>
      </c>
      <c r="AK70" s="128"/>
      <c r="AL70" s="128"/>
      <c r="AM70" s="128"/>
      <c r="AN70" s="128"/>
      <c r="AP70" s="126">
        <v>67.0</v>
      </c>
      <c r="AQ70" s="128"/>
      <c r="AR70" s="128"/>
      <c r="AS70" s="128"/>
      <c r="AT70" s="128"/>
      <c r="AV70" s="126">
        <v>67.0</v>
      </c>
      <c r="AW70" s="128"/>
      <c r="AX70" s="128"/>
      <c r="AY70" s="128"/>
      <c r="AZ70" s="128"/>
    </row>
    <row r="71">
      <c r="A71" s="158"/>
      <c r="B71" s="126">
        <v>68.0</v>
      </c>
      <c r="C71" s="78">
        <f>IFERROR(__xludf.DUMMYFUNCTION("""COMPUTED_VALUE"""),2659.0)</f>
        <v>2659</v>
      </c>
      <c r="D71" s="156">
        <f>IFERROR(__xludf.DUMMYFUNCTION("""COMPUTED_VALUE"""),46487.0)</f>
        <v>46487</v>
      </c>
      <c r="E71" s="78" t="str">
        <f>IFERROR(__xludf.DUMMYFUNCTION("""COMPUTED_VALUE"""),"02-Medellin")</f>
        <v>02-Medellin</v>
      </c>
      <c r="F71" s="156">
        <f>IFERROR(__xludf.DUMMYFUNCTION("""COMPUTED_VALUE"""),46070.0)</f>
        <v>46070</v>
      </c>
      <c r="G71" s="159">
        <f>IFERROR(__xludf.DUMMYFUNCTION("""COMPUTED_VALUE"""),34.0)</f>
        <v>34</v>
      </c>
      <c r="H71" s="78" t="str">
        <f>IFERROR(__xludf.DUMMYFUNCTION("""COMPUTED_VALUE"""),"VIGENTE")</f>
        <v>VIGENTE</v>
      </c>
      <c r="I71" s="132" t="str">
        <f t="shared" si="1"/>
        <v>-</v>
      </c>
      <c r="J71" s="158"/>
      <c r="K71" s="126">
        <v>68.0</v>
      </c>
      <c r="L71" s="78">
        <f>IFERROR(__xludf.DUMMYFUNCTION("""COMPUTED_VALUE"""),2490.0)</f>
        <v>2490</v>
      </c>
      <c r="M71" s="156">
        <f>IFERROR(__xludf.DUMMYFUNCTION("""COMPUTED_VALUE"""),46303.0)</f>
        <v>46303</v>
      </c>
      <c r="N71" s="78" t="str">
        <f>IFERROR(__xludf.DUMMYFUNCTION("""COMPUTED_VALUE"""),"02-Medellin")</f>
        <v>02-Medellin</v>
      </c>
      <c r="O71" s="156">
        <f>IFERROR(__xludf.DUMMYFUNCTION("""COMPUTED_VALUE"""),46071.0)</f>
        <v>46071</v>
      </c>
      <c r="P71" s="159">
        <f>IFERROR(__xludf.DUMMYFUNCTION("""COMPUTED_VALUE"""),720.0)</f>
        <v>720</v>
      </c>
      <c r="Q71" s="78" t="str">
        <f>IFERROR(__xludf.DUMMYFUNCTION("""COMPUTED_VALUE"""),"VIGENTE")</f>
        <v>VIGENTE</v>
      </c>
      <c r="R71" s="132" t="str">
        <f t="shared" si="2"/>
        <v>-</v>
      </c>
      <c r="T71" s="134" t="str">
        <f>CALENDARIO!D83</f>
        <v/>
      </c>
      <c r="U71" s="135">
        <f>CALENDARIO!C83</f>
        <v>2643</v>
      </c>
      <c r="W71" s="78"/>
      <c r="X71" s="136" t="str">
        <f>(VLOOKUP(W71,'BD LUB'!$A$2:$L$223,5,FALSE)/VLOOKUP(W71,'BD LUB'!$A$2:$L$223,7,FALSE))+(VLOOKUP(W71,'BD LUB'!$A$2:$L$223,6,FALSE)/VLOOKUP(W71,'BD LUB'!$A$2:$L$223,8,FALSE))</f>
        <v>#N/A</v>
      </c>
      <c r="Y71" s="137" t="str">
        <f>IF(AND(VLOOKUP(W71,'BD LUB'!$A$2:$L$223,11,FALSE)="PASADO",VLOOKUP(W71,'BD LUB'!$A$2:$L$223,12,FALSE)="PASADO"),1,IF(OR(AND(VLOOKUP(W71,'BD LUB'!$A$2:$L$223,11,FALSE)="PASADO",VLOOKUP(W71,'BD LUB'!$A$2:$L$223,12,FALSE)="PRÓXIMO"),AND(VLOOKUP(W71,'BD LUB'!$A$2:$L$223,11,FALSE)="PRÓXIMO",VLOOKUP(W71,'BD LUB'!$A$2:$L$223,12,FALSE)="PASADO")),2,IF(OR(AND(VLOOKUP(W71,'BD LUB'!$A$2:$L$223,11,FALSE)="PASADO",VLOOKUP(W71,'BD LUB'!$A$2:$L$223,12,FALSE)="VIGENTE"),AND(VLOOKUP(W71,'BD LUB'!$A$2:$L$223,11,FALSE)="VIGENTE",VLOOKUP(W71,'BD LUB'!$A$2:$L$223,12,FALSE)="PASADO")),3,IF(AND(VLOOKUP(W71,'BD LUB'!$A$2:$L$223,11,FALSE)="PRÓXIMO",VLOOKUP(W71,'BD LUB'!$A$2:$L$223,12,FALSE)="PRÓXIMO"),4,IF(OR(AND(VLOOKUP(W71,'BD LUB'!$A$2:$L$223,11,FALSE)="PRÓXIMO",VLOOKUP(W71,'BD LUB'!$A$2:$L$223,12,FALSE)="VIGENTE"),AND(VLOOKUP(W71,'BD LUB'!$A$2:$L$223,11,FALSE)="VIGENTE",VLOOKUP(W71,'BD LUB'!$A$2:$L$223,12,FALSE)="PRÓXIMO")),5,IF(AND(VLOOKUP(W71,'BD LUB'!$A$2:$L$223,11,FALSE)="VIGENTE",VLOOKUP(W71,'BD LUB'!$A$2:$L$223,12,FALSE)="VIGENTE"),6,"No definido"))))))</f>
        <v>#N/A</v>
      </c>
      <c r="Z71" s="138"/>
      <c r="AA71" s="139" t="str">
        <f>(VLOOKUP(Z71,'BD LUB'!$A$2:$L$223,5,FALSE)/VLOOKUP(Z71,'BD LUB'!$A$2:$L$223,7,FALSE))+(VLOOKUP(Z71,'BD LUB'!$A$2:$L$223,6,FALSE)/VLOOKUP(Z71,'BD LUB'!$A$2:$L$223,8,FALSE))</f>
        <v>#N/A</v>
      </c>
      <c r="AB71" s="78" t="str">
        <f>IF(AND(VLOOKUP(Z71,'BD LUB'!$A$2:$L$223,11,FALSE)="PASADO",VLOOKUP(Z71,'BD LUB'!$A$2:$L$223,12,FALSE)="PASADO"),1,IF(OR(AND(VLOOKUP(Z71,'BD LUB'!$A$2:$L$223,11,FALSE)="PASADO",VLOOKUP(Z71,'BD LUB'!$A$2:$L$223,12,FALSE)="PRÓXIMO"),AND(VLOOKUP(Z71,'BD LUB'!$A$2:$L$223,11,FALSE)="PRÓXIMO",VLOOKUP(Z71,'BD LUB'!$A$2:$L$223,12,FALSE)="PASADO")),2,IF(OR(AND(VLOOKUP(Z71,'BD LUB'!$A$2:$L$223,11,FALSE)="PASADO",VLOOKUP(Z71,'BD LUB'!$A$2:$L$223,12,FALSE)="VIGENTE"),AND(VLOOKUP(Z71,'BD LUB'!$A$2:$L$223,11,FALSE)="VIGENTE",VLOOKUP(Z71,'BD LUB'!$A$2:$L$223,12,FALSE)="PASADO")),3,IF(AND(VLOOKUP(Z71,'BD LUB'!$A$2:$L$223,11,FALSE)="PRÓXIMO",VLOOKUP(Z71,'BD LUB'!$A$2:$L$223,12,FALSE)="PRÓXIMO"),4,IF(OR(AND(VLOOKUP(Z71,'BD LUB'!$A$2:$L$223,11,FALSE)="PRÓXIMO",VLOOKUP(Z71,'BD LUB'!$A$2:$L$223,12,FALSE)="VIGENTE"),AND(VLOOKUP(Z71,'BD LUB'!$A$2:$L$223,11,FALSE)="VIGENTE",VLOOKUP(Z71,'BD LUB'!$A$2:$L$223,12,FALSE)="PRÓXIMO")),5,IF(AND(VLOOKUP(Z71,'BD LUB'!$A$2:$L$223,11,FALSE)="VIGENTE",VLOOKUP(Z71,'BD LUB'!$A$2:$L$223,12,FALSE)="VIGENTE"),6,"No definido"))))))</f>
        <v>#N/A</v>
      </c>
      <c r="AC71" s="134"/>
      <c r="AD71" s="136" t="str">
        <f>IF(VLOOKUP(AC71,'BD LUB'!$A$2:$C$223,3,FALSE)=$AH$20,AC71&amp;" MED",IF(VLOOKUP(AC71,'BD LUB'!$A$2:$C$223,3,FALSE)=$AH$19,AC71&amp;" MAY",IF(VLOOKUP(AC71,'BD LUB'!$A$2:$C$223,3,FALSE)=$AH$18,AC71&amp;" RN",IF(VLOOKUP(AC71,'BD LUB'!$A$2:$C$223,3,FALSE)=$AH$17,AC71&amp;" COPQUI",IF(VLOOKUP(AC71,'BD LUB'!$A$2:$C$223,3,FALSE)=$AH$16,AC71&amp;" CEJ",IF(VLOOKUP(AC71,'BD LUB'!$A$2:$C$223,3,FALSE)=$AH$15,AC71&amp;" BULT",IF(VLOOKUP(AC71,'BD LUB'!$A$2:$C$223,3,FALSE)=$AH$14,AC71&amp;" COP",IF(VLOOKUP(AC71,'BD LUB'!$A$2:$C$223,3,FALSE)=$AH$13,AC71&amp;" RIO",IF(VLOOKUP(AC71,'BD LUB'!$A$2:$C$223,3,FALSE)=$AH$21,AC71&amp;" APART","Dato no encontrado")))))))))</f>
        <v>#N/A</v>
      </c>
      <c r="AE71" s="111"/>
      <c r="AF71" s="111"/>
      <c r="AG71" s="111"/>
      <c r="AH71" s="111"/>
      <c r="AI71" s="111"/>
      <c r="AJ71" s="126">
        <v>68.0</v>
      </c>
      <c r="AK71" s="128"/>
      <c r="AL71" s="128"/>
      <c r="AM71" s="128"/>
      <c r="AN71" s="128"/>
      <c r="AP71" s="126">
        <v>68.0</v>
      </c>
      <c r="AQ71" s="128"/>
      <c r="AR71" s="128"/>
      <c r="AS71" s="128"/>
      <c r="AT71" s="128"/>
      <c r="AV71" s="126">
        <v>68.0</v>
      </c>
      <c r="AW71" s="128"/>
      <c r="AX71" s="128"/>
      <c r="AY71" s="128"/>
      <c r="AZ71" s="128"/>
    </row>
    <row r="72">
      <c r="A72" s="158"/>
      <c r="B72" s="126">
        <v>69.0</v>
      </c>
      <c r="C72" s="78">
        <f>IFERROR(__xludf.DUMMYFUNCTION("""COMPUTED_VALUE"""),2628.0)</f>
        <v>2628</v>
      </c>
      <c r="D72" s="156">
        <f>IFERROR(__xludf.DUMMYFUNCTION("""COMPUTED_VALUE"""),46269.0)</f>
        <v>46269</v>
      </c>
      <c r="E72" s="78" t="str">
        <f>IFERROR(__xludf.DUMMYFUNCTION("""COMPUTED_VALUE"""),"38-La ceja")</f>
        <v>38-La ceja</v>
      </c>
      <c r="F72" s="156">
        <f>IFERROR(__xludf.DUMMYFUNCTION("""COMPUTED_VALUE"""),46070.0)</f>
        <v>46070</v>
      </c>
      <c r="G72" s="159">
        <f>IFERROR(__xludf.DUMMYFUNCTION("""COMPUTED_VALUE"""),34.0)</f>
        <v>34</v>
      </c>
      <c r="H72" s="78" t="str">
        <f>IFERROR(__xludf.DUMMYFUNCTION("""COMPUTED_VALUE"""),"VIGENTE")</f>
        <v>VIGENTE</v>
      </c>
      <c r="I72" s="132" t="str">
        <f t="shared" si="1"/>
        <v>-</v>
      </c>
      <c r="J72" s="158"/>
      <c r="K72" s="126">
        <v>69.0</v>
      </c>
      <c r="L72" s="78">
        <f>IFERROR(__xludf.DUMMYFUNCTION("""COMPUTED_VALUE"""),3231.0)</f>
        <v>3231</v>
      </c>
      <c r="M72" s="156">
        <f>IFERROR(__xludf.DUMMYFUNCTION("""COMPUTED_VALUE"""),46660.0)</f>
        <v>46660</v>
      </c>
      <c r="N72" s="78" t="str">
        <f>IFERROR(__xludf.DUMMYFUNCTION("""COMPUTED_VALUE"""),"02-Medellin")</f>
        <v>02-Medellin</v>
      </c>
      <c r="O72" s="156">
        <f>IFERROR(__xludf.DUMMYFUNCTION("""COMPUTED_VALUE"""),46056.0)</f>
        <v>46056</v>
      </c>
      <c r="P72" s="159">
        <f>IFERROR(__xludf.DUMMYFUNCTION("""COMPUTED_VALUE"""),742.0)</f>
        <v>742</v>
      </c>
      <c r="Q72" s="78" t="str">
        <f>IFERROR(__xludf.DUMMYFUNCTION("""COMPUTED_VALUE"""),"VIGENTE")</f>
        <v>VIGENTE</v>
      </c>
      <c r="R72" s="132" t="str">
        <f t="shared" si="2"/>
        <v>-</v>
      </c>
      <c r="T72" s="134" t="str">
        <f>CALENDARIO!D84</f>
        <v/>
      </c>
      <c r="U72" s="135">
        <f>CALENDARIO!C84</f>
        <v>481</v>
      </c>
      <c r="W72" s="78"/>
      <c r="X72" s="136" t="str">
        <f>(VLOOKUP(W72,'BD LUB'!$A$2:$L$223,5,FALSE)/VLOOKUP(W72,'BD LUB'!$A$2:$L$223,7,FALSE))+(VLOOKUP(W72,'BD LUB'!$A$2:$L$223,6,FALSE)/VLOOKUP(W72,'BD LUB'!$A$2:$L$223,8,FALSE))</f>
        <v>#N/A</v>
      </c>
      <c r="Y72" s="137" t="str">
        <f>IF(AND(VLOOKUP(W72,'BD LUB'!$A$2:$L$223,11,FALSE)="PASADO",VLOOKUP(W72,'BD LUB'!$A$2:$L$223,12,FALSE)="PASADO"),1,IF(OR(AND(VLOOKUP(W72,'BD LUB'!$A$2:$L$223,11,FALSE)="PASADO",VLOOKUP(W72,'BD LUB'!$A$2:$L$223,12,FALSE)="PRÓXIMO"),AND(VLOOKUP(W72,'BD LUB'!$A$2:$L$223,11,FALSE)="PRÓXIMO",VLOOKUP(W72,'BD LUB'!$A$2:$L$223,12,FALSE)="PASADO")),2,IF(OR(AND(VLOOKUP(W72,'BD LUB'!$A$2:$L$223,11,FALSE)="PASADO",VLOOKUP(W72,'BD LUB'!$A$2:$L$223,12,FALSE)="VIGENTE"),AND(VLOOKUP(W72,'BD LUB'!$A$2:$L$223,11,FALSE)="VIGENTE",VLOOKUP(W72,'BD LUB'!$A$2:$L$223,12,FALSE)="PASADO")),3,IF(AND(VLOOKUP(W72,'BD LUB'!$A$2:$L$223,11,FALSE)="PRÓXIMO",VLOOKUP(W72,'BD LUB'!$A$2:$L$223,12,FALSE)="PRÓXIMO"),4,IF(OR(AND(VLOOKUP(W72,'BD LUB'!$A$2:$L$223,11,FALSE)="PRÓXIMO",VLOOKUP(W72,'BD LUB'!$A$2:$L$223,12,FALSE)="VIGENTE"),AND(VLOOKUP(W72,'BD LUB'!$A$2:$L$223,11,FALSE)="VIGENTE",VLOOKUP(W72,'BD LUB'!$A$2:$L$223,12,FALSE)="PRÓXIMO")),5,IF(AND(VLOOKUP(W72,'BD LUB'!$A$2:$L$223,11,FALSE)="VIGENTE",VLOOKUP(W72,'BD LUB'!$A$2:$L$223,12,FALSE)="VIGENTE"),6,"No definido"))))))</f>
        <v>#N/A</v>
      </c>
      <c r="Z72" s="138"/>
      <c r="AA72" s="139" t="str">
        <f>(VLOOKUP(Z72,'BD LUB'!$A$2:$L$223,5,FALSE)/VLOOKUP(Z72,'BD LUB'!$A$2:$L$223,7,FALSE))+(VLOOKUP(Z72,'BD LUB'!$A$2:$L$223,6,FALSE)/VLOOKUP(Z72,'BD LUB'!$A$2:$L$223,8,FALSE))</f>
        <v>#N/A</v>
      </c>
      <c r="AB72" s="78" t="str">
        <f>IF(AND(VLOOKUP(Z72,'BD LUB'!$A$2:$L$223,11,FALSE)="PASADO",VLOOKUP(Z72,'BD LUB'!$A$2:$L$223,12,FALSE)="PASADO"),1,IF(OR(AND(VLOOKUP(Z72,'BD LUB'!$A$2:$L$223,11,FALSE)="PASADO",VLOOKUP(Z72,'BD LUB'!$A$2:$L$223,12,FALSE)="PRÓXIMO"),AND(VLOOKUP(Z72,'BD LUB'!$A$2:$L$223,11,FALSE)="PRÓXIMO",VLOOKUP(Z72,'BD LUB'!$A$2:$L$223,12,FALSE)="PASADO")),2,IF(OR(AND(VLOOKUP(Z72,'BD LUB'!$A$2:$L$223,11,FALSE)="PASADO",VLOOKUP(Z72,'BD LUB'!$A$2:$L$223,12,FALSE)="VIGENTE"),AND(VLOOKUP(Z72,'BD LUB'!$A$2:$L$223,11,FALSE)="VIGENTE",VLOOKUP(Z72,'BD LUB'!$A$2:$L$223,12,FALSE)="PASADO")),3,IF(AND(VLOOKUP(Z72,'BD LUB'!$A$2:$L$223,11,FALSE)="PRÓXIMO",VLOOKUP(Z72,'BD LUB'!$A$2:$L$223,12,FALSE)="PRÓXIMO"),4,IF(OR(AND(VLOOKUP(Z72,'BD LUB'!$A$2:$L$223,11,FALSE)="PRÓXIMO",VLOOKUP(Z72,'BD LUB'!$A$2:$L$223,12,FALSE)="VIGENTE"),AND(VLOOKUP(Z72,'BD LUB'!$A$2:$L$223,11,FALSE)="VIGENTE",VLOOKUP(Z72,'BD LUB'!$A$2:$L$223,12,FALSE)="PRÓXIMO")),5,IF(AND(VLOOKUP(Z72,'BD LUB'!$A$2:$L$223,11,FALSE)="VIGENTE",VLOOKUP(Z72,'BD LUB'!$A$2:$L$223,12,FALSE)="VIGENTE"),6,"No definido"))))))</f>
        <v>#N/A</v>
      </c>
      <c r="AC72" s="134"/>
      <c r="AD72" s="136" t="str">
        <f>IF(VLOOKUP(AC72,'BD LUB'!$A$2:$C$223,3,FALSE)=$AH$20,AC72&amp;" MED",IF(VLOOKUP(AC72,'BD LUB'!$A$2:$C$223,3,FALSE)=$AH$19,AC72&amp;" MAY",IF(VLOOKUP(AC72,'BD LUB'!$A$2:$C$223,3,FALSE)=$AH$18,AC72&amp;" RN",IF(VLOOKUP(AC72,'BD LUB'!$A$2:$C$223,3,FALSE)=$AH$17,AC72&amp;" COPQUI",IF(VLOOKUP(AC72,'BD LUB'!$A$2:$C$223,3,FALSE)=$AH$16,AC72&amp;" CEJ",IF(VLOOKUP(AC72,'BD LUB'!$A$2:$C$223,3,FALSE)=$AH$15,AC72&amp;" BULT",IF(VLOOKUP(AC72,'BD LUB'!$A$2:$C$223,3,FALSE)=$AH$14,AC72&amp;" COP",IF(VLOOKUP(AC72,'BD LUB'!$A$2:$C$223,3,FALSE)=$AH$13,AC72&amp;" RIO",IF(VLOOKUP(AC72,'BD LUB'!$A$2:$C$223,3,FALSE)=$AH$21,AC72&amp;" APART","Dato no encontrado")))))))))</f>
        <v>#N/A</v>
      </c>
      <c r="AE72" s="111"/>
      <c r="AF72" s="111"/>
      <c r="AG72" s="111"/>
      <c r="AH72" s="111"/>
      <c r="AI72" s="111"/>
      <c r="AJ72" s="126">
        <v>69.0</v>
      </c>
      <c r="AK72" s="128"/>
      <c r="AL72" s="128"/>
      <c r="AM72" s="128"/>
      <c r="AN72" s="128"/>
      <c r="AP72" s="126">
        <v>69.0</v>
      </c>
      <c r="AQ72" s="128"/>
      <c r="AR72" s="128"/>
      <c r="AS72" s="128"/>
      <c r="AT72" s="128"/>
      <c r="AV72" s="126">
        <v>69.0</v>
      </c>
      <c r="AW72" s="128"/>
      <c r="AX72" s="128"/>
      <c r="AY72" s="128"/>
      <c r="AZ72" s="128"/>
    </row>
    <row r="73">
      <c r="A73" s="158"/>
      <c r="B73" s="126">
        <v>70.0</v>
      </c>
      <c r="C73" s="78">
        <f>IFERROR(__xludf.DUMMYFUNCTION("""COMPUTED_VALUE"""),2436.0)</f>
        <v>2436</v>
      </c>
      <c r="D73" s="156">
        <f>IFERROR(__xludf.DUMMYFUNCTION("""COMPUTED_VALUE"""),46558.0)</f>
        <v>46558</v>
      </c>
      <c r="E73" s="78" t="str">
        <f>IFERROR(__xludf.DUMMYFUNCTION("""COMPUTED_VALUE"""),"02-Medellin")</f>
        <v>02-Medellin</v>
      </c>
      <c r="F73" s="156">
        <f>IFERROR(__xludf.DUMMYFUNCTION("""COMPUTED_VALUE"""),46070.0)</f>
        <v>46070</v>
      </c>
      <c r="G73" s="159">
        <f>IFERROR(__xludf.DUMMYFUNCTION("""COMPUTED_VALUE"""),34.0)</f>
        <v>34</v>
      </c>
      <c r="H73" s="78" t="str">
        <f>IFERROR(__xludf.DUMMYFUNCTION("""COMPUTED_VALUE"""),"VIGENTE")</f>
        <v>VIGENTE</v>
      </c>
      <c r="I73" s="132" t="str">
        <f t="shared" si="1"/>
        <v>-</v>
      </c>
      <c r="J73" s="158"/>
      <c r="K73" s="126">
        <v>70.0</v>
      </c>
      <c r="L73" s="78">
        <f>IFERROR(__xludf.DUMMYFUNCTION("""COMPUTED_VALUE"""),2907.0)</f>
        <v>2907</v>
      </c>
      <c r="M73" s="156">
        <f>IFERROR(__xludf.DUMMYFUNCTION("""COMPUTED_VALUE"""),46275.0)</f>
        <v>46275</v>
      </c>
      <c r="N73" s="78" t="str">
        <f>IFERROR(__xludf.DUMMYFUNCTION("""COMPUTED_VALUE"""),"38-La ceja")</f>
        <v>38-La ceja</v>
      </c>
      <c r="O73" s="156">
        <f>IFERROR(__xludf.DUMMYFUNCTION("""COMPUTED_VALUE"""),46157.0)</f>
        <v>46157</v>
      </c>
      <c r="P73" s="159">
        <f>IFERROR(__xludf.DUMMYFUNCTION("""COMPUTED_VALUE"""),845.0)</f>
        <v>845</v>
      </c>
      <c r="Q73" s="78" t="str">
        <f>IFERROR(__xludf.DUMMYFUNCTION("""COMPUTED_VALUE"""),"VIGENTE")</f>
        <v>VIGENTE</v>
      </c>
      <c r="R73" s="132" t="str">
        <f t="shared" si="2"/>
        <v>-</v>
      </c>
      <c r="T73" s="134" t="str">
        <f>CALENDARIO!D85</f>
        <v/>
      </c>
      <c r="U73" s="135">
        <f>CALENDARIO!C85</f>
        <v>3247</v>
      </c>
      <c r="W73" s="78"/>
      <c r="X73" s="136" t="str">
        <f>(VLOOKUP(W73,'BD LUB'!$A$2:$L$223,5,FALSE)/VLOOKUP(W73,'BD LUB'!$A$2:$L$223,7,FALSE))+(VLOOKUP(W73,'BD LUB'!$A$2:$L$223,6,FALSE)/VLOOKUP(W73,'BD LUB'!$A$2:$L$223,8,FALSE))</f>
        <v>#N/A</v>
      </c>
      <c r="Y73" s="137" t="str">
        <f>IF(AND(VLOOKUP(W73,'BD LUB'!$A$2:$L$223,11,FALSE)="PASADO",VLOOKUP(W73,'BD LUB'!$A$2:$L$223,12,FALSE)="PASADO"),1,IF(OR(AND(VLOOKUP(W73,'BD LUB'!$A$2:$L$223,11,FALSE)="PASADO",VLOOKUP(W73,'BD LUB'!$A$2:$L$223,12,FALSE)="PRÓXIMO"),AND(VLOOKUP(W73,'BD LUB'!$A$2:$L$223,11,FALSE)="PRÓXIMO",VLOOKUP(W73,'BD LUB'!$A$2:$L$223,12,FALSE)="PASADO")),2,IF(OR(AND(VLOOKUP(W73,'BD LUB'!$A$2:$L$223,11,FALSE)="PASADO",VLOOKUP(W73,'BD LUB'!$A$2:$L$223,12,FALSE)="VIGENTE"),AND(VLOOKUP(W73,'BD LUB'!$A$2:$L$223,11,FALSE)="VIGENTE",VLOOKUP(W73,'BD LUB'!$A$2:$L$223,12,FALSE)="PASADO")),3,IF(AND(VLOOKUP(W73,'BD LUB'!$A$2:$L$223,11,FALSE)="PRÓXIMO",VLOOKUP(W73,'BD LUB'!$A$2:$L$223,12,FALSE)="PRÓXIMO"),4,IF(OR(AND(VLOOKUP(W73,'BD LUB'!$A$2:$L$223,11,FALSE)="PRÓXIMO",VLOOKUP(W73,'BD LUB'!$A$2:$L$223,12,FALSE)="VIGENTE"),AND(VLOOKUP(W73,'BD LUB'!$A$2:$L$223,11,FALSE)="VIGENTE",VLOOKUP(W73,'BD LUB'!$A$2:$L$223,12,FALSE)="PRÓXIMO")),5,IF(AND(VLOOKUP(W73,'BD LUB'!$A$2:$L$223,11,FALSE)="VIGENTE",VLOOKUP(W73,'BD LUB'!$A$2:$L$223,12,FALSE)="VIGENTE"),6,"No definido"))))))</f>
        <v>#N/A</v>
      </c>
      <c r="Z73" s="138"/>
      <c r="AA73" s="139" t="str">
        <f>(VLOOKUP(Z73,'BD LUB'!$A$2:$L$223,5,FALSE)/VLOOKUP(Z73,'BD LUB'!$A$2:$L$223,7,FALSE))+(VLOOKUP(Z73,'BD LUB'!$A$2:$L$223,6,FALSE)/VLOOKUP(Z73,'BD LUB'!$A$2:$L$223,8,FALSE))</f>
        <v>#N/A</v>
      </c>
      <c r="AB73" s="78" t="str">
        <f>IF(AND(VLOOKUP(Z73,'BD LUB'!$A$2:$L$223,11,FALSE)="PASADO",VLOOKUP(Z73,'BD LUB'!$A$2:$L$223,12,FALSE)="PASADO"),1,IF(OR(AND(VLOOKUP(Z73,'BD LUB'!$A$2:$L$223,11,FALSE)="PASADO",VLOOKUP(Z73,'BD LUB'!$A$2:$L$223,12,FALSE)="PRÓXIMO"),AND(VLOOKUP(Z73,'BD LUB'!$A$2:$L$223,11,FALSE)="PRÓXIMO",VLOOKUP(Z73,'BD LUB'!$A$2:$L$223,12,FALSE)="PASADO")),2,IF(OR(AND(VLOOKUP(Z73,'BD LUB'!$A$2:$L$223,11,FALSE)="PASADO",VLOOKUP(Z73,'BD LUB'!$A$2:$L$223,12,FALSE)="VIGENTE"),AND(VLOOKUP(Z73,'BD LUB'!$A$2:$L$223,11,FALSE)="VIGENTE",VLOOKUP(Z73,'BD LUB'!$A$2:$L$223,12,FALSE)="PASADO")),3,IF(AND(VLOOKUP(Z73,'BD LUB'!$A$2:$L$223,11,FALSE)="PRÓXIMO",VLOOKUP(Z73,'BD LUB'!$A$2:$L$223,12,FALSE)="PRÓXIMO"),4,IF(OR(AND(VLOOKUP(Z73,'BD LUB'!$A$2:$L$223,11,FALSE)="PRÓXIMO",VLOOKUP(Z73,'BD LUB'!$A$2:$L$223,12,FALSE)="VIGENTE"),AND(VLOOKUP(Z73,'BD LUB'!$A$2:$L$223,11,FALSE)="VIGENTE",VLOOKUP(Z73,'BD LUB'!$A$2:$L$223,12,FALSE)="PRÓXIMO")),5,IF(AND(VLOOKUP(Z73,'BD LUB'!$A$2:$L$223,11,FALSE)="VIGENTE",VLOOKUP(Z73,'BD LUB'!$A$2:$L$223,12,FALSE)="VIGENTE"),6,"No definido"))))))</f>
        <v>#N/A</v>
      </c>
      <c r="AC73" s="134"/>
      <c r="AD73" s="136" t="str">
        <f>IF(VLOOKUP(AC73,'BD LUB'!$A$2:$C$223,3,FALSE)=$AH$20,AC73&amp;" MED",IF(VLOOKUP(AC73,'BD LUB'!$A$2:$C$223,3,FALSE)=$AH$19,AC73&amp;" MAY",IF(VLOOKUP(AC73,'BD LUB'!$A$2:$C$223,3,FALSE)=$AH$18,AC73&amp;" RN",IF(VLOOKUP(AC73,'BD LUB'!$A$2:$C$223,3,FALSE)=$AH$17,AC73&amp;" COPQUI",IF(VLOOKUP(AC73,'BD LUB'!$A$2:$C$223,3,FALSE)=$AH$16,AC73&amp;" CEJ",IF(VLOOKUP(AC73,'BD LUB'!$A$2:$C$223,3,FALSE)=$AH$15,AC73&amp;" BULT",IF(VLOOKUP(AC73,'BD LUB'!$A$2:$C$223,3,FALSE)=$AH$14,AC73&amp;" COP",IF(VLOOKUP(AC73,'BD LUB'!$A$2:$C$223,3,FALSE)=$AH$13,AC73&amp;" RIO",IF(VLOOKUP(AC73,'BD LUB'!$A$2:$C$223,3,FALSE)=$AH$21,AC73&amp;" APART","Dato no encontrado")))))))))</f>
        <v>#N/A</v>
      </c>
      <c r="AE73" s="111"/>
      <c r="AF73" s="111"/>
      <c r="AG73" s="111"/>
      <c r="AH73" s="111"/>
      <c r="AI73" s="111"/>
      <c r="AJ73" s="126">
        <v>70.0</v>
      </c>
      <c r="AK73" s="128"/>
      <c r="AL73" s="128"/>
      <c r="AM73" s="128"/>
      <c r="AN73" s="128"/>
      <c r="AP73" s="126">
        <v>70.0</v>
      </c>
      <c r="AQ73" s="128"/>
      <c r="AR73" s="128"/>
      <c r="AS73" s="128"/>
      <c r="AT73" s="128"/>
      <c r="AV73" s="126">
        <v>70.0</v>
      </c>
      <c r="AW73" s="128"/>
      <c r="AX73" s="128"/>
      <c r="AY73" s="128"/>
      <c r="AZ73" s="128"/>
    </row>
    <row r="74">
      <c r="A74" s="158"/>
      <c r="B74" s="126">
        <v>71.0</v>
      </c>
      <c r="C74" s="78">
        <f>IFERROR(__xludf.DUMMYFUNCTION("""COMPUTED_VALUE"""),2490.0)</f>
        <v>2490</v>
      </c>
      <c r="D74" s="156">
        <f>IFERROR(__xludf.DUMMYFUNCTION("""COMPUTED_VALUE"""),46303.0)</f>
        <v>46303</v>
      </c>
      <c r="E74" s="78" t="str">
        <f>IFERROR(__xludf.DUMMYFUNCTION("""COMPUTED_VALUE"""),"02-Medellin")</f>
        <v>02-Medellin</v>
      </c>
      <c r="F74" s="156">
        <f>IFERROR(__xludf.DUMMYFUNCTION("""COMPUTED_VALUE"""),46071.0)</f>
        <v>46071</v>
      </c>
      <c r="G74" s="159">
        <f>IFERROR(__xludf.DUMMYFUNCTION("""COMPUTED_VALUE"""),35.0)</f>
        <v>35</v>
      </c>
      <c r="H74" s="78" t="str">
        <f>IFERROR(__xludf.DUMMYFUNCTION("""COMPUTED_VALUE"""),"VIGENTE")</f>
        <v>VIGENTE</v>
      </c>
      <c r="I74" s="132" t="str">
        <f t="shared" si="1"/>
        <v>-</v>
      </c>
      <c r="J74" s="158"/>
      <c r="K74" s="126">
        <v>71.0</v>
      </c>
      <c r="L74" s="78">
        <f>IFERROR(__xludf.DUMMYFUNCTION("""COMPUTED_VALUE"""),2861.0)</f>
        <v>2861</v>
      </c>
      <c r="M74" s="156">
        <f>IFERROR(__xludf.DUMMYFUNCTION("""COMPUTED_VALUE"""),46226.0)</f>
        <v>46226</v>
      </c>
      <c r="N74" s="78" t="str">
        <f>IFERROR(__xludf.DUMMYFUNCTION("""COMPUTED_VALUE"""),"02-Medellin")</f>
        <v>02-Medellin</v>
      </c>
      <c r="O74" s="156">
        <f>IFERROR(__xludf.DUMMYFUNCTION("""COMPUTED_VALUE"""),46101.0)</f>
        <v>46101</v>
      </c>
      <c r="P74" s="159">
        <f>IFERROR(__xludf.DUMMYFUNCTION("""COMPUTED_VALUE"""),917.0)</f>
        <v>917</v>
      </c>
      <c r="Q74" s="78" t="str">
        <f>IFERROR(__xludf.DUMMYFUNCTION("""COMPUTED_VALUE"""),"VIGENTE")</f>
        <v>VIGENTE</v>
      </c>
      <c r="R74" s="132" t="str">
        <f t="shared" si="2"/>
        <v>-</v>
      </c>
      <c r="T74" s="134" t="str">
        <f>CALENDARIO!D86</f>
        <v/>
      </c>
      <c r="U74" s="135" t="str">
        <f>CALENDARIO!C86</f>
        <v/>
      </c>
      <c r="W74" s="78"/>
      <c r="X74" s="136" t="str">
        <f>(VLOOKUP(W74,'BD LUB'!$A$2:$L$223,5,FALSE)/VLOOKUP(W74,'BD LUB'!$A$2:$L$223,7,FALSE))+(VLOOKUP(W74,'BD LUB'!$A$2:$L$223,6,FALSE)/VLOOKUP(W74,'BD LUB'!$A$2:$L$223,8,FALSE))</f>
        <v>#N/A</v>
      </c>
      <c r="Y74" s="137" t="str">
        <f>IF(AND(VLOOKUP(W74,'BD LUB'!$A$2:$L$223,11,FALSE)="PASADO",VLOOKUP(W74,'BD LUB'!$A$2:$L$223,12,FALSE)="PASADO"),1,IF(OR(AND(VLOOKUP(W74,'BD LUB'!$A$2:$L$223,11,FALSE)="PASADO",VLOOKUP(W74,'BD LUB'!$A$2:$L$223,12,FALSE)="PRÓXIMO"),AND(VLOOKUP(W74,'BD LUB'!$A$2:$L$223,11,FALSE)="PRÓXIMO",VLOOKUP(W74,'BD LUB'!$A$2:$L$223,12,FALSE)="PASADO")),2,IF(OR(AND(VLOOKUP(W74,'BD LUB'!$A$2:$L$223,11,FALSE)="PASADO",VLOOKUP(W74,'BD LUB'!$A$2:$L$223,12,FALSE)="VIGENTE"),AND(VLOOKUP(W74,'BD LUB'!$A$2:$L$223,11,FALSE)="VIGENTE",VLOOKUP(W74,'BD LUB'!$A$2:$L$223,12,FALSE)="PASADO")),3,IF(AND(VLOOKUP(W74,'BD LUB'!$A$2:$L$223,11,FALSE)="PRÓXIMO",VLOOKUP(W74,'BD LUB'!$A$2:$L$223,12,FALSE)="PRÓXIMO"),4,IF(OR(AND(VLOOKUP(W74,'BD LUB'!$A$2:$L$223,11,FALSE)="PRÓXIMO",VLOOKUP(W74,'BD LUB'!$A$2:$L$223,12,FALSE)="VIGENTE"),AND(VLOOKUP(W74,'BD LUB'!$A$2:$L$223,11,FALSE)="VIGENTE",VLOOKUP(W74,'BD LUB'!$A$2:$L$223,12,FALSE)="PRÓXIMO")),5,IF(AND(VLOOKUP(W74,'BD LUB'!$A$2:$L$223,11,FALSE)="VIGENTE",VLOOKUP(W74,'BD LUB'!$A$2:$L$223,12,FALSE)="VIGENTE"),6,"No definido"))))))</f>
        <v>#N/A</v>
      </c>
      <c r="Z74" s="138"/>
      <c r="AA74" s="139" t="str">
        <f>(VLOOKUP(Z74,'BD LUB'!$A$2:$L$223,5,FALSE)/VLOOKUP(Z74,'BD LUB'!$A$2:$L$223,7,FALSE))+(VLOOKUP(Z74,'BD LUB'!$A$2:$L$223,6,FALSE)/VLOOKUP(Z74,'BD LUB'!$A$2:$L$223,8,FALSE))</f>
        <v>#N/A</v>
      </c>
      <c r="AB74" s="78" t="str">
        <f>IF(AND(VLOOKUP(Z74,'BD LUB'!$A$2:$L$223,11,FALSE)="PASADO",VLOOKUP(Z74,'BD LUB'!$A$2:$L$223,12,FALSE)="PASADO"),1,IF(OR(AND(VLOOKUP(Z74,'BD LUB'!$A$2:$L$223,11,FALSE)="PASADO",VLOOKUP(Z74,'BD LUB'!$A$2:$L$223,12,FALSE)="PRÓXIMO"),AND(VLOOKUP(Z74,'BD LUB'!$A$2:$L$223,11,FALSE)="PRÓXIMO",VLOOKUP(Z74,'BD LUB'!$A$2:$L$223,12,FALSE)="PASADO")),2,IF(OR(AND(VLOOKUP(Z74,'BD LUB'!$A$2:$L$223,11,FALSE)="PASADO",VLOOKUP(Z74,'BD LUB'!$A$2:$L$223,12,FALSE)="VIGENTE"),AND(VLOOKUP(Z74,'BD LUB'!$A$2:$L$223,11,FALSE)="VIGENTE",VLOOKUP(Z74,'BD LUB'!$A$2:$L$223,12,FALSE)="PASADO")),3,IF(AND(VLOOKUP(Z74,'BD LUB'!$A$2:$L$223,11,FALSE)="PRÓXIMO",VLOOKUP(Z74,'BD LUB'!$A$2:$L$223,12,FALSE)="PRÓXIMO"),4,IF(OR(AND(VLOOKUP(Z74,'BD LUB'!$A$2:$L$223,11,FALSE)="PRÓXIMO",VLOOKUP(Z74,'BD LUB'!$A$2:$L$223,12,FALSE)="VIGENTE"),AND(VLOOKUP(Z74,'BD LUB'!$A$2:$L$223,11,FALSE)="VIGENTE",VLOOKUP(Z74,'BD LUB'!$A$2:$L$223,12,FALSE)="PRÓXIMO")),5,IF(AND(VLOOKUP(Z74,'BD LUB'!$A$2:$L$223,11,FALSE)="VIGENTE",VLOOKUP(Z74,'BD LUB'!$A$2:$L$223,12,FALSE)="VIGENTE"),6,"No definido"))))))</f>
        <v>#N/A</v>
      </c>
      <c r="AC74" s="134"/>
      <c r="AD74" s="136" t="str">
        <f>IF(VLOOKUP(AC74,'BD LUB'!$A$2:$C$223,3,FALSE)=$AH$20,AC74&amp;" MED",IF(VLOOKUP(AC74,'BD LUB'!$A$2:$C$223,3,FALSE)=$AH$19,AC74&amp;" MAY",IF(VLOOKUP(AC74,'BD LUB'!$A$2:$C$223,3,FALSE)=$AH$18,AC74&amp;" RN",IF(VLOOKUP(AC74,'BD LUB'!$A$2:$C$223,3,FALSE)=$AH$17,AC74&amp;" COPQUI",IF(VLOOKUP(AC74,'BD LUB'!$A$2:$C$223,3,FALSE)=$AH$16,AC74&amp;" CEJ",IF(VLOOKUP(AC74,'BD LUB'!$A$2:$C$223,3,FALSE)=$AH$15,AC74&amp;" BULT",IF(VLOOKUP(AC74,'BD LUB'!$A$2:$C$223,3,FALSE)=$AH$14,AC74&amp;" COP",IF(VLOOKUP(AC74,'BD LUB'!$A$2:$C$223,3,FALSE)=$AH$13,AC74&amp;" RIO",IF(VLOOKUP(AC74,'BD LUB'!$A$2:$C$223,3,FALSE)=$AH$21,AC74&amp;" APART","Dato no encontrado")))))))))</f>
        <v>#N/A</v>
      </c>
      <c r="AE74" s="111"/>
      <c r="AF74" s="111"/>
      <c r="AG74" s="111"/>
      <c r="AH74" s="111"/>
      <c r="AI74" s="111"/>
      <c r="AJ74" s="126">
        <v>71.0</v>
      </c>
      <c r="AK74" s="128"/>
      <c r="AL74" s="128"/>
      <c r="AM74" s="128"/>
      <c r="AN74" s="128"/>
      <c r="AP74" s="126">
        <v>71.0</v>
      </c>
      <c r="AQ74" s="128"/>
      <c r="AR74" s="128"/>
      <c r="AS74" s="128"/>
      <c r="AT74" s="128"/>
      <c r="AV74" s="126">
        <v>71.0</v>
      </c>
      <c r="AW74" s="128"/>
      <c r="AX74" s="128"/>
      <c r="AY74" s="128"/>
      <c r="AZ74" s="128"/>
    </row>
    <row r="75">
      <c r="A75" s="158"/>
      <c r="B75" s="126">
        <v>72.0</v>
      </c>
      <c r="C75" s="78">
        <f>IFERROR(__xludf.DUMMYFUNCTION("""COMPUTED_VALUE"""),3284.0)</f>
        <v>3284</v>
      </c>
      <c r="D75" s="156">
        <f>IFERROR(__xludf.DUMMYFUNCTION("""COMPUTED_VALUE"""),46668.0)</f>
        <v>46668</v>
      </c>
      <c r="E75" s="78" t="str">
        <f>IFERROR(__xludf.DUMMYFUNCTION("""COMPUTED_VALUE"""),"02-Medellin")</f>
        <v>02-Medellin</v>
      </c>
      <c r="F75" s="156">
        <f>IFERROR(__xludf.DUMMYFUNCTION("""COMPUTED_VALUE"""),46078.0)</f>
        <v>46078</v>
      </c>
      <c r="G75" s="159">
        <f>IFERROR(__xludf.DUMMYFUNCTION("""COMPUTED_VALUE"""),42.0)</f>
        <v>42</v>
      </c>
      <c r="H75" s="78" t="str">
        <f>IFERROR(__xludf.DUMMYFUNCTION("""COMPUTED_VALUE"""),"VIGENTE")</f>
        <v>VIGENTE</v>
      </c>
      <c r="I75" s="132" t="str">
        <f t="shared" si="1"/>
        <v>-</v>
      </c>
      <c r="J75" s="158"/>
      <c r="K75" s="126">
        <v>72.0</v>
      </c>
      <c r="L75" s="78">
        <f>IFERROR(__xludf.DUMMYFUNCTION("""COMPUTED_VALUE"""),3249.0)</f>
        <v>3249</v>
      </c>
      <c r="M75" s="156">
        <f>IFERROR(__xludf.DUMMYFUNCTION("""COMPUTED_VALUE"""),46661.0)</f>
        <v>46661</v>
      </c>
      <c r="N75" s="78" t="str">
        <f>IFERROR(__xludf.DUMMYFUNCTION("""COMPUTED_VALUE"""),"02-Medellin")</f>
        <v>02-Medellin</v>
      </c>
      <c r="O75" s="156">
        <f>IFERROR(__xludf.DUMMYFUNCTION("""COMPUTED_VALUE"""),46090.0)</f>
        <v>46090</v>
      </c>
      <c r="P75" s="159">
        <f>IFERROR(__xludf.DUMMYFUNCTION("""COMPUTED_VALUE"""),950.0)</f>
        <v>950</v>
      </c>
      <c r="Q75" s="78" t="str">
        <f>IFERROR(__xludf.DUMMYFUNCTION("""COMPUTED_VALUE"""),"VIGENTE")</f>
        <v>VIGENTE</v>
      </c>
      <c r="R75" s="132" t="str">
        <f t="shared" si="2"/>
        <v>-</v>
      </c>
      <c r="T75" s="134" t="str">
        <f>CALENDARIO!D87</f>
        <v/>
      </c>
      <c r="U75" s="135" t="str">
        <f>CALENDARIO!C87</f>
        <v/>
      </c>
      <c r="W75" s="78"/>
      <c r="X75" s="136" t="str">
        <f>(VLOOKUP(W75,'BD LUB'!$A$2:$L$223,5,FALSE)/VLOOKUP(W75,'BD LUB'!$A$2:$L$223,7,FALSE))+(VLOOKUP(W75,'BD LUB'!$A$2:$L$223,6,FALSE)/VLOOKUP(W75,'BD LUB'!$A$2:$L$223,8,FALSE))</f>
        <v>#N/A</v>
      </c>
      <c r="Y75" s="137" t="str">
        <f>IF(AND(VLOOKUP(W75,'BD LUB'!$A$2:$L$223,11,FALSE)="PASADO",VLOOKUP(W75,'BD LUB'!$A$2:$L$223,12,FALSE)="PASADO"),1,IF(OR(AND(VLOOKUP(W75,'BD LUB'!$A$2:$L$223,11,FALSE)="PASADO",VLOOKUP(W75,'BD LUB'!$A$2:$L$223,12,FALSE)="PRÓXIMO"),AND(VLOOKUP(W75,'BD LUB'!$A$2:$L$223,11,FALSE)="PRÓXIMO",VLOOKUP(W75,'BD LUB'!$A$2:$L$223,12,FALSE)="PASADO")),2,IF(OR(AND(VLOOKUP(W75,'BD LUB'!$A$2:$L$223,11,FALSE)="PASADO",VLOOKUP(W75,'BD LUB'!$A$2:$L$223,12,FALSE)="VIGENTE"),AND(VLOOKUP(W75,'BD LUB'!$A$2:$L$223,11,FALSE)="VIGENTE",VLOOKUP(W75,'BD LUB'!$A$2:$L$223,12,FALSE)="PASADO")),3,IF(AND(VLOOKUP(W75,'BD LUB'!$A$2:$L$223,11,FALSE)="PRÓXIMO",VLOOKUP(W75,'BD LUB'!$A$2:$L$223,12,FALSE)="PRÓXIMO"),4,IF(OR(AND(VLOOKUP(W75,'BD LUB'!$A$2:$L$223,11,FALSE)="PRÓXIMO",VLOOKUP(W75,'BD LUB'!$A$2:$L$223,12,FALSE)="VIGENTE"),AND(VLOOKUP(W75,'BD LUB'!$A$2:$L$223,11,FALSE)="VIGENTE",VLOOKUP(W75,'BD LUB'!$A$2:$L$223,12,FALSE)="PRÓXIMO")),5,IF(AND(VLOOKUP(W75,'BD LUB'!$A$2:$L$223,11,FALSE)="VIGENTE",VLOOKUP(W75,'BD LUB'!$A$2:$L$223,12,FALSE)="VIGENTE"),6,"No definido"))))))</f>
        <v>#N/A</v>
      </c>
      <c r="Z75" s="138"/>
      <c r="AA75" s="139" t="str">
        <f>(VLOOKUP(Z75,'BD LUB'!$A$2:$L$223,5,FALSE)/VLOOKUP(Z75,'BD LUB'!$A$2:$L$223,7,FALSE))+(VLOOKUP(Z75,'BD LUB'!$A$2:$L$223,6,FALSE)/VLOOKUP(Z75,'BD LUB'!$A$2:$L$223,8,FALSE))</f>
        <v>#N/A</v>
      </c>
      <c r="AB75" s="78" t="str">
        <f>IF(AND(VLOOKUP(Z75,'BD LUB'!$A$2:$L$223,11,FALSE)="PASADO",VLOOKUP(Z75,'BD LUB'!$A$2:$L$223,12,FALSE)="PASADO"),1,IF(OR(AND(VLOOKUP(Z75,'BD LUB'!$A$2:$L$223,11,FALSE)="PASADO",VLOOKUP(Z75,'BD LUB'!$A$2:$L$223,12,FALSE)="PRÓXIMO"),AND(VLOOKUP(Z75,'BD LUB'!$A$2:$L$223,11,FALSE)="PRÓXIMO",VLOOKUP(Z75,'BD LUB'!$A$2:$L$223,12,FALSE)="PASADO")),2,IF(OR(AND(VLOOKUP(Z75,'BD LUB'!$A$2:$L$223,11,FALSE)="PASADO",VLOOKUP(Z75,'BD LUB'!$A$2:$L$223,12,FALSE)="VIGENTE"),AND(VLOOKUP(Z75,'BD LUB'!$A$2:$L$223,11,FALSE)="VIGENTE",VLOOKUP(Z75,'BD LUB'!$A$2:$L$223,12,FALSE)="PASADO")),3,IF(AND(VLOOKUP(Z75,'BD LUB'!$A$2:$L$223,11,FALSE)="PRÓXIMO",VLOOKUP(Z75,'BD LUB'!$A$2:$L$223,12,FALSE)="PRÓXIMO"),4,IF(OR(AND(VLOOKUP(Z75,'BD LUB'!$A$2:$L$223,11,FALSE)="PRÓXIMO",VLOOKUP(Z75,'BD LUB'!$A$2:$L$223,12,FALSE)="VIGENTE"),AND(VLOOKUP(Z75,'BD LUB'!$A$2:$L$223,11,FALSE)="VIGENTE",VLOOKUP(Z75,'BD LUB'!$A$2:$L$223,12,FALSE)="PRÓXIMO")),5,IF(AND(VLOOKUP(Z75,'BD LUB'!$A$2:$L$223,11,FALSE)="VIGENTE",VLOOKUP(Z75,'BD LUB'!$A$2:$L$223,12,FALSE)="VIGENTE"),6,"No definido"))))))</f>
        <v>#N/A</v>
      </c>
      <c r="AC75" s="134"/>
      <c r="AD75" s="136" t="str">
        <f>IF(VLOOKUP(AC75,'BD LUB'!$A$2:$C$223,3,FALSE)=$AH$20,AC75&amp;" MED",IF(VLOOKUP(AC75,'BD LUB'!$A$2:$C$223,3,FALSE)=$AH$19,AC75&amp;" MAY",IF(VLOOKUP(AC75,'BD LUB'!$A$2:$C$223,3,FALSE)=$AH$18,AC75&amp;" RN",IF(VLOOKUP(AC75,'BD LUB'!$A$2:$C$223,3,FALSE)=$AH$17,AC75&amp;" COPQUI",IF(VLOOKUP(AC75,'BD LUB'!$A$2:$C$223,3,FALSE)=$AH$16,AC75&amp;" CEJ",IF(VLOOKUP(AC75,'BD LUB'!$A$2:$C$223,3,FALSE)=$AH$15,AC75&amp;" BULT",IF(VLOOKUP(AC75,'BD LUB'!$A$2:$C$223,3,FALSE)=$AH$14,AC75&amp;" COP",IF(VLOOKUP(AC75,'BD LUB'!$A$2:$C$223,3,FALSE)=$AH$13,AC75&amp;" RIO",IF(VLOOKUP(AC75,'BD LUB'!$A$2:$C$223,3,FALSE)=$AH$21,AC75&amp;" APART","Dato no encontrado")))))))))</f>
        <v>#N/A</v>
      </c>
      <c r="AE75" s="111"/>
      <c r="AF75" s="111"/>
      <c r="AG75" s="111"/>
      <c r="AH75" s="111"/>
      <c r="AI75" s="111"/>
      <c r="AJ75" s="126">
        <v>72.0</v>
      </c>
      <c r="AK75" s="128"/>
      <c r="AL75" s="128"/>
      <c r="AM75" s="128"/>
      <c r="AN75" s="128"/>
      <c r="AP75" s="126">
        <v>72.0</v>
      </c>
      <c r="AQ75" s="128"/>
      <c r="AR75" s="128"/>
      <c r="AS75" s="128"/>
      <c r="AT75" s="128"/>
      <c r="AV75" s="126">
        <v>72.0</v>
      </c>
      <c r="AW75" s="128"/>
      <c r="AX75" s="128"/>
      <c r="AY75" s="128"/>
      <c r="AZ75" s="128"/>
    </row>
    <row r="76">
      <c r="A76" s="158"/>
      <c r="B76" s="126">
        <v>73.0</v>
      </c>
      <c r="C76" s="78">
        <f>IFERROR(__xludf.DUMMYFUNCTION("""COMPUTED_VALUE"""),3281.0)</f>
        <v>3281</v>
      </c>
      <c r="D76" s="156">
        <f>IFERROR(__xludf.DUMMYFUNCTION("""COMPUTED_VALUE"""),46668.0)</f>
        <v>46668</v>
      </c>
      <c r="E76" s="78" t="str">
        <f>IFERROR(__xludf.DUMMYFUNCTION("""COMPUTED_VALUE"""),"02-Medellin")</f>
        <v>02-Medellin</v>
      </c>
      <c r="F76" s="156">
        <f>IFERROR(__xludf.DUMMYFUNCTION("""COMPUTED_VALUE"""),46078.0)</f>
        <v>46078</v>
      </c>
      <c r="G76" s="159">
        <f>IFERROR(__xludf.DUMMYFUNCTION("""COMPUTED_VALUE"""),42.0)</f>
        <v>42</v>
      </c>
      <c r="H76" s="78" t="str">
        <f>IFERROR(__xludf.DUMMYFUNCTION("""COMPUTED_VALUE"""),"VIGENTE")</f>
        <v>VIGENTE</v>
      </c>
      <c r="I76" s="132" t="str">
        <f t="shared" si="1"/>
        <v>-</v>
      </c>
      <c r="J76" s="158"/>
      <c r="K76" s="126">
        <v>73.0</v>
      </c>
      <c r="L76" s="78">
        <f>IFERROR(__xludf.DUMMYFUNCTION("""COMPUTED_VALUE"""),2849.0)</f>
        <v>2849</v>
      </c>
      <c r="M76" s="156">
        <f>IFERROR(__xludf.DUMMYFUNCTION("""COMPUTED_VALUE"""),46570.0)</f>
        <v>46570</v>
      </c>
      <c r="N76" s="78" t="str">
        <f>IFERROR(__xludf.DUMMYFUNCTION("""COMPUTED_VALUE"""),"24-Rionegro")</f>
        <v>24-Rionegro</v>
      </c>
      <c r="O76" s="156">
        <f>IFERROR(__xludf.DUMMYFUNCTION("""COMPUTED_VALUE"""),46107.0)</f>
        <v>46107</v>
      </c>
      <c r="P76" s="159">
        <f>IFERROR(__xludf.DUMMYFUNCTION("""COMPUTED_VALUE"""),1102.0)</f>
        <v>1102</v>
      </c>
      <c r="Q76" s="78" t="str">
        <f>IFERROR(__xludf.DUMMYFUNCTION("""COMPUTED_VALUE"""),"VIGENTE")</f>
        <v>VIGENTE</v>
      </c>
      <c r="R76" s="132" t="str">
        <f t="shared" si="2"/>
        <v>-</v>
      </c>
      <c r="T76" s="134" t="str">
        <f>CALENDARIO!D88</f>
        <v/>
      </c>
      <c r="U76" s="135" t="str">
        <f>CALENDARIO!C88</f>
        <v/>
      </c>
      <c r="W76" s="78"/>
      <c r="X76" s="136" t="str">
        <f>(VLOOKUP(W76,'BD LUB'!$A$2:$L$223,5,FALSE)/VLOOKUP(W76,'BD LUB'!$A$2:$L$223,7,FALSE))+(VLOOKUP(W76,'BD LUB'!$A$2:$L$223,6,FALSE)/VLOOKUP(W76,'BD LUB'!$A$2:$L$223,8,FALSE))</f>
        <v>#N/A</v>
      </c>
      <c r="Y76" s="137" t="str">
        <f>IF(AND(VLOOKUP(W76,'BD LUB'!$A$2:$L$223,11,FALSE)="PASADO",VLOOKUP(W76,'BD LUB'!$A$2:$L$223,12,FALSE)="PASADO"),1,IF(OR(AND(VLOOKUP(W76,'BD LUB'!$A$2:$L$223,11,FALSE)="PASADO",VLOOKUP(W76,'BD LUB'!$A$2:$L$223,12,FALSE)="PRÓXIMO"),AND(VLOOKUP(W76,'BD LUB'!$A$2:$L$223,11,FALSE)="PRÓXIMO",VLOOKUP(W76,'BD LUB'!$A$2:$L$223,12,FALSE)="PASADO")),2,IF(OR(AND(VLOOKUP(W76,'BD LUB'!$A$2:$L$223,11,FALSE)="PASADO",VLOOKUP(W76,'BD LUB'!$A$2:$L$223,12,FALSE)="VIGENTE"),AND(VLOOKUP(W76,'BD LUB'!$A$2:$L$223,11,FALSE)="VIGENTE",VLOOKUP(W76,'BD LUB'!$A$2:$L$223,12,FALSE)="PASADO")),3,IF(AND(VLOOKUP(W76,'BD LUB'!$A$2:$L$223,11,FALSE)="PRÓXIMO",VLOOKUP(W76,'BD LUB'!$A$2:$L$223,12,FALSE)="PRÓXIMO"),4,IF(OR(AND(VLOOKUP(W76,'BD LUB'!$A$2:$L$223,11,FALSE)="PRÓXIMO",VLOOKUP(W76,'BD LUB'!$A$2:$L$223,12,FALSE)="VIGENTE"),AND(VLOOKUP(W76,'BD LUB'!$A$2:$L$223,11,FALSE)="VIGENTE",VLOOKUP(W76,'BD LUB'!$A$2:$L$223,12,FALSE)="PRÓXIMO")),5,IF(AND(VLOOKUP(W76,'BD LUB'!$A$2:$L$223,11,FALSE)="VIGENTE",VLOOKUP(W76,'BD LUB'!$A$2:$L$223,12,FALSE)="VIGENTE"),6,"No definido"))))))</f>
        <v>#N/A</v>
      </c>
      <c r="Z76" s="138"/>
      <c r="AA76" s="139" t="str">
        <f>(VLOOKUP(Z76,'BD LUB'!$A$2:$L$223,5,FALSE)/VLOOKUP(Z76,'BD LUB'!$A$2:$L$223,7,FALSE))+(VLOOKUP(Z76,'BD LUB'!$A$2:$L$223,6,FALSE)/VLOOKUP(Z76,'BD LUB'!$A$2:$L$223,8,FALSE))</f>
        <v>#N/A</v>
      </c>
      <c r="AB76" s="78" t="str">
        <f>IF(AND(VLOOKUP(Z76,'BD LUB'!$A$2:$L$223,11,FALSE)="PASADO",VLOOKUP(Z76,'BD LUB'!$A$2:$L$223,12,FALSE)="PASADO"),1,IF(OR(AND(VLOOKUP(Z76,'BD LUB'!$A$2:$L$223,11,FALSE)="PASADO",VLOOKUP(Z76,'BD LUB'!$A$2:$L$223,12,FALSE)="PRÓXIMO"),AND(VLOOKUP(Z76,'BD LUB'!$A$2:$L$223,11,FALSE)="PRÓXIMO",VLOOKUP(Z76,'BD LUB'!$A$2:$L$223,12,FALSE)="PASADO")),2,IF(OR(AND(VLOOKUP(Z76,'BD LUB'!$A$2:$L$223,11,FALSE)="PASADO",VLOOKUP(Z76,'BD LUB'!$A$2:$L$223,12,FALSE)="VIGENTE"),AND(VLOOKUP(Z76,'BD LUB'!$A$2:$L$223,11,FALSE)="VIGENTE",VLOOKUP(Z76,'BD LUB'!$A$2:$L$223,12,FALSE)="PASADO")),3,IF(AND(VLOOKUP(Z76,'BD LUB'!$A$2:$L$223,11,FALSE)="PRÓXIMO",VLOOKUP(Z76,'BD LUB'!$A$2:$L$223,12,FALSE)="PRÓXIMO"),4,IF(OR(AND(VLOOKUP(Z76,'BD LUB'!$A$2:$L$223,11,FALSE)="PRÓXIMO",VLOOKUP(Z76,'BD LUB'!$A$2:$L$223,12,FALSE)="VIGENTE"),AND(VLOOKUP(Z76,'BD LUB'!$A$2:$L$223,11,FALSE)="VIGENTE",VLOOKUP(Z76,'BD LUB'!$A$2:$L$223,12,FALSE)="PRÓXIMO")),5,IF(AND(VLOOKUP(Z76,'BD LUB'!$A$2:$L$223,11,FALSE)="VIGENTE",VLOOKUP(Z76,'BD LUB'!$A$2:$L$223,12,FALSE)="VIGENTE"),6,"No definido"))))))</f>
        <v>#N/A</v>
      </c>
      <c r="AC76" s="134"/>
      <c r="AD76" s="136" t="str">
        <f>IF(VLOOKUP(AC76,'BD LUB'!$A$2:$C$223,3,FALSE)=$AH$20,AC76&amp;" MED",IF(VLOOKUP(AC76,'BD LUB'!$A$2:$C$223,3,FALSE)=$AH$19,AC76&amp;" MAY",IF(VLOOKUP(AC76,'BD LUB'!$A$2:$C$223,3,FALSE)=$AH$18,AC76&amp;" RN",IF(VLOOKUP(AC76,'BD LUB'!$A$2:$C$223,3,FALSE)=$AH$17,AC76&amp;" COPQUI",IF(VLOOKUP(AC76,'BD LUB'!$A$2:$C$223,3,FALSE)=$AH$16,AC76&amp;" CEJ",IF(VLOOKUP(AC76,'BD LUB'!$A$2:$C$223,3,FALSE)=$AH$15,AC76&amp;" BULT",IF(VLOOKUP(AC76,'BD LUB'!$A$2:$C$223,3,FALSE)=$AH$14,AC76&amp;" COP",IF(VLOOKUP(AC76,'BD LUB'!$A$2:$C$223,3,FALSE)=$AH$13,AC76&amp;" RIO",IF(VLOOKUP(AC76,'BD LUB'!$A$2:$C$223,3,FALSE)=$AH$21,AC76&amp;" APART","Dato no encontrado")))))))))</f>
        <v>#N/A</v>
      </c>
      <c r="AE76" s="111"/>
      <c r="AF76" s="111"/>
      <c r="AG76" s="111"/>
      <c r="AH76" s="111"/>
      <c r="AI76" s="111"/>
      <c r="AJ76" s="126">
        <v>73.0</v>
      </c>
      <c r="AK76" s="128"/>
      <c r="AL76" s="128"/>
      <c r="AM76" s="128"/>
      <c r="AN76" s="128"/>
      <c r="AP76" s="126">
        <v>73.0</v>
      </c>
      <c r="AQ76" s="128"/>
      <c r="AR76" s="128"/>
      <c r="AS76" s="128"/>
      <c r="AT76" s="128"/>
      <c r="AV76" s="126">
        <v>73.0</v>
      </c>
      <c r="AW76" s="128"/>
      <c r="AX76" s="128"/>
      <c r="AY76" s="128"/>
      <c r="AZ76" s="128"/>
    </row>
    <row r="77">
      <c r="A77" s="158"/>
      <c r="B77" s="126">
        <v>74.0</v>
      </c>
      <c r="C77" s="78">
        <f>IFERROR(__xludf.DUMMYFUNCTION("""COMPUTED_VALUE"""),3197.0)</f>
        <v>3197</v>
      </c>
      <c r="D77" s="156">
        <f>IFERROR(__xludf.DUMMYFUNCTION("""COMPUTED_VALUE"""),46653.0)</f>
        <v>46653</v>
      </c>
      <c r="E77" s="78" t="str">
        <f>IFERROR(__xludf.DUMMYFUNCTION("""COMPUTED_VALUE"""),"02-Medellin")</f>
        <v>02-Medellin</v>
      </c>
      <c r="F77" s="156">
        <f>IFERROR(__xludf.DUMMYFUNCTION("""COMPUTED_VALUE"""),46078.0)</f>
        <v>46078</v>
      </c>
      <c r="G77" s="159">
        <f>IFERROR(__xludf.DUMMYFUNCTION("""COMPUTED_VALUE"""),42.0)</f>
        <v>42</v>
      </c>
      <c r="H77" s="78" t="str">
        <f>IFERROR(__xludf.DUMMYFUNCTION("""COMPUTED_VALUE"""),"VIGENTE")</f>
        <v>VIGENTE</v>
      </c>
      <c r="I77" s="132" t="str">
        <f t="shared" si="1"/>
        <v>-</v>
      </c>
      <c r="J77" s="158"/>
      <c r="K77" s="126">
        <v>74.0</v>
      </c>
      <c r="L77" s="78">
        <f>IFERROR(__xludf.DUMMYFUNCTION("""COMPUTED_VALUE"""),2844.0)</f>
        <v>2844</v>
      </c>
      <c r="M77" s="156">
        <f>IFERROR(__xludf.DUMMYFUNCTION("""COMPUTED_VALUE"""),46562.0)</f>
        <v>46562</v>
      </c>
      <c r="N77" s="78" t="str">
        <f>IFERROR(__xludf.DUMMYFUNCTION("""COMPUTED_VALUE"""),"02-Medellin")</f>
        <v>02-Medellin</v>
      </c>
      <c r="O77" s="156">
        <f>IFERROR(__xludf.DUMMYFUNCTION("""COMPUTED_VALUE"""),46084.0)</f>
        <v>46084</v>
      </c>
      <c r="P77" s="159">
        <f>IFERROR(__xludf.DUMMYFUNCTION("""COMPUTED_VALUE"""),1116.0)</f>
        <v>1116</v>
      </c>
      <c r="Q77" s="78" t="str">
        <f>IFERROR(__xludf.DUMMYFUNCTION("""COMPUTED_VALUE"""),"VIGENTE")</f>
        <v>VIGENTE</v>
      </c>
      <c r="R77" s="132" t="str">
        <f t="shared" si="2"/>
        <v>-</v>
      </c>
      <c r="T77" s="134" t="str">
        <f>CALENDARIO!D89</f>
        <v/>
      </c>
      <c r="U77" s="135" t="str">
        <f>CALENDARIO!C89</f>
        <v/>
      </c>
      <c r="W77" s="78"/>
      <c r="X77" s="136" t="str">
        <f>(VLOOKUP(W77,'BD LUB'!$A$2:$L$223,5,FALSE)/VLOOKUP(W77,'BD LUB'!$A$2:$L$223,7,FALSE))+(VLOOKUP(W77,'BD LUB'!$A$2:$L$223,6,FALSE)/VLOOKUP(W77,'BD LUB'!$A$2:$L$223,8,FALSE))</f>
        <v>#N/A</v>
      </c>
      <c r="Y77" s="137" t="str">
        <f>IF(AND(VLOOKUP(W77,'BD LUB'!$A$2:$L$223,11,FALSE)="PASADO",VLOOKUP(W77,'BD LUB'!$A$2:$L$223,12,FALSE)="PASADO"),1,IF(OR(AND(VLOOKUP(W77,'BD LUB'!$A$2:$L$223,11,FALSE)="PASADO",VLOOKUP(W77,'BD LUB'!$A$2:$L$223,12,FALSE)="PRÓXIMO"),AND(VLOOKUP(W77,'BD LUB'!$A$2:$L$223,11,FALSE)="PRÓXIMO",VLOOKUP(W77,'BD LUB'!$A$2:$L$223,12,FALSE)="PASADO")),2,IF(OR(AND(VLOOKUP(W77,'BD LUB'!$A$2:$L$223,11,FALSE)="PASADO",VLOOKUP(W77,'BD LUB'!$A$2:$L$223,12,FALSE)="VIGENTE"),AND(VLOOKUP(W77,'BD LUB'!$A$2:$L$223,11,FALSE)="VIGENTE",VLOOKUP(W77,'BD LUB'!$A$2:$L$223,12,FALSE)="PASADO")),3,IF(AND(VLOOKUP(W77,'BD LUB'!$A$2:$L$223,11,FALSE)="PRÓXIMO",VLOOKUP(W77,'BD LUB'!$A$2:$L$223,12,FALSE)="PRÓXIMO"),4,IF(OR(AND(VLOOKUP(W77,'BD LUB'!$A$2:$L$223,11,FALSE)="PRÓXIMO",VLOOKUP(W77,'BD LUB'!$A$2:$L$223,12,FALSE)="VIGENTE"),AND(VLOOKUP(W77,'BD LUB'!$A$2:$L$223,11,FALSE)="VIGENTE",VLOOKUP(W77,'BD LUB'!$A$2:$L$223,12,FALSE)="PRÓXIMO")),5,IF(AND(VLOOKUP(W77,'BD LUB'!$A$2:$L$223,11,FALSE)="VIGENTE",VLOOKUP(W77,'BD LUB'!$A$2:$L$223,12,FALSE)="VIGENTE"),6,"No definido"))))))</f>
        <v>#N/A</v>
      </c>
      <c r="Z77" s="138"/>
      <c r="AA77" s="139" t="str">
        <f>(VLOOKUP(Z77,'BD LUB'!$A$2:$L$223,5,FALSE)/VLOOKUP(Z77,'BD LUB'!$A$2:$L$223,7,FALSE))+(VLOOKUP(Z77,'BD LUB'!$A$2:$L$223,6,FALSE)/VLOOKUP(Z77,'BD LUB'!$A$2:$L$223,8,FALSE))</f>
        <v>#N/A</v>
      </c>
      <c r="AB77" s="78" t="str">
        <f>IF(AND(VLOOKUP(Z77,'BD LUB'!$A$2:$L$223,11,FALSE)="PASADO",VLOOKUP(Z77,'BD LUB'!$A$2:$L$223,12,FALSE)="PASADO"),1,IF(OR(AND(VLOOKUP(Z77,'BD LUB'!$A$2:$L$223,11,FALSE)="PASADO",VLOOKUP(Z77,'BD LUB'!$A$2:$L$223,12,FALSE)="PRÓXIMO"),AND(VLOOKUP(Z77,'BD LUB'!$A$2:$L$223,11,FALSE)="PRÓXIMO",VLOOKUP(Z77,'BD LUB'!$A$2:$L$223,12,FALSE)="PASADO")),2,IF(OR(AND(VLOOKUP(Z77,'BD LUB'!$A$2:$L$223,11,FALSE)="PASADO",VLOOKUP(Z77,'BD LUB'!$A$2:$L$223,12,FALSE)="VIGENTE"),AND(VLOOKUP(Z77,'BD LUB'!$A$2:$L$223,11,FALSE)="VIGENTE",VLOOKUP(Z77,'BD LUB'!$A$2:$L$223,12,FALSE)="PASADO")),3,IF(AND(VLOOKUP(Z77,'BD LUB'!$A$2:$L$223,11,FALSE)="PRÓXIMO",VLOOKUP(Z77,'BD LUB'!$A$2:$L$223,12,FALSE)="PRÓXIMO"),4,IF(OR(AND(VLOOKUP(Z77,'BD LUB'!$A$2:$L$223,11,FALSE)="PRÓXIMO",VLOOKUP(Z77,'BD LUB'!$A$2:$L$223,12,FALSE)="VIGENTE"),AND(VLOOKUP(Z77,'BD LUB'!$A$2:$L$223,11,FALSE)="VIGENTE",VLOOKUP(Z77,'BD LUB'!$A$2:$L$223,12,FALSE)="PRÓXIMO")),5,IF(AND(VLOOKUP(Z77,'BD LUB'!$A$2:$L$223,11,FALSE)="VIGENTE",VLOOKUP(Z77,'BD LUB'!$A$2:$L$223,12,FALSE)="VIGENTE"),6,"No definido"))))))</f>
        <v>#N/A</v>
      </c>
      <c r="AC77" s="134"/>
      <c r="AD77" s="136" t="str">
        <f>IF(VLOOKUP(AC77,'BD LUB'!$A$2:$C$223,3,FALSE)=$AH$20,AC77&amp;" MED",IF(VLOOKUP(AC77,'BD LUB'!$A$2:$C$223,3,FALSE)=$AH$19,AC77&amp;" MAY",IF(VLOOKUP(AC77,'BD LUB'!$A$2:$C$223,3,FALSE)=$AH$18,AC77&amp;" RN",IF(VLOOKUP(AC77,'BD LUB'!$A$2:$C$223,3,FALSE)=$AH$17,AC77&amp;" COPQUI",IF(VLOOKUP(AC77,'BD LUB'!$A$2:$C$223,3,FALSE)=$AH$16,AC77&amp;" CEJ",IF(VLOOKUP(AC77,'BD LUB'!$A$2:$C$223,3,FALSE)=$AH$15,AC77&amp;" BULT",IF(VLOOKUP(AC77,'BD LUB'!$A$2:$C$223,3,FALSE)=$AH$14,AC77&amp;" COP",IF(VLOOKUP(AC77,'BD LUB'!$A$2:$C$223,3,FALSE)=$AH$13,AC77&amp;" RIO",IF(VLOOKUP(AC77,'BD LUB'!$A$2:$C$223,3,FALSE)=$AH$21,AC77&amp;" APART","Dato no encontrado")))))))))</f>
        <v>#N/A</v>
      </c>
      <c r="AE77" s="111"/>
      <c r="AF77" s="111"/>
      <c r="AG77" s="111"/>
      <c r="AH77" s="111"/>
      <c r="AI77" s="111"/>
      <c r="AJ77" s="126">
        <v>74.0</v>
      </c>
      <c r="AK77" s="128"/>
      <c r="AL77" s="128"/>
      <c r="AM77" s="128"/>
      <c r="AN77" s="128"/>
      <c r="AP77" s="126">
        <v>74.0</v>
      </c>
      <c r="AQ77" s="128"/>
      <c r="AR77" s="128"/>
      <c r="AS77" s="128"/>
      <c r="AT77" s="128"/>
      <c r="AV77" s="126">
        <v>74.0</v>
      </c>
      <c r="AW77" s="128"/>
      <c r="AX77" s="128"/>
      <c r="AY77" s="128"/>
      <c r="AZ77" s="128"/>
    </row>
    <row r="78">
      <c r="A78" s="158"/>
      <c r="B78" s="126">
        <v>75.0</v>
      </c>
      <c r="C78" s="78">
        <f>IFERROR(__xludf.DUMMYFUNCTION("""COMPUTED_VALUE"""),657.0)</f>
        <v>657</v>
      </c>
      <c r="D78" s="156">
        <f>IFERROR(__xludf.DUMMYFUNCTION("""COMPUTED_VALUE"""),46301.0)</f>
        <v>46301</v>
      </c>
      <c r="E78" s="78" t="str">
        <f>IFERROR(__xludf.DUMMYFUNCTION("""COMPUTED_VALUE"""),"02-Medellin")</f>
        <v>02-Medellin</v>
      </c>
      <c r="F78" s="156">
        <f>IFERROR(__xludf.DUMMYFUNCTION("""COMPUTED_VALUE"""),46078.0)</f>
        <v>46078</v>
      </c>
      <c r="G78" s="159">
        <f>IFERROR(__xludf.DUMMYFUNCTION("""COMPUTED_VALUE"""),42.0)</f>
        <v>42</v>
      </c>
      <c r="H78" s="78" t="str">
        <f>IFERROR(__xludf.DUMMYFUNCTION("""COMPUTED_VALUE"""),"VIGENTE")</f>
        <v>VIGENTE</v>
      </c>
      <c r="I78" s="132" t="str">
        <f t="shared" si="1"/>
        <v>-</v>
      </c>
      <c r="J78" s="158"/>
      <c r="K78" s="126">
        <v>75.0</v>
      </c>
      <c r="L78" s="78">
        <f>IFERROR(__xludf.DUMMYFUNCTION("""COMPUTED_VALUE"""),2851.0)</f>
        <v>2851</v>
      </c>
      <c r="M78" s="156">
        <f>IFERROR(__xludf.DUMMYFUNCTION("""COMPUTED_VALUE"""),46569.0)</f>
        <v>46569</v>
      </c>
      <c r="N78" s="78" t="str">
        <f>IFERROR(__xludf.DUMMYFUNCTION("""COMPUTED_VALUE"""),"02-Medellin")</f>
        <v>02-Medellin</v>
      </c>
      <c r="O78" s="156">
        <f>IFERROR(__xludf.DUMMYFUNCTION("""COMPUTED_VALUE"""),46084.0)</f>
        <v>46084</v>
      </c>
      <c r="P78" s="159">
        <f>IFERROR(__xludf.DUMMYFUNCTION("""COMPUTED_VALUE"""),1158.0)</f>
        <v>1158</v>
      </c>
      <c r="Q78" s="78" t="str">
        <f>IFERROR(__xludf.DUMMYFUNCTION("""COMPUTED_VALUE"""),"VIGENTE")</f>
        <v>VIGENTE</v>
      </c>
      <c r="R78" s="132" t="str">
        <f t="shared" si="2"/>
        <v>-</v>
      </c>
      <c r="T78" s="134" t="str">
        <f>CALENDARIO!D90</f>
        <v/>
      </c>
      <c r="U78" s="135" t="str">
        <f>CALENDARIO!C90</f>
        <v/>
      </c>
      <c r="W78" s="78"/>
      <c r="X78" s="136" t="str">
        <f>(VLOOKUP(W78,'BD LUB'!$A$2:$L$223,5,FALSE)/VLOOKUP(W78,'BD LUB'!$A$2:$L$223,7,FALSE))+(VLOOKUP(W78,'BD LUB'!$A$2:$L$223,6,FALSE)/VLOOKUP(W78,'BD LUB'!$A$2:$L$223,8,FALSE))</f>
        <v>#N/A</v>
      </c>
      <c r="Y78" s="137" t="str">
        <f>IF(AND(VLOOKUP(W78,'BD LUB'!$A$2:$L$223,11,FALSE)="PASADO",VLOOKUP(W78,'BD LUB'!$A$2:$L$223,12,FALSE)="PASADO"),1,IF(OR(AND(VLOOKUP(W78,'BD LUB'!$A$2:$L$223,11,FALSE)="PASADO",VLOOKUP(W78,'BD LUB'!$A$2:$L$223,12,FALSE)="PRÓXIMO"),AND(VLOOKUP(W78,'BD LUB'!$A$2:$L$223,11,FALSE)="PRÓXIMO",VLOOKUP(W78,'BD LUB'!$A$2:$L$223,12,FALSE)="PASADO")),2,IF(OR(AND(VLOOKUP(W78,'BD LUB'!$A$2:$L$223,11,FALSE)="PASADO",VLOOKUP(W78,'BD LUB'!$A$2:$L$223,12,FALSE)="VIGENTE"),AND(VLOOKUP(W78,'BD LUB'!$A$2:$L$223,11,FALSE)="VIGENTE",VLOOKUP(W78,'BD LUB'!$A$2:$L$223,12,FALSE)="PASADO")),3,IF(AND(VLOOKUP(W78,'BD LUB'!$A$2:$L$223,11,FALSE)="PRÓXIMO",VLOOKUP(W78,'BD LUB'!$A$2:$L$223,12,FALSE)="PRÓXIMO"),4,IF(OR(AND(VLOOKUP(W78,'BD LUB'!$A$2:$L$223,11,FALSE)="PRÓXIMO",VLOOKUP(W78,'BD LUB'!$A$2:$L$223,12,FALSE)="VIGENTE"),AND(VLOOKUP(W78,'BD LUB'!$A$2:$L$223,11,FALSE)="VIGENTE",VLOOKUP(W78,'BD LUB'!$A$2:$L$223,12,FALSE)="PRÓXIMO")),5,IF(AND(VLOOKUP(W78,'BD LUB'!$A$2:$L$223,11,FALSE)="VIGENTE",VLOOKUP(W78,'BD LUB'!$A$2:$L$223,12,FALSE)="VIGENTE"),6,"No definido"))))))</f>
        <v>#N/A</v>
      </c>
      <c r="Z78" s="138"/>
      <c r="AA78" s="139" t="str">
        <f>(VLOOKUP(Z78,'BD LUB'!$A$2:$L$223,5,FALSE)/VLOOKUP(Z78,'BD LUB'!$A$2:$L$223,7,FALSE))+(VLOOKUP(Z78,'BD LUB'!$A$2:$L$223,6,FALSE)/VLOOKUP(Z78,'BD LUB'!$A$2:$L$223,8,FALSE))</f>
        <v>#N/A</v>
      </c>
      <c r="AB78" s="78" t="str">
        <f>IF(AND(VLOOKUP(Z78,'BD LUB'!$A$2:$L$223,11,FALSE)="PASADO",VLOOKUP(Z78,'BD LUB'!$A$2:$L$223,12,FALSE)="PASADO"),1,IF(OR(AND(VLOOKUP(Z78,'BD LUB'!$A$2:$L$223,11,FALSE)="PASADO",VLOOKUP(Z78,'BD LUB'!$A$2:$L$223,12,FALSE)="PRÓXIMO"),AND(VLOOKUP(Z78,'BD LUB'!$A$2:$L$223,11,FALSE)="PRÓXIMO",VLOOKUP(Z78,'BD LUB'!$A$2:$L$223,12,FALSE)="PASADO")),2,IF(OR(AND(VLOOKUP(Z78,'BD LUB'!$A$2:$L$223,11,FALSE)="PASADO",VLOOKUP(Z78,'BD LUB'!$A$2:$L$223,12,FALSE)="VIGENTE"),AND(VLOOKUP(Z78,'BD LUB'!$A$2:$L$223,11,FALSE)="VIGENTE",VLOOKUP(Z78,'BD LUB'!$A$2:$L$223,12,FALSE)="PASADO")),3,IF(AND(VLOOKUP(Z78,'BD LUB'!$A$2:$L$223,11,FALSE)="PRÓXIMO",VLOOKUP(Z78,'BD LUB'!$A$2:$L$223,12,FALSE)="PRÓXIMO"),4,IF(OR(AND(VLOOKUP(Z78,'BD LUB'!$A$2:$L$223,11,FALSE)="PRÓXIMO",VLOOKUP(Z78,'BD LUB'!$A$2:$L$223,12,FALSE)="VIGENTE"),AND(VLOOKUP(Z78,'BD LUB'!$A$2:$L$223,11,FALSE)="VIGENTE",VLOOKUP(Z78,'BD LUB'!$A$2:$L$223,12,FALSE)="PRÓXIMO")),5,IF(AND(VLOOKUP(Z78,'BD LUB'!$A$2:$L$223,11,FALSE)="VIGENTE",VLOOKUP(Z78,'BD LUB'!$A$2:$L$223,12,FALSE)="VIGENTE"),6,"No definido"))))))</f>
        <v>#N/A</v>
      </c>
      <c r="AC78" s="134"/>
      <c r="AD78" s="136" t="str">
        <f>IF(VLOOKUP(AC78,'BD LUB'!$A$2:$C$223,3,FALSE)=$AH$20,AC78&amp;" MED",IF(VLOOKUP(AC78,'BD LUB'!$A$2:$C$223,3,FALSE)=$AH$19,AC78&amp;" MAY",IF(VLOOKUP(AC78,'BD LUB'!$A$2:$C$223,3,FALSE)=$AH$18,AC78&amp;" RN",IF(VLOOKUP(AC78,'BD LUB'!$A$2:$C$223,3,FALSE)=$AH$17,AC78&amp;" COPQUI",IF(VLOOKUP(AC78,'BD LUB'!$A$2:$C$223,3,FALSE)=$AH$16,AC78&amp;" CEJ",IF(VLOOKUP(AC78,'BD LUB'!$A$2:$C$223,3,FALSE)=$AH$15,AC78&amp;" BULT",IF(VLOOKUP(AC78,'BD LUB'!$A$2:$C$223,3,FALSE)=$AH$14,AC78&amp;" COP",IF(VLOOKUP(AC78,'BD LUB'!$A$2:$C$223,3,FALSE)=$AH$13,AC78&amp;" RIO",IF(VLOOKUP(AC78,'BD LUB'!$A$2:$C$223,3,FALSE)=$AH$21,AC78&amp;" APART","Dato no encontrado")))))))))</f>
        <v>#N/A</v>
      </c>
      <c r="AE78" s="111"/>
      <c r="AF78" s="111"/>
      <c r="AG78" s="111"/>
      <c r="AH78" s="111"/>
      <c r="AI78" s="111"/>
      <c r="AJ78" s="126">
        <v>75.0</v>
      </c>
      <c r="AK78" s="128"/>
      <c r="AL78" s="128"/>
      <c r="AM78" s="128"/>
      <c r="AN78" s="128"/>
      <c r="AP78" s="126">
        <v>75.0</v>
      </c>
      <c r="AQ78" s="128"/>
      <c r="AR78" s="128"/>
      <c r="AS78" s="128"/>
      <c r="AT78" s="128"/>
      <c r="AV78" s="126">
        <v>75.0</v>
      </c>
      <c r="AW78" s="128"/>
      <c r="AX78" s="128"/>
      <c r="AY78" s="128"/>
      <c r="AZ78" s="128"/>
    </row>
    <row r="79">
      <c r="A79" s="158"/>
      <c r="B79" s="126">
        <v>76.0</v>
      </c>
      <c r="C79" s="78">
        <f>IFERROR(__xludf.DUMMYFUNCTION("""COMPUTED_VALUE"""),2400.0)</f>
        <v>2400</v>
      </c>
      <c r="D79" s="156">
        <f>IFERROR(__xludf.DUMMYFUNCTION("""COMPUTED_VALUE"""),46542.0)</f>
        <v>46542</v>
      </c>
      <c r="E79" s="78" t="str">
        <f>IFERROR(__xludf.DUMMYFUNCTION("""COMPUTED_VALUE"""),"MAYORCA")</f>
        <v>MAYORCA</v>
      </c>
      <c r="F79" s="156">
        <f>IFERROR(__xludf.DUMMYFUNCTION("""COMPUTED_VALUE"""),46079.0)</f>
        <v>46079</v>
      </c>
      <c r="G79" s="159">
        <f>IFERROR(__xludf.DUMMYFUNCTION("""COMPUTED_VALUE"""),43.0)</f>
        <v>43</v>
      </c>
      <c r="H79" s="78" t="str">
        <f>IFERROR(__xludf.DUMMYFUNCTION("""COMPUTED_VALUE"""),"VIGENTE")</f>
        <v>VIGENTE</v>
      </c>
      <c r="I79" s="132" t="str">
        <f t="shared" si="1"/>
        <v>-</v>
      </c>
      <c r="J79" s="158"/>
      <c r="K79" s="126">
        <v>76.0</v>
      </c>
      <c r="L79" s="78">
        <f>IFERROR(__xludf.DUMMYFUNCTION("""COMPUTED_VALUE"""),3201.0)</f>
        <v>3201</v>
      </c>
      <c r="M79" s="156">
        <f>IFERROR(__xludf.DUMMYFUNCTION("""COMPUTED_VALUE"""),46654.0)</f>
        <v>46654</v>
      </c>
      <c r="N79" s="78" t="str">
        <f>IFERROR(__xludf.DUMMYFUNCTION("""COMPUTED_VALUE"""),"02-Medellin")</f>
        <v>02-Medellin</v>
      </c>
      <c r="O79" s="156">
        <f>IFERROR(__xludf.DUMMYFUNCTION("""COMPUTED_VALUE"""),46097.0)</f>
        <v>46097</v>
      </c>
      <c r="P79" s="159">
        <f>IFERROR(__xludf.DUMMYFUNCTION("""COMPUTED_VALUE"""),1160.0)</f>
        <v>1160</v>
      </c>
      <c r="Q79" s="78" t="str">
        <f>IFERROR(__xludf.DUMMYFUNCTION("""COMPUTED_VALUE"""),"VIGENTE")</f>
        <v>VIGENTE</v>
      </c>
      <c r="R79" s="132" t="str">
        <f t="shared" si="2"/>
        <v>-</v>
      </c>
      <c r="T79" s="134" t="str">
        <f>CALENDARIO!D91</f>
        <v/>
      </c>
      <c r="U79" s="135" t="str">
        <f>CALENDARIO!C91</f>
        <v/>
      </c>
      <c r="W79" s="78"/>
      <c r="X79" s="136" t="str">
        <f>(VLOOKUP(W79,'BD LUB'!$A$2:$L$223,5,FALSE)/VLOOKUP(W79,'BD LUB'!$A$2:$L$223,7,FALSE))+(VLOOKUP(W79,'BD LUB'!$A$2:$L$223,6,FALSE)/VLOOKUP(W79,'BD LUB'!$A$2:$L$223,8,FALSE))</f>
        <v>#N/A</v>
      </c>
      <c r="Y79" s="137" t="str">
        <f>IF(AND(VLOOKUP(W79,'BD LUB'!$A$2:$L$223,11,FALSE)="PASADO",VLOOKUP(W79,'BD LUB'!$A$2:$L$223,12,FALSE)="PASADO"),1,IF(OR(AND(VLOOKUP(W79,'BD LUB'!$A$2:$L$223,11,FALSE)="PASADO",VLOOKUP(W79,'BD LUB'!$A$2:$L$223,12,FALSE)="PRÓXIMO"),AND(VLOOKUP(W79,'BD LUB'!$A$2:$L$223,11,FALSE)="PRÓXIMO",VLOOKUP(W79,'BD LUB'!$A$2:$L$223,12,FALSE)="PASADO")),2,IF(OR(AND(VLOOKUP(W79,'BD LUB'!$A$2:$L$223,11,FALSE)="PASADO",VLOOKUP(W79,'BD LUB'!$A$2:$L$223,12,FALSE)="VIGENTE"),AND(VLOOKUP(W79,'BD LUB'!$A$2:$L$223,11,FALSE)="VIGENTE",VLOOKUP(W79,'BD LUB'!$A$2:$L$223,12,FALSE)="PASADO")),3,IF(AND(VLOOKUP(W79,'BD LUB'!$A$2:$L$223,11,FALSE)="PRÓXIMO",VLOOKUP(W79,'BD LUB'!$A$2:$L$223,12,FALSE)="PRÓXIMO"),4,IF(OR(AND(VLOOKUP(W79,'BD LUB'!$A$2:$L$223,11,FALSE)="PRÓXIMO",VLOOKUP(W79,'BD LUB'!$A$2:$L$223,12,FALSE)="VIGENTE"),AND(VLOOKUP(W79,'BD LUB'!$A$2:$L$223,11,FALSE)="VIGENTE",VLOOKUP(W79,'BD LUB'!$A$2:$L$223,12,FALSE)="PRÓXIMO")),5,IF(AND(VLOOKUP(W79,'BD LUB'!$A$2:$L$223,11,FALSE)="VIGENTE",VLOOKUP(W79,'BD LUB'!$A$2:$L$223,12,FALSE)="VIGENTE"),6,"No definido"))))))</f>
        <v>#N/A</v>
      </c>
      <c r="Z79" s="138"/>
      <c r="AA79" s="139" t="str">
        <f>(VLOOKUP(Z79,'BD LUB'!$A$2:$L$223,5,FALSE)/VLOOKUP(Z79,'BD LUB'!$A$2:$L$223,7,FALSE))+(VLOOKUP(Z79,'BD LUB'!$A$2:$L$223,6,FALSE)/VLOOKUP(Z79,'BD LUB'!$A$2:$L$223,8,FALSE))</f>
        <v>#N/A</v>
      </c>
      <c r="AB79" s="78" t="str">
        <f>IF(AND(VLOOKUP(Z79,'BD LUB'!$A$2:$L$223,11,FALSE)="PASADO",VLOOKUP(Z79,'BD LUB'!$A$2:$L$223,12,FALSE)="PASADO"),1,IF(OR(AND(VLOOKUP(Z79,'BD LUB'!$A$2:$L$223,11,FALSE)="PASADO",VLOOKUP(Z79,'BD LUB'!$A$2:$L$223,12,FALSE)="PRÓXIMO"),AND(VLOOKUP(Z79,'BD LUB'!$A$2:$L$223,11,FALSE)="PRÓXIMO",VLOOKUP(Z79,'BD LUB'!$A$2:$L$223,12,FALSE)="PASADO")),2,IF(OR(AND(VLOOKUP(Z79,'BD LUB'!$A$2:$L$223,11,FALSE)="PASADO",VLOOKUP(Z79,'BD LUB'!$A$2:$L$223,12,FALSE)="VIGENTE"),AND(VLOOKUP(Z79,'BD LUB'!$A$2:$L$223,11,FALSE)="VIGENTE",VLOOKUP(Z79,'BD LUB'!$A$2:$L$223,12,FALSE)="PASADO")),3,IF(AND(VLOOKUP(Z79,'BD LUB'!$A$2:$L$223,11,FALSE)="PRÓXIMO",VLOOKUP(Z79,'BD LUB'!$A$2:$L$223,12,FALSE)="PRÓXIMO"),4,IF(OR(AND(VLOOKUP(Z79,'BD LUB'!$A$2:$L$223,11,FALSE)="PRÓXIMO",VLOOKUP(Z79,'BD LUB'!$A$2:$L$223,12,FALSE)="VIGENTE"),AND(VLOOKUP(Z79,'BD LUB'!$A$2:$L$223,11,FALSE)="VIGENTE",VLOOKUP(Z79,'BD LUB'!$A$2:$L$223,12,FALSE)="PRÓXIMO")),5,IF(AND(VLOOKUP(Z79,'BD LUB'!$A$2:$L$223,11,FALSE)="VIGENTE",VLOOKUP(Z79,'BD LUB'!$A$2:$L$223,12,FALSE)="VIGENTE"),6,"No definido"))))))</f>
        <v>#N/A</v>
      </c>
      <c r="AC79" s="134"/>
      <c r="AD79" s="136" t="str">
        <f>IF(VLOOKUP(AC79,'BD LUB'!$A$2:$C$223,3,FALSE)=$AH$20,AC79&amp;" MED",IF(VLOOKUP(AC79,'BD LUB'!$A$2:$C$223,3,FALSE)=$AH$19,AC79&amp;" MAY",IF(VLOOKUP(AC79,'BD LUB'!$A$2:$C$223,3,FALSE)=$AH$18,AC79&amp;" RN",IF(VLOOKUP(AC79,'BD LUB'!$A$2:$C$223,3,FALSE)=$AH$17,AC79&amp;" COPQUI",IF(VLOOKUP(AC79,'BD LUB'!$A$2:$C$223,3,FALSE)=$AH$16,AC79&amp;" CEJ",IF(VLOOKUP(AC79,'BD LUB'!$A$2:$C$223,3,FALSE)=$AH$15,AC79&amp;" BULT",IF(VLOOKUP(AC79,'BD LUB'!$A$2:$C$223,3,FALSE)=$AH$14,AC79&amp;" COP",IF(VLOOKUP(AC79,'BD LUB'!$A$2:$C$223,3,FALSE)=$AH$13,AC79&amp;" RIO",IF(VLOOKUP(AC79,'BD LUB'!$A$2:$C$223,3,FALSE)=$AH$21,AC79&amp;" APART","Dato no encontrado")))))))))</f>
        <v>#N/A</v>
      </c>
      <c r="AE79" s="111"/>
      <c r="AF79" s="111"/>
      <c r="AG79" s="111"/>
      <c r="AH79" s="111"/>
      <c r="AI79" s="111"/>
      <c r="AJ79" s="126">
        <v>76.0</v>
      </c>
      <c r="AK79" s="128"/>
      <c r="AL79" s="128"/>
      <c r="AM79" s="128"/>
      <c r="AN79" s="128"/>
      <c r="AP79" s="126">
        <v>76.0</v>
      </c>
      <c r="AQ79" s="128"/>
      <c r="AR79" s="128"/>
      <c r="AS79" s="128"/>
      <c r="AT79" s="128"/>
      <c r="AV79" s="126">
        <v>76.0</v>
      </c>
      <c r="AW79" s="128"/>
      <c r="AX79" s="128"/>
      <c r="AY79" s="128"/>
      <c r="AZ79" s="128"/>
    </row>
    <row r="80">
      <c r="A80" s="158"/>
      <c r="B80" s="126">
        <v>77.0</v>
      </c>
      <c r="C80" s="78">
        <f>IFERROR(__xludf.DUMMYFUNCTION("""COMPUTED_VALUE"""),2906.0)</f>
        <v>2906</v>
      </c>
      <c r="D80" s="156">
        <f>IFERROR(__xludf.DUMMYFUNCTION("""COMPUTED_VALUE"""),46275.0)</f>
        <v>46275</v>
      </c>
      <c r="E80" s="78" t="str">
        <f>IFERROR(__xludf.DUMMYFUNCTION("""COMPUTED_VALUE"""),"02-Medellin")</f>
        <v>02-Medellin</v>
      </c>
      <c r="F80" s="156">
        <f>IFERROR(__xludf.DUMMYFUNCTION("""COMPUTED_VALUE"""),46084.0)</f>
        <v>46084</v>
      </c>
      <c r="G80" s="159">
        <f>IFERROR(__xludf.DUMMYFUNCTION("""COMPUTED_VALUE"""),48.0)</f>
        <v>48</v>
      </c>
      <c r="H80" s="78" t="str">
        <f>IFERROR(__xludf.DUMMYFUNCTION("""COMPUTED_VALUE"""),"VIGENTE")</f>
        <v>VIGENTE</v>
      </c>
      <c r="I80" s="132" t="str">
        <f t="shared" si="1"/>
        <v>-</v>
      </c>
      <c r="J80" s="158"/>
      <c r="K80" s="126">
        <v>77.0</v>
      </c>
      <c r="L80" s="78">
        <f>IFERROR(__xludf.DUMMYFUNCTION("""COMPUTED_VALUE"""),3214.0)</f>
        <v>3214</v>
      </c>
      <c r="M80" s="156">
        <f>IFERROR(__xludf.DUMMYFUNCTION("""COMPUTED_VALUE"""),46654.0)</f>
        <v>46654</v>
      </c>
      <c r="N80" s="78" t="str">
        <f>IFERROR(__xludf.DUMMYFUNCTION("""COMPUTED_VALUE"""),"02-Medellin")</f>
        <v>02-Medellin</v>
      </c>
      <c r="O80" s="156">
        <f>IFERROR(__xludf.DUMMYFUNCTION("""COMPUTED_VALUE"""),46100.0)</f>
        <v>46100</v>
      </c>
      <c r="P80" s="159">
        <f>IFERROR(__xludf.DUMMYFUNCTION("""COMPUTED_VALUE"""),1327.0)</f>
        <v>1327</v>
      </c>
      <c r="Q80" s="78" t="str">
        <f>IFERROR(__xludf.DUMMYFUNCTION("""COMPUTED_VALUE"""),"VIGENTE")</f>
        <v>VIGENTE</v>
      </c>
      <c r="R80" s="132" t="str">
        <f t="shared" si="2"/>
        <v>-</v>
      </c>
      <c r="T80" s="134" t="str">
        <f>CALENDARIO!D92</f>
        <v/>
      </c>
      <c r="U80" s="135" t="str">
        <f>CALENDARIO!C92</f>
        <v/>
      </c>
      <c r="W80" s="78"/>
      <c r="X80" s="136" t="str">
        <f>(VLOOKUP(W80,'BD LUB'!$A$2:$L$223,5,FALSE)/VLOOKUP(W80,'BD LUB'!$A$2:$L$223,7,FALSE))+(VLOOKUP(W80,'BD LUB'!$A$2:$L$223,6,FALSE)/VLOOKUP(W80,'BD LUB'!$A$2:$L$223,8,FALSE))</f>
        <v>#N/A</v>
      </c>
      <c r="Y80" s="137" t="str">
        <f>IF(AND(VLOOKUP(W80,'BD LUB'!$A$2:$L$223,11,FALSE)="PASADO",VLOOKUP(W80,'BD LUB'!$A$2:$L$223,12,FALSE)="PASADO"),1,IF(OR(AND(VLOOKUP(W80,'BD LUB'!$A$2:$L$223,11,FALSE)="PASADO",VLOOKUP(W80,'BD LUB'!$A$2:$L$223,12,FALSE)="PRÓXIMO"),AND(VLOOKUP(W80,'BD LUB'!$A$2:$L$223,11,FALSE)="PRÓXIMO",VLOOKUP(W80,'BD LUB'!$A$2:$L$223,12,FALSE)="PASADO")),2,IF(OR(AND(VLOOKUP(W80,'BD LUB'!$A$2:$L$223,11,FALSE)="PASADO",VLOOKUP(W80,'BD LUB'!$A$2:$L$223,12,FALSE)="VIGENTE"),AND(VLOOKUP(W80,'BD LUB'!$A$2:$L$223,11,FALSE)="VIGENTE",VLOOKUP(W80,'BD LUB'!$A$2:$L$223,12,FALSE)="PASADO")),3,IF(AND(VLOOKUP(W80,'BD LUB'!$A$2:$L$223,11,FALSE)="PRÓXIMO",VLOOKUP(W80,'BD LUB'!$A$2:$L$223,12,FALSE)="PRÓXIMO"),4,IF(OR(AND(VLOOKUP(W80,'BD LUB'!$A$2:$L$223,11,FALSE)="PRÓXIMO",VLOOKUP(W80,'BD LUB'!$A$2:$L$223,12,FALSE)="VIGENTE"),AND(VLOOKUP(W80,'BD LUB'!$A$2:$L$223,11,FALSE)="VIGENTE",VLOOKUP(W80,'BD LUB'!$A$2:$L$223,12,FALSE)="PRÓXIMO")),5,IF(AND(VLOOKUP(W80,'BD LUB'!$A$2:$L$223,11,FALSE)="VIGENTE",VLOOKUP(W80,'BD LUB'!$A$2:$L$223,12,FALSE)="VIGENTE"),6,"No definido"))))))</f>
        <v>#N/A</v>
      </c>
      <c r="Z80" s="138"/>
      <c r="AA80" s="139" t="str">
        <f>(VLOOKUP(Z80,'BD LUB'!$A$2:$L$223,5,FALSE)/VLOOKUP(Z80,'BD LUB'!$A$2:$L$223,7,FALSE))+(VLOOKUP(Z80,'BD LUB'!$A$2:$L$223,6,FALSE)/VLOOKUP(Z80,'BD LUB'!$A$2:$L$223,8,FALSE))</f>
        <v>#N/A</v>
      </c>
      <c r="AB80" s="78" t="str">
        <f>IF(AND(VLOOKUP(Z80,'BD LUB'!$A$2:$L$223,11,FALSE)="PASADO",VLOOKUP(Z80,'BD LUB'!$A$2:$L$223,12,FALSE)="PASADO"),1,IF(OR(AND(VLOOKUP(Z80,'BD LUB'!$A$2:$L$223,11,FALSE)="PASADO",VLOOKUP(Z80,'BD LUB'!$A$2:$L$223,12,FALSE)="PRÓXIMO"),AND(VLOOKUP(Z80,'BD LUB'!$A$2:$L$223,11,FALSE)="PRÓXIMO",VLOOKUP(Z80,'BD LUB'!$A$2:$L$223,12,FALSE)="PASADO")),2,IF(OR(AND(VLOOKUP(Z80,'BD LUB'!$A$2:$L$223,11,FALSE)="PASADO",VLOOKUP(Z80,'BD LUB'!$A$2:$L$223,12,FALSE)="VIGENTE"),AND(VLOOKUP(Z80,'BD LUB'!$A$2:$L$223,11,FALSE)="VIGENTE",VLOOKUP(Z80,'BD LUB'!$A$2:$L$223,12,FALSE)="PASADO")),3,IF(AND(VLOOKUP(Z80,'BD LUB'!$A$2:$L$223,11,FALSE)="PRÓXIMO",VLOOKUP(Z80,'BD LUB'!$A$2:$L$223,12,FALSE)="PRÓXIMO"),4,IF(OR(AND(VLOOKUP(Z80,'BD LUB'!$A$2:$L$223,11,FALSE)="PRÓXIMO",VLOOKUP(Z80,'BD LUB'!$A$2:$L$223,12,FALSE)="VIGENTE"),AND(VLOOKUP(Z80,'BD LUB'!$A$2:$L$223,11,FALSE)="VIGENTE",VLOOKUP(Z80,'BD LUB'!$A$2:$L$223,12,FALSE)="PRÓXIMO")),5,IF(AND(VLOOKUP(Z80,'BD LUB'!$A$2:$L$223,11,FALSE)="VIGENTE",VLOOKUP(Z80,'BD LUB'!$A$2:$L$223,12,FALSE)="VIGENTE"),6,"No definido"))))))</f>
        <v>#N/A</v>
      </c>
      <c r="AC80" s="134"/>
      <c r="AD80" s="136" t="str">
        <f>IF(VLOOKUP(AC80,'BD LUB'!$A$2:$C$223,3,FALSE)=$AH$20,AC80&amp;" MED",IF(VLOOKUP(AC80,'BD LUB'!$A$2:$C$223,3,FALSE)=$AH$19,AC80&amp;" MAY",IF(VLOOKUP(AC80,'BD LUB'!$A$2:$C$223,3,FALSE)=$AH$18,AC80&amp;" RN",IF(VLOOKUP(AC80,'BD LUB'!$A$2:$C$223,3,FALSE)=$AH$17,AC80&amp;" COPQUI",IF(VLOOKUP(AC80,'BD LUB'!$A$2:$C$223,3,FALSE)=$AH$16,AC80&amp;" CEJ",IF(VLOOKUP(AC80,'BD LUB'!$A$2:$C$223,3,FALSE)=$AH$15,AC80&amp;" BULT",IF(VLOOKUP(AC80,'BD LUB'!$A$2:$C$223,3,FALSE)=$AH$14,AC80&amp;" COP",IF(VLOOKUP(AC80,'BD LUB'!$A$2:$C$223,3,FALSE)=$AH$13,AC80&amp;" RIO",IF(VLOOKUP(AC80,'BD LUB'!$A$2:$C$223,3,FALSE)=$AH$21,AC80&amp;" APART","Dato no encontrado")))))))))</f>
        <v>#N/A</v>
      </c>
      <c r="AE80" s="111"/>
      <c r="AF80" s="111"/>
      <c r="AG80" s="111"/>
      <c r="AH80" s="111"/>
      <c r="AI80" s="111"/>
      <c r="AJ80" s="126">
        <v>77.0</v>
      </c>
      <c r="AK80" s="128"/>
      <c r="AL80" s="128"/>
      <c r="AM80" s="128"/>
      <c r="AN80" s="128"/>
      <c r="AP80" s="126">
        <v>77.0</v>
      </c>
      <c r="AQ80" s="128"/>
      <c r="AR80" s="128"/>
      <c r="AS80" s="128"/>
      <c r="AT80" s="128"/>
      <c r="AV80" s="126">
        <v>77.0</v>
      </c>
      <c r="AW80" s="128"/>
      <c r="AX80" s="128"/>
      <c r="AY80" s="128"/>
      <c r="AZ80" s="128"/>
    </row>
    <row r="81">
      <c r="A81" s="158"/>
      <c r="B81" s="126">
        <v>78.0</v>
      </c>
      <c r="C81" s="78">
        <f>IFERROR(__xludf.DUMMYFUNCTION("""COMPUTED_VALUE"""),2894.0)</f>
        <v>2894</v>
      </c>
      <c r="D81" s="156">
        <f>IFERROR(__xludf.DUMMYFUNCTION("""COMPUTED_VALUE"""),46242.0)</f>
        <v>46242</v>
      </c>
      <c r="E81" s="78" t="str">
        <f>IFERROR(__xludf.DUMMYFUNCTION("""COMPUTED_VALUE"""),"02-Medellin")</f>
        <v>02-Medellin</v>
      </c>
      <c r="F81" s="156">
        <f>IFERROR(__xludf.DUMMYFUNCTION("""COMPUTED_VALUE"""),46084.0)</f>
        <v>46084</v>
      </c>
      <c r="G81" s="159">
        <f>IFERROR(__xludf.DUMMYFUNCTION("""COMPUTED_VALUE"""),48.0)</f>
        <v>48</v>
      </c>
      <c r="H81" s="78" t="str">
        <f>IFERROR(__xludf.DUMMYFUNCTION("""COMPUTED_VALUE"""),"VIGENTE")</f>
        <v>VIGENTE</v>
      </c>
      <c r="I81" s="132" t="str">
        <f t="shared" si="1"/>
        <v>-</v>
      </c>
      <c r="J81" s="158"/>
      <c r="K81" s="126">
        <v>78.0</v>
      </c>
      <c r="L81" s="78">
        <f>IFERROR(__xludf.DUMMYFUNCTION("""COMPUTED_VALUE"""),3219.0)</f>
        <v>3219</v>
      </c>
      <c r="M81" s="156">
        <f>IFERROR(__xludf.DUMMYFUNCTION("""COMPUTED_VALUE"""),46654.0)</f>
        <v>46654</v>
      </c>
      <c r="N81" s="78" t="str">
        <f>IFERROR(__xludf.DUMMYFUNCTION("""COMPUTED_VALUE"""),"02-Medellin")</f>
        <v>02-Medellin</v>
      </c>
      <c r="O81" s="156">
        <f>IFERROR(__xludf.DUMMYFUNCTION("""COMPUTED_VALUE"""),46112.0)</f>
        <v>46112</v>
      </c>
      <c r="P81" s="159">
        <f>IFERROR(__xludf.DUMMYFUNCTION("""COMPUTED_VALUE"""),1355.0)</f>
        <v>1355</v>
      </c>
      <c r="Q81" s="78" t="str">
        <f>IFERROR(__xludf.DUMMYFUNCTION("""COMPUTED_VALUE"""),"VIGENTE")</f>
        <v>VIGENTE</v>
      </c>
      <c r="R81" s="132" t="str">
        <f t="shared" si="2"/>
        <v>-</v>
      </c>
      <c r="T81" s="134" t="str">
        <f>CALENDARIO!D93</f>
        <v/>
      </c>
      <c r="U81" s="135" t="str">
        <f>CALENDARIO!C93</f>
        <v/>
      </c>
      <c r="W81" s="78"/>
      <c r="X81" s="136" t="str">
        <f>(VLOOKUP(W81,'BD LUB'!$A$2:$L$223,5,FALSE)/VLOOKUP(W81,'BD LUB'!$A$2:$L$223,7,FALSE))+(VLOOKUP(W81,'BD LUB'!$A$2:$L$223,6,FALSE)/VLOOKUP(W81,'BD LUB'!$A$2:$L$223,8,FALSE))</f>
        <v>#N/A</v>
      </c>
      <c r="Y81" s="137" t="str">
        <f>IF(AND(VLOOKUP(W81,'BD LUB'!$A$2:$L$223,11,FALSE)="PASADO",VLOOKUP(W81,'BD LUB'!$A$2:$L$223,12,FALSE)="PASADO"),1,IF(OR(AND(VLOOKUP(W81,'BD LUB'!$A$2:$L$223,11,FALSE)="PASADO",VLOOKUP(W81,'BD LUB'!$A$2:$L$223,12,FALSE)="PRÓXIMO"),AND(VLOOKUP(W81,'BD LUB'!$A$2:$L$223,11,FALSE)="PRÓXIMO",VLOOKUP(W81,'BD LUB'!$A$2:$L$223,12,FALSE)="PASADO")),2,IF(OR(AND(VLOOKUP(W81,'BD LUB'!$A$2:$L$223,11,FALSE)="PASADO",VLOOKUP(W81,'BD LUB'!$A$2:$L$223,12,FALSE)="VIGENTE"),AND(VLOOKUP(W81,'BD LUB'!$A$2:$L$223,11,FALSE)="VIGENTE",VLOOKUP(W81,'BD LUB'!$A$2:$L$223,12,FALSE)="PASADO")),3,IF(AND(VLOOKUP(W81,'BD LUB'!$A$2:$L$223,11,FALSE)="PRÓXIMO",VLOOKUP(W81,'BD LUB'!$A$2:$L$223,12,FALSE)="PRÓXIMO"),4,IF(OR(AND(VLOOKUP(W81,'BD LUB'!$A$2:$L$223,11,FALSE)="PRÓXIMO",VLOOKUP(W81,'BD LUB'!$A$2:$L$223,12,FALSE)="VIGENTE"),AND(VLOOKUP(W81,'BD LUB'!$A$2:$L$223,11,FALSE)="VIGENTE",VLOOKUP(W81,'BD LUB'!$A$2:$L$223,12,FALSE)="PRÓXIMO")),5,IF(AND(VLOOKUP(W81,'BD LUB'!$A$2:$L$223,11,FALSE)="VIGENTE",VLOOKUP(W81,'BD LUB'!$A$2:$L$223,12,FALSE)="VIGENTE"),6,"No definido"))))))</f>
        <v>#N/A</v>
      </c>
      <c r="Z81" s="138"/>
      <c r="AA81" s="139" t="str">
        <f>(VLOOKUP(Z81,'BD LUB'!$A$2:$L$223,5,FALSE)/VLOOKUP(Z81,'BD LUB'!$A$2:$L$223,7,FALSE))+(VLOOKUP(Z81,'BD LUB'!$A$2:$L$223,6,FALSE)/VLOOKUP(Z81,'BD LUB'!$A$2:$L$223,8,FALSE))</f>
        <v>#N/A</v>
      </c>
      <c r="AB81" s="78" t="str">
        <f>IF(AND(VLOOKUP(Z81,'BD LUB'!$A$2:$L$223,11,FALSE)="PASADO",VLOOKUP(Z81,'BD LUB'!$A$2:$L$223,12,FALSE)="PASADO"),1,IF(OR(AND(VLOOKUP(Z81,'BD LUB'!$A$2:$L$223,11,FALSE)="PASADO",VLOOKUP(Z81,'BD LUB'!$A$2:$L$223,12,FALSE)="PRÓXIMO"),AND(VLOOKUP(Z81,'BD LUB'!$A$2:$L$223,11,FALSE)="PRÓXIMO",VLOOKUP(Z81,'BD LUB'!$A$2:$L$223,12,FALSE)="PASADO")),2,IF(OR(AND(VLOOKUP(Z81,'BD LUB'!$A$2:$L$223,11,FALSE)="PASADO",VLOOKUP(Z81,'BD LUB'!$A$2:$L$223,12,FALSE)="VIGENTE"),AND(VLOOKUP(Z81,'BD LUB'!$A$2:$L$223,11,FALSE)="VIGENTE",VLOOKUP(Z81,'BD LUB'!$A$2:$L$223,12,FALSE)="PASADO")),3,IF(AND(VLOOKUP(Z81,'BD LUB'!$A$2:$L$223,11,FALSE)="PRÓXIMO",VLOOKUP(Z81,'BD LUB'!$A$2:$L$223,12,FALSE)="PRÓXIMO"),4,IF(OR(AND(VLOOKUP(Z81,'BD LUB'!$A$2:$L$223,11,FALSE)="PRÓXIMO",VLOOKUP(Z81,'BD LUB'!$A$2:$L$223,12,FALSE)="VIGENTE"),AND(VLOOKUP(Z81,'BD LUB'!$A$2:$L$223,11,FALSE)="VIGENTE",VLOOKUP(Z81,'BD LUB'!$A$2:$L$223,12,FALSE)="PRÓXIMO")),5,IF(AND(VLOOKUP(Z81,'BD LUB'!$A$2:$L$223,11,FALSE)="VIGENTE",VLOOKUP(Z81,'BD LUB'!$A$2:$L$223,12,FALSE)="VIGENTE"),6,"No definido"))))))</f>
        <v>#N/A</v>
      </c>
      <c r="AC81" s="134"/>
      <c r="AD81" s="136" t="str">
        <f>IF(VLOOKUP(AC81,'BD LUB'!$A$2:$C$223,3,FALSE)=$AH$20,AC81&amp;" MED",IF(VLOOKUP(AC81,'BD LUB'!$A$2:$C$223,3,FALSE)=$AH$19,AC81&amp;" MAY",IF(VLOOKUP(AC81,'BD LUB'!$A$2:$C$223,3,FALSE)=$AH$18,AC81&amp;" RN",IF(VLOOKUP(AC81,'BD LUB'!$A$2:$C$223,3,FALSE)=$AH$17,AC81&amp;" COPQUI",IF(VLOOKUP(AC81,'BD LUB'!$A$2:$C$223,3,FALSE)=$AH$16,AC81&amp;" CEJ",IF(VLOOKUP(AC81,'BD LUB'!$A$2:$C$223,3,FALSE)=$AH$15,AC81&amp;" BULT",IF(VLOOKUP(AC81,'BD LUB'!$A$2:$C$223,3,FALSE)=$AH$14,AC81&amp;" COP",IF(VLOOKUP(AC81,'BD LUB'!$A$2:$C$223,3,FALSE)=$AH$13,AC81&amp;" RIO",IF(VLOOKUP(AC81,'BD LUB'!$A$2:$C$223,3,FALSE)=$AH$21,AC81&amp;" APART","Dato no encontrado")))))))))</f>
        <v>#N/A</v>
      </c>
      <c r="AE81" s="111"/>
      <c r="AF81" s="111"/>
      <c r="AG81" s="111"/>
      <c r="AH81" s="111"/>
      <c r="AI81" s="111"/>
      <c r="AJ81" s="126">
        <v>78.0</v>
      </c>
      <c r="AK81" s="128"/>
      <c r="AL81" s="128"/>
      <c r="AM81" s="128"/>
      <c r="AN81" s="128"/>
      <c r="AP81" s="126">
        <v>78.0</v>
      </c>
      <c r="AQ81" s="128"/>
      <c r="AR81" s="128"/>
      <c r="AS81" s="128"/>
      <c r="AT81" s="128"/>
      <c r="AV81" s="126">
        <v>78.0</v>
      </c>
      <c r="AW81" s="128"/>
      <c r="AX81" s="128"/>
      <c r="AY81" s="128"/>
      <c r="AZ81" s="128"/>
    </row>
    <row r="82">
      <c r="A82" s="158"/>
      <c r="B82" s="126">
        <v>79.0</v>
      </c>
      <c r="C82" s="78">
        <f>IFERROR(__xludf.DUMMYFUNCTION("""COMPUTED_VALUE"""),2890.0)</f>
        <v>2890</v>
      </c>
      <c r="D82" s="156">
        <f>IFERROR(__xludf.DUMMYFUNCTION("""COMPUTED_VALUE"""),46233.0)</f>
        <v>46233</v>
      </c>
      <c r="E82" s="78" t="str">
        <f>IFERROR(__xludf.DUMMYFUNCTION("""COMPUTED_VALUE"""),"02-Medellin")</f>
        <v>02-Medellin</v>
      </c>
      <c r="F82" s="156">
        <f>IFERROR(__xludf.DUMMYFUNCTION("""COMPUTED_VALUE"""),46084.0)</f>
        <v>46084</v>
      </c>
      <c r="G82" s="159">
        <f>IFERROR(__xludf.DUMMYFUNCTION("""COMPUTED_VALUE"""),48.0)</f>
        <v>48</v>
      </c>
      <c r="H82" s="78" t="str">
        <f>IFERROR(__xludf.DUMMYFUNCTION("""COMPUTED_VALUE"""),"VIGENTE")</f>
        <v>VIGENTE</v>
      </c>
      <c r="I82" s="132" t="str">
        <f t="shared" si="1"/>
        <v>-</v>
      </c>
      <c r="J82" s="158"/>
      <c r="K82" s="126">
        <v>79.0</v>
      </c>
      <c r="L82" s="78">
        <f>IFERROR(__xludf.DUMMYFUNCTION("""COMPUTED_VALUE"""),2885.0)</f>
        <v>2885</v>
      </c>
      <c r="M82" s="156">
        <f>IFERROR(__xludf.DUMMYFUNCTION("""COMPUTED_VALUE"""),46233.0)</f>
        <v>46233</v>
      </c>
      <c r="N82" s="78" t="str">
        <f>IFERROR(__xludf.DUMMYFUNCTION("""COMPUTED_VALUE"""),"MAYORCA")</f>
        <v>MAYORCA</v>
      </c>
      <c r="O82" s="156">
        <f>IFERROR(__xludf.DUMMYFUNCTION("""COMPUTED_VALUE"""),46149.0)</f>
        <v>46149</v>
      </c>
      <c r="P82" s="159">
        <f>IFERROR(__xludf.DUMMYFUNCTION("""COMPUTED_VALUE"""),1409.0)</f>
        <v>1409</v>
      </c>
      <c r="Q82" s="78" t="str">
        <f>IFERROR(__xludf.DUMMYFUNCTION("""COMPUTED_VALUE"""),"VIGENTE")</f>
        <v>VIGENTE</v>
      </c>
      <c r="R82" s="132" t="str">
        <f t="shared" si="2"/>
        <v>-</v>
      </c>
      <c r="T82" s="134" t="str">
        <f>CALENDARIO!D94</f>
        <v/>
      </c>
      <c r="U82" s="135" t="str">
        <f>CALENDARIO!C94</f>
        <v/>
      </c>
      <c r="W82" s="78"/>
      <c r="X82" s="136" t="str">
        <f>(VLOOKUP(W82,'BD LUB'!$A$2:$L$223,5,FALSE)/VLOOKUP(W82,'BD LUB'!$A$2:$L$223,7,FALSE))+(VLOOKUP(W82,'BD LUB'!$A$2:$L$223,6,FALSE)/VLOOKUP(W82,'BD LUB'!$A$2:$L$223,8,FALSE))</f>
        <v>#N/A</v>
      </c>
      <c r="Y82" s="137" t="str">
        <f>IF(AND(VLOOKUP(W82,'BD LUB'!$A$2:$L$223,11,FALSE)="PASADO",VLOOKUP(W82,'BD LUB'!$A$2:$L$223,12,FALSE)="PASADO"),1,IF(OR(AND(VLOOKUP(W82,'BD LUB'!$A$2:$L$223,11,FALSE)="PASADO",VLOOKUP(W82,'BD LUB'!$A$2:$L$223,12,FALSE)="PRÓXIMO"),AND(VLOOKUP(W82,'BD LUB'!$A$2:$L$223,11,FALSE)="PRÓXIMO",VLOOKUP(W82,'BD LUB'!$A$2:$L$223,12,FALSE)="PASADO")),2,IF(OR(AND(VLOOKUP(W82,'BD LUB'!$A$2:$L$223,11,FALSE)="PASADO",VLOOKUP(W82,'BD LUB'!$A$2:$L$223,12,FALSE)="VIGENTE"),AND(VLOOKUP(W82,'BD LUB'!$A$2:$L$223,11,FALSE)="VIGENTE",VLOOKUP(W82,'BD LUB'!$A$2:$L$223,12,FALSE)="PASADO")),3,IF(AND(VLOOKUP(W82,'BD LUB'!$A$2:$L$223,11,FALSE)="PRÓXIMO",VLOOKUP(W82,'BD LUB'!$A$2:$L$223,12,FALSE)="PRÓXIMO"),4,IF(OR(AND(VLOOKUP(W82,'BD LUB'!$A$2:$L$223,11,FALSE)="PRÓXIMO",VLOOKUP(W82,'BD LUB'!$A$2:$L$223,12,FALSE)="VIGENTE"),AND(VLOOKUP(W82,'BD LUB'!$A$2:$L$223,11,FALSE)="VIGENTE",VLOOKUP(W82,'BD LUB'!$A$2:$L$223,12,FALSE)="PRÓXIMO")),5,IF(AND(VLOOKUP(W82,'BD LUB'!$A$2:$L$223,11,FALSE)="VIGENTE",VLOOKUP(W82,'BD LUB'!$A$2:$L$223,12,FALSE)="VIGENTE"),6,"No definido"))))))</f>
        <v>#N/A</v>
      </c>
      <c r="Z82" s="138"/>
      <c r="AA82" s="139" t="str">
        <f>(VLOOKUP(Z82,'BD LUB'!$A$2:$L$223,5,FALSE)/VLOOKUP(Z82,'BD LUB'!$A$2:$L$223,7,FALSE))+(VLOOKUP(Z82,'BD LUB'!$A$2:$L$223,6,FALSE)/VLOOKUP(Z82,'BD LUB'!$A$2:$L$223,8,FALSE))</f>
        <v>#N/A</v>
      </c>
      <c r="AB82" s="78" t="str">
        <f>IF(AND(VLOOKUP(Z82,'BD LUB'!$A$2:$L$223,11,FALSE)="PASADO",VLOOKUP(Z82,'BD LUB'!$A$2:$L$223,12,FALSE)="PASADO"),1,IF(OR(AND(VLOOKUP(Z82,'BD LUB'!$A$2:$L$223,11,FALSE)="PASADO",VLOOKUP(Z82,'BD LUB'!$A$2:$L$223,12,FALSE)="PRÓXIMO"),AND(VLOOKUP(Z82,'BD LUB'!$A$2:$L$223,11,FALSE)="PRÓXIMO",VLOOKUP(Z82,'BD LUB'!$A$2:$L$223,12,FALSE)="PASADO")),2,IF(OR(AND(VLOOKUP(Z82,'BD LUB'!$A$2:$L$223,11,FALSE)="PASADO",VLOOKUP(Z82,'BD LUB'!$A$2:$L$223,12,FALSE)="VIGENTE"),AND(VLOOKUP(Z82,'BD LUB'!$A$2:$L$223,11,FALSE)="VIGENTE",VLOOKUP(Z82,'BD LUB'!$A$2:$L$223,12,FALSE)="PASADO")),3,IF(AND(VLOOKUP(Z82,'BD LUB'!$A$2:$L$223,11,FALSE)="PRÓXIMO",VLOOKUP(Z82,'BD LUB'!$A$2:$L$223,12,FALSE)="PRÓXIMO"),4,IF(OR(AND(VLOOKUP(Z82,'BD LUB'!$A$2:$L$223,11,FALSE)="PRÓXIMO",VLOOKUP(Z82,'BD LUB'!$A$2:$L$223,12,FALSE)="VIGENTE"),AND(VLOOKUP(Z82,'BD LUB'!$A$2:$L$223,11,FALSE)="VIGENTE",VLOOKUP(Z82,'BD LUB'!$A$2:$L$223,12,FALSE)="PRÓXIMO")),5,IF(AND(VLOOKUP(Z82,'BD LUB'!$A$2:$L$223,11,FALSE)="VIGENTE",VLOOKUP(Z82,'BD LUB'!$A$2:$L$223,12,FALSE)="VIGENTE"),6,"No definido"))))))</f>
        <v>#N/A</v>
      </c>
      <c r="AC82" s="134"/>
      <c r="AD82" s="136" t="str">
        <f>IF(VLOOKUP(AC82,'BD LUB'!$A$2:$C$223,3,FALSE)=$AH$20,AC82&amp;" MED",IF(VLOOKUP(AC82,'BD LUB'!$A$2:$C$223,3,FALSE)=$AH$19,AC82&amp;" MAY",IF(VLOOKUP(AC82,'BD LUB'!$A$2:$C$223,3,FALSE)=$AH$18,AC82&amp;" RN",IF(VLOOKUP(AC82,'BD LUB'!$A$2:$C$223,3,FALSE)=$AH$17,AC82&amp;" COPQUI",IF(VLOOKUP(AC82,'BD LUB'!$A$2:$C$223,3,FALSE)=$AH$16,AC82&amp;" CEJ",IF(VLOOKUP(AC82,'BD LUB'!$A$2:$C$223,3,FALSE)=$AH$15,AC82&amp;" BULT",IF(VLOOKUP(AC82,'BD LUB'!$A$2:$C$223,3,FALSE)=$AH$14,AC82&amp;" COP",IF(VLOOKUP(AC82,'BD LUB'!$A$2:$C$223,3,FALSE)=$AH$13,AC82&amp;" RIO",IF(VLOOKUP(AC82,'BD LUB'!$A$2:$C$223,3,FALSE)=$AH$21,AC82&amp;" APART","Dato no encontrado")))))))))</f>
        <v>#N/A</v>
      </c>
      <c r="AE82" s="111"/>
      <c r="AF82" s="111"/>
      <c r="AG82" s="111"/>
      <c r="AH82" s="111"/>
      <c r="AI82" s="111"/>
      <c r="AJ82" s="126">
        <v>79.0</v>
      </c>
      <c r="AK82" s="128"/>
      <c r="AL82" s="128"/>
      <c r="AM82" s="128"/>
      <c r="AN82" s="128"/>
      <c r="AP82" s="126">
        <v>79.0</v>
      </c>
      <c r="AQ82" s="128"/>
      <c r="AR82" s="128"/>
      <c r="AS82" s="128"/>
      <c r="AT82" s="128"/>
      <c r="AV82" s="126">
        <v>79.0</v>
      </c>
      <c r="AW82" s="128"/>
      <c r="AX82" s="128"/>
      <c r="AY82" s="128"/>
      <c r="AZ82" s="128"/>
    </row>
    <row r="83">
      <c r="A83" s="158"/>
      <c r="B83" s="126">
        <v>80.0</v>
      </c>
      <c r="C83" s="78">
        <f>IFERROR(__xludf.DUMMYFUNCTION("""COMPUTED_VALUE"""),2851.0)</f>
        <v>2851</v>
      </c>
      <c r="D83" s="156">
        <f>IFERROR(__xludf.DUMMYFUNCTION("""COMPUTED_VALUE"""),46569.0)</f>
        <v>46569</v>
      </c>
      <c r="E83" s="78" t="str">
        <f>IFERROR(__xludf.DUMMYFUNCTION("""COMPUTED_VALUE"""),"02-Medellin")</f>
        <v>02-Medellin</v>
      </c>
      <c r="F83" s="156">
        <f>IFERROR(__xludf.DUMMYFUNCTION("""COMPUTED_VALUE"""),46084.0)</f>
        <v>46084</v>
      </c>
      <c r="G83" s="159">
        <f>IFERROR(__xludf.DUMMYFUNCTION("""COMPUTED_VALUE"""),48.0)</f>
        <v>48</v>
      </c>
      <c r="H83" s="78" t="str">
        <f>IFERROR(__xludf.DUMMYFUNCTION("""COMPUTED_VALUE"""),"VIGENTE")</f>
        <v>VIGENTE</v>
      </c>
      <c r="I83" s="132" t="str">
        <f t="shared" si="1"/>
        <v>-</v>
      </c>
      <c r="J83" s="158"/>
      <c r="K83" s="126">
        <v>80.0</v>
      </c>
      <c r="L83" s="78">
        <f>IFERROR(__xludf.DUMMYFUNCTION("""COMPUTED_VALUE"""),2637.0)</f>
        <v>2637</v>
      </c>
      <c r="M83" s="156">
        <f>IFERROR(__xludf.DUMMYFUNCTION("""COMPUTED_VALUE"""),46249.0)</f>
        <v>46249</v>
      </c>
      <c r="N83" s="78" t="str">
        <f>IFERROR(__xludf.DUMMYFUNCTION("""COMPUTED_VALUE"""),"02-Medellin")</f>
        <v>02-Medellin</v>
      </c>
      <c r="O83" s="156">
        <f>IFERROR(__xludf.DUMMYFUNCTION("""COMPUTED_VALUE"""),46092.0)</f>
        <v>46092</v>
      </c>
      <c r="P83" s="159">
        <f>IFERROR(__xludf.DUMMYFUNCTION("""COMPUTED_VALUE"""),1446.1999999999998)</f>
        <v>1446.2</v>
      </c>
      <c r="Q83" s="78" t="str">
        <f>IFERROR(__xludf.DUMMYFUNCTION("""COMPUTED_VALUE"""),"VIGENTE")</f>
        <v>VIGENTE</v>
      </c>
      <c r="R83" s="132" t="str">
        <f t="shared" si="2"/>
        <v>-</v>
      </c>
      <c r="T83" s="134" t="str">
        <f>CALENDARIO!D95</f>
        <v/>
      </c>
      <c r="U83" s="135" t="str">
        <f>CALENDARIO!C95</f>
        <v/>
      </c>
      <c r="W83" s="78"/>
      <c r="X83" s="136" t="str">
        <f>(VLOOKUP(W83,'BD LUB'!$A$2:$L$223,5,FALSE)/VLOOKUP(W83,'BD LUB'!$A$2:$L$223,7,FALSE))+(VLOOKUP(W83,'BD LUB'!$A$2:$L$223,6,FALSE)/VLOOKUP(W83,'BD LUB'!$A$2:$L$223,8,FALSE))</f>
        <v>#N/A</v>
      </c>
      <c r="Y83" s="137" t="str">
        <f>IF(AND(VLOOKUP(W83,'BD LUB'!$A$2:$L$223,11,FALSE)="PASADO",VLOOKUP(W83,'BD LUB'!$A$2:$L$223,12,FALSE)="PASADO"),1,IF(OR(AND(VLOOKUP(W83,'BD LUB'!$A$2:$L$223,11,FALSE)="PASADO",VLOOKUP(W83,'BD LUB'!$A$2:$L$223,12,FALSE)="PRÓXIMO"),AND(VLOOKUP(W83,'BD LUB'!$A$2:$L$223,11,FALSE)="PRÓXIMO",VLOOKUP(W83,'BD LUB'!$A$2:$L$223,12,FALSE)="PASADO")),2,IF(OR(AND(VLOOKUP(W83,'BD LUB'!$A$2:$L$223,11,FALSE)="PASADO",VLOOKUP(W83,'BD LUB'!$A$2:$L$223,12,FALSE)="VIGENTE"),AND(VLOOKUP(W83,'BD LUB'!$A$2:$L$223,11,FALSE)="VIGENTE",VLOOKUP(W83,'BD LUB'!$A$2:$L$223,12,FALSE)="PASADO")),3,IF(AND(VLOOKUP(W83,'BD LUB'!$A$2:$L$223,11,FALSE)="PRÓXIMO",VLOOKUP(W83,'BD LUB'!$A$2:$L$223,12,FALSE)="PRÓXIMO"),4,IF(OR(AND(VLOOKUP(W83,'BD LUB'!$A$2:$L$223,11,FALSE)="PRÓXIMO",VLOOKUP(W83,'BD LUB'!$A$2:$L$223,12,FALSE)="VIGENTE"),AND(VLOOKUP(W83,'BD LUB'!$A$2:$L$223,11,FALSE)="VIGENTE",VLOOKUP(W83,'BD LUB'!$A$2:$L$223,12,FALSE)="PRÓXIMO")),5,IF(AND(VLOOKUP(W83,'BD LUB'!$A$2:$L$223,11,FALSE)="VIGENTE",VLOOKUP(W83,'BD LUB'!$A$2:$L$223,12,FALSE)="VIGENTE"),6,"No definido"))))))</f>
        <v>#N/A</v>
      </c>
      <c r="Z83" s="138"/>
      <c r="AA83" s="139" t="str">
        <f>(VLOOKUP(Z83,'BD LUB'!$A$2:$L$223,5,FALSE)/VLOOKUP(Z83,'BD LUB'!$A$2:$L$223,7,FALSE))+(VLOOKUP(Z83,'BD LUB'!$A$2:$L$223,6,FALSE)/VLOOKUP(Z83,'BD LUB'!$A$2:$L$223,8,FALSE))</f>
        <v>#N/A</v>
      </c>
      <c r="AB83" s="78" t="str">
        <f>IF(AND(VLOOKUP(Z83,'BD LUB'!$A$2:$L$223,11,FALSE)="PASADO",VLOOKUP(Z83,'BD LUB'!$A$2:$L$223,12,FALSE)="PASADO"),1,IF(OR(AND(VLOOKUP(Z83,'BD LUB'!$A$2:$L$223,11,FALSE)="PASADO",VLOOKUP(Z83,'BD LUB'!$A$2:$L$223,12,FALSE)="PRÓXIMO"),AND(VLOOKUP(Z83,'BD LUB'!$A$2:$L$223,11,FALSE)="PRÓXIMO",VLOOKUP(Z83,'BD LUB'!$A$2:$L$223,12,FALSE)="PASADO")),2,IF(OR(AND(VLOOKUP(Z83,'BD LUB'!$A$2:$L$223,11,FALSE)="PASADO",VLOOKUP(Z83,'BD LUB'!$A$2:$L$223,12,FALSE)="VIGENTE"),AND(VLOOKUP(Z83,'BD LUB'!$A$2:$L$223,11,FALSE)="VIGENTE",VLOOKUP(Z83,'BD LUB'!$A$2:$L$223,12,FALSE)="PASADO")),3,IF(AND(VLOOKUP(Z83,'BD LUB'!$A$2:$L$223,11,FALSE)="PRÓXIMO",VLOOKUP(Z83,'BD LUB'!$A$2:$L$223,12,FALSE)="PRÓXIMO"),4,IF(OR(AND(VLOOKUP(Z83,'BD LUB'!$A$2:$L$223,11,FALSE)="PRÓXIMO",VLOOKUP(Z83,'BD LUB'!$A$2:$L$223,12,FALSE)="VIGENTE"),AND(VLOOKUP(Z83,'BD LUB'!$A$2:$L$223,11,FALSE)="VIGENTE",VLOOKUP(Z83,'BD LUB'!$A$2:$L$223,12,FALSE)="PRÓXIMO")),5,IF(AND(VLOOKUP(Z83,'BD LUB'!$A$2:$L$223,11,FALSE)="VIGENTE",VLOOKUP(Z83,'BD LUB'!$A$2:$L$223,12,FALSE)="VIGENTE"),6,"No definido"))))))</f>
        <v>#N/A</v>
      </c>
      <c r="AC83" s="134"/>
      <c r="AD83" s="136" t="str">
        <f>IF(VLOOKUP(AC83,'BD LUB'!$A$2:$C$223,3,FALSE)=$AH$20,AC83&amp;" MED",IF(VLOOKUP(AC83,'BD LUB'!$A$2:$C$223,3,FALSE)=$AH$19,AC83&amp;" MAY",IF(VLOOKUP(AC83,'BD LUB'!$A$2:$C$223,3,FALSE)=$AH$18,AC83&amp;" RN",IF(VLOOKUP(AC83,'BD LUB'!$A$2:$C$223,3,FALSE)=$AH$17,AC83&amp;" COPQUI",IF(VLOOKUP(AC83,'BD LUB'!$A$2:$C$223,3,FALSE)=$AH$16,AC83&amp;" CEJ",IF(VLOOKUP(AC83,'BD LUB'!$A$2:$C$223,3,FALSE)=$AH$15,AC83&amp;" BULT",IF(VLOOKUP(AC83,'BD LUB'!$A$2:$C$223,3,FALSE)=$AH$14,AC83&amp;" COP",IF(VLOOKUP(AC83,'BD LUB'!$A$2:$C$223,3,FALSE)=$AH$13,AC83&amp;" RIO",IF(VLOOKUP(AC83,'BD LUB'!$A$2:$C$223,3,FALSE)=$AH$21,AC83&amp;" APART","Dato no encontrado")))))))))</f>
        <v>#N/A</v>
      </c>
      <c r="AE83" s="111"/>
      <c r="AF83" s="111"/>
      <c r="AG83" s="111"/>
      <c r="AH83" s="111"/>
      <c r="AI83" s="111"/>
      <c r="AJ83" s="126">
        <v>80.0</v>
      </c>
      <c r="AK83" s="128"/>
      <c r="AL83" s="128"/>
      <c r="AM83" s="128"/>
      <c r="AN83" s="128"/>
      <c r="AP83" s="126">
        <v>80.0</v>
      </c>
      <c r="AQ83" s="128"/>
      <c r="AR83" s="128"/>
      <c r="AS83" s="128"/>
      <c r="AT83" s="128"/>
      <c r="AV83" s="126">
        <v>80.0</v>
      </c>
      <c r="AW83" s="128"/>
      <c r="AX83" s="128"/>
      <c r="AY83" s="128"/>
      <c r="AZ83" s="128"/>
    </row>
    <row r="84">
      <c r="A84" s="158"/>
      <c r="B84" s="126">
        <v>81.0</v>
      </c>
      <c r="C84" s="78">
        <f>IFERROR(__xludf.DUMMYFUNCTION("""COMPUTED_VALUE"""),2844.0)</f>
        <v>2844</v>
      </c>
      <c r="D84" s="156">
        <f>IFERROR(__xludf.DUMMYFUNCTION("""COMPUTED_VALUE"""),46562.0)</f>
        <v>46562</v>
      </c>
      <c r="E84" s="78" t="str">
        <f>IFERROR(__xludf.DUMMYFUNCTION("""COMPUTED_VALUE"""),"02-Medellin")</f>
        <v>02-Medellin</v>
      </c>
      <c r="F84" s="156">
        <f>IFERROR(__xludf.DUMMYFUNCTION("""COMPUTED_VALUE"""),46084.0)</f>
        <v>46084</v>
      </c>
      <c r="G84" s="159">
        <f>IFERROR(__xludf.DUMMYFUNCTION("""COMPUTED_VALUE"""),48.0)</f>
        <v>48</v>
      </c>
      <c r="H84" s="78" t="str">
        <f>IFERROR(__xludf.DUMMYFUNCTION("""COMPUTED_VALUE"""),"VIGENTE")</f>
        <v>VIGENTE</v>
      </c>
      <c r="I84" s="132" t="str">
        <f t="shared" si="1"/>
        <v>-</v>
      </c>
      <c r="J84" s="158"/>
      <c r="K84" s="126">
        <v>81.0</v>
      </c>
      <c r="L84" s="78">
        <f>IFERROR(__xludf.DUMMYFUNCTION("""COMPUTED_VALUE"""),2848.0)</f>
        <v>2848</v>
      </c>
      <c r="M84" s="156">
        <f>IFERROR(__xludf.DUMMYFUNCTION("""COMPUTED_VALUE"""),46561.0)</f>
        <v>46561</v>
      </c>
      <c r="N84" s="78" t="str">
        <f>IFERROR(__xludf.DUMMYFUNCTION("""COMPUTED_VALUE"""),"02-Medellin")</f>
        <v>02-Medellin</v>
      </c>
      <c r="O84" s="156">
        <f>IFERROR(__xludf.DUMMYFUNCTION("""COMPUTED_VALUE"""),46132.0)</f>
        <v>46132</v>
      </c>
      <c r="P84" s="159">
        <f>IFERROR(__xludf.DUMMYFUNCTION("""COMPUTED_VALUE"""),1451.0)</f>
        <v>1451</v>
      </c>
      <c r="Q84" s="78" t="str">
        <f>IFERROR(__xludf.DUMMYFUNCTION("""COMPUTED_VALUE"""),"VIGENTE")</f>
        <v>VIGENTE</v>
      </c>
      <c r="R84" s="132" t="str">
        <f t="shared" si="2"/>
        <v>-</v>
      </c>
      <c r="T84" s="134" t="str">
        <f>CALENDARIO!D96</f>
        <v/>
      </c>
      <c r="U84" s="135" t="str">
        <f>CALENDARIO!C96</f>
        <v/>
      </c>
      <c r="W84" s="78"/>
      <c r="X84" s="136" t="str">
        <f>(VLOOKUP(W84,'BD LUB'!$A$2:$L$223,5,FALSE)/VLOOKUP(W84,'BD LUB'!$A$2:$L$223,7,FALSE))+(VLOOKUP(W84,'BD LUB'!$A$2:$L$223,6,FALSE)/VLOOKUP(W84,'BD LUB'!$A$2:$L$223,8,FALSE))</f>
        <v>#N/A</v>
      </c>
      <c r="Y84" s="137" t="str">
        <f>IF(AND(VLOOKUP(W84,'BD LUB'!$A$2:$L$223,11,FALSE)="PASADO",VLOOKUP(W84,'BD LUB'!$A$2:$L$223,12,FALSE)="PASADO"),1,IF(OR(AND(VLOOKUP(W84,'BD LUB'!$A$2:$L$223,11,FALSE)="PASADO",VLOOKUP(W84,'BD LUB'!$A$2:$L$223,12,FALSE)="PRÓXIMO"),AND(VLOOKUP(W84,'BD LUB'!$A$2:$L$223,11,FALSE)="PRÓXIMO",VLOOKUP(W84,'BD LUB'!$A$2:$L$223,12,FALSE)="PASADO")),2,IF(OR(AND(VLOOKUP(W84,'BD LUB'!$A$2:$L$223,11,FALSE)="PASADO",VLOOKUP(W84,'BD LUB'!$A$2:$L$223,12,FALSE)="VIGENTE"),AND(VLOOKUP(W84,'BD LUB'!$A$2:$L$223,11,FALSE)="VIGENTE",VLOOKUP(W84,'BD LUB'!$A$2:$L$223,12,FALSE)="PASADO")),3,IF(AND(VLOOKUP(W84,'BD LUB'!$A$2:$L$223,11,FALSE)="PRÓXIMO",VLOOKUP(W84,'BD LUB'!$A$2:$L$223,12,FALSE)="PRÓXIMO"),4,IF(OR(AND(VLOOKUP(W84,'BD LUB'!$A$2:$L$223,11,FALSE)="PRÓXIMO",VLOOKUP(W84,'BD LUB'!$A$2:$L$223,12,FALSE)="VIGENTE"),AND(VLOOKUP(W84,'BD LUB'!$A$2:$L$223,11,FALSE)="VIGENTE",VLOOKUP(W84,'BD LUB'!$A$2:$L$223,12,FALSE)="PRÓXIMO")),5,IF(AND(VLOOKUP(W84,'BD LUB'!$A$2:$L$223,11,FALSE)="VIGENTE",VLOOKUP(W84,'BD LUB'!$A$2:$L$223,12,FALSE)="VIGENTE"),6,"No definido"))))))</f>
        <v>#N/A</v>
      </c>
      <c r="Z84" s="138"/>
      <c r="AA84" s="139" t="str">
        <f>(VLOOKUP(Z84,'BD LUB'!$A$2:$L$223,5,FALSE)/VLOOKUP(Z84,'BD LUB'!$A$2:$L$223,7,FALSE))+(VLOOKUP(Z84,'BD LUB'!$A$2:$L$223,6,FALSE)/VLOOKUP(Z84,'BD LUB'!$A$2:$L$223,8,FALSE))</f>
        <v>#N/A</v>
      </c>
      <c r="AB84" s="78" t="str">
        <f>IF(AND(VLOOKUP(Z84,'BD LUB'!$A$2:$L$223,11,FALSE)="PASADO",VLOOKUP(Z84,'BD LUB'!$A$2:$L$223,12,FALSE)="PASADO"),1,IF(OR(AND(VLOOKUP(Z84,'BD LUB'!$A$2:$L$223,11,FALSE)="PASADO",VLOOKUP(Z84,'BD LUB'!$A$2:$L$223,12,FALSE)="PRÓXIMO"),AND(VLOOKUP(Z84,'BD LUB'!$A$2:$L$223,11,FALSE)="PRÓXIMO",VLOOKUP(Z84,'BD LUB'!$A$2:$L$223,12,FALSE)="PASADO")),2,IF(OR(AND(VLOOKUP(Z84,'BD LUB'!$A$2:$L$223,11,FALSE)="PASADO",VLOOKUP(Z84,'BD LUB'!$A$2:$L$223,12,FALSE)="VIGENTE"),AND(VLOOKUP(Z84,'BD LUB'!$A$2:$L$223,11,FALSE)="VIGENTE",VLOOKUP(Z84,'BD LUB'!$A$2:$L$223,12,FALSE)="PASADO")),3,IF(AND(VLOOKUP(Z84,'BD LUB'!$A$2:$L$223,11,FALSE)="PRÓXIMO",VLOOKUP(Z84,'BD LUB'!$A$2:$L$223,12,FALSE)="PRÓXIMO"),4,IF(OR(AND(VLOOKUP(Z84,'BD LUB'!$A$2:$L$223,11,FALSE)="PRÓXIMO",VLOOKUP(Z84,'BD LUB'!$A$2:$L$223,12,FALSE)="VIGENTE"),AND(VLOOKUP(Z84,'BD LUB'!$A$2:$L$223,11,FALSE)="VIGENTE",VLOOKUP(Z84,'BD LUB'!$A$2:$L$223,12,FALSE)="PRÓXIMO")),5,IF(AND(VLOOKUP(Z84,'BD LUB'!$A$2:$L$223,11,FALSE)="VIGENTE",VLOOKUP(Z84,'BD LUB'!$A$2:$L$223,12,FALSE)="VIGENTE"),6,"No definido"))))))</f>
        <v>#N/A</v>
      </c>
      <c r="AC84" s="134"/>
      <c r="AD84" s="136" t="str">
        <f>IF(VLOOKUP(AC84,'BD LUB'!$A$2:$C$223,3,FALSE)=$AH$20,AC84&amp;" MED",IF(VLOOKUP(AC84,'BD LUB'!$A$2:$C$223,3,FALSE)=$AH$19,AC84&amp;" MAY",IF(VLOOKUP(AC84,'BD LUB'!$A$2:$C$223,3,FALSE)=$AH$18,AC84&amp;" RN",IF(VLOOKUP(AC84,'BD LUB'!$A$2:$C$223,3,FALSE)=$AH$17,AC84&amp;" COPQUI",IF(VLOOKUP(AC84,'BD LUB'!$A$2:$C$223,3,FALSE)=$AH$16,AC84&amp;" CEJ",IF(VLOOKUP(AC84,'BD LUB'!$A$2:$C$223,3,FALSE)=$AH$15,AC84&amp;" BULT",IF(VLOOKUP(AC84,'BD LUB'!$A$2:$C$223,3,FALSE)=$AH$14,AC84&amp;" COP",IF(VLOOKUP(AC84,'BD LUB'!$A$2:$C$223,3,FALSE)=$AH$13,AC84&amp;" RIO",IF(VLOOKUP(AC84,'BD LUB'!$A$2:$C$223,3,FALSE)=$AH$21,AC84&amp;" APART","Dato no encontrado")))))))))</f>
        <v>#N/A</v>
      </c>
      <c r="AE84" s="111"/>
      <c r="AF84" s="111"/>
      <c r="AG84" s="111"/>
      <c r="AH84" s="111"/>
      <c r="AI84" s="111"/>
      <c r="AJ84" s="126">
        <v>81.0</v>
      </c>
      <c r="AK84" s="128"/>
      <c r="AL84" s="128"/>
      <c r="AM84" s="128"/>
      <c r="AN84" s="128"/>
      <c r="AP84" s="126">
        <v>81.0</v>
      </c>
      <c r="AQ84" s="128"/>
      <c r="AR84" s="128"/>
      <c r="AS84" s="128"/>
      <c r="AT84" s="128"/>
      <c r="AV84" s="126">
        <v>81.0</v>
      </c>
      <c r="AW84" s="128"/>
      <c r="AX84" s="128"/>
      <c r="AY84" s="128"/>
      <c r="AZ84" s="128"/>
    </row>
    <row r="85">
      <c r="A85" s="158"/>
      <c r="B85" s="126">
        <v>82.0</v>
      </c>
      <c r="C85" s="78">
        <f>IFERROR(__xludf.DUMMYFUNCTION("""COMPUTED_VALUE"""),2376.0)</f>
        <v>2376</v>
      </c>
      <c r="D85" s="156">
        <f>IFERROR(__xludf.DUMMYFUNCTION("""COMPUTED_VALUE"""),46540.0)</f>
        <v>46540</v>
      </c>
      <c r="E85" s="78" t="str">
        <f>IFERROR(__xludf.DUMMYFUNCTION("""COMPUTED_VALUE"""),"02-Medellin")</f>
        <v>02-Medellin</v>
      </c>
      <c r="F85" s="156">
        <f>IFERROR(__xludf.DUMMYFUNCTION("""COMPUTED_VALUE"""),46084.0)</f>
        <v>46084</v>
      </c>
      <c r="G85" s="159">
        <f>IFERROR(__xludf.DUMMYFUNCTION("""COMPUTED_VALUE"""),48.0)</f>
        <v>48</v>
      </c>
      <c r="H85" s="78" t="str">
        <f>IFERROR(__xludf.DUMMYFUNCTION("""COMPUTED_VALUE"""),"VIGENTE")</f>
        <v>VIGENTE</v>
      </c>
      <c r="I85" s="132" t="str">
        <f t="shared" si="1"/>
        <v>-</v>
      </c>
      <c r="J85" s="158"/>
      <c r="K85" s="126">
        <v>82.0</v>
      </c>
      <c r="L85" s="78">
        <f>IFERROR(__xludf.DUMMYFUNCTION("""COMPUTED_VALUE"""),2843.0)</f>
        <v>2843</v>
      </c>
      <c r="M85" s="156">
        <f>IFERROR(__xludf.DUMMYFUNCTION("""COMPUTED_VALUE"""),46562.0)</f>
        <v>46562</v>
      </c>
      <c r="N85" s="78" t="str">
        <f>IFERROR(__xludf.DUMMYFUNCTION("""COMPUTED_VALUE"""),"31-Copacabana")</f>
        <v>31-Copacabana</v>
      </c>
      <c r="O85" s="156">
        <f>IFERROR(__xludf.DUMMYFUNCTION("""COMPUTED_VALUE"""),46132.0)</f>
        <v>46132</v>
      </c>
      <c r="P85" s="159">
        <f>IFERROR(__xludf.DUMMYFUNCTION("""COMPUTED_VALUE"""),1519.0)</f>
        <v>1519</v>
      </c>
      <c r="Q85" s="78" t="str">
        <f>IFERROR(__xludf.DUMMYFUNCTION("""COMPUTED_VALUE"""),"VIGENTE")</f>
        <v>VIGENTE</v>
      </c>
      <c r="R85" s="132" t="str">
        <f t="shared" si="2"/>
        <v>-</v>
      </c>
      <c r="T85" s="134" t="str">
        <f>CALENDARIO!D97</f>
        <v/>
      </c>
      <c r="U85" s="135" t="str">
        <f>CALENDARIO!C97</f>
        <v/>
      </c>
      <c r="W85" s="78"/>
      <c r="X85" s="136" t="str">
        <f>(VLOOKUP(W85,'BD LUB'!$A$2:$L$223,5,FALSE)/VLOOKUP(W85,'BD LUB'!$A$2:$L$223,7,FALSE))+(VLOOKUP(W85,'BD LUB'!$A$2:$L$223,6,FALSE)/VLOOKUP(W85,'BD LUB'!$A$2:$L$223,8,FALSE))</f>
        <v>#N/A</v>
      </c>
      <c r="Y85" s="137" t="str">
        <f>IF(AND(VLOOKUP(W85,'BD LUB'!$A$2:$L$223,11,FALSE)="PASADO",VLOOKUP(W85,'BD LUB'!$A$2:$L$223,12,FALSE)="PASADO"),1,IF(OR(AND(VLOOKUP(W85,'BD LUB'!$A$2:$L$223,11,FALSE)="PASADO",VLOOKUP(W85,'BD LUB'!$A$2:$L$223,12,FALSE)="PRÓXIMO"),AND(VLOOKUP(W85,'BD LUB'!$A$2:$L$223,11,FALSE)="PRÓXIMO",VLOOKUP(W85,'BD LUB'!$A$2:$L$223,12,FALSE)="PASADO")),2,IF(OR(AND(VLOOKUP(W85,'BD LUB'!$A$2:$L$223,11,FALSE)="PASADO",VLOOKUP(W85,'BD LUB'!$A$2:$L$223,12,FALSE)="VIGENTE"),AND(VLOOKUP(W85,'BD LUB'!$A$2:$L$223,11,FALSE)="VIGENTE",VLOOKUP(W85,'BD LUB'!$A$2:$L$223,12,FALSE)="PASADO")),3,IF(AND(VLOOKUP(W85,'BD LUB'!$A$2:$L$223,11,FALSE)="PRÓXIMO",VLOOKUP(W85,'BD LUB'!$A$2:$L$223,12,FALSE)="PRÓXIMO"),4,IF(OR(AND(VLOOKUP(W85,'BD LUB'!$A$2:$L$223,11,FALSE)="PRÓXIMO",VLOOKUP(W85,'BD LUB'!$A$2:$L$223,12,FALSE)="VIGENTE"),AND(VLOOKUP(W85,'BD LUB'!$A$2:$L$223,11,FALSE)="VIGENTE",VLOOKUP(W85,'BD LUB'!$A$2:$L$223,12,FALSE)="PRÓXIMO")),5,IF(AND(VLOOKUP(W85,'BD LUB'!$A$2:$L$223,11,FALSE)="VIGENTE",VLOOKUP(W85,'BD LUB'!$A$2:$L$223,12,FALSE)="VIGENTE"),6,"No definido"))))))</f>
        <v>#N/A</v>
      </c>
      <c r="Z85" s="138"/>
      <c r="AA85" s="139" t="str">
        <f>(VLOOKUP(Z85,'BD LUB'!$A$2:$L$223,5,FALSE)/VLOOKUP(Z85,'BD LUB'!$A$2:$L$223,7,FALSE))+(VLOOKUP(Z85,'BD LUB'!$A$2:$L$223,6,FALSE)/VLOOKUP(Z85,'BD LUB'!$A$2:$L$223,8,FALSE))</f>
        <v>#N/A</v>
      </c>
      <c r="AB85" s="78" t="str">
        <f>IF(AND(VLOOKUP(Z85,'BD LUB'!$A$2:$L$223,11,FALSE)="PASADO",VLOOKUP(Z85,'BD LUB'!$A$2:$L$223,12,FALSE)="PASADO"),1,IF(OR(AND(VLOOKUP(Z85,'BD LUB'!$A$2:$L$223,11,FALSE)="PASADO",VLOOKUP(Z85,'BD LUB'!$A$2:$L$223,12,FALSE)="PRÓXIMO"),AND(VLOOKUP(Z85,'BD LUB'!$A$2:$L$223,11,FALSE)="PRÓXIMO",VLOOKUP(Z85,'BD LUB'!$A$2:$L$223,12,FALSE)="PASADO")),2,IF(OR(AND(VLOOKUP(Z85,'BD LUB'!$A$2:$L$223,11,FALSE)="PASADO",VLOOKUP(Z85,'BD LUB'!$A$2:$L$223,12,FALSE)="VIGENTE"),AND(VLOOKUP(Z85,'BD LUB'!$A$2:$L$223,11,FALSE)="VIGENTE",VLOOKUP(Z85,'BD LUB'!$A$2:$L$223,12,FALSE)="PASADO")),3,IF(AND(VLOOKUP(Z85,'BD LUB'!$A$2:$L$223,11,FALSE)="PRÓXIMO",VLOOKUP(Z85,'BD LUB'!$A$2:$L$223,12,FALSE)="PRÓXIMO"),4,IF(OR(AND(VLOOKUP(Z85,'BD LUB'!$A$2:$L$223,11,FALSE)="PRÓXIMO",VLOOKUP(Z85,'BD LUB'!$A$2:$L$223,12,FALSE)="VIGENTE"),AND(VLOOKUP(Z85,'BD LUB'!$A$2:$L$223,11,FALSE)="VIGENTE",VLOOKUP(Z85,'BD LUB'!$A$2:$L$223,12,FALSE)="PRÓXIMO")),5,IF(AND(VLOOKUP(Z85,'BD LUB'!$A$2:$L$223,11,FALSE)="VIGENTE",VLOOKUP(Z85,'BD LUB'!$A$2:$L$223,12,FALSE)="VIGENTE"),6,"No definido"))))))</f>
        <v>#N/A</v>
      </c>
      <c r="AC85" s="78"/>
      <c r="AD85" s="136" t="str">
        <f>IF(VLOOKUP(AC85,'BD LUB'!$A$2:$C$223,3,FALSE)=$AH$20,AC85&amp;" MED",IF(VLOOKUP(AC85,'BD LUB'!$A$2:$C$223,3,FALSE)=$AH$19,AC85&amp;" MAY",IF(VLOOKUP(AC85,'BD LUB'!$A$2:$C$223,3,FALSE)=$AH$18,AC85&amp;" RN",IF(VLOOKUP(AC85,'BD LUB'!$A$2:$C$223,3,FALSE)=$AH$17,AC85&amp;" COPQUI",IF(VLOOKUP(AC85,'BD LUB'!$A$2:$C$223,3,FALSE)=$AH$16,AC85&amp;" CEJ",IF(VLOOKUP(AC85,'BD LUB'!$A$2:$C$223,3,FALSE)=$AH$15,AC85&amp;" BULT",IF(VLOOKUP(AC85,'BD LUB'!$A$2:$C$223,3,FALSE)=$AH$14,AC85&amp;" COP",IF(VLOOKUP(AC85,'BD LUB'!$A$2:$C$223,3,FALSE)=$AH$13,AC85&amp;" RIO",IF(VLOOKUP(AC85,'BD LUB'!$A$2:$C$223,3,FALSE)=$AH$21,AC85&amp;" APART","Dato no encontrado")))))))))</f>
        <v>#N/A</v>
      </c>
      <c r="AE85" s="160"/>
      <c r="AF85" s="160"/>
      <c r="AG85" s="160"/>
      <c r="AH85" s="160"/>
      <c r="AI85" s="160"/>
      <c r="AJ85" s="160"/>
      <c r="AP85" s="160"/>
      <c r="AV85" s="160"/>
    </row>
    <row r="86">
      <c r="A86" s="158"/>
      <c r="B86" s="126">
        <v>83.0</v>
      </c>
      <c r="C86" s="78">
        <f>IFERROR(__xludf.DUMMYFUNCTION("""COMPUTED_VALUE"""),2179.0)</f>
        <v>2179</v>
      </c>
      <c r="D86" s="156">
        <f>IFERROR(__xludf.DUMMYFUNCTION("""COMPUTED_VALUE"""),46383.0)</f>
        <v>46383</v>
      </c>
      <c r="E86" s="78" t="str">
        <f>IFERROR(__xludf.DUMMYFUNCTION("""COMPUTED_VALUE"""),"02-Medellin")</f>
        <v>02-Medellin</v>
      </c>
      <c r="F86" s="156">
        <f>IFERROR(__xludf.DUMMYFUNCTION("""COMPUTED_VALUE"""),46084.0)</f>
        <v>46084</v>
      </c>
      <c r="G86" s="159">
        <f>IFERROR(__xludf.DUMMYFUNCTION("""COMPUTED_VALUE"""),48.0)</f>
        <v>48</v>
      </c>
      <c r="H86" s="78" t="str">
        <f>IFERROR(__xludf.DUMMYFUNCTION("""COMPUTED_VALUE"""),"VIGENTE")</f>
        <v>VIGENTE</v>
      </c>
      <c r="I86" s="132" t="str">
        <f t="shared" si="1"/>
        <v>-</v>
      </c>
      <c r="J86" s="158"/>
      <c r="K86" s="126">
        <v>83.0</v>
      </c>
      <c r="L86" s="78">
        <f>IFERROR(__xludf.DUMMYFUNCTION("""COMPUTED_VALUE"""),3264.0)</f>
        <v>3264</v>
      </c>
      <c r="M86" s="156">
        <f>IFERROR(__xludf.DUMMYFUNCTION("""COMPUTED_VALUE"""),46668.0)</f>
        <v>46668</v>
      </c>
      <c r="N86" s="78" t="str">
        <f>IFERROR(__xludf.DUMMYFUNCTION("""COMPUTED_VALUE"""),"02-Medellin")</f>
        <v>02-Medellin</v>
      </c>
      <c r="O86" s="156">
        <f>IFERROR(__xludf.DUMMYFUNCTION("""COMPUTED_VALUE"""),46106.0)</f>
        <v>46106</v>
      </c>
      <c r="P86" s="159">
        <f>IFERROR(__xludf.DUMMYFUNCTION("""COMPUTED_VALUE"""),1526.0)</f>
        <v>1526</v>
      </c>
      <c r="Q86" s="78" t="str">
        <f>IFERROR(__xludf.DUMMYFUNCTION("""COMPUTED_VALUE"""),"VIGENTE")</f>
        <v>VIGENTE</v>
      </c>
      <c r="R86" s="132" t="str">
        <f t="shared" si="2"/>
        <v>-</v>
      </c>
      <c r="T86" s="134" t="str">
        <f>CALENDARIO!D98</f>
        <v/>
      </c>
      <c r="U86" s="135" t="str">
        <f>CALENDARIO!C98</f>
        <v/>
      </c>
      <c r="W86" s="78"/>
      <c r="X86" s="136" t="str">
        <f>(VLOOKUP(W86,'BD LUB'!$A$2:$L$223,5,FALSE)/VLOOKUP(W86,'BD LUB'!$A$2:$L$223,7,FALSE))+(VLOOKUP(W86,'BD LUB'!$A$2:$L$223,6,FALSE)/VLOOKUP(W86,'BD LUB'!$A$2:$L$223,8,FALSE))</f>
        <v>#N/A</v>
      </c>
      <c r="Y86" s="137" t="str">
        <f>IF(AND(VLOOKUP(W86,'BD LUB'!$A$2:$L$223,11,FALSE)="PASADO",VLOOKUP(W86,'BD LUB'!$A$2:$L$223,12,FALSE)="PASADO"),1,IF(OR(AND(VLOOKUP(W86,'BD LUB'!$A$2:$L$223,11,FALSE)="PASADO",VLOOKUP(W86,'BD LUB'!$A$2:$L$223,12,FALSE)="PRÓXIMO"),AND(VLOOKUP(W86,'BD LUB'!$A$2:$L$223,11,FALSE)="PRÓXIMO",VLOOKUP(W86,'BD LUB'!$A$2:$L$223,12,FALSE)="PASADO")),2,IF(OR(AND(VLOOKUP(W86,'BD LUB'!$A$2:$L$223,11,FALSE)="PASADO",VLOOKUP(W86,'BD LUB'!$A$2:$L$223,12,FALSE)="VIGENTE"),AND(VLOOKUP(W86,'BD LUB'!$A$2:$L$223,11,FALSE)="VIGENTE",VLOOKUP(W86,'BD LUB'!$A$2:$L$223,12,FALSE)="PASADO")),3,IF(AND(VLOOKUP(W86,'BD LUB'!$A$2:$L$223,11,FALSE)="PRÓXIMO",VLOOKUP(W86,'BD LUB'!$A$2:$L$223,12,FALSE)="PRÓXIMO"),4,IF(OR(AND(VLOOKUP(W86,'BD LUB'!$A$2:$L$223,11,FALSE)="PRÓXIMO",VLOOKUP(W86,'BD LUB'!$A$2:$L$223,12,FALSE)="VIGENTE"),AND(VLOOKUP(W86,'BD LUB'!$A$2:$L$223,11,FALSE)="VIGENTE",VLOOKUP(W86,'BD LUB'!$A$2:$L$223,12,FALSE)="PRÓXIMO")),5,IF(AND(VLOOKUP(W86,'BD LUB'!$A$2:$L$223,11,FALSE)="VIGENTE",VLOOKUP(W86,'BD LUB'!$A$2:$L$223,12,FALSE)="VIGENTE"),6,"No definido"))))))</f>
        <v>#N/A</v>
      </c>
      <c r="Z86" s="138"/>
      <c r="AA86" s="139" t="str">
        <f>(VLOOKUP(Z86,'BD LUB'!$A$2:$L$223,5,FALSE)/VLOOKUP(Z86,'BD LUB'!$A$2:$L$223,7,FALSE))+(VLOOKUP(Z86,'BD LUB'!$A$2:$L$223,6,FALSE)/VLOOKUP(Z86,'BD LUB'!$A$2:$L$223,8,FALSE))</f>
        <v>#N/A</v>
      </c>
      <c r="AB86" s="78" t="str">
        <f>IF(AND(VLOOKUP(Z86,'BD LUB'!$A$2:$L$223,11,FALSE)="PASADO",VLOOKUP(Z86,'BD LUB'!$A$2:$L$223,12,FALSE)="PASADO"),1,IF(OR(AND(VLOOKUP(Z86,'BD LUB'!$A$2:$L$223,11,FALSE)="PASADO",VLOOKUP(Z86,'BD LUB'!$A$2:$L$223,12,FALSE)="PRÓXIMO"),AND(VLOOKUP(Z86,'BD LUB'!$A$2:$L$223,11,FALSE)="PRÓXIMO",VLOOKUP(Z86,'BD LUB'!$A$2:$L$223,12,FALSE)="PASADO")),2,IF(OR(AND(VLOOKUP(Z86,'BD LUB'!$A$2:$L$223,11,FALSE)="PASADO",VLOOKUP(Z86,'BD LUB'!$A$2:$L$223,12,FALSE)="VIGENTE"),AND(VLOOKUP(Z86,'BD LUB'!$A$2:$L$223,11,FALSE)="VIGENTE",VLOOKUP(Z86,'BD LUB'!$A$2:$L$223,12,FALSE)="PASADO")),3,IF(AND(VLOOKUP(Z86,'BD LUB'!$A$2:$L$223,11,FALSE)="PRÓXIMO",VLOOKUP(Z86,'BD LUB'!$A$2:$L$223,12,FALSE)="PRÓXIMO"),4,IF(OR(AND(VLOOKUP(Z86,'BD LUB'!$A$2:$L$223,11,FALSE)="PRÓXIMO",VLOOKUP(Z86,'BD LUB'!$A$2:$L$223,12,FALSE)="VIGENTE"),AND(VLOOKUP(Z86,'BD LUB'!$A$2:$L$223,11,FALSE)="VIGENTE",VLOOKUP(Z86,'BD LUB'!$A$2:$L$223,12,FALSE)="PRÓXIMO")),5,IF(AND(VLOOKUP(Z86,'BD LUB'!$A$2:$L$223,11,FALSE)="VIGENTE",VLOOKUP(Z86,'BD LUB'!$A$2:$L$223,12,FALSE)="VIGENTE"),6,"No definido"))))))</f>
        <v>#N/A</v>
      </c>
      <c r="AC86" s="78"/>
      <c r="AD86" s="136" t="str">
        <f>IF(VLOOKUP(AC86,'BD LUB'!$A$2:$C$223,3,FALSE)=$AH$20,AC86&amp;" MED",IF(VLOOKUP(AC86,'BD LUB'!$A$2:$C$223,3,FALSE)=$AH$19,AC86&amp;" MAY",IF(VLOOKUP(AC86,'BD LUB'!$A$2:$C$223,3,FALSE)=$AH$18,AC86&amp;" RN",IF(VLOOKUP(AC86,'BD LUB'!$A$2:$C$223,3,FALSE)=$AH$17,AC86&amp;" COPQUI",IF(VLOOKUP(AC86,'BD LUB'!$A$2:$C$223,3,FALSE)=$AH$16,AC86&amp;" CEJ",IF(VLOOKUP(AC86,'BD LUB'!$A$2:$C$223,3,FALSE)=$AH$15,AC86&amp;" BULT",IF(VLOOKUP(AC86,'BD LUB'!$A$2:$C$223,3,FALSE)=$AH$14,AC86&amp;" COP",IF(VLOOKUP(AC86,'BD LUB'!$A$2:$C$223,3,FALSE)=$AH$13,AC86&amp;" RIO",IF(VLOOKUP(AC86,'BD LUB'!$A$2:$C$223,3,FALSE)=$AH$21,AC86&amp;" APART","Dato no encontrado")))))))))</f>
        <v>#N/A</v>
      </c>
      <c r="AE86" s="160"/>
      <c r="AF86" s="160"/>
      <c r="AG86" s="160"/>
      <c r="AH86" s="160"/>
      <c r="AI86" s="160"/>
      <c r="AJ86" s="160"/>
      <c r="AP86" s="160"/>
      <c r="AV86" s="160"/>
    </row>
    <row r="87">
      <c r="A87" s="158"/>
      <c r="B87" s="126">
        <v>84.0</v>
      </c>
      <c r="C87" s="78">
        <f>IFERROR(__xludf.DUMMYFUNCTION("""COMPUTED_VALUE"""),2402.0)</f>
        <v>2402</v>
      </c>
      <c r="D87" s="156">
        <f>IFERROR(__xludf.DUMMYFUNCTION("""COMPUTED_VALUE"""),46514.0)</f>
        <v>46514</v>
      </c>
      <c r="E87" s="78" t="str">
        <f>IFERROR(__xludf.DUMMYFUNCTION("""COMPUTED_VALUE"""),"MAYORCA")</f>
        <v>MAYORCA</v>
      </c>
      <c r="F87" s="156">
        <f>IFERROR(__xludf.DUMMYFUNCTION("""COMPUTED_VALUE"""),46085.0)</f>
        <v>46085</v>
      </c>
      <c r="G87" s="159">
        <f>IFERROR(__xludf.DUMMYFUNCTION("""COMPUTED_VALUE"""),49.0)</f>
        <v>49</v>
      </c>
      <c r="H87" s="78" t="str">
        <f>IFERROR(__xludf.DUMMYFUNCTION("""COMPUTED_VALUE"""),"VIGENTE")</f>
        <v>VIGENTE</v>
      </c>
      <c r="I87" s="132" t="str">
        <f t="shared" si="1"/>
        <v>-</v>
      </c>
      <c r="J87" s="158"/>
      <c r="K87" s="126">
        <v>84.0</v>
      </c>
      <c r="L87" s="78">
        <f>IFERROR(__xludf.DUMMYFUNCTION("""COMPUTED_VALUE"""),3212.0)</f>
        <v>3212</v>
      </c>
      <c r="M87" s="156">
        <f>IFERROR(__xludf.DUMMYFUNCTION("""COMPUTED_VALUE"""),46654.0)</f>
        <v>46654</v>
      </c>
      <c r="N87" s="78" t="str">
        <f>IFERROR(__xludf.DUMMYFUNCTION("""COMPUTED_VALUE"""),"02-Medellin")</f>
        <v>02-Medellin</v>
      </c>
      <c r="O87" s="156">
        <f>IFERROR(__xludf.DUMMYFUNCTION("""COMPUTED_VALUE"""),46112.0)</f>
        <v>46112</v>
      </c>
      <c r="P87" s="159">
        <f>IFERROR(__xludf.DUMMYFUNCTION("""COMPUTED_VALUE"""),1529.0)</f>
        <v>1529</v>
      </c>
      <c r="Q87" s="78" t="str">
        <f>IFERROR(__xludf.DUMMYFUNCTION("""COMPUTED_VALUE"""),"VIGENTE")</f>
        <v>VIGENTE</v>
      </c>
      <c r="R87" s="132" t="str">
        <f t="shared" si="2"/>
        <v>-</v>
      </c>
      <c r="T87" s="134" t="str">
        <f>CALENDARIO!D99</f>
        <v/>
      </c>
      <c r="U87" s="135" t="str">
        <f>CALENDARIO!C99</f>
        <v/>
      </c>
      <c r="W87" s="78"/>
      <c r="X87" s="136" t="str">
        <f>(VLOOKUP(W87,'BD LUB'!$A$2:$L$223,5,FALSE)/VLOOKUP(W87,'BD LUB'!$A$2:$L$223,7,FALSE))+(VLOOKUP(W87,'BD LUB'!$A$2:$L$223,6,FALSE)/VLOOKUP(W87,'BD LUB'!$A$2:$L$223,8,FALSE))</f>
        <v>#N/A</v>
      </c>
      <c r="Y87" s="137" t="str">
        <f>IF(AND(VLOOKUP(W87,'BD LUB'!$A$2:$L$223,11,FALSE)="PASADO",VLOOKUP(W87,'BD LUB'!$A$2:$L$223,12,FALSE)="PASADO"),1,IF(OR(AND(VLOOKUP(W87,'BD LUB'!$A$2:$L$223,11,FALSE)="PASADO",VLOOKUP(W87,'BD LUB'!$A$2:$L$223,12,FALSE)="PRÓXIMO"),AND(VLOOKUP(W87,'BD LUB'!$A$2:$L$223,11,FALSE)="PRÓXIMO",VLOOKUP(W87,'BD LUB'!$A$2:$L$223,12,FALSE)="PASADO")),2,IF(OR(AND(VLOOKUP(W87,'BD LUB'!$A$2:$L$223,11,FALSE)="PASADO",VLOOKUP(W87,'BD LUB'!$A$2:$L$223,12,FALSE)="VIGENTE"),AND(VLOOKUP(W87,'BD LUB'!$A$2:$L$223,11,FALSE)="VIGENTE",VLOOKUP(W87,'BD LUB'!$A$2:$L$223,12,FALSE)="PASADO")),3,IF(AND(VLOOKUP(W87,'BD LUB'!$A$2:$L$223,11,FALSE)="PRÓXIMO",VLOOKUP(W87,'BD LUB'!$A$2:$L$223,12,FALSE)="PRÓXIMO"),4,IF(OR(AND(VLOOKUP(W87,'BD LUB'!$A$2:$L$223,11,FALSE)="PRÓXIMO",VLOOKUP(W87,'BD LUB'!$A$2:$L$223,12,FALSE)="VIGENTE"),AND(VLOOKUP(W87,'BD LUB'!$A$2:$L$223,11,FALSE)="VIGENTE",VLOOKUP(W87,'BD LUB'!$A$2:$L$223,12,FALSE)="PRÓXIMO")),5,IF(AND(VLOOKUP(W87,'BD LUB'!$A$2:$L$223,11,FALSE)="VIGENTE",VLOOKUP(W87,'BD LUB'!$A$2:$L$223,12,FALSE)="VIGENTE"),6,"No definido"))))))</f>
        <v>#N/A</v>
      </c>
      <c r="Z87" s="138"/>
      <c r="AA87" s="139" t="str">
        <f>(VLOOKUP(Z87,'BD LUB'!$A$2:$L$223,5,FALSE)/VLOOKUP(Z87,'BD LUB'!$A$2:$L$223,7,FALSE))+(VLOOKUP(Z87,'BD LUB'!$A$2:$L$223,6,FALSE)/VLOOKUP(Z87,'BD LUB'!$A$2:$L$223,8,FALSE))</f>
        <v>#N/A</v>
      </c>
      <c r="AB87" s="78" t="str">
        <f>IF(AND(VLOOKUP(Z87,'BD LUB'!$A$2:$L$223,11,FALSE)="PASADO",VLOOKUP(Z87,'BD LUB'!$A$2:$L$223,12,FALSE)="PASADO"),1,IF(OR(AND(VLOOKUP(Z87,'BD LUB'!$A$2:$L$223,11,FALSE)="PASADO",VLOOKUP(Z87,'BD LUB'!$A$2:$L$223,12,FALSE)="PRÓXIMO"),AND(VLOOKUP(Z87,'BD LUB'!$A$2:$L$223,11,FALSE)="PRÓXIMO",VLOOKUP(Z87,'BD LUB'!$A$2:$L$223,12,FALSE)="PASADO")),2,IF(OR(AND(VLOOKUP(Z87,'BD LUB'!$A$2:$L$223,11,FALSE)="PASADO",VLOOKUP(Z87,'BD LUB'!$A$2:$L$223,12,FALSE)="VIGENTE"),AND(VLOOKUP(Z87,'BD LUB'!$A$2:$L$223,11,FALSE)="VIGENTE",VLOOKUP(Z87,'BD LUB'!$A$2:$L$223,12,FALSE)="PASADO")),3,IF(AND(VLOOKUP(Z87,'BD LUB'!$A$2:$L$223,11,FALSE)="PRÓXIMO",VLOOKUP(Z87,'BD LUB'!$A$2:$L$223,12,FALSE)="PRÓXIMO"),4,IF(OR(AND(VLOOKUP(Z87,'BD LUB'!$A$2:$L$223,11,FALSE)="PRÓXIMO",VLOOKUP(Z87,'BD LUB'!$A$2:$L$223,12,FALSE)="VIGENTE"),AND(VLOOKUP(Z87,'BD LUB'!$A$2:$L$223,11,FALSE)="VIGENTE",VLOOKUP(Z87,'BD LUB'!$A$2:$L$223,12,FALSE)="PRÓXIMO")),5,IF(AND(VLOOKUP(Z87,'BD LUB'!$A$2:$L$223,11,FALSE)="VIGENTE",VLOOKUP(Z87,'BD LUB'!$A$2:$L$223,12,FALSE)="VIGENTE"),6,"No definido"))))))</f>
        <v>#N/A</v>
      </c>
      <c r="AC87" s="78"/>
      <c r="AD87" s="136" t="str">
        <f>IF(VLOOKUP(AC87,'BD LUB'!$A$2:$C$223,3,FALSE)=$AH$20,AC87&amp;" MED",IF(VLOOKUP(AC87,'BD LUB'!$A$2:$C$223,3,FALSE)=$AH$19,AC87&amp;" MAY",IF(VLOOKUP(AC87,'BD LUB'!$A$2:$C$223,3,FALSE)=$AH$18,AC87&amp;" RN",IF(VLOOKUP(AC87,'BD LUB'!$A$2:$C$223,3,FALSE)=$AH$17,AC87&amp;" COPQUI",IF(VLOOKUP(AC87,'BD LUB'!$A$2:$C$223,3,FALSE)=$AH$16,AC87&amp;" CEJ",IF(VLOOKUP(AC87,'BD LUB'!$A$2:$C$223,3,FALSE)=$AH$15,AC87&amp;" BULT",IF(VLOOKUP(AC87,'BD LUB'!$A$2:$C$223,3,FALSE)=$AH$14,AC87&amp;" COP",IF(VLOOKUP(AC87,'BD LUB'!$A$2:$C$223,3,FALSE)=$AH$13,AC87&amp;" RIO",IF(VLOOKUP(AC87,'BD LUB'!$A$2:$C$223,3,FALSE)=$AH$21,AC87&amp;" APART","Dato no encontrado")))))))))</f>
        <v>#N/A</v>
      </c>
      <c r="AE87" s="160"/>
      <c r="AF87" s="160"/>
      <c r="AG87" s="160"/>
      <c r="AH87" s="160"/>
      <c r="AI87" s="160"/>
      <c r="AJ87" s="160"/>
      <c r="AP87" s="160"/>
      <c r="AV87" s="160"/>
    </row>
    <row r="88">
      <c r="A88" s="158"/>
      <c r="B88" s="126">
        <v>85.0</v>
      </c>
      <c r="C88" s="78">
        <f>IFERROR(__xludf.DUMMYFUNCTION("""COMPUTED_VALUE"""),3282.0)</f>
        <v>3282</v>
      </c>
      <c r="D88" s="156">
        <f>IFERROR(__xludf.DUMMYFUNCTION("""COMPUTED_VALUE"""),46668.0)</f>
        <v>46668</v>
      </c>
      <c r="E88" s="78" t="str">
        <f>IFERROR(__xludf.DUMMYFUNCTION("""COMPUTED_VALUE"""),"02-Medellin")</f>
        <v>02-Medellin</v>
      </c>
      <c r="F88" s="156">
        <f>IFERROR(__xludf.DUMMYFUNCTION("""COMPUTED_VALUE"""),46086.0)</f>
        <v>46086</v>
      </c>
      <c r="G88" s="159">
        <f>IFERROR(__xludf.DUMMYFUNCTION("""COMPUTED_VALUE"""),50.0)</f>
        <v>50</v>
      </c>
      <c r="H88" s="78" t="str">
        <f>IFERROR(__xludf.DUMMYFUNCTION("""COMPUTED_VALUE"""),"VIGENTE")</f>
        <v>VIGENTE</v>
      </c>
      <c r="I88" s="132" t="str">
        <f t="shared" si="1"/>
        <v>-</v>
      </c>
      <c r="J88" s="158"/>
      <c r="K88" s="126">
        <v>85.0</v>
      </c>
      <c r="L88" s="78">
        <f>IFERROR(__xludf.DUMMYFUNCTION("""COMPUTED_VALUE"""),3216.0)</f>
        <v>3216</v>
      </c>
      <c r="M88" s="156">
        <f>IFERROR(__xludf.DUMMYFUNCTION("""COMPUTED_VALUE"""),46654.0)</f>
        <v>46654</v>
      </c>
      <c r="N88" s="78" t="str">
        <f>IFERROR(__xludf.DUMMYFUNCTION("""COMPUTED_VALUE"""),"02-Medellin")</f>
        <v>02-Medellin</v>
      </c>
      <c r="O88" s="156">
        <f>IFERROR(__xludf.DUMMYFUNCTION("""COMPUTED_VALUE"""),46100.0)</f>
        <v>46100</v>
      </c>
      <c r="P88" s="159">
        <f>IFERROR(__xludf.DUMMYFUNCTION("""COMPUTED_VALUE"""),1543.0)</f>
        <v>1543</v>
      </c>
      <c r="Q88" s="78" t="str">
        <f>IFERROR(__xludf.DUMMYFUNCTION("""COMPUTED_VALUE"""),"VIGENTE")</f>
        <v>VIGENTE</v>
      </c>
      <c r="R88" s="132" t="str">
        <f t="shared" si="2"/>
        <v>-</v>
      </c>
      <c r="T88" s="134" t="str">
        <f>CALENDARIO!D100</f>
        <v/>
      </c>
      <c r="U88" s="135" t="str">
        <f>CALENDARIO!C100</f>
        <v/>
      </c>
      <c r="W88" s="78"/>
      <c r="X88" s="136" t="str">
        <f>(VLOOKUP(W88,'BD LUB'!$A$2:$L$223,5,FALSE)/VLOOKUP(W88,'BD LUB'!$A$2:$L$223,7,FALSE))+(VLOOKUP(W88,'BD LUB'!$A$2:$L$223,6,FALSE)/VLOOKUP(W88,'BD LUB'!$A$2:$L$223,8,FALSE))</f>
        <v>#N/A</v>
      </c>
      <c r="Y88" s="137" t="str">
        <f>IF(AND(VLOOKUP(W88,'BD LUB'!$A$2:$L$223,11,FALSE)="PASADO",VLOOKUP(W88,'BD LUB'!$A$2:$L$223,12,FALSE)="PASADO"),1,IF(OR(AND(VLOOKUP(W88,'BD LUB'!$A$2:$L$223,11,FALSE)="PASADO",VLOOKUP(W88,'BD LUB'!$A$2:$L$223,12,FALSE)="PRÓXIMO"),AND(VLOOKUP(W88,'BD LUB'!$A$2:$L$223,11,FALSE)="PRÓXIMO",VLOOKUP(W88,'BD LUB'!$A$2:$L$223,12,FALSE)="PASADO")),2,IF(OR(AND(VLOOKUP(W88,'BD LUB'!$A$2:$L$223,11,FALSE)="PASADO",VLOOKUP(W88,'BD LUB'!$A$2:$L$223,12,FALSE)="VIGENTE"),AND(VLOOKUP(W88,'BD LUB'!$A$2:$L$223,11,FALSE)="VIGENTE",VLOOKUP(W88,'BD LUB'!$A$2:$L$223,12,FALSE)="PASADO")),3,IF(AND(VLOOKUP(W88,'BD LUB'!$A$2:$L$223,11,FALSE)="PRÓXIMO",VLOOKUP(W88,'BD LUB'!$A$2:$L$223,12,FALSE)="PRÓXIMO"),4,IF(OR(AND(VLOOKUP(W88,'BD LUB'!$A$2:$L$223,11,FALSE)="PRÓXIMO",VLOOKUP(W88,'BD LUB'!$A$2:$L$223,12,FALSE)="VIGENTE"),AND(VLOOKUP(W88,'BD LUB'!$A$2:$L$223,11,FALSE)="VIGENTE",VLOOKUP(W88,'BD LUB'!$A$2:$L$223,12,FALSE)="PRÓXIMO")),5,IF(AND(VLOOKUP(W88,'BD LUB'!$A$2:$L$223,11,FALSE)="VIGENTE",VLOOKUP(W88,'BD LUB'!$A$2:$L$223,12,FALSE)="VIGENTE"),6,"No definido"))))))</f>
        <v>#N/A</v>
      </c>
      <c r="Z88" s="138"/>
      <c r="AA88" s="139" t="str">
        <f>(VLOOKUP(Z88,'BD LUB'!$A$2:$L$223,5,FALSE)/VLOOKUP(Z88,'BD LUB'!$A$2:$L$223,7,FALSE))+(VLOOKUP(Z88,'BD LUB'!$A$2:$L$223,6,FALSE)/VLOOKUP(Z88,'BD LUB'!$A$2:$L$223,8,FALSE))</f>
        <v>#N/A</v>
      </c>
      <c r="AB88" s="78" t="str">
        <f>IF(AND(VLOOKUP(Z88,'BD LUB'!$A$2:$L$223,11,FALSE)="PASADO",VLOOKUP(Z88,'BD LUB'!$A$2:$L$223,12,FALSE)="PASADO"),1,IF(OR(AND(VLOOKUP(Z88,'BD LUB'!$A$2:$L$223,11,FALSE)="PASADO",VLOOKUP(Z88,'BD LUB'!$A$2:$L$223,12,FALSE)="PRÓXIMO"),AND(VLOOKUP(Z88,'BD LUB'!$A$2:$L$223,11,FALSE)="PRÓXIMO",VLOOKUP(Z88,'BD LUB'!$A$2:$L$223,12,FALSE)="PASADO")),2,IF(OR(AND(VLOOKUP(Z88,'BD LUB'!$A$2:$L$223,11,FALSE)="PASADO",VLOOKUP(Z88,'BD LUB'!$A$2:$L$223,12,FALSE)="VIGENTE"),AND(VLOOKUP(Z88,'BD LUB'!$A$2:$L$223,11,FALSE)="VIGENTE",VLOOKUP(Z88,'BD LUB'!$A$2:$L$223,12,FALSE)="PASADO")),3,IF(AND(VLOOKUP(Z88,'BD LUB'!$A$2:$L$223,11,FALSE)="PRÓXIMO",VLOOKUP(Z88,'BD LUB'!$A$2:$L$223,12,FALSE)="PRÓXIMO"),4,IF(OR(AND(VLOOKUP(Z88,'BD LUB'!$A$2:$L$223,11,FALSE)="PRÓXIMO",VLOOKUP(Z88,'BD LUB'!$A$2:$L$223,12,FALSE)="VIGENTE"),AND(VLOOKUP(Z88,'BD LUB'!$A$2:$L$223,11,FALSE)="VIGENTE",VLOOKUP(Z88,'BD LUB'!$A$2:$L$223,12,FALSE)="PRÓXIMO")),5,IF(AND(VLOOKUP(Z88,'BD LUB'!$A$2:$L$223,11,FALSE)="VIGENTE",VLOOKUP(Z88,'BD LUB'!$A$2:$L$223,12,FALSE)="VIGENTE"),6,"No definido"))))))</f>
        <v>#N/A</v>
      </c>
      <c r="AC88" s="78"/>
      <c r="AD88" s="136" t="str">
        <f>IF(VLOOKUP(AC88,'BD LUB'!$A$2:$C$223,3,FALSE)=$AH$20,AC88&amp;" MED",IF(VLOOKUP(AC88,'BD LUB'!$A$2:$C$223,3,FALSE)=$AH$19,AC88&amp;" MAY",IF(VLOOKUP(AC88,'BD LUB'!$A$2:$C$223,3,FALSE)=$AH$18,AC88&amp;" RN",IF(VLOOKUP(AC88,'BD LUB'!$A$2:$C$223,3,FALSE)=$AH$17,AC88&amp;" COPQUI",IF(VLOOKUP(AC88,'BD LUB'!$A$2:$C$223,3,FALSE)=$AH$16,AC88&amp;" CEJ",IF(VLOOKUP(AC88,'BD LUB'!$A$2:$C$223,3,FALSE)=$AH$15,AC88&amp;" BULT",IF(VLOOKUP(AC88,'BD LUB'!$A$2:$C$223,3,FALSE)=$AH$14,AC88&amp;" COP",IF(VLOOKUP(AC88,'BD LUB'!$A$2:$C$223,3,FALSE)=$AH$13,AC88&amp;" RIO",IF(VLOOKUP(AC88,'BD LUB'!$A$2:$C$223,3,FALSE)=$AH$21,AC88&amp;" APART","Dato no encontrado")))))))))</f>
        <v>#N/A</v>
      </c>
      <c r="AE88" s="160"/>
      <c r="AF88" s="160"/>
      <c r="AG88" s="160"/>
      <c r="AH88" s="160"/>
      <c r="AI88" s="160"/>
      <c r="AJ88" s="160"/>
      <c r="AP88" s="160"/>
      <c r="AV88" s="160"/>
    </row>
    <row r="89">
      <c r="A89" s="158"/>
      <c r="B89" s="126">
        <v>86.0</v>
      </c>
      <c r="C89" s="78">
        <f>IFERROR(__xludf.DUMMYFUNCTION("""COMPUTED_VALUE"""),2680.0)</f>
        <v>2680</v>
      </c>
      <c r="D89" s="156">
        <f>IFERROR(__xludf.DUMMYFUNCTION("""COMPUTED_VALUE"""),46501.0)</f>
        <v>46501</v>
      </c>
      <c r="E89" s="78" t="str">
        <f>IFERROR(__xludf.DUMMYFUNCTION("""COMPUTED_VALUE"""),"BULTOS")</f>
        <v>BULTOS</v>
      </c>
      <c r="F89" s="156">
        <f>IFERROR(__xludf.DUMMYFUNCTION("""COMPUTED_VALUE"""),46086.0)</f>
        <v>46086</v>
      </c>
      <c r="G89" s="159">
        <f>IFERROR(__xludf.DUMMYFUNCTION("""COMPUTED_VALUE"""),50.0)</f>
        <v>50</v>
      </c>
      <c r="H89" s="78" t="str">
        <f>IFERROR(__xludf.DUMMYFUNCTION("""COMPUTED_VALUE"""),"VIGENTE")</f>
        <v>VIGENTE</v>
      </c>
      <c r="I89" s="132" t="str">
        <f t="shared" si="1"/>
        <v>-</v>
      </c>
      <c r="J89" s="158"/>
      <c r="K89" s="126">
        <v>86.0</v>
      </c>
      <c r="L89" s="78">
        <f>IFERROR(__xludf.DUMMYFUNCTION("""COMPUTED_VALUE"""),3256.0)</f>
        <v>3256</v>
      </c>
      <c r="M89" s="156">
        <f>IFERROR(__xludf.DUMMYFUNCTION("""COMPUTED_VALUE"""),46668.0)</f>
        <v>46668</v>
      </c>
      <c r="N89" s="78" t="str">
        <f>IFERROR(__xludf.DUMMYFUNCTION("""COMPUTED_VALUE"""),"02-Medellin")</f>
        <v>02-Medellin</v>
      </c>
      <c r="O89" s="156">
        <f>IFERROR(__xludf.DUMMYFUNCTION("""COMPUTED_VALUE"""),46128.0)</f>
        <v>46128</v>
      </c>
      <c r="P89" s="159">
        <f>IFERROR(__xludf.DUMMYFUNCTION("""COMPUTED_VALUE"""),1603.0)</f>
        <v>1603</v>
      </c>
      <c r="Q89" s="78" t="str">
        <f>IFERROR(__xludf.DUMMYFUNCTION("""COMPUTED_VALUE"""),"VIGENTE")</f>
        <v>VIGENTE</v>
      </c>
      <c r="R89" s="132" t="str">
        <f t="shared" si="2"/>
        <v>-</v>
      </c>
      <c r="T89" s="134" t="str">
        <f>CALENDARIO!D101</f>
        <v/>
      </c>
      <c r="U89" s="135" t="str">
        <f>CALENDARIO!C101</f>
        <v/>
      </c>
      <c r="W89" s="78"/>
      <c r="X89" s="136" t="str">
        <f>(VLOOKUP(W89,'BD LUB'!$A$2:$L$223,5,FALSE)/VLOOKUP(W89,'BD LUB'!$A$2:$L$223,7,FALSE))+(VLOOKUP(W89,'BD LUB'!$A$2:$L$223,6,FALSE)/VLOOKUP(W89,'BD LUB'!$A$2:$L$223,8,FALSE))</f>
        <v>#N/A</v>
      </c>
      <c r="Y89" s="137" t="str">
        <f>IF(AND(VLOOKUP(W89,'BD LUB'!$A$2:$L$223,11,FALSE)="PASADO",VLOOKUP(W89,'BD LUB'!$A$2:$L$223,12,FALSE)="PASADO"),1,IF(OR(AND(VLOOKUP(W89,'BD LUB'!$A$2:$L$223,11,FALSE)="PASADO",VLOOKUP(W89,'BD LUB'!$A$2:$L$223,12,FALSE)="PRÓXIMO"),AND(VLOOKUP(W89,'BD LUB'!$A$2:$L$223,11,FALSE)="PRÓXIMO",VLOOKUP(W89,'BD LUB'!$A$2:$L$223,12,FALSE)="PASADO")),2,IF(OR(AND(VLOOKUP(W89,'BD LUB'!$A$2:$L$223,11,FALSE)="PASADO",VLOOKUP(W89,'BD LUB'!$A$2:$L$223,12,FALSE)="VIGENTE"),AND(VLOOKUP(W89,'BD LUB'!$A$2:$L$223,11,FALSE)="VIGENTE",VLOOKUP(W89,'BD LUB'!$A$2:$L$223,12,FALSE)="PASADO")),3,IF(AND(VLOOKUP(W89,'BD LUB'!$A$2:$L$223,11,FALSE)="PRÓXIMO",VLOOKUP(W89,'BD LUB'!$A$2:$L$223,12,FALSE)="PRÓXIMO"),4,IF(OR(AND(VLOOKUP(W89,'BD LUB'!$A$2:$L$223,11,FALSE)="PRÓXIMO",VLOOKUP(W89,'BD LUB'!$A$2:$L$223,12,FALSE)="VIGENTE"),AND(VLOOKUP(W89,'BD LUB'!$A$2:$L$223,11,FALSE)="VIGENTE",VLOOKUP(W89,'BD LUB'!$A$2:$L$223,12,FALSE)="PRÓXIMO")),5,IF(AND(VLOOKUP(W89,'BD LUB'!$A$2:$L$223,11,FALSE)="VIGENTE",VLOOKUP(W89,'BD LUB'!$A$2:$L$223,12,FALSE)="VIGENTE"),6,"No definido"))))))</f>
        <v>#N/A</v>
      </c>
      <c r="Z89" s="138"/>
      <c r="AA89" s="139" t="str">
        <f>(VLOOKUP(Z89,'BD LUB'!$A$2:$L$223,5,FALSE)/VLOOKUP(Z89,'BD LUB'!$A$2:$L$223,7,FALSE))+(VLOOKUP(Z89,'BD LUB'!$A$2:$L$223,6,FALSE)/VLOOKUP(Z89,'BD LUB'!$A$2:$L$223,8,FALSE))</f>
        <v>#N/A</v>
      </c>
      <c r="AB89" s="78" t="str">
        <f>IF(AND(VLOOKUP(Z89,'BD LUB'!$A$2:$L$223,11,FALSE)="PASADO",VLOOKUP(Z89,'BD LUB'!$A$2:$L$223,12,FALSE)="PASADO"),1,IF(OR(AND(VLOOKUP(Z89,'BD LUB'!$A$2:$L$223,11,FALSE)="PASADO",VLOOKUP(Z89,'BD LUB'!$A$2:$L$223,12,FALSE)="PRÓXIMO"),AND(VLOOKUP(Z89,'BD LUB'!$A$2:$L$223,11,FALSE)="PRÓXIMO",VLOOKUP(Z89,'BD LUB'!$A$2:$L$223,12,FALSE)="PASADO")),2,IF(OR(AND(VLOOKUP(Z89,'BD LUB'!$A$2:$L$223,11,FALSE)="PASADO",VLOOKUP(Z89,'BD LUB'!$A$2:$L$223,12,FALSE)="VIGENTE"),AND(VLOOKUP(Z89,'BD LUB'!$A$2:$L$223,11,FALSE)="VIGENTE",VLOOKUP(Z89,'BD LUB'!$A$2:$L$223,12,FALSE)="PASADO")),3,IF(AND(VLOOKUP(Z89,'BD LUB'!$A$2:$L$223,11,FALSE)="PRÓXIMO",VLOOKUP(Z89,'BD LUB'!$A$2:$L$223,12,FALSE)="PRÓXIMO"),4,IF(OR(AND(VLOOKUP(Z89,'BD LUB'!$A$2:$L$223,11,FALSE)="PRÓXIMO",VLOOKUP(Z89,'BD LUB'!$A$2:$L$223,12,FALSE)="VIGENTE"),AND(VLOOKUP(Z89,'BD LUB'!$A$2:$L$223,11,FALSE)="VIGENTE",VLOOKUP(Z89,'BD LUB'!$A$2:$L$223,12,FALSE)="PRÓXIMO")),5,IF(AND(VLOOKUP(Z89,'BD LUB'!$A$2:$L$223,11,FALSE)="VIGENTE",VLOOKUP(Z89,'BD LUB'!$A$2:$L$223,12,FALSE)="VIGENTE"),6,"No definido"))))))</f>
        <v>#N/A</v>
      </c>
      <c r="AC89" s="78"/>
      <c r="AD89" s="136" t="str">
        <f>IF(VLOOKUP(AC89,'BD LUB'!$A$2:$C$223,3,FALSE)=$AH$20,AC89&amp;" MED",IF(VLOOKUP(AC89,'BD LUB'!$A$2:$C$223,3,FALSE)=$AH$19,AC89&amp;" MAY",IF(VLOOKUP(AC89,'BD LUB'!$A$2:$C$223,3,FALSE)=$AH$18,AC89&amp;" RN",IF(VLOOKUP(AC89,'BD LUB'!$A$2:$C$223,3,FALSE)=$AH$17,AC89&amp;" COPQUI",IF(VLOOKUP(AC89,'BD LUB'!$A$2:$C$223,3,FALSE)=$AH$16,AC89&amp;" CEJ",IF(VLOOKUP(AC89,'BD LUB'!$A$2:$C$223,3,FALSE)=$AH$15,AC89&amp;" BULT",IF(VLOOKUP(AC89,'BD LUB'!$A$2:$C$223,3,FALSE)=$AH$14,AC89&amp;" COP",IF(VLOOKUP(AC89,'BD LUB'!$A$2:$C$223,3,FALSE)=$AH$13,AC89&amp;" RIO",IF(VLOOKUP(AC89,'BD LUB'!$A$2:$C$223,3,FALSE)=$AH$21,AC89&amp;" APART","Dato no encontrado")))))))))</f>
        <v>#N/A</v>
      </c>
      <c r="AE89" s="160"/>
      <c r="AF89" s="160"/>
      <c r="AG89" s="160"/>
      <c r="AH89" s="160"/>
      <c r="AI89" s="160"/>
      <c r="AJ89" s="160"/>
      <c r="AP89" s="160"/>
      <c r="AV89" s="160"/>
    </row>
    <row r="90">
      <c r="A90" s="158"/>
      <c r="B90" s="126">
        <v>87.0</v>
      </c>
      <c r="C90" s="78">
        <f>IFERROR(__xludf.DUMMYFUNCTION("""COMPUTED_VALUE"""),2197.0)</f>
        <v>2197</v>
      </c>
      <c r="D90" s="156">
        <f>IFERROR(__xludf.DUMMYFUNCTION("""COMPUTED_VALUE"""),46529.0)</f>
        <v>46529</v>
      </c>
      <c r="E90" s="78" t="str">
        <f>IFERROR(__xludf.DUMMYFUNCTION("""COMPUTED_VALUE"""),"02-Medellin")</f>
        <v>02-Medellin</v>
      </c>
      <c r="F90" s="156">
        <f>IFERROR(__xludf.DUMMYFUNCTION("""COMPUTED_VALUE"""),46086.0)</f>
        <v>46086</v>
      </c>
      <c r="G90" s="159">
        <f>IFERROR(__xludf.DUMMYFUNCTION("""COMPUTED_VALUE"""),50.0)</f>
        <v>50</v>
      </c>
      <c r="H90" s="78" t="str">
        <f>IFERROR(__xludf.DUMMYFUNCTION("""COMPUTED_VALUE"""),"VIGENTE")</f>
        <v>VIGENTE</v>
      </c>
      <c r="I90" s="132" t="str">
        <f t="shared" si="1"/>
        <v>-</v>
      </c>
      <c r="J90" s="158"/>
      <c r="K90" s="126">
        <v>87.0</v>
      </c>
      <c r="L90" s="78">
        <f>IFERROR(__xludf.DUMMYFUNCTION("""COMPUTED_VALUE"""),2854.0)</f>
        <v>2854</v>
      </c>
      <c r="M90" s="156">
        <f>IFERROR(__xludf.DUMMYFUNCTION("""COMPUTED_VALUE"""),46575.0)</f>
        <v>46575</v>
      </c>
      <c r="N90" s="78" t="str">
        <f>IFERROR(__xludf.DUMMYFUNCTION("""COMPUTED_VALUE"""),"02-Medellin")</f>
        <v>02-Medellin</v>
      </c>
      <c r="O90" s="156">
        <f>IFERROR(__xludf.DUMMYFUNCTION("""COMPUTED_VALUE"""),46062.0)</f>
        <v>46062</v>
      </c>
      <c r="P90" s="159">
        <f>IFERROR(__xludf.DUMMYFUNCTION("""COMPUTED_VALUE"""),1612.0)</f>
        <v>1612</v>
      </c>
      <c r="Q90" s="78" t="str">
        <f>IFERROR(__xludf.DUMMYFUNCTION("""COMPUTED_VALUE"""),"VIGENTE")</f>
        <v>VIGENTE</v>
      </c>
      <c r="R90" s="132" t="str">
        <f t="shared" si="2"/>
        <v>-</v>
      </c>
      <c r="T90" s="134" t="str">
        <f>CALENDARIO!D102</f>
        <v/>
      </c>
      <c r="U90" s="135" t="str">
        <f>CALENDARIO!C102</f>
        <v/>
      </c>
      <c r="W90" s="78"/>
      <c r="X90" s="136" t="str">
        <f>(VLOOKUP(W90,'BD LUB'!$A$2:$L$223,5,FALSE)/VLOOKUP(W90,'BD LUB'!$A$2:$L$223,7,FALSE))+(VLOOKUP(W90,'BD LUB'!$A$2:$L$223,6,FALSE)/VLOOKUP(W90,'BD LUB'!$A$2:$L$223,8,FALSE))</f>
        <v>#N/A</v>
      </c>
      <c r="Y90" s="137" t="str">
        <f>IF(AND(VLOOKUP(W90,'BD LUB'!$A$2:$L$223,11,FALSE)="PASADO",VLOOKUP(W90,'BD LUB'!$A$2:$L$223,12,FALSE)="PASADO"),1,IF(OR(AND(VLOOKUP(W90,'BD LUB'!$A$2:$L$223,11,FALSE)="PASADO",VLOOKUP(W90,'BD LUB'!$A$2:$L$223,12,FALSE)="PRÓXIMO"),AND(VLOOKUP(W90,'BD LUB'!$A$2:$L$223,11,FALSE)="PRÓXIMO",VLOOKUP(W90,'BD LUB'!$A$2:$L$223,12,FALSE)="PASADO")),2,IF(OR(AND(VLOOKUP(W90,'BD LUB'!$A$2:$L$223,11,FALSE)="PASADO",VLOOKUP(W90,'BD LUB'!$A$2:$L$223,12,FALSE)="VIGENTE"),AND(VLOOKUP(W90,'BD LUB'!$A$2:$L$223,11,FALSE)="VIGENTE",VLOOKUP(W90,'BD LUB'!$A$2:$L$223,12,FALSE)="PASADO")),3,IF(AND(VLOOKUP(W90,'BD LUB'!$A$2:$L$223,11,FALSE)="PRÓXIMO",VLOOKUP(W90,'BD LUB'!$A$2:$L$223,12,FALSE)="PRÓXIMO"),4,IF(OR(AND(VLOOKUP(W90,'BD LUB'!$A$2:$L$223,11,FALSE)="PRÓXIMO",VLOOKUP(W90,'BD LUB'!$A$2:$L$223,12,FALSE)="VIGENTE"),AND(VLOOKUP(W90,'BD LUB'!$A$2:$L$223,11,FALSE)="VIGENTE",VLOOKUP(W90,'BD LUB'!$A$2:$L$223,12,FALSE)="PRÓXIMO")),5,IF(AND(VLOOKUP(W90,'BD LUB'!$A$2:$L$223,11,FALSE)="VIGENTE",VLOOKUP(W90,'BD LUB'!$A$2:$L$223,12,FALSE)="VIGENTE"),6,"No definido"))))))</f>
        <v>#N/A</v>
      </c>
      <c r="Z90" s="138"/>
      <c r="AA90" s="139" t="str">
        <f>(VLOOKUP(Z90,'BD LUB'!$A$2:$L$223,5,FALSE)/VLOOKUP(Z90,'BD LUB'!$A$2:$L$223,7,FALSE))+(VLOOKUP(Z90,'BD LUB'!$A$2:$L$223,6,FALSE)/VLOOKUP(Z90,'BD LUB'!$A$2:$L$223,8,FALSE))</f>
        <v>#N/A</v>
      </c>
      <c r="AB90" s="78" t="str">
        <f>IF(AND(VLOOKUP(Z90,'BD LUB'!$A$2:$L$223,11,FALSE)="PASADO",VLOOKUP(Z90,'BD LUB'!$A$2:$L$223,12,FALSE)="PASADO"),1,IF(OR(AND(VLOOKUP(Z90,'BD LUB'!$A$2:$L$223,11,FALSE)="PASADO",VLOOKUP(Z90,'BD LUB'!$A$2:$L$223,12,FALSE)="PRÓXIMO"),AND(VLOOKUP(Z90,'BD LUB'!$A$2:$L$223,11,FALSE)="PRÓXIMO",VLOOKUP(Z90,'BD LUB'!$A$2:$L$223,12,FALSE)="PASADO")),2,IF(OR(AND(VLOOKUP(Z90,'BD LUB'!$A$2:$L$223,11,FALSE)="PASADO",VLOOKUP(Z90,'BD LUB'!$A$2:$L$223,12,FALSE)="VIGENTE"),AND(VLOOKUP(Z90,'BD LUB'!$A$2:$L$223,11,FALSE)="VIGENTE",VLOOKUP(Z90,'BD LUB'!$A$2:$L$223,12,FALSE)="PASADO")),3,IF(AND(VLOOKUP(Z90,'BD LUB'!$A$2:$L$223,11,FALSE)="PRÓXIMO",VLOOKUP(Z90,'BD LUB'!$A$2:$L$223,12,FALSE)="PRÓXIMO"),4,IF(OR(AND(VLOOKUP(Z90,'BD LUB'!$A$2:$L$223,11,FALSE)="PRÓXIMO",VLOOKUP(Z90,'BD LUB'!$A$2:$L$223,12,FALSE)="VIGENTE"),AND(VLOOKUP(Z90,'BD LUB'!$A$2:$L$223,11,FALSE)="VIGENTE",VLOOKUP(Z90,'BD LUB'!$A$2:$L$223,12,FALSE)="PRÓXIMO")),5,IF(AND(VLOOKUP(Z90,'BD LUB'!$A$2:$L$223,11,FALSE)="VIGENTE",VLOOKUP(Z90,'BD LUB'!$A$2:$L$223,12,FALSE)="VIGENTE"),6,"No definido"))))))</f>
        <v>#N/A</v>
      </c>
      <c r="AC90" s="78"/>
      <c r="AD90" s="136" t="str">
        <f>IF(VLOOKUP(AC90,'BD LUB'!$A$2:$C$223,3,FALSE)=$AH$20,AC90&amp;" MED",IF(VLOOKUP(AC90,'BD LUB'!$A$2:$C$223,3,FALSE)=$AH$19,AC90&amp;" MAY",IF(VLOOKUP(AC90,'BD LUB'!$A$2:$C$223,3,FALSE)=$AH$18,AC90&amp;" RN",IF(VLOOKUP(AC90,'BD LUB'!$A$2:$C$223,3,FALSE)=$AH$17,AC90&amp;" COPQUI",IF(VLOOKUP(AC90,'BD LUB'!$A$2:$C$223,3,FALSE)=$AH$16,AC90&amp;" CEJ",IF(VLOOKUP(AC90,'BD LUB'!$A$2:$C$223,3,FALSE)=$AH$15,AC90&amp;" BULT",IF(VLOOKUP(AC90,'BD LUB'!$A$2:$C$223,3,FALSE)=$AH$14,AC90&amp;" COP",IF(VLOOKUP(AC90,'BD LUB'!$A$2:$C$223,3,FALSE)=$AH$13,AC90&amp;" RIO",IF(VLOOKUP(AC90,'BD LUB'!$A$2:$C$223,3,FALSE)=$AH$21,AC90&amp;" APART","Dato no encontrado")))))))))</f>
        <v>#N/A</v>
      </c>
      <c r="AE90" s="160"/>
      <c r="AF90" s="160"/>
      <c r="AG90" s="160"/>
      <c r="AH90" s="160"/>
      <c r="AI90" s="160"/>
      <c r="AJ90" s="160"/>
      <c r="AP90" s="160"/>
      <c r="AV90" s="160"/>
    </row>
    <row r="91">
      <c r="A91" s="158"/>
      <c r="B91" s="126">
        <v>88.0</v>
      </c>
      <c r="C91" s="78">
        <f>IFERROR(__xludf.DUMMYFUNCTION("""COMPUTED_VALUE"""),3280.0)</f>
        <v>3280</v>
      </c>
      <c r="D91" s="156">
        <f>IFERROR(__xludf.DUMMYFUNCTION("""COMPUTED_VALUE"""),46668.0)</f>
        <v>46668</v>
      </c>
      <c r="E91" s="78" t="str">
        <f>IFERROR(__xludf.DUMMYFUNCTION("""COMPUTED_VALUE"""),"02-Medellin")</f>
        <v>02-Medellin</v>
      </c>
      <c r="F91" s="156">
        <f>IFERROR(__xludf.DUMMYFUNCTION("""COMPUTED_VALUE"""),46087.0)</f>
        <v>46087</v>
      </c>
      <c r="G91" s="159">
        <f>IFERROR(__xludf.DUMMYFUNCTION("""COMPUTED_VALUE"""),51.0)</f>
        <v>51</v>
      </c>
      <c r="H91" s="78" t="str">
        <f>IFERROR(__xludf.DUMMYFUNCTION("""COMPUTED_VALUE"""),"VIGENTE")</f>
        <v>VIGENTE</v>
      </c>
      <c r="I91" s="132" t="str">
        <f t="shared" si="1"/>
        <v>-</v>
      </c>
      <c r="J91" s="158"/>
      <c r="K91" s="126">
        <v>88.0</v>
      </c>
      <c r="L91" s="78">
        <f>IFERROR(__xludf.DUMMYFUNCTION("""COMPUTED_VALUE"""),2855.0)</f>
        <v>2855</v>
      </c>
      <c r="M91" s="156">
        <f>IFERROR(__xludf.DUMMYFUNCTION("""COMPUTED_VALUE"""),46575.0)</f>
        <v>46575</v>
      </c>
      <c r="N91" s="78" t="str">
        <f>IFERROR(__xludf.DUMMYFUNCTION("""COMPUTED_VALUE"""),"02-Medellin")</f>
        <v>02-Medellin</v>
      </c>
      <c r="O91" s="156">
        <f>IFERROR(__xludf.DUMMYFUNCTION("""COMPUTED_VALUE"""),46091.0)</f>
        <v>46091</v>
      </c>
      <c r="P91" s="159">
        <f>IFERROR(__xludf.DUMMYFUNCTION("""COMPUTED_VALUE"""),1615.0)</f>
        <v>1615</v>
      </c>
      <c r="Q91" s="78" t="str">
        <f>IFERROR(__xludf.DUMMYFUNCTION("""COMPUTED_VALUE"""),"VIGENTE")</f>
        <v>VIGENTE</v>
      </c>
      <c r="R91" s="132" t="str">
        <f t="shared" si="2"/>
        <v>-</v>
      </c>
      <c r="T91" s="134" t="str">
        <f>CALENDARIO!D103</f>
        <v/>
      </c>
      <c r="U91" s="135" t="str">
        <f>CALENDARIO!C103</f>
        <v/>
      </c>
      <c r="W91" s="78"/>
      <c r="X91" s="136" t="str">
        <f>(VLOOKUP(W91,'BD LUB'!$A$2:$L$223,5,FALSE)/VLOOKUP(W91,'BD LUB'!$A$2:$L$223,7,FALSE))+(VLOOKUP(W91,'BD LUB'!$A$2:$L$223,6,FALSE)/VLOOKUP(W91,'BD LUB'!$A$2:$L$223,8,FALSE))</f>
        <v>#N/A</v>
      </c>
      <c r="Y91" s="137" t="str">
        <f>IF(AND(VLOOKUP(W91,'BD LUB'!$A$2:$L$223,11,FALSE)="PASADO",VLOOKUP(W91,'BD LUB'!$A$2:$L$223,12,FALSE)="PASADO"),1,IF(OR(AND(VLOOKUP(W91,'BD LUB'!$A$2:$L$223,11,FALSE)="PASADO",VLOOKUP(W91,'BD LUB'!$A$2:$L$223,12,FALSE)="PRÓXIMO"),AND(VLOOKUP(W91,'BD LUB'!$A$2:$L$223,11,FALSE)="PRÓXIMO",VLOOKUP(W91,'BD LUB'!$A$2:$L$223,12,FALSE)="PASADO")),2,IF(OR(AND(VLOOKUP(W91,'BD LUB'!$A$2:$L$223,11,FALSE)="PASADO",VLOOKUP(W91,'BD LUB'!$A$2:$L$223,12,FALSE)="VIGENTE"),AND(VLOOKUP(W91,'BD LUB'!$A$2:$L$223,11,FALSE)="VIGENTE",VLOOKUP(W91,'BD LUB'!$A$2:$L$223,12,FALSE)="PASADO")),3,IF(AND(VLOOKUP(W91,'BD LUB'!$A$2:$L$223,11,FALSE)="PRÓXIMO",VLOOKUP(W91,'BD LUB'!$A$2:$L$223,12,FALSE)="PRÓXIMO"),4,IF(OR(AND(VLOOKUP(W91,'BD LUB'!$A$2:$L$223,11,FALSE)="PRÓXIMO",VLOOKUP(W91,'BD LUB'!$A$2:$L$223,12,FALSE)="VIGENTE"),AND(VLOOKUP(W91,'BD LUB'!$A$2:$L$223,11,FALSE)="VIGENTE",VLOOKUP(W91,'BD LUB'!$A$2:$L$223,12,FALSE)="PRÓXIMO")),5,IF(AND(VLOOKUP(W91,'BD LUB'!$A$2:$L$223,11,FALSE)="VIGENTE",VLOOKUP(W91,'BD LUB'!$A$2:$L$223,12,FALSE)="VIGENTE"),6,"No definido"))))))</f>
        <v>#N/A</v>
      </c>
      <c r="Z91" s="138"/>
      <c r="AA91" s="139" t="str">
        <f>(VLOOKUP(Z91,'BD LUB'!$A$2:$L$223,5,FALSE)/VLOOKUP(Z91,'BD LUB'!$A$2:$L$223,7,FALSE))+(VLOOKUP(Z91,'BD LUB'!$A$2:$L$223,6,FALSE)/VLOOKUP(Z91,'BD LUB'!$A$2:$L$223,8,FALSE))</f>
        <v>#N/A</v>
      </c>
      <c r="AB91" s="78" t="str">
        <f>IF(AND(VLOOKUP(Z91,'BD LUB'!$A$2:$L$223,11,FALSE)="PASADO",VLOOKUP(Z91,'BD LUB'!$A$2:$L$223,12,FALSE)="PASADO"),1,IF(OR(AND(VLOOKUP(Z91,'BD LUB'!$A$2:$L$223,11,FALSE)="PASADO",VLOOKUP(Z91,'BD LUB'!$A$2:$L$223,12,FALSE)="PRÓXIMO"),AND(VLOOKUP(Z91,'BD LUB'!$A$2:$L$223,11,FALSE)="PRÓXIMO",VLOOKUP(Z91,'BD LUB'!$A$2:$L$223,12,FALSE)="PASADO")),2,IF(OR(AND(VLOOKUP(Z91,'BD LUB'!$A$2:$L$223,11,FALSE)="PASADO",VLOOKUP(Z91,'BD LUB'!$A$2:$L$223,12,FALSE)="VIGENTE"),AND(VLOOKUP(Z91,'BD LUB'!$A$2:$L$223,11,FALSE)="VIGENTE",VLOOKUP(Z91,'BD LUB'!$A$2:$L$223,12,FALSE)="PASADO")),3,IF(AND(VLOOKUP(Z91,'BD LUB'!$A$2:$L$223,11,FALSE)="PRÓXIMO",VLOOKUP(Z91,'BD LUB'!$A$2:$L$223,12,FALSE)="PRÓXIMO"),4,IF(OR(AND(VLOOKUP(Z91,'BD LUB'!$A$2:$L$223,11,FALSE)="PRÓXIMO",VLOOKUP(Z91,'BD LUB'!$A$2:$L$223,12,FALSE)="VIGENTE"),AND(VLOOKUP(Z91,'BD LUB'!$A$2:$L$223,11,FALSE)="VIGENTE",VLOOKUP(Z91,'BD LUB'!$A$2:$L$223,12,FALSE)="PRÓXIMO")),5,IF(AND(VLOOKUP(Z91,'BD LUB'!$A$2:$L$223,11,FALSE)="VIGENTE",VLOOKUP(Z91,'BD LUB'!$A$2:$L$223,12,FALSE)="VIGENTE"),6,"No definido"))))))</f>
        <v>#N/A</v>
      </c>
      <c r="AC91" s="78"/>
      <c r="AD91" s="136" t="str">
        <f>IF(VLOOKUP(AC91,'BD LUB'!$A$2:$C$223,3,FALSE)=$AH$20,AC91&amp;" MED",IF(VLOOKUP(AC91,'BD LUB'!$A$2:$C$223,3,FALSE)=$AH$19,AC91&amp;" MAY",IF(VLOOKUP(AC91,'BD LUB'!$A$2:$C$223,3,FALSE)=$AH$18,AC91&amp;" RN",IF(VLOOKUP(AC91,'BD LUB'!$A$2:$C$223,3,FALSE)=$AH$17,AC91&amp;" COPQUI",IF(VLOOKUP(AC91,'BD LUB'!$A$2:$C$223,3,FALSE)=$AH$16,AC91&amp;" CEJ",IF(VLOOKUP(AC91,'BD LUB'!$A$2:$C$223,3,FALSE)=$AH$15,AC91&amp;" BULT",IF(VLOOKUP(AC91,'BD LUB'!$A$2:$C$223,3,FALSE)=$AH$14,AC91&amp;" COP",IF(VLOOKUP(AC91,'BD LUB'!$A$2:$C$223,3,FALSE)=$AH$13,AC91&amp;" RIO",IF(VLOOKUP(AC91,'BD LUB'!$A$2:$C$223,3,FALSE)=$AH$21,AC91&amp;" APART","Dato no encontrado")))))))))</f>
        <v>#N/A</v>
      </c>
      <c r="AE91" s="160"/>
      <c r="AF91" s="160"/>
      <c r="AG91" s="160"/>
      <c r="AH91" s="160"/>
      <c r="AI91" s="160"/>
      <c r="AJ91" s="160"/>
      <c r="AP91" s="160"/>
      <c r="AV91" s="160"/>
    </row>
    <row r="92">
      <c r="A92" s="158"/>
      <c r="B92" s="126">
        <v>89.0</v>
      </c>
      <c r="C92" s="78">
        <f>IFERROR(__xludf.DUMMYFUNCTION("""COMPUTED_VALUE"""),3251.0)</f>
        <v>3251</v>
      </c>
      <c r="D92" s="156">
        <f>IFERROR(__xludf.DUMMYFUNCTION("""COMPUTED_VALUE"""),46661.0)</f>
        <v>46661</v>
      </c>
      <c r="E92" s="78" t="str">
        <f>IFERROR(__xludf.DUMMYFUNCTION("""COMPUTED_VALUE"""),"24-Rionegro")</f>
        <v>24-Rionegro</v>
      </c>
      <c r="F92" s="156">
        <f>IFERROR(__xludf.DUMMYFUNCTION("""COMPUTED_VALUE"""),46087.0)</f>
        <v>46087</v>
      </c>
      <c r="G92" s="159">
        <f>IFERROR(__xludf.DUMMYFUNCTION("""COMPUTED_VALUE"""),51.0)</f>
        <v>51</v>
      </c>
      <c r="H92" s="78" t="str">
        <f>IFERROR(__xludf.DUMMYFUNCTION("""COMPUTED_VALUE"""),"VIGENTE")</f>
        <v>VIGENTE</v>
      </c>
      <c r="I92" s="132" t="str">
        <f t="shared" si="1"/>
        <v>-</v>
      </c>
      <c r="J92" s="158"/>
      <c r="K92" s="126">
        <v>89.0</v>
      </c>
      <c r="L92" s="78">
        <f>IFERROR(__xludf.DUMMYFUNCTION("""COMPUTED_VALUE"""),2918.0)</f>
        <v>2918</v>
      </c>
      <c r="M92" s="156">
        <f>IFERROR(__xludf.DUMMYFUNCTION("""COMPUTED_VALUE"""),46303.0)</f>
        <v>46303</v>
      </c>
      <c r="N92" s="78" t="str">
        <f>IFERROR(__xludf.DUMMYFUNCTION("""COMPUTED_VALUE"""),"02-Medellin")</f>
        <v>02-Medellin</v>
      </c>
      <c r="O92" s="156">
        <f>IFERROR(__xludf.DUMMYFUNCTION("""COMPUTED_VALUE"""),46118.0)</f>
        <v>46118</v>
      </c>
      <c r="P92" s="159">
        <f>IFERROR(__xludf.DUMMYFUNCTION("""COMPUTED_VALUE"""),1647.0)</f>
        <v>1647</v>
      </c>
      <c r="Q92" s="78" t="str">
        <f>IFERROR(__xludf.DUMMYFUNCTION("""COMPUTED_VALUE"""),"VIGENTE")</f>
        <v>VIGENTE</v>
      </c>
      <c r="R92" s="132" t="str">
        <f t="shared" si="2"/>
        <v>-</v>
      </c>
      <c r="T92" s="134" t="str">
        <f>CALENDARIO!D104</f>
        <v/>
      </c>
      <c r="U92" s="135" t="str">
        <f>CALENDARIO!C104</f>
        <v/>
      </c>
      <c r="W92" s="78"/>
      <c r="X92" s="136" t="str">
        <f>(VLOOKUP(W92,'BD LUB'!$A$2:$L$223,5,FALSE)/VLOOKUP(W92,'BD LUB'!$A$2:$L$223,7,FALSE))+(VLOOKUP(W92,'BD LUB'!$A$2:$L$223,6,FALSE)/VLOOKUP(W92,'BD LUB'!$A$2:$L$223,8,FALSE))</f>
        <v>#N/A</v>
      </c>
      <c r="Y92" s="137" t="str">
        <f>IF(AND(VLOOKUP(W92,'BD LUB'!$A$2:$L$223,11,FALSE)="PASADO",VLOOKUP(W92,'BD LUB'!$A$2:$L$223,12,FALSE)="PASADO"),1,IF(OR(AND(VLOOKUP(W92,'BD LUB'!$A$2:$L$223,11,FALSE)="PASADO",VLOOKUP(W92,'BD LUB'!$A$2:$L$223,12,FALSE)="PRÓXIMO"),AND(VLOOKUP(W92,'BD LUB'!$A$2:$L$223,11,FALSE)="PRÓXIMO",VLOOKUP(W92,'BD LUB'!$A$2:$L$223,12,FALSE)="PASADO")),2,IF(OR(AND(VLOOKUP(W92,'BD LUB'!$A$2:$L$223,11,FALSE)="PASADO",VLOOKUP(W92,'BD LUB'!$A$2:$L$223,12,FALSE)="VIGENTE"),AND(VLOOKUP(W92,'BD LUB'!$A$2:$L$223,11,FALSE)="VIGENTE",VLOOKUP(W92,'BD LUB'!$A$2:$L$223,12,FALSE)="PASADO")),3,IF(AND(VLOOKUP(W92,'BD LUB'!$A$2:$L$223,11,FALSE)="PRÓXIMO",VLOOKUP(W92,'BD LUB'!$A$2:$L$223,12,FALSE)="PRÓXIMO"),4,IF(OR(AND(VLOOKUP(W92,'BD LUB'!$A$2:$L$223,11,FALSE)="PRÓXIMO",VLOOKUP(W92,'BD LUB'!$A$2:$L$223,12,FALSE)="VIGENTE"),AND(VLOOKUP(W92,'BD LUB'!$A$2:$L$223,11,FALSE)="VIGENTE",VLOOKUP(W92,'BD LUB'!$A$2:$L$223,12,FALSE)="PRÓXIMO")),5,IF(AND(VLOOKUP(W92,'BD LUB'!$A$2:$L$223,11,FALSE)="VIGENTE",VLOOKUP(W92,'BD LUB'!$A$2:$L$223,12,FALSE)="VIGENTE"),6,"No definido"))))))</f>
        <v>#N/A</v>
      </c>
      <c r="Z92" s="138"/>
      <c r="AA92" s="139" t="str">
        <f>(VLOOKUP(Z92,'BD LUB'!$A$2:$L$223,5,FALSE)/VLOOKUP(Z92,'BD LUB'!$A$2:$L$223,7,FALSE))+(VLOOKUP(Z92,'BD LUB'!$A$2:$L$223,6,FALSE)/VLOOKUP(Z92,'BD LUB'!$A$2:$L$223,8,FALSE))</f>
        <v>#N/A</v>
      </c>
      <c r="AB92" s="78" t="str">
        <f>IF(AND(VLOOKUP(Z92,'BD LUB'!$A$2:$L$223,11,FALSE)="PASADO",VLOOKUP(Z92,'BD LUB'!$A$2:$L$223,12,FALSE)="PASADO"),1,IF(OR(AND(VLOOKUP(Z92,'BD LUB'!$A$2:$L$223,11,FALSE)="PASADO",VLOOKUP(Z92,'BD LUB'!$A$2:$L$223,12,FALSE)="PRÓXIMO"),AND(VLOOKUP(Z92,'BD LUB'!$A$2:$L$223,11,FALSE)="PRÓXIMO",VLOOKUP(Z92,'BD LUB'!$A$2:$L$223,12,FALSE)="PASADO")),2,IF(OR(AND(VLOOKUP(Z92,'BD LUB'!$A$2:$L$223,11,FALSE)="PASADO",VLOOKUP(Z92,'BD LUB'!$A$2:$L$223,12,FALSE)="VIGENTE"),AND(VLOOKUP(Z92,'BD LUB'!$A$2:$L$223,11,FALSE)="VIGENTE",VLOOKUP(Z92,'BD LUB'!$A$2:$L$223,12,FALSE)="PASADO")),3,IF(AND(VLOOKUP(Z92,'BD LUB'!$A$2:$L$223,11,FALSE)="PRÓXIMO",VLOOKUP(Z92,'BD LUB'!$A$2:$L$223,12,FALSE)="PRÓXIMO"),4,IF(OR(AND(VLOOKUP(Z92,'BD LUB'!$A$2:$L$223,11,FALSE)="PRÓXIMO",VLOOKUP(Z92,'BD LUB'!$A$2:$L$223,12,FALSE)="VIGENTE"),AND(VLOOKUP(Z92,'BD LUB'!$A$2:$L$223,11,FALSE)="VIGENTE",VLOOKUP(Z92,'BD LUB'!$A$2:$L$223,12,FALSE)="PRÓXIMO")),5,IF(AND(VLOOKUP(Z92,'BD LUB'!$A$2:$L$223,11,FALSE)="VIGENTE",VLOOKUP(Z92,'BD LUB'!$A$2:$L$223,12,FALSE)="VIGENTE"),6,"No definido"))))))</f>
        <v>#N/A</v>
      </c>
      <c r="AC92" s="78"/>
      <c r="AD92" s="136" t="str">
        <f>IF(VLOOKUP(AC92,'BD LUB'!$A$2:$C$223,3,FALSE)=$AH$20,AC92&amp;" MED",IF(VLOOKUP(AC92,'BD LUB'!$A$2:$C$223,3,FALSE)=$AH$19,AC92&amp;" MAY",IF(VLOOKUP(AC92,'BD LUB'!$A$2:$C$223,3,FALSE)=$AH$18,AC92&amp;" RN",IF(VLOOKUP(AC92,'BD LUB'!$A$2:$C$223,3,FALSE)=$AH$17,AC92&amp;" COPQUI",IF(VLOOKUP(AC92,'BD LUB'!$A$2:$C$223,3,FALSE)=$AH$16,AC92&amp;" CEJ",IF(VLOOKUP(AC92,'BD LUB'!$A$2:$C$223,3,FALSE)=$AH$15,AC92&amp;" BULT",IF(VLOOKUP(AC92,'BD LUB'!$A$2:$C$223,3,FALSE)=$AH$14,AC92&amp;" COP",IF(VLOOKUP(AC92,'BD LUB'!$A$2:$C$223,3,FALSE)=$AH$13,AC92&amp;" RIO",IF(VLOOKUP(AC92,'BD LUB'!$A$2:$C$223,3,FALSE)=$AH$21,AC92&amp;" APART","Dato no encontrado")))))))))</f>
        <v>#N/A</v>
      </c>
      <c r="AE92" s="160"/>
      <c r="AF92" s="160"/>
      <c r="AG92" s="160"/>
      <c r="AH92" s="160"/>
      <c r="AI92" s="160"/>
      <c r="AJ92" s="160"/>
      <c r="AP92" s="160"/>
      <c r="AV92" s="160"/>
    </row>
    <row r="93">
      <c r="A93" s="158"/>
      <c r="B93" s="126">
        <v>90.0</v>
      </c>
      <c r="C93" s="78">
        <f>IFERROR(__xludf.DUMMYFUNCTION("""COMPUTED_VALUE"""),2925.0)</f>
        <v>2925</v>
      </c>
      <c r="D93" s="156">
        <f>IFERROR(__xludf.DUMMYFUNCTION("""COMPUTED_VALUE"""),46318.0)</f>
        <v>46318</v>
      </c>
      <c r="E93" s="78" t="str">
        <f>IFERROR(__xludf.DUMMYFUNCTION("""COMPUTED_VALUE"""),"02-Medellin")</f>
        <v>02-Medellin</v>
      </c>
      <c r="F93" s="156">
        <f>IFERROR(__xludf.DUMMYFUNCTION("""COMPUTED_VALUE"""),46087.0)</f>
        <v>46087</v>
      </c>
      <c r="G93" s="159">
        <f>IFERROR(__xludf.DUMMYFUNCTION("""COMPUTED_VALUE"""),51.0)</f>
        <v>51</v>
      </c>
      <c r="H93" s="78" t="str">
        <f>IFERROR(__xludf.DUMMYFUNCTION("""COMPUTED_VALUE"""),"VIGENTE")</f>
        <v>VIGENTE</v>
      </c>
      <c r="I93" s="132" t="str">
        <f t="shared" si="1"/>
        <v>-</v>
      </c>
      <c r="J93" s="158"/>
      <c r="K93" s="126">
        <v>90.0</v>
      </c>
      <c r="L93" s="78">
        <f>IFERROR(__xludf.DUMMYFUNCTION("""COMPUTED_VALUE"""),3279.0)</f>
        <v>3279</v>
      </c>
      <c r="M93" s="156">
        <f>IFERROR(__xludf.DUMMYFUNCTION("""COMPUTED_VALUE"""),46668.0)</f>
        <v>46668</v>
      </c>
      <c r="N93" s="78" t="str">
        <f>IFERROR(__xludf.DUMMYFUNCTION("""COMPUTED_VALUE"""),"02-Medellin")</f>
        <v>02-Medellin</v>
      </c>
      <c r="O93" s="156">
        <f>IFERROR(__xludf.DUMMYFUNCTION("""COMPUTED_VALUE"""),46126.0)</f>
        <v>46126</v>
      </c>
      <c r="P93" s="159">
        <f>IFERROR(__xludf.DUMMYFUNCTION("""COMPUTED_VALUE"""),1658.0)</f>
        <v>1658</v>
      </c>
      <c r="Q93" s="78" t="str">
        <f>IFERROR(__xludf.DUMMYFUNCTION("""COMPUTED_VALUE"""),"VIGENTE")</f>
        <v>VIGENTE</v>
      </c>
      <c r="R93" s="132" t="str">
        <f t="shared" si="2"/>
        <v>-</v>
      </c>
      <c r="T93" s="134" t="str">
        <f>CALENDARIO!D105</f>
        <v/>
      </c>
      <c r="U93" s="135" t="str">
        <f>CALENDARIO!C105</f>
        <v/>
      </c>
      <c r="W93" s="78"/>
      <c r="X93" s="136" t="str">
        <f>(VLOOKUP(W93,'BD LUB'!$A$2:$L$223,5,FALSE)/VLOOKUP(W93,'BD LUB'!$A$2:$L$223,7,FALSE))+(VLOOKUP(W93,'BD LUB'!$A$2:$L$223,6,FALSE)/VLOOKUP(W93,'BD LUB'!$A$2:$L$223,8,FALSE))</f>
        <v>#N/A</v>
      </c>
      <c r="Y93" s="137" t="str">
        <f>IF(AND(VLOOKUP(W93,'BD LUB'!$A$2:$L$223,11,FALSE)="PASADO",VLOOKUP(W93,'BD LUB'!$A$2:$L$223,12,FALSE)="PASADO"),1,IF(OR(AND(VLOOKUP(W93,'BD LUB'!$A$2:$L$223,11,FALSE)="PASADO",VLOOKUP(W93,'BD LUB'!$A$2:$L$223,12,FALSE)="PRÓXIMO"),AND(VLOOKUP(W93,'BD LUB'!$A$2:$L$223,11,FALSE)="PRÓXIMO",VLOOKUP(W93,'BD LUB'!$A$2:$L$223,12,FALSE)="PASADO")),2,IF(OR(AND(VLOOKUP(W93,'BD LUB'!$A$2:$L$223,11,FALSE)="PASADO",VLOOKUP(W93,'BD LUB'!$A$2:$L$223,12,FALSE)="VIGENTE"),AND(VLOOKUP(W93,'BD LUB'!$A$2:$L$223,11,FALSE)="VIGENTE",VLOOKUP(W93,'BD LUB'!$A$2:$L$223,12,FALSE)="PASADO")),3,IF(AND(VLOOKUP(W93,'BD LUB'!$A$2:$L$223,11,FALSE)="PRÓXIMO",VLOOKUP(W93,'BD LUB'!$A$2:$L$223,12,FALSE)="PRÓXIMO"),4,IF(OR(AND(VLOOKUP(W93,'BD LUB'!$A$2:$L$223,11,FALSE)="PRÓXIMO",VLOOKUP(W93,'BD LUB'!$A$2:$L$223,12,FALSE)="VIGENTE"),AND(VLOOKUP(W93,'BD LUB'!$A$2:$L$223,11,FALSE)="VIGENTE",VLOOKUP(W93,'BD LUB'!$A$2:$L$223,12,FALSE)="PRÓXIMO")),5,IF(AND(VLOOKUP(W93,'BD LUB'!$A$2:$L$223,11,FALSE)="VIGENTE",VLOOKUP(W93,'BD LUB'!$A$2:$L$223,12,FALSE)="VIGENTE"),6,"No definido"))))))</f>
        <v>#N/A</v>
      </c>
      <c r="Z93" s="138"/>
      <c r="AA93" s="139" t="str">
        <f>(VLOOKUP(Z93,'BD LUB'!$A$2:$L$223,5,FALSE)/VLOOKUP(Z93,'BD LUB'!$A$2:$L$223,7,FALSE))+(VLOOKUP(Z93,'BD LUB'!$A$2:$L$223,6,FALSE)/VLOOKUP(Z93,'BD LUB'!$A$2:$L$223,8,FALSE))</f>
        <v>#N/A</v>
      </c>
      <c r="AB93" s="78" t="str">
        <f>IF(AND(VLOOKUP(Z93,'BD LUB'!$A$2:$L$223,11,FALSE)="PASADO",VLOOKUP(Z93,'BD LUB'!$A$2:$L$223,12,FALSE)="PASADO"),1,IF(OR(AND(VLOOKUP(Z93,'BD LUB'!$A$2:$L$223,11,FALSE)="PASADO",VLOOKUP(Z93,'BD LUB'!$A$2:$L$223,12,FALSE)="PRÓXIMO"),AND(VLOOKUP(Z93,'BD LUB'!$A$2:$L$223,11,FALSE)="PRÓXIMO",VLOOKUP(Z93,'BD LUB'!$A$2:$L$223,12,FALSE)="PASADO")),2,IF(OR(AND(VLOOKUP(Z93,'BD LUB'!$A$2:$L$223,11,FALSE)="PASADO",VLOOKUP(Z93,'BD LUB'!$A$2:$L$223,12,FALSE)="VIGENTE"),AND(VLOOKUP(Z93,'BD LUB'!$A$2:$L$223,11,FALSE)="VIGENTE",VLOOKUP(Z93,'BD LUB'!$A$2:$L$223,12,FALSE)="PASADO")),3,IF(AND(VLOOKUP(Z93,'BD LUB'!$A$2:$L$223,11,FALSE)="PRÓXIMO",VLOOKUP(Z93,'BD LUB'!$A$2:$L$223,12,FALSE)="PRÓXIMO"),4,IF(OR(AND(VLOOKUP(Z93,'BD LUB'!$A$2:$L$223,11,FALSE)="PRÓXIMO",VLOOKUP(Z93,'BD LUB'!$A$2:$L$223,12,FALSE)="VIGENTE"),AND(VLOOKUP(Z93,'BD LUB'!$A$2:$L$223,11,FALSE)="VIGENTE",VLOOKUP(Z93,'BD LUB'!$A$2:$L$223,12,FALSE)="PRÓXIMO")),5,IF(AND(VLOOKUP(Z93,'BD LUB'!$A$2:$L$223,11,FALSE)="VIGENTE",VLOOKUP(Z93,'BD LUB'!$A$2:$L$223,12,FALSE)="VIGENTE"),6,"No definido"))))))</f>
        <v>#N/A</v>
      </c>
      <c r="AC93" s="78"/>
      <c r="AD93" s="136" t="str">
        <f>IF(VLOOKUP(AC93,'BD LUB'!$A$2:$C$223,3,FALSE)=$AH$20,AC93&amp;" MED",IF(VLOOKUP(AC93,'BD LUB'!$A$2:$C$223,3,FALSE)=$AH$19,AC93&amp;" MAY",IF(VLOOKUP(AC93,'BD LUB'!$A$2:$C$223,3,FALSE)=$AH$18,AC93&amp;" RN",IF(VLOOKUP(AC93,'BD LUB'!$A$2:$C$223,3,FALSE)=$AH$17,AC93&amp;" COPQUI",IF(VLOOKUP(AC93,'BD LUB'!$A$2:$C$223,3,FALSE)=$AH$16,AC93&amp;" CEJ",IF(VLOOKUP(AC93,'BD LUB'!$A$2:$C$223,3,FALSE)=$AH$15,AC93&amp;" BULT",IF(VLOOKUP(AC93,'BD LUB'!$A$2:$C$223,3,FALSE)=$AH$14,AC93&amp;" COP",IF(VLOOKUP(AC93,'BD LUB'!$A$2:$C$223,3,FALSE)=$AH$13,AC93&amp;" RIO",IF(VLOOKUP(AC93,'BD LUB'!$A$2:$C$223,3,FALSE)=$AH$21,AC93&amp;" APART","Dato no encontrado")))))))))</f>
        <v>#N/A</v>
      </c>
      <c r="AE93" s="160"/>
      <c r="AF93" s="160"/>
      <c r="AG93" s="160"/>
      <c r="AH93" s="160"/>
      <c r="AI93" s="160"/>
      <c r="AJ93" s="160"/>
      <c r="AP93" s="160"/>
      <c r="AV93" s="160"/>
    </row>
    <row r="94">
      <c r="A94" s="158"/>
      <c r="B94" s="126">
        <v>91.0</v>
      </c>
      <c r="C94" s="78">
        <f>IFERROR(__xludf.DUMMYFUNCTION("""COMPUTED_VALUE"""),2683.0)</f>
        <v>2683</v>
      </c>
      <c r="D94" s="156">
        <f>IFERROR(__xludf.DUMMYFUNCTION("""COMPUTED_VALUE"""),46512.0)</f>
        <v>46512</v>
      </c>
      <c r="E94" s="78" t="str">
        <f>IFERROR(__xludf.DUMMYFUNCTION("""COMPUTED_VALUE"""),"02-Medellin")</f>
        <v>02-Medellin</v>
      </c>
      <c r="F94" s="156">
        <f>IFERROR(__xludf.DUMMYFUNCTION("""COMPUTED_VALUE"""),46087.0)</f>
        <v>46087</v>
      </c>
      <c r="G94" s="159">
        <f>IFERROR(__xludf.DUMMYFUNCTION("""COMPUTED_VALUE"""),51.0)</f>
        <v>51</v>
      </c>
      <c r="H94" s="78" t="str">
        <f>IFERROR(__xludf.DUMMYFUNCTION("""COMPUTED_VALUE"""),"VIGENTE")</f>
        <v>VIGENTE</v>
      </c>
      <c r="I94" s="132" t="str">
        <f t="shared" si="1"/>
        <v>-</v>
      </c>
      <c r="J94" s="158"/>
      <c r="K94" s="126">
        <v>91.0</v>
      </c>
      <c r="L94" s="78">
        <f>IFERROR(__xludf.DUMMYFUNCTION("""COMPUTED_VALUE"""),2369.0)</f>
        <v>2369</v>
      </c>
      <c r="M94" s="156">
        <f>IFERROR(__xludf.DUMMYFUNCTION("""COMPUTED_VALUE"""),46541.0)</f>
        <v>46541</v>
      </c>
      <c r="N94" s="78" t="str">
        <f>IFERROR(__xludf.DUMMYFUNCTION("""COMPUTED_VALUE"""),"02-Medellin")</f>
        <v>02-Medellin</v>
      </c>
      <c r="O94" s="156">
        <f>IFERROR(__xludf.DUMMYFUNCTION("""COMPUTED_VALUE"""),46101.0)</f>
        <v>46101</v>
      </c>
      <c r="P94" s="159">
        <f>IFERROR(__xludf.DUMMYFUNCTION("""COMPUTED_VALUE"""),1703.3999999999996)</f>
        <v>1703.4</v>
      </c>
      <c r="Q94" s="78" t="str">
        <f>IFERROR(__xludf.DUMMYFUNCTION("""COMPUTED_VALUE"""),"VIGENTE")</f>
        <v>VIGENTE</v>
      </c>
      <c r="R94" s="132" t="str">
        <f t="shared" si="2"/>
        <v>-</v>
      </c>
      <c r="T94" s="134" t="str">
        <f>CALENDARIO!D106</f>
        <v/>
      </c>
      <c r="U94" s="135" t="str">
        <f>CALENDARIO!C106</f>
        <v/>
      </c>
      <c r="W94" s="78"/>
      <c r="X94" s="136" t="str">
        <f>(VLOOKUP(W94,'BD LUB'!$A$2:$L$223,5,FALSE)/VLOOKUP(W94,'BD LUB'!$A$2:$L$223,7,FALSE))+(VLOOKUP(W94,'BD LUB'!$A$2:$L$223,6,FALSE)/VLOOKUP(W94,'BD LUB'!$A$2:$L$223,8,FALSE))</f>
        <v>#N/A</v>
      </c>
      <c r="Y94" s="137" t="str">
        <f>IF(AND(VLOOKUP(W94,'BD LUB'!$A$2:$L$223,11,FALSE)="PASADO",VLOOKUP(W94,'BD LUB'!$A$2:$L$223,12,FALSE)="PASADO"),1,IF(OR(AND(VLOOKUP(W94,'BD LUB'!$A$2:$L$223,11,FALSE)="PASADO",VLOOKUP(W94,'BD LUB'!$A$2:$L$223,12,FALSE)="PRÓXIMO"),AND(VLOOKUP(W94,'BD LUB'!$A$2:$L$223,11,FALSE)="PRÓXIMO",VLOOKUP(W94,'BD LUB'!$A$2:$L$223,12,FALSE)="PASADO")),2,IF(OR(AND(VLOOKUP(W94,'BD LUB'!$A$2:$L$223,11,FALSE)="PASADO",VLOOKUP(W94,'BD LUB'!$A$2:$L$223,12,FALSE)="VIGENTE"),AND(VLOOKUP(W94,'BD LUB'!$A$2:$L$223,11,FALSE)="VIGENTE",VLOOKUP(W94,'BD LUB'!$A$2:$L$223,12,FALSE)="PASADO")),3,IF(AND(VLOOKUP(W94,'BD LUB'!$A$2:$L$223,11,FALSE)="PRÓXIMO",VLOOKUP(W94,'BD LUB'!$A$2:$L$223,12,FALSE)="PRÓXIMO"),4,IF(OR(AND(VLOOKUP(W94,'BD LUB'!$A$2:$L$223,11,FALSE)="PRÓXIMO",VLOOKUP(W94,'BD LUB'!$A$2:$L$223,12,FALSE)="VIGENTE"),AND(VLOOKUP(W94,'BD LUB'!$A$2:$L$223,11,FALSE)="VIGENTE",VLOOKUP(W94,'BD LUB'!$A$2:$L$223,12,FALSE)="PRÓXIMO")),5,IF(AND(VLOOKUP(W94,'BD LUB'!$A$2:$L$223,11,FALSE)="VIGENTE",VLOOKUP(W94,'BD LUB'!$A$2:$L$223,12,FALSE)="VIGENTE"),6,"No definido"))))))</f>
        <v>#N/A</v>
      </c>
      <c r="Z94" s="138"/>
      <c r="AA94" s="139" t="str">
        <f>(VLOOKUP(Z94,'BD LUB'!$A$2:$L$223,5,FALSE)/VLOOKUP(Z94,'BD LUB'!$A$2:$L$223,7,FALSE))+(VLOOKUP(Z94,'BD LUB'!$A$2:$L$223,6,FALSE)/VLOOKUP(Z94,'BD LUB'!$A$2:$L$223,8,FALSE))</f>
        <v>#N/A</v>
      </c>
      <c r="AB94" s="78" t="str">
        <f>IF(AND(VLOOKUP(Z94,'BD LUB'!$A$2:$L$223,11,FALSE)="PASADO",VLOOKUP(Z94,'BD LUB'!$A$2:$L$223,12,FALSE)="PASADO"),1,IF(OR(AND(VLOOKUP(Z94,'BD LUB'!$A$2:$L$223,11,FALSE)="PASADO",VLOOKUP(Z94,'BD LUB'!$A$2:$L$223,12,FALSE)="PRÓXIMO"),AND(VLOOKUP(Z94,'BD LUB'!$A$2:$L$223,11,FALSE)="PRÓXIMO",VLOOKUP(Z94,'BD LUB'!$A$2:$L$223,12,FALSE)="PASADO")),2,IF(OR(AND(VLOOKUP(Z94,'BD LUB'!$A$2:$L$223,11,FALSE)="PASADO",VLOOKUP(Z94,'BD LUB'!$A$2:$L$223,12,FALSE)="VIGENTE"),AND(VLOOKUP(Z94,'BD LUB'!$A$2:$L$223,11,FALSE)="VIGENTE",VLOOKUP(Z94,'BD LUB'!$A$2:$L$223,12,FALSE)="PASADO")),3,IF(AND(VLOOKUP(Z94,'BD LUB'!$A$2:$L$223,11,FALSE)="PRÓXIMO",VLOOKUP(Z94,'BD LUB'!$A$2:$L$223,12,FALSE)="PRÓXIMO"),4,IF(OR(AND(VLOOKUP(Z94,'BD LUB'!$A$2:$L$223,11,FALSE)="PRÓXIMO",VLOOKUP(Z94,'BD LUB'!$A$2:$L$223,12,FALSE)="VIGENTE"),AND(VLOOKUP(Z94,'BD LUB'!$A$2:$L$223,11,FALSE)="VIGENTE",VLOOKUP(Z94,'BD LUB'!$A$2:$L$223,12,FALSE)="PRÓXIMO")),5,IF(AND(VLOOKUP(Z94,'BD LUB'!$A$2:$L$223,11,FALSE)="VIGENTE",VLOOKUP(Z94,'BD LUB'!$A$2:$L$223,12,FALSE)="VIGENTE"),6,"No definido"))))))</f>
        <v>#N/A</v>
      </c>
      <c r="AC94" s="78"/>
      <c r="AD94" s="136" t="str">
        <f>IF(VLOOKUP(AC94,'BD LUB'!$A$2:$C$223,3,FALSE)=$AH$20,AC94&amp;" MED",IF(VLOOKUP(AC94,'BD LUB'!$A$2:$C$223,3,FALSE)=$AH$19,AC94&amp;" MAY",IF(VLOOKUP(AC94,'BD LUB'!$A$2:$C$223,3,FALSE)=$AH$18,AC94&amp;" RN",IF(VLOOKUP(AC94,'BD LUB'!$A$2:$C$223,3,FALSE)=$AH$17,AC94&amp;" COPQUI",IF(VLOOKUP(AC94,'BD LUB'!$A$2:$C$223,3,FALSE)=$AH$16,AC94&amp;" CEJ",IF(VLOOKUP(AC94,'BD LUB'!$A$2:$C$223,3,FALSE)=$AH$15,AC94&amp;" BULT",IF(VLOOKUP(AC94,'BD LUB'!$A$2:$C$223,3,FALSE)=$AH$14,AC94&amp;" COP",IF(VLOOKUP(AC94,'BD LUB'!$A$2:$C$223,3,FALSE)=$AH$13,AC94&amp;" RIO",IF(VLOOKUP(AC94,'BD LUB'!$A$2:$C$223,3,FALSE)=$AH$21,AC94&amp;" APART","Dato no encontrado")))))))))</f>
        <v>#N/A</v>
      </c>
      <c r="AE94" s="160"/>
      <c r="AF94" s="160"/>
      <c r="AG94" s="160"/>
      <c r="AH94" s="160"/>
      <c r="AI94" s="160"/>
      <c r="AJ94" s="160"/>
      <c r="AP94" s="160"/>
      <c r="AV94" s="160"/>
    </row>
    <row r="95">
      <c r="A95" s="158"/>
      <c r="B95" s="126">
        <v>92.0</v>
      </c>
      <c r="C95" s="78">
        <f>IFERROR(__xludf.DUMMYFUNCTION("""COMPUTED_VALUE"""),3249.0)</f>
        <v>3249</v>
      </c>
      <c r="D95" s="156">
        <f>IFERROR(__xludf.DUMMYFUNCTION("""COMPUTED_VALUE"""),46661.0)</f>
        <v>46661</v>
      </c>
      <c r="E95" s="78" t="str">
        <f>IFERROR(__xludf.DUMMYFUNCTION("""COMPUTED_VALUE"""),"02-Medellin")</f>
        <v>02-Medellin</v>
      </c>
      <c r="F95" s="156">
        <f>IFERROR(__xludf.DUMMYFUNCTION("""COMPUTED_VALUE"""),46090.0)</f>
        <v>46090</v>
      </c>
      <c r="G95" s="159">
        <f>IFERROR(__xludf.DUMMYFUNCTION("""COMPUTED_VALUE"""),54.0)</f>
        <v>54</v>
      </c>
      <c r="H95" s="78" t="str">
        <f>IFERROR(__xludf.DUMMYFUNCTION("""COMPUTED_VALUE"""),"VIGENTE")</f>
        <v>VIGENTE</v>
      </c>
      <c r="I95" s="132" t="str">
        <f t="shared" si="1"/>
        <v>-</v>
      </c>
      <c r="J95" s="158"/>
      <c r="K95" s="126">
        <v>92.0</v>
      </c>
      <c r="L95" s="78">
        <f>IFERROR(__xludf.DUMMYFUNCTION("""COMPUTED_VALUE"""),2392.0)</f>
        <v>2392</v>
      </c>
      <c r="M95" s="156">
        <f>IFERROR(__xludf.DUMMYFUNCTION("""COMPUTED_VALUE"""),46548.0)</f>
        <v>46548</v>
      </c>
      <c r="N95" s="78" t="str">
        <f>IFERROR(__xludf.DUMMYFUNCTION("""COMPUTED_VALUE"""),"02-Medellin")</f>
        <v>02-Medellin</v>
      </c>
      <c r="O95" s="156">
        <f>IFERROR(__xludf.DUMMYFUNCTION("""COMPUTED_VALUE"""),45980.0)</f>
        <v>45980</v>
      </c>
      <c r="P95" s="159">
        <f>IFERROR(__xludf.DUMMYFUNCTION("""COMPUTED_VALUE"""),1704.2999999999993)</f>
        <v>1704.3</v>
      </c>
      <c r="Q95" s="78" t="str">
        <f>IFERROR(__xludf.DUMMYFUNCTION("""COMPUTED_VALUE"""),"VIGENTE")</f>
        <v>VIGENTE</v>
      </c>
      <c r="R95" s="132" t="str">
        <f t="shared" si="2"/>
        <v>-</v>
      </c>
      <c r="T95" s="134" t="str">
        <f>CALENDARIO!D107</f>
        <v/>
      </c>
      <c r="U95" s="135" t="str">
        <f>CALENDARIO!C107</f>
        <v/>
      </c>
      <c r="W95" s="78"/>
      <c r="X95" s="136" t="str">
        <f>(VLOOKUP(W95,'BD LUB'!$A$2:$L$223,5,FALSE)/VLOOKUP(W95,'BD LUB'!$A$2:$L$223,7,FALSE))+(VLOOKUP(W95,'BD LUB'!$A$2:$L$223,6,FALSE)/VLOOKUP(W95,'BD LUB'!$A$2:$L$223,8,FALSE))</f>
        <v>#N/A</v>
      </c>
      <c r="Y95" s="137" t="str">
        <f>IF(AND(VLOOKUP(W95,'BD LUB'!$A$2:$L$223,11,FALSE)="PASADO",VLOOKUP(W95,'BD LUB'!$A$2:$L$223,12,FALSE)="PASADO"),1,IF(OR(AND(VLOOKUP(W95,'BD LUB'!$A$2:$L$223,11,FALSE)="PASADO",VLOOKUP(W95,'BD LUB'!$A$2:$L$223,12,FALSE)="PRÓXIMO"),AND(VLOOKUP(W95,'BD LUB'!$A$2:$L$223,11,FALSE)="PRÓXIMO",VLOOKUP(W95,'BD LUB'!$A$2:$L$223,12,FALSE)="PASADO")),2,IF(OR(AND(VLOOKUP(W95,'BD LUB'!$A$2:$L$223,11,FALSE)="PASADO",VLOOKUP(W95,'BD LUB'!$A$2:$L$223,12,FALSE)="VIGENTE"),AND(VLOOKUP(W95,'BD LUB'!$A$2:$L$223,11,FALSE)="VIGENTE",VLOOKUP(W95,'BD LUB'!$A$2:$L$223,12,FALSE)="PASADO")),3,IF(AND(VLOOKUP(W95,'BD LUB'!$A$2:$L$223,11,FALSE)="PRÓXIMO",VLOOKUP(W95,'BD LUB'!$A$2:$L$223,12,FALSE)="PRÓXIMO"),4,IF(OR(AND(VLOOKUP(W95,'BD LUB'!$A$2:$L$223,11,FALSE)="PRÓXIMO",VLOOKUP(W95,'BD LUB'!$A$2:$L$223,12,FALSE)="VIGENTE"),AND(VLOOKUP(W95,'BD LUB'!$A$2:$L$223,11,FALSE)="VIGENTE",VLOOKUP(W95,'BD LUB'!$A$2:$L$223,12,FALSE)="PRÓXIMO")),5,IF(AND(VLOOKUP(W95,'BD LUB'!$A$2:$L$223,11,FALSE)="VIGENTE",VLOOKUP(W95,'BD LUB'!$A$2:$L$223,12,FALSE)="VIGENTE"),6,"No definido"))))))</f>
        <v>#N/A</v>
      </c>
      <c r="Z95" s="138"/>
      <c r="AA95" s="139" t="str">
        <f>(VLOOKUP(Z95,'BD LUB'!$A$2:$L$223,5,FALSE)/VLOOKUP(Z95,'BD LUB'!$A$2:$L$223,7,FALSE))+(VLOOKUP(Z95,'BD LUB'!$A$2:$L$223,6,FALSE)/VLOOKUP(Z95,'BD LUB'!$A$2:$L$223,8,FALSE))</f>
        <v>#N/A</v>
      </c>
      <c r="AB95" s="78" t="str">
        <f>IF(AND(VLOOKUP(Z95,'BD LUB'!$A$2:$L$223,11,FALSE)="PASADO",VLOOKUP(Z95,'BD LUB'!$A$2:$L$223,12,FALSE)="PASADO"),1,IF(OR(AND(VLOOKUP(Z95,'BD LUB'!$A$2:$L$223,11,FALSE)="PASADO",VLOOKUP(Z95,'BD LUB'!$A$2:$L$223,12,FALSE)="PRÓXIMO"),AND(VLOOKUP(Z95,'BD LUB'!$A$2:$L$223,11,FALSE)="PRÓXIMO",VLOOKUP(Z95,'BD LUB'!$A$2:$L$223,12,FALSE)="PASADO")),2,IF(OR(AND(VLOOKUP(Z95,'BD LUB'!$A$2:$L$223,11,FALSE)="PASADO",VLOOKUP(Z95,'BD LUB'!$A$2:$L$223,12,FALSE)="VIGENTE"),AND(VLOOKUP(Z95,'BD LUB'!$A$2:$L$223,11,FALSE)="VIGENTE",VLOOKUP(Z95,'BD LUB'!$A$2:$L$223,12,FALSE)="PASADO")),3,IF(AND(VLOOKUP(Z95,'BD LUB'!$A$2:$L$223,11,FALSE)="PRÓXIMO",VLOOKUP(Z95,'BD LUB'!$A$2:$L$223,12,FALSE)="PRÓXIMO"),4,IF(OR(AND(VLOOKUP(Z95,'BD LUB'!$A$2:$L$223,11,FALSE)="PRÓXIMO",VLOOKUP(Z95,'BD LUB'!$A$2:$L$223,12,FALSE)="VIGENTE"),AND(VLOOKUP(Z95,'BD LUB'!$A$2:$L$223,11,FALSE)="VIGENTE",VLOOKUP(Z95,'BD LUB'!$A$2:$L$223,12,FALSE)="PRÓXIMO")),5,IF(AND(VLOOKUP(Z95,'BD LUB'!$A$2:$L$223,11,FALSE)="VIGENTE",VLOOKUP(Z95,'BD LUB'!$A$2:$L$223,12,FALSE)="VIGENTE"),6,"No definido"))))))</f>
        <v>#N/A</v>
      </c>
      <c r="AC95" s="78"/>
      <c r="AD95" s="136" t="str">
        <f>IF(VLOOKUP(AC95,'BD LUB'!$A$2:$C$223,3,FALSE)=$AH$20,AC95&amp;" MED",IF(VLOOKUP(AC95,'BD LUB'!$A$2:$C$223,3,FALSE)=$AH$19,AC95&amp;" MAY",IF(VLOOKUP(AC95,'BD LUB'!$A$2:$C$223,3,FALSE)=$AH$18,AC95&amp;" RN",IF(VLOOKUP(AC95,'BD LUB'!$A$2:$C$223,3,FALSE)=$AH$17,AC95&amp;" COPQUI",IF(VLOOKUP(AC95,'BD LUB'!$A$2:$C$223,3,FALSE)=$AH$16,AC95&amp;" CEJ",IF(VLOOKUP(AC95,'BD LUB'!$A$2:$C$223,3,FALSE)=$AH$15,AC95&amp;" BULT",IF(VLOOKUP(AC95,'BD LUB'!$A$2:$C$223,3,FALSE)=$AH$14,AC95&amp;" COP",IF(VLOOKUP(AC95,'BD LUB'!$A$2:$C$223,3,FALSE)=$AH$13,AC95&amp;" RIO",IF(VLOOKUP(AC95,'BD LUB'!$A$2:$C$223,3,FALSE)=$AH$21,AC95&amp;" APART","Dato no encontrado")))))))))</f>
        <v>#N/A</v>
      </c>
      <c r="AE95" s="160"/>
      <c r="AF95" s="160"/>
      <c r="AG95" s="160"/>
      <c r="AH95" s="160"/>
      <c r="AI95" s="160"/>
      <c r="AJ95" s="160"/>
      <c r="AP95" s="160"/>
      <c r="AV95" s="160"/>
    </row>
    <row r="96">
      <c r="A96" s="158"/>
      <c r="B96" s="126">
        <v>93.0</v>
      </c>
      <c r="C96" s="78">
        <f>IFERROR(__xludf.DUMMYFUNCTION("""COMPUTED_VALUE"""),2660.0)</f>
        <v>2660</v>
      </c>
      <c r="D96" s="156">
        <f>IFERROR(__xludf.DUMMYFUNCTION("""COMPUTED_VALUE"""),46491.0)</f>
        <v>46491</v>
      </c>
      <c r="E96" s="78" t="str">
        <f>IFERROR(__xludf.DUMMYFUNCTION("""COMPUTED_VALUE"""),"24-Rionegro")</f>
        <v>24-Rionegro</v>
      </c>
      <c r="F96" s="156">
        <f>IFERROR(__xludf.DUMMYFUNCTION("""COMPUTED_VALUE"""),46090.0)</f>
        <v>46090</v>
      </c>
      <c r="G96" s="159">
        <f>IFERROR(__xludf.DUMMYFUNCTION("""COMPUTED_VALUE"""),54.0)</f>
        <v>54</v>
      </c>
      <c r="H96" s="78" t="str">
        <f>IFERROR(__xludf.DUMMYFUNCTION("""COMPUTED_VALUE"""),"VIGENTE")</f>
        <v>VIGENTE</v>
      </c>
      <c r="I96" s="132" t="str">
        <f t="shared" si="1"/>
        <v>-</v>
      </c>
      <c r="J96" s="158"/>
      <c r="K96" s="126">
        <v>93.0</v>
      </c>
      <c r="L96" s="78">
        <f>IFERROR(__xludf.DUMMYFUNCTION("""COMPUTED_VALUE"""),3241.0)</f>
        <v>3241</v>
      </c>
      <c r="M96" s="156">
        <f>IFERROR(__xludf.DUMMYFUNCTION("""COMPUTED_VALUE"""),46661.0)</f>
        <v>46661</v>
      </c>
      <c r="N96" s="78" t="str">
        <f>IFERROR(__xludf.DUMMYFUNCTION("""COMPUTED_VALUE"""),"02-Medellin")</f>
        <v>02-Medellin</v>
      </c>
      <c r="O96" s="156">
        <f>IFERROR(__xludf.DUMMYFUNCTION("""COMPUTED_VALUE"""),46146.0)</f>
        <v>46146</v>
      </c>
      <c r="P96" s="159">
        <f>IFERROR(__xludf.DUMMYFUNCTION("""COMPUTED_VALUE"""),1777.0)</f>
        <v>1777</v>
      </c>
      <c r="Q96" s="78" t="str">
        <f>IFERROR(__xludf.DUMMYFUNCTION("""COMPUTED_VALUE"""),"VIGENTE")</f>
        <v>VIGENTE</v>
      </c>
      <c r="R96" s="132" t="str">
        <f t="shared" si="2"/>
        <v>-</v>
      </c>
      <c r="T96" s="134" t="str">
        <f>CALENDARIO!D108</f>
        <v/>
      </c>
      <c r="U96" s="135" t="str">
        <f>CALENDARIO!C108</f>
        <v/>
      </c>
      <c r="W96" s="78"/>
      <c r="X96" s="136" t="str">
        <f>(VLOOKUP(W96,'BD LUB'!$A$2:$L$223,5,FALSE)/VLOOKUP(W96,'BD LUB'!$A$2:$L$223,7,FALSE))+(VLOOKUP(W96,'BD LUB'!$A$2:$L$223,6,FALSE)/VLOOKUP(W96,'BD LUB'!$A$2:$L$223,8,FALSE))</f>
        <v>#N/A</v>
      </c>
      <c r="Y96" s="137" t="str">
        <f>IF(AND(VLOOKUP(W96,'BD LUB'!$A$2:$L$223,11,FALSE)="PASADO",VLOOKUP(W96,'BD LUB'!$A$2:$L$223,12,FALSE)="PASADO"),1,IF(OR(AND(VLOOKUP(W96,'BD LUB'!$A$2:$L$223,11,FALSE)="PASADO",VLOOKUP(W96,'BD LUB'!$A$2:$L$223,12,FALSE)="PRÓXIMO"),AND(VLOOKUP(W96,'BD LUB'!$A$2:$L$223,11,FALSE)="PRÓXIMO",VLOOKUP(W96,'BD LUB'!$A$2:$L$223,12,FALSE)="PASADO")),2,IF(OR(AND(VLOOKUP(W96,'BD LUB'!$A$2:$L$223,11,FALSE)="PASADO",VLOOKUP(W96,'BD LUB'!$A$2:$L$223,12,FALSE)="VIGENTE"),AND(VLOOKUP(W96,'BD LUB'!$A$2:$L$223,11,FALSE)="VIGENTE",VLOOKUP(W96,'BD LUB'!$A$2:$L$223,12,FALSE)="PASADO")),3,IF(AND(VLOOKUP(W96,'BD LUB'!$A$2:$L$223,11,FALSE)="PRÓXIMO",VLOOKUP(W96,'BD LUB'!$A$2:$L$223,12,FALSE)="PRÓXIMO"),4,IF(OR(AND(VLOOKUP(W96,'BD LUB'!$A$2:$L$223,11,FALSE)="PRÓXIMO",VLOOKUP(W96,'BD LUB'!$A$2:$L$223,12,FALSE)="VIGENTE"),AND(VLOOKUP(W96,'BD LUB'!$A$2:$L$223,11,FALSE)="VIGENTE",VLOOKUP(W96,'BD LUB'!$A$2:$L$223,12,FALSE)="PRÓXIMO")),5,IF(AND(VLOOKUP(W96,'BD LUB'!$A$2:$L$223,11,FALSE)="VIGENTE",VLOOKUP(W96,'BD LUB'!$A$2:$L$223,12,FALSE)="VIGENTE"),6,"No definido"))))))</f>
        <v>#N/A</v>
      </c>
      <c r="Z96" s="138"/>
      <c r="AA96" s="139" t="str">
        <f>(VLOOKUP(Z96,'BD LUB'!$A$2:$L$223,5,FALSE)/VLOOKUP(Z96,'BD LUB'!$A$2:$L$223,7,FALSE))+(VLOOKUP(Z96,'BD LUB'!$A$2:$L$223,6,FALSE)/VLOOKUP(Z96,'BD LUB'!$A$2:$L$223,8,FALSE))</f>
        <v>#N/A</v>
      </c>
      <c r="AB96" s="78" t="str">
        <f>IF(AND(VLOOKUP(Z96,'BD LUB'!$A$2:$L$223,11,FALSE)="PASADO",VLOOKUP(Z96,'BD LUB'!$A$2:$L$223,12,FALSE)="PASADO"),1,IF(OR(AND(VLOOKUP(Z96,'BD LUB'!$A$2:$L$223,11,FALSE)="PASADO",VLOOKUP(Z96,'BD LUB'!$A$2:$L$223,12,FALSE)="PRÓXIMO"),AND(VLOOKUP(Z96,'BD LUB'!$A$2:$L$223,11,FALSE)="PRÓXIMO",VLOOKUP(Z96,'BD LUB'!$A$2:$L$223,12,FALSE)="PASADO")),2,IF(OR(AND(VLOOKUP(Z96,'BD LUB'!$A$2:$L$223,11,FALSE)="PASADO",VLOOKUP(Z96,'BD LUB'!$A$2:$L$223,12,FALSE)="VIGENTE"),AND(VLOOKUP(Z96,'BD LUB'!$A$2:$L$223,11,FALSE)="VIGENTE",VLOOKUP(Z96,'BD LUB'!$A$2:$L$223,12,FALSE)="PASADO")),3,IF(AND(VLOOKUP(Z96,'BD LUB'!$A$2:$L$223,11,FALSE)="PRÓXIMO",VLOOKUP(Z96,'BD LUB'!$A$2:$L$223,12,FALSE)="PRÓXIMO"),4,IF(OR(AND(VLOOKUP(Z96,'BD LUB'!$A$2:$L$223,11,FALSE)="PRÓXIMO",VLOOKUP(Z96,'BD LUB'!$A$2:$L$223,12,FALSE)="VIGENTE"),AND(VLOOKUP(Z96,'BD LUB'!$A$2:$L$223,11,FALSE)="VIGENTE",VLOOKUP(Z96,'BD LUB'!$A$2:$L$223,12,FALSE)="PRÓXIMO")),5,IF(AND(VLOOKUP(Z96,'BD LUB'!$A$2:$L$223,11,FALSE)="VIGENTE",VLOOKUP(Z96,'BD LUB'!$A$2:$L$223,12,FALSE)="VIGENTE"),6,"No definido"))))))</f>
        <v>#N/A</v>
      </c>
      <c r="AC96" s="78"/>
      <c r="AD96" s="136" t="str">
        <f>IF(VLOOKUP(AC96,'BD LUB'!$A$2:$C$223,3,FALSE)=$AH$20,AC96&amp;" MED",IF(VLOOKUP(AC96,'BD LUB'!$A$2:$C$223,3,FALSE)=$AH$19,AC96&amp;" MAY",IF(VLOOKUP(AC96,'BD LUB'!$A$2:$C$223,3,FALSE)=$AH$18,AC96&amp;" RN",IF(VLOOKUP(AC96,'BD LUB'!$A$2:$C$223,3,FALSE)=$AH$17,AC96&amp;" COPQUI",IF(VLOOKUP(AC96,'BD LUB'!$A$2:$C$223,3,FALSE)=$AH$16,AC96&amp;" CEJ",IF(VLOOKUP(AC96,'BD LUB'!$A$2:$C$223,3,FALSE)=$AH$15,AC96&amp;" BULT",IF(VLOOKUP(AC96,'BD LUB'!$A$2:$C$223,3,FALSE)=$AH$14,AC96&amp;" COP",IF(VLOOKUP(AC96,'BD LUB'!$A$2:$C$223,3,FALSE)=$AH$13,AC96&amp;" RIO",IF(VLOOKUP(AC96,'BD LUB'!$A$2:$C$223,3,FALSE)=$AH$21,AC96&amp;" APART","Dato no encontrado")))))))))</f>
        <v>#N/A</v>
      </c>
      <c r="AE96" s="160"/>
      <c r="AF96" s="160"/>
      <c r="AG96" s="160"/>
      <c r="AH96" s="160"/>
      <c r="AI96" s="160"/>
      <c r="AJ96" s="160"/>
      <c r="AP96" s="160"/>
      <c r="AV96" s="160"/>
    </row>
    <row r="97">
      <c r="A97" s="158"/>
      <c r="B97" s="126">
        <v>94.0</v>
      </c>
      <c r="C97" s="78">
        <f>IFERROR(__xludf.DUMMYFUNCTION("""COMPUTED_VALUE"""),2403.0)</f>
        <v>2403</v>
      </c>
      <c r="D97" s="156">
        <f>IFERROR(__xludf.DUMMYFUNCTION("""COMPUTED_VALUE"""),46457.0)</f>
        <v>46457</v>
      </c>
      <c r="E97" s="78" t="str">
        <f>IFERROR(__xludf.DUMMYFUNCTION("""COMPUTED_VALUE"""),"BULTOS")</f>
        <v>BULTOS</v>
      </c>
      <c r="F97" s="156">
        <f>IFERROR(__xludf.DUMMYFUNCTION("""COMPUTED_VALUE"""),46090.0)</f>
        <v>46090</v>
      </c>
      <c r="G97" s="159">
        <f>IFERROR(__xludf.DUMMYFUNCTION("""COMPUTED_VALUE"""),54.0)</f>
        <v>54</v>
      </c>
      <c r="H97" s="78" t="str">
        <f>IFERROR(__xludf.DUMMYFUNCTION("""COMPUTED_VALUE"""),"VIGENTE")</f>
        <v>VIGENTE</v>
      </c>
      <c r="I97" s="132" t="str">
        <f t="shared" si="1"/>
        <v>-</v>
      </c>
      <c r="J97" s="158"/>
      <c r="K97" s="126">
        <v>94.0</v>
      </c>
      <c r="L97" s="78">
        <f>IFERROR(__xludf.DUMMYFUNCTION("""COMPUTED_VALUE"""),2200.0)</f>
        <v>2200</v>
      </c>
      <c r="M97" s="156">
        <f>IFERROR(__xludf.DUMMYFUNCTION("""COMPUTED_VALUE"""),46478.0)</f>
        <v>46478</v>
      </c>
      <c r="N97" s="78" t="str">
        <f>IFERROR(__xludf.DUMMYFUNCTION("""COMPUTED_VALUE"""),"BULTOS")</f>
        <v>BULTOS</v>
      </c>
      <c r="O97" s="156">
        <f>IFERROR(__xludf.DUMMYFUNCTION("""COMPUTED_VALUE"""),46044.0)</f>
        <v>46044</v>
      </c>
      <c r="P97" s="159">
        <f>IFERROR(__xludf.DUMMYFUNCTION("""COMPUTED_VALUE"""),1792.7000000000007)</f>
        <v>1792.7</v>
      </c>
      <c r="Q97" s="78" t="str">
        <f>IFERROR(__xludf.DUMMYFUNCTION("""COMPUTED_VALUE"""),"VIGENTE")</f>
        <v>VIGENTE</v>
      </c>
      <c r="R97" s="132" t="str">
        <f t="shared" si="2"/>
        <v>-</v>
      </c>
      <c r="T97" s="134" t="str">
        <f>CALENDARIO!D109</f>
        <v/>
      </c>
      <c r="U97" s="135" t="str">
        <f>CALENDARIO!C109</f>
        <v/>
      </c>
      <c r="W97" s="78"/>
      <c r="X97" s="136" t="str">
        <f>(VLOOKUP(W97,'BD LUB'!$A$2:$L$223,5,FALSE)/VLOOKUP(W97,'BD LUB'!$A$2:$L$223,7,FALSE))+(VLOOKUP(W97,'BD LUB'!$A$2:$L$223,6,FALSE)/VLOOKUP(W97,'BD LUB'!$A$2:$L$223,8,FALSE))</f>
        <v>#N/A</v>
      </c>
      <c r="Y97" s="137" t="str">
        <f>IF(AND(VLOOKUP(W97,'BD LUB'!$A$2:$L$223,11,FALSE)="PASADO",VLOOKUP(W97,'BD LUB'!$A$2:$L$223,12,FALSE)="PASADO"),1,IF(OR(AND(VLOOKUP(W97,'BD LUB'!$A$2:$L$223,11,FALSE)="PASADO",VLOOKUP(W97,'BD LUB'!$A$2:$L$223,12,FALSE)="PRÓXIMO"),AND(VLOOKUP(W97,'BD LUB'!$A$2:$L$223,11,FALSE)="PRÓXIMO",VLOOKUP(W97,'BD LUB'!$A$2:$L$223,12,FALSE)="PASADO")),2,IF(OR(AND(VLOOKUP(W97,'BD LUB'!$A$2:$L$223,11,FALSE)="PASADO",VLOOKUP(W97,'BD LUB'!$A$2:$L$223,12,FALSE)="VIGENTE"),AND(VLOOKUP(W97,'BD LUB'!$A$2:$L$223,11,FALSE)="VIGENTE",VLOOKUP(W97,'BD LUB'!$A$2:$L$223,12,FALSE)="PASADO")),3,IF(AND(VLOOKUP(W97,'BD LUB'!$A$2:$L$223,11,FALSE)="PRÓXIMO",VLOOKUP(W97,'BD LUB'!$A$2:$L$223,12,FALSE)="PRÓXIMO"),4,IF(OR(AND(VLOOKUP(W97,'BD LUB'!$A$2:$L$223,11,FALSE)="PRÓXIMO",VLOOKUP(W97,'BD LUB'!$A$2:$L$223,12,FALSE)="VIGENTE"),AND(VLOOKUP(W97,'BD LUB'!$A$2:$L$223,11,FALSE)="VIGENTE",VLOOKUP(W97,'BD LUB'!$A$2:$L$223,12,FALSE)="PRÓXIMO")),5,IF(AND(VLOOKUP(W97,'BD LUB'!$A$2:$L$223,11,FALSE)="VIGENTE",VLOOKUP(W97,'BD LUB'!$A$2:$L$223,12,FALSE)="VIGENTE"),6,"No definido"))))))</f>
        <v>#N/A</v>
      </c>
      <c r="Z97" s="138"/>
      <c r="AA97" s="139" t="str">
        <f>(VLOOKUP(Z97,'BD LUB'!$A$2:$L$223,5,FALSE)/VLOOKUP(Z97,'BD LUB'!$A$2:$L$223,7,FALSE))+(VLOOKUP(Z97,'BD LUB'!$A$2:$L$223,6,FALSE)/VLOOKUP(Z97,'BD LUB'!$A$2:$L$223,8,FALSE))</f>
        <v>#N/A</v>
      </c>
      <c r="AB97" s="78" t="str">
        <f>IF(AND(VLOOKUP(Z97,'BD LUB'!$A$2:$L$223,11,FALSE)="PASADO",VLOOKUP(Z97,'BD LUB'!$A$2:$L$223,12,FALSE)="PASADO"),1,IF(OR(AND(VLOOKUP(Z97,'BD LUB'!$A$2:$L$223,11,FALSE)="PASADO",VLOOKUP(Z97,'BD LUB'!$A$2:$L$223,12,FALSE)="PRÓXIMO"),AND(VLOOKUP(Z97,'BD LUB'!$A$2:$L$223,11,FALSE)="PRÓXIMO",VLOOKUP(Z97,'BD LUB'!$A$2:$L$223,12,FALSE)="PASADO")),2,IF(OR(AND(VLOOKUP(Z97,'BD LUB'!$A$2:$L$223,11,FALSE)="PASADO",VLOOKUP(Z97,'BD LUB'!$A$2:$L$223,12,FALSE)="VIGENTE"),AND(VLOOKUP(Z97,'BD LUB'!$A$2:$L$223,11,FALSE)="VIGENTE",VLOOKUP(Z97,'BD LUB'!$A$2:$L$223,12,FALSE)="PASADO")),3,IF(AND(VLOOKUP(Z97,'BD LUB'!$A$2:$L$223,11,FALSE)="PRÓXIMO",VLOOKUP(Z97,'BD LUB'!$A$2:$L$223,12,FALSE)="PRÓXIMO"),4,IF(OR(AND(VLOOKUP(Z97,'BD LUB'!$A$2:$L$223,11,FALSE)="PRÓXIMO",VLOOKUP(Z97,'BD LUB'!$A$2:$L$223,12,FALSE)="VIGENTE"),AND(VLOOKUP(Z97,'BD LUB'!$A$2:$L$223,11,FALSE)="VIGENTE",VLOOKUP(Z97,'BD LUB'!$A$2:$L$223,12,FALSE)="PRÓXIMO")),5,IF(AND(VLOOKUP(Z97,'BD LUB'!$A$2:$L$223,11,FALSE)="VIGENTE",VLOOKUP(Z97,'BD LUB'!$A$2:$L$223,12,FALSE)="VIGENTE"),6,"No definido"))))))</f>
        <v>#N/A</v>
      </c>
      <c r="AC97" s="78"/>
      <c r="AD97" s="136" t="str">
        <f>IF(VLOOKUP(AC97,'BD LUB'!$A$2:$C$223,3,FALSE)=$AH$20,AC97&amp;" MED",IF(VLOOKUP(AC97,'BD LUB'!$A$2:$C$223,3,FALSE)=$AH$19,AC97&amp;" MAY",IF(VLOOKUP(AC97,'BD LUB'!$A$2:$C$223,3,FALSE)=$AH$18,AC97&amp;" RN",IF(VLOOKUP(AC97,'BD LUB'!$A$2:$C$223,3,FALSE)=$AH$17,AC97&amp;" COPQUI",IF(VLOOKUP(AC97,'BD LUB'!$A$2:$C$223,3,FALSE)=$AH$16,AC97&amp;" CEJ",IF(VLOOKUP(AC97,'BD LUB'!$A$2:$C$223,3,FALSE)=$AH$15,AC97&amp;" BULT",IF(VLOOKUP(AC97,'BD LUB'!$A$2:$C$223,3,FALSE)=$AH$14,AC97&amp;" COP",IF(VLOOKUP(AC97,'BD LUB'!$A$2:$C$223,3,FALSE)=$AH$13,AC97&amp;" RIO",IF(VLOOKUP(AC97,'BD LUB'!$A$2:$C$223,3,FALSE)=$AH$21,AC97&amp;" APART","Dato no encontrado")))))))))</f>
        <v>#N/A</v>
      </c>
      <c r="AE97" s="160"/>
      <c r="AF97" s="160"/>
      <c r="AG97" s="160"/>
      <c r="AH97" s="160"/>
      <c r="AI97" s="160"/>
      <c r="AJ97" s="160"/>
      <c r="AP97" s="160"/>
      <c r="AV97" s="160"/>
    </row>
    <row r="98">
      <c r="A98" s="158"/>
      <c r="B98" s="126">
        <v>95.0</v>
      </c>
      <c r="C98" s="78">
        <f>IFERROR(__xludf.DUMMYFUNCTION("""COMPUTED_VALUE"""),2206.0)</f>
        <v>2206</v>
      </c>
      <c r="D98" s="156">
        <f>IFERROR(__xludf.DUMMYFUNCTION("""COMPUTED_VALUE"""),46548.0)</f>
        <v>46548</v>
      </c>
      <c r="E98" s="78" t="str">
        <f>IFERROR(__xludf.DUMMYFUNCTION("""COMPUTED_VALUE"""),"MAYORCA")</f>
        <v>MAYORCA</v>
      </c>
      <c r="F98" s="156">
        <f>IFERROR(__xludf.DUMMYFUNCTION("""COMPUTED_VALUE"""),46090.0)</f>
        <v>46090</v>
      </c>
      <c r="G98" s="159">
        <f>IFERROR(__xludf.DUMMYFUNCTION("""COMPUTED_VALUE"""),54.0)</f>
        <v>54</v>
      </c>
      <c r="H98" s="78" t="str">
        <f>IFERROR(__xludf.DUMMYFUNCTION("""COMPUTED_VALUE"""),"VIGENTE")</f>
        <v>VIGENTE</v>
      </c>
      <c r="I98" s="132" t="str">
        <f t="shared" si="1"/>
        <v>-</v>
      </c>
      <c r="J98" s="158"/>
      <c r="K98" s="126">
        <v>95.0</v>
      </c>
      <c r="L98" s="78">
        <f>IFERROR(__xludf.DUMMYFUNCTION("""COMPUTED_VALUE"""),2889.0)</f>
        <v>2889</v>
      </c>
      <c r="M98" s="156">
        <f>IFERROR(__xludf.DUMMYFUNCTION("""COMPUTED_VALUE"""),46233.0)</f>
        <v>46233</v>
      </c>
      <c r="N98" s="78" t="str">
        <f>IFERROR(__xludf.DUMMYFUNCTION("""COMPUTED_VALUE"""),"31-Copacabana")</f>
        <v>31-Copacabana</v>
      </c>
      <c r="O98" s="156">
        <f>IFERROR(__xludf.DUMMYFUNCTION("""COMPUTED_VALUE"""),46141.0)</f>
        <v>46141</v>
      </c>
      <c r="P98" s="159">
        <f>IFERROR(__xludf.DUMMYFUNCTION("""COMPUTED_VALUE"""),1849.0)</f>
        <v>1849</v>
      </c>
      <c r="Q98" s="78" t="str">
        <f>IFERROR(__xludf.DUMMYFUNCTION("""COMPUTED_VALUE"""),"VIGENTE")</f>
        <v>VIGENTE</v>
      </c>
      <c r="R98" s="132" t="str">
        <f t="shared" si="2"/>
        <v>-</v>
      </c>
      <c r="T98" s="134" t="str">
        <f>CALENDARIO!D110</f>
        <v/>
      </c>
      <c r="U98" s="135" t="str">
        <f>CALENDARIO!C110</f>
        <v/>
      </c>
      <c r="W98" s="78"/>
      <c r="X98" s="136" t="str">
        <f>(VLOOKUP(W98,'BD LUB'!$A$2:$L$223,5,FALSE)/VLOOKUP(W98,'BD LUB'!$A$2:$L$223,7,FALSE))+(VLOOKUP(W98,'BD LUB'!$A$2:$L$223,6,FALSE)/VLOOKUP(W98,'BD LUB'!$A$2:$L$223,8,FALSE))</f>
        <v>#N/A</v>
      </c>
      <c r="Y98" s="137" t="str">
        <f>IF(AND(VLOOKUP(W98,'BD LUB'!$A$2:$L$223,11,FALSE)="PASADO",VLOOKUP(W98,'BD LUB'!$A$2:$L$223,12,FALSE)="PASADO"),1,IF(OR(AND(VLOOKUP(W98,'BD LUB'!$A$2:$L$223,11,FALSE)="PASADO",VLOOKUP(W98,'BD LUB'!$A$2:$L$223,12,FALSE)="PRÓXIMO"),AND(VLOOKUP(W98,'BD LUB'!$A$2:$L$223,11,FALSE)="PRÓXIMO",VLOOKUP(W98,'BD LUB'!$A$2:$L$223,12,FALSE)="PASADO")),2,IF(OR(AND(VLOOKUP(W98,'BD LUB'!$A$2:$L$223,11,FALSE)="PASADO",VLOOKUP(W98,'BD LUB'!$A$2:$L$223,12,FALSE)="VIGENTE"),AND(VLOOKUP(W98,'BD LUB'!$A$2:$L$223,11,FALSE)="VIGENTE",VLOOKUP(W98,'BD LUB'!$A$2:$L$223,12,FALSE)="PASADO")),3,IF(AND(VLOOKUP(W98,'BD LUB'!$A$2:$L$223,11,FALSE)="PRÓXIMO",VLOOKUP(W98,'BD LUB'!$A$2:$L$223,12,FALSE)="PRÓXIMO"),4,IF(OR(AND(VLOOKUP(W98,'BD LUB'!$A$2:$L$223,11,FALSE)="PRÓXIMO",VLOOKUP(W98,'BD LUB'!$A$2:$L$223,12,FALSE)="VIGENTE"),AND(VLOOKUP(W98,'BD LUB'!$A$2:$L$223,11,FALSE)="VIGENTE",VLOOKUP(W98,'BD LUB'!$A$2:$L$223,12,FALSE)="PRÓXIMO")),5,IF(AND(VLOOKUP(W98,'BD LUB'!$A$2:$L$223,11,FALSE)="VIGENTE",VLOOKUP(W98,'BD LUB'!$A$2:$L$223,12,FALSE)="VIGENTE"),6,"No definido"))))))</f>
        <v>#N/A</v>
      </c>
      <c r="Z98" s="138"/>
      <c r="AA98" s="139" t="str">
        <f>(VLOOKUP(Z98,'BD LUB'!$A$2:$L$223,5,FALSE)/VLOOKUP(Z98,'BD LUB'!$A$2:$L$223,7,FALSE))+(VLOOKUP(Z98,'BD LUB'!$A$2:$L$223,6,FALSE)/VLOOKUP(Z98,'BD LUB'!$A$2:$L$223,8,FALSE))</f>
        <v>#N/A</v>
      </c>
      <c r="AB98" s="78" t="str">
        <f>IF(AND(VLOOKUP(Z98,'BD LUB'!$A$2:$L$223,11,FALSE)="PASADO",VLOOKUP(Z98,'BD LUB'!$A$2:$L$223,12,FALSE)="PASADO"),1,IF(OR(AND(VLOOKUP(Z98,'BD LUB'!$A$2:$L$223,11,FALSE)="PASADO",VLOOKUP(Z98,'BD LUB'!$A$2:$L$223,12,FALSE)="PRÓXIMO"),AND(VLOOKUP(Z98,'BD LUB'!$A$2:$L$223,11,FALSE)="PRÓXIMO",VLOOKUP(Z98,'BD LUB'!$A$2:$L$223,12,FALSE)="PASADO")),2,IF(OR(AND(VLOOKUP(Z98,'BD LUB'!$A$2:$L$223,11,FALSE)="PASADO",VLOOKUP(Z98,'BD LUB'!$A$2:$L$223,12,FALSE)="VIGENTE"),AND(VLOOKUP(Z98,'BD LUB'!$A$2:$L$223,11,FALSE)="VIGENTE",VLOOKUP(Z98,'BD LUB'!$A$2:$L$223,12,FALSE)="PASADO")),3,IF(AND(VLOOKUP(Z98,'BD LUB'!$A$2:$L$223,11,FALSE)="PRÓXIMO",VLOOKUP(Z98,'BD LUB'!$A$2:$L$223,12,FALSE)="PRÓXIMO"),4,IF(OR(AND(VLOOKUP(Z98,'BD LUB'!$A$2:$L$223,11,FALSE)="PRÓXIMO",VLOOKUP(Z98,'BD LUB'!$A$2:$L$223,12,FALSE)="VIGENTE"),AND(VLOOKUP(Z98,'BD LUB'!$A$2:$L$223,11,FALSE)="VIGENTE",VLOOKUP(Z98,'BD LUB'!$A$2:$L$223,12,FALSE)="PRÓXIMO")),5,IF(AND(VLOOKUP(Z98,'BD LUB'!$A$2:$L$223,11,FALSE)="VIGENTE",VLOOKUP(Z98,'BD LUB'!$A$2:$L$223,12,FALSE)="VIGENTE"),6,"No definido"))))))</f>
        <v>#N/A</v>
      </c>
      <c r="AC98" s="78"/>
      <c r="AD98" s="136" t="str">
        <f>IF(VLOOKUP(AC98,'BD LUB'!$A$2:$C$223,3,FALSE)=$AH$20,AC98&amp;" MED",IF(VLOOKUP(AC98,'BD LUB'!$A$2:$C$223,3,FALSE)=$AH$19,AC98&amp;" MAY",IF(VLOOKUP(AC98,'BD LUB'!$A$2:$C$223,3,FALSE)=$AH$18,AC98&amp;" RN",IF(VLOOKUP(AC98,'BD LUB'!$A$2:$C$223,3,FALSE)=$AH$17,AC98&amp;" COPQUI",IF(VLOOKUP(AC98,'BD LUB'!$A$2:$C$223,3,FALSE)=$AH$16,AC98&amp;" CEJ",IF(VLOOKUP(AC98,'BD LUB'!$A$2:$C$223,3,FALSE)=$AH$15,AC98&amp;" BULT",IF(VLOOKUP(AC98,'BD LUB'!$A$2:$C$223,3,FALSE)=$AH$14,AC98&amp;" COP",IF(VLOOKUP(AC98,'BD LUB'!$A$2:$C$223,3,FALSE)=$AH$13,AC98&amp;" RIO",IF(VLOOKUP(AC98,'BD LUB'!$A$2:$C$223,3,FALSE)=$AH$21,AC98&amp;" APART","Dato no encontrado")))))))))</f>
        <v>#N/A</v>
      </c>
      <c r="AE98" s="160"/>
      <c r="AF98" s="160"/>
      <c r="AG98" s="160"/>
      <c r="AH98" s="160"/>
      <c r="AI98" s="160"/>
      <c r="AJ98" s="160"/>
      <c r="AP98" s="160"/>
      <c r="AV98" s="160"/>
    </row>
    <row r="99">
      <c r="A99" s="158"/>
      <c r="B99" s="126">
        <v>96.0</v>
      </c>
      <c r="C99" s="78">
        <f>IFERROR(__xludf.DUMMYFUNCTION("""COMPUTED_VALUE"""),3213.0)</f>
        <v>3213</v>
      </c>
      <c r="D99" s="156">
        <f>IFERROR(__xludf.DUMMYFUNCTION("""COMPUTED_VALUE"""),46654.0)</f>
        <v>46654</v>
      </c>
      <c r="E99" s="78" t="str">
        <f>IFERROR(__xludf.DUMMYFUNCTION("""COMPUTED_VALUE"""),"02-Medellin")</f>
        <v>02-Medellin</v>
      </c>
      <c r="F99" s="156">
        <f>IFERROR(__xludf.DUMMYFUNCTION("""COMPUTED_VALUE"""),46091.0)</f>
        <v>46091</v>
      </c>
      <c r="G99" s="159">
        <f>IFERROR(__xludf.DUMMYFUNCTION("""COMPUTED_VALUE"""),55.0)</f>
        <v>55</v>
      </c>
      <c r="H99" s="78" t="str">
        <f>IFERROR(__xludf.DUMMYFUNCTION("""COMPUTED_VALUE"""),"VIGENTE")</f>
        <v>VIGENTE</v>
      </c>
      <c r="I99" s="132" t="str">
        <f t="shared" si="1"/>
        <v>-</v>
      </c>
      <c r="J99" s="158"/>
      <c r="K99" s="126">
        <v>96.0</v>
      </c>
      <c r="L99" s="78">
        <f>IFERROR(__xludf.DUMMYFUNCTION("""COMPUTED_VALUE"""),3210.0)</f>
        <v>3210</v>
      </c>
      <c r="M99" s="156">
        <f>IFERROR(__xludf.DUMMYFUNCTION("""COMPUTED_VALUE"""),46648.0)</f>
        <v>46648</v>
      </c>
      <c r="N99" s="78" t="str">
        <f>IFERROR(__xludf.DUMMYFUNCTION("""COMPUTED_VALUE"""),"02-Medellin")</f>
        <v>02-Medellin</v>
      </c>
      <c r="O99" s="156">
        <f>IFERROR(__xludf.DUMMYFUNCTION("""COMPUTED_VALUE"""),46147.0)</f>
        <v>46147</v>
      </c>
      <c r="P99" s="159">
        <f>IFERROR(__xludf.DUMMYFUNCTION("""COMPUTED_VALUE"""),2045.0)</f>
        <v>2045</v>
      </c>
      <c r="Q99" s="78" t="str">
        <f>IFERROR(__xludf.DUMMYFUNCTION("""COMPUTED_VALUE"""),"VIGENTE")</f>
        <v>VIGENTE</v>
      </c>
      <c r="R99" s="132" t="str">
        <f t="shared" si="2"/>
        <v>-</v>
      </c>
      <c r="T99" s="134" t="str">
        <f>CALENDARIO!D111</f>
        <v/>
      </c>
      <c r="U99" s="135" t="str">
        <f>CALENDARIO!C111</f>
        <v/>
      </c>
      <c r="W99" s="78"/>
      <c r="X99" s="136" t="str">
        <f>(VLOOKUP(W99,'BD LUB'!$A$2:$L$223,5,FALSE)/VLOOKUP(W99,'BD LUB'!$A$2:$L$223,7,FALSE))+(VLOOKUP(W99,'BD LUB'!$A$2:$L$223,6,FALSE)/VLOOKUP(W99,'BD LUB'!$A$2:$L$223,8,FALSE))</f>
        <v>#N/A</v>
      </c>
      <c r="Y99" s="137" t="str">
        <f>IF(AND(VLOOKUP(W99,'BD LUB'!$A$2:$L$223,11,FALSE)="PASADO",VLOOKUP(W99,'BD LUB'!$A$2:$L$223,12,FALSE)="PASADO"),1,IF(OR(AND(VLOOKUP(W99,'BD LUB'!$A$2:$L$223,11,FALSE)="PASADO",VLOOKUP(W99,'BD LUB'!$A$2:$L$223,12,FALSE)="PRÓXIMO"),AND(VLOOKUP(W99,'BD LUB'!$A$2:$L$223,11,FALSE)="PRÓXIMO",VLOOKUP(W99,'BD LUB'!$A$2:$L$223,12,FALSE)="PASADO")),2,IF(OR(AND(VLOOKUP(W99,'BD LUB'!$A$2:$L$223,11,FALSE)="PASADO",VLOOKUP(W99,'BD LUB'!$A$2:$L$223,12,FALSE)="VIGENTE"),AND(VLOOKUP(W99,'BD LUB'!$A$2:$L$223,11,FALSE)="VIGENTE",VLOOKUP(W99,'BD LUB'!$A$2:$L$223,12,FALSE)="PASADO")),3,IF(AND(VLOOKUP(W99,'BD LUB'!$A$2:$L$223,11,FALSE)="PRÓXIMO",VLOOKUP(W99,'BD LUB'!$A$2:$L$223,12,FALSE)="PRÓXIMO"),4,IF(OR(AND(VLOOKUP(W99,'BD LUB'!$A$2:$L$223,11,FALSE)="PRÓXIMO",VLOOKUP(W99,'BD LUB'!$A$2:$L$223,12,FALSE)="VIGENTE"),AND(VLOOKUP(W99,'BD LUB'!$A$2:$L$223,11,FALSE)="VIGENTE",VLOOKUP(W99,'BD LUB'!$A$2:$L$223,12,FALSE)="PRÓXIMO")),5,IF(AND(VLOOKUP(W99,'BD LUB'!$A$2:$L$223,11,FALSE)="VIGENTE",VLOOKUP(W99,'BD LUB'!$A$2:$L$223,12,FALSE)="VIGENTE"),6,"No definido"))))))</f>
        <v>#N/A</v>
      </c>
      <c r="Z99" s="138"/>
      <c r="AA99" s="139" t="str">
        <f>(VLOOKUP(Z99,'BD LUB'!$A$2:$L$223,5,FALSE)/VLOOKUP(Z99,'BD LUB'!$A$2:$L$223,7,FALSE))+(VLOOKUP(Z99,'BD LUB'!$A$2:$L$223,6,FALSE)/VLOOKUP(Z99,'BD LUB'!$A$2:$L$223,8,FALSE))</f>
        <v>#N/A</v>
      </c>
      <c r="AB99" s="78" t="str">
        <f>IF(AND(VLOOKUP(Z99,'BD LUB'!$A$2:$L$223,11,FALSE)="PASADO",VLOOKUP(Z99,'BD LUB'!$A$2:$L$223,12,FALSE)="PASADO"),1,IF(OR(AND(VLOOKUP(Z99,'BD LUB'!$A$2:$L$223,11,FALSE)="PASADO",VLOOKUP(Z99,'BD LUB'!$A$2:$L$223,12,FALSE)="PRÓXIMO"),AND(VLOOKUP(Z99,'BD LUB'!$A$2:$L$223,11,FALSE)="PRÓXIMO",VLOOKUP(Z99,'BD LUB'!$A$2:$L$223,12,FALSE)="PASADO")),2,IF(OR(AND(VLOOKUP(Z99,'BD LUB'!$A$2:$L$223,11,FALSE)="PASADO",VLOOKUP(Z99,'BD LUB'!$A$2:$L$223,12,FALSE)="VIGENTE"),AND(VLOOKUP(Z99,'BD LUB'!$A$2:$L$223,11,FALSE)="VIGENTE",VLOOKUP(Z99,'BD LUB'!$A$2:$L$223,12,FALSE)="PASADO")),3,IF(AND(VLOOKUP(Z99,'BD LUB'!$A$2:$L$223,11,FALSE)="PRÓXIMO",VLOOKUP(Z99,'BD LUB'!$A$2:$L$223,12,FALSE)="PRÓXIMO"),4,IF(OR(AND(VLOOKUP(Z99,'BD LUB'!$A$2:$L$223,11,FALSE)="PRÓXIMO",VLOOKUP(Z99,'BD LUB'!$A$2:$L$223,12,FALSE)="VIGENTE"),AND(VLOOKUP(Z99,'BD LUB'!$A$2:$L$223,11,FALSE)="VIGENTE",VLOOKUP(Z99,'BD LUB'!$A$2:$L$223,12,FALSE)="PRÓXIMO")),5,IF(AND(VLOOKUP(Z99,'BD LUB'!$A$2:$L$223,11,FALSE)="VIGENTE",VLOOKUP(Z99,'BD LUB'!$A$2:$L$223,12,FALSE)="VIGENTE"),6,"No definido"))))))</f>
        <v>#N/A</v>
      </c>
      <c r="AC99" s="78"/>
      <c r="AD99" s="136" t="str">
        <f>IF(VLOOKUP(AC99,'BD LUB'!$A$2:$C$223,3,FALSE)=$AH$20,AC99&amp;" MED",IF(VLOOKUP(AC99,'BD LUB'!$A$2:$C$223,3,FALSE)=$AH$19,AC99&amp;" MAY",IF(VLOOKUP(AC99,'BD LUB'!$A$2:$C$223,3,FALSE)=$AH$18,AC99&amp;" RN",IF(VLOOKUP(AC99,'BD LUB'!$A$2:$C$223,3,FALSE)=$AH$17,AC99&amp;" COPQUI",IF(VLOOKUP(AC99,'BD LUB'!$A$2:$C$223,3,FALSE)=$AH$16,AC99&amp;" CEJ",IF(VLOOKUP(AC99,'BD LUB'!$A$2:$C$223,3,FALSE)=$AH$15,AC99&amp;" BULT",IF(VLOOKUP(AC99,'BD LUB'!$A$2:$C$223,3,FALSE)=$AH$14,AC99&amp;" COP",IF(VLOOKUP(AC99,'BD LUB'!$A$2:$C$223,3,FALSE)=$AH$13,AC99&amp;" RIO",IF(VLOOKUP(AC99,'BD LUB'!$A$2:$C$223,3,FALSE)=$AH$21,AC99&amp;" APART","Dato no encontrado")))))))))</f>
        <v>#N/A</v>
      </c>
      <c r="AE99" s="160"/>
      <c r="AF99" s="160"/>
      <c r="AG99" s="160"/>
      <c r="AH99" s="160"/>
      <c r="AI99" s="160"/>
      <c r="AJ99" s="160"/>
      <c r="AP99" s="160"/>
      <c r="AV99" s="160"/>
    </row>
    <row r="100">
      <c r="A100" s="158"/>
      <c r="B100" s="126">
        <v>97.0</v>
      </c>
      <c r="C100" s="78">
        <f>IFERROR(__xludf.DUMMYFUNCTION("""COMPUTED_VALUE"""),3200.0)</f>
        <v>3200</v>
      </c>
      <c r="D100" s="156">
        <f>IFERROR(__xludf.DUMMYFUNCTION("""COMPUTED_VALUE"""),46654.0)</f>
        <v>46654</v>
      </c>
      <c r="E100" s="78" t="str">
        <f>IFERROR(__xludf.DUMMYFUNCTION("""COMPUTED_VALUE"""),"02-Medellin")</f>
        <v>02-Medellin</v>
      </c>
      <c r="F100" s="156">
        <f>IFERROR(__xludf.DUMMYFUNCTION("""COMPUTED_VALUE"""),46091.0)</f>
        <v>46091</v>
      </c>
      <c r="G100" s="159">
        <f>IFERROR(__xludf.DUMMYFUNCTION("""COMPUTED_VALUE"""),55.0)</f>
        <v>55</v>
      </c>
      <c r="H100" s="78" t="str">
        <f>IFERROR(__xludf.DUMMYFUNCTION("""COMPUTED_VALUE"""),"VIGENTE")</f>
        <v>VIGENTE</v>
      </c>
      <c r="I100" s="132" t="str">
        <f t="shared" si="1"/>
        <v>-</v>
      </c>
      <c r="J100" s="158"/>
      <c r="K100" s="126">
        <v>97.0</v>
      </c>
      <c r="L100" s="78">
        <f>IFERROR(__xludf.DUMMYFUNCTION("""COMPUTED_VALUE"""),2887.0)</f>
        <v>2887</v>
      </c>
      <c r="M100" s="156">
        <f>IFERROR(__xludf.DUMMYFUNCTION("""COMPUTED_VALUE"""),46233.0)</f>
        <v>46233</v>
      </c>
      <c r="N100" s="78" t="str">
        <f>IFERROR(__xludf.DUMMYFUNCTION("""COMPUTED_VALUE"""),"02-Medellin")</f>
        <v>02-Medellin</v>
      </c>
      <c r="O100" s="156">
        <f>IFERROR(__xludf.DUMMYFUNCTION("""COMPUTED_VALUE"""),46044.0)</f>
        <v>46044</v>
      </c>
      <c r="P100" s="159">
        <f>IFERROR(__xludf.DUMMYFUNCTION("""COMPUTED_VALUE"""),2059.0)</f>
        <v>2059</v>
      </c>
      <c r="Q100" s="78" t="str">
        <f>IFERROR(__xludf.DUMMYFUNCTION("""COMPUTED_VALUE"""),"VIGENTE")</f>
        <v>VIGENTE</v>
      </c>
      <c r="R100" s="132" t="str">
        <f t="shared" si="2"/>
        <v>-</v>
      </c>
      <c r="T100" s="134" t="str">
        <f>CALENDARIO!D112</f>
        <v/>
      </c>
      <c r="U100" s="135" t="str">
        <f>CALENDARIO!C112</f>
        <v/>
      </c>
      <c r="W100" s="78"/>
      <c r="X100" s="136" t="str">
        <f>(VLOOKUP(W100,'BD LUB'!$A$2:$L$223,5,FALSE)/VLOOKUP(W100,'BD LUB'!$A$2:$L$223,7,FALSE))+(VLOOKUP(W100,'BD LUB'!$A$2:$L$223,6,FALSE)/VLOOKUP(W100,'BD LUB'!$A$2:$L$223,8,FALSE))</f>
        <v>#N/A</v>
      </c>
      <c r="Y100" s="137" t="str">
        <f>IF(AND(VLOOKUP(W100,'BD LUB'!$A$2:$L$223,11,FALSE)="PASADO",VLOOKUP(W100,'BD LUB'!$A$2:$L$223,12,FALSE)="PASADO"),1,IF(OR(AND(VLOOKUP(W100,'BD LUB'!$A$2:$L$223,11,FALSE)="PASADO",VLOOKUP(W100,'BD LUB'!$A$2:$L$223,12,FALSE)="PRÓXIMO"),AND(VLOOKUP(W100,'BD LUB'!$A$2:$L$223,11,FALSE)="PRÓXIMO",VLOOKUP(W100,'BD LUB'!$A$2:$L$223,12,FALSE)="PASADO")),2,IF(OR(AND(VLOOKUP(W100,'BD LUB'!$A$2:$L$223,11,FALSE)="PASADO",VLOOKUP(W100,'BD LUB'!$A$2:$L$223,12,FALSE)="VIGENTE"),AND(VLOOKUP(W100,'BD LUB'!$A$2:$L$223,11,FALSE)="VIGENTE",VLOOKUP(W100,'BD LUB'!$A$2:$L$223,12,FALSE)="PASADO")),3,IF(AND(VLOOKUP(W100,'BD LUB'!$A$2:$L$223,11,FALSE)="PRÓXIMO",VLOOKUP(W100,'BD LUB'!$A$2:$L$223,12,FALSE)="PRÓXIMO"),4,IF(OR(AND(VLOOKUP(W100,'BD LUB'!$A$2:$L$223,11,FALSE)="PRÓXIMO",VLOOKUP(W100,'BD LUB'!$A$2:$L$223,12,FALSE)="VIGENTE"),AND(VLOOKUP(W100,'BD LUB'!$A$2:$L$223,11,FALSE)="VIGENTE",VLOOKUP(W100,'BD LUB'!$A$2:$L$223,12,FALSE)="PRÓXIMO")),5,IF(AND(VLOOKUP(W100,'BD LUB'!$A$2:$L$223,11,FALSE)="VIGENTE",VLOOKUP(W100,'BD LUB'!$A$2:$L$223,12,FALSE)="VIGENTE"),6,"No definido"))))))</f>
        <v>#N/A</v>
      </c>
      <c r="Z100" s="138"/>
      <c r="AA100" s="139" t="str">
        <f>(VLOOKUP(Z100,'BD LUB'!$A$2:$L$223,5,FALSE)/VLOOKUP(Z100,'BD LUB'!$A$2:$L$223,7,FALSE))+(VLOOKUP(Z100,'BD LUB'!$A$2:$L$223,6,FALSE)/VLOOKUP(Z100,'BD LUB'!$A$2:$L$223,8,FALSE))</f>
        <v>#N/A</v>
      </c>
      <c r="AB100" s="78" t="str">
        <f>IF(AND(VLOOKUP(Z100,'BD LUB'!$A$2:$L$223,11,FALSE)="PASADO",VLOOKUP(Z100,'BD LUB'!$A$2:$L$223,12,FALSE)="PASADO"),1,IF(OR(AND(VLOOKUP(Z100,'BD LUB'!$A$2:$L$223,11,FALSE)="PASADO",VLOOKUP(Z100,'BD LUB'!$A$2:$L$223,12,FALSE)="PRÓXIMO"),AND(VLOOKUP(Z100,'BD LUB'!$A$2:$L$223,11,FALSE)="PRÓXIMO",VLOOKUP(Z100,'BD LUB'!$A$2:$L$223,12,FALSE)="PASADO")),2,IF(OR(AND(VLOOKUP(Z100,'BD LUB'!$A$2:$L$223,11,FALSE)="PASADO",VLOOKUP(Z100,'BD LUB'!$A$2:$L$223,12,FALSE)="VIGENTE"),AND(VLOOKUP(Z100,'BD LUB'!$A$2:$L$223,11,FALSE)="VIGENTE",VLOOKUP(Z100,'BD LUB'!$A$2:$L$223,12,FALSE)="PASADO")),3,IF(AND(VLOOKUP(Z100,'BD LUB'!$A$2:$L$223,11,FALSE)="PRÓXIMO",VLOOKUP(Z100,'BD LUB'!$A$2:$L$223,12,FALSE)="PRÓXIMO"),4,IF(OR(AND(VLOOKUP(Z100,'BD LUB'!$A$2:$L$223,11,FALSE)="PRÓXIMO",VLOOKUP(Z100,'BD LUB'!$A$2:$L$223,12,FALSE)="VIGENTE"),AND(VLOOKUP(Z100,'BD LUB'!$A$2:$L$223,11,FALSE)="VIGENTE",VLOOKUP(Z100,'BD LUB'!$A$2:$L$223,12,FALSE)="PRÓXIMO")),5,IF(AND(VLOOKUP(Z100,'BD LUB'!$A$2:$L$223,11,FALSE)="VIGENTE",VLOOKUP(Z100,'BD LUB'!$A$2:$L$223,12,FALSE)="VIGENTE"),6,"No definido"))))))</f>
        <v>#N/A</v>
      </c>
      <c r="AC100" s="78"/>
      <c r="AD100" s="136" t="str">
        <f>IF(VLOOKUP(AC100,'BD LUB'!$A$2:$C$223,3,FALSE)=$AH$20,AC100&amp;" MED",IF(VLOOKUP(AC100,'BD LUB'!$A$2:$C$223,3,FALSE)=$AH$19,AC100&amp;" MAY",IF(VLOOKUP(AC100,'BD LUB'!$A$2:$C$223,3,FALSE)=$AH$18,AC100&amp;" RN",IF(VLOOKUP(AC100,'BD LUB'!$A$2:$C$223,3,FALSE)=$AH$17,AC100&amp;" COPQUI",IF(VLOOKUP(AC100,'BD LUB'!$A$2:$C$223,3,FALSE)=$AH$16,AC100&amp;" CEJ",IF(VLOOKUP(AC100,'BD LUB'!$A$2:$C$223,3,FALSE)=$AH$15,AC100&amp;" BULT",IF(VLOOKUP(AC100,'BD LUB'!$A$2:$C$223,3,FALSE)=$AH$14,AC100&amp;" COP",IF(VLOOKUP(AC100,'BD LUB'!$A$2:$C$223,3,FALSE)=$AH$13,AC100&amp;" RIO",IF(VLOOKUP(AC100,'BD LUB'!$A$2:$C$223,3,FALSE)=$AH$21,AC100&amp;" APART","Dato no encontrado")))))))))</f>
        <v>#N/A</v>
      </c>
      <c r="AE100" s="160"/>
      <c r="AF100" s="160"/>
      <c r="AG100" s="160"/>
      <c r="AH100" s="160"/>
      <c r="AI100" s="160"/>
      <c r="AJ100" s="160"/>
      <c r="AP100" s="160"/>
      <c r="AV100" s="160"/>
    </row>
    <row r="101">
      <c r="A101" s="158"/>
      <c r="B101" s="126">
        <v>98.0</v>
      </c>
      <c r="C101" s="78">
        <f>IFERROR(__xludf.DUMMYFUNCTION("""COMPUTED_VALUE"""),2855.0)</f>
        <v>2855</v>
      </c>
      <c r="D101" s="156">
        <f>IFERROR(__xludf.DUMMYFUNCTION("""COMPUTED_VALUE"""),46575.0)</f>
        <v>46575</v>
      </c>
      <c r="E101" s="78" t="str">
        <f>IFERROR(__xludf.DUMMYFUNCTION("""COMPUTED_VALUE"""),"02-Medellin")</f>
        <v>02-Medellin</v>
      </c>
      <c r="F101" s="156">
        <f>IFERROR(__xludf.DUMMYFUNCTION("""COMPUTED_VALUE"""),46091.0)</f>
        <v>46091</v>
      </c>
      <c r="G101" s="159">
        <f>IFERROR(__xludf.DUMMYFUNCTION("""COMPUTED_VALUE"""),55.0)</f>
        <v>55</v>
      </c>
      <c r="H101" s="78" t="str">
        <f>IFERROR(__xludf.DUMMYFUNCTION("""COMPUTED_VALUE"""),"VIGENTE")</f>
        <v>VIGENTE</v>
      </c>
      <c r="I101" s="132" t="str">
        <f t="shared" si="1"/>
        <v>-</v>
      </c>
      <c r="J101" s="158"/>
      <c r="K101" s="126">
        <v>98.0</v>
      </c>
      <c r="L101" s="78">
        <f>IFERROR(__xludf.DUMMYFUNCTION("""COMPUTED_VALUE"""),2680.0)</f>
        <v>2680</v>
      </c>
      <c r="M101" s="156">
        <f>IFERROR(__xludf.DUMMYFUNCTION("""COMPUTED_VALUE"""),46501.0)</f>
        <v>46501</v>
      </c>
      <c r="N101" s="78" t="str">
        <f>IFERROR(__xludf.DUMMYFUNCTION("""COMPUTED_VALUE"""),"BULTOS")</f>
        <v>BULTOS</v>
      </c>
      <c r="O101" s="156">
        <f>IFERROR(__xludf.DUMMYFUNCTION("""COMPUTED_VALUE"""),46086.0)</f>
        <v>46086</v>
      </c>
      <c r="P101" s="159">
        <f>IFERROR(__xludf.DUMMYFUNCTION("""COMPUTED_VALUE"""),2088.3)</f>
        <v>2088.3</v>
      </c>
      <c r="Q101" s="78" t="str">
        <f>IFERROR(__xludf.DUMMYFUNCTION("""COMPUTED_VALUE"""),"VIGENTE")</f>
        <v>VIGENTE</v>
      </c>
      <c r="R101" s="132" t="str">
        <f t="shared" si="2"/>
        <v>-</v>
      </c>
      <c r="T101" s="134" t="str">
        <f>CALENDARIO!D113</f>
        <v/>
      </c>
      <c r="U101" s="135" t="str">
        <f>CALENDARIO!C113</f>
        <v/>
      </c>
      <c r="W101" s="78"/>
      <c r="X101" s="136" t="str">
        <f>(VLOOKUP(W101,'BD LUB'!$A$2:$L$223,5,FALSE)/VLOOKUP(W101,'BD LUB'!$A$2:$L$223,7,FALSE))+(VLOOKUP(W101,'BD LUB'!$A$2:$L$223,6,FALSE)/VLOOKUP(W101,'BD LUB'!$A$2:$L$223,8,FALSE))</f>
        <v>#N/A</v>
      </c>
      <c r="Y101" s="137" t="str">
        <f>IF(AND(VLOOKUP(W101,'BD LUB'!$A$2:$L$223,11,FALSE)="PASADO",VLOOKUP(W101,'BD LUB'!$A$2:$L$223,12,FALSE)="PASADO"),1,IF(OR(AND(VLOOKUP(W101,'BD LUB'!$A$2:$L$223,11,FALSE)="PASADO",VLOOKUP(W101,'BD LUB'!$A$2:$L$223,12,FALSE)="PRÓXIMO"),AND(VLOOKUP(W101,'BD LUB'!$A$2:$L$223,11,FALSE)="PRÓXIMO",VLOOKUP(W101,'BD LUB'!$A$2:$L$223,12,FALSE)="PASADO")),2,IF(OR(AND(VLOOKUP(W101,'BD LUB'!$A$2:$L$223,11,FALSE)="PASADO",VLOOKUP(W101,'BD LUB'!$A$2:$L$223,12,FALSE)="VIGENTE"),AND(VLOOKUP(W101,'BD LUB'!$A$2:$L$223,11,FALSE)="VIGENTE",VLOOKUP(W101,'BD LUB'!$A$2:$L$223,12,FALSE)="PASADO")),3,IF(AND(VLOOKUP(W101,'BD LUB'!$A$2:$L$223,11,FALSE)="PRÓXIMO",VLOOKUP(W101,'BD LUB'!$A$2:$L$223,12,FALSE)="PRÓXIMO"),4,IF(OR(AND(VLOOKUP(W101,'BD LUB'!$A$2:$L$223,11,FALSE)="PRÓXIMO",VLOOKUP(W101,'BD LUB'!$A$2:$L$223,12,FALSE)="VIGENTE"),AND(VLOOKUP(W101,'BD LUB'!$A$2:$L$223,11,FALSE)="VIGENTE",VLOOKUP(W101,'BD LUB'!$A$2:$L$223,12,FALSE)="PRÓXIMO")),5,IF(AND(VLOOKUP(W101,'BD LUB'!$A$2:$L$223,11,FALSE)="VIGENTE",VLOOKUP(W101,'BD LUB'!$A$2:$L$223,12,FALSE)="VIGENTE"),6,"No definido"))))))</f>
        <v>#N/A</v>
      </c>
      <c r="Z101" s="138"/>
      <c r="AA101" s="139" t="str">
        <f>(VLOOKUP(Z101,'BD LUB'!$A$2:$L$223,5,FALSE)/VLOOKUP(Z101,'BD LUB'!$A$2:$L$223,7,FALSE))+(VLOOKUP(Z101,'BD LUB'!$A$2:$L$223,6,FALSE)/VLOOKUP(Z101,'BD LUB'!$A$2:$L$223,8,FALSE))</f>
        <v>#N/A</v>
      </c>
      <c r="AB101" s="78" t="str">
        <f>IF(AND(VLOOKUP(Z101,'BD LUB'!$A$2:$L$223,11,FALSE)="PASADO",VLOOKUP(Z101,'BD LUB'!$A$2:$L$223,12,FALSE)="PASADO"),1,IF(OR(AND(VLOOKUP(Z101,'BD LUB'!$A$2:$L$223,11,FALSE)="PASADO",VLOOKUP(Z101,'BD LUB'!$A$2:$L$223,12,FALSE)="PRÓXIMO"),AND(VLOOKUP(Z101,'BD LUB'!$A$2:$L$223,11,FALSE)="PRÓXIMO",VLOOKUP(Z101,'BD LUB'!$A$2:$L$223,12,FALSE)="PASADO")),2,IF(OR(AND(VLOOKUP(Z101,'BD LUB'!$A$2:$L$223,11,FALSE)="PASADO",VLOOKUP(Z101,'BD LUB'!$A$2:$L$223,12,FALSE)="VIGENTE"),AND(VLOOKUP(Z101,'BD LUB'!$A$2:$L$223,11,FALSE)="VIGENTE",VLOOKUP(Z101,'BD LUB'!$A$2:$L$223,12,FALSE)="PASADO")),3,IF(AND(VLOOKUP(Z101,'BD LUB'!$A$2:$L$223,11,FALSE)="PRÓXIMO",VLOOKUP(Z101,'BD LUB'!$A$2:$L$223,12,FALSE)="PRÓXIMO"),4,IF(OR(AND(VLOOKUP(Z101,'BD LUB'!$A$2:$L$223,11,FALSE)="PRÓXIMO",VLOOKUP(Z101,'BD LUB'!$A$2:$L$223,12,FALSE)="VIGENTE"),AND(VLOOKUP(Z101,'BD LUB'!$A$2:$L$223,11,FALSE)="VIGENTE",VLOOKUP(Z101,'BD LUB'!$A$2:$L$223,12,FALSE)="PRÓXIMO")),5,IF(AND(VLOOKUP(Z101,'BD LUB'!$A$2:$L$223,11,FALSE)="VIGENTE",VLOOKUP(Z101,'BD LUB'!$A$2:$L$223,12,FALSE)="VIGENTE"),6,"No definido"))))))</f>
        <v>#N/A</v>
      </c>
      <c r="AC101" s="78"/>
      <c r="AD101" s="136" t="str">
        <f>IF(VLOOKUP(AC101,'BD LUB'!$A$2:$C$223,3,FALSE)=$AH$20,AC101&amp;" MED",IF(VLOOKUP(AC101,'BD LUB'!$A$2:$C$223,3,FALSE)=$AH$19,AC101&amp;" MAY",IF(VLOOKUP(AC101,'BD LUB'!$A$2:$C$223,3,FALSE)=$AH$18,AC101&amp;" RN",IF(VLOOKUP(AC101,'BD LUB'!$A$2:$C$223,3,FALSE)=$AH$17,AC101&amp;" COPQUI",IF(VLOOKUP(AC101,'BD LUB'!$A$2:$C$223,3,FALSE)=$AH$16,AC101&amp;" CEJ",IF(VLOOKUP(AC101,'BD LUB'!$A$2:$C$223,3,FALSE)=$AH$15,AC101&amp;" BULT",IF(VLOOKUP(AC101,'BD LUB'!$A$2:$C$223,3,FALSE)=$AH$14,AC101&amp;" COP",IF(VLOOKUP(AC101,'BD LUB'!$A$2:$C$223,3,FALSE)=$AH$13,AC101&amp;" RIO",IF(VLOOKUP(AC101,'BD LUB'!$A$2:$C$223,3,FALSE)=$AH$21,AC101&amp;" APART","Dato no encontrado")))))))))</f>
        <v>#N/A</v>
      </c>
      <c r="AE101" s="160"/>
      <c r="AF101" s="160"/>
      <c r="AG101" s="160"/>
      <c r="AH101" s="160"/>
      <c r="AI101" s="160"/>
      <c r="AJ101" s="160"/>
      <c r="AP101" s="160"/>
      <c r="AV101" s="160"/>
    </row>
    <row r="102">
      <c r="A102" s="158"/>
      <c r="B102" s="126">
        <v>99.0</v>
      </c>
      <c r="C102" s="78">
        <f>IFERROR(__xludf.DUMMYFUNCTION("""COMPUTED_VALUE"""),3247.0)</f>
        <v>3247</v>
      </c>
      <c r="D102" s="156">
        <f>IFERROR(__xludf.DUMMYFUNCTION("""COMPUTED_VALUE"""),46661.0)</f>
        <v>46661</v>
      </c>
      <c r="E102" s="78" t="str">
        <f>IFERROR(__xludf.DUMMYFUNCTION("""COMPUTED_VALUE"""),"02-Medellin")</f>
        <v>02-Medellin</v>
      </c>
      <c r="F102" s="156">
        <f>IFERROR(__xludf.DUMMYFUNCTION("""COMPUTED_VALUE"""),46092.0)</f>
        <v>46092</v>
      </c>
      <c r="G102" s="159">
        <f>IFERROR(__xludf.DUMMYFUNCTION("""COMPUTED_VALUE"""),56.0)</f>
        <v>56</v>
      </c>
      <c r="H102" s="78" t="str">
        <f>IFERROR(__xludf.DUMMYFUNCTION("""COMPUTED_VALUE"""),"VIGENTE")</f>
        <v>VIGENTE</v>
      </c>
      <c r="I102" s="132" t="str">
        <f t="shared" si="1"/>
        <v>-</v>
      </c>
      <c r="J102" s="158"/>
      <c r="K102" s="126">
        <v>99.0</v>
      </c>
      <c r="L102" s="78">
        <f>IFERROR(__xludf.DUMMYFUNCTION("""COMPUTED_VALUE"""),2858.0)</f>
        <v>2858</v>
      </c>
      <c r="M102" s="156">
        <f>IFERROR(__xludf.DUMMYFUNCTION("""COMPUTED_VALUE"""),46215.0)</f>
        <v>46215</v>
      </c>
      <c r="N102" s="78" t="str">
        <f>IFERROR(__xludf.DUMMYFUNCTION("""COMPUTED_VALUE"""),"MAYORCA")</f>
        <v>MAYORCA</v>
      </c>
      <c r="O102" s="156">
        <f>IFERROR(__xludf.DUMMYFUNCTION("""COMPUTED_VALUE"""),46139.0)</f>
        <v>46139</v>
      </c>
      <c r="P102" s="159">
        <f>IFERROR(__xludf.DUMMYFUNCTION("""COMPUTED_VALUE"""),2089.0)</f>
        <v>2089</v>
      </c>
      <c r="Q102" s="78" t="str">
        <f>IFERROR(__xludf.DUMMYFUNCTION("""COMPUTED_VALUE"""),"VIGENTE")</f>
        <v>VIGENTE</v>
      </c>
      <c r="R102" s="132" t="str">
        <f t="shared" si="2"/>
        <v>-</v>
      </c>
      <c r="T102" s="134" t="str">
        <f>CALENDARIO!D114</f>
        <v/>
      </c>
      <c r="U102" s="135" t="str">
        <f>CALENDARIO!C114</f>
        <v/>
      </c>
      <c r="W102" s="78"/>
      <c r="X102" s="136" t="str">
        <f>(VLOOKUP(W102,'BD LUB'!$A$2:$L$223,5,FALSE)/VLOOKUP(W102,'BD LUB'!$A$2:$L$223,7,FALSE))+(VLOOKUP(W102,'BD LUB'!$A$2:$L$223,6,FALSE)/VLOOKUP(W102,'BD LUB'!$A$2:$L$223,8,FALSE))</f>
        <v>#N/A</v>
      </c>
      <c r="Y102" s="137" t="str">
        <f>IF(AND(VLOOKUP(W102,'BD LUB'!$A$2:$L$223,11,FALSE)="PASADO",VLOOKUP(W102,'BD LUB'!$A$2:$L$223,12,FALSE)="PASADO"),1,IF(OR(AND(VLOOKUP(W102,'BD LUB'!$A$2:$L$223,11,FALSE)="PASADO",VLOOKUP(W102,'BD LUB'!$A$2:$L$223,12,FALSE)="PRÓXIMO"),AND(VLOOKUP(W102,'BD LUB'!$A$2:$L$223,11,FALSE)="PRÓXIMO",VLOOKUP(W102,'BD LUB'!$A$2:$L$223,12,FALSE)="PASADO")),2,IF(OR(AND(VLOOKUP(W102,'BD LUB'!$A$2:$L$223,11,FALSE)="PASADO",VLOOKUP(W102,'BD LUB'!$A$2:$L$223,12,FALSE)="VIGENTE"),AND(VLOOKUP(W102,'BD LUB'!$A$2:$L$223,11,FALSE)="VIGENTE",VLOOKUP(W102,'BD LUB'!$A$2:$L$223,12,FALSE)="PASADO")),3,IF(AND(VLOOKUP(W102,'BD LUB'!$A$2:$L$223,11,FALSE)="PRÓXIMO",VLOOKUP(W102,'BD LUB'!$A$2:$L$223,12,FALSE)="PRÓXIMO"),4,IF(OR(AND(VLOOKUP(W102,'BD LUB'!$A$2:$L$223,11,FALSE)="PRÓXIMO",VLOOKUP(W102,'BD LUB'!$A$2:$L$223,12,FALSE)="VIGENTE"),AND(VLOOKUP(W102,'BD LUB'!$A$2:$L$223,11,FALSE)="VIGENTE",VLOOKUP(W102,'BD LUB'!$A$2:$L$223,12,FALSE)="PRÓXIMO")),5,IF(AND(VLOOKUP(W102,'BD LUB'!$A$2:$L$223,11,FALSE)="VIGENTE",VLOOKUP(W102,'BD LUB'!$A$2:$L$223,12,FALSE)="VIGENTE"),6,"No definido"))))))</f>
        <v>#N/A</v>
      </c>
      <c r="Z102" s="138"/>
      <c r="AA102" s="139" t="str">
        <f>(VLOOKUP(Z102,'BD LUB'!$A$2:$L$223,5,FALSE)/VLOOKUP(Z102,'BD LUB'!$A$2:$L$223,7,FALSE))+(VLOOKUP(Z102,'BD LUB'!$A$2:$L$223,6,FALSE)/VLOOKUP(Z102,'BD LUB'!$A$2:$L$223,8,FALSE))</f>
        <v>#N/A</v>
      </c>
      <c r="AB102" s="78" t="str">
        <f>IF(AND(VLOOKUP(Z102,'BD LUB'!$A$2:$L$223,11,FALSE)="PASADO",VLOOKUP(Z102,'BD LUB'!$A$2:$L$223,12,FALSE)="PASADO"),1,IF(OR(AND(VLOOKUP(Z102,'BD LUB'!$A$2:$L$223,11,FALSE)="PASADO",VLOOKUP(Z102,'BD LUB'!$A$2:$L$223,12,FALSE)="PRÓXIMO"),AND(VLOOKUP(Z102,'BD LUB'!$A$2:$L$223,11,FALSE)="PRÓXIMO",VLOOKUP(Z102,'BD LUB'!$A$2:$L$223,12,FALSE)="PASADO")),2,IF(OR(AND(VLOOKUP(Z102,'BD LUB'!$A$2:$L$223,11,FALSE)="PASADO",VLOOKUP(Z102,'BD LUB'!$A$2:$L$223,12,FALSE)="VIGENTE"),AND(VLOOKUP(Z102,'BD LUB'!$A$2:$L$223,11,FALSE)="VIGENTE",VLOOKUP(Z102,'BD LUB'!$A$2:$L$223,12,FALSE)="PASADO")),3,IF(AND(VLOOKUP(Z102,'BD LUB'!$A$2:$L$223,11,FALSE)="PRÓXIMO",VLOOKUP(Z102,'BD LUB'!$A$2:$L$223,12,FALSE)="PRÓXIMO"),4,IF(OR(AND(VLOOKUP(Z102,'BD LUB'!$A$2:$L$223,11,FALSE)="PRÓXIMO",VLOOKUP(Z102,'BD LUB'!$A$2:$L$223,12,FALSE)="VIGENTE"),AND(VLOOKUP(Z102,'BD LUB'!$A$2:$L$223,11,FALSE)="VIGENTE",VLOOKUP(Z102,'BD LUB'!$A$2:$L$223,12,FALSE)="PRÓXIMO")),5,IF(AND(VLOOKUP(Z102,'BD LUB'!$A$2:$L$223,11,FALSE)="VIGENTE",VLOOKUP(Z102,'BD LUB'!$A$2:$L$223,12,FALSE)="VIGENTE"),6,"No definido"))))))</f>
        <v>#N/A</v>
      </c>
      <c r="AC102" s="78"/>
      <c r="AD102" s="136" t="str">
        <f>IF(VLOOKUP(AC102,'BD LUB'!$A$2:$C$223,3,FALSE)=$AH$20,AC102&amp;" MED",IF(VLOOKUP(AC102,'BD LUB'!$A$2:$C$223,3,FALSE)=$AH$19,AC102&amp;" MAY",IF(VLOOKUP(AC102,'BD LUB'!$A$2:$C$223,3,FALSE)=$AH$18,AC102&amp;" RN",IF(VLOOKUP(AC102,'BD LUB'!$A$2:$C$223,3,FALSE)=$AH$17,AC102&amp;" COPQUI",IF(VLOOKUP(AC102,'BD LUB'!$A$2:$C$223,3,FALSE)=$AH$16,AC102&amp;" CEJ",IF(VLOOKUP(AC102,'BD LUB'!$A$2:$C$223,3,FALSE)=$AH$15,AC102&amp;" BULT",IF(VLOOKUP(AC102,'BD LUB'!$A$2:$C$223,3,FALSE)=$AH$14,AC102&amp;" COP",IF(VLOOKUP(AC102,'BD LUB'!$A$2:$C$223,3,FALSE)=$AH$13,AC102&amp;" RIO",IF(VLOOKUP(AC102,'BD LUB'!$A$2:$C$223,3,FALSE)=$AH$21,AC102&amp;" APART","Dato no encontrado")))))))))</f>
        <v>#N/A</v>
      </c>
      <c r="AE102" s="160"/>
      <c r="AF102" s="160"/>
      <c r="AG102" s="160"/>
      <c r="AH102" s="160"/>
      <c r="AI102" s="160"/>
      <c r="AJ102" s="160"/>
      <c r="AP102" s="160"/>
      <c r="AV102" s="160"/>
    </row>
    <row r="103">
      <c r="A103" s="158"/>
      <c r="B103" s="126">
        <v>100.0</v>
      </c>
      <c r="C103" s="78">
        <f>IFERROR(__xludf.DUMMYFUNCTION("""COMPUTED_VALUE"""),2637.0)</f>
        <v>2637</v>
      </c>
      <c r="D103" s="156">
        <f>IFERROR(__xludf.DUMMYFUNCTION("""COMPUTED_VALUE"""),46249.0)</f>
        <v>46249</v>
      </c>
      <c r="E103" s="78" t="str">
        <f>IFERROR(__xludf.DUMMYFUNCTION("""COMPUTED_VALUE"""),"02-Medellin")</f>
        <v>02-Medellin</v>
      </c>
      <c r="F103" s="156">
        <f>IFERROR(__xludf.DUMMYFUNCTION("""COMPUTED_VALUE"""),46092.0)</f>
        <v>46092</v>
      </c>
      <c r="G103" s="159">
        <f>IFERROR(__xludf.DUMMYFUNCTION("""COMPUTED_VALUE"""),56.0)</f>
        <v>56</v>
      </c>
      <c r="H103" s="78" t="str">
        <f>IFERROR(__xludf.DUMMYFUNCTION("""COMPUTED_VALUE"""),"VIGENTE")</f>
        <v>VIGENTE</v>
      </c>
      <c r="I103" s="132" t="str">
        <f t="shared" si="1"/>
        <v>-</v>
      </c>
      <c r="J103" s="158"/>
      <c r="K103" s="126">
        <v>100.0</v>
      </c>
      <c r="L103" s="78">
        <f>IFERROR(__xludf.DUMMYFUNCTION("""COMPUTED_VALUE"""),2884.0)</f>
        <v>2884</v>
      </c>
      <c r="M103" s="156">
        <f>IFERROR(__xludf.DUMMYFUNCTION("""COMPUTED_VALUE"""),46233.0)</f>
        <v>46233</v>
      </c>
      <c r="N103" s="78" t="str">
        <f>IFERROR(__xludf.DUMMYFUNCTION("""COMPUTED_VALUE"""),"24-Rionegro")</f>
        <v>24-Rionegro</v>
      </c>
      <c r="O103" s="156">
        <f>IFERROR(__xludf.DUMMYFUNCTION("""COMPUTED_VALUE"""),46133.0)</f>
        <v>46133</v>
      </c>
      <c r="P103" s="159">
        <f>IFERROR(__xludf.DUMMYFUNCTION("""COMPUTED_VALUE"""),2126.0)</f>
        <v>2126</v>
      </c>
      <c r="Q103" s="78" t="str">
        <f>IFERROR(__xludf.DUMMYFUNCTION("""COMPUTED_VALUE"""),"VIGENTE")</f>
        <v>VIGENTE</v>
      </c>
      <c r="R103" s="132" t="str">
        <f t="shared" si="2"/>
        <v>-</v>
      </c>
      <c r="T103" s="134" t="str">
        <f>CALENDARIO!D115</f>
        <v/>
      </c>
      <c r="U103" s="135" t="str">
        <f>CALENDARIO!C115</f>
        <v/>
      </c>
      <c r="W103" s="78"/>
      <c r="X103" s="136" t="str">
        <f>(VLOOKUP(W103,'BD LUB'!$A$2:$L$223,5,FALSE)/VLOOKUP(W103,'BD LUB'!$A$2:$L$223,7,FALSE))+(VLOOKUP(W103,'BD LUB'!$A$2:$L$223,6,FALSE)/VLOOKUP(W103,'BD LUB'!$A$2:$L$223,8,FALSE))</f>
        <v>#N/A</v>
      </c>
      <c r="Y103" s="137" t="str">
        <f>IF(AND(VLOOKUP(W103,'BD LUB'!$A$2:$L$223,11,FALSE)="PASADO",VLOOKUP(W103,'BD LUB'!$A$2:$L$223,12,FALSE)="PASADO"),1,IF(OR(AND(VLOOKUP(W103,'BD LUB'!$A$2:$L$223,11,FALSE)="PASADO",VLOOKUP(W103,'BD LUB'!$A$2:$L$223,12,FALSE)="PRÓXIMO"),AND(VLOOKUP(W103,'BD LUB'!$A$2:$L$223,11,FALSE)="PRÓXIMO",VLOOKUP(W103,'BD LUB'!$A$2:$L$223,12,FALSE)="PASADO")),2,IF(OR(AND(VLOOKUP(W103,'BD LUB'!$A$2:$L$223,11,FALSE)="PASADO",VLOOKUP(W103,'BD LUB'!$A$2:$L$223,12,FALSE)="VIGENTE"),AND(VLOOKUP(W103,'BD LUB'!$A$2:$L$223,11,FALSE)="VIGENTE",VLOOKUP(W103,'BD LUB'!$A$2:$L$223,12,FALSE)="PASADO")),3,IF(AND(VLOOKUP(W103,'BD LUB'!$A$2:$L$223,11,FALSE)="PRÓXIMO",VLOOKUP(W103,'BD LUB'!$A$2:$L$223,12,FALSE)="PRÓXIMO"),4,IF(OR(AND(VLOOKUP(W103,'BD LUB'!$A$2:$L$223,11,FALSE)="PRÓXIMO",VLOOKUP(W103,'BD LUB'!$A$2:$L$223,12,FALSE)="VIGENTE"),AND(VLOOKUP(W103,'BD LUB'!$A$2:$L$223,11,FALSE)="VIGENTE",VLOOKUP(W103,'BD LUB'!$A$2:$L$223,12,FALSE)="PRÓXIMO")),5,IF(AND(VLOOKUP(W103,'BD LUB'!$A$2:$L$223,11,FALSE)="VIGENTE",VLOOKUP(W103,'BD LUB'!$A$2:$L$223,12,FALSE)="VIGENTE"),6,"No definido"))))))</f>
        <v>#N/A</v>
      </c>
      <c r="Z103" s="138"/>
      <c r="AA103" s="139" t="str">
        <f>(VLOOKUP(Z103,'BD LUB'!$A$2:$L$223,5,FALSE)/VLOOKUP(Z103,'BD LUB'!$A$2:$L$223,7,FALSE))+(VLOOKUP(Z103,'BD LUB'!$A$2:$L$223,6,FALSE)/VLOOKUP(Z103,'BD LUB'!$A$2:$L$223,8,FALSE))</f>
        <v>#N/A</v>
      </c>
      <c r="AB103" s="78" t="str">
        <f>IF(AND(VLOOKUP(Z103,'BD LUB'!$A$2:$L$223,11,FALSE)="PASADO",VLOOKUP(Z103,'BD LUB'!$A$2:$L$223,12,FALSE)="PASADO"),1,IF(OR(AND(VLOOKUP(Z103,'BD LUB'!$A$2:$L$223,11,FALSE)="PASADO",VLOOKUP(Z103,'BD LUB'!$A$2:$L$223,12,FALSE)="PRÓXIMO"),AND(VLOOKUP(Z103,'BD LUB'!$A$2:$L$223,11,FALSE)="PRÓXIMO",VLOOKUP(Z103,'BD LUB'!$A$2:$L$223,12,FALSE)="PASADO")),2,IF(OR(AND(VLOOKUP(Z103,'BD LUB'!$A$2:$L$223,11,FALSE)="PASADO",VLOOKUP(Z103,'BD LUB'!$A$2:$L$223,12,FALSE)="VIGENTE"),AND(VLOOKUP(Z103,'BD LUB'!$A$2:$L$223,11,FALSE)="VIGENTE",VLOOKUP(Z103,'BD LUB'!$A$2:$L$223,12,FALSE)="PASADO")),3,IF(AND(VLOOKUP(Z103,'BD LUB'!$A$2:$L$223,11,FALSE)="PRÓXIMO",VLOOKUP(Z103,'BD LUB'!$A$2:$L$223,12,FALSE)="PRÓXIMO"),4,IF(OR(AND(VLOOKUP(Z103,'BD LUB'!$A$2:$L$223,11,FALSE)="PRÓXIMO",VLOOKUP(Z103,'BD LUB'!$A$2:$L$223,12,FALSE)="VIGENTE"),AND(VLOOKUP(Z103,'BD LUB'!$A$2:$L$223,11,FALSE)="VIGENTE",VLOOKUP(Z103,'BD LUB'!$A$2:$L$223,12,FALSE)="PRÓXIMO")),5,IF(AND(VLOOKUP(Z103,'BD LUB'!$A$2:$L$223,11,FALSE)="VIGENTE",VLOOKUP(Z103,'BD LUB'!$A$2:$L$223,12,FALSE)="VIGENTE"),6,"No definido"))))))</f>
        <v>#N/A</v>
      </c>
      <c r="AC103" s="78"/>
      <c r="AD103" s="136" t="str">
        <f>IF(VLOOKUP(AC103,'BD LUB'!$A$2:$C$223,3,FALSE)=$AH$20,AC103&amp;" MED",IF(VLOOKUP(AC103,'BD LUB'!$A$2:$C$223,3,FALSE)=$AH$19,AC103&amp;" MAY",IF(VLOOKUP(AC103,'BD LUB'!$A$2:$C$223,3,FALSE)=$AH$18,AC103&amp;" RN",IF(VLOOKUP(AC103,'BD LUB'!$A$2:$C$223,3,FALSE)=$AH$17,AC103&amp;" COPQUI",IF(VLOOKUP(AC103,'BD LUB'!$A$2:$C$223,3,FALSE)=$AH$16,AC103&amp;" CEJ",IF(VLOOKUP(AC103,'BD LUB'!$A$2:$C$223,3,FALSE)=$AH$15,AC103&amp;" BULT",IF(VLOOKUP(AC103,'BD LUB'!$A$2:$C$223,3,FALSE)=$AH$14,AC103&amp;" COP",IF(VLOOKUP(AC103,'BD LUB'!$A$2:$C$223,3,FALSE)=$AH$13,AC103&amp;" RIO",IF(VLOOKUP(AC103,'BD LUB'!$A$2:$C$223,3,FALSE)=$AH$21,AC103&amp;" APART","Dato no encontrado")))))))))</f>
        <v>#N/A</v>
      </c>
      <c r="AE103" s="160"/>
      <c r="AF103" s="160"/>
      <c r="AG103" s="160"/>
      <c r="AH103" s="160"/>
      <c r="AI103" s="160"/>
      <c r="AJ103" s="160"/>
      <c r="AP103" s="160"/>
      <c r="AV103" s="160"/>
    </row>
    <row r="104">
      <c r="A104" s="158"/>
      <c r="B104" s="126">
        <v>101.0</v>
      </c>
      <c r="C104" s="78">
        <f>IFERROR(__xludf.DUMMYFUNCTION("""COMPUTED_VALUE"""),461.0)</f>
        <v>461</v>
      </c>
      <c r="D104" s="156">
        <f>IFERROR(__xludf.DUMMYFUNCTION("""COMPUTED_VALUE"""),46420.0)</f>
        <v>46420</v>
      </c>
      <c r="E104" s="78" t="str">
        <f>IFERROR(__xludf.DUMMYFUNCTION("""COMPUTED_VALUE"""),"02-Medellin")</f>
        <v>02-Medellin</v>
      </c>
      <c r="F104" s="156">
        <f>IFERROR(__xludf.DUMMYFUNCTION("""COMPUTED_VALUE"""),46093.0)</f>
        <v>46093</v>
      </c>
      <c r="G104" s="159">
        <f>IFERROR(__xludf.DUMMYFUNCTION("""COMPUTED_VALUE"""),57.0)</f>
        <v>57</v>
      </c>
      <c r="H104" s="78" t="str">
        <f>IFERROR(__xludf.DUMMYFUNCTION("""COMPUTED_VALUE"""),"VIGENTE")</f>
        <v>VIGENTE</v>
      </c>
      <c r="I104" s="132" t="str">
        <f t="shared" si="1"/>
        <v>-</v>
      </c>
      <c r="J104" s="158"/>
      <c r="K104" s="126">
        <v>101.0</v>
      </c>
      <c r="L104" s="78">
        <f>IFERROR(__xludf.DUMMYFUNCTION("""COMPUTED_VALUE"""),2424.0)</f>
        <v>2424</v>
      </c>
      <c r="M104" s="156">
        <f>IFERROR(__xludf.DUMMYFUNCTION("""COMPUTED_VALUE"""),46528.0)</f>
        <v>46528</v>
      </c>
      <c r="N104" s="78" t="str">
        <f>IFERROR(__xludf.DUMMYFUNCTION("""COMPUTED_VALUE"""),"02-Medellin")</f>
        <v>02-Medellin</v>
      </c>
      <c r="O104" s="156">
        <f>IFERROR(__xludf.DUMMYFUNCTION("""COMPUTED_VALUE"""),46009.0)</f>
        <v>46009</v>
      </c>
      <c r="P104" s="159">
        <f>IFERROR(__xludf.DUMMYFUNCTION("""COMPUTED_VALUE"""),2137.0)</f>
        <v>2137</v>
      </c>
      <c r="Q104" s="78" t="str">
        <f>IFERROR(__xludf.DUMMYFUNCTION("""COMPUTED_VALUE"""),"VIGENTE")</f>
        <v>VIGENTE</v>
      </c>
      <c r="R104" s="132" t="str">
        <f t="shared" si="2"/>
        <v>-</v>
      </c>
      <c r="T104" s="134" t="str">
        <f>CALENDARIO!D116</f>
        <v/>
      </c>
      <c r="U104" s="135" t="str">
        <f>CALENDARIO!C116</f>
        <v/>
      </c>
      <c r="W104" s="78"/>
      <c r="X104" s="136" t="str">
        <f>(VLOOKUP(W104,'BD LUB'!$A$2:$L$223,5,FALSE)/VLOOKUP(W104,'BD LUB'!$A$2:$L$223,7,FALSE))+(VLOOKUP(W104,'BD LUB'!$A$2:$L$223,6,FALSE)/VLOOKUP(W104,'BD LUB'!$A$2:$L$223,8,FALSE))</f>
        <v>#N/A</v>
      </c>
      <c r="Y104" s="137" t="str">
        <f>IF(AND(VLOOKUP(W104,'BD LUB'!$A$2:$L$223,11,FALSE)="PASADO",VLOOKUP(W104,'BD LUB'!$A$2:$L$223,12,FALSE)="PASADO"),1,IF(OR(AND(VLOOKUP(W104,'BD LUB'!$A$2:$L$223,11,FALSE)="PASADO",VLOOKUP(W104,'BD LUB'!$A$2:$L$223,12,FALSE)="PRÓXIMO"),AND(VLOOKUP(W104,'BD LUB'!$A$2:$L$223,11,FALSE)="PRÓXIMO",VLOOKUP(W104,'BD LUB'!$A$2:$L$223,12,FALSE)="PASADO")),2,IF(OR(AND(VLOOKUP(W104,'BD LUB'!$A$2:$L$223,11,FALSE)="PASADO",VLOOKUP(W104,'BD LUB'!$A$2:$L$223,12,FALSE)="VIGENTE"),AND(VLOOKUP(W104,'BD LUB'!$A$2:$L$223,11,FALSE)="VIGENTE",VLOOKUP(W104,'BD LUB'!$A$2:$L$223,12,FALSE)="PASADO")),3,IF(AND(VLOOKUP(W104,'BD LUB'!$A$2:$L$223,11,FALSE)="PRÓXIMO",VLOOKUP(W104,'BD LUB'!$A$2:$L$223,12,FALSE)="PRÓXIMO"),4,IF(OR(AND(VLOOKUP(W104,'BD LUB'!$A$2:$L$223,11,FALSE)="PRÓXIMO",VLOOKUP(W104,'BD LUB'!$A$2:$L$223,12,FALSE)="VIGENTE"),AND(VLOOKUP(W104,'BD LUB'!$A$2:$L$223,11,FALSE)="VIGENTE",VLOOKUP(W104,'BD LUB'!$A$2:$L$223,12,FALSE)="PRÓXIMO")),5,IF(AND(VLOOKUP(W104,'BD LUB'!$A$2:$L$223,11,FALSE)="VIGENTE",VLOOKUP(W104,'BD LUB'!$A$2:$L$223,12,FALSE)="VIGENTE"),6,"No definido"))))))</f>
        <v>#N/A</v>
      </c>
      <c r="Z104" s="138"/>
      <c r="AA104" s="139" t="str">
        <f>(VLOOKUP(Z104,'BD LUB'!$A$2:$L$223,5,FALSE)/VLOOKUP(Z104,'BD LUB'!$A$2:$L$223,7,FALSE))+(VLOOKUP(Z104,'BD LUB'!$A$2:$L$223,6,FALSE)/VLOOKUP(Z104,'BD LUB'!$A$2:$L$223,8,FALSE))</f>
        <v>#N/A</v>
      </c>
      <c r="AB104" s="78" t="str">
        <f>IF(AND(VLOOKUP(Z104,'BD LUB'!$A$2:$L$223,11,FALSE)="PASADO",VLOOKUP(Z104,'BD LUB'!$A$2:$L$223,12,FALSE)="PASADO"),1,IF(OR(AND(VLOOKUP(Z104,'BD LUB'!$A$2:$L$223,11,FALSE)="PASADO",VLOOKUP(Z104,'BD LUB'!$A$2:$L$223,12,FALSE)="PRÓXIMO"),AND(VLOOKUP(Z104,'BD LUB'!$A$2:$L$223,11,FALSE)="PRÓXIMO",VLOOKUP(Z104,'BD LUB'!$A$2:$L$223,12,FALSE)="PASADO")),2,IF(OR(AND(VLOOKUP(Z104,'BD LUB'!$A$2:$L$223,11,FALSE)="PASADO",VLOOKUP(Z104,'BD LUB'!$A$2:$L$223,12,FALSE)="VIGENTE"),AND(VLOOKUP(Z104,'BD LUB'!$A$2:$L$223,11,FALSE)="VIGENTE",VLOOKUP(Z104,'BD LUB'!$A$2:$L$223,12,FALSE)="PASADO")),3,IF(AND(VLOOKUP(Z104,'BD LUB'!$A$2:$L$223,11,FALSE)="PRÓXIMO",VLOOKUP(Z104,'BD LUB'!$A$2:$L$223,12,FALSE)="PRÓXIMO"),4,IF(OR(AND(VLOOKUP(Z104,'BD LUB'!$A$2:$L$223,11,FALSE)="PRÓXIMO",VLOOKUP(Z104,'BD LUB'!$A$2:$L$223,12,FALSE)="VIGENTE"),AND(VLOOKUP(Z104,'BD LUB'!$A$2:$L$223,11,FALSE)="VIGENTE",VLOOKUP(Z104,'BD LUB'!$A$2:$L$223,12,FALSE)="PRÓXIMO")),5,IF(AND(VLOOKUP(Z104,'BD LUB'!$A$2:$L$223,11,FALSE)="VIGENTE",VLOOKUP(Z104,'BD LUB'!$A$2:$L$223,12,FALSE)="VIGENTE"),6,"No definido"))))))</f>
        <v>#N/A</v>
      </c>
      <c r="AC104" s="78"/>
      <c r="AD104" s="136" t="str">
        <f>IF(VLOOKUP(AC104,'BD LUB'!$A$2:$C$223,3,FALSE)=$AH$20,AC104&amp;" MED",IF(VLOOKUP(AC104,'BD LUB'!$A$2:$C$223,3,FALSE)=$AH$19,AC104&amp;" MAY",IF(VLOOKUP(AC104,'BD LUB'!$A$2:$C$223,3,FALSE)=$AH$18,AC104&amp;" RN",IF(VLOOKUP(AC104,'BD LUB'!$A$2:$C$223,3,FALSE)=$AH$17,AC104&amp;" COPQUI",IF(VLOOKUP(AC104,'BD LUB'!$A$2:$C$223,3,FALSE)=$AH$16,AC104&amp;" CEJ",IF(VLOOKUP(AC104,'BD LUB'!$A$2:$C$223,3,FALSE)=$AH$15,AC104&amp;" BULT",IF(VLOOKUP(AC104,'BD LUB'!$A$2:$C$223,3,FALSE)=$AH$14,AC104&amp;" COP",IF(VLOOKUP(AC104,'BD LUB'!$A$2:$C$223,3,FALSE)=$AH$13,AC104&amp;" RIO",IF(VLOOKUP(AC104,'BD LUB'!$A$2:$C$223,3,FALSE)=$AH$21,AC104&amp;" APART","Dato no encontrado")))))))))</f>
        <v>#N/A</v>
      </c>
      <c r="AE104" s="160"/>
      <c r="AF104" s="160"/>
      <c r="AG104" s="160"/>
      <c r="AH104" s="160"/>
      <c r="AI104" s="160"/>
      <c r="AJ104" s="160"/>
      <c r="AP104" s="160"/>
      <c r="AV104" s="160"/>
    </row>
    <row r="105">
      <c r="A105" s="158"/>
      <c r="B105" s="126">
        <v>102.0</v>
      </c>
      <c r="C105" s="78">
        <f>IFERROR(__xludf.DUMMYFUNCTION("""COMPUTED_VALUE"""),3271.0)</f>
        <v>3271</v>
      </c>
      <c r="D105" s="156">
        <f>IFERROR(__xludf.DUMMYFUNCTION("""COMPUTED_VALUE"""),46668.0)</f>
        <v>46668</v>
      </c>
      <c r="E105" s="78" t="str">
        <f>IFERROR(__xludf.DUMMYFUNCTION("""COMPUTED_VALUE"""),"02-Medellin")</f>
        <v>02-Medellin</v>
      </c>
      <c r="F105" s="156">
        <f>IFERROR(__xludf.DUMMYFUNCTION("""COMPUTED_VALUE"""),46097.0)</f>
        <v>46097</v>
      </c>
      <c r="G105" s="159">
        <f>IFERROR(__xludf.DUMMYFUNCTION("""COMPUTED_VALUE"""),61.0)</f>
        <v>61</v>
      </c>
      <c r="H105" s="78" t="str">
        <f>IFERROR(__xludf.DUMMYFUNCTION("""COMPUTED_VALUE"""),"VIGENTE")</f>
        <v>VIGENTE</v>
      </c>
      <c r="I105" s="132" t="str">
        <f t="shared" si="1"/>
        <v>-</v>
      </c>
      <c r="J105" s="158"/>
      <c r="K105" s="126">
        <v>102.0</v>
      </c>
      <c r="L105" s="78">
        <f>IFERROR(__xludf.DUMMYFUNCTION("""COMPUTED_VALUE"""),2856.0)</f>
        <v>2856</v>
      </c>
      <c r="M105" s="156">
        <f>IFERROR(__xludf.DUMMYFUNCTION("""COMPUTED_VALUE"""),46215.0)</f>
        <v>46215</v>
      </c>
      <c r="N105" s="78" t="str">
        <f>IFERROR(__xludf.DUMMYFUNCTION("""COMPUTED_VALUE"""),"MAYORCA")</f>
        <v>MAYORCA</v>
      </c>
      <c r="O105" s="156">
        <f>IFERROR(__xludf.DUMMYFUNCTION("""COMPUTED_VALUE"""),46128.0)</f>
        <v>46128</v>
      </c>
      <c r="P105" s="159">
        <f>IFERROR(__xludf.DUMMYFUNCTION("""COMPUTED_VALUE"""),2308.0)</f>
        <v>2308</v>
      </c>
      <c r="Q105" s="78" t="str">
        <f>IFERROR(__xludf.DUMMYFUNCTION("""COMPUTED_VALUE"""),"VIGENTE")</f>
        <v>VIGENTE</v>
      </c>
      <c r="R105" s="132" t="str">
        <f t="shared" si="2"/>
        <v>-</v>
      </c>
      <c r="T105" s="134" t="str">
        <f>CALENDARIO!D117</f>
        <v/>
      </c>
      <c r="U105" s="135" t="str">
        <f>CALENDARIO!C117</f>
        <v/>
      </c>
      <c r="W105" s="78"/>
      <c r="X105" s="136" t="str">
        <f>(VLOOKUP(W105,'BD LUB'!$A$2:$L$223,5,FALSE)/VLOOKUP(W105,'BD LUB'!$A$2:$L$223,7,FALSE))+(VLOOKUP(W105,'BD LUB'!$A$2:$L$223,6,FALSE)/VLOOKUP(W105,'BD LUB'!$A$2:$L$223,8,FALSE))</f>
        <v>#N/A</v>
      </c>
      <c r="Y105" s="137" t="str">
        <f>IF(AND(VLOOKUP(W105,'BD LUB'!$A$2:$L$223,11,FALSE)="PASADO",VLOOKUP(W105,'BD LUB'!$A$2:$L$223,12,FALSE)="PASADO"),1,IF(OR(AND(VLOOKUP(W105,'BD LUB'!$A$2:$L$223,11,FALSE)="PASADO",VLOOKUP(W105,'BD LUB'!$A$2:$L$223,12,FALSE)="PRÓXIMO"),AND(VLOOKUP(W105,'BD LUB'!$A$2:$L$223,11,FALSE)="PRÓXIMO",VLOOKUP(W105,'BD LUB'!$A$2:$L$223,12,FALSE)="PASADO")),2,IF(OR(AND(VLOOKUP(W105,'BD LUB'!$A$2:$L$223,11,FALSE)="PASADO",VLOOKUP(W105,'BD LUB'!$A$2:$L$223,12,FALSE)="VIGENTE"),AND(VLOOKUP(W105,'BD LUB'!$A$2:$L$223,11,FALSE)="VIGENTE",VLOOKUP(W105,'BD LUB'!$A$2:$L$223,12,FALSE)="PASADO")),3,IF(AND(VLOOKUP(W105,'BD LUB'!$A$2:$L$223,11,FALSE)="PRÓXIMO",VLOOKUP(W105,'BD LUB'!$A$2:$L$223,12,FALSE)="PRÓXIMO"),4,IF(OR(AND(VLOOKUP(W105,'BD LUB'!$A$2:$L$223,11,FALSE)="PRÓXIMO",VLOOKUP(W105,'BD LUB'!$A$2:$L$223,12,FALSE)="VIGENTE"),AND(VLOOKUP(W105,'BD LUB'!$A$2:$L$223,11,FALSE)="VIGENTE",VLOOKUP(W105,'BD LUB'!$A$2:$L$223,12,FALSE)="PRÓXIMO")),5,IF(AND(VLOOKUP(W105,'BD LUB'!$A$2:$L$223,11,FALSE)="VIGENTE",VLOOKUP(W105,'BD LUB'!$A$2:$L$223,12,FALSE)="VIGENTE"),6,"No definido"))))))</f>
        <v>#N/A</v>
      </c>
      <c r="Z105" s="138"/>
      <c r="AA105" s="139" t="str">
        <f>(VLOOKUP(Z105,'BD LUB'!$A$2:$L$223,5,FALSE)/VLOOKUP(Z105,'BD LUB'!$A$2:$L$223,7,FALSE))+(VLOOKUP(Z105,'BD LUB'!$A$2:$L$223,6,FALSE)/VLOOKUP(Z105,'BD LUB'!$A$2:$L$223,8,FALSE))</f>
        <v>#N/A</v>
      </c>
      <c r="AB105" s="78" t="str">
        <f>IF(AND(VLOOKUP(Z105,'BD LUB'!$A$2:$L$223,11,FALSE)="PASADO",VLOOKUP(Z105,'BD LUB'!$A$2:$L$223,12,FALSE)="PASADO"),1,IF(OR(AND(VLOOKUP(Z105,'BD LUB'!$A$2:$L$223,11,FALSE)="PASADO",VLOOKUP(Z105,'BD LUB'!$A$2:$L$223,12,FALSE)="PRÓXIMO"),AND(VLOOKUP(Z105,'BD LUB'!$A$2:$L$223,11,FALSE)="PRÓXIMO",VLOOKUP(Z105,'BD LUB'!$A$2:$L$223,12,FALSE)="PASADO")),2,IF(OR(AND(VLOOKUP(Z105,'BD LUB'!$A$2:$L$223,11,FALSE)="PASADO",VLOOKUP(Z105,'BD LUB'!$A$2:$L$223,12,FALSE)="VIGENTE"),AND(VLOOKUP(Z105,'BD LUB'!$A$2:$L$223,11,FALSE)="VIGENTE",VLOOKUP(Z105,'BD LUB'!$A$2:$L$223,12,FALSE)="PASADO")),3,IF(AND(VLOOKUP(Z105,'BD LUB'!$A$2:$L$223,11,FALSE)="PRÓXIMO",VLOOKUP(Z105,'BD LUB'!$A$2:$L$223,12,FALSE)="PRÓXIMO"),4,IF(OR(AND(VLOOKUP(Z105,'BD LUB'!$A$2:$L$223,11,FALSE)="PRÓXIMO",VLOOKUP(Z105,'BD LUB'!$A$2:$L$223,12,FALSE)="VIGENTE"),AND(VLOOKUP(Z105,'BD LUB'!$A$2:$L$223,11,FALSE)="VIGENTE",VLOOKUP(Z105,'BD LUB'!$A$2:$L$223,12,FALSE)="PRÓXIMO")),5,IF(AND(VLOOKUP(Z105,'BD LUB'!$A$2:$L$223,11,FALSE)="VIGENTE",VLOOKUP(Z105,'BD LUB'!$A$2:$L$223,12,FALSE)="VIGENTE"),6,"No definido"))))))</f>
        <v>#N/A</v>
      </c>
      <c r="AC105" s="78"/>
      <c r="AD105" s="136" t="str">
        <f>IF(VLOOKUP(AC105,'BD LUB'!$A$2:$C$223,3,FALSE)=$AH$20,AC105&amp;" MED",IF(VLOOKUP(AC105,'BD LUB'!$A$2:$C$223,3,FALSE)=$AH$19,AC105&amp;" MAY",IF(VLOOKUP(AC105,'BD LUB'!$A$2:$C$223,3,FALSE)=$AH$18,AC105&amp;" RN",IF(VLOOKUP(AC105,'BD LUB'!$A$2:$C$223,3,FALSE)=$AH$17,AC105&amp;" COPQUI",IF(VLOOKUP(AC105,'BD LUB'!$A$2:$C$223,3,FALSE)=$AH$16,AC105&amp;" CEJ",IF(VLOOKUP(AC105,'BD LUB'!$A$2:$C$223,3,FALSE)=$AH$15,AC105&amp;" BULT",IF(VLOOKUP(AC105,'BD LUB'!$A$2:$C$223,3,FALSE)=$AH$14,AC105&amp;" COP",IF(VLOOKUP(AC105,'BD LUB'!$A$2:$C$223,3,FALSE)=$AH$13,AC105&amp;" RIO",IF(VLOOKUP(AC105,'BD LUB'!$A$2:$C$223,3,FALSE)=$AH$21,AC105&amp;" APART","Dato no encontrado")))))))))</f>
        <v>#N/A</v>
      </c>
      <c r="AE105" s="160"/>
      <c r="AF105" s="160"/>
      <c r="AG105" s="160"/>
      <c r="AH105" s="160"/>
      <c r="AI105" s="160"/>
      <c r="AJ105" s="160"/>
      <c r="AP105" s="160"/>
      <c r="AV105" s="160"/>
    </row>
    <row r="106">
      <c r="A106" s="158"/>
      <c r="B106" s="126">
        <v>103.0</v>
      </c>
      <c r="C106" s="78">
        <f>IFERROR(__xludf.DUMMYFUNCTION("""COMPUTED_VALUE"""),3201.0)</f>
        <v>3201</v>
      </c>
      <c r="D106" s="156">
        <f>IFERROR(__xludf.DUMMYFUNCTION("""COMPUTED_VALUE"""),46654.0)</f>
        <v>46654</v>
      </c>
      <c r="E106" s="78" t="str">
        <f>IFERROR(__xludf.DUMMYFUNCTION("""COMPUTED_VALUE"""),"02-Medellin")</f>
        <v>02-Medellin</v>
      </c>
      <c r="F106" s="156">
        <f>IFERROR(__xludf.DUMMYFUNCTION("""COMPUTED_VALUE"""),46097.0)</f>
        <v>46097</v>
      </c>
      <c r="G106" s="159">
        <f>IFERROR(__xludf.DUMMYFUNCTION("""COMPUTED_VALUE"""),61.0)</f>
        <v>61</v>
      </c>
      <c r="H106" s="78" t="str">
        <f>IFERROR(__xludf.DUMMYFUNCTION("""COMPUTED_VALUE"""),"VIGENTE")</f>
        <v>VIGENTE</v>
      </c>
      <c r="I106" s="132" t="str">
        <f t="shared" si="1"/>
        <v>-</v>
      </c>
      <c r="J106" s="158"/>
      <c r="K106" s="126">
        <v>103.0</v>
      </c>
      <c r="L106" s="78">
        <f>IFERROR(__xludf.DUMMYFUNCTION("""COMPUTED_VALUE"""),3250.0)</f>
        <v>3250</v>
      </c>
      <c r="M106" s="156">
        <f>IFERROR(__xludf.DUMMYFUNCTION("""COMPUTED_VALUE"""),46661.0)</f>
        <v>46661</v>
      </c>
      <c r="N106" s="78" t="str">
        <f>IFERROR(__xludf.DUMMYFUNCTION("""COMPUTED_VALUE"""),"02-Medellin")</f>
        <v>02-Medellin</v>
      </c>
      <c r="O106" s="156">
        <f>IFERROR(__xludf.DUMMYFUNCTION("""COMPUTED_VALUE"""),46161.0)</f>
        <v>46161</v>
      </c>
      <c r="P106" s="159">
        <f>IFERROR(__xludf.DUMMYFUNCTION("""COMPUTED_VALUE"""),2316.0)</f>
        <v>2316</v>
      </c>
      <c r="Q106" s="78" t="str">
        <f>IFERROR(__xludf.DUMMYFUNCTION("""COMPUTED_VALUE"""),"VIGENTE")</f>
        <v>VIGENTE</v>
      </c>
      <c r="R106" s="132" t="str">
        <f t="shared" si="2"/>
        <v>-</v>
      </c>
      <c r="T106" s="134" t="str">
        <f>CALENDARIO!D118</f>
        <v/>
      </c>
      <c r="U106" s="135" t="str">
        <f>CALENDARIO!C118</f>
        <v/>
      </c>
      <c r="W106" s="78"/>
      <c r="X106" s="136" t="str">
        <f>(VLOOKUP(W106,'BD LUB'!$A$2:$L$223,5,FALSE)/VLOOKUP(W106,'BD LUB'!$A$2:$L$223,7,FALSE))+(VLOOKUP(W106,'BD LUB'!$A$2:$L$223,6,FALSE)/VLOOKUP(W106,'BD LUB'!$A$2:$L$223,8,FALSE))</f>
        <v>#N/A</v>
      </c>
      <c r="Y106" s="137" t="str">
        <f>IF(AND(VLOOKUP(W106,'BD LUB'!$A$2:$L$223,11,FALSE)="PASADO",VLOOKUP(W106,'BD LUB'!$A$2:$L$223,12,FALSE)="PASADO"),1,IF(OR(AND(VLOOKUP(W106,'BD LUB'!$A$2:$L$223,11,FALSE)="PASADO",VLOOKUP(W106,'BD LUB'!$A$2:$L$223,12,FALSE)="PRÓXIMO"),AND(VLOOKUP(W106,'BD LUB'!$A$2:$L$223,11,FALSE)="PRÓXIMO",VLOOKUP(W106,'BD LUB'!$A$2:$L$223,12,FALSE)="PASADO")),2,IF(OR(AND(VLOOKUP(W106,'BD LUB'!$A$2:$L$223,11,FALSE)="PASADO",VLOOKUP(W106,'BD LUB'!$A$2:$L$223,12,FALSE)="VIGENTE"),AND(VLOOKUP(W106,'BD LUB'!$A$2:$L$223,11,FALSE)="VIGENTE",VLOOKUP(W106,'BD LUB'!$A$2:$L$223,12,FALSE)="PASADO")),3,IF(AND(VLOOKUP(W106,'BD LUB'!$A$2:$L$223,11,FALSE)="PRÓXIMO",VLOOKUP(W106,'BD LUB'!$A$2:$L$223,12,FALSE)="PRÓXIMO"),4,IF(OR(AND(VLOOKUP(W106,'BD LUB'!$A$2:$L$223,11,FALSE)="PRÓXIMO",VLOOKUP(W106,'BD LUB'!$A$2:$L$223,12,FALSE)="VIGENTE"),AND(VLOOKUP(W106,'BD LUB'!$A$2:$L$223,11,FALSE)="VIGENTE",VLOOKUP(W106,'BD LUB'!$A$2:$L$223,12,FALSE)="PRÓXIMO")),5,IF(AND(VLOOKUP(W106,'BD LUB'!$A$2:$L$223,11,FALSE)="VIGENTE",VLOOKUP(W106,'BD LUB'!$A$2:$L$223,12,FALSE)="VIGENTE"),6,"No definido"))))))</f>
        <v>#N/A</v>
      </c>
      <c r="Z106" s="138"/>
      <c r="AA106" s="139" t="str">
        <f>(VLOOKUP(Z106,'BD LUB'!$A$2:$L$223,5,FALSE)/VLOOKUP(Z106,'BD LUB'!$A$2:$L$223,7,FALSE))+(VLOOKUP(Z106,'BD LUB'!$A$2:$L$223,6,FALSE)/VLOOKUP(Z106,'BD LUB'!$A$2:$L$223,8,FALSE))</f>
        <v>#N/A</v>
      </c>
      <c r="AB106" s="78" t="str">
        <f>IF(AND(VLOOKUP(Z106,'BD LUB'!$A$2:$L$223,11,FALSE)="PASADO",VLOOKUP(Z106,'BD LUB'!$A$2:$L$223,12,FALSE)="PASADO"),1,IF(OR(AND(VLOOKUP(Z106,'BD LUB'!$A$2:$L$223,11,FALSE)="PASADO",VLOOKUP(Z106,'BD LUB'!$A$2:$L$223,12,FALSE)="PRÓXIMO"),AND(VLOOKUP(Z106,'BD LUB'!$A$2:$L$223,11,FALSE)="PRÓXIMO",VLOOKUP(Z106,'BD LUB'!$A$2:$L$223,12,FALSE)="PASADO")),2,IF(OR(AND(VLOOKUP(Z106,'BD LUB'!$A$2:$L$223,11,FALSE)="PASADO",VLOOKUP(Z106,'BD LUB'!$A$2:$L$223,12,FALSE)="VIGENTE"),AND(VLOOKUP(Z106,'BD LUB'!$A$2:$L$223,11,FALSE)="VIGENTE",VLOOKUP(Z106,'BD LUB'!$A$2:$L$223,12,FALSE)="PASADO")),3,IF(AND(VLOOKUP(Z106,'BD LUB'!$A$2:$L$223,11,FALSE)="PRÓXIMO",VLOOKUP(Z106,'BD LUB'!$A$2:$L$223,12,FALSE)="PRÓXIMO"),4,IF(OR(AND(VLOOKUP(Z106,'BD LUB'!$A$2:$L$223,11,FALSE)="PRÓXIMO",VLOOKUP(Z106,'BD LUB'!$A$2:$L$223,12,FALSE)="VIGENTE"),AND(VLOOKUP(Z106,'BD LUB'!$A$2:$L$223,11,FALSE)="VIGENTE",VLOOKUP(Z106,'BD LUB'!$A$2:$L$223,12,FALSE)="PRÓXIMO")),5,IF(AND(VLOOKUP(Z106,'BD LUB'!$A$2:$L$223,11,FALSE)="VIGENTE",VLOOKUP(Z106,'BD LUB'!$A$2:$L$223,12,FALSE)="VIGENTE"),6,"No definido"))))))</f>
        <v>#N/A</v>
      </c>
      <c r="AC106" s="78"/>
      <c r="AD106" s="136" t="str">
        <f>IF(VLOOKUP(AC106,'BD LUB'!$A$2:$C$223,3,FALSE)=$AH$20,AC106&amp;" MED",IF(VLOOKUP(AC106,'BD LUB'!$A$2:$C$223,3,FALSE)=$AH$19,AC106&amp;" MAY",IF(VLOOKUP(AC106,'BD LUB'!$A$2:$C$223,3,FALSE)=$AH$18,AC106&amp;" RN",IF(VLOOKUP(AC106,'BD LUB'!$A$2:$C$223,3,FALSE)=$AH$17,AC106&amp;" COPQUI",IF(VLOOKUP(AC106,'BD LUB'!$A$2:$C$223,3,FALSE)=$AH$16,AC106&amp;" CEJ",IF(VLOOKUP(AC106,'BD LUB'!$A$2:$C$223,3,FALSE)=$AH$15,AC106&amp;" BULT",IF(VLOOKUP(AC106,'BD LUB'!$A$2:$C$223,3,FALSE)=$AH$14,AC106&amp;" COP",IF(VLOOKUP(AC106,'BD LUB'!$A$2:$C$223,3,FALSE)=$AH$13,AC106&amp;" RIO",IF(VLOOKUP(AC106,'BD LUB'!$A$2:$C$223,3,FALSE)=$AH$21,AC106&amp;" APART","Dato no encontrado")))))))))</f>
        <v>#N/A</v>
      </c>
      <c r="AE106" s="160"/>
      <c r="AF106" s="160"/>
      <c r="AG106" s="160"/>
      <c r="AH106" s="160"/>
      <c r="AI106" s="160"/>
      <c r="AJ106" s="160"/>
      <c r="AP106" s="160"/>
      <c r="AV106" s="160"/>
    </row>
    <row r="107">
      <c r="A107" s="158"/>
      <c r="B107" s="126">
        <v>104.0</v>
      </c>
      <c r="C107" s="78">
        <f>IFERROR(__xludf.DUMMYFUNCTION("""COMPUTED_VALUE"""),2194.0)</f>
        <v>2194</v>
      </c>
      <c r="D107" s="156">
        <f>IFERROR(__xludf.DUMMYFUNCTION("""COMPUTED_VALUE"""),46530.0)</f>
        <v>46530</v>
      </c>
      <c r="E107" s="78" t="str">
        <f>IFERROR(__xludf.DUMMYFUNCTION("""COMPUTED_VALUE"""),"02-Medellin")</f>
        <v>02-Medellin</v>
      </c>
      <c r="F107" s="156">
        <f>IFERROR(__xludf.DUMMYFUNCTION("""COMPUTED_VALUE"""),46098.0)</f>
        <v>46098</v>
      </c>
      <c r="G107" s="159">
        <f>IFERROR(__xludf.DUMMYFUNCTION("""COMPUTED_VALUE"""),62.0)</f>
        <v>62</v>
      </c>
      <c r="H107" s="78" t="str">
        <f>IFERROR(__xludf.DUMMYFUNCTION("""COMPUTED_VALUE"""),"VIGENTE")</f>
        <v>VIGENTE</v>
      </c>
      <c r="I107" s="132" t="str">
        <f t="shared" si="1"/>
        <v>-</v>
      </c>
      <c r="J107" s="158"/>
      <c r="K107" s="126">
        <v>104.0</v>
      </c>
      <c r="L107" s="78">
        <f>IFERROR(__xludf.DUMMYFUNCTION("""COMPUTED_VALUE"""),2230.0)</f>
        <v>2230</v>
      </c>
      <c r="M107" s="156">
        <f>IFERROR(__xludf.DUMMYFUNCTION("""COMPUTED_VALUE"""),46570.0)</f>
        <v>46570</v>
      </c>
      <c r="N107" s="78" t="str">
        <f>IFERROR(__xludf.DUMMYFUNCTION("""COMPUTED_VALUE"""),"02-Medellin")</f>
        <v>02-Medellin</v>
      </c>
      <c r="O107" s="156">
        <f>IFERROR(__xludf.DUMMYFUNCTION("""COMPUTED_VALUE"""),46008.0)</f>
        <v>46008</v>
      </c>
      <c r="P107" s="159">
        <f>IFERROR(__xludf.DUMMYFUNCTION("""COMPUTED_VALUE"""),2375.7)</f>
        <v>2375.7</v>
      </c>
      <c r="Q107" s="78" t="str">
        <f>IFERROR(__xludf.DUMMYFUNCTION("""COMPUTED_VALUE"""),"VIGENTE")</f>
        <v>VIGENTE</v>
      </c>
      <c r="R107" s="132" t="str">
        <f t="shared" si="2"/>
        <v>-</v>
      </c>
      <c r="T107" s="134" t="str">
        <f>CALENDARIO!D119</f>
        <v/>
      </c>
      <c r="U107" s="135" t="str">
        <f>CALENDARIO!C119</f>
        <v/>
      </c>
      <c r="W107" s="78"/>
      <c r="X107" s="136" t="str">
        <f>(VLOOKUP(W107,'BD LUB'!$A$2:$L$223,5,FALSE)/VLOOKUP(W107,'BD LUB'!$A$2:$L$223,7,FALSE))+(VLOOKUP(W107,'BD LUB'!$A$2:$L$223,6,FALSE)/VLOOKUP(W107,'BD LUB'!$A$2:$L$223,8,FALSE))</f>
        <v>#N/A</v>
      </c>
      <c r="Y107" s="137" t="str">
        <f>IF(AND(VLOOKUP(W107,'BD LUB'!$A$2:$L$223,11,FALSE)="PASADO",VLOOKUP(W107,'BD LUB'!$A$2:$L$223,12,FALSE)="PASADO"),1,IF(OR(AND(VLOOKUP(W107,'BD LUB'!$A$2:$L$223,11,FALSE)="PASADO",VLOOKUP(W107,'BD LUB'!$A$2:$L$223,12,FALSE)="PRÓXIMO"),AND(VLOOKUP(W107,'BD LUB'!$A$2:$L$223,11,FALSE)="PRÓXIMO",VLOOKUP(W107,'BD LUB'!$A$2:$L$223,12,FALSE)="PASADO")),2,IF(OR(AND(VLOOKUP(W107,'BD LUB'!$A$2:$L$223,11,FALSE)="PASADO",VLOOKUP(W107,'BD LUB'!$A$2:$L$223,12,FALSE)="VIGENTE"),AND(VLOOKUP(W107,'BD LUB'!$A$2:$L$223,11,FALSE)="VIGENTE",VLOOKUP(W107,'BD LUB'!$A$2:$L$223,12,FALSE)="PASADO")),3,IF(AND(VLOOKUP(W107,'BD LUB'!$A$2:$L$223,11,FALSE)="PRÓXIMO",VLOOKUP(W107,'BD LUB'!$A$2:$L$223,12,FALSE)="PRÓXIMO"),4,IF(OR(AND(VLOOKUP(W107,'BD LUB'!$A$2:$L$223,11,FALSE)="PRÓXIMO",VLOOKUP(W107,'BD LUB'!$A$2:$L$223,12,FALSE)="VIGENTE"),AND(VLOOKUP(W107,'BD LUB'!$A$2:$L$223,11,FALSE)="VIGENTE",VLOOKUP(W107,'BD LUB'!$A$2:$L$223,12,FALSE)="PRÓXIMO")),5,IF(AND(VLOOKUP(W107,'BD LUB'!$A$2:$L$223,11,FALSE)="VIGENTE",VLOOKUP(W107,'BD LUB'!$A$2:$L$223,12,FALSE)="VIGENTE"),6,"No definido"))))))</f>
        <v>#N/A</v>
      </c>
      <c r="Z107" s="138"/>
      <c r="AA107" s="139" t="str">
        <f>(VLOOKUP(Z107,'BD LUB'!$A$2:$L$223,5,FALSE)/VLOOKUP(Z107,'BD LUB'!$A$2:$L$223,7,FALSE))+(VLOOKUP(Z107,'BD LUB'!$A$2:$L$223,6,FALSE)/VLOOKUP(Z107,'BD LUB'!$A$2:$L$223,8,FALSE))</f>
        <v>#N/A</v>
      </c>
      <c r="AB107" s="78" t="str">
        <f>IF(AND(VLOOKUP(Z107,'BD LUB'!$A$2:$L$223,11,FALSE)="PASADO",VLOOKUP(Z107,'BD LUB'!$A$2:$L$223,12,FALSE)="PASADO"),1,IF(OR(AND(VLOOKUP(Z107,'BD LUB'!$A$2:$L$223,11,FALSE)="PASADO",VLOOKUP(Z107,'BD LUB'!$A$2:$L$223,12,FALSE)="PRÓXIMO"),AND(VLOOKUP(Z107,'BD LUB'!$A$2:$L$223,11,FALSE)="PRÓXIMO",VLOOKUP(Z107,'BD LUB'!$A$2:$L$223,12,FALSE)="PASADO")),2,IF(OR(AND(VLOOKUP(Z107,'BD LUB'!$A$2:$L$223,11,FALSE)="PASADO",VLOOKUP(Z107,'BD LUB'!$A$2:$L$223,12,FALSE)="VIGENTE"),AND(VLOOKUP(Z107,'BD LUB'!$A$2:$L$223,11,FALSE)="VIGENTE",VLOOKUP(Z107,'BD LUB'!$A$2:$L$223,12,FALSE)="PASADO")),3,IF(AND(VLOOKUP(Z107,'BD LUB'!$A$2:$L$223,11,FALSE)="PRÓXIMO",VLOOKUP(Z107,'BD LUB'!$A$2:$L$223,12,FALSE)="PRÓXIMO"),4,IF(OR(AND(VLOOKUP(Z107,'BD LUB'!$A$2:$L$223,11,FALSE)="PRÓXIMO",VLOOKUP(Z107,'BD LUB'!$A$2:$L$223,12,FALSE)="VIGENTE"),AND(VLOOKUP(Z107,'BD LUB'!$A$2:$L$223,11,FALSE)="VIGENTE",VLOOKUP(Z107,'BD LUB'!$A$2:$L$223,12,FALSE)="PRÓXIMO")),5,IF(AND(VLOOKUP(Z107,'BD LUB'!$A$2:$L$223,11,FALSE)="VIGENTE",VLOOKUP(Z107,'BD LUB'!$A$2:$L$223,12,FALSE)="VIGENTE"),6,"No definido"))))))</f>
        <v>#N/A</v>
      </c>
      <c r="AC107" s="78"/>
      <c r="AD107" s="136" t="str">
        <f>IF(VLOOKUP(AC107,'BD LUB'!$A$2:$C$223,3,FALSE)=$AH$20,AC107&amp;" MED",IF(VLOOKUP(AC107,'BD LUB'!$A$2:$C$223,3,FALSE)=$AH$19,AC107&amp;" MAY",IF(VLOOKUP(AC107,'BD LUB'!$A$2:$C$223,3,FALSE)=$AH$18,AC107&amp;" RN",IF(VLOOKUP(AC107,'BD LUB'!$A$2:$C$223,3,FALSE)=$AH$17,AC107&amp;" COPQUI",IF(VLOOKUP(AC107,'BD LUB'!$A$2:$C$223,3,FALSE)=$AH$16,AC107&amp;" CEJ",IF(VLOOKUP(AC107,'BD LUB'!$A$2:$C$223,3,FALSE)=$AH$15,AC107&amp;" BULT",IF(VLOOKUP(AC107,'BD LUB'!$A$2:$C$223,3,FALSE)=$AH$14,AC107&amp;" COP",IF(VLOOKUP(AC107,'BD LUB'!$A$2:$C$223,3,FALSE)=$AH$13,AC107&amp;" RIO",IF(VLOOKUP(AC107,'BD LUB'!$A$2:$C$223,3,FALSE)=$AH$21,AC107&amp;" APART","Dato no encontrado")))))))))</f>
        <v>#N/A</v>
      </c>
      <c r="AE107" s="160"/>
      <c r="AF107" s="160"/>
      <c r="AG107" s="160"/>
      <c r="AH107" s="160"/>
      <c r="AI107" s="160"/>
      <c r="AJ107" s="160"/>
      <c r="AP107" s="160"/>
      <c r="AV107" s="160"/>
    </row>
    <row r="108">
      <c r="A108" s="158"/>
      <c r="B108" s="126">
        <v>105.0</v>
      </c>
      <c r="C108" s="78">
        <f>IFERROR(__xludf.DUMMYFUNCTION("""COMPUTED_VALUE"""),3216.0)</f>
        <v>3216</v>
      </c>
      <c r="D108" s="156">
        <f>IFERROR(__xludf.DUMMYFUNCTION("""COMPUTED_VALUE"""),46654.0)</f>
        <v>46654</v>
      </c>
      <c r="E108" s="78" t="str">
        <f>IFERROR(__xludf.DUMMYFUNCTION("""COMPUTED_VALUE"""),"02-Medellin")</f>
        <v>02-Medellin</v>
      </c>
      <c r="F108" s="156">
        <f>IFERROR(__xludf.DUMMYFUNCTION("""COMPUTED_VALUE"""),46100.0)</f>
        <v>46100</v>
      </c>
      <c r="G108" s="159">
        <f>IFERROR(__xludf.DUMMYFUNCTION("""COMPUTED_VALUE"""),64.0)</f>
        <v>64</v>
      </c>
      <c r="H108" s="78" t="str">
        <f>IFERROR(__xludf.DUMMYFUNCTION("""COMPUTED_VALUE"""),"VIGENTE")</f>
        <v>VIGENTE</v>
      </c>
      <c r="I108" s="132" t="str">
        <f t="shared" si="1"/>
        <v>-</v>
      </c>
      <c r="J108" s="158"/>
      <c r="K108" s="126">
        <v>105.0</v>
      </c>
      <c r="L108" s="78">
        <f>IFERROR(__xludf.DUMMYFUNCTION("""COMPUTED_VALUE"""),2881.0)</f>
        <v>2881</v>
      </c>
      <c r="M108" s="156">
        <f>IFERROR(__xludf.DUMMYFUNCTION("""COMPUTED_VALUE"""),46226.0)</f>
        <v>46226</v>
      </c>
      <c r="N108" s="78" t="str">
        <f>IFERROR(__xludf.DUMMYFUNCTION("""COMPUTED_VALUE"""),"02-Medellin")</f>
        <v>02-Medellin</v>
      </c>
      <c r="O108" s="156">
        <f>IFERROR(__xludf.DUMMYFUNCTION("""COMPUTED_VALUE"""),46038.0)</f>
        <v>46038</v>
      </c>
      <c r="P108" s="159">
        <f>IFERROR(__xludf.DUMMYFUNCTION("""COMPUTED_VALUE"""),2419.0)</f>
        <v>2419</v>
      </c>
      <c r="Q108" s="78" t="str">
        <f>IFERROR(__xludf.DUMMYFUNCTION("""COMPUTED_VALUE"""),"VIGENTE")</f>
        <v>VIGENTE</v>
      </c>
      <c r="R108" s="132" t="str">
        <f t="shared" si="2"/>
        <v>-</v>
      </c>
      <c r="T108" s="134" t="str">
        <f>CALENDARIO!D120</f>
        <v/>
      </c>
      <c r="U108" s="135" t="str">
        <f>CALENDARIO!C120</f>
        <v/>
      </c>
      <c r="W108" s="78"/>
      <c r="X108" s="136" t="str">
        <f>(VLOOKUP(W108,'BD LUB'!$A$2:$L$223,5,FALSE)/VLOOKUP(W108,'BD LUB'!$A$2:$L$223,7,FALSE))+(VLOOKUP(W108,'BD LUB'!$A$2:$L$223,6,FALSE)/VLOOKUP(W108,'BD LUB'!$A$2:$L$223,8,FALSE))</f>
        <v>#N/A</v>
      </c>
      <c r="Y108" s="137" t="str">
        <f>IF(AND(VLOOKUP(W108,'BD LUB'!$A$2:$L$223,11,FALSE)="PASADO",VLOOKUP(W108,'BD LUB'!$A$2:$L$223,12,FALSE)="PASADO"),1,IF(OR(AND(VLOOKUP(W108,'BD LUB'!$A$2:$L$223,11,FALSE)="PASADO",VLOOKUP(W108,'BD LUB'!$A$2:$L$223,12,FALSE)="PRÓXIMO"),AND(VLOOKUP(W108,'BD LUB'!$A$2:$L$223,11,FALSE)="PRÓXIMO",VLOOKUP(W108,'BD LUB'!$A$2:$L$223,12,FALSE)="PASADO")),2,IF(OR(AND(VLOOKUP(W108,'BD LUB'!$A$2:$L$223,11,FALSE)="PASADO",VLOOKUP(W108,'BD LUB'!$A$2:$L$223,12,FALSE)="VIGENTE"),AND(VLOOKUP(W108,'BD LUB'!$A$2:$L$223,11,FALSE)="VIGENTE",VLOOKUP(W108,'BD LUB'!$A$2:$L$223,12,FALSE)="PASADO")),3,IF(AND(VLOOKUP(W108,'BD LUB'!$A$2:$L$223,11,FALSE)="PRÓXIMO",VLOOKUP(W108,'BD LUB'!$A$2:$L$223,12,FALSE)="PRÓXIMO"),4,IF(OR(AND(VLOOKUP(W108,'BD LUB'!$A$2:$L$223,11,FALSE)="PRÓXIMO",VLOOKUP(W108,'BD LUB'!$A$2:$L$223,12,FALSE)="VIGENTE"),AND(VLOOKUP(W108,'BD LUB'!$A$2:$L$223,11,FALSE)="VIGENTE",VLOOKUP(W108,'BD LUB'!$A$2:$L$223,12,FALSE)="PRÓXIMO")),5,IF(AND(VLOOKUP(W108,'BD LUB'!$A$2:$L$223,11,FALSE)="VIGENTE",VLOOKUP(W108,'BD LUB'!$A$2:$L$223,12,FALSE)="VIGENTE"),6,"No definido"))))))</f>
        <v>#N/A</v>
      </c>
      <c r="Z108" s="138"/>
      <c r="AA108" s="139" t="str">
        <f>(VLOOKUP(Z108,'BD LUB'!$A$2:$L$223,5,FALSE)/VLOOKUP(Z108,'BD LUB'!$A$2:$L$223,7,FALSE))+(VLOOKUP(Z108,'BD LUB'!$A$2:$L$223,6,FALSE)/VLOOKUP(Z108,'BD LUB'!$A$2:$L$223,8,FALSE))</f>
        <v>#N/A</v>
      </c>
      <c r="AB108" s="78" t="str">
        <f>IF(AND(VLOOKUP(Z108,'BD LUB'!$A$2:$L$223,11,FALSE)="PASADO",VLOOKUP(Z108,'BD LUB'!$A$2:$L$223,12,FALSE)="PASADO"),1,IF(OR(AND(VLOOKUP(Z108,'BD LUB'!$A$2:$L$223,11,FALSE)="PASADO",VLOOKUP(Z108,'BD LUB'!$A$2:$L$223,12,FALSE)="PRÓXIMO"),AND(VLOOKUP(Z108,'BD LUB'!$A$2:$L$223,11,FALSE)="PRÓXIMO",VLOOKUP(Z108,'BD LUB'!$A$2:$L$223,12,FALSE)="PASADO")),2,IF(OR(AND(VLOOKUP(Z108,'BD LUB'!$A$2:$L$223,11,FALSE)="PASADO",VLOOKUP(Z108,'BD LUB'!$A$2:$L$223,12,FALSE)="VIGENTE"),AND(VLOOKUP(Z108,'BD LUB'!$A$2:$L$223,11,FALSE)="VIGENTE",VLOOKUP(Z108,'BD LUB'!$A$2:$L$223,12,FALSE)="PASADO")),3,IF(AND(VLOOKUP(Z108,'BD LUB'!$A$2:$L$223,11,FALSE)="PRÓXIMO",VLOOKUP(Z108,'BD LUB'!$A$2:$L$223,12,FALSE)="PRÓXIMO"),4,IF(OR(AND(VLOOKUP(Z108,'BD LUB'!$A$2:$L$223,11,FALSE)="PRÓXIMO",VLOOKUP(Z108,'BD LUB'!$A$2:$L$223,12,FALSE)="VIGENTE"),AND(VLOOKUP(Z108,'BD LUB'!$A$2:$L$223,11,FALSE)="VIGENTE",VLOOKUP(Z108,'BD LUB'!$A$2:$L$223,12,FALSE)="PRÓXIMO")),5,IF(AND(VLOOKUP(Z108,'BD LUB'!$A$2:$L$223,11,FALSE)="VIGENTE",VLOOKUP(Z108,'BD LUB'!$A$2:$L$223,12,FALSE)="VIGENTE"),6,"No definido"))))))</f>
        <v>#N/A</v>
      </c>
      <c r="AC108" s="78"/>
      <c r="AD108" s="136" t="str">
        <f>IF(VLOOKUP(AC108,'BD LUB'!$A$2:$C$223,3,FALSE)=$AH$20,AC108&amp;" MED",IF(VLOOKUP(AC108,'BD LUB'!$A$2:$C$223,3,FALSE)=$AH$19,AC108&amp;" MAY",IF(VLOOKUP(AC108,'BD LUB'!$A$2:$C$223,3,FALSE)=$AH$18,AC108&amp;" RN",IF(VLOOKUP(AC108,'BD LUB'!$A$2:$C$223,3,FALSE)=$AH$17,AC108&amp;" COPQUI",IF(VLOOKUP(AC108,'BD LUB'!$A$2:$C$223,3,FALSE)=$AH$16,AC108&amp;" CEJ",IF(VLOOKUP(AC108,'BD LUB'!$A$2:$C$223,3,FALSE)=$AH$15,AC108&amp;" BULT",IF(VLOOKUP(AC108,'BD LUB'!$A$2:$C$223,3,FALSE)=$AH$14,AC108&amp;" COP",IF(VLOOKUP(AC108,'BD LUB'!$A$2:$C$223,3,FALSE)=$AH$13,AC108&amp;" RIO",IF(VLOOKUP(AC108,'BD LUB'!$A$2:$C$223,3,FALSE)=$AH$21,AC108&amp;" APART","Dato no encontrado")))))))))</f>
        <v>#N/A</v>
      </c>
      <c r="AE108" s="160"/>
      <c r="AF108" s="160"/>
      <c r="AG108" s="160"/>
      <c r="AH108" s="160"/>
      <c r="AI108" s="160"/>
      <c r="AJ108" s="160"/>
      <c r="AP108" s="160"/>
      <c r="AV108" s="160"/>
    </row>
    <row r="109">
      <c r="A109" s="158"/>
      <c r="B109" s="126">
        <v>106.0</v>
      </c>
      <c r="C109" s="78">
        <f>IFERROR(__xludf.DUMMYFUNCTION("""COMPUTED_VALUE"""),3214.0)</f>
        <v>3214</v>
      </c>
      <c r="D109" s="156">
        <f>IFERROR(__xludf.DUMMYFUNCTION("""COMPUTED_VALUE"""),46654.0)</f>
        <v>46654</v>
      </c>
      <c r="E109" s="78" t="str">
        <f>IFERROR(__xludf.DUMMYFUNCTION("""COMPUTED_VALUE"""),"02-Medellin")</f>
        <v>02-Medellin</v>
      </c>
      <c r="F109" s="156">
        <f>IFERROR(__xludf.DUMMYFUNCTION("""COMPUTED_VALUE"""),46100.0)</f>
        <v>46100</v>
      </c>
      <c r="G109" s="159">
        <f>IFERROR(__xludf.DUMMYFUNCTION("""COMPUTED_VALUE"""),64.0)</f>
        <v>64</v>
      </c>
      <c r="H109" s="78" t="str">
        <f>IFERROR(__xludf.DUMMYFUNCTION("""COMPUTED_VALUE"""),"VIGENTE")</f>
        <v>VIGENTE</v>
      </c>
      <c r="I109" s="132" t="str">
        <f t="shared" si="1"/>
        <v>-</v>
      </c>
      <c r="J109" s="158"/>
      <c r="K109" s="126">
        <v>106.0</v>
      </c>
      <c r="L109" s="78">
        <f>IFERROR(__xludf.DUMMYFUNCTION("""COMPUTED_VALUE"""),3215.0)</f>
        <v>3215</v>
      </c>
      <c r="M109" s="156">
        <f>IFERROR(__xludf.DUMMYFUNCTION("""COMPUTED_VALUE"""),46654.0)</f>
        <v>46654</v>
      </c>
      <c r="N109" s="78" t="str">
        <f>IFERROR(__xludf.DUMMYFUNCTION("""COMPUTED_VALUE"""),"02-Medellin")</f>
        <v>02-Medellin</v>
      </c>
      <c r="O109" s="156">
        <f>IFERROR(__xludf.DUMMYFUNCTION("""COMPUTED_VALUE"""),46120.0)</f>
        <v>46120</v>
      </c>
      <c r="P109" s="159">
        <f>IFERROR(__xludf.DUMMYFUNCTION("""COMPUTED_VALUE"""),2451.0)</f>
        <v>2451</v>
      </c>
      <c r="Q109" s="78" t="str">
        <f>IFERROR(__xludf.DUMMYFUNCTION("""COMPUTED_VALUE"""),"VIGENTE")</f>
        <v>VIGENTE</v>
      </c>
      <c r="R109" s="132" t="str">
        <f t="shared" si="2"/>
        <v>-</v>
      </c>
      <c r="T109" s="134" t="str">
        <f>CALENDARIO!D121</f>
        <v/>
      </c>
      <c r="U109" s="135" t="str">
        <f>CALENDARIO!C121</f>
        <v/>
      </c>
      <c r="W109" s="78"/>
      <c r="X109" s="136" t="str">
        <f>(VLOOKUP(W109,'BD LUB'!$A$2:$L$223,5,FALSE)/VLOOKUP(W109,'BD LUB'!$A$2:$L$223,7,FALSE))+(VLOOKUP(W109,'BD LUB'!$A$2:$L$223,6,FALSE)/VLOOKUP(W109,'BD LUB'!$A$2:$L$223,8,FALSE))</f>
        <v>#N/A</v>
      </c>
      <c r="Y109" s="137" t="str">
        <f>IF(AND(VLOOKUP(W109,'BD LUB'!$A$2:$L$223,11,FALSE)="PASADO",VLOOKUP(W109,'BD LUB'!$A$2:$L$223,12,FALSE)="PASADO"),1,IF(OR(AND(VLOOKUP(W109,'BD LUB'!$A$2:$L$223,11,FALSE)="PASADO",VLOOKUP(W109,'BD LUB'!$A$2:$L$223,12,FALSE)="PRÓXIMO"),AND(VLOOKUP(W109,'BD LUB'!$A$2:$L$223,11,FALSE)="PRÓXIMO",VLOOKUP(W109,'BD LUB'!$A$2:$L$223,12,FALSE)="PASADO")),2,IF(OR(AND(VLOOKUP(W109,'BD LUB'!$A$2:$L$223,11,FALSE)="PASADO",VLOOKUP(W109,'BD LUB'!$A$2:$L$223,12,FALSE)="VIGENTE"),AND(VLOOKUP(W109,'BD LUB'!$A$2:$L$223,11,FALSE)="VIGENTE",VLOOKUP(W109,'BD LUB'!$A$2:$L$223,12,FALSE)="PASADO")),3,IF(AND(VLOOKUP(W109,'BD LUB'!$A$2:$L$223,11,FALSE)="PRÓXIMO",VLOOKUP(W109,'BD LUB'!$A$2:$L$223,12,FALSE)="PRÓXIMO"),4,IF(OR(AND(VLOOKUP(W109,'BD LUB'!$A$2:$L$223,11,FALSE)="PRÓXIMO",VLOOKUP(W109,'BD LUB'!$A$2:$L$223,12,FALSE)="VIGENTE"),AND(VLOOKUP(W109,'BD LUB'!$A$2:$L$223,11,FALSE)="VIGENTE",VLOOKUP(W109,'BD LUB'!$A$2:$L$223,12,FALSE)="PRÓXIMO")),5,IF(AND(VLOOKUP(W109,'BD LUB'!$A$2:$L$223,11,FALSE)="VIGENTE",VLOOKUP(W109,'BD LUB'!$A$2:$L$223,12,FALSE)="VIGENTE"),6,"No definido"))))))</f>
        <v>#N/A</v>
      </c>
      <c r="Z109" s="138"/>
      <c r="AA109" s="139" t="str">
        <f>(VLOOKUP(Z109,'BD LUB'!$A$2:$L$223,5,FALSE)/VLOOKUP(Z109,'BD LUB'!$A$2:$L$223,7,FALSE))+(VLOOKUP(Z109,'BD LUB'!$A$2:$L$223,6,FALSE)/VLOOKUP(Z109,'BD LUB'!$A$2:$L$223,8,FALSE))</f>
        <v>#N/A</v>
      </c>
      <c r="AB109" s="78" t="str">
        <f>IF(AND(VLOOKUP(Z109,'BD LUB'!$A$2:$L$223,11,FALSE)="PASADO",VLOOKUP(Z109,'BD LUB'!$A$2:$L$223,12,FALSE)="PASADO"),1,IF(OR(AND(VLOOKUP(Z109,'BD LUB'!$A$2:$L$223,11,FALSE)="PASADO",VLOOKUP(Z109,'BD LUB'!$A$2:$L$223,12,FALSE)="PRÓXIMO"),AND(VLOOKUP(Z109,'BD LUB'!$A$2:$L$223,11,FALSE)="PRÓXIMO",VLOOKUP(Z109,'BD LUB'!$A$2:$L$223,12,FALSE)="PASADO")),2,IF(OR(AND(VLOOKUP(Z109,'BD LUB'!$A$2:$L$223,11,FALSE)="PASADO",VLOOKUP(Z109,'BD LUB'!$A$2:$L$223,12,FALSE)="VIGENTE"),AND(VLOOKUP(Z109,'BD LUB'!$A$2:$L$223,11,FALSE)="VIGENTE",VLOOKUP(Z109,'BD LUB'!$A$2:$L$223,12,FALSE)="PASADO")),3,IF(AND(VLOOKUP(Z109,'BD LUB'!$A$2:$L$223,11,FALSE)="PRÓXIMO",VLOOKUP(Z109,'BD LUB'!$A$2:$L$223,12,FALSE)="PRÓXIMO"),4,IF(OR(AND(VLOOKUP(Z109,'BD LUB'!$A$2:$L$223,11,FALSE)="PRÓXIMO",VLOOKUP(Z109,'BD LUB'!$A$2:$L$223,12,FALSE)="VIGENTE"),AND(VLOOKUP(Z109,'BD LUB'!$A$2:$L$223,11,FALSE)="VIGENTE",VLOOKUP(Z109,'BD LUB'!$A$2:$L$223,12,FALSE)="PRÓXIMO")),5,IF(AND(VLOOKUP(Z109,'BD LUB'!$A$2:$L$223,11,FALSE)="VIGENTE",VLOOKUP(Z109,'BD LUB'!$A$2:$L$223,12,FALSE)="VIGENTE"),6,"No definido"))))))</f>
        <v>#N/A</v>
      </c>
      <c r="AC109" s="78"/>
      <c r="AD109" s="136" t="str">
        <f>IF(VLOOKUP(AC109,'BD LUB'!$A$2:$C$223,3,FALSE)=$AH$20,AC109&amp;" MED",IF(VLOOKUP(AC109,'BD LUB'!$A$2:$C$223,3,FALSE)=$AH$19,AC109&amp;" MAY",IF(VLOOKUP(AC109,'BD LUB'!$A$2:$C$223,3,FALSE)=$AH$18,AC109&amp;" RN",IF(VLOOKUP(AC109,'BD LUB'!$A$2:$C$223,3,FALSE)=$AH$17,AC109&amp;" COPQUI",IF(VLOOKUP(AC109,'BD LUB'!$A$2:$C$223,3,FALSE)=$AH$16,AC109&amp;" CEJ",IF(VLOOKUP(AC109,'BD LUB'!$A$2:$C$223,3,FALSE)=$AH$15,AC109&amp;" BULT",IF(VLOOKUP(AC109,'BD LUB'!$A$2:$C$223,3,FALSE)=$AH$14,AC109&amp;" COP",IF(VLOOKUP(AC109,'BD LUB'!$A$2:$C$223,3,FALSE)=$AH$13,AC109&amp;" RIO",IF(VLOOKUP(AC109,'BD LUB'!$A$2:$C$223,3,FALSE)=$AH$21,AC109&amp;" APART","Dato no encontrado")))))))))</f>
        <v>#N/A</v>
      </c>
      <c r="AE109" s="160"/>
      <c r="AF109" s="160"/>
      <c r="AG109" s="160"/>
      <c r="AH109" s="160"/>
      <c r="AI109" s="160"/>
      <c r="AJ109" s="160"/>
      <c r="AP109" s="160"/>
      <c r="AV109" s="160"/>
    </row>
    <row r="110">
      <c r="A110" s="158"/>
      <c r="B110" s="126">
        <v>107.0</v>
      </c>
      <c r="C110" s="78">
        <f>IFERROR(__xludf.DUMMYFUNCTION("""COMPUTED_VALUE"""),2661.0)</f>
        <v>2661</v>
      </c>
      <c r="D110" s="156">
        <f>IFERROR(__xludf.DUMMYFUNCTION("""COMPUTED_VALUE"""),46489.0)</f>
        <v>46489</v>
      </c>
      <c r="E110" s="78" t="str">
        <f>IFERROR(__xludf.DUMMYFUNCTION("""COMPUTED_VALUE"""),"02-Medellin")</f>
        <v>02-Medellin</v>
      </c>
      <c r="F110" s="156">
        <f>IFERROR(__xludf.DUMMYFUNCTION("""COMPUTED_VALUE"""),46100.0)</f>
        <v>46100</v>
      </c>
      <c r="G110" s="159">
        <f>IFERROR(__xludf.DUMMYFUNCTION("""COMPUTED_VALUE"""),64.0)</f>
        <v>64</v>
      </c>
      <c r="H110" s="78" t="str">
        <f>IFERROR(__xludf.DUMMYFUNCTION("""COMPUTED_VALUE"""),"VIGENTE")</f>
        <v>VIGENTE</v>
      </c>
      <c r="I110" s="132" t="str">
        <f t="shared" si="1"/>
        <v>-</v>
      </c>
      <c r="J110" s="158"/>
      <c r="K110" s="126">
        <v>107.0</v>
      </c>
      <c r="L110" s="78">
        <f>IFERROR(__xludf.DUMMYFUNCTION("""COMPUTED_VALUE"""),2888.0)</f>
        <v>2888</v>
      </c>
      <c r="M110" s="156">
        <f>IFERROR(__xludf.DUMMYFUNCTION("""COMPUTED_VALUE"""),46233.0)</f>
        <v>46233</v>
      </c>
      <c r="N110" s="78" t="str">
        <f>IFERROR(__xludf.DUMMYFUNCTION("""COMPUTED_VALUE"""),"24-Rionegro")</f>
        <v>24-Rionegro</v>
      </c>
      <c r="O110" s="156">
        <f>IFERROR(__xludf.DUMMYFUNCTION("""COMPUTED_VALUE"""),46162.0)</f>
        <v>46162</v>
      </c>
      <c r="P110" s="159">
        <f>IFERROR(__xludf.DUMMYFUNCTION("""COMPUTED_VALUE"""),2481.0)</f>
        <v>2481</v>
      </c>
      <c r="Q110" s="78" t="str">
        <f>IFERROR(__xludf.DUMMYFUNCTION("""COMPUTED_VALUE"""),"VIGENTE")</f>
        <v>VIGENTE</v>
      </c>
      <c r="R110" s="132" t="str">
        <f t="shared" si="2"/>
        <v>-</v>
      </c>
      <c r="T110" s="134" t="str">
        <f>CALENDARIO!D122</f>
        <v/>
      </c>
      <c r="U110" s="135" t="str">
        <f>CALENDARIO!C122</f>
        <v/>
      </c>
      <c r="W110" s="78"/>
      <c r="X110" s="136" t="str">
        <f>(VLOOKUP(W110,'BD LUB'!$A$2:$L$223,5,FALSE)/VLOOKUP(W110,'BD LUB'!$A$2:$L$223,7,FALSE))+(VLOOKUP(W110,'BD LUB'!$A$2:$L$223,6,FALSE)/VLOOKUP(W110,'BD LUB'!$A$2:$L$223,8,FALSE))</f>
        <v>#N/A</v>
      </c>
      <c r="Y110" s="137" t="str">
        <f>IF(AND(VLOOKUP(W110,'BD LUB'!$A$2:$L$223,11,FALSE)="PASADO",VLOOKUP(W110,'BD LUB'!$A$2:$L$223,12,FALSE)="PASADO"),1,IF(OR(AND(VLOOKUP(W110,'BD LUB'!$A$2:$L$223,11,FALSE)="PASADO",VLOOKUP(W110,'BD LUB'!$A$2:$L$223,12,FALSE)="PRÓXIMO"),AND(VLOOKUP(W110,'BD LUB'!$A$2:$L$223,11,FALSE)="PRÓXIMO",VLOOKUP(W110,'BD LUB'!$A$2:$L$223,12,FALSE)="PASADO")),2,IF(OR(AND(VLOOKUP(W110,'BD LUB'!$A$2:$L$223,11,FALSE)="PASADO",VLOOKUP(W110,'BD LUB'!$A$2:$L$223,12,FALSE)="VIGENTE"),AND(VLOOKUP(W110,'BD LUB'!$A$2:$L$223,11,FALSE)="VIGENTE",VLOOKUP(W110,'BD LUB'!$A$2:$L$223,12,FALSE)="PASADO")),3,IF(AND(VLOOKUP(W110,'BD LUB'!$A$2:$L$223,11,FALSE)="PRÓXIMO",VLOOKUP(W110,'BD LUB'!$A$2:$L$223,12,FALSE)="PRÓXIMO"),4,IF(OR(AND(VLOOKUP(W110,'BD LUB'!$A$2:$L$223,11,FALSE)="PRÓXIMO",VLOOKUP(W110,'BD LUB'!$A$2:$L$223,12,FALSE)="VIGENTE"),AND(VLOOKUP(W110,'BD LUB'!$A$2:$L$223,11,FALSE)="VIGENTE",VLOOKUP(W110,'BD LUB'!$A$2:$L$223,12,FALSE)="PRÓXIMO")),5,IF(AND(VLOOKUP(W110,'BD LUB'!$A$2:$L$223,11,FALSE)="VIGENTE",VLOOKUP(W110,'BD LUB'!$A$2:$L$223,12,FALSE)="VIGENTE"),6,"No definido"))))))</f>
        <v>#N/A</v>
      </c>
      <c r="Z110" s="138"/>
      <c r="AA110" s="139" t="str">
        <f>(VLOOKUP(Z110,'BD LUB'!$A$2:$L$223,5,FALSE)/VLOOKUP(Z110,'BD LUB'!$A$2:$L$223,7,FALSE))+(VLOOKUP(Z110,'BD LUB'!$A$2:$L$223,6,FALSE)/VLOOKUP(Z110,'BD LUB'!$A$2:$L$223,8,FALSE))</f>
        <v>#N/A</v>
      </c>
      <c r="AB110" s="78" t="str">
        <f>IF(AND(VLOOKUP(Z110,'BD LUB'!$A$2:$L$223,11,FALSE)="PASADO",VLOOKUP(Z110,'BD LUB'!$A$2:$L$223,12,FALSE)="PASADO"),1,IF(OR(AND(VLOOKUP(Z110,'BD LUB'!$A$2:$L$223,11,FALSE)="PASADO",VLOOKUP(Z110,'BD LUB'!$A$2:$L$223,12,FALSE)="PRÓXIMO"),AND(VLOOKUP(Z110,'BD LUB'!$A$2:$L$223,11,FALSE)="PRÓXIMO",VLOOKUP(Z110,'BD LUB'!$A$2:$L$223,12,FALSE)="PASADO")),2,IF(OR(AND(VLOOKUP(Z110,'BD LUB'!$A$2:$L$223,11,FALSE)="PASADO",VLOOKUP(Z110,'BD LUB'!$A$2:$L$223,12,FALSE)="VIGENTE"),AND(VLOOKUP(Z110,'BD LUB'!$A$2:$L$223,11,FALSE)="VIGENTE",VLOOKUP(Z110,'BD LUB'!$A$2:$L$223,12,FALSE)="PASADO")),3,IF(AND(VLOOKUP(Z110,'BD LUB'!$A$2:$L$223,11,FALSE)="PRÓXIMO",VLOOKUP(Z110,'BD LUB'!$A$2:$L$223,12,FALSE)="PRÓXIMO"),4,IF(OR(AND(VLOOKUP(Z110,'BD LUB'!$A$2:$L$223,11,FALSE)="PRÓXIMO",VLOOKUP(Z110,'BD LUB'!$A$2:$L$223,12,FALSE)="VIGENTE"),AND(VLOOKUP(Z110,'BD LUB'!$A$2:$L$223,11,FALSE)="VIGENTE",VLOOKUP(Z110,'BD LUB'!$A$2:$L$223,12,FALSE)="PRÓXIMO")),5,IF(AND(VLOOKUP(Z110,'BD LUB'!$A$2:$L$223,11,FALSE)="VIGENTE",VLOOKUP(Z110,'BD LUB'!$A$2:$L$223,12,FALSE)="VIGENTE"),6,"No definido"))))))</f>
        <v>#N/A</v>
      </c>
      <c r="AC110" s="78"/>
      <c r="AD110" s="136" t="str">
        <f>IF(VLOOKUP(AC110,'BD LUB'!$A$2:$C$223,3,FALSE)=$AH$20,AC110&amp;" MED",IF(VLOOKUP(AC110,'BD LUB'!$A$2:$C$223,3,FALSE)=$AH$19,AC110&amp;" MAY",IF(VLOOKUP(AC110,'BD LUB'!$A$2:$C$223,3,FALSE)=$AH$18,AC110&amp;" RN",IF(VLOOKUP(AC110,'BD LUB'!$A$2:$C$223,3,FALSE)=$AH$17,AC110&amp;" COPQUI",IF(VLOOKUP(AC110,'BD LUB'!$A$2:$C$223,3,FALSE)=$AH$16,AC110&amp;" CEJ",IF(VLOOKUP(AC110,'BD LUB'!$A$2:$C$223,3,FALSE)=$AH$15,AC110&amp;" BULT",IF(VLOOKUP(AC110,'BD LUB'!$A$2:$C$223,3,FALSE)=$AH$14,AC110&amp;" COP",IF(VLOOKUP(AC110,'BD LUB'!$A$2:$C$223,3,FALSE)=$AH$13,AC110&amp;" RIO",IF(VLOOKUP(AC110,'BD LUB'!$A$2:$C$223,3,FALSE)=$AH$21,AC110&amp;" APART","Dato no encontrado")))))))))</f>
        <v>#N/A</v>
      </c>
      <c r="AE110" s="160"/>
      <c r="AF110" s="160"/>
      <c r="AG110" s="160"/>
      <c r="AH110" s="160"/>
      <c r="AI110" s="160"/>
      <c r="AJ110" s="160"/>
      <c r="AP110" s="160"/>
      <c r="AV110" s="160"/>
    </row>
    <row r="111">
      <c r="A111" s="158"/>
      <c r="B111" s="126">
        <v>108.0</v>
      </c>
      <c r="C111" s="78">
        <f>IFERROR(__xludf.DUMMYFUNCTION("""COMPUTED_VALUE"""),2657.0)</f>
        <v>2657</v>
      </c>
      <c r="D111" s="156">
        <f>IFERROR(__xludf.DUMMYFUNCTION("""COMPUTED_VALUE"""),46486.0)</f>
        <v>46486</v>
      </c>
      <c r="E111" s="78" t="str">
        <f>IFERROR(__xludf.DUMMYFUNCTION("""COMPUTED_VALUE"""),"MAYORCA")</f>
        <v>MAYORCA</v>
      </c>
      <c r="F111" s="156">
        <f>IFERROR(__xludf.DUMMYFUNCTION("""COMPUTED_VALUE"""),46100.0)</f>
        <v>46100</v>
      </c>
      <c r="G111" s="159">
        <f>IFERROR(__xludf.DUMMYFUNCTION("""COMPUTED_VALUE"""),64.0)</f>
        <v>64</v>
      </c>
      <c r="H111" s="78" t="str">
        <f>IFERROR(__xludf.DUMMYFUNCTION("""COMPUTED_VALUE"""),"VIGENTE")</f>
        <v>VIGENTE</v>
      </c>
      <c r="I111" s="132" t="str">
        <f t="shared" si="1"/>
        <v>-</v>
      </c>
      <c r="J111" s="158"/>
      <c r="K111" s="126">
        <v>108.0</v>
      </c>
      <c r="L111" s="78">
        <f>IFERROR(__xludf.DUMMYFUNCTION("""COMPUTED_VALUE"""),2682.0)</f>
        <v>2682</v>
      </c>
      <c r="M111" s="156">
        <f>IFERROR(__xludf.DUMMYFUNCTION("""COMPUTED_VALUE"""),46506.0)</f>
        <v>46506</v>
      </c>
      <c r="N111" s="78" t="str">
        <f>IFERROR(__xludf.DUMMYFUNCTION("""COMPUTED_VALUE"""),"24-Rionegro")</f>
        <v>24-Rionegro</v>
      </c>
      <c r="O111" s="156">
        <f>IFERROR(__xludf.DUMMYFUNCTION("""COMPUTED_VALUE"""),46035.0)</f>
        <v>46035</v>
      </c>
      <c r="P111" s="159">
        <f>IFERROR(__xludf.DUMMYFUNCTION("""COMPUTED_VALUE"""),2523.5)</f>
        <v>2523.5</v>
      </c>
      <c r="Q111" s="78" t="str">
        <f>IFERROR(__xludf.DUMMYFUNCTION("""COMPUTED_VALUE"""),"VIGENTE")</f>
        <v>VIGENTE</v>
      </c>
      <c r="R111" s="132" t="str">
        <f t="shared" si="2"/>
        <v>-</v>
      </c>
      <c r="T111" s="134" t="str">
        <f>CALENDARIO!D123</f>
        <v/>
      </c>
      <c r="U111" s="135" t="str">
        <f>CALENDARIO!C123</f>
        <v/>
      </c>
      <c r="W111" s="78"/>
      <c r="X111" s="136" t="str">
        <f>(VLOOKUP(W111,'BD LUB'!$A$2:$L$223,5,FALSE)/VLOOKUP(W111,'BD LUB'!$A$2:$L$223,7,FALSE))+(VLOOKUP(W111,'BD LUB'!$A$2:$L$223,6,FALSE)/VLOOKUP(W111,'BD LUB'!$A$2:$L$223,8,FALSE))</f>
        <v>#N/A</v>
      </c>
      <c r="Y111" s="137" t="str">
        <f>IF(AND(VLOOKUP(W111,'BD LUB'!$A$2:$L$223,11,FALSE)="PASADO",VLOOKUP(W111,'BD LUB'!$A$2:$L$223,12,FALSE)="PASADO"),1,IF(OR(AND(VLOOKUP(W111,'BD LUB'!$A$2:$L$223,11,FALSE)="PASADO",VLOOKUP(W111,'BD LUB'!$A$2:$L$223,12,FALSE)="PRÓXIMO"),AND(VLOOKUP(W111,'BD LUB'!$A$2:$L$223,11,FALSE)="PRÓXIMO",VLOOKUP(W111,'BD LUB'!$A$2:$L$223,12,FALSE)="PASADO")),2,IF(OR(AND(VLOOKUP(W111,'BD LUB'!$A$2:$L$223,11,FALSE)="PASADO",VLOOKUP(W111,'BD LUB'!$A$2:$L$223,12,FALSE)="VIGENTE"),AND(VLOOKUP(W111,'BD LUB'!$A$2:$L$223,11,FALSE)="VIGENTE",VLOOKUP(W111,'BD LUB'!$A$2:$L$223,12,FALSE)="PASADO")),3,IF(AND(VLOOKUP(W111,'BD LUB'!$A$2:$L$223,11,FALSE)="PRÓXIMO",VLOOKUP(W111,'BD LUB'!$A$2:$L$223,12,FALSE)="PRÓXIMO"),4,IF(OR(AND(VLOOKUP(W111,'BD LUB'!$A$2:$L$223,11,FALSE)="PRÓXIMO",VLOOKUP(W111,'BD LUB'!$A$2:$L$223,12,FALSE)="VIGENTE"),AND(VLOOKUP(W111,'BD LUB'!$A$2:$L$223,11,FALSE)="VIGENTE",VLOOKUP(W111,'BD LUB'!$A$2:$L$223,12,FALSE)="PRÓXIMO")),5,IF(AND(VLOOKUP(W111,'BD LUB'!$A$2:$L$223,11,FALSE)="VIGENTE",VLOOKUP(W111,'BD LUB'!$A$2:$L$223,12,FALSE)="VIGENTE"),6,"No definido"))))))</f>
        <v>#N/A</v>
      </c>
      <c r="Z111" s="138"/>
      <c r="AA111" s="139" t="str">
        <f>(VLOOKUP(Z111,'BD LUB'!$A$2:$L$223,5,FALSE)/VLOOKUP(Z111,'BD LUB'!$A$2:$L$223,7,FALSE))+(VLOOKUP(Z111,'BD LUB'!$A$2:$L$223,6,FALSE)/VLOOKUP(Z111,'BD LUB'!$A$2:$L$223,8,FALSE))</f>
        <v>#N/A</v>
      </c>
      <c r="AB111" s="78" t="str">
        <f>IF(AND(VLOOKUP(Z111,'BD LUB'!$A$2:$L$223,11,FALSE)="PASADO",VLOOKUP(Z111,'BD LUB'!$A$2:$L$223,12,FALSE)="PASADO"),1,IF(OR(AND(VLOOKUP(Z111,'BD LUB'!$A$2:$L$223,11,FALSE)="PASADO",VLOOKUP(Z111,'BD LUB'!$A$2:$L$223,12,FALSE)="PRÓXIMO"),AND(VLOOKUP(Z111,'BD LUB'!$A$2:$L$223,11,FALSE)="PRÓXIMO",VLOOKUP(Z111,'BD LUB'!$A$2:$L$223,12,FALSE)="PASADO")),2,IF(OR(AND(VLOOKUP(Z111,'BD LUB'!$A$2:$L$223,11,FALSE)="PASADO",VLOOKUP(Z111,'BD LUB'!$A$2:$L$223,12,FALSE)="VIGENTE"),AND(VLOOKUP(Z111,'BD LUB'!$A$2:$L$223,11,FALSE)="VIGENTE",VLOOKUP(Z111,'BD LUB'!$A$2:$L$223,12,FALSE)="PASADO")),3,IF(AND(VLOOKUP(Z111,'BD LUB'!$A$2:$L$223,11,FALSE)="PRÓXIMO",VLOOKUP(Z111,'BD LUB'!$A$2:$L$223,12,FALSE)="PRÓXIMO"),4,IF(OR(AND(VLOOKUP(Z111,'BD LUB'!$A$2:$L$223,11,FALSE)="PRÓXIMO",VLOOKUP(Z111,'BD LUB'!$A$2:$L$223,12,FALSE)="VIGENTE"),AND(VLOOKUP(Z111,'BD LUB'!$A$2:$L$223,11,FALSE)="VIGENTE",VLOOKUP(Z111,'BD LUB'!$A$2:$L$223,12,FALSE)="PRÓXIMO")),5,IF(AND(VLOOKUP(Z111,'BD LUB'!$A$2:$L$223,11,FALSE)="VIGENTE",VLOOKUP(Z111,'BD LUB'!$A$2:$L$223,12,FALSE)="VIGENTE"),6,"No definido"))))))</f>
        <v>#N/A</v>
      </c>
      <c r="AC111" s="78"/>
      <c r="AD111" s="136" t="str">
        <f>IF(VLOOKUP(AC111,'BD LUB'!$A$2:$C$223,3,FALSE)=$AH$20,AC111&amp;" MED",IF(VLOOKUP(AC111,'BD LUB'!$A$2:$C$223,3,FALSE)=$AH$19,AC111&amp;" MAY",IF(VLOOKUP(AC111,'BD LUB'!$A$2:$C$223,3,FALSE)=$AH$18,AC111&amp;" RN",IF(VLOOKUP(AC111,'BD LUB'!$A$2:$C$223,3,FALSE)=$AH$17,AC111&amp;" COPQUI",IF(VLOOKUP(AC111,'BD LUB'!$A$2:$C$223,3,FALSE)=$AH$16,AC111&amp;" CEJ",IF(VLOOKUP(AC111,'BD LUB'!$A$2:$C$223,3,FALSE)=$AH$15,AC111&amp;" BULT",IF(VLOOKUP(AC111,'BD LUB'!$A$2:$C$223,3,FALSE)=$AH$14,AC111&amp;" COP",IF(VLOOKUP(AC111,'BD LUB'!$A$2:$C$223,3,FALSE)=$AH$13,AC111&amp;" RIO",IF(VLOOKUP(AC111,'BD LUB'!$A$2:$C$223,3,FALSE)=$AH$21,AC111&amp;" APART","Dato no encontrado")))))))))</f>
        <v>#N/A</v>
      </c>
      <c r="AE111" s="160"/>
      <c r="AF111" s="160"/>
      <c r="AG111" s="160"/>
      <c r="AH111" s="160"/>
      <c r="AI111" s="160"/>
      <c r="AJ111" s="160"/>
      <c r="AP111" s="160"/>
      <c r="AV111" s="160"/>
    </row>
    <row r="112">
      <c r="A112" s="158"/>
      <c r="B112" s="126">
        <v>109.0</v>
      </c>
      <c r="C112" s="78">
        <f>IFERROR(__xludf.DUMMYFUNCTION("""COMPUTED_VALUE"""),2926.0)</f>
        <v>2926</v>
      </c>
      <c r="D112" s="156">
        <f>IFERROR(__xludf.DUMMYFUNCTION("""COMPUTED_VALUE"""),46318.0)</f>
        <v>46318</v>
      </c>
      <c r="E112" s="78" t="str">
        <f>IFERROR(__xludf.DUMMYFUNCTION("""COMPUTED_VALUE"""),"31-Copacabana")</f>
        <v>31-Copacabana</v>
      </c>
      <c r="F112" s="156">
        <f>IFERROR(__xludf.DUMMYFUNCTION("""COMPUTED_VALUE"""),46101.0)</f>
        <v>46101</v>
      </c>
      <c r="G112" s="159">
        <f>IFERROR(__xludf.DUMMYFUNCTION("""COMPUTED_VALUE"""),65.0)</f>
        <v>65</v>
      </c>
      <c r="H112" s="78" t="str">
        <f>IFERROR(__xludf.DUMMYFUNCTION("""COMPUTED_VALUE"""),"VIGENTE")</f>
        <v>VIGENTE</v>
      </c>
      <c r="I112" s="132" t="str">
        <f t="shared" si="1"/>
        <v>-</v>
      </c>
      <c r="J112" s="158"/>
      <c r="K112" s="126">
        <v>109.0</v>
      </c>
      <c r="L112" s="78">
        <f>IFERROR(__xludf.DUMMYFUNCTION("""COMPUTED_VALUE"""),3278.0)</f>
        <v>3278</v>
      </c>
      <c r="M112" s="156">
        <f>IFERROR(__xludf.DUMMYFUNCTION("""COMPUTED_VALUE"""),46668.0)</f>
        <v>46668</v>
      </c>
      <c r="N112" s="78" t="str">
        <f>IFERROR(__xludf.DUMMYFUNCTION("""COMPUTED_VALUE"""),"02-Medellin")</f>
        <v>02-Medellin</v>
      </c>
      <c r="O112" s="156">
        <f>IFERROR(__xludf.DUMMYFUNCTION("""COMPUTED_VALUE"""),46150.0)</f>
        <v>46150</v>
      </c>
      <c r="P112" s="159">
        <f>IFERROR(__xludf.DUMMYFUNCTION("""COMPUTED_VALUE"""),2560.0)</f>
        <v>2560</v>
      </c>
      <c r="Q112" s="78" t="str">
        <f>IFERROR(__xludf.DUMMYFUNCTION("""COMPUTED_VALUE"""),"VIGENTE")</f>
        <v>VIGENTE</v>
      </c>
      <c r="R112" s="132" t="str">
        <f t="shared" si="2"/>
        <v>-</v>
      </c>
      <c r="T112" s="134" t="str">
        <f>CALENDARIO!D124</f>
        <v/>
      </c>
      <c r="U112" s="135" t="str">
        <f>CALENDARIO!C124</f>
        <v/>
      </c>
      <c r="W112" s="78"/>
      <c r="X112" s="136" t="str">
        <f>(VLOOKUP(W112,'BD LUB'!$A$2:$L$223,5,FALSE)/VLOOKUP(W112,'BD LUB'!$A$2:$L$223,7,FALSE))+(VLOOKUP(W112,'BD LUB'!$A$2:$L$223,6,FALSE)/VLOOKUP(W112,'BD LUB'!$A$2:$L$223,8,FALSE))</f>
        <v>#N/A</v>
      </c>
      <c r="Y112" s="137" t="str">
        <f>IF(AND(VLOOKUP(W112,'BD LUB'!$A$2:$L$223,11,FALSE)="PASADO",VLOOKUP(W112,'BD LUB'!$A$2:$L$223,12,FALSE)="PASADO"),1,IF(OR(AND(VLOOKUP(W112,'BD LUB'!$A$2:$L$223,11,FALSE)="PASADO",VLOOKUP(W112,'BD LUB'!$A$2:$L$223,12,FALSE)="PRÓXIMO"),AND(VLOOKUP(W112,'BD LUB'!$A$2:$L$223,11,FALSE)="PRÓXIMO",VLOOKUP(W112,'BD LUB'!$A$2:$L$223,12,FALSE)="PASADO")),2,IF(OR(AND(VLOOKUP(W112,'BD LUB'!$A$2:$L$223,11,FALSE)="PASADO",VLOOKUP(W112,'BD LUB'!$A$2:$L$223,12,FALSE)="VIGENTE"),AND(VLOOKUP(W112,'BD LUB'!$A$2:$L$223,11,FALSE)="VIGENTE",VLOOKUP(W112,'BD LUB'!$A$2:$L$223,12,FALSE)="PASADO")),3,IF(AND(VLOOKUP(W112,'BD LUB'!$A$2:$L$223,11,FALSE)="PRÓXIMO",VLOOKUP(W112,'BD LUB'!$A$2:$L$223,12,FALSE)="PRÓXIMO"),4,IF(OR(AND(VLOOKUP(W112,'BD LUB'!$A$2:$L$223,11,FALSE)="PRÓXIMO",VLOOKUP(W112,'BD LUB'!$A$2:$L$223,12,FALSE)="VIGENTE"),AND(VLOOKUP(W112,'BD LUB'!$A$2:$L$223,11,FALSE)="VIGENTE",VLOOKUP(W112,'BD LUB'!$A$2:$L$223,12,FALSE)="PRÓXIMO")),5,IF(AND(VLOOKUP(W112,'BD LUB'!$A$2:$L$223,11,FALSE)="VIGENTE",VLOOKUP(W112,'BD LUB'!$A$2:$L$223,12,FALSE)="VIGENTE"),6,"No definido"))))))</f>
        <v>#N/A</v>
      </c>
      <c r="Z112" s="138"/>
      <c r="AA112" s="139" t="str">
        <f>(VLOOKUP(Z112,'BD LUB'!$A$2:$L$223,5,FALSE)/VLOOKUP(Z112,'BD LUB'!$A$2:$L$223,7,FALSE))+(VLOOKUP(Z112,'BD LUB'!$A$2:$L$223,6,FALSE)/VLOOKUP(Z112,'BD LUB'!$A$2:$L$223,8,FALSE))</f>
        <v>#N/A</v>
      </c>
      <c r="AB112" s="78" t="str">
        <f>IF(AND(VLOOKUP(Z112,'BD LUB'!$A$2:$L$223,11,FALSE)="PASADO",VLOOKUP(Z112,'BD LUB'!$A$2:$L$223,12,FALSE)="PASADO"),1,IF(OR(AND(VLOOKUP(Z112,'BD LUB'!$A$2:$L$223,11,FALSE)="PASADO",VLOOKUP(Z112,'BD LUB'!$A$2:$L$223,12,FALSE)="PRÓXIMO"),AND(VLOOKUP(Z112,'BD LUB'!$A$2:$L$223,11,FALSE)="PRÓXIMO",VLOOKUP(Z112,'BD LUB'!$A$2:$L$223,12,FALSE)="PASADO")),2,IF(OR(AND(VLOOKUP(Z112,'BD LUB'!$A$2:$L$223,11,FALSE)="PASADO",VLOOKUP(Z112,'BD LUB'!$A$2:$L$223,12,FALSE)="VIGENTE"),AND(VLOOKUP(Z112,'BD LUB'!$A$2:$L$223,11,FALSE)="VIGENTE",VLOOKUP(Z112,'BD LUB'!$A$2:$L$223,12,FALSE)="PASADO")),3,IF(AND(VLOOKUP(Z112,'BD LUB'!$A$2:$L$223,11,FALSE)="PRÓXIMO",VLOOKUP(Z112,'BD LUB'!$A$2:$L$223,12,FALSE)="PRÓXIMO"),4,IF(OR(AND(VLOOKUP(Z112,'BD LUB'!$A$2:$L$223,11,FALSE)="PRÓXIMO",VLOOKUP(Z112,'BD LUB'!$A$2:$L$223,12,FALSE)="VIGENTE"),AND(VLOOKUP(Z112,'BD LUB'!$A$2:$L$223,11,FALSE)="VIGENTE",VLOOKUP(Z112,'BD LUB'!$A$2:$L$223,12,FALSE)="PRÓXIMO")),5,IF(AND(VLOOKUP(Z112,'BD LUB'!$A$2:$L$223,11,FALSE)="VIGENTE",VLOOKUP(Z112,'BD LUB'!$A$2:$L$223,12,FALSE)="VIGENTE"),6,"No definido"))))))</f>
        <v>#N/A</v>
      </c>
      <c r="AC112" s="78"/>
      <c r="AD112" s="136" t="str">
        <f>IF(VLOOKUP(AC112,'BD LUB'!$A$2:$C$223,3,FALSE)=$AH$20,AC112&amp;" MED",IF(VLOOKUP(AC112,'BD LUB'!$A$2:$C$223,3,FALSE)=$AH$19,AC112&amp;" MAY",IF(VLOOKUP(AC112,'BD LUB'!$A$2:$C$223,3,FALSE)=$AH$18,AC112&amp;" RN",IF(VLOOKUP(AC112,'BD LUB'!$A$2:$C$223,3,FALSE)=$AH$17,AC112&amp;" COPQUI",IF(VLOOKUP(AC112,'BD LUB'!$A$2:$C$223,3,FALSE)=$AH$16,AC112&amp;" CEJ",IF(VLOOKUP(AC112,'BD LUB'!$A$2:$C$223,3,FALSE)=$AH$15,AC112&amp;" BULT",IF(VLOOKUP(AC112,'BD LUB'!$A$2:$C$223,3,FALSE)=$AH$14,AC112&amp;" COP",IF(VLOOKUP(AC112,'BD LUB'!$A$2:$C$223,3,FALSE)=$AH$13,AC112&amp;" RIO",IF(VLOOKUP(AC112,'BD LUB'!$A$2:$C$223,3,FALSE)=$AH$21,AC112&amp;" APART","Dato no encontrado")))))))))</f>
        <v>#N/A</v>
      </c>
      <c r="AE112" s="160"/>
      <c r="AF112" s="160"/>
      <c r="AG112" s="160"/>
      <c r="AH112" s="160"/>
      <c r="AI112" s="160"/>
      <c r="AJ112" s="160"/>
      <c r="AP112" s="160"/>
      <c r="AV112" s="160"/>
    </row>
    <row r="113">
      <c r="A113" s="158"/>
      <c r="B113" s="126">
        <v>110.0</v>
      </c>
      <c r="C113" s="78">
        <f>IFERROR(__xludf.DUMMYFUNCTION("""COMPUTED_VALUE"""),2911.0)</f>
        <v>2911</v>
      </c>
      <c r="D113" s="156">
        <f>IFERROR(__xludf.DUMMYFUNCTION("""COMPUTED_VALUE"""),46275.0)</f>
        <v>46275</v>
      </c>
      <c r="E113" s="78" t="str">
        <f>IFERROR(__xludf.DUMMYFUNCTION("""COMPUTED_VALUE"""),"31-Copacabana")</f>
        <v>31-Copacabana</v>
      </c>
      <c r="F113" s="156">
        <f>IFERROR(__xludf.DUMMYFUNCTION("""COMPUTED_VALUE"""),46101.0)</f>
        <v>46101</v>
      </c>
      <c r="G113" s="159">
        <f>IFERROR(__xludf.DUMMYFUNCTION("""COMPUTED_VALUE"""),65.0)</f>
        <v>65</v>
      </c>
      <c r="H113" s="78" t="str">
        <f>IFERROR(__xludf.DUMMYFUNCTION("""COMPUTED_VALUE"""),"VIGENTE")</f>
        <v>VIGENTE</v>
      </c>
      <c r="I113" s="132" t="str">
        <f t="shared" si="1"/>
        <v>-</v>
      </c>
      <c r="J113" s="158"/>
      <c r="K113" s="126">
        <v>110.0</v>
      </c>
      <c r="L113" s="78">
        <f>IFERROR(__xludf.DUMMYFUNCTION("""COMPUTED_VALUE"""),2862.0)</f>
        <v>2862</v>
      </c>
      <c r="M113" s="156">
        <f>IFERROR(__xludf.DUMMYFUNCTION("""COMPUTED_VALUE"""),46221.0)</f>
        <v>46221</v>
      </c>
      <c r="N113" s="78" t="str">
        <f>IFERROR(__xludf.DUMMYFUNCTION("""COMPUTED_VALUE"""),"02-Medellin")</f>
        <v>02-Medellin</v>
      </c>
      <c r="O113" s="156">
        <f>IFERROR(__xludf.DUMMYFUNCTION("""COMPUTED_VALUE"""),46139.0)</f>
        <v>46139</v>
      </c>
      <c r="P113" s="159">
        <f>IFERROR(__xludf.DUMMYFUNCTION("""COMPUTED_VALUE"""),2700.0)</f>
        <v>2700</v>
      </c>
      <c r="Q113" s="78" t="str">
        <f>IFERROR(__xludf.DUMMYFUNCTION("""COMPUTED_VALUE"""),"VIGENTE")</f>
        <v>VIGENTE</v>
      </c>
      <c r="R113" s="132" t="str">
        <f t="shared" si="2"/>
        <v>-</v>
      </c>
      <c r="T113" s="134" t="str">
        <f>CALENDARIO!D125</f>
        <v/>
      </c>
      <c r="U113" s="135" t="str">
        <f>CALENDARIO!C125</f>
        <v/>
      </c>
      <c r="W113" s="78"/>
      <c r="X113" s="136" t="str">
        <f>(VLOOKUP(W113,'BD LUB'!$A$2:$L$223,5,FALSE)/VLOOKUP(W113,'BD LUB'!$A$2:$L$223,7,FALSE))+(VLOOKUP(W113,'BD LUB'!$A$2:$L$223,6,FALSE)/VLOOKUP(W113,'BD LUB'!$A$2:$L$223,8,FALSE))</f>
        <v>#N/A</v>
      </c>
      <c r="Y113" s="137" t="str">
        <f>IF(AND(VLOOKUP(W113,'BD LUB'!$A$2:$L$223,11,FALSE)="PASADO",VLOOKUP(W113,'BD LUB'!$A$2:$L$223,12,FALSE)="PASADO"),1,IF(OR(AND(VLOOKUP(W113,'BD LUB'!$A$2:$L$223,11,FALSE)="PASADO",VLOOKUP(W113,'BD LUB'!$A$2:$L$223,12,FALSE)="PRÓXIMO"),AND(VLOOKUP(W113,'BD LUB'!$A$2:$L$223,11,FALSE)="PRÓXIMO",VLOOKUP(W113,'BD LUB'!$A$2:$L$223,12,FALSE)="PASADO")),2,IF(OR(AND(VLOOKUP(W113,'BD LUB'!$A$2:$L$223,11,FALSE)="PASADO",VLOOKUP(W113,'BD LUB'!$A$2:$L$223,12,FALSE)="VIGENTE"),AND(VLOOKUP(W113,'BD LUB'!$A$2:$L$223,11,FALSE)="VIGENTE",VLOOKUP(W113,'BD LUB'!$A$2:$L$223,12,FALSE)="PASADO")),3,IF(AND(VLOOKUP(W113,'BD LUB'!$A$2:$L$223,11,FALSE)="PRÓXIMO",VLOOKUP(W113,'BD LUB'!$A$2:$L$223,12,FALSE)="PRÓXIMO"),4,IF(OR(AND(VLOOKUP(W113,'BD LUB'!$A$2:$L$223,11,FALSE)="PRÓXIMO",VLOOKUP(W113,'BD LUB'!$A$2:$L$223,12,FALSE)="VIGENTE"),AND(VLOOKUP(W113,'BD LUB'!$A$2:$L$223,11,FALSE)="VIGENTE",VLOOKUP(W113,'BD LUB'!$A$2:$L$223,12,FALSE)="PRÓXIMO")),5,IF(AND(VLOOKUP(W113,'BD LUB'!$A$2:$L$223,11,FALSE)="VIGENTE",VLOOKUP(W113,'BD LUB'!$A$2:$L$223,12,FALSE)="VIGENTE"),6,"No definido"))))))</f>
        <v>#N/A</v>
      </c>
      <c r="Z113" s="138"/>
      <c r="AA113" s="139" t="str">
        <f>(VLOOKUP(Z113,'BD LUB'!$A$2:$L$223,5,FALSE)/VLOOKUP(Z113,'BD LUB'!$A$2:$L$223,7,FALSE))+(VLOOKUP(Z113,'BD LUB'!$A$2:$L$223,6,FALSE)/VLOOKUP(Z113,'BD LUB'!$A$2:$L$223,8,FALSE))</f>
        <v>#N/A</v>
      </c>
      <c r="AB113" s="78" t="str">
        <f>IF(AND(VLOOKUP(Z113,'BD LUB'!$A$2:$L$223,11,FALSE)="PASADO",VLOOKUP(Z113,'BD LUB'!$A$2:$L$223,12,FALSE)="PASADO"),1,IF(OR(AND(VLOOKUP(Z113,'BD LUB'!$A$2:$L$223,11,FALSE)="PASADO",VLOOKUP(Z113,'BD LUB'!$A$2:$L$223,12,FALSE)="PRÓXIMO"),AND(VLOOKUP(Z113,'BD LUB'!$A$2:$L$223,11,FALSE)="PRÓXIMO",VLOOKUP(Z113,'BD LUB'!$A$2:$L$223,12,FALSE)="PASADO")),2,IF(OR(AND(VLOOKUP(Z113,'BD LUB'!$A$2:$L$223,11,FALSE)="PASADO",VLOOKUP(Z113,'BD LUB'!$A$2:$L$223,12,FALSE)="VIGENTE"),AND(VLOOKUP(Z113,'BD LUB'!$A$2:$L$223,11,FALSE)="VIGENTE",VLOOKUP(Z113,'BD LUB'!$A$2:$L$223,12,FALSE)="PASADO")),3,IF(AND(VLOOKUP(Z113,'BD LUB'!$A$2:$L$223,11,FALSE)="PRÓXIMO",VLOOKUP(Z113,'BD LUB'!$A$2:$L$223,12,FALSE)="PRÓXIMO"),4,IF(OR(AND(VLOOKUP(Z113,'BD LUB'!$A$2:$L$223,11,FALSE)="PRÓXIMO",VLOOKUP(Z113,'BD LUB'!$A$2:$L$223,12,FALSE)="VIGENTE"),AND(VLOOKUP(Z113,'BD LUB'!$A$2:$L$223,11,FALSE)="VIGENTE",VLOOKUP(Z113,'BD LUB'!$A$2:$L$223,12,FALSE)="PRÓXIMO")),5,IF(AND(VLOOKUP(Z113,'BD LUB'!$A$2:$L$223,11,FALSE)="VIGENTE",VLOOKUP(Z113,'BD LUB'!$A$2:$L$223,12,FALSE)="VIGENTE"),6,"No definido"))))))</f>
        <v>#N/A</v>
      </c>
      <c r="AC113" s="78"/>
      <c r="AD113" s="136" t="str">
        <f>IF(VLOOKUP(AC113,'BD LUB'!$A$2:$C$223,3,FALSE)=$AH$20,AC113&amp;" MED",IF(VLOOKUP(AC113,'BD LUB'!$A$2:$C$223,3,FALSE)=$AH$19,AC113&amp;" MAY",IF(VLOOKUP(AC113,'BD LUB'!$A$2:$C$223,3,FALSE)=$AH$18,AC113&amp;" RN",IF(VLOOKUP(AC113,'BD LUB'!$A$2:$C$223,3,FALSE)=$AH$17,AC113&amp;" COPQUI",IF(VLOOKUP(AC113,'BD LUB'!$A$2:$C$223,3,FALSE)=$AH$16,AC113&amp;" CEJ",IF(VLOOKUP(AC113,'BD LUB'!$A$2:$C$223,3,FALSE)=$AH$15,AC113&amp;" BULT",IF(VLOOKUP(AC113,'BD LUB'!$A$2:$C$223,3,FALSE)=$AH$14,AC113&amp;" COP",IF(VLOOKUP(AC113,'BD LUB'!$A$2:$C$223,3,FALSE)=$AH$13,AC113&amp;" RIO",IF(VLOOKUP(AC113,'BD LUB'!$A$2:$C$223,3,FALSE)=$AH$21,AC113&amp;" APART","Dato no encontrado")))))))))</f>
        <v>#N/A</v>
      </c>
      <c r="AE113" s="160"/>
      <c r="AF113" s="160"/>
      <c r="AG113" s="160"/>
      <c r="AH113" s="160"/>
      <c r="AI113" s="160"/>
      <c r="AJ113" s="160"/>
      <c r="AP113" s="160"/>
      <c r="AV113" s="160"/>
    </row>
    <row r="114">
      <c r="A114" s="158"/>
      <c r="B114" s="126">
        <v>111.0</v>
      </c>
      <c r="C114" s="78">
        <f>IFERROR(__xludf.DUMMYFUNCTION("""COMPUTED_VALUE"""),2861.0)</f>
        <v>2861</v>
      </c>
      <c r="D114" s="156">
        <f>IFERROR(__xludf.DUMMYFUNCTION("""COMPUTED_VALUE"""),46226.0)</f>
        <v>46226</v>
      </c>
      <c r="E114" s="78" t="str">
        <f>IFERROR(__xludf.DUMMYFUNCTION("""COMPUTED_VALUE"""),"02-Medellin")</f>
        <v>02-Medellin</v>
      </c>
      <c r="F114" s="156">
        <f>IFERROR(__xludf.DUMMYFUNCTION("""COMPUTED_VALUE"""),46101.0)</f>
        <v>46101</v>
      </c>
      <c r="G114" s="159">
        <f>IFERROR(__xludf.DUMMYFUNCTION("""COMPUTED_VALUE"""),65.0)</f>
        <v>65</v>
      </c>
      <c r="H114" s="78" t="str">
        <f>IFERROR(__xludf.DUMMYFUNCTION("""COMPUTED_VALUE"""),"VIGENTE")</f>
        <v>VIGENTE</v>
      </c>
      <c r="I114" s="132" t="str">
        <f t="shared" si="1"/>
        <v>-</v>
      </c>
      <c r="J114" s="158"/>
      <c r="K114" s="126">
        <v>111.0</v>
      </c>
      <c r="L114" s="78">
        <f>IFERROR(__xludf.DUMMYFUNCTION("""COMPUTED_VALUE"""),3252.0)</f>
        <v>3252</v>
      </c>
      <c r="M114" s="156">
        <f>IFERROR(__xludf.DUMMYFUNCTION("""COMPUTED_VALUE"""),46661.0)</f>
        <v>46661</v>
      </c>
      <c r="N114" s="78" t="str">
        <f>IFERROR(__xludf.DUMMYFUNCTION("""COMPUTED_VALUE"""),"24-Rionegro")</f>
        <v>24-Rionegro</v>
      </c>
      <c r="O114" s="156">
        <f>IFERROR(__xludf.DUMMYFUNCTION("""COMPUTED_VALUE"""),46161.0)</f>
        <v>46161</v>
      </c>
      <c r="P114" s="159">
        <f>IFERROR(__xludf.DUMMYFUNCTION("""COMPUTED_VALUE"""),2712.0)</f>
        <v>2712</v>
      </c>
      <c r="Q114" s="78" t="str">
        <f>IFERROR(__xludf.DUMMYFUNCTION("""COMPUTED_VALUE"""),"VIGENTE")</f>
        <v>VIGENTE</v>
      </c>
      <c r="R114" s="132" t="str">
        <f t="shared" si="2"/>
        <v>-</v>
      </c>
      <c r="T114" s="134" t="str">
        <f>CALENDARIO!D126</f>
        <v/>
      </c>
      <c r="U114" s="135" t="str">
        <f>CALENDARIO!C126</f>
        <v/>
      </c>
      <c r="W114" s="78"/>
      <c r="X114" s="136" t="str">
        <f>(VLOOKUP(W114,'BD LUB'!$A$2:$L$223,5,FALSE)/VLOOKUP(W114,'BD LUB'!$A$2:$L$223,7,FALSE))+(VLOOKUP(W114,'BD LUB'!$A$2:$L$223,6,FALSE)/VLOOKUP(W114,'BD LUB'!$A$2:$L$223,8,FALSE))</f>
        <v>#N/A</v>
      </c>
      <c r="Y114" s="137" t="str">
        <f>IF(AND(VLOOKUP(W114,'BD LUB'!$A$2:$L$223,11,FALSE)="PASADO",VLOOKUP(W114,'BD LUB'!$A$2:$L$223,12,FALSE)="PASADO"),1,IF(OR(AND(VLOOKUP(W114,'BD LUB'!$A$2:$L$223,11,FALSE)="PASADO",VLOOKUP(W114,'BD LUB'!$A$2:$L$223,12,FALSE)="PRÓXIMO"),AND(VLOOKUP(W114,'BD LUB'!$A$2:$L$223,11,FALSE)="PRÓXIMO",VLOOKUP(W114,'BD LUB'!$A$2:$L$223,12,FALSE)="PASADO")),2,IF(OR(AND(VLOOKUP(W114,'BD LUB'!$A$2:$L$223,11,FALSE)="PASADO",VLOOKUP(W114,'BD LUB'!$A$2:$L$223,12,FALSE)="VIGENTE"),AND(VLOOKUP(W114,'BD LUB'!$A$2:$L$223,11,FALSE)="VIGENTE",VLOOKUP(W114,'BD LUB'!$A$2:$L$223,12,FALSE)="PASADO")),3,IF(AND(VLOOKUP(W114,'BD LUB'!$A$2:$L$223,11,FALSE)="PRÓXIMO",VLOOKUP(W114,'BD LUB'!$A$2:$L$223,12,FALSE)="PRÓXIMO"),4,IF(OR(AND(VLOOKUP(W114,'BD LUB'!$A$2:$L$223,11,FALSE)="PRÓXIMO",VLOOKUP(W114,'BD LUB'!$A$2:$L$223,12,FALSE)="VIGENTE"),AND(VLOOKUP(W114,'BD LUB'!$A$2:$L$223,11,FALSE)="VIGENTE",VLOOKUP(W114,'BD LUB'!$A$2:$L$223,12,FALSE)="PRÓXIMO")),5,IF(AND(VLOOKUP(W114,'BD LUB'!$A$2:$L$223,11,FALSE)="VIGENTE",VLOOKUP(W114,'BD LUB'!$A$2:$L$223,12,FALSE)="VIGENTE"),6,"No definido"))))))</f>
        <v>#N/A</v>
      </c>
      <c r="Z114" s="138"/>
      <c r="AA114" s="139" t="str">
        <f>(VLOOKUP(Z114,'BD LUB'!$A$2:$L$223,5,FALSE)/VLOOKUP(Z114,'BD LUB'!$A$2:$L$223,7,FALSE))+(VLOOKUP(Z114,'BD LUB'!$A$2:$L$223,6,FALSE)/VLOOKUP(Z114,'BD LUB'!$A$2:$L$223,8,FALSE))</f>
        <v>#N/A</v>
      </c>
      <c r="AB114" s="78" t="str">
        <f>IF(AND(VLOOKUP(Z114,'BD LUB'!$A$2:$L$223,11,FALSE)="PASADO",VLOOKUP(Z114,'BD LUB'!$A$2:$L$223,12,FALSE)="PASADO"),1,IF(OR(AND(VLOOKUP(Z114,'BD LUB'!$A$2:$L$223,11,FALSE)="PASADO",VLOOKUP(Z114,'BD LUB'!$A$2:$L$223,12,FALSE)="PRÓXIMO"),AND(VLOOKUP(Z114,'BD LUB'!$A$2:$L$223,11,FALSE)="PRÓXIMO",VLOOKUP(Z114,'BD LUB'!$A$2:$L$223,12,FALSE)="PASADO")),2,IF(OR(AND(VLOOKUP(Z114,'BD LUB'!$A$2:$L$223,11,FALSE)="PASADO",VLOOKUP(Z114,'BD LUB'!$A$2:$L$223,12,FALSE)="VIGENTE"),AND(VLOOKUP(Z114,'BD LUB'!$A$2:$L$223,11,FALSE)="VIGENTE",VLOOKUP(Z114,'BD LUB'!$A$2:$L$223,12,FALSE)="PASADO")),3,IF(AND(VLOOKUP(Z114,'BD LUB'!$A$2:$L$223,11,FALSE)="PRÓXIMO",VLOOKUP(Z114,'BD LUB'!$A$2:$L$223,12,FALSE)="PRÓXIMO"),4,IF(OR(AND(VLOOKUP(Z114,'BD LUB'!$A$2:$L$223,11,FALSE)="PRÓXIMO",VLOOKUP(Z114,'BD LUB'!$A$2:$L$223,12,FALSE)="VIGENTE"),AND(VLOOKUP(Z114,'BD LUB'!$A$2:$L$223,11,FALSE)="VIGENTE",VLOOKUP(Z114,'BD LUB'!$A$2:$L$223,12,FALSE)="PRÓXIMO")),5,IF(AND(VLOOKUP(Z114,'BD LUB'!$A$2:$L$223,11,FALSE)="VIGENTE",VLOOKUP(Z114,'BD LUB'!$A$2:$L$223,12,FALSE)="VIGENTE"),6,"No definido"))))))</f>
        <v>#N/A</v>
      </c>
      <c r="AC114" s="78"/>
      <c r="AD114" s="136" t="str">
        <f>IF(VLOOKUP(AC114,'BD LUB'!$A$2:$C$223,3,FALSE)=$AH$20,AC114&amp;" MED",IF(VLOOKUP(AC114,'BD LUB'!$A$2:$C$223,3,FALSE)=$AH$19,AC114&amp;" MAY",IF(VLOOKUP(AC114,'BD LUB'!$A$2:$C$223,3,FALSE)=$AH$18,AC114&amp;" RN",IF(VLOOKUP(AC114,'BD LUB'!$A$2:$C$223,3,FALSE)=$AH$17,AC114&amp;" COPQUI",IF(VLOOKUP(AC114,'BD LUB'!$A$2:$C$223,3,FALSE)=$AH$16,AC114&amp;" CEJ",IF(VLOOKUP(AC114,'BD LUB'!$A$2:$C$223,3,FALSE)=$AH$15,AC114&amp;" BULT",IF(VLOOKUP(AC114,'BD LUB'!$A$2:$C$223,3,FALSE)=$AH$14,AC114&amp;" COP",IF(VLOOKUP(AC114,'BD LUB'!$A$2:$C$223,3,FALSE)=$AH$13,AC114&amp;" RIO",IF(VLOOKUP(AC114,'BD LUB'!$A$2:$C$223,3,FALSE)=$AH$21,AC114&amp;" APART","Dato no encontrado")))))))))</f>
        <v>#N/A</v>
      </c>
      <c r="AE114" s="160"/>
      <c r="AF114" s="160"/>
      <c r="AG114" s="160"/>
      <c r="AH114" s="160"/>
      <c r="AI114" s="160"/>
      <c r="AJ114" s="160"/>
      <c r="AP114" s="160"/>
      <c r="AV114" s="160"/>
    </row>
    <row r="115">
      <c r="A115" s="158"/>
      <c r="B115" s="126">
        <v>112.0</v>
      </c>
      <c r="C115" s="78">
        <f>IFERROR(__xludf.DUMMYFUNCTION("""COMPUTED_VALUE"""),2672.0)</f>
        <v>2672</v>
      </c>
      <c r="D115" s="156">
        <f>IFERROR(__xludf.DUMMYFUNCTION("""COMPUTED_VALUE"""),46511.0)</f>
        <v>46511</v>
      </c>
      <c r="E115" s="78" t="str">
        <f>IFERROR(__xludf.DUMMYFUNCTION("""COMPUTED_VALUE"""),"02-Medellin")</f>
        <v>02-Medellin</v>
      </c>
      <c r="F115" s="156">
        <f>IFERROR(__xludf.DUMMYFUNCTION("""COMPUTED_VALUE"""),46101.0)</f>
        <v>46101</v>
      </c>
      <c r="G115" s="159">
        <f>IFERROR(__xludf.DUMMYFUNCTION("""COMPUTED_VALUE"""),65.0)</f>
        <v>65</v>
      </c>
      <c r="H115" s="78" t="str">
        <f>IFERROR(__xludf.DUMMYFUNCTION("""COMPUTED_VALUE"""),"VIGENTE")</f>
        <v>VIGENTE</v>
      </c>
      <c r="I115" s="132" t="str">
        <f t="shared" si="1"/>
        <v>-</v>
      </c>
      <c r="J115" s="158"/>
      <c r="K115" s="126">
        <v>112.0</v>
      </c>
      <c r="L115" s="78">
        <f>IFERROR(__xludf.DUMMYFUNCTION("""COMPUTED_VALUE"""),2867.0)</f>
        <v>2867</v>
      </c>
      <c r="M115" s="156">
        <f>IFERROR(__xludf.DUMMYFUNCTION("""COMPUTED_VALUE"""),46226.0)</f>
        <v>46226</v>
      </c>
      <c r="N115" s="78" t="str">
        <f>IFERROR(__xludf.DUMMYFUNCTION("""COMPUTED_VALUE"""),"02-Medellin")</f>
        <v>02-Medellin</v>
      </c>
      <c r="O115" s="156">
        <f>IFERROR(__xludf.DUMMYFUNCTION("""COMPUTED_VALUE"""),46167.0)</f>
        <v>46167</v>
      </c>
      <c r="P115" s="159">
        <f>IFERROR(__xludf.DUMMYFUNCTION("""COMPUTED_VALUE"""),2772.0)</f>
        <v>2772</v>
      </c>
      <c r="Q115" s="78" t="str">
        <f>IFERROR(__xludf.DUMMYFUNCTION("""COMPUTED_VALUE"""),"VIGENTE")</f>
        <v>VIGENTE</v>
      </c>
      <c r="R115" s="132" t="str">
        <f t="shared" si="2"/>
        <v>-</v>
      </c>
      <c r="T115" s="134" t="str">
        <f>CALENDARIO!D127</f>
        <v/>
      </c>
      <c r="U115" s="135" t="str">
        <f>CALENDARIO!C127</f>
        <v/>
      </c>
      <c r="W115" s="78"/>
      <c r="X115" s="136" t="str">
        <f>(VLOOKUP(W115,'BD LUB'!$A$2:$L$223,5,FALSE)/VLOOKUP(W115,'BD LUB'!$A$2:$L$223,7,FALSE))+(VLOOKUP(W115,'BD LUB'!$A$2:$L$223,6,FALSE)/VLOOKUP(W115,'BD LUB'!$A$2:$L$223,8,FALSE))</f>
        <v>#N/A</v>
      </c>
      <c r="Y115" s="137" t="str">
        <f>IF(AND(VLOOKUP(W115,'BD LUB'!$A$2:$L$223,11,FALSE)="PASADO",VLOOKUP(W115,'BD LUB'!$A$2:$L$223,12,FALSE)="PASADO"),1,IF(OR(AND(VLOOKUP(W115,'BD LUB'!$A$2:$L$223,11,FALSE)="PASADO",VLOOKUP(W115,'BD LUB'!$A$2:$L$223,12,FALSE)="PRÓXIMO"),AND(VLOOKUP(W115,'BD LUB'!$A$2:$L$223,11,FALSE)="PRÓXIMO",VLOOKUP(W115,'BD LUB'!$A$2:$L$223,12,FALSE)="PASADO")),2,IF(OR(AND(VLOOKUP(W115,'BD LUB'!$A$2:$L$223,11,FALSE)="PASADO",VLOOKUP(W115,'BD LUB'!$A$2:$L$223,12,FALSE)="VIGENTE"),AND(VLOOKUP(W115,'BD LUB'!$A$2:$L$223,11,FALSE)="VIGENTE",VLOOKUP(W115,'BD LUB'!$A$2:$L$223,12,FALSE)="PASADO")),3,IF(AND(VLOOKUP(W115,'BD LUB'!$A$2:$L$223,11,FALSE)="PRÓXIMO",VLOOKUP(W115,'BD LUB'!$A$2:$L$223,12,FALSE)="PRÓXIMO"),4,IF(OR(AND(VLOOKUP(W115,'BD LUB'!$A$2:$L$223,11,FALSE)="PRÓXIMO",VLOOKUP(W115,'BD LUB'!$A$2:$L$223,12,FALSE)="VIGENTE"),AND(VLOOKUP(W115,'BD LUB'!$A$2:$L$223,11,FALSE)="VIGENTE",VLOOKUP(W115,'BD LUB'!$A$2:$L$223,12,FALSE)="PRÓXIMO")),5,IF(AND(VLOOKUP(W115,'BD LUB'!$A$2:$L$223,11,FALSE)="VIGENTE",VLOOKUP(W115,'BD LUB'!$A$2:$L$223,12,FALSE)="VIGENTE"),6,"No definido"))))))</f>
        <v>#N/A</v>
      </c>
      <c r="Z115" s="138"/>
      <c r="AA115" s="139" t="str">
        <f>(VLOOKUP(Z115,'BD LUB'!$A$2:$L$223,5,FALSE)/VLOOKUP(Z115,'BD LUB'!$A$2:$L$223,7,FALSE))+(VLOOKUP(Z115,'BD LUB'!$A$2:$L$223,6,FALSE)/VLOOKUP(Z115,'BD LUB'!$A$2:$L$223,8,FALSE))</f>
        <v>#N/A</v>
      </c>
      <c r="AB115" s="78" t="str">
        <f>IF(AND(VLOOKUP(Z115,'BD LUB'!$A$2:$L$223,11,FALSE)="PASADO",VLOOKUP(Z115,'BD LUB'!$A$2:$L$223,12,FALSE)="PASADO"),1,IF(OR(AND(VLOOKUP(Z115,'BD LUB'!$A$2:$L$223,11,FALSE)="PASADO",VLOOKUP(Z115,'BD LUB'!$A$2:$L$223,12,FALSE)="PRÓXIMO"),AND(VLOOKUP(Z115,'BD LUB'!$A$2:$L$223,11,FALSE)="PRÓXIMO",VLOOKUP(Z115,'BD LUB'!$A$2:$L$223,12,FALSE)="PASADO")),2,IF(OR(AND(VLOOKUP(Z115,'BD LUB'!$A$2:$L$223,11,FALSE)="PASADO",VLOOKUP(Z115,'BD LUB'!$A$2:$L$223,12,FALSE)="VIGENTE"),AND(VLOOKUP(Z115,'BD LUB'!$A$2:$L$223,11,FALSE)="VIGENTE",VLOOKUP(Z115,'BD LUB'!$A$2:$L$223,12,FALSE)="PASADO")),3,IF(AND(VLOOKUP(Z115,'BD LUB'!$A$2:$L$223,11,FALSE)="PRÓXIMO",VLOOKUP(Z115,'BD LUB'!$A$2:$L$223,12,FALSE)="PRÓXIMO"),4,IF(OR(AND(VLOOKUP(Z115,'BD LUB'!$A$2:$L$223,11,FALSE)="PRÓXIMO",VLOOKUP(Z115,'BD LUB'!$A$2:$L$223,12,FALSE)="VIGENTE"),AND(VLOOKUP(Z115,'BD LUB'!$A$2:$L$223,11,FALSE)="VIGENTE",VLOOKUP(Z115,'BD LUB'!$A$2:$L$223,12,FALSE)="PRÓXIMO")),5,IF(AND(VLOOKUP(Z115,'BD LUB'!$A$2:$L$223,11,FALSE)="VIGENTE",VLOOKUP(Z115,'BD LUB'!$A$2:$L$223,12,FALSE)="VIGENTE"),6,"No definido"))))))</f>
        <v>#N/A</v>
      </c>
      <c r="AC115" s="78"/>
      <c r="AD115" s="136" t="str">
        <f>IF(VLOOKUP(AC115,'BD LUB'!$A$2:$C$223,3,FALSE)=$AH$20,AC115&amp;" MED",IF(VLOOKUP(AC115,'BD LUB'!$A$2:$C$223,3,FALSE)=$AH$19,AC115&amp;" MAY",IF(VLOOKUP(AC115,'BD LUB'!$A$2:$C$223,3,FALSE)=$AH$18,AC115&amp;" RN",IF(VLOOKUP(AC115,'BD LUB'!$A$2:$C$223,3,FALSE)=$AH$17,AC115&amp;" COPQUI",IF(VLOOKUP(AC115,'BD LUB'!$A$2:$C$223,3,FALSE)=$AH$16,AC115&amp;" CEJ",IF(VLOOKUP(AC115,'BD LUB'!$A$2:$C$223,3,FALSE)=$AH$15,AC115&amp;" BULT",IF(VLOOKUP(AC115,'BD LUB'!$A$2:$C$223,3,FALSE)=$AH$14,AC115&amp;" COP",IF(VLOOKUP(AC115,'BD LUB'!$A$2:$C$223,3,FALSE)=$AH$13,AC115&amp;" RIO",IF(VLOOKUP(AC115,'BD LUB'!$A$2:$C$223,3,FALSE)=$AH$21,AC115&amp;" APART","Dato no encontrado")))))))))</f>
        <v>#N/A</v>
      </c>
      <c r="AE115" s="160"/>
      <c r="AF115" s="160"/>
      <c r="AG115" s="160"/>
      <c r="AH115" s="160"/>
      <c r="AI115" s="160"/>
      <c r="AJ115" s="160"/>
      <c r="AP115" s="160"/>
      <c r="AV115" s="160"/>
    </row>
    <row r="116">
      <c r="A116" s="158"/>
      <c r="B116" s="126">
        <v>113.0</v>
      </c>
      <c r="C116" s="78">
        <f>IFERROR(__xludf.DUMMYFUNCTION("""COMPUTED_VALUE"""),2369.0)</f>
        <v>2369</v>
      </c>
      <c r="D116" s="156">
        <f>IFERROR(__xludf.DUMMYFUNCTION("""COMPUTED_VALUE"""),46541.0)</f>
        <v>46541</v>
      </c>
      <c r="E116" s="78" t="str">
        <f>IFERROR(__xludf.DUMMYFUNCTION("""COMPUTED_VALUE"""),"02-Medellin")</f>
        <v>02-Medellin</v>
      </c>
      <c r="F116" s="156">
        <f>IFERROR(__xludf.DUMMYFUNCTION("""COMPUTED_VALUE"""),46101.0)</f>
        <v>46101</v>
      </c>
      <c r="G116" s="159">
        <f>IFERROR(__xludf.DUMMYFUNCTION("""COMPUTED_VALUE"""),65.0)</f>
        <v>65</v>
      </c>
      <c r="H116" s="78" t="str">
        <f>IFERROR(__xludf.DUMMYFUNCTION("""COMPUTED_VALUE"""),"VIGENTE")</f>
        <v>VIGENTE</v>
      </c>
      <c r="I116" s="132" t="str">
        <f t="shared" si="1"/>
        <v>-</v>
      </c>
      <c r="J116" s="158"/>
      <c r="K116" s="126">
        <v>113.0</v>
      </c>
      <c r="L116" s="78">
        <f>IFERROR(__xludf.DUMMYFUNCTION("""COMPUTED_VALUE"""),2673.0)</f>
        <v>2673</v>
      </c>
      <c r="M116" s="156">
        <f>IFERROR(__xludf.DUMMYFUNCTION("""COMPUTED_VALUE"""),46516.0)</f>
        <v>46516</v>
      </c>
      <c r="N116" s="78" t="str">
        <f>IFERROR(__xludf.DUMMYFUNCTION("""COMPUTED_VALUE"""),"02-Medellin")</f>
        <v>02-Medellin</v>
      </c>
      <c r="O116" s="156">
        <f>IFERROR(__xludf.DUMMYFUNCTION("""COMPUTED_VALUE"""),46006.0)</f>
        <v>46006</v>
      </c>
      <c r="P116" s="159">
        <f>IFERROR(__xludf.DUMMYFUNCTION("""COMPUTED_VALUE"""),2798.3)</f>
        <v>2798.3</v>
      </c>
      <c r="Q116" s="78" t="str">
        <f>IFERROR(__xludf.DUMMYFUNCTION("""COMPUTED_VALUE"""),"VIGENTE")</f>
        <v>VIGENTE</v>
      </c>
      <c r="R116" s="132" t="str">
        <f t="shared" si="2"/>
        <v>-</v>
      </c>
      <c r="T116" s="134" t="str">
        <f>CALENDARIO!D128</f>
        <v/>
      </c>
      <c r="U116" s="135" t="str">
        <f>CALENDARIO!C128</f>
        <v/>
      </c>
      <c r="W116" s="78"/>
      <c r="X116" s="136" t="str">
        <f>(VLOOKUP(W116,'BD LUB'!$A$2:$L$223,5,FALSE)/VLOOKUP(W116,'BD LUB'!$A$2:$L$223,7,FALSE))+(VLOOKUP(W116,'BD LUB'!$A$2:$L$223,6,FALSE)/VLOOKUP(W116,'BD LUB'!$A$2:$L$223,8,FALSE))</f>
        <v>#N/A</v>
      </c>
      <c r="Y116" s="137" t="str">
        <f>IF(AND(VLOOKUP(W116,'BD LUB'!$A$2:$L$223,11,FALSE)="PASADO",VLOOKUP(W116,'BD LUB'!$A$2:$L$223,12,FALSE)="PASADO"),1,IF(OR(AND(VLOOKUP(W116,'BD LUB'!$A$2:$L$223,11,FALSE)="PASADO",VLOOKUP(W116,'BD LUB'!$A$2:$L$223,12,FALSE)="PRÓXIMO"),AND(VLOOKUP(W116,'BD LUB'!$A$2:$L$223,11,FALSE)="PRÓXIMO",VLOOKUP(W116,'BD LUB'!$A$2:$L$223,12,FALSE)="PASADO")),2,IF(OR(AND(VLOOKUP(W116,'BD LUB'!$A$2:$L$223,11,FALSE)="PASADO",VLOOKUP(W116,'BD LUB'!$A$2:$L$223,12,FALSE)="VIGENTE"),AND(VLOOKUP(W116,'BD LUB'!$A$2:$L$223,11,FALSE)="VIGENTE",VLOOKUP(W116,'BD LUB'!$A$2:$L$223,12,FALSE)="PASADO")),3,IF(AND(VLOOKUP(W116,'BD LUB'!$A$2:$L$223,11,FALSE)="PRÓXIMO",VLOOKUP(W116,'BD LUB'!$A$2:$L$223,12,FALSE)="PRÓXIMO"),4,IF(OR(AND(VLOOKUP(W116,'BD LUB'!$A$2:$L$223,11,FALSE)="PRÓXIMO",VLOOKUP(W116,'BD LUB'!$A$2:$L$223,12,FALSE)="VIGENTE"),AND(VLOOKUP(W116,'BD LUB'!$A$2:$L$223,11,FALSE)="VIGENTE",VLOOKUP(W116,'BD LUB'!$A$2:$L$223,12,FALSE)="PRÓXIMO")),5,IF(AND(VLOOKUP(W116,'BD LUB'!$A$2:$L$223,11,FALSE)="VIGENTE",VLOOKUP(W116,'BD LUB'!$A$2:$L$223,12,FALSE)="VIGENTE"),6,"No definido"))))))</f>
        <v>#N/A</v>
      </c>
      <c r="Z116" s="138"/>
      <c r="AA116" s="139" t="str">
        <f>(VLOOKUP(Z116,'BD LUB'!$A$2:$L$223,5,FALSE)/VLOOKUP(Z116,'BD LUB'!$A$2:$L$223,7,FALSE))+(VLOOKUP(Z116,'BD LUB'!$A$2:$L$223,6,FALSE)/VLOOKUP(Z116,'BD LUB'!$A$2:$L$223,8,FALSE))</f>
        <v>#N/A</v>
      </c>
      <c r="AB116" s="78" t="str">
        <f>IF(AND(VLOOKUP(Z116,'BD LUB'!$A$2:$L$223,11,FALSE)="PASADO",VLOOKUP(Z116,'BD LUB'!$A$2:$L$223,12,FALSE)="PASADO"),1,IF(OR(AND(VLOOKUP(Z116,'BD LUB'!$A$2:$L$223,11,FALSE)="PASADO",VLOOKUP(Z116,'BD LUB'!$A$2:$L$223,12,FALSE)="PRÓXIMO"),AND(VLOOKUP(Z116,'BD LUB'!$A$2:$L$223,11,FALSE)="PRÓXIMO",VLOOKUP(Z116,'BD LUB'!$A$2:$L$223,12,FALSE)="PASADO")),2,IF(OR(AND(VLOOKUP(Z116,'BD LUB'!$A$2:$L$223,11,FALSE)="PASADO",VLOOKUP(Z116,'BD LUB'!$A$2:$L$223,12,FALSE)="VIGENTE"),AND(VLOOKUP(Z116,'BD LUB'!$A$2:$L$223,11,FALSE)="VIGENTE",VLOOKUP(Z116,'BD LUB'!$A$2:$L$223,12,FALSE)="PASADO")),3,IF(AND(VLOOKUP(Z116,'BD LUB'!$A$2:$L$223,11,FALSE)="PRÓXIMO",VLOOKUP(Z116,'BD LUB'!$A$2:$L$223,12,FALSE)="PRÓXIMO"),4,IF(OR(AND(VLOOKUP(Z116,'BD LUB'!$A$2:$L$223,11,FALSE)="PRÓXIMO",VLOOKUP(Z116,'BD LUB'!$A$2:$L$223,12,FALSE)="VIGENTE"),AND(VLOOKUP(Z116,'BD LUB'!$A$2:$L$223,11,FALSE)="VIGENTE",VLOOKUP(Z116,'BD LUB'!$A$2:$L$223,12,FALSE)="PRÓXIMO")),5,IF(AND(VLOOKUP(Z116,'BD LUB'!$A$2:$L$223,11,FALSE)="VIGENTE",VLOOKUP(Z116,'BD LUB'!$A$2:$L$223,12,FALSE)="VIGENTE"),6,"No definido"))))))</f>
        <v>#N/A</v>
      </c>
      <c r="AC116" s="78"/>
      <c r="AD116" s="136" t="str">
        <f>IF(VLOOKUP(AC116,'BD LUB'!$A$2:$C$223,3,FALSE)=$AH$20,AC116&amp;" MED",IF(VLOOKUP(AC116,'BD LUB'!$A$2:$C$223,3,FALSE)=$AH$19,AC116&amp;" MAY",IF(VLOOKUP(AC116,'BD LUB'!$A$2:$C$223,3,FALSE)=$AH$18,AC116&amp;" RN",IF(VLOOKUP(AC116,'BD LUB'!$A$2:$C$223,3,FALSE)=$AH$17,AC116&amp;" COPQUI",IF(VLOOKUP(AC116,'BD LUB'!$A$2:$C$223,3,FALSE)=$AH$16,AC116&amp;" CEJ",IF(VLOOKUP(AC116,'BD LUB'!$A$2:$C$223,3,FALSE)=$AH$15,AC116&amp;" BULT",IF(VLOOKUP(AC116,'BD LUB'!$A$2:$C$223,3,FALSE)=$AH$14,AC116&amp;" COP",IF(VLOOKUP(AC116,'BD LUB'!$A$2:$C$223,3,FALSE)=$AH$13,AC116&amp;" RIO",IF(VLOOKUP(AC116,'BD LUB'!$A$2:$C$223,3,FALSE)=$AH$21,AC116&amp;" APART","Dato no encontrado")))))))))</f>
        <v>#N/A</v>
      </c>
      <c r="AE116" s="160"/>
      <c r="AF116" s="160"/>
      <c r="AG116" s="160"/>
      <c r="AH116" s="160"/>
      <c r="AI116" s="160"/>
      <c r="AJ116" s="160"/>
      <c r="AP116" s="160"/>
      <c r="AV116" s="160"/>
    </row>
    <row r="117">
      <c r="A117" s="158"/>
      <c r="B117" s="126">
        <v>114.0</v>
      </c>
      <c r="C117" s="78">
        <f>IFERROR(__xludf.DUMMYFUNCTION("""COMPUTED_VALUE"""),2355.0)</f>
        <v>2355</v>
      </c>
      <c r="D117" s="156">
        <f>IFERROR(__xludf.DUMMYFUNCTION("""COMPUTED_VALUE"""),46439.0)</f>
        <v>46439</v>
      </c>
      <c r="E117" s="78" t="str">
        <f>IFERROR(__xludf.DUMMYFUNCTION("""COMPUTED_VALUE"""),"31-Copacabana")</f>
        <v>31-Copacabana</v>
      </c>
      <c r="F117" s="156">
        <f>IFERROR(__xludf.DUMMYFUNCTION("""COMPUTED_VALUE"""),46101.0)</f>
        <v>46101</v>
      </c>
      <c r="G117" s="159">
        <f>IFERROR(__xludf.DUMMYFUNCTION("""COMPUTED_VALUE"""),65.0)</f>
        <v>65</v>
      </c>
      <c r="H117" s="78" t="str">
        <f>IFERROR(__xludf.DUMMYFUNCTION("""COMPUTED_VALUE"""),"VIGENTE")</f>
        <v>VIGENTE</v>
      </c>
      <c r="I117" s="132" t="str">
        <f t="shared" si="1"/>
        <v>-</v>
      </c>
      <c r="J117" s="158"/>
      <c r="K117" s="126">
        <v>114.0</v>
      </c>
      <c r="L117" s="78">
        <f>IFERROR(__xludf.DUMMYFUNCTION("""COMPUTED_VALUE"""),2924.0)</f>
        <v>2924</v>
      </c>
      <c r="M117" s="156">
        <f>IFERROR(__xludf.DUMMYFUNCTION("""COMPUTED_VALUE"""),46318.0)</f>
        <v>46318</v>
      </c>
      <c r="N117" s="78" t="str">
        <f>IFERROR(__xludf.DUMMYFUNCTION("""COMPUTED_VALUE"""),"02-Medellin")</f>
        <v>02-Medellin</v>
      </c>
      <c r="O117" s="156">
        <f>IFERROR(__xludf.DUMMYFUNCTION("""COMPUTED_VALUE"""),46155.0)</f>
        <v>46155</v>
      </c>
      <c r="P117" s="159">
        <f>IFERROR(__xludf.DUMMYFUNCTION("""COMPUTED_VALUE"""),2802.0)</f>
        <v>2802</v>
      </c>
      <c r="Q117" s="78" t="str">
        <f>IFERROR(__xludf.DUMMYFUNCTION("""COMPUTED_VALUE"""),"VIGENTE")</f>
        <v>VIGENTE</v>
      </c>
      <c r="R117" s="132" t="str">
        <f t="shared" si="2"/>
        <v>-</v>
      </c>
      <c r="T117" s="134" t="str">
        <f>CALENDARIO!D129</f>
        <v/>
      </c>
      <c r="U117" s="135" t="str">
        <f>CALENDARIO!C129</f>
        <v/>
      </c>
      <c r="W117" s="78"/>
      <c r="X117" s="136" t="str">
        <f>(VLOOKUP(W117,'BD LUB'!$A$2:$L$223,5,FALSE)/VLOOKUP(W117,'BD LUB'!$A$2:$L$223,7,FALSE))+(VLOOKUP(W117,'BD LUB'!$A$2:$L$223,6,FALSE)/VLOOKUP(W117,'BD LUB'!$A$2:$L$223,8,FALSE))</f>
        <v>#N/A</v>
      </c>
      <c r="Y117" s="137" t="str">
        <f>IF(AND(VLOOKUP(W117,'BD LUB'!$A$2:$L$223,11,FALSE)="PASADO",VLOOKUP(W117,'BD LUB'!$A$2:$L$223,12,FALSE)="PASADO"),1,IF(OR(AND(VLOOKUP(W117,'BD LUB'!$A$2:$L$223,11,FALSE)="PASADO",VLOOKUP(W117,'BD LUB'!$A$2:$L$223,12,FALSE)="PRÓXIMO"),AND(VLOOKUP(W117,'BD LUB'!$A$2:$L$223,11,FALSE)="PRÓXIMO",VLOOKUP(W117,'BD LUB'!$A$2:$L$223,12,FALSE)="PASADO")),2,IF(OR(AND(VLOOKUP(W117,'BD LUB'!$A$2:$L$223,11,FALSE)="PASADO",VLOOKUP(W117,'BD LUB'!$A$2:$L$223,12,FALSE)="VIGENTE"),AND(VLOOKUP(W117,'BD LUB'!$A$2:$L$223,11,FALSE)="VIGENTE",VLOOKUP(W117,'BD LUB'!$A$2:$L$223,12,FALSE)="PASADO")),3,IF(AND(VLOOKUP(W117,'BD LUB'!$A$2:$L$223,11,FALSE)="PRÓXIMO",VLOOKUP(W117,'BD LUB'!$A$2:$L$223,12,FALSE)="PRÓXIMO"),4,IF(OR(AND(VLOOKUP(W117,'BD LUB'!$A$2:$L$223,11,FALSE)="PRÓXIMO",VLOOKUP(W117,'BD LUB'!$A$2:$L$223,12,FALSE)="VIGENTE"),AND(VLOOKUP(W117,'BD LUB'!$A$2:$L$223,11,FALSE)="VIGENTE",VLOOKUP(W117,'BD LUB'!$A$2:$L$223,12,FALSE)="PRÓXIMO")),5,IF(AND(VLOOKUP(W117,'BD LUB'!$A$2:$L$223,11,FALSE)="VIGENTE",VLOOKUP(W117,'BD LUB'!$A$2:$L$223,12,FALSE)="VIGENTE"),6,"No definido"))))))</f>
        <v>#N/A</v>
      </c>
      <c r="Z117" s="138"/>
      <c r="AA117" s="139" t="str">
        <f>(VLOOKUP(Z117,'BD LUB'!$A$2:$L$223,5,FALSE)/VLOOKUP(Z117,'BD LUB'!$A$2:$L$223,7,FALSE))+(VLOOKUP(Z117,'BD LUB'!$A$2:$L$223,6,FALSE)/VLOOKUP(Z117,'BD LUB'!$A$2:$L$223,8,FALSE))</f>
        <v>#N/A</v>
      </c>
      <c r="AB117" s="78" t="str">
        <f>IF(AND(VLOOKUP(Z117,'BD LUB'!$A$2:$L$223,11,FALSE)="PASADO",VLOOKUP(Z117,'BD LUB'!$A$2:$L$223,12,FALSE)="PASADO"),1,IF(OR(AND(VLOOKUP(Z117,'BD LUB'!$A$2:$L$223,11,FALSE)="PASADO",VLOOKUP(Z117,'BD LUB'!$A$2:$L$223,12,FALSE)="PRÓXIMO"),AND(VLOOKUP(Z117,'BD LUB'!$A$2:$L$223,11,FALSE)="PRÓXIMO",VLOOKUP(Z117,'BD LUB'!$A$2:$L$223,12,FALSE)="PASADO")),2,IF(OR(AND(VLOOKUP(Z117,'BD LUB'!$A$2:$L$223,11,FALSE)="PASADO",VLOOKUP(Z117,'BD LUB'!$A$2:$L$223,12,FALSE)="VIGENTE"),AND(VLOOKUP(Z117,'BD LUB'!$A$2:$L$223,11,FALSE)="VIGENTE",VLOOKUP(Z117,'BD LUB'!$A$2:$L$223,12,FALSE)="PASADO")),3,IF(AND(VLOOKUP(Z117,'BD LUB'!$A$2:$L$223,11,FALSE)="PRÓXIMO",VLOOKUP(Z117,'BD LUB'!$A$2:$L$223,12,FALSE)="PRÓXIMO"),4,IF(OR(AND(VLOOKUP(Z117,'BD LUB'!$A$2:$L$223,11,FALSE)="PRÓXIMO",VLOOKUP(Z117,'BD LUB'!$A$2:$L$223,12,FALSE)="VIGENTE"),AND(VLOOKUP(Z117,'BD LUB'!$A$2:$L$223,11,FALSE)="VIGENTE",VLOOKUP(Z117,'BD LUB'!$A$2:$L$223,12,FALSE)="PRÓXIMO")),5,IF(AND(VLOOKUP(Z117,'BD LUB'!$A$2:$L$223,11,FALSE)="VIGENTE",VLOOKUP(Z117,'BD LUB'!$A$2:$L$223,12,FALSE)="VIGENTE"),6,"No definido"))))))</f>
        <v>#N/A</v>
      </c>
      <c r="AC117" s="78"/>
      <c r="AD117" s="136" t="str">
        <f>IF(VLOOKUP(AC117,'BD LUB'!$A$2:$C$223,3,FALSE)=$AH$20,AC117&amp;" MED",IF(VLOOKUP(AC117,'BD LUB'!$A$2:$C$223,3,FALSE)=$AH$19,AC117&amp;" MAY",IF(VLOOKUP(AC117,'BD LUB'!$A$2:$C$223,3,FALSE)=$AH$18,AC117&amp;" RN",IF(VLOOKUP(AC117,'BD LUB'!$A$2:$C$223,3,FALSE)=$AH$17,AC117&amp;" COPQUI",IF(VLOOKUP(AC117,'BD LUB'!$A$2:$C$223,3,FALSE)=$AH$16,AC117&amp;" CEJ",IF(VLOOKUP(AC117,'BD LUB'!$A$2:$C$223,3,FALSE)=$AH$15,AC117&amp;" BULT",IF(VLOOKUP(AC117,'BD LUB'!$A$2:$C$223,3,FALSE)=$AH$14,AC117&amp;" COP",IF(VLOOKUP(AC117,'BD LUB'!$A$2:$C$223,3,FALSE)=$AH$13,AC117&amp;" RIO",IF(VLOOKUP(AC117,'BD LUB'!$A$2:$C$223,3,FALSE)=$AH$21,AC117&amp;" APART","Dato no encontrado")))))))))</f>
        <v>#N/A</v>
      </c>
      <c r="AE117" s="160"/>
      <c r="AF117" s="160"/>
      <c r="AG117" s="160"/>
      <c r="AH117" s="160"/>
      <c r="AI117" s="160"/>
      <c r="AJ117" s="160"/>
      <c r="AP117" s="160"/>
      <c r="AV117" s="160"/>
    </row>
    <row r="118">
      <c r="A118" s="158"/>
      <c r="B118" s="126">
        <v>115.0</v>
      </c>
      <c r="C118" s="78">
        <f>IFERROR(__xludf.DUMMYFUNCTION("""COMPUTED_VALUE"""),2779.0)</f>
        <v>2779</v>
      </c>
      <c r="D118" s="156">
        <f>IFERROR(__xludf.DUMMYFUNCTION("""COMPUTED_VALUE"""),46306.0)</f>
        <v>46306</v>
      </c>
      <c r="E118" s="78" t="str">
        <f>IFERROR(__xludf.DUMMYFUNCTION("""COMPUTED_VALUE"""),"02-Medellin")</f>
        <v>02-Medellin</v>
      </c>
      <c r="F118" s="156">
        <f>IFERROR(__xludf.DUMMYFUNCTION("""COMPUTED_VALUE"""),46161.0)</f>
        <v>46161</v>
      </c>
      <c r="G118" s="159">
        <f>IFERROR(__xludf.DUMMYFUNCTION("""COMPUTED_VALUE"""),65.0)</f>
        <v>65</v>
      </c>
      <c r="H118" s="78" t="str">
        <f>IFERROR(__xludf.DUMMYFUNCTION("""COMPUTED_VALUE"""),"VIGENTE")</f>
        <v>VIGENTE</v>
      </c>
      <c r="I118" s="132" t="str">
        <f t="shared" si="1"/>
        <v>-</v>
      </c>
      <c r="J118" s="158"/>
      <c r="K118" s="126">
        <v>115.0</v>
      </c>
      <c r="L118" s="78">
        <f>IFERROR(__xludf.DUMMYFUNCTION("""COMPUTED_VALUE"""),2905.0)</f>
        <v>2905</v>
      </c>
      <c r="M118" s="156">
        <f>IFERROR(__xludf.DUMMYFUNCTION("""COMPUTED_VALUE"""),46275.0)</f>
        <v>46275</v>
      </c>
      <c r="N118" s="78" t="str">
        <f>IFERROR(__xludf.DUMMYFUNCTION("""COMPUTED_VALUE"""),"02-Medellin")</f>
        <v>02-Medellin</v>
      </c>
      <c r="O118" s="156">
        <f>IFERROR(__xludf.DUMMYFUNCTION("""COMPUTED_VALUE"""),46157.0)</f>
        <v>46157</v>
      </c>
      <c r="P118" s="159">
        <f>IFERROR(__xludf.DUMMYFUNCTION("""COMPUTED_VALUE"""),2842.0)</f>
        <v>2842</v>
      </c>
      <c r="Q118" s="78" t="str">
        <f>IFERROR(__xludf.DUMMYFUNCTION("""COMPUTED_VALUE"""),"VIGENTE")</f>
        <v>VIGENTE</v>
      </c>
      <c r="R118" s="132" t="str">
        <f t="shared" si="2"/>
        <v>-</v>
      </c>
      <c r="T118" s="134" t="str">
        <f>CALENDARIO!D130</f>
        <v/>
      </c>
      <c r="U118" s="135" t="str">
        <f>CALENDARIO!C130</f>
        <v/>
      </c>
      <c r="W118" s="78"/>
      <c r="X118" s="136" t="str">
        <f>(VLOOKUP(W118,'BD LUB'!$A$2:$L$223,5,FALSE)/VLOOKUP(W118,'BD LUB'!$A$2:$L$223,7,FALSE))+(VLOOKUP(W118,'BD LUB'!$A$2:$L$223,6,FALSE)/VLOOKUP(W118,'BD LUB'!$A$2:$L$223,8,FALSE))</f>
        <v>#N/A</v>
      </c>
      <c r="Y118" s="137" t="str">
        <f>IF(AND(VLOOKUP(W118,'BD LUB'!$A$2:$L$223,11,FALSE)="PASADO",VLOOKUP(W118,'BD LUB'!$A$2:$L$223,12,FALSE)="PASADO"),1,IF(OR(AND(VLOOKUP(W118,'BD LUB'!$A$2:$L$223,11,FALSE)="PASADO",VLOOKUP(W118,'BD LUB'!$A$2:$L$223,12,FALSE)="PRÓXIMO"),AND(VLOOKUP(W118,'BD LUB'!$A$2:$L$223,11,FALSE)="PRÓXIMO",VLOOKUP(W118,'BD LUB'!$A$2:$L$223,12,FALSE)="PASADO")),2,IF(OR(AND(VLOOKUP(W118,'BD LUB'!$A$2:$L$223,11,FALSE)="PASADO",VLOOKUP(W118,'BD LUB'!$A$2:$L$223,12,FALSE)="VIGENTE"),AND(VLOOKUP(W118,'BD LUB'!$A$2:$L$223,11,FALSE)="VIGENTE",VLOOKUP(W118,'BD LUB'!$A$2:$L$223,12,FALSE)="PASADO")),3,IF(AND(VLOOKUP(W118,'BD LUB'!$A$2:$L$223,11,FALSE)="PRÓXIMO",VLOOKUP(W118,'BD LUB'!$A$2:$L$223,12,FALSE)="PRÓXIMO"),4,IF(OR(AND(VLOOKUP(W118,'BD LUB'!$A$2:$L$223,11,FALSE)="PRÓXIMO",VLOOKUP(W118,'BD LUB'!$A$2:$L$223,12,FALSE)="VIGENTE"),AND(VLOOKUP(W118,'BD LUB'!$A$2:$L$223,11,FALSE)="VIGENTE",VLOOKUP(W118,'BD LUB'!$A$2:$L$223,12,FALSE)="PRÓXIMO")),5,IF(AND(VLOOKUP(W118,'BD LUB'!$A$2:$L$223,11,FALSE)="VIGENTE",VLOOKUP(W118,'BD LUB'!$A$2:$L$223,12,FALSE)="VIGENTE"),6,"No definido"))))))</f>
        <v>#N/A</v>
      </c>
      <c r="Z118" s="138"/>
      <c r="AA118" s="139" t="str">
        <f>(VLOOKUP(Z118,'BD LUB'!$A$2:$L$223,5,FALSE)/VLOOKUP(Z118,'BD LUB'!$A$2:$L$223,7,FALSE))+(VLOOKUP(Z118,'BD LUB'!$A$2:$L$223,6,FALSE)/VLOOKUP(Z118,'BD LUB'!$A$2:$L$223,8,FALSE))</f>
        <v>#N/A</v>
      </c>
      <c r="AB118" s="78" t="str">
        <f>IF(AND(VLOOKUP(Z118,'BD LUB'!$A$2:$L$223,11,FALSE)="PASADO",VLOOKUP(Z118,'BD LUB'!$A$2:$L$223,12,FALSE)="PASADO"),1,IF(OR(AND(VLOOKUP(Z118,'BD LUB'!$A$2:$L$223,11,FALSE)="PASADO",VLOOKUP(Z118,'BD LUB'!$A$2:$L$223,12,FALSE)="PRÓXIMO"),AND(VLOOKUP(Z118,'BD LUB'!$A$2:$L$223,11,FALSE)="PRÓXIMO",VLOOKUP(Z118,'BD LUB'!$A$2:$L$223,12,FALSE)="PASADO")),2,IF(OR(AND(VLOOKUP(Z118,'BD LUB'!$A$2:$L$223,11,FALSE)="PASADO",VLOOKUP(Z118,'BD LUB'!$A$2:$L$223,12,FALSE)="VIGENTE"),AND(VLOOKUP(Z118,'BD LUB'!$A$2:$L$223,11,FALSE)="VIGENTE",VLOOKUP(Z118,'BD LUB'!$A$2:$L$223,12,FALSE)="PASADO")),3,IF(AND(VLOOKUP(Z118,'BD LUB'!$A$2:$L$223,11,FALSE)="PRÓXIMO",VLOOKUP(Z118,'BD LUB'!$A$2:$L$223,12,FALSE)="PRÓXIMO"),4,IF(OR(AND(VLOOKUP(Z118,'BD LUB'!$A$2:$L$223,11,FALSE)="PRÓXIMO",VLOOKUP(Z118,'BD LUB'!$A$2:$L$223,12,FALSE)="VIGENTE"),AND(VLOOKUP(Z118,'BD LUB'!$A$2:$L$223,11,FALSE)="VIGENTE",VLOOKUP(Z118,'BD LUB'!$A$2:$L$223,12,FALSE)="PRÓXIMO")),5,IF(AND(VLOOKUP(Z118,'BD LUB'!$A$2:$L$223,11,FALSE)="VIGENTE",VLOOKUP(Z118,'BD LUB'!$A$2:$L$223,12,FALSE)="VIGENTE"),6,"No definido"))))))</f>
        <v>#N/A</v>
      </c>
      <c r="AC118" s="78"/>
      <c r="AD118" s="136" t="str">
        <f>IF(VLOOKUP(AC118,'BD LUB'!$A$2:$C$223,3,FALSE)=$AH$20,AC118&amp;" MED",IF(VLOOKUP(AC118,'BD LUB'!$A$2:$C$223,3,FALSE)=$AH$19,AC118&amp;" MAY",IF(VLOOKUP(AC118,'BD LUB'!$A$2:$C$223,3,FALSE)=$AH$18,AC118&amp;" RN",IF(VLOOKUP(AC118,'BD LUB'!$A$2:$C$223,3,FALSE)=$AH$17,AC118&amp;" COPQUI",IF(VLOOKUP(AC118,'BD LUB'!$A$2:$C$223,3,FALSE)=$AH$16,AC118&amp;" CEJ",IF(VLOOKUP(AC118,'BD LUB'!$A$2:$C$223,3,FALSE)=$AH$15,AC118&amp;" BULT",IF(VLOOKUP(AC118,'BD LUB'!$A$2:$C$223,3,FALSE)=$AH$14,AC118&amp;" COP",IF(VLOOKUP(AC118,'BD LUB'!$A$2:$C$223,3,FALSE)=$AH$13,AC118&amp;" RIO",IF(VLOOKUP(AC118,'BD LUB'!$A$2:$C$223,3,FALSE)=$AH$21,AC118&amp;" APART","Dato no encontrado")))))))))</f>
        <v>#N/A</v>
      </c>
      <c r="AE118" s="160"/>
      <c r="AF118" s="160"/>
      <c r="AG118" s="160"/>
      <c r="AH118" s="160"/>
      <c r="AI118" s="160"/>
      <c r="AJ118" s="160"/>
      <c r="AP118" s="160"/>
      <c r="AV118" s="160"/>
    </row>
    <row r="119">
      <c r="A119" s="158"/>
      <c r="B119" s="126">
        <v>116.0</v>
      </c>
      <c r="C119" s="78">
        <f>IFERROR(__xludf.DUMMYFUNCTION("""COMPUTED_VALUE"""),2196.0)</f>
        <v>2196</v>
      </c>
      <c r="D119" s="156">
        <f>IFERROR(__xludf.DUMMYFUNCTION("""COMPUTED_VALUE"""),46542.0)</f>
        <v>46542</v>
      </c>
      <c r="E119" s="78" t="str">
        <f>IFERROR(__xludf.DUMMYFUNCTION("""COMPUTED_VALUE"""),"02-Medellin")</f>
        <v>02-Medellin</v>
      </c>
      <c r="F119" s="156">
        <f>IFERROR(__xludf.DUMMYFUNCTION("""COMPUTED_VALUE"""),46102.0)</f>
        <v>46102</v>
      </c>
      <c r="G119" s="159">
        <f>IFERROR(__xludf.DUMMYFUNCTION("""COMPUTED_VALUE"""),66.0)</f>
        <v>66</v>
      </c>
      <c r="H119" s="78" t="str">
        <f>IFERROR(__xludf.DUMMYFUNCTION("""COMPUTED_VALUE"""),"VIGENTE")</f>
        <v>VIGENTE</v>
      </c>
      <c r="I119" s="132" t="str">
        <f t="shared" si="1"/>
        <v>-</v>
      </c>
      <c r="J119" s="158"/>
      <c r="K119" s="126">
        <v>116.0</v>
      </c>
      <c r="L119" s="78">
        <f>IFERROR(__xludf.DUMMYFUNCTION("""COMPUTED_VALUE"""),2384.0)</f>
        <v>2384</v>
      </c>
      <c r="M119" s="156">
        <f>IFERROR(__xludf.DUMMYFUNCTION("""COMPUTED_VALUE"""),46571.0)</f>
        <v>46571</v>
      </c>
      <c r="N119" s="78" t="str">
        <f>IFERROR(__xludf.DUMMYFUNCTION("""COMPUTED_VALUE"""),"02-Medellin")</f>
        <v>02-Medellin</v>
      </c>
      <c r="O119" s="156">
        <f>IFERROR(__xludf.DUMMYFUNCTION("""COMPUTED_VALUE"""),46029.0)</f>
        <v>46029</v>
      </c>
      <c r="P119" s="159">
        <f>IFERROR(__xludf.DUMMYFUNCTION("""COMPUTED_VALUE"""),2908.3)</f>
        <v>2908.3</v>
      </c>
      <c r="Q119" s="78" t="str">
        <f>IFERROR(__xludf.DUMMYFUNCTION("""COMPUTED_VALUE"""),"VIGENTE")</f>
        <v>VIGENTE</v>
      </c>
      <c r="R119" s="132" t="str">
        <f t="shared" si="2"/>
        <v>-</v>
      </c>
      <c r="T119" s="134" t="str">
        <f>CALENDARIO!D131</f>
        <v/>
      </c>
      <c r="U119" s="135" t="str">
        <f>CALENDARIO!C131</f>
        <v/>
      </c>
      <c r="W119" s="78"/>
      <c r="X119" s="136" t="str">
        <f>(VLOOKUP(W119,'BD LUB'!$A$2:$L$223,5,FALSE)/VLOOKUP(W119,'BD LUB'!$A$2:$L$223,7,FALSE))+(VLOOKUP(W119,'BD LUB'!$A$2:$L$223,6,FALSE)/VLOOKUP(W119,'BD LUB'!$A$2:$L$223,8,FALSE))</f>
        <v>#N/A</v>
      </c>
      <c r="Y119" s="137" t="str">
        <f>IF(AND(VLOOKUP(W119,'BD LUB'!$A$2:$L$223,11,FALSE)="PASADO",VLOOKUP(W119,'BD LUB'!$A$2:$L$223,12,FALSE)="PASADO"),1,IF(OR(AND(VLOOKUP(W119,'BD LUB'!$A$2:$L$223,11,FALSE)="PASADO",VLOOKUP(W119,'BD LUB'!$A$2:$L$223,12,FALSE)="PRÓXIMO"),AND(VLOOKUP(W119,'BD LUB'!$A$2:$L$223,11,FALSE)="PRÓXIMO",VLOOKUP(W119,'BD LUB'!$A$2:$L$223,12,FALSE)="PASADO")),2,IF(OR(AND(VLOOKUP(W119,'BD LUB'!$A$2:$L$223,11,FALSE)="PASADO",VLOOKUP(W119,'BD LUB'!$A$2:$L$223,12,FALSE)="VIGENTE"),AND(VLOOKUP(W119,'BD LUB'!$A$2:$L$223,11,FALSE)="VIGENTE",VLOOKUP(W119,'BD LUB'!$A$2:$L$223,12,FALSE)="PASADO")),3,IF(AND(VLOOKUP(W119,'BD LUB'!$A$2:$L$223,11,FALSE)="PRÓXIMO",VLOOKUP(W119,'BD LUB'!$A$2:$L$223,12,FALSE)="PRÓXIMO"),4,IF(OR(AND(VLOOKUP(W119,'BD LUB'!$A$2:$L$223,11,FALSE)="PRÓXIMO",VLOOKUP(W119,'BD LUB'!$A$2:$L$223,12,FALSE)="VIGENTE"),AND(VLOOKUP(W119,'BD LUB'!$A$2:$L$223,11,FALSE)="VIGENTE",VLOOKUP(W119,'BD LUB'!$A$2:$L$223,12,FALSE)="PRÓXIMO")),5,IF(AND(VLOOKUP(W119,'BD LUB'!$A$2:$L$223,11,FALSE)="VIGENTE",VLOOKUP(W119,'BD LUB'!$A$2:$L$223,12,FALSE)="VIGENTE"),6,"No definido"))))))</f>
        <v>#N/A</v>
      </c>
      <c r="Z119" s="138"/>
      <c r="AA119" s="139" t="str">
        <f>(VLOOKUP(Z119,'BD LUB'!$A$2:$L$223,5,FALSE)/VLOOKUP(Z119,'BD LUB'!$A$2:$L$223,7,FALSE))+(VLOOKUP(Z119,'BD LUB'!$A$2:$L$223,6,FALSE)/VLOOKUP(Z119,'BD LUB'!$A$2:$L$223,8,FALSE))</f>
        <v>#N/A</v>
      </c>
      <c r="AB119" s="78" t="str">
        <f>IF(AND(VLOOKUP(Z119,'BD LUB'!$A$2:$L$223,11,FALSE)="PASADO",VLOOKUP(Z119,'BD LUB'!$A$2:$L$223,12,FALSE)="PASADO"),1,IF(OR(AND(VLOOKUP(Z119,'BD LUB'!$A$2:$L$223,11,FALSE)="PASADO",VLOOKUP(Z119,'BD LUB'!$A$2:$L$223,12,FALSE)="PRÓXIMO"),AND(VLOOKUP(Z119,'BD LUB'!$A$2:$L$223,11,FALSE)="PRÓXIMO",VLOOKUP(Z119,'BD LUB'!$A$2:$L$223,12,FALSE)="PASADO")),2,IF(OR(AND(VLOOKUP(Z119,'BD LUB'!$A$2:$L$223,11,FALSE)="PASADO",VLOOKUP(Z119,'BD LUB'!$A$2:$L$223,12,FALSE)="VIGENTE"),AND(VLOOKUP(Z119,'BD LUB'!$A$2:$L$223,11,FALSE)="VIGENTE",VLOOKUP(Z119,'BD LUB'!$A$2:$L$223,12,FALSE)="PASADO")),3,IF(AND(VLOOKUP(Z119,'BD LUB'!$A$2:$L$223,11,FALSE)="PRÓXIMO",VLOOKUP(Z119,'BD LUB'!$A$2:$L$223,12,FALSE)="PRÓXIMO"),4,IF(OR(AND(VLOOKUP(Z119,'BD LUB'!$A$2:$L$223,11,FALSE)="PRÓXIMO",VLOOKUP(Z119,'BD LUB'!$A$2:$L$223,12,FALSE)="VIGENTE"),AND(VLOOKUP(Z119,'BD LUB'!$A$2:$L$223,11,FALSE)="VIGENTE",VLOOKUP(Z119,'BD LUB'!$A$2:$L$223,12,FALSE)="PRÓXIMO")),5,IF(AND(VLOOKUP(Z119,'BD LUB'!$A$2:$L$223,11,FALSE)="VIGENTE",VLOOKUP(Z119,'BD LUB'!$A$2:$L$223,12,FALSE)="VIGENTE"),6,"No definido"))))))</f>
        <v>#N/A</v>
      </c>
      <c r="AC119" s="78"/>
      <c r="AD119" s="136" t="str">
        <f>IF(VLOOKUP(AC119,'BD LUB'!$A$2:$C$223,3,FALSE)=$AH$20,AC119&amp;" MED",IF(VLOOKUP(AC119,'BD LUB'!$A$2:$C$223,3,FALSE)=$AH$19,AC119&amp;" MAY",IF(VLOOKUP(AC119,'BD LUB'!$A$2:$C$223,3,FALSE)=$AH$18,AC119&amp;" RN",IF(VLOOKUP(AC119,'BD LUB'!$A$2:$C$223,3,FALSE)=$AH$17,AC119&amp;" COPQUI",IF(VLOOKUP(AC119,'BD LUB'!$A$2:$C$223,3,FALSE)=$AH$16,AC119&amp;" CEJ",IF(VLOOKUP(AC119,'BD LUB'!$A$2:$C$223,3,FALSE)=$AH$15,AC119&amp;" BULT",IF(VLOOKUP(AC119,'BD LUB'!$A$2:$C$223,3,FALSE)=$AH$14,AC119&amp;" COP",IF(VLOOKUP(AC119,'BD LUB'!$A$2:$C$223,3,FALSE)=$AH$13,AC119&amp;" RIO",IF(VLOOKUP(AC119,'BD LUB'!$A$2:$C$223,3,FALSE)=$AH$21,AC119&amp;" APART","Dato no encontrado")))))))))</f>
        <v>#N/A</v>
      </c>
      <c r="AE119" s="160"/>
      <c r="AF119" s="160"/>
      <c r="AG119" s="160"/>
      <c r="AH119" s="160"/>
      <c r="AI119" s="160"/>
      <c r="AJ119" s="160"/>
      <c r="AP119" s="160"/>
      <c r="AV119" s="160"/>
    </row>
    <row r="120">
      <c r="A120" s="158"/>
      <c r="B120" s="126">
        <v>117.0</v>
      </c>
      <c r="C120" s="78">
        <f>IFERROR(__xludf.DUMMYFUNCTION("""COMPUTED_VALUE"""),2909.0)</f>
        <v>2909</v>
      </c>
      <c r="D120" s="156">
        <f>IFERROR(__xludf.DUMMYFUNCTION("""COMPUTED_VALUE"""),46275.0)</f>
        <v>46275</v>
      </c>
      <c r="E120" s="78" t="str">
        <f>IFERROR(__xludf.DUMMYFUNCTION("""COMPUTED_VALUE"""),"02-Medellin")</f>
        <v>02-Medellin</v>
      </c>
      <c r="F120" s="156">
        <f>IFERROR(__xludf.DUMMYFUNCTION("""COMPUTED_VALUE"""),46105.0)</f>
        <v>46105</v>
      </c>
      <c r="G120" s="159">
        <f>IFERROR(__xludf.DUMMYFUNCTION("""COMPUTED_VALUE"""),69.0)</f>
        <v>69</v>
      </c>
      <c r="H120" s="78" t="str">
        <f>IFERROR(__xludf.DUMMYFUNCTION("""COMPUTED_VALUE"""),"VIGENTE")</f>
        <v>VIGENTE</v>
      </c>
      <c r="I120" s="132" t="str">
        <f t="shared" si="1"/>
        <v>-</v>
      </c>
      <c r="J120" s="158"/>
      <c r="K120" s="126">
        <v>117.0</v>
      </c>
      <c r="L120" s="78">
        <f>IFERROR(__xludf.DUMMYFUNCTION("""COMPUTED_VALUE"""),2860.0)</f>
        <v>2860</v>
      </c>
      <c r="M120" s="156">
        <f>IFERROR(__xludf.DUMMYFUNCTION("""COMPUTED_VALUE"""),46221.0)</f>
        <v>46221</v>
      </c>
      <c r="N120" s="78" t="str">
        <f>IFERROR(__xludf.DUMMYFUNCTION("""COMPUTED_VALUE"""),"02-Medellin")</f>
        <v>02-Medellin</v>
      </c>
      <c r="O120" s="156">
        <f>IFERROR(__xludf.DUMMYFUNCTION("""COMPUTED_VALUE"""),46162.0)</f>
        <v>46162</v>
      </c>
      <c r="P120" s="159">
        <f>IFERROR(__xludf.DUMMYFUNCTION("""COMPUTED_VALUE"""),2963.0)</f>
        <v>2963</v>
      </c>
      <c r="Q120" s="78" t="str">
        <f>IFERROR(__xludf.DUMMYFUNCTION("""COMPUTED_VALUE"""),"VIGENTE")</f>
        <v>VIGENTE</v>
      </c>
      <c r="R120" s="132" t="str">
        <f t="shared" si="2"/>
        <v>-</v>
      </c>
      <c r="T120" s="134" t="str">
        <f>CALENDARIO!D132</f>
        <v/>
      </c>
      <c r="U120" s="135" t="str">
        <f>CALENDARIO!C132</f>
        <v/>
      </c>
      <c r="W120" s="78"/>
      <c r="X120" s="136" t="str">
        <f>(VLOOKUP(W120,'BD LUB'!$A$2:$L$223,5,FALSE)/VLOOKUP(W120,'BD LUB'!$A$2:$L$223,7,FALSE))+(VLOOKUP(W120,'BD LUB'!$A$2:$L$223,6,FALSE)/VLOOKUP(W120,'BD LUB'!$A$2:$L$223,8,FALSE))</f>
        <v>#N/A</v>
      </c>
      <c r="Y120" s="137" t="str">
        <f>IF(AND(VLOOKUP(W120,'BD LUB'!$A$2:$L$223,11,FALSE)="PASADO",VLOOKUP(W120,'BD LUB'!$A$2:$L$223,12,FALSE)="PASADO"),1,IF(OR(AND(VLOOKUP(W120,'BD LUB'!$A$2:$L$223,11,FALSE)="PASADO",VLOOKUP(W120,'BD LUB'!$A$2:$L$223,12,FALSE)="PRÓXIMO"),AND(VLOOKUP(W120,'BD LUB'!$A$2:$L$223,11,FALSE)="PRÓXIMO",VLOOKUP(W120,'BD LUB'!$A$2:$L$223,12,FALSE)="PASADO")),2,IF(OR(AND(VLOOKUP(W120,'BD LUB'!$A$2:$L$223,11,FALSE)="PASADO",VLOOKUP(W120,'BD LUB'!$A$2:$L$223,12,FALSE)="VIGENTE"),AND(VLOOKUP(W120,'BD LUB'!$A$2:$L$223,11,FALSE)="VIGENTE",VLOOKUP(W120,'BD LUB'!$A$2:$L$223,12,FALSE)="PASADO")),3,IF(AND(VLOOKUP(W120,'BD LUB'!$A$2:$L$223,11,FALSE)="PRÓXIMO",VLOOKUP(W120,'BD LUB'!$A$2:$L$223,12,FALSE)="PRÓXIMO"),4,IF(OR(AND(VLOOKUP(W120,'BD LUB'!$A$2:$L$223,11,FALSE)="PRÓXIMO",VLOOKUP(W120,'BD LUB'!$A$2:$L$223,12,FALSE)="VIGENTE"),AND(VLOOKUP(W120,'BD LUB'!$A$2:$L$223,11,FALSE)="VIGENTE",VLOOKUP(W120,'BD LUB'!$A$2:$L$223,12,FALSE)="PRÓXIMO")),5,IF(AND(VLOOKUP(W120,'BD LUB'!$A$2:$L$223,11,FALSE)="VIGENTE",VLOOKUP(W120,'BD LUB'!$A$2:$L$223,12,FALSE)="VIGENTE"),6,"No definido"))))))</f>
        <v>#N/A</v>
      </c>
      <c r="Z120" s="138"/>
      <c r="AA120" s="139" t="str">
        <f>(VLOOKUP(Z120,'BD LUB'!$A$2:$L$223,5,FALSE)/VLOOKUP(Z120,'BD LUB'!$A$2:$L$223,7,FALSE))+(VLOOKUP(Z120,'BD LUB'!$A$2:$L$223,6,FALSE)/VLOOKUP(Z120,'BD LUB'!$A$2:$L$223,8,FALSE))</f>
        <v>#N/A</v>
      </c>
      <c r="AB120" s="78" t="str">
        <f>IF(AND(VLOOKUP(Z120,'BD LUB'!$A$2:$L$223,11,FALSE)="PASADO",VLOOKUP(Z120,'BD LUB'!$A$2:$L$223,12,FALSE)="PASADO"),1,IF(OR(AND(VLOOKUP(Z120,'BD LUB'!$A$2:$L$223,11,FALSE)="PASADO",VLOOKUP(Z120,'BD LUB'!$A$2:$L$223,12,FALSE)="PRÓXIMO"),AND(VLOOKUP(Z120,'BD LUB'!$A$2:$L$223,11,FALSE)="PRÓXIMO",VLOOKUP(Z120,'BD LUB'!$A$2:$L$223,12,FALSE)="PASADO")),2,IF(OR(AND(VLOOKUP(Z120,'BD LUB'!$A$2:$L$223,11,FALSE)="PASADO",VLOOKUP(Z120,'BD LUB'!$A$2:$L$223,12,FALSE)="VIGENTE"),AND(VLOOKUP(Z120,'BD LUB'!$A$2:$L$223,11,FALSE)="VIGENTE",VLOOKUP(Z120,'BD LUB'!$A$2:$L$223,12,FALSE)="PASADO")),3,IF(AND(VLOOKUP(Z120,'BD LUB'!$A$2:$L$223,11,FALSE)="PRÓXIMO",VLOOKUP(Z120,'BD LUB'!$A$2:$L$223,12,FALSE)="PRÓXIMO"),4,IF(OR(AND(VLOOKUP(Z120,'BD LUB'!$A$2:$L$223,11,FALSE)="PRÓXIMO",VLOOKUP(Z120,'BD LUB'!$A$2:$L$223,12,FALSE)="VIGENTE"),AND(VLOOKUP(Z120,'BD LUB'!$A$2:$L$223,11,FALSE)="VIGENTE",VLOOKUP(Z120,'BD LUB'!$A$2:$L$223,12,FALSE)="PRÓXIMO")),5,IF(AND(VLOOKUP(Z120,'BD LUB'!$A$2:$L$223,11,FALSE)="VIGENTE",VLOOKUP(Z120,'BD LUB'!$A$2:$L$223,12,FALSE)="VIGENTE"),6,"No definido"))))))</f>
        <v>#N/A</v>
      </c>
      <c r="AC120" s="78"/>
      <c r="AD120" s="136" t="str">
        <f>IF(VLOOKUP(AC120,'BD LUB'!$A$2:$C$223,3,FALSE)=$AH$20,AC120&amp;" MED",IF(VLOOKUP(AC120,'BD LUB'!$A$2:$C$223,3,FALSE)=$AH$19,AC120&amp;" MAY",IF(VLOOKUP(AC120,'BD LUB'!$A$2:$C$223,3,FALSE)=$AH$18,AC120&amp;" RN",IF(VLOOKUP(AC120,'BD LUB'!$A$2:$C$223,3,FALSE)=$AH$17,AC120&amp;" COPQUI",IF(VLOOKUP(AC120,'BD LUB'!$A$2:$C$223,3,FALSE)=$AH$16,AC120&amp;" CEJ",IF(VLOOKUP(AC120,'BD LUB'!$A$2:$C$223,3,FALSE)=$AH$15,AC120&amp;" BULT",IF(VLOOKUP(AC120,'BD LUB'!$A$2:$C$223,3,FALSE)=$AH$14,AC120&amp;" COP",IF(VLOOKUP(AC120,'BD LUB'!$A$2:$C$223,3,FALSE)=$AH$13,AC120&amp;" RIO",IF(VLOOKUP(AC120,'BD LUB'!$A$2:$C$223,3,FALSE)=$AH$21,AC120&amp;" APART","Dato no encontrado")))))))))</f>
        <v>#N/A</v>
      </c>
      <c r="AE120" s="160"/>
      <c r="AF120" s="160"/>
      <c r="AG120" s="160"/>
      <c r="AH120" s="160"/>
      <c r="AI120" s="160"/>
      <c r="AJ120" s="160"/>
      <c r="AP120" s="160"/>
      <c r="AV120" s="160"/>
    </row>
    <row r="121">
      <c r="A121" s="158"/>
      <c r="B121" s="126">
        <v>118.0</v>
      </c>
      <c r="C121" s="78">
        <f>IFERROR(__xludf.DUMMYFUNCTION("""COMPUTED_VALUE"""),3264.0)</f>
        <v>3264</v>
      </c>
      <c r="D121" s="156">
        <f>IFERROR(__xludf.DUMMYFUNCTION("""COMPUTED_VALUE"""),46668.0)</f>
        <v>46668</v>
      </c>
      <c r="E121" s="78" t="str">
        <f>IFERROR(__xludf.DUMMYFUNCTION("""COMPUTED_VALUE"""),"02-Medellin")</f>
        <v>02-Medellin</v>
      </c>
      <c r="F121" s="156">
        <f>IFERROR(__xludf.DUMMYFUNCTION("""COMPUTED_VALUE"""),46106.0)</f>
        <v>46106</v>
      </c>
      <c r="G121" s="159">
        <f>IFERROR(__xludf.DUMMYFUNCTION("""COMPUTED_VALUE"""),70.0)</f>
        <v>70</v>
      </c>
      <c r="H121" s="78" t="str">
        <f>IFERROR(__xludf.DUMMYFUNCTION("""COMPUTED_VALUE"""),"VIGENTE")</f>
        <v>VIGENTE</v>
      </c>
      <c r="I121" s="132" t="str">
        <f t="shared" si="1"/>
        <v>-</v>
      </c>
      <c r="J121" s="158"/>
      <c r="K121" s="126">
        <v>118.0</v>
      </c>
      <c r="L121" s="78">
        <f>IFERROR(__xludf.DUMMYFUNCTION("""COMPUTED_VALUE"""),2354.0)</f>
        <v>2354</v>
      </c>
      <c r="M121" s="156">
        <f>IFERROR(__xludf.DUMMYFUNCTION("""COMPUTED_VALUE"""),46435.0)</f>
        <v>46435</v>
      </c>
      <c r="N121" s="78" t="str">
        <f>IFERROR(__xludf.DUMMYFUNCTION("""COMPUTED_VALUE"""),"31-Copacabana")</f>
        <v>31-Copacabana</v>
      </c>
      <c r="O121" s="156">
        <f>IFERROR(__xludf.DUMMYFUNCTION("""COMPUTED_VALUE"""),46037.0)</f>
        <v>46037</v>
      </c>
      <c r="P121" s="159">
        <f>IFERROR(__xludf.DUMMYFUNCTION("""COMPUTED_VALUE"""),3000.8)</f>
        <v>3000.8</v>
      </c>
      <c r="Q121" s="78" t="str">
        <f>IFERROR(__xludf.DUMMYFUNCTION("""COMPUTED_VALUE"""),"VIGENTE")</f>
        <v>VIGENTE</v>
      </c>
      <c r="R121" s="132" t="str">
        <f t="shared" si="2"/>
        <v>-</v>
      </c>
      <c r="T121" s="134" t="str">
        <f>CALENDARIO!D133</f>
        <v/>
      </c>
      <c r="U121" s="135" t="str">
        <f>CALENDARIO!C133</f>
        <v/>
      </c>
      <c r="W121" s="78"/>
      <c r="X121" s="136" t="str">
        <f>(VLOOKUP(W121,'BD LUB'!$A$2:$L$223,5,FALSE)/VLOOKUP(W121,'BD LUB'!$A$2:$L$223,7,FALSE))+(VLOOKUP(W121,'BD LUB'!$A$2:$L$223,6,FALSE)/VLOOKUP(W121,'BD LUB'!$A$2:$L$223,8,FALSE))</f>
        <v>#N/A</v>
      </c>
      <c r="Y121" s="137" t="str">
        <f>IF(AND(VLOOKUP(W121,'BD LUB'!$A$2:$L$223,11,FALSE)="PASADO",VLOOKUP(W121,'BD LUB'!$A$2:$L$223,12,FALSE)="PASADO"),1,IF(OR(AND(VLOOKUP(W121,'BD LUB'!$A$2:$L$223,11,FALSE)="PASADO",VLOOKUP(W121,'BD LUB'!$A$2:$L$223,12,FALSE)="PRÓXIMO"),AND(VLOOKUP(W121,'BD LUB'!$A$2:$L$223,11,FALSE)="PRÓXIMO",VLOOKUP(W121,'BD LUB'!$A$2:$L$223,12,FALSE)="PASADO")),2,IF(OR(AND(VLOOKUP(W121,'BD LUB'!$A$2:$L$223,11,FALSE)="PASADO",VLOOKUP(W121,'BD LUB'!$A$2:$L$223,12,FALSE)="VIGENTE"),AND(VLOOKUP(W121,'BD LUB'!$A$2:$L$223,11,FALSE)="VIGENTE",VLOOKUP(W121,'BD LUB'!$A$2:$L$223,12,FALSE)="PASADO")),3,IF(AND(VLOOKUP(W121,'BD LUB'!$A$2:$L$223,11,FALSE)="PRÓXIMO",VLOOKUP(W121,'BD LUB'!$A$2:$L$223,12,FALSE)="PRÓXIMO"),4,IF(OR(AND(VLOOKUP(W121,'BD LUB'!$A$2:$L$223,11,FALSE)="PRÓXIMO",VLOOKUP(W121,'BD LUB'!$A$2:$L$223,12,FALSE)="VIGENTE"),AND(VLOOKUP(W121,'BD LUB'!$A$2:$L$223,11,FALSE)="VIGENTE",VLOOKUP(W121,'BD LUB'!$A$2:$L$223,12,FALSE)="PRÓXIMO")),5,IF(AND(VLOOKUP(W121,'BD LUB'!$A$2:$L$223,11,FALSE)="VIGENTE",VLOOKUP(W121,'BD LUB'!$A$2:$L$223,12,FALSE)="VIGENTE"),6,"No definido"))))))</f>
        <v>#N/A</v>
      </c>
      <c r="Z121" s="138"/>
      <c r="AA121" s="139" t="str">
        <f>(VLOOKUP(Z121,'BD LUB'!$A$2:$L$223,5,FALSE)/VLOOKUP(Z121,'BD LUB'!$A$2:$L$223,7,FALSE))+(VLOOKUP(Z121,'BD LUB'!$A$2:$L$223,6,FALSE)/VLOOKUP(Z121,'BD LUB'!$A$2:$L$223,8,FALSE))</f>
        <v>#N/A</v>
      </c>
      <c r="AB121" s="78" t="str">
        <f>IF(AND(VLOOKUP(Z121,'BD LUB'!$A$2:$L$223,11,FALSE)="PASADO",VLOOKUP(Z121,'BD LUB'!$A$2:$L$223,12,FALSE)="PASADO"),1,IF(OR(AND(VLOOKUP(Z121,'BD LUB'!$A$2:$L$223,11,FALSE)="PASADO",VLOOKUP(Z121,'BD LUB'!$A$2:$L$223,12,FALSE)="PRÓXIMO"),AND(VLOOKUP(Z121,'BD LUB'!$A$2:$L$223,11,FALSE)="PRÓXIMO",VLOOKUP(Z121,'BD LUB'!$A$2:$L$223,12,FALSE)="PASADO")),2,IF(OR(AND(VLOOKUP(Z121,'BD LUB'!$A$2:$L$223,11,FALSE)="PASADO",VLOOKUP(Z121,'BD LUB'!$A$2:$L$223,12,FALSE)="VIGENTE"),AND(VLOOKUP(Z121,'BD LUB'!$A$2:$L$223,11,FALSE)="VIGENTE",VLOOKUP(Z121,'BD LUB'!$A$2:$L$223,12,FALSE)="PASADO")),3,IF(AND(VLOOKUP(Z121,'BD LUB'!$A$2:$L$223,11,FALSE)="PRÓXIMO",VLOOKUP(Z121,'BD LUB'!$A$2:$L$223,12,FALSE)="PRÓXIMO"),4,IF(OR(AND(VLOOKUP(Z121,'BD LUB'!$A$2:$L$223,11,FALSE)="PRÓXIMO",VLOOKUP(Z121,'BD LUB'!$A$2:$L$223,12,FALSE)="VIGENTE"),AND(VLOOKUP(Z121,'BD LUB'!$A$2:$L$223,11,FALSE)="VIGENTE",VLOOKUP(Z121,'BD LUB'!$A$2:$L$223,12,FALSE)="PRÓXIMO")),5,IF(AND(VLOOKUP(Z121,'BD LUB'!$A$2:$L$223,11,FALSE)="VIGENTE",VLOOKUP(Z121,'BD LUB'!$A$2:$L$223,12,FALSE)="VIGENTE"),6,"No definido"))))))</f>
        <v>#N/A</v>
      </c>
      <c r="AC121" s="78"/>
      <c r="AD121" s="136" t="str">
        <f>IF(VLOOKUP(AC121,'BD LUB'!$A$2:$C$223,3,FALSE)=$AH$20,AC121&amp;" MED",IF(VLOOKUP(AC121,'BD LUB'!$A$2:$C$223,3,FALSE)=$AH$19,AC121&amp;" MAY",IF(VLOOKUP(AC121,'BD LUB'!$A$2:$C$223,3,FALSE)=$AH$18,AC121&amp;" RN",IF(VLOOKUP(AC121,'BD LUB'!$A$2:$C$223,3,FALSE)=$AH$17,AC121&amp;" COPQUI",IF(VLOOKUP(AC121,'BD LUB'!$A$2:$C$223,3,FALSE)=$AH$16,AC121&amp;" CEJ",IF(VLOOKUP(AC121,'BD LUB'!$A$2:$C$223,3,FALSE)=$AH$15,AC121&amp;" BULT",IF(VLOOKUP(AC121,'BD LUB'!$A$2:$C$223,3,FALSE)=$AH$14,AC121&amp;" COP",IF(VLOOKUP(AC121,'BD LUB'!$A$2:$C$223,3,FALSE)=$AH$13,AC121&amp;" RIO",IF(VLOOKUP(AC121,'BD LUB'!$A$2:$C$223,3,FALSE)=$AH$21,AC121&amp;" APART","Dato no encontrado")))))))))</f>
        <v>#N/A</v>
      </c>
      <c r="AE121" s="160"/>
      <c r="AF121" s="160"/>
      <c r="AG121" s="160"/>
      <c r="AH121" s="160"/>
      <c r="AI121" s="160"/>
      <c r="AJ121" s="160"/>
      <c r="AP121" s="160"/>
      <c r="AV121" s="160"/>
    </row>
    <row r="122">
      <c r="A122" s="158"/>
      <c r="B122" s="126">
        <v>119.0</v>
      </c>
      <c r="C122" s="78">
        <f>IFERROR(__xludf.DUMMYFUNCTION("""COMPUTED_VALUE"""),2891.0)</f>
        <v>2891</v>
      </c>
      <c r="D122" s="156">
        <f>IFERROR(__xludf.DUMMYFUNCTION("""COMPUTED_VALUE"""),46242.0)</f>
        <v>46242</v>
      </c>
      <c r="E122" s="78" t="str">
        <f>IFERROR(__xludf.DUMMYFUNCTION("""COMPUTED_VALUE"""),"31-Copacabana")</f>
        <v>31-Copacabana</v>
      </c>
      <c r="F122" s="156">
        <f>IFERROR(__xludf.DUMMYFUNCTION("""COMPUTED_VALUE"""),46107.0)</f>
        <v>46107</v>
      </c>
      <c r="G122" s="159">
        <f>IFERROR(__xludf.DUMMYFUNCTION("""COMPUTED_VALUE"""),71.0)</f>
        <v>71</v>
      </c>
      <c r="H122" s="78" t="str">
        <f>IFERROR(__xludf.DUMMYFUNCTION("""COMPUTED_VALUE"""),"VIGENTE")</f>
        <v>VIGENTE</v>
      </c>
      <c r="I122" s="132" t="str">
        <f t="shared" si="1"/>
        <v>-</v>
      </c>
      <c r="J122" s="158"/>
      <c r="K122" s="126">
        <v>119.0</v>
      </c>
      <c r="L122" s="78">
        <f>IFERROR(__xludf.DUMMYFUNCTION("""COMPUTED_VALUE"""),2893.0)</f>
        <v>2893</v>
      </c>
      <c r="M122" s="156">
        <f>IFERROR(__xludf.DUMMYFUNCTION("""COMPUTED_VALUE"""),46242.0)</f>
        <v>46242</v>
      </c>
      <c r="N122" s="78" t="str">
        <f>IFERROR(__xludf.DUMMYFUNCTION("""COMPUTED_VALUE"""),"31-Copacabana")</f>
        <v>31-Copacabana</v>
      </c>
      <c r="O122" s="156">
        <f>IFERROR(__xludf.DUMMYFUNCTION("""COMPUTED_VALUE"""),46157.0)</f>
        <v>46157</v>
      </c>
      <c r="P122" s="159">
        <f>IFERROR(__xludf.DUMMYFUNCTION("""COMPUTED_VALUE"""),3021.0)</f>
        <v>3021</v>
      </c>
      <c r="Q122" s="78" t="str">
        <f>IFERROR(__xludf.DUMMYFUNCTION("""COMPUTED_VALUE"""),"VIGENTE")</f>
        <v>VIGENTE</v>
      </c>
      <c r="R122" s="132" t="str">
        <f t="shared" si="2"/>
        <v>-</v>
      </c>
      <c r="T122" s="134" t="str">
        <f>CALENDARIO!D134</f>
        <v/>
      </c>
      <c r="U122" s="135" t="str">
        <f>CALENDARIO!C134</f>
        <v/>
      </c>
      <c r="W122" s="78"/>
      <c r="X122" s="136" t="str">
        <f>(VLOOKUP(W122,'BD LUB'!$A$2:$L$223,5,FALSE)/VLOOKUP(W122,'BD LUB'!$A$2:$L$223,7,FALSE))+(VLOOKUP(W122,'BD LUB'!$A$2:$L$223,6,FALSE)/VLOOKUP(W122,'BD LUB'!$A$2:$L$223,8,FALSE))</f>
        <v>#N/A</v>
      </c>
      <c r="Y122" s="137" t="str">
        <f>IF(AND(VLOOKUP(W122,'BD LUB'!$A$2:$L$223,11,FALSE)="PASADO",VLOOKUP(W122,'BD LUB'!$A$2:$L$223,12,FALSE)="PASADO"),1,IF(OR(AND(VLOOKUP(W122,'BD LUB'!$A$2:$L$223,11,FALSE)="PASADO",VLOOKUP(W122,'BD LUB'!$A$2:$L$223,12,FALSE)="PRÓXIMO"),AND(VLOOKUP(W122,'BD LUB'!$A$2:$L$223,11,FALSE)="PRÓXIMO",VLOOKUP(W122,'BD LUB'!$A$2:$L$223,12,FALSE)="PASADO")),2,IF(OR(AND(VLOOKUP(W122,'BD LUB'!$A$2:$L$223,11,FALSE)="PASADO",VLOOKUP(W122,'BD LUB'!$A$2:$L$223,12,FALSE)="VIGENTE"),AND(VLOOKUP(W122,'BD LUB'!$A$2:$L$223,11,FALSE)="VIGENTE",VLOOKUP(W122,'BD LUB'!$A$2:$L$223,12,FALSE)="PASADO")),3,IF(AND(VLOOKUP(W122,'BD LUB'!$A$2:$L$223,11,FALSE)="PRÓXIMO",VLOOKUP(W122,'BD LUB'!$A$2:$L$223,12,FALSE)="PRÓXIMO"),4,IF(OR(AND(VLOOKUP(W122,'BD LUB'!$A$2:$L$223,11,FALSE)="PRÓXIMO",VLOOKUP(W122,'BD LUB'!$A$2:$L$223,12,FALSE)="VIGENTE"),AND(VLOOKUP(W122,'BD LUB'!$A$2:$L$223,11,FALSE)="VIGENTE",VLOOKUP(W122,'BD LUB'!$A$2:$L$223,12,FALSE)="PRÓXIMO")),5,IF(AND(VLOOKUP(W122,'BD LUB'!$A$2:$L$223,11,FALSE)="VIGENTE",VLOOKUP(W122,'BD LUB'!$A$2:$L$223,12,FALSE)="VIGENTE"),6,"No definido"))))))</f>
        <v>#N/A</v>
      </c>
      <c r="Z122" s="138"/>
      <c r="AA122" s="139" t="str">
        <f>(VLOOKUP(Z122,'BD LUB'!$A$2:$L$223,5,FALSE)/VLOOKUP(Z122,'BD LUB'!$A$2:$L$223,7,FALSE))+(VLOOKUP(Z122,'BD LUB'!$A$2:$L$223,6,FALSE)/VLOOKUP(Z122,'BD LUB'!$A$2:$L$223,8,FALSE))</f>
        <v>#N/A</v>
      </c>
      <c r="AB122" s="78" t="str">
        <f>IF(AND(VLOOKUP(Z122,'BD LUB'!$A$2:$L$223,11,FALSE)="PASADO",VLOOKUP(Z122,'BD LUB'!$A$2:$L$223,12,FALSE)="PASADO"),1,IF(OR(AND(VLOOKUP(Z122,'BD LUB'!$A$2:$L$223,11,FALSE)="PASADO",VLOOKUP(Z122,'BD LUB'!$A$2:$L$223,12,FALSE)="PRÓXIMO"),AND(VLOOKUP(Z122,'BD LUB'!$A$2:$L$223,11,FALSE)="PRÓXIMO",VLOOKUP(Z122,'BD LUB'!$A$2:$L$223,12,FALSE)="PASADO")),2,IF(OR(AND(VLOOKUP(Z122,'BD LUB'!$A$2:$L$223,11,FALSE)="PASADO",VLOOKUP(Z122,'BD LUB'!$A$2:$L$223,12,FALSE)="VIGENTE"),AND(VLOOKUP(Z122,'BD LUB'!$A$2:$L$223,11,FALSE)="VIGENTE",VLOOKUP(Z122,'BD LUB'!$A$2:$L$223,12,FALSE)="PASADO")),3,IF(AND(VLOOKUP(Z122,'BD LUB'!$A$2:$L$223,11,FALSE)="PRÓXIMO",VLOOKUP(Z122,'BD LUB'!$A$2:$L$223,12,FALSE)="PRÓXIMO"),4,IF(OR(AND(VLOOKUP(Z122,'BD LUB'!$A$2:$L$223,11,FALSE)="PRÓXIMO",VLOOKUP(Z122,'BD LUB'!$A$2:$L$223,12,FALSE)="VIGENTE"),AND(VLOOKUP(Z122,'BD LUB'!$A$2:$L$223,11,FALSE)="VIGENTE",VLOOKUP(Z122,'BD LUB'!$A$2:$L$223,12,FALSE)="PRÓXIMO")),5,IF(AND(VLOOKUP(Z122,'BD LUB'!$A$2:$L$223,11,FALSE)="VIGENTE",VLOOKUP(Z122,'BD LUB'!$A$2:$L$223,12,FALSE)="VIGENTE"),6,"No definido"))))))</f>
        <v>#N/A</v>
      </c>
      <c r="AC122" s="78"/>
      <c r="AD122" s="136" t="str">
        <f>IF(VLOOKUP(AC122,'BD LUB'!$A$2:$C$223,3,FALSE)=$AH$20,AC122&amp;" MED",IF(VLOOKUP(AC122,'BD LUB'!$A$2:$C$223,3,FALSE)=$AH$19,AC122&amp;" MAY",IF(VLOOKUP(AC122,'BD LUB'!$A$2:$C$223,3,FALSE)=$AH$18,AC122&amp;" RN",IF(VLOOKUP(AC122,'BD LUB'!$A$2:$C$223,3,FALSE)=$AH$17,AC122&amp;" COPQUI",IF(VLOOKUP(AC122,'BD LUB'!$A$2:$C$223,3,FALSE)=$AH$16,AC122&amp;" CEJ",IF(VLOOKUP(AC122,'BD LUB'!$A$2:$C$223,3,FALSE)=$AH$15,AC122&amp;" BULT",IF(VLOOKUP(AC122,'BD LUB'!$A$2:$C$223,3,FALSE)=$AH$14,AC122&amp;" COP",IF(VLOOKUP(AC122,'BD LUB'!$A$2:$C$223,3,FALSE)=$AH$13,AC122&amp;" RIO",IF(VLOOKUP(AC122,'BD LUB'!$A$2:$C$223,3,FALSE)=$AH$21,AC122&amp;" APART","Dato no encontrado")))))))))</f>
        <v>#N/A</v>
      </c>
      <c r="AE122" s="160"/>
      <c r="AF122" s="160"/>
      <c r="AG122" s="160"/>
      <c r="AH122" s="160"/>
      <c r="AI122" s="160"/>
      <c r="AJ122" s="160"/>
      <c r="AP122" s="160"/>
      <c r="AV122" s="160"/>
    </row>
    <row r="123">
      <c r="A123" s="158"/>
      <c r="B123" s="126">
        <v>120.0</v>
      </c>
      <c r="C123" s="78">
        <f>IFERROR(__xludf.DUMMYFUNCTION("""COMPUTED_VALUE"""),2849.0)</f>
        <v>2849</v>
      </c>
      <c r="D123" s="156">
        <f>IFERROR(__xludf.DUMMYFUNCTION("""COMPUTED_VALUE"""),46570.0)</f>
        <v>46570</v>
      </c>
      <c r="E123" s="78" t="str">
        <f>IFERROR(__xludf.DUMMYFUNCTION("""COMPUTED_VALUE"""),"24-Rionegro")</f>
        <v>24-Rionegro</v>
      </c>
      <c r="F123" s="156">
        <f>IFERROR(__xludf.DUMMYFUNCTION("""COMPUTED_VALUE"""),46107.0)</f>
        <v>46107</v>
      </c>
      <c r="G123" s="159">
        <f>IFERROR(__xludf.DUMMYFUNCTION("""COMPUTED_VALUE"""),71.0)</f>
        <v>71</v>
      </c>
      <c r="H123" s="78" t="str">
        <f>IFERROR(__xludf.DUMMYFUNCTION("""COMPUTED_VALUE"""),"VIGENTE")</f>
        <v>VIGENTE</v>
      </c>
      <c r="I123" s="132" t="str">
        <f t="shared" si="1"/>
        <v>-</v>
      </c>
      <c r="J123" s="158"/>
      <c r="K123" s="126">
        <v>120.0</v>
      </c>
      <c r="L123" s="78">
        <f>IFERROR(__xludf.DUMMYFUNCTION("""COMPUTED_VALUE"""),1798.0)</f>
        <v>1798</v>
      </c>
      <c r="M123" s="156">
        <f>IFERROR(__xludf.DUMMYFUNCTION("""COMPUTED_VALUE"""),46565.0)</f>
        <v>46565</v>
      </c>
      <c r="N123" s="78" t="str">
        <f>IFERROR(__xludf.DUMMYFUNCTION("""COMPUTED_VALUE"""),"02-Medellin")</f>
        <v>02-Medellin</v>
      </c>
      <c r="O123" s="156">
        <f>IFERROR(__xludf.DUMMYFUNCTION("""COMPUTED_VALUE"""),46161.0)</f>
        <v>46161</v>
      </c>
      <c r="P123" s="159">
        <f>IFERROR(__xludf.DUMMYFUNCTION("""COMPUTED_VALUE"""),3176.8)</f>
        <v>3176.8</v>
      </c>
      <c r="Q123" s="78" t="str">
        <f>IFERROR(__xludf.DUMMYFUNCTION("""COMPUTED_VALUE"""),"VIGENTE")</f>
        <v>VIGENTE</v>
      </c>
      <c r="R123" s="132" t="str">
        <f t="shared" si="2"/>
        <v>-</v>
      </c>
      <c r="T123" s="134" t="str">
        <f>CALENDARIO!D135</f>
        <v/>
      </c>
      <c r="U123" s="135" t="str">
        <f>CALENDARIO!C135</f>
        <v/>
      </c>
      <c r="W123" s="78"/>
      <c r="X123" s="136" t="str">
        <f>(VLOOKUP(W123,'BD LUB'!$A$2:$L$223,5,FALSE)/VLOOKUP(W123,'BD LUB'!$A$2:$L$223,7,FALSE))+(VLOOKUP(W123,'BD LUB'!$A$2:$L$223,6,FALSE)/VLOOKUP(W123,'BD LUB'!$A$2:$L$223,8,FALSE))</f>
        <v>#N/A</v>
      </c>
      <c r="Y123" s="137" t="str">
        <f>IF(AND(VLOOKUP(W123,'BD LUB'!$A$2:$L$223,11,FALSE)="PASADO",VLOOKUP(W123,'BD LUB'!$A$2:$L$223,12,FALSE)="PASADO"),1,IF(OR(AND(VLOOKUP(W123,'BD LUB'!$A$2:$L$223,11,FALSE)="PASADO",VLOOKUP(W123,'BD LUB'!$A$2:$L$223,12,FALSE)="PRÓXIMO"),AND(VLOOKUP(W123,'BD LUB'!$A$2:$L$223,11,FALSE)="PRÓXIMO",VLOOKUP(W123,'BD LUB'!$A$2:$L$223,12,FALSE)="PASADO")),2,IF(OR(AND(VLOOKUP(W123,'BD LUB'!$A$2:$L$223,11,FALSE)="PASADO",VLOOKUP(W123,'BD LUB'!$A$2:$L$223,12,FALSE)="VIGENTE"),AND(VLOOKUP(W123,'BD LUB'!$A$2:$L$223,11,FALSE)="VIGENTE",VLOOKUP(W123,'BD LUB'!$A$2:$L$223,12,FALSE)="PASADO")),3,IF(AND(VLOOKUP(W123,'BD LUB'!$A$2:$L$223,11,FALSE)="PRÓXIMO",VLOOKUP(W123,'BD LUB'!$A$2:$L$223,12,FALSE)="PRÓXIMO"),4,IF(OR(AND(VLOOKUP(W123,'BD LUB'!$A$2:$L$223,11,FALSE)="PRÓXIMO",VLOOKUP(W123,'BD LUB'!$A$2:$L$223,12,FALSE)="VIGENTE"),AND(VLOOKUP(W123,'BD LUB'!$A$2:$L$223,11,FALSE)="VIGENTE",VLOOKUP(W123,'BD LUB'!$A$2:$L$223,12,FALSE)="PRÓXIMO")),5,IF(AND(VLOOKUP(W123,'BD LUB'!$A$2:$L$223,11,FALSE)="VIGENTE",VLOOKUP(W123,'BD LUB'!$A$2:$L$223,12,FALSE)="VIGENTE"),6,"No definido"))))))</f>
        <v>#N/A</v>
      </c>
      <c r="Z123" s="138"/>
      <c r="AA123" s="139" t="str">
        <f>(VLOOKUP(Z123,'BD LUB'!$A$2:$L$223,5,FALSE)/VLOOKUP(Z123,'BD LUB'!$A$2:$L$223,7,FALSE))+(VLOOKUP(Z123,'BD LUB'!$A$2:$L$223,6,FALSE)/VLOOKUP(Z123,'BD LUB'!$A$2:$L$223,8,FALSE))</f>
        <v>#N/A</v>
      </c>
      <c r="AB123" s="78" t="str">
        <f>IF(AND(VLOOKUP(Z123,'BD LUB'!$A$2:$L$223,11,FALSE)="PASADO",VLOOKUP(Z123,'BD LUB'!$A$2:$L$223,12,FALSE)="PASADO"),1,IF(OR(AND(VLOOKUP(Z123,'BD LUB'!$A$2:$L$223,11,FALSE)="PASADO",VLOOKUP(Z123,'BD LUB'!$A$2:$L$223,12,FALSE)="PRÓXIMO"),AND(VLOOKUP(Z123,'BD LUB'!$A$2:$L$223,11,FALSE)="PRÓXIMO",VLOOKUP(Z123,'BD LUB'!$A$2:$L$223,12,FALSE)="PASADO")),2,IF(OR(AND(VLOOKUP(Z123,'BD LUB'!$A$2:$L$223,11,FALSE)="PASADO",VLOOKUP(Z123,'BD LUB'!$A$2:$L$223,12,FALSE)="VIGENTE"),AND(VLOOKUP(Z123,'BD LUB'!$A$2:$L$223,11,FALSE)="VIGENTE",VLOOKUP(Z123,'BD LUB'!$A$2:$L$223,12,FALSE)="PASADO")),3,IF(AND(VLOOKUP(Z123,'BD LUB'!$A$2:$L$223,11,FALSE)="PRÓXIMO",VLOOKUP(Z123,'BD LUB'!$A$2:$L$223,12,FALSE)="PRÓXIMO"),4,IF(OR(AND(VLOOKUP(Z123,'BD LUB'!$A$2:$L$223,11,FALSE)="PRÓXIMO",VLOOKUP(Z123,'BD LUB'!$A$2:$L$223,12,FALSE)="VIGENTE"),AND(VLOOKUP(Z123,'BD LUB'!$A$2:$L$223,11,FALSE)="VIGENTE",VLOOKUP(Z123,'BD LUB'!$A$2:$L$223,12,FALSE)="PRÓXIMO")),5,IF(AND(VLOOKUP(Z123,'BD LUB'!$A$2:$L$223,11,FALSE)="VIGENTE",VLOOKUP(Z123,'BD LUB'!$A$2:$L$223,12,FALSE)="VIGENTE"),6,"No definido"))))))</f>
        <v>#N/A</v>
      </c>
      <c r="AC123" s="78"/>
      <c r="AD123" s="136" t="str">
        <f>IF(VLOOKUP(AC123,'BD LUB'!$A$2:$C$223,3,FALSE)=$AH$20,AC123&amp;" MED",IF(VLOOKUP(AC123,'BD LUB'!$A$2:$C$223,3,FALSE)=$AH$19,AC123&amp;" MAY",IF(VLOOKUP(AC123,'BD LUB'!$A$2:$C$223,3,FALSE)=$AH$18,AC123&amp;" RN",IF(VLOOKUP(AC123,'BD LUB'!$A$2:$C$223,3,FALSE)=$AH$17,AC123&amp;" COPQUI",IF(VLOOKUP(AC123,'BD LUB'!$A$2:$C$223,3,FALSE)=$AH$16,AC123&amp;" CEJ",IF(VLOOKUP(AC123,'BD LUB'!$A$2:$C$223,3,FALSE)=$AH$15,AC123&amp;" BULT",IF(VLOOKUP(AC123,'BD LUB'!$A$2:$C$223,3,FALSE)=$AH$14,AC123&amp;" COP",IF(VLOOKUP(AC123,'BD LUB'!$A$2:$C$223,3,FALSE)=$AH$13,AC123&amp;" RIO",IF(VLOOKUP(AC123,'BD LUB'!$A$2:$C$223,3,FALSE)=$AH$21,AC123&amp;" APART","Dato no encontrado")))))))))</f>
        <v>#N/A</v>
      </c>
      <c r="AE123" s="160"/>
      <c r="AF123" s="160"/>
      <c r="AG123" s="160"/>
      <c r="AH123" s="160"/>
      <c r="AI123" s="160"/>
      <c r="AJ123" s="160"/>
      <c r="AP123" s="160"/>
      <c r="AV123" s="160"/>
    </row>
    <row r="124">
      <c r="A124" s="158"/>
      <c r="B124" s="126">
        <v>121.0</v>
      </c>
      <c r="C124" s="78">
        <f>IFERROR(__xludf.DUMMYFUNCTION("""COMPUTED_VALUE"""),2455.0)</f>
        <v>2455</v>
      </c>
      <c r="D124" s="156">
        <f>IFERROR(__xludf.DUMMYFUNCTION("""COMPUTED_VALUE"""),46298.0)</f>
        <v>46298</v>
      </c>
      <c r="E124" s="78" t="str">
        <f>IFERROR(__xludf.DUMMYFUNCTION("""COMPUTED_VALUE"""),"02-Medellin")</f>
        <v>02-Medellin</v>
      </c>
      <c r="F124" s="156">
        <f>IFERROR(__xludf.DUMMYFUNCTION("""COMPUTED_VALUE"""),46107.0)</f>
        <v>46107</v>
      </c>
      <c r="G124" s="159">
        <f>IFERROR(__xludf.DUMMYFUNCTION("""COMPUTED_VALUE"""),71.0)</f>
        <v>71</v>
      </c>
      <c r="H124" s="78" t="str">
        <f>IFERROR(__xludf.DUMMYFUNCTION("""COMPUTED_VALUE"""),"VIGENTE")</f>
        <v>VIGENTE</v>
      </c>
      <c r="I124" s="132" t="str">
        <f t="shared" si="1"/>
        <v>-</v>
      </c>
      <c r="J124" s="158"/>
      <c r="K124" s="126">
        <v>121.0</v>
      </c>
      <c r="L124" s="78">
        <f>IFERROR(__xludf.DUMMYFUNCTION("""COMPUTED_VALUE"""),2866.0)</f>
        <v>2866</v>
      </c>
      <c r="M124" s="156">
        <f>IFERROR(__xludf.DUMMYFUNCTION("""COMPUTED_VALUE"""),46221.0)</f>
        <v>46221</v>
      </c>
      <c r="N124" s="78" t="str">
        <f>IFERROR(__xludf.DUMMYFUNCTION("""COMPUTED_VALUE"""),"02-Medellin")</f>
        <v>02-Medellin</v>
      </c>
      <c r="O124" s="156">
        <f>IFERROR(__xludf.DUMMYFUNCTION("""COMPUTED_VALUE"""),46156.0)</f>
        <v>46156</v>
      </c>
      <c r="P124" s="159">
        <f>IFERROR(__xludf.DUMMYFUNCTION("""COMPUTED_VALUE"""),3246.0)</f>
        <v>3246</v>
      </c>
      <c r="Q124" s="78" t="str">
        <f>IFERROR(__xludf.DUMMYFUNCTION("""COMPUTED_VALUE"""),"VIGENTE")</f>
        <v>VIGENTE</v>
      </c>
      <c r="R124" s="132" t="str">
        <f t="shared" si="2"/>
        <v>-</v>
      </c>
      <c r="T124" s="134" t="str">
        <f>CALENDARIO!D136</f>
        <v/>
      </c>
      <c r="U124" s="135" t="str">
        <f>CALENDARIO!C136</f>
        <v/>
      </c>
      <c r="W124" s="78"/>
      <c r="X124" s="136" t="str">
        <f>(VLOOKUP(W124,'BD LUB'!$A$2:$L$223,5,FALSE)/VLOOKUP(W124,'BD LUB'!$A$2:$L$223,7,FALSE))+(VLOOKUP(W124,'BD LUB'!$A$2:$L$223,6,FALSE)/VLOOKUP(W124,'BD LUB'!$A$2:$L$223,8,FALSE))</f>
        <v>#N/A</v>
      </c>
      <c r="Y124" s="137" t="str">
        <f>IF(AND(VLOOKUP(W124,'BD LUB'!$A$2:$L$223,11,FALSE)="PASADO",VLOOKUP(W124,'BD LUB'!$A$2:$L$223,12,FALSE)="PASADO"),1,IF(OR(AND(VLOOKUP(W124,'BD LUB'!$A$2:$L$223,11,FALSE)="PASADO",VLOOKUP(W124,'BD LUB'!$A$2:$L$223,12,FALSE)="PRÓXIMO"),AND(VLOOKUP(W124,'BD LUB'!$A$2:$L$223,11,FALSE)="PRÓXIMO",VLOOKUP(W124,'BD LUB'!$A$2:$L$223,12,FALSE)="PASADO")),2,IF(OR(AND(VLOOKUP(W124,'BD LUB'!$A$2:$L$223,11,FALSE)="PASADO",VLOOKUP(W124,'BD LUB'!$A$2:$L$223,12,FALSE)="VIGENTE"),AND(VLOOKUP(W124,'BD LUB'!$A$2:$L$223,11,FALSE)="VIGENTE",VLOOKUP(W124,'BD LUB'!$A$2:$L$223,12,FALSE)="PASADO")),3,IF(AND(VLOOKUP(W124,'BD LUB'!$A$2:$L$223,11,FALSE)="PRÓXIMO",VLOOKUP(W124,'BD LUB'!$A$2:$L$223,12,FALSE)="PRÓXIMO"),4,IF(OR(AND(VLOOKUP(W124,'BD LUB'!$A$2:$L$223,11,FALSE)="PRÓXIMO",VLOOKUP(W124,'BD LUB'!$A$2:$L$223,12,FALSE)="VIGENTE"),AND(VLOOKUP(W124,'BD LUB'!$A$2:$L$223,11,FALSE)="VIGENTE",VLOOKUP(W124,'BD LUB'!$A$2:$L$223,12,FALSE)="PRÓXIMO")),5,IF(AND(VLOOKUP(W124,'BD LUB'!$A$2:$L$223,11,FALSE)="VIGENTE",VLOOKUP(W124,'BD LUB'!$A$2:$L$223,12,FALSE)="VIGENTE"),6,"No definido"))))))</f>
        <v>#N/A</v>
      </c>
      <c r="Z124" s="138"/>
      <c r="AA124" s="139" t="str">
        <f>(VLOOKUP(Z124,'BD LUB'!$A$2:$L$223,5,FALSE)/VLOOKUP(Z124,'BD LUB'!$A$2:$L$223,7,FALSE))+(VLOOKUP(Z124,'BD LUB'!$A$2:$L$223,6,FALSE)/VLOOKUP(Z124,'BD LUB'!$A$2:$L$223,8,FALSE))</f>
        <v>#N/A</v>
      </c>
      <c r="AB124" s="78" t="str">
        <f>IF(AND(VLOOKUP(Z124,'BD LUB'!$A$2:$L$223,11,FALSE)="PASADO",VLOOKUP(Z124,'BD LUB'!$A$2:$L$223,12,FALSE)="PASADO"),1,IF(OR(AND(VLOOKUP(Z124,'BD LUB'!$A$2:$L$223,11,FALSE)="PASADO",VLOOKUP(Z124,'BD LUB'!$A$2:$L$223,12,FALSE)="PRÓXIMO"),AND(VLOOKUP(Z124,'BD LUB'!$A$2:$L$223,11,FALSE)="PRÓXIMO",VLOOKUP(Z124,'BD LUB'!$A$2:$L$223,12,FALSE)="PASADO")),2,IF(OR(AND(VLOOKUP(Z124,'BD LUB'!$A$2:$L$223,11,FALSE)="PASADO",VLOOKUP(Z124,'BD LUB'!$A$2:$L$223,12,FALSE)="VIGENTE"),AND(VLOOKUP(Z124,'BD LUB'!$A$2:$L$223,11,FALSE)="VIGENTE",VLOOKUP(Z124,'BD LUB'!$A$2:$L$223,12,FALSE)="PASADO")),3,IF(AND(VLOOKUP(Z124,'BD LUB'!$A$2:$L$223,11,FALSE)="PRÓXIMO",VLOOKUP(Z124,'BD LUB'!$A$2:$L$223,12,FALSE)="PRÓXIMO"),4,IF(OR(AND(VLOOKUP(Z124,'BD LUB'!$A$2:$L$223,11,FALSE)="PRÓXIMO",VLOOKUP(Z124,'BD LUB'!$A$2:$L$223,12,FALSE)="VIGENTE"),AND(VLOOKUP(Z124,'BD LUB'!$A$2:$L$223,11,FALSE)="VIGENTE",VLOOKUP(Z124,'BD LUB'!$A$2:$L$223,12,FALSE)="PRÓXIMO")),5,IF(AND(VLOOKUP(Z124,'BD LUB'!$A$2:$L$223,11,FALSE)="VIGENTE",VLOOKUP(Z124,'BD LUB'!$A$2:$L$223,12,FALSE)="VIGENTE"),6,"No definido"))))))</f>
        <v>#N/A</v>
      </c>
      <c r="AC124" s="78"/>
      <c r="AD124" s="136" t="str">
        <f>IF(VLOOKUP(AC124,'BD LUB'!$A$2:$C$223,3,FALSE)=$AH$20,AC124&amp;" MED",IF(VLOOKUP(AC124,'BD LUB'!$A$2:$C$223,3,FALSE)=$AH$19,AC124&amp;" MAY",IF(VLOOKUP(AC124,'BD LUB'!$A$2:$C$223,3,FALSE)=$AH$18,AC124&amp;" RN",IF(VLOOKUP(AC124,'BD LUB'!$A$2:$C$223,3,FALSE)=$AH$17,AC124&amp;" COPQUI",IF(VLOOKUP(AC124,'BD LUB'!$A$2:$C$223,3,FALSE)=$AH$16,AC124&amp;" CEJ",IF(VLOOKUP(AC124,'BD LUB'!$A$2:$C$223,3,FALSE)=$AH$15,AC124&amp;" BULT",IF(VLOOKUP(AC124,'BD LUB'!$A$2:$C$223,3,FALSE)=$AH$14,AC124&amp;" COP",IF(VLOOKUP(AC124,'BD LUB'!$A$2:$C$223,3,FALSE)=$AH$13,AC124&amp;" RIO",IF(VLOOKUP(AC124,'BD LUB'!$A$2:$C$223,3,FALSE)=$AH$21,AC124&amp;" APART","Dato no encontrado")))))))))</f>
        <v>#N/A</v>
      </c>
      <c r="AE124" s="160"/>
      <c r="AF124" s="160"/>
      <c r="AG124" s="160"/>
      <c r="AH124" s="160"/>
      <c r="AI124" s="160"/>
      <c r="AJ124" s="160"/>
      <c r="AP124" s="160"/>
      <c r="AV124" s="160"/>
    </row>
    <row r="125">
      <c r="A125" s="158"/>
      <c r="B125" s="126">
        <v>122.0</v>
      </c>
      <c r="C125" s="78">
        <f>IFERROR(__xludf.DUMMYFUNCTION("""COMPUTED_VALUE"""),2920.0)</f>
        <v>2920</v>
      </c>
      <c r="D125" s="156">
        <f>IFERROR(__xludf.DUMMYFUNCTION("""COMPUTED_VALUE"""),46317.0)</f>
        <v>46317</v>
      </c>
      <c r="E125" s="78" t="str">
        <f>IFERROR(__xludf.DUMMYFUNCTION("""COMPUTED_VALUE"""),"31-Copacabana")</f>
        <v>31-Copacabana</v>
      </c>
      <c r="F125" s="156">
        <f>IFERROR(__xludf.DUMMYFUNCTION("""COMPUTED_VALUE"""),46108.0)</f>
        <v>46108</v>
      </c>
      <c r="G125" s="159">
        <f>IFERROR(__xludf.DUMMYFUNCTION("""COMPUTED_VALUE"""),72.0)</f>
        <v>72</v>
      </c>
      <c r="H125" s="78" t="str">
        <f>IFERROR(__xludf.DUMMYFUNCTION("""COMPUTED_VALUE"""),"VIGENTE")</f>
        <v>VIGENTE</v>
      </c>
      <c r="I125" s="132" t="str">
        <f t="shared" si="1"/>
        <v>-</v>
      </c>
      <c r="J125" s="158"/>
      <c r="K125" s="126">
        <v>122.0</v>
      </c>
      <c r="L125" s="78">
        <f>IFERROR(__xludf.DUMMYFUNCTION("""COMPUTED_VALUE"""),2198.0)</f>
        <v>2198</v>
      </c>
      <c r="M125" s="156">
        <f>IFERROR(__xludf.DUMMYFUNCTION("""COMPUTED_VALUE"""),46515.0)</f>
        <v>46515</v>
      </c>
      <c r="N125" s="78" t="str">
        <f>IFERROR(__xludf.DUMMYFUNCTION("""COMPUTED_VALUE"""),"02-Medellin")</f>
        <v>02-Medellin</v>
      </c>
      <c r="O125" s="156">
        <f>IFERROR(__xludf.DUMMYFUNCTION("""COMPUTED_VALUE"""),46028.0)</f>
        <v>46028</v>
      </c>
      <c r="P125" s="159">
        <f>IFERROR(__xludf.DUMMYFUNCTION("""COMPUTED_VALUE"""),3417.0)</f>
        <v>3417</v>
      </c>
      <c r="Q125" s="78" t="str">
        <f>IFERROR(__xludf.DUMMYFUNCTION("""COMPUTED_VALUE"""),"VIGENTE")</f>
        <v>VIGENTE</v>
      </c>
      <c r="R125" s="132" t="str">
        <f t="shared" si="2"/>
        <v>-</v>
      </c>
      <c r="T125" s="134" t="str">
        <f>CALENDARIO!D137</f>
        <v/>
      </c>
      <c r="U125" s="135" t="str">
        <f>CALENDARIO!C137</f>
        <v/>
      </c>
      <c r="W125" s="78"/>
      <c r="X125" s="136" t="str">
        <f>(VLOOKUP(W125,'BD LUB'!$A$2:$L$223,5,FALSE)/VLOOKUP(W125,'BD LUB'!$A$2:$L$223,7,FALSE))+(VLOOKUP(W125,'BD LUB'!$A$2:$L$223,6,FALSE)/VLOOKUP(W125,'BD LUB'!$A$2:$L$223,8,FALSE))</f>
        <v>#N/A</v>
      </c>
      <c r="Y125" s="137" t="str">
        <f>IF(AND(VLOOKUP(W125,'BD LUB'!$A$2:$L$223,11,FALSE)="PASADO",VLOOKUP(W125,'BD LUB'!$A$2:$L$223,12,FALSE)="PASADO"),1,IF(OR(AND(VLOOKUP(W125,'BD LUB'!$A$2:$L$223,11,FALSE)="PASADO",VLOOKUP(W125,'BD LUB'!$A$2:$L$223,12,FALSE)="PRÓXIMO"),AND(VLOOKUP(W125,'BD LUB'!$A$2:$L$223,11,FALSE)="PRÓXIMO",VLOOKUP(W125,'BD LUB'!$A$2:$L$223,12,FALSE)="PASADO")),2,IF(OR(AND(VLOOKUP(W125,'BD LUB'!$A$2:$L$223,11,FALSE)="PASADO",VLOOKUP(W125,'BD LUB'!$A$2:$L$223,12,FALSE)="VIGENTE"),AND(VLOOKUP(W125,'BD LUB'!$A$2:$L$223,11,FALSE)="VIGENTE",VLOOKUP(W125,'BD LUB'!$A$2:$L$223,12,FALSE)="PASADO")),3,IF(AND(VLOOKUP(W125,'BD LUB'!$A$2:$L$223,11,FALSE)="PRÓXIMO",VLOOKUP(W125,'BD LUB'!$A$2:$L$223,12,FALSE)="PRÓXIMO"),4,IF(OR(AND(VLOOKUP(W125,'BD LUB'!$A$2:$L$223,11,FALSE)="PRÓXIMO",VLOOKUP(W125,'BD LUB'!$A$2:$L$223,12,FALSE)="VIGENTE"),AND(VLOOKUP(W125,'BD LUB'!$A$2:$L$223,11,FALSE)="VIGENTE",VLOOKUP(W125,'BD LUB'!$A$2:$L$223,12,FALSE)="PRÓXIMO")),5,IF(AND(VLOOKUP(W125,'BD LUB'!$A$2:$L$223,11,FALSE)="VIGENTE",VLOOKUP(W125,'BD LUB'!$A$2:$L$223,12,FALSE)="VIGENTE"),6,"No definido"))))))</f>
        <v>#N/A</v>
      </c>
      <c r="Z125" s="138"/>
      <c r="AA125" s="139" t="str">
        <f>(VLOOKUP(Z125,'BD LUB'!$A$2:$L$223,5,FALSE)/VLOOKUP(Z125,'BD LUB'!$A$2:$L$223,7,FALSE))+(VLOOKUP(Z125,'BD LUB'!$A$2:$L$223,6,FALSE)/VLOOKUP(Z125,'BD LUB'!$A$2:$L$223,8,FALSE))</f>
        <v>#N/A</v>
      </c>
      <c r="AB125" s="78" t="str">
        <f>IF(AND(VLOOKUP(Z125,'BD LUB'!$A$2:$L$223,11,FALSE)="PASADO",VLOOKUP(Z125,'BD LUB'!$A$2:$L$223,12,FALSE)="PASADO"),1,IF(OR(AND(VLOOKUP(Z125,'BD LUB'!$A$2:$L$223,11,FALSE)="PASADO",VLOOKUP(Z125,'BD LUB'!$A$2:$L$223,12,FALSE)="PRÓXIMO"),AND(VLOOKUP(Z125,'BD LUB'!$A$2:$L$223,11,FALSE)="PRÓXIMO",VLOOKUP(Z125,'BD LUB'!$A$2:$L$223,12,FALSE)="PASADO")),2,IF(OR(AND(VLOOKUP(Z125,'BD LUB'!$A$2:$L$223,11,FALSE)="PASADO",VLOOKUP(Z125,'BD LUB'!$A$2:$L$223,12,FALSE)="VIGENTE"),AND(VLOOKUP(Z125,'BD LUB'!$A$2:$L$223,11,FALSE)="VIGENTE",VLOOKUP(Z125,'BD LUB'!$A$2:$L$223,12,FALSE)="PASADO")),3,IF(AND(VLOOKUP(Z125,'BD LUB'!$A$2:$L$223,11,FALSE)="PRÓXIMO",VLOOKUP(Z125,'BD LUB'!$A$2:$L$223,12,FALSE)="PRÓXIMO"),4,IF(OR(AND(VLOOKUP(Z125,'BD LUB'!$A$2:$L$223,11,FALSE)="PRÓXIMO",VLOOKUP(Z125,'BD LUB'!$A$2:$L$223,12,FALSE)="VIGENTE"),AND(VLOOKUP(Z125,'BD LUB'!$A$2:$L$223,11,FALSE)="VIGENTE",VLOOKUP(Z125,'BD LUB'!$A$2:$L$223,12,FALSE)="PRÓXIMO")),5,IF(AND(VLOOKUP(Z125,'BD LUB'!$A$2:$L$223,11,FALSE)="VIGENTE",VLOOKUP(Z125,'BD LUB'!$A$2:$L$223,12,FALSE)="VIGENTE"),6,"No definido"))))))</f>
        <v>#N/A</v>
      </c>
      <c r="AC125" s="78"/>
      <c r="AD125" s="136" t="str">
        <f>IF(VLOOKUP(AC125,'BD LUB'!$A$2:$C$223,3,FALSE)=$AH$20,AC125&amp;" MED",IF(VLOOKUP(AC125,'BD LUB'!$A$2:$C$223,3,FALSE)=$AH$19,AC125&amp;" MAY",IF(VLOOKUP(AC125,'BD LUB'!$A$2:$C$223,3,FALSE)=$AH$18,AC125&amp;" RN",IF(VLOOKUP(AC125,'BD LUB'!$A$2:$C$223,3,FALSE)=$AH$17,AC125&amp;" COPQUI",IF(VLOOKUP(AC125,'BD LUB'!$A$2:$C$223,3,FALSE)=$AH$16,AC125&amp;" CEJ",IF(VLOOKUP(AC125,'BD LUB'!$A$2:$C$223,3,FALSE)=$AH$15,AC125&amp;" BULT",IF(VLOOKUP(AC125,'BD LUB'!$A$2:$C$223,3,FALSE)=$AH$14,AC125&amp;" COP",IF(VLOOKUP(AC125,'BD LUB'!$A$2:$C$223,3,FALSE)=$AH$13,AC125&amp;" RIO",IF(VLOOKUP(AC125,'BD LUB'!$A$2:$C$223,3,FALSE)=$AH$21,AC125&amp;" APART","Dato no encontrado")))))))))</f>
        <v>#N/A</v>
      </c>
      <c r="AE125" s="160"/>
      <c r="AF125" s="160"/>
      <c r="AG125" s="160"/>
      <c r="AH125" s="160"/>
      <c r="AI125" s="160"/>
      <c r="AJ125" s="160"/>
      <c r="AP125" s="160"/>
      <c r="AV125" s="160"/>
    </row>
    <row r="126">
      <c r="A126" s="158"/>
      <c r="B126" s="126">
        <v>123.0</v>
      </c>
      <c r="C126" s="78">
        <f>IFERROR(__xludf.DUMMYFUNCTION("""COMPUTED_VALUE"""),2195.0)</f>
        <v>2195</v>
      </c>
      <c r="D126" s="156">
        <f>IFERROR(__xludf.DUMMYFUNCTION("""COMPUTED_VALUE"""),46544.0)</f>
        <v>46544</v>
      </c>
      <c r="E126" s="78" t="str">
        <f>IFERROR(__xludf.DUMMYFUNCTION("""COMPUTED_VALUE"""),"02-Medellin")</f>
        <v>02-Medellin</v>
      </c>
      <c r="F126" s="156">
        <f>IFERROR(__xludf.DUMMYFUNCTION("""COMPUTED_VALUE"""),46108.0)</f>
        <v>46108</v>
      </c>
      <c r="G126" s="159">
        <f>IFERROR(__xludf.DUMMYFUNCTION("""COMPUTED_VALUE"""),72.0)</f>
        <v>72</v>
      </c>
      <c r="H126" s="78" t="str">
        <f>IFERROR(__xludf.DUMMYFUNCTION("""COMPUTED_VALUE"""),"VIGENTE")</f>
        <v>VIGENTE</v>
      </c>
      <c r="I126" s="132" t="str">
        <f t="shared" si="1"/>
        <v>-</v>
      </c>
      <c r="J126" s="158"/>
      <c r="K126" s="126">
        <v>123.0</v>
      </c>
      <c r="L126" s="78">
        <f>IFERROR(__xludf.DUMMYFUNCTION("""COMPUTED_VALUE"""),2904.0)</f>
        <v>2904</v>
      </c>
      <c r="M126" s="156">
        <f>IFERROR(__xludf.DUMMYFUNCTION("""COMPUTED_VALUE"""),46275.0)</f>
        <v>46275</v>
      </c>
      <c r="N126" s="78" t="str">
        <f>IFERROR(__xludf.DUMMYFUNCTION("""COMPUTED_VALUE"""),"02-Medellin")</f>
        <v>02-Medellin</v>
      </c>
      <c r="O126" s="156">
        <f>IFERROR(__xludf.DUMMYFUNCTION("""COMPUTED_VALUE"""),46167.0)</f>
        <v>46167</v>
      </c>
      <c r="P126" s="159">
        <f>IFERROR(__xludf.DUMMYFUNCTION("""COMPUTED_VALUE"""),3430.0)</f>
        <v>3430</v>
      </c>
      <c r="Q126" s="78" t="str">
        <f>IFERROR(__xludf.DUMMYFUNCTION("""COMPUTED_VALUE"""),"VIGENTE")</f>
        <v>VIGENTE</v>
      </c>
      <c r="R126" s="132" t="str">
        <f t="shared" si="2"/>
        <v>-</v>
      </c>
      <c r="T126" s="134" t="str">
        <f>CALENDARIO!D138</f>
        <v/>
      </c>
      <c r="U126" s="135" t="str">
        <f>CALENDARIO!C138</f>
        <v/>
      </c>
      <c r="W126" s="78"/>
      <c r="X126" s="136" t="str">
        <f>(VLOOKUP(W126,'BD LUB'!$A$2:$L$223,5,FALSE)/VLOOKUP(W126,'BD LUB'!$A$2:$L$223,7,FALSE))+(VLOOKUP(W126,'BD LUB'!$A$2:$L$223,6,FALSE)/VLOOKUP(W126,'BD LUB'!$A$2:$L$223,8,FALSE))</f>
        <v>#N/A</v>
      </c>
      <c r="Y126" s="137" t="str">
        <f>IF(AND(VLOOKUP(W126,'BD LUB'!$A$2:$L$223,11,FALSE)="PASADO",VLOOKUP(W126,'BD LUB'!$A$2:$L$223,12,FALSE)="PASADO"),1,IF(OR(AND(VLOOKUP(W126,'BD LUB'!$A$2:$L$223,11,FALSE)="PASADO",VLOOKUP(W126,'BD LUB'!$A$2:$L$223,12,FALSE)="PRÓXIMO"),AND(VLOOKUP(W126,'BD LUB'!$A$2:$L$223,11,FALSE)="PRÓXIMO",VLOOKUP(W126,'BD LUB'!$A$2:$L$223,12,FALSE)="PASADO")),2,IF(OR(AND(VLOOKUP(W126,'BD LUB'!$A$2:$L$223,11,FALSE)="PASADO",VLOOKUP(W126,'BD LUB'!$A$2:$L$223,12,FALSE)="VIGENTE"),AND(VLOOKUP(W126,'BD LUB'!$A$2:$L$223,11,FALSE)="VIGENTE",VLOOKUP(W126,'BD LUB'!$A$2:$L$223,12,FALSE)="PASADO")),3,IF(AND(VLOOKUP(W126,'BD LUB'!$A$2:$L$223,11,FALSE)="PRÓXIMO",VLOOKUP(W126,'BD LUB'!$A$2:$L$223,12,FALSE)="PRÓXIMO"),4,IF(OR(AND(VLOOKUP(W126,'BD LUB'!$A$2:$L$223,11,FALSE)="PRÓXIMO",VLOOKUP(W126,'BD LUB'!$A$2:$L$223,12,FALSE)="VIGENTE"),AND(VLOOKUP(W126,'BD LUB'!$A$2:$L$223,11,FALSE)="VIGENTE",VLOOKUP(W126,'BD LUB'!$A$2:$L$223,12,FALSE)="PRÓXIMO")),5,IF(AND(VLOOKUP(W126,'BD LUB'!$A$2:$L$223,11,FALSE)="VIGENTE",VLOOKUP(W126,'BD LUB'!$A$2:$L$223,12,FALSE)="VIGENTE"),6,"No definido"))))))</f>
        <v>#N/A</v>
      </c>
      <c r="Z126" s="138"/>
      <c r="AA126" s="139" t="str">
        <f>(VLOOKUP(Z126,'BD LUB'!$A$2:$L$223,5,FALSE)/VLOOKUP(Z126,'BD LUB'!$A$2:$L$223,7,FALSE))+(VLOOKUP(Z126,'BD LUB'!$A$2:$L$223,6,FALSE)/VLOOKUP(Z126,'BD LUB'!$A$2:$L$223,8,FALSE))</f>
        <v>#N/A</v>
      </c>
      <c r="AB126" s="78" t="str">
        <f>IF(AND(VLOOKUP(Z126,'BD LUB'!$A$2:$L$223,11,FALSE)="PASADO",VLOOKUP(Z126,'BD LUB'!$A$2:$L$223,12,FALSE)="PASADO"),1,IF(OR(AND(VLOOKUP(Z126,'BD LUB'!$A$2:$L$223,11,FALSE)="PASADO",VLOOKUP(Z126,'BD LUB'!$A$2:$L$223,12,FALSE)="PRÓXIMO"),AND(VLOOKUP(Z126,'BD LUB'!$A$2:$L$223,11,FALSE)="PRÓXIMO",VLOOKUP(Z126,'BD LUB'!$A$2:$L$223,12,FALSE)="PASADO")),2,IF(OR(AND(VLOOKUP(Z126,'BD LUB'!$A$2:$L$223,11,FALSE)="PASADO",VLOOKUP(Z126,'BD LUB'!$A$2:$L$223,12,FALSE)="VIGENTE"),AND(VLOOKUP(Z126,'BD LUB'!$A$2:$L$223,11,FALSE)="VIGENTE",VLOOKUP(Z126,'BD LUB'!$A$2:$L$223,12,FALSE)="PASADO")),3,IF(AND(VLOOKUP(Z126,'BD LUB'!$A$2:$L$223,11,FALSE)="PRÓXIMO",VLOOKUP(Z126,'BD LUB'!$A$2:$L$223,12,FALSE)="PRÓXIMO"),4,IF(OR(AND(VLOOKUP(Z126,'BD LUB'!$A$2:$L$223,11,FALSE)="PRÓXIMO",VLOOKUP(Z126,'BD LUB'!$A$2:$L$223,12,FALSE)="VIGENTE"),AND(VLOOKUP(Z126,'BD LUB'!$A$2:$L$223,11,FALSE)="VIGENTE",VLOOKUP(Z126,'BD LUB'!$A$2:$L$223,12,FALSE)="PRÓXIMO")),5,IF(AND(VLOOKUP(Z126,'BD LUB'!$A$2:$L$223,11,FALSE)="VIGENTE",VLOOKUP(Z126,'BD LUB'!$A$2:$L$223,12,FALSE)="VIGENTE"),6,"No definido"))))))</f>
        <v>#N/A</v>
      </c>
      <c r="AC126" s="78"/>
      <c r="AD126" s="136" t="str">
        <f>IF(VLOOKUP(AC126,'BD LUB'!$A$2:$C$223,3,FALSE)=$AH$20,AC126&amp;" MED",IF(VLOOKUP(AC126,'BD LUB'!$A$2:$C$223,3,FALSE)=$AH$19,AC126&amp;" MAY",IF(VLOOKUP(AC126,'BD LUB'!$A$2:$C$223,3,FALSE)=$AH$18,AC126&amp;" RN",IF(VLOOKUP(AC126,'BD LUB'!$A$2:$C$223,3,FALSE)=$AH$17,AC126&amp;" COPQUI",IF(VLOOKUP(AC126,'BD LUB'!$A$2:$C$223,3,FALSE)=$AH$16,AC126&amp;" CEJ",IF(VLOOKUP(AC126,'BD LUB'!$A$2:$C$223,3,FALSE)=$AH$15,AC126&amp;" BULT",IF(VLOOKUP(AC126,'BD LUB'!$A$2:$C$223,3,FALSE)=$AH$14,AC126&amp;" COP",IF(VLOOKUP(AC126,'BD LUB'!$A$2:$C$223,3,FALSE)=$AH$13,AC126&amp;" RIO",IF(VLOOKUP(AC126,'BD LUB'!$A$2:$C$223,3,FALSE)=$AH$21,AC126&amp;" APART","Dato no encontrado")))))))))</f>
        <v>#N/A</v>
      </c>
      <c r="AE126" s="160"/>
      <c r="AF126" s="160"/>
      <c r="AG126" s="160"/>
      <c r="AH126" s="160"/>
      <c r="AI126" s="160"/>
      <c r="AJ126" s="160"/>
      <c r="AP126" s="160"/>
      <c r="AV126" s="160"/>
    </row>
    <row r="127">
      <c r="A127" s="158"/>
      <c r="B127" s="126">
        <v>124.0</v>
      </c>
      <c r="C127" s="78">
        <f>IFERROR(__xludf.DUMMYFUNCTION("""COMPUTED_VALUE"""),2853.0)</f>
        <v>2853</v>
      </c>
      <c r="D127" s="156">
        <f>IFERROR(__xludf.DUMMYFUNCTION("""COMPUTED_VALUE"""),46576.0)</f>
        <v>46576</v>
      </c>
      <c r="E127" s="78" t="str">
        <f>IFERROR(__xludf.DUMMYFUNCTION("""COMPUTED_VALUE"""),"BULTOS")</f>
        <v>BULTOS</v>
      </c>
      <c r="F127" s="156">
        <f>IFERROR(__xludf.DUMMYFUNCTION("""COMPUTED_VALUE"""),46109.0)</f>
        <v>46109</v>
      </c>
      <c r="G127" s="159">
        <f>IFERROR(__xludf.DUMMYFUNCTION("""COMPUTED_VALUE"""),73.0)</f>
        <v>73</v>
      </c>
      <c r="H127" s="78" t="str">
        <f>IFERROR(__xludf.DUMMYFUNCTION("""COMPUTED_VALUE"""),"VIGENTE")</f>
        <v>VIGENTE</v>
      </c>
      <c r="I127" s="132" t="str">
        <f t="shared" si="1"/>
        <v>-</v>
      </c>
      <c r="J127" s="158"/>
      <c r="K127" s="126">
        <v>124.0</v>
      </c>
      <c r="L127" s="78">
        <f>IFERROR(__xludf.DUMMYFUNCTION("""COMPUTED_VALUE"""),2459.0)</f>
        <v>2459</v>
      </c>
      <c r="M127" s="156">
        <f>IFERROR(__xludf.DUMMYFUNCTION("""COMPUTED_VALUE"""),46301.0)</f>
        <v>46301</v>
      </c>
      <c r="N127" s="78" t="str">
        <f>IFERROR(__xludf.DUMMYFUNCTION("""COMPUTED_VALUE"""),"02-Medellin")</f>
        <v>02-Medellin</v>
      </c>
      <c r="O127" s="156">
        <f>IFERROR(__xludf.DUMMYFUNCTION("""COMPUTED_VALUE"""),46061.0)</f>
        <v>46061</v>
      </c>
      <c r="P127" s="159">
        <f>IFERROR(__xludf.DUMMYFUNCTION("""COMPUTED_VALUE"""),3464.2)</f>
        <v>3464.2</v>
      </c>
      <c r="Q127" s="78" t="str">
        <f>IFERROR(__xludf.DUMMYFUNCTION("""COMPUTED_VALUE"""),"VIGENTE")</f>
        <v>VIGENTE</v>
      </c>
      <c r="R127" s="132" t="str">
        <f t="shared" si="2"/>
        <v>-</v>
      </c>
      <c r="T127" s="134" t="str">
        <f>CALENDARIO!D139</f>
        <v/>
      </c>
      <c r="U127" s="135" t="str">
        <f>CALENDARIO!C139</f>
        <v/>
      </c>
      <c r="W127" s="78"/>
      <c r="X127" s="136" t="str">
        <f>(VLOOKUP(W127,'BD LUB'!$A$2:$L$223,5,FALSE)/VLOOKUP(W127,'BD LUB'!$A$2:$L$223,7,FALSE))+(VLOOKUP(W127,'BD LUB'!$A$2:$L$223,6,FALSE)/VLOOKUP(W127,'BD LUB'!$A$2:$L$223,8,FALSE))</f>
        <v>#N/A</v>
      </c>
      <c r="Y127" s="137" t="str">
        <f>IF(AND(VLOOKUP(W127,'BD LUB'!$A$2:$L$223,11,FALSE)="PASADO",VLOOKUP(W127,'BD LUB'!$A$2:$L$223,12,FALSE)="PASADO"),1,IF(OR(AND(VLOOKUP(W127,'BD LUB'!$A$2:$L$223,11,FALSE)="PASADO",VLOOKUP(W127,'BD LUB'!$A$2:$L$223,12,FALSE)="PRÓXIMO"),AND(VLOOKUP(W127,'BD LUB'!$A$2:$L$223,11,FALSE)="PRÓXIMO",VLOOKUP(W127,'BD LUB'!$A$2:$L$223,12,FALSE)="PASADO")),2,IF(OR(AND(VLOOKUP(W127,'BD LUB'!$A$2:$L$223,11,FALSE)="PASADO",VLOOKUP(W127,'BD LUB'!$A$2:$L$223,12,FALSE)="VIGENTE"),AND(VLOOKUP(W127,'BD LUB'!$A$2:$L$223,11,FALSE)="VIGENTE",VLOOKUP(W127,'BD LUB'!$A$2:$L$223,12,FALSE)="PASADO")),3,IF(AND(VLOOKUP(W127,'BD LUB'!$A$2:$L$223,11,FALSE)="PRÓXIMO",VLOOKUP(W127,'BD LUB'!$A$2:$L$223,12,FALSE)="PRÓXIMO"),4,IF(OR(AND(VLOOKUP(W127,'BD LUB'!$A$2:$L$223,11,FALSE)="PRÓXIMO",VLOOKUP(W127,'BD LUB'!$A$2:$L$223,12,FALSE)="VIGENTE"),AND(VLOOKUP(W127,'BD LUB'!$A$2:$L$223,11,FALSE)="VIGENTE",VLOOKUP(W127,'BD LUB'!$A$2:$L$223,12,FALSE)="PRÓXIMO")),5,IF(AND(VLOOKUP(W127,'BD LUB'!$A$2:$L$223,11,FALSE)="VIGENTE",VLOOKUP(W127,'BD LUB'!$A$2:$L$223,12,FALSE)="VIGENTE"),6,"No definido"))))))</f>
        <v>#N/A</v>
      </c>
      <c r="Z127" s="138"/>
      <c r="AA127" s="139" t="str">
        <f>(VLOOKUP(Z127,'BD LUB'!$A$2:$L$223,5,FALSE)/VLOOKUP(Z127,'BD LUB'!$A$2:$L$223,7,FALSE))+(VLOOKUP(Z127,'BD LUB'!$A$2:$L$223,6,FALSE)/VLOOKUP(Z127,'BD LUB'!$A$2:$L$223,8,FALSE))</f>
        <v>#N/A</v>
      </c>
      <c r="AB127" s="78" t="str">
        <f>IF(AND(VLOOKUP(Z127,'BD LUB'!$A$2:$L$223,11,FALSE)="PASADO",VLOOKUP(Z127,'BD LUB'!$A$2:$L$223,12,FALSE)="PASADO"),1,IF(OR(AND(VLOOKUP(Z127,'BD LUB'!$A$2:$L$223,11,FALSE)="PASADO",VLOOKUP(Z127,'BD LUB'!$A$2:$L$223,12,FALSE)="PRÓXIMO"),AND(VLOOKUP(Z127,'BD LUB'!$A$2:$L$223,11,FALSE)="PRÓXIMO",VLOOKUP(Z127,'BD LUB'!$A$2:$L$223,12,FALSE)="PASADO")),2,IF(OR(AND(VLOOKUP(Z127,'BD LUB'!$A$2:$L$223,11,FALSE)="PASADO",VLOOKUP(Z127,'BD LUB'!$A$2:$L$223,12,FALSE)="VIGENTE"),AND(VLOOKUP(Z127,'BD LUB'!$A$2:$L$223,11,FALSE)="VIGENTE",VLOOKUP(Z127,'BD LUB'!$A$2:$L$223,12,FALSE)="PASADO")),3,IF(AND(VLOOKUP(Z127,'BD LUB'!$A$2:$L$223,11,FALSE)="PRÓXIMO",VLOOKUP(Z127,'BD LUB'!$A$2:$L$223,12,FALSE)="PRÓXIMO"),4,IF(OR(AND(VLOOKUP(Z127,'BD LUB'!$A$2:$L$223,11,FALSE)="PRÓXIMO",VLOOKUP(Z127,'BD LUB'!$A$2:$L$223,12,FALSE)="VIGENTE"),AND(VLOOKUP(Z127,'BD LUB'!$A$2:$L$223,11,FALSE)="VIGENTE",VLOOKUP(Z127,'BD LUB'!$A$2:$L$223,12,FALSE)="PRÓXIMO")),5,IF(AND(VLOOKUP(Z127,'BD LUB'!$A$2:$L$223,11,FALSE)="VIGENTE",VLOOKUP(Z127,'BD LUB'!$A$2:$L$223,12,FALSE)="VIGENTE"),6,"No definido"))))))</f>
        <v>#N/A</v>
      </c>
      <c r="AC127" s="78"/>
      <c r="AD127" s="136" t="str">
        <f>IF(VLOOKUP(AC127,'BD LUB'!$A$2:$C$223,3,FALSE)=$AH$20,AC127&amp;" MED",IF(VLOOKUP(AC127,'BD LUB'!$A$2:$C$223,3,FALSE)=$AH$19,AC127&amp;" MAY",IF(VLOOKUP(AC127,'BD LUB'!$A$2:$C$223,3,FALSE)=$AH$18,AC127&amp;" RN",IF(VLOOKUP(AC127,'BD LUB'!$A$2:$C$223,3,FALSE)=$AH$17,AC127&amp;" COPQUI",IF(VLOOKUP(AC127,'BD LUB'!$A$2:$C$223,3,FALSE)=$AH$16,AC127&amp;" CEJ",IF(VLOOKUP(AC127,'BD LUB'!$A$2:$C$223,3,FALSE)=$AH$15,AC127&amp;" BULT",IF(VLOOKUP(AC127,'BD LUB'!$A$2:$C$223,3,FALSE)=$AH$14,AC127&amp;" COP",IF(VLOOKUP(AC127,'BD LUB'!$A$2:$C$223,3,FALSE)=$AH$13,AC127&amp;" RIO",IF(VLOOKUP(AC127,'BD LUB'!$A$2:$C$223,3,FALSE)=$AH$21,AC127&amp;" APART","Dato no encontrado")))))))))</f>
        <v>#N/A</v>
      </c>
      <c r="AE127" s="160"/>
      <c r="AF127" s="160"/>
      <c r="AG127" s="160"/>
      <c r="AH127" s="160"/>
      <c r="AI127" s="160"/>
      <c r="AJ127" s="160"/>
      <c r="AP127" s="160"/>
      <c r="AV127" s="160"/>
    </row>
    <row r="128">
      <c r="A128" s="158"/>
      <c r="B128" s="126">
        <v>125.0</v>
      </c>
      <c r="C128" s="78">
        <f>IFERROR(__xludf.DUMMYFUNCTION("""COMPUTED_VALUE"""),2387.0)</f>
        <v>2387</v>
      </c>
      <c r="D128" s="156">
        <f>IFERROR(__xludf.DUMMYFUNCTION("""COMPUTED_VALUE"""),46466.0)</f>
        <v>46466</v>
      </c>
      <c r="E128" s="78" t="str">
        <f>IFERROR(__xludf.DUMMYFUNCTION("""COMPUTED_VALUE"""),"BULTOS")</f>
        <v>BULTOS</v>
      </c>
      <c r="F128" s="156">
        <f>IFERROR(__xludf.DUMMYFUNCTION("""COMPUTED_VALUE"""),46109.0)</f>
        <v>46109</v>
      </c>
      <c r="G128" s="159">
        <f>IFERROR(__xludf.DUMMYFUNCTION("""COMPUTED_VALUE"""),73.0)</f>
        <v>73</v>
      </c>
      <c r="H128" s="78" t="str">
        <f>IFERROR(__xludf.DUMMYFUNCTION("""COMPUTED_VALUE"""),"VIGENTE")</f>
        <v>VIGENTE</v>
      </c>
      <c r="I128" s="132" t="str">
        <f t="shared" si="1"/>
        <v>-</v>
      </c>
      <c r="J128" s="158"/>
      <c r="K128" s="126">
        <v>125.0</v>
      </c>
      <c r="L128" s="78">
        <f>IFERROR(__xludf.DUMMYFUNCTION("""COMPUTED_VALUE"""),2275.0)</f>
        <v>2275</v>
      </c>
      <c r="M128" s="156">
        <f>IFERROR(__xludf.DUMMYFUNCTION("""COMPUTED_VALUE"""),46263.0)</f>
        <v>46263</v>
      </c>
      <c r="N128" s="78" t="str">
        <f>IFERROR(__xludf.DUMMYFUNCTION("""COMPUTED_VALUE"""),"02-Medellin")</f>
        <v>02-Medellin</v>
      </c>
      <c r="O128" s="156">
        <f>IFERROR(__xludf.DUMMYFUNCTION("""COMPUTED_VALUE"""),46042.0)</f>
        <v>46042</v>
      </c>
      <c r="P128" s="159">
        <f>IFERROR(__xludf.DUMMYFUNCTION("""COMPUTED_VALUE"""),3499.0)</f>
        <v>3499</v>
      </c>
      <c r="Q128" s="78" t="str">
        <f>IFERROR(__xludf.DUMMYFUNCTION("""COMPUTED_VALUE"""),"VIGENTE")</f>
        <v>VIGENTE</v>
      </c>
      <c r="R128" s="132" t="str">
        <f t="shared" si="2"/>
        <v>-</v>
      </c>
      <c r="T128" s="134" t="str">
        <f>CALENDARIO!D140</f>
        <v/>
      </c>
      <c r="U128" s="135" t="str">
        <f>CALENDARIO!C140</f>
        <v/>
      </c>
      <c r="W128" s="78"/>
      <c r="X128" s="136" t="str">
        <f>(VLOOKUP(W128,'BD LUB'!$A$2:$L$223,5,FALSE)/VLOOKUP(W128,'BD LUB'!$A$2:$L$223,7,FALSE))+(VLOOKUP(W128,'BD LUB'!$A$2:$L$223,6,FALSE)/VLOOKUP(W128,'BD LUB'!$A$2:$L$223,8,FALSE))</f>
        <v>#N/A</v>
      </c>
      <c r="Y128" s="137" t="str">
        <f>IF(AND(VLOOKUP(W128,'BD LUB'!$A$2:$L$223,11,FALSE)="PASADO",VLOOKUP(W128,'BD LUB'!$A$2:$L$223,12,FALSE)="PASADO"),1,IF(OR(AND(VLOOKUP(W128,'BD LUB'!$A$2:$L$223,11,FALSE)="PASADO",VLOOKUP(W128,'BD LUB'!$A$2:$L$223,12,FALSE)="PRÓXIMO"),AND(VLOOKUP(W128,'BD LUB'!$A$2:$L$223,11,FALSE)="PRÓXIMO",VLOOKUP(W128,'BD LUB'!$A$2:$L$223,12,FALSE)="PASADO")),2,IF(OR(AND(VLOOKUP(W128,'BD LUB'!$A$2:$L$223,11,FALSE)="PASADO",VLOOKUP(W128,'BD LUB'!$A$2:$L$223,12,FALSE)="VIGENTE"),AND(VLOOKUP(W128,'BD LUB'!$A$2:$L$223,11,FALSE)="VIGENTE",VLOOKUP(W128,'BD LUB'!$A$2:$L$223,12,FALSE)="PASADO")),3,IF(AND(VLOOKUP(W128,'BD LUB'!$A$2:$L$223,11,FALSE)="PRÓXIMO",VLOOKUP(W128,'BD LUB'!$A$2:$L$223,12,FALSE)="PRÓXIMO"),4,IF(OR(AND(VLOOKUP(W128,'BD LUB'!$A$2:$L$223,11,FALSE)="PRÓXIMO",VLOOKUP(W128,'BD LUB'!$A$2:$L$223,12,FALSE)="VIGENTE"),AND(VLOOKUP(W128,'BD LUB'!$A$2:$L$223,11,FALSE)="VIGENTE",VLOOKUP(W128,'BD LUB'!$A$2:$L$223,12,FALSE)="PRÓXIMO")),5,IF(AND(VLOOKUP(W128,'BD LUB'!$A$2:$L$223,11,FALSE)="VIGENTE",VLOOKUP(W128,'BD LUB'!$A$2:$L$223,12,FALSE)="VIGENTE"),6,"No definido"))))))</f>
        <v>#N/A</v>
      </c>
      <c r="Z128" s="138"/>
      <c r="AA128" s="139" t="str">
        <f>(VLOOKUP(Z128,'BD LUB'!$A$2:$L$223,5,FALSE)/VLOOKUP(Z128,'BD LUB'!$A$2:$L$223,7,FALSE))+(VLOOKUP(Z128,'BD LUB'!$A$2:$L$223,6,FALSE)/VLOOKUP(Z128,'BD LUB'!$A$2:$L$223,8,FALSE))</f>
        <v>#N/A</v>
      </c>
      <c r="AB128" s="78" t="str">
        <f>IF(AND(VLOOKUP(Z128,'BD LUB'!$A$2:$L$223,11,FALSE)="PASADO",VLOOKUP(Z128,'BD LUB'!$A$2:$L$223,12,FALSE)="PASADO"),1,IF(OR(AND(VLOOKUP(Z128,'BD LUB'!$A$2:$L$223,11,FALSE)="PASADO",VLOOKUP(Z128,'BD LUB'!$A$2:$L$223,12,FALSE)="PRÓXIMO"),AND(VLOOKUP(Z128,'BD LUB'!$A$2:$L$223,11,FALSE)="PRÓXIMO",VLOOKUP(Z128,'BD LUB'!$A$2:$L$223,12,FALSE)="PASADO")),2,IF(OR(AND(VLOOKUP(Z128,'BD LUB'!$A$2:$L$223,11,FALSE)="PASADO",VLOOKUP(Z128,'BD LUB'!$A$2:$L$223,12,FALSE)="VIGENTE"),AND(VLOOKUP(Z128,'BD LUB'!$A$2:$L$223,11,FALSE)="VIGENTE",VLOOKUP(Z128,'BD LUB'!$A$2:$L$223,12,FALSE)="PASADO")),3,IF(AND(VLOOKUP(Z128,'BD LUB'!$A$2:$L$223,11,FALSE)="PRÓXIMO",VLOOKUP(Z128,'BD LUB'!$A$2:$L$223,12,FALSE)="PRÓXIMO"),4,IF(OR(AND(VLOOKUP(Z128,'BD LUB'!$A$2:$L$223,11,FALSE)="PRÓXIMO",VLOOKUP(Z128,'BD LUB'!$A$2:$L$223,12,FALSE)="VIGENTE"),AND(VLOOKUP(Z128,'BD LUB'!$A$2:$L$223,11,FALSE)="VIGENTE",VLOOKUP(Z128,'BD LUB'!$A$2:$L$223,12,FALSE)="PRÓXIMO")),5,IF(AND(VLOOKUP(Z128,'BD LUB'!$A$2:$L$223,11,FALSE)="VIGENTE",VLOOKUP(Z128,'BD LUB'!$A$2:$L$223,12,FALSE)="VIGENTE"),6,"No definido"))))))</f>
        <v>#N/A</v>
      </c>
      <c r="AC128" s="78"/>
      <c r="AD128" s="136" t="str">
        <f>IF(VLOOKUP(AC128,'BD LUB'!$A$2:$C$223,3,FALSE)=$AH$20,AC128&amp;" MED",IF(VLOOKUP(AC128,'BD LUB'!$A$2:$C$223,3,FALSE)=$AH$19,AC128&amp;" MAY",IF(VLOOKUP(AC128,'BD LUB'!$A$2:$C$223,3,FALSE)=$AH$18,AC128&amp;" RN",IF(VLOOKUP(AC128,'BD LUB'!$A$2:$C$223,3,FALSE)=$AH$17,AC128&amp;" COPQUI",IF(VLOOKUP(AC128,'BD LUB'!$A$2:$C$223,3,FALSE)=$AH$16,AC128&amp;" CEJ",IF(VLOOKUP(AC128,'BD LUB'!$A$2:$C$223,3,FALSE)=$AH$15,AC128&amp;" BULT",IF(VLOOKUP(AC128,'BD LUB'!$A$2:$C$223,3,FALSE)=$AH$14,AC128&amp;" COP",IF(VLOOKUP(AC128,'BD LUB'!$A$2:$C$223,3,FALSE)=$AH$13,AC128&amp;" RIO",IF(VLOOKUP(AC128,'BD LUB'!$A$2:$C$223,3,FALSE)=$AH$21,AC128&amp;" APART","Dato no encontrado")))))))))</f>
        <v>#N/A</v>
      </c>
      <c r="AE128" s="160"/>
      <c r="AF128" s="160"/>
      <c r="AG128" s="160"/>
      <c r="AH128" s="160"/>
      <c r="AI128" s="160"/>
      <c r="AJ128" s="160"/>
      <c r="AP128" s="160"/>
      <c r="AV128" s="160"/>
    </row>
    <row r="129">
      <c r="A129" s="158"/>
      <c r="B129" s="126">
        <v>126.0</v>
      </c>
      <c r="C129" s="78">
        <f>IFERROR(__xludf.DUMMYFUNCTION("""COMPUTED_VALUE"""),2389.0)</f>
        <v>2389</v>
      </c>
      <c r="D129" s="156">
        <f>IFERROR(__xludf.DUMMYFUNCTION("""COMPUTED_VALUE"""),46527.0)</f>
        <v>46527</v>
      </c>
      <c r="E129" s="78" t="str">
        <f>IFERROR(__xludf.DUMMYFUNCTION("""COMPUTED_VALUE"""),"24-Rionegro")</f>
        <v>24-Rionegro</v>
      </c>
      <c r="F129" s="156">
        <f>IFERROR(__xludf.DUMMYFUNCTION("""COMPUTED_VALUE"""),46111.0)</f>
        <v>46111</v>
      </c>
      <c r="G129" s="159">
        <f>IFERROR(__xludf.DUMMYFUNCTION("""COMPUTED_VALUE"""),75.0)</f>
        <v>75</v>
      </c>
      <c r="H129" s="78" t="str">
        <f>IFERROR(__xludf.DUMMYFUNCTION("""COMPUTED_VALUE"""),"VIGENTE")</f>
        <v>VIGENTE</v>
      </c>
      <c r="I129" s="132" t="str">
        <f t="shared" si="1"/>
        <v>-</v>
      </c>
      <c r="J129" s="158"/>
      <c r="K129" s="126">
        <v>126.0</v>
      </c>
      <c r="L129" s="78">
        <f>IFERROR(__xludf.DUMMYFUNCTION("""COMPUTED_VALUE"""),2886.0)</f>
        <v>2886</v>
      </c>
      <c r="M129" s="156">
        <f>IFERROR(__xludf.DUMMYFUNCTION("""COMPUTED_VALUE"""),46233.0)</f>
        <v>46233</v>
      </c>
      <c r="N129" s="78" t="str">
        <f>IFERROR(__xludf.DUMMYFUNCTION("""COMPUTED_VALUE"""),"02-Medellin")</f>
        <v>02-Medellin</v>
      </c>
      <c r="O129" s="156">
        <f>IFERROR(__xludf.DUMMYFUNCTION("""COMPUTED_VALUE"""),46148.0)</f>
        <v>46148</v>
      </c>
      <c r="P129" s="159">
        <f>IFERROR(__xludf.DUMMYFUNCTION("""COMPUTED_VALUE"""),3576.0)</f>
        <v>3576</v>
      </c>
      <c r="Q129" s="78" t="str">
        <f>IFERROR(__xludf.DUMMYFUNCTION("""COMPUTED_VALUE"""),"VIGENTE")</f>
        <v>VIGENTE</v>
      </c>
      <c r="R129" s="132" t="str">
        <f t="shared" si="2"/>
        <v>-</v>
      </c>
      <c r="T129" s="134" t="str">
        <f>CALENDARIO!D141</f>
        <v/>
      </c>
      <c r="U129" s="135" t="str">
        <f>CALENDARIO!C141</f>
        <v/>
      </c>
      <c r="W129" s="78"/>
      <c r="X129" s="136" t="str">
        <f>(VLOOKUP(W129,'BD LUB'!$A$2:$L$223,5,FALSE)/VLOOKUP(W129,'BD LUB'!$A$2:$L$223,7,FALSE))+(VLOOKUP(W129,'BD LUB'!$A$2:$L$223,6,FALSE)/VLOOKUP(W129,'BD LUB'!$A$2:$L$223,8,FALSE))</f>
        <v>#N/A</v>
      </c>
      <c r="Y129" s="137" t="str">
        <f>IF(AND(VLOOKUP(W129,'BD LUB'!$A$2:$L$223,11,FALSE)="PASADO",VLOOKUP(W129,'BD LUB'!$A$2:$L$223,12,FALSE)="PASADO"),1,IF(OR(AND(VLOOKUP(W129,'BD LUB'!$A$2:$L$223,11,FALSE)="PASADO",VLOOKUP(W129,'BD LUB'!$A$2:$L$223,12,FALSE)="PRÓXIMO"),AND(VLOOKUP(W129,'BD LUB'!$A$2:$L$223,11,FALSE)="PRÓXIMO",VLOOKUP(W129,'BD LUB'!$A$2:$L$223,12,FALSE)="PASADO")),2,IF(OR(AND(VLOOKUP(W129,'BD LUB'!$A$2:$L$223,11,FALSE)="PASADO",VLOOKUP(W129,'BD LUB'!$A$2:$L$223,12,FALSE)="VIGENTE"),AND(VLOOKUP(W129,'BD LUB'!$A$2:$L$223,11,FALSE)="VIGENTE",VLOOKUP(W129,'BD LUB'!$A$2:$L$223,12,FALSE)="PASADO")),3,IF(AND(VLOOKUP(W129,'BD LUB'!$A$2:$L$223,11,FALSE)="PRÓXIMO",VLOOKUP(W129,'BD LUB'!$A$2:$L$223,12,FALSE)="PRÓXIMO"),4,IF(OR(AND(VLOOKUP(W129,'BD LUB'!$A$2:$L$223,11,FALSE)="PRÓXIMO",VLOOKUP(W129,'BD LUB'!$A$2:$L$223,12,FALSE)="VIGENTE"),AND(VLOOKUP(W129,'BD LUB'!$A$2:$L$223,11,FALSE)="VIGENTE",VLOOKUP(W129,'BD LUB'!$A$2:$L$223,12,FALSE)="PRÓXIMO")),5,IF(AND(VLOOKUP(W129,'BD LUB'!$A$2:$L$223,11,FALSE)="VIGENTE",VLOOKUP(W129,'BD LUB'!$A$2:$L$223,12,FALSE)="VIGENTE"),6,"No definido"))))))</f>
        <v>#N/A</v>
      </c>
      <c r="Z129" s="138"/>
      <c r="AA129" s="139" t="str">
        <f>(VLOOKUP(Z129,'BD LUB'!$A$2:$L$223,5,FALSE)/VLOOKUP(Z129,'BD LUB'!$A$2:$L$223,7,FALSE))+(VLOOKUP(Z129,'BD LUB'!$A$2:$L$223,6,FALSE)/VLOOKUP(Z129,'BD LUB'!$A$2:$L$223,8,FALSE))</f>
        <v>#N/A</v>
      </c>
      <c r="AB129" s="78" t="str">
        <f>IF(AND(VLOOKUP(Z129,'BD LUB'!$A$2:$L$223,11,FALSE)="PASADO",VLOOKUP(Z129,'BD LUB'!$A$2:$L$223,12,FALSE)="PASADO"),1,IF(OR(AND(VLOOKUP(Z129,'BD LUB'!$A$2:$L$223,11,FALSE)="PASADO",VLOOKUP(Z129,'BD LUB'!$A$2:$L$223,12,FALSE)="PRÓXIMO"),AND(VLOOKUP(Z129,'BD LUB'!$A$2:$L$223,11,FALSE)="PRÓXIMO",VLOOKUP(Z129,'BD LUB'!$A$2:$L$223,12,FALSE)="PASADO")),2,IF(OR(AND(VLOOKUP(Z129,'BD LUB'!$A$2:$L$223,11,FALSE)="PASADO",VLOOKUP(Z129,'BD LUB'!$A$2:$L$223,12,FALSE)="VIGENTE"),AND(VLOOKUP(Z129,'BD LUB'!$A$2:$L$223,11,FALSE)="VIGENTE",VLOOKUP(Z129,'BD LUB'!$A$2:$L$223,12,FALSE)="PASADO")),3,IF(AND(VLOOKUP(Z129,'BD LUB'!$A$2:$L$223,11,FALSE)="PRÓXIMO",VLOOKUP(Z129,'BD LUB'!$A$2:$L$223,12,FALSE)="PRÓXIMO"),4,IF(OR(AND(VLOOKUP(Z129,'BD LUB'!$A$2:$L$223,11,FALSE)="PRÓXIMO",VLOOKUP(Z129,'BD LUB'!$A$2:$L$223,12,FALSE)="VIGENTE"),AND(VLOOKUP(Z129,'BD LUB'!$A$2:$L$223,11,FALSE)="VIGENTE",VLOOKUP(Z129,'BD LUB'!$A$2:$L$223,12,FALSE)="PRÓXIMO")),5,IF(AND(VLOOKUP(Z129,'BD LUB'!$A$2:$L$223,11,FALSE)="VIGENTE",VLOOKUP(Z129,'BD LUB'!$A$2:$L$223,12,FALSE)="VIGENTE"),6,"No definido"))))))</f>
        <v>#N/A</v>
      </c>
      <c r="AC129" s="78"/>
      <c r="AD129" s="136" t="str">
        <f>IF(VLOOKUP(AC129,'BD LUB'!$A$2:$C$223,3,FALSE)=$AH$20,AC129&amp;" MED",IF(VLOOKUP(AC129,'BD LUB'!$A$2:$C$223,3,FALSE)=$AH$19,AC129&amp;" MAY",IF(VLOOKUP(AC129,'BD LUB'!$A$2:$C$223,3,FALSE)=$AH$18,AC129&amp;" RN",IF(VLOOKUP(AC129,'BD LUB'!$A$2:$C$223,3,FALSE)=$AH$17,AC129&amp;" COPQUI",IF(VLOOKUP(AC129,'BD LUB'!$A$2:$C$223,3,FALSE)=$AH$16,AC129&amp;" CEJ",IF(VLOOKUP(AC129,'BD LUB'!$A$2:$C$223,3,FALSE)=$AH$15,AC129&amp;" BULT",IF(VLOOKUP(AC129,'BD LUB'!$A$2:$C$223,3,FALSE)=$AH$14,AC129&amp;" COP",IF(VLOOKUP(AC129,'BD LUB'!$A$2:$C$223,3,FALSE)=$AH$13,AC129&amp;" RIO",IF(VLOOKUP(AC129,'BD LUB'!$A$2:$C$223,3,FALSE)=$AH$21,AC129&amp;" APART","Dato no encontrado")))))))))</f>
        <v>#N/A</v>
      </c>
      <c r="AE129" s="160"/>
      <c r="AF129" s="160"/>
      <c r="AG129" s="160"/>
      <c r="AH129" s="160"/>
      <c r="AI129" s="160"/>
      <c r="AJ129" s="160"/>
      <c r="AP129" s="160"/>
      <c r="AV129" s="160"/>
    </row>
    <row r="130">
      <c r="A130" s="158"/>
      <c r="B130" s="126">
        <v>127.0</v>
      </c>
      <c r="C130" s="78">
        <f>IFERROR(__xludf.DUMMYFUNCTION("""COMPUTED_VALUE"""),3219.0)</f>
        <v>3219</v>
      </c>
      <c r="D130" s="156">
        <f>IFERROR(__xludf.DUMMYFUNCTION("""COMPUTED_VALUE"""),46654.0)</f>
        <v>46654</v>
      </c>
      <c r="E130" s="78" t="str">
        <f>IFERROR(__xludf.DUMMYFUNCTION("""COMPUTED_VALUE"""),"02-Medellin")</f>
        <v>02-Medellin</v>
      </c>
      <c r="F130" s="156">
        <f>IFERROR(__xludf.DUMMYFUNCTION("""COMPUTED_VALUE"""),46112.0)</f>
        <v>46112</v>
      </c>
      <c r="G130" s="159">
        <f>IFERROR(__xludf.DUMMYFUNCTION("""COMPUTED_VALUE"""),76.0)</f>
        <v>76</v>
      </c>
      <c r="H130" s="78" t="str">
        <f>IFERROR(__xludf.DUMMYFUNCTION("""COMPUTED_VALUE"""),"VIGENTE")</f>
        <v>VIGENTE</v>
      </c>
      <c r="I130" s="132" t="str">
        <f t="shared" si="1"/>
        <v>-</v>
      </c>
      <c r="J130" s="158"/>
      <c r="K130" s="126">
        <v>127.0</v>
      </c>
      <c r="L130" s="78">
        <f>IFERROR(__xludf.DUMMYFUNCTION("""COMPUTED_VALUE"""),2919.0)</f>
        <v>2919</v>
      </c>
      <c r="M130" s="156">
        <f>IFERROR(__xludf.DUMMYFUNCTION("""COMPUTED_VALUE"""),46303.0)</f>
        <v>46303</v>
      </c>
      <c r="N130" s="78" t="str">
        <f>IFERROR(__xludf.DUMMYFUNCTION("""COMPUTED_VALUE"""),"MAYORCA")</f>
        <v>MAYORCA</v>
      </c>
      <c r="O130" s="156">
        <f>IFERROR(__xludf.DUMMYFUNCTION("""COMPUTED_VALUE"""),46145.0)</f>
        <v>46145</v>
      </c>
      <c r="P130" s="159">
        <f>IFERROR(__xludf.DUMMYFUNCTION("""COMPUTED_VALUE"""),3623.0)</f>
        <v>3623</v>
      </c>
      <c r="Q130" s="78" t="str">
        <f>IFERROR(__xludf.DUMMYFUNCTION("""COMPUTED_VALUE"""),"VIGENTE")</f>
        <v>VIGENTE</v>
      </c>
      <c r="R130" s="132" t="str">
        <f t="shared" si="2"/>
        <v>-</v>
      </c>
      <c r="T130" s="134" t="str">
        <f>CALENDARIO!D142</f>
        <v/>
      </c>
      <c r="U130" s="135" t="str">
        <f>CALENDARIO!C142</f>
        <v/>
      </c>
      <c r="W130" s="78"/>
      <c r="X130" s="136" t="str">
        <f>(VLOOKUP(W130,'BD LUB'!$A$2:$L$223,5,FALSE)/VLOOKUP(W130,'BD LUB'!$A$2:$L$223,7,FALSE))+(VLOOKUP(W130,'BD LUB'!$A$2:$L$223,6,FALSE)/VLOOKUP(W130,'BD LUB'!$A$2:$L$223,8,FALSE))</f>
        <v>#N/A</v>
      </c>
      <c r="Y130" s="137" t="str">
        <f>IF(AND(VLOOKUP(W130,'BD LUB'!$A$2:$L$223,11,FALSE)="PASADO",VLOOKUP(W130,'BD LUB'!$A$2:$L$223,12,FALSE)="PASADO"),1,IF(OR(AND(VLOOKUP(W130,'BD LUB'!$A$2:$L$223,11,FALSE)="PASADO",VLOOKUP(W130,'BD LUB'!$A$2:$L$223,12,FALSE)="PRÓXIMO"),AND(VLOOKUP(W130,'BD LUB'!$A$2:$L$223,11,FALSE)="PRÓXIMO",VLOOKUP(W130,'BD LUB'!$A$2:$L$223,12,FALSE)="PASADO")),2,IF(OR(AND(VLOOKUP(W130,'BD LUB'!$A$2:$L$223,11,FALSE)="PASADO",VLOOKUP(W130,'BD LUB'!$A$2:$L$223,12,FALSE)="VIGENTE"),AND(VLOOKUP(W130,'BD LUB'!$A$2:$L$223,11,FALSE)="VIGENTE",VLOOKUP(W130,'BD LUB'!$A$2:$L$223,12,FALSE)="PASADO")),3,IF(AND(VLOOKUP(W130,'BD LUB'!$A$2:$L$223,11,FALSE)="PRÓXIMO",VLOOKUP(W130,'BD LUB'!$A$2:$L$223,12,FALSE)="PRÓXIMO"),4,IF(OR(AND(VLOOKUP(W130,'BD LUB'!$A$2:$L$223,11,FALSE)="PRÓXIMO",VLOOKUP(W130,'BD LUB'!$A$2:$L$223,12,FALSE)="VIGENTE"),AND(VLOOKUP(W130,'BD LUB'!$A$2:$L$223,11,FALSE)="VIGENTE",VLOOKUP(W130,'BD LUB'!$A$2:$L$223,12,FALSE)="PRÓXIMO")),5,IF(AND(VLOOKUP(W130,'BD LUB'!$A$2:$L$223,11,FALSE)="VIGENTE",VLOOKUP(W130,'BD LUB'!$A$2:$L$223,12,FALSE)="VIGENTE"),6,"No definido"))))))</f>
        <v>#N/A</v>
      </c>
      <c r="Z130" s="138"/>
      <c r="AA130" s="139" t="str">
        <f>(VLOOKUP(Z130,'BD LUB'!$A$2:$L$223,5,FALSE)/VLOOKUP(Z130,'BD LUB'!$A$2:$L$223,7,FALSE))+(VLOOKUP(Z130,'BD LUB'!$A$2:$L$223,6,FALSE)/VLOOKUP(Z130,'BD LUB'!$A$2:$L$223,8,FALSE))</f>
        <v>#N/A</v>
      </c>
      <c r="AB130" s="78" t="str">
        <f>IF(AND(VLOOKUP(Z130,'BD LUB'!$A$2:$L$223,11,FALSE)="PASADO",VLOOKUP(Z130,'BD LUB'!$A$2:$L$223,12,FALSE)="PASADO"),1,IF(OR(AND(VLOOKUP(Z130,'BD LUB'!$A$2:$L$223,11,FALSE)="PASADO",VLOOKUP(Z130,'BD LUB'!$A$2:$L$223,12,FALSE)="PRÓXIMO"),AND(VLOOKUP(Z130,'BD LUB'!$A$2:$L$223,11,FALSE)="PRÓXIMO",VLOOKUP(Z130,'BD LUB'!$A$2:$L$223,12,FALSE)="PASADO")),2,IF(OR(AND(VLOOKUP(Z130,'BD LUB'!$A$2:$L$223,11,FALSE)="PASADO",VLOOKUP(Z130,'BD LUB'!$A$2:$L$223,12,FALSE)="VIGENTE"),AND(VLOOKUP(Z130,'BD LUB'!$A$2:$L$223,11,FALSE)="VIGENTE",VLOOKUP(Z130,'BD LUB'!$A$2:$L$223,12,FALSE)="PASADO")),3,IF(AND(VLOOKUP(Z130,'BD LUB'!$A$2:$L$223,11,FALSE)="PRÓXIMO",VLOOKUP(Z130,'BD LUB'!$A$2:$L$223,12,FALSE)="PRÓXIMO"),4,IF(OR(AND(VLOOKUP(Z130,'BD LUB'!$A$2:$L$223,11,FALSE)="PRÓXIMO",VLOOKUP(Z130,'BD LUB'!$A$2:$L$223,12,FALSE)="VIGENTE"),AND(VLOOKUP(Z130,'BD LUB'!$A$2:$L$223,11,FALSE)="VIGENTE",VLOOKUP(Z130,'BD LUB'!$A$2:$L$223,12,FALSE)="PRÓXIMO")),5,IF(AND(VLOOKUP(Z130,'BD LUB'!$A$2:$L$223,11,FALSE)="VIGENTE",VLOOKUP(Z130,'BD LUB'!$A$2:$L$223,12,FALSE)="VIGENTE"),6,"No definido"))))))</f>
        <v>#N/A</v>
      </c>
      <c r="AC130" s="78"/>
      <c r="AD130" s="136" t="str">
        <f>IF(VLOOKUP(AC130,'BD LUB'!$A$2:$C$223,3,FALSE)=$AH$20,AC130&amp;" MED",IF(VLOOKUP(AC130,'BD LUB'!$A$2:$C$223,3,FALSE)=$AH$19,AC130&amp;" MAY",IF(VLOOKUP(AC130,'BD LUB'!$A$2:$C$223,3,FALSE)=$AH$18,AC130&amp;" RN",IF(VLOOKUP(AC130,'BD LUB'!$A$2:$C$223,3,FALSE)=$AH$17,AC130&amp;" COPQUI",IF(VLOOKUP(AC130,'BD LUB'!$A$2:$C$223,3,FALSE)=$AH$16,AC130&amp;" CEJ",IF(VLOOKUP(AC130,'BD LUB'!$A$2:$C$223,3,FALSE)=$AH$15,AC130&amp;" BULT",IF(VLOOKUP(AC130,'BD LUB'!$A$2:$C$223,3,FALSE)=$AH$14,AC130&amp;" COP",IF(VLOOKUP(AC130,'BD LUB'!$A$2:$C$223,3,FALSE)=$AH$13,AC130&amp;" RIO",IF(VLOOKUP(AC130,'BD LUB'!$A$2:$C$223,3,FALSE)=$AH$21,AC130&amp;" APART","Dato no encontrado")))))))))</f>
        <v>#N/A</v>
      </c>
      <c r="AE130" s="160"/>
      <c r="AF130" s="160"/>
      <c r="AG130" s="160"/>
      <c r="AH130" s="160"/>
      <c r="AI130" s="160"/>
      <c r="AJ130" s="160"/>
      <c r="AP130" s="160"/>
      <c r="AV130" s="160"/>
    </row>
    <row r="131">
      <c r="A131" s="158"/>
      <c r="B131" s="126">
        <v>128.0</v>
      </c>
      <c r="C131" s="78">
        <f>IFERROR(__xludf.DUMMYFUNCTION("""COMPUTED_VALUE"""),3212.0)</f>
        <v>3212</v>
      </c>
      <c r="D131" s="156">
        <f>IFERROR(__xludf.DUMMYFUNCTION("""COMPUTED_VALUE"""),46654.0)</f>
        <v>46654</v>
      </c>
      <c r="E131" s="78" t="str">
        <f>IFERROR(__xludf.DUMMYFUNCTION("""COMPUTED_VALUE"""),"02-Medellin")</f>
        <v>02-Medellin</v>
      </c>
      <c r="F131" s="156">
        <f>IFERROR(__xludf.DUMMYFUNCTION("""COMPUTED_VALUE"""),46112.0)</f>
        <v>46112</v>
      </c>
      <c r="G131" s="159">
        <f>IFERROR(__xludf.DUMMYFUNCTION("""COMPUTED_VALUE"""),76.0)</f>
        <v>76</v>
      </c>
      <c r="H131" s="78" t="str">
        <f>IFERROR(__xludf.DUMMYFUNCTION("""COMPUTED_VALUE"""),"VIGENTE")</f>
        <v>VIGENTE</v>
      </c>
      <c r="I131" s="132" t="str">
        <f t="shared" si="1"/>
        <v>-</v>
      </c>
      <c r="J131" s="158"/>
      <c r="K131" s="126">
        <v>128.0</v>
      </c>
      <c r="L131" s="78">
        <f>IFERROR(__xludf.DUMMYFUNCTION("""COMPUTED_VALUE"""),2201.0)</f>
        <v>2201</v>
      </c>
      <c r="M131" s="156">
        <f>IFERROR(__xludf.DUMMYFUNCTION("""COMPUTED_VALUE"""),46543.0)</f>
        <v>46543</v>
      </c>
      <c r="N131" s="78" t="str">
        <f>IFERROR(__xludf.DUMMYFUNCTION("""COMPUTED_VALUE"""),"02-Medellin")</f>
        <v>02-Medellin</v>
      </c>
      <c r="O131" s="156">
        <f>IFERROR(__xludf.DUMMYFUNCTION("""COMPUTED_VALUE"""),45986.0)</f>
        <v>45986</v>
      </c>
      <c r="P131" s="159">
        <f>IFERROR(__xludf.DUMMYFUNCTION("""COMPUTED_VALUE"""),3633.0)</f>
        <v>3633</v>
      </c>
      <c r="Q131" s="78" t="str">
        <f>IFERROR(__xludf.DUMMYFUNCTION("""COMPUTED_VALUE"""),"VIGENTE")</f>
        <v>VIGENTE</v>
      </c>
      <c r="R131" s="132" t="str">
        <f t="shared" si="2"/>
        <v>-</v>
      </c>
      <c r="T131" s="134" t="str">
        <f>CALENDARIO!D143</f>
        <v/>
      </c>
      <c r="U131" s="135" t="str">
        <f>CALENDARIO!C143</f>
        <v/>
      </c>
      <c r="W131" s="78"/>
      <c r="X131" s="136" t="str">
        <f>(VLOOKUP(W131,'BD LUB'!$A$2:$L$223,5,FALSE)/VLOOKUP(W131,'BD LUB'!$A$2:$L$223,7,FALSE))+(VLOOKUP(W131,'BD LUB'!$A$2:$L$223,6,FALSE)/VLOOKUP(W131,'BD LUB'!$A$2:$L$223,8,FALSE))</f>
        <v>#N/A</v>
      </c>
      <c r="Y131" s="137" t="str">
        <f>IF(AND(VLOOKUP(W131,'BD LUB'!$A$2:$L$223,11,FALSE)="PASADO",VLOOKUP(W131,'BD LUB'!$A$2:$L$223,12,FALSE)="PASADO"),1,IF(OR(AND(VLOOKUP(W131,'BD LUB'!$A$2:$L$223,11,FALSE)="PASADO",VLOOKUP(W131,'BD LUB'!$A$2:$L$223,12,FALSE)="PRÓXIMO"),AND(VLOOKUP(W131,'BD LUB'!$A$2:$L$223,11,FALSE)="PRÓXIMO",VLOOKUP(W131,'BD LUB'!$A$2:$L$223,12,FALSE)="PASADO")),2,IF(OR(AND(VLOOKUP(W131,'BD LUB'!$A$2:$L$223,11,FALSE)="PASADO",VLOOKUP(W131,'BD LUB'!$A$2:$L$223,12,FALSE)="VIGENTE"),AND(VLOOKUP(W131,'BD LUB'!$A$2:$L$223,11,FALSE)="VIGENTE",VLOOKUP(W131,'BD LUB'!$A$2:$L$223,12,FALSE)="PASADO")),3,IF(AND(VLOOKUP(W131,'BD LUB'!$A$2:$L$223,11,FALSE)="PRÓXIMO",VLOOKUP(W131,'BD LUB'!$A$2:$L$223,12,FALSE)="PRÓXIMO"),4,IF(OR(AND(VLOOKUP(W131,'BD LUB'!$A$2:$L$223,11,FALSE)="PRÓXIMO",VLOOKUP(W131,'BD LUB'!$A$2:$L$223,12,FALSE)="VIGENTE"),AND(VLOOKUP(W131,'BD LUB'!$A$2:$L$223,11,FALSE)="VIGENTE",VLOOKUP(W131,'BD LUB'!$A$2:$L$223,12,FALSE)="PRÓXIMO")),5,IF(AND(VLOOKUP(W131,'BD LUB'!$A$2:$L$223,11,FALSE)="VIGENTE",VLOOKUP(W131,'BD LUB'!$A$2:$L$223,12,FALSE)="VIGENTE"),6,"No definido"))))))</f>
        <v>#N/A</v>
      </c>
      <c r="Z131" s="138"/>
      <c r="AA131" s="139" t="str">
        <f>(VLOOKUP(Z131,'BD LUB'!$A$2:$L$223,5,FALSE)/VLOOKUP(Z131,'BD LUB'!$A$2:$L$223,7,FALSE))+(VLOOKUP(Z131,'BD LUB'!$A$2:$L$223,6,FALSE)/VLOOKUP(Z131,'BD LUB'!$A$2:$L$223,8,FALSE))</f>
        <v>#N/A</v>
      </c>
      <c r="AB131" s="78" t="str">
        <f>IF(AND(VLOOKUP(Z131,'BD LUB'!$A$2:$L$223,11,FALSE)="PASADO",VLOOKUP(Z131,'BD LUB'!$A$2:$L$223,12,FALSE)="PASADO"),1,IF(OR(AND(VLOOKUP(Z131,'BD LUB'!$A$2:$L$223,11,FALSE)="PASADO",VLOOKUP(Z131,'BD LUB'!$A$2:$L$223,12,FALSE)="PRÓXIMO"),AND(VLOOKUP(Z131,'BD LUB'!$A$2:$L$223,11,FALSE)="PRÓXIMO",VLOOKUP(Z131,'BD LUB'!$A$2:$L$223,12,FALSE)="PASADO")),2,IF(OR(AND(VLOOKUP(Z131,'BD LUB'!$A$2:$L$223,11,FALSE)="PASADO",VLOOKUP(Z131,'BD LUB'!$A$2:$L$223,12,FALSE)="VIGENTE"),AND(VLOOKUP(Z131,'BD LUB'!$A$2:$L$223,11,FALSE)="VIGENTE",VLOOKUP(Z131,'BD LUB'!$A$2:$L$223,12,FALSE)="PASADO")),3,IF(AND(VLOOKUP(Z131,'BD LUB'!$A$2:$L$223,11,FALSE)="PRÓXIMO",VLOOKUP(Z131,'BD LUB'!$A$2:$L$223,12,FALSE)="PRÓXIMO"),4,IF(OR(AND(VLOOKUP(Z131,'BD LUB'!$A$2:$L$223,11,FALSE)="PRÓXIMO",VLOOKUP(Z131,'BD LUB'!$A$2:$L$223,12,FALSE)="VIGENTE"),AND(VLOOKUP(Z131,'BD LUB'!$A$2:$L$223,11,FALSE)="VIGENTE",VLOOKUP(Z131,'BD LUB'!$A$2:$L$223,12,FALSE)="PRÓXIMO")),5,IF(AND(VLOOKUP(Z131,'BD LUB'!$A$2:$L$223,11,FALSE)="VIGENTE",VLOOKUP(Z131,'BD LUB'!$A$2:$L$223,12,FALSE)="VIGENTE"),6,"No definido"))))))</f>
        <v>#N/A</v>
      </c>
      <c r="AC131" s="78"/>
      <c r="AD131" s="136" t="str">
        <f>IF(VLOOKUP(AC131,'BD LUB'!$A$2:$C$223,3,FALSE)=$AH$20,AC131&amp;" MED",IF(VLOOKUP(AC131,'BD LUB'!$A$2:$C$223,3,FALSE)=$AH$19,AC131&amp;" MAY",IF(VLOOKUP(AC131,'BD LUB'!$A$2:$C$223,3,FALSE)=$AH$18,AC131&amp;" RN",IF(VLOOKUP(AC131,'BD LUB'!$A$2:$C$223,3,FALSE)=$AH$17,AC131&amp;" COPQUI",IF(VLOOKUP(AC131,'BD LUB'!$A$2:$C$223,3,FALSE)=$AH$16,AC131&amp;" CEJ",IF(VLOOKUP(AC131,'BD LUB'!$A$2:$C$223,3,FALSE)=$AH$15,AC131&amp;" BULT",IF(VLOOKUP(AC131,'BD LUB'!$A$2:$C$223,3,FALSE)=$AH$14,AC131&amp;" COP",IF(VLOOKUP(AC131,'BD LUB'!$A$2:$C$223,3,FALSE)=$AH$13,AC131&amp;" RIO",IF(VLOOKUP(AC131,'BD LUB'!$A$2:$C$223,3,FALSE)=$AH$21,AC131&amp;" APART","Dato no encontrado")))))))))</f>
        <v>#N/A</v>
      </c>
      <c r="AE131" s="160"/>
      <c r="AF131" s="160"/>
      <c r="AG131" s="160"/>
      <c r="AH131" s="160"/>
      <c r="AI131" s="160"/>
      <c r="AJ131" s="160"/>
      <c r="AP131" s="160"/>
      <c r="AV131" s="160"/>
    </row>
    <row r="132">
      <c r="A132" s="158"/>
      <c r="B132" s="126">
        <v>129.0</v>
      </c>
      <c r="C132" s="78">
        <f>IFERROR(__xludf.DUMMYFUNCTION("""COMPUTED_VALUE"""),3202.0)</f>
        <v>3202</v>
      </c>
      <c r="D132" s="156">
        <f>IFERROR(__xludf.DUMMYFUNCTION("""COMPUTED_VALUE"""),46653.0)</f>
        <v>46653</v>
      </c>
      <c r="E132" s="78" t="str">
        <f>IFERROR(__xludf.DUMMYFUNCTION("""COMPUTED_VALUE"""),"02-Medellin")</f>
        <v>02-Medellin</v>
      </c>
      <c r="F132" s="156">
        <f>IFERROR(__xludf.DUMMYFUNCTION("""COMPUTED_VALUE"""),46112.0)</f>
        <v>46112</v>
      </c>
      <c r="G132" s="159">
        <f>IFERROR(__xludf.DUMMYFUNCTION("""COMPUTED_VALUE"""),76.0)</f>
        <v>76</v>
      </c>
      <c r="H132" s="78" t="str">
        <f>IFERROR(__xludf.DUMMYFUNCTION("""COMPUTED_VALUE"""),"VIGENTE")</f>
        <v>VIGENTE</v>
      </c>
      <c r="I132" s="132" t="str">
        <f t="shared" si="1"/>
        <v>-</v>
      </c>
      <c r="J132" s="158"/>
      <c r="K132" s="126">
        <v>129.0</v>
      </c>
      <c r="L132" s="78">
        <f>IFERROR(__xludf.DUMMYFUNCTION("""COMPUTED_VALUE"""),2403.0)</f>
        <v>2403</v>
      </c>
      <c r="M132" s="156">
        <f>IFERROR(__xludf.DUMMYFUNCTION("""COMPUTED_VALUE"""),46457.0)</f>
        <v>46457</v>
      </c>
      <c r="N132" s="78" t="str">
        <f>IFERROR(__xludf.DUMMYFUNCTION("""COMPUTED_VALUE"""),"BULTOS")</f>
        <v>BULTOS</v>
      </c>
      <c r="O132" s="156">
        <f>IFERROR(__xludf.DUMMYFUNCTION("""COMPUTED_VALUE"""),46090.0)</f>
        <v>46090</v>
      </c>
      <c r="P132" s="159">
        <f>IFERROR(__xludf.DUMMYFUNCTION("""COMPUTED_VALUE"""),3697.1000000000004)</f>
        <v>3697.1</v>
      </c>
      <c r="Q132" s="78" t="str">
        <f>IFERROR(__xludf.DUMMYFUNCTION("""COMPUTED_VALUE"""),"VIGENTE")</f>
        <v>VIGENTE</v>
      </c>
      <c r="R132" s="132" t="str">
        <f t="shared" si="2"/>
        <v>-</v>
      </c>
      <c r="T132" s="134" t="str">
        <f>CALENDARIO!D144</f>
        <v/>
      </c>
      <c r="U132" s="135" t="str">
        <f>CALENDARIO!C144</f>
        <v/>
      </c>
      <c r="W132" s="78"/>
      <c r="X132" s="136" t="str">
        <f>(VLOOKUP(W132,'BD LUB'!$A$2:$L$223,5,FALSE)/VLOOKUP(W132,'BD LUB'!$A$2:$L$223,7,FALSE))+(VLOOKUP(W132,'BD LUB'!$A$2:$L$223,6,FALSE)/VLOOKUP(W132,'BD LUB'!$A$2:$L$223,8,FALSE))</f>
        <v>#N/A</v>
      </c>
      <c r="Y132" s="137" t="str">
        <f>IF(AND(VLOOKUP(W132,'BD LUB'!$A$2:$L$223,11,FALSE)="PASADO",VLOOKUP(W132,'BD LUB'!$A$2:$L$223,12,FALSE)="PASADO"),1,IF(OR(AND(VLOOKUP(W132,'BD LUB'!$A$2:$L$223,11,FALSE)="PASADO",VLOOKUP(W132,'BD LUB'!$A$2:$L$223,12,FALSE)="PRÓXIMO"),AND(VLOOKUP(W132,'BD LUB'!$A$2:$L$223,11,FALSE)="PRÓXIMO",VLOOKUP(W132,'BD LUB'!$A$2:$L$223,12,FALSE)="PASADO")),2,IF(OR(AND(VLOOKUP(W132,'BD LUB'!$A$2:$L$223,11,FALSE)="PASADO",VLOOKUP(W132,'BD LUB'!$A$2:$L$223,12,FALSE)="VIGENTE"),AND(VLOOKUP(W132,'BD LUB'!$A$2:$L$223,11,FALSE)="VIGENTE",VLOOKUP(W132,'BD LUB'!$A$2:$L$223,12,FALSE)="PASADO")),3,IF(AND(VLOOKUP(W132,'BD LUB'!$A$2:$L$223,11,FALSE)="PRÓXIMO",VLOOKUP(W132,'BD LUB'!$A$2:$L$223,12,FALSE)="PRÓXIMO"),4,IF(OR(AND(VLOOKUP(W132,'BD LUB'!$A$2:$L$223,11,FALSE)="PRÓXIMO",VLOOKUP(W132,'BD LUB'!$A$2:$L$223,12,FALSE)="VIGENTE"),AND(VLOOKUP(W132,'BD LUB'!$A$2:$L$223,11,FALSE)="VIGENTE",VLOOKUP(W132,'BD LUB'!$A$2:$L$223,12,FALSE)="PRÓXIMO")),5,IF(AND(VLOOKUP(W132,'BD LUB'!$A$2:$L$223,11,FALSE)="VIGENTE",VLOOKUP(W132,'BD LUB'!$A$2:$L$223,12,FALSE)="VIGENTE"),6,"No definido"))))))</f>
        <v>#N/A</v>
      </c>
      <c r="Z132" s="138"/>
      <c r="AA132" s="139" t="str">
        <f>(VLOOKUP(Z132,'BD LUB'!$A$2:$L$223,5,FALSE)/VLOOKUP(Z132,'BD LUB'!$A$2:$L$223,7,FALSE))+(VLOOKUP(Z132,'BD LUB'!$A$2:$L$223,6,FALSE)/VLOOKUP(Z132,'BD LUB'!$A$2:$L$223,8,FALSE))</f>
        <v>#N/A</v>
      </c>
      <c r="AB132" s="78" t="str">
        <f>IF(AND(VLOOKUP(Z132,'BD LUB'!$A$2:$L$223,11,FALSE)="PASADO",VLOOKUP(Z132,'BD LUB'!$A$2:$L$223,12,FALSE)="PASADO"),1,IF(OR(AND(VLOOKUP(Z132,'BD LUB'!$A$2:$L$223,11,FALSE)="PASADO",VLOOKUP(Z132,'BD LUB'!$A$2:$L$223,12,FALSE)="PRÓXIMO"),AND(VLOOKUP(Z132,'BD LUB'!$A$2:$L$223,11,FALSE)="PRÓXIMO",VLOOKUP(Z132,'BD LUB'!$A$2:$L$223,12,FALSE)="PASADO")),2,IF(OR(AND(VLOOKUP(Z132,'BD LUB'!$A$2:$L$223,11,FALSE)="PASADO",VLOOKUP(Z132,'BD LUB'!$A$2:$L$223,12,FALSE)="VIGENTE"),AND(VLOOKUP(Z132,'BD LUB'!$A$2:$L$223,11,FALSE)="VIGENTE",VLOOKUP(Z132,'BD LUB'!$A$2:$L$223,12,FALSE)="PASADO")),3,IF(AND(VLOOKUP(Z132,'BD LUB'!$A$2:$L$223,11,FALSE)="PRÓXIMO",VLOOKUP(Z132,'BD LUB'!$A$2:$L$223,12,FALSE)="PRÓXIMO"),4,IF(OR(AND(VLOOKUP(Z132,'BD LUB'!$A$2:$L$223,11,FALSE)="PRÓXIMO",VLOOKUP(Z132,'BD LUB'!$A$2:$L$223,12,FALSE)="VIGENTE"),AND(VLOOKUP(Z132,'BD LUB'!$A$2:$L$223,11,FALSE)="VIGENTE",VLOOKUP(Z132,'BD LUB'!$A$2:$L$223,12,FALSE)="PRÓXIMO")),5,IF(AND(VLOOKUP(Z132,'BD LUB'!$A$2:$L$223,11,FALSE)="VIGENTE",VLOOKUP(Z132,'BD LUB'!$A$2:$L$223,12,FALSE)="VIGENTE"),6,"No definido"))))))</f>
        <v>#N/A</v>
      </c>
      <c r="AC132" s="78"/>
      <c r="AD132" s="136" t="str">
        <f>IF(VLOOKUP(AC132,'BD LUB'!$A$2:$C$223,3,FALSE)=$AH$20,AC132&amp;" MED",IF(VLOOKUP(AC132,'BD LUB'!$A$2:$C$223,3,FALSE)=$AH$19,AC132&amp;" MAY",IF(VLOOKUP(AC132,'BD LUB'!$A$2:$C$223,3,FALSE)=$AH$18,AC132&amp;" RN",IF(VLOOKUP(AC132,'BD LUB'!$A$2:$C$223,3,FALSE)=$AH$17,AC132&amp;" COPQUI",IF(VLOOKUP(AC132,'BD LUB'!$A$2:$C$223,3,FALSE)=$AH$16,AC132&amp;" CEJ",IF(VLOOKUP(AC132,'BD LUB'!$A$2:$C$223,3,FALSE)=$AH$15,AC132&amp;" BULT",IF(VLOOKUP(AC132,'BD LUB'!$A$2:$C$223,3,FALSE)=$AH$14,AC132&amp;" COP",IF(VLOOKUP(AC132,'BD LUB'!$A$2:$C$223,3,FALSE)=$AH$13,AC132&amp;" RIO",IF(VLOOKUP(AC132,'BD LUB'!$A$2:$C$223,3,FALSE)=$AH$21,AC132&amp;" APART","Dato no encontrado")))))))))</f>
        <v>#N/A</v>
      </c>
      <c r="AE132" s="160"/>
      <c r="AF132" s="160"/>
      <c r="AG132" s="160"/>
      <c r="AH132" s="160"/>
      <c r="AI132" s="160"/>
      <c r="AJ132" s="160"/>
      <c r="AP132" s="160"/>
      <c r="AV132" s="160"/>
    </row>
    <row r="133">
      <c r="A133" s="158"/>
      <c r="B133" s="126">
        <v>130.0</v>
      </c>
      <c r="C133" s="78">
        <f>IFERROR(__xludf.DUMMYFUNCTION("""COMPUTED_VALUE"""),2910.0)</f>
        <v>2910</v>
      </c>
      <c r="D133" s="156">
        <f>IFERROR(__xludf.DUMMYFUNCTION("""COMPUTED_VALUE"""),46275.0)</f>
        <v>46275</v>
      </c>
      <c r="E133" s="78" t="str">
        <f>IFERROR(__xludf.DUMMYFUNCTION("""COMPUTED_VALUE"""),"24-Rionegro")</f>
        <v>24-Rionegro</v>
      </c>
      <c r="F133" s="156">
        <f>IFERROR(__xludf.DUMMYFUNCTION("""COMPUTED_VALUE"""),46112.0)</f>
        <v>46112</v>
      </c>
      <c r="G133" s="159">
        <f>IFERROR(__xludf.DUMMYFUNCTION("""COMPUTED_VALUE"""),76.0)</f>
        <v>76</v>
      </c>
      <c r="H133" s="78" t="str">
        <f>IFERROR(__xludf.DUMMYFUNCTION("""COMPUTED_VALUE"""),"VIGENTE")</f>
        <v>VIGENTE</v>
      </c>
      <c r="I133" s="132" t="str">
        <f t="shared" si="1"/>
        <v>-</v>
      </c>
      <c r="J133" s="158"/>
      <c r="K133" s="126">
        <v>130.0</v>
      </c>
      <c r="L133" s="78">
        <f>IFERROR(__xludf.DUMMYFUNCTION("""COMPUTED_VALUE"""),2898.0)</f>
        <v>2898</v>
      </c>
      <c r="M133" s="156">
        <f>IFERROR(__xludf.DUMMYFUNCTION("""COMPUTED_VALUE"""),46242.0)</f>
        <v>46242</v>
      </c>
      <c r="N133" s="78" t="str">
        <f>IFERROR(__xludf.DUMMYFUNCTION("""COMPUTED_VALUE"""),"31-Copacabana")</f>
        <v>31-Copacabana</v>
      </c>
      <c r="O133" s="156">
        <f>IFERROR(__xludf.DUMMYFUNCTION("""COMPUTED_VALUE"""),46177.0)</f>
        <v>46177</v>
      </c>
      <c r="P133" s="159">
        <f>IFERROR(__xludf.DUMMYFUNCTION("""COMPUTED_VALUE"""),3758.0)</f>
        <v>3758</v>
      </c>
      <c r="Q133" s="78" t="str">
        <f>IFERROR(__xludf.DUMMYFUNCTION("""COMPUTED_VALUE"""),"VIGENTE")</f>
        <v>VIGENTE</v>
      </c>
      <c r="R133" s="132" t="str">
        <f t="shared" si="2"/>
        <v>-</v>
      </c>
      <c r="T133" s="134" t="str">
        <f>CALENDARIO!D145</f>
        <v/>
      </c>
      <c r="U133" s="135" t="str">
        <f>CALENDARIO!C145</f>
        <v/>
      </c>
      <c r="W133" s="78"/>
      <c r="X133" s="136" t="str">
        <f>(VLOOKUP(W133,'BD LUB'!$A$2:$L$223,5,FALSE)/VLOOKUP(W133,'BD LUB'!$A$2:$L$223,7,FALSE))+(VLOOKUP(W133,'BD LUB'!$A$2:$L$223,6,FALSE)/VLOOKUP(W133,'BD LUB'!$A$2:$L$223,8,FALSE))</f>
        <v>#N/A</v>
      </c>
      <c r="Y133" s="137" t="str">
        <f>IF(AND(VLOOKUP(W133,'BD LUB'!$A$2:$L$223,11,FALSE)="PASADO",VLOOKUP(W133,'BD LUB'!$A$2:$L$223,12,FALSE)="PASADO"),1,IF(OR(AND(VLOOKUP(W133,'BD LUB'!$A$2:$L$223,11,FALSE)="PASADO",VLOOKUP(W133,'BD LUB'!$A$2:$L$223,12,FALSE)="PRÓXIMO"),AND(VLOOKUP(W133,'BD LUB'!$A$2:$L$223,11,FALSE)="PRÓXIMO",VLOOKUP(W133,'BD LUB'!$A$2:$L$223,12,FALSE)="PASADO")),2,IF(OR(AND(VLOOKUP(W133,'BD LUB'!$A$2:$L$223,11,FALSE)="PASADO",VLOOKUP(W133,'BD LUB'!$A$2:$L$223,12,FALSE)="VIGENTE"),AND(VLOOKUP(W133,'BD LUB'!$A$2:$L$223,11,FALSE)="VIGENTE",VLOOKUP(W133,'BD LUB'!$A$2:$L$223,12,FALSE)="PASADO")),3,IF(AND(VLOOKUP(W133,'BD LUB'!$A$2:$L$223,11,FALSE)="PRÓXIMO",VLOOKUP(W133,'BD LUB'!$A$2:$L$223,12,FALSE)="PRÓXIMO"),4,IF(OR(AND(VLOOKUP(W133,'BD LUB'!$A$2:$L$223,11,FALSE)="PRÓXIMO",VLOOKUP(W133,'BD LUB'!$A$2:$L$223,12,FALSE)="VIGENTE"),AND(VLOOKUP(W133,'BD LUB'!$A$2:$L$223,11,FALSE)="VIGENTE",VLOOKUP(W133,'BD LUB'!$A$2:$L$223,12,FALSE)="PRÓXIMO")),5,IF(AND(VLOOKUP(W133,'BD LUB'!$A$2:$L$223,11,FALSE)="VIGENTE",VLOOKUP(W133,'BD LUB'!$A$2:$L$223,12,FALSE)="VIGENTE"),6,"No definido"))))))</f>
        <v>#N/A</v>
      </c>
      <c r="Z133" s="138"/>
      <c r="AA133" s="139" t="str">
        <f>(VLOOKUP(Z133,'BD LUB'!$A$2:$L$223,5,FALSE)/VLOOKUP(Z133,'BD LUB'!$A$2:$L$223,7,FALSE))+(VLOOKUP(Z133,'BD LUB'!$A$2:$L$223,6,FALSE)/VLOOKUP(Z133,'BD LUB'!$A$2:$L$223,8,FALSE))</f>
        <v>#N/A</v>
      </c>
      <c r="AB133" s="78" t="str">
        <f>IF(AND(VLOOKUP(Z133,'BD LUB'!$A$2:$L$223,11,FALSE)="PASADO",VLOOKUP(Z133,'BD LUB'!$A$2:$L$223,12,FALSE)="PASADO"),1,IF(OR(AND(VLOOKUP(Z133,'BD LUB'!$A$2:$L$223,11,FALSE)="PASADO",VLOOKUP(Z133,'BD LUB'!$A$2:$L$223,12,FALSE)="PRÓXIMO"),AND(VLOOKUP(Z133,'BD LUB'!$A$2:$L$223,11,FALSE)="PRÓXIMO",VLOOKUP(Z133,'BD LUB'!$A$2:$L$223,12,FALSE)="PASADO")),2,IF(OR(AND(VLOOKUP(Z133,'BD LUB'!$A$2:$L$223,11,FALSE)="PASADO",VLOOKUP(Z133,'BD LUB'!$A$2:$L$223,12,FALSE)="VIGENTE"),AND(VLOOKUP(Z133,'BD LUB'!$A$2:$L$223,11,FALSE)="VIGENTE",VLOOKUP(Z133,'BD LUB'!$A$2:$L$223,12,FALSE)="PASADO")),3,IF(AND(VLOOKUP(Z133,'BD LUB'!$A$2:$L$223,11,FALSE)="PRÓXIMO",VLOOKUP(Z133,'BD LUB'!$A$2:$L$223,12,FALSE)="PRÓXIMO"),4,IF(OR(AND(VLOOKUP(Z133,'BD LUB'!$A$2:$L$223,11,FALSE)="PRÓXIMO",VLOOKUP(Z133,'BD LUB'!$A$2:$L$223,12,FALSE)="VIGENTE"),AND(VLOOKUP(Z133,'BD LUB'!$A$2:$L$223,11,FALSE)="VIGENTE",VLOOKUP(Z133,'BD LUB'!$A$2:$L$223,12,FALSE)="PRÓXIMO")),5,IF(AND(VLOOKUP(Z133,'BD LUB'!$A$2:$L$223,11,FALSE)="VIGENTE",VLOOKUP(Z133,'BD LUB'!$A$2:$L$223,12,FALSE)="VIGENTE"),6,"No definido"))))))</f>
        <v>#N/A</v>
      </c>
      <c r="AC133" s="78"/>
      <c r="AD133" s="136" t="str">
        <f>IF(VLOOKUP(AC133,'BD LUB'!$A$2:$C$223,3,FALSE)=$AH$20,AC133&amp;" MED",IF(VLOOKUP(AC133,'BD LUB'!$A$2:$C$223,3,FALSE)=$AH$19,AC133&amp;" MAY",IF(VLOOKUP(AC133,'BD LUB'!$A$2:$C$223,3,FALSE)=$AH$18,AC133&amp;" RN",IF(VLOOKUP(AC133,'BD LUB'!$A$2:$C$223,3,FALSE)=$AH$17,AC133&amp;" COPQUI",IF(VLOOKUP(AC133,'BD LUB'!$A$2:$C$223,3,FALSE)=$AH$16,AC133&amp;" CEJ",IF(VLOOKUP(AC133,'BD LUB'!$A$2:$C$223,3,FALSE)=$AH$15,AC133&amp;" BULT",IF(VLOOKUP(AC133,'BD LUB'!$A$2:$C$223,3,FALSE)=$AH$14,AC133&amp;" COP",IF(VLOOKUP(AC133,'BD LUB'!$A$2:$C$223,3,FALSE)=$AH$13,AC133&amp;" RIO",IF(VLOOKUP(AC133,'BD LUB'!$A$2:$C$223,3,FALSE)=$AH$21,AC133&amp;" APART","Dato no encontrado")))))))))</f>
        <v>#N/A</v>
      </c>
      <c r="AE133" s="160"/>
      <c r="AF133" s="160"/>
      <c r="AG133" s="160"/>
      <c r="AH133" s="160"/>
      <c r="AI133" s="160"/>
      <c r="AJ133" s="160"/>
      <c r="AP133" s="160"/>
      <c r="AV133" s="160"/>
    </row>
    <row r="134">
      <c r="A134" s="158"/>
      <c r="B134" s="126">
        <v>131.0</v>
      </c>
      <c r="C134" s="78">
        <f>IFERROR(__xludf.DUMMYFUNCTION("""COMPUTED_VALUE"""),2878.0)</f>
        <v>2878</v>
      </c>
      <c r="D134" s="156">
        <f>IFERROR(__xludf.DUMMYFUNCTION("""COMPUTED_VALUE"""),46226.0)</f>
        <v>46226</v>
      </c>
      <c r="E134" s="78" t="str">
        <f>IFERROR(__xludf.DUMMYFUNCTION("""COMPUTED_VALUE"""),"02-Medellin")</f>
        <v>02-Medellin</v>
      </c>
      <c r="F134" s="156">
        <f>IFERROR(__xludf.DUMMYFUNCTION("""COMPUTED_VALUE"""),46112.0)</f>
        <v>46112</v>
      </c>
      <c r="G134" s="159">
        <f>IFERROR(__xludf.DUMMYFUNCTION("""COMPUTED_VALUE"""),76.0)</f>
        <v>76</v>
      </c>
      <c r="H134" s="78" t="str">
        <f>IFERROR(__xludf.DUMMYFUNCTION("""COMPUTED_VALUE"""),"VIGENTE")</f>
        <v>VIGENTE</v>
      </c>
      <c r="I134" s="132" t="str">
        <f t="shared" si="1"/>
        <v>-</v>
      </c>
      <c r="J134" s="158"/>
      <c r="K134" s="126">
        <v>131.0</v>
      </c>
      <c r="L134" s="78">
        <f>IFERROR(__xludf.DUMMYFUNCTION("""COMPUTED_VALUE"""),2883.0)</f>
        <v>2883</v>
      </c>
      <c r="M134" s="156">
        <f>IFERROR(__xludf.DUMMYFUNCTION("""COMPUTED_VALUE"""),46233.0)</f>
        <v>46233</v>
      </c>
      <c r="N134" s="78" t="str">
        <f>IFERROR(__xludf.DUMMYFUNCTION("""COMPUTED_VALUE"""),"MAYORCA")</f>
        <v>MAYORCA</v>
      </c>
      <c r="O134" s="156">
        <f>IFERROR(__xludf.DUMMYFUNCTION("""COMPUTED_VALUE"""),46162.0)</f>
        <v>46162</v>
      </c>
      <c r="P134" s="159">
        <f>IFERROR(__xludf.DUMMYFUNCTION("""COMPUTED_VALUE"""),3796.0)</f>
        <v>3796</v>
      </c>
      <c r="Q134" s="78" t="str">
        <f>IFERROR(__xludf.DUMMYFUNCTION("""COMPUTED_VALUE"""),"VIGENTE")</f>
        <v>VIGENTE</v>
      </c>
      <c r="R134" s="132" t="str">
        <f t="shared" si="2"/>
        <v>-</v>
      </c>
      <c r="T134" s="134" t="str">
        <f>CALENDARIO!D146</f>
        <v/>
      </c>
      <c r="U134" s="135" t="str">
        <f>CALENDARIO!C146</f>
        <v/>
      </c>
      <c r="W134" s="78"/>
      <c r="X134" s="136" t="str">
        <f>(VLOOKUP(W134,'BD LUB'!$A$2:$L$223,5,FALSE)/VLOOKUP(W134,'BD LUB'!$A$2:$L$223,7,FALSE))+(VLOOKUP(W134,'BD LUB'!$A$2:$L$223,6,FALSE)/VLOOKUP(W134,'BD LUB'!$A$2:$L$223,8,FALSE))</f>
        <v>#N/A</v>
      </c>
      <c r="Y134" s="137" t="str">
        <f>IF(AND(VLOOKUP(W134,'BD LUB'!$A$2:$L$223,11,FALSE)="PASADO",VLOOKUP(W134,'BD LUB'!$A$2:$L$223,12,FALSE)="PASADO"),1,IF(OR(AND(VLOOKUP(W134,'BD LUB'!$A$2:$L$223,11,FALSE)="PASADO",VLOOKUP(W134,'BD LUB'!$A$2:$L$223,12,FALSE)="PRÓXIMO"),AND(VLOOKUP(W134,'BD LUB'!$A$2:$L$223,11,FALSE)="PRÓXIMO",VLOOKUP(W134,'BD LUB'!$A$2:$L$223,12,FALSE)="PASADO")),2,IF(OR(AND(VLOOKUP(W134,'BD LUB'!$A$2:$L$223,11,FALSE)="PASADO",VLOOKUP(W134,'BD LUB'!$A$2:$L$223,12,FALSE)="VIGENTE"),AND(VLOOKUP(W134,'BD LUB'!$A$2:$L$223,11,FALSE)="VIGENTE",VLOOKUP(W134,'BD LUB'!$A$2:$L$223,12,FALSE)="PASADO")),3,IF(AND(VLOOKUP(W134,'BD LUB'!$A$2:$L$223,11,FALSE)="PRÓXIMO",VLOOKUP(W134,'BD LUB'!$A$2:$L$223,12,FALSE)="PRÓXIMO"),4,IF(OR(AND(VLOOKUP(W134,'BD LUB'!$A$2:$L$223,11,FALSE)="PRÓXIMO",VLOOKUP(W134,'BD LUB'!$A$2:$L$223,12,FALSE)="VIGENTE"),AND(VLOOKUP(W134,'BD LUB'!$A$2:$L$223,11,FALSE)="VIGENTE",VLOOKUP(W134,'BD LUB'!$A$2:$L$223,12,FALSE)="PRÓXIMO")),5,IF(AND(VLOOKUP(W134,'BD LUB'!$A$2:$L$223,11,FALSE)="VIGENTE",VLOOKUP(W134,'BD LUB'!$A$2:$L$223,12,FALSE)="VIGENTE"),6,"No definido"))))))</f>
        <v>#N/A</v>
      </c>
      <c r="Z134" s="138"/>
      <c r="AA134" s="139" t="str">
        <f>(VLOOKUP(Z134,'BD LUB'!$A$2:$L$223,5,FALSE)/VLOOKUP(Z134,'BD LUB'!$A$2:$L$223,7,FALSE))+(VLOOKUP(Z134,'BD LUB'!$A$2:$L$223,6,FALSE)/VLOOKUP(Z134,'BD LUB'!$A$2:$L$223,8,FALSE))</f>
        <v>#N/A</v>
      </c>
      <c r="AB134" s="78" t="str">
        <f>IF(AND(VLOOKUP(Z134,'BD LUB'!$A$2:$L$223,11,FALSE)="PASADO",VLOOKUP(Z134,'BD LUB'!$A$2:$L$223,12,FALSE)="PASADO"),1,IF(OR(AND(VLOOKUP(Z134,'BD LUB'!$A$2:$L$223,11,FALSE)="PASADO",VLOOKUP(Z134,'BD LUB'!$A$2:$L$223,12,FALSE)="PRÓXIMO"),AND(VLOOKUP(Z134,'BD LUB'!$A$2:$L$223,11,FALSE)="PRÓXIMO",VLOOKUP(Z134,'BD LUB'!$A$2:$L$223,12,FALSE)="PASADO")),2,IF(OR(AND(VLOOKUP(Z134,'BD LUB'!$A$2:$L$223,11,FALSE)="PASADO",VLOOKUP(Z134,'BD LUB'!$A$2:$L$223,12,FALSE)="VIGENTE"),AND(VLOOKUP(Z134,'BD LUB'!$A$2:$L$223,11,FALSE)="VIGENTE",VLOOKUP(Z134,'BD LUB'!$A$2:$L$223,12,FALSE)="PASADO")),3,IF(AND(VLOOKUP(Z134,'BD LUB'!$A$2:$L$223,11,FALSE)="PRÓXIMO",VLOOKUP(Z134,'BD LUB'!$A$2:$L$223,12,FALSE)="PRÓXIMO"),4,IF(OR(AND(VLOOKUP(Z134,'BD LUB'!$A$2:$L$223,11,FALSE)="PRÓXIMO",VLOOKUP(Z134,'BD LUB'!$A$2:$L$223,12,FALSE)="VIGENTE"),AND(VLOOKUP(Z134,'BD LUB'!$A$2:$L$223,11,FALSE)="VIGENTE",VLOOKUP(Z134,'BD LUB'!$A$2:$L$223,12,FALSE)="PRÓXIMO")),5,IF(AND(VLOOKUP(Z134,'BD LUB'!$A$2:$L$223,11,FALSE)="VIGENTE",VLOOKUP(Z134,'BD LUB'!$A$2:$L$223,12,FALSE)="VIGENTE"),6,"No definido"))))))</f>
        <v>#N/A</v>
      </c>
      <c r="AC134" s="78"/>
      <c r="AD134" s="136" t="str">
        <f>IF(VLOOKUP(AC134,'BD LUB'!$A$2:$C$223,3,FALSE)=$AH$20,AC134&amp;" MED",IF(VLOOKUP(AC134,'BD LUB'!$A$2:$C$223,3,FALSE)=$AH$19,AC134&amp;" MAY",IF(VLOOKUP(AC134,'BD LUB'!$A$2:$C$223,3,FALSE)=$AH$18,AC134&amp;" RN",IF(VLOOKUP(AC134,'BD LUB'!$A$2:$C$223,3,FALSE)=$AH$17,AC134&amp;" COPQUI",IF(VLOOKUP(AC134,'BD LUB'!$A$2:$C$223,3,FALSE)=$AH$16,AC134&amp;" CEJ",IF(VLOOKUP(AC134,'BD LUB'!$A$2:$C$223,3,FALSE)=$AH$15,AC134&amp;" BULT",IF(VLOOKUP(AC134,'BD LUB'!$A$2:$C$223,3,FALSE)=$AH$14,AC134&amp;" COP",IF(VLOOKUP(AC134,'BD LUB'!$A$2:$C$223,3,FALSE)=$AH$13,AC134&amp;" RIO",IF(VLOOKUP(AC134,'BD LUB'!$A$2:$C$223,3,FALSE)=$AH$21,AC134&amp;" APART","Dato no encontrado")))))))))</f>
        <v>#N/A</v>
      </c>
      <c r="AE134" s="160"/>
      <c r="AF134" s="160"/>
      <c r="AG134" s="160"/>
      <c r="AH134" s="160"/>
      <c r="AI134" s="160"/>
      <c r="AJ134" s="160"/>
      <c r="AP134" s="160"/>
      <c r="AV134" s="160"/>
    </row>
    <row r="135">
      <c r="A135" s="158"/>
      <c r="B135" s="126">
        <v>132.0</v>
      </c>
      <c r="C135" s="78">
        <f>IFERROR(__xludf.DUMMYFUNCTION("""COMPUTED_VALUE"""),2366.0)</f>
        <v>2366</v>
      </c>
      <c r="D135" s="156">
        <f>IFERROR(__xludf.DUMMYFUNCTION("""COMPUTED_VALUE"""),46306.0)</f>
        <v>46306</v>
      </c>
      <c r="E135" s="78" t="str">
        <f>IFERROR(__xludf.DUMMYFUNCTION("""COMPUTED_VALUE"""),"02-Medellin")</f>
        <v>02-Medellin</v>
      </c>
      <c r="F135" s="156">
        <f>IFERROR(__xludf.DUMMYFUNCTION("""COMPUTED_VALUE"""),46112.0)</f>
        <v>46112</v>
      </c>
      <c r="G135" s="159">
        <f>IFERROR(__xludf.DUMMYFUNCTION("""COMPUTED_VALUE"""),76.0)</f>
        <v>76</v>
      </c>
      <c r="H135" s="78" t="str">
        <f>IFERROR(__xludf.DUMMYFUNCTION("""COMPUTED_VALUE"""),"VIGENTE")</f>
        <v>VIGENTE</v>
      </c>
      <c r="I135" s="132" t="str">
        <f t="shared" si="1"/>
        <v>-</v>
      </c>
      <c r="J135" s="158"/>
      <c r="K135" s="126">
        <v>132.0</v>
      </c>
      <c r="L135" s="78">
        <f>IFERROR(__xludf.DUMMYFUNCTION("""COMPUTED_VALUE"""),2492.0)</f>
        <v>2492</v>
      </c>
      <c r="M135" s="156">
        <f>IFERROR(__xludf.DUMMYFUNCTION("""COMPUTED_VALUE"""),46555.0)</f>
        <v>46555</v>
      </c>
      <c r="N135" s="78" t="str">
        <f>IFERROR(__xludf.DUMMYFUNCTION("""COMPUTED_VALUE"""),"02-Medellin")</f>
        <v>02-Medellin</v>
      </c>
      <c r="O135" s="156">
        <f>IFERROR(__xludf.DUMMYFUNCTION("""COMPUTED_VALUE"""),46142.0)</f>
        <v>46142</v>
      </c>
      <c r="P135" s="159">
        <f>IFERROR(__xludf.DUMMYFUNCTION("""COMPUTED_VALUE"""),3798.7)</f>
        <v>3798.7</v>
      </c>
      <c r="Q135" s="78" t="str">
        <f>IFERROR(__xludf.DUMMYFUNCTION("""COMPUTED_VALUE"""),"VIGENTE")</f>
        <v>VIGENTE</v>
      </c>
      <c r="R135" s="132" t="str">
        <f t="shared" si="2"/>
        <v>-</v>
      </c>
      <c r="T135" s="134" t="str">
        <f>CALENDARIO!D147</f>
        <v/>
      </c>
      <c r="U135" s="135" t="str">
        <f>CALENDARIO!C147</f>
        <v/>
      </c>
      <c r="W135" s="78"/>
      <c r="X135" s="136" t="str">
        <f>(VLOOKUP(W135,'BD LUB'!$A$2:$L$223,5,FALSE)/VLOOKUP(W135,'BD LUB'!$A$2:$L$223,7,FALSE))+(VLOOKUP(W135,'BD LUB'!$A$2:$L$223,6,FALSE)/VLOOKUP(W135,'BD LUB'!$A$2:$L$223,8,FALSE))</f>
        <v>#N/A</v>
      </c>
      <c r="Y135" s="137" t="str">
        <f>IF(AND(VLOOKUP(W135,'BD LUB'!$A$2:$L$223,11,FALSE)="PASADO",VLOOKUP(W135,'BD LUB'!$A$2:$L$223,12,FALSE)="PASADO"),1,IF(OR(AND(VLOOKUP(W135,'BD LUB'!$A$2:$L$223,11,FALSE)="PASADO",VLOOKUP(W135,'BD LUB'!$A$2:$L$223,12,FALSE)="PRÓXIMO"),AND(VLOOKUP(W135,'BD LUB'!$A$2:$L$223,11,FALSE)="PRÓXIMO",VLOOKUP(W135,'BD LUB'!$A$2:$L$223,12,FALSE)="PASADO")),2,IF(OR(AND(VLOOKUP(W135,'BD LUB'!$A$2:$L$223,11,FALSE)="PASADO",VLOOKUP(W135,'BD LUB'!$A$2:$L$223,12,FALSE)="VIGENTE"),AND(VLOOKUP(W135,'BD LUB'!$A$2:$L$223,11,FALSE)="VIGENTE",VLOOKUP(W135,'BD LUB'!$A$2:$L$223,12,FALSE)="PASADO")),3,IF(AND(VLOOKUP(W135,'BD LUB'!$A$2:$L$223,11,FALSE)="PRÓXIMO",VLOOKUP(W135,'BD LUB'!$A$2:$L$223,12,FALSE)="PRÓXIMO"),4,IF(OR(AND(VLOOKUP(W135,'BD LUB'!$A$2:$L$223,11,FALSE)="PRÓXIMO",VLOOKUP(W135,'BD LUB'!$A$2:$L$223,12,FALSE)="VIGENTE"),AND(VLOOKUP(W135,'BD LUB'!$A$2:$L$223,11,FALSE)="VIGENTE",VLOOKUP(W135,'BD LUB'!$A$2:$L$223,12,FALSE)="PRÓXIMO")),5,IF(AND(VLOOKUP(W135,'BD LUB'!$A$2:$L$223,11,FALSE)="VIGENTE",VLOOKUP(W135,'BD LUB'!$A$2:$L$223,12,FALSE)="VIGENTE"),6,"No definido"))))))</f>
        <v>#N/A</v>
      </c>
      <c r="Z135" s="138"/>
      <c r="AA135" s="139" t="str">
        <f>(VLOOKUP(Z135,'BD LUB'!$A$2:$L$223,5,FALSE)/VLOOKUP(Z135,'BD LUB'!$A$2:$L$223,7,FALSE))+(VLOOKUP(Z135,'BD LUB'!$A$2:$L$223,6,FALSE)/VLOOKUP(Z135,'BD LUB'!$A$2:$L$223,8,FALSE))</f>
        <v>#N/A</v>
      </c>
      <c r="AB135" s="78" t="str">
        <f>IF(AND(VLOOKUP(Z135,'BD LUB'!$A$2:$L$223,11,FALSE)="PASADO",VLOOKUP(Z135,'BD LUB'!$A$2:$L$223,12,FALSE)="PASADO"),1,IF(OR(AND(VLOOKUP(Z135,'BD LUB'!$A$2:$L$223,11,FALSE)="PASADO",VLOOKUP(Z135,'BD LUB'!$A$2:$L$223,12,FALSE)="PRÓXIMO"),AND(VLOOKUP(Z135,'BD LUB'!$A$2:$L$223,11,FALSE)="PRÓXIMO",VLOOKUP(Z135,'BD LUB'!$A$2:$L$223,12,FALSE)="PASADO")),2,IF(OR(AND(VLOOKUP(Z135,'BD LUB'!$A$2:$L$223,11,FALSE)="PASADO",VLOOKUP(Z135,'BD LUB'!$A$2:$L$223,12,FALSE)="VIGENTE"),AND(VLOOKUP(Z135,'BD LUB'!$A$2:$L$223,11,FALSE)="VIGENTE",VLOOKUP(Z135,'BD LUB'!$A$2:$L$223,12,FALSE)="PASADO")),3,IF(AND(VLOOKUP(Z135,'BD LUB'!$A$2:$L$223,11,FALSE)="PRÓXIMO",VLOOKUP(Z135,'BD LUB'!$A$2:$L$223,12,FALSE)="PRÓXIMO"),4,IF(OR(AND(VLOOKUP(Z135,'BD LUB'!$A$2:$L$223,11,FALSE)="PRÓXIMO",VLOOKUP(Z135,'BD LUB'!$A$2:$L$223,12,FALSE)="VIGENTE"),AND(VLOOKUP(Z135,'BD LUB'!$A$2:$L$223,11,FALSE)="VIGENTE",VLOOKUP(Z135,'BD LUB'!$A$2:$L$223,12,FALSE)="PRÓXIMO")),5,IF(AND(VLOOKUP(Z135,'BD LUB'!$A$2:$L$223,11,FALSE)="VIGENTE",VLOOKUP(Z135,'BD LUB'!$A$2:$L$223,12,FALSE)="VIGENTE"),6,"No definido"))))))</f>
        <v>#N/A</v>
      </c>
      <c r="AC135" s="78"/>
      <c r="AD135" s="136" t="str">
        <f>IF(VLOOKUP(AC135,'BD LUB'!$A$2:$C$223,3,FALSE)=$AH$20,AC135&amp;" MED",IF(VLOOKUP(AC135,'BD LUB'!$A$2:$C$223,3,FALSE)=$AH$19,AC135&amp;" MAY",IF(VLOOKUP(AC135,'BD LUB'!$A$2:$C$223,3,FALSE)=$AH$18,AC135&amp;" RN",IF(VLOOKUP(AC135,'BD LUB'!$A$2:$C$223,3,FALSE)=$AH$17,AC135&amp;" COPQUI",IF(VLOOKUP(AC135,'BD LUB'!$A$2:$C$223,3,FALSE)=$AH$16,AC135&amp;" CEJ",IF(VLOOKUP(AC135,'BD LUB'!$A$2:$C$223,3,FALSE)=$AH$15,AC135&amp;" BULT",IF(VLOOKUP(AC135,'BD LUB'!$A$2:$C$223,3,FALSE)=$AH$14,AC135&amp;" COP",IF(VLOOKUP(AC135,'BD LUB'!$A$2:$C$223,3,FALSE)=$AH$13,AC135&amp;" RIO",IF(VLOOKUP(AC135,'BD LUB'!$A$2:$C$223,3,FALSE)=$AH$21,AC135&amp;" APART","Dato no encontrado")))))))))</f>
        <v>#N/A</v>
      </c>
      <c r="AE135" s="160"/>
      <c r="AF135" s="160"/>
      <c r="AG135" s="160"/>
      <c r="AH135" s="160"/>
      <c r="AI135" s="160"/>
      <c r="AJ135" s="160"/>
      <c r="AP135" s="160"/>
      <c r="AV135" s="160"/>
    </row>
    <row r="136">
      <c r="A136" s="158"/>
      <c r="B136" s="126">
        <v>133.0</v>
      </c>
      <c r="C136" s="78">
        <f>IFERROR(__xludf.DUMMYFUNCTION("""COMPUTED_VALUE"""),2918.0)</f>
        <v>2918</v>
      </c>
      <c r="D136" s="156">
        <f>IFERROR(__xludf.DUMMYFUNCTION("""COMPUTED_VALUE"""),46303.0)</f>
        <v>46303</v>
      </c>
      <c r="E136" s="78" t="str">
        <f>IFERROR(__xludf.DUMMYFUNCTION("""COMPUTED_VALUE"""),"02-Medellin")</f>
        <v>02-Medellin</v>
      </c>
      <c r="F136" s="156">
        <f>IFERROR(__xludf.DUMMYFUNCTION("""COMPUTED_VALUE"""),46118.0)</f>
        <v>46118</v>
      </c>
      <c r="G136" s="159">
        <f>IFERROR(__xludf.DUMMYFUNCTION("""COMPUTED_VALUE"""),82.0)</f>
        <v>82</v>
      </c>
      <c r="H136" s="78" t="str">
        <f>IFERROR(__xludf.DUMMYFUNCTION("""COMPUTED_VALUE"""),"VIGENTE")</f>
        <v>VIGENTE</v>
      </c>
      <c r="I136" s="132" t="str">
        <f t="shared" si="1"/>
        <v>-</v>
      </c>
      <c r="J136" s="158"/>
      <c r="K136" s="126">
        <v>133.0</v>
      </c>
      <c r="L136" s="78">
        <f>IFERROR(__xludf.DUMMYFUNCTION("""COMPUTED_VALUE"""),2666.0)</f>
        <v>2666</v>
      </c>
      <c r="M136" s="156">
        <f>IFERROR(__xludf.DUMMYFUNCTION("""COMPUTED_VALUE"""),46492.0)</f>
        <v>46492</v>
      </c>
      <c r="N136" s="78" t="str">
        <f>IFERROR(__xludf.DUMMYFUNCTION("""COMPUTED_VALUE"""),"02-Medellin")</f>
        <v>02-Medellin</v>
      </c>
      <c r="O136" s="156">
        <f>IFERROR(__xludf.DUMMYFUNCTION("""COMPUTED_VALUE"""),46056.0)</f>
        <v>46056</v>
      </c>
      <c r="P136" s="159">
        <f>IFERROR(__xludf.DUMMYFUNCTION("""COMPUTED_VALUE"""),3863.3)</f>
        <v>3863.3</v>
      </c>
      <c r="Q136" s="78" t="str">
        <f>IFERROR(__xludf.DUMMYFUNCTION("""COMPUTED_VALUE"""),"VIGENTE")</f>
        <v>VIGENTE</v>
      </c>
      <c r="R136" s="132" t="str">
        <f t="shared" si="2"/>
        <v>-</v>
      </c>
      <c r="T136" s="134" t="str">
        <f>CALENDARIO!D148</f>
        <v/>
      </c>
      <c r="U136" s="135" t="str">
        <f>CALENDARIO!C148</f>
        <v/>
      </c>
      <c r="W136" s="78"/>
      <c r="X136" s="136" t="str">
        <f>(VLOOKUP(W136,'BD LUB'!$A$2:$L$223,5,FALSE)/VLOOKUP(W136,'BD LUB'!$A$2:$L$223,7,FALSE))+(VLOOKUP(W136,'BD LUB'!$A$2:$L$223,6,FALSE)/VLOOKUP(W136,'BD LUB'!$A$2:$L$223,8,FALSE))</f>
        <v>#N/A</v>
      </c>
      <c r="Y136" s="137" t="str">
        <f>IF(AND(VLOOKUP(W136,'BD LUB'!$A$2:$L$223,11,FALSE)="PASADO",VLOOKUP(W136,'BD LUB'!$A$2:$L$223,12,FALSE)="PASADO"),1,IF(OR(AND(VLOOKUP(W136,'BD LUB'!$A$2:$L$223,11,FALSE)="PASADO",VLOOKUP(W136,'BD LUB'!$A$2:$L$223,12,FALSE)="PRÓXIMO"),AND(VLOOKUP(W136,'BD LUB'!$A$2:$L$223,11,FALSE)="PRÓXIMO",VLOOKUP(W136,'BD LUB'!$A$2:$L$223,12,FALSE)="PASADO")),2,IF(OR(AND(VLOOKUP(W136,'BD LUB'!$A$2:$L$223,11,FALSE)="PASADO",VLOOKUP(W136,'BD LUB'!$A$2:$L$223,12,FALSE)="VIGENTE"),AND(VLOOKUP(W136,'BD LUB'!$A$2:$L$223,11,FALSE)="VIGENTE",VLOOKUP(W136,'BD LUB'!$A$2:$L$223,12,FALSE)="PASADO")),3,IF(AND(VLOOKUP(W136,'BD LUB'!$A$2:$L$223,11,FALSE)="PRÓXIMO",VLOOKUP(W136,'BD LUB'!$A$2:$L$223,12,FALSE)="PRÓXIMO"),4,IF(OR(AND(VLOOKUP(W136,'BD LUB'!$A$2:$L$223,11,FALSE)="PRÓXIMO",VLOOKUP(W136,'BD LUB'!$A$2:$L$223,12,FALSE)="VIGENTE"),AND(VLOOKUP(W136,'BD LUB'!$A$2:$L$223,11,FALSE)="VIGENTE",VLOOKUP(W136,'BD LUB'!$A$2:$L$223,12,FALSE)="PRÓXIMO")),5,IF(AND(VLOOKUP(W136,'BD LUB'!$A$2:$L$223,11,FALSE)="VIGENTE",VLOOKUP(W136,'BD LUB'!$A$2:$L$223,12,FALSE)="VIGENTE"),6,"No definido"))))))</f>
        <v>#N/A</v>
      </c>
      <c r="Z136" s="138"/>
      <c r="AA136" s="139" t="str">
        <f>(VLOOKUP(Z136,'BD LUB'!$A$2:$L$223,5,FALSE)/VLOOKUP(Z136,'BD LUB'!$A$2:$L$223,7,FALSE))+(VLOOKUP(Z136,'BD LUB'!$A$2:$L$223,6,FALSE)/VLOOKUP(Z136,'BD LUB'!$A$2:$L$223,8,FALSE))</f>
        <v>#N/A</v>
      </c>
      <c r="AB136" s="78" t="str">
        <f>IF(AND(VLOOKUP(Z136,'BD LUB'!$A$2:$L$223,11,FALSE)="PASADO",VLOOKUP(Z136,'BD LUB'!$A$2:$L$223,12,FALSE)="PASADO"),1,IF(OR(AND(VLOOKUP(Z136,'BD LUB'!$A$2:$L$223,11,FALSE)="PASADO",VLOOKUP(Z136,'BD LUB'!$A$2:$L$223,12,FALSE)="PRÓXIMO"),AND(VLOOKUP(Z136,'BD LUB'!$A$2:$L$223,11,FALSE)="PRÓXIMO",VLOOKUP(Z136,'BD LUB'!$A$2:$L$223,12,FALSE)="PASADO")),2,IF(OR(AND(VLOOKUP(Z136,'BD LUB'!$A$2:$L$223,11,FALSE)="PASADO",VLOOKUP(Z136,'BD LUB'!$A$2:$L$223,12,FALSE)="VIGENTE"),AND(VLOOKUP(Z136,'BD LUB'!$A$2:$L$223,11,FALSE)="VIGENTE",VLOOKUP(Z136,'BD LUB'!$A$2:$L$223,12,FALSE)="PASADO")),3,IF(AND(VLOOKUP(Z136,'BD LUB'!$A$2:$L$223,11,FALSE)="PRÓXIMO",VLOOKUP(Z136,'BD LUB'!$A$2:$L$223,12,FALSE)="PRÓXIMO"),4,IF(OR(AND(VLOOKUP(Z136,'BD LUB'!$A$2:$L$223,11,FALSE)="PRÓXIMO",VLOOKUP(Z136,'BD LUB'!$A$2:$L$223,12,FALSE)="VIGENTE"),AND(VLOOKUP(Z136,'BD LUB'!$A$2:$L$223,11,FALSE)="VIGENTE",VLOOKUP(Z136,'BD LUB'!$A$2:$L$223,12,FALSE)="PRÓXIMO")),5,IF(AND(VLOOKUP(Z136,'BD LUB'!$A$2:$L$223,11,FALSE)="VIGENTE",VLOOKUP(Z136,'BD LUB'!$A$2:$L$223,12,FALSE)="VIGENTE"),6,"No definido"))))))</f>
        <v>#N/A</v>
      </c>
      <c r="AC136" s="78"/>
      <c r="AD136" s="136" t="str">
        <f>IF(VLOOKUP(AC136,'BD LUB'!$A$2:$C$223,3,FALSE)=$AH$20,AC136&amp;" MED",IF(VLOOKUP(AC136,'BD LUB'!$A$2:$C$223,3,FALSE)=$AH$19,AC136&amp;" MAY",IF(VLOOKUP(AC136,'BD LUB'!$A$2:$C$223,3,FALSE)=$AH$18,AC136&amp;" RN",IF(VLOOKUP(AC136,'BD LUB'!$A$2:$C$223,3,FALSE)=$AH$17,AC136&amp;" COPQUI",IF(VLOOKUP(AC136,'BD LUB'!$A$2:$C$223,3,FALSE)=$AH$16,AC136&amp;" CEJ",IF(VLOOKUP(AC136,'BD LUB'!$A$2:$C$223,3,FALSE)=$AH$15,AC136&amp;" BULT",IF(VLOOKUP(AC136,'BD LUB'!$A$2:$C$223,3,FALSE)=$AH$14,AC136&amp;" COP",IF(VLOOKUP(AC136,'BD LUB'!$A$2:$C$223,3,FALSE)=$AH$13,AC136&amp;" RIO",IF(VLOOKUP(AC136,'BD LUB'!$A$2:$C$223,3,FALSE)=$AH$21,AC136&amp;" APART","Dato no encontrado")))))))))</f>
        <v>#N/A</v>
      </c>
      <c r="AE136" s="160"/>
      <c r="AF136" s="160"/>
      <c r="AG136" s="160"/>
      <c r="AH136" s="160"/>
      <c r="AI136" s="160"/>
      <c r="AJ136" s="160"/>
      <c r="AP136" s="160"/>
      <c r="AV136" s="160"/>
    </row>
    <row r="137">
      <c r="A137" s="158"/>
      <c r="B137" s="126">
        <v>134.0</v>
      </c>
      <c r="C137" s="78">
        <f>IFERROR(__xludf.DUMMYFUNCTION("""COMPUTED_VALUE"""),3215.0)</f>
        <v>3215</v>
      </c>
      <c r="D137" s="156">
        <f>IFERROR(__xludf.DUMMYFUNCTION("""COMPUTED_VALUE"""),46654.0)</f>
        <v>46654</v>
      </c>
      <c r="E137" s="78" t="str">
        <f>IFERROR(__xludf.DUMMYFUNCTION("""COMPUTED_VALUE"""),"02-Medellin")</f>
        <v>02-Medellin</v>
      </c>
      <c r="F137" s="156">
        <f>IFERROR(__xludf.DUMMYFUNCTION("""COMPUTED_VALUE"""),46120.0)</f>
        <v>46120</v>
      </c>
      <c r="G137" s="159">
        <f>IFERROR(__xludf.DUMMYFUNCTION("""COMPUTED_VALUE"""),84.0)</f>
        <v>84</v>
      </c>
      <c r="H137" s="78" t="str">
        <f>IFERROR(__xludf.DUMMYFUNCTION("""COMPUTED_VALUE"""),"VIGENTE")</f>
        <v>VIGENTE</v>
      </c>
      <c r="I137" s="132" t="str">
        <f t="shared" si="1"/>
        <v>-</v>
      </c>
      <c r="J137" s="158"/>
      <c r="K137" s="126">
        <v>134.0</v>
      </c>
      <c r="L137" s="78">
        <f>IFERROR(__xludf.DUMMYFUNCTION("""COMPUTED_VALUE"""),2389.0)</f>
        <v>2389</v>
      </c>
      <c r="M137" s="156">
        <f>IFERROR(__xludf.DUMMYFUNCTION("""COMPUTED_VALUE"""),46527.0)</f>
        <v>46527</v>
      </c>
      <c r="N137" s="78" t="str">
        <f>IFERROR(__xludf.DUMMYFUNCTION("""COMPUTED_VALUE"""),"24-Rionegro")</f>
        <v>24-Rionegro</v>
      </c>
      <c r="O137" s="156">
        <f>IFERROR(__xludf.DUMMYFUNCTION("""COMPUTED_VALUE"""),46111.0)</f>
        <v>46111</v>
      </c>
      <c r="P137" s="159">
        <f>IFERROR(__xludf.DUMMYFUNCTION("""COMPUTED_VALUE"""),3889.8)</f>
        <v>3889.8</v>
      </c>
      <c r="Q137" s="78" t="str">
        <f>IFERROR(__xludf.DUMMYFUNCTION("""COMPUTED_VALUE"""),"VIGENTE")</f>
        <v>VIGENTE</v>
      </c>
      <c r="R137" s="132" t="str">
        <f t="shared" si="2"/>
        <v>-</v>
      </c>
      <c r="T137" s="134" t="str">
        <f>CALENDARIO!D149</f>
        <v/>
      </c>
      <c r="U137" s="135" t="str">
        <f>CALENDARIO!C149</f>
        <v/>
      </c>
      <c r="W137" s="78"/>
      <c r="X137" s="136" t="str">
        <f>(VLOOKUP(W137,'BD LUB'!$A$2:$L$223,5,FALSE)/VLOOKUP(W137,'BD LUB'!$A$2:$L$223,7,FALSE))+(VLOOKUP(W137,'BD LUB'!$A$2:$L$223,6,FALSE)/VLOOKUP(W137,'BD LUB'!$A$2:$L$223,8,FALSE))</f>
        <v>#N/A</v>
      </c>
      <c r="Y137" s="137" t="str">
        <f>IF(AND(VLOOKUP(W137,'BD LUB'!$A$2:$L$223,11,FALSE)="PASADO",VLOOKUP(W137,'BD LUB'!$A$2:$L$223,12,FALSE)="PASADO"),1,IF(OR(AND(VLOOKUP(W137,'BD LUB'!$A$2:$L$223,11,FALSE)="PASADO",VLOOKUP(W137,'BD LUB'!$A$2:$L$223,12,FALSE)="PRÓXIMO"),AND(VLOOKUP(W137,'BD LUB'!$A$2:$L$223,11,FALSE)="PRÓXIMO",VLOOKUP(W137,'BD LUB'!$A$2:$L$223,12,FALSE)="PASADO")),2,IF(OR(AND(VLOOKUP(W137,'BD LUB'!$A$2:$L$223,11,FALSE)="PASADO",VLOOKUP(W137,'BD LUB'!$A$2:$L$223,12,FALSE)="VIGENTE"),AND(VLOOKUP(W137,'BD LUB'!$A$2:$L$223,11,FALSE)="VIGENTE",VLOOKUP(W137,'BD LUB'!$A$2:$L$223,12,FALSE)="PASADO")),3,IF(AND(VLOOKUP(W137,'BD LUB'!$A$2:$L$223,11,FALSE)="PRÓXIMO",VLOOKUP(W137,'BD LUB'!$A$2:$L$223,12,FALSE)="PRÓXIMO"),4,IF(OR(AND(VLOOKUP(W137,'BD LUB'!$A$2:$L$223,11,FALSE)="PRÓXIMO",VLOOKUP(W137,'BD LUB'!$A$2:$L$223,12,FALSE)="VIGENTE"),AND(VLOOKUP(W137,'BD LUB'!$A$2:$L$223,11,FALSE)="VIGENTE",VLOOKUP(W137,'BD LUB'!$A$2:$L$223,12,FALSE)="PRÓXIMO")),5,IF(AND(VLOOKUP(W137,'BD LUB'!$A$2:$L$223,11,FALSE)="VIGENTE",VLOOKUP(W137,'BD LUB'!$A$2:$L$223,12,FALSE)="VIGENTE"),6,"No definido"))))))</f>
        <v>#N/A</v>
      </c>
      <c r="Z137" s="138"/>
      <c r="AA137" s="139" t="str">
        <f>(VLOOKUP(Z137,'BD LUB'!$A$2:$L$223,5,FALSE)/VLOOKUP(Z137,'BD LUB'!$A$2:$L$223,7,FALSE))+(VLOOKUP(Z137,'BD LUB'!$A$2:$L$223,6,FALSE)/VLOOKUP(Z137,'BD LUB'!$A$2:$L$223,8,FALSE))</f>
        <v>#N/A</v>
      </c>
      <c r="AB137" s="78" t="str">
        <f>IF(AND(VLOOKUP(Z137,'BD LUB'!$A$2:$L$223,11,FALSE)="PASADO",VLOOKUP(Z137,'BD LUB'!$A$2:$L$223,12,FALSE)="PASADO"),1,IF(OR(AND(VLOOKUP(Z137,'BD LUB'!$A$2:$L$223,11,FALSE)="PASADO",VLOOKUP(Z137,'BD LUB'!$A$2:$L$223,12,FALSE)="PRÓXIMO"),AND(VLOOKUP(Z137,'BD LUB'!$A$2:$L$223,11,FALSE)="PRÓXIMO",VLOOKUP(Z137,'BD LUB'!$A$2:$L$223,12,FALSE)="PASADO")),2,IF(OR(AND(VLOOKUP(Z137,'BD LUB'!$A$2:$L$223,11,FALSE)="PASADO",VLOOKUP(Z137,'BD LUB'!$A$2:$L$223,12,FALSE)="VIGENTE"),AND(VLOOKUP(Z137,'BD LUB'!$A$2:$L$223,11,FALSE)="VIGENTE",VLOOKUP(Z137,'BD LUB'!$A$2:$L$223,12,FALSE)="PASADO")),3,IF(AND(VLOOKUP(Z137,'BD LUB'!$A$2:$L$223,11,FALSE)="PRÓXIMO",VLOOKUP(Z137,'BD LUB'!$A$2:$L$223,12,FALSE)="PRÓXIMO"),4,IF(OR(AND(VLOOKUP(Z137,'BD LUB'!$A$2:$L$223,11,FALSE)="PRÓXIMO",VLOOKUP(Z137,'BD LUB'!$A$2:$L$223,12,FALSE)="VIGENTE"),AND(VLOOKUP(Z137,'BD LUB'!$A$2:$L$223,11,FALSE)="VIGENTE",VLOOKUP(Z137,'BD LUB'!$A$2:$L$223,12,FALSE)="PRÓXIMO")),5,IF(AND(VLOOKUP(Z137,'BD LUB'!$A$2:$L$223,11,FALSE)="VIGENTE",VLOOKUP(Z137,'BD LUB'!$A$2:$L$223,12,FALSE)="VIGENTE"),6,"No definido"))))))</f>
        <v>#N/A</v>
      </c>
      <c r="AC137" s="78"/>
      <c r="AD137" s="136" t="str">
        <f>IF(VLOOKUP(AC137,'BD LUB'!$A$2:$C$223,3,FALSE)=$AH$20,AC137&amp;" MED",IF(VLOOKUP(AC137,'BD LUB'!$A$2:$C$223,3,FALSE)=$AH$19,AC137&amp;" MAY",IF(VLOOKUP(AC137,'BD LUB'!$A$2:$C$223,3,FALSE)=$AH$18,AC137&amp;" RN",IF(VLOOKUP(AC137,'BD LUB'!$A$2:$C$223,3,FALSE)=$AH$17,AC137&amp;" COPQUI",IF(VLOOKUP(AC137,'BD LUB'!$A$2:$C$223,3,FALSE)=$AH$16,AC137&amp;" CEJ",IF(VLOOKUP(AC137,'BD LUB'!$A$2:$C$223,3,FALSE)=$AH$15,AC137&amp;" BULT",IF(VLOOKUP(AC137,'BD LUB'!$A$2:$C$223,3,FALSE)=$AH$14,AC137&amp;" COP",IF(VLOOKUP(AC137,'BD LUB'!$A$2:$C$223,3,FALSE)=$AH$13,AC137&amp;" RIO",IF(VLOOKUP(AC137,'BD LUB'!$A$2:$C$223,3,FALSE)=$AH$21,AC137&amp;" APART","Dato no encontrado")))))))))</f>
        <v>#N/A</v>
      </c>
      <c r="AE137" s="160"/>
      <c r="AF137" s="160"/>
      <c r="AG137" s="160"/>
      <c r="AH137" s="160"/>
      <c r="AI137" s="160"/>
      <c r="AJ137" s="160"/>
      <c r="AP137" s="160"/>
      <c r="AV137" s="160"/>
    </row>
    <row r="138">
      <c r="A138" s="158"/>
      <c r="B138" s="126">
        <v>135.0</v>
      </c>
      <c r="C138" s="78">
        <f>IFERROR(__xludf.DUMMYFUNCTION("""COMPUTED_VALUE"""),2850.0)</f>
        <v>2850</v>
      </c>
      <c r="D138" s="156">
        <f>IFERROR(__xludf.DUMMYFUNCTION("""COMPUTED_VALUE"""),46570.0)</f>
        <v>46570</v>
      </c>
      <c r="E138" s="78" t="str">
        <f>IFERROR(__xludf.DUMMYFUNCTION("""COMPUTED_VALUE"""),"MAYORCA")</f>
        <v>MAYORCA</v>
      </c>
      <c r="F138" s="156">
        <f>IFERROR(__xludf.DUMMYFUNCTION("""COMPUTED_VALUE"""),46120.0)</f>
        <v>46120</v>
      </c>
      <c r="G138" s="159">
        <f>IFERROR(__xludf.DUMMYFUNCTION("""COMPUTED_VALUE"""),84.0)</f>
        <v>84</v>
      </c>
      <c r="H138" s="78" t="str">
        <f>IFERROR(__xludf.DUMMYFUNCTION("""COMPUTED_VALUE"""),"VIGENTE")</f>
        <v>VIGENTE</v>
      </c>
      <c r="I138" s="132" t="str">
        <f t="shared" si="1"/>
        <v>-</v>
      </c>
      <c r="J138" s="158"/>
      <c r="K138" s="126">
        <v>135.0</v>
      </c>
      <c r="L138" s="78">
        <f>IFERROR(__xludf.DUMMYFUNCTION("""COMPUTED_VALUE"""),2464.0)</f>
        <v>2464</v>
      </c>
      <c r="M138" s="156">
        <f>IFERROR(__xludf.DUMMYFUNCTION("""COMPUTED_VALUE"""),46295.0)</f>
        <v>46295</v>
      </c>
      <c r="N138" s="78" t="str">
        <f>IFERROR(__xludf.DUMMYFUNCTION("""COMPUTED_VALUE"""),"02-Medellin")</f>
        <v>02-Medellin</v>
      </c>
      <c r="O138" s="156">
        <f>IFERROR(__xludf.DUMMYFUNCTION("""COMPUTED_VALUE"""),46061.0)</f>
        <v>46061</v>
      </c>
      <c r="P138" s="159">
        <f>IFERROR(__xludf.DUMMYFUNCTION("""COMPUTED_VALUE"""),3932.1000000000004)</f>
        <v>3932.1</v>
      </c>
      <c r="Q138" s="78" t="str">
        <f>IFERROR(__xludf.DUMMYFUNCTION("""COMPUTED_VALUE"""),"VIGENTE")</f>
        <v>VIGENTE</v>
      </c>
      <c r="R138" s="132" t="str">
        <f t="shared" si="2"/>
        <v>-</v>
      </c>
      <c r="T138" s="134" t="str">
        <f>CALENDARIO!D150</f>
        <v/>
      </c>
      <c r="U138" s="135" t="str">
        <f>CALENDARIO!C150</f>
        <v/>
      </c>
      <c r="W138" s="78"/>
      <c r="X138" s="136" t="str">
        <f>(VLOOKUP(W138,'BD LUB'!$A$2:$L$223,5,FALSE)/VLOOKUP(W138,'BD LUB'!$A$2:$L$223,7,FALSE))+(VLOOKUP(W138,'BD LUB'!$A$2:$L$223,6,FALSE)/VLOOKUP(W138,'BD LUB'!$A$2:$L$223,8,FALSE))</f>
        <v>#N/A</v>
      </c>
      <c r="Y138" s="137" t="str">
        <f>IF(AND(VLOOKUP(W138,'BD LUB'!$A$2:$L$223,11,FALSE)="PASADO",VLOOKUP(W138,'BD LUB'!$A$2:$L$223,12,FALSE)="PASADO"),1,IF(OR(AND(VLOOKUP(W138,'BD LUB'!$A$2:$L$223,11,FALSE)="PASADO",VLOOKUP(W138,'BD LUB'!$A$2:$L$223,12,FALSE)="PRÓXIMO"),AND(VLOOKUP(W138,'BD LUB'!$A$2:$L$223,11,FALSE)="PRÓXIMO",VLOOKUP(W138,'BD LUB'!$A$2:$L$223,12,FALSE)="PASADO")),2,IF(OR(AND(VLOOKUP(W138,'BD LUB'!$A$2:$L$223,11,FALSE)="PASADO",VLOOKUP(W138,'BD LUB'!$A$2:$L$223,12,FALSE)="VIGENTE"),AND(VLOOKUP(W138,'BD LUB'!$A$2:$L$223,11,FALSE)="VIGENTE",VLOOKUP(W138,'BD LUB'!$A$2:$L$223,12,FALSE)="PASADO")),3,IF(AND(VLOOKUP(W138,'BD LUB'!$A$2:$L$223,11,FALSE)="PRÓXIMO",VLOOKUP(W138,'BD LUB'!$A$2:$L$223,12,FALSE)="PRÓXIMO"),4,IF(OR(AND(VLOOKUP(W138,'BD LUB'!$A$2:$L$223,11,FALSE)="PRÓXIMO",VLOOKUP(W138,'BD LUB'!$A$2:$L$223,12,FALSE)="VIGENTE"),AND(VLOOKUP(W138,'BD LUB'!$A$2:$L$223,11,FALSE)="VIGENTE",VLOOKUP(W138,'BD LUB'!$A$2:$L$223,12,FALSE)="PRÓXIMO")),5,IF(AND(VLOOKUP(W138,'BD LUB'!$A$2:$L$223,11,FALSE)="VIGENTE",VLOOKUP(W138,'BD LUB'!$A$2:$L$223,12,FALSE)="VIGENTE"),6,"No definido"))))))</f>
        <v>#N/A</v>
      </c>
      <c r="Z138" s="138"/>
      <c r="AA138" s="139" t="str">
        <f>(VLOOKUP(Z138,'BD LUB'!$A$2:$L$223,5,FALSE)/VLOOKUP(Z138,'BD LUB'!$A$2:$L$223,7,FALSE))+(VLOOKUP(Z138,'BD LUB'!$A$2:$L$223,6,FALSE)/VLOOKUP(Z138,'BD LUB'!$A$2:$L$223,8,FALSE))</f>
        <v>#N/A</v>
      </c>
      <c r="AB138" s="78" t="str">
        <f>IF(AND(VLOOKUP(Z138,'BD LUB'!$A$2:$L$223,11,FALSE)="PASADO",VLOOKUP(Z138,'BD LUB'!$A$2:$L$223,12,FALSE)="PASADO"),1,IF(OR(AND(VLOOKUP(Z138,'BD LUB'!$A$2:$L$223,11,FALSE)="PASADO",VLOOKUP(Z138,'BD LUB'!$A$2:$L$223,12,FALSE)="PRÓXIMO"),AND(VLOOKUP(Z138,'BD LUB'!$A$2:$L$223,11,FALSE)="PRÓXIMO",VLOOKUP(Z138,'BD LUB'!$A$2:$L$223,12,FALSE)="PASADO")),2,IF(OR(AND(VLOOKUP(Z138,'BD LUB'!$A$2:$L$223,11,FALSE)="PASADO",VLOOKUP(Z138,'BD LUB'!$A$2:$L$223,12,FALSE)="VIGENTE"),AND(VLOOKUP(Z138,'BD LUB'!$A$2:$L$223,11,FALSE)="VIGENTE",VLOOKUP(Z138,'BD LUB'!$A$2:$L$223,12,FALSE)="PASADO")),3,IF(AND(VLOOKUP(Z138,'BD LUB'!$A$2:$L$223,11,FALSE)="PRÓXIMO",VLOOKUP(Z138,'BD LUB'!$A$2:$L$223,12,FALSE)="PRÓXIMO"),4,IF(OR(AND(VLOOKUP(Z138,'BD LUB'!$A$2:$L$223,11,FALSE)="PRÓXIMO",VLOOKUP(Z138,'BD LUB'!$A$2:$L$223,12,FALSE)="VIGENTE"),AND(VLOOKUP(Z138,'BD LUB'!$A$2:$L$223,11,FALSE)="VIGENTE",VLOOKUP(Z138,'BD LUB'!$A$2:$L$223,12,FALSE)="PRÓXIMO")),5,IF(AND(VLOOKUP(Z138,'BD LUB'!$A$2:$L$223,11,FALSE)="VIGENTE",VLOOKUP(Z138,'BD LUB'!$A$2:$L$223,12,FALSE)="VIGENTE"),6,"No definido"))))))</f>
        <v>#N/A</v>
      </c>
      <c r="AC138" s="78"/>
      <c r="AD138" s="136" t="str">
        <f>IF(VLOOKUP(AC138,'BD LUB'!$A$2:$C$223,3,FALSE)=$AH$20,AC138&amp;" MED",IF(VLOOKUP(AC138,'BD LUB'!$A$2:$C$223,3,FALSE)=$AH$19,AC138&amp;" MAY",IF(VLOOKUP(AC138,'BD LUB'!$A$2:$C$223,3,FALSE)=$AH$18,AC138&amp;" RN",IF(VLOOKUP(AC138,'BD LUB'!$A$2:$C$223,3,FALSE)=$AH$17,AC138&amp;" COPQUI",IF(VLOOKUP(AC138,'BD LUB'!$A$2:$C$223,3,FALSE)=$AH$16,AC138&amp;" CEJ",IF(VLOOKUP(AC138,'BD LUB'!$A$2:$C$223,3,FALSE)=$AH$15,AC138&amp;" BULT",IF(VLOOKUP(AC138,'BD LUB'!$A$2:$C$223,3,FALSE)=$AH$14,AC138&amp;" COP",IF(VLOOKUP(AC138,'BD LUB'!$A$2:$C$223,3,FALSE)=$AH$13,AC138&amp;" RIO",IF(VLOOKUP(AC138,'BD LUB'!$A$2:$C$223,3,FALSE)=$AH$21,AC138&amp;" APART","Dato no encontrado")))))))))</f>
        <v>#N/A</v>
      </c>
      <c r="AE138" s="160"/>
      <c r="AF138" s="160"/>
      <c r="AG138" s="160"/>
      <c r="AH138" s="160"/>
      <c r="AI138" s="160"/>
      <c r="AJ138" s="160"/>
      <c r="AP138" s="160"/>
      <c r="AV138" s="160"/>
    </row>
    <row r="139">
      <c r="A139" s="158"/>
      <c r="B139" s="126">
        <v>136.0</v>
      </c>
      <c r="C139" s="78">
        <f>IFERROR(__xludf.DUMMYFUNCTION("""COMPUTED_VALUE"""),2454.0)</f>
        <v>2454</v>
      </c>
      <c r="D139" s="156">
        <f>IFERROR(__xludf.DUMMYFUNCTION("""COMPUTED_VALUE"""),46291.0)</f>
        <v>46291</v>
      </c>
      <c r="E139" s="78" t="str">
        <f>IFERROR(__xludf.DUMMYFUNCTION("""COMPUTED_VALUE"""),"02-Medellin")</f>
        <v>02-Medellin</v>
      </c>
      <c r="F139" s="156">
        <f>IFERROR(__xludf.DUMMYFUNCTION("""COMPUTED_VALUE"""),46121.0)</f>
        <v>46121</v>
      </c>
      <c r="G139" s="159">
        <f>IFERROR(__xludf.DUMMYFUNCTION("""COMPUTED_VALUE"""),85.0)</f>
        <v>85</v>
      </c>
      <c r="H139" s="78" t="str">
        <f>IFERROR(__xludf.DUMMYFUNCTION("""COMPUTED_VALUE"""),"VIGENTE")</f>
        <v>VIGENTE</v>
      </c>
      <c r="I139" s="132" t="str">
        <f t="shared" si="1"/>
        <v>-</v>
      </c>
      <c r="J139" s="158"/>
      <c r="K139" s="126">
        <v>136.0</v>
      </c>
      <c r="L139" s="78">
        <f>IFERROR(__xludf.DUMMYFUNCTION("""COMPUTED_VALUE"""),2643.0)</f>
        <v>2643</v>
      </c>
      <c r="M139" s="156">
        <f>IFERROR(__xludf.DUMMYFUNCTION("""COMPUTED_VALUE"""),46259.0)</f>
        <v>46259</v>
      </c>
      <c r="N139" s="78" t="str">
        <f>IFERROR(__xludf.DUMMYFUNCTION("""COMPUTED_VALUE"""),"27-Apartado")</f>
        <v>27-Apartado</v>
      </c>
      <c r="O139" s="156">
        <f>IFERROR(__xludf.DUMMYFUNCTION("""COMPUTED_VALUE"""),46037.0)</f>
        <v>46037</v>
      </c>
      <c r="P139" s="159">
        <f>IFERROR(__xludf.DUMMYFUNCTION("""COMPUTED_VALUE"""),4014.0)</f>
        <v>4014</v>
      </c>
      <c r="Q139" s="78" t="str">
        <f>IFERROR(__xludf.DUMMYFUNCTION("""COMPUTED_VALUE"""),"VIGENTE")</f>
        <v>VIGENTE</v>
      </c>
      <c r="R139" s="132" t="str">
        <f t="shared" si="2"/>
        <v>-</v>
      </c>
      <c r="T139" s="134" t="str">
        <f>CALENDARIO!D151</f>
        <v/>
      </c>
      <c r="U139" s="135" t="str">
        <f>CALENDARIO!C151</f>
        <v/>
      </c>
      <c r="W139" s="78"/>
      <c r="X139" s="136" t="str">
        <f>(VLOOKUP(W139,'BD LUB'!$A$2:$L$223,5,FALSE)/VLOOKUP(W139,'BD LUB'!$A$2:$L$223,7,FALSE))+(VLOOKUP(W139,'BD LUB'!$A$2:$L$223,6,FALSE)/VLOOKUP(W139,'BD LUB'!$A$2:$L$223,8,FALSE))</f>
        <v>#N/A</v>
      </c>
      <c r="Y139" s="137" t="str">
        <f>IF(AND(VLOOKUP(W139,'BD LUB'!$A$2:$L$223,11,FALSE)="PASADO",VLOOKUP(W139,'BD LUB'!$A$2:$L$223,12,FALSE)="PASADO"),1,IF(OR(AND(VLOOKUP(W139,'BD LUB'!$A$2:$L$223,11,FALSE)="PASADO",VLOOKUP(W139,'BD LUB'!$A$2:$L$223,12,FALSE)="PRÓXIMO"),AND(VLOOKUP(W139,'BD LUB'!$A$2:$L$223,11,FALSE)="PRÓXIMO",VLOOKUP(W139,'BD LUB'!$A$2:$L$223,12,FALSE)="PASADO")),2,IF(OR(AND(VLOOKUP(W139,'BD LUB'!$A$2:$L$223,11,FALSE)="PASADO",VLOOKUP(W139,'BD LUB'!$A$2:$L$223,12,FALSE)="VIGENTE"),AND(VLOOKUP(W139,'BD LUB'!$A$2:$L$223,11,FALSE)="VIGENTE",VLOOKUP(W139,'BD LUB'!$A$2:$L$223,12,FALSE)="PASADO")),3,IF(AND(VLOOKUP(W139,'BD LUB'!$A$2:$L$223,11,FALSE)="PRÓXIMO",VLOOKUP(W139,'BD LUB'!$A$2:$L$223,12,FALSE)="PRÓXIMO"),4,IF(OR(AND(VLOOKUP(W139,'BD LUB'!$A$2:$L$223,11,FALSE)="PRÓXIMO",VLOOKUP(W139,'BD LUB'!$A$2:$L$223,12,FALSE)="VIGENTE"),AND(VLOOKUP(W139,'BD LUB'!$A$2:$L$223,11,FALSE)="VIGENTE",VLOOKUP(W139,'BD LUB'!$A$2:$L$223,12,FALSE)="PRÓXIMO")),5,IF(AND(VLOOKUP(W139,'BD LUB'!$A$2:$L$223,11,FALSE)="VIGENTE",VLOOKUP(W139,'BD LUB'!$A$2:$L$223,12,FALSE)="VIGENTE"),6,"No definido"))))))</f>
        <v>#N/A</v>
      </c>
      <c r="Z139" s="138"/>
      <c r="AA139" s="139" t="str">
        <f>(VLOOKUP(Z139,'BD LUB'!$A$2:$L$223,5,FALSE)/VLOOKUP(Z139,'BD LUB'!$A$2:$L$223,7,FALSE))+(VLOOKUP(Z139,'BD LUB'!$A$2:$L$223,6,FALSE)/VLOOKUP(Z139,'BD LUB'!$A$2:$L$223,8,FALSE))</f>
        <v>#N/A</v>
      </c>
      <c r="AB139" s="78" t="str">
        <f>IF(AND(VLOOKUP(Z139,'BD LUB'!$A$2:$L$223,11,FALSE)="PASADO",VLOOKUP(Z139,'BD LUB'!$A$2:$L$223,12,FALSE)="PASADO"),1,IF(OR(AND(VLOOKUP(Z139,'BD LUB'!$A$2:$L$223,11,FALSE)="PASADO",VLOOKUP(Z139,'BD LUB'!$A$2:$L$223,12,FALSE)="PRÓXIMO"),AND(VLOOKUP(Z139,'BD LUB'!$A$2:$L$223,11,FALSE)="PRÓXIMO",VLOOKUP(Z139,'BD LUB'!$A$2:$L$223,12,FALSE)="PASADO")),2,IF(OR(AND(VLOOKUP(Z139,'BD LUB'!$A$2:$L$223,11,FALSE)="PASADO",VLOOKUP(Z139,'BD LUB'!$A$2:$L$223,12,FALSE)="VIGENTE"),AND(VLOOKUP(Z139,'BD LUB'!$A$2:$L$223,11,FALSE)="VIGENTE",VLOOKUP(Z139,'BD LUB'!$A$2:$L$223,12,FALSE)="PASADO")),3,IF(AND(VLOOKUP(Z139,'BD LUB'!$A$2:$L$223,11,FALSE)="PRÓXIMO",VLOOKUP(Z139,'BD LUB'!$A$2:$L$223,12,FALSE)="PRÓXIMO"),4,IF(OR(AND(VLOOKUP(Z139,'BD LUB'!$A$2:$L$223,11,FALSE)="PRÓXIMO",VLOOKUP(Z139,'BD LUB'!$A$2:$L$223,12,FALSE)="VIGENTE"),AND(VLOOKUP(Z139,'BD LUB'!$A$2:$L$223,11,FALSE)="VIGENTE",VLOOKUP(Z139,'BD LUB'!$A$2:$L$223,12,FALSE)="PRÓXIMO")),5,IF(AND(VLOOKUP(Z139,'BD LUB'!$A$2:$L$223,11,FALSE)="VIGENTE",VLOOKUP(Z139,'BD LUB'!$A$2:$L$223,12,FALSE)="VIGENTE"),6,"No definido"))))))</f>
        <v>#N/A</v>
      </c>
      <c r="AC139" s="78"/>
      <c r="AD139" s="136" t="str">
        <f>IF(VLOOKUP(AC139,'BD LUB'!$A$2:$C$223,3,FALSE)=$AH$20,AC139&amp;" MED",IF(VLOOKUP(AC139,'BD LUB'!$A$2:$C$223,3,FALSE)=$AH$19,AC139&amp;" MAY",IF(VLOOKUP(AC139,'BD LUB'!$A$2:$C$223,3,FALSE)=$AH$18,AC139&amp;" RN",IF(VLOOKUP(AC139,'BD LUB'!$A$2:$C$223,3,FALSE)=$AH$17,AC139&amp;" COPQUI",IF(VLOOKUP(AC139,'BD LUB'!$A$2:$C$223,3,FALSE)=$AH$16,AC139&amp;" CEJ",IF(VLOOKUP(AC139,'BD LUB'!$A$2:$C$223,3,FALSE)=$AH$15,AC139&amp;" BULT",IF(VLOOKUP(AC139,'BD LUB'!$A$2:$C$223,3,FALSE)=$AH$14,AC139&amp;" COP",IF(VLOOKUP(AC139,'BD LUB'!$A$2:$C$223,3,FALSE)=$AH$13,AC139&amp;" RIO",IF(VLOOKUP(AC139,'BD LUB'!$A$2:$C$223,3,FALSE)=$AH$21,AC139&amp;" APART","Dato no encontrado")))))))))</f>
        <v>#N/A</v>
      </c>
      <c r="AE139" s="160"/>
      <c r="AF139" s="160"/>
      <c r="AG139" s="160"/>
      <c r="AH139" s="160"/>
      <c r="AI139" s="160"/>
      <c r="AJ139" s="160"/>
      <c r="AP139" s="160"/>
      <c r="AV139" s="160"/>
    </row>
    <row r="140">
      <c r="A140" s="158"/>
      <c r="B140" s="126">
        <v>137.0</v>
      </c>
      <c r="C140" s="78">
        <f>IFERROR(__xludf.DUMMYFUNCTION("""COMPUTED_VALUE"""),3279.0)</f>
        <v>3279</v>
      </c>
      <c r="D140" s="156">
        <f>IFERROR(__xludf.DUMMYFUNCTION("""COMPUTED_VALUE"""),46668.0)</f>
        <v>46668</v>
      </c>
      <c r="E140" s="78" t="str">
        <f>IFERROR(__xludf.DUMMYFUNCTION("""COMPUTED_VALUE"""),"02-Medellin")</f>
        <v>02-Medellin</v>
      </c>
      <c r="F140" s="156">
        <f>IFERROR(__xludf.DUMMYFUNCTION("""COMPUTED_VALUE"""),46126.0)</f>
        <v>46126</v>
      </c>
      <c r="G140" s="159">
        <f>IFERROR(__xludf.DUMMYFUNCTION("""COMPUTED_VALUE"""),90.0)</f>
        <v>90</v>
      </c>
      <c r="H140" s="78" t="str">
        <f>IFERROR(__xludf.DUMMYFUNCTION("""COMPUTED_VALUE"""),"VIGENTE")</f>
        <v>VIGENTE</v>
      </c>
      <c r="I140" s="132" t="str">
        <f t="shared" si="1"/>
        <v>-</v>
      </c>
      <c r="J140" s="158"/>
      <c r="K140" s="126">
        <v>137.0</v>
      </c>
      <c r="L140" s="78">
        <f>IFERROR(__xludf.DUMMYFUNCTION("""COMPUTED_VALUE"""),2387.0)</f>
        <v>2387</v>
      </c>
      <c r="M140" s="156">
        <f>IFERROR(__xludf.DUMMYFUNCTION("""COMPUTED_VALUE"""),46466.0)</f>
        <v>46466</v>
      </c>
      <c r="N140" s="78" t="str">
        <f>IFERROR(__xludf.DUMMYFUNCTION("""COMPUTED_VALUE"""),"BULTOS")</f>
        <v>BULTOS</v>
      </c>
      <c r="O140" s="156">
        <f>IFERROR(__xludf.DUMMYFUNCTION("""COMPUTED_VALUE"""),46109.0)</f>
        <v>46109</v>
      </c>
      <c r="P140" s="159">
        <f>IFERROR(__xludf.DUMMYFUNCTION("""COMPUTED_VALUE"""),4195.1)</f>
        <v>4195.1</v>
      </c>
      <c r="Q140" s="78" t="str">
        <f>IFERROR(__xludf.DUMMYFUNCTION("""COMPUTED_VALUE"""),"VIGENTE")</f>
        <v>VIGENTE</v>
      </c>
      <c r="R140" s="132" t="str">
        <f t="shared" si="2"/>
        <v>-</v>
      </c>
      <c r="T140" s="134" t="str">
        <f>CALENDARIO!D152</f>
        <v/>
      </c>
      <c r="U140" s="135" t="str">
        <f>CALENDARIO!C152</f>
        <v/>
      </c>
      <c r="W140" s="78"/>
      <c r="X140" s="136" t="str">
        <f>(VLOOKUP(W140,'BD LUB'!$A$2:$L$223,5,FALSE)/VLOOKUP(W140,'BD LUB'!$A$2:$L$223,7,FALSE))+(VLOOKUP(W140,'BD LUB'!$A$2:$L$223,6,FALSE)/VLOOKUP(W140,'BD LUB'!$A$2:$L$223,8,FALSE))</f>
        <v>#N/A</v>
      </c>
      <c r="Y140" s="137" t="str">
        <f>IF(AND(VLOOKUP(W140,'BD LUB'!$A$2:$L$223,11,FALSE)="PASADO",VLOOKUP(W140,'BD LUB'!$A$2:$L$223,12,FALSE)="PASADO"),1,IF(OR(AND(VLOOKUP(W140,'BD LUB'!$A$2:$L$223,11,FALSE)="PASADO",VLOOKUP(W140,'BD LUB'!$A$2:$L$223,12,FALSE)="PRÓXIMO"),AND(VLOOKUP(W140,'BD LUB'!$A$2:$L$223,11,FALSE)="PRÓXIMO",VLOOKUP(W140,'BD LUB'!$A$2:$L$223,12,FALSE)="PASADO")),2,IF(OR(AND(VLOOKUP(W140,'BD LUB'!$A$2:$L$223,11,FALSE)="PASADO",VLOOKUP(W140,'BD LUB'!$A$2:$L$223,12,FALSE)="VIGENTE"),AND(VLOOKUP(W140,'BD LUB'!$A$2:$L$223,11,FALSE)="VIGENTE",VLOOKUP(W140,'BD LUB'!$A$2:$L$223,12,FALSE)="PASADO")),3,IF(AND(VLOOKUP(W140,'BD LUB'!$A$2:$L$223,11,FALSE)="PRÓXIMO",VLOOKUP(W140,'BD LUB'!$A$2:$L$223,12,FALSE)="PRÓXIMO"),4,IF(OR(AND(VLOOKUP(W140,'BD LUB'!$A$2:$L$223,11,FALSE)="PRÓXIMO",VLOOKUP(W140,'BD LUB'!$A$2:$L$223,12,FALSE)="VIGENTE"),AND(VLOOKUP(W140,'BD LUB'!$A$2:$L$223,11,FALSE)="VIGENTE",VLOOKUP(W140,'BD LUB'!$A$2:$L$223,12,FALSE)="PRÓXIMO")),5,IF(AND(VLOOKUP(W140,'BD LUB'!$A$2:$L$223,11,FALSE)="VIGENTE",VLOOKUP(W140,'BD LUB'!$A$2:$L$223,12,FALSE)="VIGENTE"),6,"No definido"))))))</f>
        <v>#N/A</v>
      </c>
      <c r="Z140" s="138"/>
      <c r="AA140" s="139" t="str">
        <f>(VLOOKUP(Z140,'BD LUB'!$A$2:$L$223,5,FALSE)/VLOOKUP(Z140,'BD LUB'!$A$2:$L$223,7,FALSE))+(VLOOKUP(Z140,'BD LUB'!$A$2:$L$223,6,FALSE)/VLOOKUP(Z140,'BD LUB'!$A$2:$L$223,8,FALSE))</f>
        <v>#N/A</v>
      </c>
      <c r="AB140" s="78" t="str">
        <f>IF(AND(VLOOKUP(Z140,'BD LUB'!$A$2:$L$223,11,FALSE)="PASADO",VLOOKUP(Z140,'BD LUB'!$A$2:$L$223,12,FALSE)="PASADO"),1,IF(OR(AND(VLOOKUP(Z140,'BD LUB'!$A$2:$L$223,11,FALSE)="PASADO",VLOOKUP(Z140,'BD LUB'!$A$2:$L$223,12,FALSE)="PRÓXIMO"),AND(VLOOKUP(Z140,'BD LUB'!$A$2:$L$223,11,FALSE)="PRÓXIMO",VLOOKUP(Z140,'BD LUB'!$A$2:$L$223,12,FALSE)="PASADO")),2,IF(OR(AND(VLOOKUP(Z140,'BD LUB'!$A$2:$L$223,11,FALSE)="PASADO",VLOOKUP(Z140,'BD LUB'!$A$2:$L$223,12,FALSE)="VIGENTE"),AND(VLOOKUP(Z140,'BD LUB'!$A$2:$L$223,11,FALSE)="VIGENTE",VLOOKUP(Z140,'BD LUB'!$A$2:$L$223,12,FALSE)="PASADO")),3,IF(AND(VLOOKUP(Z140,'BD LUB'!$A$2:$L$223,11,FALSE)="PRÓXIMO",VLOOKUP(Z140,'BD LUB'!$A$2:$L$223,12,FALSE)="PRÓXIMO"),4,IF(OR(AND(VLOOKUP(Z140,'BD LUB'!$A$2:$L$223,11,FALSE)="PRÓXIMO",VLOOKUP(Z140,'BD LUB'!$A$2:$L$223,12,FALSE)="VIGENTE"),AND(VLOOKUP(Z140,'BD LUB'!$A$2:$L$223,11,FALSE)="VIGENTE",VLOOKUP(Z140,'BD LUB'!$A$2:$L$223,12,FALSE)="PRÓXIMO")),5,IF(AND(VLOOKUP(Z140,'BD LUB'!$A$2:$L$223,11,FALSE)="VIGENTE",VLOOKUP(Z140,'BD LUB'!$A$2:$L$223,12,FALSE)="VIGENTE"),6,"No definido"))))))</f>
        <v>#N/A</v>
      </c>
      <c r="AC140" s="78"/>
      <c r="AD140" s="136" t="str">
        <f>IF(VLOOKUP(AC140,'BD LUB'!$A$2:$C$223,3,FALSE)=$AH$20,AC140&amp;" MED",IF(VLOOKUP(AC140,'BD LUB'!$A$2:$C$223,3,FALSE)=$AH$19,AC140&amp;" MAY",IF(VLOOKUP(AC140,'BD LUB'!$A$2:$C$223,3,FALSE)=$AH$18,AC140&amp;" RN",IF(VLOOKUP(AC140,'BD LUB'!$A$2:$C$223,3,FALSE)=$AH$17,AC140&amp;" COPQUI",IF(VLOOKUP(AC140,'BD LUB'!$A$2:$C$223,3,FALSE)=$AH$16,AC140&amp;" CEJ",IF(VLOOKUP(AC140,'BD LUB'!$A$2:$C$223,3,FALSE)=$AH$15,AC140&amp;" BULT",IF(VLOOKUP(AC140,'BD LUB'!$A$2:$C$223,3,FALSE)=$AH$14,AC140&amp;" COP",IF(VLOOKUP(AC140,'BD LUB'!$A$2:$C$223,3,FALSE)=$AH$13,AC140&amp;" RIO",IF(VLOOKUP(AC140,'BD LUB'!$A$2:$C$223,3,FALSE)=$AH$21,AC140&amp;" APART","Dato no encontrado")))))))))</f>
        <v>#N/A</v>
      </c>
      <c r="AE140" s="160"/>
      <c r="AF140" s="160"/>
      <c r="AG140" s="160"/>
      <c r="AH140" s="160"/>
      <c r="AI140" s="160"/>
      <c r="AJ140" s="160"/>
      <c r="AP140" s="160"/>
      <c r="AV140" s="160"/>
    </row>
    <row r="141">
      <c r="A141" s="158"/>
      <c r="B141" s="126">
        <v>138.0</v>
      </c>
      <c r="C141" s="78">
        <f>IFERROR(__xludf.DUMMYFUNCTION("""COMPUTED_VALUE"""),2456.0)</f>
        <v>2456</v>
      </c>
      <c r="D141" s="156">
        <f>IFERROR(__xludf.DUMMYFUNCTION("""COMPUTED_VALUE"""),46296.0)</f>
        <v>46296</v>
      </c>
      <c r="E141" s="78" t="str">
        <f>IFERROR(__xludf.DUMMYFUNCTION("""COMPUTED_VALUE"""),"02-Medellin")</f>
        <v>02-Medellin</v>
      </c>
      <c r="F141" s="156">
        <f>IFERROR(__xludf.DUMMYFUNCTION("""COMPUTED_VALUE"""),46126.0)</f>
        <v>46126</v>
      </c>
      <c r="G141" s="159">
        <f>IFERROR(__xludf.DUMMYFUNCTION("""COMPUTED_VALUE"""),90.0)</f>
        <v>90</v>
      </c>
      <c r="H141" s="78" t="str">
        <f>IFERROR(__xludf.DUMMYFUNCTION("""COMPUTED_VALUE"""),"VIGENTE")</f>
        <v>VIGENTE</v>
      </c>
      <c r="I141" s="132" t="str">
        <f t="shared" si="1"/>
        <v>-</v>
      </c>
      <c r="J141" s="158"/>
      <c r="K141" s="126">
        <v>138.0</v>
      </c>
      <c r="L141" s="78">
        <f>IFERROR(__xludf.DUMMYFUNCTION("""COMPUTED_VALUE"""),2661.0)</f>
        <v>2661</v>
      </c>
      <c r="M141" s="156">
        <f>IFERROR(__xludf.DUMMYFUNCTION("""COMPUTED_VALUE"""),46489.0)</f>
        <v>46489</v>
      </c>
      <c r="N141" s="78" t="str">
        <f>IFERROR(__xludf.DUMMYFUNCTION("""COMPUTED_VALUE"""),"02-Medellin")</f>
        <v>02-Medellin</v>
      </c>
      <c r="O141" s="156">
        <f>IFERROR(__xludf.DUMMYFUNCTION("""COMPUTED_VALUE"""),46100.0)</f>
        <v>46100</v>
      </c>
      <c r="P141" s="159">
        <f>IFERROR(__xludf.DUMMYFUNCTION("""COMPUTED_VALUE"""),4213.0)</f>
        <v>4213</v>
      </c>
      <c r="Q141" s="78" t="str">
        <f>IFERROR(__xludf.DUMMYFUNCTION("""COMPUTED_VALUE"""),"VIGENTE")</f>
        <v>VIGENTE</v>
      </c>
      <c r="R141" s="132" t="str">
        <f t="shared" si="2"/>
        <v>-</v>
      </c>
      <c r="T141" s="134" t="str">
        <f>CALENDARIO!D153</f>
        <v/>
      </c>
      <c r="U141" s="135" t="str">
        <f>CALENDARIO!C153</f>
        <v/>
      </c>
      <c r="W141" s="78"/>
      <c r="X141" s="136" t="str">
        <f>(VLOOKUP(W141,'BD LUB'!$A$2:$L$223,5,FALSE)/VLOOKUP(W141,'BD LUB'!$A$2:$L$223,7,FALSE))+(VLOOKUP(W141,'BD LUB'!$A$2:$L$223,6,FALSE)/VLOOKUP(W141,'BD LUB'!$A$2:$L$223,8,FALSE))</f>
        <v>#N/A</v>
      </c>
      <c r="Y141" s="137" t="str">
        <f>IF(AND(VLOOKUP(W141,'BD LUB'!$A$2:$L$223,11,FALSE)="PASADO",VLOOKUP(W141,'BD LUB'!$A$2:$L$223,12,FALSE)="PASADO"),1,IF(OR(AND(VLOOKUP(W141,'BD LUB'!$A$2:$L$223,11,FALSE)="PASADO",VLOOKUP(W141,'BD LUB'!$A$2:$L$223,12,FALSE)="PRÓXIMO"),AND(VLOOKUP(W141,'BD LUB'!$A$2:$L$223,11,FALSE)="PRÓXIMO",VLOOKUP(W141,'BD LUB'!$A$2:$L$223,12,FALSE)="PASADO")),2,IF(OR(AND(VLOOKUP(W141,'BD LUB'!$A$2:$L$223,11,FALSE)="PASADO",VLOOKUP(W141,'BD LUB'!$A$2:$L$223,12,FALSE)="VIGENTE"),AND(VLOOKUP(W141,'BD LUB'!$A$2:$L$223,11,FALSE)="VIGENTE",VLOOKUP(W141,'BD LUB'!$A$2:$L$223,12,FALSE)="PASADO")),3,IF(AND(VLOOKUP(W141,'BD LUB'!$A$2:$L$223,11,FALSE)="PRÓXIMO",VLOOKUP(W141,'BD LUB'!$A$2:$L$223,12,FALSE)="PRÓXIMO"),4,IF(OR(AND(VLOOKUP(W141,'BD LUB'!$A$2:$L$223,11,FALSE)="PRÓXIMO",VLOOKUP(W141,'BD LUB'!$A$2:$L$223,12,FALSE)="VIGENTE"),AND(VLOOKUP(W141,'BD LUB'!$A$2:$L$223,11,FALSE)="VIGENTE",VLOOKUP(W141,'BD LUB'!$A$2:$L$223,12,FALSE)="PRÓXIMO")),5,IF(AND(VLOOKUP(W141,'BD LUB'!$A$2:$L$223,11,FALSE)="VIGENTE",VLOOKUP(W141,'BD LUB'!$A$2:$L$223,12,FALSE)="VIGENTE"),6,"No definido"))))))</f>
        <v>#N/A</v>
      </c>
      <c r="Z141" s="138"/>
      <c r="AA141" s="139" t="str">
        <f>(VLOOKUP(Z141,'BD LUB'!$A$2:$L$223,5,FALSE)/VLOOKUP(Z141,'BD LUB'!$A$2:$L$223,7,FALSE))+(VLOOKUP(Z141,'BD LUB'!$A$2:$L$223,6,FALSE)/VLOOKUP(Z141,'BD LUB'!$A$2:$L$223,8,FALSE))</f>
        <v>#N/A</v>
      </c>
      <c r="AB141" s="78" t="str">
        <f>IF(AND(VLOOKUP(Z141,'BD LUB'!$A$2:$L$223,11,FALSE)="PASADO",VLOOKUP(Z141,'BD LUB'!$A$2:$L$223,12,FALSE)="PASADO"),1,IF(OR(AND(VLOOKUP(Z141,'BD LUB'!$A$2:$L$223,11,FALSE)="PASADO",VLOOKUP(Z141,'BD LUB'!$A$2:$L$223,12,FALSE)="PRÓXIMO"),AND(VLOOKUP(Z141,'BD LUB'!$A$2:$L$223,11,FALSE)="PRÓXIMO",VLOOKUP(Z141,'BD LUB'!$A$2:$L$223,12,FALSE)="PASADO")),2,IF(OR(AND(VLOOKUP(Z141,'BD LUB'!$A$2:$L$223,11,FALSE)="PASADO",VLOOKUP(Z141,'BD LUB'!$A$2:$L$223,12,FALSE)="VIGENTE"),AND(VLOOKUP(Z141,'BD LUB'!$A$2:$L$223,11,FALSE)="VIGENTE",VLOOKUP(Z141,'BD LUB'!$A$2:$L$223,12,FALSE)="PASADO")),3,IF(AND(VLOOKUP(Z141,'BD LUB'!$A$2:$L$223,11,FALSE)="PRÓXIMO",VLOOKUP(Z141,'BD LUB'!$A$2:$L$223,12,FALSE)="PRÓXIMO"),4,IF(OR(AND(VLOOKUP(Z141,'BD LUB'!$A$2:$L$223,11,FALSE)="PRÓXIMO",VLOOKUP(Z141,'BD LUB'!$A$2:$L$223,12,FALSE)="VIGENTE"),AND(VLOOKUP(Z141,'BD LUB'!$A$2:$L$223,11,FALSE)="VIGENTE",VLOOKUP(Z141,'BD LUB'!$A$2:$L$223,12,FALSE)="PRÓXIMO")),5,IF(AND(VLOOKUP(Z141,'BD LUB'!$A$2:$L$223,11,FALSE)="VIGENTE",VLOOKUP(Z141,'BD LUB'!$A$2:$L$223,12,FALSE)="VIGENTE"),6,"No definido"))))))</f>
        <v>#N/A</v>
      </c>
      <c r="AC141" s="78"/>
      <c r="AD141" s="136" t="str">
        <f>IF(VLOOKUP(AC141,'BD LUB'!$A$2:$C$223,3,FALSE)=$AH$20,AC141&amp;" MED",IF(VLOOKUP(AC141,'BD LUB'!$A$2:$C$223,3,FALSE)=$AH$19,AC141&amp;" MAY",IF(VLOOKUP(AC141,'BD LUB'!$A$2:$C$223,3,FALSE)=$AH$18,AC141&amp;" RN",IF(VLOOKUP(AC141,'BD LUB'!$A$2:$C$223,3,FALSE)=$AH$17,AC141&amp;" COPQUI",IF(VLOOKUP(AC141,'BD LUB'!$A$2:$C$223,3,FALSE)=$AH$16,AC141&amp;" CEJ",IF(VLOOKUP(AC141,'BD LUB'!$A$2:$C$223,3,FALSE)=$AH$15,AC141&amp;" BULT",IF(VLOOKUP(AC141,'BD LUB'!$A$2:$C$223,3,FALSE)=$AH$14,AC141&amp;" COP",IF(VLOOKUP(AC141,'BD LUB'!$A$2:$C$223,3,FALSE)=$AH$13,AC141&amp;" RIO",IF(VLOOKUP(AC141,'BD LUB'!$A$2:$C$223,3,FALSE)=$AH$21,AC141&amp;" APART","Dato no encontrado")))))))))</f>
        <v>#N/A</v>
      </c>
      <c r="AE141" s="160"/>
      <c r="AF141" s="160"/>
      <c r="AG141" s="160"/>
      <c r="AH141" s="160"/>
      <c r="AI141" s="160"/>
      <c r="AJ141" s="160"/>
      <c r="AP141" s="160"/>
      <c r="AV141" s="160"/>
    </row>
    <row r="142">
      <c r="A142" s="158"/>
      <c r="B142" s="126">
        <v>139.0</v>
      </c>
      <c r="C142" s="78">
        <f>IFERROR(__xludf.DUMMYFUNCTION("""COMPUTED_VALUE"""),2391.0)</f>
        <v>2391</v>
      </c>
      <c r="D142" s="156">
        <f>IFERROR(__xludf.DUMMYFUNCTION("""COMPUTED_VALUE"""),46527.0)</f>
        <v>46527</v>
      </c>
      <c r="E142" s="78" t="str">
        <f>IFERROR(__xludf.DUMMYFUNCTION("""COMPUTED_VALUE"""),"02-Medellin")</f>
        <v>02-Medellin</v>
      </c>
      <c r="F142" s="156">
        <f>IFERROR(__xludf.DUMMYFUNCTION("""COMPUTED_VALUE"""),46126.0)</f>
        <v>46126</v>
      </c>
      <c r="G142" s="159">
        <f>IFERROR(__xludf.DUMMYFUNCTION("""COMPUTED_VALUE"""),90.0)</f>
        <v>90</v>
      </c>
      <c r="H142" s="78" t="str">
        <f>IFERROR(__xludf.DUMMYFUNCTION("""COMPUTED_VALUE"""),"VIGENTE")</f>
        <v>VIGENTE</v>
      </c>
      <c r="I142" s="132" t="str">
        <f t="shared" si="1"/>
        <v>-</v>
      </c>
      <c r="J142" s="158"/>
      <c r="K142" s="126">
        <v>139.0</v>
      </c>
      <c r="L142" s="78">
        <f>IFERROR(__xludf.DUMMYFUNCTION("""COMPUTED_VALUE"""),2635.0)</f>
        <v>2635</v>
      </c>
      <c r="M142" s="156">
        <f>IFERROR(__xludf.DUMMYFUNCTION("""COMPUTED_VALUE"""),46254.0)</f>
        <v>46254</v>
      </c>
      <c r="N142" s="78" t="str">
        <f>IFERROR(__xludf.DUMMYFUNCTION("""COMPUTED_VALUE"""),"02-Medellin")</f>
        <v>02-Medellin</v>
      </c>
      <c r="O142" s="156">
        <f>IFERROR(__xludf.DUMMYFUNCTION("""COMPUTED_VALUE"""),46156.0)</f>
        <v>46156</v>
      </c>
      <c r="P142" s="159">
        <f>IFERROR(__xludf.DUMMYFUNCTION("""COMPUTED_VALUE"""),4511.3)</f>
        <v>4511.3</v>
      </c>
      <c r="Q142" s="78" t="str">
        <f>IFERROR(__xludf.DUMMYFUNCTION("""COMPUTED_VALUE"""),"VIGENTE")</f>
        <v>VIGENTE</v>
      </c>
      <c r="R142" s="132" t="str">
        <f t="shared" si="2"/>
        <v>-</v>
      </c>
      <c r="T142" s="134" t="str">
        <f>CALENDARIO!D154</f>
        <v/>
      </c>
      <c r="U142" s="135" t="str">
        <f>CALENDARIO!C154</f>
        <v/>
      </c>
      <c r="W142" s="78"/>
      <c r="X142" s="136" t="str">
        <f>(VLOOKUP(W142,'BD LUB'!$A$2:$L$223,5,FALSE)/VLOOKUP(W142,'BD LUB'!$A$2:$L$223,7,FALSE))+(VLOOKUP(W142,'BD LUB'!$A$2:$L$223,6,FALSE)/VLOOKUP(W142,'BD LUB'!$A$2:$L$223,8,FALSE))</f>
        <v>#N/A</v>
      </c>
      <c r="Y142" s="137" t="str">
        <f>IF(AND(VLOOKUP(W142,'BD LUB'!$A$2:$L$223,11,FALSE)="PASADO",VLOOKUP(W142,'BD LUB'!$A$2:$L$223,12,FALSE)="PASADO"),1,IF(OR(AND(VLOOKUP(W142,'BD LUB'!$A$2:$L$223,11,FALSE)="PASADO",VLOOKUP(W142,'BD LUB'!$A$2:$L$223,12,FALSE)="PRÓXIMO"),AND(VLOOKUP(W142,'BD LUB'!$A$2:$L$223,11,FALSE)="PRÓXIMO",VLOOKUP(W142,'BD LUB'!$A$2:$L$223,12,FALSE)="PASADO")),2,IF(OR(AND(VLOOKUP(W142,'BD LUB'!$A$2:$L$223,11,FALSE)="PASADO",VLOOKUP(W142,'BD LUB'!$A$2:$L$223,12,FALSE)="VIGENTE"),AND(VLOOKUP(W142,'BD LUB'!$A$2:$L$223,11,FALSE)="VIGENTE",VLOOKUP(W142,'BD LUB'!$A$2:$L$223,12,FALSE)="PASADO")),3,IF(AND(VLOOKUP(W142,'BD LUB'!$A$2:$L$223,11,FALSE)="PRÓXIMO",VLOOKUP(W142,'BD LUB'!$A$2:$L$223,12,FALSE)="PRÓXIMO"),4,IF(OR(AND(VLOOKUP(W142,'BD LUB'!$A$2:$L$223,11,FALSE)="PRÓXIMO",VLOOKUP(W142,'BD LUB'!$A$2:$L$223,12,FALSE)="VIGENTE"),AND(VLOOKUP(W142,'BD LUB'!$A$2:$L$223,11,FALSE)="VIGENTE",VLOOKUP(W142,'BD LUB'!$A$2:$L$223,12,FALSE)="PRÓXIMO")),5,IF(AND(VLOOKUP(W142,'BD LUB'!$A$2:$L$223,11,FALSE)="VIGENTE",VLOOKUP(W142,'BD LUB'!$A$2:$L$223,12,FALSE)="VIGENTE"),6,"No definido"))))))</f>
        <v>#N/A</v>
      </c>
      <c r="Z142" s="138"/>
      <c r="AA142" s="139" t="str">
        <f>(VLOOKUP(Z142,'BD LUB'!$A$2:$L$223,5,FALSE)/VLOOKUP(Z142,'BD LUB'!$A$2:$L$223,7,FALSE))+(VLOOKUP(Z142,'BD LUB'!$A$2:$L$223,6,FALSE)/VLOOKUP(Z142,'BD LUB'!$A$2:$L$223,8,FALSE))</f>
        <v>#N/A</v>
      </c>
      <c r="AB142" s="78" t="str">
        <f>IF(AND(VLOOKUP(Z142,'BD LUB'!$A$2:$L$223,11,FALSE)="PASADO",VLOOKUP(Z142,'BD LUB'!$A$2:$L$223,12,FALSE)="PASADO"),1,IF(OR(AND(VLOOKUP(Z142,'BD LUB'!$A$2:$L$223,11,FALSE)="PASADO",VLOOKUP(Z142,'BD LUB'!$A$2:$L$223,12,FALSE)="PRÓXIMO"),AND(VLOOKUP(Z142,'BD LUB'!$A$2:$L$223,11,FALSE)="PRÓXIMO",VLOOKUP(Z142,'BD LUB'!$A$2:$L$223,12,FALSE)="PASADO")),2,IF(OR(AND(VLOOKUP(Z142,'BD LUB'!$A$2:$L$223,11,FALSE)="PASADO",VLOOKUP(Z142,'BD LUB'!$A$2:$L$223,12,FALSE)="VIGENTE"),AND(VLOOKUP(Z142,'BD LUB'!$A$2:$L$223,11,FALSE)="VIGENTE",VLOOKUP(Z142,'BD LUB'!$A$2:$L$223,12,FALSE)="PASADO")),3,IF(AND(VLOOKUP(Z142,'BD LUB'!$A$2:$L$223,11,FALSE)="PRÓXIMO",VLOOKUP(Z142,'BD LUB'!$A$2:$L$223,12,FALSE)="PRÓXIMO"),4,IF(OR(AND(VLOOKUP(Z142,'BD LUB'!$A$2:$L$223,11,FALSE)="PRÓXIMO",VLOOKUP(Z142,'BD LUB'!$A$2:$L$223,12,FALSE)="VIGENTE"),AND(VLOOKUP(Z142,'BD LUB'!$A$2:$L$223,11,FALSE)="VIGENTE",VLOOKUP(Z142,'BD LUB'!$A$2:$L$223,12,FALSE)="PRÓXIMO")),5,IF(AND(VLOOKUP(Z142,'BD LUB'!$A$2:$L$223,11,FALSE)="VIGENTE",VLOOKUP(Z142,'BD LUB'!$A$2:$L$223,12,FALSE)="VIGENTE"),6,"No definido"))))))</f>
        <v>#N/A</v>
      </c>
      <c r="AC142" s="78"/>
      <c r="AD142" s="136" t="str">
        <f>IF(VLOOKUP(AC142,'BD LUB'!$A$2:$C$223,3,FALSE)=$AH$20,AC142&amp;" MED",IF(VLOOKUP(AC142,'BD LUB'!$A$2:$C$223,3,FALSE)=$AH$19,AC142&amp;" MAY",IF(VLOOKUP(AC142,'BD LUB'!$A$2:$C$223,3,FALSE)=$AH$18,AC142&amp;" RN",IF(VLOOKUP(AC142,'BD LUB'!$A$2:$C$223,3,FALSE)=$AH$17,AC142&amp;" COPQUI",IF(VLOOKUP(AC142,'BD LUB'!$A$2:$C$223,3,FALSE)=$AH$16,AC142&amp;" CEJ",IF(VLOOKUP(AC142,'BD LUB'!$A$2:$C$223,3,FALSE)=$AH$15,AC142&amp;" BULT",IF(VLOOKUP(AC142,'BD LUB'!$A$2:$C$223,3,FALSE)=$AH$14,AC142&amp;" COP",IF(VLOOKUP(AC142,'BD LUB'!$A$2:$C$223,3,FALSE)=$AH$13,AC142&amp;" RIO",IF(VLOOKUP(AC142,'BD LUB'!$A$2:$C$223,3,FALSE)=$AH$21,AC142&amp;" APART","Dato no encontrado")))))))))</f>
        <v>#N/A</v>
      </c>
      <c r="AE142" s="160"/>
      <c r="AF142" s="160"/>
      <c r="AG142" s="160"/>
      <c r="AH142" s="160"/>
      <c r="AI142" s="160"/>
      <c r="AJ142" s="160"/>
      <c r="AP142" s="160"/>
      <c r="AV142" s="160"/>
    </row>
    <row r="143">
      <c r="A143" s="158"/>
      <c r="B143" s="126">
        <v>140.0</v>
      </c>
      <c r="C143" s="78">
        <f>IFERROR(__xludf.DUMMYFUNCTION("""COMPUTED_VALUE"""),2395.0)</f>
        <v>2395</v>
      </c>
      <c r="D143" s="156">
        <f>IFERROR(__xludf.DUMMYFUNCTION("""COMPUTED_VALUE"""),46446.0)</f>
        <v>46446</v>
      </c>
      <c r="E143" s="78" t="str">
        <f>IFERROR(__xludf.DUMMYFUNCTION("""COMPUTED_VALUE"""),"02-Medellin")</f>
        <v>02-Medellin</v>
      </c>
      <c r="F143" s="156">
        <f>IFERROR(__xludf.DUMMYFUNCTION("""COMPUTED_VALUE"""),46127.0)</f>
        <v>46127</v>
      </c>
      <c r="G143" s="159">
        <f>IFERROR(__xludf.DUMMYFUNCTION("""COMPUTED_VALUE"""),91.0)</f>
        <v>91</v>
      </c>
      <c r="H143" s="78" t="str">
        <f>IFERROR(__xludf.DUMMYFUNCTION("""COMPUTED_VALUE"""),"VIGENTE")</f>
        <v>VIGENTE</v>
      </c>
      <c r="I143" s="132" t="str">
        <f t="shared" si="1"/>
        <v>-</v>
      </c>
      <c r="J143" s="158"/>
      <c r="K143" s="126">
        <v>140.0</v>
      </c>
      <c r="L143" s="78">
        <f>IFERROR(__xludf.DUMMYFUNCTION("""COMPUTED_VALUE"""),2367.0)</f>
        <v>2367</v>
      </c>
      <c r="M143" s="156">
        <f>IFERROR(__xludf.DUMMYFUNCTION("""COMPUTED_VALUE"""),46522.0)</f>
        <v>46522</v>
      </c>
      <c r="N143" s="78" t="str">
        <f>IFERROR(__xludf.DUMMYFUNCTION("""COMPUTED_VALUE"""),"31-Copacabana QUIMICOS")</f>
        <v>31-Copacabana QUIMICOS</v>
      </c>
      <c r="O143" s="156">
        <f>IFERROR(__xludf.DUMMYFUNCTION("""COMPUTED_VALUE"""),46167.0)</f>
        <v>46167</v>
      </c>
      <c r="P143" s="159">
        <f>IFERROR(__xludf.DUMMYFUNCTION("""COMPUTED_VALUE"""),4521.0)</f>
        <v>4521</v>
      </c>
      <c r="Q143" s="78" t="str">
        <f>IFERROR(__xludf.DUMMYFUNCTION("""COMPUTED_VALUE"""),"VIGENTE")</f>
        <v>VIGENTE</v>
      </c>
      <c r="R143" s="132" t="str">
        <f t="shared" si="2"/>
        <v>-</v>
      </c>
      <c r="T143" s="134" t="str">
        <f>CALENDARIO!D155</f>
        <v/>
      </c>
      <c r="U143" s="135" t="str">
        <f>CALENDARIO!C155</f>
        <v/>
      </c>
      <c r="W143" s="78"/>
      <c r="X143" s="136" t="str">
        <f>(VLOOKUP(W143,'BD LUB'!$A$2:$L$223,5,FALSE)/VLOOKUP(W143,'BD LUB'!$A$2:$L$223,7,FALSE))+(VLOOKUP(W143,'BD LUB'!$A$2:$L$223,6,FALSE)/VLOOKUP(W143,'BD LUB'!$A$2:$L$223,8,FALSE))</f>
        <v>#N/A</v>
      </c>
      <c r="Y143" s="137" t="str">
        <f>IF(AND(VLOOKUP(W143,'BD LUB'!$A$2:$L$223,11,FALSE)="PASADO",VLOOKUP(W143,'BD LUB'!$A$2:$L$223,12,FALSE)="PASADO"),1,IF(OR(AND(VLOOKUP(W143,'BD LUB'!$A$2:$L$223,11,FALSE)="PASADO",VLOOKUP(W143,'BD LUB'!$A$2:$L$223,12,FALSE)="PRÓXIMO"),AND(VLOOKUP(W143,'BD LUB'!$A$2:$L$223,11,FALSE)="PRÓXIMO",VLOOKUP(W143,'BD LUB'!$A$2:$L$223,12,FALSE)="PASADO")),2,IF(OR(AND(VLOOKUP(W143,'BD LUB'!$A$2:$L$223,11,FALSE)="PASADO",VLOOKUP(W143,'BD LUB'!$A$2:$L$223,12,FALSE)="VIGENTE"),AND(VLOOKUP(W143,'BD LUB'!$A$2:$L$223,11,FALSE)="VIGENTE",VLOOKUP(W143,'BD LUB'!$A$2:$L$223,12,FALSE)="PASADO")),3,IF(AND(VLOOKUP(W143,'BD LUB'!$A$2:$L$223,11,FALSE)="PRÓXIMO",VLOOKUP(W143,'BD LUB'!$A$2:$L$223,12,FALSE)="PRÓXIMO"),4,IF(OR(AND(VLOOKUP(W143,'BD LUB'!$A$2:$L$223,11,FALSE)="PRÓXIMO",VLOOKUP(W143,'BD LUB'!$A$2:$L$223,12,FALSE)="VIGENTE"),AND(VLOOKUP(W143,'BD LUB'!$A$2:$L$223,11,FALSE)="VIGENTE",VLOOKUP(W143,'BD LUB'!$A$2:$L$223,12,FALSE)="PRÓXIMO")),5,IF(AND(VLOOKUP(W143,'BD LUB'!$A$2:$L$223,11,FALSE)="VIGENTE",VLOOKUP(W143,'BD LUB'!$A$2:$L$223,12,FALSE)="VIGENTE"),6,"No definido"))))))</f>
        <v>#N/A</v>
      </c>
      <c r="Z143" s="138"/>
      <c r="AA143" s="139" t="str">
        <f>(VLOOKUP(Z143,'BD LUB'!$A$2:$L$223,5,FALSE)/VLOOKUP(Z143,'BD LUB'!$A$2:$L$223,7,FALSE))+(VLOOKUP(Z143,'BD LUB'!$A$2:$L$223,6,FALSE)/VLOOKUP(Z143,'BD LUB'!$A$2:$L$223,8,FALSE))</f>
        <v>#N/A</v>
      </c>
      <c r="AB143" s="78" t="str">
        <f>IF(AND(VLOOKUP(Z143,'BD LUB'!$A$2:$L$223,11,FALSE)="PASADO",VLOOKUP(Z143,'BD LUB'!$A$2:$L$223,12,FALSE)="PASADO"),1,IF(OR(AND(VLOOKUP(Z143,'BD LUB'!$A$2:$L$223,11,FALSE)="PASADO",VLOOKUP(Z143,'BD LUB'!$A$2:$L$223,12,FALSE)="PRÓXIMO"),AND(VLOOKUP(Z143,'BD LUB'!$A$2:$L$223,11,FALSE)="PRÓXIMO",VLOOKUP(Z143,'BD LUB'!$A$2:$L$223,12,FALSE)="PASADO")),2,IF(OR(AND(VLOOKUP(Z143,'BD LUB'!$A$2:$L$223,11,FALSE)="PASADO",VLOOKUP(Z143,'BD LUB'!$A$2:$L$223,12,FALSE)="VIGENTE"),AND(VLOOKUP(Z143,'BD LUB'!$A$2:$L$223,11,FALSE)="VIGENTE",VLOOKUP(Z143,'BD LUB'!$A$2:$L$223,12,FALSE)="PASADO")),3,IF(AND(VLOOKUP(Z143,'BD LUB'!$A$2:$L$223,11,FALSE)="PRÓXIMO",VLOOKUP(Z143,'BD LUB'!$A$2:$L$223,12,FALSE)="PRÓXIMO"),4,IF(OR(AND(VLOOKUP(Z143,'BD LUB'!$A$2:$L$223,11,FALSE)="PRÓXIMO",VLOOKUP(Z143,'BD LUB'!$A$2:$L$223,12,FALSE)="VIGENTE"),AND(VLOOKUP(Z143,'BD LUB'!$A$2:$L$223,11,FALSE)="VIGENTE",VLOOKUP(Z143,'BD LUB'!$A$2:$L$223,12,FALSE)="PRÓXIMO")),5,IF(AND(VLOOKUP(Z143,'BD LUB'!$A$2:$L$223,11,FALSE)="VIGENTE",VLOOKUP(Z143,'BD LUB'!$A$2:$L$223,12,FALSE)="VIGENTE"),6,"No definido"))))))</f>
        <v>#N/A</v>
      </c>
      <c r="AC143" s="78"/>
      <c r="AD143" s="136" t="str">
        <f>IF(VLOOKUP(AC143,'BD LUB'!$A$2:$C$223,3,FALSE)=$AH$20,AC143&amp;" MED",IF(VLOOKUP(AC143,'BD LUB'!$A$2:$C$223,3,FALSE)=$AH$19,AC143&amp;" MAY",IF(VLOOKUP(AC143,'BD LUB'!$A$2:$C$223,3,FALSE)=$AH$18,AC143&amp;" RN",IF(VLOOKUP(AC143,'BD LUB'!$A$2:$C$223,3,FALSE)=$AH$17,AC143&amp;" COPQUI",IF(VLOOKUP(AC143,'BD LUB'!$A$2:$C$223,3,FALSE)=$AH$16,AC143&amp;" CEJ",IF(VLOOKUP(AC143,'BD LUB'!$A$2:$C$223,3,FALSE)=$AH$15,AC143&amp;" BULT",IF(VLOOKUP(AC143,'BD LUB'!$A$2:$C$223,3,FALSE)=$AH$14,AC143&amp;" COP",IF(VLOOKUP(AC143,'BD LUB'!$A$2:$C$223,3,FALSE)=$AH$13,AC143&amp;" RIO",IF(VLOOKUP(AC143,'BD LUB'!$A$2:$C$223,3,FALSE)=$AH$21,AC143&amp;" APART","Dato no encontrado")))))))))</f>
        <v>#N/A</v>
      </c>
      <c r="AE143" s="160"/>
      <c r="AF143" s="160"/>
      <c r="AG143" s="160"/>
      <c r="AH143" s="160"/>
      <c r="AI143" s="160"/>
      <c r="AJ143" s="160"/>
      <c r="AP143" s="160"/>
      <c r="AV143" s="160"/>
    </row>
    <row r="144">
      <c r="A144" s="158"/>
      <c r="B144" s="126">
        <v>141.0</v>
      </c>
      <c r="C144" s="78">
        <f>IFERROR(__xludf.DUMMYFUNCTION("""COMPUTED_VALUE"""),3256.0)</f>
        <v>3256</v>
      </c>
      <c r="D144" s="156">
        <f>IFERROR(__xludf.DUMMYFUNCTION("""COMPUTED_VALUE"""),46668.0)</f>
        <v>46668</v>
      </c>
      <c r="E144" s="78" t="str">
        <f>IFERROR(__xludf.DUMMYFUNCTION("""COMPUTED_VALUE"""),"02-Medellin")</f>
        <v>02-Medellin</v>
      </c>
      <c r="F144" s="156">
        <f>IFERROR(__xludf.DUMMYFUNCTION("""COMPUTED_VALUE"""),46128.0)</f>
        <v>46128</v>
      </c>
      <c r="G144" s="159">
        <f>IFERROR(__xludf.DUMMYFUNCTION("""COMPUTED_VALUE"""),92.0)</f>
        <v>92</v>
      </c>
      <c r="H144" s="78" t="str">
        <f>IFERROR(__xludf.DUMMYFUNCTION("""COMPUTED_VALUE"""),"VIGENTE")</f>
        <v>VIGENTE</v>
      </c>
      <c r="I144" s="132" t="str">
        <f t="shared" si="1"/>
        <v>-</v>
      </c>
      <c r="J144" s="158"/>
      <c r="K144" s="126">
        <v>141.0</v>
      </c>
      <c r="L144" s="78">
        <f>IFERROR(__xludf.DUMMYFUNCTION("""COMPUTED_VALUE"""),2857.0)</f>
        <v>2857</v>
      </c>
      <c r="M144" s="156">
        <f>IFERROR(__xludf.DUMMYFUNCTION("""COMPUTED_VALUE"""),46215.0)</f>
        <v>46215</v>
      </c>
      <c r="N144" s="78" t="str">
        <f>IFERROR(__xludf.DUMMYFUNCTION("""COMPUTED_VALUE"""),"24-Rionegro")</f>
        <v>24-Rionegro</v>
      </c>
      <c r="O144" s="156">
        <f>IFERROR(__xludf.DUMMYFUNCTION("""COMPUTED_VALUE"""),46203.0)</f>
        <v>46203</v>
      </c>
      <c r="P144" s="159">
        <f>IFERROR(__xludf.DUMMYFUNCTION("""COMPUTED_VALUE"""),4591.0)</f>
        <v>4591</v>
      </c>
      <c r="Q144" s="78" t="str">
        <f>IFERROR(__xludf.DUMMYFUNCTION("""COMPUTED_VALUE"""),"VIGENTE")</f>
        <v>VIGENTE</v>
      </c>
      <c r="R144" s="132" t="str">
        <f t="shared" si="2"/>
        <v>-</v>
      </c>
      <c r="T144" s="134" t="str">
        <f>CALENDARIO!D156</f>
        <v/>
      </c>
      <c r="U144" s="135" t="str">
        <f>CALENDARIO!C156</f>
        <v/>
      </c>
      <c r="W144" s="78"/>
      <c r="X144" s="136" t="str">
        <f>(VLOOKUP(W144,'BD LUB'!$A$2:$L$223,5,FALSE)/VLOOKUP(W144,'BD LUB'!$A$2:$L$223,7,FALSE))+(VLOOKUP(W144,'BD LUB'!$A$2:$L$223,6,FALSE)/VLOOKUP(W144,'BD LUB'!$A$2:$L$223,8,FALSE))</f>
        <v>#N/A</v>
      </c>
      <c r="Y144" s="137" t="str">
        <f>IF(AND(VLOOKUP(W144,'BD LUB'!$A$2:$L$223,11,FALSE)="PASADO",VLOOKUP(W144,'BD LUB'!$A$2:$L$223,12,FALSE)="PASADO"),1,IF(OR(AND(VLOOKUP(W144,'BD LUB'!$A$2:$L$223,11,FALSE)="PASADO",VLOOKUP(W144,'BD LUB'!$A$2:$L$223,12,FALSE)="PRÓXIMO"),AND(VLOOKUP(W144,'BD LUB'!$A$2:$L$223,11,FALSE)="PRÓXIMO",VLOOKUP(W144,'BD LUB'!$A$2:$L$223,12,FALSE)="PASADO")),2,IF(OR(AND(VLOOKUP(W144,'BD LUB'!$A$2:$L$223,11,FALSE)="PASADO",VLOOKUP(W144,'BD LUB'!$A$2:$L$223,12,FALSE)="VIGENTE"),AND(VLOOKUP(W144,'BD LUB'!$A$2:$L$223,11,FALSE)="VIGENTE",VLOOKUP(W144,'BD LUB'!$A$2:$L$223,12,FALSE)="PASADO")),3,IF(AND(VLOOKUP(W144,'BD LUB'!$A$2:$L$223,11,FALSE)="PRÓXIMO",VLOOKUP(W144,'BD LUB'!$A$2:$L$223,12,FALSE)="PRÓXIMO"),4,IF(OR(AND(VLOOKUP(W144,'BD LUB'!$A$2:$L$223,11,FALSE)="PRÓXIMO",VLOOKUP(W144,'BD LUB'!$A$2:$L$223,12,FALSE)="VIGENTE"),AND(VLOOKUP(W144,'BD LUB'!$A$2:$L$223,11,FALSE)="VIGENTE",VLOOKUP(W144,'BD LUB'!$A$2:$L$223,12,FALSE)="PRÓXIMO")),5,IF(AND(VLOOKUP(W144,'BD LUB'!$A$2:$L$223,11,FALSE)="VIGENTE",VLOOKUP(W144,'BD LUB'!$A$2:$L$223,12,FALSE)="VIGENTE"),6,"No definido"))))))</f>
        <v>#N/A</v>
      </c>
      <c r="Z144" s="138"/>
      <c r="AA144" s="139" t="str">
        <f>(VLOOKUP(Z144,'BD LUB'!$A$2:$L$223,5,FALSE)/VLOOKUP(Z144,'BD LUB'!$A$2:$L$223,7,FALSE))+(VLOOKUP(Z144,'BD LUB'!$A$2:$L$223,6,FALSE)/VLOOKUP(Z144,'BD LUB'!$A$2:$L$223,8,FALSE))</f>
        <v>#N/A</v>
      </c>
      <c r="AB144" s="78" t="str">
        <f>IF(AND(VLOOKUP(Z144,'BD LUB'!$A$2:$L$223,11,FALSE)="PASADO",VLOOKUP(Z144,'BD LUB'!$A$2:$L$223,12,FALSE)="PASADO"),1,IF(OR(AND(VLOOKUP(Z144,'BD LUB'!$A$2:$L$223,11,FALSE)="PASADO",VLOOKUP(Z144,'BD LUB'!$A$2:$L$223,12,FALSE)="PRÓXIMO"),AND(VLOOKUP(Z144,'BD LUB'!$A$2:$L$223,11,FALSE)="PRÓXIMO",VLOOKUP(Z144,'BD LUB'!$A$2:$L$223,12,FALSE)="PASADO")),2,IF(OR(AND(VLOOKUP(Z144,'BD LUB'!$A$2:$L$223,11,FALSE)="PASADO",VLOOKUP(Z144,'BD LUB'!$A$2:$L$223,12,FALSE)="VIGENTE"),AND(VLOOKUP(Z144,'BD LUB'!$A$2:$L$223,11,FALSE)="VIGENTE",VLOOKUP(Z144,'BD LUB'!$A$2:$L$223,12,FALSE)="PASADO")),3,IF(AND(VLOOKUP(Z144,'BD LUB'!$A$2:$L$223,11,FALSE)="PRÓXIMO",VLOOKUP(Z144,'BD LUB'!$A$2:$L$223,12,FALSE)="PRÓXIMO"),4,IF(OR(AND(VLOOKUP(Z144,'BD LUB'!$A$2:$L$223,11,FALSE)="PRÓXIMO",VLOOKUP(Z144,'BD LUB'!$A$2:$L$223,12,FALSE)="VIGENTE"),AND(VLOOKUP(Z144,'BD LUB'!$A$2:$L$223,11,FALSE)="VIGENTE",VLOOKUP(Z144,'BD LUB'!$A$2:$L$223,12,FALSE)="PRÓXIMO")),5,IF(AND(VLOOKUP(Z144,'BD LUB'!$A$2:$L$223,11,FALSE)="VIGENTE",VLOOKUP(Z144,'BD LUB'!$A$2:$L$223,12,FALSE)="VIGENTE"),6,"No definido"))))))</f>
        <v>#N/A</v>
      </c>
      <c r="AC144" s="78"/>
      <c r="AD144" s="136" t="str">
        <f>IF(VLOOKUP(AC144,'BD LUB'!$A$2:$C$223,3,FALSE)=$AH$20,AC144&amp;" MED",IF(VLOOKUP(AC144,'BD LUB'!$A$2:$C$223,3,FALSE)=$AH$19,AC144&amp;" MAY",IF(VLOOKUP(AC144,'BD LUB'!$A$2:$C$223,3,FALSE)=$AH$18,AC144&amp;" RN",IF(VLOOKUP(AC144,'BD LUB'!$A$2:$C$223,3,FALSE)=$AH$17,AC144&amp;" COPQUI",IF(VLOOKUP(AC144,'BD LUB'!$A$2:$C$223,3,FALSE)=$AH$16,AC144&amp;" CEJ",IF(VLOOKUP(AC144,'BD LUB'!$A$2:$C$223,3,FALSE)=$AH$15,AC144&amp;" BULT",IF(VLOOKUP(AC144,'BD LUB'!$A$2:$C$223,3,FALSE)=$AH$14,AC144&amp;" COP",IF(VLOOKUP(AC144,'BD LUB'!$A$2:$C$223,3,FALSE)=$AH$13,AC144&amp;" RIO",IF(VLOOKUP(AC144,'BD LUB'!$A$2:$C$223,3,FALSE)=$AH$21,AC144&amp;" APART","Dato no encontrado")))))))))</f>
        <v>#N/A</v>
      </c>
      <c r="AE144" s="160"/>
      <c r="AF144" s="160"/>
      <c r="AG144" s="160"/>
      <c r="AH144" s="160"/>
      <c r="AI144" s="160"/>
      <c r="AJ144" s="160"/>
      <c r="AP144" s="160"/>
      <c r="AV144" s="160"/>
    </row>
    <row r="145">
      <c r="A145" s="158"/>
      <c r="B145" s="126">
        <v>142.0</v>
      </c>
      <c r="C145" s="78">
        <f>IFERROR(__xludf.DUMMYFUNCTION("""COMPUTED_VALUE"""),2856.0)</f>
        <v>2856</v>
      </c>
      <c r="D145" s="156">
        <f>IFERROR(__xludf.DUMMYFUNCTION("""COMPUTED_VALUE"""),46215.0)</f>
        <v>46215</v>
      </c>
      <c r="E145" s="78" t="str">
        <f>IFERROR(__xludf.DUMMYFUNCTION("""COMPUTED_VALUE"""),"MAYORCA")</f>
        <v>MAYORCA</v>
      </c>
      <c r="F145" s="156">
        <f>IFERROR(__xludf.DUMMYFUNCTION("""COMPUTED_VALUE"""),46128.0)</f>
        <v>46128</v>
      </c>
      <c r="G145" s="159">
        <f>IFERROR(__xludf.DUMMYFUNCTION("""COMPUTED_VALUE"""),92.0)</f>
        <v>92</v>
      </c>
      <c r="H145" s="78" t="str">
        <f>IFERROR(__xludf.DUMMYFUNCTION("""COMPUTED_VALUE"""),"VIGENTE")</f>
        <v>VIGENTE</v>
      </c>
      <c r="I145" s="132" t="str">
        <f t="shared" si="1"/>
        <v>-</v>
      </c>
      <c r="J145" s="158"/>
      <c r="K145" s="126">
        <v>142.0</v>
      </c>
      <c r="L145" s="78">
        <f>IFERROR(__xludf.DUMMYFUNCTION("""COMPUTED_VALUE"""),2436.0)</f>
        <v>2436</v>
      </c>
      <c r="M145" s="156">
        <f>IFERROR(__xludf.DUMMYFUNCTION("""COMPUTED_VALUE"""),46558.0)</f>
        <v>46558</v>
      </c>
      <c r="N145" s="78" t="str">
        <f>IFERROR(__xludf.DUMMYFUNCTION("""COMPUTED_VALUE"""),"02-Medellin")</f>
        <v>02-Medellin</v>
      </c>
      <c r="O145" s="156">
        <f>IFERROR(__xludf.DUMMYFUNCTION("""COMPUTED_VALUE"""),46070.0)</f>
        <v>46070</v>
      </c>
      <c r="P145" s="159">
        <f>IFERROR(__xludf.DUMMYFUNCTION("""COMPUTED_VALUE"""),4725.4)</f>
        <v>4725.4</v>
      </c>
      <c r="Q145" s="78" t="str">
        <f>IFERROR(__xludf.DUMMYFUNCTION("""COMPUTED_VALUE"""),"VIGENTE")</f>
        <v>VIGENTE</v>
      </c>
      <c r="R145" s="132" t="str">
        <f t="shared" si="2"/>
        <v>-</v>
      </c>
      <c r="T145" s="134" t="str">
        <f>CALENDARIO!D157</f>
        <v/>
      </c>
      <c r="U145" s="135" t="str">
        <f>CALENDARIO!C157</f>
        <v/>
      </c>
      <c r="W145" s="78"/>
      <c r="X145" s="136" t="str">
        <f>(VLOOKUP(W145,'BD LUB'!$A$2:$L$223,5,FALSE)/VLOOKUP(W145,'BD LUB'!$A$2:$L$223,7,FALSE))+(VLOOKUP(W145,'BD LUB'!$A$2:$L$223,6,FALSE)/VLOOKUP(W145,'BD LUB'!$A$2:$L$223,8,FALSE))</f>
        <v>#N/A</v>
      </c>
      <c r="Y145" s="137" t="str">
        <f>IF(AND(VLOOKUP(W145,'BD LUB'!$A$2:$L$223,11,FALSE)="PASADO",VLOOKUP(W145,'BD LUB'!$A$2:$L$223,12,FALSE)="PASADO"),1,IF(OR(AND(VLOOKUP(W145,'BD LUB'!$A$2:$L$223,11,FALSE)="PASADO",VLOOKUP(W145,'BD LUB'!$A$2:$L$223,12,FALSE)="PRÓXIMO"),AND(VLOOKUP(W145,'BD LUB'!$A$2:$L$223,11,FALSE)="PRÓXIMO",VLOOKUP(W145,'BD LUB'!$A$2:$L$223,12,FALSE)="PASADO")),2,IF(OR(AND(VLOOKUP(W145,'BD LUB'!$A$2:$L$223,11,FALSE)="PASADO",VLOOKUP(W145,'BD LUB'!$A$2:$L$223,12,FALSE)="VIGENTE"),AND(VLOOKUP(W145,'BD LUB'!$A$2:$L$223,11,FALSE)="VIGENTE",VLOOKUP(W145,'BD LUB'!$A$2:$L$223,12,FALSE)="PASADO")),3,IF(AND(VLOOKUP(W145,'BD LUB'!$A$2:$L$223,11,FALSE)="PRÓXIMO",VLOOKUP(W145,'BD LUB'!$A$2:$L$223,12,FALSE)="PRÓXIMO"),4,IF(OR(AND(VLOOKUP(W145,'BD LUB'!$A$2:$L$223,11,FALSE)="PRÓXIMO",VLOOKUP(W145,'BD LUB'!$A$2:$L$223,12,FALSE)="VIGENTE"),AND(VLOOKUP(W145,'BD LUB'!$A$2:$L$223,11,FALSE)="VIGENTE",VLOOKUP(W145,'BD LUB'!$A$2:$L$223,12,FALSE)="PRÓXIMO")),5,IF(AND(VLOOKUP(W145,'BD LUB'!$A$2:$L$223,11,FALSE)="VIGENTE",VLOOKUP(W145,'BD LUB'!$A$2:$L$223,12,FALSE)="VIGENTE"),6,"No definido"))))))</f>
        <v>#N/A</v>
      </c>
      <c r="Z145" s="138"/>
      <c r="AA145" s="139" t="str">
        <f>(VLOOKUP(Z145,'BD LUB'!$A$2:$L$223,5,FALSE)/VLOOKUP(Z145,'BD LUB'!$A$2:$L$223,7,FALSE))+(VLOOKUP(Z145,'BD LUB'!$A$2:$L$223,6,FALSE)/VLOOKUP(Z145,'BD LUB'!$A$2:$L$223,8,FALSE))</f>
        <v>#N/A</v>
      </c>
      <c r="AB145" s="78" t="str">
        <f>IF(AND(VLOOKUP(Z145,'BD LUB'!$A$2:$L$223,11,FALSE)="PASADO",VLOOKUP(Z145,'BD LUB'!$A$2:$L$223,12,FALSE)="PASADO"),1,IF(OR(AND(VLOOKUP(Z145,'BD LUB'!$A$2:$L$223,11,FALSE)="PASADO",VLOOKUP(Z145,'BD LUB'!$A$2:$L$223,12,FALSE)="PRÓXIMO"),AND(VLOOKUP(Z145,'BD LUB'!$A$2:$L$223,11,FALSE)="PRÓXIMO",VLOOKUP(Z145,'BD LUB'!$A$2:$L$223,12,FALSE)="PASADO")),2,IF(OR(AND(VLOOKUP(Z145,'BD LUB'!$A$2:$L$223,11,FALSE)="PASADO",VLOOKUP(Z145,'BD LUB'!$A$2:$L$223,12,FALSE)="VIGENTE"),AND(VLOOKUP(Z145,'BD LUB'!$A$2:$L$223,11,FALSE)="VIGENTE",VLOOKUP(Z145,'BD LUB'!$A$2:$L$223,12,FALSE)="PASADO")),3,IF(AND(VLOOKUP(Z145,'BD LUB'!$A$2:$L$223,11,FALSE)="PRÓXIMO",VLOOKUP(Z145,'BD LUB'!$A$2:$L$223,12,FALSE)="PRÓXIMO"),4,IF(OR(AND(VLOOKUP(Z145,'BD LUB'!$A$2:$L$223,11,FALSE)="PRÓXIMO",VLOOKUP(Z145,'BD LUB'!$A$2:$L$223,12,FALSE)="VIGENTE"),AND(VLOOKUP(Z145,'BD LUB'!$A$2:$L$223,11,FALSE)="VIGENTE",VLOOKUP(Z145,'BD LUB'!$A$2:$L$223,12,FALSE)="PRÓXIMO")),5,IF(AND(VLOOKUP(Z145,'BD LUB'!$A$2:$L$223,11,FALSE)="VIGENTE",VLOOKUP(Z145,'BD LUB'!$A$2:$L$223,12,FALSE)="VIGENTE"),6,"No definido"))))))</f>
        <v>#N/A</v>
      </c>
      <c r="AC145" s="78"/>
      <c r="AD145" s="136" t="str">
        <f>IF(VLOOKUP(AC145,'BD LUB'!$A$2:$C$223,3,FALSE)=$AH$20,AC145&amp;" MED",IF(VLOOKUP(AC145,'BD LUB'!$A$2:$C$223,3,FALSE)=$AH$19,AC145&amp;" MAY",IF(VLOOKUP(AC145,'BD LUB'!$A$2:$C$223,3,FALSE)=$AH$18,AC145&amp;" RN",IF(VLOOKUP(AC145,'BD LUB'!$A$2:$C$223,3,FALSE)=$AH$17,AC145&amp;" COPQUI",IF(VLOOKUP(AC145,'BD LUB'!$A$2:$C$223,3,FALSE)=$AH$16,AC145&amp;" CEJ",IF(VLOOKUP(AC145,'BD LUB'!$A$2:$C$223,3,FALSE)=$AH$15,AC145&amp;" BULT",IF(VLOOKUP(AC145,'BD LUB'!$A$2:$C$223,3,FALSE)=$AH$14,AC145&amp;" COP",IF(VLOOKUP(AC145,'BD LUB'!$A$2:$C$223,3,FALSE)=$AH$13,AC145&amp;" RIO",IF(VLOOKUP(AC145,'BD LUB'!$A$2:$C$223,3,FALSE)=$AH$21,AC145&amp;" APART","Dato no encontrado")))))))))</f>
        <v>#N/A</v>
      </c>
      <c r="AE145" s="160"/>
      <c r="AF145" s="160"/>
      <c r="AG145" s="160"/>
      <c r="AH145" s="160"/>
      <c r="AI145" s="160"/>
      <c r="AJ145" s="160"/>
      <c r="AP145" s="160"/>
      <c r="AV145" s="160"/>
    </row>
    <row r="146">
      <c r="A146" s="158"/>
      <c r="B146" s="126">
        <v>143.0</v>
      </c>
      <c r="C146" s="78">
        <f>IFERROR(__xludf.DUMMYFUNCTION("""COMPUTED_VALUE"""),2463.0)</f>
        <v>2463</v>
      </c>
      <c r="D146" s="156">
        <f>IFERROR(__xludf.DUMMYFUNCTION("""COMPUTED_VALUE"""),46305.0)</f>
        <v>46305</v>
      </c>
      <c r="E146" s="78" t="str">
        <f>IFERROR(__xludf.DUMMYFUNCTION("""COMPUTED_VALUE"""),"02-Medellin")</f>
        <v>02-Medellin</v>
      </c>
      <c r="F146" s="156">
        <f>IFERROR(__xludf.DUMMYFUNCTION("""COMPUTED_VALUE"""),46128.0)</f>
        <v>46128</v>
      </c>
      <c r="G146" s="159">
        <f>IFERROR(__xludf.DUMMYFUNCTION("""COMPUTED_VALUE"""),92.0)</f>
        <v>92</v>
      </c>
      <c r="H146" s="78" t="str">
        <f>IFERROR(__xludf.DUMMYFUNCTION("""COMPUTED_VALUE"""),"VIGENTE")</f>
        <v>VIGENTE</v>
      </c>
      <c r="I146" s="132" t="str">
        <f t="shared" si="1"/>
        <v>-</v>
      </c>
      <c r="J146" s="158"/>
      <c r="K146" s="126">
        <v>143.0</v>
      </c>
      <c r="L146" s="78">
        <f>IFERROR(__xludf.DUMMYFUNCTION("""COMPUTED_VALUE"""),2438.0)</f>
        <v>2438</v>
      </c>
      <c r="M146" s="156">
        <f>IFERROR(__xludf.DUMMYFUNCTION("""COMPUTED_VALUE"""),46521.0)</f>
        <v>46521</v>
      </c>
      <c r="N146" s="78" t="str">
        <f>IFERROR(__xludf.DUMMYFUNCTION("""COMPUTED_VALUE"""),"02-Medellin")</f>
        <v>02-Medellin</v>
      </c>
      <c r="O146" s="156">
        <f>IFERROR(__xludf.DUMMYFUNCTION("""COMPUTED_VALUE"""),46061.0)</f>
        <v>46061</v>
      </c>
      <c r="P146" s="159">
        <f>IFERROR(__xludf.DUMMYFUNCTION("""COMPUTED_VALUE"""),4732.0)</f>
        <v>4732</v>
      </c>
      <c r="Q146" s="78" t="str">
        <f>IFERROR(__xludf.DUMMYFUNCTION("""COMPUTED_VALUE"""),"VIGENTE")</f>
        <v>VIGENTE</v>
      </c>
      <c r="R146" s="132" t="str">
        <f t="shared" si="2"/>
        <v>-</v>
      </c>
      <c r="T146" s="134" t="str">
        <f>CALENDARIO!D158</f>
        <v/>
      </c>
      <c r="U146" s="135" t="str">
        <f>CALENDARIO!C158</f>
        <v/>
      </c>
      <c r="W146" s="78"/>
      <c r="X146" s="136" t="str">
        <f>(VLOOKUP(W146,'BD LUB'!$A$2:$L$223,5,FALSE)/VLOOKUP(W146,'BD LUB'!$A$2:$L$223,7,FALSE))+(VLOOKUP(W146,'BD LUB'!$A$2:$L$223,6,FALSE)/VLOOKUP(W146,'BD LUB'!$A$2:$L$223,8,FALSE))</f>
        <v>#N/A</v>
      </c>
      <c r="Y146" s="137" t="str">
        <f>IF(AND(VLOOKUP(W146,'BD LUB'!$A$2:$L$223,11,FALSE)="PASADO",VLOOKUP(W146,'BD LUB'!$A$2:$L$223,12,FALSE)="PASADO"),1,IF(OR(AND(VLOOKUP(W146,'BD LUB'!$A$2:$L$223,11,FALSE)="PASADO",VLOOKUP(W146,'BD LUB'!$A$2:$L$223,12,FALSE)="PRÓXIMO"),AND(VLOOKUP(W146,'BD LUB'!$A$2:$L$223,11,FALSE)="PRÓXIMO",VLOOKUP(W146,'BD LUB'!$A$2:$L$223,12,FALSE)="PASADO")),2,IF(OR(AND(VLOOKUP(W146,'BD LUB'!$A$2:$L$223,11,FALSE)="PASADO",VLOOKUP(W146,'BD LUB'!$A$2:$L$223,12,FALSE)="VIGENTE"),AND(VLOOKUP(W146,'BD LUB'!$A$2:$L$223,11,FALSE)="VIGENTE",VLOOKUP(W146,'BD LUB'!$A$2:$L$223,12,FALSE)="PASADO")),3,IF(AND(VLOOKUP(W146,'BD LUB'!$A$2:$L$223,11,FALSE)="PRÓXIMO",VLOOKUP(W146,'BD LUB'!$A$2:$L$223,12,FALSE)="PRÓXIMO"),4,IF(OR(AND(VLOOKUP(W146,'BD LUB'!$A$2:$L$223,11,FALSE)="PRÓXIMO",VLOOKUP(W146,'BD LUB'!$A$2:$L$223,12,FALSE)="VIGENTE"),AND(VLOOKUP(W146,'BD LUB'!$A$2:$L$223,11,FALSE)="VIGENTE",VLOOKUP(W146,'BD LUB'!$A$2:$L$223,12,FALSE)="PRÓXIMO")),5,IF(AND(VLOOKUP(W146,'BD LUB'!$A$2:$L$223,11,FALSE)="VIGENTE",VLOOKUP(W146,'BD LUB'!$A$2:$L$223,12,FALSE)="VIGENTE"),6,"No definido"))))))</f>
        <v>#N/A</v>
      </c>
      <c r="Z146" s="138"/>
      <c r="AA146" s="139" t="str">
        <f>(VLOOKUP(Z146,'BD LUB'!$A$2:$L$223,5,FALSE)/VLOOKUP(Z146,'BD LUB'!$A$2:$L$223,7,FALSE))+(VLOOKUP(Z146,'BD LUB'!$A$2:$L$223,6,FALSE)/VLOOKUP(Z146,'BD LUB'!$A$2:$L$223,8,FALSE))</f>
        <v>#N/A</v>
      </c>
      <c r="AB146" s="78" t="str">
        <f>IF(AND(VLOOKUP(Z146,'BD LUB'!$A$2:$L$223,11,FALSE)="PASADO",VLOOKUP(Z146,'BD LUB'!$A$2:$L$223,12,FALSE)="PASADO"),1,IF(OR(AND(VLOOKUP(Z146,'BD LUB'!$A$2:$L$223,11,FALSE)="PASADO",VLOOKUP(Z146,'BD LUB'!$A$2:$L$223,12,FALSE)="PRÓXIMO"),AND(VLOOKUP(Z146,'BD LUB'!$A$2:$L$223,11,FALSE)="PRÓXIMO",VLOOKUP(Z146,'BD LUB'!$A$2:$L$223,12,FALSE)="PASADO")),2,IF(OR(AND(VLOOKUP(Z146,'BD LUB'!$A$2:$L$223,11,FALSE)="PASADO",VLOOKUP(Z146,'BD LUB'!$A$2:$L$223,12,FALSE)="VIGENTE"),AND(VLOOKUP(Z146,'BD LUB'!$A$2:$L$223,11,FALSE)="VIGENTE",VLOOKUP(Z146,'BD LUB'!$A$2:$L$223,12,FALSE)="PASADO")),3,IF(AND(VLOOKUP(Z146,'BD LUB'!$A$2:$L$223,11,FALSE)="PRÓXIMO",VLOOKUP(Z146,'BD LUB'!$A$2:$L$223,12,FALSE)="PRÓXIMO"),4,IF(OR(AND(VLOOKUP(Z146,'BD LUB'!$A$2:$L$223,11,FALSE)="PRÓXIMO",VLOOKUP(Z146,'BD LUB'!$A$2:$L$223,12,FALSE)="VIGENTE"),AND(VLOOKUP(Z146,'BD LUB'!$A$2:$L$223,11,FALSE)="VIGENTE",VLOOKUP(Z146,'BD LUB'!$A$2:$L$223,12,FALSE)="PRÓXIMO")),5,IF(AND(VLOOKUP(Z146,'BD LUB'!$A$2:$L$223,11,FALSE)="VIGENTE",VLOOKUP(Z146,'BD LUB'!$A$2:$L$223,12,FALSE)="VIGENTE"),6,"No definido"))))))</f>
        <v>#N/A</v>
      </c>
      <c r="AC146" s="78"/>
      <c r="AD146" s="136" t="str">
        <f>IF(VLOOKUP(AC146,'BD LUB'!$A$2:$C$223,3,FALSE)=$AH$20,AC146&amp;" MED",IF(VLOOKUP(AC146,'BD LUB'!$A$2:$C$223,3,FALSE)=$AH$19,AC146&amp;" MAY",IF(VLOOKUP(AC146,'BD LUB'!$A$2:$C$223,3,FALSE)=$AH$18,AC146&amp;" RN",IF(VLOOKUP(AC146,'BD LUB'!$A$2:$C$223,3,FALSE)=$AH$17,AC146&amp;" COPQUI",IF(VLOOKUP(AC146,'BD LUB'!$A$2:$C$223,3,FALSE)=$AH$16,AC146&amp;" CEJ",IF(VLOOKUP(AC146,'BD LUB'!$A$2:$C$223,3,FALSE)=$AH$15,AC146&amp;" BULT",IF(VLOOKUP(AC146,'BD LUB'!$A$2:$C$223,3,FALSE)=$AH$14,AC146&amp;" COP",IF(VLOOKUP(AC146,'BD LUB'!$A$2:$C$223,3,FALSE)=$AH$13,AC146&amp;" RIO",IF(VLOOKUP(AC146,'BD LUB'!$A$2:$C$223,3,FALSE)=$AH$21,AC146&amp;" APART","Dato no encontrado")))))))))</f>
        <v>#N/A</v>
      </c>
      <c r="AE146" s="160"/>
      <c r="AF146" s="160"/>
      <c r="AG146" s="160"/>
      <c r="AH146" s="160"/>
      <c r="AI146" s="160"/>
      <c r="AJ146" s="160"/>
      <c r="AP146" s="160"/>
      <c r="AV146" s="160"/>
    </row>
    <row r="147">
      <c r="A147" s="158"/>
      <c r="B147" s="126">
        <v>144.0</v>
      </c>
      <c r="C147" s="78">
        <f>IFERROR(__xludf.DUMMYFUNCTION("""COMPUTED_VALUE"""),2414.0)</f>
        <v>2414</v>
      </c>
      <c r="D147" s="156">
        <f>IFERROR(__xludf.DUMMYFUNCTION("""COMPUTED_VALUE"""),46549.0)</f>
        <v>46549</v>
      </c>
      <c r="E147" s="78" t="str">
        <f>IFERROR(__xludf.DUMMYFUNCTION("""COMPUTED_VALUE"""),"02-Medellin")</f>
        <v>02-Medellin</v>
      </c>
      <c r="F147" s="156">
        <f>IFERROR(__xludf.DUMMYFUNCTION("""COMPUTED_VALUE"""),46128.0)</f>
        <v>46128</v>
      </c>
      <c r="G147" s="159">
        <f>IFERROR(__xludf.DUMMYFUNCTION("""COMPUTED_VALUE"""),92.0)</f>
        <v>92</v>
      </c>
      <c r="H147" s="78" t="str">
        <f>IFERROR(__xludf.DUMMYFUNCTION("""COMPUTED_VALUE"""),"VIGENTE")</f>
        <v>VIGENTE</v>
      </c>
      <c r="I147" s="132" t="str">
        <f t="shared" si="1"/>
        <v>-</v>
      </c>
      <c r="J147" s="158"/>
      <c r="K147" s="126">
        <v>144.0</v>
      </c>
      <c r="L147" s="78">
        <f>IFERROR(__xludf.DUMMYFUNCTION("""COMPUTED_VALUE"""),2194.0)</f>
        <v>2194</v>
      </c>
      <c r="M147" s="156">
        <f>IFERROR(__xludf.DUMMYFUNCTION("""COMPUTED_VALUE"""),46530.0)</f>
        <v>46530</v>
      </c>
      <c r="N147" s="78" t="str">
        <f>IFERROR(__xludf.DUMMYFUNCTION("""COMPUTED_VALUE"""),"02-Medellin")</f>
        <v>02-Medellin</v>
      </c>
      <c r="O147" s="156">
        <f>IFERROR(__xludf.DUMMYFUNCTION("""COMPUTED_VALUE"""),46098.0)</f>
        <v>46098</v>
      </c>
      <c r="P147" s="159">
        <f>IFERROR(__xludf.DUMMYFUNCTION("""COMPUTED_VALUE"""),4770.0)</f>
        <v>4770</v>
      </c>
      <c r="Q147" s="78" t="str">
        <f>IFERROR(__xludf.DUMMYFUNCTION("""COMPUTED_VALUE"""),"VIGENTE")</f>
        <v>VIGENTE</v>
      </c>
      <c r="R147" s="132" t="str">
        <f t="shared" si="2"/>
        <v>-</v>
      </c>
      <c r="T147" s="134" t="str">
        <f>CALENDARIO!D159</f>
        <v/>
      </c>
      <c r="U147" s="135" t="str">
        <f>CALENDARIO!C159</f>
        <v/>
      </c>
      <c r="W147" s="78"/>
      <c r="X147" s="136" t="str">
        <f>(VLOOKUP(W147,'BD LUB'!$A$2:$L$223,5,FALSE)/VLOOKUP(W147,'BD LUB'!$A$2:$L$223,7,FALSE))+(VLOOKUP(W147,'BD LUB'!$A$2:$L$223,6,FALSE)/VLOOKUP(W147,'BD LUB'!$A$2:$L$223,8,FALSE))</f>
        <v>#N/A</v>
      </c>
      <c r="Y147" s="137" t="str">
        <f>IF(AND(VLOOKUP(W147,'BD LUB'!$A$2:$L$223,11,FALSE)="PASADO",VLOOKUP(W147,'BD LUB'!$A$2:$L$223,12,FALSE)="PASADO"),1,IF(OR(AND(VLOOKUP(W147,'BD LUB'!$A$2:$L$223,11,FALSE)="PASADO",VLOOKUP(W147,'BD LUB'!$A$2:$L$223,12,FALSE)="PRÓXIMO"),AND(VLOOKUP(W147,'BD LUB'!$A$2:$L$223,11,FALSE)="PRÓXIMO",VLOOKUP(W147,'BD LUB'!$A$2:$L$223,12,FALSE)="PASADO")),2,IF(OR(AND(VLOOKUP(W147,'BD LUB'!$A$2:$L$223,11,FALSE)="PASADO",VLOOKUP(W147,'BD LUB'!$A$2:$L$223,12,FALSE)="VIGENTE"),AND(VLOOKUP(W147,'BD LUB'!$A$2:$L$223,11,FALSE)="VIGENTE",VLOOKUP(W147,'BD LUB'!$A$2:$L$223,12,FALSE)="PASADO")),3,IF(AND(VLOOKUP(W147,'BD LUB'!$A$2:$L$223,11,FALSE)="PRÓXIMO",VLOOKUP(W147,'BD LUB'!$A$2:$L$223,12,FALSE)="PRÓXIMO"),4,IF(OR(AND(VLOOKUP(W147,'BD LUB'!$A$2:$L$223,11,FALSE)="PRÓXIMO",VLOOKUP(W147,'BD LUB'!$A$2:$L$223,12,FALSE)="VIGENTE"),AND(VLOOKUP(W147,'BD LUB'!$A$2:$L$223,11,FALSE)="VIGENTE",VLOOKUP(W147,'BD LUB'!$A$2:$L$223,12,FALSE)="PRÓXIMO")),5,IF(AND(VLOOKUP(W147,'BD LUB'!$A$2:$L$223,11,FALSE)="VIGENTE",VLOOKUP(W147,'BD LUB'!$A$2:$L$223,12,FALSE)="VIGENTE"),6,"No definido"))))))</f>
        <v>#N/A</v>
      </c>
      <c r="Z147" s="138"/>
      <c r="AA147" s="139" t="str">
        <f>(VLOOKUP(Z147,'BD LUB'!$A$2:$L$223,5,FALSE)/VLOOKUP(Z147,'BD LUB'!$A$2:$L$223,7,FALSE))+(VLOOKUP(Z147,'BD LUB'!$A$2:$L$223,6,FALSE)/VLOOKUP(Z147,'BD LUB'!$A$2:$L$223,8,FALSE))</f>
        <v>#N/A</v>
      </c>
      <c r="AB147" s="78" t="str">
        <f>IF(AND(VLOOKUP(Z147,'BD LUB'!$A$2:$L$223,11,FALSE)="PASADO",VLOOKUP(Z147,'BD LUB'!$A$2:$L$223,12,FALSE)="PASADO"),1,IF(OR(AND(VLOOKUP(Z147,'BD LUB'!$A$2:$L$223,11,FALSE)="PASADO",VLOOKUP(Z147,'BD LUB'!$A$2:$L$223,12,FALSE)="PRÓXIMO"),AND(VLOOKUP(Z147,'BD LUB'!$A$2:$L$223,11,FALSE)="PRÓXIMO",VLOOKUP(Z147,'BD LUB'!$A$2:$L$223,12,FALSE)="PASADO")),2,IF(OR(AND(VLOOKUP(Z147,'BD LUB'!$A$2:$L$223,11,FALSE)="PASADO",VLOOKUP(Z147,'BD LUB'!$A$2:$L$223,12,FALSE)="VIGENTE"),AND(VLOOKUP(Z147,'BD LUB'!$A$2:$L$223,11,FALSE)="VIGENTE",VLOOKUP(Z147,'BD LUB'!$A$2:$L$223,12,FALSE)="PASADO")),3,IF(AND(VLOOKUP(Z147,'BD LUB'!$A$2:$L$223,11,FALSE)="PRÓXIMO",VLOOKUP(Z147,'BD LUB'!$A$2:$L$223,12,FALSE)="PRÓXIMO"),4,IF(OR(AND(VLOOKUP(Z147,'BD LUB'!$A$2:$L$223,11,FALSE)="PRÓXIMO",VLOOKUP(Z147,'BD LUB'!$A$2:$L$223,12,FALSE)="VIGENTE"),AND(VLOOKUP(Z147,'BD LUB'!$A$2:$L$223,11,FALSE)="VIGENTE",VLOOKUP(Z147,'BD LUB'!$A$2:$L$223,12,FALSE)="PRÓXIMO")),5,IF(AND(VLOOKUP(Z147,'BD LUB'!$A$2:$L$223,11,FALSE)="VIGENTE",VLOOKUP(Z147,'BD LUB'!$A$2:$L$223,12,FALSE)="VIGENTE"),6,"No definido"))))))</f>
        <v>#N/A</v>
      </c>
      <c r="AC147" s="78"/>
      <c r="AD147" s="136" t="str">
        <f>IF(VLOOKUP(AC147,'BD LUB'!$A$2:$C$223,3,FALSE)=$AH$20,AC147&amp;" MED",IF(VLOOKUP(AC147,'BD LUB'!$A$2:$C$223,3,FALSE)=$AH$19,AC147&amp;" MAY",IF(VLOOKUP(AC147,'BD LUB'!$A$2:$C$223,3,FALSE)=$AH$18,AC147&amp;" RN",IF(VLOOKUP(AC147,'BD LUB'!$A$2:$C$223,3,FALSE)=$AH$17,AC147&amp;" COPQUI",IF(VLOOKUP(AC147,'BD LUB'!$A$2:$C$223,3,FALSE)=$AH$16,AC147&amp;" CEJ",IF(VLOOKUP(AC147,'BD LUB'!$A$2:$C$223,3,FALSE)=$AH$15,AC147&amp;" BULT",IF(VLOOKUP(AC147,'BD LUB'!$A$2:$C$223,3,FALSE)=$AH$14,AC147&amp;" COP",IF(VLOOKUP(AC147,'BD LUB'!$A$2:$C$223,3,FALSE)=$AH$13,AC147&amp;" RIO",IF(VLOOKUP(AC147,'BD LUB'!$A$2:$C$223,3,FALSE)=$AH$21,AC147&amp;" APART","Dato no encontrado")))))))))</f>
        <v>#N/A</v>
      </c>
      <c r="AE147" s="160"/>
      <c r="AF147" s="160"/>
      <c r="AG147" s="160"/>
      <c r="AH147" s="160"/>
      <c r="AI147" s="160"/>
      <c r="AJ147" s="160"/>
      <c r="AP147" s="160"/>
      <c r="AV147" s="160"/>
    </row>
    <row r="148">
      <c r="A148" s="158"/>
      <c r="B148" s="126">
        <v>145.0</v>
      </c>
      <c r="C148" s="78">
        <f>IFERROR(__xludf.DUMMYFUNCTION("""COMPUTED_VALUE"""),2435.0)</f>
        <v>2435</v>
      </c>
      <c r="D148" s="156">
        <f>IFERROR(__xludf.DUMMYFUNCTION("""COMPUTED_VALUE"""),46530.0)</f>
        <v>46530</v>
      </c>
      <c r="E148" s="78" t="str">
        <f>IFERROR(__xludf.DUMMYFUNCTION("""COMPUTED_VALUE"""),"02-Medellin")</f>
        <v>02-Medellin</v>
      </c>
      <c r="F148" s="156">
        <f>IFERROR(__xludf.DUMMYFUNCTION("""COMPUTED_VALUE"""),46129.0)</f>
        <v>46129</v>
      </c>
      <c r="G148" s="159">
        <f>IFERROR(__xludf.DUMMYFUNCTION("""COMPUTED_VALUE"""),93.0)</f>
        <v>93</v>
      </c>
      <c r="H148" s="78" t="str">
        <f>IFERROR(__xludf.DUMMYFUNCTION("""COMPUTED_VALUE"""),"VIGENTE")</f>
        <v>VIGENTE</v>
      </c>
      <c r="I148" s="132" t="str">
        <f t="shared" si="1"/>
        <v>-</v>
      </c>
      <c r="J148" s="158"/>
      <c r="K148" s="126">
        <v>145.0</v>
      </c>
      <c r="L148" s="78">
        <f>IFERROR(__xludf.DUMMYFUNCTION("""COMPUTED_VALUE"""),951.0)</f>
        <v>951</v>
      </c>
      <c r="M148" s="156">
        <f>IFERROR(__xludf.DUMMYFUNCTION("""COMPUTED_VALUE"""),46211.0)</f>
        <v>46211</v>
      </c>
      <c r="N148" s="78" t="str">
        <f>IFERROR(__xludf.DUMMYFUNCTION("""COMPUTED_VALUE"""),"02-Medellin")</f>
        <v>02-Medellin</v>
      </c>
      <c r="O148" s="156">
        <f>IFERROR(__xludf.DUMMYFUNCTION("""COMPUTED_VALUE"""),45841.0)</f>
        <v>45841</v>
      </c>
      <c r="P148" s="159">
        <f>IFERROR(__xludf.DUMMYFUNCTION("""COMPUTED_VALUE"""),5000.0)</f>
        <v>5000</v>
      </c>
      <c r="Q148" s="78" t="str">
        <f>IFERROR(__xludf.DUMMYFUNCTION("""COMPUTED_VALUE"""),"VIGENTE")</f>
        <v>VIGENTE</v>
      </c>
      <c r="R148" s="132" t="str">
        <f t="shared" si="2"/>
        <v>-</v>
      </c>
      <c r="T148" s="134" t="str">
        <f>CALENDARIO!D160</f>
        <v/>
      </c>
      <c r="U148" s="135" t="str">
        <f>CALENDARIO!C160</f>
        <v/>
      </c>
      <c r="W148" s="78"/>
      <c r="X148" s="136" t="str">
        <f>(VLOOKUP(W148,'BD LUB'!$A$2:$L$223,5,FALSE)/VLOOKUP(W148,'BD LUB'!$A$2:$L$223,7,FALSE))+(VLOOKUP(W148,'BD LUB'!$A$2:$L$223,6,FALSE)/VLOOKUP(W148,'BD LUB'!$A$2:$L$223,8,FALSE))</f>
        <v>#N/A</v>
      </c>
      <c r="Y148" s="137" t="str">
        <f>IF(AND(VLOOKUP(W148,'BD LUB'!$A$2:$L$223,11,FALSE)="PASADO",VLOOKUP(W148,'BD LUB'!$A$2:$L$223,12,FALSE)="PASADO"),1,IF(OR(AND(VLOOKUP(W148,'BD LUB'!$A$2:$L$223,11,FALSE)="PASADO",VLOOKUP(W148,'BD LUB'!$A$2:$L$223,12,FALSE)="PRÓXIMO"),AND(VLOOKUP(W148,'BD LUB'!$A$2:$L$223,11,FALSE)="PRÓXIMO",VLOOKUP(W148,'BD LUB'!$A$2:$L$223,12,FALSE)="PASADO")),2,IF(OR(AND(VLOOKUP(W148,'BD LUB'!$A$2:$L$223,11,FALSE)="PASADO",VLOOKUP(W148,'BD LUB'!$A$2:$L$223,12,FALSE)="VIGENTE"),AND(VLOOKUP(W148,'BD LUB'!$A$2:$L$223,11,FALSE)="VIGENTE",VLOOKUP(W148,'BD LUB'!$A$2:$L$223,12,FALSE)="PASADO")),3,IF(AND(VLOOKUP(W148,'BD LUB'!$A$2:$L$223,11,FALSE)="PRÓXIMO",VLOOKUP(W148,'BD LUB'!$A$2:$L$223,12,FALSE)="PRÓXIMO"),4,IF(OR(AND(VLOOKUP(W148,'BD LUB'!$A$2:$L$223,11,FALSE)="PRÓXIMO",VLOOKUP(W148,'BD LUB'!$A$2:$L$223,12,FALSE)="VIGENTE"),AND(VLOOKUP(W148,'BD LUB'!$A$2:$L$223,11,FALSE)="VIGENTE",VLOOKUP(W148,'BD LUB'!$A$2:$L$223,12,FALSE)="PRÓXIMO")),5,IF(AND(VLOOKUP(W148,'BD LUB'!$A$2:$L$223,11,FALSE)="VIGENTE",VLOOKUP(W148,'BD LUB'!$A$2:$L$223,12,FALSE)="VIGENTE"),6,"No definido"))))))</f>
        <v>#N/A</v>
      </c>
      <c r="Z148" s="138"/>
      <c r="AA148" s="139" t="str">
        <f>(VLOOKUP(Z148,'BD LUB'!$A$2:$L$223,5,FALSE)/VLOOKUP(Z148,'BD LUB'!$A$2:$L$223,7,FALSE))+(VLOOKUP(Z148,'BD LUB'!$A$2:$L$223,6,FALSE)/VLOOKUP(Z148,'BD LUB'!$A$2:$L$223,8,FALSE))</f>
        <v>#N/A</v>
      </c>
      <c r="AB148" s="78" t="str">
        <f>IF(AND(VLOOKUP(Z148,'BD LUB'!$A$2:$L$223,11,FALSE)="PASADO",VLOOKUP(Z148,'BD LUB'!$A$2:$L$223,12,FALSE)="PASADO"),1,IF(OR(AND(VLOOKUP(Z148,'BD LUB'!$A$2:$L$223,11,FALSE)="PASADO",VLOOKUP(Z148,'BD LUB'!$A$2:$L$223,12,FALSE)="PRÓXIMO"),AND(VLOOKUP(Z148,'BD LUB'!$A$2:$L$223,11,FALSE)="PRÓXIMO",VLOOKUP(Z148,'BD LUB'!$A$2:$L$223,12,FALSE)="PASADO")),2,IF(OR(AND(VLOOKUP(Z148,'BD LUB'!$A$2:$L$223,11,FALSE)="PASADO",VLOOKUP(Z148,'BD LUB'!$A$2:$L$223,12,FALSE)="VIGENTE"),AND(VLOOKUP(Z148,'BD LUB'!$A$2:$L$223,11,FALSE)="VIGENTE",VLOOKUP(Z148,'BD LUB'!$A$2:$L$223,12,FALSE)="PASADO")),3,IF(AND(VLOOKUP(Z148,'BD LUB'!$A$2:$L$223,11,FALSE)="PRÓXIMO",VLOOKUP(Z148,'BD LUB'!$A$2:$L$223,12,FALSE)="PRÓXIMO"),4,IF(OR(AND(VLOOKUP(Z148,'BD LUB'!$A$2:$L$223,11,FALSE)="PRÓXIMO",VLOOKUP(Z148,'BD LUB'!$A$2:$L$223,12,FALSE)="VIGENTE"),AND(VLOOKUP(Z148,'BD LUB'!$A$2:$L$223,11,FALSE)="VIGENTE",VLOOKUP(Z148,'BD LUB'!$A$2:$L$223,12,FALSE)="PRÓXIMO")),5,IF(AND(VLOOKUP(Z148,'BD LUB'!$A$2:$L$223,11,FALSE)="VIGENTE",VLOOKUP(Z148,'BD LUB'!$A$2:$L$223,12,FALSE)="VIGENTE"),6,"No definido"))))))</f>
        <v>#N/A</v>
      </c>
      <c r="AC148" s="78"/>
      <c r="AD148" s="136" t="str">
        <f>IF(VLOOKUP(AC148,'BD LUB'!$A$2:$C$223,3,FALSE)=$AH$20,AC148&amp;" MED",IF(VLOOKUP(AC148,'BD LUB'!$A$2:$C$223,3,FALSE)=$AH$19,AC148&amp;" MAY",IF(VLOOKUP(AC148,'BD LUB'!$A$2:$C$223,3,FALSE)=$AH$18,AC148&amp;" RN",IF(VLOOKUP(AC148,'BD LUB'!$A$2:$C$223,3,FALSE)=$AH$17,AC148&amp;" COPQUI",IF(VLOOKUP(AC148,'BD LUB'!$A$2:$C$223,3,FALSE)=$AH$16,AC148&amp;" CEJ",IF(VLOOKUP(AC148,'BD LUB'!$A$2:$C$223,3,FALSE)=$AH$15,AC148&amp;" BULT",IF(VLOOKUP(AC148,'BD LUB'!$A$2:$C$223,3,FALSE)=$AH$14,AC148&amp;" COP",IF(VLOOKUP(AC148,'BD LUB'!$A$2:$C$223,3,FALSE)=$AH$13,AC148&amp;" RIO",IF(VLOOKUP(AC148,'BD LUB'!$A$2:$C$223,3,FALSE)=$AH$21,AC148&amp;" APART","Dato no encontrado")))))))))</f>
        <v>#N/A</v>
      </c>
      <c r="AE148" s="160"/>
      <c r="AF148" s="160"/>
      <c r="AG148" s="160"/>
      <c r="AH148" s="160"/>
      <c r="AI148" s="160"/>
      <c r="AJ148" s="160"/>
      <c r="AP148" s="160"/>
      <c r="AV148" s="160"/>
    </row>
    <row r="149">
      <c r="A149" s="158"/>
      <c r="B149" s="126">
        <v>146.0</v>
      </c>
      <c r="C149" s="78">
        <f>IFERROR(__xludf.DUMMYFUNCTION("""COMPUTED_VALUE"""),2897.0)</f>
        <v>2897</v>
      </c>
      <c r="D149" s="156">
        <f>IFERROR(__xludf.DUMMYFUNCTION("""COMPUTED_VALUE"""),46242.0)</f>
        <v>46242</v>
      </c>
      <c r="E149" s="78" t="str">
        <f>IFERROR(__xludf.DUMMYFUNCTION("""COMPUTED_VALUE"""),"31-Copacabana QUIMICOS")</f>
        <v>31-Copacabana QUIMICOS</v>
      </c>
      <c r="F149" s="156">
        <f>IFERROR(__xludf.DUMMYFUNCTION("""COMPUTED_VALUE"""),46132.0)</f>
        <v>46132</v>
      </c>
      <c r="G149" s="159">
        <f>IFERROR(__xludf.DUMMYFUNCTION("""COMPUTED_VALUE"""),96.0)</f>
        <v>96</v>
      </c>
      <c r="H149" s="78" t="str">
        <f>IFERROR(__xludf.DUMMYFUNCTION("""COMPUTED_VALUE"""),"VIGENTE")</f>
        <v>VIGENTE</v>
      </c>
      <c r="I149" s="132" t="str">
        <f t="shared" si="1"/>
        <v>-</v>
      </c>
      <c r="J149" s="158"/>
      <c r="K149" s="126">
        <v>146.0</v>
      </c>
      <c r="L149" s="78">
        <f>IFERROR(__xludf.DUMMYFUNCTION("""COMPUTED_VALUE"""),2394.0)</f>
        <v>2394</v>
      </c>
      <c r="M149" s="156">
        <f>IFERROR(__xludf.DUMMYFUNCTION("""COMPUTED_VALUE"""),46467.0)</f>
        <v>46467</v>
      </c>
      <c r="N149" s="78" t="str">
        <f>IFERROR(__xludf.DUMMYFUNCTION("""COMPUTED_VALUE"""),"MAYORCA")</f>
        <v>MAYORCA</v>
      </c>
      <c r="O149" s="156">
        <f>IFERROR(__xludf.DUMMYFUNCTION("""COMPUTED_VALUE"""),46042.0)</f>
        <v>46042</v>
      </c>
      <c r="P149" s="159">
        <f>IFERROR(__xludf.DUMMYFUNCTION("""COMPUTED_VALUE"""),5108.2)</f>
        <v>5108.2</v>
      </c>
      <c r="Q149" s="78" t="str">
        <f>IFERROR(__xludf.DUMMYFUNCTION("""COMPUTED_VALUE"""),"VIGENTE")</f>
        <v>VIGENTE</v>
      </c>
      <c r="R149" s="132" t="str">
        <f t="shared" si="2"/>
        <v>-</v>
      </c>
      <c r="T149" s="134" t="str">
        <f>CALENDARIO!D161</f>
        <v/>
      </c>
      <c r="U149" s="135" t="str">
        <f>CALENDARIO!C161</f>
        <v/>
      </c>
      <c r="W149" s="78"/>
      <c r="X149" s="136" t="str">
        <f>(VLOOKUP(W149,'BD LUB'!$A$2:$L$223,5,FALSE)/VLOOKUP(W149,'BD LUB'!$A$2:$L$223,7,FALSE))+(VLOOKUP(W149,'BD LUB'!$A$2:$L$223,6,FALSE)/VLOOKUP(W149,'BD LUB'!$A$2:$L$223,8,FALSE))</f>
        <v>#N/A</v>
      </c>
      <c r="Y149" s="137" t="str">
        <f>IF(AND(VLOOKUP(W149,'BD LUB'!$A$2:$L$223,11,FALSE)="PASADO",VLOOKUP(W149,'BD LUB'!$A$2:$L$223,12,FALSE)="PASADO"),1,IF(OR(AND(VLOOKUP(W149,'BD LUB'!$A$2:$L$223,11,FALSE)="PASADO",VLOOKUP(W149,'BD LUB'!$A$2:$L$223,12,FALSE)="PRÓXIMO"),AND(VLOOKUP(W149,'BD LUB'!$A$2:$L$223,11,FALSE)="PRÓXIMO",VLOOKUP(W149,'BD LUB'!$A$2:$L$223,12,FALSE)="PASADO")),2,IF(OR(AND(VLOOKUP(W149,'BD LUB'!$A$2:$L$223,11,FALSE)="PASADO",VLOOKUP(W149,'BD LUB'!$A$2:$L$223,12,FALSE)="VIGENTE"),AND(VLOOKUP(W149,'BD LUB'!$A$2:$L$223,11,FALSE)="VIGENTE",VLOOKUP(W149,'BD LUB'!$A$2:$L$223,12,FALSE)="PASADO")),3,IF(AND(VLOOKUP(W149,'BD LUB'!$A$2:$L$223,11,FALSE)="PRÓXIMO",VLOOKUP(W149,'BD LUB'!$A$2:$L$223,12,FALSE)="PRÓXIMO"),4,IF(OR(AND(VLOOKUP(W149,'BD LUB'!$A$2:$L$223,11,FALSE)="PRÓXIMO",VLOOKUP(W149,'BD LUB'!$A$2:$L$223,12,FALSE)="VIGENTE"),AND(VLOOKUP(W149,'BD LUB'!$A$2:$L$223,11,FALSE)="VIGENTE",VLOOKUP(W149,'BD LUB'!$A$2:$L$223,12,FALSE)="PRÓXIMO")),5,IF(AND(VLOOKUP(W149,'BD LUB'!$A$2:$L$223,11,FALSE)="VIGENTE",VLOOKUP(W149,'BD LUB'!$A$2:$L$223,12,FALSE)="VIGENTE"),6,"No definido"))))))</f>
        <v>#N/A</v>
      </c>
      <c r="Z149" s="138"/>
      <c r="AA149" s="139" t="str">
        <f>(VLOOKUP(Z149,'BD LUB'!$A$2:$L$223,5,FALSE)/VLOOKUP(Z149,'BD LUB'!$A$2:$L$223,7,FALSE))+(VLOOKUP(Z149,'BD LUB'!$A$2:$L$223,6,FALSE)/VLOOKUP(Z149,'BD LUB'!$A$2:$L$223,8,FALSE))</f>
        <v>#N/A</v>
      </c>
      <c r="AB149" s="78" t="str">
        <f>IF(AND(VLOOKUP(Z149,'BD LUB'!$A$2:$L$223,11,FALSE)="PASADO",VLOOKUP(Z149,'BD LUB'!$A$2:$L$223,12,FALSE)="PASADO"),1,IF(OR(AND(VLOOKUP(Z149,'BD LUB'!$A$2:$L$223,11,FALSE)="PASADO",VLOOKUP(Z149,'BD LUB'!$A$2:$L$223,12,FALSE)="PRÓXIMO"),AND(VLOOKUP(Z149,'BD LUB'!$A$2:$L$223,11,FALSE)="PRÓXIMO",VLOOKUP(Z149,'BD LUB'!$A$2:$L$223,12,FALSE)="PASADO")),2,IF(OR(AND(VLOOKUP(Z149,'BD LUB'!$A$2:$L$223,11,FALSE)="PASADO",VLOOKUP(Z149,'BD LUB'!$A$2:$L$223,12,FALSE)="VIGENTE"),AND(VLOOKUP(Z149,'BD LUB'!$A$2:$L$223,11,FALSE)="VIGENTE",VLOOKUP(Z149,'BD LUB'!$A$2:$L$223,12,FALSE)="PASADO")),3,IF(AND(VLOOKUP(Z149,'BD LUB'!$A$2:$L$223,11,FALSE)="PRÓXIMO",VLOOKUP(Z149,'BD LUB'!$A$2:$L$223,12,FALSE)="PRÓXIMO"),4,IF(OR(AND(VLOOKUP(Z149,'BD LUB'!$A$2:$L$223,11,FALSE)="PRÓXIMO",VLOOKUP(Z149,'BD LUB'!$A$2:$L$223,12,FALSE)="VIGENTE"),AND(VLOOKUP(Z149,'BD LUB'!$A$2:$L$223,11,FALSE)="VIGENTE",VLOOKUP(Z149,'BD LUB'!$A$2:$L$223,12,FALSE)="PRÓXIMO")),5,IF(AND(VLOOKUP(Z149,'BD LUB'!$A$2:$L$223,11,FALSE)="VIGENTE",VLOOKUP(Z149,'BD LUB'!$A$2:$L$223,12,FALSE)="VIGENTE"),6,"No definido"))))))</f>
        <v>#N/A</v>
      </c>
      <c r="AC149" s="78"/>
      <c r="AD149" s="136" t="str">
        <f>IF(VLOOKUP(AC149,'BD LUB'!$A$2:$C$223,3,FALSE)=$AH$20,AC149&amp;" MED",IF(VLOOKUP(AC149,'BD LUB'!$A$2:$C$223,3,FALSE)=$AH$19,AC149&amp;" MAY",IF(VLOOKUP(AC149,'BD LUB'!$A$2:$C$223,3,FALSE)=$AH$18,AC149&amp;" RN",IF(VLOOKUP(AC149,'BD LUB'!$A$2:$C$223,3,FALSE)=$AH$17,AC149&amp;" COPQUI",IF(VLOOKUP(AC149,'BD LUB'!$A$2:$C$223,3,FALSE)=$AH$16,AC149&amp;" CEJ",IF(VLOOKUP(AC149,'BD LUB'!$A$2:$C$223,3,FALSE)=$AH$15,AC149&amp;" BULT",IF(VLOOKUP(AC149,'BD LUB'!$A$2:$C$223,3,FALSE)=$AH$14,AC149&amp;" COP",IF(VLOOKUP(AC149,'BD LUB'!$A$2:$C$223,3,FALSE)=$AH$13,AC149&amp;" RIO",IF(VLOOKUP(AC149,'BD LUB'!$A$2:$C$223,3,FALSE)=$AH$21,AC149&amp;" APART","Dato no encontrado")))))))))</f>
        <v>#N/A</v>
      </c>
      <c r="AE149" s="160"/>
      <c r="AF149" s="160"/>
      <c r="AG149" s="160"/>
      <c r="AH149" s="160"/>
      <c r="AI149" s="160"/>
      <c r="AJ149" s="160"/>
      <c r="AP149" s="160"/>
      <c r="AV149" s="160"/>
    </row>
    <row r="150">
      <c r="A150" s="158"/>
      <c r="B150" s="126">
        <v>147.0</v>
      </c>
      <c r="C150" s="78">
        <f>IFERROR(__xludf.DUMMYFUNCTION("""COMPUTED_VALUE"""),2879.0)</f>
        <v>2879</v>
      </c>
      <c r="D150" s="156">
        <f>IFERROR(__xludf.DUMMYFUNCTION("""COMPUTED_VALUE"""),46226.0)</f>
        <v>46226</v>
      </c>
      <c r="E150" s="78" t="str">
        <f>IFERROR(__xludf.DUMMYFUNCTION("""COMPUTED_VALUE"""),"02-Medellin")</f>
        <v>02-Medellin</v>
      </c>
      <c r="F150" s="156">
        <f>IFERROR(__xludf.DUMMYFUNCTION("""COMPUTED_VALUE"""),46132.0)</f>
        <v>46132</v>
      </c>
      <c r="G150" s="159">
        <f>IFERROR(__xludf.DUMMYFUNCTION("""COMPUTED_VALUE"""),96.0)</f>
        <v>96</v>
      </c>
      <c r="H150" s="78" t="str">
        <f>IFERROR(__xludf.DUMMYFUNCTION("""COMPUTED_VALUE"""),"VIGENTE")</f>
        <v>VIGENTE</v>
      </c>
      <c r="I150" s="132" t="str">
        <f t="shared" si="1"/>
        <v>-</v>
      </c>
      <c r="J150" s="158"/>
      <c r="K150" s="126">
        <v>147.0</v>
      </c>
      <c r="L150" s="78">
        <f>IFERROR(__xludf.DUMMYFUNCTION("""COMPUTED_VALUE"""),2379.0)</f>
        <v>2379</v>
      </c>
      <c r="M150" s="156">
        <f>IFERROR(__xludf.DUMMYFUNCTION("""COMPUTED_VALUE"""),46457.0)</f>
        <v>46457</v>
      </c>
      <c r="N150" s="78" t="str">
        <f>IFERROR(__xludf.DUMMYFUNCTION("""COMPUTED_VALUE"""),"31-Copacabana QUIMICOS")</f>
        <v>31-Copacabana QUIMICOS</v>
      </c>
      <c r="O150" s="156">
        <f>IFERROR(__xludf.DUMMYFUNCTION("""COMPUTED_VALUE"""),46150.0)</f>
        <v>46150</v>
      </c>
      <c r="P150" s="159">
        <f>IFERROR(__xludf.DUMMYFUNCTION("""COMPUTED_VALUE"""),5202.0)</f>
        <v>5202</v>
      </c>
      <c r="Q150" s="78" t="str">
        <f>IFERROR(__xludf.DUMMYFUNCTION("""COMPUTED_VALUE"""),"VIGENTE")</f>
        <v>VIGENTE</v>
      </c>
      <c r="R150" s="132" t="str">
        <f t="shared" si="2"/>
        <v>-</v>
      </c>
      <c r="T150" s="134" t="str">
        <f>CALENDARIO!D162</f>
        <v/>
      </c>
      <c r="U150" s="135" t="str">
        <f>CALENDARIO!C162</f>
        <v/>
      </c>
      <c r="W150" s="78"/>
      <c r="X150" s="136" t="str">
        <f>(VLOOKUP(W150,'BD LUB'!$A$2:$L$223,5,FALSE)/VLOOKUP(W150,'BD LUB'!$A$2:$L$223,7,FALSE))+(VLOOKUP(W150,'BD LUB'!$A$2:$L$223,6,FALSE)/VLOOKUP(W150,'BD LUB'!$A$2:$L$223,8,FALSE))</f>
        <v>#N/A</v>
      </c>
      <c r="Y150" s="137" t="str">
        <f>IF(AND(VLOOKUP(W150,'BD LUB'!$A$2:$L$223,11,FALSE)="PASADO",VLOOKUP(W150,'BD LUB'!$A$2:$L$223,12,FALSE)="PASADO"),1,IF(OR(AND(VLOOKUP(W150,'BD LUB'!$A$2:$L$223,11,FALSE)="PASADO",VLOOKUP(W150,'BD LUB'!$A$2:$L$223,12,FALSE)="PRÓXIMO"),AND(VLOOKUP(W150,'BD LUB'!$A$2:$L$223,11,FALSE)="PRÓXIMO",VLOOKUP(W150,'BD LUB'!$A$2:$L$223,12,FALSE)="PASADO")),2,IF(OR(AND(VLOOKUP(W150,'BD LUB'!$A$2:$L$223,11,FALSE)="PASADO",VLOOKUP(W150,'BD LUB'!$A$2:$L$223,12,FALSE)="VIGENTE"),AND(VLOOKUP(W150,'BD LUB'!$A$2:$L$223,11,FALSE)="VIGENTE",VLOOKUP(W150,'BD LUB'!$A$2:$L$223,12,FALSE)="PASADO")),3,IF(AND(VLOOKUP(W150,'BD LUB'!$A$2:$L$223,11,FALSE)="PRÓXIMO",VLOOKUP(W150,'BD LUB'!$A$2:$L$223,12,FALSE)="PRÓXIMO"),4,IF(OR(AND(VLOOKUP(W150,'BD LUB'!$A$2:$L$223,11,FALSE)="PRÓXIMO",VLOOKUP(W150,'BD LUB'!$A$2:$L$223,12,FALSE)="VIGENTE"),AND(VLOOKUP(W150,'BD LUB'!$A$2:$L$223,11,FALSE)="VIGENTE",VLOOKUP(W150,'BD LUB'!$A$2:$L$223,12,FALSE)="PRÓXIMO")),5,IF(AND(VLOOKUP(W150,'BD LUB'!$A$2:$L$223,11,FALSE)="VIGENTE",VLOOKUP(W150,'BD LUB'!$A$2:$L$223,12,FALSE)="VIGENTE"),6,"No definido"))))))</f>
        <v>#N/A</v>
      </c>
      <c r="Z150" s="138"/>
      <c r="AA150" s="139" t="str">
        <f>(VLOOKUP(Z150,'BD LUB'!$A$2:$L$223,5,FALSE)/VLOOKUP(Z150,'BD LUB'!$A$2:$L$223,7,FALSE))+(VLOOKUP(Z150,'BD LUB'!$A$2:$L$223,6,FALSE)/VLOOKUP(Z150,'BD LUB'!$A$2:$L$223,8,FALSE))</f>
        <v>#N/A</v>
      </c>
      <c r="AB150" s="78" t="str">
        <f>IF(AND(VLOOKUP(Z150,'BD LUB'!$A$2:$L$223,11,FALSE)="PASADO",VLOOKUP(Z150,'BD LUB'!$A$2:$L$223,12,FALSE)="PASADO"),1,IF(OR(AND(VLOOKUP(Z150,'BD LUB'!$A$2:$L$223,11,FALSE)="PASADO",VLOOKUP(Z150,'BD LUB'!$A$2:$L$223,12,FALSE)="PRÓXIMO"),AND(VLOOKUP(Z150,'BD LUB'!$A$2:$L$223,11,FALSE)="PRÓXIMO",VLOOKUP(Z150,'BD LUB'!$A$2:$L$223,12,FALSE)="PASADO")),2,IF(OR(AND(VLOOKUP(Z150,'BD LUB'!$A$2:$L$223,11,FALSE)="PASADO",VLOOKUP(Z150,'BD LUB'!$A$2:$L$223,12,FALSE)="VIGENTE"),AND(VLOOKUP(Z150,'BD LUB'!$A$2:$L$223,11,FALSE)="VIGENTE",VLOOKUP(Z150,'BD LUB'!$A$2:$L$223,12,FALSE)="PASADO")),3,IF(AND(VLOOKUP(Z150,'BD LUB'!$A$2:$L$223,11,FALSE)="PRÓXIMO",VLOOKUP(Z150,'BD LUB'!$A$2:$L$223,12,FALSE)="PRÓXIMO"),4,IF(OR(AND(VLOOKUP(Z150,'BD LUB'!$A$2:$L$223,11,FALSE)="PRÓXIMO",VLOOKUP(Z150,'BD LUB'!$A$2:$L$223,12,FALSE)="VIGENTE"),AND(VLOOKUP(Z150,'BD LUB'!$A$2:$L$223,11,FALSE)="VIGENTE",VLOOKUP(Z150,'BD LUB'!$A$2:$L$223,12,FALSE)="PRÓXIMO")),5,IF(AND(VLOOKUP(Z150,'BD LUB'!$A$2:$L$223,11,FALSE)="VIGENTE",VLOOKUP(Z150,'BD LUB'!$A$2:$L$223,12,FALSE)="VIGENTE"),6,"No definido"))))))</f>
        <v>#N/A</v>
      </c>
      <c r="AC150" s="78"/>
      <c r="AD150" s="136" t="str">
        <f>IF(VLOOKUP(AC150,'BD LUB'!$A$2:$C$223,3,FALSE)=$AH$20,AC150&amp;" MED",IF(VLOOKUP(AC150,'BD LUB'!$A$2:$C$223,3,FALSE)=$AH$19,AC150&amp;" MAY",IF(VLOOKUP(AC150,'BD LUB'!$A$2:$C$223,3,FALSE)=$AH$18,AC150&amp;" RN",IF(VLOOKUP(AC150,'BD LUB'!$A$2:$C$223,3,FALSE)=$AH$17,AC150&amp;" COPQUI",IF(VLOOKUP(AC150,'BD LUB'!$A$2:$C$223,3,FALSE)=$AH$16,AC150&amp;" CEJ",IF(VLOOKUP(AC150,'BD LUB'!$A$2:$C$223,3,FALSE)=$AH$15,AC150&amp;" BULT",IF(VLOOKUP(AC150,'BD LUB'!$A$2:$C$223,3,FALSE)=$AH$14,AC150&amp;" COP",IF(VLOOKUP(AC150,'BD LUB'!$A$2:$C$223,3,FALSE)=$AH$13,AC150&amp;" RIO",IF(VLOOKUP(AC150,'BD LUB'!$A$2:$C$223,3,FALSE)=$AH$21,AC150&amp;" APART","Dato no encontrado")))))))))</f>
        <v>#N/A</v>
      </c>
      <c r="AE150" s="160"/>
      <c r="AF150" s="160"/>
      <c r="AG150" s="160"/>
      <c r="AH150" s="160"/>
      <c r="AI150" s="160"/>
      <c r="AJ150" s="160"/>
      <c r="AP150" s="160"/>
      <c r="AV150" s="160"/>
    </row>
    <row r="151">
      <c r="A151" s="158"/>
      <c r="B151" s="126">
        <v>148.0</v>
      </c>
      <c r="C151" s="78">
        <f>IFERROR(__xludf.DUMMYFUNCTION("""COMPUTED_VALUE"""),2848.0)</f>
        <v>2848</v>
      </c>
      <c r="D151" s="156">
        <f>IFERROR(__xludf.DUMMYFUNCTION("""COMPUTED_VALUE"""),46561.0)</f>
        <v>46561</v>
      </c>
      <c r="E151" s="78" t="str">
        <f>IFERROR(__xludf.DUMMYFUNCTION("""COMPUTED_VALUE"""),"02-Medellin")</f>
        <v>02-Medellin</v>
      </c>
      <c r="F151" s="156">
        <f>IFERROR(__xludf.DUMMYFUNCTION("""COMPUTED_VALUE"""),46132.0)</f>
        <v>46132</v>
      </c>
      <c r="G151" s="159">
        <f>IFERROR(__xludf.DUMMYFUNCTION("""COMPUTED_VALUE"""),96.0)</f>
        <v>96</v>
      </c>
      <c r="H151" s="78" t="str">
        <f>IFERROR(__xludf.DUMMYFUNCTION("""COMPUTED_VALUE"""),"VIGENTE")</f>
        <v>VIGENTE</v>
      </c>
      <c r="I151" s="132" t="str">
        <f t="shared" si="1"/>
        <v>-</v>
      </c>
      <c r="J151" s="158"/>
      <c r="K151" s="126">
        <v>148.0</v>
      </c>
      <c r="L151" s="78">
        <f>IFERROR(__xludf.DUMMYFUNCTION("""COMPUTED_VALUE"""),2675.0)</f>
        <v>2675</v>
      </c>
      <c r="M151" s="156">
        <f>IFERROR(__xludf.DUMMYFUNCTION("""COMPUTED_VALUE"""),46494.0)</f>
        <v>46494</v>
      </c>
      <c r="N151" s="78" t="str">
        <f>IFERROR(__xludf.DUMMYFUNCTION("""COMPUTED_VALUE"""),"02-Medellin")</f>
        <v>02-Medellin</v>
      </c>
      <c r="O151" s="156">
        <f>IFERROR(__xludf.DUMMYFUNCTION("""COMPUTED_VALUE"""),46056.0)</f>
        <v>46056</v>
      </c>
      <c r="P151" s="159">
        <f>IFERROR(__xludf.DUMMYFUNCTION("""COMPUTED_VALUE"""),5314.7)</f>
        <v>5314.7</v>
      </c>
      <c r="Q151" s="78" t="str">
        <f>IFERROR(__xludf.DUMMYFUNCTION("""COMPUTED_VALUE"""),"VIGENTE")</f>
        <v>VIGENTE</v>
      </c>
      <c r="R151" s="132" t="str">
        <f t="shared" si="2"/>
        <v>-</v>
      </c>
      <c r="T151" s="134" t="str">
        <f>CALENDARIO!D163</f>
        <v/>
      </c>
      <c r="U151" s="135" t="str">
        <f>CALENDARIO!C163</f>
        <v/>
      </c>
      <c r="W151" s="78"/>
      <c r="X151" s="136" t="str">
        <f>(VLOOKUP(W151,'BD LUB'!$A$2:$L$223,5,FALSE)/VLOOKUP(W151,'BD LUB'!$A$2:$L$223,7,FALSE))+(VLOOKUP(W151,'BD LUB'!$A$2:$L$223,6,FALSE)/VLOOKUP(W151,'BD LUB'!$A$2:$L$223,8,FALSE))</f>
        <v>#N/A</v>
      </c>
      <c r="Y151" s="137" t="str">
        <f>IF(AND(VLOOKUP(W151,'BD LUB'!$A$2:$L$223,11,FALSE)="PASADO",VLOOKUP(W151,'BD LUB'!$A$2:$L$223,12,FALSE)="PASADO"),1,IF(OR(AND(VLOOKUP(W151,'BD LUB'!$A$2:$L$223,11,FALSE)="PASADO",VLOOKUP(W151,'BD LUB'!$A$2:$L$223,12,FALSE)="PRÓXIMO"),AND(VLOOKUP(W151,'BD LUB'!$A$2:$L$223,11,FALSE)="PRÓXIMO",VLOOKUP(W151,'BD LUB'!$A$2:$L$223,12,FALSE)="PASADO")),2,IF(OR(AND(VLOOKUP(W151,'BD LUB'!$A$2:$L$223,11,FALSE)="PASADO",VLOOKUP(W151,'BD LUB'!$A$2:$L$223,12,FALSE)="VIGENTE"),AND(VLOOKUP(W151,'BD LUB'!$A$2:$L$223,11,FALSE)="VIGENTE",VLOOKUP(W151,'BD LUB'!$A$2:$L$223,12,FALSE)="PASADO")),3,IF(AND(VLOOKUP(W151,'BD LUB'!$A$2:$L$223,11,FALSE)="PRÓXIMO",VLOOKUP(W151,'BD LUB'!$A$2:$L$223,12,FALSE)="PRÓXIMO"),4,IF(OR(AND(VLOOKUP(W151,'BD LUB'!$A$2:$L$223,11,FALSE)="PRÓXIMO",VLOOKUP(W151,'BD LUB'!$A$2:$L$223,12,FALSE)="VIGENTE"),AND(VLOOKUP(W151,'BD LUB'!$A$2:$L$223,11,FALSE)="VIGENTE",VLOOKUP(W151,'BD LUB'!$A$2:$L$223,12,FALSE)="PRÓXIMO")),5,IF(AND(VLOOKUP(W151,'BD LUB'!$A$2:$L$223,11,FALSE)="VIGENTE",VLOOKUP(W151,'BD LUB'!$A$2:$L$223,12,FALSE)="VIGENTE"),6,"No definido"))))))</f>
        <v>#N/A</v>
      </c>
      <c r="Z151" s="138"/>
      <c r="AA151" s="139" t="str">
        <f>(VLOOKUP(Z151,'BD LUB'!$A$2:$L$223,5,FALSE)/VLOOKUP(Z151,'BD LUB'!$A$2:$L$223,7,FALSE))+(VLOOKUP(Z151,'BD LUB'!$A$2:$L$223,6,FALSE)/VLOOKUP(Z151,'BD LUB'!$A$2:$L$223,8,FALSE))</f>
        <v>#N/A</v>
      </c>
      <c r="AB151" s="78" t="str">
        <f>IF(AND(VLOOKUP(Z151,'BD LUB'!$A$2:$L$223,11,FALSE)="PASADO",VLOOKUP(Z151,'BD LUB'!$A$2:$L$223,12,FALSE)="PASADO"),1,IF(OR(AND(VLOOKUP(Z151,'BD LUB'!$A$2:$L$223,11,FALSE)="PASADO",VLOOKUP(Z151,'BD LUB'!$A$2:$L$223,12,FALSE)="PRÓXIMO"),AND(VLOOKUP(Z151,'BD LUB'!$A$2:$L$223,11,FALSE)="PRÓXIMO",VLOOKUP(Z151,'BD LUB'!$A$2:$L$223,12,FALSE)="PASADO")),2,IF(OR(AND(VLOOKUP(Z151,'BD LUB'!$A$2:$L$223,11,FALSE)="PASADO",VLOOKUP(Z151,'BD LUB'!$A$2:$L$223,12,FALSE)="VIGENTE"),AND(VLOOKUP(Z151,'BD LUB'!$A$2:$L$223,11,FALSE)="VIGENTE",VLOOKUP(Z151,'BD LUB'!$A$2:$L$223,12,FALSE)="PASADO")),3,IF(AND(VLOOKUP(Z151,'BD LUB'!$A$2:$L$223,11,FALSE)="PRÓXIMO",VLOOKUP(Z151,'BD LUB'!$A$2:$L$223,12,FALSE)="PRÓXIMO"),4,IF(OR(AND(VLOOKUP(Z151,'BD LUB'!$A$2:$L$223,11,FALSE)="PRÓXIMO",VLOOKUP(Z151,'BD LUB'!$A$2:$L$223,12,FALSE)="VIGENTE"),AND(VLOOKUP(Z151,'BD LUB'!$A$2:$L$223,11,FALSE)="VIGENTE",VLOOKUP(Z151,'BD LUB'!$A$2:$L$223,12,FALSE)="PRÓXIMO")),5,IF(AND(VLOOKUP(Z151,'BD LUB'!$A$2:$L$223,11,FALSE)="VIGENTE",VLOOKUP(Z151,'BD LUB'!$A$2:$L$223,12,FALSE)="VIGENTE"),6,"No definido"))))))</f>
        <v>#N/A</v>
      </c>
      <c r="AC151" s="78"/>
      <c r="AD151" s="136" t="str">
        <f>IF(VLOOKUP(AC151,'BD LUB'!$A$2:$C$223,3,FALSE)=$AH$20,AC151&amp;" MED",IF(VLOOKUP(AC151,'BD LUB'!$A$2:$C$223,3,FALSE)=$AH$19,AC151&amp;" MAY",IF(VLOOKUP(AC151,'BD LUB'!$A$2:$C$223,3,FALSE)=$AH$18,AC151&amp;" RN",IF(VLOOKUP(AC151,'BD LUB'!$A$2:$C$223,3,FALSE)=$AH$17,AC151&amp;" COPQUI",IF(VLOOKUP(AC151,'BD LUB'!$A$2:$C$223,3,FALSE)=$AH$16,AC151&amp;" CEJ",IF(VLOOKUP(AC151,'BD LUB'!$A$2:$C$223,3,FALSE)=$AH$15,AC151&amp;" BULT",IF(VLOOKUP(AC151,'BD LUB'!$A$2:$C$223,3,FALSE)=$AH$14,AC151&amp;" COP",IF(VLOOKUP(AC151,'BD LUB'!$A$2:$C$223,3,FALSE)=$AH$13,AC151&amp;" RIO",IF(VLOOKUP(AC151,'BD LUB'!$A$2:$C$223,3,FALSE)=$AH$21,AC151&amp;" APART","Dato no encontrado")))))))))</f>
        <v>#N/A</v>
      </c>
      <c r="AE151" s="160"/>
      <c r="AF151" s="160"/>
      <c r="AG151" s="160"/>
      <c r="AH151" s="160"/>
      <c r="AI151" s="160"/>
      <c r="AJ151" s="160"/>
      <c r="AP151" s="160"/>
      <c r="AV151" s="160"/>
    </row>
    <row r="152">
      <c r="A152" s="158"/>
      <c r="B152" s="126">
        <v>149.0</v>
      </c>
      <c r="C152" s="78">
        <f>IFERROR(__xludf.DUMMYFUNCTION("""COMPUTED_VALUE"""),2843.0)</f>
        <v>2843</v>
      </c>
      <c r="D152" s="156">
        <f>IFERROR(__xludf.DUMMYFUNCTION("""COMPUTED_VALUE"""),46562.0)</f>
        <v>46562</v>
      </c>
      <c r="E152" s="78" t="str">
        <f>IFERROR(__xludf.DUMMYFUNCTION("""COMPUTED_VALUE"""),"31-Copacabana")</f>
        <v>31-Copacabana</v>
      </c>
      <c r="F152" s="156">
        <f>IFERROR(__xludf.DUMMYFUNCTION("""COMPUTED_VALUE"""),46132.0)</f>
        <v>46132</v>
      </c>
      <c r="G152" s="159">
        <f>IFERROR(__xludf.DUMMYFUNCTION("""COMPUTED_VALUE"""),96.0)</f>
        <v>96</v>
      </c>
      <c r="H152" s="78" t="str">
        <f>IFERROR(__xludf.DUMMYFUNCTION("""COMPUTED_VALUE"""),"VIGENTE")</f>
        <v>VIGENTE</v>
      </c>
      <c r="I152" s="132" t="str">
        <f t="shared" si="1"/>
        <v>-</v>
      </c>
      <c r="J152" s="158"/>
      <c r="K152" s="126">
        <v>149.0</v>
      </c>
      <c r="L152" s="78">
        <f>IFERROR(__xludf.DUMMYFUNCTION("""COMPUTED_VALUE"""),2457.0)</f>
        <v>2457</v>
      </c>
      <c r="M152" s="156">
        <f>IFERROR(__xludf.DUMMYFUNCTION("""COMPUTED_VALUE"""),46302.0)</f>
        <v>46302</v>
      </c>
      <c r="N152" s="78" t="str">
        <f>IFERROR(__xludf.DUMMYFUNCTION("""COMPUTED_VALUE"""),"BULTOS")</f>
        <v>BULTOS</v>
      </c>
      <c r="O152" s="156">
        <f>IFERROR(__xludf.DUMMYFUNCTION("""COMPUTED_VALUE"""),46134.0)</f>
        <v>46134</v>
      </c>
      <c r="P152" s="159">
        <f>IFERROR(__xludf.DUMMYFUNCTION("""COMPUTED_VALUE"""),5319.1)</f>
        <v>5319.1</v>
      </c>
      <c r="Q152" s="78" t="str">
        <f>IFERROR(__xludf.DUMMYFUNCTION("""COMPUTED_VALUE"""),"VIGENTE")</f>
        <v>VIGENTE</v>
      </c>
      <c r="R152" s="132" t="str">
        <f t="shared" si="2"/>
        <v>-</v>
      </c>
      <c r="T152" s="134" t="str">
        <f>CALENDARIO!D164</f>
        <v/>
      </c>
      <c r="U152" s="135" t="str">
        <f>CALENDARIO!C164</f>
        <v/>
      </c>
      <c r="W152" s="78"/>
      <c r="X152" s="136" t="str">
        <f>(VLOOKUP(W152,'BD LUB'!$A$2:$L$223,5,FALSE)/VLOOKUP(W152,'BD LUB'!$A$2:$L$223,7,FALSE))+(VLOOKUP(W152,'BD LUB'!$A$2:$L$223,6,FALSE)/VLOOKUP(W152,'BD LUB'!$A$2:$L$223,8,FALSE))</f>
        <v>#N/A</v>
      </c>
      <c r="Y152" s="137" t="str">
        <f>IF(AND(VLOOKUP(W152,'BD LUB'!$A$2:$L$223,11,FALSE)="PASADO",VLOOKUP(W152,'BD LUB'!$A$2:$L$223,12,FALSE)="PASADO"),1,IF(OR(AND(VLOOKUP(W152,'BD LUB'!$A$2:$L$223,11,FALSE)="PASADO",VLOOKUP(W152,'BD LUB'!$A$2:$L$223,12,FALSE)="PRÓXIMO"),AND(VLOOKUP(W152,'BD LUB'!$A$2:$L$223,11,FALSE)="PRÓXIMO",VLOOKUP(W152,'BD LUB'!$A$2:$L$223,12,FALSE)="PASADO")),2,IF(OR(AND(VLOOKUP(W152,'BD LUB'!$A$2:$L$223,11,FALSE)="PASADO",VLOOKUP(W152,'BD LUB'!$A$2:$L$223,12,FALSE)="VIGENTE"),AND(VLOOKUP(W152,'BD LUB'!$A$2:$L$223,11,FALSE)="VIGENTE",VLOOKUP(W152,'BD LUB'!$A$2:$L$223,12,FALSE)="PASADO")),3,IF(AND(VLOOKUP(W152,'BD LUB'!$A$2:$L$223,11,FALSE)="PRÓXIMO",VLOOKUP(W152,'BD LUB'!$A$2:$L$223,12,FALSE)="PRÓXIMO"),4,IF(OR(AND(VLOOKUP(W152,'BD LUB'!$A$2:$L$223,11,FALSE)="PRÓXIMO",VLOOKUP(W152,'BD LUB'!$A$2:$L$223,12,FALSE)="VIGENTE"),AND(VLOOKUP(W152,'BD LUB'!$A$2:$L$223,11,FALSE)="VIGENTE",VLOOKUP(W152,'BD LUB'!$A$2:$L$223,12,FALSE)="PRÓXIMO")),5,IF(AND(VLOOKUP(W152,'BD LUB'!$A$2:$L$223,11,FALSE)="VIGENTE",VLOOKUP(W152,'BD LUB'!$A$2:$L$223,12,FALSE)="VIGENTE"),6,"No definido"))))))</f>
        <v>#N/A</v>
      </c>
      <c r="Z152" s="138"/>
      <c r="AA152" s="139" t="str">
        <f>(VLOOKUP(Z152,'BD LUB'!$A$2:$L$223,5,FALSE)/VLOOKUP(Z152,'BD LUB'!$A$2:$L$223,7,FALSE))+(VLOOKUP(Z152,'BD LUB'!$A$2:$L$223,6,FALSE)/VLOOKUP(Z152,'BD LUB'!$A$2:$L$223,8,FALSE))</f>
        <v>#N/A</v>
      </c>
      <c r="AB152" s="78" t="str">
        <f>IF(AND(VLOOKUP(Z152,'BD LUB'!$A$2:$L$223,11,FALSE)="PASADO",VLOOKUP(Z152,'BD LUB'!$A$2:$L$223,12,FALSE)="PASADO"),1,IF(OR(AND(VLOOKUP(Z152,'BD LUB'!$A$2:$L$223,11,FALSE)="PASADO",VLOOKUP(Z152,'BD LUB'!$A$2:$L$223,12,FALSE)="PRÓXIMO"),AND(VLOOKUP(Z152,'BD LUB'!$A$2:$L$223,11,FALSE)="PRÓXIMO",VLOOKUP(Z152,'BD LUB'!$A$2:$L$223,12,FALSE)="PASADO")),2,IF(OR(AND(VLOOKUP(Z152,'BD LUB'!$A$2:$L$223,11,FALSE)="PASADO",VLOOKUP(Z152,'BD LUB'!$A$2:$L$223,12,FALSE)="VIGENTE"),AND(VLOOKUP(Z152,'BD LUB'!$A$2:$L$223,11,FALSE)="VIGENTE",VLOOKUP(Z152,'BD LUB'!$A$2:$L$223,12,FALSE)="PASADO")),3,IF(AND(VLOOKUP(Z152,'BD LUB'!$A$2:$L$223,11,FALSE)="PRÓXIMO",VLOOKUP(Z152,'BD LUB'!$A$2:$L$223,12,FALSE)="PRÓXIMO"),4,IF(OR(AND(VLOOKUP(Z152,'BD LUB'!$A$2:$L$223,11,FALSE)="PRÓXIMO",VLOOKUP(Z152,'BD LUB'!$A$2:$L$223,12,FALSE)="VIGENTE"),AND(VLOOKUP(Z152,'BD LUB'!$A$2:$L$223,11,FALSE)="VIGENTE",VLOOKUP(Z152,'BD LUB'!$A$2:$L$223,12,FALSE)="PRÓXIMO")),5,IF(AND(VLOOKUP(Z152,'BD LUB'!$A$2:$L$223,11,FALSE)="VIGENTE",VLOOKUP(Z152,'BD LUB'!$A$2:$L$223,12,FALSE)="VIGENTE"),6,"No definido"))))))</f>
        <v>#N/A</v>
      </c>
      <c r="AC152" s="78"/>
      <c r="AD152" s="136" t="str">
        <f>IF(VLOOKUP(AC152,'BD LUB'!$A$2:$C$223,3,FALSE)=$AH$20,AC152&amp;" MED",IF(VLOOKUP(AC152,'BD LUB'!$A$2:$C$223,3,FALSE)=$AH$19,AC152&amp;" MAY",IF(VLOOKUP(AC152,'BD LUB'!$A$2:$C$223,3,FALSE)=$AH$18,AC152&amp;" RN",IF(VLOOKUP(AC152,'BD LUB'!$A$2:$C$223,3,FALSE)=$AH$17,AC152&amp;" COPQUI",IF(VLOOKUP(AC152,'BD LUB'!$A$2:$C$223,3,FALSE)=$AH$16,AC152&amp;" CEJ",IF(VLOOKUP(AC152,'BD LUB'!$A$2:$C$223,3,FALSE)=$AH$15,AC152&amp;" BULT",IF(VLOOKUP(AC152,'BD LUB'!$A$2:$C$223,3,FALSE)=$AH$14,AC152&amp;" COP",IF(VLOOKUP(AC152,'BD LUB'!$A$2:$C$223,3,FALSE)=$AH$13,AC152&amp;" RIO",IF(VLOOKUP(AC152,'BD LUB'!$A$2:$C$223,3,FALSE)=$AH$21,AC152&amp;" APART","Dato no encontrado")))))))))</f>
        <v>#N/A</v>
      </c>
      <c r="AE152" s="160"/>
      <c r="AF152" s="160"/>
      <c r="AG152" s="160"/>
      <c r="AH152" s="160"/>
      <c r="AI152" s="160"/>
      <c r="AJ152" s="160"/>
      <c r="AP152" s="160"/>
      <c r="AV152" s="160"/>
    </row>
    <row r="153">
      <c r="A153" s="158"/>
      <c r="B153" s="126">
        <v>150.0</v>
      </c>
      <c r="C153" s="78">
        <f>IFERROR(__xludf.DUMMYFUNCTION("""COMPUTED_VALUE"""),2674.0)</f>
        <v>2674</v>
      </c>
      <c r="D153" s="156">
        <f>IFERROR(__xludf.DUMMYFUNCTION("""COMPUTED_VALUE"""),46507.0)</f>
        <v>46507</v>
      </c>
      <c r="E153" s="78" t="str">
        <f>IFERROR(__xludf.DUMMYFUNCTION("""COMPUTED_VALUE"""),"27-Apartado")</f>
        <v>27-Apartado</v>
      </c>
      <c r="F153" s="156">
        <f>IFERROR(__xludf.DUMMYFUNCTION("""COMPUTED_VALUE"""),46132.0)</f>
        <v>46132</v>
      </c>
      <c r="G153" s="159">
        <f>IFERROR(__xludf.DUMMYFUNCTION("""COMPUTED_VALUE"""),96.0)</f>
        <v>96</v>
      </c>
      <c r="H153" s="78" t="str">
        <f>IFERROR(__xludf.DUMMYFUNCTION("""COMPUTED_VALUE"""),"VIGENTE")</f>
        <v>VIGENTE</v>
      </c>
      <c r="I153" s="132" t="str">
        <f t="shared" si="1"/>
        <v>-</v>
      </c>
      <c r="J153" s="158"/>
      <c r="K153" s="126">
        <v>150.0</v>
      </c>
      <c r="L153" s="78">
        <f>IFERROR(__xludf.DUMMYFUNCTION("""COMPUTED_VALUE"""),2422.0)</f>
        <v>2422</v>
      </c>
      <c r="M153" s="156">
        <f>IFERROR(__xludf.DUMMYFUNCTION("""COMPUTED_VALUE"""),46471.0)</f>
        <v>46471</v>
      </c>
      <c r="N153" s="78" t="str">
        <f>IFERROR(__xludf.DUMMYFUNCTION("""COMPUTED_VALUE"""),"31-Copacabana QUIMICOS")</f>
        <v>31-Copacabana QUIMICOS</v>
      </c>
      <c r="O153" s="156">
        <f>IFERROR(__xludf.DUMMYFUNCTION("""COMPUTED_VALUE"""),46156.0)</f>
        <v>46156</v>
      </c>
      <c r="P153" s="159">
        <f>IFERROR(__xludf.DUMMYFUNCTION("""COMPUTED_VALUE"""),5344.1)</f>
        <v>5344.1</v>
      </c>
      <c r="Q153" s="78" t="str">
        <f>IFERROR(__xludf.DUMMYFUNCTION("""COMPUTED_VALUE"""),"VIGENTE")</f>
        <v>VIGENTE</v>
      </c>
      <c r="R153" s="132" t="str">
        <f t="shared" si="2"/>
        <v>-</v>
      </c>
      <c r="T153" s="134" t="str">
        <f>CALENDARIO!D165</f>
        <v/>
      </c>
      <c r="U153" s="135" t="str">
        <f>CALENDARIO!C165</f>
        <v/>
      </c>
      <c r="W153" s="78"/>
      <c r="X153" s="136" t="str">
        <f>(VLOOKUP(W153,'BD LUB'!$A$2:$L$223,5,FALSE)/VLOOKUP(W153,'BD LUB'!$A$2:$L$223,7,FALSE))+(VLOOKUP(W153,'BD LUB'!$A$2:$L$223,6,FALSE)/VLOOKUP(W153,'BD LUB'!$A$2:$L$223,8,FALSE))</f>
        <v>#N/A</v>
      </c>
      <c r="Y153" s="137" t="str">
        <f>IF(AND(VLOOKUP(W153,'BD LUB'!$A$2:$L$223,11,FALSE)="PASADO",VLOOKUP(W153,'BD LUB'!$A$2:$L$223,12,FALSE)="PASADO"),1,IF(OR(AND(VLOOKUP(W153,'BD LUB'!$A$2:$L$223,11,FALSE)="PASADO",VLOOKUP(W153,'BD LUB'!$A$2:$L$223,12,FALSE)="PRÓXIMO"),AND(VLOOKUP(W153,'BD LUB'!$A$2:$L$223,11,FALSE)="PRÓXIMO",VLOOKUP(W153,'BD LUB'!$A$2:$L$223,12,FALSE)="PASADO")),2,IF(OR(AND(VLOOKUP(W153,'BD LUB'!$A$2:$L$223,11,FALSE)="PASADO",VLOOKUP(W153,'BD LUB'!$A$2:$L$223,12,FALSE)="VIGENTE"),AND(VLOOKUP(W153,'BD LUB'!$A$2:$L$223,11,FALSE)="VIGENTE",VLOOKUP(W153,'BD LUB'!$A$2:$L$223,12,FALSE)="PASADO")),3,IF(AND(VLOOKUP(W153,'BD LUB'!$A$2:$L$223,11,FALSE)="PRÓXIMO",VLOOKUP(W153,'BD LUB'!$A$2:$L$223,12,FALSE)="PRÓXIMO"),4,IF(OR(AND(VLOOKUP(W153,'BD LUB'!$A$2:$L$223,11,FALSE)="PRÓXIMO",VLOOKUP(W153,'BD LUB'!$A$2:$L$223,12,FALSE)="VIGENTE"),AND(VLOOKUP(W153,'BD LUB'!$A$2:$L$223,11,FALSE)="VIGENTE",VLOOKUP(W153,'BD LUB'!$A$2:$L$223,12,FALSE)="PRÓXIMO")),5,IF(AND(VLOOKUP(W153,'BD LUB'!$A$2:$L$223,11,FALSE)="VIGENTE",VLOOKUP(W153,'BD LUB'!$A$2:$L$223,12,FALSE)="VIGENTE"),6,"No definido"))))))</f>
        <v>#N/A</v>
      </c>
      <c r="Z153" s="138"/>
      <c r="AA153" s="139" t="str">
        <f>(VLOOKUP(Z153,'BD LUB'!$A$2:$L$223,5,FALSE)/VLOOKUP(Z153,'BD LUB'!$A$2:$L$223,7,FALSE))+(VLOOKUP(Z153,'BD LUB'!$A$2:$L$223,6,FALSE)/VLOOKUP(Z153,'BD LUB'!$A$2:$L$223,8,FALSE))</f>
        <v>#N/A</v>
      </c>
      <c r="AB153" s="78" t="str">
        <f>IF(AND(VLOOKUP(Z153,'BD LUB'!$A$2:$L$223,11,FALSE)="PASADO",VLOOKUP(Z153,'BD LUB'!$A$2:$L$223,12,FALSE)="PASADO"),1,IF(OR(AND(VLOOKUP(Z153,'BD LUB'!$A$2:$L$223,11,FALSE)="PASADO",VLOOKUP(Z153,'BD LUB'!$A$2:$L$223,12,FALSE)="PRÓXIMO"),AND(VLOOKUP(Z153,'BD LUB'!$A$2:$L$223,11,FALSE)="PRÓXIMO",VLOOKUP(Z153,'BD LUB'!$A$2:$L$223,12,FALSE)="PASADO")),2,IF(OR(AND(VLOOKUP(Z153,'BD LUB'!$A$2:$L$223,11,FALSE)="PASADO",VLOOKUP(Z153,'BD LUB'!$A$2:$L$223,12,FALSE)="VIGENTE"),AND(VLOOKUP(Z153,'BD LUB'!$A$2:$L$223,11,FALSE)="VIGENTE",VLOOKUP(Z153,'BD LUB'!$A$2:$L$223,12,FALSE)="PASADO")),3,IF(AND(VLOOKUP(Z153,'BD LUB'!$A$2:$L$223,11,FALSE)="PRÓXIMO",VLOOKUP(Z153,'BD LUB'!$A$2:$L$223,12,FALSE)="PRÓXIMO"),4,IF(OR(AND(VLOOKUP(Z153,'BD LUB'!$A$2:$L$223,11,FALSE)="PRÓXIMO",VLOOKUP(Z153,'BD LUB'!$A$2:$L$223,12,FALSE)="VIGENTE"),AND(VLOOKUP(Z153,'BD LUB'!$A$2:$L$223,11,FALSE)="VIGENTE",VLOOKUP(Z153,'BD LUB'!$A$2:$L$223,12,FALSE)="PRÓXIMO")),5,IF(AND(VLOOKUP(Z153,'BD LUB'!$A$2:$L$223,11,FALSE)="VIGENTE",VLOOKUP(Z153,'BD LUB'!$A$2:$L$223,12,FALSE)="VIGENTE"),6,"No definido"))))))</f>
        <v>#N/A</v>
      </c>
      <c r="AC153" s="78"/>
      <c r="AD153" s="136" t="str">
        <f>IF(VLOOKUP(AC153,'BD LUB'!$A$2:$C$223,3,FALSE)=$AH$20,AC153&amp;" MED",IF(VLOOKUP(AC153,'BD LUB'!$A$2:$C$223,3,FALSE)=$AH$19,AC153&amp;" MAY",IF(VLOOKUP(AC153,'BD LUB'!$A$2:$C$223,3,FALSE)=$AH$18,AC153&amp;" RN",IF(VLOOKUP(AC153,'BD LUB'!$A$2:$C$223,3,FALSE)=$AH$17,AC153&amp;" COPQUI",IF(VLOOKUP(AC153,'BD LUB'!$A$2:$C$223,3,FALSE)=$AH$16,AC153&amp;" CEJ",IF(VLOOKUP(AC153,'BD LUB'!$A$2:$C$223,3,FALSE)=$AH$15,AC153&amp;" BULT",IF(VLOOKUP(AC153,'BD LUB'!$A$2:$C$223,3,FALSE)=$AH$14,AC153&amp;" COP",IF(VLOOKUP(AC153,'BD LUB'!$A$2:$C$223,3,FALSE)=$AH$13,AC153&amp;" RIO",IF(VLOOKUP(AC153,'BD LUB'!$A$2:$C$223,3,FALSE)=$AH$21,AC153&amp;" APART","Dato no encontrado")))))))))</f>
        <v>#N/A</v>
      </c>
      <c r="AE153" s="160"/>
      <c r="AF153" s="160"/>
      <c r="AG153" s="160"/>
      <c r="AH153" s="160"/>
      <c r="AI153" s="160"/>
      <c r="AJ153" s="160"/>
      <c r="AP153" s="160"/>
      <c r="AV153" s="160"/>
    </row>
    <row r="154">
      <c r="A154" s="158"/>
      <c r="B154" s="126">
        <v>151.0</v>
      </c>
      <c r="C154" s="78">
        <f>IFERROR(__xludf.DUMMYFUNCTION("""COMPUTED_VALUE"""),2458.0)</f>
        <v>2458</v>
      </c>
      <c r="D154" s="156">
        <f>IFERROR(__xludf.DUMMYFUNCTION("""COMPUTED_VALUE"""),46288.0)</f>
        <v>46288</v>
      </c>
      <c r="E154" s="78" t="str">
        <f>IFERROR(__xludf.DUMMYFUNCTION("""COMPUTED_VALUE"""),"02-Medellin")</f>
        <v>02-Medellin</v>
      </c>
      <c r="F154" s="156">
        <f>IFERROR(__xludf.DUMMYFUNCTION("""COMPUTED_VALUE"""),46132.0)</f>
        <v>46132</v>
      </c>
      <c r="G154" s="159">
        <f>IFERROR(__xludf.DUMMYFUNCTION("""COMPUTED_VALUE"""),96.0)</f>
        <v>96</v>
      </c>
      <c r="H154" s="78" t="str">
        <f>IFERROR(__xludf.DUMMYFUNCTION("""COMPUTED_VALUE"""),"VIGENTE")</f>
        <v>VIGENTE</v>
      </c>
      <c r="I154" s="132" t="str">
        <f t="shared" si="1"/>
        <v>-</v>
      </c>
      <c r="J154" s="158"/>
      <c r="K154" s="126">
        <v>151.0</v>
      </c>
      <c r="L154" s="78">
        <f>IFERROR(__xludf.DUMMYFUNCTION("""COMPUTED_VALUE"""),2204.0)</f>
        <v>2204</v>
      </c>
      <c r="M154" s="156">
        <f>IFERROR(__xludf.DUMMYFUNCTION("""COMPUTED_VALUE"""),46523.0)</f>
        <v>46523</v>
      </c>
      <c r="N154" s="78" t="str">
        <f>IFERROR(__xludf.DUMMYFUNCTION("""COMPUTED_VALUE"""),"BULTOS")</f>
        <v>BULTOS</v>
      </c>
      <c r="O154" s="156">
        <f>IFERROR(__xludf.DUMMYFUNCTION("""COMPUTED_VALUE"""),46135.0)</f>
        <v>46135</v>
      </c>
      <c r="P154" s="159">
        <f>IFERROR(__xludf.DUMMYFUNCTION("""COMPUTED_VALUE"""),5426.5)</f>
        <v>5426.5</v>
      </c>
      <c r="Q154" s="78" t="str">
        <f>IFERROR(__xludf.DUMMYFUNCTION("""COMPUTED_VALUE"""),"VIGENTE")</f>
        <v>VIGENTE</v>
      </c>
      <c r="R154" s="132" t="str">
        <f t="shared" si="2"/>
        <v>-</v>
      </c>
      <c r="T154" s="134" t="str">
        <f>CALENDARIO!D166</f>
        <v/>
      </c>
      <c r="U154" s="135" t="str">
        <f>CALENDARIO!C166</f>
        <v/>
      </c>
      <c r="W154" s="78"/>
      <c r="X154" s="136" t="str">
        <f>(VLOOKUP(W154,'BD LUB'!$A$2:$L$223,5,FALSE)/VLOOKUP(W154,'BD LUB'!$A$2:$L$223,7,FALSE))+(VLOOKUP(W154,'BD LUB'!$A$2:$L$223,6,FALSE)/VLOOKUP(W154,'BD LUB'!$A$2:$L$223,8,FALSE))</f>
        <v>#N/A</v>
      </c>
      <c r="Y154" s="137" t="str">
        <f>IF(AND(VLOOKUP(W154,'BD LUB'!$A$2:$L$223,11,FALSE)="PASADO",VLOOKUP(W154,'BD LUB'!$A$2:$L$223,12,FALSE)="PASADO"),1,IF(OR(AND(VLOOKUP(W154,'BD LUB'!$A$2:$L$223,11,FALSE)="PASADO",VLOOKUP(W154,'BD LUB'!$A$2:$L$223,12,FALSE)="PRÓXIMO"),AND(VLOOKUP(W154,'BD LUB'!$A$2:$L$223,11,FALSE)="PRÓXIMO",VLOOKUP(W154,'BD LUB'!$A$2:$L$223,12,FALSE)="PASADO")),2,IF(OR(AND(VLOOKUP(W154,'BD LUB'!$A$2:$L$223,11,FALSE)="PASADO",VLOOKUP(W154,'BD LUB'!$A$2:$L$223,12,FALSE)="VIGENTE"),AND(VLOOKUP(W154,'BD LUB'!$A$2:$L$223,11,FALSE)="VIGENTE",VLOOKUP(W154,'BD LUB'!$A$2:$L$223,12,FALSE)="PASADO")),3,IF(AND(VLOOKUP(W154,'BD LUB'!$A$2:$L$223,11,FALSE)="PRÓXIMO",VLOOKUP(W154,'BD LUB'!$A$2:$L$223,12,FALSE)="PRÓXIMO"),4,IF(OR(AND(VLOOKUP(W154,'BD LUB'!$A$2:$L$223,11,FALSE)="PRÓXIMO",VLOOKUP(W154,'BD LUB'!$A$2:$L$223,12,FALSE)="VIGENTE"),AND(VLOOKUP(W154,'BD LUB'!$A$2:$L$223,11,FALSE)="VIGENTE",VLOOKUP(W154,'BD LUB'!$A$2:$L$223,12,FALSE)="PRÓXIMO")),5,IF(AND(VLOOKUP(W154,'BD LUB'!$A$2:$L$223,11,FALSE)="VIGENTE",VLOOKUP(W154,'BD LUB'!$A$2:$L$223,12,FALSE)="VIGENTE"),6,"No definido"))))))</f>
        <v>#N/A</v>
      </c>
      <c r="Z154" s="138"/>
      <c r="AA154" s="139" t="str">
        <f>(VLOOKUP(Z154,'BD LUB'!$A$2:$L$223,5,FALSE)/VLOOKUP(Z154,'BD LUB'!$A$2:$L$223,7,FALSE))+(VLOOKUP(Z154,'BD LUB'!$A$2:$L$223,6,FALSE)/VLOOKUP(Z154,'BD LUB'!$A$2:$L$223,8,FALSE))</f>
        <v>#N/A</v>
      </c>
      <c r="AB154" s="78" t="str">
        <f>IF(AND(VLOOKUP(Z154,'BD LUB'!$A$2:$L$223,11,FALSE)="PASADO",VLOOKUP(Z154,'BD LUB'!$A$2:$L$223,12,FALSE)="PASADO"),1,IF(OR(AND(VLOOKUP(Z154,'BD LUB'!$A$2:$L$223,11,FALSE)="PASADO",VLOOKUP(Z154,'BD LUB'!$A$2:$L$223,12,FALSE)="PRÓXIMO"),AND(VLOOKUP(Z154,'BD LUB'!$A$2:$L$223,11,FALSE)="PRÓXIMO",VLOOKUP(Z154,'BD LUB'!$A$2:$L$223,12,FALSE)="PASADO")),2,IF(OR(AND(VLOOKUP(Z154,'BD LUB'!$A$2:$L$223,11,FALSE)="PASADO",VLOOKUP(Z154,'BD LUB'!$A$2:$L$223,12,FALSE)="VIGENTE"),AND(VLOOKUP(Z154,'BD LUB'!$A$2:$L$223,11,FALSE)="VIGENTE",VLOOKUP(Z154,'BD LUB'!$A$2:$L$223,12,FALSE)="PASADO")),3,IF(AND(VLOOKUP(Z154,'BD LUB'!$A$2:$L$223,11,FALSE)="PRÓXIMO",VLOOKUP(Z154,'BD LUB'!$A$2:$L$223,12,FALSE)="PRÓXIMO"),4,IF(OR(AND(VLOOKUP(Z154,'BD LUB'!$A$2:$L$223,11,FALSE)="PRÓXIMO",VLOOKUP(Z154,'BD LUB'!$A$2:$L$223,12,FALSE)="VIGENTE"),AND(VLOOKUP(Z154,'BD LUB'!$A$2:$L$223,11,FALSE)="VIGENTE",VLOOKUP(Z154,'BD LUB'!$A$2:$L$223,12,FALSE)="PRÓXIMO")),5,IF(AND(VLOOKUP(Z154,'BD LUB'!$A$2:$L$223,11,FALSE)="VIGENTE",VLOOKUP(Z154,'BD LUB'!$A$2:$L$223,12,FALSE)="VIGENTE"),6,"No definido"))))))</f>
        <v>#N/A</v>
      </c>
      <c r="AC154" s="78"/>
      <c r="AD154" s="136" t="str">
        <f>IF(VLOOKUP(AC154,'BD LUB'!$A$2:$C$223,3,FALSE)=$AH$20,AC154&amp;" MED",IF(VLOOKUP(AC154,'BD LUB'!$A$2:$C$223,3,FALSE)=$AH$19,AC154&amp;" MAY",IF(VLOOKUP(AC154,'BD LUB'!$A$2:$C$223,3,FALSE)=$AH$18,AC154&amp;" RN",IF(VLOOKUP(AC154,'BD LUB'!$A$2:$C$223,3,FALSE)=$AH$17,AC154&amp;" COPQUI",IF(VLOOKUP(AC154,'BD LUB'!$A$2:$C$223,3,FALSE)=$AH$16,AC154&amp;" CEJ",IF(VLOOKUP(AC154,'BD LUB'!$A$2:$C$223,3,FALSE)=$AH$15,AC154&amp;" BULT",IF(VLOOKUP(AC154,'BD LUB'!$A$2:$C$223,3,FALSE)=$AH$14,AC154&amp;" COP",IF(VLOOKUP(AC154,'BD LUB'!$A$2:$C$223,3,FALSE)=$AH$13,AC154&amp;" RIO",IF(VLOOKUP(AC154,'BD LUB'!$A$2:$C$223,3,FALSE)=$AH$21,AC154&amp;" APART","Dato no encontrado")))))))))</f>
        <v>#N/A</v>
      </c>
      <c r="AE154" s="160"/>
      <c r="AF154" s="160"/>
      <c r="AG154" s="160"/>
      <c r="AH154" s="160"/>
      <c r="AI154" s="160"/>
      <c r="AJ154" s="160"/>
      <c r="AP154" s="160"/>
      <c r="AV154" s="160"/>
    </row>
    <row r="155">
      <c r="A155" s="158"/>
      <c r="B155" s="126">
        <v>152.0</v>
      </c>
      <c r="C155" s="78">
        <f>IFERROR(__xludf.DUMMYFUNCTION("""COMPUTED_VALUE"""),2884.0)</f>
        <v>2884</v>
      </c>
      <c r="D155" s="156">
        <f>IFERROR(__xludf.DUMMYFUNCTION("""COMPUTED_VALUE"""),46233.0)</f>
        <v>46233</v>
      </c>
      <c r="E155" s="78" t="str">
        <f>IFERROR(__xludf.DUMMYFUNCTION("""COMPUTED_VALUE"""),"24-Rionegro")</f>
        <v>24-Rionegro</v>
      </c>
      <c r="F155" s="156">
        <f>IFERROR(__xludf.DUMMYFUNCTION("""COMPUTED_VALUE"""),46133.0)</f>
        <v>46133</v>
      </c>
      <c r="G155" s="159">
        <f>IFERROR(__xludf.DUMMYFUNCTION("""COMPUTED_VALUE"""),97.0)</f>
        <v>97</v>
      </c>
      <c r="H155" s="78" t="str">
        <f>IFERROR(__xludf.DUMMYFUNCTION("""COMPUTED_VALUE"""),"VIGENTE")</f>
        <v>VIGENTE</v>
      </c>
      <c r="I155" s="132" t="str">
        <f t="shared" si="1"/>
        <v>-</v>
      </c>
      <c r="J155" s="158"/>
      <c r="K155" s="126">
        <v>152.0</v>
      </c>
      <c r="L155" s="78">
        <f>IFERROR(__xludf.DUMMYFUNCTION("""COMPUTED_VALUE"""),2660.0)</f>
        <v>2660</v>
      </c>
      <c r="M155" s="156">
        <f>IFERROR(__xludf.DUMMYFUNCTION("""COMPUTED_VALUE"""),46491.0)</f>
        <v>46491</v>
      </c>
      <c r="N155" s="78" t="str">
        <f>IFERROR(__xludf.DUMMYFUNCTION("""COMPUTED_VALUE"""),"24-Rionegro")</f>
        <v>24-Rionegro</v>
      </c>
      <c r="O155" s="156">
        <f>IFERROR(__xludf.DUMMYFUNCTION("""COMPUTED_VALUE"""),46090.0)</f>
        <v>46090</v>
      </c>
      <c r="P155" s="159">
        <f>IFERROR(__xludf.DUMMYFUNCTION("""COMPUTED_VALUE"""),5514.0)</f>
        <v>5514</v>
      </c>
      <c r="Q155" s="78" t="str">
        <f>IFERROR(__xludf.DUMMYFUNCTION("""COMPUTED_VALUE"""),"VIGENTE")</f>
        <v>VIGENTE</v>
      </c>
      <c r="R155" s="132" t="str">
        <f t="shared" si="2"/>
        <v>-</v>
      </c>
      <c r="T155" s="134" t="str">
        <f>CALENDARIO!D167</f>
        <v/>
      </c>
      <c r="U155" s="135" t="str">
        <f>CALENDARIO!C167</f>
        <v/>
      </c>
      <c r="W155" s="78"/>
      <c r="X155" s="136" t="str">
        <f>(VLOOKUP(W155,'BD LUB'!$A$2:$L$223,5,FALSE)/VLOOKUP(W155,'BD LUB'!$A$2:$L$223,7,FALSE))+(VLOOKUP(W155,'BD LUB'!$A$2:$L$223,6,FALSE)/VLOOKUP(W155,'BD LUB'!$A$2:$L$223,8,FALSE))</f>
        <v>#N/A</v>
      </c>
      <c r="Y155" s="137" t="str">
        <f>IF(AND(VLOOKUP(W155,'BD LUB'!$A$2:$L$223,11,FALSE)="PASADO",VLOOKUP(W155,'BD LUB'!$A$2:$L$223,12,FALSE)="PASADO"),1,IF(OR(AND(VLOOKUP(W155,'BD LUB'!$A$2:$L$223,11,FALSE)="PASADO",VLOOKUP(W155,'BD LUB'!$A$2:$L$223,12,FALSE)="PRÓXIMO"),AND(VLOOKUP(W155,'BD LUB'!$A$2:$L$223,11,FALSE)="PRÓXIMO",VLOOKUP(W155,'BD LUB'!$A$2:$L$223,12,FALSE)="PASADO")),2,IF(OR(AND(VLOOKUP(W155,'BD LUB'!$A$2:$L$223,11,FALSE)="PASADO",VLOOKUP(W155,'BD LUB'!$A$2:$L$223,12,FALSE)="VIGENTE"),AND(VLOOKUP(W155,'BD LUB'!$A$2:$L$223,11,FALSE)="VIGENTE",VLOOKUP(W155,'BD LUB'!$A$2:$L$223,12,FALSE)="PASADO")),3,IF(AND(VLOOKUP(W155,'BD LUB'!$A$2:$L$223,11,FALSE)="PRÓXIMO",VLOOKUP(W155,'BD LUB'!$A$2:$L$223,12,FALSE)="PRÓXIMO"),4,IF(OR(AND(VLOOKUP(W155,'BD LUB'!$A$2:$L$223,11,FALSE)="PRÓXIMO",VLOOKUP(W155,'BD LUB'!$A$2:$L$223,12,FALSE)="VIGENTE"),AND(VLOOKUP(W155,'BD LUB'!$A$2:$L$223,11,FALSE)="VIGENTE",VLOOKUP(W155,'BD LUB'!$A$2:$L$223,12,FALSE)="PRÓXIMO")),5,IF(AND(VLOOKUP(W155,'BD LUB'!$A$2:$L$223,11,FALSE)="VIGENTE",VLOOKUP(W155,'BD LUB'!$A$2:$L$223,12,FALSE)="VIGENTE"),6,"No definido"))))))</f>
        <v>#N/A</v>
      </c>
      <c r="Z155" s="138"/>
      <c r="AA155" s="139" t="str">
        <f>(VLOOKUP(Z155,'BD LUB'!$A$2:$L$223,5,FALSE)/VLOOKUP(Z155,'BD LUB'!$A$2:$L$223,7,FALSE))+(VLOOKUP(Z155,'BD LUB'!$A$2:$L$223,6,FALSE)/VLOOKUP(Z155,'BD LUB'!$A$2:$L$223,8,FALSE))</f>
        <v>#N/A</v>
      </c>
      <c r="AB155" s="78" t="str">
        <f>IF(AND(VLOOKUP(Z155,'BD LUB'!$A$2:$L$223,11,FALSE)="PASADO",VLOOKUP(Z155,'BD LUB'!$A$2:$L$223,12,FALSE)="PASADO"),1,IF(OR(AND(VLOOKUP(Z155,'BD LUB'!$A$2:$L$223,11,FALSE)="PASADO",VLOOKUP(Z155,'BD LUB'!$A$2:$L$223,12,FALSE)="PRÓXIMO"),AND(VLOOKUP(Z155,'BD LUB'!$A$2:$L$223,11,FALSE)="PRÓXIMO",VLOOKUP(Z155,'BD LUB'!$A$2:$L$223,12,FALSE)="PASADO")),2,IF(OR(AND(VLOOKUP(Z155,'BD LUB'!$A$2:$L$223,11,FALSE)="PASADO",VLOOKUP(Z155,'BD LUB'!$A$2:$L$223,12,FALSE)="VIGENTE"),AND(VLOOKUP(Z155,'BD LUB'!$A$2:$L$223,11,FALSE)="VIGENTE",VLOOKUP(Z155,'BD LUB'!$A$2:$L$223,12,FALSE)="PASADO")),3,IF(AND(VLOOKUP(Z155,'BD LUB'!$A$2:$L$223,11,FALSE)="PRÓXIMO",VLOOKUP(Z155,'BD LUB'!$A$2:$L$223,12,FALSE)="PRÓXIMO"),4,IF(OR(AND(VLOOKUP(Z155,'BD LUB'!$A$2:$L$223,11,FALSE)="PRÓXIMO",VLOOKUP(Z155,'BD LUB'!$A$2:$L$223,12,FALSE)="VIGENTE"),AND(VLOOKUP(Z155,'BD LUB'!$A$2:$L$223,11,FALSE)="VIGENTE",VLOOKUP(Z155,'BD LUB'!$A$2:$L$223,12,FALSE)="PRÓXIMO")),5,IF(AND(VLOOKUP(Z155,'BD LUB'!$A$2:$L$223,11,FALSE)="VIGENTE",VLOOKUP(Z155,'BD LUB'!$A$2:$L$223,12,FALSE)="VIGENTE"),6,"No definido"))))))</f>
        <v>#N/A</v>
      </c>
      <c r="AC155" s="78"/>
      <c r="AD155" s="136" t="str">
        <f>IF(VLOOKUP(AC155,'BD LUB'!$A$2:$C$223,3,FALSE)=$AH$20,AC155&amp;" MED",IF(VLOOKUP(AC155,'BD LUB'!$A$2:$C$223,3,FALSE)=$AH$19,AC155&amp;" MAY",IF(VLOOKUP(AC155,'BD LUB'!$A$2:$C$223,3,FALSE)=$AH$18,AC155&amp;" RN",IF(VLOOKUP(AC155,'BD LUB'!$A$2:$C$223,3,FALSE)=$AH$17,AC155&amp;" COPQUI",IF(VLOOKUP(AC155,'BD LUB'!$A$2:$C$223,3,FALSE)=$AH$16,AC155&amp;" CEJ",IF(VLOOKUP(AC155,'BD LUB'!$A$2:$C$223,3,FALSE)=$AH$15,AC155&amp;" BULT",IF(VLOOKUP(AC155,'BD LUB'!$A$2:$C$223,3,FALSE)=$AH$14,AC155&amp;" COP",IF(VLOOKUP(AC155,'BD LUB'!$A$2:$C$223,3,FALSE)=$AH$13,AC155&amp;" RIO",IF(VLOOKUP(AC155,'BD LUB'!$A$2:$C$223,3,FALSE)=$AH$21,AC155&amp;" APART","Dato no encontrado")))))))))</f>
        <v>#N/A</v>
      </c>
      <c r="AE155" s="160"/>
      <c r="AF155" s="160"/>
      <c r="AG155" s="160"/>
      <c r="AH155" s="160"/>
      <c r="AI155" s="160"/>
      <c r="AJ155" s="160"/>
      <c r="AP155" s="160"/>
      <c r="AV155" s="160"/>
    </row>
    <row r="156">
      <c r="A156" s="158"/>
      <c r="B156" s="126">
        <v>153.0</v>
      </c>
      <c r="C156" s="78">
        <f>IFERROR(__xludf.DUMMYFUNCTION("""COMPUTED_VALUE"""),2892.0)</f>
        <v>2892</v>
      </c>
      <c r="D156" s="156">
        <f>IFERROR(__xludf.DUMMYFUNCTION("""COMPUTED_VALUE"""),46242.0)</f>
        <v>46242</v>
      </c>
      <c r="E156" s="78" t="str">
        <f>IFERROR(__xludf.DUMMYFUNCTION("""COMPUTED_VALUE"""),"24-Rionegro")</f>
        <v>24-Rionegro</v>
      </c>
      <c r="F156" s="156">
        <f>IFERROR(__xludf.DUMMYFUNCTION("""COMPUTED_VALUE"""),46134.0)</f>
        <v>46134</v>
      </c>
      <c r="G156" s="159">
        <f>IFERROR(__xludf.DUMMYFUNCTION("""COMPUTED_VALUE"""),98.0)</f>
        <v>98</v>
      </c>
      <c r="H156" s="78" t="str">
        <f>IFERROR(__xludf.DUMMYFUNCTION("""COMPUTED_VALUE"""),"VIGENTE")</f>
        <v>VIGENTE</v>
      </c>
      <c r="I156" s="132" t="str">
        <f t="shared" si="1"/>
        <v>-</v>
      </c>
      <c r="J156" s="158"/>
      <c r="K156" s="126">
        <v>153.0</v>
      </c>
      <c r="L156" s="78">
        <f>IFERROR(__xludf.DUMMYFUNCTION("""COMPUTED_VALUE"""),2402.0)</f>
        <v>2402</v>
      </c>
      <c r="M156" s="156">
        <f>IFERROR(__xludf.DUMMYFUNCTION("""COMPUTED_VALUE"""),46514.0)</f>
        <v>46514</v>
      </c>
      <c r="N156" s="78" t="str">
        <f>IFERROR(__xludf.DUMMYFUNCTION("""COMPUTED_VALUE"""),"MAYORCA")</f>
        <v>MAYORCA</v>
      </c>
      <c r="O156" s="156">
        <f>IFERROR(__xludf.DUMMYFUNCTION("""COMPUTED_VALUE"""),46085.0)</f>
        <v>46085</v>
      </c>
      <c r="P156" s="159">
        <f>IFERROR(__xludf.DUMMYFUNCTION("""COMPUTED_VALUE"""),5619.9)</f>
        <v>5619.9</v>
      </c>
      <c r="Q156" s="78" t="str">
        <f>IFERROR(__xludf.DUMMYFUNCTION("""COMPUTED_VALUE"""),"VIGENTE")</f>
        <v>VIGENTE</v>
      </c>
      <c r="R156" s="132" t="str">
        <f t="shared" si="2"/>
        <v>-</v>
      </c>
      <c r="T156" s="134" t="str">
        <f>CALENDARIO!D168</f>
        <v/>
      </c>
      <c r="U156" s="135" t="str">
        <f>CALENDARIO!C168</f>
        <v/>
      </c>
      <c r="W156" s="78"/>
      <c r="X156" s="136" t="str">
        <f>(VLOOKUP(W156,'BD LUB'!$A$2:$L$223,5,FALSE)/VLOOKUP(W156,'BD LUB'!$A$2:$L$223,7,FALSE))+(VLOOKUP(W156,'BD LUB'!$A$2:$L$223,6,FALSE)/VLOOKUP(W156,'BD LUB'!$A$2:$L$223,8,FALSE))</f>
        <v>#N/A</v>
      </c>
      <c r="Y156" s="137" t="str">
        <f>IF(AND(VLOOKUP(W156,'BD LUB'!$A$2:$L$223,11,FALSE)="PASADO",VLOOKUP(W156,'BD LUB'!$A$2:$L$223,12,FALSE)="PASADO"),1,IF(OR(AND(VLOOKUP(W156,'BD LUB'!$A$2:$L$223,11,FALSE)="PASADO",VLOOKUP(W156,'BD LUB'!$A$2:$L$223,12,FALSE)="PRÓXIMO"),AND(VLOOKUP(W156,'BD LUB'!$A$2:$L$223,11,FALSE)="PRÓXIMO",VLOOKUP(W156,'BD LUB'!$A$2:$L$223,12,FALSE)="PASADO")),2,IF(OR(AND(VLOOKUP(W156,'BD LUB'!$A$2:$L$223,11,FALSE)="PASADO",VLOOKUP(W156,'BD LUB'!$A$2:$L$223,12,FALSE)="VIGENTE"),AND(VLOOKUP(W156,'BD LUB'!$A$2:$L$223,11,FALSE)="VIGENTE",VLOOKUP(W156,'BD LUB'!$A$2:$L$223,12,FALSE)="PASADO")),3,IF(AND(VLOOKUP(W156,'BD LUB'!$A$2:$L$223,11,FALSE)="PRÓXIMO",VLOOKUP(W156,'BD LUB'!$A$2:$L$223,12,FALSE)="PRÓXIMO"),4,IF(OR(AND(VLOOKUP(W156,'BD LUB'!$A$2:$L$223,11,FALSE)="PRÓXIMO",VLOOKUP(W156,'BD LUB'!$A$2:$L$223,12,FALSE)="VIGENTE"),AND(VLOOKUP(W156,'BD LUB'!$A$2:$L$223,11,FALSE)="VIGENTE",VLOOKUP(W156,'BD LUB'!$A$2:$L$223,12,FALSE)="PRÓXIMO")),5,IF(AND(VLOOKUP(W156,'BD LUB'!$A$2:$L$223,11,FALSE)="VIGENTE",VLOOKUP(W156,'BD LUB'!$A$2:$L$223,12,FALSE)="VIGENTE"),6,"No definido"))))))</f>
        <v>#N/A</v>
      </c>
      <c r="Z156" s="138"/>
      <c r="AA156" s="139" t="str">
        <f>(VLOOKUP(Z156,'BD LUB'!$A$2:$L$223,5,FALSE)/VLOOKUP(Z156,'BD LUB'!$A$2:$L$223,7,FALSE))+(VLOOKUP(Z156,'BD LUB'!$A$2:$L$223,6,FALSE)/VLOOKUP(Z156,'BD LUB'!$A$2:$L$223,8,FALSE))</f>
        <v>#N/A</v>
      </c>
      <c r="AB156" s="78" t="str">
        <f>IF(AND(VLOOKUP(Z156,'BD LUB'!$A$2:$L$223,11,FALSE)="PASADO",VLOOKUP(Z156,'BD LUB'!$A$2:$L$223,12,FALSE)="PASADO"),1,IF(OR(AND(VLOOKUP(Z156,'BD LUB'!$A$2:$L$223,11,FALSE)="PASADO",VLOOKUP(Z156,'BD LUB'!$A$2:$L$223,12,FALSE)="PRÓXIMO"),AND(VLOOKUP(Z156,'BD LUB'!$A$2:$L$223,11,FALSE)="PRÓXIMO",VLOOKUP(Z156,'BD LUB'!$A$2:$L$223,12,FALSE)="PASADO")),2,IF(OR(AND(VLOOKUP(Z156,'BD LUB'!$A$2:$L$223,11,FALSE)="PASADO",VLOOKUP(Z156,'BD LUB'!$A$2:$L$223,12,FALSE)="VIGENTE"),AND(VLOOKUP(Z156,'BD LUB'!$A$2:$L$223,11,FALSE)="VIGENTE",VLOOKUP(Z156,'BD LUB'!$A$2:$L$223,12,FALSE)="PASADO")),3,IF(AND(VLOOKUP(Z156,'BD LUB'!$A$2:$L$223,11,FALSE)="PRÓXIMO",VLOOKUP(Z156,'BD LUB'!$A$2:$L$223,12,FALSE)="PRÓXIMO"),4,IF(OR(AND(VLOOKUP(Z156,'BD LUB'!$A$2:$L$223,11,FALSE)="PRÓXIMO",VLOOKUP(Z156,'BD LUB'!$A$2:$L$223,12,FALSE)="VIGENTE"),AND(VLOOKUP(Z156,'BD LUB'!$A$2:$L$223,11,FALSE)="VIGENTE",VLOOKUP(Z156,'BD LUB'!$A$2:$L$223,12,FALSE)="PRÓXIMO")),5,IF(AND(VLOOKUP(Z156,'BD LUB'!$A$2:$L$223,11,FALSE)="VIGENTE",VLOOKUP(Z156,'BD LUB'!$A$2:$L$223,12,FALSE)="VIGENTE"),6,"No definido"))))))</f>
        <v>#N/A</v>
      </c>
      <c r="AC156" s="78"/>
      <c r="AD156" s="136" t="str">
        <f>IF(VLOOKUP(AC156,'BD LUB'!$A$2:$C$223,3,FALSE)=$AH$20,AC156&amp;" MED",IF(VLOOKUP(AC156,'BD LUB'!$A$2:$C$223,3,FALSE)=$AH$19,AC156&amp;" MAY",IF(VLOOKUP(AC156,'BD LUB'!$A$2:$C$223,3,FALSE)=$AH$18,AC156&amp;" RN",IF(VLOOKUP(AC156,'BD LUB'!$A$2:$C$223,3,FALSE)=$AH$17,AC156&amp;" COPQUI",IF(VLOOKUP(AC156,'BD LUB'!$A$2:$C$223,3,FALSE)=$AH$16,AC156&amp;" CEJ",IF(VLOOKUP(AC156,'BD LUB'!$A$2:$C$223,3,FALSE)=$AH$15,AC156&amp;" BULT",IF(VLOOKUP(AC156,'BD LUB'!$A$2:$C$223,3,FALSE)=$AH$14,AC156&amp;" COP",IF(VLOOKUP(AC156,'BD LUB'!$A$2:$C$223,3,FALSE)=$AH$13,AC156&amp;" RIO",IF(VLOOKUP(AC156,'BD LUB'!$A$2:$C$223,3,FALSE)=$AH$21,AC156&amp;" APART","Dato no encontrado")))))))))</f>
        <v>#N/A</v>
      </c>
      <c r="AE156" s="160"/>
      <c r="AF156" s="160"/>
      <c r="AG156" s="160"/>
      <c r="AH156" s="160"/>
      <c r="AI156" s="160"/>
      <c r="AJ156" s="160"/>
      <c r="AP156" s="160"/>
      <c r="AV156" s="160"/>
    </row>
    <row r="157">
      <c r="A157" s="158"/>
      <c r="B157" s="126">
        <v>154.0</v>
      </c>
      <c r="C157" s="78">
        <f>IFERROR(__xludf.DUMMYFUNCTION("""COMPUTED_VALUE"""),2457.0)</f>
        <v>2457</v>
      </c>
      <c r="D157" s="156">
        <f>IFERROR(__xludf.DUMMYFUNCTION("""COMPUTED_VALUE"""),46302.0)</f>
        <v>46302</v>
      </c>
      <c r="E157" s="78" t="str">
        <f>IFERROR(__xludf.DUMMYFUNCTION("""COMPUTED_VALUE"""),"BULTOS")</f>
        <v>BULTOS</v>
      </c>
      <c r="F157" s="156">
        <f>IFERROR(__xludf.DUMMYFUNCTION("""COMPUTED_VALUE"""),46134.0)</f>
        <v>46134</v>
      </c>
      <c r="G157" s="159">
        <f>IFERROR(__xludf.DUMMYFUNCTION("""COMPUTED_VALUE"""),98.0)</f>
        <v>98</v>
      </c>
      <c r="H157" s="78" t="str">
        <f>IFERROR(__xludf.DUMMYFUNCTION("""COMPUTED_VALUE"""),"VIGENTE")</f>
        <v>VIGENTE</v>
      </c>
      <c r="I157" s="132" t="str">
        <f t="shared" si="1"/>
        <v>-</v>
      </c>
      <c r="J157" s="158"/>
      <c r="K157" s="126">
        <v>154.0</v>
      </c>
      <c r="L157" s="78">
        <f>IFERROR(__xludf.DUMMYFUNCTION("""COMPUTED_VALUE"""),2640.0)</f>
        <v>2640</v>
      </c>
      <c r="M157" s="156">
        <f>IFERROR(__xludf.DUMMYFUNCTION("""COMPUTED_VALUE"""),46254.0)</f>
        <v>46254</v>
      </c>
      <c r="N157" s="78" t="str">
        <f>IFERROR(__xludf.DUMMYFUNCTION("""COMPUTED_VALUE"""),"27-Apartado")</f>
        <v>27-Apartado</v>
      </c>
      <c r="O157" s="156">
        <f>IFERROR(__xludf.DUMMYFUNCTION("""COMPUTED_VALUE"""),46037.0)</f>
        <v>46037</v>
      </c>
      <c r="P157" s="159">
        <f>IFERROR(__xludf.DUMMYFUNCTION("""COMPUTED_VALUE"""),5725.0)</f>
        <v>5725</v>
      </c>
      <c r="Q157" s="78" t="str">
        <f>IFERROR(__xludf.DUMMYFUNCTION("""COMPUTED_VALUE"""),"VIGENTE")</f>
        <v>VIGENTE</v>
      </c>
      <c r="R157" s="132" t="str">
        <f t="shared" si="2"/>
        <v>-</v>
      </c>
      <c r="T157" s="134" t="str">
        <f>CALENDARIO!D169</f>
        <v/>
      </c>
      <c r="U157" s="135" t="str">
        <f>CALENDARIO!C169</f>
        <v/>
      </c>
      <c r="W157" s="78"/>
      <c r="X157" s="136" t="str">
        <f>(VLOOKUP(W157,'BD LUB'!$A$2:$L$223,5,FALSE)/VLOOKUP(W157,'BD LUB'!$A$2:$L$223,7,FALSE))+(VLOOKUP(W157,'BD LUB'!$A$2:$L$223,6,FALSE)/VLOOKUP(W157,'BD LUB'!$A$2:$L$223,8,FALSE))</f>
        <v>#N/A</v>
      </c>
      <c r="Y157" s="137" t="str">
        <f>IF(AND(VLOOKUP(W157,'BD LUB'!$A$2:$L$223,11,FALSE)="PASADO",VLOOKUP(W157,'BD LUB'!$A$2:$L$223,12,FALSE)="PASADO"),1,IF(OR(AND(VLOOKUP(W157,'BD LUB'!$A$2:$L$223,11,FALSE)="PASADO",VLOOKUP(W157,'BD LUB'!$A$2:$L$223,12,FALSE)="PRÓXIMO"),AND(VLOOKUP(W157,'BD LUB'!$A$2:$L$223,11,FALSE)="PRÓXIMO",VLOOKUP(W157,'BD LUB'!$A$2:$L$223,12,FALSE)="PASADO")),2,IF(OR(AND(VLOOKUP(W157,'BD LUB'!$A$2:$L$223,11,FALSE)="PASADO",VLOOKUP(W157,'BD LUB'!$A$2:$L$223,12,FALSE)="VIGENTE"),AND(VLOOKUP(W157,'BD LUB'!$A$2:$L$223,11,FALSE)="VIGENTE",VLOOKUP(W157,'BD LUB'!$A$2:$L$223,12,FALSE)="PASADO")),3,IF(AND(VLOOKUP(W157,'BD LUB'!$A$2:$L$223,11,FALSE)="PRÓXIMO",VLOOKUP(W157,'BD LUB'!$A$2:$L$223,12,FALSE)="PRÓXIMO"),4,IF(OR(AND(VLOOKUP(W157,'BD LUB'!$A$2:$L$223,11,FALSE)="PRÓXIMO",VLOOKUP(W157,'BD LUB'!$A$2:$L$223,12,FALSE)="VIGENTE"),AND(VLOOKUP(W157,'BD LUB'!$A$2:$L$223,11,FALSE)="VIGENTE",VLOOKUP(W157,'BD LUB'!$A$2:$L$223,12,FALSE)="PRÓXIMO")),5,IF(AND(VLOOKUP(W157,'BD LUB'!$A$2:$L$223,11,FALSE)="VIGENTE",VLOOKUP(W157,'BD LUB'!$A$2:$L$223,12,FALSE)="VIGENTE"),6,"No definido"))))))</f>
        <v>#N/A</v>
      </c>
      <c r="Z157" s="138"/>
      <c r="AA157" s="139" t="str">
        <f>(VLOOKUP(Z157,'BD LUB'!$A$2:$L$223,5,FALSE)/VLOOKUP(Z157,'BD LUB'!$A$2:$L$223,7,FALSE))+(VLOOKUP(Z157,'BD LUB'!$A$2:$L$223,6,FALSE)/VLOOKUP(Z157,'BD LUB'!$A$2:$L$223,8,FALSE))</f>
        <v>#N/A</v>
      </c>
      <c r="AB157" s="78" t="str">
        <f>IF(AND(VLOOKUP(Z157,'BD LUB'!$A$2:$L$223,11,FALSE)="PASADO",VLOOKUP(Z157,'BD LUB'!$A$2:$L$223,12,FALSE)="PASADO"),1,IF(OR(AND(VLOOKUP(Z157,'BD LUB'!$A$2:$L$223,11,FALSE)="PASADO",VLOOKUP(Z157,'BD LUB'!$A$2:$L$223,12,FALSE)="PRÓXIMO"),AND(VLOOKUP(Z157,'BD LUB'!$A$2:$L$223,11,FALSE)="PRÓXIMO",VLOOKUP(Z157,'BD LUB'!$A$2:$L$223,12,FALSE)="PASADO")),2,IF(OR(AND(VLOOKUP(Z157,'BD LUB'!$A$2:$L$223,11,FALSE)="PASADO",VLOOKUP(Z157,'BD LUB'!$A$2:$L$223,12,FALSE)="VIGENTE"),AND(VLOOKUP(Z157,'BD LUB'!$A$2:$L$223,11,FALSE)="VIGENTE",VLOOKUP(Z157,'BD LUB'!$A$2:$L$223,12,FALSE)="PASADO")),3,IF(AND(VLOOKUP(Z157,'BD LUB'!$A$2:$L$223,11,FALSE)="PRÓXIMO",VLOOKUP(Z157,'BD LUB'!$A$2:$L$223,12,FALSE)="PRÓXIMO"),4,IF(OR(AND(VLOOKUP(Z157,'BD LUB'!$A$2:$L$223,11,FALSE)="PRÓXIMO",VLOOKUP(Z157,'BD LUB'!$A$2:$L$223,12,FALSE)="VIGENTE"),AND(VLOOKUP(Z157,'BD LUB'!$A$2:$L$223,11,FALSE)="VIGENTE",VLOOKUP(Z157,'BD LUB'!$A$2:$L$223,12,FALSE)="PRÓXIMO")),5,IF(AND(VLOOKUP(Z157,'BD LUB'!$A$2:$L$223,11,FALSE)="VIGENTE",VLOOKUP(Z157,'BD LUB'!$A$2:$L$223,12,FALSE)="VIGENTE"),6,"No definido"))))))</f>
        <v>#N/A</v>
      </c>
      <c r="AC157" s="78"/>
      <c r="AD157" s="136" t="str">
        <f>IF(VLOOKUP(AC157,'BD LUB'!$A$2:$C$223,3,FALSE)=$AH$20,AC157&amp;" MED",IF(VLOOKUP(AC157,'BD LUB'!$A$2:$C$223,3,FALSE)=$AH$19,AC157&amp;" MAY",IF(VLOOKUP(AC157,'BD LUB'!$A$2:$C$223,3,FALSE)=$AH$18,AC157&amp;" RN",IF(VLOOKUP(AC157,'BD LUB'!$A$2:$C$223,3,FALSE)=$AH$17,AC157&amp;" COPQUI",IF(VLOOKUP(AC157,'BD LUB'!$A$2:$C$223,3,FALSE)=$AH$16,AC157&amp;" CEJ",IF(VLOOKUP(AC157,'BD LUB'!$A$2:$C$223,3,FALSE)=$AH$15,AC157&amp;" BULT",IF(VLOOKUP(AC157,'BD LUB'!$A$2:$C$223,3,FALSE)=$AH$14,AC157&amp;" COP",IF(VLOOKUP(AC157,'BD LUB'!$A$2:$C$223,3,FALSE)=$AH$13,AC157&amp;" RIO",IF(VLOOKUP(AC157,'BD LUB'!$A$2:$C$223,3,FALSE)=$AH$21,AC157&amp;" APART","Dato no encontrado")))))))))</f>
        <v>#N/A</v>
      </c>
      <c r="AE157" s="160"/>
      <c r="AF157" s="160"/>
      <c r="AG157" s="160"/>
      <c r="AH157" s="160"/>
      <c r="AI157" s="160"/>
      <c r="AJ157" s="160"/>
      <c r="AP157" s="160"/>
      <c r="AV157" s="160"/>
    </row>
    <row r="158">
      <c r="A158" s="158"/>
      <c r="B158" s="126">
        <v>155.0</v>
      </c>
      <c r="C158" s="78">
        <f>IFERROR(__xludf.DUMMYFUNCTION("""COMPUTED_VALUE"""),2923.0)</f>
        <v>2923</v>
      </c>
      <c r="D158" s="156">
        <f>IFERROR(__xludf.DUMMYFUNCTION("""COMPUTED_VALUE"""),46318.0)</f>
        <v>46318</v>
      </c>
      <c r="E158" s="78" t="str">
        <f>IFERROR(__xludf.DUMMYFUNCTION("""COMPUTED_VALUE"""),"BULTOS")</f>
        <v>BULTOS</v>
      </c>
      <c r="F158" s="156">
        <f>IFERROR(__xludf.DUMMYFUNCTION("""COMPUTED_VALUE"""),46135.0)</f>
        <v>46135</v>
      </c>
      <c r="G158" s="159">
        <f>IFERROR(__xludf.DUMMYFUNCTION("""COMPUTED_VALUE"""),99.0)</f>
        <v>99</v>
      </c>
      <c r="H158" s="78" t="str">
        <f>IFERROR(__xludf.DUMMYFUNCTION("""COMPUTED_VALUE"""),"VIGENTE")</f>
        <v>VIGENTE</v>
      </c>
      <c r="I158" s="132" t="str">
        <f t="shared" si="1"/>
        <v>-</v>
      </c>
      <c r="J158" s="158"/>
      <c r="K158" s="126">
        <v>155.0</v>
      </c>
      <c r="L158" s="78">
        <f>IFERROR(__xludf.DUMMYFUNCTION("""COMPUTED_VALUE"""),2179.0)</f>
        <v>2179</v>
      </c>
      <c r="M158" s="156">
        <f>IFERROR(__xludf.DUMMYFUNCTION("""COMPUTED_VALUE"""),46383.0)</f>
        <v>46383</v>
      </c>
      <c r="N158" s="78" t="str">
        <f>IFERROR(__xludf.DUMMYFUNCTION("""COMPUTED_VALUE"""),"02-Medellin")</f>
        <v>02-Medellin</v>
      </c>
      <c r="O158" s="156">
        <f>IFERROR(__xludf.DUMMYFUNCTION("""COMPUTED_VALUE"""),46084.0)</f>
        <v>46084</v>
      </c>
      <c r="P158" s="159">
        <f>IFERROR(__xludf.DUMMYFUNCTION("""COMPUTED_VALUE"""),5775.0)</f>
        <v>5775</v>
      </c>
      <c r="Q158" s="78" t="str">
        <f>IFERROR(__xludf.DUMMYFUNCTION("""COMPUTED_VALUE"""),"VIGENTE")</f>
        <v>VIGENTE</v>
      </c>
      <c r="R158" s="132" t="str">
        <f t="shared" si="2"/>
        <v>-</v>
      </c>
      <c r="T158" s="134" t="str">
        <f>CALENDARIO!D170</f>
        <v/>
      </c>
      <c r="U158" s="135" t="str">
        <f>CALENDARIO!C170</f>
        <v/>
      </c>
      <c r="W158" s="78"/>
      <c r="X158" s="136" t="str">
        <f>(VLOOKUP(W158,'BD LUB'!$A$2:$L$223,5,FALSE)/VLOOKUP(W158,'BD LUB'!$A$2:$L$223,7,FALSE))+(VLOOKUP(W158,'BD LUB'!$A$2:$L$223,6,FALSE)/VLOOKUP(W158,'BD LUB'!$A$2:$L$223,8,FALSE))</f>
        <v>#N/A</v>
      </c>
      <c r="Y158" s="137" t="str">
        <f>IF(AND(VLOOKUP(W158,'BD LUB'!$A$2:$L$223,11,FALSE)="PASADO",VLOOKUP(W158,'BD LUB'!$A$2:$L$223,12,FALSE)="PASADO"),1,IF(OR(AND(VLOOKUP(W158,'BD LUB'!$A$2:$L$223,11,FALSE)="PASADO",VLOOKUP(W158,'BD LUB'!$A$2:$L$223,12,FALSE)="PRÓXIMO"),AND(VLOOKUP(W158,'BD LUB'!$A$2:$L$223,11,FALSE)="PRÓXIMO",VLOOKUP(W158,'BD LUB'!$A$2:$L$223,12,FALSE)="PASADO")),2,IF(OR(AND(VLOOKUP(W158,'BD LUB'!$A$2:$L$223,11,FALSE)="PASADO",VLOOKUP(W158,'BD LUB'!$A$2:$L$223,12,FALSE)="VIGENTE"),AND(VLOOKUP(W158,'BD LUB'!$A$2:$L$223,11,FALSE)="VIGENTE",VLOOKUP(W158,'BD LUB'!$A$2:$L$223,12,FALSE)="PASADO")),3,IF(AND(VLOOKUP(W158,'BD LUB'!$A$2:$L$223,11,FALSE)="PRÓXIMO",VLOOKUP(W158,'BD LUB'!$A$2:$L$223,12,FALSE)="PRÓXIMO"),4,IF(OR(AND(VLOOKUP(W158,'BD LUB'!$A$2:$L$223,11,FALSE)="PRÓXIMO",VLOOKUP(W158,'BD LUB'!$A$2:$L$223,12,FALSE)="VIGENTE"),AND(VLOOKUP(W158,'BD LUB'!$A$2:$L$223,11,FALSE)="VIGENTE",VLOOKUP(W158,'BD LUB'!$A$2:$L$223,12,FALSE)="PRÓXIMO")),5,IF(AND(VLOOKUP(W158,'BD LUB'!$A$2:$L$223,11,FALSE)="VIGENTE",VLOOKUP(W158,'BD LUB'!$A$2:$L$223,12,FALSE)="VIGENTE"),6,"No definido"))))))</f>
        <v>#N/A</v>
      </c>
      <c r="Z158" s="138"/>
      <c r="AA158" s="139" t="str">
        <f>(VLOOKUP(Z158,'BD LUB'!$A$2:$L$223,5,FALSE)/VLOOKUP(Z158,'BD LUB'!$A$2:$L$223,7,FALSE))+(VLOOKUP(Z158,'BD LUB'!$A$2:$L$223,6,FALSE)/VLOOKUP(Z158,'BD LUB'!$A$2:$L$223,8,FALSE))</f>
        <v>#N/A</v>
      </c>
      <c r="AB158" s="78" t="str">
        <f>IF(AND(VLOOKUP(Z158,'BD LUB'!$A$2:$L$223,11,FALSE)="PASADO",VLOOKUP(Z158,'BD LUB'!$A$2:$L$223,12,FALSE)="PASADO"),1,IF(OR(AND(VLOOKUP(Z158,'BD LUB'!$A$2:$L$223,11,FALSE)="PASADO",VLOOKUP(Z158,'BD LUB'!$A$2:$L$223,12,FALSE)="PRÓXIMO"),AND(VLOOKUP(Z158,'BD LUB'!$A$2:$L$223,11,FALSE)="PRÓXIMO",VLOOKUP(Z158,'BD LUB'!$A$2:$L$223,12,FALSE)="PASADO")),2,IF(OR(AND(VLOOKUP(Z158,'BD LUB'!$A$2:$L$223,11,FALSE)="PASADO",VLOOKUP(Z158,'BD LUB'!$A$2:$L$223,12,FALSE)="VIGENTE"),AND(VLOOKUP(Z158,'BD LUB'!$A$2:$L$223,11,FALSE)="VIGENTE",VLOOKUP(Z158,'BD LUB'!$A$2:$L$223,12,FALSE)="PASADO")),3,IF(AND(VLOOKUP(Z158,'BD LUB'!$A$2:$L$223,11,FALSE)="PRÓXIMO",VLOOKUP(Z158,'BD LUB'!$A$2:$L$223,12,FALSE)="PRÓXIMO"),4,IF(OR(AND(VLOOKUP(Z158,'BD LUB'!$A$2:$L$223,11,FALSE)="PRÓXIMO",VLOOKUP(Z158,'BD LUB'!$A$2:$L$223,12,FALSE)="VIGENTE"),AND(VLOOKUP(Z158,'BD LUB'!$A$2:$L$223,11,FALSE)="VIGENTE",VLOOKUP(Z158,'BD LUB'!$A$2:$L$223,12,FALSE)="PRÓXIMO")),5,IF(AND(VLOOKUP(Z158,'BD LUB'!$A$2:$L$223,11,FALSE)="VIGENTE",VLOOKUP(Z158,'BD LUB'!$A$2:$L$223,12,FALSE)="VIGENTE"),6,"No definido"))))))</f>
        <v>#N/A</v>
      </c>
      <c r="AC158" s="78"/>
      <c r="AD158" s="136" t="str">
        <f>IF(VLOOKUP(AC158,'BD LUB'!$A$2:$C$223,3,FALSE)=$AH$20,AC158&amp;" MED",IF(VLOOKUP(AC158,'BD LUB'!$A$2:$C$223,3,FALSE)=$AH$19,AC158&amp;" MAY",IF(VLOOKUP(AC158,'BD LUB'!$A$2:$C$223,3,FALSE)=$AH$18,AC158&amp;" RN",IF(VLOOKUP(AC158,'BD LUB'!$A$2:$C$223,3,FALSE)=$AH$17,AC158&amp;" COPQUI",IF(VLOOKUP(AC158,'BD LUB'!$A$2:$C$223,3,FALSE)=$AH$16,AC158&amp;" CEJ",IF(VLOOKUP(AC158,'BD LUB'!$A$2:$C$223,3,FALSE)=$AH$15,AC158&amp;" BULT",IF(VLOOKUP(AC158,'BD LUB'!$A$2:$C$223,3,FALSE)=$AH$14,AC158&amp;" COP",IF(VLOOKUP(AC158,'BD LUB'!$A$2:$C$223,3,FALSE)=$AH$13,AC158&amp;" RIO",IF(VLOOKUP(AC158,'BD LUB'!$A$2:$C$223,3,FALSE)=$AH$21,AC158&amp;" APART","Dato no encontrado")))))))))</f>
        <v>#N/A</v>
      </c>
      <c r="AE158" s="160"/>
      <c r="AF158" s="160"/>
      <c r="AG158" s="160"/>
      <c r="AH158" s="160"/>
      <c r="AI158" s="160"/>
      <c r="AJ158" s="160"/>
      <c r="AP158" s="160"/>
      <c r="AV158" s="160"/>
    </row>
    <row r="159">
      <c r="A159" s="158"/>
      <c r="B159" s="126">
        <v>156.0</v>
      </c>
      <c r="C159" s="78">
        <f>IFERROR(__xludf.DUMMYFUNCTION("""COMPUTED_VALUE"""),2908.0)</f>
        <v>2908</v>
      </c>
      <c r="D159" s="156">
        <f>IFERROR(__xludf.DUMMYFUNCTION("""COMPUTED_VALUE"""),46275.0)</f>
        <v>46275</v>
      </c>
      <c r="E159" s="78" t="str">
        <f>IFERROR(__xludf.DUMMYFUNCTION("""COMPUTED_VALUE"""),"24-Rionegro")</f>
        <v>24-Rionegro</v>
      </c>
      <c r="F159" s="156">
        <f>IFERROR(__xludf.DUMMYFUNCTION("""COMPUTED_VALUE"""),46135.0)</f>
        <v>46135</v>
      </c>
      <c r="G159" s="159">
        <f>IFERROR(__xludf.DUMMYFUNCTION("""COMPUTED_VALUE"""),99.0)</f>
        <v>99</v>
      </c>
      <c r="H159" s="78" t="str">
        <f>IFERROR(__xludf.DUMMYFUNCTION("""COMPUTED_VALUE"""),"VIGENTE")</f>
        <v>VIGENTE</v>
      </c>
      <c r="I159" s="132" t="str">
        <f t="shared" si="1"/>
        <v>-</v>
      </c>
      <c r="J159" s="158"/>
      <c r="K159" s="126">
        <v>156.0</v>
      </c>
      <c r="L159" s="78">
        <f>IFERROR(__xludf.DUMMYFUNCTION("""COMPUTED_VALUE"""),2355.0)</f>
        <v>2355</v>
      </c>
      <c r="M159" s="156">
        <f>IFERROR(__xludf.DUMMYFUNCTION("""COMPUTED_VALUE"""),46439.0)</f>
        <v>46439</v>
      </c>
      <c r="N159" s="78" t="str">
        <f>IFERROR(__xludf.DUMMYFUNCTION("""COMPUTED_VALUE"""),"31-Copacabana")</f>
        <v>31-Copacabana</v>
      </c>
      <c r="O159" s="156">
        <f>IFERROR(__xludf.DUMMYFUNCTION("""COMPUTED_VALUE"""),46101.0)</f>
        <v>46101</v>
      </c>
      <c r="P159" s="159">
        <f>IFERROR(__xludf.DUMMYFUNCTION("""COMPUTED_VALUE"""),5892.8)</f>
        <v>5892.8</v>
      </c>
      <c r="Q159" s="78" t="str">
        <f>IFERROR(__xludf.DUMMYFUNCTION("""COMPUTED_VALUE"""),"VIGENTE")</f>
        <v>VIGENTE</v>
      </c>
      <c r="R159" s="132" t="str">
        <f t="shared" si="2"/>
        <v>-</v>
      </c>
      <c r="T159" s="134" t="str">
        <f>CALENDARIO!D171</f>
        <v/>
      </c>
      <c r="U159" s="135" t="str">
        <f>CALENDARIO!C171</f>
        <v/>
      </c>
      <c r="W159" s="78"/>
      <c r="X159" s="136" t="str">
        <f>(VLOOKUP(W159,'BD LUB'!$A$2:$L$223,5,FALSE)/VLOOKUP(W159,'BD LUB'!$A$2:$L$223,7,FALSE))+(VLOOKUP(W159,'BD LUB'!$A$2:$L$223,6,FALSE)/VLOOKUP(W159,'BD LUB'!$A$2:$L$223,8,FALSE))</f>
        <v>#N/A</v>
      </c>
      <c r="Y159" s="137" t="str">
        <f>IF(AND(VLOOKUP(W159,'BD LUB'!$A$2:$L$223,11,FALSE)="PASADO",VLOOKUP(W159,'BD LUB'!$A$2:$L$223,12,FALSE)="PASADO"),1,IF(OR(AND(VLOOKUP(W159,'BD LUB'!$A$2:$L$223,11,FALSE)="PASADO",VLOOKUP(W159,'BD LUB'!$A$2:$L$223,12,FALSE)="PRÓXIMO"),AND(VLOOKUP(W159,'BD LUB'!$A$2:$L$223,11,FALSE)="PRÓXIMO",VLOOKUP(W159,'BD LUB'!$A$2:$L$223,12,FALSE)="PASADO")),2,IF(OR(AND(VLOOKUP(W159,'BD LUB'!$A$2:$L$223,11,FALSE)="PASADO",VLOOKUP(W159,'BD LUB'!$A$2:$L$223,12,FALSE)="VIGENTE"),AND(VLOOKUP(W159,'BD LUB'!$A$2:$L$223,11,FALSE)="VIGENTE",VLOOKUP(W159,'BD LUB'!$A$2:$L$223,12,FALSE)="PASADO")),3,IF(AND(VLOOKUP(W159,'BD LUB'!$A$2:$L$223,11,FALSE)="PRÓXIMO",VLOOKUP(W159,'BD LUB'!$A$2:$L$223,12,FALSE)="PRÓXIMO"),4,IF(OR(AND(VLOOKUP(W159,'BD LUB'!$A$2:$L$223,11,FALSE)="PRÓXIMO",VLOOKUP(W159,'BD LUB'!$A$2:$L$223,12,FALSE)="VIGENTE"),AND(VLOOKUP(W159,'BD LUB'!$A$2:$L$223,11,FALSE)="VIGENTE",VLOOKUP(W159,'BD LUB'!$A$2:$L$223,12,FALSE)="PRÓXIMO")),5,IF(AND(VLOOKUP(W159,'BD LUB'!$A$2:$L$223,11,FALSE)="VIGENTE",VLOOKUP(W159,'BD LUB'!$A$2:$L$223,12,FALSE)="VIGENTE"),6,"No definido"))))))</f>
        <v>#N/A</v>
      </c>
      <c r="Z159" s="138"/>
      <c r="AA159" s="139" t="str">
        <f>(VLOOKUP(Z159,'BD LUB'!$A$2:$L$223,5,FALSE)/VLOOKUP(Z159,'BD LUB'!$A$2:$L$223,7,FALSE))+(VLOOKUP(Z159,'BD LUB'!$A$2:$L$223,6,FALSE)/VLOOKUP(Z159,'BD LUB'!$A$2:$L$223,8,FALSE))</f>
        <v>#N/A</v>
      </c>
      <c r="AB159" s="78" t="str">
        <f>IF(AND(VLOOKUP(Z159,'BD LUB'!$A$2:$L$223,11,FALSE)="PASADO",VLOOKUP(Z159,'BD LUB'!$A$2:$L$223,12,FALSE)="PASADO"),1,IF(OR(AND(VLOOKUP(Z159,'BD LUB'!$A$2:$L$223,11,FALSE)="PASADO",VLOOKUP(Z159,'BD LUB'!$A$2:$L$223,12,FALSE)="PRÓXIMO"),AND(VLOOKUP(Z159,'BD LUB'!$A$2:$L$223,11,FALSE)="PRÓXIMO",VLOOKUP(Z159,'BD LUB'!$A$2:$L$223,12,FALSE)="PASADO")),2,IF(OR(AND(VLOOKUP(Z159,'BD LUB'!$A$2:$L$223,11,FALSE)="PASADO",VLOOKUP(Z159,'BD LUB'!$A$2:$L$223,12,FALSE)="VIGENTE"),AND(VLOOKUP(Z159,'BD LUB'!$A$2:$L$223,11,FALSE)="VIGENTE",VLOOKUP(Z159,'BD LUB'!$A$2:$L$223,12,FALSE)="PASADO")),3,IF(AND(VLOOKUP(Z159,'BD LUB'!$A$2:$L$223,11,FALSE)="PRÓXIMO",VLOOKUP(Z159,'BD LUB'!$A$2:$L$223,12,FALSE)="PRÓXIMO"),4,IF(OR(AND(VLOOKUP(Z159,'BD LUB'!$A$2:$L$223,11,FALSE)="PRÓXIMO",VLOOKUP(Z159,'BD LUB'!$A$2:$L$223,12,FALSE)="VIGENTE"),AND(VLOOKUP(Z159,'BD LUB'!$A$2:$L$223,11,FALSE)="VIGENTE",VLOOKUP(Z159,'BD LUB'!$A$2:$L$223,12,FALSE)="PRÓXIMO")),5,IF(AND(VLOOKUP(Z159,'BD LUB'!$A$2:$L$223,11,FALSE)="VIGENTE",VLOOKUP(Z159,'BD LUB'!$A$2:$L$223,12,FALSE)="VIGENTE"),6,"No definido"))))))</f>
        <v>#N/A</v>
      </c>
      <c r="AC159" s="78"/>
      <c r="AD159" s="136" t="str">
        <f>IF(VLOOKUP(AC159,'BD LUB'!$A$2:$C$223,3,FALSE)=$AH$20,AC159&amp;" MED",IF(VLOOKUP(AC159,'BD LUB'!$A$2:$C$223,3,FALSE)=$AH$19,AC159&amp;" MAY",IF(VLOOKUP(AC159,'BD LUB'!$A$2:$C$223,3,FALSE)=$AH$18,AC159&amp;" RN",IF(VLOOKUP(AC159,'BD LUB'!$A$2:$C$223,3,FALSE)=$AH$17,AC159&amp;" COPQUI",IF(VLOOKUP(AC159,'BD LUB'!$A$2:$C$223,3,FALSE)=$AH$16,AC159&amp;" CEJ",IF(VLOOKUP(AC159,'BD LUB'!$A$2:$C$223,3,FALSE)=$AH$15,AC159&amp;" BULT",IF(VLOOKUP(AC159,'BD LUB'!$A$2:$C$223,3,FALSE)=$AH$14,AC159&amp;" COP",IF(VLOOKUP(AC159,'BD LUB'!$A$2:$C$223,3,FALSE)=$AH$13,AC159&amp;" RIO",IF(VLOOKUP(AC159,'BD LUB'!$A$2:$C$223,3,FALSE)=$AH$21,AC159&amp;" APART","Dato no encontrado")))))))))</f>
        <v>#N/A</v>
      </c>
      <c r="AE159" s="160"/>
      <c r="AF159" s="160"/>
      <c r="AG159" s="160"/>
      <c r="AH159" s="160"/>
      <c r="AI159" s="160"/>
      <c r="AJ159" s="160"/>
      <c r="AP159" s="160"/>
      <c r="AV159" s="160"/>
    </row>
    <row r="160">
      <c r="A160" s="158"/>
      <c r="B160" s="126">
        <v>157.0</v>
      </c>
      <c r="C160" s="78">
        <f>IFERROR(__xludf.DUMMYFUNCTION("""COMPUTED_VALUE"""),2877.0)</f>
        <v>2877</v>
      </c>
      <c r="D160" s="156">
        <f>IFERROR(__xludf.DUMMYFUNCTION("""COMPUTED_VALUE"""),46226.0)</f>
        <v>46226</v>
      </c>
      <c r="E160" s="78" t="str">
        <f>IFERROR(__xludf.DUMMYFUNCTION("""COMPUTED_VALUE"""),"MAYORCA")</f>
        <v>MAYORCA</v>
      </c>
      <c r="F160" s="156">
        <f>IFERROR(__xludf.DUMMYFUNCTION("""COMPUTED_VALUE"""),46135.0)</f>
        <v>46135</v>
      </c>
      <c r="G160" s="159">
        <f>IFERROR(__xludf.DUMMYFUNCTION("""COMPUTED_VALUE"""),99.0)</f>
        <v>99</v>
      </c>
      <c r="H160" s="78" t="str">
        <f>IFERROR(__xludf.DUMMYFUNCTION("""COMPUTED_VALUE"""),"VIGENTE")</f>
        <v>VIGENTE</v>
      </c>
      <c r="I160" s="132" t="str">
        <f t="shared" si="1"/>
        <v>-</v>
      </c>
      <c r="J160" s="158"/>
      <c r="K160" s="126">
        <v>157.0</v>
      </c>
      <c r="L160" s="78">
        <f>IFERROR(__xludf.DUMMYFUNCTION("""COMPUTED_VALUE"""),2659.0)</f>
        <v>2659</v>
      </c>
      <c r="M160" s="156">
        <f>IFERROR(__xludf.DUMMYFUNCTION("""COMPUTED_VALUE"""),46487.0)</f>
        <v>46487</v>
      </c>
      <c r="N160" s="78" t="str">
        <f>IFERROR(__xludf.DUMMYFUNCTION("""COMPUTED_VALUE"""),"02-Medellin")</f>
        <v>02-Medellin</v>
      </c>
      <c r="O160" s="156">
        <f>IFERROR(__xludf.DUMMYFUNCTION("""COMPUTED_VALUE"""),46070.0)</f>
        <v>46070</v>
      </c>
      <c r="P160" s="159">
        <f>IFERROR(__xludf.DUMMYFUNCTION("""COMPUTED_VALUE"""),6302.0)</f>
        <v>6302</v>
      </c>
      <c r="Q160" s="78" t="str">
        <f>IFERROR(__xludf.DUMMYFUNCTION("""COMPUTED_VALUE"""),"VIGENTE")</f>
        <v>VIGENTE</v>
      </c>
      <c r="R160" s="132" t="str">
        <f t="shared" si="2"/>
        <v>-</v>
      </c>
      <c r="T160" s="134" t="str">
        <f>CALENDARIO!D172</f>
        <v/>
      </c>
      <c r="U160" s="135" t="str">
        <f>CALENDARIO!C172</f>
        <v/>
      </c>
      <c r="W160" s="78"/>
      <c r="X160" s="136" t="str">
        <f>(VLOOKUP(W160,'BD LUB'!$A$2:$L$223,5,FALSE)/VLOOKUP(W160,'BD LUB'!$A$2:$L$223,7,FALSE))+(VLOOKUP(W160,'BD LUB'!$A$2:$L$223,6,FALSE)/VLOOKUP(W160,'BD LUB'!$A$2:$L$223,8,FALSE))</f>
        <v>#N/A</v>
      </c>
      <c r="Y160" s="137" t="str">
        <f>IF(AND(VLOOKUP(W160,'BD LUB'!$A$2:$L$223,11,FALSE)="PASADO",VLOOKUP(W160,'BD LUB'!$A$2:$L$223,12,FALSE)="PASADO"),1,IF(OR(AND(VLOOKUP(W160,'BD LUB'!$A$2:$L$223,11,FALSE)="PASADO",VLOOKUP(W160,'BD LUB'!$A$2:$L$223,12,FALSE)="PRÓXIMO"),AND(VLOOKUP(W160,'BD LUB'!$A$2:$L$223,11,FALSE)="PRÓXIMO",VLOOKUP(W160,'BD LUB'!$A$2:$L$223,12,FALSE)="PASADO")),2,IF(OR(AND(VLOOKUP(W160,'BD LUB'!$A$2:$L$223,11,FALSE)="PASADO",VLOOKUP(W160,'BD LUB'!$A$2:$L$223,12,FALSE)="VIGENTE"),AND(VLOOKUP(W160,'BD LUB'!$A$2:$L$223,11,FALSE)="VIGENTE",VLOOKUP(W160,'BD LUB'!$A$2:$L$223,12,FALSE)="PASADO")),3,IF(AND(VLOOKUP(W160,'BD LUB'!$A$2:$L$223,11,FALSE)="PRÓXIMO",VLOOKUP(W160,'BD LUB'!$A$2:$L$223,12,FALSE)="PRÓXIMO"),4,IF(OR(AND(VLOOKUP(W160,'BD LUB'!$A$2:$L$223,11,FALSE)="PRÓXIMO",VLOOKUP(W160,'BD LUB'!$A$2:$L$223,12,FALSE)="VIGENTE"),AND(VLOOKUP(W160,'BD LUB'!$A$2:$L$223,11,FALSE)="VIGENTE",VLOOKUP(W160,'BD LUB'!$A$2:$L$223,12,FALSE)="PRÓXIMO")),5,IF(AND(VLOOKUP(W160,'BD LUB'!$A$2:$L$223,11,FALSE)="VIGENTE",VLOOKUP(W160,'BD LUB'!$A$2:$L$223,12,FALSE)="VIGENTE"),6,"No definido"))))))</f>
        <v>#N/A</v>
      </c>
      <c r="Z160" s="138"/>
      <c r="AA160" s="139" t="str">
        <f>(VLOOKUP(Z160,'BD LUB'!$A$2:$L$223,5,FALSE)/VLOOKUP(Z160,'BD LUB'!$A$2:$L$223,7,FALSE))+(VLOOKUP(Z160,'BD LUB'!$A$2:$L$223,6,FALSE)/VLOOKUP(Z160,'BD LUB'!$A$2:$L$223,8,FALSE))</f>
        <v>#N/A</v>
      </c>
      <c r="AB160" s="78" t="str">
        <f>IF(AND(VLOOKUP(Z160,'BD LUB'!$A$2:$L$223,11,FALSE)="PASADO",VLOOKUP(Z160,'BD LUB'!$A$2:$L$223,12,FALSE)="PASADO"),1,IF(OR(AND(VLOOKUP(Z160,'BD LUB'!$A$2:$L$223,11,FALSE)="PASADO",VLOOKUP(Z160,'BD LUB'!$A$2:$L$223,12,FALSE)="PRÓXIMO"),AND(VLOOKUP(Z160,'BD LUB'!$A$2:$L$223,11,FALSE)="PRÓXIMO",VLOOKUP(Z160,'BD LUB'!$A$2:$L$223,12,FALSE)="PASADO")),2,IF(OR(AND(VLOOKUP(Z160,'BD LUB'!$A$2:$L$223,11,FALSE)="PASADO",VLOOKUP(Z160,'BD LUB'!$A$2:$L$223,12,FALSE)="VIGENTE"),AND(VLOOKUP(Z160,'BD LUB'!$A$2:$L$223,11,FALSE)="VIGENTE",VLOOKUP(Z160,'BD LUB'!$A$2:$L$223,12,FALSE)="PASADO")),3,IF(AND(VLOOKUP(Z160,'BD LUB'!$A$2:$L$223,11,FALSE)="PRÓXIMO",VLOOKUP(Z160,'BD LUB'!$A$2:$L$223,12,FALSE)="PRÓXIMO"),4,IF(OR(AND(VLOOKUP(Z160,'BD LUB'!$A$2:$L$223,11,FALSE)="PRÓXIMO",VLOOKUP(Z160,'BD LUB'!$A$2:$L$223,12,FALSE)="VIGENTE"),AND(VLOOKUP(Z160,'BD LUB'!$A$2:$L$223,11,FALSE)="VIGENTE",VLOOKUP(Z160,'BD LUB'!$A$2:$L$223,12,FALSE)="PRÓXIMO")),5,IF(AND(VLOOKUP(Z160,'BD LUB'!$A$2:$L$223,11,FALSE)="VIGENTE",VLOOKUP(Z160,'BD LUB'!$A$2:$L$223,12,FALSE)="VIGENTE"),6,"No definido"))))))</f>
        <v>#N/A</v>
      </c>
      <c r="AC160" s="78"/>
      <c r="AD160" s="136" t="str">
        <f>IF(VLOOKUP(AC160,'BD LUB'!$A$2:$C$223,3,FALSE)=$AH$20,AC160&amp;" MED",IF(VLOOKUP(AC160,'BD LUB'!$A$2:$C$223,3,FALSE)=$AH$19,AC160&amp;" MAY",IF(VLOOKUP(AC160,'BD LUB'!$A$2:$C$223,3,FALSE)=$AH$18,AC160&amp;" RN",IF(VLOOKUP(AC160,'BD LUB'!$A$2:$C$223,3,FALSE)=$AH$17,AC160&amp;" COPQUI",IF(VLOOKUP(AC160,'BD LUB'!$A$2:$C$223,3,FALSE)=$AH$16,AC160&amp;" CEJ",IF(VLOOKUP(AC160,'BD LUB'!$A$2:$C$223,3,FALSE)=$AH$15,AC160&amp;" BULT",IF(VLOOKUP(AC160,'BD LUB'!$A$2:$C$223,3,FALSE)=$AH$14,AC160&amp;" COP",IF(VLOOKUP(AC160,'BD LUB'!$A$2:$C$223,3,FALSE)=$AH$13,AC160&amp;" RIO",IF(VLOOKUP(AC160,'BD LUB'!$A$2:$C$223,3,FALSE)=$AH$21,AC160&amp;" APART","Dato no encontrado")))))))))</f>
        <v>#N/A</v>
      </c>
      <c r="AE160" s="160"/>
      <c r="AF160" s="160"/>
      <c r="AG160" s="160"/>
      <c r="AH160" s="160"/>
      <c r="AI160" s="160"/>
      <c r="AJ160" s="160"/>
      <c r="AP160" s="160"/>
      <c r="AV160" s="160"/>
    </row>
    <row r="161">
      <c r="A161" s="158"/>
      <c r="B161" s="126">
        <v>158.0</v>
      </c>
      <c r="C161" s="78">
        <f>IFERROR(__xludf.DUMMYFUNCTION("""COMPUTED_VALUE"""),2876.0)</f>
        <v>2876</v>
      </c>
      <c r="D161" s="156">
        <f>IFERROR(__xludf.DUMMYFUNCTION("""COMPUTED_VALUE"""),46226.0)</f>
        <v>46226</v>
      </c>
      <c r="E161" s="78" t="str">
        <f>IFERROR(__xludf.DUMMYFUNCTION("""COMPUTED_VALUE"""),"02-Medellin")</f>
        <v>02-Medellin</v>
      </c>
      <c r="F161" s="156">
        <f>IFERROR(__xludf.DUMMYFUNCTION("""COMPUTED_VALUE"""),46135.0)</f>
        <v>46135</v>
      </c>
      <c r="G161" s="159">
        <f>IFERROR(__xludf.DUMMYFUNCTION("""COMPUTED_VALUE"""),99.0)</f>
        <v>99</v>
      </c>
      <c r="H161" s="78" t="str">
        <f>IFERROR(__xludf.DUMMYFUNCTION("""COMPUTED_VALUE"""),"VIGENTE")</f>
        <v>VIGENTE</v>
      </c>
      <c r="I161" s="132" t="str">
        <f t="shared" si="1"/>
        <v>-</v>
      </c>
      <c r="J161" s="158"/>
      <c r="K161" s="126">
        <v>158.0</v>
      </c>
      <c r="L161" s="78">
        <f>IFERROR(__xludf.DUMMYFUNCTION("""COMPUTED_VALUE"""),2878.0)</f>
        <v>2878</v>
      </c>
      <c r="M161" s="156">
        <f>IFERROR(__xludf.DUMMYFUNCTION("""COMPUTED_VALUE"""),46226.0)</f>
        <v>46226</v>
      </c>
      <c r="N161" s="78" t="str">
        <f>IFERROR(__xludf.DUMMYFUNCTION("""COMPUTED_VALUE"""),"02-Medellin")</f>
        <v>02-Medellin</v>
      </c>
      <c r="O161" s="156">
        <f>IFERROR(__xludf.DUMMYFUNCTION("""COMPUTED_VALUE"""),46112.0)</f>
        <v>46112</v>
      </c>
      <c r="P161" s="159">
        <f>IFERROR(__xludf.DUMMYFUNCTION("""COMPUTED_VALUE"""),6343.0)</f>
        <v>6343</v>
      </c>
      <c r="Q161" s="78" t="str">
        <f>IFERROR(__xludf.DUMMYFUNCTION("""COMPUTED_VALUE"""),"VIGENTE")</f>
        <v>VIGENTE</v>
      </c>
      <c r="R161" s="132" t="str">
        <f t="shared" si="2"/>
        <v>-</v>
      </c>
      <c r="T161" s="134" t="str">
        <f>CALENDARIO!D173</f>
        <v/>
      </c>
      <c r="U161" s="135" t="str">
        <f>CALENDARIO!C173</f>
        <v/>
      </c>
      <c r="W161" s="78"/>
      <c r="X161" s="136" t="str">
        <f>(VLOOKUP(W161,'BD LUB'!$A$2:$L$223,5,FALSE)/VLOOKUP(W161,'BD LUB'!$A$2:$L$223,7,FALSE))+(VLOOKUP(W161,'BD LUB'!$A$2:$L$223,6,FALSE)/VLOOKUP(W161,'BD LUB'!$A$2:$L$223,8,FALSE))</f>
        <v>#N/A</v>
      </c>
      <c r="Y161" s="137" t="str">
        <f>IF(AND(VLOOKUP(W161,'BD LUB'!$A$2:$L$223,11,FALSE)="PASADO",VLOOKUP(W161,'BD LUB'!$A$2:$L$223,12,FALSE)="PASADO"),1,IF(OR(AND(VLOOKUP(W161,'BD LUB'!$A$2:$L$223,11,FALSE)="PASADO",VLOOKUP(W161,'BD LUB'!$A$2:$L$223,12,FALSE)="PRÓXIMO"),AND(VLOOKUP(W161,'BD LUB'!$A$2:$L$223,11,FALSE)="PRÓXIMO",VLOOKUP(W161,'BD LUB'!$A$2:$L$223,12,FALSE)="PASADO")),2,IF(OR(AND(VLOOKUP(W161,'BD LUB'!$A$2:$L$223,11,FALSE)="PASADO",VLOOKUP(W161,'BD LUB'!$A$2:$L$223,12,FALSE)="VIGENTE"),AND(VLOOKUP(W161,'BD LUB'!$A$2:$L$223,11,FALSE)="VIGENTE",VLOOKUP(W161,'BD LUB'!$A$2:$L$223,12,FALSE)="PASADO")),3,IF(AND(VLOOKUP(W161,'BD LUB'!$A$2:$L$223,11,FALSE)="PRÓXIMO",VLOOKUP(W161,'BD LUB'!$A$2:$L$223,12,FALSE)="PRÓXIMO"),4,IF(OR(AND(VLOOKUP(W161,'BD LUB'!$A$2:$L$223,11,FALSE)="PRÓXIMO",VLOOKUP(W161,'BD LUB'!$A$2:$L$223,12,FALSE)="VIGENTE"),AND(VLOOKUP(W161,'BD LUB'!$A$2:$L$223,11,FALSE)="VIGENTE",VLOOKUP(W161,'BD LUB'!$A$2:$L$223,12,FALSE)="PRÓXIMO")),5,IF(AND(VLOOKUP(W161,'BD LUB'!$A$2:$L$223,11,FALSE)="VIGENTE",VLOOKUP(W161,'BD LUB'!$A$2:$L$223,12,FALSE)="VIGENTE"),6,"No definido"))))))</f>
        <v>#N/A</v>
      </c>
      <c r="Z161" s="138"/>
      <c r="AA161" s="139" t="str">
        <f>(VLOOKUP(Z161,'BD LUB'!$A$2:$L$223,5,FALSE)/VLOOKUP(Z161,'BD LUB'!$A$2:$L$223,7,FALSE))+(VLOOKUP(Z161,'BD LUB'!$A$2:$L$223,6,FALSE)/VLOOKUP(Z161,'BD LUB'!$A$2:$L$223,8,FALSE))</f>
        <v>#N/A</v>
      </c>
      <c r="AB161" s="78" t="str">
        <f>IF(AND(VLOOKUP(Z161,'BD LUB'!$A$2:$L$223,11,FALSE)="PASADO",VLOOKUP(Z161,'BD LUB'!$A$2:$L$223,12,FALSE)="PASADO"),1,IF(OR(AND(VLOOKUP(Z161,'BD LUB'!$A$2:$L$223,11,FALSE)="PASADO",VLOOKUP(Z161,'BD LUB'!$A$2:$L$223,12,FALSE)="PRÓXIMO"),AND(VLOOKUP(Z161,'BD LUB'!$A$2:$L$223,11,FALSE)="PRÓXIMO",VLOOKUP(Z161,'BD LUB'!$A$2:$L$223,12,FALSE)="PASADO")),2,IF(OR(AND(VLOOKUP(Z161,'BD LUB'!$A$2:$L$223,11,FALSE)="PASADO",VLOOKUP(Z161,'BD LUB'!$A$2:$L$223,12,FALSE)="VIGENTE"),AND(VLOOKUP(Z161,'BD LUB'!$A$2:$L$223,11,FALSE)="VIGENTE",VLOOKUP(Z161,'BD LUB'!$A$2:$L$223,12,FALSE)="PASADO")),3,IF(AND(VLOOKUP(Z161,'BD LUB'!$A$2:$L$223,11,FALSE)="PRÓXIMO",VLOOKUP(Z161,'BD LUB'!$A$2:$L$223,12,FALSE)="PRÓXIMO"),4,IF(OR(AND(VLOOKUP(Z161,'BD LUB'!$A$2:$L$223,11,FALSE)="PRÓXIMO",VLOOKUP(Z161,'BD LUB'!$A$2:$L$223,12,FALSE)="VIGENTE"),AND(VLOOKUP(Z161,'BD LUB'!$A$2:$L$223,11,FALSE)="VIGENTE",VLOOKUP(Z161,'BD LUB'!$A$2:$L$223,12,FALSE)="PRÓXIMO")),5,IF(AND(VLOOKUP(Z161,'BD LUB'!$A$2:$L$223,11,FALSE)="VIGENTE",VLOOKUP(Z161,'BD LUB'!$A$2:$L$223,12,FALSE)="VIGENTE"),6,"No definido"))))))</f>
        <v>#N/A</v>
      </c>
      <c r="AC161" s="78"/>
      <c r="AD161" s="136" t="str">
        <f>IF(VLOOKUP(AC161,'BD LUB'!$A$2:$C$223,3,FALSE)=$AH$20,AC161&amp;" MED",IF(VLOOKUP(AC161,'BD LUB'!$A$2:$C$223,3,FALSE)=$AH$19,AC161&amp;" MAY",IF(VLOOKUP(AC161,'BD LUB'!$A$2:$C$223,3,FALSE)=$AH$18,AC161&amp;" RN",IF(VLOOKUP(AC161,'BD LUB'!$A$2:$C$223,3,FALSE)=$AH$17,AC161&amp;" COPQUI",IF(VLOOKUP(AC161,'BD LUB'!$A$2:$C$223,3,FALSE)=$AH$16,AC161&amp;" CEJ",IF(VLOOKUP(AC161,'BD LUB'!$A$2:$C$223,3,FALSE)=$AH$15,AC161&amp;" BULT",IF(VLOOKUP(AC161,'BD LUB'!$A$2:$C$223,3,FALSE)=$AH$14,AC161&amp;" COP",IF(VLOOKUP(AC161,'BD LUB'!$A$2:$C$223,3,FALSE)=$AH$13,AC161&amp;" RIO",IF(VLOOKUP(AC161,'BD LUB'!$A$2:$C$223,3,FALSE)=$AH$21,AC161&amp;" APART","Dato no encontrado")))))))))</f>
        <v>#N/A</v>
      </c>
      <c r="AE161" s="160"/>
      <c r="AF161" s="160"/>
      <c r="AG161" s="160"/>
      <c r="AH161" s="160"/>
      <c r="AI161" s="160"/>
      <c r="AJ161" s="160"/>
      <c r="AP161" s="160"/>
      <c r="AV161" s="160"/>
    </row>
    <row r="162">
      <c r="A162" s="158"/>
      <c r="B162" s="126">
        <v>159.0</v>
      </c>
      <c r="C162" s="78">
        <f>IFERROR(__xludf.DUMMYFUNCTION("""COMPUTED_VALUE"""),2204.0)</f>
        <v>2204</v>
      </c>
      <c r="D162" s="156">
        <f>IFERROR(__xludf.DUMMYFUNCTION("""COMPUTED_VALUE"""),46523.0)</f>
        <v>46523</v>
      </c>
      <c r="E162" s="78" t="str">
        <f>IFERROR(__xludf.DUMMYFUNCTION("""COMPUTED_VALUE"""),"BULTOS")</f>
        <v>BULTOS</v>
      </c>
      <c r="F162" s="156">
        <f>IFERROR(__xludf.DUMMYFUNCTION("""COMPUTED_VALUE"""),46135.0)</f>
        <v>46135</v>
      </c>
      <c r="G162" s="159">
        <f>IFERROR(__xludf.DUMMYFUNCTION("""COMPUTED_VALUE"""),99.0)</f>
        <v>99</v>
      </c>
      <c r="H162" s="78" t="str">
        <f>IFERROR(__xludf.DUMMYFUNCTION("""COMPUTED_VALUE"""),"VIGENTE")</f>
        <v>VIGENTE</v>
      </c>
      <c r="I162" s="132" t="str">
        <f t="shared" si="1"/>
        <v>-</v>
      </c>
      <c r="J162" s="158"/>
      <c r="K162" s="126">
        <v>159.0</v>
      </c>
      <c r="L162" s="78">
        <f>IFERROR(__xludf.DUMMYFUNCTION("""COMPUTED_VALUE"""),2197.0)</f>
        <v>2197</v>
      </c>
      <c r="M162" s="156">
        <f>IFERROR(__xludf.DUMMYFUNCTION("""COMPUTED_VALUE"""),46529.0)</f>
        <v>46529</v>
      </c>
      <c r="N162" s="78" t="str">
        <f>IFERROR(__xludf.DUMMYFUNCTION("""COMPUTED_VALUE"""),"02-Medellin")</f>
        <v>02-Medellin</v>
      </c>
      <c r="O162" s="156">
        <f>IFERROR(__xludf.DUMMYFUNCTION("""COMPUTED_VALUE"""),46086.0)</f>
        <v>46086</v>
      </c>
      <c r="P162" s="159">
        <f>IFERROR(__xludf.DUMMYFUNCTION("""COMPUTED_VALUE"""),6379.2)</f>
        <v>6379.2</v>
      </c>
      <c r="Q162" s="78" t="str">
        <f>IFERROR(__xludf.DUMMYFUNCTION("""COMPUTED_VALUE"""),"VIGENTE")</f>
        <v>VIGENTE</v>
      </c>
      <c r="R162" s="132" t="str">
        <f t="shared" si="2"/>
        <v>-</v>
      </c>
      <c r="T162" s="134" t="str">
        <f>CALENDARIO!D174</f>
        <v/>
      </c>
      <c r="U162" s="135" t="str">
        <f>CALENDARIO!C174</f>
        <v/>
      </c>
      <c r="W162" s="78"/>
      <c r="X162" s="136" t="str">
        <f>(VLOOKUP(W162,'BD LUB'!$A$2:$L$223,5,FALSE)/VLOOKUP(W162,'BD LUB'!$A$2:$L$223,7,FALSE))+(VLOOKUP(W162,'BD LUB'!$A$2:$L$223,6,FALSE)/VLOOKUP(W162,'BD LUB'!$A$2:$L$223,8,FALSE))</f>
        <v>#N/A</v>
      </c>
      <c r="Y162" s="137" t="str">
        <f>IF(AND(VLOOKUP(W162,'BD LUB'!$A$2:$L$223,11,FALSE)="PASADO",VLOOKUP(W162,'BD LUB'!$A$2:$L$223,12,FALSE)="PASADO"),1,IF(OR(AND(VLOOKUP(W162,'BD LUB'!$A$2:$L$223,11,FALSE)="PASADO",VLOOKUP(W162,'BD LUB'!$A$2:$L$223,12,FALSE)="PRÓXIMO"),AND(VLOOKUP(W162,'BD LUB'!$A$2:$L$223,11,FALSE)="PRÓXIMO",VLOOKUP(W162,'BD LUB'!$A$2:$L$223,12,FALSE)="PASADO")),2,IF(OR(AND(VLOOKUP(W162,'BD LUB'!$A$2:$L$223,11,FALSE)="PASADO",VLOOKUP(W162,'BD LUB'!$A$2:$L$223,12,FALSE)="VIGENTE"),AND(VLOOKUP(W162,'BD LUB'!$A$2:$L$223,11,FALSE)="VIGENTE",VLOOKUP(W162,'BD LUB'!$A$2:$L$223,12,FALSE)="PASADO")),3,IF(AND(VLOOKUP(W162,'BD LUB'!$A$2:$L$223,11,FALSE)="PRÓXIMO",VLOOKUP(W162,'BD LUB'!$A$2:$L$223,12,FALSE)="PRÓXIMO"),4,IF(OR(AND(VLOOKUP(W162,'BD LUB'!$A$2:$L$223,11,FALSE)="PRÓXIMO",VLOOKUP(W162,'BD LUB'!$A$2:$L$223,12,FALSE)="VIGENTE"),AND(VLOOKUP(W162,'BD LUB'!$A$2:$L$223,11,FALSE)="VIGENTE",VLOOKUP(W162,'BD LUB'!$A$2:$L$223,12,FALSE)="PRÓXIMO")),5,IF(AND(VLOOKUP(W162,'BD LUB'!$A$2:$L$223,11,FALSE)="VIGENTE",VLOOKUP(W162,'BD LUB'!$A$2:$L$223,12,FALSE)="VIGENTE"),6,"No definido"))))))</f>
        <v>#N/A</v>
      </c>
      <c r="Z162" s="138"/>
      <c r="AA162" s="139" t="str">
        <f>(VLOOKUP(Z162,'BD LUB'!$A$2:$L$223,5,FALSE)/VLOOKUP(Z162,'BD LUB'!$A$2:$L$223,7,FALSE))+(VLOOKUP(Z162,'BD LUB'!$A$2:$L$223,6,FALSE)/VLOOKUP(Z162,'BD LUB'!$A$2:$L$223,8,FALSE))</f>
        <v>#N/A</v>
      </c>
      <c r="AB162" s="78" t="str">
        <f>IF(AND(VLOOKUP(Z162,'BD LUB'!$A$2:$L$223,11,FALSE)="PASADO",VLOOKUP(Z162,'BD LUB'!$A$2:$L$223,12,FALSE)="PASADO"),1,IF(OR(AND(VLOOKUP(Z162,'BD LUB'!$A$2:$L$223,11,FALSE)="PASADO",VLOOKUP(Z162,'BD LUB'!$A$2:$L$223,12,FALSE)="PRÓXIMO"),AND(VLOOKUP(Z162,'BD LUB'!$A$2:$L$223,11,FALSE)="PRÓXIMO",VLOOKUP(Z162,'BD LUB'!$A$2:$L$223,12,FALSE)="PASADO")),2,IF(OR(AND(VLOOKUP(Z162,'BD LUB'!$A$2:$L$223,11,FALSE)="PASADO",VLOOKUP(Z162,'BD LUB'!$A$2:$L$223,12,FALSE)="VIGENTE"),AND(VLOOKUP(Z162,'BD LUB'!$A$2:$L$223,11,FALSE)="VIGENTE",VLOOKUP(Z162,'BD LUB'!$A$2:$L$223,12,FALSE)="PASADO")),3,IF(AND(VLOOKUP(Z162,'BD LUB'!$A$2:$L$223,11,FALSE)="PRÓXIMO",VLOOKUP(Z162,'BD LUB'!$A$2:$L$223,12,FALSE)="PRÓXIMO"),4,IF(OR(AND(VLOOKUP(Z162,'BD LUB'!$A$2:$L$223,11,FALSE)="PRÓXIMO",VLOOKUP(Z162,'BD LUB'!$A$2:$L$223,12,FALSE)="VIGENTE"),AND(VLOOKUP(Z162,'BD LUB'!$A$2:$L$223,11,FALSE)="VIGENTE",VLOOKUP(Z162,'BD LUB'!$A$2:$L$223,12,FALSE)="PRÓXIMO")),5,IF(AND(VLOOKUP(Z162,'BD LUB'!$A$2:$L$223,11,FALSE)="VIGENTE",VLOOKUP(Z162,'BD LUB'!$A$2:$L$223,12,FALSE)="VIGENTE"),6,"No definido"))))))</f>
        <v>#N/A</v>
      </c>
      <c r="AC162" s="78"/>
      <c r="AD162" s="136" t="str">
        <f>IF(VLOOKUP(AC162,'BD LUB'!$A$2:$C$223,3,FALSE)=$AH$20,AC162&amp;" MED",IF(VLOOKUP(AC162,'BD LUB'!$A$2:$C$223,3,FALSE)=$AH$19,AC162&amp;" MAY",IF(VLOOKUP(AC162,'BD LUB'!$A$2:$C$223,3,FALSE)=$AH$18,AC162&amp;" RN",IF(VLOOKUP(AC162,'BD LUB'!$A$2:$C$223,3,FALSE)=$AH$17,AC162&amp;" COPQUI",IF(VLOOKUP(AC162,'BD LUB'!$A$2:$C$223,3,FALSE)=$AH$16,AC162&amp;" CEJ",IF(VLOOKUP(AC162,'BD LUB'!$A$2:$C$223,3,FALSE)=$AH$15,AC162&amp;" BULT",IF(VLOOKUP(AC162,'BD LUB'!$A$2:$C$223,3,FALSE)=$AH$14,AC162&amp;" COP",IF(VLOOKUP(AC162,'BD LUB'!$A$2:$C$223,3,FALSE)=$AH$13,AC162&amp;" RIO",IF(VLOOKUP(AC162,'BD LUB'!$A$2:$C$223,3,FALSE)=$AH$21,AC162&amp;" APART","Dato no encontrado")))))))))</f>
        <v>#N/A</v>
      </c>
      <c r="AE162" s="160"/>
      <c r="AF162" s="160"/>
      <c r="AG162" s="160"/>
      <c r="AH162" s="160"/>
      <c r="AI162" s="160"/>
      <c r="AJ162" s="160"/>
      <c r="AP162" s="160"/>
      <c r="AV162" s="160"/>
    </row>
    <row r="163">
      <c r="A163" s="158"/>
      <c r="B163" s="126">
        <v>160.0</v>
      </c>
      <c r="C163" s="78">
        <f>IFERROR(__xludf.DUMMYFUNCTION("""COMPUTED_VALUE"""),2882.0)</f>
        <v>2882</v>
      </c>
      <c r="D163" s="156">
        <f>IFERROR(__xludf.DUMMYFUNCTION("""COMPUTED_VALUE"""),46233.0)</f>
        <v>46233</v>
      </c>
      <c r="E163" s="78" t="str">
        <f>IFERROR(__xludf.DUMMYFUNCTION("""COMPUTED_VALUE"""),"38-La ceja")</f>
        <v>38-La ceja</v>
      </c>
      <c r="F163" s="156">
        <f>IFERROR(__xludf.DUMMYFUNCTION("""COMPUTED_VALUE"""),46139.0)</f>
        <v>46139</v>
      </c>
      <c r="G163" s="159">
        <f>IFERROR(__xludf.DUMMYFUNCTION("""COMPUTED_VALUE"""),103.0)</f>
        <v>103</v>
      </c>
      <c r="H163" s="78" t="str">
        <f>IFERROR(__xludf.DUMMYFUNCTION("""COMPUTED_VALUE"""),"VIGENTE")</f>
        <v>VIGENTE</v>
      </c>
      <c r="I163" s="132" t="str">
        <f t="shared" si="1"/>
        <v>-</v>
      </c>
      <c r="J163" s="158"/>
      <c r="K163" s="126">
        <v>160.0</v>
      </c>
      <c r="L163" s="78">
        <f>IFERROR(__xludf.DUMMYFUNCTION("""COMPUTED_VALUE"""),2463.0)</f>
        <v>2463</v>
      </c>
      <c r="M163" s="156">
        <f>IFERROR(__xludf.DUMMYFUNCTION("""COMPUTED_VALUE"""),46305.0)</f>
        <v>46305</v>
      </c>
      <c r="N163" s="78" t="str">
        <f>IFERROR(__xludf.DUMMYFUNCTION("""COMPUTED_VALUE"""),"02-Medellin")</f>
        <v>02-Medellin</v>
      </c>
      <c r="O163" s="156">
        <f>IFERROR(__xludf.DUMMYFUNCTION("""COMPUTED_VALUE"""),46128.0)</f>
        <v>46128</v>
      </c>
      <c r="P163" s="159">
        <f>IFERROR(__xludf.DUMMYFUNCTION("""COMPUTED_VALUE"""),6418.0)</f>
        <v>6418</v>
      </c>
      <c r="Q163" s="78" t="str">
        <f>IFERROR(__xludf.DUMMYFUNCTION("""COMPUTED_VALUE"""),"VIGENTE")</f>
        <v>VIGENTE</v>
      </c>
      <c r="R163" s="132" t="str">
        <f t="shared" si="2"/>
        <v>-</v>
      </c>
      <c r="T163" s="134" t="str">
        <f>CALENDARIO!D175</f>
        <v/>
      </c>
      <c r="U163" s="135" t="str">
        <f>CALENDARIO!C175</f>
        <v/>
      </c>
      <c r="W163" s="78"/>
      <c r="X163" s="136" t="str">
        <f>(VLOOKUP(W163,'BD LUB'!$A$2:$L$223,5,FALSE)/VLOOKUP(W163,'BD LUB'!$A$2:$L$223,7,FALSE))+(VLOOKUP(W163,'BD LUB'!$A$2:$L$223,6,FALSE)/VLOOKUP(W163,'BD LUB'!$A$2:$L$223,8,FALSE))</f>
        <v>#N/A</v>
      </c>
      <c r="Y163" s="137" t="str">
        <f>IF(AND(VLOOKUP(W163,'BD LUB'!$A$2:$L$223,11,FALSE)="PASADO",VLOOKUP(W163,'BD LUB'!$A$2:$L$223,12,FALSE)="PASADO"),1,IF(OR(AND(VLOOKUP(W163,'BD LUB'!$A$2:$L$223,11,FALSE)="PASADO",VLOOKUP(W163,'BD LUB'!$A$2:$L$223,12,FALSE)="PRÓXIMO"),AND(VLOOKUP(W163,'BD LUB'!$A$2:$L$223,11,FALSE)="PRÓXIMO",VLOOKUP(W163,'BD LUB'!$A$2:$L$223,12,FALSE)="PASADO")),2,IF(OR(AND(VLOOKUP(W163,'BD LUB'!$A$2:$L$223,11,FALSE)="PASADO",VLOOKUP(W163,'BD LUB'!$A$2:$L$223,12,FALSE)="VIGENTE"),AND(VLOOKUP(W163,'BD LUB'!$A$2:$L$223,11,FALSE)="VIGENTE",VLOOKUP(W163,'BD LUB'!$A$2:$L$223,12,FALSE)="PASADO")),3,IF(AND(VLOOKUP(W163,'BD LUB'!$A$2:$L$223,11,FALSE)="PRÓXIMO",VLOOKUP(W163,'BD LUB'!$A$2:$L$223,12,FALSE)="PRÓXIMO"),4,IF(OR(AND(VLOOKUP(W163,'BD LUB'!$A$2:$L$223,11,FALSE)="PRÓXIMO",VLOOKUP(W163,'BD LUB'!$A$2:$L$223,12,FALSE)="VIGENTE"),AND(VLOOKUP(W163,'BD LUB'!$A$2:$L$223,11,FALSE)="VIGENTE",VLOOKUP(W163,'BD LUB'!$A$2:$L$223,12,FALSE)="PRÓXIMO")),5,IF(AND(VLOOKUP(W163,'BD LUB'!$A$2:$L$223,11,FALSE)="VIGENTE",VLOOKUP(W163,'BD LUB'!$A$2:$L$223,12,FALSE)="VIGENTE"),6,"No definido"))))))</f>
        <v>#N/A</v>
      </c>
      <c r="Z163" s="138"/>
      <c r="AA163" s="139" t="str">
        <f>(VLOOKUP(Z163,'BD LUB'!$A$2:$L$223,5,FALSE)/VLOOKUP(Z163,'BD LUB'!$A$2:$L$223,7,FALSE))+(VLOOKUP(Z163,'BD LUB'!$A$2:$L$223,6,FALSE)/VLOOKUP(Z163,'BD LUB'!$A$2:$L$223,8,FALSE))</f>
        <v>#N/A</v>
      </c>
      <c r="AB163" s="78" t="str">
        <f>IF(AND(VLOOKUP(Z163,'BD LUB'!$A$2:$L$223,11,FALSE)="PASADO",VLOOKUP(Z163,'BD LUB'!$A$2:$L$223,12,FALSE)="PASADO"),1,IF(OR(AND(VLOOKUP(Z163,'BD LUB'!$A$2:$L$223,11,FALSE)="PASADO",VLOOKUP(Z163,'BD LUB'!$A$2:$L$223,12,FALSE)="PRÓXIMO"),AND(VLOOKUP(Z163,'BD LUB'!$A$2:$L$223,11,FALSE)="PRÓXIMO",VLOOKUP(Z163,'BD LUB'!$A$2:$L$223,12,FALSE)="PASADO")),2,IF(OR(AND(VLOOKUP(Z163,'BD LUB'!$A$2:$L$223,11,FALSE)="PASADO",VLOOKUP(Z163,'BD LUB'!$A$2:$L$223,12,FALSE)="VIGENTE"),AND(VLOOKUP(Z163,'BD LUB'!$A$2:$L$223,11,FALSE)="VIGENTE",VLOOKUP(Z163,'BD LUB'!$A$2:$L$223,12,FALSE)="PASADO")),3,IF(AND(VLOOKUP(Z163,'BD LUB'!$A$2:$L$223,11,FALSE)="PRÓXIMO",VLOOKUP(Z163,'BD LUB'!$A$2:$L$223,12,FALSE)="PRÓXIMO"),4,IF(OR(AND(VLOOKUP(Z163,'BD LUB'!$A$2:$L$223,11,FALSE)="PRÓXIMO",VLOOKUP(Z163,'BD LUB'!$A$2:$L$223,12,FALSE)="VIGENTE"),AND(VLOOKUP(Z163,'BD LUB'!$A$2:$L$223,11,FALSE)="VIGENTE",VLOOKUP(Z163,'BD LUB'!$A$2:$L$223,12,FALSE)="PRÓXIMO")),5,IF(AND(VLOOKUP(Z163,'BD LUB'!$A$2:$L$223,11,FALSE)="VIGENTE",VLOOKUP(Z163,'BD LUB'!$A$2:$L$223,12,FALSE)="VIGENTE"),6,"No definido"))))))</f>
        <v>#N/A</v>
      </c>
      <c r="AC163" s="78"/>
      <c r="AD163" s="136" t="str">
        <f>IF(VLOOKUP(AC163,'BD LUB'!$A$2:$C$223,3,FALSE)=$AH$20,AC163&amp;" MED",IF(VLOOKUP(AC163,'BD LUB'!$A$2:$C$223,3,FALSE)=$AH$19,AC163&amp;" MAY",IF(VLOOKUP(AC163,'BD LUB'!$A$2:$C$223,3,FALSE)=$AH$18,AC163&amp;" RN",IF(VLOOKUP(AC163,'BD LUB'!$A$2:$C$223,3,FALSE)=$AH$17,AC163&amp;" COPQUI",IF(VLOOKUP(AC163,'BD LUB'!$A$2:$C$223,3,FALSE)=$AH$16,AC163&amp;" CEJ",IF(VLOOKUP(AC163,'BD LUB'!$A$2:$C$223,3,FALSE)=$AH$15,AC163&amp;" BULT",IF(VLOOKUP(AC163,'BD LUB'!$A$2:$C$223,3,FALSE)=$AH$14,AC163&amp;" COP",IF(VLOOKUP(AC163,'BD LUB'!$A$2:$C$223,3,FALSE)=$AH$13,AC163&amp;" RIO",IF(VLOOKUP(AC163,'BD LUB'!$A$2:$C$223,3,FALSE)=$AH$21,AC163&amp;" APART","Dato no encontrado")))))))))</f>
        <v>#N/A</v>
      </c>
      <c r="AE163" s="160"/>
      <c r="AF163" s="160"/>
      <c r="AG163" s="160"/>
      <c r="AH163" s="160"/>
      <c r="AI163" s="160"/>
      <c r="AJ163" s="160"/>
      <c r="AP163" s="160"/>
      <c r="AV163" s="160"/>
    </row>
    <row r="164">
      <c r="A164" s="158"/>
      <c r="B164" s="126">
        <v>161.0</v>
      </c>
      <c r="C164" s="78">
        <f>IFERROR(__xludf.DUMMYFUNCTION("""COMPUTED_VALUE"""),2862.0)</f>
        <v>2862</v>
      </c>
      <c r="D164" s="156">
        <f>IFERROR(__xludf.DUMMYFUNCTION("""COMPUTED_VALUE"""),46221.0)</f>
        <v>46221</v>
      </c>
      <c r="E164" s="78" t="str">
        <f>IFERROR(__xludf.DUMMYFUNCTION("""COMPUTED_VALUE"""),"02-Medellin")</f>
        <v>02-Medellin</v>
      </c>
      <c r="F164" s="156">
        <f>IFERROR(__xludf.DUMMYFUNCTION("""COMPUTED_VALUE"""),46139.0)</f>
        <v>46139</v>
      </c>
      <c r="G164" s="159">
        <f>IFERROR(__xludf.DUMMYFUNCTION("""COMPUTED_VALUE"""),103.0)</f>
        <v>103</v>
      </c>
      <c r="H164" s="78" t="str">
        <f>IFERROR(__xludf.DUMMYFUNCTION("""COMPUTED_VALUE"""),"VIGENTE")</f>
        <v>VIGENTE</v>
      </c>
      <c r="I164" s="132" t="str">
        <f t="shared" si="1"/>
        <v>-</v>
      </c>
      <c r="J164" s="158"/>
      <c r="K164" s="126">
        <v>161.0</v>
      </c>
      <c r="L164" s="78">
        <f>IFERROR(__xludf.DUMMYFUNCTION("""COMPUTED_VALUE"""),2196.0)</f>
        <v>2196</v>
      </c>
      <c r="M164" s="156">
        <f>IFERROR(__xludf.DUMMYFUNCTION("""COMPUTED_VALUE"""),46542.0)</f>
        <v>46542</v>
      </c>
      <c r="N164" s="78" t="str">
        <f>IFERROR(__xludf.DUMMYFUNCTION("""COMPUTED_VALUE"""),"02-Medellin")</f>
        <v>02-Medellin</v>
      </c>
      <c r="O164" s="156">
        <f>IFERROR(__xludf.DUMMYFUNCTION("""COMPUTED_VALUE"""),46102.0)</f>
        <v>46102</v>
      </c>
      <c r="P164" s="159">
        <f>IFERROR(__xludf.DUMMYFUNCTION("""COMPUTED_VALUE"""),6469.6)</f>
        <v>6469.6</v>
      </c>
      <c r="Q164" s="78" t="str">
        <f>IFERROR(__xludf.DUMMYFUNCTION("""COMPUTED_VALUE"""),"VIGENTE")</f>
        <v>VIGENTE</v>
      </c>
      <c r="R164" s="132" t="str">
        <f t="shared" si="2"/>
        <v>-</v>
      </c>
      <c r="T164" s="134" t="str">
        <f>CALENDARIO!D176</f>
        <v/>
      </c>
      <c r="U164" s="135" t="str">
        <f>CALENDARIO!C176</f>
        <v/>
      </c>
      <c r="W164" s="78"/>
      <c r="X164" s="136" t="str">
        <f>(VLOOKUP(W164,'BD LUB'!$A$2:$L$223,5,FALSE)/VLOOKUP(W164,'BD LUB'!$A$2:$L$223,7,FALSE))+(VLOOKUP(W164,'BD LUB'!$A$2:$L$223,6,FALSE)/VLOOKUP(W164,'BD LUB'!$A$2:$L$223,8,FALSE))</f>
        <v>#N/A</v>
      </c>
      <c r="Y164" s="137" t="str">
        <f>IF(AND(VLOOKUP(W164,'BD LUB'!$A$2:$L$223,11,FALSE)="PASADO",VLOOKUP(W164,'BD LUB'!$A$2:$L$223,12,FALSE)="PASADO"),1,IF(OR(AND(VLOOKUP(W164,'BD LUB'!$A$2:$L$223,11,FALSE)="PASADO",VLOOKUP(W164,'BD LUB'!$A$2:$L$223,12,FALSE)="PRÓXIMO"),AND(VLOOKUP(W164,'BD LUB'!$A$2:$L$223,11,FALSE)="PRÓXIMO",VLOOKUP(W164,'BD LUB'!$A$2:$L$223,12,FALSE)="PASADO")),2,IF(OR(AND(VLOOKUP(W164,'BD LUB'!$A$2:$L$223,11,FALSE)="PASADO",VLOOKUP(W164,'BD LUB'!$A$2:$L$223,12,FALSE)="VIGENTE"),AND(VLOOKUP(W164,'BD LUB'!$A$2:$L$223,11,FALSE)="VIGENTE",VLOOKUP(W164,'BD LUB'!$A$2:$L$223,12,FALSE)="PASADO")),3,IF(AND(VLOOKUP(W164,'BD LUB'!$A$2:$L$223,11,FALSE)="PRÓXIMO",VLOOKUP(W164,'BD LUB'!$A$2:$L$223,12,FALSE)="PRÓXIMO"),4,IF(OR(AND(VLOOKUP(W164,'BD LUB'!$A$2:$L$223,11,FALSE)="PRÓXIMO",VLOOKUP(W164,'BD LUB'!$A$2:$L$223,12,FALSE)="VIGENTE"),AND(VLOOKUP(W164,'BD LUB'!$A$2:$L$223,11,FALSE)="VIGENTE",VLOOKUP(W164,'BD LUB'!$A$2:$L$223,12,FALSE)="PRÓXIMO")),5,IF(AND(VLOOKUP(W164,'BD LUB'!$A$2:$L$223,11,FALSE)="VIGENTE",VLOOKUP(W164,'BD LUB'!$A$2:$L$223,12,FALSE)="VIGENTE"),6,"No definido"))))))</f>
        <v>#N/A</v>
      </c>
      <c r="Z164" s="138"/>
      <c r="AA164" s="139" t="str">
        <f>(VLOOKUP(Z164,'BD LUB'!$A$2:$L$223,5,FALSE)/VLOOKUP(Z164,'BD LUB'!$A$2:$L$223,7,FALSE))+(VLOOKUP(Z164,'BD LUB'!$A$2:$L$223,6,FALSE)/VLOOKUP(Z164,'BD LUB'!$A$2:$L$223,8,FALSE))</f>
        <v>#N/A</v>
      </c>
      <c r="AB164" s="78" t="str">
        <f>IF(AND(VLOOKUP(Z164,'BD LUB'!$A$2:$L$223,11,FALSE)="PASADO",VLOOKUP(Z164,'BD LUB'!$A$2:$L$223,12,FALSE)="PASADO"),1,IF(OR(AND(VLOOKUP(Z164,'BD LUB'!$A$2:$L$223,11,FALSE)="PASADO",VLOOKUP(Z164,'BD LUB'!$A$2:$L$223,12,FALSE)="PRÓXIMO"),AND(VLOOKUP(Z164,'BD LUB'!$A$2:$L$223,11,FALSE)="PRÓXIMO",VLOOKUP(Z164,'BD LUB'!$A$2:$L$223,12,FALSE)="PASADO")),2,IF(OR(AND(VLOOKUP(Z164,'BD LUB'!$A$2:$L$223,11,FALSE)="PASADO",VLOOKUP(Z164,'BD LUB'!$A$2:$L$223,12,FALSE)="VIGENTE"),AND(VLOOKUP(Z164,'BD LUB'!$A$2:$L$223,11,FALSE)="VIGENTE",VLOOKUP(Z164,'BD LUB'!$A$2:$L$223,12,FALSE)="PASADO")),3,IF(AND(VLOOKUP(Z164,'BD LUB'!$A$2:$L$223,11,FALSE)="PRÓXIMO",VLOOKUP(Z164,'BD LUB'!$A$2:$L$223,12,FALSE)="PRÓXIMO"),4,IF(OR(AND(VLOOKUP(Z164,'BD LUB'!$A$2:$L$223,11,FALSE)="PRÓXIMO",VLOOKUP(Z164,'BD LUB'!$A$2:$L$223,12,FALSE)="VIGENTE"),AND(VLOOKUP(Z164,'BD LUB'!$A$2:$L$223,11,FALSE)="VIGENTE",VLOOKUP(Z164,'BD LUB'!$A$2:$L$223,12,FALSE)="PRÓXIMO")),5,IF(AND(VLOOKUP(Z164,'BD LUB'!$A$2:$L$223,11,FALSE)="VIGENTE",VLOOKUP(Z164,'BD LUB'!$A$2:$L$223,12,FALSE)="VIGENTE"),6,"No definido"))))))</f>
        <v>#N/A</v>
      </c>
      <c r="AC164" s="78"/>
      <c r="AD164" s="136" t="str">
        <f>IF(VLOOKUP(AC164,'BD LUB'!$A$2:$C$223,3,FALSE)=$AH$20,AC164&amp;" MED",IF(VLOOKUP(AC164,'BD LUB'!$A$2:$C$223,3,FALSE)=$AH$19,AC164&amp;" MAY",IF(VLOOKUP(AC164,'BD LUB'!$A$2:$C$223,3,FALSE)=$AH$18,AC164&amp;" RN",IF(VLOOKUP(AC164,'BD LUB'!$A$2:$C$223,3,FALSE)=$AH$17,AC164&amp;" COPQUI",IF(VLOOKUP(AC164,'BD LUB'!$A$2:$C$223,3,FALSE)=$AH$16,AC164&amp;" CEJ",IF(VLOOKUP(AC164,'BD LUB'!$A$2:$C$223,3,FALSE)=$AH$15,AC164&amp;" BULT",IF(VLOOKUP(AC164,'BD LUB'!$A$2:$C$223,3,FALSE)=$AH$14,AC164&amp;" COP",IF(VLOOKUP(AC164,'BD LUB'!$A$2:$C$223,3,FALSE)=$AH$13,AC164&amp;" RIO",IF(VLOOKUP(AC164,'BD LUB'!$A$2:$C$223,3,FALSE)=$AH$21,AC164&amp;" APART","Dato no encontrado")))))))))</f>
        <v>#N/A</v>
      </c>
      <c r="AE164" s="160"/>
      <c r="AF164" s="160"/>
      <c r="AG164" s="160"/>
      <c r="AH164" s="160"/>
      <c r="AI164" s="160"/>
      <c r="AJ164" s="160"/>
      <c r="AP164" s="160"/>
      <c r="AV164" s="160"/>
    </row>
    <row r="165">
      <c r="A165" s="158"/>
      <c r="B165" s="126">
        <v>162.0</v>
      </c>
      <c r="C165" s="78">
        <f>IFERROR(__xludf.DUMMYFUNCTION("""COMPUTED_VALUE"""),2858.0)</f>
        <v>2858</v>
      </c>
      <c r="D165" s="156">
        <f>IFERROR(__xludf.DUMMYFUNCTION("""COMPUTED_VALUE"""),46215.0)</f>
        <v>46215</v>
      </c>
      <c r="E165" s="78" t="str">
        <f>IFERROR(__xludf.DUMMYFUNCTION("""COMPUTED_VALUE"""),"MAYORCA")</f>
        <v>MAYORCA</v>
      </c>
      <c r="F165" s="156">
        <f>IFERROR(__xludf.DUMMYFUNCTION("""COMPUTED_VALUE"""),46139.0)</f>
        <v>46139</v>
      </c>
      <c r="G165" s="159">
        <f>IFERROR(__xludf.DUMMYFUNCTION("""COMPUTED_VALUE"""),103.0)</f>
        <v>103</v>
      </c>
      <c r="H165" s="78" t="str">
        <f>IFERROR(__xludf.DUMMYFUNCTION("""COMPUTED_VALUE"""),"VIGENTE")</f>
        <v>VIGENTE</v>
      </c>
      <c r="I165" s="132" t="str">
        <f t="shared" si="1"/>
        <v>-</v>
      </c>
      <c r="J165" s="158"/>
      <c r="K165" s="126">
        <v>162.0</v>
      </c>
      <c r="L165" s="78">
        <f>IFERROR(__xludf.DUMMYFUNCTION("""COMPUTED_VALUE"""),2202.0)</f>
        <v>2202</v>
      </c>
      <c r="M165" s="156">
        <f>IFERROR(__xludf.DUMMYFUNCTION("""COMPUTED_VALUE"""),46527.0)</f>
        <v>46527</v>
      </c>
      <c r="N165" s="78" t="str">
        <f>IFERROR(__xludf.DUMMYFUNCTION("""COMPUTED_VALUE"""),"02-Medellin")</f>
        <v>02-Medellin</v>
      </c>
      <c r="O165" s="156">
        <f>IFERROR(__xludf.DUMMYFUNCTION("""COMPUTED_VALUE"""),46061.0)</f>
        <v>46061</v>
      </c>
      <c r="P165" s="159">
        <f>IFERROR(__xludf.DUMMYFUNCTION("""COMPUTED_VALUE"""),6491.0)</f>
        <v>6491</v>
      </c>
      <c r="Q165" s="78" t="str">
        <f>IFERROR(__xludf.DUMMYFUNCTION("""COMPUTED_VALUE"""),"VIGENTE")</f>
        <v>VIGENTE</v>
      </c>
      <c r="R165" s="132" t="str">
        <f t="shared" si="2"/>
        <v>-</v>
      </c>
      <c r="T165" s="134" t="str">
        <f>CALENDARIO!D177</f>
        <v/>
      </c>
      <c r="U165" s="135" t="str">
        <f>CALENDARIO!C177</f>
        <v/>
      </c>
      <c r="W165" s="78"/>
      <c r="X165" s="136" t="str">
        <f>(VLOOKUP(W165,'BD LUB'!$A$2:$L$223,5,FALSE)/VLOOKUP(W165,'BD LUB'!$A$2:$L$223,7,FALSE))+(VLOOKUP(W165,'BD LUB'!$A$2:$L$223,6,FALSE)/VLOOKUP(W165,'BD LUB'!$A$2:$L$223,8,FALSE))</f>
        <v>#N/A</v>
      </c>
      <c r="Y165" s="137" t="str">
        <f>IF(AND(VLOOKUP(W165,'BD LUB'!$A$2:$L$223,11,FALSE)="PASADO",VLOOKUP(W165,'BD LUB'!$A$2:$L$223,12,FALSE)="PASADO"),1,IF(OR(AND(VLOOKUP(W165,'BD LUB'!$A$2:$L$223,11,FALSE)="PASADO",VLOOKUP(W165,'BD LUB'!$A$2:$L$223,12,FALSE)="PRÓXIMO"),AND(VLOOKUP(W165,'BD LUB'!$A$2:$L$223,11,FALSE)="PRÓXIMO",VLOOKUP(W165,'BD LUB'!$A$2:$L$223,12,FALSE)="PASADO")),2,IF(OR(AND(VLOOKUP(W165,'BD LUB'!$A$2:$L$223,11,FALSE)="PASADO",VLOOKUP(W165,'BD LUB'!$A$2:$L$223,12,FALSE)="VIGENTE"),AND(VLOOKUP(W165,'BD LUB'!$A$2:$L$223,11,FALSE)="VIGENTE",VLOOKUP(W165,'BD LUB'!$A$2:$L$223,12,FALSE)="PASADO")),3,IF(AND(VLOOKUP(W165,'BD LUB'!$A$2:$L$223,11,FALSE)="PRÓXIMO",VLOOKUP(W165,'BD LUB'!$A$2:$L$223,12,FALSE)="PRÓXIMO"),4,IF(OR(AND(VLOOKUP(W165,'BD LUB'!$A$2:$L$223,11,FALSE)="PRÓXIMO",VLOOKUP(W165,'BD LUB'!$A$2:$L$223,12,FALSE)="VIGENTE"),AND(VLOOKUP(W165,'BD LUB'!$A$2:$L$223,11,FALSE)="VIGENTE",VLOOKUP(W165,'BD LUB'!$A$2:$L$223,12,FALSE)="PRÓXIMO")),5,IF(AND(VLOOKUP(W165,'BD LUB'!$A$2:$L$223,11,FALSE)="VIGENTE",VLOOKUP(W165,'BD LUB'!$A$2:$L$223,12,FALSE)="VIGENTE"),6,"No definido"))))))</f>
        <v>#N/A</v>
      </c>
      <c r="Z165" s="138"/>
      <c r="AA165" s="139" t="str">
        <f>(VLOOKUP(Z165,'BD LUB'!$A$2:$L$223,5,FALSE)/VLOOKUP(Z165,'BD LUB'!$A$2:$L$223,7,FALSE))+(VLOOKUP(Z165,'BD LUB'!$A$2:$L$223,6,FALSE)/VLOOKUP(Z165,'BD LUB'!$A$2:$L$223,8,FALSE))</f>
        <v>#N/A</v>
      </c>
      <c r="AB165" s="78" t="str">
        <f>IF(AND(VLOOKUP(Z165,'BD LUB'!$A$2:$L$223,11,FALSE)="PASADO",VLOOKUP(Z165,'BD LUB'!$A$2:$L$223,12,FALSE)="PASADO"),1,IF(OR(AND(VLOOKUP(Z165,'BD LUB'!$A$2:$L$223,11,FALSE)="PASADO",VLOOKUP(Z165,'BD LUB'!$A$2:$L$223,12,FALSE)="PRÓXIMO"),AND(VLOOKUP(Z165,'BD LUB'!$A$2:$L$223,11,FALSE)="PRÓXIMO",VLOOKUP(Z165,'BD LUB'!$A$2:$L$223,12,FALSE)="PASADO")),2,IF(OR(AND(VLOOKUP(Z165,'BD LUB'!$A$2:$L$223,11,FALSE)="PASADO",VLOOKUP(Z165,'BD LUB'!$A$2:$L$223,12,FALSE)="VIGENTE"),AND(VLOOKUP(Z165,'BD LUB'!$A$2:$L$223,11,FALSE)="VIGENTE",VLOOKUP(Z165,'BD LUB'!$A$2:$L$223,12,FALSE)="PASADO")),3,IF(AND(VLOOKUP(Z165,'BD LUB'!$A$2:$L$223,11,FALSE)="PRÓXIMO",VLOOKUP(Z165,'BD LUB'!$A$2:$L$223,12,FALSE)="PRÓXIMO"),4,IF(OR(AND(VLOOKUP(Z165,'BD LUB'!$A$2:$L$223,11,FALSE)="PRÓXIMO",VLOOKUP(Z165,'BD LUB'!$A$2:$L$223,12,FALSE)="VIGENTE"),AND(VLOOKUP(Z165,'BD LUB'!$A$2:$L$223,11,FALSE)="VIGENTE",VLOOKUP(Z165,'BD LUB'!$A$2:$L$223,12,FALSE)="PRÓXIMO")),5,IF(AND(VLOOKUP(Z165,'BD LUB'!$A$2:$L$223,11,FALSE)="VIGENTE",VLOOKUP(Z165,'BD LUB'!$A$2:$L$223,12,FALSE)="VIGENTE"),6,"No definido"))))))</f>
        <v>#N/A</v>
      </c>
      <c r="AC165" s="78"/>
      <c r="AD165" s="136" t="str">
        <f>IF(VLOOKUP(AC165,'BD LUB'!$A$2:$C$223,3,FALSE)=$AH$20,AC165&amp;" MED",IF(VLOOKUP(AC165,'BD LUB'!$A$2:$C$223,3,FALSE)=$AH$19,AC165&amp;" MAY",IF(VLOOKUP(AC165,'BD LUB'!$A$2:$C$223,3,FALSE)=$AH$18,AC165&amp;" RN",IF(VLOOKUP(AC165,'BD LUB'!$A$2:$C$223,3,FALSE)=$AH$17,AC165&amp;" COPQUI",IF(VLOOKUP(AC165,'BD LUB'!$A$2:$C$223,3,FALSE)=$AH$16,AC165&amp;" CEJ",IF(VLOOKUP(AC165,'BD LUB'!$A$2:$C$223,3,FALSE)=$AH$15,AC165&amp;" BULT",IF(VLOOKUP(AC165,'BD LUB'!$A$2:$C$223,3,FALSE)=$AH$14,AC165&amp;" COP",IF(VLOOKUP(AC165,'BD LUB'!$A$2:$C$223,3,FALSE)=$AH$13,AC165&amp;" RIO",IF(VLOOKUP(AC165,'BD LUB'!$A$2:$C$223,3,FALSE)=$AH$21,AC165&amp;" APART","Dato no encontrado")))))))))</f>
        <v>#N/A</v>
      </c>
      <c r="AE165" s="160"/>
      <c r="AF165" s="160"/>
      <c r="AG165" s="160"/>
      <c r="AH165" s="160"/>
      <c r="AI165" s="160"/>
      <c r="AJ165" s="160"/>
      <c r="AP165" s="160"/>
      <c r="AV165" s="160"/>
    </row>
    <row r="166">
      <c r="A166" s="158"/>
      <c r="B166" s="126">
        <v>163.0</v>
      </c>
      <c r="C166" s="78">
        <f>IFERROR(__xludf.DUMMYFUNCTION("""COMPUTED_VALUE"""),2842.0)</f>
        <v>2842</v>
      </c>
      <c r="D166" s="156">
        <f>IFERROR(__xludf.DUMMYFUNCTION("""COMPUTED_VALUE"""),46562.0)</f>
        <v>46562</v>
      </c>
      <c r="E166" s="78" t="str">
        <f>IFERROR(__xludf.DUMMYFUNCTION("""COMPUTED_VALUE"""),"24-Rionegro")</f>
        <v>24-Rionegro</v>
      </c>
      <c r="F166" s="156">
        <f>IFERROR(__xludf.DUMMYFUNCTION("""COMPUTED_VALUE"""),46139.0)</f>
        <v>46139</v>
      </c>
      <c r="G166" s="159">
        <f>IFERROR(__xludf.DUMMYFUNCTION("""COMPUTED_VALUE"""),103.0)</f>
        <v>103</v>
      </c>
      <c r="H166" s="78" t="str">
        <f>IFERROR(__xludf.DUMMYFUNCTION("""COMPUTED_VALUE"""),"VIGENTE")</f>
        <v>VIGENTE</v>
      </c>
      <c r="I166" s="132" t="str">
        <f t="shared" si="1"/>
        <v>-</v>
      </c>
      <c r="J166" s="158"/>
      <c r="K166" s="126">
        <v>163.0</v>
      </c>
      <c r="L166" s="78">
        <f>IFERROR(__xludf.DUMMYFUNCTION("""COMPUTED_VALUE"""),2454.0)</f>
        <v>2454</v>
      </c>
      <c r="M166" s="156">
        <f>IFERROR(__xludf.DUMMYFUNCTION("""COMPUTED_VALUE"""),46291.0)</f>
        <v>46291</v>
      </c>
      <c r="N166" s="78" t="str">
        <f>IFERROR(__xludf.DUMMYFUNCTION("""COMPUTED_VALUE"""),"02-Medellin")</f>
        <v>02-Medellin</v>
      </c>
      <c r="O166" s="156">
        <f>IFERROR(__xludf.DUMMYFUNCTION("""COMPUTED_VALUE"""),46121.0)</f>
        <v>46121</v>
      </c>
      <c r="P166" s="159">
        <f>IFERROR(__xludf.DUMMYFUNCTION("""COMPUTED_VALUE"""),6498.0)</f>
        <v>6498</v>
      </c>
      <c r="Q166" s="78" t="str">
        <f>IFERROR(__xludf.DUMMYFUNCTION("""COMPUTED_VALUE"""),"VIGENTE")</f>
        <v>VIGENTE</v>
      </c>
      <c r="R166" s="132" t="str">
        <f t="shared" si="2"/>
        <v>-</v>
      </c>
      <c r="T166" s="134" t="str">
        <f>CALENDARIO!D178</f>
        <v/>
      </c>
      <c r="U166" s="135" t="str">
        <f>CALENDARIO!C178</f>
        <v/>
      </c>
      <c r="W166" s="78"/>
      <c r="X166" s="136" t="str">
        <f>(VLOOKUP(W166,'BD LUB'!$A$2:$L$223,5,FALSE)/VLOOKUP(W166,'BD LUB'!$A$2:$L$223,7,FALSE))+(VLOOKUP(W166,'BD LUB'!$A$2:$L$223,6,FALSE)/VLOOKUP(W166,'BD LUB'!$A$2:$L$223,8,FALSE))</f>
        <v>#N/A</v>
      </c>
      <c r="Y166" s="137" t="str">
        <f>IF(AND(VLOOKUP(W166,'BD LUB'!$A$2:$L$223,11,FALSE)="PASADO",VLOOKUP(W166,'BD LUB'!$A$2:$L$223,12,FALSE)="PASADO"),1,IF(OR(AND(VLOOKUP(W166,'BD LUB'!$A$2:$L$223,11,FALSE)="PASADO",VLOOKUP(W166,'BD LUB'!$A$2:$L$223,12,FALSE)="PRÓXIMO"),AND(VLOOKUP(W166,'BD LUB'!$A$2:$L$223,11,FALSE)="PRÓXIMO",VLOOKUP(W166,'BD LUB'!$A$2:$L$223,12,FALSE)="PASADO")),2,IF(OR(AND(VLOOKUP(W166,'BD LUB'!$A$2:$L$223,11,FALSE)="PASADO",VLOOKUP(W166,'BD LUB'!$A$2:$L$223,12,FALSE)="VIGENTE"),AND(VLOOKUP(W166,'BD LUB'!$A$2:$L$223,11,FALSE)="VIGENTE",VLOOKUP(W166,'BD LUB'!$A$2:$L$223,12,FALSE)="PASADO")),3,IF(AND(VLOOKUP(W166,'BD LUB'!$A$2:$L$223,11,FALSE)="PRÓXIMO",VLOOKUP(W166,'BD LUB'!$A$2:$L$223,12,FALSE)="PRÓXIMO"),4,IF(OR(AND(VLOOKUP(W166,'BD LUB'!$A$2:$L$223,11,FALSE)="PRÓXIMO",VLOOKUP(W166,'BD LUB'!$A$2:$L$223,12,FALSE)="VIGENTE"),AND(VLOOKUP(W166,'BD LUB'!$A$2:$L$223,11,FALSE)="VIGENTE",VLOOKUP(W166,'BD LUB'!$A$2:$L$223,12,FALSE)="PRÓXIMO")),5,IF(AND(VLOOKUP(W166,'BD LUB'!$A$2:$L$223,11,FALSE)="VIGENTE",VLOOKUP(W166,'BD LUB'!$A$2:$L$223,12,FALSE)="VIGENTE"),6,"No definido"))))))</f>
        <v>#N/A</v>
      </c>
      <c r="Z166" s="138"/>
      <c r="AA166" s="139" t="str">
        <f>(VLOOKUP(Z166,'BD LUB'!$A$2:$L$223,5,FALSE)/VLOOKUP(Z166,'BD LUB'!$A$2:$L$223,7,FALSE))+(VLOOKUP(Z166,'BD LUB'!$A$2:$L$223,6,FALSE)/VLOOKUP(Z166,'BD LUB'!$A$2:$L$223,8,FALSE))</f>
        <v>#N/A</v>
      </c>
      <c r="AB166" s="78" t="str">
        <f>IF(AND(VLOOKUP(Z166,'BD LUB'!$A$2:$L$223,11,FALSE)="PASADO",VLOOKUP(Z166,'BD LUB'!$A$2:$L$223,12,FALSE)="PASADO"),1,IF(OR(AND(VLOOKUP(Z166,'BD LUB'!$A$2:$L$223,11,FALSE)="PASADO",VLOOKUP(Z166,'BD LUB'!$A$2:$L$223,12,FALSE)="PRÓXIMO"),AND(VLOOKUP(Z166,'BD LUB'!$A$2:$L$223,11,FALSE)="PRÓXIMO",VLOOKUP(Z166,'BD LUB'!$A$2:$L$223,12,FALSE)="PASADO")),2,IF(OR(AND(VLOOKUP(Z166,'BD LUB'!$A$2:$L$223,11,FALSE)="PASADO",VLOOKUP(Z166,'BD LUB'!$A$2:$L$223,12,FALSE)="VIGENTE"),AND(VLOOKUP(Z166,'BD LUB'!$A$2:$L$223,11,FALSE)="VIGENTE",VLOOKUP(Z166,'BD LUB'!$A$2:$L$223,12,FALSE)="PASADO")),3,IF(AND(VLOOKUP(Z166,'BD LUB'!$A$2:$L$223,11,FALSE)="PRÓXIMO",VLOOKUP(Z166,'BD LUB'!$A$2:$L$223,12,FALSE)="PRÓXIMO"),4,IF(OR(AND(VLOOKUP(Z166,'BD LUB'!$A$2:$L$223,11,FALSE)="PRÓXIMO",VLOOKUP(Z166,'BD LUB'!$A$2:$L$223,12,FALSE)="VIGENTE"),AND(VLOOKUP(Z166,'BD LUB'!$A$2:$L$223,11,FALSE)="VIGENTE",VLOOKUP(Z166,'BD LUB'!$A$2:$L$223,12,FALSE)="PRÓXIMO")),5,IF(AND(VLOOKUP(Z166,'BD LUB'!$A$2:$L$223,11,FALSE)="VIGENTE",VLOOKUP(Z166,'BD LUB'!$A$2:$L$223,12,FALSE)="VIGENTE"),6,"No definido"))))))</f>
        <v>#N/A</v>
      </c>
      <c r="AC166" s="78"/>
      <c r="AD166" s="136" t="str">
        <f>IF(VLOOKUP(AC166,'BD LUB'!$A$2:$C$223,3,FALSE)=$AH$20,AC166&amp;" MED",IF(VLOOKUP(AC166,'BD LUB'!$A$2:$C$223,3,FALSE)=$AH$19,AC166&amp;" MAY",IF(VLOOKUP(AC166,'BD LUB'!$A$2:$C$223,3,FALSE)=$AH$18,AC166&amp;" RN",IF(VLOOKUP(AC166,'BD LUB'!$A$2:$C$223,3,FALSE)=$AH$17,AC166&amp;" COPQUI",IF(VLOOKUP(AC166,'BD LUB'!$A$2:$C$223,3,FALSE)=$AH$16,AC166&amp;" CEJ",IF(VLOOKUP(AC166,'BD LUB'!$A$2:$C$223,3,FALSE)=$AH$15,AC166&amp;" BULT",IF(VLOOKUP(AC166,'BD LUB'!$A$2:$C$223,3,FALSE)=$AH$14,AC166&amp;" COP",IF(VLOOKUP(AC166,'BD LUB'!$A$2:$C$223,3,FALSE)=$AH$13,AC166&amp;" RIO",IF(VLOOKUP(AC166,'BD LUB'!$A$2:$C$223,3,FALSE)=$AH$21,AC166&amp;" APART","Dato no encontrado")))))))))</f>
        <v>#N/A</v>
      </c>
      <c r="AE166" s="160"/>
      <c r="AF166" s="160"/>
      <c r="AG166" s="160"/>
      <c r="AH166" s="160"/>
      <c r="AI166" s="160"/>
      <c r="AJ166" s="160"/>
      <c r="AP166" s="160"/>
      <c r="AV166" s="160"/>
    </row>
    <row r="167">
      <c r="A167" s="158"/>
      <c r="B167" s="126">
        <v>164.0</v>
      </c>
      <c r="C167" s="78">
        <f>IFERROR(__xludf.DUMMYFUNCTION("""COMPUTED_VALUE"""),2419.0)</f>
        <v>2419</v>
      </c>
      <c r="D167" s="156">
        <f>IFERROR(__xludf.DUMMYFUNCTION("""COMPUTED_VALUE"""),46528.0)</f>
        <v>46528</v>
      </c>
      <c r="E167" s="78" t="str">
        <f>IFERROR(__xludf.DUMMYFUNCTION("""COMPUTED_VALUE"""),"02-Medellin")</f>
        <v>02-Medellin</v>
      </c>
      <c r="F167" s="156">
        <f>IFERROR(__xludf.DUMMYFUNCTION("""COMPUTED_VALUE"""),46139.0)</f>
        <v>46139</v>
      </c>
      <c r="G167" s="159">
        <f>IFERROR(__xludf.DUMMYFUNCTION("""COMPUTED_VALUE"""),103.0)</f>
        <v>103</v>
      </c>
      <c r="H167" s="78" t="str">
        <f>IFERROR(__xludf.DUMMYFUNCTION("""COMPUTED_VALUE"""),"VIGENTE")</f>
        <v>VIGENTE</v>
      </c>
      <c r="I167" s="132" t="str">
        <f t="shared" si="1"/>
        <v>-</v>
      </c>
      <c r="J167" s="158"/>
      <c r="K167" s="126">
        <v>164.0</v>
      </c>
      <c r="L167" s="78">
        <f>IFERROR(__xludf.DUMMYFUNCTION("""COMPUTED_VALUE"""),2657.0)</f>
        <v>2657</v>
      </c>
      <c r="M167" s="156">
        <f>IFERROR(__xludf.DUMMYFUNCTION("""COMPUTED_VALUE"""),46486.0)</f>
        <v>46486</v>
      </c>
      <c r="N167" s="78" t="str">
        <f>IFERROR(__xludf.DUMMYFUNCTION("""COMPUTED_VALUE"""),"MAYORCA")</f>
        <v>MAYORCA</v>
      </c>
      <c r="O167" s="156">
        <f>IFERROR(__xludf.DUMMYFUNCTION("""COMPUTED_VALUE"""),46100.0)</f>
        <v>46100</v>
      </c>
      <c r="P167" s="159">
        <f>IFERROR(__xludf.DUMMYFUNCTION("""COMPUTED_VALUE"""),6708.0)</f>
        <v>6708</v>
      </c>
      <c r="Q167" s="78" t="str">
        <f>IFERROR(__xludf.DUMMYFUNCTION("""COMPUTED_VALUE"""),"VIGENTE")</f>
        <v>VIGENTE</v>
      </c>
      <c r="R167" s="132" t="str">
        <f t="shared" si="2"/>
        <v>-</v>
      </c>
      <c r="T167" s="134" t="str">
        <f>CALENDARIO!D179</f>
        <v/>
      </c>
      <c r="U167" s="135" t="str">
        <f>CALENDARIO!C179</f>
        <v/>
      </c>
      <c r="W167" s="78"/>
      <c r="X167" s="136" t="str">
        <f>(VLOOKUP(W167,'BD LUB'!$A$2:$L$223,5,FALSE)/VLOOKUP(W167,'BD LUB'!$A$2:$L$223,7,FALSE))+(VLOOKUP(W167,'BD LUB'!$A$2:$L$223,6,FALSE)/VLOOKUP(W167,'BD LUB'!$A$2:$L$223,8,FALSE))</f>
        <v>#N/A</v>
      </c>
      <c r="Y167" s="137" t="str">
        <f>IF(AND(VLOOKUP(W167,'BD LUB'!$A$2:$L$223,11,FALSE)="PASADO",VLOOKUP(W167,'BD LUB'!$A$2:$L$223,12,FALSE)="PASADO"),1,IF(OR(AND(VLOOKUP(W167,'BD LUB'!$A$2:$L$223,11,FALSE)="PASADO",VLOOKUP(W167,'BD LUB'!$A$2:$L$223,12,FALSE)="PRÓXIMO"),AND(VLOOKUP(W167,'BD LUB'!$A$2:$L$223,11,FALSE)="PRÓXIMO",VLOOKUP(W167,'BD LUB'!$A$2:$L$223,12,FALSE)="PASADO")),2,IF(OR(AND(VLOOKUP(W167,'BD LUB'!$A$2:$L$223,11,FALSE)="PASADO",VLOOKUP(W167,'BD LUB'!$A$2:$L$223,12,FALSE)="VIGENTE"),AND(VLOOKUP(W167,'BD LUB'!$A$2:$L$223,11,FALSE)="VIGENTE",VLOOKUP(W167,'BD LUB'!$A$2:$L$223,12,FALSE)="PASADO")),3,IF(AND(VLOOKUP(W167,'BD LUB'!$A$2:$L$223,11,FALSE)="PRÓXIMO",VLOOKUP(W167,'BD LUB'!$A$2:$L$223,12,FALSE)="PRÓXIMO"),4,IF(OR(AND(VLOOKUP(W167,'BD LUB'!$A$2:$L$223,11,FALSE)="PRÓXIMO",VLOOKUP(W167,'BD LUB'!$A$2:$L$223,12,FALSE)="VIGENTE"),AND(VLOOKUP(W167,'BD LUB'!$A$2:$L$223,11,FALSE)="VIGENTE",VLOOKUP(W167,'BD LUB'!$A$2:$L$223,12,FALSE)="PRÓXIMO")),5,IF(AND(VLOOKUP(W167,'BD LUB'!$A$2:$L$223,11,FALSE)="VIGENTE",VLOOKUP(W167,'BD LUB'!$A$2:$L$223,12,FALSE)="VIGENTE"),6,"No definido"))))))</f>
        <v>#N/A</v>
      </c>
      <c r="Z167" s="138"/>
      <c r="AA167" s="139" t="str">
        <f>(VLOOKUP(Z167,'BD LUB'!$A$2:$L$223,5,FALSE)/VLOOKUP(Z167,'BD LUB'!$A$2:$L$223,7,FALSE))+(VLOOKUP(Z167,'BD LUB'!$A$2:$L$223,6,FALSE)/VLOOKUP(Z167,'BD LUB'!$A$2:$L$223,8,FALSE))</f>
        <v>#N/A</v>
      </c>
      <c r="AB167" s="78" t="str">
        <f>IF(AND(VLOOKUP(Z167,'BD LUB'!$A$2:$L$223,11,FALSE)="PASADO",VLOOKUP(Z167,'BD LUB'!$A$2:$L$223,12,FALSE)="PASADO"),1,IF(OR(AND(VLOOKUP(Z167,'BD LUB'!$A$2:$L$223,11,FALSE)="PASADO",VLOOKUP(Z167,'BD LUB'!$A$2:$L$223,12,FALSE)="PRÓXIMO"),AND(VLOOKUP(Z167,'BD LUB'!$A$2:$L$223,11,FALSE)="PRÓXIMO",VLOOKUP(Z167,'BD LUB'!$A$2:$L$223,12,FALSE)="PASADO")),2,IF(OR(AND(VLOOKUP(Z167,'BD LUB'!$A$2:$L$223,11,FALSE)="PASADO",VLOOKUP(Z167,'BD LUB'!$A$2:$L$223,12,FALSE)="VIGENTE"),AND(VLOOKUP(Z167,'BD LUB'!$A$2:$L$223,11,FALSE)="VIGENTE",VLOOKUP(Z167,'BD LUB'!$A$2:$L$223,12,FALSE)="PASADO")),3,IF(AND(VLOOKUP(Z167,'BD LUB'!$A$2:$L$223,11,FALSE)="PRÓXIMO",VLOOKUP(Z167,'BD LUB'!$A$2:$L$223,12,FALSE)="PRÓXIMO"),4,IF(OR(AND(VLOOKUP(Z167,'BD LUB'!$A$2:$L$223,11,FALSE)="PRÓXIMO",VLOOKUP(Z167,'BD LUB'!$A$2:$L$223,12,FALSE)="VIGENTE"),AND(VLOOKUP(Z167,'BD LUB'!$A$2:$L$223,11,FALSE)="VIGENTE",VLOOKUP(Z167,'BD LUB'!$A$2:$L$223,12,FALSE)="PRÓXIMO")),5,IF(AND(VLOOKUP(Z167,'BD LUB'!$A$2:$L$223,11,FALSE)="VIGENTE",VLOOKUP(Z167,'BD LUB'!$A$2:$L$223,12,FALSE)="VIGENTE"),6,"No definido"))))))</f>
        <v>#N/A</v>
      </c>
      <c r="AC167" s="78"/>
      <c r="AD167" s="136" t="str">
        <f>IF(VLOOKUP(AC167,'BD LUB'!$A$2:$C$223,3,FALSE)=$AH$20,AC167&amp;" MED",IF(VLOOKUP(AC167,'BD LUB'!$A$2:$C$223,3,FALSE)=$AH$19,AC167&amp;" MAY",IF(VLOOKUP(AC167,'BD LUB'!$A$2:$C$223,3,FALSE)=$AH$18,AC167&amp;" RN",IF(VLOOKUP(AC167,'BD LUB'!$A$2:$C$223,3,FALSE)=$AH$17,AC167&amp;" COPQUI",IF(VLOOKUP(AC167,'BD LUB'!$A$2:$C$223,3,FALSE)=$AH$16,AC167&amp;" CEJ",IF(VLOOKUP(AC167,'BD LUB'!$A$2:$C$223,3,FALSE)=$AH$15,AC167&amp;" BULT",IF(VLOOKUP(AC167,'BD LUB'!$A$2:$C$223,3,FALSE)=$AH$14,AC167&amp;" COP",IF(VLOOKUP(AC167,'BD LUB'!$A$2:$C$223,3,FALSE)=$AH$13,AC167&amp;" RIO",IF(VLOOKUP(AC167,'BD LUB'!$A$2:$C$223,3,FALSE)=$AH$21,AC167&amp;" APART","Dato no encontrado")))))))))</f>
        <v>#N/A</v>
      </c>
      <c r="AE167" s="160"/>
      <c r="AF167" s="160"/>
      <c r="AG167" s="160"/>
      <c r="AH167" s="160"/>
      <c r="AI167" s="160"/>
      <c r="AJ167" s="160"/>
      <c r="AP167" s="160"/>
      <c r="AV167" s="160"/>
    </row>
    <row r="168">
      <c r="A168" s="158"/>
      <c r="B168" s="126">
        <v>165.0</v>
      </c>
      <c r="C168" s="78">
        <f>IFERROR(__xludf.DUMMYFUNCTION("""COMPUTED_VALUE"""),2385.0)</f>
        <v>2385</v>
      </c>
      <c r="D168" s="156">
        <f>IFERROR(__xludf.DUMMYFUNCTION("""COMPUTED_VALUE"""),46463.0)</f>
        <v>46463</v>
      </c>
      <c r="E168" s="78" t="str">
        <f>IFERROR(__xludf.DUMMYFUNCTION("""COMPUTED_VALUE"""),"02-Medellin")</f>
        <v>02-Medellin</v>
      </c>
      <c r="F168" s="156">
        <f>IFERROR(__xludf.DUMMYFUNCTION("""COMPUTED_VALUE"""),46139.0)</f>
        <v>46139</v>
      </c>
      <c r="G168" s="159">
        <f>IFERROR(__xludf.DUMMYFUNCTION("""COMPUTED_VALUE"""),103.0)</f>
        <v>103</v>
      </c>
      <c r="H168" s="78" t="str">
        <f>IFERROR(__xludf.DUMMYFUNCTION("""COMPUTED_VALUE"""),"VIGENTE")</f>
        <v>VIGENTE</v>
      </c>
      <c r="I168" s="132" t="str">
        <f t="shared" si="1"/>
        <v>-</v>
      </c>
      <c r="J168" s="158"/>
      <c r="K168" s="126">
        <v>165.0</v>
      </c>
      <c r="L168" s="78">
        <f>IFERROR(__xludf.DUMMYFUNCTION("""COMPUTED_VALUE"""),2414.0)</f>
        <v>2414</v>
      </c>
      <c r="M168" s="156">
        <f>IFERROR(__xludf.DUMMYFUNCTION("""COMPUTED_VALUE"""),46549.0)</f>
        <v>46549</v>
      </c>
      <c r="N168" s="78" t="str">
        <f>IFERROR(__xludf.DUMMYFUNCTION("""COMPUTED_VALUE"""),"02-Medellin")</f>
        <v>02-Medellin</v>
      </c>
      <c r="O168" s="156">
        <f>IFERROR(__xludf.DUMMYFUNCTION("""COMPUTED_VALUE"""),46128.0)</f>
        <v>46128</v>
      </c>
      <c r="P168" s="159">
        <f>IFERROR(__xludf.DUMMYFUNCTION("""COMPUTED_VALUE"""),6722.2)</f>
        <v>6722.2</v>
      </c>
      <c r="Q168" s="78" t="str">
        <f>IFERROR(__xludf.DUMMYFUNCTION("""COMPUTED_VALUE"""),"VIGENTE")</f>
        <v>VIGENTE</v>
      </c>
      <c r="R168" s="132" t="str">
        <f t="shared" si="2"/>
        <v>-</v>
      </c>
      <c r="T168" s="134" t="str">
        <f>CALENDARIO!D180</f>
        <v/>
      </c>
      <c r="U168" s="135" t="str">
        <f>CALENDARIO!C180</f>
        <v/>
      </c>
      <c r="W168" s="78"/>
      <c r="X168" s="136" t="str">
        <f>(VLOOKUP(W168,'BD LUB'!$A$2:$L$223,5,FALSE)/VLOOKUP(W168,'BD LUB'!$A$2:$L$223,7,FALSE))+(VLOOKUP(W168,'BD LUB'!$A$2:$L$223,6,FALSE)/VLOOKUP(W168,'BD LUB'!$A$2:$L$223,8,FALSE))</f>
        <v>#N/A</v>
      </c>
      <c r="Y168" s="137" t="str">
        <f>IF(AND(VLOOKUP(W168,'BD LUB'!$A$2:$L$223,11,FALSE)="PASADO",VLOOKUP(W168,'BD LUB'!$A$2:$L$223,12,FALSE)="PASADO"),1,IF(OR(AND(VLOOKUP(W168,'BD LUB'!$A$2:$L$223,11,FALSE)="PASADO",VLOOKUP(W168,'BD LUB'!$A$2:$L$223,12,FALSE)="PRÓXIMO"),AND(VLOOKUP(W168,'BD LUB'!$A$2:$L$223,11,FALSE)="PRÓXIMO",VLOOKUP(W168,'BD LUB'!$A$2:$L$223,12,FALSE)="PASADO")),2,IF(OR(AND(VLOOKUP(W168,'BD LUB'!$A$2:$L$223,11,FALSE)="PASADO",VLOOKUP(W168,'BD LUB'!$A$2:$L$223,12,FALSE)="VIGENTE"),AND(VLOOKUP(W168,'BD LUB'!$A$2:$L$223,11,FALSE)="VIGENTE",VLOOKUP(W168,'BD LUB'!$A$2:$L$223,12,FALSE)="PASADO")),3,IF(AND(VLOOKUP(W168,'BD LUB'!$A$2:$L$223,11,FALSE)="PRÓXIMO",VLOOKUP(W168,'BD LUB'!$A$2:$L$223,12,FALSE)="PRÓXIMO"),4,IF(OR(AND(VLOOKUP(W168,'BD LUB'!$A$2:$L$223,11,FALSE)="PRÓXIMO",VLOOKUP(W168,'BD LUB'!$A$2:$L$223,12,FALSE)="VIGENTE"),AND(VLOOKUP(W168,'BD LUB'!$A$2:$L$223,11,FALSE)="VIGENTE",VLOOKUP(W168,'BD LUB'!$A$2:$L$223,12,FALSE)="PRÓXIMO")),5,IF(AND(VLOOKUP(W168,'BD LUB'!$A$2:$L$223,11,FALSE)="VIGENTE",VLOOKUP(W168,'BD LUB'!$A$2:$L$223,12,FALSE)="VIGENTE"),6,"No definido"))))))</f>
        <v>#N/A</v>
      </c>
      <c r="Z168" s="138"/>
      <c r="AA168" s="139" t="str">
        <f>(VLOOKUP(Z168,'BD LUB'!$A$2:$L$223,5,FALSE)/VLOOKUP(Z168,'BD LUB'!$A$2:$L$223,7,FALSE))+(VLOOKUP(Z168,'BD LUB'!$A$2:$L$223,6,FALSE)/VLOOKUP(Z168,'BD LUB'!$A$2:$L$223,8,FALSE))</f>
        <v>#N/A</v>
      </c>
      <c r="AB168" s="78" t="str">
        <f>IF(AND(VLOOKUP(Z168,'BD LUB'!$A$2:$L$223,11,FALSE)="PASADO",VLOOKUP(Z168,'BD LUB'!$A$2:$L$223,12,FALSE)="PASADO"),1,IF(OR(AND(VLOOKUP(Z168,'BD LUB'!$A$2:$L$223,11,FALSE)="PASADO",VLOOKUP(Z168,'BD LUB'!$A$2:$L$223,12,FALSE)="PRÓXIMO"),AND(VLOOKUP(Z168,'BD LUB'!$A$2:$L$223,11,FALSE)="PRÓXIMO",VLOOKUP(Z168,'BD LUB'!$A$2:$L$223,12,FALSE)="PASADO")),2,IF(OR(AND(VLOOKUP(Z168,'BD LUB'!$A$2:$L$223,11,FALSE)="PASADO",VLOOKUP(Z168,'BD LUB'!$A$2:$L$223,12,FALSE)="VIGENTE"),AND(VLOOKUP(Z168,'BD LUB'!$A$2:$L$223,11,FALSE)="VIGENTE",VLOOKUP(Z168,'BD LUB'!$A$2:$L$223,12,FALSE)="PASADO")),3,IF(AND(VLOOKUP(Z168,'BD LUB'!$A$2:$L$223,11,FALSE)="PRÓXIMO",VLOOKUP(Z168,'BD LUB'!$A$2:$L$223,12,FALSE)="PRÓXIMO"),4,IF(OR(AND(VLOOKUP(Z168,'BD LUB'!$A$2:$L$223,11,FALSE)="PRÓXIMO",VLOOKUP(Z168,'BD LUB'!$A$2:$L$223,12,FALSE)="VIGENTE"),AND(VLOOKUP(Z168,'BD LUB'!$A$2:$L$223,11,FALSE)="VIGENTE",VLOOKUP(Z168,'BD LUB'!$A$2:$L$223,12,FALSE)="PRÓXIMO")),5,IF(AND(VLOOKUP(Z168,'BD LUB'!$A$2:$L$223,11,FALSE)="VIGENTE",VLOOKUP(Z168,'BD LUB'!$A$2:$L$223,12,FALSE)="VIGENTE"),6,"No definido"))))))</f>
        <v>#N/A</v>
      </c>
      <c r="AC168" s="78"/>
      <c r="AD168" s="136" t="str">
        <f>IF(VLOOKUP(AC168,'BD LUB'!$A$2:$C$223,3,FALSE)=$AH$20,AC168&amp;" MED",IF(VLOOKUP(AC168,'BD LUB'!$A$2:$C$223,3,FALSE)=$AH$19,AC168&amp;" MAY",IF(VLOOKUP(AC168,'BD LUB'!$A$2:$C$223,3,FALSE)=$AH$18,AC168&amp;" RN",IF(VLOOKUP(AC168,'BD LUB'!$A$2:$C$223,3,FALSE)=$AH$17,AC168&amp;" COPQUI",IF(VLOOKUP(AC168,'BD LUB'!$A$2:$C$223,3,FALSE)=$AH$16,AC168&amp;" CEJ",IF(VLOOKUP(AC168,'BD LUB'!$A$2:$C$223,3,FALSE)=$AH$15,AC168&amp;" BULT",IF(VLOOKUP(AC168,'BD LUB'!$A$2:$C$223,3,FALSE)=$AH$14,AC168&amp;" COP",IF(VLOOKUP(AC168,'BD LUB'!$A$2:$C$223,3,FALSE)=$AH$13,AC168&amp;" RIO",IF(VLOOKUP(AC168,'BD LUB'!$A$2:$C$223,3,FALSE)=$AH$21,AC168&amp;" APART","Dato no encontrado")))))))))</f>
        <v>#N/A</v>
      </c>
      <c r="AE168" s="160"/>
      <c r="AF168" s="160"/>
      <c r="AG168" s="160"/>
      <c r="AH168" s="160"/>
      <c r="AI168" s="160"/>
      <c r="AJ168" s="160"/>
      <c r="AP168" s="160"/>
      <c r="AV168" s="160"/>
    </row>
    <row r="169">
      <c r="A169" s="158"/>
      <c r="B169" s="126">
        <v>166.0</v>
      </c>
      <c r="C169" s="78">
        <f>IFERROR(__xludf.DUMMYFUNCTION("""COMPUTED_VALUE"""),2889.0)</f>
        <v>2889</v>
      </c>
      <c r="D169" s="156">
        <f>IFERROR(__xludf.DUMMYFUNCTION("""COMPUTED_VALUE"""),46233.0)</f>
        <v>46233</v>
      </c>
      <c r="E169" s="78" t="str">
        <f>IFERROR(__xludf.DUMMYFUNCTION("""COMPUTED_VALUE"""),"31-Copacabana")</f>
        <v>31-Copacabana</v>
      </c>
      <c r="F169" s="156">
        <f>IFERROR(__xludf.DUMMYFUNCTION("""COMPUTED_VALUE"""),46141.0)</f>
        <v>46141</v>
      </c>
      <c r="G169" s="159">
        <f>IFERROR(__xludf.DUMMYFUNCTION("""COMPUTED_VALUE"""),105.0)</f>
        <v>105</v>
      </c>
      <c r="H169" s="78" t="str">
        <f>IFERROR(__xludf.DUMMYFUNCTION("""COMPUTED_VALUE"""),"VIGENTE")</f>
        <v>VIGENTE</v>
      </c>
      <c r="I169" s="132" t="str">
        <f t="shared" si="1"/>
        <v>-</v>
      </c>
      <c r="J169" s="158"/>
      <c r="K169" s="126">
        <v>166.0</v>
      </c>
      <c r="L169" s="78">
        <f>IFERROR(__xludf.DUMMYFUNCTION("""COMPUTED_VALUE"""),2683.0)</f>
        <v>2683</v>
      </c>
      <c r="M169" s="156">
        <f>IFERROR(__xludf.DUMMYFUNCTION("""COMPUTED_VALUE"""),46512.0)</f>
        <v>46512</v>
      </c>
      <c r="N169" s="78" t="str">
        <f>IFERROR(__xludf.DUMMYFUNCTION("""COMPUTED_VALUE"""),"02-Medellin")</f>
        <v>02-Medellin</v>
      </c>
      <c r="O169" s="156">
        <f>IFERROR(__xludf.DUMMYFUNCTION("""COMPUTED_VALUE"""),46087.0)</f>
        <v>46087</v>
      </c>
      <c r="P169" s="159">
        <f>IFERROR(__xludf.DUMMYFUNCTION("""COMPUTED_VALUE"""),6814.0)</f>
        <v>6814</v>
      </c>
      <c r="Q169" s="78" t="str">
        <f>IFERROR(__xludf.DUMMYFUNCTION("""COMPUTED_VALUE"""),"VIGENTE")</f>
        <v>VIGENTE</v>
      </c>
      <c r="R169" s="132" t="str">
        <f t="shared" si="2"/>
        <v>-</v>
      </c>
      <c r="T169" s="134" t="str">
        <f>CALENDARIO!D181</f>
        <v/>
      </c>
      <c r="U169" s="135" t="str">
        <f>CALENDARIO!C181</f>
        <v/>
      </c>
      <c r="W169" s="78"/>
      <c r="X169" s="136" t="str">
        <f>(VLOOKUP(W169,'BD LUB'!$A$2:$L$223,5,FALSE)/VLOOKUP(W169,'BD LUB'!$A$2:$L$223,7,FALSE))+(VLOOKUP(W169,'BD LUB'!$A$2:$L$223,6,FALSE)/VLOOKUP(W169,'BD LUB'!$A$2:$L$223,8,FALSE))</f>
        <v>#N/A</v>
      </c>
      <c r="Y169" s="137" t="str">
        <f>IF(AND(VLOOKUP(W169,'BD LUB'!$A$2:$L$223,11,FALSE)="PASADO",VLOOKUP(W169,'BD LUB'!$A$2:$L$223,12,FALSE)="PASADO"),1,IF(OR(AND(VLOOKUP(W169,'BD LUB'!$A$2:$L$223,11,FALSE)="PASADO",VLOOKUP(W169,'BD LUB'!$A$2:$L$223,12,FALSE)="PRÓXIMO"),AND(VLOOKUP(W169,'BD LUB'!$A$2:$L$223,11,FALSE)="PRÓXIMO",VLOOKUP(W169,'BD LUB'!$A$2:$L$223,12,FALSE)="PASADO")),2,IF(OR(AND(VLOOKUP(W169,'BD LUB'!$A$2:$L$223,11,FALSE)="PASADO",VLOOKUP(W169,'BD LUB'!$A$2:$L$223,12,FALSE)="VIGENTE"),AND(VLOOKUP(W169,'BD LUB'!$A$2:$L$223,11,FALSE)="VIGENTE",VLOOKUP(W169,'BD LUB'!$A$2:$L$223,12,FALSE)="PASADO")),3,IF(AND(VLOOKUP(W169,'BD LUB'!$A$2:$L$223,11,FALSE)="PRÓXIMO",VLOOKUP(W169,'BD LUB'!$A$2:$L$223,12,FALSE)="PRÓXIMO"),4,IF(OR(AND(VLOOKUP(W169,'BD LUB'!$A$2:$L$223,11,FALSE)="PRÓXIMO",VLOOKUP(W169,'BD LUB'!$A$2:$L$223,12,FALSE)="VIGENTE"),AND(VLOOKUP(W169,'BD LUB'!$A$2:$L$223,11,FALSE)="VIGENTE",VLOOKUP(W169,'BD LUB'!$A$2:$L$223,12,FALSE)="PRÓXIMO")),5,IF(AND(VLOOKUP(W169,'BD LUB'!$A$2:$L$223,11,FALSE)="VIGENTE",VLOOKUP(W169,'BD LUB'!$A$2:$L$223,12,FALSE)="VIGENTE"),6,"No definido"))))))</f>
        <v>#N/A</v>
      </c>
      <c r="Z169" s="138"/>
      <c r="AA169" s="139" t="str">
        <f>(VLOOKUP(Z169,'BD LUB'!$A$2:$L$223,5,FALSE)/VLOOKUP(Z169,'BD LUB'!$A$2:$L$223,7,FALSE))+(VLOOKUP(Z169,'BD LUB'!$A$2:$L$223,6,FALSE)/VLOOKUP(Z169,'BD LUB'!$A$2:$L$223,8,FALSE))</f>
        <v>#N/A</v>
      </c>
      <c r="AB169" s="78" t="str">
        <f>IF(AND(VLOOKUP(Z169,'BD LUB'!$A$2:$L$223,11,FALSE)="PASADO",VLOOKUP(Z169,'BD LUB'!$A$2:$L$223,12,FALSE)="PASADO"),1,IF(OR(AND(VLOOKUP(Z169,'BD LUB'!$A$2:$L$223,11,FALSE)="PASADO",VLOOKUP(Z169,'BD LUB'!$A$2:$L$223,12,FALSE)="PRÓXIMO"),AND(VLOOKUP(Z169,'BD LUB'!$A$2:$L$223,11,FALSE)="PRÓXIMO",VLOOKUP(Z169,'BD LUB'!$A$2:$L$223,12,FALSE)="PASADO")),2,IF(OR(AND(VLOOKUP(Z169,'BD LUB'!$A$2:$L$223,11,FALSE)="PASADO",VLOOKUP(Z169,'BD LUB'!$A$2:$L$223,12,FALSE)="VIGENTE"),AND(VLOOKUP(Z169,'BD LUB'!$A$2:$L$223,11,FALSE)="VIGENTE",VLOOKUP(Z169,'BD LUB'!$A$2:$L$223,12,FALSE)="PASADO")),3,IF(AND(VLOOKUP(Z169,'BD LUB'!$A$2:$L$223,11,FALSE)="PRÓXIMO",VLOOKUP(Z169,'BD LUB'!$A$2:$L$223,12,FALSE)="PRÓXIMO"),4,IF(OR(AND(VLOOKUP(Z169,'BD LUB'!$A$2:$L$223,11,FALSE)="PRÓXIMO",VLOOKUP(Z169,'BD LUB'!$A$2:$L$223,12,FALSE)="VIGENTE"),AND(VLOOKUP(Z169,'BD LUB'!$A$2:$L$223,11,FALSE)="VIGENTE",VLOOKUP(Z169,'BD LUB'!$A$2:$L$223,12,FALSE)="PRÓXIMO")),5,IF(AND(VLOOKUP(Z169,'BD LUB'!$A$2:$L$223,11,FALSE)="VIGENTE",VLOOKUP(Z169,'BD LUB'!$A$2:$L$223,12,FALSE)="VIGENTE"),6,"No definido"))))))</f>
        <v>#N/A</v>
      </c>
      <c r="AC169" s="78"/>
      <c r="AD169" s="136" t="str">
        <f>IF(VLOOKUP(AC169,'BD LUB'!$A$2:$C$223,3,FALSE)=$AH$20,AC169&amp;" MED",IF(VLOOKUP(AC169,'BD LUB'!$A$2:$C$223,3,FALSE)=$AH$19,AC169&amp;" MAY",IF(VLOOKUP(AC169,'BD LUB'!$A$2:$C$223,3,FALSE)=$AH$18,AC169&amp;" RN",IF(VLOOKUP(AC169,'BD LUB'!$A$2:$C$223,3,FALSE)=$AH$17,AC169&amp;" COPQUI",IF(VLOOKUP(AC169,'BD LUB'!$A$2:$C$223,3,FALSE)=$AH$16,AC169&amp;" CEJ",IF(VLOOKUP(AC169,'BD LUB'!$A$2:$C$223,3,FALSE)=$AH$15,AC169&amp;" BULT",IF(VLOOKUP(AC169,'BD LUB'!$A$2:$C$223,3,FALSE)=$AH$14,AC169&amp;" COP",IF(VLOOKUP(AC169,'BD LUB'!$A$2:$C$223,3,FALSE)=$AH$13,AC169&amp;" RIO",IF(VLOOKUP(AC169,'BD LUB'!$A$2:$C$223,3,FALSE)=$AH$21,AC169&amp;" APART","Dato no encontrado")))))))))</f>
        <v>#N/A</v>
      </c>
      <c r="AE169" s="160"/>
      <c r="AF169" s="160"/>
      <c r="AG169" s="160"/>
      <c r="AH169" s="160"/>
      <c r="AI169" s="160"/>
      <c r="AJ169" s="160"/>
      <c r="AP169" s="160"/>
      <c r="AV169" s="160"/>
    </row>
    <row r="170">
      <c r="A170" s="158"/>
      <c r="B170" s="126">
        <v>167.0</v>
      </c>
      <c r="C170" s="78">
        <f>IFERROR(__xludf.DUMMYFUNCTION("""COMPUTED_VALUE"""),2573.0)</f>
        <v>2573</v>
      </c>
      <c r="D170" s="156">
        <f>IFERROR(__xludf.DUMMYFUNCTION("""COMPUTED_VALUE"""),46239.0)</f>
        <v>46239</v>
      </c>
      <c r="E170" s="78" t="str">
        <f>IFERROR(__xludf.DUMMYFUNCTION("""COMPUTED_VALUE"""),"02-Medellin")</f>
        <v>02-Medellin</v>
      </c>
      <c r="F170" s="156">
        <f>IFERROR(__xludf.DUMMYFUNCTION("""COMPUTED_VALUE"""),46141.0)</f>
        <v>46141</v>
      </c>
      <c r="G170" s="159">
        <f>IFERROR(__xludf.DUMMYFUNCTION("""COMPUTED_VALUE"""),105.0)</f>
        <v>105</v>
      </c>
      <c r="H170" s="78" t="str">
        <f>IFERROR(__xludf.DUMMYFUNCTION("""COMPUTED_VALUE"""),"VIGENTE")</f>
        <v>VIGENTE</v>
      </c>
      <c r="I170" s="132" t="str">
        <f t="shared" si="1"/>
        <v>-</v>
      </c>
      <c r="J170" s="158"/>
      <c r="K170" s="126">
        <v>167.0</v>
      </c>
      <c r="L170" s="78">
        <f>IFERROR(__xludf.DUMMYFUNCTION("""COMPUTED_VALUE"""),2187.0)</f>
        <v>2187</v>
      </c>
      <c r="M170" s="156">
        <f>IFERROR(__xludf.DUMMYFUNCTION("""COMPUTED_VALUE"""),46410.0)</f>
        <v>46410</v>
      </c>
      <c r="N170" s="78" t="str">
        <f>IFERROR(__xludf.DUMMYFUNCTION("""COMPUTED_VALUE"""),"02-Medellin")</f>
        <v>02-Medellin</v>
      </c>
      <c r="O170" s="156">
        <f>IFERROR(__xludf.DUMMYFUNCTION("""COMPUTED_VALUE"""),46167.0)</f>
        <v>46167</v>
      </c>
      <c r="P170" s="159">
        <f>IFERROR(__xludf.DUMMYFUNCTION("""COMPUTED_VALUE"""),6820.5)</f>
        <v>6820.5</v>
      </c>
      <c r="Q170" s="78" t="str">
        <f>IFERROR(__xludf.DUMMYFUNCTION("""COMPUTED_VALUE"""),"VIGENTE")</f>
        <v>VIGENTE</v>
      </c>
      <c r="R170" s="132" t="str">
        <f t="shared" si="2"/>
        <v>-</v>
      </c>
      <c r="T170" s="134" t="str">
        <f>CALENDARIO!D182</f>
        <v/>
      </c>
      <c r="U170" s="135" t="str">
        <f>CALENDARIO!C182</f>
        <v/>
      </c>
      <c r="W170" s="78"/>
      <c r="X170" s="136" t="str">
        <f>(VLOOKUP(W170,'BD LUB'!$A$2:$L$223,5,FALSE)/VLOOKUP(W170,'BD LUB'!$A$2:$L$223,7,FALSE))+(VLOOKUP(W170,'BD LUB'!$A$2:$L$223,6,FALSE)/VLOOKUP(W170,'BD LUB'!$A$2:$L$223,8,FALSE))</f>
        <v>#N/A</v>
      </c>
      <c r="Y170" s="137" t="str">
        <f>IF(AND(VLOOKUP(W170,'BD LUB'!$A$2:$L$223,11,FALSE)="PASADO",VLOOKUP(W170,'BD LUB'!$A$2:$L$223,12,FALSE)="PASADO"),1,IF(OR(AND(VLOOKUP(W170,'BD LUB'!$A$2:$L$223,11,FALSE)="PASADO",VLOOKUP(W170,'BD LUB'!$A$2:$L$223,12,FALSE)="PRÓXIMO"),AND(VLOOKUP(W170,'BD LUB'!$A$2:$L$223,11,FALSE)="PRÓXIMO",VLOOKUP(W170,'BD LUB'!$A$2:$L$223,12,FALSE)="PASADO")),2,IF(OR(AND(VLOOKUP(W170,'BD LUB'!$A$2:$L$223,11,FALSE)="PASADO",VLOOKUP(W170,'BD LUB'!$A$2:$L$223,12,FALSE)="VIGENTE"),AND(VLOOKUP(W170,'BD LUB'!$A$2:$L$223,11,FALSE)="VIGENTE",VLOOKUP(W170,'BD LUB'!$A$2:$L$223,12,FALSE)="PASADO")),3,IF(AND(VLOOKUP(W170,'BD LUB'!$A$2:$L$223,11,FALSE)="PRÓXIMO",VLOOKUP(W170,'BD LUB'!$A$2:$L$223,12,FALSE)="PRÓXIMO"),4,IF(OR(AND(VLOOKUP(W170,'BD LUB'!$A$2:$L$223,11,FALSE)="PRÓXIMO",VLOOKUP(W170,'BD LUB'!$A$2:$L$223,12,FALSE)="VIGENTE"),AND(VLOOKUP(W170,'BD LUB'!$A$2:$L$223,11,FALSE)="VIGENTE",VLOOKUP(W170,'BD LUB'!$A$2:$L$223,12,FALSE)="PRÓXIMO")),5,IF(AND(VLOOKUP(W170,'BD LUB'!$A$2:$L$223,11,FALSE)="VIGENTE",VLOOKUP(W170,'BD LUB'!$A$2:$L$223,12,FALSE)="VIGENTE"),6,"No definido"))))))</f>
        <v>#N/A</v>
      </c>
      <c r="Z170" s="138"/>
      <c r="AA170" s="139" t="str">
        <f>(VLOOKUP(Z170,'BD LUB'!$A$2:$L$223,5,FALSE)/VLOOKUP(Z170,'BD LUB'!$A$2:$L$223,7,FALSE))+(VLOOKUP(Z170,'BD LUB'!$A$2:$L$223,6,FALSE)/VLOOKUP(Z170,'BD LUB'!$A$2:$L$223,8,FALSE))</f>
        <v>#N/A</v>
      </c>
      <c r="AB170" s="78" t="str">
        <f>IF(AND(VLOOKUP(Z170,'BD LUB'!$A$2:$L$223,11,FALSE)="PASADO",VLOOKUP(Z170,'BD LUB'!$A$2:$L$223,12,FALSE)="PASADO"),1,IF(OR(AND(VLOOKUP(Z170,'BD LUB'!$A$2:$L$223,11,FALSE)="PASADO",VLOOKUP(Z170,'BD LUB'!$A$2:$L$223,12,FALSE)="PRÓXIMO"),AND(VLOOKUP(Z170,'BD LUB'!$A$2:$L$223,11,FALSE)="PRÓXIMO",VLOOKUP(Z170,'BD LUB'!$A$2:$L$223,12,FALSE)="PASADO")),2,IF(OR(AND(VLOOKUP(Z170,'BD LUB'!$A$2:$L$223,11,FALSE)="PASADO",VLOOKUP(Z170,'BD LUB'!$A$2:$L$223,12,FALSE)="VIGENTE"),AND(VLOOKUP(Z170,'BD LUB'!$A$2:$L$223,11,FALSE)="VIGENTE",VLOOKUP(Z170,'BD LUB'!$A$2:$L$223,12,FALSE)="PASADO")),3,IF(AND(VLOOKUP(Z170,'BD LUB'!$A$2:$L$223,11,FALSE)="PRÓXIMO",VLOOKUP(Z170,'BD LUB'!$A$2:$L$223,12,FALSE)="PRÓXIMO"),4,IF(OR(AND(VLOOKUP(Z170,'BD LUB'!$A$2:$L$223,11,FALSE)="PRÓXIMO",VLOOKUP(Z170,'BD LUB'!$A$2:$L$223,12,FALSE)="VIGENTE"),AND(VLOOKUP(Z170,'BD LUB'!$A$2:$L$223,11,FALSE)="VIGENTE",VLOOKUP(Z170,'BD LUB'!$A$2:$L$223,12,FALSE)="PRÓXIMO")),5,IF(AND(VLOOKUP(Z170,'BD LUB'!$A$2:$L$223,11,FALSE)="VIGENTE",VLOOKUP(Z170,'BD LUB'!$A$2:$L$223,12,FALSE)="VIGENTE"),6,"No definido"))))))</f>
        <v>#N/A</v>
      </c>
      <c r="AC170" s="78"/>
      <c r="AD170" s="136" t="str">
        <f>IF(VLOOKUP(AC170,'BD LUB'!$A$2:$C$223,3,FALSE)=$AH$20,AC170&amp;" MED",IF(VLOOKUP(AC170,'BD LUB'!$A$2:$C$223,3,FALSE)=$AH$19,AC170&amp;" MAY",IF(VLOOKUP(AC170,'BD LUB'!$A$2:$C$223,3,FALSE)=$AH$18,AC170&amp;" RN",IF(VLOOKUP(AC170,'BD LUB'!$A$2:$C$223,3,FALSE)=$AH$17,AC170&amp;" COPQUI",IF(VLOOKUP(AC170,'BD LUB'!$A$2:$C$223,3,FALSE)=$AH$16,AC170&amp;" CEJ",IF(VLOOKUP(AC170,'BD LUB'!$A$2:$C$223,3,FALSE)=$AH$15,AC170&amp;" BULT",IF(VLOOKUP(AC170,'BD LUB'!$A$2:$C$223,3,FALSE)=$AH$14,AC170&amp;" COP",IF(VLOOKUP(AC170,'BD LUB'!$A$2:$C$223,3,FALSE)=$AH$13,AC170&amp;" RIO",IF(VLOOKUP(AC170,'BD LUB'!$A$2:$C$223,3,FALSE)=$AH$21,AC170&amp;" APART","Dato no encontrado")))))))))</f>
        <v>#N/A</v>
      </c>
      <c r="AE170" s="160"/>
      <c r="AF170" s="160"/>
      <c r="AG170" s="160"/>
      <c r="AH170" s="160"/>
      <c r="AI170" s="160"/>
      <c r="AJ170" s="160"/>
      <c r="AP170" s="160"/>
      <c r="AV170" s="160"/>
    </row>
    <row r="171">
      <c r="A171" s="158"/>
      <c r="B171" s="126">
        <v>168.0</v>
      </c>
      <c r="C171" s="78">
        <f>IFERROR(__xludf.DUMMYFUNCTION("""COMPUTED_VALUE"""),2847.0)</f>
        <v>2847</v>
      </c>
      <c r="D171" s="156">
        <f>IFERROR(__xludf.DUMMYFUNCTION("""COMPUTED_VALUE"""),46559.0)</f>
        <v>46559</v>
      </c>
      <c r="E171" s="78" t="str">
        <f>IFERROR(__xludf.DUMMYFUNCTION("""COMPUTED_VALUE"""),"31-Copacabana")</f>
        <v>31-Copacabana</v>
      </c>
      <c r="F171" s="156">
        <f>IFERROR(__xludf.DUMMYFUNCTION("""COMPUTED_VALUE"""),46142.0)</f>
        <v>46142</v>
      </c>
      <c r="G171" s="159">
        <f>IFERROR(__xludf.DUMMYFUNCTION("""COMPUTED_VALUE"""),106.0)</f>
        <v>106</v>
      </c>
      <c r="H171" s="78" t="str">
        <f>IFERROR(__xludf.DUMMYFUNCTION("""COMPUTED_VALUE"""),"VIGENTE")</f>
        <v>VIGENTE</v>
      </c>
      <c r="I171" s="132" t="str">
        <f t="shared" si="1"/>
        <v>-</v>
      </c>
      <c r="J171" s="158"/>
      <c r="K171" s="126">
        <v>168.0</v>
      </c>
      <c r="L171" s="78">
        <f>IFERROR(__xludf.DUMMYFUNCTION("""COMPUTED_VALUE"""),2395.0)</f>
        <v>2395</v>
      </c>
      <c r="M171" s="156">
        <f>IFERROR(__xludf.DUMMYFUNCTION("""COMPUTED_VALUE"""),46446.0)</f>
        <v>46446</v>
      </c>
      <c r="N171" s="78" t="str">
        <f>IFERROR(__xludf.DUMMYFUNCTION("""COMPUTED_VALUE"""),"02-Medellin")</f>
        <v>02-Medellin</v>
      </c>
      <c r="O171" s="156">
        <f>IFERROR(__xludf.DUMMYFUNCTION("""COMPUTED_VALUE"""),46127.0)</f>
        <v>46127</v>
      </c>
      <c r="P171" s="159">
        <f>IFERROR(__xludf.DUMMYFUNCTION("""COMPUTED_VALUE"""),6838.0)</f>
        <v>6838</v>
      </c>
      <c r="Q171" s="78" t="str">
        <f>IFERROR(__xludf.DUMMYFUNCTION("""COMPUTED_VALUE"""),"VIGENTE")</f>
        <v>VIGENTE</v>
      </c>
      <c r="R171" s="132" t="str">
        <f t="shared" si="2"/>
        <v>-</v>
      </c>
      <c r="T171" s="134" t="str">
        <f>CALENDARIO!D183</f>
        <v/>
      </c>
      <c r="U171" s="135" t="str">
        <f>CALENDARIO!C183</f>
        <v/>
      </c>
      <c r="W171" s="78"/>
      <c r="X171" s="136" t="str">
        <f>(VLOOKUP(W171,'BD LUB'!$A$2:$L$223,5,FALSE)/VLOOKUP(W171,'BD LUB'!$A$2:$L$223,7,FALSE))+(VLOOKUP(W171,'BD LUB'!$A$2:$L$223,6,FALSE)/VLOOKUP(W171,'BD LUB'!$A$2:$L$223,8,FALSE))</f>
        <v>#N/A</v>
      </c>
      <c r="Y171" s="137" t="str">
        <f>IF(AND(VLOOKUP(W171,'BD LUB'!$A$2:$L$223,11,FALSE)="PASADO",VLOOKUP(W171,'BD LUB'!$A$2:$L$223,12,FALSE)="PASADO"),1,IF(OR(AND(VLOOKUP(W171,'BD LUB'!$A$2:$L$223,11,FALSE)="PASADO",VLOOKUP(W171,'BD LUB'!$A$2:$L$223,12,FALSE)="PRÓXIMO"),AND(VLOOKUP(W171,'BD LUB'!$A$2:$L$223,11,FALSE)="PRÓXIMO",VLOOKUP(W171,'BD LUB'!$A$2:$L$223,12,FALSE)="PASADO")),2,IF(OR(AND(VLOOKUP(W171,'BD LUB'!$A$2:$L$223,11,FALSE)="PASADO",VLOOKUP(W171,'BD LUB'!$A$2:$L$223,12,FALSE)="VIGENTE"),AND(VLOOKUP(W171,'BD LUB'!$A$2:$L$223,11,FALSE)="VIGENTE",VLOOKUP(W171,'BD LUB'!$A$2:$L$223,12,FALSE)="PASADO")),3,IF(AND(VLOOKUP(W171,'BD LUB'!$A$2:$L$223,11,FALSE)="PRÓXIMO",VLOOKUP(W171,'BD LUB'!$A$2:$L$223,12,FALSE)="PRÓXIMO"),4,IF(OR(AND(VLOOKUP(W171,'BD LUB'!$A$2:$L$223,11,FALSE)="PRÓXIMO",VLOOKUP(W171,'BD LUB'!$A$2:$L$223,12,FALSE)="VIGENTE"),AND(VLOOKUP(W171,'BD LUB'!$A$2:$L$223,11,FALSE)="VIGENTE",VLOOKUP(W171,'BD LUB'!$A$2:$L$223,12,FALSE)="PRÓXIMO")),5,IF(AND(VLOOKUP(W171,'BD LUB'!$A$2:$L$223,11,FALSE)="VIGENTE",VLOOKUP(W171,'BD LUB'!$A$2:$L$223,12,FALSE)="VIGENTE"),6,"No definido"))))))</f>
        <v>#N/A</v>
      </c>
      <c r="Z171" s="138"/>
      <c r="AA171" s="139" t="str">
        <f>(VLOOKUP(Z171,'BD LUB'!$A$2:$L$223,5,FALSE)/VLOOKUP(Z171,'BD LUB'!$A$2:$L$223,7,FALSE))+(VLOOKUP(Z171,'BD LUB'!$A$2:$L$223,6,FALSE)/VLOOKUP(Z171,'BD LUB'!$A$2:$L$223,8,FALSE))</f>
        <v>#N/A</v>
      </c>
      <c r="AB171" s="78" t="str">
        <f>IF(AND(VLOOKUP(Z171,'BD LUB'!$A$2:$L$223,11,FALSE)="PASADO",VLOOKUP(Z171,'BD LUB'!$A$2:$L$223,12,FALSE)="PASADO"),1,IF(OR(AND(VLOOKUP(Z171,'BD LUB'!$A$2:$L$223,11,FALSE)="PASADO",VLOOKUP(Z171,'BD LUB'!$A$2:$L$223,12,FALSE)="PRÓXIMO"),AND(VLOOKUP(Z171,'BD LUB'!$A$2:$L$223,11,FALSE)="PRÓXIMO",VLOOKUP(Z171,'BD LUB'!$A$2:$L$223,12,FALSE)="PASADO")),2,IF(OR(AND(VLOOKUP(Z171,'BD LUB'!$A$2:$L$223,11,FALSE)="PASADO",VLOOKUP(Z171,'BD LUB'!$A$2:$L$223,12,FALSE)="VIGENTE"),AND(VLOOKUP(Z171,'BD LUB'!$A$2:$L$223,11,FALSE)="VIGENTE",VLOOKUP(Z171,'BD LUB'!$A$2:$L$223,12,FALSE)="PASADO")),3,IF(AND(VLOOKUP(Z171,'BD LUB'!$A$2:$L$223,11,FALSE)="PRÓXIMO",VLOOKUP(Z171,'BD LUB'!$A$2:$L$223,12,FALSE)="PRÓXIMO"),4,IF(OR(AND(VLOOKUP(Z171,'BD LUB'!$A$2:$L$223,11,FALSE)="PRÓXIMO",VLOOKUP(Z171,'BD LUB'!$A$2:$L$223,12,FALSE)="VIGENTE"),AND(VLOOKUP(Z171,'BD LUB'!$A$2:$L$223,11,FALSE)="VIGENTE",VLOOKUP(Z171,'BD LUB'!$A$2:$L$223,12,FALSE)="PRÓXIMO")),5,IF(AND(VLOOKUP(Z171,'BD LUB'!$A$2:$L$223,11,FALSE)="VIGENTE",VLOOKUP(Z171,'BD LUB'!$A$2:$L$223,12,FALSE)="VIGENTE"),6,"No definido"))))))</f>
        <v>#N/A</v>
      </c>
      <c r="AC171" s="78"/>
      <c r="AD171" s="136" t="str">
        <f>IF(VLOOKUP(AC171,'BD LUB'!$A$2:$C$223,3,FALSE)=$AH$20,AC171&amp;" MED",IF(VLOOKUP(AC171,'BD LUB'!$A$2:$C$223,3,FALSE)=$AH$19,AC171&amp;" MAY",IF(VLOOKUP(AC171,'BD LUB'!$A$2:$C$223,3,FALSE)=$AH$18,AC171&amp;" RN",IF(VLOOKUP(AC171,'BD LUB'!$A$2:$C$223,3,FALSE)=$AH$17,AC171&amp;" COPQUI",IF(VLOOKUP(AC171,'BD LUB'!$A$2:$C$223,3,FALSE)=$AH$16,AC171&amp;" CEJ",IF(VLOOKUP(AC171,'BD LUB'!$A$2:$C$223,3,FALSE)=$AH$15,AC171&amp;" BULT",IF(VLOOKUP(AC171,'BD LUB'!$A$2:$C$223,3,FALSE)=$AH$14,AC171&amp;" COP",IF(VLOOKUP(AC171,'BD LUB'!$A$2:$C$223,3,FALSE)=$AH$13,AC171&amp;" RIO",IF(VLOOKUP(AC171,'BD LUB'!$A$2:$C$223,3,FALSE)=$AH$21,AC171&amp;" APART","Dato no encontrado")))))))))</f>
        <v>#N/A</v>
      </c>
      <c r="AE171" s="160"/>
      <c r="AF171" s="160"/>
      <c r="AG171" s="160"/>
      <c r="AH171" s="160"/>
      <c r="AI171" s="160"/>
      <c r="AJ171" s="160"/>
      <c r="AP171" s="160"/>
      <c r="AV171" s="160"/>
    </row>
    <row r="172">
      <c r="A172" s="158"/>
      <c r="B172" s="126">
        <v>169.0</v>
      </c>
      <c r="C172" s="78">
        <f>IFERROR(__xludf.DUMMYFUNCTION("""COMPUTED_VALUE"""),2846.0)</f>
        <v>2846</v>
      </c>
      <c r="D172" s="156">
        <f>IFERROR(__xludf.DUMMYFUNCTION("""COMPUTED_VALUE"""),46561.0)</f>
        <v>46561</v>
      </c>
      <c r="E172" s="78" t="str">
        <f>IFERROR(__xludf.DUMMYFUNCTION("""COMPUTED_VALUE"""),"38-La ceja")</f>
        <v>38-La ceja</v>
      </c>
      <c r="F172" s="156">
        <f>IFERROR(__xludf.DUMMYFUNCTION("""COMPUTED_VALUE"""),46142.0)</f>
        <v>46142</v>
      </c>
      <c r="G172" s="159">
        <f>IFERROR(__xludf.DUMMYFUNCTION("""COMPUTED_VALUE"""),106.0)</f>
        <v>106</v>
      </c>
      <c r="H172" s="78" t="str">
        <f>IFERROR(__xludf.DUMMYFUNCTION("""COMPUTED_VALUE"""),"VIGENTE")</f>
        <v>VIGENTE</v>
      </c>
      <c r="I172" s="132" t="str">
        <f t="shared" si="1"/>
        <v>-</v>
      </c>
      <c r="J172" s="158"/>
      <c r="K172" s="126">
        <v>169.0</v>
      </c>
      <c r="L172" s="78">
        <f>IFERROR(__xludf.DUMMYFUNCTION("""COMPUTED_VALUE"""),2366.0)</f>
        <v>2366</v>
      </c>
      <c r="M172" s="156">
        <f>IFERROR(__xludf.DUMMYFUNCTION("""COMPUTED_VALUE"""),46306.0)</f>
        <v>46306</v>
      </c>
      <c r="N172" s="78" t="str">
        <f>IFERROR(__xludf.DUMMYFUNCTION("""COMPUTED_VALUE"""),"02-Medellin")</f>
        <v>02-Medellin</v>
      </c>
      <c r="O172" s="156">
        <f>IFERROR(__xludf.DUMMYFUNCTION("""COMPUTED_VALUE"""),46112.0)</f>
        <v>46112</v>
      </c>
      <c r="P172" s="159">
        <f>IFERROR(__xludf.DUMMYFUNCTION("""COMPUTED_VALUE"""),6911.7)</f>
        <v>6911.7</v>
      </c>
      <c r="Q172" s="78" t="str">
        <f>IFERROR(__xludf.DUMMYFUNCTION("""COMPUTED_VALUE"""),"VIGENTE")</f>
        <v>VIGENTE</v>
      </c>
      <c r="R172" s="132" t="str">
        <f t="shared" si="2"/>
        <v>-</v>
      </c>
      <c r="T172" s="134" t="str">
        <f>CALENDARIO!D184</f>
        <v/>
      </c>
      <c r="U172" s="135" t="str">
        <f>CALENDARIO!C184</f>
        <v/>
      </c>
      <c r="W172" s="78"/>
      <c r="X172" s="136" t="str">
        <f>(VLOOKUP(W172,'BD LUB'!$A$2:$L$223,5,FALSE)/VLOOKUP(W172,'BD LUB'!$A$2:$L$223,7,FALSE))+(VLOOKUP(W172,'BD LUB'!$A$2:$L$223,6,FALSE)/VLOOKUP(W172,'BD LUB'!$A$2:$L$223,8,FALSE))</f>
        <v>#N/A</v>
      </c>
      <c r="Y172" s="137" t="str">
        <f>IF(AND(VLOOKUP(W172,'BD LUB'!$A$2:$L$223,11,FALSE)="PASADO",VLOOKUP(W172,'BD LUB'!$A$2:$L$223,12,FALSE)="PASADO"),1,IF(OR(AND(VLOOKUP(W172,'BD LUB'!$A$2:$L$223,11,FALSE)="PASADO",VLOOKUP(W172,'BD LUB'!$A$2:$L$223,12,FALSE)="PRÓXIMO"),AND(VLOOKUP(W172,'BD LUB'!$A$2:$L$223,11,FALSE)="PRÓXIMO",VLOOKUP(W172,'BD LUB'!$A$2:$L$223,12,FALSE)="PASADO")),2,IF(OR(AND(VLOOKUP(W172,'BD LUB'!$A$2:$L$223,11,FALSE)="PASADO",VLOOKUP(W172,'BD LUB'!$A$2:$L$223,12,FALSE)="VIGENTE"),AND(VLOOKUP(W172,'BD LUB'!$A$2:$L$223,11,FALSE)="VIGENTE",VLOOKUP(W172,'BD LUB'!$A$2:$L$223,12,FALSE)="PASADO")),3,IF(AND(VLOOKUP(W172,'BD LUB'!$A$2:$L$223,11,FALSE)="PRÓXIMO",VLOOKUP(W172,'BD LUB'!$A$2:$L$223,12,FALSE)="PRÓXIMO"),4,IF(OR(AND(VLOOKUP(W172,'BD LUB'!$A$2:$L$223,11,FALSE)="PRÓXIMO",VLOOKUP(W172,'BD LUB'!$A$2:$L$223,12,FALSE)="VIGENTE"),AND(VLOOKUP(W172,'BD LUB'!$A$2:$L$223,11,FALSE)="VIGENTE",VLOOKUP(W172,'BD LUB'!$A$2:$L$223,12,FALSE)="PRÓXIMO")),5,IF(AND(VLOOKUP(W172,'BD LUB'!$A$2:$L$223,11,FALSE)="VIGENTE",VLOOKUP(W172,'BD LUB'!$A$2:$L$223,12,FALSE)="VIGENTE"),6,"No definido"))))))</f>
        <v>#N/A</v>
      </c>
      <c r="Z172" s="138"/>
      <c r="AA172" s="139" t="str">
        <f>(VLOOKUP(Z172,'BD LUB'!$A$2:$L$223,5,FALSE)/VLOOKUP(Z172,'BD LUB'!$A$2:$L$223,7,FALSE))+(VLOOKUP(Z172,'BD LUB'!$A$2:$L$223,6,FALSE)/VLOOKUP(Z172,'BD LUB'!$A$2:$L$223,8,FALSE))</f>
        <v>#N/A</v>
      </c>
      <c r="AB172" s="78" t="str">
        <f>IF(AND(VLOOKUP(Z172,'BD LUB'!$A$2:$L$223,11,FALSE)="PASADO",VLOOKUP(Z172,'BD LUB'!$A$2:$L$223,12,FALSE)="PASADO"),1,IF(OR(AND(VLOOKUP(Z172,'BD LUB'!$A$2:$L$223,11,FALSE)="PASADO",VLOOKUP(Z172,'BD LUB'!$A$2:$L$223,12,FALSE)="PRÓXIMO"),AND(VLOOKUP(Z172,'BD LUB'!$A$2:$L$223,11,FALSE)="PRÓXIMO",VLOOKUP(Z172,'BD LUB'!$A$2:$L$223,12,FALSE)="PASADO")),2,IF(OR(AND(VLOOKUP(Z172,'BD LUB'!$A$2:$L$223,11,FALSE)="PASADO",VLOOKUP(Z172,'BD LUB'!$A$2:$L$223,12,FALSE)="VIGENTE"),AND(VLOOKUP(Z172,'BD LUB'!$A$2:$L$223,11,FALSE)="VIGENTE",VLOOKUP(Z172,'BD LUB'!$A$2:$L$223,12,FALSE)="PASADO")),3,IF(AND(VLOOKUP(Z172,'BD LUB'!$A$2:$L$223,11,FALSE)="PRÓXIMO",VLOOKUP(Z172,'BD LUB'!$A$2:$L$223,12,FALSE)="PRÓXIMO"),4,IF(OR(AND(VLOOKUP(Z172,'BD LUB'!$A$2:$L$223,11,FALSE)="PRÓXIMO",VLOOKUP(Z172,'BD LUB'!$A$2:$L$223,12,FALSE)="VIGENTE"),AND(VLOOKUP(Z172,'BD LUB'!$A$2:$L$223,11,FALSE)="VIGENTE",VLOOKUP(Z172,'BD LUB'!$A$2:$L$223,12,FALSE)="PRÓXIMO")),5,IF(AND(VLOOKUP(Z172,'BD LUB'!$A$2:$L$223,11,FALSE)="VIGENTE",VLOOKUP(Z172,'BD LUB'!$A$2:$L$223,12,FALSE)="VIGENTE"),6,"No definido"))))))</f>
        <v>#N/A</v>
      </c>
      <c r="AC172" s="78"/>
      <c r="AD172" s="136" t="str">
        <f>IF(VLOOKUP(AC172,'BD LUB'!$A$2:$C$223,3,FALSE)=$AH$20,AC172&amp;" MED",IF(VLOOKUP(AC172,'BD LUB'!$A$2:$C$223,3,FALSE)=$AH$19,AC172&amp;" MAY",IF(VLOOKUP(AC172,'BD LUB'!$A$2:$C$223,3,FALSE)=$AH$18,AC172&amp;" RN",IF(VLOOKUP(AC172,'BD LUB'!$A$2:$C$223,3,FALSE)=$AH$17,AC172&amp;" COPQUI",IF(VLOOKUP(AC172,'BD LUB'!$A$2:$C$223,3,FALSE)=$AH$16,AC172&amp;" CEJ",IF(VLOOKUP(AC172,'BD LUB'!$A$2:$C$223,3,FALSE)=$AH$15,AC172&amp;" BULT",IF(VLOOKUP(AC172,'BD LUB'!$A$2:$C$223,3,FALSE)=$AH$14,AC172&amp;" COP",IF(VLOOKUP(AC172,'BD LUB'!$A$2:$C$223,3,FALSE)=$AH$13,AC172&amp;" RIO",IF(VLOOKUP(AC172,'BD LUB'!$A$2:$C$223,3,FALSE)=$AH$21,AC172&amp;" APART","Dato no encontrado")))))))))</f>
        <v>#N/A</v>
      </c>
      <c r="AE172" s="160"/>
      <c r="AF172" s="160"/>
      <c r="AG172" s="160"/>
      <c r="AH172" s="160"/>
      <c r="AI172" s="160"/>
      <c r="AJ172" s="160"/>
      <c r="AP172" s="160"/>
      <c r="AV172" s="160"/>
    </row>
    <row r="173">
      <c r="A173" s="158"/>
      <c r="B173" s="126">
        <v>170.0</v>
      </c>
      <c r="C173" s="78">
        <f>IFERROR(__xludf.DUMMYFUNCTION("""COMPUTED_VALUE"""),2492.0)</f>
        <v>2492</v>
      </c>
      <c r="D173" s="156">
        <f>IFERROR(__xludf.DUMMYFUNCTION("""COMPUTED_VALUE"""),46555.0)</f>
        <v>46555</v>
      </c>
      <c r="E173" s="78" t="str">
        <f>IFERROR(__xludf.DUMMYFUNCTION("""COMPUTED_VALUE"""),"02-Medellin")</f>
        <v>02-Medellin</v>
      </c>
      <c r="F173" s="156">
        <f>IFERROR(__xludf.DUMMYFUNCTION("""COMPUTED_VALUE"""),46142.0)</f>
        <v>46142</v>
      </c>
      <c r="G173" s="159">
        <f>IFERROR(__xludf.DUMMYFUNCTION("""COMPUTED_VALUE"""),106.0)</f>
        <v>106</v>
      </c>
      <c r="H173" s="78" t="str">
        <f>IFERROR(__xludf.DUMMYFUNCTION("""COMPUTED_VALUE"""),"VIGENTE")</f>
        <v>VIGENTE</v>
      </c>
      <c r="I173" s="132" t="str">
        <f t="shared" si="1"/>
        <v>-</v>
      </c>
      <c r="J173" s="158"/>
      <c r="K173" s="126">
        <v>170.0</v>
      </c>
      <c r="L173" s="78">
        <f>IFERROR(__xludf.DUMMYFUNCTION("""COMPUTED_VALUE"""),2391.0)</f>
        <v>2391</v>
      </c>
      <c r="M173" s="156">
        <f>IFERROR(__xludf.DUMMYFUNCTION("""COMPUTED_VALUE"""),46527.0)</f>
        <v>46527</v>
      </c>
      <c r="N173" s="78" t="str">
        <f>IFERROR(__xludf.DUMMYFUNCTION("""COMPUTED_VALUE"""),"02-Medellin")</f>
        <v>02-Medellin</v>
      </c>
      <c r="O173" s="156">
        <f>IFERROR(__xludf.DUMMYFUNCTION("""COMPUTED_VALUE"""),46126.0)</f>
        <v>46126</v>
      </c>
      <c r="P173" s="159">
        <f>IFERROR(__xludf.DUMMYFUNCTION("""COMPUTED_VALUE"""),6968.7)</f>
        <v>6968.7</v>
      </c>
      <c r="Q173" s="78" t="str">
        <f>IFERROR(__xludf.DUMMYFUNCTION("""COMPUTED_VALUE"""),"VIGENTE")</f>
        <v>VIGENTE</v>
      </c>
      <c r="R173" s="132" t="str">
        <f t="shared" si="2"/>
        <v>-</v>
      </c>
      <c r="T173" s="134" t="str">
        <f>CALENDARIO!D185</f>
        <v/>
      </c>
      <c r="U173" s="135" t="str">
        <f>CALENDARIO!C185</f>
        <v/>
      </c>
      <c r="W173" s="78"/>
      <c r="X173" s="136" t="str">
        <f>(VLOOKUP(W173,'BD LUB'!$A$2:$L$223,5,FALSE)/VLOOKUP(W173,'BD LUB'!$A$2:$L$223,7,FALSE))+(VLOOKUP(W173,'BD LUB'!$A$2:$L$223,6,FALSE)/VLOOKUP(W173,'BD LUB'!$A$2:$L$223,8,FALSE))</f>
        <v>#N/A</v>
      </c>
      <c r="Y173" s="137" t="str">
        <f>IF(AND(VLOOKUP(W173,'BD LUB'!$A$2:$L$223,11,FALSE)="PASADO",VLOOKUP(W173,'BD LUB'!$A$2:$L$223,12,FALSE)="PASADO"),1,IF(OR(AND(VLOOKUP(W173,'BD LUB'!$A$2:$L$223,11,FALSE)="PASADO",VLOOKUP(W173,'BD LUB'!$A$2:$L$223,12,FALSE)="PRÓXIMO"),AND(VLOOKUP(W173,'BD LUB'!$A$2:$L$223,11,FALSE)="PRÓXIMO",VLOOKUP(W173,'BD LUB'!$A$2:$L$223,12,FALSE)="PASADO")),2,IF(OR(AND(VLOOKUP(W173,'BD LUB'!$A$2:$L$223,11,FALSE)="PASADO",VLOOKUP(W173,'BD LUB'!$A$2:$L$223,12,FALSE)="VIGENTE"),AND(VLOOKUP(W173,'BD LUB'!$A$2:$L$223,11,FALSE)="VIGENTE",VLOOKUP(W173,'BD LUB'!$A$2:$L$223,12,FALSE)="PASADO")),3,IF(AND(VLOOKUP(W173,'BD LUB'!$A$2:$L$223,11,FALSE)="PRÓXIMO",VLOOKUP(W173,'BD LUB'!$A$2:$L$223,12,FALSE)="PRÓXIMO"),4,IF(OR(AND(VLOOKUP(W173,'BD LUB'!$A$2:$L$223,11,FALSE)="PRÓXIMO",VLOOKUP(W173,'BD LUB'!$A$2:$L$223,12,FALSE)="VIGENTE"),AND(VLOOKUP(W173,'BD LUB'!$A$2:$L$223,11,FALSE)="VIGENTE",VLOOKUP(W173,'BD LUB'!$A$2:$L$223,12,FALSE)="PRÓXIMO")),5,IF(AND(VLOOKUP(W173,'BD LUB'!$A$2:$L$223,11,FALSE)="VIGENTE",VLOOKUP(W173,'BD LUB'!$A$2:$L$223,12,FALSE)="VIGENTE"),6,"No definido"))))))</f>
        <v>#N/A</v>
      </c>
      <c r="Z173" s="138"/>
      <c r="AA173" s="139" t="str">
        <f>(VLOOKUP(Z173,'BD LUB'!$A$2:$L$223,5,FALSE)/VLOOKUP(Z173,'BD LUB'!$A$2:$L$223,7,FALSE))+(VLOOKUP(Z173,'BD LUB'!$A$2:$L$223,6,FALSE)/VLOOKUP(Z173,'BD LUB'!$A$2:$L$223,8,FALSE))</f>
        <v>#N/A</v>
      </c>
      <c r="AB173" s="78" t="str">
        <f>IF(AND(VLOOKUP(Z173,'BD LUB'!$A$2:$L$223,11,FALSE)="PASADO",VLOOKUP(Z173,'BD LUB'!$A$2:$L$223,12,FALSE)="PASADO"),1,IF(OR(AND(VLOOKUP(Z173,'BD LUB'!$A$2:$L$223,11,FALSE)="PASADO",VLOOKUP(Z173,'BD LUB'!$A$2:$L$223,12,FALSE)="PRÓXIMO"),AND(VLOOKUP(Z173,'BD LUB'!$A$2:$L$223,11,FALSE)="PRÓXIMO",VLOOKUP(Z173,'BD LUB'!$A$2:$L$223,12,FALSE)="PASADO")),2,IF(OR(AND(VLOOKUP(Z173,'BD LUB'!$A$2:$L$223,11,FALSE)="PASADO",VLOOKUP(Z173,'BD LUB'!$A$2:$L$223,12,FALSE)="VIGENTE"),AND(VLOOKUP(Z173,'BD LUB'!$A$2:$L$223,11,FALSE)="VIGENTE",VLOOKUP(Z173,'BD LUB'!$A$2:$L$223,12,FALSE)="PASADO")),3,IF(AND(VLOOKUP(Z173,'BD LUB'!$A$2:$L$223,11,FALSE)="PRÓXIMO",VLOOKUP(Z173,'BD LUB'!$A$2:$L$223,12,FALSE)="PRÓXIMO"),4,IF(OR(AND(VLOOKUP(Z173,'BD LUB'!$A$2:$L$223,11,FALSE)="PRÓXIMO",VLOOKUP(Z173,'BD LUB'!$A$2:$L$223,12,FALSE)="VIGENTE"),AND(VLOOKUP(Z173,'BD LUB'!$A$2:$L$223,11,FALSE)="VIGENTE",VLOOKUP(Z173,'BD LUB'!$A$2:$L$223,12,FALSE)="PRÓXIMO")),5,IF(AND(VLOOKUP(Z173,'BD LUB'!$A$2:$L$223,11,FALSE)="VIGENTE",VLOOKUP(Z173,'BD LUB'!$A$2:$L$223,12,FALSE)="VIGENTE"),6,"No definido"))))))</f>
        <v>#N/A</v>
      </c>
      <c r="AC173" s="78"/>
      <c r="AD173" s="136" t="str">
        <f>IF(VLOOKUP(AC173,'BD LUB'!$A$2:$C$223,3,FALSE)=$AH$20,AC173&amp;" MED",IF(VLOOKUP(AC173,'BD LUB'!$A$2:$C$223,3,FALSE)=$AH$19,AC173&amp;" MAY",IF(VLOOKUP(AC173,'BD LUB'!$A$2:$C$223,3,FALSE)=$AH$18,AC173&amp;" RN",IF(VLOOKUP(AC173,'BD LUB'!$A$2:$C$223,3,FALSE)=$AH$17,AC173&amp;" COPQUI",IF(VLOOKUP(AC173,'BD LUB'!$A$2:$C$223,3,FALSE)=$AH$16,AC173&amp;" CEJ",IF(VLOOKUP(AC173,'BD LUB'!$A$2:$C$223,3,FALSE)=$AH$15,AC173&amp;" BULT",IF(VLOOKUP(AC173,'BD LUB'!$A$2:$C$223,3,FALSE)=$AH$14,AC173&amp;" COP",IF(VLOOKUP(AC173,'BD LUB'!$A$2:$C$223,3,FALSE)=$AH$13,AC173&amp;" RIO",IF(VLOOKUP(AC173,'BD LUB'!$A$2:$C$223,3,FALSE)=$AH$21,AC173&amp;" APART","Dato no encontrado")))))))))</f>
        <v>#N/A</v>
      </c>
      <c r="AE173" s="160"/>
      <c r="AF173" s="160"/>
      <c r="AG173" s="160"/>
      <c r="AH173" s="160"/>
      <c r="AI173" s="160"/>
      <c r="AJ173" s="160"/>
      <c r="AP173" s="160"/>
      <c r="AV173" s="160"/>
    </row>
    <row r="174">
      <c r="A174" s="158"/>
      <c r="B174" s="126">
        <v>171.0</v>
      </c>
      <c r="C174" s="78">
        <f>IFERROR(__xludf.DUMMYFUNCTION("""COMPUTED_VALUE"""),2404.0)</f>
        <v>2404</v>
      </c>
      <c r="D174" s="156">
        <f>IFERROR(__xludf.DUMMYFUNCTION("""COMPUTED_VALUE"""),46484.0)</f>
        <v>46484</v>
      </c>
      <c r="E174" s="78" t="str">
        <f>IFERROR(__xludf.DUMMYFUNCTION("""COMPUTED_VALUE"""),"02-Medellin")</f>
        <v>02-Medellin</v>
      </c>
      <c r="F174" s="156">
        <f>IFERROR(__xludf.DUMMYFUNCTION("""COMPUTED_VALUE"""),46142.0)</f>
        <v>46142</v>
      </c>
      <c r="G174" s="159">
        <f>IFERROR(__xludf.DUMMYFUNCTION("""COMPUTED_VALUE"""),106.0)</f>
        <v>106</v>
      </c>
      <c r="H174" s="78" t="str">
        <f>IFERROR(__xludf.DUMMYFUNCTION("""COMPUTED_VALUE"""),"VIGENTE")</f>
        <v>VIGENTE</v>
      </c>
      <c r="I174" s="132" t="str">
        <f t="shared" si="1"/>
        <v>-</v>
      </c>
      <c r="J174" s="158"/>
      <c r="K174" s="126">
        <v>171.0</v>
      </c>
      <c r="L174" s="78">
        <f>IFERROR(__xludf.DUMMYFUNCTION("""COMPUTED_VALUE"""),2875.0)</f>
        <v>2875</v>
      </c>
      <c r="M174" s="156">
        <f>IFERROR(__xludf.DUMMYFUNCTION("""COMPUTED_VALUE"""),46226.0)</f>
        <v>46226</v>
      </c>
      <c r="N174" s="78" t="str">
        <f>IFERROR(__xludf.DUMMYFUNCTION("""COMPUTED_VALUE"""),"02-Medellin")</f>
        <v>02-Medellin</v>
      </c>
      <c r="O174" s="156">
        <f>IFERROR(__xludf.DUMMYFUNCTION("""COMPUTED_VALUE"""),46056.0)</f>
        <v>46056</v>
      </c>
      <c r="P174" s="159">
        <f>IFERROR(__xludf.DUMMYFUNCTION("""COMPUTED_VALUE"""),7018.0)</f>
        <v>7018</v>
      </c>
      <c r="Q174" s="78" t="str">
        <f>IFERROR(__xludf.DUMMYFUNCTION("""COMPUTED_VALUE"""),"VIGENTE")</f>
        <v>VIGENTE</v>
      </c>
      <c r="R174" s="132" t="str">
        <f t="shared" si="2"/>
        <v>-</v>
      </c>
      <c r="T174" s="134" t="str">
        <f>CALENDARIO!D186</f>
        <v/>
      </c>
      <c r="U174" s="135" t="str">
        <f>CALENDARIO!C186</f>
        <v/>
      </c>
      <c r="W174" s="78"/>
      <c r="X174" s="136" t="str">
        <f>(VLOOKUP(W174,'BD LUB'!$A$2:$L$223,5,FALSE)/VLOOKUP(W174,'BD LUB'!$A$2:$L$223,7,FALSE))+(VLOOKUP(W174,'BD LUB'!$A$2:$L$223,6,FALSE)/VLOOKUP(W174,'BD LUB'!$A$2:$L$223,8,FALSE))</f>
        <v>#N/A</v>
      </c>
      <c r="Y174" s="137" t="str">
        <f>IF(AND(VLOOKUP(W174,'BD LUB'!$A$2:$L$223,11,FALSE)="PASADO",VLOOKUP(W174,'BD LUB'!$A$2:$L$223,12,FALSE)="PASADO"),1,IF(OR(AND(VLOOKUP(W174,'BD LUB'!$A$2:$L$223,11,FALSE)="PASADO",VLOOKUP(W174,'BD LUB'!$A$2:$L$223,12,FALSE)="PRÓXIMO"),AND(VLOOKUP(W174,'BD LUB'!$A$2:$L$223,11,FALSE)="PRÓXIMO",VLOOKUP(W174,'BD LUB'!$A$2:$L$223,12,FALSE)="PASADO")),2,IF(OR(AND(VLOOKUP(W174,'BD LUB'!$A$2:$L$223,11,FALSE)="PASADO",VLOOKUP(W174,'BD LUB'!$A$2:$L$223,12,FALSE)="VIGENTE"),AND(VLOOKUP(W174,'BD LUB'!$A$2:$L$223,11,FALSE)="VIGENTE",VLOOKUP(W174,'BD LUB'!$A$2:$L$223,12,FALSE)="PASADO")),3,IF(AND(VLOOKUP(W174,'BD LUB'!$A$2:$L$223,11,FALSE)="PRÓXIMO",VLOOKUP(W174,'BD LUB'!$A$2:$L$223,12,FALSE)="PRÓXIMO"),4,IF(OR(AND(VLOOKUP(W174,'BD LUB'!$A$2:$L$223,11,FALSE)="PRÓXIMO",VLOOKUP(W174,'BD LUB'!$A$2:$L$223,12,FALSE)="VIGENTE"),AND(VLOOKUP(W174,'BD LUB'!$A$2:$L$223,11,FALSE)="VIGENTE",VLOOKUP(W174,'BD LUB'!$A$2:$L$223,12,FALSE)="PRÓXIMO")),5,IF(AND(VLOOKUP(W174,'BD LUB'!$A$2:$L$223,11,FALSE)="VIGENTE",VLOOKUP(W174,'BD LUB'!$A$2:$L$223,12,FALSE)="VIGENTE"),6,"No definido"))))))</f>
        <v>#N/A</v>
      </c>
      <c r="Z174" s="138"/>
      <c r="AA174" s="139" t="str">
        <f>(VLOOKUP(Z174,'BD LUB'!$A$2:$L$223,5,FALSE)/VLOOKUP(Z174,'BD LUB'!$A$2:$L$223,7,FALSE))+(VLOOKUP(Z174,'BD LUB'!$A$2:$L$223,6,FALSE)/VLOOKUP(Z174,'BD LUB'!$A$2:$L$223,8,FALSE))</f>
        <v>#N/A</v>
      </c>
      <c r="AB174" s="78" t="str">
        <f>IF(AND(VLOOKUP(Z174,'BD LUB'!$A$2:$L$223,11,FALSE)="PASADO",VLOOKUP(Z174,'BD LUB'!$A$2:$L$223,12,FALSE)="PASADO"),1,IF(OR(AND(VLOOKUP(Z174,'BD LUB'!$A$2:$L$223,11,FALSE)="PASADO",VLOOKUP(Z174,'BD LUB'!$A$2:$L$223,12,FALSE)="PRÓXIMO"),AND(VLOOKUP(Z174,'BD LUB'!$A$2:$L$223,11,FALSE)="PRÓXIMO",VLOOKUP(Z174,'BD LUB'!$A$2:$L$223,12,FALSE)="PASADO")),2,IF(OR(AND(VLOOKUP(Z174,'BD LUB'!$A$2:$L$223,11,FALSE)="PASADO",VLOOKUP(Z174,'BD LUB'!$A$2:$L$223,12,FALSE)="VIGENTE"),AND(VLOOKUP(Z174,'BD LUB'!$A$2:$L$223,11,FALSE)="VIGENTE",VLOOKUP(Z174,'BD LUB'!$A$2:$L$223,12,FALSE)="PASADO")),3,IF(AND(VLOOKUP(Z174,'BD LUB'!$A$2:$L$223,11,FALSE)="PRÓXIMO",VLOOKUP(Z174,'BD LUB'!$A$2:$L$223,12,FALSE)="PRÓXIMO"),4,IF(OR(AND(VLOOKUP(Z174,'BD LUB'!$A$2:$L$223,11,FALSE)="PRÓXIMO",VLOOKUP(Z174,'BD LUB'!$A$2:$L$223,12,FALSE)="VIGENTE"),AND(VLOOKUP(Z174,'BD LUB'!$A$2:$L$223,11,FALSE)="VIGENTE",VLOOKUP(Z174,'BD LUB'!$A$2:$L$223,12,FALSE)="PRÓXIMO")),5,IF(AND(VLOOKUP(Z174,'BD LUB'!$A$2:$L$223,11,FALSE)="VIGENTE",VLOOKUP(Z174,'BD LUB'!$A$2:$L$223,12,FALSE)="VIGENTE"),6,"No definido"))))))</f>
        <v>#N/A</v>
      </c>
      <c r="AC174" s="78"/>
      <c r="AD174" s="136" t="str">
        <f>IF(VLOOKUP(AC174,'BD LUB'!$A$2:$C$223,3,FALSE)=$AH$20,AC174&amp;" MED",IF(VLOOKUP(AC174,'BD LUB'!$A$2:$C$223,3,FALSE)=$AH$19,AC174&amp;" MAY",IF(VLOOKUP(AC174,'BD LUB'!$A$2:$C$223,3,FALSE)=$AH$18,AC174&amp;" RN",IF(VLOOKUP(AC174,'BD LUB'!$A$2:$C$223,3,FALSE)=$AH$17,AC174&amp;" COPQUI",IF(VLOOKUP(AC174,'BD LUB'!$A$2:$C$223,3,FALSE)=$AH$16,AC174&amp;" CEJ",IF(VLOOKUP(AC174,'BD LUB'!$A$2:$C$223,3,FALSE)=$AH$15,AC174&amp;" BULT",IF(VLOOKUP(AC174,'BD LUB'!$A$2:$C$223,3,FALSE)=$AH$14,AC174&amp;" COP",IF(VLOOKUP(AC174,'BD LUB'!$A$2:$C$223,3,FALSE)=$AH$13,AC174&amp;" RIO",IF(VLOOKUP(AC174,'BD LUB'!$A$2:$C$223,3,FALSE)=$AH$21,AC174&amp;" APART","Dato no encontrado")))))))))</f>
        <v>#N/A</v>
      </c>
      <c r="AE174" s="160"/>
      <c r="AF174" s="160"/>
      <c r="AG174" s="160"/>
      <c r="AH174" s="160"/>
      <c r="AI174" s="160"/>
      <c r="AJ174" s="160"/>
      <c r="AP174" s="160"/>
      <c r="AV174" s="160"/>
    </row>
    <row r="175">
      <c r="A175" s="158"/>
      <c r="B175" s="126">
        <v>172.0</v>
      </c>
      <c r="C175" s="78">
        <f>IFERROR(__xludf.DUMMYFUNCTION("""COMPUTED_VALUE"""),2919.0)</f>
        <v>2919</v>
      </c>
      <c r="D175" s="156">
        <f>IFERROR(__xludf.DUMMYFUNCTION("""COMPUTED_VALUE"""),46303.0)</f>
        <v>46303</v>
      </c>
      <c r="E175" s="78" t="str">
        <f>IFERROR(__xludf.DUMMYFUNCTION("""COMPUTED_VALUE"""),"MAYORCA")</f>
        <v>MAYORCA</v>
      </c>
      <c r="F175" s="156">
        <f>IFERROR(__xludf.DUMMYFUNCTION("""COMPUTED_VALUE"""),46145.0)</f>
        <v>46145</v>
      </c>
      <c r="G175" s="159">
        <f>IFERROR(__xludf.DUMMYFUNCTION("""COMPUTED_VALUE"""),109.0)</f>
        <v>109</v>
      </c>
      <c r="H175" s="78" t="str">
        <f>IFERROR(__xludf.DUMMYFUNCTION("""COMPUTED_VALUE"""),"VIGENTE")</f>
        <v>VIGENTE</v>
      </c>
      <c r="I175" s="132" t="str">
        <f t="shared" si="1"/>
        <v>-</v>
      </c>
      <c r="J175" s="158"/>
      <c r="K175" s="126">
        <v>172.0</v>
      </c>
      <c r="L175" s="78">
        <f>IFERROR(__xludf.DUMMYFUNCTION("""COMPUTED_VALUE"""),2195.0)</f>
        <v>2195</v>
      </c>
      <c r="M175" s="156">
        <f>IFERROR(__xludf.DUMMYFUNCTION("""COMPUTED_VALUE"""),46544.0)</f>
        <v>46544</v>
      </c>
      <c r="N175" s="78" t="str">
        <f>IFERROR(__xludf.DUMMYFUNCTION("""COMPUTED_VALUE"""),"02-Medellin")</f>
        <v>02-Medellin</v>
      </c>
      <c r="O175" s="156">
        <f>IFERROR(__xludf.DUMMYFUNCTION("""COMPUTED_VALUE"""),46108.0)</f>
        <v>46108</v>
      </c>
      <c r="P175" s="159">
        <f>IFERROR(__xludf.DUMMYFUNCTION("""COMPUTED_VALUE"""),7148.0)</f>
        <v>7148</v>
      </c>
      <c r="Q175" s="78" t="str">
        <f>IFERROR(__xludf.DUMMYFUNCTION("""COMPUTED_VALUE"""),"VIGENTE")</f>
        <v>VIGENTE</v>
      </c>
      <c r="R175" s="132" t="str">
        <f t="shared" si="2"/>
        <v>-</v>
      </c>
      <c r="T175" s="134" t="str">
        <f>CALENDARIO!D187</f>
        <v/>
      </c>
      <c r="U175" s="135" t="str">
        <f>CALENDARIO!C187</f>
        <v/>
      </c>
      <c r="W175" s="78"/>
      <c r="X175" s="136" t="str">
        <f>(VLOOKUP(W175,'BD LUB'!$A$2:$L$223,5,FALSE)/VLOOKUP(W175,'BD LUB'!$A$2:$L$223,7,FALSE))+(VLOOKUP(W175,'BD LUB'!$A$2:$L$223,6,FALSE)/VLOOKUP(W175,'BD LUB'!$A$2:$L$223,8,FALSE))</f>
        <v>#N/A</v>
      </c>
      <c r="Y175" s="137" t="str">
        <f>IF(AND(VLOOKUP(W175,'BD LUB'!$A$2:$L$223,11,FALSE)="PASADO",VLOOKUP(W175,'BD LUB'!$A$2:$L$223,12,FALSE)="PASADO"),1,IF(OR(AND(VLOOKUP(W175,'BD LUB'!$A$2:$L$223,11,FALSE)="PASADO",VLOOKUP(W175,'BD LUB'!$A$2:$L$223,12,FALSE)="PRÓXIMO"),AND(VLOOKUP(W175,'BD LUB'!$A$2:$L$223,11,FALSE)="PRÓXIMO",VLOOKUP(W175,'BD LUB'!$A$2:$L$223,12,FALSE)="PASADO")),2,IF(OR(AND(VLOOKUP(W175,'BD LUB'!$A$2:$L$223,11,FALSE)="PASADO",VLOOKUP(W175,'BD LUB'!$A$2:$L$223,12,FALSE)="VIGENTE"),AND(VLOOKUP(W175,'BD LUB'!$A$2:$L$223,11,FALSE)="VIGENTE",VLOOKUP(W175,'BD LUB'!$A$2:$L$223,12,FALSE)="PASADO")),3,IF(AND(VLOOKUP(W175,'BD LUB'!$A$2:$L$223,11,FALSE)="PRÓXIMO",VLOOKUP(W175,'BD LUB'!$A$2:$L$223,12,FALSE)="PRÓXIMO"),4,IF(OR(AND(VLOOKUP(W175,'BD LUB'!$A$2:$L$223,11,FALSE)="PRÓXIMO",VLOOKUP(W175,'BD LUB'!$A$2:$L$223,12,FALSE)="VIGENTE"),AND(VLOOKUP(W175,'BD LUB'!$A$2:$L$223,11,FALSE)="VIGENTE",VLOOKUP(W175,'BD LUB'!$A$2:$L$223,12,FALSE)="PRÓXIMO")),5,IF(AND(VLOOKUP(W175,'BD LUB'!$A$2:$L$223,11,FALSE)="VIGENTE",VLOOKUP(W175,'BD LUB'!$A$2:$L$223,12,FALSE)="VIGENTE"),6,"No definido"))))))</f>
        <v>#N/A</v>
      </c>
      <c r="Z175" s="138"/>
      <c r="AA175" s="139" t="str">
        <f>(VLOOKUP(Z175,'BD LUB'!$A$2:$L$223,5,FALSE)/VLOOKUP(Z175,'BD LUB'!$A$2:$L$223,7,FALSE))+(VLOOKUP(Z175,'BD LUB'!$A$2:$L$223,6,FALSE)/VLOOKUP(Z175,'BD LUB'!$A$2:$L$223,8,FALSE))</f>
        <v>#N/A</v>
      </c>
      <c r="AB175" s="78" t="str">
        <f>IF(AND(VLOOKUP(Z175,'BD LUB'!$A$2:$L$223,11,FALSE)="PASADO",VLOOKUP(Z175,'BD LUB'!$A$2:$L$223,12,FALSE)="PASADO"),1,IF(OR(AND(VLOOKUP(Z175,'BD LUB'!$A$2:$L$223,11,FALSE)="PASADO",VLOOKUP(Z175,'BD LUB'!$A$2:$L$223,12,FALSE)="PRÓXIMO"),AND(VLOOKUP(Z175,'BD LUB'!$A$2:$L$223,11,FALSE)="PRÓXIMO",VLOOKUP(Z175,'BD LUB'!$A$2:$L$223,12,FALSE)="PASADO")),2,IF(OR(AND(VLOOKUP(Z175,'BD LUB'!$A$2:$L$223,11,FALSE)="PASADO",VLOOKUP(Z175,'BD LUB'!$A$2:$L$223,12,FALSE)="VIGENTE"),AND(VLOOKUP(Z175,'BD LUB'!$A$2:$L$223,11,FALSE)="VIGENTE",VLOOKUP(Z175,'BD LUB'!$A$2:$L$223,12,FALSE)="PASADO")),3,IF(AND(VLOOKUP(Z175,'BD LUB'!$A$2:$L$223,11,FALSE)="PRÓXIMO",VLOOKUP(Z175,'BD LUB'!$A$2:$L$223,12,FALSE)="PRÓXIMO"),4,IF(OR(AND(VLOOKUP(Z175,'BD LUB'!$A$2:$L$223,11,FALSE)="PRÓXIMO",VLOOKUP(Z175,'BD LUB'!$A$2:$L$223,12,FALSE)="VIGENTE"),AND(VLOOKUP(Z175,'BD LUB'!$A$2:$L$223,11,FALSE)="VIGENTE",VLOOKUP(Z175,'BD LUB'!$A$2:$L$223,12,FALSE)="PRÓXIMO")),5,IF(AND(VLOOKUP(Z175,'BD LUB'!$A$2:$L$223,11,FALSE)="VIGENTE",VLOOKUP(Z175,'BD LUB'!$A$2:$L$223,12,FALSE)="VIGENTE"),6,"No definido"))))))</f>
        <v>#N/A</v>
      </c>
      <c r="AC175" s="78"/>
      <c r="AD175" s="136" t="str">
        <f>IF(VLOOKUP(AC175,'BD LUB'!$A$2:$C$223,3,FALSE)=$AH$20,AC175&amp;" MED",IF(VLOOKUP(AC175,'BD LUB'!$A$2:$C$223,3,FALSE)=$AH$19,AC175&amp;" MAY",IF(VLOOKUP(AC175,'BD LUB'!$A$2:$C$223,3,FALSE)=$AH$18,AC175&amp;" RN",IF(VLOOKUP(AC175,'BD LUB'!$A$2:$C$223,3,FALSE)=$AH$17,AC175&amp;" COPQUI",IF(VLOOKUP(AC175,'BD LUB'!$A$2:$C$223,3,FALSE)=$AH$16,AC175&amp;" CEJ",IF(VLOOKUP(AC175,'BD LUB'!$A$2:$C$223,3,FALSE)=$AH$15,AC175&amp;" BULT",IF(VLOOKUP(AC175,'BD LUB'!$A$2:$C$223,3,FALSE)=$AH$14,AC175&amp;" COP",IF(VLOOKUP(AC175,'BD LUB'!$A$2:$C$223,3,FALSE)=$AH$13,AC175&amp;" RIO",IF(VLOOKUP(AC175,'BD LUB'!$A$2:$C$223,3,FALSE)=$AH$21,AC175&amp;" APART","Dato no encontrado")))))))))</f>
        <v>#N/A</v>
      </c>
      <c r="AE175" s="160"/>
      <c r="AF175" s="160"/>
      <c r="AG175" s="160"/>
      <c r="AH175" s="160"/>
      <c r="AI175" s="160"/>
      <c r="AJ175" s="160"/>
      <c r="AP175" s="160"/>
      <c r="AV175" s="160"/>
    </row>
    <row r="176">
      <c r="A176" s="158"/>
      <c r="B176" s="126">
        <v>173.0</v>
      </c>
      <c r="C176" s="78">
        <f>IFERROR(__xludf.DUMMYFUNCTION("""COMPUTED_VALUE"""),2462.0)</f>
        <v>2462</v>
      </c>
      <c r="D176" s="156">
        <f>IFERROR(__xludf.DUMMYFUNCTION("""COMPUTED_VALUE"""),46299.0)</f>
        <v>46299</v>
      </c>
      <c r="E176" s="78" t="str">
        <f>IFERROR(__xludf.DUMMYFUNCTION("""COMPUTED_VALUE"""),"02-Medellin")</f>
        <v>02-Medellin</v>
      </c>
      <c r="F176" s="156">
        <f>IFERROR(__xludf.DUMMYFUNCTION("""COMPUTED_VALUE"""),46145.0)</f>
        <v>46145</v>
      </c>
      <c r="G176" s="159">
        <f>IFERROR(__xludf.DUMMYFUNCTION("""COMPUTED_VALUE"""),109.0)</f>
        <v>109</v>
      </c>
      <c r="H176" s="78" t="str">
        <f>IFERROR(__xludf.DUMMYFUNCTION("""COMPUTED_VALUE"""),"VIGENTE")</f>
        <v>VIGENTE</v>
      </c>
      <c r="I176" s="132" t="str">
        <f t="shared" si="1"/>
        <v>-</v>
      </c>
      <c r="J176" s="158"/>
      <c r="K176" s="126">
        <v>173.0</v>
      </c>
      <c r="L176" s="78">
        <f>IFERROR(__xludf.DUMMYFUNCTION("""COMPUTED_VALUE"""),2462.0)</f>
        <v>2462</v>
      </c>
      <c r="M176" s="156">
        <f>IFERROR(__xludf.DUMMYFUNCTION("""COMPUTED_VALUE"""),46299.0)</f>
        <v>46299</v>
      </c>
      <c r="N176" s="78" t="str">
        <f>IFERROR(__xludf.DUMMYFUNCTION("""COMPUTED_VALUE"""),"02-Medellin")</f>
        <v>02-Medellin</v>
      </c>
      <c r="O176" s="156">
        <f>IFERROR(__xludf.DUMMYFUNCTION("""COMPUTED_VALUE"""),46145.0)</f>
        <v>46145</v>
      </c>
      <c r="P176" s="159">
        <f>IFERROR(__xludf.DUMMYFUNCTION("""COMPUTED_VALUE"""),7178.6)</f>
        <v>7178.6</v>
      </c>
      <c r="Q176" s="78" t="str">
        <f>IFERROR(__xludf.DUMMYFUNCTION("""COMPUTED_VALUE"""),"VIGENTE")</f>
        <v>VIGENTE</v>
      </c>
      <c r="R176" s="132" t="str">
        <f t="shared" si="2"/>
        <v>-</v>
      </c>
      <c r="T176" s="134" t="str">
        <f>CALENDARIO!D188</f>
        <v/>
      </c>
      <c r="U176" s="135" t="str">
        <f>CALENDARIO!C188</f>
        <v/>
      </c>
      <c r="W176" s="78"/>
      <c r="X176" s="136" t="str">
        <f>(VLOOKUP(W176,'BD LUB'!$A$2:$L$223,5,FALSE)/VLOOKUP(W176,'BD LUB'!$A$2:$L$223,7,FALSE))+(VLOOKUP(W176,'BD LUB'!$A$2:$L$223,6,FALSE)/VLOOKUP(W176,'BD LUB'!$A$2:$L$223,8,FALSE))</f>
        <v>#N/A</v>
      </c>
      <c r="Y176" s="137" t="str">
        <f>IF(AND(VLOOKUP(W176,'BD LUB'!$A$2:$L$223,11,FALSE)="PASADO",VLOOKUP(W176,'BD LUB'!$A$2:$L$223,12,FALSE)="PASADO"),1,IF(OR(AND(VLOOKUP(W176,'BD LUB'!$A$2:$L$223,11,FALSE)="PASADO",VLOOKUP(W176,'BD LUB'!$A$2:$L$223,12,FALSE)="PRÓXIMO"),AND(VLOOKUP(W176,'BD LUB'!$A$2:$L$223,11,FALSE)="PRÓXIMO",VLOOKUP(W176,'BD LUB'!$A$2:$L$223,12,FALSE)="PASADO")),2,IF(OR(AND(VLOOKUP(W176,'BD LUB'!$A$2:$L$223,11,FALSE)="PASADO",VLOOKUP(W176,'BD LUB'!$A$2:$L$223,12,FALSE)="VIGENTE"),AND(VLOOKUP(W176,'BD LUB'!$A$2:$L$223,11,FALSE)="VIGENTE",VLOOKUP(W176,'BD LUB'!$A$2:$L$223,12,FALSE)="PASADO")),3,IF(AND(VLOOKUP(W176,'BD LUB'!$A$2:$L$223,11,FALSE)="PRÓXIMO",VLOOKUP(W176,'BD LUB'!$A$2:$L$223,12,FALSE)="PRÓXIMO"),4,IF(OR(AND(VLOOKUP(W176,'BD LUB'!$A$2:$L$223,11,FALSE)="PRÓXIMO",VLOOKUP(W176,'BD LUB'!$A$2:$L$223,12,FALSE)="VIGENTE"),AND(VLOOKUP(W176,'BD LUB'!$A$2:$L$223,11,FALSE)="VIGENTE",VLOOKUP(W176,'BD LUB'!$A$2:$L$223,12,FALSE)="PRÓXIMO")),5,IF(AND(VLOOKUP(W176,'BD LUB'!$A$2:$L$223,11,FALSE)="VIGENTE",VLOOKUP(W176,'BD LUB'!$A$2:$L$223,12,FALSE)="VIGENTE"),6,"No definido"))))))</f>
        <v>#N/A</v>
      </c>
      <c r="Z176" s="138"/>
      <c r="AA176" s="139" t="str">
        <f>(VLOOKUP(Z176,'BD LUB'!$A$2:$L$223,5,FALSE)/VLOOKUP(Z176,'BD LUB'!$A$2:$L$223,7,FALSE))+(VLOOKUP(Z176,'BD LUB'!$A$2:$L$223,6,FALSE)/VLOOKUP(Z176,'BD LUB'!$A$2:$L$223,8,FALSE))</f>
        <v>#N/A</v>
      </c>
      <c r="AB176" s="78" t="str">
        <f>IF(AND(VLOOKUP(Z176,'BD LUB'!$A$2:$L$223,11,FALSE)="PASADO",VLOOKUP(Z176,'BD LUB'!$A$2:$L$223,12,FALSE)="PASADO"),1,IF(OR(AND(VLOOKUP(Z176,'BD LUB'!$A$2:$L$223,11,FALSE)="PASADO",VLOOKUP(Z176,'BD LUB'!$A$2:$L$223,12,FALSE)="PRÓXIMO"),AND(VLOOKUP(Z176,'BD LUB'!$A$2:$L$223,11,FALSE)="PRÓXIMO",VLOOKUP(Z176,'BD LUB'!$A$2:$L$223,12,FALSE)="PASADO")),2,IF(OR(AND(VLOOKUP(Z176,'BD LUB'!$A$2:$L$223,11,FALSE)="PASADO",VLOOKUP(Z176,'BD LUB'!$A$2:$L$223,12,FALSE)="VIGENTE"),AND(VLOOKUP(Z176,'BD LUB'!$A$2:$L$223,11,FALSE)="VIGENTE",VLOOKUP(Z176,'BD LUB'!$A$2:$L$223,12,FALSE)="PASADO")),3,IF(AND(VLOOKUP(Z176,'BD LUB'!$A$2:$L$223,11,FALSE)="PRÓXIMO",VLOOKUP(Z176,'BD LUB'!$A$2:$L$223,12,FALSE)="PRÓXIMO"),4,IF(OR(AND(VLOOKUP(Z176,'BD LUB'!$A$2:$L$223,11,FALSE)="PRÓXIMO",VLOOKUP(Z176,'BD LUB'!$A$2:$L$223,12,FALSE)="VIGENTE"),AND(VLOOKUP(Z176,'BD LUB'!$A$2:$L$223,11,FALSE)="VIGENTE",VLOOKUP(Z176,'BD LUB'!$A$2:$L$223,12,FALSE)="PRÓXIMO")),5,IF(AND(VLOOKUP(Z176,'BD LUB'!$A$2:$L$223,11,FALSE)="VIGENTE",VLOOKUP(Z176,'BD LUB'!$A$2:$L$223,12,FALSE)="VIGENTE"),6,"No definido"))))))</f>
        <v>#N/A</v>
      </c>
      <c r="AC176" s="78"/>
      <c r="AD176" s="136" t="str">
        <f>IF(VLOOKUP(AC176,'BD LUB'!$A$2:$C$223,3,FALSE)=$AH$20,AC176&amp;" MED",IF(VLOOKUP(AC176,'BD LUB'!$A$2:$C$223,3,FALSE)=$AH$19,AC176&amp;" MAY",IF(VLOOKUP(AC176,'BD LUB'!$A$2:$C$223,3,FALSE)=$AH$18,AC176&amp;" RN",IF(VLOOKUP(AC176,'BD LUB'!$A$2:$C$223,3,FALSE)=$AH$17,AC176&amp;" COPQUI",IF(VLOOKUP(AC176,'BD LUB'!$A$2:$C$223,3,FALSE)=$AH$16,AC176&amp;" CEJ",IF(VLOOKUP(AC176,'BD LUB'!$A$2:$C$223,3,FALSE)=$AH$15,AC176&amp;" BULT",IF(VLOOKUP(AC176,'BD LUB'!$A$2:$C$223,3,FALSE)=$AH$14,AC176&amp;" COP",IF(VLOOKUP(AC176,'BD LUB'!$A$2:$C$223,3,FALSE)=$AH$13,AC176&amp;" RIO",IF(VLOOKUP(AC176,'BD LUB'!$A$2:$C$223,3,FALSE)=$AH$21,AC176&amp;" APART","Dato no encontrado")))))))))</f>
        <v>#N/A</v>
      </c>
      <c r="AE176" s="160"/>
      <c r="AF176" s="160"/>
      <c r="AG176" s="160"/>
      <c r="AH176" s="160"/>
      <c r="AI176" s="160"/>
      <c r="AJ176" s="160"/>
      <c r="AP176" s="160"/>
      <c r="AV176" s="160"/>
    </row>
    <row r="177">
      <c r="A177" s="158"/>
      <c r="B177" s="126">
        <v>174.0</v>
      </c>
      <c r="C177" s="78">
        <f>IFERROR(__xludf.DUMMYFUNCTION("""COMPUTED_VALUE"""),3241.0)</f>
        <v>3241</v>
      </c>
      <c r="D177" s="156">
        <f>IFERROR(__xludf.DUMMYFUNCTION("""COMPUTED_VALUE"""),46661.0)</f>
        <v>46661</v>
      </c>
      <c r="E177" s="78" t="str">
        <f>IFERROR(__xludf.DUMMYFUNCTION("""COMPUTED_VALUE"""),"02-Medellin")</f>
        <v>02-Medellin</v>
      </c>
      <c r="F177" s="156">
        <f>IFERROR(__xludf.DUMMYFUNCTION("""COMPUTED_VALUE"""),46146.0)</f>
        <v>46146</v>
      </c>
      <c r="G177" s="159">
        <f>IFERROR(__xludf.DUMMYFUNCTION("""COMPUTED_VALUE"""),110.0)</f>
        <v>110</v>
      </c>
      <c r="H177" s="78" t="str">
        <f>IFERROR(__xludf.DUMMYFUNCTION("""COMPUTED_VALUE"""),"VIGENTE")</f>
        <v>VIGENTE</v>
      </c>
      <c r="I177" s="132" t="str">
        <f t="shared" si="1"/>
        <v>-</v>
      </c>
      <c r="J177" s="158"/>
      <c r="K177" s="126">
        <v>174.0</v>
      </c>
      <c r="L177" s="78">
        <f>IFERROR(__xludf.DUMMYFUNCTION("""COMPUTED_VALUE"""),2418.0)</f>
        <v>2418</v>
      </c>
      <c r="M177" s="156">
        <f>IFERROR(__xludf.DUMMYFUNCTION("""COMPUTED_VALUE"""),46520.0)</f>
        <v>46520</v>
      </c>
      <c r="N177" s="78" t="str">
        <f>IFERROR(__xludf.DUMMYFUNCTION("""COMPUTED_VALUE"""),"02-Medellin")</f>
        <v>02-Medellin</v>
      </c>
      <c r="O177" s="156">
        <f>IFERROR(__xludf.DUMMYFUNCTION("""COMPUTED_VALUE"""),46051.0)</f>
        <v>46051</v>
      </c>
      <c r="P177" s="159">
        <f>IFERROR(__xludf.DUMMYFUNCTION("""COMPUTED_VALUE"""),7189.5)</f>
        <v>7189.5</v>
      </c>
      <c r="Q177" s="78" t="str">
        <f>IFERROR(__xludf.DUMMYFUNCTION("""COMPUTED_VALUE"""),"VIGENTE")</f>
        <v>VIGENTE</v>
      </c>
      <c r="R177" s="132" t="str">
        <f t="shared" si="2"/>
        <v>-</v>
      </c>
      <c r="T177" s="134" t="str">
        <f>CALENDARIO!D189</f>
        <v/>
      </c>
      <c r="U177" s="135" t="str">
        <f>CALENDARIO!C189</f>
        <v/>
      </c>
      <c r="W177" s="78"/>
      <c r="X177" s="136" t="str">
        <f>(VLOOKUP(W177,'BD LUB'!$A$2:$L$223,5,FALSE)/VLOOKUP(W177,'BD LUB'!$A$2:$L$223,7,FALSE))+(VLOOKUP(W177,'BD LUB'!$A$2:$L$223,6,FALSE)/VLOOKUP(W177,'BD LUB'!$A$2:$L$223,8,FALSE))</f>
        <v>#N/A</v>
      </c>
      <c r="Y177" s="137" t="str">
        <f>IF(AND(VLOOKUP(W177,'BD LUB'!$A$2:$L$223,11,FALSE)="PASADO",VLOOKUP(W177,'BD LUB'!$A$2:$L$223,12,FALSE)="PASADO"),1,IF(OR(AND(VLOOKUP(W177,'BD LUB'!$A$2:$L$223,11,FALSE)="PASADO",VLOOKUP(W177,'BD LUB'!$A$2:$L$223,12,FALSE)="PRÓXIMO"),AND(VLOOKUP(W177,'BD LUB'!$A$2:$L$223,11,FALSE)="PRÓXIMO",VLOOKUP(W177,'BD LUB'!$A$2:$L$223,12,FALSE)="PASADO")),2,IF(OR(AND(VLOOKUP(W177,'BD LUB'!$A$2:$L$223,11,FALSE)="PASADO",VLOOKUP(W177,'BD LUB'!$A$2:$L$223,12,FALSE)="VIGENTE"),AND(VLOOKUP(W177,'BD LUB'!$A$2:$L$223,11,FALSE)="VIGENTE",VLOOKUP(W177,'BD LUB'!$A$2:$L$223,12,FALSE)="PASADO")),3,IF(AND(VLOOKUP(W177,'BD LUB'!$A$2:$L$223,11,FALSE)="PRÓXIMO",VLOOKUP(W177,'BD LUB'!$A$2:$L$223,12,FALSE)="PRÓXIMO"),4,IF(OR(AND(VLOOKUP(W177,'BD LUB'!$A$2:$L$223,11,FALSE)="PRÓXIMO",VLOOKUP(W177,'BD LUB'!$A$2:$L$223,12,FALSE)="VIGENTE"),AND(VLOOKUP(W177,'BD LUB'!$A$2:$L$223,11,FALSE)="VIGENTE",VLOOKUP(W177,'BD LUB'!$A$2:$L$223,12,FALSE)="PRÓXIMO")),5,IF(AND(VLOOKUP(W177,'BD LUB'!$A$2:$L$223,11,FALSE)="VIGENTE",VLOOKUP(W177,'BD LUB'!$A$2:$L$223,12,FALSE)="VIGENTE"),6,"No definido"))))))</f>
        <v>#N/A</v>
      </c>
      <c r="Z177" s="138"/>
      <c r="AA177" s="139" t="str">
        <f>(VLOOKUP(Z177,'BD LUB'!$A$2:$L$223,5,FALSE)/VLOOKUP(Z177,'BD LUB'!$A$2:$L$223,7,FALSE))+(VLOOKUP(Z177,'BD LUB'!$A$2:$L$223,6,FALSE)/VLOOKUP(Z177,'BD LUB'!$A$2:$L$223,8,FALSE))</f>
        <v>#N/A</v>
      </c>
      <c r="AB177" s="78" t="str">
        <f>IF(AND(VLOOKUP(Z177,'BD LUB'!$A$2:$L$223,11,FALSE)="PASADO",VLOOKUP(Z177,'BD LUB'!$A$2:$L$223,12,FALSE)="PASADO"),1,IF(OR(AND(VLOOKUP(Z177,'BD LUB'!$A$2:$L$223,11,FALSE)="PASADO",VLOOKUP(Z177,'BD LUB'!$A$2:$L$223,12,FALSE)="PRÓXIMO"),AND(VLOOKUP(Z177,'BD LUB'!$A$2:$L$223,11,FALSE)="PRÓXIMO",VLOOKUP(Z177,'BD LUB'!$A$2:$L$223,12,FALSE)="PASADO")),2,IF(OR(AND(VLOOKUP(Z177,'BD LUB'!$A$2:$L$223,11,FALSE)="PASADO",VLOOKUP(Z177,'BD LUB'!$A$2:$L$223,12,FALSE)="VIGENTE"),AND(VLOOKUP(Z177,'BD LUB'!$A$2:$L$223,11,FALSE)="VIGENTE",VLOOKUP(Z177,'BD LUB'!$A$2:$L$223,12,FALSE)="PASADO")),3,IF(AND(VLOOKUP(Z177,'BD LUB'!$A$2:$L$223,11,FALSE)="PRÓXIMO",VLOOKUP(Z177,'BD LUB'!$A$2:$L$223,12,FALSE)="PRÓXIMO"),4,IF(OR(AND(VLOOKUP(Z177,'BD LUB'!$A$2:$L$223,11,FALSE)="PRÓXIMO",VLOOKUP(Z177,'BD LUB'!$A$2:$L$223,12,FALSE)="VIGENTE"),AND(VLOOKUP(Z177,'BD LUB'!$A$2:$L$223,11,FALSE)="VIGENTE",VLOOKUP(Z177,'BD LUB'!$A$2:$L$223,12,FALSE)="PRÓXIMO")),5,IF(AND(VLOOKUP(Z177,'BD LUB'!$A$2:$L$223,11,FALSE)="VIGENTE",VLOOKUP(Z177,'BD LUB'!$A$2:$L$223,12,FALSE)="VIGENTE"),6,"No definido"))))))</f>
        <v>#N/A</v>
      </c>
      <c r="AC177" s="78"/>
      <c r="AD177" s="136" t="str">
        <f>IF(VLOOKUP(AC177,'BD LUB'!$A$2:$C$223,3,FALSE)=$AH$20,AC177&amp;" MED",IF(VLOOKUP(AC177,'BD LUB'!$A$2:$C$223,3,FALSE)=$AH$19,AC177&amp;" MAY",IF(VLOOKUP(AC177,'BD LUB'!$A$2:$C$223,3,FALSE)=$AH$18,AC177&amp;" RN",IF(VLOOKUP(AC177,'BD LUB'!$A$2:$C$223,3,FALSE)=$AH$17,AC177&amp;" COPQUI",IF(VLOOKUP(AC177,'BD LUB'!$A$2:$C$223,3,FALSE)=$AH$16,AC177&amp;" CEJ",IF(VLOOKUP(AC177,'BD LUB'!$A$2:$C$223,3,FALSE)=$AH$15,AC177&amp;" BULT",IF(VLOOKUP(AC177,'BD LUB'!$A$2:$C$223,3,FALSE)=$AH$14,AC177&amp;" COP",IF(VLOOKUP(AC177,'BD LUB'!$A$2:$C$223,3,FALSE)=$AH$13,AC177&amp;" RIO",IF(VLOOKUP(AC177,'BD LUB'!$A$2:$C$223,3,FALSE)=$AH$21,AC177&amp;" APART","Dato no encontrado")))))))))</f>
        <v>#N/A</v>
      </c>
      <c r="AE177" s="160"/>
      <c r="AF177" s="160"/>
      <c r="AG177" s="160"/>
      <c r="AH177" s="160"/>
      <c r="AI177" s="160"/>
      <c r="AJ177" s="160"/>
      <c r="AP177" s="160"/>
      <c r="AV177" s="160"/>
    </row>
    <row r="178">
      <c r="A178" s="158"/>
      <c r="B178" s="126">
        <v>175.0</v>
      </c>
      <c r="C178" s="78">
        <f>IFERROR(__xludf.DUMMYFUNCTION("""COMPUTED_VALUE"""),472.0)</f>
        <v>472</v>
      </c>
      <c r="D178" s="156">
        <f>IFERROR(__xludf.DUMMYFUNCTION("""COMPUTED_VALUE"""),46213.0)</f>
        <v>46213</v>
      </c>
      <c r="E178" s="78" t="str">
        <f>IFERROR(__xludf.DUMMYFUNCTION("""COMPUTED_VALUE"""),"02-Medellin")</f>
        <v>02-Medellin</v>
      </c>
      <c r="F178" s="156">
        <f>IFERROR(__xludf.DUMMYFUNCTION("""COMPUTED_VALUE"""),46146.0)</f>
        <v>46146</v>
      </c>
      <c r="G178" s="159">
        <f>IFERROR(__xludf.DUMMYFUNCTION("""COMPUTED_VALUE"""),110.0)</f>
        <v>110</v>
      </c>
      <c r="H178" s="78" t="str">
        <f>IFERROR(__xludf.DUMMYFUNCTION("""COMPUTED_VALUE"""),"VIGENTE")</f>
        <v>VIGENTE</v>
      </c>
      <c r="I178" s="132" t="str">
        <f t="shared" si="1"/>
        <v>-</v>
      </c>
      <c r="J178" s="158"/>
      <c r="K178" s="126">
        <v>175.0</v>
      </c>
      <c r="L178" s="78">
        <f>IFERROR(__xludf.DUMMYFUNCTION("""COMPUTED_VALUE"""),2400.0)</f>
        <v>2400</v>
      </c>
      <c r="M178" s="156">
        <f>IFERROR(__xludf.DUMMYFUNCTION("""COMPUTED_VALUE"""),46542.0)</f>
        <v>46542</v>
      </c>
      <c r="N178" s="78" t="str">
        <f>IFERROR(__xludf.DUMMYFUNCTION("""COMPUTED_VALUE"""),"MAYORCA")</f>
        <v>MAYORCA</v>
      </c>
      <c r="O178" s="156">
        <f>IFERROR(__xludf.DUMMYFUNCTION("""COMPUTED_VALUE"""),46079.0)</f>
        <v>46079</v>
      </c>
      <c r="P178" s="159">
        <f>IFERROR(__xludf.DUMMYFUNCTION("""COMPUTED_VALUE"""),7577.0)</f>
        <v>7577</v>
      </c>
      <c r="Q178" s="78" t="str">
        <f>IFERROR(__xludf.DUMMYFUNCTION("""COMPUTED_VALUE"""),"VIGENTE")</f>
        <v>VIGENTE</v>
      </c>
      <c r="R178" s="132" t="str">
        <f t="shared" si="2"/>
        <v>-</v>
      </c>
      <c r="T178" s="134" t="str">
        <f>CALENDARIO!D190</f>
        <v/>
      </c>
      <c r="U178" s="135" t="str">
        <f>CALENDARIO!C190</f>
        <v/>
      </c>
      <c r="W178" s="78"/>
      <c r="X178" s="136" t="str">
        <f>(VLOOKUP(W178,'BD LUB'!$A$2:$L$223,5,FALSE)/VLOOKUP(W178,'BD LUB'!$A$2:$L$223,7,FALSE))+(VLOOKUP(W178,'BD LUB'!$A$2:$L$223,6,FALSE)/VLOOKUP(W178,'BD LUB'!$A$2:$L$223,8,FALSE))</f>
        <v>#N/A</v>
      </c>
      <c r="Y178" s="137" t="str">
        <f>IF(AND(VLOOKUP(W178,'BD LUB'!$A$2:$L$223,11,FALSE)="PASADO",VLOOKUP(W178,'BD LUB'!$A$2:$L$223,12,FALSE)="PASADO"),1,IF(OR(AND(VLOOKUP(W178,'BD LUB'!$A$2:$L$223,11,FALSE)="PASADO",VLOOKUP(W178,'BD LUB'!$A$2:$L$223,12,FALSE)="PRÓXIMO"),AND(VLOOKUP(W178,'BD LUB'!$A$2:$L$223,11,FALSE)="PRÓXIMO",VLOOKUP(W178,'BD LUB'!$A$2:$L$223,12,FALSE)="PASADO")),2,IF(OR(AND(VLOOKUP(W178,'BD LUB'!$A$2:$L$223,11,FALSE)="PASADO",VLOOKUP(W178,'BD LUB'!$A$2:$L$223,12,FALSE)="VIGENTE"),AND(VLOOKUP(W178,'BD LUB'!$A$2:$L$223,11,FALSE)="VIGENTE",VLOOKUP(W178,'BD LUB'!$A$2:$L$223,12,FALSE)="PASADO")),3,IF(AND(VLOOKUP(W178,'BD LUB'!$A$2:$L$223,11,FALSE)="PRÓXIMO",VLOOKUP(W178,'BD LUB'!$A$2:$L$223,12,FALSE)="PRÓXIMO"),4,IF(OR(AND(VLOOKUP(W178,'BD LUB'!$A$2:$L$223,11,FALSE)="PRÓXIMO",VLOOKUP(W178,'BD LUB'!$A$2:$L$223,12,FALSE)="VIGENTE"),AND(VLOOKUP(W178,'BD LUB'!$A$2:$L$223,11,FALSE)="VIGENTE",VLOOKUP(W178,'BD LUB'!$A$2:$L$223,12,FALSE)="PRÓXIMO")),5,IF(AND(VLOOKUP(W178,'BD LUB'!$A$2:$L$223,11,FALSE)="VIGENTE",VLOOKUP(W178,'BD LUB'!$A$2:$L$223,12,FALSE)="VIGENTE"),6,"No definido"))))))</f>
        <v>#N/A</v>
      </c>
      <c r="Z178" s="138"/>
      <c r="AA178" s="139" t="str">
        <f>(VLOOKUP(Z178,'BD LUB'!$A$2:$L$223,5,FALSE)/VLOOKUP(Z178,'BD LUB'!$A$2:$L$223,7,FALSE))+(VLOOKUP(Z178,'BD LUB'!$A$2:$L$223,6,FALSE)/VLOOKUP(Z178,'BD LUB'!$A$2:$L$223,8,FALSE))</f>
        <v>#N/A</v>
      </c>
      <c r="AB178" s="78" t="str">
        <f>IF(AND(VLOOKUP(Z178,'BD LUB'!$A$2:$L$223,11,FALSE)="PASADO",VLOOKUP(Z178,'BD LUB'!$A$2:$L$223,12,FALSE)="PASADO"),1,IF(OR(AND(VLOOKUP(Z178,'BD LUB'!$A$2:$L$223,11,FALSE)="PASADO",VLOOKUP(Z178,'BD LUB'!$A$2:$L$223,12,FALSE)="PRÓXIMO"),AND(VLOOKUP(Z178,'BD LUB'!$A$2:$L$223,11,FALSE)="PRÓXIMO",VLOOKUP(Z178,'BD LUB'!$A$2:$L$223,12,FALSE)="PASADO")),2,IF(OR(AND(VLOOKUP(Z178,'BD LUB'!$A$2:$L$223,11,FALSE)="PASADO",VLOOKUP(Z178,'BD LUB'!$A$2:$L$223,12,FALSE)="VIGENTE"),AND(VLOOKUP(Z178,'BD LUB'!$A$2:$L$223,11,FALSE)="VIGENTE",VLOOKUP(Z178,'BD LUB'!$A$2:$L$223,12,FALSE)="PASADO")),3,IF(AND(VLOOKUP(Z178,'BD LUB'!$A$2:$L$223,11,FALSE)="PRÓXIMO",VLOOKUP(Z178,'BD LUB'!$A$2:$L$223,12,FALSE)="PRÓXIMO"),4,IF(OR(AND(VLOOKUP(Z178,'BD LUB'!$A$2:$L$223,11,FALSE)="PRÓXIMO",VLOOKUP(Z178,'BD LUB'!$A$2:$L$223,12,FALSE)="VIGENTE"),AND(VLOOKUP(Z178,'BD LUB'!$A$2:$L$223,11,FALSE)="VIGENTE",VLOOKUP(Z178,'BD LUB'!$A$2:$L$223,12,FALSE)="PRÓXIMO")),5,IF(AND(VLOOKUP(Z178,'BD LUB'!$A$2:$L$223,11,FALSE)="VIGENTE",VLOOKUP(Z178,'BD LUB'!$A$2:$L$223,12,FALSE)="VIGENTE"),6,"No definido"))))))</f>
        <v>#N/A</v>
      </c>
      <c r="AC178" s="78"/>
      <c r="AD178" s="136" t="str">
        <f>IF(VLOOKUP(AC178,'BD LUB'!$A$2:$C$223,3,FALSE)=$AH$20,AC178&amp;" MED",IF(VLOOKUP(AC178,'BD LUB'!$A$2:$C$223,3,FALSE)=$AH$19,AC178&amp;" MAY",IF(VLOOKUP(AC178,'BD LUB'!$A$2:$C$223,3,FALSE)=$AH$18,AC178&amp;" RN",IF(VLOOKUP(AC178,'BD LUB'!$A$2:$C$223,3,FALSE)=$AH$17,AC178&amp;" COPQUI",IF(VLOOKUP(AC178,'BD LUB'!$A$2:$C$223,3,FALSE)=$AH$16,AC178&amp;" CEJ",IF(VLOOKUP(AC178,'BD LUB'!$A$2:$C$223,3,FALSE)=$AH$15,AC178&amp;" BULT",IF(VLOOKUP(AC178,'BD LUB'!$A$2:$C$223,3,FALSE)=$AH$14,AC178&amp;" COP",IF(VLOOKUP(AC178,'BD LUB'!$A$2:$C$223,3,FALSE)=$AH$13,AC178&amp;" RIO",IF(VLOOKUP(AC178,'BD LUB'!$A$2:$C$223,3,FALSE)=$AH$21,AC178&amp;" APART","Dato no encontrado")))))))))</f>
        <v>#N/A</v>
      </c>
      <c r="AE178" s="160"/>
      <c r="AF178" s="160"/>
      <c r="AG178" s="160"/>
      <c r="AH178" s="160"/>
      <c r="AI178" s="160"/>
      <c r="AJ178" s="160"/>
      <c r="AP178" s="160"/>
      <c r="AV178" s="160"/>
    </row>
    <row r="179">
      <c r="A179" s="158"/>
      <c r="B179" s="126">
        <v>176.0</v>
      </c>
      <c r="C179" s="78">
        <f>IFERROR(__xludf.DUMMYFUNCTION("""COMPUTED_VALUE"""),3210.0)</f>
        <v>3210</v>
      </c>
      <c r="D179" s="156">
        <f>IFERROR(__xludf.DUMMYFUNCTION("""COMPUTED_VALUE"""),46648.0)</f>
        <v>46648</v>
      </c>
      <c r="E179" s="78" t="str">
        <f>IFERROR(__xludf.DUMMYFUNCTION("""COMPUTED_VALUE"""),"02-Medellin")</f>
        <v>02-Medellin</v>
      </c>
      <c r="F179" s="156">
        <f>IFERROR(__xludf.DUMMYFUNCTION("""COMPUTED_VALUE"""),46147.0)</f>
        <v>46147</v>
      </c>
      <c r="G179" s="159">
        <f>IFERROR(__xludf.DUMMYFUNCTION("""COMPUTED_VALUE"""),111.0)</f>
        <v>111</v>
      </c>
      <c r="H179" s="78" t="str">
        <f>IFERROR(__xludf.DUMMYFUNCTION("""COMPUTED_VALUE"""),"VIGENTE")</f>
        <v>VIGENTE</v>
      </c>
      <c r="I179" s="132" t="str">
        <f t="shared" si="1"/>
        <v>-</v>
      </c>
      <c r="J179" s="158"/>
      <c r="K179" s="126">
        <v>176.0</v>
      </c>
      <c r="L179" s="78">
        <f>IFERROR(__xludf.DUMMYFUNCTION("""COMPUTED_VALUE"""),2419.0)</f>
        <v>2419</v>
      </c>
      <c r="M179" s="156">
        <f>IFERROR(__xludf.DUMMYFUNCTION("""COMPUTED_VALUE"""),46528.0)</f>
        <v>46528</v>
      </c>
      <c r="N179" s="78" t="str">
        <f>IFERROR(__xludf.DUMMYFUNCTION("""COMPUTED_VALUE"""),"02-Medellin")</f>
        <v>02-Medellin</v>
      </c>
      <c r="O179" s="156">
        <f>IFERROR(__xludf.DUMMYFUNCTION("""COMPUTED_VALUE"""),46139.0)</f>
        <v>46139</v>
      </c>
      <c r="P179" s="159">
        <f>IFERROR(__xludf.DUMMYFUNCTION("""COMPUTED_VALUE"""),7593.9)</f>
        <v>7593.9</v>
      </c>
      <c r="Q179" s="78" t="str">
        <f>IFERROR(__xludf.DUMMYFUNCTION("""COMPUTED_VALUE"""),"VIGENTE")</f>
        <v>VIGENTE</v>
      </c>
      <c r="R179" s="132" t="str">
        <f t="shared" si="2"/>
        <v>-</v>
      </c>
      <c r="T179" s="134" t="str">
        <f>CALENDARIO!D191</f>
        <v/>
      </c>
      <c r="U179" s="135" t="str">
        <f>CALENDARIO!C191</f>
        <v/>
      </c>
      <c r="W179" s="78"/>
      <c r="X179" s="136" t="str">
        <f>(VLOOKUP(W179,'BD LUB'!$A$2:$L$223,5,FALSE)/VLOOKUP(W179,'BD LUB'!$A$2:$L$223,7,FALSE))+(VLOOKUP(W179,'BD LUB'!$A$2:$L$223,6,FALSE)/VLOOKUP(W179,'BD LUB'!$A$2:$L$223,8,FALSE))</f>
        <v>#N/A</v>
      </c>
      <c r="Y179" s="137" t="str">
        <f>IF(AND(VLOOKUP(W179,'BD LUB'!$A$2:$L$223,11,FALSE)="PASADO",VLOOKUP(W179,'BD LUB'!$A$2:$L$223,12,FALSE)="PASADO"),1,IF(OR(AND(VLOOKUP(W179,'BD LUB'!$A$2:$L$223,11,FALSE)="PASADO",VLOOKUP(W179,'BD LUB'!$A$2:$L$223,12,FALSE)="PRÓXIMO"),AND(VLOOKUP(W179,'BD LUB'!$A$2:$L$223,11,FALSE)="PRÓXIMO",VLOOKUP(W179,'BD LUB'!$A$2:$L$223,12,FALSE)="PASADO")),2,IF(OR(AND(VLOOKUP(W179,'BD LUB'!$A$2:$L$223,11,FALSE)="PASADO",VLOOKUP(W179,'BD LUB'!$A$2:$L$223,12,FALSE)="VIGENTE"),AND(VLOOKUP(W179,'BD LUB'!$A$2:$L$223,11,FALSE)="VIGENTE",VLOOKUP(W179,'BD LUB'!$A$2:$L$223,12,FALSE)="PASADO")),3,IF(AND(VLOOKUP(W179,'BD LUB'!$A$2:$L$223,11,FALSE)="PRÓXIMO",VLOOKUP(W179,'BD LUB'!$A$2:$L$223,12,FALSE)="PRÓXIMO"),4,IF(OR(AND(VLOOKUP(W179,'BD LUB'!$A$2:$L$223,11,FALSE)="PRÓXIMO",VLOOKUP(W179,'BD LUB'!$A$2:$L$223,12,FALSE)="VIGENTE"),AND(VLOOKUP(W179,'BD LUB'!$A$2:$L$223,11,FALSE)="VIGENTE",VLOOKUP(W179,'BD LUB'!$A$2:$L$223,12,FALSE)="PRÓXIMO")),5,IF(AND(VLOOKUP(W179,'BD LUB'!$A$2:$L$223,11,FALSE)="VIGENTE",VLOOKUP(W179,'BD LUB'!$A$2:$L$223,12,FALSE)="VIGENTE"),6,"No definido"))))))</f>
        <v>#N/A</v>
      </c>
      <c r="Z179" s="138"/>
      <c r="AA179" s="139" t="str">
        <f>(VLOOKUP(Z179,'BD LUB'!$A$2:$L$223,5,FALSE)/VLOOKUP(Z179,'BD LUB'!$A$2:$L$223,7,FALSE))+(VLOOKUP(Z179,'BD LUB'!$A$2:$L$223,6,FALSE)/VLOOKUP(Z179,'BD LUB'!$A$2:$L$223,8,FALSE))</f>
        <v>#N/A</v>
      </c>
      <c r="AB179" s="78" t="str">
        <f>IF(AND(VLOOKUP(Z179,'BD LUB'!$A$2:$L$223,11,FALSE)="PASADO",VLOOKUP(Z179,'BD LUB'!$A$2:$L$223,12,FALSE)="PASADO"),1,IF(OR(AND(VLOOKUP(Z179,'BD LUB'!$A$2:$L$223,11,FALSE)="PASADO",VLOOKUP(Z179,'BD LUB'!$A$2:$L$223,12,FALSE)="PRÓXIMO"),AND(VLOOKUP(Z179,'BD LUB'!$A$2:$L$223,11,FALSE)="PRÓXIMO",VLOOKUP(Z179,'BD LUB'!$A$2:$L$223,12,FALSE)="PASADO")),2,IF(OR(AND(VLOOKUP(Z179,'BD LUB'!$A$2:$L$223,11,FALSE)="PASADO",VLOOKUP(Z179,'BD LUB'!$A$2:$L$223,12,FALSE)="VIGENTE"),AND(VLOOKUP(Z179,'BD LUB'!$A$2:$L$223,11,FALSE)="VIGENTE",VLOOKUP(Z179,'BD LUB'!$A$2:$L$223,12,FALSE)="PASADO")),3,IF(AND(VLOOKUP(Z179,'BD LUB'!$A$2:$L$223,11,FALSE)="PRÓXIMO",VLOOKUP(Z179,'BD LUB'!$A$2:$L$223,12,FALSE)="PRÓXIMO"),4,IF(OR(AND(VLOOKUP(Z179,'BD LUB'!$A$2:$L$223,11,FALSE)="PRÓXIMO",VLOOKUP(Z179,'BD LUB'!$A$2:$L$223,12,FALSE)="VIGENTE"),AND(VLOOKUP(Z179,'BD LUB'!$A$2:$L$223,11,FALSE)="VIGENTE",VLOOKUP(Z179,'BD LUB'!$A$2:$L$223,12,FALSE)="PRÓXIMO")),5,IF(AND(VLOOKUP(Z179,'BD LUB'!$A$2:$L$223,11,FALSE)="VIGENTE",VLOOKUP(Z179,'BD LUB'!$A$2:$L$223,12,FALSE)="VIGENTE"),6,"No definido"))))))</f>
        <v>#N/A</v>
      </c>
      <c r="AC179" s="78"/>
      <c r="AD179" s="136" t="str">
        <f>IF(VLOOKUP(AC179,'BD LUB'!$A$2:$C$223,3,FALSE)=$AH$20,AC179&amp;" MED",IF(VLOOKUP(AC179,'BD LUB'!$A$2:$C$223,3,FALSE)=$AH$19,AC179&amp;" MAY",IF(VLOOKUP(AC179,'BD LUB'!$A$2:$C$223,3,FALSE)=$AH$18,AC179&amp;" RN",IF(VLOOKUP(AC179,'BD LUB'!$A$2:$C$223,3,FALSE)=$AH$17,AC179&amp;" COPQUI",IF(VLOOKUP(AC179,'BD LUB'!$A$2:$C$223,3,FALSE)=$AH$16,AC179&amp;" CEJ",IF(VLOOKUP(AC179,'BD LUB'!$A$2:$C$223,3,FALSE)=$AH$15,AC179&amp;" BULT",IF(VLOOKUP(AC179,'BD LUB'!$A$2:$C$223,3,FALSE)=$AH$14,AC179&amp;" COP",IF(VLOOKUP(AC179,'BD LUB'!$A$2:$C$223,3,FALSE)=$AH$13,AC179&amp;" RIO",IF(VLOOKUP(AC179,'BD LUB'!$A$2:$C$223,3,FALSE)=$AH$21,AC179&amp;" APART","Dato no encontrado")))))))))</f>
        <v>#N/A</v>
      </c>
      <c r="AE179" s="160"/>
      <c r="AF179" s="160"/>
      <c r="AG179" s="160"/>
      <c r="AH179" s="160"/>
      <c r="AI179" s="160"/>
      <c r="AJ179" s="160"/>
      <c r="AP179" s="160"/>
      <c r="AV179" s="160"/>
    </row>
    <row r="180">
      <c r="A180" s="158"/>
      <c r="B180" s="126">
        <v>177.0</v>
      </c>
      <c r="C180" s="78">
        <f>IFERROR(__xludf.DUMMYFUNCTION("""COMPUTED_VALUE"""),2886.0)</f>
        <v>2886</v>
      </c>
      <c r="D180" s="156">
        <f>IFERROR(__xludf.DUMMYFUNCTION("""COMPUTED_VALUE"""),46233.0)</f>
        <v>46233</v>
      </c>
      <c r="E180" s="78" t="str">
        <f>IFERROR(__xludf.DUMMYFUNCTION("""COMPUTED_VALUE"""),"02-Medellin")</f>
        <v>02-Medellin</v>
      </c>
      <c r="F180" s="156">
        <f>IFERROR(__xludf.DUMMYFUNCTION("""COMPUTED_VALUE"""),46148.0)</f>
        <v>46148</v>
      </c>
      <c r="G180" s="159">
        <f>IFERROR(__xludf.DUMMYFUNCTION("""COMPUTED_VALUE"""),112.0)</f>
        <v>112</v>
      </c>
      <c r="H180" s="78" t="str">
        <f>IFERROR(__xludf.DUMMYFUNCTION("""COMPUTED_VALUE"""),"VIGENTE")</f>
        <v>VIGENTE</v>
      </c>
      <c r="I180" s="132" t="str">
        <f t="shared" si="1"/>
        <v>-</v>
      </c>
      <c r="J180" s="158"/>
      <c r="K180" s="126">
        <v>177.0</v>
      </c>
      <c r="L180" s="78">
        <f>IFERROR(__xludf.DUMMYFUNCTION("""COMPUTED_VALUE"""),2672.0)</f>
        <v>2672</v>
      </c>
      <c r="M180" s="156">
        <f>IFERROR(__xludf.DUMMYFUNCTION("""COMPUTED_VALUE"""),46511.0)</f>
        <v>46511</v>
      </c>
      <c r="N180" s="78" t="str">
        <f>IFERROR(__xludf.DUMMYFUNCTION("""COMPUTED_VALUE"""),"02-Medellin")</f>
        <v>02-Medellin</v>
      </c>
      <c r="O180" s="156">
        <f>IFERROR(__xludf.DUMMYFUNCTION("""COMPUTED_VALUE"""),46101.0)</f>
        <v>46101</v>
      </c>
      <c r="P180" s="159">
        <f>IFERROR(__xludf.DUMMYFUNCTION("""COMPUTED_VALUE"""),7615.0)</f>
        <v>7615</v>
      </c>
      <c r="Q180" s="78" t="str">
        <f>IFERROR(__xludf.DUMMYFUNCTION("""COMPUTED_VALUE"""),"VIGENTE")</f>
        <v>VIGENTE</v>
      </c>
      <c r="R180" s="132" t="str">
        <f t="shared" si="2"/>
        <v>-</v>
      </c>
      <c r="T180" s="134" t="str">
        <f>CALENDARIO!D192</f>
        <v/>
      </c>
      <c r="U180" s="135" t="str">
        <f>CALENDARIO!C192</f>
        <v/>
      </c>
      <c r="W180" s="78"/>
      <c r="X180" s="136" t="str">
        <f>(VLOOKUP(W180,'BD LUB'!$A$2:$L$223,5,FALSE)/VLOOKUP(W180,'BD LUB'!$A$2:$L$223,7,FALSE))+(VLOOKUP(W180,'BD LUB'!$A$2:$L$223,6,FALSE)/VLOOKUP(W180,'BD LUB'!$A$2:$L$223,8,FALSE))</f>
        <v>#N/A</v>
      </c>
      <c r="Y180" s="137" t="str">
        <f>IF(AND(VLOOKUP(W180,'BD LUB'!$A$2:$L$223,11,FALSE)="PASADO",VLOOKUP(W180,'BD LUB'!$A$2:$L$223,12,FALSE)="PASADO"),1,IF(OR(AND(VLOOKUP(W180,'BD LUB'!$A$2:$L$223,11,FALSE)="PASADO",VLOOKUP(W180,'BD LUB'!$A$2:$L$223,12,FALSE)="PRÓXIMO"),AND(VLOOKUP(W180,'BD LUB'!$A$2:$L$223,11,FALSE)="PRÓXIMO",VLOOKUP(W180,'BD LUB'!$A$2:$L$223,12,FALSE)="PASADO")),2,IF(OR(AND(VLOOKUP(W180,'BD LUB'!$A$2:$L$223,11,FALSE)="PASADO",VLOOKUP(W180,'BD LUB'!$A$2:$L$223,12,FALSE)="VIGENTE"),AND(VLOOKUP(W180,'BD LUB'!$A$2:$L$223,11,FALSE)="VIGENTE",VLOOKUP(W180,'BD LUB'!$A$2:$L$223,12,FALSE)="PASADO")),3,IF(AND(VLOOKUP(W180,'BD LUB'!$A$2:$L$223,11,FALSE)="PRÓXIMO",VLOOKUP(W180,'BD LUB'!$A$2:$L$223,12,FALSE)="PRÓXIMO"),4,IF(OR(AND(VLOOKUP(W180,'BD LUB'!$A$2:$L$223,11,FALSE)="PRÓXIMO",VLOOKUP(W180,'BD LUB'!$A$2:$L$223,12,FALSE)="VIGENTE"),AND(VLOOKUP(W180,'BD LUB'!$A$2:$L$223,11,FALSE)="VIGENTE",VLOOKUP(W180,'BD LUB'!$A$2:$L$223,12,FALSE)="PRÓXIMO")),5,IF(AND(VLOOKUP(W180,'BD LUB'!$A$2:$L$223,11,FALSE)="VIGENTE",VLOOKUP(W180,'BD LUB'!$A$2:$L$223,12,FALSE)="VIGENTE"),6,"No definido"))))))</f>
        <v>#N/A</v>
      </c>
      <c r="Z180" s="138"/>
      <c r="AA180" s="139" t="str">
        <f>(VLOOKUP(Z180,'BD LUB'!$A$2:$L$223,5,FALSE)/VLOOKUP(Z180,'BD LUB'!$A$2:$L$223,7,FALSE))+(VLOOKUP(Z180,'BD LUB'!$A$2:$L$223,6,FALSE)/VLOOKUP(Z180,'BD LUB'!$A$2:$L$223,8,FALSE))</f>
        <v>#N/A</v>
      </c>
      <c r="AB180" s="78" t="str">
        <f>IF(AND(VLOOKUP(Z180,'BD LUB'!$A$2:$L$223,11,FALSE)="PASADO",VLOOKUP(Z180,'BD LUB'!$A$2:$L$223,12,FALSE)="PASADO"),1,IF(OR(AND(VLOOKUP(Z180,'BD LUB'!$A$2:$L$223,11,FALSE)="PASADO",VLOOKUP(Z180,'BD LUB'!$A$2:$L$223,12,FALSE)="PRÓXIMO"),AND(VLOOKUP(Z180,'BD LUB'!$A$2:$L$223,11,FALSE)="PRÓXIMO",VLOOKUP(Z180,'BD LUB'!$A$2:$L$223,12,FALSE)="PASADO")),2,IF(OR(AND(VLOOKUP(Z180,'BD LUB'!$A$2:$L$223,11,FALSE)="PASADO",VLOOKUP(Z180,'BD LUB'!$A$2:$L$223,12,FALSE)="VIGENTE"),AND(VLOOKUP(Z180,'BD LUB'!$A$2:$L$223,11,FALSE)="VIGENTE",VLOOKUP(Z180,'BD LUB'!$A$2:$L$223,12,FALSE)="PASADO")),3,IF(AND(VLOOKUP(Z180,'BD LUB'!$A$2:$L$223,11,FALSE)="PRÓXIMO",VLOOKUP(Z180,'BD LUB'!$A$2:$L$223,12,FALSE)="PRÓXIMO"),4,IF(OR(AND(VLOOKUP(Z180,'BD LUB'!$A$2:$L$223,11,FALSE)="PRÓXIMO",VLOOKUP(Z180,'BD LUB'!$A$2:$L$223,12,FALSE)="VIGENTE"),AND(VLOOKUP(Z180,'BD LUB'!$A$2:$L$223,11,FALSE)="VIGENTE",VLOOKUP(Z180,'BD LUB'!$A$2:$L$223,12,FALSE)="PRÓXIMO")),5,IF(AND(VLOOKUP(Z180,'BD LUB'!$A$2:$L$223,11,FALSE)="VIGENTE",VLOOKUP(Z180,'BD LUB'!$A$2:$L$223,12,FALSE)="VIGENTE"),6,"No definido"))))))</f>
        <v>#N/A</v>
      </c>
      <c r="AC180" s="78"/>
      <c r="AD180" s="136" t="str">
        <f>IF(VLOOKUP(AC180,'BD LUB'!$A$2:$C$223,3,FALSE)=$AH$20,AC180&amp;" MED",IF(VLOOKUP(AC180,'BD LUB'!$A$2:$C$223,3,FALSE)=$AH$19,AC180&amp;" MAY",IF(VLOOKUP(AC180,'BD LUB'!$A$2:$C$223,3,FALSE)=$AH$18,AC180&amp;" RN",IF(VLOOKUP(AC180,'BD LUB'!$A$2:$C$223,3,FALSE)=$AH$17,AC180&amp;" COPQUI",IF(VLOOKUP(AC180,'BD LUB'!$A$2:$C$223,3,FALSE)=$AH$16,AC180&amp;" CEJ",IF(VLOOKUP(AC180,'BD LUB'!$A$2:$C$223,3,FALSE)=$AH$15,AC180&amp;" BULT",IF(VLOOKUP(AC180,'BD LUB'!$A$2:$C$223,3,FALSE)=$AH$14,AC180&amp;" COP",IF(VLOOKUP(AC180,'BD LUB'!$A$2:$C$223,3,FALSE)=$AH$13,AC180&amp;" RIO",IF(VLOOKUP(AC180,'BD LUB'!$A$2:$C$223,3,FALSE)=$AH$21,AC180&amp;" APART","Dato no encontrado")))))))))</f>
        <v>#N/A</v>
      </c>
      <c r="AE180" s="160"/>
      <c r="AF180" s="160"/>
      <c r="AG180" s="160"/>
      <c r="AH180" s="160"/>
      <c r="AI180" s="160"/>
      <c r="AJ180" s="160"/>
      <c r="AP180" s="160"/>
      <c r="AV180" s="160"/>
    </row>
    <row r="181">
      <c r="A181" s="158"/>
      <c r="B181" s="126">
        <v>178.0</v>
      </c>
      <c r="C181" s="78">
        <f>IFERROR(__xludf.DUMMYFUNCTION("""COMPUTED_VALUE"""),2885.0)</f>
        <v>2885</v>
      </c>
      <c r="D181" s="156">
        <f>IFERROR(__xludf.DUMMYFUNCTION("""COMPUTED_VALUE"""),46233.0)</f>
        <v>46233</v>
      </c>
      <c r="E181" s="78" t="str">
        <f>IFERROR(__xludf.DUMMYFUNCTION("""COMPUTED_VALUE"""),"MAYORCA")</f>
        <v>MAYORCA</v>
      </c>
      <c r="F181" s="156">
        <f>IFERROR(__xludf.DUMMYFUNCTION("""COMPUTED_VALUE"""),46149.0)</f>
        <v>46149</v>
      </c>
      <c r="G181" s="159">
        <f>IFERROR(__xludf.DUMMYFUNCTION("""COMPUTED_VALUE"""),113.0)</f>
        <v>113</v>
      </c>
      <c r="H181" s="78" t="str">
        <f>IFERROR(__xludf.DUMMYFUNCTION("""COMPUTED_VALUE"""),"VIGENTE")</f>
        <v>VIGENTE</v>
      </c>
      <c r="I181" s="132" t="str">
        <f t="shared" si="1"/>
        <v>-</v>
      </c>
      <c r="J181" s="158"/>
      <c r="K181" s="126">
        <v>178.0</v>
      </c>
      <c r="L181" s="78">
        <f>IFERROR(__xludf.DUMMYFUNCTION("""COMPUTED_VALUE"""),2376.0)</f>
        <v>2376</v>
      </c>
      <c r="M181" s="156">
        <f>IFERROR(__xludf.DUMMYFUNCTION("""COMPUTED_VALUE"""),46540.0)</f>
        <v>46540</v>
      </c>
      <c r="N181" s="78" t="str">
        <f>IFERROR(__xludf.DUMMYFUNCTION("""COMPUTED_VALUE"""),"02-Medellin")</f>
        <v>02-Medellin</v>
      </c>
      <c r="O181" s="156">
        <f>IFERROR(__xludf.DUMMYFUNCTION("""COMPUTED_VALUE"""),46084.0)</f>
        <v>46084</v>
      </c>
      <c r="P181" s="159">
        <f>IFERROR(__xludf.DUMMYFUNCTION("""COMPUTED_VALUE"""),7643.5)</f>
        <v>7643.5</v>
      </c>
      <c r="Q181" s="78" t="str">
        <f>IFERROR(__xludf.DUMMYFUNCTION("""COMPUTED_VALUE"""),"VIGENTE")</f>
        <v>VIGENTE</v>
      </c>
      <c r="R181" s="132" t="str">
        <f t="shared" si="2"/>
        <v>-</v>
      </c>
      <c r="T181" s="134" t="str">
        <f>CALENDARIO!D193</f>
        <v/>
      </c>
      <c r="U181" s="135" t="str">
        <f>CALENDARIO!C193</f>
        <v/>
      </c>
      <c r="W181" s="78"/>
      <c r="X181" s="136" t="str">
        <f>(VLOOKUP(W181,'BD LUB'!$A$2:$L$223,5,FALSE)/VLOOKUP(W181,'BD LUB'!$A$2:$L$223,7,FALSE))+(VLOOKUP(W181,'BD LUB'!$A$2:$L$223,6,FALSE)/VLOOKUP(W181,'BD LUB'!$A$2:$L$223,8,FALSE))</f>
        <v>#N/A</v>
      </c>
      <c r="Y181" s="137" t="str">
        <f>IF(AND(VLOOKUP(W181,'BD LUB'!$A$2:$L$223,11,FALSE)="PASADO",VLOOKUP(W181,'BD LUB'!$A$2:$L$223,12,FALSE)="PASADO"),1,IF(OR(AND(VLOOKUP(W181,'BD LUB'!$A$2:$L$223,11,FALSE)="PASADO",VLOOKUP(W181,'BD LUB'!$A$2:$L$223,12,FALSE)="PRÓXIMO"),AND(VLOOKUP(W181,'BD LUB'!$A$2:$L$223,11,FALSE)="PRÓXIMO",VLOOKUP(W181,'BD LUB'!$A$2:$L$223,12,FALSE)="PASADO")),2,IF(OR(AND(VLOOKUP(W181,'BD LUB'!$A$2:$L$223,11,FALSE)="PASADO",VLOOKUP(W181,'BD LUB'!$A$2:$L$223,12,FALSE)="VIGENTE"),AND(VLOOKUP(W181,'BD LUB'!$A$2:$L$223,11,FALSE)="VIGENTE",VLOOKUP(W181,'BD LUB'!$A$2:$L$223,12,FALSE)="PASADO")),3,IF(AND(VLOOKUP(W181,'BD LUB'!$A$2:$L$223,11,FALSE)="PRÓXIMO",VLOOKUP(W181,'BD LUB'!$A$2:$L$223,12,FALSE)="PRÓXIMO"),4,IF(OR(AND(VLOOKUP(W181,'BD LUB'!$A$2:$L$223,11,FALSE)="PRÓXIMO",VLOOKUP(W181,'BD LUB'!$A$2:$L$223,12,FALSE)="VIGENTE"),AND(VLOOKUP(W181,'BD LUB'!$A$2:$L$223,11,FALSE)="VIGENTE",VLOOKUP(W181,'BD LUB'!$A$2:$L$223,12,FALSE)="PRÓXIMO")),5,IF(AND(VLOOKUP(W181,'BD LUB'!$A$2:$L$223,11,FALSE)="VIGENTE",VLOOKUP(W181,'BD LUB'!$A$2:$L$223,12,FALSE)="VIGENTE"),6,"No definido"))))))</f>
        <v>#N/A</v>
      </c>
      <c r="Z181" s="138"/>
      <c r="AA181" s="139" t="str">
        <f>(VLOOKUP(Z181,'BD LUB'!$A$2:$L$223,5,FALSE)/VLOOKUP(Z181,'BD LUB'!$A$2:$L$223,7,FALSE))+(VLOOKUP(Z181,'BD LUB'!$A$2:$L$223,6,FALSE)/VLOOKUP(Z181,'BD LUB'!$A$2:$L$223,8,FALSE))</f>
        <v>#N/A</v>
      </c>
      <c r="AB181" s="78" t="str">
        <f>IF(AND(VLOOKUP(Z181,'BD LUB'!$A$2:$L$223,11,FALSE)="PASADO",VLOOKUP(Z181,'BD LUB'!$A$2:$L$223,12,FALSE)="PASADO"),1,IF(OR(AND(VLOOKUP(Z181,'BD LUB'!$A$2:$L$223,11,FALSE)="PASADO",VLOOKUP(Z181,'BD LUB'!$A$2:$L$223,12,FALSE)="PRÓXIMO"),AND(VLOOKUP(Z181,'BD LUB'!$A$2:$L$223,11,FALSE)="PRÓXIMO",VLOOKUP(Z181,'BD LUB'!$A$2:$L$223,12,FALSE)="PASADO")),2,IF(OR(AND(VLOOKUP(Z181,'BD LUB'!$A$2:$L$223,11,FALSE)="PASADO",VLOOKUP(Z181,'BD LUB'!$A$2:$L$223,12,FALSE)="VIGENTE"),AND(VLOOKUP(Z181,'BD LUB'!$A$2:$L$223,11,FALSE)="VIGENTE",VLOOKUP(Z181,'BD LUB'!$A$2:$L$223,12,FALSE)="PASADO")),3,IF(AND(VLOOKUP(Z181,'BD LUB'!$A$2:$L$223,11,FALSE)="PRÓXIMO",VLOOKUP(Z181,'BD LUB'!$A$2:$L$223,12,FALSE)="PRÓXIMO"),4,IF(OR(AND(VLOOKUP(Z181,'BD LUB'!$A$2:$L$223,11,FALSE)="PRÓXIMO",VLOOKUP(Z181,'BD LUB'!$A$2:$L$223,12,FALSE)="VIGENTE"),AND(VLOOKUP(Z181,'BD LUB'!$A$2:$L$223,11,FALSE)="VIGENTE",VLOOKUP(Z181,'BD LUB'!$A$2:$L$223,12,FALSE)="PRÓXIMO")),5,IF(AND(VLOOKUP(Z181,'BD LUB'!$A$2:$L$223,11,FALSE)="VIGENTE",VLOOKUP(Z181,'BD LUB'!$A$2:$L$223,12,FALSE)="VIGENTE"),6,"No definido"))))))</f>
        <v>#N/A</v>
      </c>
      <c r="AC181" s="78"/>
      <c r="AD181" s="136" t="str">
        <f>IF(VLOOKUP(AC181,'BD LUB'!$A$2:$C$223,3,FALSE)=$AH$20,AC181&amp;" MED",IF(VLOOKUP(AC181,'BD LUB'!$A$2:$C$223,3,FALSE)=$AH$19,AC181&amp;" MAY",IF(VLOOKUP(AC181,'BD LUB'!$A$2:$C$223,3,FALSE)=$AH$18,AC181&amp;" RN",IF(VLOOKUP(AC181,'BD LUB'!$A$2:$C$223,3,FALSE)=$AH$17,AC181&amp;" COPQUI",IF(VLOOKUP(AC181,'BD LUB'!$A$2:$C$223,3,FALSE)=$AH$16,AC181&amp;" CEJ",IF(VLOOKUP(AC181,'BD LUB'!$A$2:$C$223,3,FALSE)=$AH$15,AC181&amp;" BULT",IF(VLOOKUP(AC181,'BD LUB'!$A$2:$C$223,3,FALSE)=$AH$14,AC181&amp;" COP",IF(VLOOKUP(AC181,'BD LUB'!$A$2:$C$223,3,FALSE)=$AH$13,AC181&amp;" RIO",IF(VLOOKUP(AC181,'BD LUB'!$A$2:$C$223,3,FALSE)=$AH$21,AC181&amp;" APART","Dato no encontrado")))))))))</f>
        <v>#N/A</v>
      </c>
      <c r="AE181" s="160"/>
      <c r="AF181" s="160"/>
      <c r="AG181" s="160"/>
      <c r="AH181" s="160"/>
      <c r="AI181" s="160"/>
      <c r="AJ181" s="160"/>
      <c r="AP181" s="160"/>
      <c r="AV181" s="160"/>
    </row>
    <row r="182">
      <c r="A182" s="158"/>
      <c r="B182" s="126">
        <v>179.0</v>
      </c>
      <c r="C182" s="78">
        <f>IFERROR(__xludf.DUMMYFUNCTION("""COMPUTED_VALUE"""),3278.0)</f>
        <v>3278</v>
      </c>
      <c r="D182" s="156">
        <f>IFERROR(__xludf.DUMMYFUNCTION("""COMPUTED_VALUE"""),46668.0)</f>
        <v>46668</v>
      </c>
      <c r="E182" s="78" t="str">
        <f>IFERROR(__xludf.DUMMYFUNCTION("""COMPUTED_VALUE"""),"02-Medellin")</f>
        <v>02-Medellin</v>
      </c>
      <c r="F182" s="156">
        <f>IFERROR(__xludf.DUMMYFUNCTION("""COMPUTED_VALUE"""),46150.0)</f>
        <v>46150</v>
      </c>
      <c r="G182" s="159">
        <f>IFERROR(__xludf.DUMMYFUNCTION("""COMPUTED_VALUE"""),114.0)</f>
        <v>114</v>
      </c>
      <c r="H182" s="78" t="str">
        <f>IFERROR(__xludf.DUMMYFUNCTION("""COMPUTED_VALUE"""),"VIGENTE")</f>
        <v>VIGENTE</v>
      </c>
      <c r="I182" s="132" t="str">
        <f t="shared" si="1"/>
        <v>-</v>
      </c>
      <c r="J182" s="158"/>
      <c r="K182" s="126">
        <v>179.0</v>
      </c>
      <c r="L182" s="78">
        <f>IFERROR(__xludf.DUMMYFUNCTION("""COMPUTED_VALUE"""),2676.0)</f>
        <v>2676</v>
      </c>
      <c r="M182" s="156">
        <f>IFERROR(__xludf.DUMMYFUNCTION("""COMPUTED_VALUE"""),46502.0)</f>
        <v>46502</v>
      </c>
      <c r="N182" s="78" t="str">
        <f>IFERROR(__xludf.DUMMYFUNCTION("""COMPUTED_VALUE"""),"02-Medellin")</f>
        <v>02-Medellin</v>
      </c>
      <c r="O182" s="156">
        <f>IFERROR(__xludf.DUMMYFUNCTION("""COMPUTED_VALUE"""),46175.0)</f>
        <v>46175</v>
      </c>
      <c r="P182" s="159">
        <f>IFERROR(__xludf.DUMMYFUNCTION("""COMPUTED_VALUE"""),7762.6)</f>
        <v>7762.6</v>
      </c>
      <c r="Q182" s="78" t="str">
        <f>IFERROR(__xludf.DUMMYFUNCTION("""COMPUTED_VALUE"""),"VIGENTE")</f>
        <v>VIGENTE</v>
      </c>
      <c r="R182" s="132" t="str">
        <f t="shared" si="2"/>
        <v>-</v>
      </c>
      <c r="T182" s="134" t="str">
        <f>CALENDARIO!D194</f>
        <v/>
      </c>
      <c r="U182" s="135" t="str">
        <f>CALENDARIO!C194</f>
        <v/>
      </c>
      <c r="W182" s="78"/>
      <c r="X182" s="136" t="str">
        <f>(VLOOKUP(W182,'BD LUB'!$A$2:$L$223,5,FALSE)/VLOOKUP(W182,'BD LUB'!$A$2:$L$223,7,FALSE))+(VLOOKUP(W182,'BD LUB'!$A$2:$L$223,6,FALSE)/VLOOKUP(W182,'BD LUB'!$A$2:$L$223,8,FALSE))</f>
        <v>#N/A</v>
      </c>
      <c r="Y182" s="137" t="str">
        <f>IF(AND(VLOOKUP(W182,'BD LUB'!$A$2:$L$223,11,FALSE)="PASADO",VLOOKUP(W182,'BD LUB'!$A$2:$L$223,12,FALSE)="PASADO"),1,IF(OR(AND(VLOOKUP(W182,'BD LUB'!$A$2:$L$223,11,FALSE)="PASADO",VLOOKUP(W182,'BD LUB'!$A$2:$L$223,12,FALSE)="PRÓXIMO"),AND(VLOOKUP(W182,'BD LUB'!$A$2:$L$223,11,FALSE)="PRÓXIMO",VLOOKUP(W182,'BD LUB'!$A$2:$L$223,12,FALSE)="PASADO")),2,IF(OR(AND(VLOOKUP(W182,'BD LUB'!$A$2:$L$223,11,FALSE)="PASADO",VLOOKUP(W182,'BD LUB'!$A$2:$L$223,12,FALSE)="VIGENTE"),AND(VLOOKUP(W182,'BD LUB'!$A$2:$L$223,11,FALSE)="VIGENTE",VLOOKUP(W182,'BD LUB'!$A$2:$L$223,12,FALSE)="PASADO")),3,IF(AND(VLOOKUP(W182,'BD LUB'!$A$2:$L$223,11,FALSE)="PRÓXIMO",VLOOKUP(W182,'BD LUB'!$A$2:$L$223,12,FALSE)="PRÓXIMO"),4,IF(OR(AND(VLOOKUP(W182,'BD LUB'!$A$2:$L$223,11,FALSE)="PRÓXIMO",VLOOKUP(W182,'BD LUB'!$A$2:$L$223,12,FALSE)="VIGENTE"),AND(VLOOKUP(W182,'BD LUB'!$A$2:$L$223,11,FALSE)="VIGENTE",VLOOKUP(W182,'BD LUB'!$A$2:$L$223,12,FALSE)="PRÓXIMO")),5,IF(AND(VLOOKUP(W182,'BD LUB'!$A$2:$L$223,11,FALSE)="VIGENTE",VLOOKUP(W182,'BD LUB'!$A$2:$L$223,12,FALSE)="VIGENTE"),6,"No definido"))))))</f>
        <v>#N/A</v>
      </c>
      <c r="Z182" s="138"/>
      <c r="AA182" s="139" t="str">
        <f>(VLOOKUP(Z182,'BD LUB'!$A$2:$L$223,5,FALSE)/VLOOKUP(Z182,'BD LUB'!$A$2:$L$223,7,FALSE))+(VLOOKUP(Z182,'BD LUB'!$A$2:$L$223,6,FALSE)/VLOOKUP(Z182,'BD LUB'!$A$2:$L$223,8,FALSE))</f>
        <v>#N/A</v>
      </c>
      <c r="AB182" s="78" t="str">
        <f>IF(AND(VLOOKUP(Z182,'BD LUB'!$A$2:$L$223,11,FALSE)="PASADO",VLOOKUP(Z182,'BD LUB'!$A$2:$L$223,12,FALSE)="PASADO"),1,IF(OR(AND(VLOOKUP(Z182,'BD LUB'!$A$2:$L$223,11,FALSE)="PASADO",VLOOKUP(Z182,'BD LUB'!$A$2:$L$223,12,FALSE)="PRÓXIMO"),AND(VLOOKUP(Z182,'BD LUB'!$A$2:$L$223,11,FALSE)="PRÓXIMO",VLOOKUP(Z182,'BD LUB'!$A$2:$L$223,12,FALSE)="PASADO")),2,IF(OR(AND(VLOOKUP(Z182,'BD LUB'!$A$2:$L$223,11,FALSE)="PASADO",VLOOKUP(Z182,'BD LUB'!$A$2:$L$223,12,FALSE)="VIGENTE"),AND(VLOOKUP(Z182,'BD LUB'!$A$2:$L$223,11,FALSE)="VIGENTE",VLOOKUP(Z182,'BD LUB'!$A$2:$L$223,12,FALSE)="PASADO")),3,IF(AND(VLOOKUP(Z182,'BD LUB'!$A$2:$L$223,11,FALSE)="PRÓXIMO",VLOOKUP(Z182,'BD LUB'!$A$2:$L$223,12,FALSE)="PRÓXIMO"),4,IF(OR(AND(VLOOKUP(Z182,'BD LUB'!$A$2:$L$223,11,FALSE)="PRÓXIMO",VLOOKUP(Z182,'BD LUB'!$A$2:$L$223,12,FALSE)="VIGENTE"),AND(VLOOKUP(Z182,'BD LUB'!$A$2:$L$223,11,FALSE)="VIGENTE",VLOOKUP(Z182,'BD LUB'!$A$2:$L$223,12,FALSE)="PRÓXIMO")),5,IF(AND(VLOOKUP(Z182,'BD LUB'!$A$2:$L$223,11,FALSE)="VIGENTE",VLOOKUP(Z182,'BD LUB'!$A$2:$L$223,12,FALSE)="VIGENTE"),6,"No definido"))))))</f>
        <v>#N/A</v>
      </c>
      <c r="AC182" s="78"/>
      <c r="AD182" s="136" t="str">
        <f>IF(VLOOKUP(AC182,'BD LUB'!$A$2:$C$223,3,FALSE)=$AH$20,AC182&amp;" MED",IF(VLOOKUP(AC182,'BD LUB'!$A$2:$C$223,3,FALSE)=$AH$19,AC182&amp;" MAY",IF(VLOOKUP(AC182,'BD LUB'!$A$2:$C$223,3,FALSE)=$AH$18,AC182&amp;" RN",IF(VLOOKUP(AC182,'BD LUB'!$A$2:$C$223,3,FALSE)=$AH$17,AC182&amp;" COPQUI",IF(VLOOKUP(AC182,'BD LUB'!$A$2:$C$223,3,FALSE)=$AH$16,AC182&amp;" CEJ",IF(VLOOKUP(AC182,'BD LUB'!$A$2:$C$223,3,FALSE)=$AH$15,AC182&amp;" BULT",IF(VLOOKUP(AC182,'BD LUB'!$A$2:$C$223,3,FALSE)=$AH$14,AC182&amp;" COP",IF(VLOOKUP(AC182,'BD LUB'!$A$2:$C$223,3,FALSE)=$AH$13,AC182&amp;" RIO",IF(VLOOKUP(AC182,'BD LUB'!$A$2:$C$223,3,FALSE)=$AH$21,AC182&amp;" APART","Dato no encontrado")))))))))</f>
        <v>#N/A</v>
      </c>
      <c r="AE182" s="160"/>
      <c r="AF182" s="160"/>
      <c r="AG182" s="160"/>
      <c r="AH182" s="160"/>
      <c r="AI182" s="160"/>
      <c r="AJ182" s="160"/>
      <c r="AP182" s="160"/>
      <c r="AV182" s="160"/>
    </row>
    <row r="183">
      <c r="A183" s="158"/>
      <c r="B183" s="126">
        <v>180.0</v>
      </c>
      <c r="C183" s="78">
        <f>IFERROR(__xludf.DUMMYFUNCTION("""COMPUTED_VALUE"""),2379.0)</f>
        <v>2379</v>
      </c>
      <c r="D183" s="156">
        <f>IFERROR(__xludf.DUMMYFUNCTION("""COMPUTED_VALUE"""),46457.0)</f>
        <v>46457</v>
      </c>
      <c r="E183" s="78" t="str">
        <f>IFERROR(__xludf.DUMMYFUNCTION("""COMPUTED_VALUE"""),"31-Copacabana QUIMICOS")</f>
        <v>31-Copacabana QUIMICOS</v>
      </c>
      <c r="F183" s="156">
        <f>IFERROR(__xludf.DUMMYFUNCTION("""COMPUTED_VALUE"""),46150.0)</f>
        <v>46150</v>
      </c>
      <c r="G183" s="159">
        <f>IFERROR(__xludf.DUMMYFUNCTION("""COMPUTED_VALUE"""),114.0)</f>
        <v>114</v>
      </c>
      <c r="H183" s="78" t="str">
        <f>IFERROR(__xludf.DUMMYFUNCTION("""COMPUTED_VALUE"""),"VIGENTE")</f>
        <v>VIGENTE</v>
      </c>
      <c r="I183" s="132" t="str">
        <f t="shared" si="1"/>
        <v>-</v>
      </c>
      <c r="J183" s="158"/>
      <c r="K183" s="126">
        <v>180.0</v>
      </c>
      <c r="L183" s="78">
        <f>IFERROR(__xludf.DUMMYFUNCTION("""COMPUTED_VALUE"""),2458.0)</f>
        <v>2458</v>
      </c>
      <c r="M183" s="156">
        <f>IFERROR(__xludf.DUMMYFUNCTION("""COMPUTED_VALUE"""),46288.0)</f>
        <v>46288</v>
      </c>
      <c r="N183" s="78" t="str">
        <f>IFERROR(__xludf.DUMMYFUNCTION("""COMPUTED_VALUE"""),"02-Medellin")</f>
        <v>02-Medellin</v>
      </c>
      <c r="O183" s="156">
        <f>IFERROR(__xludf.DUMMYFUNCTION("""COMPUTED_VALUE"""),46132.0)</f>
        <v>46132</v>
      </c>
      <c r="P183" s="159">
        <f>IFERROR(__xludf.DUMMYFUNCTION("""COMPUTED_VALUE"""),7782.5)</f>
        <v>7782.5</v>
      </c>
      <c r="Q183" s="78" t="str">
        <f>IFERROR(__xludf.DUMMYFUNCTION("""COMPUTED_VALUE"""),"VIGENTE")</f>
        <v>VIGENTE</v>
      </c>
      <c r="R183" s="132" t="str">
        <f t="shared" si="2"/>
        <v>-</v>
      </c>
      <c r="T183" s="134" t="str">
        <f>CALENDARIO!D195</f>
        <v/>
      </c>
      <c r="U183" s="135" t="str">
        <f>CALENDARIO!C195</f>
        <v/>
      </c>
      <c r="W183" s="78"/>
      <c r="X183" s="136" t="str">
        <f>(VLOOKUP(W183,'BD LUB'!$A$2:$L$223,5,FALSE)/VLOOKUP(W183,'BD LUB'!$A$2:$L$223,7,FALSE))+(VLOOKUP(W183,'BD LUB'!$A$2:$L$223,6,FALSE)/VLOOKUP(W183,'BD LUB'!$A$2:$L$223,8,FALSE))</f>
        <v>#N/A</v>
      </c>
      <c r="Y183" s="137" t="str">
        <f>IF(AND(VLOOKUP(W183,'BD LUB'!$A$2:$L$223,11,FALSE)="PASADO",VLOOKUP(W183,'BD LUB'!$A$2:$L$223,12,FALSE)="PASADO"),1,IF(OR(AND(VLOOKUP(W183,'BD LUB'!$A$2:$L$223,11,FALSE)="PASADO",VLOOKUP(W183,'BD LUB'!$A$2:$L$223,12,FALSE)="PRÓXIMO"),AND(VLOOKUP(W183,'BD LUB'!$A$2:$L$223,11,FALSE)="PRÓXIMO",VLOOKUP(W183,'BD LUB'!$A$2:$L$223,12,FALSE)="PASADO")),2,IF(OR(AND(VLOOKUP(W183,'BD LUB'!$A$2:$L$223,11,FALSE)="PASADO",VLOOKUP(W183,'BD LUB'!$A$2:$L$223,12,FALSE)="VIGENTE"),AND(VLOOKUP(W183,'BD LUB'!$A$2:$L$223,11,FALSE)="VIGENTE",VLOOKUP(W183,'BD LUB'!$A$2:$L$223,12,FALSE)="PASADO")),3,IF(AND(VLOOKUP(W183,'BD LUB'!$A$2:$L$223,11,FALSE)="PRÓXIMO",VLOOKUP(W183,'BD LUB'!$A$2:$L$223,12,FALSE)="PRÓXIMO"),4,IF(OR(AND(VLOOKUP(W183,'BD LUB'!$A$2:$L$223,11,FALSE)="PRÓXIMO",VLOOKUP(W183,'BD LUB'!$A$2:$L$223,12,FALSE)="VIGENTE"),AND(VLOOKUP(W183,'BD LUB'!$A$2:$L$223,11,FALSE)="VIGENTE",VLOOKUP(W183,'BD LUB'!$A$2:$L$223,12,FALSE)="PRÓXIMO")),5,IF(AND(VLOOKUP(W183,'BD LUB'!$A$2:$L$223,11,FALSE)="VIGENTE",VLOOKUP(W183,'BD LUB'!$A$2:$L$223,12,FALSE)="VIGENTE"),6,"No definido"))))))</f>
        <v>#N/A</v>
      </c>
      <c r="Z183" s="138"/>
      <c r="AA183" s="139" t="str">
        <f>(VLOOKUP(Z183,'BD LUB'!$A$2:$L$223,5,FALSE)/VLOOKUP(Z183,'BD LUB'!$A$2:$L$223,7,FALSE))+(VLOOKUP(Z183,'BD LUB'!$A$2:$L$223,6,FALSE)/VLOOKUP(Z183,'BD LUB'!$A$2:$L$223,8,FALSE))</f>
        <v>#N/A</v>
      </c>
      <c r="AB183" s="78" t="str">
        <f>IF(AND(VLOOKUP(Z183,'BD LUB'!$A$2:$L$223,11,FALSE)="PASADO",VLOOKUP(Z183,'BD LUB'!$A$2:$L$223,12,FALSE)="PASADO"),1,IF(OR(AND(VLOOKUP(Z183,'BD LUB'!$A$2:$L$223,11,FALSE)="PASADO",VLOOKUP(Z183,'BD LUB'!$A$2:$L$223,12,FALSE)="PRÓXIMO"),AND(VLOOKUP(Z183,'BD LUB'!$A$2:$L$223,11,FALSE)="PRÓXIMO",VLOOKUP(Z183,'BD LUB'!$A$2:$L$223,12,FALSE)="PASADO")),2,IF(OR(AND(VLOOKUP(Z183,'BD LUB'!$A$2:$L$223,11,FALSE)="PASADO",VLOOKUP(Z183,'BD LUB'!$A$2:$L$223,12,FALSE)="VIGENTE"),AND(VLOOKUP(Z183,'BD LUB'!$A$2:$L$223,11,FALSE)="VIGENTE",VLOOKUP(Z183,'BD LUB'!$A$2:$L$223,12,FALSE)="PASADO")),3,IF(AND(VLOOKUP(Z183,'BD LUB'!$A$2:$L$223,11,FALSE)="PRÓXIMO",VLOOKUP(Z183,'BD LUB'!$A$2:$L$223,12,FALSE)="PRÓXIMO"),4,IF(OR(AND(VLOOKUP(Z183,'BD LUB'!$A$2:$L$223,11,FALSE)="PRÓXIMO",VLOOKUP(Z183,'BD LUB'!$A$2:$L$223,12,FALSE)="VIGENTE"),AND(VLOOKUP(Z183,'BD LUB'!$A$2:$L$223,11,FALSE)="VIGENTE",VLOOKUP(Z183,'BD LUB'!$A$2:$L$223,12,FALSE)="PRÓXIMO")),5,IF(AND(VLOOKUP(Z183,'BD LUB'!$A$2:$L$223,11,FALSE)="VIGENTE",VLOOKUP(Z183,'BD LUB'!$A$2:$L$223,12,FALSE)="VIGENTE"),6,"No definido"))))))</f>
        <v>#N/A</v>
      </c>
      <c r="AC183" s="78"/>
      <c r="AD183" s="136" t="str">
        <f>IF(VLOOKUP(AC183,'BD LUB'!$A$2:$C$223,3,FALSE)=$AH$20,AC183&amp;" MED",IF(VLOOKUP(AC183,'BD LUB'!$A$2:$C$223,3,FALSE)=$AH$19,AC183&amp;" MAY",IF(VLOOKUP(AC183,'BD LUB'!$A$2:$C$223,3,FALSE)=$AH$18,AC183&amp;" RN",IF(VLOOKUP(AC183,'BD LUB'!$A$2:$C$223,3,FALSE)=$AH$17,AC183&amp;" COPQUI",IF(VLOOKUP(AC183,'BD LUB'!$A$2:$C$223,3,FALSE)=$AH$16,AC183&amp;" CEJ",IF(VLOOKUP(AC183,'BD LUB'!$A$2:$C$223,3,FALSE)=$AH$15,AC183&amp;" BULT",IF(VLOOKUP(AC183,'BD LUB'!$A$2:$C$223,3,FALSE)=$AH$14,AC183&amp;" COP",IF(VLOOKUP(AC183,'BD LUB'!$A$2:$C$223,3,FALSE)=$AH$13,AC183&amp;" RIO",IF(VLOOKUP(AC183,'BD LUB'!$A$2:$C$223,3,FALSE)=$AH$21,AC183&amp;" APART","Dato no encontrado")))))))))</f>
        <v>#N/A</v>
      </c>
      <c r="AE183" s="160"/>
      <c r="AF183" s="160"/>
      <c r="AG183" s="160"/>
      <c r="AH183" s="160"/>
      <c r="AI183" s="160"/>
      <c r="AJ183" s="160"/>
      <c r="AP183" s="160"/>
      <c r="AV183" s="160"/>
    </row>
    <row r="184">
      <c r="A184" s="158"/>
      <c r="B184" s="126">
        <v>181.0</v>
      </c>
      <c r="C184" s="78">
        <f>IFERROR(__xludf.DUMMYFUNCTION("""COMPUTED_VALUE"""),2924.0)</f>
        <v>2924</v>
      </c>
      <c r="D184" s="156">
        <f>IFERROR(__xludf.DUMMYFUNCTION("""COMPUTED_VALUE"""),46318.0)</f>
        <v>46318</v>
      </c>
      <c r="E184" s="78" t="str">
        <f>IFERROR(__xludf.DUMMYFUNCTION("""COMPUTED_VALUE"""),"02-Medellin")</f>
        <v>02-Medellin</v>
      </c>
      <c r="F184" s="156">
        <f>IFERROR(__xludf.DUMMYFUNCTION("""COMPUTED_VALUE"""),46155.0)</f>
        <v>46155</v>
      </c>
      <c r="G184" s="159">
        <f>IFERROR(__xludf.DUMMYFUNCTION("""COMPUTED_VALUE"""),119.0)</f>
        <v>119</v>
      </c>
      <c r="H184" s="78" t="str">
        <f>IFERROR(__xludf.DUMMYFUNCTION("""COMPUTED_VALUE"""),"VIGENTE")</f>
        <v>VIGENTE</v>
      </c>
      <c r="I184" s="132" t="str">
        <f t="shared" si="1"/>
        <v>-</v>
      </c>
      <c r="J184" s="158"/>
      <c r="K184" s="126">
        <v>181.0</v>
      </c>
      <c r="L184" s="78">
        <f>IFERROR(__xludf.DUMMYFUNCTION("""COMPUTED_VALUE"""),2435.0)</f>
        <v>2435</v>
      </c>
      <c r="M184" s="156">
        <f>IFERROR(__xludf.DUMMYFUNCTION("""COMPUTED_VALUE"""),46530.0)</f>
        <v>46530</v>
      </c>
      <c r="N184" s="78" t="str">
        <f>IFERROR(__xludf.DUMMYFUNCTION("""COMPUTED_VALUE"""),"02-Medellin")</f>
        <v>02-Medellin</v>
      </c>
      <c r="O184" s="156">
        <f>IFERROR(__xludf.DUMMYFUNCTION("""COMPUTED_VALUE"""),46129.0)</f>
        <v>46129</v>
      </c>
      <c r="P184" s="159">
        <f>IFERROR(__xludf.DUMMYFUNCTION("""COMPUTED_VALUE"""),7813.0)</f>
        <v>7813</v>
      </c>
      <c r="Q184" s="78" t="str">
        <f>IFERROR(__xludf.DUMMYFUNCTION("""COMPUTED_VALUE"""),"VIGENTE")</f>
        <v>VIGENTE</v>
      </c>
      <c r="R184" s="132" t="str">
        <f t="shared" si="2"/>
        <v>-</v>
      </c>
      <c r="T184" s="134" t="str">
        <f>CALENDARIO!D196</f>
        <v/>
      </c>
      <c r="U184" s="135" t="str">
        <f>CALENDARIO!C196</f>
        <v/>
      </c>
      <c r="W184" s="78"/>
      <c r="X184" s="136" t="str">
        <f>(VLOOKUP(W184,'BD LUB'!$A$2:$L$223,5,FALSE)/VLOOKUP(W184,'BD LUB'!$A$2:$L$223,7,FALSE))+(VLOOKUP(W184,'BD LUB'!$A$2:$L$223,6,FALSE)/VLOOKUP(W184,'BD LUB'!$A$2:$L$223,8,FALSE))</f>
        <v>#N/A</v>
      </c>
      <c r="Y184" s="137" t="str">
        <f>IF(AND(VLOOKUP(W184,'BD LUB'!$A$2:$L$223,11,FALSE)="PASADO",VLOOKUP(W184,'BD LUB'!$A$2:$L$223,12,FALSE)="PASADO"),1,IF(OR(AND(VLOOKUP(W184,'BD LUB'!$A$2:$L$223,11,FALSE)="PASADO",VLOOKUP(W184,'BD LUB'!$A$2:$L$223,12,FALSE)="PRÓXIMO"),AND(VLOOKUP(W184,'BD LUB'!$A$2:$L$223,11,FALSE)="PRÓXIMO",VLOOKUP(W184,'BD LUB'!$A$2:$L$223,12,FALSE)="PASADO")),2,IF(OR(AND(VLOOKUP(W184,'BD LUB'!$A$2:$L$223,11,FALSE)="PASADO",VLOOKUP(W184,'BD LUB'!$A$2:$L$223,12,FALSE)="VIGENTE"),AND(VLOOKUP(W184,'BD LUB'!$A$2:$L$223,11,FALSE)="VIGENTE",VLOOKUP(W184,'BD LUB'!$A$2:$L$223,12,FALSE)="PASADO")),3,IF(AND(VLOOKUP(W184,'BD LUB'!$A$2:$L$223,11,FALSE)="PRÓXIMO",VLOOKUP(W184,'BD LUB'!$A$2:$L$223,12,FALSE)="PRÓXIMO"),4,IF(OR(AND(VLOOKUP(W184,'BD LUB'!$A$2:$L$223,11,FALSE)="PRÓXIMO",VLOOKUP(W184,'BD LUB'!$A$2:$L$223,12,FALSE)="VIGENTE"),AND(VLOOKUP(W184,'BD LUB'!$A$2:$L$223,11,FALSE)="VIGENTE",VLOOKUP(W184,'BD LUB'!$A$2:$L$223,12,FALSE)="PRÓXIMO")),5,IF(AND(VLOOKUP(W184,'BD LUB'!$A$2:$L$223,11,FALSE)="VIGENTE",VLOOKUP(W184,'BD LUB'!$A$2:$L$223,12,FALSE)="VIGENTE"),6,"No definido"))))))</f>
        <v>#N/A</v>
      </c>
      <c r="Z184" s="138"/>
      <c r="AA184" s="139" t="str">
        <f>(VLOOKUP(Z184,'BD LUB'!$A$2:$L$223,5,FALSE)/VLOOKUP(Z184,'BD LUB'!$A$2:$L$223,7,FALSE))+(VLOOKUP(Z184,'BD LUB'!$A$2:$L$223,6,FALSE)/VLOOKUP(Z184,'BD LUB'!$A$2:$L$223,8,FALSE))</f>
        <v>#N/A</v>
      </c>
      <c r="AB184" s="78" t="str">
        <f>IF(AND(VLOOKUP(Z184,'BD LUB'!$A$2:$L$223,11,FALSE)="PASADO",VLOOKUP(Z184,'BD LUB'!$A$2:$L$223,12,FALSE)="PASADO"),1,IF(OR(AND(VLOOKUP(Z184,'BD LUB'!$A$2:$L$223,11,FALSE)="PASADO",VLOOKUP(Z184,'BD LUB'!$A$2:$L$223,12,FALSE)="PRÓXIMO"),AND(VLOOKUP(Z184,'BD LUB'!$A$2:$L$223,11,FALSE)="PRÓXIMO",VLOOKUP(Z184,'BD LUB'!$A$2:$L$223,12,FALSE)="PASADO")),2,IF(OR(AND(VLOOKUP(Z184,'BD LUB'!$A$2:$L$223,11,FALSE)="PASADO",VLOOKUP(Z184,'BD LUB'!$A$2:$L$223,12,FALSE)="VIGENTE"),AND(VLOOKUP(Z184,'BD LUB'!$A$2:$L$223,11,FALSE)="VIGENTE",VLOOKUP(Z184,'BD LUB'!$A$2:$L$223,12,FALSE)="PASADO")),3,IF(AND(VLOOKUP(Z184,'BD LUB'!$A$2:$L$223,11,FALSE)="PRÓXIMO",VLOOKUP(Z184,'BD LUB'!$A$2:$L$223,12,FALSE)="PRÓXIMO"),4,IF(OR(AND(VLOOKUP(Z184,'BD LUB'!$A$2:$L$223,11,FALSE)="PRÓXIMO",VLOOKUP(Z184,'BD LUB'!$A$2:$L$223,12,FALSE)="VIGENTE"),AND(VLOOKUP(Z184,'BD LUB'!$A$2:$L$223,11,FALSE)="VIGENTE",VLOOKUP(Z184,'BD LUB'!$A$2:$L$223,12,FALSE)="PRÓXIMO")),5,IF(AND(VLOOKUP(Z184,'BD LUB'!$A$2:$L$223,11,FALSE)="VIGENTE",VLOOKUP(Z184,'BD LUB'!$A$2:$L$223,12,FALSE)="VIGENTE"),6,"No definido"))))))</f>
        <v>#N/A</v>
      </c>
      <c r="AC184" s="78"/>
      <c r="AD184" s="136" t="str">
        <f>IF(VLOOKUP(AC184,'BD LUB'!$A$2:$C$223,3,FALSE)=$AH$20,AC184&amp;" MED",IF(VLOOKUP(AC184,'BD LUB'!$A$2:$C$223,3,FALSE)=$AH$19,AC184&amp;" MAY",IF(VLOOKUP(AC184,'BD LUB'!$A$2:$C$223,3,FALSE)=$AH$18,AC184&amp;" RN",IF(VLOOKUP(AC184,'BD LUB'!$A$2:$C$223,3,FALSE)=$AH$17,AC184&amp;" COPQUI",IF(VLOOKUP(AC184,'BD LUB'!$A$2:$C$223,3,FALSE)=$AH$16,AC184&amp;" CEJ",IF(VLOOKUP(AC184,'BD LUB'!$A$2:$C$223,3,FALSE)=$AH$15,AC184&amp;" BULT",IF(VLOOKUP(AC184,'BD LUB'!$A$2:$C$223,3,FALSE)=$AH$14,AC184&amp;" COP",IF(VLOOKUP(AC184,'BD LUB'!$A$2:$C$223,3,FALSE)=$AH$13,AC184&amp;" RIO",IF(VLOOKUP(AC184,'BD LUB'!$A$2:$C$223,3,FALSE)=$AH$21,AC184&amp;" APART","Dato no encontrado")))))))))</f>
        <v>#N/A</v>
      </c>
      <c r="AE184" s="160"/>
      <c r="AF184" s="160"/>
      <c r="AG184" s="160"/>
      <c r="AH184" s="160"/>
      <c r="AI184" s="160"/>
      <c r="AJ184" s="160"/>
      <c r="AP184" s="160"/>
      <c r="AV184" s="160"/>
    </row>
    <row r="185">
      <c r="A185" s="158"/>
      <c r="B185" s="126">
        <v>182.0</v>
      </c>
      <c r="C185" s="78">
        <f>IFERROR(__xludf.DUMMYFUNCTION("""COMPUTED_VALUE"""),2896.0)</f>
        <v>2896</v>
      </c>
      <c r="D185" s="156">
        <f>IFERROR(__xludf.DUMMYFUNCTION("""COMPUTED_VALUE"""),46242.0)</f>
        <v>46242</v>
      </c>
      <c r="E185" s="78" t="str">
        <f>IFERROR(__xludf.DUMMYFUNCTION("""COMPUTED_VALUE"""),"02-Medellin")</f>
        <v>02-Medellin</v>
      </c>
      <c r="F185" s="156">
        <f>IFERROR(__xludf.DUMMYFUNCTION("""COMPUTED_VALUE"""),46156.0)</f>
        <v>46156</v>
      </c>
      <c r="G185" s="159">
        <f>IFERROR(__xludf.DUMMYFUNCTION("""COMPUTED_VALUE"""),120.0)</f>
        <v>120</v>
      </c>
      <c r="H185" s="78" t="str">
        <f>IFERROR(__xludf.DUMMYFUNCTION("""COMPUTED_VALUE"""),"VIGENTE")</f>
        <v>VIGENTE</v>
      </c>
      <c r="I185" s="132" t="str">
        <f t="shared" si="1"/>
        <v>-</v>
      </c>
      <c r="J185" s="158"/>
      <c r="K185" s="126">
        <v>182.0</v>
      </c>
      <c r="L185" s="78">
        <f>IFERROR(__xludf.DUMMYFUNCTION("""COMPUTED_VALUE"""),2623.0)</f>
        <v>2623</v>
      </c>
      <c r="M185" s="156">
        <f>IFERROR(__xludf.DUMMYFUNCTION("""COMPUTED_VALUE"""),46268.0)</f>
        <v>46268</v>
      </c>
      <c r="N185" s="78" t="str">
        <f>IFERROR(__xludf.DUMMYFUNCTION("""COMPUTED_VALUE"""),"02-Medellin")</f>
        <v>02-Medellin</v>
      </c>
      <c r="O185" s="156">
        <f>IFERROR(__xludf.DUMMYFUNCTION("""COMPUTED_VALUE"""),46157.0)</f>
        <v>46157</v>
      </c>
      <c r="P185" s="159">
        <f>IFERROR(__xludf.DUMMYFUNCTION("""COMPUTED_VALUE"""),7845.6)</f>
        <v>7845.6</v>
      </c>
      <c r="Q185" s="78" t="str">
        <f>IFERROR(__xludf.DUMMYFUNCTION("""COMPUTED_VALUE"""),"VIGENTE")</f>
        <v>VIGENTE</v>
      </c>
      <c r="R185" s="132" t="str">
        <f t="shared" si="2"/>
        <v>-</v>
      </c>
      <c r="T185" s="134" t="str">
        <f>CALENDARIO!D197</f>
        <v/>
      </c>
      <c r="U185" s="135" t="str">
        <f>CALENDARIO!C197</f>
        <v/>
      </c>
      <c r="W185" s="78"/>
      <c r="X185" s="136" t="str">
        <f>(VLOOKUP(W185,'BD LUB'!$A$2:$L$223,5,FALSE)/VLOOKUP(W185,'BD LUB'!$A$2:$L$223,7,FALSE))+(VLOOKUP(W185,'BD LUB'!$A$2:$L$223,6,FALSE)/VLOOKUP(W185,'BD LUB'!$A$2:$L$223,8,FALSE))</f>
        <v>#N/A</v>
      </c>
      <c r="Y185" s="137" t="str">
        <f>IF(AND(VLOOKUP(W185,'BD LUB'!$A$2:$L$223,11,FALSE)="PASADO",VLOOKUP(W185,'BD LUB'!$A$2:$L$223,12,FALSE)="PASADO"),1,IF(OR(AND(VLOOKUP(W185,'BD LUB'!$A$2:$L$223,11,FALSE)="PASADO",VLOOKUP(W185,'BD LUB'!$A$2:$L$223,12,FALSE)="PRÓXIMO"),AND(VLOOKUP(W185,'BD LUB'!$A$2:$L$223,11,FALSE)="PRÓXIMO",VLOOKUP(W185,'BD LUB'!$A$2:$L$223,12,FALSE)="PASADO")),2,IF(OR(AND(VLOOKUP(W185,'BD LUB'!$A$2:$L$223,11,FALSE)="PASADO",VLOOKUP(W185,'BD LUB'!$A$2:$L$223,12,FALSE)="VIGENTE"),AND(VLOOKUP(W185,'BD LUB'!$A$2:$L$223,11,FALSE)="VIGENTE",VLOOKUP(W185,'BD LUB'!$A$2:$L$223,12,FALSE)="PASADO")),3,IF(AND(VLOOKUP(W185,'BD LUB'!$A$2:$L$223,11,FALSE)="PRÓXIMO",VLOOKUP(W185,'BD LUB'!$A$2:$L$223,12,FALSE)="PRÓXIMO"),4,IF(OR(AND(VLOOKUP(W185,'BD LUB'!$A$2:$L$223,11,FALSE)="PRÓXIMO",VLOOKUP(W185,'BD LUB'!$A$2:$L$223,12,FALSE)="VIGENTE"),AND(VLOOKUP(W185,'BD LUB'!$A$2:$L$223,11,FALSE)="VIGENTE",VLOOKUP(W185,'BD LUB'!$A$2:$L$223,12,FALSE)="PRÓXIMO")),5,IF(AND(VLOOKUP(W185,'BD LUB'!$A$2:$L$223,11,FALSE)="VIGENTE",VLOOKUP(W185,'BD LUB'!$A$2:$L$223,12,FALSE)="VIGENTE"),6,"No definido"))))))</f>
        <v>#N/A</v>
      </c>
      <c r="Z185" s="138"/>
      <c r="AA185" s="139" t="str">
        <f>(VLOOKUP(Z185,'BD LUB'!$A$2:$L$223,5,FALSE)/VLOOKUP(Z185,'BD LUB'!$A$2:$L$223,7,FALSE))+(VLOOKUP(Z185,'BD LUB'!$A$2:$L$223,6,FALSE)/VLOOKUP(Z185,'BD LUB'!$A$2:$L$223,8,FALSE))</f>
        <v>#N/A</v>
      </c>
      <c r="AB185" s="78" t="str">
        <f>IF(AND(VLOOKUP(Z185,'BD LUB'!$A$2:$L$223,11,FALSE)="PASADO",VLOOKUP(Z185,'BD LUB'!$A$2:$L$223,12,FALSE)="PASADO"),1,IF(OR(AND(VLOOKUP(Z185,'BD LUB'!$A$2:$L$223,11,FALSE)="PASADO",VLOOKUP(Z185,'BD LUB'!$A$2:$L$223,12,FALSE)="PRÓXIMO"),AND(VLOOKUP(Z185,'BD LUB'!$A$2:$L$223,11,FALSE)="PRÓXIMO",VLOOKUP(Z185,'BD LUB'!$A$2:$L$223,12,FALSE)="PASADO")),2,IF(OR(AND(VLOOKUP(Z185,'BD LUB'!$A$2:$L$223,11,FALSE)="PASADO",VLOOKUP(Z185,'BD LUB'!$A$2:$L$223,12,FALSE)="VIGENTE"),AND(VLOOKUP(Z185,'BD LUB'!$A$2:$L$223,11,FALSE)="VIGENTE",VLOOKUP(Z185,'BD LUB'!$A$2:$L$223,12,FALSE)="PASADO")),3,IF(AND(VLOOKUP(Z185,'BD LUB'!$A$2:$L$223,11,FALSE)="PRÓXIMO",VLOOKUP(Z185,'BD LUB'!$A$2:$L$223,12,FALSE)="PRÓXIMO"),4,IF(OR(AND(VLOOKUP(Z185,'BD LUB'!$A$2:$L$223,11,FALSE)="PRÓXIMO",VLOOKUP(Z185,'BD LUB'!$A$2:$L$223,12,FALSE)="VIGENTE"),AND(VLOOKUP(Z185,'BD LUB'!$A$2:$L$223,11,FALSE)="VIGENTE",VLOOKUP(Z185,'BD LUB'!$A$2:$L$223,12,FALSE)="PRÓXIMO")),5,IF(AND(VLOOKUP(Z185,'BD LUB'!$A$2:$L$223,11,FALSE)="VIGENTE",VLOOKUP(Z185,'BD LUB'!$A$2:$L$223,12,FALSE)="VIGENTE"),6,"No definido"))))))</f>
        <v>#N/A</v>
      </c>
      <c r="AC185" s="78"/>
      <c r="AD185" s="136" t="str">
        <f>IF(VLOOKUP(AC185,'BD LUB'!$A$2:$C$223,3,FALSE)=$AH$20,AC185&amp;" MED",IF(VLOOKUP(AC185,'BD LUB'!$A$2:$C$223,3,FALSE)=$AH$19,AC185&amp;" MAY",IF(VLOOKUP(AC185,'BD LUB'!$A$2:$C$223,3,FALSE)=$AH$18,AC185&amp;" RN",IF(VLOOKUP(AC185,'BD LUB'!$A$2:$C$223,3,FALSE)=$AH$17,AC185&amp;" COPQUI",IF(VLOOKUP(AC185,'BD LUB'!$A$2:$C$223,3,FALSE)=$AH$16,AC185&amp;" CEJ",IF(VLOOKUP(AC185,'BD LUB'!$A$2:$C$223,3,FALSE)=$AH$15,AC185&amp;" BULT",IF(VLOOKUP(AC185,'BD LUB'!$A$2:$C$223,3,FALSE)=$AH$14,AC185&amp;" COP",IF(VLOOKUP(AC185,'BD LUB'!$A$2:$C$223,3,FALSE)=$AH$13,AC185&amp;" RIO",IF(VLOOKUP(AC185,'BD LUB'!$A$2:$C$223,3,FALSE)=$AH$21,AC185&amp;" APART","Dato no encontrado")))))))))</f>
        <v>#N/A</v>
      </c>
      <c r="AE185" s="160"/>
      <c r="AF185" s="160"/>
      <c r="AG185" s="160"/>
      <c r="AH185" s="160"/>
      <c r="AI185" s="160"/>
      <c r="AJ185" s="160"/>
      <c r="AP185" s="160"/>
      <c r="AV185" s="160"/>
    </row>
    <row r="186">
      <c r="A186" s="158"/>
      <c r="B186" s="126">
        <v>183.0</v>
      </c>
      <c r="C186" s="78">
        <f>IFERROR(__xludf.DUMMYFUNCTION("""COMPUTED_VALUE"""),2895.0)</f>
        <v>2895</v>
      </c>
      <c r="D186" s="156">
        <f>IFERROR(__xludf.DUMMYFUNCTION("""COMPUTED_VALUE"""),46242.0)</f>
        <v>46242</v>
      </c>
      <c r="E186" s="78" t="str">
        <f>IFERROR(__xludf.DUMMYFUNCTION("""COMPUTED_VALUE"""),"31-Copacabana")</f>
        <v>31-Copacabana</v>
      </c>
      <c r="F186" s="156">
        <f>IFERROR(__xludf.DUMMYFUNCTION("""COMPUTED_VALUE"""),46156.0)</f>
        <v>46156</v>
      </c>
      <c r="G186" s="159">
        <f>IFERROR(__xludf.DUMMYFUNCTION("""COMPUTED_VALUE"""),120.0)</f>
        <v>120</v>
      </c>
      <c r="H186" s="78" t="str">
        <f>IFERROR(__xludf.DUMMYFUNCTION("""COMPUTED_VALUE"""),"VIGENTE")</f>
        <v>VIGENTE</v>
      </c>
      <c r="I186" s="132" t="str">
        <f t="shared" si="1"/>
        <v>-</v>
      </c>
      <c r="J186" s="158"/>
      <c r="K186" s="126">
        <v>183.0</v>
      </c>
      <c r="L186" s="78">
        <f>IFERROR(__xludf.DUMMYFUNCTION("""COMPUTED_VALUE"""),2390.0)</f>
        <v>2390</v>
      </c>
      <c r="M186" s="156">
        <f>IFERROR(__xludf.DUMMYFUNCTION("""COMPUTED_VALUE"""),46544.0)</f>
        <v>46544</v>
      </c>
      <c r="N186" s="78" t="str">
        <f>IFERROR(__xludf.DUMMYFUNCTION("""COMPUTED_VALUE"""),"MAYORCA")</f>
        <v>MAYORCA</v>
      </c>
      <c r="O186" s="156">
        <f>IFERROR(__xludf.DUMMYFUNCTION("""COMPUTED_VALUE"""),46161.0)</f>
        <v>46161</v>
      </c>
      <c r="P186" s="159">
        <f>IFERROR(__xludf.DUMMYFUNCTION("""COMPUTED_VALUE"""),7846.9)</f>
        <v>7846.9</v>
      </c>
      <c r="Q186" s="78" t="str">
        <f>IFERROR(__xludf.DUMMYFUNCTION("""COMPUTED_VALUE"""),"VIGENTE")</f>
        <v>VIGENTE</v>
      </c>
      <c r="R186" s="132" t="str">
        <f t="shared" si="2"/>
        <v>-</v>
      </c>
      <c r="T186" s="134" t="str">
        <f>CALENDARIO!D198</f>
        <v/>
      </c>
      <c r="U186" s="135" t="str">
        <f>CALENDARIO!C198</f>
        <v/>
      </c>
      <c r="W186" s="78"/>
      <c r="X186" s="136" t="str">
        <f>(VLOOKUP(W186,'BD LUB'!$A$2:$L$223,5,FALSE)/VLOOKUP(W186,'BD LUB'!$A$2:$L$223,7,FALSE))+(VLOOKUP(W186,'BD LUB'!$A$2:$L$223,6,FALSE)/VLOOKUP(W186,'BD LUB'!$A$2:$L$223,8,FALSE))</f>
        <v>#N/A</v>
      </c>
      <c r="Y186" s="137" t="str">
        <f>IF(AND(VLOOKUP(W186,'BD LUB'!$A$2:$L$223,11,FALSE)="PASADO",VLOOKUP(W186,'BD LUB'!$A$2:$L$223,12,FALSE)="PASADO"),1,IF(OR(AND(VLOOKUP(W186,'BD LUB'!$A$2:$L$223,11,FALSE)="PASADO",VLOOKUP(W186,'BD LUB'!$A$2:$L$223,12,FALSE)="PRÓXIMO"),AND(VLOOKUP(W186,'BD LUB'!$A$2:$L$223,11,FALSE)="PRÓXIMO",VLOOKUP(W186,'BD LUB'!$A$2:$L$223,12,FALSE)="PASADO")),2,IF(OR(AND(VLOOKUP(W186,'BD LUB'!$A$2:$L$223,11,FALSE)="PASADO",VLOOKUP(W186,'BD LUB'!$A$2:$L$223,12,FALSE)="VIGENTE"),AND(VLOOKUP(W186,'BD LUB'!$A$2:$L$223,11,FALSE)="VIGENTE",VLOOKUP(W186,'BD LUB'!$A$2:$L$223,12,FALSE)="PASADO")),3,IF(AND(VLOOKUP(W186,'BD LUB'!$A$2:$L$223,11,FALSE)="PRÓXIMO",VLOOKUP(W186,'BD LUB'!$A$2:$L$223,12,FALSE)="PRÓXIMO"),4,IF(OR(AND(VLOOKUP(W186,'BD LUB'!$A$2:$L$223,11,FALSE)="PRÓXIMO",VLOOKUP(W186,'BD LUB'!$A$2:$L$223,12,FALSE)="VIGENTE"),AND(VLOOKUP(W186,'BD LUB'!$A$2:$L$223,11,FALSE)="VIGENTE",VLOOKUP(W186,'BD LUB'!$A$2:$L$223,12,FALSE)="PRÓXIMO")),5,IF(AND(VLOOKUP(W186,'BD LUB'!$A$2:$L$223,11,FALSE)="VIGENTE",VLOOKUP(W186,'BD LUB'!$A$2:$L$223,12,FALSE)="VIGENTE"),6,"No definido"))))))</f>
        <v>#N/A</v>
      </c>
      <c r="Z186" s="138"/>
      <c r="AA186" s="139" t="str">
        <f>(VLOOKUP(Z186,'BD LUB'!$A$2:$L$223,5,FALSE)/VLOOKUP(Z186,'BD LUB'!$A$2:$L$223,7,FALSE))+(VLOOKUP(Z186,'BD LUB'!$A$2:$L$223,6,FALSE)/VLOOKUP(Z186,'BD LUB'!$A$2:$L$223,8,FALSE))</f>
        <v>#N/A</v>
      </c>
      <c r="AB186" s="78" t="str">
        <f>IF(AND(VLOOKUP(Z186,'BD LUB'!$A$2:$L$223,11,FALSE)="PASADO",VLOOKUP(Z186,'BD LUB'!$A$2:$L$223,12,FALSE)="PASADO"),1,IF(OR(AND(VLOOKUP(Z186,'BD LUB'!$A$2:$L$223,11,FALSE)="PASADO",VLOOKUP(Z186,'BD LUB'!$A$2:$L$223,12,FALSE)="PRÓXIMO"),AND(VLOOKUP(Z186,'BD LUB'!$A$2:$L$223,11,FALSE)="PRÓXIMO",VLOOKUP(Z186,'BD LUB'!$A$2:$L$223,12,FALSE)="PASADO")),2,IF(OR(AND(VLOOKUP(Z186,'BD LUB'!$A$2:$L$223,11,FALSE)="PASADO",VLOOKUP(Z186,'BD LUB'!$A$2:$L$223,12,FALSE)="VIGENTE"),AND(VLOOKUP(Z186,'BD LUB'!$A$2:$L$223,11,FALSE)="VIGENTE",VLOOKUP(Z186,'BD LUB'!$A$2:$L$223,12,FALSE)="PASADO")),3,IF(AND(VLOOKUP(Z186,'BD LUB'!$A$2:$L$223,11,FALSE)="PRÓXIMO",VLOOKUP(Z186,'BD LUB'!$A$2:$L$223,12,FALSE)="PRÓXIMO"),4,IF(OR(AND(VLOOKUP(Z186,'BD LUB'!$A$2:$L$223,11,FALSE)="PRÓXIMO",VLOOKUP(Z186,'BD LUB'!$A$2:$L$223,12,FALSE)="VIGENTE"),AND(VLOOKUP(Z186,'BD LUB'!$A$2:$L$223,11,FALSE)="VIGENTE",VLOOKUP(Z186,'BD LUB'!$A$2:$L$223,12,FALSE)="PRÓXIMO")),5,IF(AND(VLOOKUP(Z186,'BD LUB'!$A$2:$L$223,11,FALSE)="VIGENTE",VLOOKUP(Z186,'BD LUB'!$A$2:$L$223,12,FALSE)="VIGENTE"),6,"No definido"))))))</f>
        <v>#N/A</v>
      </c>
      <c r="AC186" s="78"/>
      <c r="AD186" s="136" t="str">
        <f>IF(VLOOKUP(AC186,'BD LUB'!$A$2:$C$223,3,FALSE)=$AH$20,AC186&amp;" MED",IF(VLOOKUP(AC186,'BD LUB'!$A$2:$C$223,3,FALSE)=$AH$19,AC186&amp;" MAY",IF(VLOOKUP(AC186,'BD LUB'!$A$2:$C$223,3,FALSE)=$AH$18,AC186&amp;" RN",IF(VLOOKUP(AC186,'BD LUB'!$A$2:$C$223,3,FALSE)=$AH$17,AC186&amp;" COPQUI",IF(VLOOKUP(AC186,'BD LUB'!$A$2:$C$223,3,FALSE)=$AH$16,AC186&amp;" CEJ",IF(VLOOKUP(AC186,'BD LUB'!$A$2:$C$223,3,FALSE)=$AH$15,AC186&amp;" BULT",IF(VLOOKUP(AC186,'BD LUB'!$A$2:$C$223,3,FALSE)=$AH$14,AC186&amp;" COP",IF(VLOOKUP(AC186,'BD LUB'!$A$2:$C$223,3,FALSE)=$AH$13,AC186&amp;" RIO",IF(VLOOKUP(AC186,'BD LUB'!$A$2:$C$223,3,FALSE)=$AH$21,AC186&amp;" APART","Dato no encontrado")))))))))</f>
        <v>#N/A</v>
      </c>
      <c r="AE186" s="160"/>
      <c r="AF186" s="160"/>
      <c r="AG186" s="160"/>
      <c r="AH186" s="160"/>
      <c r="AI186" s="160"/>
      <c r="AJ186" s="160"/>
      <c r="AP186" s="160"/>
      <c r="AV186" s="160"/>
    </row>
    <row r="187">
      <c r="A187" s="158"/>
      <c r="B187" s="126">
        <v>184.0</v>
      </c>
      <c r="C187" s="78">
        <f>IFERROR(__xludf.DUMMYFUNCTION("""COMPUTED_VALUE"""),2866.0)</f>
        <v>2866</v>
      </c>
      <c r="D187" s="156">
        <f>IFERROR(__xludf.DUMMYFUNCTION("""COMPUTED_VALUE"""),46221.0)</f>
        <v>46221</v>
      </c>
      <c r="E187" s="78" t="str">
        <f>IFERROR(__xludf.DUMMYFUNCTION("""COMPUTED_VALUE"""),"02-Medellin")</f>
        <v>02-Medellin</v>
      </c>
      <c r="F187" s="156">
        <f>IFERROR(__xludf.DUMMYFUNCTION("""COMPUTED_VALUE"""),46156.0)</f>
        <v>46156</v>
      </c>
      <c r="G187" s="159">
        <f>IFERROR(__xludf.DUMMYFUNCTION("""COMPUTED_VALUE"""),120.0)</f>
        <v>120</v>
      </c>
      <c r="H187" s="78" t="str">
        <f>IFERROR(__xludf.DUMMYFUNCTION("""COMPUTED_VALUE"""),"VIGENTE")</f>
        <v>VIGENTE</v>
      </c>
      <c r="I187" s="132" t="str">
        <f t="shared" si="1"/>
        <v>-</v>
      </c>
      <c r="J187" s="158"/>
      <c r="K187" s="126">
        <v>184.0</v>
      </c>
      <c r="L187" s="78">
        <f>IFERROR(__xludf.DUMMYFUNCTION("""COMPUTED_VALUE"""),2360.0)</f>
        <v>2360</v>
      </c>
      <c r="M187" s="156">
        <f>IFERROR(__xludf.DUMMYFUNCTION("""COMPUTED_VALUE"""),46445.0)</f>
        <v>46445</v>
      </c>
      <c r="N187" s="78" t="str">
        <f>IFERROR(__xludf.DUMMYFUNCTION("""COMPUTED_VALUE"""),"02-Medellin")</f>
        <v>02-Medellin</v>
      </c>
      <c r="O187" s="156">
        <f>IFERROR(__xludf.DUMMYFUNCTION("""COMPUTED_VALUE"""),46161.0)</f>
        <v>46161</v>
      </c>
      <c r="P187" s="159">
        <f>IFERROR(__xludf.DUMMYFUNCTION("""COMPUTED_VALUE"""),7916.8)</f>
        <v>7916.8</v>
      </c>
      <c r="Q187" s="78" t="str">
        <f>IFERROR(__xludf.DUMMYFUNCTION("""COMPUTED_VALUE"""),"VIGENTE")</f>
        <v>VIGENTE</v>
      </c>
      <c r="R187" s="132" t="str">
        <f t="shared" si="2"/>
        <v>-</v>
      </c>
      <c r="T187" s="134" t="str">
        <f>CALENDARIO!D199</f>
        <v/>
      </c>
      <c r="U187" s="135" t="str">
        <f>CALENDARIO!C199</f>
        <v/>
      </c>
      <c r="W187" s="78"/>
      <c r="X187" s="136" t="str">
        <f>(VLOOKUP(W187,'BD LUB'!$A$2:$L$223,5,FALSE)/VLOOKUP(W187,'BD LUB'!$A$2:$L$223,7,FALSE))+(VLOOKUP(W187,'BD LUB'!$A$2:$L$223,6,FALSE)/VLOOKUP(W187,'BD LUB'!$A$2:$L$223,8,FALSE))</f>
        <v>#N/A</v>
      </c>
      <c r="Y187" s="137" t="str">
        <f>IF(AND(VLOOKUP(W187,'BD LUB'!$A$2:$L$223,11,FALSE)="PASADO",VLOOKUP(W187,'BD LUB'!$A$2:$L$223,12,FALSE)="PASADO"),1,IF(OR(AND(VLOOKUP(W187,'BD LUB'!$A$2:$L$223,11,FALSE)="PASADO",VLOOKUP(W187,'BD LUB'!$A$2:$L$223,12,FALSE)="PRÓXIMO"),AND(VLOOKUP(W187,'BD LUB'!$A$2:$L$223,11,FALSE)="PRÓXIMO",VLOOKUP(W187,'BD LUB'!$A$2:$L$223,12,FALSE)="PASADO")),2,IF(OR(AND(VLOOKUP(W187,'BD LUB'!$A$2:$L$223,11,FALSE)="PASADO",VLOOKUP(W187,'BD LUB'!$A$2:$L$223,12,FALSE)="VIGENTE"),AND(VLOOKUP(W187,'BD LUB'!$A$2:$L$223,11,FALSE)="VIGENTE",VLOOKUP(W187,'BD LUB'!$A$2:$L$223,12,FALSE)="PASADO")),3,IF(AND(VLOOKUP(W187,'BD LUB'!$A$2:$L$223,11,FALSE)="PRÓXIMO",VLOOKUP(W187,'BD LUB'!$A$2:$L$223,12,FALSE)="PRÓXIMO"),4,IF(OR(AND(VLOOKUP(W187,'BD LUB'!$A$2:$L$223,11,FALSE)="PRÓXIMO",VLOOKUP(W187,'BD LUB'!$A$2:$L$223,12,FALSE)="VIGENTE"),AND(VLOOKUP(W187,'BD LUB'!$A$2:$L$223,11,FALSE)="VIGENTE",VLOOKUP(W187,'BD LUB'!$A$2:$L$223,12,FALSE)="PRÓXIMO")),5,IF(AND(VLOOKUP(W187,'BD LUB'!$A$2:$L$223,11,FALSE)="VIGENTE",VLOOKUP(W187,'BD LUB'!$A$2:$L$223,12,FALSE)="VIGENTE"),6,"No definido"))))))</f>
        <v>#N/A</v>
      </c>
      <c r="Z187" s="138"/>
      <c r="AA187" s="139" t="str">
        <f>(VLOOKUP(Z187,'BD LUB'!$A$2:$L$223,5,FALSE)/VLOOKUP(Z187,'BD LUB'!$A$2:$L$223,7,FALSE))+(VLOOKUP(Z187,'BD LUB'!$A$2:$L$223,6,FALSE)/VLOOKUP(Z187,'BD LUB'!$A$2:$L$223,8,FALSE))</f>
        <v>#N/A</v>
      </c>
      <c r="AB187" s="78" t="str">
        <f>IF(AND(VLOOKUP(Z187,'BD LUB'!$A$2:$L$223,11,FALSE)="PASADO",VLOOKUP(Z187,'BD LUB'!$A$2:$L$223,12,FALSE)="PASADO"),1,IF(OR(AND(VLOOKUP(Z187,'BD LUB'!$A$2:$L$223,11,FALSE)="PASADO",VLOOKUP(Z187,'BD LUB'!$A$2:$L$223,12,FALSE)="PRÓXIMO"),AND(VLOOKUP(Z187,'BD LUB'!$A$2:$L$223,11,FALSE)="PRÓXIMO",VLOOKUP(Z187,'BD LUB'!$A$2:$L$223,12,FALSE)="PASADO")),2,IF(OR(AND(VLOOKUP(Z187,'BD LUB'!$A$2:$L$223,11,FALSE)="PASADO",VLOOKUP(Z187,'BD LUB'!$A$2:$L$223,12,FALSE)="VIGENTE"),AND(VLOOKUP(Z187,'BD LUB'!$A$2:$L$223,11,FALSE)="VIGENTE",VLOOKUP(Z187,'BD LUB'!$A$2:$L$223,12,FALSE)="PASADO")),3,IF(AND(VLOOKUP(Z187,'BD LUB'!$A$2:$L$223,11,FALSE)="PRÓXIMO",VLOOKUP(Z187,'BD LUB'!$A$2:$L$223,12,FALSE)="PRÓXIMO"),4,IF(OR(AND(VLOOKUP(Z187,'BD LUB'!$A$2:$L$223,11,FALSE)="PRÓXIMO",VLOOKUP(Z187,'BD LUB'!$A$2:$L$223,12,FALSE)="VIGENTE"),AND(VLOOKUP(Z187,'BD LUB'!$A$2:$L$223,11,FALSE)="VIGENTE",VLOOKUP(Z187,'BD LUB'!$A$2:$L$223,12,FALSE)="PRÓXIMO")),5,IF(AND(VLOOKUP(Z187,'BD LUB'!$A$2:$L$223,11,FALSE)="VIGENTE",VLOOKUP(Z187,'BD LUB'!$A$2:$L$223,12,FALSE)="VIGENTE"),6,"No definido"))))))</f>
        <v>#N/A</v>
      </c>
      <c r="AC187" s="78"/>
      <c r="AD187" s="136" t="str">
        <f>IF(VLOOKUP(AC187,'BD LUB'!$A$2:$C$223,3,FALSE)=$AH$20,AC187&amp;" MED",IF(VLOOKUP(AC187,'BD LUB'!$A$2:$C$223,3,FALSE)=$AH$19,AC187&amp;" MAY",IF(VLOOKUP(AC187,'BD LUB'!$A$2:$C$223,3,FALSE)=$AH$18,AC187&amp;" RN",IF(VLOOKUP(AC187,'BD LUB'!$A$2:$C$223,3,FALSE)=$AH$17,AC187&amp;" COPQUI",IF(VLOOKUP(AC187,'BD LUB'!$A$2:$C$223,3,FALSE)=$AH$16,AC187&amp;" CEJ",IF(VLOOKUP(AC187,'BD LUB'!$A$2:$C$223,3,FALSE)=$AH$15,AC187&amp;" BULT",IF(VLOOKUP(AC187,'BD LUB'!$A$2:$C$223,3,FALSE)=$AH$14,AC187&amp;" COP",IF(VLOOKUP(AC187,'BD LUB'!$A$2:$C$223,3,FALSE)=$AH$13,AC187&amp;" RIO",IF(VLOOKUP(AC187,'BD LUB'!$A$2:$C$223,3,FALSE)=$AH$21,AC187&amp;" APART","Dato no encontrado")))))))))</f>
        <v>#N/A</v>
      </c>
      <c r="AE187" s="160"/>
      <c r="AF187" s="160"/>
      <c r="AG187" s="160"/>
      <c r="AH187" s="160"/>
      <c r="AI187" s="160"/>
      <c r="AJ187" s="160"/>
      <c r="AP187" s="160"/>
      <c r="AV187" s="160"/>
    </row>
    <row r="188">
      <c r="A188" s="158"/>
      <c r="B188" s="126">
        <v>185.0</v>
      </c>
      <c r="C188" s="78">
        <f>IFERROR(__xludf.DUMMYFUNCTION("""COMPUTED_VALUE"""),2678.0)</f>
        <v>2678</v>
      </c>
      <c r="D188" s="156">
        <f>IFERROR(__xludf.DUMMYFUNCTION("""COMPUTED_VALUE"""),46500.0)</f>
        <v>46500</v>
      </c>
      <c r="E188" s="78" t="str">
        <f>IFERROR(__xludf.DUMMYFUNCTION("""COMPUTED_VALUE"""),"MAYORCA")</f>
        <v>MAYORCA</v>
      </c>
      <c r="F188" s="156">
        <f>IFERROR(__xludf.DUMMYFUNCTION("""COMPUTED_VALUE"""),46156.0)</f>
        <v>46156</v>
      </c>
      <c r="G188" s="159">
        <f>IFERROR(__xludf.DUMMYFUNCTION("""COMPUTED_VALUE"""),120.0)</f>
        <v>120</v>
      </c>
      <c r="H188" s="78" t="str">
        <f>IFERROR(__xludf.DUMMYFUNCTION("""COMPUTED_VALUE"""),"VIGENTE")</f>
        <v>VIGENTE</v>
      </c>
      <c r="I188" s="132" t="str">
        <f t="shared" si="1"/>
        <v>-</v>
      </c>
      <c r="J188" s="158"/>
      <c r="K188" s="126">
        <v>185.0</v>
      </c>
      <c r="L188" s="78">
        <f>IFERROR(__xludf.DUMMYFUNCTION("""COMPUTED_VALUE"""),2674.0)</f>
        <v>2674</v>
      </c>
      <c r="M188" s="156">
        <f>IFERROR(__xludf.DUMMYFUNCTION("""COMPUTED_VALUE"""),46507.0)</f>
        <v>46507</v>
      </c>
      <c r="N188" s="78" t="str">
        <f>IFERROR(__xludf.DUMMYFUNCTION("""COMPUTED_VALUE"""),"27-Apartado")</f>
        <v>27-Apartado</v>
      </c>
      <c r="O188" s="156">
        <f>IFERROR(__xludf.DUMMYFUNCTION("""COMPUTED_VALUE"""),46132.0)</f>
        <v>46132</v>
      </c>
      <c r="P188" s="159">
        <f>IFERROR(__xludf.DUMMYFUNCTION("""COMPUTED_VALUE"""),7931.6)</f>
        <v>7931.6</v>
      </c>
      <c r="Q188" s="78" t="str">
        <f>IFERROR(__xludf.DUMMYFUNCTION("""COMPUTED_VALUE"""),"VIGENTE")</f>
        <v>VIGENTE</v>
      </c>
      <c r="R188" s="132" t="str">
        <f t="shared" si="2"/>
        <v>-</v>
      </c>
      <c r="T188" s="134" t="str">
        <f>CALENDARIO!D200</f>
        <v/>
      </c>
      <c r="U188" s="135" t="str">
        <f>CALENDARIO!C200</f>
        <v/>
      </c>
      <c r="W188" s="78"/>
      <c r="X188" s="136" t="str">
        <f>(VLOOKUP(W188,'BD LUB'!$A$2:$L$223,5,FALSE)/VLOOKUP(W188,'BD LUB'!$A$2:$L$223,7,FALSE))+(VLOOKUP(W188,'BD LUB'!$A$2:$L$223,6,FALSE)/VLOOKUP(W188,'BD LUB'!$A$2:$L$223,8,FALSE))</f>
        <v>#N/A</v>
      </c>
      <c r="Y188" s="137" t="str">
        <f>IF(AND(VLOOKUP(W188,'BD LUB'!$A$2:$L$223,11,FALSE)="PASADO",VLOOKUP(W188,'BD LUB'!$A$2:$L$223,12,FALSE)="PASADO"),1,IF(OR(AND(VLOOKUP(W188,'BD LUB'!$A$2:$L$223,11,FALSE)="PASADO",VLOOKUP(W188,'BD LUB'!$A$2:$L$223,12,FALSE)="PRÓXIMO"),AND(VLOOKUP(W188,'BD LUB'!$A$2:$L$223,11,FALSE)="PRÓXIMO",VLOOKUP(W188,'BD LUB'!$A$2:$L$223,12,FALSE)="PASADO")),2,IF(OR(AND(VLOOKUP(W188,'BD LUB'!$A$2:$L$223,11,FALSE)="PASADO",VLOOKUP(W188,'BD LUB'!$A$2:$L$223,12,FALSE)="VIGENTE"),AND(VLOOKUP(W188,'BD LUB'!$A$2:$L$223,11,FALSE)="VIGENTE",VLOOKUP(W188,'BD LUB'!$A$2:$L$223,12,FALSE)="PASADO")),3,IF(AND(VLOOKUP(W188,'BD LUB'!$A$2:$L$223,11,FALSE)="PRÓXIMO",VLOOKUP(W188,'BD LUB'!$A$2:$L$223,12,FALSE)="PRÓXIMO"),4,IF(OR(AND(VLOOKUP(W188,'BD LUB'!$A$2:$L$223,11,FALSE)="PRÓXIMO",VLOOKUP(W188,'BD LUB'!$A$2:$L$223,12,FALSE)="VIGENTE"),AND(VLOOKUP(W188,'BD LUB'!$A$2:$L$223,11,FALSE)="VIGENTE",VLOOKUP(W188,'BD LUB'!$A$2:$L$223,12,FALSE)="PRÓXIMO")),5,IF(AND(VLOOKUP(W188,'BD LUB'!$A$2:$L$223,11,FALSE)="VIGENTE",VLOOKUP(W188,'BD LUB'!$A$2:$L$223,12,FALSE)="VIGENTE"),6,"No definido"))))))</f>
        <v>#N/A</v>
      </c>
      <c r="Z188" s="138"/>
      <c r="AA188" s="139" t="str">
        <f>(VLOOKUP(Z188,'BD LUB'!$A$2:$L$223,5,FALSE)/VLOOKUP(Z188,'BD LUB'!$A$2:$L$223,7,FALSE))+(VLOOKUP(Z188,'BD LUB'!$A$2:$L$223,6,FALSE)/VLOOKUP(Z188,'BD LUB'!$A$2:$L$223,8,FALSE))</f>
        <v>#N/A</v>
      </c>
      <c r="AB188" s="78" t="str">
        <f>IF(AND(VLOOKUP(Z188,'BD LUB'!$A$2:$L$223,11,FALSE)="PASADO",VLOOKUP(Z188,'BD LUB'!$A$2:$L$223,12,FALSE)="PASADO"),1,IF(OR(AND(VLOOKUP(Z188,'BD LUB'!$A$2:$L$223,11,FALSE)="PASADO",VLOOKUP(Z188,'BD LUB'!$A$2:$L$223,12,FALSE)="PRÓXIMO"),AND(VLOOKUP(Z188,'BD LUB'!$A$2:$L$223,11,FALSE)="PRÓXIMO",VLOOKUP(Z188,'BD LUB'!$A$2:$L$223,12,FALSE)="PASADO")),2,IF(OR(AND(VLOOKUP(Z188,'BD LUB'!$A$2:$L$223,11,FALSE)="PASADO",VLOOKUP(Z188,'BD LUB'!$A$2:$L$223,12,FALSE)="VIGENTE"),AND(VLOOKUP(Z188,'BD LUB'!$A$2:$L$223,11,FALSE)="VIGENTE",VLOOKUP(Z188,'BD LUB'!$A$2:$L$223,12,FALSE)="PASADO")),3,IF(AND(VLOOKUP(Z188,'BD LUB'!$A$2:$L$223,11,FALSE)="PRÓXIMO",VLOOKUP(Z188,'BD LUB'!$A$2:$L$223,12,FALSE)="PRÓXIMO"),4,IF(OR(AND(VLOOKUP(Z188,'BD LUB'!$A$2:$L$223,11,FALSE)="PRÓXIMO",VLOOKUP(Z188,'BD LUB'!$A$2:$L$223,12,FALSE)="VIGENTE"),AND(VLOOKUP(Z188,'BD LUB'!$A$2:$L$223,11,FALSE)="VIGENTE",VLOOKUP(Z188,'BD LUB'!$A$2:$L$223,12,FALSE)="PRÓXIMO")),5,IF(AND(VLOOKUP(Z188,'BD LUB'!$A$2:$L$223,11,FALSE)="VIGENTE",VLOOKUP(Z188,'BD LUB'!$A$2:$L$223,12,FALSE)="VIGENTE"),6,"No definido"))))))</f>
        <v>#N/A</v>
      </c>
      <c r="AC188" s="78"/>
      <c r="AD188" s="136" t="str">
        <f>IF(VLOOKUP(AC188,'BD LUB'!$A$2:$C$223,3,FALSE)=$AH$20,AC188&amp;" MED",IF(VLOOKUP(AC188,'BD LUB'!$A$2:$C$223,3,FALSE)=$AH$19,AC188&amp;" MAY",IF(VLOOKUP(AC188,'BD LUB'!$A$2:$C$223,3,FALSE)=$AH$18,AC188&amp;" RN",IF(VLOOKUP(AC188,'BD LUB'!$A$2:$C$223,3,FALSE)=$AH$17,AC188&amp;" COPQUI",IF(VLOOKUP(AC188,'BD LUB'!$A$2:$C$223,3,FALSE)=$AH$16,AC188&amp;" CEJ",IF(VLOOKUP(AC188,'BD LUB'!$A$2:$C$223,3,FALSE)=$AH$15,AC188&amp;" BULT",IF(VLOOKUP(AC188,'BD LUB'!$A$2:$C$223,3,FALSE)=$AH$14,AC188&amp;" COP",IF(VLOOKUP(AC188,'BD LUB'!$A$2:$C$223,3,FALSE)=$AH$13,AC188&amp;" RIO",IF(VLOOKUP(AC188,'BD LUB'!$A$2:$C$223,3,FALSE)=$AH$21,AC188&amp;" APART","Dato no encontrado")))))))))</f>
        <v>#N/A</v>
      </c>
      <c r="AE188" s="160"/>
      <c r="AF188" s="160"/>
      <c r="AG188" s="160"/>
      <c r="AH188" s="160"/>
      <c r="AI188" s="160"/>
      <c r="AJ188" s="160"/>
      <c r="AP188" s="160"/>
      <c r="AV188" s="160"/>
    </row>
    <row r="189">
      <c r="A189" s="158"/>
      <c r="B189" s="126">
        <v>186.0</v>
      </c>
      <c r="C189" s="78">
        <f>IFERROR(__xludf.DUMMYFUNCTION("""COMPUTED_VALUE"""),2635.0)</f>
        <v>2635</v>
      </c>
      <c r="D189" s="156">
        <f>IFERROR(__xludf.DUMMYFUNCTION("""COMPUTED_VALUE"""),46254.0)</f>
        <v>46254</v>
      </c>
      <c r="E189" s="78" t="str">
        <f>IFERROR(__xludf.DUMMYFUNCTION("""COMPUTED_VALUE"""),"02-Medellin")</f>
        <v>02-Medellin</v>
      </c>
      <c r="F189" s="156">
        <f>IFERROR(__xludf.DUMMYFUNCTION("""COMPUTED_VALUE"""),46156.0)</f>
        <v>46156</v>
      </c>
      <c r="G189" s="159">
        <f>IFERROR(__xludf.DUMMYFUNCTION("""COMPUTED_VALUE"""),120.0)</f>
        <v>120</v>
      </c>
      <c r="H189" s="78" t="str">
        <f>IFERROR(__xludf.DUMMYFUNCTION("""COMPUTED_VALUE"""),"VIGENTE")</f>
        <v>VIGENTE</v>
      </c>
      <c r="I189" s="132" t="str">
        <f t="shared" si="1"/>
        <v>-</v>
      </c>
      <c r="J189" s="158"/>
      <c r="K189" s="126">
        <v>186.0</v>
      </c>
      <c r="L189" s="78">
        <f>IFERROR(__xludf.DUMMYFUNCTION("""COMPUTED_VALUE"""),2423.0)</f>
        <v>2423</v>
      </c>
      <c r="M189" s="156">
        <f>IFERROR(__xludf.DUMMYFUNCTION("""COMPUTED_VALUE"""),46513.0)</f>
        <v>46513</v>
      </c>
      <c r="N189" s="78" t="str">
        <f>IFERROR(__xludf.DUMMYFUNCTION("""COMPUTED_VALUE"""),"02-Medellin")</f>
        <v>02-Medellin</v>
      </c>
      <c r="O189" s="156">
        <f>IFERROR(__xludf.DUMMYFUNCTION("""COMPUTED_VALUE"""),46167.0)</f>
        <v>46167</v>
      </c>
      <c r="P189" s="159">
        <f>IFERROR(__xludf.DUMMYFUNCTION("""COMPUTED_VALUE"""),7940.0)</f>
        <v>7940</v>
      </c>
      <c r="Q189" s="78" t="str">
        <f>IFERROR(__xludf.DUMMYFUNCTION("""COMPUTED_VALUE"""),"VIGENTE")</f>
        <v>VIGENTE</v>
      </c>
      <c r="R189" s="132" t="str">
        <f t="shared" si="2"/>
        <v>-</v>
      </c>
      <c r="T189" s="134" t="str">
        <f>CALENDARIO!D201</f>
        <v/>
      </c>
      <c r="U189" s="135" t="str">
        <f>CALENDARIO!C201</f>
        <v/>
      </c>
      <c r="W189" s="78"/>
      <c r="X189" s="136" t="str">
        <f>(VLOOKUP(W189,'BD LUB'!$A$2:$L$223,5,FALSE)/VLOOKUP(W189,'BD LUB'!$A$2:$L$223,7,FALSE))+(VLOOKUP(W189,'BD LUB'!$A$2:$L$223,6,FALSE)/VLOOKUP(W189,'BD LUB'!$A$2:$L$223,8,FALSE))</f>
        <v>#N/A</v>
      </c>
      <c r="Y189" s="137" t="str">
        <f>IF(AND(VLOOKUP(W189,'BD LUB'!$A$2:$L$223,11,FALSE)="PASADO",VLOOKUP(W189,'BD LUB'!$A$2:$L$223,12,FALSE)="PASADO"),1,IF(OR(AND(VLOOKUP(W189,'BD LUB'!$A$2:$L$223,11,FALSE)="PASADO",VLOOKUP(W189,'BD LUB'!$A$2:$L$223,12,FALSE)="PRÓXIMO"),AND(VLOOKUP(W189,'BD LUB'!$A$2:$L$223,11,FALSE)="PRÓXIMO",VLOOKUP(W189,'BD LUB'!$A$2:$L$223,12,FALSE)="PASADO")),2,IF(OR(AND(VLOOKUP(W189,'BD LUB'!$A$2:$L$223,11,FALSE)="PASADO",VLOOKUP(W189,'BD LUB'!$A$2:$L$223,12,FALSE)="VIGENTE"),AND(VLOOKUP(W189,'BD LUB'!$A$2:$L$223,11,FALSE)="VIGENTE",VLOOKUP(W189,'BD LUB'!$A$2:$L$223,12,FALSE)="PASADO")),3,IF(AND(VLOOKUP(W189,'BD LUB'!$A$2:$L$223,11,FALSE)="PRÓXIMO",VLOOKUP(W189,'BD LUB'!$A$2:$L$223,12,FALSE)="PRÓXIMO"),4,IF(OR(AND(VLOOKUP(W189,'BD LUB'!$A$2:$L$223,11,FALSE)="PRÓXIMO",VLOOKUP(W189,'BD LUB'!$A$2:$L$223,12,FALSE)="VIGENTE"),AND(VLOOKUP(W189,'BD LUB'!$A$2:$L$223,11,FALSE)="VIGENTE",VLOOKUP(W189,'BD LUB'!$A$2:$L$223,12,FALSE)="PRÓXIMO")),5,IF(AND(VLOOKUP(W189,'BD LUB'!$A$2:$L$223,11,FALSE)="VIGENTE",VLOOKUP(W189,'BD LUB'!$A$2:$L$223,12,FALSE)="VIGENTE"),6,"No definido"))))))</f>
        <v>#N/A</v>
      </c>
      <c r="Z189" s="138"/>
      <c r="AA189" s="139" t="str">
        <f>(VLOOKUP(Z189,'BD LUB'!$A$2:$L$223,5,FALSE)/VLOOKUP(Z189,'BD LUB'!$A$2:$L$223,7,FALSE))+(VLOOKUP(Z189,'BD LUB'!$A$2:$L$223,6,FALSE)/VLOOKUP(Z189,'BD LUB'!$A$2:$L$223,8,FALSE))</f>
        <v>#N/A</v>
      </c>
      <c r="AB189" s="78" t="str">
        <f>IF(AND(VLOOKUP(Z189,'BD LUB'!$A$2:$L$223,11,FALSE)="PASADO",VLOOKUP(Z189,'BD LUB'!$A$2:$L$223,12,FALSE)="PASADO"),1,IF(OR(AND(VLOOKUP(Z189,'BD LUB'!$A$2:$L$223,11,FALSE)="PASADO",VLOOKUP(Z189,'BD LUB'!$A$2:$L$223,12,FALSE)="PRÓXIMO"),AND(VLOOKUP(Z189,'BD LUB'!$A$2:$L$223,11,FALSE)="PRÓXIMO",VLOOKUP(Z189,'BD LUB'!$A$2:$L$223,12,FALSE)="PASADO")),2,IF(OR(AND(VLOOKUP(Z189,'BD LUB'!$A$2:$L$223,11,FALSE)="PASADO",VLOOKUP(Z189,'BD LUB'!$A$2:$L$223,12,FALSE)="VIGENTE"),AND(VLOOKUP(Z189,'BD LUB'!$A$2:$L$223,11,FALSE)="VIGENTE",VLOOKUP(Z189,'BD LUB'!$A$2:$L$223,12,FALSE)="PASADO")),3,IF(AND(VLOOKUP(Z189,'BD LUB'!$A$2:$L$223,11,FALSE)="PRÓXIMO",VLOOKUP(Z189,'BD LUB'!$A$2:$L$223,12,FALSE)="PRÓXIMO"),4,IF(OR(AND(VLOOKUP(Z189,'BD LUB'!$A$2:$L$223,11,FALSE)="PRÓXIMO",VLOOKUP(Z189,'BD LUB'!$A$2:$L$223,12,FALSE)="VIGENTE"),AND(VLOOKUP(Z189,'BD LUB'!$A$2:$L$223,11,FALSE)="VIGENTE",VLOOKUP(Z189,'BD LUB'!$A$2:$L$223,12,FALSE)="PRÓXIMO")),5,IF(AND(VLOOKUP(Z189,'BD LUB'!$A$2:$L$223,11,FALSE)="VIGENTE",VLOOKUP(Z189,'BD LUB'!$A$2:$L$223,12,FALSE)="VIGENTE"),6,"No definido"))))))</f>
        <v>#N/A</v>
      </c>
      <c r="AC189" s="78"/>
      <c r="AD189" s="136" t="str">
        <f>IF(VLOOKUP(AC189,'BD LUB'!$A$2:$C$223,3,FALSE)=$AH$20,AC189&amp;" MED",IF(VLOOKUP(AC189,'BD LUB'!$A$2:$C$223,3,FALSE)=$AH$19,AC189&amp;" MAY",IF(VLOOKUP(AC189,'BD LUB'!$A$2:$C$223,3,FALSE)=$AH$18,AC189&amp;" RN",IF(VLOOKUP(AC189,'BD LUB'!$A$2:$C$223,3,FALSE)=$AH$17,AC189&amp;" COPQUI",IF(VLOOKUP(AC189,'BD LUB'!$A$2:$C$223,3,FALSE)=$AH$16,AC189&amp;" CEJ",IF(VLOOKUP(AC189,'BD LUB'!$A$2:$C$223,3,FALSE)=$AH$15,AC189&amp;" BULT",IF(VLOOKUP(AC189,'BD LUB'!$A$2:$C$223,3,FALSE)=$AH$14,AC189&amp;" COP",IF(VLOOKUP(AC189,'BD LUB'!$A$2:$C$223,3,FALSE)=$AH$13,AC189&amp;" RIO",IF(VLOOKUP(AC189,'BD LUB'!$A$2:$C$223,3,FALSE)=$AH$21,AC189&amp;" APART","Dato no encontrado")))))))))</f>
        <v>#N/A</v>
      </c>
      <c r="AE189" s="160"/>
      <c r="AF189" s="160"/>
      <c r="AG189" s="160"/>
      <c r="AH189" s="160"/>
      <c r="AI189" s="160"/>
      <c r="AJ189" s="160"/>
      <c r="AP189" s="160"/>
      <c r="AV189" s="160"/>
    </row>
    <row r="190">
      <c r="A190" s="158"/>
      <c r="B190" s="126">
        <v>187.0</v>
      </c>
      <c r="C190" s="78">
        <f>IFERROR(__xludf.DUMMYFUNCTION("""COMPUTED_VALUE"""),2422.0)</f>
        <v>2422</v>
      </c>
      <c r="D190" s="156">
        <f>IFERROR(__xludf.DUMMYFUNCTION("""COMPUTED_VALUE"""),46471.0)</f>
        <v>46471</v>
      </c>
      <c r="E190" s="78" t="str">
        <f>IFERROR(__xludf.DUMMYFUNCTION("""COMPUTED_VALUE"""),"31-Copacabana QUIMICOS")</f>
        <v>31-Copacabana QUIMICOS</v>
      </c>
      <c r="F190" s="156">
        <f>IFERROR(__xludf.DUMMYFUNCTION("""COMPUTED_VALUE"""),46156.0)</f>
        <v>46156</v>
      </c>
      <c r="G190" s="159">
        <f>IFERROR(__xludf.DUMMYFUNCTION("""COMPUTED_VALUE"""),120.0)</f>
        <v>120</v>
      </c>
      <c r="H190" s="78" t="str">
        <f>IFERROR(__xludf.DUMMYFUNCTION("""COMPUTED_VALUE"""),"VIGENTE")</f>
        <v>VIGENTE</v>
      </c>
      <c r="I190" s="132" t="str">
        <f t="shared" si="1"/>
        <v>-</v>
      </c>
      <c r="J190" s="158"/>
      <c r="K190" s="126">
        <v>187.0</v>
      </c>
      <c r="L190" s="78">
        <f>IFERROR(__xludf.DUMMYFUNCTION("""COMPUTED_VALUE"""),2455.0)</f>
        <v>2455</v>
      </c>
      <c r="M190" s="156">
        <f>IFERROR(__xludf.DUMMYFUNCTION("""COMPUTED_VALUE"""),46298.0)</f>
        <v>46298</v>
      </c>
      <c r="N190" s="78" t="str">
        <f>IFERROR(__xludf.DUMMYFUNCTION("""COMPUTED_VALUE"""),"02-Medellin")</f>
        <v>02-Medellin</v>
      </c>
      <c r="O190" s="156">
        <f>IFERROR(__xludf.DUMMYFUNCTION("""COMPUTED_VALUE"""),46107.0)</f>
        <v>46107</v>
      </c>
      <c r="P190" s="159">
        <f>IFERROR(__xludf.DUMMYFUNCTION("""COMPUTED_VALUE"""),8028.0)</f>
        <v>8028</v>
      </c>
      <c r="Q190" s="78" t="str">
        <f>IFERROR(__xludf.DUMMYFUNCTION("""COMPUTED_VALUE"""),"VIGENTE")</f>
        <v>VIGENTE</v>
      </c>
      <c r="R190" s="132" t="str">
        <f t="shared" si="2"/>
        <v>-</v>
      </c>
      <c r="T190" s="134" t="str">
        <f>CALENDARIO!D202</f>
        <v/>
      </c>
      <c r="U190" s="135" t="str">
        <f>CALENDARIO!C202</f>
        <v/>
      </c>
      <c r="W190" s="78"/>
      <c r="X190" s="136" t="str">
        <f>(VLOOKUP(W190,'BD LUB'!$A$2:$L$223,5,FALSE)/VLOOKUP(W190,'BD LUB'!$A$2:$L$223,7,FALSE))+(VLOOKUP(W190,'BD LUB'!$A$2:$L$223,6,FALSE)/VLOOKUP(W190,'BD LUB'!$A$2:$L$223,8,FALSE))</f>
        <v>#N/A</v>
      </c>
      <c r="Y190" s="137" t="str">
        <f>IF(AND(VLOOKUP(W190,'BD LUB'!$A$2:$L$223,11,FALSE)="PASADO",VLOOKUP(W190,'BD LUB'!$A$2:$L$223,12,FALSE)="PASADO"),1,IF(OR(AND(VLOOKUP(W190,'BD LUB'!$A$2:$L$223,11,FALSE)="PASADO",VLOOKUP(W190,'BD LUB'!$A$2:$L$223,12,FALSE)="PRÓXIMO"),AND(VLOOKUP(W190,'BD LUB'!$A$2:$L$223,11,FALSE)="PRÓXIMO",VLOOKUP(W190,'BD LUB'!$A$2:$L$223,12,FALSE)="PASADO")),2,IF(OR(AND(VLOOKUP(W190,'BD LUB'!$A$2:$L$223,11,FALSE)="PASADO",VLOOKUP(W190,'BD LUB'!$A$2:$L$223,12,FALSE)="VIGENTE"),AND(VLOOKUP(W190,'BD LUB'!$A$2:$L$223,11,FALSE)="VIGENTE",VLOOKUP(W190,'BD LUB'!$A$2:$L$223,12,FALSE)="PASADO")),3,IF(AND(VLOOKUP(W190,'BD LUB'!$A$2:$L$223,11,FALSE)="PRÓXIMO",VLOOKUP(W190,'BD LUB'!$A$2:$L$223,12,FALSE)="PRÓXIMO"),4,IF(OR(AND(VLOOKUP(W190,'BD LUB'!$A$2:$L$223,11,FALSE)="PRÓXIMO",VLOOKUP(W190,'BD LUB'!$A$2:$L$223,12,FALSE)="VIGENTE"),AND(VLOOKUP(W190,'BD LUB'!$A$2:$L$223,11,FALSE)="VIGENTE",VLOOKUP(W190,'BD LUB'!$A$2:$L$223,12,FALSE)="PRÓXIMO")),5,IF(AND(VLOOKUP(W190,'BD LUB'!$A$2:$L$223,11,FALSE)="VIGENTE",VLOOKUP(W190,'BD LUB'!$A$2:$L$223,12,FALSE)="VIGENTE"),6,"No definido"))))))</f>
        <v>#N/A</v>
      </c>
      <c r="Z190" s="138"/>
      <c r="AA190" s="139" t="str">
        <f>(VLOOKUP(Z190,'BD LUB'!$A$2:$L$223,5,FALSE)/VLOOKUP(Z190,'BD LUB'!$A$2:$L$223,7,FALSE))+(VLOOKUP(Z190,'BD LUB'!$A$2:$L$223,6,FALSE)/VLOOKUP(Z190,'BD LUB'!$A$2:$L$223,8,FALSE))</f>
        <v>#N/A</v>
      </c>
      <c r="AB190" s="78" t="str">
        <f>IF(AND(VLOOKUP(Z190,'BD LUB'!$A$2:$L$223,11,FALSE)="PASADO",VLOOKUP(Z190,'BD LUB'!$A$2:$L$223,12,FALSE)="PASADO"),1,IF(OR(AND(VLOOKUP(Z190,'BD LUB'!$A$2:$L$223,11,FALSE)="PASADO",VLOOKUP(Z190,'BD LUB'!$A$2:$L$223,12,FALSE)="PRÓXIMO"),AND(VLOOKUP(Z190,'BD LUB'!$A$2:$L$223,11,FALSE)="PRÓXIMO",VLOOKUP(Z190,'BD LUB'!$A$2:$L$223,12,FALSE)="PASADO")),2,IF(OR(AND(VLOOKUP(Z190,'BD LUB'!$A$2:$L$223,11,FALSE)="PASADO",VLOOKUP(Z190,'BD LUB'!$A$2:$L$223,12,FALSE)="VIGENTE"),AND(VLOOKUP(Z190,'BD LUB'!$A$2:$L$223,11,FALSE)="VIGENTE",VLOOKUP(Z190,'BD LUB'!$A$2:$L$223,12,FALSE)="PASADO")),3,IF(AND(VLOOKUP(Z190,'BD LUB'!$A$2:$L$223,11,FALSE)="PRÓXIMO",VLOOKUP(Z190,'BD LUB'!$A$2:$L$223,12,FALSE)="PRÓXIMO"),4,IF(OR(AND(VLOOKUP(Z190,'BD LUB'!$A$2:$L$223,11,FALSE)="PRÓXIMO",VLOOKUP(Z190,'BD LUB'!$A$2:$L$223,12,FALSE)="VIGENTE"),AND(VLOOKUP(Z190,'BD LUB'!$A$2:$L$223,11,FALSE)="VIGENTE",VLOOKUP(Z190,'BD LUB'!$A$2:$L$223,12,FALSE)="PRÓXIMO")),5,IF(AND(VLOOKUP(Z190,'BD LUB'!$A$2:$L$223,11,FALSE)="VIGENTE",VLOOKUP(Z190,'BD LUB'!$A$2:$L$223,12,FALSE)="VIGENTE"),6,"No definido"))))))</f>
        <v>#N/A</v>
      </c>
      <c r="AC190" s="78"/>
      <c r="AD190" s="136" t="str">
        <f>IF(VLOOKUP(AC190,'BD LUB'!$A$2:$C$223,3,FALSE)=$AH$20,AC190&amp;" MED",IF(VLOOKUP(AC190,'BD LUB'!$A$2:$C$223,3,FALSE)=$AH$19,AC190&amp;" MAY",IF(VLOOKUP(AC190,'BD LUB'!$A$2:$C$223,3,FALSE)=$AH$18,AC190&amp;" RN",IF(VLOOKUP(AC190,'BD LUB'!$A$2:$C$223,3,FALSE)=$AH$17,AC190&amp;" COPQUI",IF(VLOOKUP(AC190,'BD LUB'!$A$2:$C$223,3,FALSE)=$AH$16,AC190&amp;" CEJ",IF(VLOOKUP(AC190,'BD LUB'!$A$2:$C$223,3,FALSE)=$AH$15,AC190&amp;" BULT",IF(VLOOKUP(AC190,'BD LUB'!$A$2:$C$223,3,FALSE)=$AH$14,AC190&amp;" COP",IF(VLOOKUP(AC190,'BD LUB'!$A$2:$C$223,3,FALSE)=$AH$13,AC190&amp;" RIO",IF(VLOOKUP(AC190,'BD LUB'!$A$2:$C$223,3,FALSE)=$AH$21,AC190&amp;" APART","Dato no encontrado")))))))))</f>
        <v>#N/A</v>
      </c>
      <c r="AE190" s="160"/>
      <c r="AF190" s="160"/>
      <c r="AG190" s="160"/>
      <c r="AH190" s="160"/>
      <c r="AI190" s="160"/>
      <c r="AJ190" s="160"/>
      <c r="AP190" s="160"/>
      <c r="AV190" s="160"/>
    </row>
    <row r="191">
      <c r="A191" s="158"/>
      <c r="B191" s="126">
        <v>188.0</v>
      </c>
      <c r="C191" s="78">
        <f>IFERROR(__xludf.DUMMYFUNCTION("""COMPUTED_VALUE"""),2907.0)</f>
        <v>2907</v>
      </c>
      <c r="D191" s="156">
        <f>IFERROR(__xludf.DUMMYFUNCTION("""COMPUTED_VALUE"""),46275.0)</f>
        <v>46275</v>
      </c>
      <c r="E191" s="78" t="str">
        <f>IFERROR(__xludf.DUMMYFUNCTION("""COMPUTED_VALUE"""),"38-La ceja")</f>
        <v>38-La ceja</v>
      </c>
      <c r="F191" s="156">
        <f>IFERROR(__xludf.DUMMYFUNCTION("""COMPUTED_VALUE"""),46157.0)</f>
        <v>46157</v>
      </c>
      <c r="G191" s="159">
        <f>IFERROR(__xludf.DUMMYFUNCTION("""COMPUTED_VALUE"""),121.0)</f>
        <v>121</v>
      </c>
      <c r="H191" s="78" t="str">
        <f>IFERROR(__xludf.DUMMYFUNCTION("""COMPUTED_VALUE"""),"VIGENTE")</f>
        <v>VIGENTE</v>
      </c>
      <c r="I191" s="132" t="str">
        <f t="shared" si="1"/>
        <v>-</v>
      </c>
      <c r="J191" s="158"/>
      <c r="K191" s="126">
        <v>188.0</v>
      </c>
      <c r="L191" s="78">
        <f>IFERROR(__xludf.DUMMYFUNCTION("""COMPUTED_VALUE"""),2456.0)</f>
        <v>2456</v>
      </c>
      <c r="M191" s="156">
        <f>IFERROR(__xludf.DUMMYFUNCTION("""COMPUTED_VALUE"""),46296.0)</f>
        <v>46296</v>
      </c>
      <c r="N191" s="78" t="str">
        <f>IFERROR(__xludf.DUMMYFUNCTION("""COMPUTED_VALUE"""),"02-Medellin")</f>
        <v>02-Medellin</v>
      </c>
      <c r="O191" s="156">
        <f>IFERROR(__xludf.DUMMYFUNCTION("""COMPUTED_VALUE"""),46126.0)</f>
        <v>46126</v>
      </c>
      <c r="P191" s="159">
        <f>IFERROR(__xludf.DUMMYFUNCTION("""COMPUTED_VALUE"""),8082.4)</f>
        <v>8082.4</v>
      </c>
      <c r="Q191" s="78" t="str">
        <f>IFERROR(__xludf.DUMMYFUNCTION("""COMPUTED_VALUE"""),"VIGENTE")</f>
        <v>VIGENTE</v>
      </c>
      <c r="R191" s="132" t="str">
        <f t="shared" si="2"/>
        <v>-</v>
      </c>
      <c r="T191" s="134" t="str">
        <f>CALENDARIO!D203</f>
        <v/>
      </c>
      <c r="U191" s="135" t="str">
        <f>CALENDARIO!C203</f>
        <v/>
      </c>
      <c r="W191" s="78"/>
      <c r="X191" s="136" t="str">
        <f>(VLOOKUP(W191,'BD LUB'!$A$2:$L$223,5,FALSE)/VLOOKUP(W191,'BD LUB'!$A$2:$L$223,7,FALSE))+(VLOOKUP(W191,'BD LUB'!$A$2:$L$223,6,FALSE)/VLOOKUP(W191,'BD LUB'!$A$2:$L$223,8,FALSE))</f>
        <v>#N/A</v>
      </c>
      <c r="Y191" s="137" t="str">
        <f>IF(AND(VLOOKUP(W191,'BD LUB'!$A$2:$L$223,11,FALSE)="PASADO",VLOOKUP(W191,'BD LUB'!$A$2:$L$223,12,FALSE)="PASADO"),1,IF(OR(AND(VLOOKUP(W191,'BD LUB'!$A$2:$L$223,11,FALSE)="PASADO",VLOOKUP(W191,'BD LUB'!$A$2:$L$223,12,FALSE)="PRÓXIMO"),AND(VLOOKUP(W191,'BD LUB'!$A$2:$L$223,11,FALSE)="PRÓXIMO",VLOOKUP(W191,'BD LUB'!$A$2:$L$223,12,FALSE)="PASADO")),2,IF(OR(AND(VLOOKUP(W191,'BD LUB'!$A$2:$L$223,11,FALSE)="PASADO",VLOOKUP(W191,'BD LUB'!$A$2:$L$223,12,FALSE)="VIGENTE"),AND(VLOOKUP(W191,'BD LUB'!$A$2:$L$223,11,FALSE)="VIGENTE",VLOOKUP(W191,'BD LUB'!$A$2:$L$223,12,FALSE)="PASADO")),3,IF(AND(VLOOKUP(W191,'BD LUB'!$A$2:$L$223,11,FALSE)="PRÓXIMO",VLOOKUP(W191,'BD LUB'!$A$2:$L$223,12,FALSE)="PRÓXIMO"),4,IF(OR(AND(VLOOKUP(W191,'BD LUB'!$A$2:$L$223,11,FALSE)="PRÓXIMO",VLOOKUP(W191,'BD LUB'!$A$2:$L$223,12,FALSE)="VIGENTE"),AND(VLOOKUP(W191,'BD LUB'!$A$2:$L$223,11,FALSE)="VIGENTE",VLOOKUP(W191,'BD LUB'!$A$2:$L$223,12,FALSE)="PRÓXIMO")),5,IF(AND(VLOOKUP(W191,'BD LUB'!$A$2:$L$223,11,FALSE)="VIGENTE",VLOOKUP(W191,'BD LUB'!$A$2:$L$223,12,FALSE)="VIGENTE"),6,"No definido"))))))</f>
        <v>#N/A</v>
      </c>
      <c r="Z191" s="138"/>
      <c r="AA191" s="139" t="str">
        <f>(VLOOKUP(Z191,'BD LUB'!$A$2:$L$223,5,FALSE)/VLOOKUP(Z191,'BD LUB'!$A$2:$L$223,7,FALSE))+(VLOOKUP(Z191,'BD LUB'!$A$2:$L$223,6,FALSE)/VLOOKUP(Z191,'BD LUB'!$A$2:$L$223,8,FALSE))</f>
        <v>#N/A</v>
      </c>
      <c r="AB191" s="78" t="str">
        <f>IF(AND(VLOOKUP(Z191,'BD LUB'!$A$2:$L$223,11,FALSE)="PASADO",VLOOKUP(Z191,'BD LUB'!$A$2:$L$223,12,FALSE)="PASADO"),1,IF(OR(AND(VLOOKUP(Z191,'BD LUB'!$A$2:$L$223,11,FALSE)="PASADO",VLOOKUP(Z191,'BD LUB'!$A$2:$L$223,12,FALSE)="PRÓXIMO"),AND(VLOOKUP(Z191,'BD LUB'!$A$2:$L$223,11,FALSE)="PRÓXIMO",VLOOKUP(Z191,'BD LUB'!$A$2:$L$223,12,FALSE)="PASADO")),2,IF(OR(AND(VLOOKUP(Z191,'BD LUB'!$A$2:$L$223,11,FALSE)="PASADO",VLOOKUP(Z191,'BD LUB'!$A$2:$L$223,12,FALSE)="VIGENTE"),AND(VLOOKUP(Z191,'BD LUB'!$A$2:$L$223,11,FALSE)="VIGENTE",VLOOKUP(Z191,'BD LUB'!$A$2:$L$223,12,FALSE)="PASADO")),3,IF(AND(VLOOKUP(Z191,'BD LUB'!$A$2:$L$223,11,FALSE)="PRÓXIMO",VLOOKUP(Z191,'BD LUB'!$A$2:$L$223,12,FALSE)="PRÓXIMO"),4,IF(OR(AND(VLOOKUP(Z191,'BD LUB'!$A$2:$L$223,11,FALSE)="PRÓXIMO",VLOOKUP(Z191,'BD LUB'!$A$2:$L$223,12,FALSE)="VIGENTE"),AND(VLOOKUP(Z191,'BD LUB'!$A$2:$L$223,11,FALSE)="VIGENTE",VLOOKUP(Z191,'BD LUB'!$A$2:$L$223,12,FALSE)="PRÓXIMO")),5,IF(AND(VLOOKUP(Z191,'BD LUB'!$A$2:$L$223,11,FALSE)="VIGENTE",VLOOKUP(Z191,'BD LUB'!$A$2:$L$223,12,FALSE)="VIGENTE"),6,"No definido"))))))</f>
        <v>#N/A</v>
      </c>
      <c r="AC191" s="78"/>
      <c r="AD191" s="136" t="str">
        <f>IF(VLOOKUP(AC191,'BD LUB'!$A$2:$C$223,3,FALSE)=$AH$20,AC191&amp;" MED",IF(VLOOKUP(AC191,'BD LUB'!$A$2:$C$223,3,FALSE)=$AH$19,AC191&amp;" MAY",IF(VLOOKUP(AC191,'BD LUB'!$A$2:$C$223,3,FALSE)=$AH$18,AC191&amp;" RN",IF(VLOOKUP(AC191,'BD LUB'!$A$2:$C$223,3,FALSE)=$AH$17,AC191&amp;" COPQUI",IF(VLOOKUP(AC191,'BD LUB'!$A$2:$C$223,3,FALSE)=$AH$16,AC191&amp;" CEJ",IF(VLOOKUP(AC191,'BD LUB'!$A$2:$C$223,3,FALSE)=$AH$15,AC191&amp;" BULT",IF(VLOOKUP(AC191,'BD LUB'!$A$2:$C$223,3,FALSE)=$AH$14,AC191&amp;" COP",IF(VLOOKUP(AC191,'BD LUB'!$A$2:$C$223,3,FALSE)=$AH$13,AC191&amp;" RIO",IF(VLOOKUP(AC191,'BD LUB'!$A$2:$C$223,3,FALSE)=$AH$21,AC191&amp;" APART","Dato no encontrado")))))))))</f>
        <v>#N/A</v>
      </c>
      <c r="AE191" s="160"/>
      <c r="AF191" s="160"/>
      <c r="AG191" s="160"/>
      <c r="AH191" s="160"/>
      <c r="AI191" s="160"/>
      <c r="AJ191" s="160"/>
      <c r="AP191" s="160"/>
      <c r="AV191" s="160"/>
    </row>
    <row r="192">
      <c r="A192" s="158"/>
      <c r="B192" s="126">
        <v>189.0</v>
      </c>
      <c r="C192" s="78">
        <f>IFERROR(__xludf.DUMMYFUNCTION("""COMPUTED_VALUE"""),2905.0)</f>
        <v>2905</v>
      </c>
      <c r="D192" s="156">
        <f>IFERROR(__xludf.DUMMYFUNCTION("""COMPUTED_VALUE"""),46275.0)</f>
        <v>46275</v>
      </c>
      <c r="E192" s="78" t="str">
        <f>IFERROR(__xludf.DUMMYFUNCTION("""COMPUTED_VALUE"""),"02-Medellin")</f>
        <v>02-Medellin</v>
      </c>
      <c r="F192" s="156">
        <f>IFERROR(__xludf.DUMMYFUNCTION("""COMPUTED_VALUE"""),46157.0)</f>
        <v>46157</v>
      </c>
      <c r="G192" s="159">
        <f>IFERROR(__xludf.DUMMYFUNCTION("""COMPUTED_VALUE"""),121.0)</f>
        <v>121</v>
      </c>
      <c r="H192" s="78" t="str">
        <f>IFERROR(__xludf.DUMMYFUNCTION("""COMPUTED_VALUE"""),"VIGENTE")</f>
        <v>VIGENTE</v>
      </c>
      <c r="I192" s="132" t="str">
        <f t="shared" si="1"/>
        <v>-</v>
      </c>
      <c r="J192" s="158"/>
      <c r="K192" s="126">
        <v>189.0</v>
      </c>
      <c r="L192" s="78">
        <f>IFERROR(__xludf.DUMMYFUNCTION("""COMPUTED_VALUE"""),2374.0)</f>
        <v>2374</v>
      </c>
      <c r="M192" s="156">
        <f>IFERROR(__xludf.DUMMYFUNCTION("""COMPUTED_VALUE"""),46460.0)</f>
        <v>46460</v>
      </c>
      <c r="N192" s="78" t="str">
        <f>IFERROR(__xludf.DUMMYFUNCTION("""COMPUTED_VALUE"""),"02-Medellin")</f>
        <v>02-Medellin</v>
      </c>
      <c r="O192" s="156">
        <f>IFERROR(__xludf.DUMMYFUNCTION("""COMPUTED_VALUE"""),46161.0)</f>
        <v>46161</v>
      </c>
      <c r="P192" s="159">
        <f>IFERROR(__xludf.DUMMYFUNCTION("""COMPUTED_VALUE"""),8150.2)</f>
        <v>8150.2</v>
      </c>
      <c r="Q192" s="78" t="str">
        <f>IFERROR(__xludf.DUMMYFUNCTION("""COMPUTED_VALUE"""),"VIGENTE")</f>
        <v>VIGENTE</v>
      </c>
      <c r="R192" s="132" t="str">
        <f t="shared" si="2"/>
        <v>-</v>
      </c>
      <c r="T192" s="134" t="str">
        <f>CALENDARIO!D204</f>
        <v/>
      </c>
      <c r="U192" s="135" t="str">
        <f>CALENDARIO!C204</f>
        <v/>
      </c>
      <c r="W192" s="78"/>
      <c r="X192" s="136" t="str">
        <f>(VLOOKUP(W192,'BD LUB'!$A$2:$L$223,5,FALSE)/VLOOKUP(W192,'BD LUB'!$A$2:$L$223,7,FALSE))+(VLOOKUP(W192,'BD LUB'!$A$2:$L$223,6,FALSE)/VLOOKUP(W192,'BD LUB'!$A$2:$L$223,8,FALSE))</f>
        <v>#N/A</v>
      </c>
      <c r="Y192" s="137" t="str">
        <f>IF(AND(VLOOKUP(W192,'BD LUB'!$A$2:$L$223,11,FALSE)="PASADO",VLOOKUP(W192,'BD LUB'!$A$2:$L$223,12,FALSE)="PASADO"),1,IF(OR(AND(VLOOKUP(W192,'BD LUB'!$A$2:$L$223,11,FALSE)="PASADO",VLOOKUP(W192,'BD LUB'!$A$2:$L$223,12,FALSE)="PRÓXIMO"),AND(VLOOKUP(W192,'BD LUB'!$A$2:$L$223,11,FALSE)="PRÓXIMO",VLOOKUP(W192,'BD LUB'!$A$2:$L$223,12,FALSE)="PASADO")),2,IF(OR(AND(VLOOKUP(W192,'BD LUB'!$A$2:$L$223,11,FALSE)="PASADO",VLOOKUP(W192,'BD LUB'!$A$2:$L$223,12,FALSE)="VIGENTE"),AND(VLOOKUP(W192,'BD LUB'!$A$2:$L$223,11,FALSE)="VIGENTE",VLOOKUP(W192,'BD LUB'!$A$2:$L$223,12,FALSE)="PASADO")),3,IF(AND(VLOOKUP(W192,'BD LUB'!$A$2:$L$223,11,FALSE)="PRÓXIMO",VLOOKUP(W192,'BD LUB'!$A$2:$L$223,12,FALSE)="PRÓXIMO"),4,IF(OR(AND(VLOOKUP(W192,'BD LUB'!$A$2:$L$223,11,FALSE)="PRÓXIMO",VLOOKUP(W192,'BD LUB'!$A$2:$L$223,12,FALSE)="VIGENTE"),AND(VLOOKUP(W192,'BD LUB'!$A$2:$L$223,11,FALSE)="VIGENTE",VLOOKUP(W192,'BD LUB'!$A$2:$L$223,12,FALSE)="PRÓXIMO")),5,IF(AND(VLOOKUP(W192,'BD LUB'!$A$2:$L$223,11,FALSE)="VIGENTE",VLOOKUP(W192,'BD LUB'!$A$2:$L$223,12,FALSE)="VIGENTE"),6,"No definido"))))))</f>
        <v>#N/A</v>
      </c>
      <c r="Z192" s="138"/>
      <c r="AA192" s="139" t="str">
        <f>(VLOOKUP(Z192,'BD LUB'!$A$2:$L$223,5,FALSE)/VLOOKUP(Z192,'BD LUB'!$A$2:$L$223,7,FALSE))+(VLOOKUP(Z192,'BD LUB'!$A$2:$L$223,6,FALSE)/VLOOKUP(Z192,'BD LUB'!$A$2:$L$223,8,FALSE))</f>
        <v>#N/A</v>
      </c>
      <c r="AB192" s="78" t="str">
        <f>IF(AND(VLOOKUP(Z192,'BD LUB'!$A$2:$L$223,11,FALSE)="PASADO",VLOOKUP(Z192,'BD LUB'!$A$2:$L$223,12,FALSE)="PASADO"),1,IF(OR(AND(VLOOKUP(Z192,'BD LUB'!$A$2:$L$223,11,FALSE)="PASADO",VLOOKUP(Z192,'BD LUB'!$A$2:$L$223,12,FALSE)="PRÓXIMO"),AND(VLOOKUP(Z192,'BD LUB'!$A$2:$L$223,11,FALSE)="PRÓXIMO",VLOOKUP(Z192,'BD LUB'!$A$2:$L$223,12,FALSE)="PASADO")),2,IF(OR(AND(VLOOKUP(Z192,'BD LUB'!$A$2:$L$223,11,FALSE)="PASADO",VLOOKUP(Z192,'BD LUB'!$A$2:$L$223,12,FALSE)="VIGENTE"),AND(VLOOKUP(Z192,'BD LUB'!$A$2:$L$223,11,FALSE)="VIGENTE",VLOOKUP(Z192,'BD LUB'!$A$2:$L$223,12,FALSE)="PASADO")),3,IF(AND(VLOOKUP(Z192,'BD LUB'!$A$2:$L$223,11,FALSE)="PRÓXIMO",VLOOKUP(Z192,'BD LUB'!$A$2:$L$223,12,FALSE)="PRÓXIMO"),4,IF(OR(AND(VLOOKUP(Z192,'BD LUB'!$A$2:$L$223,11,FALSE)="PRÓXIMO",VLOOKUP(Z192,'BD LUB'!$A$2:$L$223,12,FALSE)="VIGENTE"),AND(VLOOKUP(Z192,'BD LUB'!$A$2:$L$223,11,FALSE)="VIGENTE",VLOOKUP(Z192,'BD LUB'!$A$2:$L$223,12,FALSE)="PRÓXIMO")),5,IF(AND(VLOOKUP(Z192,'BD LUB'!$A$2:$L$223,11,FALSE)="VIGENTE",VLOOKUP(Z192,'BD LUB'!$A$2:$L$223,12,FALSE)="VIGENTE"),6,"No definido"))))))</f>
        <v>#N/A</v>
      </c>
      <c r="AC192" s="78"/>
      <c r="AD192" s="136" t="str">
        <f>IF(VLOOKUP(AC192,'BD LUB'!$A$2:$C$223,3,FALSE)=$AH$20,AC192&amp;" MED",IF(VLOOKUP(AC192,'BD LUB'!$A$2:$C$223,3,FALSE)=$AH$19,AC192&amp;" MAY",IF(VLOOKUP(AC192,'BD LUB'!$A$2:$C$223,3,FALSE)=$AH$18,AC192&amp;" RN",IF(VLOOKUP(AC192,'BD LUB'!$A$2:$C$223,3,FALSE)=$AH$17,AC192&amp;" COPQUI",IF(VLOOKUP(AC192,'BD LUB'!$A$2:$C$223,3,FALSE)=$AH$16,AC192&amp;" CEJ",IF(VLOOKUP(AC192,'BD LUB'!$A$2:$C$223,3,FALSE)=$AH$15,AC192&amp;" BULT",IF(VLOOKUP(AC192,'BD LUB'!$A$2:$C$223,3,FALSE)=$AH$14,AC192&amp;" COP",IF(VLOOKUP(AC192,'BD LUB'!$A$2:$C$223,3,FALSE)=$AH$13,AC192&amp;" RIO",IF(VLOOKUP(AC192,'BD LUB'!$A$2:$C$223,3,FALSE)=$AH$21,AC192&amp;" APART","Dato no encontrado")))))))))</f>
        <v>#N/A</v>
      </c>
      <c r="AE192" s="160"/>
      <c r="AF192" s="160"/>
      <c r="AG192" s="160"/>
      <c r="AH192" s="160"/>
      <c r="AI192" s="160"/>
      <c r="AJ192" s="160"/>
      <c r="AP192" s="160"/>
      <c r="AV192" s="160"/>
    </row>
    <row r="193">
      <c r="A193" s="158"/>
      <c r="B193" s="126">
        <v>190.0</v>
      </c>
      <c r="C193" s="78">
        <f>IFERROR(__xludf.DUMMYFUNCTION("""COMPUTED_VALUE"""),2893.0)</f>
        <v>2893</v>
      </c>
      <c r="D193" s="156">
        <f>IFERROR(__xludf.DUMMYFUNCTION("""COMPUTED_VALUE"""),46242.0)</f>
        <v>46242</v>
      </c>
      <c r="E193" s="78" t="str">
        <f>IFERROR(__xludf.DUMMYFUNCTION("""COMPUTED_VALUE"""),"31-Copacabana")</f>
        <v>31-Copacabana</v>
      </c>
      <c r="F193" s="156">
        <f>IFERROR(__xludf.DUMMYFUNCTION("""COMPUTED_VALUE"""),46157.0)</f>
        <v>46157</v>
      </c>
      <c r="G193" s="159">
        <f>IFERROR(__xludf.DUMMYFUNCTION("""COMPUTED_VALUE"""),121.0)</f>
        <v>121</v>
      </c>
      <c r="H193" s="78" t="str">
        <f>IFERROR(__xludf.DUMMYFUNCTION("""COMPUTED_VALUE"""),"VIGENTE")</f>
        <v>VIGENTE</v>
      </c>
      <c r="I193" s="132" t="str">
        <f t="shared" si="1"/>
        <v>-</v>
      </c>
      <c r="J193" s="158"/>
      <c r="K193" s="126">
        <v>190.0</v>
      </c>
      <c r="L193" s="78">
        <f>IFERROR(__xludf.DUMMYFUNCTION("""COMPUTED_VALUE"""),2393.0)</f>
        <v>2393</v>
      </c>
      <c r="M193" s="156">
        <f>IFERROR(__xludf.DUMMYFUNCTION("""COMPUTED_VALUE"""),46559.0)</f>
        <v>46559</v>
      </c>
      <c r="N193" s="78" t="str">
        <f>IFERROR(__xludf.DUMMYFUNCTION("""COMPUTED_VALUE"""),"MAYORCA")</f>
        <v>MAYORCA</v>
      </c>
      <c r="O193" s="156">
        <f>IFERROR(__xludf.DUMMYFUNCTION("""COMPUTED_VALUE"""),46161.0)</f>
        <v>46161</v>
      </c>
      <c r="P193" s="159">
        <f>IFERROR(__xludf.DUMMYFUNCTION("""COMPUTED_VALUE"""),8206.7)</f>
        <v>8206.7</v>
      </c>
      <c r="Q193" s="78" t="str">
        <f>IFERROR(__xludf.DUMMYFUNCTION("""COMPUTED_VALUE"""),"VIGENTE")</f>
        <v>VIGENTE</v>
      </c>
      <c r="R193" s="132" t="str">
        <f t="shared" si="2"/>
        <v>-</v>
      </c>
      <c r="T193" s="134" t="str">
        <f>CALENDARIO!D205</f>
        <v/>
      </c>
      <c r="U193" s="135" t="str">
        <f>CALENDARIO!C205</f>
        <v/>
      </c>
      <c r="W193" s="78"/>
      <c r="X193" s="136" t="str">
        <f>(VLOOKUP(W193,'BD LUB'!$A$2:$L$223,5,FALSE)/VLOOKUP(W193,'BD LUB'!$A$2:$L$223,7,FALSE))+(VLOOKUP(W193,'BD LUB'!$A$2:$L$223,6,FALSE)/VLOOKUP(W193,'BD LUB'!$A$2:$L$223,8,FALSE))</f>
        <v>#N/A</v>
      </c>
      <c r="Y193" s="137" t="str">
        <f>IF(AND(VLOOKUP(W193,'BD LUB'!$A$2:$L$223,11,FALSE)="PASADO",VLOOKUP(W193,'BD LUB'!$A$2:$L$223,12,FALSE)="PASADO"),1,IF(OR(AND(VLOOKUP(W193,'BD LUB'!$A$2:$L$223,11,FALSE)="PASADO",VLOOKUP(W193,'BD LUB'!$A$2:$L$223,12,FALSE)="PRÓXIMO"),AND(VLOOKUP(W193,'BD LUB'!$A$2:$L$223,11,FALSE)="PRÓXIMO",VLOOKUP(W193,'BD LUB'!$A$2:$L$223,12,FALSE)="PASADO")),2,IF(OR(AND(VLOOKUP(W193,'BD LUB'!$A$2:$L$223,11,FALSE)="PASADO",VLOOKUP(W193,'BD LUB'!$A$2:$L$223,12,FALSE)="VIGENTE"),AND(VLOOKUP(W193,'BD LUB'!$A$2:$L$223,11,FALSE)="VIGENTE",VLOOKUP(W193,'BD LUB'!$A$2:$L$223,12,FALSE)="PASADO")),3,IF(AND(VLOOKUP(W193,'BD LUB'!$A$2:$L$223,11,FALSE)="PRÓXIMO",VLOOKUP(W193,'BD LUB'!$A$2:$L$223,12,FALSE)="PRÓXIMO"),4,IF(OR(AND(VLOOKUP(W193,'BD LUB'!$A$2:$L$223,11,FALSE)="PRÓXIMO",VLOOKUP(W193,'BD LUB'!$A$2:$L$223,12,FALSE)="VIGENTE"),AND(VLOOKUP(W193,'BD LUB'!$A$2:$L$223,11,FALSE)="VIGENTE",VLOOKUP(W193,'BD LUB'!$A$2:$L$223,12,FALSE)="PRÓXIMO")),5,IF(AND(VLOOKUP(W193,'BD LUB'!$A$2:$L$223,11,FALSE)="VIGENTE",VLOOKUP(W193,'BD LUB'!$A$2:$L$223,12,FALSE)="VIGENTE"),6,"No definido"))))))</f>
        <v>#N/A</v>
      </c>
      <c r="Z193" s="138"/>
      <c r="AA193" s="139" t="str">
        <f>(VLOOKUP(Z193,'BD LUB'!$A$2:$L$223,5,FALSE)/VLOOKUP(Z193,'BD LUB'!$A$2:$L$223,7,FALSE))+(VLOOKUP(Z193,'BD LUB'!$A$2:$L$223,6,FALSE)/VLOOKUP(Z193,'BD LUB'!$A$2:$L$223,8,FALSE))</f>
        <v>#N/A</v>
      </c>
      <c r="AB193" s="78" t="str">
        <f>IF(AND(VLOOKUP(Z193,'BD LUB'!$A$2:$L$223,11,FALSE)="PASADO",VLOOKUP(Z193,'BD LUB'!$A$2:$L$223,12,FALSE)="PASADO"),1,IF(OR(AND(VLOOKUP(Z193,'BD LUB'!$A$2:$L$223,11,FALSE)="PASADO",VLOOKUP(Z193,'BD LUB'!$A$2:$L$223,12,FALSE)="PRÓXIMO"),AND(VLOOKUP(Z193,'BD LUB'!$A$2:$L$223,11,FALSE)="PRÓXIMO",VLOOKUP(Z193,'BD LUB'!$A$2:$L$223,12,FALSE)="PASADO")),2,IF(OR(AND(VLOOKUP(Z193,'BD LUB'!$A$2:$L$223,11,FALSE)="PASADO",VLOOKUP(Z193,'BD LUB'!$A$2:$L$223,12,FALSE)="VIGENTE"),AND(VLOOKUP(Z193,'BD LUB'!$A$2:$L$223,11,FALSE)="VIGENTE",VLOOKUP(Z193,'BD LUB'!$A$2:$L$223,12,FALSE)="PASADO")),3,IF(AND(VLOOKUP(Z193,'BD LUB'!$A$2:$L$223,11,FALSE)="PRÓXIMO",VLOOKUP(Z193,'BD LUB'!$A$2:$L$223,12,FALSE)="PRÓXIMO"),4,IF(OR(AND(VLOOKUP(Z193,'BD LUB'!$A$2:$L$223,11,FALSE)="PRÓXIMO",VLOOKUP(Z193,'BD LUB'!$A$2:$L$223,12,FALSE)="VIGENTE"),AND(VLOOKUP(Z193,'BD LUB'!$A$2:$L$223,11,FALSE)="VIGENTE",VLOOKUP(Z193,'BD LUB'!$A$2:$L$223,12,FALSE)="PRÓXIMO")),5,IF(AND(VLOOKUP(Z193,'BD LUB'!$A$2:$L$223,11,FALSE)="VIGENTE",VLOOKUP(Z193,'BD LUB'!$A$2:$L$223,12,FALSE)="VIGENTE"),6,"No definido"))))))</f>
        <v>#N/A</v>
      </c>
      <c r="AC193" s="78"/>
      <c r="AD193" s="136" t="str">
        <f>IF(VLOOKUP(AC193,'BD LUB'!$A$2:$C$223,3,FALSE)=$AH$20,AC193&amp;" MED",IF(VLOOKUP(AC193,'BD LUB'!$A$2:$C$223,3,FALSE)=$AH$19,AC193&amp;" MAY",IF(VLOOKUP(AC193,'BD LUB'!$A$2:$C$223,3,FALSE)=$AH$18,AC193&amp;" RN",IF(VLOOKUP(AC193,'BD LUB'!$A$2:$C$223,3,FALSE)=$AH$17,AC193&amp;" COPQUI",IF(VLOOKUP(AC193,'BD LUB'!$A$2:$C$223,3,FALSE)=$AH$16,AC193&amp;" CEJ",IF(VLOOKUP(AC193,'BD LUB'!$A$2:$C$223,3,FALSE)=$AH$15,AC193&amp;" BULT",IF(VLOOKUP(AC193,'BD LUB'!$A$2:$C$223,3,FALSE)=$AH$14,AC193&amp;" COP",IF(VLOOKUP(AC193,'BD LUB'!$A$2:$C$223,3,FALSE)=$AH$13,AC193&amp;" RIO",IF(VLOOKUP(AC193,'BD LUB'!$A$2:$C$223,3,FALSE)=$AH$21,AC193&amp;" APART","Dato no encontrado")))))))))</f>
        <v>#N/A</v>
      </c>
      <c r="AE193" s="160"/>
      <c r="AF193" s="160"/>
      <c r="AG193" s="160"/>
      <c r="AH193" s="160"/>
      <c r="AI193" s="160"/>
      <c r="AJ193" s="160"/>
      <c r="AP193" s="160"/>
      <c r="AV193" s="160"/>
    </row>
    <row r="194">
      <c r="A194" s="158"/>
      <c r="B194" s="126">
        <v>191.0</v>
      </c>
      <c r="C194" s="78">
        <f>IFERROR(__xludf.DUMMYFUNCTION("""COMPUTED_VALUE"""),2679.0)</f>
        <v>2679</v>
      </c>
      <c r="D194" s="156">
        <f>IFERROR(__xludf.DUMMYFUNCTION("""COMPUTED_VALUE"""),46499.0)</f>
        <v>46499</v>
      </c>
      <c r="E194" s="78" t="str">
        <f>IFERROR(__xludf.DUMMYFUNCTION("""COMPUTED_VALUE"""),"02-Medellin")</f>
        <v>02-Medellin</v>
      </c>
      <c r="F194" s="156">
        <f>IFERROR(__xludf.DUMMYFUNCTION("""COMPUTED_VALUE"""),46157.0)</f>
        <v>46157</v>
      </c>
      <c r="G194" s="159">
        <f>IFERROR(__xludf.DUMMYFUNCTION("""COMPUTED_VALUE"""),121.0)</f>
        <v>121</v>
      </c>
      <c r="H194" s="78" t="str">
        <f>IFERROR(__xludf.DUMMYFUNCTION("""COMPUTED_VALUE"""),"VIGENTE")</f>
        <v>VIGENTE</v>
      </c>
      <c r="I194" s="132" t="str">
        <f t="shared" si="1"/>
        <v>-</v>
      </c>
      <c r="J194" s="158"/>
      <c r="K194" s="126">
        <v>191.0</v>
      </c>
      <c r="L194" s="78">
        <f>IFERROR(__xludf.DUMMYFUNCTION("""COMPUTED_VALUE"""),2677.0)</f>
        <v>2677</v>
      </c>
      <c r="M194" s="156">
        <f>IFERROR(__xludf.DUMMYFUNCTION("""COMPUTED_VALUE"""),46497.0)</f>
        <v>46497</v>
      </c>
      <c r="N194" s="78" t="str">
        <f>IFERROR(__xludf.DUMMYFUNCTION("""COMPUTED_VALUE"""),"02-Medellin")</f>
        <v>02-Medellin</v>
      </c>
      <c r="O194" s="156">
        <f>IFERROR(__xludf.DUMMYFUNCTION("""COMPUTED_VALUE"""),46056.0)</f>
        <v>46056</v>
      </c>
      <c r="P194" s="159">
        <f>IFERROR(__xludf.DUMMYFUNCTION("""COMPUTED_VALUE"""),8259.4)</f>
        <v>8259.4</v>
      </c>
      <c r="Q194" s="78" t="str">
        <f>IFERROR(__xludf.DUMMYFUNCTION("""COMPUTED_VALUE"""),"VIGENTE")</f>
        <v>VIGENTE</v>
      </c>
      <c r="R194" s="132" t="str">
        <f t="shared" si="2"/>
        <v>-</v>
      </c>
      <c r="T194" s="134" t="str">
        <f>CALENDARIO!D206</f>
        <v/>
      </c>
      <c r="U194" s="135" t="str">
        <f>CALENDARIO!C206</f>
        <v/>
      </c>
      <c r="W194" s="78"/>
      <c r="X194" s="136" t="str">
        <f>(VLOOKUP(W194,'BD LUB'!$A$2:$L$223,5,FALSE)/VLOOKUP(W194,'BD LUB'!$A$2:$L$223,7,FALSE))+(VLOOKUP(W194,'BD LUB'!$A$2:$L$223,6,FALSE)/VLOOKUP(W194,'BD LUB'!$A$2:$L$223,8,FALSE))</f>
        <v>#N/A</v>
      </c>
      <c r="Y194" s="137" t="str">
        <f>IF(AND(VLOOKUP(W194,'BD LUB'!$A$2:$L$223,11,FALSE)="PASADO",VLOOKUP(W194,'BD LUB'!$A$2:$L$223,12,FALSE)="PASADO"),1,IF(OR(AND(VLOOKUP(W194,'BD LUB'!$A$2:$L$223,11,FALSE)="PASADO",VLOOKUP(W194,'BD LUB'!$A$2:$L$223,12,FALSE)="PRÓXIMO"),AND(VLOOKUP(W194,'BD LUB'!$A$2:$L$223,11,FALSE)="PRÓXIMO",VLOOKUP(W194,'BD LUB'!$A$2:$L$223,12,FALSE)="PASADO")),2,IF(OR(AND(VLOOKUP(W194,'BD LUB'!$A$2:$L$223,11,FALSE)="PASADO",VLOOKUP(W194,'BD LUB'!$A$2:$L$223,12,FALSE)="VIGENTE"),AND(VLOOKUP(W194,'BD LUB'!$A$2:$L$223,11,FALSE)="VIGENTE",VLOOKUP(W194,'BD LUB'!$A$2:$L$223,12,FALSE)="PASADO")),3,IF(AND(VLOOKUP(W194,'BD LUB'!$A$2:$L$223,11,FALSE)="PRÓXIMO",VLOOKUP(W194,'BD LUB'!$A$2:$L$223,12,FALSE)="PRÓXIMO"),4,IF(OR(AND(VLOOKUP(W194,'BD LUB'!$A$2:$L$223,11,FALSE)="PRÓXIMO",VLOOKUP(W194,'BD LUB'!$A$2:$L$223,12,FALSE)="VIGENTE"),AND(VLOOKUP(W194,'BD LUB'!$A$2:$L$223,11,FALSE)="VIGENTE",VLOOKUP(W194,'BD LUB'!$A$2:$L$223,12,FALSE)="PRÓXIMO")),5,IF(AND(VLOOKUP(W194,'BD LUB'!$A$2:$L$223,11,FALSE)="VIGENTE",VLOOKUP(W194,'BD LUB'!$A$2:$L$223,12,FALSE)="VIGENTE"),6,"No definido"))))))</f>
        <v>#N/A</v>
      </c>
      <c r="Z194" s="138"/>
      <c r="AA194" s="139" t="str">
        <f>(VLOOKUP(Z194,'BD LUB'!$A$2:$L$223,5,FALSE)/VLOOKUP(Z194,'BD LUB'!$A$2:$L$223,7,FALSE))+(VLOOKUP(Z194,'BD LUB'!$A$2:$L$223,6,FALSE)/VLOOKUP(Z194,'BD LUB'!$A$2:$L$223,8,FALSE))</f>
        <v>#N/A</v>
      </c>
      <c r="AB194" s="78" t="str">
        <f>IF(AND(VLOOKUP(Z194,'BD LUB'!$A$2:$L$223,11,FALSE)="PASADO",VLOOKUP(Z194,'BD LUB'!$A$2:$L$223,12,FALSE)="PASADO"),1,IF(OR(AND(VLOOKUP(Z194,'BD LUB'!$A$2:$L$223,11,FALSE)="PASADO",VLOOKUP(Z194,'BD LUB'!$A$2:$L$223,12,FALSE)="PRÓXIMO"),AND(VLOOKUP(Z194,'BD LUB'!$A$2:$L$223,11,FALSE)="PRÓXIMO",VLOOKUP(Z194,'BD LUB'!$A$2:$L$223,12,FALSE)="PASADO")),2,IF(OR(AND(VLOOKUP(Z194,'BD LUB'!$A$2:$L$223,11,FALSE)="PASADO",VLOOKUP(Z194,'BD LUB'!$A$2:$L$223,12,FALSE)="VIGENTE"),AND(VLOOKUP(Z194,'BD LUB'!$A$2:$L$223,11,FALSE)="VIGENTE",VLOOKUP(Z194,'BD LUB'!$A$2:$L$223,12,FALSE)="PASADO")),3,IF(AND(VLOOKUP(Z194,'BD LUB'!$A$2:$L$223,11,FALSE)="PRÓXIMO",VLOOKUP(Z194,'BD LUB'!$A$2:$L$223,12,FALSE)="PRÓXIMO"),4,IF(OR(AND(VLOOKUP(Z194,'BD LUB'!$A$2:$L$223,11,FALSE)="PRÓXIMO",VLOOKUP(Z194,'BD LUB'!$A$2:$L$223,12,FALSE)="VIGENTE"),AND(VLOOKUP(Z194,'BD LUB'!$A$2:$L$223,11,FALSE)="VIGENTE",VLOOKUP(Z194,'BD LUB'!$A$2:$L$223,12,FALSE)="PRÓXIMO")),5,IF(AND(VLOOKUP(Z194,'BD LUB'!$A$2:$L$223,11,FALSE)="VIGENTE",VLOOKUP(Z194,'BD LUB'!$A$2:$L$223,12,FALSE)="VIGENTE"),6,"No definido"))))))</f>
        <v>#N/A</v>
      </c>
      <c r="AC194" s="78"/>
      <c r="AD194" s="136" t="str">
        <f>IF(VLOOKUP(AC194,'BD LUB'!$A$2:$C$223,3,FALSE)=$AH$20,AC194&amp;" MED",IF(VLOOKUP(AC194,'BD LUB'!$A$2:$C$223,3,FALSE)=$AH$19,AC194&amp;" MAY",IF(VLOOKUP(AC194,'BD LUB'!$A$2:$C$223,3,FALSE)=$AH$18,AC194&amp;" RN",IF(VLOOKUP(AC194,'BD LUB'!$A$2:$C$223,3,FALSE)=$AH$17,AC194&amp;" COPQUI",IF(VLOOKUP(AC194,'BD LUB'!$A$2:$C$223,3,FALSE)=$AH$16,AC194&amp;" CEJ",IF(VLOOKUP(AC194,'BD LUB'!$A$2:$C$223,3,FALSE)=$AH$15,AC194&amp;" BULT",IF(VLOOKUP(AC194,'BD LUB'!$A$2:$C$223,3,FALSE)=$AH$14,AC194&amp;" COP",IF(VLOOKUP(AC194,'BD LUB'!$A$2:$C$223,3,FALSE)=$AH$13,AC194&amp;" RIO",IF(VLOOKUP(AC194,'BD LUB'!$A$2:$C$223,3,FALSE)=$AH$21,AC194&amp;" APART","Dato no encontrado")))))))))</f>
        <v>#N/A</v>
      </c>
      <c r="AE194" s="160"/>
      <c r="AF194" s="160"/>
      <c r="AG194" s="160"/>
      <c r="AH194" s="160"/>
      <c r="AI194" s="160"/>
      <c r="AJ194" s="160"/>
      <c r="AP194" s="160"/>
      <c r="AV194" s="160"/>
    </row>
    <row r="195">
      <c r="A195" s="158"/>
      <c r="B195" s="126">
        <v>192.0</v>
      </c>
      <c r="C195" s="78">
        <f>IFERROR(__xludf.DUMMYFUNCTION("""COMPUTED_VALUE"""),2623.0)</f>
        <v>2623</v>
      </c>
      <c r="D195" s="156">
        <f>IFERROR(__xludf.DUMMYFUNCTION("""COMPUTED_VALUE"""),46268.0)</f>
        <v>46268</v>
      </c>
      <c r="E195" s="78" t="str">
        <f>IFERROR(__xludf.DUMMYFUNCTION("""COMPUTED_VALUE"""),"02-Medellin")</f>
        <v>02-Medellin</v>
      </c>
      <c r="F195" s="156">
        <f>IFERROR(__xludf.DUMMYFUNCTION("""COMPUTED_VALUE"""),46157.0)</f>
        <v>46157</v>
      </c>
      <c r="G195" s="159">
        <f>IFERROR(__xludf.DUMMYFUNCTION("""COMPUTED_VALUE"""),121.0)</f>
        <v>121</v>
      </c>
      <c r="H195" s="78" t="str">
        <f>IFERROR(__xludf.DUMMYFUNCTION("""COMPUTED_VALUE"""),"VIGENTE")</f>
        <v>VIGENTE</v>
      </c>
      <c r="I195" s="132" t="str">
        <f t="shared" si="1"/>
        <v>-</v>
      </c>
      <c r="J195" s="158"/>
      <c r="K195" s="126">
        <v>192.0</v>
      </c>
      <c r="L195" s="78">
        <f>IFERROR(__xludf.DUMMYFUNCTION("""COMPUTED_VALUE"""),2404.0)</f>
        <v>2404</v>
      </c>
      <c r="M195" s="156">
        <f>IFERROR(__xludf.DUMMYFUNCTION("""COMPUTED_VALUE"""),46484.0)</f>
        <v>46484</v>
      </c>
      <c r="N195" s="78" t="str">
        <f>IFERROR(__xludf.DUMMYFUNCTION("""COMPUTED_VALUE"""),"02-Medellin")</f>
        <v>02-Medellin</v>
      </c>
      <c r="O195" s="156">
        <f>IFERROR(__xludf.DUMMYFUNCTION("""COMPUTED_VALUE"""),46142.0)</f>
        <v>46142</v>
      </c>
      <c r="P195" s="159">
        <f>IFERROR(__xludf.DUMMYFUNCTION("""COMPUTED_VALUE"""),8314.6)</f>
        <v>8314.6</v>
      </c>
      <c r="Q195" s="78" t="str">
        <f>IFERROR(__xludf.DUMMYFUNCTION("""COMPUTED_VALUE"""),"VIGENTE")</f>
        <v>VIGENTE</v>
      </c>
      <c r="R195" s="132" t="str">
        <f t="shared" si="2"/>
        <v>-</v>
      </c>
      <c r="T195" s="134" t="str">
        <f>CALENDARIO!D207</f>
        <v/>
      </c>
      <c r="U195" s="135" t="str">
        <f>CALENDARIO!C207</f>
        <v/>
      </c>
      <c r="W195" s="78"/>
      <c r="X195" s="136" t="str">
        <f>(VLOOKUP(W195,'BD LUB'!$A$2:$L$223,5,FALSE)/VLOOKUP(W195,'BD LUB'!$A$2:$L$223,7,FALSE))+(VLOOKUP(W195,'BD LUB'!$A$2:$L$223,6,FALSE)/VLOOKUP(W195,'BD LUB'!$A$2:$L$223,8,FALSE))</f>
        <v>#N/A</v>
      </c>
      <c r="Y195" s="161" t="str">
        <f>IF(AND(VLOOKUP(W195,'BD LUB'!$A$2:$L$223,11,FALSE)="PASADO",VLOOKUP(W195,'BD LUB'!$A$2:$L$223,12,FALSE)="PASADO"),1,IF(OR(AND(VLOOKUP(W195,'BD LUB'!$A$2:$L$223,11,FALSE)="PASADO",VLOOKUP(W195,'BD LUB'!$A$2:$L$223,12,FALSE)="PRÓXIMO"),AND(VLOOKUP(W195,'BD LUB'!$A$2:$L$223,11,FALSE)="PRÓXIMO",VLOOKUP(W195,'BD LUB'!$A$2:$L$223,12,FALSE)="PASADO")),2,IF(OR(AND(VLOOKUP(W195,'BD LUB'!$A$2:$L$223,11,FALSE)="PASADO",VLOOKUP(W195,'BD LUB'!$A$2:$L$223,12,FALSE)="VIGENTE"),AND(VLOOKUP(W195,'BD LUB'!$A$2:$L$223,11,FALSE)="VIGENTE",VLOOKUP(W195,'BD LUB'!$A$2:$L$223,12,FALSE)="PASADO")),3,IF(AND(VLOOKUP(W195,'BD LUB'!$A$2:$L$223,11,FALSE)="PRÓXIMO",VLOOKUP(W195,'BD LUB'!$A$2:$L$223,12,FALSE)="PRÓXIMO"),4,IF(OR(AND(VLOOKUP(W195,'BD LUB'!$A$2:$L$223,11,FALSE)="PRÓXIMO",VLOOKUP(W195,'BD LUB'!$A$2:$L$223,12,FALSE)="VIGENTE"),AND(VLOOKUP(W195,'BD LUB'!$A$2:$L$223,11,FALSE)="VIGENTE",VLOOKUP(W195,'BD LUB'!$A$2:$L$223,12,FALSE)="PRÓXIMO")),5,IF(AND(VLOOKUP(W195,'BD LUB'!$A$2:$L$223,11,FALSE)="VIGENTE",VLOOKUP(W195,'BD LUB'!$A$2:$L$223,12,FALSE)="VIGENTE"),6,"No definido"))))))</f>
        <v>#N/A</v>
      </c>
      <c r="Z195" s="162"/>
      <c r="AA195" s="139" t="str">
        <f>(VLOOKUP(Z195,'BD LUB'!$A$2:$L$223,5,FALSE)/VLOOKUP(Z195,'BD LUB'!$A$2:$L$223,7,FALSE))+(VLOOKUP(Z195,'BD LUB'!$A$2:$L$223,6,FALSE)/VLOOKUP(Z195,'BD LUB'!$A$2:$L$223,8,FALSE))</f>
        <v>#N/A</v>
      </c>
      <c r="AB195" s="78" t="str">
        <f>IF(AND(VLOOKUP(Z195,'BD LUB'!$A$2:$L$223,11,FALSE)="PASADO",VLOOKUP(Z195,'BD LUB'!$A$2:$L$223,12,FALSE)="PASADO"),1,IF(OR(AND(VLOOKUP(Z195,'BD LUB'!$A$2:$L$223,11,FALSE)="PASADO",VLOOKUP(Z195,'BD LUB'!$A$2:$L$223,12,FALSE)="PRÓXIMO"),AND(VLOOKUP(Z195,'BD LUB'!$A$2:$L$223,11,FALSE)="PRÓXIMO",VLOOKUP(Z195,'BD LUB'!$A$2:$L$223,12,FALSE)="PASADO")),2,IF(OR(AND(VLOOKUP(Z195,'BD LUB'!$A$2:$L$223,11,FALSE)="PASADO",VLOOKUP(Z195,'BD LUB'!$A$2:$L$223,12,FALSE)="VIGENTE"),AND(VLOOKUP(Z195,'BD LUB'!$A$2:$L$223,11,FALSE)="VIGENTE",VLOOKUP(Z195,'BD LUB'!$A$2:$L$223,12,FALSE)="PASADO")),3,IF(AND(VLOOKUP(Z195,'BD LUB'!$A$2:$L$223,11,FALSE)="PRÓXIMO",VLOOKUP(Z195,'BD LUB'!$A$2:$L$223,12,FALSE)="PRÓXIMO"),4,IF(OR(AND(VLOOKUP(Z195,'BD LUB'!$A$2:$L$223,11,FALSE)="PRÓXIMO",VLOOKUP(Z195,'BD LUB'!$A$2:$L$223,12,FALSE)="VIGENTE"),AND(VLOOKUP(Z195,'BD LUB'!$A$2:$L$223,11,FALSE)="VIGENTE",VLOOKUP(Z195,'BD LUB'!$A$2:$L$223,12,FALSE)="PRÓXIMO")),5,IF(AND(VLOOKUP(Z195,'BD LUB'!$A$2:$L$223,11,FALSE)="VIGENTE",VLOOKUP(Z195,'BD LUB'!$A$2:$L$223,12,FALSE)="VIGENTE"),6,"No definido"))))))</f>
        <v>#N/A</v>
      </c>
      <c r="AC195" s="78"/>
      <c r="AD195" s="136" t="str">
        <f>IF(VLOOKUP(AC195,'BD LUB'!$A$2:$C$223,3,FALSE)=$AH$20,AC195&amp;" MED",IF(VLOOKUP(AC195,'BD LUB'!$A$2:$C$223,3,FALSE)=$AH$19,AC195&amp;" MAY",IF(VLOOKUP(AC195,'BD LUB'!$A$2:$C$223,3,FALSE)=$AH$18,AC195&amp;" RN",IF(VLOOKUP(AC195,'BD LUB'!$A$2:$C$223,3,FALSE)=$AH$17,AC195&amp;" COPQUI",IF(VLOOKUP(AC195,'BD LUB'!$A$2:$C$223,3,FALSE)=$AH$16,AC195&amp;" CEJ",IF(VLOOKUP(AC195,'BD LUB'!$A$2:$C$223,3,FALSE)=$AH$15,AC195&amp;" BULT",IF(VLOOKUP(AC195,'BD LUB'!$A$2:$C$223,3,FALSE)=$AH$14,AC195&amp;" COP",IF(VLOOKUP(AC195,'BD LUB'!$A$2:$C$223,3,FALSE)=$AH$13,AC195&amp;" RIO",IF(VLOOKUP(AC195,'BD LUB'!$A$2:$C$223,3,FALSE)=$AH$21,AC195&amp;" APART","Dato no encontrado")))))))))</f>
        <v>#N/A</v>
      </c>
      <c r="AE195" s="160"/>
      <c r="AF195" s="160"/>
      <c r="AG195" s="160"/>
      <c r="AH195" s="160"/>
      <c r="AI195" s="160"/>
      <c r="AJ195" s="160"/>
      <c r="AP195" s="160"/>
      <c r="AV195" s="160"/>
    </row>
    <row r="196">
      <c r="A196" s="158"/>
      <c r="B196" s="126">
        <v>193.0</v>
      </c>
      <c r="C196" s="78">
        <f>IFERROR(__xludf.DUMMYFUNCTION("""COMPUTED_VALUE"""),2432.0)</f>
        <v>2432</v>
      </c>
      <c r="D196" s="156">
        <f>IFERROR(__xludf.DUMMYFUNCTION("""COMPUTED_VALUE"""),46571.0)</f>
        <v>46571</v>
      </c>
      <c r="E196" s="78" t="str">
        <f>IFERROR(__xludf.DUMMYFUNCTION("""COMPUTED_VALUE"""),"02-Medellin")</f>
        <v>02-Medellin</v>
      </c>
      <c r="F196" s="156">
        <f>IFERROR(__xludf.DUMMYFUNCTION("""COMPUTED_VALUE"""),46157.0)</f>
        <v>46157</v>
      </c>
      <c r="G196" s="159">
        <f>IFERROR(__xludf.DUMMYFUNCTION("""COMPUTED_VALUE"""),121.0)</f>
        <v>121</v>
      </c>
      <c r="H196" s="78" t="str">
        <f>IFERROR(__xludf.DUMMYFUNCTION("""COMPUTED_VALUE"""),"VIGENTE")</f>
        <v>VIGENTE</v>
      </c>
      <c r="I196" s="132" t="str">
        <f t="shared" si="1"/>
        <v>-</v>
      </c>
      <c r="J196" s="158"/>
      <c r="K196" s="126">
        <v>193.0</v>
      </c>
      <c r="L196" s="78">
        <f>IFERROR(__xludf.DUMMYFUNCTION("""COMPUTED_VALUE"""),2468.0)</f>
        <v>2468</v>
      </c>
      <c r="M196" s="156">
        <f>IFERROR(__xludf.DUMMYFUNCTION("""COMPUTED_VALUE"""),46304.0)</f>
        <v>46304</v>
      </c>
      <c r="N196" s="78" t="str">
        <f>IFERROR(__xludf.DUMMYFUNCTION("""COMPUTED_VALUE"""),"02-Medellin")</f>
        <v>02-Medellin</v>
      </c>
      <c r="O196" s="156">
        <f>IFERROR(__xludf.DUMMYFUNCTION("""COMPUTED_VALUE"""),46177.0)</f>
        <v>46177</v>
      </c>
      <c r="P196" s="159">
        <f>IFERROR(__xludf.DUMMYFUNCTION("""COMPUTED_VALUE"""),8341.0)</f>
        <v>8341</v>
      </c>
      <c r="Q196" s="78" t="str">
        <f>IFERROR(__xludf.DUMMYFUNCTION("""COMPUTED_VALUE"""),"VIGENTE")</f>
        <v>VIGENTE</v>
      </c>
      <c r="R196" s="132" t="str">
        <f t="shared" si="2"/>
        <v>-</v>
      </c>
      <c r="T196" s="134" t="str">
        <f>CALENDARIO!D208</f>
        <v/>
      </c>
      <c r="U196" s="135" t="str">
        <f>CALENDARIO!C208</f>
        <v/>
      </c>
      <c r="W196" s="128"/>
      <c r="X196" s="136" t="str">
        <f>(VLOOKUP(W196,'BD LUB'!$A$2:$L$223,5,FALSE)/VLOOKUP(W196,'BD LUB'!$A$2:$L$223,7,FALSE))+(VLOOKUP(W196,'BD LUB'!$A$2:$L$223,6,FALSE)/VLOOKUP(W196,'BD LUB'!$A$2:$L$223,8,FALSE))</f>
        <v>#N/A</v>
      </c>
      <c r="Y196" s="161" t="str">
        <f>IF(AND(VLOOKUP(W196,'BD LUB'!$A$2:$L$223,11,FALSE)="PASADO",VLOOKUP(W196,'BD LUB'!$A$2:$L$223,12,FALSE)="PASADO"),1,IF(OR(AND(VLOOKUP(W196,'BD LUB'!$A$2:$L$223,11,FALSE)="PASADO",VLOOKUP(W196,'BD LUB'!$A$2:$L$223,12,FALSE)="PRÓXIMO"),AND(VLOOKUP(W196,'BD LUB'!$A$2:$L$223,11,FALSE)="PRÓXIMO",VLOOKUP(W196,'BD LUB'!$A$2:$L$223,12,FALSE)="PASADO")),2,IF(OR(AND(VLOOKUP(W196,'BD LUB'!$A$2:$L$223,11,FALSE)="PASADO",VLOOKUP(W196,'BD LUB'!$A$2:$L$223,12,FALSE)="VIGENTE"),AND(VLOOKUP(W196,'BD LUB'!$A$2:$L$223,11,FALSE)="VIGENTE",VLOOKUP(W196,'BD LUB'!$A$2:$L$223,12,FALSE)="PASADO")),3,IF(AND(VLOOKUP(W196,'BD LUB'!$A$2:$L$223,11,FALSE)="PRÓXIMO",VLOOKUP(W196,'BD LUB'!$A$2:$L$223,12,FALSE)="PRÓXIMO"),4,IF(OR(AND(VLOOKUP(W196,'BD LUB'!$A$2:$L$223,11,FALSE)="PRÓXIMO",VLOOKUP(W196,'BD LUB'!$A$2:$L$223,12,FALSE)="VIGENTE"),AND(VLOOKUP(W196,'BD LUB'!$A$2:$L$223,11,FALSE)="VIGENTE",VLOOKUP(W196,'BD LUB'!$A$2:$L$223,12,FALSE)="PRÓXIMO")),5,IF(AND(VLOOKUP(W196,'BD LUB'!$A$2:$L$223,11,FALSE)="VIGENTE",VLOOKUP(W196,'BD LUB'!$A$2:$L$223,12,FALSE)="VIGENTE"),6,"No definido"))))))</f>
        <v>#N/A</v>
      </c>
      <c r="Z196" s="163"/>
      <c r="AA196" s="139" t="str">
        <f>(VLOOKUP(Z196,'BD LUB'!$A$2:$L$223,5,FALSE)/VLOOKUP(Z196,'BD LUB'!$A$2:$L$223,7,FALSE))+(VLOOKUP(Z196,'BD LUB'!$A$2:$L$223,6,FALSE)/VLOOKUP(Z196,'BD LUB'!$A$2:$L$223,8,FALSE))</f>
        <v>#N/A</v>
      </c>
      <c r="AB196" s="78" t="str">
        <f>IF(AND(VLOOKUP(Z196,'BD LUB'!$A$2:$L$223,11,FALSE)="PASADO",VLOOKUP(Z196,'BD LUB'!$A$2:$L$223,12,FALSE)="PASADO"),1,IF(OR(AND(VLOOKUP(Z196,'BD LUB'!$A$2:$L$223,11,FALSE)="PASADO",VLOOKUP(Z196,'BD LUB'!$A$2:$L$223,12,FALSE)="PRÓXIMO"),AND(VLOOKUP(Z196,'BD LUB'!$A$2:$L$223,11,FALSE)="PRÓXIMO",VLOOKUP(Z196,'BD LUB'!$A$2:$L$223,12,FALSE)="PASADO")),2,IF(OR(AND(VLOOKUP(Z196,'BD LUB'!$A$2:$L$223,11,FALSE)="PASADO",VLOOKUP(Z196,'BD LUB'!$A$2:$L$223,12,FALSE)="VIGENTE"),AND(VLOOKUP(Z196,'BD LUB'!$A$2:$L$223,11,FALSE)="VIGENTE",VLOOKUP(Z196,'BD LUB'!$A$2:$L$223,12,FALSE)="PASADO")),3,IF(AND(VLOOKUP(Z196,'BD LUB'!$A$2:$L$223,11,FALSE)="PRÓXIMO",VLOOKUP(Z196,'BD LUB'!$A$2:$L$223,12,FALSE)="PRÓXIMO"),4,IF(OR(AND(VLOOKUP(Z196,'BD LUB'!$A$2:$L$223,11,FALSE)="PRÓXIMO",VLOOKUP(Z196,'BD LUB'!$A$2:$L$223,12,FALSE)="VIGENTE"),AND(VLOOKUP(Z196,'BD LUB'!$A$2:$L$223,11,FALSE)="VIGENTE",VLOOKUP(Z196,'BD LUB'!$A$2:$L$223,12,FALSE)="PRÓXIMO")),5,IF(AND(VLOOKUP(Z196,'BD LUB'!$A$2:$L$223,11,FALSE)="VIGENTE",VLOOKUP(Z196,'BD LUB'!$A$2:$L$223,12,FALSE)="VIGENTE"),6,"No definido"))))))</f>
        <v>#N/A</v>
      </c>
      <c r="AC196" s="163"/>
      <c r="AD196" s="136" t="str">
        <f>IF(VLOOKUP(AC196,'BD LUB'!$A$2:$C$223,3,FALSE)=$AH$20,AC196&amp;" MED",IF(VLOOKUP(AC196,'BD LUB'!$A$2:$C$223,3,FALSE)=$AH$19,AC196&amp;" MAY",IF(VLOOKUP(AC196,'BD LUB'!$A$2:$C$223,3,FALSE)=$AH$18,AC196&amp;" RN",IF(VLOOKUP(AC196,'BD LUB'!$A$2:$C$223,3,FALSE)=$AH$17,AC196&amp;" COPQUI",IF(VLOOKUP(AC196,'BD LUB'!$A$2:$C$223,3,FALSE)=$AH$16,AC196&amp;" CEJ",IF(VLOOKUP(AC196,'BD LUB'!$A$2:$C$223,3,FALSE)=$AH$15,AC196&amp;" BULT",IF(VLOOKUP(AC196,'BD LUB'!$A$2:$C$223,3,FALSE)=$AH$14,AC196&amp;" COP",IF(VLOOKUP(AC196,'BD LUB'!$A$2:$C$223,3,FALSE)=$AH$13,AC196&amp;" RIO",IF(VLOOKUP(AC196,'BD LUB'!$A$2:$C$223,3,FALSE)=$AH$21,AC196&amp;" APART","Dato no encontrado")))))))))</f>
        <v>#N/A</v>
      </c>
      <c r="AE196" s="160"/>
      <c r="AF196" s="160"/>
      <c r="AG196" s="160"/>
      <c r="AH196" s="160"/>
      <c r="AI196" s="160"/>
      <c r="AJ196" s="160"/>
      <c r="AP196" s="160"/>
      <c r="AV196" s="160"/>
    </row>
    <row r="197">
      <c r="A197" s="158"/>
      <c r="B197" s="126">
        <v>194.0</v>
      </c>
      <c r="C197" s="78">
        <f>IFERROR(__xludf.DUMMYFUNCTION("""COMPUTED_VALUE"""),3252.0)</f>
        <v>3252</v>
      </c>
      <c r="D197" s="156">
        <f>IFERROR(__xludf.DUMMYFUNCTION("""COMPUTED_VALUE"""),46661.0)</f>
        <v>46661</v>
      </c>
      <c r="E197" s="78" t="str">
        <f>IFERROR(__xludf.DUMMYFUNCTION("""COMPUTED_VALUE"""),"24-Rionegro")</f>
        <v>24-Rionegro</v>
      </c>
      <c r="F197" s="156">
        <f>IFERROR(__xludf.DUMMYFUNCTION("""COMPUTED_VALUE"""),46161.0)</f>
        <v>46161</v>
      </c>
      <c r="G197" s="159">
        <f>IFERROR(__xludf.DUMMYFUNCTION("""COMPUTED_VALUE"""),125.0)</f>
        <v>125</v>
      </c>
      <c r="H197" s="78" t="str">
        <f>IFERROR(__xludf.DUMMYFUNCTION("""COMPUTED_VALUE"""),"VIGENTE")</f>
        <v>VIGENTE</v>
      </c>
      <c r="I197" s="132" t="str">
        <f t="shared" si="1"/>
        <v>-</v>
      </c>
      <c r="J197" s="158"/>
      <c r="K197" s="126">
        <v>194.0</v>
      </c>
      <c r="L197" s="78">
        <f>IFERROR(__xludf.DUMMYFUNCTION("""COMPUTED_VALUE"""),2421.0)</f>
        <v>2421</v>
      </c>
      <c r="M197" s="156">
        <f>IFERROR(__xludf.DUMMYFUNCTION("""COMPUTED_VALUE"""),46529.0)</f>
        <v>46529</v>
      </c>
      <c r="N197" s="78" t="str">
        <f>IFERROR(__xludf.DUMMYFUNCTION("""COMPUTED_VALUE"""),"02-Medellin")</f>
        <v>02-Medellin</v>
      </c>
      <c r="O197" s="156">
        <f>IFERROR(__xludf.DUMMYFUNCTION("""COMPUTED_VALUE"""),46161.0)</f>
        <v>46161</v>
      </c>
      <c r="P197" s="159">
        <f>IFERROR(__xludf.DUMMYFUNCTION("""COMPUTED_VALUE"""),8381.8)</f>
        <v>8381.8</v>
      </c>
      <c r="Q197" s="78" t="str">
        <f>IFERROR(__xludf.DUMMYFUNCTION("""COMPUTED_VALUE"""),"VIGENTE")</f>
        <v>VIGENTE</v>
      </c>
      <c r="R197" s="132" t="str">
        <f t="shared" si="2"/>
        <v>-</v>
      </c>
      <c r="T197" s="134" t="str">
        <f>CALENDARIO!D209</f>
        <v/>
      </c>
      <c r="U197" s="135" t="str">
        <f>CALENDARIO!C209</f>
        <v/>
      </c>
      <c r="W197" s="128"/>
      <c r="X197" s="136" t="str">
        <f>(VLOOKUP(W197,'BD LUB'!$A$2:$L$223,5,FALSE)/VLOOKUP(W197,'BD LUB'!$A$2:$L$223,7,FALSE))+(VLOOKUP(W197,'BD LUB'!$A$2:$L$223,6,FALSE)/VLOOKUP(W197,'BD LUB'!$A$2:$L$223,8,FALSE))</f>
        <v>#N/A</v>
      </c>
      <c r="Y197" s="161" t="str">
        <f>IF(AND(VLOOKUP(W197,'BD LUB'!$A$2:$L$223,11,FALSE)="PASADO",VLOOKUP(W197,'BD LUB'!$A$2:$L$223,12,FALSE)="PASADO"),1,IF(OR(AND(VLOOKUP(W197,'BD LUB'!$A$2:$L$223,11,FALSE)="PASADO",VLOOKUP(W197,'BD LUB'!$A$2:$L$223,12,FALSE)="PRÓXIMO"),AND(VLOOKUP(W197,'BD LUB'!$A$2:$L$223,11,FALSE)="PRÓXIMO",VLOOKUP(W197,'BD LUB'!$A$2:$L$223,12,FALSE)="PASADO")),2,IF(OR(AND(VLOOKUP(W197,'BD LUB'!$A$2:$L$223,11,FALSE)="PASADO",VLOOKUP(W197,'BD LUB'!$A$2:$L$223,12,FALSE)="VIGENTE"),AND(VLOOKUP(W197,'BD LUB'!$A$2:$L$223,11,FALSE)="VIGENTE",VLOOKUP(W197,'BD LUB'!$A$2:$L$223,12,FALSE)="PASADO")),3,IF(AND(VLOOKUP(W197,'BD LUB'!$A$2:$L$223,11,FALSE)="PRÓXIMO",VLOOKUP(W197,'BD LUB'!$A$2:$L$223,12,FALSE)="PRÓXIMO"),4,IF(OR(AND(VLOOKUP(W197,'BD LUB'!$A$2:$L$223,11,FALSE)="PRÓXIMO",VLOOKUP(W197,'BD LUB'!$A$2:$L$223,12,FALSE)="VIGENTE"),AND(VLOOKUP(W197,'BD LUB'!$A$2:$L$223,11,FALSE)="VIGENTE",VLOOKUP(W197,'BD LUB'!$A$2:$L$223,12,FALSE)="PRÓXIMO")),5,IF(AND(VLOOKUP(W197,'BD LUB'!$A$2:$L$223,11,FALSE)="VIGENTE",VLOOKUP(W197,'BD LUB'!$A$2:$L$223,12,FALSE)="VIGENTE"),6,"No definido"))))))</f>
        <v>#N/A</v>
      </c>
      <c r="Z197" s="163"/>
      <c r="AA197" s="139" t="str">
        <f>(VLOOKUP(Z197,'BD LUB'!$A$2:$L$223,5,FALSE)/VLOOKUP(Z197,'BD LUB'!$A$2:$L$223,7,FALSE))+(VLOOKUP(Z197,'BD LUB'!$A$2:$L$223,6,FALSE)/VLOOKUP(Z197,'BD LUB'!$A$2:$L$223,8,FALSE))</f>
        <v>#N/A</v>
      </c>
      <c r="AB197" s="78" t="str">
        <f>IF(AND(VLOOKUP(Z197,'BD LUB'!$A$2:$L$223,11,FALSE)="PASADO",VLOOKUP(Z197,'BD LUB'!$A$2:$L$223,12,FALSE)="PASADO"),1,IF(OR(AND(VLOOKUP(Z197,'BD LUB'!$A$2:$L$223,11,FALSE)="PASADO",VLOOKUP(Z197,'BD LUB'!$A$2:$L$223,12,FALSE)="PRÓXIMO"),AND(VLOOKUP(Z197,'BD LUB'!$A$2:$L$223,11,FALSE)="PRÓXIMO",VLOOKUP(Z197,'BD LUB'!$A$2:$L$223,12,FALSE)="PASADO")),2,IF(OR(AND(VLOOKUP(Z197,'BD LUB'!$A$2:$L$223,11,FALSE)="PASADO",VLOOKUP(Z197,'BD LUB'!$A$2:$L$223,12,FALSE)="VIGENTE"),AND(VLOOKUP(Z197,'BD LUB'!$A$2:$L$223,11,FALSE)="VIGENTE",VLOOKUP(Z197,'BD LUB'!$A$2:$L$223,12,FALSE)="PASADO")),3,IF(AND(VLOOKUP(Z197,'BD LUB'!$A$2:$L$223,11,FALSE)="PRÓXIMO",VLOOKUP(Z197,'BD LUB'!$A$2:$L$223,12,FALSE)="PRÓXIMO"),4,IF(OR(AND(VLOOKUP(Z197,'BD LUB'!$A$2:$L$223,11,FALSE)="PRÓXIMO",VLOOKUP(Z197,'BD LUB'!$A$2:$L$223,12,FALSE)="VIGENTE"),AND(VLOOKUP(Z197,'BD LUB'!$A$2:$L$223,11,FALSE)="VIGENTE",VLOOKUP(Z197,'BD LUB'!$A$2:$L$223,12,FALSE)="PRÓXIMO")),5,IF(AND(VLOOKUP(Z197,'BD LUB'!$A$2:$L$223,11,FALSE)="VIGENTE",VLOOKUP(Z197,'BD LUB'!$A$2:$L$223,12,FALSE)="VIGENTE"),6,"No definido"))))))</f>
        <v>#N/A</v>
      </c>
      <c r="AC197" s="163"/>
      <c r="AD197" s="136" t="str">
        <f>IF(VLOOKUP(AC197,'BD LUB'!$A$2:$C$223,3,FALSE)=$AH$20,AC197&amp;" MED",IF(VLOOKUP(AC197,'BD LUB'!$A$2:$C$223,3,FALSE)=$AH$19,AC197&amp;" MAY",IF(VLOOKUP(AC197,'BD LUB'!$A$2:$C$223,3,FALSE)=$AH$18,AC197&amp;" RN",IF(VLOOKUP(AC197,'BD LUB'!$A$2:$C$223,3,FALSE)=$AH$17,AC197&amp;" COPQUI",IF(VLOOKUP(AC197,'BD LUB'!$A$2:$C$223,3,FALSE)=$AH$16,AC197&amp;" CEJ",IF(VLOOKUP(AC197,'BD LUB'!$A$2:$C$223,3,FALSE)=$AH$15,AC197&amp;" BULT",IF(VLOOKUP(AC197,'BD LUB'!$A$2:$C$223,3,FALSE)=$AH$14,AC197&amp;" COP",IF(VLOOKUP(AC197,'BD LUB'!$A$2:$C$223,3,FALSE)=$AH$13,AC197&amp;" RIO",IF(VLOOKUP(AC197,'BD LUB'!$A$2:$C$223,3,FALSE)=$AH$21,AC197&amp;" APART","Dato no encontrado")))))))))</f>
        <v>#N/A</v>
      </c>
      <c r="AE197" s="160"/>
      <c r="AF197" s="160"/>
      <c r="AG197" s="160"/>
      <c r="AH197" s="160"/>
      <c r="AI197" s="160"/>
      <c r="AJ197" s="160"/>
      <c r="AP197" s="160"/>
      <c r="AV197" s="160"/>
    </row>
    <row r="198">
      <c r="A198" s="158"/>
      <c r="B198" s="126">
        <v>195.0</v>
      </c>
      <c r="C198" s="78">
        <f>IFERROR(__xludf.DUMMYFUNCTION("""COMPUTED_VALUE"""),3250.0)</f>
        <v>3250</v>
      </c>
      <c r="D198" s="156">
        <f>IFERROR(__xludf.DUMMYFUNCTION("""COMPUTED_VALUE"""),46661.0)</f>
        <v>46661</v>
      </c>
      <c r="E198" s="78" t="str">
        <f>IFERROR(__xludf.DUMMYFUNCTION("""COMPUTED_VALUE"""),"02-Medellin")</f>
        <v>02-Medellin</v>
      </c>
      <c r="F198" s="156">
        <f>IFERROR(__xludf.DUMMYFUNCTION("""COMPUTED_VALUE"""),46161.0)</f>
        <v>46161</v>
      </c>
      <c r="G198" s="159">
        <f>IFERROR(__xludf.DUMMYFUNCTION("""COMPUTED_VALUE"""),125.0)</f>
        <v>125</v>
      </c>
      <c r="H198" s="78" t="str">
        <f>IFERROR(__xludf.DUMMYFUNCTION("""COMPUTED_VALUE"""),"VIGENTE")</f>
        <v>VIGENTE</v>
      </c>
      <c r="I198" s="132" t="str">
        <f t="shared" si="1"/>
        <v>-</v>
      </c>
      <c r="J198" s="158"/>
      <c r="K198" s="126">
        <v>195.0</v>
      </c>
      <c r="L198" s="78">
        <f>IFERROR(__xludf.DUMMYFUNCTION("""COMPUTED_VALUE"""),2669.0)</f>
        <v>2669</v>
      </c>
      <c r="M198" s="156">
        <f>IFERROR(__xludf.DUMMYFUNCTION("""COMPUTED_VALUE"""),46511.0)</f>
        <v>46511</v>
      </c>
      <c r="N198" s="78" t="str">
        <f>IFERROR(__xludf.DUMMYFUNCTION("""COMPUTED_VALUE"""),"02-Medellin")</f>
        <v>02-Medellin</v>
      </c>
      <c r="O198" s="156">
        <f>IFERROR(__xludf.DUMMYFUNCTION("""COMPUTED_VALUE"""),46162.0)</f>
        <v>46162</v>
      </c>
      <c r="P198" s="159">
        <f>IFERROR(__xludf.DUMMYFUNCTION("""COMPUTED_VALUE"""),8429.9)</f>
        <v>8429.9</v>
      </c>
      <c r="Q198" s="78" t="str">
        <f>IFERROR(__xludf.DUMMYFUNCTION("""COMPUTED_VALUE"""),"VIGENTE")</f>
        <v>VIGENTE</v>
      </c>
      <c r="R198" s="132" t="str">
        <f t="shared" si="2"/>
        <v>-</v>
      </c>
      <c r="T198" s="134" t="str">
        <f>CALENDARIO!D210</f>
        <v/>
      </c>
      <c r="U198" s="135" t="str">
        <f>CALENDARIO!C210</f>
        <v/>
      </c>
      <c r="W198" s="128"/>
      <c r="X198" s="136" t="str">
        <f>(VLOOKUP(W198,'BD LUB'!$A$2:$L$223,5,FALSE)/VLOOKUP(W198,'BD LUB'!$A$2:$L$223,7,FALSE))+(VLOOKUP(W198,'BD LUB'!$A$2:$L$223,6,FALSE)/VLOOKUP(W198,'BD LUB'!$A$2:$L$223,8,FALSE))</f>
        <v>#N/A</v>
      </c>
      <c r="Y198" s="161" t="str">
        <f>IF(AND(VLOOKUP(W198,'BD LUB'!$A$2:$L$223,11,FALSE)="PASADO",VLOOKUP(W198,'BD LUB'!$A$2:$L$223,12,FALSE)="PASADO"),1,IF(OR(AND(VLOOKUP(W198,'BD LUB'!$A$2:$L$223,11,FALSE)="PASADO",VLOOKUP(W198,'BD LUB'!$A$2:$L$223,12,FALSE)="PRÓXIMO"),AND(VLOOKUP(W198,'BD LUB'!$A$2:$L$223,11,FALSE)="PRÓXIMO",VLOOKUP(W198,'BD LUB'!$A$2:$L$223,12,FALSE)="PASADO")),2,IF(OR(AND(VLOOKUP(W198,'BD LUB'!$A$2:$L$223,11,FALSE)="PASADO",VLOOKUP(W198,'BD LUB'!$A$2:$L$223,12,FALSE)="VIGENTE"),AND(VLOOKUP(W198,'BD LUB'!$A$2:$L$223,11,FALSE)="VIGENTE",VLOOKUP(W198,'BD LUB'!$A$2:$L$223,12,FALSE)="PASADO")),3,IF(AND(VLOOKUP(W198,'BD LUB'!$A$2:$L$223,11,FALSE)="PRÓXIMO",VLOOKUP(W198,'BD LUB'!$A$2:$L$223,12,FALSE)="PRÓXIMO"),4,IF(OR(AND(VLOOKUP(W198,'BD LUB'!$A$2:$L$223,11,FALSE)="PRÓXIMO",VLOOKUP(W198,'BD LUB'!$A$2:$L$223,12,FALSE)="VIGENTE"),AND(VLOOKUP(W198,'BD LUB'!$A$2:$L$223,11,FALSE)="VIGENTE",VLOOKUP(W198,'BD LUB'!$A$2:$L$223,12,FALSE)="PRÓXIMO")),5,IF(AND(VLOOKUP(W198,'BD LUB'!$A$2:$L$223,11,FALSE)="VIGENTE",VLOOKUP(W198,'BD LUB'!$A$2:$L$223,12,FALSE)="VIGENTE"),6,"No definido"))))))</f>
        <v>#N/A</v>
      </c>
      <c r="Z198" s="163"/>
      <c r="AA198" s="139" t="str">
        <f>(VLOOKUP(Z198,'BD LUB'!$A$2:$L$223,5,FALSE)/VLOOKUP(Z198,'BD LUB'!$A$2:$L$223,7,FALSE))+(VLOOKUP(Z198,'BD LUB'!$A$2:$L$223,6,FALSE)/VLOOKUP(Z198,'BD LUB'!$A$2:$L$223,8,FALSE))</f>
        <v>#N/A</v>
      </c>
      <c r="AB198" s="78" t="str">
        <f>IF(AND(VLOOKUP(Z198,'BD LUB'!$A$2:$L$223,11,FALSE)="PASADO",VLOOKUP(Z198,'BD LUB'!$A$2:$L$223,12,FALSE)="PASADO"),1,IF(OR(AND(VLOOKUP(Z198,'BD LUB'!$A$2:$L$223,11,FALSE)="PASADO",VLOOKUP(Z198,'BD LUB'!$A$2:$L$223,12,FALSE)="PRÓXIMO"),AND(VLOOKUP(Z198,'BD LUB'!$A$2:$L$223,11,FALSE)="PRÓXIMO",VLOOKUP(Z198,'BD LUB'!$A$2:$L$223,12,FALSE)="PASADO")),2,IF(OR(AND(VLOOKUP(Z198,'BD LUB'!$A$2:$L$223,11,FALSE)="PASADO",VLOOKUP(Z198,'BD LUB'!$A$2:$L$223,12,FALSE)="VIGENTE"),AND(VLOOKUP(Z198,'BD LUB'!$A$2:$L$223,11,FALSE)="VIGENTE",VLOOKUP(Z198,'BD LUB'!$A$2:$L$223,12,FALSE)="PASADO")),3,IF(AND(VLOOKUP(Z198,'BD LUB'!$A$2:$L$223,11,FALSE)="PRÓXIMO",VLOOKUP(Z198,'BD LUB'!$A$2:$L$223,12,FALSE)="PRÓXIMO"),4,IF(OR(AND(VLOOKUP(Z198,'BD LUB'!$A$2:$L$223,11,FALSE)="PRÓXIMO",VLOOKUP(Z198,'BD LUB'!$A$2:$L$223,12,FALSE)="VIGENTE"),AND(VLOOKUP(Z198,'BD LUB'!$A$2:$L$223,11,FALSE)="VIGENTE",VLOOKUP(Z198,'BD LUB'!$A$2:$L$223,12,FALSE)="PRÓXIMO")),5,IF(AND(VLOOKUP(Z198,'BD LUB'!$A$2:$L$223,11,FALSE)="VIGENTE",VLOOKUP(Z198,'BD LUB'!$A$2:$L$223,12,FALSE)="VIGENTE"),6,"No definido"))))))</f>
        <v>#N/A</v>
      </c>
      <c r="AC198" s="163"/>
      <c r="AD198" s="136" t="str">
        <f>IF(VLOOKUP(AC198,'BD LUB'!$A$2:$C$223,3,FALSE)=$AH$20,AC198&amp;" MED",IF(VLOOKUP(AC198,'BD LUB'!$A$2:$C$223,3,FALSE)=$AH$19,AC198&amp;" MAY",IF(VLOOKUP(AC198,'BD LUB'!$A$2:$C$223,3,FALSE)=$AH$18,AC198&amp;" RN",IF(VLOOKUP(AC198,'BD LUB'!$A$2:$C$223,3,FALSE)=$AH$17,AC198&amp;" COPQUI",IF(VLOOKUP(AC198,'BD LUB'!$A$2:$C$223,3,FALSE)=$AH$16,AC198&amp;" CEJ",IF(VLOOKUP(AC198,'BD LUB'!$A$2:$C$223,3,FALSE)=$AH$15,AC198&amp;" BULT",IF(VLOOKUP(AC198,'BD LUB'!$A$2:$C$223,3,FALSE)=$AH$14,AC198&amp;" COP",IF(VLOOKUP(AC198,'BD LUB'!$A$2:$C$223,3,FALSE)=$AH$13,AC198&amp;" RIO",IF(VLOOKUP(AC198,'BD LUB'!$A$2:$C$223,3,FALSE)=$AH$21,AC198&amp;" APART","Dato no encontrado")))))))))</f>
        <v>#N/A</v>
      </c>
      <c r="AE198" s="160"/>
      <c r="AF198" s="160"/>
      <c r="AG198" s="160"/>
      <c r="AH198" s="160"/>
      <c r="AI198" s="160"/>
      <c r="AJ198" s="160"/>
      <c r="AP198" s="160"/>
      <c r="AV198" s="160"/>
    </row>
    <row r="199">
      <c r="A199" s="158"/>
      <c r="B199" s="126">
        <v>196.0</v>
      </c>
      <c r="C199" s="78">
        <f>IFERROR(__xludf.DUMMYFUNCTION("""COMPUTED_VALUE"""),2421.0)</f>
        <v>2421</v>
      </c>
      <c r="D199" s="156">
        <f>IFERROR(__xludf.DUMMYFUNCTION("""COMPUTED_VALUE"""),46529.0)</f>
        <v>46529</v>
      </c>
      <c r="E199" s="78" t="str">
        <f>IFERROR(__xludf.DUMMYFUNCTION("""COMPUTED_VALUE"""),"02-Medellin")</f>
        <v>02-Medellin</v>
      </c>
      <c r="F199" s="156">
        <f>IFERROR(__xludf.DUMMYFUNCTION("""COMPUTED_VALUE"""),46161.0)</f>
        <v>46161</v>
      </c>
      <c r="G199" s="159">
        <f>IFERROR(__xludf.DUMMYFUNCTION("""COMPUTED_VALUE"""),125.0)</f>
        <v>125</v>
      </c>
      <c r="H199" s="78" t="str">
        <f>IFERROR(__xludf.DUMMYFUNCTION("""COMPUTED_VALUE"""),"VIGENTE")</f>
        <v>VIGENTE</v>
      </c>
      <c r="I199" s="132" t="str">
        <f t="shared" si="1"/>
        <v>-</v>
      </c>
      <c r="J199" s="158"/>
      <c r="K199" s="126">
        <v>196.0</v>
      </c>
      <c r="L199" s="78">
        <f>IFERROR(__xludf.DUMMYFUNCTION("""COMPUTED_VALUE"""),2679.0)</f>
        <v>2679</v>
      </c>
      <c r="M199" s="156">
        <f>IFERROR(__xludf.DUMMYFUNCTION("""COMPUTED_VALUE"""),46499.0)</f>
        <v>46499</v>
      </c>
      <c r="N199" s="78" t="str">
        <f>IFERROR(__xludf.DUMMYFUNCTION("""COMPUTED_VALUE"""),"02-Medellin")</f>
        <v>02-Medellin</v>
      </c>
      <c r="O199" s="156">
        <f>IFERROR(__xludf.DUMMYFUNCTION("""COMPUTED_VALUE"""),46157.0)</f>
        <v>46157</v>
      </c>
      <c r="P199" s="159">
        <f>IFERROR(__xludf.DUMMYFUNCTION("""COMPUTED_VALUE"""),8591.2)</f>
        <v>8591.2</v>
      </c>
      <c r="Q199" s="78" t="str">
        <f>IFERROR(__xludf.DUMMYFUNCTION("""COMPUTED_VALUE"""),"VIGENTE")</f>
        <v>VIGENTE</v>
      </c>
      <c r="R199" s="132" t="str">
        <f t="shared" si="2"/>
        <v>-</v>
      </c>
      <c r="T199" s="134" t="str">
        <f>CALENDARIO!D211</f>
        <v/>
      </c>
      <c r="U199" s="135" t="str">
        <f>CALENDARIO!C211</f>
        <v/>
      </c>
      <c r="W199" s="128"/>
      <c r="X199" s="136" t="str">
        <f>(VLOOKUP(W199,'BD LUB'!$A$2:$L$223,5,FALSE)/VLOOKUP(W199,'BD LUB'!$A$2:$L$223,7,FALSE))+(VLOOKUP(W199,'BD LUB'!$A$2:$L$223,6,FALSE)/VLOOKUP(W199,'BD LUB'!$A$2:$L$223,8,FALSE))</f>
        <v>#N/A</v>
      </c>
      <c r="Y199" s="161" t="str">
        <f>IF(AND(VLOOKUP(W199,'BD LUB'!$A$2:$L$223,11,FALSE)="PASADO",VLOOKUP(W199,'BD LUB'!$A$2:$L$223,12,FALSE)="PASADO"),1,IF(OR(AND(VLOOKUP(W199,'BD LUB'!$A$2:$L$223,11,FALSE)="PASADO",VLOOKUP(W199,'BD LUB'!$A$2:$L$223,12,FALSE)="PRÓXIMO"),AND(VLOOKUP(W199,'BD LUB'!$A$2:$L$223,11,FALSE)="PRÓXIMO",VLOOKUP(W199,'BD LUB'!$A$2:$L$223,12,FALSE)="PASADO")),2,IF(OR(AND(VLOOKUP(W199,'BD LUB'!$A$2:$L$223,11,FALSE)="PASADO",VLOOKUP(W199,'BD LUB'!$A$2:$L$223,12,FALSE)="VIGENTE"),AND(VLOOKUP(W199,'BD LUB'!$A$2:$L$223,11,FALSE)="VIGENTE",VLOOKUP(W199,'BD LUB'!$A$2:$L$223,12,FALSE)="PASADO")),3,IF(AND(VLOOKUP(W199,'BD LUB'!$A$2:$L$223,11,FALSE)="PRÓXIMO",VLOOKUP(W199,'BD LUB'!$A$2:$L$223,12,FALSE)="PRÓXIMO"),4,IF(OR(AND(VLOOKUP(W199,'BD LUB'!$A$2:$L$223,11,FALSE)="PRÓXIMO",VLOOKUP(W199,'BD LUB'!$A$2:$L$223,12,FALSE)="VIGENTE"),AND(VLOOKUP(W199,'BD LUB'!$A$2:$L$223,11,FALSE)="VIGENTE",VLOOKUP(W199,'BD LUB'!$A$2:$L$223,12,FALSE)="PRÓXIMO")),5,IF(AND(VLOOKUP(W199,'BD LUB'!$A$2:$L$223,11,FALSE)="VIGENTE",VLOOKUP(W199,'BD LUB'!$A$2:$L$223,12,FALSE)="VIGENTE"),6,"No definido"))))))</f>
        <v>#N/A</v>
      </c>
      <c r="Z199" s="163"/>
      <c r="AA199" s="139" t="str">
        <f>(VLOOKUP(Z199,'BD LUB'!$A$2:$L$223,5,FALSE)/VLOOKUP(Z199,'BD LUB'!$A$2:$L$223,7,FALSE))+(VLOOKUP(Z199,'BD LUB'!$A$2:$L$223,6,FALSE)/VLOOKUP(Z199,'BD LUB'!$A$2:$L$223,8,FALSE))</f>
        <v>#N/A</v>
      </c>
      <c r="AB199" s="78" t="str">
        <f>IF(AND(VLOOKUP(Z199,'BD LUB'!$A$2:$L$223,11,FALSE)="PASADO",VLOOKUP(Z199,'BD LUB'!$A$2:$L$223,12,FALSE)="PASADO"),1,IF(OR(AND(VLOOKUP(Z199,'BD LUB'!$A$2:$L$223,11,FALSE)="PASADO",VLOOKUP(Z199,'BD LUB'!$A$2:$L$223,12,FALSE)="PRÓXIMO"),AND(VLOOKUP(Z199,'BD LUB'!$A$2:$L$223,11,FALSE)="PRÓXIMO",VLOOKUP(Z199,'BD LUB'!$A$2:$L$223,12,FALSE)="PASADO")),2,IF(OR(AND(VLOOKUP(Z199,'BD LUB'!$A$2:$L$223,11,FALSE)="PASADO",VLOOKUP(Z199,'BD LUB'!$A$2:$L$223,12,FALSE)="VIGENTE"),AND(VLOOKUP(Z199,'BD LUB'!$A$2:$L$223,11,FALSE)="VIGENTE",VLOOKUP(Z199,'BD LUB'!$A$2:$L$223,12,FALSE)="PASADO")),3,IF(AND(VLOOKUP(Z199,'BD LUB'!$A$2:$L$223,11,FALSE)="PRÓXIMO",VLOOKUP(Z199,'BD LUB'!$A$2:$L$223,12,FALSE)="PRÓXIMO"),4,IF(OR(AND(VLOOKUP(Z199,'BD LUB'!$A$2:$L$223,11,FALSE)="PRÓXIMO",VLOOKUP(Z199,'BD LUB'!$A$2:$L$223,12,FALSE)="VIGENTE"),AND(VLOOKUP(Z199,'BD LUB'!$A$2:$L$223,11,FALSE)="VIGENTE",VLOOKUP(Z199,'BD LUB'!$A$2:$L$223,12,FALSE)="PRÓXIMO")),5,IF(AND(VLOOKUP(Z199,'BD LUB'!$A$2:$L$223,11,FALSE)="VIGENTE",VLOOKUP(Z199,'BD LUB'!$A$2:$L$223,12,FALSE)="VIGENTE"),6,"No definido"))))))</f>
        <v>#N/A</v>
      </c>
      <c r="AC199" s="163"/>
      <c r="AD199" s="136" t="str">
        <f>IF(VLOOKUP(AC199,'BD LUB'!$A$2:$C$223,3,FALSE)=$AH$20,AC199&amp;" MED",IF(VLOOKUP(AC199,'BD LUB'!$A$2:$C$223,3,FALSE)=$AH$19,AC199&amp;" MAY",IF(VLOOKUP(AC199,'BD LUB'!$A$2:$C$223,3,FALSE)=$AH$18,AC199&amp;" RN",IF(VLOOKUP(AC199,'BD LUB'!$A$2:$C$223,3,FALSE)=$AH$17,AC199&amp;" COPQUI",IF(VLOOKUP(AC199,'BD LUB'!$A$2:$C$223,3,FALSE)=$AH$16,AC199&amp;" CEJ",IF(VLOOKUP(AC199,'BD LUB'!$A$2:$C$223,3,FALSE)=$AH$15,AC199&amp;" BULT",IF(VLOOKUP(AC199,'BD LUB'!$A$2:$C$223,3,FALSE)=$AH$14,AC199&amp;" COP",IF(VLOOKUP(AC199,'BD LUB'!$A$2:$C$223,3,FALSE)=$AH$13,AC199&amp;" RIO",IF(VLOOKUP(AC199,'BD LUB'!$A$2:$C$223,3,FALSE)=$AH$21,AC199&amp;" APART","Dato no encontrado")))))))))</f>
        <v>#N/A</v>
      </c>
      <c r="AE199" s="160"/>
      <c r="AF199" s="160"/>
      <c r="AG199" s="160"/>
      <c r="AH199" s="160"/>
      <c r="AI199" s="160"/>
      <c r="AJ199" s="160"/>
      <c r="AP199" s="160"/>
      <c r="AV199" s="160"/>
    </row>
    <row r="200">
      <c r="A200" s="158"/>
      <c r="B200" s="126">
        <v>197.0</v>
      </c>
      <c r="C200" s="78">
        <f>IFERROR(__xludf.DUMMYFUNCTION("""COMPUTED_VALUE"""),2393.0)</f>
        <v>2393</v>
      </c>
      <c r="D200" s="156">
        <f>IFERROR(__xludf.DUMMYFUNCTION("""COMPUTED_VALUE"""),46559.0)</f>
        <v>46559</v>
      </c>
      <c r="E200" s="78" t="str">
        <f>IFERROR(__xludf.DUMMYFUNCTION("""COMPUTED_VALUE"""),"MAYORCA")</f>
        <v>MAYORCA</v>
      </c>
      <c r="F200" s="156">
        <f>IFERROR(__xludf.DUMMYFUNCTION("""COMPUTED_VALUE"""),46161.0)</f>
        <v>46161</v>
      </c>
      <c r="G200" s="159">
        <f>IFERROR(__xludf.DUMMYFUNCTION("""COMPUTED_VALUE"""),125.0)</f>
        <v>125</v>
      </c>
      <c r="H200" s="78" t="str">
        <f>IFERROR(__xludf.DUMMYFUNCTION("""COMPUTED_VALUE"""),"VIGENTE")</f>
        <v>VIGENTE</v>
      </c>
      <c r="I200" s="132" t="str">
        <f t="shared" si="1"/>
        <v>-</v>
      </c>
      <c r="J200" s="158"/>
      <c r="K200" s="126">
        <v>197.0</v>
      </c>
      <c r="L200" s="78">
        <f>IFERROR(__xludf.DUMMYFUNCTION("""COMPUTED_VALUE"""),2879.0)</f>
        <v>2879</v>
      </c>
      <c r="M200" s="156">
        <f>IFERROR(__xludf.DUMMYFUNCTION("""COMPUTED_VALUE"""),46226.0)</f>
        <v>46226</v>
      </c>
      <c r="N200" s="78" t="str">
        <f>IFERROR(__xludf.DUMMYFUNCTION("""COMPUTED_VALUE"""),"02-Medellin")</f>
        <v>02-Medellin</v>
      </c>
      <c r="O200" s="156">
        <f>IFERROR(__xludf.DUMMYFUNCTION("""COMPUTED_VALUE"""),46132.0)</f>
        <v>46132</v>
      </c>
      <c r="P200" s="159">
        <f>IFERROR(__xludf.DUMMYFUNCTION("""COMPUTED_VALUE"""),8598.0)</f>
        <v>8598</v>
      </c>
      <c r="Q200" s="78" t="str">
        <f>IFERROR(__xludf.DUMMYFUNCTION("""COMPUTED_VALUE"""),"VIGENTE")</f>
        <v>VIGENTE</v>
      </c>
      <c r="R200" s="132" t="str">
        <f t="shared" si="2"/>
        <v>-</v>
      </c>
      <c r="T200" s="134" t="str">
        <f>CALENDARIO!D212</f>
        <v/>
      </c>
      <c r="U200" s="135" t="str">
        <f>CALENDARIO!C212</f>
        <v/>
      </c>
      <c r="W200" s="128"/>
      <c r="X200" s="136" t="str">
        <f>(VLOOKUP(W200,'BD LUB'!$A$2:$L$223,5,FALSE)/VLOOKUP(W200,'BD LUB'!$A$2:$L$223,7,FALSE))+(VLOOKUP(W200,'BD LUB'!$A$2:$L$223,6,FALSE)/VLOOKUP(W200,'BD LUB'!$A$2:$L$223,8,FALSE))</f>
        <v>#N/A</v>
      </c>
      <c r="Y200" s="161" t="str">
        <f>IF(AND(VLOOKUP(W200,'BD LUB'!$A$2:$L$223,11,FALSE)="PASADO",VLOOKUP(W200,'BD LUB'!$A$2:$L$223,12,FALSE)="PASADO"),1,IF(OR(AND(VLOOKUP(W200,'BD LUB'!$A$2:$L$223,11,FALSE)="PASADO",VLOOKUP(W200,'BD LUB'!$A$2:$L$223,12,FALSE)="PRÓXIMO"),AND(VLOOKUP(W200,'BD LUB'!$A$2:$L$223,11,FALSE)="PRÓXIMO",VLOOKUP(W200,'BD LUB'!$A$2:$L$223,12,FALSE)="PASADO")),2,IF(OR(AND(VLOOKUP(W200,'BD LUB'!$A$2:$L$223,11,FALSE)="PASADO",VLOOKUP(W200,'BD LUB'!$A$2:$L$223,12,FALSE)="VIGENTE"),AND(VLOOKUP(W200,'BD LUB'!$A$2:$L$223,11,FALSE)="VIGENTE",VLOOKUP(W200,'BD LUB'!$A$2:$L$223,12,FALSE)="PASADO")),3,IF(AND(VLOOKUP(W200,'BD LUB'!$A$2:$L$223,11,FALSE)="PRÓXIMO",VLOOKUP(W200,'BD LUB'!$A$2:$L$223,12,FALSE)="PRÓXIMO"),4,IF(OR(AND(VLOOKUP(W200,'BD LUB'!$A$2:$L$223,11,FALSE)="PRÓXIMO",VLOOKUP(W200,'BD LUB'!$A$2:$L$223,12,FALSE)="VIGENTE"),AND(VLOOKUP(W200,'BD LUB'!$A$2:$L$223,11,FALSE)="VIGENTE",VLOOKUP(W200,'BD LUB'!$A$2:$L$223,12,FALSE)="PRÓXIMO")),5,IF(AND(VLOOKUP(W200,'BD LUB'!$A$2:$L$223,11,FALSE)="VIGENTE",VLOOKUP(W200,'BD LUB'!$A$2:$L$223,12,FALSE)="VIGENTE"),6,"No definido"))))))</f>
        <v>#N/A</v>
      </c>
      <c r="Z200" s="163"/>
      <c r="AA200" s="139" t="str">
        <f>(VLOOKUP(Z200,'BD LUB'!$A$2:$L$223,5,FALSE)/VLOOKUP(Z200,'BD LUB'!$A$2:$L$223,7,FALSE))+(VLOOKUP(Z200,'BD LUB'!$A$2:$L$223,6,FALSE)/VLOOKUP(Z200,'BD LUB'!$A$2:$L$223,8,FALSE))</f>
        <v>#N/A</v>
      </c>
      <c r="AB200" s="78" t="str">
        <f>IF(AND(VLOOKUP(Z200,'BD LUB'!$A$2:$L$223,11,FALSE)="PASADO",VLOOKUP(Z200,'BD LUB'!$A$2:$L$223,12,FALSE)="PASADO"),1,IF(OR(AND(VLOOKUP(Z200,'BD LUB'!$A$2:$L$223,11,FALSE)="PASADO",VLOOKUP(Z200,'BD LUB'!$A$2:$L$223,12,FALSE)="PRÓXIMO"),AND(VLOOKUP(Z200,'BD LUB'!$A$2:$L$223,11,FALSE)="PRÓXIMO",VLOOKUP(Z200,'BD LUB'!$A$2:$L$223,12,FALSE)="PASADO")),2,IF(OR(AND(VLOOKUP(Z200,'BD LUB'!$A$2:$L$223,11,FALSE)="PASADO",VLOOKUP(Z200,'BD LUB'!$A$2:$L$223,12,FALSE)="VIGENTE"),AND(VLOOKUP(Z200,'BD LUB'!$A$2:$L$223,11,FALSE)="VIGENTE",VLOOKUP(Z200,'BD LUB'!$A$2:$L$223,12,FALSE)="PASADO")),3,IF(AND(VLOOKUP(Z200,'BD LUB'!$A$2:$L$223,11,FALSE)="PRÓXIMO",VLOOKUP(Z200,'BD LUB'!$A$2:$L$223,12,FALSE)="PRÓXIMO"),4,IF(OR(AND(VLOOKUP(Z200,'BD LUB'!$A$2:$L$223,11,FALSE)="PRÓXIMO",VLOOKUP(Z200,'BD LUB'!$A$2:$L$223,12,FALSE)="VIGENTE"),AND(VLOOKUP(Z200,'BD LUB'!$A$2:$L$223,11,FALSE)="VIGENTE",VLOOKUP(Z200,'BD LUB'!$A$2:$L$223,12,FALSE)="PRÓXIMO")),5,IF(AND(VLOOKUP(Z200,'BD LUB'!$A$2:$L$223,11,FALSE)="VIGENTE",VLOOKUP(Z200,'BD LUB'!$A$2:$L$223,12,FALSE)="VIGENTE"),6,"No definido"))))))</f>
        <v>#N/A</v>
      </c>
      <c r="AC200" s="163"/>
      <c r="AD200" s="136" t="str">
        <f>IF(VLOOKUP(AC200,'BD LUB'!$A$2:$C$223,3,FALSE)=$AH$20,AC200&amp;" MED",IF(VLOOKUP(AC200,'BD LUB'!$A$2:$C$223,3,FALSE)=$AH$19,AC200&amp;" MAY",IF(VLOOKUP(AC200,'BD LUB'!$A$2:$C$223,3,FALSE)=$AH$18,AC200&amp;" RN",IF(VLOOKUP(AC200,'BD LUB'!$A$2:$C$223,3,FALSE)=$AH$17,AC200&amp;" COPQUI",IF(VLOOKUP(AC200,'BD LUB'!$A$2:$C$223,3,FALSE)=$AH$16,AC200&amp;" CEJ",IF(VLOOKUP(AC200,'BD LUB'!$A$2:$C$223,3,FALSE)=$AH$15,AC200&amp;" BULT",IF(VLOOKUP(AC200,'BD LUB'!$A$2:$C$223,3,FALSE)=$AH$14,AC200&amp;" COP",IF(VLOOKUP(AC200,'BD LUB'!$A$2:$C$223,3,FALSE)=$AH$13,AC200&amp;" RIO",IF(VLOOKUP(AC200,'BD LUB'!$A$2:$C$223,3,FALSE)=$AH$21,AC200&amp;" APART","Dato no encontrado")))))))))</f>
        <v>#N/A</v>
      </c>
      <c r="AE200" s="160"/>
      <c r="AF200" s="160"/>
      <c r="AG200" s="160"/>
      <c r="AH200" s="160"/>
      <c r="AI200" s="160"/>
      <c r="AJ200" s="160"/>
      <c r="AP200" s="160"/>
      <c r="AV200" s="160"/>
    </row>
    <row r="201">
      <c r="A201" s="158"/>
      <c r="B201" s="126">
        <v>198.0</v>
      </c>
      <c r="C201" s="78">
        <f>IFERROR(__xludf.DUMMYFUNCTION("""COMPUTED_VALUE"""),2390.0)</f>
        <v>2390</v>
      </c>
      <c r="D201" s="156">
        <f>IFERROR(__xludf.DUMMYFUNCTION("""COMPUTED_VALUE"""),46544.0)</f>
        <v>46544</v>
      </c>
      <c r="E201" s="78" t="str">
        <f>IFERROR(__xludf.DUMMYFUNCTION("""COMPUTED_VALUE"""),"MAYORCA")</f>
        <v>MAYORCA</v>
      </c>
      <c r="F201" s="156">
        <f>IFERROR(__xludf.DUMMYFUNCTION("""COMPUTED_VALUE"""),46161.0)</f>
        <v>46161</v>
      </c>
      <c r="G201" s="159">
        <f>IFERROR(__xludf.DUMMYFUNCTION("""COMPUTED_VALUE"""),125.0)</f>
        <v>125</v>
      </c>
      <c r="H201" s="78" t="str">
        <f>IFERROR(__xludf.DUMMYFUNCTION("""COMPUTED_VALUE"""),"VIGENTE")</f>
        <v>VIGENTE</v>
      </c>
      <c r="I201" s="132" t="str">
        <f t="shared" si="1"/>
        <v>-</v>
      </c>
      <c r="J201" s="158"/>
      <c r="K201" s="126">
        <v>198.0</v>
      </c>
      <c r="L201" s="78">
        <f>IFERROR(__xludf.DUMMYFUNCTION("""COMPUTED_VALUE"""),2678.0)</f>
        <v>2678</v>
      </c>
      <c r="M201" s="156">
        <f>IFERROR(__xludf.DUMMYFUNCTION("""COMPUTED_VALUE"""),46500.0)</f>
        <v>46500</v>
      </c>
      <c r="N201" s="78" t="str">
        <f>IFERROR(__xludf.DUMMYFUNCTION("""COMPUTED_VALUE"""),"MAYORCA")</f>
        <v>MAYORCA</v>
      </c>
      <c r="O201" s="156">
        <f>IFERROR(__xludf.DUMMYFUNCTION("""COMPUTED_VALUE"""),46156.0)</f>
        <v>46156</v>
      </c>
      <c r="P201" s="159">
        <f>IFERROR(__xludf.DUMMYFUNCTION("""COMPUTED_VALUE"""),8628.6)</f>
        <v>8628.6</v>
      </c>
      <c r="Q201" s="78" t="str">
        <f>IFERROR(__xludf.DUMMYFUNCTION("""COMPUTED_VALUE"""),"VIGENTE")</f>
        <v>VIGENTE</v>
      </c>
      <c r="R201" s="132" t="str">
        <f t="shared" si="2"/>
        <v>-</v>
      </c>
      <c r="T201" s="134" t="str">
        <f>CALENDARIO!D213</f>
        <v/>
      </c>
      <c r="U201" s="135" t="str">
        <f>CALENDARIO!C213</f>
        <v/>
      </c>
      <c r="W201" s="128"/>
      <c r="X201" s="136" t="str">
        <f>(VLOOKUP(W201,'BD LUB'!$A$2:$L$223,5,FALSE)/VLOOKUP(W201,'BD LUB'!$A$2:$L$223,7,FALSE))+(VLOOKUP(W201,'BD LUB'!$A$2:$L$223,6,FALSE)/VLOOKUP(W201,'BD LUB'!$A$2:$L$223,8,FALSE))</f>
        <v>#N/A</v>
      </c>
      <c r="Y201" s="161" t="str">
        <f>IF(AND(VLOOKUP(W201,'BD LUB'!$A$2:$L$223,11,FALSE)="PASADO",VLOOKUP(W201,'BD LUB'!$A$2:$L$223,12,FALSE)="PASADO"),1,IF(OR(AND(VLOOKUP(W201,'BD LUB'!$A$2:$L$223,11,FALSE)="PASADO",VLOOKUP(W201,'BD LUB'!$A$2:$L$223,12,FALSE)="PRÓXIMO"),AND(VLOOKUP(W201,'BD LUB'!$A$2:$L$223,11,FALSE)="PRÓXIMO",VLOOKUP(W201,'BD LUB'!$A$2:$L$223,12,FALSE)="PASADO")),2,IF(OR(AND(VLOOKUP(W201,'BD LUB'!$A$2:$L$223,11,FALSE)="PASADO",VLOOKUP(W201,'BD LUB'!$A$2:$L$223,12,FALSE)="VIGENTE"),AND(VLOOKUP(W201,'BD LUB'!$A$2:$L$223,11,FALSE)="VIGENTE",VLOOKUP(W201,'BD LUB'!$A$2:$L$223,12,FALSE)="PASADO")),3,IF(AND(VLOOKUP(W201,'BD LUB'!$A$2:$L$223,11,FALSE)="PRÓXIMO",VLOOKUP(W201,'BD LUB'!$A$2:$L$223,12,FALSE)="PRÓXIMO"),4,IF(OR(AND(VLOOKUP(W201,'BD LUB'!$A$2:$L$223,11,FALSE)="PRÓXIMO",VLOOKUP(W201,'BD LUB'!$A$2:$L$223,12,FALSE)="VIGENTE"),AND(VLOOKUP(W201,'BD LUB'!$A$2:$L$223,11,FALSE)="VIGENTE",VLOOKUP(W201,'BD LUB'!$A$2:$L$223,12,FALSE)="PRÓXIMO")),5,IF(AND(VLOOKUP(W201,'BD LUB'!$A$2:$L$223,11,FALSE)="VIGENTE",VLOOKUP(W201,'BD LUB'!$A$2:$L$223,12,FALSE)="VIGENTE"),6,"No definido"))))))</f>
        <v>#N/A</v>
      </c>
      <c r="Z201" s="163"/>
      <c r="AA201" s="139" t="str">
        <f>(VLOOKUP(Z201,'BD LUB'!$A$2:$L$223,5,FALSE)/VLOOKUP(Z201,'BD LUB'!$A$2:$L$223,7,FALSE))+(VLOOKUP(Z201,'BD LUB'!$A$2:$L$223,6,FALSE)/VLOOKUP(Z201,'BD LUB'!$A$2:$L$223,8,FALSE))</f>
        <v>#N/A</v>
      </c>
      <c r="AB201" s="78" t="str">
        <f>IF(AND(VLOOKUP(Z201,'BD LUB'!$A$2:$L$223,11,FALSE)="PASADO",VLOOKUP(Z201,'BD LUB'!$A$2:$L$223,12,FALSE)="PASADO"),1,IF(OR(AND(VLOOKUP(Z201,'BD LUB'!$A$2:$L$223,11,FALSE)="PASADO",VLOOKUP(Z201,'BD LUB'!$A$2:$L$223,12,FALSE)="PRÓXIMO"),AND(VLOOKUP(Z201,'BD LUB'!$A$2:$L$223,11,FALSE)="PRÓXIMO",VLOOKUP(Z201,'BD LUB'!$A$2:$L$223,12,FALSE)="PASADO")),2,IF(OR(AND(VLOOKUP(Z201,'BD LUB'!$A$2:$L$223,11,FALSE)="PASADO",VLOOKUP(Z201,'BD LUB'!$A$2:$L$223,12,FALSE)="VIGENTE"),AND(VLOOKUP(Z201,'BD LUB'!$A$2:$L$223,11,FALSE)="VIGENTE",VLOOKUP(Z201,'BD LUB'!$A$2:$L$223,12,FALSE)="PASADO")),3,IF(AND(VLOOKUP(Z201,'BD LUB'!$A$2:$L$223,11,FALSE)="PRÓXIMO",VLOOKUP(Z201,'BD LUB'!$A$2:$L$223,12,FALSE)="PRÓXIMO"),4,IF(OR(AND(VLOOKUP(Z201,'BD LUB'!$A$2:$L$223,11,FALSE)="PRÓXIMO",VLOOKUP(Z201,'BD LUB'!$A$2:$L$223,12,FALSE)="VIGENTE"),AND(VLOOKUP(Z201,'BD LUB'!$A$2:$L$223,11,FALSE)="VIGENTE",VLOOKUP(Z201,'BD LUB'!$A$2:$L$223,12,FALSE)="PRÓXIMO")),5,IF(AND(VLOOKUP(Z201,'BD LUB'!$A$2:$L$223,11,FALSE)="VIGENTE",VLOOKUP(Z201,'BD LUB'!$A$2:$L$223,12,FALSE)="VIGENTE"),6,"No definido"))))))</f>
        <v>#N/A</v>
      </c>
      <c r="AC201" s="163"/>
      <c r="AD201" s="136" t="str">
        <f>IF(VLOOKUP(AC201,'BD LUB'!$A$2:$C$223,3,FALSE)=$AH$20,AC201&amp;" MED",IF(VLOOKUP(AC201,'BD LUB'!$A$2:$C$223,3,FALSE)=$AH$19,AC201&amp;" MAY",IF(VLOOKUP(AC201,'BD LUB'!$A$2:$C$223,3,FALSE)=$AH$18,AC201&amp;" RN",IF(VLOOKUP(AC201,'BD LUB'!$A$2:$C$223,3,FALSE)=$AH$17,AC201&amp;" COPQUI",IF(VLOOKUP(AC201,'BD LUB'!$A$2:$C$223,3,FALSE)=$AH$16,AC201&amp;" CEJ",IF(VLOOKUP(AC201,'BD LUB'!$A$2:$C$223,3,FALSE)=$AH$15,AC201&amp;" BULT",IF(VLOOKUP(AC201,'BD LUB'!$A$2:$C$223,3,FALSE)=$AH$14,AC201&amp;" COP",IF(VLOOKUP(AC201,'BD LUB'!$A$2:$C$223,3,FALSE)=$AH$13,AC201&amp;" RIO",IF(VLOOKUP(AC201,'BD LUB'!$A$2:$C$223,3,FALSE)=$AH$21,AC201&amp;" APART","Dato no encontrado")))))))))</f>
        <v>#N/A</v>
      </c>
      <c r="AE201" s="160"/>
      <c r="AF201" s="160"/>
      <c r="AG201" s="160"/>
      <c r="AH201" s="160"/>
      <c r="AI201" s="160"/>
      <c r="AJ201" s="160"/>
      <c r="AP201" s="160"/>
      <c r="AV201" s="160"/>
    </row>
    <row r="202">
      <c r="A202" s="158"/>
      <c r="B202" s="126">
        <v>199.0</v>
      </c>
      <c r="C202" s="78">
        <f>IFERROR(__xludf.DUMMYFUNCTION("""COMPUTED_VALUE"""),2388.0)</f>
        <v>2388</v>
      </c>
      <c r="D202" s="156">
        <f>IFERROR(__xludf.DUMMYFUNCTION("""COMPUTED_VALUE"""),46466.0)</f>
        <v>46466</v>
      </c>
      <c r="E202" s="78" t="str">
        <f>IFERROR(__xludf.DUMMYFUNCTION("""COMPUTED_VALUE"""),"02-Medellin")</f>
        <v>02-Medellin</v>
      </c>
      <c r="F202" s="156">
        <f>IFERROR(__xludf.DUMMYFUNCTION("""COMPUTED_VALUE"""),46161.0)</f>
        <v>46161</v>
      </c>
      <c r="G202" s="159">
        <f>IFERROR(__xludf.DUMMYFUNCTION("""COMPUTED_VALUE"""),125.0)</f>
        <v>125</v>
      </c>
      <c r="H202" s="78" t="str">
        <f>IFERROR(__xludf.DUMMYFUNCTION("""COMPUTED_VALUE"""),"VIGENTE")</f>
        <v>VIGENTE</v>
      </c>
      <c r="I202" s="132" t="str">
        <f t="shared" si="1"/>
        <v>-</v>
      </c>
      <c r="J202" s="158"/>
      <c r="K202" s="126">
        <v>199.0</v>
      </c>
      <c r="L202" s="78">
        <f>IFERROR(__xludf.DUMMYFUNCTION("""COMPUTED_VALUE"""),2385.0)</f>
        <v>2385</v>
      </c>
      <c r="M202" s="156">
        <f>IFERROR(__xludf.DUMMYFUNCTION("""COMPUTED_VALUE"""),46463.0)</f>
        <v>46463</v>
      </c>
      <c r="N202" s="78" t="str">
        <f>IFERROR(__xludf.DUMMYFUNCTION("""COMPUTED_VALUE"""),"02-Medellin")</f>
        <v>02-Medellin</v>
      </c>
      <c r="O202" s="156">
        <f>IFERROR(__xludf.DUMMYFUNCTION("""COMPUTED_VALUE"""),46139.0)</f>
        <v>46139</v>
      </c>
      <c r="P202" s="159">
        <f>IFERROR(__xludf.DUMMYFUNCTION("""COMPUTED_VALUE"""),8681.8)</f>
        <v>8681.8</v>
      </c>
      <c r="Q202" s="78" t="str">
        <f>IFERROR(__xludf.DUMMYFUNCTION("""COMPUTED_VALUE"""),"VIGENTE")</f>
        <v>VIGENTE</v>
      </c>
      <c r="R202" s="132" t="str">
        <f t="shared" si="2"/>
        <v>-</v>
      </c>
      <c r="T202" s="134" t="str">
        <f>CALENDARIO!D214</f>
        <v/>
      </c>
      <c r="U202" s="135" t="str">
        <f>CALENDARIO!C214</f>
        <v/>
      </c>
      <c r="W202" s="128"/>
      <c r="X202" s="136" t="str">
        <f>(VLOOKUP(W202,'BD LUB'!$A$2:$L$223,5,FALSE)/VLOOKUP(W202,'BD LUB'!$A$2:$L$223,7,FALSE))+(VLOOKUP(W202,'BD LUB'!$A$2:$L$223,6,FALSE)/VLOOKUP(W202,'BD LUB'!$A$2:$L$223,8,FALSE))</f>
        <v>#N/A</v>
      </c>
      <c r="Y202" s="161" t="str">
        <f>IF(AND(VLOOKUP(W202,'BD LUB'!$A$2:$L$223,11,FALSE)="PASADO",VLOOKUP(W202,'BD LUB'!$A$2:$L$223,12,FALSE)="PASADO"),1,IF(OR(AND(VLOOKUP(W202,'BD LUB'!$A$2:$L$223,11,FALSE)="PASADO",VLOOKUP(W202,'BD LUB'!$A$2:$L$223,12,FALSE)="PRÓXIMO"),AND(VLOOKUP(W202,'BD LUB'!$A$2:$L$223,11,FALSE)="PRÓXIMO",VLOOKUP(W202,'BD LUB'!$A$2:$L$223,12,FALSE)="PASADO")),2,IF(OR(AND(VLOOKUP(W202,'BD LUB'!$A$2:$L$223,11,FALSE)="PASADO",VLOOKUP(W202,'BD LUB'!$A$2:$L$223,12,FALSE)="VIGENTE"),AND(VLOOKUP(W202,'BD LUB'!$A$2:$L$223,11,FALSE)="VIGENTE",VLOOKUP(W202,'BD LUB'!$A$2:$L$223,12,FALSE)="PASADO")),3,IF(AND(VLOOKUP(W202,'BD LUB'!$A$2:$L$223,11,FALSE)="PRÓXIMO",VLOOKUP(W202,'BD LUB'!$A$2:$L$223,12,FALSE)="PRÓXIMO"),4,IF(OR(AND(VLOOKUP(W202,'BD LUB'!$A$2:$L$223,11,FALSE)="PRÓXIMO",VLOOKUP(W202,'BD LUB'!$A$2:$L$223,12,FALSE)="VIGENTE"),AND(VLOOKUP(W202,'BD LUB'!$A$2:$L$223,11,FALSE)="VIGENTE",VLOOKUP(W202,'BD LUB'!$A$2:$L$223,12,FALSE)="PRÓXIMO")),5,IF(AND(VLOOKUP(W202,'BD LUB'!$A$2:$L$223,11,FALSE)="VIGENTE",VLOOKUP(W202,'BD LUB'!$A$2:$L$223,12,FALSE)="VIGENTE"),6,"No definido"))))))</f>
        <v>#N/A</v>
      </c>
      <c r="Z202" s="163"/>
      <c r="AA202" s="139" t="str">
        <f>(VLOOKUP(Z202,'BD LUB'!$A$2:$L$223,5,FALSE)/VLOOKUP(Z202,'BD LUB'!$A$2:$L$223,7,FALSE))+(VLOOKUP(Z202,'BD LUB'!$A$2:$L$223,6,FALSE)/VLOOKUP(Z202,'BD LUB'!$A$2:$L$223,8,FALSE))</f>
        <v>#N/A</v>
      </c>
      <c r="AB202" s="78" t="str">
        <f>IF(AND(VLOOKUP(Z202,'BD LUB'!$A$2:$L$223,11,FALSE)="PASADO",VLOOKUP(Z202,'BD LUB'!$A$2:$L$223,12,FALSE)="PASADO"),1,IF(OR(AND(VLOOKUP(Z202,'BD LUB'!$A$2:$L$223,11,FALSE)="PASADO",VLOOKUP(Z202,'BD LUB'!$A$2:$L$223,12,FALSE)="PRÓXIMO"),AND(VLOOKUP(Z202,'BD LUB'!$A$2:$L$223,11,FALSE)="PRÓXIMO",VLOOKUP(Z202,'BD LUB'!$A$2:$L$223,12,FALSE)="PASADO")),2,IF(OR(AND(VLOOKUP(Z202,'BD LUB'!$A$2:$L$223,11,FALSE)="PASADO",VLOOKUP(Z202,'BD LUB'!$A$2:$L$223,12,FALSE)="VIGENTE"),AND(VLOOKUP(Z202,'BD LUB'!$A$2:$L$223,11,FALSE)="VIGENTE",VLOOKUP(Z202,'BD LUB'!$A$2:$L$223,12,FALSE)="PASADO")),3,IF(AND(VLOOKUP(Z202,'BD LUB'!$A$2:$L$223,11,FALSE)="PRÓXIMO",VLOOKUP(Z202,'BD LUB'!$A$2:$L$223,12,FALSE)="PRÓXIMO"),4,IF(OR(AND(VLOOKUP(Z202,'BD LUB'!$A$2:$L$223,11,FALSE)="PRÓXIMO",VLOOKUP(Z202,'BD LUB'!$A$2:$L$223,12,FALSE)="VIGENTE"),AND(VLOOKUP(Z202,'BD LUB'!$A$2:$L$223,11,FALSE)="VIGENTE",VLOOKUP(Z202,'BD LUB'!$A$2:$L$223,12,FALSE)="PRÓXIMO")),5,IF(AND(VLOOKUP(Z202,'BD LUB'!$A$2:$L$223,11,FALSE)="VIGENTE",VLOOKUP(Z202,'BD LUB'!$A$2:$L$223,12,FALSE)="VIGENTE"),6,"No definido"))))))</f>
        <v>#N/A</v>
      </c>
      <c r="AC202" s="163"/>
      <c r="AD202" s="136" t="str">
        <f>IF(VLOOKUP(AC202,'BD LUB'!$A$2:$C$223,3,FALSE)=$AH$20,AC202&amp;" MED",IF(VLOOKUP(AC202,'BD LUB'!$A$2:$C$223,3,FALSE)=$AH$19,AC202&amp;" MAY",IF(VLOOKUP(AC202,'BD LUB'!$A$2:$C$223,3,FALSE)=$AH$18,AC202&amp;" RN",IF(VLOOKUP(AC202,'BD LUB'!$A$2:$C$223,3,FALSE)=$AH$17,AC202&amp;" COPQUI",IF(VLOOKUP(AC202,'BD LUB'!$A$2:$C$223,3,FALSE)=$AH$16,AC202&amp;" CEJ",IF(VLOOKUP(AC202,'BD LUB'!$A$2:$C$223,3,FALSE)=$AH$15,AC202&amp;" BULT",IF(VLOOKUP(AC202,'BD LUB'!$A$2:$C$223,3,FALSE)=$AH$14,AC202&amp;" COP",IF(VLOOKUP(AC202,'BD LUB'!$A$2:$C$223,3,FALSE)=$AH$13,AC202&amp;" RIO",IF(VLOOKUP(AC202,'BD LUB'!$A$2:$C$223,3,FALSE)=$AH$21,AC202&amp;" APART","Dato no encontrado")))))))))</f>
        <v>#N/A</v>
      </c>
      <c r="AE202" s="160"/>
      <c r="AF202" s="160"/>
      <c r="AG202" s="160"/>
      <c r="AH202" s="160"/>
      <c r="AI202" s="160"/>
      <c r="AJ202" s="160"/>
      <c r="AP202" s="160"/>
      <c r="AV202" s="160"/>
    </row>
    <row r="203">
      <c r="A203" s="158"/>
      <c r="B203" s="126">
        <v>200.0</v>
      </c>
      <c r="C203" s="78">
        <f>IFERROR(__xludf.DUMMYFUNCTION("""COMPUTED_VALUE"""),2374.0)</f>
        <v>2374</v>
      </c>
      <c r="D203" s="156">
        <f>IFERROR(__xludf.DUMMYFUNCTION("""COMPUTED_VALUE"""),46460.0)</f>
        <v>46460</v>
      </c>
      <c r="E203" s="78" t="str">
        <f>IFERROR(__xludf.DUMMYFUNCTION("""COMPUTED_VALUE"""),"02-Medellin")</f>
        <v>02-Medellin</v>
      </c>
      <c r="F203" s="156">
        <f>IFERROR(__xludf.DUMMYFUNCTION("""COMPUTED_VALUE"""),46161.0)</f>
        <v>46161</v>
      </c>
      <c r="G203" s="159">
        <f>IFERROR(__xludf.DUMMYFUNCTION("""COMPUTED_VALUE"""),125.0)</f>
        <v>125</v>
      </c>
      <c r="H203" s="78" t="str">
        <f>IFERROR(__xludf.DUMMYFUNCTION("""COMPUTED_VALUE"""),"VIGENTE")</f>
        <v>VIGENTE</v>
      </c>
      <c r="I203" s="132" t="str">
        <f t="shared" si="1"/>
        <v>-</v>
      </c>
      <c r="J203" s="158"/>
      <c r="K203" s="126">
        <v>200.0</v>
      </c>
      <c r="L203" s="78">
        <f>IFERROR(__xludf.DUMMYFUNCTION("""COMPUTED_VALUE"""),2573.0)</f>
        <v>2573</v>
      </c>
      <c r="M203" s="156">
        <f>IFERROR(__xludf.DUMMYFUNCTION("""COMPUTED_VALUE"""),46239.0)</f>
        <v>46239</v>
      </c>
      <c r="N203" s="78" t="str">
        <f>IFERROR(__xludf.DUMMYFUNCTION("""COMPUTED_VALUE"""),"02-Medellin")</f>
        <v>02-Medellin</v>
      </c>
      <c r="O203" s="156">
        <f>IFERROR(__xludf.DUMMYFUNCTION("""COMPUTED_VALUE"""),46141.0)</f>
        <v>46141</v>
      </c>
      <c r="P203" s="159">
        <f>IFERROR(__xludf.DUMMYFUNCTION("""COMPUTED_VALUE"""),8685.0)</f>
        <v>8685</v>
      </c>
      <c r="Q203" s="78" t="str">
        <f>IFERROR(__xludf.DUMMYFUNCTION("""COMPUTED_VALUE"""),"VIGENTE")</f>
        <v>VIGENTE</v>
      </c>
      <c r="R203" s="132" t="str">
        <f t="shared" si="2"/>
        <v>-</v>
      </c>
      <c r="T203" s="134" t="str">
        <f>CALENDARIO!D215</f>
        <v/>
      </c>
      <c r="U203" s="135" t="str">
        <f>CALENDARIO!C215</f>
        <v/>
      </c>
      <c r="W203" s="128"/>
      <c r="X203" s="136" t="str">
        <f>(VLOOKUP(W203,'BD LUB'!$A$2:$L$223,5,FALSE)/VLOOKUP(W203,'BD LUB'!$A$2:$L$223,7,FALSE))+(VLOOKUP(W203,'BD LUB'!$A$2:$L$223,6,FALSE)/VLOOKUP(W203,'BD LUB'!$A$2:$L$223,8,FALSE))</f>
        <v>#N/A</v>
      </c>
      <c r="Y203" s="161" t="str">
        <f>IF(AND(VLOOKUP(W203,'BD LUB'!$A$2:$L$223,11,FALSE)="PASADO",VLOOKUP(W203,'BD LUB'!$A$2:$L$223,12,FALSE)="PASADO"),1,IF(OR(AND(VLOOKUP(W203,'BD LUB'!$A$2:$L$223,11,FALSE)="PASADO",VLOOKUP(W203,'BD LUB'!$A$2:$L$223,12,FALSE)="PRÓXIMO"),AND(VLOOKUP(W203,'BD LUB'!$A$2:$L$223,11,FALSE)="PRÓXIMO",VLOOKUP(W203,'BD LUB'!$A$2:$L$223,12,FALSE)="PASADO")),2,IF(OR(AND(VLOOKUP(W203,'BD LUB'!$A$2:$L$223,11,FALSE)="PASADO",VLOOKUP(W203,'BD LUB'!$A$2:$L$223,12,FALSE)="VIGENTE"),AND(VLOOKUP(W203,'BD LUB'!$A$2:$L$223,11,FALSE)="VIGENTE",VLOOKUP(W203,'BD LUB'!$A$2:$L$223,12,FALSE)="PASADO")),3,IF(AND(VLOOKUP(W203,'BD LUB'!$A$2:$L$223,11,FALSE)="PRÓXIMO",VLOOKUP(W203,'BD LUB'!$A$2:$L$223,12,FALSE)="PRÓXIMO"),4,IF(OR(AND(VLOOKUP(W203,'BD LUB'!$A$2:$L$223,11,FALSE)="PRÓXIMO",VLOOKUP(W203,'BD LUB'!$A$2:$L$223,12,FALSE)="VIGENTE"),AND(VLOOKUP(W203,'BD LUB'!$A$2:$L$223,11,FALSE)="VIGENTE",VLOOKUP(W203,'BD LUB'!$A$2:$L$223,12,FALSE)="PRÓXIMO")),5,IF(AND(VLOOKUP(W203,'BD LUB'!$A$2:$L$223,11,FALSE)="VIGENTE",VLOOKUP(W203,'BD LUB'!$A$2:$L$223,12,FALSE)="VIGENTE"),6,"No definido"))))))</f>
        <v>#N/A</v>
      </c>
      <c r="Z203" s="163"/>
      <c r="AA203" s="139" t="str">
        <f>(VLOOKUP(Z203,'BD LUB'!$A$2:$L$223,5,FALSE)/VLOOKUP(Z203,'BD LUB'!$A$2:$L$223,7,FALSE))+(VLOOKUP(Z203,'BD LUB'!$A$2:$L$223,6,FALSE)/VLOOKUP(Z203,'BD LUB'!$A$2:$L$223,8,FALSE))</f>
        <v>#N/A</v>
      </c>
      <c r="AB203" s="78" t="str">
        <f>IF(AND(VLOOKUP(Z203,'BD LUB'!$A$2:$L$223,11,FALSE)="PASADO",VLOOKUP(Z203,'BD LUB'!$A$2:$L$223,12,FALSE)="PASADO"),1,IF(OR(AND(VLOOKUP(Z203,'BD LUB'!$A$2:$L$223,11,FALSE)="PASADO",VLOOKUP(Z203,'BD LUB'!$A$2:$L$223,12,FALSE)="PRÓXIMO"),AND(VLOOKUP(Z203,'BD LUB'!$A$2:$L$223,11,FALSE)="PRÓXIMO",VLOOKUP(Z203,'BD LUB'!$A$2:$L$223,12,FALSE)="PASADO")),2,IF(OR(AND(VLOOKUP(Z203,'BD LUB'!$A$2:$L$223,11,FALSE)="PASADO",VLOOKUP(Z203,'BD LUB'!$A$2:$L$223,12,FALSE)="VIGENTE"),AND(VLOOKUP(Z203,'BD LUB'!$A$2:$L$223,11,FALSE)="VIGENTE",VLOOKUP(Z203,'BD LUB'!$A$2:$L$223,12,FALSE)="PASADO")),3,IF(AND(VLOOKUP(Z203,'BD LUB'!$A$2:$L$223,11,FALSE)="PRÓXIMO",VLOOKUP(Z203,'BD LUB'!$A$2:$L$223,12,FALSE)="PRÓXIMO"),4,IF(OR(AND(VLOOKUP(Z203,'BD LUB'!$A$2:$L$223,11,FALSE)="PRÓXIMO",VLOOKUP(Z203,'BD LUB'!$A$2:$L$223,12,FALSE)="VIGENTE"),AND(VLOOKUP(Z203,'BD LUB'!$A$2:$L$223,11,FALSE)="VIGENTE",VLOOKUP(Z203,'BD LUB'!$A$2:$L$223,12,FALSE)="PRÓXIMO")),5,IF(AND(VLOOKUP(Z203,'BD LUB'!$A$2:$L$223,11,FALSE)="VIGENTE",VLOOKUP(Z203,'BD LUB'!$A$2:$L$223,12,FALSE)="VIGENTE"),6,"No definido"))))))</f>
        <v>#N/A</v>
      </c>
      <c r="AC203" s="163"/>
      <c r="AD203" s="136" t="str">
        <f>IF(VLOOKUP(AC203,'BD LUB'!$A$2:$C$223,3,FALSE)=$AH$20,AC203&amp;" MED",IF(VLOOKUP(AC203,'BD LUB'!$A$2:$C$223,3,FALSE)=$AH$19,AC203&amp;" MAY",IF(VLOOKUP(AC203,'BD LUB'!$A$2:$C$223,3,FALSE)=$AH$18,AC203&amp;" RN",IF(VLOOKUP(AC203,'BD LUB'!$A$2:$C$223,3,FALSE)=$AH$17,AC203&amp;" COPQUI",IF(VLOOKUP(AC203,'BD LUB'!$A$2:$C$223,3,FALSE)=$AH$16,AC203&amp;" CEJ",IF(VLOOKUP(AC203,'BD LUB'!$A$2:$C$223,3,FALSE)=$AH$15,AC203&amp;" BULT",IF(VLOOKUP(AC203,'BD LUB'!$A$2:$C$223,3,FALSE)=$AH$14,AC203&amp;" COP",IF(VLOOKUP(AC203,'BD LUB'!$A$2:$C$223,3,FALSE)=$AH$13,AC203&amp;" RIO",IF(VLOOKUP(AC203,'BD LUB'!$A$2:$C$223,3,FALSE)=$AH$21,AC203&amp;" APART","Dato no encontrado")))))))))</f>
        <v>#N/A</v>
      </c>
      <c r="AE203" s="160"/>
      <c r="AF203" s="160"/>
      <c r="AG203" s="160"/>
      <c r="AH203" s="160"/>
      <c r="AI203" s="160"/>
      <c r="AJ203" s="160"/>
      <c r="AP203" s="160"/>
      <c r="AV203" s="160"/>
    </row>
    <row r="204">
      <c r="A204" s="158"/>
      <c r="B204" s="126">
        <v>201.0</v>
      </c>
      <c r="C204" s="78">
        <f>IFERROR(__xludf.DUMMYFUNCTION("""COMPUTED_VALUE"""),2360.0)</f>
        <v>2360</v>
      </c>
      <c r="D204" s="156">
        <f>IFERROR(__xludf.DUMMYFUNCTION("""COMPUTED_VALUE"""),46445.0)</f>
        <v>46445</v>
      </c>
      <c r="E204" s="78" t="str">
        <f>IFERROR(__xludf.DUMMYFUNCTION("""COMPUTED_VALUE"""),"02-Medellin")</f>
        <v>02-Medellin</v>
      </c>
      <c r="F204" s="156">
        <f>IFERROR(__xludf.DUMMYFUNCTION("""COMPUTED_VALUE"""),46161.0)</f>
        <v>46161</v>
      </c>
      <c r="G204" s="159">
        <f>IFERROR(__xludf.DUMMYFUNCTION("""COMPUTED_VALUE"""),125.0)</f>
        <v>125</v>
      </c>
      <c r="H204" s="78" t="str">
        <f>IFERROR(__xludf.DUMMYFUNCTION("""COMPUTED_VALUE"""),"VIGENTE")</f>
        <v>VIGENTE</v>
      </c>
      <c r="I204" s="132" t="str">
        <f t="shared" si="1"/>
        <v>-</v>
      </c>
      <c r="J204" s="158"/>
      <c r="K204" s="126">
        <v>201.0</v>
      </c>
      <c r="L204" s="78">
        <f>IFERROR(__xludf.DUMMYFUNCTION("""COMPUTED_VALUE"""),2466.0)</f>
        <v>2466</v>
      </c>
      <c r="M204" s="156">
        <f>IFERROR(__xludf.DUMMYFUNCTION("""COMPUTED_VALUE"""),46297.0)</f>
        <v>46297</v>
      </c>
      <c r="N204" s="78" t="str">
        <f>IFERROR(__xludf.DUMMYFUNCTION("""COMPUTED_VALUE"""),"02-Medellin")</f>
        <v>02-Medellin</v>
      </c>
      <c r="O204" s="156">
        <f>IFERROR(__xludf.DUMMYFUNCTION("""COMPUTED_VALUE"""),46163.0)</f>
        <v>46163</v>
      </c>
      <c r="P204" s="159">
        <f>IFERROR(__xludf.DUMMYFUNCTION("""COMPUTED_VALUE"""),8756.4)</f>
        <v>8756.4</v>
      </c>
      <c r="Q204" s="78" t="str">
        <f>IFERROR(__xludf.DUMMYFUNCTION("""COMPUTED_VALUE"""),"VIGENTE")</f>
        <v>VIGENTE</v>
      </c>
      <c r="R204" s="132" t="str">
        <f t="shared" si="2"/>
        <v>-</v>
      </c>
      <c r="T204" s="134" t="str">
        <f>CALENDARIO!D216</f>
        <v/>
      </c>
      <c r="U204" s="135" t="str">
        <f>CALENDARIO!C216</f>
        <v/>
      </c>
      <c r="W204" s="128"/>
      <c r="X204" s="136" t="str">
        <f>(VLOOKUP(W204,'BD LUB'!$A$2:$L$223,5,FALSE)/VLOOKUP(W204,'BD LUB'!$A$2:$L$223,7,FALSE))+(VLOOKUP(W204,'BD LUB'!$A$2:$L$223,6,FALSE)/VLOOKUP(W204,'BD LUB'!$A$2:$L$223,8,FALSE))</f>
        <v>#N/A</v>
      </c>
      <c r="Y204" s="161" t="str">
        <f>IF(AND(VLOOKUP(W204,'BD LUB'!$A$2:$L$223,11,FALSE)="PASADO",VLOOKUP(W204,'BD LUB'!$A$2:$L$223,12,FALSE)="PASADO"),1,IF(OR(AND(VLOOKUP(W204,'BD LUB'!$A$2:$L$223,11,FALSE)="PASADO",VLOOKUP(W204,'BD LUB'!$A$2:$L$223,12,FALSE)="PRÓXIMO"),AND(VLOOKUP(W204,'BD LUB'!$A$2:$L$223,11,FALSE)="PRÓXIMO",VLOOKUP(W204,'BD LUB'!$A$2:$L$223,12,FALSE)="PASADO")),2,IF(OR(AND(VLOOKUP(W204,'BD LUB'!$A$2:$L$223,11,FALSE)="PASADO",VLOOKUP(W204,'BD LUB'!$A$2:$L$223,12,FALSE)="VIGENTE"),AND(VLOOKUP(W204,'BD LUB'!$A$2:$L$223,11,FALSE)="VIGENTE",VLOOKUP(W204,'BD LUB'!$A$2:$L$223,12,FALSE)="PASADO")),3,IF(AND(VLOOKUP(W204,'BD LUB'!$A$2:$L$223,11,FALSE)="PRÓXIMO",VLOOKUP(W204,'BD LUB'!$A$2:$L$223,12,FALSE)="PRÓXIMO"),4,IF(OR(AND(VLOOKUP(W204,'BD LUB'!$A$2:$L$223,11,FALSE)="PRÓXIMO",VLOOKUP(W204,'BD LUB'!$A$2:$L$223,12,FALSE)="VIGENTE"),AND(VLOOKUP(W204,'BD LUB'!$A$2:$L$223,11,FALSE)="VIGENTE",VLOOKUP(W204,'BD LUB'!$A$2:$L$223,12,FALSE)="PRÓXIMO")),5,IF(AND(VLOOKUP(W204,'BD LUB'!$A$2:$L$223,11,FALSE)="VIGENTE",VLOOKUP(W204,'BD LUB'!$A$2:$L$223,12,FALSE)="VIGENTE"),6,"No definido"))))))</f>
        <v>#N/A</v>
      </c>
      <c r="Z204" s="163"/>
      <c r="AA204" s="139" t="str">
        <f>(VLOOKUP(Z204,'BD LUB'!$A$2:$L$223,5,FALSE)/VLOOKUP(Z204,'BD LUB'!$A$2:$L$223,7,FALSE))+(VLOOKUP(Z204,'BD LUB'!$A$2:$L$223,6,FALSE)/VLOOKUP(Z204,'BD LUB'!$A$2:$L$223,8,FALSE))</f>
        <v>#N/A</v>
      </c>
      <c r="AB204" s="78" t="str">
        <f>IF(AND(VLOOKUP(Z204,'BD LUB'!$A$2:$L$223,11,FALSE)="PASADO",VLOOKUP(Z204,'BD LUB'!$A$2:$L$223,12,FALSE)="PASADO"),1,IF(OR(AND(VLOOKUP(Z204,'BD LUB'!$A$2:$L$223,11,FALSE)="PASADO",VLOOKUP(Z204,'BD LUB'!$A$2:$L$223,12,FALSE)="PRÓXIMO"),AND(VLOOKUP(Z204,'BD LUB'!$A$2:$L$223,11,FALSE)="PRÓXIMO",VLOOKUP(Z204,'BD LUB'!$A$2:$L$223,12,FALSE)="PASADO")),2,IF(OR(AND(VLOOKUP(Z204,'BD LUB'!$A$2:$L$223,11,FALSE)="PASADO",VLOOKUP(Z204,'BD LUB'!$A$2:$L$223,12,FALSE)="VIGENTE"),AND(VLOOKUP(Z204,'BD LUB'!$A$2:$L$223,11,FALSE)="VIGENTE",VLOOKUP(Z204,'BD LUB'!$A$2:$L$223,12,FALSE)="PASADO")),3,IF(AND(VLOOKUP(Z204,'BD LUB'!$A$2:$L$223,11,FALSE)="PRÓXIMO",VLOOKUP(Z204,'BD LUB'!$A$2:$L$223,12,FALSE)="PRÓXIMO"),4,IF(OR(AND(VLOOKUP(Z204,'BD LUB'!$A$2:$L$223,11,FALSE)="PRÓXIMO",VLOOKUP(Z204,'BD LUB'!$A$2:$L$223,12,FALSE)="VIGENTE"),AND(VLOOKUP(Z204,'BD LUB'!$A$2:$L$223,11,FALSE)="VIGENTE",VLOOKUP(Z204,'BD LUB'!$A$2:$L$223,12,FALSE)="PRÓXIMO")),5,IF(AND(VLOOKUP(Z204,'BD LUB'!$A$2:$L$223,11,FALSE)="VIGENTE",VLOOKUP(Z204,'BD LUB'!$A$2:$L$223,12,FALSE)="VIGENTE"),6,"No definido"))))))</f>
        <v>#N/A</v>
      </c>
      <c r="AC204" s="163"/>
      <c r="AD204" s="136" t="str">
        <f>IF(VLOOKUP(AC204,'BD LUB'!$A$2:$C$223,3,FALSE)=$AH$20,AC204&amp;" MED",IF(VLOOKUP(AC204,'BD LUB'!$A$2:$C$223,3,FALSE)=$AH$19,AC204&amp;" MAY",IF(VLOOKUP(AC204,'BD LUB'!$A$2:$C$223,3,FALSE)=$AH$18,AC204&amp;" RN",IF(VLOOKUP(AC204,'BD LUB'!$A$2:$C$223,3,FALSE)=$AH$17,AC204&amp;" COPQUI",IF(VLOOKUP(AC204,'BD LUB'!$A$2:$C$223,3,FALSE)=$AH$16,AC204&amp;" CEJ",IF(VLOOKUP(AC204,'BD LUB'!$A$2:$C$223,3,FALSE)=$AH$15,AC204&amp;" BULT",IF(VLOOKUP(AC204,'BD LUB'!$A$2:$C$223,3,FALSE)=$AH$14,AC204&amp;" COP",IF(VLOOKUP(AC204,'BD LUB'!$A$2:$C$223,3,FALSE)=$AH$13,AC204&amp;" RIO",IF(VLOOKUP(AC204,'BD LUB'!$A$2:$C$223,3,FALSE)=$AH$21,AC204&amp;" APART","Dato no encontrado")))))))))</f>
        <v>#N/A</v>
      </c>
      <c r="AE204" s="160"/>
      <c r="AF204" s="160"/>
      <c r="AG204" s="160"/>
      <c r="AH204" s="160"/>
      <c r="AI204" s="160"/>
      <c r="AJ204" s="160"/>
      <c r="AP204" s="160"/>
      <c r="AV204" s="160"/>
    </row>
    <row r="205">
      <c r="A205" s="158"/>
      <c r="B205" s="126">
        <v>202.0</v>
      </c>
      <c r="C205" s="78">
        <f>IFERROR(__xludf.DUMMYFUNCTION("""COMPUTED_VALUE"""),1798.0)</f>
        <v>1798</v>
      </c>
      <c r="D205" s="156">
        <f>IFERROR(__xludf.DUMMYFUNCTION("""COMPUTED_VALUE"""),46565.0)</f>
        <v>46565</v>
      </c>
      <c r="E205" s="78" t="str">
        <f>IFERROR(__xludf.DUMMYFUNCTION("""COMPUTED_VALUE"""),"02-Medellin")</f>
        <v>02-Medellin</v>
      </c>
      <c r="F205" s="156">
        <f>IFERROR(__xludf.DUMMYFUNCTION("""COMPUTED_VALUE"""),46161.0)</f>
        <v>46161</v>
      </c>
      <c r="G205" s="159">
        <f>IFERROR(__xludf.DUMMYFUNCTION("""COMPUTED_VALUE"""),125.0)</f>
        <v>125</v>
      </c>
      <c r="H205" s="78" t="str">
        <f>IFERROR(__xludf.DUMMYFUNCTION("""COMPUTED_VALUE"""),"VIGENTE")</f>
        <v>VIGENTE</v>
      </c>
      <c r="I205" s="132" t="str">
        <f t="shared" si="1"/>
        <v>-</v>
      </c>
      <c r="J205" s="158"/>
      <c r="K205" s="126">
        <v>202.0</v>
      </c>
      <c r="L205" s="78">
        <f>IFERROR(__xludf.DUMMYFUNCTION("""COMPUTED_VALUE"""),2628.0)</f>
        <v>2628</v>
      </c>
      <c r="M205" s="156">
        <f>IFERROR(__xludf.DUMMYFUNCTION("""COMPUTED_VALUE"""),46269.0)</f>
        <v>46269</v>
      </c>
      <c r="N205" s="78" t="str">
        <f>IFERROR(__xludf.DUMMYFUNCTION("""COMPUTED_VALUE"""),"38-La ceja")</f>
        <v>38-La ceja</v>
      </c>
      <c r="O205" s="156">
        <f>IFERROR(__xludf.DUMMYFUNCTION("""COMPUTED_VALUE"""),46070.0)</f>
        <v>46070</v>
      </c>
      <c r="P205" s="159">
        <f>IFERROR(__xludf.DUMMYFUNCTION("""COMPUTED_VALUE"""),8757.7)</f>
        <v>8757.7</v>
      </c>
      <c r="Q205" s="78" t="str">
        <f>IFERROR(__xludf.DUMMYFUNCTION("""COMPUTED_VALUE"""),"VIGENTE")</f>
        <v>VIGENTE</v>
      </c>
      <c r="R205" s="132" t="str">
        <f t="shared" si="2"/>
        <v>-</v>
      </c>
      <c r="T205" s="134" t="str">
        <f>CALENDARIO!D217</f>
        <v/>
      </c>
      <c r="U205" s="135" t="str">
        <f>CALENDARIO!C217</f>
        <v/>
      </c>
      <c r="W205" s="128"/>
      <c r="X205" s="136" t="str">
        <f>(VLOOKUP(W205,'BD LUB'!$A$2:$L$223,5,FALSE)/VLOOKUP(W205,'BD LUB'!$A$2:$L$223,7,FALSE))+(VLOOKUP(W205,'BD LUB'!$A$2:$L$223,6,FALSE)/VLOOKUP(W205,'BD LUB'!$A$2:$L$223,8,FALSE))</f>
        <v>#N/A</v>
      </c>
      <c r="Y205" s="161" t="str">
        <f>IF(AND(VLOOKUP(W205,'BD LUB'!$A$2:$L$223,11,FALSE)="PASADO",VLOOKUP(W205,'BD LUB'!$A$2:$L$223,12,FALSE)="PASADO"),1,IF(OR(AND(VLOOKUP(W205,'BD LUB'!$A$2:$L$223,11,FALSE)="PASADO",VLOOKUP(W205,'BD LUB'!$A$2:$L$223,12,FALSE)="PRÓXIMO"),AND(VLOOKUP(W205,'BD LUB'!$A$2:$L$223,11,FALSE)="PRÓXIMO",VLOOKUP(W205,'BD LUB'!$A$2:$L$223,12,FALSE)="PASADO")),2,IF(OR(AND(VLOOKUP(W205,'BD LUB'!$A$2:$L$223,11,FALSE)="PASADO",VLOOKUP(W205,'BD LUB'!$A$2:$L$223,12,FALSE)="VIGENTE"),AND(VLOOKUP(W205,'BD LUB'!$A$2:$L$223,11,FALSE)="VIGENTE",VLOOKUP(W205,'BD LUB'!$A$2:$L$223,12,FALSE)="PASADO")),3,IF(AND(VLOOKUP(W205,'BD LUB'!$A$2:$L$223,11,FALSE)="PRÓXIMO",VLOOKUP(W205,'BD LUB'!$A$2:$L$223,12,FALSE)="PRÓXIMO"),4,IF(OR(AND(VLOOKUP(W205,'BD LUB'!$A$2:$L$223,11,FALSE)="PRÓXIMO",VLOOKUP(W205,'BD LUB'!$A$2:$L$223,12,FALSE)="VIGENTE"),AND(VLOOKUP(W205,'BD LUB'!$A$2:$L$223,11,FALSE)="VIGENTE",VLOOKUP(W205,'BD LUB'!$A$2:$L$223,12,FALSE)="PRÓXIMO")),5,IF(AND(VLOOKUP(W205,'BD LUB'!$A$2:$L$223,11,FALSE)="VIGENTE",VLOOKUP(W205,'BD LUB'!$A$2:$L$223,12,FALSE)="VIGENTE"),6,"No definido"))))))</f>
        <v>#N/A</v>
      </c>
      <c r="Z205" s="163"/>
      <c r="AA205" s="139" t="str">
        <f>(VLOOKUP(Z205,'BD LUB'!$A$2:$L$223,5,FALSE)/VLOOKUP(Z205,'BD LUB'!$A$2:$L$223,7,FALSE))+(VLOOKUP(Z205,'BD LUB'!$A$2:$L$223,6,FALSE)/VLOOKUP(Z205,'BD LUB'!$A$2:$L$223,8,FALSE))</f>
        <v>#N/A</v>
      </c>
      <c r="AB205" s="78" t="str">
        <f>IF(AND(VLOOKUP(Z205,'BD LUB'!$A$2:$L$223,11,FALSE)="PASADO",VLOOKUP(Z205,'BD LUB'!$A$2:$L$223,12,FALSE)="PASADO"),1,IF(OR(AND(VLOOKUP(Z205,'BD LUB'!$A$2:$L$223,11,FALSE)="PASADO",VLOOKUP(Z205,'BD LUB'!$A$2:$L$223,12,FALSE)="PRÓXIMO"),AND(VLOOKUP(Z205,'BD LUB'!$A$2:$L$223,11,FALSE)="PRÓXIMO",VLOOKUP(Z205,'BD LUB'!$A$2:$L$223,12,FALSE)="PASADO")),2,IF(OR(AND(VLOOKUP(Z205,'BD LUB'!$A$2:$L$223,11,FALSE)="PASADO",VLOOKUP(Z205,'BD LUB'!$A$2:$L$223,12,FALSE)="VIGENTE"),AND(VLOOKUP(Z205,'BD LUB'!$A$2:$L$223,11,FALSE)="VIGENTE",VLOOKUP(Z205,'BD LUB'!$A$2:$L$223,12,FALSE)="PASADO")),3,IF(AND(VLOOKUP(Z205,'BD LUB'!$A$2:$L$223,11,FALSE)="PRÓXIMO",VLOOKUP(Z205,'BD LUB'!$A$2:$L$223,12,FALSE)="PRÓXIMO"),4,IF(OR(AND(VLOOKUP(Z205,'BD LUB'!$A$2:$L$223,11,FALSE)="PRÓXIMO",VLOOKUP(Z205,'BD LUB'!$A$2:$L$223,12,FALSE)="VIGENTE"),AND(VLOOKUP(Z205,'BD LUB'!$A$2:$L$223,11,FALSE)="VIGENTE",VLOOKUP(Z205,'BD LUB'!$A$2:$L$223,12,FALSE)="PRÓXIMO")),5,IF(AND(VLOOKUP(Z205,'BD LUB'!$A$2:$L$223,11,FALSE)="VIGENTE",VLOOKUP(Z205,'BD LUB'!$A$2:$L$223,12,FALSE)="VIGENTE"),6,"No definido"))))))</f>
        <v>#N/A</v>
      </c>
      <c r="AC205" s="163"/>
      <c r="AD205" s="136" t="str">
        <f>IF(VLOOKUP(AC205,'BD LUB'!$A$2:$C$223,3,FALSE)=$AH$20,AC205&amp;" MED",IF(VLOOKUP(AC205,'BD LUB'!$A$2:$C$223,3,FALSE)=$AH$19,AC205&amp;" MAY",IF(VLOOKUP(AC205,'BD LUB'!$A$2:$C$223,3,FALSE)=$AH$18,AC205&amp;" RN",IF(VLOOKUP(AC205,'BD LUB'!$A$2:$C$223,3,FALSE)=$AH$17,AC205&amp;" COPQUI",IF(VLOOKUP(AC205,'BD LUB'!$A$2:$C$223,3,FALSE)=$AH$16,AC205&amp;" CEJ",IF(VLOOKUP(AC205,'BD LUB'!$A$2:$C$223,3,FALSE)=$AH$15,AC205&amp;" BULT",IF(VLOOKUP(AC205,'BD LUB'!$A$2:$C$223,3,FALSE)=$AH$14,AC205&amp;" COP",IF(VLOOKUP(AC205,'BD LUB'!$A$2:$C$223,3,FALSE)=$AH$13,AC205&amp;" RIO",IF(VLOOKUP(AC205,'BD LUB'!$A$2:$C$223,3,FALSE)=$AH$21,AC205&amp;" APART","Dato no encontrado")))))))))</f>
        <v>#N/A</v>
      </c>
      <c r="AE205" s="160"/>
      <c r="AF205" s="160"/>
      <c r="AG205" s="160"/>
      <c r="AH205" s="160"/>
      <c r="AI205" s="160"/>
      <c r="AJ205" s="160"/>
      <c r="AP205" s="160"/>
      <c r="AV205" s="160"/>
    </row>
    <row r="206">
      <c r="A206" s="158"/>
      <c r="B206" s="126">
        <v>203.0</v>
      </c>
      <c r="C206" s="78">
        <f>IFERROR(__xludf.DUMMYFUNCTION("""COMPUTED_VALUE"""),2888.0)</f>
        <v>2888</v>
      </c>
      <c r="D206" s="156">
        <f>IFERROR(__xludf.DUMMYFUNCTION("""COMPUTED_VALUE"""),46233.0)</f>
        <v>46233</v>
      </c>
      <c r="E206" s="78" t="str">
        <f>IFERROR(__xludf.DUMMYFUNCTION("""COMPUTED_VALUE"""),"24-Rionegro")</f>
        <v>24-Rionegro</v>
      </c>
      <c r="F206" s="156">
        <f>IFERROR(__xludf.DUMMYFUNCTION("""COMPUTED_VALUE"""),46162.0)</f>
        <v>46162</v>
      </c>
      <c r="G206" s="159">
        <f>IFERROR(__xludf.DUMMYFUNCTION("""COMPUTED_VALUE"""),126.0)</f>
        <v>126</v>
      </c>
      <c r="H206" s="78" t="str">
        <f>IFERROR(__xludf.DUMMYFUNCTION("""COMPUTED_VALUE"""),"VIGENTE")</f>
        <v>VIGENTE</v>
      </c>
      <c r="I206" s="132" t="str">
        <f t="shared" si="1"/>
        <v>-</v>
      </c>
      <c r="J206" s="158"/>
      <c r="K206" s="126">
        <v>203.0</v>
      </c>
      <c r="L206" s="78">
        <f>IFERROR(__xludf.DUMMYFUNCTION("""COMPUTED_VALUE"""),2388.0)</f>
        <v>2388</v>
      </c>
      <c r="M206" s="156">
        <f>IFERROR(__xludf.DUMMYFUNCTION("""COMPUTED_VALUE"""),46466.0)</f>
        <v>46466</v>
      </c>
      <c r="N206" s="78" t="str">
        <f>IFERROR(__xludf.DUMMYFUNCTION("""COMPUTED_VALUE"""),"02-Medellin")</f>
        <v>02-Medellin</v>
      </c>
      <c r="O206" s="156">
        <f>IFERROR(__xludf.DUMMYFUNCTION("""COMPUTED_VALUE"""),46161.0)</f>
        <v>46161</v>
      </c>
      <c r="P206" s="159">
        <f>IFERROR(__xludf.DUMMYFUNCTION("""COMPUTED_VALUE"""),8764.6)</f>
        <v>8764.6</v>
      </c>
      <c r="Q206" s="78" t="str">
        <f>IFERROR(__xludf.DUMMYFUNCTION("""COMPUTED_VALUE"""),"VIGENTE")</f>
        <v>VIGENTE</v>
      </c>
      <c r="R206" s="132" t="str">
        <f t="shared" si="2"/>
        <v>-</v>
      </c>
      <c r="T206" s="134" t="str">
        <f>CALENDARIO!D218</f>
        <v/>
      </c>
      <c r="U206" s="135" t="str">
        <f>CALENDARIO!C218</f>
        <v/>
      </c>
      <c r="W206" s="128"/>
      <c r="X206" s="136" t="str">
        <f>(VLOOKUP(W206,'BD LUB'!$A$2:$L$223,5,FALSE)/VLOOKUP(W206,'BD LUB'!$A$2:$L$223,7,FALSE))+(VLOOKUP(W206,'BD LUB'!$A$2:$L$223,6,FALSE)/VLOOKUP(W206,'BD LUB'!$A$2:$L$223,8,FALSE))</f>
        <v>#N/A</v>
      </c>
      <c r="Y206" s="161" t="str">
        <f>IF(AND(VLOOKUP(W206,'BD LUB'!$A$2:$L$223,11,FALSE)="PASADO",VLOOKUP(W206,'BD LUB'!$A$2:$L$223,12,FALSE)="PASADO"),1,IF(OR(AND(VLOOKUP(W206,'BD LUB'!$A$2:$L$223,11,FALSE)="PASADO",VLOOKUP(W206,'BD LUB'!$A$2:$L$223,12,FALSE)="PRÓXIMO"),AND(VLOOKUP(W206,'BD LUB'!$A$2:$L$223,11,FALSE)="PRÓXIMO",VLOOKUP(W206,'BD LUB'!$A$2:$L$223,12,FALSE)="PASADO")),2,IF(OR(AND(VLOOKUP(W206,'BD LUB'!$A$2:$L$223,11,FALSE)="PASADO",VLOOKUP(W206,'BD LUB'!$A$2:$L$223,12,FALSE)="VIGENTE"),AND(VLOOKUP(W206,'BD LUB'!$A$2:$L$223,11,FALSE)="VIGENTE",VLOOKUP(W206,'BD LUB'!$A$2:$L$223,12,FALSE)="PASADO")),3,IF(AND(VLOOKUP(W206,'BD LUB'!$A$2:$L$223,11,FALSE)="PRÓXIMO",VLOOKUP(W206,'BD LUB'!$A$2:$L$223,12,FALSE)="PRÓXIMO"),4,IF(OR(AND(VLOOKUP(W206,'BD LUB'!$A$2:$L$223,11,FALSE)="PRÓXIMO",VLOOKUP(W206,'BD LUB'!$A$2:$L$223,12,FALSE)="VIGENTE"),AND(VLOOKUP(W206,'BD LUB'!$A$2:$L$223,11,FALSE)="VIGENTE",VLOOKUP(W206,'BD LUB'!$A$2:$L$223,12,FALSE)="PRÓXIMO")),5,IF(AND(VLOOKUP(W206,'BD LUB'!$A$2:$L$223,11,FALSE)="VIGENTE",VLOOKUP(W206,'BD LUB'!$A$2:$L$223,12,FALSE)="VIGENTE"),6,"No definido"))))))</f>
        <v>#N/A</v>
      </c>
      <c r="Z206" s="163"/>
      <c r="AA206" s="139" t="str">
        <f>(VLOOKUP(Z206,'BD LUB'!$A$2:$L$223,5,FALSE)/VLOOKUP(Z206,'BD LUB'!$A$2:$L$223,7,FALSE))+(VLOOKUP(Z206,'BD LUB'!$A$2:$L$223,6,FALSE)/VLOOKUP(Z206,'BD LUB'!$A$2:$L$223,8,FALSE))</f>
        <v>#N/A</v>
      </c>
      <c r="AB206" s="78" t="str">
        <f>IF(AND(VLOOKUP(Z206,'BD LUB'!$A$2:$L$223,11,FALSE)="PASADO",VLOOKUP(Z206,'BD LUB'!$A$2:$L$223,12,FALSE)="PASADO"),1,IF(OR(AND(VLOOKUP(Z206,'BD LUB'!$A$2:$L$223,11,FALSE)="PASADO",VLOOKUP(Z206,'BD LUB'!$A$2:$L$223,12,FALSE)="PRÓXIMO"),AND(VLOOKUP(Z206,'BD LUB'!$A$2:$L$223,11,FALSE)="PRÓXIMO",VLOOKUP(Z206,'BD LUB'!$A$2:$L$223,12,FALSE)="PASADO")),2,IF(OR(AND(VLOOKUP(Z206,'BD LUB'!$A$2:$L$223,11,FALSE)="PASADO",VLOOKUP(Z206,'BD LUB'!$A$2:$L$223,12,FALSE)="VIGENTE"),AND(VLOOKUP(Z206,'BD LUB'!$A$2:$L$223,11,FALSE)="VIGENTE",VLOOKUP(Z206,'BD LUB'!$A$2:$L$223,12,FALSE)="PASADO")),3,IF(AND(VLOOKUP(Z206,'BD LUB'!$A$2:$L$223,11,FALSE)="PRÓXIMO",VLOOKUP(Z206,'BD LUB'!$A$2:$L$223,12,FALSE)="PRÓXIMO"),4,IF(OR(AND(VLOOKUP(Z206,'BD LUB'!$A$2:$L$223,11,FALSE)="PRÓXIMO",VLOOKUP(Z206,'BD LUB'!$A$2:$L$223,12,FALSE)="VIGENTE"),AND(VLOOKUP(Z206,'BD LUB'!$A$2:$L$223,11,FALSE)="VIGENTE",VLOOKUP(Z206,'BD LUB'!$A$2:$L$223,12,FALSE)="PRÓXIMO")),5,IF(AND(VLOOKUP(Z206,'BD LUB'!$A$2:$L$223,11,FALSE)="VIGENTE",VLOOKUP(Z206,'BD LUB'!$A$2:$L$223,12,FALSE)="VIGENTE"),6,"No definido"))))))</f>
        <v>#N/A</v>
      </c>
      <c r="AC206" s="163"/>
      <c r="AD206" s="136" t="str">
        <f>IF(VLOOKUP(AC206,'BD LUB'!$A$2:$C$223,3,FALSE)=$AH$20,AC206&amp;" MED",IF(VLOOKUP(AC206,'BD LUB'!$A$2:$C$223,3,FALSE)=$AH$19,AC206&amp;" MAY",IF(VLOOKUP(AC206,'BD LUB'!$A$2:$C$223,3,FALSE)=$AH$18,AC206&amp;" RN",IF(VLOOKUP(AC206,'BD LUB'!$A$2:$C$223,3,FALSE)=$AH$17,AC206&amp;" COPQUI",IF(VLOOKUP(AC206,'BD LUB'!$A$2:$C$223,3,FALSE)=$AH$16,AC206&amp;" CEJ",IF(VLOOKUP(AC206,'BD LUB'!$A$2:$C$223,3,FALSE)=$AH$15,AC206&amp;" BULT",IF(VLOOKUP(AC206,'BD LUB'!$A$2:$C$223,3,FALSE)=$AH$14,AC206&amp;" COP",IF(VLOOKUP(AC206,'BD LUB'!$A$2:$C$223,3,FALSE)=$AH$13,AC206&amp;" RIO",IF(VLOOKUP(AC206,'BD LUB'!$A$2:$C$223,3,FALSE)=$AH$21,AC206&amp;" APART","Dato no encontrado")))))))))</f>
        <v>#N/A</v>
      </c>
      <c r="AE206" s="160"/>
      <c r="AF206" s="160"/>
      <c r="AG206" s="160"/>
      <c r="AH206" s="160"/>
      <c r="AI206" s="160"/>
      <c r="AJ206" s="160"/>
      <c r="AP206" s="160"/>
      <c r="AV206" s="160"/>
    </row>
    <row r="207">
      <c r="A207" s="158"/>
      <c r="B207" s="126">
        <v>204.0</v>
      </c>
      <c r="C207" s="78">
        <f>IFERROR(__xludf.DUMMYFUNCTION("""COMPUTED_VALUE"""),2883.0)</f>
        <v>2883</v>
      </c>
      <c r="D207" s="156">
        <f>IFERROR(__xludf.DUMMYFUNCTION("""COMPUTED_VALUE"""),46233.0)</f>
        <v>46233</v>
      </c>
      <c r="E207" s="78" t="str">
        <f>IFERROR(__xludf.DUMMYFUNCTION("""COMPUTED_VALUE"""),"MAYORCA")</f>
        <v>MAYORCA</v>
      </c>
      <c r="F207" s="156">
        <f>IFERROR(__xludf.DUMMYFUNCTION("""COMPUTED_VALUE"""),46162.0)</f>
        <v>46162</v>
      </c>
      <c r="G207" s="159">
        <f>IFERROR(__xludf.DUMMYFUNCTION("""COMPUTED_VALUE"""),126.0)</f>
        <v>126</v>
      </c>
      <c r="H207" s="78" t="str">
        <f>IFERROR(__xludf.DUMMYFUNCTION("""COMPUTED_VALUE"""),"VIGENTE")</f>
        <v>VIGENTE</v>
      </c>
      <c r="I207" s="132" t="str">
        <f t="shared" si="1"/>
        <v>-</v>
      </c>
      <c r="J207" s="158"/>
      <c r="K207" s="126">
        <v>204.0</v>
      </c>
      <c r="L207" s="78">
        <f>IFERROR(__xludf.DUMMYFUNCTION("""COMPUTED_VALUE"""),2656.0)</f>
        <v>2656</v>
      </c>
      <c r="M207" s="156">
        <f>IFERROR(__xludf.DUMMYFUNCTION("""COMPUTED_VALUE"""),46485.0)</f>
        <v>46485</v>
      </c>
      <c r="N207" s="78" t="str">
        <f>IFERROR(__xludf.DUMMYFUNCTION("""COMPUTED_VALUE"""),"02-Medellin")</f>
        <v>02-Medellin</v>
      </c>
      <c r="O207" s="156">
        <f>IFERROR(__xludf.DUMMYFUNCTION("""COMPUTED_VALUE"""),46163.0)</f>
        <v>46163</v>
      </c>
      <c r="P207" s="159">
        <f>IFERROR(__xludf.DUMMYFUNCTION("""COMPUTED_VALUE"""),8801.0)</f>
        <v>8801</v>
      </c>
      <c r="Q207" s="78" t="str">
        <f>IFERROR(__xludf.DUMMYFUNCTION("""COMPUTED_VALUE"""),"VIGENTE")</f>
        <v>VIGENTE</v>
      </c>
      <c r="R207" s="132" t="str">
        <f t="shared" si="2"/>
        <v>-</v>
      </c>
      <c r="T207" s="134" t="str">
        <f>CALENDARIO!D219</f>
        <v/>
      </c>
      <c r="U207" s="135" t="str">
        <f>CALENDARIO!C219</f>
        <v/>
      </c>
      <c r="W207" s="128"/>
      <c r="X207" s="136" t="str">
        <f>(VLOOKUP(W207,'BD LUB'!$A$2:$L$223,5,FALSE)/VLOOKUP(W207,'BD LUB'!$A$2:$L$223,7,FALSE))+(VLOOKUP(W207,'BD LUB'!$A$2:$L$223,6,FALSE)/VLOOKUP(W207,'BD LUB'!$A$2:$L$223,8,FALSE))</f>
        <v>#N/A</v>
      </c>
      <c r="Y207" s="161" t="str">
        <f>IF(AND(VLOOKUP(W207,'BD LUB'!$A$2:$L$223,11,FALSE)="PASADO",VLOOKUP(W207,'BD LUB'!$A$2:$L$223,12,FALSE)="PASADO"),1,IF(OR(AND(VLOOKUP(W207,'BD LUB'!$A$2:$L$223,11,FALSE)="PASADO",VLOOKUP(W207,'BD LUB'!$A$2:$L$223,12,FALSE)="PRÓXIMO"),AND(VLOOKUP(W207,'BD LUB'!$A$2:$L$223,11,FALSE)="PRÓXIMO",VLOOKUP(W207,'BD LUB'!$A$2:$L$223,12,FALSE)="PASADO")),2,IF(OR(AND(VLOOKUP(W207,'BD LUB'!$A$2:$L$223,11,FALSE)="PASADO",VLOOKUP(W207,'BD LUB'!$A$2:$L$223,12,FALSE)="VIGENTE"),AND(VLOOKUP(W207,'BD LUB'!$A$2:$L$223,11,FALSE)="VIGENTE",VLOOKUP(W207,'BD LUB'!$A$2:$L$223,12,FALSE)="PASADO")),3,IF(AND(VLOOKUP(W207,'BD LUB'!$A$2:$L$223,11,FALSE)="PRÓXIMO",VLOOKUP(W207,'BD LUB'!$A$2:$L$223,12,FALSE)="PRÓXIMO"),4,IF(OR(AND(VLOOKUP(W207,'BD LUB'!$A$2:$L$223,11,FALSE)="PRÓXIMO",VLOOKUP(W207,'BD LUB'!$A$2:$L$223,12,FALSE)="VIGENTE"),AND(VLOOKUP(W207,'BD LUB'!$A$2:$L$223,11,FALSE)="VIGENTE",VLOOKUP(W207,'BD LUB'!$A$2:$L$223,12,FALSE)="PRÓXIMO")),5,IF(AND(VLOOKUP(W207,'BD LUB'!$A$2:$L$223,11,FALSE)="VIGENTE",VLOOKUP(W207,'BD LUB'!$A$2:$L$223,12,FALSE)="VIGENTE"),6,"No definido"))))))</f>
        <v>#N/A</v>
      </c>
      <c r="Z207" s="163"/>
      <c r="AA207" s="139" t="str">
        <f>(VLOOKUP(Z207,'BD LUB'!$A$2:$L$223,5,FALSE)/VLOOKUP(Z207,'BD LUB'!$A$2:$L$223,7,FALSE))+(VLOOKUP(Z207,'BD LUB'!$A$2:$L$223,6,FALSE)/VLOOKUP(Z207,'BD LUB'!$A$2:$L$223,8,FALSE))</f>
        <v>#N/A</v>
      </c>
      <c r="AB207" s="78" t="str">
        <f>IF(AND(VLOOKUP(Z207,'BD LUB'!$A$2:$L$223,11,FALSE)="PASADO",VLOOKUP(Z207,'BD LUB'!$A$2:$L$223,12,FALSE)="PASADO"),1,IF(OR(AND(VLOOKUP(Z207,'BD LUB'!$A$2:$L$223,11,FALSE)="PASADO",VLOOKUP(Z207,'BD LUB'!$A$2:$L$223,12,FALSE)="PRÓXIMO"),AND(VLOOKUP(Z207,'BD LUB'!$A$2:$L$223,11,FALSE)="PRÓXIMO",VLOOKUP(Z207,'BD LUB'!$A$2:$L$223,12,FALSE)="PASADO")),2,IF(OR(AND(VLOOKUP(Z207,'BD LUB'!$A$2:$L$223,11,FALSE)="PASADO",VLOOKUP(Z207,'BD LUB'!$A$2:$L$223,12,FALSE)="VIGENTE"),AND(VLOOKUP(Z207,'BD LUB'!$A$2:$L$223,11,FALSE)="VIGENTE",VLOOKUP(Z207,'BD LUB'!$A$2:$L$223,12,FALSE)="PASADO")),3,IF(AND(VLOOKUP(Z207,'BD LUB'!$A$2:$L$223,11,FALSE)="PRÓXIMO",VLOOKUP(Z207,'BD LUB'!$A$2:$L$223,12,FALSE)="PRÓXIMO"),4,IF(OR(AND(VLOOKUP(Z207,'BD LUB'!$A$2:$L$223,11,FALSE)="PRÓXIMO",VLOOKUP(Z207,'BD LUB'!$A$2:$L$223,12,FALSE)="VIGENTE"),AND(VLOOKUP(Z207,'BD LUB'!$A$2:$L$223,11,FALSE)="VIGENTE",VLOOKUP(Z207,'BD LUB'!$A$2:$L$223,12,FALSE)="PRÓXIMO")),5,IF(AND(VLOOKUP(Z207,'BD LUB'!$A$2:$L$223,11,FALSE)="VIGENTE",VLOOKUP(Z207,'BD LUB'!$A$2:$L$223,12,FALSE)="VIGENTE"),6,"No definido"))))))</f>
        <v>#N/A</v>
      </c>
      <c r="AC207" s="163"/>
      <c r="AD207" s="136" t="str">
        <f>IF(VLOOKUP(AC207,'BD LUB'!$A$2:$C$223,3,FALSE)=$AH$20,AC207&amp;" MED",IF(VLOOKUP(AC207,'BD LUB'!$A$2:$C$223,3,FALSE)=$AH$19,AC207&amp;" MAY",IF(VLOOKUP(AC207,'BD LUB'!$A$2:$C$223,3,FALSE)=$AH$18,AC207&amp;" RN",IF(VLOOKUP(AC207,'BD LUB'!$A$2:$C$223,3,FALSE)=$AH$17,AC207&amp;" COPQUI",IF(VLOOKUP(AC207,'BD LUB'!$A$2:$C$223,3,FALSE)=$AH$16,AC207&amp;" CEJ",IF(VLOOKUP(AC207,'BD LUB'!$A$2:$C$223,3,FALSE)=$AH$15,AC207&amp;" BULT",IF(VLOOKUP(AC207,'BD LUB'!$A$2:$C$223,3,FALSE)=$AH$14,AC207&amp;" COP",IF(VLOOKUP(AC207,'BD LUB'!$A$2:$C$223,3,FALSE)=$AH$13,AC207&amp;" RIO",IF(VLOOKUP(AC207,'BD LUB'!$A$2:$C$223,3,FALSE)=$AH$21,AC207&amp;" APART","Dato no encontrado")))))))))</f>
        <v>#N/A</v>
      </c>
      <c r="AE207" s="160"/>
      <c r="AF207" s="160"/>
      <c r="AG207" s="160"/>
      <c r="AH207" s="160"/>
      <c r="AI207" s="160"/>
      <c r="AJ207" s="160"/>
      <c r="AP207" s="160"/>
      <c r="AV207" s="160"/>
    </row>
    <row r="208">
      <c r="A208" s="158"/>
      <c r="B208" s="126">
        <v>205.0</v>
      </c>
      <c r="C208" s="78">
        <f>IFERROR(__xludf.DUMMYFUNCTION("""COMPUTED_VALUE"""),2860.0)</f>
        <v>2860</v>
      </c>
      <c r="D208" s="156">
        <f>IFERROR(__xludf.DUMMYFUNCTION("""COMPUTED_VALUE"""),46221.0)</f>
        <v>46221</v>
      </c>
      <c r="E208" s="78" t="str">
        <f>IFERROR(__xludf.DUMMYFUNCTION("""COMPUTED_VALUE"""),"02-Medellin")</f>
        <v>02-Medellin</v>
      </c>
      <c r="F208" s="156">
        <f>IFERROR(__xludf.DUMMYFUNCTION("""COMPUTED_VALUE"""),46162.0)</f>
        <v>46162</v>
      </c>
      <c r="G208" s="159">
        <f>IFERROR(__xludf.DUMMYFUNCTION("""COMPUTED_VALUE"""),126.0)</f>
        <v>126</v>
      </c>
      <c r="H208" s="78" t="str">
        <f>IFERROR(__xludf.DUMMYFUNCTION("""COMPUTED_VALUE"""),"VIGENTE")</f>
        <v>VIGENTE</v>
      </c>
      <c r="I208" s="132" t="str">
        <f t="shared" si="1"/>
        <v>-</v>
      </c>
      <c r="J208" s="158"/>
      <c r="K208" s="126">
        <v>205.0</v>
      </c>
      <c r="L208" s="78">
        <f>IFERROR(__xludf.DUMMYFUNCTION("""COMPUTED_VALUE"""),2432.0)</f>
        <v>2432</v>
      </c>
      <c r="M208" s="156">
        <f>IFERROR(__xludf.DUMMYFUNCTION("""COMPUTED_VALUE"""),46571.0)</f>
        <v>46571</v>
      </c>
      <c r="N208" s="78" t="str">
        <f>IFERROR(__xludf.DUMMYFUNCTION("""COMPUTED_VALUE"""),"02-Medellin")</f>
        <v>02-Medellin</v>
      </c>
      <c r="O208" s="156">
        <f>IFERROR(__xludf.DUMMYFUNCTION("""COMPUTED_VALUE"""),46157.0)</f>
        <v>46157</v>
      </c>
      <c r="P208" s="159">
        <f>IFERROR(__xludf.DUMMYFUNCTION("""COMPUTED_VALUE"""),8865.3)</f>
        <v>8865.3</v>
      </c>
      <c r="Q208" s="78" t="str">
        <f>IFERROR(__xludf.DUMMYFUNCTION("""COMPUTED_VALUE"""),"VIGENTE")</f>
        <v>VIGENTE</v>
      </c>
      <c r="R208" s="132" t="str">
        <f t="shared" si="2"/>
        <v>-</v>
      </c>
      <c r="T208" s="134" t="str">
        <f>CALENDARIO!D220</f>
        <v/>
      </c>
      <c r="U208" s="135" t="str">
        <f>CALENDARIO!C220</f>
        <v/>
      </c>
      <c r="W208" s="128"/>
      <c r="X208" s="136" t="str">
        <f>(VLOOKUP(W208,'BD LUB'!$A$2:$L$223,5,FALSE)/VLOOKUP(W208,'BD LUB'!$A$2:$L$223,7,FALSE))+(VLOOKUP(W208,'BD LUB'!$A$2:$L$223,6,FALSE)/VLOOKUP(W208,'BD LUB'!$A$2:$L$223,8,FALSE))</f>
        <v>#N/A</v>
      </c>
      <c r="Y208" s="161" t="str">
        <f>IF(AND(VLOOKUP(W208,'BD LUB'!$A$2:$L$223,11,FALSE)="PASADO",VLOOKUP(W208,'BD LUB'!$A$2:$L$223,12,FALSE)="PASADO"),1,IF(OR(AND(VLOOKUP(W208,'BD LUB'!$A$2:$L$223,11,FALSE)="PASADO",VLOOKUP(W208,'BD LUB'!$A$2:$L$223,12,FALSE)="PRÓXIMO"),AND(VLOOKUP(W208,'BD LUB'!$A$2:$L$223,11,FALSE)="PRÓXIMO",VLOOKUP(W208,'BD LUB'!$A$2:$L$223,12,FALSE)="PASADO")),2,IF(OR(AND(VLOOKUP(W208,'BD LUB'!$A$2:$L$223,11,FALSE)="PASADO",VLOOKUP(W208,'BD LUB'!$A$2:$L$223,12,FALSE)="VIGENTE"),AND(VLOOKUP(W208,'BD LUB'!$A$2:$L$223,11,FALSE)="VIGENTE",VLOOKUP(W208,'BD LUB'!$A$2:$L$223,12,FALSE)="PASADO")),3,IF(AND(VLOOKUP(W208,'BD LUB'!$A$2:$L$223,11,FALSE)="PRÓXIMO",VLOOKUP(W208,'BD LUB'!$A$2:$L$223,12,FALSE)="PRÓXIMO"),4,IF(OR(AND(VLOOKUP(W208,'BD LUB'!$A$2:$L$223,11,FALSE)="PRÓXIMO",VLOOKUP(W208,'BD LUB'!$A$2:$L$223,12,FALSE)="VIGENTE"),AND(VLOOKUP(W208,'BD LUB'!$A$2:$L$223,11,FALSE)="VIGENTE",VLOOKUP(W208,'BD LUB'!$A$2:$L$223,12,FALSE)="PRÓXIMO")),5,IF(AND(VLOOKUP(W208,'BD LUB'!$A$2:$L$223,11,FALSE)="VIGENTE",VLOOKUP(W208,'BD LUB'!$A$2:$L$223,12,FALSE)="VIGENTE"),6,"No definido"))))))</f>
        <v>#N/A</v>
      </c>
      <c r="Z208" s="163"/>
      <c r="AA208" s="139" t="str">
        <f>(VLOOKUP(Z208,'BD LUB'!$A$2:$L$223,5,FALSE)/VLOOKUP(Z208,'BD LUB'!$A$2:$L$223,7,FALSE))+(VLOOKUP(Z208,'BD LUB'!$A$2:$L$223,6,FALSE)/VLOOKUP(Z208,'BD LUB'!$A$2:$L$223,8,FALSE))</f>
        <v>#N/A</v>
      </c>
      <c r="AB208" s="78" t="str">
        <f>IF(AND(VLOOKUP(Z208,'BD LUB'!$A$2:$L$223,11,FALSE)="PASADO",VLOOKUP(Z208,'BD LUB'!$A$2:$L$223,12,FALSE)="PASADO"),1,IF(OR(AND(VLOOKUP(Z208,'BD LUB'!$A$2:$L$223,11,FALSE)="PASADO",VLOOKUP(Z208,'BD LUB'!$A$2:$L$223,12,FALSE)="PRÓXIMO"),AND(VLOOKUP(Z208,'BD LUB'!$A$2:$L$223,11,FALSE)="PRÓXIMO",VLOOKUP(Z208,'BD LUB'!$A$2:$L$223,12,FALSE)="PASADO")),2,IF(OR(AND(VLOOKUP(Z208,'BD LUB'!$A$2:$L$223,11,FALSE)="PASADO",VLOOKUP(Z208,'BD LUB'!$A$2:$L$223,12,FALSE)="VIGENTE"),AND(VLOOKUP(Z208,'BD LUB'!$A$2:$L$223,11,FALSE)="VIGENTE",VLOOKUP(Z208,'BD LUB'!$A$2:$L$223,12,FALSE)="PASADO")),3,IF(AND(VLOOKUP(Z208,'BD LUB'!$A$2:$L$223,11,FALSE)="PRÓXIMO",VLOOKUP(Z208,'BD LUB'!$A$2:$L$223,12,FALSE)="PRÓXIMO"),4,IF(OR(AND(VLOOKUP(Z208,'BD LUB'!$A$2:$L$223,11,FALSE)="PRÓXIMO",VLOOKUP(Z208,'BD LUB'!$A$2:$L$223,12,FALSE)="VIGENTE"),AND(VLOOKUP(Z208,'BD LUB'!$A$2:$L$223,11,FALSE)="VIGENTE",VLOOKUP(Z208,'BD LUB'!$A$2:$L$223,12,FALSE)="PRÓXIMO")),5,IF(AND(VLOOKUP(Z208,'BD LUB'!$A$2:$L$223,11,FALSE)="VIGENTE",VLOOKUP(Z208,'BD LUB'!$A$2:$L$223,12,FALSE)="VIGENTE"),6,"No definido"))))))</f>
        <v>#N/A</v>
      </c>
      <c r="AC208" s="163"/>
      <c r="AD208" s="136" t="str">
        <f>IF(VLOOKUP(AC208,'BD LUB'!$A$2:$C$223,3,FALSE)=$AH$20,AC208&amp;" MED",IF(VLOOKUP(AC208,'BD LUB'!$A$2:$C$223,3,FALSE)=$AH$19,AC208&amp;" MAY",IF(VLOOKUP(AC208,'BD LUB'!$A$2:$C$223,3,FALSE)=$AH$18,AC208&amp;" RN",IF(VLOOKUP(AC208,'BD LUB'!$A$2:$C$223,3,FALSE)=$AH$17,AC208&amp;" COPQUI",IF(VLOOKUP(AC208,'BD LUB'!$A$2:$C$223,3,FALSE)=$AH$16,AC208&amp;" CEJ",IF(VLOOKUP(AC208,'BD LUB'!$A$2:$C$223,3,FALSE)=$AH$15,AC208&amp;" BULT",IF(VLOOKUP(AC208,'BD LUB'!$A$2:$C$223,3,FALSE)=$AH$14,AC208&amp;" COP",IF(VLOOKUP(AC208,'BD LUB'!$A$2:$C$223,3,FALSE)=$AH$13,AC208&amp;" RIO",IF(VLOOKUP(AC208,'BD LUB'!$A$2:$C$223,3,FALSE)=$AH$21,AC208&amp;" APART","Dato no encontrado")))))))))</f>
        <v>#N/A</v>
      </c>
      <c r="AE208" s="160"/>
      <c r="AF208" s="160"/>
      <c r="AG208" s="160"/>
      <c r="AH208" s="160"/>
      <c r="AI208" s="160"/>
      <c r="AJ208" s="160"/>
      <c r="AP208" s="160"/>
      <c r="AV208" s="160"/>
    </row>
    <row r="209">
      <c r="A209" s="158"/>
      <c r="B209" s="126">
        <v>206.0</v>
      </c>
      <c r="C209" s="78">
        <f>IFERROR(__xludf.DUMMYFUNCTION("""COMPUTED_VALUE"""),2669.0)</f>
        <v>2669</v>
      </c>
      <c r="D209" s="156">
        <f>IFERROR(__xludf.DUMMYFUNCTION("""COMPUTED_VALUE"""),46511.0)</f>
        <v>46511</v>
      </c>
      <c r="E209" s="78" t="str">
        <f>IFERROR(__xludf.DUMMYFUNCTION("""COMPUTED_VALUE"""),"02-Medellin")</f>
        <v>02-Medellin</v>
      </c>
      <c r="F209" s="156">
        <f>IFERROR(__xludf.DUMMYFUNCTION("""COMPUTED_VALUE"""),46162.0)</f>
        <v>46162</v>
      </c>
      <c r="G209" s="159">
        <f>IFERROR(__xludf.DUMMYFUNCTION("""COMPUTED_VALUE"""),126.0)</f>
        <v>126</v>
      </c>
      <c r="H209" s="78" t="str">
        <f>IFERROR(__xludf.DUMMYFUNCTION("""COMPUTED_VALUE"""),"VIGENTE")</f>
        <v>VIGENTE</v>
      </c>
      <c r="I209" s="132" t="str">
        <f t="shared" si="1"/>
        <v>-</v>
      </c>
      <c r="J209" s="158"/>
      <c r="K209" s="126">
        <v>206.0</v>
      </c>
      <c r="L209" s="78">
        <f>IFERROR(__xludf.DUMMYFUNCTION("""COMPUTED_VALUE"""),2378.0)</f>
        <v>2378</v>
      </c>
      <c r="M209" s="156">
        <f>IFERROR(__xludf.DUMMYFUNCTION("""COMPUTED_VALUE"""),46542.0)</f>
        <v>46542</v>
      </c>
      <c r="N209" s="78" t="str">
        <f>IFERROR(__xludf.DUMMYFUNCTION("""COMPUTED_VALUE"""),"MAYORCA")</f>
        <v>MAYORCA</v>
      </c>
      <c r="O209" s="156">
        <f>IFERROR(__xludf.DUMMYFUNCTION("""COMPUTED_VALUE"""),46167.0)</f>
        <v>46167</v>
      </c>
      <c r="P209" s="159">
        <f>IFERROR(__xludf.DUMMYFUNCTION("""COMPUTED_VALUE"""),8899.7)</f>
        <v>8899.7</v>
      </c>
      <c r="Q209" s="78" t="str">
        <f>IFERROR(__xludf.DUMMYFUNCTION("""COMPUTED_VALUE"""),"VIGENTE")</f>
        <v>VIGENTE</v>
      </c>
      <c r="R209" s="132" t="str">
        <f t="shared" si="2"/>
        <v>-</v>
      </c>
      <c r="T209" s="134" t="str">
        <f>CALENDARIO!D221</f>
        <v/>
      </c>
      <c r="U209" s="135" t="str">
        <f>CALENDARIO!C221</f>
        <v/>
      </c>
      <c r="W209" s="128"/>
      <c r="X209" s="136" t="str">
        <f>(VLOOKUP(W209,'BD LUB'!$A$2:$L$223,5,FALSE)/VLOOKUP(W209,'BD LUB'!$A$2:$L$223,7,FALSE))+(VLOOKUP(W209,'BD LUB'!$A$2:$L$223,6,FALSE)/VLOOKUP(W209,'BD LUB'!$A$2:$L$223,8,FALSE))</f>
        <v>#N/A</v>
      </c>
      <c r="Y209" s="161" t="str">
        <f>IF(AND(VLOOKUP(W209,'BD LUB'!$A$2:$L$223,11,FALSE)="PASADO",VLOOKUP(W209,'BD LUB'!$A$2:$L$223,12,FALSE)="PASADO"),1,IF(OR(AND(VLOOKUP(W209,'BD LUB'!$A$2:$L$223,11,FALSE)="PASADO",VLOOKUP(W209,'BD LUB'!$A$2:$L$223,12,FALSE)="PRÓXIMO"),AND(VLOOKUP(W209,'BD LUB'!$A$2:$L$223,11,FALSE)="PRÓXIMO",VLOOKUP(W209,'BD LUB'!$A$2:$L$223,12,FALSE)="PASADO")),2,IF(OR(AND(VLOOKUP(W209,'BD LUB'!$A$2:$L$223,11,FALSE)="PASADO",VLOOKUP(W209,'BD LUB'!$A$2:$L$223,12,FALSE)="VIGENTE"),AND(VLOOKUP(W209,'BD LUB'!$A$2:$L$223,11,FALSE)="VIGENTE",VLOOKUP(W209,'BD LUB'!$A$2:$L$223,12,FALSE)="PASADO")),3,IF(AND(VLOOKUP(W209,'BD LUB'!$A$2:$L$223,11,FALSE)="PRÓXIMO",VLOOKUP(W209,'BD LUB'!$A$2:$L$223,12,FALSE)="PRÓXIMO"),4,IF(OR(AND(VLOOKUP(W209,'BD LUB'!$A$2:$L$223,11,FALSE)="PRÓXIMO",VLOOKUP(W209,'BD LUB'!$A$2:$L$223,12,FALSE)="VIGENTE"),AND(VLOOKUP(W209,'BD LUB'!$A$2:$L$223,11,FALSE)="VIGENTE",VLOOKUP(W209,'BD LUB'!$A$2:$L$223,12,FALSE)="PRÓXIMO")),5,IF(AND(VLOOKUP(W209,'BD LUB'!$A$2:$L$223,11,FALSE)="VIGENTE",VLOOKUP(W209,'BD LUB'!$A$2:$L$223,12,FALSE)="VIGENTE"),6,"No definido"))))))</f>
        <v>#N/A</v>
      </c>
      <c r="Z209" s="163"/>
      <c r="AA209" s="139" t="str">
        <f>(VLOOKUP(Z209,'BD LUB'!$A$2:$L$223,5,FALSE)/VLOOKUP(Z209,'BD LUB'!$A$2:$L$223,7,FALSE))+(VLOOKUP(Z209,'BD LUB'!$A$2:$L$223,6,FALSE)/VLOOKUP(Z209,'BD LUB'!$A$2:$L$223,8,FALSE))</f>
        <v>#N/A</v>
      </c>
      <c r="AB209" s="78" t="str">
        <f>IF(AND(VLOOKUP(Z209,'BD LUB'!$A$2:$L$223,11,FALSE)="PASADO",VLOOKUP(Z209,'BD LUB'!$A$2:$L$223,12,FALSE)="PASADO"),1,IF(OR(AND(VLOOKUP(Z209,'BD LUB'!$A$2:$L$223,11,FALSE)="PASADO",VLOOKUP(Z209,'BD LUB'!$A$2:$L$223,12,FALSE)="PRÓXIMO"),AND(VLOOKUP(Z209,'BD LUB'!$A$2:$L$223,11,FALSE)="PRÓXIMO",VLOOKUP(Z209,'BD LUB'!$A$2:$L$223,12,FALSE)="PASADO")),2,IF(OR(AND(VLOOKUP(Z209,'BD LUB'!$A$2:$L$223,11,FALSE)="PASADO",VLOOKUP(Z209,'BD LUB'!$A$2:$L$223,12,FALSE)="VIGENTE"),AND(VLOOKUP(Z209,'BD LUB'!$A$2:$L$223,11,FALSE)="VIGENTE",VLOOKUP(Z209,'BD LUB'!$A$2:$L$223,12,FALSE)="PASADO")),3,IF(AND(VLOOKUP(Z209,'BD LUB'!$A$2:$L$223,11,FALSE)="PRÓXIMO",VLOOKUP(Z209,'BD LUB'!$A$2:$L$223,12,FALSE)="PRÓXIMO"),4,IF(OR(AND(VLOOKUP(Z209,'BD LUB'!$A$2:$L$223,11,FALSE)="PRÓXIMO",VLOOKUP(Z209,'BD LUB'!$A$2:$L$223,12,FALSE)="VIGENTE"),AND(VLOOKUP(Z209,'BD LUB'!$A$2:$L$223,11,FALSE)="VIGENTE",VLOOKUP(Z209,'BD LUB'!$A$2:$L$223,12,FALSE)="PRÓXIMO")),5,IF(AND(VLOOKUP(Z209,'BD LUB'!$A$2:$L$223,11,FALSE)="VIGENTE",VLOOKUP(Z209,'BD LUB'!$A$2:$L$223,12,FALSE)="VIGENTE"),6,"No definido"))))))</f>
        <v>#N/A</v>
      </c>
      <c r="AC209" s="163"/>
      <c r="AD209" s="136" t="str">
        <f>IF(VLOOKUP(AC209,'BD LUB'!$A$2:$C$223,3,FALSE)=$AH$20,AC209&amp;" MED",IF(VLOOKUP(AC209,'BD LUB'!$A$2:$C$223,3,FALSE)=$AH$19,AC209&amp;" MAY",IF(VLOOKUP(AC209,'BD LUB'!$A$2:$C$223,3,FALSE)=$AH$18,AC209&amp;" RN",IF(VLOOKUP(AC209,'BD LUB'!$A$2:$C$223,3,FALSE)=$AH$17,AC209&amp;" COPQUI",IF(VLOOKUP(AC209,'BD LUB'!$A$2:$C$223,3,FALSE)=$AH$16,AC209&amp;" CEJ",IF(VLOOKUP(AC209,'BD LUB'!$A$2:$C$223,3,FALSE)=$AH$15,AC209&amp;" BULT",IF(VLOOKUP(AC209,'BD LUB'!$A$2:$C$223,3,FALSE)=$AH$14,AC209&amp;" COP",IF(VLOOKUP(AC209,'BD LUB'!$A$2:$C$223,3,FALSE)=$AH$13,AC209&amp;" RIO",IF(VLOOKUP(AC209,'BD LUB'!$A$2:$C$223,3,FALSE)=$AH$21,AC209&amp;" APART","Dato no encontrado")))))))))</f>
        <v>#N/A</v>
      </c>
      <c r="AE209" s="160"/>
      <c r="AF209" s="160"/>
      <c r="AG209" s="160"/>
      <c r="AH209" s="160"/>
      <c r="AI209" s="160"/>
      <c r="AJ209" s="160"/>
      <c r="AP209" s="160"/>
      <c r="AV209" s="160"/>
    </row>
    <row r="210">
      <c r="A210" s="158"/>
      <c r="B210" s="126">
        <v>207.0</v>
      </c>
      <c r="C210" s="78">
        <f>IFERROR(__xludf.DUMMYFUNCTION("""COMPUTED_VALUE"""),2656.0)</f>
        <v>2656</v>
      </c>
      <c r="D210" s="156">
        <f>IFERROR(__xludf.DUMMYFUNCTION("""COMPUTED_VALUE"""),46485.0)</f>
        <v>46485</v>
      </c>
      <c r="E210" s="78" t="str">
        <f>IFERROR(__xludf.DUMMYFUNCTION("""COMPUTED_VALUE"""),"02-Medellin")</f>
        <v>02-Medellin</v>
      </c>
      <c r="F210" s="156">
        <f>IFERROR(__xludf.DUMMYFUNCTION("""COMPUTED_VALUE"""),46163.0)</f>
        <v>46163</v>
      </c>
      <c r="G210" s="159">
        <f>IFERROR(__xludf.DUMMYFUNCTION("""COMPUTED_VALUE"""),127.0)</f>
        <v>127</v>
      </c>
      <c r="H210" s="78" t="str">
        <f>IFERROR(__xludf.DUMMYFUNCTION("""COMPUTED_VALUE"""),"VIGENTE")</f>
        <v>VIGENTE</v>
      </c>
      <c r="I210" s="132" t="str">
        <f t="shared" si="1"/>
        <v>-</v>
      </c>
      <c r="J210" s="158"/>
      <c r="K210" s="126">
        <v>207.0</v>
      </c>
      <c r="L210" s="78">
        <f>IFERROR(__xludf.DUMMYFUNCTION("""COMPUTED_VALUE"""),2206.0)</f>
        <v>2206</v>
      </c>
      <c r="M210" s="156">
        <f>IFERROR(__xludf.DUMMYFUNCTION("""COMPUTED_VALUE"""),46548.0)</f>
        <v>46548</v>
      </c>
      <c r="N210" s="78" t="str">
        <f>IFERROR(__xludf.DUMMYFUNCTION("""COMPUTED_VALUE"""),"MAYORCA")</f>
        <v>MAYORCA</v>
      </c>
      <c r="O210" s="156">
        <f>IFERROR(__xludf.DUMMYFUNCTION("""COMPUTED_VALUE"""),46090.0)</f>
        <v>46090</v>
      </c>
      <c r="P210" s="159">
        <f>IFERROR(__xludf.DUMMYFUNCTION("""COMPUTED_VALUE"""),8961.6)</f>
        <v>8961.6</v>
      </c>
      <c r="Q210" s="78" t="str">
        <f>IFERROR(__xludf.DUMMYFUNCTION("""COMPUTED_VALUE"""),"VIGENTE")</f>
        <v>VIGENTE</v>
      </c>
      <c r="R210" s="132" t="str">
        <f t="shared" si="2"/>
        <v>-</v>
      </c>
      <c r="T210" s="134" t="str">
        <f>CALENDARIO!D222</f>
        <v/>
      </c>
      <c r="U210" s="135" t="str">
        <f>CALENDARIO!C222</f>
        <v/>
      </c>
      <c r="W210" s="128"/>
      <c r="X210" s="136" t="str">
        <f>(VLOOKUP(W210,'BD LUB'!$A$2:$L$223,5,FALSE)/VLOOKUP(W210,'BD LUB'!$A$2:$L$223,7,FALSE))+(VLOOKUP(W210,'BD LUB'!$A$2:$L$223,6,FALSE)/VLOOKUP(W210,'BD LUB'!$A$2:$L$223,8,FALSE))</f>
        <v>#N/A</v>
      </c>
      <c r="Y210" s="161" t="str">
        <f>IF(AND(VLOOKUP(W210,'BD LUB'!$A$2:$L$223,11,FALSE)="PASADO",VLOOKUP(W210,'BD LUB'!$A$2:$L$223,12,FALSE)="PASADO"),1,IF(OR(AND(VLOOKUP(W210,'BD LUB'!$A$2:$L$223,11,FALSE)="PASADO",VLOOKUP(W210,'BD LUB'!$A$2:$L$223,12,FALSE)="PRÓXIMO"),AND(VLOOKUP(W210,'BD LUB'!$A$2:$L$223,11,FALSE)="PRÓXIMO",VLOOKUP(W210,'BD LUB'!$A$2:$L$223,12,FALSE)="PASADO")),2,IF(OR(AND(VLOOKUP(W210,'BD LUB'!$A$2:$L$223,11,FALSE)="PASADO",VLOOKUP(W210,'BD LUB'!$A$2:$L$223,12,FALSE)="VIGENTE"),AND(VLOOKUP(W210,'BD LUB'!$A$2:$L$223,11,FALSE)="VIGENTE",VLOOKUP(W210,'BD LUB'!$A$2:$L$223,12,FALSE)="PASADO")),3,IF(AND(VLOOKUP(W210,'BD LUB'!$A$2:$L$223,11,FALSE)="PRÓXIMO",VLOOKUP(W210,'BD LUB'!$A$2:$L$223,12,FALSE)="PRÓXIMO"),4,IF(OR(AND(VLOOKUP(W210,'BD LUB'!$A$2:$L$223,11,FALSE)="PRÓXIMO",VLOOKUP(W210,'BD LUB'!$A$2:$L$223,12,FALSE)="VIGENTE"),AND(VLOOKUP(W210,'BD LUB'!$A$2:$L$223,11,FALSE)="VIGENTE",VLOOKUP(W210,'BD LUB'!$A$2:$L$223,12,FALSE)="PRÓXIMO")),5,IF(AND(VLOOKUP(W210,'BD LUB'!$A$2:$L$223,11,FALSE)="VIGENTE",VLOOKUP(W210,'BD LUB'!$A$2:$L$223,12,FALSE)="VIGENTE"),6,"No definido"))))))</f>
        <v>#N/A</v>
      </c>
      <c r="Z210" s="163"/>
      <c r="AA210" s="139" t="str">
        <f>(VLOOKUP(Z210,'BD LUB'!$A$2:$L$223,5,FALSE)/VLOOKUP(Z210,'BD LUB'!$A$2:$L$223,7,FALSE))+(VLOOKUP(Z210,'BD LUB'!$A$2:$L$223,6,FALSE)/VLOOKUP(Z210,'BD LUB'!$A$2:$L$223,8,FALSE))</f>
        <v>#N/A</v>
      </c>
      <c r="AB210" s="78" t="str">
        <f>IF(AND(VLOOKUP(Z210,'BD LUB'!$A$2:$L$223,11,FALSE)="PASADO",VLOOKUP(Z210,'BD LUB'!$A$2:$L$223,12,FALSE)="PASADO"),1,IF(OR(AND(VLOOKUP(Z210,'BD LUB'!$A$2:$L$223,11,FALSE)="PASADO",VLOOKUP(Z210,'BD LUB'!$A$2:$L$223,12,FALSE)="PRÓXIMO"),AND(VLOOKUP(Z210,'BD LUB'!$A$2:$L$223,11,FALSE)="PRÓXIMO",VLOOKUP(Z210,'BD LUB'!$A$2:$L$223,12,FALSE)="PASADO")),2,IF(OR(AND(VLOOKUP(Z210,'BD LUB'!$A$2:$L$223,11,FALSE)="PASADO",VLOOKUP(Z210,'BD LUB'!$A$2:$L$223,12,FALSE)="VIGENTE"),AND(VLOOKUP(Z210,'BD LUB'!$A$2:$L$223,11,FALSE)="VIGENTE",VLOOKUP(Z210,'BD LUB'!$A$2:$L$223,12,FALSE)="PASADO")),3,IF(AND(VLOOKUP(Z210,'BD LUB'!$A$2:$L$223,11,FALSE)="PRÓXIMO",VLOOKUP(Z210,'BD LUB'!$A$2:$L$223,12,FALSE)="PRÓXIMO"),4,IF(OR(AND(VLOOKUP(Z210,'BD LUB'!$A$2:$L$223,11,FALSE)="PRÓXIMO",VLOOKUP(Z210,'BD LUB'!$A$2:$L$223,12,FALSE)="VIGENTE"),AND(VLOOKUP(Z210,'BD LUB'!$A$2:$L$223,11,FALSE)="VIGENTE",VLOOKUP(Z210,'BD LUB'!$A$2:$L$223,12,FALSE)="PRÓXIMO")),5,IF(AND(VLOOKUP(Z210,'BD LUB'!$A$2:$L$223,11,FALSE)="VIGENTE",VLOOKUP(Z210,'BD LUB'!$A$2:$L$223,12,FALSE)="VIGENTE"),6,"No definido"))))))</f>
        <v>#N/A</v>
      </c>
      <c r="AC210" s="163"/>
      <c r="AD210" s="136" t="str">
        <f>IF(VLOOKUP(AC210,'BD LUB'!$A$2:$C$223,3,FALSE)=$AH$20,AC210&amp;" MED",IF(VLOOKUP(AC210,'BD LUB'!$A$2:$C$223,3,FALSE)=$AH$19,AC210&amp;" MAY",IF(VLOOKUP(AC210,'BD LUB'!$A$2:$C$223,3,FALSE)=$AH$18,AC210&amp;" RN",IF(VLOOKUP(AC210,'BD LUB'!$A$2:$C$223,3,FALSE)=$AH$17,AC210&amp;" COPQUI",IF(VLOOKUP(AC210,'BD LUB'!$A$2:$C$223,3,FALSE)=$AH$16,AC210&amp;" CEJ",IF(VLOOKUP(AC210,'BD LUB'!$A$2:$C$223,3,FALSE)=$AH$15,AC210&amp;" BULT",IF(VLOOKUP(AC210,'BD LUB'!$A$2:$C$223,3,FALSE)=$AH$14,AC210&amp;" COP",IF(VLOOKUP(AC210,'BD LUB'!$A$2:$C$223,3,FALSE)=$AH$13,AC210&amp;" RIO",IF(VLOOKUP(AC210,'BD LUB'!$A$2:$C$223,3,FALSE)=$AH$21,AC210&amp;" APART","Dato no encontrado")))))))))</f>
        <v>#N/A</v>
      </c>
      <c r="AE210" s="160"/>
      <c r="AF210" s="160"/>
      <c r="AG210" s="160"/>
      <c r="AH210" s="160"/>
      <c r="AI210" s="160"/>
      <c r="AJ210" s="160"/>
      <c r="AP210" s="160"/>
      <c r="AV210" s="160"/>
    </row>
    <row r="211">
      <c r="A211" s="158"/>
      <c r="B211" s="126">
        <v>208.0</v>
      </c>
      <c r="C211" s="78">
        <f>IFERROR(__xludf.DUMMYFUNCTION("""COMPUTED_VALUE"""),2466.0)</f>
        <v>2466</v>
      </c>
      <c r="D211" s="156">
        <f>IFERROR(__xludf.DUMMYFUNCTION("""COMPUTED_VALUE"""),46297.0)</f>
        <v>46297</v>
      </c>
      <c r="E211" s="78" t="str">
        <f>IFERROR(__xludf.DUMMYFUNCTION("""COMPUTED_VALUE"""),"02-Medellin")</f>
        <v>02-Medellin</v>
      </c>
      <c r="F211" s="156">
        <f>IFERROR(__xludf.DUMMYFUNCTION("""COMPUTED_VALUE"""),46163.0)</f>
        <v>46163</v>
      </c>
      <c r="G211" s="159">
        <f>IFERROR(__xludf.DUMMYFUNCTION("""COMPUTED_VALUE"""),127.0)</f>
        <v>127</v>
      </c>
      <c r="H211" s="78" t="str">
        <f>IFERROR(__xludf.DUMMYFUNCTION("""COMPUTED_VALUE"""),"VIGENTE")</f>
        <v>VIGENTE</v>
      </c>
      <c r="I211" s="132" t="str">
        <f t="shared" si="1"/>
        <v>-</v>
      </c>
      <c r="J211" s="158"/>
      <c r="K211" s="126">
        <v>208.0</v>
      </c>
      <c r="L211" s="78">
        <f>IFERROR(__xludf.DUMMYFUNCTION("""COMPUTED_VALUE"""),2570.0)</f>
        <v>2570</v>
      </c>
      <c r="M211" s="156">
        <f>IFERROR(__xludf.DUMMYFUNCTION("""COMPUTED_VALUE"""),46236.0)</f>
        <v>46236</v>
      </c>
      <c r="N211" s="78" t="str">
        <f>IFERROR(__xludf.DUMMYFUNCTION("""COMPUTED_VALUE"""),"02-Medellin")</f>
        <v>02-Medellin</v>
      </c>
      <c r="O211" s="156">
        <f>IFERROR(__xludf.DUMMYFUNCTION("""COMPUTED_VALUE"""),46167.0)</f>
        <v>46167</v>
      </c>
      <c r="P211" s="159">
        <f>IFERROR(__xludf.DUMMYFUNCTION("""COMPUTED_VALUE"""),8976.0)</f>
        <v>8976</v>
      </c>
      <c r="Q211" s="78" t="str">
        <f>IFERROR(__xludf.DUMMYFUNCTION("""COMPUTED_VALUE"""),"VIGENTE")</f>
        <v>VIGENTE</v>
      </c>
      <c r="R211" s="132" t="str">
        <f t="shared" si="2"/>
        <v>-</v>
      </c>
      <c r="T211" s="134" t="str">
        <f>CALENDARIO!D223</f>
        <v/>
      </c>
      <c r="U211" s="135" t="str">
        <f>CALENDARIO!C223</f>
        <v/>
      </c>
      <c r="W211" s="128"/>
      <c r="X211" s="136" t="str">
        <f>(VLOOKUP(W211,'BD LUB'!$A$2:$L$223,5,FALSE)/VLOOKUP(W211,'BD LUB'!$A$2:$L$223,7,FALSE))+(VLOOKUP(W211,'BD LUB'!$A$2:$L$223,6,FALSE)/VLOOKUP(W211,'BD LUB'!$A$2:$L$223,8,FALSE))</f>
        <v>#N/A</v>
      </c>
      <c r="Y211" s="161" t="str">
        <f>IF(AND(VLOOKUP(W211,'BD LUB'!$A$2:$L$223,11,FALSE)="PASADO",VLOOKUP(W211,'BD LUB'!$A$2:$L$223,12,FALSE)="PASADO"),1,IF(OR(AND(VLOOKUP(W211,'BD LUB'!$A$2:$L$223,11,FALSE)="PASADO",VLOOKUP(W211,'BD LUB'!$A$2:$L$223,12,FALSE)="PRÓXIMO"),AND(VLOOKUP(W211,'BD LUB'!$A$2:$L$223,11,FALSE)="PRÓXIMO",VLOOKUP(W211,'BD LUB'!$A$2:$L$223,12,FALSE)="PASADO")),2,IF(OR(AND(VLOOKUP(W211,'BD LUB'!$A$2:$L$223,11,FALSE)="PASADO",VLOOKUP(W211,'BD LUB'!$A$2:$L$223,12,FALSE)="VIGENTE"),AND(VLOOKUP(W211,'BD LUB'!$A$2:$L$223,11,FALSE)="VIGENTE",VLOOKUP(W211,'BD LUB'!$A$2:$L$223,12,FALSE)="PASADO")),3,IF(AND(VLOOKUP(W211,'BD LUB'!$A$2:$L$223,11,FALSE)="PRÓXIMO",VLOOKUP(W211,'BD LUB'!$A$2:$L$223,12,FALSE)="PRÓXIMO"),4,IF(OR(AND(VLOOKUP(W211,'BD LUB'!$A$2:$L$223,11,FALSE)="PRÓXIMO",VLOOKUP(W211,'BD LUB'!$A$2:$L$223,12,FALSE)="VIGENTE"),AND(VLOOKUP(W211,'BD LUB'!$A$2:$L$223,11,FALSE)="VIGENTE",VLOOKUP(W211,'BD LUB'!$A$2:$L$223,12,FALSE)="PRÓXIMO")),5,IF(AND(VLOOKUP(W211,'BD LUB'!$A$2:$L$223,11,FALSE)="VIGENTE",VLOOKUP(W211,'BD LUB'!$A$2:$L$223,12,FALSE)="VIGENTE"),6,"No definido"))))))</f>
        <v>#N/A</v>
      </c>
      <c r="Z211" s="163"/>
      <c r="AA211" s="139" t="str">
        <f>(VLOOKUP(Z211,'BD LUB'!$A$2:$L$223,5,FALSE)/VLOOKUP(Z211,'BD LUB'!$A$2:$L$223,7,FALSE))+(VLOOKUP(Z211,'BD LUB'!$A$2:$L$223,6,FALSE)/VLOOKUP(Z211,'BD LUB'!$A$2:$L$223,8,FALSE))</f>
        <v>#N/A</v>
      </c>
      <c r="AB211" s="78" t="str">
        <f>IF(AND(VLOOKUP(Z211,'BD LUB'!$A$2:$L$223,11,FALSE)="PASADO",VLOOKUP(Z211,'BD LUB'!$A$2:$L$223,12,FALSE)="PASADO"),1,IF(OR(AND(VLOOKUP(Z211,'BD LUB'!$A$2:$L$223,11,FALSE)="PASADO",VLOOKUP(Z211,'BD LUB'!$A$2:$L$223,12,FALSE)="PRÓXIMO"),AND(VLOOKUP(Z211,'BD LUB'!$A$2:$L$223,11,FALSE)="PRÓXIMO",VLOOKUP(Z211,'BD LUB'!$A$2:$L$223,12,FALSE)="PASADO")),2,IF(OR(AND(VLOOKUP(Z211,'BD LUB'!$A$2:$L$223,11,FALSE)="PASADO",VLOOKUP(Z211,'BD LUB'!$A$2:$L$223,12,FALSE)="VIGENTE"),AND(VLOOKUP(Z211,'BD LUB'!$A$2:$L$223,11,FALSE)="VIGENTE",VLOOKUP(Z211,'BD LUB'!$A$2:$L$223,12,FALSE)="PASADO")),3,IF(AND(VLOOKUP(Z211,'BD LUB'!$A$2:$L$223,11,FALSE)="PRÓXIMO",VLOOKUP(Z211,'BD LUB'!$A$2:$L$223,12,FALSE)="PRÓXIMO"),4,IF(OR(AND(VLOOKUP(Z211,'BD LUB'!$A$2:$L$223,11,FALSE)="PRÓXIMO",VLOOKUP(Z211,'BD LUB'!$A$2:$L$223,12,FALSE)="VIGENTE"),AND(VLOOKUP(Z211,'BD LUB'!$A$2:$L$223,11,FALSE)="VIGENTE",VLOOKUP(Z211,'BD LUB'!$A$2:$L$223,12,FALSE)="PRÓXIMO")),5,IF(AND(VLOOKUP(Z211,'BD LUB'!$A$2:$L$223,11,FALSE)="VIGENTE",VLOOKUP(Z211,'BD LUB'!$A$2:$L$223,12,FALSE)="VIGENTE"),6,"No definido"))))))</f>
        <v>#N/A</v>
      </c>
      <c r="AC211" s="163"/>
      <c r="AD211" s="136" t="str">
        <f>IF(VLOOKUP(AC211,'BD LUB'!$A$2:$C$223,3,FALSE)=$AH$20,AC211&amp;" MED",IF(VLOOKUP(AC211,'BD LUB'!$A$2:$C$223,3,FALSE)=$AH$19,AC211&amp;" MAY",IF(VLOOKUP(AC211,'BD LUB'!$A$2:$C$223,3,FALSE)=$AH$18,AC211&amp;" RN",IF(VLOOKUP(AC211,'BD LUB'!$A$2:$C$223,3,FALSE)=$AH$17,AC211&amp;" COPQUI",IF(VLOOKUP(AC211,'BD LUB'!$A$2:$C$223,3,FALSE)=$AH$16,AC211&amp;" CEJ",IF(VLOOKUP(AC211,'BD LUB'!$A$2:$C$223,3,FALSE)=$AH$15,AC211&amp;" BULT",IF(VLOOKUP(AC211,'BD LUB'!$A$2:$C$223,3,FALSE)=$AH$14,AC211&amp;" COP",IF(VLOOKUP(AC211,'BD LUB'!$A$2:$C$223,3,FALSE)=$AH$13,AC211&amp;" RIO",IF(VLOOKUP(AC211,'BD LUB'!$A$2:$C$223,3,FALSE)=$AH$21,AC211&amp;" APART","Dato no encontrado")))))))))</f>
        <v>#N/A</v>
      </c>
      <c r="AE211" s="160"/>
      <c r="AF211" s="160"/>
      <c r="AG211" s="160"/>
      <c r="AH211" s="160"/>
      <c r="AI211" s="160"/>
      <c r="AJ211" s="160"/>
      <c r="AP211" s="160"/>
      <c r="AV211" s="160"/>
    </row>
    <row r="212">
      <c r="A212" s="158"/>
      <c r="B212" s="126">
        <v>209.0</v>
      </c>
      <c r="C212" s="78">
        <f>IFERROR(__xludf.DUMMYFUNCTION("""COMPUTED_VALUE"""),2852.0)</f>
        <v>2852</v>
      </c>
      <c r="D212" s="156">
        <f>IFERROR(__xludf.DUMMYFUNCTION("""COMPUTED_VALUE"""),46576.0)</f>
        <v>46576</v>
      </c>
      <c r="E212" s="78" t="str">
        <f>IFERROR(__xludf.DUMMYFUNCTION("""COMPUTED_VALUE"""),"24-Rionegro")</f>
        <v>24-Rionegro</v>
      </c>
      <c r="F212" s="156">
        <f>IFERROR(__xludf.DUMMYFUNCTION("""COMPUTED_VALUE"""),46165.0)</f>
        <v>46165</v>
      </c>
      <c r="G212" s="159">
        <f>IFERROR(__xludf.DUMMYFUNCTION("""COMPUTED_VALUE"""),129.0)</f>
        <v>129</v>
      </c>
      <c r="H212" s="78" t="str">
        <f>IFERROR(__xludf.DUMMYFUNCTION("""COMPUTED_VALUE"""),"VIGENTE")</f>
        <v>VIGENTE</v>
      </c>
      <c r="I212" s="132" t="str">
        <f t="shared" si="1"/>
        <v>-</v>
      </c>
      <c r="J212" s="158"/>
      <c r="K212" s="126">
        <v>209.0</v>
      </c>
      <c r="L212" s="78">
        <f>IFERROR(__xludf.DUMMYFUNCTION("""COMPUTED_VALUE"""),487.0)</f>
        <v>487</v>
      </c>
      <c r="M212" s="156">
        <f>IFERROR(__xludf.DUMMYFUNCTION("""COMPUTED_VALUE"""),46242.0)</f>
        <v>46242</v>
      </c>
      <c r="N212" s="78" t="str">
        <f>IFERROR(__xludf.DUMMYFUNCTION("""COMPUTED_VALUE"""),"02-Medellin")</f>
        <v>02-Medellin</v>
      </c>
      <c r="O212" s="156">
        <f>IFERROR(__xludf.DUMMYFUNCTION("""COMPUTED_VALUE"""),46037.0)</f>
        <v>46037</v>
      </c>
      <c r="P212" s="159">
        <f>IFERROR(__xludf.DUMMYFUNCTION("""COMPUTED_VALUE"""),10763.400000000001)</f>
        <v>10763.4</v>
      </c>
      <c r="Q212" s="78" t="str">
        <f>IFERROR(__xludf.DUMMYFUNCTION("""COMPUTED_VALUE"""),"VIGENTE")</f>
        <v>VIGENTE</v>
      </c>
      <c r="R212" s="132" t="str">
        <f t="shared" si="2"/>
        <v>-</v>
      </c>
      <c r="T212" s="134" t="str">
        <f>CALENDARIO!D224</f>
        <v/>
      </c>
      <c r="U212" s="135" t="str">
        <f>CALENDARIO!C224</f>
        <v/>
      </c>
      <c r="W212" s="128"/>
      <c r="X212" s="136" t="str">
        <f>(VLOOKUP(W212,'BD LUB'!$A$2:$L$223,5,FALSE)/VLOOKUP(W212,'BD LUB'!$A$2:$L$223,7,FALSE))+(VLOOKUP(W212,'BD LUB'!$A$2:$L$223,6,FALSE)/VLOOKUP(W212,'BD LUB'!$A$2:$L$223,8,FALSE))</f>
        <v>#N/A</v>
      </c>
      <c r="Y212" s="161" t="str">
        <f>IF(AND(VLOOKUP(W212,'BD LUB'!$A$2:$L$223,11,FALSE)="PASADO",VLOOKUP(W212,'BD LUB'!$A$2:$L$223,12,FALSE)="PASADO"),1,IF(OR(AND(VLOOKUP(W212,'BD LUB'!$A$2:$L$223,11,FALSE)="PASADO",VLOOKUP(W212,'BD LUB'!$A$2:$L$223,12,FALSE)="PRÓXIMO"),AND(VLOOKUP(W212,'BD LUB'!$A$2:$L$223,11,FALSE)="PRÓXIMO",VLOOKUP(W212,'BD LUB'!$A$2:$L$223,12,FALSE)="PASADO")),2,IF(OR(AND(VLOOKUP(W212,'BD LUB'!$A$2:$L$223,11,FALSE)="PASADO",VLOOKUP(W212,'BD LUB'!$A$2:$L$223,12,FALSE)="VIGENTE"),AND(VLOOKUP(W212,'BD LUB'!$A$2:$L$223,11,FALSE)="VIGENTE",VLOOKUP(W212,'BD LUB'!$A$2:$L$223,12,FALSE)="PASADO")),3,IF(AND(VLOOKUP(W212,'BD LUB'!$A$2:$L$223,11,FALSE)="PRÓXIMO",VLOOKUP(W212,'BD LUB'!$A$2:$L$223,12,FALSE)="PRÓXIMO"),4,IF(OR(AND(VLOOKUP(W212,'BD LUB'!$A$2:$L$223,11,FALSE)="PRÓXIMO",VLOOKUP(W212,'BD LUB'!$A$2:$L$223,12,FALSE)="VIGENTE"),AND(VLOOKUP(W212,'BD LUB'!$A$2:$L$223,11,FALSE)="VIGENTE",VLOOKUP(W212,'BD LUB'!$A$2:$L$223,12,FALSE)="PRÓXIMO")),5,IF(AND(VLOOKUP(W212,'BD LUB'!$A$2:$L$223,11,FALSE)="VIGENTE",VLOOKUP(W212,'BD LUB'!$A$2:$L$223,12,FALSE)="VIGENTE"),6,"No definido"))))))</f>
        <v>#N/A</v>
      </c>
      <c r="Z212" s="163"/>
      <c r="AA212" s="139" t="str">
        <f>(VLOOKUP(Z212,'BD LUB'!$A$2:$L$223,5,FALSE)/VLOOKUP(Z212,'BD LUB'!$A$2:$L$223,7,FALSE))+(VLOOKUP(Z212,'BD LUB'!$A$2:$L$223,6,FALSE)/VLOOKUP(Z212,'BD LUB'!$A$2:$L$223,8,FALSE))</f>
        <v>#N/A</v>
      </c>
      <c r="AB212" s="78" t="str">
        <f>IF(AND(VLOOKUP(Z212,'BD LUB'!$A$2:$L$223,11,FALSE)="PASADO",VLOOKUP(Z212,'BD LUB'!$A$2:$L$223,12,FALSE)="PASADO"),1,IF(OR(AND(VLOOKUP(Z212,'BD LUB'!$A$2:$L$223,11,FALSE)="PASADO",VLOOKUP(Z212,'BD LUB'!$A$2:$L$223,12,FALSE)="PRÓXIMO"),AND(VLOOKUP(Z212,'BD LUB'!$A$2:$L$223,11,FALSE)="PRÓXIMO",VLOOKUP(Z212,'BD LUB'!$A$2:$L$223,12,FALSE)="PASADO")),2,IF(OR(AND(VLOOKUP(Z212,'BD LUB'!$A$2:$L$223,11,FALSE)="PASADO",VLOOKUP(Z212,'BD LUB'!$A$2:$L$223,12,FALSE)="VIGENTE"),AND(VLOOKUP(Z212,'BD LUB'!$A$2:$L$223,11,FALSE)="VIGENTE",VLOOKUP(Z212,'BD LUB'!$A$2:$L$223,12,FALSE)="PASADO")),3,IF(AND(VLOOKUP(Z212,'BD LUB'!$A$2:$L$223,11,FALSE)="PRÓXIMO",VLOOKUP(Z212,'BD LUB'!$A$2:$L$223,12,FALSE)="PRÓXIMO"),4,IF(OR(AND(VLOOKUP(Z212,'BD LUB'!$A$2:$L$223,11,FALSE)="PRÓXIMO",VLOOKUP(Z212,'BD LUB'!$A$2:$L$223,12,FALSE)="VIGENTE"),AND(VLOOKUP(Z212,'BD LUB'!$A$2:$L$223,11,FALSE)="VIGENTE",VLOOKUP(Z212,'BD LUB'!$A$2:$L$223,12,FALSE)="PRÓXIMO")),5,IF(AND(VLOOKUP(Z212,'BD LUB'!$A$2:$L$223,11,FALSE)="VIGENTE",VLOOKUP(Z212,'BD LUB'!$A$2:$L$223,12,FALSE)="VIGENTE"),6,"No definido"))))))</f>
        <v>#N/A</v>
      </c>
      <c r="AC212" s="163"/>
      <c r="AD212" s="136" t="str">
        <f>IF(VLOOKUP(AC212,'BD LUB'!$A$2:$C$223,3,FALSE)=$AH$20,AC212&amp;" MED",IF(VLOOKUP(AC212,'BD LUB'!$A$2:$C$223,3,FALSE)=$AH$19,AC212&amp;" MAY",IF(VLOOKUP(AC212,'BD LUB'!$A$2:$C$223,3,FALSE)=$AH$18,AC212&amp;" RN",IF(VLOOKUP(AC212,'BD LUB'!$A$2:$C$223,3,FALSE)=$AH$17,AC212&amp;" COPQUI",IF(VLOOKUP(AC212,'BD LUB'!$A$2:$C$223,3,FALSE)=$AH$16,AC212&amp;" CEJ",IF(VLOOKUP(AC212,'BD LUB'!$A$2:$C$223,3,FALSE)=$AH$15,AC212&amp;" BULT",IF(VLOOKUP(AC212,'BD LUB'!$A$2:$C$223,3,FALSE)=$AH$14,AC212&amp;" COP",IF(VLOOKUP(AC212,'BD LUB'!$A$2:$C$223,3,FALSE)=$AH$13,AC212&amp;" RIO",IF(VLOOKUP(AC212,'BD LUB'!$A$2:$C$223,3,FALSE)=$AH$21,AC212&amp;" APART","Dato no encontrado")))))))))</f>
        <v>#N/A</v>
      </c>
      <c r="AE212" s="160"/>
      <c r="AF212" s="160"/>
      <c r="AG212" s="160"/>
      <c r="AH212" s="160"/>
      <c r="AI212" s="160"/>
      <c r="AJ212" s="160"/>
      <c r="AP212" s="160"/>
      <c r="AV212" s="160"/>
    </row>
    <row r="213">
      <c r="A213" s="158"/>
      <c r="B213" s="126">
        <v>210.0</v>
      </c>
      <c r="C213" s="78">
        <f>IFERROR(__xludf.DUMMYFUNCTION("""COMPUTED_VALUE"""),2904.0)</f>
        <v>2904</v>
      </c>
      <c r="D213" s="156">
        <f>IFERROR(__xludf.DUMMYFUNCTION("""COMPUTED_VALUE"""),46275.0)</f>
        <v>46275</v>
      </c>
      <c r="E213" s="78" t="str">
        <f>IFERROR(__xludf.DUMMYFUNCTION("""COMPUTED_VALUE"""),"02-Medellin")</f>
        <v>02-Medellin</v>
      </c>
      <c r="F213" s="156">
        <f>IFERROR(__xludf.DUMMYFUNCTION("""COMPUTED_VALUE"""),46167.0)</f>
        <v>46167</v>
      </c>
      <c r="G213" s="159">
        <f>IFERROR(__xludf.DUMMYFUNCTION("""COMPUTED_VALUE"""),131.0)</f>
        <v>131</v>
      </c>
      <c r="H213" s="78" t="str">
        <f>IFERROR(__xludf.DUMMYFUNCTION("""COMPUTED_VALUE"""),"VIGENTE")</f>
        <v>VIGENTE</v>
      </c>
      <c r="I213" s="132" t="str">
        <f t="shared" si="1"/>
        <v>-</v>
      </c>
      <c r="J213" s="158"/>
      <c r="K213" s="126">
        <v>210.0</v>
      </c>
      <c r="L213" s="78">
        <f>IFERROR(__xludf.DUMMYFUNCTION("""COMPUTED_VALUE"""),2779.0)</f>
        <v>2779</v>
      </c>
      <c r="M213" s="156">
        <f>IFERROR(__xludf.DUMMYFUNCTION("""COMPUTED_VALUE"""),46306.0)</f>
        <v>46306</v>
      </c>
      <c r="N213" s="78" t="str">
        <f>IFERROR(__xludf.DUMMYFUNCTION("""COMPUTED_VALUE"""),"02-Medellin")</f>
        <v>02-Medellin</v>
      </c>
      <c r="O213" s="156">
        <f>IFERROR(__xludf.DUMMYFUNCTION("""COMPUTED_VALUE"""),46161.0)</f>
        <v>46161</v>
      </c>
      <c r="P213" s="159">
        <f>IFERROR(__xludf.DUMMYFUNCTION("""COMPUTED_VALUE"""),12063.3)</f>
        <v>12063.3</v>
      </c>
      <c r="Q213" s="78" t="str">
        <f>IFERROR(__xludf.DUMMYFUNCTION("""COMPUTED_VALUE"""),"VIGENTE")</f>
        <v>VIGENTE</v>
      </c>
      <c r="R213" s="132" t="str">
        <f t="shared" si="2"/>
        <v>-</v>
      </c>
      <c r="T213" s="134" t="str">
        <f>CALENDARIO!D225</f>
        <v/>
      </c>
      <c r="U213" s="135" t="str">
        <f>CALENDARIO!C225</f>
        <v/>
      </c>
      <c r="W213" s="128"/>
      <c r="X213" s="136" t="str">
        <f>(VLOOKUP(W213,'BD LUB'!$A$2:$L$223,5,FALSE)/VLOOKUP(W213,'BD LUB'!$A$2:$L$223,7,FALSE))+(VLOOKUP(W213,'BD LUB'!$A$2:$L$223,6,FALSE)/VLOOKUP(W213,'BD LUB'!$A$2:$L$223,8,FALSE))</f>
        <v>#N/A</v>
      </c>
      <c r="Y213" s="161" t="str">
        <f>IF(AND(VLOOKUP(W213,'BD LUB'!$A$2:$L$223,11,FALSE)="PASADO",VLOOKUP(W213,'BD LUB'!$A$2:$L$223,12,FALSE)="PASADO"),1,IF(OR(AND(VLOOKUP(W213,'BD LUB'!$A$2:$L$223,11,FALSE)="PASADO",VLOOKUP(W213,'BD LUB'!$A$2:$L$223,12,FALSE)="PRÓXIMO"),AND(VLOOKUP(W213,'BD LUB'!$A$2:$L$223,11,FALSE)="PRÓXIMO",VLOOKUP(W213,'BD LUB'!$A$2:$L$223,12,FALSE)="PASADO")),2,IF(OR(AND(VLOOKUP(W213,'BD LUB'!$A$2:$L$223,11,FALSE)="PASADO",VLOOKUP(W213,'BD LUB'!$A$2:$L$223,12,FALSE)="VIGENTE"),AND(VLOOKUP(W213,'BD LUB'!$A$2:$L$223,11,FALSE)="VIGENTE",VLOOKUP(W213,'BD LUB'!$A$2:$L$223,12,FALSE)="PASADO")),3,IF(AND(VLOOKUP(W213,'BD LUB'!$A$2:$L$223,11,FALSE)="PRÓXIMO",VLOOKUP(W213,'BD LUB'!$A$2:$L$223,12,FALSE)="PRÓXIMO"),4,IF(OR(AND(VLOOKUP(W213,'BD LUB'!$A$2:$L$223,11,FALSE)="PRÓXIMO",VLOOKUP(W213,'BD LUB'!$A$2:$L$223,12,FALSE)="VIGENTE"),AND(VLOOKUP(W213,'BD LUB'!$A$2:$L$223,11,FALSE)="VIGENTE",VLOOKUP(W213,'BD LUB'!$A$2:$L$223,12,FALSE)="PRÓXIMO")),5,IF(AND(VLOOKUP(W213,'BD LUB'!$A$2:$L$223,11,FALSE)="VIGENTE",VLOOKUP(W213,'BD LUB'!$A$2:$L$223,12,FALSE)="VIGENTE"),6,"No definido"))))))</f>
        <v>#N/A</v>
      </c>
      <c r="Z213" s="163"/>
      <c r="AA213" s="139" t="str">
        <f>(VLOOKUP(Z213,'BD LUB'!$A$2:$L$223,5,FALSE)/VLOOKUP(Z213,'BD LUB'!$A$2:$L$223,7,FALSE))+(VLOOKUP(Z213,'BD LUB'!$A$2:$L$223,6,FALSE)/VLOOKUP(Z213,'BD LUB'!$A$2:$L$223,8,FALSE))</f>
        <v>#N/A</v>
      </c>
      <c r="AB213" s="78" t="str">
        <f>IF(AND(VLOOKUP(Z213,'BD LUB'!$A$2:$L$223,11,FALSE)="PASADO",VLOOKUP(Z213,'BD LUB'!$A$2:$L$223,12,FALSE)="PASADO"),1,IF(OR(AND(VLOOKUP(Z213,'BD LUB'!$A$2:$L$223,11,FALSE)="PASADO",VLOOKUP(Z213,'BD LUB'!$A$2:$L$223,12,FALSE)="PRÓXIMO"),AND(VLOOKUP(Z213,'BD LUB'!$A$2:$L$223,11,FALSE)="PRÓXIMO",VLOOKUP(Z213,'BD LUB'!$A$2:$L$223,12,FALSE)="PASADO")),2,IF(OR(AND(VLOOKUP(Z213,'BD LUB'!$A$2:$L$223,11,FALSE)="PASADO",VLOOKUP(Z213,'BD LUB'!$A$2:$L$223,12,FALSE)="VIGENTE"),AND(VLOOKUP(Z213,'BD LUB'!$A$2:$L$223,11,FALSE)="VIGENTE",VLOOKUP(Z213,'BD LUB'!$A$2:$L$223,12,FALSE)="PASADO")),3,IF(AND(VLOOKUP(Z213,'BD LUB'!$A$2:$L$223,11,FALSE)="PRÓXIMO",VLOOKUP(Z213,'BD LUB'!$A$2:$L$223,12,FALSE)="PRÓXIMO"),4,IF(OR(AND(VLOOKUP(Z213,'BD LUB'!$A$2:$L$223,11,FALSE)="PRÓXIMO",VLOOKUP(Z213,'BD LUB'!$A$2:$L$223,12,FALSE)="VIGENTE"),AND(VLOOKUP(Z213,'BD LUB'!$A$2:$L$223,11,FALSE)="VIGENTE",VLOOKUP(Z213,'BD LUB'!$A$2:$L$223,12,FALSE)="PRÓXIMO")),5,IF(AND(VLOOKUP(Z213,'BD LUB'!$A$2:$L$223,11,FALSE)="VIGENTE",VLOOKUP(Z213,'BD LUB'!$A$2:$L$223,12,FALSE)="VIGENTE"),6,"No definido"))))))</f>
        <v>#N/A</v>
      </c>
      <c r="AC213" s="163"/>
      <c r="AD213" s="136" t="str">
        <f>IF(VLOOKUP(AC213,'BD LUB'!$A$2:$C$223,3,FALSE)=$AH$20,AC213&amp;" MED",IF(VLOOKUP(AC213,'BD LUB'!$A$2:$C$223,3,FALSE)=$AH$19,AC213&amp;" MAY",IF(VLOOKUP(AC213,'BD LUB'!$A$2:$C$223,3,FALSE)=$AH$18,AC213&amp;" RN",IF(VLOOKUP(AC213,'BD LUB'!$A$2:$C$223,3,FALSE)=$AH$17,AC213&amp;" COPQUI",IF(VLOOKUP(AC213,'BD LUB'!$A$2:$C$223,3,FALSE)=$AH$16,AC213&amp;" CEJ",IF(VLOOKUP(AC213,'BD LUB'!$A$2:$C$223,3,FALSE)=$AH$15,AC213&amp;" BULT",IF(VLOOKUP(AC213,'BD LUB'!$A$2:$C$223,3,FALSE)=$AH$14,AC213&amp;" COP",IF(VLOOKUP(AC213,'BD LUB'!$A$2:$C$223,3,FALSE)=$AH$13,AC213&amp;" RIO",IF(VLOOKUP(AC213,'BD LUB'!$A$2:$C$223,3,FALSE)=$AH$21,AC213&amp;" APART","Dato no encontrado")))))))))</f>
        <v>#N/A</v>
      </c>
      <c r="AE213" s="160"/>
      <c r="AF213" s="160"/>
      <c r="AG213" s="160"/>
      <c r="AH213" s="160"/>
      <c r="AI213" s="160"/>
      <c r="AJ213" s="160"/>
      <c r="AP213" s="160"/>
      <c r="AV213" s="160"/>
    </row>
    <row r="214">
      <c r="A214" s="158"/>
      <c r="B214" s="126">
        <v>211.0</v>
      </c>
      <c r="C214" s="78">
        <f>IFERROR(__xludf.DUMMYFUNCTION("""COMPUTED_VALUE"""),2867.0)</f>
        <v>2867</v>
      </c>
      <c r="D214" s="156">
        <f>IFERROR(__xludf.DUMMYFUNCTION("""COMPUTED_VALUE"""),46226.0)</f>
        <v>46226</v>
      </c>
      <c r="E214" s="78" t="str">
        <f>IFERROR(__xludf.DUMMYFUNCTION("""COMPUTED_VALUE"""),"02-Medellin")</f>
        <v>02-Medellin</v>
      </c>
      <c r="F214" s="156">
        <f>IFERROR(__xludf.DUMMYFUNCTION("""COMPUTED_VALUE"""),46167.0)</f>
        <v>46167</v>
      </c>
      <c r="G214" s="159">
        <f>IFERROR(__xludf.DUMMYFUNCTION("""COMPUTED_VALUE"""),131.0)</f>
        <v>131</v>
      </c>
      <c r="H214" s="78" t="str">
        <f>IFERROR(__xludf.DUMMYFUNCTION("""COMPUTED_VALUE"""),"VIGENTE")</f>
        <v>VIGENTE</v>
      </c>
      <c r="I214" s="132" t="str">
        <f t="shared" si="1"/>
        <v>-</v>
      </c>
      <c r="J214" s="158"/>
      <c r="K214" s="126">
        <v>211.0</v>
      </c>
      <c r="L214" s="78">
        <f>IFERROR(__xludf.DUMMYFUNCTION("""COMPUTED_VALUE"""),481.0)</f>
        <v>481</v>
      </c>
      <c r="M214" s="156">
        <f>IFERROR(__xludf.DUMMYFUNCTION("""COMPUTED_VALUE"""),46287.0)</f>
        <v>46287</v>
      </c>
      <c r="N214" s="78" t="str">
        <f>IFERROR(__xludf.DUMMYFUNCTION("""COMPUTED_VALUE"""),"02-Medellin")</f>
        <v>02-Medellin</v>
      </c>
      <c r="O214" s="156">
        <f>IFERROR(__xludf.DUMMYFUNCTION("""COMPUTED_VALUE"""),46036.0)</f>
        <v>46036</v>
      </c>
      <c r="P214" s="159">
        <f>IFERROR(__xludf.DUMMYFUNCTION("""COMPUTED_VALUE"""),12801.8)</f>
        <v>12801.8</v>
      </c>
      <c r="Q214" s="78" t="str">
        <f>IFERROR(__xludf.DUMMYFUNCTION("""COMPUTED_VALUE"""),"VIGENTE")</f>
        <v>VIGENTE</v>
      </c>
      <c r="R214" s="132" t="str">
        <f t="shared" si="2"/>
        <v>-</v>
      </c>
      <c r="T214" s="134" t="str">
        <f>CALENDARIO!D226</f>
        <v/>
      </c>
      <c r="U214" s="135" t="str">
        <f>CALENDARIO!C226</f>
        <v/>
      </c>
      <c r="W214" s="128"/>
      <c r="X214" s="136" t="str">
        <f>(VLOOKUP(W214,'BD LUB'!$A$2:$L$223,5,FALSE)/VLOOKUP(W214,'BD LUB'!$A$2:$L$223,7,FALSE))+(VLOOKUP(W214,'BD LUB'!$A$2:$L$223,6,FALSE)/VLOOKUP(W214,'BD LUB'!$A$2:$L$223,8,FALSE))</f>
        <v>#N/A</v>
      </c>
      <c r="Y214" s="161" t="str">
        <f>IF(AND(VLOOKUP(W214,'BD LUB'!$A$2:$L$223,11,FALSE)="PASADO",VLOOKUP(W214,'BD LUB'!$A$2:$L$223,12,FALSE)="PASADO"),1,IF(OR(AND(VLOOKUP(W214,'BD LUB'!$A$2:$L$223,11,FALSE)="PASADO",VLOOKUP(W214,'BD LUB'!$A$2:$L$223,12,FALSE)="PRÓXIMO"),AND(VLOOKUP(W214,'BD LUB'!$A$2:$L$223,11,FALSE)="PRÓXIMO",VLOOKUP(W214,'BD LUB'!$A$2:$L$223,12,FALSE)="PASADO")),2,IF(OR(AND(VLOOKUP(W214,'BD LUB'!$A$2:$L$223,11,FALSE)="PASADO",VLOOKUP(W214,'BD LUB'!$A$2:$L$223,12,FALSE)="VIGENTE"),AND(VLOOKUP(W214,'BD LUB'!$A$2:$L$223,11,FALSE)="VIGENTE",VLOOKUP(W214,'BD LUB'!$A$2:$L$223,12,FALSE)="PASADO")),3,IF(AND(VLOOKUP(W214,'BD LUB'!$A$2:$L$223,11,FALSE)="PRÓXIMO",VLOOKUP(W214,'BD LUB'!$A$2:$L$223,12,FALSE)="PRÓXIMO"),4,IF(OR(AND(VLOOKUP(W214,'BD LUB'!$A$2:$L$223,11,FALSE)="PRÓXIMO",VLOOKUP(W214,'BD LUB'!$A$2:$L$223,12,FALSE)="VIGENTE"),AND(VLOOKUP(W214,'BD LUB'!$A$2:$L$223,11,FALSE)="VIGENTE",VLOOKUP(W214,'BD LUB'!$A$2:$L$223,12,FALSE)="PRÓXIMO")),5,IF(AND(VLOOKUP(W214,'BD LUB'!$A$2:$L$223,11,FALSE)="VIGENTE",VLOOKUP(W214,'BD LUB'!$A$2:$L$223,12,FALSE)="VIGENTE"),6,"No definido"))))))</f>
        <v>#N/A</v>
      </c>
      <c r="Z214" s="163"/>
      <c r="AA214" s="139" t="str">
        <f>(VLOOKUP(Z214,'BD LUB'!$A$2:$L$223,5,FALSE)/VLOOKUP(Z214,'BD LUB'!$A$2:$L$223,7,FALSE))+(VLOOKUP(Z214,'BD LUB'!$A$2:$L$223,6,FALSE)/VLOOKUP(Z214,'BD LUB'!$A$2:$L$223,8,FALSE))</f>
        <v>#N/A</v>
      </c>
      <c r="AB214" s="78" t="str">
        <f>IF(AND(VLOOKUP(Z214,'BD LUB'!$A$2:$L$223,11,FALSE)="PASADO",VLOOKUP(Z214,'BD LUB'!$A$2:$L$223,12,FALSE)="PASADO"),1,IF(OR(AND(VLOOKUP(Z214,'BD LUB'!$A$2:$L$223,11,FALSE)="PASADO",VLOOKUP(Z214,'BD LUB'!$A$2:$L$223,12,FALSE)="PRÓXIMO"),AND(VLOOKUP(Z214,'BD LUB'!$A$2:$L$223,11,FALSE)="PRÓXIMO",VLOOKUP(Z214,'BD LUB'!$A$2:$L$223,12,FALSE)="PASADO")),2,IF(OR(AND(VLOOKUP(Z214,'BD LUB'!$A$2:$L$223,11,FALSE)="PASADO",VLOOKUP(Z214,'BD LUB'!$A$2:$L$223,12,FALSE)="VIGENTE"),AND(VLOOKUP(Z214,'BD LUB'!$A$2:$L$223,11,FALSE)="VIGENTE",VLOOKUP(Z214,'BD LUB'!$A$2:$L$223,12,FALSE)="PASADO")),3,IF(AND(VLOOKUP(Z214,'BD LUB'!$A$2:$L$223,11,FALSE)="PRÓXIMO",VLOOKUP(Z214,'BD LUB'!$A$2:$L$223,12,FALSE)="PRÓXIMO"),4,IF(OR(AND(VLOOKUP(Z214,'BD LUB'!$A$2:$L$223,11,FALSE)="PRÓXIMO",VLOOKUP(Z214,'BD LUB'!$A$2:$L$223,12,FALSE)="VIGENTE"),AND(VLOOKUP(Z214,'BD LUB'!$A$2:$L$223,11,FALSE)="VIGENTE",VLOOKUP(Z214,'BD LUB'!$A$2:$L$223,12,FALSE)="PRÓXIMO")),5,IF(AND(VLOOKUP(Z214,'BD LUB'!$A$2:$L$223,11,FALSE)="VIGENTE",VLOOKUP(Z214,'BD LUB'!$A$2:$L$223,12,FALSE)="VIGENTE"),6,"No definido"))))))</f>
        <v>#N/A</v>
      </c>
      <c r="AC214" s="163"/>
      <c r="AD214" s="136" t="str">
        <f>IF(VLOOKUP(AC214,'BD LUB'!$A$2:$C$223,3,FALSE)=$AH$20,AC214&amp;" MED",IF(VLOOKUP(AC214,'BD LUB'!$A$2:$C$223,3,FALSE)=$AH$19,AC214&amp;" MAY",IF(VLOOKUP(AC214,'BD LUB'!$A$2:$C$223,3,FALSE)=$AH$18,AC214&amp;" RN",IF(VLOOKUP(AC214,'BD LUB'!$A$2:$C$223,3,FALSE)=$AH$17,AC214&amp;" COPQUI",IF(VLOOKUP(AC214,'BD LUB'!$A$2:$C$223,3,FALSE)=$AH$16,AC214&amp;" CEJ",IF(VLOOKUP(AC214,'BD LUB'!$A$2:$C$223,3,FALSE)=$AH$15,AC214&amp;" BULT",IF(VLOOKUP(AC214,'BD LUB'!$A$2:$C$223,3,FALSE)=$AH$14,AC214&amp;" COP",IF(VLOOKUP(AC214,'BD LUB'!$A$2:$C$223,3,FALSE)=$AH$13,AC214&amp;" RIO",IF(VLOOKUP(AC214,'BD LUB'!$A$2:$C$223,3,FALSE)=$AH$21,AC214&amp;" APART","Dato no encontrado")))))))))</f>
        <v>#N/A</v>
      </c>
      <c r="AE214" s="160"/>
      <c r="AF214" s="160"/>
      <c r="AG214" s="160"/>
      <c r="AH214" s="160"/>
      <c r="AI214" s="160"/>
      <c r="AJ214" s="160"/>
      <c r="AP214" s="160"/>
      <c r="AV214" s="160"/>
    </row>
    <row r="215">
      <c r="A215" s="158"/>
      <c r="B215" s="126">
        <v>212.0</v>
      </c>
      <c r="C215" s="78">
        <f>IFERROR(__xludf.DUMMYFUNCTION("""COMPUTED_VALUE"""),2570.0)</f>
        <v>2570</v>
      </c>
      <c r="D215" s="156">
        <f>IFERROR(__xludf.DUMMYFUNCTION("""COMPUTED_VALUE"""),46236.0)</f>
        <v>46236</v>
      </c>
      <c r="E215" s="78" t="str">
        <f>IFERROR(__xludf.DUMMYFUNCTION("""COMPUTED_VALUE"""),"02-Medellin")</f>
        <v>02-Medellin</v>
      </c>
      <c r="F215" s="156">
        <f>IFERROR(__xludf.DUMMYFUNCTION("""COMPUTED_VALUE"""),46167.0)</f>
        <v>46167</v>
      </c>
      <c r="G215" s="159">
        <f>IFERROR(__xludf.DUMMYFUNCTION("""COMPUTED_VALUE"""),131.0)</f>
        <v>131</v>
      </c>
      <c r="H215" s="78" t="str">
        <f>IFERROR(__xludf.DUMMYFUNCTION("""COMPUTED_VALUE"""),"VIGENTE")</f>
        <v>VIGENTE</v>
      </c>
      <c r="I215" s="132" t="str">
        <f t="shared" si="1"/>
        <v>-</v>
      </c>
      <c r="J215" s="158"/>
      <c r="K215" s="126">
        <v>212.0</v>
      </c>
      <c r="L215" s="78">
        <f>IFERROR(__xludf.DUMMYFUNCTION("""COMPUTED_VALUE"""),495.0)</f>
        <v>495</v>
      </c>
      <c r="M215" s="156">
        <f>IFERROR(__xludf.DUMMYFUNCTION("""COMPUTED_VALUE"""),46297.0)</f>
        <v>46297</v>
      </c>
      <c r="N215" s="78" t="str">
        <f>IFERROR(__xludf.DUMMYFUNCTION("""COMPUTED_VALUE"""),"02-Medellin")</f>
        <v>02-Medellin</v>
      </c>
      <c r="O215" s="156">
        <f>IFERROR(__xludf.DUMMYFUNCTION("""COMPUTED_VALUE"""),46035.0)</f>
        <v>46035</v>
      </c>
      <c r="P215" s="159">
        <f>IFERROR(__xludf.DUMMYFUNCTION("""COMPUTED_VALUE"""),14235.3)</f>
        <v>14235.3</v>
      </c>
      <c r="Q215" s="78" t="str">
        <f>IFERROR(__xludf.DUMMYFUNCTION("""COMPUTED_VALUE"""),"VIGENTE")</f>
        <v>VIGENTE</v>
      </c>
      <c r="R215" s="132" t="str">
        <f t="shared" si="2"/>
        <v>-</v>
      </c>
      <c r="T215" s="134" t="str">
        <f>CALENDARIO!D227</f>
        <v/>
      </c>
      <c r="U215" s="135" t="str">
        <f>CALENDARIO!C227</f>
        <v/>
      </c>
      <c r="W215" s="128"/>
      <c r="X215" s="136" t="str">
        <f>(VLOOKUP(W215,'BD LUB'!$A$2:$L$223,5,FALSE)/VLOOKUP(W215,'BD LUB'!$A$2:$L$223,7,FALSE))+(VLOOKUP(W215,'BD LUB'!$A$2:$L$223,6,FALSE)/VLOOKUP(W215,'BD LUB'!$A$2:$L$223,8,FALSE))</f>
        <v>#N/A</v>
      </c>
      <c r="Y215" s="161" t="str">
        <f>IF(AND(VLOOKUP(W215,'BD LUB'!$A$2:$L$223,11,FALSE)="PASADO",VLOOKUP(W215,'BD LUB'!$A$2:$L$223,12,FALSE)="PASADO"),1,IF(OR(AND(VLOOKUP(W215,'BD LUB'!$A$2:$L$223,11,FALSE)="PASADO",VLOOKUP(W215,'BD LUB'!$A$2:$L$223,12,FALSE)="PRÓXIMO"),AND(VLOOKUP(W215,'BD LUB'!$A$2:$L$223,11,FALSE)="PRÓXIMO",VLOOKUP(W215,'BD LUB'!$A$2:$L$223,12,FALSE)="PASADO")),2,IF(OR(AND(VLOOKUP(W215,'BD LUB'!$A$2:$L$223,11,FALSE)="PASADO",VLOOKUP(W215,'BD LUB'!$A$2:$L$223,12,FALSE)="VIGENTE"),AND(VLOOKUP(W215,'BD LUB'!$A$2:$L$223,11,FALSE)="VIGENTE",VLOOKUP(W215,'BD LUB'!$A$2:$L$223,12,FALSE)="PASADO")),3,IF(AND(VLOOKUP(W215,'BD LUB'!$A$2:$L$223,11,FALSE)="PRÓXIMO",VLOOKUP(W215,'BD LUB'!$A$2:$L$223,12,FALSE)="PRÓXIMO"),4,IF(OR(AND(VLOOKUP(W215,'BD LUB'!$A$2:$L$223,11,FALSE)="PRÓXIMO",VLOOKUP(W215,'BD LUB'!$A$2:$L$223,12,FALSE)="VIGENTE"),AND(VLOOKUP(W215,'BD LUB'!$A$2:$L$223,11,FALSE)="VIGENTE",VLOOKUP(W215,'BD LUB'!$A$2:$L$223,12,FALSE)="PRÓXIMO")),5,IF(AND(VLOOKUP(W215,'BD LUB'!$A$2:$L$223,11,FALSE)="VIGENTE",VLOOKUP(W215,'BD LUB'!$A$2:$L$223,12,FALSE)="VIGENTE"),6,"No definido"))))))</f>
        <v>#N/A</v>
      </c>
      <c r="Z215" s="163"/>
      <c r="AA215" s="139" t="str">
        <f>(VLOOKUP(Z215,'BD LUB'!$A$2:$L$223,5,FALSE)/VLOOKUP(Z215,'BD LUB'!$A$2:$L$223,7,FALSE))+(VLOOKUP(Z215,'BD LUB'!$A$2:$L$223,6,FALSE)/VLOOKUP(Z215,'BD LUB'!$A$2:$L$223,8,FALSE))</f>
        <v>#N/A</v>
      </c>
      <c r="AB215" s="78" t="str">
        <f>IF(AND(VLOOKUP(Z215,'BD LUB'!$A$2:$L$223,11,FALSE)="PASADO",VLOOKUP(Z215,'BD LUB'!$A$2:$L$223,12,FALSE)="PASADO"),1,IF(OR(AND(VLOOKUP(Z215,'BD LUB'!$A$2:$L$223,11,FALSE)="PASADO",VLOOKUP(Z215,'BD LUB'!$A$2:$L$223,12,FALSE)="PRÓXIMO"),AND(VLOOKUP(Z215,'BD LUB'!$A$2:$L$223,11,FALSE)="PRÓXIMO",VLOOKUP(Z215,'BD LUB'!$A$2:$L$223,12,FALSE)="PASADO")),2,IF(OR(AND(VLOOKUP(Z215,'BD LUB'!$A$2:$L$223,11,FALSE)="PASADO",VLOOKUP(Z215,'BD LUB'!$A$2:$L$223,12,FALSE)="VIGENTE"),AND(VLOOKUP(Z215,'BD LUB'!$A$2:$L$223,11,FALSE)="VIGENTE",VLOOKUP(Z215,'BD LUB'!$A$2:$L$223,12,FALSE)="PASADO")),3,IF(AND(VLOOKUP(Z215,'BD LUB'!$A$2:$L$223,11,FALSE)="PRÓXIMO",VLOOKUP(Z215,'BD LUB'!$A$2:$L$223,12,FALSE)="PRÓXIMO"),4,IF(OR(AND(VLOOKUP(Z215,'BD LUB'!$A$2:$L$223,11,FALSE)="PRÓXIMO",VLOOKUP(Z215,'BD LUB'!$A$2:$L$223,12,FALSE)="VIGENTE"),AND(VLOOKUP(Z215,'BD LUB'!$A$2:$L$223,11,FALSE)="VIGENTE",VLOOKUP(Z215,'BD LUB'!$A$2:$L$223,12,FALSE)="PRÓXIMO")),5,IF(AND(VLOOKUP(Z215,'BD LUB'!$A$2:$L$223,11,FALSE)="VIGENTE",VLOOKUP(Z215,'BD LUB'!$A$2:$L$223,12,FALSE)="VIGENTE"),6,"No definido"))))))</f>
        <v>#N/A</v>
      </c>
      <c r="AC215" s="163"/>
      <c r="AD215" s="136" t="str">
        <f>IF(VLOOKUP(AC215,'BD LUB'!$A$2:$C$223,3,FALSE)=$AH$20,AC215&amp;" MED",IF(VLOOKUP(AC215,'BD LUB'!$A$2:$C$223,3,FALSE)=$AH$19,AC215&amp;" MAY",IF(VLOOKUP(AC215,'BD LUB'!$A$2:$C$223,3,FALSE)=$AH$18,AC215&amp;" RN",IF(VLOOKUP(AC215,'BD LUB'!$A$2:$C$223,3,FALSE)=$AH$17,AC215&amp;" COPQUI",IF(VLOOKUP(AC215,'BD LUB'!$A$2:$C$223,3,FALSE)=$AH$16,AC215&amp;" CEJ",IF(VLOOKUP(AC215,'BD LUB'!$A$2:$C$223,3,FALSE)=$AH$15,AC215&amp;" BULT",IF(VLOOKUP(AC215,'BD LUB'!$A$2:$C$223,3,FALSE)=$AH$14,AC215&amp;" COP",IF(VLOOKUP(AC215,'BD LUB'!$A$2:$C$223,3,FALSE)=$AH$13,AC215&amp;" RIO",IF(VLOOKUP(AC215,'BD LUB'!$A$2:$C$223,3,FALSE)=$AH$21,AC215&amp;" APART","Dato no encontrado")))))))))</f>
        <v>#N/A</v>
      </c>
      <c r="AE215" s="160"/>
      <c r="AF215" s="160"/>
      <c r="AG215" s="160"/>
      <c r="AH215" s="160"/>
      <c r="AI215" s="160"/>
      <c r="AJ215" s="160"/>
      <c r="AP215" s="160"/>
      <c r="AV215" s="160"/>
    </row>
    <row r="216">
      <c r="A216" s="158"/>
      <c r="B216" s="126">
        <v>213.0</v>
      </c>
      <c r="C216" s="78">
        <f>IFERROR(__xludf.DUMMYFUNCTION("""COMPUTED_VALUE"""),2423.0)</f>
        <v>2423</v>
      </c>
      <c r="D216" s="156">
        <f>IFERROR(__xludf.DUMMYFUNCTION("""COMPUTED_VALUE"""),46513.0)</f>
        <v>46513</v>
      </c>
      <c r="E216" s="78" t="str">
        <f>IFERROR(__xludf.DUMMYFUNCTION("""COMPUTED_VALUE"""),"02-Medellin")</f>
        <v>02-Medellin</v>
      </c>
      <c r="F216" s="156">
        <f>IFERROR(__xludf.DUMMYFUNCTION("""COMPUTED_VALUE"""),46167.0)</f>
        <v>46167</v>
      </c>
      <c r="G216" s="159">
        <f>IFERROR(__xludf.DUMMYFUNCTION("""COMPUTED_VALUE"""),131.0)</f>
        <v>131</v>
      </c>
      <c r="H216" s="78" t="str">
        <f>IFERROR(__xludf.DUMMYFUNCTION("""COMPUTED_VALUE"""),"VIGENTE")</f>
        <v>VIGENTE</v>
      </c>
      <c r="I216" s="132" t="str">
        <f t="shared" si="1"/>
        <v>-</v>
      </c>
      <c r="J216" s="158"/>
      <c r="K216" s="126">
        <v>213.0</v>
      </c>
      <c r="L216" s="78">
        <f>IFERROR(__xludf.DUMMYFUNCTION("""COMPUTED_VALUE"""),496.0)</f>
        <v>496</v>
      </c>
      <c r="M216" s="156">
        <f>IFERROR(__xludf.DUMMYFUNCTION("""COMPUTED_VALUE"""),46315.0)</f>
        <v>46315</v>
      </c>
      <c r="N216" s="78" t="str">
        <f>IFERROR(__xludf.DUMMYFUNCTION("""COMPUTED_VALUE"""),"02-Medellin")</f>
        <v>02-Medellin</v>
      </c>
      <c r="O216" s="156">
        <f>IFERROR(__xludf.DUMMYFUNCTION("""COMPUTED_VALUE"""),46038.0)</f>
        <v>46038</v>
      </c>
      <c r="P216" s="159">
        <f>IFERROR(__xludf.DUMMYFUNCTION("""COMPUTED_VALUE"""),17407.8)</f>
        <v>17407.8</v>
      </c>
      <c r="Q216" s="78" t="str">
        <f>IFERROR(__xludf.DUMMYFUNCTION("""COMPUTED_VALUE"""),"VIGENTE")</f>
        <v>VIGENTE</v>
      </c>
      <c r="R216" s="132" t="str">
        <f t="shared" si="2"/>
        <v>-</v>
      </c>
      <c r="T216" s="134" t="str">
        <f>CALENDARIO!D228</f>
        <v/>
      </c>
      <c r="U216" s="135" t="str">
        <f>CALENDARIO!C228</f>
        <v/>
      </c>
      <c r="W216" s="128"/>
      <c r="X216" s="136" t="str">
        <f>(VLOOKUP(W216,'BD LUB'!$A$2:$L$223,5,FALSE)/VLOOKUP(W216,'BD LUB'!$A$2:$L$223,7,FALSE))+(VLOOKUP(W216,'BD LUB'!$A$2:$L$223,6,FALSE)/VLOOKUP(W216,'BD LUB'!$A$2:$L$223,8,FALSE))</f>
        <v>#N/A</v>
      </c>
      <c r="Y216" s="161" t="str">
        <f>IF(AND(VLOOKUP(W216,'BD LUB'!$A$2:$L$223,11,FALSE)="PASADO",VLOOKUP(W216,'BD LUB'!$A$2:$L$223,12,FALSE)="PASADO"),1,IF(OR(AND(VLOOKUP(W216,'BD LUB'!$A$2:$L$223,11,FALSE)="PASADO",VLOOKUP(W216,'BD LUB'!$A$2:$L$223,12,FALSE)="PRÓXIMO"),AND(VLOOKUP(W216,'BD LUB'!$A$2:$L$223,11,FALSE)="PRÓXIMO",VLOOKUP(W216,'BD LUB'!$A$2:$L$223,12,FALSE)="PASADO")),2,IF(OR(AND(VLOOKUP(W216,'BD LUB'!$A$2:$L$223,11,FALSE)="PASADO",VLOOKUP(W216,'BD LUB'!$A$2:$L$223,12,FALSE)="VIGENTE"),AND(VLOOKUP(W216,'BD LUB'!$A$2:$L$223,11,FALSE)="VIGENTE",VLOOKUP(W216,'BD LUB'!$A$2:$L$223,12,FALSE)="PASADO")),3,IF(AND(VLOOKUP(W216,'BD LUB'!$A$2:$L$223,11,FALSE)="PRÓXIMO",VLOOKUP(W216,'BD LUB'!$A$2:$L$223,12,FALSE)="PRÓXIMO"),4,IF(OR(AND(VLOOKUP(W216,'BD LUB'!$A$2:$L$223,11,FALSE)="PRÓXIMO",VLOOKUP(W216,'BD LUB'!$A$2:$L$223,12,FALSE)="VIGENTE"),AND(VLOOKUP(W216,'BD LUB'!$A$2:$L$223,11,FALSE)="VIGENTE",VLOOKUP(W216,'BD LUB'!$A$2:$L$223,12,FALSE)="PRÓXIMO")),5,IF(AND(VLOOKUP(W216,'BD LUB'!$A$2:$L$223,11,FALSE)="VIGENTE",VLOOKUP(W216,'BD LUB'!$A$2:$L$223,12,FALSE)="VIGENTE"),6,"No definido"))))))</f>
        <v>#N/A</v>
      </c>
      <c r="Z216" s="163"/>
      <c r="AA216" s="139" t="str">
        <f>(VLOOKUP(Z216,'BD LUB'!$A$2:$L$223,5,FALSE)/VLOOKUP(Z216,'BD LUB'!$A$2:$L$223,7,FALSE))+(VLOOKUP(Z216,'BD LUB'!$A$2:$L$223,6,FALSE)/VLOOKUP(Z216,'BD LUB'!$A$2:$L$223,8,FALSE))</f>
        <v>#N/A</v>
      </c>
      <c r="AB216" s="78" t="str">
        <f>IF(AND(VLOOKUP(Z216,'BD LUB'!$A$2:$L$223,11,FALSE)="PASADO",VLOOKUP(Z216,'BD LUB'!$A$2:$L$223,12,FALSE)="PASADO"),1,IF(OR(AND(VLOOKUP(Z216,'BD LUB'!$A$2:$L$223,11,FALSE)="PASADO",VLOOKUP(Z216,'BD LUB'!$A$2:$L$223,12,FALSE)="PRÓXIMO"),AND(VLOOKUP(Z216,'BD LUB'!$A$2:$L$223,11,FALSE)="PRÓXIMO",VLOOKUP(Z216,'BD LUB'!$A$2:$L$223,12,FALSE)="PASADO")),2,IF(OR(AND(VLOOKUP(Z216,'BD LUB'!$A$2:$L$223,11,FALSE)="PASADO",VLOOKUP(Z216,'BD LUB'!$A$2:$L$223,12,FALSE)="VIGENTE"),AND(VLOOKUP(Z216,'BD LUB'!$A$2:$L$223,11,FALSE)="VIGENTE",VLOOKUP(Z216,'BD LUB'!$A$2:$L$223,12,FALSE)="PASADO")),3,IF(AND(VLOOKUP(Z216,'BD LUB'!$A$2:$L$223,11,FALSE)="PRÓXIMO",VLOOKUP(Z216,'BD LUB'!$A$2:$L$223,12,FALSE)="PRÓXIMO"),4,IF(OR(AND(VLOOKUP(Z216,'BD LUB'!$A$2:$L$223,11,FALSE)="PRÓXIMO",VLOOKUP(Z216,'BD LUB'!$A$2:$L$223,12,FALSE)="VIGENTE"),AND(VLOOKUP(Z216,'BD LUB'!$A$2:$L$223,11,FALSE)="VIGENTE",VLOOKUP(Z216,'BD LUB'!$A$2:$L$223,12,FALSE)="PRÓXIMO")),5,IF(AND(VLOOKUP(Z216,'BD LUB'!$A$2:$L$223,11,FALSE)="VIGENTE",VLOOKUP(Z216,'BD LUB'!$A$2:$L$223,12,FALSE)="VIGENTE"),6,"No definido"))))))</f>
        <v>#N/A</v>
      </c>
      <c r="AC216" s="163"/>
      <c r="AD216" s="136" t="str">
        <f>IF(VLOOKUP(AC216,'BD LUB'!$A$2:$C$223,3,FALSE)=$AH$20,AC216&amp;" MED",IF(VLOOKUP(AC216,'BD LUB'!$A$2:$C$223,3,FALSE)=$AH$19,AC216&amp;" MAY",IF(VLOOKUP(AC216,'BD LUB'!$A$2:$C$223,3,FALSE)=$AH$18,AC216&amp;" RN",IF(VLOOKUP(AC216,'BD LUB'!$A$2:$C$223,3,FALSE)=$AH$17,AC216&amp;" COPQUI",IF(VLOOKUP(AC216,'BD LUB'!$A$2:$C$223,3,FALSE)=$AH$16,AC216&amp;" CEJ",IF(VLOOKUP(AC216,'BD LUB'!$A$2:$C$223,3,FALSE)=$AH$15,AC216&amp;" BULT",IF(VLOOKUP(AC216,'BD LUB'!$A$2:$C$223,3,FALSE)=$AH$14,AC216&amp;" COP",IF(VLOOKUP(AC216,'BD LUB'!$A$2:$C$223,3,FALSE)=$AH$13,AC216&amp;" RIO",IF(VLOOKUP(AC216,'BD LUB'!$A$2:$C$223,3,FALSE)=$AH$21,AC216&amp;" APART","Dato no encontrado")))))))))</f>
        <v>#N/A</v>
      </c>
      <c r="AE216" s="160"/>
      <c r="AF216" s="160"/>
      <c r="AG216" s="160"/>
      <c r="AH216" s="160"/>
      <c r="AI216" s="160"/>
      <c r="AJ216" s="160"/>
      <c r="AP216" s="160"/>
      <c r="AV216" s="160"/>
    </row>
    <row r="217">
      <c r="A217" s="158"/>
      <c r="B217" s="126">
        <v>214.0</v>
      </c>
      <c r="C217" s="78">
        <f>IFERROR(__xludf.DUMMYFUNCTION("""COMPUTED_VALUE"""),2378.0)</f>
        <v>2378</v>
      </c>
      <c r="D217" s="156">
        <f>IFERROR(__xludf.DUMMYFUNCTION("""COMPUTED_VALUE"""),46542.0)</f>
        <v>46542</v>
      </c>
      <c r="E217" s="78" t="str">
        <f>IFERROR(__xludf.DUMMYFUNCTION("""COMPUTED_VALUE"""),"MAYORCA")</f>
        <v>MAYORCA</v>
      </c>
      <c r="F217" s="156">
        <f>IFERROR(__xludf.DUMMYFUNCTION("""COMPUTED_VALUE"""),46167.0)</f>
        <v>46167</v>
      </c>
      <c r="G217" s="159">
        <f>IFERROR(__xludf.DUMMYFUNCTION("""COMPUTED_VALUE"""),131.0)</f>
        <v>131</v>
      </c>
      <c r="H217" s="78" t="str">
        <f>IFERROR(__xludf.DUMMYFUNCTION("""COMPUTED_VALUE"""),"VIGENTE")</f>
        <v>VIGENTE</v>
      </c>
      <c r="I217" s="132" t="str">
        <f t="shared" si="1"/>
        <v>-</v>
      </c>
      <c r="J217" s="158"/>
      <c r="K217" s="126">
        <v>214.0</v>
      </c>
      <c r="L217" s="78">
        <f>IFERROR(__xludf.DUMMYFUNCTION("""COMPUTED_VALUE"""),654.0)</f>
        <v>654</v>
      </c>
      <c r="M217" s="156">
        <f>IFERROR(__xludf.DUMMYFUNCTION("""COMPUTED_VALUE"""),46309.0)</f>
        <v>46309</v>
      </c>
      <c r="N217" s="78" t="str">
        <f>IFERROR(__xludf.DUMMYFUNCTION("""COMPUTED_VALUE"""),"02-Medellin")</f>
        <v>02-Medellin</v>
      </c>
      <c r="O217" s="156">
        <f>IFERROR(__xludf.DUMMYFUNCTION("""COMPUTED_VALUE"""),46061.0)</f>
        <v>46061</v>
      </c>
      <c r="P217" s="159">
        <f>IFERROR(__xludf.DUMMYFUNCTION("""COMPUTED_VALUE"""),17588.3)</f>
        <v>17588.3</v>
      </c>
      <c r="Q217" s="78" t="str">
        <f>IFERROR(__xludf.DUMMYFUNCTION("""COMPUTED_VALUE"""),"VIGENTE")</f>
        <v>VIGENTE</v>
      </c>
      <c r="R217" s="132" t="str">
        <f t="shared" si="2"/>
        <v>-</v>
      </c>
      <c r="T217" s="134" t="str">
        <f>CALENDARIO!D229</f>
        <v/>
      </c>
      <c r="U217" s="135" t="str">
        <f>CALENDARIO!C229</f>
        <v/>
      </c>
      <c r="W217" s="128"/>
      <c r="X217" s="136" t="str">
        <f>(VLOOKUP(W217,'BD LUB'!$A$2:$L$223,5,FALSE)/VLOOKUP(W217,'BD LUB'!$A$2:$L$223,7,FALSE))+(VLOOKUP(W217,'BD LUB'!$A$2:$L$223,6,FALSE)/VLOOKUP(W217,'BD LUB'!$A$2:$L$223,8,FALSE))</f>
        <v>#N/A</v>
      </c>
      <c r="Y217" s="161" t="str">
        <f>IF(AND(VLOOKUP(W217,'BD LUB'!$A$2:$L$223,11,FALSE)="PASADO",VLOOKUP(W217,'BD LUB'!$A$2:$L$223,12,FALSE)="PASADO"),1,IF(OR(AND(VLOOKUP(W217,'BD LUB'!$A$2:$L$223,11,FALSE)="PASADO",VLOOKUP(W217,'BD LUB'!$A$2:$L$223,12,FALSE)="PRÓXIMO"),AND(VLOOKUP(W217,'BD LUB'!$A$2:$L$223,11,FALSE)="PRÓXIMO",VLOOKUP(W217,'BD LUB'!$A$2:$L$223,12,FALSE)="PASADO")),2,IF(OR(AND(VLOOKUP(W217,'BD LUB'!$A$2:$L$223,11,FALSE)="PASADO",VLOOKUP(W217,'BD LUB'!$A$2:$L$223,12,FALSE)="VIGENTE"),AND(VLOOKUP(W217,'BD LUB'!$A$2:$L$223,11,FALSE)="VIGENTE",VLOOKUP(W217,'BD LUB'!$A$2:$L$223,12,FALSE)="PASADO")),3,IF(AND(VLOOKUP(W217,'BD LUB'!$A$2:$L$223,11,FALSE)="PRÓXIMO",VLOOKUP(W217,'BD LUB'!$A$2:$L$223,12,FALSE)="PRÓXIMO"),4,IF(OR(AND(VLOOKUP(W217,'BD LUB'!$A$2:$L$223,11,FALSE)="PRÓXIMO",VLOOKUP(W217,'BD LUB'!$A$2:$L$223,12,FALSE)="VIGENTE"),AND(VLOOKUP(W217,'BD LUB'!$A$2:$L$223,11,FALSE)="VIGENTE",VLOOKUP(W217,'BD LUB'!$A$2:$L$223,12,FALSE)="PRÓXIMO")),5,IF(AND(VLOOKUP(W217,'BD LUB'!$A$2:$L$223,11,FALSE)="VIGENTE",VLOOKUP(W217,'BD LUB'!$A$2:$L$223,12,FALSE)="VIGENTE"),6,"No definido"))))))</f>
        <v>#N/A</v>
      </c>
      <c r="Z217" s="163"/>
      <c r="AA217" s="139" t="str">
        <f>(VLOOKUP(Z217,'BD LUB'!$A$2:$L$223,5,FALSE)/VLOOKUP(Z217,'BD LUB'!$A$2:$L$223,7,FALSE))+(VLOOKUP(Z217,'BD LUB'!$A$2:$L$223,6,FALSE)/VLOOKUP(Z217,'BD LUB'!$A$2:$L$223,8,FALSE))</f>
        <v>#N/A</v>
      </c>
      <c r="AB217" s="78" t="str">
        <f>IF(AND(VLOOKUP(Z217,'BD LUB'!$A$2:$L$223,11,FALSE)="PASADO",VLOOKUP(Z217,'BD LUB'!$A$2:$L$223,12,FALSE)="PASADO"),1,IF(OR(AND(VLOOKUP(Z217,'BD LUB'!$A$2:$L$223,11,FALSE)="PASADO",VLOOKUP(Z217,'BD LUB'!$A$2:$L$223,12,FALSE)="PRÓXIMO"),AND(VLOOKUP(Z217,'BD LUB'!$A$2:$L$223,11,FALSE)="PRÓXIMO",VLOOKUP(Z217,'BD LUB'!$A$2:$L$223,12,FALSE)="PASADO")),2,IF(OR(AND(VLOOKUP(Z217,'BD LUB'!$A$2:$L$223,11,FALSE)="PASADO",VLOOKUP(Z217,'BD LUB'!$A$2:$L$223,12,FALSE)="VIGENTE"),AND(VLOOKUP(Z217,'BD LUB'!$A$2:$L$223,11,FALSE)="VIGENTE",VLOOKUP(Z217,'BD LUB'!$A$2:$L$223,12,FALSE)="PASADO")),3,IF(AND(VLOOKUP(Z217,'BD LUB'!$A$2:$L$223,11,FALSE)="PRÓXIMO",VLOOKUP(Z217,'BD LUB'!$A$2:$L$223,12,FALSE)="PRÓXIMO"),4,IF(OR(AND(VLOOKUP(Z217,'BD LUB'!$A$2:$L$223,11,FALSE)="PRÓXIMO",VLOOKUP(Z217,'BD LUB'!$A$2:$L$223,12,FALSE)="VIGENTE"),AND(VLOOKUP(Z217,'BD LUB'!$A$2:$L$223,11,FALSE)="VIGENTE",VLOOKUP(Z217,'BD LUB'!$A$2:$L$223,12,FALSE)="PRÓXIMO")),5,IF(AND(VLOOKUP(Z217,'BD LUB'!$A$2:$L$223,11,FALSE)="VIGENTE",VLOOKUP(Z217,'BD LUB'!$A$2:$L$223,12,FALSE)="VIGENTE"),6,"No definido"))))))</f>
        <v>#N/A</v>
      </c>
      <c r="AC217" s="163"/>
      <c r="AD217" s="136" t="str">
        <f>IF(VLOOKUP(AC217,'BD LUB'!$A$2:$C$223,3,FALSE)=$AH$20,AC217&amp;" MED",IF(VLOOKUP(AC217,'BD LUB'!$A$2:$C$223,3,FALSE)=$AH$19,AC217&amp;" MAY",IF(VLOOKUP(AC217,'BD LUB'!$A$2:$C$223,3,FALSE)=$AH$18,AC217&amp;" RN",IF(VLOOKUP(AC217,'BD LUB'!$A$2:$C$223,3,FALSE)=$AH$17,AC217&amp;" COPQUI",IF(VLOOKUP(AC217,'BD LUB'!$A$2:$C$223,3,FALSE)=$AH$16,AC217&amp;" CEJ",IF(VLOOKUP(AC217,'BD LUB'!$A$2:$C$223,3,FALSE)=$AH$15,AC217&amp;" BULT",IF(VLOOKUP(AC217,'BD LUB'!$A$2:$C$223,3,FALSE)=$AH$14,AC217&amp;" COP",IF(VLOOKUP(AC217,'BD LUB'!$A$2:$C$223,3,FALSE)=$AH$13,AC217&amp;" RIO",IF(VLOOKUP(AC217,'BD LUB'!$A$2:$C$223,3,FALSE)=$AH$21,AC217&amp;" APART","Dato no encontrado")))))))))</f>
        <v>#N/A</v>
      </c>
      <c r="AE217" s="160"/>
      <c r="AF217" s="160"/>
      <c r="AG217" s="160"/>
      <c r="AH217" s="160"/>
      <c r="AI217" s="160"/>
      <c r="AJ217" s="160"/>
      <c r="AP217" s="160"/>
      <c r="AV217" s="160"/>
    </row>
    <row r="218">
      <c r="A218" s="158"/>
      <c r="B218" s="126">
        <v>215.0</v>
      </c>
      <c r="C218" s="78">
        <f>IFERROR(__xludf.DUMMYFUNCTION("""COMPUTED_VALUE"""),2367.0)</f>
        <v>2367</v>
      </c>
      <c r="D218" s="156">
        <f>IFERROR(__xludf.DUMMYFUNCTION("""COMPUTED_VALUE"""),46522.0)</f>
        <v>46522</v>
      </c>
      <c r="E218" s="78" t="str">
        <f>IFERROR(__xludf.DUMMYFUNCTION("""COMPUTED_VALUE"""),"31-Copacabana QUIMICOS")</f>
        <v>31-Copacabana QUIMICOS</v>
      </c>
      <c r="F218" s="156">
        <f>IFERROR(__xludf.DUMMYFUNCTION("""COMPUTED_VALUE"""),46167.0)</f>
        <v>46167</v>
      </c>
      <c r="G218" s="159">
        <f>IFERROR(__xludf.DUMMYFUNCTION("""COMPUTED_VALUE"""),131.0)</f>
        <v>131</v>
      </c>
      <c r="H218" s="78" t="str">
        <f>IFERROR(__xludf.DUMMYFUNCTION("""COMPUTED_VALUE"""),"VIGENTE")</f>
        <v>VIGENTE</v>
      </c>
      <c r="I218" s="132" t="str">
        <f t="shared" si="1"/>
        <v>-</v>
      </c>
      <c r="J218" s="158"/>
      <c r="K218" s="126">
        <v>215.0</v>
      </c>
      <c r="L218" s="78">
        <f>IFERROR(__xludf.DUMMYFUNCTION("""COMPUTED_VALUE"""),3048.0)</f>
        <v>3048</v>
      </c>
      <c r="M218" s="156">
        <f>IFERROR(__xludf.DUMMYFUNCTION("""COMPUTED_VALUE"""),46280.0)</f>
        <v>46280</v>
      </c>
      <c r="N218" s="78" t="str">
        <f>IFERROR(__xludf.DUMMYFUNCTION("""COMPUTED_VALUE"""),"02-Medellin")</f>
        <v>02-Medellin</v>
      </c>
      <c r="O218" s="156">
        <f>IFERROR(__xludf.DUMMYFUNCTION("""COMPUTED_VALUE"""),46050.0)</f>
        <v>46050</v>
      </c>
      <c r="P218" s="159">
        <f>IFERROR(__xludf.DUMMYFUNCTION("""COMPUTED_VALUE"""),19306.5)</f>
        <v>19306.5</v>
      </c>
      <c r="Q218" s="78" t="str">
        <f>IFERROR(__xludf.DUMMYFUNCTION("""COMPUTED_VALUE"""),"VIGENTE")</f>
        <v>VIGENTE</v>
      </c>
      <c r="R218" s="132" t="str">
        <f t="shared" si="2"/>
        <v>-</v>
      </c>
      <c r="T218" s="134" t="str">
        <f>CALENDARIO!D230</f>
        <v/>
      </c>
      <c r="U218" s="135" t="str">
        <f>CALENDARIO!C230</f>
        <v/>
      </c>
      <c r="W218" s="128"/>
      <c r="X218" s="136" t="str">
        <f>(VLOOKUP(W218,'BD LUB'!$A$2:$L$223,5,FALSE)/VLOOKUP(W218,'BD LUB'!$A$2:$L$223,7,FALSE))+(VLOOKUP(W218,'BD LUB'!$A$2:$L$223,6,FALSE)/VLOOKUP(W218,'BD LUB'!$A$2:$L$223,8,FALSE))</f>
        <v>#N/A</v>
      </c>
      <c r="Y218" s="161" t="str">
        <f>IF(AND(VLOOKUP(W218,'BD LUB'!$A$2:$L$223,11,FALSE)="PASADO",VLOOKUP(W218,'BD LUB'!$A$2:$L$223,12,FALSE)="PASADO"),1,IF(OR(AND(VLOOKUP(W218,'BD LUB'!$A$2:$L$223,11,FALSE)="PASADO",VLOOKUP(W218,'BD LUB'!$A$2:$L$223,12,FALSE)="PRÓXIMO"),AND(VLOOKUP(W218,'BD LUB'!$A$2:$L$223,11,FALSE)="PRÓXIMO",VLOOKUP(W218,'BD LUB'!$A$2:$L$223,12,FALSE)="PASADO")),2,IF(OR(AND(VLOOKUP(W218,'BD LUB'!$A$2:$L$223,11,FALSE)="PASADO",VLOOKUP(W218,'BD LUB'!$A$2:$L$223,12,FALSE)="VIGENTE"),AND(VLOOKUP(W218,'BD LUB'!$A$2:$L$223,11,FALSE)="VIGENTE",VLOOKUP(W218,'BD LUB'!$A$2:$L$223,12,FALSE)="PASADO")),3,IF(AND(VLOOKUP(W218,'BD LUB'!$A$2:$L$223,11,FALSE)="PRÓXIMO",VLOOKUP(W218,'BD LUB'!$A$2:$L$223,12,FALSE)="PRÓXIMO"),4,IF(OR(AND(VLOOKUP(W218,'BD LUB'!$A$2:$L$223,11,FALSE)="PRÓXIMO",VLOOKUP(W218,'BD LUB'!$A$2:$L$223,12,FALSE)="VIGENTE"),AND(VLOOKUP(W218,'BD LUB'!$A$2:$L$223,11,FALSE)="VIGENTE",VLOOKUP(W218,'BD LUB'!$A$2:$L$223,12,FALSE)="PRÓXIMO")),5,IF(AND(VLOOKUP(W218,'BD LUB'!$A$2:$L$223,11,FALSE)="VIGENTE",VLOOKUP(W218,'BD LUB'!$A$2:$L$223,12,FALSE)="VIGENTE"),6,"No definido"))))))</f>
        <v>#N/A</v>
      </c>
      <c r="Z218" s="163"/>
      <c r="AA218" s="139" t="str">
        <f>(VLOOKUP(Z218,'BD LUB'!$A$2:$L$223,5,FALSE)/VLOOKUP(Z218,'BD LUB'!$A$2:$L$223,7,FALSE))+(VLOOKUP(Z218,'BD LUB'!$A$2:$L$223,6,FALSE)/VLOOKUP(Z218,'BD LUB'!$A$2:$L$223,8,FALSE))</f>
        <v>#N/A</v>
      </c>
      <c r="AB218" s="78" t="str">
        <f>IF(AND(VLOOKUP(Z218,'BD LUB'!$A$2:$L$223,11,FALSE)="PASADO",VLOOKUP(Z218,'BD LUB'!$A$2:$L$223,12,FALSE)="PASADO"),1,IF(OR(AND(VLOOKUP(Z218,'BD LUB'!$A$2:$L$223,11,FALSE)="PASADO",VLOOKUP(Z218,'BD LUB'!$A$2:$L$223,12,FALSE)="PRÓXIMO"),AND(VLOOKUP(Z218,'BD LUB'!$A$2:$L$223,11,FALSE)="PRÓXIMO",VLOOKUP(Z218,'BD LUB'!$A$2:$L$223,12,FALSE)="PASADO")),2,IF(OR(AND(VLOOKUP(Z218,'BD LUB'!$A$2:$L$223,11,FALSE)="PASADO",VLOOKUP(Z218,'BD LUB'!$A$2:$L$223,12,FALSE)="VIGENTE"),AND(VLOOKUP(Z218,'BD LUB'!$A$2:$L$223,11,FALSE)="VIGENTE",VLOOKUP(Z218,'BD LUB'!$A$2:$L$223,12,FALSE)="PASADO")),3,IF(AND(VLOOKUP(Z218,'BD LUB'!$A$2:$L$223,11,FALSE)="PRÓXIMO",VLOOKUP(Z218,'BD LUB'!$A$2:$L$223,12,FALSE)="PRÓXIMO"),4,IF(OR(AND(VLOOKUP(Z218,'BD LUB'!$A$2:$L$223,11,FALSE)="PRÓXIMO",VLOOKUP(Z218,'BD LUB'!$A$2:$L$223,12,FALSE)="VIGENTE"),AND(VLOOKUP(Z218,'BD LUB'!$A$2:$L$223,11,FALSE)="VIGENTE",VLOOKUP(Z218,'BD LUB'!$A$2:$L$223,12,FALSE)="PRÓXIMO")),5,IF(AND(VLOOKUP(Z218,'BD LUB'!$A$2:$L$223,11,FALSE)="VIGENTE",VLOOKUP(Z218,'BD LUB'!$A$2:$L$223,12,FALSE)="VIGENTE"),6,"No definido"))))))</f>
        <v>#N/A</v>
      </c>
      <c r="AC218" s="163"/>
      <c r="AD218" s="136" t="str">
        <f>IF(VLOOKUP(AC218,'BD LUB'!$A$2:$C$223,3,FALSE)=$AH$20,AC218&amp;" MED",IF(VLOOKUP(AC218,'BD LUB'!$A$2:$C$223,3,FALSE)=$AH$19,AC218&amp;" MAY",IF(VLOOKUP(AC218,'BD LUB'!$A$2:$C$223,3,FALSE)=$AH$18,AC218&amp;" RN",IF(VLOOKUP(AC218,'BD LUB'!$A$2:$C$223,3,FALSE)=$AH$17,AC218&amp;" COPQUI",IF(VLOOKUP(AC218,'BD LUB'!$A$2:$C$223,3,FALSE)=$AH$16,AC218&amp;" CEJ",IF(VLOOKUP(AC218,'BD LUB'!$A$2:$C$223,3,FALSE)=$AH$15,AC218&amp;" BULT",IF(VLOOKUP(AC218,'BD LUB'!$A$2:$C$223,3,FALSE)=$AH$14,AC218&amp;" COP",IF(VLOOKUP(AC218,'BD LUB'!$A$2:$C$223,3,FALSE)=$AH$13,AC218&amp;" RIO",IF(VLOOKUP(AC218,'BD LUB'!$A$2:$C$223,3,FALSE)=$AH$21,AC218&amp;" APART","Dato no encontrado")))))))))</f>
        <v>#N/A</v>
      </c>
      <c r="AE218" s="160"/>
      <c r="AF218" s="160"/>
      <c r="AG218" s="160"/>
      <c r="AH218" s="160"/>
      <c r="AI218" s="160"/>
      <c r="AJ218" s="160"/>
      <c r="AP218" s="160"/>
      <c r="AV218" s="160"/>
    </row>
    <row r="219">
      <c r="A219" s="158"/>
      <c r="B219" s="126">
        <v>216.0</v>
      </c>
      <c r="C219" s="78">
        <f>IFERROR(__xludf.DUMMYFUNCTION("""COMPUTED_VALUE"""),2187.0)</f>
        <v>2187</v>
      </c>
      <c r="D219" s="156">
        <f>IFERROR(__xludf.DUMMYFUNCTION("""COMPUTED_VALUE"""),46410.0)</f>
        <v>46410</v>
      </c>
      <c r="E219" s="78" t="str">
        <f>IFERROR(__xludf.DUMMYFUNCTION("""COMPUTED_VALUE"""),"02-Medellin")</f>
        <v>02-Medellin</v>
      </c>
      <c r="F219" s="156">
        <f>IFERROR(__xludf.DUMMYFUNCTION("""COMPUTED_VALUE"""),46167.0)</f>
        <v>46167</v>
      </c>
      <c r="G219" s="159">
        <f>IFERROR(__xludf.DUMMYFUNCTION("""COMPUTED_VALUE"""),131.0)</f>
        <v>131</v>
      </c>
      <c r="H219" s="78" t="str">
        <f>IFERROR(__xludf.DUMMYFUNCTION("""COMPUTED_VALUE"""),"VIGENTE")</f>
        <v>VIGENTE</v>
      </c>
      <c r="I219" s="132" t="str">
        <f t="shared" si="1"/>
        <v>-</v>
      </c>
      <c r="J219" s="158"/>
      <c r="K219" s="126">
        <v>216.0</v>
      </c>
      <c r="L219" s="78">
        <f>IFERROR(__xludf.DUMMYFUNCTION("""COMPUTED_VALUE"""),657.0)</f>
        <v>657</v>
      </c>
      <c r="M219" s="156">
        <f>IFERROR(__xludf.DUMMYFUNCTION("""COMPUTED_VALUE"""),46301.0)</f>
        <v>46301</v>
      </c>
      <c r="N219" s="78" t="str">
        <f>IFERROR(__xludf.DUMMYFUNCTION("""COMPUTED_VALUE"""),"02-Medellin")</f>
        <v>02-Medellin</v>
      </c>
      <c r="O219" s="156">
        <f>IFERROR(__xludf.DUMMYFUNCTION("""COMPUTED_VALUE"""),46078.0)</f>
        <v>46078</v>
      </c>
      <c r="P219" s="159">
        <f>IFERROR(__xludf.DUMMYFUNCTION("""COMPUTED_VALUE"""),19551.0)</f>
        <v>19551</v>
      </c>
      <c r="Q219" s="78" t="str">
        <f>IFERROR(__xludf.DUMMYFUNCTION("""COMPUTED_VALUE"""),"VIGENTE")</f>
        <v>VIGENTE</v>
      </c>
      <c r="R219" s="132" t="str">
        <f t="shared" si="2"/>
        <v>-</v>
      </c>
      <c r="T219" s="134" t="str">
        <f>CALENDARIO!D231</f>
        <v/>
      </c>
      <c r="U219" s="135" t="str">
        <f>CALENDARIO!C231</f>
        <v/>
      </c>
      <c r="W219" s="128"/>
      <c r="X219" s="136" t="str">
        <f>(VLOOKUP(W219,'BD LUB'!$A$2:$L$223,5,FALSE)/VLOOKUP(W219,'BD LUB'!$A$2:$L$223,7,FALSE))+(VLOOKUP(W219,'BD LUB'!$A$2:$L$223,6,FALSE)/VLOOKUP(W219,'BD LUB'!$A$2:$L$223,8,FALSE))</f>
        <v>#N/A</v>
      </c>
      <c r="Y219" s="161" t="str">
        <f>IF(AND(VLOOKUP(W219,'BD LUB'!$A$2:$L$223,11,FALSE)="PASADO",VLOOKUP(W219,'BD LUB'!$A$2:$L$223,12,FALSE)="PASADO"),1,IF(OR(AND(VLOOKUP(W219,'BD LUB'!$A$2:$L$223,11,FALSE)="PASADO",VLOOKUP(W219,'BD LUB'!$A$2:$L$223,12,FALSE)="PRÓXIMO"),AND(VLOOKUP(W219,'BD LUB'!$A$2:$L$223,11,FALSE)="PRÓXIMO",VLOOKUP(W219,'BD LUB'!$A$2:$L$223,12,FALSE)="PASADO")),2,IF(OR(AND(VLOOKUP(W219,'BD LUB'!$A$2:$L$223,11,FALSE)="PASADO",VLOOKUP(W219,'BD LUB'!$A$2:$L$223,12,FALSE)="VIGENTE"),AND(VLOOKUP(W219,'BD LUB'!$A$2:$L$223,11,FALSE)="VIGENTE",VLOOKUP(W219,'BD LUB'!$A$2:$L$223,12,FALSE)="PASADO")),3,IF(AND(VLOOKUP(W219,'BD LUB'!$A$2:$L$223,11,FALSE)="PRÓXIMO",VLOOKUP(W219,'BD LUB'!$A$2:$L$223,12,FALSE)="PRÓXIMO"),4,IF(OR(AND(VLOOKUP(W219,'BD LUB'!$A$2:$L$223,11,FALSE)="PRÓXIMO",VLOOKUP(W219,'BD LUB'!$A$2:$L$223,12,FALSE)="VIGENTE"),AND(VLOOKUP(W219,'BD LUB'!$A$2:$L$223,11,FALSE)="VIGENTE",VLOOKUP(W219,'BD LUB'!$A$2:$L$223,12,FALSE)="PRÓXIMO")),5,IF(AND(VLOOKUP(W219,'BD LUB'!$A$2:$L$223,11,FALSE)="VIGENTE",VLOOKUP(W219,'BD LUB'!$A$2:$L$223,12,FALSE)="VIGENTE"),6,"No definido"))))))</f>
        <v>#N/A</v>
      </c>
      <c r="Z219" s="163"/>
      <c r="AA219" s="139" t="str">
        <f>(VLOOKUP(Z219,'BD LUB'!$A$2:$L$223,5,FALSE)/VLOOKUP(Z219,'BD LUB'!$A$2:$L$223,7,FALSE))+(VLOOKUP(Z219,'BD LUB'!$A$2:$L$223,6,FALSE)/VLOOKUP(Z219,'BD LUB'!$A$2:$L$223,8,FALSE))</f>
        <v>#N/A</v>
      </c>
      <c r="AB219" s="78" t="str">
        <f>IF(AND(VLOOKUP(Z219,'BD LUB'!$A$2:$L$223,11,FALSE)="PASADO",VLOOKUP(Z219,'BD LUB'!$A$2:$L$223,12,FALSE)="PASADO"),1,IF(OR(AND(VLOOKUP(Z219,'BD LUB'!$A$2:$L$223,11,FALSE)="PASADO",VLOOKUP(Z219,'BD LUB'!$A$2:$L$223,12,FALSE)="PRÓXIMO"),AND(VLOOKUP(Z219,'BD LUB'!$A$2:$L$223,11,FALSE)="PRÓXIMO",VLOOKUP(Z219,'BD LUB'!$A$2:$L$223,12,FALSE)="PASADO")),2,IF(OR(AND(VLOOKUP(Z219,'BD LUB'!$A$2:$L$223,11,FALSE)="PASADO",VLOOKUP(Z219,'BD LUB'!$A$2:$L$223,12,FALSE)="VIGENTE"),AND(VLOOKUP(Z219,'BD LUB'!$A$2:$L$223,11,FALSE)="VIGENTE",VLOOKUP(Z219,'BD LUB'!$A$2:$L$223,12,FALSE)="PASADO")),3,IF(AND(VLOOKUP(Z219,'BD LUB'!$A$2:$L$223,11,FALSE)="PRÓXIMO",VLOOKUP(Z219,'BD LUB'!$A$2:$L$223,12,FALSE)="PRÓXIMO"),4,IF(OR(AND(VLOOKUP(Z219,'BD LUB'!$A$2:$L$223,11,FALSE)="PRÓXIMO",VLOOKUP(Z219,'BD LUB'!$A$2:$L$223,12,FALSE)="VIGENTE"),AND(VLOOKUP(Z219,'BD LUB'!$A$2:$L$223,11,FALSE)="VIGENTE",VLOOKUP(Z219,'BD LUB'!$A$2:$L$223,12,FALSE)="PRÓXIMO")),5,IF(AND(VLOOKUP(Z219,'BD LUB'!$A$2:$L$223,11,FALSE)="VIGENTE",VLOOKUP(Z219,'BD LUB'!$A$2:$L$223,12,FALSE)="VIGENTE"),6,"No definido"))))))</f>
        <v>#N/A</v>
      </c>
      <c r="AC219" s="163"/>
      <c r="AD219" s="136" t="str">
        <f>IF(VLOOKUP(AC219,'BD LUB'!$A$2:$C$223,3,FALSE)=$AH$20,AC219&amp;" MED",IF(VLOOKUP(AC219,'BD LUB'!$A$2:$C$223,3,FALSE)=$AH$19,AC219&amp;" MAY",IF(VLOOKUP(AC219,'BD LUB'!$A$2:$C$223,3,FALSE)=$AH$18,AC219&amp;" RN",IF(VLOOKUP(AC219,'BD LUB'!$A$2:$C$223,3,FALSE)=$AH$17,AC219&amp;" COPQUI",IF(VLOOKUP(AC219,'BD LUB'!$A$2:$C$223,3,FALSE)=$AH$16,AC219&amp;" CEJ",IF(VLOOKUP(AC219,'BD LUB'!$A$2:$C$223,3,FALSE)=$AH$15,AC219&amp;" BULT",IF(VLOOKUP(AC219,'BD LUB'!$A$2:$C$223,3,FALSE)=$AH$14,AC219&amp;" COP",IF(VLOOKUP(AC219,'BD LUB'!$A$2:$C$223,3,FALSE)=$AH$13,AC219&amp;" RIO",IF(VLOOKUP(AC219,'BD LUB'!$A$2:$C$223,3,FALSE)=$AH$21,AC219&amp;" APART","Dato no encontrado")))))))))</f>
        <v>#N/A</v>
      </c>
      <c r="AE219" s="160"/>
      <c r="AF219" s="160"/>
      <c r="AG219" s="160"/>
      <c r="AH219" s="160"/>
      <c r="AI219" s="160"/>
      <c r="AJ219" s="160"/>
      <c r="AP219" s="160"/>
      <c r="AV219" s="160"/>
    </row>
    <row r="220">
      <c r="A220" s="158"/>
      <c r="B220" s="126">
        <v>217.0</v>
      </c>
      <c r="C220" s="78">
        <f>IFERROR(__xludf.DUMMYFUNCTION("""COMPUTED_VALUE"""),2676.0)</f>
        <v>2676</v>
      </c>
      <c r="D220" s="156">
        <f>IFERROR(__xludf.DUMMYFUNCTION("""COMPUTED_VALUE"""),46502.0)</f>
        <v>46502</v>
      </c>
      <c r="E220" s="78" t="str">
        <f>IFERROR(__xludf.DUMMYFUNCTION("""COMPUTED_VALUE"""),"02-Medellin")</f>
        <v>02-Medellin</v>
      </c>
      <c r="F220" s="156">
        <f>IFERROR(__xludf.DUMMYFUNCTION("""COMPUTED_VALUE"""),46175.0)</f>
        <v>46175</v>
      </c>
      <c r="G220" s="159">
        <f>IFERROR(__xludf.DUMMYFUNCTION("""COMPUTED_VALUE"""),139.0)</f>
        <v>139</v>
      </c>
      <c r="H220" s="78" t="str">
        <f>IFERROR(__xludf.DUMMYFUNCTION("""COMPUTED_VALUE"""),"VIGENTE")</f>
        <v>VIGENTE</v>
      </c>
      <c r="I220" s="132" t="str">
        <f t="shared" si="1"/>
        <v>-</v>
      </c>
      <c r="J220" s="158"/>
      <c r="K220" s="126">
        <v>217.0</v>
      </c>
      <c r="L220" s="78">
        <f>IFERROR(__xludf.DUMMYFUNCTION("""COMPUTED_VALUE"""),461.0)</f>
        <v>461</v>
      </c>
      <c r="M220" s="156">
        <f>IFERROR(__xludf.DUMMYFUNCTION("""COMPUTED_VALUE"""),46420.0)</f>
        <v>46420</v>
      </c>
      <c r="N220" s="78" t="str">
        <f>IFERROR(__xludf.DUMMYFUNCTION("""COMPUTED_VALUE"""),"02-Medellin")</f>
        <v>02-Medellin</v>
      </c>
      <c r="O220" s="156">
        <f>IFERROR(__xludf.DUMMYFUNCTION("""COMPUTED_VALUE"""),46093.0)</f>
        <v>46093</v>
      </c>
      <c r="P220" s="159">
        <f>IFERROR(__xludf.DUMMYFUNCTION("""COMPUTED_VALUE"""),20238.5)</f>
        <v>20238.5</v>
      </c>
      <c r="Q220" s="78" t="str">
        <f>IFERROR(__xludf.DUMMYFUNCTION("""COMPUTED_VALUE"""),"VIGENTE")</f>
        <v>VIGENTE</v>
      </c>
      <c r="R220" s="132" t="str">
        <f t="shared" si="2"/>
        <v>-</v>
      </c>
      <c r="T220" s="134" t="str">
        <f>CALENDARIO!D232</f>
        <v/>
      </c>
      <c r="U220" s="135" t="str">
        <f>CALENDARIO!C232</f>
        <v/>
      </c>
      <c r="W220" s="128"/>
      <c r="X220" s="136" t="str">
        <f>(VLOOKUP(W220,'BD LUB'!$A$2:$L$223,5,FALSE)/VLOOKUP(W220,'BD LUB'!$A$2:$L$223,7,FALSE))+(VLOOKUP(W220,'BD LUB'!$A$2:$L$223,6,FALSE)/VLOOKUP(W220,'BD LUB'!$A$2:$L$223,8,FALSE))</f>
        <v>#N/A</v>
      </c>
      <c r="Y220" s="161" t="str">
        <f>IF(AND(VLOOKUP(W220,'BD LUB'!$A$2:$L$223,11,FALSE)="PASADO",VLOOKUP(W220,'BD LUB'!$A$2:$L$223,12,FALSE)="PASADO"),1,IF(OR(AND(VLOOKUP(W220,'BD LUB'!$A$2:$L$223,11,FALSE)="PASADO",VLOOKUP(W220,'BD LUB'!$A$2:$L$223,12,FALSE)="PRÓXIMO"),AND(VLOOKUP(W220,'BD LUB'!$A$2:$L$223,11,FALSE)="PRÓXIMO",VLOOKUP(W220,'BD LUB'!$A$2:$L$223,12,FALSE)="PASADO")),2,IF(OR(AND(VLOOKUP(W220,'BD LUB'!$A$2:$L$223,11,FALSE)="PASADO",VLOOKUP(W220,'BD LUB'!$A$2:$L$223,12,FALSE)="VIGENTE"),AND(VLOOKUP(W220,'BD LUB'!$A$2:$L$223,11,FALSE)="VIGENTE",VLOOKUP(W220,'BD LUB'!$A$2:$L$223,12,FALSE)="PASADO")),3,IF(AND(VLOOKUP(W220,'BD LUB'!$A$2:$L$223,11,FALSE)="PRÓXIMO",VLOOKUP(W220,'BD LUB'!$A$2:$L$223,12,FALSE)="PRÓXIMO"),4,IF(OR(AND(VLOOKUP(W220,'BD LUB'!$A$2:$L$223,11,FALSE)="PRÓXIMO",VLOOKUP(W220,'BD LUB'!$A$2:$L$223,12,FALSE)="VIGENTE"),AND(VLOOKUP(W220,'BD LUB'!$A$2:$L$223,11,FALSE)="VIGENTE",VLOOKUP(W220,'BD LUB'!$A$2:$L$223,12,FALSE)="PRÓXIMO")),5,IF(AND(VLOOKUP(W220,'BD LUB'!$A$2:$L$223,11,FALSE)="VIGENTE",VLOOKUP(W220,'BD LUB'!$A$2:$L$223,12,FALSE)="VIGENTE"),6,"No definido"))))))</f>
        <v>#N/A</v>
      </c>
      <c r="Z220" s="163"/>
      <c r="AA220" s="139" t="str">
        <f>(VLOOKUP(Z220,'BD LUB'!$A$2:$L$223,5,FALSE)/VLOOKUP(Z220,'BD LUB'!$A$2:$L$223,7,FALSE))+(VLOOKUP(Z220,'BD LUB'!$A$2:$L$223,6,FALSE)/VLOOKUP(Z220,'BD LUB'!$A$2:$L$223,8,FALSE))</f>
        <v>#N/A</v>
      </c>
      <c r="AB220" s="78" t="str">
        <f>IF(AND(VLOOKUP(Z220,'BD LUB'!$A$2:$L$223,11,FALSE)="PASADO",VLOOKUP(Z220,'BD LUB'!$A$2:$L$223,12,FALSE)="PASADO"),1,IF(OR(AND(VLOOKUP(Z220,'BD LUB'!$A$2:$L$223,11,FALSE)="PASADO",VLOOKUP(Z220,'BD LUB'!$A$2:$L$223,12,FALSE)="PRÓXIMO"),AND(VLOOKUP(Z220,'BD LUB'!$A$2:$L$223,11,FALSE)="PRÓXIMO",VLOOKUP(Z220,'BD LUB'!$A$2:$L$223,12,FALSE)="PASADO")),2,IF(OR(AND(VLOOKUP(Z220,'BD LUB'!$A$2:$L$223,11,FALSE)="PASADO",VLOOKUP(Z220,'BD LUB'!$A$2:$L$223,12,FALSE)="VIGENTE"),AND(VLOOKUP(Z220,'BD LUB'!$A$2:$L$223,11,FALSE)="VIGENTE",VLOOKUP(Z220,'BD LUB'!$A$2:$L$223,12,FALSE)="PASADO")),3,IF(AND(VLOOKUP(Z220,'BD LUB'!$A$2:$L$223,11,FALSE)="PRÓXIMO",VLOOKUP(Z220,'BD LUB'!$A$2:$L$223,12,FALSE)="PRÓXIMO"),4,IF(OR(AND(VLOOKUP(Z220,'BD LUB'!$A$2:$L$223,11,FALSE)="PRÓXIMO",VLOOKUP(Z220,'BD LUB'!$A$2:$L$223,12,FALSE)="VIGENTE"),AND(VLOOKUP(Z220,'BD LUB'!$A$2:$L$223,11,FALSE)="VIGENTE",VLOOKUP(Z220,'BD LUB'!$A$2:$L$223,12,FALSE)="PRÓXIMO")),5,IF(AND(VLOOKUP(Z220,'BD LUB'!$A$2:$L$223,11,FALSE)="VIGENTE",VLOOKUP(Z220,'BD LUB'!$A$2:$L$223,12,FALSE)="VIGENTE"),6,"No definido"))))))</f>
        <v>#N/A</v>
      </c>
      <c r="AC220" s="163"/>
      <c r="AD220" s="136" t="str">
        <f>IF(VLOOKUP(AC220,'BD LUB'!$A$2:$C$223,3,FALSE)=$AH$20,AC220&amp;" MED",IF(VLOOKUP(AC220,'BD LUB'!$A$2:$C$223,3,FALSE)=$AH$19,AC220&amp;" MAY",IF(VLOOKUP(AC220,'BD LUB'!$A$2:$C$223,3,FALSE)=$AH$18,AC220&amp;" RN",IF(VLOOKUP(AC220,'BD LUB'!$A$2:$C$223,3,FALSE)=$AH$17,AC220&amp;" COPQUI",IF(VLOOKUP(AC220,'BD LUB'!$A$2:$C$223,3,FALSE)=$AH$16,AC220&amp;" CEJ",IF(VLOOKUP(AC220,'BD LUB'!$A$2:$C$223,3,FALSE)=$AH$15,AC220&amp;" BULT",IF(VLOOKUP(AC220,'BD LUB'!$A$2:$C$223,3,FALSE)=$AH$14,AC220&amp;" COP",IF(VLOOKUP(AC220,'BD LUB'!$A$2:$C$223,3,FALSE)=$AH$13,AC220&amp;" RIO",IF(VLOOKUP(AC220,'BD LUB'!$A$2:$C$223,3,FALSE)=$AH$21,AC220&amp;" APART","Dato no encontrado")))))))))</f>
        <v>#N/A</v>
      </c>
      <c r="AE220" s="160"/>
      <c r="AF220" s="160"/>
      <c r="AG220" s="160"/>
      <c r="AH220" s="160"/>
      <c r="AI220" s="160"/>
      <c r="AJ220" s="160"/>
      <c r="AP220" s="160"/>
      <c r="AV220" s="160"/>
    </row>
    <row r="221">
      <c r="A221" s="158"/>
      <c r="B221" s="126">
        <v>218.0</v>
      </c>
      <c r="C221" s="78">
        <f>IFERROR(__xludf.DUMMYFUNCTION("""COMPUTED_VALUE"""),2898.0)</f>
        <v>2898</v>
      </c>
      <c r="D221" s="156">
        <f>IFERROR(__xludf.DUMMYFUNCTION("""COMPUTED_VALUE"""),46242.0)</f>
        <v>46242</v>
      </c>
      <c r="E221" s="78" t="str">
        <f>IFERROR(__xludf.DUMMYFUNCTION("""COMPUTED_VALUE"""),"31-Copacabana")</f>
        <v>31-Copacabana</v>
      </c>
      <c r="F221" s="156">
        <f>IFERROR(__xludf.DUMMYFUNCTION("""COMPUTED_VALUE"""),46177.0)</f>
        <v>46177</v>
      </c>
      <c r="G221" s="159">
        <f>IFERROR(__xludf.DUMMYFUNCTION("""COMPUTED_VALUE"""),141.0)</f>
        <v>141</v>
      </c>
      <c r="H221" s="78" t="str">
        <f>IFERROR(__xludf.DUMMYFUNCTION("""COMPUTED_VALUE"""),"VIGENTE")</f>
        <v>VIGENTE</v>
      </c>
      <c r="I221" s="132" t="str">
        <f t="shared" si="1"/>
        <v>-</v>
      </c>
      <c r="J221" s="158"/>
      <c r="K221" s="126">
        <v>218.0</v>
      </c>
      <c r="L221" s="78">
        <f>IFERROR(__xludf.DUMMYFUNCTION("""COMPUTED_VALUE"""),3049.0)</f>
        <v>3049</v>
      </c>
      <c r="M221" s="156">
        <f>IFERROR(__xludf.DUMMYFUNCTION("""COMPUTED_VALUE"""),46273.0)</f>
        <v>46273</v>
      </c>
      <c r="N221" s="78" t="str">
        <f>IFERROR(__xludf.DUMMYFUNCTION("""COMPUTED_VALUE"""),"02-Medellin")</f>
        <v>02-Medellin</v>
      </c>
      <c r="O221" s="156">
        <f>IFERROR(__xludf.DUMMYFUNCTION("""COMPUTED_VALUE"""),46060.0)</f>
        <v>46060</v>
      </c>
      <c r="P221" s="159">
        <f>IFERROR(__xludf.DUMMYFUNCTION("""COMPUTED_VALUE"""),20719.6)</f>
        <v>20719.6</v>
      </c>
      <c r="Q221" s="78" t="str">
        <f>IFERROR(__xludf.DUMMYFUNCTION("""COMPUTED_VALUE"""),"VIGENTE")</f>
        <v>VIGENTE</v>
      </c>
      <c r="R221" s="132" t="str">
        <f t="shared" si="2"/>
        <v>-</v>
      </c>
      <c r="T221" s="134" t="str">
        <f>CALENDARIO!D233</f>
        <v/>
      </c>
      <c r="U221" s="135" t="str">
        <f>CALENDARIO!C233</f>
        <v/>
      </c>
      <c r="W221" s="128"/>
      <c r="X221" s="136" t="str">
        <f>(VLOOKUP(W221,'BD LUB'!$A$2:$L$223,5,FALSE)/VLOOKUP(W221,'BD LUB'!$A$2:$L$223,7,FALSE))+(VLOOKUP(W221,'BD LUB'!$A$2:$L$223,6,FALSE)/VLOOKUP(W221,'BD LUB'!$A$2:$L$223,8,FALSE))</f>
        <v>#N/A</v>
      </c>
      <c r="Y221" s="161" t="str">
        <f>IF(AND(VLOOKUP(W221,'BD LUB'!$A$2:$L$223,11,FALSE)="PASADO",VLOOKUP(W221,'BD LUB'!$A$2:$L$223,12,FALSE)="PASADO"),1,IF(OR(AND(VLOOKUP(W221,'BD LUB'!$A$2:$L$223,11,FALSE)="PASADO",VLOOKUP(W221,'BD LUB'!$A$2:$L$223,12,FALSE)="PRÓXIMO"),AND(VLOOKUP(W221,'BD LUB'!$A$2:$L$223,11,FALSE)="PRÓXIMO",VLOOKUP(W221,'BD LUB'!$A$2:$L$223,12,FALSE)="PASADO")),2,IF(OR(AND(VLOOKUP(W221,'BD LUB'!$A$2:$L$223,11,FALSE)="PASADO",VLOOKUP(W221,'BD LUB'!$A$2:$L$223,12,FALSE)="VIGENTE"),AND(VLOOKUP(W221,'BD LUB'!$A$2:$L$223,11,FALSE)="VIGENTE",VLOOKUP(W221,'BD LUB'!$A$2:$L$223,12,FALSE)="PASADO")),3,IF(AND(VLOOKUP(W221,'BD LUB'!$A$2:$L$223,11,FALSE)="PRÓXIMO",VLOOKUP(W221,'BD LUB'!$A$2:$L$223,12,FALSE)="PRÓXIMO"),4,IF(OR(AND(VLOOKUP(W221,'BD LUB'!$A$2:$L$223,11,FALSE)="PRÓXIMO",VLOOKUP(W221,'BD LUB'!$A$2:$L$223,12,FALSE)="VIGENTE"),AND(VLOOKUP(W221,'BD LUB'!$A$2:$L$223,11,FALSE)="VIGENTE",VLOOKUP(W221,'BD LUB'!$A$2:$L$223,12,FALSE)="PRÓXIMO")),5,IF(AND(VLOOKUP(W221,'BD LUB'!$A$2:$L$223,11,FALSE)="VIGENTE",VLOOKUP(W221,'BD LUB'!$A$2:$L$223,12,FALSE)="VIGENTE"),6,"No definido"))))))</f>
        <v>#N/A</v>
      </c>
      <c r="Z221" s="163"/>
      <c r="AA221" s="139" t="str">
        <f>(VLOOKUP(Z221,'BD LUB'!$A$2:$L$223,5,FALSE)/VLOOKUP(Z221,'BD LUB'!$A$2:$L$223,7,FALSE))+(VLOOKUP(Z221,'BD LUB'!$A$2:$L$223,6,FALSE)/VLOOKUP(Z221,'BD LUB'!$A$2:$L$223,8,FALSE))</f>
        <v>#N/A</v>
      </c>
      <c r="AB221" s="78" t="str">
        <f>IF(AND(VLOOKUP(Z221,'BD LUB'!$A$2:$L$223,11,FALSE)="PASADO",VLOOKUP(Z221,'BD LUB'!$A$2:$L$223,12,FALSE)="PASADO"),1,IF(OR(AND(VLOOKUP(Z221,'BD LUB'!$A$2:$L$223,11,FALSE)="PASADO",VLOOKUP(Z221,'BD LUB'!$A$2:$L$223,12,FALSE)="PRÓXIMO"),AND(VLOOKUP(Z221,'BD LUB'!$A$2:$L$223,11,FALSE)="PRÓXIMO",VLOOKUP(Z221,'BD LUB'!$A$2:$L$223,12,FALSE)="PASADO")),2,IF(OR(AND(VLOOKUP(Z221,'BD LUB'!$A$2:$L$223,11,FALSE)="PASADO",VLOOKUP(Z221,'BD LUB'!$A$2:$L$223,12,FALSE)="VIGENTE"),AND(VLOOKUP(Z221,'BD LUB'!$A$2:$L$223,11,FALSE)="VIGENTE",VLOOKUP(Z221,'BD LUB'!$A$2:$L$223,12,FALSE)="PASADO")),3,IF(AND(VLOOKUP(Z221,'BD LUB'!$A$2:$L$223,11,FALSE)="PRÓXIMO",VLOOKUP(Z221,'BD LUB'!$A$2:$L$223,12,FALSE)="PRÓXIMO"),4,IF(OR(AND(VLOOKUP(Z221,'BD LUB'!$A$2:$L$223,11,FALSE)="PRÓXIMO",VLOOKUP(Z221,'BD LUB'!$A$2:$L$223,12,FALSE)="VIGENTE"),AND(VLOOKUP(Z221,'BD LUB'!$A$2:$L$223,11,FALSE)="VIGENTE",VLOOKUP(Z221,'BD LUB'!$A$2:$L$223,12,FALSE)="PRÓXIMO")),5,IF(AND(VLOOKUP(Z221,'BD LUB'!$A$2:$L$223,11,FALSE)="VIGENTE",VLOOKUP(Z221,'BD LUB'!$A$2:$L$223,12,FALSE)="VIGENTE"),6,"No definido"))))))</f>
        <v>#N/A</v>
      </c>
      <c r="AC221" s="163"/>
      <c r="AD221" s="136" t="str">
        <f>IF(VLOOKUP(AC221,'BD LUB'!$A$2:$C$223,3,FALSE)=$AH$20,AC221&amp;" MED",IF(VLOOKUP(AC221,'BD LUB'!$A$2:$C$223,3,FALSE)=$AH$19,AC221&amp;" MAY",IF(VLOOKUP(AC221,'BD LUB'!$A$2:$C$223,3,FALSE)=$AH$18,AC221&amp;" RN",IF(VLOOKUP(AC221,'BD LUB'!$A$2:$C$223,3,FALSE)=$AH$17,AC221&amp;" COPQUI",IF(VLOOKUP(AC221,'BD LUB'!$A$2:$C$223,3,FALSE)=$AH$16,AC221&amp;" CEJ",IF(VLOOKUP(AC221,'BD LUB'!$A$2:$C$223,3,FALSE)=$AH$15,AC221&amp;" BULT",IF(VLOOKUP(AC221,'BD LUB'!$A$2:$C$223,3,FALSE)=$AH$14,AC221&amp;" COP",IF(VLOOKUP(AC221,'BD LUB'!$A$2:$C$223,3,FALSE)=$AH$13,AC221&amp;" RIO",IF(VLOOKUP(AC221,'BD LUB'!$A$2:$C$223,3,FALSE)=$AH$21,AC221&amp;" APART","Dato no encontrado")))))))))</f>
        <v>#N/A</v>
      </c>
      <c r="AE221" s="160"/>
      <c r="AF221" s="160"/>
      <c r="AG221" s="160"/>
      <c r="AH221" s="160"/>
      <c r="AI221" s="160"/>
      <c r="AJ221" s="160"/>
      <c r="AP221" s="160"/>
      <c r="AV221" s="160"/>
    </row>
    <row r="222">
      <c r="A222" s="158"/>
      <c r="B222" s="126">
        <v>219.0</v>
      </c>
      <c r="C222" s="78">
        <f>IFERROR(__xludf.DUMMYFUNCTION("""COMPUTED_VALUE"""),2468.0)</f>
        <v>2468</v>
      </c>
      <c r="D222" s="156">
        <f>IFERROR(__xludf.DUMMYFUNCTION("""COMPUTED_VALUE"""),46304.0)</f>
        <v>46304</v>
      </c>
      <c r="E222" s="78" t="str">
        <f>IFERROR(__xludf.DUMMYFUNCTION("""COMPUTED_VALUE"""),"02-Medellin")</f>
        <v>02-Medellin</v>
      </c>
      <c r="F222" s="156">
        <f>IFERROR(__xludf.DUMMYFUNCTION("""COMPUTED_VALUE"""),46177.0)</f>
        <v>46177</v>
      </c>
      <c r="G222" s="159">
        <f>IFERROR(__xludf.DUMMYFUNCTION("""COMPUTED_VALUE"""),141.0)</f>
        <v>141</v>
      </c>
      <c r="H222" s="78" t="str">
        <f>IFERROR(__xludf.DUMMYFUNCTION("""COMPUTED_VALUE"""),"VIGENTE")</f>
        <v>VIGENTE</v>
      </c>
      <c r="I222" s="132" t="str">
        <f t="shared" si="1"/>
        <v>-</v>
      </c>
      <c r="J222" s="158"/>
      <c r="K222" s="126">
        <v>219.0</v>
      </c>
      <c r="L222" s="78">
        <f>IFERROR(__xludf.DUMMYFUNCTION("""COMPUTED_VALUE"""),661.0)</f>
        <v>661</v>
      </c>
      <c r="M222" s="156">
        <f>IFERROR(__xludf.DUMMYFUNCTION("""COMPUTED_VALUE"""),46420.0)</f>
        <v>46420</v>
      </c>
      <c r="N222" s="78" t="str">
        <f>IFERROR(__xludf.DUMMYFUNCTION("""COMPUTED_VALUE"""),"02-Medellin")</f>
        <v>02-Medellin</v>
      </c>
      <c r="O222" s="156">
        <f>IFERROR(__xludf.DUMMYFUNCTION("""COMPUTED_VALUE"""),46090.0)</f>
        <v>46090</v>
      </c>
      <c r="P222" s="159">
        <f>IFERROR(__xludf.DUMMYFUNCTION("""COMPUTED_VALUE"""),22363.5)</f>
        <v>22363.5</v>
      </c>
      <c r="Q222" s="78" t="str">
        <f>IFERROR(__xludf.DUMMYFUNCTION("""COMPUTED_VALUE"""),"VIGENTE")</f>
        <v>VIGENTE</v>
      </c>
      <c r="R222" s="132" t="str">
        <f t="shared" si="2"/>
        <v>-</v>
      </c>
      <c r="T222" s="134" t="str">
        <f>CALENDARIO!D234</f>
        <v/>
      </c>
      <c r="U222" s="135" t="str">
        <f>CALENDARIO!C234</f>
        <v/>
      </c>
      <c r="W222" s="128"/>
      <c r="X222" s="136" t="str">
        <f>(VLOOKUP(W222,'BD LUB'!$A$2:$L$223,5,FALSE)/VLOOKUP(W222,'BD LUB'!$A$2:$L$223,7,FALSE))+(VLOOKUP(W222,'BD LUB'!$A$2:$L$223,6,FALSE)/VLOOKUP(W222,'BD LUB'!$A$2:$L$223,8,FALSE))</f>
        <v>#N/A</v>
      </c>
      <c r="Y222" s="161" t="str">
        <f>IF(AND(VLOOKUP(W222,'BD LUB'!$A$2:$L$223,11,FALSE)="PASADO",VLOOKUP(W222,'BD LUB'!$A$2:$L$223,12,FALSE)="PASADO"),1,IF(OR(AND(VLOOKUP(W222,'BD LUB'!$A$2:$L$223,11,FALSE)="PASADO",VLOOKUP(W222,'BD LUB'!$A$2:$L$223,12,FALSE)="PRÓXIMO"),AND(VLOOKUP(W222,'BD LUB'!$A$2:$L$223,11,FALSE)="PRÓXIMO",VLOOKUP(W222,'BD LUB'!$A$2:$L$223,12,FALSE)="PASADO")),2,IF(OR(AND(VLOOKUP(W222,'BD LUB'!$A$2:$L$223,11,FALSE)="PASADO",VLOOKUP(W222,'BD LUB'!$A$2:$L$223,12,FALSE)="VIGENTE"),AND(VLOOKUP(W222,'BD LUB'!$A$2:$L$223,11,FALSE)="VIGENTE",VLOOKUP(W222,'BD LUB'!$A$2:$L$223,12,FALSE)="PASADO")),3,IF(AND(VLOOKUP(W222,'BD LUB'!$A$2:$L$223,11,FALSE)="PRÓXIMO",VLOOKUP(W222,'BD LUB'!$A$2:$L$223,12,FALSE)="PRÓXIMO"),4,IF(OR(AND(VLOOKUP(W222,'BD LUB'!$A$2:$L$223,11,FALSE)="PRÓXIMO",VLOOKUP(W222,'BD LUB'!$A$2:$L$223,12,FALSE)="VIGENTE"),AND(VLOOKUP(W222,'BD LUB'!$A$2:$L$223,11,FALSE)="VIGENTE",VLOOKUP(W222,'BD LUB'!$A$2:$L$223,12,FALSE)="PRÓXIMO")),5,IF(AND(VLOOKUP(W222,'BD LUB'!$A$2:$L$223,11,FALSE)="VIGENTE",VLOOKUP(W222,'BD LUB'!$A$2:$L$223,12,FALSE)="VIGENTE"),6,"No definido"))))))</f>
        <v>#N/A</v>
      </c>
      <c r="Z222" s="163"/>
      <c r="AA222" s="139" t="str">
        <f>(VLOOKUP(Z222,'BD LUB'!$A$2:$L$223,5,FALSE)/VLOOKUP(Z222,'BD LUB'!$A$2:$L$223,7,FALSE))+(VLOOKUP(Z222,'BD LUB'!$A$2:$L$223,6,FALSE)/VLOOKUP(Z222,'BD LUB'!$A$2:$L$223,8,FALSE))</f>
        <v>#N/A</v>
      </c>
      <c r="AB222" s="78" t="str">
        <f>IF(AND(VLOOKUP(Z222,'BD LUB'!$A$2:$L$223,11,FALSE)="PASADO",VLOOKUP(Z222,'BD LUB'!$A$2:$L$223,12,FALSE)="PASADO"),1,IF(OR(AND(VLOOKUP(Z222,'BD LUB'!$A$2:$L$223,11,FALSE)="PASADO",VLOOKUP(Z222,'BD LUB'!$A$2:$L$223,12,FALSE)="PRÓXIMO"),AND(VLOOKUP(Z222,'BD LUB'!$A$2:$L$223,11,FALSE)="PRÓXIMO",VLOOKUP(Z222,'BD LUB'!$A$2:$L$223,12,FALSE)="PASADO")),2,IF(OR(AND(VLOOKUP(Z222,'BD LUB'!$A$2:$L$223,11,FALSE)="PASADO",VLOOKUP(Z222,'BD LUB'!$A$2:$L$223,12,FALSE)="VIGENTE"),AND(VLOOKUP(Z222,'BD LUB'!$A$2:$L$223,11,FALSE)="VIGENTE",VLOOKUP(Z222,'BD LUB'!$A$2:$L$223,12,FALSE)="PASADO")),3,IF(AND(VLOOKUP(Z222,'BD LUB'!$A$2:$L$223,11,FALSE)="PRÓXIMO",VLOOKUP(Z222,'BD LUB'!$A$2:$L$223,12,FALSE)="PRÓXIMO"),4,IF(OR(AND(VLOOKUP(Z222,'BD LUB'!$A$2:$L$223,11,FALSE)="PRÓXIMO",VLOOKUP(Z222,'BD LUB'!$A$2:$L$223,12,FALSE)="VIGENTE"),AND(VLOOKUP(Z222,'BD LUB'!$A$2:$L$223,11,FALSE)="VIGENTE",VLOOKUP(Z222,'BD LUB'!$A$2:$L$223,12,FALSE)="PRÓXIMO")),5,IF(AND(VLOOKUP(Z222,'BD LUB'!$A$2:$L$223,11,FALSE)="VIGENTE",VLOOKUP(Z222,'BD LUB'!$A$2:$L$223,12,FALSE)="VIGENTE"),6,"No definido"))))))</f>
        <v>#N/A</v>
      </c>
      <c r="AC222" s="163"/>
      <c r="AD222" s="136" t="str">
        <f>IF(VLOOKUP(AC222,'BD LUB'!$A$2:$C$223,3,FALSE)=$AH$20,AC222&amp;" MED",IF(VLOOKUP(AC222,'BD LUB'!$A$2:$C$223,3,FALSE)=$AH$19,AC222&amp;" MAY",IF(VLOOKUP(AC222,'BD LUB'!$A$2:$C$223,3,FALSE)=$AH$18,AC222&amp;" RN",IF(VLOOKUP(AC222,'BD LUB'!$A$2:$C$223,3,FALSE)=$AH$17,AC222&amp;" COPQUI",IF(VLOOKUP(AC222,'BD LUB'!$A$2:$C$223,3,FALSE)=$AH$16,AC222&amp;" CEJ",IF(VLOOKUP(AC222,'BD LUB'!$A$2:$C$223,3,FALSE)=$AH$15,AC222&amp;" BULT",IF(VLOOKUP(AC222,'BD LUB'!$A$2:$C$223,3,FALSE)=$AH$14,AC222&amp;" COP",IF(VLOOKUP(AC222,'BD LUB'!$A$2:$C$223,3,FALSE)=$AH$13,AC222&amp;" RIO",IF(VLOOKUP(AC222,'BD LUB'!$A$2:$C$223,3,FALSE)=$AH$21,AC222&amp;" APART","Dato no encontrado")))))))))</f>
        <v>#N/A</v>
      </c>
      <c r="AE222" s="160"/>
      <c r="AF222" s="160"/>
      <c r="AG222" s="160"/>
      <c r="AH222" s="160"/>
      <c r="AI222" s="160"/>
      <c r="AJ222" s="160"/>
      <c r="AP222" s="160"/>
      <c r="AV222" s="160"/>
    </row>
    <row r="223">
      <c r="A223" s="158"/>
      <c r="B223" s="126">
        <v>220.0</v>
      </c>
      <c r="C223" s="78">
        <f>IFERROR(__xludf.DUMMYFUNCTION("""COMPUTED_VALUE"""),3047.0)</f>
        <v>3047</v>
      </c>
      <c r="D223" s="156">
        <f>IFERROR(__xludf.DUMMYFUNCTION("""COMPUTED_VALUE"""),46276.0)</f>
        <v>46276</v>
      </c>
      <c r="E223" s="78" t="str">
        <f>IFERROR(__xludf.DUMMYFUNCTION("""COMPUTED_VALUE"""),"02-Medellin")</f>
        <v>02-Medellin</v>
      </c>
      <c r="F223" s="156">
        <f>IFERROR(__xludf.DUMMYFUNCTION("""COMPUTED_VALUE"""),46193.0)</f>
        <v>46193</v>
      </c>
      <c r="G223" s="159">
        <f>IFERROR(__xludf.DUMMYFUNCTION("""COMPUTED_VALUE"""),157.0)</f>
        <v>157</v>
      </c>
      <c r="H223" s="78" t="str">
        <f>IFERROR(__xludf.DUMMYFUNCTION("""COMPUTED_VALUE"""),"VIGENTE")</f>
        <v>VIGENTE</v>
      </c>
      <c r="I223" s="132" t="str">
        <f t="shared" si="1"/>
        <v>-</v>
      </c>
      <c r="J223" s="158"/>
      <c r="K223" s="126">
        <v>220.0</v>
      </c>
      <c r="L223" s="78">
        <f>IFERROR(__xludf.DUMMYFUNCTION("""COMPUTED_VALUE"""),472.0)</f>
        <v>472</v>
      </c>
      <c r="M223" s="156">
        <f>IFERROR(__xludf.DUMMYFUNCTION("""COMPUTED_VALUE"""),46213.0)</f>
        <v>46213</v>
      </c>
      <c r="N223" s="78" t="str">
        <f>IFERROR(__xludf.DUMMYFUNCTION("""COMPUTED_VALUE"""),"02-Medellin")</f>
        <v>02-Medellin</v>
      </c>
      <c r="O223" s="156">
        <f>IFERROR(__xludf.DUMMYFUNCTION("""COMPUTED_VALUE"""),46146.0)</f>
        <v>46146</v>
      </c>
      <c r="P223" s="159">
        <f>IFERROR(__xludf.DUMMYFUNCTION("""COMPUTED_VALUE"""),22505.5)</f>
        <v>22505.5</v>
      </c>
      <c r="Q223" s="78" t="str">
        <f>IFERROR(__xludf.DUMMYFUNCTION("""COMPUTED_VALUE"""),"VIGENTE")</f>
        <v>VIGENTE</v>
      </c>
      <c r="R223" s="132" t="str">
        <f t="shared" si="2"/>
        <v>-</v>
      </c>
      <c r="T223" s="134" t="str">
        <f>CALENDARIO!D235</f>
        <v/>
      </c>
      <c r="U223" s="135" t="str">
        <f>CALENDARIO!C235</f>
        <v/>
      </c>
      <c r="W223" s="128"/>
      <c r="X223" s="136" t="str">
        <f>(VLOOKUP(W223,'BD LUB'!$A$2:$L$223,5,FALSE)/VLOOKUP(W223,'BD LUB'!$A$2:$L$223,7,FALSE))+(VLOOKUP(W223,'BD LUB'!$A$2:$L$223,6,FALSE)/VLOOKUP(W223,'BD LUB'!$A$2:$L$223,8,FALSE))</f>
        <v>#N/A</v>
      </c>
      <c r="Y223" s="161" t="str">
        <f>IF(AND(VLOOKUP(W223,'BD LUB'!$A$2:$L$223,11,FALSE)="PASADO",VLOOKUP(W223,'BD LUB'!$A$2:$L$223,12,FALSE)="PASADO"),1,IF(OR(AND(VLOOKUP(W223,'BD LUB'!$A$2:$L$223,11,FALSE)="PASADO",VLOOKUP(W223,'BD LUB'!$A$2:$L$223,12,FALSE)="PRÓXIMO"),AND(VLOOKUP(W223,'BD LUB'!$A$2:$L$223,11,FALSE)="PRÓXIMO",VLOOKUP(W223,'BD LUB'!$A$2:$L$223,12,FALSE)="PASADO")),2,IF(OR(AND(VLOOKUP(W223,'BD LUB'!$A$2:$L$223,11,FALSE)="PASADO",VLOOKUP(W223,'BD LUB'!$A$2:$L$223,12,FALSE)="VIGENTE"),AND(VLOOKUP(W223,'BD LUB'!$A$2:$L$223,11,FALSE)="VIGENTE",VLOOKUP(W223,'BD LUB'!$A$2:$L$223,12,FALSE)="PASADO")),3,IF(AND(VLOOKUP(W223,'BD LUB'!$A$2:$L$223,11,FALSE)="PRÓXIMO",VLOOKUP(W223,'BD LUB'!$A$2:$L$223,12,FALSE)="PRÓXIMO"),4,IF(OR(AND(VLOOKUP(W223,'BD LUB'!$A$2:$L$223,11,FALSE)="PRÓXIMO",VLOOKUP(W223,'BD LUB'!$A$2:$L$223,12,FALSE)="VIGENTE"),AND(VLOOKUP(W223,'BD LUB'!$A$2:$L$223,11,FALSE)="VIGENTE",VLOOKUP(W223,'BD LUB'!$A$2:$L$223,12,FALSE)="PRÓXIMO")),5,IF(AND(VLOOKUP(W223,'BD LUB'!$A$2:$L$223,11,FALSE)="VIGENTE",VLOOKUP(W223,'BD LUB'!$A$2:$L$223,12,FALSE)="VIGENTE"),6,"No definido"))))))</f>
        <v>#N/A</v>
      </c>
      <c r="Z223" s="163"/>
      <c r="AA223" s="139" t="str">
        <f>(VLOOKUP(Z223,'BD LUB'!$A$2:$L$223,5,FALSE)/VLOOKUP(Z223,'BD LUB'!$A$2:$L$223,7,FALSE))+(VLOOKUP(Z223,'BD LUB'!$A$2:$L$223,6,FALSE)/VLOOKUP(Z223,'BD LUB'!$A$2:$L$223,8,FALSE))</f>
        <v>#N/A</v>
      </c>
      <c r="AB223" s="78" t="str">
        <f>IF(AND(VLOOKUP(Z223,'BD LUB'!$A$2:$L$223,11,FALSE)="PASADO",VLOOKUP(Z223,'BD LUB'!$A$2:$L$223,12,FALSE)="PASADO"),1,IF(OR(AND(VLOOKUP(Z223,'BD LUB'!$A$2:$L$223,11,FALSE)="PASADO",VLOOKUP(Z223,'BD LUB'!$A$2:$L$223,12,FALSE)="PRÓXIMO"),AND(VLOOKUP(Z223,'BD LUB'!$A$2:$L$223,11,FALSE)="PRÓXIMO",VLOOKUP(Z223,'BD LUB'!$A$2:$L$223,12,FALSE)="PASADO")),2,IF(OR(AND(VLOOKUP(Z223,'BD LUB'!$A$2:$L$223,11,FALSE)="PASADO",VLOOKUP(Z223,'BD LUB'!$A$2:$L$223,12,FALSE)="VIGENTE"),AND(VLOOKUP(Z223,'BD LUB'!$A$2:$L$223,11,FALSE)="VIGENTE",VLOOKUP(Z223,'BD LUB'!$A$2:$L$223,12,FALSE)="PASADO")),3,IF(AND(VLOOKUP(Z223,'BD LUB'!$A$2:$L$223,11,FALSE)="PRÓXIMO",VLOOKUP(Z223,'BD LUB'!$A$2:$L$223,12,FALSE)="PRÓXIMO"),4,IF(OR(AND(VLOOKUP(Z223,'BD LUB'!$A$2:$L$223,11,FALSE)="PRÓXIMO",VLOOKUP(Z223,'BD LUB'!$A$2:$L$223,12,FALSE)="VIGENTE"),AND(VLOOKUP(Z223,'BD LUB'!$A$2:$L$223,11,FALSE)="VIGENTE",VLOOKUP(Z223,'BD LUB'!$A$2:$L$223,12,FALSE)="PRÓXIMO")),5,IF(AND(VLOOKUP(Z223,'BD LUB'!$A$2:$L$223,11,FALSE)="VIGENTE",VLOOKUP(Z223,'BD LUB'!$A$2:$L$223,12,FALSE)="VIGENTE"),6,"No definido"))))))</f>
        <v>#N/A</v>
      </c>
      <c r="AC223" s="163"/>
      <c r="AD223" s="136" t="str">
        <f>IF(VLOOKUP(AC223,'BD LUB'!$A$2:$C$223,3,FALSE)=$AH$20,AC223&amp;" MED",IF(VLOOKUP(AC223,'BD LUB'!$A$2:$C$223,3,FALSE)=$AH$19,AC223&amp;" MAY",IF(VLOOKUP(AC223,'BD LUB'!$A$2:$C$223,3,FALSE)=$AH$18,AC223&amp;" RN",IF(VLOOKUP(AC223,'BD LUB'!$A$2:$C$223,3,FALSE)=$AH$17,AC223&amp;" COPQUI",IF(VLOOKUP(AC223,'BD LUB'!$A$2:$C$223,3,FALSE)=$AH$16,AC223&amp;" CEJ",IF(VLOOKUP(AC223,'BD LUB'!$A$2:$C$223,3,FALSE)=$AH$15,AC223&amp;" BULT",IF(VLOOKUP(AC223,'BD LUB'!$A$2:$C$223,3,FALSE)=$AH$14,AC223&amp;" COP",IF(VLOOKUP(AC223,'BD LUB'!$A$2:$C$223,3,FALSE)=$AH$13,AC223&amp;" RIO",IF(VLOOKUP(AC223,'BD LUB'!$A$2:$C$223,3,FALSE)=$AH$21,AC223&amp;" APART","Dato no encontrado")))))))))</f>
        <v>#N/A</v>
      </c>
      <c r="AE223" s="160"/>
      <c r="AF223" s="160"/>
      <c r="AG223" s="160"/>
      <c r="AH223" s="160"/>
      <c r="AI223" s="160"/>
      <c r="AJ223" s="160"/>
      <c r="AP223" s="160"/>
      <c r="AV223" s="160"/>
    </row>
    <row r="224">
      <c r="A224" s="158"/>
      <c r="B224" s="126">
        <v>221.0</v>
      </c>
      <c r="C224" s="78">
        <f>IFERROR(__xludf.DUMMYFUNCTION("""COMPUTED_VALUE"""),2857.0)</f>
        <v>2857</v>
      </c>
      <c r="D224" s="156">
        <f>IFERROR(__xludf.DUMMYFUNCTION("""COMPUTED_VALUE"""),46215.0)</f>
        <v>46215</v>
      </c>
      <c r="E224" s="78" t="str">
        <f>IFERROR(__xludf.DUMMYFUNCTION("""COMPUTED_VALUE"""),"24-Rionegro")</f>
        <v>24-Rionegro</v>
      </c>
      <c r="F224" s="156">
        <f>IFERROR(__xludf.DUMMYFUNCTION("""COMPUTED_VALUE"""),46203.0)</f>
        <v>46203</v>
      </c>
      <c r="G224" s="159">
        <f>IFERROR(__xludf.DUMMYFUNCTION("""COMPUTED_VALUE"""),167.0)</f>
        <v>167</v>
      </c>
      <c r="H224" s="78" t="str">
        <f>IFERROR(__xludf.DUMMYFUNCTION("""COMPUTED_VALUE"""),"VIGENTE")</f>
        <v>VIGENTE</v>
      </c>
      <c r="I224" s="132" t="str">
        <f t="shared" si="1"/>
        <v>-</v>
      </c>
      <c r="J224" s="158"/>
      <c r="K224" s="126">
        <v>221.0</v>
      </c>
      <c r="L224" s="78">
        <f>IFERROR(__xludf.DUMMYFUNCTION("""COMPUTED_VALUE"""),464.0)</f>
        <v>464</v>
      </c>
      <c r="M224" s="156">
        <f>IFERROR(__xludf.DUMMYFUNCTION("""COMPUTED_VALUE"""),46464.0)</f>
        <v>46464</v>
      </c>
      <c r="N224" s="78" t="str">
        <f>IFERROR(__xludf.DUMMYFUNCTION("""COMPUTED_VALUE"""),"02-Medellin")</f>
        <v>02-Medellin</v>
      </c>
      <c r="O224" s="156">
        <f>IFERROR(__xludf.DUMMYFUNCTION("""COMPUTED_VALUE"""),46099.0)</f>
        <v>46099</v>
      </c>
      <c r="P224" s="159">
        <f>IFERROR(__xludf.DUMMYFUNCTION("""COMPUTED_VALUE"""),23646.6)</f>
        <v>23646.6</v>
      </c>
      <c r="Q224" s="78" t="str">
        <f>IFERROR(__xludf.DUMMYFUNCTION("""COMPUTED_VALUE"""),"VIGENTE")</f>
        <v>VIGENTE</v>
      </c>
      <c r="R224" s="132" t="str">
        <f t="shared" si="2"/>
        <v>-</v>
      </c>
      <c r="T224" s="134" t="str">
        <f>CALENDARIO!D236</f>
        <v/>
      </c>
      <c r="U224" s="135" t="str">
        <f>CALENDARIO!C236</f>
        <v/>
      </c>
      <c r="W224" s="128"/>
      <c r="X224" s="136" t="str">
        <f>(VLOOKUP(W224,'BD LUB'!$A$2:$L$223,5,FALSE)/VLOOKUP(W224,'BD LUB'!$A$2:$L$223,7,FALSE))+(VLOOKUP(W224,'BD LUB'!$A$2:$L$223,6,FALSE)/VLOOKUP(W224,'BD LUB'!$A$2:$L$223,8,FALSE))</f>
        <v>#N/A</v>
      </c>
      <c r="Y224" s="161" t="str">
        <f>IF(AND(VLOOKUP(W224,'BD LUB'!$A$2:$L$223,11,FALSE)="PASADO",VLOOKUP(W224,'BD LUB'!$A$2:$L$223,12,FALSE)="PASADO"),1,IF(OR(AND(VLOOKUP(W224,'BD LUB'!$A$2:$L$223,11,FALSE)="PASADO",VLOOKUP(W224,'BD LUB'!$A$2:$L$223,12,FALSE)="PRÓXIMO"),AND(VLOOKUP(W224,'BD LUB'!$A$2:$L$223,11,FALSE)="PRÓXIMO",VLOOKUP(W224,'BD LUB'!$A$2:$L$223,12,FALSE)="PASADO")),2,IF(OR(AND(VLOOKUP(W224,'BD LUB'!$A$2:$L$223,11,FALSE)="PASADO",VLOOKUP(W224,'BD LUB'!$A$2:$L$223,12,FALSE)="VIGENTE"),AND(VLOOKUP(W224,'BD LUB'!$A$2:$L$223,11,FALSE)="VIGENTE",VLOOKUP(W224,'BD LUB'!$A$2:$L$223,12,FALSE)="PASADO")),3,IF(AND(VLOOKUP(W224,'BD LUB'!$A$2:$L$223,11,FALSE)="PRÓXIMO",VLOOKUP(W224,'BD LUB'!$A$2:$L$223,12,FALSE)="PRÓXIMO"),4,IF(OR(AND(VLOOKUP(W224,'BD LUB'!$A$2:$L$223,11,FALSE)="PRÓXIMO",VLOOKUP(W224,'BD LUB'!$A$2:$L$223,12,FALSE)="VIGENTE"),AND(VLOOKUP(W224,'BD LUB'!$A$2:$L$223,11,FALSE)="VIGENTE",VLOOKUP(W224,'BD LUB'!$A$2:$L$223,12,FALSE)="PRÓXIMO")),5,IF(AND(VLOOKUP(W224,'BD LUB'!$A$2:$L$223,11,FALSE)="VIGENTE",VLOOKUP(W224,'BD LUB'!$A$2:$L$223,12,FALSE)="VIGENTE"),6,"No definido"))))))</f>
        <v>#N/A</v>
      </c>
      <c r="Z224" s="163"/>
      <c r="AA224" s="139" t="str">
        <f>(VLOOKUP(Z224,'BD LUB'!$A$2:$L$223,5,FALSE)/VLOOKUP(Z224,'BD LUB'!$A$2:$L$223,7,FALSE))+(VLOOKUP(Z224,'BD LUB'!$A$2:$L$223,6,FALSE)/VLOOKUP(Z224,'BD LUB'!$A$2:$L$223,8,FALSE))</f>
        <v>#N/A</v>
      </c>
      <c r="AB224" s="78" t="str">
        <f>IF(AND(VLOOKUP(Z224,'BD LUB'!$A$2:$L$223,11,FALSE)="PASADO",VLOOKUP(Z224,'BD LUB'!$A$2:$L$223,12,FALSE)="PASADO"),1,IF(OR(AND(VLOOKUP(Z224,'BD LUB'!$A$2:$L$223,11,FALSE)="PASADO",VLOOKUP(Z224,'BD LUB'!$A$2:$L$223,12,FALSE)="PRÓXIMO"),AND(VLOOKUP(Z224,'BD LUB'!$A$2:$L$223,11,FALSE)="PRÓXIMO",VLOOKUP(Z224,'BD LUB'!$A$2:$L$223,12,FALSE)="PASADO")),2,IF(OR(AND(VLOOKUP(Z224,'BD LUB'!$A$2:$L$223,11,FALSE)="PASADO",VLOOKUP(Z224,'BD LUB'!$A$2:$L$223,12,FALSE)="VIGENTE"),AND(VLOOKUP(Z224,'BD LUB'!$A$2:$L$223,11,FALSE)="VIGENTE",VLOOKUP(Z224,'BD LUB'!$A$2:$L$223,12,FALSE)="PASADO")),3,IF(AND(VLOOKUP(Z224,'BD LUB'!$A$2:$L$223,11,FALSE)="PRÓXIMO",VLOOKUP(Z224,'BD LUB'!$A$2:$L$223,12,FALSE)="PRÓXIMO"),4,IF(OR(AND(VLOOKUP(Z224,'BD LUB'!$A$2:$L$223,11,FALSE)="PRÓXIMO",VLOOKUP(Z224,'BD LUB'!$A$2:$L$223,12,FALSE)="VIGENTE"),AND(VLOOKUP(Z224,'BD LUB'!$A$2:$L$223,11,FALSE)="VIGENTE",VLOOKUP(Z224,'BD LUB'!$A$2:$L$223,12,FALSE)="PRÓXIMO")),5,IF(AND(VLOOKUP(Z224,'BD LUB'!$A$2:$L$223,11,FALSE)="VIGENTE",VLOOKUP(Z224,'BD LUB'!$A$2:$L$223,12,FALSE)="VIGENTE"),6,"No definido"))))))</f>
        <v>#N/A</v>
      </c>
      <c r="AC224" s="163"/>
      <c r="AD224" s="136" t="str">
        <f>IF(VLOOKUP(AC224,'BD LUB'!$A$2:$C$223,3,FALSE)=$AH$20,AC224&amp;" MED",IF(VLOOKUP(AC224,'BD LUB'!$A$2:$C$223,3,FALSE)=$AH$19,AC224&amp;" MAY",IF(VLOOKUP(AC224,'BD LUB'!$A$2:$C$223,3,FALSE)=$AH$18,AC224&amp;" RN",IF(VLOOKUP(AC224,'BD LUB'!$A$2:$C$223,3,FALSE)=$AH$17,AC224&amp;" COPQUI",IF(VLOOKUP(AC224,'BD LUB'!$A$2:$C$223,3,FALSE)=$AH$16,AC224&amp;" CEJ",IF(VLOOKUP(AC224,'BD LUB'!$A$2:$C$223,3,FALSE)=$AH$15,AC224&amp;" BULT",IF(VLOOKUP(AC224,'BD LUB'!$A$2:$C$223,3,FALSE)=$AH$14,AC224&amp;" COP",IF(VLOOKUP(AC224,'BD LUB'!$A$2:$C$223,3,FALSE)=$AH$13,AC224&amp;" RIO",IF(VLOOKUP(AC224,'BD LUB'!$A$2:$C$223,3,FALSE)=$AH$21,AC224&amp;" APART","Dato no encontrado")))))))))</f>
        <v>#N/A</v>
      </c>
      <c r="AE224" s="160"/>
      <c r="AF224" s="160"/>
      <c r="AG224" s="160"/>
      <c r="AH224" s="160"/>
      <c r="AI224" s="160"/>
      <c r="AJ224" s="160"/>
      <c r="AP224" s="160"/>
      <c r="AV224" s="160"/>
    </row>
    <row r="225">
      <c r="A225" s="158"/>
      <c r="B225" s="164">
        <v>222.0</v>
      </c>
      <c r="C225" s="165">
        <f>IFERROR(__xludf.DUMMYFUNCTION("""COMPUTED_VALUE"""),951.0)</f>
        <v>951</v>
      </c>
      <c r="D225" s="166">
        <f>IFERROR(__xludf.DUMMYFUNCTION("""COMPUTED_VALUE"""),46211.0)</f>
        <v>46211</v>
      </c>
      <c r="E225" s="165" t="str">
        <f>IFERROR(__xludf.DUMMYFUNCTION("""COMPUTED_VALUE"""),"02-Medellin")</f>
        <v>02-Medellin</v>
      </c>
      <c r="F225" s="166">
        <f>IFERROR(__xludf.DUMMYFUNCTION("""COMPUTED_VALUE"""),45841.0)</f>
        <v>45841</v>
      </c>
      <c r="G225" s="167">
        <f>IFERROR(__xludf.DUMMYFUNCTION("""COMPUTED_VALUE"""),345.0)</f>
        <v>345</v>
      </c>
      <c r="H225" s="165" t="str">
        <f>IFERROR(__xludf.DUMMYFUNCTION("""COMPUTED_VALUE"""),"VIGENTE")</f>
        <v>VIGENTE</v>
      </c>
      <c r="I225" s="168" t="str">
        <f t="shared" si="1"/>
        <v>-</v>
      </c>
      <c r="J225" s="158"/>
      <c r="K225" s="164">
        <v>222.0</v>
      </c>
      <c r="L225" s="165">
        <f>IFERROR(__xludf.DUMMYFUNCTION("""COMPUTED_VALUE"""),3047.0)</f>
        <v>3047</v>
      </c>
      <c r="M225" s="166">
        <f>IFERROR(__xludf.DUMMYFUNCTION("""COMPUTED_VALUE"""),46276.0)</f>
        <v>46276</v>
      </c>
      <c r="N225" s="165" t="str">
        <f>IFERROR(__xludf.DUMMYFUNCTION("""COMPUTED_VALUE"""),"02-Medellin")</f>
        <v>02-Medellin</v>
      </c>
      <c r="O225" s="166">
        <f>IFERROR(__xludf.DUMMYFUNCTION("""COMPUTED_VALUE"""),46193.0)</f>
        <v>46193</v>
      </c>
      <c r="P225" s="167">
        <f>IFERROR(__xludf.DUMMYFUNCTION("""COMPUTED_VALUE"""),25467.2)</f>
        <v>25467.2</v>
      </c>
      <c r="Q225" s="165" t="str">
        <f>IFERROR(__xludf.DUMMYFUNCTION("""COMPUTED_VALUE"""),"VIGENTE")</f>
        <v>VIGENTE</v>
      </c>
      <c r="R225" s="168" t="str">
        <f t="shared" si="2"/>
        <v>-</v>
      </c>
      <c r="T225" s="134" t="str">
        <f>CALENDARIO!D237</f>
        <v/>
      </c>
      <c r="U225" s="135" t="str">
        <f>CALENDARIO!C237</f>
        <v/>
      </c>
      <c r="W225" s="128"/>
      <c r="X225" s="136" t="str">
        <f>(VLOOKUP(W225,'BD LUB'!$A$2:$L$223,5,FALSE)/VLOOKUP(W225,'BD LUB'!$A$2:$L$223,7,FALSE))+(VLOOKUP(W225,'BD LUB'!$A$2:$L$223,6,FALSE)/VLOOKUP(W225,'BD LUB'!$A$2:$L$223,8,FALSE))</f>
        <v>#N/A</v>
      </c>
      <c r="Y225" s="161" t="str">
        <f>IF(AND(VLOOKUP(W225,'BD LUB'!$A$2:$L$223,11,FALSE)="PASADO",VLOOKUP(W225,'BD LUB'!$A$2:$L$223,12,FALSE)="PASADO"),1,IF(OR(AND(VLOOKUP(W225,'BD LUB'!$A$2:$L$223,11,FALSE)="PASADO",VLOOKUP(W225,'BD LUB'!$A$2:$L$223,12,FALSE)="PRÓXIMO"),AND(VLOOKUP(W225,'BD LUB'!$A$2:$L$223,11,FALSE)="PRÓXIMO",VLOOKUP(W225,'BD LUB'!$A$2:$L$223,12,FALSE)="PASADO")),2,IF(OR(AND(VLOOKUP(W225,'BD LUB'!$A$2:$L$223,11,FALSE)="PASADO",VLOOKUP(W225,'BD LUB'!$A$2:$L$223,12,FALSE)="VIGENTE"),AND(VLOOKUP(W225,'BD LUB'!$A$2:$L$223,11,FALSE)="VIGENTE",VLOOKUP(W225,'BD LUB'!$A$2:$L$223,12,FALSE)="PASADO")),3,IF(AND(VLOOKUP(W225,'BD LUB'!$A$2:$L$223,11,FALSE)="PRÓXIMO",VLOOKUP(W225,'BD LUB'!$A$2:$L$223,12,FALSE)="PRÓXIMO"),4,IF(OR(AND(VLOOKUP(W225,'BD LUB'!$A$2:$L$223,11,FALSE)="PRÓXIMO",VLOOKUP(W225,'BD LUB'!$A$2:$L$223,12,FALSE)="VIGENTE"),AND(VLOOKUP(W225,'BD LUB'!$A$2:$L$223,11,FALSE)="VIGENTE",VLOOKUP(W225,'BD LUB'!$A$2:$L$223,12,FALSE)="PRÓXIMO")),5,IF(AND(VLOOKUP(W225,'BD LUB'!$A$2:$L$223,11,FALSE)="VIGENTE",VLOOKUP(W225,'BD LUB'!$A$2:$L$223,12,FALSE)="VIGENTE"),6,"No definido"))))))</f>
        <v>#N/A</v>
      </c>
      <c r="Z225" s="163"/>
      <c r="AA225" s="139" t="str">
        <f>(VLOOKUP(Z225,'BD LUB'!$A$2:$L$223,5,FALSE)/VLOOKUP(Z225,'BD LUB'!$A$2:$L$223,7,FALSE))+(VLOOKUP(Z225,'BD LUB'!$A$2:$L$223,6,FALSE)/VLOOKUP(Z225,'BD LUB'!$A$2:$L$223,8,FALSE))</f>
        <v>#N/A</v>
      </c>
      <c r="AB225" s="78" t="str">
        <f>IF(AND(VLOOKUP(Z225,'BD LUB'!$A$2:$L$223,11,FALSE)="PASADO",VLOOKUP(Z225,'BD LUB'!$A$2:$L$223,12,FALSE)="PASADO"),1,IF(OR(AND(VLOOKUP(Z225,'BD LUB'!$A$2:$L$223,11,FALSE)="PASADO",VLOOKUP(Z225,'BD LUB'!$A$2:$L$223,12,FALSE)="PRÓXIMO"),AND(VLOOKUP(Z225,'BD LUB'!$A$2:$L$223,11,FALSE)="PRÓXIMO",VLOOKUP(Z225,'BD LUB'!$A$2:$L$223,12,FALSE)="PASADO")),2,IF(OR(AND(VLOOKUP(Z225,'BD LUB'!$A$2:$L$223,11,FALSE)="PASADO",VLOOKUP(Z225,'BD LUB'!$A$2:$L$223,12,FALSE)="VIGENTE"),AND(VLOOKUP(Z225,'BD LUB'!$A$2:$L$223,11,FALSE)="VIGENTE",VLOOKUP(Z225,'BD LUB'!$A$2:$L$223,12,FALSE)="PASADO")),3,IF(AND(VLOOKUP(Z225,'BD LUB'!$A$2:$L$223,11,FALSE)="PRÓXIMO",VLOOKUP(Z225,'BD LUB'!$A$2:$L$223,12,FALSE)="PRÓXIMO"),4,IF(OR(AND(VLOOKUP(Z225,'BD LUB'!$A$2:$L$223,11,FALSE)="PRÓXIMO",VLOOKUP(Z225,'BD LUB'!$A$2:$L$223,12,FALSE)="VIGENTE"),AND(VLOOKUP(Z225,'BD LUB'!$A$2:$L$223,11,FALSE)="VIGENTE",VLOOKUP(Z225,'BD LUB'!$A$2:$L$223,12,FALSE)="PRÓXIMO")),5,IF(AND(VLOOKUP(Z225,'BD LUB'!$A$2:$L$223,11,FALSE)="VIGENTE",VLOOKUP(Z225,'BD LUB'!$A$2:$L$223,12,FALSE)="VIGENTE"),6,"No definido"))))))</f>
        <v>#N/A</v>
      </c>
      <c r="AC225" s="163"/>
      <c r="AD225" s="136" t="str">
        <f>IF(VLOOKUP(AC225,'BD LUB'!$A$2:$C$223,3,FALSE)=$AH$20,AC225&amp;" MED",IF(VLOOKUP(AC225,'BD LUB'!$A$2:$C$223,3,FALSE)=$AH$19,AC225&amp;" MAY",IF(VLOOKUP(AC225,'BD LUB'!$A$2:$C$223,3,FALSE)=$AH$18,AC225&amp;" RN",IF(VLOOKUP(AC225,'BD LUB'!$A$2:$C$223,3,FALSE)=$AH$17,AC225&amp;" COPQUI",IF(VLOOKUP(AC225,'BD LUB'!$A$2:$C$223,3,FALSE)=$AH$16,AC225&amp;" CEJ",IF(VLOOKUP(AC225,'BD LUB'!$A$2:$C$223,3,FALSE)=$AH$15,AC225&amp;" BULT",IF(VLOOKUP(AC225,'BD LUB'!$A$2:$C$223,3,FALSE)=$AH$14,AC225&amp;" COP",IF(VLOOKUP(AC225,'BD LUB'!$A$2:$C$223,3,FALSE)=$AH$13,AC225&amp;" RIO",IF(VLOOKUP(AC225,'BD LUB'!$A$2:$C$223,3,FALSE)=$AH$21,AC225&amp;" APART","Dato no encontrado")))))))))</f>
        <v>#N/A</v>
      </c>
      <c r="AE225" s="160"/>
      <c r="AF225" s="160"/>
      <c r="AG225" s="160"/>
      <c r="AH225" s="160"/>
      <c r="AI225" s="160"/>
      <c r="AJ225" s="160"/>
      <c r="AP225" s="160"/>
      <c r="AV225" s="160"/>
    </row>
    <row r="226">
      <c r="A226" s="158"/>
      <c r="B226" s="169"/>
      <c r="C226" s="170"/>
      <c r="D226" s="170"/>
      <c r="E226" s="170"/>
      <c r="F226" s="170"/>
      <c r="G226" s="170"/>
      <c r="H226" s="170"/>
      <c r="I226" s="171"/>
      <c r="J226" s="158"/>
      <c r="K226" s="169"/>
      <c r="L226" s="170"/>
      <c r="M226" s="170"/>
      <c r="N226" s="170"/>
      <c r="O226" s="170"/>
      <c r="P226" s="170"/>
      <c r="Q226" s="170"/>
      <c r="R226" s="171"/>
      <c r="T226" s="101"/>
      <c r="U226" s="152"/>
      <c r="X226" s="172"/>
      <c r="Y226" s="100"/>
      <c r="Z226" s="160"/>
      <c r="AA226" s="173"/>
      <c r="AB226" s="103"/>
      <c r="AC226" s="160"/>
      <c r="AD226" s="172"/>
      <c r="AE226" s="160"/>
      <c r="AF226" s="160"/>
      <c r="AG226" s="160"/>
      <c r="AH226" s="160"/>
      <c r="AI226" s="160"/>
      <c r="AJ226" s="160"/>
      <c r="AP226" s="160"/>
      <c r="AV226" s="160"/>
    </row>
    <row r="227">
      <c r="A227" s="158"/>
      <c r="B227" s="160"/>
      <c r="C227" s="103"/>
      <c r="E227" s="103"/>
      <c r="F227" s="103"/>
      <c r="G227" s="158"/>
      <c r="H227" s="158"/>
      <c r="I227" s="158"/>
      <c r="J227" s="158"/>
      <c r="K227" s="160"/>
      <c r="L227" s="103"/>
      <c r="N227" s="103"/>
      <c r="O227" s="103"/>
      <c r="Y227" s="160"/>
      <c r="Z227" s="160"/>
      <c r="AA227" s="160"/>
      <c r="AB227" s="160"/>
      <c r="AC227" s="160"/>
      <c r="AD227" s="160"/>
      <c r="AE227" s="160"/>
      <c r="AF227" s="160"/>
      <c r="AG227" s="160"/>
      <c r="AH227" s="160"/>
      <c r="AI227" s="160"/>
      <c r="AJ227" s="160"/>
      <c r="AP227" s="160"/>
      <c r="AV227" s="160"/>
    </row>
    <row r="228">
      <c r="A228" s="158"/>
      <c r="B228" s="160"/>
      <c r="C228" s="103"/>
      <c r="E228" s="103"/>
      <c r="F228" s="103"/>
      <c r="G228" s="158"/>
      <c r="H228" s="158"/>
      <c r="I228" s="158"/>
      <c r="J228" s="158"/>
      <c r="K228" s="160"/>
      <c r="L228" s="103"/>
      <c r="N228" s="103"/>
      <c r="O228" s="103"/>
      <c r="Y228" s="160"/>
      <c r="Z228" s="160"/>
      <c r="AA228" s="160"/>
      <c r="AB228" s="160"/>
      <c r="AC228" s="160"/>
      <c r="AD228" s="160"/>
      <c r="AE228" s="160"/>
      <c r="AF228" s="160"/>
      <c r="AG228" s="160"/>
      <c r="AH228" s="160"/>
      <c r="AI228" s="160"/>
      <c r="AJ228" s="160"/>
      <c r="AP228" s="160"/>
      <c r="AV228" s="160"/>
    </row>
    <row r="229">
      <c r="A229" s="158"/>
      <c r="B229" s="160"/>
      <c r="C229" s="103"/>
      <c r="E229" s="103"/>
      <c r="F229" s="103"/>
      <c r="G229" s="158"/>
      <c r="H229" s="158"/>
      <c r="I229" s="158"/>
      <c r="J229" s="158"/>
      <c r="K229" s="160"/>
      <c r="L229" s="103"/>
      <c r="N229" s="103"/>
      <c r="O229" s="103"/>
      <c r="Y229" s="160"/>
      <c r="Z229" s="160"/>
      <c r="AA229" s="160"/>
      <c r="AB229" s="160"/>
      <c r="AC229" s="160"/>
      <c r="AD229" s="160"/>
      <c r="AE229" s="160"/>
      <c r="AF229" s="160"/>
      <c r="AG229" s="160"/>
      <c r="AH229" s="160"/>
      <c r="AI229" s="160"/>
      <c r="AJ229" s="160"/>
      <c r="AP229" s="160"/>
      <c r="AV229" s="160"/>
    </row>
    <row r="230">
      <c r="A230" s="158"/>
      <c r="B230" s="160"/>
      <c r="C230" s="103"/>
      <c r="E230" s="103"/>
      <c r="F230" s="103"/>
      <c r="G230" s="158"/>
      <c r="H230" s="158"/>
      <c r="I230" s="158"/>
      <c r="J230" s="158"/>
      <c r="K230" s="160"/>
      <c r="L230" s="103"/>
      <c r="N230" s="103"/>
      <c r="O230" s="103"/>
      <c r="Y230" s="160"/>
      <c r="Z230" s="160"/>
      <c r="AA230" s="160"/>
      <c r="AB230" s="160"/>
      <c r="AC230" s="160"/>
      <c r="AD230" s="160"/>
      <c r="AE230" s="160"/>
      <c r="AF230" s="160"/>
      <c r="AG230" s="160"/>
      <c r="AH230" s="160"/>
      <c r="AI230" s="160"/>
      <c r="AJ230" s="160"/>
      <c r="AP230" s="160"/>
      <c r="AV230" s="160"/>
    </row>
    <row r="231">
      <c r="A231" s="158"/>
      <c r="B231" s="160"/>
      <c r="C231" s="103"/>
      <c r="E231" s="103"/>
      <c r="F231" s="103"/>
      <c r="G231" s="158"/>
      <c r="H231" s="158"/>
      <c r="I231" s="158"/>
      <c r="J231" s="158"/>
      <c r="K231" s="160"/>
      <c r="L231" s="103"/>
      <c r="N231" s="103"/>
      <c r="O231" s="103"/>
      <c r="Y231" s="160"/>
      <c r="Z231" s="160"/>
      <c r="AA231" s="160"/>
      <c r="AB231" s="160"/>
      <c r="AC231" s="160"/>
      <c r="AD231" s="160"/>
      <c r="AE231" s="160"/>
      <c r="AF231" s="160"/>
      <c r="AG231" s="160"/>
      <c r="AH231" s="160"/>
      <c r="AI231" s="160"/>
      <c r="AJ231" s="160"/>
      <c r="AP231" s="160"/>
      <c r="AV231" s="160"/>
    </row>
    <row r="232">
      <c r="A232" s="158"/>
      <c r="B232" s="160"/>
      <c r="C232" s="103"/>
      <c r="E232" s="103"/>
      <c r="F232" s="103"/>
      <c r="G232" s="158"/>
      <c r="H232" s="158"/>
      <c r="I232" s="158"/>
      <c r="J232" s="158"/>
      <c r="K232" s="160"/>
      <c r="L232" s="103"/>
      <c r="N232" s="103"/>
      <c r="O232" s="103"/>
      <c r="Y232" s="160"/>
      <c r="Z232" s="160"/>
      <c r="AA232" s="160"/>
      <c r="AB232" s="160"/>
      <c r="AC232" s="160"/>
      <c r="AD232" s="160"/>
      <c r="AE232" s="160"/>
      <c r="AF232" s="160"/>
      <c r="AG232" s="160"/>
      <c r="AH232" s="160"/>
      <c r="AI232" s="160"/>
      <c r="AJ232" s="160"/>
      <c r="AP232" s="160"/>
      <c r="AV232" s="160"/>
    </row>
    <row r="233">
      <c r="A233" s="158"/>
      <c r="B233" s="160"/>
      <c r="C233" s="103"/>
      <c r="E233" s="103"/>
      <c r="F233" s="103"/>
      <c r="G233" s="158"/>
      <c r="H233" s="158"/>
      <c r="I233" s="158"/>
      <c r="J233" s="158"/>
      <c r="K233" s="160"/>
      <c r="L233" s="103"/>
      <c r="N233" s="103"/>
      <c r="O233" s="103"/>
      <c r="Y233" s="160"/>
      <c r="Z233" s="160"/>
      <c r="AA233" s="160"/>
      <c r="AB233" s="160"/>
      <c r="AC233" s="160"/>
      <c r="AD233" s="160"/>
      <c r="AE233" s="160"/>
      <c r="AF233" s="160"/>
      <c r="AG233" s="160"/>
      <c r="AH233" s="160"/>
      <c r="AI233" s="160"/>
      <c r="AJ233" s="160"/>
      <c r="AP233" s="160"/>
      <c r="AV233" s="160"/>
    </row>
    <row r="234">
      <c r="A234" s="158"/>
      <c r="B234" s="160"/>
      <c r="C234" s="103"/>
      <c r="E234" s="103"/>
      <c r="F234" s="103"/>
      <c r="G234" s="158"/>
      <c r="H234" s="158"/>
      <c r="I234" s="158"/>
      <c r="J234" s="158"/>
      <c r="K234" s="160"/>
      <c r="L234" s="103"/>
      <c r="N234" s="103"/>
      <c r="O234" s="103"/>
      <c r="Y234" s="160"/>
      <c r="Z234" s="160"/>
      <c r="AA234" s="160"/>
      <c r="AB234" s="160"/>
      <c r="AC234" s="160"/>
      <c r="AD234" s="160"/>
      <c r="AE234" s="160"/>
      <c r="AF234" s="160"/>
      <c r="AG234" s="160"/>
      <c r="AH234" s="160"/>
      <c r="AI234" s="160"/>
      <c r="AJ234" s="160"/>
      <c r="AP234" s="160"/>
      <c r="AV234" s="160"/>
    </row>
    <row r="235">
      <c r="A235" s="158"/>
      <c r="B235" s="160"/>
      <c r="C235" s="103"/>
      <c r="E235" s="103"/>
      <c r="F235" s="103"/>
      <c r="G235" s="158"/>
      <c r="H235" s="158"/>
      <c r="I235" s="158"/>
      <c r="J235" s="158"/>
      <c r="K235" s="160"/>
      <c r="L235" s="103"/>
      <c r="N235" s="103"/>
      <c r="O235" s="103"/>
      <c r="Y235" s="160"/>
      <c r="Z235" s="160"/>
      <c r="AA235" s="160"/>
      <c r="AB235" s="160"/>
      <c r="AC235" s="160"/>
      <c r="AD235" s="160"/>
      <c r="AE235" s="160"/>
      <c r="AF235" s="160"/>
      <c r="AG235" s="160"/>
      <c r="AH235" s="160"/>
      <c r="AI235" s="160"/>
      <c r="AJ235" s="160"/>
      <c r="AP235" s="160"/>
      <c r="AV235" s="160"/>
    </row>
    <row r="236">
      <c r="A236" s="158"/>
      <c r="B236" s="160"/>
      <c r="C236" s="103"/>
      <c r="E236" s="103"/>
      <c r="F236" s="103"/>
      <c r="G236" s="158"/>
      <c r="H236" s="158"/>
      <c r="I236" s="158"/>
      <c r="J236" s="158"/>
      <c r="K236" s="160"/>
      <c r="L236" s="103"/>
      <c r="N236" s="103"/>
      <c r="O236" s="103"/>
      <c r="Y236" s="160"/>
      <c r="Z236" s="160"/>
      <c r="AA236" s="160"/>
      <c r="AB236" s="160"/>
      <c r="AC236" s="160"/>
      <c r="AD236" s="160"/>
      <c r="AE236" s="160"/>
      <c r="AF236" s="160"/>
      <c r="AG236" s="160"/>
      <c r="AH236" s="160"/>
      <c r="AI236" s="160"/>
      <c r="AJ236" s="160"/>
      <c r="AP236" s="160"/>
      <c r="AV236" s="160"/>
    </row>
    <row r="237">
      <c r="A237" s="158"/>
      <c r="B237" s="160"/>
      <c r="C237" s="103"/>
      <c r="E237" s="103"/>
      <c r="F237" s="103"/>
      <c r="G237" s="158"/>
      <c r="H237" s="158"/>
      <c r="I237" s="158"/>
      <c r="J237" s="158"/>
      <c r="K237" s="160"/>
      <c r="L237" s="103"/>
      <c r="N237" s="103"/>
      <c r="O237" s="103"/>
      <c r="Y237" s="160"/>
      <c r="Z237" s="160"/>
      <c r="AA237" s="160"/>
      <c r="AB237" s="160"/>
      <c r="AC237" s="160"/>
      <c r="AD237" s="160"/>
      <c r="AE237" s="160"/>
      <c r="AF237" s="160"/>
      <c r="AG237" s="160"/>
      <c r="AH237" s="160"/>
      <c r="AI237" s="160"/>
      <c r="AJ237" s="160"/>
      <c r="AP237" s="160"/>
      <c r="AV237" s="160"/>
    </row>
    <row r="238">
      <c r="A238" s="158"/>
      <c r="B238" s="160"/>
      <c r="C238" s="103"/>
      <c r="E238" s="103"/>
      <c r="F238" s="103"/>
      <c r="G238" s="158"/>
      <c r="H238" s="158"/>
      <c r="I238" s="158"/>
      <c r="J238" s="158"/>
      <c r="K238" s="160"/>
      <c r="L238" s="103"/>
      <c r="N238" s="103"/>
      <c r="O238" s="103"/>
      <c r="Y238" s="160"/>
      <c r="Z238" s="160"/>
      <c r="AA238" s="160"/>
      <c r="AB238" s="160"/>
      <c r="AC238" s="160"/>
      <c r="AD238" s="160"/>
      <c r="AE238" s="160"/>
      <c r="AF238" s="160"/>
      <c r="AG238" s="160"/>
      <c r="AH238" s="160"/>
      <c r="AI238" s="160"/>
      <c r="AJ238" s="160"/>
      <c r="AP238" s="160"/>
      <c r="AV238" s="160"/>
    </row>
    <row r="239">
      <c r="A239" s="158"/>
      <c r="B239" s="160"/>
      <c r="C239" s="103"/>
      <c r="E239" s="103"/>
      <c r="F239" s="103"/>
      <c r="G239" s="158"/>
      <c r="H239" s="158"/>
      <c r="I239" s="158"/>
      <c r="J239" s="158"/>
      <c r="K239" s="160"/>
      <c r="L239" s="103"/>
      <c r="N239" s="103"/>
      <c r="O239" s="103"/>
      <c r="Y239" s="160"/>
      <c r="Z239" s="160"/>
      <c r="AA239" s="160"/>
      <c r="AB239" s="160"/>
      <c r="AC239" s="160"/>
      <c r="AD239" s="160"/>
      <c r="AE239" s="160"/>
      <c r="AF239" s="160"/>
      <c r="AG239" s="160"/>
      <c r="AH239" s="160"/>
      <c r="AI239" s="160"/>
      <c r="AJ239" s="160"/>
      <c r="AP239" s="160"/>
      <c r="AV239" s="160"/>
    </row>
    <row r="240">
      <c r="A240" s="158"/>
      <c r="B240" s="160"/>
      <c r="C240" s="103"/>
      <c r="E240" s="103"/>
      <c r="F240" s="103"/>
      <c r="G240" s="158"/>
      <c r="H240" s="158"/>
      <c r="I240" s="158"/>
      <c r="J240" s="158"/>
      <c r="K240" s="160"/>
      <c r="L240" s="103"/>
      <c r="N240" s="103"/>
      <c r="O240" s="103"/>
      <c r="Y240" s="160"/>
      <c r="Z240" s="160"/>
      <c r="AA240" s="160"/>
      <c r="AB240" s="160"/>
      <c r="AC240" s="160"/>
      <c r="AD240" s="160"/>
      <c r="AE240" s="160"/>
      <c r="AF240" s="160"/>
      <c r="AG240" s="160"/>
      <c r="AH240" s="160"/>
      <c r="AI240" s="160"/>
      <c r="AJ240" s="160"/>
      <c r="AP240" s="160"/>
      <c r="AV240" s="160"/>
    </row>
    <row r="241">
      <c r="A241" s="158"/>
      <c r="B241" s="160"/>
      <c r="C241" s="103"/>
      <c r="E241" s="103"/>
      <c r="F241" s="103"/>
      <c r="G241" s="158"/>
      <c r="H241" s="158"/>
      <c r="I241" s="158"/>
      <c r="J241" s="158"/>
      <c r="K241" s="160"/>
      <c r="L241" s="103"/>
      <c r="N241" s="103"/>
      <c r="O241" s="103"/>
      <c r="Y241" s="160"/>
      <c r="Z241" s="160"/>
      <c r="AA241" s="160"/>
      <c r="AB241" s="160"/>
      <c r="AC241" s="160"/>
      <c r="AD241" s="160"/>
      <c r="AE241" s="160"/>
      <c r="AF241" s="160"/>
      <c r="AG241" s="160"/>
      <c r="AH241" s="160"/>
      <c r="AI241" s="160"/>
      <c r="AJ241" s="160"/>
      <c r="AP241" s="160"/>
      <c r="AV241" s="160"/>
    </row>
    <row r="242">
      <c r="A242" s="158"/>
      <c r="B242" s="160"/>
      <c r="C242" s="103"/>
      <c r="E242" s="103"/>
      <c r="F242" s="103"/>
      <c r="G242" s="158"/>
      <c r="H242" s="158"/>
      <c r="I242" s="158"/>
      <c r="J242" s="158"/>
      <c r="K242" s="160"/>
      <c r="L242" s="103"/>
      <c r="N242" s="103"/>
      <c r="O242" s="103"/>
      <c r="Y242" s="160"/>
      <c r="Z242" s="160"/>
      <c r="AA242" s="160"/>
      <c r="AB242" s="160"/>
      <c r="AC242" s="160"/>
      <c r="AD242" s="160"/>
      <c r="AE242" s="160"/>
      <c r="AF242" s="160"/>
      <c r="AG242" s="160"/>
      <c r="AH242" s="160"/>
      <c r="AI242" s="160"/>
      <c r="AJ242" s="160"/>
      <c r="AP242" s="160"/>
      <c r="AV242" s="160"/>
    </row>
    <row r="243">
      <c r="A243" s="158"/>
      <c r="B243" s="160"/>
      <c r="C243" s="103"/>
      <c r="E243" s="103"/>
      <c r="F243" s="103"/>
      <c r="G243" s="158"/>
      <c r="H243" s="158"/>
      <c r="I243" s="158"/>
      <c r="J243" s="158"/>
      <c r="K243" s="160"/>
      <c r="L243" s="103"/>
      <c r="N243" s="103"/>
      <c r="O243" s="103"/>
      <c r="Y243" s="160"/>
      <c r="Z243" s="160"/>
      <c r="AA243" s="160"/>
      <c r="AB243" s="160"/>
      <c r="AC243" s="160"/>
      <c r="AD243" s="160"/>
      <c r="AE243" s="160"/>
      <c r="AF243" s="160"/>
      <c r="AG243" s="160"/>
      <c r="AH243" s="160"/>
      <c r="AI243" s="160"/>
      <c r="AJ243" s="160"/>
      <c r="AP243" s="160"/>
      <c r="AV243" s="160"/>
    </row>
    <row r="244">
      <c r="A244" s="158"/>
      <c r="B244" s="160"/>
      <c r="C244" s="103"/>
      <c r="E244" s="103"/>
      <c r="F244" s="103"/>
      <c r="G244" s="158"/>
      <c r="H244" s="158"/>
      <c r="I244" s="158"/>
      <c r="J244" s="158"/>
      <c r="K244" s="160"/>
      <c r="L244" s="103"/>
      <c r="N244" s="103"/>
      <c r="O244" s="103"/>
      <c r="Y244" s="160"/>
      <c r="Z244" s="160"/>
      <c r="AA244" s="160"/>
      <c r="AB244" s="160"/>
      <c r="AC244" s="160"/>
      <c r="AD244" s="160"/>
      <c r="AE244" s="160"/>
      <c r="AF244" s="160"/>
      <c r="AG244" s="160"/>
      <c r="AH244" s="160"/>
      <c r="AI244" s="160"/>
      <c r="AJ244" s="160"/>
      <c r="AP244" s="160"/>
      <c r="AV244" s="160"/>
    </row>
    <row r="245">
      <c r="A245" s="158"/>
      <c r="B245" s="160"/>
      <c r="C245" s="103"/>
      <c r="E245" s="103"/>
      <c r="F245" s="103"/>
      <c r="G245" s="158"/>
      <c r="H245" s="158"/>
      <c r="I245" s="158"/>
      <c r="J245" s="158"/>
      <c r="K245" s="160"/>
      <c r="L245" s="103"/>
      <c r="N245" s="103"/>
      <c r="O245" s="103"/>
      <c r="Y245" s="160"/>
      <c r="Z245" s="160"/>
      <c r="AA245" s="160"/>
      <c r="AB245" s="160"/>
      <c r="AC245" s="160"/>
      <c r="AD245" s="160"/>
      <c r="AE245" s="160"/>
      <c r="AF245" s="160"/>
      <c r="AG245" s="160"/>
      <c r="AH245" s="160"/>
      <c r="AI245" s="160"/>
      <c r="AJ245" s="160"/>
      <c r="AP245" s="160"/>
      <c r="AV245" s="160"/>
    </row>
    <row r="246">
      <c r="A246" s="158"/>
      <c r="B246" s="160"/>
      <c r="C246" s="103"/>
      <c r="E246" s="103"/>
      <c r="F246" s="103"/>
      <c r="G246" s="158"/>
      <c r="H246" s="158"/>
      <c r="I246" s="158"/>
      <c r="J246" s="158"/>
      <c r="K246" s="160"/>
      <c r="L246" s="103"/>
      <c r="N246" s="103"/>
      <c r="O246" s="103"/>
      <c r="Y246" s="160"/>
      <c r="Z246" s="160"/>
      <c r="AA246" s="160"/>
      <c r="AB246" s="160"/>
      <c r="AC246" s="160"/>
      <c r="AD246" s="160"/>
      <c r="AE246" s="160"/>
      <c r="AF246" s="160"/>
      <c r="AG246" s="160"/>
      <c r="AH246" s="160"/>
      <c r="AI246" s="160"/>
      <c r="AJ246" s="160"/>
      <c r="AP246" s="160"/>
      <c r="AV246" s="160"/>
    </row>
    <row r="247">
      <c r="A247" s="158"/>
      <c r="B247" s="160"/>
      <c r="C247" s="103"/>
      <c r="E247" s="103"/>
      <c r="F247" s="103"/>
      <c r="G247" s="158"/>
      <c r="H247" s="158"/>
      <c r="I247" s="158"/>
      <c r="J247" s="158"/>
      <c r="K247" s="160"/>
      <c r="L247" s="103"/>
      <c r="N247" s="103"/>
      <c r="O247" s="103"/>
      <c r="Y247" s="160"/>
      <c r="Z247" s="160"/>
      <c r="AA247" s="160"/>
      <c r="AB247" s="160"/>
      <c r="AC247" s="160"/>
      <c r="AD247" s="160"/>
      <c r="AE247" s="160"/>
      <c r="AF247" s="160"/>
      <c r="AG247" s="160"/>
      <c r="AH247" s="160"/>
      <c r="AI247" s="160"/>
      <c r="AJ247" s="160"/>
      <c r="AP247" s="160"/>
      <c r="AV247" s="160"/>
    </row>
    <row r="248">
      <c r="A248" s="158"/>
      <c r="B248" s="160"/>
      <c r="C248" s="103"/>
      <c r="E248" s="103"/>
      <c r="F248" s="103"/>
      <c r="G248" s="158"/>
      <c r="H248" s="158"/>
      <c r="I248" s="158"/>
      <c r="J248" s="158"/>
      <c r="K248" s="160"/>
      <c r="L248" s="103"/>
      <c r="N248" s="103"/>
      <c r="O248" s="103"/>
      <c r="Y248" s="160"/>
      <c r="Z248" s="160"/>
      <c r="AA248" s="160"/>
      <c r="AB248" s="160"/>
      <c r="AC248" s="160"/>
      <c r="AD248" s="160"/>
      <c r="AE248" s="160"/>
      <c r="AF248" s="160"/>
      <c r="AG248" s="160"/>
      <c r="AH248" s="160"/>
      <c r="AI248" s="160"/>
      <c r="AJ248" s="160"/>
      <c r="AP248" s="160"/>
      <c r="AV248" s="160"/>
    </row>
    <row r="249">
      <c r="A249" s="158"/>
      <c r="B249" s="160"/>
      <c r="C249" s="103"/>
      <c r="E249" s="103"/>
      <c r="F249" s="103"/>
      <c r="G249" s="158"/>
      <c r="H249" s="158"/>
      <c r="I249" s="158"/>
      <c r="J249" s="158"/>
      <c r="K249" s="160"/>
      <c r="L249" s="103"/>
      <c r="N249" s="103"/>
      <c r="O249" s="103"/>
      <c r="Y249" s="160"/>
      <c r="Z249" s="160"/>
      <c r="AA249" s="160"/>
      <c r="AB249" s="160"/>
      <c r="AC249" s="160"/>
      <c r="AD249" s="160"/>
      <c r="AE249" s="160"/>
      <c r="AF249" s="160"/>
      <c r="AG249" s="160"/>
      <c r="AH249" s="160"/>
      <c r="AI249" s="160"/>
      <c r="AJ249" s="160"/>
      <c r="AP249" s="160"/>
      <c r="AV249" s="160"/>
    </row>
    <row r="250">
      <c r="A250" s="158"/>
      <c r="B250" s="160"/>
      <c r="C250" s="103"/>
      <c r="E250" s="103"/>
      <c r="F250" s="103"/>
      <c r="G250" s="158"/>
      <c r="H250" s="158"/>
      <c r="I250" s="158"/>
      <c r="J250" s="158"/>
      <c r="K250" s="160"/>
      <c r="L250" s="103"/>
      <c r="N250" s="103"/>
      <c r="O250" s="103"/>
      <c r="Y250" s="160"/>
      <c r="Z250" s="160"/>
      <c r="AA250" s="160"/>
      <c r="AB250" s="160"/>
      <c r="AC250" s="160"/>
      <c r="AD250" s="160"/>
      <c r="AE250" s="160"/>
      <c r="AF250" s="160"/>
      <c r="AG250" s="160"/>
      <c r="AH250" s="160"/>
      <c r="AI250" s="160"/>
      <c r="AJ250" s="160"/>
      <c r="AP250" s="160"/>
      <c r="AV250" s="160"/>
    </row>
    <row r="251">
      <c r="A251" s="158"/>
      <c r="B251" s="160"/>
      <c r="C251" s="103"/>
      <c r="E251" s="103"/>
      <c r="F251" s="103"/>
      <c r="G251" s="158"/>
      <c r="H251" s="158"/>
      <c r="I251" s="158"/>
      <c r="J251" s="158"/>
      <c r="K251" s="160"/>
      <c r="L251" s="103"/>
      <c r="N251" s="103"/>
      <c r="O251" s="103"/>
      <c r="Y251" s="160"/>
      <c r="Z251" s="160"/>
      <c r="AA251" s="160"/>
      <c r="AB251" s="160"/>
      <c r="AC251" s="160"/>
      <c r="AD251" s="160"/>
      <c r="AE251" s="160"/>
      <c r="AF251" s="160"/>
      <c r="AG251" s="160"/>
      <c r="AH251" s="160"/>
      <c r="AI251" s="160"/>
      <c r="AJ251" s="160"/>
      <c r="AP251" s="160"/>
      <c r="AV251" s="160"/>
    </row>
    <row r="252">
      <c r="A252" s="158"/>
      <c r="B252" s="160"/>
      <c r="C252" s="103"/>
      <c r="E252" s="103"/>
      <c r="F252" s="103"/>
      <c r="G252" s="158"/>
      <c r="H252" s="158"/>
      <c r="I252" s="158"/>
      <c r="J252" s="158"/>
      <c r="K252" s="160"/>
      <c r="L252" s="103"/>
      <c r="N252" s="103"/>
      <c r="O252" s="103"/>
      <c r="Y252" s="160"/>
      <c r="Z252" s="160"/>
      <c r="AA252" s="160"/>
      <c r="AB252" s="160"/>
      <c r="AC252" s="160"/>
      <c r="AD252" s="160"/>
      <c r="AE252" s="160"/>
      <c r="AF252" s="160"/>
      <c r="AG252" s="160"/>
      <c r="AH252" s="160"/>
      <c r="AI252" s="160"/>
      <c r="AJ252" s="160"/>
      <c r="AP252" s="160"/>
      <c r="AV252" s="160"/>
    </row>
    <row r="253">
      <c r="A253" s="158"/>
      <c r="B253" s="160"/>
      <c r="C253" s="103"/>
      <c r="E253" s="103"/>
      <c r="F253" s="103"/>
      <c r="G253" s="158"/>
      <c r="H253" s="158"/>
      <c r="I253" s="158"/>
      <c r="J253" s="158"/>
      <c r="K253" s="160"/>
      <c r="L253" s="103"/>
      <c r="N253" s="103"/>
      <c r="O253" s="103"/>
      <c r="Y253" s="160"/>
      <c r="Z253" s="160"/>
      <c r="AA253" s="160"/>
      <c r="AB253" s="160"/>
      <c r="AC253" s="160"/>
      <c r="AD253" s="160"/>
      <c r="AE253" s="160"/>
      <c r="AF253" s="160"/>
      <c r="AG253" s="160"/>
      <c r="AH253" s="160"/>
      <c r="AI253" s="160"/>
      <c r="AJ253" s="160"/>
      <c r="AP253" s="160"/>
      <c r="AV253" s="160"/>
    </row>
    <row r="254">
      <c r="A254" s="158"/>
      <c r="B254" s="160"/>
      <c r="C254" s="103"/>
      <c r="E254" s="103"/>
      <c r="F254" s="103"/>
      <c r="G254" s="158"/>
      <c r="H254" s="158"/>
      <c r="I254" s="158"/>
      <c r="J254" s="158"/>
      <c r="K254" s="160"/>
      <c r="L254" s="103"/>
      <c r="N254" s="103"/>
      <c r="O254" s="103"/>
      <c r="Y254" s="160"/>
      <c r="Z254" s="160"/>
      <c r="AA254" s="160"/>
      <c r="AB254" s="160"/>
      <c r="AC254" s="160"/>
      <c r="AD254" s="160"/>
      <c r="AE254" s="160"/>
      <c r="AF254" s="160"/>
      <c r="AG254" s="160"/>
      <c r="AH254" s="160"/>
      <c r="AI254" s="160"/>
      <c r="AJ254" s="160"/>
      <c r="AP254" s="160"/>
      <c r="AV254" s="160"/>
    </row>
    <row r="255">
      <c r="A255" s="158"/>
      <c r="B255" s="160"/>
      <c r="C255" s="103"/>
      <c r="E255" s="103"/>
      <c r="F255" s="103"/>
      <c r="G255" s="158"/>
      <c r="H255" s="158"/>
      <c r="I255" s="158"/>
      <c r="J255" s="158"/>
      <c r="K255" s="160"/>
      <c r="L255" s="103"/>
      <c r="N255" s="103"/>
      <c r="O255" s="103"/>
      <c r="Y255" s="160"/>
      <c r="Z255" s="160"/>
      <c r="AA255" s="160"/>
      <c r="AB255" s="160"/>
      <c r="AC255" s="160"/>
      <c r="AD255" s="160"/>
      <c r="AE255" s="160"/>
      <c r="AF255" s="160"/>
      <c r="AG255" s="160"/>
      <c r="AH255" s="160"/>
      <c r="AI255" s="160"/>
      <c r="AJ255" s="160"/>
      <c r="AP255" s="160"/>
      <c r="AV255" s="160"/>
    </row>
    <row r="256">
      <c r="A256" s="158"/>
      <c r="B256" s="160"/>
      <c r="C256" s="103"/>
      <c r="E256" s="103"/>
      <c r="F256" s="103"/>
      <c r="G256" s="158"/>
      <c r="H256" s="158"/>
      <c r="I256" s="158"/>
      <c r="J256" s="158"/>
      <c r="K256" s="160"/>
      <c r="L256" s="103"/>
      <c r="N256" s="103"/>
      <c r="O256" s="103"/>
      <c r="Y256" s="160"/>
      <c r="Z256" s="160"/>
      <c r="AA256" s="160"/>
      <c r="AB256" s="160"/>
      <c r="AC256" s="160"/>
      <c r="AD256" s="160"/>
      <c r="AE256" s="160"/>
      <c r="AF256" s="160"/>
      <c r="AG256" s="160"/>
      <c r="AH256" s="160"/>
      <c r="AI256" s="160"/>
      <c r="AJ256" s="160"/>
      <c r="AP256" s="160"/>
      <c r="AV256" s="160"/>
    </row>
    <row r="257">
      <c r="A257" s="158"/>
      <c r="B257" s="160"/>
      <c r="C257" s="103"/>
      <c r="E257" s="103"/>
      <c r="F257" s="103"/>
      <c r="G257" s="158"/>
      <c r="H257" s="158"/>
      <c r="I257" s="158"/>
      <c r="J257" s="158"/>
      <c r="K257" s="160"/>
      <c r="L257" s="103"/>
      <c r="N257" s="103"/>
      <c r="O257" s="103"/>
      <c r="Y257" s="160"/>
      <c r="Z257" s="160"/>
      <c r="AA257" s="160"/>
      <c r="AB257" s="160"/>
      <c r="AC257" s="160"/>
      <c r="AD257" s="160"/>
      <c r="AE257" s="160"/>
      <c r="AF257" s="160"/>
      <c r="AG257" s="160"/>
      <c r="AH257" s="160"/>
      <c r="AI257" s="160"/>
      <c r="AJ257" s="160"/>
      <c r="AP257" s="160"/>
      <c r="AV257" s="160"/>
    </row>
    <row r="258">
      <c r="A258" s="158"/>
      <c r="B258" s="160"/>
      <c r="C258" s="103"/>
      <c r="E258" s="103"/>
      <c r="F258" s="103"/>
      <c r="G258" s="158"/>
      <c r="H258" s="158"/>
      <c r="I258" s="158"/>
      <c r="J258" s="158"/>
      <c r="K258" s="160"/>
      <c r="L258" s="103"/>
      <c r="N258" s="103"/>
      <c r="O258" s="103"/>
      <c r="Y258" s="160"/>
      <c r="Z258" s="160"/>
      <c r="AA258" s="160"/>
      <c r="AB258" s="160"/>
      <c r="AC258" s="160"/>
      <c r="AD258" s="160"/>
      <c r="AE258" s="160"/>
      <c r="AF258" s="160"/>
      <c r="AG258" s="160"/>
      <c r="AH258" s="160"/>
      <c r="AI258" s="160"/>
      <c r="AJ258" s="160"/>
      <c r="AP258" s="160"/>
      <c r="AV258" s="160"/>
    </row>
    <row r="259">
      <c r="A259" s="158"/>
      <c r="B259" s="160"/>
      <c r="C259" s="103"/>
      <c r="E259" s="103"/>
      <c r="F259" s="103"/>
      <c r="G259" s="158"/>
      <c r="H259" s="158"/>
      <c r="I259" s="158"/>
      <c r="J259" s="158"/>
      <c r="K259" s="160"/>
      <c r="L259" s="103"/>
      <c r="N259" s="103"/>
      <c r="O259" s="103"/>
      <c r="Y259" s="160"/>
      <c r="Z259" s="160"/>
      <c r="AA259" s="160"/>
      <c r="AB259" s="160"/>
      <c r="AC259" s="160"/>
      <c r="AD259" s="160"/>
      <c r="AE259" s="160"/>
      <c r="AF259" s="160"/>
      <c r="AG259" s="160"/>
      <c r="AH259" s="160"/>
      <c r="AI259" s="160"/>
      <c r="AJ259" s="160"/>
      <c r="AP259" s="160"/>
      <c r="AV259" s="160"/>
    </row>
    <row r="260">
      <c r="A260" s="158"/>
      <c r="B260" s="160"/>
      <c r="C260" s="103"/>
      <c r="E260" s="103"/>
      <c r="F260" s="103"/>
      <c r="G260" s="158"/>
      <c r="H260" s="158"/>
      <c r="I260" s="158"/>
      <c r="J260" s="158"/>
      <c r="K260" s="160"/>
      <c r="L260" s="103"/>
      <c r="N260" s="103"/>
      <c r="O260" s="103"/>
      <c r="Y260" s="160"/>
      <c r="Z260" s="160"/>
      <c r="AA260" s="160"/>
      <c r="AB260" s="160"/>
      <c r="AC260" s="160"/>
      <c r="AD260" s="160"/>
      <c r="AE260" s="160"/>
      <c r="AF260" s="160"/>
      <c r="AG260" s="160"/>
      <c r="AH260" s="160"/>
      <c r="AI260" s="160"/>
      <c r="AJ260" s="160"/>
      <c r="AP260" s="160"/>
      <c r="AV260" s="160"/>
    </row>
    <row r="261">
      <c r="A261" s="158"/>
      <c r="B261" s="160"/>
      <c r="C261" s="103"/>
      <c r="E261" s="103"/>
      <c r="F261" s="103"/>
      <c r="G261" s="158"/>
      <c r="H261" s="158"/>
      <c r="I261" s="158"/>
      <c r="J261" s="158"/>
      <c r="K261" s="160"/>
      <c r="L261" s="103"/>
      <c r="N261" s="103"/>
      <c r="O261" s="103"/>
      <c r="Y261" s="160"/>
      <c r="Z261" s="160"/>
      <c r="AA261" s="160"/>
      <c r="AB261" s="160"/>
      <c r="AC261" s="160"/>
      <c r="AD261" s="160"/>
      <c r="AE261" s="160"/>
      <c r="AF261" s="160"/>
      <c r="AG261" s="160"/>
      <c r="AH261" s="160"/>
      <c r="AI261" s="160"/>
      <c r="AJ261" s="160"/>
      <c r="AP261" s="160"/>
      <c r="AV261" s="160"/>
    </row>
    <row r="262">
      <c r="A262" s="158"/>
      <c r="B262" s="160"/>
      <c r="C262" s="103"/>
      <c r="E262" s="103"/>
      <c r="F262" s="103"/>
      <c r="G262" s="158"/>
      <c r="H262" s="158"/>
      <c r="I262" s="158"/>
      <c r="J262" s="158"/>
      <c r="K262" s="160"/>
      <c r="L262" s="103"/>
      <c r="N262" s="103"/>
      <c r="O262" s="103"/>
      <c r="Y262" s="160"/>
      <c r="Z262" s="160"/>
      <c r="AA262" s="160"/>
      <c r="AB262" s="160"/>
      <c r="AC262" s="160"/>
      <c r="AD262" s="160"/>
      <c r="AE262" s="160"/>
      <c r="AF262" s="160"/>
      <c r="AG262" s="160"/>
      <c r="AH262" s="160"/>
      <c r="AI262" s="160"/>
      <c r="AJ262" s="160"/>
      <c r="AP262" s="160"/>
      <c r="AV262" s="160"/>
    </row>
    <row r="263">
      <c r="A263" s="158"/>
      <c r="B263" s="160"/>
      <c r="C263" s="103"/>
      <c r="E263" s="103"/>
      <c r="F263" s="103"/>
      <c r="G263" s="158"/>
      <c r="H263" s="158"/>
      <c r="I263" s="158"/>
      <c r="J263" s="158"/>
      <c r="K263" s="160"/>
      <c r="L263" s="103"/>
      <c r="N263" s="103"/>
      <c r="O263" s="103"/>
      <c r="Y263" s="160"/>
      <c r="Z263" s="160"/>
      <c r="AA263" s="160"/>
      <c r="AB263" s="160"/>
      <c r="AC263" s="160"/>
      <c r="AD263" s="160"/>
      <c r="AE263" s="160"/>
      <c r="AF263" s="160"/>
      <c r="AG263" s="160"/>
      <c r="AH263" s="160"/>
      <c r="AI263" s="160"/>
      <c r="AJ263" s="160"/>
      <c r="AP263" s="160"/>
      <c r="AV263" s="160"/>
    </row>
    <row r="264">
      <c r="A264" s="158"/>
      <c r="B264" s="160"/>
      <c r="C264" s="103"/>
      <c r="E264" s="103"/>
      <c r="F264" s="103"/>
      <c r="G264" s="158"/>
      <c r="H264" s="158"/>
      <c r="I264" s="158"/>
      <c r="J264" s="158"/>
      <c r="K264" s="160"/>
      <c r="L264" s="103"/>
      <c r="N264" s="103"/>
      <c r="O264" s="103"/>
      <c r="Y264" s="160"/>
      <c r="Z264" s="160"/>
      <c r="AA264" s="160"/>
      <c r="AB264" s="160"/>
      <c r="AC264" s="160"/>
      <c r="AD264" s="160"/>
      <c r="AE264" s="160"/>
      <c r="AF264" s="160"/>
      <c r="AG264" s="160"/>
      <c r="AH264" s="160"/>
      <c r="AI264" s="160"/>
      <c r="AJ264" s="160"/>
      <c r="AP264" s="160"/>
      <c r="AV264" s="160"/>
    </row>
    <row r="265">
      <c r="A265" s="158"/>
      <c r="B265" s="160"/>
      <c r="C265" s="103"/>
      <c r="E265" s="103"/>
      <c r="F265" s="103"/>
      <c r="G265" s="158"/>
      <c r="H265" s="158"/>
      <c r="I265" s="158"/>
      <c r="J265" s="158"/>
      <c r="K265" s="160"/>
      <c r="L265" s="103"/>
      <c r="N265" s="103"/>
      <c r="O265" s="103"/>
      <c r="Y265" s="160"/>
      <c r="Z265" s="160"/>
      <c r="AA265" s="160"/>
      <c r="AB265" s="160"/>
      <c r="AC265" s="160"/>
      <c r="AD265" s="160"/>
      <c r="AE265" s="160"/>
      <c r="AF265" s="160"/>
      <c r="AG265" s="160"/>
      <c r="AH265" s="160"/>
      <c r="AI265" s="160"/>
      <c r="AJ265" s="160"/>
      <c r="AP265" s="160"/>
      <c r="AV265" s="160"/>
    </row>
    <row r="266">
      <c r="A266" s="158"/>
      <c r="B266" s="160"/>
      <c r="C266" s="103"/>
      <c r="E266" s="103"/>
      <c r="F266" s="103"/>
      <c r="G266" s="158"/>
      <c r="H266" s="158"/>
      <c r="I266" s="158"/>
      <c r="J266" s="158"/>
      <c r="K266" s="160"/>
      <c r="L266" s="103"/>
      <c r="N266" s="103"/>
      <c r="O266" s="103"/>
      <c r="Y266" s="160"/>
      <c r="Z266" s="160"/>
      <c r="AA266" s="160"/>
      <c r="AB266" s="160"/>
      <c r="AC266" s="160"/>
      <c r="AD266" s="160"/>
      <c r="AE266" s="160"/>
      <c r="AF266" s="160"/>
      <c r="AG266" s="160"/>
      <c r="AH266" s="160"/>
      <c r="AI266" s="160"/>
      <c r="AJ266" s="160"/>
      <c r="AP266" s="160"/>
      <c r="AV266" s="160"/>
    </row>
    <row r="267">
      <c r="A267" s="158"/>
      <c r="B267" s="160"/>
      <c r="C267" s="103"/>
      <c r="E267" s="103"/>
      <c r="F267" s="103"/>
      <c r="G267" s="158"/>
      <c r="H267" s="158"/>
      <c r="I267" s="158"/>
      <c r="J267" s="158"/>
      <c r="K267" s="160"/>
      <c r="L267" s="103"/>
      <c r="N267" s="103"/>
      <c r="O267" s="103"/>
      <c r="Y267" s="160"/>
      <c r="Z267" s="160"/>
      <c r="AA267" s="160"/>
      <c r="AB267" s="160"/>
      <c r="AC267" s="160"/>
      <c r="AD267" s="160"/>
      <c r="AE267" s="160"/>
      <c r="AF267" s="160"/>
      <c r="AG267" s="160"/>
      <c r="AH267" s="160"/>
      <c r="AI267" s="160"/>
      <c r="AJ267" s="160"/>
      <c r="AP267" s="160"/>
      <c r="AV267" s="160"/>
    </row>
    <row r="268">
      <c r="A268" s="158"/>
      <c r="B268" s="160"/>
      <c r="C268" s="103"/>
      <c r="E268" s="103"/>
      <c r="F268" s="103"/>
      <c r="G268" s="158"/>
      <c r="H268" s="158"/>
      <c r="I268" s="158"/>
      <c r="J268" s="158"/>
      <c r="K268" s="160"/>
      <c r="L268" s="103"/>
      <c r="N268" s="103"/>
      <c r="O268" s="103"/>
      <c r="Y268" s="160"/>
      <c r="Z268" s="160"/>
      <c r="AA268" s="160"/>
      <c r="AB268" s="160"/>
      <c r="AC268" s="160"/>
      <c r="AD268" s="160"/>
      <c r="AE268" s="160"/>
      <c r="AF268" s="160"/>
      <c r="AG268" s="160"/>
      <c r="AH268" s="160"/>
      <c r="AI268" s="160"/>
      <c r="AJ268" s="160"/>
      <c r="AP268" s="160"/>
      <c r="AV268" s="160"/>
    </row>
    <row r="269">
      <c r="A269" s="158"/>
      <c r="B269" s="160"/>
      <c r="C269" s="103"/>
      <c r="E269" s="103"/>
      <c r="F269" s="103"/>
      <c r="G269" s="158"/>
      <c r="H269" s="158"/>
      <c r="I269" s="158"/>
      <c r="J269" s="158"/>
      <c r="K269" s="160"/>
      <c r="L269" s="103"/>
      <c r="N269" s="103"/>
      <c r="O269" s="103"/>
      <c r="Y269" s="160"/>
      <c r="Z269" s="160"/>
      <c r="AA269" s="160"/>
      <c r="AB269" s="160"/>
      <c r="AC269" s="160"/>
      <c r="AD269" s="160"/>
      <c r="AE269" s="160"/>
      <c r="AF269" s="160"/>
      <c r="AG269" s="160"/>
      <c r="AH269" s="160"/>
      <c r="AI269" s="160"/>
      <c r="AJ269" s="160"/>
      <c r="AP269" s="160"/>
      <c r="AV269" s="160"/>
    </row>
    <row r="270">
      <c r="A270" s="158"/>
      <c r="B270" s="160"/>
      <c r="C270" s="103"/>
      <c r="E270" s="103"/>
      <c r="F270" s="103"/>
      <c r="G270" s="158"/>
      <c r="H270" s="158"/>
      <c r="I270" s="158"/>
      <c r="J270" s="158"/>
      <c r="K270" s="160"/>
      <c r="L270" s="103"/>
      <c r="N270" s="103"/>
      <c r="O270" s="103"/>
      <c r="Y270" s="160"/>
      <c r="Z270" s="160"/>
      <c r="AA270" s="160"/>
      <c r="AB270" s="160"/>
      <c r="AC270" s="160"/>
      <c r="AD270" s="160"/>
      <c r="AE270" s="160"/>
      <c r="AF270" s="160"/>
      <c r="AG270" s="160"/>
      <c r="AH270" s="160"/>
      <c r="AI270" s="160"/>
      <c r="AJ270" s="160"/>
      <c r="AP270" s="160"/>
      <c r="AV270" s="160"/>
    </row>
    <row r="271">
      <c r="A271" s="158"/>
      <c r="B271" s="160"/>
      <c r="C271" s="103"/>
      <c r="E271" s="103"/>
      <c r="F271" s="103"/>
      <c r="G271" s="158"/>
      <c r="H271" s="158"/>
      <c r="I271" s="158"/>
      <c r="J271" s="158"/>
      <c r="K271" s="160"/>
      <c r="L271" s="103"/>
      <c r="N271" s="103"/>
      <c r="O271" s="103"/>
      <c r="Y271" s="160"/>
      <c r="Z271" s="160"/>
      <c r="AA271" s="160"/>
      <c r="AB271" s="160"/>
      <c r="AC271" s="160"/>
      <c r="AD271" s="160"/>
      <c r="AE271" s="160"/>
      <c r="AF271" s="160"/>
      <c r="AG271" s="160"/>
      <c r="AH271" s="160"/>
      <c r="AI271" s="160"/>
      <c r="AJ271" s="160"/>
      <c r="AP271" s="160"/>
      <c r="AV271" s="160"/>
    </row>
    <row r="272">
      <c r="A272" s="158"/>
      <c r="B272" s="160"/>
      <c r="C272" s="103"/>
      <c r="E272" s="103"/>
      <c r="F272" s="103"/>
      <c r="G272" s="158"/>
      <c r="H272" s="158"/>
      <c r="I272" s="158"/>
      <c r="J272" s="158"/>
      <c r="K272" s="160"/>
      <c r="L272" s="103"/>
      <c r="N272" s="103"/>
      <c r="O272" s="103"/>
      <c r="Y272" s="160"/>
      <c r="Z272" s="160"/>
      <c r="AA272" s="160"/>
      <c r="AB272" s="160"/>
      <c r="AC272" s="160"/>
      <c r="AD272" s="160"/>
      <c r="AE272" s="160"/>
      <c r="AF272" s="160"/>
      <c r="AG272" s="160"/>
      <c r="AH272" s="160"/>
      <c r="AI272" s="160"/>
      <c r="AJ272" s="160"/>
      <c r="AP272" s="160"/>
      <c r="AV272" s="160"/>
    </row>
    <row r="273">
      <c r="A273" s="158"/>
      <c r="B273" s="160"/>
      <c r="C273" s="103"/>
      <c r="E273" s="103"/>
      <c r="F273" s="103"/>
      <c r="G273" s="158"/>
      <c r="H273" s="158"/>
      <c r="I273" s="158"/>
      <c r="J273" s="158"/>
      <c r="K273" s="160"/>
      <c r="L273" s="103"/>
      <c r="N273" s="103"/>
      <c r="O273" s="103"/>
      <c r="Y273" s="160"/>
      <c r="Z273" s="160"/>
      <c r="AA273" s="160"/>
      <c r="AB273" s="160"/>
      <c r="AC273" s="160"/>
      <c r="AD273" s="160"/>
      <c r="AE273" s="160"/>
      <c r="AF273" s="160"/>
      <c r="AG273" s="160"/>
      <c r="AH273" s="160"/>
      <c r="AI273" s="160"/>
      <c r="AJ273" s="160"/>
      <c r="AP273" s="160"/>
      <c r="AV273" s="160"/>
    </row>
    <row r="274">
      <c r="A274" s="158"/>
      <c r="B274" s="160"/>
      <c r="C274" s="103"/>
      <c r="E274" s="103"/>
      <c r="F274" s="103"/>
      <c r="G274" s="158"/>
      <c r="H274" s="158"/>
      <c r="I274" s="158"/>
      <c r="J274" s="158"/>
      <c r="K274" s="160"/>
      <c r="L274" s="103"/>
      <c r="N274" s="103"/>
      <c r="O274" s="103"/>
      <c r="Y274" s="160"/>
      <c r="Z274" s="160"/>
      <c r="AA274" s="160"/>
      <c r="AB274" s="160"/>
      <c r="AC274" s="160"/>
      <c r="AD274" s="160"/>
      <c r="AE274" s="160"/>
      <c r="AF274" s="160"/>
      <c r="AG274" s="160"/>
      <c r="AH274" s="160"/>
      <c r="AI274" s="160"/>
      <c r="AJ274" s="160"/>
      <c r="AP274" s="160"/>
      <c r="AV274" s="160"/>
    </row>
    <row r="275">
      <c r="A275" s="158"/>
      <c r="B275" s="160"/>
      <c r="C275" s="103"/>
      <c r="E275" s="103"/>
      <c r="F275" s="103"/>
      <c r="G275" s="158"/>
      <c r="H275" s="158"/>
      <c r="I275" s="158"/>
      <c r="J275" s="158"/>
      <c r="K275" s="160"/>
      <c r="L275" s="103"/>
      <c r="N275" s="103"/>
      <c r="O275" s="103"/>
      <c r="Y275" s="160"/>
      <c r="Z275" s="160"/>
      <c r="AA275" s="160"/>
      <c r="AB275" s="160"/>
      <c r="AC275" s="160"/>
      <c r="AD275" s="160"/>
      <c r="AE275" s="160"/>
      <c r="AF275" s="160"/>
      <c r="AG275" s="160"/>
      <c r="AH275" s="160"/>
      <c r="AI275" s="160"/>
      <c r="AJ275" s="160"/>
      <c r="AP275" s="160"/>
      <c r="AV275" s="160"/>
    </row>
    <row r="276">
      <c r="A276" s="158"/>
      <c r="B276" s="160"/>
      <c r="C276" s="103"/>
      <c r="E276" s="103"/>
      <c r="F276" s="103"/>
      <c r="G276" s="158"/>
      <c r="H276" s="158"/>
      <c r="I276" s="158"/>
      <c r="J276" s="158"/>
      <c r="K276" s="160"/>
      <c r="L276" s="103"/>
      <c r="N276" s="103"/>
      <c r="O276" s="103"/>
      <c r="Y276" s="160"/>
      <c r="Z276" s="160"/>
      <c r="AA276" s="160"/>
      <c r="AB276" s="160"/>
      <c r="AC276" s="160"/>
      <c r="AD276" s="160"/>
      <c r="AE276" s="160"/>
      <c r="AF276" s="160"/>
      <c r="AG276" s="160"/>
      <c r="AH276" s="160"/>
      <c r="AI276" s="160"/>
      <c r="AJ276" s="160"/>
      <c r="AP276" s="160"/>
      <c r="AV276" s="160"/>
    </row>
    <row r="277">
      <c r="A277" s="158"/>
      <c r="B277" s="160"/>
      <c r="C277" s="103"/>
      <c r="E277" s="103"/>
      <c r="F277" s="103"/>
      <c r="G277" s="158"/>
      <c r="H277" s="158"/>
      <c r="I277" s="158"/>
      <c r="J277" s="158"/>
      <c r="K277" s="160"/>
      <c r="L277" s="103"/>
      <c r="N277" s="103"/>
      <c r="O277" s="103"/>
      <c r="Y277" s="160"/>
      <c r="Z277" s="160"/>
      <c r="AA277" s="160"/>
      <c r="AB277" s="160"/>
      <c r="AC277" s="160"/>
      <c r="AD277" s="160"/>
      <c r="AE277" s="160"/>
      <c r="AF277" s="160"/>
      <c r="AG277" s="160"/>
      <c r="AH277" s="160"/>
      <c r="AI277" s="160"/>
      <c r="AJ277" s="160"/>
      <c r="AP277" s="160"/>
      <c r="AV277" s="160"/>
    </row>
    <row r="278">
      <c r="A278" s="158"/>
      <c r="B278" s="160"/>
      <c r="C278" s="103"/>
      <c r="E278" s="103"/>
      <c r="F278" s="103"/>
      <c r="G278" s="158"/>
      <c r="H278" s="158"/>
      <c r="I278" s="158"/>
      <c r="J278" s="158"/>
      <c r="K278" s="160"/>
      <c r="L278" s="103"/>
      <c r="N278" s="103"/>
      <c r="O278" s="103"/>
      <c r="Y278" s="160"/>
      <c r="Z278" s="160"/>
      <c r="AA278" s="160"/>
      <c r="AB278" s="160"/>
      <c r="AC278" s="160"/>
      <c r="AD278" s="160"/>
      <c r="AE278" s="160"/>
      <c r="AF278" s="160"/>
      <c r="AG278" s="160"/>
      <c r="AH278" s="160"/>
      <c r="AI278" s="160"/>
      <c r="AJ278" s="160"/>
      <c r="AP278" s="160"/>
      <c r="AV278" s="160"/>
    </row>
    <row r="279">
      <c r="A279" s="158"/>
      <c r="B279" s="160"/>
      <c r="C279" s="103"/>
      <c r="E279" s="103"/>
      <c r="F279" s="103"/>
      <c r="G279" s="158"/>
      <c r="H279" s="158"/>
      <c r="I279" s="158"/>
      <c r="J279" s="158"/>
      <c r="K279" s="160"/>
      <c r="L279" s="103"/>
      <c r="N279" s="103"/>
      <c r="O279" s="103"/>
      <c r="Y279" s="160"/>
      <c r="Z279" s="160"/>
      <c r="AA279" s="160"/>
      <c r="AB279" s="160"/>
      <c r="AC279" s="160"/>
      <c r="AD279" s="160"/>
      <c r="AE279" s="160"/>
      <c r="AF279" s="160"/>
      <c r="AG279" s="160"/>
      <c r="AH279" s="160"/>
      <c r="AI279" s="160"/>
      <c r="AJ279" s="160"/>
      <c r="AP279" s="160"/>
      <c r="AV279" s="160"/>
    </row>
    <row r="280">
      <c r="A280" s="158"/>
      <c r="B280" s="160"/>
      <c r="C280" s="103"/>
      <c r="E280" s="103"/>
      <c r="F280" s="103"/>
      <c r="G280" s="158"/>
      <c r="H280" s="158"/>
      <c r="I280" s="158"/>
      <c r="J280" s="158"/>
      <c r="K280" s="160"/>
      <c r="L280" s="103"/>
      <c r="N280" s="103"/>
      <c r="O280" s="103"/>
      <c r="Y280" s="160"/>
      <c r="Z280" s="160"/>
      <c r="AA280" s="160"/>
      <c r="AB280" s="160"/>
      <c r="AC280" s="160"/>
      <c r="AD280" s="160"/>
      <c r="AE280" s="160"/>
      <c r="AF280" s="160"/>
      <c r="AG280" s="160"/>
      <c r="AH280" s="160"/>
      <c r="AI280" s="160"/>
      <c r="AJ280" s="160"/>
      <c r="AP280" s="160"/>
      <c r="AV280" s="160"/>
    </row>
    <row r="281">
      <c r="A281" s="158"/>
      <c r="B281" s="160"/>
      <c r="C281" s="103"/>
      <c r="E281" s="103"/>
      <c r="F281" s="103"/>
      <c r="G281" s="158"/>
      <c r="H281" s="158"/>
      <c r="I281" s="158"/>
      <c r="J281" s="158"/>
      <c r="K281" s="160"/>
      <c r="L281" s="103"/>
      <c r="N281" s="103"/>
      <c r="O281" s="103"/>
      <c r="Y281" s="160"/>
      <c r="Z281" s="160"/>
      <c r="AA281" s="160"/>
      <c r="AB281" s="160"/>
      <c r="AC281" s="160"/>
      <c r="AD281" s="160"/>
      <c r="AE281" s="160"/>
      <c r="AF281" s="160"/>
      <c r="AG281" s="160"/>
      <c r="AH281" s="160"/>
      <c r="AI281" s="160"/>
      <c r="AJ281" s="160"/>
      <c r="AP281" s="160"/>
      <c r="AV281" s="160"/>
    </row>
    <row r="282">
      <c r="A282" s="158"/>
      <c r="B282" s="160"/>
      <c r="C282" s="103"/>
      <c r="E282" s="103"/>
      <c r="F282" s="103"/>
      <c r="G282" s="158"/>
      <c r="H282" s="158"/>
      <c r="I282" s="158"/>
      <c r="J282" s="158"/>
      <c r="K282" s="160"/>
      <c r="L282" s="103"/>
      <c r="N282" s="103"/>
      <c r="O282" s="103"/>
      <c r="Y282" s="160"/>
      <c r="Z282" s="160"/>
      <c r="AA282" s="160"/>
      <c r="AB282" s="160"/>
      <c r="AC282" s="160"/>
      <c r="AD282" s="160"/>
      <c r="AE282" s="160"/>
      <c r="AF282" s="160"/>
      <c r="AG282" s="160"/>
      <c r="AH282" s="160"/>
      <c r="AI282" s="160"/>
      <c r="AJ282" s="160"/>
      <c r="AP282" s="160"/>
      <c r="AV282" s="160"/>
    </row>
    <row r="283">
      <c r="A283" s="158"/>
      <c r="B283" s="160"/>
      <c r="C283" s="103"/>
      <c r="E283" s="103"/>
      <c r="F283" s="103"/>
      <c r="G283" s="158"/>
      <c r="H283" s="158"/>
      <c r="I283" s="158"/>
      <c r="J283" s="158"/>
      <c r="K283" s="160"/>
      <c r="L283" s="103"/>
      <c r="N283" s="103"/>
      <c r="O283" s="103"/>
      <c r="Y283" s="160"/>
      <c r="Z283" s="160"/>
      <c r="AA283" s="160"/>
      <c r="AB283" s="160"/>
      <c r="AC283" s="160"/>
      <c r="AD283" s="160"/>
      <c r="AE283" s="160"/>
      <c r="AF283" s="160"/>
      <c r="AG283" s="160"/>
      <c r="AH283" s="160"/>
      <c r="AI283" s="160"/>
      <c r="AJ283" s="160"/>
      <c r="AP283" s="160"/>
      <c r="AV283" s="160"/>
    </row>
    <row r="284">
      <c r="A284" s="158"/>
      <c r="B284" s="160"/>
      <c r="C284" s="103"/>
      <c r="E284" s="103"/>
      <c r="F284" s="103"/>
      <c r="G284" s="158"/>
      <c r="H284" s="158"/>
      <c r="I284" s="158"/>
      <c r="J284" s="158"/>
      <c r="K284" s="160"/>
      <c r="L284" s="103"/>
      <c r="N284" s="103"/>
      <c r="O284" s="103"/>
      <c r="Y284" s="160"/>
      <c r="Z284" s="160"/>
      <c r="AA284" s="160"/>
      <c r="AB284" s="160"/>
      <c r="AC284" s="160"/>
      <c r="AD284" s="160"/>
      <c r="AE284" s="160"/>
      <c r="AF284" s="160"/>
      <c r="AG284" s="160"/>
      <c r="AH284" s="160"/>
      <c r="AI284" s="160"/>
      <c r="AJ284" s="160"/>
      <c r="AP284" s="160"/>
      <c r="AV284" s="160"/>
    </row>
    <row r="285">
      <c r="A285" s="158"/>
      <c r="B285" s="160"/>
      <c r="C285" s="103"/>
      <c r="E285" s="103"/>
      <c r="F285" s="103"/>
      <c r="G285" s="158"/>
      <c r="H285" s="158"/>
      <c r="I285" s="158"/>
      <c r="J285" s="158"/>
      <c r="K285" s="160"/>
      <c r="L285" s="103"/>
      <c r="N285" s="103"/>
      <c r="O285" s="103"/>
      <c r="Y285" s="160"/>
      <c r="Z285" s="160"/>
      <c r="AA285" s="160"/>
      <c r="AB285" s="160"/>
      <c r="AC285" s="160"/>
      <c r="AD285" s="160"/>
      <c r="AE285" s="160"/>
      <c r="AF285" s="160"/>
      <c r="AG285" s="160"/>
      <c r="AH285" s="160"/>
      <c r="AI285" s="160"/>
      <c r="AJ285" s="160"/>
      <c r="AP285" s="160"/>
      <c r="AV285" s="160"/>
    </row>
    <row r="286">
      <c r="A286" s="158"/>
      <c r="B286" s="160"/>
      <c r="C286" s="103"/>
      <c r="E286" s="103"/>
      <c r="F286" s="103"/>
      <c r="G286" s="158"/>
      <c r="H286" s="158"/>
      <c r="I286" s="158"/>
      <c r="J286" s="158"/>
      <c r="K286" s="160"/>
      <c r="L286" s="103"/>
      <c r="N286" s="103"/>
      <c r="O286" s="103"/>
      <c r="Y286" s="160"/>
      <c r="Z286" s="160"/>
      <c r="AA286" s="160"/>
      <c r="AB286" s="160"/>
      <c r="AC286" s="160"/>
      <c r="AD286" s="160"/>
      <c r="AE286" s="160"/>
      <c r="AF286" s="160"/>
      <c r="AG286" s="160"/>
      <c r="AH286" s="160"/>
      <c r="AI286" s="160"/>
      <c r="AJ286" s="160"/>
      <c r="AP286" s="160"/>
      <c r="AV286" s="160"/>
    </row>
    <row r="287">
      <c r="A287" s="158"/>
      <c r="B287" s="160"/>
      <c r="C287" s="103"/>
      <c r="E287" s="103"/>
      <c r="F287" s="103"/>
      <c r="G287" s="158"/>
      <c r="H287" s="158"/>
      <c r="I287" s="158"/>
      <c r="J287" s="158"/>
      <c r="K287" s="160"/>
      <c r="L287" s="103"/>
      <c r="N287" s="103"/>
      <c r="O287" s="103"/>
      <c r="Y287" s="160"/>
      <c r="Z287" s="160"/>
      <c r="AA287" s="160"/>
      <c r="AB287" s="160"/>
      <c r="AC287" s="160"/>
      <c r="AD287" s="160"/>
      <c r="AE287" s="160"/>
      <c r="AF287" s="160"/>
      <c r="AG287" s="160"/>
      <c r="AH287" s="160"/>
      <c r="AI287" s="160"/>
      <c r="AJ287" s="160"/>
      <c r="AP287" s="160"/>
      <c r="AV287" s="160"/>
    </row>
    <row r="288">
      <c r="A288" s="158"/>
      <c r="B288" s="160"/>
      <c r="C288" s="103"/>
      <c r="E288" s="103"/>
      <c r="F288" s="103"/>
      <c r="G288" s="158"/>
      <c r="H288" s="158"/>
      <c r="I288" s="158"/>
      <c r="J288" s="158"/>
      <c r="K288" s="160"/>
      <c r="L288" s="103"/>
      <c r="N288" s="103"/>
      <c r="O288" s="103"/>
      <c r="Y288" s="160"/>
      <c r="Z288" s="160"/>
      <c r="AA288" s="160"/>
      <c r="AB288" s="160"/>
      <c r="AC288" s="160"/>
      <c r="AD288" s="160"/>
      <c r="AE288" s="160"/>
      <c r="AF288" s="160"/>
      <c r="AG288" s="160"/>
      <c r="AH288" s="160"/>
      <c r="AI288" s="160"/>
      <c r="AJ288" s="160"/>
      <c r="AP288" s="160"/>
      <c r="AV288" s="160"/>
    </row>
    <row r="289">
      <c r="A289" s="158"/>
      <c r="B289" s="160"/>
      <c r="C289" s="103"/>
      <c r="E289" s="103"/>
      <c r="F289" s="103"/>
      <c r="G289" s="158"/>
      <c r="H289" s="158"/>
      <c r="I289" s="158"/>
      <c r="J289" s="158"/>
      <c r="K289" s="160"/>
      <c r="L289" s="103"/>
      <c r="N289" s="103"/>
      <c r="O289" s="103"/>
      <c r="Y289" s="160"/>
      <c r="Z289" s="160"/>
      <c r="AA289" s="160"/>
      <c r="AB289" s="160"/>
      <c r="AC289" s="160"/>
      <c r="AD289" s="160"/>
      <c r="AE289" s="160"/>
      <c r="AF289" s="160"/>
      <c r="AG289" s="160"/>
      <c r="AH289" s="160"/>
      <c r="AI289" s="160"/>
      <c r="AJ289" s="160"/>
      <c r="AP289" s="160"/>
      <c r="AV289" s="160"/>
    </row>
    <row r="290">
      <c r="A290" s="158"/>
      <c r="B290" s="160"/>
      <c r="C290" s="103"/>
      <c r="E290" s="103"/>
      <c r="F290" s="103"/>
      <c r="G290" s="158"/>
      <c r="H290" s="158"/>
      <c r="I290" s="158"/>
      <c r="J290" s="158"/>
      <c r="K290" s="160"/>
      <c r="L290" s="103"/>
      <c r="N290" s="103"/>
      <c r="O290" s="103"/>
      <c r="Y290" s="160"/>
      <c r="Z290" s="160"/>
      <c r="AA290" s="160"/>
      <c r="AB290" s="160"/>
      <c r="AC290" s="160"/>
      <c r="AD290" s="160"/>
      <c r="AE290" s="160"/>
      <c r="AF290" s="160"/>
      <c r="AG290" s="160"/>
      <c r="AH290" s="160"/>
      <c r="AI290" s="160"/>
      <c r="AJ290" s="160"/>
      <c r="AP290" s="160"/>
      <c r="AV290" s="160"/>
    </row>
    <row r="291">
      <c r="A291" s="158"/>
      <c r="B291" s="160"/>
      <c r="C291" s="103"/>
      <c r="E291" s="103"/>
      <c r="F291" s="103"/>
      <c r="G291" s="158"/>
      <c r="H291" s="158"/>
      <c r="I291" s="158"/>
      <c r="J291" s="158"/>
      <c r="K291" s="160"/>
      <c r="L291" s="103"/>
      <c r="N291" s="103"/>
      <c r="O291" s="103"/>
      <c r="Y291" s="160"/>
      <c r="Z291" s="160"/>
      <c r="AA291" s="160"/>
      <c r="AB291" s="160"/>
      <c r="AC291" s="160"/>
      <c r="AD291" s="160"/>
      <c r="AE291" s="160"/>
      <c r="AF291" s="160"/>
      <c r="AG291" s="160"/>
      <c r="AH291" s="160"/>
      <c r="AI291" s="160"/>
      <c r="AJ291" s="160"/>
      <c r="AP291" s="160"/>
      <c r="AV291" s="160"/>
    </row>
    <row r="292">
      <c r="A292" s="158"/>
      <c r="B292" s="160"/>
      <c r="C292" s="103"/>
      <c r="E292" s="103"/>
      <c r="F292" s="103"/>
      <c r="G292" s="158"/>
      <c r="H292" s="158"/>
      <c r="I292" s="158"/>
      <c r="J292" s="158"/>
      <c r="K292" s="160"/>
      <c r="L292" s="103"/>
      <c r="N292" s="103"/>
      <c r="O292" s="103"/>
      <c r="Y292" s="160"/>
      <c r="Z292" s="160"/>
      <c r="AA292" s="160"/>
      <c r="AB292" s="160"/>
      <c r="AC292" s="160"/>
      <c r="AD292" s="160"/>
      <c r="AE292" s="160"/>
      <c r="AF292" s="160"/>
      <c r="AG292" s="160"/>
      <c r="AH292" s="160"/>
      <c r="AI292" s="160"/>
      <c r="AJ292" s="160"/>
      <c r="AP292" s="160"/>
      <c r="AV292" s="160"/>
    </row>
    <row r="293">
      <c r="A293" s="158"/>
      <c r="B293" s="160"/>
      <c r="C293" s="103"/>
      <c r="E293" s="103"/>
      <c r="F293" s="103"/>
      <c r="G293" s="158"/>
      <c r="H293" s="158"/>
      <c r="I293" s="158"/>
      <c r="J293" s="158"/>
      <c r="K293" s="160"/>
      <c r="L293" s="103"/>
      <c r="N293" s="103"/>
      <c r="O293" s="103"/>
      <c r="Y293" s="160"/>
      <c r="Z293" s="160"/>
      <c r="AA293" s="160"/>
      <c r="AB293" s="160"/>
      <c r="AC293" s="160"/>
      <c r="AD293" s="160"/>
      <c r="AE293" s="160"/>
      <c r="AF293" s="160"/>
      <c r="AG293" s="160"/>
      <c r="AH293" s="160"/>
      <c r="AI293" s="160"/>
      <c r="AJ293" s="160"/>
      <c r="AP293" s="160"/>
      <c r="AV293" s="160"/>
    </row>
    <row r="294">
      <c r="A294" s="158"/>
      <c r="B294" s="160"/>
      <c r="C294" s="103"/>
      <c r="E294" s="103"/>
      <c r="F294" s="103"/>
      <c r="G294" s="158"/>
      <c r="H294" s="158"/>
      <c r="I294" s="158"/>
      <c r="J294" s="158"/>
      <c r="K294" s="160"/>
      <c r="L294" s="103"/>
      <c r="N294" s="103"/>
      <c r="O294" s="103"/>
      <c r="Y294" s="160"/>
      <c r="Z294" s="160"/>
      <c r="AA294" s="160"/>
      <c r="AB294" s="160"/>
      <c r="AC294" s="160"/>
      <c r="AD294" s="160"/>
      <c r="AE294" s="160"/>
      <c r="AF294" s="160"/>
      <c r="AG294" s="160"/>
      <c r="AH294" s="160"/>
      <c r="AI294" s="160"/>
      <c r="AJ294" s="160"/>
      <c r="AP294" s="160"/>
      <c r="AV294" s="160"/>
    </row>
    <row r="295">
      <c r="A295" s="158"/>
      <c r="B295" s="160"/>
      <c r="C295" s="103"/>
      <c r="E295" s="103"/>
      <c r="F295" s="103"/>
      <c r="G295" s="158"/>
      <c r="H295" s="158"/>
      <c r="I295" s="158"/>
      <c r="J295" s="158"/>
      <c r="K295" s="160"/>
      <c r="L295" s="103"/>
      <c r="N295" s="103"/>
      <c r="O295" s="103"/>
      <c r="Y295" s="160"/>
      <c r="Z295" s="160"/>
      <c r="AA295" s="160"/>
      <c r="AB295" s="160"/>
      <c r="AC295" s="160"/>
      <c r="AD295" s="160"/>
      <c r="AE295" s="160"/>
      <c r="AF295" s="160"/>
      <c r="AG295" s="160"/>
      <c r="AH295" s="160"/>
      <c r="AI295" s="160"/>
      <c r="AJ295" s="160"/>
      <c r="AP295" s="160"/>
      <c r="AV295" s="160"/>
    </row>
    <row r="296">
      <c r="A296" s="158"/>
      <c r="B296" s="160"/>
      <c r="C296" s="103"/>
      <c r="E296" s="103"/>
      <c r="F296" s="103"/>
      <c r="G296" s="158"/>
      <c r="H296" s="158"/>
      <c r="I296" s="158"/>
      <c r="J296" s="158"/>
      <c r="K296" s="160"/>
      <c r="L296" s="103"/>
      <c r="N296" s="103"/>
      <c r="O296" s="103"/>
      <c r="Y296" s="160"/>
      <c r="Z296" s="160"/>
      <c r="AA296" s="160"/>
      <c r="AB296" s="160"/>
      <c r="AC296" s="160"/>
      <c r="AD296" s="160"/>
      <c r="AE296" s="160"/>
      <c r="AF296" s="160"/>
      <c r="AG296" s="160"/>
      <c r="AH296" s="160"/>
      <c r="AI296" s="160"/>
      <c r="AJ296" s="160"/>
      <c r="AP296" s="160"/>
      <c r="AV296" s="160"/>
    </row>
    <row r="297">
      <c r="A297" s="158"/>
      <c r="B297" s="160"/>
      <c r="C297" s="103"/>
      <c r="E297" s="103"/>
      <c r="F297" s="103"/>
      <c r="G297" s="158"/>
      <c r="H297" s="158"/>
      <c r="I297" s="158"/>
      <c r="J297" s="158"/>
      <c r="K297" s="160"/>
      <c r="L297" s="103"/>
      <c r="N297" s="103"/>
      <c r="O297" s="103"/>
      <c r="Y297" s="160"/>
      <c r="Z297" s="160"/>
      <c r="AA297" s="160"/>
      <c r="AB297" s="160"/>
      <c r="AC297" s="160"/>
      <c r="AD297" s="160"/>
      <c r="AE297" s="160"/>
      <c r="AF297" s="160"/>
      <c r="AG297" s="160"/>
      <c r="AH297" s="160"/>
      <c r="AI297" s="160"/>
      <c r="AJ297" s="160"/>
      <c r="AP297" s="160"/>
      <c r="AV297" s="160"/>
    </row>
    <row r="298">
      <c r="A298" s="158"/>
      <c r="B298" s="160"/>
      <c r="C298" s="103"/>
      <c r="E298" s="103"/>
      <c r="F298" s="103"/>
      <c r="G298" s="158"/>
      <c r="H298" s="158"/>
      <c r="I298" s="158"/>
      <c r="J298" s="158"/>
      <c r="K298" s="160"/>
      <c r="L298" s="103"/>
      <c r="N298" s="103"/>
      <c r="O298" s="103"/>
      <c r="Y298" s="160"/>
      <c r="Z298" s="160"/>
      <c r="AA298" s="160"/>
      <c r="AB298" s="160"/>
      <c r="AC298" s="160"/>
      <c r="AD298" s="160"/>
      <c r="AE298" s="160"/>
      <c r="AF298" s="160"/>
      <c r="AG298" s="160"/>
      <c r="AH298" s="160"/>
      <c r="AI298" s="160"/>
      <c r="AJ298" s="160"/>
      <c r="AP298" s="160"/>
      <c r="AV298" s="160"/>
    </row>
    <row r="299">
      <c r="A299" s="158"/>
      <c r="B299" s="160"/>
      <c r="C299" s="103"/>
      <c r="E299" s="103"/>
      <c r="F299" s="103"/>
      <c r="G299" s="158"/>
      <c r="H299" s="158"/>
      <c r="I299" s="158"/>
      <c r="J299" s="158"/>
      <c r="K299" s="160"/>
      <c r="L299" s="103"/>
      <c r="N299" s="103"/>
      <c r="O299" s="103"/>
      <c r="Y299" s="160"/>
      <c r="Z299" s="160"/>
      <c r="AA299" s="160"/>
      <c r="AB299" s="160"/>
      <c r="AC299" s="160"/>
      <c r="AD299" s="160"/>
      <c r="AE299" s="160"/>
      <c r="AF299" s="160"/>
      <c r="AG299" s="160"/>
      <c r="AH299" s="160"/>
      <c r="AI299" s="160"/>
      <c r="AJ299" s="160"/>
      <c r="AP299" s="160"/>
      <c r="AV299" s="160"/>
    </row>
    <row r="300">
      <c r="A300" s="158"/>
      <c r="B300" s="160"/>
      <c r="C300" s="103"/>
      <c r="E300" s="103"/>
      <c r="F300" s="103"/>
      <c r="G300" s="158"/>
      <c r="H300" s="158"/>
      <c r="I300" s="158"/>
      <c r="J300" s="158"/>
      <c r="K300" s="160"/>
      <c r="L300" s="103"/>
      <c r="N300" s="103"/>
      <c r="O300" s="103"/>
      <c r="Y300" s="160"/>
      <c r="Z300" s="160"/>
      <c r="AA300" s="160"/>
      <c r="AB300" s="160"/>
      <c r="AC300" s="160"/>
      <c r="AD300" s="160"/>
      <c r="AE300" s="160"/>
      <c r="AF300" s="160"/>
      <c r="AG300" s="160"/>
      <c r="AH300" s="160"/>
      <c r="AI300" s="160"/>
      <c r="AJ300" s="160"/>
      <c r="AP300" s="160"/>
      <c r="AV300" s="160"/>
    </row>
    <row r="301">
      <c r="A301" s="158"/>
      <c r="B301" s="160"/>
      <c r="C301" s="103"/>
      <c r="E301" s="103"/>
      <c r="F301" s="103"/>
      <c r="G301" s="158"/>
      <c r="H301" s="158"/>
      <c r="I301" s="158"/>
      <c r="J301" s="158"/>
      <c r="K301" s="160"/>
      <c r="L301" s="103"/>
      <c r="N301" s="103"/>
      <c r="O301" s="103"/>
      <c r="Y301" s="160"/>
      <c r="Z301" s="160"/>
      <c r="AA301" s="160"/>
      <c r="AB301" s="160"/>
      <c r="AC301" s="160"/>
      <c r="AD301" s="160"/>
      <c r="AE301" s="160"/>
      <c r="AF301" s="160"/>
      <c r="AG301" s="160"/>
      <c r="AH301" s="160"/>
      <c r="AI301" s="160"/>
      <c r="AJ301" s="160"/>
      <c r="AP301" s="160"/>
      <c r="AV301" s="160"/>
    </row>
    <row r="302">
      <c r="A302" s="158"/>
      <c r="B302" s="160"/>
      <c r="C302" s="103"/>
      <c r="E302" s="103"/>
      <c r="F302" s="103"/>
      <c r="G302" s="158"/>
      <c r="H302" s="158"/>
      <c r="I302" s="158"/>
      <c r="J302" s="158"/>
      <c r="K302" s="160"/>
      <c r="L302" s="103"/>
      <c r="N302" s="103"/>
      <c r="O302" s="103"/>
      <c r="Y302" s="160"/>
      <c r="Z302" s="160"/>
      <c r="AA302" s="160"/>
      <c r="AB302" s="160"/>
      <c r="AC302" s="160"/>
      <c r="AD302" s="160"/>
      <c r="AE302" s="160"/>
      <c r="AF302" s="160"/>
      <c r="AG302" s="160"/>
      <c r="AH302" s="160"/>
      <c r="AI302" s="160"/>
      <c r="AJ302" s="160"/>
      <c r="AP302" s="160"/>
      <c r="AV302" s="160"/>
    </row>
    <row r="303">
      <c r="A303" s="158"/>
      <c r="B303" s="160"/>
      <c r="C303" s="103"/>
      <c r="E303" s="103"/>
      <c r="F303" s="103"/>
      <c r="G303" s="158"/>
      <c r="H303" s="158"/>
      <c r="I303" s="158"/>
      <c r="J303" s="158"/>
      <c r="K303" s="160"/>
      <c r="L303" s="103"/>
      <c r="N303" s="103"/>
      <c r="O303" s="103"/>
      <c r="Y303" s="160"/>
      <c r="Z303" s="160"/>
      <c r="AA303" s="160"/>
      <c r="AB303" s="160"/>
      <c r="AC303" s="160"/>
      <c r="AD303" s="160"/>
      <c r="AE303" s="160"/>
      <c r="AF303" s="160"/>
      <c r="AG303" s="160"/>
      <c r="AH303" s="160"/>
      <c r="AI303" s="160"/>
      <c r="AJ303" s="160"/>
      <c r="AP303" s="160"/>
      <c r="AV303" s="160"/>
    </row>
    <row r="304">
      <c r="A304" s="158"/>
      <c r="B304" s="160"/>
      <c r="C304" s="103"/>
      <c r="E304" s="103"/>
      <c r="F304" s="103"/>
      <c r="G304" s="158"/>
      <c r="H304" s="158"/>
      <c r="I304" s="158"/>
      <c r="J304" s="158"/>
      <c r="K304" s="160"/>
      <c r="L304" s="103"/>
      <c r="N304" s="103"/>
      <c r="O304" s="103"/>
      <c r="Y304" s="160"/>
      <c r="Z304" s="160"/>
      <c r="AA304" s="160"/>
      <c r="AB304" s="160"/>
      <c r="AC304" s="160"/>
      <c r="AD304" s="160"/>
      <c r="AE304" s="160"/>
      <c r="AF304" s="160"/>
      <c r="AG304" s="160"/>
      <c r="AH304" s="160"/>
      <c r="AI304" s="160"/>
      <c r="AJ304" s="160"/>
      <c r="AP304" s="160"/>
      <c r="AV304" s="160"/>
    </row>
    <row r="305">
      <c r="A305" s="158"/>
      <c r="B305" s="160"/>
      <c r="C305" s="103"/>
      <c r="E305" s="103"/>
      <c r="F305" s="103"/>
      <c r="G305" s="158"/>
      <c r="H305" s="158"/>
      <c r="I305" s="158"/>
      <c r="J305" s="158"/>
      <c r="K305" s="160"/>
      <c r="L305" s="103"/>
      <c r="N305" s="103"/>
      <c r="O305" s="103"/>
      <c r="Y305" s="160"/>
      <c r="Z305" s="160"/>
      <c r="AA305" s="160"/>
      <c r="AB305" s="160"/>
      <c r="AC305" s="160"/>
      <c r="AD305" s="160"/>
      <c r="AE305" s="160"/>
      <c r="AF305" s="160"/>
      <c r="AG305" s="160"/>
      <c r="AH305" s="160"/>
      <c r="AI305" s="160"/>
      <c r="AJ305" s="160"/>
      <c r="AP305" s="160"/>
      <c r="AV305" s="160"/>
    </row>
    <row r="306">
      <c r="A306" s="158"/>
      <c r="B306" s="160"/>
      <c r="C306" s="103"/>
      <c r="E306" s="103"/>
      <c r="F306" s="103"/>
      <c r="G306" s="158"/>
      <c r="H306" s="158"/>
      <c r="I306" s="158"/>
      <c r="J306" s="158"/>
      <c r="K306" s="160"/>
      <c r="L306" s="103"/>
      <c r="N306" s="103"/>
      <c r="O306" s="103"/>
      <c r="Y306" s="160"/>
      <c r="Z306" s="160"/>
      <c r="AA306" s="160"/>
      <c r="AB306" s="160"/>
      <c r="AC306" s="160"/>
      <c r="AD306" s="160"/>
      <c r="AE306" s="160"/>
      <c r="AF306" s="160"/>
      <c r="AG306" s="160"/>
      <c r="AH306" s="160"/>
      <c r="AI306" s="160"/>
      <c r="AJ306" s="160"/>
      <c r="AP306" s="160"/>
      <c r="AV306" s="160"/>
    </row>
    <row r="307">
      <c r="A307" s="158"/>
      <c r="B307" s="160"/>
      <c r="C307" s="103"/>
      <c r="E307" s="103"/>
      <c r="F307" s="103"/>
      <c r="G307" s="158"/>
      <c r="H307" s="158"/>
      <c r="I307" s="158"/>
      <c r="J307" s="158"/>
      <c r="K307" s="160"/>
      <c r="L307" s="103"/>
      <c r="N307" s="103"/>
      <c r="O307" s="103"/>
      <c r="Y307" s="160"/>
      <c r="Z307" s="160"/>
      <c r="AA307" s="160"/>
      <c r="AB307" s="160"/>
      <c r="AC307" s="160"/>
      <c r="AD307" s="160"/>
      <c r="AE307" s="160"/>
      <c r="AF307" s="160"/>
      <c r="AG307" s="160"/>
      <c r="AH307" s="160"/>
      <c r="AI307" s="160"/>
      <c r="AJ307" s="160"/>
      <c r="AP307" s="160"/>
      <c r="AV307" s="160"/>
    </row>
    <row r="308">
      <c r="A308" s="158"/>
      <c r="B308" s="160"/>
      <c r="C308" s="103"/>
      <c r="E308" s="103"/>
      <c r="F308" s="103"/>
      <c r="G308" s="158"/>
      <c r="H308" s="158"/>
      <c r="I308" s="158"/>
      <c r="J308" s="158"/>
      <c r="K308" s="160"/>
      <c r="L308" s="103"/>
      <c r="N308" s="103"/>
      <c r="O308" s="103"/>
      <c r="Y308" s="160"/>
      <c r="Z308" s="160"/>
      <c r="AA308" s="160"/>
      <c r="AB308" s="160"/>
      <c r="AC308" s="160"/>
      <c r="AD308" s="160"/>
      <c r="AE308" s="160"/>
      <c r="AF308" s="160"/>
      <c r="AG308" s="160"/>
      <c r="AH308" s="160"/>
      <c r="AI308" s="160"/>
      <c r="AJ308" s="160"/>
      <c r="AP308" s="160"/>
      <c r="AV308" s="160"/>
    </row>
    <row r="309">
      <c r="A309" s="158"/>
      <c r="B309" s="160"/>
      <c r="C309" s="103"/>
      <c r="E309" s="103"/>
      <c r="F309" s="103"/>
      <c r="G309" s="158"/>
      <c r="H309" s="158"/>
      <c r="I309" s="158"/>
      <c r="J309" s="158"/>
      <c r="K309" s="160"/>
      <c r="L309" s="103"/>
      <c r="N309" s="103"/>
      <c r="O309" s="103"/>
      <c r="Y309" s="160"/>
      <c r="Z309" s="160"/>
      <c r="AA309" s="160"/>
      <c r="AB309" s="160"/>
      <c r="AC309" s="160"/>
      <c r="AD309" s="160"/>
      <c r="AE309" s="160"/>
      <c r="AF309" s="160"/>
      <c r="AG309" s="160"/>
      <c r="AH309" s="160"/>
      <c r="AI309" s="160"/>
      <c r="AJ309" s="160"/>
      <c r="AP309" s="160"/>
      <c r="AV309" s="160"/>
    </row>
    <row r="310">
      <c r="A310" s="158"/>
      <c r="B310" s="160"/>
      <c r="C310" s="103"/>
      <c r="E310" s="103"/>
      <c r="F310" s="103"/>
      <c r="G310" s="158"/>
      <c r="H310" s="158"/>
      <c r="I310" s="158"/>
      <c r="J310" s="158"/>
      <c r="K310" s="160"/>
      <c r="L310" s="103"/>
      <c r="N310" s="103"/>
      <c r="O310" s="103"/>
      <c r="Y310" s="160"/>
      <c r="Z310" s="160"/>
      <c r="AA310" s="160"/>
      <c r="AB310" s="160"/>
      <c r="AC310" s="160"/>
      <c r="AD310" s="160"/>
      <c r="AE310" s="160"/>
      <c r="AF310" s="160"/>
      <c r="AG310" s="160"/>
      <c r="AH310" s="160"/>
      <c r="AI310" s="160"/>
      <c r="AJ310" s="160"/>
      <c r="AP310" s="160"/>
      <c r="AV310" s="160"/>
    </row>
    <row r="311">
      <c r="A311" s="158"/>
      <c r="B311" s="160"/>
      <c r="C311" s="103"/>
      <c r="E311" s="103"/>
      <c r="F311" s="103"/>
      <c r="G311" s="158"/>
      <c r="H311" s="158"/>
      <c r="I311" s="158"/>
      <c r="J311" s="158"/>
      <c r="K311" s="160"/>
      <c r="L311" s="103"/>
      <c r="N311" s="103"/>
      <c r="O311" s="103"/>
      <c r="Y311" s="160"/>
      <c r="Z311" s="160"/>
      <c r="AA311" s="160"/>
      <c r="AB311" s="160"/>
      <c r="AC311" s="160"/>
      <c r="AD311" s="160"/>
      <c r="AE311" s="160"/>
      <c r="AF311" s="160"/>
      <c r="AG311" s="160"/>
      <c r="AH311" s="160"/>
      <c r="AI311" s="160"/>
      <c r="AJ311" s="160"/>
      <c r="AP311" s="160"/>
      <c r="AV311" s="160"/>
    </row>
    <row r="312">
      <c r="A312" s="158"/>
      <c r="B312" s="160"/>
      <c r="C312" s="103"/>
      <c r="E312" s="103"/>
      <c r="F312" s="103"/>
      <c r="G312" s="158"/>
      <c r="H312" s="158"/>
      <c r="I312" s="158"/>
      <c r="J312" s="158"/>
      <c r="K312" s="160"/>
      <c r="L312" s="103"/>
      <c r="N312" s="103"/>
      <c r="O312" s="103"/>
      <c r="Y312" s="160"/>
      <c r="Z312" s="160"/>
      <c r="AA312" s="160"/>
      <c r="AB312" s="160"/>
      <c r="AC312" s="160"/>
      <c r="AD312" s="160"/>
      <c r="AE312" s="160"/>
      <c r="AF312" s="160"/>
      <c r="AG312" s="160"/>
      <c r="AH312" s="160"/>
      <c r="AI312" s="160"/>
      <c r="AJ312" s="160"/>
      <c r="AP312" s="160"/>
      <c r="AV312" s="160"/>
    </row>
    <row r="313">
      <c r="A313" s="158"/>
      <c r="B313" s="160"/>
      <c r="C313" s="103"/>
      <c r="E313" s="103"/>
      <c r="F313" s="103"/>
      <c r="G313" s="158"/>
      <c r="H313" s="158"/>
      <c r="I313" s="158"/>
      <c r="J313" s="158"/>
      <c r="K313" s="160"/>
      <c r="L313" s="103"/>
      <c r="N313" s="103"/>
      <c r="O313" s="103"/>
      <c r="Y313" s="160"/>
      <c r="Z313" s="160"/>
      <c r="AA313" s="160"/>
      <c r="AB313" s="160"/>
      <c r="AC313" s="160"/>
      <c r="AD313" s="160"/>
      <c r="AE313" s="160"/>
      <c r="AF313" s="160"/>
      <c r="AG313" s="160"/>
      <c r="AH313" s="160"/>
      <c r="AI313" s="160"/>
      <c r="AJ313" s="160"/>
      <c r="AP313" s="160"/>
      <c r="AV313" s="160"/>
    </row>
    <row r="314">
      <c r="A314" s="158"/>
      <c r="B314" s="160"/>
      <c r="C314" s="103"/>
      <c r="E314" s="103"/>
      <c r="F314" s="103"/>
      <c r="G314" s="158"/>
      <c r="H314" s="158"/>
      <c r="I314" s="158"/>
      <c r="J314" s="158"/>
      <c r="K314" s="160"/>
      <c r="L314" s="103"/>
      <c r="N314" s="103"/>
      <c r="O314" s="103"/>
      <c r="Y314" s="160"/>
      <c r="Z314" s="160"/>
      <c r="AA314" s="160"/>
      <c r="AB314" s="160"/>
      <c r="AC314" s="160"/>
      <c r="AD314" s="160"/>
      <c r="AE314" s="160"/>
      <c r="AF314" s="160"/>
      <c r="AG314" s="160"/>
      <c r="AH314" s="160"/>
      <c r="AI314" s="160"/>
      <c r="AJ314" s="160"/>
      <c r="AP314" s="160"/>
      <c r="AV314" s="160"/>
    </row>
    <row r="315">
      <c r="A315" s="158"/>
      <c r="B315" s="160"/>
      <c r="C315" s="103"/>
      <c r="E315" s="103"/>
      <c r="F315" s="103"/>
      <c r="G315" s="158"/>
      <c r="H315" s="158"/>
      <c r="I315" s="158"/>
      <c r="J315" s="158"/>
      <c r="K315" s="160"/>
      <c r="L315" s="103"/>
      <c r="N315" s="103"/>
      <c r="O315" s="103"/>
      <c r="Y315" s="160"/>
      <c r="Z315" s="160"/>
      <c r="AA315" s="160"/>
      <c r="AB315" s="160"/>
      <c r="AC315" s="160"/>
      <c r="AD315" s="160"/>
      <c r="AE315" s="160"/>
      <c r="AF315" s="160"/>
      <c r="AG315" s="160"/>
      <c r="AH315" s="160"/>
      <c r="AI315" s="160"/>
      <c r="AJ315" s="160"/>
      <c r="AP315" s="160"/>
      <c r="AV315" s="160"/>
    </row>
    <row r="316">
      <c r="A316" s="158"/>
      <c r="B316" s="160"/>
      <c r="C316" s="103"/>
      <c r="E316" s="103"/>
      <c r="F316" s="103"/>
      <c r="G316" s="158"/>
      <c r="H316" s="158"/>
      <c r="I316" s="158"/>
      <c r="J316" s="158"/>
      <c r="K316" s="160"/>
      <c r="L316" s="103"/>
      <c r="N316" s="103"/>
      <c r="O316" s="103"/>
      <c r="Y316" s="160"/>
      <c r="Z316" s="160"/>
      <c r="AA316" s="160"/>
      <c r="AB316" s="160"/>
      <c r="AC316" s="160"/>
      <c r="AD316" s="160"/>
      <c r="AE316" s="160"/>
      <c r="AF316" s="160"/>
      <c r="AG316" s="160"/>
      <c r="AH316" s="160"/>
      <c r="AI316" s="160"/>
      <c r="AJ316" s="160"/>
      <c r="AP316" s="160"/>
      <c r="AV316" s="160"/>
    </row>
    <row r="317">
      <c r="A317" s="158"/>
      <c r="B317" s="160"/>
      <c r="C317" s="103"/>
      <c r="E317" s="103"/>
      <c r="F317" s="103"/>
      <c r="G317" s="158"/>
      <c r="H317" s="158"/>
      <c r="I317" s="158"/>
      <c r="J317" s="158"/>
      <c r="K317" s="160"/>
      <c r="L317" s="103"/>
      <c r="N317" s="103"/>
      <c r="O317" s="103"/>
      <c r="Y317" s="160"/>
      <c r="Z317" s="160"/>
      <c r="AA317" s="160"/>
      <c r="AB317" s="160"/>
      <c r="AC317" s="160"/>
      <c r="AD317" s="160"/>
      <c r="AE317" s="160"/>
      <c r="AF317" s="160"/>
      <c r="AG317" s="160"/>
      <c r="AH317" s="160"/>
      <c r="AI317" s="160"/>
      <c r="AJ317" s="160"/>
      <c r="AP317" s="160"/>
      <c r="AV317" s="160"/>
    </row>
    <row r="318">
      <c r="A318" s="158"/>
      <c r="B318" s="160"/>
      <c r="C318" s="103"/>
      <c r="E318" s="103"/>
      <c r="F318" s="103"/>
      <c r="G318" s="158"/>
      <c r="H318" s="158"/>
      <c r="I318" s="158"/>
      <c r="J318" s="158"/>
      <c r="K318" s="160"/>
      <c r="L318" s="103"/>
      <c r="N318" s="103"/>
      <c r="O318" s="103"/>
      <c r="Y318" s="160"/>
      <c r="Z318" s="160"/>
      <c r="AA318" s="160"/>
      <c r="AB318" s="160"/>
      <c r="AC318" s="160"/>
      <c r="AD318" s="160"/>
      <c r="AE318" s="160"/>
      <c r="AF318" s="160"/>
      <c r="AG318" s="160"/>
      <c r="AH318" s="160"/>
      <c r="AI318" s="160"/>
      <c r="AJ318" s="160"/>
      <c r="AP318" s="160"/>
      <c r="AV318" s="160"/>
    </row>
    <row r="319">
      <c r="A319" s="158"/>
      <c r="B319" s="160"/>
      <c r="C319" s="103"/>
      <c r="E319" s="103"/>
      <c r="F319" s="103"/>
      <c r="G319" s="158"/>
      <c r="H319" s="158"/>
      <c r="I319" s="158"/>
      <c r="J319" s="158"/>
      <c r="K319" s="160"/>
      <c r="L319" s="103"/>
      <c r="N319" s="103"/>
      <c r="O319" s="103"/>
      <c r="Y319" s="160"/>
      <c r="Z319" s="160"/>
      <c r="AA319" s="160"/>
      <c r="AB319" s="160"/>
      <c r="AC319" s="160"/>
      <c r="AD319" s="160"/>
      <c r="AE319" s="160"/>
      <c r="AF319" s="160"/>
      <c r="AG319" s="160"/>
      <c r="AH319" s="160"/>
      <c r="AI319" s="160"/>
      <c r="AJ319" s="160"/>
      <c r="AP319" s="160"/>
      <c r="AV319" s="160"/>
    </row>
    <row r="320">
      <c r="A320" s="158"/>
      <c r="B320" s="160"/>
      <c r="C320" s="103"/>
      <c r="E320" s="103"/>
      <c r="F320" s="103"/>
      <c r="G320" s="158"/>
      <c r="H320" s="158"/>
      <c r="I320" s="158"/>
      <c r="J320" s="158"/>
      <c r="K320" s="160"/>
      <c r="L320" s="103"/>
      <c r="N320" s="103"/>
      <c r="O320" s="103"/>
      <c r="Y320" s="160"/>
      <c r="Z320" s="160"/>
      <c r="AA320" s="160"/>
      <c r="AB320" s="160"/>
      <c r="AC320" s="160"/>
      <c r="AD320" s="160"/>
      <c r="AE320" s="160"/>
      <c r="AF320" s="160"/>
      <c r="AG320" s="160"/>
      <c r="AH320" s="160"/>
      <c r="AI320" s="160"/>
      <c r="AJ320" s="160"/>
      <c r="AP320" s="160"/>
      <c r="AV320" s="160"/>
    </row>
    <row r="321">
      <c r="A321" s="158"/>
      <c r="B321" s="160"/>
      <c r="C321" s="103"/>
      <c r="E321" s="103"/>
      <c r="F321" s="103"/>
      <c r="G321" s="158"/>
      <c r="H321" s="158"/>
      <c r="I321" s="158"/>
      <c r="J321" s="158"/>
      <c r="K321" s="160"/>
      <c r="L321" s="103"/>
      <c r="N321" s="103"/>
      <c r="O321" s="103"/>
      <c r="Y321" s="160"/>
      <c r="Z321" s="160"/>
      <c r="AA321" s="160"/>
      <c r="AB321" s="160"/>
      <c r="AC321" s="160"/>
      <c r="AD321" s="160"/>
      <c r="AE321" s="160"/>
      <c r="AF321" s="160"/>
      <c r="AG321" s="160"/>
      <c r="AH321" s="160"/>
      <c r="AI321" s="160"/>
      <c r="AJ321" s="160"/>
      <c r="AP321" s="160"/>
      <c r="AV321" s="160"/>
    </row>
    <row r="322">
      <c r="A322" s="158"/>
      <c r="B322" s="160"/>
      <c r="C322" s="103"/>
      <c r="E322" s="103"/>
      <c r="F322" s="103"/>
      <c r="G322" s="158"/>
      <c r="H322" s="158"/>
      <c r="I322" s="158"/>
      <c r="J322" s="158"/>
      <c r="K322" s="160"/>
      <c r="L322" s="103"/>
      <c r="N322" s="103"/>
      <c r="O322" s="103"/>
      <c r="Y322" s="160"/>
      <c r="Z322" s="160"/>
      <c r="AA322" s="160"/>
      <c r="AB322" s="160"/>
      <c r="AC322" s="160"/>
      <c r="AD322" s="160"/>
      <c r="AE322" s="160"/>
      <c r="AF322" s="160"/>
      <c r="AG322" s="160"/>
      <c r="AH322" s="160"/>
      <c r="AI322" s="160"/>
      <c r="AJ322" s="160"/>
      <c r="AP322" s="160"/>
      <c r="AV322" s="160"/>
    </row>
    <row r="323">
      <c r="A323" s="158"/>
      <c r="B323" s="160"/>
      <c r="C323" s="103"/>
      <c r="E323" s="103"/>
      <c r="F323" s="103"/>
      <c r="G323" s="158"/>
      <c r="H323" s="158"/>
      <c r="I323" s="158"/>
      <c r="J323" s="158"/>
      <c r="K323" s="160"/>
      <c r="L323" s="103"/>
      <c r="N323" s="103"/>
      <c r="O323" s="103"/>
      <c r="Y323" s="160"/>
      <c r="Z323" s="160"/>
      <c r="AA323" s="160"/>
      <c r="AB323" s="160"/>
      <c r="AC323" s="160"/>
      <c r="AD323" s="160"/>
      <c r="AE323" s="160"/>
      <c r="AF323" s="160"/>
      <c r="AG323" s="160"/>
      <c r="AH323" s="160"/>
      <c r="AI323" s="160"/>
      <c r="AJ323" s="160"/>
      <c r="AP323" s="160"/>
      <c r="AV323" s="160"/>
    </row>
    <row r="324">
      <c r="A324" s="158"/>
      <c r="B324" s="160"/>
      <c r="C324" s="103"/>
      <c r="E324" s="103"/>
      <c r="F324" s="103"/>
      <c r="G324" s="158"/>
      <c r="H324" s="158"/>
      <c r="I324" s="158"/>
      <c r="J324" s="158"/>
      <c r="K324" s="160"/>
      <c r="L324" s="103"/>
      <c r="N324" s="103"/>
      <c r="O324" s="103"/>
      <c r="Y324" s="160"/>
      <c r="Z324" s="160"/>
      <c r="AA324" s="160"/>
      <c r="AB324" s="160"/>
      <c r="AC324" s="160"/>
      <c r="AD324" s="160"/>
      <c r="AE324" s="160"/>
      <c r="AF324" s="160"/>
      <c r="AG324" s="160"/>
      <c r="AH324" s="160"/>
      <c r="AI324" s="160"/>
      <c r="AJ324" s="160"/>
      <c r="AP324" s="160"/>
      <c r="AV324" s="160"/>
    </row>
    <row r="325">
      <c r="A325" s="158"/>
      <c r="B325" s="160"/>
      <c r="C325" s="103"/>
      <c r="E325" s="103"/>
      <c r="F325" s="103"/>
      <c r="G325" s="158"/>
      <c r="H325" s="158"/>
      <c r="I325" s="158"/>
      <c r="J325" s="158"/>
      <c r="K325" s="160"/>
      <c r="L325" s="103"/>
      <c r="N325" s="103"/>
      <c r="O325" s="103"/>
      <c r="Y325" s="160"/>
      <c r="Z325" s="160"/>
      <c r="AA325" s="160"/>
      <c r="AB325" s="160"/>
      <c r="AC325" s="160"/>
      <c r="AD325" s="160"/>
      <c r="AE325" s="160"/>
      <c r="AF325" s="160"/>
      <c r="AG325" s="160"/>
      <c r="AH325" s="160"/>
      <c r="AI325" s="160"/>
      <c r="AJ325" s="160"/>
      <c r="AP325" s="160"/>
      <c r="AV325" s="160"/>
    </row>
    <row r="326">
      <c r="A326" s="158"/>
      <c r="B326" s="160"/>
      <c r="C326" s="103"/>
      <c r="E326" s="103"/>
      <c r="F326" s="103"/>
      <c r="G326" s="158"/>
      <c r="H326" s="158"/>
      <c r="I326" s="158"/>
      <c r="J326" s="158"/>
      <c r="K326" s="160"/>
      <c r="L326" s="103"/>
      <c r="N326" s="103"/>
      <c r="O326" s="103"/>
      <c r="Y326" s="160"/>
      <c r="Z326" s="160"/>
      <c r="AA326" s="160"/>
      <c r="AB326" s="160"/>
      <c r="AC326" s="160"/>
      <c r="AD326" s="160"/>
      <c r="AE326" s="160"/>
      <c r="AF326" s="160"/>
      <c r="AG326" s="160"/>
      <c r="AH326" s="160"/>
      <c r="AI326" s="160"/>
      <c r="AJ326" s="160"/>
      <c r="AP326" s="160"/>
      <c r="AV326" s="160"/>
    </row>
    <row r="327">
      <c r="A327" s="158"/>
      <c r="B327" s="160"/>
      <c r="C327" s="103"/>
      <c r="E327" s="103"/>
      <c r="F327" s="103"/>
      <c r="G327" s="158"/>
      <c r="H327" s="158"/>
      <c r="I327" s="158"/>
      <c r="J327" s="158"/>
      <c r="K327" s="160"/>
      <c r="L327" s="103"/>
      <c r="N327" s="103"/>
      <c r="O327" s="103"/>
      <c r="Y327" s="160"/>
      <c r="Z327" s="160"/>
      <c r="AA327" s="160"/>
      <c r="AB327" s="160"/>
      <c r="AC327" s="160"/>
      <c r="AD327" s="160"/>
      <c r="AE327" s="160"/>
      <c r="AF327" s="160"/>
      <c r="AG327" s="160"/>
      <c r="AH327" s="160"/>
      <c r="AI327" s="160"/>
      <c r="AJ327" s="160"/>
      <c r="AP327" s="160"/>
      <c r="AV327" s="160"/>
    </row>
    <row r="328">
      <c r="A328" s="158"/>
      <c r="B328" s="160"/>
      <c r="C328" s="103"/>
      <c r="E328" s="103"/>
      <c r="F328" s="103"/>
      <c r="G328" s="158"/>
      <c r="H328" s="158"/>
      <c r="I328" s="158"/>
      <c r="J328" s="158"/>
      <c r="K328" s="160"/>
      <c r="L328" s="103"/>
      <c r="N328" s="103"/>
      <c r="O328" s="103"/>
      <c r="Y328" s="160"/>
      <c r="Z328" s="160"/>
      <c r="AA328" s="160"/>
      <c r="AB328" s="160"/>
      <c r="AC328" s="160"/>
      <c r="AD328" s="160"/>
      <c r="AE328" s="160"/>
      <c r="AF328" s="160"/>
      <c r="AG328" s="160"/>
      <c r="AH328" s="160"/>
      <c r="AI328" s="160"/>
      <c r="AJ328" s="160"/>
      <c r="AP328" s="160"/>
      <c r="AV328" s="160"/>
    </row>
    <row r="329">
      <c r="A329" s="158"/>
      <c r="B329" s="160"/>
      <c r="C329" s="103"/>
      <c r="E329" s="103"/>
      <c r="F329" s="103"/>
      <c r="G329" s="158"/>
      <c r="H329" s="158"/>
      <c r="I329" s="158"/>
      <c r="J329" s="158"/>
      <c r="K329" s="160"/>
      <c r="L329" s="103"/>
      <c r="N329" s="103"/>
      <c r="O329" s="103"/>
      <c r="Y329" s="160"/>
      <c r="Z329" s="160"/>
      <c r="AA329" s="160"/>
      <c r="AB329" s="160"/>
      <c r="AC329" s="160"/>
      <c r="AD329" s="160"/>
      <c r="AE329" s="160"/>
      <c r="AF329" s="160"/>
      <c r="AG329" s="160"/>
      <c r="AH329" s="160"/>
      <c r="AI329" s="160"/>
      <c r="AJ329" s="160"/>
      <c r="AP329" s="160"/>
      <c r="AV329" s="160"/>
    </row>
    <row r="330">
      <c r="A330" s="158"/>
      <c r="B330" s="160"/>
      <c r="C330" s="103"/>
      <c r="E330" s="103"/>
      <c r="F330" s="103"/>
      <c r="G330" s="158"/>
      <c r="H330" s="158"/>
      <c r="I330" s="158"/>
      <c r="J330" s="158"/>
      <c r="K330" s="160"/>
      <c r="L330" s="103"/>
      <c r="N330" s="103"/>
      <c r="O330" s="103"/>
      <c r="Y330" s="160"/>
      <c r="Z330" s="160"/>
      <c r="AA330" s="160"/>
      <c r="AB330" s="160"/>
      <c r="AC330" s="160"/>
      <c r="AD330" s="160"/>
      <c r="AE330" s="160"/>
      <c r="AF330" s="160"/>
      <c r="AG330" s="160"/>
      <c r="AH330" s="160"/>
      <c r="AI330" s="160"/>
      <c r="AJ330" s="160"/>
      <c r="AP330" s="160"/>
      <c r="AV330" s="160"/>
    </row>
    <row r="331">
      <c r="A331" s="158"/>
      <c r="B331" s="160"/>
      <c r="C331" s="103"/>
      <c r="E331" s="103"/>
      <c r="F331" s="103"/>
      <c r="G331" s="158"/>
      <c r="H331" s="158"/>
      <c r="I331" s="158"/>
      <c r="J331" s="158"/>
      <c r="K331" s="160"/>
      <c r="L331" s="103"/>
      <c r="N331" s="103"/>
      <c r="O331" s="103"/>
      <c r="Y331" s="160"/>
      <c r="Z331" s="160"/>
      <c r="AA331" s="160"/>
      <c r="AB331" s="160"/>
      <c r="AC331" s="160"/>
      <c r="AD331" s="160"/>
      <c r="AE331" s="160"/>
      <c r="AF331" s="160"/>
      <c r="AG331" s="160"/>
      <c r="AH331" s="160"/>
      <c r="AI331" s="160"/>
      <c r="AJ331" s="160"/>
      <c r="AP331" s="160"/>
      <c r="AV331" s="160"/>
    </row>
    <row r="332">
      <c r="A332" s="158"/>
      <c r="B332" s="160"/>
      <c r="C332" s="103"/>
      <c r="E332" s="103"/>
      <c r="F332" s="103"/>
      <c r="G332" s="158"/>
      <c r="H332" s="158"/>
      <c r="I332" s="158"/>
      <c r="J332" s="158"/>
      <c r="K332" s="160"/>
      <c r="L332" s="103"/>
      <c r="N332" s="103"/>
      <c r="O332" s="103"/>
      <c r="Y332" s="160"/>
      <c r="Z332" s="160"/>
      <c r="AA332" s="160"/>
      <c r="AB332" s="160"/>
      <c r="AC332" s="160"/>
      <c r="AD332" s="160"/>
      <c r="AE332" s="160"/>
      <c r="AF332" s="160"/>
      <c r="AG332" s="160"/>
      <c r="AH332" s="160"/>
      <c r="AI332" s="160"/>
      <c r="AJ332" s="160"/>
      <c r="AP332" s="160"/>
      <c r="AV332" s="160"/>
    </row>
    <row r="333">
      <c r="A333" s="158"/>
      <c r="B333" s="160"/>
      <c r="C333" s="103"/>
      <c r="E333" s="103"/>
      <c r="F333" s="103"/>
      <c r="G333" s="158"/>
      <c r="H333" s="158"/>
      <c r="I333" s="158"/>
      <c r="J333" s="158"/>
      <c r="K333" s="160"/>
      <c r="L333" s="103"/>
      <c r="N333" s="103"/>
      <c r="O333" s="103"/>
      <c r="Y333" s="160"/>
      <c r="Z333" s="160"/>
      <c r="AA333" s="160"/>
      <c r="AB333" s="160"/>
      <c r="AC333" s="160"/>
      <c r="AD333" s="160"/>
      <c r="AE333" s="160"/>
      <c r="AF333" s="160"/>
      <c r="AG333" s="160"/>
      <c r="AH333" s="160"/>
      <c r="AI333" s="160"/>
      <c r="AJ333" s="160"/>
      <c r="AP333" s="160"/>
      <c r="AV333" s="160"/>
    </row>
    <row r="334">
      <c r="A334" s="158"/>
      <c r="B334" s="160"/>
      <c r="C334" s="103"/>
      <c r="E334" s="103"/>
      <c r="F334" s="103"/>
      <c r="G334" s="158"/>
      <c r="H334" s="158"/>
      <c r="I334" s="158"/>
      <c r="J334" s="158"/>
      <c r="K334" s="160"/>
      <c r="L334" s="103"/>
      <c r="N334" s="103"/>
      <c r="O334" s="103"/>
      <c r="Y334" s="160"/>
      <c r="Z334" s="160"/>
      <c r="AA334" s="160"/>
      <c r="AB334" s="160"/>
      <c r="AC334" s="160"/>
      <c r="AD334" s="160"/>
      <c r="AE334" s="160"/>
      <c r="AF334" s="160"/>
      <c r="AG334" s="160"/>
      <c r="AH334" s="160"/>
      <c r="AI334" s="160"/>
      <c r="AJ334" s="160"/>
      <c r="AP334" s="160"/>
      <c r="AV334" s="160"/>
    </row>
    <row r="335">
      <c r="A335" s="158"/>
      <c r="B335" s="160"/>
      <c r="C335" s="103"/>
      <c r="E335" s="103"/>
      <c r="F335" s="103"/>
      <c r="G335" s="158"/>
      <c r="H335" s="158"/>
      <c r="I335" s="158"/>
      <c r="J335" s="158"/>
      <c r="K335" s="160"/>
      <c r="L335" s="103"/>
      <c r="N335" s="103"/>
      <c r="O335" s="103"/>
      <c r="Y335" s="160"/>
      <c r="Z335" s="160"/>
      <c r="AA335" s="160"/>
      <c r="AB335" s="160"/>
      <c r="AC335" s="160"/>
      <c r="AD335" s="160"/>
      <c r="AE335" s="160"/>
      <c r="AF335" s="160"/>
      <c r="AG335" s="160"/>
      <c r="AH335" s="160"/>
      <c r="AI335" s="160"/>
      <c r="AJ335" s="160"/>
      <c r="AP335" s="160"/>
      <c r="AV335" s="160"/>
    </row>
    <row r="336">
      <c r="A336" s="158"/>
      <c r="B336" s="160"/>
      <c r="C336" s="103"/>
      <c r="E336" s="103"/>
      <c r="F336" s="103"/>
      <c r="G336" s="158"/>
      <c r="H336" s="158"/>
      <c r="I336" s="158"/>
      <c r="J336" s="158"/>
      <c r="K336" s="160"/>
      <c r="L336" s="103"/>
      <c r="N336" s="103"/>
      <c r="O336" s="103"/>
      <c r="Y336" s="160"/>
      <c r="Z336" s="160"/>
      <c r="AA336" s="160"/>
      <c r="AB336" s="160"/>
      <c r="AC336" s="160"/>
      <c r="AD336" s="160"/>
      <c r="AE336" s="160"/>
      <c r="AF336" s="160"/>
      <c r="AG336" s="160"/>
      <c r="AH336" s="160"/>
      <c r="AI336" s="160"/>
      <c r="AJ336" s="160"/>
      <c r="AP336" s="160"/>
      <c r="AV336" s="160"/>
    </row>
    <row r="337">
      <c r="A337" s="158"/>
      <c r="B337" s="160"/>
      <c r="C337" s="103"/>
      <c r="E337" s="103"/>
      <c r="F337" s="103"/>
      <c r="G337" s="158"/>
      <c r="H337" s="158"/>
      <c r="I337" s="158"/>
      <c r="J337" s="158"/>
      <c r="K337" s="160"/>
      <c r="L337" s="103"/>
      <c r="N337" s="103"/>
      <c r="O337" s="103"/>
      <c r="Y337" s="160"/>
      <c r="Z337" s="160"/>
      <c r="AA337" s="160"/>
      <c r="AB337" s="160"/>
      <c r="AC337" s="160"/>
      <c r="AD337" s="160"/>
      <c r="AE337" s="160"/>
      <c r="AF337" s="160"/>
      <c r="AG337" s="160"/>
      <c r="AH337" s="160"/>
      <c r="AI337" s="160"/>
      <c r="AJ337" s="160"/>
      <c r="AP337" s="160"/>
      <c r="AV337" s="160"/>
    </row>
    <row r="338">
      <c r="A338" s="158"/>
      <c r="B338" s="160"/>
      <c r="C338" s="103"/>
      <c r="E338" s="103"/>
      <c r="F338" s="103"/>
      <c r="G338" s="158"/>
      <c r="H338" s="158"/>
      <c r="I338" s="158"/>
      <c r="J338" s="158"/>
      <c r="K338" s="160"/>
      <c r="L338" s="103"/>
      <c r="N338" s="103"/>
      <c r="O338" s="103"/>
      <c r="Y338" s="160"/>
      <c r="Z338" s="160"/>
      <c r="AA338" s="160"/>
      <c r="AB338" s="160"/>
      <c r="AC338" s="160"/>
      <c r="AD338" s="160"/>
      <c r="AE338" s="160"/>
      <c r="AF338" s="160"/>
      <c r="AG338" s="160"/>
      <c r="AH338" s="160"/>
      <c r="AI338" s="160"/>
      <c r="AJ338" s="160"/>
      <c r="AP338" s="160"/>
      <c r="AV338" s="160"/>
    </row>
    <row r="339">
      <c r="A339" s="158"/>
      <c r="B339" s="160"/>
      <c r="C339" s="103"/>
      <c r="E339" s="103"/>
      <c r="F339" s="103"/>
      <c r="G339" s="158"/>
      <c r="H339" s="158"/>
      <c r="I339" s="158"/>
      <c r="J339" s="158"/>
      <c r="K339" s="160"/>
      <c r="L339" s="103"/>
      <c r="N339" s="103"/>
      <c r="O339" s="103"/>
      <c r="Y339" s="160"/>
      <c r="Z339" s="160"/>
      <c r="AA339" s="160"/>
      <c r="AB339" s="160"/>
      <c r="AC339" s="160"/>
      <c r="AD339" s="160"/>
      <c r="AE339" s="160"/>
      <c r="AF339" s="160"/>
      <c r="AG339" s="160"/>
      <c r="AH339" s="160"/>
      <c r="AI339" s="160"/>
      <c r="AJ339" s="160"/>
      <c r="AP339" s="160"/>
      <c r="AV339" s="160"/>
    </row>
    <row r="340">
      <c r="A340" s="158"/>
      <c r="B340" s="160"/>
      <c r="C340" s="103"/>
      <c r="E340" s="103"/>
      <c r="F340" s="103"/>
      <c r="G340" s="158"/>
      <c r="H340" s="158"/>
      <c r="I340" s="158"/>
      <c r="J340" s="158"/>
      <c r="K340" s="160"/>
      <c r="L340" s="103"/>
      <c r="N340" s="103"/>
      <c r="O340" s="103"/>
      <c r="Y340" s="160"/>
      <c r="Z340" s="160"/>
      <c r="AA340" s="160"/>
      <c r="AB340" s="160"/>
      <c r="AC340" s="160"/>
      <c r="AD340" s="160"/>
      <c r="AE340" s="160"/>
      <c r="AF340" s="160"/>
      <c r="AG340" s="160"/>
      <c r="AH340" s="160"/>
      <c r="AI340" s="160"/>
      <c r="AJ340" s="160"/>
      <c r="AP340" s="160"/>
      <c r="AV340" s="160"/>
    </row>
    <row r="341">
      <c r="A341" s="158"/>
      <c r="B341" s="160"/>
      <c r="C341" s="103"/>
      <c r="E341" s="103"/>
      <c r="F341" s="103"/>
      <c r="G341" s="158"/>
      <c r="H341" s="158"/>
      <c r="I341" s="158"/>
      <c r="J341" s="158"/>
      <c r="K341" s="160"/>
      <c r="L341" s="103"/>
      <c r="N341" s="103"/>
      <c r="O341" s="103"/>
      <c r="Y341" s="160"/>
      <c r="Z341" s="160"/>
      <c r="AA341" s="160"/>
      <c r="AB341" s="160"/>
      <c r="AC341" s="160"/>
      <c r="AD341" s="160"/>
      <c r="AE341" s="160"/>
      <c r="AF341" s="160"/>
      <c r="AG341" s="160"/>
      <c r="AH341" s="160"/>
      <c r="AI341" s="160"/>
      <c r="AJ341" s="160"/>
      <c r="AP341" s="160"/>
      <c r="AV341" s="160"/>
    </row>
    <row r="342">
      <c r="A342" s="158"/>
      <c r="B342" s="160"/>
      <c r="C342" s="103"/>
      <c r="E342" s="103"/>
      <c r="F342" s="103"/>
      <c r="G342" s="158"/>
      <c r="H342" s="158"/>
      <c r="I342" s="158"/>
      <c r="J342" s="158"/>
      <c r="K342" s="160"/>
      <c r="L342" s="103"/>
      <c r="N342" s="103"/>
      <c r="O342" s="103"/>
      <c r="Y342" s="160"/>
      <c r="Z342" s="160"/>
      <c r="AA342" s="160"/>
      <c r="AB342" s="160"/>
      <c r="AC342" s="160"/>
      <c r="AD342" s="160"/>
      <c r="AE342" s="160"/>
      <c r="AF342" s="160"/>
      <c r="AG342" s="160"/>
      <c r="AH342" s="160"/>
      <c r="AI342" s="160"/>
      <c r="AJ342" s="160"/>
      <c r="AP342" s="160"/>
      <c r="AV342" s="160"/>
    </row>
    <row r="343">
      <c r="A343" s="158"/>
      <c r="B343" s="160"/>
      <c r="C343" s="103"/>
      <c r="E343" s="103"/>
      <c r="F343" s="103"/>
      <c r="G343" s="158"/>
      <c r="H343" s="158"/>
      <c r="I343" s="158"/>
      <c r="J343" s="158"/>
      <c r="K343" s="160"/>
      <c r="L343" s="103"/>
      <c r="N343" s="103"/>
      <c r="O343" s="103"/>
      <c r="Y343" s="160"/>
      <c r="Z343" s="160"/>
      <c r="AA343" s="160"/>
      <c r="AB343" s="160"/>
      <c r="AC343" s="160"/>
      <c r="AD343" s="160"/>
      <c r="AE343" s="160"/>
      <c r="AF343" s="160"/>
      <c r="AG343" s="160"/>
      <c r="AH343" s="160"/>
      <c r="AI343" s="160"/>
      <c r="AJ343" s="160"/>
      <c r="AP343" s="160"/>
      <c r="AV343" s="160"/>
    </row>
    <row r="344">
      <c r="A344" s="158"/>
      <c r="B344" s="160"/>
      <c r="C344" s="103"/>
      <c r="E344" s="103"/>
      <c r="F344" s="103"/>
      <c r="G344" s="158"/>
      <c r="H344" s="158"/>
      <c r="I344" s="158"/>
      <c r="J344" s="158"/>
      <c r="K344" s="160"/>
      <c r="L344" s="103"/>
      <c r="N344" s="103"/>
      <c r="O344" s="103"/>
      <c r="Y344" s="160"/>
      <c r="Z344" s="160"/>
      <c r="AA344" s="160"/>
      <c r="AB344" s="160"/>
      <c r="AC344" s="160"/>
      <c r="AD344" s="160"/>
      <c r="AE344" s="160"/>
      <c r="AF344" s="160"/>
      <c r="AG344" s="160"/>
      <c r="AH344" s="160"/>
      <c r="AI344" s="160"/>
      <c r="AJ344" s="160"/>
      <c r="AP344" s="160"/>
      <c r="AV344" s="160"/>
    </row>
    <row r="345">
      <c r="A345" s="158"/>
      <c r="B345" s="160"/>
      <c r="C345" s="103"/>
      <c r="E345" s="103"/>
      <c r="F345" s="103"/>
      <c r="G345" s="158"/>
      <c r="H345" s="158"/>
      <c r="I345" s="158"/>
      <c r="J345" s="158"/>
      <c r="K345" s="160"/>
      <c r="L345" s="103"/>
      <c r="N345" s="103"/>
      <c r="O345" s="103"/>
      <c r="Y345" s="160"/>
      <c r="Z345" s="160"/>
      <c r="AA345" s="160"/>
      <c r="AB345" s="160"/>
      <c r="AC345" s="160"/>
      <c r="AD345" s="160"/>
      <c r="AE345" s="160"/>
      <c r="AF345" s="160"/>
      <c r="AG345" s="160"/>
      <c r="AH345" s="160"/>
      <c r="AI345" s="160"/>
      <c r="AJ345" s="160"/>
      <c r="AP345" s="160"/>
      <c r="AV345" s="160"/>
    </row>
    <row r="346">
      <c r="A346" s="158"/>
      <c r="B346" s="160"/>
      <c r="C346" s="103"/>
      <c r="E346" s="103"/>
      <c r="F346" s="103"/>
      <c r="G346" s="158"/>
      <c r="H346" s="158"/>
      <c r="I346" s="158"/>
      <c r="J346" s="158"/>
      <c r="K346" s="160"/>
      <c r="L346" s="103"/>
      <c r="N346" s="103"/>
      <c r="O346" s="103"/>
      <c r="Y346" s="160"/>
      <c r="Z346" s="160"/>
      <c r="AA346" s="160"/>
      <c r="AB346" s="160"/>
      <c r="AC346" s="160"/>
      <c r="AD346" s="160"/>
      <c r="AE346" s="160"/>
      <c r="AF346" s="160"/>
      <c r="AG346" s="160"/>
      <c r="AH346" s="160"/>
      <c r="AI346" s="160"/>
      <c r="AJ346" s="160"/>
      <c r="AP346" s="160"/>
      <c r="AV346" s="160"/>
    </row>
    <row r="347">
      <c r="A347" s="158"/>
      <c r="B347" s="160"/>
      <c r="C347" s="103"/>
      <c r="E347" s="103"/>
      <c r="F347" s="103"/>
      <c r="G347" s="158"/>
      <c r="H347" s="158"/>
      <c r="I347" s="158"/>
      <c r="J347" s="158"/>
      <c r="K347" s="160"/>
      <c r="L347" s="103"/>
      <c r="N347" s="103"/>
      <c r="O347" s="103"/>
      <c r="Y347" s="160"/>
      <c r="Z347" s="160"/>
      <c r="AA347" s="160"/>
      <c r="AB347" s="160"/>
      <c r="AC347" s="160"/>
      <c r="AD347" s="160"/>
      <c r="AE347" s="160"/>
      <c r="AF347" s="160"/>
      <c r="AG347" s="160"/>
      <c r="AH347" s="160"/>
      <c r="AI347" s="160"/>
      <c r="AJ347" s="160"/>
      <c r="AP347" s="160"/>
      <c r="AV347" s="160"/>
    </row>
    <row r="348">
      <c r="A348" s="158"/>
      <c r="B348" s="160"/>
      <c r="C348" s="103"/>
      <c r="E348" s="103"/>
      <c r="F348" s="103"/>
      <c r="G348" s="158"/>
      <c r="H348" s="158"/>
      <c r="I348" s="158"/>
      <c r="J348" s="158"/>
      <c r="K348" s="160"/>
      <c r="L348" s="103"/>
      <c r="N348" s="103"/>
      <c r="O348" s="103"/>
      <c r="Y348" s="160"/>
      <c r="Z348" s="160"/>
      <c r="AA348" s="160"/>
      <c r="AB348" s="160"/>
      <c r="AC348" s="160"/>
      <c r="AD348" s="160"/>
      <c r="AE348" s="160"/>
      <c r="AF348" s="160"/>
      <c r="AG348" s="160"/>
      <c r="AH348" s="160"/>
      <c r="AI348" s="160"/>
      <c r="AJ348" s="160"/>
      <c r="AP348" s="160"/>
      <c r="AV348" s="160"/>
    </row>
    <row r="349">
      <c r="A349" s="158"/>
      <c r="B349" s="160"/>
      <c r="C349" s="103"/>
      <c r="E349" s="103"/>
      <c r="F349" s="103"/>
      <c r="G349" s="158"/>
      <c r="H349" s="158"/>
      <c r="I349" s="158"/>
      <c r="J349" s="158"/>
      <c r="K349" s="160"/>
      <c r="L349" s="103"/>
      <c r="N349" s="103"/>
      <c r="O349" s="103"/>
      <c r="Y349" s="160"/>
      <c r="Z349" s="160"/>
      <c r="AA349" s="160"/>
      <c r="AB349" s="160"/>
      <c r="AC349" s="160"/>
      <c r="AD349" s="160"/>
      <c r="AE349" s="160"/>
      <c r="AF349" s="160"/>
      <c r="AG349" s="160"/>
      <c r="AH349" s="160"/>
      <c r="AI349" s="160"/>
      <c r="AJ349" s="160"/>
      <c r="AP349" s="160"/>
      <c r="AV349" s="160"/>
    </row>
    <row r="350">
      <c r="A350" s="158"/>
      <c r="B350" s="160"/>
      <c r="C350" s="103"/>
      <c r="E350" s="103"/>
      <c r="F350" s="103"/>
      <c r="G350" s="158"/>
      <c r="H350" s="158"/>
      <c r="I350" s="158"/>
      <c r="J350" s="158"/>
      <c r="K350" s="160"/>
      <c r="L350" s="103"/>
      <c r="N350" s="103"/>
      <c r="O350" s="103"/>
      <c r="Y350" s="160"/>
      <c r="Z350" s="160"/>
      <c r="AA350" s="160"/>
      <c r="AB350" s="160"/>
      <c r="AC350" s="160"/>
      <c r="AD350" s="160"/>
      <c r="AE350" s="160"/>
      <c r="AF350" s="160"/>
      <c r="AG350" s="160"/>
      <c r="AH350" s="160"/>
      <c r="AI350" s="160"/>
      <c r="AJ350" s="160"/>
      <c r="AP350" s="160"/>
      <c r="AV350" s="160"/>
    </row>
    <row r="351">
      <c r="A351" s="158"/>
      <c r="B351" s="160"/>
      <c r="C351" s="103"/>
      <c r="E351" s="103"/>
      <c r="F351" s="103"/>
      <c r="G351" s="158"/>
      <c r="H351" s="158"/>
      <c r="I351" s="158"/>
      <c r="J351" s="158"/>
      <c r="K351" s="160"/>
      <c r="L351" s="103"/>
      <c r="N351" s="103"/>
      <c r="O351" s="103"/>
      <c r="Y351" s="160"/>
      <c r="Z351" s="160"/>
      <c r="AA351" s="160"/>
      <c r="AB351" s="160"/>
      <c r="AC351" s="160"/>
      <c r="AD351" s="160"/>
      <c r="AE351" s="160"/>
      <c r="AF351" s="160"/>
      <c r="AG351" s="160"/>
      <c r="AH351" s="160"/>
      <c r="AI351" s="160"/>
      <c r="AJ351" s="160"/>
      <c r="AP351" s="160"/>
      <c r="AV351" s="160"/>
    </row>
    <row r="352">
      <c r="A352" s="158"/>
      <c r="B352" s="160"/>
      <c r="C352" s="103"/>
      <c r="E352" s="103"/>
      <c r="F352" s="103"/>
      <c r="G352" s="158"/>
      <c r="H352" s="158"/>
      <c r="I352" s="158"/>
      <c r="J352" s="158"/>
      <c r="K352" s="160"/>
      <c r="L352" s="103"/>
      <c r="N352" s="103"/>
      <c r="O352" s="103"/>
      <c r="Y352" s="160"/>
      <c r="Z352" s="160"/>
      <c r="AA352" s="160"/>
      <c r="AB352" s="160"/>
      <c r="AC352" s="160"/>
      <c r="AD352" s="160"/>
      <c r="AE352" s="160"/>
      <c r="AF352" s="160"/>
      <c r="AG352" s="160"/>
      <c r="AH352" s="160"/>
      <c r="AI352" s="160"/>
      <c r="AJ352" s="160"/>
      <c r="AP352" s="160"/>
      <c r="AV352" s="160"/>
    </row>
    <row r="353">
      <c r="A353" s="158"/>
      <c r="B353" s="160"/>
      <c r="C353" s="103"/>
      <c r="E353" s="103"/>
      <c r="F353" s="103"/>
      <c r="G353" s="158"/>
      <c r="H353" s="158"/>
      <c r="I353" s="158"/>
      <c r="J353" s="158"/>
      <c r="K353" s="160"/>
      <c r="L353" s="103"/>
      <c r="N353" s="103"/>
      <c r="O353" s="103"/>
      <c r="Y353" s="160"/>
      <c r="Z353" s="160"/>
      <c r="AA353" s="160"/>
      <c r="AB353" s="160"/>
      <c r="AC353" s="160"/>
      <c r="AD353" s="160"/>
      <c r="AE353" s="160"/>
      <c r="AF353" s="160"/>
      <c r="AG353" s="160"/>
      <c r="AH353" s="160"/>
      <c r="AI353" s="160"/>
      <c r="AJ353" s="160"/>
      <c r="AP353" s="160"/>
      <c r="AV353" s="160"/>
    </row>
    <row r="354">
      <c r="A354" s="158"/>
      <c r="B354" s="160"/>
      <c r="C354" s="103"/>
      <c r="E354" s="103"/>
      <c r="F354" s="103"/>
      <c r="G354" s="158"/>
      <c r="H354" s="158"/>
      <c r="I354" s="158"/>
      <c r="J354" s="158"/>
      <c r="K354" s="160"/>
      <c r="L354" s="103"/>
      <c r="N354" s="103"/>
      <c r="O354" s="103"/>
      <c r="Y354" s="160"/>
      <c r="Z354" s="160"/>
      <c r="AA354" s="160"/>
      <c r="AB354" s="160"/>
      <c r="AC354" s="160"/>
      <c r="AD354" s="160"/>
      <c r="AE354" s="160"/>
      <c r="AF354" s="160"/>
      <c r="AG354" s="160"/>
      <c r="AH354" s="160"/>
      <c r="AI354" s="160"/>
      <c r="AJ354" s="160"/>
      <c r="AP354" s="160"/>
      <c r="AV354" s="160"/>
    </row>
    <row r="355">
      <c r="A355" s="158"/>
      <c r="B355" s="160"/>
      <c r="C355" s="103"/>
      <c r="E355" s="103"/>
      <c r="F355" s="103"/>
      <c r="G355" s="158"/>
      <c r="H355" s="158"/>
      <c r="I355" s="158"/>
      <c r="J355" s="158"/>
      <c r="K355" s="160"/>
      <c r="L355" s="103"/>
      <c r="N355" s="103"/>
      <c r="O355" s="103"/>
      <c r="Y355" s="160"/>
      <c r="Z355" s="160"/>
      <c r="AA355" s="160"/>
      <c r="AB355" s="160"/>
      <c r="AC355" s="160"/>
      <c r="AD355" s="160"/>
      <c r="AE355" s="160"/>
      <c r="AF355" s="160"/>
      <c r="AG355" s="160"/>
      <c r="AH355" s="160"/>
      <c r="AI355" s="160"/>
      <c r="AJ355" s="160"/>
      <c r="AP355" s="160"/>
      <c r="AV355" s="160"/>
    </row>
    <row r="356">
      <c r="A356" s="158"/>
      <c r="B356" s="160"/>
      <c r="C356" s="103"/>
      <c r="E356" s="103"/>
      <c r="F356" s="103"/>
      <c r="G356" s="158"/>
      <c r="H356" s="158"/>
      <c r="I356" s="158"/>
      <c r="J356" s="158"/>
      <c r="K356" s="160"/>
      <c r="L356" s="103"/>
      <c r="N356" s="103"/>
      <c r="O356" s="103"/>
      <c r="Y356" s="160"/>
      <c r="Z356" s="160"/>
      <c r="AA356" s="160"/>
      <c r="AB356" s="160"/>
      <c r="AC356" s="160"/>
      <c r="AD356" s="160"/>
      <c r="AE356" s="160"/>
      <c r="AF356" s="160"/>
      <c r="AG356" s="160"/>
      <c r="AH356" s="160"/>
      <c r="AI356" s="160"/>
      <c r="AJ356" s="160"/>
      <c r="AP356" s="160"/>
      <c r="AV356" s="160"/>
    </row>
    <row r="357">
      <c r="A357" s="158"/>
      <c r="B357" s="160"/>
      <c r="C357" s="103"/>
      <c r="E357" s="103"/>
      <c r="F357" s="103"/>
      <c r="G357" s="158"/>
      <c r="H357" s="158"/>
      <c r="I357" s="158"/>
      <c r="J357" s="158"/>
      <c r="K357" s="160"/>
      <c r="L357" s="103"/>
      <c r="N357" s="103"/>
      <c r="O357" s="103"/>
      <c r="Y357" s="160"/>
      <c r="Z357" s="160"/>
      <c r="AA357" s="160"/>
      <c r="AB357" s="160"/>
      <c r="AC357" s="160"/>
      <c r="AD357" s="160"/>
      <c r="AE357" s="160"/>
      <c r="AF357" s="160"/>
      <c r="AG357" s="160"/>
      <c r="AH357" s="160"/>
      <c r="AI357" s="160"/>
      <c r="AJ357" s="160"/>
      <c r="AP357" s="160"/>
      <c r="AV357" s="160"/>
    </row>
    <row r="358">
      <c r="A358" s="158"/>
      <c r="B358" s="160"/>
      <c r="C358" s="103"/>
      <c r="E358" s="103"/>
      <c r="F358" s="103"/>
      <c r="G358" s="158"/>
      <c r="H358" s="158"/>
      <c r="I358" s="158"/>
      <c r="J358" s="158"/>
      <c r="K358" s="160"/>
      <c r="L358" s="103"/>
      <c r="N358" s="103"/>
      <c r="O358" s="103"/>
      <c r="Y358" s="160"/>
      <c r="Z358" s="160"/>
      <c r="AA358" s="160"/>
      <c r="AB358" s="160"/>
      <c r="AC358" s="160"/>
      <c r="AD358" s="160"/>
      <c r="AE358" s="160"/>
      <c r="AF358" s="160"/>
      <c r="AG358" s="160"/>
      <c r="AH358" s="160"/>
      <c r="AI358" s="160"/>
      <c r="AJ358" s="160"/>
      <c r="AP358" s="160"/>
      <c r="AV358" s="160"/>
    </row>
    <row r="359">
      <c r="A359" s="158"/>
      <c r="B359" s="160"/>
      <c r="C359" s="103"/>
      <c r="E359" s="103"/>
      <c r="F359" s="103"/>
      <c r="G359" s="158"/>
      <c r="H359" s="158"/>
      <c r="I359" s="158"/>
      <c r="J359" s="158"/>
      <c r="K359" s="160"/>
      <c r="L359" s="103"/>
      <c r="N359" s="103"/>
      <c r="O359" s="103"/>
      <c r="Y359" s="160"/>
      <c r="Z359" s="160"/>
      <c r="AA359" s="160"/>
      <c r="AB359" s="160"/>
      <c r="AC359" s="160"/>
      <c r="AD359" s="160"/>
      <c r="AE359" s="160"/>
      <c r="AF359" s="160"/>
      <c r="AG359" s="160"/>
      <c r="AH359" s="160"/>
      <c r="AI359" s="160"/>
      <c r="AJ359" s="160"/>
      <c r="AP359" s="160"/>
      <c r="AV359" s="160"/>
    </row>
    <row r="360">
      <c r="A360" s="158"/>
      <c r="B360" s="160"/>
      <c r="C360" s="103"/>
      <c r="E360" s="103"/>
      <c r="F360" s="103"/>
      <c r="G360" s="158"/>
      <c r="H360" s="158"/>
      <c r="I360" s="158"/>
      <c r="J360" s="158"/>
      <c r="K360" s="160"/>
      <c r="L360" s="103"/>
      <c r="N360" s="103"/>
      <c r="O360" s="103"/>
      <c r="Y360" s="160"/>
      <c r="Z360" s="160"/>
      <c r="AA360" s="160"/>
      <c r="AB360" s="160"/>
      <c r="AC360" s="160"/>
      <c r="AD360" s="160"/>
      <c r="AE360" s="160"/>
      <c r="AF360" s="160"/>
      <c r="AG360" s="160"/>
      <c r="AH360" s="160"/>
      <c r="AI360" s="160"/>
      <c r="AJ360" s="160"/>
      <c r="AP360" s="160"/>
      <c r="AV360" s="160"/>
    </row>
    <row r="361">
      <c r="A361" s="158"/>
      <c r="B361" s="160"/>
      <c r="C361" s="103"/>
      <c r="E361" s="103"/>
      <c r="F361" s="103"/>
      <c r="G361" s="158"/>
      <c r="H361" s="158"/>
      <c r="I361" s="158"/>
      <c r="J361" s="158"/>
      <c r="K361" s="160"/>
      <c r="L361" s="103"/>
      <c r="N361" s="103"/>
      <c r="O361" s="103"/>
      <c r="Y361" s="160"/>
      <c r="Z361" s="160"/>
      <c r="AA361" s="160"/>
      <c r="AB361" s="160"/>
      <c r="AC361" s="160"/>
      <c r="AD361" s="160"/>
      <c r="AE361" s="160"/>
      <c r="AF361" s="160"/>
      <c r="AG361" s="160"/>
      <c r="AH361" s="160"/>
      <c r="AI361" s="160"/>
      <c r="AJ361" s="160"/>
      <c r="AP361" s="160"/>
      <c r="AV361" s="160"/>
    </row>
    <row r="362">
      <c r="A362" s="158"/>
      <c r="B362" s="160"/>
      <c r="C362" s="103"/>
      <c r="E362" s="103"/>
      <c r="F362" s="103"/>
      <c r="G362" s="158"/>
      <c r="H362" s="158"/>
      <c r="I362" s="158"/>
      <c r="J362" s="158"/>
      <c r="K362" s="160"/>
      <c r="L362" s="103"/>
      <c r="N362" s="103"/>
      <c r="O362" s="103"/>
      <c r="Y362" s="160"/>
      <c r="Z362" s="160"/>
      <c r="AA362" s="160"/>
      <c r="AB362" s="160"/>
      <c r="AC362" s="160"/>
      <c r="AD362" s="160"/>
      <c r="AE362" s="160"/>
      <c r="AF362" s="160"/>
      <c r="AG362" s="160"/>
      <c r="AH362" s="160"/>
      <c r="AI362" s="160"/>
      <c r="AJ362" s="160"/>
      <c r="AP362" s="160"/>
      <c r="AV362" s="160"/>
    </row>
    <row r="363">
      <c r="A363" s="158"/>
      <c r="B363" s="160"/>
      <c r="C363" s="103"/>
      <c r="E363" s="103"/>
      <c r="F363" s="103"/>
      <c r="G363" s="158"/>
      <c r="H363" s="158"/>
      <c r="I363" s="158"/>
      <c r="J363" s="158"/>
      <c r="K363" s="160"/>
      <c r="L363" s="103"/>
      <c r="N363" s="103"/>
      <c r="O363" s="103"/>
      <c r="Y363" s="160"/>
      <c r="Z363" s="160"/>
      <c r="AA363" s="160"/>
      <c r="AB363" s="160"/>
      <c r="AC363" s="160"/>
      <c r="AD363" s="160"/>
      <c r="AE363" s="160"/>
      <c r="AF363" s="160"/>
      <c r="AG363" s="160"/>
      <c r="AH363" s="160"/>
      <c r="AI363" s="160"/>
      <c r="AJ363" s="160"/>
      <c r="AP363" s="160"/>
      <c r="AV363" s="160"/>
    </row>
    <row r="364">
      <c r="A364" s="158"/>
      <c r="B364" s="160"/>
      <c r="C364" s="103"/>
      <c r="E364" s="103"/>
      <c r="F364" s="103"/>
      <c r="G364" s="158"/>
      <c r="H364" s="158"/>
      <c r="I364" s="158"/>
      <c r="J364" s="158"/>
      <c r="K364" s="160"/>
      <c r="L364" s="103"/>
      <c r="N364" s="103"/>
      <c r="O364" s="103"/>
      <c r="Y364" s="160"/>
      <c r="Z364" s="160"/>
      <c r="AA364" s="160"/>
      <c r="AB364" s="160"/>
      <c r="AC364" s="160"/>
      <c r="AD364" s="160"/>
      <c r="AE364" s="160"/>
      <c r="AF364" s="160"/>
      <c r="AG364" s="160"/>
      <c r="AH364" s="160"/>
      <c r="AI364" s="160"/>
      <c r="AJ364" s="160"/>
      <c r="AP364" s="160"/>
      <c r="AV364" s="160"/>
    </row>
    <row r="365">
      <c r="A365" s="158"/>
      <c r="B365" s="160"/>
      <c r="C365" s="103"/>
      <c r="E365" s="103"/>
      <c r="F365" s="103"/>
      <c r="G365" s="158"/>
      <c r="H365" s="158"/>
      <c r="I365" s="158"/>
      <c r="J365" s="158"/>
      <c r="K365" s="160"/>
      <c r="L365" s="103"/>
      <c r="N365" s="103"/>
      <c r="O365" s="103"/>
      <c r="Y365" s="160"/>
      <c r="Z365" s="160"/>
      <c r="AA365" s="160"/>
      <c r="AB365" s="160"/>
      <c r="AC365" s="160"/>
      <c r="AD365" s="160"/>
      <c r="AE365" s="160"/>
      <c r="AF365" s="160"/>
      <c r="AG365" s="160"/>
      <c r="AH365" s="160"/>
      <c r="AI365" s="160"/>
      <c r="AJ365" s="160"/>
      <c r="AP365" s="160"/>
      <c r="AV365" s="160"/>
    </row>
    <row r="366">
      <c r="A366" s="158"/>
      <c r="B366" s="160"/>
      <c r="C366" s="103"/>
      <c r="E366" s="103"/>
      <c r="F366" s="103"/>
      <c r="G366" s="158"/>
      <c r="H366" s="158"/>
      <c r="I366" s="158"/>
      <c r="J366" s="158"/>
      <c r="K366" s="160"/>
      <c r="L366" s="103"/>
      <c r="N366" s="103"/>
      <c r="O366" s="103"/>
      <c r="Y366" s="160"/>
      <c r="Z366" s="160"/>
      <c r="AA366" s="160"/>
      <c r="AB366" s="160"/>
      <c r="AC366" s="160"/>
      <c r="AD366" s="160"/>
      <c r="AE366" s="160"/>
      <c r="AF366" s="160"/>
      <c r="AG366" s="160"/>
      <c r="AH366" s="160"/>
      <c r="AI366" s="160"/>
      <c r="AJ366" s="160"/>
      <c r="AP366" s="160"/>
      <c r="AV366" s="160"/>
    </row>
    <row r="367">
      <c r="A367" s="158"/>
      <c r="B367" s="160"/>
      <c r="C367" s="103"/>
      <c r="E367" s="103"/>
      <c r="F367" s="103"/>
      <c r="G367" s="158"/>
      <c r="H367" s="158"/>
      <c r="I367" s="158"/>
      <c r="J367" s="158"/>
      <c r="K367" s="160"/>
      <c r="L367" s="103"/>
      <c r="N367" s="103"/>
      <c r="O367" s="103"/>
      <c r="Y367" s="160"/>
      <c r="Z367" s="160"/>
      <c r="AA367" s="160"/>
      <c r="AB367" s="160"/>
      <c r="AC367" s="160"/>
      <c r="AD367" s="160"/>
      <c r="AE367" s="160"/>
      <c r="AF367" s="160"/>
      <c r="AG367" s="160"/>
      <c r="AH367" s="160"/>
      <c r="AI367" s="160"/>
      <c r="AJ367" s="160"/>
      <c r="AP367" s="160"/>
      <c r="AV367" s="160"/>
    </row>
    <row r="368">
      <c r="A368" s="158"/>
      <c r="B368" s="160"/>
      <c r="C368" s="103"/>
      <c r="E368" s="103"/>
      <c r="F368" s="103"/>
      <c r="G368" s="158"/>
      <c r="H368" s="158"/>
      <c r="I368" s="158"/>
      <c r="J368" s="158"/>
      <c r="K368" s="160"/>
      <c r="L368" s="103"/>
      <c r="N368" s="103"/>
      <c r="O368" s="103"/>
      <c r="Y368" s="160"/>
      <c r="Z368" s="160"/>
      <c r="AA368" s="160"/>
      <c r="AB368" s="160"/>
      <c r="AC368" s="160"/>
      <c r="AD368" s="160"/>
      <c r="AE368" s="160"/>
      <c r="AF368" s="160"/>
      <c r="AG368" s="160"/>
      <c r="AH368" s="160"/>
      <c r="AI368" s="160"/>
      <c r="AJ368" s="160"/>
      <c r="AP368" s="160"/>
      <c r="AV368" s="160"/>
    </row>
    <row r="369">
      <c r="A369" s="158"/>
      <c r="B369" s="160"/>
      <c r="C369" s="103"/>
      <c r="E369" s="103"/>
      <c r="F369" s="103"/>
      <c r="G369" s="158"/>
      <c r="H369" s="158"/>
      <c r="I369" s="158"/>
      <c r="J369" s="158"/>
      <c r="K369" s="160"/>
      <c r="L369" s="103"/>
      <c r="N369" s="103"/>
      <c r="O369" s="103"/>
      <c r="Y369" s="160"/>
      <c r="Z369" s="160"/>
      <c r="AA369" s="160"/>
      <c r="AB369" s="160"/>
      <c r="AC369" s="160"/>
      <c r="AD369" s="160"/>
      <c r="AE369" s="160"/>
      <c r="AF369" s="160"/>
      <c r="AG369" s="160"/>
      <c r="AH369" s="160"/>
      <c r="AI369" s="160"/>
      <c r="AJ369" s="160"/>
      <c r="AP369" s="160"/>
      <c r="AV369" s="160"/>
    </row>
    <row r="370">
      <c r="A370" s="158"/>
      <c r="B370" s="160"/>
      <c r="C370" s="103"/>
      <c r="E370" s="103"/>
      <c r="F370" s="103"/>
      <c r="G370" s="158"/>
      <c r="H370" s="158"/>
      <c r="I370" s="158"/>
      <c r="J370" s="158"/>
      <c r="K370" s="160"/>
      <c r="L370" s="103"/>
      <c r="N370" s="103"/>
      <c r="O370" s="103"/>
      <c r="Y370" s="160"/>
      <c r="Z370" s="160"/>
      <c r="AA370" s="160"/>
      <c r="AB370" s="160"/>
      <c r="AC370" s="160"/>
      <c r="AD370" s="160"/>
      <c r="AE370" s="160"/>
      <c r="AF370" s="160"/>
      <c r="AG370" s="160"/>
      <c r="AH370" s="160"/>
      <c r="AI370" s="160"/>
      <c r="AJ370" s="160"/>
      <c r="AP370" s="160"/>
      <c r="AV370" s="160"/>
    </row>
    <row r="371">
      <c r="A371" s="158"/>
      <c r="B371" s="160"/>
      <c r="C371" s="103"/>
      <c r="E371" s="103"/>
      <c r="F371" s="103"/>
      <c r="G371" s="158"/>
      <c r="H371" s="158"/>
      <c r="I371" s="158"/>
      <c r="J371" s="158"/>
      <c r="K371" s="160"/>
      <c r="L371" s="103"/>
      <c r="N371" s="103"/>
      <c r="O371" s="103"/>
      <c r="Y371" s="160"/>
      <c r="Z371" s="160"/>
      <c r="AA371" s="160"/>
      <c r="AB371" s="160"/>
      <c r="AC371" s="160"/>
      <c r="AD371" s="160"/>
      <c r="AE371" s="160"/>
      <c r="AF371" s="160"/>
      <c r="AG371" s="160"/>
      <c r="AH371" s="160"/>
      <c r="AI371" s="160"/>
      <c r="AJ371" s="160"/>
      <c r="AP371" s="160"/>
      <c r="AV371" s="160"/>
    </row>
    <row r="372">
      <c r="A372" s="158"/>
      <c r="B372" s="160"/>
      <c r="C372" s="103"/>
      <c r="E372" s="103"/>
      <c r="F372" s="103"/>
      <c r="G372" s="158"/>
      <c r="H372" s="158"/>
      <c r="I372" s="158"/>
      <c r="J372" s="158"/>
      <c r="K372" s="160"/>
      <c r="L372" s="103"/>
      <c r="N372" s="103"/>
      <c r="O372" s="103"/>
      <c r="Y372" s="160"/>
      <c r="Z372" s="160"/>
      <c r="AA372" s="160"/>
      <c r="AB372" s="160"/>
      <c r="AC372" s="160"/>
      <c r="AD372" s="160"/>
      <c r="AE372" s="160"/>
      <c r="AF372" s="160"/>
      <c r="AG372" s="160"/>
      <c r="AH372" s="160"/>
      <c r="AI372" s="160"/>
      <c r="AJ372" s="160"/>
      <c r="AP372" s="160"/>
      <c r="AV372" s="160"/>
    </row>
    <row r="373">
      <c r="A373" s="158"/>
      <c r="B373" s="160"/>
      <c r="C373" s="103"/>
      <c r="E373" s="103"/>
      <c r="F373" s="103"/>
      <c r="G373" s="158"/>
      <c r="H373" s="158"/>
      <c r="I373" s="158"/>
      <c r="J373" s="158"/>
      <c r="K373" s="160"/>
      <c r="L373" s="103"/>
      <c r="N373" s="103"/>
      <c r="O373" s="103"/>
      <c r="Y373" s="160"/>
      <c r="Z373" s="160"/>
      <c r="AA373" s="160"/>
      <c r="AB373" s="160"/>
      <c r="AC373" s="160"/>
      <c r="AD373" s="160"/>
      <c r="AE373" s="160"/>
      <c r="AF373" s="160"/>
      <c r="AG373" s="160"/>
      <c r="AH373" s="160"/>
      <c r="AI373" s="160"/>
      <c r="AJ373" s="160"/>
      <c r="AP373" s="160"/>
      <c r="AV373" s="160"/>
    </row>
    <row r="374">
      <c r="A374" s="158"/>
      <c r="B374" s="160"/>
      <c r="C374" s="103"/>
      <c r="E374" s="103"/>
      <c r="F374" s="103"/>
      <c r="G374" s="158"/>
      <c r="H374" s="158"/>
      <c r="I374" s="158"/>
      <c r="J374" s="158"/>
      <c r="K374" s="160"/>
      <c r="L374" s="103"/>
      <c r="N374" s="103"/>
      <c r="O374" s="103"/>
      <c r="Y374" s="160"/>
      <c r="Z374" s="160"/>
      <c r="AA374" s="160"/>
      <c r="AB374" s="160"/>
      <c r="AC374" s="160"/>
      <c r="AD374" s="160"/>
      <c r="AE374" s="160"/>
      <c r="AF374" s="160"/>
      <c r="AG374" s="160"/>
      <c r="AH374" s="160"/>
      <c r="AI374" s="160"/>
      <c r="AJ374" s="160"/>
      <c r="AP374" s="160"/>
      <c r="AV374" s="160"/>
    </row>
    <row r="375">
      <c r="A375" s="158"/>
      <c r="B375" s="160"/>
      <c r="C375" s="103"/>
      <c r="E375" s="103"/>
      <c r="F375" s="103"/>
      <c r="G375" s="158"/>
      <c r="H375" s="158"/>
      <c r="I375" s="158"/>
      <c r="J375" s="158"/>
      <c r="K375" s="160"/>
      <c r="L375" s="103"/>
      <c r="N375" s="103"/>
      <c r="O375" s="103"/>
      <c r="Y375" s="160"/>
      <c r="Z375" s="160"/>
      <c r="AA375" s="160"/>
      <c r="AB375" s="160"/>
      <c r="AC375" s="160"/>
      <c r="AD375" s="160"/>
      <c r="AE375" s="160"/>
      <c r="AF375" s="160"/>
      <c r="AG375" s="160"/>
      <c r="AH375" s="160"/>
      <c r="AI375" s="160"/>
      <c r="AJ375" s="160"/>
      <c r="AP375" s="160"/>
      <c r="AV375" s="160"/>
    </row>
    <row r="376">
      <c r="A376" s="158"/>
      <c r="B376" s="160"/>
      <c r="C376" s="103"/>
      <c r="E376" s="103"/>
      <c r="F376" s="103"/>
      <c r="G376" s="158"/>
      <c r="H376" s="158"/>
      <c r="I376" s="158"/>
      <c r="J376" s="158"/>
      <c r="K376" s="160"/>
      <c r="L376" s="103"/>
      <c r="N376" s="103"/>
      <c r="O376" s="103"/>
      <c r="Y376" s="160"/>
      <c r="Z376" s="160"/>
      <c r="AA376" s="160"/>
      <c r="AB376" s="160"/>
      <c r="AC376" s="160"/>
      <c r="AD376" s="160"/>
      <c r="AE376" s="160"/>
      <c r="AF376" s="160"/>
      <c r="AG376" s="160"/>
      <c r="AH376" s="160"/>
      <c r="AI376" s="160"/>
      <c r="AJ376" s="160"/>
      <c r="AP376" s="160"/>
      <c r="AV376" s="160"/>
    </row>
    <row r="377">
      <c r="A377" s="158"/>
      <c r="B377" s="160"/>
      <c r="C377" s="103"/>
      <c r="E377" s="103"/>
      <c r="F377" s="103"/>
      <c r="G377" s="158"/>
      <c r="H377" s="158"/>
      <c r="I377" s="158"/>
      <c r="J377" s="158"/>
      <c r="K377" s="160"/>
      <c r="L377" s="103"/>
      <c r="N377" s="103"/>
      <c r="O377" s="103"/>
      <c r="Y377" s="160"/>
      <c r="Z377" s="160"/>
      <c r="AA377" s="160"/>
      <c r="AB377" s="160"/>
      <c r="AC377" s="160"/>
      <c r="AD377" s="160"/>
      <c r="AE377" s="160"/>
      <c r="AF377" s="160"/>
      <c r="AG377" s="160"/>
      <c r="AH377" s="160"/>
      <c r="AI377" s="160"/>
      <c r="AJ377" s="160"/>
      <c r="AP377" s="160"/>
      <c r="AV377" s="160"/>
    </row>
    <row r="378">
      <c r="A378" s="158"/>
      <c r="B378" s="160"/>
      <c r="C378" s="103"/>
      <c r="E378" s="103"/>
      <c r="F378" s="103"/>
      <c r="G378" s="158"/>
      <c r="H378" s="158"/>
      <c r="I378" s="158"/>
      <c r="J378" s="158"/>
      <c r="K378" s="160"/>
      <c r="L378" s="103"/>
      <c r="N378" s="103"/>
      <c r="O378" s="103"/>
      <c r="Y378" s="160"/>
      <c r="Z378" s="160"/>
      <c r="AA378" s="160"/>
      <c r="AB378" s="160"/>
      <c r="AC378" s="160"/>
      <c r="AD378" s="160"/>
      <c r="AE378" s="160"/>
      <c r="AF378" s="160"/>
      <c r="AG378" s="160"/>
      <c r="AH378" s="160"/>
      <c r="AI378" s="160"/>
      <c r="AJ378" s="160"/>
      <c r="AP378" s="160"/>
      <c r="AV378" s="160"/>
    </row>
    <row r="379">
      <c r="A379" s="158"/>
      <c r="B379" s="160"/>
      <c r="C379" s="103"/>
      <c r="E379" s="103"/>
      <c r="F379" s="103"/>
      <c r="G379" s="158"/>
      <c r="H379" s="158"/>
      <c r="I379" s="158"/>
      <c r="J379" s="158"/>
      <c r="K379" s="160"/>
      <c r="L379" s="103"/>
      <c r="N379" s="103"/>
      <c r="O379" s="103"/>
      <c r="Y379" s="160"/>
      <c r="Z379" s="160"/>
      <c r="AA379" s="160"/>
      <c r="AB379" s="160"/>
      <c r="AC379" s="160"/>
      <c r="AD379" s="160"/>
      <c r="AE379" s="160"/>
      <c r="AF379" s="160"/>
      <c r="AG379" s="160"/>
      <c r="AH379" s="160"/>
      <c r="AI379" s="160"/>
      <c r="AJ379" s="160"/>
      <c r="AP379" s="160"/>
      <c r="AV379" s="160"/>
    </row>
    <row r="380">
      <c r="A380" s="158"/>
      <c r="B380" s="160"/>
      <c r="C380" s="103"/>
      <c r="E380" s="103"/>
      <c r="F380" s="103"/>
      <c r="G380" s="158"/>
      <c r="H380" s="158"/>
      <c r="I380" s="158"/>
      <c r="J380" s="158"/>
      <c r="K380" s="160"/>
      <c r="L380" s="103"/>
      <c r="N380" s="103"/>
      <c r="O380" s="103"/>
      <c r="Y380" s="160"/>
      <c r="Z380" s="160"/>
      <c r="AA380" s="160"/>
      <c r="AB380" s="160"/>
      <c r="AC380" s="160"/>
      <c r="AD380" s="160"/>
      <c r="AE380" s="160"/>
      <c r="AF380" s="160"/>
      <c r="AG380" s="160"/>
      <c r="AH380" s="160"/>
      <c r="AI380" s="160"/>
      <c r="AJ380" s="160"/>
      <c r="AP380" s="160"/>
      <c r="AV380" s="160"/>
    </row>
    <row r="381">
      <c r="A381" s="158"/>
      <c r="B381" s="160"/>
      <c r="C381" s="103"/>
      <c r="E381" s="103"/>
      <c r="F381" s="103"/>
      <c r="G381" s="158"/>
      <c r="H381" s="158"/>
      <c r="I381" s="158"/>
      <c r="J381" s="158"/>
      <c r="K381" s="160"/>
      <c r="L381" s="103"/>
      <c r="N381" s="103"/>
      <c r="O381" s="103"/>
      <c r="Y381" s="160"/>
      <c r="Z381" s="160"/>
      <c r="AA381" s="160"/>
      <c r="AB381" s="160"/>
      <c r="AC381" s="160"/>
      <c r="AD381" s="160"/>
      <c r="AE381" s="160"/>
      <c r="AF381" s="160"/>
      <c r="AG381" s="160"/>
      <c r="AH381" s="160"/>
      <c r="AI381" s="160"/>
      <c r="AJ381" s="160"/>
      <c r="AP381" s="160"/>
      <c r="AV381" s="160"/>
    </row>
    <row r="382">
      <c r="A382" s="158"/>
      <c r="B382" s="160"/>
      <c r="C382" s="103"/>
      <c r="E382" s="103"/>
      <c r="F382" s="103"/>
      <c r="G382" s="158"/>
      <c r="H382" s="158"/>
      <c r="I382" s="158"/>
      <c r="J382" s="158"/>
      <c r="K382" s="160"/>
      <c r="L382" s="103"/>
      <c r="N382" s="103"/>
      <c r="O382" s="103"/>
      <c r="Y382" s="160"/>
      <c r="Z382" s="160"/>
      <c r="AA382" s="160"/>
      <c r="AB382" s="160"/>
      <c r="AC382" s="160"/>
      <c r="AD382" s="160"/>
      <c r="AE382" s="160"/>
      <c r="AF382" s="160"/>
      <c r="AG382" s="160"/>
      <c r="AH382" s="160"/>
      <c r="AI382" s="160"/>
      <c r="AJ382" s="160"/>
      <c r="AP382" s="160"/>
      <c r="AV382" s="160"/>
    </row>
    <row r="383">
      <c r="A383" s="158"/>
      <c r="B383" s="160"/>
      <c r="C383" s="103"/>
      <c r="E383" s="103"/>
      <c r="F383" s="103"/>
      <c r="G383" s="158"/>
      <c r="H383" s="158"/>
      <c r="I383" s="158"/>
      <c r="J383" s="158"/>
      <c r="K383" s="160"/>
      <c r="L383" s="103"/>
      <c r="N383" s="103"/>
      <c r="O383" s="103"/>
      <c r="Y383" s="160"/>
      <c r="Z383" s="160"/>
      <c r="AA383" s="160"/>
      <c r="AB383" s="160"/>
      <c r="AC383" s="160"/>
      <c r="AD383" s="160"/>
      <c r="AE383" s="160"/>
      <c r="AF383" s="160"/>
      <c r="AG383" s="160"/>
      <c r="AH383" s="160"/>
      <c r="AI383" s="160"/>
      <c r="AJ383" s="160"/>
      <c r="AP383" s="160"/>
      <c r="AV383" s="160"/>
    </row>
    <row r="384">
      <c r="A384" s="158"/>
      <c r="B384" s="160"/>
      <c r="C384" s="103"/>
      <c r="E384" s="103"/>
      <c r="F384" s="103"/>
      <c r="G384" s="158"/>
      <c r="H384" s="158"/>
      <c r="I384" s="158"/>
      <c r="J384" s="158"/>
      <c r="K384" s="160"/>
      <c r="L384" s="103"/>
      <c r="N384" s="103"/>
      <c r="O384" s="103"/>
      <c r="Y384" s="160"/>
      <c r="Z384" s="160"/>
      <c r="AA384" s="160"/>
      <c r="AB384" s="160"/>
      <c r="AC384" s="160"/>
      <c r="AD384" s="160"/>
      <c r="AE384" s="160"/>
      <c r="AF384" s="160"/>
      <c r="AG384" s="160"/>
      <c r="AH384" s="160"/>
      <c r="AI384" s="160"/>
      <c r="AJ384" s="160"/>
      <c r="AP384" s="160"/>
      <c r="AV384" s="160"/>
    </row>
    <row r="385">
      <c r="A385" s="158"/>
      <c r="B385" s="160"/>
      <c r="C385" s="103"/>
      <c r="E385" s="103"/>
      <c r="F385" s="103"/>
      <c r="G385" s="158"/>
      <c r="H385" s="158"/>
      <c r="I385" s="158"/>
      <c r="J385" s="158"/>
      <c r="K385" s="160"/>
      <c r="L385" s="103"/>
      <c r="N385" s="103"/>
      <c r="O385" s="103"/>
      <c r="Y385" s="160"/>
      <c r="Z385" s="160"/>
      <c r="AA385" s="160"/>
      <c r="AB385" s="160"/>
      <c r="AC385" s="160"/>
      <c r="AD385" s="160"/>
      <c r="AE385" s="160"/>
      <c r="AF385" s="160"/>
      <c r="AG385" s="160"/>
      <c r="AH385" s="160"/>
      <c r="AI385" s="160"/>
      <c r="AJ385" s="160"/>
      <c r="AP385" s="160"/>
      <c r="AV385" s="160"/>
    </row>
    <row r="386">
      <c r="A386" s="158"/>
      <c r="B386" s="160"/>
      <c r="C386" s="103"/>
      <c r="E386" s="103"/>
      <c r="F386" s="103"/>
      <c r="G386" s="158"/>
      <c r="H386" s="158"/>
      <c r="I386" s="158"/>
      <c r="J386" s="158"/>
      <c r="K386" s="160"/>
      <c r="L386" s="103"/>
      <c r="N386" s="103"/>
      <c r="O386" s="103"/>
      <c r="Y386" s="160"/>
      <c r="Z386" s="160"/>
      <c r="AA386" s="160"/>
      <c r="AB386" s="160"/>
      <c r="AC386" s="160"/>
      <c r="AD386" s="160"/>
      <c r="AE386" s="160"/>
      <c r="AF386" s="160"/>
      <c r="AG386" s="160"/>
      <c r="AH386" s="160"/>
      <c r="AI386" s="160"/>
      <c r="AJ386" s="160"/>
      <c r="AP386" s="160"/>
      <c r="AV386" s="160"/>
    </row>
    <row r="387">
      <c r="A387" s="158"/>
      <c r="B387" s="160"/>
      <c r="C387" s="103"/>
      <c r="E387" s="103"/>
      <c r="F387" s="103"/>
      <c r="G387" s="158"/>
      <c r="H387" s="158"/>
      <c r="I387" s="158"/>
      <c r="J387" s="158"/>
      <c r="K387" s="160"/>
      <c r="L387" s="103"/>
      <c r="N387" s="103"/>
      <c r="O387" s="103"/>
      <c r="Y387" s="160"/>
      <c r="Z387" s="160"/>
      <c r="AA387" s="160"/>
      <c r="AB387" s="160"/>
      <c r="AC387" s="160"/>
      <c r="AD387" s="160"/>
      <c r="AE387" s="160"/>
      <c r="AF387" s="160"/>
      <c r="AG387" s="160"/>
      <c r="AH387" s="160"/>
      <c r="AI387" s="160"/>
      <c r="AJ387" s="160"/>
      <c r="AP387" s="160"/>
      <c r="AV387" s="160"/>
    </row>
    <row r="388">
      <c r="A388" s="158"/>
      <c r="B388" s="160"/>
      <c r="C388" s="103"/>
      <c r="E388" s="103"/>
      <c r="F388" s="103"/>
      <c r="G388" s="158"/>
      <c r="H388" s="158"/>
      <c r="I388" s="158"/>
      <c r="J388" s="158"/>
      <c r="K388" s="160"/>
      <c r="L388" s="103"/>
      <c r="N388" s="103"/>
      <c r="O388" s="103"/>
      <c r="Y388" s="160"/>
      <c r="Z388" s="160"/>
      <c r="AA388" s="160"/>
      <c r="AB388" s="160"/>
      <c r="AC388" s="160"/>
      <c r="AD388" s="160"/>
      <c r="AE388" s="160"/>
      <c r="AF388" s="160"/>
      <c r="AG388" s="160"/>
      <c r="AH388" s="160"/>
      <c r="AI388" s="160"/>
      <c r="AJ388" s="160"/>
      <c r="AP388" s="160"/>
      <c r="AV388" s="160"/>
    </row>
    <row r="389">
      <c r="A389" s="158"/>
      <c r="B389" s="160"/>
      <c r="C389" s="103"/>
      <c r="E389" s="103"/>
      <c r="F389" s="103"/>
      <c r="G389" s="158"/>
      <c r="H389" s="158"/>
      <c r="I389" s="158"/>
      <c r="J389" s="158"/>
      <c r="K389" s="160"/>
      <c r="L389" s="103"/>
      <c r="N389" s="103"/>
      <c r="O389" s="103"/>
      <c r="Y389" s="160"/>
      <c r="Z389" s="160"/>
      <c r="AA389" s="160"/>
      <c r="AB389" s="160"/>
      <c r="AC389" s="160"/>
      <c r="AD389" s="160"/>
      <c r="AE389" s="160"/>
      <c r="AF389" s="160"/>
      <c r="AG389" s="160"/>
      <c r="AH389" s="160"/>
      <c r="AI389" s="160"/>
      <c r="AJ389" s="160"/>
      <c r="AP389" s="160"/>
      <c r="AV389" s="160"/>
    </row>
    <row r="390">
      <c r="A390" s="158"/>
      <c r="B390" s="160"/>
      <c r="C390" s="103"/>
      <c r="E390" s="103"/>
      <c r="F390" s="103"/>
      <c r="G390" s="158"/>
      <c r="H390" s="158"/>
      <c r="I390" s="158"/>
      <c r="J390" s="158"/>
      <c r="K390" s="160"/>
      <c r="L390" s="103"/>
      <c r="N390" s="103"/>
      <c r="O390" s="103"/>
      <c r="Y390" s="160"/>
      <c r="Z390" s="160"/>
      <c r="AA390" s="160"/>
      <c r="AB390" s="160"/>
      <c r="AC390" s="160"/>
      <c r="AD390" s="160"/>
      <c r="AE390" s="160"/>
      <c r="AF390" s="160"/>
      <c r="AG390" s="160"/>
      <c r="AH390" s="160"/>
      <c r="AI390" s="160"/>
      <c r="AJ390" s="160"/>
      <c r="AP390" s="160"/>
      <c r="AV390" s="160"/>
    </row>
    <row r="391">
      <c r="A391" s="158"/>
      <c r="B391" s="160"/>
      <c r="C391" s="103"/>
      <c r="E391" s="103"/>
      <c r="F391" s="103"/>
      <c r="G391" s="158"/>
      <c r="H391" s="158"/>
      <c r="I391" s="158"/>
      <c r="J391" s="158"/>
      <c r="K391" s="160"/>
      <c r="L391" s="103"/>
      <c r="N391" s="103"/>
      <c r="O391" s="103"/>
      <c r="Y391" s="160"/>
      <c r="Z391" s="160"/>
      <c r="AA391" s="160"/>
      <c r="AB391" s="160"/>
      <c r="AC391" s="160"/>
      <c r="AD391" s="160"/>
      <c r="AE391" s="160"/>
      <c r="AF391" s="160"/>
      <c r="AG391" s="160"/>
      <c r="AH391" s="160"/>
      <c r="AI391" s="160"/>
      <c r="AJ391" s="160"/>
      <c r="AP391" s="160"/>
      <c r="AV391" s="160"/>
    </row>
    <row r="392">
      <c r="A392" s="158"/>
      <c r="B392" s="160"/>
      <c r="C392" s="103"/>
      <c r="E392" s="103"/>
      <c r="F392" s="103"/>
      <c r="G392" s="158"/>
      <c r="H392" s="158"/>
      <c r="I392" s="158"/>
      <c r="J392" s="158"/>
      <c r="K392" s="160"/>
      <c r="L392" s="103"/>
      <c r="N392" s="103"/>
      <c r="O392" s="103"/>
      <c r="Y392" s="160"/>
      <c r="Z392" s="160"/>
      <c r="AA392" s="160"/>
      <c r="AB392" s="160"/>
      <c r="AC392" s="160"/>
      <c r="AD392" s="160"/>
      <c r="AE392" s="160"/>
      <c r="AF392" s="160"/>
      <c r="AG392" s="160"/>
      <c r="AH392" s="160"/>
      <c r="AI392" s="160"/>
      <c r="AJ392" s="160"/>
      <c r="AP392" s="160"/>
      <c r="AV392" s="160"/>
    </row>
    <row r="393">
      <c r="A393" s="158"/>
      <c r="B393" s="160"/>
      <c r="C393" s="103"/>
      <c r="E393" s="103"/>
      <c r="F393" s="103"/>
      <c r="G393" s="158"/>
      <c r="H393" s="158"/>
      <c r="I393" s="158"/>
      <c r="J393" s="158"/>
      <c r="K393" s="160"/>
      <c r="L393" s="103"/>
      <c r="N393" s="103"/>
      <c r="O393" s="103"/>
      <c r="Y393" s="160"/>
      <c r="Z393" s="160"/>
      <c r="AA393" s="160"/>
      <c r="AB393" s="160"/>
      <c r="AC393" s="160"/>
      <c r="AD393" s="160"/>
      <c r="AE393" s="160"/>
      <c r="AF393" s="160"/>
      <c r="AG393" s="160"/>
      <c r="AH393" s="160"/>
      <c r="AI393" s="160"/>
      <c r="AJ393" s="160"/>
      <c r="AP393" s="160"/>
      <c r="AV393" s="160"/>
    </row>
    <row r="394">
      <c r="A394" s="158"/>
      <c r="B394" s="160"/>
      <c r="C394" s="103"/>
      <c r="E394" s="103"/>
      <c r="F394" s="103"/>
      <c r="G394" s="158"/>
      <c r="H394" s="158"/>
      <c r="I394" s="158"/>
      <c r="J394" s="158"/>
      <c r="K394" s="160"/>
      <c r="L394" s="103"/>
      <c r="N394" s="103"/>
      <c r="O394" s="103"/>
      <c r="Y394" s="160"/>
      <c r="Z394" s="160"/>
      <c r="AA394" s="160"/>
      <c r="AB394" s="160"/>
      <c r="AC394" s="160"/>
      <c r="AD394" s="160"/>
      <c r="AE394" s="160"/>
      <c r="AF394" s="160"/>
      <c r="AG394" s="160"/>
      <c r="AH394" s="160"/>
      <c r="AI394" s="160"/>
      <c r="AJ394" s="160"/>
      <c r="AP394" s="160"/>
      <c r="AV394" s="160"/>
    </row>
    <row r="395">
      <c r="A395" s="158"/>
      <c r="B395" s="160"/>
      <c r="C395" s="103"/>
      <c r="E395" s="103"/>
      <c r="F395" s="103"/>
      <c r="G395" s="158"/>
      <c r="H395" s="158"/>
      <c r="I395" s="158"/>
      <c r="J395" s="158"/>
      <c r="K395" s="160"/>
      <c r="L395" s="103"/>
      <c r="N395" s="103"/>
      <c r="O395" s="103"/>
      <c r="Y395" s="160"/>
      <c r="Z395" s="160"/>
      <c r="AA395" s="160"/>
      <c r="AB395" s="160"/>
      <c r="AC395" s="160"/>
      <c r="AD395" s="160"/>
      <c r="AE395" s="160"/>
      <c r="AF395" s="160"/>
      <c r="AG395" s="160"/>
      <c r="AH395" s="160"/>
      <c r="AI395" s="160"/>
      <c r="AJ395" s="160"/>
      <c r="AP395" s="160"/>
      <c r="AV395" s="160"/>
    </row>
    <row r="396">
      <c r="A396" s="158"/>
      <c r="B396" s="160"/>
      <c r="C396" s="103"/>
      <c r="E396" s="103"/>
      <c r="F396" s="103"/>
      <c r="G396" s="158"/>
      <c r="H396" s="158"/>
      <c r="I396" s="158"/>
      <c r="J396" s="158"/>
      <c r="K396" s="160"/>
      <c r="L396" s="103"/>
      <c r="N396" s="103"/>
      <c r="O396" s="103"/>
      <c r="Y396" s="160"/>
      <c r="Z396" s="160"/>
      <c r="AA396" s="160"/>
      <c r="AB396" s="160"/>
      <c r="AC396" s="160"/>
      <c r="AD396" s="160"/>
      <c r="AE396" s="160"/>
      <c r="AF396" s="160"/>
      <c r="AG396" s="160"/>
      <c r="AH396" s="160"/>
      <c r="AI396" s="160"/>
      <c r="AJ396" s="160"/>
      <c r="AP396" s="160"/>
      <c r="AV396" s="160"/>
    </row>
    <row r="397">
      <c r="A397" s="158"/>
      <c r="B397" s="160"/>
      <c r="C397" s="103"/>
      <c r="E397" s="103"/>
      <c r="F397" s="103"/>
      <c r="G397" s="158"/>
      <c r="H397" s="158"/>
      <c r="I397" s="158"/>
      <c r="J397" s="158"/>
      <c r="K397" s="160"/>
      <c r="L397" s="103"/>
      <c r="N397" s="103"/>
      <c r="O397" s="103"/>
      <c r="Y397" s="160"/>
      <c r="Z397" s="160"/>
      <c r="AA397" s="160"/>
      <c r="AB397" s="160"/>
      <c r="AC397" s="160"/>
      <c r="AD397" s="160"/>
      <c r="AE397" s="160"/>
      <c r="AF397" s="160"/>
      <c r="AG397" s="160"/>
      <c r="AH397" s="160"/>
      <c r="AI397" s="160"/>
      <c r="AJ397" s="160"/>
      <c r="AP397" s="160"/>
      <c r="AV397" s="160"/>
    </row>
    <row r="398">
      <c r="A398" s="158"/>
      <c r="B398" s="160"/>
      <c r="C398" s="103"/>
      <c r="E398" s="103"/>
      <c r="F398" s="103"/>
      <c r="G398" s="158"/>
      <c r="H398" s="158"/>
      <c r="I398" s="158"/>
      <c r="J398" s="158"/>
      <c r="K398" s="160"/>
      <c r="L398" s="103"/>
      <c r="N398" s="103"/>
      <c r="O398" s="103"/>
      <c r="Y398" s="160"/>
      <c r="Z398" s="160"/>
      <c r="AA398" s="160"/>
      <c r="AB398" s="160"/>
      <c r="AC398" s="160"/>
      <c r="AD398" s="160"/>
      <c r="AE398" s="160"/>
      <c r="AF398" s="160"/>
      <c r="AG398" s="160"/>
      <c r="AH398" s="160"/>
      <c r="AI398" s="160"/>
      <c r="AJ398" s="160"/>
      <c r="AP398" s="160"/>
      <c r="AV398" s="160"/>
    </row>
    <row r="399">
      <c r="A399" s="158"/>
      <c r="B399" s="160"/>
      <c r="C399" s="103"/>
      <c r="E399" s="103"/>
      <c r="F399" s="103"/>
      <c r="G399" s="158"/>
      <c r="H399" s="158"/>
      <c r="I399" s="158"/>
      <c r="J399" s="158"/>
      <c r="K399" s="160"/>
      <c r="L399" s="103"/>
      <c r="N399" s="103"/>
      <c r="O399" s="103"/>
      <c r="Y399" s="160"/>
      <c r="Z399" s="160"/>
      <c r="AA399" s="160"/>
      <c r="AB399" s="160"/>
      <c r="AC399" s="160"/>
      <c r="AD399" s="160"/>
      <c r="AE399" s="160"/>
      <c r="AF399" s="160"/>
      <c r="AG399" s="160"/>
      <c r="AH399" s="160"/>
      <c r="AI399" s="160"/>
      <c r="AJ399" s="160"/>
      <c r="AP399" s="160"/>
      <c r="AV399" s="160"/>
    </row>
    <row r="400">
      <c r="A400" s="158"/>
      <c r="B400" s="160"/>
      <c r="C400" s="103"/>
      <c r="E400" s="103"/>
      <c r="F400" s="103"/>
      <c r="G400" s="158"/>
      <c r="H400" s="158"/>
      <c r="I400" s="158"/>
      <c r="J400" s="158"/>
      <c r="K400" s="160"/>
      <c r="L400" s="103"/>
      <c r="N400" s="103"/>
      <c r="O400" s="103"/>
      <c r="Y400" s="160"/>
      <c r="Z400" s="160"/>
      <c r="AA400" s="160"/>
      <c r="AB400" s="160"/>
      <c r="AC400" s="160"/>
      <c r="AD400" s="160"/>
      <c r="AE400" s="160"/>
      <c r="AF400" s="160"/>
      <c r="AG400" s="160"/>
      <c r="AH400" s="160"/>
      <c r="AI400" s="160"/>
      <c r="AJ400" s="160"/>
      <c r="AP400" s="160"/>
      <c r="AV400" s="160"/>
    </row>
    <row r="401">
      <c r="A401" s="158"/>
      <c r="B401" s="160"/>
      <c r="C401" s="103"/>
      <c r="E401" s="103"/>
      <c r="F401" s="103"/>
      <c r="G401" s="158"/>
      <c r="H401" s="158"/>
      <c r="I401" s="158"/>
      <c r="J401" s="158"/>
      <c r="K401" s="160"/>
      <c r="L401" s="103"/>
      <c r="N401" s="103"/>
      <c r="O401" s="103"/>
      <c r="Y401" s="160"/>
      <c r="Z401" s="160"/>
      <c r="AA401" s="160"/>
      <c r="AB401" s="160"/>
      <c r="AC401" s="160"/>
      <c r="AD401" s="160"/>
      <c r="AE401" s="160"/>
      <c r="AF401" s="160"/>
      <c r="AG401" s="160"/>
      <c r="AH401" s="160"/>
      <c r="AI401" s="160"/>
      <c r="AJ401" s="160"/>
      <c r="AP401" s="160"/>
      <c r="AV401" s="160"/>
    </row>
    <row r="402">
      <c r="A402" s="158"/>
      <c r="B402" s="160"/>
      <c r="C402" s="103"/>
      <c r="E402" s="103"/>
      <c r="F402" s="103"/>
      <c r="G402" s="158"/>
      <c r="H402" s="158"/>
      <c r="I402" s="158"/>
      <c r="J402" s="158"/>
      <c r="K402" s="160"/>
      <c r="L402" s="103"/>
      <c r="N402" s="103"/>
      <c r="O402" s="103"/>
      <c r="Y402" s="160"/>
      <c r="Z402" s="160"/>
      <c r="AA402" s="160"/>
      <c r="AB402" s="160"/>
      <c r="AC402" s="160"/>
      <c r="AD402" s="160"/>
      <c r="AE402" s="160"/>
      <c r="AF402" s="160"/>
      <c r="AG402" s="160"/>
      <c r="AH402" s="160"/>
      <c r="AI402" s="160"/>
      <c r="AJ402" s="160"/>
      <c r="AP402" s="160"/>
      <c r="AV402" s="160"/>
    </row>
    <row r="403">
      <c r="A403" s="158"/>
      <c r="B403" s="160"/>
      <c r="C403" s="103"/>
      <c r="E403" s="103"/>
      <c r="F403" s="103"/>
      <c r="G403" s="158"/>
      <c r="H403" s="158"/>
      <c r="I403" s="158"/>
      <c r="J403" s="158"/>
      <c r="K403" s="160"/>
      <c r="L403" s="103"/>
      <c r="N403" s="103"/>
      <c r="O403" s="103"/>
      <c r="Y403" s="160"/>
      <c r="Z403" s="160"/>
      <c r="AA403" s="160"/>
      <c r="AB403" s="160"/>
      <c r="AC403" s="160"/>
      <c r="AD403" s="160"/>
      <c r="AE403" s="160"/>
      <c r="AF403" s="160"/>
      <c r="AG403" s="160"/>
      <c r="AH403" s="160"/>
      <c r="AI403" s="160"/>
      <c r="AJ403" s="160"/>
      <c r="AP403" s="160"/>
      <c r="AV403" s="160"/>
    </row>
    <row r="404">
      <c r="A404" s="158"/>
      <c r="B404" s="160"/>
      <c r="C404" s="103"/>
      <c r="E404" s="103"/>
      <c r="F404" s="103"/>
      <c r="G404" s="158"/>
      <c r="H404" s="158"/>
      <c r="I404" s="158"/>
      <c r="J404" s="158"/>
      <c r="K404" s="160"/>
      <c r="L404" s="103"/>
      <c r="N404" s="103"/>
      <c r="O404" s="103"/>
      <c r="Y404" s="160"/>
      <c r="Z404" s="160"/>
      <c r="AA404" s="160"/>
      <c r="AB404" s="160"/>
      <c r="AC404" s="160"/>
      <c r="AD404" s="160"/>
      <c r="AE404" s="160"/>
      <c r="AF404" s="160"/>
      <c r="AG404" s="160"/>
      <c r="AH404" s="160"/>
      <c r="AI404" s="160"/>
      <c r="AJ404" s="160"/>
      <c r="AP404" s="160"/>
      <c r="AV404" s="160"/>
    </row>
    <row r="405">
      <c r="A405" s="158"/>
      <c r="B405" s="160"/>
      <c r="C405" s="103"/>
      <c r="E405" s="103"/>
      <c r="F405" s="103"/>
      <c r="G405" s="158"/>
      <c r="H405" s="158"/>
      <c r="I405" s="158"/>
      <c r="J405" s="158"/>
      <c r="K405" s="160"/>
      <c r="L405" s="103"/>
      <c r="N405" s="103"/>
      <c r="O405" s="103"/>
      <c r="Y405" s="160"/>
      <c r="Z405" s="160"/>
      <c r="AA405" s="160"/>
      <c r="AB405" s="160"/>
      <c r="AC405" s="160"/>
      <c r="AD405" s="160"/>
      <c r="AE405" s="160"/>
      <c r="AF405" s="160"/>
      <c r="AG405" s="160"/>
      <c r="AH405" s="160"/>
      <c r="AI405" s="160"/>
      <c r="AJ405" s="160"/>
      <c r="AP405" s="160"/>
      <c r="AV405" s="160"/>
    </row>
    <row r="406">
      <c r="A406" s="158"/>
      <c r="B406" s="160"/>
      <c r="C406" s="103"/>
      <c r="E406" s="103"/>
      <c r="F406" s="103"/>
      <c r="G406" s="158"/>
      <c r="H406" s="158"/>
      <c r="I406" s="158"/>
      <c r="J406" s="158"/>
      <c r="K406" s="160"/>
      <c r="L406" s="103"/>
      <c r="N406" s="103"/>
      <c r="O406" s="103"/>
      <c r="Y406" s="160"/>
      <c r="Z406" s="160"/>
      <c r="AA406" s="160"/>
      <c r="AB406" s="160"/>
      <c r="AC406" s="160"/>
      <c r="AD406" s="160"/>
      <c r="AE406" s="160"/>
      <c r="AF406" s="160"/>
      <c r="AG406" s="160"/>
      <c r="AH406" s="160"/>
      <c r="AI406" s="160"/>
      <c r="AJ406" s="160"/>
      <c r="AP406" s="160"/>
      <c r="AV406" s="160"/>
    </row>
    <row r="407">
      <c r="A407" s="158"/>
      <c r="B407" s="160"/>
      <c r="C407" s="103"/>
      <c r="E407" s="103"/>
      <c r="F407" s="103"/>
      <c r="G407" s="158"/>
      <c r="H407" s="158"/>
      <c r="I407" s="158"/>
      <c r="J407" s="158"/>
      <c r="K407" s="160"/>
      <c r="L407" s="103"/>
      <c r="N407" s="103"/>
      <c r="O407" s="103"/>
      <c r="Y407" s="160"/>
      <c r="Z407" s="160"/>
      <c r="AA407" s="160"/>
      <c r="AB407" s="160"/>
      <c r="AC407" s="160"/>
      <c r="AD407" s="160"/>
      <c r="AE407" s="160"/>
      <c r="AF407" s="160"/>
      <c r="AG407" s="160"/>
      <c r="AH407" s="160"/>
      <c r="AI407" s="160"/>
      <c r="AJ407" s="160"/>
      <c r="AP407" s="160"/>
      <c r="AV407" s="160"/>
    </row>
    <row r="408">
      <c r="A408" s="158"/>
      <c r="B408" s="160"/>
      <c r="C408" s="103"/>
      <c r="E408" s="103"/>
      <c r="F408" s="103"/>
      <c r="G408" s="158"/>
      <c r="H408" s="158"/>
      <c r="I408" s="158"/>
      <c r="J408" s="158"/>
      <c r="K408" s="160"/>
      <c r="L408" s="103"/>
      <c r="N408" s="103"/>
      <c r="O408" s="103"/>
      <c r="Y408" s="160"/>
      <c r="Z408" s="160"/>
      <c r="AA408" s="160"/>
      <c r="AB408" s="160"/>
      <c r="AC408" s="160"/>
      <c r="AD408" s="160"/>
      <c r="AE408" s="160"/>
      <c r="AF408" s="160"/>
      <c r="AG408" s="160"/>
      <c r="AH408" s="160"/>
      <c r="AI408" s="160"/>
      <c r="AJ408" s="160"/>
      <c r="AP408" s="160"/>
      <c r="AV408" s="160"/>
    </row>
    <row r="409">
      <c r="A409" s="158"/>
      <c r="B409" s="160"/>
      <c r="C409" s="103"/>
      <c r="E409" s="103"/>
      <c r="F409" s="103"/>
      <c r="G409" s="158"/>
      <c r="H409" s="158"/>
      <c r="I409" s="158"/>
      <c r="J409" s="158"/>
      <c r="K409" s="160"/>
      <c r="L409" s="103"/>
      <c r="N409" s="103"/>
      <c r="O409" s="103"/>
      <c r="Y409" s="160"/>
      <c r="Z409" s="160"/>
      <c r="AA409" s="160"/>
      <c r="AB409" s="160"/>
      <c r="AC409" s="160"/>
      <c r="AD409" s="160"/>
      <c r="AE409" s="160"/>
      <c r="AF409" s="160"/>
      <c r="AG409" s="160"/>
      <c r="AH409" s="160"/>
      <c r="AI409" s="160"/>
      <c r="AJ409" s="160"/>
      <c r="AP409" s="160"/>
      <c r="AV409" s="160"/>
    </row>
    <row r="410">
      <c r="A410" s="158"/>
      <c r="B410" s="160"/>
      <c r="C410" s="103"/>
      <c r="E410" s="103"/>
      <c r="F410" s="103"/>
      <c r="G410" s="158"/>
      <c r="H410" s="158"/>
      <c r="I410" s="158"/>
      <c r="J410" s="158"/>
      <c r="K410" s="160"/>
      <c r="L410" s="103"/>
      <c r="N410" s="103"/>
      <c r="O410" s="103"/>
      <c r="Y410" s="160"/>
      <c r="Z410" s="160"/>
      <c r="AA410" s="160"/>
      <c r="AB410" s="160"/>
      <c r="AC410" s="160"/>
      <c r="AD410" s="160"/>
      <c r="AE410" s="160"/>
      <c r="AF410" s="160"/>
      <c r="AG410" s="160"/>
      <c r="AH410" s="160"/>
      <c r="AI410" s="160"/>
      <c r="AJ410" s="160"/>
      <c r="AP410" s="160"/>
      <c r="AV410" s="160"/>
    </row>
    <row r="411">
      <c r="A411" s="158"/>
      <c r="B411" s="160"/>
      <c r="C411" s="103"/>
      <c r="E411" s="103"/>
      <c r="F411" s="103"/>
      <c r="G411" s="158"/>
      <c r="H411" s="158"/>
      <c r="I411" s="158"/>
      <c r="J411" s="158"/>
      <c r="K411" s="160"/>
      <c r="L411" s="103"/>
      <c r="N411" s="103"/>
      <c r="O411" s="103"/>
      <c r="Y411" s="160"/>
      <c r="Z411" s="160"/>
      <c r="AA411" s="160"/>
      <c r="AB411" s="160"/>
      <c r="AC411" s="160"/>
      <c r="AD411" s="160"/>
      <c r="AE411" s="160"/>
      <c r="AF411" s="160"/>
      <c r="AG411" s="160"/>
      <c r="AH411" s="160"/>
      <c r="AI411" s="160"/>
      <c r="AJ411" s="160"/>
      <c r="AP411" s="160"/>
      <c r="AV411" s="160"/>
    </row>
    <row r="412">
      <c r="A412" s="158"/>
      <c r="B412" s="160"/>
      <c r="C412" s="103"/>
      <c r="E412" s="103"/>
      <c r="F412" s="103"/>
      <c r="G412" s="158"/>
      <c r="H412" s="158"/>
      <c r="I412" s="158"/>
      <c r="J412" s="158"/>
      <c r="K412" s="160"/>
      <c r="L412" s="103"/>
      <c r="N412" s="103"/>
      <c r="O412" s="103"/>
      <c r="Y412" s="160"/>
      <c r="Z412" s="160"/>
      <c r="AA412" s="160"/>
      <c r="AB412" s="160"/>
      <c r="AC412" s="160"/>
      <c r="AD412" s="160"/>
      <c r="AE412" s="160"/>
      <c r="AF412" s="160"/>
      <c r="AG412" s="160"/>
      <c r="AH412" s="160"/>
      <c r="AI412" s="160"/>
      <c r="AJ412" s="160"/>
      <c r="AP412" s="160"/>
      <c r="AV412" s="160"/>
    </row>
    <row r="413">
      <c r="A413" s="158"/>
      <c r="B413" s="160"/>
      <c r="C413" s="103"/>
      <c r="E413" s="103"/>
      <c r="F413" s="103"/>
      <c r="G413" s="158"/>
      <c r="H413" s="158"/>
      <c r="I413" s="158"/>
      <c r="J413" s="158"/>
      <c r="K413" s="160"/>
      <c r="L413" s="103"/>
      <c r="N413" s="103"/>
      <c r="O413" s="103"/>
      <c r="Y413" s="160"/>
      <c r="Z413" s="160"/>
      <c r="AA413" s="160"/>
      <c r="AB413" s="160"/>
      <c r="AC413" s="160"/>
      <c r="AD413" s="160"/>
      <c r="AE413" s="160"/>
      <c r="AF413" s="160"/>
      <c r="AG413" s="160"/>
      <c r="AH413" s="160"/>
      <c r="AI413" s="160"/>
      <c r="AJ413" s="160"/>
      <c r="AP413" s="160"/>
      <c r="AV413" s="160"/>
    </row>
    <row r="414">
      <c r="A414" s="158"/>
      <c r="B414" s="160"/>
      <c r="C414" s="103"/>
      <c r="E414" s="103"/>
      <c r="F414" s="103"/>
      <c r="G414" s="158"/>
      <c r="H414" s="158"/>
      <c r="I414" s="158"/>
      <c r="J414" s="158"/>
      <c r="K414" s="160"/>
      <c r="L414" s="103"/>
      <c r="N414" s="103"/>
      <c r="O414" s="103"/>
      <c r="Y414" s="160"/>
      <c r="Z414" s="160"/>
      <c r="AA414" s="160"/>
      <c r="AB414" s="160"/>
      <c r="AC414" s="160"/>
      <c r="AD414" s="160"/>
      <c r="AE414" s="160"/>
      <c r="AF414" s="160"/>
      <c r="AG414" s="160"/>
      <c r="AH414" s="160"/>
      <c r="AI414" s="160"/>
      <c r="AJ414" s="160"/>
      <c r="AP414" s="160"/>
      <c r="AV414" s="160"/>
    </row>
    <row r="415">
      <c r="A415" s="158"/>
      <c r="B415" s="160"/>
      <c r="C415" s="103"/>
      <c r="E415" s="103"/>
      <c r="F415" s="103"/>
      <c r="G415" s="158"/>
      <c r="H415" s="158"/>
      <c r="I415" s="158"/>
      <c r="J415" s="158"/>
      <c r="K415" s="160"/>
      <c r="L415" s="103"/>
      <c r="N415" s="103"/>
      <c r="O415" s="103"/>
      <c r="Y415" s="160"/>
      <c r="Z415" s="160"/>
      <c r="AA415" s="160"/>
      <c r="AB415" s="160"/>
      <c r="AC415" s="160"/>
      <c r="AD415" s="160"/>
      <c r="AE415" s="160"/>
      <c r="AF415" s="160"/>
      <c r="AG415" s="160"/>
      <c r="AH415" s="160"/>
      <c r="AI415" s="160"/>
      <c r="AJ415" s="160"/>
      <c r="AP415" s="160"/>
      <c r="AV415" s="160"/>
    </row>
    <row r="416">
      <c r="A416" s="158"/>
      <c r="B416" s="160"/>
      <c r="C416" s="103"/>
      <c r="E416" s="103"/>
      <c r="F416" s="103"/>
      <c r="G416" s="158"/>
      <c r="H416" s="158"/>
      <c r="I416" s="158"/>
      <c r="J416" s="158"/>
      <c r="K416" s="160"/>
      <c r="L416" s="103"/>
      <c r="N416" s="103"/>
      <c r="O416" s="103"/>
      <c r="Y416" s="160"/>
      <c r="Z416" s="160"/>
      <c r="AA416" s="160"/>
      <c r="AB416" s="160"/>
      <c r="AC416" s="160"/>
      <c r="AD416" s="160"/>
      <c r="AE416" s="160"/>
      <c r="AF416" s="160"/>
      <c r="AG416" s="160"/>
      <c r="AH416" s="160"/>
      <c r="AI416" s="160"/>
      <c r="AJ416" s="160"/>
      <c r="AP416" s="160"/>
      <c r="AV416" s="160"/>
    </row>
    <row r="417">
      <c r="A417" s="158"/>
      <c r="B417" s="160"/>
      <c r="C417" s="103"/>
      <c r="E417" s="103"/>
      <c r="F417" s="103"/>
      <c r="G417" s="158"/>
      <c r="H417" s="158"/>
      <c r="I417" s="158"/>
      <c r="J417" s="158"/>
      <c r="K417" s="160"/>
      <c r="L417" s="103"/>
      <c r="N417" s="103"/>
      <c r="O417" s="103"/>
      <c r="Y417" s="160"/>
      <c r="Z417" s="160"/>
      <c r="AA417" s="160"/>
      <c r="AB417" s="160"/>
      <c r="AC417" s="160"/>
      <c r="AD417" s="160"/>
      <c r="AE417" s="160"/>
      <c r="AF417" s="160"/>
      <c r="AG417" s="160"/>
      <c r="AH417" s="160"/>
      <c r="AI417" s="160"/>
      <c r="AJ417" s="160"/>
      <c r="AP417" s="160"/>
      <c r="AV417" s="160"/>
    </row>
    <row r="418">
      <c r="A418" s="158"/>
      <c r="B418" s="160"/>
      <c r="C418" s="103"/>
      <c r="E418" s="103"/>
      <c r="F418" s="103"/>
      <c r="G418" s="158"/>
      <c r="H418" s="158"/>
      <c r="I418" s="158"/>
      <c r="J418" s="158"/>
      <c r="K418" s="160"/>
      <c r="L418" s="103"/>
      <c r="N418" s="103"/>
      <c r="O418" s="103"/>
      <c r="Y418" s="160"/>
      <c r="Z418" s="160"/>
      <c r="AA418" s="160"/>
      <c r="AB418" s="160"/>
      <c r="AC418" s="160"/>
      <c r="AD418" s="160"/>
      <c r="AE418" s="160"/>
      <c r="AF418" s="160"/>
      <c r="AG418" s="160"/>
      <c r="AH418" s="160"/>
      <c r="AI418" s="160"/>
      <c r="AJ418" s="160"/>
      <c r="AP418" s="160"/>
      <c r="AV418" s="160"/>
    </row>
    <row r="419">
      <c r="A419" s="158"/>
      <c r="B419" s="160"/>
      <c r="C419" s="103"/>
      <c r="E419" s="103"/>
      <c r="F419" s="103"/>
      <c r="G419" s="158"/>
      <c r="H419" s="158"/>
      <c r="I419" s="158"/>
      <c r="J419" s="158"/>
      <c r="K419" s="160"/>
      <c r="L419" s="103"/>
      <c r="N419" s="103"/>
      <c r="O419" s="103"/>
      <c r="Y419" s="160"/>
      <c r="Z419" s="160"/>
      <c r="AA419" s="160"/>
      <c r="AB419" s="160"/>
      <c r="AC419" s="160"/>
      <c r="AD419" s="160"/>
      <c r="AE419" s="160"/>
      <c r="AF419" s="160"/>
      <c r="AG419" s="160"/>
      <c r="AH419" s="160"/>
      <c r="AI419" s="160"/>
      <c r="AJ419" s="160"/>
      <c r="AP419" s="160"/>
      <c r="AV419" s="160"/>
    </row>
    <row r="420">
      <c r="A420" s="158"/>
      <c r="B420" s="160"/>
      <c r="C420" s="103"/>
      <c r="E420" s="103"/>
      <c r="F420" s="103"/>
      <c r="G420" s="158"/>
      <c r="H420" s="158"/>
      <c r="I420" s="158"/>
      <c r="J420" s="158"/>
      <c r="K420" s="160"/>
      <c r="L420" s="103"/>
      <c r="N420" s="103"/>
      <c r="O420" s="103"/>
      <c r="Y420" s="160"/>
      <c r="Z420" s="160"/>
      <c r="AA420" s="160"/>
      <c r="AB420" s="160"/>
      <c r="AC420" s="160"/>
      <c r="AD420" s="160"/>
      <c r="AE420" s="160"/>
      <c r="AF420" s="160"/>
      <c r="AG420" s="160"/>
      <c r="AH420" s="160"/>
      <c r="AI420" s="160"/>
      <c r="AJ420" s="160"/>
      <c r="AP420" s="160"/>
      <c r="AV420" s="160"/>
    </row>
    <row r="421">
      <c r="A421" s="158"/>
      <c r="B421" s="160"/>
      <c r="C421" s="103"/>
      <c r="E421" s="103"/>
      <c r="F421" s="103"/>
      <c r="G421" s="158"/>
      <c r="H421" s="158"/>
      <c r="I421" s="158"/>
      <c r="J421" s="158"/>
      <c r="K421" s="160"/>
      <c r="L421" s="103"/>
      <c r="N421" s="103"/>
      <c r="O421" s="103"/>
      <c r="Y421" s="160"/>
      <c r="Z421" s="160"/>
      <c r="AA421" s="160"/>
      <c r="AB421" s="160"/>
      <c r="AC421" s="160"/>
      <c r="AD421" s="160"/>
      <c r="AE421" s="160"/>
      <c r="AF421" s="160"/>
      <c r="AG421" s="160"/>
      <c r="AH421" s="160"/>
      <c r="AI421" s="160"/>
      <c r="AJ421" s="160"/>
      <c r="AP421" s="160"/>
      <c r="AV421" s="160"/>
    </row>
    <row r="422">
      <c r="A422" s="158"/>
      <c r="B422" s="160"/>
      <c r="C422" s="103"/>
      <c r="E422" s="103"/>
      <c r="F422" s="103"/>
      <c r="G422" s="158"/>
      <c r="H422" s="158"/>
      <c r="I422" s="158"/>
      <c r="J422" s="158"/>
      <c r="K422" s="160"/>
      <c r="L422" s="103"/>
      <c r="N422" s="103"/>
      <c r="O422" s="103"/>
      <c r="Y422" s="160"/>
      <c r="Z422" s="160"/>
      <c r="AA422" s="160"/>
      <c r="AB422" s="160"/>
      <c r="AC422" s="160"/>
      <c r="AD422" s="160"/>
      <c r="AE422" s="160"/>
      <c r="AF422" s="160"/>
      <c r="AG422" s="160"/>
      <c r="AH422" s="160"/>
      <c r="AI422" s="160"/>
      <c r="AJ422" s="160"/>
      <c r="AP422" s="160"/>
      <c r="AV422" s="160"/>
    </row>
    <row r="423">
      <c r="A423" s="158"/>
      <c r="B423" s="160"/>
      <c r="C423" s="103"/>
      <c r="E423" s="103"/>
      <c r="F423" s="103"/>
      <c r="G423" s="158"/>
      <c r="H423" s="158"/>
      <c r="I423" s="158"/>
      <c r="J423" s="158"/>
      <c r="K423" s="160"/>
      <c r="L423" s="103"/>
      <c r="N423" s="103"/>
      <c r="O423" s="103"/>
      <c r="Y423" s="160"/>
      <c r="Z423" s="160"/>
      <c r="AA423" s="160"/>
      <c r="AB423" s="160"/>
      <c r="AC423" s="160"/>
      <c r="AD423" s="160"/>
      <c r="AE423" s="160"/>
      <c r="AF423" s="160"/>
      <c r="AG423" s="160"/>
      <c r="AH423" s="160"/>
      <c r="AI423" s="160"/>
      <c r="AJ423" s="160"/>
      <c r="AP423" s="160"/>
      <c r="AV423" s="160"/>
    </row>
    <row r="424">
      <c r="A424" s="158"/>
      <c r="B424" s="160"/>
      <c r="C424" s="103"/>
      <c r="E424" s="103"/>
      <c r="F424" s="103"/>
      <c r="G424" s="158"/>
      <c r="H424" s="158"/>
      <c r="I424" s="158"/>
      <c r="J424" s="158"/>
      <c r="K424" s="160"/>
      <c r="L424" s="103"/>
      <c r="N424" s="103"/>
      <c r="O424" s="103"/>
      <c r="Y424" s="160"/>
      <c r="Z424" s="160"/>
      <c r="AA424" s="160"/>
      <c r="AB424" s="160"/>
      <c r="AC424" s="160"/>
      <c r="AD424" s="160"/>
      <c r="AE424" s="160"/>
      <c r="AF424" s="160"/>
      <c r="AG424" s="160"/>
      <c r="AH424" s="160"/>
      <c r="AI424" s="160"/>
      <c r="AJ424" s="160"/>
      <c r="AP424" s="160"/>
      <c r="AV424" s="160"/>
    </row>
    <row r="425">
      <c r="A425" s="158"/>
      <c r="B425" s="160"/>
      <c r="C425" s="103"/>
      <c r="E425" s="103"/>
      <c r="F425" s="103"/>
      <c r="G425" s="158"/>
      <c r="H425" s="158"/>
      <c r="I425" s="158"/>
      <c r="J425" s="158"/>
      <c r="K425" s="160"/>
      <c r="L425" s="103"/>
      <c r="N425" s="103"/>
      <c r="O425" s="103"/>
      <c r="Y425" s="160"/>
      <c r="Z425" s="160"/>
      <c r="AA425" s="160"/>
      <c r="AB425" s="160"/>
      <c r="AC425" s="160"/>
      <c r="AD425" s="160"/>
      <c r="AE425" s="160"/>
      <c r="AF425" s="160"/>
      <c r="AG425" s="160"/>
      <c r="AH425" s="160"/>
      <c r="AI425" s="160"/>
      <c r="AJ425" s="160"/>
      <c r="AP425" s="160"/>
      <c r="AV425" s="160"/>
    </row>
    <row r="426">
      <c r="A426" s="158"/>
      <c r="B426" s="160"/>
      <c r="C426" s="103"/>
      <c r="E426" s="103"/>
      <c r="F426" s="103"/>
      <c r="G426" s="158"/>
      <c r="H426" s="158"/>
      <c r="I426" s="158"/>
      <c r="J426" s="158"/>
      <c r="K426" s="160"/>
      <c r="L426" s="103"/>
      <c r="N426" s="103"/>
      <c r="O426" s="103"/>
      <c r="Y426" s="160"/>
      <c r="Z426" s="160"/>
      <c r="AA426" s="160"/>
      <c r="AB426" s="160"/>
      <c r="AC426" s="160"/>
      <c r="AD426" s="160"/>
      <c r="AE426" s="160"/>
      <c r="AF426" s="160"/>
      <c r="AG426" s="160"/>
      <c r="AH426" s="160"/>
      <c r="AI426" s="160"/>
      <c r="AJ426" s="160"/>
      <c r="AP426" s="160"/>
      <c r="AV426" s="160"/>
    </row>
    <row r="427">
      <c r="A427" s="158"/>
      <c r="B427" s="160"/>
      <c r="C427" s="103"/>
      <c r="E427" s="103"/>
      <c r="F427" s="103"/>
      <c r="G427" s="158"/>
      <c r="H427" s="158"/>
      <c r="I427" s="158"/>
      <c r="J427" s="158"/>
      <c r="K427" s="160"/>
      <c r="L427" s="103"/>
      <c r="N427" s="103"/>
      <c r="O427" s="103"/>
      <c r="Y427" s="160"/>
      <c r="Z427" s="160"/>
      <c r="AA427" s="160"/>
      <c r="AB427" s="160"/>
      <c r="AC427" s="160"/>
      <c r="AD427" s="160"/>
      <c r="AE427" s="160"/>
      <c r="AF427" s="160"/>
      <c r="AG427" s="160"/>
      <c r="AH427" s="160"/>
      <c r="AI427" s="160"/>
      <c r="AJ427" s="160"/>
      <c r="AP427" s="160"/>
      <c r="AV427" s="160"/>
    </row>
    <row r="428">
      <c r="A428" s="158"/>
      <c r="B428" s="160"/>
      <c r="C428" s="103"/>
      <c r="E428" s="103"/>
      <c r="F428" s="103"/>
      <c r="G428" s="158"/>
      <c r="H428" s="158"/>
      <c r="I428" s="158"/>
      <c r="J428" s="158"/>
      <c r="K428" s="160"/>
      <c r="L428" s="103"/>
      <c r="N428" s="103"/>
      <c r="O428" s="103"/>
      <c r="Y428" s="160"/>
      <c r="Z428" s="160"/>
      <c r="AA428" s="160"/>
      <c r="AB428" s="160"/>
      <c r="AC428" s="160"/>
      <c r="AD428" s="160"/>
      <c r="AE428" s="160"/>
      <c r="AF428" s="160"/>
      <c r="AG428" s="160"/>
      <c r="AH428" s="160"/>
      <c r="AI428" s="160"/>
      <c r="AJ428" s="160"/>
      <c r="AP428" s="160"/>
      <c r="AV428" s="160"/>
    </row>
    <row r="429">
      <c r="A429" s="158"/>
      <c r="B429" s="160"/>
      <c r="C429" s="103"/>
      <c r="E429" s="103"/>
      <c r="F429" s="103"/>
      <c r="G429" s="158"/>
      <c r="H429" s="158"/>
      <c r="I429" s="158"/>
      <c r="J429" s="158"/>
      <c r="K429" s="160"/>
      <c r="L429" s="103"/>
      <c r="N429" s="103"/>
      <c r="O429" s="103"/>
      <c r="Y429" s="160"/>
      <c r="Z429" s="160"/>
      <c r="AA429" s="160"/>
      <c r="AB429" s="160"/>
      <c r="AC429" s="160"/>
      <c r="AD429" s="160"/>
      <c r="AE429" s="160"/>
      <c r="AF429" s="160"/>
      <c r="AG429" s="160"/>
      <c r="AH429" s="160"/>
      <c r="AI429" s="160"/>
      <c r="AJ429" s="160"/>
      <c r="AP429" s="160"/>
      <c r="AV429" s="160"/>
    </row>
    <row r="430">
      <c r="A430" s="158"/>
      <c r="B430" s="160"/>
      <c r="C430" s="103"/>
      <c r="E430" s="103"/>
      <c r="F430" s="103"/>
      <c r="G430" s="158"/>
      <c r="H430" s="158"/>
      <c r="I430" s="158"/>
      <c r="J430" s="158"/>
      <c r="K430" s="160"/>
      <c r="L430" s="103"/>
      <c r="N430" s="103"/>
      <c r="O430" s="103"/>
      <c r="Y430" s="160"/>
      <c r="Z430" s="160"/>
      <c r="AA430" s="160"/>
      <c r="AB430" s="160"/>
      <c r="AC430" s="160"/>
      <c r="AD430" s="160"/>
      <c r="AE430" s="160"/>
      <c r="AF430" s="160"/>
      <c r="AG430" s="160"/>
      <c r="AH430" s="160"/>
      <c r="AI430" s="160"/>
      <c r="AJ430" s="160"/>
      <c r="AP430" s="160"/>
      <c r="AV430" s="160"/>
    </row>
    <row r="431">
      <c r="A431" s="158"/>
      <c r="B431" s="160"/>
      <c r="C431" s="103"/>
      <c r="E431" s="103"/>
      <c r="F431" s="103"/>
      <c r="G431" s="158"/>
      <c r="H431" s="158"/>
      <c r="I431" s="158"/>
      <c r="J431" s="158"/>
      <c r="K431" s="160"/>
      <c r="L431" s="103"/>
      <c r="N431" s="103"/>
      <c r="O431" s="103"/>
      <c r="Y431" s="160"/>
      <c r="Z431" s="160"/>
      <c r="AA431" s="160"/>
      <c r="AB431" s="160"/>
      <c r="AC431" s="160"/>
      <c r="AD431" s="160"/>
      <c r="AE431" s="160"/>
      <c r="AF431" s="160"/>
      <c r="AG431" s="160"/>
      <c r="AH431" s="160"/>
      <c r="AI431" s="160"/>
      <c r="AJ431" s="160"/>
      <c r="AP431" s="160"/>
      <c r="AV431" s="160"/>
    </row>
    <row r="432">
      <c r="A432" s="158"/>
      <c r="B432" s="160"/>
      <c r="C432" s="103"/>
      <c r="E432" s="103"/>
      <c r="F432" s="103"/>
      <c r="G432" s="158"/>
      <c r="H432" s="158"/>
      <c r="I432" s="158"/>
      <c r="J432" s="158"/>
      <c r="K432" s="160"/>
      <c r="L432" s="103"/>
      <c r="N432" s="103"/>
      <c r="O432" s="103"/>
      <c r="Y432" s="160"/>
      <c r="Z432" s="160"/>
      <c r="AA432" s="160"/>
      <c r="AB432" s="160"/>
      <c r="AC432" s="160"/>
      <c r="AD432" s="160"/>
      <c r="AE432" s="160"/>
      <c r="AF432" s="160"/>
      <c r="AG432" s="160"/>
      <c r="AH432" s="160"/>
      <c r="AI432" s="160"/>
      <c r="AJ432" s="160"/>
      <c r="AP432" s="160"/>
      <c r="AV432" s="160"/>
    </row>
    <row r="433">
      <c r="A433" s="158"/>
      <c r="B433" s="160"/>
      <c r="C433" s="103"/>
      <c r="E433" s="103"/>
      <c r="F433" s="103"/>
      <c r="G433" s="158"/>
      <c r="H433" s="158"/>
      <c r="I433" s="158"/>
      <c r="J433" s="158"/>
      <c r="K433" s="160"/>
      <c r="L433" s="103"/>
      <c r="N433" s="103"/>
      <c r="O433" s="103"/>
      <c r="Y433" s="160"/>
      <c r="Z433" s="160"/>
      <c r="AA433" s="160"/>
      <c r="AB433" s="160"/>
      <c r="AC433" s="160"/>
      <c r="AD433" s="160"/>
      <c r="AE433" s="160"/>
      <c r="AF433" s="160"/>
      <c r="AG433" s="160"/>
      <c r="AH433" s="160"/>
      <c r="AI433" s="160"/>
      <c r="AJ433" s="160"/>
      <c r="AP433" s="160"/>
      <c r="AV433" s="160"/>
    </row>
    <row r="434">
      <c r="A434" s="158"/>
      <c r="B434" s="160"/>
      <c r="C434" s="103"/>
      <c r="E434" s="103"/>
      <c r="F434" s="103"/>
      <c r="G434" s="158"/>
      <c r="H434" s="158"/>
      <c r="I434" s="158"/>
      <c r="J434" s="158"/>
      <c r="K434" s="160"/>
      <c r="L434" s="103"/>
      <c r="N434" s="103"/>
      <c r="O434" s="103"/>
      <c r="Y434" s="160"/>
      <c r="Z434" s="160"/>
      <c r="AA434" s="160"/>
      <c r="AB434" s="160"/>
      <c r="AC434" s="160"/>
      <c r="AD434" s="160"/>
      <c r="AE434" s="160"/>
      <c r="AF434" s="160"/>
      <c r="AG434" s="160"/>
      <c r="AH434" s="160"/>
      <c r="AI434" s="160"/>
      <c r="AJ434" s="160"/>
      <c r="AP434" s="160"/>
      <c r="AV434" s="160"/>
    </row>
    <row r="435">
      <c r="A435" s="158"/>
      <c r="B435" s="160"/>
      <c r="C435" s="103"/>
      <c r="E435" s="103"/>
      <c r="F435" s="103"/>
      <c r="G435" s="158"/>
      <c r="H435" s="158"/>
      <c r="I435" s="158"/>
      <c r="J435" s="158"/>
      <c r="K435" s="160"/>
      <c r="L435" s="103"/>
      <c r="N435" s="103"/>
      <c r="O435" s="103"/>
      <c r="Y435" s="160"/>
      <c r="Z435" s="160"/>
      <c r="AA435" s="160"/>
      <c r="AB435" s="160"/>
      <c r="AC435" s="160"/>
      <c r="AD435" s="160"/>
      <c r="AE435" s="160"/>
      <c r="AF435" s="160"/>
      <c r="AG435" s="160"/>
      <c r="AH435" s="160"/>
      <c r="AI435" s="160"/>
      <c r="AJ435" s="160"/>
      <c r="AP435" s="160"/>
      <c r="AV435" s="160"/>
    </row>
    <row r="436">
      <c r="A436" s="158"/>
      <c r="B436" s="160"/>
      <c r="C436" s="103"/>
      <c r="E436" s="103"/>
      <c r="F436" s="103"/>
      <c r="G436" s="158"/>
      <c r="H436" s="158"/>
      <c r="I436" s="158"/>
      <c r="J436" s="158"/>
      <c r="K436" s="160"/>
      <c r="L436" s="103"/>
      <c r="N436" s="103"/>
      <c r="O436" s="103"/>
      <c r="Y436" s="160"/>
      <c r="Z436" s="160"/>
      <c r="AA436" s="160"/>
      <c r="AB436" s="160"/>
      <c r="AC436" s="160"/>
      <c r="AD436" s="160"/>
      <c r="AE436" s="160"/>
      <c r="AF436" s="160"/>
      <c r="AG436" s="160"/>
      <c r="AH436" s="160"/>
      <c r="AI436" s="160"/>
      <c r="AJ436" s="160"/>
      <c r="AP436" s="160"/>
      <c r="AV436" s="160"/>
    </row>
    <row r="437">
      <c r="A437" s="158"/>
      <c r="B437" s="160"/>
      <c r="C437" s="103"/>
      <c r="E437" s="103"/>
      <c r="F437" s="103"/>
      <c r="G437" s="158"/>
      <c r="H437" s="158"/>
      <c r="I437" s="158"/>
      <c r="J437" s="158"/>
      <c r="K437" s="160"/>
      <c r="L437" s="103"/>
      <c r="N437" s="103"/>
      <c r="O437" s="103"/>
      <c r="Y437" s="160"/>
      <c r="Z437" s="160"/>
      <c r="AA437" s="160"/>
      <c r="AB437" s="160"/>
      <c r="AC437" s="160"/>
      <c r="AD437" s="160"/>
      <c r="AE437" s="160"/>
      <c r="AF437" s="160"/>
      <c r="AG437" s="160"/>
      <c r="AH437" s="160"/>
      <c r="AI437" s="160"/>
      <c r="AJ437" s="160"/>
      <c r="AP437" s="160"/>
      <c r="AV437" s="160"/>
    </row>
    <row r="438">
      <c r="A438" s="158"/>
      <c r="B438" s="160"/>
      <c r="C438" s="103"/>
      <c r="E438" s="103"/>
      <c r="F438" s="103"/>
      <c r="G438" s="158"/>
      <c r="H438" s="158"/>
      <c r="I438" s="158"/>
      <c r="J438" s="158"/>
      <c r="K438" s="160"/>
      <c r="L438" s="103"/>
      <c r="N438" s="103"/>
      <c r="O438" s="103"/>
      <c r="Y438" s="160"/>
      <c r="Z438" s="160"/>
      <c r="AA438" s="160"/>
      <c r="AB438" s="160"/>
      <c r="AC438" s="160"/>
      <c r="AD438" s="160"/>
      <c r="AE438" s="160"/>
      <c r="AF438" s="160"/>
      <c r="AG438" s="160"/>
      <c r="AH438" s="160"/>
      <c r="AI438" s="160"/>
      <c r="AJ438" s="160"/>
      <c r="AP438" s="160"/>
      <c r="AV438" s="160"/>
    </row>
    <row r="439">
      <c r="A439" s="158"/>
      <c r="B439" s="160"/>
      <c r="C439" s="103"/>
      <c r="E439" s="103"/>
      <c r="F439" s="103"/>
      <c r="G439" s="158"/>
      <c r="H439" s="158"/>
      <c r="I439" s="158"/>
      <c r="J439" s="158"/>
      <c r="K439" s="160"/>
      <c r="L439" s="103"/>
      <c r="N439" s="103"/>
      <c r="O439" s="103"/>
      <c r="Y439" s="160"/>
      <c r="Z439" s="160"/>
      <c r="AA439" s="160"/>
      <c r="AB439" s="160"/>
      <c r="AC439" s="160"/>
      <c r="AD439" s="160"/>
      <c r="AE439" s="160"/>
      <c r="AF439" s="160"/>
      <c r="AG439" s="160"/>
      <c r="AH439" s="160"/>
      <c r="AI439" s="160"/>
      <c r="AJ439" s="160"/>
      <c r="AP439" s="160"/>
      <c r="AV439" s="160"/>
    </row>
    <row r="440">
      <c r="A440" s="158"/>
      <c r="B440" s="160"/>
      <c r="C440" s="103"/>
      <c r="E440" s="103"/>
      <c r="F440" s="103"/>
      <c r="G440" s="158"/>
      <c r="H440" s="158"/>
      <c r="I440" s="158"/>
      <c r="J440" s="158"/>
      <c r="K440" s="160"/>
      <c r="L440" s="103"/>
      <c r="N440" s="103"/>
      <c r="O440" s="103"/>
      <c r="Y440" s="160"/>
      <c r="Z440" s="160"/>
      <c r="AA440" s="160"/>
      <c r="AB440" s="160"/>
      <c r="AC440" s="160"/>
      <c r="AD440" s="160"/>
      <c r="AE440" s="160"/>
      <c r="AF440" s="160"/>
      <c r="AG440" s="160"/>
      <c r="AH440" s="160"/>
      <c r="AI440" s="160"/>
      <c r="AJ440" s="160"/>
      <c r="AP440" s="160"/>
      <c r="AV440" s="160"/>
    </row>
    <row r="441">
      <c r="A441" s="158"/>
      <c r="B441" s="160"/>
      <c r="C441" s="103"/>
      <c r="E441" s="103"/>
      <c r="F441" s="103"/>
      <c r="G441" s="158"/>
      <c r="H441" s="158"/>
      <c r="I441" s="158"/>
      <c r="J441" s="158"/>
      <c r="K441" s="160"/>
      <c r="L441" s="103"/>
      <c r="N441" s="103"/>
      <c r="O441" s="103"/>
      <c r="Y441" s="160"/>
      <c r="Z441" s="160"/>
      <c r="AA441" s="160"/>
      <c r="AB441" s="160"/>
      <c r="AC441" s="160"/>
      <c r="AD441" s="160"/>
      <c r="AE441" s="160"/>
      <c r="AF441" s="160"/>
      <c r="AG441" s="160"/>
      <c r="AH441" s="160"/>
      <c r="AI441" s="160"/>
      <c r="AJ441" s="160"/>
      <c r="AP441" s="160"/>
      <c r="AV441" s="160"/>
    </row>
    <row r="442">
      <c r="A442" s="158"/>
      <c r="B442" s="160"/>
      <c r="C442" s="103"/>
      <c r="E442" s="103"/>
      <c r="F442" s="103"/>
      <c r="G442" s="158"/>
      <c r="H442" s="158"/>
      <c r="I442" s="158"/>
      <c r="J442" s="158"/>
      <c r="K442" s="160"/>
      <c r="L442" s="103"/>
      <c r="N442" s="103"/>
      <c r="O442" s="103"/>
      <c r="Y442" s="160"/>
      <c r="Z442" s="160"/>
      <c r="AA442" s="160"/>
      <c r="AB442" s="160"/>
      <c r="AC442" s="160"/>
      <c r="AD442" s="160"/>
      <c r="AE442" s="160"/>
      <c r="AF442" s="160"/>
      <c r="AG442" s="160"/>
      <c r="AH442" s="160"/>
      <c r="AI442" s="160"/>
      <c r="AJ442" s="160"/>
      <c r="AP442" s="160"/>
      <c r="AV442" s="160"/>
    </row>
    <row r="443">
      <c r="A443" s="158"/>
      <c r="B443" s="160"/>
      <c r="C443" s="103"/>
      <c r="E443" s="103"/>
      <c r="F443" s="103"/>
      <c r="G443" s="158"/>
      <c r="H443" s="158"/>
      <c r="I443" s="158"/>
      <c r="J443" s="158"/>
      <c r="K443" s="160"/>
      <c r="L443" s="103"/>
      <c r="N443" s="103"/>
      <c r="O443" s="103"/>
      <c r="Y443" s="160"/>
      <c r="Z443" s="160"/>
      <c r="AA443" s="160"/>
      <c r="AB443" s="160"/>
      <c r="AC443" s="160"/>
      <c r="AD443" s="160"/>
      <c r="AE443" s="160"/>
      <c r="AF443" s="160"/>
      <c r="AG443" s="160"/>
      <c r="AH443" s="160"/>
      <c r="AI443" s="160"/>
      <c r="AJ443" s="160"/>
      <c r="AP443" s="160"/>
      <c r="AV443" s="160"/>
    </row>
    <row r="444">
      <c r="A444" s="158"/>
      <c r="B444" s="160"/>
      <c r="C444" s="103"/>
      <c r="E444" s="103"/>
      <c r="F444" s="103"/>
      <c r="G444" s="158"/>
      <c r="H444" s="158"/>
      <c r="I444" s="158"/>
      <c r="J444" s="158"/>
      <c r="K444" s="160"/>
      <c r="L444" s="103"/>
      <c r="N444" s="103"/>
      <c r="O444" s="103"/>
      <c r="Y444" s="160"/>
      <c r="Z444" s="160"/>
      <c r="AA444" s="160"/>
      <c r="AB444" s="160"/>
      <c r="AC444" s="160"/>
      <c r="AD444" s="160"/>
      <c r="AE444" s="160"/>
      <c r="AF444" s="160"/>
      <c r="AG444" s="160"/>
      <c r="AH444" s="160"/>
      <c r="AI444" s="160"/>
      <c r="AJ444" s="160"/>
      <c r="AP444" s="160"/>
      <c r="AV444" s="160"/>
    </row>
    <row r="445">
      <c r="A445" s="158"/>
      <c r="B445" s="160"/>
      <c r="C445" s="103"/>
      <c r="E445" s="103"/>
      <c r="F445" s="103"/>
      <c r="G445" s="158"/>
      <c r="H445" s="158"/>
      <c r="I445" s="158"/>
      <c r="J445" s="158"/>
      <c r="K445" s="160"/>
      <c r="L445" s="103"/>
      <c r="N445" s="103"/>
      <c r="O445" s="103"/>
      <c r="Y445" s="160"/>
      <c r="Z445" s="160"/>
      <c r="AA445" s="160"/>
      <c r="AB445" s="160"/>
      <c r="AC445" s="160"/>
      <c r="AD445" s="160"/>
      <c r="AE445" s="160"/>
      <c r="AF445" s="160"/>
      <c r="AG445" s="160"/>
      <c r="AH445" s="160"/>
      <c r="AI445" s="160"/>
      <c r="AJ445" s="160"/>
      <c r="AP445" s="160"/>
      <c r="AV445" s="160"/>
    </row>
    <row r="446">
      <c r="A446" s="158"/>
      <c r="B446" s="160"/>
      <c r="C446" s="103"/>
      <c r="E446" s="103"/>
      <c r="F446" s="103"/>
      <c r="G446" s="158"/>
      <c r="H446" s="158"/>
      <c r="I446" s="158"/>
      <c r="J446" s="158"/>
      <c r="K446" s="160"/>
      <c r="L446" s="103"/>
      <c r="N446" s="103"/>
      <c r="O446" s="103"/>
      <c r="Y446" s="160"/>
      <c r="Z446" s="160"/>
      <c r="AA446" s="160"/>
      <c r="AB446" s="160"/>
      <c r="AC446" s="160"/>
      <c r="AD446" s="160"/>
      <c r="AE446" s="160"/>
      <c r="AF446" s="160"/>
      <c r="AG446" s="160"/>
      <c r="AH446" s="160"/>
      <c r="AI446" s="160"/>
      <c r="AJ446" s="160"/>
      <c r="AP446" s="160"/>
      <c r="AV446" s="160"/>
    </row>
    <row r="447">
      <c r="A447" s="158"/>
      <c r="B447" s="160"/>
      <c r="C447" s="103"/>
      <c r="E447" s="103"/>
      <c r="F447" s="103"/>
      <c r="G447" s="158"/>
      <c r="H447" s="158"/>
      <c r="I447" s="158"/>
      <c r="J447" s="158"/>
      <c r="K447" s="160"/>
      <c r="L447" s="103"/>
      <c r="N447" s="103"/>
      <c r="O447" s="103"/>
      <c r="Y447" s="160"/>
      <c r="Z447" s="160"/>
      <c r="AA447" s="160"/>
      <c r="AB447" s="160"/>
      <c r="AC447" s="160"/>
      <c r="AD447" s="160"/>
      <c r="AE447" s="160"/>
      <c r="AF447" s="160"/>
      <c r="AG447" s="160"/>
      <c r="AH447" s="160"/>
      <c r="AI447" s="160"/>
      <c r="AJ447" s="160"/>
      <c r="AP447" s="160"/>
      <c r="AV447" s="160"/>
    </row>
    <row r="448">
      <c r="A448" s="158"/>
      <c r="B448" s="160"/>
      <c r="C448" s="103"/>
      <c r="E448" s="103"/>
      <c r="F448" s="103"/>
      <c r="G448" s="158"/>
      <c r="H448" s="158"/>
      <c r="I448" s="158"/>
      <c r="J448" s="158"/>
      <c r="K448" s="160"/>
      <c r="L448" s="103"/>
      <c r="N448" s="103"/>
      <c r="O448" s="103"/>
      <c r="Y448" s="160"/>
      <c r="Z448" s="160"/>
      <c r="AA448" s="160"/>
      <c r="AB448" s="160"/>
      <c r="AC448" s="160"/>
      <c r="AD448" s="160"/>
      <c r="AE448" s="160"/>
      <c r="AF448" s="160"/>
      <c r="AG448" s="160"/>
      <c r="AH448" s="160"/>
      <c r="AI448" s="160"/>
      <c r="AJ448" s="160"/>
      <c r="AP448" s="160"/>
      <c r="AV448" s="160"/>
    </row>
    <row r="449">
      <c r="A449" s="158"/>
      <c r="B449" s="160"/>
      <c r="C449" s="103"/>
      <c r="E449" s="103"/>
      <c r="F449" s="103"/>
      <c r="G449" s="158"/>
      <c r="H449" s="158"/>
      <c r="I449" s="158"/>
      <c r="J449" s="158"/>
      <c r="K449" s="160"/>
      <c r="L449" s="103"/>
      <c r="N449" s="103"/>
      <c r="O449" s="103"/>
      <c r="Y449" s="160"/>
      <c r="Z449" s="160"/>
      <c r="AA449" s="160"/>
      <c r="AB449" s="160"/>
      <c r="AC449" s="160"/>
      <c r="AD449" s="160"/>
      <c r="AE449" s="160"/>
      <c r="AF449" s="160"/>
      <c r="AG449" s="160"/>
      <c r="AH449" s="160"/>
      <c r="AI449" s="160"/>
      <c r="AJ449" s="160"/>
      <c r="AP449" s="160"/>
      <c r="AV449" s="160"/>
    </row>
    <row r="450">
      <c r="A450" s="158"/>
      <c r="B450" s="160"/>
      <c r="C450" s="103"/>
      <c r="E450" s="103"/>
      <c r="F450" s="103"/>
      <c r="G450" s="158"/>
      <c r="H450" s="158"/>
      <c r="I450" s="158"/>
      <c r="J450" s="158"/>
      <c r="K450" s="160"/>
      <c r="L450" s="103"/>
      <c r="N450" s="103"/>
      <c r="O450" s="103"/>
      <c r="Y450" s="160"/>
      <c r="Z450" s="160"/>
      <c r="AA450" s="160"/>
      <c r="AB450" s="160"/>
      <c r="AC450" s="160"/>
      <c r="AD450" s="160"/>
      <c r="AE450" s="160"/>
      <c r="AF450" s="160"/>
      <c r="AG450" s="160"/>
      <c r="AH450" s="160"/>
      <c r="AI450" s="160"/>
      <c r="AJ450" s="160"/>
      <c r="AP450" s="160"/>
      <c r="AV450" s="160"/>
    </row>
    <row r="451">
      <c r="A451" s="158"/>
      <c r="B451" s="160"/>
      <c r="C451" s="103"/>
      <c r="E451" s="103"/>
      <c r="F451" s="103"/>
      <c r="G451" s="158"/>
      <c r="H451" s="158"/>
      <c r="I451" s="158"/>
      <c r="J451" s="158"/>
      <c r="K451" s="160"/>
      <c r="L451" s="103"/>
      <c r="N451" s="103"/>
      <c r="O451" s="103"/>
      <c r="Y451" s="160"/>
      <c r="Z451" s="160"/>
      <c r="AA451" s="160"/>
      <c r="AB451" s="160"/>
      <c r="AC451" s="160"/>
      <c r="AD451" s="160"/>
      <c r="AE451" s="160"/>
      <c r="AF451" s="160"/>
      <c r="AG451" s="160"/>
      <c r="AH451" s="160"/>
      <c r="AI451" s="160"/>
      <c r="AJ451" s="160"/>
      <c r="AP451" s="160"/>
      <c r="AV451" s="160"/>
    </row>
    <row r="452">
      <c r="A452" s="158"/>
      <c r="B452" s="160"/>
      <c r="C452" s="103"/>
      <c r="E452" s="103"/>
      <c r="F452" s="103"/>
      <c r="G452" s="158"/>
      <c r="H452" s="158"/>
      <c r="I452" s="158"/>
      <c r="J452" s="158"/>
      <c r="K452" s="160"/>
      <c r="L452" s="103"/>
      <c r="N452" s="103"/>
      <c r="O452" s="103"/>
      <c r="Y452" s="160"/>
      <c r="Z452" s="160"/>
      <c r="AA452" s="160"/>
      <c r="AB452" s="160"/>
      <c r="AC452" s="160"/>
      <c r="AD452" s="160"/>
      <c r="AE452" s="160"/>
      <c r="AF452" s="160"/>
      <c r="AG452" s="160"/>
      <c r="AH452" s="160"/>
      <c r="AI452" s="160"/>
      <c r="AJ452" s="160"/>
      <c r="AP452" s="160"/>
      <c r="AV452" s="160"/>
    </row>
    <row r="453">
      <c r="A453" s="158"/>
      <c r="B453" s="160"/>
      <c r="C453" s="103"/>
      <c r="E453" s="103"/>
      <c r="F453" s="103"/>
      <c r="G453" s="158"/>
      <c r="H453" s="158"/>
      <c r="I453" s="158"/>
      <c r="J453" s="158"/>
      <c r="K453" s="160"/>
      <c r="L453" s="103"/>
      <c r="N453" s="103"/>
      <c r="O453" s="103"/>
      <c r="Y453" s="160"/>
      <c r="Z453" s="160"/>
      <c r="AA453" s="160"/>
      <c r="AB453" s="160"/>
      <c r="AC453" s="160"/>
      <c r="AD453" s="160"/>
      <c r="AE453" s="160"/>
      <c r="AF453" s="160"/>
      <c r="AG453" s="160"/>
      <c r="AH453" s="160"/>
      <c r="AI453" s="160"/>
      <c r="AJ453" s="160"/>
      <c r="AP453" s="160"/>
      <c r="AV453" s="160"/>
    </row>
    <row r="454">
      <c r="A454" s="158"/>
      <c r="B454" s="160"/>
      <c r="C454" s="103"/>
      <c r="E454" s="103"/>
      <c r="F454" s="103"/>
      <c r="G454" s="158"/>
      <c r="H454" s="158"/>
      <c r="I454" s="158"/>
      <c r="J454" s="158"/>
      <c r="K454" s="160"/>
      <c r="L454" s="103"/>
      <c r="N454" s="103"/>
      <c r="O454" s="103"/>
      <c r="Y454" s="160"/>
      <c r="Z454" s="160"/>
      <c r="AA454" s="160"/>
      <c r="AB454" s="160"/>
      <c r="AC454" s="160"/>
      <c r="AD454" s="160"/>
      <c r="AE454" s="160"/>
      <c r="AF454" s="160"/>
      <c r="AG454" s="160"/>
      <c r="AH454" s="160"/>
      <c r="AI454" s="160"/>
      <c r="AJ454" s="160"/>
      <c r="AP454" s="160"/>
      <c r="AV454" s="160"/>
    </row>
    <row r="455">
      <c r="A455" s="158"/>
      <c r="B455" s="160"/>
      <c r="C455" s="103"/>
      <c r="E455" s="103"/>
      <c r="F455" s="103"/>
      <c r="G455" s="158"/>
      <c r="H455" s="158"/>
      <c r="I455" s="158"/>
      <c r="J455" s="158"/>
      <c r="K455" s="160"/>
      <c r="L455" s="103"/>
      <c r="N455" s="103"/>
      <c r="O455" s="103"/>
      <c r="Y455" s="160"/>
      <c r="Z455" s="160"/>
      <c r="AA455" s="160"/>
      <c r="AB455" s="160"/>
      <c r="AC455" s="160"/>
      <c r="AD455" s="160"/>
      <c r="AE455" s="160"/>
      <c r="AF455" s="160"/>
      <c r="AG455" s="160"/>
      <c r="AH455" s="160"/>
      <c r="AI455" s="160"/>
      <c r="AJ455" s="160"/>
      <c r="AP455" s="160"/>
      <c r="AV455" s="160"/>
    </row>
    <row r="456">
      <c r="A456" s="158"/>
      <c r="B456" s="160"/>
      <c r="C456" s="103"/>
      <c r="E456" s="103"/>
      <c r="F456" s="103"/>
      <c r="G456" s="158"/>
      <c r="H456" s="158"/>
      <c r="I456" s="158"/>
      <c r="J456" s="158"/>
      <c r="K456" s="160"/>
      <c r="L456" s="103"/>
      <c r="N456" s="103"/>
      <c r="O456" s="103"/>
      <c r="Y456" s="160"/>
      <c r="Z456" s="160"/>
      <c r="AA456" s="160"/>
      <c r="AB456" s="160"/>
      <c r="AC456" s="160"/>
      <c r="AD456" s="160"/>
      <c r="AE456" s="160"/>
      <c r="AF456" s="160"/>
      <c r="AG456" s="160"/>
      <c r="AH456" s="160"/>
      <c r="AI456" s="160"/>
      <c r="AJ456" s="160"/>
      <c r="AP456" s="160"/>
      <c r="AV456" s="160"/>
    </row>
    <row r="457">
      <c r="A457" s="158"/>
      <c r="B457" s="160"/>
      <c r="C457" s="103"/>
      <c r="E457" s="103"/>
      <c r="F457" s="103"/>
      <c r="G457" s="158"/>
      <c r="H457" s="158"/>
      <c r="I457" s="158"/>
      <c r="J457" s="158"/>
      <c r="K457" s="160"/>
      <c r="L457" s="103"/>
      <c r="N457" s="103"/>
      <c r="O457" s="103"/>
      <c r="Y457" s="160"/>
      <c r="Z457" s="160"/>
      <c r="AA457" s="160"/>
      <c r="AB457" s="160"/>
      <c r="AC457" s="160"/>
      <c r="AD457" s="160"/>
      <c r="AE457" s="160"/>
      <c r="AF457" s="160"/>
      <c r="AG457" s="160"/>
      <c r="AH457" s="160"/>
      <c r="AI457" s="160"/>
      <c r="AJ457" s="160"/>
      <c r="AP457" s="160"/>
      <c r="AV457" s="160"/>
    </row>
    <row r="458">
      <c r="A458" s="158"/>
      <c r="B458" s="160"/>
      <c r="C458" s="103"/>
      <c r="E458" s="103"/>
      <c r="F458" s="103"/>
      <c r="G458" s="158"/>
      <c r="H458" s="158"/>
      <c r="I458" s="158"/>
      <c r="J458" s="158"/>
      <c r="K458" s="160"/>
      <c r="L458" s="103"/>
      <c r="N458" s="103"/>
      <c r="O458" s="103"/>
      <c r="Y458" s="160"/>
      <c r="Z458" s="160"/>
      <c r="AA458" s="160"/>
      <c r="AB458" s="160"/>
      <c r="AC458" s="160"/>
      <c r="AD458" s="160"/>
      <c r="AE458" s="160"/>
      <c r="AF458" s="160"/>
      <c r="AG458" s="160"/>
      <c r="AH458" s="160"/>
      <c r="AI458" s="160"/>
      <c r="AJ458" s="160"/>
      <c r="AP458" s="160"/>
      <c r="AV458" s="160"/>
    </row>
    <row r="459">
      <c r="A459" s="158"/>
      <c r="B459" s="160"/>
      <c r="C459" s="103"/>
      <c r="E459" s="103"/>
      <c r="F459" s="103"/>
      <c r="G459" s="158"/>
      <c r="H459" s="158"/>
      <c r="I459" s="158"/>
      <c r="J459" s="158"/>
      <c r="K459" s="160"/>
      <c r="L459" s="103"/>
      <c r="N459" s="103"/>
      <c r="O459" s="103"/>
      <c r="Y459" s="160"/>
      <c r="Z459" s="160"/>
      <c r="AA459" s="160"/>
      <c r="AB459" s="160"/>
      <c r="AC459" s="160"/>
      <c r="AD459" s="160"/>
      <c r="AE459" s="160"/>
      <c r="AF459" s="160"/>
      <c r="AG459" s="160"/>
      <c r="AH459" s="160"/>
      <c r="AI459" s="160"/>
      <c r="AJ459" s="160"/>
      <c r="AP459" s="160"/>
      <c r="AV459" s="160"/>
    </row>
    <row r="460">
      <c r="A460" s="158"/>
      <c r="B460" s="160"/>
      <c r="C460" s="103"/>
      <c r="E460" s="103"/>
      <c r="F460" s="103"/>
      <c r="G460" s="158"/>
      <c r="H460" s="158"/>
      <c r="I460" s="158"/>
      <c r="J460" s="158"/>
      <c r="K460" s="160"/>
      <c r="L460" s="103"/>
      <c r="N460" s="103"/>
      <c r="O460" s="103"/>
      <c r="Y460" s="160"/>
      <c r="Z460" s="160"/>
      <c r="AA460" s="160"/>
      <c r="AB460" s="160"/>
      <c r="AC460" s="160"/>
      <c r="AD460" s="160"/>
      <c r="AE460" s="160"/>
      <c r="AF460" s="160"/>
      <c r="AG460" s="160"/>
      <c r="AH460" s="160"/>
      <c r="AI460" s="160"/>
      <c r="AJ460" s="160"/>
      <c r="AP460" s="160"/>
      <c r="AV460" s="160"/>
    </row>
    <row r="461">
      <c r="A461" s="158"/>
      <c r="B461" s="160"/>
      <c r="C461" s="103"/>
      <c r="E461" s="103"/>
      <c r="F461" s="103"/>
      <c r="G461" s="158"/>
      <c r="H461" s="158"/>
      <c r="I461" s="158"/>
      <c r="J461" s="158"/>
      <c r="K461" s="160"/>
      <c r="L461" s="103"/>
      <c r="N461" s="103"/>
      <c r="O461" s="103"/>
      <c r="Y461" s="160"/>
      <c r="Z461" s="160"/>
      <c r="AA461" s="160"/>
      <c r="AB461" s="160"/>
      <c r="AC461" s="160"/>
      <c r="AD461" s="160"/>
      <c r="AE461" s="160"/>
      <c r="AF461" s="160"/>
      <c r="AG461" s="160"/>
      <c r="AH461" s="160"/>
      <c r="AI461" s="160"/>
      <c r="AJ461" s="160"/>
      <c r="AP461" s="160"/>
      <c r="AV461" s="160"/>
    </row>
    <row r="462">
      <c r="A462" s="158"/>
      <c r="B462" s="160"/>
      <c r="C462" s="103"/>
      <c r="E462" s="103"/>
      <c r="F462" s="103"/>
      <c r="G462" s="158"/>
      <c r="H462" s="158"/>
      <c r="I462" s="158"/>
      <c r="J462" s="158"/>
      <c r="K462" s="160"/>
      <c r="L462" s="103"/>
      <c r="N462" s="103"/>
      <c r="O462" s="103"/>
      <c r="Y462" s="160"/>
      <c r="Z462" s="160"/>
      <c r="AA462" s="160"/>
      <c r="AB462" s="160"/>
      <c r="AC462" s="160"/>
      <c r="AD462" s="160"/>
      <c r="AE462" s="160"/>
      <c r="AF462" s="160"/>
      <c r="AG462" s="160"/>
      <c r="AH462" s="160"/>
      <c r="AI462" s="160"/>
      <c r="AJ462" s="160"/>
      <c r="AP462" s="160"/>
      <c r="AV462" s="160"/>
    </row>
    <row r="463">
      <c r="A463" s="158"/>
      <c r="B463" s="160"/>
      <c r="C463" s="103"/>
      <c r="E463" s="103"/>
      <c r="F463" s="103"/>
      <c r="G463" s="158"/>
      <c r="H463" s="158"/>
      <c r="I463" s="158"/>
      <c r="J463" s="158"/>
      <c r="K463" s="160"/>
      <c r="L463" s="103"/>
      <c r="N463" s="103"/>
      <c r="O463" s="103"/>
      <c r="Y463" s="160"/>
      <c r="Z463" s="160"/>
      <c r="AA463" s="160"/>
      <c r="AB463" s="160"/>
      <c r="AC463" s="160"/>
      <c r="AD463" s="160"/>
      <c r="AE463" s="160"/>
      <c r="AF463" s="160"/>
      <c r="AG463" s="160"/>
      <c r="AH463" s="160"/>
      <c r="AI463" s="160"/>
      <c r="AJ463" s="160"/>
      <c r="AP463" s="160"/>
      <c r="AV463" s="160"/>
    </row>
    <row r="464">
      <c r="A464" s="158"/>
      <c r="B464" s="160"/>
      <c r="C464" s="103"/>
      <c r="E464" s="103"/>
      <c r="F464" s="103"/>
      <c r="G464" s="158"/>
      <c r="H464" s="158"/>
      <c r="I464" s="158"/>
      <c r="J464" s="158"/>
      <c r="K464" s="160"/>
      <c r="L464" s="103"/>
      <c r="N464" s="103"/>
      <c r="O464" s="103"/>
      <c r="Y464" s="160"/>
      <c r="Z464" s="160"/>
      <c r="AA464" s="160"/>
      <c r="AB464" s="160"/>
      <c r="AC464" s="160"/>
      <c r="AD464" s="160"/>
      <c r="AE464" s="160"/>
      <c r="AF464" s="160"/>
      <c r="AG464" s="160"/>
      <c r="AH464" s="160"/>
      <c r="AI464" s="160"/>
      <c r="AJ464" s="160"/>
      <c r="AP464" s="160"/>
      <c r="AV464" s="160"/>
    </row>
    <row r="465">
      <c r="A465" s="158"/>
      <c r="B465" s="160"/>
      <c r="C465" s="103"/>
      <c r="E465" s="103"/>
      <c r="F465" s="103"/>
      <c r="G465" s="158"/>
      <c r="H465" s="158"/>
      <c r="I465" s="158"/>
      <c r="J465" s="158"/>
      <c r="K465" s="160"/>
      <c r="L465" s="103"/>
      <c r="N465" s="103"/>
      <c r="O465" s="103"/>
      <c r="Y465" s="160"/>
      <c r="Z465" s="160"/>
      <c r="AA465" s="160"/>
      <c r="AB465" s="160"/>
      <c r="AC465" s="160"/>
      <c r="AD465" s="160"/>
      <c r="AE465" s="160"/>
      <c r="AF465" s="160"/>
      <c r="AG465" s="160"/>
      <c r="AH465" s="160"/>
      <c r="AI465" s="160"/>
      <c r="AJ465" s="160"/>
      <c r="AP465" s="160"/>
      <c r="AV465" s="160"/>
    </row>
    <row r="466">
      <c r="A466" s="158"/>
      <c r="B466" s="160"/>
      <c r="C466" s="103"/>
      <c r="E466" s="103"/>
      <c r="F466" s="103"/>
      <c r="G466" s="158"/>
      <c r="H466" s="158"/>
      <c r="I466" s="158"/>
      <c r="J466" s="158"/>
      <c r="K466" s="160"/>
      <c r="L466" s="103"/>
      <c r="N466" s="103"/>
      <c r="O466" s="103"/>
      <c r="Y466" s="160"/>
      <c r="Z466" s="160"/>
      <c r="AA466" s="160"/>
      <c r="AB466" s="160"/>
      <c r="AC466" s="160"/>
      <c r="AD466" s="160"/>
      <c r="AE466" s="160"/>
      <c r="AF466" s="160"/>
      <c r="AG466" s="160"/>
      <c r="AH466" s="160"/>
      <c r="AI466" s="160"/>
      <c r="AJ466" s="160"/>
      <c r="AP466" s="160"/>
      <c r="AV466" s="160"/>
    </row>
    <row r="467">
      <c r="A467" s="158"/>
      <c r="B467" s="160"/>
      <c r="C467" s="103"/>
      <c r="E467" s="103"/>
      <c r="F467" s="103"/>
      <c r="G467" s="158"/>
      <c r="H467" s="158"/>
      <c r="I467" s="158"/>
      <c r="J467" s="158"/>
      <c r="K467" s="160"/>
      <c r="L467" s="103"/>
      <c r="N467" s="103"/>
      <c r="O467" s="103"/>
      <c r="Y467" s="160"/>
      <c r="Z467" s="160"/>
      <c r="AA467" s="160"/>
      <c r="AB467" s="160"/>
      <c r="AC467" s="160"/>
      <c r="AD467" s="160"/>
      <c r="AE467" s="160"/>
      <c r="AF467" s="160"/>
      <c r="AG467" s="160"/>
      <c r="AH467" s="160"/>
      <c r="AI467" s="160"/>
      <c r="AJ467" s="160"/>
      <c r="AP467" s="160"/>
      <c r="AV467" s="160"/>
    </row>
    <row r="468">
      <c r="A468" s="158"/>
      <c r="B468" s="160"/>
      <c r="C468" s="103"/>
      <c r="E468" s="103"/>
      <c r="F468" s="103"/>
      <c r="G468" s="158"/>
      <c r="H468" s="158"/>
      <c r="I468" s="158"/>
      <c r="J468" s="158"/>
      <c r="K468" s="160"/>
      <c r="L468" s="103"/>
      <c r="N468" s="103"/>
      <c r="O468" s="103"/>
      <c r="Y468" s="160"/>
      <c r="Z468" s="160"/>
      <c r="AA468" s="160"/>
      <c r="AB468" s="160"/>
      <c r="AC468" s="160"/>
      <c r="AD468" s="160"/>
      <c r="AE468" s="160"/>
      <c r="AF468" s="160"/>
      <c r="AG468" s="160"/>
      <c r="AH468" s="160"/>
      <c r="AI468" s="160"/>
      <c r="AJ468" s="160"/>
      <c r="AP468" s="160"/>
      <c r="AV468" s="160"/>
    </row>
    <row r="469">
      <c r="A469" s="158"/>
      <c r="B469" s="160"/>
      <c r="C469" s="103"/>
      <c r="E469" s="103"/>
      <c r="F469" s="103"/>
      <c r="G469" s="158"/>
      <c r="H469" s="158"/>
      <c r="I469" s="158"/>
      <c r="J469" s="158"/>
      <c r="K469" s="160"/>
      <c r="L469" s="103"/>
      <c r="N469" s="103"/>
      <c r="O469" s="103"/>
      <c r="Y469" s="160"/>
      <c r="Z469" s="160"/>
      <c r="AA469" s="160"/>
      <c r="AB469" s="160"/>
      <c r="AC469" s="160"/>
      <c r="AD469" s="160"/>
      <c r="AE469" s="160"/>
      <c r="AF469" s="160"/>
      <c r="AG469" s="160"/>
      <c r="AH469" s="160"/>
      <c r="AI469" s="160"/>
      <c r="AJ469" s="160"/>
      <c r="AP469" s="160"/>
      <c r="AV469" s="160"/>
    </row>
    <row r="470">
      <c r="A470" s="158"/>
      <c r="B470" s="160"/>
      <c r="C470" s="103"/>
      <c r="E470" s="103"/>
      <c r="F470" s="103"/>
      <c r="G470" s="158"/>
      <c r="H470" s="158"/>
      <c r="I470" s="158"/>
      <c r="J470" s="158"/>
      <c r="K470" s="160"/>
      <c r="L470" s="103"/>
      <c r="N470" s="103"/>
      <c r="O470" s="103"/>
      <c r="Y470" s="160"/>
      <c r="Z470" s="160"/>
      <c r="AA470" s="160"/>
      <c r="AB470" s="160"/>
      <c r="AC470" s="160"/>
      <c r="AD470" s="160"/>
      <c r="AE470" s="160"/>
      <c r="AF470" s="160"/>
      <c r="AG470" s="160"/>
      <c r="AH470" s="160"/>
      <c r="AI470" s="160"/>
      <c r="AJ470" s="160"/>
      <c r="AP470" s="160"/>
      <c r="AV470" s="160"/>
    </row>
    <row r="471">
      <c r="A471" s="158"/>
      <c r="B471" s="160"/>
      <c r="C471" s="103"/>
      <c r="E471" s="103"/>
      <c r="F471" s="103"/>
      <c r="G471" s="158"/>
      <c r="H471" s="158"/>
      <c r="I471" s="158"/>
      <c r="J471" s="158"/>
      <c r="K471" s="160"/>
      <c r="L471" s="103"/>
      <c r="N471" s="103"/>
      <c r="O471" s="103"/>
      <c r="Y471" s="160"/>
      <c r="Z471" s="160"/>
      <c r="AA471" s="160"/>
      <c r="AB471" s="160"/>
      <c r="AC471" s="160"/>
      <c r="AD471" s="160"/>
      <c r="AE471" s="160"/>
      <c r="AF471" s="160"/>
      <c r="AG471" s="160"/>
      <c r="AH471" s="160"/>
      <c r="AI471" s="160"/>
      <c r="AJ471" s="160"/>
      <c r="AP471" s="160"/>
      <c r="AV471" s="160"/>
    </row>
    <row r="472">
      <c r="A472" s="158"/>
      <c r="B472" s="160"/>
      <c r="C472" s="103"/>
      <c r="E472" s="103"/>
      <c r="F472" s="103"/>
      <c r="G472" s="158"/>
      <c r="H472" s="158"/>
      <c r="I472" s="158"/>
      <c r="J472" s="158"/>
      <c r="K472" s="160"/>
      <c r="L472" s="103"/>
      <c r="N472" s="103"/>
      <c r="O472" s="103"/>
      <c r="Y472" s="160"/>
      <c r="Z472" s="160"/>
      <c r="AA472" s="160"/>
      <c r="AB472" s="160"/>
      <c r="AC472" s="160"/>
      <c r="AD472" s="160"/>
      <c r="AE472" s="160"/>
      <c r="AF472" s="160"/>
      <c r="AG472" s="160"/>
      <c r="AH472" s="160"/>
      <c r="AI472" s="160"/>
      <c r="AJ472" s="160"/>
      <c r="AP472" s="160"/>
      <c r="AV472" s="160"/>
    </row>
    <row r="473">
      <c r="A473" s="158"/>
      <c r="B473" s="160"/>
      <c r="C473" s="103"/>
      <c r="E473" s="103"/>
      <c r="F473" s="103"/>
      <c r="G473" s="158"/>
      <c r="H473" s="158"/>
      <c r="I473" s="158"/>
      <c r="J473" s="158"/>
      <c r="K473" s="160"/>
      <c r="L473" s="103"/>
      <c r="N473" s="103"/>
      <c r="O473" s="103"/>
      <c r="Y473" s="160"/>
      <c r="Z473" s="160"/>
      <c r="AA473" s="160"/>
      <c r="AB473" s="160"/>
      <c r="AC473" s="160"/>
      <c r="AD473" s="160"/>
      <c r="AE473" s="160"/>
      <c r="AF473" s="160"/>
      <c r="AG473" s="160"/>
      <c r="AH473" s="160"/>
      <c r="AI473" s="160"/>
      <c r="AJ473" s="160"/>
      <c r="AP473" s="160"/>
      <c r="AV473" s="160"/>
    </row>
    <row r="474">
      <c r="A474" s="158"/>
      <c r="B474" s="160"/>
      <c r="C474" s="103"/>
      <c r="E474" s="103"/>
      <c r="F474" s="103"/>
      <c r="G474" s="158"/>
      <c r="H474" s="158"/>
      <c r="I474" s="158"/>
      <c r="J474" s="158"/>
      <c r="K474" s="160"/>
      <c r="L474" s="103"/>
      <c r="N474" s="103"/>
      <c r="O474" s="103"/>
      <c r="Y474" s="160"/>
      <c r="Z474" s="160"/>
      <c r="AA474" s="160"/>
      <c r="AB474" s="160"/>
      <c r="AC474" s="160"/>
      <c r="AD474" s="160"/>
      <c r="AE474" s="160"/>
      <c r="AF474" s="160"/>
      <c r="AG474" s="160"/>
      <c r="AH474" s="160"/>
      <c r="AI474" s="160"/>
      <c r="AJ474" s="160"/>
      <c r="AP474" s="160"/>
      <c r="AV474" s="160"/>
    </row>
    <row r="475">
      <c r="A475" s="158"/>
      <c r="B475" s="160"/>
      <c r="C475" s="103"/>
      <c r="E475" s="103"/>
      <c r="F475" s="103"/>
      <c r="G475" s="158"/>
      <c r="H475" s="158"/>
      <c r="I475" s="158"/>
      <c r="J475" s="158"/>
      <c r="K475" s="160"/>
      <c r="L475" s="103"/>
      <c r="N475" s="103"/>
      <c r="O475" s="103"/>
      <c r="Y475" s="160"/>
      <c r="Z475" s="160"/>
      <c r="AA475" s="160"/>
      <c r="AB475" s="160"/>
      <c r="AC475" s="160"/>
      <c r="AD475" s="160"/>
      <c r="AE475" s="160"/>
      <c r="AF475" s="160"/>
      <c r="AG475" s="160"/>
      <c r="AH475" s="160"/>
      <c r="AI475" s="160"/>
      <c r="AJ475" s="160"/>
      <c r="AP475" s="160"/>
      <c r="AV475" s="160"/>
    </row>
    <row r="476">
      <c r="A476" s="158"/>
      <c r="B476" s="160"/>
      <c r="C476" s="103"/>
      <c r="E476" s="103"/>
      <c r="F476" s="103"/>
      <c r="G476" s="158"/>
      <c r="H476" s="158"/>
      <c r="I476" s="158"/>
      <c r="J476" s="158"/>
      <c r="K476" s="160"/>
      <c r="L476" s="103"/>
      <c r="N476" s="103"/>
      <c r="O476" s="103"/>
      <c r="Y476" s="160"/>
      <c r="Z476" s="160"/>
      <c r="AA476" s="160"/>
      <c r="AB476" s="160"/>
      <c r="AC476" s="160"/>
      <c r="AD476" s="160"/>
      <c r="AE476" s="160"/>
      <c r="AF476" s="160"/>
      <c r="AG476" s="160"/>
      <c r="AH476" s="160"/>
      <c r="AI476" s="160"/>
      <c r="AJ476" s="160"/>
      <c r="AP476" s="160"/>
      <c r="AV476" s="160"/>
    </row>
    <row r="477">
      <c r="A477" s="158"/>
      <c r="B477" s="160"/>
      <c r="C477" s="103"/>
      <c r="E477" s="103"/>
      <c r="F477" s="103"/>
      <c r="G477" s="158"/>
      <c r="H477" s="158"/>
      <c r="I477" s="158"/>
      <c r="J477" s="158"/>
      <c r="K477" s="160"/>
      <c r="L477" s="103"/>
      <c r="N477" s="103"/>
      <c r="O477" s="103"/>
      <c r="Y477" s="160"/>
      <c r="Z477" s="160"/>
      <c r="AA477" s="160"/>
      <c r="AB477" s="160"/>
      <c r="AC477" s="160"/>
      <c r="AD477" s="160"/>
      <c r="AE477" s="160"/>
      <c r="AF477" s="160"/>
      <c r="AG477" s="160"/>
      <c r="AH477" s="160"/>
      <c r="AI477" s="160"/>
      <c r="AJ477" s="160"/>
      <c r="AP477" s="160"/>
      <c r="AV477" s="160"/>
    </row>
    <row r="478">
      <c r="A478" s="158"/>
      <c r="B478" s="160"/>
      <c r="C478" s="103"/>
      <c r="E478" s="103"/>
      <c r="F478" s="103"/>
      <c r="G478" s="158"/>
      <c r="H478" s="158"/>
      <c r="I478" s="158"/>
      <c r="J478" s="158"/>
      <c r="K478" s="160"/>
      <c r="L478" s="103"/>
      <c r="N478" s="103"/>
      <c r="O478" s="103"/>
      <c r="Y478" s="160"/>
      <c r="Z478" s="160"/>
      <c r="AA478" s="160"/>
      <c r="AB478" s="160"/>
      <c r="AC478" s="160"/>
      <c r="AD478" s="160"/>
      <c r="AE478" s="160"/>
      <c r="AF478" s="160"/>
      <c r="AG478" s="160"/>
      <c r="AH478" s="160"/>
      <c r="AI478" s="160"/>
      <c r="AJ478" s="160"/>
      <c r="AP478" s="160"/>
      <c r="AV478" s="160"/>
    </row>
    <row r="479">
      <c r="A479" s="158"/>
      <c r="B479" s="160"/>
      <c r="C479" s="103"/>
      <c r="E479" s="103"/>
      <c r="F479" s="103"/>
      <c r="G479" s="158"/>
      <c r="H479" s="158"/>
      <c r="I479" s="158"/>
      <c r="J479" s="158"/>
      <c r="K479" s="160"/>
      <c r="L479" s="103"/>
      <c r="N479" s="103"/>
      <c r="O479" s="103"/>
      <c r="Y479" s="160"/>
      <c r="Z479" s="160"/>
      <c r="AA479" s="160"/>
      <c r="AB479" s="160"/>
      <c r="AC479" s="160"/>
      <c r="AD479" s="160"/>
      <c r="AE479" s="160"/>
      <c r="AF479" s="160"/>
      <c r="AG479" s="160"/>
      <c r="AH479" s="160"/>
      <c r="AI479" s="160"/>
      <c r="AJ479" s="160"/>
      <c r="AP479" s="160"/>
      <c r="AV479" s="160"/>
    </row>
    <row r="480">
      <c r="A480" s="158"/>
      <c r="B480" s="160"/>
      <c r="C480" s="103"/>
      <c r="E480" s="103"/>
      <c r="F480" s="103"/>
      <c r="G480" s="158"/>
      <c r="H480" s="158"/>
      <c r="I480" s="158"/>
      <c r="J480" s="158"/>
      <c r="K480" s="160"/>
      <c r="L480" s="103"/>
      <c r="N480" s="103"/>
      <c r="O480" s="103"/>
      <c r="Y480" s="160"/>
      <c r="Z480" s="160"/>
      <c r="AA480" s="160"/>
      <c r="AB480" s="160"/>
      <c r="AC480" s="160"/>
      <c r="AD480" s="160"/>
      <c r="AE480" s="160"/>
      <c r="AF480" s="160"/>
      <c r="AG480" s="160"/>
      <c r="AH480" s="160"/>
      <c r="AI480" s="160"/>
      <c r="AJ480" s="160"/>
      <c r="AP480" s="160"/>
      <c r="AV480" s="160"/>
    </row>
    <row r="481">
      <c r="A481" s="158"/>
      <c r="B481" s="160"/>
      <c r="C481" s="103"/>
      <c r="E481" s="103"/>
      <c r="F481" s="103"/>
      <c r="G481" s="158"/>
      <c r="H481" s="158"/>
      <c r="I481" s="158"/>
      <c r="J481" s="158"/>
      <c r="K481" s="160"/>
      <c r="L481" s="103"/>
      <c r="N481" s="103"/>
      <c r="O481" s="103"/>
      <c r="Y481" s="160"/>
      <c r="Z481" s="160"/>
      <c r="AA481" s="160"/>
      <c r="AB481" s="160"/>
      <c r="AC481" s="160"/>
      <c r="AD481" s="160"/>
      <c r="AE481" s="160"/>
      <c r="AF481" s="160"/>
      <c r="AG481" s="160"/>
      <c r="AH481" s="160"/>
      <c r="AI481" s="160"/>
      <c r="AJ481" s="160"/>
      <c r="AP481" s="160"/>
      <c r="AV481" s="160"/>
    </row>
    <row r="482">
      <c r="A482" s="158"/>
      <c r="B482" s="160"/>
      <c r="C482" s="103"/>
      <c r="E482" s="103"/>
      <c r="F482" s="103"/>
      <c r="G482" s="158"/>
      <c r="H482" s="158"/>
      <c r="I482" s="158"/>
      <c r="J482" s="158"/>
      <c r="K482" s="160"/>
      <c r="L482" s="103"/>
      <c r="N482" s="103"/>
      <c r="O482" s="103"/>
      <c r="Y482" s="160"/>
      <c r="Z482" s="160"/>
      <c r="AA482" s="160"/>
      <c r="AB482" s="160"/>
      <c r="AC482" s="160"/>
      <c r="AD482" s="160"/>
      <c r="AE482" s="160"/>
      <c r="AF482" s="160"/>
      <c r="AG482" s="160"/>
      <c r="AH482" s="160"/>
      <c r="AI482" s="160"/>
      <c r="AJ482" s="160"/>
      <c r="AP482" s="160"/>
      <c r="AV482" s="160"/>
    </row>
    <row r="483">
      <c r="A483" s="158"/>
      <c r="B483" s="160"/>
      <c r="C483" s="103"/>
      <c r="E483" s="103"/>
      <c r="F483" s="103"/>
      <c r="G483" s="158"/>
      <c r="H483" s="158"/>
      <c r="I483" s="158"/>
      <c r="J483" s="158"/>
      <c r="K483" s="160"/>
      <c r="L483" s="103"/>
      <c r="N483" s="103"/>
      <c r="O483" s="103"/>
      <c r="Y483" s="160"/>
      <c r="Z483" s="160"/>
      <c r="AA483" s="160"/>
      <c r="AB483" s="160"/>
      <c r="AC483" s="160"/>
      <c r="AD483" s="160"/>
      <c r="AE483" s="160"/>
      <c r="AF483" s="160"/>
      <c r="AG483" s="160"/>
      <c r="AH483" s="160"/>
      <c r="AI483" s="160"/>
      <c r="AJ483" s="160"/>
      <c r="AP483" s="160"/>
      <c r="AV483" s="160"/>
    </row>
    <row r="484">
      <c r="A484" s="158"/>
      <c r="B484" s="160"/>
      <c r="C484" s="103"/>
      <c r="E484" s="103"/>
      <c r="F484" s="103"/>
      <c r="G484" s="158"/>
      <c r="H484" s="158"/>
      <c r="I484" s="158"/>
      <c r="J484" s="158"/>
      <c r="K484" s="160"/>
      <c r="L484" s="103"/>
      <c r="N484" s="103"/>
      <c r="O484" s="103"/>
      <c r="Y484" s="160"/>
      <c r="Z484" s="160"/>
      <c r="AA484" s="160"/>
      <c r="AB484" s="160"/>
      <c r="AC484" s="160"/>
      <c r="AD484" s="160"/>
      <c r="AE484" s="160"/>
      <c r="AF484" s="160"/>
      <c r="AG484" s="160"/>
      <c r="AH484" s="160"/>
      <c r="AI484" s="160"/>
      <c r="AJ484" s="160"/>
      <c r="AP484" s="160"/>
      <c r="AV484" s="160"/>
    </row>
    <row r="485">
      <c r="A485" s="158"/>
      <c r="B485" s="160"/>
      <c r="C485" s="103"/>
      <c r="E485" s="103"/>
      <c r="F485" s="103"/>
      <c r="G485" s="158"/>
      <c r="H485" s="158"/>
      <c r="I485" s="158"/>
      <c r="J485" s="158"/>
      <c r="K485" s="160"/>
      <c r="L485" s="103"/>
      <c r="N485" s="103"/>
      <c r="O485" s="103"/>
      <c r="Y485" s="160"/>
      <c r="Z485" s="160"/>
      <c r="AA485" s="160"/>
      <c r="AB485" s="160"/>
      <c r="AC485" s="160"/>
      <c r="AD485" s="160"/>
      <c r="AE485" s="160"/>
      <c r="AF485" s="160"/>
      <c r="AG485" s="160"/>
      <c r="AH485" s="160"/>
      <c r="AI485" s="160"/>
      <c r="AJ485" s="160"/>
      <c r="AP485" s="160"/>
      <c r="AV485" s="160"/>
    </row>
    <row r="486">
      <c r="A486" s="158"/>
      <c r="B486" s="160"/>
      <c r="C486" s="103"/>
      <c r="E486" s="103"/>
      <c r="F486" s="103"/>
      <c r="G486" s="158"/>
      <c r="H486" s="158"/>
      <c r="I486" s="158"/>
      <c r="J486" s="158"/>
      <c r="K486" s="160"/>
      <c r="L486" s="103"/>
      <c r="N486" s="103"/>
      <c r="O486" s="103"/>
      <c r="Y486" s="160"/>
      <c r="Z486" s="160"/>
      <c r="AA486" s="160"/>
      <c r="AB486" s="160"/>
      <c r="AC486" s="160"/>
      <c r="AD486" s="160"/>
      <c r="AE486" s="160"/>
      <c r="AF486" s="160"/>
      <c r="AG486" s="160"/>
      <c r="AH486" s="160"/>
      <c r="AI486" s="160"/>
      <c r="AJ486" s="160"/>
      <c r="AP486" s="160"/>
      <c r="AV486" s="160"/>
    </row>
    <row r="487">
      <c r="A487" s="158"/>
      <c r="B487" s="160"/>
      <c r="C487" s="103"/>
      <c r="E487" s="103"/>
      <c r="F487" s="103"/>
      <c r="G487" s="158"/>
      <c r="H487" s="158"/>
      <c r="I487" s="158"/>
      <c r="J487" s="158"/>
      <c r="K487" s="160"/>
      <c r="L487" s="103"/>
      <c r="N487" s="103"/>
      <c r="O487" s="103"/>
      <c r="Y487" s="160"/>
      <c r="Z487" s="160"/>
      <c r="AA487" s="160"/>
      <c r="AB487" s="160"/>
      <c r="AC487" s="160"/>
      <c r="AD487" s="160"/>
      <c r="AE487" s="160"/>
      <c r="AF487" s="160"/>
      <c r="AG487" s="160"/>
      <c r="AH487" s="160"/>
      <c r="AI487" s="160"/>
      <c r="AJ487" s="160"/>
      <c r="AP487" s="160"/>
      <c r="AV487" s="160"/>
    </row>
    <row r="488">
      <c r="A488" s="158"/>
      <c r="B488" s="160"/>
      <c r="C488" s="103"/>
      <c r="E488" s="103"/>
      <c r="F488" s="103"/>
      <c r="G488" s="158"/>
      <c r="H488" s="158"/>
      <c r="I488" s="158"/>
      <c r="J488" s="158"/>
      <c r="K488" s="160"/>
      <c r="L488" s="103"/>
      <c r="N488" s="103"/>
      <c r="O488" s="103"/>
      <c r="Y488" s="160"/>
      <c r="Z488" s="160"/>
      <c r="AA488" s="160"/>
      <c r="AB488" s="160"/>
      <c r="AC488" s="160"/>
      <c r="AD488" s="160"/>
      <c r="AE488" s="160"/>
      <c r="AF488" s="160"/>
      <c r="AG488" s="160"/>
      <c r="AH488" s="160"/>
      <c r="AI488" s="160"/>
      <c r="AJ488" s="160"/>
      <c r="AP488" s="160"/>
      <c r="AV488" s="160"/>
    </row>
    <row r="489">
      <c r="A489" s="158"/>
      <c r="B489" s="160"/>
      <c r="C489" s="103"/>
      <c r="E489" s="103"/>
      <c r="F489" s="103"/>
      <c r="G489" s="158"/>
      <c r="H489" s="158"/>
      <c r="I489" s="158"/>
      <c r="J489" s="158"/>
      <c r="K489" s="160"/>
      <c r="L489" s="103"/>
      <c r="N489" s="103"/>
      <c r="O489" s="103"/>
      <c r="Y489" s="160"/>
      <c r="Z489" s="160"/>
      <c r="AA489" s="160"/>
      <c r="AB489" s="160"/>
      <c r="AC489" s="160"/>
      <c r="AD489" s="160"/>
      <c r="AE489" s="160"/>
      <c r="AF489" s="160"/>
      <c r="AG489" s="160"/>
      <c r="AH489" s="160"/>
      <c r="AI489" s="160"/>
      <c r="AJ489" s="160"/>
      <c r="AP489" s="160"/>
      <c r="AV489" s="160"/>
    </row>
    <row r="490">
      <c r="A490" s="158"/>
      <c r="B490" s="160"/>
      <c r="C490" s="103"/>
      <c r="E490" s="103"/>
      <c r="F490" s="103"/>
      <c r="G490" s="158"/>
      <c r="H490" s="158"/>
      <c r="I490" s="158"/>
      <c r="J490" s="158"/>
      <c r="K490" s="160"/>
      <c r="L490" s="103"/>
      <c r="N490" s="103"/>
      <c r="O490" s="103"/>
      <c r="Y490" s="160"/>
      <c r="Z490" s="160"/>
      <c r="AA490" s="160"/>
      <c r="AB490" s="160"/>
      <c r="AC490" s="160"/>
      <c r="AD490" s="160"/>
      <c r="AE490" s="160"/>
      <c r="AF490" s="160"/>
      <c r="AG490" s="160"/>
      <c r="AH490" s="160"/>
      <c r="AI490" s="160"/>
      <c r="AJ490" s="160"/>
      <c r="AP490" s="160"/>
      <c r="AV490" s="160"/>
    </row>
    <row r="491">
      <c r="A491" s="158"/>
      <c r="B491" s="160"/>
      <c r="C491" s="103"/>
      <c r="E491" s="103"/>
      <c r="F491" s="103"/>
      <c r="G491" s="158"/>
      <c r="H491" s="158"/>
      <c r="I491" s="158"/>
      <c r="J491" s="158"/>
      <c r="K491" s="160"/>
      <c r="L491" s="103"/>
      <c r="N491" s="103"/>
      <c r="O491" s="103"/>
      <c r="Y491" s="160"/>
      <c r="Z491" s="160"/>
      <c r="AA491" s="160"/>
      <c r="AB491" s="160"/>
      <c r="AC491" s="160"/>
      <c r="AD491" s="160"/>
      <c r="AE491" s="160"/>
      <c r="AF491" s="160"/>
      <c r="AG491" s="160"/>
      <c r="AH491" s="160"/>
      <c r="AI491" s="160"/>
      <c r="AJ491" s="160"/>
      <c r="AP491" s="160"/>
      <c r="AV491" s="160"/>
    </row>
    <row r="492">
      <c r="A492" s="158"/>
      <c r="B492" s="160"/>
      <c r="C492" s="103"/>
      <c r="E492" s="103"/>
      <c r="F492" s="103"/>
      <c r="G492" s="158"/>
      <c r="H492" s="158"/>
      <c r="I492" s="158"/>
      <c r="J492" s="158"/>
      <c r="K492" s="160"/>
      <c r="L492" s="103"/>
      <c r="N492" s="103"/>
      <c r="O492" s="103"/>
      <c r="Y492" s="160"/>
      <c r="Z492" s="160"/>
      <c r="AA492" s="160"/>
      <c r="AB492" s="160"/>
      <c r="AC492" s="160"/>
      <c r="AD492" s="160"/>
      <c r="AE492" s="160"/>
      <c r="AF492" s="160"/>
      <c r="AG492" s="160"/>
      <c r="AH492" s="160"/>
      <c r="AI492" s="160"/>
      <c r="AJ492" s="160"/>
      <c r="AP492" s="160"/>
      <c r="AV492" s="160"/>
    </row>
    <row r="493">
      <c r="A493" s="158"/>
      <c r="B493" s="160"/>
      <c r="C493" s="103"/>
      <c r="E493" s="103"/>
      <c r="F493" s="103"/>
      <c r="G493" s="158"/>
      <c r="H493" s="158"/>
      <c r="I493" s="158"/>
      <c r="J493" s="158"/>
      <c r="K493" s="160"/>
      <c r="L493" s="103"/>
      <c r="N493" s="103"/>
      <c r="O493" s="103"/>
      <c r="Y493" s="160"/>
      <c r="Z493" s="160"/>
      <c r="AA493" s="160"/>
      <c r="AB493" s="160"/>
      <c r="AC493" s="160"/>
      <c r="AD493" s="160"/>
      <c r="AE493" s="160"/>
      <c r="AF493" s="160"/>
      <c r="AG493" s="160"/>
      <c r="AH493" s="160"/>
      <c r="AI493" s="160"/>
      <c r="AJ493" s="160"/>
      <c r="AP493" s="160"/>
      <c r="AV493" s="160"/>
    </row>
    <row r="494">
      <c r="A494" s="158"/>
      <c r="B494" s="160"/>
      <c r="C494" s="103"/>
      <c r="E494" s="103"/>
      <c r="F494" s="103"/>
      <c r="G494" s="158"/>
      <c r="H494" s="158"/>
      <c r="I494" s="158"/>
      <c r="J494" s="158"/>
      <c r="K494" s="160"/>
      <c r="L494" s="103"/>
      <c r="N494" s="103"/>
      <c r="O494" s="103"/>
      <c r="Y494" s="160"/>
      <c r="Z494" s="160"/>
      <c r="AA494" s="160"/>
      <c r="AB494" s="160"/>
      <c r="AC494" s="160"/>
      <c r="AD494" s="160"/>
      <c r="AE494" s="160"/>
      <c r="AF494" s="160"/>
      <c r="AG494" s="160"/>
      <c r="AH494" s="160"/>
      <c r="AI494" s="160"/>
      <c r="AJ494" s="160"/>
      <c r="AP494" s="160"/>
      <c r="AV494" s="160"/>
    </row>
    <row r="495">
      <c r="A495" s="158"/>
      <c r="B495" s="160"/>
      <c r="C495" s="103"/>
      <c r="E495" s="103"/>
      <c r="F495" s="103"/>
      <c r="G495" s="158"/>
      <c r="H495" s="158"/>
      <c r="I495" s="158"/>
      <c r="J495" s="158"/>
      <c r="K495" s="160"/>
      <c r="L495" s="103"/>
      <c r="N495" s="103"/>
      <c r="O495" s="103"/>
      <c r="Y495" s="160"/>
      <c r="Z495" s="160"/>
      <c r="AA495" s="160"/>
      <c r="AB495" s="160"/>
      <c r="AC495" s="160"/>
      <c r="AD495" s="160"/>
      <c r="AE495" s="160"/>
      <c r="AF495" s="160"/>
      <c r="AG495" s="160"/>
      <c r="AH495" s="160"/>
      <c r="AI495" s="160"/>
      <c r="AJ495" s="160"/>
      <c r="AP495" s="160"/>
      <c r="AV495" s="160"/>
    </row>
    <row r="496">
      <c r="A496" s="158"/>
      <c r="B496" s="160"/>
      <c r="C496" s="103"/>
      <c r="E496" s="103"/>
      <c r="F496" s="103"/>
      <c r="G496" s="158"/>
      <c r="H496" s="158"/>
      <c r="I496" s="158"/>
      <c r="J496" s="158"/>
      <c r="K496" s="160"/>
      <c r="L496" s="103"/>
      <c r="N496" s="103"/>
      <c r="O496" s="103"/>
      <c r="Y496" s="160"/>
      <c r="Z496" s="160"/>
      <c r="AA496" s="160"/>
      <c r="AB496" s="160"/>
      <c r="AC496" s="160"/>
      <c r="AD496" s="160"/>
      <c r="AE496" s="160"/>
      <c r="AF496" s="160"/>
      <c r="AG496" s="160"/>
      <c r="AH496" s="160"/>
      <c r="AI496" s="160"/>
      <c r="AJ496" s="160"/>
      <c r="AP496" s="160"/>
      <c r="AV496" s="160"/>
    </row>
    <row r="497">
      <c r="A497" s="158"/>
      <c r="B497" s="160"/>
      <c r="C497" s="103"/>
      <c r="E497" s="103"/>
      <c r="F497" s="103"/>
      <c r="G497" s="158"/>
      <c r="H497" s="158"/>
      <c r="I497" s="158"/>
      <c r="J497" s="158"/>
      <c r="K497" s="160"/>
      <c r="L497" s="103"/>
      <c r="N497" s="103"/>
      <c r="O497" s="103"/>
      <c r="Y497" s="160"/>
      <c r="Z497" s="160"/>
      <c r="AA497" s="160"/>
      <c r="AB497" s="160"/>
      <c r="AC497" s="160"/>
      <c r="AD497" s="160"/>
      <c r="AE497" s="160"/>
      <c r="AF497" s="160"/>
      <c r="AG497" s="160"/>
      <c r="AH497" s="160"/>
      <c r="AI497" s="160"/>
      <c r="AJ497" s="160"/>
      <c r="AP497" s="160"/>
      <c r="AV497" s="160"/>
    </row>
    <row r="498">
      <c r="A498" s="158"/>
      <c r="B498" s="160"/>
      <c r="C498" s="103"/>
      <c r="E498" s="103"/>
      <c r="F498" s="103"/>
      <c r="G498" s="158"/>
      <c r="H498" s="158"/>
      <c r="I498" s="158"/>
      <c r="J498" s="158"/>
      <c r="K498" s="160"/>
      <c r="L498" s="103"/>
      <c r="N498" s="103"/>
      <c r="O498" s="103"/>
      <c r="Y498" s="160"/>
      <c r="Z498" s="160"/>
      <c r="AA498" s="160"/>
      <c r="AB498" s="160"/>
      <c r="AC498" s="160"/>
      <c r="AD498" s="160"/>
      <c r="AE498" s="160"/>
      <c r="AF498" s="160"/>
      <c r="AG498" s="160"/>
      <c r="AH498" s="160"/>
      <c r="AI498" s="160"/>
      <c r="AJ498" s="160"/>
      <c r="AP498" s="160"/>
      <c r="AV498" s="160"/>
    </row>
    <row r="499">
      <c r="A499" s="158"/>
      <c r="B499" s="160"/>
      <c r="C499" s="103"/>
      <c r="E499" s="103"/>
      <c r="F499" s="103"/>
      <c r="G499" s="158"/>
      <c r="H499" s="158"/>
      <c r="I499" s="158"/>
      <c r="J499" s="158"/>
      <c r="K499" s="160"/>
      <c r="L499" s="103"/>
      <c r="N499" s="103"/>
      <c r="O499" s="103"/>
      <c r="Y499" s="160"/>
      <c r="Z499" s="160"/>
      <c r="AA499" s="160"/>
      <c r="AB499" s="160"/>
      <c r="AC499" s="160"/>
      <c r="AD499" s="160"/>
      <c r="AE499" s="160"/>
      <c r="AF499" s="160"/>
      <c r="AG499" s="160"/>
      <c r="AH499" s="160"/>
      <c r="AI499" s="160"/>
      <c r="AJ499" s="160"/>
      <c r="AP499" s="160"/>
      <c r="AV499" s="160"/>
    </row>
    <row r="500">
      <c r="A500" s="158"/>
      <c r="B500" s="160"/>
      <c r="C500" s="103"/>
      <c r="E500" s="103"/>
      <c r="F500" s="103"/>
      <c r="G500" s="158"/>
      <c r="H500" s="158"/>
      <c r="I500" s="158"/>
      <c r="J500" s="158"/>
      <c r="K500" s="160"/>
      <c r="L500" s="103"/>
      <c r="N500" s="103"/>
      <c r="O500" s="103"/>
      <c r="Y500" s="160"/>
      <c r="Z500" s="160"/>
      <c r="AA500" s="160"/>
      <c r="AB500" s="160"/>
      <c r="AC500" s="160"/>
      <c r="AD500" s="160"/>
      <c r="AE500" s="160"/>
      <c r="AF500" s="160"/>
      <c r="AG500" s="160"/>
      <c r="AH500" s="160"/>
      <c r="AI500" s="160"/>
      <c r="AJ500" s="160"/>
      <c r="AP500" s="160"/>
      <c r="AV500" s="160"/>
    </row>
    <row r="501">
      <c r="A501" s="158"/>
      <c r="B501" s="160"/>
      <c r="C501" s="103"/>
      <c r="E501" s="103"/>
      <c r="F501" s="103"/>
      <c r="G501" s="158"/>
      <c r="H501" s="158"/>
      <c r="I501" s="158"/>
      <c r="J501" s="158"/>
      <c r="K501" s="160"/>
      <c r="L501" s="103"/>
      <c r="N501" s="103"/>
      <c r="O501" s="103"/>
      <c r="Y501" s="160"/>
      <c r="Z501" s="160"/>
      <c r="AA501" s="160"/>
      <c r="AB501" s="160"/>
      <c r="AC501" s="160"/>
      <c r="AD501" s="160"/>
      <c r="AE501" s="160"/>
      <c r="AF501" s="160"/>
      <c r="AG501" s="160"/>
      <c r="AH501" s="160"/>
      <c r="AI501" s="160"/>
      <c r="AJ501" s="160"/>
      <c r="AP501" s="160"/>
      <c r="AV501" s="160"/>
    </row>
    <row r="502">
      <c r="A502" s="158"/>
      <c r="B502" s="160"/>
      <c r="C502" s="103"/>
      <c r="E502" s="103"/>
      <c r="F502" s="103"/>
      <c r="G502" s="158"/>
      <c r="H502" s="158"/>
      <c r="I502" s="158"/>
      <c r="J502" s="158"/>
      <c r="K502" s="160"/>
      <c r="L502" s="103"/>
      <c r="N502" s="103"/>
      <c r="O502" s="103"/>
      <c r="Y502" s="160"/>
      <c r="Z502" s="160"/>
      <c r="AA502" s="160"/>
      <c r="AB502" s="160"/>
      <c r="AC502" s="160"/>
      <c r="AD502" s="160"/>
      <c r="AE502" s="160"/>
      <c r="AF502" s="160"/>
      <c r="AG502" s="160"/>
      <c r="AH502" s="160"/>
      <c r="AI502" s="160"/>
      <c r="AJ502" s="160"/>
      <c r="AP502" s="160"/>
      <c r="AV502" s="160"/>
    </row>
    <row r="503">
      <c r="A503" s="158"/>
      <c r="B503" s="160"/>
      <c r="C503" s="103"/>
      <c r="E503" s="103"/>
      <c r="F503" s="103"/>
      <c r="G503" s="158"/>
      <c r="H503" s="158"/>
      <c r="I503" s="158"/>
      <c r="J503" s="158"/>
      <c r="K503" s="160"/>
      <c r="L503" s="103"/>
      <c r="N503" s="103"/>
      <c r="O503" s="103"/>
      <c r="Y503" s="160"/>
      <c r="Z503" s="160"/>
      <c r="AA503" s="160"/>
      <c r="AB503" s="160"/>
      <c r="AC503" s="160"/>
      <c r="AD503" s="160"/>
      <c r="AE503" s="160"/>
      <c r="AF503" s="160"/>
      <c r="AG503" s="160"/>
      <c r="AH503" s="160"/>
      <c r="AI503" s="160"/>
      <c r="AJ503" s="160"/>
      <c r="AP503" s="160"/>
      <c r="AV503" s="160"/>
    </row>
    <row r="504">
      <c r="A504" s="158"/>
      <c r="B504" s="160"/>
      <c r="C504" s="103"/>
      <c r="E504" s="103"/>
      <c r="F504" s="103"/>
      <c r="G504" s="158"/>
      <c r="H504" s="158"/>
      <c r="I504" s="158"/>
      <c r="J504" s="158"/>
      <c r="K504" s="160"/>
      <c r="L504" s="103"/>
      <c r="N504" s="103"/>
      <c r="O504" s="103"/>
      <c r="Y504" s="160"/>
      <c r="Z504" s="160"/>
      <c r="AA504" s="160"/>
      <c r="AB504" s="160"/>
      <c r="AC504" s="160"/>
      <c r="AD504" s="160"/>
      <c r="AE504" s="160"/>
      <c r="AF504" s="160"/>
      <c r="AG504" s="160"/>
      <c r="AH504" s="160"/>
      <c r="AI504" s="160"/>
      <c r="AJ504" s="160"/>
      <c r="AP504" s="160"/>
      <c r="AV504" s="160"/>
    </row>
    <row r="505">
      <c r="A505" s="158"/>
      <c r="B505" s="160"/>
      <c r="C505" s="103"/>
      <c r="E505" s="103"/>
      <c r="F505" s="103"/>
      <c r="G505" s="158"/>
      <c r="H505" s="158"/>
      <c r="I505" s="158"/>
      <c r="J505" s="158"/>
      <c r="K505" s="160"/>
      <c r="L505" s="103"/>
      <c r="N505" s="103"/>
      <c r="O505" s="103"/>
      <c r="Y505" s="160"/>
      <c r="Z505" s="160"/>
      <c r="AA505" s="160"/>
      <c r="AB505" s="160"/>
      <c r="AC505" s="160"/>
      <c r="AD505" s="160"/>
      <c r="AE505" s="160"/>
      <c r="AF505" s="160"/>
      <c r="AG505" s="160"/>
      <c r="AH505" s="160"/>
      <c r="AI505" s="160"/>
      <c r="AJ505" s="160"/>
      <c r="AP505" s="160"/>
      <c r="AV505" s="160"/>
    </row>
    <row r="506">
      <c r="A506" s="158"/>
      <c r="B506" s="160"/>
      <c r="C506" s="103"/>
      <c r="E506" s="103"/>
      <c r="F506" s="103"/>
      <c r="G506" s="158"/>
      <c r="H506" s="158"/>
      <c r="I506" s="158"/>
      <c r="J506" s="158"/>
      <c r="K506" s="160"/>
      <c r="L506" s="103"/>
      <c r="N506" s="103"/>
      <c r="O506" s="103"/>
      <c r="Y506" s="160"/>
      <c r="Z506" s="160"/>
      <c r="AA506" s="160"/>
      <c r="AB506" s="160"/>
      <c r="AC506" s="160"/>
      <c r="AD506" s="160"/>
      <c r="AE506" s="160"/>
      <c r="AF506" s="160"/>
      <c r="AG506" s="160"/>
      <c r="AH506" s="160"/>
      <c r="AI506" s="160"/>
      <c r="AJ506" s="160"/>
      <c r="AP506" s="160"/>
      <c r="AV506" s="160"/>
    </row>
    <row r="507">
      <c r="A507" s="158"/>
      <c r="B507" s="160"/>
      <c r="C507" s="103"/>
      <c r="E507" s="103"/>
      <c r="F507" s="103"/>
      <c r="G507" s="158"/>
      <c r="H507" s="158"/>
      <c r="I507" s="158"/>
      <c r="J507" s="158"/>
      <c r="K507" s="160"/>
      <c r="L507" s="103"/>
      <c r="N507" s="103"/>
      <c r="O507" s="103"/>
      <c r="Y507" s="160"/>
      <c r="Z507" s="160"/>
      <c r="AA507" s="160"/>
      <c r="AB507" s="160"/>
      <c r="AC507" s="160"/>
      <c r="AD507" s="160"/>
      <c r="AE507" s="160"/>
      <c r="AF507" s="160"/>
      <c r="AG507" s="160"/>
      <c r="AH507" s="160"/>
      <c r="AI507" s="160"/>
      <c r="AJ507" s="160"/>
      <c r="AP507" s="160"/>
      <c r="AV507" s="160"/>
    </row>
    <row r="508">
      <c r="A508" s="158"/>
      <c r="B508" s="160"/>
      <c r="C508" s="103"/>
      <c r="E508" s="103"/>
      <c r="F508" s="103"/>
      <c r="G508" s="158"/>
      <c r="H508" s="158"/>
      <c r="I508" s="158"/>
      <c r="J508" s="158"/>
      <c r="K508" s="160"/>
      <c r="L508" s="103"/>
      <c r="N508" s="103"/>
      <c r="O508" s="103"/>
      <c r="Y508" s="160"/>
      <c r="Z508" s="160"/>
      <c r="AA508" s="160"/>
      <c r="AB508" s="160"/>
      <c r="AC508" s="160"/>
      <c r="AD508" s="160"/>
      <c r="AE508" s="160"/>
      <c r="AF508" s="160"/>
      <c r="AG508" s="160"/>
      <c r="AH508" s="160"/>
      <c r="AI508" s="160"/>
      <c r="AJ508" s="160"/>
      <c r="AP508" s="160"/>
      <c r="AV508" s="160"/>
    </row>
    <row r="509">
      <c r="A509" s="158"/>
      <c r="B509" s="160"/>
      <c r="C509" s="103"/>
      <c r="E509" s="103"/>
      <c r="F509" s="103"/>
      <c r="G509" s="158"/>
      <c r="H509" s="158"/>
      <c r="I509" s="158"/>
      <c r="J509" s="158"/>
      <c r="K509" s="160"/>
      <c r="L509" s="103"/>
      <c r="N509" s="103"/>
      <c r="O509" s="103"/>
      <c r="Y509" s="160"/>
      <c r="Z509" s="160"/>
      <c r="AA509" s="160"/>
      <c r="AB509" s="160"/>
      <c r="AC509" s="160"/>
      <c r="AD509" s="160"/>
      <c r="AE509" s="160"/>
      <c r="AF509" s="160"/>
      <c r="AG509" s="160"/>
      <c r="AH509" s="160"/>
      <c r="AI509" s="160"/>
      <c r="AJ509" s="160"/>
      <c r="AP509" s="160"/>
      <c r="AV509" s="160"/>
    </row>
    <row r="510">
      <c r="A510" s="158"/>
      <c r="B510" s="160"/>
      <c r="C510" s="103"/>
      <c r="E510" s="103"/>
      <c r="F510" s="103"/>
      <c r="G510" s="158"/>
      <c r="H510" s="158"/>
      <c r="I510" s="158"/>
      <c r="J510" s="158"/>
      <c r="K510" s="160"/>
      <c r="L510" s="103"/>
      <c r="N510" s="103"/>
      <c r="O510" s="103"/>
      <c r="Y510" s="160"/>
      <c r="Z510" s="160"/>
      <c r="AA510" s="160"/>
      <c r="AB510" s="160"/>
      <c r="AC510" s="160"/>
      <c r="AD510" s="160"/>
      <c r="AE510" s="160"/>
      <c r="AF510" s="160"/>
      <c r="AG510" s="160"/>
      <c r="AH510" s="160"/>
      <c r="AI510" s="160"/>
      <c r="AJ510" s="160"/>
      <c r="AP510" s="160"/>
      <c r="AV510" s="160"/>
    </row>
    <row r="511">
      <c r="A511" s="158"/>
      <c r="B511" s="160"/>
      <c r="C511" s="103"/>
      <c r="E511" s="103"/>
      <c r="F511" s="103"/>
      <c r="G511" s="158"/>
      <c r="H511" s="158"/>
      <c r="I511" s="158"/>
      <c r="J511" s="158"/>
      <c r="K511" s="160"/>
      <c r="L511" s="103"/>
      <c r="N511" s="103"/>
      <c r="O511" s="103"/>
      <c r="Y511" s="160"/>
      <c r="Z511" s="160"/>
      <c r="AA511" s="160"/>
      <c r="AB511" s="160"/>
      <c r="AC511" s="160"/>
      <c r="AD511" s="160"/>
      <c r="AE511" s="160"/>
      <c r="AF511" s="160"/>
      <c r="AG511" s="160"/>
      <c r="AH511" s="160"/>
      <c r="AI511" s="160"/>
      <c r="AJ511" s="160"/>
      <c r="AP511" s="160"/>
      <c r="AV511" s="160"/>
    </row>
    <row r="512">
      <c r="A512" s="158"/>
      <c r="B512" s="160"/>
      <c r="C512" s="103"/>
      <c r="E512" s="103"/>
      <c r="F512" s="103"/>
      <c r="G512" s="158"/>
      <c r="H512" s="158"/>
      <c r="I512" s="158"/>
      <c r="J512" s="158"/>
      <c r="K512" s="160"/>
      <c r="L512" s="103"/>
      <c r="N512" s="103"/>
      <c r="O512" s="103"/>
      <c r="Y512" s="160"/>
      <c r="Z512" s="160"/>
      <c r="AA512" s="160"/>
      <c r="AB512" s="160"/>
      <c r="AC512" s="160"/>
      <c r="AD512" s="160"/>
      <c r="AE512" s="160"/>
      <c r="AF512" s="160"/>
      <c r="AG512" s="160"/>
      <c r="AH512" s="160"/>
      <c r="AI512" s="160"/>
      <c r="AJ512" s="160"/>
      <c r="AP512" s="160"/>
      <c r="AV512" s="160"/>
    </row>
    <row r="513">
      <c r="A513" s="158"/>
      <c r="B513" s="160"/>
      <c r="C513" s="103"/>
      <c r="E513" s="103"/>
      <c r="F513" s="103"/>
      <c r="G513" s="158"/>
      <c r="H513" s="158"/>
      <c r="I513" s="158"/>
      <c r="J513" s="158"/>
      <c r="K513" s="160"/>
      <c r="L513" s="103"/>
      <c r="N513" s="103"/>
      <c r="O513" s="103"/>
      <c r="Y513" s="160"/>
      <c r="Z513" s="160"/>
      <c r="AA513" s="160"/>
      <c r="AB513" s="160"/>
      <c r="AC513" s="160"/>
      <c r="AD513" s="160"/>
      <c r="AE513" s="160"/>
      <c r="AF513" s="160"/>
      <c r="AG513" s="160"/>
      <c r="AH513" s="160"/>
      <c r="AI513" s="160"/>
      <c r="AJ513" s="160"/>
      <c r="AP513" s="160"/>
      <c r="AV513" s="160"/>
    </row>
    <row r="514">
      <c r="A514" s="158"/>
      <c r="B514" s="160"/>
      <c r="C514" s="103"/>
      <c r="E514" s="103"/>
      <c r="F514" s="103"/>
      <c r="G514" s="158"/>
      <c r="H514" s="158"/>
      <c r="I514" s="158"/>
      <c r="J514" s="158"/>
      <c r="K514" s="160"/>
      <c r="L514" s="103"/>
      <c r="N514" s="103"/>
      <c r="O514" s="103"/>
      <c r="Y514" s="160"/>
      <c r="Z514" s="160"/>
      <c r="AA514" s="160"/>
      <c r="AB514" s="160"/>
      <c r="AC514" s="160"/>
      <c r="AD514" s="160"/>
      <c r="AE514" s="160"/>
      <c r="AF514" s="160"/>
      <c r="AG514" s="160"/>
      <c r="AH514" s="160"/>
      <c r="AI514" s="160"/>
      <c r="AJ514" s="160"/>
      <c r="AP514" s="160"/>
      <c r="AV514" s="160"/>
    </row>
    <row r="515">
      <c r="A515" s="158"/>
      <c r="B515" s="160"/>
      <c r="C515" s="103"/>
      <c r="E515" s="103"/>
      <c r="F515" s="103"/>
      <c r="G515" s="158"/>
      <c r="H515" s="158"/>
      <c r="I515" s="158"/>
      <c r="J515" s="158"/>
      <c r="K515" s="160"/>
      <c r="L515" s="103"/>
      <c r="N515" s="103"/>
      <c r="O515" s="103"/>
      <c r="Y515" s="160"/>
      <c r="Z515" s="160"/>
      <c r="AA515" s="160"/>
      <c r="AB515" s="160"/>
      <c r="AC515" s="160"/>
      <c r="AD515" s="160"/>
      <c r="AE515" s="160"/>
      <c r="AF515" s="160"/>
      <c r="AG515" s="160"/>
      <c r="AH515" s="160"/>
      <c r="AI515" s="160"/>
      <c r="AJ515" s="160"/>
      <c r="AP515" s="160"/>
      <c r="AV515" s="160"/>
    </row>
    <row r="516">
      <c r="A516" s="158"/>
      <c r="B516" s="160"/>
      <c r="C516" s="103"/>
      <c r="E516" s="103"/>
      <c r="F516" s="103"/>
      <c r="G516" s="158"/>
      <c r="H516" s="158"/>
      <c r="I516" s="158"/>
      <c r="J516" s="158"/>
      <c r="K516" s="160"/>
      <c r="L516" s="103"/>
      <c r="N516" s="103"/>
      <c r="O516" s="103"/>
      <c r="Y516" s="160"/>
      <c r="Z516" s="160"/>
      <c r="AA516" s="160"/>
      <c r="AB516" s="160"/>
      <c r="AC516" s="160"/>
      <c r="AD516" s="160"/>
      <c r="AE516" s="160"/>
      <c r="AF516" s="160"/>
      <c r="AG516" s="160"/>
      <c r="AH516" s="160"/>
      <c r="AI516" s="160"/>
      <c r="AJ516" s="160"/>
      <c r="AP516" s="160"/>
      <c r="AV516" s="160"/>
    </row>
    <row r="517">
      <c r="A517" s="158"/>
      <c r="B517" s="160"/>
      <c r="C517" s="103"/>
      <c r="E517" s="103"/>
      <c r="F517" s="103"/>
      <c r="G517" s="158"/>
      <c r="H517" s="158"/>
      <c r="I517" s="158"/>
      <c r="J517" s="158"/>
      <c r="K517" s="160"/>
      <c r="L517" s="103"/>
      <c r="N517" s="103"/>
      <c r="O517" s="103"/>
      <c r="Y517" s="160"/>
      <c r="Z517" s="160"/>
      <c r="AA517" s="160"/>
      <c r="AB517" s="160"/>
      <c r="AC517" s="160"/>
      <c r="AD517" s="160"/>
      <c r="AE517" s="160"/>
      <c r="AF517" s="160"/>
      <c r="AG517" s="160"/>
      <c r="AH517" s="160"/>
      <c r="AI517" s="160"/>
      <c r="AJ517" s="160"/>
      <c r="AP517" s="160"/>
      <c r="AV517" s="160"/>
    </row>
    <row r="518">
      <c r="A518" s="158"/>
      <c r="B518" s="160"/>
      <c r="C518" s="103"/>
      <c r="E518" s="103"/>
      <c r="F518" s="103"/>
      <c r="G518" s="158"/>
      <c r="H518" s="158"/>
      <c r="I518" s="158"/>
      <c r="J518" s="158"/>
      <c r="K518" s="160"/>
      <c r="L518" s="103"/>
      <c r="N518" s="103"/>
      <c r="O518" s="103"/>
      <c r="Y518" s="160"/>
      <c r="Z518" s="160"/>
      <c r="AA518" s="160"/>
      <c r="AB518" s="160"/>
      <c r="AC518" s="160"/>
      <c r="AD518" s="160"/>
      <c r="AE518" s="160"/>
      <c r="AF518" s="160"/>
      <c r="AG518" s="160"/>
      <c r="AH518" s="160"/>
      <c r="AI518" s="160"/>
      <c r="AJ518" s="160"/>
      <c r="AP518" s="160"/>
      <c r="AV518" s="160"/>
    </row>
    <row r="519">
      <c r="A519" s="158"/>
      <c r="B519" s="160"/>
      <c r="C519" s="103"/>
      <c r="E519" s="103"/>
      <c r="F519" s="103"/>
      <c r="G519" s="158"/>
      <c r="H519" s="158"/>
      <c r="I519" s="158"/>
      <c r="J519" s="158"/>
      <c r="K519" s="160"/>
      <c r="L519" s="103"/>
      <c r="N519" s="103"/>
      <c r="O519" s="103"/>
      <c r="Y519" s="160"/>
      <c r="Z519" s="160"/>
      <c r="AA519" s="160"/>
      <c r="AB519" s="160"/>
      <c r="AC519" s="160"/>
      <c r="AD519" s="160"/>
      <c r="AE519" s="160"/>
      <c r="AF519" s="160"/>
      <c r="AG519" s="160"/>
      <c r="AH519" s="160"/>
      <c r="AI519" s="160"/>
      <c r="AJ519" s="160"/>
      <c r="AP519" s="160"/>
      <c r="AV519" s="160"/>
    </row>
    <row r="520">
      <c r="A520" s="158"/>
      <c r="B520" s="160"/>
      <c r="C520" s="103"/>
      <c r="E520" s="103"/>
      <c r="F520" s="103"/>
      <c r="G520" s="158"/>
      <c r="H520" s="158"/>
      <c r="I520" s="158"/>
      <c r="J520" s="158"/>
      <c r="K520" s="160"/>
      <c r="L520" s="103"/>
      <c r="N520" s="103"/>
      <c r="O520" s="103"/>
      <c r="Y520" s="160"/>
      <c r="Z520" s="160"/>
      <c r="AA520" s="160"/>
      <c r="AB520" s="160"/>
      <c r="AC520" s="160"/>
      <c r="AD520" s="160"/>
      <c r="AE520" s="160"/>
      <c r="AF520" s="160"/>
      <c r="AG520" s="160"/>
      <c r="AH520" s="160"/>
      <c r="AI520" s="160"/>
      <c r="AJ520" s="160"/>
      <c r="AP520" s="160"/>
      <c r="AV520" s="160"/>
    </row>
    <row r="521">
      <c r="A521" s="158"/>
      <c r="B521" s="160"/>
      <c r="C521" s="103"/>
      <c r="E521" s="103"/>
      <c r="F521" s="103"/>
      <c r="G521" s="158"/>
      <c r="H521" s="158"/>
      <c r="I521" s="158"/>
      <c r="J521" s="158"/>
      <c r="K521" s="160"/>
      <c r="L521" s="103"/>
      <c r="N521" s="103"/>
      <c r="O521" s="103"/>
      <c r="Y521" s="160"/>
      <c r="Z521" s="160"/>
      <c r="AA521" s="160"/>
      <c r="AB521" s="160"/>
      <c r="AC521" s="160"/>
      <c r="AD521" s="160"/>
      <c r="AE521" s="160"/>
      <c r="AF521" s="160"/>
      <c r="AG521" s="160"/>
      <c r="AH521" s="160"/>
      <c r="AI521" s="160"/>
      <c r="AJ521" s="160"/>
      <c r="AP521" s="160"/>
      <c r="AV521" s="160"/>
    </row>
    <row r="522">
      <c r="A522" s="158"/>
      <c r="B522" s="160"/>
      <c r="C522" s="103"/>
      <c r="E522" s="103"/>
      <c r="F522" s="103"/>
      <c r="G522" s="158"/>
      <c r="H522" s="158"/>
      <c r="I522" s="158"/>
      <c r="J522" s="158"/>
      <c r="K522" s="160"/>
      <c r="L522" s="103"/>
      <c r="N522" s="103"/>
      <c r="O522" s="103"/>
      <c r="Y522" s="160"/>
      <c r="Z522" s="160"/>
      <c r="AA522" s="160"/>
      <c r="AB522" s="160"/>
      <c r="AC522" s="160"/>
      <c r="AD522" s="160"/>
      <c r="AE522" s="160"/>
      <c r="AF522" s="160"/>
      <c r="AG522" s="160"/>
      <c r="AH522" s="160"/>
      <c r="AI522" s="160"/>
      <c r="AJ522" s="160"/>
      <c r="AP522" s="160"/>
      <c r="AV522" s="160"/>
    </row>
    <row r="523">
      <c r="A523" s="158"/>
      <c r="B523" s="160"/>
      <c r="C523" s="103"/>
      <c r="E523" s="103"/>
      <c r="F523" s="103"/>
      <c r="G523" s="158"/>
      <c r="H523" s="158"/>
      <c r="I523" s="158"/>
      <c r="J523" s="158"/>
      <c r="K523" s="160"/>
      <c r="L523" s="103"/>
      <c r="N523" s="103"/>
      <c r="O523" s="103"/>
      <c r="Y523" s="160"/>
      <c r="Z523" s="160"/>
      <c r="AA523" s="160"/>
      <c r="AB523" s="160"/>
      <c r="AC523" s="160"/>
      <c r="AD523" s="160"/>
      <c r="AE523" s="160"/>
      <c r="AF523" s="160"/>
      <c r="AG523" s="160"/>
      <c r="AH523" s="160"/>
      <c r="AI523" s="160"/>
      <c r="AJ523" s="160"/>
      <c r="AP523" s="160"/>
      <c r="AV523" s="160"/>
    </row>
    <row r="524">
      <c r="A524" s="158"/>
      <c r="B524" s="160"/>
      <c r="C524" s="103"/>
      <c r="E524" s="103"/>
      <c r="F524" s="103"/>
      <c r="G524" s="158"/>
      <c r="H524" s="158"/>
      <c r="I524" s="158"/>
      <c r="J524" s="158"/>
      <c r="K524" s="160"/>
      <c r="L524" s="103"/>
      <c r="N524" s="103"/>
      <c r="O524" s="103"/>
      <c r="Y524" s="160"/>
      <c r="Z524" s="160"/>
      <c r="AA524" s="160"/>
      <c r="AB524" s="160"/>
      <c r="AC524" s="160"/>
      <c r="AD524" s="160"/>
      <c r="AE524" s="160"/>
      <c r="AF524" s="160"/>
      <c r="AG524" s="160"/>
      <c r="AH524" s="160"/>
      <c r="AI524" s="160"/>
      <c r="AJ524" s="160"/>
      <c r="AP524" s="160"/>
      <c r="AV524" s="160"/>
    </row>
    <row r="525">
      <c r="A525" s="158"/>
      <c r="B525" s="160"/>
      <c r="C525" s="103"/>
      <c r="E525" s="103"/>
      <c r="F525" s="103"/>
      <c r="G525" s="158"/>
      <c r="H525" s="158"/>
      <c r="I525" s="158"/>
      <c r="J525" s="158"/>
      <c r="K525" s="160"/>
      <c r="L525" s="103"/>
      <c r="N525" s="103"/>
      <c r="O525" s="103"/>
      <c r="Y525" s="160"/>
      <c r="Z525" s="160"/>
      <c r="AA525" s="160"/>
      <c r="AB525" s="160"/>
      <c r="AC525" s="160"/>
      <c r="AD525" s="160"/>
      <c r="AE525" s="160"/>
      <c r="AF525" s="160"/>
      <c r="AG525" s="160"/>
      <c r="AH525" s="160"/>
      <c r="AI525" s="160"/>
      <c r="AJ525" s="160"/>
      <c r="AP525" s="160"/>
      <c r="AV525" s="160"/>
    </row>
    <row r="526">
      <c r="A526" s="158"/>
      <c r="B526" s="160"/>
      <c r="C526" s="103"/>
      <c r="E526" s="103"/>
      <c r="F526" s="103"/>
      <c r="G526" s="158"/>
      <c r="H526" s="158"/>
      <c r="I526" s="158"/>
      <c r="J526" s="158"/>
      <c r="K526" s="160"/>
      <c r="L526" s="103"/>
      <c r="N526" s="103"/>
      <c r="O526" s="103"/>
      <c r="Y526" s="160"/>
      <c r="Z526" s="160"/>
      <c r="AA526" s="160"/>
      <c r="AB526" s="160"/>
      <c r="AC526" s="160"/>
      <c r="AD526" s="160"/>
      <c r="AE526" s="160"/>
      <c r="AF526" s="160"/>
      <c r="AG526" s="160"/>
      <c r="AH526" s="160"/>
      <c r="AI526" s="160"/>
      <c r="AJ526" s="160"/>
      <c r="AP526" s="160"/>
      <c r="AV526" s="160"/>
    </row>
    <row r="527">
      <c r="A527" s="158"/>
      <c r="B527" s="160"/>
      <c r="C527" s="103"/>
      <c r="E527" s="103"/>
      <c r="F527" s="103"/>
      <c r="G527" s="158"/>
      <c r="H527" s="158"/>
      <c r="I527" s="158"/>
      <c r="J527" s="158"/>
      <c r="K527" s="160"/>
      <c r="L527" s="103"/>
      <c r="N527" s="103"/>
      <c r="O527" s="103"/>
      <c r="Y527" s="160"/>
      <c r="Z527" s="160"/>
      <c r="AA527" s="160"/>
      <c r="AB527" s="160"/>
      <c r="AC527" s="160"/>
      <c r="AD527" s="160"/>
      <c r="AE527" s="160"/>
      <c r="AF527" s="160"/>
      <c r="AG527" s="160"/>
      <c r="AH527" s="160"/>
      <c r="AI527" s="160"/>
      <c r="AJ527" s="160"/>
      <c r="AP527" s="160"/>
      <c r="AV527" s="160"/>
    </row>
    <row r="528">
      <c r="A528" s="158"/>
      <c r="B528" s="160"/>
      <c r="C528" s="103"/>
      <c r="E528" s="103"/>
      <c r="F528" s="103"/>
      <c r="G528" s="158"/>
      <c r="H528" s="158"/>
      <c r="I528" s="158"/>
      <c r="J528" s="158"/>
      <c r="K528" s="160"/>
      <c r="L528" s="103"/>
      <c r="N528" s="103"/>
      <c r="O528" s="103"/>
      <c r="Y528" s="160"/>
      <c r="Z528" s="160"/>
      <c r="AA528" s="160"/>
      <c r="AB528" s="160"/>
      <c r="AC528" s="160"/>
      <c r="AD528" s="160"/>
      <c r="AE528" s="160"/>
      <c r="AF528" s="160"/>
      <c r="AG528" s="160"/>
      <c r="AH528" s="160"/>
      <c r="AI528" s="160"/>
      <c r="AJ528" s="160"/>
      <c r="AP528" s="160"/>
      <c r="AV528" s="160"/>
    </row>
    <row r="529">
      <c r="A529" s="158"/>
      <c r="B529" s="160"/>
      <c r="C529" s="103"/>
      <c r="E529" s="103"/>
      <c r="F529" s="103"/>
      <c r="G529" s="158"/>
      <c r="H529" s="158"/>
      <c r="I529" s="158"/>
      <c r="J529" s="158"/>
      <c r="K529" s="160"/>
      <c r="L529" s="103"/>
      <c r="N529" s="103"/>
      <c r="O529" s="103"/>
      <c r="Y529" s="160"/>
      <c r="Z529" s="160"/>
      <c r="AA529" s="160"/>
      <c r="AB529" s="160"/>
      <c r="AC529" s="160"/>
      <c r="AD529" s="160"/>
      <c r="AE529" s="160"/>
      <c r="AF529" s="160"/>
      <c r="AG529" s="160"/>
      <c r="AH529" s="160"/>
      <c r="AI529" s="160"/>
      <c r="AJ529" s="160"/>
      <c r="AP529" s="160"/>
      <c r="AV529" s="160"/>
    </row>
    <row r="530">
      <c r="A530" s="158"/>
      <c r="B530" s="160"/>
      <c r="C530" s="103"/>
      <c r="E530" s="103"/>
      <c r="F530" s="103"/>
      <c r="G530" s="158"/>
      <c r="H530" s="158"/>
      <c r="I530" s="158"/>
      <c r="J530" s="158"/>
      <c r="K530" s="160"/>
      <c r="L530" s="103"/>
      <c r="N530" s="103"/>
      <c r="O530" s="103"/>
      <c r="Y530" s="160"/>
      <c r="Z530" s="160"/>
      <c r="AA530" s="160"/>
      <c r="AB530" s="160"/>
      <c r="AC530" s="160"/>
      <c r="AD530" s="160"/>
      <c r="AE530" s="160"/>
      <c r="AF530" s="160"/>
      <c r="AG530" s="160"/>
      <c r="AH530" s="160"/>
      <c r="AI530" s="160"/>
      <c r="AJ530" s="160"/>
      <c r="AP530" s="160"/>
      <c r="AV530" s="160"/>
    </row>
    <row r="531">
      <c r="A531" s="158"/>
      <c r="B531" s="160"/>
      <c r="C531" s="103"/>
      <c r="E531" s="103"/>
      <c r="F531" s="103"/>
      <c r="G531" s="158"/>
      <c r="H531" s="158"/>
      <c r="I531" s="158"/>
      <c r="J531" s="158"/>
      <c r="K531" s="160"/>
      <c r="L531" s="103"/>
      <c r="N531" s="103"/>
      <c r="O531" s="103"/>
      <c r="Y531" s="160"/>
      <c r="Z531" s="160"/>
      <c r="AA531" s="160"/>
      <c r="AB531" s="160"/>
      <c r="AC531" s="160"/>
      <c r="AD531" s="160"/>
      <c r="AE531" s="160"/>
      <c r="AF531" s="160"/>
      <c r="AG531" s="160"/>
      <c r="AH531" s="160"/>
      <c r="AI531" s="160"/>
      <c r="AJ531" s="160"/>
      <c r="AP531" s="160"/>
      <c r="AV531" s="160"/>
    </row>
    <row r="532">
      <c r="A532" s="158"/>
      <c r="B532" s="160"/>
      <c r="C532" s="103"/>
      <c r="E532" s="103"/>
      <c r="F532" s="103"/>
      <c r="G532" s="158"/>
      <c r="H532" s="158"/>
      <c r="I532" s="158"/>
      <c r="J532" s="158"/>
      <c r="K532" s="160"/>
      <c r="L532" s="103"/>
      <c r="N532" s="103"/>
      <c r="O532" s="103"/>
      <c r="Y532" s="160"/>
      <c r="Z532" s="160"/>
      <c r="AA532" s="160"/>
      <c r="AB532" s="160"/>
      <c r="AC532" s="160"/>
      <c r="AD532" s="160"/>
      <c r="AE532" s="160"/>
      <c r="AF532" s="160"/>
      <c r="AG532" s="160"/>
      <c r="AH532" s="160"/>
      <c r="AI532" s="160"/>
      <c r="AJ532" s="160"/>
      <c r="AP532" s="160"/>
      <c r="AV532" s="160"/>
    </row>
    <row r="533">
      <c r="A533" s="158"/>
      <c r="B533" s="160"/>
      <c r="C533" s="103"/>
      <c r="E533" s="103"/>
      <c r="F533" s="103"/>
      <c r="G533" s="158"/>
      <c r="H533" s="158"/>
      <c r="I533" s="158"/>
      <c r="J533" s="158"/>
      <c r="K533" s="160"/>
      <c r="L533" s="103"/>
      <c r="N533" s="103"/>
      <c r="O533" s="103"/>
      <c r="Y533" s="160"/>
      <c r="Z533" s="160"/>
      <c r="AA533" s="160"/>
      <c r="AB533" s="160"/>
      <c r="AC533" s="160"/>
      <c r="AD533" s="160"/>
      <c r="AE533" s="160"/>
      <c r="AF533" s="160"/>
      <c r="AG533" s="160"/>
      <c r="AH533" s="160"/>
      <c r="AI533" s="160"/>
      <c r="AJ533" s="160"/>
      <c r="AP533" s="160"/>
      <c r="AV533" s="160"/>
    </row>
    <row r="534">
      <c r="A534" s="158"/>
      <c r="B534" s="160"/>
      <c r="C534" s="103"/>
      <c r="E534" s="103"/>
      <c r="F534" s="103"/>
      <c r="G534" s="158"/>
      <c r="H534" s="158"/>
      <c r="I534" s="158"/>
      <c r="J534" s="158"/>
      <c r="K534" s="160"/>
      <c r="L534" s="103"/>
      <c r="N534" s="103"/>
      <c r="O534" s="103"/>
      <c r="Y534" s="160"/>
      <c r="Z534" s="160"/>
      <c r="AA534" s="160"/>
      <c r="AB534" s="160"/>
      <c r="AC534" s="160"/>
      <c r="AD534" s="160"/>
      <c r="AE534" s="160"/>
      <c r="AF534" s="160"/>
      <c r="AG534" s="160"/>
      <c r="AH534" s="160"/>
      <c r="AI534" s="160"/>
      <c r="AJ534" s="160"/>
      <c r="AP534" s="160"/>
      <c r="AV534" s="160"/>
    </row>
    <row r="535">
      <c r="A535" s="158"/>
      <c r="B535" s="160"/>
      <c r="C535" s="103"/>
      <c r="E535" s="103"/>
      <c r="F535" s="103"/>
      <c r="G535" s="158"/>
      <c r="H535" s="158"/>
      <c r="I535" s="158"/>
      <c r="J535" s="158"/>
      <c r="K535" s="160"/>
      <c r="L535" s="103"/>
      <c r="N535" s="103"/>
      <c r="O535" s="103"/>
      <c r="Y535" s="160"/>
      <c r="Z535" s="160"/>
      <c r="AA535" s="160"/>
      <c r="AB535" s="160"/>
      <c r="AC535" s="160"/>
      <c r="AD535" s="160"/>
      <c r="AE535" s="160"/>
      <c r="AF535" s="160"/>
      <c r="AG535" s="160"/>
      <c r="AH535" s="160"/>
      <c r="AI535" s="160"/>
      <c r="AJ535" s="160"/>
      <c r="AP535" s="160"/>
      <c r="AV535" s="160"/>
    </row>
    <row r="536">
      <c r="A536" s="158"/>
      <c r="B536" s="160"/>
      <c r="C536" s="103"/>
      <c r="E536" s="103"/>
      <c r="F536" s="103"/>
      <c r="G536" s="158"/>
      <c r="H536" s="158"/>
      <c r="I536" s="158"/>
      <c r="J536" s="158"/>
      <c r="K536" s="160"/>
      <c r="L536" s="103"/>
      <c r="N536" s="103"/>
      <c r="O536" s="103"/>
      <c r="Y536" s="160"/>
      <c r="Z536" s="160"/>
      <c r="AA536" s="160"/>
      <c r="AB536" s="160"/>
      <c r="AC536" s="160"/>
      <c r="AD536" s="160"/>
      <c r="AE536" s="160"/>
      <c r="AF536" s="160"/>
      <c r="AG536" s="160"/>
      <c r="AH536" s="160"/>
      <c r="AI536" s="160"/>
      <c r="AJ536" s="160"/>
      <c r="AP536" s="160"/>
      <c r="AV536" s="160"/>
    </row>
    <row r="537">
      <c r="A537" s="158"/>
      <c r="B537" s="160"/>
      <c r="C537" s="103"/>
      <c r="E537" s="103"/>
      <c r="F537" s="103"/>
      <c r="G537" s="158"/>
      <c r="H537" s="158"/>
      <c r="I537" s="158"/>
      <c r="J537" s="158"/>
      <c r="K537" s="160"/>
      <c r="L537" s="103"/>
      <c r="N537" s="103"/>
      <c r="O537" s="103"/>
      <c r="Y537" s="160"/>
      <c r="Z537" s="160"/>
      <c r="AA537" s="160"/>
      <c r="AB537" s="160"/>
      <c r="AC537" s="160"/>
      <c r="AD537" s="160"/>
      <c r="AE537" s="160"/>
      <c r="AF537" s="160"/>
      <c r="AG537" s="160"/>
      <c r="AH537" s="160"/>
      <c r="AI537" s="160"/>
      <c r="AJ537" s="160"/>
      <c r="AP537" s="160"/>
      <c r="AV537" s="160"/>
    </row>
    <row r="538">
      <c r="A538" s="158"/>
      <c r="B538" s="160"/>
      <c r="C538" s="103"/>
      <c r="E538" s="103"/>
      <c r="F538" s="103"/>
      <c r="G538" s="158"/>
      <c r="H538" s="158"/>
      <c r="I538" s="158"/>
      <c r="J538" s="158"/>
      <c r="K538" s="160"/>
      <c r="L538" s="103"/>
      <c r="N538" s="103"/>
      <c r="O538" s="103"/>
      <c r="Y538" s="160"/>
      <c r="Z538" s="160"/>
      <c r="AA538" s="160"/>
      <c r="AB538" s="160"/>
      <c r="AC538" s="160"/>
      <c r="AD538" s="160"/>
      <c r="AE538" s="160"/>
      <c r="AF538" s="160"/>
      <c r="AG538" s="160"/>
      <c r="AH538" s="160"/>
      <c r="AI538" s="160"/>
      <c r="AJ538" s="160"/>
      <c r="AP538" s="160"/>
      <c r="AV538" s="160"/>
    </row>
    <row r="539">
      <c r="A539" s="158"/>
      <c r="B539" s="160"/>
      <c r="C539" s="103"/>
      <c r="E539" s="103"/>
      <c r="F539" s="103"/>
      <c r="G539" s="158"/>
      <c r="H539" s="158"/>
      <c r="I539" s="158"/>
      <c r="J539" s="158"/>
      <c r="K539" s="160"/>
      <c r="L539" s="103"/>
      <c r="N539" s="103"/>
      <c r="O539" s="103"/>
      <c r="Y539" s="160"/>
      <c r="Z539" s="160"/>
      <c r="AA539" s="160"/>
      <c r="AB539" s="160"/>
      <c r="AC539" s="160"/>
      <c r="AD539" s="160"/>
      <c r="AE539" s="160"/>
      <c r="AF539" s="160"/>
      <c r="AG539" s="160"/>
      <c r="AH539" s="160"/>
      <c r="AI539" s="160"/>
      <c r="AJ539" s="160"/>
      <c r="AP539" s="160"/>
      <c r="AV539" s="160"/>
    </row>
    <row r="540">
      <c r="A540" s="158"/>
      <c r="B540" s="160"/>
      <c r="C540" s="103"/>
      <c r="E540" s="103"/>
      <c r="F540" s="103"/>
      <c r="G540" s="158"/>
      <c r="H540" s="158"/>
      <c r="I540" s="158"/>
      <c r="J540" s="158"/>
      <c r="K540" s="160"/>
      <c r="L540" s="103"/>
      <c r="N540" s="103"/>
      <c r="O540" s="103"/>
      <c r="Y540" s="160"/>
      <c r="Z540" s="160"/>
      <c r="AA540" s="160"/>
      <c r="AB540" s="160"/>
      <c r="AC540" s="160"/>
      <c r="AD540" s="160"/>
      <c r="AE540" s="160"/>
      <c r="AF540" s="160"/>
      <c r="AG540" s="160"/>
      <c r="AH540" s="160"/>
      <c r="AI540" s="160"/>
      <c r="AJ540" s="160"/>
      <c r="AP540" s="160"/>
      <c r="AV540" s="160"/>
    </row>
    <row r="541">
      <c r="A541" s="158"/>
      <c r="B541" s="160"/>
      <c r="C541" s="103"/>
      <c r="E541" s="103"/>
      <c r="F541" s="103"/>
      <c r="G541" s="158"/>
      <c r="H541" s="158"/>
      <c r="I541" s="158"/>
      <c r="J541" s="158"/>
      <c r="K541" s="160"/>
      <c r="L541" s="103"/>
      <c r="N541" s="103"/>
      <c r="O541" s="103"/>
      <c r="Y541" s="160"/>
      <c r="Z541" s="160"/>
      <c r="AA541" s="160"/>
      <c r="AB541" s="160"/>
      <c r="AC541" s="160"/>
      <c r="AD541" s="160"/>
      <c r="AE541" s="160"/>
      <c r="AF541" s="160"/>
      <c r="AG541" s="160"/>
      <c r="AH541" s="160"/>
      <c r="AI541" s="160"/>
      <c r="AJ541" s="160"/>
      <c r="AP541" s="160"/>
      <c r="AV541" s="160"/>
    </row>
    <row r="542">
      <c r="A542" s="158"/>
      <c r="B542" s="160"/>
      <c r="C542" s="103"/>
      <c r="E542" s="103"/>
      <c r="F542" s="103"/>
      <c r="G542" s="158"/>
      <c r="H542" s="158"/>
      <c r="I542" s="158"/>
      <c r="J542" s="158"/>
      <c r="K542" s="160"/>
      <c r="L542" s="103"/>
      <c r="N542" s="103"/>
      <c r="O542" s="103"/>
      <c r="Y542" s="160"/>
      <c r="Z542" s="160"/>
      <c r="AA542" s="160"/>
      <c r="AB542" s="160"/>
      <c r="AC542" s="160"/>
      <c r="AD542" s="160"/>
      <c r="AE542" s="160"/>
      <c r="AF542" s="160"/>
      <c r="AG542" s="160"/>
      <c r="AH542" s="160"/>
      <c r="AI542" s="160"/>
      <c r="AJ542" s="160"/>
      <c r="AP542" s="160"/>
      <c r="AV542" s="160"/>
    </row>
    <row r="543">
      <c r="A543" s="158"/>
      <c r="B543" s="160"/>
      <c r="C543" s="103"/>
      <c r="E543" s="103"/>
      <c r="F543" s="103"/>
      <c r="G543" s="158"/>
      <c r="H543" s="158"/>
      <c r="I543" s="158"/>
      <c r="J543" s="158"/>
      <c r="K543" s="160"/>
      <c r="L543" s="103"/>
      <c r="N543" s="103"/>
      <c r="O543" s="103"/>
      <c r="Y543" s="160"/>
      <c r="Z543" s="160"/>
      <c r="AA543" s="160"/>
      <c r="AB543" s="160"/>
      <c r="AC543" s="160"/>
      <c r="AD543" s="160"/>
      <c r="AE543" s="160"/>
      <c r="AF543" s="160"/>
      <c r="AG543" s="160"/>
      <c r="AH543" s="160"/>
      <c r="AI543" s="160"/>
      <c r="AJ543" s="160"/>
      <c r="AP543" s="160"/>
      <c r="AV543" s="160"/>
    </row>
    <row r="544">
      <c r="A544" s="158"/>
      <c r="B544" s="160"/>
      <c r="C544" s="103"/>
      <c r="E544" s="103"/>
      <c r="F544" s="103"/>
      <c r="G544" s="158"/>
      <c r="H544" s="158"/>
      <c r="I544" s="158"/>
      <c r="J544" s="158"/>
      <c r="K544" s="160"/>
      <c r="L544" s="103"/>
      <c r="N544" s="103"/>
      <c r="O544" s="103"/>
      <c r="Y544" s="160"/>
      <c r="Z544" s="160"/>
      <c r="AA544" s="160"/>
      <c r="AB544" s="160"/>
      <c r="AC544" s="160"/>
      <c r="AD544" s="160"/>
      <c r="AE544" s="160"/>
      <c r="AF544" s="160"/>
      <c r="AG544" s="160"/>
      <c r="AH544" s="160"/>
      <c r="AI544" s="160"/>
      <c r="AJ544" s="160"/>
      <c r="AP544" s="160"/>
      <c r="AV544" s="160"/>
    </row>
    <row r="545">
      <c r="A545" s="158"/>
      <c r="B545" s="160"/>
      <c r="C545" s="103"/>
      <c r="E545" s="103"/>
      <c r="F545" s="103"/>
      <c r="G545" s="158"/>
      <c r="H545" s="158"/>
      <c r="I545" s="158"/>
      <c r="J545" s="158"/>
      <c r="K545" s="160"/>
      <c r="L545" s="103"/>
      <c r="N545" s="103"/>
      <c r="O545" s="103"/>
      <c r="Y545" s="160"/>
      <c r="Z545" s="160"/>
      <c r="AA545" s="160"/>
      <c r="AB545" s="160"/>
      <c r="AC545" s="160"/>
      <c r="AD545" s="160"/>
      <c r="AE545" s="160"/>
      <c r="AF545" s="160"/>
      <c r="AG545" s="160"/>
      <c r="AH545" s="160"/>
      <c r="AI545" s="160"/>
      <c r="AJ545" s="160"/>
      <c r="AP545" s="160"/>
      <c r="AV545" s="160"/>
    </row>
    <row r="546">
      <c r="A546" s="158"/>
      <c r="B546" s="160"/>
      <c r="C546" s="103"/>
      <c r="E546" s="103"/>
      <c r="F546" s="103"/>
      <c r="G546" s="158"/>
      <c r="H546" s="158"/>
      <c r="I546" s="158"/>
      <c r="J546" s="158"/>
      <c r="K546" s="160"/>
      <c r="L546" s="103"/>
      <c r="N546" s="103"/>
      <c r="O546" s="103"/>
      <c r="Y546" s="160"/>
      <c r="Z546" s="160"/>
      <c r="AA546" s="160"/>
      <c r="AB546" s="160"/>
      <c r="AC546" s="160"/>
      <c r="AD546" s="160"/>
      <c r="AE546" s="160"/>
      <c r="AF546" s="160"/>
      <c r="AG546" s="160"/>
      <c r="AH546" s="160"/>
      <c r="AI546" s="160"/>
      <c r="AJ546" s="160"/>
      <c r="AP546" s="160"/>
      <c r="AV546" s="160"/>
    </row>
    <row r="547">
      <c r="A547" s="158"/>
      <c r="B547" s="160"/>
      <c r="C547" s="103"/>
      <c r="E547" s="103"/>
      <c r="F547" s="103"/>
      <c r="G547" s="158"/>
      <c r="H547" s="158"/>
      <c r="I547" s="158"/>
      <c r="J547" s="158"/>
      <c r="K547" s="160"/>
      <c r="L547" s="103"/>
      <c r="N547" s="103"/>
      <c r="O547" s="103"/>
      <c r="Y547" s="160"/>
      <c r="Z547" s="160"/>
      <c r="AA547" s="160"/>
      <c r="AB547" s="160"/>
      <c r="AC547" s="160"/>
      <c r="AD547" s="160"/>
      <c r="AE547" s="160"/>
      <c r="AF547" s="160"/>
      <c r="AG547" s="160"/>
      <c r="AH547" s="160"/>
      <c r="AI547" s="160"/>
      <c r="AJ547" s="160"/>
      <c r="AP547" s="160"/>
      <c r="AV547" s="160"/>
    </row>
    <row r="548">
      <c r="A548" s="158"/>
      <c r="B548" s="160"/>
      <c r="C548" s="103"/>
      <c r="E548" s="103"/>
      <c r="F548" s="103"/>
      <c r="G548" s="158"/>
      <c r="H548" s="158"/>
      <c r="I548" s="158"/>
      <c r="J548" s="158"/>
      <c r="K548" s="160"/>
      <c r="L548" s="103"/>
      <c r="N548" s="103"/>
      <c r="O548" s="103"/>
      <c r="Y548" s="160"/>
      <c r="Z548" s="160"/>
      <c r="AA548" s="160"/>
      <c r="AB548" s="160"/>
      <c r="AC548" s="160"/>
      <c r="AD548" s="160"/>
      <c r="AE548" s="160"/>
      <c r="AF548" s="160"/>
      <c r="AG548" s="160"/>
      <c r="AH548" s="160"/>
      <c r="AI548" s="160"/>
      <c r="AJ548" s="160"/>
      <c r="AP548" s="160"/>
      <c r="AV548" s="160"/>
    </row>
    <row r="549">
      <c r="A549" s="158"/>
      <c r="B549" s="160"/>
      <c r="C549" s="103"/>
      <c r="E549" s="103"/>
      <c r="F549" s="103"/>
      <c r="G549" s="158"/>
      <c r="H549" s="158"/>
      <c r="I549" s="158"/>
      <c r="J549" s="158"/>
      <c r="K549" s="160"/>
      <c r="L549" s="103"/>
      <c r="N549" s="103"/>
      <c r="O549" s="103"/>
      <c r="Y549" s="160"/>
      <c r="Z549" s="160"/>
      <c r="AA549" s="160"/>
      <c r="AB549" s="160"/>
      <c r="AC549" s="160"/>
      <c r="AD549" s="160"/>
      <c r="AE549" s="160"/>
      <c r="AF549" s="160"/>
      <c r="AG549" s="160"/>
      <c r="AH549" s="160"/>
      <c r="AI549" s="160"/>
      <c r="AJ549" s="160"/>
      <c r="AP549" s="160"/>
      <c r="AV549" s="160"/>
    </row>
    <row r="550">
      <c r="A550" s="158"/>
      <c r="B550" s="160"/>
      <c r="C550" s="103"/>
      <c r="E550" s="103"/>
      <c r="F550" s="103"/>
      <c r="G550" s="158"/>
      <c r="H550" s="158"/>
      <c r="I550" s="158"/>
      <c r="J550" s="158"/>
      <c r="K550" s="160"/>
      <c r="L550" s="103"/>
      <c r="N550" s="103"/>
      <c r="O550" s="103"/>
      <c r="Y550" s="160"/>
      <c r="Z550" s="160"/>
      <c r="AA550" s="160"/>
      <c r="AB550" s="160"/>
      <c r="AC550" s="160"/>
      <c r="AD550" s="160"/>
      <c r="AE550" s="160"/>
      <c r="AF550" s="160"/>
      <c r="AG550" s="160"/>
      <c r="AH550" s="160"/>
      <c r="AI550" s="160"/>
      <c r="AJ550" s="160"/>
      <c r="AP550" s="160"/>
      <c r="AV550" s="160"/>
    </row>
    <row r="551">
      <c r="A551" s="158"/>
      <c r="B551" s="160"/>
      <c r="C551" s="103"/>
      <c r="E551" s="103"/>
      <c r="F551" s="103"/>
      <c r="G551" s="158"/>
      <c r="H551" s="158"/>
      <c r="I551" s="158"/>
      <c r="J551" s="158"/>
      <c r="K551" s="160"/>
      <c r="L551" s="103"/>
      <c r="N551" s="103"/>
      <c r="O551" s="103"/>
      <c r="Y551" s="160"/>
      <c r="Z551" s="160"/>
      <c r="AA551" s="160"/>
      <c r="AB551" s="160"/>
      <c r="AC551" s="160"/>
      <c r="AD551" s="160"/>
      <c r="AE551" s="160"/>
      <c r="AF551" s="160"/>
      <c r="AG551" s="160"/>
      <c r="AH551" s="160"/>
      <c r="AI551" s="160"/>
      <c r="AJ551" s="160"/>
      <c r="AP551" s="160"/>
      <c r="AV551" s="160"/>
    </row>
    <row r="552">
      <c r="A552" s="158"/>
      <c r="B552" s="160"/>
      <c r="C552" s="103"/>
      <c r="E552" s="103"/>
      <c r="F552" s="103"/>
      <c r="G552" s="158"/>
      <c r="H552" s="158"/>
      <c r="I552" s="158"/>
      <c r="J552" s="158"/>
      <c r="K552" s="160"/>
      <c r="L552" s="103"/>
      <c r="N552" s="103"/>
      <c r="O552" s="103"/>
      <c r="Y552" s="160"/>
      <c r="Z552" s="160"/>
      <c r="AA552" s="160"/>
      <c r="AB552" s="160"/>
      <c r="AC552" s="160"/>
      <c r="AD552" s="160"/>
      <c r="AE552" s="160"/>
      <c r="AF552" s="160"/>
      <c r="AG552" s="160"/>
      <c r="AH552" s="160"/>
      <c r="AI552" s="160"/>
      <c r="AJ552" s="160"/>
      <c r="AP552" s="160"/>
      <c r="AV552" s="160"/>
    </row>
    <row r="553">
      <c r="A553" s="158"/>
      <c r="B553" s="160"/>
      <c r="C553" s="103"/>
      <c r="E553" s="103"/>
      <c r="F553" s="103"/>
      <c r="G553" s="158"/>
      <c r="H553" s="158"/>
      <c r="I553" s="158"/>
      <c r="J553" s="158"/>
      <c r="K553" s="160"/>
      <c r="L553" s="103"/>
      <c r="N553" s="103"/>
      <c r="O553" s="103"/>
      <c r="Y553" s="160"/>
      <c r="Z553" s="160"/>
      <c r="AA553" s="160"/>
      <c r="AB553" s="160"/>
      <c r="AC553" s="160"/>
      <c r="AD553" s="160"/>
      <c r="AE553" s="160"/>
      <c r="AF553" s="160"/>
      <c r="AG553" s="160"/>
      <c r="AH553" s="160"/>
      <c r="AI553" s="160"/>
      <c r="AJ553" s="160"/>
      <c r="AP553" s="160"/>
      <c r="AV553" s="160"/>
    </row>
    <row r="554">
      <c r="A554" s="158"/>
      <c r="B554" s="160"/>
      <c r="C554" s="103"/>
      <c r="E554" s="103"/>
      <c r="F554" s="103"/>
      <c r="G554" s="158"/>
      <c r="H554" s="158"/>
      <c r="I554" s="158"/>
      <c r="J554" s="158"/>
      <c r="K554" s="160"/>
      <c r="L554" s="103"/>
      <c r="N554" s="103"/>
      <c r="O554" s="103"/>
      <c r="Y554" s="160"/>
      <c r="Z554" s="160"/>
      <c r="AA554" s="160"/>
      <c r="AB554" s="160"/>
      <c r="AC554" s="160"/>
      <c r="AD554" s="160"/>
      <c r="AE554" s="160"/>
      <c r="AF554" s="160"/>
      <c r="AG554" s="160"/>
      <c r="AH554" s="160"/>
      <c r="AI554" s="160"/>
      <c r="AJ554" s="160"/>
      <c r="AP554" s="160"/>
      <c r="AV554" s="160"/>
    </row>
    <row r="555">
      <c r="A555" s="158"/>
      <c r="B555" s="160"/>
      <c r="C555" s="103"/>
      <c r="E555" s="103"/>
      <c r="F555" s="103"/>
      <c r="G555" s="158"/>
      <c r="H555" s="158"/>
      <c r="I555" s="158"/>
      <c r="J555" s="158"/>
      <c r="K555" s="160"/>
      <c r="L555" s="103"/>
      <c r="N555" s="103"/>
      <c r="O555" s="103"/>
      <c r="Y555" s="160"/>
      <c r="Z555" s="160"/>
      <c r="AA555" s="160"/>
      <c r="AB555" s="160"/>
      <c r="AC555" s="160"/>
      <c r="AD555" s="160"/>
      <c r="AE555" s="160"/>
      <c r="AF555" s="160"/>
      <c r="AG555" s="160"/>
      <c r="AH555" s="160"/>
      <c r="AI555" s="160"/>
      <c r="AJ555" s="160"/>
      <c r="AP555" s="160"/>
      <c r="AV555" s="160"/>
    </row>
    <row r="556">
      <c r="A556" s="158"/>
      <c r="B556" s="160"/>
      <c r="C556" s="103"/>
      <c r="E556" s="103"/>
      <c r="F556" s="103"/>
      <c r="G556" s="158"/>
      <c r="H556" s="158"/>
      <c r="I556" s="158"/>
      <c r="J556" s="158"/>
      <c r="K556" s="160"/>
      <c r="L556" s="103"/>
      <c r="N556" s="103"/>
      <c r="O556" s="103"/>
      <c r="Y556" s="160"/>
      <c r="Z556" s="160"/>
      <c r="AA556" s="160"/>
      <c r="AB556" s="160"/>
      <c r="AC556" s="160"/>
      <c r="AD556" s="160"/>
      <c r="AE556" s="160"/>
      <c r="AF556" s="160"/>
      <c r="AG556" s="160"/>
      <c r="AH556" s="160"/>
      <c r="AI556" s="160"/>
      <c r="AJ556" s="160"/>
      <c r="AP556" s="160"/>
      <c r="AV556" s="160"/>
    </row>
    <row r="557">
      <c r="A557" s="158"/>
      <c r="B557" s="160"/>
      <c r="C557" s="103"/>
      <c r="E557" s="103"/>
      <c r="F557" s="103"/>
      <c r="G557" s="158"/>
      <c r="H557" s="158"/>
      <c r="I557" s="158"/>
      <c r="J557" s="158"/>
      <c r="K557" s="160"/>
      <c r="L557" s="103"/>
      <c r="N557" s="103"/>
      <c r="O557" s="103"/>
      <c r="Y557" s="160"/>
      <c r="Z557" s="160"/>
      <c r="AA557" s="160"/>
      <c r="AB557" s="160"/>
      <c r="AC557" s="160"/>
      <c r="AD557" s="160"/>
      <c r="AE557" s="160"/>
      <c r="AF557" s="160"/>
      <c r="AG557" s="160"/>
      <c r="AH557" s="160"/>
      <c r="AI557" s="160"/>
      <c r="AJ557" s="160"/>
      <c r="AP557" s="160"/>
      <c r="AV557" s="160"/>
    </row>
    <row r="558">
      <c r="A558" s="158"/>
      <c r="B558" s="160"/>
      <c r="C558" s="103"/>
      <c r="E558" s="103"/>
      <c r="F558" s="103"/>
      <c r="G558" s="158"/>
      <c r="H558" s="158"/>
      <c r="I558" s="158"/>
      <c r="J558" s="158"/>
      <c r="K558" s="160"/>
      <c r="L558" s="103"/>
      <c r="N558" s="103"/>
      <c r="O558" s="103"/>
      <c r="Y558" s="160"/>
      <c r="Z558" s="160"/>
      <c r="AA558" s="160"/>
      <c r="AB558" s="160"/>
      <c r="AC558" s="160"/>
      <c r="AD558" s="160"/>
      <c r="AE558" s="160"/>
      <c r="AF558" s="160"/>
      <c r="AG558" s="160"/>
      <c r="AH558" s="160"/>
      <c r="AI558" s="160"/>
      <c r="AJ558" s="160"/>
      <c r="AP558" s="160"/>
      <c r="AV558" s="160"/>
    </row>
    <row r="559">
      <c r="A559" s="158"/>
      <c r="B559" s="160"/>
      <c r="C559" s="103"/>
      <c r="E559" s="103"/>
      <c r="F559" s="103"/>
      <c r="G559" s="158"/>
      <c r="H559" s="158"/>
      <c r="I559" s="158"/>
      <c r="J559" s="158"/>
      <c r="K559" s="160"/>
      <c r="L559" s="103"/>
      <c r="N559" s="103"/>
      <c r="O559" s="103"/>
      <c r="Y559" s="160"/>
      <c r="Z559" s="160"/>
      <c r="AA559" s="160"/>
      <c r="AB559" s="160"/>
      <c r="AC559" s="160"/>
      <c r="AD559" s="160"/>
      <c r="AE559" s="160"/>
      <c r="AF559" s="160"/>
      <c r="AG559" s="160"/>
      <c r="AH559" s="160"/>
      <c r="AI559" s="160"/>
      <c r="AJ559" s="160"/>
      <c r="AP559" s="160"/>
      <c r="AV559" s="160"/>
    </row>
    <row r="560">
      <c r="A560" s="158"/>
      <c r="B560" s="160"/>
      <c r="C560" s="103"/>
      <c r="E560" s="103"/>
      <c r="F560" s="103"/>
      <c r="G560" s="158"/>
      <c r="H560" s="158"/>
      <c r="I560" s="158"/>
      <c r="J560" s="158"/>
      <c r="K560" s="160"/>
      <c r="L560" s="103"/>
      <c r="N560" s="103"/>
      <c r="O560" s="103"/>
      <c r="Y560" s="160"/>
      <c r="Z560" s="160"/>
      <c r="AA560" s="160"/>
      <c r="AB560" s="160"/>
      <c r="AC560" s="160"/>
      <c r="AD560" s="160"/>
      <c r="AE560" s="160"/>
      <c r="AF560" s="160"/>
      <c r="AG560" s="160"/>
      <c r="AH560" s="160"/>
      <c r="AI560" s="160"/>
      <c r="AJ560" s="160"/>
      <c r="AP560" s="160"/>
      <c r="AV560" s="160"/>
    </row>
    <row r="561">
      <c r="A561" s="158"/>
      <c r="B561" s="160"/>
      <c r="C561" s="103"/>
      <c r="E561" s="103"/>
      <c r="F561" s="103"/>
      <c r="G561" s="158"/>
      <c r="H561" s="158"/>
      <c r="I561" s="158"/>
      <c r="J561" s="158"/>
      <c r="K561" s="160"/>
      <c r="L561" s="103"/>
      <c r="N561" s="103"/>
      <c r="O561" s="103"/>
      <c r="Y561" s="160"/>
      <c r="Z561" s="160"/>
      <c r="AA561" s="160"/>
      <c r="AB561" s="160"/>
      <c r="AC561" s="160"/>
      <c r="AD561" s="160"/>
      <c r="AE561" s="160"/>
      <c r="AF561" s="160"/>
      <c r="AG561" s="160"/>
      <c r="AH561" s="160"/>
      <c r="AI561" s="160"/>
      <c r="AJ561" s="160"/>
      <c r="AP561" s="160"/>
      <c r="AV561" s="160"/>
    </row>
    <row r="562">
      <c r="A562" s="158"/>
      <c r="B562" s="160"/>
      <c r="C562" s="103"/>
      <c r="E562" s="103"/>
      <c r="F562" s="103"/>
      <c r="G562" s="158"/>
      <c r="H562" s="158"/>
      <c r="I562" s="158"/>
      <c r="J562" s="158"/>
      <c r="K562" s="160"/>
      <c r="L562" s="103"/>
      <c r="N562" s="103"/>
      <c r="O562" s="103"/>
      <c r="Y562" s="160"/>
      <c r="Z562" s="160"/>
      <c r="AA562" s="160"/>
      <c r="AB562" s="160"/>
      <c r="AC562" s="160"/>
      <c r="AD562" s="160"/>
      <c r="AE562" s="160"/>
      <c r="AF562" s="160"/>
      <c r="AG562" s="160"/>
      <c r="AH562" s="160"/>
      <c r="AI562" s="160"/>
      <c r="AJ562" s="160"/>
      <c r="AP562" s="160"/>
      <c r="AV562" s="160"/>
    </row>
    <row r="563">
      <c r="A563" s="158"/>
      <c r="B563" s="160"/>
      <c r="C563" s="103"/>
      <c r="E563" s="103"/>
      <c r="F563" s="103"/>
      <c r="G563" s="158"/>
      <c r="H563" s="158"/>
      <c r="I563" s="158"/>
      <c r="J563" s="158"/>
      <c r="K563" s="160"/>
      <c r="L563" s="103"/>
      <c r="N563" s="103"/>
      <c r="O563" s="103"/>
      <c r="Y563" s="160"/>
      <c r="Z563" s="160"/>
      <c r="AA563" s="160"/>
      <c r="AB563" s="160"/>
      <c r="AC563" s="160"/>
      <c r="AD563" s="160"/>
      <c r="AE563" s="160"/>
      <c r="AF563" s="160"/>
      <c r="AG563" s="160"/>
      <c r="AH563" s="160"/>
      <c r="AI563" s="160"/>
      <c r="AJ563" s="160"/>
      <c r="AP563" s="160"/>
      <c r="AV563" s="160"/>
    </row>
    <row r="564">
      <c r="A564" s="158"/>
      <c r="B564" s="160"/>
      <c r="C564" s="103"/>
      <c r="E564" s="103"/>
      <c r="F564" s="103"/>
      <c r="G564" s="158"/>
      <c r="H564" s="158"/>
      <c r="I564" s="158"/>
      <c r="J564" s="158"/>
      <c r="K564" s="160"/>
      <c r="L564" s="103"/>
      <c r="N564" s="103"/>
      <c r="O564" s="103"/>
      <c r="Y564" s="160"/>
      <c r="Z564" s="160"/>
      <c r="AA564" s="160"/>
      <c r="AB564" s="160"/>
      <c r="AC564" s="160"/>
      <c r="AD564" s="160"/>
      <c r="AE564" s="160"/>
      <c r="AF564" s="160"/>
      <c r="AG564" s="160"/>
      <c r="AH564" s="160"/>
      <c r="AI564" s="160"/>
      <c r="AJ564" s="160"/>
      <c r="AP564" s="160"/>
      <c r="AV564" s="160"/>
    </row>
    <row r="565">
      <c r="A565" s="158"/>
      <c r="B565" s="160"/>
      <c r="C565" s="103"/>
      <c r="E565" s="103"/>
      <c r="F565" s="103"/>
      <c r="G565" s="158"/>
      <c r="H565" s="158"/>
      <c r="I565" s="158"/>
      <c r="J565" s="158"/>
      <c r="K565" s="160"/>
      <c r="L565" s="103"/>
      <c r="N565" s="103"/>
      <c r="O565" s="103"/>
      <c r="Y565" s="160"/>
      <c r="Z565" s="160"/>
      <c r="AA565" s="160"/>
      <c r="AB565" s="160"/>
      <c r="AC565" s="160"/>
      <c r="AD565" s="160"/>
      <c r="AE565" s="160"/>
      <c r="AF565" s="160"/>
      <c r="AG565" s="160"/>
      <c r="AH565" s="160"/>
      <c r="AI565" s="160"/>
      <c r="AJ565" s="160"/>
      <c r="AP565" s="160"/>
      <c r="AV565" s="160"/>
    </row>
    <row r="566">
      <c r="A566" s="158"/>
      <c r="B566" s="160"/>
      <c r="C566" s="103"/>
      <c r="E566" s="103"/>
      <c r="F566" s="103"/>
      <c r="G566" s="158"/>
      <c r="H566" s="158"/>
      <c r="I566" s="158"/>
      <c r="J566" s="158"/>
      <c r="K566" s="160"/>
      <c r="L566" s="103"/>
      <c r="N566" s="103"/>
      <c r="O566" s="103"/>
      <c r="Y566" s="160"/>
      <c r="Z566" s="160"/>
      <c r="AA566" s="160"/>
      <c r="AB566" s="160"/>
      <c r="AC566" s="160"/>
      <c r="AD566" s="160"/>
      <c r="AE566" s="160"/>
      <c r="AF566" s="160"/>
      <c r="AG566" s="160"/>
      <c r="AH566" s="160"/>
      <c r="AI566" s="160"/>
      <c r="AJ566" s="160"/>
      <c r="AP566" s="160"/>
      <c r="AV566" s="160"/>
    </row>
    <row r="567">
      <c r="A567" s="158"/>
      <c r="B567" s="160"/>
      <c r="C567" s="103"/>
      <c r="E567" s="103"/>
      <c r="F567" s="103"/>
      <c r="G567" s="158"/>
      <c r="H567" s="158"/>
      <c r="I567" s="158"/>
      <c r="J567" s="158"/>
      <c r="K567" s="160"/>
      <c r="L567" s="103"/>
      <c r="N567" s="103"/>
      <c r="O567" s="103"/>
      <c r="Y567" s="160"/>
      <c r="Z567" s="160"/>
      <c r="AA567" s="160"/>
      <c r="AB567" s="160"/>
      <c r="AC567" s="160"/>
      <c r="AD567" s="160"/>
      <c r="AE567" s="160"/>
      <c r="AF567" s="160"/>
      <c r="AG567" s="160"/>
      <c r="AH567" s="160"/>
      <c r="AI567" s="160"/>
      <c r="AJ567" s="160"/>
      <c r="AP567" s="160"/>
      <c r="AV567" s="160"/>
    </row>
    <row r="568">
      <c r="A568" s="158"/>
      <c r="B568" s="160"/>
      <c r="C568" s="103"/>
      <c r="E568" s="103"/>
      <c r="F568" s="103"/>
      <c r="G568" s="158"/>
      <c r="H568" s="158"/>
      <c r="I568" s="158"/>
      <c r="J568" s="158"/>
      <c r="K568" s="160"/>
      <c r="L568" s="103"/>
      <c r="N568" s="103"/>
      <c r="O568" s="103"/>
      <c r="Y568" s="160"/>
      <c r="Z568" s="160"/>
      <c r="AA568" s="160"/>
      <c r="AB568" s="160"/>
      <c r="AC568" s="160"/>
      <c r="AD568" s="160"/>
      <c r="AE568" s="160"/>
      <c r="AF568" s="160"/>
      <c r="AG568" s="160"/>
      <c r="AH568" s="160"/>
      <c r="AI568" s="160"/>
      <c r="AJ568" s="160"/>
      <c r="AP568" s="160"/>
      <c r="AV568" s="160"/>
    </row>
    <row r="569">
      <c r="A569" s="158"/>
      <c r="B569" s="160"/>
      <c r="C569" s="103"/>
      <c r="E569" s="103"/>
      <c r="F569" s="103"/>
      <c r="G569" s="158"/>
      <c r="H569" s="158"/>
      <c r="I569" s="158"/>
      <c r="J569" s="158"/>
      <c r="K569" s="160"/>
      <c r="L569" s="103"/>
      <c r="N569" s="103"/>
      <c r="O569" s="103"/>
      <c r="Y569" s="160"/>
      <c r="Z569" s="160"/>
      <c r="AA569" s="160"/>
      <c r="AB569" s="160"/>
      <c r="AC569" s="160"/>
      <c r="AD569" s="160"/>
      <c r="AE569" s="160"/>
      <c r="AF569" s="160"/>
      <c r="AG569" s="160"/>
      <c r="AH569" s="160"/>
      <c r="AI569" s="160"/>
      <c r="AJ569" s="160"/>
      <c r="AP569" s="160"/>
      <c r="AV569" s="160"/>
    </row>
    <row r="570">
      <c r="A570" s="158"/>
      <c r="B570" s="160"/>
      <c r="C570" s="103"/>
      <c r="E570" s="103"/>
      <c r="F570" s="103"/>
      <c r="G570" s="158"/>
      <c r="H570" s="158"/>
      <c r="I570" s="158"/>
      <c r="J570" s="158"/>
      <c r="K570" s="160"/>
      <c r="L570" s="103"/>
      <c r="N570" s="103"/>
      <c r="O570" s="103"/>
      <c r="Y570" s="160"/>
      <c r="Z570" s="160"/>
      <c r="AA570" s="160"/>
      <c r="AB570" s="160"/>
      <c r="AC570" s="160"/>
      <c r="AD570" s="160"/>
      <c r="AE570" s="160"/>
      <c r="AF570" s="160"/>
      <c r="AG570" s="160"/>
      <c r="AH570" s="160"/>
      <c r="AI570" s="160"/>
      <c r="AJ570" s="160"/>
      <c r="AP570" s="160"/>
      <c r="AV570" s="160"/>
    </row>
    <row r="571">
      <c r="A571" s="158"/>
      <c r="B571" s="160"/>
      <c r="C571" s="103"/>
      <c r="E571" s="103"/>
      <c r="F571" s="103"/>
      <c r="G571" s="158"/>
      <c r="H571" s="158"/>
      <c r="I571" s="158"/>
      <c r="J571" s="158"/>
      <c r="K571" s="160"/>
      <c r="L571" s="103"/>
      <c r="N571" s="103"/>
      <c r="O571" s="103"/>
      <c r="Y571" s="160"/>
      <c r="Z571" s="160"/>
      <c r="AA571" s="160"/>
      <c r="AB571" s="160"/>
      <c r="AC571" s="160"/>
      <c r="AD571" s="160"/>
      <c r="AE571" s="160"/>
      <c r="AF571" s="160"/>
      <c r="AG571" s="160"/>
      <c r="AH571" s="160"/>
      <c r="AI571" s="160"/>
      <c r="AJ571" s="160"/>
      <c r="AP571" s="160"/>
      <c r="AV571" s="160"/>
    </row>
    <row r="572">
      <c r="A572" s="158"/>
      <c r="B572" s="160"/>
      <c r="C572" s="103"/>
      <c r="E572" s="103"/>
      <c r="F572" s="103"/>
      <c r="G572" s="158"/>
      <c r="H572" s="158"/>
      <c r="I572" s="158"/>
      <c r="J572" s="158"/>
      <c r="K572" s="160"/>
      <c r="L572" s="103"/>
      <c r="N572" s="103"/>
      <c r="O572" s="103"/>
      <c r="Y572" s="160"/>
      <c r="Z572" s="160"/>
      <c r="AA572" s="160"/>
      <c r="AB572" s="160"/>
      <c r="AC572" s="160"/>
      <c r="AD572" s="160"/>
      <c r="AE572" s="160"/>
      <c r="AF572" s="160"/>
      <c r="AG572" s="160"/>
      <c r="AH572" s="160"/>
      <c r="AI572" s="160"/>
      <c r="AJ572" s="160"/>
      <c r="AP572" s="160"/>
      <c r="AV572" s="160"/>
    </row>
    <row r="573">
      <c r="A573" s="158"/>
      <c r="B573" s="160"/>
      <c r="C573" s="103"/>
      <c r="E573" s="103"/>
      <c r="F573" s="103"/>
      <c r="G573" s="158"/>
      <c r="H573" s="158"/>
      <c r="I573" s="158"/>
      <c r="J573" s="158"/>
      <c r="K573" s="160"/>
      <c r="L573" s="103"/>
      <c r="N573" s="103"/>
      <c r="O573" s="103"/>
      <c r="Y573" s="160"/>
      <c r="Z573" s="160"/>
      <c r="AA573" s="160"/>
      <c r="AB573" s="160"/>
      <c r="AC573" s="160"/>
      <c r="AD573" s="160"/>
      <c r="AE573" s="160"/>
      <c r="AF573" s="160"/>
      <c r="AG573" s="160"/>
      <c r="AH573" s="160"/>
      <c r="AI573" s="160"/>
      <c r="AJ573" s="160"/>
      <c r="AP573" s="160"/>
      <c r="AV573" s="160"/>
    </row>
    <row r="574">
      <c r="A574" s="158"/>
      <c r="B574" s="160"/>
      <c r="C574" s="103"/>
      <c r="E574" s="103"/>
      <c r="F574" s="103"/>
      <c r="G574" s="158"/>
      <c r="H574" s="158"/>
      <c r="I574" s="158"/>
      <c r="J574" s="158"/>
      <c r="K574" s="160"/>
      <c r="L574" s="103"/>
      <c r="N574" s="103"/>
      <c r="O574" s="103"/>
      <c r="Y574" s="160"/>
      <c r="Z574" s="160"/>
      <c r="AA574" s="160"/>
      <c r="AB574" s="160"/>
      <c r="AC574" s="160"/>
      <c r="AD574" s="160"/>
      <c r="AE574" s="160"/>
      <c r="AF574" s="160"/>
      <c r="AG574" s="160"/>
      <c r="AH574" s="160"/>
      <c r="AI574" s="160"/>
      <c r="AJ574" s="160"/>
      <c r="AP574" s="160"/>
      <c r="AV574" s="160"/>
    </row>
    <row r="575">
      <c r="A575" s="158"/>
      <c r="B575" s="160"/>
      <c r="C575" s="103"/>
      <c r="E575" s="103"/>
      <c r="F575" s="103"/>
      <c r="G575" s="158"/>
      <c r="H575" s="158"/>
      <c r="I575" s="158"/>
      <c r="J575" s="158"/>
      <c r="K575" s="160"/>
      <c r="L575" s="103"/>
      <c r="N575" s="103"/>
      <c r="O575" s="103"/>
      <c r="Y575" s="160"/>
      <c r="Z575" s="160"/>
      <c r="AA575" s="160"/>
      <c r="AB575" s="160"/>
      <c r="AC575" s="160"/>
      <c r="AD575" s="160"/>
      <c r="AE575" s="160"/>
      <c r="AF575" s="160"/>
      <c r="AG575" s="160"/>
      <c r="AH575" s="160"/>
      <c r="AI575" s="160"/>
      <c r="AJ575" s="160"/>
      <c r="AP575" s="160"/>
      <c r="AV575" s="160"/>
    </row>
    <row r="576">
      <c r="A576" s="158"/>
      <c r="B576" s="160"/>
      <c r="C576" s="103"/>
      <c r="E576" s="103"/>
      <c r="F576" s="103"/>
      <c r="G576" s="158"/>
      <c r="H576" s="158"/>
      <c r="I576" s="158"/>
      <c r="J576" s="158"/>
      <c r="K576" s="160"/>
      <c r="L576" s="103"/>
      <c r="N576" s="103"/>
      <c r="O576" s="103"/>
      <c r="Y576" s="160"/>
      <c r="Z576" s="160"/>
      <c r="AA576" s="160"/>
      <c r="AB576" s="160"/>
      <c r="AC576" s="160"/>
      <c r="AD576" s="160"/>
      <c r="AE576" s="160"/>
      <c r="AF576" s="160"/>
      <c r="AG576" s="160"/>
      <c r="AH576" s="160"/>
      <c r="AI576" s="160"/>
      <c r="AJ576" s="160"/>
      <c r="AP576" s="160"/>
      <c r="AV576" s="160"/>
    </row>
    <row r="577">
      <c r="A577" s="158"/>
      <c r="B577" s="160"/>
      <c r="C577" s="103"/>
      <c r="E577" s="103"/>
      <c r="F577" s="103"/>
      <c r="G577" s="158"/>
      <c r="H577" s="158"/>
      <c r="I577" s="158"/>
      <c r="J577" s="158"/>
      <c r="K577" s="160"/>
      <c r="L577" s="103"/>
      <c r="N577" s="103"/>
      <c r="O577" s="103"/>
      <c r="Y577" s="160"/>
      <c r="Z577" s="160"/>
      <c r="AA577" s="160"/>
      <c r="AB577" s="160"/>
      <c r="AC577" s="160"/>
      <c r="AD577" s="160"/>
      <c r="AE577" s="160"/>
      <c r="AF577" s="160"/>
      <c r="AG577" s="160"/>
      <c r="AH577" s="160"/>
      <c r="AI577" s="160"/>
      <c r="AJ577" s="160"/>
      <c r="AP577" s="160"/>
      <c r="AV577" s="160"/>
    </row>
    <row r="578">
      <c r="A578" s="158"/>
      <c r="B578" s="160"/>
      <c r="C578" s="103"/>
      <c r="E578" s="103"/>
      <c r="F578" s="103"/>
      <c r="G578" s="158"/>
      <c r="H578" s="158"/>
      <c r="I578" s="158"/>
      <c r="J578" s="158"/>
      <c r="K578" s="160"/>
      <c r="L578" s="103"/>
      <c r="N578" s="103"/>
      <c r="O578" s="103"/>
      <c r="Y578" s="160"/>
      <c r="Z578" s="160"/>
      <c r="AA578" s="160"/>
      <c r="AB578" s="160"/>
      <c r="AC578" s="160"/>
      <c r="AD578" s="160"/>
      <c r="AE578" s="160"/>
      <c r="AF578" s="160"/>
      <c r="AG578" s="160"/>
      <c r="AH578" s="160"/>
      <c r="AI578" s="160"/>
      <c r="AJ578" s="160"/>
      <c r="AP578" s="160"/>
      <c r="AV578" s="160"/>
    </row>
    <row r="579">
      <c r="A579" s="158"/>
      <c r="B579" s="160"/>
      <c r="C579" s="103"/>
      <c r="E579" s="103"/>
      <c r="F579" s="103"/>
      <c r="G579" s="158"/>
      <c r="H579" s="158"/>
      <c r="I579" s="158"/>
      <c r="J579" s="158"/>
      <c r="K579" s="160"/>
      <c r="L579" s="103"/>
      <c r="N579" s="103"/>
      <c r="O579" s="103"/>
      <c r="Y579" s="160"/>
      <c r="Z579" s="160"/>
      <c r="AA579" s="160"/>
      <c r="AB579" s="160"/>
      <c r="AC579" s="160"/>
      <c r="AD579" s="160"/>
      <c r="AE579" s="160"/>
      <c r="AF579" s="160"/>
      <c r="AG579" s="160"/>
      <c r="AH579" s="160"/>
      <c r="AI579" s="160"/>
      <c r="AJ579" s="160"/>
      <c r="AP579" s="160"/>
      <c r="AV579" s="160"/>
    </row>
    <row r="580">
      <c r="A580" s="158"/>
      <c r="B580" s="160"/>
      <c r="C580" s="103"/>
      <c r="E580" s="103"/>
      <c r="F580" s="103"/>
      <c r="G580" s="158"/>
      <c r="H580" s="158"/>
      <c r="I580" s="158"/>
      <c r="J580" s="158"/>
      <c r="K580" s="160"/>
      <c r="L580" s="103"/>
      <c r="N580" s="103"/>
      <c r="O580" s="103"/>
      <c r="Y580" s="160"/>
      <c r="Z580" s="160"/>
      <c r="AA580" s="160"/>
      <c r="AB580" s="160"/>
      <c r="AC580" s="160"/>
      <c r="AD580" s="160"/>
      <c r="AE580" s="160"/>
      <c r="AF580" s="160"/>
      <c r="AG580" s="160"/>
      <c r="AH580" s="160"/>
      <c r="AI580" s="160"/>
      <c r="AJ580" s="160"/>
      <c r="AP580" s="160"/>
      <c r="AV580" s="160"/>
    </row>
    <row r="581">
      <c r="A581" s="158"/>
      <c r="B581" s="160"/>
      <c r="C581" s="103"/>
      <c r="E581" s="103"/>
      <c r="F581" s="103"/>
      <c r="G581" s="158"/>
      <c r="H581" s="158"/>
      <c r="I581" s="158"/>
      <c r="J581" s="158"/>
      <c r="K581" s="160"/>
      <c r="L581" s="103"/>
      <c r="N581" s="103"/>
      <c r="O581" s="103"/>
      <c r="Y581" s="160"/>
      <c r="Z581" s="160"/>
      <c r="AA581" s="160"/>
      <c r="AB581" s="160"/>
      <c r="AC581" s="160"/>
      <c r="AD581" s="160"/>
      <c r="AE581" s="160"/>
      <c r="AF581" s="160"/>
      <c r="AG581" s="160"/>
      <c r="AH581" s="160"/>
      <c r="AI581" s="160"/>
      <c r="AJ581" s="160"/>
      <c r="AP581" s="160"/>
      <c r="AV581" s="160"/>
    </row>
    <row r="582">
      <c r="A582" s="158"/>
      <c r="B582" s="160"/>
      <c r="C582" s="103"/>
      <c r="E582" s="103"/>
      <c r="F582" s="103"/>
      <c r="G582" s="158"/>
      <c r="H582" s="158"/>
      <c r="I582" s="158"/>
      <c r="J582" s="158"/>
      <c r="K582" s="160"/>
      <c r="L582" s="103"/>
      <c r="N582" s="103"/>
      <c r="O582" s="103"/>
      <c r="Y582" s="160"/>
      <c r="Z582" s="160"/>
      <c r="AA582" s="160"/>
      <c r="AB582" s="160"/>
      <c r="AC582" s="160"/>
      <c r="AD582" s="160"/>
      <c r="AE582" s="160"/>
      <c r="AF582" s="160"/>
      <c r="AG582" s="160"/>
      <c r="AH582" s="160"/>
      <c r="AI582" s="160"/>
      <c r="AJ582" s="160"/>
      <c r="AP582" s="160"/>
      <c r="AV582" s="160"/>
    </row>
    <row r="583">
      <c r="A583" s="158"/>
      <c r="B583" s="160"/>
      <c r="C583" s="103"/>
      <c r="E583" s="103"/>
      <c r="F583" s="103"/>
      <c r="G583" s="158"/>
      <c r="H583" s="158"/>
      <c r="I583" s="158"/>
      <c r="J583" s="158"/>
      <c r="K583" s="160"/>
      <c r="L583" s="103"/>
      <c r="N583" s="103"/>
      <c r="O583" s="103"/>
      <c r="Y583" s="160"/>
      <c r="Z583" s="160"/>
      <c r="AA583" s="160"/>
      <c r="AB583" s="160"/>
      <c r="AC583" s="160"/>
      <c r="AD583" s="160"/>
      <c r="AE583" s="160"/>
      <c r="AF583" s="160"/>
      <c r="AG583" s="160"/>
      <c r="AH583" s="160"/>
      <c r="AI583" s="160"/>
      <c r="AJ583" s="160"/>
      <c r="AP583" s="160"/>
      <c r="AV583" s="160"/>
    </row>
    <row r="584">
      <c r="A584" s="158"/>
      <c r="B584" s="160"/>
      <c r="C584" s="103"/>
      <c r="E584" s="103"/>
      <c r="F584" s="103"/>
      <c r="G584" s="158"/>
      <c r="H584" s="158"/>
      <c r="I584" s="158"/>
      <c r="J584" s="158"/>
      <c r="K584" s="160"/>
      <c r="L584" s="103"/>
      <c r="N584" s="103"/>
      <c r="O584" s="103"/>
      <c r="Y584" s="160"/>
      <c r="Z584" s="160"/>
      <c r="AA584" s="160"/>
      <c r="AB584" s="160"/>
      <c r="AC584" s="160"/>
      <c r="AD584" s="160"/>
      <c r="AE584" s="160"/>
      <c r="AF584" s="160"/>
      <c r="AG584" s="160"/>
      <c r="AH584" s="160"/>
      <c r="AI584" s="160"/>
      <c r="AJ584" s="160"/>
      <c r="AP584" s="160"/>
      <c r="AV584" s="160"/>
    </row>
    <row r="585">
      <c r="A585" s="158"/>
      <c r="B585" s="160"/>
      <c r="C585" s="103"/>
      <c r="E585" s="103"/>
      <c r="F585" s="103"/>
      <c r="G585" s="158"/>
      <c r="H585" s="158"/>
      <c r="I585" s="158"/>
      <c r="J585" s="158"/>
      <c r="K585" s="160"/>
      <c r="L585" s="103"/>
      <c r="N585" s="103"/>
      <c r="O585" s="103"/>
      <c r="Y585" s="160"/>
      <c r="Z585" s="160"/>
      <c r="AA585" s="160"/>
      <c r="AB585" s="160"/>
      <c r="AC585" s="160"/>
      <c r="AD585" s="160"/>
      <c r="AE585" s="160"/>
      <c r="AF585" s="160"/>
      <c r="AG585" s="160"/>
      <c r="AH585" s="160"/>
      <c r="AI585" s="160"/>
      <c r="AJ585" s="160"/>
      <c r="AP585" s="160"/>
      <c r="AV585" s="160"/>
    </row>
    <row r="586">
      <c r="A586" s="158"/>
      <c r="B586" s="160"/>
      <c r="C586" s="103"/>
      <c r="E586" s="103"/>
      <c r="F586" s="103"/>
      <c r="G586" s="158"/>
      <c r="H586" s="158"/>
      <c r="I586" s="158"/>
      <c r="J586" s="158"/>
      <c r="K586" s="160"/>
      <c r="L586" s="103"/>
      <c r="N586" s="103"/>
      <c r="O586" s="103"/>
      <c r="Y586" s="160"/>
      <c r="Z586" s="160"/>
      <c r="AA586" s="160"/>
      <c r="AB586" s="160"/>
      <c r="AC586" s="160"/>
      <c r="AD586" s="160"/>
      <c r="AE586" s="160"/>
      <c r="AF586" s="160"/>
      <c r="AG586" s="160"/>
      <c r="AH586" s="160"/>
      <c r="AI586" s="160"/>
      <c r="AJ586" s="160"/>
      <c r="AP586" s="160"/>
      <c r="AV586" s="160"/>
    </row>
    <row r="587">
      <c r="A587" s="158"/>
      <c r="B587" s="160"/>
      <c r="C587" s="103"/>
      <c r="E587" s="103"/>
      <c r="F587" s="103"/>
      <c r="G587" s="158"/>
      <c r="H587" s="158"/>
      <c r="I587" s="158"/>
      <c r="J587" s="158"/>
      <c r="K587" s="160"/>
      <c r="L587" s="103"/>
      <c r="N587" s="103"/>
      <c r="O587" s="103"/>
      <c r="Y587" s="160"/>
      <c r="Z587" s="160"/>
      <c r="AA587" s="160"/>
      <c r="AB587" s="160"/>
      <c r="AC587" s="160"/>
      <c r="AD587" s="160"/>
      <c r="AE587" s="160"/>
      <c r="AF587" s="160"/>
      <c r="AG587" s="160"/>
      <c r="AH587" s="160"/>
      <c r="AI587" s="160"/>
      <c r="AJ587" s="160"/>
      <c r="AP587" s="160"/>
      <c r="AV587" s="160"/>
    </row>
    <row r="588">
      <c r="A588" s="158"/>
      <c r="B588" s="160"/>
      <c r="C588" s="103"/>
      <c r="E588" s="103"/>
      <c r="F588" s="103"/>
      <c r="G588" s="158"/>
      <c r="H588" s="158"/>
      <c r="I588" s="158"/>
      <c r="J588" s="158"/>
      <c r="K588" s="160"/>
      <c r="L588" s="103"/>
      <c r="N588" s="103"/>
      <c r="O588" s="103"/>
      <c r="Y588" s="160"/>
      <c r="Z588" s="160"/>
      <c r="AA588" s="160"/>
      <c r="AB588" s="160"/>
      <c r="AC588" s="160"/>
      <c r="AD588" s="160"/>
      <c r="AE588" s="160"/>
      <c r="AF588" s="160"/>
      <c r="AG588" s="160"/>
      <c r="AH588" s="160"/>
      <c r="AI588" s="160"/>
      <c r="AJ588" s="160"/>
      <c r="AP588" s="160"/>
      <c r="AV588" s="160"/>
    </row>
    <row r="589">
      <c r="A589" s="158"/>
      <c r="B589" s="160"/>
      <c r="C589" s="103"/>
      <c r="E589" s="103"/>
      <c r="F589" s="103"/>
      <c r="G589" s="158"/>
      <c r="H589" s="158"/>
      <c r="I589" s="158"/>
      <c r="J589" s="158"/>
      <c r="K589" s="160"/>
      <c r="L589" s="103"/>
      <c r="N589" s="103"/>
      <c r="O589" s="103"/>
      <c r="Y589" s="160"/>
      <c r="Z589" s="160"/>
      <c r="AA589" s="160"/>
      <c r="AB589" s="160"/>
      <c r="AC589" s="160"/>
      <c r="AD589" s="160"/>
      <c r="AE589" s="160"/>
      <c r="AF589" s="160"/>
      <c r="AG589" s="160"/>
      <c r="AH589" s="160"/>
      <c r="AI589" s="160"/>
      <c r="AJ589" s="160"/>
      <c r="AP589" s="160"/>
      <c r="AV589" s="160"/>
    </row>
    <row r="590">
      <c r="A590" s="158"/>
      <c r="B590" s="160"/>
      <c r="C590" s="103"/>
      <c r="E590" s="103"/>
      <c r="F590" s="103"/>
      <c r="G590" s="158"/>
      <c r="H590" s="158"/>
      <c r="I590" s="158"/>
      <c r="J590" s="158"/>
      <c r="K590" s="160"/>
      <c r="L590" s="103"/>
      <c r="N590" s="103"/>
      <c r="O590" s="103"/>
      <c r="Y590" s="160"/>
      <c r="Z590" s="160"/>
      <c r="AA590" s="160"/>
      <c r="AB590" s="160"/>
      <c r="AC590" s="160"/>
      <c r="AD590" s="160"/>
      <c r="AE590" s="160"/>
      <c r="AF590" s="160"/>
      <c r="AG590" s="160"/>
      <c r="AH590" s="160"/>
      <c r="AI590" s="160"/>
      <c r="AJ590" s="160"/>
      <c r="AP590" s="160"/>
      <c r="AV590" s="160"/>
    </row>
    <row r="591">
      <c r="A591" s="158"/>
      <c r="B591" s="160"/>
      <c r="C591" s="103"/>
      <c r="E591" s="103"/>
      <c r="F591" s="103"/>
      <c r="G591" s="158"/>
      <c r="H591" s="158"/>
      <c r="I591" s="158"/>
      <c r="J591" s="158"/>
      <c r="K591" s="160"/>
      <c r="L591" s="103"/>
      <c r="N591" s="103"/>
      <c r="O591" s="103"/>
      <c r="Y591" s="160"/>
      <c r="Z591" s="160"/>
      <c r="AA591" s="160"/>
      <c r="AB591" s="160"/>
      <c r="AC591" s="160"/>
      <c r="AD591" s="160"/>
      <c r="AE591" s="160"/>
      <c r="AF591" s="160"/>
      <c r="AG591" s="160"/>
      <c r="AH591" s="160"/>
      <c r="AI591" s="160"/>
      <c r="AJ591" s="160"/>
      <c r="AP591" s="160"/>
      <c r="AV591" s="160"/>
    </row>
    <row r="592">
      <c r="A592" s="158"/>
      <c r="B592" s="160"/>
      <c r="C592" s="103"/>
      <c r="E592" s="103"/>
      <c r="F592" s="103"/>
      <c r="G592" s="158"/>
      <c r="H592" s="158"/>
      <c r="I592" s="158"/>
      <c r="J592" s="158"/>
      <c r="K592" s="160"/>
      <c r="L592" s="103"/>
      <c r="N592" s="103"/>
      <c r="O592" s="103"/>
      <c r="Y592" s="160"/>
      <c r="Z592" s="160"/>
      <c r="AA592" s="160"/>
      <c r="AB592" s="160"/>
      <c r="AC592" s="160"/>
      <c r="AD592" s="160"/>
      <c r="AE592" s="160"/>
      <c r="AF592" s="160"/>
      <c r="AG592" s="160"/>
      <c r="AH592" s="160"/>
      <c r="AI592" s="160"/>
      <c r="AJ592" s="160"/>
      <c r="AP592" s="160"/>
      <c r="AV592" s="160"/>
    </row>
    <row r="593">
      <c r="A593" s="158"/>
      <c r="B593" s="160"/>
      <c r="C593" s="103"/>
      <c r="E593" s="103"/>
      <c r="F593" s="103"/>
      <c r="G593" s="158"/>
      <c r="H593" s="158"/>
      <c r="I593" s="158"/>
      <c r="J593" s="158"/>
      <c r="K593" s="160"/>
      <c r="L593" s="103"/>
      <c r="N593" s="103"/>
      <c r="O593" s="103"/>
      <c r="Y593" s="160"/>
      <c r="Z593" s="160"/>
      <c r="AA593" s="160"/>
      <c r="AB593" s="160"/>
      <c r="AC593" s="160"/>
      <c r="AD593" s="160"/>
      <c r="AE593" s="160"/>
      <c r="AF593" s="160"/>
      <c r="AG593" s="160"/>
      <c r="AH593" s="160"/>
      <c r="AI593" s="160"/>
      <c r="AJ593" s="160"/>
      <c r="AP593" s="160"/>
      <c r="AV593" s="160"/>
    </row>
    <row r="594">
      <c r="A594" s="158"/>
      <c r="B594" s="160"/>
      <c r="C594" s="103"/>
      <c r="E594" s="103"/>
      <c r="F594" s="103"/>
      <c r="G594" s="158"/>
      <c r="H594" s="158"/>
      <c r="I594" s="158"/>
      <c r="J594" s="158"/>
      <c r="K594" s="160"/>
      <c r="L594" s="103"/>
      <c r="N594" s="103"/>
      <c r="O594" s="103"/>
      <c r="Y594" s="160"/>
      <c r="Z594" s="160"/>
      <c r="AA594" s="160"/>
      <c r="AB594" s="160"/>
      <c r="AC594" s="160"/>
      <c r="AD594" s="160"/>
      <c r="AE594" s="160"/>
      <c r="AF594" s="160"/>
      <c r="AG594" s="160"/>
      <c r="AH594" s="160"/>
      <c r="AI594" s="160"/>
      <c r="AJ594" s="160"/>
      <c r="AP594" s="160"/>
      <c r="AV594" s="160"/>
    </row>
    <row r="595">
      <c r="A595" s="158"/>
      <c r="B595" s="160"/>
      <c r="C595" s="103"/>
      <c r="E595" s="103"/>
      <c r="F595" s="103"/>
      <c r="G595" s="158"/>
      <c r="H595" s="158"/>
      <c r="I595" s="158"/>
      <c r="J595" s="158"/>
      <c r="K595" s="160"/>
      <c r="L595" s="103"/>
      <c r="N595" s="103"/>
      <c r="O595" s="103"/>
      <c r="Y595" s="160"/>
      <c r="Z595" s="160"/>
      <c r="AA595" s="160"/>
      <c r="AB595" s="160"/>
      <c r="AC595" s="160"/>
      <c r="AD595" s="160"/>
      <c r="AE595" s="160"/>
      <c r="AF595" s="160"/>
      <c r="AG595" s="160"/>
      <c r="AH595" s="160"/>
      <c r="AI595" s="160"/>
      <c r="AJ595" s="160"/>
      <c r="AP595" s="160"/>
      <c r="AV595" s="160"/>
    </row>
    <row r="596">
      <c r="A596" s="158"/>
      <c r="B596" s="160"/>
      <c r="C596" s="103"/>
      <c r="E596" s="103"/>
      <c r="F596" s="103"/>
      <c r="G596" s="158"/>
      <c r="H596" s="158"/>
      <c r="I596" s="158"/>
      <c r="J596" s="158"/>
      <c r="K596" s="160"/>
      <c r="L596" s="103"/>
      <c r="N596" s="103"/>
      <c r="O596" s="103"/>
      <c r="Y596" s="160"/>
      <c r="Z596" s="160"/>
      <c r="AA596" s="160"/>
      <c r="AB596" s="160"/>
      <c r="AC596" s="160"/>
      <c r="AD596" s="160"/>
      <c r="AE596" s="160"/>
      <c r="AF596" s="160"/>
      <c r="AG596" s="160"/>
      <c r="AH596" s="160"/>
      <c r="AI596" s="160"/>
      <c r="AJ596" s="160"/>
      <c r="AP596" s="160"/>
      <c r="AV596" s="160"/>
    </row>
    <row r="597">
      <c r="A597" s="158"/>
      <c r="B597" s="160"/>
      <c r="C597" s="103"/>
      <c r="E597" s="103"/>
      <c r="F597" s="103"/>
      <c r="G597" s="158"/>
      <c r="H597" s="158"/>
      <c r="I597" s="158"/>
      <c r="J597" s="158"/>
      <c r="K597" s="160"/>
      <c r="L597" s="103"/>
      <c r="N597" s="103"/>
      <c r="O597" s="103"/>
      <c r="Y597" s="160"/>
      <c r="Z597" s="160"/>
      <c r="AA597" s="160"/>
      <c r="AB597" s="160"/>
      <c r="AC597" s="160"/>
      <c r="AD597" s="160"/>
      <c r="AE597" s="160"/>
      <c r="AF597" s="160"/>
      <c r="AG597" s="160"/>
      <c r="AH597" s="160"/>
      <c r="AI597" s="160"/>
      <c r="AJ597" s="160"/>
      <c r="AP597" s="160"/>
      <c r="AV597" s="160"/>
    </row>
    <row r="598">
      <c r="A598" s="158"/>
      <c r="B598" s="160"/>
      <c r="C598" s="103"/>
      <c r="E598" s="103"/>
      <c r="F598" s="103"/>
      <c r="G598" s="158"/>
      <c r="H598" s="158"/>
      <c r="I598" s="158"/>
      <c r="J598" s="158"/>
      <c r="K598" s="160"/>
      <c r="L598" s="103"/>
      <c r="N598" s="103"/>
      <c r="O598" s="103"/>
      <c r="Y598" s="160"/>
      <c r="Z598" s="160"/>
      <c r="AA598" s="160"/>
      <c r="AB598" s="160"/>
      <c r="AC598" s="160"/>
      <c r="AD598" s="160"/>
      <c r="AE598" s="160"/>
      <c r="AF598" s="160"/>
      <c r="AG598" s="160"/>
      <c r="AH598" s="160"/>
      <c r="AI598" s="160"/>
      <c r="AJ598" s="160"/>
      <c r="AP598" s="160"/>
      <c r="AV598" s="160"/>
    </row>
    <row r="599">
      <c r="A599" s="158"/>
      <c r="B599" s="160"/>
      <c r="C599" s="103"/>
      <c r="E599" s="103"/>
      <c r="F599" s="103"/>
      <c r="G599" s="158"/>
      <c r="H599" s="158"/>
      <c r="I599" s="158"/>
      <c r="J599" s="158"/>
      <c r="K599" s="160"/>
      <c r="L599" s="103"/>
      <c r="N599" s="103"/>
      <c r="O599" s="103"/>
      <c r="Y599" s="160"/>
      <c r="Z599" s="160"/>
      <c r="AA599" s="160"/>
      <c r="AB599" s="160"/>
      <c r="AC599" s="160"/>
      <c r="AD599" s="160"/>
      <c r="AE599" s="160"/>
      <c r="AF599" s="160"/>
      <c r="AG599" s="160"/>
      <c r="AH599" s="160"/>
      <c r="AI599" s="160"/>
      <c r="AJ599" s="160"/>
      <c r="AP599" s="160"/>
      <c r="AV599" s="160"/>
    </row>
    <row r="600">
      <c r="A600" s="158"/>
      <c r="B600" s="160"/>
      <c r="C600" s="103"/>
      <c r="E600" s="103"/>
      <c r="F600" s="103"/>
      <c r="G600" s="158"/>
      <c r="H600" s="158"/>
      <c r="I600" s="158"/>
      <c r="J600" s="158"/>
      <c r="K600" s="160"/>
      <c r="L600" s="103"/>
      <c r="N600" s="103"/>
      <c r="O600" s="103"/>
      <c r="Y600" s="160"/>
      <c r="Z600" s="160"/>
      <c r="AA600" s="160"/>
      <c r="AB600" s="160"/>
      <c r="AC600" s="160"/>
      <c r="AD600" s="160"/>
      <c r="AE600" s="160"/>
      <c r="AF600" s="160"/>
      <c r="AG600" s="160"/>
      <c r="AH600" s="160"/>
      <c r="AI600" s="160"/>
      <c r="AJ600" s="160"/>
      <c r="AP600" s="160"/>
      <c r="AV600" s="160"/>
    </row>
    <row r="601">
      <c r="A601" s="158"/>
      <c r="B601" s="160"/>
      <c r="C601" s="103"/>
      <c r="E601" s="103"/>
      <c r="F601" s="103"/>
      <c r="G601" s="158"/>
      <c r="H601" s="158"/>
      <c r="I601" s="158"/>
      <c r="J601" s="158"/>
      <c r="K601" s="160"/>
      <c r="L601" s="103"/>
      <c r="N601" s="103"/>
      <c r="O601" s="103"/>
      <c r="Y601" s="160"/>
      <c r="Z601" s="160"/>
      <c r="AA601" s="160"/>
      <c r="AB601" s="160"/>
      <c r="AC601" s="160"/>
      <c r="AD601" s="160"/>
      <c r="AE601" s="160"/>
      <c r="AF601" s="160"/>
      <c r="AG601" s="160"/>
      <c r="AH601" s="160"/>
      <c r="AI601" s="160"/>
      <c r="AJ601" s="160"/>
      <c r="AP601" s="160"/>
      <c r="AV601" s="160"/>
    </row>
    <row r="602">
      <c r="A602" s="158"/>
      <c r="B602" s="160"/>
      <c r="C602" s="103"/>
      <c r="E602" s="103"/>
      <c r="F602" s="103"/>
      <c r="G602" s="158"/>
      <c r="H602" s="158"/>
      <c r="I602" s="158"/>
      <c r="J602" s="158"/>
      <c r="K602" s="160"/>
      <c r="L602" s="103"/>
      <c r="N602" s="103"/>
      <c r="O602" s="103"/>
      <c r="Y602" s="160"/>
      <c r="Z602" s="160"/>
      <c r="AA602" s="160"/>
      <c r="AB602" s="160"/>
      <c r="AC602" s="160"/>
      <c r="AD602" s="160"/>
      <c r="AE602" s="160"/>
      <c r="AF602" s="160"/>
      <c r="AG602" s="160"/>
      <c r="AH602" s="160"/>
      <c r="AI602" s="160"/>
      <c r="AJ602" s="160"/>
      <c r="AP602" s="160"/>
      <c r="AV602" s="160"/>
    </row>
    <row r="603">
      <c r="A603" s="158"/>
      <c r="B603" s="160"/>
      <c r="C603" s="103"/>
      <c r="E603" s="103"/>
      <c r="F603" s="103"/>
      <c r="G603" s="158"/>
      <c r="H603" s="158"/>
      <c r="I603" s="158"/>
      <c r="J603" s="158"/>
      <c r="K603" s="160"/>
      <c r="L603" s="103"/>
      <c r="N603" s="103"/>
      <c r="O603" s="103"/>
      <c r="Y603" s="160"/>
      <c r="Z603" s="160"/>
      <c r="AA603" s="160"/>
      <c r="AB603" s="160"/>
      <c r="AC603" s="160"/>
      <c r="AD603" s="160"/>
      <c r="AE603" s="160"/>
      <c r="AF603" s="160"/>
      <c r="AG603" s="160"/>
      <c r="AH603" s="160"/>
      <c r="AI603" s="160"/>
      <c r="AJ603" s="160"/>
      <c r="AP603" s="160"/>
      <c r="AV603" s="160"/>
    </row>
    <row r="604">
      <c r="A604" s="158"/>
      <c r="B604" s="160"/>
      <c r="C604" s="103"/>
      <c r="E604" s="103"/>
      <c r="F604" s="103"/>
      <c r="G604" s="158"/>
      <c r="H604" s="158"/>
      <c r="I604" s="158"/>
      <c r="J604" s="158"/>
      <c r="K604" s="160"/>
      <c r="L604" s="103"/>
      <c r="N604" s="103"/>
      <c r="O604" s="103"/>
      <c r="Y604" s="160"/>
      <c r="Z604" s="160"/>
      <c r="AA604" s="160"/>
      <c r="AB604" s="160"/>
      <c r="AC604" s="160"/>
      <c r="AD604" s="160"/>
      <c r="AE604" s="160"/>
      <c r="AF604" s="160"/>
      <c r="AG604" s="160"/>
      <c r="AH604" s="160"/>
      <c r="AI604" s="160"/>
      <c r="AJ604" s="160"/>
      <c r="AP604" s="160"/>
      <c r="AV604" s="160"/>
    </row>
    <row r="605">
      <c r="A605" s="158"/>
      <c r="B605" s="160"/>
      <c r="C605" s="103"/>
      <c r="E605" s="103"/>
      <c r="F605" s="103"/>
      <c r="G605" s="158"/>
      <c r="H605" s="158"/>
      <c r="I605" s="158"/>
      <c r="J605" s="158"/>
      <c r="K605" s="160"/>
      <c r="L605" s="103"/>
      <c r="N605" s="103"/>
      <c r="O605" s="103"/>
      <c r="Y605" s="160"/>
      <c r="Z605" s="160"/>
      <c r="AA605" s="160"/>
      <c r="AB605" s="160"/>
      <c r="AC605" s="160"/>
      <c r="AD605" s="160"/>
      <c r="AE605" s="160"/>
      <c r="AF605" s="160"/>
      <c r="AG605" s="160"/>
      <c r="AH605" s="160"/>
      <c r="AI605" s="160"/>
      <c r="AJ605" s="160"/>
      <c r="AP605" s="160"/>
      <c r="AV605" s="160"/>
    </row>
    <row r="606">
      <c r="A606" s="158"/>
      <c r="B606" s="160"/>
      <c r="C606" s="103"/>
      <c r="E606" s="103"/>
      <c r="F606" s="103"/>
      <c r="G606" s="158"/>
      <c r="H606" s="158"/>
      <c r="I606" s="158"/>
      <c r="J606" s="158"/>
      <c r="K606" s="160"/>
      <c r="L606" s="103"/>
      <c r="N606" s="103"/>
      <c r="O606" s="103"/>
      <c r="Y606" s="160"/>
      <c r="Z606" s="160"/>
      <c r="AA606" s="160"/>
      <c r="AB606" s="160"/>
      <c r="AC606" s="160"/>
      <c r="AD606" s="160"/>
      <c r="AE606" s="160"/>
      <c r="AF606" s="160"/>
      <c r="AG606" s="160"/>
      <c r="AH606" s="160"/>
      <c r="AI606" s="160"/>
      <c r="AJ606" s="160"/>
      <c r="AP606" s="160"/>
      <c r="AV606" s="160"/>
    </row>
    <row r="607">
      <c r="A607" s="158"/>
      <c r="B607" s="160"/>
      <c r="C607" s="103"/>
      <c r="E607" s="103"/>
      <c r="F607" s="103"/>
      <c r="G607" s="158"/>
      <c r="H607" s="158"/>
      <c r="I607" s="158"/>
      <c r="J607" s="158"/>
      <c r="K607" s="160"/>
      <c r="L607" s="103"/>
      <c r="N607" s="103"/>
      <c r="O607" s="103"/>
      <c r="Y607" s="160"/>
      <c r="Z607" s="160"/>
      <c r="AA607" s="160"/>
      <c r="AB607" s="160"/>
      <c r="AC607" s="160"/>
      <c r="AD607" s="160"/>
      <c r="AE607" s="160"/>
      <c r="AF607" s="160"/>
      <c r="AG607" s="160"/>
      <c r="AH607" s="160"/>
      <c r="AI607" s="160"/>
      <c r="AJ607" s="160"/>
      <c r="AP607" s="160"/>
      <c r="AV607" s="160"/>
    </row>
    <row r="608">
      <c r="A608" s="158"/>
      <c r="B608" s="160"/>
      <c r="C608" s="103"/>
      <c r="E608" s="103"/>
      <c r="F608" s="103"/>
      <c r="G608" s="158"/>
      <c r="H608" s="158"/>
      <c r="I608" s="158"/>
      <c r="J608" s="158"/>
      <c r="K608" s="160"/>
      <c r="L608" s="103"/>
      <c r="N608" s="103"/>
      <c r="O608" s="103"/>
      <c r="Y608" s="160"/>
      <c r="Z608" s="160"/>
      <c r="AA608" s="160"/>
      <c r="AB608" s="160"/>
      <c r="AC608" s="160"/>
      <c r="AD608" s="160"/>
      <c r="AE608" s="160"/>
      <c r="AF608" s="160"/>
      <c r="AG608" s="160"/>
      <c r="AH608" s="160"/>
      <c r="AI608" s="160"/>
      <c r="AJ608" s="160"/>
      <c r="AP608" s="160"/>
      <c r="AV608" s="160"/>
    </row>
    <row r="609">
      <c r="A609" s="158"/>
      <c r="B609" s="160"/>
      <c r="C609" s="103"/>
      <c r="E609" s="103"/>
      <c r="F609" s="103"/>
      <c r="G609" s="158"/>
      <c r="H609" s="158"/>
      <c r="I609" s="158"/>
      <c r="J609" s="158"/>
      <c r="K609" s="160"/>
      <c r="L609" s="103"/>
      <c r="N609" s="103"/>
      <c r="O609" s="103"/>
      <c r="Y609" s="160"/>
      <c r="Z609" s="160"/>
      <c r="AA609" s="160"/>
      <c r="AB609" s="160"/>
      <c r="AC609" s="160"/>
      <c r="AD609" s="160"/>
      <c r="AE609" s="160"/>
      <c r="AF609" s="160"/>
      <c r="AG609" s="160"/>
      <c r="AH609" s="160"/>
      <c r="AI609" s="160"/>
      <c r="AJ609" s="160"/>
      <c r="AP609" s="160"/>
      <c r="AV609" s="160"/>
    </row>
    <row r="610">
      <c r="A610" s="158"/>
      <c r="B610" s="160"/>
      <c r="C610" s="103"/>
      <c r="E610" s="103"/>
      <c r="F610" s="103"/>
      <c r="G610" s="158"/>
      <c r="H610" s="158"/>
      <c r="I610" s="158"/>
      <c r="J610" s="158"/>
      <c r="K610" s="160"/>
      <c r="L610" s="103"/>
      <c r="N610" s="103"/>
      <c r="O610" s="103"/>
      <c r="Y610" s="160"/>
      <c r="Z610" s="160"/>
      <c r="AA610" s="160"/>
      <c r="AB610" s="160"/>
      <c r="AC610" s="160"/>
      <c r="AD610" s="160"/>
      <c r="AE610" s="160"/>
      <c r="AF610" s="160"/>
      <c r="AG610" s="160"/>
      <c r="AH610" s="160"/>
      <c r="AI610" s="160"/>
      <c r="AJ610" s="160"/>
      <c r="AP610" s="160"/>
      <c r="AV610" s="160"/>
    </row>
    <row r="611">
      <c r="A611" s="158"/>
      <c r="B611" s="160"/>
      <c r="C611" s="103"/>
      <c r="E611" s="103"/>
      <c r="F611" s="103"/>
      <c r="G611" s="158"/>
      <c r="H611" s="158"/>
      <c r="I611" s="158"/>
      <c r="J611" s="158"/>
      <c r="K611" s="160"/>
      <c r="L611" s="103"/>
      <c r="N611" s="103"/>
      <c r="O611" s="103"/>
      <c r="Y611" s="160"/>
      <c r="Z611" s="160"/>
      <c r="AA611" s="160"/>
      <c r="AB611" s="160"/>
      <c r="AC611" s="160"/>
      <c r="AD611" s="160"/>
      <c r="AE611" s="160"/>
      <c r="AF611" s="160"/>
      <c r="AG611" s="160"/>
      <c r="AH611" s="160"/>
      <c r="AI611" s="160"/>
      <c r="AJ611" s="160"/>
      <c r="AP611" s="160"/>
      <c r="AV611" s="160"/>
    </row>
    <row r="612">
      <c r="A612" s="158"/>
      <c r="B612" s="160"/>
      <c r="C612" s="103"/>
      <c r="E612" s="103"/>
      <c r="F612" s="103"/>
      <c r="G612" s="158"/>
      <c r="H612" s="158"/>
      <c r="I612" s="158"/>
      <c r="J612" s="158"/>
      <c r="K612" s="160"/>
      <c r="L612" s="103"/>
      <c r="N612" s="103"/>
      <c r="O612" s="103"/>
      <c r="Y612" s="160"/>
      <c r="Z612" s="160"/>
      <c r="AA612" s="160"/>
      <c r="AB612" s="160"/>
      <c r="AC612" s="160"/>
      <c r="AD612" s="160"/>
      <c r="AE612" s="160"/>
      <c r="AF612" s="160"/>
      <c r="AG612" s="160"/>
      <c r="AH612" s="160"/>
      <c r="AI612" s="160"/>
      <c r="AJ612" s="160"/>
      <c r="AP612" s="160"/>
      <c r="AV612" s="160"/>
    </row>
    <row r="613">
      <c r="A613" s="158"/>
      <c r="B613" s="160"/>
      <c r="C613" s="103"/>
      <c r="E613" s="103"/>
      <c r="F613" s="103"/>
      <c r="G613" s="158"/>
      <c r="H613" s="158"/>
      <c r="I613" s="158"/>
      <c r="J613" s="158"/>
      <c r="K613" s="160"/>
      <c r="L613" s="103"/>
      <c r="N613" s="103"/>
      <c r="O613" s="103"/>
      <c r="Y613" s="160"/>
      <c r="Z613" s="160"/>
      <c r="AA613" s="160"/>
      <c r="AB613" s="160"/>
      <c r="AC613" s="160"/>
      <c r="AD613" s="160"/>
      <c r="AE613" s="160"/>
      <c r="AF613" s="160"/>
      <c r="AG613" s="160"/>
      <c r="AH613" s="160"/>
      <c r="AI613" s="160"/>
      <c r="AJ613" s="160"/>
      <c r="AP613" s="160"/>
      <c r="AV613" s="160"/>
    </row>
    <row r="614">
      <c r="A614" s="158"/>
      <c r="B614" s="160"/>
      <c r="C614" s="103"/>
      <c r="E614" s="103"/>
      <c r="F614" s="103"/>
      <c r="G614" s="158"/>
      <c r="H614" s="158"/>
      <c r="I614" s="158"/>
      <c r="J614" s="158"/>
      <c r="K614" s="160"/>
      <c r="L614" s="103"/>
      <c r="N614" s="103"/>
      <c r="O614" s="103"/>
      <c r="Y614" s="160"/>
      <c r="Z614" s="160"/>
      <c r="AA614" s="160"/>
      <c r="AB614" s="160"/>
      <c r="AC614" s="160"/>
      <c r="AD614" s="160"/>
      <c r="AE614" s="160"/>
      <c r="AF614" s="160"/>
      <c r="AG614" s="160"/>
      <c r="AH614" s="160"/>
      <c r="AI614" s="160"/>
      <c r="AJ614" s="160"/>
      <c r="AP614" s="160"/>
      <c r="AV614" s="160"/>
    </row>
    <row r="615">
      <c r="A615" s="158"/>
      <c r="B615" s="160"/>
      <c r="C615" s="103"/>
      <c r="E615" s="103"/>
      <c r="F615" s="103"/>
      <c r="G615" s="158"/>
      <c r="H615" s="158"/>
      <c r="I615" s="158"/>
      <c r="J615" s="158"/>
      <c r="K615" s="160"/>
      <c r="L615" s="103"/>
      <c r="N615" s="103"/>
      <c r="O615" s="103"/>
      <c r="Y615" s="160"/>
      <c r="Z615" s="160"/>
      <c r="AA615" s="160"/>
      <c r="AB615" s="160"/>
      <c r="AC615" s="160"/>
      <c r="AD615" s="160"/>
      <c r="AE615" s="160"/>
      <c r="AF615" s="160"/>
      <c r="AG615" s="160"/>
      <c r="AH615" s="160"/>
      <c r="AI615" s="160"/>
      <c r="AJ615" s="160"/>
      <c r="AP615" s="160"/>
      <c r="AV615" s="160"/>
    </row>
    <row r="616">
      <c r="A616" s="158"/>
      <c r="B616" s="160"/>
      <c r="C616" s="103"/>
      <c r="E616" s="103"/>
      <c r="F616" s="103"/>
      <c r="G616" s="158"/>
      <c r="H616" s="158"/>
      <c r="I616" s="158"/>
      <c r="J616" s="158"/>
      <c r="K616" s="160"/>
      <c r="L616" s="103"/>
      <c r="N616" s="103"/>
      <c r="O616" s="103"/>
      <c r="Y616" s="160"/>
      <c r="Z616" s="160"/>
      <c r="AA616" s="160"/>
      <c r="AB616" s="160"/>
      <c r="AC616" s="160"/>
      <c r="AD616" s="160"/>
      <c r="AE616" s="160"/>
      <c r="AF616" s="160"/>
      <c r="AG616" s="160"/>
      <c r="AH616" s="160"/>
      <c r="AI616" s="160"/>
      <c r="AJ616" s="160"/>
      <c r="AP616" s="160"/>
      <c r="AV616" s="160"/>
    </row>
    <row r="617">
      <c r="A617" s="158"/>
      <c r="B617" s="160"/>
      <c r="C617" s="103"/>
      <c r="E617" s="103"/>
      <c r="F617" s="103"/>
      <c r="G617" s="158"/>
      <c r="H617" s="158"/>
      <c r="I617" s="158"/>
      <c r="J617" s="158"/>
      <c r="K617" s="160"/>
      <c r="L617" s="103"/>
      <c r="N617" s="103"/>
      <c r="O617" s="103"/>
      <c r="Y617" s="160"/>
      <c r="Z617" s="160"/>
      <c r="AA617" s="160"/>
      <c r="AB617" s="160"/>
      <c r="AC617" s="160"/>
      <c r="AD617" s="160"/>
      <c r="AE617" s="160"/>
      <c r="AF617" s="160"/>
      <c r="AG617" s="160"/>
      <c r="AH617" s="160"/>
      <c r="AI617" s="160"/>
      <c r="AJ617" s="160"/>
      <c r="AP617" s="160"/>
      <c r="AV617" s="160"/>
    </row>
    <row r="618">
      <c r="A618" s="158"/>
      <c r="B618" s="160"/>
      <c r="C618" s="103"/>
      <c r="E618" s="103"/>
      <c r="F618" s="103"/>
      <c r="G618" s="158"/>
      <c r="H618" s="158"/>
      <c r="I618" s="158"/>
      <c r="J618" s="158"/>
      <c r="K618" s="160"/>
      <c r="L618" s="103"/>
      <c r="N618" s="103"/>
      <c r="O618" s="103"/>
      <c r="Y618" s="160"/>
      <c r="Z618" s="160"/>
      <c r="AA618" s="160"/>
      <c r="AB618" s="160"/>
      <c r="AC618" s="160"/>
      <c r="AD618" s="160"/>
      <c r="AE618" s="160"/>
      <c r="AF618" s="160"/>
      <c r="AG618" s="160"/>
      <c r="AH618" s="160"/>
      <c r="AI618" s="160"/>
      <c r="AJ618" s="160"/>
      <c r="AP618" s="160"/>
      <c r="AV618" s="160"/>
    </row>
    <row r="619">
      <c r="A619" s="158"/>
      <c r="B619" s="160"/>
      <c r="C619" s="103"/>
      <c r="E619" s="103"/>
      <c r="F619" s="103"/>
      <c r="G619" s="158"/>
      <c r="H619" s="158"/>
      <c r="I619" s="158"/>
      <c r="J619" s="158"/>
      <c r="K619" s="160"/>
      <c r="L619" s="103"/>
      <c r="N619" s="103"/>
      <c r="O619" s="103"/>
      <c r="Y619" s="160"/>
      <c r="Z619" s="160"/>
      <c r="AA619" s="160"/>
      <c r="AB619" s="160"/>
      <c r="AC619" s="160"/>
      <c r="AD619" s="160"/>
      <c r="AE619" s="160"/>
      <c r="AF619" s="160"/>
      <c r="AG619" s="160"/>
      <c r="AH619" s="160"/>
      <c r="AI619" s="160"/>
      <c r="AJ619" s="160"/>
      <c r="AP619" s="160"/>
      <c r="AV619" s="160"/>
    </row>
    <row r="620">
      <c r="A620" s="158"/>
      <c r="B620" s="160"/>
      <c r="C620" s="103"/>
      <c r="E620" s="103"/>
      <c r="F620" s="103"/>
      <c r="G620" s="158"/>
      <c r="H620" s="158"/>
      <c r="I620" s="158"/>
      <c r="J620" s="158"/>
      <c r="K620" s="160"/>
      <c r="L620" s="103"/>
      <c r="N620" s="103"/>
      <c r="O620" s="103"/>
      <c r="Y620" s="160"/>
      <c r="Z620" s="160"/>
      <c r="AA620" s="160"/>
      <c r="AB620" s="160"/>
      <c r="AC620" s="160"/>
      <c r="AD620" s="160"/>
      <c r="AE620" s="160"/>
      <c r="AF620" s="160"/>
      <c r="AG620" s="160"/>
      <c r="AH620" s="160"/>
      <c r="AI620" s="160"/>
      <c r="AJ620" s="160"/>
      <c r="AP620" s="160"/>
      <c r="AV620" s="160"/>
    </row>
    <row r="621">
      <c r="A621" s="158"/>
      <c r="B621" s="160"/>
      <c r="C621" s="103"/>
      <c r="E621" s="103"/>
      <c r="F621" s="103"/>
      <c r="G621" s="158"/>
      <c r="H621" s="158"/>
      <c r="I621" s="158"/>
      <c r="J621" s="158"/>
      <c r="K621" s="160"/>
      <c r="L621" s="103"/>
      <c r="N621" s="103"/>
      <c r="O621" s="103"/>
      <c r="Y621" s="160"/>
      <c r="Z621" s="160"/>
      <c r="AA621" s="160"/>
      <c r="AB621" s="160"/>
      <c r="AC621" s="160"/>
      <c r="AD621" s="160"/>
      <c r="AE621" s="160"/>
      <c r="AF621" s="160"/>
      <c r="AG621" s="160"/>
      <c r="AH621" s="160"/>
      <c r="AI621" s="160"/>
      <c r="AJ621" s="160"/>
      <c r="AP621" s="160"/>
      <c r="AV621" s="160"/>
    </row>
    <row r="622">
      <c r="A622" s="158"/>
      <c r="B622" s="160"/>
      <c r="C622" s="103"/>
      <c r="E622" s="103"/>
      <c r="F622" s="103"/>
      <c r="G622" s="158"/>
      <c r="H622" s="158"/>
      <c r="I622" s="158"/>
      <c r="J622" s="158"/>
      <c r="K622" s="160"/>
      <c r="L622" s="103"/>
      <c r="N622" s="103"/>
      <c r="O622" s="103"/>
      <c r="Y622" s="160"/>
      <c r="Z622" s="160"/>
      <c r="AA622" s="160"/>
      <c r="AB622" s="160"/>
      <c r="AC622" s="160"/>
      <c r="AD622" s="160"/>
      <c r="AE622" s="160"/>
      <c r="AF622" s="160"/>
      <c r="AG622" s="160"/>
      <c r="AH622" s="160"/>
      <c r="AI622" s="160"/>
      <c r="AJ622" s="160"/>
      <c r="AP622" s="160"/>
      <c r="AV622" s="160"/>
    </row>
    <row r="623">
      <c r="A623" s="158"/>
      <c r="B623" s="160"/>
      <c r="C623" s="103"/>
      <c r="E623" s="103"/>
      <c r="F623" s="103"/>
      <c r="G623" s="158"/>
      <c r="H623" s="158"/>
      <c r="I623" s="158"/>
      <c r="J623" s="158"/>
      <c r="K623" s="160"/>
      <c r="L623" s="103"/>
      <c r="N623" s="103"/>
      <c r="O623" s="103"/>
      <c r="Y623" s="160"/>
      <c r="Z623" s="160"/>
      <c r="AA623" s="160"/>
      <c r="AB623" s="160"/>
      <c r="AC623" s="160"/>
      <c r="AD623" s="160"/>
      <c r="AE623" s="160"/>
      <c r="AF623" s="160"/>
      <c r="AG623" s="160"/>
      <c r="AH623" s="160"/>
      <c r="AI623" s="160"/>
      <c r="AJ623" s="160"/>
      <c r="AP623" s="160"/>
      <c r="AV623" s="160"/>
    </row>
    <row r="624">
      <c r="A624" s="158"/>
      <c r="B624" s="160"/>
      <c r="C624" s="103"/>
      <c r="E624" s="103"/>
      <c r="F624" s="103"/>
      <c r="G624" s="158"/>
      <c r="H624" s="158"/>
      <c r="I624" s="158"/>
      <c r="J624" s="158"/>
      <c r="K624" s="160"/>
      <c r="L624" s="103"/>
      <c r="N624" s="103"/>
      <c r="O624" s="103"/>
      <c r="Y624" s="160"/>
      <c r="Z624" s="160"/>
      <c r="AA624" s="160"/>
      <c r="AB624" s="160"/>
      <c r="AC624" s="160"/>
      <c r="AD624" s="160"/>
      <c r="AE624" s="160"/>
      <c r="AF624" s="160"/>
      <c r="AG624" s="160"/>
      <c r="AH624" s="160"/>
      <c r="AI624" s="160"/>
      <c r="AJ624" s="160"/>
      <c r="AP624" s="160"/>
      <c r="AV624" s="160"/>
    </row>
    <row r="625">
      <c r="A625" s="158"/>
      <c r="B625" s="160"/>
      <c r="C625" s="103"/>
      <c r="E625" s="103"/>
      <c r="F625" s="103"/>
      <c r="G625" s="158"/>
      <c r="H625" s="158"/>
      <c r="I625" s="158"/>
      <c r="J625" s="158"/>
      <c r="K625" s="160"/>
      <c r="L625" s="103"/>
      <c r="N625" s="103"/>
      <c r="O625" s="103"/>
      <c r="Y625" s="160"/>
      <c r="Z625" s="160"/>
      <c r="AA625" s="160"/>
      <c r="AB625" s="160"/>
      <c r="AC625" s="160"/>
      <c r="AD625" s="160"/>
      <c r="AE625" s="160"/>
      <c r="AF625" s="160"/>
      <c r="AG625" s="160"/>
      <c r="AH625" s="160"/>
      <c r="AI625" s="160"/>
      <c r="AJ625" s="160"/>
      <c r="AP625" s="160"/>
      <c r="AV625" s="160"/>
    </row>
    <row r="626">
      <c r="A626" s="158"/>
      <c r="B626" s="160"/>
      <c r="C626" s="103"/>
      <c r="E626" s="103"/>
      <c r="F626" s="103"/>
      <c r="G626" s="158"/>
      <c r="H626" s="158"/>
      <c r="I626" s="158"/>
      <c r="J626" s="158"/>
      <c r="K626" s="160"/>
      <c r="L626" s="103"/>
      <c r="N626" s="103"/>
      <c r="O626" s="103"/>
      <c r="Y626" s="160"/>
      <c r="Z626" s="160"/>
      <c r="AA626" s="160"/>
      <c r="AB626" s="160"/>
      <c r="AC626" s="160"/>
      <c r="AD626" s="160"/>
      <c r="AE626" s="160"/>
      <c r="AF626" s="160"/>
      <c r="AG626" s="160"/>
      <c r="AH626" s="160"/>
      <c r="AI626" s="160"/>
      <c r="AJ626" s="160"/>
      <c r="AP626" s="160"/>
      <c r="AV626" s="160"/>
    </row>
    <row r="627">
      <c r="A627" s="158"/>
      <c r="B627" s="160"/>
      <c r="C627" s="103"/>
      <c r="E627" s="103"/>
      <c r="F627" s="103"/>
      <c r="G627" s="158"/>
      <c r="H627" s="158"/>
      <c r="I627" s="158"/>
      <c r="J627" s="158"/>
      <c r="K627" s="160"/>
      <c r="L627" s="103"/>
      <c r="N627" s="103"/>
      <c r="O627" s="103"/>
      <c r="Y627" s="160"/>
      <c r="Z627" s="160"/>
      <c r="AA627" s="160"/>
      <c r="AB627" s="160"/>
      <c r="AC627" s="160"/>
      <c r="AD627" s="160"/>
      <c r="AE627" s="160"/>
      <c r="AF627" s="160"/>
      <c r="AG627" s="160"/>
      <c r="AH627" s="160"/>
      <c r="AI627" s="160"/>
      <c r="AJ627" s="160"/>
      <c r="AP627" s="160"/>
      <c r="AV627" s="160"/>
    </row>
    <row r="628">
      <c r="A628" s="158"/>
      <c r="B628" s="160"/>
      <c r="C628" s="103"/>
      <c r="E628" s="103"/>
      <c r="F628" s="103"/>
      <c r="G628" s="158"/>
      <c r="H628" s="158"/>
      <c r="I628" s="158"/>
      <c r="J628" s="158"/>
      <c r="K628" s="160"/>
      <c r="L628" s="103"/>
      <c r="N628" s="103"/>
      <c r="O628" s="103"/>
      <c r="Y628" s="160"/>
      <c r="Z628" s="160"/>
      <c r="AA628" s="160"/>
      <c r="AB628" s="160"/>
      <c r="AC628" s="160"/>
      <c r="AD628" s="160"/>
      <c r="AE628" s="160"/>
      <c r="AF628" s="160"/>
      <c r="AG628" s="160"/>
      <c r="AH628" s="160"/>
      <c r="AI628" s="160"/>
      <c r="AJ628" s="160"/>
      <c r="AP628" s="160"/>
      <c r="AV628" s="160"/>
    </row>
    <row r="629">
      <c r="A629" s="158"/>
      <c r="B629" s="160"/>
      <c r="C629" s="103"/>
      <c r="E629" s="103"/>
      <c r="F629" s="103"/>
      <c r="G629" s="158"/>
      <c r="H629" s="158"/>
      <c r="I629" s="158"/>
      <c r="J629" s="158"/>
      <c r="K629" s="160"/>
      <c r="L629" s="103"/>
      <c r="N629" s="103"/>
      <c r="O629" s="103"/>
      <c r="Y629" s="160"/>
      <c r="Z629" s="160"/>
      <c r="AA629" s="160"/>
      <c r="AB629" s="160"/>
      <c r="AC629" s="160"/>
      <c r="AD629" s="160"/>
      <c r="AE629" s="160"/>
      <c r="AF629" s="160"/>
      <c r="AG629" s="160"/>
      <c r="AH629" s="160"/>
      <c r="AI629" s="160"/>
      <c r="AJ629" s="160"/>
      <c r="AP629" s="160"/>
      <c r="AV629" s="160"/>
    </row>
    <row r="630">
      <c r="A630" s="158"/>
      <c r="B630" s="160"/>
      <c r="C630" s="103"/>
      <c r="E630" s="103"/>
      <c r="F630" s="103"/>
      <c r="G630" s="158"/>
      <c r="H630" s="158"/>
      <c r="I630" s="158"/>
      <c r="J630" s="158"/>
      <c r="K630" s="160"/>
      <c r="L630" s="103"/>
      <c r="N630" s="103"/>
      <c r="O630" s="103"/>
      <c r="Y630" s="160"/>
      <c r="Z630" s="160"/>
      <c r="AA630" s="160"/>
      <c r="AB630" s="160"/>
      <c r="AC630" s="160"/>
      <c r="AD630" s="160"/>
      <c r="AE630" s="160"/>
      <c r="AF630" s="160"/>
      <c r="AG630" s="160"/>
      <c r="AH630" s="160"/>
      <c r="AI630" s="160"/>
      <c r="AJ630" s="160"/>
      <c r="AP630" s="160"/>
      <c r="AV630" s="160"/>
    </row>
    <row r="631">
      <c r="A631" s="158"/>
      <c r="B631" s="160"/>
      <c r="C631" s="103"/>
      <c r="E631" s="103"/>
      <c r="F631" s="103"/>
      <c r="G631" s="158"/>
      <c r="H631" s="158"/>
      <c r="I631" s="158"/>
      <c r="J631" s="158"/>
      <c r="K631" s="160"/>
      <c r="L631" s="103"/>
      <c r="N631" s="103"/>
      <c r="O631" s="103"/>
      <c r="Y631" s="160"/>
      <c r="Z631" s="160"/>
      <c r="AA631" s="160"/>
      <c r="AB631" s="160"/>
      <c r="AC631" s="160"/>
      <c r="AD631" s="160"/>
      <c r="AE631" s="160"/>
      <c r="AF631" s="160"/>
      <c r="AG631" s="160"/>
      <c r="AH631" s="160"/>
      <c r="AI631" s="160"/>
      <c r="AJ631" s="160"/>
      <c r="AP631" s="160"/>
      <c r="AV631" s="160"/>
    </row>
    <row r="632">
      <c r="A632" s="158"/>
      <c r="B632" s="160"/>
      <c r="C632" s="103"/>
      <c r="E632" s="103"/>
      <c r="F632" s="103"/>
      <c r="G632" s="158"/>
      <c r="H632" s="158"/>
      <c r="I632" s="158"/>
      <c r="J632" s="158"/>
      <c r="K632" s="160"/>
      <c r="L632" s="103"/>
      <c r="N632" s="103"/>
      <c r="O632" s="103"/>
      <c r="Y632" s="160"/>
      <c r="Z632" s="160"/>
      <c r="AA632" s="160"/>
      <c r="AB632" s="160"/>
      <c r="AC632" s="160"/>
      <c r="AD632" s="160"/>
      <c r="AE632" s="160"/>
      <c r="AF632" s="160"/>
      <c r="AG632" s="160"/>
      <c r="AH632" s="160"/>
      <c r="AI632" s="160"/>
      <c r="AJ632" s="160"/>
      <c r="AP632" s="160"/>
      <c r="AV632" s="160"/>
    </row>
    <row r="633">
      <c r="A633" s="158"/>
      <c r="B633" s="160"/>
      <c r="C633" s="103"/>
      <c r="E633" s="103"/>
      <c r="F633" s="103"/>
      <c r="G633" s="158"/>
      <c r="H633" s="158"/>
      <c r="I633" s="158"/>
      <c r="J633" s="158"/>
      <c r="K633" s="160"/>
      <c r="L633" s="103"/>
      <c r="N633" s="103"/>
      <c r="O633" s="103"/>
      <c r="Y633" s="160"/>
      <c r="Z633" s="160"/>
      <c r="AA633" s="160"/>
      <c r="AB633" s="160"/>
      <c r="AC633" s="160"/>
      <c r="AD633" s="160"/>
      <c r="AE633" s="160"/>
      <c r="AF633" s="160"/>
      <c r="AG633" s="160"/>
      <c r="AH633" s="160"/>
      <c r="AI633" s="160"/>
      <c r="AJ633" s="160"/>
      <c r="AP633" s="160"/>
      <c r="AV633" s="160"/>
    </row>
    <row r="634">
      <c r="A634" s="158"/>
      <c r="B634" s="160"/>
      <c r="C634" s="103"/>
      <c r="E634" s="103"/>
      <c r="F634" s="103"/>
      <c r="G634" s="158"/>
      <c r="H634" s="158"/>
      <c r="I634" s="158"/>
      <c r="J634" s="158"/>
      <c r="K634" s="160"/>
      <c r="L634" s="103"/>
      <c r="N634" s="103"/>
      <c r="O634" s="103"/>
      <c r="Y634" s="160"/>
      <c r="Z634" s="160"/>
      <c r="AA634" s="160"/>
      <c r="AB634" s="160"/>
      <c r="AC634" s="160"/>
      <c r="AD634" s="160"/>
      <c r="AE634" s="160"/>
      <c r="AF634" s="160"/>
      <c r="AG634" s="160"/>
      <c r="AH634" s="160"/>
      <c r="AI634" s="160"/>
      <c r="AJ634" s="160"/>
      <c r="AP634" s="160"/>
      <c r="AV634" s="160"/>
    </row>
    <row r="635">
      <c r="A635" s="158"/>
      <c r="B635" s="160"/>
      <c r="C635" s="103"/>
      <c r="E635" s="103"/>
      <c r="F635" s="103"/>
      <c r="G635" s="158"/>
      <c r="H635" s="158"/>
      <c r="I635" s="158"/>
      <c r="J635" s="158"/>
      <c r="K635" s="160"/>
      <c r="L635" s="103"/>
      <c r="N635" s="103"/>
      <c r="O635" s="103"/>
      <c r="Y635" s="160"/>
      <c r="Z635" s="160"/>
      <c r="AA635" s="160"/>
      <c r="AB635" s="160"/>
      <c r="AC635" s="160"/>
      <c r="AD635" s="160"/>
      <c r="AE635" s="160"/>
      <c r="AF635" s="160"/>
      <c r="AG635" s="160"/>
      <c r="AH635" s="160"/>
      <c r="AI635" s="160"/>
      <c r="AJ635" s="160"/>
      <c r="AP635" s="160"/>
      <c r="AV635" s="160"/>
    </row>
    <row r="636">
      <c r="A636" s="158"/>
      <c r="B636" s="160"/>
      <c r="C636" s="103"/>
      <c r="E636" s="103"/>
      <c r="F636" s="103"/>
      <c r="G636" s="158"/>
      <c r="H636" s="158"/>
      <c r="I636" s="158"/>
      <c r="J636" s="158"/>
      <c r="K636" s="160"/>
      <c r="L636" s="103"/>
      <c r="N636" s="103"/>
      <c r="O636" s="103"/>
      <c r="Y636" s="160"/>
      <c r="Z636" s="160"/>
      <c r="AA636" s="160"/>
      <c r="AB636" s="160"/>
      <c r="AC636" s="160"/>
      <c r="AD636" s="160"/>
      <c r="AE636" s="160"/>
      <c r="AF636" s="160"/>
      <c r="AG636" s="160"/>
      <c r="AH636" s="160"/>
      <c r="AI636" s="160"/>
      <c r="AJ636" s="160"/>
      <c r="AP636" s="160"/>
      <c r="AV636" s="160"/>
    </row>
    <row r="637">
      <c r="A637" s="158"/>
      <c r="B637" s="160"/>
      <c r="C637" s="103"/>
      <c r="E637" s="103"/>
      <c r="F637" s="103"/>
      <c r="G637" s="158"/>
      <c r="H637" s="158"/>
      <c r="I637" s="158"/>
      <c r="J637" s="158"/>
      <c r="K637" s="160"/>
      <c r="L637" s="103"/>
      <c r="N637" s="103"/>
      <c r="O637" s="103"/>
      <c r="Y637" s="160"/>
      <c r="Z637" s="160"/>
      <c r="AA637" s="160"/>
      <c r="AB637" s="160"/>
      <c r="AC637" s="160"/>
      <c r="AD637" s="160"/>
      <c r="AE637" s="160"/>
      <c r="AF637" s="160"/>
      <c r="AG637" s="160"/>
      <c r="AH637" s="160"/>
      <c r="AI637" s="160"/>
      <c r="AJ637" s="160"/>
      <c r="AP637" s="160"/>
      <c r="AV637" s="160"/>
    </row>
    <row r="638">
      <c r="A638" s="158"/>
      <c r="B638" s="160"/>
      <c r="C638" s="103"/>
      <c r="E638" s="103"/>
      <c r="F638" s="103"/>
      <c r="G638" s="158"/>
      <c r="H638" s="158"/>
      <c r="I638" s="158"/>
      <c r="J638" s="158"/>
      <c r="K638" s="160"/>
      <c r="L638" s="103"/>
      <c r="N638" s="103"/>
      <c r="O638" s="103"/>
      <c r="Y638" s="160"/>
      <c r="Z638" s="160"/>
      <c r="AA638" s="160"/>
      <c r="AB638" s="160"/>
      <c r="AC638" s="160"/>
      <c r="AD638" s="160"/>
      <c r="AE638" s="160"/>
      <c r="AF638" s="160"/>
      <c r="AG638" s="160"/>
      <c r="AH638" s="160"/>
      <c r="AI638" s="160"/>
      <c r="AJ638" s="160"/>
      <c r="AP638" s="160"/>
      <c r="AV638" s="160"/>
    </row>
    <row r="639">
      <c r="A639" s="158"/>
      <c r="B639" s="160"/>
      <c r="C639" s="103"/>
      <c r="E639" s="103"/>
      <c r="F639" s="103"/>
      <c r="G639" s="158"/>
      <c r="H639" s="158"/>
      <c r="I639" s="158"/>
      <c r="J639" s="158"/>
      <c r="K639" s="160"/>
      <c r="L639" s="103"/>
      <c r="N639" s="103"/>
      <c r="O639" s="103"/>
      <c r="Y639" s="160"/>
      <c r="Z639" s="160"/>
      <c r="AA639" s="160"/>
      <c r="AB639" s="160"/>
      <c r="AC639" s="160"/>
      <c r="AD639" s="160"/>
      <c r="AE639" s="160"/>
      <c r="AF639" s="160"/>
      <c r="AG639" s="160"/>
      <c r="AH639" s="160"/>
      <c r="AI639" s="160"/>
      <c r="AJ639" s="160"/>
      <c r="AP639" s="160"/>
      <c r="AV639" s="160"/>
    </row>
    <row r="640">
      <c r="A640" s="158"/>
      <c r="B640" s="160"/>
      <c r="C640" s="103"/>
      <c r="E640" s="103"/>
      <c r="F640" s="103"/>
      <c r="G640" s="158"/>
      <c r="H640" s="158"/>
      <c r="I640" s="158"/>
      <c r="J640" s="158"/>
      <c r="K640" s="160"/>
      <c r="L640" s="103"/>
      <c r="N640" s="103"/>
      <c r="O640" s="103"/>
      <c r="Y640" s="160"/>
      <c r="Z640" s="160"/>
      <c r="AA640" s="160"/>
      <c r="AB640" s="160"/>
      <c r="AC640" s="160"/>
      <c r="AD640" s="160"/>
      <c r="AE640" s="160"/>
      <c r="AF640" s="160"/>
      <c r="AG640" s="160"/>
      <c r="AH640" s="160"/>
      <c r="AI640" s="160"/>
      <c r="AJ640" s="160"/>
      <c r="AP640" s="160"/>
      <c r="AV640" s="160"/>
    </row>
    <row r="641">
      <c r="A641" s="158"/>
      <c r="B641" s="160"/>
      <c r="C641" s="103"/>
      <c r="E641" s="103"/>
      <c r="F641" s="103"/>
      <c r="G641" s="158"/>
      <c r="H641" s="158"/>
      <c r="I641" s="158"/>
      <c r="J641" s="158"/>
      <c r="K641" s="160"/>
      <c r="L641" s="103"/>
      <c r="N641" s="103"/>
      <c r="O641" s="103"/>
      <c r="Y641" s="160"/>
      <c r="Z641" s="160"/>
      <c r="AA641" s="160"/>
      <c r="AB641" s="160"/>
      <c r="AC641" s="160"/>
      <c r="AD641" s="160"/>
      <c r="AE641" s="160"/>
      <c r="AF641" s="160"/>
      <c r="AG641" s="160"/>
      <c r="AH641" s="160"/>
      <c r="AI641" s="160"/>
      <c r="AJ641" s="160"/>
      <c r="AP641" s="160"/>
      <c r="AV641" s="160"/>
    </row>
    <row r="642">
      <c r="A642" s="158"/>
      <c r="B642" s="160"/>
      <c r="C642" s="103"/>
      <c r="E642" s="103"/>
      <c r="F642" s="103"/>
      <c r="G642" s="158"/>
      <c r="H642" s="158"/>
      <c r="I642" s="158"/>
      <c r="J642" s="158"/>
      <c r="K642" s="160"/>
      <c r="L642" s="103"/>
      <c r="N642" s="103"/>
      <c r="O642" s="103"/>
      <c r="Y642" s="160"/>
      <c r="Z642" s="160"/>
      <c r="AA642" s="160"/>
      <c r="AB642" s="160"/>
      <c r="AC642" s="160"/>
      <c r="AD642" s="160"/>
      <c r="AE642" s="160"/>
      <c r="AF642" s="160"/>
      <c r="AG642" s="160"/>
      <c r="AH642" s="160"/>
      <c r="AI642" s="160"/>
      <c r="AJ642" s="160"/>
      <c r="AP642" s="160"/>
      <c r="AV642" s="160"/>
    </row>
    <row r="643">
      <c r="A643" s="158"/>
      <c r="B643" s="160"/>
      <c r="C643" s="103"/>
      <c r="E643" s="103"/>
      <c r="F643" s="103"/>
      <c r="G643" s="158"/>
      <c r="H643" s="158"/>
      <c r="I643" s="158"/>
      <c r="J643" s="158"/>
      <c r="K643" s="160"/>
      <c r="L643" s="103"/>
      <c r="N643" s="103"/>
      <c r="O643" s="103"/>
      <c r="Y643" s="160"/>
      <c r="Z643" s="160"/>
      <c r="AA643" s="160"/>
      <c r="AB643" s="160"/>
      <c r="AC643" s="160"/>
      <c r="AD643" s="160"/>
      <c r="AE643" s="160"/>
      <c r="AF643" s="160"/>
      <c r="AG643" s="160"/>
      <c r="AH643" s="160"/>
      <c r="AI643" s="160"/>
      <c r="AJ643" s="160"/>
      <c r="AP643" s="160"/>
      <c r="AV643" s="160"/>
    </row>
    <row r="644">
      <c r="A644" s="158"/>
      <c r="B644" s="160"/>
      <c r="C644" s="103"/>
      <c r="E644" s="103"/>
      <c r="F644" s="103"/>
      <c r="G644" s="158"/>
      <c r="H644" s="158"/>
      <c r="I644" s="158"/>
      <c r="J644" s="158"/>
      <c r="K644" s="160"/>
      <c r="L644" s="103"/>
      <c r="N644" s="103"/>
      <c r="O644" s="103"/>
      <c r="Y644" s="160"/>
      <c r="Z644" s="160"/>
      <c r="AA644" s="160"/>
      <c r="AB644" s="160"/>
      <c r="AC644" s="160"/>
      <c r="AD644" s="160"/>
      <c r="AE644" s="160"/>
      <c r="AF644" s="160"/>
      <c r="AG644" s="160"/>
      <c r="AH644" s="160"/>
      <c r="AI644" s="160"/>
      <c r="AJ644" s="160"/>
      <c r="AP644" s="160"/>
      <c r="AV644" s="160"/>
    </row>
    <row r="645">
      <c r="A645" s="158"/>
      <c r="B645" s="160"/>
      <c r="C645" s="103"/>
      <c r="E645" s="103"/>
      <c r="F645" s="103"/>
      <c r="G645" s="158"/>
      <c r="H645" s="158"/>
      <c r="I645" s="158"/>
      <c r="J645" s="158"/>
      <c r="K645" s="160"/>
      <c r="L645" s="103"/>
      <c r="N645" s="103"/>
      <c r="O645" s="103"/>
      <c r="Y645" s="160"/>
      <c r="Z645" s="160"/>
      <c r="AA645" s="160"/>
      <c r="AB645" s="160"/>
      <c r="AC645" s="160"/>
      <c r="AD645" s="160"/>
      <c r="AE645" s="160"/>
      <c r="AF645" s="160"/>
      <c r="AG645" s="160"/>
      <c r="AH645" s="160"/>
      <c r="AI645" s="160"/>
      <c r="AJ645" s="160"/>
      <c r="AP645" s="160"/>
      <c r="AV645" s="160"/>
    </row>
    <row r="646">
      <c r="A646" s="158"/>
      <c r="B646" s="160"/>
      <c r="C646" s="103"/>
      <c r="E646" s="103"/>
      <c r="F646" s="103"/>
      <c r="G646" s="158"/>
      <c r="H646" s="158"/>
      <c r="I646" s="158"/>
      <c r="J646" s="158"/>
      <c r="K646" s="160"/>
      <c r="L646" s="103"/>
      <c r="N646" s="103"/>
      <c r="O646" s="103"/>
      <c r="Y646" s="160"/>
      <c r="Z646" s="160"/>
      <c r="AA646" s="160"/>
      <c r="AB646" s="160"/>
      <c r="AC646" s="160"/>
      <c r="AD646" s="160"/>
      <c r="AE646" s="160"/>
      <c r="AF646" s="160"/>
      <c r="AG646" s="160"/>
      <c r="AH646" s="160"/>
      <c r="AI646" s="160"/>
      <c r="AJ646" s="160"/>
      <c r="AP646" s="160"/>
      <c r="AV646" s="160"/>
    </row>
    <row r="647">
      <c r="A647" s="158"/>
      <c r="B647" s="160"/>
      <c r="C647" s="103"/>
      <c r="E647" s="103"/>
      <c r="F647" s="103"/>
      <c r="G647" s="158"/>
      <c r="H647" s="158"/>
      <c r="I647" s="158"/>
      <c r="J647" s="158"/>
      <c r="K647" s="160"/>
      <c r="L647" s="103"/>
      <c r="N647" s="103"/>
      <c r="O647" s="103"/>
      <c r="Y647" s="160"/>
      <c r="Z647" s="160"/>
      <c r="AA647" s="160"/>
      <c r="AB647" s="160"/>
      <c r="AC647" s="160"/>
      <c r="AD647" s="160"/>
      <c r="AE647" s="160"/>
      <c r="AF647" s="160"/>
      <c r="AG647" s="160"/>
      <c r="AH647" s="160"/>
      <c r="AI647" s="160"/>
      <c r="AJ647" s="160"/>
      <c r="AP647" s="160"/>
      <c r="AV647" s="160"/>
    </row>
    <row r="648">
      <c r="A648" s="158"/>
      <c r="B648" s="160"/>
      <c r="C648" s="103"/>
      <c r="E648" s="103"/>
      <c r="F648" s="103"/>
      <c r="G648" s="158"/>
      <c r="H648" s="158"/>
      <c r="I648" s="158"/>
      <c r="J648" s="158"/>
      <c r="K648" s="160"/>
      <c r="L648" s="103"/>
      <c r="N648" s="103"/>
      <c r="O648" s="103"/>
      <c r="Y648" s="160"/>
      <c r="Z648" s="160"/>
      <c r="AA648" s="160"/>
      <c r="AB648" s="160"/>
      <c r="AC648" s="160"/>
      <c r="AD648" s="160"/>
      <c r="AE648" s="160"/>
      <c r="AF648" s="160"/>
      <c r="AG648" s="160"/>
      <c r="AH648" s="160"/>
      <c r="AI648" s="160"/>
      <c r="AJ648" s="160"/>
      <c r="AP648" s="160"/>
      <c r="AV648" s="160"/>
    </row>
    <row r="649">
      <c r="A649" s="158"/>
      <c r="B649" s="160"/>
      <c r="C649" s="103"/>
      <c r="E649" s="103"/>
      <c r="F649" s="103"/>
      <c r="G649" s="158"/>
      <c r="H649" s="158"/>
      <c r="I649" s="158"/>
      <c r="J649" s="158"/>
      <c r="K649" s="160"/>
      <c r="L649" s="103"/>
      <c r="N649" s="103"/>
      <c r="O649" s="103"/>
      <c r="Y649" s="160"/>
      <c r="Z649" s="160"/>
      <c r="AA649" s="160"/>
      <c r="AB649" s="160"/>
      <c r="AC649" s="160"/>
      <c r="AD649" s="160"/>
      <c r="AE649" s="160"/>
      <c r="AF649" s="160"/>
      <c r="AG649" s="160"/>
      <c r="AH649" s="160"/>
      <c r="AI649" s="160"/>
      <c r="AJ649" s="160"/>
      <c r="AP649" s="160"/>
      <c r="AV649" s="160"/>
    </row>
    <row r="650">
      <c r="A650" s="158"/>
      <c r="B650" s="160"/>
      <c r="C650" s="103"/>
      <c r="E650" s="103"/>
      <c r="F650" s="103"/>
      <c r="G650" s="158"/>
      <c r="H650" s="158"/>
      <c r="I650" s="158"/>
      <c r="J650" s="158"/>
      <c r="K650" s="160"/>
      <c r="L650" s="103"/>
      <c r="N650" s="103"/>
      <c r="O650" s="103"/>
      <c r="Y650" s="160"/>
      <c r="Z650" s="160"/>
      <c r="AA650" s="160"/>
      <c r="AB650" s="160"/>
      <c r="AC650" s="160"/>
      <c r="AD650" s="160"/>
      <c r="AE650" s="160"/>
      <c r="AF650" s="160"/>
      <c r="AG650" s="160"/>
      <c r="AH650" s="160"/>
      <c r="AI650" s="160"/>
      <c r="AJ650" s="160"/>
      <c r="AP650" s="160"/>
      <c r="AV650" s="160"/>
    </row>
    <row r="651">
      <c r="A651" s="158"/>
      <c r="B651" s="160"/>
      <c r="C651" s="103"/>
      <c r="E651" s="103"/>
      <c r="F651" s="103"/>
      <c r="G651" s="158"/>
      <c r="H651" s="158"/>
      <c r="I651" s="158"/>
      <c r="J651" s="158"/>
      <c r="K651" s="160"/>
      <c r="L651" s="103"/>
      <c r="N651" s="103"/>
      <c r="O651" s="103"/>
      <c r="Y651" s="160"/>
      <c r="Z651" s="160"/>
      <c r="AA651" s="160"/>
      <c r="AB651" s="160"/>
      <c r="AC651" s="160"/>
      <c r="AD651" s="160"/>
      <c r="AE651" s="160"/>
      <c r="AF651" s="160"/>
      <c r="AG651" s="160"/>
      <c r="AH651" s="160"/>
      <c r="AI651" s="160"/>
      <c r="AJ651" s="160"/>
      <c r="AP651" s="160"/>
      <c r="AV651" s="160"/>
    </row>
    <row r="652">
      <c r="A652" s="158"/>
      <c r="B652" s="160"/>
      <c r="C652" s="103"/>
      <c r="E652" s="103"/>
      <c r="F652" s="103"/>
      <c r="G652" s="158"/>
      <c r="H652" s="158"/>
      <c r="I652" s="158"/>
      <c r="J652" s="158"/>
      <c r="K652" s="160"/>
      <c r="L652" s="103"/>
      <c r="N652" s="103"/>
      <c r="O652" s="103"/>
      <c r="Y652" s="160"/>
      <c r="Z652" s="160"/>
      <c r="AA652" s="160"/>
      <c r="AB652" s="160"/>
      <c r="AC652" s="160"/>
      <c r="AD652" s="160"/>
      <c r="AE652" s="160"/>
      <c r="AF652" s="160"/>
      <c r="AG652" s="160"/>
      <c r="AH652" s="160"/>
      <c r="AI652" s="160"/>
      <c r="AJ652" s="160"/>
      <c r="AP652" s="160"/>
      <c r="AV652" s="160"/>
    </row>
    <row r="653">
      <c r="A653" s="158"/>
      <c r="B653" s="160"/>
      <c r="C653" s="103"/>
      <c r="E653" s="103"/>
      <c r="F653" s="103"/>
      <c r="G653" s="158"/>
      <c r="H653" s="158"/>
      <c r="I653" s="158"/>
      <c r="J653" s="158"/>
      <c r="K653" s="160"/>
      <c r="L653" s="103"/>
      <c r="N653" s="103"/>
      <c r="O653" s="103"/>
      <c r="Y653" s="160"/>
      <c r="Z653" s="160"/>
      <c r="AA653" s="160"/>
      <c r="AB653" s="160"/>
      <c r="AC653" s="160"/>
      <c r="AD653" s="160"/>
      <c r="AE653" s="160"/>
      <c r="AF653" s="160"/>
      <c r="AG653" s="160"/>
      <c r="AH653" s="160"/>
      <c r="AI653" s="160"/>
      <c r="AJ653" s="160"/>
      <c r="AP653" s="160"/>
      <c r="AV653" s="160"/>
    </row>
    <row r="654">
      <c r="A654" s="158"/>
      <c r="B654" s="160"/>
      <c r="C654" s="103"/>
      <c r="E654" s="103"/>
      <c r="F654" s="103"/>
      <c r="G654" s="158"/>
      <c r="H654" s="158"/>
      <c r="I654" s="158"/>
      <c r="J654" s="158"/>
      <c r="K654" s="160"/>
      <c r="L654" s="103"/>
      <c r="N654" s="103"/>
      <c r="O654" s="103"/>
      <c r="Y654" s="160"/>
      <c r="Z654" s="160"/>
      <c r="AA654" s="160"/>
      <c r="AB654" s="160"/>
      <c r="AC654" s="160"/>
      <c r="AD654" s="160"/>
      <c r="AE654" s="160"/>
      <c r="AF654" s="160"/>
      <c r="AG654" s="160"/>
      <c r="AH654" s="160"/>
      <c r="AI654" s="160"/>
      <c r="AJ654" s="160"/>
      <c r="AP654" s="160"/>
      <c r="AV654" s="160"/>
    </row>
    <row r="655">
      <c r="A655" s="158"/>
      <c r="B655" s="160"/>
      <c r="C655" s="103"/>
      <c r="E655" s="103"/>
      <c r="F655" s="103"/>
      <c r="G655" s="158"/>
      <c r="H655" s="158"/>
      <c r="I655" s="158"/>
      <c r="J655" s="158"/>
      <c r="K655" s="160"/>
      <c r="L655" s="103"/>
      <c r="N655" s="103"/>
      <c r="O655" s="103"/>
      <c r="Y655" s="160"/>
      <c r="Z655" s="160"/>
      <c r="AA655" s="160"/>
      <c r="AB655" s="160"/>
      <c r="AC655" s="160"/>
      <c r="AD655" s="160"/>
      <c r="AE655" s="160"/>
      <c r="AF655" s="160"/>
      <c r="AG655" s="160"/>
      <c r="AH655" s="160"/>
      <c r="AI655" s="160"/>
      <c r="AJ655" s="160"/>
      <c r="AP655" s="160"/>
      <c r="AV655" s="160"/>
    </row>
    <row r="656">
      <c r="A656" s="158"/>
      <c r="B656" s="160"/>
      <c r="C656" s="103"/>
      <c r="E656" s="103"/>
      <c r="F656" s="103"/>
      <c r="G656" s="158"/>
      <c r="H656" s="158"/>
      <c r="I656" s="158"/>
      <c r="J656" s="158"/>
      <c r="K656" s="160"/>
      <c r="L656" s="103"/>
      <c r="N656" s="103"/>
      <c r="O656" s="103"/>
      <c r="Y656" s="160"/>
      <c r="Z656" s="160"/>
      <c r="AA656" s="160"/>
      <c r="AB656" s="160"/>
      <c r="AC656" s="160"/>
      <c r="AD656" s="160"/>
      <c r="AE656" s="160"/>
      <c r="AF656" s="160"/>
      <c r="AG656" s="160"/>
      <c r="AH656" s="160"/>
      <c r="AI656" s="160"/>
      <c r="AJ656" s="160"/>
      <c r="AP656" s="160"/>
      <c r="AV656" s="160"/>
    </row>
    <row r="657">
      <c r="A657" s="158"/>
      <c r="B657" s="160"/>
      <c r="C657" s="103"/>
      <c r="E657" s="103"/>
      <c r="F657" s="103"/>
      <c r="G657" s="158"/>
      <c r="H657" s="158"/>
      <c r="I657" s="158"/>
      <c r="J657" s="158"/>
      <c r="K657" s="160"/>
      <c r="L657" s="103"/>
      <c r="N657" s="103"/>
      <c r="O657" s="103"/>
      <c r="Y657" s="160"/>
      <c r="Z657" s="160"/>
      <c r="AA657" s="160"/>
      <c r="AB657" s="160"/>
      <c r="AC657" s="160"/>
      <c r="AD657" s="160"/>
      <c r="AE657" s="160"/>
      <c r="AF657" s="160"/>
      <c r="AG657" s="160"/>
      <c r="AH657" s="160"/>
      <c r="AI657" s="160"/>
      <c r="AJ657" s="160"/>
      <c r="AP657" s="160"/>
      <c r="AV657" s="160"/>
    </row>
    <row r="658">
      <c r="A658" s="158"/>
      <c r="B658" s="160"/>
      <c r="C658" s="103"/>
      <c r="E658" s="103"/>
      <c r="F658" s="103"/>
      <c r="G658" s="158"/>
      <c r="H658" s="158"/>
      <c r="I658" s="158"/>
      <c r="J658" s="158"/>
      <c r="K658" s="160"/>
      <c r="L658" s="103"/>
      <c r="N658" s="103"/>
      <c r="O658" s="103"/>
      <c r="Y658" s="160"/>
      <c r="Z658" s="160"/>
      <c r="AA658" s="160"/>
      <c r="AB658" s="160"/>
      <c r="AC658" s="160"/>
      <c r="AD658" s="160"/>
      <c r="AE658" s="160"/>
      <c r="AF658" s="160"/>
      <c r="AG658" s="160"/>
      <c r="AH658" s="160"/>
      <c r="AI658" s="160"/>
      <c r="AJ658" s="160"/>
      <c r="AP658" s="160"/>
      <c r="AV658" s="160"/>
    </row>
    <row r="659">
      <c r="A659" s="158"/>
      <c r="B659" s="160"/>
      <c r="C659" s="103"/>
      <c r="E659" s="103"/>
      <c r="F659" s="103"/>
      <c r="G659" s="158"/>
      <c r="H659" s="158"/>
      <c r="I659" s="158"/>
      <c r="J659" s="158"/>
      <c r="K659" s="160"/>
      <c r="L659" s="103"/>
      <c r="N659" s="103"/>
      <c r="O659" s="103"/>
      <c r="Y659" s="160"/>
      <c r="Z659" s="160"/>
      <c r="AA659" s="160"/>
      <c r="AB659" s="160"/>
      <c r="AC659" s="160"/>
      <c r="AD659" s="160"/>
      <c r="AE659" s="160"/>
      <c r="AF659" s="160"/>
      <c r="AG659" s="160"/>
      <c r="AH659" s="160"/>
      <c r="AI659" s="160"/>
      <c r="AJ659" s="160"/>
      <c r="AP659" s="160"/>
      <c r="AV659" s="160"/>
    </row>
    <row r="660">
      <c r="A660" s="158"/>
      <c r="B660" s="160"/>
      <c r="C660" s="103"/>
      <c r="E660" s="103"/>
      <c r="F660" s="103"/>
      <c r="G660" s="158"/>
      <c r="H660" s="158"/>
      <c r="I660" s="158"/>
      <c r="J660" s="158"/>
      <c r="K660" s="160"/>
      <c r="L660" s="103"/>
      <c r="N660" s="103"/>
      <c r="O660" s="103"/>
      <c r="Y660" s="160"/>
      <c r="Z660" s="160"/>
      <c r="AA660" s="160"/>
      <c r="AB660" s="160"/>
      <c r="AC660" s="160"/>
      <c r="AD660" s="160"/>
      <c r="AE660" s="160"/>
      <c r="AF660" s="160"/>
      <c r="AG660" s="160"/>
      <c r="AH660" s="160"/>
      <c r="AI660" s="160"/>
      <c r="AJ660" s="160"/>
      <c r="AP660" s="160"/>
      <c r="AV660" s="160"/>
    </row>
    <row r="661">
      <c r="A661" s="158"/>
      <c r="B661" s="160"/>
      <c r="C661" s="103"/>
      <c r="E661" s="103"/>
      <c r="F661" s="103"/>
      <c r="G661" s="158"/>
      <c r="H661" s="158"/>
      <c r="I661" s="158"/>
      <c r="J661" s="158"/>
      <c r="K661" s="160"/>
      <c r="L661" s="103"/>
      <c r="N661" s="103"/>
      <c r="O661" s="103"/>
      <c r="Y661" s="160"/>
      <c r="Z661" s="160"/>
      <c r="AA661" s="160"/>
      <c r="AB661" s="160"/>
      <c r="AC661" s="160"/>
      <c r="AD661" s="160"/>
      <c r="AE661" s="160"/>
      <c r="AF661" s="160"/>
      <c r="AG661" s="160"/>
      <c r="AH661" s="160"/>
      <c r="AI661" s="160"/>
      <c r="AJ661" s="160"/>
      <c r="AP661" s="160"/>
      <c r="AV661" s="160"/>
    </row>
    <row r="662">
      <c r="A662" s="158"/>
      <c r="B662" s="160"/>
      <c r="C662" s="103"/>
      <c r="E662" s="103"/>
      <c r="F662" s="103"/>
      <c r="G662" s="158"/>
      <c r="H662" s="158"/>
      <c r="I662" s="158"/>
      <c r="J662" s="158"/>
      <c r="K662" s="160"/>
      <c r="L662" s="103"/>
      <c r="N662" s="103"/>
      <c r="O662" s="103"/>
      <c r="Y662" s="160"/>
      <c r="Z662" s="160"/>
      <c r="AA662" s="160"/>
      <c r="AB662" s="160"/>
      <c r="AC662" s="160"/>
      <c r="AD662" s="160"/>
      <c r="AE662" s="160"/>
      <c r="AF662" s="160"/>
      <c r="AG662" s="160"/>
      <c r="AH662" s="160"/>
      <c r="AI662" s="160"/>
      <c r="AJ662" s="160"/>
      <c r="AP662" s="160"/>
      <c r="AV662" s="160"/>
    </row>
    <row r="663">
      <c r="A663" s="158"/>
      <c r="B663" s="160"/>
      <c r="C663" s="103"/>
      <c r="E663" s="103"/>
      <c r="F663" s="103"/>
      <c r="G663" s="158"/>
      <c r="H663" s="158"/>
      <c r="I663" s="158"/>
      <c r="J663" s="158"/>
      <c r="K663" s="160"/>
      <c r="L663" s="103"/>
      <c r="N663" s="103"/>
      <c r="O663" s="103"/>
      <c r="Y663" s="160"/>
      <c r="Z663" s="160"/>
      <c r="AA663" s="160"/>
      <c r="AB663" s="160"/>
      <c r="AC663" s="160"/>
      <c r="AD663" s="160"/>
      <c r="AE663" s="160"/>
      <c r="AF663" s="160"/>
      <c r="AG663" s="160"/>
      <c r="AH663" s="160"/>
      <c r="AI663" s="160"/>
      <c r="AJ663" s="160"/>
      <c r="AP663" s="160"/>
      <c r="AV663" s="160"/>
    </row>
    <row r="664">
      <c r="A664" s="158"/>
      <c r="B664" s="160"/>
      <c r="C664" s="103"/>
      <c r="E664" s="103"/>
      <c r="F664" s="103"/>
      <c r="G664" s="158"/>
      <c r="H664" s="158"/>
      <c r="I664" s="158"/>
      <c r="J664" s="158"/>
      <c r="K664" s="160"/>
      <c r="L664" s="103"/>
      <c r="N664" s="103"/>
      <c r="O664" s="103"/>
      <c r="Y664" s="160"/>
      <c r="Z664" s="160"/>
      <c r="AA664" s="160"/>
      <c r="AB664" s="160"/>
      <c r="AC664" s="160"/>
      <c r="AD664" s="160"/>
      <c r="AE664" s="160"/>
      <c r="AF664" s="160"/>
      <c r="AG664" s="160"/>
      <c r="AH664" s="160"/>
      <c r="AI664" s="160"/>
      <c r="AJ664" s="160"/>
      <c r="AP664" s="160"/>
      <c r="AV664" s="160"/>
    </row>
    <row r="665">
      <c r="A665" s="158"/>
      <c r="B665" s="160"/>
      <c r="C665" s="103"/>
      <c r="E665" s="103"/>
      <c r="F665" s="103"/>
      <c r="G665" s="158"/>
      <c r="H665" s="158"/>
      <c r="I665" s="158"/>
      <c r="J665" s="158"/>
      <c r="K665" s="160"/>
      <c r="L665" s="103"/>
      <c r="N665" s="103"/>
      <c r="O665" s="103"/>
      <c r="Y665" s="160"/>
      <c r="Z665" s="160"/>
      <c r="AA665" s="160"/>
      <c r="AB665" s="160"/>
      <c r="AC665" s="160"/>
      <c r="AD665" s="160"/>
      <c r="AE665" s="160"/>
      <c r="AF665" s="160"/>
      <c r="AG665" s="160"/>
      <c r="AH665" s="160"/>
      <c r="AI665" s="160"/>
      <c r="AJ665" s="160"/>
      <c r="AP665" s="160"/>
      <c r="AV665" s="160"/>
    </row>
    <row r="666">
      <c r="A666" s="158"/>
      <c r="B666" s="160"/>
      <c r="C666" s="103"/>
      <c r="E666" s="103"/>
      <c r="F666" s="103"/>
      <c r="G666" s="158"/>
      <c r="H666" s="158"/>
      <c r="I666" s="158"/>
      <c r="J666" s="158"/>
      <c r="K666" s="160"/>
      <c r="L666" s="103"/>
      <c r="N666" s="103"/>
      <c r="O666" s="103"/>
      <c r="Y666" s="160"/>
      <c r="Z666" s="160"/>
      <c r="AA666" s="160"/>
      <c r="AB666" s="160"/>
      <c r="AC666" s="160"/>
      <c r="AD666" s="160"/>
      <c r="AE666" s="160"/>
      <c r="AF666" s="160"/>
      <c r="AG666" s="160"/>
      <c r="AH666" s="160"/>
      <c r="AI666" s="160"/>
      <c r="AJ666" s="160"/>
      <c r="AP666" s="160"/>
      <c r="AV666" s="160"/>
    </row>
    <row r="667">
      <c r="A667" s="158"/>
      <c r="B667" s="160"/>
      <c r="C667" s="103"/>
      <c r="E667" s="103"/>
      <c r="F667" s="103"/>
      <c r="G667" s="158"/>
      <c r="H667" s="158"/>
      <c r="I667" s="158"/>
      <c r="J667" s="158"/>
      <c r="K667" s="160"/>
      <c r="L667" s="103"/>
      <c r="N667" s="103"/>
      <c r="O667" s="103"/>
      <c r="Y667" s="160"/>
      <c r="Z667" s="160"/>
      <c r="AA667" s="160"/>
      <c r="AB667" s="160"/>
      <c r="AC667" s="160"/>
      <c r="AD667" s="160"/>
      <c r="AE667" s="160"/>
      <c r="AF667" s="160"/>
      <c r="AG667" s="160"/>
      <c r="AH667" s="160"/>
      <c r="AI667" s="160"/>
      <c r="AJ667" s="160"/>
      <c r="AP667" s="160"/>
      <c r="AV667" s="160"/>
    </row>
    <row r="668">
      <c r="A668" s="158"/>
      <c r="B668" s="160"/>
      <c r="C668" s="103"/>
      <c r="E668" s="103"/>
      <c r="F668" s="103"/>
      <c r="G668" s="158"/>
      <c r="H668" s="158"/>
      <c r="I668" s="158"/>
      <c r="J668" s="158"/>
      <c r="K668" s="160"/>
      <c r="L668" s="103"/>
      <c r="N668" s="103"/>
      <c r="O668" s="103"/>
      <c r="Y668" s="160"/>
      <c r="Z668" s="160"/>
      <c r="AA668" s="160"/>
      <c r="AB668" s="160"/>
      <c r="AC668" s="160"/>
      <c r="AD668" s="160"/>
      <c r="AE668" s="160"/>
      <c r="AF668" s="160"/>
      <c r="AG668" s="160"/>
      <c r="AH668" s="160"/>
      <c r="AI668" s="160"/>
      <c r="AJ668" s="160"/>
      <c r="AP668" s="160"/>
      <c r="AV668" s="160"/>
    </row>
    <row r="669">
      <c r="A669" s="158"/>
      <c r="B669" s="160"/>
      <c r="C669" s="103"/>
      <c r="E669" s="103"/>
      <c r="F669" s="103"/>
      <c r="G669" s="158"/>
      <c r="H669" s="158"/>
      <c r="I669" s="158"/>
      <c r="J669" s="158"/>
      <c r="K669" s="160"/>
      <c r="L669" s="103"/>
      <c r="N669" s="103"/>
      <c r="O669" s="103"/>
      <c r="Y669" s="160"/>
      <c r="Z669" s="160"/>
      <c r="AA669" s="160"/>
      <c r="AB669" s="160"/>
      <c r="AC669" s="160"/>
      <c r="AD669" s="160"/>
      <c r="AE669" s="160"/>
      <c r="AF669" s="160"/>
      <c r="AG669" s="160"/>
      <c r="AH669" s="160"/>
      <c r="AI669" s="160"/>
      <c r="AJ669" s="160"/>
      <c r="AP669" s="160"/>
      <c r="AV669" s="160"/>
    </row>
    <row r="670">
      <c r="A670" s="158"/>
      <c r="B670" s="160"/>
      <c r="C670" s="103"/>
      <c r="E670" s="103"/>
      <c r="F670" s="103"/>
      <c r="G670" s="158"/>
      <c r="H670" s="158"/>
      <c r="I670" s="158"/>
      <c r="J670" s="158"/>
      <c r="K670" s="160"/>
      <c r="L670" s="103"/>
      <c r="N670" s="103"/>
      <c r="O670" s="103"/>
      <c r="Y670" s="160"/>
      <c r="Z670" s="160"/>
      <c r="AA670" s="160"/>
      <c r="AB670" s="160"/>
      <c r="AC670" s="160"/>
      <c r="AD670" s="160"/>
      <c r="AE670" s="160"/>
      <c r="AF670" s="160"/>
      <c r="AG670" s="160"/>
      <c r="AH670" s="160"/>
      <c r="AI670" s="160"/>
      <c r="AJ670" s="160"/>
      <c r="AP670" s="160"/>
      <c r="AV670" s="160"/>
    </row>
    <row r="671">
      <c r="A671" s="158"/>
      <c r="B671" s="160"/>
      <c r="C671" s="103"/>
      <c r="E671" s="103"/>
      <c r="F671" s="103"/>
      <c r="G671" s="158"/>
      <c r="H671" s="158"/>
      <c r="I671" s="158"/>
      <c r="J671" s="158"/>
      <c r="K671" s="160"/>
      <c r="L671" s="103"/>
      <c r="N671" s="103"/>
      <c r="O671" s="103"/>
      <c r="Y671" s="160"/>
      <c r="Z671" s="160"/>
      <c r="AA671" s="160"/>
      <c r="AB671" s="160"/>
      <c r="AC671" s="160"/>
      <c r="AD671" s="160"/>
      <c r="AE671" s="160"/>
      <c r="AF671" s="160"/>
      <c r="AG671" s="160"/>
      <c r="AH671" s="160"/>
      <c r="AI671" s="160"/>
      <c r="AJ671" s="160"/>
      <c r="AP671" s="160"/>
      <c r="AV671" s="160"/>
    </row>
    <row r="672">
      <c r="A672" s="158"/>
      <c r="B672" s="160"/>
      <c r="C672" s="103"/>
      <c r="E672" s="103"/>
      <c r="F672" s="103"/>
      <c r="G672" s="158"/>
      <c r="H672" s="158"/>
      <c r="I672" s="158"/>
      <c r="J672" s="158"/>
      <c r="K672" s="160"/>
      <c r="L672" s="103"/>
      <c r="N672" s="103"/>
      <c r="O672" s="103"/>
      <c r="Y672" s="160"/>
      <c r="Z672" s="160"/>
      <c r="AA672" s="160"/>
      <c r="AB672" s="160"/>
      <c r="AC672" s="160"/>
      <c r="AD672" s="160"/>
      <c r="AE672" s="160"/>
      <c r="AF672" s="160"/>
      <c r="AG672" s="160"/>
      <c r="AH672" s="160"/>
      <c r="AI672" s="160"/>
      <c r="AJ672" s="160"/>
      <c r="AP672" s="160"/>
      <c r="AV672" s="160"/>
    </row>
    <row r="673">
      <c r="A673" s="158"/>
      <c r="B673" s="160"/>
      <c r="C673" s="103"/>
      <c r="E673" s="103"/>
      <c r="F673" s="103"/>
      <c r="G673" s="158"/>
      <c r="H673" s="158"/>
      <c r="I673" s="158"/>
      <c r="J673" s="158"/>
      <c r="K673" s="160"/>
      <c r="L673" s="103"/>
      <c r="N673" s="103"/>
      <c r="O673" s="103"/>
      <c r="Y673" s="160"/>
      <c r="Z673" s="160"/>
      <c r="AA673" s="160"/>
      <c r="AB673" s="160"/>
      <c r="AC673" s="160"/>
      <c r="AD673" s="160"/>
      <c r="AE673" s="160"/>
      <c r="AF673" s="160"/>
      <c r="AG673" s="160"/>
      <c r="AH673" s="160"/>
      <c r="AI673" s="160"/>
      <c r="AJ673" s="160"/>
      <c r="AP673" s="160"/>
      <c r="AV673" s="160"/>
    </row>
    <row r="674">
      <c r="A674" s="158"/>
      <c r="B674" s="160"/>
      <c r="C674" s="103"/>
      <c r="E674" s="103"/>
      <c r="F674" s="103"/>
      <c r="G674" s="158"/>
      <c r="H674" s="158"/>
      <c r="I674" s="158"/>
      <c r="J674" s="158"/>
      <c r="K674" s="160"/>
      <c r="L674" s="103"/>
      <c r="N674" s="103"/>
      <c r="O674" s="103"/>
      <c r="Y674" s="160"/>
      <c r="Z674" s="160"/>
      <c r="AA674" s="160"/>
      <c r="AB674" s="160"/>
      <c r="AC674" s="160"/>
      <c r="AD674" s="160"/>
      <c r="AE674" s="160"/>
      <c r="AF674" s="160"/>
      <c r="AG674" s="160"/>
      <c r="AH674" s="160"/>
      <c r="AI674" s="160"/>
      <c r="AJ674" s="160"/>
      <c r="AP674" s="160"/>
      <c r="AV674" s="160"/>
    </row>
    <row r="675">
      <c r="A675" s="158"/>
      <c r="B675" s="160"/>
      <c r="C675" s="103"/>
      <c r="E675" s="103"/>
      <c r="F675" s="103"/>
      <c r="G675" s="158"/>
      <c r="H675" s="158"/>
      <c r="I675" s="158"/>
      <c r="J675" s="158"/>
      <c r="K675" s="160"/>
      <c r="L675" s="103"/>
      <c r="N675" s="103"/>
      <c r="O675" s="103"/>
      <c r="Y675" s="160"/>
      <c r="Z675" s="160"/>
      <c r="AA675" s="160"/>
      <c r="AB675" s="160"/>
      <c r="AC675" s="160"/>
      <c r="AD675" s="160"/>
      <c r="AE675" s="160"/>
      <c r="AF675" s="160"/>
      <c r="AG675" s="160"/>
      <c r="AH675" s="160"/>
      <c r="AI675" s="160"/>
      <c r="AJ675" s="160"/>
      <c r="AP675" s="160"/>
      <c r="AV675" s="160"/>
    </row>
    <row r="676">
      <c r="A676" s="158"/>
      <c r="B676" s="160"/>
      <c r="C676" s="103"/>
      <c r="E676" s="103"/>
      <c r="F676" s="103"/>
      <c r="G676" s="158"/>
      <c r="H676" s="158"/>
      <c r="I676" s="158"/>
      <c r="J676" s="158"/>
      <c r="K676" s="160"/>
      <c r="L676" s="103"/>
      <c r="N676" s="103"/>
      <c r="O676" s="103"/>
      <c r="Y676" s="160"/>
      <c r="Z676" s="160"/>
      <c r="AA676" s="160"/>
      <c r="AB676" s="160"/>
      <c r="AC676" s="160"/>
      <c r="AD676" s="160"/>
      <c r="AE676" s="160"/>
      <c r="AF676" s="160"/>
      <c r="AG676" s="160"/>
      <c r="AH676" s="160"/>
      <c r="AI676" s="160"/>
      <c r="AJ676" s="160"/>
      <c r="AP676" s="160"/>
      <c r="AV676" s="160"/>
    </row>
    <row r="677">
      <c r="A677" s="158"/>
      <c r="B677" s="160"/>
      <c r="C677" s="103"/>
      <c r="E677" s="103"/>
      <c r="F677" s="103"/>
      <c r="G677" s="158"/>
      <c r="H677" s="158"/>
      <c r="I677" s="158"/>
      <c r="J677" s="158"/>
      <c r="K677" s="160"/>
      <c r="L677" s="103"/>
      <c r="N677" s="103"/>
      <c r="O677" s="103"/>
      <c r="Y677" s="160"/>
      <c r="Z677" s="160"/>
      <c r="AA677" s="160"/>
      <c r="AB677" s="160"/>
      <c r="AC677" s="160"/>
      <c r="AD677" s="160"/>
      <c r="AE677" s="160"/>
      <c r="AF677" s="160"/>
      <c r="AG677" s="160"/>
      <c r="AH677" s="160"/>
      <c r="AI677" s="160"/>
      <c r="AJ677" s="160"/>
      <c r="AP677" s="160"/>
      <c r="AV677" s="160"/>
    </row>
    <row r="678">
      <c r="A678" s="158"/>
      <c r="B678" s="160"/>
      <c r="C678" s="103"/>
      <c r="E678" s="103"/>
      <c r="F678" s="103"/>
      <c r="G678" s="158"/>
      <c r="H678" s="158"/>
      <c r="I678" s="158"/>
      <c r="J678" s="158"/>
      <c r="K678" s="160"/>
      <c r="L678" s="103"/>
      <c r="N678" s="103"/>
      <c r="O678" s="103"/>
      <c r="Y678" s="160"/>
      <c r="Z678" s="160"/>
      <c r="AA678" s="160"/>
      <c r="AB678" s="160"/>
      <c r="AC678" s="160"/>
      <c r="AD678" s="160"/>
      <c r="AE678" s="160"/>
      <c r="AF678" s="160"/>
      <c r="AG678" s="160"/>
      <c r="AH678" s="160"/>
      <c r="AI678" s="160"/>
      <c r="AJ678" s="160"/>
      <c r="AP678" s="160"/>
      <c r="AV678" s="160"/>
    </row>
    <row r="679">
      <c r="A679" s="158"/>
      <c r="B679" s="160"/>
      <c r="C679" s="103"/>
      <c r="E679" s="103"/>
      <c r="F679" s="103"/>
      <c r="G679" s="158"/>
      <c r="H679" s="158"/>
      <c r="I679" s="158"/>
      <c r="J679" s="158"/>
      <c r="K679" s="160"/>
      <c r="L679" s="103"/>
      <c r="N679" s="103"/>
      <c r="O679" s="103"/>
      <c r="Y679" s="160"/>
      <c r="Z679" s="160"/>
      <c r="AA679" s="160"/>
      <c r="AB679" s="160"/>
      <c r="AC679" s="160"/>
      <c r="AD679" s="160"/>
      <c r="AE679" s="160"/>
      <c r="AF679" s="160"/>
      <c r="AG679" s="160"/>
      <c r="AH679" s="160"/>
      <c r="AI679" s="160"/>
      <c r="AJ679" s="160"/>
      <c r="AP679" s="160"/>
      <c r="AV679" s="160"/>
    </row>
    <row r="680">
      <c r="A680" s="158"/>
      <c r="B680" s="160"/>
      <c r="C680" s="103"/>
      <c r="E680" s="103"/>
      <c r="F680" s="103"/>
      <c r="G680" s="158"/>
      <c r="H680" s="158"/>
      <c r="I680" s="158"/>
      <c r="J680" s="158"/>
      <c r="K680" s="160"/>
      <c r="L680" s="103"/>
      <c r="N680" s="103"/>
      <c r="O680" s="103"/>
      <c r="Y680" s="160"/>
      <c r="Z680" s="160"/>
      <c r="AA680" s="160"/>
      <c r="AB680" s="160"/>
      <c r="AC680" s="160"/>
      <c r="AD680" s="160"/>
      <c r="AE680" s="160"/>
      <c r="AF680" s="160"/>
      <c r="AG680" s="160"/>
      <c r="AH680" s="160"/>
      <c r="AI680" s="160"/>
      <c r="AJ680" s="160"/>
      <c r="AP680" s="160"/>
      <c r="AV680" s="160"/>
    </row>
    <row r="681">
      <c r="A681" s="158"/>
      <c r="B681" s="160"/>
      <c r="C681" s="103"/>
      <c r="E681" s="103"/>
      <c r="F681" s="103"/>
      <c r="G681" s="158"/>
      <c r="H681" s="158"/>
      <c r="I681" s="158"/>
      <c r="J681" s="158"/>
      <c r="K681" s="160"/>
      <c r="L681" s="103"/>
      <c r="N681" s="103"/>
      <c r="O681" s="103"/>
      <c r="Y681" s="160"/>
      <c r="Z681" s="160"/>
      <c r="AA681" s="160"/>
      <c r="AB681" s="160"/>
      <c r="AC681" s="160"/>
      <c r="AD681" s="160"/>
      <c r="AE681" s="160"/>
      <c r="AF681" s="160"/>
      <c r="AG681" s="160"/>
      <c r="AH681" s="160"/>
      <c r="AI681" s="160"/>
      <c r="AJ681" s="160"/>
      <c r="AP681" s="160"/>
      <c r="AV681" s="160"/>
    </row>
    <row r="682">
      <c r="A682" s="158"/>
      <c r="B682" s="160"/>
      <c r="C682" s="103"/>
      <c r="E682" s="103"/>
      <c r="F682" s="103"/>
      <c r="G682" s="158"/>
      <c r="H682" s="158"/>
      <c r="I682" s="158"/>
      <c r="J682" s="158"/>
      <c r="K682" s="160"/>
      <c r="L682" s="103"/>
      <c r="N682" s="103"/>
      <c r="O682" s="103"/>
      <c r="Y682" s="160"/>
      <c r="Z682" s="160"/>
      <c r="AA682" s="160"/>
      <c r="AB682" s="160"/>
      <c r="AC682" s="160"/>
      <c r="AD682" s="160"/>
      <c r="AE682" s="160"/>
      <c r="AF682" s="160"/>
      <c r="AG682" s="160"/>
      <c r="AH682" s="160"/>
      <c r="AI682" s="160"/>
      <c r="AJ682" s="160"/>
      <c r="AP682" s="160"/>
      <c r="AV682" s="160"/>
    </row>
    <row r="683">
      <c r="A683" s="158"/>
      <c r="B683" s="160"/>
      <c r="C683" s="103"/>
      <c r="E683" s="103"/>
      <c r="F683" s="103"/>
      <c r="G683" s="158"/>
      <c r="H683" s="158"/>
      <c r="I683" s="158"/>
      <c r="J683" s="158"/>
      <c r="K683" s="160"/>
      <c r="L683" s="103"/>
      <c r="N683" s="103"/>
      <c r="O683" s="103"/>
      <c r="Y683" s="160"/>
      <c r="Z683" s="160"/>
      <c r="AA683" s="160"/>
      <c r="AB683" s="160"/>
      <c r="AC683" s="160"/>
      <c r="AD683" s="160"/>
      <c r="AE683" s="160"/>
      <c r="AF683" s="160"/>
      <c r="AG683" s="160"/>
      <c r="AH683" s="160"/>
      <c r="AI683" s="160"/>
      <c r="AJ683" s="160"/>
      <c r="AP683" s="160"/>
      <c r="AV683" s="160"/>
    </row>
    <row r="684">
      <c r="A684" s="158"/>
      <c r="B684" s="160"/>
      <c r="C684" s="103"/>
      <c r="E684" s="103"/>
      <c r="F684" s="103"/>
      <c r="G684" s="158"/>
      <c r="H684" s="158"/>
      <c r="I684" s="158"/>
      <c r="J684" s="158"/>
      <c r="K684" s="160"/>
      <c r="L684" s="103"/>
      <c r="N684" s="103"/>
      <c r="O684" s="103"/>
      <c r="Y684" s="160"/>
      <c r="Z684" s="160"/>
      <c r="AA684" s="160"/>
      <c r="AB684" s="160"/>
      <c r="AC684" s="160"/>
      <c r="AD684" s="160"/>
      <c r="AE684" s="160"/>
      <c r="AF684" s="160"/>
      <c r="AG684" s="160"/>
      <c r="AH684" s="160"/>
      <c r="AI684" s="160"/>
      <c r="AJ684" s="160"/>
      <c r="AP684" s="160"/>
      <c r="AV684" s="160"/>
    </row>
    <row r="685">
      <c r="A685" s="158"/>
      <c r="B685" s="160"/>
      <c r="C685" s="103"/>
      <c r="E685" s="103"/>
      <c r="F685" s="103"/>
      <c r="G685" s="158"/>
      <c r="H685" s="158"/>
      <c r="I685" s="158"/>
      <c r="J685" s="158"/>
      <c r="K685" s="160"/>
      <c r="L685" s="103"/>
      <c r="N685" s="103"/>
      <c r="O685" s="103"/>
      <c r="Y685" s="160"/>
      <c r="Z685" s="160"/>
      <c r="AA685" s="160"/>
      <c r="AB685" s="160"/>
      <c r="AC685" s="160"/>
      <c r="AD685" s="160"/>
      <c r="AE685" s="160"/>
      <c r="AF685" s="160"/>
      <c r="AG685" s="160"/>
      <c r="AH685" s="160"/>
      <c r="AI685" s="160"/>
      <c r="AJ685" s="160"/>
      <c r="AP685" s="160"/>
      <c r="AV685" s="160"/>
    </row>
    <row r="686">
      <c r="A686" s="158"/>
      <c r="B686" s="160"/>
      <c r="C686" s="103"/>
      <c r="E686" s="103"/>
      <c r="F686" s="103"/>
      <c r="G686" s="158"/>
      <c r="H686" s="158"/>
      <c r="I686" s="158"/>
      <c r="J686" s="158"/>
      <c r="K686" s="160"/>
      <c r="L686" s="103"/>
      <c r="N686" s="103"/>
      <c r="O686" s="103"/>
      <c r="Y686" s="160"/>
      <c r="Z686" s="160"/>
      <c r="AA686" s="160"/>
      <c r="AB686" s="160"/>
      <c r="AC686" s="160"/>
      <c r="AD686" s="160"/>
      <c r="AE686" s="160"/>
      <c r="AF686" s="160"/>
      <c r="AG686" s="160"/>
      <c r="AH686" s="160"/>
      <c r="AI686" s="160"/>
      <c r="AJ686" s="160"/>
      <c r="AP686" s="160"/>
      <c r="AV686" s="160"/>
    </row>
    <row r="687">
      <c r="A687" s="158"/>
      <c r="B687" s="160"/>
      <c r="C687" s="103"/>
      <c r="E687" s="103"/>
      <c r="F687" s="103"/>
      <c r="G687" s="158"/>
      <c r="H687" s="158"/>
      <c r="I687" s="158"/>
      <c r="J687" s="158"/>
      <c r="K687" s="160"/>
      <c r="L687" s="103"/>
      <c r="N687" s="103"/>
      <c r="O687" s="103"/>
      <c r="Y687" s="160"/>
      <c r="Z687" s="160"/>
      <c r="AA687" s="160"/>
      <c r="AB687" s="160"/>
      <c r="AC687" s="160"/>
      <c r="AD687" s="160"/>
      <c r="AE687" s="160"/>
      <c r="AF687" s="160"/>
      <c r="AG687" s="160"/>
      <c r="AH687" s="160"/>
      <c r="AI687" s="160"/>
      <c r="AJ687" s="160"/>
      <c r="AP687" s="160"/>
      <c r="AV687" s="160"/>
    </row>
    <row r="688">
      <c r="A688" s="158"/>
      <c r="B688" s="160"/>
      <c r="C688" s="103"/>
      <c r="E688" s="103"/>
      <c r="F688" s="103"/>
      <c r="G688" s="158"/>
      <c r="H688" s="158"/>
      <c r="I688" s="158"/>
      <c r="J688" s="158"/>
      <c r="K688" s="160"/>
      <c r="L688" s="103"/>
      <c r="N688" s="103"/>
      <c r="O688" s="103"/>
      <c r="Y688" s="160"/>
      <c r="Z688" s="160"/>
      <c r="AA688" s="160"/>
      <c r="AB688" s="160"/>
      <c r="AC688" s="160"/>
      <c r="AD688" s="160"/>
      <c r="AE688" s="160"/>
      <c r="AF688" s="160"/>
      <c r="AG688" s="160"/>
      <c r="AH688" s="160"/>
      <c r="AI688" s="160"/>
      <c r="AJ688" s="160"/>
      <c r="AP688" s="160"/>
      <c r="AV688" s="160"/>
    </row>
    <row r="689">
      <c r="A689" s="158"/>
      <c r="B689" s="160"/>
      <c r="C689" s="103"/>
      <c r="E689" s="103"/>
      <c r="F689" s="103"/>
      <c r="G689" s="158"/>
      <c r="H689" s="158"/>
      <c r="I689" s="158"/>
      <c r="J689" s="158"/>
      <c r="K689" s="160"/>
      <c r="L689" s="103"/>
      <c r="N689" s="103"/>
      <c r="O689" s="103"/>
      <c r="Y689" s="160"/>
      <c r="Z689" s="160"/>
      <c r="AA689" s="160"/>
      <c r="AB689" s="160"/>
      <c r="AC689" s="160"/>
      <c r="AD689" s="160"/>
      <c r="AE689" s="160"/>
      <c r="AF689" s="160"/>
      <c r="AG689" s="160"/>
      <c r="AH689" s="160"/>
      <c r="AI689" s="160"/>
      <c r="AJ689" s="160"/>
      <c r="AP689" s="160"/>
      <c r="AV689" s="160"/>
    </row>
    <row r="690">
      <c r="A690" s="158"/>
      <c r="B690" s="160"/>
      <c r="C690" s="103"/>
      <c r="E690" s="103"/>
      <c r="F690" s="103"/>
      <c r="G690" s="158"/>
      <c r="H690" s="158"/>
      <c r="I690" s="158"/>
      <c r="J690" s="158"/>
      <c r="K690" s="160"/>
      <c r="L690" s="103"/>
      <c r="N690" s="103"/>
      <c r="O690" s="103"/>
      <c r="Y690" s="160"/>
      <c r="Z690" s="160"/>
      <c r="AA690" s="160"/>
      <c r="AB690" s="160"/>
      <c r="AC690" s="160"/>
      <c r="AD690" s="160"/>
      <c r="AE690" s="160"/>
      <c r="AF690" s="160"/>
      <c r="AG690" s="160"/>
      <c r="AH690" s="160"/>
      <c r="AI690" s="160"/>
      <c r="AJ690" s="160"/>
      <c r="AP690" s="160"/>
      <c r="AV690" s="160"/>
    </row>
    <row r="691">
      <c r="A691" s="158"/>
      <c r="B691" s="160"/>
      <c r="C691" s="103"/>
      <c r="E691" s="103"/>
      <c r="F691" s="103"/>
      <c r="G691" s="158"/>
      <c r="H691" s="158"/>
      <c r="I691" s="158"/>
      <c r="J691" s="158"/>
      <c r="K691" s="160"/>
      <c r="L691" s="103"/>
      <c r="N691" s="103"/>
      <c r="O691" s="103"/>
      <c r="Y691" s="160"/>
      <c r="Z691" s="160"/>
      <c r="AA691" s="160"/>
      <c r="AB691" s="160"/>
      <c r="AC691" s="160"/>
      <c r="AD691" s="160"/>
      <c r="AE691" s="160"/>
      <c r="AF691" s="160"/>
      <c r="AG691" s="160"/>
      <c r="AH691" s="160"/>
      <c r="AI691" s="160"/>
      <c r="AJ691" s="160"/>
      <c r="AP691" s="160"/>
      <c r="AV691" s="160"/>
    </row>
    <row r="692">
      <c r="A692" s="158"/>
      <c r="B692" s="160"/>
      <c r="C692" s="103"/>
      <c r="E692" s="103"/>
      <c r="F692" s="103"/>
      <c r="G692" s="158"/>
      <c r="H692" s="158"/>
      <c r="I692" s="158"/>
      <c r="J692" s="158"/>
      <c r="K692" s="160"/>
      <c r="L692" s="103"/>
      <c r="N692" s="103"/>
      <c r="O692" s="103"/>
      <c r="Y692" s="160"/>
      <c r="Z692" s="160"/>
      <c r="AA692" s="160"/>
      <c r="AB692" s="160"/>
      <c r="AC692" s="160"/>
      <c r="AD692" s="160"/>
      <c r="AE692" s="160"/>
      <c r="AF692" s="160"/>
      <c r="AG692" s="160"/>
      <c r="AH692" s="160"/>
      <c r="AI692" s="160"/>
      <c r="AJ692" s="160"/>
      <c r="AP692" s="160"/>
      <c r="AV692" s="160"/>
    </row>
    <row r="693">
      <c r="A693" s="158"/>
      <c r="B693" s="160"/>
      <c r="C693" s="103"/>
      <c r="E693" s="103"/>
      <c r="F693" s="103"/>
      <c r="G693" s="158"/>
      <c r="H693" s="158"/>
      <c r="I693" s="158"/>
      <c r="J693" s="158"/>
      <c r="K693" s="160"/>
      <c r="L693" s="103"/>
      <c r="N693" s="103"/>
      <c r="O693" s="103"/>
      <c r="Y693" s="160"/>
      <c r="Z693" s="160"/>
      <c r="AA693" s="160"/>
      <c r="AB693" s="160"/>
      <c r="AC693" s="160"/>
      <c r="AD693" s="160"/>
      <c r="AE693" s="160"/>
      <c r="AF693" s="160"/>
      <c r="AG693" s="160"/>
      <c r="AH693" s="160"/>
      <c r="AI693" s="160"/>
      <c r="AJ693" s="160"/>
      <c r="AP693" s="160"/>
      <c r="AV693" s="160"/>
    </row>
    <row r="694">
      <c r="A694" s="158"/>
      <c r="B694" s="160"/>
      <c r="C694" s="103"/>
      <c r="E694" s="103"/>
      <c r="F694" s="103"/>
      <c r="G694" s="158"/>
      <c r="H694" s="158"/>
      <c r="I694" s="158"/>
      <c r="J694" s="158"/>
      <c r="K694" s="160"/>
      <c r="L694" s="103"/>
      <c r="N694" s="103"/>
      <c r="O694" s="103"/>
      <c r="Y694" s="160"/>
      <c r="Z694" s="160"/>
      <c r="AA694" s="160"/>
      <c r="AB694" s="160"/>
      <c r="AC694" s="160"/>
      <c r="AD694" s="160"/>
      <c r="AE694" s="160"/>
      <c r="AF694" s="160"/>
      <c r="AG694" s="160"/>
      <c r="AH694" s="160"/>
      <c r="AI694" s="160"/>
      <c r="AJ694" s="160"/>
      <c r="AP694" s="160"/>
      <c r="AV694" s="160"/>
    </row>
    <row r="695">
      <c r="A695" s="158"/>
      <c r="B695" s="160"/>
      <c r="C695" s="103"/>
      <c r="E695" s="103"/>
      <c r="F695" s="103"/>
      <c r="G695" s="158"/>
      <c r="H695" s="158"/>
      <c r="I695" s="158"/>
      <c r="J695" s="158"/>
      <c r="K695" s="160"/>
      <c r="L695" s="103"/>
      <c r="N695" s="103"/>
      <c r="O695" s="103"/>
      <c r="Y695" s="160"/>
      <c r="Z695" s="160"/>
      <c r="AA695" s="160"/>
      <c r="AB695" s="160"/>
      <c r="AC695" s="160"/>
      <c r="AD695" s="160"/>
      <c r="AE695" s="160"/>
      <c r="AF695" s="160"/>
      <c r="AG695" s="160"/>
      <c r="AH695" s="160"/>
      <c r="AI695" s="160"/>
      <c r="AJ695" s="160"/>
      <c r="AP695" s="160"/>
      <c r="AV695" s="160"/>
    </row>
    <row r="696">
      <c r="A696" s="158"/>
      <c r="B696" s="160"/>
      <c r="C696" s="103"/>
      <c r="E696" s="103"/>
      <c r="F696" s="103"/>
      <c r="G696" s="158"/>
      <c r="H696" s="158"/>
      <c r="I696" s="158"/>
      <c r="J696" s="158"/>
      <c r="K696" s="160"/>
      <c r="L696" s="103"/>
      <c r="N696" s="103"/>
      <c r="O696" s="103"/>
      <c r="Y696" s="160"/>
      <c r="Z696" s="160"/>
      <c r="AA696" s="160"/>
      <c r="AB696" s="160"/>
      <c r="AC696" s="160"/>
      <c r="AD696" s="160"/>
      <c r="AE696" s="160"/>
      <c r="AF696" s="160"/>
      <c r="AG696" s="160"/>
      <c r="AH696" s="160"/>
      <c r="AI696" s="160"/>
      <c r="AJ696" s="160"/>
      <c r="AP696" s="160"/>
      <c r="AV696" s="160"/>
    </row>
    <row r="697">
      <c r="A697" s="158"/>
      <c r="B697" s="160"/>
      <c r="C697" s="103"/>
      <c r="E697" s="103"/>
      <c r="F697" s="103"/>
      <c r="G697" s="158"/>
      <c r="H697" s="158"/>
      <c r="I697" s="158"/>
      <c r="J697" s="158"/>
      <c r="K697" s="160"/>
      <c r="L697" s="103"/>
      <c r="N697" s="103"/>
      <c r="O697" s="103"/>
      <c r="Y697" s="160"/>
      <c r="Z697" s="160"/>
      <c r="AA697" s="160"/>
      <c r="AB697" s="160"/>
      <c r="AC697" s="160"/>
      <c r="AD697" s="160"/>
      <c r="AE697" s="160"/>
      <c r="AF697" s="160"/>
      <c r="AG697" s="160"/>
      <c r="AH697" s="160"/>
      <c r="AI697" s="160"/>
      <c r="AJ697" s="160"/>
      <c r="AP697" s="160"/>
      <c r="AV697" s="160"/>
    </row>
    <row r="698">
      <c r="A698" s="158"/>
      <c r="B698" s="160"/>
      <c r="C698" s="103"/>
      <c r="E698" s="103"/>
      <c r="F698" s="103"/>
      <c r="G698" s="158"/>
      <c r="H698" s="158"/>
      <c r="I698" s="158"/>
      <c r="J698" s="158"/>
      <c r="K698" s="160"/>
      <c r="L698" s="103"/>
      <c r="N698" s="103"/>
      <c r="O698" s="103"/>
      <c r="Y698" s="160"/>
      <c r="Z698" s="160"/>
      <c r="AA698" s="160"/>
      <c r="AB698" s="160"/>
      <c r="AC698" s="160"/>
      <c r="AD698" s="160"/>
      <c r="AE698" s="160"/>
      <c r="AF698" s="160"/>
      <c r="AG698" s="160"/>
      <c r="AH698" s="160"/>
      <c r="AI698" s="160"/>
      <c r="AJ698" s="160"/>
      <c r="AP698" s="160"/>
      <c r="AV698" s="160"/>
    </row>
    <row r="699">
      <c r="A699" s="158"/>
      <c r="B699" s="160"/>
      <c r="C699" s="103"/>
      <c r="E699" s="103"/>
      <c r="F699" s="103"/>
      <c r="G699" s="158"/>
      <c r="H699" s="158"/>
      <c r="I699" s="158"/>
      <c r="J699" s="158"/>
      <c r="K699" s="160"/>
      <c r="L699" s="103"/>
      <c r="N699" s="103"/>
      <c r="O699" s="103"/>
      <c r="Y699" s="160"/>
      <c r="Z699" s="160"/>
      <c r="AA699" s="160"/>
      <c r="AB699" s="160"/>
      <c r="AC699" s="160"/>
      <c r="AD699" s="160"/>
      <c r="AE699" s="160"/>
      <c r="AF699" s="160"/>
      <c r="AG699" s="160"/>
      <c r="AH699" s="160"/>
      <c r="AI699" s="160"/>
      <c r="AJ699" s="160"/>
      <c r="AP699" s="160"/>
      <c r="AV699" s="160"/>
    </row>
    <row r="700">
      <c r="A700" s="158"/>
      <c r="B700" s="160"/>
      <c r="C700" s="103"/>
      <c r="E700" s="103"/>
      <c r="F700" s="103"/>
      <c r="G700" s="158"/>
      <c r="H700" s="158"/>
      <c r="I700" s="158"/>
      <c r="J700" s="158"/>
      <c r="K700" s="160"/>
      <c r="L700" s="103"/>
      <c r="N700" s="103"/>
      <c r="O700" s="103"/>
      <c r="Y700" s="160"/>
      <c r="Z700" s="160"/>
      <c r="AA700" s="160"/>
      <c r="AB700" s="160"/>
      <c r="AC700" s="160"/>
      <c r="AD700" s="160"/>
      <c r="AE700" s="160"/>
      <c r="AF700" s="160"/>
      <c r="AG700" s="160"/>
      <c r="AH700" s="160"/>
      <c r="AI700" s="160"/>
      <c r="AJ700" s="160"/>
      <c r="AP700" s="160"/>
      <c r="AV700" s="160"/>
    </row>
    <row r="701">
      <c r="A701" s="158"/>
      <c r="B701" s="160"/>
      <c r="C701" s="103"/>
      <c r="E701" s="103"/>
      <c r="F701" s="103"/>
      <c r="G701" s="158"/>
      <c r="H701" s="158"/>
      <c r="I701" s="158"/>
      <c r="J701" s="158"/>
      <c r="K701" s="160"/>
      <c r="L701" s="103"/>
      <c r="N701" s="103"/>
      <c r="O701" s="103"/>
      <c r="Y701" s="160"/>
      <c r="Z701" s="160"/>
      <c r="AA701" s="160"/>
      <c r="AB701" s="160"/>
      <c r="AC701" s="160"/>
      <c r="AD701" s="160"/>
      <c r="AE701" s="160"/>
      <c r="AF701" s="160"/>
      <c r="AG701" s="160"/>
      <c r="AH701" s="160"/>
      <c r="AI701" s="160"/>
      <c r="AJ701" s="160"/>
      <c r="AP701" s="160"/>
      <c r="AV701" s="160"/>
    </row>
    <row r="702">
      <c r="A702" s="158"/>
      <c r="B702" s="160"/>
      <c r="C702" s="103"/>
      <c r="E702" s="103"/>
      <c r="F702" s="103"/>
      <c r="G702" s="158"/>
      <c r="H702" s="158"/>
      <c r="I702" s="158"/>
      <c r="J702" s="158"/>
      <c r="K702" s="160"/>
      <c r="L702" s="103"/>
      <c r="N702" s="103"/>
      <c r="O702" s="103"/>
      <c r="Y702" s="160"/>
      <c r="Z702" s="160"/>
      <c r="AA702" s="160"/>
      <c r="AB702" s="160"/>
      <c r="AC702" s="160"/>
      <c r="AD702" s="160"/>
      <c r="AE702" s="160"/>
      <c r="AF702" s="160"/>
      <c r="AG702" s="160"/>
      <c r="AH702" s="160"/>
      <c r="AI702" s="160"/>
      <c r="AJ702" s="160"/>
      <c r="AP702" s="160"/>
      <c r="AV702" s="160"/>
    </row>
    <row r="703">
      <c r="A703" s="158"/>
      <c r="B703" s="160"/>
      <c r="C703" s="103"/>
      <c r="E703" s="103"/>
      <c r="F703" s="103"/>
      <c r="G703" s="158"/>
      <c r="H703" s="158"/>
      <c r="I703" s="158"/>
      <c r="J703" s="158"/>
      <c r="K703" s="160"/>
      <c r="L703" s="103"/>
      <c r="N703" s="103"/>
      <c r="O703" s="103"/>
      <c r="Y703" s="160"/>
      <c r="Z703" s="160"/>
      <c r="AA703" s="160"/>
      <c r="AB703" s="160"/>
      <c r="AC703" s="160"/>
      <c r="AD703" s="160"/>
      <c r="AE703" s="160"/>
      <c r="AF703" s="160"/>
      <c r="AG703" s="160"/>
      <c r="AH703" s="160"/>
      <c r="AI703" s="160"/>
      <c r="AJ703" s="160"/>
      <c r="AP703" s="160"/>
      <c r="AV703" s="160"/>
    </row>
    <row r="704">
      <c r="A704" s="158"/>
      <c r="B704" s="160"/>
      <c r="C704" s="103"/>
      <c r="E704" s="103"/>
      <c r="F704" s="103"/>
      <c r="G704" s="158"/>
      <c r="H704" s="158"/>
      <c r="I704" s="158"/>
      <c r="J704" s="158"/>
      <c r="K704" s="160"/>
      <c r="L704" s="103"/>
      <c r="N704" s="103"/>
      <c r="O704" s="103"/>
      <c r="Y704" s="160"/>
      <c r="Z704" s="160"/>
      <c r="AA704" s="160"/>
      <c r="AB704" s="160"/>
      <c r="AC704" s="160"/>
      <c r="AD704" s="160"/>
      <c r="AE704" s="160"/>
      <c r="AF704" s="160"/>
      <c r="AG704" s="160"/>
      <c r="AH704" s="160"/>
      <c r="AI704" s="160"/>
      <c r="AJ704" s="160"/>
      <c r="AP704" s="160"/>
      <c r="AV704" s="160"/>
    </row>
    <row r="705">
      <c r="A705" s="158"/>
      <c r="B705" s="160"/>
      <c r="C705" s="103"/>
      <c r="E705" s="103"/>
      <c r="F705" s="103"/>
      <c r="G705" s="158"/>
      <c r="H705" s="158"/>
      <c r="I705" s="158"/>
      <c r="J705" s="158"/>
      <c r="K705" s="160"/>
      <c r="L705" s="103"/>
      <c r="N705" s="103"/>
      <c r="O705" s="103"/>
      <c r="Y705" s="160"/>
      <c r="Z705" s="160"/>
      <c r="AA705" s="160"/>
      <c r="AB705" s="160"/>
      <c r="AC705" s="160"/>
      <c r="AD705" s="160"/>
      <c r="AE705" s="160"/>
      <c r="AF705" s="160"/>
      <c r="AG705" s="160"/>
      <c r="AH705" s="160"/>
      <c r="AI705" s="160"/>
      <c r="AJ705" s="160"/>
      <c r="AP705" s="160"/>
      <c r="AV705" s="160"/>
    </row>
    <row r="706">
      <c r="A706" s="158"/>
      <c r="B706" s="160"/>
      <c r="C706" s="103"/>
      <c r="E706" s="103"/>
      <c r="F706" s="103"/>
      <c r="G706" s="158"/>
      <c r="H706" s="158"/>
      <c r="I706" s="158"/>
      <c r="J706" s="158"/>
      <c r="K706" s="160"/>
      <c r="L706" s="103"/>
      <c r="N706" s="103"/>
      <c r="O706" s="103"/>
      <c r="Y706" s="160"/>
      <c r="Z706" s="160"/>
      <c r="AA706" s="160"/>
      <c r="AB706" s="160"/>
      <c r="AC706" s="160"/>
      <c r="AD706" s="160"/>
      <c r="AE706" s="160"/>
      <c r="AF706" s="160"/>
      <c r="AG706" s="160"/>
      <c r="AH706" s="160"/>
      <c r="AI706" s="160"/>
      <c r="AJ706" s="160"/>
      <c r="AP706" s="160"/>
      <c r="AV706" s="160"/>
    </row>
    <row r="707">
      <c r="A707" s="158"/>
      <c r="B707" s="160"/>
      <c r="C707" s="103"/>
      <c r="E707" s="103"/>
      <c r="F707" s="103"/>
      <c r="G707" s="158"/>
      <c r="H707" s="158"/>
      <c r="I707" s="158"/>
      <c r="J707" s="158"/>
      <c r="K707" s="160"/>
      <c r="L707" s="103"/>
      <c r="N707" s="103"/>
      <c r="O707" s="103"/>
      <c r="Y707" s="160"/>
      <c r="Z707" s="160"/>
      <c r="AA707" s="160"/>
      <c r="AB707" s="160"/>
      <c r="AC707" s="160"/>
      <c r="AD707" s="160"/>
      <c r="AE707" s="160"/>
      <c r="AF707" s="160"/>
      <c r="AG707" s="160"/>
      <c r="AH707" s="160"/>
      <c r="AI707" s="160"/>
      <c r="AJ707" s="160"/>
      <c r="AP707" s="160"/>
      <c r="AV707" s="160"/>
    </row>
    <row r="708">
      <c r="A708" s="158"/>
      <c r="B708" s="160"/>
      <c r="C708" s="103"/>
      <c r="E708" s="103"/>
      <c r="F708" s="103"/>
      <c r="G708" s="158"/>
      <c r="H708" s="158"/>
      <c r="I708" s="158"/>
      <c r="J708" s="158"/>
      <c r="K708" s="160"/>
      <c r="L708" s="103"/>
      <c r="N708" s="103"/>
      <c r="O708" s="103"/>
      <c r="Y708" s="160"/>
      <c r="Z708" s="160"/>
      <c r="AA708" s="160"/>
      <c r="AB708" s="160"/>
      <c r="AC708" s="160"/>
      <c r="AD708" s="160"/>
      <c r="AE708" s="160"/>
      <c r="AF708" s="160"/>
      <c r="AG708" s="160"/>
      <c r="AH708" s="160"/>
      <c r="AI708" s="160"/>
      <c r="AJ708" s="160"/>
      <c r="AP708" s="160"/>
      <c r="AV708" s="160"/>
    </row>
    <row r="709">
      <c r="A709" s="158"/>
      <c r="B709" s="160"/>
      <c r="C709" s="103"/>
      <c r="E709" s="103"/>
      <c r="F709" s="103"/>
      <c r="G709" s="158"/>
      <c r="H709" s="158"/>
      <c r="I709" s="158"/>
      <c r="J709" s="158"/>
      <c r="K709" s="160"/>
      <c r="L709" s="103"/>
      <c r="N709" s="103"/>
      <c r="O709" s="103"/>
      <c r="Y709" s="160"/>
      <c r="Z709" s="160"/>
      <c r="AA709" s="160"/>
      <c r="AB709" s="160"/>
      <c r="AC709" s="160"/>
      <c r="AD709" s="160"/>
      <c r="AE709" s="160"/>
      <c r="AF709" s="160"/>
      <c r="AG709" s="160"/>
      <c r="AH709" s="160"/>
      <c r="AI709" s="160"/>
      <c r="AJ709" s="160"/>
      <c r="AP709" s="160"/>
      <c r="AV709" s="160"/>
    </row>
    <row r="710">
      <c r="A710" s="158"/>
      <c r="B710" s="160"/>
      <c r="C710" s="103"/>
      <c r="E710" s="103"/>
      <c r="F710" s="103"/>
      <c r="G710" s="158"/>
      <c r="H710" s="158"/>
      <c r="I710" s="158"/>
      <c r="J710" s="158"/>
      <c r="K710" s="160"/>
      <c r="L710" s="103"/>
      <c r="N710" s="103"/>
      <c r="O710" s="103"/>
      <c r="Y710" s="160"/>
      <c r="Z710" s="160"/>
      <c r="AA710" s="160"/>
      <c r="AB710" s="160"/>
      <c r="AC710" s="160"/>
      <c r="AD710" s="160"/>
      <c r="AE710" s="160"/>
      <c r="AF710" s="160"/>
      <c r="AG710" s="160"/>
      <c r="AH710" s="160"/>
      <c r="AI710" s="160"/>
      <c r="AJ710" s="160"/>
      <c r="AP710" s="160"/>
      <c r="AV710" s="160"/>
    </row>
    <row r="711">
      <c r="A711" s="158"/>
      <c r="B711" s="160"/>
      <c r="C711" s="103"/>
      <c r="E711" s="103"/>
      <c r="F711" s="103"/>
      <c r="G711" s="158"/>
      <c r="H711" s="158"/>
      <c r="I711" s="158"/>
      <c r="J711" s="158"/>
      <c r="K711" s="160"/>
      <c r="L711" s="103"/>
      <c r="N711" s="103"/>
      <c r="O711" s="103"/>
      <c r="Y711" s="160"/>
      <c r="Z711" s="160"/>
      <c r="AA711" s="160"/>
      <c r="AB711" s="160"/>
      <c r="AC711" s="160"/>
      <c r="AD711" s="160"/>
      <c r="AE711" s="160"/>
      <c r="AF711" s="160"/>
      <c r="AG711" s="160"/>
      <c r="AH711" s="160"/>
      <c r="AI711" s="160"/>
      <c r="AJ711" s="160"/>
      <c r="AP711" s="160"/>
      <c r="AV711" s="160"/>
    </row>
    <row r="712">
      <c r="A712" s="158"/>
      <c r="B712" s="160"/>
      <c r="C712" s="103"/>
      <c r="E712" s="103"/>
      <c r="F712" s="103"/>
      <c r="G712" s="158"/>
      <c r="H712" s="158"/>
      <c r="I712" s="158"/>
      <c r="J712" s="158"/>
      <c r="K712" s="160"/>
      <c r="L712" s="103"/>
      <c r="N712" s="103"/>
      <c r="O712" s="103"/>
      <c r="Y712" s="160"/>
      <c r="Z712" s="160"/>
      <c r="AA712" s="160"/>
      <c r="AB712" s="160"/>
      <c r="AC712" s="160"/>
      <c r="AD712" s="160"/>
      <c r="AE712" s="160"/>
      <c r="AF712" s="160"/>
      <c r="AG712" s="160"/>
      <c r="AH712" s="160"/>
      <c r="AI712" s="160"/>
      <c r="AJ712" s="160"/>
      <c r="AP712" s="160"/>
      <c r="AV712" s="160"/>
    </row>
    <row r="713">
      <c r="A713" s="158"/>
      <c r="B713" s="160"/>
      <c r="C713" s="103"/>
      <c r="E713" s="103"/>
      <c r="F713" s="103"/>
      <c r="G713" s="158"/>
      <c r="H713" s="158"/>
      <c r="I713" s="158"/>
      <c r="J713" s="158"/>
      <c r="K713" s="160"/>
      <c r="L713" s="103"/>
      <c r="N713" s="103"/>
      <c r="O713" s="103"/>
      <c r="Y713" s="160"/>
      <c r="Z713" s="160"/>
      <c r="AA713" s="160"/>
      <c r="AB713" s="160"/>
      <c r="AC713" s="160"/>
      <c r="AD713" s="160"/>
      <c r="AE713" s="160"/>
      <c r="AF713" s="160"/>
      <c r="AG713" s="160"/>
      <c r="AH713" s="160"/>
      <c r="AI713" s="160"/>
      <c r="AJ713" s="160"/>
      <c r="AP713" s="160"/>
      <c r="AV713" s="160"/>
    </row>
    <row r="714">
      <c r="A714" s="158"/>
      <c r="B714" s="160"/>
      <c r="C714" s="103"/>
      <c r="E714" s="103"/>
      <c r="F714" s="103"/>
      <c r="G714" s="158"/>
      <c r="H714" s="158"/>
      <c r="I714" s="158"/>
      <c r="J714" s="158"/>
      <c r="K714" s="160"/>
      <c r="L714" s="103"/>
      <c r="N714" s="103"/>
      <c r="O714" s="103"/>
      <c r="Y714" s="160"/>
      <c r="Z714" s="160"/>
      <c r="AA714" s="160"/>
      <c r="AB714" s="160"/>
      <c r="AC714" s="160"/>
      <c r="AD714" s="160"/>
      <c r="AE714" s="160"/>
      <c r="AF714" s="160"/>
      <c r="AG714" s="160"/>
      <c r="AH714" s="160"/>
      <c r="AI714" s="160"/>
      <c r="AJ714" s="160"/>
      <c r="AP714" s="160"/>
      <c r="AV714" s="160"/>
    </row>
    <row r="715">
      <c r="A715" s="158"/>
      <c r="B715" s="160"/>
      <c r="C715" s="103"/>
      <c r="E715" s="103"/>
      <c r="F715" s="103"/>
      <c r="G715" s="158"/>
      <c r="H715" s="158"/>
      <c r="I715" s="158"/>
      <c r="J715" s="158"/>
      <c r="K715" s="160"/>
      <c r="L715" s="103"/>
      <c r="N715" s="103"/>
      <c r="O715" s="103"/>
      <c r="Y715" s="160"/>
      <c r="Z715" s="160"/>
      <c r="AA715" s="160"/>
      <c r="AB715" s="160"/>
      <c r="AC715" s="160"/>
      <c r="AD715" s="160"/>
      <c r="AE715" s="160"/>
      <c r="AF715" s="160"/>
      <c r="AG715" s="160"/>
      <c r="AH715" s="160"/>
      <c r="AI715" s="160"/>
      <c r="AJ715" s="160"/>
      <c r="AP715" s="160"/>
      <c r="AV715" s="160"/>
    </row>
    <row r="716">
      <c r="A716" s="158"/>
      <c r="B716" s="160"/>
      <c r="C716" s="103"/>
      <c r="E716" s="103"/>
      <c r="F716" s="103"/>
      <c r="G716" s="158"/>
      <c r="H716" s="158"/>
      <c r="I716" s="158"/>
      <c r="J716" s="158"/>
      <c r="K716" s="160"/>
      <c r="L716" s="103"/>
      <c r="N716" s="103"/>
      <c r="O716" s="103"/>
      <c r="Y716" s="160"/>
      <c r="Z716" s="160"/>
      <c r="AA716" s="160"/>
      <c r="AB716" s="160"/>
      <c r="AC716" s="160"/>
      <c r="AD716" s="160"/>
      <c r="AE716" s="160"/>
      <c r="AF716" s="160"/>
      <c r="AG716" s="160"/>
      <c r="AH716" s="160"/>
      <c r="AI716" s="160"/>
      <c r="AJ716" s="160"/>
      <c r="AP716" s="160"/>
      <c r="AV716" s="160"/>
    </row>
    <row r="717">
      <c r="A717" s="158"/>
      <c r="B717" s="160"/>
      <c r="C717" s="103"/>
      <c r="E717" s="103"/>
      <c r="F717" s="103"/>
      <c r="G717" s="158"/>
      <c r="H717" s="158"/>
      <c r="I717" s="158"/>
      <c r="J717" s="158"/>
      <c r="K717" s="160"/>
      <c r="L717" s="103"/>
      <c r="N717" s="103"/>
      <c r="O717" s="103"/>
      <c r="Y717" s="160"/>
      <c r="Z717" s="160"/>
      <c r="AA717" s="160"/>
      <c r="AB717" s="160"/>
      <c r="AC717" s="160"/>
      <c r="AD717" s="160"/>
      <c r="AE717" s="160"/>
      <c r="AF717" s="160"/>
      <c r="AG717" s="160"/>
      <c r="AH717" s="160"/>
      <c r="AI717" s="160"/>
      <c r="AJ717" s="160"/>
      <c r="AP717" s="160"/>
      <c r="AV717" s="160"/>
    </row>
    <row r="718">
      <c r="A718" s="158"/>
      <c r="B718" s="160"/>
      <c r="C718" s="103"/>
      <c r="E718" s="103"/>
      <c r="F718" s="103"/>
      <c r="G718" s="158"/>
      <c r="H718" s="158"/>
      <c r="I718" s="158"/>
      <c r="J718" s="158"/>
      <c r="K718" s="160"/>
      <c r="L718" s="103"/>
      <c r="N718" s="103"/>
      <c r="O718" s="103"/>
      <c r="Y718" s="160"/>
      <c r="Z718" s="160"/>
      <c r="AA718" s="160"/>
      <c r="AB718" s="160"/>
      <c r="AC718" s="160"/>
      <c r="AD718" s="160"/>
      <c r="AE718" s="160"/>
      <c r="AF718" s="160"/>
      <c r="AG718" s="160"/>
      <c r="AH718" s="160"/>
      <c r="AI718" s="160"/>
      <c r="AJ718" s="160"/>
      <c r="AP718" s="160"/>
      <c r="AV718" s="160"/>
    </row>
    <row r="719">
      <c r="A719" s="158"/>
      <c r="B719" s="160"/>
      <c r="C719" s="103"/>
      <c r="E719" s="103"/>
      <c r="F719" s="103"/>
      <c r="G719" s="158"/>
      <c r="H719" s="158"/>
      <c r="I719" s="158"/>
      <c r="J719" s="158"/>
      <c r="K719" s="160"/>
      <c r="L719" s="103"/>
      <c r="N719" s="103"/>
      <c r="O719" s="103"/>
      <c r="Y719" s="160"/>
      <c r="Z719" s="160"/>
      <c r="AA719" s="160"/>
      <c r="AB719" s="160"/>
      <c r="AC719" s="160"/>
      <c r="AD719" s="160"/>
      <c r="AE719" s="160"/>
      <c r="AF719" s="160"/>
      <c r="AG719" s="160"/>
      <c r="AH719" s="160"/>
      <c r="AI719" s="160"/>
      <c r="AJ719" s="160"/>
      <c r="AP719" s="160"/>
      <c r="AV719" s="160"/>
    </row>
    <row r="720">
      <c r="A720" s="158"/>
      <c r="B720" s="160"/>
      <c r="C720" s="103"/>
      <c r="E720" s="103"/>
      <c r="F720" s="103"/>
      <c r="G720" s="158"/>
      <c r="H720" s="158"/>
      <c r="I720" s="158"/>
      <c r="J720" s="158"/>
      <c r="K720" s="160"/>
      <c r="L720" s="103"/>
      <c r="N720" s="103"/>
      <c r="O720" s="103"/>
      <c r="Y720" s="160"/>
      <c r="Z720" s="160"/>
      <c r="AA720" s="160"/>
      <c r="AB720" s="160"/>
      <c r="AC720" s="160"/>
      <c r="AD720" s="160"/>
      <c r="AE720" s="160"/>
      <c r="AF720" s="160"/>
      <c r="AG720" s="160"/>
      <c r="AH720" s="160"/>
      <c r="AI720" s="160"/>
      <c r="AJ720" s="160"/>
      <c r="AP720" s="160"/>
      <c r="AV720" s="160"/>
    </row>
    <row r="721">
      <c r="A721" s="158"/>
      <c r="B721" s="160"/>
      <c r="C721" s="103"/>
      <c r="E721" s="103"/>
      <c r="F721" s="103"/>
      <c r="G721" s="158"/>
      <c r="H721" s="158"/>
      <c r="I721" s="158"/>
      <c r="J721" s="158"/>
      <c r="K721" s="160"/>
      <c r="L721" s="103"/>
      <c r="N721" s="103"/>
      <c r="O721" s="103"/>
      <c r="Y721" s="160"/>
      <c r="Z721" s="160"/>
      <c r="AA721" s="160"/>
      <c r="AB721" s="160"/>
      <c r="AC721" s="160"/>
      <c r="AD721" s="160"/>
      <c r="AE721" s="160"/>
      <c r="AF721" s="160"/>
      <c r="AG721" s="160"/>
      <c r="AH721" s="160"/>
      <c r="AI721" s="160"/>
      <c r="AJ721" s="160"/>
      <c r="AP721" s="160"/>
      <c r="AV721" s="160"/>
    </row>
    <row r="722">
      <c r="A722" s="158"/>
      <c r="B722" s="160"/>
      <c r="C722" s="103"/>
      <c r="E722" s="103"/>
      <c r="F722" s="103"/>
      <c r="G722" s="158"/>
      <c r="H722" s="158"/>
      <c r="I722" s="158"/>
      <c r="J722" s="158"/>
      <c r="K722" s="160"/>
      <c r="L722" s="103"/>
      <c r="N722" s="103"/>
      <c r="O722" s="103"/>
      <c r="Y722" s="160"/>
      <c r="Z722" s="160"/>
      <c r="AA722" s="160"/>
      <c r="AB722" s="160"/>
      <c r="AC722" s="160"/>
      <c r="AD722" s="160"/>
      <c r="AE722" s="160"/>
      <c r="AF722" s="160"/>
      <c r="AG722" s="160"/>
      <c r="AH722" s="160"/>
      <c r="AI722" s="160"/>
      <c r="AJ722" s="160"/>
      <c r="AP722" s="160"/>
      <c r="AV722" s="160"/>
    </row>
    <row r="723">
      <c r="A723" s="158"/>
      <c r="B723" s="160"/>
      <c r="C723" s="103"/>
      <c r="E723" s="103"/>
      <c r="F723" s="103"/>
      <c r="G723" s="158"/>
      <c r="H723" s="158"/>
      <c r="I723" s="158"/>
      <c r="J723" s="158"/>
      <c r="K723" s="160"/>
      <c r="L723" s="103"/>
      <c r="N723" s="103"/>
      <c r="O723" s="103"/>
      <c r="Y723" s="160"/>
      <c r="Z723" s="160"/>
      <c r="AA723" s="160"/>
      <c r="AB723" s="160"/>
      <c r="AC723" s="160"/>
      <c r="AD723" s="160"/>
      <c r="AE723" s="160"/>
      <c r="AF723" s="160"/>
      <c r="AG723" s="160"/>
      <c r="AH723" s="160"/>
      <c r="AI723" s="160"/>
      <c r="AJ723" s="160"/>
      <c r="AP723" s="160"/>
      <c r="AV723" s="160"/>
    </row>
    <row r="724">
      <c r="A724" s="158"/>
      <c r="B724" s="160"/>
      <c r="C724" s="103"/>
      <c r="E724" s="103"/>
      <c r="F724" s="103"/>
      <c r="G724" s="158"/>
      <c r="H724" s="158"/>
      <c r="I724" s="158"/>
      <c r="J724" s="158"/>
      <c r="K724" s="160"/>
      <c r="L724" s="103"/>
      <c r="N724" s="103"/>
      <c r="O724" s="103"/>
      <c r="Y724" s="160"/>
      <c r="Z724" s="160"/>
      <c r="AA724" s="160"/>
      <c r="AB724" s="160"/>
      <c r="AC724" s="160"/>
      <c r="AD724" s="160"/>
      <c r="AE724" s="160"/>
      <c r="AF724" s="160"/>
      <c r="AG724" s="160"/>
      <c r="AH724" s="160"/>
      <c r="AI724" s="160"/>
      <c r="AJ724" s="160"/>
      <c r="AP724" s="160"/>
      <c r="AV724" s="160"/>
    </row>
    <row r="725">
      <c r="A725" s="158"/>
      <c r="B725" s="160"/>
      <c r="C725" s="103"/>
      <c r="E725" s="103"/>
      <c r="F725" s="103"/>
      <c r="G725" s="158"/>
      <c r="H725" s="158"/>
      <c r="I725" s="158"/>
      <c r="J725" s="158"/>
      <c r="K725" s="160"/>
      <c r="L725" s="103"/>
      <c r="N725" s="103"/>
      <c r="O725" s="103"/>
      <c r="Y725" s="160"/>
      <c r="Z725" s="160"/>
      <c r="AA725" s="160"/>
      <c r="AB725" s="160"/>
      <c r="AC725" s="160"/>
      <c r="AD725" s="160"/>
      <c r="AE725" s="160"/>
      <c r="AF725" s="160"/>
      <c r="AG725" s="160"/>
      <c r="AH725" s="160"/>
      <c r="AI725" s="160"/>
      <c r="AJ725" s="160"/>
      <c r="AP725" s="160"/>
      <c r="AV725" s="160"/>
    </row>
    <row r="726">
      <c r="A726" s="158"/>
      <c r="B726" s="160"/>
      <c r="C726" s="103"/>
      <c r="E726" s="103"/>
      <c r="F726" s="103"/>
      <c r="G726" s="158"/>
      <c r="H726" s="158"/>
      <c r="I726" s="158"/>
      <c r="J726" s="158"/>
      <c r="K726" s="160"/>
      <c r="L726" s="103"/>
      <c r="N726" s="103"/>
      <c r="O726" s="103"/>
      <c r="Y726" s="160"/>
      <c r="Z726" s="160"/>
      <c r="AA726" s="160"/>
      <c r="AB726" s="160"/>
      <c r="AC726" s="160"/>
      <c r="AD726" s="160"/>
      <c r="AE726" s="160"/>
      <c r="AF726" s="160"/>
      <c r="AG726" s="160"/>
      <c r="AH726" s="160"/>
      <c r="AI726" s="160"/>
      <c r="AJ726" s="160"/>
      <c r="AP726" s="160"/>
      <c r="AV726" s="160"/>
    </row>
    <row r="727">
      <c r="A727" s="158"/>
      <c r="B727" s="160"/>
      <c r="C727" s="103"/>
      <c r="E727" s="103"/>
      <c r="F727" s="103"/>
      <c r="G727" s="158"/>
      <c r="H727" s="158"/>
      <c r="I727" s="158"/>
      <c r="J727" s="158"/>
      <c r="K727" s="160"/>
      <c r="L727" s="103"/>
      <c r="N727" s="103"/>
      <c r="O727" s="103"/>
      <c r="Y727" s="160"/>
      <c r="Z727" s="160"/>
      <c r="AA727" s="160"/>
      <c r="AB727" s="160"/>
      <c r="AC727" s="160"/>
      <c r="AD727" s="160"/>
      <c r="AE727" s="160"/>
      <c r="AF727" s="160"/>
      <c r="AG727" s="160"/>
      <c r="AH727" s="160"/>
      <c r="AI727" s="160"/>
      <c r="AJ727" s="160"/>
      <c r="AP727" s="160"/>
      <c r="AV727" s="160"/>
    </row>
    <row r="728">
      <c r="A728" s="158"/>
      <c r="B728" s="160"/>
      <c r="C728" s="103"/>
      <c r="E728" s="103"/>
      <c r="F728" s="103"/>
      <c r="G728" s="158"/>
      <c r="H728" s="158"/>
      <c r="I728" s="158"/>
      <c r="J728" s="158"/>
      <c r="K728" s="160"/>
      <c r="L728" s="103"/>
      <c r="N728" s="103"/>
      <c r="O728" s="103"/>
      <c r="Y728" s="160"/>
      <c r="Z728" s="160"/>
      <c r="AA728" s="160"/>
      <c r="AB728" s="160"/>
      <c r="AC728" s="160"/>
      <c r="AD728" s="160"/>
      <c r="AE728" s="160"/>
      <c r="AF728" s="160"/>
      <c r="AG728" s="160"/>
      <c r="AH728" s="160"/>
      <c r="AI728" s="160"/>
      <c r="AJ728" s="160"/>
      <c r="AP728" s="160"/>
      <c r="AV728" s="160"/>
    </row>
    <row r="729">
      <c r="A729" s="158"/>
      <c r="B729" s="160"/>
      <c r="C729" s="103"/>
      <c r="E729" s="103"/>
      <c r="F729" s="103"/>
      <c r="G729" s="158"/>
      <c r="H729" s="158"/>
      <c r="I729" s="158"/>
      <c r="J729" s="158"/>
      <c r="K729" s="160"/>
      <c r="L729" s="103"/>
      <c r="N729" s="103"/>
      <c r="O729" s="103"/>
      <c r="Y729" s="160"/>
      <c r="Z729" s="160"/>
      <c r="AA729" s="160"/>
      <c r="AB729" s="160"/>
      <c r="AC729" s="160"/>
      <c r="AD729" s="160"/>
      <c r="AE729" s="160"/>
      <c r="AF729" s="160"/>
      <c r="AG729" s="160"/>
      <c r="AH729" s="160"/>
      <c r="AI729" s="160"/>
      <c r="AJ729" s="160"/>
      <c r="AP729" s="160"/>
      <c r="AV729" s="160"/>
    </row>
    <row r="730">
      <c r="A730" s="158"/>
      <c r="B730" s="160"/>
      <c r="C730" s="103"/>
      <c r="E730" s="103"/>
      <c r="F730" s="103"/>
      <c r="G730" s="158"/>
      <c r="H730" s="158"/>
      <c r="I730" s="158"/>
      <c r="J730" s="158"/>
      <c r="K730" s="160"/>
      <c r="L730" s="103"/>
      <c r="N730" s="103"/>
      <c r="O730" s="103"/>
      <c r="Y730" s="160"/>
      <c r="Z730" s="160"/>
      <c r="AA730" s="160"/>
      <c r="AB730" s="160"/>
      <c r="AC730" s="160"/>
      <c r="AD730" s="160"/>
      <c r="AE730" s="160"/>
      <c r="AF730" s="160"/>
      <c r="AG730" s="160"/>
      <c r="AH730" s="160"/>
      <c r="AI730" s="160"/>
      <c r="AJ730" s="160"/>
      <c r="AP730" s="160"/>
      <c r="AV730" s="160"/>
    </row>
    <row r="731">
      <c r="A731" s="158"/>
      <c r="B731" s="160"/>
      <c r="C731" s="103"/>
      <c r="E731" s="103"/>
      <c r="F731" s="103"/>
      <c r="G731" s="158"/>
      <c r="H731" s="158"/>
      <c r="I731" s="158"/>
      <c r="J731" s="158"/>
      <c r="K731" s="160"/>
      <c r="L731" s="103"/>
      <c r="N731" s="103"/>
      <c r="O731" s="103"/>
      <c r="Y731" s="160"/>
      <c r="Z731" s="160"/>
      <c r="AA731" s="160"/>
      <c r="AB731" s="160"/>
      <c r="AC731" s="160"/>
      <c r="AD731" s="160"/>
      <c r="AE731" s="160"/>
      <c r="AF731" s="160"/>
      <c r="AG731" s="160"/>
      <c r="AH731" s="160"/>
      <c r="AI731" s="160"/>
      <c r="AJ731" s="160"/>
      <c r="AP731" s="160"/>
      <c r="AV731" s="160"/>
    </row>
    <row r="732">
      <c r="A732" s="158"/>
      <c r="B732" s="160"/>
      <c r="C732" s="103"/>
      <c r="E732" s="103"/>
      <c r="F732" s="103"/>
      <c r="G732" s="158"/>
      <c r="H732" s="158"/>
      <c r="I732" s="158"/>
      <c r="J732" s="158"/>
      <c r="K732" s="160"/>
      <c r="L732" s="103"/>
      <c r="N732" s="103"/>
      <c r="O732" s="103"/>
      <c r="Y732" s="160"/>
      <c r="Z732" s="160"/>
      <c r="AA732" s="160"/>
      <c r="AB732" s="160"/>
      <c r="AC732" s="160"/>
      <c r="AD732" s="160"/>
      <c r="AE732" s="160"/>
      <c r="AF732" s="160"/>
      <c r="AG732" s="160"/>
      <c r="AH732" s="160"/>
      <c r="AI732" s="160"/>
      <c r="AJ732" s="160"/>
      <c r="AP732" s="160"/>
      <c r="AV732" s="160"/>
    </row>
    <row r="733">
      <c r="A733" s="158"/>
      <c r="B733" s="160"/>
      <c r="C733" s="103"/>
      <c r="E733" s="103"/>
      <c r="F733" s="103"/>
      <c r="G733" s="158"/>
      <c r="H733" s="158"/>
      <c r="I733" s="158"/>
      <c r="J733" s="158"/>
      <c r="K733" s="160"/>
      <c r="L733" s="103"/>
      <c r="N733" s="103"/>
      <c r="O733" s="103"/>
      <c r="Y733" s="160"/>
      <c r="Z733" s="160"/>
      <c r="AA733" s="160"/>
      <c r="AB733" s="160"/>
      <c r="AC733" s="160"/>
      <c r="AD733" s="160"/>
      <c r="AE733" s="160"/>
      <c r="AF733" s="160"/>
      <c r="AG733" s="160"/>
      <c r="AH733" s="160"/>
      <c r="AI733" s="160"/>
      <c r="AJ733" s="160"/>
      <c r="AP733" s="160"/>
      <c r="AV733" s="160"/>
    </row>
    <row r="734">
      <c r="A734" s="158"/>
      <c r="B734" s="160"/>
      <c r="C734" s="103"/>
      <c r="E734" s="103"/>
      <c r="F734" s="103"/>
      <c r="G734" s="158"/>
      <c r="H734" s="158"/>
      <c r="I734" s="158"/>
      <c r="J734" s="158"/>
      <c r="K734" s="160"/>
      <c r="L734" s="103"/>
      <c r="N734" s="103"/>
      <c r="O734" s="103"/>
      <c r="Y734" s="160"/>
      <c r="Z734" s="160"/>
      <c r="AA734" s="160"/>
      <c r="AB734" s="160"/>
      <c r="AC734" s="160"/>
      <c r="AD734" s="160"/>
      <c r="AE734" s="160"/>
      <c r="AF734" s="160"/>
      <c r="AG734" s="160"/>
      <c r="AH734" s="160"/>
      <c r="AI734" s="160"/>
      <c r="AJ734" s="160"/>
      <c r="AP734" s="160"/>
      <c r="AV734" s="160"/>
    </row>
    <row r="735">
      <c r="A735" s="158"/>
      <c r="B735" s="160"/>
      <c r="C735" s="103"/>
      <c r="E735" s="103"/>
      <c r="F735" s="103"/>
      <c r="G735" s="158"/>
      <c r="H735" s="158"/>
      <c r="I735" s="158"/>
      <c r="J735" s="158"/>
      <c r="K735" s="160"/>
      <c r="L735" s="103"/>
      <c r="N735" s="103"/>
      <c r="O735" s="103"/>
      <c r="Y735" s="160"/>
      <c r="Z735" s="160"/>
      <c r="AA735" s="160"/>
      <c r="AB735" s="160"/>
      <c r="AC735" s="160"/>
      <c r="AD735" s="160"/>
      <c r="AE735" s="160"/>
      <c r="AF735" s="160"/>
      <c r="AG735" s="160"/>
      <c r="AH735" s="160"/>
      <c r="AI735" s="160"/>
      <c r="AJ735" s="160"/>
      <c r="AP735" s="160"/>
      <c r="AV735" s="160"/>
    </row>
    <row r="736">
      <c r="A736" s="158"/>
      <c r="B736" s="160"/>
      <c r="C736" s="103"/>
      <c r="E736" s="103"/>
      <c r="F736" s="103"/>
      <c r="G736" s="158"/>
      <c r="H736" s="158"/>
      <c r="I736" s="158"/>
      <c r="J736" s="158"/>
      <c r="K736" s="160"/>
      <c r="L736" s="103"/>
      <c r="N736" s="103"/>
      <c r="O736" s="103"/>
      <c r="Y736" s="160"/>
      <c r="Z736" s="160"/>
      <c r="AA736" s="160"/>
      <c r="AB736" s="160"/>
      <c r="AC736" s="160"/>
      <c r="AD736" s="160"/>
      <c r="AE736" s="160"/>
      <c r="AF736" s="160"/>
      <c r="AG736" s="160"/>
      <c r="AH736" s="160"/>
      <c r="AI736" s="160"/>
      <c r="AJ736" s="160"/>
      <c r="AP736" s="160"/>
      <c r="AV736" s="160"/>
    </row>
    <row r="737">
      <c r="A737" s="158"/>
      <c r="B737" s="160"/>
      <c r="C737" s="103"/>
      <c r="E737" s="103"/>
      <c r="F737" s="103"/>
      <c r="G737" s="158"/>
      <c r="H737" s="158"/>
      <c r="I737" s="158"/>
      <c r="J737" s="158"/>
      <c r="K737" s="160"/>
      <c r="L737" s="103"/>
      <c r="N737" s="103"/>
      <c r="O737" s="103"/>
      <c r="Y737" s="160"/>
      <c r="Z737" s="160"/>
      <c r="AA737" s="160"/>
      <c r="AB737" s="160"/>
      <c r="AC737" s="160"/>
      <c r="AD737" s="160"/>
      <c r="AE737" s="160"/>
      <c r="AF737" s="160"/>
      <c r="AG737" s="160"/>
      <c r="AH737" s="160"/>
      <c r="AI737" s="160"/>
      <c r="AJ737" s="160"/>
      <c r="AP737" s="160"/>
      <c r="AV737" s="160"/>
    </row>
    <row r="738">
      <c r="A738" s="158"/>
      <c r="B738" s="160"/>
      <c r="C738" s="103"/>
      <c r="E738" s="103"/>
      <c r="F738" s="103"/>
      <c r="G738" s="158"/>
      <c r="H738" s="158"/>
      <c r="I738" s="158"/>
      <c r="J738" s="158"/>
      <c r="K738" s="160"/>
      <c r="L738" s="103"/>
      <c r="N738" s="103"/>
      <c r="O738" s="103"/>
      <c r="Y738" s="160"/>
      <c r="Z738" s="160"/>
      <c r="AA738" s="160"/>
      <c r="AB738" s="160"/>
      <c r="AC738" s="160"/>
      <c r="AD738" s="160"/>
      <c r="AE738" s="160"/>
      <c r="AF738" s="160"/>
      <c r="AG738" s="160"/>
      <c r="AH738" s="160"/>
      <c r="AI738" s="160"/>
      <c r="AJ738" s="160"/>
      <c r="AP738" s="160"/>
      <c r="AV738" s="160"/>
    </row>
    <row r="739">
      <c r="A739" s="158"/>
      <c r="B739" s="160"/>
      <c r="C739" s="103"/>
      <c r="E739" s="103"/>
      <c r="F739" s="103"/>
      <c r="G739" s="158"/>
      <c r="H739" s="158"/>
      <c r="I739" s="158"/>
      <c r="J739" s="158"/>
      <c r="K739" s="160"/>
      <c r="L739" s="103"/>
      <c r="N739" s="103"/>
      <c r="O739" s="103"/>
      <c r="Y739" s="160"/>
      <c r="Z739" s="160"/>
      <c r="AA739" s="160"/>
      <c r="AB739" s="160"/>
      <c r="AC739" s="160"/>
      <c r="AD739" s="160"/>
      <c r="AE739" s="160"/>
      <c r="AF739" s="160"/>
      <c r="AG739" s="160"/>
      <c r="AH739" s="160"/>
      <c r="AI739" s="160"/>
      <c r="AJ739" s="160"/>
      <c r="AP739" s="160"/>
      <c r="AV739" s="160"/>
    </row>
    <row r="740">
      <c r="A740" s="158"/>
      <c r="B740" s="160"/>
      <c r="C740" s="103"/>
      <c r="E740" s="103"/>
      <c r="F740" s="103"/>
      <c r="G740" s="158"/>
      <c r="H740" s="158"/>
      <c r="I740" s="158"/>
      <c r="J740" s="158"/>
      <c r="K740" s="160"/>
      <c r="L740" s="103"/>
      <c r="N740" s="103"/>
      <c r="O740" s="103"/>
      <c r="Y740" s="160"/>
      <c r="Z740" s="160"/>
      <c r="AA740" s="160"/>
      <c r="AB740" s="160"/>
      <c r="AC740" s="160"/>
      <c r="AD740" s="160"/>
      <c r="AE740" s="160"/>
      <c r="AF740" s="160"/>
      <c r="AG740" s="160"/>
      <c r="AH740" s="160"/>
      <c r="AI740" s="160"/>
      <c r="AJ740" s="160"/>
      <c r="AP740" s="160"/>
      <c r="AV740" s="160"/>
    </row>
    <row r="741">
      <c r="A741" s="158"/>
      <c r="B741" s="160"/>
      <c r="C741" s="103"/>
      <c r="E741" s="103"/>
      <c r="F741" s="103"/>
      <c r="G741" s="158"/>
      <c r="H741" s="158"/>
      <c r="I741" s="158"/>
      <c r="J741" s="158"/>
      <c r="K741" s="160"/>
      <c r="L741" s="103"/>
      <c r="N741" s="103"/>
      <c r="O741" s="103"/>
      <c r="Y741" s="160"/>
      <c r="Z741" s="160"/>
      <c r="AA741" s="160"/>
      <c r="AB741" s="160"/>
      <c r="AC741" s="160"/>
      <c r="AD741" s="160"/>
      <c r="AE741" s="160"/>
      <c r="AF741" s="160"/>
      <c r="AG741" s="160"/>
      <c r="AH741" s="160"/>
      <c r="AI741" s="160"/>
      <c r="AJ741" s="160"/>
      <c r="AP741" s="160"/>
      <c r="AV741" s="160"/>
    </row>
    <row r="742">
      <c r="A742" s="158"/>
      <c r="B742" s="160"/>
      <c r="C742" s="103"/>
      <c r="E742" s="103"/>
      <c r="F742" s="103"/>
      <c r="G742" s="158"/>
      <c r="H742" s="158"/>
      <c r="I742" s="158"/>
      <c r="J742" s="158"/>
      <c r="K742" s="160"/>
      <c r="L742" s="103"/>
      <c r="N742" s="103"/>
      <c r="O742" s="103"/>
      <c r="Y742" s="160"/>
      <c r="Z742" s="160"/>
      <c r="AA742" s="160"/>
      <c r="AB742" s="160"/>
      <c r="AC742" s="160"/>
      <c r="AD742" s="160"/>
      <c r="AE742" s="160"/>
      <c r="AF742" s="160"/>
      <c r="AG742" s="160"/>
      <c r="AH742" s="160"/>
      <c r="AI742" s="160"/>
      <c r="AJ742" s="160"/>
      <c r="AP742" s="160"/>
      <c r="AV742" s="160"/>
    </row>
    <row r="743">
      <c r="A743" s="158"/>
      <c r="B743" s="160"/>
      <c r="C743" s="103"/>
      <c r="E743" s="103"/>
      <c r="F743" s="103"/>
      <c r="G743" s="158"/>
      <c r="H743" s="158"/>
      <c r="I743" s="158"/>
      <c r="J743" s="158"/>
      <c r="K743" s="160"/>
      <c r="L743" s="103"/>
      <c r="N743" s="103"/>
      <c r="O743" s="103"/>
      <c r="Y743" s="160"/>
      <c r="Z743" s="160"/>
      <c r="AA743" s="160"/>
      <c r="AB743" s="160"/>
      <c r="AC743" s="160"/>
      <c r="AD743" s="160"/>
      <c r="AE743" s="160"/>
      <c r="AF743" s="160"/>
      <c r="AG743" s="160"/>
      <c r="AH743" s="160"/>
      <c r="AI743" s="160"/>
      <c r="AJ743" s="160"/>
      <c r="AP743" s="160"/>
      <c r="AV743" s="160"/>
    </row>
    <row r="744">
      <c r="A744" s="158"/>
      <c r="B744" s="160"/>
      <c r="C744" s="103"/>
      <c r="E744" s="103"/>
      <c r="F744" s="103"/>
      <c r="G744" s="158"/>
      <c r="H744" s="158"/>
      <c r="I744" s="158"/>
      <c r="J744" s="158"/>
      <c r="K744" s="160"/>
      <c r="L744" s="103"/>
      <c r="N744" s="103"/>
      <c r="O744" s="103"/>
      <c r="Y744" s="160"/>
      <c r="Z744" s="160"/>
      <c r="AA744" s="160"/>
      <c r="AB744" s="160"/>
      <c r="AC744" s="160"/>
      <c r="AD744" s="160"/>
      <c r="AE744" s="160"/>
      <c r="AF744" s="160"/>
      <c r="AG744" s="160"/>
      <c r="AH744" s="160"/>
      <c r="AI744" s="160"/>
      <c r="AJ744" s="160"/>
      <c r="AP744" s="160"/>
      <c r="AV744" s="160"/>
    </row>
    <row r="745">
      <c r="A745" s="158"/>
      <c r="B745" s="160"/>
      <c r="C745" s="103"/>
      <c r="E745" s="103"/>
      <c r="F745" s="103"/>
      <c r="G745" s="158"/>
      <c r="H745" s="158"/>
      <c r="I745" s="158"/>
      <c r="J745" s="158"/>
      <c r="K745" s="160"/>
      <c r="L745" s="103"/>
      <c r="N745" s="103"/>
      <c r="O745" s="103"/>
      <c r="Y745" s="160"/>
      <c r="Z745" s="160"/>
      <c r="AA745" s="160"/>
      <c r="AB745" s="160"/>
      <c r="AC745" s="160"/>
      <c r="AD745" s="160"/>
      <c r="AE745" s="160"/>
      <c r="AF745" s="160"/>
      <c r="AG745" s="160"/>
      <c r="AH745" s="160"/>
      <c r="AI745" s="160"/>
      <c r="AJ745" s="160"/>
      <c r="AP745" s="160"/>
      <c r="AV745" s="160"/>
    </row>
    <row r="746">
      <c r="A746" s="158"/>
      <c r="B746" s="160"/>
      <c r="C746" s="103"/>
      <c r="E746" s="103"/>
      <c r="F746" s="103"/>
      <c r="G746" s="158"/>
      <c r="H746" s="158"/>
      <c r="I746" s="158"/>
      <c r="J746" s="158"/>
      <c r="K746" s="160"/>
      <c r="L746" s="103"/>
      <c r="N746" s="103"/>
      <c r="O746" s="103"/>
      <c r="Y746" s="160"/>
      <c r="Z746" s="160"/>
      <c r="AA746" s="160"/>
      <c r="AB746" s="160"/>
      <c r="AC746" s="160"/>
      <c r="AD746" s="160"/>
      <c r="AE746" s="160"/>
      <c r="AF746" s="160"/>
      <c r="AG746" s="160"/>
      <c r="AH746" s="160"/>
      <c r="AI746" s="160"/>
      <c r="AJ746" s="160"/>
      <c r="AP746" s="160"/>
      <c r="AV746" s="160"/>
    </row>
    <row r="747">
      <c r="A747" s="158"/>
      <c r="B747" s="160"/>
      <c r="C747" s="103"/>
      <c r="E747" s="103"/>
      <c r="F747" s="103"/>
      <c r="G747" s="158"/>
      <c r="H747" s="158"/>
      <c r="I747" s="158"/>
      <c r="J747" s="158"/>
      <c r="K747" s="160"/>
      <c r="L747" s="103"/>
      <c r="N747" s="103"/>
      <c r="O747" s="103"/>
      <c r="Y747" s="160"/>
      <c r="Z747" s="160"/>
      <c r="AA747" s="160"/>
      <c r="AB747" s="160"/>
      <c r="AC747" s="160"/>
      <c r="AD747" s="160"/>
      <c r="AE747" s="160"/>
      <c r="AF747" s="160"/>
      <c r="AG747" s="160"/>
      <c r="AH747" s="160"/>
      <c r="AI747" s="160"/>
      <c r="AJ747" s="160"/>
      <c r="AP747" s="160"/>
      <c r="AV747" s="160"/>
    </row>
    <row r="748">
      <c r="A748" s="158"/>
      <c r="B748" s="160"/>
      <c r="C748" s="103"/>
      <c r="E748" s="103"/>
      <c r="F748" s="103"/>
      <c r="G748" s="158"/>
      <c r="H748" s="158"/>
      <c r="I748" s="158"/>
      <c r="J748" s="158"/>
      <c r="K748" s="160"/>
      <c r="L748" s="103"/>
      <c r="N748" s="103"/>
      <c r="O748" s="103"/>
      <c r="Y748" s="160"/>
      <c r="Z748" s="160"/>
      <c r="AA748" s="160"/>
      <c r="AB748" s="160"/>
      <c r="AC748" s="160"/>
      <c r="AD748" s="160"/>
      <c r="AE748" s="160"/>
      <c r="AF748" s="160"/>
      <c r="AG748" s="160"/>
      <c r="AH748" s="160"/>
      <c r="AI748" s="160"/>
      <c r="AJ748" s="160"/>
      <c r="AP748" s="160"/>
      <c r="AV748" s="160"/>
    </row>
    <row r="749">
      <c r="A749" s="158"/>
      <c r="B749" s="160"/>
      <c r="C749" s="103"/>
      <c r="E749" s="103"/>
      <c r="F749" s="103"/>
      <c r="G749" s="158"/>
      <c r="H749" s="158"/>
      <c r="I749" s="158"/>
      <c r="J749" s="158"/>
      <c r="K749" s="160"/>
      <c r="L749" s="103"/>
      <c r="N749" s="103"/>
      <c r="O749" s="103"/>
      <c r="Y749" s="160"/>
      <c r="Z749" s="160"/>
      <c r="AA749" s="160"/>
      <c r="AB749" s="160"/>
      <c r="AC749" s="160"/>
      <c r="AD749" s="160"/>
      <c r="AE749" s="160"/>
      <c r="AF749" s="160"/>
      <c r="AG749" s="160"/>
      <c r="AH749" s="160"/>
      <c r="AI749" s="160"/>
      <c r="AJ749" s="160"/>
      <c r="AP749" s="160"/>
      <c r="AV749" s="160"/>
    </row>
    <row r="750">
      <c r="A750" s="158"/>
      <c r="B750" s="160"/>
      <c r="C750" s="103"/>
      <c r="E750" s="103"/>
      <c r="F750" s="103"/>
      <c r="G750" s="158"/>
      <c r="H750" s="158"/>
      <c r="I750" s="158"/>
      <c r="J750" s="158"/>
      <c r="K750" s="160"/>
      <c r="L750" s="103"/>
      <c r="N750" s="103"/>
      <c r="O750" s="103"/>
      <c r="Y750" s="160"/>
      <c r="Z750" s="160"/>
      <c r="AA750" s="160"/>
      <c r="AB750" s="160"/>
      <c r="AC750" s="160"/>
      <c r="AD750" s="160"/>
      <c r="AE750" s="160"/>
      <c r="AF750" s="160"/>
      <c r="AG750" s="160"/>
      <c r="AH750" s="160"/>
      <c r="AI750" s="160"/>
      <c r="AJ750" s="160"/>
      <c r="AP750" s="160"/>
      <c r="AV750" s="160"/>
    </row>
    <row r="751">
      <c r="A751" s="158"/>
      <c r="B751" s="160"/>
      <c r="C751" s="103"/>
      <c r="E751" s="103"/>
      <c r="F751" s="103"/>
      <c r="G751" s="158"/>
      <c r="H751" s="158"/>
      <c r="I751" s="158"/>
      <c r="J751" s="158"/>
      <c r="K751" s="160"/>
      <c r="L751" s="103"/>
      <c r="N751" s="103"/>
      <c r="O751" s="103"/>
      <c r="Y751" s="160"/>
      <c r="Z751" s="160"/>
      <c r="AA751" s="160"/>
      <c r="AB751" s="160"/>
      <c r="AC751" s="160"/>
      <c r="AD751" s="160"/>
      <c r="AE751" s="160"/>
      <c r="AF751" s="160"/>
      <c r="AG751" s="160"/>
      <c r="AH751" s="160"/>
      <c r="AI751" s="160"/>
      <c r="AJ751" s="160"/>
      <c r="AP751" s="160"/>
      <c r="AV751" s="160"/>
    </row>
    <row r="752">
      <c r="A752" s="158"/>
      <c r="B752" s="160"/>
      <c r="C752" s="103"/>
      <c r="E752" s="103"/>
      <c r="F752" s="103"/>
      <c r="G752" s="158"/>
      <c r="H752" s="158"/>
      <c r="I752" s="158"/>
      <c r="J752" s="158"/>
      <c r="K752" s="160"/>
      <c r="L752" s="103"/>
      <c r="N752" s="103"/>
      <c r="O752" s="103"/>
      <c r="Y752" s="160"/>
      <c r="Z752" s="160"/>
      <c r="AA752" s="160"/>
      <c r="AB752" s="160"/>
      <c r="AC752" s="160"/>
      <c r="AD752" s="160"/>
      <c r="AE752" s="160"/>
      <c r="AF752" s="160"/>
      <c r="AG752" s="160"/>
      <c r="AH752" s="160"/>
      <c r="AI752" s="160"/>
      <c r="AJ752" s="160"/>
      <c r="AP752" s="160"/>
      <c r="AV752" s="160"/>
    </row>
    <row r="753">
      <c r="A753" s="158"/>
      <c r="B753" s="160"/>
      <c r="C753" s="103"/>
      <c r="E753" s="103"/>
      <c r="F753" s="103"/>
      <c r="G753" s="158"/>
      <c r="H753" s="158"/>
      <c r="I753" s="158"/>
      <c r="J753" s="158"/>
      <c r="K753" s="160"/>
      <c r="L753" s="103"/>
      <c r="N753" s="103"/>
      <c r="O753" s="103"/>
      <c r="Y753" s="160"/>
      <c r="Z753" s="160"/>
      <c r="AA753" s="160"/>
      <c r="AB753" s="160"/>
      <c r="AC753" s="160"/>
      <c r="AD753" s="160"/>
      <c r="AE753" s="160"/>
      <c r="AF753" s="160"/>
      <c r="AG753" s="160"/>
      <c r="AH753" s="160"/>
      <c r="AI753" s="160"/>
      <c r="AJ753" s="160"/>
      <c r="AP753" s="160"/>
      <c r="AV753" s="160"/>
    </row>
    <row r="754">
      <c r="A754" s="158"/>
      <c r="B754" s="160"/>
      <c r="C754" s="103"/>
      <c r="E754" s="103"/>
      <c r="F754" s="103"/>
      <c r="G754" s="158"/>
      <c r="H754" s="158"/>
      <c r="I754" s="158"/>
      <c r="J754" s="158"/>
      <c r="K754" s="160"/>
      <c r="L754" s="103"/>
      <c r="N754" s="103"/>
      <c r="O754" s="103"/>
      <c r="Y754" s="160"/>
      <c r="Z754" s="160"/>
      <c r="AA754" s="160"/>
      <c r="AB754" s="160"/>
      <c r="AC754" s="160"/>
      <c r="AD754" s="160"/>
      <c r="AE754" s="160"/>
      <c r="AF754" s="160"/>
      <c r="AG754" s="160"/>
      <c r="AH754" s="160"/>
      <c r="AI754" s="160"/>
      <c r="AJ754" s="160"/>
      <c r="AP754" s="160"/>
      <c r="AV754" s="160"/>
    </row>
    <row r="755">
      <c r="A755" s="158"/>
      <c r="B755" s="160"/>
      <c r="C755" s="103"/>
      <c r="E755" s="103"/>
      <c r="F755" s="103"/>
      <c r="G755" s="158"/>
      <c r="H755" s="158"/>
      <c r="I755" s="158"/>
      <c r="J755" s="158"/>
      <c r="K755" s="160"/>
      <c r="L755" s="103"/>
      <c r="N755" s="103"/>
      <c r="O755" s="103"/>
      <c r="Y755" s="160"/>
      <c r="Z755" s="160"/>
      <c r="AA755" s="160"/>
      <c r="AB755" s="160"/>
      <c r="AC755" s="160"/>
      <c r="AD755" s="160"/>
      <c r="AE755" s="160"/>
      <c r="AF755" s="160"/>
      <c r="AG755" s="160"/>
      <c r="AH755" s="160"/>
      <c r="AI755" s="160"/>
      <c r="AJ755" s="160"/>
      <c r="AP755" s="160"/>
      <c r="AV755" s="160"/>
    </row>
    <row r="756">
      <c r="A756" s="158"/>
      <c r="B756" s="160"/>
      <c r="C756" s="103"/>
      <c r="E756" s="103"/>
      <c r="F756" s="103"/>
      <c r="G756" s="158"/>
      <c r="H756" s="158"/>
      <c r="I756" s="158"/>
      <c r="J756" s="158"/>
      <c r="K756" s="160"/>
      <c r="L756" s="103"/>
      <c r="N756" s="103"/>
      <c r="O756" s="103"/>
      <c r="Y756" s="160"/>
      <c r="Z756" s="160"/>
      <c r="AA756" s="160"/>
      <c r="AB756" s="160"/>
      <c r="AC756" s="160"/>
      <c r="AD756" s="160"/>
      <c r="AE756" s="160"/>
      <c r="AF756" s="160"/>
      <c r="AG756" s="160"/>
      <c r="AH756" s="160"/>
      <c r="AI756" s="160"/>
      <c r="AJ756" s="160"/>
      <c r="AP756" s="160"/>
      <c r="AV756" s="160"/>
    </row>
    <row r="757">
      <c r="A757" s="158"/>
      <c r="B757" s="160"/>
      <c r="C757" s="103"/>
      <c r="E757" s="103"/>
      <c r="F757" s="103"/>
      <c r="G757" s="158"/>
      <c r="H757" s="158"/>
      <c r="I757" s="158"/>
      <c r="J757" s="158"/>
      <c r="K757" s="160"/>
      <c r="L757" s="103"/>
      <c r="N757" s="103"/>
      <c r="O757" s="103"/>
      <c r="Y757" s="160"/>
      <c r="Z757" s="160"/>
      <c r="AA757" s="160"/>
      <c r="AB757" s="160"/>
      <c r="AC757" s="160"/>
      <c r="AD757" s="160"/>
      <c r="AE757" s="160"/>
      <c r="AF757" s="160"/>
      <c r="AG757" s="160"/>
      <c r="AH757" s="160"/>
      <c r="AI757" s="160"/>
      <c r="AJ757" s="160"/>
      <c r="AP757" s="160"/>
      <c r="AV757" s="160"/>
    </row>
    <row r="758">
      <c r="A758" s="158"/>
      <c r="B758" s="160"/>
      <c r="C758" s="103"/>
      <c r="E758" s="103"/>
      <c r="F758" s="103"/>
      <c r="G758" s="158"/>
      <c r="H758" s="158"/>
      <c r="I758" s="158"/>
      <c r="J758" s="158"/>
      <c r="K758" s="160"/>
      <c r="L758" s="103"/>
      <c r="N758" s="103"/>
      <c r="O758" s="103"/>
      <c r="Y758" s="160"/>
      <c r="Z758" s="160"/>
      <c r="AA758" s="160"/>
      <c r="AB758" s="160"/>
      <c r="AC758" s="160"/>
      <c r="AD758" s="160"/>
      <c r="AE758" s="160"/>
      <c r="AF758" s="160"/>
      <c r="AG758" s="160"/>
      <c r="AH758" s="160"/>
      <c r="AI758" s="160"/>
      <c r="AJ758" s="160"/>
      <c r="AP758" s="160"/>
      <c r="AV758" s="160"/>
    </row>
    <row r="759">
      <c r="A759" s="158"/>
      <c r="B759" s="160"/>
      <c r="C759" s="103"/>
      <c r="E759" s="103"/>
      <c r="F759" s="103"/>
      <c r="G759" s="158"/>
      <c r="H759" s="158"/>
      <c r="I759" s="158"/>
      <c r="J759" s="158"/>
      <c r="K759" s="160"/>
      <c r="L759" s="103"/>
      <c r="N759" s="103"/>
      <c r="O759" s="103"/>
      <c r="Y759" s="160"/>
      <c r="Z759" s="160"/>
      <c r="AA759" s="160"/>
      <c r="AB759" s="160"/>
      <c r="AC759" s="160"/>
      <c r="AD759" s="160"/>
      <c r="AE759" s="160"/>
      <c r="AF759" s="160"/>
      <c r="AG759" s="160"/>
      <c r="AH759" s="160"/>
      <c r="AI759" s="160"/>
      <c r="AJ759" s="160"/>
      <c r="AP759" s="160"/>
      <c r="AV759" s="160"/>
    </row>
    <row r="760">
      <c r="A760" s="158"/>
      <c r="B760" s="160"/>
      <c r="C760" s="103"/>
      <c r="E760" s="103"/>
      <c r="F760" s="103"/>
      <c r="G760" s="158"/>
      <c r="H760" s="158"/>
      <c r="I760" s="158"/>
      <c r="J760" s="158"/>
      <c r="K760" s="160"/>
      <c r="L760" s="103"/>
      <c r="N760" s="103"/>
      <c r="O760" s="103"/>
      <c r="Y760" s="160"/>
      <c r="Z760" s="160"/>
      <c r="AA760" s="160"/>
      <c r="AB760" s="160"/>
      <c r="AC760" s="160"/>
      <c r="AD760" s="160"/>
      <c r="AE760" s="160"/>
      <c r="AF760" s="160"/>
      <c r="AG760" s="160"/>
      <c r="AH760" s="160"/>
      <c r="AI760" s="160"/>
      <c r="AJ760" s="160"/>
      <c r="AP760" s="160"/>
      <c r="AV760" s="160"/>
    </row>
    <row r="761">
      <c r="A761" s="158"/>
      <c r="B761" s="160"/>
      <c r="C761" s="103"/>
      <c r="E761" s="103"/>
      <c r="F761" s="103"/>
      <c r="G761" s="158"/>
      <c r="H761" s="158"/>
      <c r="I761" s="158"/>
      <c r="J761" s="158"/>
      <c r="K761" s="160"/>
      <c r="L761" s="103"/>
      <c r="N761" s="103"/>
      <c r="O761" s="103"/>
      <c r="Y761" s="160"/>
      <c r="Z761" s="160"/>
      <c r="AA761" s="160"/>
      <c r="AB761" s="160"/>
      <c r="AC761" s="160"/>
      <c r="AD761" s="160"/>
      <c r="AE761" s="160"/>
      <c r="AF761" s="160"/>
      <c r="AG761" s="160"/>
      <c r="AH761" s="160"/>
      <c r="AI761" s="160"/>
      <c r="AJ761" s="160"/>
      <c r="AP761" s="160"/>
      <c r="AV761" s="160"/>
    </row>
    <row r="762">
      <c r="A762" s="158"/>
      <c r="B762" s="160"/>
      <c r="C762" s="103"/>
      <c r="E762" s="103"/>
      <c r="F762" s="103"/>
      <c r="G762" s="158"/>
      <c r="H762" s="158"/>
      <c r="I762" s="158"/>
      <c r="J762" s="158"/>
      <c r="K762" s="160"/>
      <c r="L762" s="103"/>
      <c r="N762" s="103"/>
      <c r="O762" s="103"/>
      <c r="Y762" s="160"/>
      <c r="Z762" s="160"/>
      <c r="AA762" s="160"/>
      <c r="AB762" s="160"/>
      <c r="AC762" s="160"/>
      <c r="AD762" s="160"/>
      <c r="AE762" s="160"/>
      <c r="AF762" s="160"/>
      <c r="AG762" s="160"/>
      <c r="AH762" s="160"/>
      <c r="AI762" s="160"/>
      <c r="AJ762" s="160"/>
      <c r="AP762" s="160"/>
      <c r="AV762" s="160"/>
    </row>
    <row r="763">
      <c r="A763" s="158"/>
      <c r="B763" s="160"/>
      <c r="C763" s="103"/>
      <c r="E763" s="103"/>
      <c r="F763" s="103"/>
      <c r="G763" s="158"/>
      <c r="H763" s="158"/>
      <c r="I763" s="158"/>
      <c r="J763" s="158"/>
      <c r="K763" s="160"/>
      <c r="L763" s="103"/>
      <c r="N763" s="103"/>
      <c r="O763" s="103"/>
      <c r="Y763" s="160"/>
      <c r="Z763" s="160"/>
      <c r="AA763" s="160"/>
      <c r="AB763" s="160"/>
      <c r="AC763" s="160"/>
      <c r="AD763" s="160"/>
      <c r="AE763" s="160"/>
      <c r="AF763" s="160"/>
      <c r="AG763" s="160"/>
      <c r="AH763" s="160"/>
      <c r="AI763" s="160"/>
      <c r="AJ763" s="160"/>
      <c r="AP763" s="160"/>
      <c r="AV763" s="160"/>
    </row>
    <row r="764">
      <c r="A764" s="158"/>
      <c r="B764" s="160"/>
      <c r="C764" s="103"/>
      <c r="E764" s="103"/>
      <c r="F764" s="103"/>
      <c r="G764" s="158"/>
      <c r="H764" s="158"/>
      <c r="I764" s="158"/>
      <c r="J764" s="158"/>
      <c r="K764" s="160"/>
      <c r="L764" s="103"/>
      <c r="N764" s="103"/>
      <c r="O764" s="103"/>
      <c r="Y764" s="160"/>
      <c r="Z764" s="160"/>
      <c r="AA764" s="160"/>
      <c r="AB764" s="160"/>
      <c r="AC764" s="160"/>
      <c r="AD764" s="160"/>
      <c r="AE764" s="160"/>
      <c r="AF764" s="160"/>
      <c r="AG764" s="160"/>
      <c r="AH764" s="160"/>
      <c r="AI764" s="160"/>
      <c r="AJ764" s="160"/>
      <c r="AP764" s="160"/>
      <c r="AV764" s="160"/>
    </row>
    <row r="765">
      <c r="A765" s="158"/>
      <c r="B765" s="160"/>
      <c r="C765" s="103"/>
      <c r="E765" s="103"/>
      <c r="F765" s="103"/>
      <c r="G765" s="158"/>
      <c r="H765" s="158"/>
      <c r="I765" s="158"/>
      <c r="J765" s="158"/>
      <c r="K765" s="160"/>
      <c r="L765" s="103"/>
      <c r="N765" s="103"/>
      <c r="O765" s="103"/>
      <c r="Y765" s="160"/>
      <c r="Z765" s="160"/>
      <c r="AA765" s="160"/>
      <c r="AB765" s="160"/>
      <c r="AC765" s="160"/>
      <c r="AD765" s="160"/>
      <c r="AE765" s="160"/>
      <c r="AF765" s="160"/>
      <c r="AG765" s="160"/>
      <c r="AH765" s="160"/>
      <c r="AI765" s="160"/>
      <c r="AJ765" s="160"/>
      <c r="AP765" s="160"/>
      <c r="AV765" s="160"/>
    </row>
    <row r="766">
      <c r="A766" s="158"/>
      <c r="B766" s="160"/>
      <c r="C766" s="103"/>
      <c r="E766" s="103"/>
      <c r="F766" s="103"/>
      <c r="G766" s="158"/>
      <c r="H766" s="158"/>
      <c r="I766" s="158"/>
      <c r="J766" s="158"/>
      <c r="K766" s="160"/>
      <c r="L766" s="103"/>
      <c r="N766" s="103"/>
      <c r="O766" s="103"/>
      <c r="Y766" s="160"/>
      <c r="Z766" s="160"/>
      <c r="AA766" s="160"/>
      <c r="AB766" s="160"/>
      <c r="AC766" s="160"/>
      <c r="AD766" s="160"/>
      <c r="AE766" s="160"/>
      <c r="AF766" s="160"/>
      <c r="AG766" s="160"/>
      <c r="AH766" s="160"/>
      <c r="AI766" s="160"/>
      <c r="AJ766" s="160"/>
      <c r="AP766" s="160"/>
      <c r="AV766" s="160"/>
    </row>
    <row r="767">
      <c r="A767" s="158"/>
      <c r="B767" s="160"/>
      <c r="C767" s="103"/>
      <c r="E767" s="103"/>
      <c r="F767" s="103"/>
      <c r="G767" s="158"/>
      <c r="H767" s="158"/>
      <c r="I767" s="158"/>
      <c r="J767" s="158"/>
      <c r="K767" s="160"/>
      <c r="L767" s="103"/>
      <c r="N767" s="103"/>
      <c r="O767" s="103"/>
      <c r="Y767" s="160"/>
      <c r="Z767" s="160"/>
      <c r="AA767" s="160"/>
      <c r="AB767" s="160"/>
      <c r="AC767" s="160"/>
      <c r="AD767" s="160"/>
      <c r="AE767" s="160"/>
      <c r="AF767" s="160"/>
      <c r="AG767" s="160"/>
      <c r="AH767" s="160"/>
      <c r="AI767" s="160"/>
      <c r="AJ767" s="160"/>
      <c r="AP767" s="160"/>
      <c r="AV767" s="160"/>
    </row>
    <row r="768">
      <c r="A768" s="158"/>
      <c r="B768" s="160"/>
      <c r="C768" s="103"/>
      <c r="E768" s="103"/>
      <c r="F768" s="103"/>
      <c r="G768" s="158"/>
      <c r="H768" s="158"/>
      <c r="I768" s="158"/>
      <c r="J768" s="158"/>
      <c r="K768" s="160"/>
      <c r="L768" s="103"/>
      <c r="N768" s="103"/>
      <c r="O768" s="103"/>
      <c r="Y768" s="160"/>
      <c r="Z768" s="160"/>
      <c r="AA768" s="160"/>
      <c r="AB768" s="160"/>
      <c r="AC768" s="160"/>
      <c r="AD768" s="160"/>
      <c r="AE768" s="160"/>
      <c r="AF768" s="160"/>
      <c r="AG768" s="160"/>
      <c r="AH768" s="160"/>
      <c r="AI768" s="160"/>
      <c r="AJ768" s="160"/>
      <c r="AP768" s="160"/>
      <c r="AV768" s="160"/>
    </row>
    <row r="769">
      <c r="A769" s="158"/>
      <c r="B769" s="160"/>
      <c r="C769" s="103"/>
      <c r="E769" s="103"/>
      <c r="F769" s="103"/>
      <c r="G769" s="158"/>
      <c r="H769" s="158"/>
      <c r="I769" s="158"/>
      <c r="J769" s="158"/>
      <c r="K769" s="160"/>
      <c r="L769" s="103"/>
      <c r="N769" s="103"/>
      <c r="O769" s="103"/>
      <c r="Y769" s="160"/>
      <c r="Z769" s="160"/>
      <c r="AA769" s="160"/>
      <c r="AB769" s="160"/>
      <c r="AC769" s="160"/>
      <c r="AD769" s="160"/>
      <c r="AE769" s="160"/>
      <c r="AF769" s="160"/>
      <c r="AG769" s="160"/>
      <c r="AH769" s="160"/>
      <c r="AI769" s="160"/>
      <c r="AJ769" s="160"/>
      <c r="AP769" s="160"/>
      <c r="AV769" s="160"/>
    </row>
    <row r="770">
      <c r="A770" s="158"/>
      <c r="B770" s="160"/>
      <c r="C770" s="103"/>
      <c r="E770" s="103"/>
      <c r="F770" s="103"/>
      <c r="G770" s="158"/>
      <c r="H770" s="158"/>
      <c r="I770" s="158"/>
      <c r="J770" s="158"/>
      <c r="K770" s="160"/>
      <c r="L770" s="103"/>
      <c r="N770" s="103"/>
      <c r="O770" s="103"/>
      <c r="Y770" s="160"/>
      <c r="Z770" s="160"/>
      <c r="AA770" s="160"/>
      <c r="AB770" s="160"/>
      <c r="AC770" s="160"/>
      <c r="AD770" s="160"/>
      <c r="AE770" s="160"/>
      <c r="AF770" s="160"/>
      <c r="AG770" s="160"/>
      <c r="AH770" s="160"/>
      <c r="AI770" s="160"/>
      <c r="AJ770" s="160"/>
      <c r="AP770" s="160"/>
      <c r="AV770" s="160"/>
    </row>
    <row r="771">
      <c r="A771" s="158"/>
      <c r="B771" s="160"/>
      <c r="C771" s="103"/>
      <c r="E771" s="103"/>
      <c r="F771" s="103"/>
      <c r="G771" s="158"/>
      <c r="H771" s="158"/>
      <c r="I771" s="158"/>
      <c r="J771" s="158"/>
      <c r="K771" s="160"/>
      <c r="L771" s="103"/>
      <c r="N771" s="103"/>
      <c r="O771" s="103"/>
      <c r="Y771" s="160"/>
      <c r="Z771" s="160"/>
      <c r="AA771" s="160"/>
      <c r="AB771" s="160"/>
      <c r="AC771" s="160"/>
      <c r="AD771" s="160"/>
      <c r="AE771" s="160"/>
      <c r="AF771" s="160"/>
      <c r="AG771" s="160"/>
      <c r="AH771" s="160"/>
      <c r="AI771" s="160"/>
      <c r="AJ771" s="160"/>
      <c r="AP771" s="160"/>
      <c r="AV771" s="160"/>
    </row>
    <row r="772">
      <c r="A772" s="158"/>
      <c r="B772" s="160"/>
      <c r="C772" s="103"/>
      <c r="E772" s="103"/>
      <c r="F772" s="103"/>
      <c r="G772" s="158"/>
      <c r="H772" s="158"/>
      <c r="I772" s="158"/>
      <c r="J772" s="158"/>
      <c r="K772" s="160"/>
      <c r="L772" s="103"/>
      <c r="N772" s="103"/>
      <c r="O772" s="103"/>
      <c r="Y772" s="160"/>
      <c r="Z772" s="160"/>
      <c r="AA772" s="160"/>
      <c r="AB772" s="160"/>
      <c r="AC772" s="160"/>
      <c r="AD772" s="160"/>
      <c r="AE772" s="160"/>
      <c r="AF772" s="160"/>
      <c r="AG772" s="160"/>
      <c r="AH772" s="160"/>
      <c r="AI772" s="160"/>
      <c r="AJ772" s="160"/>
      <c r="AP772" s="160"/>
      <c r="AV772" s="160"/>
    </row>
    <row r="773">
      <c r="A773" s="158"/>
      <c r="B773" s="160"/>
      <c r="C773" s="103"/>
      <c r="E773" s="103"/>
      <c r="F773" s="103"/>
      <c r="G773" s="158"/>
      <c r="H773" s="158"/>
      <c r="I773" s="158"/>
      <c r="J773" s="158"/>
      <c r="K773" s="160"/>
      <c r="L773" s="103"/>
      <c r="N773" s="103"/>
      <c r="O773" s="103"/>
      <c r="Y773" s="160"/>
      <c r="Z773" s="160"/>
      <c r="AA773" s="160"/>
      <c r="AB773" s="160"/>
      <c r="AC773" s="160"/>
      <c r="AD773" s="160"/>
      <c r="AE773" s="160"/>
      <c r="AF773" s="160"/>
      <c r="AG773" s="160"/>
      <c r="AH773" s="160"/>
      <c r="AI773" s="160"/>
      <c r="AJ773" s="160"/>
      <c r="AP773" s="160"/>
      <c r="AV773" s="160"/>
    </row>
    <row r="774">
      <c r="A774" s="158"/>
      <c r="B774" s="160"/>
      <c r="C774" s="103"/>
      <c r="E774" s="103"/>
      <c r="F774" s="103"/>
      <c r="G774" s="158"/>
      <c r="H774" s="158"/>
      <c r="I774" s="158"/>
      <c r="J774" s="158"/>
      <c r="K774" s="160"/>
      <c r="L774" s="103"/>
      <c r="N774" s="103"/>
      <c r="O774" s="103"/>
      <c r="Y774" s="160"/>
      <c r="Z774" s="160"/>
      <c r="AA774" s="160"/>
      <c r="AB774" s="160"/>
      <c r="AC774" s="160"/>
      <c r="AD774" s="160"/>
      <c r="AE774" s="160"/>
      <c r="AF774" s="160"/>
      <c r="AG774" s="160"/>
      <c r="AH774" s="160"/>
      <c r="AI774" s="160"/>
      <c r="AJ774" s="160"/>
      <c r="AP774" s="160"/>
      <c r="AV774" s="160"/>
    </row>
    <row r="775">
      <c r="A775" s="158"/>
      <c r="B775" s="160"/>
      <c r="C775" s="103"/>
      <c r="E775" s="103"/>
      <c r="F775" s="103"/>
      <c r="G775" s="158"/>
      <c r="H775" s="158"/>
      <c r="I775" s="158"/>
      <c r="J775" s="158"/>
      <c r="K775" s="160"/>
      <c r="L775" s="103"/>
      <c r="N775" s="103"/>
      <c r="O775" s="103"/>
      <c r="Y775" s="160"/>
      <c r="Z775" s="160"/>
      <c r="AA775" s="160"/>
      <c r="AB775" s="160"/>
      <c r="AC775" s="160"/>
      <c r="AD775" s="160"/>
      <c r="AE775" s="160"/>
      <c r="AF775" s="160"/>
      <c r="AG775" s="160"/>
      <c r="AH775" s="160"/>
      <c r="AI775" s="160"/>
      <c r="AJ775" s="160"/>
      <c r="AP775" s="160"/>
      <c r="AV775" s="160"/>
    </row>
    <row r="776">
      <c r="A776" s="158"/>
      <c r="B776" s="160"/>
      <c r="C776" s="103"/>
      <c r="E776" s="103"/>
      <c r="F776" s="103"/>
      <c r="G776" s="158"/>
      <c r="H776" s="158"/>
      <c r="I776" s="158"/>
      <c r="J776" s="158"/>
      <c r="K776" s="160"/>
      <c r="L776" s="103"/>
      <c r="N776" s="103"/>
      <c r="O776" s="103"/>
      <c r="Y776" s="160"/>
      <c r="Z776" s="160"/>
      <c r="AA776" s="160"/>
      <c r="AB776" s="160"/>
      <c r="AC776" s="160"/>
      <c r="AD776" s="160"/>
      <c r="AE776" s="160"/>
      <c r="AF776" s="160"/>
      <c r="AG776" s="160"/>
      <c r="AH776" s="160"/>
      <c r="AI776" s="160"/>
      <c r="AJ776" s="160"/>
      <c r="AP776" s="160"/>
      <c r="AV776" s="160"/>
    </row>
    <row r="777">
      <c r="A777" s="158"/>
      <c r="B777" s="160"/>
      <c r="C777" s="103"/>
      <c r="E777" s="103"/>
      <c r="F777" s="103"/>
      <c r="G777" s="158"/>
      <c r="H777" s="158"/>
      <c r="I777" s="158"/>
      <c r="J777" s="158"/>
      <c r="K777" s="160"/>
      <c r="L777" s="103"/>
      <c r="N777" s="103"/>
      <c r="O777" s="103"/>
      <c r="Y777" s="160"/>
      <c r="Z777" s="160"/>
      <c r="AA777" s="160"/>
      <c r="AB777" s="160"/>
      <c r="AC777" s="160"/>
      <c r="AD777" s="160"/>
      <c r="AE777" s="160"/>
      <c r="AF777" s="160"/>
      <c r="AG777" s="160"/>
      <c r="AH777" s="160"/>
      <c r="AI777" s="160"/>
      <c r="AJ777" s="160"/>
      <c r="AP777" s="160"/>
      <c r="AV777" s="160"/>
    </row>
    <row r="778">
      <c r="A778" s="158"/>
      <c r="B778" s="160"/>
      <c r="C778" s="103"/>
      <c r="E778" s="103"/>
      <c r="F778" s="103"/>
      <c r="G778" s="158"/>
      <c r="H778" s="158"/>
      <c r="I778" s="158"/>
      <c r="J778" s="158"/>
      <c r="K778" s="160"/>
      <c r="L778" s="103"/>
      <c r="N778" s="103"/>
      <c r="O778" s="103"/>
      <c r="Y778" s="160"/>
      <c r="Z778" s="160"/>
      <c r="AA778" s="160"/>
      <c r="AB778" s="160"/>
      <c r="AC778" s="160"/>
      <c r="AD778" s="160"/>
      <c r="AE778" s="160"/>
      <c r="AF778" s="160"/>
      <c r="AG778" s="160"/>
      <c r="AH778" s="160"/>
      <c r="AI778" s="160"/>
      <c r="AJ778" s="160"/>
      <c r="AP778" s="160"/>
      <c r="AV778" s="160"/>
    </row>
    <row r="779">
      <c r="A779" s="158"/>
      <c r="B779" s="160"/>
      <c r="C779" s="103"/>
      <c r="E779" s="103"/>
      <c r="F779" s="103"/>
      <c r="G779" s="158"/>
      <c r="H779" s="158"/>
      <c r="I779" s="158"/>
      <c r="J779" s="158"/>
      <c r="K779" s="160"/>
      <c r="L779" s="103"/>
      <c r="N779" s="103"/>
      <c r="O779" s="103"/>
      <c r="Y779" s="160"/>
      <c r="Z779" s="160"/>
      <c r="AA779" s="160"/>
      <c r="AB779" s="160"/>
      <c r="AC779" s="160"/>
      <c r="AD779" s="160"/>
      <c r="AE779" s="160"/>
      <c r="AF779" s="160"/>
      <c r="AG779" s="160"/>
      <c r="AH779" s="160"/>
      <c r="AI779" s="160"/>
      <c r="AJ779" s="160"/>
      <c r="AP779" s="160"/>
      <c r="AV779" s="160"/>
    </row>
    <row r="780">
      <c r="A780" s="158"/>
      <c r="B780" s="160"/>
      <c r="C780" s="103"/>
      <c r="E780" s="103"/>
      <c r="F780" s="103"/>
      <c r="G780" s="158"/>
      <c r="H780" s="158"/>
      <c r="I780" s="158"/>
      <c r="J780" s="158"/>
      <c r="K780" s="160"/>
      <c r="L780" s="103"/>
      <c r="N780" s="103"/>
      <c r="O780" s="103"/>
      <c r="Y780" s="160"/>
      <c r="Z780" s="160"/>
      <c r="AA780" s="160"/>
      <c r="AB780" s="160"/>
      <c r="AC780" s="160"/>
      <c r="AD780" s="160"/>
      <c r="AE780" s="160"/>
      <c r="AF780" s="160"/>
      <c r="AG780" s="160"/>
      <c r="AH780" s="160"/>
      <c r="AI780" s="160"/>
      <c r="AJ780" s="160"/>
      <c r="AP780" s="160"/>
      <c r="AV780" s="160"/>
    </row>
    <row r="781">
      <c r="A781" s="158"/>
      <c r="B781" s="160"/>
      <c r="C781" s="103"/>
      <c r="E781" s="103"/>
      <c r="F781" s="103"/>
      <c r="G781" s="158"/>
      <c r="H781" s="158"/>
      <c r="I781" s="158"/>
      <c r="J781" s="158"/>
      <c r="K781" s="160"/>
      <c r="L781" s="103"/>
      <c r="N781" s="103"/>
      <c r="O781" s="103"/>
      <c r="Y781" s="160"/>
      <c r="Z781" s="160"/>
      <c r="AA781" s="160"/>
      <c r="AB781" s="160"/>
      <c r="AC781" s="160"/>
      <c r="AD781" s="160"/>
      <c r="AE781" s="160"/>
      <c r="AF781" s="160"/>
      <c r="AG781" s="160"/>
      <c r="AH781" s="160"/>
      <c r="AI781" s="160"/>
      <c r="AJ781" s="160"/>
      <c r="AP781" s="160"/>
      <c r="AV781" s="160"/>
    </row>
    <row r="782">
      <c r="A782" s="158"/>
      <c r="B782" s="160"/>
      <c r="C782" s="103"/>
      <c r="E782" s="103"/>
      <c r="F782" s="103"/>
      <c r="G782" s="158"/>
      <c r="H782" s="158"/>
      <c r="I782" s="158"/>
      <c r="J782" s="158"/>
      <c r="K782" s="160"/>
      <c r="L782" s="103"/>
      <c r="N782" s="103"/>
      <c r="O782" s="103"/>
      <c r="Y782" s="160"/>
      <c r="Z782" s="160"/>
      <c r="AA782" s="160"/>
      <c r="AB782" s="160"/>
      <c r="AC782" s="160"/>
      <c r="AD782" s="160"/>
      <c r="AE782" s="160"/>
      <c r="AF782" s="160"/>
      <c r="AG782" s="160"/>
      <c r="AH782" s="160"/>
      <c r="AI782" s="160"/>
      <c r="AJ782" s="160"/>
      <c r="AP782" s="160"/>
      <c r="AV782" s="160"/>
    </row>
    <row r="783">
      <c r="A783" s="158"/>
      <c r="B783" s="160"/>
      <c r="C783" s="103"/>
      <c r="E783" s="103"/>
      <c r="F783" s="103"/>
      <c r="G783" s="158"/>
      <c r="H783" s="158"/>
      <c r="I783" s="158"/>
      <c r="J783" s="158"/>
      <c r="K783" s="160"/>
      <c r="L783" s="103"/>
      <c r="N783" s="103"/>
      <c r="O783" s="103"/>
      <c r="Y783" s="160"/>
      <c r="Z783" s="160"/>
      <c r="AA783" s="160"/>
      <c r="AB783" s="160"/>
      <c r="AC783" s="160"/>
      <c r="AD783" s="160"/>
      <c r="AE783" s="160"/>
      <c r="AF783" s="160"/>
      <c r="AG783" s="160"/>
      <c r="AH783" s="160"/>
      <c r="AI783" s="160"/>
      <c r="AJ783" s="160"/>
      <c r="AP783" s="160"/>
      <c r="AV783" s="160"/>
    </row>
    <row r="784">
      <c r="A784" s="158"/>
      <c r="B784" s="160"/>
      <c r="C784" s="103"/>
      <c r="E784" s="103"/>
      <c r="F784" s="103"/>
      <c r="G784" s="158"/>
      <c r="H784" s="158"/>
      <c r="I784" s="158"/>
      <c r="J784" s="158"/>
      <c r="K784" s="160"/>
      <c r="L784" s="103"/>
      <c r="N784" s="103"/>
      <c r="O784" s="103"/>
      <c r="Y784" s="160"/>
      <c r="Z784" s="160"/>
      <c r="AA784" s="160"/>
      <c r="AB784" s="160"/>
      <c r="AC784" s="160"/>
      <c r="AD784" s="160"/>
      <c r="AE784" s="160"/>
      <c r="AF784" s="160"/>
      <c r="AG784" s="160"/>
      <c r="AH784" s="160"/>
      <c r="AI784" s="160"/>
      <c r="AJ784" s="160"/>
      <c r="AP784" s="160"/>
      <c r="AV784" s="160"/>
    </row>
    <row r="785">
      <c r="A785" s="158"/>
      <c r="B785" s="160"/>
      <c r="C785" s="103"/>
      <c r="E785" s="103"/>
      <c r="F785" s="103"/>
      <c r="G785" s="158"/>
      <c r="H785" s="158"/>
      <c r="I785" s="158"/>
      <c r="J785" s="158"/>
      <c r="K785" s="160"/>
      <c r="L785" s="103"/>
      <c r="N785" s="103"/>
      <c r="O785" s="103"/>
      <c r="Y785" s="160"/>
      <c r="Z785" s="160"/>
      <c r="AA785" s="160"/>
      <c r="AB785" s="160"/>
      <c r="AC785" s="160"/>
      <c r="AD785" s="160"/>
      <c r="AE785" s="160"/>
      <c r="AF785" s="160"/>
      <c r="AG785" s="160"/>
      <c r="AH785" s="160"/>
      <c r="AI785" s="160"/>
      <c r="AJ785" s="160"/>
      <c r="AP785" s="160"/>
      <c r="AV785" s="160"/>
    </row>
    <row r="786">
      <c r="A786" s="158"/>
      <c r="B786" s="160"/>
      <c r="C786" s="103"/>
      <c r="E786" s="103"/>
      <c r="F786" s="103"/>
      <c r="G786" s="158"/>
      <c r="H786" s="158"/>
      <c r="I786" s="158"/>
      <c r="J786" s="158"/>
      <c r="K786" s="160"/>
      <c r="L786" s="103"/>
      <c r="N786" s="103"/>
      <c r="O786" s="103"/>
      <c r="Y786" s="160"/>
      <c r="Z786" s="160"/>
      <c r="AA786" s="160"/>
      <c r="AB786" s="160"/>
      <c r="AC786" s="160"/>
      <c r="AD786" s="160"/>
      <c r="AE786" s="160"/>
      <c r="AF786" s="160"/>
      <c r="AG786" s="160"/>
      <c r="AH786" s="160"/>
      <c r="AI786" s="160"/>
      <c r="AJ786" s="160"/>
      <c r="AP786" s="160"/>
      <c r="AV786" s="160"/>
    </row>
    <row r="787">
      <c r="A787" s="158"/>
      <c r="B787" s="160"/>
      <c r="C787" s="103"/>
      <c r="E787" s="103"/>
      <c r="F787" s="103"/>
      <c r="G787" s="158"/>
      <c r="H787" s="158"/>
      <c r="I787" s="158"/>
      <c r="J787" s="158"/>
      <c r="K787" s="160"/>
      <c r="L787" s="103"/>
      <c r="N787" s="103"/>
      <c r="O787" s="103"/>
      <c r="Y787" s="160"/>
      <c r="Z787" s="160"/>
      <c r="AA787" s="160"/>
      <c r="AB787" s="160"/>
      <c r="AC787" s="160"/>
      <c r="AD787" s="160"/>
      <c r="AE787" s="160"/>
      <c r="AF787" s="160"/>
      <c r="AG787" s="160"/>
      <c r="AH787" s="160"/>
      <c r="AI787" s="160"/>
      <c r="AJ787" s="160"/>
      <c r="AP787" s="160"/>
      <c r="AV787" s="160"/>
    </row>
    <row r="788">
      <c r="A788" s="158"/>
      <c r="B788" s="160"/>
      <c r="C788" s="103"/>
      <c r="E788" s="103"/>
      <c r="F788" s="103"/>
      <c r="G788" s="158"/>
      <c r="H788" s="158"/>
      <c r="I788" s="158"/>
      <c r="J788" s="158"/>
      <c r="K788" s="160"/>
      <c r="L788" s="103"/>
      <c r="N788" s="103"/>
      <c r="O788" s="103"/>
      <c r="Y788" s="160"/>
      <c r="Z788" s="160"/>
      <c r="AA788" s="160"/>
      <c r="AB788" s="160"/>
      <c r="AC788" s="160"/>
      <c r="AD788" s="160"/>
      <c r="AE788" s="160"/>
      <c r="AF788" s="160"/>
      <c r="AG788" s="160"/>
      <c r="AH788" s="160"/>
      <c r="AI788" s="160"/>
      <c r="AJ788" s="160"/>
      <c r="AP788" s="160"/>
      <c r="AV788" s="160"/>
    </row>
    <row r="789">
      <c r="A789" s="158"/>
      <c r="B789" s="160"/>
      <c r="C789" s="103"/>
      <c r="E789" s="103"/>
      <c r="F789" s="103"/>
      <c r="G789" s="158"/>
      <c r="H789" s="158"/>
      <c r="I789" s="158"/>
      <c r="J789" s="158"/>
      <c r="K789" s="160"/>
      <c r="L789" s="103"/>
      <c r="N789" s="103"/>
      <c r="O789" s="103"/>
      <c r="Y789" s="160"/>
      <c r="Z789" s="160"/>
      <c r="AA789" s="160"/>
      <c r="AB789" s="160"/>
      <c r="AC789" s="160"/>
      <c r="AD789" s="160"/>
      <c r="AE789" s="160"/>
      <c r="AF789" s="160"/>
      <c r="AG789" s="160"/>
      <c r="AH789" s="160"/>
      <c r="AI789" s="160"/>
      <c r="AJ789" s="160"/>
      <c r="AP789" s="160"/>
      <c r="AV789" s="160"/>
    </row>
    <row r="790">
      <c r="A790" s="158"/>
      <c r="B790" s="160"/>
      <c r="C790" s="103"/>
      <c r="E790" s="103"/>
      <c r="F790" s="103"/>
      <c r="G790" s="158"/>
      <c r="H790" s="158"/>
      <c r="I790" s="158"/>
      <c r="J790" s="158"/>
      <c r="K790" s="160"/>
      <c r="L790" s="103"/>
      <c r="N790" s="103"/>
      <c r="O790" s="103"/>
      <c r="Y790" s="160"/>
      <c r="Z790" s="160"/>
      <c r="AA790" s="160"/>
      <c r="AB790" s="160"/>
      <c r="AC790" s="160"/>
      <c r="AD790" s="160"/>
      <c r="AE790" s="160"/>
      <c r="AF790" s="160"/>
      <c r="AG790" s="160"/>
      <c r="AH790" s="160"/>
      <c r="AI790" s="160"/>
      <c r="AJ790" s="160"/>
      <c r="AP790" s="160"/>
      <c r="AV790" s="160"/>
    </row>
    <row r="791">
      <c r="A791" s="158"/>
      <c r="B791" s="160"/>
      <c r="C791" s="103"/>
      <c r="E791" s="103"/>
      <c r="F791" s="103"/>
      <c r="G791" s="158"/>
      <c r="H791" s="158"/>
      <c r="I791" s="158"/>
      <c r="J791" s="158"/>
      <c r="K791" s="160"/>
      <c r="L791" s="103"/>
      <c r="N791" s="103"/>
      <c r="O791" s="103"/>
      <c r="Y791" s="160"/>
      <c r="Z791" s="160"/>
      <c r="AA791" s="160"/>
      <c r="AB791" s="160"/>
      <c r="AC791" s="160"/>
      <c r="AD791" s="160"/>
      <c r="AE791" s="160"/>
      <c r="AF791" s="160"/>
      <c r="AG791" s="160"/>
      <c r="AH791" s="160"/>
      <c r="AI791" s="160"/>
      <c r="AJ791" s="160"/>
      <c r="AP791" s="160"/>
      <c r="AV791" s="160"/>
    </row>
    <row r="792">
      <c r="A792" s="158"/>
      <c r="B792" s="160"/>
      <c r="C792" s="103"/>
      <c r="E792" s="103"/>
      <c r="F792" s="103"/>
      <c r="G792" s="158"/>
      <c r="H792" s="158"/>
      <c r="I792" s="158"/>
      <c r="J792" s="158"/>
      <c r="K792" s="160"/>
      <c r="L792" s="103"/>
      <c r="N792" s="103"/>
      <c r="O792" s="103"/>
      <c r="Y792" s="160"/>
      <c r="Z792" s="160"/>
      <c r="AA792" s="160"/>
      <c r="AB792" s="160"/>
      <c r="AC792" s="160"/>
      <c r="AD792" s="160"/>
      <c r="AE792" s="160"/>
      <c r="AF792" s="160"/>
      <c r="AG792" s="160"/>
      <c r="AH792" s="160"/>
      <c r="AI792" s="160"/>
      <c r="AJ792" s="160"/>
      <c r="AP792" s="160"/>
      <c r="AV792" s="160"/>
    </row>
    <row r="793">
      <c r="A793" s="158"/>
      <c r="B793" s="160"/>
      <c r="C793" s="103"/>
      <c r="E793" s="103"/>
      <c r="F793" s="103"/>
      <c r="G793" s="158"/>
      <c r="H793" s="158"/>
      <c r="I793" s="158"/>
      <c r="J793" s="158"/>
      <c r="K793" s="160"/>
      <c r="L793" s="103"/>
      <c r="N793" s="103"/>
      <c r="O793" s="103"/>
      <c r="Y793" s="160"/>
      <c r="Z793" s="160"/>
      <c r="AA793" s="160"/>
      <c r="AB793" s="160"/>
      <c r="AC793" s="160"/>
      <c r="AD793" s="160"/>
      <c r="AE793" s="160"/>
      <c r="AF793" s="160"/>
      <c r="AG793" s="160"/>
      <c r="AH793" s="160"/>
      <c r="AI793" s="160"/>
      <c r="AJ793" s="160"/>
      <c r="AP793" s="160"/>
      <c r="AV793" s="160"/>
    </row>
    <row r="794">
      <c r="A794" s="158"/>
      <c r="B794" s="160"/>
      <c r="C794" s="103"/>
      <c r="E794" s="103"/>
      <c r="F794" s="103"/>
      <c r="G794" s="158"/>
      <c r="H794" s="158"/>
      <c r="I794" s="158"/>
      <c r="J794" s="158"/>
      <c r="K794" s="160"/>
      <c r="L794" s="103"/>
      <c r="N794" s="103"/>
      <c r="O794" s="103"/>
      <c r="Y794" s="160"/>
      <c r="Z794" s="160"/>
      <c r="AA794" s="160"/>
      <c r="AB794" s="160"/>
      <c r="AC794" s="160"/>
      <c r="AD794" s="160"/>
      <c r="AE794" s="160"/>
      <c r="AF794" s="160"/>
      <c r="AG794" s="160"/>
      <c r="AH794" s="160"/>
      <c r="AI794" s="160"/>
      <c r="AJ794" s="160"/>
      <c r="AP794" s="160"/>
      <c r="AV794" s="160"/>
    </row>
    <row r="795">
      <c r="A795" s="158"/>
      <c r="B795" s="160"/>
      <c r="C795" s="103"/>
      <c r="E795" s="103"/>
      <c r="F795" s="103"/>
      <c r="G795" s="158"/>
      <c r="H795" s="158"/>
      <c r="I795" s="158"/>
      <c r="J795" s="158"/>
      <c r="K795" s="160"/>
      <c r="L795" s="103"/>
      <c r="N795" s="103"/>
      <c r="O795" s="103"/>
      <c r="Y795" s="160"/>
      <c r="Z795" s="160"/>
      <c r="AA795" s="160"/>
      <c r="AB795" s="160"/>
      <c r="AC795" s="160"/>
      <c r="AD795" s="160"/>
      <c r="AE795" s="160"/>
      <c r="AF795" s="160"/>
      <c r="AG795" s="160"/>
      <c r="AH795" s="160"/>
      <c r="AI795" s="160"/>
      <c r="AJ795" s="160"/>
      <c r="AP795" s="160"/>
      <c r="AV795" s="160"/>
    </row>
    <row r="796">
      <c r="A796" s="158"/>
      <c r="B796" s="160"/>
      <c r="C796" s="103"/>
      <c r="E796" s="103"/>
      <c r="F796" s="103"/>
      <c r="G796" s="158"/>
      <c r="H796" s="158"/>
      <c r="I796" s="158"/>
      <c r="J796" s="158"/>
      <c r="K796" s="160"/>
      <c r="L796" s="103"/>
      <c r="N796" s="103"/>
      <c r="O796" s="103"/>
      <c r="Y796" s="160"/>
      <c r="Z796" s="160"/>
      <c r="AA796" s="160"/>
      <c r="AB796" s="160"/>
      <c r="AC796" s="160"/>
      <c r="AD796" s="160"/>
      <c r="AE796" s="160"/>
      <c r="AF796" s="160"/>
      <c r="AG796" s="160"/>
      <c r="AH796" s="160"/>
      <c r="AI796" s="160"/>
      <c r="AJ796" s="160"/>
      <c r="AP796" s="160"/>
      <c r="AV796" s="160"/>
    </row>
    <row r="797">
      <c r="A797" s="158"/>
      <c r="B797" s="160"/>
      <c r="C797" s="103"/>
      <c r="E797" s="103"/>
      <c r="F797" s="103"/>
      <c r="G797" s="158"/>
      <c r="H797" s="158"/>
      <c r="I797" s="158"/>
      <c r="J797" s="158"/>
      <c r="K797" s="160"/>
      <c r="L797" s="103"/>
      <c r="N797" s="103"/>
      <c r="O797" s="103"/>
      <c r="Y797" s="160"/>
      <c r="Z797" s="160"/>
      <c r="AA797" s="160"/>
      <c r="AB797" s="160"/>
      <c r="AC797" s="160"/>
      <c r="AD797" s="160"/>
      <c r="AE797" s="160"/>
      <c r="AF797" s="160"/>
      <c r="AG797" s="160"/>
      <c r="AH797" s="160"/>
      <c r="AI797" s="160"/>
      <c r="AJ797" s="160"/>
      <c r="AP797" s="160"/>
      <c r="AV797" s="160"/>
    </row>
    <row r="798">
      <c r="A798" s="158"/>
      <c r="B798" s="160"/>
      <c r="C798" s="103"/>
      <c r="E798" s="103"/>
      <c r="F798" s="103"/>
      <c r="G798" s="158"/>
      <c r="H798" s="158"/>
      <c r="I798" s="158"/>
      <c r="J798" s="158"/>
      <c r="K798" s="160"/>
      <c r="L798" s="103"/>
      <c r="N798" s="103"/>
      <c r="O798" s="103"/>
      <c r="Y798" s="160"/>
      <c r="Z798" s="160"/>
      <c r="AA798" s="160"/>
      <c r="AB798" s="160"/>
      <c r="AC798" s="160"/>
      <c r="AD798" s="160"/>
      <c r="AE798" s="160"/>
      <c r="AF798" s="160"/>
      <c r="AG798" s="160"/>
      <c r="AH798" s="160"/>
      <c r="AI798" s="160"/>
      <c r="AJ798" s="160"/>
      <c r="AP798" s="160"/>
      <c r="AV798" s="160"/>
    </row>
    <row r="799">
      <c r="A799" s="158"/>
      <c r="B799" s="160"/>
      <c r="C799" s="103"/>
      <c r="E799" s="103"/>
      <c r="F799" s="103"/>
      <c r="G799" s="158"/>
      <c r="H799" s="158"/>
      <c r="I799" s="158"/>
      <c r="J799" s="158"/>
      <c r="K799" s="160"/>
      <c r="L799" s="103"/>
      <c r="N799" s="103"/>
      <c r="O799" s="103"/>
      <c r="Y799" s="160"/>
      <c r="Z799" s="160"/>
      <c r="AA799" s="160"/>
      <c r="AB799" s="160"/>
      <c r="AC799" s="160"/>
      <c r="AD799" s="160"/>
      <c r="AE799" s="160"/>
      <c r="AF799" s="160"/>
      <c r="AG799" s="160"/>
      <c r="AH799" s="160"/>
      <c r="AI799" s="160"/>
      <c r="AJ799" s="160"/>
      <c r="AP799" s="160"/>
      <c r="AV799" s="160"/>
    </row>
    <row r="800">
      <c r="A800" s="158"/>
      <c r="B800" s="160"/>
      <c r="C800" s="103"/>
      <c r="E800" s="103"/>
      <c r="F800" s="103"/>
      <c r="G800" s="158"/>
      <c r="H800" s="158"/>
      <c r="I800" s="158"/>
      <c r="J800" s="158"/>
      <c r="K800" s="160"/>
      <c r="L800" s="103"/>
      <c r="N800" s="103"/>
      <c r="O800" s="103"/>
      <c r="Y800" s="160"/>
      <c r="Z800" s="160"/>
      <c r="AA800" s="160"/>
      <c r="AB800" s="160"/>
      <c r="AC800" s="160"/>
      <c r="AD800" s="160"/>
      <c r="AE800" s="160"/>
      <c r="AF800" s="160"/>
      <c r="AG800" s="160"/>
      <c r="AH800" s="160"/>
      <c r="AI800" s="160"/>
      <c r="AJ800" s="160"/>
      <c r="AP800" s="160"/>
      <c r="AV800" s="160"/>
    </row>
    <row r="801">
      <c r="A801" s="158"/>
      <c r="B801" s="160"/>
      <c r="C801" s="103"/>
      <c r="E801" s="103"/>
      <c r="F801" s="103"/>
      <c r="G801" s="158"/>
      <c r="H801" s="158"/>
      <c r="I801" s="158"/>
      <c r="J801" s="158"/>
      <c r="K801" s="160"/>
      <c r="L801" s="103"/>
      <c r="N801" s="103"/>
      <c r="O801" s="103"/>
      <c r="Y801" s="160"/>
      <c r="Z801" s="160"/>
      <c r="AA801" s="160"/>
      <c r="AB801" s="160"/>
      <c r="AC801" s="160"/>
      <c r="AD801" s="160"/>
      <c r="AE801" s="160"/>
      <c r="AF801" s="160"/>
      <c r="AG801" s="160"/>
      <c r="AH801" s="160"/>
      <c r="AI801" s="160"/>
      <c r="AJ801" s="160"/>
      <c r="AP801" s="160"/>
      <c r="AV801" s="160"/>
    </row>
    <row r="802">
      <c r="A802" s="158"/>
      <c r="B802" s="160"/>
      <c r="C802" s="103"/>
      <c r="E802" s="103"/>
      <c r="F802" s="103"/>
      <c r="G802" s="158"/>
      <c r="H802" s="158"/>
      <c r="I802" s="158"/>
      <c r="J802" s="158"/>
      <c r="K802" s="160"/>
      <c r="L802" s="103"/>
      <c r="N802" s="103"/>
      <c r="O802" s="103"/>
      <c r="Y802" s="160"/>
      <c r="Z802" s="160"/>
      <c r="AA802" s="160"/>
      <c r="AB802" s="160"/>
      <c r="AC802" s="160"/>
      <c r="AD802" s="160"/>
      <c r="AE802" s="160"/>
      <c r="AF802" s="160"/>
      <c r="AG802" s="160"/>
      <c r="AH802" s="160"/>
      <c r="AI802" s="160"/>
      <c r="AJ802" s="160"/>
      <c r="AP802" s="160"/>
      <c r="AV802" s="160"/>
    </row>
    <row r="803">
      <c r="A803" s="158"/>
      <c r="B803" s="160"/>
      <c r="C803" s="103"/>
      <c r="E803" s="103"/>
      <c r="F803" s="103"/>
      <c r="G803" s="158"/>
      <c r="H803" s="158"/>
      <c r="I803" s="158"/>
      <c r="J803" s="158"/>
      <c r="K803" s="160"/>
      <c r="L803" s="103"/>
      <c r="N803" s="103"/>
      <c r="O803" s="103"/>
      <c r="Y803" s="160"/>
      <c r="Z803" s="160"/>
      <c r="AA803" s="160"/>
      <c r="AB803" s="160"/>
      <c r="AC803" s="160"/>
      <c r="AD803" s="160"/>
      <c r="AE803" s="160"/>
      <c r="AF803" s="160"/>
      <c r="AG803" s="160"/>
      <c r="AH803" s="160"/>
      <c r="AI803" s="160"/>
      <c r="AJ803" s="160"/>
      <c r="AP803" s="160"/>
      <c r="AV803" s="160"/>
    </row>
    <row r="804">
      <c r="A804" s="158"/>
      <c r="B804" s="160"/>
      <c r="C804" s="103"/>
      <c r="E804" s="103"/>
      <c r="F804" s="103"/>
      <c r="G804" s="158"/>
      <c r="H804" s="158"/>
      <c r="I804" s="158"/>
      <c r="J804" s="158"/>
      <c r="K804" s="160"/>
      <c r="L804" s="103"/>
      <c r="N804" s="103"/>
      <c r="O804" s="103"/>
      <c r="Y804" s="160"/>
      <c r="Z804" s="160"/>
      <c r="AA804" s="160"/>
      <c r="AB804" s="160"/>
      <c r="AC804" s="160"/>
      <c r="AD804" s="160"/>
      <c r="AE804" s="160"/>
      <c r="AF804" s="160"/>
      <c r="AG804" s="160"/>
      <c r="AH804" s="160"/>
      <c r="AI804" s="160"/>
      <c r="AJ804" s="160"/>
      <c r="AP804" s="160"/>
      <c r="AV804" s="160"/>
    </row>
    <row r="805">
      <c r="A805" s="158"/>
      <c r="B805" s="160"/>
      <c r="C805" s="103"/>
      <c r="E805" s="103"/>
      <c r="F805" s="103"/>
      <c r="G805" s="158"/>
      <c r="H805" s="158"/>
      <c r="I805" s="158"/>
      <c r="J805" s="158"/>
      <c r="K805" s="160"/>
      <c r="L805" s="103"/>
      <c r="N805" s="103"/>
      <c r="O805" s="103"/>
      <c r="Y805" s="160"/>
      <c r="Z805" s="160"/>
      <c r="AA805" s="160"/>
      <c r="AB805" s="160"/>
      <c r="AC805" s="160"/>
      <c r="AD805" s="160"/>
      <c r="AE805" s="160"/>
      <c r="AF805" s="160"/>
      <c r="AG805" s="160"/>
      <c r="AH805" s="160"/>
      <c r="AI805" s="160"/>
      <c r="AJ805" s="160"/>
      <c r="AP805" s="160"/>
      <c r="AV805" s="160"/>
    </row>
    <row r="806">
      <c r="A806" s="158"/>
      <c r="B806" s="160"/>
      <c r="C806" s="103"/>
      <c r="E806" s="103"/>
      <c r="F806" s="103"/>
      <c r="G806" s="158"/>
      <c r="H806" s="158"/>
      <c r="I806" s="158"/>
      <c r="J806" s="158"/>
      <c r="K806" s="160"/>
      <c r="L806" s="103"/>
      <c r="N806" s="103"/>
      <c r="O806" s="103"/>
      <c r="Y806" s="160"/>
      <c r="Z806" s="160"/>
      <c r="AA806" s="160"/>
      <c r="AB806" s="160"/>
      <c r="AC806" s="160"/>
      <c r="AD806" s="160"/>
      <c r="AE806" s="160"/>
      <c r="AF806" s="160"/>
      <c r="AG806" s="160"/>
      <c r="AH806" s="160"/>
      <c r="AI806" s="160"/>
      <c r="AJ806" s="160"/>
      <c r="AP806" s="160"/>
      <c r="AV806" s="160"/>
    </row>
    <row r="807">
      <c r="A807" s="158"/>
      <c r="B807" s="160"/>
      <c r="C807" s="103"/>
      <c r="E807" s="103"/>
      <c r="F807" s="103"/>
      <c r="G807" s="158"/>
      <c r="H807" s="158"/>
      <c r="I807" s="158"/>
      <c r="J807" s="158"/>
      <c r="K807" s="160"/>
      <c r="L807" s="103"/>
      <c r="N807" s="103"/>
      <c r="O807" s="103"/>
      <c r="Y807" s="160"/>
      <c r="Z807" s="160"/>
      <c r="AA807" s="160"/>
      <c r="AB807" s="160"/>
      <c r="AC807" s="160"/>
      <c r="AD807" s="160"/>
      <c r="AE807" s="160"/>
      <c r="AF807" s="160"/>
      <c r="AG807" s="160"/>
      <c r="AH807" s="160"/>
      <c r="AI807" s="160"/>
      <c r="AJ807" s="160"/>
      <c r="AP807" s="160"/>
      <c r="AV807" s="160"/>
    </row>
    <row r="808">
      <c r="A808" s="158"/>
      <c r="B808" s="160"/>
      <c r="C808" s="103"/>
      <c r="E808" s="103"/>
      <c r="F808" s="103"/>
      <c r="G808" s="158"/>
      <c r="H808" s="158"/>
      <c r="I808" s="158"/>
      <c r="J808" s="158"/>
      <c r="K808" s="160"/>
      <c r="L808" s="103"/>
      <c r="N808" s="103"/>
      <c r="O808" s="103"/>
      <c r="Y808" s="160"/>
      <c r="Z808" s="160"/>
      <c r="AA808" s="160"/>
      <c r="AB808" s="160"/>
      <c r="AC808" s="160"/>
      <c r="AD808" s="160"/>
      <c r="AE808" s="160"/>
      <c r="AF808" s="160"/>
      <c r="AG808" s="160"/>
      <c r="AH808" s="160"/>
      <c r="AI808" s="160"/>
      <c r="AJ808" s="160"/>
      <c r="AP808" s="160"/>
      <c r="AV808" s="160"/>
    </row>
    <row r="809">
      <c r="A809" s="158"/>
      <c r="B809" s="160"/>
      <c r="C809" s="103"/>
      <c r="E809" s="103"/>
      <c r="F809" s="103"/>
      <c r="G809" s="158"/>
      <c r="H809" s="158"/>
      <c r="I809" s="158"/>
      <c r="J809" s="158"/>
      <c r="K809" s="160"/>
      <c r="L809" s="103"/>
      <c r="N809" s="103"/>
      <c r="O809" s="103"/>
      <c r="Y809" s="160"/>
      <c r="Z809" s="160"/>
      <c r="AA809" s="160"/>
      <c r="AB809" s="160"/>
      <c r="AC809" s="160"/>
      <c r="AD809" s="160"/>
      <c r="AE809" s="160"/>
      <c r="AF809" s="160"/>
      <c r="AG809" s="160"/>
      <c r="AH809" s="160"/>
      <c r="AI809" s="160"/>
      <c r="AJ809" s="160"/>
      <c r="AP809" s="160"/>
      <c r="AV809" s="160"/>
    </row>
    <row r="810">
      <c r="A810" s="158"/>
      <c r="B810" s="160"/>
      <c r="C810" s="103"/>
      <c r="E810" s="103"/>
      <c r="F810" s="103"/>
      <c r="G810" s="158"/>
      <c r="H810" s="158"/>
      <c r="I810" s="158"/>
      <c r="J810" s="158"/>
      <c r="K810" s="160"/>
      <c r="L810" s="103"/>
      <c r="N810" s="103"/>
      <c r="O810" s="103"/>
      <c r="Y810" s="160"/>
      <c r="Z810" s="160"/>
      <c r="AA810" s="160"/>
      <c r="AB810" s="160"/>
      <c r="AC810" s="160"/>
      <c r="AD810" s="160"/>
      <c r="AE810" s="160"/>
      <c r="AF810" s="160"/>
      <c r="AG810" s="160"/>
      <c r="AH810" s="160"/>
      <c r="AI810" s="160"/>
      <c r="AJ810" s="160"/>
      <c r="AP810" s="160"/>
      <c r="AV810" s="160"/>
    </row>
    <row r="811">
      <c r="A811" s="158"/>
      <c r="B811" s="160"/>
      <c r="C811" s="103"/>
      <c r="E811" s="103"/>
      <c r="F811" s="103"/>
      <c r="G811" s="158"/>
      <c r="H811" s="158"/>
      <c r="I811" s="158"/>
      <c r="J811" s="158"/>
      <c r="K811" s="160"/>
      <c r="L811" s="103"/>
      <c r="N811" s="103"/>
      <c r="O811" s="103"/>
      <c r="Y811" s="160"/>
      <c r="Z811" s="160"/>
      <c r="AA811" s="160"/>
      <c r="AB811" s="160"/>
      <c r="AC811" s="160"/>
      <c r="AD811" s="160"/>
      <c r="AE811" s="160"/>
      <c r="AF811" s="160"/>
      <c r="AG811" s="160"/>
      <c r="AH811" s="160"/>
      <c r="AI811" s="160"/>
      <c r="AJ811" s="160"/>
      <c r="AP811" s="160"/>
      <c r="AV811" s="160"/>
    </row>
    <row r="812">
      <c r="A812" s="158"/>
      <c r="B812" s="160"/>
      <c r="C812" s="103"/>
      <c r="E812" s="103"/>
      <c r="F812" s="103"/>
      <c r="G812" s="158"/>
      <c r="H812" s="158"/>
      <c r="I812" s="158"/>
      <c r="J812" s="158"/>
      <c r="K812" s="160"/>
      <c r="L812" s="103"/>
      <c r="N812" s="103"/>
      <c r="O812" s="103"/>
      <c r="Y812" s="160"/>
      <c r="Z812" s="160"/>
      <c r="AA812" s="160"/>
      <c r="AB812" s="160"/>
      <c r="AC812" s="160"/>
      <c r="AD812" s="160"/>
      <c r="AE812" s="160"/>
      <c r="AF812" s="160"/>
      <c r="AG812" s="160"/>
      <c r="AH812" s="160"/>
      <c r="AI812" s="160"/>
      <c r="AJ812" s="160"/>
      <c r="AP812" s="160"/>
      <c r="AV812" s="160"/>
    </row>
    <row r="813">
      <c r="A813" s="158"/>
      <c r="B813" s="160"/>
      <c r="C813" s="103"/>
      <c r="E813" s="103"/>
      <c r="F813" s="103"/>
      <c r="G813" s="158"/>
      <c r="H813" s="158"/>
      <c r="I813" s="158"/>
      <c r="J813" s="158"/>
      <c r="K813" s="160"/>
      <c r="L813" s="103"/>
      <c r="N813" s="103"/>
      <c r="O813" s="103"/>
      <c r="Y813" s="160"/>
      <c r="Z813" s="160"/>
      <c r="AA813" s="160"/>
      <c r="AB813" s="160"/>
      <c r="AC813" s="160"/>
      <c r="AD813" s="160"/>
      <c r="AE813" s="160"/>
      <c r="AF813" s="160"/>
      <c r="AG813" s="160"/>
      <c r="AH813" s="160"/>
      <c r="AI813" s="160"/>
      <c r="AJ813" s="160"/>
      <c r="AP813" s="160"/>
      <c r="AV813" s="160"/>
    </row>
    <row r="814">
      <c r="A814" s="158"/>
      <c r="B814" s="160"/>
      <c r="C814" s="103"/>
      <c r="E814" s="103"/>
      <c r="F814" s="103"/>
      <c r="G814" s="158"/>
      <c r="H814" s="158"/>
      <c r="I814" s="158"/>
      <c r="J814" s="158"/>
      <c r="K814" s="160"/>
      <c r="L814" s="103"/>
      <c r="N814" s="103"/>
      <c r="O814" s="103"/>
      <c r="Y814" s="160"/>
      <c r="Z814" s="160"/>
      <c r="AA814" s="160"/>
      <c r="AB814" s="160"/>
      <c r="AC814" s="160"/>
      <c r="AD814" s="160"/>
      <c r="AE814" s="160"/>
      <c r="AF814" s="160"/>
      <c r="AG814" s="160"/>
      <c r="AH814" s="160"/>
      <c r="AI814" s="160"/>
      <c r="AJ814" s="160"/>
      <c r="AP814" s="160"/>
      <c r="AV814" s="160"/>
    </row>
    <row r="815">
      <c r="A815" s="158"/>
      <c r="B815" s="160"/>
      <c r="C815" s="103"/>
      <c r="E815" s="103"/>
      <c r="F815" s="103"/>
      <c r="G815" s="158"/>
      <c r="H815" s="158"/>
      <c r="I815" s="158"/>
      <c r="J815" s="158"/>
      <c r="K815" s="160"/>
      <c r="L815" s="103"/>
      <c r="N815" s="103"/>
      <c r="O815" s="103"/>
      <c r="Y815" s="160"/>
      <c r="Z815" s="160"/>
      <c r="AA815" s="160"/>
      <c r="AB815" s="160"/>
      <c r="AC815" s="160"/>
      <c r="AD815" s="160"/>
      <c r="AE815" s="160"/>
      <c r="AF815" s="160"/>
      <c r="AG815" s="160"/>
      <c r="AH815" s="160"/>
      <c r="AI815" s="160"/>
      <c r="AJ815" s="160"/>
      <c r="AP815" s="160"/>
      <c r="AV815" s="160"/>
    </row>
    <row r="816">
      <c r="A816" s="158"/>
      <c r="B816" s="160"/>
      <c r="C816" s="103"/>
      <c r="E816" s="103"/>
      <c r="F816" s="103"/>
      <c r="G816" s="158"/>
      <c r="H816" s="158"/>
      <c r="I816" s="158"/>
      <c r="J816" s="158"/>
      <c r="K816" s="160"/>
      <c r="L816" s="103"/>
      <c r="N816" s="103"/>
      <c r="O816" s="103"/>
      <c r="Y816" s="160"/>
      <c r="Z816" s="160"/>
      <c r="AA816" s="160"/>
      <c r="AB816" s="160"/>
      <c r="AC816" s="160"/>
      <c r="AD816" s="160"/>
      <c r="AE816" s="160"/>
      <c r="AF816" s="160"/>
      <c r="AG816" s="160"/>
      <c r="AH816" s="160"/>
      <c r="AI816" s="160"/>
      <c r="AJ816" s="160"/>
      <c r="AP816" s="160"/>
      <c r="AV816" s="160"/>
    </row>
    <row r="817">
      <c r="A817" s="158"/>
      <c r="B817" s="160"/>
      <c r="C817" s="103"/>
      <c r="E817" s="103"/>
      <c r="F817" s="103"/>
      <c r="G817" s="158"/>
      <c r="H817" s="158"/>
      <c r="I817" s="158"/>
      <c r="J817" s="158"/>
      <c r="K817" s="160"/>
      <c r="L817" s="103"/>
      <c r="N817" s="103"/>
      <c r="O817" s="103"/>
      <c r="Y817" s="160"/>
      <c r="Z817" s="160"/>
      <c r="AA817" s="160"/>
      <c r="AB817" s="160"/>
      <c r="AC817" s="160"/>
      <c r="AD817" s="160"/>
      <c r="AE817" s="160"/>
      <c r="AF817" s="160"/>
      <c r="AG817" s="160"/>
      <c r="AH817" s="160"/>
      <c r="AI817" s="160"/>
      <c r="AJ817" s="160"/>
      <c r="AP817" s="160"/>
      <c r="AV817" s="160"/>
    </row>
    <row r="818">
      <c r="A818" s="158"/>
      <c r="B818" s="160"/>
      <c r="C818" s="103"/>
      <c r="E818" s="103"/>
      <c r="F818" s="103"/>
      <c r="G818" s="158"/>
      <c r="H818" s="158"/>
      <c r="I818" s="158"/>
      <c r="J818" s="158"/>
      <c r="K818" s="160"/>
      <c r="L818" s="103"/>
      <c r="N818" s="103"/>
      <c r="O818" s="103"/>
      <c r="Y818" s="160"/>
      <c r="Z818" s="160"/>
      <c r="AA818" s="160"/>
      <c r="AB818" s="160"/>
      <c r="AC818" s="160"/>
      <c r="AD818" s="160"/>
      <c r="AE818" s="160"/>
      <c r="AF818" s="160"/>
      <c r="AG818" s="160"/>
      <c r="AH818" s="160"/>
      <c r="AI818" s="160"/>
      <c r="AJ818" s="160"/>
      <c r="AP818" s="160"/>
      <c r="AV818" s="160"/>
    </row>
    <row r="819">
      <c r="A819" s="158"/>
      <c r="B819" s="160"/>
      <c r="C819" s="103"/>
      <c r="E819" s="103"/>
      <c r="F819" s="103"/>
      <c r="G819" s="158"/>
      <c r="H819" s="158"/>
      <c r="I819" s="158"/>
      <c r="J819" s="158"/>
      <c r="K819" s="160"/>
      <c r="L819" s="103"/>
      <c r="N819" s="103"/>
      <c r="O819" s="103"/>
      <c r="Y819" s="160"/>
      <c r="Z819" s="160"/>
      <c r="AA819" s="160"/>
      <c r="AB819" s="160"/>
      <c r="AC819" s="160"/>
      <c r="AD819" s="160"/>
      <c r="AE819" s="160"/>
      <c r="AF819" s="160"/>
      <c r="AG819" s="160"/>
      <c r="AH819" s="160"/>
      <c r="AI819" s="160"/>
      <c r="AJ819" s="160"/>
      <c r="AP819" s="160"/>
      <c r="AV819" s="160"/>
    </row>
    <row r="820">
      <c r="A820" s="158"/>
      <c r="B820" s="160"/>
      <c r="C820" s="103"/>
      <c r="E820" s="103"/>
      <c r="F820" s="103"/>
      <c r="G820" s="158"/>
      <c r="H820" s="158"/>
      <c r="I820" s="158"/>
      <c r="J820" s="158"/>
      <c r="K820" s="160"/>
      <c r="L820" s="103"/>
      <c r="N820" s="103"/>
      <c r="O820" s="103"/>
      <c r="Y820" s="160"/>
      <c r="Z820" s="160"/>
      <c r="AA820" s="160"/>
      <c r="AB820" s="160"/>
      <c r="AC820" s="160"/>
      <c r="AD820" s="160"/>
      <c r="AE820" s="160"/>
      <c r="AF820" s="160"/>
      <c r="AG820" s="160"/>
      <c r="AH820" s="160"/>
      <c r="AI820" s="160"/>
      <c r="AJ820" s="160"/>
      <c r="AP820" s="160"/>
      <c r="AV820" s="160"/>
    </row>
    <row r="821">
      <c r="A821" s="158"/>
      <c r="B821" s="160"/>
      <c r="C821" s="103"/>
      <c r="E821" s="103"/>
      <c r="F821" s="103"/>
      <c r="G821" s="158"/>
      <c r="H821" s="158"/>
      <c r="I821" s="158"/>
      <c r="J821" s="158"/>
      <c r="K821" s="160"/>
      <c r="L821" s="103"/>
      <c r="N821" s="103"/>
      <c r="O821" s="103"/>
      <c r="Y821" s="160"/>
      <c r="Z821" s="160"/>
      <c r="AA821" s="160"/>
      <c r="AB821" s="160"/>
      <c r="AC821" s="160"/>
      <c r="AD821" s="160"/>
      <c r="AE821" s="160"/>
      <c r="AF821" s="160"/>
      <c r="AG821" s="160"/>
      <c r="AH821" s="160"/>
      <c r="AI821" s="160"/>
      <c r="AJ821" s="160"/>
      <c r="AP821" s="160"/>
      <c r="AV821" s="160"/>
    </row>
    <row r="822">
      <c r="A822" s="158"/>
      <c r="B822" s="160"/>
      <c r="C822" s="103"/>
      <c r="E822" s="103"/>
      <c r="F822" s="103"/>
      <c r="G822" s="158"/>
      <c r="H822" s="158"/>
      <c r="I822" s="158"/>
      <c r="J822" s="158"/>
      <c r="K822" s="160"/>
      <c r="L822" s="103"/>
      <c r="N822" s="103"/>
      <c r="O822" s="103"/>
      <c r="Y822" s="160"/>
      <c r="Z822" s="160"/>
      <c r="AA822" s="160"/>
      <c r="AB822" s="160"/>
      <c r="AC822" s="160"/>
      <c r="AD822" s="160"/>
      <c r="AE822" s="160"/>
      <c r="AF822" s="160"/>
      <c r="AG822" s="160"/>
      <c r="AH822" s="160"/>
      <c r="AI822" s="160"/>
      <c r="AJ822" s="160"/>
      <c r="AP822" s="160"/>
      <c r="AV822" s="160"/>
    </row>
    <row r="823">
      <c r="A823" s="158"/>
      <c r="B823" s="160"/>
      <c r="C823" s="103"/>
      <c r="E823" s="103"/>
      <c r="F823" s="103"/>
      <c r="G823" s="158"/>
      <c r="H823" s="158"/>
      <c r="I823" s="158"/>
      <c r="J823" s="158"/>
      <c r="K823" s="160"/>
      <c r="L823" s="103"/>
      <c r="N823" s="103"/>
      <c r="O823" s="103"/>
      <c r="Y823" s="160"/>
      <c r="Z823" s="160"/>
      <c r="AA823" s="160"/>
      <c r="AB823" s="160"/>
      <c r="AC823" s="160"/>
      <c r="AD823" s="160"/>
      <c r="AE823" s="160"/>
      <c r="AF823" s="160"/>
      <c r="AG823" s="160"/>
      <c r="AH823" s="160"/>
      <c r="AI823" s="160"/>
      <c r="AJ823" s="160"/>
      <c r="AP823" s="160"/>
      <c r="AV823" s="160"/>
    </row>
    <row r="824">
      <c r="A824" s="158"/>
      <c r="B824" s="160"/>
      <c r="C824" s="103"/>
      <c r="E824" s="103"/>
      <c r="F824" s="103"/>
      <c r="G824" s="158"/>
      <c r="H824" s="158"/>
      <c r="I824" s="158"/>
      <c r="J824" s="158"/>
      <c r="K824" s="160"/>
      <c r="L824" s="103"/>
      <c r="N824" s="103"/>
      <c r="O824" s="103"/>
      <c r="Y824" s="160"/>
      <c r="Z824" s="160"/>
      <c r="AA824" s="160"/>
      <c r="AB824" s="160"/>
      <c r="AC824" s="160"/>
      <c r="AD824" s="160"/>
      <c r="AE824" s="160"/>
      <c r="AF824" s="160"/>
      <c r="AG824" s="160"/>
      <c r="AH824" s="160"/>
      <c r="AI824" s="160"/>
      <c r="AJ824" s="160"/>
      <c r="AP824" s="160"/>
      <c r="AV824" s="160"/>
    </row>
    <row r="825">
      <c r="A825" s="158"/>
      <c r="B825" s="160"/>
      <c r="C825" s="103"/>
      <c r="E825" s="103"/>
      <c r="F825" s="103"/>
      <c r="G825" s="158"/>
      <c r="H825" s="158"/>
      <c r="I825" s="158"/>
      <c r="J825" s="158"/>
      <c r="K825" s="160"/>
      <c r="L825" s="103"/>
      <c r="N825" s="103"/>
      <c r="O825" s="103"/>
      <c r="Y825" s="160"/>
      <c r="Z825" s="160"/>
      <c r="AA825" s="160"/>
      <c r="AB825" s="160"/>
      <c r="AC825" s="160"/>
      <c r="AD825" s="160"/>
      <c r="AE825" s="160"/>
      <c r="AF825" s="160"/>
      <c r="AG825" s="160"/>
      <c r="AH825" s="160"/>
      <c r="AI825" s="160"/>
      <c r="AJ825" s="160"/>
      <c r="AP825" s="160"/>
      <c r="AV825" s="160"/>
    </row>
    <row r="826">
      <c r="A826" s="158"/>
      <c r="B826" s="160"/>
      <c r="C826" s="103"/>
      <c r="E826" s="103"/>
      <c r="F826" s="103"/>
      <c r="G826" s="158"/>
      <c r="H826" s="158"/>
      <c r="I826" s="158"/>
      <c r="J826" s="158"/>
      <c r="K826" s="160"/>
      <c r="L826" s="103"/>
      <c r="N826" s="103"/>
      <c r="O826" s="103"/>
      <c r="Y826" s="160"/>
      <c r="Z826" s="160"/>
      <c r="AA826" s="160"/>
      <c r="AB826" s="160"/>
      <c r="AC826" s="160"/>
      <c r="AD826" s="160"/>
      <c r="AE826" s="160"/>
      <c r="AF826" s="160"/>
      <c r="AG826" s="160"/>
      <c r="AH826" s="160"/>
      <c r="AI826" s="160"/>
      <c r="AJ826" s="160"/>
      <c r="AP826" s="160"/>
      <c r="AV826" s="160"/>
    </row>
    <row r="827">
      <c r="A827" s="158"/>
      <c r="B827" s="160"/>
      <c r="C827" s="103"/>
      <c r="E827" s="103"/>
      <c r="F827" s="103"/>
      <c r="G827" s="158"/>
      <c r="H827" s="158"/>
      <c r="I827" s="158"/>
      <c r="J827" s="158"/>
      <c r="K827" s="160"/>
      <c r="L827" s="103"/>
      <c r="N827" s="103"/>
      <c r="O827" s="103"/>
      <c r="Y827" s="160"/>
      <c r="Z827" s="160"/>
      <c r="AA827" s="160"/>
      <c r="AB827" s="160"/>
      <c r="AC827" s="160"/>
      <c r="AD827" s="160"/>
      <c r="AE827" s="160"/>
      <c r="AF827" s="160"/>
      <c r="AG827" s="160"/>
      <c r="AH827" s="160"/>
      <c r="AI827" s="160"/>
      <c r="AJ827" s="160"/>
      <c r="AP827" s="160"/>
      <c r="AV827" s="160"/>
    </row>
    <row r="828">
      <c r="A828" s="158"/>
      <c r="B828" s="160"/>
      <c r="C828" s="103"/>
      <c r="E828" s="103"/>
      <c r="F828" s="103"/>
      <c r="G828" s="158"/>
      <c r="H828" s="158"/>
      <c r="I828" s="158"/>
      <c r="J828" s="158"/>
      <c r="K828" s="160"/>
      <c r="L828" s="103"/>
      <c r="N828" s="103"/>
      <c r="O828" s="103"/>
      <c r="Y828" s="160"/>
      <c r="Z828" s="160"/>
      <c r="AA828" s="160"/>
      <c r="AB828" s="160"/>
      <c r="AC828" s="160"/>
      <c r="AD828" s="160"/>
      <c r="AE828" s="160"/>
      <c r="AF828" s="160"/>
      <c r="AG828" s="160"/>
      <c r="AH828" s="160"/>
      <c r="AI828" s="160"/>
      <c r="AJ828" s="160"/>
      <c r="AP828" s="160"/>
      <c r="AV828" s="160"/>
    </row>
    <row r="829">
      <c r="A829" s="158"/>
      <c r="B829" s="160"/>
      <c r="C829" s="103"/>
      <c r="E829" s="103"/>
      <c r="F829" s="103"/>
      <c r="G829" s="158"/>
      <c r="H829" s="158"/>
      <c r="I829" s="158"/>
      <c r="J829" s="158"/>
      <c r="K829" s="160"/>
      <c r="L829" s="103"/>
      <c r="N829" s="103"/>
      <c r="O829" s="103"/>
      <c r="Y829" s="160"/>
      <c r="Z829" s="160"/>
      <c r="AA829" s="160"/>
      <c r="AB829" s="160"/>
      <c r="AC829" s="160"/>
      <c r="AD829" s="160"/>
      <c r="AE829" s="160"/>
      <c r="AF829" s="160"/>
      <c r="AG829" s="160"/>
      <c r="AH829" s="160"/>
      <c r="AI829" s="160"/>
      <c r="AJ829" s="160"/>
      <c r="AP829" s="160"/>
      <c r="AV829" s="160"/>
    </row>
    <row r="830">
      <c r="A830" s="158"/>
      <c r="B830" s="160"/>
      <c r="C830" s="103"/>
      <c r="E830" s="103"/>
      <c r="F830" s="103"/>
      <c r="G830" s="158"/>
      <c r="H830" s="158"/>
      <c r="I830" s="158"/>
      <c r="J830" s="158"/>
      <c r="K830" s="160"/>
      <c r="L830" s="103"/>
      <c r="N830" s="103"/>
      <c r="O830" s="103"/>
      <c r="Y830" s="160"/>
      <c r="Z830" s="160"/>
      <c r="AA830" s="160"/>
      <c r="AB830" s="160"/>
      <c r="AC830" s="160"/>
      <c r="AD830" s="160"/>
      <c r="AE830" s="160"/>
      <c r="AF830" s="160"/>
      <c r="AG830" s="160"/>
      <c r="AH830" s="160"/>
      <c r="AI830" s="160"/>
      <c r="AJ830" s="160"/>
      <c r="AP830" s="160"/>
      <c r="AV830" s="160"/>
    </row>
    <row r="831">
      <c r="A831" s="158"/>
      <c r="B831" s="160"/>
      <c r="C831" s="103"/>
      <c r="E831" s="103"/>
      <c r="F831" s="103"/>
      <c r="G831" s="158"/>
      <c r="H831" s="158"/>
      <c r="I831" s="158"/>
      <c r="J831" s="158"/>
      <c r="K831" s="160"/>
      <c r="L831" s="103"/>
      <c r="N831" s="103"/>
      <c r="O831" s="103"/>
      <c r="Y831" s="160"/>
      <c r="Z831" s="160"/>
      <c r="AA831" s="160"/>
      <c r="AB831" s="160"/>
      <c r="AC831" s="160"/>
      <c r="AD831" s="160"/>
      <c r="AE831" s="160"/>
      <c r="AF831" s="160"/>
      <c r="AG831" s="160"/>
      <c r="AH831" s="160"/>
      <c r="AI831" s="160"/>
      <c r="AJ831" s="160"/>
      <c r="AP831" s="160"/>
      <c r="AV831" s="160"/>
    </row>
    <row r="832">
      <c r="A832" s="158"/>
      <c r="B832" s="160"/>
      <c r="C832" s="103"/>
      <c r="E832" s="103"/>
      <c r="F832" s="103"/>
      <c r="G832" s="158"/>
      <c r="H832" s="158"/>
      <c r="I832" s="158"/>
      <c r="J832" s="158"/>
      <c r="K832" s="160"/>
      <c r="L832" s="103"/>
      <c r="N832" s="103"/>
      <c r="O832" s="103"/>
      <c r="Y832" s="160"/>
      <c r="Z832" s="160"/>
      <c r="AA832" s="160"/>
      <c r="AB832" s="160"/>
      <c r="AC832" s="160"/>
      <c r="AD832" s="160"/>
      <c r="AE832" s="160"/>
      <c r="AF832" s="160"/>
      <c r="AG832" s="160"/>
      <c r="AH832" s="160"/>
      <c r="AI832" s="160"/>
      <c r="AJ832" s="160"/>
      <c r="AP832" s="160"/>
      <c r="AV832" s="160"/>
    </row>
    <row r="833">
      <c r="A833" s="158"/>
      <c r="B833" s="160"/>
      <c r="C833" s="103"/>
      <c r="E833" s="103"/>
      <c r="F833" s="103"/>
      <c r="G833" s="158"/>
      <c r="H833" s="158"/>
      <c r="I833" s="158"/>
      <c r="J833" s="158"/>
      <c r="K833" s="160"/>
      <c r="L833" s="103"/>
      <c r="N833" s="103"/>
      <c r="O833" s="103"/>
      <c r="Y833" s="160"/>
      <c r="Z833" s="160"/>
      <c r="AA833" s="160"/>
      <c r="AB833" s="160"/>
      <c r="AC833" s="160"/>
      <c r="AD833" s="160"/>
      <c r="AE833" s="160"/>
      <c r="AF833" s="160"/>
      <c r="AG833" s="160"/>
      <c r="AH833" s="160"/>
      <c r="AI833" s="160"/>
      <c r="AJ833" s="160"/>
      <c r="AP833" s="160"/>
      <c r="AV833" s="160"/>
    </row>
    <row r="834">
      <c r="A834" s="158"/>
      <c r="B834" s="160"/>
      <c r="C834" s="103"/>
      <c r="E834" s="103"/>
      <c r="F834" s="103"/>
      <c r="G834" s="158"/>
      <c r="H834" s="158"/>
      <c r="I834" s="158"/>
      <c r="J834" s="158"/>
      <c r="K834" s="160"/>
      <c r="L834" s="103"/>
      <c r="N834" s="103"/>
      <c r="O834" s="103"/>
      <c r="Y834" s="160"/>
      <c r="Z834" s="160"/>
      <c r="AA834" s="160"/>
      <c r="AB834" s="160"/>
      <c r="AC834" s="160"/>
      <c r="AD834" s="160"/>
      <c r="AE834" s="160"/>
      <c r="AF834" s="160"/>
      <c r="AG834" s="160"/>
      <c r="AH834" s="160"/>
      <c r="AI834" s="160"/>
      <c r="AJ834" s="160"/>
      <c r="AP834" s="160"/>
      <c r="AV834" s="160"/>
    </row>
    <row r="835">
      <c r="A835" s="158"/>
      <c r="B835" s="160"/>
      <c r="C835" s="103"/>
      <c r="E835" s="103"/>
      <c r="F835" s="103"/>
      <c r="G835" s="158"/>
      <c r="H835" s="158"/>
      <c r="I835" s="158"/>
      <c r="J835" s="158"/>
      <c r="K835" s="160"/>
      <c r="L835" s="103"/>
      <c r="N835" s="103"/>
      <c r="O835" s="103"/>
      <c r="Y835" s="160"/>
      <c r="Z835" s="160"/>
      <c r="AA835" s="160"/>
      <c r="AB835" s="160"/>
      <c r="AC835" s="160"/>
      <c r="AD835" s="160"/>
      <c r="AE835" s="160"/>
      <c r="AF835" s="160"/>
      <c r="AG835" s="160"/>
      <c r="AH835" s="160"/>
      <c r="AI835" s="160"/>
      <c r="AJ835" s="160"/>
      <c r="AP835" s="160"/>
      <c r="AV835" s="160"/>
    </row>
    <row r="836">
      <c r="A836" s="158"/>
      <c r="B836" s="160"/>
      <c r="C836" s="103"/>
      <c r="E836" s="103"/>
      <c r="F836" s="103"/>
      <c r="G836" s="158"/>
      <c r="H836" s="158"/>
      <c r="I836" s="158"/>
      <c r="J836" s="158"/>
      <c r="K836" s="160"/>
      <c r="L836" s="103"/>
      <c r="N836" s="103"/>
      <c r="O836" s="103"/>
      <c r="Y836" s="160"/>
      <c r="Z836" s="160"/>
      <c r="AA836" s="160"/>
      <c r="AB836" s="160"/>
      <c r="AC836" s="160"/>
      <c r="AD836" s="160"/>
      <c r="AE836" s="160"/>
      <c r="AF836" s="160"/>
      <c r="AG836" s="160"/>
      <c r="AH836" s="160"/>
      <c r="AI836" s="160"/>
      <c r="AJ836" s="160"/>
      <c r="AP836" s="160"/>
      <c r="AV836" s="160"/>
    </row>
    <row r="837">
      <c r="A837" s="158"/>
      <c r="B837" s="160"/>
      <c r="C837" s="103"/>
      <c r="E837" s="103"/>
      <c r="F837" s="103"/>
      <c r="G837" s="158"/>
      <c r="H837" s="158"/>
      <c r="I837" s="158"/>
      <c r="J837" s="158"/>
      <c r="K837" s="160"/>
      <c r="L837" s="103"/>
      <c r="N837" s="103"/>
      <c r="O837" s="103"/>
      <c r="Y837" s="160"/>
      <c r="Z837" s="160"/>
      <c r="AA837" s="160"/>
      <c r="AB837" s="160"/>
      <c r="AC837" s="160"/>
      <c r="AD837" s="160"/>
      <c r="AE837" s="160"/>
      <c r="AF837" s="160"/>
      <c r="AG837" s="160"/>
      <c r="AH837" s="160"/>
      <c r="AI837" s="160"/>
      <c r="AJ837" s="160"/>
      <c r="AP837" s="160"/>
      <c r="AV837" s="160"/>
    </row>
    <row r="838">
      <c r="A838" s="158"/>
      <c r="B838" s="160"/>
      <c r="C838" s="103"/>
      <c r="E838" s="103"/>
      <c r="F838" s="103"/>
      <c r="G838" s="158"/>
      <c r="H838" s="158"/>
      <c r="I838" s="158"/>
      <c r="J838" s="158"/>
      <c r="K838" s="160"/>
      <c r="L838" s="103"/>
      <c r="N838" s="103"/>
      <c r="O838" s="103"/>
      <c r="Y838" s="160"/>
      <c r="Z838" s="160"/>
      <c r="AA838" s="160"/>
      <c r="AB838" s="160"/>
      <c r="AC838" s="160"/>
      <c r="AD838" s="160"/>
      <c r="AE838" s="160"/>
      <c r="AF838" s="160"/>
      <c r="AG838" s="160"/>
      <c r="AH838" s="160"/>
      <c r="AI838" s="160"/>
      <c r="AJ838" s="160"/>
      <c r="AP838" s="160"/>
      <c r="AV838" s="160"/>
    </row>
    <row r="839">
      <c r="A839" s="158"/>
      <c r="B839" s="160"/>
      <c r="C839" s="103"/>
      <c r="E839" s="103"/>
      <c r="F839" s="103"/>
      <c r="G839" s="158"/>
      <c r="H839" s="158"/>
      <c r="I839" s="158"/>
      <c r="J839" s="158"/>
      <c r="K839" s="160"/>
      <c r="L839" s="103"/>
      <c r="N839" s="103"/>
      <c r="O839" s="103"/>
      <c r="Y839" s="160"/>
      <c r="Z839" s="160"/>
      <c r="AA839" s="160"/>
      <c r="AB839" s="160"/>
      <c r="AC839" s="160"/>
      <c r="AD839" s="160"/>
      <c r="AE839" s="160"/>
      <c r="AF839" s="160"/>
      <c r="AG839" s="160"/>
      <c r="AH839" s="160"/>
      <c r="AI839" s="160"/>
      <c r="AJ839" s="160"/>
      <c r="AP839" s="160"/>
      <c r="AV839" s="160"/>
    </row>
    <row r="840">
      <c r="A840" s="158"/>
      <c r="B840" s="160"/>
      <c r="C840" s="103"/>
      <c r="E840" s="103"/>
      <c r="F840" s="103"/>
      <c r="G840" s="158"/>
      <c r="H840" s="158"/>
      <c r="I840" s="158"/>
      <c r="J840" s="158"/>
      <c r="K840" s="160"/>
      <c r="L840" s="103"/>
      <c r="N840" s="103"/>
      <c r="O840" s="103"/>
      <c r="Y840" s="160"/>
      <c r="Z840" s="160"/>
      <c r="AA840" s="160"/>
      <c r="AB840" s="160"/>
      <c r="AC840" s="160"/>
      <c r="AD840" s="160"/>
      <c r="AE840" s="160"/>
      <c r="AF840" s="160"/>
      <c r="AG840" s="160"/>
      <c r="AH840" s="160"/>
      <c r="AI840" s="160"/>
      <c r="AJ840" s="160"/>
      <c r="AP840" s="160"/>
      <c r="AV840" s="160"/>
    </row>
    <row r="841">
      <c r="A841" s="158"/>
      <c r="B841" s="160"/>
      <c r="C841" s="103"/>
      <c r="E841" s="103"/>
      <c r="F841" s="103"/>
      <c r="G841" s="158"/>
      <c r="H841" s="158"/>
      <c r="I841" s="158"/>
      <c r="J841" s="158"/>
      <c r="K841" s="160"/>
      <c r="L841" s="103"/>
      <c r="N841" s="103"/>
      <c r="O841" s="103"/>
      <c r="Y841" s="160"/>
      <c r="Z841" s="160"/>
      <c r="AA841" s="160"/>
      <c r="AB841" s="160"/>
      <c r="AC841" s="160"/>
      <c r="AD841" s="160"/>
      <c r="AE841" s="160"/>
      <c r="AF841" s="160"/>
      <c r="AG841" s="160"/>
      <c r="AH841" s="160"/>
      <c r="AI841" s="160"/>
      <c r="AJ841" s="160"/>
      <c r="AP841" s="160"/>
      <c r="AV841" s="160"/>
    </row>
    <row r="842">
      <c r="A842" s="158"/>
      <c r="B842" s="160"/>
      <c r="C842" s="103"/>
      <c r="E842" s="103"/>
      <c r="F842" s="103"/>
      <c r="G842" s="158"/>
      <c r="H842" s="158"/>
      <c r="I842" s="158"/>
      <c r="J842" s="158"/>
      <c r="K842" s="160"/>
      <c r="L842" s="103"/>
      <c r="N842" s="103"/>
      <c r="O842" s="103"/>
      <c r="Y842" s="160"/>
      <c r="Z842" s="160"/>
      <c r="AA842" s="160"/>
      <c r="AB842" s="160"/>
      <c r="AC842" s="160"/>
      <c r="AD842" s="160"/>
      <c r="AE842" s="160"/>
      <c r="AF842" s="160"/>
      <c r="AG842" s="160"/>
      <c r="AH842" s="160"/>
      <c r="AI842" s="160"/>
      <c r="AJ842" s="160"/>
      <c r="AP842" s="160"/>
      <c r="AV842" s="160"/>
    </row>
    <row r="843">
      <c r="A843" s="158"/>
      <c r="B843" s="160"/>
      <c r="C843" s="103"/>
      <c r="E843" s="103"/>
      <c r="F843" s="103"/>
      <c r="G843" s="158"/>
      <c r="H843" s="158"/>
      <c r="I843" s="158"/>
      <c r="J843" s="158"/>
      <c r="K843" s="160"/>
      <c r="L843" s="103"/>
      <c r="N843" s="103"/>
      <c r="O843" s="103"/>
      <c r="Y843" s="160"/>
      <c r="Z843" s="160"/>
      <c r="AA843" s="160"/>
      <c r="AB843" s="160"/>
      <c r="AC843" s="160"/>
      <c r="AD843" s="160"/>
      <c r="AE843" s="160"/>
      <c r="AF843" s="160"/>
      <c r="AG843" s="160"/>
      <c r="AH843" s="160"/>
      <c r="AI843" s="160"/>
      <c r="AJ843" s="160"/>
      <c r="AP843" s="160"/>
      <c r="AV843" s="160"/>
    </row>
    <row r="844">
      <c r="A844" s="158"/>
      <c r="B844" s="160"/>
      <c r="C844" s="103"/>
      <c r="E844" s="103"/>
      <c r="F844" s="103"/>
      <c r="G844" s="158"/>
      <c r="H844" s="158"/>
      <c r="I844" s="158"/>
      <c r="J844" s="158"/>
      <c r="K844" s="160"/>
      <c r="L844" s="103"/>
      <c r="N844" s="103"/>
      <c r="O844" s="103"/>
      <c r="Y844" s="160"/>
      <c r="Z844" s="160"/>
      <c r="AA844" s="160"/>
      <c r="AB844" s="160"/>
      <c r="AC844" s="160"/>
      <c r="AD844" s="160"/>
      <c r="AE844" s="160"/>
      <c r="AF844" s="160"/>
      <c r="AG844" s="160"/>
      <c r="AH844" s="160"/>
      <c r="AI844" s="160"/>
      <c r="AJ844" s="160"/>
      <c r="AP844" s="160"/>
      <c r="AV844" s="160"/>
    </row>
    <row r="845">
      <c r="A845" s="158"/>
      <c r="B845" s="160"/>
      <c r="C845" s="103"/>
      <c r="E845" s="103"/>
      <c r="F845" s="103"/>
      <c r="G845" s="158"/>
      <c r="H845" s="158"/>
      <c r="I845" s="158"/>
      <c r="J845" s="158"/>
      <c r="K845" s="160"/>
      <c r="L845" s="103"/>
      <c r="N845" s="103"/>
      <c r="O845" s="103"/>
      <c r="Y845" s="160"/>
      <c r="Z845" s="160"/>
      <c r="AA845" s="160"/>
      <c r="AB845" s="160"/>
      <c r="AC845" s="160"/>
      <c r="AD845" s="160"/>
      <c r="AE845" s="160"/>
      <c r="AF845" s="160"/>
      <c r="AG845" s="160"/>
      <c r="AH845" s="160"/>
      <c r="AI845" s="160"/>
      <c r="AJ845" s="160"/>
      <c r="AP845" s="160"/>
      <c r="AV845" s="160"/>
    </row>
    <row r="846">
      <c r="A846" s="158"/>
      <c r="B846" s="160"/>
      <c r="C846" s="103"/>
      <c r="E846" s="103"/>
      <c r="F846" s="103"/>
      <c r="G846" s="158"/>
      <c r="H846" s="158"/>
      <c r="I846" s="158"/>
      <c r="J846" s="158"/>
      <c r="K846" s="160"/>
      <c r="L846" s="103"/>
      <c r="N846" s="103"/>
      <c r="O846" s="103"/>
      <c r="Y846" s="160"/>
      <c r="Z846" s="160"/>
      <c r="AA846" s="160"/>
      <c r="AB846" s="160"/>
      <c r="AC846" s="160"/>
      <c r="AD846" s="160"/>
      <c r="AE846" s="160"/>
      <c r="AF846" s="160"/>
      <c r="AG846" s="160"/>
      <c r="AH846" s="160"/>
      <c r="AI846" s="160"/>
      <c r="AJ846" s="160"/>
      <c r="AP846" s="160"/>
      <c r="AV846" s="160"/>
    </row>
    <row r="847">
      <c r="A847" s="158"/>
      <c r="B847" s="160"/>
      <c r="C847" s="103"/>
      <c r="E847" s="103"/>
      <c r="F847" s="103"/>
      <c r="G847" s="158"/>
      <c r="H847" s="158"/>
      <c r="I847" s="158"/>
      <c r="J847" s="158"/>
      <c r="K847" s="160"/>
      <c r="L847" s="103"/>
      <c r="N847" s="103"/>
      <c r="O847" s="103"/>
      <c r="Y847" s="160"/>
      <c r="Z847" s="160"/>
      <c r="AA847" s="160"/>
      <c r="AB847" s="160"/>
      <c r="AC847" s="160"/>
      <c r="AD847" s="160"/>
      <c r="AE847" s="160"/>
      <c r="AF847" s="160"/>
      <c r="AG847" s="160"/>
      <c r="AH847" s="160"/>
      <c r="AI847" s="160"/>
      <c r="AJ847" s="160"/>
      <c r="AP847" s="160"/>
      <c r="AV847" s="160"/>
    </row>
    <row r="848">
      <c r="A848" s="158"/>
      <c r="B848" s="160"/>
      <c r="C848" s="103"/>
      <c r="E848" s="103"/>
      <c r="F848" s="103"/>
      <c r="G848" s="158"/>
      <c r="H848" s="158"/>
      <c r="I848" s="158"/>
      <c r="J848" s="158"/>
      <c r="K848" s="160"/>
      <c r="L848" s="103"/>
      <c r="N848" s="103"/>
      <c r="O848" s="103"/>
      <c r="Y848" s="160"/>
      <c r="Z848" s="160"/>
      <c r="AA848" s="160"/>
      <c r="AB848" s="160"/>
      <c r="AC848" s="160"/>
      <c r="AD848" s="160"/>
      <c r="AE848" s="160"/>
      <c r="AF848" s="160"/>
      <c r="AG848" s="160"/>
      <c r="AH848" s="160"/>
      <c r="AI848" s="160"/>
      <c r="AJ848" s="160"/>
      <c r="AP848" s="160"/>
      <c r="AV848" s="160"/>
    </row>
    <row r="849">
      <c r="A849" s="158"/>
      <c r="B849" s="160"/>
      <c r="C849" s="103"/>
      <c r="E849" s="103"/>
      <c r="F849" s="103"/>
      <c r="G849" s="158"/>
      <c r="H849" s="158"/>
      <c r="I849" s="158"/>
      <c r="J849" s="158"/>
      <c r="K849" s="160"/>
      <c r="L849" s="103"/>
      <c r="N849" s="103"/>
      <c r="O849" s="103"/>
      <c r="Y849" s="160"/>
      <c r="Z849" s="160"/>
      <c r="AA849" s="160"/>
      <c r="AB849" s="160"/>
      <c r="AC849" s="160"/>
      <c r="AD849" s="160"/>
      <c r="AE849" s="160"/>
      <c r="AF849" s="160"/>
      <c r="AG849" s="160"/>
      <c r="AH849" s="160"/>
      <c r="AI849" s="160"/>
      <c r="AJ849" s="160"/>
      <c r="AP849" s="160"/>
      <c r="AV849" s="160"/>
    </row>
    <row r="850">
      <c r="A850" s="158"/>
      <c r="B850" s="160"/>
      <c r="C850" s="103"/>
      <c r="E850" s="103"/>
      <c r="F850" s="103"/>
      <c r="G850" s="158"/>
      <c r="H850" s="158"/>
      <c r="I850" s="158"/>
      <c r="J850" s="158"/>
      <c r="K850" s="160"/>
      <c r="L850" s="103"/>
      <c r="N850" s="103"/>
      <c r="O850" s="103"/>
      <c r="Y850" s="160"/>
      <c r="Z850" s="160"/>
      <c r="AA850" s="160"/>
      <c r="AB850" s="160"/>
      <c r="AC850" s="160"/>
      <c r="AD850" s="160"/>
      <c r="AE850" s="160"/>
      <c r="AF850" s="160"/>
      <c r="AG850" s="160"/>
      <c r="AH850" s="160"/>
      <c r="AI850" s="160"/>
      <c r="AJ850" s="160"/>
      <c r="AP850" s="160"/>
      <c r="AV850" s="160"/>
    </row>
    <row r="851">
      <c r="A851" s="158"/>
      <c r="B851" s="160"/>
      <c r="C851" s="103"/>
      <c r="E851" s="103"/>
      <c r="F851" s="103"/>
      <c r="G851" s="158"/>
      <c r="H851" s="158"/>
      <c r="I851" s="158"/>
      <c r="J851" s="158"/>
      <c r="K851" s="160"/>
      <c r="L851" s="103"/>
      <c r="N851" s="103"/>
      <c r="O851" s="103"/>
      <c r="Y851" s="160"/>
      <c r="Z851" s="160"/>
      <c r="AA851" s="160"/>
      <c r="AB851" s="160"/>
      <c r="AC851" s="160"/>
      <c r="AD851" s="160"/>
      <c r="AE851" s="160"/>
      <c r="AF851" s="160"/>
      <c r="AG851" s="160"/>
      <c r="AH851" s="160"/>
      <c r="AI851" s="160"/>
      <c r="AJ851" s="160"/>
      <c r="AP851" s="160"/>
      <c r="AV851" s="160"/>
    </row>
    <row r="852">
      <c r="A852" s="158"/>
      <c r="B852" s="160"/>
      <c r="C852" s="103"/>
      <c r="E852" s="103"/>
      <c r="F852" s="103"/>
      <c r="G852" s="158"/>
      <c r="H852" s="158"/>
      <c r="I852" s="158"/>
      <c r="J852" s="158"/>
      <c r="K852" s="160"/>
      <c r="L852" s="103"/>
      <c r="N852" s="103"/>
      <c r="O852" s="103"/>
      <c r="Y852" s="160"/>
      <c r="Z852" s="160"/>
      <c r="AA852" s="160"/>
      <c r="AB852" s="160"/>
      <c r="AC852" s="160"/>
      <c r="AD852" s="160"/>
      <c r="AE852" s="160"/>
      <c r="AF852" s="160"/>
      <c r="AG852" s="160"/>
      <c r="AH852" s="160"/>
      <c r="AI852" s="160"/>
      <c r="AJ852" s="160"/>
      <c r="AP852" s="160"/>
      <c r="AV852" s="160"/>
    </row>
    <row r="853">
      <c r="A853" s="158"/>
      <c r="B853" s="160"/>
      <c r="C853" s="103"/>
      <c r="E853" s="103"/>
      <c r="F853" s="103"/>
      <c r="G853" s="158"/>
      <c r="H853" s="158"/>
      <c r="I853" s="158"/>
      <c r="J853" s="158"/>
      <c r="K853" s="160"/>
      <c r="L853" s="103"/>
      <c r="N853" s="103"/>
      <c r="O853" s="103"/>
      <c r="Y853" s="160"/>
      <c r="Z853" s="160"/>
      <c r="AA853" s="160"/>
      <c r="AB853" s="160"/>
      <c r="AC853" s="160"/>
      <c r="AD853" s="160"/>
      <c r="AE853" s="160"/>
      <c r="AF853" s="160"/>
      <c r="AG853" s="160"/>
      <c r="AH853" s="160"/>
      <c r="AI853" s="160"/>
      <c r="AJ853" s="160"/>
      <c r="AP853" s="160"/>
      <c r="AV853" s="160"/>
    </row>
    <row r="854">
      <c r="A854" s="158"/>
      <c r="B854" s="160"/>
      <c r="C854" s="103"/>
      <c r="E854" s="103"/>
      <c r="F854" s="103"/>
      <c r="G854" s="158"/>
      <c r="H854" s="158"/>
      <c r="I854" s="158"/>
      <c r="J854" s="158"/>
      <c r="K854" s="160"/>
      <c r="L854" s="103"/>
      <c r="N854" s="103"/>
      <c r="O854" s="103"/>
      <c r="Y854" s="160"/>
      <c r="Z854" s="160"/>
      <c r="AA854" s="160"/>
      <c r="AB854" s="160"/>
      <c r="AC854" s="160"/>
      <c r="AD854" s="160"/>
      <c r="AE854" s="160"/>
      <c r="AF854" s="160"/>
      <c r="AG854" s="160"/>
      <c r="AH854" s="160"/>
      <c r="AI854" s="160"/>
      <c r="AJ854" s="160"/>
      <c r="AP854" s="160"/>
      <c r="AV854" s="160"/>
    </row>
    <row r="855">
      <c r="A855" s="158"/>
      <c r="B855" s="160"/>
      <c r="C855" s="103"/>
      <c r="E855" s="103"/>
      <c r="F855" s="103"/>
      <c r="G855" s="158"/>
      <c r="H855" s="158"/>
      <c r="I855" s="158"/>
      <c r="J855" s="158"/>
      <c r="K855" s="160"/>
      <c r="L855" s="103"/>
      <c r="N855" s="103"/>
      <c r="O855" s="103"/>
      <c r="Y855" s="160"/>
      <c r="Z855" s="160"/>
      <c r="AA855" s="160"/>
      <c r="AB855" s="160"/>
      <c r="AC855" s="160"/>
      <c r="AD855" s="160"/>
      <c r="AE855" s="160"/>
      <c r="AF855" s="160"/>
      <c r="AG855" s="160"/>
      <c r="AH855" s="160"/>
      <c r="AI855" s="160"/>
      <c r="AJ855" s="160"/>
      <c r="AP855" s="160"/>
      <c r="AV855" s="160"/>
    </row>
    <row r="856">
      <c r="A856" s="158"/>
      <c r="B856" s="160"/>
      <c r="C856" s="103"/>
      <c r="E856" s="103"/>
      <c r="F856" s="103"/>
      <c r="G856" s="158"/>
      <c r="H856" s="158"/>
      <c r="I856" s="158"/>
      <c r="J856" s="158"/>
      <c r="K856" s="160"/>
      <c r="L856" s="103"/>
      <c r="N856" s="103"/>
      <c r="O856" s="103"/>
      <c r="Y856" s="160"/>
      <c r="Z856" s="160"/>
      <c r="AA856" s="160"/>
      <c r="AB856" s="160"/>
      <c r="AC856" s="160"/>
      <c r="AD856" s="160"/>
      <c r="AE856" s="160"/>
      <c r="AF856" s="160"/>
      <c r="AG856" s="160"/>
      <c r="AH856" s="160"/>
      <c r="AI856" s="160"/>
      <c r="AJ856" s="160"/>
      <c r="AP856" s="160"/>
      <c r="AV856" s="160"/>
    </row>
    <row r="857">
      <c r="A857" s="158"/>
      <c r="B857" s="160"/>
      <c r="C857" s="103"/>
      <c r="E857" s="103"/>
      <c r="F857" s="103"/>
      <c r="G857" s="158"/>
      <c r="H857" s="158"/>
      <c r="I857" s="158"/>
      <c r="J857" s="158"/>
      <c r="K857" s="160"/>
      <c r="L857" s="103"/>
      <c r="N857" s="103"/>
      <c r="O857" s="103"/>
      <c r="Y857" s="160"/>
      <c r="Z857" s="160"/>
      <c r="AA857" s="160"/>
      <c r="AB857" s="160"/>
      <c r="AC857" s="160"/>
      <c r="AD857" s="160"/>
      <c r="AE857" s="160"/>
      <c r="AF857" s="160"/>
      <c r="AG857" s="160"/>
      <c r="AH857" s="160"/>
      <c r="AI857" s="160"/>
      <c r="AJ857" s="160"/>
      <c r="AP857" s="160"/>
      <c r="AV857" s="160"/>
    </row>
    <row r="858">
      <c r="A858" s="158"/>
      <c r="B858" s="160"/>
      <c r="C858" s="103"/>
      <c r="E858" s="103"/>
      <c r="F858" s="103"/>
      <c r="G858" s="158"/>
      <c r="H858" s="158"/>
      <c r="I858" s="158"/>
      <c r="J858" s="158"/>
      <c r="K858" s="160"/>
      <c r="L858" s="103"/>
      <c r="N858" s="103"/>
      <c r="O858" s="103"/>
      <c r="Y858" s="160"/>
      <c r="Z858" s="160"/>
      <c r="AA858" s="160"/>
      <c r="AB858" s="160"/>
      <c r="AC858" s="160"/>
      <c r="AD858" s="160"/>
      <c r="AE858" s="160"/>
      <c r="AF858" s="160"/>
      <c r="AG858" s="160"/>
      <c r="AH858" s="160"/>
      <c r="AI858" s="160"/>
      <c r="AJ858" s="160"/>
      <c r="AP858" s="160"/>
      <c r="AV858" s="160"/>
    </row>
    <row r="859">
      <c r="A859" s="158"/>
      <c r="B859" s="160"/>
      <c r="C859" s="103"/>
      <c r="E859" s="103"/>
      <c r="F859" s="103"/>
      <c r="G859" s="158"/>
      <c r="H859" s="158"/>
      <c r="I859" s="158"/>
      <c r="J859" s="158"/>
      <c r="K859" s="160"/>
      <c r="L859" s="103"/>
      <c r="N859" s="103"/>
      <c r="O859" s="103"/>
      <c r="Y859" s="160"/>
      <c r="Z859" s="160"/>
      <c r="AA859" s="160"/>
      <c r="AB859" s="160"/>
      <c r="AC859" s="160"/>
      <c r="AD859" s="160"/>
      <c r="AE859" s="160"/>
      <c r="AF859" s="160"/>
      <c r="AG859" s="160"/>
      <c r="AH859" s="160"/>
      <c r="AI859" s="160"/>
      <c r="AJ859" s="160"/>
      <c r="AP859" s="160"/>
      <c r="AV859" s="160"/>
    </row>
    <row r="860">
      <c r="A860" s="158"/>
      <c r="B860" s="160"/>
      <c r="C860" s="103"/>
      <c r="E860" s="103"/>
      <c r="F860" s="103"/>
      <c r="G860" s="158"/>
      <c r="H860" s="158"/>
      <c r="I860" s="158"/>
      <c r="J860" s="158"/>
      <c r="K860" s="160"/>
      <c r="L860" s="103"/>
      <c r="N860" s="103"/>
      <c r="O860" s="103"/>
      <c r="Y860" s="160"/>
      <c r="Z860" s="160"/>
      <c r="AA860" s="160"/>
      <c r="AB860" s="160"/>
      <c r="AC860" s="160"/>
      <c r="AD860" s="160"/>
      <c r="AE860" s="160"/>
      <c r="AF860" s="160"/>
      <c r="AG860" s="160"/>
      <c r="AH860" s="160"/>
      <c r="AI860" s="160"/>
      <c r="AJ860" s="160"/>
      <c r="AP860" s="160"/>
      <c r="AV860" s="160"/>
    </row>
  </sheetData>
  <autoFilter ref="$A$1"/>
  <mergeCells count="7">
    <mergeCell ref="B2:I2"/>
    <mergeCell ref="K2:R2"/>
    <mergeCell ref="T2:U2"/>
    <mergeCell ref="AJ2:AN2"/>
    <mergeCell ref="AP2:AT2"/>
    <mergeCell ref="AV2:AZ2"/>
    <mergeCell ref="W3:AD3"/>
  </mergeCells>
  <conditionalFormatting sqref="C3:C190 L3:L190 U4:U226 S13:S29">
    <cfRule type="expression" dxfId="1" priority="1">
      <formula>MATCH(C3:C190,{2640;2642;2643;2674;2681},0)</formula>
    </cfRule>
  </conditionalFormatting>
  <conditionalFormatting sqref="H4:H226 Q4:Q226">
    <cfRule type="cellIs" dxfId="2" priority="2" operator="equal">
      <formula>"PASADO"</formula>
    </cfRule>
  </conditionalFormatting>
  <conditionalFormatting sqref="H4:H226 Q4:Q226">
    <cfRule type="cellIs" dxfId="3" priority="3" operator="equal">
      <formula>"PRÓXIMO"</formula>
    </cfRule>
  </conditionalFormatting>
  <conditionalFormatting sqref="H4:H226 Q4:Q226">
    <cfRule type="cellIs" dxfId="4" priority="4" operator="equal">
      <formula>"VIGENTE"</formula>
    </cfRule>
  </conditionalFormatting>
  <conditionalFormatting sqref="I4:I226 R4:R226">
    <cfRule type="cellIs" dxfId="2" priority="5" operator="equal">
      <formula>"NO PEDIDO"</formula>
    </cfRule>
  </conditionalFormatting>
  <conditionalFormatting sqref="I4:I226 R4:R226">
    <cfRule type="cellIs" dxfId="5" priority="6" operator="equal">
      <formula>"PEDIDO"</formula>
    </cfRule>
  </conditionalFormatting>
  <conditionalFormatting sqref="I4:I226 R4:R226">
    <cfRule type="cellIs" dxfId="4" priority="7" operator="equal">
      <formula>"HECHO"</formula>
    </cfRule>
  </conditionalFormatting>
  <conditionalFormatting sqref="I228">
    <cfRule type="notContainsBlanks" dxfId="0" priority="8">
      <formula>LEN(TRIM(I228))&gt;0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9.75"/>
    <col customWidth="1" min="3" max="3" width="35.13"/>
    <col customWidth="1" min="4" max="4" width="20.38"/>
    <col customWidth="1" min="5" max="5" width="20.75"/>
    <col customWidth="1" min="6" max="6" width="17.38"/>
    <col customWidth="1" min="7" max="7" width="15.5"/>
    <col customWidth="1" min="8" max="8" width="20.5"/>
    <col customWidth="1" min="9" max="9" width="16.0"/>
    <col customWidth="1" min="10" max="11" width="12.75"/>
    <col customWidth="1" min="12" max="12" width="15.25"/>
    <col customWidth="1" min="14" max="14" width="8.0"/>
  </cols>
  <sheetData>
    <row r="1">
      <c r="A1" s="94"/>
      <c r="B1" s="174" t="s">
        <v>631</v>
      </c>
      <c r="C1" s="174" t="s">
        <v>595</v>
      </c>
      <c r="D1" s="175" t="s">
        <v>632</v>
      </c>
      <c r="E1" s="93" t="s">
        <v>633</v>
      </c>
      <c r="F1" s="176" t="s">
        <v>634</v>
      </c>
      <c r="G1" s="177" t="s">
        <v>635</v>
      </c>
      <c r="H1" s="93" t="s">
        <v>636</v>
      </c>
      <c r="I1" s="178" t="s">
        <v>604</v>
      </c>
      <c r="J1" s="178" t="s">
        <v>605</v>
      </c>
      <c r="K1" s="178" t="s">
        <v>637</v>
      </c>
      <c r="L1" s="93" t="s">
        <v>638</v>
      </c>
    </row>
    <row r="2">
      <c r="A2" s="179"/>
      <c r="B2" s="180">
        <f>'RECURSO ACTUAL'!A2</f>
        <v>3284</v>
      </c>
      <c r="C2" s="181">
        <f>'RECURSO ACTUAL'!F2</f>
        <v>46668</v>
      </c>
      <c r="D2" s="182">
        <f>VLOOKUP(B2,'Q MPP'!A:L,8,0)</f>
        <v>46147</v>
      </c>
      <c r="E2" s="183">
        <f t="shared" ref="E2:E223" si="1">ABS(D2-TODAY())</f>
        <v>69</v>
      </c>
      <c r="F2" s="176">
        <f>VLOOKUP(B2,'Q MPP'!A:L,7,FALSE)</f>
        <v>2493</v>
      </c>
      <c r="G2" s="177"/>
      <c r="H2" s="183">
        <f>VLOOKUP(B2,'Q MPP'!A:L,7,0)</f>
        <v>2493</v>
      </c>
      <c r="I2" s="184" t="str">
        <f t="shared" ref="I2:I223" si="2">IF(E2&gt;90,"PASADO",(IF(E2&gt;80,"PROXIMO","VIGENTE")))</f>
        <v>VIGENTE</v>
      </c>
      <c r="J2" s="184" t="str">
        <f t="shared" ref="J2:J223" si="3">IF(H2&gt;5000,"PASADO",(IF(H2&gt;4000,"PROXIMO","VIGENTE")))</f>
        <v>VIGENTE</v>
      </c>
      <c r="K2" s="184" t="str">
        <f>VLOOKUP(B2,'RECURSO ACTUAL'!A:C,3,0)</f>
        <v>PVS650</v>
      </c>
      <c r="L2" s="184" t="str">
        <f>VLOOKUP(B2,'RECURSO ACTUAL'!A:B,2,0)</f>
        <v>02-Medellin</v>
      </c>
      <c r="M2" s="100"/>
      <c r="N2" s="101"/>
    </row>
    <row r="3">
      <c r="A3" s="185"/>
      <c r="B3" s="180">
        <f>'RECURSO ACTUAL'!A3</f>
        <v>3283</v>
      </c>
      <c r="C3" s="181">
        <f>'RECURSO ACTUAL'!F3</f>
        <v>46668</v>
      </c>
      <c r="D3" s="182">
        <f>VLOOKUP(B3,'Q MPP'!A:L,8,0)</f>
        <v>46155</v>
      </c>
      <c r="E3" s="183">
        <f t="shared" si="1"/>
        <v>61</v>
      </c>
      <c r="F3" s="176">
        <f>VLOOKUP(B3,'Q MPP'!A:L,7,FALSE)</f>
        <v>2462</v>
      </c>
      <c r="G3" s="177"/>
      <c r="H3" s="183">
        <f>VLOOKUP(B3,'Q MPP'!A:L,7,0)</f>
        <v>2462</v>
      </c>
      <c r="I3" s="184" t="str">
        <f t="shared" si="2"/>
        <v>VIGENTE</v>
      </c>
      <c r="J3" s="184" t="str">
        <f t="shared" si="3"/>
        <v>VIGENTE</v>
      </c>
      <c r="K3" s="184" t="str">
        <f>VLOOKUP(B3,'RECURSO ACTUAL'!A:C,3,0)</f>
        <v>PVS649</v>
      </c>
      <c r="L3" s="184" t="str">
        <f>VLOOKUP(B3,'RECURSO ACTUAL'!A:B,2,0)</f>
        <v>02-Medellin</v>
      </c>
      <c r="M3" s="100"/>
      <c r="N3" s="101"/>
    </row>
    <row r="4">
      <c r="A4" s="186"/>
      <c r="B4" s="180">
        <f>'RECURSO ACTUAL'!A4</f>
        <v>3282</v>
      </c>
      <c r="C4" s="181">
        <f>'RECURSO ACTUAL'!F4</f>
        <v>46668</v>
      </c>
      <c r="D4" s="182">
        <f>VLOOKUP(B4,'Q MPP'!A:L,8,0)</f>
        <v>46155</v>
      </c>
      <c r="E4" s="183">
        <f t="shared" si="1"/>
        <v>61</v>
      </c>
      <c r="F4" s="176">
        <f>VLOOKUP(B4,'Q MPP'!A:L,7,FALSE)</f>
        <v>2672</v>
      </c>
      <c r="G4" s="177"/>
      <c r="H4" s="183">
        <f>VLOOKUP(B4,'Q MPP'!A:L,7,0)</f>
        <v>2672</v>
      </c>
      <c r="I4" s="184" t="str">
        <f t="shared" si="2"/>
        <v>VIGENTE</v>
      </c>
      <c r="J4" s="184" t="str">
        <f t="shared" si="3"/>
        <v>VIGENTE</v>
      </c>
      <c r="K4" s="184" t="str">
        <f>VLOOKUP(B4,'RECURSO ACTUAL'!A:C,3,0)</f>
        <v>PVS648</v>
      </c>
      <c r="L4" s="184" t="str">
        <f>VLOOKUP(B4,'RECURSO ACTUAL'!A:B,2,0)</f>
        <v>02-Medellin</v>
      </c>
      <c r="M4" s="100"/>
      <c r="N4" s="101"/>
    </row>
    <row r="5">
      <c r="A5" s="186"/>
      <c r="B5" s="180">
        <f>'RECURSO ACTUAL'!A5</f>
        <v>3281</v>
      </c>
      <c r="C5" s="181">
        <f>'RECURSO ACTUAL'!F5</f>
        <v>46668</v>
      </c>
      <c r="D5" s="182">
        <f>VLOOKUP(B5,'Q MPP'!A:L,8,0)</f>
        <v>46119</v>
      </c>
      <c r="E5" s="183">
        <f t="shared" si="1"/>
        <v>97</v>
      </c>
      <c r="F5" s="176">
        <f>VLOOKUP(B5,'Q MPP'!A:L,7,FALSE)</f>
        <v>3904</v>
      </c>
      <c r="G5" s="177"/>
      <c r="H5" s="183">
        <f>VLOOKUP(B5,'Q MPP'!A:L,7,0)</f>
        <v>3904</v>
      </c>
      <c r="I5" s="184" t="str">
        <f t="shared" si="2"/>
        <v>PASADO</v>
      </c>
      <c r="J5" s="184" t="str">
        <f t="shared" si="3"/>
        <v>VIGENTE</v>
      </c>
      <c r="K5" s="184" t="str">
        <f>VLOOKUP(B5,'RECURSO ACTUAL'!A:C,3,0)</f>
        <v>PVS647</v>
      </c>
      <c r="L5" s="184" t="str">
        <f>VLOOKUP(B5,'RECURSO ACTUAL'!A:B,2,0)</f>
        <v>02-Medellin</v>
      </c>
    </row>
    <row r="6">
      <c r="A6" s="179"/>
      <c r="B6" s="180">
        <f>'RECURSO ACTUAL'!A6</f>
        <v>3280</v>
      </c>
      <c r="C6" s="181">
        <f>'RECURSO ACTUAL'!F6</f>
        <v>46668</v>
      </c>
      <c r="D6" s="182">
        <f>VLOOKUP(B6,'Q MPP'!A:L,8,0)</f>
        <v>46167</v>
      </c>
      <c r="E6" s="183">
        <f t="shared" si="1"/>
        <v>49</v>
      </c>
      <c r="F6" s="176">
        <f>VLOOKUP(B6,'Q MPP'!A:L,7,FALSE)</f>
        <v>2178</v>
      </c>
      <c r="G6" s="177"/>
      <c r="H6" s="183">
        <f>VLOOKUP(B6,'Q MPP'!A:L,7,0)</f>
        <v>2178</v>
      </c>
      <c r="I6" s="184" t="str">
        <f t="shared" si="2"/>
        <v>VIGENTE</v>
      </c>
      <c r="J6" s="184" t="str">
        <f t="shared" si="3"/>
        <v>VIGENTE</v>
      </c>
      <c r="K6" s="184" t="str">
        <f>VLOOKUP(B6,'RECURSO ACTUAL'!A:C,3,0)</f>
        <v>PVS646</v>
      </c>
      <c r="L6" s="184" t="str">
        <f>VLOOKUP(B6,'RECURSO ACTUAL'!A:B,2,0)</f>
        <v>02-Medellin</v>
      </c>
    </row>
    <row r="7">
      <c r="A7" s="179"/>
      <c r="B7" s="180">
        <f>'RECURSO ACTUAL'!A7</f>
        <v>3279</v>
      </c>
      <c r="C7" s="181">
        <f>'RECURSO ACTUAL'!F7</f>
        <v>46668</v>
      </c>
      <c r="D7" s="182">
        <f>VLOOKUP(B7,'Q MPP'!A:L,8,0)</f>
        <v>46127</v>
      </c>
      <c r="E7" s="183">
        <f t="shared" si="1"/>
        <v>89</v>
      </c>
      <c r="F7" s="176">
        <f>VLOOKUP(B7,'Q MPP'!A:L,7,FALSE)</f>
        <v>3301</v>
      </c>
      <c r="G7" s="177"/>
      <c r="H7" s="183">
        <f>VLOOKUP(B7,'Q MPP'!A:L,7,0)</f>
        <v>3301</v>
      </c>
      <c r="I7" s="184" t="str">
        <f t="shared" si="2"/>
        <v>PROXIMO</v>
      </c>
      <c r="J7" s="184" t="str">
        <f t="shared" si="3"/>
        <v>VIGENTE</v>
      </c>
      <c r="K7" s="184" t="str">
        <f>VLOOKUP(B7,'RECURSO ACTUAL'!A:C,3,0)</f>
        <v>PVS645</v>
      </c>
      <c r="L7" s="184" t="str">
        <f>VLOOKUP(B7,'RECURSO ACTUAL'!A:B,2,0)</f>
        <v>02-Medellin</v>
      </c>
    </row>
    <row r="8">
      <c r="A8" s="179"/>
      <c r="B8" s="180">
        <f>'RECURSO ACTUAL'!A8</f>
        <v>3278</v>
      </c>
      <c r="C8" s="181">
        <f>'RECURSO ACTUAL'!F8</f>
        <v>46668</v>
      </c>
      <c r="D8" s="182">
        <f>VLOOKUP(B8,'Q MPP'!A:L,8,0)</f>
        <v>46167</v>
      </c>
      <c r="E8" s="183">
        <f t="shared" si="1"/>
        <v>49</v>
      </c>
      <c r="F8" s="176">
        <f>VLOOKUP(B8,'Q MPP'!A:L,7,FALSE)</f>
        <v>1793</v>
      </c>
      <c r="G8" s="177"/>
      <c r="H8" s="183">
        <f>VLOOKUP(B8,'Q MPP'!A:L,7,0)</f>
        <v>1793</v>
      </c>
      <c r="I8" s="184" t="str">
        <f t="shared" si="2"/>
        <v>VIGENTE</v>
      </c>
      <c r="J8" s="184" t="str">
        <f t="shared" si="3"/>
        <v>VIGENTE</v>
      </c>
      <c r="K8" s="184" t="str">
        <f>VLOOKUP(B8,'RECURSO ACTUAL'!A:C,3,0)</f>
        <v>PVS644</v>
      </c>
      <c r="L8" s="184" t="str">
        <f>VLOOKUP(B8,'RECURSO ACTUAL'!A:B,2,0)</f>
        <v>02-Medellin</v>
      </c>
    </row>
    <row r="9">
      <c r="A9" s="179"/>
      <c r="B9" s="180">
        <f>'RECURSO ACTUAL'!A9</f>
        <v>3275</v>
      </c>
      <c r="C9" s="181">
        <f>'RECURSO ACTUAL'!F9</f>
        <v>46668</v>
      </c>
      <c r="D9" s="182">
        <f>VLOOKUP(B9,'Q MPP'!A:L,8,0)</f>
        <v>46126</v>
      </c>
      <c r="E9" s="183">
        <f t="shared" si="1"/>
        <v>90</v>
      </c>
      <c r="F9" s="176">
        <f>VLOOKUP(B9,'Q MPP'!A:L,7,FALSE)</f>
        <v>2748</v>
      </c>
      <c r="G9" s="177"/>
      <c r="H9" s="183">
        <f>VLOOKUP(B9,'Q MPP'!A:L,7,0)</f>
        <v>2748</v>
      </c>
      <c r="I9" s="184" t="str">
        <f t="shared" si="2"/>
        <v>PROXIMO</v>
      </c>
      <c r="J9" s="184" t="str">
        <f t="shared" si="3"/>
        <v>VIGENTE</v>
      </c>
      <c r="K9" s="184" t="str">
        <f>VLOOKUP(B9,'RECURSO ACTUAL'!A:C,3,0)</f>
        <v>PVS641</v>
      </c>
      <c r="L9" s="184" t="str">
        <f>VLOOKUP(B9,'RECURSO ACTUAL'!A:B,2,0)</f>
        <v>02-Medellin</v>
      </c>
    </row>
    <row r="10">
      <c r="A10" s="179"/>
      <c r="B10" s="180">
        <f>'RECURSO ACTUAL'!A10</f>
        <v>3273</v>
      </c>
      <c r="C10" s="181">
        <f>'RECURSO ACTUAL'!F10</f>
        <v>46668</v>
      </c>
      <c r="D10" s="182">
        <f>VLOOKUP(B10,'Q MPP'!A:L,8,0)</f>
        <v>46156</v>
      </c>
      <c r="E10" s="183">
        <f t="shared" si="1"/>
        <v>60</v>
      </c>
      <c r="F10" s="176">
        <f>VLOOKUP(B10,'Q MPP'!A:L,7,FALSE)</f>
        <v>2333</v>
      </c>
      <c r="G10" s="177"/>
      <c r="H10" s="183">
        <f>VLOOKUP(B10,'Q MPP'!A:L,7,0)</f>
        <v>2333</v>
      </c>
      <c r="I10" s="184" t="str">
        <f t="shared" si="2"/>
        <v>VIGENTE</v>
      </c>
      <c r="J10" s="184" t="str">
        <f t="shared" si="3"/>
        <v>VIGENTE</v>
      </c>
      <c r="K10" s="184" t="str">
        <f>VLOOKUP(B10,'RECURSO ACTUAL'!A:C,3,0)</f>
        <v>PVS639</v>
      </c>
      <c r="L10" s="184" t="str">
        <f>VLOOKUP(B10,'RECURSO ACTUAL'!A:B,2,0)</f>
        <v>02-Medellin</v>
      </c>
    </row>
    <row r="11">
      <c r="A11" s="179"/>
      <c r="B11" s="180">
        <f>'RECURSO ACTUAL'!A11</f>
        <v>3271</v>
      </c>
      <c r="C11" s="181">
        <f>'RECURSO ACTUAL'!F11</f>
        <v>46668</v>
      </c>
      <c r="D11" s="182">
        <f>VLOOKUP(B11,'Q MPP'!A:L,8,0)</f>
        <v>46133</v>
      </c>
      <c r="E11" s="183">
        <f t="shared" si="1"/>
        <v>83</v>
      </c>
      <c r="F11" s="176">
        <f>VLOOKUP(B11,'Q MPP'!A:L,7,FALSE)</f>
        <v>3385</v>
      </c>
      <c r="G11" s="177"/>
      <c r="H11" s="183">
        <f>VLOOKUP(B11,'Q MPP'!A:L,7,0)</f>
        <v>3385</v>
      </c>
      <c r="I11" s="184" t="str">
        <f t="shared" si="2"/>
        <v>PROXIMO</v>
      </c>
      <c r="J11" s="184" t="str">
        <f t="shared" si="3"/>
        <v>VIGENTE</v>
      </c>
      <c r="K11" s="184" t="str">
        <f>VLOOKUP(B11,'RECURSO ACTUAL'!A:C,3,0)</f>
        <v>PVS637</v>
      </c>
      <c r="L11" s="184" t="str">
        <f>VLOOKUP(B11,'RECURSO ACTUAL'!A:B,2,0)</f>
        <v>02-Medellin</v>
      </c>
    </row>
    <row r="12">
      <c r="A12" s="179"/>
      <c r="B12" s="180">
        <f>'RECURSO ACTUAL'!A12</f>
        <v>3264</v>
      </c>
      <c r="C12" s="181">
        <f>'RECURSO ACTUAL'!F12</f>
        <v>46668</v>
      </c>
      <c r="D12" s="182">
        <f>VLOOKUP(B12,'Q MPP'!A:L,8,0)</f>
        <v>46126</v>
      </c>
      <c r="E12" s="183">
        <f t="shared" si="1"/>
        <v>90</v>
      </c>
      <c r="F12" s="176">
        <f>VLOOKUP(B12,'Q MPP'!A:L,7,FALSE)</f>
        <v>2711</v>
      </c>
      <c r="G12" s="177"/>
      <c r="H12" s="183">
        <f>VLOOKUP(B12,'Q MPP'!A:L,7,0)</f>
        <v>2711</v>
      </c>
      <c r="I12" s="184" t="str">
        <f t="shared" si="2"/>
        <v>PROXIMO</v>
      </c>
      <c r="J12" s="184" t="str">
        <f t="shared" si="3"/>
        <v>VIGENTE</v>
      </c>
      <c r="K12" s="184" t="str">
        <f>VLOOKUP(B12,'RECURSO ACTUAL'!A:C,3,0)</f>
        <v>PVS630</v>
      </c>
      <c r="L12" s="184" t="str">
        <f>VLOOKUP(B12,'RECURSO ACTUAL'!A:B,2,0)</f>
        <v>02-Medellin</v>
      </c>
    </row>
    <row r="13">
      <c r="A13" s="179"/>
      <c r="B13" s="180">
        <f>'RECURSO ACTUAL'!A13</f>
        <v>3256</v>
      </c>
      <c r="C13" s="181">
        <f>'RECURSO ACTUAL'!F13</f>
        <v>46668</v>
      </c>
      <c r="D13" s="182">
        <f>VLOOKUP(B13,'Q MPP'!A:L,8,0)</f>
        <v>46153</v>
      </c>
      <c r="E13" s="183">
        <f t="shared" si="1"/>
        <v>63</v>
      </c>
      <c r="F13" s="176">
        <f>VLOOKUP(B13,'Q MPP'!A:L,7,FALSE)</f>
        <v>2368</v>
      </c>
      <c r="G13" s="177"/>
      <c r="H13" s="183">
        <f>VLOOKUP(B13,'Q MPP'!A:L,7,0)</f>
        <v>2368</v>
      </c>
      <c r="I13" s="184" t="str">
        <f t="shared" si="2"/>
        <v>VIGENTE</v>
      </c>
      <c r="J13" s="184" t="str">
        <f t="shared" si="3"/>
        <v>VIGENTE</v>
      </c>
      <c r="K13" s="184" t="str">
        <f>VLOOKUP(B13,'RECURSO ACTUAL'!A:C,3,0)</f>
        <v>PVS622</v>
      </c>
      <c r="L13" s="184" t="str">
        <f>VLOOKUP(B13,'RECURSO ACTUAL'!A:B,2,0)</f>
        <v>02-Medellin</v>
      </c>
    </row>
    <row r="14">
      <c r="A14" s="186"/>
      <c r="B14" s="180">
        <f>'RECURSO ACTUAL'!A14</f>
        <v>3252</v>
      </c>
      <c r="C14" s="181">
        <f>'RECURSO ACTUAL'!F14</f>
        <v>46661</v>
      </c>
      <c r="D14" s="182">
        <f>VLOOKUP(B14,'Q MPP'!A:L,8,0)</f>
        <v>46167</v>
      </c>
      <c r="E14" s="183">
        <f t="shared" si="1"/>
        <v>49</v>
      </c>
      <c r="F14" s="176">
        <f>VLOOKUP(B14,'Q MPP'!A:L,7,FALSE)</f>
        <v>1955</v>
      </c>
      <c r="G14" s="177"/>
      <c r="H14" s="183">
        <f>VLOOKUP(B14,'Q MPP'!A:L,7,0)</f>
        <v>1955</v>
      </c>
      <c r="I14" s="184" t="str">
        <f t="shared" si="2"/>
        <v>VIGENTE</v>
      </c>
      <c r="J14" s="184" t="str">
        <f t="shared" si="3"/>
        <v>VIGENTE</v>
      </c>
      <c r="K14" s="184" t="str">
        <f>VLOOKUP(B14,'RECURSO ACTUAL'!A:C,3,0)</f>
        <v>PVS619</v>
      </c>
      <c r="L14" s="184" t="str">
        <f>VLOOKUP(B14,'RECURSO ACTUAL'!A:B,2,0)</f>
        <v>24-Rionegro</v>
      </c>
    </row>
    <row r="15">
      <c r="A15" s="186"/>
      <c r="B15" s="180">
        <f>'RECURSO ACTUAL'!A15</f>
        <v>3251</v>
      </c>
      <c r="C15" s="181">
        <f>'RECURSO ACTUAL'!F15</f>
        <v>46661</v>
      </c>
      <c r="D15" s="182">
        <f>VLOOKUP(B15,'Q MPP'!A:L,8,0)</f>
        <v>46167</v>
      </c>
      <c r="E15" s="183">
        <f t="shared" si="1"/>
        <v>49</v>
      </c>
      <c r="F15" s="176">
        <f>VLOOKUP(B15,'Q MPP'!A:L,7,FALSE)</f>
        <v>1379</v>
      </c>
      <c r="G15" s="177"/>
      <c r="H15" s="183">
        <f>VLOOKUP(B15,'Q MPP'!A:L,7,0)</f>
        <v>1379</v>
      </c>
      <c r="I15" s="184" t="str">
        <f t="shared" si="2"/>
        <v>VIGENTE</v>
      </c>
      <c r="J15" s="184" t="str">
        <f t="shared" si="3"/>
        <v>VIGENTE</v>
      </c>
      <c r="K15" s="184" t="str">
        <f>VLOOKUP(B15,'RECURSO ACTUAL'!A:C,3,0)</f>
        <v>PVS618</v>
      </c>
      <c r="L15" s="184" t="str">
        <f>VLOOKUP(B15,'RECURSO ACTUAL'!A:B,2,0)</f>
        <v>24-Rionegro</v>
      </c>
    </row>
    <row r="16">
      <c r="A16" s="186"/>
      <c r="B16" s="180">
        <f>'RECURSO ACTUAL'!A16</f>
        <v>3250</v>
      </c>
      <c r="C16" s="181">
        <f>'RECURSO ACTUAL'!F16</f>
        <v>46661</v>
      </c>
      <c r="D16" s="182">
        <f>VLOOKUP(B16,'Q MPP'!A:L,8,0)</f>
        <v>46147</v>
      </c>
      <c r="E16" s="183">
        <f t="shared" si="1"/>
        <v>69</v>
      </c>
      <c r="F16" s="176">
        <f>VLOOKUP(B16,'Q MPP'!A:L,7,FALSE)</f>
        <v>3432</v>
      </c>
      <c r="G16" s="177"/>
      <c r="H16" s="183">
        <f>VLOOKUP(B16,'Q MPP'!A:L,7,0)</f>
        <v>3432</v>
      </c>
      <c r="I16" s="184" t="str">
        <f t="shared" si="2"/>
        <v>VIGENTE</v>
      </c>
      <c r="J16" s="184" t="str">
        <f t="shared" si="3"/>
        <v>VIGENTE</v>
      </c>
      <c r="K16" s="184" t="str">
        <f>VLOOKUP(B16,'RECURSO ACTUAL'!A:C,3,0)</f>
        <v>PVS617</v>
      </c>
      <c r="L16" s="184" t="str">
        <f>VLOOKUP(B16,'RECURSO ACTUAL'!A:B,2,0)</f>
        <v>02-Medellin</v>
      </c>
    </row>
    <row r="17">
      <c r="A17" s="186"/>
      <c r="B17" s="180">
        <f>'RECURSO ACTUAL'!A17</f>
        <v>3249</v>
      </c>
      <c r="C17" s="181">
        <f>'RECURSO ACTUAL'!F17</f>
        <v>46661</v>
      </c>
      <c r="D17" s="182">
        <f>VLOOKUP(B17,'Q MPP'!A:L,8,0)</f>
        <v>46140</v>
      </c>
      <c r="E17" s="183">
        <f t="shared" si="1"/>
        <v>76</v>
      </c>
      <c r="F17" s="176">
        <f>VLOOKUP(B17,'Q MPP'!A:L,7,FALSE)</f>
        <v>2457</v>
      </c>
      <c r="G17" s="177"/>
      <c r="H17" s="183">
        <f>VLOOKUP(B17,'Q MPP'!A:L,7,0)</f>
        <v>2457</v>
      </c>
      <c r="I17" s="184" t="str">
        <f t="shared" si="2"/>
        <v>VIGENTE</v>
      </c>
      <c r="J17" s="184" t="str">
        <f t="shared" si="3"/>
        <v>VIGENTE</v>
      </c>
      <c r="K17" s="184" t="str">
        <f>VLOOKUP(B17,'RECURSO ACTUAL'!A:C,3,0)</f>
        <v>PVS616</v>
      </c>
      <c r="L17" s="184" t="str">
        <f>VLOOKUP(B17,'RECURSO ACTUAL'!A:B,2,0)</f>
        <v>02-Medellin</v>
      </c>
    </row>
    <row r="18">
      <c r="A18" s="186"/>
      <c r="B18" s="180">
        <f>'RECURSO ACTUAL'!A18</f>
        <v>3247</v>
      </c>
      <c r="C18" s="181">
        <f>'RECURSO ACTUAL'!F18</f>
        <v>46661</v>
      </c>
      <c r="D18" s="182">
        <f>VLOOKUP(B18,'Q MPP'!A:L,8,0)</f>
        <v>46129</v>
      </c>
      <c r="E18" s="183">
        <f t="shared" si="1"/>
        <v>87</v>
      </c>
      <c r="F18" s="176">
        <f>VLOOKUP(B18,'Q MPP'!A:L,7,FALSE)</f>
        <v>3092</v>
      </c>
      <c r="G18" s="177"/>
      <c r="H18" s="183">
        <f>VLOOKUP(B18,'Q MPP'!A:L,7,0)</f>
        <v>3092</v>
      </c>
      <c r="I18" s="184" t="str">
        <f t="shared" si="2"/>
        <v>PROXIMO</v>
      </c>
      <c r="J18" s="184" t="str">
        <f t="shared" si="3"/>
        <v>VIGENTE</v>
      </c>
      <c r="K18" s="184" t="str">
        <f>VLOOKUP(B18,'RECURSO ACTUAL'!A:C,3,0)</f>
        <v>PVS614</v>
      </c>
      <c r="L18" s="184" t="str">
        <f>VLOOKUP(B18,'RECURSO ACTUAL'!A:B,2,0)</f>
        <v>02-Medellin</v>
      </c>
    </row>
    <row r="19">
      <c r="A19" s="186"/>
      <c r="B19" s="180">
        <f>'RECURSO ACTUAL'!A19</f>
        <v>3246</v>
      </c>
      <c r="C19" s="181">
        <f>'RECURSO ACTUAL'!F19</f>
        <v>46661</v>
      </c>
      <c r="D19" s="182">
        <f>VLOOKUP(B19,'Q MPP'!A:L,8,0)</f>
        <v>46147</v>
      </c>
      <c r="E19" s="183">
        <f t="shared" si="1"/>
        <v>69</v>
      </c>
      <c r="F19" s="176">
        <f>VLOOKUP(B19,'Q MPP'!A:L,7,FALSE)</f>
        <v>1954</v>
      </c>
      <c r="G19" s="177"/>
      <c r="H19" s="183">
        <f>VLOOKUP(B19,'Q MPP'!A:L,7,0)</f>
        <v>1954</v>
      </c>
      <c r="I19" s="184" t="str">
        <f t="shared" si="2"/>
        <v>VIGENTE</v>
      </c>
      <c r="J19" s="184" t="str">
        <f t="shared" si="3"/>
        <v>VIGENTE</v>
      </c>
      <c r="K19" s="184" t="str">
        <f>VLOOKUP(B19,'RECURSO ACTUAL'!A:C,3,0)</f>
        <v>PVS613</v>
      </c>
      <c r="L19" s="184" t="str">
        <f>VLOOKUP(B19,'RECURSO ACTUAL'!A:B,2,0)</f>
        <v>02-Medellin</v>
      </c>
    </row>
    <row r="20">
      <c r="A20" s="186"/>
      <c r="B20" s="180">
        <f>'RECURSO ACTUAL'!A20</f>
        <v>3241</v>
      </c>
      <c r="C20" s="181">
        <f>'RECURSO ACTUAL'!F20</f>
        <v>46661</v>
      </c>
      <c r="D20" s="182">
        <f>VLOOKUP(B20,'Q MPP'!A:L,8,0)</f>
        <v>46147</v>
      </c>
      <c r="E20" s="183">
        <f t="shared" si="1"/>
        <v>69</v>
      </c>
      <c r="F20" s="176">
        <f>VLOOKUP(B20,'Q MPP'!A:L,7,FALSE)</f>
        <v>3142</v>
      </c>
      <c r="G20" s="177"/>
      <c r="H20" s="183">
        <f>VLOOKUP(B20,'Q MPP'!A:L,7,0)</f>
        <v>3142</v>
      </c>
      <c r="I20" s="184" t="str">
        <f t="shared" si="2"/>
        <v>VIGENTE</v>
      </c>
      <c r="J20" s="184" t="str">
        <f t="shared" si="3"/>
        <v>VIGENTE</v>
      </c>
      <c r="K20" s="184" t="str">
        <f>VLOOKUP(B20,'RECURSO ACTUAL'!A:C,3,0)</f>
        <v>PVS608</v>
      </c>
      <c r="L20" s="184" t="str">
        <f>VLOOKUP(B20,'RECURSO ACTUAL'!A:B,2,0)</f>
        <v>02-Medellin</v>
      </c>
    </row>
    <row r="21">
      <c r="A21" s="186"/>
      <c r="B21" s="180">
        <f>'RECURSO ACTUAL'!A21</f>
        <v>3231</v>
      </c>
      <c r="C21" s="181">
        <f>'RECURSO ACTUAL'!F21</f>
        <v>46660</v>
      </c>
      <c r="D21" s="182">
        <f>VLOOKUP(B21,'Q MPP'!A:L,8,0)</f>
        <v>46132</v>
      </c>
      <c r="E21" s="183">
        <f t="shared" si="1"/>
        <v>84</v>
      </c>
      <c r="F21" s="176">
        <f>VLOOKUP(B21,'Q MPP'!A:L,7,FALSE)</f>
        <v>2123</v>
      </c>
      <c r="G21" s="177"/>
      <c r="H21" s="183">
        <f>VLOOKUP(B21,'Q MPP'!A:L,7,0)</f>
        <v>2123</v>
      </c>
      <c r="I21" s="184" t="str">
        <f t="shared" si="2"/>
        <v>PROXIMO</v>
      </c>
      <c r="J21" s="184" t="str">
        <f t="shared" si="3"/>
        <v>VIGENTE</v>
      </c>
      <c r="K21" s="184" t="str">
        <f>VLOOKUP(B21,'RECURSO ACTUAL'!A:C,3,0)</f>
        <v>PVS598</v>
      </c>
      <c r="L21" s="184" t="str">
        <f>VLOOKUP(B21,'RECURSO ACTUAL'!A:B,2,0)</f>
        <v>02-Medellin</v>
      </c>
    </row>
    <row r="22">
      <c r="A22" s="186"/>
      <c r="B22" s="180">
        <f>'RECURSO ACTUAL'!A22</f>
        <v>3219</v>
      </c>
      <c r="C22" s="181">
        <f>'RECURSO ACTUAL'!F22</f>
        <v>46654</v>
      </c>
      <c r="D22" s="182">
        <f>VLOOKUP(B22,'Q MPP'!A:L,8,0)</f>
        <v>46156</v>
      </c>
      <c r="E22" s="183">
        <f t="shared" si="1"/>
        <v>60</v>
      </c>
      <c r="F22" s="176">
        <f>VLOOKUP(B22,'Q MPP'!A:L,7,FALSE)</f>
        <v>2004</v>
      </c>
      <c r="G22" s="177"/>
      <c r="H22" s="183">
        <f>VLOOKUP(B22,'Q MPP'!A:L,7,0)</f>
        <v>2004</v>
      </c>
      <c r="I22" s="184" t="str">
        <f t="shared" si="2"/>
        <v>VIGENTE</v>
      </c>
      <c r="J22" s="184" t="str">
        <f t="shared" si="3"/>
        <v>VIGENTE</v>
      </c>
      <c r="K22" s="184" t="str">
        <f>VLOOKUP(B22,'RECURSO ACTUAL'!A:C,3,0)</f>
        <v>PVS579</v>
      </c>
      <c r="L22" s="184" t="str">
        <f>VLOOKUP(B22,'RECURSO ACTUAL'!A:B,2,0)</f>
        <v>02-Medellin</v>
      </c>
    </row>
    <row r="23">
      <c r="A23" s="186"/>
      <c r="B23" s="180">
        <f>'RECURSO ACTUAL'!A23</f>
        <v>3216</v>
      </c>
      <c r="C23" s="181">
        <f>'RECURSO ACTUAL'!F23</f>
        <v>46654</v>
      </c>
      <c r="D23" s="182">
        <f>VLOOKUP(B23,'Q MPP'!A:L,8,0)</f>
        <v>46156</v>
      </c>
      <c r="E23" s="183">
        <f t="shared" si="1"/>
        <v>60</v>
      </c>
      <c r="F23" s="176">
        <f>VLOOKUP(B23,'Q MPP'!A:L,7,FALSE)</f>
        <v>1742</v>
      </c>
      <c r="G23" s="177"/>
      <c r="H23" s="183">
        <f>VLOOKUP(B23,'Q MPP'!A:L,7,0)</f>
        <v>1742</v>
      </c>
      <c r="I23" s="184" t="str">
        <f t="shared" si="2"/>
        <v>VIGENTE</v>
      </c>
      <c r="J23" s="184" t="str">
        <f t="shared" si="3"/>
        <v>VIGENTE</v>
      </c>
      <c r="K23" s="184" t="str">
        <f>VLOOKUP(B23,'RECURSO ACTUAL'!A:C,3,0)</f>
        <v>PVS576</v>
      </c>
      <c r="L23" s="184" t="str">
        <f>VLOOKUP(B23,'RECURSO ACTUAL'!A:B,2,0)</f>
        <v>02-Medellin</v>
      </c>
      <c r="M23" s="187">
        <v>8.6000766E8</v>
      </c>
    </row>
    <row r="24">
      <c r="A24" s="186"/>
      <c r="B24" s="180">
        <f>'RECURSO ACTUAL'!A24</f>
        <v>3215</v>
      </c>
      <c r="C24" s="181">
        <f>'RECURSO ACTUAL'!F24</f>
        <v>46654</v>
      </c>
      <c r="D24" s="182">
        <f>VLOOKUP(B24,'Q MPP'!A:L,8,0)</f>
        <v>46153</v>
      </c>
      <c r="E24" s="183">
        <f t="shared" si="1"/>
        <v>63</v>
      </c>
      <c r="F24" s="176">
        <f>VLOOKUP(B24,'Q MPP'!A:L,7,FALSE)</f>
        <v>1573</v>
      </c>
      <c r="G24" s="177"/>
      <c r="H24" s="183">
        <f>VLOOKUP(B24,'Q MPP'!A:L,7,0)</f>
        <v>1573</v>
      </c>
      <c r="I24" s="184" t="str">
        <f t="shared" si="2"/>
        <v>VIGENTE</v>
      </c>
      <c r="J24" s="184" t="str">
        <f t="shared" si="3"/>
        <v>VIGENTE</v>
      </c>
      <c r="K24" s="184" t="str">
        <f>VLOOKUP(B24,'RECURSO ACTUAL'!A:C,3,0)</f>
        <v>PVS575</v>
      </c>
      <c r="L24" s="184" t="str">
        <f>VLOOKUP(B24,'RECURSO ACTUAL'!A:B,2,0)</f>
        <v>02-Medellin</v>
      </c>
    </row>
    <row r="25">
      <c r="A25" s="186"/>
      <c r="B25" s="180">
        <f>'RECURSO ACTUAL'!A25</f>
        <v>3214</v>
      </c>
      <c r="C25" s="181">
        <f>'RECURSO ACTUAL'!F25</f>
        <v>46654</v>
      </c>
      <c r="D25" s="182">
        <f>VLOOKUP(B25,'Q MPP'!A:L,8,0)</f>
        <v>46147</v>
      </c>
      <c r="E25" s="183">
        <f t="shared" si="1"/>
        <v>69</v>
      </c>
      <c r="F25" s="176">
        <f>VLOOKUP(B25,'Q MPP'!A:L,7,FALSE)</f>
        <v>2139</v>
      </c>
      <c r="G25" s="177"/>
      <c r="H25" s="183">
        <f>VLOOKUP(B25,'Q MPP'!A:L,7,0)</f>
        <v>2139</v>
      </c>
      <c r="I25" s="184" t="str">
        <f t="shared" si="2"/>
        <v>VIGENTE</v>
      </c>
      <c r="J25" s="184" t="str">
        <f t="shared" si="3"/>
        <v>VIGENTE</v>
      </c>
      <c r="K25" s="184" t="str">
        <f>VLOOKUP(B25,'RECURSO ACTUAL'!A:C,3,0)</f>
        <v>PVS574</v>
      </c>
      <c r="L25" s="184" t="str">
        <f>VLOOKUP(B25,'RECURSO ACTUAL'!A:B,2,0)</f>
        <v>02-Medellin</v>
      </c>
    </row>
    <row r="26">
      <c r="A26" s="179"/>
      <c r="B26" s="180">
        <f>'RECURSO ACTUAL'!A26</f>
        <v>3213</v>
      </c>
      <c r="C26" s="181">
        <f>'RECURSO ACTUAL'!F26</f>
        <v>46654</v>
      </c>
      <c r="D26" s="182">
        <f>VLOOKUP(B26,'Q MPP'!A:L,8,0)</f>
        <v>46156</v>
      </c>
      <c r="E26" s="183">
        <f t="shared" si="1"/>
        <v>60</v>
      </c>
      <c r="F26" s="176">
        <f>VLOOKUP(B26,'Q MPP'!A:L,7,FALSE)</f>
        <v>2011</v>
      </c>
      <c r="G26" s="177"/>
      <c r="H26" s="183">
        <f>VLOOKUP(B26,'Q MPP'!A:L,7,0)</f>
        <v>2011</v>
      </c>
      <c r="I26" s="184" t="str">
        <f t="shared" si="2"/>
        <v>VIGENTE</v>
      </c>
      <c r="J26" s="184" t="str">
        <f t="shared" si="3"/>
        <v>VIGENTE</v>
      </c>
      <c r="K26" s="184" t="str">
        <f>VLOOKUP(B26,'RECURSO ACTUAL'!A:C,3,0)</f>
        <v>PVS573</v>
      </c>
      <c r="L26" s="184" t="str">
        <f>VLOOKUP(B26,'RECURSO ACTUAL'!A:B,2,0)</f>
        <v>02-Medellin</v>
      </c>
    </row>
    <row r="27">
      <c r="A27" s="179"/>
      <c r="B27" s="180">
        <f>'RECURSO ACTUAL'!A27</f>
        <v>3212</v>
      </c>
      <c r="C27" s="181">
        <f>'RECURSO ACTUAL'!F27</f>
        <v>46654</v>
      </c>
      <c r="D27" s="182">
        <f>VLOOKUP(B27,'Q MPP'!A:L,8,0)</f>
        <v>46100</v>
      </c>
      <c r="E27" s="183">
        <f t="shared" si="1"/>
        <v>116</v>
      </c>
      <c r="F27" s="176">
        <f>VLOOKUP(B27,'Q MPP'!A:L,7,FALSE)</f>
        <v>3913</v>
      </c>
      <c r="G27" s="177"/>
      <c r="H27" s="183">
        <f>VLOOKUP(B27,'Q MPP'!A:L,7,0)</f>
        <v>3913</v>
      </c>
      <c r="I27" s="184" t="str">
        <f t="shared" si="2"/>
        <v>PASADO</v>
      </c>
      <c r="J27" s="184" t="str">
        <f t="shared" si="3"/>
        <v>VIGENTE</v>
      </c>
      <c r="K27" s="184" t="str">
        <f>VLOOKUP(B27,'RECURSO ACTUAL'!A:C,3,0)</f>
        <v>PVS572</v>
      </c>
      <c r="L27" s="184" t="str">
        <f>VLOOKUP(B27,'RECURSO ACTUAL'!A:B,2,0)</f>
        <v>02-Medellin</v>
      </c>
    </row>
    <row r="28">
      <c r="A28" s="179"/>
      <c r="B28" s="180">
        <f>'RECURSO ACTUAL'!A28</f>
        <v>3210</v>
      </c>
      <c r="C28" s="181">
        <f>'RECURSO ACTUAL'!F28</f>
        <v>46648</v>
      </c>
      <c r="D28" s="182">
        <f>VLOOKUP(B28,'Q MPP'!A:L,8,0)</f>
        <v>46157</v>
      </c>
      <c r="E28" s="183">
        <f t="shared" si="1"/>
        <v>59</v>
      </c>
      <c r="F28" s="176">
        <f>VLOOKUP(B28,'Q MPP'!A:L,7,FALSE)</f>
        <v>2506</v>
      </c>
      <c r="G28" s="177"/>
      <c r="H28" s="183">
        <f>VLOOKUP(B28,'Q MPP'!A:L,7,0)</f>
        <v>2506</v>
      </c>
      <c r="I28" s="184" t="str">
        <f t="shared" si="2"/>
        <v>VIGENTE</v>
      </c>
      <c r="J28" s="184" t="str">
        <f t="shared" si="3"/>
        <v>VIGENTE</v>
      </c>
      <c r="K28" s="184" t="str">
        <f>VLOOKUP(B28,'RECURSO ACTUAL'!A:C,3,0)</f>
        <v>PVS567</v>
      </c>
      <c r="L28" s="184" t="str">
        <f>VLOOKUP(B28,'RECURSO ACTUAL'!A:B,2,0)</f>
        <v>02-Medellin</v>
      </c>
    </row>
    <row r="29">
      <c r="A29" s="179"/>
      <c r="B29" s="180">
        <f>'RECURSO ACTUAL'!A30</f>
        <v>3202</v>
      </c>
      <c r="C29" s="181">
        <f>'RECURSO ACTUAL'!F30</f>
        <v>46653</v>
      </c>
      <c r="D29" s="182">
        <f>VLOOKUP(B29,'Q MPP'!A:L,8,0)</f>
        <v>46099</v>
      </c>
      <c r="E29" s="183">
        <f t="shared" si="1"/>
        <v>117</v>
      </c>
      <c r="F29" s="176">
        <f>VLOOKUP(B29,'Q MPP'!A:L,7,FALSE)</f>
        <v>6154</v>
      </c>
      <c r="G29" s="177"/>
      <c r="H29" s="183">
        <f>VLOOKUP(B29,'Q MPP'!A:L,7,0)</f>
        <v>6154</v>
      </c>
      <c r="I29" s="184" t="str">
        <f t="shared" si="2"/>
        <v>PASADO</v>
      </c>
      <c r="J29" s="184" t="str">
        <f t="shared" si="3"/>
        <v>PASADO</v>
      </c>
      <c r="K29" s="184" t="str">
        <f>VLOOKUP(B29,'RECURSO ACTUAL'!A:C,3,0)</f>
        <v>PVS559</v>
      </c>
      <c r="L29" s="184" t="str">
        <f>VLOOKUP(B29,'RECURSO ACTUAL'!A:B,2,0)</f>
        <v>02-Medellin</v>
      </c>
    </row>
    <row r="30">
      <c r="A30" s="179"/>
      <c r="B30" s="180">
        <f>'RECURSO ACTUAL'!A31</f>
        <v>3201</v>
      </c>
      <c r="C30" s="181">
        <f>'RECURSO ACTUAL'!F31</f>
        <v>46654</v>
      </c>
      <c r="D30" s="182">
        <f>VLOOKUP(B30,'Q MPP'!A:L,8,0)</f>
        <v>46157</v>
      </c>
      <c r="E30" s="183">
        <f t="shared" si="1"/>
        <v>59</v>
      </c>
      <c r="F30" s="176">
        <f>VLOOKUP(B30,'Q MPP'!A:L,7,FALSE)</f>
        <v>1873</v>
      </c>
      <c r="G30" s="177"/>
      <c r="H30" s="183">
        <f>VLOOKUP(B30,'Q MPP'!A:L,7,0)</f>
        <v>1873</v>
      </c>
      <c r="I30" s="184" t="str">
        <f t="shared" si="2"/>
        <v>VIGENTE</v>
      </c>
      <c r="J30" s="184" t="str">
        <f t="shared" si="3"/>
        <v>VIGENTE</v>
      </c>
      <c r="K30" s="184" t="str">
        <f>VLOOKUP(B30,'RECURSO ACTUAL'!A:C,3,0)</f>
        <v>PVS558</v>
      </c>
      <c r="L30" s="184" t="str">
        <f>VLOOKUP(B30,'RECURSO ACTUAL'!A:B,2,0)</f>
        <v>02-Medellin</v>
      </c>
    </row>
    <row r="31">
      <c r="A31" s="179"/>
      <c r="B31" s="180">
        <f>'RECURSO ACTUAL'!A32</f>
        <v>3200</v>
      </c>
      <c r="C31" s="181">
        <f>'RECURSO ACTUAL'!F32</f>
        <v>46654</v>
      </c>
      <c r="D31" s="182">
        <f>VLOOKUP(B31,'Q MPP'!A:L,8,0)</f>
        <v>46150</v>
      </c>
      <c r="E31" s="183">
        <f t="shared" si="1"/>
        <v>66</v>
      </c>
      <c r="F31" s="176">
        <f>VLOOKUP(B31,'Q MPP'!A:L,7,FALSE)</f>
        <v>2792</v>
      </c>
      <c r="G31" s="177"/>
      <c r="H31" s="183">
        <f>VLOOKUP(B31,'Q MPP'!A:L,7,0)</f>
        <v>2792</v>
      </c>
      <c r="I31" s="184" t="str">
        <f t="shared" si="2"/>
        <v>VIGENTE</v>
      </c>
      <c r="J31" s="184" t="str">
        <f t="shared" si="3"/>
        <v>VIGENTE</v>
      </c>
      <c r="K31" s="184" t="str">
        <f>VLOOKUP(B31,'RECURSO ACTUAL'!A:C,3,0)</f>
        <v>PVS557</v>
      </c>
      <c r="L31" s="184" t="str">
        <f>VLOOKUP(B31,'RECURSO ACTUAL'!A:B,2,0)</f>
        <v>02-Medellin</v>
      </c>
    </row>
    <row r="32">
      <c r="A32" s="186"/>
      <c r="B32" s="180">
        <f>'RECURSO ACTUAL'!A33</f>
        <v>3198</v>
      </c>
      <c r="C32" s="181">
        <f>'RECURSO ACTUAL'!F33</f>
        <v>46654</v>
      </c>
      <c r="D32" s="182">
        <f>VLOOKUP(B32,'Q MPP'!A:L,8,0)</f>
        <v>46155</v>
      </c>
      <c r="E32" s="183">
        <f t="shared" si="1"/>
        <v>61</v>
      </c>
      <c r="F32" s="176">
        <f>VLOOKUP(B32,'Q MPP'!A:L,7,FALSE)</f>
        <v>2575</v>
      </c>
      <c r="G32" s="177"/>
      <c r="H32" s="183">
        <f>VLOOKUP(B32,'Q MPP'!A:L,7,0)</f>
        <v>2575</v>
      </c>
      <c r="I32" s="184" t="str">
        <f t="shared" si="2"/>
        <v>VIGENTE</v>
      </c>
      <c r="J32" s="184" t="str">
        <f t="shared" si="3"/>
        <v>VIGENTE</v>
      </c>
      <c r="K32" s="184" t="str">
        <f>VLOOKUP(B32,'RECURSO ACTUAL'!A:C,3,0)</f>
        <v>PVS555</v>
      </c>
      <c r="L32" s="184" t="str">
        <f>VLOOKUP(B32,'RECURSO ACTUAL'!A:B,2,0)</f>
        <v>31-Copacabana</v>
      </c>
    </row>
    <row r="33">
      <c r="A33" s="186"/>
      <c r="B33" s="180">
        <f>'RECURSO ACTUAL'!A34</f>
        <v>3197</v>
      </c>
      <c r="C33" s="181">
        <f>'RECURSO ACTUAL'!F34</f>
        <v>46653</v>
      </c>
      <c r="D33" s="182">
        <f>VLOOKUP(B33,'Q MPP'!A:L,8,0)</f>
        <v>46147</v>
      </c>
      <c r="E33" s="183">
        <f t="shared" si="1"/>
        <v>69</v>
      </c>
      <c r="F33" s="176">
        <f>VLOOKUP(B33,'Q MPP'!A:L,7,FALSE)</f>
        <v>1844</v>
      </c>
      <c r="G33" s="177"/>
      <c r="H33" s="183">
        <f>VLOOKUP(B33,'Q MPP'!A:L,7,0)</f>
        <v>1844</v>
      </c>
      <c r="I33" s="184" t="str">
        <f t="shared" si="2"/>
        <v>VIGENTE</v>
      </c>
      <c r="J33" s="184" t="str">
        <f t="shared" si="3"/>
        <v>VIGENTE</v>
      </c>
      <c r="K33" s="184" t="str">
        <f>VLOOKUP(B33,'RECURSO ACTUAL'!A:C,3,0)</f>
        <v>PVS554</v>
      </c>
      <c r="L33" s="184" t="str">
        <f>VLOOKUP(B33,'RECURSO ACTUAL'!A:B,2,0)</f>
        <v>02-Medellin</v>
      </c>
    </row>
    <row r="34">
      <c r="A34" s="186"/>
      <c r="B34" s="180">
        <f>'RECURSO ACTUAL'!A35</f>
        <v>2927</v>
      </c>
      <c r="C34" s="181">
        <f>'RECURSO ACTUAL'!F35</f>
        <v>46318</v>
      </c>
      <c r="D34" s="182">
        <f>VLOOKUP(B34,'Q MPP'!A:L,8,0)</f>
        <v>46161</v>
      </c>
      <c r="E34" s="183">
        <f t="shared" si="1"/>
        <v>55</v>
      </c>
      <c r="F34" s="176">
        <f>VLOOKUP(B34,'Q MPP'!A:L,7,FALSE)</f>
        <v>2119</v>
      </c>
      <c r="G34" s="177"/>
      <c r="H34" s="183">
        <f>VLOOKUP(B34,'Q MPP'!A:L,7,0)</f>
        <v>2119</v>
      </c>
      <c r="I34" s="184" t="str">
        <f t="shared" si="2"/>
        <v>VIGENTE</v>
      </c>
      <c r="J34" s="184" t="str">
        <f t="shared" si="3"/>
        <v>VIGENTE</v>
      </c>
      <c r="K34" s="184" t="str">
        <f>VLOOKUP(B34,'RECURSO ACTUAL'!A:C,3,0)</f>
        <v>NNZ367</v>
      </c>
      <c r="L34" s="184" t="str">
        <f>VLOOKUP(B34,'RECURSO ACTUAL'!A:B,2,0)</f>
        <v>02-Medellin</v>
      </c>
    </row>
    <row r="35">
      <c r="A35" s="186"/>
      <c r="B35" s="180">
        <f>'RECURSO ACTUAL'!A36</f>
        <v>2926</v>
      </c>
      <c r="C35" s="181">
        <f>'RECURSO ACTUAL'!F36</f>
        <v>46318</v>
      </c>
      <c r="D35" s="182">
        <f>VLOOKUP(B35,'Q MPP'!A:L,8,0)</f>
        <v>46073</v>
      </c>
      <c r="E35" s="183">
        <f t="shared" si="1"/>
        <v>143</v>
      </c>
      <c r="F35" s="176">
        <f>VLOOKUP(B35,'Q MPP'!A:L,7,FALSE)</f>
        <v>6160</v>
      </c>
      <c r="G35" s="177"/>
      <c r="H35" s="183">
        <f>VLOOKUP(B35,'Q MPP'!A:L,7,0)</f>
        <v>6160</v>
      </c>
      <c r="I35" s="184" t="str">
        <f t="shared" si="2"/>
        <v>PASADO</v>
      </c>
      <c r="J35" s="184" t="str">
        <f t="shared" si="3"/>
        <v>PASADO</v>
      </c>
      <c r="K35" s="184" t="str">
        <f>VLOOKUP(B35,'RECURSO ACTUAL'!A:C,3,0)</f>
        <v>NNZ366</v>
      </c>
      <c r="L35" s="184" t="str">
        <f>VLOOKUP(B35,'RECURSO ACTUAL'!A:B,2,0)</f>
        <v>31-Copacabana</v>
      </c>
    </row>
    <row r="36">
      <c r="A36" s="186"/>
      <c r="B36" s="180">
        <f>'RECURSO ACTUAL'!A37</f>
        <v>2925</v>
      </c>
      <c r="C36" s="181">
        <f>'RECURSO ACTUAL'!F37</f>
        <v>46318</v>
      </c>
      <c r="D36" s="182">
        <f>VLOOKUP(B36,'Q MPP'!A:L,8,0)</f>
        <v>46162</v>
      </c>
      <c r="E36" s="183">
        <f t="shared" si="1"/>
        <v>54</v>
      </c>
      <c r="F36" s="176">
        <f>VLOOKUP(B36,'Q MPP'!A:L,7,FALSE)</f>
        <v>2254</v>
      </c>
      <c r="G36" s="177"/>
      <c r="H36" s="183">
        <f>VLOOKUP(B36,'Q MPP'!A:L,7,0)</f>
        <v>2254</v>
      </c>
      <c r="I36" s="184" t="str">
        <f t="shared" si="2"/>
        <v>VIGENTE</v>
      </c>
      <c r="J36" s="184" t="str">
        <f t="shared" si="3"/>
        <v>VIGENTE</v>
      </c>
      <c r="K36" s="184" t="str">
        <f>VLOOKUP(B36,'RECURSO ACTUAL'!A:C,3,0)</f>
        <v>NNZ365</v>
      </c>
      <c r="L36" s="184" t="str">
        <f>VLOOKUP(B36,'RECURSO ACTUAL'!A:B,2,0)</f>
        <v>02-Medellin</v>
      </c>
    </row>
    <row r="37">
      <c r="A37" s="186"/>
      <c r="B37" s="180">
        <f>'RECURSO ACTUAL'!A38</f>
        <v>2924</v>
      </c>
      <c r="C37" s="181">
        <f>'RECURSO ACTUAL'!F38</f>
        <v>46318</v>
      </c>
      <c r="D37" s="182">
        <f>VLOOKUP(B37,'Q MPP'!A:L,8,0)</f>
        <v>46176</v>
      </c>
      <c r="E37" s="183">
        <f t="shared" si="1"/>
        <v>40</v>
      </c>
      <c r="F37" s="176">
        <f>VLOOKUP(B37,'Q MPP'!A:L,7,FALSE)</f>
        <v>1422</v>
      </c>
      <c r="G37" s="177"/>
      <c r="H37" s="183">
        <f>VLOOKUP(B37,'Q MPP'!A:L,7,0)</f>
        <v>1422</v>
      </c>
      <c r="I37" s="184" t="str">
        <f t="shared" si="2"/>
        <v>VIGENTE</v>
      </c>
      <c r="J37" s="184" t="str">
        <f t="shared" si="3"/>
        <v>VIGENTE</v>
      </c>
      <c r="K37" s="184" t="str">
        <f>VLOOKUP(B37,'RECURSO ACTUAL'!A:C,3,0)</f>
        <v>NNZ364</v>
      </c>
      <c r="L37" s="184" t="str">
        <f>VLOOKUP(B37,'RECURSO ACTUAL'!A:B,2,0)</f>
        <v>02-Medellin</v>
      </c>
    </row>
    <row r="38">
      <c r="A38" s="186"/>
      <c r="B38" s="180">
        <f>'RECURSO ACTUAL'!A39</f>
        <v>2923</v>
      </c>
      <c r="C38" s="181">
        <f>'RECURSO ACTUAL'!F39</f>
        <v>46318</v>
      </c>
      <c r="D38" s="182">
        <f>VLOOKUP(B38,'Q MPP'!A:L,8,0)</f>
        <v>46119</v>
      </c>
      <c r="E38" s="183">
        <f t="shared" si="1"/>
        <v>97</v>
      </c>
      <c r="F38" s="176">
        <f>VLOOKUP(B38,'Q MPP'!A:L,7,FALSE)</f>
        <v>7217</v>
      </c>
      <c r="G38" s="177"/>
      <c r="H38" s="183">
        <f>VLOOKUP(B38,'Q MPP'!A:L,7,0)</f>
        <v>7217</v>
      </c>
      <c r="I38" s="184" t="str">
        <f t="shared" si="2"/>
        <v>PASADO</v>
      </c>
      <c r="J38" s="184" t="str">
        <f t="shared" si="3"/>
        <v>PASADO</v>
      </c>
      <c r="K38" s="184" t="str">
        <f>VLOOKUP(B38,'RECURSO ACTUAL'!A:C,3,0)</f>
        <v>NNZ363</v>
      </c>
      <c r="L38" s="184" t="str">
        <f>VLOOKUP(B38,'RECURSO ACTUAL'!A:B,2,0)</f>
        <v>BULTOS</v>
      </c>
    </row>
    <row r="39">
      <c r="A39" s="186"/>
      <c r="B39" s="180">
        <f>'RECURSO ACTUAL'!A40</f>
        <v>2922</v>
      </c>
      <c r="C39" s="181">
        <f>'RECURSO ACTUAL'!F40</f>
        <v>46318</v>
      </c>
      <c r="D39" s="182">
        <f>VLOOKUP(B39,'Q MPP'!A:L,8,0)</f>
        <v>46171</v>
      </c>
      <c r="E39" s="183">
        <f t="shared" si="1"/>
        <v>45</v>
      </c>
      <c r="F39" s="176">
        <f>VLOOKUP(B39,'Q MPP'!A:L,7,FALSE)</f>
        <v>1111</v>
      </c>
      <c r="G39" s="177"/>
      <c r="H39" s="183">
        <f>VLOOKUP(B39,'Q MPP'!A:L,7,0)</f>
        <v>1111</v>
      </c>
      <c r="I39" s="184" t="str">
        <f t="shared" si="2"/>
        <v>VIGENTE</v>
      </c>
      <c r="J39" s="184" t="str">
        <f t="shared" si="3"/>
        <v>VIGENTE</v>
      </c>
      <c r="K39" s="184" t="str">
        <f>VLOOKUP(B39,'RECURSO ACTUAL'!A:C,3,0)</f>
        <v>NNZ362</v>
      </c>
      <c r="L39" s="184" t="str">
        <f>VLOOKUP(B39,'RECURSO ACTUAL'!A:B,2,0)</f>
        <v>02-Medellin</v>
      </c>
    </row>
    <row r="40">
      <c r="A40" s="179"/>
      <c r="B40" s="180">
        <f>'RECURSO ACTUAL'!A41</f>
        <v>2921</v>
      </c>
      <c r="C40" s="181">
        <f>'RECURSO ACTUAL'!F41</f>
        <v>46318</v>
      </c>
      <c r="D40" s="182">
        <f>VLOOKUP(B40,'Q MPP'!A:L,8,0)</f>
        <v>46121</v>
      </c>
      <c r="E40" s="183">
        <f t="shared" si="1"/>
        <v>95</v>
      </c>
      <c r="F40" s="176">
        <f>VLOOKUP(B40,'Q MPP'!A:L,7,FALSE)</f>
        <v>2718</v>
      </c>
      <c r="G40" s="177"/>
      <c r="H40" s="183">
        <f>VLOOKUP(B40,'Q MPP'!A:L,7,0)</f>
        <v>2718</v>
      </c>
      <c r="I40" s="184" t="str">
        <f t="shared" si="2"/>
        <v>PASADO</v>
      </c>
      <c r="J40" s="184" t="str">
        <f t="shared" si="3"/>
        <v>VIGENTE</v>
      </c>
      <c r="K40" s="184" t="str">
        <f>VLOOKUP(B40,'RECURSO ACTUAL'!A:C,3,0)</f>
        <v>NNZ361</v>
      </c>
      <c r="L40" s="184" t="str">
        <f>VLOOKUP(B40,'RECURSO ACTUAL'!A:B,2,0)</f>
        <v>MAYORCA</v>
      </c>
    </row>
    <row r="41">
      <c r="A41" s="186"/>
      <c r="B41" s="180">
        <f>'RECURSO ACTUAL'!A42</f>
        <v>2920</v>
      </c>
      <c r="C41" s="181">
        <f>'RECURSO ACTUAL'!F42</f>
        <v>46317</v>
      </c>
      <c r="D41" s="182">
        <f>VLOOKUP(B41,'Q MPP'!A:L,8,0)</f>
        <v>46155</v>
      </c>
      <c r="E41" s="183">
        <f t="shared" si="1"/>
        <v>61</v>
      </c>
      <c r="F41" s="176">
        <f>VLOOKUP(B41,'Q MPP'!A:L,7,FALSE)</f>
        <v>2703</v>
      </c>
      <c r="G41" s="177"/>
      <c r="H41" s="183">
        <f>VLOOKUP(B41,'Q MPP'!A:L,7,0)</f>
        <v>2703</v>
      </c>
      <c r="I41" s="184" t="str">
        <f t="shared" si="2"/>
        <v>VIGENTE</v>
      </c>
      <c r="J41" s="184" t="str">
        <f t="shared" si="3"/>
        <v>VIGENTE</v>
      </c>
      <c r="K41" s="184" t="str">
        <f>VLOOKUP(B41,'RECURSO ACTUAL'!A:C,3,0)</f>
        <v>NNZ360</v>
      </c>
      <c r="L41" s="184" t="str">
        <f>VLOOKUP(B41,'RECURSO ACTUAL'!A:B,2,0)</f>
        <v>31-Copacabana</v>
      </c>
    </row>
    <row r="42">
      <c r="A42" s="179"/>
      <c r="B42" s="180">
        <f>'RECURSO ACTUAL'!A43</f>
        <v>2919</v>
      </c>
      <c r="C42" s="181">
        <f>'RECURSO ACTUAL'!F43</f>
        <v>46303</v>
      </c>
      <c r="D42" s="182">
        <f>VLOOKUP(B42,'Q MPP'!A:L,8,0)</f>
        <v>46153</v>
      </c>
      <c r="E42" s="183">
        <f t="shared" si="1"/>
        <v>63</v>
      </c>
      <c r="F42" s="176">
        <f>VLOOKUP(B42,'Q MPP'!A:L,7,FALSE)</f>
        <v>1237</v>
      </c>
      <c r="G42" s="177"/>
      <c r="H42" s="183">
        <f>VLOOKUP(B42,'Q MPP'!A:L,7,0)</f>
        <v>1237</v>
      </c>
      <c r="I42" s="184" t="str">
        <f t="shared" si="2"/>
        <v>VIGENTE</v>
      </c>
      <c r="J42" s="184" t="str">
        <f t="shared" si="3"/>
        <v>VIGENTE</v>
      </c>
      <c r="K42" s="184" t="str">
        <f>VLOOKUP(B42,'RECURSO ACTUAL'!A:C,3,0)</f>
        <v>NNZ351</v>
      </c>
      <c r="L42" s="184" t="str">
        <f>VLOOKUP(B42,'RECURSO ACTUAL'!A:B,2,0)</f>
        <v>MAYORCA</v>
      </c>
    </row>
    <row r="43">
      <c r="A43" s="186"/>
      <c r="B43" s="180">
        <f>'RECURSO ACTUAL'!A44</f>
        <v>2918</v>
      </c>
      <c r="C43" s="181">
        <f>'RECURSO ACTUAL'!F44</f>
        <v>46303</v>
      </c>
      <c r="D43" s="182">
        <f>VLOOKUP(B43,'Q MPP'!A:L,8,0)</f>
        <v>46140</v>
      </c>
      <c r="E43" s="183">
        <f t="shared" si="1"/>
        <v>76</v>
      </c>
      <c r="F43" s="176">
        <f>VLOOKUP(B43,'Q MPP'!A:L,7,FALSE)</f>
        <v>2406</v>
      </c>
      <c r="G43" s="177"/>
      <c r="H43" s="183">
        <f>VLOOKUP(B43,'Q MPP'!A:L,7,0)</f>
        <v>2406</v>
      </c>
      <c r="I43" s="184" t="str">
        <f t="shared" si="2"/>
        <v>VIGENTE</v>
      </c>
      <c r="J43" s="184" t="str">
        <f t="shared" si="3"/>
        <v>VIGENTE</v>
      </c>
      <c r="K43" s="184" t="str">
        <f>VLOOKUP(B43,'RECURSO ACTUAL'!A:C,3,0)</f>
        <v>NNZ350</v>
      </c>
      <c r="L43" s="184" t="str">
        <f>VLOOKUP(B43,'RECURSO ACTUAL'!A:B,2,0)</f>
        <v>02-Medellin</v>
      </c>
    </row>
    <row r="44">
      <c r="A44" s="186"/>
      <c r="B44" s="180">
        <f>'RECURSO ACTUAL'!A45</f>
        <v>2911</v>
      </c>
      <c r="C44" s="181">
        <f>'RECURSO ACTUAL'!F45</f>
        <v>46275</v>
      </c>
      <c r="D44" s="182">
        <f>VLOOKUP(B44,'Q MPP'!A:L,8,0)</f>
        <v>46147</v>
      </c>
      <c r="E44" s="183">
        <f t="shared" si="1"/>
        <v>69</v>
      </c>
      <c r="F44" s="176">
        <f>VLOOKUP(B44,'Q MPP'!A:L,7,FALSE)</f>
        <v>3398</v>
      </c>
      <c r="G44" s="177"/>
      <c r="H44" s="183">
        <f>VLOOKUP(B44,'Q MPP'!A:L,7,0)</f>
        <v>3398</v>
      </c>
      <c r="I44" s="184" t="str">
        <f t="shared" si="2"/>
        <v>VIGENTE</v>
      </c>
      <c r="J44" s="184" t="str">
        <f t="shared" si="3"/>
        <v>VIGENTE</v>
      </c>
      <c r="K44" s="184" t="str">
        <f>VLOOKUP(B44,'RECURSO ACTUAL'!A:C,3,0)</f>
        <v>NNZ339</v>
      </c>
      <c r="L44" s="184" t="str">
        <f>VLOOKUP(B44,'RECURSO ACTUAL'!A:B,2,0)</f>
        <v>31-Copacabana</v>
      </c>
    </row>
    <row r="45">
      <c r="A45" s="186"/>
      <c r="B45" s="180">
        <f>'RECURSO ACTUAL'!A46</f>
        <v>2910</v>
      </c>
      <c r="C45" s="181">
        <f>'RECURSO ACTUAL'!F46</f>
        <v>46275</v>
      </c>
      <c r="D45" s="182">
        <f>VLOOKUP(B45,'Q MPP'!A:L,8,0)</f>
        <v>46154</v>
      </c>
      <c r="E45" s="183">
        <f t="shared" si="1"/>
        <v>62</v>
      </c>
      <c r="F45" s="176">
        <f>VLOOKUP(B45,'Q MPP'!A:L,7,FALSE)</f>
        <v>3839</v>
      </c>
      <c r="G45" s="177"/>
      <c r="H45" s="183">
        <f>VLOOKUP(B45,'Q MPP'!A:L,7,0)</f>
        <v>3839</v>
      </c>
      <c r="I45" s="184" t="str">
        <f t="shared" si="2"/>
        <v>VIGENTE</v>
      </c>
      <c r="J45" s="184" t="str">
        <f t="shared" si="3"/>
        <v>VIGENTE</v>
      </c>
      <c r="K45" s="184" t="str">
        <f>VLOOKUP(B45,'RECURSO ACTUAL'!A:C,3,0)</f>
        <v>NNZ338</v>
      </c>
      <c r="L45" s="184" t="str">
        <f>VLOOKUP(B45,'RECURSO ACTUAL'!A:B,2,0)</f>
        <v>24-Rionegro</v>
      </c>
    </row>
    <row r="46">
      <c r="A46" s="179"/>
      <c r="B46" s="180">
        <f>'RECURSO ACTUAL'!A47</f>
        <v>2909</v>
      </c>
      <c r="C46" s="181">
        <f>'RECURSO ACTUAL'!F47</f>
        <v>46275</v>
      </c>
      <c r="D46" s="182">
        <f>VLOOKUP(B46,'Q MPP'!A:L,8,0)</f>
        <v>46132</v>
      </c>
      <c r="E46" s="183">
        <f t="shared" si="1"/>
        <v>84</v>
      </c>
      <c r="F46" s="176">
        <f>VLOOKUP(B46,'Q MPP'!A:L,7,FALSE)</f>
        <v>3959</v>
      </c>
      <c r="G46" s="177"/>
      <c r="H46" s="183">
        <f>VLOOKUP(B46,'Q MPP'!A:L,7,0)</f>
        <v>3959</v>
      </c>
      <c r="I46" s="184" t="str">
        <f t="shared" si="2"/>
        <v>PROXIMO</v>
      </c>
      <c r="J46" s="184" t="str">
        <f t="shared" si="3"/>
        <v>VIGENTE</v>
      </c>
      <c r="K46" s="184" t="str">
        <f>VLOOKUP(B46,'RECURSO ACTUAL'!A:C,3,0)</f>
        <v>NNZ336</v>
      </c>
      <c r="L46" s="184" t="str">
        <f>VLOOKUP(B46,'RECURSO ACTUAL'!A:B,2,0)</f>
        <v>02-Medellin</v>
      </c>
    </row>
    <row r="47">
      <c r="A47" s="186"/>
      <c r="B47" s="180">
        <f>'RECURSO ACTUAL'!A48</f>
        <v>2908</v>
      </c>
      <c r="C47" s="181">
        <f>'RECURSO ACTUAL'!F48</f>
        <v>46275</v>
      </c>
      <c r="D47" s="182">
        <f>VLOOKUP(B47,'Q MPP'!A:L,8,0)</f>
        <v>46149</v>
      </c>
      <c r="E47" s="183">
        <f t="shared" si="1"/>
        <v>67</v>
      </c>
      <c r="F47" s="176">
        <f>VLOOKUP(B47,'Q MPP'!A:L,7,FALSE)</f>
        <v>3523</v>
      </c>
      <c r="G47" s="177"/>
      <c r="H47" s="183">
        <f>VLOOKUP(B47,'Q MPP'!A:L,7,0)</f>
        <v>3523</v>
      </c>
      <c r="I47" s="184" t="str">
        <f t="shared" si="2"/>
        <v>VIGENTE</v>
      </c>
      <c r="J47" s="184" t="str">
        <f t="shared" si="3"/>
        <v>VIGENTE</v>
      </c>
      <c r="K47" s="184" t="str">
        <f>VLOOKUP(B47,'RECURSO ACTUAL'!A:C,3,0)</f>
        <v>NNZ335</v>
      </c>
      <c r="L47" s="184" t="str">
        <f>VLOOKUP(B47,'RECURSO ACTUAL'!A:B,2,0)</f>
        <v>24-Rionegro</v>
      </c>
    </row>
    <row r="48">
      <c r="A48" s="186"/>
      <c r="B48" s="180">
        <f>'RECURSO ACTUAL'!A49</f>
        <v>2907</v>
      </c>
      <c r="C48" s="181">
        <f>'RECURSO ACTUAL'!F49</f>
        <v>46275</v>
      </c>
      <c r="D48" s="182">
        <f>VLOOKUP(B48,'Q MPP'!A:L,8,0)</f>
        <v>46083</v>
      </c>
      <c r="E48" s="183">
        <f t="shared" si="1"/>
        <v>133</v>
      </c>
      <c r="F48" s="176">
        <f>VLOOKUP(B48,'Q MPP'!A:L,7,FALSE)</f>
        <v>10110</v>
      </c>
      <c r="G48" s="177"/>
      <c r="H48" s="183">
        <f>VLOOKUP(B48,'Q MPP'!A:L,7,0)</f>
        <v>10110</v>
      </c>
      <c r="I48" s="184" t="str">
        <f t="shared" si="2"/>
        <v>PASADO</v>
      </c>
      <c r="J48" s="184" t="str">
        <f t="shared" si="3"/>
        <v>PASADO</v>
      </c>
      <c r="K48" s="184" t="str">
        <f>VLOOKUP(B48,'RECURSO ACTUAL'!A:C,3,0)</f>
        <v>NNZ334</v>
      </c>
      <c r="L48" s="184" t="str">
        <f>VLOOKUP(B48,'RECURSO ACTUAL'!A:B,2,0)</f>
        <v>38-La ceja</v>
      </c>
    </row>
    <row r="49">
      <c r="A49" s="186"/>
      <c r="B49" s="180">
        <f>'RECURSO ACTUAL'!A50</f>
        <v>2906</v>
      </c>
      <c r="C49" s="181">
        <f>'RECURSO ACTUAL'!F50</f>
        <v>46275</v>
      </c>
      <c r="D49" s="182">
        <f>VLOOKUP(B49,'Q MPP'!A:L,8,0)</f>
        <v>46179</v>
      </c>
      <c r="E49" s="183">
        <f t="shared" si="1"/>
        <v>37</v>
      </c>
      <c r="F49" s="176">
        <f>VLOOKUP(B49,'Q MPP'!A:L,7,FALSE)</f>
        <v>1250</v>
      </c>
      <c r="G49" s="177"/>
      <c r="H49" s="183">
        <f>VLOOKUP(B49,'Q MPP'!A:L,7,0)</f>
        <v>1250</v>
      </c>
      <c r="I49" s="184" t="str">
        <f t="shared" si="2"/>
        <v>VIGENTE</v>
      </c>
      <c r="J49" s="184" t="str">
        <f t="shared" si="3"/>
        <v>VIGENTE</v>
      </c>
      <c r="K49" s="184" t="str">
        <f>VLOOKUP(B49,'RECURSO ACTUAL'!A:C,3,0)</f>
        <v>NNZ333</v>
      </c>
      <c r="L49" s="184" t="str">
        <f>VLOOKUP(B49,'RECURSO ACTUAL'!A:B,2,0)</f>
        <v>02-Medellin</v>
      </c>
    </row>
    <row r="50">
      <c r="A50" s="186"/>
      <c r="B50" s="180">
        <f>'RECURSO ACTUAL'!A51</f>
        <v>2905</v>
      </c>
      <c r="C50" s="181">
        <f>'RECURSO ACTUAL'!F51</f>
        <v>46275</v>
      </c>
      <c r="D50" s="182">
        <f>VLOOKUP(B50,'Q MPP'!A:L,8,0)</f>
        <v>46179</v>
      </c>
      <c r="E50" s="183">
        <f t="shared" si="1"/>
        <v>37</v>
      </c>
      <c r="F50" s="176">
        <f>VLOOKUP(B50,'Q MPP'!A:L,7,FALSE)</f>
        <v>1242</v>
      </c>
      <c r="G50" s="177"/>
      <c r="H50" s="183">
        <f>VLOOKUP(B50,'Q MPP'!A:L,7,0)</f>
        <v>1242</v>
      </c>
      <c r="I50" s="184" t="str">
        <f t="shared" si="2"/>
        <v>VIGENTE</v>
      </c>
      <c r="J50" s="184" t="str">
        <f t="shared" si="3"/>
        <v>VIGENTE</v>
      </c>
      <c r="K50" s="184" t="str">
        <f>VLOOKUP(B50,'RECURSO ACTUAL'!A:C,3,0)</f>
        <v>NNZ331</v>
      </c>
      <c r="L50" s="184" t="str">
        <f>VLOOKUP(B50,'RECURSO ACTUAL'!A:B,2,0)</f>
        <v>02-Medellin</v>
      </c>
    </row>
    <row r="51">
      <c r="A51" s="186"/>
      <c r="B51" s="180">
        <f>'RECURSO ACTUAL'!A52</f>
        <v>2904</v>
      </c>
      <c r="C51" s="181">
        <f>'RECURSO ACTUAL'!F52</f>
        <v>46275</v>
      </c>
      <c r="D51" s="182">
        <f>VLOOKUP(B51,'Q MPP'!A:L,8,0)</f>
        <v>46154</v>
      </c>
      <c r="E51" s="183">
        <f t="shared" si="1"/>
        <v>62</v>
      </c>
      <c r="F51" s="176">
        <f>VLOOKUP(B51,'Q MPP'!A:L,7,FALSE)</f>
        <v>2095</v>
      </c>
      <c r="G51" s="177"/>
      <c r="H51" s="183">
        <f>VLOOKUP(B51,'Q MPP'!A:L,7,0)</f>
        <v>2095</v>
      </c>
      <c r="I51" s="184" t="str">
        <f t="shared" si="2"/>
        <v>VIGENTE</v>
      </c>
      <c r="J51" s="184" t="str">
        <f t="shared" si="3"/>
        <v>VIGENTE</v>
      </c>
      <c r="K51" s="184" t="str">
        <f>VLOOKUP(B51,'RECURSO ACTUAL'!A:C,3,0)</f>
        <v>NNZ330</v>
      </c>
      <c r="L51" s="184" t="str">
        <f>VLOOKUP(B51,'RECURSO ACTUAL'!A:B,2,0)</f>
        <v>02-Medellin</v>
      </c>
    </row>
    <row r="52">
      <c r="A52" s="186"/>
      <c r="B52" s="180">
        <f>'RECURSO ACTUAL'!A53</f>
        <v>2903</v>
      </c>
      <c r="C52" s="181">
        <f>'RECURSO ACTUAL'!F53</f>
        <v>46275</v>
      </c>
      <c r="D52" s="182">
        <f>VLOOKUP(B52,'Q MPP'!A:L,8,0)</f>
        <v>46163</v>
      </c>
      <c r="E52" s="183">
        <f t="shared" si="1"/>
        <v>53</v>
      </c>
      <c r="F52" s="176">
        <f>VLOOKUP(B52,'Q MPP'!A:L,7,FALSE)</f>
        <v>1425</v>
      </c>
      <c r="G52" s="177"/>
      <c r="H52" s="183">
        <f>VLOOKUP(B52,'Q MPP'!A:L,7,0)</f>
        <v>1425</v>
      </c>
      <c r="I52" s="184" t="str">
        <f t="shared" si="2"/>
        <v>VIGENTE</v>
      </c>
      <c r="J52" s="184" t="str">
        <f t="shared" si="3"/>
        <v>VIGENTE</v>
      </c>
      <c r="K52" s="184" t="str">
        <f>VLOOKUP(B52,'RECURSO ACTUAL'!A:C,3,0)</f>
        <v>NNZ329</v>
      </c>
      <c r="L52" s="184" t="str">
        <f>VLOOKUP(B52,'RECURSO ACTUAL'!A:B,2,0)</f>
        <v>02-Medellin</v>
      </c>
    </row>
    <row r="53">
      <c r="A53" s="186"/>
      <c r="B53" s="180">
        <f>'RECURSO ACTUAL'!A54</f>
        <v>2898</v>
      </c>
      <c r="C53" s="181">
        <f>'RECURSO ACTUAL'!F54</f>
        <v>46242</v>
      </c>
      <c r="D53" s="182">
        <f>VLOOKUP(B53,'Q MPP'!A:L,8,0)</f>
        <v>46134</v>
      </c>
      <c r="E53" s="183">
        <f t="shared" si="1"/>
        <v>82</v>
      </c>
      <c r="F53" s="176">
        <f>VLOOKUP(B53,'Q MPP'!A:L,7,FALSE)</f>
        <v>3508</v>
      </c>
      <c r="G53" s="177"/>
      <c r="H53" s="183">
        <f>VLOOKUP(B53,'Q MPP'!A:L,7,0)</f>
        <v>3508</v>
      </c>
      <c r="I53" s="184" t="str">
        <f t="shared" si="2"/>
        <v>PROXIMO</v>
      </c>
      <c r="J53" s="184" t="str">
        <f t="shared" si="3"/>
        <v>VIGENTE</v>
      </c>
      <c r="K53" s="184" t="str">
        <f>VLOOKUP(B53,'RECURSO ACTUAL'!A:C,3,0)</f>
        <v>NNZ319</v>
      </c>
      <c r="L53" s="184" t="str">
        <f>VLOOKUP(B53,'RECURSO ACTUAL'!A:B,2,0)</f>
        <v>31-Copacabana</v>
      </c>
    </row>
    <row r="54">
      <c r="A54" s="186"/>
      <c r="B54" s="180">
        <f>'RECURSO ACTUAL'!A55</f>
        <v>2897</v>
      </c>
      <c r="C54" s="181">
        <f>'RECURSO ACTUAL'!F55</f>
        <v>46242</v>
      </c>
      <c r="D54" s="182">
        <f>VLOOKUP(B54,'Q MPP'!A:L,8,0)</f>
        <v>46170</v>
      </c>
      <c r="E54" s="183">
        <f t="shared" si="1"/>
        <v>46</v>
      </c>
      <c r="F54" s="176">
        <f>VLOOKUP(B54,'Q MPP'!A:L,7,FALSE)</f>
        <v>2918</v>
      </c>
      <c r="G54" s="177"/>
      <c r="H54" s="183">
        <f>VLOOKUP(B54,'Q MPP'!A:L,7,0)</f>
        <v>2918</v>
      </c>
      <c r="I54" s="184" t="str">
        <f t="shared" si="2"/>
        <v>VIGENTE</v>
      </c>
      <c r="J54" s="184" t="str">
        <f t="shared" si="3"/>
        <v>VIGENTE</v>
      </c>
      <c r="K54" s="184" t="str">
        <f>VLOOKUP(B54,'RECURSO ACTUAL'!A:C,3,0)</f>
        <v>NNZ318</v>
      </c>
      <c r="L54" s="184" t="str">
        <f>VLOOKUP(B54,'RECURSO ACTUAL'!A:B,2,0)</f>
        <v>31-Copacabana QUIMICOS</v>
      </c>
    </row>
    <row r="55">
      <c r="A55" s="186"/>
      <c r="B55" s="180">
        <f>'RECURSO ACTUAL'!A56</f>
        <v>2896</v>
      </c>
      <c r="C55" s="181">
        <f>'RECURSO ACTUAL'!F56</f>
        <v>46242</v>
      </c>
      <c r="D55" s="182">
        <f>VLOOKUP(B55,'Q MPP'!A:L,8,0)</f>
        <v>46093</v>
      </c>
      <c r="E55" s="183">
        <f t="shared" si="1"/>
        <v>123</v>
      </c>
      <c r="F55" s="176">
        <f>VLOOKUP(B55,'Q MPP'!A:L,7,FALSE)</f>
        <v>12716</v>
      </c>
      <c r="G55" s="177"/>
      <c r="H55" s="183">
        <f>VLOOKUP(B55,'Q MPP'!A:L,7,0)</f>
        <v>12716</v>
      </c>
      <c r="I55" s="184" t="str">
        <f t="shared" si="2"/>
        <v>PASADO</v>
      </c>
      <c r="J55" s="184" t="str">
        <f t="shared" si="3"/>
        <v>PASADO</v>
      </c>
      <c r="K55" s="184" t="str">
        <f>VLOOKUP(B55,'RECURSO ACTUAL'!A:C,3,0)</f>
        <v>NNZ317</v>
      </c>
      <c r="L55" s="184" t="str">
        <f>VLOOKUP(B55,'RECURSO ACTUAL'!A:B,2,0)</f>
        <v>02-Medellin</v>
      </c>
    </row>
    <row r="56">
      <c r="A56" s="186"/>
      <c r="B56" s="180">
        <f>'RECURSO ACTUAL'!A57</f>
        <v>2895</v>
      </c>
      <c r="C56" s="181">
        <f>'RECURSO ACTUAL'!F57</f>
        <v>46242</v>
      </c>
      <c r="D56" s="182">
        <f>VLOOKUP(B56,'Q MPP'!A:L,8,0)</f>
        <v>46119</v>
      </c>
      <c r="E56" s="183">
        <f t="shared" si="1"/>
        <v>97</v>
      </c>
      <c r="F56" s="176">
        <f>VLOOKUP(B56,'Q MPP'!A:L,7,FALSE)</f>
        <v>7288</v>
      </c>
      <c r="G56" s="177"/>
      <c r="H56" s="183">
        <f>VLOOKUP(B56,'Q MPP'!A:L,7,0)</f>
        <v>7288</v>
      </c>
      <c r="I56" s="184" t="str">
        <f t="shared" si="2"/>
        <v>PASADO</v>
      </c>
      <c r="J56" s="184" t="str">
        <f t="shared" si="3"/>
        <v>PASADO</v>
      </c>
      <c r="K56" s="184" t="str">
        <f>VLOOKUP(B56,'RECURSO ACTUAL'!A:C,3,0)</f>
        <v>NNZ316</v>
      </c>
      <c r="L56" s="184" t="str">
        <f>VLOOKUP(B56,'RECURSO ACTUAL'!A:B,2,0)</f>
        <v>31-Copacabana</v>
      </c>
    </row>
    <row r="57">
      <c r="A57" s="186"/>
      <c r="B57" s="180">
        <f>'RECURSO ACTUAL'!A58</f>
        <v>2894</v>
      </c>
      <c r="C57" s="181">
        <f>'RECURSO ACTUAL'!F58</f>
        <v>46242</v>
      </c>
      <c r="D57" s="182">
        <f>VLOOKUP(B57,'Q MPP'!A:L,8,0)</f>
        <v>46169</v>
      </c>
      <c r="E57" s="183">
        <f t="shared" si="1"/>
        <v>47</v>
      </c>
      <c r="F57" s="176">
        <f>VLOOKUP(B57,'Q MPP'!A:L,7,FALSE)</f>
        <v>1919</v>
      </c>
      <c r="G57" s="177"/>
      <c r="H57" s="183">
        <f>VLOOKUP(B57,'Q MPP'!A:L,7,0)</f>
        <v>1919</v>
      </c>
      <c r="I57" s="184" t="str">
        <f t="shared" si="2"/>
        <v>VIGENTE</v>
      </c>
      <c r="J57" s="184" t="str">
        <f t="shared" si="3"/>
        <v>VIGENTE</v>
      </c>
      <c r="K57" s="184" t="str">
        <f>VLOOKUP(B57,'RECURSO ACTUAL'!A:C,3,0)</f>
        <v>NNZ315</v>
      </c>
      <c r="L57" s="184" t="str">
        <f>VLOOKUP(B57,'RECURSO ACTUAL'!A:B,2,0)</f>
        <v>02-Medellin</v>
      </c>
    </row>
    <row r="58">
      <c r="A58" s="186"/>
      <c r="B58" s="180">
        <f>'RECURSO ACTUAL'!A59</f>
        <v>2893</v>
      </c>
      <c r="C58" s="181">
        <f>'RECURSO ACTUAL'!F59</f>
        <v>46242</v>
      </c>
      <c r="D58" s="182">
        <f>VLOOKUP(B58,'Q MPP'!A:L,8,0)</f>
        <v>46148</v>
      </c>
      <c r="E58" s="183">
        <f t="shared" si="1"/>
        <v>68</v>
      </c>
      <c r="F58" s="176">
        <f>VLOOKUP(B58,'Q MPP'!A:L,7,FALSE)</f>
        <v>2390</v>
      </c>
      <c r="G58" s="177"/>
      <c r="H58" s="183">
        <f>VLOOKUP(B58,'Q MPP'!A:L,7,0)</f>
        <v>2390</v>
      </c>
      <c r="I58" s="184" t="str">
        <f t="shared" si="2"/>
        <v>VIGENTE</v>
      </c>
      <c r="J58" s="184" t="str">
        <f t="shared" si="3"/>
        <v>VIGENTE</v>
      </c>
      <c r="K58" s="184" t="str">
        <f>VLOOKUP(B58,'RECURSO ACTUAL'!A:C,3,0)</f>
        <v>NNZ314</v>
      </c>
      <c r="L58" s="184" t="str">
        <f>VLOOKUP(B58,'RECURSO ACTUAL'!A:B,2,0)</f>
        <v>31-Copacabana</v>
      </c>
    </row>
    <row r="59">
      <c r="A59" s="186"/>
      <c r="B59" s="180">
        <f>'RECURSO ACTUAL'!A60</f>
        <v>2892</v>
      </c>
      <c r="C59" s="181">
        <f>'RECURSO ACTUAL'!F60</f>
        <v>46242</v>
      </c>
      <c r="D59" s="182">
        <f>VLOOKUP(B59,'Q MPP'!A:L,8,0)</f>
        <v>46106</v>
      </c>
      <c r="E59" s="183">
        <f t="shared" si="1"/>
        <v>110</v>
      </c>
      <c r="F59" s="176">
        <f>VLOOKUP(B59,'Q MPP'!A:L,7,FALSE)</f>
        <v>6384</v>
      </c>
      <c r="G59" s="177"/>
      <c r="H59" s="183">
        <f>VLOOKUP(B59,'Q MPP'!A:L,7,0)</f>
        <v>6384</v>
      </c>
      <c r="I59" s="184" t="str">
        <f t="shared" si="2"/>
        <v>PASADO</v>
      </c>
      <c r="J59" s="184" t="str">
        <f t="shared" si="3"/>
        <v>PASADO</v>
      </c>
      <c r="K59" s="184" t="str">
        <f>VLOOKUP(B59,'RECURSO ACTUAL'!A:C,3,0)</f>
        <v>NNZ313</v>
      </c>
      <c r="L59" s="184" t="str">
        <f>VLOOKUP(B59,'RECURSO ACTUAL'!A:B,2,0)</f>
        <v>24-Rionegro</v>
      </c>
    </row>
    <row r="60">
      <c r="A60" s="186"/>
      <c r="B60" s="180">
        <f>'RECURSO ACTUAL'!A61</f>
        <v>2891</v>
      </c>
      <c r="C60" s="181">
        <f>'RECURSO ACTUAL'!F61</f>
        <v>46242</v>
      </c>
      <c r="D60" s="182">
        <f>VLOOKUP(B60,'Q MPP'!A:L,8,0)</f>
        <v>46149</v>
      </c>
      <c r="E60" s="183">
        <f t="shared" si="1"/>
        <v>67</v>
      </c>
      <c r="F60" s="176">
        <f>VLOOKUP(B60,'Q MPP'!A:L,7,FALSE)</f>
        <v>2550</v>
      </c>
      <c r="G60" s="177"/>
      <c r="H60" s="183">
        <f>VLOOKUP(B60,'Q MPP'!A:L,7,0)</f>
        <v>2550</v>
      </c>
      <c r="I60" s="184" t="str">
        <f t="shared" si="2"/>
        <v>VIGENTE</v>
      </c>
      <c r="J60" s="184" t="str">
        <f t="shared" si="3"/>
        <v>VIGENTE</v>
      </c>
      <c r="K60" s="184" t="str">
        <f>VLOOKUP(B60,'RECURSO ACTUAL'!A:C,3,0)</f>
        <v>NNZ312</v>
      </c>
      <c r="L60" s="184" t="str">
        <f>VLOOKUP(B60,'RECURSO ACTUAL'!A:B,2,0)</f>
        <v>31-Copacabana</v>
      </c>
    </row>
    <row r="61">
      <c r="A61" s="186"/>
      <c r="B61" s="180">
        <f>'RECURSO ACTUAL'!A62</f>
        <v>2890</v>
      </c>
      <c r="C61" s="181">
        <f>'RECURSO ACTUAL'!F62</f>
        <v>46233</v>
      </c>
      <c r="D61" s="182">
        <f>VLOOKUP(B61,'Q MPP'!A:L,8,0)</f>
        <v>46150</v>
      </c>
      <c r="E61" s="183">
        <f t="shared" si="1"/>
        <v>66</v>
      </c>
      <c r="F61" s="176">
        <f>VLOOKUP(B61,'Q MPP'!A:L,7,FALSE)</f>
        <v>2492</v>
      </c>
      <c r="G61" s="177"/>
      <c r="H61" s="183">
        <f>VLOOKUP(B61,'Q MPP'!A:L,7,0)</f>
        <v>2492</v>
      </c>
      <c r="I61" s="184" t="str">
        <f t="shared" si="2"/>
        <v>VIGENTE</v>
      </c>
      <c r="J61" s="184" t="str">
        <f t="shared" si="3"/>
        <v>VIGENTE</v>
      </c>
      <c r="K61" s="184" t="str">
        <f>VLOOKUP(B61,'RECURSO ACTUAL'!A:C,3,0)</f>
        <v>NNZ308</v>
      </c>
      <c r="L61" s="184" t="str">
        <f>VLOOKUP(B61,'RECURSO ACTUAL'!A:B,2,0)</f>
        <v>02-Medellin</v>
      </c>
    </row>
    <row r="62">
      <c r="A62" s="179"/>
      <c r="B62" s="180">
        <f>'RECURSO ACTUAL'!A63</f>
        <v>2889</v>
      </c>
      <c r="C62" s="181">
        <f>'RECURSO ACTUAL'!F63</f>
        <v>46233</v>
      </c>
      <c r="D62" s="182">
        <f>VLOOKUP(B62,'Q MPP'!A:L,8,0)</f>
        <v>46132</v>
      </c>
      <c r="E62" s="183">
        <f t="shared" si="1"/>
        <v>84</v>
      </c>
      <c r="F62" s="176">
        <f>VLOOKUP(B62,'Q MPP'!A:L,7,FALSE)</f>
        <v>3628</v>
      </c>
      <c r="G62" s="177"/>
      <c r="H62" s="183">
        <f>VLOOKUP(B62,'Q MPP'!A:L,7,0)</f>
        <v>3628</v>
      </c>
      <c r="I62" s="184" t="str">
        <f t="shared" si="2"/>
        <v>PROXIMO</v>
      </c>
      <c r="J62" s="184" t="str">
        <f t="shared" si="3"/>
        <v>VIGENTE</v>
      </c>
      <c r="K62" s="184" t="str">
        <f>VLOOKUP(B62,'RECURSO ACTUAL'!A:C,3,0)</f>
        <v>NNZ307</v>
      </c>
      <c r="L62" s="184" t="str">
        <f>VLOOKUP(B62,'RECURSO ACTUAL'!A:B,2,0)</f>
        <v>31-Copacabana</v>
      </c>
    </row>
    <row r="63">
      <c r="A63" s="179"/>
      <c r="B63" s="180">
        <f>'RECURSO ACTUAL'!A64</f>
        <v>2888</v>
      </c>
      <c r="C63" s="181">
        <f>'RECURSO ACTUAL'!F64</f>
        <v>46233</v>
      </c>
      <c r="D63" s="182">
        <f>VLOOKUP(B63,'Q MPP'!A:L,8,0)</f>
        <v>46149</v>
      </c>
      <c r="E63" s="183">
        <f t="shared" si="1"/>
        <v>67</v>
      </c>
      <c r="F63" s="176">
        <f>VLOOKUP(B63,'Q MPP'!A:L,7,FALSE)</f>
        <v>3607</v>
      </c>
      <c r="G63" s="177"/>
      <c r="H63" s="183">
        <f>VLOOKUP(B63,'Q MPP'!A:L,7,0)</f>
        <v>3607</v>
      </c>
      <c r="I63" s="184" t="str">
        <f t="shared" si="2"/>
        <v>VIGENTE</v>
      </c>
      <c r="J63" s="184" t="str">
        <f t="shared" si="3"/>
        <v>VIGENTE</v>
      </c>
      <c r="K63" s="184" t="str">
        <f>VLOOKUP(B63,'RECURSO ACTUAL'!A:C,3,0)</f>
        <v>NNZ306</v>
      </c>
      <c r="L63" s="184" t="str">
        <f>VLOOKUP(B63,'RECURSO ACTUAL'!A:B,2,0)</f>
        <v>24-Rionegro</v>
      </c>
    </row>
    <row r="64">
      <c r="A64" s="179"/>
      <c r="B64" s="180">
        <f>'RECURSO ACTUAL'!A65</f>
        <v>2887</v>
      </c>
      <c r="C64" s="181">
        <f>'RECURSO ACTUAL'!F65</f>
        <v>46233</v>
      </c>
      <c r="D64" s="182">
        <f>VLOOKUP(B64,'Q MPP'!A:L,8,0)</f>
        <v>46170</v>
      </c>
      <c r="E64" s="183">
        <f t="shared" si="1"/>
        <v>46</v>
      </c>
      <c r="F64" s="176">
        <f>VLOOKUP(B64,'Q MPP'!A:L,7,FALSE)</f>
        <v>1602</v>
      </c>
      <c r="G64" s="177"/>
      <c r="H64" s="183">
        <f>VLOOKUP(B64,'Q MPP'!A:L,7,0)</f>
        <v>1602</v>
      </c>
      <c r="I64" s="184" t="str">
        <f t="shared" si="2"/>
        <v>VIGENTE</v>
      </c>
      <c r="J64" s="184" t="str">
        <f t="shared" si="3"/>
        <v>VIGENTE</v>
      </c>
      <c r="K64" s="184" t="str">
        <f>VLOOKUP(B64,'RECURSO ACTUAL'!A:C,3,0)</f>
        <v>NNZ305</v>
      </c>
      <c r="L64" s="184" t="str">
        <f>VLOOKUP(B64,'RECURSO ACTUAL'!A:B,2,0)</f>
        <v>02-Medellin</v>
      </c>
    </row>
    <row r="65">
      <c r="A65" s="179"/>
      <c r="B65" s="180">
        <f>'RECURSO ACTUAL'!A66</f>
        <v>2886</v>
      </c>
      <c r="C65" s="181">
        <f>'RECURSO ACTUAL'!F66</f>
        <v>46233</v>
      </c>
      <c r="D65" s="182">
        <f>VLOOKUP(B65,'Q MPP'!A:L,8,0)</f>
        <v>46147</v>
      </c>
      <c r="E65" s="183">
        <f t="shared" si="1"/>
        <v>69</v>
      </c>
      <c r="F65" s="176">
        <f>VLOOKUP(B65,'Q MPP'!A:L,7,FALSE)</f>
        <v>1453</v>
      </c>
      <c r="G65" s="177"/>
      <c r="H65" s="183">
        <f>VLOOKUP(B65,'Q MPP'!A:L,7,0)</f>
        <v>1453</v>
      </c>
      <c r="I65" s="184" t="str">
        <f t="shared" si="2"/>
        <v>VIGENTE</v>
      </c>
      <c r="J65" s="184" t="str">
        <f t="shared" si="3"/>
        <v>VIGENTE</v>
      </c>
      <c r="K65" s="184" t="str">
        <f>VLOOKUP(B65,'RECURSO ACTUAL'!A:C,3,0)</f>
        <v>NNZ304</v>
      </c>
      <c r="L65" s="184" t="str">
        <f>VLOOKUP(B65,'RECURSO ACTUAL'!A:B,2,0)</f>
        <v>02-Medellin</v>
      </c>
    </row>
    <row r="66">
      <c r="A66" s="179"/>
      <c r="B66" s="180">
        <f>'RECURSO ACTUAL'!A67</f>
        <v>2885</v>
      </c>
      <c r="C66" s="181">
        <f>'RECURSO ACTUAL'!F67</f>
        <v>46233</v>
      </c>
      <c r="D66" s="182">
        <f>VLOOKUP(B66,'Q MPP'!A:L,8,0)</f>
        <v>46148</v>
      </c>
      <c r="E66" s="183">
        <f t="shared" si="1"/>
        <v>68</v>
      </c>
      <c r="F66" s="176">
        <f>VLOOKUP(B66,'Q MPP'!A:L,7,FALSE)</f>
        <v>3647</v>
      </c>
      <c r="G66" s="177"/>
      <c r="H66" s="183">
        <f>VLOOKUP(B66,'Q MPP'!A:L,7,0)</f>
        <v>3647</v>
      </c>
      <c r="I66" s="184" t="str">
        <f t="shared" si="2"/>
        <v>VIGENTE</v>
      </c>
      <c r="J66" s="184" t="str">
        <f t="shared" si="3"/>
        <v>VIGENTE</v>
      </c>
      <c r="K66" s="184" t="str">
        <f>VLOOKUP(B66,'RECURSO ACTUAL'!A:C,3,0)</f>
        <v>NNZ303</v>
      </c>
      <c r="L66" s="184" t="str">
        <f>VLOOKUP(B66,'RECURSO ACTUAL'!A:B,2,0)</f>
        <v>MAYORCA</v>
      </c>
    </row>
    <row r="67">
      <c r="A67" s="179"/>
      <c r="B67" s="180">
        <f>'RECURSO ACTUAL'!A68</f>
        <v>2884</v>
      </c>
      <c r="C67" s="181">
        <f>'RECURSO ACTUAL'!F68</f>
        <v>46233</v>
      </c>
      <c r="D67" s="182">
        <f>VLOOKUP(B67,'Q MPP'!A:L,8,0)</f>
        <v>46147</v>
      </c>
      <c r="E67" s="183">
        <f t="shared" si="1"/>
        <v>69</v>
      </c>
      <c r="F67" s="176">
        <f>VLOOKUP(B67,'Q MPP'!A:L,7,FALSE)</f>
        <v>2374</v>
      </c>
      <c r="G67" s="177"/>
      <c r="H67" s="183">
        <f>VLOOKUP(B67,'Q MPP'!A:L,7,0)</f>
        <v>2374</v>
      </c>
      <c r="I67" s="184" t="str">
        <f t="shared" si="2"/>
        <v>VIGENTE</v>
      </c>
      <c r="J67" s="184" t="str">
        <f t="shared" si="3"/>
        <v>VIGENTE</v>
      </c>
      <c r="K67" s="184" t="str">
        <f>VLOOKUP(B67,'RECURSO ACTUAL'!A:C,3,0)</f>
        <v>NNZ302</v>
      </c>
      <c r="L67" s="184" t="str">
        <f>VLOOKUP(B67,'RECURSO ACTUAL'!A:B,2,0)</f>
        <v>24-Rionegro</v>
      </c>
    </row>
    <row r="68">
      <c r="A68" s="179"/>
      <c r="B68" s="180">
        <f>'RECURSO ACTUAL'!A69</f>
        <v>2883</v>
      </c>
      <c r="C68" s="181">
        <f>'RECURSO ACTUAL'!F69</f>
        <v>46233</v>
      </c>
      <c r="D68" s="182">
        <f>VLOOKUP(B68,'Q MPP'!A:L,8,0)</f>
        <v>46155</v>
      </c>
      <c r="E68" s="183">
        <f t="shared" si="1"/>
        <v>61</v>
      </c>
      <c r="F68" s="176">
        <f>VLOOKUP(B68,'Q MPP'!A:L,7,FALSE)</f>
        <v>1420</v>
      </c>
      <c r="G68" s="177"/>
      <c r="H68" s="183">
        <f>VLOOKUP(B68,'Q MPP'!A:L,7,0)</f>
        <v>1420</v>
      </c>
      <c r="I68" s="184" t="str">
        <f t="shared" si="2"/>
        <v>VIGENTE</v>
      </c>
      <c r="J68" s="184" t="str">
        <f t="shared" si="3"/>
        <v>VIGENTE</v>
      </c>
      <c r="K68" s="184" t="str">
        <f>VLOOKUP(B68,'RECURSO ACTUAL'!A:C,3,0)</f>
        <v>NNZ301</v>
      </c>
      <c r="L68" s="184" t="str">
        <f>VLOOKUP(B68,'RECURSO ACTUAL'!A:B,2,0)</f>
        <v>MAYORCA</v>
      </c>
    </row>
    <row r="69">
      <c r="A69" s="179"/>
      <c r="B69" s="180">
        <f>'RECURSO ACTUAL'!A70</f>
        <v>2882</v>
      </c>
      <c r="C69" s="181">
        <f>'RECURSO ACTUAL'!F70</f>
        <v>46233</v>
      </c>
      <c r="D69" s="182">
        <f>VLOOKUP(B69,'Q MPP'!A:L,8,0)</f>
        <v>46170</v>
      </c>
      <c r="E69" s="183">
        <f t="shared" si="1"/>
        <v>46</v>
      </c>
      <c r="F69" s="176">
        <f>VLOOKUP(B69,'Q MPP'!A:L,7,FALSE)</f>
        <v>3465</v>
      </c>
      <c r="G69" s="177"/>
      <c r="H69" s="183">
        <f>VLOOKUP(B69,'Q MPP'!A:L,7,0)</f>
        <v>3465</v>
      </c>
      <c r="I69" s="184" t="str">
        <f t="shared" si="2"/>
        <v>VIGENTE</v>
      </c>
      <c r="J69" s="184" t="str">
        <f t="shared" si="3"/>
        <v>VIGENTE</v>
      </c>
      <c r="K69" s="184" t="str">
        <f>VLOOKUP(B69,'RECURSO ACTUAL'!A:C,3,0)</f>
        <v>NNZ300</v>
      </c>
      <c r="L69" s="184" t="str">
        <f>VLOOKUP(B69,'RECURSO ACTUAL'!A:B,2,0)</f>
        <v>38-La ceja</v>
      </c>
    </row>
    <row r="70">
      <c r="A70" s="179"/>
      <c r="B70" s="180">
        <f>'RECURSO ACTUAL'!A71</f>
        <v>2881</v>
      </c>
      <c r="C70" s="181">
        <f>'RECURSO ACTUAL'!F71</f>
        <v>46226</v>
      </c>
      <c r="D70" s="182">
        <f>VLOOKUP(B70,'Q MPP'!A:L,8,0)</f>
        <v>46169</v>
      </c>
      <c r="E70" s="183">
        <f t="shared" si="1"/>
        <v>47</v>
      </c>
      <c r="F70" s="176">
        <f>VLOOKUP(B70,'Q MPP'!A:L,7,FALSE)</f>
        <v>3629</v>
      </c>
      <c r="G70" s="177"/>
      <c r="H70" s="183">
        <f>VLOOKUP(B70,'Q MPP'!A:L,7,0)</f>
        <v>3629</v>
      </c>
      <c r="I70" s="184" t="str">
        <f t="shared" si="2"/>
        <v>VIGENTE</v>
      </c>
      <c r="J70" s="184" t="str">
        <f t="shared" si="3"/>
        <v>VIGENTE</v>
      </c>
      <c r="K70" s="184" t="str">
        <f>VLOOKUP(B70,'RECURSO ACTUAL'!A:C,3,0)</f>
        <v>NNZ296</v>
      </c>
      <c r="L70" s="184" t="str">
        <f>VLOOKUP(B70,'RECURSO ACTUAL'!A:B,2,0)</f>
        <v>02-Medellin</v>
      </c>
    </row>
    <row r="71">
      <c r="A71" s="186"/>
      <c r="B71" s="180">
        <f>'RECURSO ACTUAL'!A72</f>
        <v>2880</v>
      </c>
      <c r="C71" s="181">
        <f>'RECURSO ACTUAL'!F72</f>
        <v>46226</v>
      </c>
      <c r="D71" s="182">
        <f>VLOOKUP(B71,'Q MPP'!A:L,8,0)</f>
        <v>46126</v>
      </c>
      <c r="E71" s="183">
        <f t="shared" si="1"/>
        <v>90</v>
      </c>
      <c r="F71" s="176">
        <f>VLOOKUP(B71,'Q MPP'!A:L,7,FALSE)</f>
        <v>17622</v>
      </c>
      <c r="G71" s="177"/>
      <c r="H71" s="183">
        <f>VLOOKUP(B71,'Q MPP'!A:L,7,0)</f>
        <v>17622</v>
      </c>
      <c r="I71" s="184" t="str">
        <f t="shared" si="2"/>
        <v>PROXIMO</v>
      </c>
      <c r="J71" s="184" t="str">
        <f t="shared" si="3"/>
        <v>PASADO</v>
      </c>
      <c r="K71" s="184" t="str">
        <f>VLOOKUP(B71,'RECURSO ACTUAL'!A:C,3,0)</f>
        <v>NNZ295</v>
      </c>
      <c r="L71" s="184" t="str">
        <f>VLOOKUP(B71,'RECURSO ACTUAL'!A:B,2,0)</f>
        <v>MAYORCA</v>
      </c>
    </row>
    <row r="72">
      <c r="A72" s="186"/>
      <c r="B72" s="180">
        <f>'RECURSO ACTUAL'!A73</f>
        <v>2879</v>
      </c>
      <c r="C72" s="181">
        <f>'RECURSO ACTUAL'!F73</f>
        <v>46226</v>
      </c>
      <c r="D72" s="182">
        <f>VLOOKUP(B72,'Q MPP'!A:L,8,0)</f>
        <v>46121</v>
      </c>
      <c r="E72" s="183">
        <f t="shared" si="1"/>
        <v>95</v>
      </c>
      <c r="F72" s="176">
        <f>VLOOKUP(B72,'Q MPP'!A:L,7,FALSE)</f>
        <v>1661</v>
      </c>
      <c r="G72" s="177"/>
      <c r="H72" s="183">
        <f>VLOOKUP(B72,'Q MPP'!A:L,7,0)</f>
        <v>1661</v>
      </c>
      <c r="I72" s="184" t="str">
        <f t="shared" si="2"/>
        <v>PASADO</v>
      </c>
      <c r="J72" s="184" t="str">
        <f t="shared" si="3"/>
        <v>VIGENTE</v>
      </c>
      <c r="K72" s="184" t="str">
        <f>VLOOKUP(B72,'RECURSO ACTUAL'!A:C,3,0)</f>
        <v>NNZ294</v>
      </c>
      <c r="L72" s="184" t="str">
        <f>VLOOKUP(B72,'RECURSO ACTUAL'!A:B,2,0)</f>
        <v>02-Medellin</v>
      </c>
    </row>
    <row r="73">
      <c r="A73" s="186"/>
      <c r="B73" s="180">
        <f>'RECURSO ACTUAL'!A74</f>
        <v>2878</v>
      </c>
      <c r="C73" s="181">
        <f>'RECURSO ACTUAL'!F74</f>
        <v>46226</v>
      </c>
      <c r="D73" s="182">
        <f>VLOOKUP(B73,'Q MPP'!A:L,8,0)</f>
        <v>46150</v>
      </c>
      <c r="E73" s="183">
        <f t="shared" si="1"/>
        <v>66</v>
      </c>
      <c r="F73" s="176">
        <f>VLOOKUP(B73,'Q MPP'!A:L,7,FALSE)</f>
        <v>2459</v>
      </c>
      <c r="G73" s="177"/>
      <c r="H73" s="183">
        <f>VLOOKUP(B73,'Q MPP'!A:L,7,0)</f>
        <v>2459</v>
      </c>
      <c r="I73" s="184" t="str">
        <f t="shared" si="2"/>
        <v>VIGENTE</v>
      </c>
      <c r="J73" s="184" t="str">
        <f t="shared" si="3"/>
        <v>VIGENTE</v>
      </c>
      <c r="K73" s="184" t="str">
        <f>VLOOKUP(B73,'RECURSO ACTUAL'!A:C,3,0)</f>
        <v>NNZ293</v>
      </c>
      <c r="L73" s="184" t="str">
        <f>VLOOKUP(B73,'RECURSO ACTUAL'!A:B,2,0)</f>
        <v>02-Medellin</v>
      </c>
    </row>
    <row r="74">
      <c r="A74" s="186"/>
      <c r="B74" s="180">
        <f>'RECURSO ACTUAL'!A75</f>
        <v>2877</v>
      </c>
      <c r="C74" s="181">
        <f>'RECURSO ACTUAL'!F75</f>
        <v>46226</v>
      </c>
      <c r="D74" s="182">
        <f>VLOOKUP(B74,'Q MPP'!A:L,8,0)</f>
        <v>46147</v>
      </c>
      <c r="E74" s="183">
        <f t="shared" si="1"/>
        <v>69</v>
      </c>
      <c r="F74" s="176">
        <f>VLOOKUP(B74,'Q MPP'!A:L,7,FALSE)</f>
        <v>9714</v>
      </c>
      <c r="G74" s="177"/>
      <c r="H74" s="183">
        <f>VLOOKUP(B74,'Q MPP'!A:L,7,0)</f>
        <v>9714</v>
      </c>
      <c r="I74" s="184" t="str">
        <f t="shared" si="2"/>
        <v>VIGENTE</v>
      </c>
      <c r="J74" s="184" t="str">
        <f t="shared" si="3"/>
        <v>PASADO</v>
      </c>
      <c r="K74" s="184" t="str">
        <f>VLOOKUP(B74,'RECURSO ACTUAL'!A:C,3,0)</f>
        <v>NNZ292</v>
      </c>
      <c r="L74" s="184" t="str">
        <f>VLOOKUP(B74,'RECURSO ACTUAL'!A:B,2,0)</f>
        <v>MAYORCA</v>
      </c>
    </row>
    <row r="75">
      <c r="A75" s="186"/>
      <c r="B75" s="180">
        <f>'RECURSO ACTUAL'!A76</f>
        <v>2876</v>
      </c>
      <c r="C75" s="181">
        <f>'RECURSO ACTUAL'!F76</f>
        <v>46226</v>
      </c>
      <c r="D75" s="182">
        <f>VLOOKUP(B75,'Q MPP'!A:L,8,0)</f>
        <v>46163</v>
      </c>
      <c r="E75" s="183">
        <f t="shared" si="1"/>
        <v>53</v>
      </c>
      <c r="F75" s="176">
        <f>VLOOKUP(B75,'Q MPP'!A:L,7,FALSE)</f>
        <v>5678</v>
      </c>
      <c r="G75" s="177"/>
      <c r="H75" s="183">
        <f>VLOOKUP(B75,'Q MPP'!A:L,7,0)</f>
        <v>5678</v>
      </c>
      <c r="I75" s="184" t="str">
        <f t="shared" si="2"/>
        <v>VIGENTE</v>
      </c>
      <c r="J75" s="184" t="str">
        <f t="shared" si="3"/>
        <v>PASADO</v>
      </c>
      <c r="K75" s="184" t="str">
        <f>VLOOKUP(B75,'RECURSO ACTUAL'!A:C,3,0)</f>
        <v>NNZ291</v>
      </c>
      <c r="L75" s="184" t="str">
        <f>VLOOKUP(B75,'RECURSO ACTUAL'!A:B,2,0)</f>
        <v>02-Medellin</v>
      </c>
    </row>
    <row r="76">
      <c r="A76" s="186"/>
      <c r="B76" s="180">
        <f>'RECURSO ACTUAL'!A77</f>
        <v>2875</v>
      </c>
      <c r="C76" s="181">
        <f>'RECURSO ACTUAL'!F77</f>
        <v>46226</v>
      </c>
      <c r="D76" s="182">
        <f>VLOOKUP(B76,'Q MPP'!A:L,8,0)</f>
        <v>46167</v>
      </c>
      <c r="E76" s="183">
        <f t="shared" si="1"/>
        <v>49</v>
      </c>
      <c r="F76" s="176">
        <f>VLOOKUP(B76,'Q MPP'!A:L,7,FALSE)</f>
        <v>851</v>
      </c>
      <c r="G76" s="177"/>
      <c r="H76" s="183">
        <f>VLOOKUP(B76,'Q MPP'!A:L,7,0)</f>
        <v>851</v>
      </c>
      <c r="I76" s="184" t="str">
        <f t="shared" si="2"/>
        <v>VIGENTE</v>
      </c>
      <c r="J76" s="184" t="str">
        <f t="shared" si="3"/>
        <v>VIGENTE</v>
      </c>
      <c r="K76" s="184" t="str">
        <f>VLOOKUP(B76,'RECURSO ACTUAL'!A:C,3,0)</f>
        <v>NNZ290</v>
      </c>
      <c r="L76" s="184" t="str">
        <f>VLOOKUP(B76,'RECURSO ACTUAL'!A:B,2,0)</f>
        <v>02-Medellin</v>
      </c>
    </row>
    <row r="77">
      <c r="A77" s="186"/>
      <c r="B77" s="180">
        <f>'RECURSO ACTUAL'!A78</f>
        <v>2867</v>
      </c>
      <c r="C77" s="181">
        <f>'RECURSO ACTUAL'!F78</f>
        <v>46226</v>
      </c>
      <c r="D77" s="182">
        <f>VLOOKUP(B77,'Q MPP'!A:L,8,0)</f>
        <v>46176</v>
      </c>
      <c r="E77" s="183">
        <f t="shared" si="1"/>
        <v>40</v>
      </c>
      <c r="F77" s="176">
        <f>VLOOKUP(B77,'Q MPP'!A:L,7,FALSE)</f>
        <v>1743</v>
      </c>
      <c r="G77" s="177"/>
      <c r="H77" s="183">
        <f>VLOOKUP(B77,'Q MPP'!A:L,7,0)</f>
        <v>1743</v>
      </c>
      <c r="I77" s="184" t="str">
        <f t="shared" si="2"/>
        <v>VIGENTE</v>
      </c>
      <c r="J77" s="184" t="str">
        <f t="shared" si="3"/>
        <v>VIGENTE</v>
      </c>
      <c r="K77" s="184" t="str">
        <f>VLOOKUP(B77,'RECURSO ACTUAL'!A:C,3,0)</f>
        <v>NNZ282</v>
      </c>
      <c r="L77" s="184" t="str">
        <f>VLOOKUP(B77,'RECURSO ACTUAL'!A:B,2,0)</f>
        <v>02-Medellin</v>
      </c>
    </row>
    <row r="78">
      <c r="A78" s="186"/>
      <c r="B78" s="180">
        <f>'RECURSO ACTUAL'!A79</f>
        <v>2866</v>
      </c>
      <c r="C78" s="181">
        <f>'RECURSO ACTUAL'!F79</f>
        <v>46221</v>
      </c>
      <c r="D78" s="182">
        <f>VLOOKUP(B78,'Q MPP'!A:L,8,0)</f>
        <v>46172</v>
      </c>
      <c r="E78" s="183">
        <f t="shared" si="1"/>
        <v>44</v>
      </c>
      <c r="F78" s="176">
        <f>VLOOKUP(B78,'Q MPP'!A:L,7,FALSE)</f>
        <v>1180</v>
      </c>
      <c r="G78" s="177"/>
      <c r="H78" s="183">
        <f>VLOOKUP(B78,'Q MPP'!A:L,7,0)</f>
        <v>1180</v>
      </c>
      <c r="I78" s="184" t="str">
        <f t="shared" si="2"/>
        <v>VIGENTE</v>
      </c>
      <c r="J78" s="184" t="str">
        <f t="shared" si="3"/>
        <v>VIGENTE</v>
      </c>
      <c r="K78" s="184" t="str">
        <f>VLOOKUP(B78,'RECURSO ACTUAL'!A:C,3,0)</f>
        <v>NNZ281</v>
      </c>
      <c r="L78" s="184" t="str">
        <f>VLOOKUP(B78,'RECURSO ACTUAL'!A:B,2,0)</f>
        <v>02-Medellin</v>
      </c>
    </row>
    <row r="79">
      <c r="A79" s="186"/>
      <c r="B79" s="180">
        <f>'RECURSO ACTUAL'!A80</f>
        <v>2862</v>
      </c>
      <c r="C79" s="181">
        <f>'RECURSO ACTUAL'!F80</f>
        <v>46221</v>
      </c>
      <c r="D79" s="182">
        <f>VLOOKUP(B79,'Q MPP'!A:L,8,0)</f>
        <v>46108</v>
      </c>
      <c r="E79" s="183">
        <f t="shared" si="1"/>
        <v>108</v>
      </c>
      <c r="F79" s="176">
        <f>VLOOKUP(B79,'Q MPP'!A:L,7,FALSE)</f>
        <v>4934</v>
      </c>
      <c r="G79" s="177"/>
      <c r="H79" s="183">
        <f>VLOOKUP(B79,'Q MPP'!A:L,7,0)</f>
        <v>4934</v>
      </c>
      <c r="I79" s="184" t="str">
        <f t="shared" si="2"/>
        <v>PASADO</v>
      </c>
      <c r="J79" s="184" t="str">
        <f t="shared" si="3"/>
        <v>PROXIMO</v>
      </c>
      <c r="K79" s="184" t="str">
        <f>VLOOKUP(B79,'RECURSO ACTUAL'!A:C,3,0)</f>
        <v>NNZ276</v>
      </c>
      <c r="L79" s="184" t="str">
        <f>VLOOKUP(B79,'RECURSO ACTUAL'!A:B,2,0)</f>
        <v>02-Medellin</v>
      </c>
    </row>
    <row r="80">
      <c r="A80" s="186"/>
      <c r="B80" s="180">
        <f>'RECURSO ACTUAL'!A81</f>
        <v>2861</v>
      </c>
      <c r="C80" s="181">
        <f>'RECURSO ACTUAL'!F81</f>
        <v>46226</v>
      </c>
      <c r="D80" s="182">
        <f>VLOOKUP(B80,'Q MPP'!A:L,8,0)</f>
        <v>46176</v>
      </c>
      <c r="E80" s="183">
        <f t="shared" si="1"/>
        <v>40</v>
      </c>
      <c r="F80" s="176">
        <f>VLOOKUP(B80,'Q MPP'!A:L,7,FALSE)</f>
        <v>1149</v>
      </c>
      <c r="G80" s="177"/>
      <c r="H80" s="183">
        <f>VLOOKUP(B80,'Q MPP'!A:L,7,0)</f>
        <v>1149</v>
      </c>
      <c r="I80" s="184" t="str">
        <f t="shared" si="2"/>
        <v>VIGENTE</v>
      </c>
      <c r="J80" s="184" t="str">
        <f t="shared" si="3"/>
        <v>VIGENTE</v>
      </c>
      <c r="K80" s="184" t="str">
        <f>VLOOKUP(B80,'RECURSO ACTUAL'!A:C,3,0)</f>
        <v>NNZ275</v>
      </c>
      <c r="L80" s="184" t="str">
        <f>VLOOKUP(B80,'RECURSO ACTUAL'!A:B,2,0)</f>
        <v>02-Medellin</v>
      </c>
    </row>
    <row r="81">
      <c r="A81" s="186"/>
      <c r="B81" s="180">
        <f>'RECURSO ACTUAL'!A82</f>
        <v>2860</v>
      </c>
      <c r="C81" s="181">
        <f>'RECURSO ACTUAL'!F82</f>
        <v>46221</v>
      </c>
      <c r="D81" s="182">
        <f>VLOOKUP(B81,'Q MPP'!A:L,8,0)</f>
        <v>46157</v>
      </c>
      <c r="E81" s="183">
        <f t="shared" si="1"/>
        <v>59</v>
      </c>
      <c r="F81" s="176">
        <f>VLOOKUP(B81,'Q MPP'!A:L,7,FALSE)</f>
        <v>2254</v>
      </c>
      <c r="G81" s="177"/>
      <c r="H81" s="183">
        <f>VLOOKUP(B81,'Q MPP'!A:L,7,0)</f>
        <v>2254</v>
      </c>
      <c r="I81" s="184" t="str">
        <f t="shared" si="2"/>
        <v>VIGENTE</v>
      </c>
      <c r="J81" s="184" t="str">
        <f t="shared" si="3"/>
        <v>VIGENTE</v>
      </c>
      <c r="K81" s="184" t="str">
        <f>VLOOKUP(B81,'RECURSO ACTUAL'!A:C,3,0)</f>
        <v>NNZ274</v>
      </c>
      <c r="L81" s="184" t="str">
        <f>VLOOKUP(B81,'RECURSO ACTUAL'!A:B,2,0)</f>
        <v>02-Medellin</v>
      </c>
    </row>
    <row r="82">
      <c r="A82" s="186"/>
      <c r="B82" s="180">
        <f>'RECURSO ACTUAL'!A83</f>
        <v>2859</v>
      </c>
      <c r="C82" s="181">
        <f>'RECURSO ACTUAL'!F83</f>
        <v>46226</v>
      </c>
      <c r="D82" s="182">
        <f>VLOOKUP(B82,'Q MPP'!A:L,8,0)</f>
        <v>46118</v>
      </c>
      <c r="E82" s="183">
        <f t="shared" si="1"/>
        <v>98</v>
      </c>
      <c r="F82" s="176">
        <f>VLOOKUP(B82,'Q MPP'!A:L,7,FALSE)</f>
        <v>3170</v>
      </c>
      <c r="G82" s="177"/>
      <c r="H82" s="183">
        <f>VLOOKUP(B82,'Q MPP'!A:L,7,0)</f>
        <v>3170</v>
      </c>
      <c r="I82" s="184" t="str">
        <f t="shared" si="2"/>
        <v>PASADO</v>
      </c>
      <c r="J82" s="184" t="str">
        <f t="shared" si="3"/>
        <v>VIGENTE</v>
      </c>
      <c r="K82" s="184" t="str">
        <f>VLOOKUP(B82,'RECURSO ACTUAL'!A:C,3,0)</f>
        <v>NNZ273</v>
      </c>
      <c r="L82" s="184" t="str">
        <f>VLOOKUP(B82,'RECURSO ACTUAL'!A:B,2,0)</f>
        <v>MAYORCA</v>
      </c>
    </row>
    <row r="83">
      <c r="A83" s="186"/>
      <c r="B83" s="180">
        <f>'RECURSO ACTUAL'!A84</f>
        <v>2858</v>
      </c>
      <c r="C83" s="181">
        <f>'RECURSO ACTUAL'!F84</f>
        <v>46215</v>
      </c>
      <c r="D83" s="182">
        <f>VLOOKUP(B83,'Q MPP'!A:L,8,0)</f>
        <v>46161</v>
      </c>
      <c r="E83" s="183">
        <f t="shared" si="1"/>
        <v>55</v>
      </c>
      <c r="F83" s="176">
        <f>VLOOKUP(B83,'Q MPP'!A:L,7,FALSE)</f>
        <v>2025</v>
      </c>
      <c r="G83" s="177"/>
      <c r="H83" s="183">
        <f>VLOOKUP(B83,'Q MPP'!A:L,7,0)</f>
        <v>2025</v>
      </c>
      <c r="I83" s="184" t="str">
        <f t="shared" si="2"/>
        <v>VIGENTE</v>
      </c>
      <c r="J83" s="184" t="str">
        <f t="shared" si="3"/>
        <v>VIGENTE</v>
      </c>
      <c r="K83" s="184" t="str">
        <f>VLOOKUP(B83,'RECURSO ACTUAL'!A:C,3,0)</f>
        <v>NNZ272</v>
      </c>
      <c r="L83" s="184" t="str">
        <f>VLOOKUP(B83,'RECURSO ACTUAL'!A:B,2,0)</f>
        <v>MAYORCA</v>
      </c>
    </row>
    <row r="84">
      <c r="A84" s="186"/>
      <c r="B84" s="180">
        <f>'RECURSO ACTUAL'!A85</f>
        <v>2857</v>
      </c>
      <c r="C84" s="181">
        <f>'RECURSO ACTUAL'!F85</f>
        <v>46215</v>
      </c>
      <c r="D84" s="182">
        <f>VLOOKUP(B84,'Q MPP'!A:L,8,0)</f>
        <v>46072</v>
      </c>
      <c r="E84" s="183">
        <f t="shared" si="1"/>
        <v>144</v>
      </c>
      <c r="F84" s="176">
        <f>VLOOKUP(B84,'Q MPP'!A:L,7,FALSE)</f>
        <v>6197</v>
      </c>
      <c r="G84" s="177"/>
      <c r="H84" s="183">
        <f>VLOOKUP(B84,'Q MPP'!A:L,7,0)</f>
        <v>6197</v>
      </c>
      <c r="I84" s="184" t="str">
        <f t="shared" si="2"/>
        <v>PASADO</v>
      </c>
      <c r="J84" s="184" t="str">
        <f t="shared" si="3"/>
        <v>PASADO</v>
      </c>
      <c r="K84" s="184" t="str">
        <f>VLOOKUP(B84,'RECURSO ACTUAL'!A:C,3,0)</f>
        <v>NNZ271</v>
      </c>
      <c r="L84" s="184" t="str">
        <f>VLOOKUP(B84,'RECURSO ACTUAL'!A:B,2,0)</f>
        <v>24-Rionegro</v>
      </c>
    </row>
    <row r="85">
      <c r="A85" s="186"/>
      <c r="B85" s="180">
        <f>'RECURSO ACTUAL'!A86</f>
        <v>2856</v>
      </c>
      <c r="C85" s="181">
        <f>'RECURSO ACTUAL'!F86</f>
        <v>46215</v>
      </c>
      <c r="D85" s="182">
        <f>VLOOKUP(B85,'Q MPP'!A:L,8,0)</f>
        <v>46126</v>
      </c>
      <c r="E85" s="183">
        <f t="shared" si="1"/>
        <v>90</v>
      </c>
      <c r="F85" s="176">
        <f>VLOOKUP(B85,'Q MPP'!A:L,7,FALSE)</f>
        <v>2760</v>
      </c>
      <c r="G85" s="177"/>
      <c r="H85" s="183">
        <f>VLOOKUP(B85,'Q MPP'!A:L,7,0)</f>
        <v>2760</v>
      </c>
      <c r="I85" s="184" t="str">
        <f t="shared" si="2"/>
        <v>PROXIMO</v>
      </c>
      <c r="J85" s="184" t="str">
        <f t="shared" si="3"/>
        <v>VIGENTE</v>
      </c>
      <c r="K85" s="184" t="str">
        <f>VLOOKUP(B85,'RECURSO ACTUAL'!A:C,3,0)</f>
        <v>NNZ267</v>
      </c>
      <c r="L85" s="184" t="str">
        <f>VLOOKUP(B85,'RECURSO ACTUAL'!A:B,2,0)</f>
        <v>MAYORCA</v>
      </c>
    </row>
    <row r="86">
      <c r="A86" s="186"/>
      <c r="B86" s="180">
        <f>'RECURSO ACTUAL'!A87</f>
        <v>2855</v>
      </c>
      <c r="C86" s="181">
        <f>'RECURSO ACTUAL'!F87</f>
        <v>46575</v>
      </c>
      <c r="D86" s="182">
        <f>VLOOKUP(B86,'Q MPP'!A:L,8,0)</f>
        <v>46167</v>
      </c>
      <c r="E86" s="183">
        <f t="shared" si="1"/>
        <v>49</v>
      </c>
      <c r="F86" s="176">
        <f>VLOOKUP(B86,'Q MPP'!A:L,7,FALSE)</f>
        <v>1319</v>
      </c>
      <c r="G86" s="177"/>
      <c r="H86" s="183">
        <f>VLOOKUP(B86,'Q MPP'!A:L,7,0)</f>
        <v>1319</v>
      </c>
      <c r="I86" s="184" t="str">
        <f t="shared" si="2"/>
        <v>VIGENTE</v>
      </c>
      <c r="J86" s="184" t="str">
        <f t="shared" si="3"/>
        <v>VIGENTE</v>
      </c>
      <c r="K86" s="184" t="str">
        <f>VLOOKUP(B86,'RECURSO ACTUAL'!A:C,3,0)</f>
        <v>NNZ265</v>
      </c>
      <c r="L86" s="184" t="str">
        <f>VLOOKUP(B86,'RECURSO ACTUAL'!A:B,2,0)</f>
        <v>02-Medellin</v>
      </c>
    </row>
    <row r="87">
      <c r="A87" s="186"/>
      <c r="B87" s="180">
        <f>'RECURSO ACTUAL'!A88</f>
        <v>2854</v>
      </c>
      <c r="C87" s="181">
        <f>'RECURSO ACTUAL'!F88</f>
        <v>46575</v>
      </c>
      <c r="D87" s="182">
        <f>VLOOKUP(B87,'Q MPP'!A:L,8,0)</f>
        <v>46106</v>
      </c>
      <c r="E87" s="183">
        <f t="shared" si="1"/>
        <v>110</v>
      </c>
      <c r="F87" s="176">
        <f>VLOOKUP(B87,'Q MPP'!A:L,7,FALSE)</f>
        <v>2411</v>
      </c>
      <c r="G87" s="177"/>
      <c r="H87" s="183">
        <f>VLOOKUP(B87,'Q MPP'!A:L,7,0)</f>
        <v>2411</v>
      </c>
      <c r="I87" s="184" t="str">
        <f t="shared" si="2"/>
        <v>PASADO</v>
      </c>
      <c r="J87" s="184" t="str">
        <f t="shared" si="3"/>
        <v>VIGENTE</v>
      </c>
      <c r="K87" s="184" t="str">
        <f>VLOOKUP(B87,'RECURSO ACTUAL'!A:C,3,0)</f>
        <v>NNZ270</v>
      </c>
      <c r="L87" s="184" t="str">
        <f>VLOOKUP(B87,'RECURSO ACTUAL'!A:B,2,0)</f>
        <v>02-Medellin</v>
      </c>
    </row>
    <row r="88">
      <c r="A88" s="186"/>
      <c r="B88" s="180">
        <f>'RECURSO ACTUAL'!A89</f>
        <v>2853</v>
      </c>
      <c r="C88" s="181">
        <f>'RECURSO ACTUAL'!F89</f>
        <v>46576</v>
      </c>
      <c r="D88" s="182">
        <f>VLOOKUP(B88,'Q MPP'!A:L,8,0)</f>
        <v>46108</v>
      </c>
      <c r="E88" s="183">
        <f t="shared" si="1"/>
        <v>108</v>
      </c>
      <c r="F88" s="176">
        <f>VLOOKUP(B88,'Q MPP'!A:L,7,FALSE)</f>
        <v>6352</v>
      </c>
      <c r="G88" s="177"/>
      <c r="H88" s="183">
        <f>VLOOKUP(B88,'Q MPP'!A:L,7,0)</f>
        <v>6352</v>
      </c>
      <c r="I88" s="184" t="str">
        <f t="shared" si="2"/>
        <v>PASADO</v>
      </c>
      <c r="J88" s="184" t="str">
        <f t="shared" si="3"/>
        <v>PASADO</v>
      </c>
      <c r="K88" s="184" t="str">
        <f>VLOOKUP(B88,'RECURSO ACTUAL'!A:C,3,0)</f>
        <v>NNZ269</v>
      </c>
      <c r="L88" s="184" t="str">
        <f>VLOOKUP(B88,'RECURSO ACTUAL'!A:B,2,0)</f>
        <v>BULTOS</v>
      </c>
    </row>
    <row r="89">
      <c r="A89" s="186"/>
      <c r="B89" s="180">
        <f>'RECURSO ACTUAL'!A90</f>
        <v>2852</v>
      </c>
      <c r="C89" s="181">
        <f>'RECURSO ACTUAL'!F90</f>
        <v>46576</v>
      </c>
      <c r="D89" s="182">
        <f>VLOOKUP(B89,'Q MPP'!A:L,8,0)</f>
        <v>46167</v>
      </c>
      <c r="E89" s="183">
        <f t="shared" si="1"/>
        <v>49</v>
      </c>
      <c r="F89" s="176">
        <f>VLOOKUP(B89,'Q MPP'!A:L,7,FALSE)</f>
        <v>4152</v>
      </c>
      <c r="G89" s="177"/>
      <c r="H89" s="183">
        <f>VLOOKUP(B89,'Q MPP'!A:L,7,0)</f>
        <v>4152</v>
      </c>
      <c r="I89" s="184" t="str">
        <f t="shared" si="2"/>
        <v>VIGENTE</v>
      </c>
      <c r="J89" s="184" t="str">
        <f t="shared" si="3"/>
        <v>PROXIMO</v>
      </c>
      <c r="K89" s="184" t="str">
        <f>VLOOKUP(B89,'RECURSO ACTUAL'!A:C,3,0)</f>
        <v>NNZ268</v>
      </c>
      <c r="L89" s="184" t="str">
        <f>VLOOKUP(B89,'RECURSO ACTUAL'!A:B,2,0)</f>
        <v>24-Rionegro</v>
      </c>
    </row>
    <row r="90">
      <c r="A90" s="186"/>
      <c r="B90" s="180">
        <f>'RECURSO ACTUAL'!A91</f>
        <v>2851</v>
      </c>
      <c r="C90" s="181">
        <f>'RECURSO ACTUAL'!F91</f>
        <v>46569</v>
      </c>
      <c r="D90" s="182">
        <f>VLOOKUP(B90,'Q MPP'!A:L,8,0)</f>
        <v>46106</v>
      </c>
      <c r="E90" s="183">
        <f t="shared" si="1"/>
        <v>110</v>
      </c>
      <c r="F90" s="176">
        <f>VLOOKUP(B90,'Q MPP'!A:L,7,FALSE)</f>
        <v>3175</v>
      </c>
      <c r="G90" s="177"/>
      <c r="H90" s="183">
        <f>VLOOKUP(B90,'Q MPP'!A:L,7,0)</f>
        <v>3175</v>
      </c>
      <c r="I90" s="184" t="str">
        <f t="shared" si="2"/>
        <v>PASADO</v>
      </c>
      <c r="J90" s="184" t="str">
        <f t="shared" si="3"/>
        <v>VIGENTE</v>
      </c>
      <c r="K90" s="184" t="str">
        <f>VLOOKUP(B90,'RECURSO ACTUAL'!A:C,3,0)</f>
        <v>NNZ264</v>
      </c>
      <c r="L90" s="184" t="str">
        <f>VLOOKUP(B90,'RECURSO ACTUAL'!A:B,2,0)</f>
        <v>02-Medellin</v>
      </c>
    </row>
    <row r="91">
      <c r="A91" s="186"/>
      <c r="B91" s="180">
        <f>'RECURSO ACTUAL'!A92</f>
        <v>2850</v>
      </c>
      <c r="C91" s="181">
        <f>'RECURSO ACTUAL'!F92</f>
        <v>46570</v>
      </c>
      <c r="D91" s="182">
        <f>VLOOKUP(B91,'Q MPP'!A:L,8,0)</f>
        <v>46119</v>
      </c>
      <c r="E91" s="183">
        <f t="shared" si="1"/>
        <v>97</v>
      </c>
      <c r="F91" s="176">
        <f>VLOOKUP(B91,'Q MPP'!A:L,7,FALSE)</f>
        <v>4981</v>
      </c>
      <c r="G91" s="177"/>
      <c r="H91" s="183">
        <f>VLOOKUP(B91,'Q MPP'!A:L,7,0)</f>
        <v>4981</v>
      </c>
      <c r="I91" s="184" t="str">
        <f t="shared" si="2"/>
        <v>PASADO</v>
      </c>
      <c r="J91" s="184" t="str">
        <f t="shared" si="3"/>
        <v>PROXIMO</v>
      </c>
      <c r="K91" s="184" t="str">
        <f>VLOOKUP(B91,'RECURSO ACTUAL'!A:C,3,0)</f>
        <v>NNZ262</v>
      </c>
      <c r="L91" s="184" t="str">
        <f>VLOOKUP(B91,'RECURSO ACTUAL'!A:B,2,0)</f>
        <v>MAYORCA</v>
      </c>
    </row>
    <row r="92">
      <c r="A92" s="186"/>
      <c r="B92" s="180">
        <f>'RECURSO ACTUAL'!A93</f>
        <v>2849</v>
      </c>
      <c r="C92" s="181">
        <f>'RECURSO ACTUAL'!F93</f>
        <v>46570</v>
      </c>
      <c r="D92" s="182">
        <f>VLOOKUP(B92,'Q MPP'!A:L,8,0)</f>
        <v>46148</v>
      </c>
      <c r="E92" s="183">
        <f t="shared" si="1"/>
        <v>68</v>
      </c>
      <c r="F92" s="176">
        <f>VLOOKUP(B92,'Q MPP'!A:L,7,FALSE)</f>
        <v>2245</v>
      </c>
      <c r="G92" s="177"/>
      <c r="H92" s="183">
        <f>VLOOKUP(B92,'Q MPP'!A:L,7,0)</f>
        <v>2245</v>
      </c>
      <c r="I92" s="184" t="str">
        <f t="shared" si="2"/>
        <v>VIGENTE</v>
      </c>
      <c r="J92" s="184" t="str">
        <f t="shared" si="3"/>
        <v>VIGENTE</v>
      </c>
      <c r="K92" s="184" t="str">
        <f>VLOOKUP(B92,'RECURSO ACTUAL'!A:C,3,0)</f>
        <v>NNZ261</v>
      </c>
      <c r="L92" s="184" t="str">
        <f>VLOOKUP(B92,'RECURSO ACTUAL'!A:B,2,0)</f>
        <v>24-Rionegro</v>
      </c>
    </row>
    <row r="93">
      <c r="A93" s="186"/>
      <c r="B93" s="180">
        <f>'RECURSO ACTUAL'!A94</f>
        <v>2848</v>
      </c>
      <c r="C93" s="181">
        <f>'RECURSO ACTUAL'!F94</f>
        <v>46561</v>
      </c>
      <c r="D93" s="182">
        <f>VLOOKUP(B93,'Q MPP'!A:L,8,0)</f>
        <v>46108</v>
      </c>
      <c r="E93" s="183">
        <f t="shared" si="1"/>
        <v>108</v>
      </c>
      <c r="F93" s="176">
        <f>VLOOKUP(B93,'Q MPP'!A:L,7,FALSE)</f>
        <v>4813</v>
      </c>
      <c r="G93" s="177"/>
      <c r="H93" s="183">
        <f>VLOOKUP(B93,'Q MPP'!A:L,7,0)</f>
        <v>4813</v>
      </c>
      <c r="I93" s="184" t="str">
        <f t="shared" si="2"/>
        <v>PASADO</v>
      </c>
      <c r="J93" s="184" t="str">
        <f t="shared" si="3"/>
        <v>PROXIMO</v>
      </c>
      <c r="K93" s="184" t="str">
        <f>VLOOKUP(B93,'RECURSO ACTUAL'!A:C,3,0)</f>
        <v>NNZ259</v>
      </c>
      <c r="L93" s="184" t="str">
        <f>VLOOKUP(B93,'RECURSO ACTUAL'!A:B,2,0)</f>
        <v>02-Medellin</v>
      </c>
    </row>
    <row r="94">
      <c r="A94" s="186"/>
      <c r="B94" s="180">
        <f>'RECURSO ACTUAL'!A95</f>
        <v>2847</v>
      </c>
      <c r="C94" s="181">
        <f>'RECURSO ACTUAL'!F95</f>
        <v>46559</v>
      </c>
      <c r="D94" s="182">
        <f>VLOOKUP(B94,'Q MPP'!A:L,8,0)</f>
        <v>46142</v>
      </c>
      <c r="E94" s="183">
        <f t="shared" si="1"/>
        <v>74</v>
      </c>
      <c r="F94" s="176">
        <f>VLOOKUP(B94,'Q MPP'!A:L,7,FALSE)</f>
        <v>4794</v>
      </c>
      <c r="G94" s="177"/>
      <c r="H94" s="183">
        <f>VLOOKUP(B94,'Q MPP'!A:L,7,0)</f>
        <v>4794</v>
      </c>
      <c r="I94" s="184" t="str">
        <f t="shared" si="2"/>
        <v>VIGENTE</v>
      </c>
      <c r="J94" s="184" t="str">
        <f t="shared" si="3"/>
        <v>PROXIMO</v>
      </c>
      <c r="K94" s="184" t="str">
        <f>VLOOKUP(B94,'RECURSO ACTUAL'!A:C,3,0)</f>
        <v>NNZ258</v>
      </c>
      <c r="L94" s="184" t="str">
        <f>VLOOKUP(B94,'RECURSO ACTUAL'!A:B,2,0)</f>
        <v>31-Copacabana</v>
      </c>
    </row>
    <row r="95">
      <c r="A95" s="186"/>
      <c r="B95" s="180">
        <f>'RECURSO ACTUAL'!A96</f>
        <v>2846</v>
      </c>
      <c r="C95" s="181">
        <f>'RECURSO ACTUAL'!F96</f>
        <v>46561</v>
      </c>
      <c r="D95" s="182">
        <f>VLOOKUP(B95,'Q MPP'!A:L,8,0)</f>
        <v>46092</v>
      </c>
      <c r="E95" s="183">
        <f t="shared" si="1"/>
        <v>124</v>
      </c>
      <c r="F95" s="176">
        <f>VLOOKUP(B95,'Q MPP'!A:L,7,FALSE)</f>
        <v>10148</v>
      </c>
      <c r="G95" s="177"/>
      <c r="H95" s="183">
        <f>VLOOKUP(B95,'Q MPP'!A:L,7,0)</f>
        <v>10148</v>
      </c>
      <c r="I95" s="184" t="str">
        <f t="shared" si="2"/>
        <v>PASADO</v>
      </c>
      <c r="J95" s="184" t="str">
        <f t="shared" si="3"/>
        <v>PASADO</v>
      </c>
      <c r="K95" s="184" t="str">
        <f>VLOOKUP(B95,'RECURSO ACTUAL'!A:C,3,0)</f>
        <v>NNZ257</v>
      </c>
      <c r="L95" s="184" t="str">
        <f>VLOOKUP(B95,'RECURSO ACTUAL'!A:B,2,0)</f>
        <v>38-La ceja</v>
      </c>
    </row>
    <row r="96">
      <c r="A96" s="186"/>
      <c r="B96" s="180">
        <f>'RECURSO ACTUAL'!A97</f>
        <v>2845</v>
      </c>
      <c r="C96" s="181">
        <f>'RECURSO ACTUAL'!F97</f>
        <v>46561</v>
      </c>
      <c r="D96" s="182">
        <f>VLOOKUP(B96,'Q MPP'!A:L,8,0)</f>
        <v>46086</v>
      </c>
      <c r="E96" s="183">
        <f t="shared" si="1"/>
        <v>130</v>
      </c>
      <c r="F96" s="176">
        <f>VLOOKUP(B96,'Q MPP'!A:L,7,FALSE)</f>
        <v>3595</v>
      </c>
      <c r="G96" s="177"/>
      <c r="H96" s="183">
        <f>VLOOKUP(B96,'Q MPP'!A:L,7,0)</f>
        <v>3595</v>
      </c>
      <c r="I96" s="184" t="str">
        <f t="shared" si="2"/>
        <v>PASADO</v>
      </c>
      <c r="J96" s="184" t="str">
        <f t="shared" si="3"/>
        <v>VIGENTE</v>
      </c>
      <c r="K96" s="184" t="str">
        <f>VLOOKUP(B96,'RECURSO ACTUAL'!A:C,3,0)</f>
        <v>NNZ256</v>
      </c>
      <c r="L96" s="184" t="str">
        <f>VLOOKUP(B96,'RECURSO ACTUAL'!A:B,2,0)</f>
        <v>02-Medellin</v>
      </c>
    </row>
    <row r="97">
      <c r="A97" s="186"/>
      <c r="B97" s="180">
        <f>'RECURSO ACTUAL'!A98</f>
        <v>2844</v>
      </c>
      <c r="C97" s="181">
        <f>'RECURSO ACTUAL'!F98</f>
        <v>46562</v>
      </c>
      <c r="D97" s="182">
        <f>VLOOKUP(B97,'Q MPP'!A:L,8,0)</f>
        <v>46140</v>
      </c>
      <c r="E97" s="183">
        <f t="shared" si="1"/>
        <v>76</v>
      </c>
      <c r="F97" s="176">
        <f>VLOOKUP(B97,'Q MPP'!A:L,7,FALSE)</f>
        <v>1585</v>
      </c>
      <c r="G97" s="177"/>
      <c r="H97" s="183">
        <f>VLOOKUP(B97,'Q MPP'!A:L,7,0)</f>
        <v>1585</v>
      </c>
      <c r="I97" s="184" t="str">
        <f t="shared" si="2"/>
        <v>VIGENTE</v>
      </c>
      <c r="J97" s="184" t="str">
        <f t="shared" si="3"/>
        <v>VIGENTE</v>
      </c>
      <c r="K97" s="184" t="str">
        <f>VLOOKUP(B97,'RECURSO ACTUAL'!A:C,3,0)</f>
        <v>NNZ254</v>
      </c>
      <c r="L97" s="184" t="str">
        <f>VLOOKUP(B97,'RECURSO ACTUAL'!A:B,2,0)</f>
        <v>02-Medellin</v>
      </c>
    </row>
    <row r="98">
      <c r="A98" s="186"/>
      <c r="B98" s="180">
        <f>'RECURSO ACTUAL'!A99</f>
        <v>2843</v>
      </c>
      <c r="C98" s="181">
        <f>'RECURSO ACTUAL'!F99</f>
        <v>46562</v>
      </c>
      <c r="D98" s="182">
        <f>VLOOKUP(B98,'Q MPP'!A:L,8,0)</f>
        <v>46083</v>
      </c>
      <c r="E98" s="183">
        <f t="shared" si="1"/>
        <v>133</v>
      </c>
      <c r="F98" s="176">
        <f>VLOOKUP(B98,'Q MPP'!A:L,7,FALSE)</f>
        <v>6412</v>
      </c>
      <c r="G98" s="177"/>
      <c r="H98" s="183">
        <f>VLOOKUP(B98,'Q MPP'!A:L,7,0)</f>
        <v>6412</v>
      </c>
      <c r="I98" s="184" t="str">
        <f t="shared" si="2"/>
        <v>PASADO</v>
      </c>
      <c r="J98" s="184" t="str">
        <f t="shared" si="3"/>
        <v>PASADO</v>
      </c>
      <c r="K98" s="184" t="str">
        <f>VLOOKUP(B98,'RECURSO ACTUAL'!A:C,3,0)</f>
        <v>NNZ253</v>
      </c>
      <c r="L98" s="184" t="str">
        <f>VLOOKUP(B98,'RECURSO ACTUAL'!A:B,2,0)</f>
        <v>31-Copacabana</v>
      </c>
    </row>
    <row r="99">
      <c r="A99" s="186"/>
      <c r="B99" s="180">
        <f>'RECURSO ACTUAL'!A100</f>
        <v>2842</v>
      </c>
      <c r="C99" s="181">
        <f>'RECURSO ACTUAL'!F100</f>
        <v>46562</v>
      </c>
      <c r="D99" s="182">
        <f>VLOOKUP(B99,'Q MPP'!A:L,8,0)</f>
        <v>46069</v>
      </c>
      <c r="E99" s="183">
        <f t="shared" si="1"/>
        <v>147</v>
      </c>
      <c r="F99" s="176">
        <f>VLOOKUP(B99,'Q MPP'!A:L,7,FALSE)</f>
        <v>13354</v>
      </c>
      <c r="G99" s="177"/>
      <c r="H99" s="183">
        <f>VLOOKUP(B99,'Q MPP'!A:L,7,0)</f>
        <v>13354</v>
      </c>
      <c r="I99" s="184" t="str">
        <f t="shared" si="2"/>
        <v>PASADO</v>
      </c>
      <c r="J99" s="184" t="str">
        <f t="shared" si="3"/>
        <v>PASADO</v>
      </c>
      <c r="K99" s="184" t="str">
        <f>VLOOKUP(B99,'RECURSO ACTUAL'!A:C,3,0)</f>
        <v>NNZ251</v>
      </c>
      <c r="L99" s="184" t="str">
        <f>VLOOKUP(B99,'RECURSO ACTUAL'!A:B,2,0)</f>
        <v>24-Rionegro</v>
      </c>
    </row>
    <row r="100">
      <c r="A100" s="186"/>
      <c r="B100" s="180">
        <f>'RECURSO ACTUAL'!A101</f>
        <v>2683</v>
      </c>
      <c r="C100" s="181">
        <f>'RECURSO ACTUAL'!F101</f>
        <v>46512</v>
      </c>
      <c r="D100" s="182">
        <f>VLOOKUP(B100,'Q MPP'!A:L,8,0)</f>
        <v>46147</v>
      </c>
      <c r="E100" s="183">
        <f t="shared" si="1"/>
        <v>69</v>
      </c>
      <c r="F100" s="176">
        <f>VLOOKUP(B100,'Q MPP'!A:L,7,FALSE)</f>
        <v>1684</v>
      </c>
      <c r="G100" s="177"/>
      <c r="H100" s="183">
        <f>VLOOKUP(B100,'Q MPP'!A:L,7,0)</f>
        <v>1684</v>
      </c>
      <c r="I100" s="184" t="str">
        <f t="shared" si="2"/>
        <v>VIGENTE</v>
      </c>
      <c r="J100" s="184" t="str">
        <f t="shared" si="3"/>
        <v>VIGENTE</v>
      </c>
      <c r="K100" s="184" t="str">
        <f>VLOOKUP(B100,'RECURSO ACTUAL'!A:C,3,0)</f>
        <v>KMZ310</v>
      </c>
      <c r="L100" s="184" t="str">
        <f>VLOOKUP(B100,'RECURSO ACTUAL'!A:B,2,0)</f>
        <v>02-Medellin</v>
      </c>
    </row>
    <row r="101">
      <c r="A101" s="186"/>
      <c r="B101" s="180">
        <f>'RECURSO ACTUAL'!A102</f>
        <v>2682</v>
      </c>
      <c r="C101" s="181">
        <f>'RECURSO ACTUAL'!F102</f>
        <v>46506</v>
      </c>
      <c r="D101" s="182">
        <f>VLOOKUP(B101,'Q MPP'!A:L,8,0)</f>
        <v>46140</v>
      </c>
      <c r="E101" s="183">
        <f t="shared" si="1"/>
        <v>76</v>
      </c>
      <c r="F101" s="176">
        <f>VLOOKUP(B101,'Q MPP'!A:L,7,FALSE)</f>
        <v>2747.9</v>
      </c>
      <c r="G101" s="177"/>
      <c r="H101" s="183">
        <f>VLOOKUP(B101,'Q MPP'!A:L,7,0)</f>
        <v>2747.9</v>
      </c>
      <c r="I101" s="184" t="str">
        <f t="shared" si="2"/>
        <v>VIGENTE</v>
      </c>
      <c r="J101" s="184" t="str">
        <f t="shared" si="3"/>
        <v>VIGENTE</v>
      </c>
      <c r="K101" s="184" t="str">
        <f>VLOOKUP(B101,'RECURSO ACTUAL'!A:C,3,0)</f>
        <v>KMZ309</v>
      </c>
      <c r="L101" s="184" t="str">
        <f>VLOOKUP(B101,'RECURSO ACTUAL'!A:B,2,0)</f>
        <v>24-Rionegro</v>
      </c>
    </row>
    <row r="102">
      <c r="A102" s="186"/>
      <c r="B102" s="180">
        <f>'RECURSO ACTUAL'!A103</f>
        <v>2681</v>
      </c>
      <c r="C102" s="181">
        <f>'RECURSO ACTUAL'!F103</f>
        <v>46514</v>
      </c>
      <c r="D102" s="182">
        <f>VLOOKUP(B102,'Q MPP'!A:L,8,0)</f>
        <v>46154</v>
      </c>
      <c r="E102" s="183">
        <f t="shared" si="1"/>
        <v>62</v>
      </c>
      <c r="F102" s="176">
        <f>VLOOKUP(B102,'Q MPP'!A:L,7,FALSE)</f>
        <v>4006.6</v>
      </c>
      <c r="G102" s="177"/>
      <c r="H102" s="183">
        <f>VLOOKUP(B102,'Q MPP'!A:L,7,0)</f>
        <v>4006.6</v>
      </c>
      <c r="I102" s="184" t="str">
        <f t="shared" si="2"/>
        <v>VIGENTE</v>
      </c>
      <c r="J102" s="184" t="str">
        <f t="shared" si="3"/>
        <v>PROXIMO</v>
      </c>
      <c r="K102" s="184" t="str">
        <f>VLOOKUP(B102,'RECURSO ACTUAL'!A:C,3,0)</f>
        <v>KMZ308</v>
      </c>
      <c r="L102" s="184" t="str">
        <f>VLOOKUP(B102,'RECURSO ACTUAL'!A:B,2,0)</f>
        <v>27-Apartado</v>
      </c>
    </row>
    <row r="103">
      <c r="A103" s="186"/>
      <c r="B103" s="180">
        <f>'RECURSO ACTUAL'!A104</f>
        <v>2680</v>
      </c>
      <c r="C103" s="181">
        <f>'RECURSO ACTUAL'!F104</f>
        <v>46501</v>
      </c>
      <c r="D103" s="182">
        <f>VLOOKUP(B103,'Q MPP'!A:L,8,0)</f>
        <v>46177</v>
      </c>
      <c r="E103" s="183">
        <f t="shared" si="1"/>
        <v>39</v>
      </c>
      <c r="F103" s="176">
        <f>VLOOKUP(B103,'Q MPP'!A:L,7,FALSE)</f>
        <v>2138.4</v>
      </c>
      <c r="G103" s="177"/>
      <c r="H103" s="183">
        <f>VLOOKUP(B103,'Q MPP'!A:L,7,0)</f>
        <v>2138.4</v>
      </c>
      <c r="I103" s="184" t="str">
        <f t="shared" si="2"/>
        <v>VIGENTE</v>
      </c>
      <c r="J103" s="184" t="str">
        <f t="shared" si="3"/>
        <v>VIGENTE</v>
      </c>
      <c r="K103" s="184" t="str">
        <f>VLOOKUP(B103,'RECURSO ACTUAL'!A:C,3,0)</f>
        <v>KMZ307</v>
      </c>
      <c r="L103" s="184" t="str">
        <f>VLOOKUP(B103,'RECURSO ACTUAL'!A:B,2,0)</f>
        <v>BULTOS</v>
      </c>
    </row>
    <row r="104">
      <c r="A104" s="186"/>
      <c r="B104" s="180">
        <f>'RECURSO ACTUAL'!A105</f>
        <v>2679</v>
      </c>
      <c r="C104" s="181">
        <f>'RECURSO ACTUAL'!F105</f>
        <v>46499</v>
      </c>
      <c r="D104" s="182">
        <f>VLOOKUP(B104,'Q MPP'!A:L,8,0)</f>
        <v>46108</v>
      </c>
      <c r="E104" s="183">
        <f t="shared" si="1"/>
        <v>108</v>
      </c>
      <c r="F104" s="176">
        <f>VLOOKUP(B104,'Q MPP'!A:L,7,FALSE)</f>
        <v>2965.8</v>
      </c>
      <c r="G104" s="177"/>
      <c r="H104" s="183">
        <f>VLOOKUP(B104,'Q MPP'!A:L,7,0)</f>
        <v>2965.8</v>
      </c>
      <c r="I104" s="184" t="str">
        <f t="shared" si="2"/>
        <v>PASADO</v>
      </c>
      <c r="J104" s="184" t="str">
        <f t="shared" si="3"/>
        <v>VIGENTE</v>
      </c>
      <c r="K104" s="184" t="str">
        <f>VLOOKUP(B104,'RECURSO ACTUAL'!A:C,3,0)</f>
        <v>KMZ306</v>
      </c>
      <c r="L104" s="184" t="str">
        <f>VLOOKUP(B104,'RECURSO ACTUAL'!A:B,2,0)</f>
        <v>02-Medellin</v>
      </c>
    </row>
    <row r="105">
      <c r="A105" s="186"/>
      <c r="B105" s="180">
        <f>'RECURSO ACTUAL'!A106</f>
        <v>2678</v>
      </c>
      <c r="C105" s="181">
        <f>'RECURSO ACTUAL'!F106</f>
        <v>46500</v>
      </c>
      <c r="D105" s="182">
        <f>VLOOKUP(B105,'Q MPP'!A:L,8,0)</f>
        <v>46134</v>
      </c>
      <c r="E105" s="183">
        <f t="shared" si="1"/>
        <v>82</v>
      </c>
      <c r="F105" s="176">
        <f>VLOOKUP(B105,'Q MPP'!A:L,7,FALSE)</f>
        <v>1976.6</v>
      </c>
      <c r="G105" s="177"/>
      <c r="H105" s="183">
        <f>VLOOKUP(B105,'Q MPP'!A:L,7,0)</f>
        <v>1976.6</v>
      </c>
      <c r="I105" s="184" t="str">
        <f t="shared" si="2"/>
        <v>PROXIMO</v>
      </c>
      <c r="J105" s="184" t="str">
        <f t="shared" si="3"/>
        <v>VIGENTE</v>
      </c>
      <c r="K105" s="184" t="str">
        <f>VLOOKUP(B105,'RECURSO ACTUAL'!A:C,3,0)</f>
        <v>KMZ305</v>
      </c>
      <c r="L105" s="184" t="str">
        <f>VLOOKUP(B105,'RECURSO ACTUAL'!A:B,2,0)</f>
        <v>MAYORCA</v>
      </c>
    </row>
    <row r="106">
      <c r="A106" s="186"/>
      <c r="B106" s="180">
        <f>'RECURSO ACTUAL'!A107</f>
        <v>2677</v>
      </c>
      <c r="C106" s="181">
        <f>'RECURSO ACTUAL'!F107</f>
        <v>46497</v>
      </c>
      <c r="D106" s="182">
        <f>VLOOKUP(B106,'Q MPP'!A:L,8,0)</f>
        <v>46150</v>
      </c>
      <c r="E106" s="183">
        <f t="shared" si="1"/>
        <v>66</v>
      </c>
      <c r="F106" s="176">
        <f>VLOOKUP(B106,'Q MPP'!A:L,7,FALSE)</f>
        <v>770.1</v>
      </c>
      <c r="G106" s="177"/>
      <c r="H106" s="183">
        <f>VLOOKUP(B106,'Q MPP'!A:L,7,0)</f>
        <v>770.1</v>
      </c>
      <c r="I106" s="184" t="str">
        <f t="shared" si="2"/>
        <v>VIGENTE</v>
      </c>
      <c r="J106" s="184" t="str">
        <f t="shared" si="3"/>
        <v>VIGENTE</v>
      </c>
      <c r="K106" s="184" t="str">
        <f>VLOOKUP(B106,'RECURSO ACTUAL'!A:C,3,0)</f>
        <v>KMZ304</v>
      </c>
      <c r="L106" s="184" t="str">
        <f>VLOOKUP(B106,'RECURSO ACTUAL'!A:B,2,0)</f>
        <v>02-Medellin</v>
      </c>
    </row>
    <row r="107">
      <c r="A107" s="186"/>
      <c r="B107" s="180">
        <f>'RECURSO ACTUAL'!A108</f>
        <v>2676</v>
      </c>
      <c r="C107" s="181">
        <f>'RECURSO ACTUAL'!F108</f>
        <v>46502</v>
      </c>
      <c r="D107" s="182">
        <f>VLOOKUP(B107,'Q MPP'!A:L,8,0)</f>
        <v>46176</v>
      </c>
      <c r="E107" s="183">
        <f t="shared" si="1"/>
        <v>40</v>
      </c>
      <c r="F107" s="176">
        <f>VLOOKUP(B107,'Q MPP'!A:L,7,FALSE)</f>
        <v>2201.7</v>
      </c>
      <c r="G107" s="177"/>
      <c r="H107" s="183">
        <f>VLOOKUP(B107,'Q MPP'!A:L,7,0)</f>
        <v>2201.7</v>
      </c>
      <c r="I107" s="184" t="str">
        <f t="shared" si="2"/>
        <v>VIGENTE</v>
      </c>
      <c r="J107" s="184" t="str">
        <f t="shared" si="3"/>
        <v>VIGENTE</v>
      </c>
      <c r="K107" s="184" t="str">
        <f>VLOOKUP(B107,'RECURSO ACTUAL'!A:C,3,0)</f>
        <v>KMZ303</v>
      </c>
      <c r="L107" s="184" t="str">
        <f>VLOOKUP(B107,'RECURSO ACTUAL'!A:B,2,0)</f>
        <v>02-Medellin</v>
      </c>
    </row>
    <row r="108">
      <c r="A108" s="186"/>
      <c r="B108" s="180">
        <f>'RECURSO ACTUAL'!A109</f>
        <v>2675</v>
      </c>
      <c r="C108" s="181">
        <f>'RECURSO ACTUAL'!F109</f>
        <v>46494</v>
      </c>
      <c r="D108" s="182">
        <f>VLOOKUP(B108,'Q MPP'!A:L,8,0)</f>
        <v>46127</v>
      </c>
      <c r="E108" s="183">
        <f t="shared" si="1"/>
        <v>89</v>
      </c>
      <c r="F108" s="176">
        <f>VLOOKUP(B108,'Q MPP'!A:L,7,FALSE)</f>
        <v>2442</v>
      </c>
      <c r="G108" s="177"/>
      <c r="H108" s="183">
        <f>VLOOKUP(B108,'Q MPP'!A:L,7,0)</f>
        <v>2442</v>
      </c>
      <c r="I108" s="184" t="str">
        <f t="shared" si="2"/>
        <v>PROXIMO</v>
      </c>
      <c r="J108" s="184" t="str">
        <f t="shared" si="3"/>
        <v>VIGENTE</v>
      </c>
      <c r="K108" s="184" t="str">
        <f>VLOOKUP(B108,'RECURSO ACTUAL'!A:C,3,0)</f>
        <v>KMZ302</v>
      </c>
      <c r="L108" s="184" t="str">
        <f>VLOOKUP(B108,'RECURSO ACTUAL'!A:B,2,0)</f>
        <v>02-Medellin</v>
      </c>
    </row>
    <row r="109">
      <c r="A109" s="186"/>
      <c r="B109" s="180">
        <f>'RECURSO ACTUAL'!A110</f>
        <v>2674</v>
      </c>
      <c r="C109" s="181">
        <f>'RECURSO ACTUAL'!F110</f>
        <v>46507</v>
      </c>
      <c r="D109" s="182">
        <f>VLOOKUP(B109,'Q MPP'!A:L,8,0)</f>
        <v>46154</v>
      </c>
      <c r="E109" s="183">
        <f t="shared" si="1"/>
        <v>62</v>
      </c>
      <c r="F109" s="176">
        <f>VLOOKUP(B109,'Q MPP'!A:L,7,FALSE)</f>
        <v>1634.6</v>
      </c>
      <c r="G109" s="177"/>
      <c r="H109" s="183">
        <f>VLOOKUP(B109,'Q MPP'!A:L,7,0)</f>
        <v>1634.6</v>
      </c>
      <c r="I109" s="184" t="str">
        <f t="shared" si="2"/>
        <v>VIGENTE</v>
      </c>
      <c r="J109" s="184" t="str">
        <f t="shared" si="3"/>
        <v>VIGENTE</v>
      </c>
      <c r="K109" s="184" t="str">
        <f>VLOOKUP(B109,'RECURSO ACTUAL'!A:C,3,0)</f>
        <v>KMZ301</v>
      </c>
      <c r="L109" s="184" t="str">
        <f>VLOOKUP(B109,'RECURSO ACTUAL'!A:B,2,0)</f>
        <v>27-Apartado</v>
      </c>
    </row>
    <row r="110">
      <c r="A110" s="186"/>
      <c r="B110" s="180">
        <f>'RECURSO ACTUAL'!A111</f>
        <v>2673</v>
      </c>
      <c r="C110" s="181">
        <f>'RECURSO ACTUAL'!F111</f>
        <v>46516</v>
      </c>
      <c r="D110" s="182">
        <f>VLOOKUP(B110,'Q MPP'!A:L,8,0)</f>
        <v>46150</v>
      </c>
      <c r="E110" s="183">
        <f t="shared" si="1"/>
        <v>66</v>
      </c>
      <c r="F110" s="176">
        <f>VLOOKUP(B110,'Q MPP'!A:L,7,FALSE)</f>
        <v>2166.4</v>
      </c>
      <c r="G110" s="177"/>
      <c r="H110" s="183">
        <f>VLOOKUP(B110,'Q MPP'!A:L,7,0)</f>
        <v>2166.4</v>
      </c>
      <c r="I110" s="184" t="str">
        <f t="shared" si="2"/>
        <v>VIGENTE</v>
      </c>
      <c r="J110" s="184" t="str">
        <f t="shared" si="3"/>
        <v>VIGENTE</v>
      </c>
      <c r="K110" s="184" t="str">
        <f>VLOOKUP(B110,'RECURSO ACTUAL'!A:C,3,0)</f>
        <v>KMZ300</v>
      </c>
      <c r="L110" s="184" t="str">
        <f>VLOOKUP(B110,'RECURSO ACTUAL'!A:B,2,0)</f>
        <v>02-Medellin</v>
      </c>
    </row>
    <row r="111">
      <c r="A111" s="186"/>
      <c r="B111" s="180">
        <f>'RECURSO ACTUAL'!A112</f>
        <v>2672</v>
      </c>
      <c r="C111" s="181">
        <f>'RECURSO ACTUAL'!F112</f>
        <v>46511</v>
      </c>
      <c r="D111" s="182">
        <f>VLOOKUP(B111,'Q MPP'!A:L,8,0)</f>
        <v>46142</v>
      </c>
      <c r="E111" s="183">
        <f t="shared" si="1"/>
        <v>74</v>
      </c>
      <c r="F111" s="176">
        <f>VLOOKUP(B111,'Q MPP'!A:L,7,FALSE)</f>
        <v>1467</v>
      </c>
      <c r="G111" s="177"/>
      <c r="H111" s="183">
        <f>VLOOKUP(B111,'Q MPP'!A:L,7,0)</f>
        <v>1467</v>
      </c>
      <c r="I111" s="184" t="str">
        <f t="shared" si="2"/>
        <v>VIGENTE</v>
      </c>
      <c r="J111" s="184" t="str">
        <f t="shared" si="3"/>
        <v>VIGENTE</v>
      </c>
      <c r="K111" s="184" t="str">
        <f>VLOOKUP(B111,'RECURSO ACTUAL'!A:C,3,0)</f>
        <v>KMZ299</v>
      </c>
      <c r="L111" s="184" t="str">
        <f>VLOOKUP(B111,'RECURSO ACTUAL'!A:B,2,0)</f>
        <v>02-Medellin</v>
      </c>
    </row>
    <row r="112">
      <c r="A112" s="186"/>
      <c r="B112" s="180">
        <f>'RECURSO ACTUAL'!A113</f>
        <v>2671</v>
      </c>
      <c r="C112" s="181">
        <f>'RECURSO ACTUAL'!F113</f>
        <v>46507</v>
      </c>
      <c r="D112" s="182">
        <f>VLOOKUP(B112,'Q MPP'!A:L,8,0)</f>
        <v>46142</v>
      </c>
      <c r="E112" s="183">
        <f t="shared" si="1"/>
        <v>74</v>
      </c>
      <c r="F112" s="176">
        <f>VLOOKUP(B112,'Q MPP'!A:L,7,FALSE)</f>
        <v>3546.7</v>
      </c>
      <c r="G112" s="177"/>
      <c r="H112" s="183">
        <f>VLOOKUP(B112,'Q MPP'!A:L,7,0)</f>
        <v>3546.7</v>
      </c>
      <c r="I112" s="184" t="str">
        <f t="shared" si="2"/>
        <v>VIGENTE</v>
      </c>
      <c r="J112" s="184" t="str">
        <f t="shared" si="3"/>
        <v>VIGENTE</v>
      </c>
      <c r="K112" s="184" t="str">
        <f>VLOOKUP(B112,'RECURSO ACTUAL'!A:C,3,0)</f>
        <v>KMZ298</v>
      </c>
      <c r="L112" s="184" t="str">
        <f>VLOOKUP(B112,'RECURSO ACTUAL'!A:B,2,0)</f>
        <v>MAYORCA</v>
      </c>
    </row>
    <row r="113">
      <c r="A113" s="186"/>
      <c r="B113" s="180">
        <f>'RECURSO ACTUAL'!A114</f>
        <v>2669</v>
      </c>
      <c r="C113" s="181">
        <f>'RECURSO ACTUAL'!F114</f>
        <v>46511</v>
      </c>
      <c r="D113" s="182">
        <f>VLOOKUP(B113,'Q MPP'!A:L,8,0)</f>
        <v>46142</v>
      </c>
      <c r="E113" s="183">
        <f t="shared" si="1"/>
        <v>74</v>
      </c>
      <c r="F113" s="176">
        <f>VLOOKUP(B113,'Q MPP'!A:L,7,FALSE)</f>
        <v>2134</v>
      </c>
      <c r="G113" s="177"/>
      <c r="H113" s="183">
        <f>VLOOKUP(B113,'Q MPP'!A:L,7,0)</f>
        <v>2134</v>
      </c>
      <c r="I113" s="184" t="str">
        <f t="shared" si="2"/>
        <v>VIGENTE</v>
      </c>
      <c r="J113" s="184" t="str">
        <f t="shared" si="3"/>
        <v>VIGENTE</v>
      </c>
      <c r="K113" s="184" t="str">
        <f>VLOOKUP(B113,'RECURSO ACTUAL'!A:C,3,0)</f>
        <v>KMZ296</v>
      </c>
      <c r="L113" s="184" t="str">
        <f>VLOOKUP(B113,'RECURSO ACTUAL'!A:B,2,0)</f>
        <v>02-Medellin</v>
      </c>
    </row>
    <row r="114">
      <c r="A114" s="186"/>
      <c r="B114" s="180">
        <f>'RECURSO ACTUAL'!A115</f>
        <v>2666</v>
      </c>
      <c r="C114" s="181">
        <f>'RECURSO ACTUAL'!F115</f>
        <v>46492</v>
      </c>
      <c r="D114" s="182">
        <f>VLOOKUP(B114,'Q MPP'!A:L,8,0)</f>
        <v>46083</v>
      </c>
      <c r="E114" s="183">
        <f t="shared" si="1"/>
        <v>133</v>
      </c>
      <c r="F114" s="176">
        <f>VLOOKUP(B114,'Q MPP'!A:L,7,FALSE)</f>
        <v>5010.4</v>
      </c>
      <c r="G114" s="177"/>
      <c r="H114" s="183">
        <f>VLOOKUP(B114,'Q MPP'!A:L,7,0)</f>
        <v>5010.4</v>
      </c>
      <c r="I114" s="184" t="str">
        <f t="shared" si="2"/>
        <v>PASADO</v>
      </c>
      <c r="J114" s="184" t="str">
        <f t="shared" si="3"/>
        <v>PASADO</v>
      </c>
      <c r="K114" s="184" t="str">
        <f>VLOOKUP(B114,'RECURSO ACTUAL'!A:C,3,0)</f>
        <v>KMZ293</v>
      </c>
      <c r="L114" s="184" t="str">
        <f>VLOOKUP(B114,'RECURSO ACTUAL'!A:B,2,0)</f>
        <v>02-Medellin</v>
      </c>
    </row>
    <row r="115">
      <c r="A115" s="186"/>
      <c r="B115" s="180">
        <f>'RECURSO ACTUAL'!A116</f>
        <v>2663</v>
      </c>
      <c r="C115" s="181">
        <f>'RECURSO ACTUAL'!F116</f>
        <v>46493</v>
      </c>
      <c r="D115" s="182">
        <f>VLOOKUP(B115,'Q MPP'!A:L,8,0)</f>
        <v>46097</v>
      </c>
      <c r="E115" s="183">
        <f t="shared" si="1"/>
        <v>119</v>
      </c>
      <c r="F115" s="176">
        <f>VLOOKUP(B115,'Q MPP'!A:L,7,FALSE)</f>
        <v>7813.7</v>
      </c>
      <c r="G115" s="177"/>
      <c r="H115" s="183">
        <f>VLOOKUP(B115,'Q MPP'!A:L,7,0)</f>
        <v>7813.7</v>
      </c>
      <c r="I115" s="184" t="str">
        <f t="shared" si="2"/>
        <v>PASADO</v>
      </c>
      <c r="J115" s="184" t="str">
        <f t="shared" si="3"/>
        <v>PASADO</v>
      </c>
      <c r="K115" s="184" t="str">
        <f>VLOOKUP(B115,'RECURSO ACTUAL'!A:C,3,0)</f>
        <v>KMZ290</v>
      </c>
      <c r="L115" s="184" t="str">
        <f>VLOOKUP(B115,'RECURSO ACTUAL'!A:B,2,0)</f>
        <v>24-Rionegro</v>
      </c>
    </row>
    <row r="116">
      <c r="A116" s="186"/>
      <c r="B116" s="180">
        <f>'RECURSO ACTUAL'!A117</f>
        <v>2661</v>
      </c>
      <c r="C116" s="181">
        <f>'RECURSO ACTUAL'!F117</f>
        <v>46489</v>
      </c>
      <c r="D116" s="182">
        <f>VLOOKUP(B116,'Q MPP'!A:L,8,0)</f>
        <v>46122</v>
      </c>
      <c r="E116" s="183">
        <f t="shared" si="1"/>
        <v>94</v>
      </c>
      <c r="F116" s="176">
        <f>VLOOKUP(B116,'Q MPP'!A:L,7,FALSE)</f>
        <v>4855.9</v>
      </c>
      <c r="G116" s="177"/>
      <c r="H116" s="183">
        <f>VLOOKUP(B116,'Q MPP'!A:L,7,0)</f>
        <v>4855.9</v>
      </c>
      <c r="I116" s="184" t="str">
        <f t="shared" si="2"/>
        <v>PASADO</v>
      </c>
      <c r="J116" s="184" t="str">
        <f t="shared" si="3"/>
        <v>PROXIMO</v>
      </c>
      <c r="K116" s="184" t="str">
        <f>VLOOKUP(B116,'RECURSO ACTUAL'!A:C,3,0)</f>
        <v>KMZ288</v>
      </c>
      <c r="L116" s="184" t="str">
        <f>VLOOKUP(B116,'RECURSO ACTUAL'!A:B,2,0)</f>
        <v>02-Medellin</v>
      </c>
    </row>
    <row r="117">
      <c r="A117" s="186"/>
      <c r="B117" s="180">
        <f>'RECURSO ACTUAL'!A118</f>
        <v>2660</v>
      </c>
      <c r="C117" s="181">
        <f>'RECURSO ACTUAL'!F118</f>
        <v>46491</v>
      </c>
      <c r="D117" s="182">
        <f>VLOOKUP(B117,'Q MPP'!A:L,8,0)</f>
        <v>46126</v>
      </c>
      <c r="E117" s="183">
        <f t="shared" si="1"/>
        <v>90</v>
      </c>
      <c r="F117" s="176">
        <f>VLOOKUP(B117,'Q MPP'!A:L,7,FALSE)</f>
        <v>3078</v>
      </c>
      <c r="G117" s="177"/>
      <c r="H117" s="183">
        <f>VLOOKUP(B117,'Q MPP'!A:L,7,0)</f>
        <v>3078</v>
      </c>
      <c r="I117" s="184" t="str">
        <f t="shared" si="2"/>
        <v>PROXIMO</v>
      </c>
      <c r="J117" s="184" t="str">
        <f t="shared" si="3"/>
        <v>VIGENTE</v>
      </c>
      <c r="K117" s="184" t="str">
        <f>VLOOKUP(B117,'RECURSO ACTUAL'!A:C,3,0)</f>
        <v>KMZ287</v>
      </c>
      <c r="L117" s="184" t="str">
        <f>VLOOKUP(B117,'RECURSO ACTUAL'!A:B,2,0)</f>
        <v>24-Rionegro</v>
      </c>
    </row>
    <row r="118">
      <c r="A118" s="186"/>
      <c r="B118" s="180">
        <f>'RECURSO ACTUAL'!A119</f>
        <v>2659</v>
      </c>
      <c r="C118" s="181">
        <f>'RECURSO ACTUAL'!F119</f>
        <v>46487</v>
      </c>
      <c r="D118" s="182">
        <f>VLOOKUP(B118,'Q MPP'!A:L,8,0)</f>
        <v>46122</v>
      </c>
      <c r="E118" s="183">
        <f t="shared" si="1"/>
        <v>94</v>
      </c>
      <c r="F118" s="176">
        <f>VLOOKUP(B118,'Q MPP'!A:L,7,FALSE)</f>
        <v>2342</v>
      </c>
      <c r="G118" s="177"/>
      <c r="H118" s="183">
        <f>VLOOKUP(B118,'Q MPP'!A:L,7,0)</f>
        <v>2342</v>
      </c>
      <c r="I118" s="184" t="str">
        <f t="shared" si="2"/>
        <v>PASADO</v>
      </c>
      <c r="J118" s="184" t="str">
        <f t="shared" si="3"/>
        <v>VIGENTE</v>
      </c>
      <c r="K118" s="184" t="str">
        <f>VLOOKUP(B118,'RECURSO ACTUAL'!A:C,3,0)</f>
        <v>KMZ286</v>
      </c>
      <c r="L118" s="184" t="str">
        <f>VLOOKUP(B118,'RECURSO ACTUAL'!A:B,2,0)</f>
        <v>02-Medellin</v>
      </c>
    </row>
    <row r="119">
      <c r="A119" s="186"/>
      <c r="B119" s="180">
        <f>'RECURSO ACTUAL'!A120</f>
        <v>2657</v>
      </c>
      <c r="C119" s="181">
        <f>'RECURSO ACTUAL'!F120</f>
        <v>46486</v>
      </c>
      <c r="D119" s="182">
        <f>VLOOKUP(B119,'Q MPP'!A:L,8,0)</f>
        <v>46105</v>
      </c>
      <c r="E119" s="183">
        <f t="shared" si="1"/>
        <v>111</v>
      </c>
      <c r="F119" s="176">
        <f>VLOOKUP(B119,'Q MPP'!A:L,7,FALSE)</f>
        <v>3156</v>
      </c>
      <c r="G119" s="177"/>
      <c r="H119" s="183">
        <f>VLOOKUP(B119,'Q MPP'!A:L,7,0)</f>
        <v>3156</v>
      </c>
      <c r="I119" s="184" t="str">
        <f t="shared" si="2"/>
        <v>PASADO</v>
      </c>
      <c r="J119" s="184" t="str">
        <f t="shared" si="3"/>
        <v>VIGENTE</v>
      </c>
      <c r="K119" s="184" t="str">
        <f>VLOOKUP(B119,'RECURSO ACTUAL'!A:C,3,0)</f>
        <v>KMZ284</v>
      </c>
      <c r="L119" s="184" t="str">
        <f>VLOOKUP(B119,'RECURSO ACTUAL'!A:B,2,0)</f>
        <v>MAYORCA</v>
      </c>
    </row>
    <row r="120">
      <c r="A120" s="186"/>
      <c r="B120" s="180">
        <f>'RECURSO ACTUAL'!A121</f>
        <v>2656</v>
      </c>
      <c r="C120" s="181">
        <f>'RECURSO ACTUAL'!F121</f>
        <v>46485</v>
      </c>
      <c r="D120" s="182">
        <f>VLOOKUP(B120,'Q MPP'!A:L,8,0)</f>
        <v>46119</v>
      </c>
      <c r="E120" s="183">
        <f t="shared" si="1"/>
        <v>97</v>
      </c>
      <c r="F120" s="176">
        <f>VLOOKUP(B120,'Q MPP'!A:L,7,FALSE)</f>
        <v>2376</v>
      </c>
      <c r="G120" s="177"/>
      <c r="H120" s="183">
        <f>VLOOKUP(B120,'Q MPP'!A:L,7,0)</f>
        <v>2376</v>
      </c>
      <c r="I120" s="184" t="str">
        <f t="shared" si="2"/>
        <v>PASADO</v>
      </c>
      <c r="J120" s="184" t="str">
        <f t="shared" si="3"/>
        <v>VIGENTE</v>
      </c>
      <c r="K120" s="184" t="str">
        <f>VLOOKUP(B120,'RECURSO ACTUAL'!A:C,3,0)</f>
        <v>KMZ283</v>
      </c>
      <c r="L120" s="184" t="str">
        <f>VLOOKUP(B120,'RECURSO ACTUAL'!A:B,2,0)</f>
        <v>02-Medellin</v>
      </c>
    </row>
    <row r="121">
      <c r="A121" s="186"/>
      <c r="B121" s="180">
        <f>'RECURSO ACTUAL'!A122</f>
        <v>2643</v>
      </c>
      <c r="C121" s="181">
        <f>'RECURSO ACTUAL'!F122</f>
        <v>46259</v>
      </c>
      <c r="D121" s="182">
        <f>VLOOKUP(B121,'Q MPP'!A:L,8,0)</f>
        <v>46156</v>
      </c>
      <c r="E121" s="183">
        <f t="shared" si="1"/>
        <v>60</v>
      </c>
      <c r="F121" s="176">
        <f>VLOOKUP(B121,'Q MPP'!A:L,7,FALSE)</f>
        <v>2252.3</v>
      </c>
      <c r="G121" s="177"/>
      <c r="H121" s="183">
        <f>VLOOKUP(B121,'Q MPP'!A:L,7,0)</f>
        <v>2252.3</v>
      </c>
      <c r="I121" s="184" t="str">
        <f t="shared" si="2"/>
        <v>VIGENTE</v>
      </c>
      <c r="J121" s="184" t="str">
        <f t="shared" si="3"/>
        <v>VIGENTE</v>
      </c>
      <c r="K121" s="184" t="str">
        <f>VLOOKUP(B121,'RECURSO ACTUAL'!A:C,3,0)</f>
        <v>JPO476</v>
      </c>
      <c r="L121" s="184" t="str">
        <f>VLOOKUP(B121,'RECURSO ACTUAL'!A:B,2,0)</f>
        <v>27-Apartado</v>
      </c>
    </row>
    <row r="122">
      <c r="A122" s="186"/>
      <c r="B122" s="180">
        <f>'RECURSO ACTUAL'!A123</f>
        <v>2640</v>
      </c>
      <c r="C122" s="181">
        <f>'RECURSO ACTUAL'!F123</f>
        <v>46254</v>
      </c>
      <c r="D122" s="182">
        <f>VLOOKUP(B122,'Q MPP'!A:L,8,0)</f>
        <v>46154</v>
      </c>
      <c r="E122" s="183">
        <f t="shared" si="1"/>
        <v>62</v>
      </c>
      <c r="F122" s="176">
        <f>VLOOKUP(B122,'Q MPP'!A:L,7,FALSE)</f>
        <v>1199</v>
      </c>
      <c r="G122" s="177"/>
      <c r="H122" s="183">
        <f>VLOOKUP(B122,'Q MPP'!A:L,7,0)</f>
        <v>1199</v>
      </c>
      <c r="I122" s="184" t="str">
        <f t="shared" si="2"/>
        <v>VIGENTE</v>
      </c>
      <c r="J122" s="184" t="str">
        <f t="shared" si="3"/>
        <v>VIGENTE</v>
      </c>
      <c r="K122" s="184" t="str">
        <f>VLOOKUP(B122,'RECURSO ACTUAL'!A:C,3,0)</f>
        <v>JPO473</v>
      </c>
      <c r="L122" s="184" t="str">
        <f>VLOOKUP(B122,'RECURSO ACTUAL'!A:B,2,0)</f>
        <v>27-Apartado</v>
      </c>
    </row>
    <row r="123">
      <c r="A123" s="186"/>
      <c r="B123" s="180">
        <f>'RECURSO ACTUAL'!A124</f>
        <v>2637</v>
      </c>
      <c r="C123" s="181">
        <f>'RECURSO ACTUAL'!F124</f>
        <v>46249</v>
      </c>
      <c r="D123" s="182">
        <f>VLOOKUP(B123,'Q MPP'!A:L,8,0)</f>
        <v>46168</v>
      </c>
      <c r="E123" s="183">
        <f t="shared" si="1"/>
        <v>48</v>
      </c>
      <c r="F123" s="176">
        <f>VLOOKUP(B123,'Q MPP'!A:L,7,FALSE)</f>
        <v>1933.3</v>
      </c>
      <c r="G123" s="177"/>
      <c r="H123" s="183">
        <f>VLOOKUP(B123,'Q MPP'!A:L,7,0)</f>
        <v>1933.3</v>
      </c>
      <c r="I123" s="184" t="str">
        <f t="shared" si="2"/>
        <v>VIGENTE</v>
      </c>
      <c r="J123" s="184" t="str">
        <f t="shared" si="3"/>
        <v>VIGENTE</v>
      </c>
      <c r="K123" s="184" t="str">
        <f>VLOOKUP(B123,'RECURSO ACTUAL'!A:C,3,0)</f>
        <v>JPO477</v>
      </c>
      <c r="L123" s="184" t="str">
        <f>VLOOKUP(B123,'RECURSO ACTUAL'!A:B,2,0)</f>
        <v>02-Medellin</v>
      </c>
    </row>
    <row r="124">
      <c r="A124" s="186"/>
      <c r="B124" s="180">
        <f>'RECURSO ACTUAL'!A125</f>
        <v>2635</v>
      </c>
      <c r="C124" s="181">
        <f>'RECURSO ACTUAL'!F125</f>
        <v>46254</v>
      </c>
      <c r="D124" s="182">
        <f>VLOOKUP(B124,'Q MPP'!A:L,8,0)</f>
        <v>46156</v>
      </c>
      <c r="E124" s="183">
        <f t="shared" si="1"/>
        <v>60</v>
      </c>
      <c r="F124" s="176">
        <f>VLOOKUP(B124,'Q MPP'!A:L,7,FALSE)</f>
        <v>2488.7</v>
      </c>
      <c r="G124" s="177"/>
      <c r="H124" s="183">
        <f>VLOOKUP(B124,'Q MPP'!A:L,7,0)</f>
        <v>2488.7</v>
      </c>
      <c r="I124" s="184" t="str">
        <f t="shared" si="2"/>
        <v>VIGENTE</v>
      </c>
      <c r="J124" s="184" t="str">
        <f t="shared" si="3"/>
        <v>VIGENTE</v>
      </c>
      <c r="K124" s="184" t="str">
        <f>VLOOKUP(B124,'RECURSO ACTUAL'!A:C,3,0)</f>
        <v>JPO482</v>
      </c>
      <c r="L124" s="184" t="str">
        <f>VLOOKUP(B124,'RECURSO ACTUAL'!A:B,2,0)</f>
        <v>02-Medellin</v>
      </c>
    </row>
    <row r="125">
      <c r="A125" s="186"/>
      <c r="B125" s="180">
        <f>'RECURSO ACTUAL'!A126</f>
        <v>2628</v>
      </c>
      <c r="C125" s="181">
        <f>'RECURSO ACTUAL'!F126</f>
        <v>46269</v>
      </c>
      <c r="D125" s="182">
        <f>VLOOKUP(B125,'Q MPP'!A:L,8,0)</f>
        <v>46156</v>
      </c>
      <c r="E125" s="183">
        <f t="shared" si="1"/>
        <v>60</v>
      </c>
      <c r="F125" s="176">
        <f>VLOOKUP(B125,'Q MPP'!A:L,7,FALSE)</f>
        <v>0</v>
      </c>
      <c r="G125" s="177"/>
      <c r="H125" s="183">
        <f>VLOOKUP(B125,'Q MPP'!A:L,7,0)</f>
        <v>0</v>
      </c>
      <c r="I125" s="184" t="str">
        <f t="shared" si="2"/>
        <v>VIGENTE</v>
      </c>
      <c r="J125" s="184" t="str">
        <f t="shared" si="3"/>
        <v>VIGENTE</v>
      </c>
      <c r="K125" s="184" t="str">
        <f>VLOOKUP(B125,'RECURSO ACTUAL'!A:C,3,0)</f>
        <v>GDX043</v>
      </c>
      <c r="L125" s="184" t="str">
        <f>VLOOKUP(B125,'RECURSO ACTUAL'!A:B,2,0)</f>
        <v>38-La ceja</v>
      </c>
    </row>
    <row r="126">
      <c r="A126" s="186"/>
      <c r="B126" s="180">
        <f>'RECURSO ACTUAL'!A127</f>
        <v>2623</v>
      </c>
      <c r="C126" s="181">
        <f>'RECURSO ACTUAL'!F127</f>
        <v>46268</v>
      </c>
      <c r="D126" s="182">
        <f>VLOOKUP(B126,'Q MPP'!A:L,8,0)</f>
        <v>46122</v>
      </c>
      <c r="E126" s="183">
        <f t="shared" si="1"/>
        <v>94</v>
      </c>
      <c r="F126" s="176">
        <f>VLOOKUP(B126,'Q MPP'!A:L,7,FALSE)</f>
        <v>3344.2</v>
      </c>
      <c r="G126" s="177"/>
      <c r="H126" s="183">
        <f>VLOOKUP(B126,'Q MPP'!A:L,7,0)</f>
        <v>3344.2</v>
      </c>
      <c r="I126" s="184" t="str">
        <f t="shared" si="2"/>
        <v>PASADO</v>
      </c>
      <c r="J126" s="184" t="str">
        <f t="shared" si="3"/>
        <v>VIGENTE</v>
      </c>
      <c r="K126" s="184" t="str">
        <f>VLOOKUP(B126,'RECURSO ACTUAL'!A:C,3,0)</f>
        <v>GDX038</v>
      </c>
      <c r="L126" s="184" t="str">
        <f>VLOOKUP(B126,'RECURSO ACTUAL'!A:B,2,0)</f>
        <v>02-Medellin</v>
      </c>
    </row>
    <row r="127">
      <c r="A127" s="186"/>
      <c r="B127" s="180">
        <f>'RECURSO ACTUAL'!A128</f>
        <v>2573</v>
      </c>
      <c r="C127" s="181">
        <f>'RECURSO ACTUAL'!F128</f>
        <v>46239</v>
      </c>
      <c r="D127" s="182">
        <f>VLOOKUP(B127,'Q MPP'!A:L,8,0)</f>
        <v>46177</v>
      </c>
      <c r="E127" s="183">
        <f t="shared" si="1"/>
        <v>39</v>
      </c>
      <c r="F127" s="176">
        <f>VLOOKUP(B127,'Q MPP'!A:L,7,FALSE)</f>
        <v>622.7</v>
      </c>
      <c r="G127" s="177"/>
      <c r="H127" s="183">
        <f>VLOOKUP(B127,'Q MPP'!A:L,7,0)</f>
        <v>622.7</v>
      </c>
      <c r="I127" s="184" t="str">
        <f t="shared" si="2"/>
        <v>VIGENTE</v>
      </c>
      <c r="J127" s="184" t="str">
        <f t="shared" si="3"/>
        <v>VIGENTE</v>
      </c>
      <c r="K127" s="184" t="str">
        <f>VLOOKUP(B127,'RECURSO ACTUAL'!A:C,3,0)</f>
        <v>GDW886</v>
      </c>
      <c r="L127" s="184" t="str">
        <f>VLOOKUP(B127,'RECURSO ACTUAL'!A:B,2,0)</f>
        <v>02-Medellin</v>
      </c>
    </row>
    <row r="128">
      <c r="A128" s="186"/>
      <c r="B128" s="180">
        <f>'RECURSO ACTUAL'!A129</f>
        <v>2572</v>
      </c>
      <c r="C128" s="181">
        <f>'RECURSO ACTUAL'!F129</f>
        <v>46245</v>
      </c>
      <c r="D128" s="182">
        <f>VLOOKUP(B128,'Q MPP'!A:L,8,0)</f>
        <v>46147</v>
      </c>
      <c r="E128" s="183">
        <f t="shared" si="1"/>
        <v>69</v>
      </c>
      <c r="F128" s="176">
        <f>VLOOKUP(B128,'Q MPP'!A:L,7,FALSE)</f>
        <v>4262</v>
      </c>
      <c r="G128" s="177"/>
      <c r="H128" s="183">
        <f>VLOOKUP(B128,'Q MPP'!A:L,7,0)</f>
        <v>4262</v>
      </c>
      <c r="I128" s="184" t="str">
        <f t="shared" si="2"/>
        <v>VIGENTE</v>
      </c>
      <c r="J128" s="184" t="str">
        <f t="shared" si="3"/>
        <v>PROXIMO</v>
      </c>
      <c r="K128" s="184" t="str">
        <f>VLOOKUP(B128,'RECURSO ACTUAL'!A:C,3,0)</f>
        <v>GDW885</v>
      </c>
      <c r="L128" s="184" t="str">
        <f>VLOOKUP(B128,'RECURSO ACTUAL'!A:B,2,0)</f>
        <v>31-Copacabana</v>
      </c>
    </row>
    <row r="129">
      <c r="A129" s="186"/>
      <c r="B129" s="180">
        <f>'RECURSO ACTUAL'!A130</f>
        <v>2570</v>
      </c>
      <c r="C129" s="181">
        <f>'RECURSO ACTUAL'!F130</f>
        <v>46236</v>
      </c>
      <c r="D129" s="182">
        <f>VLOOKUP(B129,'Q MPP'!A:L,8,0)</f>
        <v>46122</v>
      </c>
      <c r="E129" s="183">
        <f t="shared" si="1"/>
        <v>94</v>
      </c>
      <c r="F129" s="176">
        <f>VLOOKUP(B129,'Q MPP'!A:L,7,FALSE)</f>
        <v>1930</v>
      </c>
      <c r="G129" s="177"/>
      <c r="H129" s="183">
        <f>VLOOKUP(B129,'Q MPP'!A:L,7,0)</f>
        <v>1930</v>
      </c>
      <c r="I129" s="184" t="str">
        <f t="shared" si="2"/>
        <v>PASADO</v>
      </c>
      <c r="J129" s="184" t="str">
        <f t="shared" si="3"/>
        <v>VIGENTE</v>
      </c>
      <c r="K129" s="184" t="str">
        <f>VLOOKUP(B129,'RECURSO ACTUAL'!A:C,3,0)</f>
        <v>GDW884</v>
      </c>
      <c r="L129" s="184" t="str">
        <f>VLOOKUP(B129,'RECURSO ACTUAL'!A:B,2,0)</f>
        <v>02-Medellin</v>
      </c>
    </row>
    <row r="130">
      <c r="A130" s="186"/>
      <c r="B130" s="180">
        <f>'RECURSO ACTUAL'!A131</f>
        <v>2492</v>
      </c>
      <c r="C130" s="181">
        <f>'RECURSO ACTUAL'!F131</f>
        <v>46555</v>
      </c>
      <c r="D130" s="182">
        <f>VLOOKUP(B130,'Q MPP'!A:L,8,0)</f>
        <v>46163</v>
      </c>
      <c r="E130" s="183">
        <f t="shared" si="1"/>
        <v>53</v>
      </c>
      <c r="F130" s="176">
        <f>VLOOKUP(B130,'Q MPP'!A:L,7,FALSE)</f>
        <v>792.9</v>
      </c>
      <c r="G130" s="177"/>
      <c r="H130" s="183">
        <f>VLOOKUP(B130,'Q MPP'!A:L,7,0)</f>
        <v>792.9</v>
      </c>
      <c r="I130" s="184" t="str">
        <f t="shared" si="2"/>
        <v>VIGENTE</v>
      </c>
      <c r="J130" s="184" t="str">
        <f t="shared" si="3"/>
        <v>VIGENTE</v>
      </c>
      <c r="K130" s="184" t="str">
        <f>VLOOKUP(B130,'RECURSO ACTUAL'!A:C,3,0)</f>
        <v>WLY739</v>
      </c>
      <c r="L130" s="184" t="str">
        <f>VLOOKUP(B130,'RECURSO ACTUAL'!A:B,2,0)</f>
        <v>02-Medellin</v>
      </c>
    </row>
    <row r="131">
      <c r="A131" s="186"/>
      <c r="B131" s="180">
        <f>'RECURSO ACTUAL'!A132</f>
        <v>2490</v>
      </c>
      <c r="C131" s="181">
        <f>'RECURSO ACTUAL'!F132</f>
        <v>46303</v>
      </c>
      <c r="D131" s="182">
        <f>VLOOKUP(B131,'Q MPP'!A:L,8,0)</f>
        <v>46118</v>
      </c>
      <c r="E131" s="183">
        <f t="shared" si="1"/>
        <v>98</v>
      </c>
      <c r="F131" s="176">
        <f>VLOOKUP(B131,'Q MPP'!A:L,7,FALSE)</f>
        <v>2764.2</v>
      </c>
      <c r="G131" s="177"/>
      <c r="H131" s="183">
        <f>VLOOKUP(B131,'Q MPP'!A:L,7,0)</f>
        <v>2764.2</v>
      </c>
      <c r="I131" s="184" t="str">
        <f t="shared" si="2"/>
        <v>PASADO</v>
      </c>
      <c r="J131" s="184" t="str">
        <f t="shared" si="3"/>
        <v>VIGENTE</v>
      </c>
      <c r="K131" s="184" t="str">
        <f>VLOOKUP(B131,'RECURSO ACTUAL'!A:C,3,0)</f>
        <v>WLZ243</v>
      </c>
      <c r="L131" s="184" t="str">
        <f>VLOOKUP(B131,'RECURSO ACTUAL'!A:B,2,0)</f>
        <v>02-Medellin</v>
      </c>
    </row>
    <row r="132">
      <c r="A132" s="186"/>
      <c r="B132" s="180">
        <f>'RECURSO ACTUAL'!A133</f>
        <v>2484</v>
      </c>
      <c r="C132" s="181">
        <f>'RECURSO ACTUAL'!F133</f>
        <v>46309</v>
      </c>
      <c r="D132" s="182">
        <f>VLOOKUP(B132,'Q MPP'!A:L,8,0)</f>
        <v>46108</v>
      </c>
      <c r="E132" s="183">
        <f t="shared" si="1"/>
        <v>108</v>
      </c>
      <c r="F132" s="176">
        <f>VLOOKUP(B132,'Q MPP'!A:L,7,FALSE)</f>
        <v>3197.8</v>
      </c>
      <c r="G132" s="177"/>
      <c r="H132" s="183">
        <f>VLOOKUP(B132,'Q MPP'!A:L,7,0)</f>
        <v>3197.8</v>
      </c>
      <c r="I132" s="184" t="str">
        <f t="shared" si="2"/>
        <v>PASADO</v>
      </c>
      <c r="J132" s="184" t="str">
        <f t="shared" si="3"/>
        <v>VIGENTE</v>
      </c>
      <c r="K132" s="184" t="str">
        <f>VLOOKUP(B132,'RECURSO ACTUAL'!A:C,3,0)</f>
        <v>WLZ246</v>
      </c>
      <c r="L132" s="184" t="str">
        <f>VLOOKUP(B132,'RECURSO ACTUAL'!A:B,2,0)</f>
        <v>MAYORCA</v>
      </c>
    </row>
    <row r="133">
      <c r="A133" s="186"/>
      <c r="B133" s="180">
        <f>'RECURSO ACTUAL'!A134</f>
        <v>2469</v>
      </c>
      <c r="C133" s="181">
        <f>'RECURSO ACTUAL'!F134</f>
        <v>46292</v>
      </c>
      <c r="D133" s="182">
        <f>VLOOKUP(B133,'Q MPP'!A:L,8,0)</f>
        <v>46172</v>
      </c>
      <c r="E133" s="183">
        <f t="shared" si="1"/>
        <v>44</v>
      </c>
      <c r="F133" s="176">
        <f>VLOOKUP(B133,'Q MPP'!A:L,7,FALSE)</f>
        <v>2510.7</v>
      </c>
      <c r="G133" s="177"/>
      <c r="H133" s="183">
        <f>VLOOKUP(B133,'Q MPP'!A:L,7,0)</f>
        <v>2510.7</v>
      </c>
      <c r="I133" s="184" t="str">
        <f t="shared" si="2"/>
        <v>VIGENTE</v>
      </c>
      <c r="J133" s="184" t="str">
        <f t="shared" si="3"/>
        <v>VIGENTE</v>
      </c>
      <c r="K133" s="184" t="str">
        <f>VLOOKUP(B133,'RECURSO ACTUAL'!A:C,3,0)</f>
        <v>TRN644</v>
      </c>
      <c r="L133" s="184" t="str">
        <f>VLOOKUP(B133,'RECURSO ACTUAL'!A:B,2,0)</f>
        <v>31-Copacabana QUIMICOS</v>
      </c>
    </row>
    <row r="134">
      <c r="A134" s="186"/>
      <c r="B134" s="180">
        <f>'RECURSO ACTUAL'!A135</f>
        <v>2468</v>
      </c>
      <c r="C134" s="181">
        <f>'RECURSO ACTUAL'!F135</f>
        <v>46304</v>
      </c>
      <c r="D134" s="182">
        <f>VLOOKUP(B134,'Q MPP'!A:L,8,0)</f>
        <v>46101</v>
      </c>
      <c r="E134" s="183">
        <f t="shared" si="1"/>
        <v>115</v>
      </c>
      <c r="F134" s="176">
        <f>VLOOKUP(B134,'Q MPP'!A:L,7,FALSE)</f>
        <v>5135</v>
      </c>
      <c r="G134" s="177"/>
      <c r="H134" s="183">
        <f>VLOOKUP(B134,'Q MPP'!A:L,7,0)</f>
        <v>5135</v>
      </c>
      <c r="I134" s="184" t="str">
        <f t="shared" si="2"/>
        <v>PASADO</v>
      </c>
      <c r="J134" s="184" t="str">
        <f t="shared" si="3"/>
        <v>PASADO</v>
      </c>
      <c r="K134" s="184" t="str">
        <f>VLOOKUP(B134,'RECURSO ACTUAL'!A:C,3,0)</f>
        <v>TRN656</v>
      </c>
      <c r="L134" s="184" t="str">
        <f>VLOOKUP(B134,'RECURSO ACTUAL'!A:B,2,0)</f>
        <v>02-Medellin</v>
      </c>
    </row>
    <row r="135">
      <c r="A135" s="186"/>
      <c r="B135" s="180">
        <f>'RECURSO ACTUAL'!A136</f>
        <v>2466</v>
      </c>
      <c r="C135" s="181">
        <f>'RECURSO ACTUAL'!F136</f>
        <v>46297</v>
      </c>
      <c r="D135" s="182">
        <f>VLOOKUP(B135,'Q MPP'!A:L,8,0)</f>
        <v>46090</v>
      </c>
      <c r="E135" s="183">
        <f t="shared" si="1"/>
        <v>126</v>
      </c>
      <c r="F135" s="176">
        <f>VLOOKUP(B135,'Q MPP'!A:L,7,FALSE)</f>
        <v>3095.4</v>
      </c>
      <c r="G135" s="177"/>
      <c r="H135" s="183">
        <f>VLOOKUP(B135,'Q MPP'!A:L,7,0)</f>
        <v>3095.4</v>
      </c>
      <c r="I135" s="184" t="str">
        <f t="shared" si="2"/>
        <v>PASADO</v>
      </c>
      <c r="J135" s="184" t="str">
        <f t="shared" si="3"/>
        <v>VIGENTE</v>
      </c>
      <c r="K135" s="184" t="str">
        <f>VLOOKUP(B135,'RECURSO ACTUAL'!A:C,3,0)</f>
        <v>TRN661</v>
      </c>
      <c r="L135" s="184" t="str">
        <f>VLOOKUP(B135,'RECURSO ACTUAL'!A:B,2,0)</f>
        <v>02-Medellin</v>
      </c>
    </row>
    <row r="136">
      <c r="A136" s="186"/>
      <c r="B136" s="180">
        <f>'RECURSO ACTUAL'!A137</f>
        <v>2464</v>
      </c>
      <c r="C136" s="181">
        <f>'RECURSO ACTUAL'!F137</f>
        <v>46295</v>
      </c>
      <c r="D136" s="182">
        <f>VLOOKUP(B136,'Q MPP'!A:L,8,0)</f>
        <v>46086</v>
      </c>
      <c r="E136" s="183">
        <f t="shared" si="1"/>
        <v>130</v>
      </c>
      <c r="F136" s="176">
        <f>VLOOKUP(B136,'Q MPP'!A:L,7,FALSE)</f>
        <v>5008.2</v>
      </c>
      <c r="G136" s="177"/>
      <c r="H136" s="183">
        <f>VLOOKUP(B136,'Q MPP'!A:L,7,0)</f>
        <v>5008.2</v>
      </c>
      <c r="I136" s="184" t="str">
        <f t="shared" si="2"/>
        <v>PASADO</v>
      </c>
      <c r="J136" s="184" t="str">
        <f t="shared" si="3"/>
        <v>PASADO</v>
      </c>
      <c r="K136" s="184" t="str">
        <f>VLOOKUP(B136,'RECURSO ACTUAL'!A:C,3,0)</f>
        <v>TRN659</v>
      </c>
      <c r="L136" s="184" t="str">
        <f>VLOOKUP(B136,'RECURSO ACTUAL'!A:B,2,0)</f>
        <v>02-Medellin</v>
      </c>
    </row>
    <row r="137">
      <c r="A137" s="186"/>
      <c r="B137" s="180">
        <f>'RECURSO ACTUAL'!A138</f>
        <v>2463</v>
      </c>
      <c r="C137" s="181">
        <f>'RECURSO ACTUAL'!F138</f>
        <v>46305</v>
      </c>
      <c r="D137" s="182">
        <f>VLOOKUP(B137,'Q MPP'!A:L,8,0)</f>
        <v>46132</v>
      </c>
      <c r="E137" s="183">
        <f t="shared" si="1"/>
        <v>84</v>
      </c>
      <c r="F137" s="176">
        <f>VLOOKUP(B137,'Q MPP'!A:L,7,FALSE)</f>
        <v>3446</v>
      </c>
      <c r="G137" s="177"/>
      <c r="H137" s="183">
        <f>VLOOKUP(B137,'Q MPP'!A:L,7,0)</f>
        <v>3446</v>
      </c>
      <c r="I137" s="184" t="str">
        <f t="shared" si="2"/>
        <v>PROXIMO</v>
      </c>
      <c r="J137" s="184" t="str">
        <f t="shared" si="3"/>
        <v>VIGENTE</v>
      </c>
      <c r="K137" s="184" t="str">
        <f>VLOOKUP(B137,'RECURSO ACTUAL'!A:C,3,0)</f>
        <v>TRN658</v>
      </c>
      <c r="L137" s="184" t="str">
        <f>VLOOKUP(B137,'RECURSO ACTUAL'!A:B,2,0)</f>
        <v>02-Medellin</v>
      </c>
    </row>
    <row r="138">
      <c r="A138" s="186"/>
      <c r="B138" s="180">
        <f>'RECURSO ACTUAL'!A139</f>
        <v>2462</v>
      </c>
      <c r="C138" s="181">
        <f>'RECURSO ACTUAL'!F139</f>
        <v>46299</v>
      </c>
      <c r="D138" s="182">
        <f>VLOOKUP(B138,'Q MPP'!A:L,8,0)</f>
        <v>46092</v>
      </c>
      <c r="E138" s="183">
        <f t="shared" si="1"/>
        <v>124</v>
      </c>
      <c r="F138" s="176">
        <f>VLOOKUP(B138,'Q MPP'!A:L,7,FALSE)</f>
        <v>4834.2</v>
      </c>
      <c r="G138" s="177"/>
      <c r="H138" s="183">
        <f>VLOOKUP(B138,'Q MPP'!A:L,7,0)</f>
        <v>4834.2</v>
      </c>
      <c r="I138" s="184" t="str">
        <f t="shared" si="2"/>
        <v>PASADO</v>
      </c>
      <c r="J138" s="184" t="str">
        <f t="shared" si="3"/>
        <v>PROXIMO</v>
      </c>
      <c r="K138" s="184" t="str">
        <f>VLOOKUP(B138,'RECURSO ACTUAL'!A:C,3,0)</f>
        <v>TRN657</v>
      </c>
      <c r="L138" s="184" t="str">
        <f>VLOOKUP(B138,'RECURSO ACTUAL'!A:B,2,0)</f>
        <v>02-Medellin</v>
      </c>
    </row>
    <row r="139">
      <c r="A139" s="186"/>
      <c r="B139" s="180">
        <f>'RECURSO ACTUAL'!A140</f>
        <v>2460</v>
      </c>
      <c r="C139" s="181">
        <f>'RECURSO ACTUAL'!F140</f>
        <v>46298</v>
      </c>
      <c r="D139" s="182">
        <f>VLOOKUP(B139,'Q MPP'!A:L,8,0)</f>
        <v>46092</v>
      </c>
      <c r="E139" s="183">
        <f t="shared" si="1"/>
        <v>124</v>
      </c>
      <c r="F139" s="176">
        <f>VLOOKUP(B139,'Q MPP'!A:L,7,FALSE)</f>
        <v>7638.6</v>
      </c>
      <c r="G139" s="177"/>
      <c r="H139" s="183">
        <f>VLOOKUP(B139,'Q MPP'!A:L,7,0)</f>
        <v>7638.6</v>
      </c>
      <c r="I139" s="184" t="str">
        <f t="shared" si="2"/>
        <v>PASADO</v>
      </c>
      <c r="J139" s="184" t="str">
        <f t="shared" si="3"/>
        <v>PASADO</v>
      </c>
      <c r="K139" s="184" t="str">
        <f>VLOOKUP(B139,'RECURSO ACTUAL'!A:C,3,0)</f>
        <v>TRN655</v>
      </c>
      <c r="L139" s="184" t="str">
        <f>VLOOKUP(B139,'RECURSO ACTUAL'!A:B,2,0)</f>
        <v>BULTOS</v>
      </c>
    </row>
    <row r="140">
      <c r="A140" s="186"/>
      <c r="B140" s="180">
        <f>'RECURSO ACTUAL'!A141</f>
        <v>2459</v>
      </c>
      <c r="C140" s="181">
        <f>'RECURSO ACTUAL'!F141</f>
        <v>46301</v>
      </c>
      <c r="D140" s="182">
        <f>VLOOKUP(B140,'Q MPP'!A:L,8,0)</f>
        <v>46099</v>
      </c>
      <c r="E140" s="183">
        <f t="shared" si="1"/>
        <v>117</v>
      </c>
      <c r="F140" s="176">
        <f>VLOOKUP(B140,'Q MPP'!A:L,7,FALSE)</f>
        <v>4750.3</v>
      </c>
      <c r="G140" s="177"/>
      <c r="H140" s="183">
        <f>VLOOKUP(B140,'Q MPP'!A:L,7,0)</f>
        <v>4750.3</v>
      </c>
      <c r="I140" s="184" t="str">
        <f t="shared" si="2"/>
        <v>PASADO</v>
      </c>
      <c r="J140" s="184" t="str">
        <f t="shared" si="3"/>
        <v>PROXIMO</v>
      </c>
      <c r="K140" s="184" t="str">
        <f>VLOOKUP(B140,'RECURSO ACTUAL'!A:C,3,0)</f>
        <v>TRN654</v>
      </c>
      <c r="L140" s="184" t="str">
        <f>VLOOKUP(B140,'RECURSO ACTUAL'!A:B,2,0)</f>
        <v>02-Medellin</v>
      </c>
    </row>
    <row r="141">
      <c r="A141" s="186"/>
      <c r="B141" s="180">
        <f>'RECURSO ACTUAL'!A142</f>
        <v>2458</v>
      </c>
      <c r="C141" s="181">
        <f>'RECURSO ACTUAL'!F142</f>
        <v>46288</v>
      </c>
      <c r="D141" s="182">
        <f>VLOOKUP(B141,'Q MPP'!A:L,8,0)</f>
        <v>46177</v>
      </c>
      <c r="E141" s="183">
        <f t="shared" si="1"/>
        <v>39</v>
      </c>
      <c r="F141" s="176">
        <f>VLOOKUP(B141,'Q MPP'!A:L,7,FALSE)</f>
        <v>930.7</v>
      </c>
      <c r="G141" s="177"/>
      <c r="H141" s="183">
        <f>VLOOKUP(B141,'Q MPP'!A:L,7,0)</f>
        <v>930.7</v>
      </c>
      <c r="I141" s="184" t="str">
        <f t="shared" si="2"/>
        <v>VIGENTE</v>
      </c>
      <c r="J141" s="184" t="str">
        <f t="shared" si="3"/>
        <v>VIGENTE</v>
      </c>
      <c r="K141" s="184" t="str">
        <f>VLOOKUP(B141,'RECURSO ACTUAL'!A:C,3,0)</f>
        <v>TRN653</v>
      </c>
      <c r="L141" s="184" t="str">
        <f>VLOOKUP(B141,'RECURSO ACTUAL'!A:B,2,0)</f>
        <v>02-Medellin</v>
      </c>
    </row>
    <row r="142">
      <c r="A142" s="186"/>
      <c r="B142" s="180">
        <f>'RECURSO ACTUAL'!A143</f>
        <v>2457</v>
      </c>
      <c r="C142" s="181">
        <f>'RECURSO ACTUAL'!F143</f>
        <v>46302</v>
      </c>
      <c r="D142" s="182">
        <f>VLOOKUP(B142,'Q MPP'!A:L,8,0)</f>
        <v>46100</v>
      </c>
      <c r="E142" s="183">
        <f t="shared" si="1"/>
        <v>116</v>
      </c>
      <c r="F142" s="176">
        <f>VLOOKUP(B142,'Q MPP'!A:L,7,FALSE)</f>
        <v>6746.4</v>
      </c>
      <c r="G142" s="177"/>
      <c r="H142" s="183">
        <f>VLOOKUP(B142,'Q MPP'!A:L,7,0)</f>
        <v>6746.4</v>
      </c>
      <c r="I142" s="184" t="str">
        <f t="shared" si="2"/>
        <v>PASADO</v>
      </c>
      <c r="J142" s="184" t="str">
        <f t="shared" si="3"/>
        <v>PASADO</v>
      </c>
      <c r="K142" s="184" t="str">
        <f>VLOOKUP(B142,'RECURSO ACTUAL'!A:C,3,0)</f>
        <v>TRN652</v>
      </c>
      <c r="L142" s="184" t="str">
        <f>VLOOKUP(B142,'RECURSO ACTUAL'!A:B,2,0)</f>
        <v>BULTOS</v>
      </c>
    </row>
    <row r="143">
      <c r="A143" s="186"/>
      <c r="B143" s="180">
        <f>'RECURSO ACTUAL'!A144</f>
        <v>2456</v>
      </c>
      <c r="C143" s="181">
        <f>'RECURSO ACTUAL'!F144</f>
        <v>46296</v>
      </c>
      <c r="D143" s="182">
        <f>VLOOKUP(B143,'Q MPP'!A:L,8,0)</f>
        <v>46086</v>
      </c>
      <c r="E143" s="183">
        <f t="shared" si="1"/>
        <v>130</v>
      </c>
      <c r="F143" s="176">
        <f>VLOOKUP(B143,'Q MPP'!A:L,7,FALSE)</f>
        <v>2716.3</v>
      </c>
      <c r="G143" s="177"/>
      <c r="H143" s="183">
        <f>VLOOKUP(B143,'Q MPP'!A:L,7,0)</f>
        <v>2716.3</v>
      </c>
      <c r="I143" s="184" t="str">
        <f t="shared" si="2"/>
        <v>PASADO</v>
      </c>
      <c r="J143" s="184" t="str">
        <f t="shared" si="3"/>
        <v>VIGENTE</v>
      </c>
      <c r="K143" s="184" t="str">
        <f>VLOOKUP(B143,'RECURSO ACTUAL'!A:C,3,0)</f>
        <v>TRN651</v>
      </c>
      <c r="L143" s="184" t="str">
        <f>VLOOKUP(B143,'RECURSO ACTUAL'!A:B,2,0)</f>
        <v>02-Medellin</v>
      </c>
    </row>
    <row r="144">
      <c r="A144" s="186"/>
      <c r="B144" s="180">
        <f>'RECURSO ACTUAL'!A145</f>
        <v>2455</v>
      </c>
      <c r="C144" s="181">
        <f>'RECURSO ACTUAL'!F145</f>
        <v>46298</v>
      </c>
      <c r="D144" s="182">
        <f>VLOOKUP(B144,'Q MPP'!A:L,8,0)</f>
        <v>46093</v>
      </c>
      <c r="E144" s="183">
        <f t="shared" si="1"/>
        <v>123</v>
      </c>
      <c r="F144" s="176">
        <f>VLOOKUP(B144,'Q MPP'!A:L,7,FALSE)</f>
        <v>2221</v>
      </c>
      <c r="G144" s="177"/>
      <c r="H144" s="183">
        <f>VLOOKUP(B144,'Q MPP'!A:L,7,0)</f>
        <v>2221</v>
      </c>
      <c r="I144" s="184" t="str">
        <f t="shared" si="2"/>
        <v>PASADO</v>
      </c>
      <c r="J144" s="184" t="str">
        <f t="shared" si="3"/>
        <v>VIGENTE</v>
      </c>
      <c r="K144" s="184" t="str">
        <f>VLOOKUP(B144,'RECURSO ACTUAL'!A:C,3,0)</f>
        <v>TRN650</v>
      </c>
      <c r="L144" s="184" t="str">
        <f>VLOOKUP(B144,'RECURSO ACTUAL'!A:B,2,0)</f>
        <v>02-Medellin</v>
      </c>
    </row>
    <row r="145">
      <c r="A145" s="179"/>
      <c r="B145" s="180">
        <f>'RECURSO ACTUAL'!A146</f>
        <v>2454</v>
      </c>
      <c r="C145" s="181">
        <f>'RECURSO ACTUAL'!F146</f>
        <v>46291</v>
      </c>
      <c r="D145" s="182">
        <f>VLOOKUP(B145,'Q MPP'!A:L,8,0)</f>
        <v>46170</v>
      </c>
      <c r="E145" s="183">
        <f t="shared" si="1"/>
        <v>46</v>
      </c>
      <c r="F145" s="176">
        <f>VLOOKUP(B145,'Q MPP'!A:L,7,FALSE)</f>
        <v>1563.9</v>
      </c>
      <c r="G145" s="177"/>
      <c r="H145" s="183">
        <f>VLOOKUP(B145,'Q MPP'!A:L,7,0)</f>
        <v>1563.9</v>
      </c>
      <c r="I145" s="184" t="str">
        <f t="shared" si="2"/>
        <v>VIGENTE</v>
      </c>
      <c r="J145" s="184" t="str">
        <f t="shared" si="3"/>
        <v>VIGENTE</v>
      </c>
      <c r="K145" s="184" t="str">
        <f>VLOOKUP(B145,'RECURSO ACTUAL'!A:C,3,0)</f>
        <v>TRN649</v>
      </c>
      <c r="L145" s="184" t="str">
        <f>VLOOKUP(B145,'RECURSO ACTUAL'!A:B,2,0)</f>
        <v>02-Medellin</v>
      </c>
    </row>
    <row r="146">
      <c r="A146" s="179"/>
      <c r="B146" s="180">
        <f>'RECURSO ACTUAL'!A147</f>
        <v>2450</v>
      </c>
      <c r="C146" s="181">
        <f>'RECURSO ACTUAL'!F147</f>
        <v>46290</v>
      </c>
      <c r="D146" s="182">
        <f>VLOOKUP(B146,'Q MPP'!A:L,8,0)</f>
        <v>46083</v>
      </c>
      <c r="E146" s="183">
        <f t="shared" si="1"/>
        <v>133</v>
      </c>
      <c r="F146" s="176">
        <f>VLOOKUP(B146,'Q MPP'!A:L,7,FALSE)</f>
        <v>7168.2</v>
      </c>
      <c r="G146" s="177"/>
      <c r="H146" s="183">
        <f>VLOOKUP(B146,'Q MPP'!A:L,7,0)</f>
        <v>7168.2</v>
      </c>
      <c r="I146" s="184" t="str">
        <f t="shared" si="2"/>
        <v>PASADO</v>
      </c>
      <c r="J146" s="184" t="str">
        <f t="shared" si="3"/>
        <v>PASADO</v>
      </c>
      <c r="K146" s="184" t="str">
        <f>VLOOKUP(B146,'RECURSO ACTUAL'!A:C,3,0)</f>
        <v>TRN643</v>
      </c>
      <c r="L146" s="184" t="str">
        <f>VLOOKUP(B146,'RECURSO ACTUAL'!A:B,2,0)</f>
        <v>MAYORCA</v>
      </c>
    </row>
    <row r="147">
      <c r="A147" s="186"/>
      <c r="B147" s="180">
        <f>'RECURSO ACTUAL'!A148</f>
        <v>2438</v>
      </c>
      <c r="C147" s="181">
        <f>'RECURSO ACTUAL'!F148</f>
        <v>46521</v>
      </c>
      <c r="D147" s="182">
        <f>VLOOKUP(B147,'Q MPP'!A:L,8,0)</f>
        <v>46142</v>
      </c>
      <c r="E147" s="183">
        <f t="shared" si="1"/>
        <v>74</v>
      </c>
      <c r="F147" s="176">
        <f>VLOOKUP(B147,'Q MPP'!A:L,7,FALSE)</f>
        <v>2192.4</v>
      </c>
      <c r="G147" s="177"/>
      <c r="H147" s="183">
        <f>VLOOKUP(B147,'Q MPP'!A:L,7,0)</f>
        <v>2192.4</v>
      </c>
      <c r="I147" s="184" t="str">
        <f t="shared" si="2"/>
        <v>VIGENTE</v>
      </c>
      <c r="J147" s="184" t="str">
        <f t="shared" si="3"/>
        <v>VIGENTE</v>
      </c>
      <c r="K147" s="184" t="str">
        <f>VLOOKUP(B147,'RECURSO ACTUAL'!A:C,3,0)</f>
        <v>TRN386</v>
      </c>
      <c r="L147" s="184" t="str">
        <f>VLOOKUP(B147,'RECURSO ACTUAL'!A:B,2,0)</f>
        <v>02-Medellin</v>
      </c>
    </row>
    <row r="148">
      <c r="A148" s="186"/>
      <c r="B148" s="180">
        <f>'RECURSO ACTUAL'!A149</f>
        <v>2437</v>
      </c>
      <c r="C148" s="181">
        <f>'RECURSO ACTUAL'!F149</f>
        <v>46528</v>
      </c>
      <c r="D148" s="182">
        <f>VLOOKUP(B148,'Q MPP'!A:L,8,0)</f>
        <v>46148</v>
      </c>
      <c r="E148" s="183">
        <f t="shared" si="1"/>
        <v>68</v>
      </c>
      <c r="F148" s="176">
        <f>VLOOKUP(B148,'Q MPP'!A:L,7,FALSE)</f>
        <v>3176</v>
      </c>
      <c r="G148" s="177"/>
      <c r="H148" s="183">
        <f>VLOOKUP(B148,'Q MPP'!A:L,7,0)</f>
        <v>3176</v>
      </c>
      <c r="I148" s="184" t="str">
        <f t="shared" si="2"/>
        <v>VIGENTE</v>
      </c>
      <c r="J148" s="184" t="str">
        <f t="shared" si="3"/>
        <v>VIGENTE</v>
      </c>
      <c r="K148" s="184" t="str">
        <f>VLOOKUP(B148,'RECURSO ACTUAL'!A:C,3,0)</f>
        <v>TRN385</v>
      </c>
      <c r="L148" s="184" t="str">
        <f>VLOOKUP(B148,'RECURSO ACTUAL'!A:B,2,0)</f>
        <v>02-Medellin</v>
      </c>
    </row>
    <row r="149">
      <c r="A149" s="179"/>
      <c r="B149" s="180">
        <f>'RECURSO ACTUAL'!A150</f>
        <v>2436</v>
      </c>
      <c r="C149" s="181">
        <f>'RECURSO ACTUAL'!F150</f>
        <v>46558</v>
      </c>
      <c r="D149" s="182">
        <f>VLOOKUP(B149,'Q MPP'!A:L,8,0)</f>
        <v>46167</v>
      </c>
      <c r="E149" s="183">
        <f t="shared" si="1"/>
        <v>49</v>
      </c>
      <c r="F149" s="176">
        <f>VLOOKUP(B149,'Q MPP'!A:L,7,FALSE)</f>
        <v>1632.2</v>
      </c>
      <c r="G149" s="177"/>
      <c r="H149" s="183">
        <f>VLOOKUP(B149,'Q MPP'!A:L,7,0)</f>
        <v>1632.2</v>
      </c>
      <c r="I149" s="184" t="str">
        <f t="shared" si="2"/>
        <v>VIGENTE</v>
      </c>
      <c r="J149" s="184" t="str">
        <f t="shared" si="3"/>
        <v>VIGENTE</v>
      </c>
      <c r="K149" s="184" t="str">
        <f>VLOOKUP(B149,'RECURSO ACTUAL'!A:C,3,0)</f>
        <v>TRN384</v>
      </c>
      <c r="L149" s="184" t="str">
        <f>VLOOKUP(B149,'RECURSO ACTUAL'!A:B,2,0)</f>
        <v>02-Medellin</v>
      </c>
    </row>
    <row r="150">
      <c r="A150" s="179"/>
      <c r="B150" s="180">
        <f>'RECURSO ACTUAL'!A151</f>
        <v>2435</v>
      </c>
      <c r="C150" s="181">
        <f>'RECURSO ACTUAL'!F151</f>
        <v>46530</v>
      </c>
      <c r="D150" s="182">
        <f>VLOOKUP(B150,'Q MPP'!A:L,8,0)</f>
        <v>46167</v>
      </c>
      <c r="E150" s="183">
        <f t="shared" si="1"/>
        <v>49</v>
      </c>
      <c r="F150" s="176">
        <f>VLOOKUP(B150,'Q MPP'!A:L,7,FALSE)</f>
        <v>1185.4</v>
      </c>
      <c r="G150" s="177"/>
      <c r="H150" s="183">
        <f>VLOOKUP(B150,'Q MPP'!A:L,7,0)</f>
        <v>1185.4</v>
      </c>
      <c r="I150" s="184" t="str">
        <f t="shared" si="2"/>
        <v>VIGENTE</v>
      </c>
      <c r="J150" s="184" t="str">
        <f t="shared" si="3"/>
        <v>VIGENTE</v>
      </c>
      <c r="K150" s="184" t="str">
        <f>VLOOKUP(B150,'RECURSO ACTUAL'!A:C,3,0)</f>
        <v>TRN382</v>
      </c>
      <c r="L150" s="184" t="str">
        <f>VLOOKUP(B150,'RECURSO ACTUAL'!A:B,2,0)</f>
        <v>02-Medellin</v>
      </c>
    </row>
    <row r="151">
      <c r="A151" s="179"/>
      <c r="B151" s="180">
        <f>'RECURSO ACTUAL'!A152</f>
        <v>2432</v>
      </c>
      <c r="C151" s="181">
        <f>'RECURSO ACTUAL'!F152</f>
        <v>46571</v>
      </c>
      <c r="D151" s="182">
        <f>VLOOKUP(B151,'Q MPP'!A:L,8,0)</f>
        <v>46093</v>
      </c>
      <c r="E151" s="183">
        <f t="shared" si="1"/>
        <v>123</v>
      </c>
      <c r="F151" s="176">
        <f>VLOOKUP(B151,'Q MPP'!A:L,7,FALSE)</f>
        <v>2666</v>
      </c>
      <c r="G151" s="177"/>
      <c r="H151" s="183">
        <f>VLOOKUP(B151,'Q MPP'!A:L,7,0)</f>
        <v>2666</v>
      </c>
      <c r="I151" s="184" t="str">
        <f t="shared" si="2"/>
        <v>PASADO</v>
      </c>
      <c r="J151" s="184" t="str">
        <f t="shared" si="3"/>
        <v>VIGENTE</v>
      </c>
      <c r="K151" s="184" t="str">
        <f>VLOOKUP(B151,'RECURSO ACTUAL'!A:C,3,0)</f>
        <v>TRN379</v>
      </c>
      <c r="L151" s="184" t="str">
        <f>VLOOKUP(B151,'RECURSO ACTUAL'!A:B,2,0)</f>
        <v>02-Medellin</v>
      </c>
    </row>
    <row r="152">
      <c r="A152" s="179"/>
      <c r="B152" s="180">
        <f>'RECURSO ACTUAL'!A153</f>
        <v>2425</v>
      </c>
      <c r="C152" s="181">
        <f>'RECURSO ACTUAL'!F153</f>
        <v>46477</v>
      </c>
      <c r="D152" s="182">
        <f>VLOOKUP(B152,'Q MPP'!A:L,8,0)</f>
        <v>46169</v>
      </c>
      <c r="E152" s="183">
        <f t="shared" si="1"/>
        <v>47</v>
      </c>
      <c r="F152" s="176">
        <f>VLOOKUP(B152,'Q MPP'!A:L,7,FALSE)</f>
        <v>3227</v>
      </c>
      <c r="G152" s="177"/>
      <c r="H152" s="183">
        <f>VLOOKUP(B152,'Q MPP'!A:L,7,0)</f>
        <v>3227</v>
      </c>
      <c r="I152" s="184" t="str">
        <f t="shared" si="2"/>
        <v>VIGENTE</v>
      </c>
      <c r="J152" s="184" t="str">
        <f t="shared" si="3"/>
        <v>VIGENTE</v>
      </c>
      <c r="K152" s="184" t="str">
        <f>VLOOKUP(B152,'RECURSO ACTUAL'!A:C,3,0)</f>
        <v>TRN363</v>
      </c>
      <c r="L152" s="184" t="str">
        <f>VLOOKUP(B152,'RECURSO ACTUAL'!A:B,2,0)</f>
        <v>BULTOS</v>
      </c>
    </row>
    <row r="153">
      <c r="A153" s="179"/>
      <c r="B153" s="180">
        <f>'RECURSO ACTUAL'!A154</f>
        <v>2424</v>
      </c>
      <c r="C153" s="181">
        <f>'RECURSO ACTUAL'!F154</f>
        <v>46528</v>
      </c>
      <c r="D153" s="182">
        <f>VLOOKUP(B153,'Q MPP'!A:L,8,0)</f>
        <v>46129</v>
      </c>
      <c r="E153" s="183">
        <f t="shared" si="1"/>
        <v>87</v>
      </c>
      <c r="F153" s="176">
        <f>VLOOKUP(B153,'Q MPP'!A:L,7,FALSE)</f>
        <v>3021</v>
      </c>
      <c r="G153" s="177"/>
      <c r="H153" s="183">
        <f>VLOOKUP(B153,'Q MPP'!A:L,7,0)</f>
        <v>3021</v>
      </c>
      <c r="I153" s="184" t="str">
        <f t="shared" si="2"/>
        <v>PROXIMO</v>
      </c>
      <c r="J153" s="184" t="str">
        <f t="shared" si="3"/>
        <v>VIGENTE</v>
      </c>
      <c r="K153" s="184" t="str">
        <f>VLOOKUP(B153,'RECURSO ACTUAL'!A:C,3,0)</f>
        <v>TRN362</v>
      </c>
      <c r="L153" s="184" t="str">
        <f>VLOOKUP(B153,'RECURSO ACTUAL'!A:B,2,0)</f>
        <v>02-Medellin</v>
      </c>
    </row>
    <row r="154">
      <c r="A154" s="179"/>
      <c r="B154" s="180">
        <f>'RECURSO ACTUAL'!A155</f>
        <v>2423</v>
      </c>
      <c r="C154" s="181">
        <f>'RECURSO ACTUAL'!F155</f>
        <v>46513</v>
      </c>
      <c r="D154" s="182">
        <f>VLOOKUP(B154,'Q MPP'!A:L,8,0)</f>
        <v>46147</v>
      </c>
      <c r="E154" s="183">
        <f t="shared" si="1"/>
        <v>69</v>
      </c>
      <c r="F154" s="176">
        <f>VLOOKUP(B154,'Q MPP'!A:L,7,FALSE)</f>
        <v>3051.8</v>
      </c>
      <c r="G154" s="177"/>
      <c r="H154" s="183">
        <f>VLOOKUP(B154,'Q MPP'!A:L,7,0)</f>
        <v>3051.8</v>
      </c>
      <c r="I154" s="184" t="str">
        <f t="shared" si="2"/>
        <v>VIGENTE</v>
      </c>
      <c r="J154" s="184" t="str">
        <f t="shared" si="3"/>
        <v>VIGENTE</v>
      </c>
      <c r="K154" s="184" t="str">
        <f>VLOOKUP(B154,'RECURSO ACTUAL'!A:C,3,0)</f>
        <v>TRN361</v>
      </c>
      <c r="L154" s="184" t="str">
        <f>VLOOKUP(B154,'RECURSO ACTUAL'!A:B,2,0)</f>
        <v>02-Medellin</v>
      </c>
    </row>
    <row r="155">
      <c r="A155" s="179"/>
      <c r="B155" s="180">
        <f>'RECURSO ACTUAL'!A156</f>
        <v>2422</v>
      </c>
      <c r="C155" s="181">
        <f>'RECURSO ACTUAL'!F156</f>
        <v>46471</v>
      </c>
      <c r="D155" s="182">
        <f>VLOOKUP(B155,'Q MPP'!A:L,8,0)</f>
        <v>46156</v>
      </c>
      <c r="E155" s="183">
        <f t="shared" si="1"/>
        <v>60</v>
      </c>
      <c r="F155" s="176">
        <f>VLOOKUP(B155,'Q MPP'!A:L,7,FALSE)</f>
        <v>4655.9</v>
      </c>
      <c r="G155" s="177"/>
      <c r="H155" s="183">
        <f>VLOOKUP(B155,'Q MPP'!A:L,7,0)</f>
        <v>4655.9</v>
      </c>
      <c r="I155" s="184" t="str">
        <f t="shared" si="2"/>
        <v>VIGENTE</v>
      </c>
      <c r="J155" s="184" t="str">
        <f t="shared" si="3"/>
        <v>PROXIMO</v>
      </c>
      <c r="K155" s="184" t="str">
        <f>VLOOKUP(B155,'RECURSO ACTUAL'!A:C,3,0)</f>
        <v>TRN360</v>
      </c>
      <c r="L155" s="184" t="str">
        <f>VLOOKUP(B155,'RECURSO ACTUAL'!A:B,2,0)</f>
        <v>31-Copacabana QUIMICOS</v>
      </c>
    </row>
    <row r="156">
      <c r="A156" s="179"/>
      <c r="B156" s="180">
        <f>'RECURSO ACTUAL'!A157</f>
        <v>2421</v>
      </c>
      <c r="C156" s="181">
        <f>'RECURSO ACTUAL'!F157</f>
        <v>46529</v>
      </c>
      <c r="D156" s="182">
        <f>VLOOKUP(B156,'Q MPP'!A:L,8,0)</f>
        <v>46126</v>
      </c>
      <c r="E156" s="183">
        <f t="shared" si="1"/>
        <v>90</v>
      </c>
      <c r="F156" s="176">
        <f>VLOOKUP(B156,'Q MPP'!A:L,7,FALSE)</f>
        <v>2690.6</v>
      </c>
      <c r="G156" s="177"/>
      <c r="H156" s="183">
        <f>VLOOKUP(B156,'Q MPP'!A:L,7,0)</f>
        <v>2690.6</v>
      </c>
      <c r="I156" s="184" t="str">
        <f t="shared" si="2"/>
        <v>PROXIMO</v>
      </c>
      <c r="J156" s="184" t="str">
        <f t="shared" si="3"/>
        <v>VIGENTE</v>
      </c>
      <c r="K156" s="184" t="str">
        <f>VLOOKUP(B156,'RECURSO ACTUAL'!A:C,3,0)</f>
        <v>TRN359</v>
      </c>
      <c r="L156" s="184" t="str">
        <f>VLOOKUP(B156,'RECURSO ACTUAL'!A:B,2,0)</f>
        <v>02-Medellin</v>
      </c>
    </row>
    <row r="157">
      <c r="A157" s="179"/>
      <c r="B157" s="180">
        <f>'RECURSO ACTUAL'!A158</f>
        <v>2419</v>
      </c>
      <c r="C157" s="181">
        <f>'RECURSO ACTUAL'!F158</f>
        <v>46528</v>
      </c>
      <c r="D157" s="182">
        <f>VLOOKUP(B157,'Q MPP'!A:L,8,0)</f>
        <v>46162</v>
      </c>
      <c r="E157" s="183">
        <f t="shared" si="1"/>
        <v>54</v>
      </c>
      <c r="F157" s="176">
        <f>VLOOKUP(B157,'Q MPP'!A:L,7,FALSE)</f>
        <v>1737.7</v>
      </c>
      <c r="G157" s="177"/>
      <c r="H157" s="183">
        <f>VLOOKUP(B157,'Q MPP'!A:L,7,0)</f>
        <v>1737.7</v>
      </c>
      <c r="I157" s="184" t="str">
        <f t="shared" si="2"/>
        <v>VIGENTE</v>
      </c>
      <c r="J157" s="184" t="str">
        <f t="shared" si="3"/>
        <v>VIGENTE</v>
      </c>
      <c r="K157" s="184" t="str">
        <f>VLOOKUP(B157,'RECURSO ACTUAL'!A:C,3,0)</f>
        <v>TRN295</v>
      </c>
      <c r="L157" s="184" t="str">
        <f>VLOOKUP(B157,'RECURSO ACTUAL'!A:B,2,0)</f>
        <v>02-Medellin</v>
      </c>
    </row>
    <row r="158">
      <c r="A158" s="186"/>
      <c r="B158" s="180">
        <f>'RECURSO ACTUAL'!A159</f>
        <v>2418</v>
      </c>
      <c r="C158" s="181">
        <f>'RECURSO ACTUAL'!F159</f>
        <v>46520</v>
      </c>
      <c r="D158" s="182">
        <f>VLOOKUP(B158,'Q MPP'!A:L,8,0)</f>
        <v>46154</v>
      </c>
      <c r="E158" s="183">
        <f t="shared" si="1"/>
        <v>62</v>
      </c>
      <c r="F158" s="176">
        <f>VLOOKUP(B158,'Q MPP'!A:L,7,FALSE)</f>
        <v>1090.1</v>
      </c>
      <c r="G158" s="177"/>
      <c r="H158" s="183">
        <f>VLOOKUP(B158,'Q MPP'!A:L,7,0)</f>
        <v>1090.1</v>
      </c>
      <c r="I158" s="184" t="str">
        <f t="shared" si="2"/>
        <v>VIGENTE</v>
      </c>
      <c r="J158" s="184" t="str">
        <f t="shared" si="3"/>
        <v>VIGENTE</v>
      </c>
      <c r="K158" s="184" t="str">
        <f>VLOOKUP(B158,'RECURSO ACTUAL'!A:C,3,0)</f>
        <v>TRN296</v>
      </c>
      <c r="L158" s="184" t="str">
        <f>VLOOKUP(B158,'RECURSO ACTUAL'!A:B,2,0)</f>
        <v>02-Medellin</v>
      </c>
    </row>
    <row r="159">
      <c r="A159" s="186"/>
      <c r="B159" s="180">
        <f>'RECURSO ACTUAL'!A160</f>
        <v>2414</v>
      </c>
      <c r="C159" s="181">
        <f>'RECURSO ACTUAL'!F160</f>
        <v>46549</v>
      </c>
      <c r="D159" s="182">
        <f>VLOOKUP(B159,'Q MPP'!A:L,8,0)</f>
        <v>46170</v>
      </c>
      <c r="E159" s="183">
        <f t="shared" si="1"/>
        <v>46</v>
      </c>
      <c r="F159" s="176">
        <f>VLOOKUP(B159,'Q MPP'!A:L,7,FALSE)</f>
        <v>1591.9</v>
      </c>
      <c r="G159" s="177"/>
      <c r="H159" s="183">
        <f>VLOOKUP(B159,'Q MPP'!A:L,7,0)</f>
        <v>1591.9</v>
      </c>
      <c r="I159" s="184" t="str">
        <f t="shared" si="2"/>
        <v>VIGENTE</v>
      </c>
      <c r="J159" s="184" t="str">
        <f t="shared" si="3"/>
        <v>VIGENTE</v>
      </c>
      <c r="K159" s="184" t="str">
        <f>VLOOKUP(B159,'RECURSO ACTUAL'!A:C,3,0)</f>
        <v>TRN271</v>
      </c>
      <c r="L159" s="184" t="str">
        <f>VLOOKUP(B159,'RECURSO ACTUAL'!A:B,2,0)</f>
        <v>02-Medellin</v>
      </c>
    </row>
    <row r="160">
      <c r="A160" s="186"/>
      <c r="B160" s="180">
        <f>'RECURSO ACTUAL'!A161</f>
        <v>2404</v>
      </c>
      <c r="C160" s="181">
        <f>'RECURSO ACTUAL'!F161</f>
        <v>46484</v>
      </c>
      <c r="D160" s="182">
        <f>VLOOKUP(B160,'Q MPP'!A:L,8,0)</f>
        <v>46112</v>
      </c>
      <c r="E160" s="183">
        <f t="shared" si="1"/>
        <v>104</v>
      </c>
      <c r="F160" s="176">
        <f>VLOOKUP(B160,'Q MPP'!A:L,7,FALSE)</f>
        <v>2378</v>
      </c>
      <c r="G160" s="177"/>
      <c r="H160" s="183">
        <f>VLOOKUP(B160,'Q MPP'!A:L,7,0)</f>
        <v>2378</v>
      </c>
      <c r="I160" s="184" t="str">
        <f t="shared" si="2"/>
        <v>PASADO</v>
      </c>
      <c r="J160" s="184" t="str">
        <f t="shared" si="3"/>
        <v>VIGENTE</v>
      </c>
      <c r="K160" s="184" t="str">
        <f>VLOOKUP(B160,'RECURSO ACTUAL'!A:C,3,0)</f>
        <v>TRN227</v>
      </c>
      <c r="L160" s="184" t="str">
        <f>VLOOKUP(B160,'RECURSO ACTUAL'!A:B,2,0)</f>
        <v>02-Medellin</v>
      </c>
    </row>
    <row r="161">
      <c r="A161" s="186"/>
      <c r="B161" s="180">
        <f>'RECURSO ACTUAL'!A162</f>
        <v>2403</v>
      </c>
      <c r="C161" s="181">
        <f>'RECURSO ACTUAL'!F162</f>
        <v>46457</v>
      </c>
      <c r="D161" s="182">
        <f>VLOOKUP(B161,'Q MPP'!A:L,8,0)</f>
        <v>46092</v>
      </c>
      <c r="E161" s="183">
        <f t="shared" si="1"/>
        <v>124</v>
      </c>
      <c r="F161" s="176">
        <f>VLOOKUP(B161,'Q MPP'!A:L,7,FALSE)</f>
        <v>6216.2</v>
      </c>
      <c r="G161" s="177"/>
      <c r="H161" s="183">
        <f>VLOOKUP(B161,'Q MPP'!A:L,7,0)</f>
        <v>6216.2</v>
      </c>
      <c r="I161" s="184" t="str">
        <f t="shared" si="2"/>
        <v>PASADO</v>
      </c>
      <c r="J161" s="184" t="str">
        <f t="shared" si="3"/>
        <v>PASADO</v>
      </c>
      <c r="K161" s="184" t="str">
        <f>VLOOKUP(B161,'RECURSO ACTUAL'!A:C,3,0)</f>
        <v>TRN226</v>
      </c>
      <c r="L161" s="184" t="str">
        <f>VLOOKUP(B161,'RECURSO ACTUAL'!A:B,2,0)</f>
        <v>BULTOS</v>
      </c>
    </row>
    <row r="162">
      <c r="A162" s="186"/>
      <c r="B162" s="180">
        <f>'RECURSO ACTUAL'!A163</f>
        <v>2402</v>
      </c>
      <c r="C162" s="181">
        <f>'RECURSO ACTUAL'!F163</f>
        <v>46514</v>
      </c>
      <c r="D162" s="182">
        <f>VLOOKUP(B162,'Q MPP'!A:L,8,0)</f>
        <v>46134</v>
      </c>
      <c r="E162" s="183">
        <f t="shared" si="1"/>
        <v>82</v>
      </c>
      <c r="F162" s="176">
        <f>VLOOKUP(B162,'Q MPP'!A:L,7,FALSE)</f>
        <v>2758.8</v>
      </c>
      <c r="G162" s="177"/>
      <c r="H162" s="183">
        <f>VLOOKUP(B162,'Q MPP'!A:L,7,0)</f>
        <v>2758.8</v>
      </c>
      <c r="I162" s="184" t="str">
        <f t="shared" si="2"/>
        <v>PROXIMO</v>
      </c>
      <c r="J162" s="184" t="str">
        <f t="shared" si="3"/>
        <v>VIGENTE</v>
      </c>
      <c r="K162" s="184" t="str">
        <f>VLOOKUP(B162,'RECURSO ACTUAL'!A:C,3,0)</f>
        <v>TRN225</v>
      </c>
      <c r="L162" s="184" t="str">
        <f>VLOOKUP(B162,'RECURSO ACTUAL'!A:B,2,0)</f>
        <v>MAYORCA</v>
      </c>
    </row>
    <row r="163">
      <c r="A163" s="186"/>
      <c r="B163" s="180">
        <f>'RECURSO ACTUAL'!A164</f>
        <v>2400</v>
      </c>
      <c r="C163" s="181">
        <f>'RECURSO ACTUAL'!F164</f>
        <v>46542</v>
      </c>
      <c r="D163" s="182">
        <f>VLOOKUP(B163,'Q MPP'!A:L,8,0)</f>
        <v>46090</v>
      </c>
      <c r="E163" s="183">
        <f t="shared" si="1"/>
        <v>126</v>
      </c>
      <c r="F163" s="176">
        <f>VLOOKUP(B163,'Q MPP'!A:L,7,FALSE)</f>
        <v>2039.8</v>
      </c>
      <c r="G163" s="177"/>
      <c r="H163" s="183">
        <f>VLOOKUP(B163,'Q MPP'!A:L,7,0)</f>
        <v>2039.8</v>
      </c>
      <c r="I163" s="184" t="str">
        <f t="shared" si="2"/>
        <v>PASADO</v>
      </c>
      <c r="J163" s="184" t="str">
        <f t="shared" si="3"/>
        <v>VIGENTE</v>
      </c>
      <c r="K163" s="184" t="str">
        <f>VLOOKUP(B163,'RECURSO ACTUAL'!A:C,3,0)</f>
        <v>TRN220</v>
      </c>
      <c r="L163" s="184" t="str">
        <f>VLOOKUP(B163,'RECURSO ACTUAL'!A:B,2,0)</f>
        <v>MAYORCA</v>
      </c>
    </row>
    <row r="164">
      <c r="A164" s="186"/>
      <c r="B164" s="180">
        <f>'RECURSO ACTUAL'!A165</f>
        <v>2395</v>
      </c>
      <c r="C164" s="181">
        <f>'RECURSO ACTUAL'!F165</f>
        <v>46446</v>
      </c>
      <c r="D164" s="182">
        <f>VLOOKUP(B164,'Q MPP'!A:L,8,0)</f>
        <v>46080</v>
      </c>
      <c r="E164" s="183">
        <f t="shared" si="1"/>
        <v>136</v>
      </c>
      <c r="F164" s="176">
        <f>VLOOKUP(B164,'Q MPP'!A:L,7,FALSE)</f>
        <v>4909.4</v>
      </c>
      <c r="G164" s="177"/>
      <c r="H164" s="183">
        <f>VLOOKUP(B164,'Q MPP'!A:L,7,0)</f>
        <v>4909.4</v>
      </c>
      <c r="I164" s="184" t="str">
        <f t="shared" si="2"/>
        <v>PASADO</v>
      </c>
      <c r="J164" s="184" t="str">
        <f t="shared" si="3"/>
        <v>PROXIMO</v>
      </c>
      <c r="K164" s="184" t="str">
        <f>VLOOKUP(B164,'RECURSO ACTUAL'!A:C,3,0)</f>
        <v>TRN200</v>
      </c>
      <c r="L164" s="184" t="str">
        <f>VLOOKUP(B164,'RECURSO ACTUAL'!A:B,2,0)</f>
        <v>02-Medellin</v>
      </c>
    </row>
    <row r="165">
      <c r="A165" s="186"/>
      <c r="B165" s="180">
        <f>'RECURSO ACTUAL'!A166</f>
        <v>2394</v>
      </c>
      <c r="C165" s="181">
        <f>'RECURSO ACTUAL'!F166</f>
        <v>46467</v>
      </c>
      <c r="D165" s="182">
        <f>VLOOKUP(B165,'Q MPP'!A:L,8,0)</f>
        <v>46101</v>
      </c>
      <c r="E165" s="183">
        <f t="shared" si="1"/>
        <v>115</v>
      </c>
      <c r="F165" s="176">
        <f>VLOOKUP(B165,'Q MPP'!A:L,7,FALSE)</f>
        <v>2946.5</v>
      </c>
      <c r="G165" s="177"/>
      <c r="H165" s="183">
        <f>VLOOKUP(B165,'Q MPP'!A:L,7,0)</f>
        <v>2946.5</v>
      </c>
      <c r="I165" s="184" t="str">
        <f t="shared" si="2"/>
        <v>PASADO</v>
      </c>
      <c r="J165" s="184" t="str">
        <f t="shared" si="3"/>
        <v>VIGENTE</v>
      </c>
      <c r="K165" s="184" t="str">
        <f>VLOOKUP(B165,'RECURSO ACTUAL'!A:C,3,0)</f>
        <v>TRN199</v>
      </c>
      <c r="L165" s="184" t="str">
        <f>VLOOKUP(B165,'RECURSO ACTUAL'!A:B,2,0)</f>
        <v>MAYORCA</v>
      </c>
    </row>
    <row r="166">
      <c r="A166" s="186"/>
      <c r="B166" s="180">
        <f>'RECURSO ACTUAL'!A167</f>
        <v>2393</v>
      </c>
      <c r="C166" s="181">
        <f>'RECURSO ACTUAL'!F167</f>
        <v>46559</v>
      </c>
      <c r="D166" s="182">
        <f>VLOOKUP(B166,'Q MPP'!A:L,8,0)</f>
        <v>46161</v>
      </c>
      <c r="E166" s="183">
        <f t="shared" si="1"/>
        <v>55</v>
      </c>
      <c r="F166" s="176">
        <f>VLOOKUP(B166,'Q MPP'!A:L,7,FALSE)</f>
        <v>1793.3</v>
      </c>
      <c r="G166" s="177"/>
      <c r="H166" s="183">
        <f>VLOOKUP(B166,'Q MPP'!A:L,7,0)</f>
        <v>1793.3</v>
      </c>
      <c r="I166" s="184" t="str">
        <f t="shared" si="2"/>
        <v>VIGENTE</v>
      </c>
      <c r="J166" s="184" t="str">
        <f t="shared" si="3"/>
        <v>VIGENTE</v>
      </c>
      <c r="K166" s="184" t="str">
        <f>VLOOKUP(B166,'RECURSO ACTUAL'!A:C,3,0)</f>
        <v>TRN190</v>
      </c>
      <c r="L166" s="184" t="str">
        <f>VLOOKUP(B166,'RECURSO ACTUAL'!A:B,2,0)</f>
        <v>MAYORCA</v>
      </c>
    </row>
    <row r="167">
      <c r="A167" s="186"/>
      <c r="B167" s="180">
        <f>'RECURSO ACTUAL'!A168</f>
        <v>2392</v>
      </c>
      <c r="C167" s="181">
        <f>'RECURSO ACTUAL'!F168</f>
        <v>46548</v>
      </c>
      <c r="D167" s="182">
        <f>VLOOKUP(B167,'Q MPP'!A:L,8,0)</f>
        <v>46086</v>
      </c>
      <c r="E167" s="183">
        <f t="shared" si="1"/>
        <v>130</v>
      </c>
      <c r="F167" s="176">
        <f>VLOOKUP(B167,'Q MPP'!A:L,7,FALSE)</f>
        <v>6463.5</v>
      </c>
      <c r="G167" s="177"/>
      <c r="H167" s="183">
        <f>VLOOKUP(B167,'Q MPP'!A:L,7,0)</f>
        <v>6463.5</v>
      </c>
      <c r="I167" s="184" t="str">
        <f t="shared" si="2"/>
        <v>PASADO</v>
      </c>
      <c r="J167" s="184" t="str">
        <f t="shared" si="3"/>
        <v>PASADO</v>
      </c>
      <c r="K167" s="184" t="str">
        <f>VLOOKUP(B167,'RECURSO ACTUAL'!A:C,3,0)</f>
        <v>TRN189</v>
      </c>
      <c r="L167" s="184" t="str">
        <f>VLOOKUP(B167,'RECURSO ACTUAL'!A:B,2,0)</f>
        <v>02-Medellin</v>
      </c>
    </row>
    <row r="168">
      <c r="A168" s="103"/>
      <c r="B168" s="180">
        <f>'RECURSO ACTUAL'!A169</f>
        <v>2391</v>
      </c>
      <c r="C168" s="181">
        <f>'RECURSO ACTUAL'!F169</f>
        <v>46527</v>
      </c>
      <c r="D168" s="182">
        <f>VLOOKUP(B168,'Q MPP'!A:L,8,0)</f>
        <v>46161</v>
      </c>
      <c r="E168" s="183">
        <f t="shared" si="1"/>
        <v>55</v>
      </c>
      <c r="F168" s="176">
        <f>VLOOKUP(B168,'Q MPP'!A:L,7,FALSE)</f>
        <v>1796.8</v>
      </c>
      <c r="G168" s="177"/>
      <c r="H168" s="183">
        <f>VLOOKUP(B168,'Q MPP'!A:L,7,0)</f>
        <v>1796.8</v>
      </c>
      <c r="I168" s="184" t="str">
        <f t="shared" si="2"/>
        <v>VIGENTE</v>
      </c>
      <c r="J168" s="184" t="str">
        <f t="shared" si="3"/>
        <v>VIGENTE</v>
      </c>
      <c r="K168" s="184" t="str">
        <f>VLOOKUP(B168,'RECURSO ACTUAL'!A:C,3,0)</f>
        <v>TRN188</v>
      </c>
      <c r="L168" s="184" t="str">
        <f>VLOOKUP(B168,'RECURSO ACTUAL'!A:B,2,0)</f>
        <v>02-Medellin</v>
      </c>
    </row>
    <row r="169">
      <c r="A169" s="103"/>
      <c r="B169" s="180">
        <f>'RECURSO ACTUAL'!A170</f>
        <v>2390</v>
      </c>
      <c r="C169" s="181">
        <f>'RECURSO ACTUAL'!F170</f>
        <v>46544</v>
      </c>
      <c r="D169" s="182">
        <f>VLOOKUP(B169,'Q MPP'!A:L,8,0)</f>
        <v>46179</v>
      </c>
      <c r="E169" s="183">
        <f t="shared" si="1"/>
        <v>37</v>
      </c>
      <c r="F169" s="176">
        <f>VLOOKUP(B169,'Q MPP'!A:L,7,FALSE)</f>
        <v>1246.4</v>
      </c>
      <c r="G169" s="177"/>
      <c r="H169" s="183">
        <f>VLOOKUP(B169,'Q MPP'!A:L,7,0)</f>
        <v>1246.4</v>
      </c>
      <c r="I169" s="184" t="str">
        <f t="shared" si="2"/>
        <v>VIGENTE</v>
      </c>
      <c r="J169" s="184" t="str">
        <f t="shared" si="3"/>
        <v>VIGENTE</v>
      </c>
      <c r="K169" s="184" t="str">
        <f>VLOOKUP(B169,'RECURSO ACTUAL'!A:C,3,0)</f>
        <v>TRN187</v>
      </c>
      <c r="L169" s="184" t="str">
        <f>VLOOKUP(B169,'RECURSO ACTUAL'!A:B,2,0)</f>
        <v>MAYORCA</v>
      </c>
    </row>
    <row r="170">
      <c r="A170" s="103"/>
      <c r="B170" s="180">
        <f>'RECURSO ACTUAL'!A171</f>
        <v>2389</v>
      </c>
      <c r="C170" s="181">
        <f>'RECURSO ACTUAL'!F171</f>
        <v>46527</v>
      </c>
      <c r="D170" s="182">
        <f>VLOOKUP(B170,'Q MPP'!A:L,8,0)</f>
        <v>46147</v>
      </c>
      <c r="E170" s="183">
        <f t="shared" si="1"/>
        <v>69</v>
      </c>
      <c r="F170" s="176">
        <f>VLOOKUP(B170,'Q MPP'!A:L,7,FALSE)</f>
        <v>2604.2</v>
      </c>
      <c r="G170" s="177"/>
      <c r="H170" s="183">
        <f>VLOOKUP(B170,'Q MPP'!A:L,7,0)</f>
        <v>2604.2</v>
      </c>
      <c r="I170" s="184" t="str">
        <f t="shared" si="2"/>
        <v>VIGENTE</v>
      </c>
      <c r="J170" s="184" t="str">
        <f t="shared" si="3"/>
        <v>VIGENTE</v>
      </c>
      <c r="K170" s="184" t="str">
        <f>VLOOKUP(B170,'RECURSO ACTUAL'!A:C,3,0)</f>
        <v>TRN186</v>
      </c>
      <c r="L170" s="184" t="str">
        <f>VLOOKUP(B170,'RECURSO ACTUAL'!A:B,2,0)</f>
        <v>24-Rionegro</v>
      </c>
    </row>
    <row r="171">
      <c r="A171" s="103"/>
      <c r="B171" s="180">
        <f>'RECURSO ACTUAL'!A172</f>
        <v>2388</v>
      </c>
      <c r="C171" s="181">
        <f>'RECURSO ACTUAL'!F172</f>
        <v>46466</v>
      </c>
      <c r="D171" s="182">
        <f>VLOOKUP(B171,'Q MPP'!A:L,8,0)</f>
        <v>46100</v>
      </c>
      <c r="E171" s="183">
        <f t="shared" si="1"/>
        <v>116</v>
      </c>
      <c r="F171" s="176">
        <f>VLOOKUP(B171,'Q MPP'!A:L,7,FALSE)</f>
        <v>2614.2</v>
      </c>
      <c r="G171" s="177"/>
      <c r="H171" s="183">
        <f>VLOOKUP(B171,'Q MPP'!A:L,7,0)</f>
        <v>2614.2</v>
      </c>
      <c r="I171" s="184" t="str">
        <f t="shared" si="2"/>
        <v>PASADO</v>
      </c>
      <c r="J171" s="184" t="str">
        <f t="shared" si="3"/>
        <v>VIGENTE</v>
      </c>
      <c r="K171" s="184" t="str">
        <f>VLOOKUP(B171,'RECURSO ACTUAL'!A:C,3,0)</f>
        <v>TRN185</v>
      </c>
      <c r="L171" s="184" t="str">
        <f>VLOOKUP(B171,'RECURSO ACTUAL'!A:B,2,0)</f>
        <v>02-Medellin</v>
      </c>
    </row>
    <row r="172">
      <c r="A172" s="103"/>
      <c r="B172" s="180">
        <f>'RECURSO ACTUAL'!A173</f>
        <v>2387</v>
      </c>
      <c r="C172" s="181">
        <f>'RECURSO ACTUAL'!F173</f>
        <v>46466</v>
      </c>
      <c r="D172" s="182">
        <f>VLOOKUP(B172,'Q MPP'!A:L,8,0)</f>
        <v>46099</v>
      </c>
      <c r="E172" s="183">
        <f t="shared" si="1"/>
        <v>117</v>
      </c>
      <c r="F172" s="176">
        <f>VLOOKUP(B172,'Q MPP'!A:L,7,FALSE)</f>
        <v>6484.7</v>
      </c>
      <c r="G172" s="177"/>
      <c r="H172" s="183">
        <f>VLOOKUP(B172,'Q MPP'!A:L,7,0)</f>
        <v>6484.7</v>
      </c>
      <c r="I172" s="184" t="str">
        <f t="shared" si="2"/>
        <v>PASADO</v>
      </c>
      <c r="J172" s="184" t="str">
        <f t="shared" si="3"/>
        <v>PASADO</v>
      </c>
      <c r="K172" s="184" t="str">
        <f>VLOOKUP(B172,'RECURSO ACTUAL'!A:C,3,0)</f>
        <v>TRN184</v>
      </c>
      <c r="L172" s="184" t="str">
        <f>VLOOKUP(B172,'RECURSO ACTUAL'!A:B,2,0)</f>
        <v>BULTOS</v>
      </c>
    </row>
    <row r="173">
      <c r="A173" s="103"/>
      <c r="B173" s="180">
        <f>'RECURSO ACTUAL'!A174</f>
        <v>2385</v>
      </c>
      <c r="C173" s="181">
        <f>'RECURSO ACTUAL'!F174</f>
        <v>46463</v>
      </c>
      <c r="D173" s="182">
        <f>VLOOKUP(B173,'Q MPP'!A:L,8,0)</f>
        <v>46097</v>
      </c>
      <c r="E173" s="183">
        <f t="shared" si="1"/>
        <v>119</v>
      </c>
      <c r="F173" s="176">
        <f>VLOOKUP(B173,'Q MPP'!A:L,7,FALSE)</f>
        <v>2051.9</v>
      </c>
      <c r="G173" s="177"/>
      <c r="H173" s="183">
        <f>VLOOKUP(B173,'Q MPP'!A:L,7,0)</f>
        <v>2051.9</v>
      </c>
      <c r="I173" s="184" t="str">
        <f t="shared" si="2"/>
        <v>PASADO</v>
      </c>
      <c r="J173" s="184" t="str">
        <f t="shared" si="3"/>
        <v>VIGENTE</v>
      </c>
      <c r="K173" s="184" t="str">
        <f>VLOOKUP(B173,'RECURSO ACTUAL'!A:C,3,0)</f>
        <v>TRN182</v>
      </c>
      <c r="L173" s="184" t="str">
        <f>VLOOKUP(B173,'RECURSO ACTUAL'!A:B,2,0)</f>
        <v>02-Medellin</v>
      </c>
    </row>
    <row r="174">
      <c r="A174" s="103"/>
      <c r="B174" s="180">
        <f>'RECURSO ACTUAL'!A175</f>
        <v>2384</v>
      </c>
      <c r="C174" s="181">
        <f>'RECURSO ACTUAL'!F175</f>
        <v>46571</v>
      </c>
      <c r="D174" s="182">
        <f>VLOOKUP(B174,'Q MPP'!A:L,8,0)</f>
        <v>46142</v>
      </c>
      <c r="E174" s="183">
        <f t="shared" si="1"/>
        <v>74</v>
      </c>
      <c r="F174" s="176">
        <f>VLOOKUP(B174,'Q MPP'!A:L,7,FALSE)</f>
        <v>2692.3</v>
      </c>
      <c r="G174" s="177"/>
      <c r="H174" s="183">
        <f>VLOOKUP(B174,'Q MPP'!A:L,7,0)</f>
        <v>2692.3</v>
      </c>
      <c r="I174" s="184" t="str">
        <f t="shared" si="2"/>
        <v>VIGENTE</v>
      </c>
      <c r="J174" s="184" t="str">
        <f t="shared" si="3"/>
        <v>VIGENTE</v>
      </c>
      <c r="K174" s="184" t="str">
        <f>VLOOKUP(B174,'RECURSO ACTUAL'!A:C,3,0)</f>
        <v>TRN181</v>
      </c>
      <c r="L174" s="184" t="str">
        <f>VLOOKUP(B174,'RECURSO ACTUAL'!A:B,2,0)</f>
        <v>02-Medellin</v>
      </c>
    </row>
    <row r="175">
      <c r="A175" s="103"/>
      <c r="B175" s="180">
        <f>'RECURSO ACTUAL'!A176</f>
        <v>2379</v>
      </c>
      <c r="C175" s="181">
        <f>'RECURSO ACTUAL'!F176</f>
        <v>46457</v>
      </c>
      <c r="D175" s="182">
        <f>VLOOKUP(B175,'Q MPP'!A:L,8,0)</f>
        <v>46150</v>
      </c>
      <c r="E175" s="183">
        <f t="shared" si="1"/>
        <v>66</v>
      </c>
      <c r="F175" s="176">
        <f>VLOOKUP(B175,'Q MPP'!A:L,7,FALSE)</f>
        <v>4798</v>
      </c>
      <c r="G175" s="177"/>
      <c r="H175" s="183">
        <f>VLOOKUP(B175,'Q MPP'!A:L,7,0)</f>
        <v>4798</v>
      </c>
      <c r="I175" s="184" t="str">
        <f t="shared" si="2"/>
        <v>VIGENTE</v>
      </c>
      <c r="J175" s="184" t="str">
        <f t="shared" si="3"/>
        <v>PROXIMO</v>
      </c>
      <c r="K175" s="184" t="str">
        <f>VLOOKUP(B175,'RECURSO ACTUAL'!A:C,3,0)</f>
        <v>TRN155</v>
      </c>
      <c r="L175" s="184" t="str">
        <f>VLOOKUP(B175,'RECURSO ACTUAL'!A:B,2,0)</f>
        <v>31-Copacabana QUIMICOS</v>
      </c>
    </row>
    <row r="176">
      <c r="A176" s="103"/>
      <c r="B176" s="180">
        <f>'RECURSO ACTUAL'!A177</f>
        <v>2378</v>
      </c>
      <c r="C176" s="181">
        <f>'RECURSO ACTUAL'!F177</f>
        <v>46542</v>
      </c>
      <c r="D176" s="182">
        <f>VLOOKUP(B176,'Q MPP'!A:L,8,0)</f>
        <v>46169</v>
      </c>
      <c r="E176" s="183">
        <f t="shared" si="1"/>
        <v>47</v>
      </c>
      <c r="F176" s="176">
        <f>VLOOKUP(B176,'Q MPP'!A:L,7,FALSE)</f>
        <v>1022.8</v>
      </c>
      <c r="G176" s="177"/>
      <c r="H176" s="183">
        <f>VLOOKUP(B176,'Q MPP'!A:L,7,0)</f>
        <v>1022.8</v>
      </c>
      <c r="I176" s="184" t="str">
        <f t="shared" si="2"/>
        <v>VIGENTE</v>
      </c>
      <c r="J176" s="184" t="str">
        <f t="shared" si="3"/>
        <v>VIGENTE</v>
      </c>
      <c r="K176" s="184" t="str">
        <f>VLOOKUP(B176,'RECURSO ACTUAL'!A:C,3,0)</f>
        <v>TRN154</v>
      </c>
      <c r="L176" s="184" t="str">
        <f>VLOOKUP(B176,'RECURSO ACTUAL'!A:B,2,0)</f>
        <v>MAYORCA</v>
      </c>
    </row>
    <row r="177">
      <c r="A177" s="103"/>
      <c r="B177" s="180">
        <f>'RECURSO ACTUAL'!A178</f>
        <v>2376</v>
      </c>
      <c r="C177" s="181">
        <f>'RECURSO ACTUAL'!F178</f>
        <v>46540</v>
      </c>
      <c r="D177" s="182">
        <f>VLOOKUP(B177,'Q MPP'!A:L,8,0)</f>
        <v>46150</v>
      </c>
      <c r="E177" s="183">
        <f t="shared" si="1"/>
        <v>66</v>
      </c>
      <c r="F177" s="176">
        <f>VLOOKUP(B177,'Q MPP'!A:L,7,FALSE)</f>
        <v>1111.6</v>
      </c>
      <c r="G177" s="177"/>
      <c r="H177" s="183">
        <f>VLOOKUP(B177,'Q MPP'!A:L,7,0)</f>
        <v>1111.6</v>
      </c>
      <c r="I177" s="184" t="str">
        <f t="shared" si="2"/>
        <v>VIGENTE</v>
      </c>
      <c r="J177" s="184" t="str">
        <f t="shared" si="3"/>
        <v>VIGENTE</v>
      </c>
      <c r="K177" s="184" t="str">
        <f>VLOOKUP(B177,'RECURSO ACTUAL'!A:C,3,0)</f>
        <v>TRM999</v>
      </c>
      <c r="L177" s="184" t="str">
        <f>VLOOKUP(B177,'RECURSO ACTUAL'!A:B,2,0)</f>
        <v>02-Medellin</v>
      </c>
    </row>
    <row r="178">
      <c r="A178" s="103"/>
      <c r="B178" s="180">
        <f>'RECURSO ACTUAL'!A179</f>
        <v>2374</v>
      </c>
      <c r="C178" s="181">
        <f>'RECURSO ACTUAL'!F179</f>
        <v>46460</v>
      </c>
      <c r="D178" s="182">
        <f>VLOOKUP(B178,'Q MPP'!A:L,8,0)</f>
        <v>46093</v>
      </c>
      <c r="E178" s="183">
        <f t="shared" si="1"/>
        <v>123</v>
      </c>
      <c r="F178" s="176">
        <f>VLOOKUP(B178,'Q MPP'!A:L,7,FALSE)</f>
        <v>4320.8</v>
      </c>
      <c r="G178" s="177"/>
      <c r="H178" s="183">
        <f>VLOOKUP(B178,'Q MPP'!A:L,7,0)</f>
        <v>4320.8</v>
      </c>
      <c r="I178" s="184" t="str">
        <f t="shared" si="2"/>
        <v>PASADO</v>
      </c>
      <c r="J178" s="184" t="str">
        <f t="shared" si="3"/>
        <v>PROXIMO</v>
      </c>
      <c r="K178" s="184" t="str">
        <f>VLOOKUP(B178,'RECURSO ACTUAL'!A:C,3,0)</f>
        <v>TRM990</v>
      </c>
      <c r="L178" s="184" t="str">
        <f>VLOOKUP(B178,'RECURSO ACTUAL'!A:B,2,0)</f>
        <v>02-Medellin</v>
      </c>
    </row>
    <row r="179">
      <c r="A179" s="103"/>
      <c r="B179" s="180">
        <f>'RECURSO ACTUAL'!A180</f>
        <v>2369</v>
      </c>
      <c r="C179" s="181">
        <f>'RECURSO ACTUAL'!F180</f>
        <v>46541</v>
      </c>
      <c r="D179" s="182">
        <f>VLOOKUP(B179,'Q MPP'!A:L,8,0)</f>
        <v>46176</v>
      </c>
      <c r="E179" s="183">
        <f t="shared" si="1"/>
        <v>40</v>
      </c>
      <c r="F179" s="176">
        <f>VLOOKUP(B179,'Q MPP'!A:L,7,FALSE)</f>
        <v>2406.3</v>
      </c>
      <c r="G179" s="177"/>
      <c r="H179" s="183">
        <f>VLOOKUP(B179,'Q MPP'!A:L,7,0)</f>
        <v>2406.3</v>
      </c>
      <c r="I179" s="184" t="str">
        <f t="shared" si="2"/>
        <v>VIGENTE</v>
      </c>
      <c r="J179" s="184" t="str">
        <f t="shared" si="3"/>
        <v>VIGENTE</v>
      </c>
      <c r="K179" s="184" t="str">
        <f>VLOOKUP(B179,'RECURSO ACTUAL'!A:C,3,0)</f>
        <v>TRM981</v>
      </c>
      <c r="L179" s="184" t="str">
        <f>VLOOKUP(B179,'RECURSO ACTUAL'!A:B,2,0)</f>
        <v>02-Medellin</v>
      </c>
    </row>
    <row r="180">
      <c r="A180" s="103"/>
      <c r="B180" s="180">
        <f>'RECURSO ACTUAL'!A181</f>
        <v>2367</v>
      </c>
      <c r="C180" s="181">
        <f>'RECURSO ACTUAL'!F181</f>
        <v>46522</v>
      </c>
      <c r="D180" s="182">
        <f>VLOOKUP(B180,'Q MPP'!A:L,8,0)</f>
        <v>46153</v>
      </c>
      <c r="E180" s="183">
        <f t="shared" si="1"/>
        <v>63</v>
      </c>
      <c r="F180" s="176">
        <f>VLOOKUP(B180,'Q MPP'!A:L,7,FALSE)</f>
        <v>7228</v>
      </c>
      <c r="G180" s="177"/>
      <c r="H180" s="183">
        <f>VLOOKUP(B180,'Q MPP'!A:L,7,0)</f>
        <v>7228</v>
      </c>
      <c r="I180" s="184" t="str">
        <f t="shared" si="2"/>
        <v>VIGENTE</v>
      </c>
      <c r="J180" s="184" t="str">
        <f t="shared" si="3"/>
        <v>PASADO</v>
      </c>
      <c r="K180" s="184" t="str">
        <f>VLOOKUP(B180,'RECURSO ACTUAL'!A:C,3,0)</f>
        <v>TRL773</v>
      </c>
      <c r="L180" s="184" t="str">
        <f>VLOOKUP(B180,'RECURSO ACTUAL'!A:B,2,0)</f>
        <v>31-Copacabana QUIMICOS</v>
      </c>
    </row>
    <row r="181">
      <c r="A181" s="103"/>
      <c r="B181" s="180">
        <f>'RECURSO ACTUAL'!A182</f>
        <v>2366</v>
      </c>
      <c r="C181" s="181">
        <f>'RECURSO ACTUAL'!F182</f>
        <v>46306</v>
      </c>
      <c r="D181" s="182">
        <f>VLOOKUP(B181,'Q MPP'!A:L,8,0)</f>
        <v>46112</v>
      </c>
      <c r="E181" s="183">
        <f t="shared" si="1"/>
        <v>104</v>
      </c>
      <c r="F181" s="176">
        <f>VLOOKUP(B181,'Q MPP'!A:L,7,FALSE)</f>
        <v>3088.3</v>
      </c>
      <c r="G181" s="177"/>
      <c r="H181" s="183">
        <f>VLOOKUP(B181,'Q MPP'!A:L,7,0)</f>
        <v>3088.3</v>
      </c>
      <c r="I181" s="184" t="str">
        <f t="shared" si="2"/>
        <v>PASADO</v>
      </c>
      <c r="J181" s="184" t="str">
        <f t="shared" si="3"/>
        <v>VIGENTE</v>
      </c>
      <c r="K181" s="184" t="str">
        <f>VLOOKUP(B181,'RECURSO ACTUAL'!A:C,3,0)</f>
        <v>WCV410</v>
      </c>
      <c r="L181" s="184" t="str">
        <f>VLOOKUP(B181,'RECURSO ACTUAL'!A:B,2,0)</f>
        <v>02-Medellin</v>
      </c>
    </row>
    <row r="182">
      <c r="A182" s="103"/>
      <c r="B182" s="180">
        <f>'RECURSO ACTUAL'!A183</f>
        <v>2360</v>
      </c>
      <c r="C182" s="181">
        <f>'RECURSO ACTUAL'!F183</f>
        <v>46445</v>
      </c>
      <c r="D182" s="182">
        <f>VLOOKUP(B182,'Q MPP'!A:L,8,0)</f>
        <v>46179</v>
      </c>
      <c r="E182" s="183">
        <f t="shared" si="1"/>
        <v>37</v>
      </c>
      <c r="F182" s="176">
        <f>VLOOKUP(B182,'Q MPP'!A:L,7,FALSE)</f>
        <v>1244.4</v>
      </c>
      <c r="G182" s="177"/>
      <c r="H182" s="183">
        <f>VLOOKUP(B182,'Q MPP'!A:L,7,0)</f>
        <v>1244.4</v>
      </c>
      <c r="I182" s="184" t="str">
        <f t="shared" si="2"/>
        <v>VIGENTE</v>
      </c>
      <c r="J182" s="184" t="str">
        <f t="shared" si="3"/>
        <v>VIGENTE</v>
      </c>
      <c r="K182" s="184" t="str">
        <f>VLOOKUP(B182,'RECURSO ACTUAL'!A:C,3,0)</f>
        <v>TRM911</v>
      </c>
      <c r="L182" s="184" t="str">
        <f>VLOOKUP(B182,'RECURSO ACTUAL'!A:B,2,0)</f>
        <v>02-Medellin</v>
      </c>
    </row>
    <row r="183">
      <c r="A183" s="103"/>
      <c r="B183" s="180">
        <f>'RECURSO ACTUAL'!A184</f>
        <v>2355</v>
      </c>
      <c r="C183" s="181">
        <f>'RECURSO ACTUAL'!F184</f>
        <v>46439</v>
      </c>
      <c r="D183" s="182">
        <f>VLOOKUP(B183,'Q MPP'!A:L,8,0)</f>
        <v>46073</v>
      </c>
      <c r="E183" s="183">
        <f t="shared" si="1"/>
        <v>143</v>
      </c>
      <c r="F183" s="176">
        <f>VLOOKUP(B183,'Q MPP'!A:L,7,FALSE)</f>
        <v>5454.7</v>
      </c>
      <c r="G183" s="177"/>
      <c r="H183" s="183">
        <f>VLOOKUP(B183,'Q MPP'!A:L,7,0)</f>
        <v>5454.7</v>
      </c>
      <c r="I183" s="184" t="str">
        <f t="shared" si="2"/>
        <v>PASADO</v>
      </c>
      <c r="J183" s="184" t="str">
        <f t="shared" si="3"/>
        <v>PASADO</v>
      </c>
      <c r="K183" s="184" t="str">
        <f>VLOOKUP(B183,'RECURSO ACTUAL'!A:C,3,0)</f>
        <v>TRM810</v>
      </c>
      <c r="L183" s="184" t="str">
        <f>VLOOKUP(B183,'RECURSO ACTUAL'!A:B,2,0)</f>
        <v>31-Copacabana</v>
      </c>
    </row>
    <row r="184">
      <c r="A184" s="103"/>
      <c r="B184" s="180">
        <f>'RECURSO ACTUAL'!A185</f>
        <v>2354</v>
      </c>
      <c r="C184" s="181">
        <f>'RECURSO ACTUAL'!F185</f>
        <v>46435</v>
      </c>
      <c r="D184" s="182">
        <f>VLOOKUP(B184,'Q MPP'!A:L,8,0)</f>
        <v>46169</v>
      </c>
      <c r="E184" s="183">
        <f t="shared" si="1"/>
        <v>47</v>
      </c>
      <c r="F184" s="176">
        <f>VLOOKUP(B184,'Q MPP'!A:L,7,FALSE)</f>
        <v>1659.9</v>
      </c>
      <c r="G184" s="177"/>
      <c r="H184" s="183">
        <f>VLOOKUP(B184,'Q MPP'!A:L,7,0)</f>
        <v>1659.9</v>
      </c>
      <c r="I184" s="184" t="str">
        <f t="shared" si="2"/>
        <v>VIGENTE</v>
      </c>
      <c r="J184" s="184" t="str">
        <f t="shared" si="3"/>
        <v>VIGENTE</v>
      </c>
      <c r="K184" s="184" t="str">
        <f>VLOOKUP(B184,'RECURSO ACTUAL'!A:C,3,0)</f>
        <v>TRM763</v>
      </c>
      <c r="L184" s="184" t="str">
        <f>VLOOKUP(B184,'RECURSO ACTUAL'!A:B,2,0)</f>
        <v>31-Copacabana</v>
      </c>
    </row>
    <row r="185">
      <c r="A185" s="103"/>
      <c r="B185" s="180">
        <f>'RECURSO ACTUAL'!A186</f>
        <v>2339</v>
      </c>
      <c r="C185" s="181">
        <f>'RECURSO ACTUAL'!F186</f>
        <v>46572</v>
      </c>
      <c r="D185" s="182">
        <f>VLOOKUP(B185,'Q MPP'!A:L,8,0)</f>
        <v>46101</v>
      </c>
      <c r="E185" s="183">
        <f t="shared" si="1"/>
        <v>115</v>
      </c>
      <c r="F185" s="176">
        <f>VLOOKUP(B185,'Q MPP'!A:L,7,FALSE)</f>
        <v>5563.3</v>
      </c>
      <c r="G185" s="177"/>
      <c r="H185" s="183">
        <f>VLOOKUP(B185,'Q MPP'!A:L,7,0)</f>
        <v>5563.3</v>
      </c>
      <c r="I185" s="184" t="str">
        <f t="shared" si="2"/>
        <v>PASADO</v>
      </c>
      <c r="J185" s="184" t="str">
        <f t="shared" si="3"/>
        <v>PASADO</v>
      </c>
      <c r="K185" s="184" t="str">
        <f>VLOOKUP(B185,'RECURSO ACTUAL'!A:C,3,0)</f>
        <v>TRL860</v>
      </c>
      <c r="L185" s="184" t="str">
        <f>VLOOKUP(B185,'RECURSO ACTUAL'!A:B,2,0)</f>
        <v>02-Medellin</v>
      </c>
    </row>
    <row r="186">
      <c r="A186" s="103"/>
      <c r="B186" s="180">
        <f>'RECURSO ACTUAL'!A187</f>
        <v>2334</v>
      </c>
      <c r="C186" s="181">
        <f>'RECURSO ACTUAL'!F187</f>
        <v>46543</v>
      </c>
      <c r="D186" s="182">
        <f>VLOOKUP(B186,'Q MPP'!A:L,8,0)</f>
        <v>46177</v>
      </c>
      <c r="E186" s="183">
        <f t="shared" si="1"/>
        <v>39</v>
      </c>
      <c r="F186" s="176">
        <f>VLOOKUP(B186,'Q MPP'!A:L,7,FALSE)</f>
        <v>2291</v>
      </c>
      <c r="G186" s="177"/>
      <c r="H186" s="183">
        <f>VLOOKUP(B186,'Q MPP'!A:L,7,0)</f>
        <v>2291</v>
      </c>
      <c r="I186" s="184" t="str">
        <f t="shared" si="2"/>
        <v>VIGENTE</v>
      </c>
      <c r="J186" s="184" t="str">
        <f t="shared" si="3"/>
        <v>VIGENTE</v>
      </c>
      <c r="K186" s="184" t="str">
        <f>VLOOKUP(B186,'RECURSO ACTUAL'!A:C,3,0)</f>
        <v>TRL855</v>
      </c>
      <c r="L186" s="184" t="str">
        <f>VLOOKUP(B186,'RECURSO ACTUAL'!A:B,2,0)</f>
        <v>27-Apartado</v>
      </c>
    </row>
    <row r="187">
      <c r="A187" s="103"/>
      <c r="B187" s="180">
        <f>'RECURSO ACTUAL'!A188</f>
        <v>2276</v>
      </c>
      <c r="C187" s="181">
        <f>'RECURSO ACTUAL'!F188</f>
        <v>46366</v>
      </c>
      <c r="D187" s="182">
        <f>VLOOKUP(B187,'Q MPP'!A:L,8,0)</f>
        <v>46126</v>
      </c>
      <c r="E187" s="183">
        <f t="shared" si="1"/>
        <v>90</v>
      </c>
      <c r="F187" s="176">
        <f>VLOOKUP(B187,'Q MPP'!A:L,7,FALSE)</f>
        <v>2421</v>
      </c>
      <c r="G187" s="177"/>
      <c r="H187" s="183">
        <f>VLOOKUP(B187,'Q MPP'!A:L,7,0)</f>
        <v>2421</v>
      </c>
      <c r="I187" s="184" t="str">
        <f t="shared" si="2"/>
        <v>PROXIMO</v>
      </c>
      <c r="J187" s="184" t="str">
        <f t="shared" si="3"/>
        <v>VIGENTE</v>
      </c>
      <c r="K187" s="184" t="str">
        <f>VLOOKUP(B187,'RECURSO ACTUAL'!A:C,3,0)</f>
        <v>SNP571</v>
      </c>
      <c r="L187" s="184" t="str">
        <f>VLOOKUP(B187,'RECURSO ACTUAL'!A:B,2,0)</f>
        <v>02-Medellin</v>
      </c>
    </row>
    <row r="188">
      <c r="A188" s="103"/>
      <c r="B188" s="180">
        <f>'RECURSO ACTUAL'!A189</f>
        <v>2275</v>
      </c>
      <c r="C188" s="181">
        <f>'RECURSO ACTUAL'!F189</f>
        <v>46263</v>
      </c>
      <c r="D188" s="182">
        <f>VLOOKUP(B188,'Q MPP'!A:L,8,0)</f>
        <v>46062</v>
      </c>
      <c r="E188" s="183">
        <f t="shared" si="1"/>
        <v>154</v>
      </c>
      <c r="F188" s="176">
        <f>VLOOKUP(B188,'Q MPP'!A:L,7,FALSE)</f>
        <v>987.1</v>
      </c>
      <c r="G188" s="177"/>
      <c r="H188" s="183">
        <f>VLOOKUP(B188,'Q MPP'!A:L,7,0)</f>
        <v>987.1</v>
      </c>
      <c r="I188" s="184" t="str">
        <f t="shared" si="2"/>
        <v>PASADO</v>
      </c>
      <c r="J188" s="184" t="str">
        <f t="shared" si="3"/>
        <v>VIGENTE</v>
      </c>
      <c r="K188" s="184" t="str">
        <f>VLOOKUP(B188,'RECURSO ACTUAL'!A:C,3,0)</f>
        <v>SNP570</v>
      </c>
      <c r="L188" s="184" t="str">
        <f>VLOOKUP(B188,'RECURSO ACTUAL'!A:B,2,0)</f>
        <v>02-Medellin</v>
      </c>
    </row>
    <row r="189">
      <c r="A189" s="103"/>
      <c r="B189" s="180">
        <f>'RECURSO ACTUAL'!A190</f>
        <v>2230</v>
      </c>
      <c r="C189" s="181">
        <f>'RECURSO ACTUAL'!F190</f>
        <v>46570</v>
      </c>
      <c r="D189" s="182">
        <f>VLOOKUP(B189,'Q MPP'!A:L,8,0)</f>
        <v>46093</v>
      </c>
      <c r="E189" s="183">
        <f t="shared" si="1"/>
        <v>123</v>
      </c>
      <c r="F189" s="176">
        <f>VLOOKUP(B189,'Q MPP'!A:L,7,FALSE)</f>
        <v>3435.1</v>
      </c>
      <c r="G189" s="177"/>
      <c r="H189" s="183">
        <f>VLOOKUP(B189,'Q MPP'!A:L,7,0)</f>
        <v>3435.1</v>
      </c>
      <c r="I189" s="184" t="str">
        <f t="shared" si="2"/>
        <v>PASADO</v>
      </c>
      <c r="J189" s="184" t="str">
        <f t="shared" si="3"/>
        <v>VIGENTE</v>
      </c>
      <c r="K189" s="184" t="str">
        <f>VLOOKUP(B189,'RECURSO ACTUAL'!A:C,3,0)</f>
        <v>TRH260</v>
      </c>
      <c r="L189" s="184" t="str">
        <f>VLOOKUP(B189,'RECURSO ACTUAL'!A:B,2,0)</f>
        <v>02-Medellin</v>
      </c>
    </row>
    <row r="190">
      <c r="A190" s="103"/>
      <c r="B190" s="180">
        <f>'RECURSO ACTUAL'!A191</f>
        <v>2206</v>
      </c>
      <c r="C190" s="181">
        <f>'RECURSO ACTUAL'!F191</f>
        <v>46548</v>
      </c>
      <c r="D190" s="182">
        <f>VLOOKUP(B190,'Q MPP'!A:L,8,0)</f>
        <v>46090</v>
      </c>
      <c r="E190" s="183">
        <f t="shared" si="1"/>
        <v>126</v>
      </c>
      <c r="F190" s="176">
        <f>VLOOKUP(B190,'Q MPP'!A:L,7,FALSE)</f>
        <v>1038.4</v>
      </c>
      <c r="G190" s="177"/>
      <c r="H190" s="183">
        <f>VLOOKUP(B190,'Q MPP'!A:L,7,0)</f>
        <v>1038.4</v>
      </c>
      <c r="I190" s="184" t="str">
        <f t="shared" si="2"/>
        <v>PASADO</v>
      </c>
      <c r="J190" s="184" t="str">
        <f t="shared" si="3"/>
        <v>VIGENTE</v>
      </c>
      <c r="K190" s="184" t="str">
        <f>VLOOKUP(B190,'RECURSO ACTUAL'!A:C,3,0)</f>
        <v>TRH162</v>
      </c>
      <c r="L190" s="184" t="str">
        <f>VLOOKUP(B190,'RECURSO ACTUAL'!A:B,2,0)</f>
        <v>MAYORCA</v>
      </c>
    </row>
    <row r="191">
      <c r="A191" s="103"/>
      <c r="B191" s="180">
        <f>'RECURSO ACTUAL'!A192</f>
        <v>2204</v>
      </c>
      <c r="C191" s="181">
        <f>'RECURSO ACTUAL'!F192</f>
        <v>46523</v>
      </c>
      <c r="D191" s="182">
        <f>VLOOKUP(B191,'Q MPP'!A:L,8,0)</f>
        <v>46156</v>
      </c>
      <c r="E191" s="183">
        <f t="shared" si="1"/>
        <v>60</v>
      </c>
      <c r="F191" s="176">
        <f>VLOOKUP(B191,'Q MPP'!A:L,7,FALSE)</f>
        <v>3402.5</v>
      </c>
      <c r="G191" s="177"/>
      <c r="H191" s="183">
        <f>VLOOKUP(B191,'Q MPP'!A:L,7,0)</f>
        <v>3402.5</v>
      </c>
      <c r="I191" s="184" t="str">
        <f t="shared" si="2"/>
        <v>VIGENTE</v>
      </c>
      <c r="J191" s="184" t="str">
        <f t="shared" si="3"/>
        <v>VIGENTE</v>
      </c>
      <c r="K191" s="184" t="str">
        <f>VLOOKUP(B191,'RECURSO ACTUAL'!A:C,3,0)</f>
        <v>TRH160</v>
      </c>
      <c r="L191" s="184" t="str">
        <f>VLOOKUP(B191,'RECURSO ACTUAL'!A:B,2,0)</f>
        <v>BULTOS</v>
      </c>
    </row>
    <row r="192">
      <c r="A192" s="103"/>
      <c r="B192" s="180">
        <f>'RECURSO ACTUAL'!A193</f>
        <v>2202</v>
      </c>
      <c r="C192" s="181">
        <f>'RECURSO ACTUAL'!F193</f>
        <v>46527</v>
      </c>
      <c r="D192" s="182">
        <f>VLOOKUP(B192,'Q MPP'!A:L,8,0)</f>
        <v>46150</v>
      </c>
      <c r="E192" s="183">
        <f t="shared" si="1"/>
        <v>66</v>
      </c>
      <c r="F192" s="176">
        <f>VLOOKUP(B192,'Q MPP'!A:L,7,FALSE)</f>
        <v>1421.2</v>
      </c>
      <c r="G192" s="177"/>
      <c r="H192" s="183">
        <f>VLOOKUP(B192,'Q MPP'!A:L,7,0)</f>
        <v>1421.2</v>
      </c>
      <c r="I192" s="184" t="str">
        <f t="shared" si="2"/>
        <v>VIGENTE</v>
      </c>
      <c r="J192" s="184" t="str">
        <f t="shared" si="3"/>
        <v>VIGENTE</v>
      </c>
      <c r="K192" s="184" t="str">
        <f>VLOOKUP(B192,'RECURSO ACTUAL'!A:C,3,0)</f>
        <v>TRH158</v>
      </c>
      <c r="L192" s="184" t="str">
        <f>VLOOKUP(B192,'RECURSO ACTUAL'!A:B,2,0)</f>
        <v>02-Medellin</v>
      </c>
    </row>
    <row r="193">
      <c r="A193" s="103"/>
      <c r="B193" s="180">
        <f>'RECURSO ACTUAL'!A194</f>
        <v>2201</v>
      </c>
      <c r="C193" s="181">
        <f>'RECURSO ACTUAL'!F194</f>
        <v>46543</v>
      </c>
      <c r="D193" s="182">
        <f>VLOOKUP(B193,'Q MPP'!A:L,8,0)</f>
        <v>46177</v>
      </c>
      <c r="E193" s="183">
        <f t="shared" si="1"/>
        <v>39</v>
      </c>
      <c r="F193" s="176">
        <f>VLOOKUP(B193,'Q MPP'!A:L,7,FALSE)</f>
        <v>825</v>
      </c>
      <c r="G193" s="177"/>
      <c r="H193" s="183">
        <f>VLOOKUP(B193,'Q MPP'!A:L,7,0)</f>
        <v>825</v>
      </c>
      <c r="I193" s="184" t="str">
        <f t="shared" si="2"/>
        <v>VIGENTE</v>
      </c>
      <c r="J193" s="184" t="str">
        <f t="shared" si="3"/>
        <v>VIGENTE</v>
      </c>
      <c r="K193" s="184" t="str">
        <f>VLOOKUP(B193,'RECURSO ACTUAL'!A:C,3,0)</f>
        <v>TRH157</v>
      </c>
      <c r="L193" s="184" t="str">
        <f>VLOOKUP(B193,'RECURSO ACTUAL'!A:B,2,0)</f>
        <v>02-Medellin</v>
      </c>
    </row>
    <row r="194">
      <c r="A194" s="103"/>
      <c r="B194" s="180">
        <f>'RECURSO ACTUAL'!A195</f>
        <v>2200</v>
      </c>
      <c r="C194" s="181">
        <f>'RECURSO ACTUAL'!F195</f>
        <v>46478</v>
      </c>
      <c r="D194" s="182">
        <f>VLOOKUP(B194,'Q MPP'!A:L,8,0)</f>
        <v>46112</v>
      </c>
      <c r="E194" s="183">
        <f t="shared" si="1"/>
        <v>104</v>
      </c>
      <c r="F194" s="176">
        <f>VLOOKUP(B194,'Q MPP'!A:L,7,FALSE)</f>
        <v>4760.8</v>
      </c>
      <c r="G194" s="177"/>
      <c r="H194" s="183">
        <f>VLOOKUP(B194,'Q MPP'!A:L,7,0)</f>
        <v>4760.8</v>
      </c>
      <c r="I194" s="184" t="str">
        <f t="shared" si="2"/>
        <v>PASADO</v>
      </c>
      <c r="J194" s="184" t="str">
        <f t="shared" si="3"/>
        <v>PROXIMO</v>
      </c>
      <c r="K194" s="184" t="str">
        <f>VLOOKUP(B194,'RECURSO ACTUAL'!A:C,3,0)</f>
        <v>TRH156</v>
      </c>
      <c r="L194" s="184" t="str">
        <f>VLOOKUP(B194,'RECURSO ACTUAL'!A:B,2,0)</f>
        <v>BULTOS</v>
      </c>
    </row>
    <row r="195">
      <c r="A195" s="103"/>
      <c r="B195" s="180">
        <f>'RECURSO ACTUAL'!A196</f>
        <v>2198</v>
      </c>
      <c r="C195" s="181">
        <f>'RECURSO ACTUAL'!F196</f>
        <v>46515</v>
      </c>
      <c r="D195" s="182">
        <f>VLOOKUP(B195,'Q MPP'!A:L,8,0)</f>
        <v>46150</v>
      </c>
      <c r="E195" s="183">
        <f t="shared" si="1"/>
        <v>66</v>
      </c>
      <c r="F195" s="176">
        <f>VLOOKUP(B195,'Q MPP'!A:L,7,FALSE)</f>
        <v>2495</v>
      </c>
      <c r="G195" s="177"/>
      <c r="H195" s="183">
        <f>VLOOKUP(B195,'Q MPP'!A:L,7,0)</f>
        <v>2495</v>
      </c>
      <c r="I195" s="184" t="str">
        <f t="shared" si="2"/>
        <v>VIGENTE</v>
      </c>
      <c r="J195" s="184" t="str">
        <f t="shared" si="3"/>
        <v>VIGENTE</v>
      </c>
      <c r="K195" s="184" t="str">
        <f>VLOOKUP(B195,'RECURSO ACTUAL'!A:C,3,0)</f>
        <v>TRH154</v>
      </c>
      <c r="L195" s="184" t="str">
        <f>VLOOKUP(B195,'RECURSO ACTUAL'!A:B,2,0)</f>
        <v>02-Medellin</v>
      </c>
    </row>
    <row r="196">
      <c r="A196" s="103"/>
      <c r="B196" s="180">
        <f>'RECURSO ACTUAL'!A197</f>
        <v>2197</v>
      </c>
      <c r="C196" s="181">
        <f>'RECURSO ACTUAL'!F197</f>
        <v>46529</v>
      </c>
      <c r="D196" s="182">
        <f>VLOOKUP(B196,'Q MPP'!A:L,8,0)</f>
        <v>46163</v>
      </c>
      <c r="E196" s="183">
        <f t="shared" si="1"/>
        <v>53</v>
      </c>
      <c r="F196" s="176">
        <f>VLOOKUP(B196,'Q MPP'!A:L,7,FALSE)</f>
        <v>1280.7</v>
      </c>
      <c r="G196" s="177"/>
      <c r="H196" s="183">
        <f>VLOOKUP(B196,'Q MPP'!A:L,7,0)</f>
        <v>1280.7</v>
      </c>
      <c r="I196" s="184" t="str">
        <f t="shared" si="2"/>
        <v>VIGENTE</v>
      </c>
      <c r="J196" s="184" t="str">
        <f t="shared" si="3"/>
        <v>VIGENTE</v>
      </c>
      <c r="K196" s="184" t="str">
        <f>VLOOKUP(B196,'RECURSO ACTUAL'!A:C,3,0)</f>
        <v>TRH153</v>
      </c>
      <c r="L196" s="184" t="str">
        <f>VLOOKUP(B196,'RECURSO ACTUAL'!A:B,2,0)</f>
        <v>02-Medellin</v>
      </c>
    </row>
    <row r="197">
      <c r="A197" s="103"/>
      <c r="B197" s="180">
        <f>'RECURSO ACTUAL'!A198</f>
        <v>2196</v>
      </c>
      <c r="C197" s="181">
        <f>'RECURSO ACTUAL'!F198</f>
        <v>46542</v>
      </c>
      <c r="D197" s="182">
        <f>VLOOKUP(B197,'Q MPP'!A:L,8,0)</f>
        <v>46176</v>
      </c>
      <c r="E197" s="183">
        <f t="shared" si="1"/>
        <v>40</v>
      </c>
      <c r="F197" s="176">
        <f>VLOOKUP(B197,'Q MPP'!A:L,7,FALSE)</f>
        <v>1223.4</v>
      </c>
      <c r="G197" s="177"/>
      <c r="H197" s="183">
        <f>VLOOKUP(B197,'Q MPP'!A:L,7,0)</f>
        <v>1223.4</v>
      </c>
      <c r="I197" s="184" t="str">
        <f t="shared" si="2"/>
        <v>VIGENTE</v>
      </c>
      <c r="J197" s="184" t="str">
        <f t="shared" si="3"/>
        <v>VIGENTE</v>
      </c>
      <c r="K197" s="184" t="str">
        <f>VLOOKUP(B197,'RECURSO ACTUAL'!A:C,3,0)</f>
        <v>TRH152</v>
      </c>
      <c r="L197" s="184" t="str">
        <f>VLOOKUP(B197,'RECURSO ACTUAL'!A:B,2,0)</f>
        <v>02-Medellin</v>
      </c>
    </row>
    <row r="198">
      <c r="A198" s="103"/>
      <c r="B198" s="180">
        <f>'RECURSO ACTUAL'!A199</f>
        <v>2195</v>
      </c>
      <c r="C198" s="181">
        <f>'RECURSO ACTUAL'!F199</f>
        <v>46544</v>
      </c>
      <c r="D198" s="182">
        <f>VLOOKUP(B198,'Q MPP'!A:L,8,0)</f>
        <v>46177</v>
      </c>
      <c r="E198" s="183">
        <f t="shared" si="1"/>
        <v>39</v>
      </c>
      <c r="F198" s="176">
        <f>VLOOKUP(B198,'Q MPP'!A:L,7,FALSE)</f>
        <v>929</v>
      </c>
      <c r="G198" s="177"/>
      <c r="H198" s="183">
        <f>VLOOKUP(B198,'Q MPP'!A:L,7,0)</f>
        <v>929</v>
      </c>
      <c r="I198" s="184" t="str">
        <f t="shared" si="2"/>
        <v>VIGENTE</v>
      </c>
      <c r="J198" s="184" t="str">
        <f t="shared" si="3"/>
        <v>VIGENTE</v>
      </c>
      <c r="K198" s="184" t="str">
        <f>VLOOKUP(B198,'RECURSO ACTUAL'!A:C,3,0)</f>
        <v>TRH151</v>
      </c>
      <c r="L198" s="184" t="str">
        <f>VLOOKUP(B198,'RECURSO ACTUAL'!A:B,2,0)</f>
        <v>02-Medellin</v>
      </c>
    </row>
    <row r="199">
      <c r="A199" s="103"/>
      <c r="B199" s="180">
        <f>'RECURSO ACTUAL'!A200</f>
        <v>2194</v>
      </c>
      <c r="C199" s="181">
        <f>'RECURSO ACTUAL'!F200</f>
        <v>46530</v>
      </c>
      <c r="D199" s="182">
        <f>VLOOKUP(B199,'Q MPP'!A:L,8,0)</f>
        <v>46167</v>
      </c>
      <c r="E199" s="183">
        <f t="shared" si="1"/>
        <v>49</v>
      </c>
      <c r="F199" s="176">
        <f>VLOOKUP(B199,'Q MPP'!A:L,7,FALSE)</f>
        <v>2081</v>
      </c>
      <c r="G199" s="177"/>
      <c r="H199" s="183">
        <f>VLOOKUP(B199,'Q MPP'!A:L,7,0)</f>
        <v>2081</v>
      </c>
      <c r="I199" s="184" t="str">
        <f t="shared" si="2"/>
        <v>VIGENTE</v>
      </c>
      <c r="J199" s="184" t="str">
        <f t="shared" si="3"/>
        <v>VIGENTE</v>
      </c>
      <c r="K199" s="184" t="str">
        <f>VLOOKUP(B199,'RECURSO ACTUAL'!A:C,3,0)</f>
        <v>TRH150</v>
      </c>
      <c r="L199" s="184" t="str">
        <f>VLOOKUP(B199,'RECURSO ACTUAL'!A:B,2,0)</f>
        <v>02-Medellin</v>
      </c>
    </row>
    <row r="200">
      <c r="A200" s="103"/>
      <c r="B200" s="180">
        <f>'RECURSO ACTUAL'!A201</f>
        <v>2188</v>
      </c>
      <c r="C200" s="181">
        <f>'RECURSO ACTUAL'!F201</f>
        <v>46375</v>
      </c>
      <c r="D200" s="182">
        <f>VLOOKUP(B200,'Q MPP'!A:L,8,0)</f>
        <v>46168</v>
      </c>
      <c r="E200" s="183">
        <f t="shared" si="1"/>
        <v>48</v>
      </c>
      <c r="F200" s="176">
        <f>VLOOKUP(B200,'Q MPP'!A:L,7,FALSE)</f>
        <v>2220.7</v>
      </c>
      <c r="G200" s="177"/>
      <c r="H200" s="183">
        <f>VLOOKUP(B200,'Q MPP'!A:L,7,0)</f>
        <v>2220.7</v>
      </c>
      <c r="I200" s="184" t="str">
        <f t="shared" si="2"/>
        <v>VIGENTE</v>
      </c>
      <c r="J200" s="184" t="str">
        <f t="shared" si="3"/>
        <v>VIGENTE</v>
      </c>
      <c r="K200" s="184" t="str">
        <f>VLOOKUP(B200,'RECURSO ACTUAL'!A:C,3,0)</f>
        <v>SNP316</v>
      </c>
      <c r="L200" s="184" t="str">
        <f>VLOOKUP(B200,'RECURSO ACTUAL'!A:B,2,0)</f>
        <v>BULTOS</v>
      </c>
    </row>
    <row r="201">
      <c r="A201" s="103"/>
      <c r="B201" s="180">
        <f>'RECURSO ACTUAL'!A202</f>
        <v>2187</v>
      </c>
      <c r="C201" s="181">
        <f>'RECURSO ACTUAL'!F202</f>
        <v>46410</v>
      </c>
      <c r="D201" s="182">
        <f>VLOOKUP(B201,'Q MPP'!A:L,8,0)</f>
        <v>46087</v>
      </c>
      <c r="E201" s="183">
        <f t="shared" si="1"/>
        <v>129</v>
      </c>
      <c r="F201" s="176">
        <f>VLOOKUP(B201,'Q MPP'!A:L,7,FALSE)</f>
        <v>3150.8</v>
      </c>
      <c r="G201" s="177"/>
      <c r="H201" s="183">
        <f>VLOOKUP(B201,'Q MPP'!A:L,7,0)</f>
        <v>3150.8</v>
      </c>
      <c r="I201" s="184" t="str">
        <f t="shared" si="2"/>
        <v>PASADO</v>
      </c>
      <c r="J201" s="184" t="str">
        <f t="shared" si="3"/>
        <v>VIGENTE</v>
      </c>
      <c r="K201" s="184" t="str">
        <f>VLOOKUP(B201,'RECURSO ACTUAL'!A:C,3,0)</f>
        <v>SNP315</v>
      </c>
      <c r="L201" s="184" t="str">
        <f>VLOOKUP(B201,'RECURSO ACTUAL'!A:B,2,0)</f>
        <v>02-Medellin</v>
      </c>
    </row>
    <row r="202">
      <c r="A202" s="103"/>
      <c r="B202" s="180">
        <f>'RECURSO ACTUAL'!A203</f>
        <v>2179</v>
      </c>
      <c r="C202" s="181">
        <f>'RECURSO ACTUAL'!F203</f>
        <v>46383</v>
      </c>
      <c r="D202" s="182">
        <f>VLOOKUP(B202,'Q MPP'!A:L,8,0)</f>
        <v>46087</v>
      </c>
      <c r="E202" s="183">
        <f t="shared" si="1"/>
        <v>129</v>
      </c>
      <c r="F202" s="176">
        <f>VLOOKUP(B202,'Q MPP'!A:L,7,FALSE)</f>
        <v>2148.1</v>
      </c>
      <c r="G202" s="177"/>
      <c r="H202" s="183">
        <f>VLOOKUP(B202,'Q MPP'!A:L,7,0)</f>
        <v>2148.1</v>
      </c>
      <c r="I202" s="184" t="str">
        <f t="shared" si="2"/>
        <v>PASADO</v>
      </c>
      <c r="J202" s="184" t="str">
        <f t="shared" si="3"/>
        <v>VIGENTE</v>
      </c>
      <c r="K202" s="184" t="str">
        <f>VLOOKUP(B202,'RECURSO ACTUAL'!A:C,3,0)</f>
        <v>SNP307</v>
      </c>
      <c r="L202" s="184" t="str">
        <f>VLOOKUP(B202,'RECURSO ACTUAL'!A:B,2,0)</f>
        <v>02-Medellin</v>
      </c>
    </row>
    <row r="203">
      <c r="A203" s="103"/>
      <c r="B203" s="180">
        <f>'RECURSO ACTUAL'!A204</f>
        <v>1798</v>
      </c>
      <c r="C203" s="181">
        <f>'RECURSO ACTUAL'!F204</f>
        <v>46565</v>
      </c>
      <c r="D203" s="182">
        <f>VLOOKUP(B203,'Q MPP'!A:L,8,0)</f>
        <v>46169</v>
      </c>
      <c r="E203" s="183">
        <f t="shared" si="1"/>
        <v>47</v>
      </c>
      <c r="F203" s="176">
        <f>VLOOKUP(B203,'Q MPP'!A:L,7,FALSE)</f>
        <v>1559.2</v>
      </c>
      <c r="G203" s="177"/>
      <c r="H203" s="183">
        <f>VLOOKUP(B203,'Q MPP'!A:L,7,0)</f>
        <v>1559.2</v>
      </c>
      <c r="I203" s="184" t="str">
        <f t="shared" si="2"/>
        <v>VIGENTE</v>
      </c>
      <c r="J203" s="184" t="str">
        <f t="shared" si="3"/>
        <v>VIGENTE</v>
      </c>
      <c r="K203" s="184" t="str">
        <f>VLOOKUP(B203,'RECURSO ACTUAL'!A:C,3,0)</f>
        <v>WLY678</v>
      </c>
      <c r="L203" s="184" t="str">
        <f>VLOOKUP(B203,'RECURSO ACTUAL'!A:B,2,0)</f>
        <v>02-Medellin</v>
      </c>
    </row>
    <row r="204">
      <c r="A204" s="103"/>
      <c r="B204" s="180">
        <f>'RECURSO ACTUAL'!A205</f>
        <v>982</v>
      </c>
      <c r="C204" s="181">
        <f>'RECURSO ACTUAL'!F205</f>
        <v>46551</v>
      </c>
      <c r="D204" s="182" t="str">
        <f>VLOOKUP(B204,'Q MPP'!A:L,8,0)</f>
        <v>#N/A</v>
      </c>
      <c r="E204" s="183" t="str">
        <f t="shared" si="1"/>
        <v>#N/A</v>
      </c>
      <c r="F204" s="176" t="str">
        <f>VLOOKUP(B204,'Q MPP'!A:L,7,FALSE)</f>
        <v>#N/A</v>
      </c>
      <c r="G204" s="177"/>
      <c r="H204" s="183" t="str">
        <f>VLOOKUP(B204,'Q MPP'!A:L,7,0)</f>
        <v>#N/A</v>
      </c>
      <c r="I204" s="184" t="str">
        <f t="shared" si="2"/>
        <v>#N/A</v>
      </c>
      <c r="J204" s="184" t="str">
        <f t="shared" si="3"/>
        <v>#N/A</v>
      </c>
      <c r="K204" s="184" t="str">
        <f>VLOOKUP(B204,'RECURSO ACTUAL'!A:C,3,0)</f>
        <v>BNQ233</v>
      </c>
      <c r="L204" s="184" t="str">
        <f>VLOOKUP(B204,'RECURSO ACTUAL'!A:B,2,0)</f>
        <v>02-Medellin</v>
      </c>
    </row>
    <row r="205">
      <c r="A205" s="103"/>
      <c r="B205" s="180">
        <f>'RECURSO ACTUAL'!A206</f>
        <v>962</v>
      </c>
      <c r="C205" s="181">
        <f>'RECURSO ACTUAL'!F206</f>
        <v>46500</v>
      </c>
      <c r="D205" s="182" t="str">
        <f>VLOOKUP(B205,'Q MPP'!A:L,8,0)</f>
        <v>#N/A</v>
      </c>
      <c r="E205" s="183" t="str">
        <f t="shared" si="1"/>
        <v>#N/A</v>
      </c>
      <c r="F205" s="176" t="str">
        <f>VLOOKUP(B205,'Q MPP'!A:L,7,FALSE)</f>
        <v>#N/A</v>
      </c>
      <c r="G205" s="177"/>
      <c r="H205" s="183" t="str">
        <f>VLOOKUP(B205,'Q MPP'!A:L,7,0)</f>
        <v>#N/A</v>
      </c>
      <c r="I205" s="184" t="str">
        <f t="shared" si="2"/>
        <v>#N/A</v>
      </c>
      <c r="J205" s="184" t="str">
        <f t="shared" si="3"/>
        <v>#N/A</v>
      </c>
      <c r="K205" s="184" t="str">
        <f>VLOOKUP(B205,'RECURSO ACTUAL'!A:C,3,0)</f>
        <v>WPM835</v>
      </c>
      <c r="L205" s="184" t="str">
        <f>VLOOKUP(B205,'RECURSO ACTUAL'!A:B,2,0)</f>
        <v>02-Medellin</v>
      </c>
    </row>
    <row r="206">
      <c r="A206" s="103"/>
      <c r="B206" s="180">
        <f>'RECURSO ACTUAL'!A207</f>
        <v>975</v>
      </c>
      <c r="C206" s="181">
        <f>'RECURSO ACTUAL'!F207</f>
        <v>46214</v>
      </c>
      <c r="D206" s="182" t="str">
        <f>VLOOKUP(B206,'Q MPP'!A:L,8,0)</f>
        <v>#N/A</v>
      </c>
      <c r="E206" s="183" t="str">
        <f t="shared" si="1"/>
        <v>#N/A</v>
      </c>
      <c r="F206" s="176" t="str">
        <f>VLOOKUP(B206,'Q MPP'!A:L,7,FALSE)</f>
        <v>#N/A</v>
      </c>
      <c r="G206" s="177"/>
      <c r="H206" s="183" t="str">
        <f>VLOOKUP(B206,'Q MPP'!A:L,7,0)</f>
        <v>#N/A</v>
      </c>
      <c r="I206" s="184" t="str">
        <f t="shared" si="2"/>
        <v>#N/A</v>
      </c>
      <c r="J206" s="184" t="str">
        <f t="shared" si="3"/>
        <v>#N/A</v>
      </c>
      <c r="K206" s="184" t="str">
        <f>VLOOKUP(B206,'RECURSO ACTUAL'!A:C,3,0)</f>
        <v>ITX257</v>
      </c>
      <c r="L206" s="184" t="str">
        <f>VLOOKUP(B206,'RECURSO ACTUAL'!A:B,2,0)</f>
        <v>02-Medellin</v>
      </c>
    </row>
    <row r="207">
      <c r="A207" s="103"/>
      <c r="B207" s="180">
        <f>'RECURSO ACTUAL'!A208</f>
        <v>976</v>
      </c>
      <c r="C207" s="181">
        <f>'RECURSO ACTUAL'!F208</f>
        <v>46047</v>
      </c>
      <c r="D207" s="182" t="str">
        <f>VLOOKUP(B207,'Q MPP'!A:L,8,0)</f>
        <v>#N/A</v>
      </c>
      <c r="E207" s="183" t="str">
        <f t="shared" si="1"/>
        <v>#N/A</v>
      </c>
      <c r="F207" s="176" t="str">
        <f>VLOOKUP(B207,'Q MPP'!A:L,7,FALSE)</f>
        <v>#N/A</v>
      </c>
      <c r="G207" s="177"/>
      <c r="H207" s="183" t="str">
        <f>VLOOKUP(B207,'Q MPP'!A:L,7,0)</f>
        <v>#N/A</v>
      </c>
      <c r="I207" s="184" t="str">
        <f t="shared" si="2"/>
        <v>#N/A</v>
      </c>
      <c r="J207" s="184" t="str">
        <f t="shared" si="3"/>
        <v>#N/A</v>
      </c>
      <c r="K207" s="184" t="str">
        <f>VLOOKUP(B207,'RECURSO ACTUAL'!A:C,3,0)</f>
        <v>EWZ999</v>
      </c>
      <c r="L207" s="184" t="str">
        <f>VLOOKUP(B207,'RECURSO ACTUAL'!A:B,2,0)</f>
        <v>02-Medellin</v>
      </c>
    </row>
    <row r="208">
      <c r="A208" s="103"/>
      <c r="B208" s="180">
        <f>'RECURSO ACTUAL'!A209</f>
        <v>951</v>
      </c>
      <c r="C208" s="181">
        <f>'RECURSO ACTUAL'!F209</f>
        <v>46211</v>
      </c>
      <c r="D208" s="182">
        <f>VLOOKUP(B208,'Q MPP'!A:L,8,0)</f>
        <v>46154</v>
      </c>
      <c r="E208" s="183">
        <f t="shared" si="1"/>
        <v>62</v>
      </c>
      <c r="F208" s="176">
        <f>VLOOKUP(B208,'Q MPP'!A:L,7,FALSE)</f>
        <v>0</v>
      </c>
      <c r="G208" s="177"/>
      <c r="H208" s="183">
        <f>VLOOKUP(B208,'Q MPP'!A:L,7,0)</f>
        <v>0</v>
      </c>
      <c r="I208" s="184" t="str">
        <f t="shared" si="2"/>
        <v>VIGENTE</v>
      </c>
      <c r="J208" s="184" t="str">
        <f t="shared" si="3"/>
        <v>VIGENTE</v>
      </c>
      <c r="K208" s="184" t="str">
        <f>VLOOKUP(B208,'RECURSO ACTUAL'!A:C,3,0)</f>
        <v>TKG949</v>
      </c>
      <c r="L208" s="184" t="str">
        <f>VLOOKUP(B208,'RECURSO ACTUAL'!A:B,2,0)</f>
        <v>02-Medellin</v>
      </c>
    </row>
    <row r="209">
      <c r="A209" s="103"/>
      <c r="B209" s="180">
        <f>'RECURSO ACTUAL'!A210</f>
        <v>2779</v>
      </c>
      <c r="C209" s="181">
        <f>'RECURSO ACTUAL'!F210</f>
        <v>46306</v>
      </c>
      <c r="D209" s="182">
        <f>VLOOKUP(B209,'Q MPP'!A:L,8,0)</f>
        <v>46150</v>
      </c>
      <c r="E209" s="183">
        <f t="shared" si="1"/>
        <v>66</v>
      </c>
      <c r="F209" s="176">
        <f>VLOOKUP(B209,'Q MPP'!A:L,7,FALSE)</f>
        <v>21170.2</v>
      </c>
      <c r="G209" s="177"/>
      <c r="H209" s="183">
        <f>VLOOKUP(B209,'Q MPP'!A:L,7,0)</f>
        <v>21170.2</v>
      </c>
      <c r="I209" s="184" t="str">
        <f t="shared" si="2"/>
        <v>VIGENTE</v>
      </c>
      <c r="J209" s="184" t="str">
        <f t="shared" si="3"/>
        <v>PASADO</v>
      </c>
      <c r="K209" s="184" t="str">
        <f>VLOOKUP(B209,'RECURSO ACTUAL'!A:C,3,0)</f>
        <v>TRK409</v>
      </c>
      <c r="L209" s="184" t="str">
        <f>VLOOKUP(B209,'RECURSO ACTUAL'!A:B,2,0)</f>
        <v>02-Medellin</v>
      </c>
    </row>
    <row r="210">
      <c r="A210" s="103"/>
      <c r="B210" s="180">
        <f>'RECURSO ACTUAL'!A211</f>
        <v>3047</v>
      </c>
      <c r="C210" s="181">
        <f>'RECURSO ACTUAL'!F211</f>
        <v>46276</v>
      </c>
      <c r="D210" s="182">
        <f>VLOOKUP(B210,'Q MPP'!A:L,8,0)</f>
        <v>46132</v>
      </c>
      <c r="E210" s="183">
        <f t="shared" si="1"/>
        <v>84</v>
      </c>
      <c r="F210" s="176">
        <f>VLOOKUP(B210,'Q MPP'!A:L,7,FALSE)</f>
        <v>18567.8</v>
      </c>
      <c r="G210" s="177"/>
      <c r="H210" s="183">
        <f>VLOOKUP(B210,'Q MPP'!A:L,7,0)</f>
        <v>18567.8</v>
      </c>
      <c r="I210" s="184" t="str">
        <f t="shared" si="2"/>
        <v>PROXIMO</v>
      </c>
      <c r="J210" s="184" t="str">
        <f t="shared" si="3"/>
        <v>PASADO</v>
      </c>
      <c r="K210" s="184" t="str">
        <f>VLOOKUP(B210,'RECURSO ACTUAL'!A:C,3,0)</f>
        <v>TRK336</v>
      </c>
      <c r="L210" s="184" t="str">
        <f>VLOOKUP(B210,'RECURSO ACTUAL'!A:B,2,0)</f>
        <v>02-Medellin</v>
      </c>
    </row>
    <row r="211">
      <c r="A211" s="103"/>
      <c r="B211" s="180">
        <f>'RECURSO ACTUAL'!A212</f>
        <v>3048</v>
      </c>
      <c r="C211" s="181">
        <f>'RECURSO ACTUAL'!F212</f>
        <v>46280</v>
      </c>
      <c r="D211" s="182">
        <f>VLOOKUP(B211,'Q MPP'!A:L,8,0)</f>
        <v>46150</v>
      </c>
      <c r="E211" s="183">
        <f t="shared" si="1"/>
        <v>66</v>
      </c>
      <c r="F211" s="176">
        <f>VLOOKUP(B211,'Q MPP'!A:L,7,FALSE)</f>
        <v>3533.5</v>
      </c>
      <c r="G211" s="177"/>
      <c r="H211" s="183">
        <f>VLOOKUP(B211,'Q MPP'!A:L,7,0)</f>
        <v>3533.5</v>
      </c>
      <c r="I211" s="184" t="str">
        <f t="shared" si="2"/>
        <v>VIGENTE</v>
      </c>
      <c r="J211" s="184" t="str">
        <f t="shared" si="3"/>
        <v>VIGENTE</v>
      </c>
      <c r="K211" s="184" t="str">
        <f>VLOOKUP(B211,'RECURSO ACTUAL'!A:C,3,0)</f>
        <v>TRK337</v>
      </c>
      <c r="L211" s="184" t="str">
        <f>VLOOKUP(B211,'RECURSO ACTUAL'!A:B,2,0)</f>
        <v>02-Medellin</v>
      </c>
    </row>
    <row r="212">
      <c r="A212" s="103"/>
      <c r="B212" s="180">
        <f>'RECURSO ACTUAL'!A213</f>
        <v>3049</v>
      </c>
      <c r="C212" s="181">
        <f>'RECURSO ACTUAL'!F213</f>
        <v>46273</v>
      </c>
      <c r="D212" s="182">
        <f>VLOOKUP(B212,'Q MPP'!A:L,8,0)</f>
        <v>46157</v>
      </c>
      <c r="E212" s="183">
        <f t="shared" si="1"/>
        <v>59</v>
      </c>
      <c r="F212" s="176">
        <f>VLOOKUP(B212,'Q MPP'!A:L,7,FALSE)</f>
        <v>4130.3</v>
      </c>
      <c r="G212" s="177"/>
      <c r="H212" s="183">
        <f>VLOOKUP(B212,'Q MPP'!A:L,7,0)</f>
        <v>4130.3</v>
      </c>
      <c r="I212" s="184" t="str">
        <f t="shared" si="2"/>
        <v>VIGENTE</v>
      </c>
      <c r="J212" s="184" t="str">
        <f t="shared" si="3"/>
        <v>PROXIMO</v>
      </c>
      <c r="K212" s="184" t="str">
        <f>VLOOKUP(B212,'RECURSO ACTUAL'!A:C,3,0)</f>
        <v>TRK355</v>
      </c>
      <c r="L212" s="184" t="str">
        <f>VLOOKUP(B212,'RECURSO ACTUAL'!A:B,2,0)</f>
        <v>02-Medellin</v>
      </c>
    </row>
    <row r="213">
      <c r="A213" s="103"/>
      <c r="B213" s="180">
        <f>'RECURSO ACTUAL'!A214</f>
        <v>461</v>
      </c>
      <c r="C213" s="181">
        <f>'RECURSO ACTUAL'!F214</f>
        <v>46420</v>
      </c>
      <c r="D213" s="182">
        <f>VLOOKUP(B213,'Q MPP'!A:L,8,0)</f>
        <v>46126</v>
      </c>
      <c r="E213" s="183">
        <f t="shared" si="1"/>
        <v>90</v>
      </c>
      <c r="F213" s="176">
        <f>VLOOKUP(B213,'Q MPP'!A:L,7,FALSE)</f>
        <v>8013.7</v>
      </c>
      <c r="G213" s="177"/>
      <c r="H213" s="183">
        <f>VLOOKUP(B213,'Q MPP'!A:L,7,0)</f>
        <v>8013.7</v>
      </c>
      <c r="I213" s="184" t="str">
        <f t="shared" si="2"/>
        <v>PROXIMO</v>
      </c>
      <c r="J213" s="184" t="str">
        <f t="shared" si="3"/>
        <v>PASADO</v>
      </c>
      <c r="K213" s="184" t="str">
        <f>VLOOKUP(B213,'RECURSO ACTUAL'!A:C,3,0)</f>
        <v>TRG638</v>
      </c>
      <c r="L213" s="184" t="str">
        <f>VLOOKUP(B213,'RECURSO ACTUAL'!A:B,2,0)</f>
        <v>02-Medellin</v>
      </c>
    </row>
    <row r="214">
      <c r="A214" s="103"/>
      <c r="B214" s="180">
        <f>'RECURSO ACTUAL'!A215</f>
        <v>464</v>
      </c>
      <c r="C214" s="181">
        <f>'RECURSO ACTUAL'!F215</f>
        <v>46464</v>
      </c>
      <c r="D214" s="182">
        <f>VLOOKUP(B214,'Q MPP'!A:L,8,0)</f>
        <v>46070</v>
      </c>
      <c r="E214" s="183">
        <f t="shared" si="1"/>
        <v>146</v>
      </c>
      <c r="F214" s="176">
        <f>VLOOKUP(B214,'Q MPP'!A:L,7,FALSE)</f>
        <v>8507.3</v>
      </c>
      <c r="G214" s="177"/>
      <c r="H214" s="183">
        <f>VLOOKUP(B214,'Q MPP'!A:L,7,0)</f>
        <v>8507.3</v>
      </c>
      <c r="I214" s="184" t="str">
        <f t="shared" si="2"/>
        <v>PASADO</v>
      </c>
      <c r="J214" s="184" t="str">
        <f t="shared" si="3"/>
        <v>PASADO</v>
      </c>
      <c r="K214" s="184" t="str">
        <f>VLOOKUP(B214,'RECURSO ACTUAL'!A:C,3,0)</f>
        <v>TRG641</v>
      </c>
      <c r="L214" s="184" t="str">
        <f>VLOOKUP(B214,'RECURSO ACTUAL'!A:B,2,0)</f>
        <v>02-Medellin</v>
      </c>
    </row>
    <row r="215">
      <c r="A215" s="103"/>
      <c r="B215" s="180">
        <f>'RECURSO ACTUAL'!A216</f>
        <v>472</v>
      </c>
      <c r="C215" s="181">
        <f>'RECURSO ACTUAL'!F216</f>
        <v>46213</v>
      </c>
      <c r="D215" s="182">
        <f>VLOOKUP(B215,'Q MPP'!A:L,8,0)</f>
        <v>46157</v>
      </c>
      <c r="E215" s="183">
        <f t="shared" si="1"/>
        <v>59</v>
      </c>
      <c r="F215" s="176">
        <f>VLOOKUP(B215,'Q MPP'!A:L,7,FALSE)</f>
        <v>5692.9</v>
      </c>
      <c r="G215" s="177"/>
      <c r="H215" s="183">
        <f>VLOOKUP(B215,'Q MPP'!A:L,7,0)</f>
        <v>5692.9</v>
      </c>
      <c r="I215" s="184" t="str">
        <f t="shared" si="2"/>
        <v>VIGENTE</v>
      </c>
      <c r="J215" s="184" t="str">
        <f t="shared" si="3"/>
        <v>PASADO</v>
      </c>
      <c r="K215" s="184" t="str">
        <f>VLOOKUP(B215,'RECURSO ACTUAL'!A:C,3,0)</f>
        <v>TRH341</v>
      </c>
      <c r="L215" s="184" t="str">
        <f>VLOOKUP(B215,'RECURSO ACTUAL'!A:B,2,0)</f>
        <v>02-Medellin</v>
      </c>
    </row>
    <row r="216">
      <c r="A216" s="103"/>
      <c r="B216" s="180">
        <f>'RECURSO ACTUAL'!A217</f>
        <v>481</v>
      </c>
      <c r="C216" s="181">
        <f>'RECURSO ACTUAL'!F217</f>
        <v>46287</v>
      </c>
      <c r="D216" s="182">
        <f>VLOOKUP(B216,'Q MPP'!A:L,8,0)</f>
        <v>46156</v>
      </c>
      <c r="E216" s="183">
        <f t="shared" si="1"/>
        <v>60</v>
      </c>
      <c r="F216" s="176">
        <f>VLOOKUP(B216,'Q MPP'!A:L,7,FALSE)</f>
        <v>5912.6</v>
      </c>
      <c r="G216" s="177"/>
      <c r="H216" s="183">
        <f>VLOOKUP(B216,'Q MPP'!A:L,7,0)</f>
        <v>5912.6</v>
      </c>
      <c r="I216" s="184" t="str">
        <f t="shared" si="2"/>
        <v>VIGENTE</v>
      </c>
      <c r="J216" s="184" t="str">
        <f t="shared" si="3"/>
        <v>PASADO</v>
      </c>
      <c r="K216" s="184" t="str">
        <f>VLOOKUP(B216,'RECURSO ACTUAL'!A:C,3,0)</f>
        <v>TRH350</v>
      </c>
      <c r="L216" s="184" t="str">
        <f>VLOOKUP(B216,'RECURSO ACTUAL'!A:B,2,0)</f>
        <v>02-Medellin</v>
      </c>
    </row>
    <row r="217">
      <c r="A217" s="103"/>
      <c r="B217" s="180">
        <f>'RECURSO ACTUAL'!A218</f>
        <v>487</v>
      </c>
      <c r="C217" s="181">
        <f>'RECURSO ACTUAL'!F218</f>
        <v>46242</v>
      </c>
      <c r="D217" s="182">
        <f>VLOOKUP(B217,'Q MPP'!A:L,8,0)</f>
        <v>46079</v>
      </c>
      <c r="E217" s="183">
        <f t="shared" si="1"/>
        <v>137</v>
      </c>
      <c r="F217" s="176">
        <f>VLOOKUP(B217,'Q MPP'!A:L,7,FALSE)</f>
        <v>16561.8</v>
      </c>
      <c r="G217" s="177"/>
      <c r="H217" s="183">
        <f>VLOOKUP(B217,'Q MPP'!A:L,7,0)</f>
        <v>16561.8</v>
      </c>
      <c r="I217" s="184" t="str">
        <f t="shared" si="2"/>
        <v>PASADO</v>
      </c>
      <c r="J217" s="184" t="str">
        <f t="shared" si="3"/>
        <v>PASADO</v>
      </c>
      <c r="K217" s="184" t="str">
        <f>VLOOKUP(B217,'RECURSO ACTUAL'!A:C,3,0)</f>
        <v>TRH356</v>
      </c>
      <c r="L217" s="184" t="str">
        <f>VLOOKUP(B217,'RECURSO ACTUAL'!A:B,2,0)</f>
        <v>02-Medellin</v>
      </c>
    </row>
    <row r="218">
      <c r="A218" s="103"/>
      <c r="B218" s="180">
        <f>'RECURSO ACTUAL'!A219</f>
        <v>495</v>
      </c>
      <c r="C218" s="181">
        <f>'RECURSO ACTUAL'!F219</f>
        <v>46297</v>
      </c>
      <c r="D218" s="182">
        <f>VLOOKUP(B218,'Q MPP'!A:L,8,0)</f>
        <v>46070</v>
      </c>
      <c r="E218" s="183">
        <f t="shared" si="1"/>
        <v>146</v>
      </c>
      <c r="F218" s="176">
        <f>VLOOKUP(B218,'Q MPP'!A:L,7,FALSE)</f>
        <v>13102.4</v>
      </c>
      <c r="G218" s="177"/>
      <c r="H218" s="183">
        <f>VLOOKUP(B218,'Q MPP'!A:L,7,0)</f>
        <v>13102.4</v>
      </c>
      <c r="I218" s="184" t="str">
        <f t="shared" si="2"/>
        <v>PASADO</v>
      </c>
      <c r="J218" s="184" t="str">
        <f t="shared" si="3"/>
        <v>PASADO</v>
      </c>
      <c r="K218" s="184" t="str">
        <f>VLOOKUP(B218,'RECURSO ACTUAL'!A:C,3,0)</f>
        <v>TRH564</v>
      </c>
      <c r="L218" s="184" t="str">
        <f>VLOOKUP(B218,'RECURSO ACTUAL'!A:B,2,0)</f>
        <v>02-Medellin</v>
      </c>
    </row>
    <row r="219">
      <c r="A219" s="103"/>
      <c r="B219" s="180">
        <f>'RECURSO ACTUAL'!A220</f>
        <v>496</v>
      </c>
      <c r="C219" s="181">
        <f>'RECURSO ACTUAL'!F220</f>
        <v>46315</v>
      </c>
      <c r="D219" s="182">
        <f>VLOOKUP(B219,'Q MPP'!A:L,8,0)</f>
        <v>46070</v>
      </c>
      <c r="E219" s="183">
        <f t="shared" si="1"/>
        <v>146</v>
      </c>
      <c r="F219" s="176">
        <f>VLOOKUP(B219,'Q MPP'!A:L,7,FALSE)</f>
        <v>11059.2</v>
      </c>
      <c r="G219" s="177"/>
      <c r="H219" s="183">
        <f>VLOOKUP(B219,'Q MPP'!A:L,7,0)</f>
        <v>11059.2</v>
      </c>
      <c r="I219" s="184" t="str">
        <f t="shared" si="2"/>
        <v>PASADO</v>
      </c>
      <c r="J219" s="184" t="str">
        <f t="shared" si="3"/>
        <v>PASADO</v>
      </c>
      <c r="K219" s="184" t="str">
        <f>VLOOKUP(B219,'RECURSO ACTUAL'!A:C,3,0)</f>
        <v>TRH565</v>
      </c>
      <c r="L219" s="184" t="str">
        <f>VLOOKUP(B219,'RECURSO ACTUAL'!A:B,2,0)</f>
        <v>02-Medellin</v>
      </c>
    </row>
    <row r="220">
      <c r="A220" s="103"/>
      <c r="B220" s="180">
        <f>'RECURSO ACTUAL'!A221</f>
        <v>654</v>
      </c>
      <c r="C220" s="181">
        <f>'RECURSO ACTUAL'!F221</f>
        <v>46309</v>
      </c>
      <c r="D220" s="182">
        <f>VLOOKUP(B220,'Q MPP'!A:L,8,0)</f>
        <v>46150</v>
      </c>
      <c r="E220" s="183">
        <f t="shared" si="1"/>
        <v>66</v>
      </c>
      <c r="F220" s="176">
        <f>VLOOKUP(B220,'Q MPP'!A:L,7,FALSE)</f>
        <v>5421.1</v>
      </c>
      <c r="G220" s="177"/>
      <c r="H220" s="183">
        <f>VLOOKUP(B220,'Q MPP'!A:L,7,0)</f>
        <v>5421.1</v>
      </c>
      <c r="I220" s="184" t="str">
        <f t="shared" si="2"/>
        <v>VIGENTE</v>
      </c>
      <c r="J220" s="184" t="str">
        <f t="shared" si="3"/>
        <v>PASADO</v>
      </c>
      <c r="K220" s="184" t="str">
        <f>VLOOKUP(B220,'RECURSO ACTUAL'!A:C,3,0)</f>
        <v>TRI772</v>
      </c>
      <c r="L220" s="184" t="str">
        <f>VLOOKUP(B220,'RECURSO ACTUAL'!A:B,2,0)</f>
        <v>02-Medellin</v>
      </c>
    </row>
    <row r="221">
      <c r="A221" s="103"/>
      <c r="B221" s="180">
        <f>'RECURSO ACTUAL'!A222</f>
        <v>657</v>
      </c>
      <c r="C221" s="181">
        <f>'RECURSO ACTUAL'!F222</f>
        <v>46301</v>
      </c>
      <c r="D221" s="182">
        <f>VLOOKUP(B221,'Q MPP'!A:L,8,0)</f>
        <v>46069</v>
      </c>
      <c r="E221" s="183">
        <f t="shared" si="1"/>
        <v>147</v>
      </c>
      <c r="F221" s="176">
        <f>VLOOKUP(B221,'Q MPP'!A:L,7,FALSE)</f>
        <v>11182.7</v>
      </c>
      <c r="G221" s="177"/>
      <c r="H221" s="183">
        <f>VLOOKUP(B221,'Q MPP'!A:L,7,0)</f>
        <v>11182.7</v>
      </c>
      <c r="I221" s="184" t="str">
        <f t="shared" si="2"/>
        <v>PASADO</v>
      </c>
      <c r="J221" s="184" t="str">
        <f t="shared" si="3"/>
        <v>PASADO</v>
      </c>
      <c r="K221" s="184" t="str">
        <f>VLOOKUP(B221,'RECURSO ACTUAL'!A:C,3,0)</f>
        <v>TRI775</v>
      </c>
      <c r="L221" s="184" t="str">
        <f>VLOOKUP(B221,'RECURSO ACTUAL'!A:B,2,0)</f>
        <v>02-Medellin</v>
      </c>
    </row>
    <row r="222">
      <c r="A222" s="103"/>
      <c r="B222" s="180">
        <f>'RECURSO ACTUAL'!A223</f>
        <v>661</v>
      </c>
      <c r="C222" s="181">
        <f>'RECURSO ACTUAL'!F223</f>
        <v>46420</v>
      </c>
      <c r="D222" s="182">
        <f>VLOOKUP(B222,'Q MPP'!A:L,8,0)</f>
        <v>46070</v>
      </c>
      <c r="E222" s="183">
        <f t="shared" si="1"/>
        <v>146</v>
      </c>
      <c r="F222" s="176">
        <f>VLOOKUP(B222,'Q MPP'!A:L,7,FALSE)</f>
        <v>9567</v>
      </c>
      <c r="G222" s="177"/>
      <c r="H222" s="183">
        <f>VLOOKUP(B222,'Q MPP'!A:L,7,0)</f>
        <v>9567</v>
      </c>
      <c r="I222" s="184" t="str">
        <f t="shared" si="2"/>
        <v>PASADO</v>
      </c>
      <c r="J222" s="184" t="str">
        <f t="shared" si="3"/>
        <v>PASADO</v>
      </c>
      <c r="K222" s="184" t="str">
        <f>VLOOKUP(B222,'RECURSO ACTUAL'!A:C,3,0)</f>
        <v>TRI953</v>
      </c>
      <c r="L222" s="184" t="str">
        <f>VLOOKUP(B222,'RECURSO ACTUAL'!A:B,2,0)</f>
        <v>02-Medellin</v>
      </c>
    </row>
    <row r="223">
      <c r="A223" s="103"/>
      <c r="B223" s="180" t="str">
        <f>'RECURSO ACTUAL'!A224</f>
        <v/>
      </c>
      <c r="C223" s="180" t="str">
        <f>'RECURSO ACTUAL'!F224</f>
        <v/>
      </c>
      <c r="D223" s="182" t="str">
        <f>VLOOKUP(B223,'Q MPP'!A:L,8,0)</f>
        <v>#N/A</v>
      </c>
      <c r="E223" s="183" t="str">
        <f t="shared" si="1"/>
        <v>#N/A</v>
      </c>
      <c r="F223" s="176" t="str">
        <f>VLOOKUP(B223,'Q MPP'!A:L,7,FALSE)</f>
        <v>#N/A</v>
      </c>
      <c r="G223" s="177"/>
      <c r="H223" s="183" t="str">
        <f>VLOOKUP(B223,'Q MPP'!A:L,7,0)</f>
        <v>#N/A</v>
      </c>
      <c r="I223" s="184" t="str">
        <f t="shared" si="2"/>
        <v>#N/A</v>
      </c>
      <c r="J223" s="184" t="str">
        <f t="shared" si="3"/>
        <v>#N/A</v>
      </c>
      <c r="K223" s="184" t="str">
        <f>VLOOKUP(B223,'RECURSO ACTUAL'!A:C,3,0)</f>
        <v>#N/A</v>
      </c>
      <c r="L223" s="184" t="str">
        <f>VLOOKUP(B223,'RECURSO ACTUAL'!A:B,2,0)</f>
        <v>#N/A</v>
      </c>
    </row>
    <row r="224">
      <c r="A224" s="103"/>
      <c r="B224" s="180"/>
      <c r="C224" s="180"/>
      <c r="D224" s="182"/>
      <c r="E224" s="183"/>
      <c r="F224" s="176" t="str">
        <f>VLOOKUP(B224,'Q MPP'!A:L,7,FALSE)</f>
        <v>#N/A</v>
      </c>
      <c r="G224" s="177"/>
      <c r="H224" s="183"/>
      <c r="I224" s="184"/>
      <c r="J224" s="184"/>
      <c r="K224" s="184"/>
      <c r="L224" s="184"/>
    </row>
    <row r="225">
      <c r="A225" s="103"/>
      <c r="B225" s="180"/>
      <c r="C225" s="180"/>
      <c r="D225" s="182"/>
      <c r="E225" s="183"/>
      <c r="F225" s="176" t="str">
        <f>VLOOKUP(B225,'Q MPP'!A:L,7,FALSE)</f>
        <v>#N/A</v>
      </c>
      <c r="G225" s="177"/>
      <c r="H225" s="183"/>
      <c r="I225" s="184"/>
      <c r="J225" s="184"/>
      <c r="K225" s="184"/>
      <c r="L225" s="184"/>
    </row>
    <row r="226">
      <c r="A226" s="103"/>
      <c r="B226" s="180"/>
      <c r="C226" s="180"/>
      <c r="D226" s="182"/>
      <c r="E226" s="183"/>
      <c r="F226" s="176" t="str">
        <f>VLOOKUP(B226,'Q MPP'!A:L,7,FALSE)</f>
        <v>#N/A</v>
      </c>
      <c r="G226" s="177"/>
      <c r="H226" s="183"/>
      <c r="I226" s="184"/>
      <c r="J226" s="184"/>
      <c r="K226" s="184"/>
      <c r="L226" s="184"/>
    </row>
    <row r="227">
      <c r="A227" s="103"/>
      <c r="B227" s="180"/>
      <c r="C227" s="180"/>
      <c r="D227" s="182"/>
      <c r="E227" s="183"/>
      <c r="F227" s="176" t="str">
        <f>VLOOKUP(B227,'Q MPP'!A:L,7,FALSE)</f>
        <v>#N/A</v>
      </c>
      <c r="G227" s="177"/>
      <c r="H227" s="183"/>
      <c r="I227" s="184"/>
      <c r="J227" s="184"/>
      <c r="K227" s="184"/>
      <c r="L227" s="184"/>
    </row>
    <row r="228">
      <c r="A228" s="103"/>
      <c r="B228" s="180"/>
      <c r="C228" s="180"/>
      <c r="D228" s="182"/>
      <c r="E228" s="183"/>
      <c r="F228" s="176" t="str">
        <f>VLOOKUP(B228,'Q MPP'!A:L,7,FALSE)</f>
        <v>#N/A</v>
      </c>
      <c r="G228" s="177"/>
      <c r="H228" s="183"/>
      <c r="I228" s="184"/>
      <c r="J228" s="184"/>
      <c r="K228" s="184"/>
      <c r="L228" s="184"/>
    </row>
    <row r="229">
      <c r="A229" s="103"/>
      <c r="B229" s="180"/>
      <c r="C229" s="180"/>
      <c r="D229" s="182"/>
      <c r="E229" s="183"/>
      <c r="F229" s="176" t="str">
        <f>VLOOKUP(B229,'Q MPP'!A:L,7,FALSE)</f>
        <v>#N/A</v>
      </c>
      <c r="G229" s="177"/>
      <c r="H229" s="183"/>
      <c r="I229" s="184"/>
      <c r="J229" s="184"/>
      <c r="K229" s="184"/>
      <c r="L229" s="184"/>
    </row>
    <row r="230">
      <c r="A230" s="103"/>
      <c r="B230" s="180"/>
      <c r="C230" s="180"/>
      <c r="D230" s="182"/>
      <c r="E230" s="183"/>
      <c r="F230" s="176" t="str">
        <f>VLOOKUP(B230,'Q MPP'!A:L,7,FALSE)</f>
        <v>#N/A</v>
      </c>
      <c r="G230" s="177"/>
      <c r="H230" s="183"/>
      <c r="I230" s="184"/>
      <c r="J230" s="184"/>
      <c r="K230" s="184"/>
      <c r="L230" s="184"/>
    </row>
    <row r="231">
      <c r="A231" s="103"/>
      <c r="B231" s="180"/>
      <c r="C231" s="180"/>
      <c r="D231" s="182"/>
      <c r="E231" s="183"/>
      <c r="F231" s="176" t="str">
        <f>VLOOKUP(B231,'Q MPP'!A:L,7,FALSE)</f>
        <v>#N/A</v>
      </c>
      <c r="G231" s="177"/>
      <c r="H231" s="183"/>
      <c r="I231" s="184"/>
      <c r="J231" s="184"/>
      <c r="K231" s="184"/>
      <c r="L231" s="184"/>
    </row>
    <row r="232">
      <c r="A232" s="103"/>
      <c r="B232" s="180"/>
      <c r="C232" s="180"/>
      <c r="D232" s="182"/>
      <c r="E232" s="183"/>
      <c r="F232" s="176" t="str">
        <f>VLOOKUP(B232,'Q MPP'!A:L,7,FALSE)</f>
        <v>#N/A</v>
      </c>
      <c r="G232" s="177"/>
      <c r="H232" s="183"/>
      <c r="I232" s="184"/>
      <c r="J232" s="184"/>
      <c r="K232" s="184"/>
      <c r="L232" s="184"/>
    </row>
    <row r="233">
      <c r="A233" s="103"/>
      <c r="B233" s="180"/>
      <c r="C233" s="180"/>
      <c r="D233" s="182"/>
      <c r="E233" s="183"/>
      <c r="F233" s="176" t="str">
        <f>VLOOKUP(B233,'Q MPP'!A:L,7,FALSE)</f>
        <v>#N/A</v>
      </c>
      <c r="G233" s="177"/>
      <c r="H233" s="183"/>
      <c r="I233" s="184"/>
      <c r="J233" s="184"/>
      <c r="K233" s="184"/>
      <c r="L233" s="184"/>
    </row>
    <row r="234">
      <c r="A234" s="103"/>
      <c r="B234" s="180"/>
      <c r="C234" s="180"/>
      <c r="D234" s="182"/>
      <c r="E234" s="183"/>
      <c r="F234" s="176" t="str">
        <f>VLOOKUP(B234,'Q MPP'!A:L,7,FALSE)</f>
        <v>#N/A</v>
      </c>
      <c r="G234" s="177"/>
      <c r="H234" s="183"/>
      <c r="I234" s="184"/>
      <c r="J234" s="184"/>
      <c r="K234" s="184"/>
      <c r="L234" s="184"/>
    </row>
    <row r="235">
      <c r="A235" s="103"/>
      <c r="B235" s="103"/>
      <c r="C235" s="103"/>
      <c r="D235" s="106"/>
      <c r="E235" s="107"/>
      <c r="F235" s="188"/>
      <c r="G235" s="188"/>
      <c r="H235" s="107"/>
      <c r="I235" s="103"/>
      <c r="J235" s="103"/>
      <c r="K235" s="103"/>
      <c r="L235" s="103"/>
    </row>
    <row r="236">
      <c r="A236" s="103"/>
      <c r="B236" s="103"/>
      <c r="C236" s="103"/>
      <c r="D236" s="106"/>
      <c r="E236" s="107"/>
      <c r="F236" s="188"/>
      <c r="G236" s="188"/>
      <c r="H236" s="107"/>
      <c r="I236" s="103"/>
      <c r="J236" s="103"/>
      <c r="K236" s="103"/>
      <c r="L236" s="103"/>
    </row>
    <row r="237">
      <c r="A237" s="103"/>
      <c r="B237" s="103"/>
      <c r="C237" s="103"/>
      <c r="D237" s="106"/>
      <c r="E237" s="107"/>
      <c r="F237" s="188"/>
      <c r="G237" s="188"/>
      <c r="H237" s="107"/>
      <c r="I237" s="103"/>
      <c r="J237" s="103"/>
      <c r="K237" s="103"/>
      <c r="L237" s="103"/>
    </row>
    <row r="238">
      <c r="A238" s="103"/>
      <c r="B238" s="103"/>
      <c r="C238" s="103"/>
      <c r="D238" s="106"/>
      <c r="E238" s="107"/>
      <c r="F238" s="188"/>
      <c r="G238" s="188"/>
      <c r="H238" s="107"/>
      <c r="I238" s="103"/>
      <c r="J238" s="103"/>
      <c r="K238" s="103"/>
      <c r="L238" s="103"/>
    </row>
    <row r="239">
      <c r="A239" s="103"/>
      <c r="B239" s="103"/>
      <c r="C239" s="103"/>
      <c r="D239" s="106"/>
      <c r="E239" s="107"/>
      <c r="F239" s="188"/>
      <c r="G239" s="188"/>
      <c r="H239" s="107"/>
      <c r="I239" s="103"/>
      <c r="J239" s="103"/>
      <c r="K239" s="103"/>
      <c r="L239" s="103"/>
    </row>
    <row r="240">
      <c r="A240" s="103"/>
      <c r="B240" s="103"/>
      <c r="C240" s="103"/>
      <c r="D240" s="106"/>
      <c r="E240" s="107"/>
      <c r="F240" s="188"/>
      <c r="G240" s="188"/>
      <c r="H240" s="107"/>
      <c r="I240" s="103"/>
      <c r="J240" s="103"/>
      <c r="K240" s="103"/>
      <c r="L240" s="103"/>
    </row>
    <row r="241">
      <c r="A241" s="103"/>
      <c r="B241" s="103"/>
      <c r="C241" s="103"/>
      <c r="D241" s="106"/>
      <c r="E241" s="107"/>
      <c r="F241" s="188"/>
      <c r="G241" s="188"/>
      <c r="H241" s="107"/>
      <c r="I241" s="103"/>
      <c r="J241" s="103"/>
      <c r="K241" s="103"/>
      <c r="L241" s="103"/>
    </row>
    <row r="242">
      <c r="A242" s="103"/>
      <c r="B242" s="103"/>
      <c r="C242" s="103"/>
      <c r="D242" s="106"/>
      <c r="E242" s="107"/>
      <c r="F242" s="188"/>
      <c r="G242" s="188"/>
      <c r="H242" s="107"/>
      <c r="I242" s="103"/>
      <c r="J242" s="103"/>
      <c r="K242" s="103"/>
      <c r="L242" s="103"/>
    </row>
    <row r="243">
      <c r="A243" s="103"/>
      <c r="B243" s="103"/>
      <c r="C243" s="103"/>
      <c r="D243" s="106"/>
      <c r="E243" s="107"/>
      <c r="F243" s="188"/>
      <c r="G243" s="188"/>
      <c r="H243" s="107"/>
      <c r="I243" s="103"/>
      <c r="J243" s="103"/>
      <c r="K243" s="103"/>
      <c r="L243" s="103"/>
    </row>
    <row r="244">
      <c r="A244" s="103"/>
      <c r="B244" s="103"/>
      <c r="C244" s="103"/>
      <c r="D244" s="106"/>
      <c r="E244" s="107"/>
      <c r="F244" s="188"/>
      <c r="G244" s="188"/>
      <c r="H244" s="107"/>
      <c r="I244" s="103"/>
      <c r="J244" s="103"/>
      <c r="K244" s="103"/>
      <c r="L244" s="103"/>
    </row>
    <row r="245">
      <c r="A245" s="103"/>
      <c r="B245" s="103"/>
      <c r="C245" s="103"/>
      <c r="D245" s="106"/>
      <c r="E245" s="107"/>
      <c r="F245" s="188"/>
      <c r="G245" s="188"/>
      <c r="H245" s="107"/>
      <c r="I245" s="103"/>
      <c r="J245" s="103"/>
      <c r="K245" s="103"/>
      <c r="L245" s="103"/>
    </row>
    <row r="246">
      <c r="A246" s="103"/>
      <c r="B246" s="103"/>
      <c r="C246" s="103"/>
      <c r="D246" s="106"/>
      <c r="E246" s="107"/>
      <c r="F246" s="188"/>
      <c r="G246" s="188"/>
      <c r="H246" s="107"/>
      <c r="I246" s="103"/>
      <c r="J246" s="103"/>
      <c r="K246" s="103"/>
      <c r="L246" s="103"/>
    </row>
    <row r="247">
      <c r="A247" s="103"/>
      <c r="B247" s="103"/>
      <c r="C247" s="103"/>
      <c r="D247" s="106"/>
      <c r="E247" s="107"/>
      <c r="F247" s="188"/>
      <c r="G247" s="188"/>
      <c r="H247" s="107"/>
      <c r="I247" s="103"/>
      <c r="J247" s="103"/>
      <c r="K247" s="103"/>
      <c r="L247" s="103"/>
    </row>
    <row r="248">
      <c r="A248" s="103"/>
      <c r="B248" s="103"/>
      <c r="C248" s="103"/>
      <c r="D248" s="106"/>
      <c r="E248" s="107"/>
      <c r="F248" s="188"/>
      <c r="G248" s="188"/>
      <c r="H248" s="107"/>
      <c r="I248" s="103"/>
      <c r="J248" s="103"/>
      <c r="K248" s="103"/>
      <c r="L248" s="103"/>
    </row>
    <row r="249">
      <c r="A249" s="103"/>
      <c r="B249" s="103"/>
      <c r="C249" s="103"/>
      <c r="D249" s="106"/>
      <c r="E249" s="107"/>
      <c r="F249" s="188"/>
      <c r="G249" s="188"/>
      <c r="H249" s="107"/>
      <c r="I249" s="103"/>
      <c r="J249" s="103"/>
      <c r="K249" s="103"/>
      <c r="L249" s="103"/>
    </row>
    <row r="250">
      <c r="A250" s="103"/>
      <c r="B250" s="103"/>
      <c r="C250" s="103"/>
      <c r="D250" s="106"/>
      <c r="E250" s="107"/>
      <c r="F250" s="188"/>
      <c r="G250" s="188"/>
      <c r="H250" s="107"/>
      <c r="I250" s="103"/>
      <c r="J250" s="103"/>
      <c r="K250" s="103"/>
      <c r="L250" s="103"/>
    </row>
    <row r="251">
      <c r="A251" s="103"/>
      <c r="B251" s="103"/>
      <c r="C251" s="103"/>
      <c r="D251" s="106"/>
      <c r="E251" s="107"/>
      <c r="F251" s="188"/>
      <c r="G251" s="188"/>
      <c r="H251" s="107"/>
      <c r="I251" s="103"/>
      <c r="J251" s="103"/>
      <c r="K251" s="103"/>
      <c r="L251" s="103"/>
    </row>
    <row r="252">
      <c r="A252" s="103"/>
      <c r="B252" s="103"/>
      <c r="C252" s="103"/>
      <c r="D252" s="106"/>
      <c r="E252" s="107"/>
      <c r="F252" s="188"/>
      <c r="G252" s="188"/>
      <c r="H252" s="107"/>
      <c r="I252" s="103"/>
      <c r="J252" s="103"/>
      <c r="K252" s="103"/>
      <c r="L252" s="103"/>
    </row>
    <row r="253">
      <c r="A253" s="103"/>
      <c r="B253" s="103"/>
      <c r="C253" s="103"/>
      <c r="D253" s="106"/>
      <c r="E253" s="107"/>
      <c r="F253" s="188"/>
      <c r="G253" s="188"/>
      <c r="H253" s="107"/>
      <c r="I253" s="103"/>
      <c r="J253" s="103"/>
      <c r="K253" s="103"/>
      <c r="L253" s="103"/>
    </row>
    <row r="254">
      <c r="A254" s="103"/>
      <c r="B254" s="103"/>
      <c r="C254" s="103"/>
      <c r="D254" s="106"/>
      <c r="E254" s="107"/>
      <c r="F254" s="188"/>
      <c r="G254" s="188"/>
      <c r="H254" s="107"/>
      <c r="I254" s="103"/>
      <c r="J254" s="103"/>
      <c r="K254" s="103"/>
      <c r="L254" s="103"/>
    </row>
    <row r="255">
      <c r="A255" s="103"/>
      <c r="B255" s="103"/>
      <c r="C255" s="103"/>
      <c r="D255" s="106"/>
      <c r="E255" s="107"/>
      <c r="F255" s="188"/>
      <c r="G255" s="188"/>
      <c r="H255" s="107"/>
      <c r="I255" s="103"/>
      <c r="J255" s="103"/>
      <c r="K255" s="103"/>
      <c r="L255" s="103"/>
    </row>
    <row r="256">
      <c r="A256" s="103"/>
      <c r="B256" s="103"/>
      <c r="C256" s="103"/>
      <c r="D256" s="106"/>
      <c r="E256" s="107"/>
      <c r="F256" s="188"/>
      <c r="G256" s="188"/>
      <c r="H256" s="107"/>
      <c r="I256" s="103"/>
      <c r="J256" s="103"/>
      <c r="K256" s="103"/>
      <c r="L256" s="103"/>
    </row>
    <row r="257">
      <c r="A257" s="103"/>
      <c r="B257" s="103"/>
      <c r="C257" s="103"/>
      <c r="D257" s="106"/>
      <c r="E257" s="107"/>
      <c r="F257" s="188"/>
      <c r="G257" s="188"/>
      <c r="H257" s="107"/>
      <c r="I257" s="103"/>
      <c r="J257" s="103"/>
      <c r="K257" s="103"/>
      <c r="L257" s="103"/>
    </row>
    <row r="258">
      <c r="A258" s="103"/>
      <c r="B258" s="103"/>
      <c r="C258" s="103"/>
      <c r="D258" s="106"/>
      <c r="E258" s="107"/>
      <c r="F258" s="188"/>
      <c r="G258" s="188"/>
      <c r="H258" s="107"/>
      <c r="I258" s="103"/>
      <c r="J258" s="103"/>
      <c r="K258" s="103"/>
      <c r="L258" s="103"/>
    </row>
    <row r="259">
      <c r="A259" s="103"/>
      <c r="B259" s="103"/>
      <c r="C259" s="103"/>
      <c r="D259" s="106"/>
      <c r="E259" s="107"/>
      <c r="F259" s="188"/>
      <c r="G259" s="188"/>
      <c r="H259" s="107"/>
      <c r="I259" s="103"/>
      <c r="J259" s="103"/>
      <c r="K259" s="103"/>
      <c r="L259" s="103"/>
    </row>
    <row r="260">
      <c r="A260" s="103"/>
      <c r="B260" s="103"/>
      <c r="C260" s="103"/>
      <c r="D260" s="106"/>
      <c r="E260" s="107"/>
      <c r="F260" s="188"/>
      <c r="G260" s="188"/>
      <c r="H260" s="107"/>
      <c r="I260" s="103"/>
      <c r="J260" s="103"/>
      <c r="K260" s="103"/>
      <c r="L260" s="103"/>
    </row>
    <row r="261">
      <c r="A261" s="103"/>
      <c r="B261" s="103"/>
      <c r="C261" s="103"/>
      <c r="D261" s="106"/>
      <c r="E261" s="107"/>
      <c r="F261" s="188"/>
      <c r="G261" s="188"/>
      <c r="H261" s="107"/>
      <c r="I261" s="103"/>
      <c r="J261" s="103"/>
      <c r="K261" s="103"/>
      <c r="L261" s="103"/>
    </row>
    <row r="262">
      <c r="A262" s="103"/>
      <c r="B262" s="103"/>
      <c r="C262" s="103"/>
      <c r="D262" s="106"/>
      <c r="E262" s="107"/>
      <c r="F262" s="188"/>
      <c r="G262" s="188"/>
      <c r="H262" s="107"/>
      <c r="I262" s="103"/>
      <c r="J262" s="103"/>
      <c r="K262" s="103"/>
      <c r="L262" s="103"/>
    </row>
    <row r="263">
      <c r="A263" s="103"/>
      <c r="B263" s="103"/>
      <c r="C263" s="103"/>
      <c r="D263" s="106"/>
      <c r="E263" s="107"/>
      <c r="F263" s="188"/>
      <c r="G263" s="188"/>
      <c r="H263" s="107"/>
      <c r="I263" s="103"/>
      <c r="J263" s="103"/>
      <c r="K263" s="103"/>
      <c r="L263" s="103"/>
    </row>
    <row r="264">
      <c r="A264" s="103"/>
      <c r="B264" s="103"/>
      <c r="C264" s="103"/>
      <c r="D264" s="106"/>
      <c r="E264" s="107"/>
      <c r="F264" s="188"/>
      <c r="G264" s="188"/>
      <c r="H264" s="107"/>
      <c r="I264" s="103"/>
      <c r="J264" s="103"/>
      <c r="K264" s="103"/>
      <c r="L264" s="103"/>
    </row>
    <row r="265">
      <c r="A265" s="103"/>
      <c r="B265" s="103"/>
      <c r="C265" s="103"/>
      <c r="D265" s="106"/>
      <c r="E265" s="107"/>
      <c r="F265" s="188"/>
      <c r="G265" s="188"/>
      <c r="H265" s="107"/>
      <c r="I265" s="103"/>
      <c r="J265" s="103"/>
      <c r="K265" s="103"/>
      <c r="L265" s="103"/>
    </row>
    <row r="266">
      <c r="A266" s="103"/>
      <c r="B266" s="103"/>
      <c r="C266" s="103"/>
      <c r="D266" s="106"/>
      <c r="E266" s="107"/>
      <c r="F266" s="188"/>
      <c r="G266" s="188"/>
      <c r="H266" s="107"/>
      <c r="I266" s="103"/>
      <c r="J266" s="103"/>
      <c r="K266" s="103"/>
      <c r="L266" s="103"/>
    </row>
    <row r="267">
      <c r="A267" s="103"/>
      <c r="B267" s="103"/>
      <c r="C267" s="103"/>
      <c r="D267" s="106"/>
      <c r="E267" s="107"/>
      <c r="F267" s="188"/>
      <c r="G267" s="188"/>
      <c r="H267" s="107"/>
      <c r="I267" s="103"/>
      <c r="J267" s="103"/>
      <c r="K267" s="103"/>
      <c r="L267" s="103"/>
    </row>
    <row r="268">
      <c r="A268" s="103"/>
      <c r="B268" s="103"/>
      <c r="C268" s="103"/>
      <c r="D268" s="106"/>
      <c r="E268" s="107"/>
      <c r="F268" s="188"/>
      <c r="G268" s="188"/>
      <c r="H268" s="107"/>
      <c r="I268" s="103"/>
      <c r="J268" s="103"/>
      <c r="K268" s="103"/>
      <c r="L268" s="103"/>
    </row>
    <row r="269">
      <c r="A269" s="103"/>
      <c r="B269" s="103"/>
      <c r="C269" s="103"/>
      <c r="D269" s="106"/>
      <c r="E269" s="107"/>
      <c r="F269" s="188"/>
      <c r="G269" s="188"/>
      <c r="H269" s="107"/>
      <c r="I269" s="103"/>
      <c r="J269" s="103"/>
      <c r="K269" s="103"/>
      <c r="L269" s="103"/>
    </row>
    <row r="270">
      <c r="A270" s="103"/>
      <c r="B270" s="103"/>
      <c r="C270" s="103"/>
      <c r="D270" s="106"/>
      <c r="E270" s="107"/>
      <c r="F270" s="188"/>
      <c r="G270" s="188"/>
      <c r="H270" s="107"/>
      <c r="I270" s="103"/>
      <c r="J270" s="103"/>
      <c r="K270" s="103"/>
      <c r="L270" s="103"/>
    </row>
    <row r="271">
      <c r="A271" s="103"/>
      <c r="B271" s="103"/>
      <c r="C271" s="103"/>
      <c r="D271" s="106"/>
      <c r="E271" s="107"/>
      <c r="F271" s="188"/>
      <c r="G271" s="188"/>
      <c r="H271" s="107"/>
      <c r="I271" s="103"/>
      <c r="J271" s="103"/>
      <c r="K271" s="103"/>
      <c r="L271" s="103"/>
    </row>
    <row r="272">
      <c r="A272" s="103"/>
      <c r="B272" s="103"/>
      <c r="C272" s="103"/>
      <c r="D272" s="106"/>
      <c r="E272" s="107"/>
      <c r="F272" s="188"/>
      <c r="G272" s="188"/>
      <c r="H272" s="107"/>
      <c r="I272" s="103"/>
      <c r="J272" s="103"/>
      <c r="K272" s="103"/>
      <c r="L272" s="103"/>
    </row>
    <row r="273">
      <c r="A273" s="103"/>
      <c r="B273" s="103"/>
      <c r="C273" s="103"/>
      <c r="D273" s="106"/>
      <c r="E273" s="107"/>
      <c r="F273" s="188"/>
      <c r="G273" s="188"/>
      <c r="H273" s="107"/>
      <c r="I273" s="103"/>
      <c r="J273" s="103"/>
      <c r="K273" s="103"/>
      <c r="L273" s="103"/>
    </row>
    <row r="274">
      <c r="A274" s="103"/>
      <c r="B274" s="103"/>
      <c r="C274" s="103"/>
      <c r="D274" s="106"/>
      <c r="E274" s="107"/>
      <c r="F274" s="188"/>
      <c r="G274" s="188"/>
      <c r="H274" s="107"/>
      <c r="I274" s="103"/>
      <c r="J274" s="103"/>
      <c r="K274" s="103"/>
      <c r="L274" s="103"/>
    </row>
    <row r="275">
      <c r="A275" s="103"/>
      <c r="B275" s="103"/>
      <c r="C275" s="103"/>
      <c r="D275" s="106"/>
      <c r="E275" s="107"/>
      <c r="F275" s="188"/>
      <c r="G275" s="188"/>
      <c r="H275" s="107"/>
      <c r="I275" s="103"/>
      <c r="J275" s="103"/>
      <c r="K275" s="103"/>
      <c r="L275" s="103"/>
    </row>
    <row r="276">
      <c r="A276" s="103"/>
      <c r="B276" s="103"/>
      <c r="C276" s="103"/>
      <c r="D276" s="106"/>
      <c r="E276" s="107"/>
      <c r="F276" s="188"/>
      <c r="G276" s="188"/>
      <c r="H276" s="107"/>
      <c r="I276" s="103"/>
      <c r="J276" s="103"/>
      <c r="K276" s="103"/>
      <c r="L276" s="103"/>
    </row>
    <row r="277">
      <c r="A277" s="103"/>
      <c r="B277" s="103"/>
      <c r="C277" s="103"/>
      <c r="D277" s="106"/>
      <c r="E277" s="107"/>
      <c r="F277" s="188"/>
      <c r="G277" s="188"/>
      <c r="H277" s="107"/>
      <c r="I277" s="103"/>
      <c r="J277" s="103"/>
      <c r="K277" s="103"/>
      <c r="L277" s="103"/>
    </row>
    <row r="278">
      <c r="A278" s="103"/>
      <c r="B278" s="103"/>
      <c r="C278" s="103"/>
      <c r="D278" s="106"/>
      <c r="E278" s="107"/>
      <c r="F278" s="188"/>
      <c r="G278" s="188"/>
      <c r="H278" s="107"/>
      <c r="I278" s="103"/>
      <c r="J278" s="103"/>
      <c r="K278" s="103"/>
      <c r="L278" s="103"/>
    </row>
    <row r="279">
      <c r="A279" s="103"/>
      <c r="B279" s="103"/>
      <c r="C279" s="103"/>
      <c r="D279" s="106"/>
      <c r="E279" s="107"/>
      <c r="F279" s="188"/>
      <c r="G279" s="188"/>
      <c r="H279" s="107"/>
      <c r="I279" s="103"/>
      <c r="J279" s="103"/>
      <c r="K279" s="103"/>
      <c r="L279" s="103"/>
    </row>
    <row r="280">
      <c r="A280" s="103"/>
      <c r="B280" s="103"/>
      <c r="C280" s="103"/>
      <c r="D280" s="106"/>
      <c r="E280" s="107"/>
      <c r="F280" s="188"/>
      <c r="G280" s="188"/>
      <c r="H280" s="107"/>
      <c r="I280" s="103"/>
      <c r="J280" s="103"/>
      <c r="K280" s="103"/>
      <c r="L280" s="103"/>
    </row>
    <row r="281">
      <c r="A281" s="103"/>
      <c r="B281" s="103"/>
      <c r="C281" s="103"/>
      <c r="D281" s="106"/>
      <c r="E281" s="107"/>
      <c r="F281" s="188"/>
      <c r="G281" s="188"/>
      <c r="H281" s="107"/>
      <c r="I281" s="103"/>
      <c r="J281" s="103"/>
      <c r="K281" s="103"/>
      <c r="L281" s="103"/>
    </row>
    <row r="282">
      <c r="A282" s="103"/>
      <c r="B282" s="103"/>
      <c r="C282" s="103"/>
      <c r="D282" s="106"/>
      <c r="E282" s="107"/>
      <c r="F282" s="188"/>
      <c r="G282" s="188"/>
      <c r="H282" s="107"/>
      <c r="I282" s="103"/>
      <c r="J282" s="103"/>
      <c r="K282" s="103"/>
      <c r="L282" s="103"/>
    </row>
    <row r="283">
      <c r="A283" s="103"/>
      <c r="B283" s="103"/>
      <c r="C283" s="103"/>
      <c r="D283" s="106"/>
      <c r="E283" s="107"/>
      <c r="F283" s="188"/>
      <c r="G283" s="188"/>
      <c r="H283" s="107"/>
      <c r="I283" s="103"/>
      <c r="J283" s="103"/>
      <c r="K283" s="103"/>
      <c r="L283" s="103"/>
    </row>
    <row r="284">
      <c r="A284" s="103"/>
      <c r="B284" s="103"/>
      <c r="C284" s="103"/>
      <c r="D284" s="106"/>
      <c r="E284" s="107"/>
      <c r="F284" s="188"/>
      <c r="G284" s="188"/>
      <c r="H284" s="107"/>
      <c r="I284" s="103"/>
      <c r="J284" s="103"/>
      <c r="K284" s="103"/>
      <c r="L284" s="103"/>
    </row>
    <row r="285">
      <c r="A285" s="103"/>
      <c r="B285" s="103"/>
      <c r="C285" s="103"/>
      <c r="D285" s="106"/>
      <c r="E285" s="107"/>
      <c r="F285" s="188"/>
      <c r="G285" s="188"/>
      <c r="H285" s="107"/>
      <c r="I285" s="103"/>
      <c r="J285" s="103"/>
      <c r="K285" s="103"/>
      <c r="L285" s="103"/>
    </row>
    <row r="286">
      <c r="A286" s="103"/>
      <c r="B286" s="103"/>
      <c r="C286" s="103"/>
      <c r="D286" s="106"/>
      <c r="E286" s="107"/>
      <c r="F286" s="188"/>
      <c r="G286" s="188"/>
      <c r="H286" s="107"/>
      <c r="I286" s="103"/>
      <c r="J286" s="103"/>
      <c r="K286" s="103"/>
      <c r="L286" s="103"/>
    </row>
    <row r="287">
      <c r="A287" s="103"/>
      <c r="B287" s="103"/>
      <c r="C287" s="103"/>
      <c r="D287" s="106"/>
      <c r="E287" s="107"/>
      <c r="F287" s="188"/>
      <c r="G287" s="188"/>
      <c r="H287" s="107"/>
      <c r="I287" s="103"/>
      <c r="J287" s="103"/>
      <c r="K287" s="103"/>
      <c r="L287" s="103"/>
    </row>
    <row r="288">
      <c r="A288" s="103"/>
      <c r="B288" s="103"/>
      <c r="C288" s="103"/>
      <c r="D288" s="106"/>
      <c r="E288" s="107"/>
      <c r="F288" s="188"/>
      <c r="G288" s="188"/>
      <c r="H288" s="107"/>
      <c r="I288" s="103"/>
      <c r="J288" s="103"/>
      <c r="K288" s="103"/>
      <c r="L288" s="103"/>
    </row>
    <row r="289">
      <c r="A289" s="103"/>
      <c r="B289" s="103"/>
      <c r="C289" s="103"/>
      <c r="D289" s="106"/>
      <c r="E289" s="107"/>
      <c r="F289" s="188"/>
      <c r="G289" s="188"/>
      <c r="H289" s="107"/>
      <c r="I289" s="103"/>
      <c r="J289" s="103"/>
      <c r="K289" s="103"/>
      <c r="L289" s="103"/>
    </row>
    <row r="290">
      <c r="A290" s="103"/>
      <c r="B290" s="103"/>
      <c r="C290" s="103"/>
      <c r="D290" s="106"/>
      <c r="E290" s="107"/>
      <c r="F290" s="188"/>
      <c r="G290" s="188"/>
      <c r="H290" s="107"/>
      <c r="I290" s="103"/>
      <c r="J290" s="103"/>
      <c r="K290" s="103"/>
      <c r="L290" s="103"/>
    </row>
    <row r="291">
      <c r="A291" s="103"/>
      <c r="B291" s="103"/>
      <c r="C291" s="103"/>
      <c r="D291" s="106"/>
      <c r="E291" s="107"/>
      <c r="F291" s="188"/>
      <c r="G291" s="188"/>
      <c r="H291" s="107"/>
      <c r="I291" s="103"/>
      <c r="J291" s="103"/>
      <c r="K291" s="103"/>
      <c r="L291" s="103"/>
    </row>
    <row r="292">
      <c r="A292" s="103"/>
      <c r="B292" s="103"/>
      <c r="C292" s="103"/>
      <c r="D292" s="106"/>
      <c r="E292" s="107"/>
      <c r="F292" s="188"/>
      <c r="G292" s="188"/>
      <c r="H292" s="107"/>
      <c r="I292" s="103"/>
      <c r="J292" s="103"/>
      <c r="K292" s="103"/>
      <c r="L292" s="103"/>
    </row>
    <row r="293">
      <c r="A293" s="103"/>
      <c r="B293" s="103"/>
      <c r="C293" s="103"/>
      <c r="D293" s="106"/>
      <c r="E293" s="107"/>
      <c r="F293" s="188"/>
      <c r="G293" s="188"/>
      <c r="H293" s="107"/>
      <c r="I293" s="103"/>
      <c r="J293" s="103"/>
      <c r="K293" s="103"/>
      <c r="L293" s="103"/>
    </row>
    <row r="294">
      <c r="A294" s="103"/>
      <c r="B294" s="103"/>
      <c r="C294" s="103"/>
      <c r="D294" s="106"/>
      <c r="E294" s="107"/>
      <c r="F294" s="188"/>
      <c r="G294" s="188"/>
      <c r="H294" s="107"/>
      <c r="I294" s="103"/>
      <c r="J294" s="103"/>
      <c r="K294" s="103"/>
      <c r="L294" s="103"/>
    </row>
    <row r="295">
      <c r="A295" s="103"/>
      <c r="B295" s="103"/>
      <c r="C295" s="103"/>
      <c r="D295" s="106"/>
      <c r="E295" s="107"/>
      <c r="F295" s="188"/>
      <c r="G295" s="188"/>
      <c r="H295" s="107"/>
      <c r="I295" s="103"/>
      <c r="J295" s="103"/>
      <c r="K295" s="103"/>
      <c r="L295" s="103"/>
    </row>
    <row r="296">
      <c r="A296" s="103"/>
      <c r="B296" s="103"/>
      <c r="C296" s="103"/>
      <c r="D296" s="106"/>
      <c r="E296" s="107"/>
      <c r="F296" s="188"/>
      <c r="G296" s="188"/>
      <c r="H296" s="107"/>
      <c r="I296" s="103"/>
      <c r="J296" s="103"/>
      <c r="K296" s="103"/>
      <c r="L296" s="103"/>
    </row>
    <row r="297">
      <c r="A297" s="103"/>
      <c r="B297" s="103"/>
      <c r="C297" s="103"/>
      <c r="D297" s="106"/>
      <c r="E297" s="107"/>
      <c r="F297" s="188"/>
      <c r="G297" s="188"/>
      <c r="H297" s="107"/>
      <c r="I297" s="103"/>
      <c r="J297" s="103"/>
      <c r="K297" s="103"/>
      <c r="L297" s="103"/>
    </row>
    <row r="298">
      <c r="A298" s="103"/>
      <c r="B298" s="103"/>
      <c r="C298" s="103"/>
      <c r="D298" s="106"/>
      <c r="E298" s="107"/>
      <c r="F298" s="188"/>
      <c r="G298" s="188"/>
      <c r="H298" s="107"/>
      <c r="I298" s="103"/>
      <c r="J298" s="103"/>
      <c r="K298" s="103"/>
      <c r="L298" s="103"/>
    </row>
    <row r="299">
      <c r="A299" s="103"/>
      <c r="B299" s="103"/>
      <c r="C299" s="103"/>
      <c r="D299" s="106"/>
      <c r="E299" s="107"/>
      <c r="F299" s="188"/>
      <c r="G299" s="188"/>
      <c r="H299" s="107"/>
      <c r="I299" s="103"/>
      <c r="J299" s="103"/>
      <c r="K299" s="103"/>
      <c r="L299" s="103"/>
    </row>
    <row r="300">
      <c r="A300" s="103"/>
      <c r="B300" s="103"/>
      <c r="C300" s="103"/>
      <c r="D300" s="106"/>
      <c r="E300" s="107"/>
      <c r="F300" s="188"/>
      <c r="G300" s="188"/>
      <c r="H300" s="107"/>
      <c r="I300" s="103"/>
      <c r="J300" s="103"/>
      <c r="K300" s="103"/>
      <c r="L300" s="103"/>
    </row>
    <row r="301">
      <c r="A301" s="103"/>
      <c r="B301" s="103"/>
      <c r="C301" s="103"/>
      <c r="D301" s="106"/>
      <c r="E301" s="107"/>
      <c r="F301" s="188"/>
      <c r="G301" s="188"/>
      <c r="H301" s="107"/>
      <c r="I301" s="103"/>
      <c r="J301" s="103"/>
      <c r="K301" s="103"/>
      <c r="L301" s="103"/>
    </row>
    <row r="302">
      <c r="A302" s="103"/>
      <c r="B302" s="103"/>
      <c r="C302" s="103"/>
      <c r="D302" s="106"/>
      <c r="E302" s="107"/>
      <c r="F302" s="188"/>
      <c r="G302" s="188"/>
      <c r="H302" s="107"/>
      <c r="I302" s="103"/>
      <c r="J302" s="103"/>
      <c r="K302" s="103"/>
      <c r="L302" s="103"/>
    </row>
    <row r="303">
      <c r="A303" s="103"/>
      <c r="B303" s="103"/>
      <c r="C303" s="103"/>
      <c r="D303" s="106"/>
      <c r="E303" s="107"/>
      <c r="F303" s="188"/>
      <c r="G303" s="188"/>
      <c r="H303" s="107"/>
      <c r="I303" s="103"/>
      <c r="J303" s="103"/>
      <c r="K303" s="103"/>
      <c r="L303" s="103"/>
    </row>
    <row r="304">
      <c r="A304" s="103"/>
      <c r="B304" s="103"/>
      <c r="C304" s="103"/>
      <c r="D304" s="106"/>
      <c r="E304" s="107"/>
      <c r="F304" s="188"/>
      <c r="G304" s="188"/>
      <c r="H304" s="107"/>
      <c r="I304" s="103"/>
      <c r="J304" s="103"/>
      <c r="K304" s="103"/>
      <c r="L304" s="103"/>
    </row>
    <row r="305">
      <c r="A305" s="103"/>
      <c r="B305" s="103"/>
      <c r="C305" s="103"/>
      <c r="D305" s="106"/>
      <c r="E305" s="107"/>
      <c r="F305" s="188"/>
      <c r="G305" s="188"/>
      <c r="H305" s="107"/>
      <c r="I305" s="103"/>
      <c r="J305" s="103"/>
      <c r="K305" s="103"/>
      <c r="L305" s="103"/>
    </row>
    <row r="306">
      <c r="A306" s="103"/>
      <c r="B306" s="103"/>
      <c r="C306" s="103"/>
      <c r="D306" s="106"/>
      <c r="E306" s="107"/>
      <c r="F306" s="188"/>
      <c r="G306" s="188"/>
      <c r="H306" s="107"/>
      <c r="I306" s="103"/>
      <c r="J306" s="103"/>
      <c r="K306" s="103"/>
      <c r="L306" s="103"/>
    </row>
    <row r="307">
      <c r="A307" s="103"/>
      <c r="B307" s="103"/>
      <c r="C307" s="103"/>
      <c r="D307" s="106"/>
      <c r="E307" s="107"/>
      <c r="F307" s="188"/>
      <c r="G307" s="188"/>
      <c r="H307" s="107"/>
      <c r="I307" s="103"/>
      <c r="J307" s="103"/>
      <c r="K307" s="103"/>
      <c r="L307" s="103"/>
    </row>
    <row r="308">
      <c r="A308" s="103"/>
      <c r="B308" s="103"/>
      <c r="C308" s="103"/>
      <c r="D308" s="106"/>
      <c r="E308" s="107"/>
      <c r="F308" s="188"/>
      <c r="G308" s="188"/>
      <c r="H308" s="107"/>
      <c r="I308" s="103"/>
      <c r="J308" s="103"/>
      <c r="K308" s="103"/>
      <c r="L308" s="103"/>
    </row>
    <row r="309">
      <c r="A309" s="103"/>
      <c r="B309" s="103"/>
      <c r="C309" s="103"/>
      <c r="D309" s="106"/>
      <c r="E309" s="107"/>
      <c r="F309" s="188"/>
      <c r="G309" s="188"/>
      <c r="H309" s="107"/>
      <c r="I309" s="103"/>
      <c r="J309" s="103"/>
      <c r="K309" s="103"/>
      <c r="L309" s="103"/>
    </row>
    <row r="310">
      <c r="A310" s="103"/>
      <c r="B310" s="103"/>
      <c r="C310" s="103"/>
      <c r="D310" s="106"/>
      <c r="E310" s="107"/>
      <c r="F310" s="188"/>
      <c r="G310" s="188"/>
      <c r="H310" s="107"/>
      <c r="I310" s="103"/>
      <c r="J310" s="103"/>
      <c r="K310" s="103"/>
      <c r="L310" s="103"/>
    </row>
    <row r="311">
      <c r="A311" s="103"/>
      <c r="B311" s="103"/>
      <c r="C311" s="103"/>
      <c r="D311" s="106"/>
      <c r="E311" s="107"/>
      <c r="F311" s="188"/>
      <c r="G311" s="188"/>
      <c r="H311" s="107"/>
      <c r="I311" s="103"/>
      <c r="J311" s="103"/>
      <c r="K311" s="103"/>
      <c r="L311" s="103"/>
    </row>
    <row r="312">
      <c r="A312" s="103"/>
      <c r="B312" s="103"/>
      <c r="C312" s="103"/>
      <c r="D312" s="106"/>
      <c r="E312" s="107"/>
      <c r="F312" s="188"/>
      <c r="G312" s="188"/>
      <c r="H312" s="107"/>
      <c r="I312" s="103"/>
      <c r="J312" s="103"/>
      <c r="K312" s="103"/>
      <c r="L312" s="103"/>
    </row>
    <row r="313">
      <c r="A313" s="103"/>
      <c r="B313" s="103"/>
      <c r="C313" s="103"/>
      <c r="D313" s="106"/>
      <c r="E313" s="107"/>
      <c r="F313" s="188"/>
      <c r="G313" s="188"/>
      <c r="H313" s="107"/>
      <c r="I313" s="103"/>
      <c r="J313" s="103"/>
      <c r="K313" s="103"/>
      <c r="L313" s="103"/>
    </row>
    <row r="314">
      <c r="A314" s="103"/>
      <c r="B314" s="103"/>
      <c r="C314" s="103"/>
      <c r="D314" s="106"/>
      <c r="E314" s="107"/>
      <c r="F314" s="188"/>
      <c r="G314" s="188"/>
      <c r="H314" s="107"/>
      <c r="I314" s="103"/>
      <c r="J314" s="103"/>
      <c r="K314" s="103"/>
      <c r="L314" s="103"/>
    </row>
    <row r="315">
      <c r="A315" s="103"/>
      <c r="B315" s="103"/>
      <c r="C315" s="103"/>
      <c r="D315" s="106"/>
      <c r="E315" s="107"/>
      <c r="F315" s="188"/>
      <c r="G315" s="188"/>
      <c r="H315" s="107"/>
      <c r="I315" s="103"/>
      <c r="J315" s="103"/>
      <c r="K315" s="103"/>
      <c r="L315" s="103"/>
    </row>
    <row r="316">
      <c r="A316" s="103"/>
      <c r="B316" s="103"/>
      <c r="C316" s="103"/>
      <c r="D316" s="106"/>
      <c r="E316" s="107"/>
      <c r="F316" s="188"/>
      <c r="G316" s="188"/>
      <c r="H316" s="107"/>
      <c r="I316" s="103"/>
      <c r="J316" s="103"/>
      <c r="K316" s="103"/>
      <c r="L316" s="103"/>
    </row>
    <row r="317">
      <c r="A317" s="103"/>
      <c r="B317" s="103"/>
      <c r="C317" s="103"/>
      <c r="D317" s="106"/>
      <c r="E317" s="107"/>
      <c r="F317" s="188"/>
      <c r="G317" s="188"/>
      <c r="H317" s="107"/>
      <c r="I317" s="103"/>
      <c r="J317" s="103"/>
      <c r="K317" s="103"/>
      <c r="L317" s="103"/>
    </row>
    <row r="318">
      <c r="A318" s="103"/>
      <c r="B318" s="103"/>
      <c r="C318" s="103"/>
      <c r="D318" s="106"/>
      <c r="E318" s="107"/>
      <c r="F318" s="188"/>
      <c r="G318" s="188"/>
      <c r="H318" s="107"/>
      <c r="I318" s="103"/>
      <c r="J318" s="103"/>
      <c r="K318" s="103"/>
      <c r="L318" s="103"/>
    </row>
    <row r="319">
      <c r="A319" s="103"/>
      <c r="B319" s="103"/>
      <c r="C319" s="103"/>
      <c r="D319" s="106"/>
      <c r="E319" s="107"/>
      <c r="F319" s="188"/>
      <c r="G319" s="188"/>
      <c r="H319" s="107"/>
      <c r="I319" s="103"/>
      <c r="J319" s="103"/>
      <c r="K319" s="103"/>
      <c r="L319" s="103"/>
    </row>
    <row r="320">
      <c r="A320" s="103"/>
      <c r="B320" s="103"/>
      <c r="C320" s="103"/>
      <c r="D320" s="106"/>
      <c r="E320" s="107"/>
      <c r="F320" s="188"/>
      <c r="G320" s="188"/>
      <c r="H320" s="107"/>
      <c r="I320" s="103"/>
      <c r="J320" s="103"/>
      <c r="K320" s="103"/>
      <c r="L320" s="103"/>
    </row>
    <row r="321">
      <c r="A321" s="103"/>
      <c r="B321" s="103"/>
      <c r="C321" s="103"/>
      <c r="D321" s="106"/>
      <c r="E321" s="107"/>
      <c r="F321" s="188"/>
      <c r="G321" s="188"/>
      <c r="H321" s="107"/>
      <c r="I321" s="103"/>
      <c r="J321" s="103"/>
      <c r="K321" s="103"/>
      <c r="L321" s="103"/>
    </row>
    <row r="322">
      <c r="A322" s="103"/>
      <c r="B322" s="103"/>
      <c r="C322" s="103"/>
      <c r="D322" s="106"/>
      <c r="E322" s="107"/>
      <c r="F322" s="188"/>
      <c r="G322" s="188"/>
      <c r="H322" s="107"/>
      <c r="I322" s="103"/>
      <c r="J322" s="103"/>
      <c r="K322" s="103"/>
      <c r="L322" s="103"/>
    </row>
    <row r="323">
      <c r="A323" s="103"/>
      <c r="B323" s="103"/>
      <c r="C323" s="103"/>
      <c r="D323" s="106"/>
      <c r="E323" s="107"/>
      <c r="F323" s="188"/>
      <c r="G323" s="188"/>
      <c r="H323" s="107"/>
      <c r="I323" s="103"/>
      <c r="J323" s="103"/>
      <c r="K323" s="103"/>
      <c r="L323" s="103"/>
    </row>
    <row r="324">
      <c r="A324" s="103"/>
      <c r="B324" s="103"/>
      <c r="C324" s="103"/>
      <c r="D324" s="106"/>
      <c r="E324" s="107"/>
      <c r="F324" s="188"/>
      <c r="G324" s="188"/>
      <c r="H324" s="107"/>
      <c r="I324" s="103"/>
      <c r="J324" s="103"/>
      <c r="K324" s="103"/>
      <c r="L324" s="103"/>
    </row>
    <row r="325">
      <c r="A325" s="103"/>
      <c r="B325" s="103"/>
      <c r="C325" s="103"/>
      <c r="D325" s="106"/>
      <c r="E325" s="107"/>
      <c r="F325" s="188"/>
      <c r="G325" s="188"/>
      <c r="H325" s="107"/>
      <c r="I325" s="103"/>
      <c r="J325" s="103"/>
      <c r="K325" s="103"/>
      <c r="L325" s="103"/>
    </row>
    <row r="326">
      <c r="A326" s="103"/>
      <c r="B326" s="103"/>
      <c r="C326" s="103"/>
      <c r="D326" s="106"/>
      <c r="E326" s="107"/>
      <c r="F326" s="188"/>
      <c r="G326" s="188"/>
      <c r="H326" s="107"/>
      <c r="I326" s="103"/>
      <c r="J326" s="103"/>
      <c r="K326" s="103"/>
      <c r="L326" s="103"/>
    </row>
    <row r="327">
      <c r="A327" s="103"/>
      <c r="B327" s="103"/>
      <c r="C327" s="103"/>
      <c r="D327" s="106"/>
      <c r="E327" s="107"/>
      <c r="F327" s="188"/>
      <c r="G327" s="188"/>
      <c r="H327" s="107"/>
      <c r="I327" s="103"/>
      <c r="J327" s="103"/>
      <c r="K327" s="103"/>
      <c r="L327" s="103"/>
    </row>
    <row r="328">
      <c r="A328" s="103"/>
      <c r="B328" s="103"/>
      <c r="C328" s="103"/>
      <c r="D328" s="106"/>
      <c r="E328" s="107"/>
      <c r="F328" s="188"/>
      <c r="G328" s="188"/>
      <c r="H328" s="107"/>
      <c r="I328" s="103"/>
      <c r="J328" s="103"/>
      <c r="K328" s="103"/>
      <c r="L328" s="103"/>
    </row>
    <row r="329">
      <c r="A329" s="103"/>
      <c r="B329" s="103"/>
      <c r="C329" s="103"/>
      <c r="D329" s="106"/>
      <c r="E329" s="107"/>
      <c r="F329" s="188"/>
      <c r="G329" s="188"/>
      <c r="H329" s="107"/>
      <c r="I329" s="103"/>
      <c r="J329" s="103"/>
      <c r="K329" s="103"/>
      <c r="L329" s="103"/>
    </row>
    <row r="330">
      <c r="A330" s="103"/>
      <c r="B330" s="103"/>
      <c r="C330" s="103"/>
      <c r="D330" s="106"/>
      <c r="E330" s="107"/>
      <c r="F330" s="188"/>
      <c r="G330" s="188"/>
      <c r="H330" s="107"/>
      <c r="I330" s="103"/>
      <c r="J330" s="103"/>
      <c r="K330" s="103"/>
      <c r="L330" s="103"/>
    </row>
    <row r="331">
      <c r="A331" s="103"/>
      <c r="B331" s="103"/>
      <c r="C331" s="103"/>
      <c r="D331" s="106"/>
      <c r="E331" s="107"/>
      <c r="F331" s="188"/>
      <c r="G331" s="188"/>
      <c r="H331" s="107"/>
      <c r="I331" s="103"/>
      <c r="J331" s="103"/>
      <c r="K331" s="103"/>
      <c r="L331" s="103"/>
    </row>
    <row r="332">
      <c r="A332" s="103"/>
      <c r="B332" s="103"/>
      <c r="C332" s="103"/>
      <c r="D332" s="106"/>
      <c r="E332" s="107"/>
      <c r="F332" s="188"/>
      <c r="G332" s="188"/>
      <c r="H332" s="107"/>
      <c r="I332" s="103"/>
      <c r="J332" s="103"/>
      <c r="K332" s="103"/>
      <c r="L332" s="103"/>
    </row>
    <row r="333">
      <c r="A333" s="103"/>
      <c r="B333" s="103"/>
      <c r="C333" s="103"/>
      <c r="D333" s="106"/>
      <c r="E333" s="107"/>
      <c r="F333" s="188"/>
      <c r="G333" s="188"/>
      <c r="H333" s="107"/>
      <c r="I333" s="103"/>
      <c r="J333" s="103"/>
      <c r="K333" s="103"/>
      <c r="L333" s="103"/>
    </row>
    <row r="334">
      <c r="A334" s="103"/>
      <c r="B334" s="103"/>
      <c r="C334" s="103"/>
      <c r="D334" s="106"/>
      <c r="E334" s="107"/>
      <c r="F334" s="188"/>
      <c r="G334" s="188"/>
      <c r="H334" s="107"/>
      <c r="I334" s="103"/>
      <c r="J334" s="103"/>
      <c r="K334" s="103"/>
      <c r="L334" s="103"/>
    </row>
    <row r="335">
      <c r="A335" s="103"/>
      <c r="B335" s="103"/>
      <c r="C335" s="103"/>
      <c r="D335" s="106"/>
      <c r="E335" s="107"/>
      <c r="F335" s="188"/>
      <c r="G335" s="188"/>
      <c r="H335" s="107"/>
      <c r="I335" s="103"/>
      <c r="J335" s="103"/>
      <c r="K335" s="103"/>
      <c r="L335" s="103"/>
    </row>
    <row r="336">
      <c r="A336" s="103"/>
      <c r="B336" s="103"/>
      <c r="C336" s="103"/>
      <c r="D336" s="106"/>
      <c r="E336" s="107"/>
      <c r="F336" s="188"/>
      <c r="G336" s="188"/>
      <c r="H336" s="107"/>
      <c r="I336" s="103"/>
      <c r="J336" s="103"/>
      <c r="K336" s="103"/>
      <c r="L336" s="103"/>
    </row>
    <row r="337">
      <c r="A337" s="103"/>
      <c r="B337" s="103"/>
      <c r="C337" s="103"/>
      <c r="D337" s="106"/>
      <c r="E337" s="107"/>
      <c r="F337" s="188"/>
      <c r="G337" s="188"/>
      <c r="H337" s="107"/>
      <c r="I337" s="103"/>
      <c r="J337" s="103"/>
      <c r="K337" s="103"/>
      <c r="L337" s="103"/>
    </row>
    <row r="338">
      <c r="A338" s="103"/>
      <c r="B338" s="103"/>
      <c r="C338" s="103"/>
      <c r="D338" s="106"/>
      <c r="E338" s="107"/>
      <c r="F338" s="188"/>
      <c r="G338" s="188"/>
      <c r="H338" s="107"/>
      <c r="I338" s="103"/>
      <c r="J338" s="103"/>
      <c r="K338" s="103"/>
      <c r="L338" s="103"/>
    </row>
    <row r="339">
      <c r="A339" s="103"/>
      <c r="B339" s="103"/>
      <c r="C339" s="103"/>
      <c r="D339" s="106"/>
      <c r="E339" s="107"/>
      <c r="F339" s="188"/>
      <c r="G339" s="188"/>
      <c r="H339" s="107"/>
      <c r="I339" s="103"/>
      <c r="J339" s="103"/>
      <c r="K339" s="103"/>
      <c r="L339" s="103"/>
    </row>
    <row r="340">
      <c r="A340" s="103"/>
      <c r="B340" s="103"/>
      <c r="C340" s="103"/>
      <c r="D340" s="106"/>
      <c r="E340" s="107"/>
      <c r="F340" s="188"/>
      <c r="G340" s="188"/>
      <c r="H340" s="107"/>
      <c r="I340" s="103"/>
      <c r="J340" s="103"/>
      <c r="K340" s="103"/>
      <c r="L340" s="103"/>
    </row>
    <row r="341">
      <c r="A341" s="103"/>
      <c r="B341" s="103"/>
      <c r="C341" s="103"/>
      <c r="D341" s="106"/>
      <c r="E341" s="107"/>
      <c r="F341" s="188"/>
      <c r="G341" s="188"/>
      <c r="H341" s="107"/>
      <c r="I341" s="103"/>
      <c r="J341" s="103"/>
      <c r="K341" s="103"/>
      <c r="L341" s="103"/>
    </row>
    <row r="342">
      <c r="A342" s="103"/>
      <c r="B342" s="103"/>
      <c r="C342" s="103"/>
      <c r="D342" s="106"/>
      <c r="E342" s="107"/>
      <c r="F342" s="188"/>
      <c r="G342" s="188"/>
      <c r="H342" s="107"/>
      <c r="I342" s="103"/>
      <c r="J342" s="103"/>
      <c r="K342" s="103"/>
      <c r="L342" s="103"/>
    </row>
    <row r="343">
      <c r="A343" s="103"/>
      <c r="B343" s="103"/>
      <c r="C343" s="103"/>
      <c r="D343" s="106"/>
      <c r="E343" s="107"/>
      <c r="F343" s="188"/>
      <c r="G343" s="188"/>
      <c r="H343" s="107"/>
      <c r="I343" s="103"/>
      <c r="J343" s="103"/>
      <c r="K343" s="103"/>
      <c r="L343" s="103"/>
    </row>
    <row r="344">
      <c r="A344" s="103"/>
      <c r="B344" s="103"/>
      <c r="C344" s="103"/>
      <c r="D344" s="106"/>
      <c r="E344" s="107"/>
      <c r="F344" s="188"/>
      <c r="G344" s="188"/>
      <c r="H344" s="107"/>
      <c r="I344" s="103"/>
      <c r="J344" s="103"/>
      <c r="K344" s="103"/>
      <c r="L344" s="103"/>
    </row>
    <row r="345">
      <c r="A345" s="103"/>
      <c r="B345" s="103"/>
      <c r="C345" s="103"/>
      <c r="D345" s="106"/>
      <c r="E345" s="107"/>
      <c r="F345" s="188"/>
      <c r="G345" s="188"/>
      <c r="H345" s="107"/>
      <c r="I345" s="103"/>
      <c r="J345" s="103"/>
      <c r="K345" s="103"/>
      <c r="L345" s="103"/>
    </row>
    <row r="346">
      <c r="A346" s="103"/>
      <c r="B346" s="103"/>
      <c r="C346" s="103"/>
      <c r="D346" s="106"/>
      <c r="E346" s="107"/>
      <c r="F346" s="188"/>
      <c r="G346" s="188"/>
      <c r="H346" s="107"/>
      <c r="I346" s="103"/>
      <c r="J346" s="103"/>
      <c r="K346" s="103"/>
      <c r="L346" s="103"/>
    </row>
    <row r="347">
      <c r="A347" s="103"/>
      <c r="B347" s="103"/>
      <c r="C347" s="103"/>
      <c r="D347" s="106"/>
      <c r="E347" s="107"/>
      <c r="F347" s="188"/>
      <c r="G347" s="188"/>
      <c r="H347" s="107"/>
      <c r="I347" s="103"/>
      <c r="J347" s="103"/>
      <c r="K347" s="103"/>
      <c r="L347" s="103"/>
    </row>
    <row r="348">
      <c r="A348" s="103"/>
      <c r="B348" s="103"/>
      <c r="C348" s="103"/>
      <c r="D348" s="106"/>
      <c r="E348" s="107"/>
      <c r="F348" s="188"/>
      <c r="G348" s="188"/>
      <c r="H348" s="107"/>
      <c r="I348" s="103"/>
      <c r="J348" s="103"/>
      <c r="K348" s="103"/>
      <c r="L348" s="103"/>
    </row>
    <row r="349">
      <c r="A349" s="103"/>
      <c r="B349" s="103"/>
      <c r="C349" s="103"/>
      <c r="D349" s="106"/>
      <c r="E349" s="107"/>
      <c r="F349" s="188"/>
      <c r="G349" s="188"/>
      <c r="H349" s="107"/>
      <c r="I349" s="103"/>
      <c r="J349" s="103"/>
      <c r="K349" s="103"/>
      <c r="L349" s="103"/>
    </row>
    <row r="350">
      <c r="A350" s="103"/>
      <c r="B350" s="103"/>
      <c r="C350" s="103"/>
      <c r="D350" s="106"/>
      <c r="E350" s="107"/>
      <c r="F350" s="188"/>
      <c r="G350" s="188"/>
      <c r="H350" s="107"/>
      <c r="I350" s="103"/>
      <c r="J350" s="103"/>
      <c r="K350" s="103"/>
      <c r="L350" s="103"/>
    </row>
    <row r="351">
      <c r="A351" s="103"/>
      <c r="B351" s="103"/>
      <c r="C351" s="103"/>
      <c r="D351" s="106"/>
      <c r="E351" s="107"/>
      <c r="F351" s="188"/>
      <c r="G351" s="188"/>
      <c r="H351" s="107"/>
      <c r="I351" s="103"/>
      <c r="J351" s="103"/>
      <c r="K351" s="103"/>
      <c r="L351" s="103"/>
    </row>
    <row r="352">
      <c r="A352" s="103"/>
      <c r="B352" s="103"/>
      <c r="C352" s="103"/>
      <c r="D352" s="106"/>
      <c r="E352" s="107"/>
      <c r="F352" s="188"/>
      <c r="G352" s="188"/>
      <c r="H352" s="107"/>
      <c r="I352" s="103"/>
      <c r="J352" s="103"/>
      <c r="K352" s="103"/>
      <c r="L352" s="103"/>
    </row>
    <row r="353">
      <c r="A353" s="103"/>
      <c r="B353" s="103"/>
      <c r="C353" s="103"/>
      <c r="D353" s="106"/>
      <c r="E353" s="107"/>
      <c r="F353" s="188"/>
      <c r="G353" s="188"/>
      <c r="H353" s="107"/>
      <c r="I353" s="103"/>
      <c r="J353" s="103"/>
      <c r="K353" s="103"/>
      <c r="L353" s="103"/>
    </row>
    <row r="354">
      <c r="A354" s="103"/>
      <c r="B354" s="103"/>
      <c r="C354" s="103"/>
      <c r="D354" s="106"/>
      <c r="E354" s="107"/>
      <c r="F354" s="188"/>
      <c r="G354" s="188"/>
      <c r="H354" s="107"/>
      <c r="I354" s="103"/>
      <c r="J354" s="103"/>
      <c r="K354" s="103"/>
      <c r="L354" s="103"/>
    </row>
    <row r="355">
      <c r="A355" s="103"/>
      <c r="B355" s="103"/>
      <c r="C355" s="103"/>
      <c r="D355" s="106"/>
      <c r="E355" s="107"/>
      <c r="F355" s="188"/>
      <c r="G355" s="188"/>
      <c r="H355" s="107"/>
      <c r="I355" s="103"/>
      <c r="J355" s="103"/>
      <c r="K355" s="103"/>
      <c r="L355" s="103"/>
    </row>
    <row r="356">
      <c r="A356" s="103"/>
      <c r="B356" s="103"/>
      <c r="C356" s="103"/>
      <c r="D356" s="106"/>
      <c r="E356" s="107"/>
      <c r="F356" s="188"/>
      <c r="G356" s="188"/>
      <c r="H356" s="107"/>
      <c r="I356" s="103"/>
      <c r="J356" s="103"/>
      <c r="K356" s="103"/>
      <c r="L356" s="103"/>
    </row>
    <row r="357">
      <c r="A357" s="103"/>
      <c r="B357" s="103"/>
      <c r="C357" s="103"/>
      <c r="D357" s="106"/>
      <c r="E357" s="107"/>
      <c r="F357" s="188"/>
      <c r="G357" s="188"/>
      <c r="H357" s="107"/>
      <c r="I357" s="103"/>
      <c r="J357" s="103"/>
      <c r="K357" s="103"/>
      <c r="L357" s="103"/>
    </row>
    <row r="358">
      <c r="A358" s="103"/>
      <c r="B358" s="103"/>
      <c r="C358" s="103"/>
      <c r="D358" s="106"/>
      <c r="E358" s="107"/>
      <c r="F358" s="188"/>
      <c r="G358" s="188"/>
      <c r="H358" s="107"/>
      <c r="I358" s="103"/>
      <c r="J358" s="103"/>
      <c r="K358" s="103"/>
      <c r="L358" s="103"/>
    </row>
    <row r="359">
      <c r="A359" s="103"/>
      <c r="B359" s="103"/>
      <c r="C359" s="103"/>
      <c r="D359" s="106"/>
      <c r="E359" s="107"/>
      <c r="F359" s="188"/>
      <c r="G359" s="188"/>
      <c r="H359" s="107"/>
      <c r="I359" s="103"/>
      <c r="J359" s="103"/>
      <c r="K359" s="103"/>
      <c r="L359" s="103"/>
    </row>
    <row r="360">
      <c r="A360" s="103"/>
      <c r="B360" s="103"/>
      <c r="C360" s="103"/>
      <c r="D360" s="106"/>
      <c r="E360" s="107"/>
      <c r="F360" s="188"/>
      <c r="G360" s="188"/>
      <c r="H360" s="107"/>
      <c r="I360" s="103"/>
      <c r="J360" s="103"/>
      <c r="K360" s="103"/>
      <c r="L360" s="103"/>
    </row>
    <row r="361">
      <c r="A361" s="103"/>
      <c r="B361" s="103"/>
      <c r="C361" s="103"/>
      <c r="D361" s="106"/>
      <c r="E361" s="107"/>
      <c r="F361" s="188"/>
      <c r="G361" s="188"/>
      <c r="H361" s="107"/>
      <c r="I361" s="103"/>
      <c r="J361" s="103"/>
      <c r="K361" s="103"/>
      <c r="L361" s="103"/>
    </row>
    <row r="362">
      <c r="A362" s="103"/>
      <c r="B362" s="103"/>
      <c r="C362" s="103"/>
      <c r="D362" s="106"/>
      <c r="E362" s="107"/>
      <c r="F362" s="188"/>
      <c r="G362" s="188"/>
      <c r="H362" s="107"/>
      <c r="I362" s="103"/>
      <c r="J362" s="103"/>
      <c r="K362" s="103"/>
      <c r="L362" s="103"/>
    </row>
    <row r="363">
      <c r="A363" s="103"/>
      <c r="B363" s="103"/>
      <c r="C363" s="103"/>
      <c r="D363" s="106"/>
      <c r="E363" s="107"/>
      <c r="F363" s="188"/>
      <c r="G363" s="188"/>
      <c r="H363" s="107"/>
      <c r="I363" s="103"/>
      <c r="J363" s="103"/>
      <c r="K363" s="103"/>
      <c r="L363" s="103"/>
    </row>
    <row r="364">
      <c r="A364" s="103"/>
      <c r="B364" s="103"/>
      <c r="C364" s="103"/>
      <c r="D364" s="106"/>
      <c r="E364" s="107"/>
      <c r="F364" s="188"/>
      <c r="G364" s="188"/>
      <c r="H364" s="107"/>
      <c r="I364" s="103"/>
      <c r="J364" s="103"/>
      <c r="K364" s="103"/>
      <c r="L364" s="103"/>
    </row>
    <row r="365">
      <c r="A365" s="103"/>
      <c r="B365" s="103"/>
      <c r="C365" s="103"/>
      <c r="D365" s="106"/>
      <c r="E365" s="107"/>
      <c r="F365" s="188"/>
      <c r="G365" s="188"/>
      <c r="H365" s="107"/>
      <c r="I365" s="103"/>
      <c r="J365" s="103"/>
      <c r="K365" s="103"/>
      <c r="L365" s="103"/>
    </row>
    <row r="366">
      <c r="A366" s="103"/>
      <c r="B366" s="103"/>
      <c r="C366" s="103"/>
      <c r="D366" s="106"/>
      <c r="E366" s="107"/>
      <c r="F366" s="188"/>
      <c r="G366" s="188"/>
      <c r="H366" s="107"/>
      <c r="I366" s="103"/>
      <c r="J366" s="103"/>
      <c r="K366" s="103"/>
      <c r="L366" s="103"/>
    </row>
    <row r="367">
      <c r="A367" s="103"/>
      <c r="B367" s="103"/>
      <c r="C367" s="103"/>
      <c r="D367" s="106"/>
      <c r="E367" s="107"/>
      <c r="F367" s="188"/>
      <c r="G367" s="188"/>
      <c r="H367" s="107"/>
      <c r="I367" s="103"/>
      <c r="J367" s="103"/>
      <c r="K367" s="103"/>
      <c r="L367" s="103"/>
    </row>
    <row r="368">
      <c r="A368" s="103"/>
      <c r="B368" s="103"/>
      <c r="C368" s="103"/>
      <c r="D368" s="106"/>
      <c r="E368" s="107"/>
      <c r="F368" s="188"/>
      <c r="G368" s="188"/>
      <c r="H368" s="107"/>
      <c r="I368" s="103"/>
      <c r="J368" s="103"/>
      <c r="K368" s="103"/>
      <c r="L368" s="103"/>
    </row>
    <row r="369">
      <c r="A369" s="103"/>
      <c r="B369" s="103"/>
      <c r="C369" s="103"/>
      <c r="D369" s="106"/>
      <c r="E369" s="107"/>
      <c r="F369" s="188"/>
      <c r="G369" s="188"/>
      <c r="H369" s="107"/>
      <c r="I369" s="103"/>
      <c r="J369" s="103"/>
      <c r="K369" s="103"/>
      <c r="L369" s="103"/>
    </row>
    <row r="370">
      <c r="A370" s="103"/>
      <c r="B370" s="103"/>
      <c r="C370" s="103"/>
      <c r="D370" s="106"/>
      <c r="E370" s="107"/>
      <c r="F370" s="188"/>
      <c r="G370" s="188"/>
      <c r="H370" s="107"/>
      <c r="I370" s="103"/>
      <c r="J370" s="103"/>
      <c r="K370" s="103"/>
      <c r="L370" s="103"/>
    </row>
    <row r="371">
      <c r="A371" s="103"/>
      <c r="B371" s="103"/>
      <c r="C371" s="103"/>
      <c r="D371" s="106"/>
      <c r="E371" s="107"/>
      <c r="F371" s="188"/>
      <c r="G371" s="188"/>
      <c r="H371" s="107"/>
      <c r="I371" s="103"/>
      <c r="J371" s="103"/>
      <c r="K371" s="103"/>
      <c r="L371" s="103"/>
    </row>
    <row r="372">
      <c r="A372" s="103"/>
      <c r="B372" s="103"/>
      <c r="C372" s="103"/>
      <c r="D372" s="106"/>
      <c r="E372" s="107"/>
      <c r="F372" s="188"/>
      <c r="G372" s="188"/>
      <c r="H372" s="107"/>
      <c r="I372" s="103"/>
      <c r="J372" s="103"/>
      <c r="K372" s="103"/>
      <c r="L372" s="103"/>
    </row>
    <row r="373">
      <c r="A373" s="103"/>
      <c r="B373" s="103"/>
      <c r="C373" s="103"/>
      <c r="D373" s="106"/>
      <c r="E373" s="107"/>
      <c r="F373" s="188"/>
      <c r="G373" s="188"/>
      <c r="H373" s="107"/>
      <c r="I373" s="103"/>
      <c r="J373" s="103"/>
      <c r="K373" s="103"/>
      <c r="L373" s="103"/>
    </row>
    <row r="374">
      <c r="A374" s="103"/>
      <c r="B374" s="103"/>
      <c r="C374" s="103"/>
      <c r="D374" s="106"/>
      <c r="E374" s="107"/>
      <c r="F374" s="188"/>
      <c r="G374" s="188"/>
      <c r="H374" s="107"/>
      <c r="I374" s="103"/>
      <c r="J374" s="103"/>
      <c r="K374" s="103"/>
      <c r="L374" s="103"/>
    </row>
    <row r="375">
      <c r="A375" s="103"/>
      <c r="B375" s="103"/>
      <c r="C375" s="103"/>
      <c r="D375" s="106"/>
      <c r="E375" s="107"/>
      <c r="F375" s="188"/>
      <c r="G375" s="188"/>
      <c r="H375" s="107"/>
      <c r="I375" s="103"/>
      <c r="J375" s="103"/>
      <c r="K375" s="103"/>
      <c r="L375" s="103"/>
    </row>
    <row r="376">
      <c r="A376" s="103"/>
      <c r="B376" s="103"/>
      <c r="C376" s="103"/>
      <c r="D376" s="106"/>
      <c r="E376" s="107"/>
      <c r="F376" s="188"/>
      <c r="G376" s="188"/>
      <c r="H376" s="107"/>
      <c r="I376" s="103"/>
      <c r="J376" s="103"/>
      <c r="K376" s="103"/>
      <c r="L376" s="103"/>
    </row>
    <row r="377">
      <c r="A377" s="103"/>
      <c r="B377" s="103"/>
      <c r="C377" s="103"/>
      <c r="D377" s="106"/>
      <c r="E377" s="107"/>
      <c r="F377" s="188"/>
      <c r="G377" s="188"/>
      <c r="H377" s="107"/>
      <c r="I377" s="103"/>
      <c r="J377" s="103"/>
      <c r="K377" s="103"/>
      <c r="L377" s="103"/>
    </row>
    <row r="378">
      <c r="A378" s="103"/>
      <c r="B378" s="103"/>
      <c r="C378" s="103"/>
      <c r="D378" s="106"/>
      <c r="E378" s="107"/>
      <c r="F378" s="188"/>
      <c r="G378" s="188"/>
      <c r="H378" s="107"/>
      <c r="I378" s="103"/>
      <c r="J378" s="103"/>
      <c r="K378" s="103"/>
      <c r="L378" s="103"/>
    </row>
    <row r="379">
      <c r="A379" s="103"/>
      <c r="B379" s="103"/>
      <c r="C379" s="103"/>
      <c r="D379" s="106"/>
      <c r="E379" s="107"/>
      <c r="F379" s="188"/>
      <c r="G379" s="188"/>
      <c r="H379" s="107"/>
      <c r="I379" s="103"/>
      <c r="J379" s="103"/>
      <c r="K379" s="103"/>
      <c r="L379" s="103"/>
    </row>
    <row r="380">
      <c r="A380" s="103"/>
      <c r="B380" s="103"/>
      <c r="C380" s="103"/>
      <c r="D380" s="106"/>
      <c r="E380" s="107"/>
      <c r="F380" s="188"/>
      <c r="G380" s="188"/>
      <c r="H380" s="107"/>
      <c r="I380" s="103"/>
      <c r="J380" s="103"/>
      <c r="K380" s="103"/>
      <c r="L380" s="103"/>
    </row>
    <row r="381">
      <c r="A381" s="103"/>
      <c r="B381" s="103"/>
      <c r="C381" s="103"/>
      <c r="D381" s="106"/>
      <c r="E381" s="107"/>
      <c r="F381" s="188"/>
      <c r="G381" s="188"/>
      <c r="H381" s="107"/>
      <c r="I381" s="103"/>
      <c r="J381" s="103"/>
      <c r="K381" s="103"/>
      <c r="L381" s="103"/>
    </row>
    <row r="382">
      <c r="A382" s="103"/>
      <c r="B382" s="103"/>
      <c r="C382" s="103"/>
      <c r="D382" s="106"/>
      <c r="E382" s="107"/>
      <c r="F382" s="188"/>
      <c r="G382" s="188"/>
      <c r="H382" s="107"/>
      <c r="I382" s="103"/>
      <c r="J382" s="103"/>
      <c r="K382" s="103"/>
      <c r="L382" s="103"/>
    </row>
    <row r="383">
      <c r="A383" s="103"/>
      <c r="B383" s="103"/>
      <c r="C383" s="103"/>
      <c r="D383" s="106"/>
      <c r="E383" s="107"/>
      <c r="F383" s="188"/>
      <c r="G383" s="188"/>
      <c r="H383" s="107"/>
      <c r="I383" s="103"/>
      <c r="J383" s="103"/>
      <c r="K383" s="103"/>
      <c r="L383" s="103"/>
    </row>
    <row r="384">
      <c r="A384" s="103"/>
      <c r="B384" s="103"/>
      <c r="C384" s="103"/>
      <c r="D384" s="106"/>
      <c r="E384" s="107"/>
      <c r="F384" s="188"/>
      <c r="G384" s="188"/>
      <c r="H384" s="107"/>
      <c r="I384" s="103"/>
      <c r="J384" s="103"/>
      <c r="K384" s="103"/>
      <c r="L384" s="103"/>
    </row>
    <row r="385">
      <c r="A385" s="103"/>
      <c r="B385" s="103"/>
      <c r="C385" s="103"/>
      <c r="D385" s="106"/>
      <c r="E385" s="107"/>
      <c r="F385" s="188"/>
      <c r="G385" s="188"/>
      <c r="H385" s="107"/>
      <c r="I385" s="103"/>
      <c r="J385" s="103"/>
      <c r="K385" s="103"/>
      <c r="L385" s="103"/>
    </row>
    <row r="386">
      <c r="A386" s="103"/>
      <c r="B386" s="103"/>
      <c r="C386" s="103"/>
      <c r="D386" s="106"/>
      <c r="E386" s="107"/>
      <c r="F386" s="188"/>
      <c r="G386" s="188"/>
      <c r="H386" s="107"/>
      <c r="I386" s="103"/>
      <c r="J386" s="103"/>
      <c r="K386" s="103"/>
      <c r="L386" s="103"/>
    </row>
    <row r="387">
      <c r="A387" s="103"/>
      <c r="B387" s="103"/>
      <c r="C387" s="103"/>
      <c r="D387" s="106"/>
      <c r="E387" s="107"/>
      <c r="F387" s="188"/>
      <c r="G387" s="188"/>
      <c r="H387" s="107"/>
      <c r="I387" s="103"/>
      <c r="J387" s="103"/>
      <c r="K387" s="103"/>
      <c r="L387" s="103"/>
    </row>
    <row r="388">
      <c r="A388" s="103"/>
      <c r="B388" s="103"/>
      <c r="C388" s="103"/>
      <c r="D388" s="106"/>
      <c r="E388" s="107"/>
      <c r="F388" s="188"/>
      <c r="G388" s="188"/>
      <c r="H388" s="107"/>
      <c r="I388" s="103"/>
      <c r="J388" s="103"/>
      <c r="K388" s="103"/>
      <c r="L388" s="103"/>
    </row>
    <row r="389">
      <c r="A389" s="103"/>
      <c r="B389" s="103"/>
      <c r="C389" s="103"/>
      <c r="D389" s="106"/>
      <c r="E389" s="107"/>
      <c r="F389" s="188"/>
      <c r="G389" s="188"/>
      <c r="H389" s="107"/>
      <c r="I389" s="103"/>
      <c r="J389" s="103"/>
      <c r="K389" s="103"/>
      <c r="L389" s="103"/>
    </row>
    <row r="390">
      <c r="A390" s="103"/>
      <c r="B390" s="103"/>
      <c r="C390" s="103"/>
      <c r="D390" s="106"/>
      <c r="E390" s="107"/>
      <c r="F390" s="188"/>
      <c r="G390" s="188"/>
      <c r="H390" s="107"/>
      <c r="I390" s="103"/>
      <c r="J390" s="103"/>
      <c r="K390" s="103"/>
      <c r="L390" s="103"/>
    </row>
    <row r="391">
      <c r="A391" s="103"/>
      <c r="B391" s="103"/>
      <c r="C391" s="103"/>
      <c r="D391" s="106"/>
      <c r="E391" s="107"/>
      <c r="F391" s="188"/>
      <c r="G391" s="188"/>
      <c r="H391" s="107"/>
      <c r="I391" s="103"/>
      <c r="J391" s="103"/>
      <c r="K391" s="103"/>
      <c r="L391" s="103"/>
    </row>
    <row r="392">
      <c r="A392" s="103"/>
      <c r="B392" s="103"/>
      <c r="C392" s="103"/>
      <c r="D392" s="106"/>
      <c r="E392" s="107"/>
      <c r="F392" s="188"/>
      <c r="G392" s="188"/>
      <c r="H392" s="107"/>
      <c r="I392" s="103"/>
      <c r="J392" s="103"/>
      <c r="K392" s="103"/>
      <c r="L392" s="103"/>
    </row>
    <row r="393">
      <c r="A393" s="103"/>
      <c r="B393" s="103"/>
      <c r="C393" s="103"/>
      <c r="D393" s="106"/>
      <c r="E393" s="107"/>
      <c r="F393" s="188"/>
      <c r="G393" s="188"/>
      <c r="H393" s="107"/>
      <c r="I393" s="103"/>
      <c r="J393" s="103"/>
      <c r="K393" s="103"/>
      <c r="L393" s="103"/>
    </row>
    <row r="394">
      <c r="A394" s="103"/>
      <c r="B394" s="103"/>
      <c r="C394" s="103"/>
      <c r="D394" s="106"/>
      <c r="E394" s="107"/>
      <c r="F394" s="188"/>
      <c r="G394" s="188"/>
      <c r="H394" s="107"/>
      <c r="I394" s="103"/>
      <c r="J394" s="103"/>
      <c r="K394" s="103"/>
      <c r="L394" s="103"/>
    </row>
    <row r="395">
      <c r="A395" s="103"/>
      <c r="B395" s="103"/>
      <c r="C395" s="103"/>
      <c r="D395" s="106"/>
      <c r="E395" s="107"/>
      <c r="F395" s="188"/>
      <c r="G395" s="188"/>
      <c r="H395" s="107"/>
      <c r="I395" s="103"/>
      <c r="J395" s="103"/>
      <c r="K395" s="103"/>
      <c r="L395" s="103"/>
    </row>
    <row r="396">
      <c r="A396" s="103"/>
      <c r="B396" s="103"/>
      <c r="C396" s="103"/>
      <c r="D396" s="106"/>
      <c r="E396" s="107"/>
      <c r="F396" s="188"/>
      <c r="G396" s="188"/>
      <c r="H396" s="107"/>
      <c r="I396" s="103"/>
      <c r="J396" s="103"/>
      <c r="K396" s="103"/>
      <c r="L396" s="103"/>
    </row>
    <row r="397">
      <c r="A397" s="103"/>
      <c r="B397" s="103"/>
      <c r="C397" s="103"/>
      <c r="D397" s="106"/>
      <c r="E397" s="107"/>
      <c r="F397" s="188"/>
      <c r="G397" s="188"/>
      <c r="H397" s="107"/>
      <c r="I397" s="103"/>
      <c r="J397" s="103"/>
      <c r="K397" s="103"/>
      <c r="L397" s="103"/>
    </row>
    <row r="398">
      <c r="A398" s="103"/>
      <c r="B398" s="103"/>
      <c r="C398" s="103"/>
      <c r="D398" s="106"/>
      <c r="E398" s="107"/>
      <c r="F398" s="188"/>
      <c r="G398" s="188"/>
      <c r="H398" s="107"/>
      <c r="I398" s="103"/>
      <c r="J398" s="103"/>
      <c r="K398" s="103"/>
      <c r="L398" s="103"/>
    </row>
    <row r="399">
      <c r="A399" s="103"/>
      <c r="B399" s="103"/>
      <c r="C399" s="103"/>
      <c r="D399" s="106"/>
      <c r="E399" s="107"/>
      <c r="F399" s="188"/>
      <c r="G399" s="188"/>
      <c r="H399" s="107"/>
      <c r="I399" s="103"/>
      <c r="J399" s="103"/>
      <c r="K399" s="103"/>
      <c r="L399" s="103"/>
    </row>
    <row r="400">
      <c r="A400" s="103"/>
      <c r="B400" s="103"/>
      <c r="C400" s="103"/>
      <c r="D400" s="106"/>
      <c r="E400" s="107"/>
      <c r="F400" s="188"/>
      <c r="G400" s="188"/>
      <c r="H400" s="107"/>
      <c r="I400" s="103"/>
      <c r="J400" s="103"/>
      <c r="K400" s="103"/>
      <c r="L400" s="103"/>
    </row>
    <row r="401">
      <c r="A401" s="103"/>
      <c r="B401" s="103"/>
      <c r="C401" s="103"/>
      <c r="D401" s="106"/>
      <c r="E401" s="107"/>
      <c r="F401" s="188"/>
      <c r="G401" s="188"/>
      <c r="H401" s="107"/>
      <c r="I401" s="103"/>
      <c r="J401" s="103"/>
      <c r="K401" s="103"/>
      <c r="L401" s="103"/>
    </row>
    <row r="402">
      <c r="A402" s="103"/>
      <c r="B402" s="103"/>
      <c r="C402" s="103"/>
      <c r="D402" s="106"/>
      <c r="E402" s="107"/>
      <c r="F402" s="188"/>
      <c r="G402" s="188"/>
      <c r="H402" s="107"/>
      <c r="I402" s="103"/>
      <c r="J402" s="103"/>
      <c r="K402" s="103"/>
      <c r="L402" s="103"/>
    </row>
    <row r="403">
      <c r="A403" s="103"/>
      <c r="B403" s="103"/>
      <c r="C403" s="103"/>
      <c r="D403" s="106"/>
      <c r="E403" s="107"/>
      <c r="F403" s="188"/>
      <c r="G403" s="188"/>
      <c r="H403" s="107"/>
      <c r="I403" s="103"/>
      <c r="J403" s="103"/>
      <c r="K403" s="103"/>
      <c r="L403" s="103"/>
    </row>
    <row r="404">
      <c r="A404" s="103"/>
      <c r="B404" s="103"/>
      <c r="C404" s="103"/>
      <c r="D404" s="106"/>
      <c r="E404" s="107"/>
      <c r="F404" s="188"/>
      <c r="G404" s="188"/>
      <c r="H404" s="107"/>
      <c r="I404" s="103"/>
      <c r="J404" s="103"/>
      <c r="K404" s="103"/>
      <c r="L404" s="103"/>
    </row>
    <row r="405">
      <c r="A405" s="103"/>
      <c r="B405" s="103"/>
      <c r="C405" s="103"/>
      <c r="D405" s="106"/>
      <c r="E405" s="107"/>
      <c r="F405" s="188"/>
      <c r="G405" s="188"/>
      <c r="H405" s="107"/>
      <c r="I405" s="103"/>
      <c r="J405" s="103"/>
      <c r="K405" s="103"/>
      <c r="L405" s="103"/>
    </row>
    <row r="406">
      <c r="A406" s="103"/>
      <c r="B406" s="103"/>
      <c r="C406" s="103"/>
      <c r="D406" s="106"/>
      <c r="E406" s="107"/>
      <c r="F406" s="188"/>
      <c r="G406" s="188"/>
      <c r="H406" s="107"/>
      <c r="I406" s="103"/>
      <c r="J406" s="103"/>
      <c r="K406" s="103"/>
      <c r="L406" s="103"/>
    </row>
    <row r="407">
      <c r="A407" s="103"/>
      <c r="B407" s="103"/>
      <c r="C407" s="103"/>
      <c r="D407" s="106"/>
      <c r="E407" s="107"/>
      <c r="F407" s="188"/>
      <c r="G407" s="188"/>
      <c r="H407" s="107"/>
      <c r="I407" s="103"/>
      <c r="J407" s="103"/>
      <c r="K407" s="103"/>
      <c r="L407" s="103"/>
    </row>
    <row r="408">
      <c r="A408" s="103"/>
      <c r="B408" s="103"/>
      <c r="C408" s="103"/>
      <c r="D408" s="106"/>
      <c r="E408" s="107"/>
      <c r="F408" s="188"/>
      <c r="G408" s="188"/>
      <c r="H408" s="107"/>
      <c r="I408" s="103"/>
      <c r="J408" s="103"/>
      <c r="K408" s="103"/>
      <c r="L408" s="103"/>
    </row>
    <row r="409">
      <c r="A409" s="103"/>
      <c r="B409" s="103"/>
      <c r="C409" s="103"/>
      <c r="D409" s="106"/>
      <c r="E409" s="107"/>
      <c r="F409" s="188"/>
      <c r="G409" s="188"/>
      <c r="H409" s="107"/>
      <c r="I409" s="103"/>
      <c r="J409" s="103"/>
      <c r="K409" s="103"/>
      <c r="L409" s="103"/>
    </row>
    <row r="410">
      <c r="A410" s="103"/>
      <c r="B410" s="103"/>
      <c r="C410" s="103"/>
      <c r="D410" s="106"/>
      <c r="E410" s="107"/>
      <c r="F410" s="188"/>
      <c r="G410" s="188"/>
      <c r="H410" s="107"/>
      <c r="I410" s="103"/>
      <c r="J410" s="103"/>
      <c r="K410" s="103"/>
      <c r="L410" s="103"/>
    </row>
    <row r="411">
      <c r="A411" s="103"/>
      <c r="B411" s="103"/>
      <c r="C411" s="103"/>
      <c r="D411" s="106"/>
      <c r="E411" s="107"/>
      <c r="F411" s="188"/>
      <c r="G411" s="188"/>
      <c r="H411" s="107"/>
      <c r="I411" s="103"/>
      <c r="J411" s="103"/>
      <c r="K411" s="103"/>
      <c r="L411" s="103"/>
    </row>
    <row r="412">
      <c r="A412" s="103"/>
      <c r="B412" s="103"/>
      <c r="C412" s="103"/>
      <c r="D412" s="106"/>
      <c r="E412" s="107"/>
      <c r="F412" s="188"/>
      <c r="G412" s="188"/>
      <c r="H412" s="107"/>
      <c r="I412" s="103"/>
      <c r="J412" s="103"/>
      <c r="K412" s="103"/>
      <c r="L412" s="103"/>
    </row>
    <row r="413">
      <c r="A413" s="103"/>
      <c r="B413" s="103"/>
      <c r="C413" s="103"/>
      <c r="D413" s="106"/>
      <c r="E413" s="107"/>
      <c r="F413" s="188"/>
      <c r="G413" s="188"/>
      <c r="H413" s="107"/>
      <c r="I413" s="103"/>
      <c r="J413" s="103"/>
      <c r="K413" s="103"/>
      <c r="L413" s="103"/>
    </row>
    <row r="414">
      <c r="A414" s="103"/>
      <c r="B414" s="103"/>
      <c r="C414" s="103"/>
      <c r="D414" s="106"/>
      <c r="E414" s="107"/>
      <c r="F414" s="188"/>
      <c r="G414" s="188"/>
      <c r="H414" s="107"/>
      <c r="I414" s="103"/>
      <c r="J414" s="103"/>
      <c r="K414" s="103"/>
      <c r="L414" s="103"/>
    </row>
    <row r="415">
      <c r="A415" s="103"/>
      <c r="B415" s="103"/>
      <c r="C415" s="103"/>
      <c r="D415" s="106"/>
      <c r="E415" s="107"/>
      <c r="F415" s="188"/>
      <c r="G415" s="188"/>
      <c r="H415" s="107"/>
      <c r="I415" s="103"/>
      <c r="J415" s="103"/>
      <c r="K415" s="103"/>
      <c r="L415" s="103"/>
    </row>
    <row r="416">
      <c r="A416" s="103"/>
      <c r="B416" s="103"/>
      <c r="C416" s="103"/>
      <c r="D416" s="106"/>
      <c r="E416" s="107"/>
      <c r="F416" s="188"/>
      <c r="G416" s="188"/>
      <c r="H416" s="107"/>
      <c r="I416" s="103"/>
      <c r="J416" s="103"/>
      <c r="K416" s="103"/>
      <c r="L416" s="103"/>
    </row>
    <row r="417">
      <c r="A417" s="103"/>
      <c r="B417" s="103"/>
      <c r="C417" s="103"/>
      <c r="D417" s="106"/>
      <c r="E417" s="107"/>
      <c r="F417" s="188"/>
      <c r="G417" s="188"/>
      <c r="H417" s="107"/>
      <c r="I417" s="103"/>
      <c r="J417" s="103"/>
      <c r="K417" s="103"/>
      <c r="L417" s="103"/>
    </row>
    <row r="418">
      <c r="A418" s="103"/>
      <c r="B418" s="103"/>
      <c r="C418" s="103"/>
      <c r="D418" s="106"/>
      <c r="E418" s="107"/>
      <c r="F418" s="188"/>
      <c r="G418" s="188"/>
      <c r="H418" s="107"/>
      <c r="I418" s="103"/>
      <c r="J418" s="103"/>
      <c r="K418" s="103"/>
      <c r="L418" s="103"/>
    </row>
    <row r="419">
      <c r="A419" s="103"/>
      <c r="B419" s="103"/>
      <c r="C419" s="103"/>
      <c r="D419" s="106"/>
      <c r="E419" s="107"/>
      <c r="F419" s="188"/>
      <c r="G419" s="188"/>
      <c r="H419" s="107"/>
      <c r="I419" s="103"/>
      <c r="J419" s="103"/>
      <c r="K419" s="103"/>
      <c r="L419" s="103"/>
    </row>
    <row r="420">
      <c r="A420" s="103"/>
      <c r="B420" s="103"/>
      <c r="C420" s="103"/>
      <c r="D420" s="106"/>
      <c r="E420" s="107"/>
      <c r="F420" s="188"/>
      <c r="G420" s="188"/>
      <c r="H420" s="107"/>
      <c r="I420" s="103"/>
      <c r="J420" s="103"/>
      <c r="K420" s="103"/>
      <c r="L420" s="103"/>
    </row>
    <row r="421">
      <c r="A421" s="103"/>
      <c r="B421" s="103"/>
      <c r="C421" s="103"/>
      <c r="D421" s="106"/>
      <c r="E421" s="107"/>
      <c r="F421" s="188"/>
      <c r="G421" s="188"/>
      <c r="H421" s="107"/>
      <c r="I421" s="103"/>
      <c r="J421" s="103"/>
      <c r="K421" s="103"/>
      <c r="L421" s="103"/>
    </row>
    <row r="422">
      <c r="A422" s="103"/>
      <c r="B422" s="103"/>
      <c r="C422" s="103"/>
      <c r="D422" s="106"/>
      <c r="E422" s="107"/>
      <c r="F422" s="188"/>
      <c r="G422" s="188"/>
      <c r="H422" s="107"/>
      <c r="I422" s="103"/>
      <c r="J422" s="103"/>
      <c r="K422" s="103"/>
      <c r="L422" s="103"/>
    </row>
    <row r="423">
      <c r="A423" s="103"/>
      <c r="B423" s="103"/>
      <c r="C423" s="103"/>
      <c r="D423" s="106"/>
      <c r="E423" s="107"/>
      <c r="F423" s="188"/>
      <c r="G423" s="188"/>
      <c r="H423" s="107"/>
      <c r="I423" s="103"/>
      <c r="J423" s="103"/>
      <c r="K423" s="103"/>
      <c r="L423" s="103"/>
    </row>
    <row r="424">
      <c r="A424" s="103"/>
      <c r="B424" s="103"/>
      <c r="C424" s="103"/>
      <c r="D424" s="106"/>
      <c r="E424" s="107"/>
      <c r="F424" s="188"/>
      <c r="G424" s="188"/>
      <c r="H424" s="107"/>
      <c r="I424" s="103"/>
      <c r="J424" s="103"/>
      <c r="K424" s="103"/>
      <c r="L424" s="103"/>
    </row>
    <row r="425">
      <c r="A425" s="103"/>
      <c r="B425" s="103"/>
      <c r="C425" s="103"/>
      <c r="D425" s="106"/>
      <c r="E425" s="107"/>
      <c r="F425" s="188"/>
      <c r="G425" s="188"/>
      <c r="H425" s="107"/>
      <c r="I425" s="103"/>
      <c r="J425" s="103"/>
      <c r="K425" s="103"/>
      <c r="L425" s="103"/>
    </row>
    <row r="426">
      <c r="A426" s="103"/>
      <c r="B426" s="103"/>
      <c r="C426" s="103"/>
      <c r="D426" s="106"/>
      <c r="E426" s="107"/>
      <c r="F426" s="188"/>
      <c r="G426" s="188"/>
      <c r="H426" s="107"/>
      <c r="I426" s="103"/>
      <c r="J426" s="103"/>
      <c r="K426" s="103"/>
      <c r="L426" s="103"/>
    </row>
    <row r="427">
      <c r="A427" s="103"/>
      <c r="B427" s="103"/>
      <c r="C427" s="103"/>
      <c r="D427" s="106"/>
      <c r="E427" s="107"/>
      <c r="F427" s="188"/>
      <c r="G427" s="188"/>
      <c r="H427" s="107"/>
      <c r="I427" s="103"/>
      <c r="J427" s="103"/>
      <c r="K427" s="103"/>
      <c r="L427" s="103"/>
    </row>
    <row r="428">
      <c r="A428" s="103"/>
      <c r="B428" s="103"/>
      <c r="C428" s="103"/>
      <c r="D428" s="106"/>
      <c r="E428" s="107"/>
      <c r="F428" s="188"/>
      <c r="G428" s="188"/>
      <c r="H428" s="107"/>
      <c r="I428" s="103"/>
      <c r="J428" s="103"/>
      <c r="K428" s="103"/>
      <c r="L428" s="103"/>
    </row>
    <row r="429">
      <c r="A429" s="103"/>
      <c r="B429" s="103"/>
      <c r="C429" s="103"/>
      <c r="D429" s="106"/>
      <c r="E429" s="107"/>
      <c r="F429" s="188"/>
      <c r="G429" s="188"/>
      <c r="H429" s="107"/>
      <c r="I429" s="103"/>
      <c r="J429" s="103"/>
      <c r="K429" s="103"/>
      <c r="L429" s="103"/>
    </row>
    <row r="430">
      <c r="A430" s="103"/>
      <c r="B430" s="103"/>
      <c r="C430" s="103"/>
      <c r="D430" s="106"/>
      <c r="E430" s="107"/>
      <c r="F430" s="188"/>
      <c r="G430" s="188"/>
      <c r="H430" s="107"/>
      <c r="I430" s="103"/>
      <c r="J430" s="103"/>
      <c r="K430" s="103"/>
      <c r="L430" s="103"/>
    </row>
    <row r="431">
      <c r="A431" s="103"/>
      <c r="B431" s="103"/>
      <c r="C431" s="103"/>
      <c r="D431" s="106"/>
      <c r="E431" s="107"/>
      <c r="F431" s="188"/>
      <c r="G431" s="188"/>
      <c r="H431" s="107"/>
      <c r="I431" s="103"/>
      <c r="J431" s="103"/>
      <c r="K431" s="103"/>
      <c r="L431" s="103"/>
    </row>
    <row r="432">
      <c r="A432" s="103"/>
      <c r="B432" s="103"/>
      <c r="C432" s="103"/>
      <c r="D432" s="106"/>
      <c r="E432" s="107"/>
      <c r="F432" s="188"/>
      <c r="G432" s="188"/>
      <c r="H432" s="107"/>
      <c r="I432" s="103"/>
      <c r="J432" s="103"/>
      <c r="K432" s="103"/>
      <c r="L432" s="103"/>
    </row>
    <row r="433">
      <c r="A433" s="103"/>
      <c r="B433" s="103"/>
      <c r="C433" s="103"/>
      <c r="D433" s="106"/>
      <c r="E433" s="107"/>
      <c r="F433" s="188"/>
      <c r="G433" s="188"/>
      <c r="H433" s="107"/>
      <c r="I433" s="103"/>
      <c r="J433" s="103"/>
      <c r="K433" s="103"/>
      <c r="L433" s="103"/>
    </row>
    <row r="434">
      <c r="A434" s="103"/>
      <c r="B434" s="103"/>
      <c r="C434" s="103"/>
      <c r="D434" s="106"/>
      <c r="E434" s="107"/>
      <c r="F434" s="188"/>
      <c r="G434" s="188"/>
      <c r="H434" s="107"/>
      <c r="I434" s="103"/>
      <c r="J434" s="103"/>
      <c r="K434" s="103"/>
      <c r="L434" s="103"/>
    </row>
    <row r="435">
      <c r="A435" s="103"/>
      <c r="B435" s="103"/>
      <c r="C435" s="103"/>
      <c r="D435" s="106"/>
      <c r="E435" s="107"/>
      <c r="F435" s="188"/>
      <c r="G435" s="188"/>
      <c r="H435" s="107"/>
      <c r="I435" s="103"/>
      <c r="J435" s="103"/>
      <c r="K435" s="103"/>
      <c r="L435" s="103"/>
    </row>
    <row r="436">
      <c r="A436" s="103"/>
      <c r="B436" s="103"/>
      <c r="C436" s="103"/>
      <c r="D436" s="106"/>
      <c r="E436" s="107"/>
      <c r="F436" s="188"/>
      <c r="G436" s="188"/>
      <c r="H436" s="107"/>
      <c r="I436" s="103"/>
      <c r="J436" s="103"/>
      <c r="K436" s="103"/>
      <c r="L436" s="103"/>
    </row>
    <row r="437">
      <c r="A437" s="103"/>
      <c r="B437" s="103"/>
      <c r="C437" s="103"/>
      <c r="D437" s="106"/>
      <c r="E437" s="107"/>
      <c r="F437" s="188"/>
      <c r="G437" s="188"/>
      <c r="H437" s="107"/>
      <c r="I437" s="103"/>
      <c r="J437" s="103"/>
      <c r="K437" s="103"/>
      <c r="L437" s="103"/>
    </row>
    <row r="438">
      <c r="A438" s="103"/>
      <c r="B438" s="103"/>
      <c r="C438" s="103"/>
      <c r="D438" s="106"/>
      <c r="E438" s="107"/>
      <c r="F438" s="188"/>
      <c r="G438" s="188"/>
      <c r="H438" s="107"/>
      <c r="I438" s="103"/>
      <c r="J438" s="103"/>
      <c r="K438" s="103"/>
      <c r="L438" s="103"/>
    </row>
    <row r="439">
      <c r="A439" s="103"/>
      <c r="B439" s="103"/>
      <c r="C439" s="103"/>
      <c r="D439" s="106"/>
      <c r="E439" s="107"/>
      <c r="F439" s="188"/>
      <c r="G439" s="188"/>
      <c r="H439" s="107"/>
      <c r="I439" s="103"/>
      <c r="J439" s="103"/>
      <c r="K439" s="103"/>
      <c r="L439" s="103"/>
    </row>
    <row r="440">
      <c r="A440" s="103"/>
      <c r="B440" s="103"/>
      <c r="C440" s="103"/>
      <c r="D440" s="106"/>
      <c r="E440" s="107"/>
      <c r="F440" s="188"/>
      <c r="G440" s="188"/>
      <c r="H440" s="107"/>
      <c r="I440" s="103"/>
      <c r="J440" s="103"/>
      <c r="K440" s="103"/>
      <c r="L440" s="103"/>
    </row>
    <row r="441">
      <c r="A441" s="103"/>
      <c r="B441" s="103"/>
      <c r="C441" s="103"/>
      <c r="D441" s="106"/>
      <c r="E441" s="107"/>
      <c r="F441" s="188"/>
      <c r="G441" s="188"/>
      <c r="H441" s="107"/>
      <c r="I441" s="103"/>
      <c r="J441" s="103"/>
      <c r="K441" s="103"/>
      <c r="L441" s="103"/>
    </row>
    <row r="442">
      <c r="A442" s="103"/>
      <c r="B442" s="103"/>
      <c r="C442" s="103"/>
      <c r="D442" s="106"/>
      <c r="E442" s="107"/>
      <c r="F442" s="188"/>
      <c r="G442" s="188"/>
      <c r="H442" s="107"/>
      <c r="I442" s="103"/>
      <c r="J442" s="103"/>
      <c r="K442" s="103"/>
      <c r="L442" s="103"/>
    </row>
    <row r="443">
      <c r="A443" s="103"/>
      <c r="B443" s="103"/>
      <c r="C443" s="103"/>
      <c r="D443" s="106"/>
      <c r="E443" s="107"/>
      <c r="F443" s="188"/>
      <c r="G443" s="188"/>
      <c r="H443" s="107"/>
      <c r="I443" s="103"/>
      <c r="J443" s="103"/>
      <c r="K443" s="103"/>
      <c r="L443" s="103"/>
    </row>
    <row r="444">
      <c r="A444" s="103"/>
      <c r="B444" s="103"/>
      <c r="C444" s="103"/>
      <c r="D444" s="106"/>
      <c r="E444" s="107"/>
      <c r="F444" s="188"/>
      <c r="G444" s="188"/>
      <c r="H444" s="107"/>
      <c r="I444" s="103"/>
      <c r="J444" s="103"/>
      <c r="K444" s="103"/>
      <c r="L444" s="103"/>
    </row>
    <row r="445">
      <c r="A445" s="103"/>
      <c r="B445" s="103"/>
      <c r="C445" s="103"/>
      <c r="D445" s="106"/>
      <c r="E445" s="107"/>
      <c r="F445" s="188"/>
      <c r="G445" s="188"/>
      <c r="H445" s="107"/>
      <c r="I445" s="103"/>
      <c r="J445" s="103"/>
      <c r="K445" s="103"/>
      <c r="L445" s="103"/>
    </row>
    <row r="446">
      <c r="A446" s="103"/>
      <c r="B446" s="103"/>
      <c r="C446" s="103"/>
      <c r="D446" s="106"/>
      <c r="E446" s="107"/>
      <c r="F446" s="188"/>
      <c r="G446" s="188"/>
      <c r="H446" s="107"/>
      <c r="I446" s="103"/>
      <c r="J446" s="103"/>
      <c r="K446" s="103"/>
      <c r="L446" s="103"/>
    </row>
    <row r="447">
      <c r="A447" s="103"/>
      <c r="B447" s="103"/>
      <c r="C447" s="103"/>
      <c r="D447" s="106"/>
      <c r="E447" s="107"/>
      <c r="F447" s="188"/>
      <c r="G447" s="188"/>
      <c r="H447" s="107"/>
      <c r="I447" s="103"/>
      <c r="J447" s="103"/>
      <c r="K447" s="103"/>
      <c r="L447" s="103"/>
    </row>
    <row r="448">
      <c r="A448" s="103"/>
      <c r="B448" s="103"/>
      <c r="C448" s="103"/>
      <c r="D448" s="106"/>
      <c r="E448" s="107"/>
      <c r="F448" s="188"/>
      <c r="G448" s="188"/>
      <c r="H448" s="107"/>
      <c r="I448" s="103"/>
      <c r="J448" s="103"/>
      <c r="K448" s="103"/>
      <c r="L448" s="103"/>
    </row>
    <row r="449">
      <c r="A449" s="103"/>
      <c r="B449" s="103"/>
      <c r="C449" s="103"/>
      <c r="D449" s="106"/>
      <c r="E449" s="107"/>
      <c r="F449" s="188"/>
      <c r="G449" s="188"/>
      <c r="H449" s="107"/>
      <c r="I449" s="103"/>
      <c r="J449" s="103"/>
      <c r="K449" s="103"/>
      <c r="L449" s="103"/>
    </row>
    <row r="450">
      <c r="A450" s="103"/>
      <c r="B450" s="103"/>
      <c r="C450" s="103"/>
      <c r="D450" s="106"/>
      <c r="E450" s="107"/>
      <c r="F450" s="188"/>
      <c r="G450" s="188"/>
      <c r="H450" s="107"/>
      <c r="I450" s="103"/>
      <c r="J450" s="103"/>
      <c r="K450" s="103"/>
      <c r="L450" s="103"/>
    </row>
    <row r="451">
      <c r="A451" s="103"/>
      <c r="B451" s="103"/>
      <c r="C451" s="103"/>
      <c r="D451" s="106"/>
      <c r="E451" s="107"/>
      <c r="F451" s="188"/>
      <c r="G451" s="188"/>
      <c r="H451" s="107"/>
      <c r="I451" s="103"/>
      <c r="J451" s="103"/>
      <c r="K451" s="103"/>
      <c r="L451" s="103"/>
    </row>
    <row r="452">
      <c r="A452" s="103"/>
      <c r="B452" s="103"/>
      <c r="C452" s="103"/>
      <c r="D452" s="106"/>
      <c r="E452" s="107"/>
      <c r="F452" s="188"/>
      <c r="G452" s="188"/>
      <c r="H452" s="107"/>
      <c r="I452" s="103"/>
      <c r="J452" s="103"/>
      <c r="K452" s="103"/>
      <c r="L452" s="103"/>
    </row>
    <row r="453">
      <c r="A453" s="103"/>
      <c r="B453" s="103"/>
      <c r="C453" s="103"/>
      <c r="D453" s="106"/>
      <c r="E453" s="107"/>
      <c r="F453" s="188"/>
      <c r="G453" s="188"/>
      <c r="H453" s="107"/>
      <c r="I453" s="103"/>
      <c r="J453" s="103"/>
      <c r="K453" s="103"/>
      <c r="L453" s="103"/>
    </row>
    <row r="454">
      <c r="A454" s="103"/>
      <c r="B454" s="103"/>
      <c r="C454" s="103"/>
      <c r="D454" s="106"/>
      <c r="E454" s="107"/>
      <c r="F454" s="188"/>
      <c r="G454" s="188"/>
      <c r="H454" s="107"/>
      <c r="I454" s="103"/>
      <c r="J454" s="103"/>
      <c r="K454" s="103"/>
      <c r="L454" s="103"/>
    </row>
    <row r="455">
      <c r="A455" s="103"/>
      <c r="B455" s="103"/>
      <c r="C455" s="103"/>
      <c r="D455" s="106"/>
      <c r="E455" s="107"/>
      <c r="F455" s="188"/>
      <c r="G455" s="188"/>
      <c r="H455" s="107"/>
      <c r="I455" s="103"/>
      <c r="J455" s="103"/>
      <c r="K455" s="103"/>
      <c r="L455" s="103"/>
    </row>
    <row r="456">
      <c r="A456" s="103"/>
      <c r="B456" s="103"/>
      <c r="C456" s="103"/>
      <c r="D456" s="106"/>
      <c r="E456" s="107"/>
      <c r="F456" s="188"/>
      <c r="G456" s="188"/>
      <c r="H456" s="107"/>
      <c r="I456" s="103"/>
      <c r="J456" s="103"/>
      <c r="K456" s="103"/>
      <c r="L456" s="103"/>
    </row>
    <row r="457">
      <c r="A457" s="103"/>
      <c r="B457" s="103"/>
      <c r="C457" s="103"/>
      <c r="D457" s="106"/>
      <c r="E457" s="107"/>
      <c r="F457" s="188"/>
      <c r="G457" s="188"/>
      <c r="H457" s="107"/>
      <c r="I457" s="103"/>
      <c r="J457" s="103"/>
      <c r="K457" s="103"/>
      <c r="L457" s="103"/>
    </row>
    <row r="458">
      <c r="A458" s="103"/>
      <c r="B458" s="103"/>
      <c r="C458" s="103"/>
      <c r="D458" s="106"/>
      <c r="E458" s="107"/>
      <c r="F458" s="188"/>
      <c r="G458" s="188"/>
      <c r="H458" s="107"/>
      <c r="I458" s="103"/>
      <c r="J458" s="103"/>
      <c r="K458" s="103"/>
      <c r="L458" s="103"/>
    </row>
    <row r="459">
      <c r="A459" s="103"/>
      <c r="B459" s="103"/>
      <c r="C459" s="103"/>
      <c r="D459" s="106"/>
      <c r="E459" s="107"/>
      <c r="F459" s="188"/>
      <c r="G459" s="188"/>
      <c r="H459" s="107"/>
      <c r="I459" s="103"/>
      <c r="J459" s="103"/>
      <c r="K459" s="103"/>
      <c r="L459" s="103"/>
    </row>
    <row r="460">
      <c r="A460" s="103"/>
      <c r="B460" s="103"/>
      <c r="C460" s="103"/>
      <c r="D460" s="106"/>
      <c r="E460" s="107"/>
      <c r="F460" s="188"/>
      <c r="G460" s="188"/>
      <c r="H460" s="107"/>
      <c r="I460" s="103"/>
      <c r="J460" s="103"/>
      <c r="K460" s="103"/>
      <c r="L460" s="103"/>
    </row>
    <row r="461">
      <c r="A461" s="103"/>
      <c r="B461" s="103"/>
      <c r="C461" s="103"/>
      <c r="D461" s="106"/>
      <c r="E461" s="107"/>
      <c r="F461" s="188"/>
      <c r="G461" s="188"/>
      <c r="H461" s="107"/>
      <c r="I461" s="103"/>
      <c r="J461" s="103"/>
      <c r="K461" s="103"/>
      <c r="L461" s="103"/>
    </row>
    <row r="462">
      <c r="A462" s="103"/>
      <c r="B462" s="103"/>
      <c r="C462" s="103"/>
      <c r="D462" s="106"/>
      <c r="E462" s="107"/>
      <c r="F462" s="188"/>
      <c r="G462" s="188"/>
      <c r="H462" s="107"/>
      <c r="I462" s="103"/>
      <c r="J462" s="103"/>
      <c r="K462" s="103"/>
      <c r="L462" s="103"/>
    </row>
    <row r="463">
      <c r="A463" s="103"/>
      <c r="B463" s="103"/>
      <c r="C463" s="103"/>
      <c r="D463" s="106"/>
      <c r="E463" s="107"/>
      <c r="F463" s="188"/>
      <c r="G463" s="188"/>
      <c r="H463" s="107"/>
      <c r="I463" s="103"/>
      <c r="J463" s="103"/>
      <c r="K463" s="103"/>
      <c r="L463" s="103"/>
    </row>
    <row r="464">
      <c r="A464" s="103"/>
      <c r="B464" s="103"/>
      <c r="C464" s="103"/>
      <c r="D464" s="106"/>
      <c r="E464" s="107"/>
      <c r="F464" s="188"/>
      <c r="G464" s="188"/>
      <c r="H464" s="107"/>
      <c r="I464" s="103"/>
      <c r="J464" s="103"/>
      <c r="K464" s="103"/>
      <c r="L464" s="103"/>
    </row>
    <row r="465">
      <c r="A465" s="103"/>
      <c r="B465" s="103"/>
      <c r="C465" s="103"/>
      <c r="D465" s="106"/>
      <c r="E465" s="107"/>
      <c r="F465" s="188"/>
      <c r="G465" s="188"/>
      <c r="H465" s="107"/>
      <c r="I465" s="103"/>
      <c r="J465" s="103"/>
      <c r="K465" s="103"/>
      <c r="L465" s="103"/>
    </row>
    <row r="466">
      <c r="A466" s="103"/>
      <c r="B466" s="103"/>
      <c r="C466" s="103"/>
      <c r="D466" s="106"/>
      <c r="E466" s="107"/>
      <c r="F466" s="188"/>
      <c r="G466" s="188"/>
      <c r="H466" s="107"/>
      <c r="I466" s="103"/>
      <c r="J466" s="103"/>
      <c r="K466" s="103"/>
      <c r="L466" s="103"/>
    </row>
    <row r="467">
      <c r="A467" s="103"/>
      <c r="B467" s="103"/>
      <c r="C467" s="103"/>
      <c r="D467" s="106"/>
      <c r="E467" s="107"/>
      <c r="F467" s="188"/>
      <c r="G467" s="188"/>
      <c r="H467" s="107"/>
      <c r="I467" s="103"/>
      <c r="J467" s="103"/>
      <c r="K467" s="103"/>
      <c r="L467" s="103"/>
    </row>
    <row r="468">
      <c r="A468" s="103"/>
      <c r="B468" s="103"/>
      <c r="C468" s="103"/>
      <c r="D468" s="106"/>
      <c r="E468" s="107"/>
      <c r="F468" s="188"/>
      <c r="G468" s="188"/>
      <c r="H468" s="107"/>
      <c r="I468" s="103"/>
      <c r="J468" s="103"/>
      <c r="K468" s="103"/>
      <c r="L468" s="103"/>
    </row>
    <row r="469">
      <c r="A469" s="103"/>
      <c r="B469" s="103"/>
      <c r="C469" s="103"/>
      <c r="D469" s="106"/>
      <c r="E469" s="107"/>
      <c r="F469" s="188"/>
      <c r="G469" s="188"/>
      <c r="H469" s="107"/>
      <c r="I469" s="103"/>
      <c r="J469" s="103"/>
      <c r="K469" s="103"/>
      <c r="L469" s="103"/>
    </row>
    <row r="470">
      <c r="A470" s="103"/>
      <c r="B470" s="103"/>
      <c r="C470" s="103"/>
      <c r="D470" s="106"/>
      <c r="E470" s="107"/>
      <c r="F470" s="188"/>
      <c r="G470" s="188"/>
      <c r="H470" s="107"/>
      <c r="I470" s="103"/>
      <c r="J470" s="103"/>
      <c r="K470" s="103"/>
      <c r="L470" s="103"/>
    </row>
    <row r="471">
      <c r="A471" s="103"/>
      <c r="B471" s="103"/>
      <c r="C471" s="103"/>
      <c r="D471" s="106"/>
      <c r="E471" s="107"/>
      <c r="F471" s="188"/>
      <c r="G471" s="188"/>
      <c r="H471" s="107"/>
      <c r="I471" s="103"/>
      <c r="J471" s="103"/>
      <c r="K471" s="103"/>
      <c r="L471" s="103"/>
    </row>
    <row r="472">
      <c r="A472" s="103"/>
      <c r="B472" s="103"/>
      <c r="C472" s="103"/>
      <c r="D472" s="106"/>
      <c r="E472" s="107"/>
      <c r="F472" s="188"/>
      <c r="G472" s="188"/>
      <c r="H472" s="107"/>
      <c r="I472" s="103"/>
      <c r="J472" s="103"/>
      <c r="K472" s="103"/>
      <c r="L472" s="103"/>
    </row>
    <row r="473">
      <c r="A473" s="103"/>
      <c r="B473" s="103"/>
      <c r="C473" s="103"/>
      <c r="D473" s="106"/>
      <c r="E473" s="107"/>
      <c r="F473" s="188"/>
      <c r="G473" s="188"/>
      <c r="H473" s="107"/>
      <c r="I473" s="103"/>
      <c r="J473" s="103"/>
      <c r="K473" s="103"/>
      <c r="L473" s="103"/>
    </row>
    <row r="474">
      <c r="A474" s="103"/>
      <c r="B474" s="103"/>
      <c r="C474" s="103"/>
      <c r="D474" s="106"/>
      <c r="E474" s="107"/>
      <c r="F474" s="188"/>
      <c r="G474" s="188"/>
      <c r="H474" s="107"/>
      <c r="I474" s="103"/>
      <c r="J474" s="103"/>
      <c r="K474" s="103"/>
      <c r="L474" s="103"/>
    </row>
    <row r="475">
      <c r="A475" s="103"/>
      <c r="B475" s="103"/>
      <c r="C475" s="103"/>
      <c r="D475" s="106"/>
      <c r="E475" s="107"/>
      <c r="F475" s="188"/>
      <c r="G475" s="188"/>
      <c r="H475" s="107"/>
      <c r="I475" s="103"/>
      <c r="J475" s="103"/>
      <c r="K475" s="103"/>
      <c r="L475" s="103"/>
    </row>
    <row r="476">
      <c r="A476" s="103"/>
      <c r="B476" s="103"/>
      <c r="C476" s="103"/>
      <c r="D476" s="106"/>
      <c r="E476" s="107"/>
      <c r="F476" s="188"/>
      <c r="G476" s="188"/>
      <c r="H476" s="107"/>
      <c r="I476" s="103"/>
      <c r="J476" s="103"/>
      <c r="K476" s="103"/>
      <c r="L476" s="103"/>
    </row>
    <row r="477">
      <c r="A477" s="103"/>
      <c r="B477" s="103"/>
      <c r="C477" s="103"/>
      <c r="D477" s="106"/>
      <c r="E477" s="107"/>
      <c r="F477" s="188"/>
      <c r="G477" s="188"/>
      <c r="H477" s="107"/>
      <c r="I477" s="103"/>
      <c r="J477" s="103"/>
      <c r="K477" s="103"/>
      <c r="L477" s="103"/>
    </row>
    <row r="478">
      <c r="A478" s="103"/>
      <c r="B478" s="103"/>
      <c r="C478" s="103"/>
      <c r="D478" s="106"/>
      <c r="E478" s="107"/>
      <c r="F478" s="188"/>
      <c r="G478" s="188"/>
      <c r="H478" s="107"/>
      <c r="I478" s="103"/>
      <c r="J478" s="103"/>
      <c r="K478" s="103"/>
      <c r="L478" s="103"/>
    </row>
    <row r="479">
      <c r="A479" s="103"/>
      <c r="B479" s="103"/>
      <c r="C479" s="103"/>
      <c r="D479" s="106"/>
      <c r="E479" s="107"/>
      <c r="F479" s="188"/>
      <c r="G479" s="188"/>
      <c r="H479" s="107"/>
      <c r="I479" s="103"/>
      <c r="J479" s="103"/>
      <c r="K479" s="103"/>
      <c r="L479" s="103"/>
    </row>
    <row r="480">
      <c r="A480" s="103"/>
      <c r="B480" s="103"/>
      <c r="C480" s="103"/>
      <c r="D480" s="106"/>
      <c r="E480" s="107"/>
      <c r="F480" s="188"/>
      <c r="G480" s="188"/>
      <c r="H480" s="107"/>
      <c r="I480" s="103"/>
      <c r="J480" s="103"/>
      <c r="K480" s="103"/>
      <c r="L480" s="103"/>
    </row>
    <row r="481">
      <c r="A481" s="103"/>
      <c r="B481" s="103"/>
      <c r="C481" s="103"/>
      <c r="D481" s="106"/>
      <c r="E481" s="107"/>
      <c r="F481" s="188"/>
      <c r="G481" s="188"/>
      <c r="H481" s="107"/>
      <c r="I481" s="103"/>
      <c r="J481" s="103"/>
      <c r="K481" s="103"/>
      <c r="L481" s="103"/>
    </row>
    <row r="482">
      <c r="A482" s="103"/>
      <c r="B482" s="103"/>
      <c r="C482" s="103"/>
      <c r="D482" s="106"/>
      <c r="E482" s="107"/>
      <c r="F482" s="188"/>
      <c r="G482" s="188"/>
      <c r="H482" s="107"/>
      <c r="I482" s="103"/>
      <c r="J482" s="103"/>
      <c r="K482" s="103"/>
      <c r="L482" s="103"/>
    </row>
    <row r="483">
      <c r="A483" s="103"/>
      <c r="B483" s="103"/>
      <c r="C483" s="103"/>
      <c r="D483" s="106"/>
      <c r="E483" s="107"/>
      <c r="F483" s="188"/>
      <c r="G483" s="188"/>
      <c r="H483" s="107"/>
      <c r="I483" s="103"/>
      <c r="J483" s="103"/>
      <c r="K483" s="103"/>
      <c r="L483" s="103"/>
    </row>
    <row r="484">
      <c r="A484" s="103"/>
      <c r="B484" s="103"/>
      <c r="C484" s="103"/>
      <c r="D484" s="106"/>
      <c r="E484" s="107"/>
      <c r="F484" s="188"/>
      <c r="G484" s="188"/>
      <c r="H484" s="107"/>
      <c r="I484" s="103"/>
      <c r="J484" s="103"/>
      <c r="K484" s="103"/>
      <c r="L484" s="103"/>
    </row>
    <row r="485">
      <c r="A485" s="103"/>
      <c r="B485" s="103"/>
      <c r="C485" s="103"/>
      <c r="D485" s="106"/>
      <c r="E485" s="107"/>
      <c r="F485" s="188"/>
      <c r="G485" s="188"/>
      <c r="H485" s="107"/>
      <c r="I485" s="103"/>
      <c r="J485" s="103"/>
      <c r="K485" s="103"/>
      <c r="L485" s="103"/>
    </row>
    <row r="486">
      <c r="A486" s="103"/>
      <c r="B486" s="103"/>
      <c r="C486" s="103"/>
      <c r="D486" s="106"/>
      <c r="E486" s="107"/>
      <c r="F486" s="188"/>
      <c r="G486" s="188"/>
      <c r="H486" s="107"/>
      <c r="I486" s="103"/>
      <c r="J486" s="103"/>
      <c r="K486" s="103"/>
      <c r="L486" s="103"/>
    </row>
    <row r="487">
      <c r="A487" s="103"/>
      <c r="B487" s="103"/>
      <c r="C487" s="103"/>
      <c r="D487" s="106"/>
      <c r="E487" s="107"/>
      <c r="F487" s="188"/>
      <c r="G487" s="188"/>
      <c r="H487" s="107"/>
      <c r="I487" s="103"/>
      <c r="J487" s="103"/>
      <c r="K487" s="103"/>
      <c r="L487" s="103"/>
    </row>
    <row r="488">
      <c r="A488" s="103"/>
      <c r="B488" s="103"/>
      <c r="C488" s="103"/>
      <c r="D488" s="106"/>
      <c r="E488" s="107"/>
      <c r="F488" s="188"/>
      <c r="G488" s="188"/>
      <c r="H488" s="107"/>
      <c r="I488" s="103"/>
      <c r="J488" s="103"/>
      <c r="K488" s="103"/>
      <c r="L488" s="103"/>
    </row>
    <row r="489">
      <c r="A489" s="103"/>
      <c r="B489" s="103"/>
      <c r="C489" s="103"/>
      <c r="D489" s="106"/>
      <c r="E489" s="107"/>
      <c r="F489" s="188"/>
      <c r="G489" s="188"/>
      <c r="H489" s="107"/>
      <c r="I489" s="103"/>
      <c r="J489" s="103"/>
      <c r="K489" s="103"/>
      <c r="L489" s="103"/>
    </row>
    <row r="490">
      <c r="A490" s="103"/>
      <c r="B490" s="103"/>
      <c r="C490" s="103"/>
      <c r="D490" s="106"/>
      <c r="E490" s="107"/>
      <c r="F490" s="188"/>
      <c r="G490" s="188"/>
      <c r="H490" s="107"/>
      <c r="I490" s="103"/>
      <c r="J490" s="103"/>
      <c r="K490" s="103"/>
      <c r="L490" s="103"/>
    </row>
    <row r="491">
      <c r="A491" s="103"/>
      <c r="B491" s="103"/>
      <c r="C491" s="103"/>
      <c r="D491" s="106"/>
      <c r="E491" s="107"/>
      <c r="F491" s="188"/>
      <c r="G491" s="188"/>
      <c r="H491" s="107"/>
      <c r="I491" s="103"/>
      <c r="J491" s="103"/>
      <c r="K491" s="103"/>
      <c r="L491" s="103"/>
    </row>
    <row r="492">
      <c r="A492" s="103"/>
      <c r="B492" s="103"/>
      <c r="C492" s="103"/>
      <c r="D492" s="106"/>
      <c r="E492" s="107"/>
      <c r="F492" s="188"/>
      <c r="G492" s="188"/>
      <c r="H492" s="107"/>
      <c r="I492" s="103"/>
      <c r="J492" s="103"/>
      <c r="K492" s="103"/>
      <c r="L492" s="103"/>
    </row>
    <row r="493">
      <c r="A493" s="103"/>
      <c r="B493" s="103"/>
      <c r="C493" s="103"/>
      <c r="D493" s="106"/>
      <c r="E493" s="107"/>
      <c r="F493" s="188"/>
      <c r="G493" s="188"/>
      <c r="H493" s="107"/>
      <c r="I493" s="103"/>
      <c r="J493" s="103"/>
      <c r="K493" s="103"/>
      <c r="L493" s="103"/>
    </row>
    <row r="494">
      <c r="A494" s="103"/>
      <c r="B494" s="103"/>
      <c r="C494" s="103"/>
      <c r="D494" s="106"/>
      <c r="E494" s="107"/>
      <c r="F494" s="188"/>
      <c r="G494" s="188"/>
      <c r="H494" s="107"/>
      <c r="I494" s="103"/>
      <c r="J494" s="103"/>
      <c r="K494" s="103"/>
      <c r="L494" s="103"/>
    </row>
    <row r="495">
      <c r="A495" s="103"/>
      <c r="B495" s="103"/>
      <c r="C495" s="103"/>
      <c r="D495" s="106"/>
      <c r="E495" s="107"/>
      <c r="F495" s="188"/>
      <c r="G495" s="188"/>
      <c r="H495" s="107"/>
      <c r="I495" s="103"/>
      <c r="J495" s="103"/>
      <c r="K495" s="103"/>
      <c r="L495" s="103"/>
    </row>
    <row r="496">
      <c r="A496" s="103"/>
      <c r="B496" s="103"/>
      <c r="C496" s="103"/>
      <c r="D496" s="106"/>
      <c r="E496" s="107"/>
      <c r="F496" s="188"/>
      <c r="G496" s="188"/>
      <c r="H496" s="107"/>
      <c r="I496" s="103"/>
      <c r="J496" s="103"/>
      <c r="K496" s="103"/>
      <c r="L496" s="103"/>
    </row>
    <row r="497">
      <c r="A497" s="103"/>
      <c r="B497" s="103"/>
      <c r="C497" s="103"/>
      <c r="D497" s="106"/>
      <c r="E497" s="107"/>
      <c r="F497" s="188"/>
      <c r="G497" s="188"/>
      <c r="H497" s="107"/>
      <c r="I497" s="103"/>
      <c r="J497" s="103"/>
      <c r="K497" s="103"/>
      <c r="L497" s="103"/>
    </row>
    <row r="498">
      <c r="A498" s="103"/>
      <c r="B498" s="103"/>
      <c r="C498" s="103"/>
      <c r="D498" s="106"/>
      <c r="E498" s="107"/>
      <c r="F498" s="188"/>
      <c r="G498" s="188"/>
      <c r="H498" s="107"/>
      <c r="I498" s="103"/>
      <c r="J498" s="103"/>
      <c r="K498" s="103"/>
      <c r="L498" s="103"/>
    </row>
    <row r="499">
      <c r="A499" s="103"/>
      <c r="B499" s="103"/>
      <c r="C499" s="103"/>
      <c r="D499" s="106"/>
      <c r="E499" s="107"/>
      <c r="F499" s="188"/>
      <c r="G499" s="188"/>
      <c r="H499" s="107"/>
      <c r="I499" s="103"/>
      <c r="J499" s="103"/>
      <c r="K499" s="103"/>
      <c r="L499" s="103"/>
    </row>
    <row r="500">
      <c r="A500" s="103"/>
      <c r="B500" s="103"/>
      <c r="C500" s="103"/>
      <c r="D500" s="106"/>
      <c r="E500" s="107"/>
      <c r="F500" s="188"/>
      <c r="G500" s="188"/>
      <c r="H500" s="107"/>
      <c r="I500" s="103"/>
      <c r="J500" s="103"/>
      <c r="K500" s="103"/>
      <c r="L500" s="103"/>
    </row>
    <row r="501">
      <c r="A501" s="103"/>
      <c r="B501" s="103"/>
      <c r="C501" s="103"/>
      <c r="D501" s="106"/>
      <c r="E501" s="107"/>
      <c r="F501" s="188"/>
      <c r="G501" s="188"/>
      <c r="H501" s="107"/>
      <c r="I501" s="103"/>
      <c r="J501" s="103"/>
      <c r="K501" s="103"/>
      <c r="L501" s="103"/>
    </row>
    <row r="502">
      <c r="A502" s="103"/>
      <c r="B502" s="103"/>
      <c r="C502" s="103"/>
      <c r="D502" s="106"/>
      <c r="E502" s="107"/>
      <c r="F502" s="188"/>
      <c r="G502" s="188"/>
      <c r="H502" s="107"/>
      <c r="I502" s="103"/>
      <c r="J502" s="103"/>
      <c r="K502" s="103"/>
      <c r="L502" s="103"/>
    </row>
    <row r="503">
      <c r="A503" s="103"/>
      <c r="B503" s="103"/>
      <c r="C503" s="103"/>
      <c r="D503" s="106"/>
      <c r="E503" s="107"/>
      <c r="F503" s="188"/>
      <c r="G503" s="188"/>
      <c r="H503" s="107"/>
      <c r="I503" s="103"/>
      <c r="J503" s="103"/>
      <c r="K503" s="103"/>
      <c r="L503" s="103"/>
    </row>
    <row r="504">
      <c r="A504" s="103"/>
      <c r="B504" s="103"/>
      <c r="C504" s="103"/>
      <c r="D504" s="106"/>
      <c r="E504" s="107"/>
      <c r="F504" s="188"/>
      <c r="G504" s="188"/>
      <c r="H504" s="107"/>
      <c r="I504" s="103"/>
      <c r="J504" s="103"/>
      <c r="K504" s="103"/>
      <c r="L504" s="103"/>
    </row>
    <row r="505">
      <c r="A505" s="103"/>
      <c r="B505" s="103"/>
      <c r="C505" s="103"/>
      <c r="D505" s="106"/>
      <c r="E505" s="107"/>
      <c r="F505" s="188"/>
      <c r="G505" s="188"/>
      <c r="H505" s="107"/>
      <c r="I505" s="103"/>
      <c r="J505" s="103"/>
      <c r="K505" s="103"/>
      <c r="L505" s="103"/>
    </row>
    <row r="506">
      <c r="A506" s="103"/>
      <c r="B506" s="103"/>
      <c r="C506" s="103"/>
      <c r="D506" s="106"/>
      <c r="E506" s="107"/>
      <c r="F506" s="188"/>
      <c r="G506" s="188"/>
      <c r="H506" s="107"/>
      <c r="I506" s="103"/>
      <c r="J506" s="103"/>
      <c r="K506" s="103"/>
      <c r="L506" s="103"/>
    </row>
    <row r="507">
      <c r="A507" s="103"/>
      <c r="B507" s="103"/>
      <c r="C507" s="103"/>
      <c r="D507" s="106"/>
      <c r="E507" s="107"/>
      <c r="F507" s="188"/>
      <c r="G507" s="188"/>
      <c r="H507" s="107"/>
      <c r="I507" s="103"/>
      <c r="J507" s="103"/>
      <c r="K507" s="103"/>
      <c r="L507" s="103"/>
    </row>
    <row r="508">
      <c r="A508" s="103"/>
      <c r="B508" s="103"/>
      <c r="C508" s="103"/>
      <c r="D508" s="106"/>
      <c r="E508" s="107"/>
      <c r="F508" s="188"/>
      <c r="G508" s="188"/>
      <c r="H508" s="107"/>
      <c r="I508" s="103"/>
      <c r="J508" s="103"/>
      <c r="K508" s="103"/>
      <c r="L508" s="103"/>
    </row>
    <row r="509">
      <c r="A509" s="103"/>
      <c r="B509" s="103"/>
      <c r="C509" s="103"/>
      <c r="D509" s="106"/>
      <c r="E509" s="107"/>
      <c r="F509" s="188"/>
      <c r="G509" s="188"/>
      <c r="H509" s="107"/>
      <c r="I509" s="103"/>
      <c r="J509" s="103"/>
      <c r="K509" s="103"/>
      <c r="L509" s="103"/>
    </row>
    <row r="510">
      <c r="A510" s="103"/>
      <c r="B510" s="103"/>
      <c r="C510" s="103"/>
      <c r="D510" s="106"/>
      <c r="E510" s="107"/>
      <c r="F510" s="188"/>
      <c r="G510" s="188"/>
      <c r="H510" s="107"/>
      <c r="I510" s="103"/>
      <c r="J510" s="103"/>
      <c r="K510" s="103"/>
      <c r="L510" s="103"/>
    </row>
    <row r="511">
      <c r="A511" s="103"/>
      <c r="B511" s="103"/>
      <c r="C511" s="103"/>
      <c r="D511" s="106"/>
      <c r="E511" s="107"/>
      <c r="F511" s="188"/>
      <c r="G511" s="188"/>
      <c r="H511" s="107"/>
      <c r="I511" s="103"/>
      <c r="J511" s="103"/>
      <c r="K511" s="103"/>
      <c r="L511" s="103"/>
    </row>
    <row r="512">
      <c r="A512" s="103"/>
      <c r="B512" s="103"/>
      <c r="C512" s="103"/>
      <c r="D512" s="106"/>
      <c r="E512" s="107"/>
      <c r="F512" s="188"/>
      <c r="G512" s="188"/>
      <c r="H512" s="107"/>
      <c r="I512" s="103"/>
      <c r="J512" s="103"/>
      <c r="K512" s="103"/>
      <c r="L512" s="103"/>
    </row>
    <row r="513">
      <c r="A513" s="103"/>
      <c r="B513" s="103"/>
      <c r="C513" s="103"/>
      <c r="D513" s="106"/>
      <c r="E513" s="107"/>
      <c r="F513" s="188"/>
      <c r="G513" s="188"/>
      <c r="H513" s="107"/>
      <c r="I513" s="103"/>
      <c r="J513" s="103"/>
      <c r="K513" s="103"/>
      <c r="L513" s="103"/>
    </row>
    <row r="514">
      <c r="A514" s="103"/>
      <c r="B514" s="103"/>
      <c r="C514" s="103"/>
      <c r="D514" s="106"/>
      <c r="E514" s="107"/>
      <c r="F514" s="188"/>
      <c r="G514" s="188"/>
      <c r="H514" s="107"/>
      <c r="I514" s="103"/>
      <c r="J514" s="103"/>
      <c r="K514" s="103"/>
      <c r="L514" s="103"/>
    </row>
    <row r="515">
      <c r="A515" s="103"/>
      <c r="B515" s="103"/>
      <c r="C515" s="103"/>
      <c r="D515" s="106"/>
      <c r="E515" s="107"/>
      <c r="F515" s="188"/>
      <c r="G515" s="188"/>
      <c r="H515" s="107"/>
      <c r="I515" s="103"/>
      <c r="J515" s="103"/>
      <c r="K515" s="103"/>
      <c r="L515" s="103"/>
    </row>
    <row r="516">
      <c r="A516" s="103"/>
      <c r="B516" s="103"/>
      <c r="C516" s="103"/>
      <c r="D516" s="106"/>
      <c r="E516" s="107"/>
      <c r="F516" s="188"/>
      <c r="G516" s="188"/>
      <c r="H516" s="107"/>
      <c r="I516" s="103"/>
      <c r="J516" s="103"/>
      <c r="K516" s="103"/>
      <c r="L516" s="103"/>
    </row>
    <row r="517">
      <c r="A517" s="103"/>
      <c r="B517" s="103"/>
      <c r="C517" s="103"/>
      <c r="D517" s="106"/>
      <c r="E517" s="107"/>
      <c r="F517" s="188"/>
      <c r="G517" s="188"/>
      <c r="H517" s="107"/>
      <c r="I517" s="103"/>
      <c r="J517" s="103"/>
      <c r="K517" s="103"/>
      <c r="L517" s="103"/>
    </row>
    <row r="518">
      <c r="A518" s="103"/>
      <c r="B518" s="103"/>
      <c r="C518" s="103"/>
      <c r="D518" s="106"/>
      <c r="E518" s="107"/>
      <c r="F518" s="188"/>
      <c r="G518" s="188"/>
      <c r="H518" s="107"/>
      <c r="I518" s="103"/>
      <c r="J518" s="103"/>
      <c r="K518" s="103"/>
      <c r="L518" s="103"/>
    </row>
    <row r="519">
      <c r="A519" s="103"/>
      <c r="B519" s="103"/>
      <c r="C519" s="103"/>
      <c r="D519" s="106"/>
      <c r="E519" s="107"/>
      <c r="F519" s="188"/>
      <c r="G519" s="188"/>
      <c r="H519" s="107"/>
      <c r="I519" s="103"/>
      <c r="J519" s="103"/>
      <c r="K519" s="103"/>
      <c r="L519" s="103"/>
    </row>
    <row r="520">
      <c r="A520" s="103"/>
      <c r="B520" s="103"/>
      <c r="C520" s="103"/>
      <c r="D520" s="106"/>
      <c r="E520" s="107"/>
      <c r="F520" s="188"/>
      <c r="G520" s="188"/>
      <c r="H520" s="107"/>
      <c r="I520" s="103"/>
      <c r="J520" s="103"/>
      <c r="K520" s="103"/>
      <c r="L520" s="103"/>
    </row>
    <row r="521">
      <c r="A521" s="103"/>
      <c r="B521" s="103"/>
      <c r="C521" s="103"/>
      <c r="D521" s="106"/>
      <c r="E521" s="107"/>
      <c r="F521" s="188"/>
      <c r="G521" s="188"/>
      <c r="H521" s="107"/>
      <c r="I521" s="103"/>
      <c r="J521" s="103"/>
      <c r="K521" s="103"/>
      <c r="L521" s="103"/>
    </row>
    <row r="522">
      <c r="A522" s="103"/>
      <c r="B522" s="103"/>
      <c r="C522" s="103"/>
      <c r="D522" s="106"/>
      <c r="E522" s="107"/>
      <c r="F522" s="188"/>
      <c r="G522" s="188"/>
      <c r="H522" s="107"/>
      <c r="I522" s="103"/>
      <c r="J522" s="103"/>
      <c r="K522" s="103"/>
      <c r="L522" s="103"/>
    </row>
    <row r="523">
      <c r="A523" s="103"/>
      <c r="B523" s="103"/>
      <c r="C523" s="103"/>
      <c r="D523" s="106"/>
      <c r="E523" s="107"/>
      <c r="F523" s="188"/>
      <c r="G523" s="188"/>
      <c r="H523" s="107"/>
      <c r="I523" s="103"/>
      <c r="J523" s="103"/>
      <c r="K523" s="103"/>
      <c r="L523" s="103"/>
    </row>
    <row r="524">
      <c r="A524" s="103"/>
      <c r="B524" s="103"/>
      <c r="C524" s="103"/>
      <c r="D524" s="106"/>
      <c r="E524" s="107"/>
      <c r="F524" s="188"/>
      <c r="G524" s="188"/>
      <c r="H524" s="107"/>
      <c r="I524" s="103"/>
      <c r="J524" s="103"/>
      <c r="K524" s="103"/>
      <c r="L524" s="103"/>
    </row>
    <row r="525">
      <c r="A525" s="103"/>
      <c r="B525" s="103"/>
      <c r="C525" s="103"/>
      <c r="D525" s="106"/>
      <c r="E525" s="107"/>
      <c r="F525" s="188"/>
      <c r="G525" s="188"/>
      <c r="H525" s="107"/>
      <c r="I525" s="103"/>
      <c r="J525" s="103"/>
      <c r="K525" s="103"/>
      <c r="L525" s="103"/>
    </row>
    <row r="526">
      <c r="A526" s="103"/>
      <c r="B526" s="103"/>
      <c r="C526" s="103"/>
      <c r="D526" s="106"/>
      <c r="E526" s="107"/>
      <c r="F526" s="188"/>
      <c r="G526" s="188"/>
      <c r="H526" s="107"/>
      <c r="I526" s="103"/>
      <c r="J526" s="103"/>
      <c r="K526" s="103"/>
      <c r="L526" s="103"/>
    </row>
    <row r="527">
      <c r="A527" s="103"/>
      <c r="B527" s="103"/>
      <c r="C527" s="103"/>
      <c r="D527" s="106"/>
      <c r="E527" s="107"/>
      <c r="F527" s="188"/>
      <c r="G527" s="188"/>
      <c r="H527" s="107"/>
      <c r="I527" s="103"/>
      <c r="J527" s="103"/>
      <c r="K527" s="103"/>
      <c r="L527" s="103"/>
    </row>
    <row r="528">
      <c r="A528" s="103"/>
      <c r="B528" s="103"/>
      <c r="C528" s="103"/>
      <c r="D528" s="106"/>
      <c r="E528" s="107"/>
      <c r="F528" s="188"/>
      <c r="G528" s="188"/>
      <c r="H528" s="107"/>
      <c r="I528" s="103"/>
      <c r="J528" s="103"/>
      <c r="K528" s="103"/>
      <c r="L528" s="103"/>
    </row>
    <row r="529">
      <c r="A529" s="103"/>
      <c r="B529" s="103"/>
      <c r="C529" s="103"/>
      <c r="D529" s="106"/>
      <c r="E529" s="107"/>
      <c r="F529" s="188"/>
      <c r="G529" s="188"/>
      <c r="H529" s="107"/>
      <c r="I529" s="103"/>
      <c r="J529" s="103"/>
      <c r="K529" s="103"/>
      <c r="L529" s="103"/>
    </row>
    <row r="530">
      <c r="A530" s="103"/>
      <c r="B530" s="103"/>
      <c r="C530" s="103"/>
      <c r="D530" s="106"/>
      <c r="E530" s="107"/>
      <c r="F530" s="188"/>
      <c r="G530" s="188"/>
      <c r="H530" s="107"/>
      <c r="I530" s="103"/>
      <c r="J530" s="103"/>
      <c r="K530" s="103"/>
      <c r="L530" s="103"/>
    </row>
    <row r="531">
      <c r="A531" s="103"/>
      <c r="B531" s="103"/>
      <c r="C531" s="103"/>
      <c r="D531" s="106"/>
      <c r="E531" s="107"/>
      <c r="F531" s="188"/>
      <c r="G531" s="188"/>
      <c r="H531" s="107"/>
      <c r="I531" s="103"/>
      <c r="J531" s="103"/>
      <c r="K531" s="103"/>
      <c r="L531" s="103"/>
    </row>
    <row r="532">
      <c r="A532" s="103"/>
      <c r="B532" s="103"/>
      <c r="C532" s="103"/>
      <c r="D532" s="106"/>
      <c r="E532" s="107"/>
      <c r="F532" s="188"/>
      <c r="G532" s="188"/>
      <c r="H532" s="107"/>
      <c r="I532" s="103"/>
      <c r="J532" s="103"/>
      <c r="K532" s="103"/>
      <c r="L532" s="103"/>
    </row>
    <row r="533">
      <c r="A533" s="103"/>
      <c r="B533" s="103"/>
      <c r="C533" s="103"/>
      <c r="D533" s="106"/>
      <c r="E533" s="107"/>
      <c r="F533" s="188"/>
      <c r="G533" s="188"/>
      <c r="H533" s="107"/>
      <c r="I533" s="103"/>
      <c r="J533" s="103"/>
      <c r="K533" s="103"/>
      <c r="L533" s="103"/>
    </row>
    <row r="534">
      <c r="A534" s="103"/>
      <c r="B534" s="103"/>
      <c r="C534" s="103"/>
      <c r="D534" s="106"/>
      <c r="E534" s="107"/>
      <c r="F534" s="188"/>
      <c r="G534" s="188"/>
      <c r="H534" s="107"/>
      <c r="I534" s="103"/>
      <c r="J534" s="103"/>
      <c r="K534" s="103"/>
      <c r="L534" s="103"/>
    </row>
    <row r="535">
      <c r="A535" s="103"/>
      <c r="B535" s="103"/>
      <c r="C535" s="103"/>
      <c r="D535" s="106"/>
      <c r="E535" s="107"/>
      <c r="F535" s="188"/>
      <c r="G535" s="188"/>
      <c r="H535" s="107"/>
      <c r="I535" s="103"/>
      <c r="J535" s="103"/>
      <c r="K535" s="103"/>
      <c r="L535" s="103"/>
    </row>
    <row r="536">
      <c r="A536" s="103"/>
      <c r="B536" s="103"/>
      <c r="C536" s="103"/>
      <c r="D536" s="106"/>
      <c r="E536" s="107"/>
      <c r="F536" s="188"/>
      <c r="G536" s="188"/>
      <c r="H536" s="107"/>
      <c r="I536" s="103"/>
      <c r="J536" s="103"/>
      <c r="K536" s="103"/>
      <c r="L536" s="103"/>
    </row>
    <row r="537">
      <c r="A537" s="103"/>
      <c r="B537" s="103"/>
      <c r="C537" s="103"/>
      <c r="D537" s="106"/>
      <c r="E537" s="107"/>
      <c r="F537" s="188"/>
      <c r="G537" s="188"/>
      <c r="H537" s="107"/>
      <c r="I537" s="103"/>
      <c r="J537" s="103"/>
      <c r="K537" s="103"/>
      <c r="L537" s="103"/>
    </row>
    <row r="538">
      <c r="A538" s="103"/>
      <c r="B538" s="103"/>
      <c r="C538" s="103"/>
      <c r="D538" s="106"/>
      <c r="E538" s="107"/>
      <c r="F538" s="188"/>
      <c r="G538" s="188"/>
      <c r="H538" s="107"/>
      <c r="I538" s="103"/>
      <c r="J538" s="103"/>
      <c r="K538" s="103"/>
      <c r="L538" s="103"/>
    </row>
    <row r="539">
      <c r="A539" s="103"/>
      <c r="B539" s="103"/>
      <c r="C539" s="103"/>
      <c r="D539" s="106"/>
      <c r="E539" s="107"/>
      <c r="F539" s="188"/>
      <c r="G539" s="188"/>
      <c r="H539" s="107"/>
      <c r="I539" s="103"/>
      <c r="J539" s="103"/>
      <c r="K539" s="103"/>
      <c r="L539" s="103"/>
    </row>
    <row r="540">
      <c r="A540" s="103"/>
      <c r="B540" s="103"/>
      <c r="C540" s="103"/>
      <c r="D540" s="106"/>
      <c r="E540" s="107"/>
      <c r="F540" s="188"/>
      <c r="G540" s="188"/>
      <c r="H540" s="107"/>
      <c r="I540" s="103"/>
      <c r="J540" s="103"/>
      <c r="K540" s="103"/>
      <c r="L540" s="103"/>
    </row>
    <row r="541">
      <c r="A541" s="103"/>
      <c r="B541" s="103"/>
      <c r="C541" s="103"/>
      <c r="D541" s="106"/>
      <c r="E541" s="107"/>
      <c r="F541" s="188"/>
      <c r="G541" s="188"/>
      <c r="H541" s="107"/>
      <c r="I541" s="103"/>
      <c r="J541" s="103"/>
      <c r="K541" s="103"/>
      <c r="L541" s="103"/>
    </row>
    <row r="542">
      <c r="A542" s="103"/>
      <c r="B542" s="103"/>
      <c r="C542" s="103"/>
      <c r="D542" s="106"/>
      <c r="E542" s="107"/>
      <c r="F542" s="188"/>
      <c r="G542" s="188"/>
      <c r="H542" s="107"/>
      <c r="I542" s="103"/>
      <c r="J542" s="103"/>
      <c r="K542" s="103"/>
      <c r="L542" s="103"/>
    </row>
    <row r="543">
      <c r="A543" s="103"/>
      <c r="B543" s="103"/>
      <c r="C543" s="103"/>
      <c r="D543" s="106"/>
      <c r="E543" s="107"/>
      <c r="F543" s="188"/>
      <c r="G543" s="188"/>
      <c r="H543" s="107"/>
      <c r="I543" s="103"/>
      <c r="J543" s="103"/>
      <c r="K543" s="103"/>
      <c r="L543" s="103"/>
    </row>
    <row r="544">
      <c r="A544" s="103"/>
      <c r="B544" s="103"/>
      <c r="C544" s="103"/>
      <c r="D544" s="106"/>
      <c r="E544" s="107"/>
      <c r="F544" s="188"/>
      <c r="G544" s="188"/>
      <c r="H544" s="107"/>
      <c r="I544" s="103"/>
      <c r="J544" s="103"/>
      <c r="K544" s="103"/>
      <c r="L544" s="103"/>
    </row>
    <row r="545">
      <c r="A545" s="103"/>
      <c r="B545" s="103"/>
      <c r="C545" s="103"/>
      <c r="D545" s="106"/>
      <c r="E545" s="107"/>
      <c r="F545" s="188"/>
      <c r="G545" s="188"/>
      <c r="H545" s="107"/>
      <c r="I545" s="103"/>
      <c r="J545" s="103"/>
      <c r="K545" s="103"/>
      <c r="L545" s="103"/>
    </row>
    <row r="546">
      <c r="A546" s="103"/>
      <c r="B546" s="103"/>
      <c r="C546" s="103"/>
      <c r="D546" s="106"/>
      <c r="E546" s="107"/>
      <c r="F546" s="188"/>
      <c r="G546" s="188"/>
      <c r="H546" s="107"/>
      <c r="I546" s="103"/>
      <c r="J546" s="103"/>
      <c r="K546" s="103"/>
      <c r="L546" s="103"/>
    </row>
    <row r="547">
      <c r="A547" s="103"/>
      <c r="B547" s="103"/>
      <c r="C547" s="103"/>
      <c r="D547" s="106"/>
      <c r="E547" s="107"/>
      <c r="F547" s="188"/>
      <c r="G547" s="188"/>
      <c r="H547" s="107"/>
      <c r="I547" s="103"/>
      <c r="J547" s="103"/>
      <c r="K547" s="103"/>
      <c r="L547" s="103"/>
    </row>
    <row r="548">
      <c r="A548" s="103"/>
      <c r="B548" s="103"/>
      <c r="C548" s="103"/>
      <c r="D548" s="106"/>
      <c r="E548" s="107"/>
      <c r="F548" s="188"/>
      <c r="G548" s="188"/>
      <c r="H548" s="107"/>
      <c r="I548" s="103"/>
      <c r="J548" s="103"/>
      <c r="K548" s="103"/>
      <c r="L548" s="103"/>
    </row>
    <row r="549">
      <c r="A549" s="103"/>
      <c r="B549" s="103"/>
      <c r="C549" s="103"/>
      <c r="D549" s="106"/>
      <c r="E549" s="107"/>
      <c r="F549" s="188"/>
      <c r="G549" s="188"/>
      <c r="H549" s="107"/>
      <c r="I549" s="103"/>
      <c r="J549" s="103"/>
      <c r="K549" s="103"/>
      <c r="L549" s="103"/>
    </row>
    <row r="550">
      <c r="A550" s="103"/>
      <c r="B550" s="103"/>
      <c r="C550" s="103"/>
      <c r="D550" s="106"/>
      <c r="E550" s="107"/>
      <c r="F550" s="188"/>
      <c r="G550" s="188"/>
      <c r="H550" s="107"/>
      <c r="I550" s="103"/>
      <c r="J550" s="103"/>
      <c r="K550" s="103"/>
      <c r="L550" s="103"/>
    </row>
    <row r="551">
      <c r="A551" s="103"/>
      <c r="B551" s="103"/>
      <c r="C551" s="103"/>
      <c r="D551" s="106"/>
      <c r="E551" s="107"/>
      <c r="F551" s="188"/>
      <c r="G551" s="188"/>
      <c r="H551" s="107"/>
      <c r="I551" s="103"/>
      <c r="J551" s="103"/>
      <c r="K551" s="103"/>
      <c r="L551" s="103"/>
    </row>
    <row r="552">
      <c r="A552" s="103"/>
      <c r="B552" s="103"/>
      <c r="C552" s="103"/>
      <c r="D552" s="106"/>
      <c r="E552" s="107"/>
      <c r="F552" s="188"/>
      <c r="G552" s="188"/>
      <c r="H552" s="107"/>
      <c r="I552" s="103"/>
      <c r="J552" s="103"/>
      <c r="K552" s="103"/>
      <c r="L552" s="103"/>
    </row>
    <row r="553">
      <c r="A553" s="103"/>
      <c r="B553" s="103"/>
      <c r="C553" s="103"/>
      <c r="D553" s="106"/>
      <c r="E553" s="107"/>
      <c r="F553" s="188"/>
      <c r="G553" s="188"/>
      <c r="H553" s="107"/>
      <c r="I553" s="103"/>
      <c r="J553" s="103"/>
      <c r="K553" s="103"/>
      <c r="L553" s="103"/>
    </row>
    <row r="554">
      <c r="A554" s="103"/>
      <c r="B554" s="103"/>
      <c r="C554" s="103"/>
      <c r="D554" s="106"/>
      <c r="E554" s="107"/>
      <c r="F554" s="188"/>
      <c r="G554" s="188"/>
      <c r="H554" s="107"/>
      <c r="I554" s="103"/>
      <c r="J554" s="103"/>
      <c r="K554" s="103"/>
      <c r="L554" s="103"/>
    </row>
    <row r="555">
      <c r="A555" s="103"/>
      <c r="B555" s="103"/>
      <c r="C555" s="103"/>
      <c r="D555" s="106"/>
      <c r="E555" s="107"/>
      <c r="F555" s="188"/>
      <c r="G555" s="188"/>
      <c r="H555" s="107"/>
      <c r="I555" s="103"/>
      <c r="J555" s="103"/>
      <c r="K555" s="103"/>
      <c r="L555" s="103"/>
    </row>
    <row r="556">
      <c r="A556" s="103"/>
      <c r="B556" s="103"/>
      <c r="C556" s="103"/>
      <c r="D556" s="106"/>
      <c r="E556" s="107"/>
      <c r="F556" s="188"/>
      <c r="G556" s="188"/>
      <c r="H556" s="107"/>
      <c r="I556" s="103"/>
      <c r="J556" s="103"/>
      <c r="K556" s="103"/>
      <c r="L556" s="103"/>
    </row>
    <row r="557">
      <c r="A557" s="103"/>
      <c r="B557" s="103"/>
      <c r="C557" s="103"/>
      <c r="D557" s="106"/>
      <c r="E557" s="107"/>
      <c r="F557" s="188"/>
      <c r="G557" s="188"/>
      <c r="H557" s="107"/>
      <c r="I557" s="103"/>
      <c r="J557" s="103"/>
      <c r="K557" s="103"/>
      <c r="L557" s="103"/>
    </row>
    <row r="558">
      <c r="A558" s="103"/>
      <c r="B558" s="103"/>
      <c r="C558" s="103"/>
      <c r="D558" s="106"/>
      <c r="E558" s="107"/>
      <c r="F558" s="188"/>
      <c r="G558" s="188"/>
      <c r="H558" s="107"/>
      <c r="I558" s="103"/>
      <c r="J558" s="103"/>
      <c r="K558" s="103"/>
      <c r="L558" s="103"/>
    </row>
    <row r="559">
      <c r="A559" s="103"/>
      <c r="B559" s="103"/>
      <c r="C559" s="103"/>
      <c r="D559" s="106"/>
      <c r="E559" s="107"/>
      <c r="F559" s="188"/>
      <c r="G559" s="188"/>
      <c r="H559" s="107"/>
      <c r="I559" s="103"/>
      <c r="J559" s="103"/>
      <c r="K559" s="103"/>
      <c r="L559" s="103"/>
    </row>
    <row r="560">
      <c r="A560" s="103"/>
      <c r="B560" s="103"/>
      <c r="C560" s="103"/>
      <c r="D560" s="106"/>
      <c r="E560" s="107"/>
      <c r="F560" s="188"/>
      <c r="G560" s="188"/>
      <c r="H560" s="107"/>
      <c r="I560" s="103"/>
      <c r="J560" s="103"/>
      <c r="K560" s="103"/>
      <c r="L560" s="103"/>
    </row>
    <row r="561">
      <c r="A561" s="103"/>
      <c r="B561" s="103"/>
      <c r="C561" s="103"/>
      <c r="D561" s="106"/>
      <c r="E561" s="107"/>
      <c r="F561" s="188"/>
      <c r="G561" s="188"/>
      <c r="H561" s="107"/>
      <c r="I561" s="103"/>
      <c r="J561" s="103"/>
      <c r="K561" s="103"/>
      <c r="L561" s="103"/>
    </row>
    <row r="562">
      <c r="A562" s="103"/>
      <c r="B562" s="103"/>
      <c r="C562" s="103"/>
      <c r="D562" s="106"/>
      <c r="E562" s="107"/>
      <c r="F562" s="188"/>
      <c r="G562" s="188"/>
      <c r="H562" s="107"/>
      <c r="I562" s="103"/>
      <c r="J562" s="103"/>
      <c r="K562" s="103"/>
      <c r="L562" s="103"/>
    </row>
    <row r="563">
      <c r="A563" s="103"/>
      <c r="B563" s="103"/>
      <c r="C563" s="103"/>
      <c r="D563" s="106"/>
      <c r="E563" s="107"/>
      <c r="F563" s="188"/>
      <c r="G563" s="188"/>
      <c r="H563" s="107"/>
      <c r="I563" s="103"/>
      <c r="J563" s="103"/>
      <c r="K563" s="103"/>
      <c r="L563" s="103"/>
    </row>
    <row r="564">
      <c r="A564" s="103"/>
      <c r="B564" s="103"/>
      <c r="C564" s="103"/>
      <c r="D564" s="106"/>
      <c r="E564" s="107"/>
      <c r="F564" s="188"/>
      <c r="G564" s="188"/>
      <c r="H564" s="107"/>
      <c r="I564" s="103"/>
      <c r="J564" s="103"/>
      <c r="K564" s="103"/>
      <c r="L564" s="103"/>
    </row>
    <row r="565">
      <c r="A565" s="103"/>
      <c r="B565" s="103"/>
      <c r="C565" s="103"/>
      <c r="D565" s="106"/>
      <c r="E565" s="107"/>
      <c r="F565" s="188"/>
      <c r="G565" s="188"/>
      <c r="H565" s="107"/>
      <c r="I565" s="103"/>
      <c r="J565" s="103"/>
      <c r="K565" s="103"/>
      <c r="L565" s="103"/>
    </row>
    <row r="566">
      <c r="A566" s="103"/>
      <c r="B566" s="103"/>
      <c r="C566" s="103"/>
      <c r="D566" s="106"/>
      <c r="E566" s="107"/>
      <c r="F566" s="188"/>
      <c r="G566" s="188"/>
      <c r="H566" s="107"/>
      <c r="I566" s="103"/>
      <c r="J566" s="103"/>
      <c r="K566" s="103"/>
      <c r="L566" s="103"/>
    </row>
    <row r="567">
      <c r="A567" s="103"/>
      <c r="B567" s="103"/>
      <c r="C567" s="103"/>
      <c r="D567" s="106"/>
      <c r="E567" s="107"/>
      <c r="F567" s="188"/>
      <c r="G567" s="188"/>
      <c r="H567" s="107"/>
      <c r="I567" s="103"/>
      <c r="J567" s="103"/>
      <c r="K567" s="103"/>
      <c r="L567" s="103"/>
    </row>
    <row r="568">
      <c r="A568" s="103"/>
      <c r="B568" s="103"/>
      <c r="C568" s="103"/>
      <c r="D568" s="106"/>
      <c r="E568" s="107"/>
      <c r="F568" s="188"/>
      <c r="G568" s="188"/>
      <c r="H568" s="107"/>
      <c r="I568" s="103"/>
      <c r="J568" s="103"/>
      <c r="K568" s="103"/>
      <c r="L568" s="103"/>
    </row>
    <row r="569">
      <c r="A569" s="103"/>
      <c r="B569" s="103"/>
      <c r="C569" s="103"/>
      <c r="D569" s="106"/>
      <c r="E569" s="107"/>
      <c r="F569" s="188"/>
      <c r="G569" s="188"/>
      <c r="H569" s="107"/>
      <c r="I569" s="103"/>
      <c r="J569" s="103"/>
      <c r="K569" s="103"/>
      <c r="L569" s="103"/>
    </row>
    <row r="570">
      <c r="A570" s="103"/>
      <c r="B570" s="103"/>
      <c r="C570" s="103"/>
      <c r="D570" s="106"/>
      <c r="E570" s="107"/>
      <c r="F570" s="188"/>
      <c r="G570" s="188"/>
      <c r="H570" s="107"/>
      <c r="I570" s="103"/>
      <c r="J570" s="103"/>
      <c r="K570" s="103"/>
      <c r="L570" s="103"/>
    </row>
    <row r="571">
      <c r="A571" s="103"/>
      <c r="B571" s="103"/>
      <c r="C571" s="103"/>
      <c r="D571" s="106"/>
      <c r="E571" s="107"/>
      <c r="F571" s="188"/>
      <c r="G571" s="188"/>
      <c r="H571" s="107"/>
      <c r="I571" s="103"/>
      <c r="J571" s="103"/>
      <c r="K571" s="103"/>
      <c r="L571" s="103"/>
    </row>
    <row r="572">
      <c r="A572" s="103"/>
      <c r="B572" s="103"/>
      <c r="C572" s="103"/>
      <c r="D572" s="106"/>
      <c r="E572" s="107"/>
      <c r="F572" s="188"/>
      <c r="G572" s="188"/>
      <c r="H572" s="107"/>
      <c r="I572" s="103"/>
      <c r="J572" s="103"/>
      <c r="K572" s="103"/>
      <c r="L572" s="103"/>
    </row>
    <row r="573">
      <c r="A573" s="103"/>
      <c r="B573" s="103"/>
      <c r="C573" s="103"/>
      <c r="D573" s="106"/>
      <c r="E573" s="107"/>
      <c r="F573" s="188"/>
      <c r="G573" s="188"/>
      <c r="H573" s="107"/>
      <c r="I573" s="103"/>
      <c r="J573" s="103"/>
      <c r="K573" s="103"/>
      <c r="L573" s="103"/>
    </row>
    <row r="574">
      <c r="A574" s="103"/>
      <c r="B574" s="103"/>
      <c r="C574" s="103"/>
      <c r="D574" s="106"/>
      <c r="E574" s="107"/>
      <c r="F574" s="188"/>
      <c r="G574" s="188"/>
      <c r="H574" s="107"/>
      <c r="I574" s="103"/>
      <c r="J574" s="103"/>
      <c r="K574" s="103"/>
      <c r="L574" s="103"/>
    </row>
    <row r="575">
      <c r="A575" s="103"/>
      <c r="B575" s="103"/>
      <c r="C575" s="103"/>
      <c r="D575" s="106"/>
      <c r="E575" s="107"/>
      <c r="F575" s="188"/>
      <c r="G575" s="188"/>
      <c r="H575" s="107"/>
      <c r="I575" s="103"/>
      <c r="J575" s="103"/>
      <c r="K575" s="103"/>
      <c r="L575" s="103"/>
    </row>
    <row r="576">
      <c r="A576" s="103"/>
      <c r="B576" s="103"/>
      <c r="C576" s="103"/>
      <c r="D576" s="106"/>
      <c r="E576" s="107"/>
      <c r="F576" s="188"/>
      <c r="G576" s="188"/>
      <c r="H576" s="107"/>
      <c r="I576" s="103"/>
      <c r="J576" s="103"/>
      <c r="K576" s="103"/>
      <c r="L576" s="103"/>
    </row>
    <row r="577">
      <c r="A577" s="103"/>
      <c r="B577" s="103"/>
      <c r="C577" s="103"/>
      <c r="D577" s="106"/>
      <c r="E577" s="107"/>
      <c r="F577" s="188"/>
      <c r="G577" s="188"/>
      <c r="H577" s="107"/>
      <c r="I577" s="103"/>
      <c r="J577" s="103"/>
      <c r="K577" s="103"/>
      <c r="L577" s="103"/>
    </row>
    <row r="578">
      <c r="A578" s="103"/>
      <c r="B578" s="103"/>
      <c r="C578" s="103"/>
      <c r="D578" s="106"/>
      <c r="E578" s="107"/>
      <c r="F578" s="188"/>
      <c r="G578" s="188"/>
      <c r="H578" s="107"/>
      <c r="I578" s="103"/>
      <c r="J578" s="103"/>
      <c r="K578" s="103"/>
      <c r="L578" s="103"/>
    </row>
    <row r="579">
      <c r="A579" s="103"/>
      <c r="B579" s="103"/>
      <c r="C579" s="103"/>
      <c r="D579" s="106"/>
      <c r="E579" s="107"/>
      <c r="F579" s="188"/>
      <c r="G579" s="188"/>
      <c r="H579" s="107"/>
      <c r="I579" s="103"/>
      <c r="J579" s="103"/>
      <c r="K579" s="103"/>
      <c r="L579" s="103"/>
    </row>
    <row r="580">
      <c r="A580" s="103"/>
      <c r="B580" s="103"/>
      <c r="C580" s="103"/>
      <c r="D580" s="106"/>
      <c r="E580" s="107"/>
      <c r="F580" s="188"/>
      <c r="G580" s="188"/>
      <c r="H580" s="107"/>
      <c r="I580" s="103"/>
      <c r="J580" s="103"/>
      <c r="K580" s="103"/>
      <c r="L580" s="103"/>
    </row>
    <row r="581">
      <c r="A581" s="103"/>
      <c r="B581" s="103"/>
      <c r="C581" s="103"/>
      <c r="D581" s="106"/>
      <c r="E581" s="107"/>
      <c r="F581" s="188"/>
      <c r="G581" s="188"/>
      <c r="H581" s="107"/>
      <c r="I581" s="103"/>
      <c r="J581" s="103"/>
      <c r="K581" s="103"/>
      <c r="L581" s="103"/>
    </row>
    <row r="582">
      <c r="A582" s="103"/>
      <c r="B582" s="103"/>
      <c r="C582" s="103"/>
      <c r="D582" s="106"/>
      <c r="E582" s="107"/>
      <c r="F582" s="188"/>
      <c r="G582" s="188"/>
      <c r="H582" s="107"/>
      <c r="I582" s="103"/>
      <c r="J582" s="103"/>
      <c r="K582" s="103"/>
      <c r="L582" s="103"/>
    </row>
    <row r="583">
      <c r="A583" s="103"/>
      <c r="B583" s="103"/>
      <c r="C583" s="103"/>
      <c r="D583" s="106"/>
      <c r="E583" s="107"/>
      <c r="F583" s="188"/>
      <c r="G583" s="188"/>
      <c r="H583" s="107"/>
      <c r="I583" s="103"/>
      <c r="J583" s="103"/>
      <c r="K583" s="103"/>
      <c r="L583" s="103"/>
    </row>
    <row r="584">
      <c r="A584" s="103"/>
      <c r="B584" s="103"/>
      <c r="C584" s="103"/>
      <c r="D584" s="106"/>
      <c r="E584" s="107"/>
      <c r="F584" s="188"/>
      <c r="G584" s="188"/>
      <c r="H584" s="107"/>
      <c r="I584" s="103"/>
      <c r="J584" s="103"/>
      <c r="K584" s="103"/>
      <c r="L584" s="103"/>
    </row>
    <row r="585">
      <c r="A585" s="103"/>
      <c r="B585" s="103"/>
      <c r="C585" s="103"/>
      <c r="D585" s="106"/>
      <c r="E585" s="107"/>
      <c r="F585" s="188"/>
      <c r="G585" s="188"/>
      <c r="H585" s="107"/>
      <c r="I585" s="103"/>
      <c r="J585" s="103"/>
      <c r="K585" s="103"/>
      <c r="L585" s="103"/>
    </row>
    <row r="586">
      <c r="A586" s="103"/>
      <c r="B586" s="103"/>
      <c r="C586" s="103"/>
      <c r="D586" s="106"/>
      <c r="E586" s="107"/>
      <c r="F586" s="188"/>
      <c r="G586" s="188"/>
      <c r="H586" s="107"/>
      <c r="I586" s="103"/>
      <c r="J586" s="103"/>
      <c r="K586" s="103"/>
      <c r="L586" s="103"/>
    </row>
    <row r="587">
      <c r="A587" s="103"/>
      <c r="B587" s="103"/>
      <c r="C587" s="103"/>
      <c r="D587" s="106"/>
      <c r="E587" s="107"/>
      <c r="F587" s="188"/>
      <c r="G587" s="188"/>
      <c r="H587" s="107"/>
      <c r="I587" s="103"/>
      <c r="J587" s="103"/>
      <c r="K587" s="103"/>
      <c r="L587" s="103"/>
    </row>
    <row r="588">
      <c r="A588" s="103"/>
      <c r="B588" s="103"/>
      <c r="C588" s="103"/>
      <c r="D588" s="106"/>
      <c r="E588" s="107"/>
      <c r="F588" s="188"/>
      <c r="G588" s="188"/>
      <c r="H588" s="107"/>
      <c r="I588" s="103"/>
      <c r="J588" s="103"/>
      <c r="K588" s="103"/>
      <c r="L588" s="103"/>
    </row>
    <row r="589">
      <c r="A589" s="103"/>
      <c r="B589" s="103"/>
      <c r="C589" s="103"/>
      <c r="D589" s="106"/>
      <c r="E589" s="107"/>
      <c r="F589" s="188"/>
      <c r="G589" s="188"/>
      <c r="H589" s="107"/>
      <c r="I589" s="103"/>
      <c r="J589" s="103"/>
      <c r="K589" s="103"/>
      <c r="L589" s="103"/>
    </row>
    <row r="590">
      <c r="A590" s="103"/>
      <c r="B590" s="103"/>
      <c r="C590" s="103"/>
      <c r="D590" s="106"/>
      <c r="E590" s="107"/>
      <c r="F590" s="188"/>
      <c r="G590" s="188"/>
      <c r="H590" s="107"/>
      <c r="I590" s="103"/>
      <c r="J590" s="103"/>
      <c r="K590" s="103"/>
      <c r="L590" s="103"/>
    </row>
    <row r="591">
      <c r="A591" s="103"/>
      <c r="B591" s="103"/>
      <c r="C591" s="103"/>
      <c r="D591" s="106"/>
      <c r="E591" s="107"/>
      <c r="F591" s="188"/>
      <c r="G591" s="188"/>
      <c r="H591" s="107"/>
      <c r="I591" s="103"/>
      <c r="J591" s="103"/>
      <c r="K591" s="103"/>
      <c r="L591" s="103"/>
    </row>
    <row r="592">
      <c r="A592" s="103"/>
      <c r="B592" s="103"/>
      <c r="C592" s="103"/>
      <c r="D592" s="106"/>
      <c r="E592" s="107"/>
      <c r="F592" s="188"/>
      <c r="G592" s="188"/>
      <c r="H592" s="107"/>
      <c r="I592" s="103"/>
      <c r="J592" s="103"/>
      <c r="K592" s="103"/>
      <c r="L592" s="103"/>
    </row>
    <row r="593">
      <c r="A593" s="103"/>
      <c r="B593" s="103"/>
      <c r="C593" s="103"/>
      <c r="D593" s="106"/>
      <c r="E593" s="107"/>
      <c r="F593" s="188"/>
      <c r="G593" s="188"/>
      <c r="H593" s="107"/>
      <c r="I593" s="103"/>
      <c r="J593" s="103"/>
      <c r="K593" s="103"/>
      <c r="L593" s="103"/>
    </row>
    <row r="594">
      <c r="A594" s="103"/>
      <c r="B594" s="103"/>
      <c r="C594" s="103"/>
      <c r="D594" s="106"/>
      <c r="E594" s="107"/>
      <c r="F594" s="188"/>
      <c r="G594" s="188"/>
      <c r="H594" s="107"/>
      <c r="I594" s="103"/>
      <c r="J594" s="103"/>
      <c r="K594" s="103"/>
      <c r="L594" s="103"/>
    </row>
    <row r="595">
      <c r="A595" s="103"/>
      <c r="B595" s="103"/>
      <c r="C595" s="103"/>
      <c r="D595" s="106"/>
      <c r="E595" s="107"/>
      <c r="F595" s="188"/>
      <c r="G595" s="188"/>
      <c r="H595" s="107"/>
      <c r="I595" s="103"/>
      <c r="J595" s="103"/>
      <c r="K595" s="103"/>
      <c r="L595" s="103"/>
    </row>
    <row r="596">
      <c r="A596" s="103"/>
      <c r="B596" s="103"/>
      <c r="C596" s="103"/>
      <c r="D596" s="106"/>
      <c r="E596" s="107"/>
      <c r="F596" s="188"/>
      <c r="G596" s="188"/>
      <c r="H596" s="107"/>
      <c r="I596" s="103"/>
      <c r="J596" s="103"/>
      <c r="K596" s="103"/>
      <c r="L596" s="103"/>
    </row>
    <row r="597">
      <c r="A597" s="103"/>
      <c r="B597" s="103"/>
      <c r="C597" s="103"/>
      <c r="D597" s="106"/>
      <c r="E597" s="107"/>
      <c r="F597" s="188"/>
      <c r="G597" s="188"/>
      <c r="H597" s="107"/>
      <c r="I597" s="103"/>
      <c r="J597" s="103"/>
      <c r="K597" s="103"/>
      <c r="L597" s="103"/>
    </row>
    <row r="598">
      <c r="A598" s="103"/>
      <c r="B598" s="103"/>
      <c r="C598" s="103"/>
      <c r="D598" s="106"/>
      <c r="E598" s="107"/>
      <c r="F598" s="188"/>
      <c r="G598" s="188"/>
      <c r="H598" s="107"/>
      <c r="I598" s="103"/>
      <c r="J598" s="103"/>
      <c r="K598" s="103"/>
      <c r="L598" s="103"/>
    </row>
    <row r="599">
      <c r="A599" s="103"/>
      <c r="B599" s="103"/>
      <c r="C599" s="103"/>
      <c r="D599" s="106"/>
      <c r="E599" s="107"/>
      <c r="F599" s="188"/>
      <c r="G599" s="188"/>
      <c r="H599" s="107"/>
      <c r="I599" s="103"/>
      <c r="J599" s="103"/>
      <c r="K599" s="103"/>
      <c r="L599" s="103"/>
    </row>
    <row r="600">
      <c r="A600" s="103"/>
      <c r="B600" s="103"/>
      <c r="C600" s="103"/>
      <c r="D600" s="106"/>
      <c r="E600" s="107"/>
      <c r="F600" s="188"/>
      <c r="G600" s="188"/>
      <c r="H600" s="107"/>
      <c r="I600" s="103"/>
      <c r="J600" s="103"/>
      <c r="K600" s="103"/>
      <c r="L600" s="103"/>
    </row>
    <row r="601">
      <c r="A601" s="103"/>
      <c r="B601" s="103"/>
      <c r="C601" s="103"/>
      <c r="D601" s="106"/>
      <c r="E601" s="107"/>
      <c r="F601" s="188"/>
      <c r="G601" s="188"/>
      <c r="H601" s="107"/>
      <c r="I601" s="103"/>
      <c r="J601" s="103"/>
      <c r="K601" s="103"/>
      <c r="L601" s="103"/>
    </row>
    <row r="602">
      <c r="A602" s="103"/>
      <c r="B602" s="103"/>
      <c r="C602" s="103"/>
      <c r="D602" s="106"/>
      <c r="E602" s="107"/>
      <c r="F602" s="188"/>
      <c r="G602" s="188"/>
      <c r="H602" s="107"/>
      <c r="I602" s="103"/>
      <c r="J602" s="103"/>
      <c r="K602" s="103"/>
      <c r="L602" s="103"/>
    </row>
    <row r="603">
      <c r="A603" s="103"/>
      <c r="B603" s="103"/>
      <c r="C603" s="103"/>
      <c r="D603" s="106"/>
      <c r="E603" s="107"/>
      <c r="F603" s="188"/>
      <c r="G603" s="188"/>
      <c r="H603" s="107"/>
      <c r="I603" s="103"/>
      <c r="J603" s="103"/>
      <c r="K603" s="103"/>
      <c r="L603" s="103"/>
    </row>
    <row r="604">
      <c r="A604" s="103"/>
      <c r="B604" s="103"/>
      <c r="C604" s="103"/>
      <c r="D604" s="106"/>
      <c r="E604" s="107"/>
      <c r="F604" s="188"/>
      <c r="G604" s="188"/>
      <c r="H604" s="107"/>
      <c r="I604" s="103"/>
      <c r="J604" s="103"/>
      <c r="K604" s="103"/>
      <c r="L604" s="103"/>
    </row>
    <row r="605">
      <c r="A605" s="103"/>
      <c r="B605" s="103"/>
      <c r="C605" s="103"/>
      <c r="D605" s="106"/>
      <c r="E605" s="107"/>
      <c r="F605" s="188"/>
      <c r="G605" s="188"/>
      <c r="H605" s="107"/>
      <c r="I605" s="103"/>
      <c r="J605" s="103"/>
      <c r="K605" s="103"/>
      <c r="L605" s="103"/>
    </row>
    <row r="606">
      <c r="A606" s="103"/>
      <c r="B606" s="103"/>
      <c r="C606" s="103"/>
      <c r="D606" s="106"/>
      <c r="E606" s="107"/>
      <c r="F606" s="188"/>
      <c r="G606" s="188"/>
      <c r="H606" s="107"/>
      <c r="I606" s="103"/>
      <c r="J606" s="103"/>
      <c r="K606" s="103"/>
      <c r="L606" s="103"/>
    </row>
    <row r="607">
      <c r="A607" s="103"/>
      <c r="B607" s="103"/>
      <c r="C607" s="103"/>
      <c r="D607" s="106"/>
      <c r="E607" s="107"/>
      <c r="F607" s="188"/>
      <c r="G607" s="188"/>
      <c r="H607" s="107"/>
      <c r="I607" s="103"/>
      <c r="J607" s="103"/>
      <c r="K607" s="103"/>
      <c r="L607" s="103"/>
    </row>
    <row r="608">
      <c r="A608" s="103"/>
      <c r="B608" s="103"/>
      <c r="C608" s="103"/>
      <c r="D608" s="106"/>
      <c r="E608" s="107"/>
      <c r="F608" s="188"/>
      <c r="G608" s="188"/>
      <c r="H608" s="107"/>
      <c r="I608" s="103"/>
      <c r="J608" s="103"/>
      <c r="K608" s="103"/>
      <c r="L608" s="103"/>
    </row>
    <row r="609">
      <c r="A609" s="103"/>
      <c r="B609" s="103"/>
      <c r="C609" s="103"/>
      <c r="D609" s="106"/>
      <c r="E609" s="107"/>
      <c r="F609" s="188"/>
      <c r="G609" s="188"/>
      <c r="H609" s="107"/>
      <c r="I609" s="103"/>
      <c r="J609" s="103"/>
      <c r="K609" s="103"/>
      <c r="L609" s="103"/>
    </row>
    <row r="610">
      <c r="A610" s="103"/>
      <c r="B610" s="103"/>
      <c r="C610" s="103"/>
      <c r="D610" s="106"/>
      <c r="E610" s="107"/>
      <c r="F610" s="188"/>
      <c r="G610" s="188"/>
      <c r="H610" s="107"/>
      <c r="I610" s="103"/>
      <c r="J610" s="103"/>
      <c r="K610" s="103"/>
      <c r="L610" s="103"/>
    </row>
    <row r="611">
      <c r="A611" s="103"/>
      <c r="B611" s="103"/>
      <c r="C611" s="103"/>
      <c r="D611" s="106"/>
      <c r="E611" s="107"/>
      <c r="F611" s="188"/>
      <c r="G611" s="188"/>
      <c r="H611" s="107"/>
      <c r="I611" s="103"/>
      <c r="J611" s="103"/>
      <c r="K611" s="103"/>
      <c r="L611" s="103"/>
    </row>
    <row r="612">
      <c r="A612" s="103"/>
      <c r="B612" s="103"/>
      <c r="C612" s="103"/>
      <c r="D612" s="106"/>
      <c r="E612" s="107"/>
      <c r="F612" s="188"/>
      <c r="G612" s="188"/>
      <c r="H612" s="107"/>
      <c r="I612" s="103"/>
      <c r="J612" s="103"/>
      <c r="K612" s="103"/>
      <c r="L612" s="103"/>
    </row>
    <row r="613">
      <c r="A613" s="103"/>
      <c r="B613" s="103"/>
      <c r="C613" s="103"/>
      <c r="D613" s="106"/>
      <c r="E613" s="107"/>
      <c r="F613" s="188"/>
      <c r="G613" s="188"/>
      <c r="H613" s="107"/>
      <c r="I613" s="103"/>
      <c r="J613" s="103"/>
      <c r="K613" s="103"/>
      <c r="L613" s="103"/>
    </row>
  </sheetData>
  <autoFilter ref="$B$1:$L$613">
    <sortState ref="B1:L613">
      <sortCondition ref="E1:E613"/>
      <sortCondition descending="1" ref="B1:B613"/>
      <sortCondition ref="D1:D613"/>
      <sortCondition ref="H1:H613"/>
    </sortState>
  </autoFilter>
  <printOptions gridLines="1" horizontalCentered="1"/>
  <pageMargins bottom="0.75" footer="0.0" header="0.0" left="0.25" right="0.25"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88"/>
    <col customWidth="1" min="2" max="2" width="22.5"/>
    <col customWidth="1" min="3" max="3" width="21.5"/>
    <col customWidth="1" min="4" max="4" width="22.0"/>
    <col customWidth="1" min="5" max="5" width="26.5"/>
    <col customWidth="1" min="6" max="6" width="18.63"/>
    <col customWidth="1" min="7" max="7" width="15.75"/>
    <col customWidth="1" min="8" max="8" width="25.0"/>
  </cols>
  <sheetData>
    <row r="1">
      <c r="A1" s="189" t="s">
        <v>631</v>
      </c>
      <c r="B1" s="189" t="s">
        <v>639</v>
      </c>
      <c r="C1" s="189" t="s">
        <v>640</v>
      </c>
      <c r="D1" s="189" t="s">
        <v>641</v>
      </c>
      <c r="E1" s="189" t="s">
        <v>642</v>
      </c>
      <c r="F1" s="189" t="s">
        <v>643</v>
      </c>
      <c r="G1" s="189" t="s">
        <v>644</v>
      </c>
      <c r="H1" s="189" t="s">
        <v>617</v>
      </c>
    </row>
    <row r="2">
      <c r="A2" s="190">
        <v>2635.0</v>
      </c>
      <c r="B2" s="191">
        <f>VLOOKUP(A2,'RECURSO ACTUAL'!A:F,5,0)</f>
        <v>46253</v>
      </c>
      <c r="C2" s="191">
        <f>VLOOKUP(A2,'RECURSO ACTUAL'!A:F,6,0)</f>
        <v>46254</v>
      </c>
      <c r="D2" s="192">
        <v>45315.0</v>
      </c>
      <c r="E2" s="193" t="s">
        <v>645</v>
      </c>
      <c r="F2" s="194" t="s">
        <v>646</v>
      </c>
      <c r="G2" s="194" t="s">
        <v>647</v>
      </c>
      <c r="H2" s="190" t="s">
        <v>648</v>
      </c>
      <c r="I2" s="195"/>
      <c r="J2" s="195"/>
      <c r="K2" s="195"/>
      <c r="L2" s="195"/>
      <c r="M2" s="195"/>
      <c r="N2" s="195"/>
      <c r="O2" s="195"/>
      <c r="P2" s="195"/>
      <c r="Q2" s="195"/>
      <c r="R2" s="195"/>
      <c r="S2" s="195"/>
      <c r="T2" s="195"/>
      <c r="U2" s="195"/>
      <c r="V2" s="195"/>
      <c r="W2" s="195"/>
      <c r="X2" s="195"/>
      <c r="Y2" s="195"/>
      <c r="Z2" s="195"/>
      <c r="AA2" s="195"/>
    </row>
    <row r="3">
      <c r="A3" s="190">
        <v>2634.0</v>
      </c>
      <c r="B3" s="196" t="str">
        <f>VLOOKUP(A3,'RECURSO ACTUAL'!A:F,5,0)</f>
        <v>#N/A</v>
      </c>
      <c r="C3" s="196" t="str">
        <f>VLOOKUP(A3,'RECURSO ACTUAL'!A:F,6,0)</f>
        <v>#N/A</v>
      </c>
      <c r="D3" s="192">
        <v>45315.0</v>
      </c>
      <c r="E3" s="197" t="s">
        <v>649</v>
      </c>
      <c r="F3" s="194" t="s">
        <v>650</v>
      </c>
      <c r="G3" s="194" t="s">
        <v>651</v>
      </c>
      <c r="H3" s="190" t="s">
        <v>648</v>
      </c>
    </row>
    <row r="4">
      <c r="A4" s="190">
        <v>2637.0</v>
      </c>
      <c r="B4" s="191">
        <f>VLOOKUP(A4,'RECURSO ACTUAL'!A:F,5,0)</f>
        <v>46253</v>
      </c>
      <c r="C4" s="191">
        <f>VLOOKUP(A4,'RECURSO ACTUAL'!A:F,6,0)</f>
        <v>46249</v>
      </c>
      <c r="D4" s="192">
        <v>45316.0</v>
      </c>
      <c r="E4" s="198" t="s">
        <v>652</v>
      </c>
      <c r="F4" s="194" t="s">
        <v>650</v>
      </c>
      <c r="G4" s="194" t="s">
        <v>651</v>
      </c>
      <c r="H4" s="190" t="s">
        <v>648</v>
      </c>
    </row>
    <row r="5">
      <c r="A5" s="78"/>
      <c r="B5" s="78"/>
      <c r="C5" s="78"/>
      <c r="D5" s="78"/>
      <c r="E5" s="78"/>
      <c r="F5" s="78"/>
      <c r="G5" s="78"/>
      <c r="H5" s="78"/>
    </row>
    <row r="6">
      <c r="A6" s="78"/>
      <c r="B6" s="78"/>
      <c r="C6" s="78"/>
      <c r="D6" s="78"/>
      <c r="E6" s="78"/>
      <c r="F6" s="78"/>
      <c r="G6" s="78"/>
      <c r="H6" s="78"/>
    </row>
    <row r="7">
      <c r="A7" s="78"/>
      <c r="B7" s="78"/>
      <c r="C7" s="78"/>
      <c r="D7" s="78"/>
      <c r="E7" s="78"/>
      <c r="F7" s="78"/>
      <c r="G7" s="78"/>
      <c r="H7" s="78"/>
    </row>
    <row r="8">
      <c r="A8" s="78"/>
      <c r="B8" s="78"/>
      <c r="C8" s="78"/>
      <c r="D8" s="78"/>
      <c r="E8" s="78"/>
      <c r="F8" s="78"/>
      <c r="G8" s="78"/>
      <c r="H8" s="78"/>
    </row>
    <row r="9">
      <c r="A9" s="78"/>
      <c r="B9" s="78"/>
      <c r="C9" s="78"/>
      <c r="D9" s="78"/>
      <c r="E9" s="78"/>
      <c r="F9" s="78"/>
      <c r="G9" s="78"/>
      <c r="H9" s="78"/>
    </row>
    <row r="10">
      <c r="A10" s="78"/>
      <c r="B10" s="78"/>
      <c r="C10" s="78"/>
      <c r="D10" s="78"/>
      <c r="E10" s="78"/>
      <c r="F10" s="78"/>
      <c r="G10" s="78"/>
      <c r="H10" s="78"/>
    </row>
    <row r="11">
      <c r="A11" s="78"/>
      <c r="B11" s="78"/>
      <c r="C11" s="78"/>
      <c r="D11" s="78"/>
      <c r="E11" s="78"/>
      <c r="F11" s="78"/>
      <c r="G11" s="78"/>
      <c r="H11" s="78"/>
    </row>
    <row r="12">
      <c r="A12" s="78"/>
      <c r="B12" s="78"/>
      <c r="C12" s="78"/>
      <c r="D12" s="78"/>
      <c r="E12" s="78"/>
      <c r="F12" s="78"/>
      <c r="G12" s="78"/>
      <c r="H12" s="78"/>
    </row>
    <row r="13">
      <c r="A13" s="78"/>
      <c r="B13" s="78"/>
      <c r="C13" s="78"/>
      <c r="D13" s="78"/>
      <c r="E13" s="78"/>
      <c r="F13" s="78"/>
      <c r="G13" s="78"/>
      <c r="H13" s="78"/>
    </row>
    <row r="14">
      <c r="A14" s="78"/>
      <c r="B14" s="78"/>
      <c r="C14" s="78"/>
      <c r="D14" s="78"/>
      <c r="E14" s="78"/>
      <c r="F14" s="78"/>
      <c r="G14" s="78"/>
      <c r="H14" s="78"/>
    </row>
    <row r="15">
      <c r="A15" s="78"/>
      <c r="B15" s="78"/>
      <c r="C15" s="78"/>
      <c r="D15" s="78"/>
      <c r="E15" s="78"/>
      <c r="F15" s="78"/>
      <c r="G15" s="78"/>
      <c r="H15" s="78"/>
    </row>
    <row r="16">
      <c r="A16" s="103"/>
      <c r="B16" s="103"/>
      <c r="C16" s="103"/>
      <c r="D16" s="103"/>
      <c r="E16" s="103"/>
      <c r="F16" s="103"/>
      <c r="G16" s="103"/>
      <c r="H16" s="103"/>
    </row>
    <row r="17">
      <c r="A17" s="103"/>
      <c r="B17" s="103"/>
      <c r="C17" s="103"/>
      <c r="D17" s="103"/>
      <c r="E17" s="103"/>
      <c r="F17" s="103"/>
      <c r="G17" s="103"/>
      <c r="H17" s="103"/>
    </row>
    <row r="18">
      <c r="A18" s="103"/>
      <c r="B18" s="103"/>
      <c r="C18" s="103"/>
      <c r="D18" s="103"/>
      <c r="E18" s="103"/>
      <c r="F18" s="103"/>
      <c r="G18" s="103"/>
      <c r="H18" s="103"/>
    </row>
    <row r="19">
      <c r="A19" s="103"/>
      <c r="B19" s="103"/>
      <c r="C19" s="103"/>
      <c r="D19" s="103"/>
      <c r="E19" s="103"/>
      <c r="F19" s="103"/>
      <c r="G19" s="103"/>
      <c r="H19" s="103"/>
    </row>
    <row r="20">
      <c r="A20" s="103"/>
      <c r="B20" s="103"/>
      <c r="C20" s="103"/>
      <c r="D20" s="103"/>
      <c r="E20" s="103"/>
      <c r="F20" s="103"/>
      <c r="G20" s="103"/>
      <c r="H20" s="103"/>
    </row>
    <row r="21">
      <c r="A21" s="103"/>
      <c r="B21" s="103"/>
      <c r="C21" s="103"/>
      <c r="D21" s="103"/>
      <c r="E21" s="103"/>
      <c r="F21" s="103"/>
      <c r="G21" s="103"/>
      <c r="H21" s="103"/>
    </row>
    <row r="22">
      <c r="A22" s="103"/>
      <c r="B22" s="103"/>
      <c r="C22" s="103"/>
      <c r="D22" s="103"/>
      <c r="E22" s="103"/>
      <c r="F22" s="103"/>
      <c r="G22" s="103"/>
      <c r="H22" s="103"/>
    </row>
    <row r="23">
      <c r="A23" s="103"/>
      <c r="B23" s="103"/>
      <c r="C23" s="103"/>
      <c r="D23" s="103"/>
      <c r="E23" s="103"/>
      <c r="F23" s="103"/>
      <c r="G23" s="103"/>
      <c r="H23" s="103"/>
    </row>
    <row r="24">
      <c r="A24" s="103"/>
      <c r="B24" s="103"/>
      <c r="C24" s="103"/>
      <c r="D24" s="103"/>
      <c r="E24" s="103"/>
      <c r="F24" s="103"/>
      <c r="G24" s="103"/>
      <c r="H24" s="103"/>
    </row>
    <row r="25">
      <c r="A25" s="103"/>
      <c r="B25" s="103"/>
      <c r="C25" s="103"/>
      <c r="D25" s="103"/>
      <c r="E25" s="103"/>
      <c r="F25" s="103"/>
      <c r="G25" s="103"/>
      <c r="H25" s="103"/>
    </row>
    <row r="26">
      <c r="A26" s="103"/>
      <c r="B26" s="103"/>
      <c r="C26" s="103"/>
      <c r="D26" s="103"/>
      <c r="E26" s="103"/>
      <c r="F26" s="103"/>
      <c r="G26" s="103"/>
      <c r="H26" s="103"/>
    </row>
    <row r="27">
      <c r="A27" s="103"/>
      <c r="B27" s="103"/>
      <c r="C27" s="103"/>
      <c r="D27" s="103"/>
      <c r="E27" s="103"/>
      <c r="F27" s="103"/>
      <c r="G27" s="103"/>
      <c r="H27" s="103"/>
    </row>
    <row r="28">
      <c r="A28" s="103"/>
      <c r="B28" s="103"/>
      <c r="C28" s="103"/>
      <c r="D28" s="103"/>
      <c r="E28" s="103"/>
      <c r="F28" s="103"/>
      <c r="G28" s="103"/>
      <c r="H28" s="103"/>
    </row>
    <row r="29">
      <c r="A29" s="103"/>
      <c r="B29" s="103"/>
      <c r="C29" s="103"/>
      <c r="D29" s="103"/>
      <c r="E29" s="103"/>
      <c r="F29" s="103"/>
      <c r="G29" s="103"/>
      <c r="H29" s="103"/>
    </row>
    <row r="30">
      <c r="A30" s="103"/>
      <c r="B30" s="103"/>
      <c r="C30" s="103"/>
      <c r="D30" s="103"/>
      <c r="E30" s="103"/>
      <c r="F30" s="103"/>
      <c r="G30" s="103"/>
      <c r="H30" s="103"/>
    </row>
    <row r="31">
      <c r="A31" s="103"/>
      <c r="B31" s="103"/>
      <c r="C31" s="103"/>
      <c r="D31" s="103"/>
      <c r="E31" s="103"/>
      <c r="F31" s="103"/>
      <c r="G31" s="103"/>
      <c r="H31" s="103"/>
    </row>
    <row r="32">
      <c r="A32" s="103"/>
      <c r="B32" s="103"/>
      <c r="C32" s="103"/>
      <c r="D32" s="103"/>
      <c r="E32" s="103"/>
      <c r="F32" s="103"/>
      <c r="G32" s="103"/>
      <c r="H32" s="103"/>
    </row>
    <row r="33">
      <c r="A33" s="103"/>
      <c r="B33" s="103"/>
      <c r="C33" s="103"/>
      <c r="D33" s="103"/>
      <c r="E33" s="103"/>
      <c r="F33" s="103"/>
      <c r="G33" s="103"/>
      <c r="H33" s="103"/>
    </row>
    <row r="34">
      <c r="A34" s="103"/>
      <c r="B34" s="103"/>
      <c r="C34" s="103"/>
      <c r="D34" s="103"/>
      <c r="E34" s="103"/>
      <c r="F34" s="103"/>
      <c r="G34" s="103"/>
      <c r="H34" s="103"/>
    </row>
    <row r="35">
      <c r="A35" s="103"/>
      <c r="B35" s="103"/>
      <c r="C35" s="103"/>
      <c r="D35" s="103"/>
      <c r="E35" s="103"/>
      <c r="F35" s="103"/>
      <c r="G35" s="103"/>
      <c r="H35" s="103"/>
    </row>
    <row r="36">
      <c r="A36" s="103"/>
      <c r="B36" s="103"/>
      <c r="C36" s="103"/>
      <c r="D36" s="103"/>
      <c r="E36" s="103"/>
      <c r="F36" s="103"/>
      <c r="G36" s="103"/>
      <c r="H36" s="103"/>
    </row>
    <row r="37">
      <c r="A37" s="103"/>
      <c r="B37" s="103"/>
      <c r="C37" s="103"/>
      <c r="D37" s="103"/>
      <c r="E37" s="103"/>
      <c r="F37" s="103"/>
      <c r="G37" s="103"/>
      <c r="H37" s="103"/>
    </row>
    <row r="38">
      <c r="A38" s="103"/>
      <c r="B38" s="103"/>
      <c r="C38" s="103"/>
      <c r="D38" s="103"/>
      <c r="E38" s="103"/>
      <c r="F38" s="103"/>
      <c r="G38" s="103"/>
      <c r="H38" s="103"/>
    </row>
    <row r="39">
      <c r="A39" s="103"/>
      <c r="B39" s="103"/>
      <c r="C39" s="103"/>
      <c r="D39" s="103"/>
      <c r="E39" s="103"/>
      <c r="F39" s="103"/>
      <c r="G39" s="103"/>
      <c r="H39" s="103"/>
    </row>
    <row r="40">
      <c r="A40" s="103"/>
      <c r="B40" s="103"/>
      <c r="C40" s="103"/>
      <c r="D40" s="103"/>
      <c r="E40" s="103"/>
      <c r="F40" s="103"/>
      <c r="G40" s="103"/>
      <c r="H40" s="103"/>
    </row>
    <row r="41">
      <c r="A41" s="103"/>
      <c r="B41" s="103"/>
      <c r="C41" s="103"/>
      <c r="D41" s="103"/>
      <c r="E41" s="103"/>
      <c r="F41" s="103"/>
      <c r="G41" s="103"/>
      <c r="H41" s="103"/>
    </row>
    <row r="42">
      <c r="A42" s="103"/>
      <c r="B42" s="103"/>
      <c r="C42" s="103"/>
      <c r="D42" s="103"/>
      <c r="E42" s="103"/>
      <c r="F42" s="103"/>
      <c r="G42" s="103"/>
      <c r="H42" s="103"/>
    </row>
    <row r="43">
      <c r="A43" s="103"/>
      <c r="B43" s="103"/>
      <c r="C43" s="103"/>
      <c r="D43" s="103"/>
      <c r="E43" s="103"/>
      <c r="F43" s="103"/>
      <c r="G43" s="103"/>
      <c r="H43" s="103"/>
    </row>
    <row r="44">
      <c r="A44" s="103"/>
      <c r="B44" s="103"/>
      <c r="C44" s="103"/>
      <c r="D44" s="103"/>
      <c r="E44" s="103"/>
      <c r="F44" s="103"/>
      <c r="G44" s="103"/>
      <c r="H44" s="103"/>
    </row>
    <row r="45">
      <c r="A45" s="103"/>
      <c r="B45" s="103"/>
      <c r="C45" s="103"/>
      <c r="D45" s="103"/>
      <c r="E45" s="103"/>
      <c r="F45" s="103"/>
      <c r="G45" s="103"/>
      <c r="H45" s="103"/>
    </row>
    <row r="46">
      <c r="A46" s="103"/>
      <c r="B46" s="103"/>
      <c r="C46" s="103"/>
      <c r="D46" s="103"/>
      <c r="E46" s="103"/>
      <c r="F46" s="103"/>
      <c r="G46" s="103"/>
      <c r="H46" s="103"/>
    </row>
    <row r="47">
      <c r="A47" s="103"/>
      <c r="B47" s="103"/>
      <c r="C47" s="103"/>
      <c r="D47" s="103"/>
      <c r="E47" s="103"/>
      <c r="F47" s="103"/>
      <c r="G47" s="103"/>
      <c r="H47" s="103"/>
    </row>
    <row r="48">
      <c r="A48" s="103"/>
      <c r="B48" s="103"/>
      <c r="C48" s="103"/>
      <c r="D48" s="103"/>
      <c r="E48" s="103"/>
      <c r="F48" s="103"/>
      <c r="G48" s="103"/>
      <c r="H48" s="103"/>
    </row>
    <row r="49">
      <c r="A49" s="103"/>
      <c r="B49" s="103"/>
      <c r="C49" s="103"/>
      <c r="D49" s="103"/>
      <c r="E49" s="103"/>
      <c r="F49" s="103"/>
      <c r="G49" s="103"/>
      <c r="H49" s="103"/>
    </row>
    <row r="50">
      <c r="A50" s="103"/>
      <c r="B50" s="103"/>
      <c r="C50" s="103"/>
      <c r="D50" s="103"/>
      <c r="E50" s="103"/>
      <c r="F50" s="103"/>
      <c r="G50" s="103"/>
      <c r="H50" s="103"/>
    </row>
    <row r="51">
      <c r="A51" s="103"/>
      <c r="B51" s="103"/>
      <c r="C51" s="103"/>
      <c r="D51" s="103"/>
      <c r="E51" s="103"/>
      <c r="F51" s="103"/>
      <c r="G51" s="103"/>
      <c r="H51" s="103"/>
    </row>
    <row r="52">
      <c r="A52" s="103"/>
      <c r="B52" s="103"/>
      <c r="C52" s="103"/>
      <c r="D52" s="103"/>
      <c r="E52" s="103"/>
      <c r="F52" s="103"/>
      <c r="G52" s="103"/>
      <c r="H52" s="103"/>
    </row>
    <row r="53">
      <c r="A53" s="103"/>
      <c r="B53" s="103"/>
      <c r="C53" s="103"/>
      <c r="D53" s="103"/>
      <c r="E53" s="103"/>
      <c r="F53" s="103"/>
      <c r="G53" s="103"/>
      <c r="H53" s="103"/>
    </row>
    <row r="54">
      <c r="A54" s="103"/>
      <c r="B54" s="103"/>
      <c r="C54" s="103"/>
      <c r="D54" s="103"/>
      <c r="E54" s="103"/>
      <c r="F54" s="103"/>
      <c r="G54" s="103"/>
      <c r="H54" s="103"/>
    </row>
    <row r="55">
      <c r="A55" s="103"/>
      <c r="B55" s="103"/>
      <c r="C55" s="103"/>
      <c r="D55" s="103"/>
      <c r="E55" s="103"/>
      <c r="F55" s="103"/>
      <c r="G55" s="103"/>
      <c r="H55" s="103"/>
    </row>
    <row r="56">
      <c r="A56" s="103"/>
      <c r="B56" s="103"/>
      <c r="C56" s="103"/>
      <c r="D56" s="103"/>
      <c r="E56" s="103"/>
      <c r="F56" s="103"/>
      <c r="G56" s="103"/>
      <c r="H56" s="103"/>
    </row>
    <row r="57">
      <c r="A57" s="103"/>
      <c r="B57" s="103"/>
      <c r="C57" s="103"/>
      <c r="D57" s="103"/>
      <c r="E57" s="103"/>
      <c r="F57" s="103"/>
      <c r="G57" s="103"/>
      <c r="H57" s="103"/>
    </row>
    <row r="58">
      <c r="A58" s="103"/>
      <c r="B58" s="103"/>
      <c r="C58" s="103"/>
      <c r="D58" s="103"/>
      <c r="E58" s="103"/>
      <c r="F58" s="103"/>
      <c r="G58" s="103"/>
      <c r="H58" s="103"/>
    </row>
    <row r="59">
      <c r="A59" s="103"/>
      <c r="B59" s="103"/>
      <c r="C59" s="103"/>
      <c r="D59" s="103"/>
      <c r="E59" s="103"/>
      <c r="F59" s="103"/>
      <c r="G59" s="103"/>
      <c r="H59" s="103"/>
    </row>
    <row r="60">
      <c r="A60" s="103"/>
      <c r="B60" s="103"/>
      <c r="C60" s="103"/>
      <c r="D60" s="103"/>
      <c r="E60" s="103"/>
      <c r="F60" s="103"/>
      <c r="G60" s="103"/>
      <c r="H60" s="103"/>
    </row>
    <row r="61">
      <c r="A61" s="103"/>
      <c r="B61" s="103"/>
      <c r="C61" s="103"/>
      <c r="D61" s="103"/>
      <c r="E61" s="103"/>
      <c r="F61" s="103"/>
      <c r="G61" s="103"/>
      <c r="H61" s="103"/>
    </row>
    <row r="62">
      <c r="A62" s="103"/>
      <c r="B62" s="103"/>
      <c r="C62" s="103"/>
      <c r="D62" s="103"/>
      <c r="E62" s="103"/>
      <c r="F62" s="103"/>
      <c r="G62" s="103"/>
      <c r="H62" s="103"/>
    </row>
    <row r="63">
      <c r="A63" s="103"/>
      <c r="B63" s="103"/>
      <c r="C63" s="103"/>
      <c r="D63" s="103"/>
      <c r="E63" s="103"/>
      <c r="F63" s="103"/>
      <c r="G63" s="103"/>
      <c r="H63" s="103"/>
    </row>
    <row r="64">
      <c r="A64" s="103"/>
      <c r="B64" s="103"/>
      <c r="C64" s="103"/>
      <c r="D64" s="103"/>
      <c r="E64" s="103"/>
      <c r="F64" s="103"/>
      <c r="G64" s="103"/>
      <c r="H64" s="103"/>
    </row>
    <row r="65">
      <c r="A65" s="103"/>
      <c r="B65" s="103"/>
      <c r="C65" s="103"/>
      <c r="D65" s="103"/>
      <c r="E65" s="103"/>
      <c r="F65" s="103"/>
      <c r="G65" s="103"/>
      <c r="H65" s="103"/>
    </row>
    <row r="66">
      <c r="A66" s="103"/>
      <c r="B66" s="103"/>
      <c r="C66" s="103"/>
      <c r="D66" s="103"/>
      <c r="E66" s="103"/>
      <c r="F66" s="103"/>
      <c r="G66" s="103"/>
      <c r="H66" s="103"/>
    </row>
    <row r="67">
      <c r="A67" s="103"/>
      <c r="B67" s="103"/>
      <c r="C67" s="103"/>
      <c r="D67" s="103"/>
      <c r="E67" s="103"/>
      <c r="F67" s="103"/>
      <c r="G67" s="103"/>
      <c r="H67" s="103"/>
    </row>
    <row r="68">
      <c r="A68" s="103"/>
      <c r="B68" s="103"/>
      <c r="C68" s="103"/>
      <c r="D68" s="103"/>
      <c r="E68" s="103"/>
      <c r="F68" s="103"/>
      <c r="G68" s="103"/>
      <c r="H68" s="103"/>
    </row>
    <row r="69">
      <c r="A69" s="103"/>
      <c r="B69" s="103"/>
      <c r="C69" s="103"/>
      <c r="D69" s="103"/>
      <c r="E69" s="103"/>
      <c r="F69" s="103"/>
      <c r="G69" s="103"/>
      <c r="H69" s="103"/>
    </row>
    <row r="70">
      <c r="A70" s="103"/>
      <c r="B70" s="103"/>
      <c r="C70" s="103"/>
      <c r="D70" s="103"/>
      <c r="E70" s="103"/>
      <c r="F70" s="103"/>
      <c r="G70" s="103"/>
      <c r="H70" s="103"/>
    </row>
    <row r="71">
      <c r="A71" s="103"/>
      <c r="B71" s="103"/>
      <c r="C71" s="103"/>
      <c r="D71" s="103"/>
      <c r="E71" s="103"/>
      <c r="F71" s="103"/>
      <c r="G71" s="103"/>
      <c r="H71" s="103"/>
    </row>
    <row r="72">
      <c r="A72" s="103"/>
      <c r="B72" s="103"/>
      <c r="C72" s="103"/>
      <c r="D72" s="103"/>
      <c r="E72" s="103"/>
      <c r="F72" s="103"/>
      <c r="G72" s="103"/>
      <c r="H72" s="103"/>
    </row>
    <row r="73">
      <c r="A73" s="103"/>
      <c r="B73" s="103"/>
      <c r="C73" s="103"/>
      <c r="D73" s="103"/>
      <c r="E73" s="103"/>
      <c r="F73" s="103"/>
      <c r="G73" s="103"/>
      <c r="H73" s="103"/>
    </row>
    <row r="74">
      <c r="A74" s="103"/>
      <c r="B74" s="103"/>
      <c r="C74" s="103"/>
      <c r="D74" s="103"/>
      <c r="E74" s="103"/>
      <c r="F74" s="103"/>
      <c r="G74" s="103"/>
      <c r="H74" s="103"/>
    </row>
    <row r="75">
      <c r="A75" s="103"/>
      <c r="B75" s="103"/>
      <c r="C75" s="103"/>
      <c r="D75" s="103"/>
      <c r="E75" s="103"/>
      <c r="F75" s="103"/>
      <c r="G75" s="103"/>
      <c r="H75" s="103"/>
    </row>
    <row r="76">
      <c r="A76" s="103"/>
      <c r="B76" s="103"/>
      <c r="C76" s="103"/>
      <c r="D76" s="103"/>
      <c r="E76" s="103"/>
      <c r="F76" s="103"/>
      <c r="G76" s="103"/>
      <c r="H76" s="103"/>
    </row>
    <row r="77">
      <c r="A77" s="103"/>
      <c r="B77" s="103"/>
      <c r="C77" s="103"/>
      <c r="D77" s="103"/>
      <c r="E77" s="103"/>
      <c r="F77" s="103"/>
      <c r="G77" s="103"/>
      <c r="H77" s="103"/>
    </row>
    <row r="78">
      <c r="A78" s="103"/>
      <c r="B78" s="103"/>
      <c r="C78" s="103"/>
      <c r="D78" s="103"/>
      <c r="E78" s="103"/>
      <c r="F78" s="103"/>
      <c r="G78" s="103"/>
      <c r="H78" s="103"/>
    </row>
    <row r="79">
      <c r="A79" s="103"/>
      <c r="B79" s="103"/>
      <c r="C79" s="103"/>
      <c r="D79" s="103"/>
      <c r="E79" s="103"/>
      <c r="F79" s="103"/>
      <c r="G79" s="103"/>
      <c r="H79" s="103"/>
    </row>
    <row r="80">
      <c r="A80" s="103"/>
      <c r="B80" s="103"/>
      <c r="C80" s="103"/>
      <c r="D80" s="103"/>
      <c r="E80" s="103"/>
      <c r="F80" s="103"/>
      <c r="G80" s="103"/>
      <c r="H80" s="103"/>
    </row>
    <row r="81">
      <c r="A81" s="103"/>
      <c r="B81" s="103"/>
      <c r="C81" s="103"/>
      <c r="D81" s="103"/>
      <c r="E81" s="103"/>
      <c r="F81" s="103"/>
      <c r="G81" s="103"/>
      <c r="H81" s="103"/>
    </row>
    <row r="82">
      <c r="A82" s="103"/>
      <c r="B82" s="103"/>
      <c r="C82" s="103"/>
      <c r="D82" s="103"/>
      <c r="E82" s="103"/>
      <c r="F82" s="103"/>
      <c r="G82" s="103"/>
      <c r="H82" s="103"/>
    </row>
    <row r="83">
      <c r="A83" s="103"/>
      <c r="B83" s="103"/>
      <c r="C83" s="103"/>
      <c r="D83" s="103"/>
      <c r="E83" s="103"/>
      <c r="F83" s="103"/>
      <c r="G83" s="103"/>
      <c r="H83" s="103"/>
    </row>
    <row r="84">
      <c r="A84" s="103"/>
      <c r="B84" s="103"/>
      <c r="C84" s="103"/>
      <c r="D84" s="103"/>
      <c r="E84" s="103"/>
      <c r="F84" s="103"/>
      <c r="G84" s="103"/>
      <c r="H84" s="103"/>
    </row>
    <row r="85">
      <c r="A85" s="103"/>
      <c r="B85" s="103"/>
      <c r="C85" s="103"/>
      <c r="D85" s="103"/>
      <c r="E85" s="103"/>
      <c r="F85" s="103"/>
      <c r="G85" s="103"/>
      <c r="H85" s="103"/>
    </row>
    <row r="86">
      <c r="A86" s="103"/>
      <c r="B86" s="103"/>
      <c r="C86" s="103"/>
      <c r="D86" s="103"/>
      <c r="E86" s="103"/>
      <c r="F86" s="103"/>
      <c r="G86" s="103"/>
      <c r="H86" s="103"/>
    </row>
    <row r="87">
      <c r="A87" s="103"/>
      <c r="B87" s="103"/>
      <c r="C87" s="103"/>
      <c r="D87" s="103"/>
      <c r="E87" s="103"/>
      <c r="F87" s="103"/>
      <c r="G87" s="103"/>
      <c r="H87" s="103"/>
    </row>
    <row r="88">
      <c r="A88" s="103"/>
      <c r="B88" s="103"/>
      <c r="C88" s="103"/>
      <c r="D88" s="103"/>
      <c r="E88" s="103"/>
      <c r="F88" s="103"/>
      <c r="G88" s="103"/>
      <c r="H88" s="103"/>
    </row>
    <row r="89">
      <c r="A89" s="103"/>
      <c r="B89" s="103"/>
      <c r="C89" s="103"/>
      <c r="D89" s="103"/>
      <c r="E89" s="103"/>
      <c r="F89" s="103"/>
      <c r="G89" s="103"/>
      <c r="H89" s="103"/>
    </row>
    <row r="90">
      <c r="A90" s="103"/>
      <c r="B90" s="103"/>
      <c r="C90" s="103"/>
      <c r="D90" s="103"/>
      <c r="E90" s="103"/>
      <c r="F90" s="103"/>
      <c r="G90" s="103"/>
      <c r="H90" s="103"/>
    </row>
    <row r="91">
      <c r="A91" s="103"/>
      <c r="B91" s="103"/>
      <c r="C91" s="103"/>
      <c r="D91" s="103"/>
      <c r="E91" s="103"/>
      <c r="F91" s="103"/>
      <c r="G91" s="103"/>
      <c r="H91" s="103"/>
    </row>
    <row r="92">
      <c r="A92" s="103"/>
      <c r="B92" s="103"/>
      <c r="C92" s="103"/>
      <c r="D92" s="103"/>
      <c r="E92" s="103"/>
      <c r="F92" s="103"/>
      <c r="G92" s="103"/>
      <c r="H92" s="103"/>
    </row>
    <row r="93">
      <c r="A93" s="103"/>
      <c r="B93" s="103"/>
      <c r="C93" s="103"/>
      <c r="D93" s="103"/>
      <c r="E93" s="103"/>
      <c r="F93" s="103"/>
      <c r="G93" s="103"/>
      <c r="H93" s="103"/>
    </row>
    <row r="94">
      <c r="A94" s="103"/>
      <c r="B94" s="103"/>
      <c r="C94" s="103"/>
      <c r="D94" s="103"/>
      <c r="E94" s="103"/>
      <c r="F94" s="103"/>
      <c r="G94" s="103"/>
      <c r="H94" s="103"/>
    </row>
    <row r="95">
      <c r="A95" s="103"/>
      <c r="B95" s="103"/>
      <c r="C95" s="103"/>
      <c r="D95" s="103"/>
      <c r="E95" s="103"/>
      <c r="F95" s="103"/>
      <c r="G95" s="103"/>
      <c r="H95" s="103"/>
    </row>
    <row r="96">
      <c r="A96" s="103"/>
      <c r="B96" s="103"/>
      <c r="C96" s="103"/>
      <c r="D96" s="103"/>
      <c r="E96" s="103"/>
      <c r="F96" s="103"/>
      <c r="G96" s="103"/>
      <c r="H96" s="103"/>
    </row>
    <row r="97">
      <c r="A97" s="103"/>
      <c r="B97" s="103"/>
      <c r="C97" s="103"/>
      <c r="D97" s="103"/>
      <c r="E97" s="103"/>
      <c r="F97" s="103"/>
      <c r="G97" s="103"/>
      <c r="H97" s="103"/>
    </row>
    <row r="98">
      <c r="A98" s="103"/>
      <c r="B98" s="103"/>
      <c r="C98" s="103"/>
      <c r="D98" s="103"/>
      <c r="E98" s="103"/>
      <c r="F98" s="103"/>
      <c r="G98" s="103"/>
      <c r="H98" s="103"/>
    </row>
    <row r="99">
      <c r="A99" s="103"/>
      <c r="B99" s="103"/>
      <c r="C99" s="103"/>
      <c r="D99" s="103"/>
      <c r="E99" s="103"/>
      <c r="F99" s="103"/>
      <c r="G99" s="103"/>
      <c r="H99" s="103"/>
    </row>
    <row r="100">
      <c r="A100" s="103"/>
      <c r="B100" s="103"/>
      <c r="C100" s="103"/>
      <c r="D100" s="103"/>
      <c r="E100" s="103"/>
      <c r="F100" s="103"/>
      <c r="G100" s="103"/>
      <c r="H100" s="103"/>
    </row>
    <row r="101">
      <c r="A101" s="103"/>
      <c r="B101" s="103"/>
      <c r="C101" s="103"/>
      <c r="D101" s="103"/>
      <c r="E101" s="103"/>
      <c r="F101" s="103"/>
      <c r="G101" s="103"/>
      <c r="H101" s="103"/>
    </row>
    <row r="102">
      <c r="A102" s="103"/>
      <c r="B102" s="103"/>
      <c r="C102" s="103"/>
      <c r="D102" s="103"/>
      <c r="E102" s="103"/>
      <c r="F102" s="103"/>
      <c r="G102" s="103"/>
      <c r="H102" s="103"/>
    </row>
    <row r="103">
      <c r="A103" s="103"/>
      <c r="B103" s="103"/>
      <c r="C103" s="103"/>
      <c r="D103" s="103"/>
      <c r="E103" s="103"/>
      <c r="F103" s="103"/>
      <c r="G103" s="103"/>
      <c r="H103" s="103"/>
    </row>
    <row r="104">
      <c r="A104" s="103"/>
      <c r="B104" s="103"/>
      <c r="C104" s="103"/>
      <c r="D104" s="103"/>
      <c r="E104" s="103"/>
      <c r="F104" s="103"/>
      <c r="G104" s="103"/>
      <c r="H104" s="103"/>
    </row>
    <row r="105">
      <c r="A105" s="103"/>
      <c r="B105" s="103"/>
      <c r="C105" s="103"/>
      <c r="D105" s="103"/>
      <c r="E105" s="103"/>
      <c r="F105" s="103"/>
      <c r="G105" s="103"/>
      <c r="H105" s="103"/>
    </row>
    <row r="106">
      <c r="A106" s="103"/>
      <c r="B106" s="103"/>
      <c r="C106" s="103"/>
      <c r="D106" s="103"/>
      <c r="E106" s="103"/>
      <c r="F106" s="103"/>
      <c r="G106" s="103"/>
      <c r="H106" s="103"/>
    </row>
    <row r="107">
      <c r="A107" s="103"/>
      <c r="B107" s="103"/>
      <c r="C107" s="103"/>
      <c r="D107" s="103"/>
      <c r="E107" s="103"/>
      <c r="F107" s="103"/>
      <c r="G107" s="103"/>
      <c r="H107" s="103"/>
    </row>
    <row r="108">
      <c r="A108" s="103"/>
      <c r="B108" s="103"/>
      <c r="C108" s="103"/>
      <c r="D108" s="103"/>
      <c r="E108" s="103"/>
      <c r="F108" s="103"/>
      <c r="G108" s="103"/>
      <c r="H108" s="103"/>
    </row>
    <row r="109">
      <c r="A109" s="103"/>
      <c r="B109" s="103"/>
      <c r="C109" s="103"/>
      <c r="D109" s="103"/>
      <c r="E109" s="103"/>
      <c r="F109" s="103"/>
      <c r="G109" s="103"/>
      <c r="H109" s="103"/>
    </row>
    <row r="110">
      <c r="A110" s="103"/>
      <c r="B110" s="103"/>
      <c r="C110" s="103"/>
      <c r="D110" s="103"/>
      <c r="E110" s="103"/>
      <c r="F110" s="103"/>
      <c r="G110" s="103"/>
      <c r="H110" s="103"/>
    </row>
    <row r="111">
      <c r="A111" s="103"/>
      <c r="B111" s="103"/>
      <c r="C111" s="103"/>
      <c r="D111" s="103"/>
      <c r="E111" s="103"/>
      <c r="F111" s="103"/>
      <c r="G111" s="103"/>
      <c r="H111" s="103"/>
    </row>
    <row r="112">
      <c r="A112" s="103"/>
      <c r="B112" s="103"/>
      <c r="C112" s="103"/>
      <c r="D112" s="103"/>
      <c r="E112" s="103"/>
      <c r="F112" s="103"/>
      <c r="G112" s="103"/>
      <c r="H112" s="103"/>
    </row>
    <row r="113">
      <c r="A113" s="103"/>
      <c r="B113" s="103"/>
      <c r="C113" s="103"/>
      <c r="D113" s="103"/>
      <c r="E113" s="103"/>
      <c r="F113" s="103"/>
      <c r="G113" s="103"/>
      <c r="H113" s="103"/>
    </row>
    <row r="114">
      <c r="A114" s="103"/>
      <c r="B114" s="103"/>
      <c r="C114" s="103"/>
      <c r="D114" s="103"/>
      <c r="E114" s="103"/>
      <c r="F114" s="103"/>
      <c r="G114" s="103"/>
      <c r="H114" s="103"/>
    </row>
    <row r="115">
      <c r="A115" s="103"/>
      <c r="B115" s="103"/>
      <c r="C115" s="103"/>
      <c r="D115" s="103"/>
      <c r="E115" s="103"/>
      <c r="F115" s="103"/>
      <c r="G115" s="103"/>
      <c r="H115" s="103"/>
    </row>
    <row r="116">
      <c r="A116" s="103"/>
      <c r="B116" s="103"/>
      <c r="C116" s="103"/>
      <c r="D116" s="103"/>
      <c r="E116" s="103"/>
      <c r="F116" s="103"/>
      <c r="G116" s="103"/>
      <c r="H116" s="103"/>
    </row>
    <row r="117">
      <c r="A117" s="103"/>
      <c r="B117" s="103"/>
      <c r="C117" s="103"/>
      <c r="D117" s="103"/>
      <c r="E117" s="103"/>
      <c r="F117" s="103"/>
      <c r="G117" s="103"/>
      <c r="H117" s="103"/>
    </row>
    <row r="118">
      <c r="A118" s="103"/>
      <c r="B118" s="103"/>
      <c r="C118" s="103"/>
      <c r="D118" s="103"/>
      <c r="E118" s="103"/>
      <c r="F118" s="103"/>
      <c r="G118" s="103"/>
      <c r="H118" s="103"/>
    </row>
    <row r="119">
      <c r="A119" s="103"/>
      <c r="B119" s="103"/>
      <c r="C119" s="103"/>
      <c r="D119" s="103"/>
      <c r="E119" s="103"/>
      <c r="F119" s="103"/>
      <c r="G119" s="103"/>
      <c r="H119" s="103"/>
    </row>
    <row r="120">
      <c r="A120" s="103"/>
      <c r="B120" s="103"/>
      <c r="C120" s="103"/>
      <c r="D120" s="103"/>
      <c r="E120" s="103"/>
      <c r="F120" s="103"/>
      <c r="G120" s="103"/>
      <c r="H120" s="103"/>
    </row>
    <row r="121">
      <c r="A121" s="103"/>
      <c r="B121" s="103"/>
      <c r="C121" s="103"/>
      <c r="D121" s="103"/>
      <c r="E121" s="103"/>
      <c r="F121" s="103"/>
      <c r="G121" s="103"/>
      <c r="H121" s="103"/>
    </row>
    <row r="122">
      <c r="A122" s="103"/>
      <c r="B122" s="103"/>
      <c r="C122" s="103"/>
      <c r="D122" s="103"/>
      <c r="E122" s="103"/>
      <c r="F122" s="103"/>
      <c r="G122" s="103"/>
      <c r="H122" s="103"/>
    </row>
    <row r="123">
      <c r="A123" s="103"/>
      <c r="B123" s="103"/>
      <c r="C123" s="103"/>
      <c r="D123" s="103"/>
      <c r="E123" s="103"/>
      <c r="F123" s="103"/>
      <c r="G123" s="103"/>
      <c r="H123" s="103"/>
    </row>
    <row r="124">
      <c r="A124" s="103"/>
      <c r="B124" s="103"/>
      <c r="C124" s="103"/>
      <c r="D124" s="103"/>
      <c r="E124" s="103"/>
      <c r="F124" s="103"/>
      <c r="G124" s="103"/>
      <c r="H124" s="103"/>
    </row>
    <row r="125">
      <c r="A125" s="103"/>
      <c r="B125" s="103"/>
      <c r="C125" s="103"/>
      <c r="D125" s="103"/>
      <c r="E125" s="103"/>
      <c r="F125" s="103"/>
      <c r="G125" s="103"/>
      <c r="H125" s="103"/>
    </row>
    <row r="126">
      <c r="A126" s="103"/>
      <c r="B126" s="103"/>
      <c r="C126" s="103"/>
      <c r="D126" s="103"/>
      <c r="E126" s="103"/>
      <c r="F126" s="103"/>
      <c r="G126" s="103"/>
      <c r="H126" s="103"/>
    </row>
    <row r="127">
      <c r="A127" s="103"/>
      <c r="B127" s="103"/>
      <c r="C127" s="103"/>
      <c r="D127" s="103"/>
      <c r="E127" s="103"/>
      <c r="F127" s="103"/>
      <c r="G127" s="103"/>
      <c r="H127" s="103"/>
    </row>
    <row r="128">
      <c r="A128" s="103"/>
      <c r="B128" s="103"/>
      <c r="C128" s="103"/>
      <c r="D128" s="103"/>
      <c r="E128" s="103"/>
      <c r="F128" s="103"/>
      <c r="G128" s="103"/>
      <c r="H128" s="103"/>
    </row>
    <row r="129">
      <c r="A129" s="103"/>
      <c r="B129" s="103"/>
      <c r="C129" s="103"/>
      <c r="D129" s="103"/>
      <c r="E129" s="103"/>
      <c r="F129" s="103"/>
      <c r="G129" s="103"/>
      <c r="H129" s="103"/>
    </row>
    <row r="130">
      <c r="A130" s="103"/>
      <c r="B130" s="103"/>
      <c r="C130" s="103"/>
      <c r="D130" s="103"/>
      <c r="E130" s="103"/>
      <c r="F130" s="103"/>
      <c r="G130" s="103"/>
      <c r="H130" s="103"/>
    </row>
    <row r="131">
      <c r="A131" s="103"/>
      <c r="B131" s="103"/>
      <c r="C131" s="103"/>
      <c r="D131" s="103"/>
      <c r="E131" s="103"/>
      <c r="F131" s="103"/>
      <c r="G131" s="103"/>
      <c r="H131" s="103"/>
    </row>
    <row r="132">
      <c r="A132" s="103"/>
      <c r="B132" s="103"/>
      <c r="C132" s="103"/>
      <c r="D132" s="103"/>
      <c r="E132" s="103"/>
      <c r="F132" s="103"/>
      <c r="G132" s="103"/>
      <c r="H132" s="103"/>
    </row>
    <row r="133">
      <c r="A133" s="103"/>
      <c r="B133" s="103"/>
      <c r="C133" s="103"/>
      <c r="D133" s="103"/>
      <c r="E133" s="103"/>
      <c r="F133" s="103"/>
      <c r="G133" s="103"/>
      <c r="H133" s="103"/>
    </row>
    <row r="134">
      <c r="A134" s="103"/>
      <c r="B134" s="103"/>
      <c r="C134" s="103"/>
      <c r="D134" s="103"/>
      <c r="E134" s="103"/>
      <c r="F134" s="103"/>
      <c r="G134" s="103"/>
      <c r="H134" s="103"/>
    </row>
    <row r="135">
      <c r="A135" s="103"/>
      <c r="B135" s="103"/>
      <c r="C135" s="103"/>
      <c r="D135" s="103"/>
      <c r="E135" s="103"/>
      <c r="F135" s="103"/>
      <c r="G135" s="103"/>
      <c r="H135" s="103"/>
    </row>
    <row r="136">
      <c r="A136" s="103"/>
      <c r="B136" s="103"/>
      <c r="C136" s="103"/>
      <c r="D136" s="103"/>
      <c r="E136" s="103"/>
      <c r="F136" s="103"/>
      <c r="G136" s="103"/>
      <c r="H136" s="103"/>
    </row>
    <row r="137">
      <c r="A137" s="103"/>
      <c r="B137" s="103"/>
      <c r="C137" s="103"/>
      <c r="D137" s="103"/>
      <c r="E137" s="103"/>
      <c r="F137" s="103"/>
      <c r="G137" s="103"/>
      <c r="H137" s="103"/>
    </row>
    <row r="138">
      <c r="A138" s="103"/>
      <c r="B138" s="103"/>
      <c r="C138" s="103"/>
      <c r="D138" s="103"/>
      <c r="E138" s="103"/>
      <c r="F138" s="103"/>
      <c r="G138" s="103"/>
      <c r="H138" s="103"/>
    </row>
    <row r="139">
      <c r="A139" s="103"/>
      <c r="B139" s="103"/>
      <c r="C139" s="103"/>
      <c r="D139" s="103"/>
      <c r="E139" s="103"/>
      <c r="F139" s="103"/>
      <c r="G139" s="103"/>
      <c r="H139" s="103"/>
    </row>
    <row r="140">
      <c r="A140" s="103"/>
      <c r="B140" s="103"/>
      <c r="C140" s="103"/>
      <c r="D140" s="103"/>
      <c r="E140" s="103"/>
      <c r="F140" s="103"/>
      <c r="G140" s="103"/>
      <c r="H140" s="103"/>
    </row>
    <row r="141">
      <c r="A141" s="103"/>
      <c r="B141" s="103"/>
      <c r="C141" s="103"/>
      <c r="D141" s="103"/>
      <c r="E141" s="103"/>
      <c r="F141" s="103"/>
      <c r="G141" s="103"/>
      <c r="H141" s="103"/>
    </row>
    <row r="142">
      <c r="A142" s="103"/>
      <c r="B142" s="103"/>
      <c r="C142" s="103"/>
      <c r="D142" s="103"/>
      <c r="E142" s="103"/>
      <c r="F142" s="103"/>
      <c r="G142" s="103"/>
      <c r="H142" s="103"/>
    </row>
    <row r="143">
      <c r="A143" s="103"/>
      <c r="B143" s="103"/>
      <c r="C143" s="103"/>
      <c r="D143" s="103"/>
      <c r="E143" s="103"/>
      <c r="F143" s="103"/>
      <c r="G143" s="103"/>
      <c r="H143" s="103"/>
    </row>
    <row r="144">
      <c r="A144" s="103"/>
      <c r="B144" s="103"/>
      <c r="C144" s="103"/>
      <c r="D144" s="103"/>
      <c r="E144" s="103"/>
      <c r="F144" s="103"/>
      <c r="G144" s="103"/>
      <c r="H144" s="103"/>
    </row>
    <row r="145">
      <c r="A145" s="103"/>
      <c r="B145" s="103"/>
      <c r="C145" s="103"/>
      <c r="D145" s="103"/>
      <c r="E145" s="103"/>
      <c r="F145" s="103"/>
      <c r="G145" s="103"/>
      <c r="H145" s="103"/>
    </row>
    <row r="146">
      <c r="A146" s="103"/>
      <c r="B146" s="103"/>
      <c r="C146" s="103"/>
      <c r="D146" s="103"/>
      <c r="E146" s="103"/>
      <c r="F146" s="103"/>
      <c r="G146" s="103"/>
      <c r="H146" s="103"/>
    </row>
    <row r="147">
      <c r="A147" s="103"/>
      <c r="B147" s="103"/>
      <c r="C147" s="103"/>
      <c r="D147" s="103"/>
      <c r="E147" s="103"/>
      <c r="F147" s="103"/>
      <c r="G147" s="103"/>
      <c r="H147" s="103"/>
    </row>
    <row r="148">
      <c r="A148" s="103"/>
      <c r="B148" s="103"/>
      <c r="C148" s="103"/>
      <c r="D148" s="103"/>
      <c r="E148" s="103"/>
      <c r="F148" s="103"/>
      <c r="G148" s="103"/>
      <c r="H148" s="103"/>
    </row>
    <row r="149">
      <c r="A149" s="103"/>
      <c r="B149" s="103"/>
      <c r="C149" s="103"/>
      <c r="D149" s="103"/>
      <c r="E149" s="103"/>
      <c r="F149" s="103"/>
      <c r="G149" s="103"/>
      <c r="H149" s="103"/>
    </row>
    <row r="150">
      <c r="A150" s="103"/>
      <c r="B150" s="103"/>
      <c r="C150" s="103"/>
      <c r="D150" s="103"/>
      <c r="E150" s="103"/>
      <c r="F150" s="103"/>
      <c r="G150" s="103"/>
      <c r="H150" s="103"/>
    </row>
    <row r="151">
      <c r="A151" s="103"/>
      <c r="B151" s="103"/>
      <c r="C151" s="103"/>
      <c r="D151" s="103"/>
      <c r="E151" s="103"/>
      <c r="F151" s="103"/>
      <c r="G151" s="103"/>
      <c r="H151" s="103"/>
    </row>
    <row r="152">
      <c r="A152" s="103"/>
      <c r="B152" s="103"/>
      <c r="C152" s="103"/>
      <c r="D152" s="103"/>
      <c r="E152" s="103"/>
      <c r="F152" s="103"/>
      <c r="G152" s="103"/>
      <c r="H152" s="103"/>
    </row>
    <row r="153">
      <c r="A153" s="103"/>
      <c r="B153" s="103"/>
      <c r="C153" s="103"/>
      <c r="D153" s="103"/>
      <c r="E153" s="103"/>
      <c r="F153" s="103"/>
      <c r="G153" s="103"/>
      <c r="H153" s="103"/>
    </row>
    <row r="154">
      <c r="A154" s="103"/>
      <c r="B154" s="103"/>
      <c r="C154" s="103"/>
      <c r="D154" s="103"/>
      <c r="E154" s="103"/>
      <c r="F154" s="103"/>
      <c r="G154" s="103"/>
      <c r="H154" s="103"/>
    </row>
    <row r="155">
      <c r="A155" s="103"/>
      <c r="B155" s="103"/>
      <c r="C155" s="103"/>
      <c r="D155" s="103"/>
      <c r="E155" s="103"/>
      <c r="F155" s="103"/>
      <c r="G155" s="103"/>
      <c r="H155" s="103"/>
    </row>
    <row r="156">
      <c r="A156" s="103"/>
      <c r="B156" s="103"/>
      <c r="C156" s="103"/>
      <c r="D156" s="103"/>
      <c r="E156" s="103"/>
      <c r="F156" s="103"/>
      <c r="G156" s="103"/>
      <c r="H156" s="103"/>
    </row>
    <row r="157">
      <c r="A157" s="103"/>
      <c r="B157" s="103"/>
      <c r="C157" s="103"/>
      <c r="D157" s="103"/>
      <c r="E157" s="103"/>
      <c r="F157" s="103"/>
      <c r="G157" s="103"/>
      <c r="H157" s="103"/>
    </row>
    <row r="158">
      <c r="A158" s="103"/>
      <c r="B158" s="103"/>
      <c r="C158" s="103"/>
      <c r="D158" s="103"/>
      <c r="E158" s="103"/>
      <c r="F158" s="103"/>
      <c r="G158" s="103"/>
      <c r="H158" s="103"/>
    </row>
    <row r="159">
      <c r="A159" s="103"/>
      <c r="B159" s="103"/>
      <c r="C159" s="103"/>
      <c r="D159" s="103"/>
      <c r="E159" s="103"/>
      <c r="F159" s="103"/>
      <c r="G159" s="103"/>
      <c r="H159" s="103"/>
    </row>
    <row r="160">
      <c r="A160" s="103"/>
      <c r="B160" s="103"/>
      <c r="C160" s="103"/>
      <c r="D160" s="103"/>
      <c r="E160" s="103"/>
      <c r="F160" s="103"/>
      <c r="G160" s="103"/>
      <c r="H160" s="103"/>
    </row>
    <row r="161">
      <c r="A161" s="103"/>
      <c r="B161" s="103"/>
      <c r="C161" s="103"/>
      <c r="D161" s="103"/>
      <c r="E161" s="103"/>
      <c r="F161" s="103"/>
      <c r="G161" s="103"/>
      <c r="H161" s="103"/>
    </row>
    <row r="162">
      <c r="A162" s="103"/>
      <c r="B162" s="103"/>
      <c r="C162" s="103"/>
      <c r="D162" s="103"/>
      <c r="E162" s="103"/>
      <c r="F162" s="103"/>
      <c r="G162" s="103"/>
      <c r="H162" s="103"/>
    </row>
    <row r="163">
      <c r="A163" s="103"/>
      <c r="B163" s="103"/>
      <c r="C163" s="103"/>
      <c r="D163" s="103"/>
      <c r="E163" s="103"/>
      <c r="F163" s="103"/>
      <c r="G163" s="103"/>
      <c r="H163" s="103"/>
    </row>
    <row r="164">
      <c r="A164" s="103"/>
      <c r="B164" s="103"/>
      <c r="C164" s="103"/>
      <c r="D164" s="103"/>
      <c r="E164" s="103"/>
      <c r="F164" s="103"/>
      <c r="G164" s="103"/>
      <c r="H164" s="103"/>
    </row>
    <row r="165">
      <c r="A165" s="103"/>
      <c r="B165" s="103"/>
      <c r="C165" s="103"/>
      <c r="D165" s="103"/>
      <c r="E165" s="103"/>
      <c r="F165" s="103"/>
      <c r="G165" s="103"/>
      <c r="H165" s="103"/>
    </row>
    <row r="166">
      <c r="A166" s="103"/>
      <c r="B166" s="103"/>
      <c r="C166" s="103"/>
      <c r="D166" s="103"/>
      <c r="E166" s="103"/>
      <c r="F166" s="103"/>
      <c r="G166" s="103"/>
      <c r="H166" s="103"/>
    </row>
    <row r="167">
      <c r="A167" s="103"/>
      <c r="B167" s="103"/>
      <c r="C167" s="103"/>
      <c r="D167" s="103"/>
      <c r="E167" s="103"/>
      <c r="F167" s="103"/>
      <c r="G167" s="103"/>
      <c r="H167" s="103"/>
    </row>
    <row r="168">
      <c r="A168" s="103"/>
      <c r="B168" s="103"/>
      <c r="C168" s="103"/>
      <c r="D168" s="103"/>
      <c r="E168" s="103"/>
      <c r="F168" s="103"/>
      <c r="G168" s="103"/>
      <c r="H168" s="103"/>
    </row>
    <row r="169">
      <c r="A169" s="103"/>
      <c r="B169" s="103"/>
      <c r="C169" s="103"/>
      <c r="D169" s="103"/>
      <c r="E169" s="103"/>
      <c r="F169" s="103"/>
      <c r="G169" s="103"/>
      <c r="H169" s="103"/>
    </row>
    <row r="170">
      <c r="A170" s="103"/>
      <c r="B170" s="103"/>
      <c r="C170" s="103"/>
      <c r="D170" s="103"/>
      <c r="E170" s="103"/>
      <c r="F170" s="103"/>
      <c r="G170" s="103"/>
      <c r="H170" s="103"/>
    </row>
    <row r="171">
      <c r="A171" s="103"/>
      <c r="B171" s="103"/>
      <c r="C171" s="103"/>
      <c r="D171" s="103"/>
      <c r="E171" s="103"/>
      <c r="F171" s="103"/>
      <c r="G171" s="103"/>
      <c r="H171" s="103"/>
    </row>
    <row r="172">
      <c r="A172" s="103"/>
      <c r="B172" s="103"/>
      <c r="C172" s="103"/>
      <c r="D172" s="103"/>
      <c r="E172" s="103"/>
      <c r="F172" s="103"/>
      <c r="G172" s="103"/>
      <c r="H172" s="103"/>
    </row>
    <row r="173">
      <c r="A173" s="103"/>
      <c r="B173" s="103"/>
      <c r="C173" s="103"/>
      <c r="D173" s="103"/>
      <c r="E173" s="103"/>
      <c r="F173" s="103"/>
      <c r="G173" s="103"/>
      <c r="H173" s="103"/>
    </row>
    <row r="174">
      <c r="A174" s="103"/>
      <c r="B174" s="103"/>
      <c r="C174" s="103"/>
      <c r="D174" s="103"/>
      <c r="E174" s="103"/>
      <c r="F174" s="103"/>
      <c r="G174" s="103"/>
      <c r="H174" s="103"/>
    </row>
    <row r="175">
      <c r="A175" s="103"/>
      <c r="B175" s="103"/>
      <c r="C175" s="103"/>
      <c r="D175" s="103"/>
      <c r="E175" s="103"/>
      <c r="F175" s="103"/>
      <c r="G175" s="103"/>
      <c r="H175" s="103"/>
    </row>
    <row r="176">
      <c r="A176" s="103"/>
      <c r="B176" s="103"/>
      <c r="C176" s="103"/>
      <c r="D176" s="103"/>
      <c r="E176" s="103"/>
      <c r="F176" s="103"/>
      <c r="G176" s="103"/>
      <c r="H176" s="103"/>
    </row>
    <row r="177">
      <c r="A177" s="103"/>
      <c r="B177" s="103"/>
      <c r="C177" s="103"/>
      <c r="D177" s="103"/>
      <c r="E177" s="103"/>
      <c r="F177" s="103"/>
      <c r="G177" s="103"/>
      <c r="H177" s="103"/>
    </row>
    <row r="178">
      <c r="A178" s="103"/>
      <c r="B178" s="103"/>
      <c r="C178" s="103"/>
      <c r="D178" s="103"/>
      <c r="E178" s="103"/>
      <c r="F178" s="103"/>
      <c r="G178" s="103"/>
      <c r="H178" s="103"/>
    </row>
    <row r="179">
      <c r="A179" s="103"/>
      <c r="B179" s="103"/>
      <c r="C179" s="103"/>
      <c r="D179" s="103"/>
      <c r="E179" s="103"/>
      <c r="F179" s="103"/>
      <c r="G179" s="103"/>
      <c r="H179" s="103"/>
    </row>
    <row r="180">
      <c r="A180" s="103"/>
      <c r="B180" s="103"/>
      <c r="C180" s="103"/>
      <c r="D180" s="103"/>
      <c r="E180" s="103"/>
      <c r="F180" s="103"/>
      <c r="G180" s="103"/>
      <c r="H180" s="103"/>
    </row>
    <row r="181">
      <c r="A181" s="103"/>
      <c r="B181" s="103"/>
      <c r="C181" s="103"/>
      <c r="D181" s="103"/>
      <c r="E181" s="103"/>
      <c r="F181" s="103"/>
      <c r="G181" s="103"/>
      <c r="H181" s="103"/>
    </row>
    <row r="182">
      <c r="A182" s="103"/>
      <c r="B182" s="103"/>
      <c r="C182" s="103"/>
      <c r="D182" s="103"/>
      <c r="E182" s="103"/>
      <c r="F182" s="103"/>
      <c r="G182" s="103"/>
      <c r="H182" s="103"/>
    </row>
    <row r="183">
      <c r="A183" s="103"/>
      <c r="B183" s="103"/>
      <c r="C183" s="103"/>
      <c r="D183" s="103"/>
      <c r="E183" s="103"/>
      <c r="F183" s="103"/>
      <c r="G183" s="103"/>
      <c r="H183" s="103"/>
    </row>
    <row r="184">
      <c r="A184" s="103"/>
      <c r="B184" s="103"/>
      <c r="C184" s="103"/>
      <c r="D184" s="103"/>
      <c r="E184" s="103"/>
      <c r="F184" s="103"/>
      <c r="G184" s="103"/>
      <c r="H184" s="103"/>
    </row>
    <row r="185">
      <c r="A185" s="103"/>
      <c r="B185" s="103"/>
      <c r="C185" s="103"/>
      <c r="D185" s="103"/>
      <c r="E185" s="103"/>
      <c r="F185" s="103"/>
      <c r="G185" s="103"/>
      <c r="H185" s="103"/>
    </row>
    <row r="186">
      <c r="A186" s="103"/>
      <c r="B186" s="103"/>
      <c r="C186" s="103"/>
      <c r="D186" s="103"/>
      <c r="E186" s="103"/>
      <c r="F186" s="103"/>
      <c r="G186" s="103"/>
      <c r="H186" s="103"/>
    </row>
    <row r="187">
      <c r="A187" s="103"/>
      <c r="B187" s="103"/>
      <c r="C187" s="103"/>
      <c r="D187" s="103"/>
      <c r="E187" s="103"/>
      <c r="F187" s="103"/>
      <c r="G187" s="103"/>
      <c r="H187" s="103"/>
    </row>
    <row r="188">
      <c r="A188" s="103"/>
      <c r="B188" s="103"/>
      <c r="C188" s="103"/>
      <c r="D188" s="103"/>
      <c r="E188" s="103"/>
      <c r="F188" s="103"/>
      <c r="G188" s="103"/>
      <c r="H188" s="103"/>
    </row>
    <row r="189">
      <c r="A189" s="103"/>
      <c r="B189" s="103"/>
      <c r="C189" s="103"/>
      <c r="D189" s="103"/>
      <c r="E189" s="103"/>
      <c r="F189" s="103"/>
      <c r="G189" s="103"/>
      <c r="H189" s="103"/>
    </row>
    <row r="190">
      <c r="A190" s="103"/>
      <c r="B190" s="103"/>
      <c r="C190" s="103"/>
      <c r="D190" s="103"/>
      <c r="E190" s="103"/>
      <c r="F190" s="103"/>
      <c r="G190" s="103"/>
      <c r="H190" s="103"/>
    </row>
    <row r="191">
      <c r="A191" s="103"/>
      <c r="B191" s="103"/>
      <c r="C191" s="103"/>
      <c r="D191" s="103"/>
      <c r="E191" s="103"/>
      <c r="F191" s="103"/>
      <c r="G191" s="103"/>
      <c r="H191" s="103"/>
    </row>
    <row r="192">
      <c r="A192" s="103"/>
      <c r="B192" s="103"/>
      <c r="C192" s="103"/>
      <c r="D192" s="103"/>
      <c r="E192" s="103"/>
      <c r="F192" s="103"/>
      <c r="G192" s="103"/>
      <c r="H192" s="103"/>
    </row>
    <row r="193">
      <c r="A193" s="103"/>
      <c r="B193" s="103"/>
      <c r="C193" s="103"/>
      <c r="D193" s="103"/>
      <c r="E193" s="103"/>
      <c r="F193" s="103"/>
      <c r="G193" s="103"/>
      <c r="H193" s="103"/>
    </row>
    <row r="194">
      <c r="A194" s="103"/>
      <c r="B194" s="103"/>
      <c r="C194" s="103"/>
      <c r="D194" s="103"/>
      <c r="E194" s="103"/>
      <c r="F194" s="103"/>
      <c r="G194" s="103"/>
      <c r="H194" s="103"/>
    </row>
    <row r="195">
      <c r="A195" s="103"/>
      <c r="B195" s="103"/>
      <c r="C195" s="103"/>
      <c r="D195" s="103"/>
      <c r="E195" s="103"/>
      <c r="F195" s="103"/>
      <c r="G195" s="103"/>
      <c r="H195" s="103"/>
    </row>
    <row r="196">
      <c r="A196" s="103"/>
      <c r="B196" s="103"/>
      <c r="C196" s="103"/>
      <c r="D196" s="103"/>
      <c r="E196" s="103"/>
      <c r="F196" s="103"/>
      <c r="G196" s="103"/>
      <c r="H196" s="103"/>
    </row>
    <row r="197">
      <c r="A197" s="103"/>
      <c r="B197" s="103"/>
      <c r="C197" s="103"/>
      <c r="D197" s="103"/>
      <c r="E197" s="103"/>
      <c r="F197" s="103"/>
      <c r="G197" s="103"/>
      <c r="H197" s="103"/>
    </row>
    <row r="198">
      <c r="A198" s="103"/>
      <c r="B198" s="103"/>
      <c r="C198" s="103"/>
      <c r="D198" s="103"/>
      <c r="E198" s="103"/>
      <c r="F198" s="103"/>
      <c r="G198" s="103"/>
      <c r="H198" s="103"/>
    </row>
    <row r="199">
      <c r="A199" s="103"/>
      <c r="B199" s="103"/>
      <c r="C199" s="103"/>
      <c r="D199" s="103"/>
      <c r="E199" s="103"/>
      <c r="F199" s="103"/>
      <c r="G199" s="103"/>
      <c r="H199" s="103"/>
    </row>
    <row r="200">
      <c r="A200" s="103"/>
      <c r="B200" s="103"/>
      <c r="C200" s="103"/>
      <c r="D200" s="103"/>
      <c r="E200" s="103"/>
      <c r="F200" s="103"/>
      <c r="G200" s="103"/>
      <c r="H200" s="103"/>
    </row>
    <row r="201">
      <c r="A201" s="103"/>
      <c r="B201" s="103"/>
      <c r="C201" s="103"/>
      <c r="D201" s="103"/>
      <c r="E201" s="103"/>
      <c r="F201" s="103"/>
      <c r="G201" s="103"/>
      <c r="H201" s="103"/>
    </row>
    <row r="202">
      <c r="A202" s="103"/>
      <c r="B202" s="103"/>
      <c r="C202" s="103"/>
      <c r="D202" s="103"/>
      <c r="E202" s="103"/>
      <c r="F202" s="103"/>
      <c r="G202" s="103"/>
      <c r="H202" s="103"/>
    </row>
    <row r="203">
      <c r="A203" s="103"/>
      <c r="B203" s="103"/>
      <c r="C203" s="103"/>
      <c r="D203" s="103"/>
      <c r="E203" s="103"/>
      <c r="F203" s="103"/>
      <c r="G203" s="103"/>
      <c r="H203" s="103"/>
    </row>
    <row r="204">
      <c r="A204" s="103"/>
      <c r="B204" s="103"/>
      <c r="C204" s="103"/>
      <c r="D204" s="103"/>
      <c r="E204" s="103"/>
      <c r="F204" s="103"/>
      <c r="G204" s="103"/>
      <c r="H204" s="103"/>
    </row>
    <row r="205">
      <c r="A205" s="103"/>
      <c r="B205" s="103"/>
      <c r="C205" s="103"/>
      <c r="D205" s="103"/>
      <c r="E205" s="103"/>
      <c r="F205" s="103"/>
      <c r="G205" s="103"/>
      <c r="H205" s="103"/>
    </row>
    <row r="206">
      <c r="A206" s="103"/>
      <c r="B206" s="103"/>
      <c r="C206" s="103"/>
      <c r="D206" s="103"/>
      <c r="E206" s="103"/>
      <c r="F206" s="103"/>
      <c r="G206" s="103"/>
      <c r="H206" s="103"/>
    </row>
    <row r="207">
      <c r="A207" s="103"/>
      <c r="B207" s="103"/>
      <c r="C207" s="103"/>
      <c r="D207" s="103"/>
      <c r="E207" s="103"/>
      <c r="F207" s="103"/>
      <c r="G207" s="103"/>
      <c r="H207" s="103"/>
    </row>
    <row r="208">
      <c r="A208" s="103"/>
      <c r="B208" s="103"/>
      <c r="C208" s="103"/>
      <c r="D208" s="103"/>
      <c r="E208" s="103"/>
      <c r="F208" s="103"/>
      <c r="G208" s="103"/>
      <c r="H208" s="103"/>
    </row>
    <row r="209">
      <c r="A209" s="103"/>
      <c r="B209" s="103"/>
      <c r="C209" s="103"/>
      <c r="D209" s="103"/>
      <c r="E209" s="103"/>
      <c r="F209" s="103"/>
      <c r="G209" s="103"/>
      <c r="H209" s="103"/>
    </row>
    <row r="210">
      <c r="A210" s="103"/>
      <c r="B210" s="103"/>
      <c r="C210" s="103"/>
      <c r="D210" s="103"/>
      <c r="E210" s="103"/>
      <c r="F210" s="103"/>
      <c r="G210" s="103"/>
      <c r="H210" s="103"/>
    </row>
    <row r="211">
      <c r="A211" s="103"/>
      <c r="B211" s="103"/>
      <c r="C211" s="103"/>
      <c r="D211" s="103"/>
      <c r="E211" s="103"/>
      <c r="F211" s="103"/>
      <c r="G211" s="103"/>
      <c r="H211" s="103"/>
    </row>
    <row r="212">
      <c r="A212" s="103"/>
      <c r="B212" s="103"/>
      <c r="C212" s="103"/>
      <c r="D212" s="103"/>
      <c r="E212" s="103"/>
      <c r="F212" s="103"/>
      <c r="G212" s="103"/>
      <c r="H212" s="103"/>
    </row>
    <row r="213">
      <c r="A213" s="103"/>
      <c r="B213" s="103"/>
      <c r="C213" s="103"/>
      <c r="D213" s="103"/>
      <c r="E213" s="103"/>
      <c r="F213" s="103"/>
      <c r="G213" s="103"/>
      <c r="H213" s="103"/>
    </row>
    <row r="214">
      <c r="A214" s="103"/>
      <c r="B214" s="103"/>
      <c r="C214" s="103"/>
      <c r="D214" s="103"/>
      <c r="E214" s="103"/>
      <c r="F214" s="103"/>
      <c r="G214" s="103"/>
      <c r="H214" s="103"/>
    </row>
    <row r="215">
      <c r="A215" s="103"/>
      <c r="B215" s="103"/>
      <c r="C215" s="103"/>
      <c r="D215" s="103"/>
      <c r="E215" s="103"/>
      <c r="F215" s="103"/>
      <c r="G215" s="103"/>
      <c r="H215" s="103"/>
    </row>
    <row r="216">
      <c r="A216" s="103"/>
      <c r="B216" s="103"/>
      <c r="C216" s="103"/>
      <c r="D216" s="103"/>
      <c r="E216" s="103"/>
      <c r="F216" s="103"/>
      <c r="G216" s="103"/>
      <c r="H216" s="103"/>
    </row>
    <row r="217">
      <c r="A217" s="103"/>
      <c r="B217" s="103"/>
      <c r="C217" s="103"/>
      <c r="D217" s="103"/>
      <c r="E217" s="103"/>
      <c r="F217" s="103"/>
      <c r="G217" s="103"/>
      <c r="H217" s="103"/>
    </row>
    <row r="218">
      <c r="A218" s="103"/>
      <c r="B218" s="103"/>
      <c r="C218" s="103"/>
      <c r="D218" s="103"/>
      <c r="E218" s="103"/>
      <c r="F218" s="103"/>
      <c r="G218" s="103"/>
      <c r="H218" s="103"/>
    </row>
    <row r="219">
      <c r="A219" s="103"/>
      <c r="B219" s="103"/>
      <c r="C219" s="103"/>
      <c r="D219" s="103"/>
      <c r="E219" s="103"/>
      <c r="F219" s="103"/>
      <c r="G219" s="103"/>
      <c r="H219" s="103"/>
    </row>
    <row r="220">
      <c r="A220" s="103"/>
      <c r="B220" s="103"/>
      <c r="C220" s="103"/>
      <c r="D220" s="103"/>
      <c r="E220" s="103"/>
      <c r="F220" s="103"/>
      <c r="G220" s="103"/>
      <c r="H220" s="103"/>
    </row>
    <row r="221">
      <c r="A221" s="103"/>
      <c r="B221" s="103"/>
      <c r="C221" s="103"/>
      <c r="D221" s="103"/>
      <c r="E221" s="103"/>
      <c r="F221" s="103"/>
      <c r="G221" s="103"/>
      <c r="H221" s="103"/>
    </row>
    <row r="222">
      <c r="A222" s="103"/>
      <c r="B222" s="103"/>
      <c r="C222" s="103"/>
      <c r="D222" s="103"/>
      <c r="E222" s="103"/>
      <c r="F222" s="103"/>
      <c r="G222" s="103"/>
      <c r="H222" s="103"/>
    </row>
    <row r="223">
      <c r="A223" s="103"/>
      <c r="B223" s="103"/>
      <c r="C223" s="103"/>
      <c r="D223" s="103"/>
      <c r="E223" s="103"/>
      <c r="F223" s="103"/>
      <c r="G223" s="103"/>
      <c r="H223" s="103"/>
    </row>
    <row r="224">
      <c r="A224" s="103"/>
      <c r="B224" s="103"/>
      <c r="C224" s="103"/>
      <c r="D224" s="103"/>
      <c r="E224" s="103"/>
      <c r="F224" s="103"/>
      <c r="G224" s="103"/>
      <c r="H224" s="103"/>
    </row>
    <row r="225">
      <c r="A225" s="103"/>
      <c r="B225" s="103"/>
      <c r="C225" s="103"/>
      <c r="D225" s="103"/>
      <c r="E225" s="103"/>
      <c r="F225" s="103"/>
      <c r="G225" s="103"/>
      <c r="H225" s="103"/>
    </row>
    <row r="226">
      <c r="A226" s="103"/>
      <c r="B226" s="103"/>
      <c r="C226" s="103"/>
      <c r="D226" s="103"/>
      <c r="E226" s="103"/>
      <c r="F226" s="103"/>
      <c r="G226" s="103"/>
      <c r="H226" s="103"/>
    </row>
    <row r="227">
      <c r="A227" s="103"/>
      <c r="B227" s="103"/>
      <c r="C227" s="103"/>
      <c r="D227" s="103"/>
      <c r="E227" s="103"/>
      <c r="F227" s="103"/>
      <c r="G227" s="103"/>
      <c r="H227" s="103"/>
    </row>
    <row r="228">
      <c r="A228" s="103"/>
      <c r="B228" s="103"/>
      <c r="C228" s="103"/>
      <c r="D228" s="103"/>
      <c r="E228" s="103"/>
      <c r="F228" s="103"/>
      <c r="G228" s="103"/>
      <c r="H228" s="103"/>
    </row>
    <row r="229">
      <c r="A229" s="103"/>
      <c r="B229" s="103"/>
      <c r="C229" s="103"/>
      <c r="D229" s="103"/>
      <c r="E229" s="103"/>
      <c r="F229" s="103"/>
      <c r="G229" s="103"/>
      <c r="H229" s="103"/>
    </row>
    <row r="230">
      <c r="A230" s="103"/>
      <c r="B230" s="103"/>
      <c r="C230" s="103"/>
      <c r="D230" s="103"/>
      <c r="E230" s="103"/>
      <c r="F230" s="103"/>
      <c r="G230" s="103"/>
      <c r="H230" s="103"/>
    </row>
    <row r="231">
      <c r="A231" s="103"/>
      <c r="B231" s="103"/>
      <c r="C231" s="103"/>
      <c r="D231" s="103"/>
      <c r="E231" s="103"/>
      <c r="F231" s="103"/>
      <c r="G231" s="103"/>
      <c r="H231" s="103"/>
    </row>
    <row r="232">
      <c r="A232" s="103"/>
      <c r="B232" s="103"/>
      <c r="C232" s="103"/>
      <c r="D232" s="103"/>
      <c r="E232" s="103"/>
      <c r="F232" s="103"/>
      <c r="G232" s="103"/>
      <c r="H232" s="103"/>
    </row>
    <row r="233">
      <c r="A233" s="103"/>
      <c r="B233" s="103"/>
      <c r="C233" s="103"/>
      <c r="D233" s="103"/>
      <c r="E233" s="103"/>
      <c r="F233" s="103"/>
      <c r="G233" s="103"/>
      <c r="H233" s="103"/>
    </row>
    <row r="234">
      <c r="A234" s="103"/>
      <c r="B234" s="103"/>
      <c r="C234" s="103"/>
      <c r="D234" s="103"/>
      <c r="E234" s="103"/>
      <c r="F234" s="103"/>
      <c r="G234" s="103"/>
      <c r="H234" s="103"/>
    </row>
    <row r="235">
      <c r="A235" s="103"/>
      <c r="B235" s="103"/>
      <c r="C235" s="103"/>
      <c r="D235" s="103"/>
      <c r="E235" s="103"/>
      <c r="F235" s="103"/>
      <c r="G235" s="103"/>
      <c r="H235" s="103"/>
    </row>
    <row r="236">
      <c r="A236" s="103"/>
      <c r="B236" s="103"/>
      <c r="C236" s="103"/>
      <c r="D236" s="103"/>
      <c r="E236" s="103"/>
      <c r="F236" s="103"/>
      <c r="G236" s="103"/>
      <c r="H236" s="103"/>
    </row>
    <row r="237">
      <c r="A237" s="103"/>
      <c r="B237" s="103"/>
      <c r="C237" s="103"/>
      <c r="D237" s="103"/>
      <c r="E237" s="103"/>
      <c r="F237" s="103"/>
      <c r="G237" s="103"/>
      <c r="H237" s="103"/>
    </row>
    <row r="238">
      <c r="A238" s="103"/>
      <c r="B238" s="103"/>
      <c r="C238" s="103"/>
      <c r="D238" s="103"/>
      <c r="E238" s="103"/>
      <c r="F238" s="103"/>
      <c r="G238" s="103"/>
      <c r="H238" s="103"/>
    </row>
    <row r="239">
      <c r="A239" s="103"/>
      <c r="B239" s="103"/>
      <c r="C239" s="103"/>
      <c r="D239" s="103"/>
      <c r="E239" s="103"/>
      <c r="F239" s="103"/>
      <c r="G239" s="103"/>
      <c r="H239" s="103"/>
    </row>
    <row r="240">
      <c r="A240" s="103"/>
      <c r="B240" s="103"/>
      <c r="C240" s="103"/>
      <c r="D240" s="103"/>
      <c r="E240" s="103"/>
      <c r="F240" s="103"/>
      <c r="G240" s="103"/>
      <c r="H240" s="103"/>
    </row>
    <row r="241">
      <c r="A241" s="103"/>
      <c r="B241" s="103"/>
      <c r="C241" s="103"/>
      <c r="D241" s="103"/>
      <c r="E241" s="103"/>
      <c r="F241" s="103"/>
      <c r="G241" s="103"/>
      <c r="H241" s="103"/>
    </row>
    <row r="242">
      <c r="A242" s="103"/>
      <c r="B242" s="103"/>
      <c r="C242" s="103"/>
      <c r="D242" s="103"/>
      <c r="E242" s="103"/>
      <c r="F242" s="103"/>
      <c r="G242" s="103"/>
      <c r="H242" s="103"/>
    </row>
    <row r="243">
      <c r="A243" s="103"/>
      <c r="B243" s="103"/>
      <c r="C243" s="103"/>
      <c r="D243" s="103"/>
      <c r="E243" s="103"/>
      <c r="F243" s="103"/>
      <c r="G243" s="103"/>
      <c r="H243" s="103"/>
    </row>
    <row r="244">
      <c r="A244" s="103"/>
      <c r="B244" s="103"/>
      <c r="C244" s="103"/>
      <c r="D244" s="103"/>
      <c r="E244" s="103"/>
      <c r="F244" s="103"/>
      <c r="G244" s="103"/>
      <c r="H244" s="103"/>
    </row>
    <row r="245">
      <c r="A245" s="103"/>
      <c r="B245" s="103"/>
      <c r="C245" s="103"/>
      <c r="D245" s="103"/>
      <c r="E245" s="103"/>
      <c r="F245" s="103"/>
      <c r="G245" s="103"/>
      <c r="H245" s="103"/>
    </row>
    <row r="246">
      <c r="A246" s="103"/>
      <c r="B246" s="103"/>
      <c r="C246" s="103"/>
      <c r="D246" s="103"/>
      <c r="E246" s="103"/>
      <c r="F246" s="103"/>
      <c r="G246" s="103"/>
      <c r="H246" s="103"/>
    </row>
    <row r="247">
      <c r="A247" s="103"/>
      <c r="B247" s="103"/>
      <c r="C247" s="103"/>
      <c r="D247" s="103"/>
      <c r="E247" s="103"/>
      <c r="F247" s="103"/>
      <c r="G247" s="103"/>
      <c r="H247" s="103"/>
    </row>
    <row r="248">
      <c r="A248" s="103"/>
      <c r="B248" s="103"/>
      <c r="C248" s="103"/>
      <c r="D248" s="103"/>
      <c r="E248" s="103"/>
      <c r="F248" s="103"/>
      <c r="G248" s="103"/>
      <c r="H248" s="103"/>
    </row>
    <row r="249">
      <c r="A249" s="103"/>
      <c r="B249" s="103"/>
      <c r="C249" s="103"/>
      <c r="D249" s="103"/>
      <c r="E249" s="103"/>
      <c r="F249" s="103"/>
      <c r="G249" s="103"/>
      <c r="H249" s="103"/>
    </row>
    <row r="250">
      <c r="A250" s="103"/>
      <c r="B250" s="103"/>
      <c r="C250" s="103"/>
      <c r="D250" s="103"/>
      <c r="E250" s="103"/>
      <c r="F250" s="103"/>
      <c r="G250" s="103"/>
      <c r="H250" s="103"/>
    </row>
    <row r="251">
      <c r="A251" s="103"/>
      <c r="B251" s="103"/>
      <c r="C251" s="103"/>
      <c r="D251" s="103"/>
      <c r="E251" s="103"/>
      <c r="F251" s="103"/>
      <c r="G251" s="103"/>
      <c r="H251" s="103"/>
    </row>
    <row r="252">
      <c r="A252" s="103"/>
      <c r="B252" s="103"/>
      <c r="C252" s="103"/>
      <c r="D252" s="103"/>
      <c r="E252" s="103"/>
      <c r="F252" s="103"/>
      <c r="G252" s="103"/>
      <c r="H252" s="103"/>
    </row>
    <row r="253">
      <c r="A253" s="103"/>
      <c r="B253" s="103"/>
      <c r="C253" s="103"/>
      <c r="D253" s="103"/>
      <c r="E253" s="103"/>
      <c r="F253" s="103"/>
      <c r="G253" s="103"/>
      <c r="H253" s="103"/>
    </row>
    <row r="254">
      <c r="A254" s="103"/>
      <c r="B254" s="103"/>
      <c r="C254" s="103"/>
      <c r="D254" s="103"/>
      <c r="E254" s="103"/>
      <c r="F254" s="103"/>
      <c r="G254" s="103"/>
      <c r="H254" s="103"/>
    </row>
    <row r="255">
      <c r="A255" s="103"/>
      <c r="B255" s="103"/>
      <c r="C255" s="103"/>
      <c r="D255" s="103"/>
      <c r="E255" s="103"/>
      <c r="F255" s="103"/>
      <c r="G255" s="103"/>
      <c r="H255" s="103"/>
    </row>
    <row r="256">
      <c r="A256" s="103"/>
      <c r="B256" s="103"/>
      <c r="C256" s="103"/>
      <c r="D256" s="103"/>
      <c r="E256" s="103"/>
      <c r="F256" s="103"/>
      <c r="G256" s="103"/>
      <c r="H256" s="103"/>
    </row>
    <row r="257">
      <c r="A257" s="103"/>
      <c r="B257" s="103"/>
      <c r="C257" s="103"/>
      <c r="D257" s="103"/>
      <c r="E257" s="103"/>
      <c r="F257" s="103"/>
      <c r="G257" s="103"/>
      <c r="H257" s="103"/>
    </row>
    <row r="258">
      <c r="A258" s="103"/>
      <c r="B258" s="103"/>
      <c r="C258" s="103"/>
      <c r="D258" s="103"/>
      <c r="E258" s="103"/>
      <c r="F258" s="103"/>
      <c r="G258" s="103"/>
      <c r="H258" s="103"/>
    </row>
    <row r="259">
      <c r="A259" s="103"/>
      <c r="B259" s="103"/>
      <c r="C259" s="103"/>
      <c r="D259" s="103"/>
      <c r="E259" s="103"/>
      <c r="F259" s="103"/>
      <c r="G259" s="103"/>
      <c r="H259" s="103"/>
    </row>
    <row r="260">
      <c r="A260" s="103"/>
      <c r="B260" s="103"/>
      <c r="C260" s="103"/>
      <c r="D260" s="103"/>
      <c r="E260" s="103"/>
      <c r="F260" s="103"/>
      <c r="G260" s="103"/>
      <c r="H260" s="103"/>
    </row>
    <row r="261">
      <c r="A261" s="103"/>
      <c r="B261" s="103"/>
      <c r="C261" s="103"/>
      <c r="D261" s="103"/>
      <c r="E261" s="103"/>
      <c r="F261" s="103"/>
      <c r="G261" s="103"/>
      <c r="H261" s="103"/>
    </row>
    <row r="262">
      <c r="A262" s="103"/>
      <c r="B262" s="103"/>
      <c r="C262" s="103"/>
      <c r="D262" s="103"/>
      <c r="E262" s="103"/>
      <c r="F262" s="103"/>
      <c r="G262" s="103"/>
      <c r="H262" s="103"/>
    </row>
    <row r="263">
      <c r="A263" s="103"/>
      <c r="B263" s="103"/>
      <c r="C263" s="103"/>
      <c r="D263" s="103"/>
      <c r="E263" s="103"/>
      <c r="F263" s="103"/>
      <c r="G263" s="103"/>
      <c r="H263" s="103"/>
    </row>
    <row r="264">
      <c r="A264" s="103"/>
      <c r="B264" s="103"/>
      <c r="C264" s="103"/>
      <c r="D264" s="103"/>
      <c r="E264" s="103"/>
      <c r="F264" s="103"/>
      <c r="G264" s="103"/>
      <c r="H264" s="103"/>
    </row>
    <row r="265">
      <c r="A265" s="103"/>
      <c r="B265" s="103"/>
      <c r="C265" s="103"/>
      <c r="D265" s="103"/>
      <c r="E265" s="103"/>
      <c r="F265" s="103"/>
      <c r="G265" s="103"/>
      <c r="H265" s="103"/>
    </row>
    <row r="266">
      <c r="A266" s="103"/>
      <c r="B266" s="103"/>
      <c r="C266" s="103"/>
      <c r="D266" s="103"/>
      <c r="E266" s="103"/>
      <c r="F266" s="103"/>
      <c r="G266" s="103"/>
      <c r="H266" s="103"/>
    </row>
    <row r="267">
      <c r="A267" s="103"/>
      <c r="B267" s="103"/>
      <c r="C267" s="103"/>
      <c r="D267" s="103"/>
      <c r="E267" s="103"/>
      <c r="F267" s="103"/>
      <c r="G267" s="103"/>
      <c r="H267" s="103"/>
    </row>
    <row r="268">
      <c r="A268" s="103"/>
      <c r="B268" s="103"/>
      <c r="C268" s="103"/>
      <c r="D268" s="103"/>
      <c r="E268" s="103"/>
      <c r="F268" s="103"/>
      <c r="G268" s="103"/>
      <c r="H268" s="103"/>
    </row>
    <row r="269">
      <c r="A269" s="103"/>
      <c r="B269" s="103"/>
      <c r="C269" s="103"/>
      <c r="D269" s="103"/>
      <c r="E269" s="103"/>
      <c r="F269" s="103"/>
      <c r="G269" s="103"/>
      <c r="H269" s="103"/>
    </row>
    <row r="270">
      <c r="A270" s="103"/>
      <c r="B270" s="103"/>
      <c r="C270" s="103"/>
      <c r="D270" s="103"/>
      <c r="E270" s="103"/>
      <c r="F270" s="103"/>
      <c r="G270" s="103"/>
      <c r="H270" s="103"/>
    </row>
    <row r="271">
      <c r="A271" s="103"/>
      <c r="B271" s="103"/>
      <c r="C271" s="103"/>
      <c r="D271" s="103"/>
      <c r="E271" s="103"/>
      <c r="F271" s="103"/>
      <c r="G271" s="103"/>
      <c r="H271" s="103"/>
    </row>
    <row r="272">
      <c r="A272" s="103"/>
      <c r="B272" s="103"/>
      <c r="C272" s="103"/>
      <c r="D272" s="103"/>
      <c r="E272" s="103"/>
      <c r="F272" s="103"/>
      <c r="G272" s="103"/>
      <c r="H272" s="103"/>
    </row>
    <row r="273">
      <c r="A273" s="103"/>
      <c r="B273" s="103"/>
      <c r="C273" s="103"/>
      <c r="D273" s="103"/>
      <c r="E273" s="103"/>
      <c r="F273" s="103"/>
      <c r="G273" s="103"/>
      <c r="H273" s="103"/>
    </row>
    <row r="274">
      <c r="A274" s="103"/>
      <c r="B274" s="103"/>
      <c r="C274" s="103"/>
      <c r="D274" s="103"/>
      <c r="E274" s="103"/>
      <c r="F274" s="103"/>
      <c r="G274" s="103"/>
      <c r="H274" s="103"/>
    </row>
    <row r="275">
      <c r="A275" s="103"/>
      <c r="B275" s="103"/>
      <c r="C275" s="103"/>
      <c r="D275" s="103"/>
      <c r="E275" s="103"/>
      <c r="F275" s="103"/>
      <c r="G275" s="103"/>
      <c r="H275" s="103"/>
    </row>
    <row r="276">
      <c r="A276" s="103"/>
      <c r="B276" s="103"/>
      <c r="C276" s="103"/>
      <c r="D276" s="103"/>
      <c r="E276" s="103"/>
      <c r="F276" s="103"/>
      <c r="G276" s="103"/>
      <c r="H276" s="103"/>
    </row>
    <row r="277">
      <c r="A277" s="103"/>
      <c r="B277" s="103"/>
      <c r="C277" s="103"/>
      <c r="D277" s="103"/>
      <c r="E277" s="103"/>
      <c r="F277" s="103"/>
      <c r="G277" s="103"/>
      <c r="H277" s="103"/>
    </row>
    <row r="278">
      <c r="A278" s="103"/>
      <c r="B278" s="103"/>
      <c r="C278" s="103"/>
      <c r="D278" s="103"/>
      <c r="E278" s="103"/>
      <c r="F278" s="103"/>
      <c r="G278" s="103"/>
      <c r="H278" s="103"/>
    </row>
    <row r="279">
      <c r="A279" s="103"/>
      <c r="B279" s="103"/>
      <c r="C279" s="103"/>
      <c r="D279" s="103"/>
      <c r="E279" s="103"/>
      <c r="F279" s="103"/>
      <c r="G279" s="103"/>
      <c r="H279" s="103"/>
    </row>
    <row r="280">
      <c r="A280" s="103"/>
      <c r="B280" s="103"/>
      <c r="C280" s="103"/>
      <c r="D280" s="103"/>
      <c r="E280" s="103"/>
      <c r="F280" s="103"/>
      <c r="G280" s="103"/>
      <c r="H280" s="103"/>
    </row>
    <row r="281">
      <c r="A281" s="103"/>
      <c r="B281" s="103"/>
      <c r="C281" s="103"/>
      <c r="D281" s="103"/>
      <c r="E281" s="103"/>
      <c r="F281" s="103"/>
      <c r="G281" s="103"/>
      <c r="H281" s="103"/>
    </row>
    <row r="282">
      <c r="A282" s="103"/>
      <c r="B282" s="103"/>
      <c r="C282" s="103"/>
      <c r="D282" s="103"/>
      <c r="E282" s="103"/>
      <c r="F282" s="103"/>
      <c r="G282" s="103"/>
      <c r="H282" s="103"/>
    </row>
    <row r="283">
      <c r="A283" s="103"/>
      <c r="B283" s="103"/>
      <c r="C283" s="103"/>
      <c r="D283" s="103"/>
      <c r="E283" s="103"/>
      <c r="F283" s="103"/>
      <c r="G283" s="103"/>
      <c r="H283" s="103"/>
    </row>
    <row r="284">
      <c r="A284" s="103"/>
      <c r="B284" s="103"/>
      <c r="C284" s="103"/>
      <c r="D284" s="103"/>
      <c r="E284" s="103"/>
      <c r="F284" s="103"/>
      <c r="G284" s="103"/>
      <c r="H284" s="103"/>
    </row>
    <row r="285">
      <c r="A285" s="103"/>
      <c r="B285" s="103"/>
      <c r="C285" s="103"/>
      <c r="D285" s="103"/>
      <c r="E285" s="103"/>
      <c r="F285" s="103"/>
      <c r="G285" s="103"/>
      <c r="H285" s="103"/>
    </row>
    <row r="286">
      <c r="A286" s="103"/>
      <c r="B286" s="103"/>
      <c r="C286" s="103"/>
      <c r="D286" s="103"/>
      <c r="E286" s="103"/>
      <c r="F286" s="103"/>
      <c r="G286" s="103"/>
      <c r="H286" s="103"/>
    </row>
    <row r="287">
      <c r="A287" s="103"/>
      <c r="B287" s="103"/>
      <c r="C287" s="103"/>
      <c r="D287" s="103"/>
      <c r="E287" s="103"/>
      <c r="F287" s="103"/>
      <c r="G287" s="103"/>
      <c r="H287" s="103"/>
    </row>
    <row r="288">
      <c r="A288" s="103"/>
      <c r="B288" s="103"/>
      <c r="C288" s="103"/>
      <c r="D288" s="103"/>
      <c r="E288" s="103"/>
      <c r="F288" s="103"/>
      <c r="G288" s="103"/>
      <c r="H288" s="103"/>
    </row>
    <row r="289">
      <c r="A289" s="103"/>
      <c r="B289" s="103"/>
      <c r="C289" s="103"/>
      <c r="D289" s="103"/>
      <c r="E289" s="103"/>
      <c r="F289" s="103"/>
      <c r="G289" s="103"/>
      <c r="H289" s="103"/>
    </row>
    <row r="290">
      <c r="A290" s="103"/>
      <c r="B290" s="103"/>
      <c r="C290" s="103"/>
      <c r="D290" s="103"/>
      <c r="E290" s="103"/>
      <c r="F290" s="103"/>
      <c r="G290" s="103"/>
      <c r="H290" s="103"/>
    </row>
    <row r="291">
      <c r="A291" s="103"/>
      <c r="B291" s="103"/>
      <c r="C291" s="103"/>
      <c r="D291" s="103"/>
      <c r="E291" s="103"/>
      <c r="F291" s="103"/>
      <c r="G291" s="103"/>
      <c r="H291" s="103"/>
    </row>
    <row r="292">
      <c r="A292" s="103"/>
      <c r="B292" s="103"/>
      <c r="C292" s="103"/>
      <c r="D292" s="103"/>
      <c r="E292" s="103"/>
      <c r="F292" s="103"/>
      <c r="G292" s="103"/>
      <c r="H292" s="103"/>
    </row>
    <row r="293">
      <c r="A293" s="103"/>
      <c r="B293" s="103"/>
      <c r="C293" s="103"/>
      <c r="D293" s="103"/>
      <c r="E293" s="103"/>
      <c r="F293" s="103"/>
      <c r="G293" s="103"/>
      <c r="H293" s="103"/>
    </row>
    <row r="294">
      <c r="A294" s="103"/>
      <c r="B294" s="103"/>
      <c r="C294" s="103"/>
      <c r="D294" s="103"/>
      <c r="E294" s="103"/>
      <c r="F294" s="103"/>
      <c r="G294" s="103"/>
      <c r="H294" s="103"/>
    </row>
    <row r="295">
      <c r="A295" s="103"/>
      <c r="B295" s="103"/>
      <c r="C295" s="103"/>
      <c r="D295" s="103"/>
      <c r="E295" s="103"/>
      <c r="F295" s="103"/>
      <c r="G295" s="103"/>
      <c r="H295" s="103"/>
    </row>
    <row r="296">
      <c r="A296" s="103"/>
      <c r="B296" s="103"/>
      <c r="C296" s="103"/>
      <c r="D296" s="103"/>
      <c r="E296" s="103"/>
      <c r="F296" s="103"/>
      <c r="G296" s="103"/>
      <c r="H296" s="103"/>
    </row>
    <row r="297">
      <c r="A297" s="103"/>
      <c r="B297" s="103"/>
      <c r="C297" s="103"/>
      <c r="D297" s="103"/>
      <c r="E297" s="103"/>
      <c r="F297" s="103"/>
      <c r="G297" s="103"/>
      <c r="H297" s="103"/>
    </row>
    <row r="298">
      <c r="A298" s="103"/>
      <c r="B298" s="103"/>
      <c r="C298" s="103"/>
      <c r="D298" s="103"/>
      <c r="E298" s="103"/>
      <c r="F298" s="103"/>
      <c r="G298" s="103"/>
      <c r="H298" s="103"/>
    </row>
    <row r="299">
      <c r="A299" s="103"/>
      <c r="B299" s="103"/>
      <c r="C299" s="103"/>
      <c r="D299" s="103"/>
      <c r="E299" s="103"/>
      <c r="F299" s="103"/>
      <c r="G299" s="103"/>
      <c r="H299" s="103"/>
    </row>
    <row r="300">
      <c r="A300" s="103"/>
      <c r="B300" s="103"/>
      <c r="C300" s="103"/>
      <c r="D300" s="103"/>
      <c r="E300" s="103"/>
      <c r="F300" s="103"/>
      <c r="G300" s="103"/>
      <c r="H300" s="103"/>
    </row>
    <row r="301">
      <c r="A301" s="103"/>
      <c r="B301" s="103"/>
      <c r="C301" s="103"/>
      <c r="D301" s="103"/>
      <c r="E301" s="103"/>
      <c r="F301" s="103"/>
      <c r="G301" s="103"/>
      <c r="H301" s="103"/>
    </row>
    <row r="302">
      <c r="A302" s="103"/>
      <c r="B302" s="103"/>
      <c r="C302" s="103"/>
      <c r="D302" s="103"/>
      <c r="E302" s="103"/>
      <c r="F302" s="103"/>
      <c r="G302" s="103"/>
      <c r="H302" s="103"/>
    </row>
    <row r="303">
      <c r="A303" s="103"/>
      <c r="B303" s="103"/>
      <c r="C303" s="103"/>
      <c r="D303" s="103"/>
      <c r="E303" s="103"/>
      <c r="F303" s="103"/>
      <c r="G303" s="103"/>
      <c r="H303" s="103"/>
    </row>
    <row r="304">
      <c r="A304" s="103"/>
      <c r="B304" s="103"/>
      <c r="C304" s="103"/>
      <c r="D304" s="103"/>
      <c r="E304" s="103"/>
      <c r="F304" s="103"/>
      <c r="G304" s="103"/>
      <c r="H304" s="103"/>
    </row>
    <row r="305">
      <c r="A305" s="103"/>
      <c r="B305" s="103"/>
      <c r="C305" s="103"/>
      <c r="D305" s="103"/>
      <c r="E305" s="103"/>
      <c r="F305" s="103"/>
      <c r="G305" s="103"/>
      <c r="H305" s="103"/>
    </row>
    <row r="306">
      <c r="A306" s="103"/>
      <c r="B306" s="103"/>
      <c r="C306" s="103"/>
      <c r="D306" s="103"/>
      <c r="E306" s="103"/>
      <c r="F306" s="103"/>
      <c r="G306" s="103"/>
      <c r="H306" s="103"/>
    </row>
    <row r="307">
      <c r="A307" s="103"/>
      <c r="B307" s="103"/>
      <c r="C307" s="103"/>
      <c r="D307" s="103"/>
      <c r="E307" s="103"/>
      <c r="F307" s="103"/>
      <c r="G307" s="103"/>
      <c r="H307" s="103"/>
    </row>
    <row r="308">
      <c r="A308" s="103"/>
      <c r="B308" s="103"/>
      <c r="C308" s="103"/>
      <c r="D308" s="103"/>
      <c r="E308" s="103"/>
      <c r="F308" s="103"/>
      <c r="G308" s="103"/>
      <c r="H308" s="103"/>
    </row>
    <row r="309">
      <c r="A309" s="103"/>
      <c r="B309" s="103"/>
      <c r="C309" s="103"/>
      <c r="D309" s="103"/>
      <c r="E309" s="103"/>
      <c r="F309" s="103"/>
      <c r="G309" s="103"/>
      <c r="H309" s="103"/>
    </row>
    <row r="310">
      <c r="A310" s="103"/>
      <c r="B310" s="103"/>
      <c r="C310" s="103"/>
      <c r="D310" s="103"/>
      <c r="E310" s="103"/>
      <c r="F310" s="103"/>
      <c r="G310" s="103"/>
      <c r="H310" s="103"/>
    </row>
    <row r="311">
      <c r="A311" s="103"/>
      <c r="B311" s="103"/>
      <c r="C311" s="103"/>
      <c r="D311" s="103"/>
      <c r="E311" s="103"/>
      <c r="F311" s="103"/>
      <c r="G311" s="103"/>
      <c r="H311" s="103"/>
    </row>
    <row r="312">
      <c r="A312" s="103"/>
      <c r="B312" s="103"/>
      <c r="C312" s="103"/>
      <c r="D312" s="103"/>
      <c r="E312" s="103"/>
      <c r="F312" s="103"/>
      <c r="G312" s="103"/>
      <c r="H312" s="103"/>
    </row>
    <row r="313">
      <c r="A313" s="103"/>
      <c r="B313" s="103"/>
      <c r="C313" s="103"/>
      <c r="D313" s="103"/>
      <c r="E313" s="103"/>
      <c r="F313" s="103"/>
      <c r="G313" s="103"/>
      <c r="H313" s="103"/>
    </row>
    <row r="314">
      <c r="A314" s="103"/>
      <c r="B314" s="103"/>
      <c r="C314" s="103"/>
      <c r="D314" s="103"/>
      <c r="E314" s="103"/>
      <c r="F314" s="103"/>
      <c r="G314" s="103"/>
      <c r="H314" s="103"/>
    </row>
    <row r="315">
      <c r="A315" s="103"/>
      <c r="B315" s="103"/>
      <c r="C315" s="103"/>
      <c r="D315" s="103"/>
      <c r="E315" s="103"/>
      <c r="F315" s="103"/>
      <c r="G315" s="103"/>
      <c r="H315" s="103"/>
    </row>
    <row r="316">
      <c r="A316" s="103"/>
      <c r="B316" s="103"/>
      <c r="C316" s="103"/>
      <c r="D316" s="103"/>
      <c r="E316" s="103"/>
      <c r="F316" s="103"/>
      <c r="G316" s="103"/>
      <c r="H316" s="103"/>
    </row>
    <row r="317">
      <c r="A317" s="103"/>
      <c r="B317" s="103"/>
      <c r="C317" s="103"/>
      <c r="D317" s="103"/>
      <c r="E317" s="103"/>
      <c r="F317" s="103"/>
      <c r="G317" s="103"/>
      <c r="H317" s="103"/>
    </row>
    <row r="318">
      <c r="A318" s="103"/>
      <c r="B318" s="103"/>
      <c r="C318" s="103"/>
      <c r="D318" s="103"/>
      <c r="E318" s="103"/>
      <c r="F318" s="103"/>
      <c r="G318" s="103"/>
      <c r="H318" s="103"/>
    </row>
    <row r="319">
      <c r="A319" s="103"/>
      <c r="B319" s="103"/>
      <c r="C319" s="103"/>
      <c r="D319" s="103"/>
      <c r="E319" s="103"/>
      <c r="F319" s="103"/>
      <c r="G319" s="103"/>
      <c r="H319" s="103"/>
    </row>
    <row r="320">
      <c r="A320" s="103"/>
      <c r="B320" s="103"/>
      <c r="C320" s="103"/>
      <c r="D320" s="103"/>
      <c r="E320" s="103"/>
      <c r="F320" s="103"/>
      <c r="G320" s="103"/>
      <c r="H320" s="103"/>
    </row>
    <row r="321">
      <c r="A321" s="103"/>
      <c r="B321" s="103"/>
      <c r="C321" s="103"/>
      <c r="D321" s="103"/>
      <c r="E321" s="103"/>
      <c r="F321" s="103"/>
      <c r="G321" s="103"/>
      <c r="H321" s="103"/>
    </row>
    <row r="322">
      <c r="A322" s="103"/>
      <c r="B322" s="103"/>
      <c r="C322" s="103"/>
      <c r="D322" s="103"/>
      <c r="E322" s="103"/>
      <c r="F322" s="103"/>
      <c r="G322" s="103"/>
      <c r="H322" s="103"/>
    </row>
    <row r="323">
      <c r="A323" s="103"/>
      <c r="B323" s="103"/>
      <c r="C323" s="103"/>
      <c r="D323" s="103"/>
      <c r="E323" s="103"/>
      <c r="F323" s="103"/>
      <c r="G323" s="103"/>
      <c r="H323" s="103"/>
    </row>
    <row r="324">
      <c r="A324" s="103"/>
      <c r="B324" s="103"/>
      <c r="C324" s="103"/>
      <c r="D324" s="103"/>
      <c r="E324" s="103"/>
      <c r="F324" s="103"/>
      <c r="G324" s="103"/>
      <c r="H324" s="103"/>
    </row>
    <row r="325">
      <c r="A325" s="103"/>
      <c r="B325" s="103"/>
      <c r="C325" s="103"/>
      <c r="D325" s="103"/>
      <c r="E325" s="103"/>
      <c r="F325" s="103"/>
      <c r="G325" s="103"/>
      <c r="H325" s="103"/>
    </row>
    <row r="326">
      <c r="A326" s="103"/>
      <c r="B326" s="103"/>
      <c r="C326" s="103"/>
      <c r="D326" s="103"/>
      <c r="E326" s="103"/>
      <c r="F326" s="103"/>
      <c r="G326" s="103"/>
      <c r="H326" s="103"/>
    </row>
    <row r="327">
      <c r="A327" s="103"/>
      <c r="B327" s="103"/>
      <c r="C327" s="103"/>
      <c r="D327" s="103"/>
      <c r="E327" s="103"/>
      <c r="F327" s="103"/>
      <c r="G327" s="103"/>
      <c r="H327" s="103"/>
    </row>
    <row r="328">
      <c r="A328" s="103"/>
      <c r="B328" s="103"/>
      <c r="C328" s="103"/>
      <c r="D328" s="103"/>
      <c r="E328" s="103"/>
      <c r="F328" s="103"/>
      <c r="G328" s="103"/>
      <c r="H328" s="103"/>
    </row>
    <row r="329">
      <c r="A329" s="103"/>
      <c r="B329" s="103"/>
      <c r="C329" s="103"/>
      <c r="D329" s="103"/>
      <c r="E329" s="103"/>
      <c r="F329" s="103"/>
      <c r="G329" s="103"/>
      <c r="H329" s="103"/>
    </row>
    <row r="330">
      <c r="A330" s="103"/>
      <c r="B330" s="103"/>
      <c r="C330" s="103"/>
      <c r="D330" s="103"/>
      <c r="E330" s="103"/>
      <c r="F330" s="103"/>
      <c r="G330" s="103"/>
      <c r="H330" s="103"/>
    </row>
    <row r="331">
      <c r="A331" s="103"/>
      <c r="B331" s="103"/>
      <c r="C331" s="103"/>
      <c r="D331" s="103"/>
      <c r="E331" s="103"/>
      <c r="F331" s="103"/>
      <c r="G331" s="103"/>
      <c r="H331" s="103"/>
    </row>
    <row r="332">
      <c r="A332" s="103"/>
      <c r="B332" s="103"/>
      <c r="C332" s="103"/>
      <c r="D332" s="103"/>
      <c r="E332" s="103"/>
      <c r="F332" s="103"/>
      <c r="G332" s="103"/>
      <c r="H332" s="103"/>
    </row>
    <row r="333">
      <c r="A333" s="103"/>
      <c r="B333" s="103"/>
      <c r="C333" s="103"/>
      <c r="D333" s="103"/>
      <c r="E333" s="103"/>
      <c r="F333" s="103"/>
      <c r="G333" s="103"/>
      <c r="H333" s="103"/>
    </row>
    <row r="334">
      <c r="A334" s="103"/>
      <c r="B334" s="103"/>
      <c r="C334" s="103"/>
      <c r="D334" s="103"/>
      <c r="E334" s="103"/>
      <c r="F334" s="103"/>
      <c r="G334" s="103"/>
      <c r="H334" s="103"/>
    </row>
    <row r="335">
      <c r="A335" s="103"/>
      <c r="B335" s="103"/>
      <c r="C335" s="103"/>
      <c r="D335" s="103"/>
      <c r="E335" s="103"/>
      <c r="F335" s="103"/>
      <c r="G335" s="103"/>
      <c r="H335" s="103"/>
    </row>
    <row r="336">
      <c r="A336" s="103"/>
      <c r="B336" s="103"/>
      <c r="C336" s="103"/>
      <c r="D336" s="103"/>
      <c r="E336" s="103"/>
      <c r="F336" s="103"/>
      <c r="G336" s="103"/>
      <c r="H336" s="103"/>
    </row>
    <row r="337">
      <c r="A337" s="103"/>
      <c r="B337" s="103"/>
      <c r="C337" s="103"/>
      <c r="D337" s="103"/>
      <c r="E337" s="103"/>
      <c r="F337" s="103"/>
      <c r="G337" s="103"/>
      <c r="H337" s="103"/>
    </row>
    <row r="338">
      <c r="A338" s="103"/>
      <c r="B338" s="103"/>
      <c r="C338" s="103"/>
      <c r="D338" s="103"/>
      <c r="E338" s="103"/>
      <c r="F338" s="103"/>
      <c r="G338" s="103"/>
      <c r="H338" s="103"/>
    </row>
    <row r="339">
      <c r="A339" s="103"/>
      <c r="B339" s="103"/>
      <c r="C339" s="103"/>
      <c r="D339" s="103"/>
      <c r="E339" s="103"/>
      <c r="F339" s="103"/>
      <c r="G339" s="103"/>
      <c r="H339" s="103"/>
    </row>
    <row r="340">
      <c r="A340" s="103"/>
      <c r="B340" s="103"/>
      <c r="C340" s="103"/>
      <c r="D340" s="103"/>
      <c r="E340" s="103"/>
      <c r="F340" s="103"/>
      <c r="G340" s="103"/>
      <c r="H340" s="103"/>
    </row>
    <row r="341">
      <c r="A341" s="103"/>
      <c r="B341" s="103"/>
      <c r="C341" s="103"/>
      <c r="D341" s="103"/>
      <c r="E341" s="103"/>
      <c r="F341" s="103"/>
      <c r="G341" s="103"/>
      <c r="H341" s="103"/>
    </row>
    <row r="342">
      <c r="A342" s="103"/>
      <c r="B342" s="103"/>
      <c r="C342" s="103"/>
      <c r="D342" s="103"/>
      <c r="E342" s="103"/>
      <c r="F342" s="103"/>
      <c r="G342" s="103"/>
      <c r="H342" s="103"/>
    </row>
    <row r="343">
      <c r="A343" s="103"/>
      <c r="B343" s="103"/>
      <c r="C343" s="103"/>
      <c r="D343" s="103"/>
      <c r="E343" s="103"/>
      <c r="F343" s="103"/>
      <c r="G343" s="103"/>
      <c r="H343" s="103"/>
    </row>
    <row r="344">
      <c r="A344" s="103"/>
      <c r="B344" s="103"/>
      <c r="C344" s="103"/>
      <c r="D344" s="103"/>
      <c r="E344" s="103"/>
      <c r="F344" s="103"/>
      <c r="G344" s="103"/>
      <c r="H344" s="103"/>
    </row>
    <row r="345">
      <c r="A345" s="103"/>
      <c r="B345" s="103"/>
      <c r="C345" s="103"/>
      <c r="D345" s="103"/>
      <c r="E345" s="103"/>
      <c r="F345" s="103"/>
      <c r="G345" s="103"/>
      <c r="H345" s="103"/>
    </row>
    <row r="346">
      <c r="A346" s="103"/>
      <c r="B346" s="103"/>
      <c r="C346" s="103"/>
      <c r="D346" s="103"/>
      <c r="E346" s="103"/>
      <c r="F346" s="103"/>
      <c r="G346" s="103"/>
      <c r="H346" s="103"/>
    </row>
    <row r="347">
      <c r="A347" s="103"/>
      <c r="B347" s="103"/>
      <c r="C347" s="103"/>
      <c r="D347" s="103"/>
      <c r="E347" s="103"/>
      <c r="F347" s="103"/>
      <c r="G347" s="103"/>
      <c r="H347" s="103"/>
    </row>
    <row r="348">
      <c r="A348" s="103"/>
      <c r="B348" s="103"/>
      <c r="C348" s="103"/>
      <c r="D348" s="103"/>
      <c r="E348" s="103"/>
      <c r="F348" s="103"/>
      <c r="G348" s="103"/>
      <c r="H348" s="103"/>
    </row>
    <row r="349">
      <c r="A349" s="103"/>
      <c r="B349" s="103"/>
      <c r="C349" s="103"/>
      <c r="D349" s="103"/>
      <c r="E349" s="103"/>
      <c r="F349" s="103"/>
      <c r="G349" s="103"/>
      <c r="H349" s="103"/>
    </row>
    <row r="350">
      <c r="A350" s="103"/>
      <c r="B350" s="103"/>
      <c r="C350" s="103"/>
      <c r="D350" s="103"/>
      <c r="E350" s="103"/>
      <c r="F350" s="103"/>
      <c r="G350" s="103"/>
      <c r="H350" s="103"/>
    </row>
    <row r="351">
      <c r="A351" s="103"/>
      <c r="B351" s="103"/>
      <c r="C351" s="103"/>
      <c r="D351" s="103"/>
      <c r="E351" s="103"/>
      <c r="F351" s="103"/>
      <c r="G351" s="103"/>
      <c r="H351" s="103"/>
    </row>
    <row r="352">
      <c r="A352" s="103"/>
      <c r="B352" s="103"/>
      <c r="C352" s="103"/>
      <c r="D352" s="103"/>
      <c r="E352" s="103"/>
      <c r="F352" s="103"/>
      <c r="G352" s="103"/>
      <c r="H352" s="103"/>
    </row>
    <row r="353">
      <c r="A353" s="103"/>
      <c r="B353" s="103"/>
      <c r="C353" s="103"/>
      <c r="D353" s="103"/>
      <c r="E353" s="103"/>
      <c r="F353" s="103"/>
      <c r="G353" s="103"/>
      <c r="H353" s="103"/>
    </row>
    <row r="354">
      <c r="A354" s="103"/>
      <c r="B354" s="103"/>
      <c r="C354" s="103"/>
      <c r="D354" s="103"/>
      <c r="E354" s="103"/>
      <c r="F354" s="103"/>
      <c r="G354" s="103"/>
      <c r="H354" s="103"/>
    </row>
    <row r="355">
      <c r="A355" s="103"/>
      <c r="B355" s="103"/>
      <c r="C355" s="103"/>
      <c r="D355" s="103"/>
      <c r="E355" s="103"/>
      <c r="F355" s="103"/>
      <c r="G355" s="103"/>
      <c r="H355" s="103"/>
    </row>
    <row r="356">
      <c r="A356" s="103"/>
      <c r="B356" s="103"/>
      <c r="C356" s="103"/>
      <c r="D356" s="103"/>
      <c r="E356" s="103"/>
      <c r="F356" s="103"/>
      <c r="G356" s="103"/>
      <c r="H356" s="103"/>
    </row>
    <row r="357">
      <c r="A357" s="103"/>
      <c r="B357" s="103"/>
      <c r="C357" s="103"/>
      <c r="D357" s="103"/>
      <c r="E357" s="103"/>
      <c r="F357" s="103"/>
      <c r="G357" s="103"/>
      <c r="H357" s="103"/>
    </row>
    <row r="358">
      <c r="A358" s="103"/>
      <c r="B358" s="103"/>
      <c r="C358" s="103"/>
      <c r="D358" s="103"/>
      <c r="E358" s="103"/>
      <c r="F358" s="103"/>
      <c r="G358" s="103"/>
      <c r="H358" s="103"/>
    </row>
    <row r="359">
      <c r="A359" s="103"/>
      <c r="B359" s="103"/>
      <c r="C359" s="103"/>
      <c r="D359" s="103"/>
      <c r="E359" s="103"/>
      <c r="F359" s="103"/>
      <c r="G359" s="103"/>
      <c r="H359" s="103"/>
    </row>
    <row r="360">
      <c r="A360" s="103"/>
      <c r="B360" s="103"/>
      <c r="C360" s="103"/>
      <c r="D360" s="103"/>
      <c r="E360" s="103"/>
      <c r="F360" s="103"/>
      <c r="G360" s="103"/>
      <c r="H360" s="103"/>
    </row>
    <row r="361">
      <c r="A361" s="103"/>
      <c r="B361" s="103"/>
      <c r="C361" s="103"/>
      <c r="D361" s="103"/>
      <c r="E361" s="103"/>
      <c r="F361" s="103"/>
      <c r="G361" s="103"/>
      <c r="H361" s="103"/>
    </row>
    <row r="362">
      <c r="A362" s="103"/>
      <c r="B362" s="103"/>
      <c r="C362" s="103"/>
      <c r="D362" s="103"/>
      <c r="E362" s="103"/>
      <c r="F362" s="103"/>
      <c r="G362" s="103"/>
      <c r="H362" s="103"/>
    </row>
    <row r="363">
      <c r="A363" s="103"/>
      <c r="B363" s="103"/>
      <c r="C363" s="103"/>
      <c r="D363" s="103"/>
      <c r="E363" s="103"/>
      <c r="F363" s="103"/>
      <c r="G363" s="103"/>
      <c r="H363" s="103"/>
    </row>
    <row r="364">
      <c r="A364" s="103"/>
      <c r="B364" s="103"/>
      <c r="C364" s="103"/>
      <c r="D364" s="103"/>
      <c r="E364" s="103"/>
      <c r="F364" s="103"/>
      <c r="G364" s="103"/>
      <c r="H364" s="103"/>
    </row>
    <row r="365">
      <c r="A365" s="103"/>
      <c r="B365" s="103"/>
      <c r="C365" s="103"/>
      <c r="D365" s="103"/>
      <c r="E365" s="103"/>
      <c r="F365" s="103"/>
      <c r="G365" s="103"/>
      <c r="H365" s="103"/>
    </row>
    <row r="366">
      <c r="A366" s="103"/>
      <c r="B366" s="103"/>
      <c r="C366" s="103"/>
      <c r="D366" s="103"/>
      <c r="E366" s="103"/>
      <c r="F366" s="103"/>
      <c r="G366" s="103"/>
      <c r="H366" s="103"/>
    </row>
    <row r="367">
      <c r="A367" s="103"/>
      <c r="B367" s="103"/>
      <c r="C367" s="103"/>
      <c r="D367" s="103"/>
      <c r="E367" s="103"/>
      <c r="F367" s="103"/>
      <c r="G367" s="103"/>
      <c r="H367" s="103"/>
    </row>
    <row r="368">
      <c r="A368" s="103"/>
      <c r="B368" s="103"/>
      <c r="C368" s="103"/>
      <c r="D368" s="103"/>
      <c r="E368" s="103"/>
      <c r="F368" s="103"/>
      <c r="G368" s="103"/>
      <c r="H368" s="103"/>
    </row>
    <row r="369">
      <c r="A369" s="103"/>
      <c r="B369" s="103"/>
      <c r="C369" s="103"/>
      <c r="D369" s="103"/>
      <c r="E369" s="103"/>
      <c r="F369" s="103"/>
      <c r="G369" s="103"/>
      <c r="H369" s="103"/>
    </row>
    <row r="370">
      <c r="A370" s="103"/>
      <c r="B370" s="103"/>
      <c r="C370" s="103"/>
      <c r="D370" s="103"/>
      <c r="E370" s="103"/>
      <c r="F370" s="103"/>
      <c r="G370" s="103"/>
      <c r="H370" s="103"/>
    </row>
    <row r="371">
      <c r="A371" s="103"/>
      <c r="B371" s="103"/>
      <c r="C371" s="103"/>
      <c r="D371" s="103"/>
      <c r="E371" s="103"/>
      <c r="F371" s="103"/>
      <c r="G371" s="103"/>
      <c r="H371" s="103"/>
    </row>
    <row r="372">
      <c r="A372" s="103"/>
      <c r="B372" s="103"/>
      <c r="C372" s="103"/>
      <c r="D372" s="103"/>
      <c r="E372" s="103"/>
      <c r="F372" s="103"/>
      <c r="G372" s="103"/>
      <c r="H372" s="103"/>
    </row>
    <row r="373">
      <c r="A373" s="103"/>
      <c r="B373" s="103"/>
      <c r="C373" s="103"/>
      <c r="D373" s="103"/>
      <c r="E373" s="103"/>
      <c r="F373" s="103"/>
      <c r="G373" s="103"/>
      <c r="H373" s="103"/>
    </row>
    <row r="374">
      <c r="A374" s="103"/>
      <c r="B374" s="103"/>
      <c r="C374" s="103"/>
      <c r="D374" s="103"/>
      <c r="E374" s="103"/>
      <c r="F374" s="103"/>
      <c r="G374" s="103"/>
      <c r="H374" s="103"/>
    </row>
    <row r="375">
      <c r="A375" s="103"/>
      <c r="B375" s="103"/>
      <c r="C375" s="103"/>
      <c r="D375" s="103"/>
      <c r="E375" s="103"/>
      <c r="F375" s="103"/>
      <c r="G375" s="103"/>
      <c r="H375" s="103"/>
    </row>
    <row r="376">
      <c r="A376" s="103"/>
      <c r="B376" s="103"/>
      <c r="C376" s="103"/>
      <c r="D376" s="103"/>
      <c r="E376" s="103"/>
      <c r="F376" s="103"/>
      <c r="G376" s="103"/>
      <c r="H376" s="103"/>
    </row>
    <row r="377">
      <c r="A377" s="103"/>
      <c r="B377" s="103"/>
      <c r="C377" s="103"/>
      <c r="D377" s="103"/>
      <c r="E377" s="103"/>
      <c r="F377" s="103"/>
      <c r="G377" s="103"/>
      <c r="H377" s="103"/>
    </row>
    <row r="378">
      <c r="A378" s="103"/>
      <c r="B378" s="103"/>
      <c r="C378" s="103"/>
      <c r="D378" s="103"/>
      <c r="E378" s="103"/>
      <c r="F378" s="103"/>
      <c r="G378" s="103"/>
      <c r="H378" s="103"/>
    </row>
    <row r="379">
      <c r="A379" s="103"/>
      <c r="B379" s="103"/>
      <c r="C379" s="103"/>
      <c r="D379" s="103"/>
      <c r="E379" s="103"/>
      <c r="F379" s="103"/>
      <c r="G379" s="103"/>
      <c r="H379" s="103"/>
    </row>
    <row r="380">
      <c r="A380" s="103"/>
      <c r="B380" s="103"/>
      <c r="C380" s="103"/>
      <c r="D380" s="103"/>
      <c r="E380" s="103"/>
      <c r="F380" s="103"/>
      <c r="G380" s="103"/>
      <c r="H380" s="103"/>
    </row>
    <row r="381">
      <c r="A381" s="103"/>
      <c r="B381" s="103"/>
      <c r="C381" s="103"/>
      <c r="D381" s="103"/>
      <c r="E381" s="103"/>
      <c r="F381" s="103"/>
      <c r="G381" s="103"/>
      <c r="H381" s="103"/>
    </row>
    <row r="382">
      <c r="A382" s="103"/>
      <c r="B382" s="103"/>
      <c r="C382" s="103"/>
      <c r="D382" s="103"/>
      <c r="E382" s="103"/>
      <c r="F382" s="103"/>
      <c r="G382" s="103"/>
      <c r="H382" s="103"/>
    </row>
    <row r="383">
      <c r="A383" s="103"/>
      <c r="B383" s="103"/>
      <c r="C383" s="103"/>
      <c r="D383" s="103"/>
      <c r="E383" s="103"/>
      <c r="F383" s="103"/>
      <c r="G383" s="103"/>
      <c r="H383" s="103"/>
    </row>
    <row r="384">
      <c r="A384" s="103"/>
      <c r="B384" s="103"/>
      <c r="C384" s="103"/>
      <c r="D384" s="103"/>
      <c r="E384" s="103"/>
      <c r="F384" s="103"/>
      <c r="G384" s="103"/>
      <c r="H384" s="103"/>
    </row>
    <row r="385">
      <c r="A385" s="103"/>
      <c r="B385" s="103"/>
      <c r="C385" s="103"/>
      <c r="D385" s="103"/>
      <c r="E385" s="103"/>
      <c r="F385" s="103"/>
      <c r="G385" s="103"/>
      <c r="H385" s="103"/>
    </row>
    <row r="386">
      <c r="A386" s="103"/>
      <c r="B386" s="103"/>
      <c r="C386" s="103"/>
      <c r="D386" s="103"/>
      <c r="E386" s="103"/>
      <c r="F386" s="103"/>
      <c r="G386" s="103"/>
      <c r="H386" s="103"/>
    </row>
    <row r="387">
      <c r="A387" s="103"/>
      <c r="B387" s="103"/>
      <c r="C387" s="103"/>
      <c r="D387" s="103"/>
      <c r="E387" s="103"/>
      <c r="F387" s="103"/>
      <c r="G387" s="103"/>
      <c r="H387" s="103"/>
    </row>
    <row r="388">
      <c r="A388" s="103"/>
      <c r="B388" s="103"/>
      <c r="C388" s="103"/>
      <c r="D388" s="103"/>
      <c r="E388" s="103"/>
      <c r="F388" s="103"/>
      <c r="G388" s="103"/>
      <c r="H388" s="103"/>
    </row>
    <row r="389">
      <c r="A389" s="103"/>
      <c r="B389" s="103"/>
      <c r="C389" s="103"/>
      <c r="D389" s="103"/>
      <c r="E389" s="103"/>
      <c r="F389" s="103"/>
      <c r="G389" s="103"/>
      <c r="H389" s="103"/>
    </row>
    <row r="390">
      <c r="A390" s="103"/>
      <c r="B390" s="103"/>
      <c r="C390" s="103"/>
      <c r="D390" s="103"/>
      <c r="E390" s="103"/>
      <c r="F390" s="103"/>
      <c r="G390" s="103"/>
      <c r="H390" s="103"/>
    </row>
    <row r="391">
      <c r="A391" s="103"/>
      <c r="B391" s="103"/>
      <c r="C391" s="103"/>
      <c r="D391" s="103"/>
      <c r="E391" s="103"/>
      <c r="F391" s="103"/>
      <c r="G391" s="103"/>
      <c r="H391" s="103"/>
    </row>
    <row r="392">
      <c r="A392" s="103"/>
      <c r="B392" s="103"/>
      <c r="C392" s="103"/>
      <c r="D392" s="103"/>
      <c r="E392" s="103"/>
      <c r="F392" s="103"/>
      <c r="G392" s="103"/>
      <c r="H392" s="103"/>
    </row>
    <row r="393">
      <c r="A393" s="103"/>
      <c r="B393" s="103"/>
      <c r="C393" s="103"/>
      <c r="D393" s="103"/>
      <c r="E393" s="103"/>
      <c r="F393" s="103"/>
      <c r="G393" s="103"/>
      <c r="H393" s="103"/>
    </row>
    <row r="394">
      <c r="A394" s="103"/>
      <c r="B394" s="103"/>
      <c r="C394" s="103"/>
      <c r="D394" s="103"/>
      <c r="E394" s="103"/>
      <c r="F394" s="103"/>
      <c r="G394" s="103"/>
      <c r="H394" s="103"/>
    </row>
    <row r="395">
      <c r="A395" s="103"/>
      <c r="B395" s="103"/>
      <c r="C395" s="103"/>
      <c r="D395" s="103"/>
      <c r="E395" s="103"/>
      <c r="F395" s="103"/>
      <c r="G395" s="103"/>
      <c r="H395" s="103"/>
    </row>
    <row r="396">
      <c r="A396" s="103"/>
      <c r="B396" s="103"/>
      <c r="C396" s="103"/>
      <c r="D396" s="103"/>
      <c r="E396" s="103"/>
      <c r="F396" s="103"/>
      <c r="G396" s="103"/>
      <c r="H396" s="103"/>
    </row>
    <row r="397">
      <c r="A397" s="103"/>
      <c r="B397" s="103"/>
      <c r="C397" s="103"/>
      <c r="D397" s="103"/>
      <c r="E397" s="103"/>
      <c r="F397" s="103"/>
      <c r="G397" s="103"/>
      <c r="H397" s="103"/>
    </row>
    <row r="398">
      <c r="A398" s="103"/>
      <c r="B398" s="103"/>
      <c r="C398" s="103"/>
      <c r="D398" s="103"/>
      <c r="E398" s="103"/>
      <c r="F398" s="103"/>
      <c r="G398" s="103"/>
      <c r="H398" s="103"/>
    </row>
    <row r="399">
      <c r="A399" s="103"/>
      <c r="B399" s="103"/>
      <c r="C399" s="103"/>
      <c r="D399" s="103"/>
      <c r="E399" s="103"/>
      <c r="F399" s="103"/>
      <c r="G399" s="103"/>
      <c r="H399" s="103"/>
    </row>
    <row r="400">
      <c r="A400" s="103"/>
      <c r="B400" s="103"/>
      <c r="C400" s="103"/>
      <c r="D400" s="103"/>
      <c r="E400" s="103"/>
      <c r="F400" s="103"/>
      <c r="G400" s="103"/>
      <c r="H400" s="103"/>
    </row>
    <row r="401">
      <c r="A401" s="103"/>
      <c r="B401" s="103"/>
      <c r="C401" s="103"/>
      <c r="D401" s="103"/>
      <c r="E401" s="103"/>
      <c r="F401" s="103"/>
      <c r="G401" s="103"/>
      <c r="H401" s="103"/>
    </row>
    <row r="402">
      <c r="A402" s="103"/>
      <c r="B402" s="103"/>
      <c r="C402" s="103"/>
      <c r="D402" s="103"/>
      <c r="E402" s="103"/>
      <c r="F402" s="103"/>
      <c r="G402" s="103"/>
      <c r="H402" s="103"/>
    </row>
    <row r="403">
      <c r="A403" s="103"/>
      <c r="B403" s="103"/>
      <c r="C403" s="103"/>
      <c r="D403" s="103"/>
      <c r="E403" s="103"/>
      <c r="F403" s="103"/>
      <c r="G403" s="103"/>
      <c r="H403" s="103"/>
    </row>
    <row r="404">
      <c r="A404" s="103"/>
      <c r="B404" s="103"/>
      <c r="C404" s="103"/>
      <c r="D404" s="103"/>
      <c r="E404" s="103"/>
      <c r="F404" s="103"/>
      <c r="G404" s="103"/>
      <c r="H404" s="103"/>
    </row>
    <row r="405">
      <c r="A405" s="103"/>
      <c r="B405" s="103"/>
      <c r="C405" s="103"/>
      <c r="D405" s="103"/>
      <c r="E405" s="103"/>
      <c r="F405" s="103"/>
      <c r="G405" s="103"/>
      <c r="H405" s="103"/>
    </row>
    <row r="406">
      <c r="A406" s="103"/>
      <c r="B406" s="103"/>
      <c r="C406" s="103"/>
      <c r="D406" s="103"/>
      <c r="E406" s="103"/>
      <c r="F406" s="103"/>
      <c r="G406" s="103"/>
      <c r="H406" s="103"/>
    </row>
    <row r="407">
      <c r="A407" s="103"/>
      <c r="B407" s="103"/>
      <c r="C407" s="103"/>
      <c r="D407" s="103"/>
      <c r="E407" s="103"/>
      <c r="F407" s="103"/>
      <c r="G407" s="103"/>
      <c r="H407" s="103"/>
    </row>
    <row r="408">
      <c r="A408" s="103"/>
      <c r="B408" s="103"/>
      <c r="C408" s="103"/>
      <c r="D408" s="103"/>
      <c r="E408" s="103"/>
      <c r="F408" s="103"/>
      <c r="G408" s="103"/>
      <c r="H408" s="103"/>
    </row>
    <row r="409">
      <c r="A409" s="103"/>
      <c r="B409" s="103"/>
      <c r="C409" s="103"/>
      <c r="D409" s="103"/>
      <c r="E409" s="103"/>
      <c r="F409" s="103"/>
      <c r="G409" s="103"/>
      <c r="H409" s="103"/>
    </row>
    <row r="410">
      <c r="A410" s="103"/>
      <c r="B410" s="103"/>
      <c r="C410" s="103"/>
      <c r="D410" s="103"/>
      <c r="E410" s="103"/>
      <c r="F410" s="103"/>
      <c r="G410" s="103"/>
      <c r="H410" s="103"/>
    </row>
    <row r="411">
      <c r="A411" s="103"/>
      <c r="B411" s="103"/>
      <c r="C411" s="103"/>
      <c r="D411" s="103"/>
      <c r="E411" s="103"/>
      <c r="F411" s="103"/>
      <c r="G411" s="103"/>
      <c r="H411" s="103"/>
    </row>
    <row r="412">
      <c r="A412" s="103"/>
      <c r="B412" s="103"/>
      <c r="C412" s="103"/>
      <c r="D412" s="103"/>
      <c r="E412" s="103"/>
      <c r="F412" s="103"/>
      <c r="G412" s="103"/>
      <c r="H412" s="103"/>
    </row>
    <row r="413">
      <c r="A413" s="103"/>
      <c r="B413" s="103"/>
      <c r="C413" s="103"/>
      <c r="D413" s="103"/>
      <c r="E413" s="103"/>
      <c r="F413" s="103"/>
      <c r="G413" s="103"/>
      <c r="H413" s="103"/>
    </row>
    <row r="414">
      <c r="A414" s="103"/>
      <c r="B414" s="103"/>
      <c r="C414" s="103"/>
      <c r="D414" s="103"/>
      <c r="E414" s="103"/>
      <c r="F414" s="103"/>
      <c r="G414" s="103"/>
      <c r="H414" s="103"/>
    </row>
    <row r="415">
      <c r="A415" s="103"/>
      <c r="B415" s="103"/>
      <c r="C415" s="103"/>
      <c r="D415" s="103"/>
      <c r="E415" s="103"/>
      <c r="F415" s="103"/>
      <c r="G415" s="103"/>
      <c r="H415" s="103"/>
    </row>
    <row r="416">
      <c r="A416" s="103"/>
      <c r="B416" s="103"/>
      <c r="C416" s="103"/>
      <c r="D416" s="103"/>
      <c r="E416" s="103"/>
      <c r="F416" s="103"/>
      <c r="G416" s="103"/>
      <c r="H416" s="103"/>
    </row>
    <row r="417">
      <c r="A417" s="103"/>
      <c r="B417" s="103"/>
      <c r="C417" s="103"/>
      <c r="D417" s="103"/>
      <c r="E417" s="103"/>
      <c r="F417" s="103"/>
      <c r="G417" s="103"/>
      <c r="H417" s="103"/>
    </row>
    <row r="418">
      <c r="A418" s="103"/>
      <c r="B418" s="103"/>
      <c r="C418" s="103"/>
      <c r="D418" s="103"/>
      <c r="E418" s="103"/>
      <c r="F418" s="103"/>
      <c r="G418" s="103"/>
      <c r="H418" s="103"/>
    </row>
    <row r="419">
      <c r="A419" s="103"/>
      <c r="B419" s="103"/>
      <c r="C419" s="103"/>
      <c r="D419" s="103"/>
      <c r="E419" s="103"/>
      <c r="F419" s="103"/>
      <c r="G419" s="103"/>
      <c r="H419" s="103"/>
    </row>
    <row r="420">
      <c r="A420" s="103"/>
      <c r="B420" s="103"/>
      <c r="C420" s="103"/>
      <c r="D420" s="103"/>
      <c r="E420" s="103"/>
      <c r="F420" s="103"/>
      <c r="G420" s="103"/>
      <c r="H420" s="103"/>
    </row>
    <row r="421">
      <c r="A421" s="103"/>
      <c r="B421" s="103"/>
      <c r="C421" s="103"/>
      <c r="D421" s="103"/>
      <c r="E421" s="103"/>
      <c r="F421" s="103"/>
      <c r="G421" s="103"/>
      <c r="H421" s="103"/>
    </row>
    <row r="422">
      <c r="A422" s="103"/>
      <c r="B422" s="103"/>
      <c r="C422" s="103"/>
      <c r="D422" s="103"/>
      <c r="E422" s="103"/>
      <c r="F422" s="103"/>
      <c r="G422" s="103"/>
      <c r="H422" s="103"/>
    </row>
    <row r="423">
      <c r="A423" s="103"/>
      <c r="B423" s="103"/>
      <c r="C423" s="103"/>
      <c r="D423" s="103"/>
      <c r="E423" s="103"/>
      <c r="F423" s="103"/>
      <c r="G423" s="103"/>
      <c r="H423" s="103"/>
    </row>
    <row r="424">
      <c r="A424" s="103"/>
      <c r="B424" s="103"/>
      <c r="C424" s="103"/>
      <c r="D424" s="103"/>
      <c r="E424" s="103"/>
      <c r="F424" s="103"/>
      <c r="G424" s="103"/>
      <c r="H424" s="103"/>
    </row>
    <row r="425">
      <c r="A425" s="103"/>
      <c r="B425" s="103"/>
      <c r="C425" s="103"/>
      <c r="D425" s="103"/>
      <c r="E425" s="103"/>
      <c r="F425" s="103"/>
      <c r="G425" s="103"/>
      <c r="H425" s="103"/>
    </row>
    <row r="426">
      <c r="A426" s="103"/>
      <c r="B426" s="103"/>
      <c r="C426" s="103"/>
      <c r="D426" s="103"/>
      <c r="E426" s="103"/>
      <c r="F426" s="103"/>
      <c r="G426" s="103"/>
      <c r="H426" s="103"/>
    </row>
    <row r="427">
      <c r="A427" s="103"/>
      <c r="B427" s="103"/>
      <c r="C427" s="103"/>
      <c r="D427" s="103"/>
      <c r="E427" s="103"/>
      <c r="F427" s="103"/>
      <c r="G427" s="103"/>
      <c r="H427" s="103"/>
    </row>
    <row r="428">
      <c r="A428" s="103"/>
      <c r="B428" s="103"/>
      <c r="C428" s="103"/>
      <c r="D428" s="103"/>
      <c r="E428" s="103"/>
      <c r="F428" s="103"/>
      <c r="G428" s="103"/>
      <c r="H428" s="103"/>
    </row>
    <row r="429">
      <c r="A429" s="103"/>
      <c r="B429" s="103"/>
      <c r="C429" s="103"/>
      <c r="D429" s="103"/>
      <c r="E429" s="103"/>
      <c r="F429" s="103"/>
      <c r="G429" s="103"/>
      <c r="H429" s="103"/>
    </row>
    <row r="430">
      <c r="A430" s="103"/>
      <c r="B430" s="103"/>
      <c r="C430" s="103"/>
      <c r="D430" s="103"/>
      <c r="E430" s="103"/>
      <c r="F430" s="103"/>
      <c r="G430" s="103"/>
      <c r="H430" s="103"/>
    </row>
    <row r="431">
      <c r="A431" s="103"/>
      <c r="B431" s="103"/>
      <c r="C431" s="103"/>
      <c r="D431" s="103"/>
      <c r="E431" s="103"/>
      <c r="F431" s="103"/>
      <c r="G431" s="103"/>
      <c r="H431" s="103"/>
    </row>
    <row r="432">
      <c r="A432" s="103"/>
      <c r="B432" s="103"/>
      <c r="C432" s="103"/>
      <c r="D432" s="103"/>
      <c r="E432" s="103"/>
      <c r="F432" s="103"/>
      <c r="G432" s="103"/>
      <c r="H432" s="103"/>
    </row>
    <row r="433">
      <c r="A433" s="103"/>
      <c r="B433" s="103"/>
      <c r="C433" s="103"/>
      <c r="D433" s="103"/>
      <c r="E433" s="103"/>
      <c r="F433" s="103"/>
      <c r="G433" s="103"/>
      <c r="H433" s="103"/>
    </row>
    <row r="434">
      <c r="A434" s="103"/>
      <c r="B434" s="103"/>
      <c r="C434" s="103"/>
      <c r="D434" s="103"/>
      <c r="E434" s="103"/>
      <c r="F434" s="103"/>
      <c r="G434" s="103"/>
      <c r="H434" s="103"/>
    </row>
    <row r="435">
      <c r="A435" s="103"/>
      <c r="B435" s="103"/>
      <c r="C435" s="103"/>
      <c r="D435" s="103"/>
      <c r="E435" s="103"/>
      <c r="F435" s="103"/>
      <c r="G435" s="103"/>
      <c r="H435" s="103"/>
    </row>
    <row r="436">
      <c r="A436" s="103"/>
      <c r="B436" s="103"/>
      <c r="C436" s="103"/>
      <c r="D436" s="103"/>
      <c r="E436" s="103"/>
      <c r="F436" s="103"/>
      <c r="G436" s="103"/>
      <c r="H436" s="103"/>
    </row>
    <row r="437">
      <c r="A437" s="103"/>
      <c r="B437" s="103"/>
      <c r="C437" s="103"/>
      <c r="D437" s="103"/>
      <c r="E437" s="103"/>
      <c r="F437" s="103"/>
      <c r="G437" s="103"/>
      <c r="H437" s="103"/>
    </row>
    <row r="438">
      <c r="A438" s="103"/>
      <c r="B438" s="103"/>
      <c r="C438" s="103"/>
      <c r="D438" s="103"/>
      <c r="E438" s="103"/>
      <c r="F438" s="103"/>
      <c r="G438" s="103"/>
      <c r="H438" s="103"/>
    </row>
    <row r="439">
      <c r="A439" s="103"/>
      <c r="B439" s="103"/>
      <c r="C439" s="103"/>
      <c r="D439" s="103"/>
      <c r="E439" s="103"/>
      <c r="F439" s="103"/>
      <c r="G439" s="103"/>
      <c r="H439" s="103"/>
    </row>
    <row r="440">
      <c r="A440" s="103"/>
      <c r="B440" s="103"/>
      <c r="C440" s="103"/>
      <c r="D440" s="103"/>
      <c r="E440" s="103"/>
      <c r="F440" s="103"/>
      <c r="G440" s="103"/>
      <c r="H440" s="103"/>
    </row>
    <row r="441">
      <c r="A441" s="103"/>
      <c r="B441" s="103"/>
      <c r="C441" s="103"/>
      <c r="D441" s="103"/>
      <c r="E441" s="103"/>
      <c r="F441" s="103"/>
      <c r="G441" s="103"/>
      <c r="H441" s="103"/>
    </row>
    <row r="442">
      <c r="A442" s="103"/>
      <c r="B442" s="103"/>
      <c r="C442" s="103"/>
      <c r="D442" s="103"/>
      <c r="E442" s="103"/>
      <c r="F442" s="103"/>
      <c r="G442" s="103"/>
      <c r="H442" s="103"/>
    </row>
    <row r="443">
      <c r="A443" s="103"/>
      <c r="B443" s="103"/>
      <c r="C443" s="103"/>
      <c r="D443" s="103"/>
      <c r="E443" s="103"/>
      <c r="F443" s="103"/>
      <c r="G443" s="103"/>
      <c r="H443" s="103"/>
    </row>
    <row r="444">
      <c r="A444" s="103"/>
      <c r="B444" s="103"/>
      <c r="C444" s="103"/>
      <c r="D444" s="103"/>
      <c r="E444" s="103"/>
      <c r="F444" s="103"/>
      <c r="G444" s="103"/>
      <c r="H444" s="103"/>
    </row>
    <row r="445">
      <c r="A445" s="103"/>
      <c r="B445" s="103"/>
      <c r="C445" s="103"/>
      <c r="D445" s="103"/>
      <c r="E445" s="103"/>
      <c r="F445" s="103"/>
      <c r="G445" s="103"/>
      <c r="H445" s="103"/>
    </row>
    <row r="446">
      <c r="A446" s="103"/>
      <c r="B446" s="103"/>
      <c r="C446" s="103"/>
      <c r="D446" s="103"/>
      <c r="E446" s="103"/>
      <c r="F446" s="103"/>
      <c r="G446" s="103"/>
      <c r="H446" s="103"/>
    </row>
    <row r="447">
      <c r="A447" s="103"/>
      <c r="B447" s="103"/>
      <c r="C447" s="103"/>
      <c r="D447" s="103"/>
      <c r="E447" s="103"/>
      <c r="F447" s="103"/>
      <c r="G447" s="103"/>
      <c r="H447" s="103"/>
    </row>
    <row r="448">
      <c r="A448" s="103"/>
      <c r="B448" s="103"/>
      <c r="C448" s="103"/>
      <c r="D448" s="103"/>
      <c r="E448" s="103"/>
      <c r="F448" s="103"/>
      <c r="G448" s="103"/>
      <c r="H448" s="103"/>
    </row>
    <row r="449">
      <c r="A449" s="103"/>
      <c r="B449" s="103"/>
      <c r="C449" s="103"/>
      <c r="D449" s="103"/>
      <c r="E449" s="103"/>
      <c r="F449" s="103"/>
      <c r="G449" s="103"/>
      <c r="H449" s="103"/>
    </row>
    <row r="450">
      <c r="A450" s="103"/>
      <c r="B450" s="103"/>
      <c r="C450" s="103"/>
      <c r="D450" s="103"/>
      <c r="E450" s="103"/>
      <c r="F450" s="103"/>
      <c r="G450" s="103"/>
      <c r="H450" s="103"/>
    </row>
    <row r="451">
      <c r="A451" s="103"/>
      <c r="B451" s="103"/>
      <c r="C451" s="103"/>
      <c r="D451" s="103"/>
      <c r="E451" s="103"/>
      <c r="F451" s="103"/>
      <c r="G451" s="103"/>
      <c r="H451" s="103"/>
    </row>
    <row r="452">
      <c r="A452" s="103"/>
      <c r="B452" s="103"/>
      <c r="C452" s="103"/>
      <c r="D452" s="103"/>
      <c r="E452" s="103"/>
      <c r="F452" s="103"/>
      <c r="G452" s="103"/>
      <c r="H452" s="103"/>
    </row>
    <row r="453">
      <c r="A453" s="103"/>
      <c r="B453" s="103"/>
      <c r="C453" s="103"/>
      <c r="D453" s="103"/>
      <c r="E453" s="103"/>
      <c r="F453" s="103"/>
      <c r="G453" s="103"/>
      <c r="H453" s="103"/>
    </row>
    <row r="454">
      <c r="A454" s="103"/>
      <c r="B454" s="103"/>
      <c r="C454" s="103"/>
      <c r="D454" s="103"/>
      <c r="E454" s="103"/>
      <c r="F454" s="103"/>
      <c r="G454" s="103"/>
      <c r="H454" s="103"/>
    </row>
    <row r="455">
      <c r="A455" s="103"/>
      <c r="B455" s="103"/>
      <c r="C455" s="103"/>
      <c r="D455" s="103"/>
      <c r="E455" s="103"/>
      <c r="F455" s="103"/>
      <c r="G455" s="103"/>
      <c r="H455" s="103"/>
    </row>
    <row r="456">
      <c r="A456" s="103"/>
      <c r="B456" s="103"/>
      <c r="C456" s="103"/>
      <c r="D456" s="103"/>
      <c r="E456" s="103"/>
      <c r="F456" s="103"/>
      <c r="G456" s="103"/>
      <c r="H456" s="103"/>
    </row>
    <row r="457">
      <c r="A457" s="103"/>
      <c r="B457" s="103"/>
      <c r="C457" s="103"/>
      <c r="D457" s="103"/>
      <c r="E457" s="103"/>
      <c r="F457" s="103"/>
      <c r="G457" s="103"/>
      <c r="H457" s="103"/>
    </row>
    <row r="458">
      <c r="A458" s="103"/>
      <c r="B458" s="103"/>
      <c r="C458" s="103"/>
      <c r="D458" s="103"/>
      <c r="E458" s="103"/>
      <c r="F458" s="103"/>
      <c r="G458" s="103"/>
      <c r="H458" s="103"/>
    </row>
    <row r="459">
      <c r="A459" s="103"/>
      <c r="B459" s="103"/>
      <c r="C459" s="103"/>
      <c r="D459" s="103"/>
      <c r="E459" s="103"/>
      <c r="F459" s="103"/>
      <c r="G459" s="103"/>
      <c r="H459" s="103"/>
    </row>
    <row r="460">
      <c r="A460" s="103"/>
      <c r="B460" s="103"/>
      <c r="C460" s="103"/>
      <c r="D460" s="103"/>
      <c r="E460" s="103"/>
      <c r="F460" s="103"/>
      <c r="G460" s="103"/>
      <c r="H460" s="103"/>
    </row>
    <row r="461">
      <c r="A461" s="103"/>
      <c r="B461" s="103"/>
      <c r="C461" s="103"/>
      <c r="D461" s="103"/>
      <c r="E461" s="103"/>
      <c r="F461" s="103"/>
      <c r="G461" s="103"/>
      <c r="H461" s="103"/>
    </row>
    <row r="462">
      <c r="A462" s="103"/>
      <c r="B462" s="103"/>
      <c r="C462" s="103"/>
      <c r="D462" s="103"/>
      <c r="E462" s="103"/>
      <c r="F462" s="103"/>
      <c r="G462" s="103"/>
      <c r="H462" s="103"/>
    </row>
    <row r="463">
      <c r="A463" s="103"/>
      <c r="B463" s="103"/>
      <c r="C463" s="103"/>
      <c r="D463" s="103"/>
      <c r="E463" s="103"/>
      <c r="F463" s="103"/>
      <c r="G463" s="103"/>
      <c r="H463" s="103"/>
    </row>
    <row r="464">
      <c r="A464" s="103"/>
      <c r="B464" s="103"/>
      <c r="C464" s="103"/>
      <c r="D464" s="103"/>
      <c r="E464" s="103"/>
      <c r="F464" s="103"/>
      <c r="G464" s="103"/>
      <c r="H464" s="103"/>
    </row>
    <row r="465">
      <c r="A465" s="103"/>
      <c r="B465" s="103"/>
      <c r="C465" s="103"/>
      <c r="D465" s="103"/>
      <c r="E465" s="103"/>
      <c r="F465" s="103"/>
      <c r="G465" s="103"/>
      <c r="H465" s="103"/>
    </row>
    <row r="466">
      <c r="A466" s="103"/>
      <c r="B466" s="103"/>
      <c r="C466" s="103"/>
      <c r="D466" s="103"/>
      <c r="E466" s="103"/>
      <c r="F466" s="103"/>
      <c r="G466" s="103"/>
      <c r="H466" s="103"/>
    </row>
    <row r="467">
      <c r="A467" s="103"/>
      <c r="B467" s="103"/>
      <c r="C467" s="103"/>
      <c r="D467" s="103"/>
      <c r="E467" s="103"/>
      <c r="F467" s="103"/>
      <c r="G467" s="103"/>
      <c r="H467" s="103"/>
    </row>
    <row r="468">
      <c r="A468" s="103"/>
      <c r="B468" s="103"/>
      <c r="C468" s="103"/>
      <c r="D468" s="103"/>
      <c r="E468" s="103"/>
      <c r="F468" s="103"/>
      <c r="G468" s="103"/>
      <c r="H468" s="103"/>
    </row>
    <row r="469">
      <c r="A469" s="103"/>
      <c r="B469" s="103"/>
      <c r="C469" s="103"/>
      <c r="D469" s="103"/>
      <c r="E469" s="103"/>
      <c r="F469" s="103"/>
      <c r="G469" s="103"/>
      <c r="H469" s="103"/>
    </row>
    <row r="470">
      <c r="A470" s="103"/>
      <c r="B470" s="103"/>
      <c r="C470" s="103"/>
      <c r="D470" s="103"/>
      <c r="E470" s="103"/>
      <c r="F470" s="103"/>
      <c r="G470" s="103"/>
      <c r="H470" s="103"/>
    </row>
    <row r="471">
      <c r="A471" s="103"/>
      <c r="B471" s="103"/>
      <c r="C471" s="103"/>
      <c r="D471" s="103"/>
      <c r="E471" s="103"/>
      <c r="F471" s="103"/>
      <c r="G471" s="103"/>
      <c r="H471" s="103"/>
    </row>
    <row r="472">
      <c r="A472" s="103"/>
      <c r="B472" s="103"/>
      <c r="C472" s="103"/>
      <c r="D472" s="103"/>
      <c r="E472" s="103"/>
      <c r="F472" s="103"/>
      <c r="G472" s="103"/>
      <c r="H472" s="103"/>
    </row>
    <row r="473">
      <c r="A473" s="103"/>
      <c r="B473" s="103"/>
      <c r="C473" s="103"/>
      <c r="D473" s="103"/>
      <c r="E473" s="103"/>
      <c r="F473" s="103"/>
      <c r="G473" s="103"/>
      <c r="H473" s="103"/>
    </row>
    <row r="474">
      <c r="A474" s="103"/>
      <c r="B474" s="103"/>
      <c r="C474" s="103"/>
      <c r="D474" s="103"/>
      <c r="E474" s="103"/>
      <c r="F474" s="103"/>
      <c r="G474" s="103"/>
      <c r="H474" s="103"/>
    </row>
    <row r="475">
      <c r="A475" s="103"/>
      <c r="B475" s="103"/>
      <c r="C475" s="103"/>
      <c r="D475" s="103"/>
      <c r="E475" s="103"/>
      <c r="F475" s="103"/>
      <c r="G475" s="103"/>
      <c r="H475" s="103"/>
    </row>
    <row r="476">
      <c r="A476" s="103"/>
      <c r="B476" s="103"/>
      <c r="C476" s="103"/>
      <c r="D476" s="103"/>
      <c r="E476" s="103"/>
      <c r="F476" s="103"/>
      <c r="G476" s="103"/>
      <c r="H476" s="103"/>
    </row>
    <row r="477">
      <c r="A477" s="103"/>
      <c r="B477" s="103"/>
      <c r="C477" s="103"/>
      <c r="D477" s="103"/>
      <c r="E477" s="103"/>
      <c r="F477" s="103"/>
      <c r="G477" s="103"/>
      <c r="H477" s="103"/>
    </row>
    <row r="478">
      <c r="A478" s="103"/>
      <c r="B478" s="103"/>
      <c r="C478" s="103"/>
      <c r="D478" s="103"/>
      <c r="E478" s="103"/>
      <c r="F478" s="103"/>
      <c r="G478" s="103"/>
      <c r="H478" s="103"/>
    </row>
    <row r="479">
      <c r="A479" s="103"/>
      <c r="B479" s="103"/>
      <c r="C479" s="103"/>
      <c r="D479" s="103"/>
      <c r="E479" s="103"/>
      <c r="F479" s="103"/>
      <c r="G479" s="103"/>
      <c r="H479" s="103"/>
    </row>
    <row r="480">
      <c r="A480" s="103"/>
      <c r="B480" s="103"/>
      <c r="C480" s="103"/>
      <c r="D480" s="103"/>
      <c r="E480" s="103"/>
      <c r="F480" s="103"/>
      <c r="G480" s="103"/>
      <c r="H480" s="103"/>
    </row>
    <row r="481">
      <c r="A481" s="103"/>
      <c r="B481" s="103"/>
      <c r="C481" s="103"/>
      <c r="D481" s="103"/>
      <c r="E481" s="103"/>
      <c r="F481" s="103"/>
      <c r="G481" s="103"/>
      <c r="H481" s="103"/>
    </row>
    <row r="482">
      <c r="A482" s="103"/>
      <c r="B482" s="103"/>
      <c r="C482" s="103"/>
      <c r="D482" s="103"/>
      <c r="E482" s="103"/>
      <c r="F482" s="103"/>
      <c r="G482" s="103"/>
      <c r="H482" s="103"/>
    </row>
    <row r="483">
      <c r="A483" s="103"/>
      <c r="B483" s="103"/>
      <c r="C483" s="103"/>
      <c r="D483" s="103"/>
      <c r="E483" s="103"/>
      <c r="F483" s="103"/>
      <c r="G483" s="103"/>
      <c r="H483" s="103"/>
    </row>
    <row r="484">
      <c r="A484" s="103"/>
      <c r="B484" s="103"/>
      <c r="C484" s="103"/>
      <c r="D484" s="103"/>
      <c r="E484" s="103"/>
      <c r="F484" s="103"/>
      <c r="G484" s="103"/>
      <c r="H484" s="103"/>
    </row>
    <row r="485">
      <c r="A485" s="103"/>
      <c r="B485" s="103"/>
      <c r="C485" s="103"/>
      <c r="D485" s="103"/>
      <c r="E485" s="103"/>
      <c r="F485" s="103"/>
      <c r="G485" s="103"/>
      <c r="H485" s="103"/>
    </row>
    <row r="486">
      <c r="A486" s="103"/>
      <c r="B486" s="103"/>
      <c r="C486" s="103"/>
      <c r="D486" s="103"/>
      <c r="E486" s="103"/>
      <c r="F486" s="103"/>
      <c r="G486" s="103"/>
      <c r="H486" s="103"/>
    </row>
    <row r="487">
      <c r="A487" s="103"/>
      <c r="B487" s="103"/>
      <c r="C487" s="103"/>
      <c r="D487" s="103"/>
      <c r="E487" s="103"/>
      <c r="F487" s="103"/>
      <c r="G487" s="103"/>
      <c r="H487" s="103"/>
    </row>
    <row r="488">
      <c r="A488" s="103"/>
      <c r="B488" s="103"/>
      <c r="C488" s="103"/>
      <c r="D488" s="103"/>
      <c r="E488" s="103"/>
      <c r="F488" s="103"/>
      <c r="G488" s="103"/>
      <c r="H488" s="103"/>
    </row>
    <row r="489">
      <c r="A489" s="103"/>
      <c r="B489" s="103"/>
      <c r="C489" s="103"/>
      <c r="D489" s="103"/>
      <c r="E489" s="103"/>
      <c r="F489" s="103"/>
      <c r="G489" s="103"/>
      <c r="H489" s="103"/>
    </row>
    <row r="490">
      <c r="A490" s="103"/>
      <c r="B490" s="103"/>
      <c r="C490" s="103"/>
      <c r="D490" s="103"/>
      <c r="E490" s="103"/>
      <c r="F490" s="103"/>
      <c r="G490" s="103"/>
      <c r="H490" s="103"/>
    </row>
    <row r="491">
      <c r="A491" s="103"/>
      <c r="B491" s="103"/>
      <c r="C491" s="103"/>
      <c r="D491" s="103"/>
      <c r="E491" s="103"/>
      <c r="F491" s="103"/>
      <c r="G491" s="103"/>
      <c r="H491" s="103"/>
    </row>
    <row r="492">
      <c r="A492" s="103"/>
      <c r="B492" s="103"/>
      <c r="C492" s="103"/>
      <c r="D492" s="103"/>
      <c r="E492" s="103"/>
      <c r="F492" s="103"/>
      <c r="G492" s="103"/>
      <c r="H492" s="103"/>
    </row>
    <row r="493">
      <c r="A493" s="103"/>
      <c r="B493" s="103"/>
      <c r="C493" s="103"/>
      <c r="D493" s="103"/>
      <c r="E493" s="103"/>
      <c r="F493" s="103"/>
      <c r="G493" s="103"/>
      <c r="H493" s="103"/>
    </row>
    <row r="494">
      <c r="A494" s="103"/>
      <c r="B494" s="103"/>
      <c r="C494" s="103"/>
      <c r="D494" s="103"/>
      <c r="E494" s="103"/>
      <c r="F494" s="103"/>
      <c r="G494" s="103"/>
      <c r="H494" s="103"/>
    </row>
    <row r="495">
      <c r="A495" s="103"/>
      <c r="B495" s="103"/>
      <c r="C495" s="103"/>
      <c r="D495" s="103"/>
      <c r="E495" s="103"/>
      <c r="F495" s="103"/>
      <c r="G495" s="103"/>
      <c r="H495" s="103"/>
    </row>
    <row r="496">
      <c r="A496" s="103"/>
      <c r="B496" s="103"/>
      <c r="C496" s="103"/>
      <c r="D496" s="103"/>
      <c r="E496" s="103"/>
      <c r="F496" s="103"/>
      <c r="G496" s="103"/>
      <c r="H496" s="103"/>
    </row>
    <row r="497">
      <c r="A497" s="103"/>
      <c r="B497" s="103"/>
      <c r="C497" s="103"/>
      <c r="D497" s="103"/>
      <c r="E497" s="103"/>
      <c r="F497" s="103"/>
      <c r="G497" s="103"/>
      <c r="H497" s="103"/>
    </row>
    <row r="498">
      <c r="A498" s="103"/>
      <c r="B498" s="103"/>
      <c r="C498" s="103"/>
      <c r="D498" s="103"/>
      <c r="E498" s="103"/>
      <c r="F498" s="103"/>
      <c r="G498" s="103"/>
      <c r="H498" s="103"/>
    </row>
    <row r="499">
      <c r="A499" s="103"/>
      <c r="B499" s="103"/>
      <c r="C499" s="103"/>
      <c r="D499" s="103"/>
      <c r="E499" s="103"/>
      <c r="F499" s="103"/>
      <c r="G499" s="103"/>
      <c r="H499" s="103"/>
    </row>
    <row r="500">
      <c r="A500" s="103"/>
      <c r="B500" s="103"/>
      <c r="C500" s="103"/>
      <c r="D500" s="103"/>
      <c r="E500" s="103"/>
      <c r="F500" s="103"/>
      <c r="G500" s="103"/>
      <c r="H500" s="103"/>
    </row>
    <row r="501">
      <c r="A501" s="103"/>
      <c r="B501" s="103"/>
      <c r="C501" s="103"/>
      <c r="D501" s="103"/>
      <c r="E501" s="103"/>
      <c r="F501" s="103"/>
      <c r="G501" s="103"/>
      <c r="H501" s="103"/>
    </row>
    <row r="502">
      <c r="A502" s="103"/>
      <c r="B502" s="103"/>
      <c r="C502" s="103"/>
      <c r="D502" s="103"/>
      <c r="E502" s="103"/>
      <c r="F502" s="103"/>
      <c r="G502" s="103"/>
      <c r="H502" s="103"/>
    </row>
    <row r="503">
      <c r="A503" s="103"/>
      <c r="B503" s="103"/>
      <c r="C503" s="103"/>
      <c r="D503" s="103"/>
      <c r="E503" s="103"/>
      <c r="F503" s="103"/>
      <c r="G503" s="103"/>
      <c r="H503" s="103"/>
    </row>
    <row r="504">
      <c r="A504" s="103"/>
      <c r="B504" s="103"/>
      <c r="C504" s="103"/>
      <c r="D504" s="103"/>
      <c r="E504" s="103"/>
      <c r="F504" s="103"/>
      <c r="G504" s="103"/>
      <c r="H504" s="103"/>
    </row>
    <row r="505">
      <c r="A505" s="103"/>
      <c r="B505" s="103"/>
      <c r="C505" s="103"/>
      <c r="D505" s="103"/>
      <c r="E505" s="103"/>
      <c r="F505" s="103"/>
      <c r="G505" s="103"/>
      <c r="H505" s="103"/>
    </row>
    <row r="506">
      <c r="A506" s="103"/>
      <c r="B506" s="103"/>
      <c r="C506" s="103"/>
      <c r="D506" s="103"/>
      <c r="E506" s="103"/>
      <c r="F506" s="103"/>
      <c r="G506" s="103"/>
      <c r="H506" s="103"/>
    </row>
    <row r="507">
      <c r="A507" s="103"/>
      <c r="B507" s="103"/>
      <c r="C507" s="103"/>
      <c r="D507" s="103"/>
      <c r="E507" s="103"/>
      <c r="F507" s="103"/>
      <c r="G507" s="103"/>
      <c r="H507" s="103"/>
    </row>
    <row r="508">
      <c r="A508" s="103"/>
      <c r="B508" s="103"/>
      <c r="C508" s="103"/>
      <c r="D508" s="103"/>
      <c r="E508" s="103"/>
      <c r="F508" s="103"/>
      <c r="G508" s="103"/>
      <c r="H508" s="103"/>
    </row>
    <row r="509">
      <c r="A509" s="103"/>
      <c r="B509" s="103"/>
      <c r="C509" s="103"/>
      <c r="D509" s="103"/>
      <c r="E509" s="103"/>
      <c r="F509" s="103"/>
      <c r="G509" s="103"/>
      <c r="H509" s="103"/>
    </row>
    <row r="510">
      <c r="A510" s="103"/>
      <c r="B510" s="103"/>
      <c r="C510" s="103"/>
      <c r="D510" s="103"/>
      <c r="E510" s="103"/>
      <c r="F510" s="103"/>
      <c r="G510" s="103"/>
      <c r="H510" s="103"/>
    </row>
    <row r="511">
      <c r="A511" s="103"/>
      <c r="B511" s="103"/>
      <c r="C511" s="103"/>
      <c r="D511" s="103"/>
      <c r="E511" s="103"/>
      <c r="F511" s="103"/>
      <c r="G511" s="103"/>
      <c r="H511" s="103"/>
    </row>
    <row r="512">
      <c r="A512" s="103"/>
      <c r="B512" s="103"/>
      <c r="C512" s="103"/>
      <c r="D512" s="103"/>
      <c r="E512" s="103"/>
      <c r="F512" s="103"/>
      <c r="G512" s="103"/>
      <c r="H512" s="103"/>
    </row>
    <row r="513">
      <c r="A513" s="103"/>
      <c r="B513" s="103"/>
      <c r="C513" s="103"/>
      <c r="D513" s="103"/>
      <c r="E513" s="103"/>
      <c r="F513" s="103"/>
      <c r="G513" s="103"/>
      <c r="H513" s="103"/>
    </row>
    <row r="514">
      <c r="A514" s="103"/>
      <c r="B514" s="103"/>
      <c r="C514" s="103"/>
      <c r="D514" s="103"/>
      <c r="E514" s="103"/>
      <c r="F514" s="103"/>
      <c r="G514" s="103"/>
      <c r="H514" s="103"/>
    </row>
    <row r="515">
      <c r="A515" s="103"/>
      <c r="B515" s="103"/>
      <c r="C515" s="103"/>
      <c r="D515" s="103"/>
      <c r="E515" s="103"/>
      <c r="F515" s="103"/>
      <c r="G515" s="103"/>
      <c r="H515" s="103"/>
    </row>
    <row r="516">
      <c r="A516" s="103"/>
      <c r="B516" s="103"/>
      <c r="C516" s="103"/>
      <c r="D516" s="103"/>
      <c r="E516" s="103"/>
      <c r="F516" s="103"/>
      <c r="G516" s="103"/>
      <c r="H516" s="103"/>
    </row>
    <row r="517">
      <c r="A517" s="103"/>
      <c r="B517" s="103"/>
      <c r="C517" s="103"/>
      <c r="D517" s="103"/>
      <c r="E517" s="103"/>
      <c r="F517" s="103"/>
      <c r="G517" s="103"/>
      <c r="H517" s="103"/>
    </row>
    <row r="518">
      <c r="A518" s="103"/>
      <c r="B518" s="103"/>
      <c r="C518" s="103"/>
      <c r="D518" s="103"/>
      <c r="E518" s="103"/>
      <c r="F518" s="103"/>
      <c r="G518" s="103"/>
      <c r="H518" s="103"/>
    </row>
    <row r="519">
      <c r="A519" s="103"/>
      <c r="B519" s="103"/>
      <c r="C519" s="103"/>
      <c r="D519" s="103"/>
      <c r="E519" s="103"/>
      <c r="F519" s="103"/>
      <c r="G519" s="103"/>
      <c r="H519" s="103"/>
    </row>
    <row r="520">
      <c r="A520" s="103"/>
      <c r="B520" s="103"/>
      <c r="C520" s="103"/>
      <c r="D520" s="103"/>
      <c r="E520" s="103"/>
      <c r="F520" s="103"/>
      <c r="G520" s="103"/>
      <c r="H520" s="103"/>
    </row>
    <row r="521">
      <c r="A521" s="103"/>
      <c r="B521" s="103"/>
      <c r="C521" s="103"/>
      <c r="D521" s="103"/>
      <c r="E521" s="103"/>
      <c r="F521" s="103"/>
      <c r="G521" s="103"/>
      <c r="H521" s="103"/>
    </row>
    <row r="522">
      <c r="A522" s="103"/>
      <c r="B522" s="103"/>
      <c r="C522" s="103"/>
      <c r="D522" s="103"/>
      <c r="E522" s="103"/>
      <c r="F522" s="103"/>
      <c r="G522" s="103"/>
      <c r="H522" s="103"/>
    </row>
    <row r="523">
      <c r="A523" s="103"/>
      <c r="B523" s="103"/>
      <c r="C523" s="103"/>
      <c r="D523" s="103"/>
      <c r="E523" s="103"/>
      <c r="F523" s="103"/>
      <c r="G523" s="103"/>
      <c r="H523" s="103"/>
    </row>
    <row r="524">
      <c r="A524" s="103"/>
      <c r="B524" s="103"/>
      <c r="C524" s="103"/>
      <c r="D524" s="103"/>
      <c r="E524" s="103"/>
      <c r="F524" s="103"/>
      <c r="G524" s="103"/>
      <c r="H524" s="103"/>
    </row>
    <row r="525">
      <c r="A525" s="103"/>
      <c r="B525" s="103"/>
      <c r="C525" s="103"/>
      <c r="D525" s="103"/>
      <c r="E525" s="103"/>
      <c r="F525" s="103"/>
      <c r="G525" s="103"/>
      <c r="H525" s="103"/>
    </row>
    <row r="526">
      <c r="A526" s="103"/>
      <c r="B526" s="103"/>
      <c r="C526" s="103"/>
      <c r="D526" s="103"/>
      <c r="E526" s="103"/>
      <c r="F526" s="103"/>
      <c r="G526" s="103"/>
      <c r="H526" s="103"/>
    </row>
    <row r="527">
      <c r="A527" s="103"/>
      <c r="B527" s="103"/>
      <c r="C527" s="103"/>
      <c r="D527" s="103"/>
      <c r="E527" s="103"/>
      <c r="F527" s="103"/>
      <c r="G527" s="103"/>
      <c r="H527" s="103"/>
    </row>
    <row r="528">
      <c r="A528" s="103"/>
      <c r="B528" s="103"/>
      <c r="C528" s="103"/>
      <c r="D528" s="103"/>
      <c r="E528" s="103"/>
      <c r="F528" s="103"/>
      <c r="G528" s="103"/>
      <c r="H528" s="103"/>
    </row>
    <row r="529">
      <c r="A529" s="103"/>
      <c r="B529" s="103"/>
      <c r="C529" s="103"/>
      <c r="D529" s="103"/>
      <c r="E529" s="103"/>
      <c r="F529" s="103"/>
      <c r="G529" s="103"/>
      <c r="H529" s="103"/>
    </row>
    <row r="530">
      <c r="A530" s="103"/>
      <c r="B530" s="103"/>
      <c r="C530" s="103"/>
      <c r="D530" s="103"/>
      <c r="E530" s="103"/>
      <c r="F530" s="103"/>
      <c r="G530" s="103"/>
      <c r="H530" s="103"/>
    </row>
    <row r="531">
      <c r="A531" s="103"/>
      <c r="B531" s="103"/>
      <c r="C531" s="103"/>
      <c r="D531" s="103"/>
      <c r="E531" s="103"/>
      <c r="F531" s="103"/>
      <c r="G531" s="103"/>
      <c r="H531" s="103"/>
    </row>
    <row r="532">
      <c r="A532" s="103"/>
      <c r="B532" s="103"/>
      <c r="C532" s="103"/>
      <c r="D532" s="103"/>
      <c r="E532" s="103"/>
      <c r="F532" s="103"/>
      <c r="G532" s="103"/>
      <c r="H532" s="103"/>
    </row>
    <row r="533">
      <c r="A533" s="103"/>
      <c r="B533" s="103"/>
      <c r="C533" s="103"/>
      <c r="D533" s="103"/>
      <c r="E533" s="103"/>
      <c r="F533" s="103"/>
      <c r="G533" s="103"/>
      <c r="H533" s="103"/>
    </row>
    <row r="534">
      <c r="A534" s="103"/>
      <c r="B534" s="103"/>
      <c r="C534" s="103"/>
      <c r="D534" s="103"/>
      <c r="E534" s="103"/>
      <c r="F534" s="103"/>
      <c r="G534" s="103"/>
      <c r="H534" s="103"/>
    </row>
    <row r="535">
      <c r="A535" s="103"/>
      <c r="B535" s="103"/>
      <c r="C535" s="103"/>
      <c r="D535" s="103"/>
      <c r="E535" s="103"/>
      <c r="F535" s="103"/>
      <c r="G535" s="103"/>
      <c r="H535" s="103"/>
    </row>
    <row r="536">
      <c r="A536" s="103"/>
      <c r="B536" s="103"/>
      <c r="C536" s="103"/>
      <c r="D536" s="103"/>
      <c r="E536" s="103"/>
      <c r="F536" s="103"/>
      <c r="G536" s="103"/>
      <c r="H536" s="103"/>
    </row>
    <row r="537">
      <c r="A537" s="103"/>
      <c r="B537" s="103"/>
      <c r="C537" s="103"/>
      <c r="D537" s="103"/>
      <c r="E537" s="103"/>
      <c r="F537" s="103"/>
      <c r="G537" s="103"/>
      <c r="H537" s="103"/>
    </row>
    <row r="538">
      <c r="A538" s="103"/>
      <c r="B538" s="103"/>
      <c r="C538" s="103"/>
      <c r="D538" s="103"/>
      <c r="E538" s="103"/>
      <c r="F538" s="103"/>
      <c r="G538" s="103"/>
      <c r="H538" s="103"/>
    </row>
    <row r="539">
      <c r="A539" s="103"/>
      <c r="B539" s="103"/>
      <c r="C539" s="103"/>
      <c r="D539" s="103"/>
      <c r="E539" s="103"/>
      <c r="F539" s="103"/>
      <c r="G539" s="103"/>
      <c r="H539" s="103"/>
    </row>
    <row r="540">
      <c r="A540" s="103"/>
      <c r="B540" s="103"/>
      <c r="C540" s="103"/>
      <c r="D540" s="103"/>
      <c r="E540" s="103"/>
      <c r="F540" s="103"/>
      <c r="G540" s="103"/>
      <c r="H540" s="103"/>
    </row>
    <row r="541">
      <c r="A541" s="103"/>
      <c r="B541" s="103"/>
      <c r="C541" s="103"/>
      <c r="D541" s="103"/>
      <c r="E541" s="103"/>
      <c r="F541" s="103"/>
      <c r="G541" s="103"/>
      <c r="H541" s="103"/>
    </row>
    <row r="542">
      <c r="A542" s="103"/>
      <c r="B542" s="103"/>
      <c r="C542" s="103"/>
      <c r="D542" s="103"/>
      <c r="E542" s="103"/>
      <c r="F542" s="103"/>
      <c r="G542" s="103"/>
      <c r="H542" s="103"/>
    </row>
    <row r="543">
      <c r="A543" s="103"/>
      <c r="B543" s="103"/>
      <c r="C543" s="103"/>
      <c r="D543" s="103"/>
      <c r="E543" s="103"/>
      <c r="F543" s="103"/>
      <c r="G543" s="103"/>
      <c r="H543" s="103"/>
    </row>
    <row r="544">
      <c r="A544" s="103"/>
      <c r="B544" s="103"/>
      <c r="C544" s="103"/>
      <c r="D544" s="103"/>
      <c r="E544" s="103"/>
      <c r="F544" s="103"/>
      <c r="G544" s="103"/>
      <c r="H544" s="103"/>
    </row>
    <row r="545">
      <c r="A545" s="103"/>
      <c r="B545" s="103"/>
      <c r="C545" s="103"/>
      <c r="D545" s="103"/>
      <c r="E545" s="103"/>
      <c r="F545" s="103"/>
      <c r="G545" s="103"/>
      <c r="H545" s="103"/>
    </row>
    <row r="546">
      <c r="A546" s="103"/>
      <c r="B546" s="103"/>
      <c r="C546" s="103"/>
      <c r="D546" s="103"/>
      <c r="E546" s="103"/>
      <c r="F546" s="103"/>
      <c r="G546" s="103"/>
      <c r="H546" s="103"/>
    </row>
    <row r="547">
      <c r="A547" s="103"/>
      <c r="B547" s="103"/>
      <c r="C547" s="103"/>
      <c r="D547" s="103"/>
      <c r="E547" s="103"/>
      <c r="F547" s="103"/>
      <c r="G547" s="103"/>
      <c r="H547" s="103"/>
    </row>
    <row r="548">
      <c r="A548" s="103"/>
      <c r="B548" s="103"/>
      <c r="C548" s="103"/>
      <c r="D548" s="103"/>
      <c r="E548" s="103"/>
      <c r="F548" s="103"/>
      <c r="G548" s="103"/>
      <c r="H548" s="103"/>
    </row>
    <row r="549">
      <c r="A549" s="103"/>
      <c r="B549" s="103"/>
      <c r="C549" s="103"/>
      <c r="D549" s="103"/>
      <c r="E549" s="103"/>
      <c r="F549" s="103"/>
      <c r="G549" s="103"/>
      <c r="H549" s="103"/>
    </row>
    <row r="550">
      <c r="A550" s="103"/>
      <c r="B550" s="103"/>
      <c r="C550" s="103"/>
      <c r="D550" s="103"/>
      <c r="E550" s="103"/>
      <c r="F550" s="103"/>
      <c r="G550" s="103"/>
      <c r="H550" s="103"/>
    </row>
    <row r="551">
      <c r="A551" s="103"/>
      <c r="B551" s="103"/>
      <c r="C551" s="103"/>
      <c r="D551" s="103"/>
      <c r="E551" s="103"/>
      <c r="F551" s="103"/>
      <c r="G551" s="103"/>
      <c r="H551" s="103"/>
    </row>
    <row r="552">
      <c r="A552" s="103"/>
      <c r="B552" s="103"/>
      <c r="C552" s="103"/>
      <c r="D552" s="103"/>
      <c r="E552" s="103"/>
      <c r="F552" s="103"/>
      <c r="G552" s="103"/>
      <c r="H552" s="103"/>
    </row>
    <row r="553">
      <c r="A553" s="103"/>
      <c r="B553" s="103"/>
      <c r="C553" s="103"/>
      <c r="D553" s="103"/>
      <c r="E553" s="103"/>
      <c r="F553" s="103"/>
      <c r="G553" s="103"/>
      <c r="H553" s="103"/>
    </row>
    <row r="554">
      <c r="A554" s="103"/>
      <c r="B554" s="103"/>
      <c r="C554" s="103"/>
      <c r="D554" s="103"/>
      <c r="E554" s="103"/>
      <c r="F554" s="103"/>
      <c r="G554" s="103"/>
      <c r="H554" s="103"/>
    </row>
    <row r="555">
      <c r="A555" s="103"/>
      <c r="B555" s="103"/>
      <c r="C555" s="103"/>
      <c r="D555" s="103"/>
      <c r="E555" s="103"/>
      <c r="F555" s="103"/>
      <c r="G555" s="103"/>
      <c r="H555" s="103"/>
    </row>
    <row r="556">
      <c r="A556" s="103"/>
      <c r="B556" s="103"/>
      <c r="C556" s="103"/>
      <c r="D556" s="103"/>
      <c r="E556" s="103"/>
      <c r="F556" s="103"/>
      <c r="G556" s="103"/>
      <c r="H556" s="103"/>
    </row>
    <row r="557">
      <c r="A557" s="103"/>
      <c r="B557" s="103"/>
      <c r="C557" s="103"/>
      <c r="D557" s="103"/>
      <c r="E557" s="103"/>
      <c r="F557" s="103"/>
      <c r="G557" s="103"/>
      <c r="H557" s="103"/>
    </row>
    <row r="558">
      <c r="A558" s="103"/>
      <c r="B558" s="103"/>
      <c r="C558" s="103"/>
      <c r="D558" s="103"/>
      <c r="E558" s="103"/>
      <c r="F558" s="103"/>
      <c r="G558" s="103"/>
      <c r="H558" s="103"/>
    </row>
    <row r="559">
      <c r="A559" s="103"/>
      <c r="B559" s="103"/>
      <c r="C559" s="103"/>
      <c r="D559" s="103"/>
      <c r="E559" s="103"/>
      <c r="F559" s="103"/>
      <c r="G559" s="103"/>
      <c r="H559" s="103"/>
    </row>
    <row r="560">
      <c r="A560" s="103"/>
      <c r="B560" s="103"/>
      <c r="C560" s="103"/>
      <c r="D560" s="103"/>
      <c r="E560" s="103"/>
      <c r="F560" s="103"/>
      <c r="G560" s="103"/>
      <c r="H560" s="103"/>
    </row>
    <row r="561">
      <c r="A561" s="103"/>
      <c r="B561" s="103"/>
      <c r="C561" s="103"/>
      <c r="D561" s="103"/>
      <c r="E561" s="103"/>
      <c r="F561" s="103"/>
      <c r="G561" s="103"/>
      <c r="H561" s="103"/>
    </row>
    <row r="562">
      <c r="A562" s="103"/>
      <c r="B562" s="103"/>
      <c r="C562" s="103"/>
      <c r="D562" s="103"/>
      <c r="E562" s="103"/>
      <c r="F562" s="103"/>
      <c r="G562" s="103"/>
      <c r="H562" s="103"/>
    </row>
    <row r="563">
      <c r="A563" s="103"/>
      <c r="B563" s="103"/>
      <c r="C563" s="103"/>
      <c r="D563" s="103"/>
      <c r="E563" s="103"/>
      <c r="F563" s="103"/>
      <c r="G563" s="103"/>
      <c r="H563" s="103"/>
    </row>
    <row r="564">
      <c r="A564" s="103"/>
      <c r="B564" s="103"/>
      <c r="C564" s="103"/>
      <c r="D564" s="103"/>
      <c r="E564" s="103"/>
      <c r="F564" s="103"/>
      <c r="G564" s="103"/>
      <c r="H564" s="103"/>
    </row>
    <row r="565">
      <c r="A565" s="103"/>
      <c r="B565" s="103"/>
      <c r="C565" s="103"/>
      <c r="D565" s="103"/>
      <c r="E565" s="103"/>
      <c r="F565" s="103"/>
      <c r="G565" s="103"/>
      <c r="H565" s="103"/>
    </row>
    <row r="566">
      <c r="A566" s="103"/>
      <c r="B566" s="103"/>
      <c r="C566" s="103"/>
      <c r="D566" s="103"/>
      <c r="E566" s="103"/>
      <c r="F566" s="103"/>
      <c r="G566" s="103"/>
      <c r="H566" s="103"/>
    </row>
    <row r="567">
      <c r="A567" s="103"/>
      <c r="B567" s="103"/>
      <c r="C567" s="103"/>
      <c r="D567" s="103"/>
      <c r="E567" s="103"/>
      <c r="F567" s="103"/>
      <c r="G567" s="103"/>
      <c r="H567" s="103"/>
    </row>
    <row r="568">
      <c r="A568" s="103"/>
      <c r="B568" s="103"/>
      <c r="C568" s="103"/>
      <c r="D568" s="103"/>
      <c r="E568" s="103"/>
      <c r="F568" s="103"/>
      <c r="G568" s="103"/>
      <c r="H568" s="103"/>
    </row>
    <row r="569">
      <c r="A569" s="103"/>
      <c r="B569" s="103"/>
      <c r="C569" s="103"/>
      <c r="D569" s="103"/>
      <c r="E569" s="103"/>
      <c r="F569" s="103"/>
      <c r="G569" s="103"/>
      <c r="H569" s="103"/>
    </row>
    <row r="570">
      <c r="A570" s="103"/>
      <c r="B570" s="103"/>
      <c r="C570" s="103"/>
      <c r="D570" s="103"/>
      <c r="E570" s="103"/>
      <c r="F570" s="103"/>
      <c r="G570" s="103"/>
      <c r="H570" s="103"/>
    </row>
    <row r="571">
      <c r="A571" s="103"/>
      <c r="B571" s="103"/>
      <c r="C571" s="103"/>
      <c r="D571" s="103"/>
      <c r="E571" s="103"/>
      <c r="F571" s="103"/>
      <c r="G571" s="103"/>
      <c r="H571" s="103"/>
    </row>
    <row r="572">
      <c r="A572" s="103"/>
      <c r="B572" s="103"/>
      <c r="C572" s="103"/>
      <c r="D572" s="103"/>
      <c r="E572" s="103"/>
      <c r="F572" s="103"/>
      <c r="G572" s="103"/>
      <c r="H572" s="103"/>
    </row>
    <row r="573">
      <c r="A573" s="103"/>
      <c r="B573" s="103"/>
      <c r="C573" s="103"/>
      <c r="D573" s="103"/>
      <c r="E573" s="103"/>
      <c r="F573" s="103"/>
      <c r="G573" s="103"/>
      <c r="H573" s="103"/>
    </row>
    <row r="574">
      <c r="A574" s="103"/>
      <c r="B574" s="103"/>
      <c r="C574" s="103"/>
      <c r="D574" s="103"/>
      <c r="E574" s="103"/>
      <c r="F574" s="103"/>
      <c r="G574" s="103"/>
      <c r="H574" s="103"/>
    </row>
    <row r="575">
      <c r="A575" s="103"/>
      <c r="B575" s="103"/>
      <c r="C575" s="103"/>
      <c r="D575" s="103"/>
      <c r="E575" s="103"/>
      <c r="F575" s="103"/>
      <c r="G575" s="103"/>
      <c r="H575" s="103"/>
    </row>
    <row r="576">
      <c r="A576" s="103"/>
      <c r="B576" s="103"/>
      <c r="C576" s="103"/>
      <c r="D576" s="103"/>
      <c r="E576" s="103"/>
      <c r="F576" s="103"/>
      <c r="G576" s="103"/>
      <c r="H576" s="103"/>
    </row>
    <row r="577">
      <c r="A577" s="103"/>
      <c r="B577" s="103"/>
      <c r="C577" s="103"/>
      <c r="D577" s="103"/>
      <c r="E577" s="103"/>
      <c r="F577" s="103"/>
      <c r="G577" s="103"/>
      <c r="H577" s="103"/>
    </row>
    <row r="578">
      <c r="A578" s="103"/>
      <c r="B578" s="103"/>
      <c r="C578" s="103"/>
      <c r="D578" s="103"/>
      <c r="E578" s="103"/>
      <c r="F578" s="103"/>
      <c r="G578" s="103"/>
      <c r="H578" s="103"/>
    </row>
    <row r="579">
      <c r="A579" s="103"/>
      <c r="B579" s="103"/>
      <c r="C579" s="103"/>
      <c r="D579" s="103"/>
      <c r="E579" s="103"/>
      <c r="F579" s="103"/>
      <c r="G579" s="103"/>
      <c r="H579" s="103"/>
    </row>
    <row r="580">
      <c r="A580" s="103"/>
      <c r="B580" s="103"/>
      <c r="C580" s="103"/>
      <c r="D580" s="103"/>
      <c r="E580" s="103"/>
      <c r="F580" s="103"/>
      <c r="G580" s="103"/>
      <c r="H580" s="103"/>
    </row>
    <row r="581">
      <c r="A581" s="103"/>
      <c r="B581" s="103"/>
      <c r="C581" s="103"/>
      <c r="D581" s="103"/>
      <c r="E581" s="103"/>
      <c r="F581" s="103"/>
      <c r="G581" s="103"/>
      <c r="H581" s="103"/>
    </row>
    <row r="582">
      <c r="A582" s="103"/>
      <c r="B582" s="103"/>
      <c r="C582" s="103"/>
      <c r="D582" s="103"/>
      <c r="E582" s="103"/>
      <c r="F582" s="103"/>
      <c r="G582" s="103"/>
      <c r="H582" s="103"/>
    </row>
    <row r="583">
      <c r="A583" s="103"/>
      <c r="B583" s="103"/>
      <c r="C583" s="103"/>
      <c r="D583" s="103"/>
      <c r="E583" s="103"/>
      <c r="F583" s="103"/>
      <c r="G583" s="103"/>
      <c r="H583" s="103"/>
    </row>
    <row r="584">
      <c r="A584" s="103"/>
      <c r="B584" s="103"/>
      <c r="C584" s="103"/>
      <c r="D584" s="103"/>
      <c r="E584" s="103"/>
      <c r="F584" s="103"/>
      <c r="G584" s="103"/>
      <c r="H584" s="103"/>
    </row>
    <row r="585">
      <c r="A585" s="103"/>
      <c r="B585" s="103"/>
      <c r="C585" s="103"/>
      <c r="D585" s="103"/>
      <c r="E585" s="103"/>
      <c r="F585" s="103"/>
      <c r="G585" s="103"/>
      <c r="H585" s="103"/>
    </row>
    <row r="586">
      <c r="A586" s="103"/>
      <c r="B586" s="103"/>
      <c r="C586" s="103"/>
      <c r="D586" s="103"/>
      <c r="E586" s="103"/>
      <c r="F586" s="103"/>
      <c r="G586" s="103"/>
      <c r="H586" s="103"/>
    </row>
    <row r="587">
      <c r="A587" s="103"/>
      <c r="B587" s="103"/>
      <c r="C587" s="103"/>
      <c r="D587" s="103"/>
      <c r="E587" s="103"/>
      <c r="F587" s="103"/>
      <c r="G587" s="103"/>
      <c r="H587" s="103"/>
    </row>
    <row r="588">
      <c r="A588" s="103"/>
      <c r="B588" s="103"/>
      <c r="C588" s="103"/>
      <c r="D588" s="103"/>
      <c r="E588" s="103"/>
      <c r="F588" s="103"/>
      <c r="G588" s="103"/>
      <c r="H588" s="103"/>
    </row>
    <row r="589">
      <c r="A589" s="103"/>
      <c r="B589" s="103"/>
      <c r="C589" s="103"/>
      <c r="D589" s="103"/>
      <c r="E589" s="103"/>
      <c r="F589" s="103"/>
      <c r="G589" s="103"/>
      <c r="H589" s="103"/>
    </row>
    <row r="590">
      <c r="A590" s="103"/>
      <c r="B590" s="103"/>
      <c r="C590" s="103"/>
      <c r="D590" s="103"/>
      <c r="E590" s="103"/>
      <c r="F590" s="103"/>
      <c r="G590" s="103"/>
      <c r="H590" s="103"/>
    </row>
    <row r="591">
      <c r="A591" s="103"/>
      <c r="B591" s="103"/>
      <c r="C591" s="103"/>
      <c r="D591" s="103"/>
      <c r="E591" s="103"/>
      <c r="F591" s="103"/>
      <c r="G591" s="103"/>
      <c r="H591" s="103"/>
    </row>
    <row r="592">
      <c r="A592" s="103"/>
      <c r="B592" s="103"/>
      <c r="C592" s="103"/>
      <c r="D592" s="103"/>
      <c r="E592" s="103"/>
      <c r="F592" s="103"/>
      <c r="G592" s="103"/>
      <c r="H592" s="103"/>
    </row>
    <row r="593">
      <c r="A593" s="103"/>
      <c r="B593" s="103"/>
      <c r="C593" s="103"/>
      <c r="D593" s="103"/>
      <c r="E593" s="103"/>
      <c r="F593" s="103"/>
      <c r="G593" s="103"/>
      <c r="H593" s="103"/>
    </row>
    <row r="594">
      <c r="A594" s="103"/>
      <c r="B594" s="103"/>
      <c r="C594" s="103"/>
      <c r="D594" s="103"/>
      <c r="E594" s="103"/>
      <c r="F594" s="103"/>
      <c r="G594" s="103"/>
      <c r="H594" s="103"/>
    </row>
    <row r="595">
      <c r="A595" s="103"/>
      <c r="B595" s="103"/>
      <c r="C595" s="103"/>
      <c r="D595" s="103"/>
      <c r="E595" s="103"/>
      <c r="F595" s="103"/>
      <c r="G595" s="103"/>
      <c r="H595" s="103"/>
    </row>
    <row r="596">
      <c r="A596" s="103"/>
      <c r="B596" s="103"/>
      <c r="C596" s="103"/>
      <c r="D596" s="103"/>
      <c r="E596" s="103"/>
      <c r="F596" s="103"/>
      <c r="G596" s="103"/>
      <c r="H596" s="103"/>
    </row>
    <row r="597">
      <c r="A597" s="103"/>
      <c r="B597" s="103"/>
      <c r="C597" s="103"/>
      <c r="D597" s="103"/>
      <c r="E597" s="103"/>
      <c r="F597" s="103"/>
      <c r="G597" s="103"/>
      <c r="H597" s="103"/>
    </row>
    <row r="598">
      <c r="A598" s="103"/>
      <c r="B598" s="103"/>
      <c r="C598" s="103"/>
      <c r="D598" s="103"/>
      <c r="E598" s="103"/>
      <c r="F598" s="103"/>
      <c r="G598" s="103"/>
      <c r="H598" s="103"/>
    </row>
    <row r="599">
      <c r="A599" s="103"/>
      <c r="B599" s="103"/>
      <c r="C599" s="103"/>
      <c r="D599" s="103"/>
      <c r="E599" s="103"/>
      <c r="F599" s="103"/>
      <c r="G599" s="103"/>
      <c r="H599" s="103"/>
    </row>
    <row r="600">
      <c r="A600" s="103"/>
      <c r="B600" s="103"/>
      <c r="C600" s="103"/>
      <c r="D600" s="103"/>
      <c r="E600" s="103"/>
      <c r="F600" s="103"/>
      <c r="G600" s="103"/>
      <c r="H600" s="103"/>
    </row>
    <row r="601">
      <c r="A601" s="103"/>
      <c r="B601" s="103"/>
      <c r="C601" s="103"/>
      <c r="D601" s="103"/>
      <c r="E601" s="103"/>
      <c r="F601" s="103"/>
      <c r="G601" s="103"/>
      <c r="H601" s="103"/>
    </row>
    <row r="602">
      <c r="A602" s="103"/>
      <c r="B602" s="103"/>
      <c r="C602" s="103"/>
      <c r="D602" s="103"/>
      <c r="E602" s="103"/>
      <c r="F602" s="103"/>
      <c r="G602" s="103"/>
      <c r="H602" s="103"/>
    </row>
    <row r="603">
      <c r="A603" s="103"/>
      <c r="B603" s="103"/>
      <c r="C603" s="103"/>
      <c r="D603" s="103"/>
      <c r="E603" s="103"/>
      <c r="F603" s="103"/>
      <c r="G603" s="103"/>
      <c r="H603" s="103"/>
    </row>
    <row r="604">
      <c r="A604" s="103"/>
      <c r="B604" s="103"/>
      <c r="C604" s="103"/>
      <c r="D604" s="103"/>
      <c r="E604" s="103"/>
      <c r="F604" s="103"/>
      <c r="G604" s="103"/>
      <c r="H604" s="103"/>
    </row>
    <row r="605">
      <c r="A605" s="103"/>
      <c r="B605" s="103"/>
      <c r="C605" s="103"/>
      <c r="D605" s="103"/>
      <c r="E605" s="103"/>
      <c r="F605" s="103"/>
      <c r="G605" s="103"/>
      <c r="H605" s="103"/>
    </row>
    <row r="606">
      <c r="A606" s="103"/>
      <c r="B606" s="103"/>
      <c r="C606" s="103"/>
      <c r="D606" s="103"/>
      <c r="E606" s="103"/>
      <c r="F606" s="103"/>
      <c r="G606" s="103"/>
      <c r="H606" s="103"/>
    </row>
    <row r="607">
      <c r="A607" s="103"/>
      <c r="B607" s="103"/>
      <c r="C607" s="103"/>
      <c r="D607" s="103"/>
      <c r="E607" s="103"/>
      <c r="F607" s="103"/>
      <c r="G607" s="103"/>
      <c r="H607" s="103"/>
    </row>
    <row r="608">
      <c r="A608" s="103"/>
      <c r="B608" s="103"/>
      <c r="C608" s="103"/>
      <c r="D608" s="103"/>
      <c r="E608" s="103"/>
      <c r="F608" s="103"/>
      <c r="G608" s="103"/>
      <c r="H608" s="103"/>
    </row>
    <row r="609">
      <c r="A609" s="103"/>
      <c r="B609" s="103"/>
      <c r="C609" s="103"/>
      <c r="D609" s="103"/>
      <c r="E609" s="103"/>
      <c r="F609" s="103"/>
      <c r="G609" s="103"/>
      <c r="H609" s="103"/>
    </row>
    <row r="610">
      <c r="A610" s="103"/>
      <c r="B610" s="103"/>
      <c r="C610" s="103"/>
      <c r="D610" s="103"/>
      <c r="E610" s="103"/>
      <c r="F610" s="103"/>
      <c r="G610" s="103"/>
      <c r="H610" s="103"/>
    </row>
    <row r="611">
      <c r="A611" s="103"/>
      <c r="B611" s="103"/>
      <c r="C611" s="103"/>
      <c r="D611" s="103"/>
      <c r="E611" s="103"/>
      <c r="F611" s="103"/>
      <c r="G611" s="103"/>
      <c r="H611" s="103"/>
    </row>
    <row r="612">
      <c r="A612" s="103"/>
      <c r="B612" s="103"/>
      <c r="C612" s="103"/>
      <c r="D612" s="103"/>
      <c r="E612" s="103"/>
      <c r="F612" s="103"/>
      <c r="G612" s="103"/>
      <c r="H612" s="103"/>
    </row>
    <row r="613">
      <c r="A613" s="103"/>
      <c r="B613" s="103"/>
      <c r="C613" s="103"/>
      <c r="D613" s="103"/>
      <c r="E613" s="103"/>
      <c r="F613" s="103"/>
      <c r="G613" s="103"/>
      <c r="H613" s="103"/>
    </row>
    <row r="614">
      <c r="A614" s="103"/>
      <c r="B614" s="103"/>
      <c r="C614" s="103"/>
      <c r="D614" s="103"/>
      <c r="E614" s="103"/>
      <c r="F614" s="103"/>
      <c r="G614" s="103"/>
      <c r="H614" s="103"/>
    </row>
    <row r="615">
      <c r="A615" s="103"/>
      <c r="B615" s="103"/>
      <c r="C615" s="103"/>
      <c r="D615" s="103"/>
      <c r="E615" s="103"/>
      <c r="F615" s="103"/>
      <c r="G615" s="103"/>
      <c r="H615" s="103"/>
    </row>
    <row r="616">
      <c r="A616" s="103"/>
      <c r="B616" s="103"/>
      <c r="C616" s="103"/>
      <c r="D616" s="103"/>
      <c r="E616" s="103"/>
      <c r="F616" s="103"/>
      <c r="G616" s="103"/>
      <c r="H616" s="103"/>
    </row>
    <row r="617">
      <c r="A617" s="103"/>
      <c r="B617" s="103"/>
      <c r="C617" s="103"/>
      <c r="D617" s="103"/>
      <c r="E617" s="103"/>
      <c r="F617" s="103"/>
      <c r="G617" s="103"/>
      <c r="H617" s="103"/>
    </row>
    <row r="618">
      <c r="A618" s="103"/>
      <c r="B618" s="103"/>
      <c r="C618" s="103"/>
      <c r="D618" s="103"/>
      <c r="E618" s="103"/>
      <c r="F618" s="103"/>
      <c r="G618" s="103"/>
      <c r="H618" s="103"/>
    </row>
    <row r="619">
      <c r="A619" s="103"/>
      <c r="B619" s="103"/>
      <c r="C619" s="103"/>
      <c r="D619" s="103"/>
      <c r="E619" s="103"/>
      <c r="F619" s="103"/>
      <c r="G619" s="103"/>
      <c r="H619" s="103"/>
    </row>
    <row r="620">
      <c r="A620" s="103"/>
      <c r="B620" s="103"/>
      <c r="C620" s="103"/>
      <c r="D620" s="103"/>
      <c r="E620" s="103"/>
      <c r="F620" s="103"/>
      <c r="G620" s="103"/>
      <c r="H620" s="103"/>
    </row>
    <row r="621">
      <c r="A621" s="103"/>
      <c r="B621" s="103"/>
      <c r="C621" s="103"/>
      <c r="D621" s="103"/>
      <c r="E621" s="103"/>
      <c r="F621" s="103"/>
      <c r="G621" s="103"/>
      <c r="H621" s="103"/>
    </row>
    <row r="622">
      <c r="A622" s="103"/>
      <c r="B622" s="103"/>
      <c r="C622" s="103"/>
      <c r="D622" s="103"/>
      <c r="E622" s="103"/>
      <c r="F622" s="103"/>
      <c r="G622" s="103"/>
      <c r="H622" s="103"/>
    </row>
    <row r="623">
      <c r="A623" s="103"/>
      <c r="B623" s="103"/>
      <c r="C623" s="103"/>
      <c r="D623" s="103"/>
      <c r="E623" s="103"/>
      <c r="F623" s="103"/>
      <c r="G623" s="103"/>
      <c r="H623" s="103"/>
    </row>
    <row r="624">
      <c r="A624" s="103"/>
      <c r="B624" s="103"/>
      <c r="C624" s="103"/>
      <c r="D624" s="103"/>
      <c r="E624" s="103"/>
      <c r="F624" s="103"/>
      <c r="G624" s="103"/>
      <c r="H624" s="103"/>
    </row>
    <row r="625">
      <c r="A625" s="103"/>
      <c r="B625" s="103"/>
      <c r="C625" s="103"/>
      <c r="D625" s="103"/>
      <c r="E625" s="103"/>
      <c r="F625" s="103"/>
      <c r="G625" s="103"/>
      <c r="H625" s="103"/>
    </row>
    <row r="626">
      <c r="A626" s="103"/>
      <c r="B626" s="103"/>
      <c r="C626" s="103"/>
      <c r="D626" s="103"/>
      <c r="E626" s="103"/>
      <c r="F626" s="103"/>
      <c r="G626" s="103"/>
      <c r="H626" s="103"/>
    </row>
    <row r="627">
      <c r="A627" s="103"/>
      <c r="B627" s="103"/>
      <c r="C627" s="103"/>
      <c r="D627" s="103"/>
      <c r="E627" s="103"/>
      <c r="F627" s="103"/>
      <c r="G627" s="103"/>
      <c r="H627" s="103"/>
    </row>
    <row r="628">
      <c r="A628" s="103"/>
      <c r="B628" s="103"/>
      <c r="C628" s="103"/>
      <c r="D628" s="103"/>
      <c r="E628" s="103"/>
      <c r="F628" s="103"/>
      <c r="G628" s="103"/>
      <c r="H628" s="103"/>
    </row>
    <row r="629">
      <c r="A629" s="103"/>
      <c r="B629" s="103"/>
      <c r="C629" s="103"/>
      <c r="D629" s="103"/>
      <c r="E629" s="103"/>
      <c r="F629" s="103"/>
      <c r="G629" s="103"/>
      <c r="H629" s="103"/>
    </row>
    <row r="630">
      <c r="A630" s="103"/>
      <c r="B630" s="103"/>
      <c r="C630" s="103"/>
      <c r="D630" s="103"/>
      <c r="E630" s="103"/>
      <c r="F630" s="103"/>
      <c r="G630" s="103"/>
      <c r="H630" s="103"/>
    </row>
    <row r="631">
      <c r="A631" s="103"/>
      <c r="B631" s="103"/>
      <c r="C631" s="103"/>
      <c r="D631" s="103"/>
      <c r="E631" s="103"/>
      <c r="F631" s="103"/>
      <c r="G631" s="103"/>
      <c r="H631" s="103"/>
    </row>
    <row r="632">
      <c r="A632" s="103"/>
      <c r="B632" s="103"/>
      <c r="C632" s="103"/>
      <c r="D632" s="103"/>
      <c r="E632" s="103"/>
      <c r="F632" s="103"/>
      <c r="G632" s="103"/>
      <c r="H632" s="103"/>
    </row>
    <row r="633">
      <c r="A633" s="103"/>
      <c r="B633" s="103"/>
      <c r="C633" s="103"/>
      <c r="D633" s="103"/>
      <c r="E633" s="103"/>
      <c r="F633" s="103"/>
      <c r="G633" s="103"/>
      <c r="H633" s="103"/>
    </row>
    <row r="634">
      <c r="A634" s="103"/>
      <c r="B634" s="103"/>
      <c r="C634" s="103"/>
      <c r="D634" s="103"/>
      <c r="E634" s="103"/>
      <c r="F634" s="103"/>
      <c r="G634" s="103"/>
      <c r="H634" s="103"/>
    </row>
    <row r="635">
      <c r="A635" s="103"/>
      <c r="B635" s="103"/>
      <c r="C635" s="103"/>
      <c r="D635" s="103"/>
      <c r="E635" s="103"/>
      <c r="F635" s="103"/>
      <c r="G635" s="103"/>
      <c r="H635" s="103"/>
    </row>
    <row r="636">
      <c r="A636" s="103"/>
      <c r="B636" s="103"/>
      <c r="C636" s="103"/>
      <c r="D636" s="103"/>
      <c r="E636" s="103"/>
      <c r="F636" s="103"/>
      <c r="G636" s="103"/>
      <c r="H636" s="103"/>
    </row>
    <row r="637">
      <c r="A637" s="103"/>
      <c r="B637" s="103"/>
      <c r="C637" s="103"/>
      <c r="D637" s="103"/>
      <c r="E637" s="103"/>
      <c r="F637" s="103"/>
      <c r="G637" s="103"/>
      <c r="H637" s="103"/>
    </row>
    <row r="638">
      <c r="A638" s="103"/>
      <c r="B638" s="103"/>
      <c r="C638" s="103"/>
      <c r="D638" s="103"/>
      <c r="E638" s="103"/>
      <c r="F638" s="103"/>
      <c r="G638" s="103"/>
      <c r="H638" s="103"/>
    </row>
    <row r="639">
      <c r="A639" s="103"/>
      <c r="B639" s="103"/>
      <c r="C639" s="103"/>
      <c r="D639" s="103"/>
      <c r="E639" s="103"/>
      <c r="F639" s="103"/>
      <c r="G639" s="103"/>
      <c r="H639" s="103"/>
    </row>
    <row r="640">
      <c r="A640" s="103"/>
      <c r="B640" s="103"/>
      <c r="C640" s="103"/>
      <c r="D640" s="103"/>
      <c r="E640" s="103"/>
      <c r="F640" s="103"/>
      <c r="G640" s="103"/>
      <c r="H640" s="103"/>
    </row>
    <row r="641">
      <c r="A641" s="103"/>
      <c r="B641" s="103"/>
      <c r="C641" s="103"/>
      <c r="D641" s="103"/>
      <c r="E641" s="103"/>
      <c r="F641" s="103"/>
      <c r="G641" s="103"/>
      <c r="H641" s="103"/>
    </row>
    <row r="642">
      <c r="A642" s="103"/>
      <c r="B642" s="103"/>
      <c r="C642" s="103"/>
      <c r="D642" s="103"/>
      <c r="E642" s="103"/>
      <c r="F642" s="103"/>
      <c r="G642" s="103"/>
      <c r="H642" s="103"/>
    </row>
    <row r="643">
      <c r="A643" s="103"/>
      <c r="B643" s="103"/>
      <c r="C643" s="103"/>
      <c r="D643" s="103"/>
      <c r="E643" s="103"/>
      <c r="F643" s="103"/>
      <c r="G643" s="103"/>
      <c r="H643" s="103"/>
    </row>
    <row r="644">
      <c r="A644" s="103"/>
      <c r="B644" s="103"/>
      <c r="C644" s="103"/>
      <c r="D644" s="103"/>
      <c r="E644" s="103"/>
      <c r="F644" s="103"/>
      <c r="G644" s="103"/>
      <c r="H644" s="103"/>
    </row>
    <row r="645">
      <c r="A645" s="103"/>
      <c r="B645" s="103"/>
      <c r="C645" s="103"/>
      <c r="D645" s="103"/>
      <c r="E645" s="103"/>
      <c r="F645" s="103"/>
      <c r="G645" s="103"/>
      <c r="H645" s="103"/>
    </row>
    <row r="646">
      <c r="A646" s="103"/>
      <c r="B646" s="103"/>
      <c r="C646" s="103"/>
      <c r="D646" s="103"/>
      <c r="E646" s="103"/>
      <c r="F646" s="103"/>
      <c r="G646" s="103"/>
      <c r="H646" s="103"/>
    </row>
    <row r="647">
      <c r="A647" s="103"/>
      <c r="B647" s="103"/>
      <c r="C647" s="103"/>
      <c r="D647" s="103"/>
      <c r="E647" s="103"/>
      <c r="F647" s="103"/>
      <c r="G647" s="103"/>
      <c r="H647" s="103"/>
    </row>
    <row r="648">
      <c r="A648" s="103"/>
      <c r="B648" s="103"/>
      <c r="C648" s="103"/>
      <c r="D648" s="103"/>
      <c r="E648" s="103"/>
      <c r="F648" s="103"/>
      <c r="G648" s="103"/>
      <c r="H648" s="103"/>
    </row>
    <row r="649">
      <c r="A649" s="103"/>
      <c r="B649" s="103"/>
      <c r="C649" s="103"/>
      <c r="D649" s="103"/>
      <c r="E649" s="103"/>
      <c r="F649" s="103"/>
      <c r="G649" s="103"/>
      <c r="H649" s="103"/>
    </row>
    <row r="650">
      <c r="A650" s="103"/>
      <c r="B650" s="103"/>
      <c r="C650" s="103"/>
      <c r="D650" s="103"/>
      <c r="E650" s="103"/>
      <c r="F650" s="103"/>
      <c r="G650" s="103"/>
      <c r="H650" s="103"/>
    </row>
    <row r="651">
      <c r="A651" s="103"/>
      <c r="B651" s="103"/>
      <c r="C651" s="103"/>
      <c r="D651" s="103"/>
      <c r="E651" s="103"/>
      <c r="F651" s="103"/>
      <c r="G651" s="103"/>
      <c r="H651" s="103"/>
    </row>
    <row r="652">
      <c r="A652" s="103"/>
      <c r="B652" s="103"/>
      <c r="C652" s="103"/>
      <c r="D652" s="103"/>
      <c r="E652" s="103"/>
      <c r="F652" s="103"/>
      <c r="G652" s="103"/>
      <c r="H652" s="103"/>
    </row>
    <row r="653">
      <c r="A653" s="103"/>
      <c r="B653" s="103"/>
      <c r="C653" s="103"/>
      <c r="D653" s="103"/>
      <c r="E653" s="103"/>
      <c r="F653" s="103"/>
      <c r="G653" s="103"/>
      <c r="H653" s="103"/>
    </row>
    <row r="654">
      <c r="A654" s="103"/>
      <c r="B654" s="103"/>
      <c r="C654" s="103"/>
      <c r="D654" s="103"/>
      <c r="E654" s="103"/>
      <c r="F654" s="103"/>
      <c r="G654" s="103"/>
      <c r="H654" s="103"/>
    </row>
    <row r="655">
      <c r="A655" s="103"/>
      <c r="B655" s="103"/>
      <c r="C655" s="103"/>
      <c r="D655" s="103"/>
      <c r="E655" s="103"/>
      <c r="F655" s="103"/>
      <c r="G655" s="103"/>
      <c r="H655" s="103"/>
    </row>
    <row r="656">
      <c r="A656" s="103"/>
      <c r="B656" s="103"/>
      <c r="C656" s="103"/>
      <c r="D656" s="103"/>
      <c r="E656" s="103"/>
      <c r="F656" s="103"/>
      <c r="G656" s="103"/>
      <c r="H656" s="103"/>
    </row>
    <row r="657">
      <c r="A657" s="103"/>
      <c r="B657" s="103"/>
      <c r="C657" s="103"/>
      <c r="D657" s="103"/>
      <c r="E657" s="103"/>
      <c r="F657" s="103"/>
      <c r="G657" s="103"/>
      <c r="H657" s="103"/>
    </row>
    <row r="658">
      <c r="A658" s="103"/>
      <c r="B658" s="103"/>
      <c r="C658" s="103"/>
      <c r="D658" s="103"/>
      <c r="E658" s="103"/>
      <c r="F658" s="103"/>
      <c r="G658" s="103"/>
      <c r="H658" s="103"/>
    </row>
    <row r="659">
      <c r="A659" s="103"/>
      <c r="B659" s="103"/>
      <c r="C659" s="103"/>
      <c r="D659" s="103"/>
      <c r="E659" s="103"/>
      <c r="F659" s="103"/>
      <c r="G659" s="103"/>
      <c r="H659" s="103"/>
    </row>
    <row r="660">
      <c r="A660" s="103"/>
      <c r="B660" s="103"/>
      <c r="C660" s="103"/>
      <c r="D660" s="103"/>
      <c r="E660" s="103"/>
      <c r="F660" s="103"/>
      <c r="G660" s="103"/>
      <c r="H660" s="103"/>
    </row>
    <row r="661">
      <c r="A661" s="103"/>
      <c r="B661" s="103"/>
      <c r="C661" s="103"/>
      <c r="D661" s="103"/>
      <c r="E661" s="103"/>
      <c r="F661" s="103"/>
      <c r="G661" s="103"/>
      <c r="H661" s="103"/>
    </row>
    <row r="662">
      <c r="A662" s="103"/>
      <c r="B662" s="103"/>
      <c r="C662" s="103"/>
      <c r="D662" s="103"/>
      <c r="E662" s="103"/>
      <c r="F662" s="103"/>
      <c r="G662" s="103"/>
      <c r="H662" s="103"/>
    </row>
    <row r="663">
      <c r="A663" s="103"/>
      <c r="B663" s="103"/>
      <c r="C663" s="103"/>
      <c r="D663" s="103"/>
      <c r="E663" s="103"/>
      <c r="F663" s="103"/>
      <c r="G663" s="103"/>
      <c r="H663" s="103"/>
    </row>
    <row r="664">
      <c r="A664" s="103"/>
      <c r="B664" s="103"/>
      <c r="C664" s="103"/>
      <c r="D664" s="103"/>
      <c r="E664" s="103"/>
      <c r="F664" s="103"/>
      <c r="G664" s="103"/>
      <c r="H664" s="103"/>
    </row>
    <row r="665">
      <c r="A665" s="103"/>
      <c r="B665" s="103"/>
      <c r="C665" s="103"/>
      <c r="D665" s="103"/>
      <c r="E665" s="103"/>
      <c r="F665" s="103"/>
      <c r="G665" s="103"/>
      <c r="H665" s="103"/>
    </row>
    <row r="666">
      <c r="A666" s="103"/>
      <c r="B666" s="103"/>
      <c r="C666" s="103"/>
      <c r="D666" s="103"/>
      <c r="E666" s="103"/>
      <c r="F666" s="103"/>
      <c r="G666" s="103"/>
      <c r="H666" s="103"/>
    </row>
    <row r="667">
      <c r="A667" s="103"/>
      <c r="B667" s="103"/>
      <c r="C667" s="103"/>
      <c r="D667" s="103"/>
      <c r="E667" s="103"/>
      <c r="F667" s="103"/>
      <c r="G667" s="103"/>
      <c r="H667" s="103"/>
    </row>
    <row r="668">
      <c r="A668" s="103"/>
      <c r="B668" s="103"/>
      <c r="C668" s="103"/>
      <c r="D668" s="103"/>
      <c r="E668" s="103"/>
      <c r="F668" s="103"/>
      <c r="G668" s="103"/>
      <c r="H668" s="103"/>
    </row>
    <row r="669">
      <c r="A669" s="103"/>
      <c r="B669" s="103"/>
      <c r="C669" s="103"/>
      <c r="D669" s="103"/>
      <c r="E669" s="103"/>
      <c r="F669" s="103"/>
      <c r="G669" s="103"/>
      <c r="H669" s="103"/>
    </row>
    <row r="670">
      <c r="A670" s="103"/>
      <c r="B670" s="103"/>
      <c r="C670" s="103"/>
      <c r="D670" s="103"/>
      <c r="E670" s="103"/>
      <c r="F670" s="103"/>
      <c r="G670" s="103"/>
      <c r="H670" s="103"/>
    </row>
    <row r="671">
      <c r="A671" s="103"/>
      <c r="B671" s="103"/>
      <c r="C671" s="103"/>
      <c r="D671" s="103"/>
      <c r="E671" s="103"/>
      <c r="F671" s="103"/>
      <c r="G671" s="103"/>
      <c r="H671" s="103"/>
    </row>
    <row r="672">
      <c r="A672" s="103"/>
      <c r="B672" s="103"/>
      <c r="C672" s="103"/>
      <c r="D672" s="103"/>
      <c r="E672" s="103"/>
      <c r="F672" s="103"/>
      <c r="G672" s="103"/>
      <c r="H672" s="103"/>
    </row>
    <row r="673">
      <c r="A673" s="103"/>
      <c r="B673" s="103"/>
      <c r="C673" s="103"/>
      <c r="D673" s="103"/>
      <c r="E673" s="103"/>
      <c r="F673" s="103"/>
      <c r="G673" s="103"/>
      <c r="H673" s="103"/>
    </row>
    <row r="674">
      <c r="A674" s="103"/>
      <c r="B674" s="103"/>
      <c r="C674" s="103"/>
      <c r="D674" s="103"/>
      <c r="E674" s="103"/>
      <c r="F674" s="103"/>
      <c r="G674" s="103"/>
      <c r="H674" s="103"/>
    </row>
    <row r="675">
      <c r="A675" s="103"/>
      <c r="B675" s="103"/>
      <c r="C675" s="103"/>
      <c r="D675" s="103"/>
      <c r="E675" s="103"/>
      <c r="F675" s="103"/>
      <c r="G675" s="103"/>
      <c r="H675" s="103"/>
    </row>
    <row r="676">
      <c r="A676" s="103"/>
      <c r="B676" s="103"/>
      <c r="C676" s="103"/>
      <c r="D676" s="103"/>
      <c r="E676" s="103"/>
      <c r="F676" s="103"/>
      <c r="G676" s="103"/>
      <c r="H676" s="103"/>
    </row>
    <row r="677">
      <c r="A677" s="103"/>
      <c r="B677" s="103"/>
      <c r="C677" s="103"/>
      <c r="D677" s="103"/>
      <c r="E677" s="103"/>
      <c r="F677" s="103"/>
      <c r="G677" s="103"/>
      <c r="H677" s="103"/>
    </row>
    <row r="678">
      <c r="A678" s="103"/>
      <c r="B678" s="103"/>
      <c r="C678" s="103"/>
      <c r="D678" s="103"/>
      <c r="E678" s="103"/>
      <c r="F678" s="103"/>
      <c r="G678" s="103"/>
      <c r="H678" s="103"/>
    </row>
    <row r="679">
      <c r="A679" s="103"/>
      <c r="B679" s="103"/>
      <c r="C679" s="103"/>
      <c r="D679" s="103"/>
      <c r="E679" s="103"/>
      <c r="F679" s="103"/>
      <c r="G679" s="103"/>
      <c r="H679" s="103"/>
    </row>
    <row r="680">
      <c r="A680" s="103"/>
      <c r="B680" s="103"/>
      <c r="C680" s="103"/>
      <c r="D680" s="103"/>
      <c r="E680" s="103"/>
      <c r="F680" s="103"/>
      <c r="G680" s="103"/>
      <c r="H680" s="103"/>
    </row>
    <row r="681">
      <c r="A681" s="103"/>
      <c r="B681" s="103"/>
      <c r="C681" s="103"/>
      <c r="D681" s="103"/>
      <c r="E681" s="103"/>
      <c r="F681" s="103"/>
      <c r="G681" s="103"/>
      <c r="H681" s="103"/>
    </row>
    <row r="682">
      <c r="A682" s="103"/>
      <c r="B682" s="103"/>
      <c r="C682" s="103"/>
      <c r="D682" s="103"/>
      <c r="E682" s="103"/>
      <c r="F682" s="103"/>
      <c r="G682" s="103"/>
      <c r="H682" s="103"/>
    </row>
    <row r="683">
      <c r="A683" s="103"/>
      <c r="B683" s="103"/>
      <c r="C683" s="103"/>
      <c r="D683" s="103"/>
      <c r="E683" s="103"/>
      <c r="F683" s="103"/>
      <c r="G683" s="103"/>
      <c r="H683" s="103"/>
    </row>
    <row r="684">
      <c r="A684" s="103"/>
      <c r="B684" s="103"/>
      <c r="C684" s="103"/>
      <c r="D684" s="103"/>
      <c r="E684" s="103"/>
      <c r="F684" s="103"/>
      <c r="G684" s="103"/>
      <c r="H684" s="103"/>
    </row>
    <row r="685">
      <c r="A685" s="103"/>
      <c r="B685" s="103"/>
      <c r="C685" s="103"/>
      <c r="D685" s="103"/>
      <c r="E685" s="103"/>
      <c r="F685" s="103"/>
      <c r="G685" s="103"/>
      <c r="H685" s="103"/>
    </row>
    <row r="686">
      <c r="A686" s="103"/>
      <c r="B686" s="103"/>
      <c r="C686" s="103"/>
      <c r="D686" s="103"/>
      <c r="E686" s="103"/>
      <c r="F686" s="103"/>
      <c r="G686" s="103"/>
      <c r="H686" s="103"/>
    </row>
    <row r="687">
      <c r="A687" s="103"/>
      <c r="B687" s="103"/>
      <c r="C687" s="103"/>
      <c r="D687" s="103"/>
      <c r="E687" s="103"/>
      <c r="F687" s="103"/>
      <c r="G687" s="103"/>
      <c r="H687" s="103"/>
    </row>
    <row r="688">
      <c r="A688" s="103"/>
      <c r="B688" s="103"/>
      <c r="C688" s="103"/>
      <c r="D688" s="103"/>
      <c r="E688" s="103"/>
      <c r="F688" s="103"/>
      <c r="G688" s="103"/>
      <c r="H688" s="103"/>
    </row>
    <row r="689">
      <c r="A689" s="103"/>
      <c r="B689" s="103"/>
      <c r="C689" s="103"/>
      <c r="D689" s="103"/>
      <c r="E689" s="103"/>
      <c r="F689" s="103"/>
      <c r="G689" s="103"/>
      <c r="H689" s="103"/>
    </row>
    <row r="690">
      <c r="A690" s="103"/>
      <c r="B690" s="103"/>
      <c r="C690" s="103"/>
      <c r="D690" s="103"/>
      <c r="E690" s="103"/>
      <c r="F690" s="103"/>
      <c r="G690" s="103"/>
      <c r="H690" s="103"/>
    </row>
    <row r="691">
      <c r="A691" s="103"/>
      <c r="B691" s="103"/>
      <c r="C691" s="103"/>
      <c r="D691" s="103"/>
      <c r="E691" s="103"/>
      <c r="F691" s="103"/>
      <c r="G691" s="103"/>
      <c r="H691" s="103"/>
    </row>
    <row r="692">
      <c r="A692" s="103"/>
      <c r="B692" s="103"/>
      <c r="C692" s="103"/>
      <c r="D692" s="103"/>
      <c r="E692" s="103"/>
      <c r="F692" s="103"/>
      <c r="G692" s="103"/>
      <c r="H692" s="103"/>
    </row>
    <row r="693">
      <c r="A693" s="103"/>
      <c r="B693" s="103"/>
      <c r="C693" s="103"/>
      <c r="D693" s="103"/>
      <c r="E693" s="103"/>
      <c r="F693" s="103"/>
      <c r="G693" s="103"/>
      <c r="H693" s="103"/>
    </row>
    <row r="694">
      <c r="A694" s="103"/>
      <c r="B694" s="103"/>
      <c r="C694" s="103"/>
      <c r="D694" s="103"/>
      <c r="E694" s="103"/>
      <c r="F694" s="103"/>
      <c r="G694" s="103"/>
      <c r="H694" s="103"/>
    </row>
    <row r="695">
      <c r="A695" s="103"/>
      <c r="B695" s="103"/>
      <c r="C695" s="103"/>
      <c r="D695" s="103"/>
      <c r="E695" s="103"/>
      <c r="F695" s="103"/>
      <c r="G695" s="103"/>
      <c r="H695" s="103"/>
    </row>
    <row r="696">
      <c r="A696" s="103"/>
      <c r="B696" s="103"/>
      <c r="C696" s="103"/>
      <c r="D696" s="103"/>
      <c r="E696" s="103"/>
      <c r="F696" s="103"/>
      <c r="G696" s="103"/>
      <c r="H696" s="103"/>
    </row>
    <row r="697">
      <c r="A697" s="103"/>
      <c r="B697" s="103"/>
      <c r="C697" s="103"/>
      <c r="D697" s="103"/>
      <c r="E697" s="103"/>
      <c r="F697" s="103"/>
      <c r="G697" s="103"/>
      <c r="H697" s="103"/>
    </row>
    <row r="698">
      <c r="A698" s="103"/>
      <c r="B698" s="103"/>
      <c r="C698" s="103"/>
      <c r="D698" s="103"/>
      <c r="E698" s="103"/>
      <c r="F698" s="103"/>
      <c r="G698" s="103"/>
      <c r="H698" s="103"/>
    </row>
    <row r="699">
      <c r="A699" s="103"/>
      <c r="B699" s="103"/>
      <c r="C699" s="103"/>
      <c r="D699" s="103"/>
      <c r="E699" s="103"/>
      <c r="F699" s="103"/>
      <c r="G699" s="103"/>
      <c r="H699" s="103"/>
    </row>
    <row r="700">
      <c r="A700" s="103"/>
      <c r="B700" s="103"/>
      <c r="C700" s="103"/>
      <c r="D700" s="103"/>
      <c r="E700" s="103"/>
      <c r="F700" s="103"/>
      <c r="G700" s="103"/>
      <c r="H700" s="103"/>
    </row>
    <row r="701">
      <c r="A701" s="103"/>
      <c r="B701" s="103"/>
      <c r="C701" s="103"/>
      <c r="D701" s="103"/>
      <c r="E701" s="103"/>
      <c r="F701" s="103"/>
      <c r="G701" s="103"/>
      <c r="H701" s="103"/>
    </row>
    <row r="702">
      <c r="A702" s="103"/>
      <c r="B702" s="103"/>
      <c r="C702" s="103"/>
      <c r="D702" s="103"/>
      <c r="E702" s="103"/>
      <c r="F702" s="103"/>
      <c r="G702" s="103"/>
      <c r="H702" s="103"/>
    </row>
    <row r="703">
      <c r="A703" s="103"/>
      <c r="B703" s="103"/>
      <c r="C703" s="103"/>
      <c r="D703" s="103"/>
      <c r="E703" s="103"/>
      <c r="F703" s="103"/>
      <c r="G703" s="103"/>
      <c r="H703" s="103"/>
    </row>
    <row r="704">
      <c r="A704" s="103"/>
      <c r="B704" s="103"/>
      <c r="C704" s="103"/>
      <c r="D704" s="103"/>
      <c r="E704" s="103"/>
      <c r="F704" s="103"/>
      <c r="G704" s="103"/>
      <c r="H704" s="103"/>
    </row>
    <row r="705">
      <c r="A705" s="103"/>
      <c r="B705" s="103"/>
      <c r="C705" s="103"/>
      <c r="D705" s="103"/>
      <c r="E705" s="103"/>
      <c r="F705" s="103"/>
      <c r="G705" s="103"/>
      <c r="H705" s="103"/>
    </row>
    <row r="706">
      <c r="A706" s="103"/>
      <c r="B706" s="103"/>
      <c r="C706" s="103"/>
      <c r="D706" s="103"/>
      <c r="E706" s="103"/>
      <c r="F706" s="103"/>
      <c r="G706" s="103"/>
      <c r="H706" s="103"/>
    </row>
    <row r="707">
      <c r="A707" s="103"/>
      <c r="B707" s="103"/>
      <c r="C707" s="103"/>
      <c r="D707" s="103"/>
      <c r="E707" s="103"/>
      <c r="F707" s="103"/>
      <c r="G707" s="103"/>
      <c r="H707" s="103"/>
    </row>
    <row r="708">
      <c r="A708" s="103"/>
      <c r="B708" s="103"/>
      <c r="C708" s="103"/>
      <c r="D708" s="103"/>
      <c r="E708" s="103"/>
      <c r="F708" s="103"/>
      <c r="G708" s="103"/>
      <c r="H708" s="103"/>
    </row>
    <row r="709">
      <c r="A709" s="103"/>
      <c r="B709" s="103"/>
      <c r="C709" s="103"/>
      <c r="D709" s="103"/>
      <c r="E709" s="103"/>
      <c r="F709" s="103"/>
      <c r="G709" s="103"/>
      <c r="H709" s="103"/>
    </row>
    <row r="710">
      <c r="A710" s="103"/>
      <c r="B710" s="103"/>
      <c r="C710" s="103"/>
      <c r="D710" s="103"/>
      <c r="E710" s="103"/>
      <c r="F710" s="103"/>
      <c r="G710" s="103"/>
      <c r="H710" s="103"/>
    </row>
    <row r="711">
      <c r="A711" s="103"/>
      <c r="B711" s="103"/>
      <c r="C711" s="103"/>
      <c r="D711" s="103"/>
      <c r="E711" s="103"/>
      <c r="F711" s="103"/>
      <c r="G711" s="103"/>
      <c r="H711" s="103"/>
    </row>
    <row r="712">
      <c r="A712" s="103"/>
      <c r="B712" s="103"/>
      <c r="C712" s="103"/>
      <c r="D712" s="103"/>
      <c r="E712" s="103"/>
      <c r="F712" s="103"/>
      <c r="G712" s="103"/>
      <c r="H712" s="103"/>
    </row>
    <row r="713">
      <c r="A713" s="103"/>
      <c r="B713" s="103"/>
      <c r="C713" s="103"/>
      <c r="D713" s="103"/>
      <c r="E713" s="103"/>
      <c r="F713" s="103"/>
      <c r="G713" s="103"/>
      <c r="H713" s="103"/>
    </row>
    <row r="714">
      <c r="A714" s="103"/>
      <c r="B714" s="103"/>
      <c r="C714" s="103"/>
      <c r="D714" s="103"/>
      <c r="E714" s="103"/>
      <c r="F714" s="103"/>
      <c r="G714" s="103"/>
      <c r="H714" s="103"/>
    </row>
    <row r="715">
      <c r="A715" s="103"/>
      <c r="B715" s="103"/>
      <c r="C715" s="103"/>
      <c r="D715" s="103"/>
      <c r="E715" s="103"/>
      <c r="F715" s="103"/>
      <c r="G715" s="103"/>
      <c r="H715" s="103"/>
    </row>
    <row r="716">
      <c r="A716" s="103"/>
      <c r="B716" s="103"/>
      <c r="C716" s="103"/>
      <c r="D716" s="103"/>
      <c r="E716" s="103"/>
      <c r="F716" s="103"/>
      <c r="G716" s="103"/>
      <c r="H716" s="103"/>
    </row>
    <row r="717">
      <c r="A717" s="103"/>
      <c r="B717" s="103"/>
      <c r="C717" s="103"/>
      <c r="D717" s="103"/>
      <c r="E717" s="103"/>
      <c r="F717" s="103"/>
      <c r="G717" s="103"/>
      <c r="H717" s="103"/>
    </row>
    <row r="718">
      <c r="A718" s="103"/>
      <c r="B718" s="103"/>
      <c r="C718" s="103"/>
      <c r="D718" s="103"/>
      <c r="E718" s="103"/>
      <c r="F718" s="103"/>
      <c r="G718" s="103"/>
      <c r="H718" s="103"/>
    </row>
    <row r="719">
      <c r="A719" s="103"/>
      <c r="B719" s="103"/>
      <c r="C719" s="103"/>
      <c r="D719" s="103"/>
      <c r="E719" s="103"/>
      <c r="F719" s="103"/>
      <c r="G719" s="103"/>
      <c r="H719" s="103"/>
    </row>
    <row r="720">
      <c r="A720" s="103"/>
      <c r="B720" s="103"/>
      <c r="C720" s="103"/>
      <c r="D720" s="103"/>
      <c r="E720" s="103"/>
      <c r="F720" s="103"/>
      <c r="G720" s="103"/>
      <c r="H720" s="103"/>
    </row>
    <row r="721">
      <c r="A721" s="103"/>
      <c r="B721" s="103"/>
      <c r="C721" s="103"/>
      <c r="D721" s="103"/>
      <c r="E721" s="103"/>
      <c r="F721" s="103"/>
      <c r="G721" s="103"/>
      <c r="H721" s="103"/>
    </row>
    <row r="722">
      <c r="A722" s="103"/>
      <c r="B722" s="103"/>
      <c r="C722" s="103"/>
      <c r="D722" s="103"/>
      <c r="E722" s="103"/>
      <c r="F722" s="103"/>
      <c r="G722" s="103"/>
      <c r="H722" s="103"/>
    </row>
    <row r="723">
      <c r="A723" s="103"/>
      <c r="B723" s="103"/>
      <c r="C723" s="103"/>
      <c r="D723" s="103"/>
      <c r="E723" s="103"/>
      <c r="F723" s="103"/>
      <c r="G723" s="103"/>
      <c r="H723" s="103"/>
    </row>
    <row r="724">
      <c r="A724" s="103"/>
      <c r="B724" s="103"/>
      <c r="C724" s="103"/>
      <c r="D724" s="103"/>
      <c r="E724" s="103"/>
      <c r="F724" s="103"/>
      <c r="G724" s="103"/>
      <c r="H724" s="103"/>
    </row>
    <row r="725">
      <c r="A725" s="103"/>
      <c r="B725" s="103"/>
      <c r="C725" s="103"/>
      <c r="D725" s="103"/>
      <c r="E725" s="103"/>
      <c r="F725" s="103"/>
      <c r="G725" s="103"/>
      <c r="H725" s="103"/>
    </row>
    <row r="726">
      <c r="A726" s="103"/>
      <c r="B726" s="103"/>
      <c r="C726" s="103"/>
      <c r="D726" s="103"/>
      <c r="E726" s="103"/>
      <c r="F726" s="103"/>
      <c r="G726" s="103"/>
      <c r="H726" s="103"/>
    </row>
    <row r="727">
      <c r="A727" s="103"/>
      <c r="B727" s="103"/>
      <c r="C727" s="103"/>
      <c r="D727" s="103"/>
      <c r="E727" s="103"/>
      <c r="F727" s="103"/>
      <c r="G727" s="103"/>
      <c r="H727" s="103"/>
    </row>
    <row r="728">
      <c r="A728" s="103"/>
      <c r="B728" s="103"/>
      <c r="C728" s="103"/>
      <c r="D728" s="103"/>
      <c r="E728" s="103"/>
      <c r="F728" s="103"/>
      <c r="G728" s="103"/>
      <c r="H728" s="103"/>
    </row>
    <row r="729">
      <c r="A729" s="103"/>
      <c r="B729" s="103"/>
      <c r="C729" s="103"/>
      <c r="D729" s="103"/>
      <c r="E729" s="103"/>
      <c r="F729" s="103"/>
      <c r="G729" s="103"/>
      <c r="H729" s="103"/>
    </row>
    <row r="730">
      <c r="A730" s="103"/>
      <c r="B730" s="103"/>
      <c r="C730" s="103"/>
      <c r="D730" s="103"/>
      <c r="E730" s="103"/>
      <c r="F730" s="103"/>
      <c r="G730" s="103"/>
      <c r="H730" s="103"/>
    </row>
    <row r="731">
      <c r="A731" s="103"/>
      <c r="B731" s="103"/>
      <c r="C731" s="103"/>
      <c r="D731" s="103"/>
      <c r="E731" s="103"/>
      <c r="F731" s="103"/>
      <c r="G731" s="103"/>
      <c r="H731" s="103"/>
    </row>
    <row r="732">
      <c r="A732" s="103"/>
      <c r="B732" s="103"/>
      <c r="C732" s="103"/>
      <c r="D732" s="103"/>
      <c r="E732" s="103"/>
      <c r="F732" s="103"/>
      <c r="G732" s="103"/>
      <c r="H732" s="103"/>
    </row>
    <row r="733">
      <c r="A733" s="103"/>
      <c r="B733" s="103"/>
      <c r="C733" s="103"/>
      <c r="D733" s="103"/>
      <c r="E733" s="103"/>
      <c r="F733" s="103"/>
      <c r="G733" s="103"/>
      <c r="H733" s="103"/>
    </row>
    <row r="734">
      <c r="A734" s="103"/>
      <c r="B734" s="103"/>
      <c r="C734" s="103"/>
      <c r="D734" s="103"/>
      <c r="E734" s="103"/>
      <c r="F734" s="103"/>
      <c r="G734" s="103"/>
      <c r="H734" s="103"/>
    </row>
    <row r="735">
      <c r="A735" s="103"/>
      <c r="B735" s="103"/>
      <c r="C735" s="103"/>
      <c r="D735" s="103"/>
      <c r="E735" s="103"/>
      <c r="F735" s="103"/>
      <c r="G735" s="103"/>
      <c r="H735" s="103"/>
    </row>
    <row r="736">
      <c r="A736" s="103"/>
      <c r="B736" s="103"/>
      <c r="C736" s="103"/>
      <c r="D736" s="103"/>
      <c r="E736" s="103"/>
      <c r="F736" s="103"/>
      <c r="G736" s="103"/>
      <c r="H736" s="103"/>
    </row>
    <row r="737">
      <c r="A737" s="103"/>
      <c r="B737" s="103"/>
      <c r="C737" s="103"/>
      <c r="D737" s="103"/>
      <c r="E737" s="103"/>
      <c r="F737" s="103"/>
      <c r="G737" s="103"/>
      <c r="H737" s="103"/>
    </row>
    <row r="738">
      <c r="A738" s="103"/>
      <c r="B738" s="103"/>
      <c r="C738" s="103"/>
      <c r="D738" s="103"/>
      <c r="E738" s="103"/>
      <c r="F738" s="103"/>
      <c r="G738" s="103"/>
      <c r="H738" s="103"/>
    </row>
    <row r="739">
      <c r="A739" s="103"/>
      <c r="B739" s="103"/>
      <c r="C739" s="103"/>
      <c r="D739" s="103"/>
      <c r="E739" s="103"/>
      <c r="F739" s="103"/>
      <c r="G739" s="103"/>
      <c r="H739" s="103"/>
    </row>
    <row r="740">
      <c r="A740" s="103"/>
      <c r="B740" s="103"/>
      <c r="C740" s="103"/>
      <c r="D740" s="103"/>
      <c r="E740" s="103"/>
      <c r="F740" s="103"/>
      <c r="G740" s="103"/>
      <c r="H740" s="103"/>
    </row>
    <row r="741">
      <c r="A741" s="103"/>
      <c r="B741" s="103"/>
      <c r="C741" s="103"/>
      <c r="D741" s="103"/>
      <c r="E741" s="103"/>
      <c r="F741" s="103"/>
      <c r="G741" s="103"/>
      <c r="H741" s="103"/>
    </row>
    <row r="742">
      <c r="A742" s="103"/>
      <c r="B742" s="103"/>
      <c r="C742" s="103"/>
      <c r="D742" s="103"/>
      <c r="E742" s="103"/>
      <c r="F742" s="103"/>
      <c r="G742" s="103"/>
      <c r="H742" s="103"/>
    </row>
    <row r="743">
      <c r="A743" s="103"/>
      <c r="B743" s="103"/>
      <c r="C743" s="103"/>
      <c r="D743" s="103"/>
      <c r="E743" s="103"/>
      <c r="F743" s="103"/>
      <c r="G743" s="103"/>
      <c r="H743" s="103"/>
    </row>
    <row r="744">
      <c r="A744" s="103"/>
      <c r="B744" s="103"/>
      <c r="C744" s="103"/>
      <c r="D744" s="103"/>
      <c r="E744" s="103"/>
      <c r="F744" s="103"/>
      <c r="G744" s="103"/>
      <c r="H744" s="103"/>
    </row>
    <row r="745">
      <c r="A745" s="103"/>
      <c r="B745" s="103"/>
      <c r="C745" s="103"/>
      <c r="D745" s="103"/>
      <c r="E745" s="103"/>
      <c r="F745" s="103"/>
      <c r="G745" s="103"/>
      <c r="H745" s="103"/>
    </row>
    <row r="746">
      <c r="A746" s="103"/>
      <c r="B746" s="103"/>
      <c r="C746" s="103"/>
      <c r="D746" s="103"/>
      <c r="E746" s="103"/>
      <c r="F746" s="103"/>
      <c r="G746" s="103"/>
      <c r="H746" s="103"/>
    </row>
    <row r="747">
      <c r="A747" s="103"/>
      <c r="B747" s="103"/>
      <c r="C747" s="103"/>
      <c r="D747" s="103"/>
      <c r="E747" s="103"/>
      <c r="F747" s="103"/>
      <c r="G747" s="103"/>
      <c r="H747" s="103"/>
    </row>
    <row r="748">
      <c r="A748" s="103"/>
      <c r="B748" s="103"/>
      <c r="C748" s="103"/>
      <c r="D748" s="103"/>
      <c r="E748" s="103"/>
      <c r="F748" s="103"/>
      <c r="G748" s="103"/>
      <c r="H748" s="103"/>
    </row>
    <row r="749">
      <c r="A749" s="103"/>
      <c r="B749" s="103"/>
      <c r="C749" s="103"/>
      <c r="D749" s="103"/>
      <c r="E749" s="103"/>
      <c r="F749" s="103"/>
      <c r="G749" s="103"/>
      <c r="H749" s="103"/>
    </row>
    <row r="750">
      <c r="A750" s="103"/>
      <c r="B750" s="103"/>
      <c r="C750" s="103"/>
      <c r="D750" s="103"/>
      <c r="E750" s="103"/>
      <c r="F750" s="103"/>
      <c r="G750" s="103"/>
      <c r="H750" s="103"/>
    </row>
    <row r="751">
      <c r="A751" s="103"/>
      <c r="B751" s="103"/>
      <c r="C751" s="103"/>
      <c r="D751" s="103"/>
      <c r="E751" s="103"/>
      <c r="F751" s="103"/>
      <c r="G751" s="103"/>
      <c r="H751" s="103"/>
    </row>
    <row r="752">
      <c r="A752" s="103"/>
      <c r="B752" s="103"/>
      <c r="C752" s="103"/>
      <c r="D752" s="103"/>
      <c r="E752" s="103"/>
      <c r="F752" s="103"/>
      <c r="G752" s="103"/>
      <c r="H752" s="103"/>
    </row>
    <row r="753">
      <c r="A753" s="103"/>
      <c r="B753" s="103"/>
      <c r="C753" s="103"/>
      <c r="D753" s="103"/>
      <c r="E753" s="103"/>
      <c r="F753" s="103"/>
      <c r="G753" s="103"/>
      <c r="H753" s="103"/>
    </row>
    <row r="754">
      <c r="A754" s="103"/>
      <c r="B754" s="103"/>
      <c r="C754" s="103"/>
      <c r="D754" s="103"/>
      <c r="E754" s="103"/>
      <c r="F754" s="103"/>
      <c r="G754" s="103"/>
      <c r="H754" s="103"/>
    </row>
    <row r="755">
      <c r="A755" s="103"/>
      <c r="B755" s="103"/>
      <c r="C755" s="103"/>
      <c r="D755" s="103"/>
      <c r="E755" s="103"/>
      <c r="F755" s="103"/>
      <c r="G755" s="103"/>
      <c r="H755" s="103"/>
    </row>
    <row r="756">
      <c r="A756" s="103"/>
      <c r="B756" s="103"/>
      <c r="C756" s="103"/>
      <c r="D756" s="103"/>
      <c r="E756" s="103"/>
      <c r="F756" s="103"/>
      <c r="G756" s="103"/>
      <c r="H756" s="103"/>
    </row>
    <row r="757">
      <c r="A757" s="103"/>
      <c r="B757" s="103"/>
      <c r="C757" s="103"/>
      <c r="D757" s="103"/>
      <c r="E757" s="103"/>
      <c r="F757" s="103"/>
      <c r="G757" s="103"/>
      <c r="H757" s="103"/>
    </row>
    <row r="758">
      <c r="A758" s="103"/>
      <c r="B758" s="103"/>
      <c r="C758" s="103"/>
      <c r="D758" s="103"/>
      <c r="E758" s="103"/>
      <c r="F758" s="103"/>
      <c r="G758" s="103"/>
      <c r="H758" s="103"/>
    </row>
    <row r="759">
      <c r="A759" s="103"/>
      <c r="B759" s="103"/>
      <c r="C759" s="103"/>
      <c r="D759" s="103"/>
      <c r="E759" s="103"/>
      <c r="F759" s="103"/>
      <c r="G759" s="103"/>
      <c r="H759" s="103"/>
    </row>
    <row r="760">
      <c r="A760" s="103"/>
      <c r="B760" s="103"/>
      <c r="C760" s="103"/>
      <c r="D760" s="103"/>
      <c r="E760" s="103"/>
      <c r="F760" s="103"/>
      <c r="G760" s="103"/>
      <c r="H760" s="103"/>
    </row>
    <row r="761">
      <c r="A761" s="103"/>
      <c r="B761" s="103"/>
      <c r="C761" s="103"/>
      <c r="D761" s="103"/>
      <c r="E761" s="103"/>
      <c r="F761" s="103"/>
      <c r="G761" s="103"/>
      <c r="H761" s="103"/>
    </row>
    <row r="762">
      <c r="A762" s="103"/>
      <c r="B762" s="103"/>
      <c r="C762" s="103"/>
      <c r="D762" s="103"/>
      <c r="E762" s="103"/>
      <c r="F762" s="103"/>
      <c r="G762" s="103"/>
      <c r="H762" s="103"/>
    </row>
    <row r="763">
      <c r="A763" s="103"/>
      <c r="B763" s="103"/>
      <c r="C763" s="103"/>
      <c r="D763" s="103"/>
      <c r="E763" s="103"/>
      <c r="F763" s="103"/>
      <c r="G763" s="103"/>
      <c r="H763" s="103"/>
    </row>
    <row r="764">
      <c r="A764" s="103"/>
      <c r="B764" s="103"/>
      <c r="C764" s="103"/>
      <c r="D764" s="103"/>
      <c r="E764" s="103"/>
      <c r="F764" s="103"/>
      <c r="G764" s="103"/>
      <c r="H764" s="103"/>
    </row>
    <row r="765">
      <c r="A765" s="103"/>
      <c r="B765" s="103"/>
      <c r="C765" s="103"/>
      <c r="D765" s="103"/>
      <c r="E765" s="103"/>
      <c r="F765" s="103"/>
      <c r="G765" s="103"/>
      <c r="H765" s="103"/>
    </row>
    <row r="766">
      <c r="A766" s="103"/>
      <c r="B766" s="103"/>
      <c r="C766" s="103"/>
      <c r="D766" s="103"/>
      <c r="E766" s="103"/>
      <c r="F766" s="103"/>
      <c r="G766" s="103"/>
      <c r="H766" s="103"/>
    </row>
    <row r="767">
      <c r="A767" s="103"/>
      <c r="B767" s="103"/>
      <c r="C767" s="103"/>
      <c r="D767" s="103"/>
      <c r="E767" s="103"/>
      <c r="F767" s="103"/>
      <c r="G767" s="103"/>
      <c r="H767" s="103"/>
    </row>
    <row r="768">
      <c r="A768" s="103"/>
      <c r="B768" s="103"/>
      <c r="C768" s="103"/>
      <c r="D768" s="103"/>
      <c r="E768" s="103"/>
      <c r="F768" s="103"/>
      <c r="G768" s="103"/>
      <c r="H768" s="103"/>
    </row>
    <row r="769">
      <c r="A769" s="103"/>
      <c r="B769" s="103"/>
      <c r="C769" s="103"/>
      <c r="D769" s="103"/>
      <c r="E769" s="103"/>
      <c r="F769" s="103"/>
      <c r="G769" s="103"/>
      <c r="H769" s="103"/>
    </row>
    <row r="770">
      <c r="A770" s="103"/>
      <c r="B770" s="103"/>
      <c r="C770" s="103"/>
      <c r="D770" s="103"/>
      <c r="E770" s="103"/>
      <c r="F770" s="103"/>
      <c r="G770" s="103"/>
      <c r="H770" s="103"/>
    </row>
    <row r="771">
      <c r="A771" s="103"/>
      <c r="B771" s="103"/>
      <c r="C771" s="103"/>
      <c r="D771" s="103"/>
      <c r="E771" s="103"/>
      <c r="F771" s="103"/>
      <c r="G771" s="103"/>
      <c r="H771" s="103"/>
    </row>
    <row r="772">
      <c r="A772" s="103"/>
      <c r="B772" s="103"/>
      <c r="C772" s="103"/>
      <c r="D772" s="103"/>
      <c r="E772" s="103"/>
      <c r="F772" s="103"/>
      <c r="G772" s="103"/>
      <c r="H772" s="103"/>
    </row>
    <row r="773">
      <c r="A773" s="103"/>
      <c r="B773" s="103"/>
      <c r="C773" s="103"/>
      <c r="D773" s="103"/>
      <c r="E773" s="103"/>
      <c r="F773" s="103"/>
      <c r="G773" s="103"/>
      <c r="H773" s="103"/>
    </row>
    <row r="774">
      <c r="A774" s="103"/>
      <c r="B774" s="103"/>
      <c r="C774" s="103"/>
      <c r="D774" s="103"/>
      <c r="E774" s="103"/>
      <c r="F774" s="103"/>
      <c r="G774" s="103"/>
      <c r="H774" s="103"/>
    </row>
    <row r="775">
      <c r="A775" s="103"/>
      <c r="B775" s="103"/>
      <c r="C775" s="103"/>
      <c r="D775" s="103"/>
      <c r="E775" s="103"/>
      <c r="F775" s="103"/>
      <c r="G775" s="103"/>
      <c r="H775" s="103"/>
    </row>
    <row r="776">
      <c r="A776" s="103"/>
      <c r="B776" s="103"/>
      <c r="C776" s="103"/>
      <c r="D776" s="103"/>
      <c r="E776" s="103"/>
      <c r="F776" s="103"/>
      <c r="G776" s="103"/>
      <c r="H776" s="103"/>
    </row>
    <row r="777">
      <c r="A777" s="103"/>
      <c r="B777" s="103"/>
      <c r="C777" s="103"/>
      <c r="D777" s="103"/>
      <c r="E777" s="103"/>
      <c r="F777" s="103"/>
      <c r="G777" s="103"/>
      <c r="H777" s="103"/>
    </row>
    <row r="778">
      <c r="A778" s="103"/>
      <c r="B778" s="103"/>
      <c r="C778" s="103"/>
      <c r="D778" s="103"/>
      <c r="E778" s="103"/>
      <c r="F778" s="103"/>
      <c r="G778" s="103"/>
      <c r="H778" s="103"/>
    </row>
    <row r="779">
      <c r="A779" s="103"/>
      <c r="B779" s="103"/>
      <c r="C779" s="103"/>
      <c r="D779" s="103"/>
      <c r="E779" s="103"/>
      <c r="F779" s="103"/>
      <c r="G779" s="103"/>
      <c r="H779" s="103"/>
    </row>
    <row r="780">
      <c r="A780" s="103"/>
      <c r="B780" s="103"/>
      <c r="C780" s="103"/>
      <c r="D780" s="103"/>
      <c r="E780" s="103"/>
      <c r="F780" s="103"/>
      <c r="G780" s="103"/>
      <c r="H780" s="103"/>
    </row>
    <row r="781">
      <c r="A781" s="103"/>
      <c r="B781" s="103"/>
      <c r="C781" s="103"/>
      <c r="D781" s="103"/>
      <c r="E781" s="103"/>
      <c r="F781" s="103"/>
      <c r="G781" s="103"/>
      <c r="H781" s="103"/>
    </row>
    <row r="782">
      <c r="A782" s="103"/>
      <c r="B782" s="103"/>
      <c r="C782" s="103"/>
      <c r="D782" s="103"/>
      <c r="E782" s="103"/>
      <c r="F782" s="103"/>
      <c r="G782" s="103"/>
      <c r="H782" s="103"/>
    </row>
    <row r="783">
      <c r="A783" s="103"/>
      <c r="B783" s="103"/>
      <c r="C783" s="103"/>
      <c r="D783" s="103"/>
      <c r="E783" s="103"/>
      <c r="F783" s="103"/>
      <c r="G783" s="103"/>
      <c r="H783" s="103"/>
    </row>
    <row r="784">
      <c r="A784" s="103"/>
      <c r="B784" s="103"/>
      <c r="C784" s="103"/>
      <c r="D784" s="103"/>
      <c r="E784" s="103"/>
      <c r="F784" s="103"/>
      <c r="G784" s="103"/>
      <c r="H784" s="103"/>
    </row>
    <row r="785">
      <c r="A785" s="103"/>
      <c r="B785" s="103"/>
      <c r="C785" s="103"/>
      <c r="D785" s="103"/>
      <c r="E785" s="103"/>
      <c r="F785" s="103"/>
      <c r="G785" s="103"/>
      <c r="H785" s="103"/>
    </row>
    <row r="786">
      <c r="A786" s="103"/>
      <c r="B786" s="103"/>
      <c r="C786" s="103"/>
      <c r="D786" s="103"/>
      <c r="E786" s="103"/>
      <c r="F786" s="103"/>
      <c r="G786" s="103"/>
      <c r="H786" s="103"/>
    </row>
    <row r="787">
      <c r="A787" s="103"/>
      <c r="B787" s="103"/>
      <c r="C787" s="103"/>
      <c r="D787" s="103"/>
      <c r="E787" s="103"/>
      <c r="F787" s="103"/>
      <c r="G787" s="103"/>
      <c r="H787" s="103"/>
    </row>
    <row r="788">
      <c r="A788" s="103"/>
      <c r="B788" s="103"/>
      <c r="C788" s="103"/>
      <c r="D788" s="103"/>
      <c r="E788" s="103"/>
      <c r="F788" s="103"/>
      <c r="G788" s="103"/>
      <c r="H788" s="103"/>
    </row>
    <row r="789">
      <c r="A789" s="103"/>
      <c r="B789" s="103"/>
      <c r="C789" s="103"/>
      <c r="D789" s="103"/>
      <c r="E789" s="103"/>
      <c r="F789" s="103"/>
      <c r="G789" s="103"/>
      <c r="H789" s="103"/>
    </row>
    <row r="790">
      <c r="A790" s="103"/>
      <c r="B790" s="103"/>
      <c r="C790" s="103"/>
      <c r="D790" s="103"/>
      <c r="E790" s="103"/>
      <c r="F790" s="103"/>
      <c r="G790" s="103"/>
      <c r="H790" s="103"/>
    </row>
    <row r="791">
      <c r="A791" s="103"/>
      <c r="B791" s="103"/>
      <c r="C791" s="103"/>
      <c r="D791" s="103"/>
      <c r="E791" s="103"/>
      <c r="F791" s="103"/>
      <c r="G791" s="103"/>
      <c r="H791" s="103"/>
    </row>
    <row r="792">
      <c r="A792" s="103"/>
      <c r="B792" s="103"/>
      <c r="C792" s="103"/>
      <c r="D792" s="103"/>
      <c r="E792" s="103"/>
      <c r="F792" s="103"/>
      <c r="G792" s="103"/>
      <c r="H792" s="103"/>
    </row>
    <row r="793">
      <c r="A793" s="103"/>
      <c r="B793" s="103"/>
      <c r="C793" s="103"/>
      <c r="D793" s="103"/>
      <c r="E793" s="103"/>
      <c r="F793" s="103"/>
      <c r="G793" s="103"/>
      <c r="H793" s="103"/>
    </row>
    <row r="794">
      <c r="A794" s="103"/>
      <c r="B794" s="103"/>
      <c r="C794" s="103"/>
      <c r="D794" s="103"/>
      <c r="E794" s="103"/>
      <c r="F794" s="103"/>
      <c r="G794" s="103"/>
      <c r="H794" s="103"/>
    </row>
    <row r="795">
      <c r="A795" s="103"/>
      <c r="B795" s="103"/>
      <c r="C795" s="103"/>
      <c r="D795" s="103"/>
      <c r="E795" s="103"/>
      <c r="F795" s="103"/>
      <c r="G795" s="103"/>
      <c r="H795" s="103"/>
    </row>
    <row r="796">
      <c r="A796" s="103"/>
      <c r="B796" s="103"/>
      <c r="C796" s="103"/>
      <c r="D796" s="103"/>
      <c r="E796" s="103"/>
      <c r="F796" s="103"/>
      <c r="G796" s="103"/>
      <c r="H796" s="103"/>
    </row>
    <row r="797">
      <c r="A797" s="103"/>
      <c r="B797" s="103"/>
      <c r="C797" s="103"/>
      <c r="D797" s="103"/>
      <c r="E797" s="103"/>
      <c r="F797" s="103"/>
      <c r="G797" s="103"/>
      <c r="H797" s="103"/>
    </row>
    <row r="798">
      <c r="A798" s="103"/>
      <c r="B798" s="103"/>
      <c r="C798" s="103"/>
      <c r="D798" s="103"/>
      <c r="E798" s="103"/>
      <c r="F798" s="103"/>
      <c r="G798" s="103"/>
      <c r="H798" s="103"/>
    </row>
    <row r="799">
      <c r="A799" s="103"/>
      <c r="B799" s="103"/>
      <c r="C799" s="103"/>
      <c r="D799" s="103"/>
      <c r="E799" s="103"/>
      <c r="F799" s="103"/>
      <c r="G799" s="103"/>
      <c r="H799" s="103"/>
    </row>
    <row r="800">
      <c r="A800" s="103"/>
      <c r="B800" s="103"/>
      <c r="C800" s="103"/>
      <c r="D800" s="103"/>
      <c r="E800" s="103"/>
      <c r="F800" s="103"/>
      <c r="G800" s="103"/>
      <c r="H800" s="103"/>
    </row>
    <row r="801">
      <c r="A801" s="103"/>
      <c r="B801" s="103"/>
      <c r="C801" s="103"/>
      <c r="D801" s="103"/>
      <c r="E801" s="103"/>
      <c r="F801" s="103"/>
      <c r="G801" s="103"/>
      <c r="H801" s="103"/>
    </row>
    <row r="802">
      <c r="A802" s="103"/>
      <c r="B802" s="103"/>
      <c r="C802" s="103"/>
      <c r="D802" s="103"/>
      <c r="E802" s="103"/>
      <c r="F802" s="103"/>
      <c r="G802" s="103"/>
      <c r="H802" s="103"/>
    </row>
    <row r="803">
      <c r="A803" s="103"/>
      <c r="B803" s="103"/>
      <c r="C803" s="103"/>
      <c r="D803" s="103"/>
      <c r="E803" s="103"/>
      <c r="F803" s="103"/>
      <c r="G803" s="103"/>
      <c r="H803" s="103"/>
    </row>
    <row r="804">
      <c r="A804" s="103"/>
      <c r="B804" s="103"/>
      <c r="C804" s="103"/>
      <c r="D804" s="103"/>
      <c r="E804" s="103"/>
      <c r="F804" s="103"/>
      <c r="G804" s="103"/>
      <c r="H804" s="103"/>
    </row>
    <row r="805">
      <c r="A805" s="103"/>
      <c r="B805" s="103"/>
      <c r="C805" s="103"/>
      <c r="D805" s="103"/>
      <c r="E805" s="103"/>
      <c r="F805" s="103"/>
      <c r="G805" s="103"/>
      <c r="H805" s="103"/>
    </row>
    <row r="806">
      <c r="A806" s="103"/>
      <c r="B806" s="103"/>
      <c r="C806" s="103"/>
      <c r="D806" s="103"/>
      <c r="E806" s="103"/>
      <c r="F806" s="103"/>
      <c r="G806" s="103"/>
      <c r="H806" s="103"/>
    </row>
    <row r="807">
      <c r="A807" s="103"/>
      <c r="B807" s="103"/>
      <c r="C807" s="103"/>
      <c r="D807" s="103"/>
      <c r="E807" s="103"/>
      <c r="F807" s="103"/>
      <c r="G807" s="103"/>
      <c r="H807" s="103"/>
    </row>
    <row r="808">
      <c r="A808" s="103"/>
      <c r="B808" s="103"/>
      <c r="C808" s="103"/>
      <c r="D808" s="103"/>
      <c r="E808" s="103"/>
      <c r="F808" s="103"/>
      <c r="G808" s="103"/>
      <c r="H808" s="103"/>
    </row>
    <row r="809">
      <c r="A809" s="103"/>
      <c r="B809" s="103"/>
      <c r="C809" s="103"/>
      <c r="D809" s="103"/>
      <c r="E809" s="103"/>
      <c r="F809" s="103"/>
      <c r="G809" s="103"/>
      <c r="H809" s="103"/>
    </row>
    <row r="810">
      <c r="A810" s="103"/>
      <c r="B810" s="103"/>
      <c r="C810" s="103"/>
      <c r="D810" s="103"/>
      <c r="E810" s="103"/>
      <c r="F810" s="103"/>
      <c r="G810" s="103"/>
      <c r="H810" s="103"/>
    </row>
    <row r="811">
      <c r="A811" s="103"/>
      <c r="B811" s="103"/>
      <c r="C811" s="103"/>
      <c r="D811" s="103"/>
      <c r="E811" s="103"/>
      <c r="F811" s="103"/>
      <c r="G811" s="103"/>
      <c r="H811" s="103"/>
    </row>
    <row r="812">
      <c r="A812" s="103"/>
      <c r="B812" s="103"/>
      <c r="C812" s="103"/>
      <c r="D812" s="103"/>
      <c r="E812" s="103"/>
      <c r="F812" s="103"/>
      <c r="G812" s="103"/>
      <c r="H812" s="103"/>
    </row>
    <row r="813">
      <c r="A813" s="103"/>
      <c r="B813" s="103"/>
      <c r="C813" s="103"/>
      <c r="D813" s="103"/>
      <c r="E813" s="103"/>
      <c r="F813" s="103"/>
      <c r="G813" s="103"/>
      <c r="H813" s="103"/>
    </row>
    <row r="814">
      <c r="A814" s="103"/>
      <c r="B814" s="103"/>
      <c r="C814" s="103"/>
      <c r="D814" s="103"/>
      <c r="E814" s="103"/>
      <c r="F814" s="103"/>
      <c r="G814" s="103"/>
      <c r="H814" s="103"/>
    </row>
    <row r="815">
      <c r="A815" s="103"/>
      <c r="B815" s="103"/>
      <c r="C815" s="103"/>
      <c r="D815" s="103"/>
      <c r="E815" s="103"/>
      <c r="F815" s="103"/>
      <c r="G815" s="103"/>
      <c r="H815" s="103"/>
    </row>
    <row r="816">
      <c r="A816" s="103"/>
      <c r="B816" s="103"/>
      <c r="C816" s="103"/>
      <c r="D816" s="103"/>
      <c r="E816" s="103"/>
      <c r="F816" s="103"/>
      <c r="G816" s="103"/>
      <c r="H816" s="103"/>
    </row>
    <row r="817">
      <c r="A817" s="103"/>
      <c r="B817" s="103"/>
      <c r="C817" s="103"/>
      <c r="D817" s="103"/>
      <c r="E817" s="103"/>
      <c r="F817" s="103"/>
      <c r="G817" s="103"/>
      <c r="H817" s="103"/>
    </row>
    <row r="818">
      <c r="A818" s="103"/>
      <c r="B818" s="103"/>
      <c r="C818" s="103"/>
      <c r="D818" s="103"/>
      <c r="E818" s="103"/>
      <c r="F818" s="103"/>
      <c r="G818" s="103"/>
      <c r="H818" s="103"/>
    </row>
    <row r="819">
      <c r="A819" s="103"/>
      <c r="B819" s="103"/>
      <c r="C819" s="103"/>
      <c r="D819" s="103"/>
      <c r="E819" s="103"/>
      <c r="F819" s="103"/>
      <c r="G819" s="103"/>
      <c r="H819" s="103"/>
    </row>
    <row r="820">
      <c r="A820" s="103"/>
      <c r="B820" s="103"/>
      <c r="C820" s="103"/>
      <c r="D820" s="103"/>
      <c r="E820" s="103"/>
      <c r="F820" s="103"/>
      <c r="G820" s="103"/>
      <c r="H820" s="103"/>
    </row>
    <row r="821">
      <c r="A821" s="103"/>
      <c r="B821" s="103"/>
      <c r="C821" s="103"/>
      <c r="D821" s="103"/>
      <c r="E821" s="103"/>
      <c r="F821" s="103"/>
      <c r="G821" s="103"/>
      <c r="H821" s="103"/>
    </row>
    <row r="822">
      <c r="A822" s="103"/>
      <c r="B822" s="103"/>
      <c r="C822" s="103"/>
      <c r="D822" s="103"/>
      <c r="E822" s="103"/>
      <c r="F822" s="103"/>
      <c r="G822" s="103"/>
      <c r="H822" s="103"/>
    </row>
    <row r="823">
      <c r="A823" s="103"/>
      <c r="B823" s="103"/>
      <c r="C823" s="103"/>
      <c r="D823" s="103"/>
      <c r="E823" s="103"/>
      <c r="F823" s="103"/>
      <c r="G823" s="103"/>
      <c r="H823" s="103"/>
    </row>
    <row r="824">
      <c r="A824" s="103"/>
      <c r="B824" s="103"/>
      <c r="C824" s="103"/>
      <c r="D824" s="103"/>
      <c r="E824" s="103"/>
      <c r="F824" s="103"/>
      <c r="G824" s="103"/>
      <c r="H824" s="103"/>
    </row>
    <row r="825">
      <c r="A825" s="103"/>
      <c r="B825" s="103"/>
      <c r="C825" s="103"/>
      <c r="D825" s="103"/>
      <c r="E825" s="103"/>
      <c r="F825" s="103"/>
      <c r="G825" s="103"/>
      <c r="H825" s="103"/>
    </row>
    <row r="826">
      <c r="A826" s="103"/>
      <c r="B826" s="103"/>
      <c r="C826" s="103"/>
      <c r="D826" s="103"/>
      <c r="E826" s="103"/>
      <c r="F826" s="103"/>
      <c r="G826" s="103"/>
      <c r="H826" s="103"/>
    </row>
    <row r="827">
      <c r="A827" s="103"/>
      <c r="B827" s="103"/>
      <c r="C827" s="103"/>
      <c r="D827" s="103"/>
      <c r="E827" s="103"/>
      <c r="F827" s="103"/>
      <c r="G827" s="103"/>
      <c r="H827" s="103"/>
    </row>
    <row r="828">
      <c r="A828" s="103"/>
      <c r="B828" s="103"/>
      <c r="C828" s="103"/>
      <c r="D828" s="103"/>
      <c r="E828" s="103"/>
      <c r="F828" s="103"/>
      <c r="G828" s="103"/>
      <c r="H828" s="103"/>
    </row>
    <row r="829">
      <c r="A829" s="103"/>
      <c r="B829" s="103"/>
      <c r="C829" s="103"/>
      <c r="D829" s="103"/>
      <c r="E829" s="103"/>
      <c r="F829" s="103"/>
      <c r="G829" s="103"/>
      <c r="H829" s="103"/>
    </row>
    <row r="830">
      <c r="A830" s="103"/>
      <c r="B830" s="103"/>
      <c r="C830" s="103"/>
      <c r="D830" s="103"/>
      <c r="E830" s="103"/>
      <c r="F830" s="103"/>
      <c r="G830" s="103"/>
      <c r="H830" s="103"/>
    </row>
    <row r="831">
      <c r="A831" s="103"/>
      <c r="B831" s="103"/>
      <c r="C831" s="103"/>
      <c r="D831" s="103"/>
      <c r="E831" s="103"/>
      <c r="F831" s="103"/>
      <c r="G831" s="103"/>
      <c r="H831" s="103"/>
    </row>
    <row r="832">
      <c r="A832" s="103"/>
      <c r="B832" s="103"/>
      <c r="C832" s="103"/>
      <c r="D832" s="103"/>
      <c r="E832" s="103"/>
      <c r="F832" s="103"/>
      <c r="G832" s="103"/>
      <c r="H832" s="103"/>
    </row>
    <row r="833">
      <c r="A833" s="103"/>
      <c r="B833" s="103"/>
      <c r="C833" s="103"/>
      <c r="D833" s="103"/>
      <c r="E833" s="103"/>
      <c r="F833" s="103"/>
      <c r="G833" s="103"/>
      <c r="H833" s="103"/>
    </row>
    <row r="834">
      <c r="A834" s="103"/>
      <c r="B834" s="103"/>
      <c r="C834" s="103"/>
      <c r="D834" s="103"/>
      <c r="E834" s="103"/>
      <c r="F834" s="103"/>
      <c r="G834" s="103"/>
      <c r="H834" s="103"/>
    </row>
    <row r="835">
      <c r="A835" s="103"/>
      <c r="B835" s="103"/>
      <c r="C835" s="103"/>
      <c r="D835" s="103"/>
      <c r="E835" s="103"/>
      <c r="F835" s="103"/>
      <c r="G835" s="103"/>
      <c r="H835" s="103"/>
    </row>
    <row r="836">
      <c r="A836" s="103"/>
      <c r="B836" s="103"/>
      <c r="C836" s="103"/>
      <c r="D836" s="103"/>
      <c r="E836" s="103"/>
      <c r="F836" s="103"/>
      <c r="G836" s="103"/>
      <c r="H836" s="103"/>
    </row>
    <row r="837">
      <c r="A837" s="103"/>
      <c r="B837" s="103"/>
      <c r="C837" s="103"/>
      <c r="D837" s="103"/>
      <c r="E837" s="103"/>
      <c r="F837" s="103"/>
      <c r="G837" s="103"/>
      <c r="H837" s="103"/>
    </row>
    <row r="838">
      <c r="A838" s="103"/>
      <c r="B838" s="103"/>
      <c r="C838" s="103"/>
      <c r="D838" s="103"/>
      <c r="E838" s="103"/>
      <c r="F838" s="103"/>
      <c r="G838" s="103"/>
      <c r="H838" s="103"/>
    </row>
    <row r="839">
      <c r="A839" s="103"/>
      <c r="B839" s="103"/>
      <c r="C839" s="103"/>
      <c r="D839" s="103"/>
      <c r="E839" s="103"/>
      <c r="F839" s="103"/>
      <c r="G839" s="103"/>
      <c r="H839" s="103"/>
    </row>
    <row r="840">
      <c r="A840" s="103"/>
      <c r="B840" s="103"/>
      <c r="C840" s="103"/>
      <c r="D840" s="103"/>
      <c r="E840" s="103"/>
      <c r="F840" s="103"/>
      <c r="G840" s="103"/>
      <c r="H840" s="103"/>
    </row>
    <row r="841">
      <c r="A841" s="103"/>
      <c r="B841" s="103"/>
      <c r="C841" s="103"/>
      <c r="D841" s="103"/>
      <c r="E841" s="103"/>
      <c r="F841" s="103"/>
      <c r="G841" s="103"/>
      <c r="H841" s="103"/>
    </row>
    <row r="842">
      <c r="A842" s="103"/>
      <c r="B842" s="103"/>
      <c r="C842" s="103"/>
      <c r="D842" s="103"/>
      <c r="E842" s="103"/>
      <c r="F842" s="103"/>
      <c r="G842" s="103"/>
      <c r="H842" s="103"/>
    </row>
    <row r="843">
      <c r="A843" s="103"/>
      <c r="B843" s="103"/>
      <c r="C843" s="103"/>
      <c r="D843" s="103"/>
      <c r="E843" s="103"/>
      <c r="F843" s="103"/>
      <c r="G843" s="103"/>
      <c r="H843" s="103"/>
    </row>
    <row r="844">
      <c r="A844" s="103"/>
      <c r="B844" s="103"/>
      <c r="C844" s="103"/>
      <c r="D844" s="103"/>
      <c r="E844" s="103"/>
      <c r="F844" s="103"/>
      <c r="G844" s="103"/>
      <c r="H844" s="103"/>
    </row>
    <row r="845">
      <c r="A845" s="103"/>
      <c r="B845" s="103"/>
      <c r="C845" s="103"/>
      <c r="D845" s="103"/>
      <c r="E845" s="103"/>
      <c r="F845" s="103"/>
      <c r="G845" s="103"/>
      <c r="H845" s="103"/>
    </row>
    <row r="846">
      <c r="A846" s="103"/>
      <c r="B846" s="103"/>
      <c r="C846" s="103"/>
      <c r="D846" s="103"/>
      <c r="E846" s="103"/>
      <c r="F846" s="103"/>
      <c r="G846" s="103"/>
      <c r="H846" s="103"/>
    </row>
    <row r="847">
      <c r="A847" s="103"/>
      <c r="B847" s="103"/>
      <c r="C847" s="103"/>
      <c r="D847" s="103"/>
      <c r="E847" s="103"/>
      <c r="F847" s="103"/>
      <c r="G847" s="103"/>
      <c r="H847" s="103"/>
    </row>
    <row r="848">
      <c r="A848" s="103"/>
      <c r="B848" s="103"/>
      <c r="C848" s="103"/>
      <c r="D848" s="103"/>
      <c r="E848" s="103"/>
      <c r="F848" s="103"/>
      <c r="G848" s="103"/>
      <c r="H848" s="103"/>
    </row>
    <row r="849">
      <c r="A849" s="103"/>
      <c r="B849" s="103"/>
      <c r="C849" s="103"/>
      <c r="D849" s="103"/>
      <c r="E849" s="103"/>
      <c r="F849" s="103"/>
      <c r="G849" s="103"/>
      <c r="H849" s="103"/>
    </row>
    <row r="850">
      <c r="A850" s="103"/>
      <c r="B850" s="103"/>
      <c r="C850" s="103"/>
      <c r="D850" s="103"/>
      <c r="E850" s="103"/>
      <c r="F850" s="103"/>
      <c r="G850" s="103"/>
      <c r="H850" s="103"/>
    </row>
    <row r="851">
      <c r="A851" s="103"/>
      <c r="B851" s="103"/>
      <c r="C851" s="103"/>
      <c r="D851" s="103"/>
      <c r="E851" s="103"/>
      <c r="F851" s="103"/>
      <c r="G851" s="103"/>
      <c r="H851" s="103"/>
    </row>
    <row r="852">
      <c r="A852" s="103"/>
      <c r="B852" s="103"/>
      <c r="C852" s="103"/>
      <c r="D852" s="103"/>
      <c r="E852" s="103"/>
      <c r="F852" s="103"/>
      <c r="G852" s="103"/>
      <c r="H852" s="103"/>
    </row>
    <row r="853">
      <c r="A853" s="103"/>
      <c r="B853" s="103"/>
      <c r="C853" s="103"/>
      <c r="D853" s="103"/>
      <c r="E853" s="103"/>
      <c r="F853" s="103"/>
      <c r="G853" s="103"/>
      <c r="H853" s="103"/>
    </row>
    <row r="854">
      <c r="A854" s="103"/>
      <c r="B854" s="103"/>
      <c r="C854" s="103"/>
      <c r="D854" s="103"/>
      <c r="E854" s="103"/>
      <c r="F854" s="103"/>
      <c r="G854" s="103"/>
      <c r="H854" s="103"/>
    </row>
    <row r="855">
      <c r="A855" s="103"/>
      <c r="B855" s="103"/>
      <c r="C855" s="103"/>
      <c r="D855" s="103"/>
      <c r="E855" s="103"/>
      <c r="F855" s="103"/>
      <c r="G855" s="103"/>
      <c r="H855" s="103"/>
    </row>
    <row r="856">
      <c r="A856" s="103"/>
      <c r="B856" s="103"/>
      <c r="C856" s="103"/>
      <c r="D856" s="103"/>
      <c r="E856" s="103"/>
      <c r="F856" s="103"/>
      <c r="G856" s="103"/>
      <c r="H856" s="103"/>
    </row>
    <row r="857">
      <c r="A857" s="103"/>
      <c r="B857" s="103"/>
      <c r="C857" s="103"/>
      <c r="D857" s="103"/>
      <c r="E857" s="103"/>
      <c r="F857" s="103"/>
      <c r="G857" s="103"/>
      <c r="H857" s="103"/>
    </row>
    <row r="858">
      <c r="A858" s="103"/>
      <c r="B858" s="103"/>
      <c r="C858" s="103"/>
      <c r="D858" s="103"/>
      <c r="E858" s="103"/>
      <c r="F858" s="103"/>
      <c r="G858" s="103"/>
      <c r="H858" s="103"/>
    </row>
    <row r="859">
      <c r="A859" s="103"/>
      <c r="B859" s="103"/>
      <c r="C859" s="103"/>
      <c r="D859" s="103"/>
      <c r="E859" s="103"/>
      <c r="F859" s="103"/>
      <c r="G859" s="103"/>
      <c r="H859" s="103"/>
    </row>
    <row r="860">
      <c r="A860" s="103"/>
      <c r="B860" s="103"/>
      <c r="C860" s="103"/>
      <c r="D860" s="103"/>
      <c r="E860" s="103"/>
      <c r="F860" s="103"/>
      <c r="G860" s="103"/>
      <c r="H860" s="103"/>
    </row>
    <row r="861">
      <c r="A861" s="103"/>
      <c r="B861" s="103"/>
      <c r="C861" s="103"/>
      <c r="D861" s="103"/>
      <c r="E861" s="103"/>
      <c r="F861" s="103"/>
      <c r="G861" s="103"/>
      <c r="H861" s="103"/>
    </row>
    <row r="862">
      <c r="A862" s="103"/>
      <c r="B862" s="103"/>
      <c r="C862" s="103"/>
      <c r="D862" s="103"/>
      <c r="E862" s="103"/>
      <c r="F862" s="103"/>
      <c r="G862" s="103"/>
      <c r="H862" s="103"/>
    </row>
    <row r="863">
      <c r="A863" s="103"/>
      <c r="B863" s="103"/>
      <c r="C863" s="103"/>
      <c r="D863" s="103"/>
      <c r="E863" s="103"/>
      <c r="F863" s="103"/>
      <c r="G863" s="103"/>
      <c r="H863" s="103"/>
    </row>
    <row r="864">
      <c r="A864" s="103"/>
      <c r="B864" s="103"/>
      <c r="C864" s="103"/>
      <c r="D864" s="103"/>
      <c r="E864" s="103"/>
      <c r="F864" s="103"/>
      <c r="G864" s="103"/>
      <c r="H864" s="103"/>
    </row>
    <row r="865">
      <c r="A865" s="103"/>
      <c r="B865" s="103"/>
      <c r="C865" s="103"/>
      <c r="D865" s="103"/>
      <c r="E865" s="103"/>
      <c r="F865" s="103"/>
      <c r="G865" s="103"/>
      <c r="H865" s="103"/>
    </row>
    <row r="866">
      <c r="A866" s="103"/>
      <c r="B866" s="103"/>
      <c r="C866" s="103"/>
      <c r="D866" s="103"/>
      <c r="E866" s="103"/>
      <c r="F866" s="103"/>
      <c r="G866" s="103"/>
      <c r="H866" s="103"/>
    </row>
    <row r="867">
      <c r="A867" s="103"/>
      <c r="B867" s="103"/>
      <c r="C867" s="103"/>
      <c r="D867" s="103"/>
      <c r="E867" s="103"/>
      <c r="F867" s="103"/>
      <c r="G867" s="103"/>
      <c r="H867" s="103"/>
    </row>
    <row r="868">
      <c r="A868" s="103"/>
      <c r="B868" s="103"/>
      <c r="C868" s="103"/>
      <c r="D868" s="103"/>
      <c r="E868" s="103"/>
      <c r="F868" s="103"/>
      <c r="G868" s="103"/>
      <c r="H868" s="103"/>
    </row>
    <row r="869">
      <c r="A869" s="103"/>
      <c r="B869" s="103"/>
      <c r="C869" s="103"/>
      <c r="D869" s="103"/>
      <c r="E869" s="103"/>
      <c r="F869" s="103"/>
      <c r="G869" s="103"/>
      <c r="H869" s="103"/>
    </row>
    <row r="870">
      <c r="A870" s="103"/>
      <c r="B870" s="103"/>
      <c r="C870" s="103"/>
      <c r="D870" s="103"/>
      <c r="E870" s="103"/>
      <c r="F870" s="103"/>
      <c r="G870" s="103"/>
      <c r="H870" s="103"/>
    </row>
    <row r="871">
      <c r="A871" s="103"/>
      <c r="B871" s="103"/>
      <c r="C871" s="103"/>
      <c r="D871" s="103"/>
      <c r="E871" s="103"/>
      <c r="F871" s="103"/>
      <c r="G871" s="103"/>
      <c r="H871" s="103"/>
    </row>
    <row r="872">
      <c r="A872" s="103"/>
      <c r="B872" s="103"/>
      <c r="C872" s="103"/>
      <c r="D872" s="103"/>
      <c r="E872" s="103"/>
      <c r="F872" s="103"/>
      <c r="G872" s="103"/>
      <c r="H872" s="103"/>
    </row>
    <row r="873">
      <c r="A873" s="103"/>
      <c r="B873" s="103"/>
      <c r="C873" s="103"/>
      <c r="D873" s="103"/>
      <c r="E873" s="103"/>
      <c r="F873" s="103"/>
      <c r="G873" s="103"/>
      <c r="H873" s="103"/>
    </row>
    <row r="874">
      <c r="A874" s="103"/>
      <c r="B874" s="103"/>
      <c r="C874" s="103"/>
      <c r="D874" s="103"/>
      <c r="E874" s="103"/>
      <c r="F874" s="103"/>
      <c r="G874" s="103"/>
      <c r="H874" s="103"/>
    </row>
    <row r="875">
      <c r="A875" s="103"/>
      <c r="B875" s="103"/>
      <c r="C875" s="103"/>
      <c r="D875" s="103"/>
      <c r="E875" s="103"/>
      <c r="F875" s="103"/>
      <c r="G875" s="103"/>
      <c r="H875" s="103"/>
    </row>
    <row r="876">
      <c r="A876" s="103"/>
      <c r="B876" s="103"/>
      <c r="C876" s="103"/>
      <c r="D876" s="103"/>
      <c r="E876" s="103"/>
      <c r="F876" s="103"/>
      <c r="G876" s="103"/>
      <c r="H876" s="103"/>
    </row>
    <row r="877">
      <c r="A877" s="103"/>
      <c r="B877" s="103"/>
      <c r="C877" s="103"/>
      <c r="D877" s="103"/>
      <c r="E877" s="103"/>
      <c r="F877" s="103"/>
      <c r="G877" s="103"/>
      <c r="H877" s="103"/>
    </row>
    <row r="878">
      <c r="A878" s="103"/>
      <c r="B878" s="103"/>
      <c r="C878" s="103"/>
      <c r="D878" s="103"/>
      <c r="E878" s="103"/>
      <c r="F878" s="103"/>
      <c r="G878" s="103"/>
      <c r="H878" s="103"/>
    </row>
    <row r="879">
      <c r="A879" s="103"/>
      <c r="B879" s="103"/>
      <c r="C879" s="103"/>
      <c r="D879" s="103"/>
      <c r="E879" s="103"/>
      <c r="F879" s="103"/>
      <c r="G879" s="103"/>
      <c r="H879" s="103"/>
    </row>
    <row r="880">
      <c r="A880" s="103"/>
      <c r="B880" s="103"/>
      <c r="C880" s="103"/>
      <c r="D880" s="103"/>
      <c r="E880" s="103"/>
      <c r="F880" s="103"/>
      <c r="G880" s="103"/>
      <c r="H880" s="103"/>
    </row>
    <row r="881">
      <c r="A881" s="103"/>
      <c r="B881" s="103"/>
      <c r="C881" s="103"/>
      <c r="D881" s="103"/>
      <c r="E881" s="103"/>
      <c r="F881" s="103"/>
      <c r="G881" s="103"/>
      <c r="H881" s="103"/>
    </row>
    <row r="882">
      <c r="A882" s="103"/>
      <c r="B882" s="103"/>
      <c r="C882" s="103"/>
      <c r="D882" s="103"/>
      <c r="E882" s="103"/>
      <c r="F882" s="103"/>
      <c r="G882" s="103"/>
      <c r="H882" s="103"/>
    </row>
    <row r="883">
      <c r="A883" s="103"/>
      <c r="B883" s="103"/>
      <c r="C883" s="103"/>
      <c r="D883" s="103"/>
      <c r="E883" s="103"/>
      <c r="F883" s="103"/>
      <c r="G883" s="103"/>
      <c r="H883" s="103"/>
    </row>
    <row r="884">
      <c r="A884" s="103"/>
      <c r="B884" s="103"/>
      <c r="C884" s="103"/>
      <c r="D884" s="103"/>
      <c r="E884" s="103"/>
      <c r="F884" s="103"/>
      <c r="G884" s="103"/>
      <c r="H884" s="103"/>
    </row>
    <row r="885">
      <c r="A885" s="103"/>
      <c r="B885" s="103"/>
      <c r="C885" s="103"/>
      <c r="D885" s="103"/>
      <c r="E885" s="103"/>
      <c r="F885" s="103"/>
      <c r="G885" s="103"/>
      <c r="H885" s="103"/>
    </row>
    <row r="886">
      <c r="A886" s="103"/>
      <c r="B886" s="103"/>
      <c r="C886" s="103"/>
      <c r="D886" s="103"/>
      <c r="E886" s="103"/>
      <c r="F886" s="103"/>
      <c r="G886" s="103"/>
      <c r="H886" s="103"/>
    </row>
    <row r="887">
      <c r="A887" s="103"/>
      <c r="B887" s="103"/>
      <c r="C887" s="103"/>
      <c r="D887" s="103"/>
      <c r="E887" s="103"/>
      <c r="F887" s="103"/>
      <c r="G887" s="103"/>
      <c r="H887" s="103"/>
    </row>
    <row r="888">
      <c r="A888" s="103"/>
      <c r="B888" s="103"/>
      <c r="C888" s="103"/>
      <c r="D888" s="103"/>
      <c r="E888" s="103"/>
      <c r="F888" s="103"/>
      <c r="G888" s="103"/>
      <c r="H888" s="103"/>
    </row>
    <row r="889">
      <c r="A889" s="103"/>
      <c r="B889" s="103"/>
      <c r="C889" s="103"/>
      <c r="D889" s="103"/>
      <c r="E889" s="103"/>
      <c r="F889" s="103"/>
      <c r="G889" s="103"/>
      <c r="H889" s="103"/>
    </row>
    <row r="890">
      <c r="A890" s="103"/>
      <c r="B890" s="103"/>
      <c r="C890" s="103"/>
      <c r="D890" s="103"/>
      <c r="E890" s="103"/>
      <c r="F890" s="103"/>
      <c r="G890" s="103"/>
      <c r="H890" s="103"/>
    </row>
    <row r="891">
      <c r="A891" s="103"/>
      <c r="B891" s="103"/>
      <c r="C891" s="103"/>
      <c r="D891" s="103"/>
      <c r="E891" s="103"/>
      <c r="F891" s="103"/>
      <c r="G891" s="103"/>
      <c r="H891" s="103"/>
    </row>
    <row r="892">
      <c r="A892" s="103"/>
      <c r="B892" s="103"/>
      <c r="C892" s="103"/>
      <c r="D892" s="103"/>
      <c r="E892" s="103"/>
      <c r="F892" s="103"/>
      <c r="G892" s="103"/>
      <c r="H892" s="103"/>
    </row>
    <row r="893">
      <c r="A893" s="103"/>
      <c r="B893" s="103"/>
      <c r="C893" s="103"/>
      <c r="D893" s="103"/>
      <c r="E893" s="103"/>
      <c r="F893" s="103"/>
      <c r="G893" s="103"/>
      <c r="H893" s="103"/>
    </row>
    <row r="894">
      <c r="A894" s="103"/>
      <c r="B894" s="103"/>
      <c r="C894" s="103"/>
      <c r="D894" s="103"/>
      <c r="E894" s="103"/>
      <c r="F894" s="103"/>
      <c r="G894" s="103"/>
      <c r="H894" s="103"/>
    </row>
    <row r="895">
      <c r="A895" s="103"/>
      <c r="B895" s="103"/>
      <c r="C895" s="103"/>
      <c r="D895" s="103"/>
      <c r="E895" s="103"/>
      <c r="F895" s="103"/>
      <c r="G895" s="103"/>
      <c r="H895" s="103"/>
    </row>
    <row r="896">
      <c r="A896" s="103"/>
      <c r="B896" s="103"/>
      <c r="C896" s="103"/>
      <c r="D896" s="103"/>
      <c r="E896" s="103"/>
      <c r="F896" s="103"/>
      <c r="G896" s="103"/>
      <c r="H896" s="103"/>
    </row>
    <row r="897">
      <c r="A897" s="103"/>
      <c r="B897" s="103"/>
      <c r="C897" s="103"/>
      <c r="D897" s="103"/>
      <c r="E897" s="103"/>
      <c r="F897" s="103"/>
      <c r="G897" s="103"/>
      <c r="H897" s="103"/>
    </row>
    <row r="898">
      <c r="A898" s="103"/>
      <c r="B898" s="103"/>
      <c r="C898" s="103"/>
      <c r="D898" s="103"/>
      <c r="E898" s="103"/>
      <c r="F898" s="103"/>
      <c r="G898" s="103"/>
      <c r="H898" s="103"/>
    </row>
    <row r="899">
      <c r="A899" s="103"/>
      <c r="B899" s="103"/>
      <c r="C899" s="103"/>
      <c r="D899" s="103"/>
      <c r="E899" s="103"/>
      <c r="F899" s="103"/>
      <c r="G899" s="103"/>
      <c r="H899" s="103"/>
    </row>
    <row r="900">
      <c r="A900" s="103"/>
      <c r="B900" s="103"/>
      <c r="C900" s="103"/>
      <c r="D900" s="103"/>
      <c r="E900" s="103"/>
      <c r="F900" s="103"/>
      <c r="G900" s="103"/>
      <c r="H900" s="103"/>
    </row>
    <row r="901">
      <c r="A901" s="103"/>
      <c r="B901" s="103"/>
      <c r="C901" s="103"/>
      <c r="D901" s="103"/>
      <c r="E901" s="103"/>
      <c r="F901" s="103"/>
      <c r="G901" s="103"/>
      <c r="H901" s="103"/>
    </row>
    <row r="902">
      <c r="A902" s="103"/>
      <c r="B902" s="103"/>
      <c r="C902" s="103"/>
      <c r="D902" s="103"/>
      <c r="E902" s="103"/>
      <c r="F902" s="103"/>
      <c r="G902" s="103"/>
      <c r="H902" s="103"/>
    </row>
    <row r="903">
      <c r="A903" s="103"/>
      <c r="B903" s="103"/>
      <c r="C903" s="103"/>
      <c r="D903" s="103"/>
      <c r="E903" s="103"/>
      <c r="F903" s="103"/>
      <c r="G903" s="103"/>
      <c r="H903" s="103"/>
    </row>
    <row r="904">
      <c r="A904" s="103"/>
      <c r="B904" s="103"/>
      <c r="C904" s="103"/>
      <c r="D904" s="103"/>
      <c r="E904" s="103"/>
      <c r="F904" s="103"/>
      <c r="G904" s="103"/>
      <c r="H904" s="103"/>
    </row>
    <row r="905">
      <c r="A905" s="103"/>
      <c r="B905" s="103"/>
      <c r="C905" s="103"/>
      <c r="D905" s="103"/>
      <c r="E905" s="103"/>
      <c r="F905" s="103"/>
      <c r="G905" s="103"/>
      <c r="H905" s="103"/>
    </row>
    <row r="906">
      <c r="A906" s="103"/>
      <c r="B906" s="103"/>
      <c r="C906" s="103"/>
      <c r="D906" s="103"/>
      <c r="E906" s="103"/>
      <c r="F906" s="103"/>
      <c r="G906" s="103"/>
      <c r="H906" s="103"/>
    </row>
    <row r="907">
      <c r="A907" s="103"/>
      <c r="B907" s="103"/>
      <c r="C907" s="103"/>
      <c r="D907" s="103"/>
      <c r="E907" s="103"/>
      <c r="F907" s="103"/>
      <c r="G907" s="103"/>
      <c r="H907" s="103"/>
    </row>
    <row r="908">
      <c r="A908" s="103"/>
      <c r="B908" s="103"/>
      <c r="C908" s="103"/>
      <c r="D908" s="103"/>
      <c r="E908" s="103"/>
      <c r="F908" s="103"/>
      <c r="G908" s="103"/>
      <c r="H908" s="103"/>
    </row>
    <row r="909">
      <c r="A909" s="103"/>
      <c r="B909" s="103"/>
      <c r="C909" s="103"/>
      <c r="D909" s="103"/>
      <c r="E909" s="103"/>
      <c r="F909" s="103"/>
      <c r="G909" s="103"/>
      <c r="H909" s="103"/>
    </row>
    <row r="910">
      <c r="A910" s="103"/>
      <c r="B910" s="103"/>
      <c r="C910" s="103"/>
      <c r="D910" s="103"/>
      <c r="E910" s="103"/>
      <c r="F910" s="103"/>
      <c r="G910" s="103"/>
      <c r="H910" s="103"/>
    </row>
    <row r="911">
      <c r="A911" s="103"/>
      <c r="B911" s="103"/>
      <c r="C911" s="103"/>
      <c r="D911" s="103"/>
      <c r="E911" s="103"/>
      <c r="F911" s="103"/>
      <c r="G911" s="103"/>
      <c r="H911" s="103"/>
    </row>
    <row r="912">
      <c r="A912" s="103"/>
      <c r="B912" s="103"/>
      <c r="C912" s="103"/>
      <c r="D912" s="103"/>
      <c r="E912" s="103"/>
      <c r="F912" s="103"/>
      <c r="G912" s="103"/>
      <c r="H912" s="103"/>
    </row>
    <row r="913">
      <c r="A913" s="103"/>
      <c r="B913" s="103"/>
      <c r="C913" s="103"/>
      <c r="D913" s="103"/>
      <c r="E913" s="103"/>
      <c r="F913" s="103"/>
      <c r="G913" s="103"/>
      <c r="H913" s="103"/>
    </row>
    <row r="914">
      <c r="A914" s="103"/>
      <c r="B914" s="103"/>
      <c r="C914" s="103"/>
      <c r="D914" s="103"/>
      <c r="E914" s="103"/>
      <c r="F914" s="103"/>
      <c r="G914" s="103"/>
      <c r="H914" s="103"/>
    </row>
    <row r="915">
      <c r="A915" s="103"/>
      <c r="B915" s="103"/>
      <c r="C915" s="103"/>
      <c r="D915" s="103"/>
      <c r="E915" s="103"/>
      <c r="F915" s="103"/>
      <c r="G915" s="103"/>
      <c r="H915" s="103"/>
    </row>
    <row r="916">
      <c r="A916" s="103"/>
      <c r="B916" s="103"/>
      <c r="C916" s="103"/>
      <c r="D916" s="103"/>
      <c r="E916" s="103"/>
      <c r="F916" s="103"/>
      <c r="G916" s="103"/>
      <c r="H916" s="103"/>
    </row>
    <row r="917">
      <c r="A917" s="103"/>
      <c r="B917" s="103"/>
      <c r="C917" s="103"/>
      <c r="D917" s="103"/>
      <c r="E917" s="103"/>
      <c r="F917" s="103"/>
      <c r="G917" s="103"/>
      <c r="H917" s="103"/>
    </row>
    <row r="918">
      <c r="A918" s="103"/>
      <c r="B918" s="103"/>
      <c r="C918" s="103"/>
      <c r="D918" s="103"/>
      <c r="E918" s="103"/>
      <c r="F918" s="103"/>
      <c r="G918" s="103"/>
      <c r="H918" s="103"/>
    </row>
    <row r="919">
      <c r="A919" s="103"/>
      <c r="B919" s="103"/>
      <c r="C919" s="103"/>
      <c r="D919" s="103"/>
      <c r="E919" s="103"/>
      <c r="F919" s="103"/>
      <c r="G919" s="103"/>
      <c r="H919" s="103"/>
    </row>
    <row r="920">
      <c r="A920" s="103"/>
      <c r="B920" s="103"/>
      <c r="C920" s="103"/>
      <c r="D920" s="103"/>
      <c r="E920" s="103"/>
      <c r="F920" s="103"/>
      <c r="G920" s="103"/>
      <c r="H920" s="103"/>
    </row>
    <row r="921">
      <c r="A921" s="103"/>
      <c r="B921" s="103"/>
      <c r="C921" s="103"/>
      <c r="D921" s="103"/>
      <c r="E921" s="103"/>
      <c r="F921" s="103"/>
      <c r="G921" s="103"/>
      <c r="H921" s="103"/>
    </row>
    <row r="922">
      <c r="A922" s="103"/>
      <c r="B922" s="103"/>
      <c r="C922" s="103"/>
      <c r="D922" s="103"/>
      <c r="E922" s="103"/>
      <c r="F922" s="103"/>
      <c r="G922" s="103"/>
      <c r="H922" s="103"/>
    </row>
    <row r="923">
      <c r="A923" s="103"/>
      <c r="B923" s="103"/>
      <c r="C923" s="103"/>
      <c r="D923" s="103"/>
      <c r="E923" s="103"/>
      <c r="F923" s="103"/>
      <c r="G923" s="103"/>
      <c r="H923" s="103"/>
    </row>
    <row r="924">
      <c r="A924" s="103"/>
      <c r="B924" s="103"/>
      <c r="C924" s="103"/>
      <c r="D924" s="103"/>
      <c r="E924" s="103"/>
      <c r="F924" s="103"/>
      <c r="G924" s="103"/>
      <c r="H924" s="103"/>
    </row>
    <row r="925">
      <c r="A925" s="103"/>
      <c r="B925" s="103"/>
      <c r="C925" s="103"/>
      <c r="D925" s="103"/>
      <c r="E925" s="103"/>
      <c r="F925" s="103"/>
      <c r="G925" s="103"/>
      <c r="H925" s="103"/>
    </row>
    <row r="926">
      <c r="A926" s="103"/>
      <c r="B926" s="103"/>
      <c r="C926" s="103"/>
      <c r="D926" s="103"/>
      <c r="E926" s="103"/>
      <c r="F926" s="103"/>
      <c r="G926" s="103"/>
      <c r="H926" s="103"/>
    </row>
    <row r="927">
      <c r="A927" s="103"/>
      <c r="B927" s="103"/>
      <c r="C927" s="103"/>
      <c r="D927" s="103"/>
      <c r="E927" s="103"/>
      <c r="F927" s="103"/>
      <c r="G927" s="103"/>
      <c r="H927" s="103"/>
    </row>
    <row r="928">
      <c r="A928" s="103"/>
      <c r="B928" s="103"/>
      <c r="C928" s="103"/>
      <c r="D928" s="103"/>
      <c r="E928" s="103"/>
      <c r="F928" s="103"/>
      <c r="G928" s="103"/>
      <c r="H928" s="103"/>
    </row>
    <row r="929">
      <c r="A929" s="103"/>
      <c r="B929" s="103"/>
      <c r="C929" s="103"/>
      <c r="D929" s="103"/>
      <c r="E929" s="103"/>
      <c r="F929" s="103"/>
      <c r="G929" s="103"/>
      <c r="H929" s="103"/>
    </row>
    <row r="930">
      <c r="A930" s="103"/>
      <c r="B930" s="103"/>
      <c r="C930" s="103"/>
      <c r="D930" s="103"/>
      <c r="E930" s="103"/>
      <c r="F930" s="103"/>
      <c r="G930" s="103"/>
      <c r="H930" s="103"/>
    </row>
    <row r="931">
      <c r="A931" s="103"/>
      <c r="B931" s="103"/>
      <c r="C931" s="103"/>
      <c r="D931" s="103"/>
      <c r="E931" s="103"/>
      <c r="F931" s="103"/>
      <c r="G931" s="103"/>
      <c r="H931" s="103"/>
    </row>
    <row r="932">
      <c r="A932" s="103"/>
      <c r="B932" s="103"/>
      <c r="C932" s="103"/>
      <c r="D932" s="103"/>
      <c r="E932" s="103"/>
      <c r="F932" s="103"/>
      <c r="G932" s="103"/>
      <c r="H932" s="103"/>
    </row>
    <row r="933">
      <c r="A933" s="103"/>
      <c r="B933" s="103"/>
      <c r="C933" s="103"/>
      <c r="D933" s="103"/>
      <c r="E933" s="103"/>
      <c r="F933" s="103"/>
      <c r="G933" s="103"/>
      <c r="H933" s="103"/>
    </row>
    <row r="934">
      <c r="A934" s="103"/>
      <c r="B934" s="103"/>
      <c r="C934" s="103"/>
      <c r="D934" s="103"/>
      <c r="E934" s="103"/>
      <c r="F934" s="103"/>
      <c r="G934" s="103"/>
      <c r="H934" s="103"/>
    </row>
    <row r="935">
      <c r="A935" s="103"/>
      <c r="B935" s="103"/>
      <c r="C935" s="103"/>
      <c r="D935" s="103"/>
      <c r="E935" s="103"/>
      <c r="F935" s="103"/>
      <c r="G935" s="103"/>
      <c r="H935" s="103"/>
    </row>
    <row r="936">
      <c r="A936" s="103"/>
      <c r="B936" s="103"/>
      <c r="C936" s="103"/>
      <c r="D936" s="103"/>
      <c r="E936" s="103"/>
      <c r="F936" s="103"/>
      <c r="G936" s="103"/>
      <c r="H936" s="103"/>
    </row>
    <row r="937">
      <c r="A937" s="103"/>
      <c r="B937" s="103"/>
      <c r="C937" s="103"/>
      <c r="D937" s="103"/>
      <c r="E937" s="103"/>
      <c r="F937" s="103"/>
      <c r="G937" s="103"/>
      <c r="H937" s="103"/>
    </row>
    <row r="938">
      <c r="A938" s="103"/>
      <c r="B938" s="103"/>
      <c r="C938" s="103"/>
      <c r="D938" s="103"/>
      <c r="E938" s="103"/>
      <c r="F938" s="103"/>
      <c r="G938" s="103"/>
      <c r="H938" s="103"/>
    </row>
    <row r="939">
      <c r="A939" s="103"/>
      <c r="B939" s="103"/>
      <c r="C939" s="103"/>
      <c r="D939" s="103"/>
      <c r="E939" s="103"/>
      <c r="F939" s="103"/>
      <c r="G939" s="103"/>
      <c r="H939" s="103"/>
    </row>
    <row r="940">
      <c r="A940" s="103"/>
      <c r="B940" s="103"/>
      <c r="C940" s="103"/>
      <c r="D940" s="103"/>
      <c r="E940" s="103"/>
      <c r="F940" s="103"/>
      <c r="G940" s="103"/>
      <c r="H940" s="103"/>
    </row>
    <row r="941">
      <c r="A941" s="103"/>
      <c r="B941" s="103"/>
      <c r="C941" s="103"/>
      <c r="D941" s="103"/>
      <c r="E941" s="103"/>
      <c r="F941" s="103"/>
      <c r="G941" s="103"/>
      <c r="H941" s="103"/>
    </row>
    <row r="942">
      <c r="A942" s="103"/>
      <c r="B942" s="103"/>
      <c r="C942" s="103"/>
      <c r="D942" s="103"/>
      <c r="E942" s="103"/>
      <c r="F942" s="103"/>
      <c r="G942" s="103"/>
      <c r="H942" s="103"/>
    </row>
    <row r="943">
      <c r="A943" s="103"/>
      <c r="B943" s="103"/>
      <c r="C943" s="103"/>
      <c r="D943" s="103"/>
      <c r="E943" s="103"/>
      <c r="F943" s="103"/>
      <c r="G943" s="103"/>
      <c r="H943" s="103"/>
    </row>
    <row r="944">
      <c r="A944" s="103"/>
      <c r="B944" s="103"/>
      <c r="C944" s="103"/>
      <c r="D944" s="103"/>
      <c r="E944" s="103"/>
      <c r="F944" s="103"/>
      <c r="G944" s="103"/>
      <c r="H944" s="103"/>
    </row>
    <row r="945">
      <c r="A945" s="103"/>
      <c r="B945" s="103"/>
      <c r="C945" s="103"/>
      <c r="D945" s="103"/>
      <c r="E945" s="103"/>
      <c r="F945" s="103"/>
      <c r="G945" s="103"/>
      <c r="H945" s="103"/>
    </row>
    <row r="946">
      <c r="A946" s="103"/>
      <c r="B946" s="103"/>
      <c r="C946" s="103"/>
      <c r="D946" s="103"/>
      <c r="E946" s="103"/>
      <c r="F946" s="103"/>
      <c r="G946" s="103"/>
      <c r="H946" s="103"/>
    </row>
    <row r="947">
      <c r="A947" s="103"/>
      <c r="B947" s="103"/>
      <c r="C947" s="103"/>
      <c r="D947" s="103"/>
      <c r="E947" s="103"/>
      <c r="F947" s="103"/>
      <c r="G947" s="103"/>
      <c r="H947" s="103"/>
    </row>
    <row r="948">
      <c r="A948" s="103"/>
      <c r="B948" s="103"/>
      <c r="C948" s="103"/>
      <c r="D948" s="103"/>
      <c r="E948" s="103"/>
      <c r="F948" s="103"/>
      <c r="G948" s="103"/>
      <c r="H948" s="103"/>
    </row>
    <row r="949">
      <c r="A949" s="103"/>
      <c r="B949" s="103"/>
      <c r="C949" s="103"/>
      <c r="D949" s="103"/>
      <c r="E949" s="103"/>
      <c r="F949" s="103"/>
      <c r="G949" s="103"/>
      <c r="H949" s="103"/>
    </row>
    <row r="950">
      <c r="A950" s="103"/>
      <c r="B950" s="103"/>
      <c r="C950" s="103"/>
      <c r="D950" s="103"/>
      <c r="E950" s="103"/>
      <c r="F950" s="103"/>
      <c r="G950" s="103"/>
      <c r="H950" s="103"/>
    </row>
    <row r="951">
      <c r="A951" s="103"/>
      <c r="B951" s="103"/>
      <c r="C951" s="103"/>
      <c r="D951" s="103"/>
      <c r="E951" s="103"/>
      <c r="F951" s="103"/>
      <c r="G951" s="103"/>
      <c r="H951" s="103"/>
    </row>
    <row r="952">
      <c r="A952" s="103"/>
      <c r="B952" s="103"/>
      <c r="C952" s="103"/>
      <c r="D952" s="103"/>
      <c r="E952" s="103"/>
      <c r="F952" s="103"/>
      <c r="G952" s="103"/>
      <c r="H952" s="103"/>
    </row>
    <row r="953">
      <c r="A953" s="103"/>
      <c r="B953" s="103"/>
      <c r="C953" s="103"/>
      <c r="D953" s="103"/>
      <c r="E953" s="103"/>
      <c r="F953" s="103"/>
      <c r="G953" s="103"/>
      <c r="H953" s="103"/>
    </row>
    <row r="954">
      <c r="A954" s="103"/>
      <c r="B954" s="103"/>
      <c r="C954" s="103"/>
      <c r="D954" s="103"/>
      <c r="E954" s="103"/>
      <c r="F954" s="103"/>
      <c r="G954" s="103"/>
      <c r="H954" s="103"/>
    </row>
    <row r="955">
      <c r="A955" s="103"/>
      <c r="B955" s="103"/>
      <c r="C955" s="103"/>
      <c r="D955" s="103"/>
      <c r="E955" s="103"/>
      <c r="F955" s="103"/>
      <c r="G955" s="103"/>
      <c r="H955" s="103"/>
    </row>
    <row r="956">
      <c r="A956" s="103"/>
      <c r="B956" s="103"/>
      <c r="C956" s="103"/>
      <c r="D956" s="103"/>
      <c r="E956" s="103"/>
      <c r="F956" s="103"/>
      <c r="G956" s="103"/>
      <c r="H956" s="103"/>
    </row>
    <row r="957">
      <c r="A957" s="103"/>
      <c r="B957" s="103"/>
      <c r="C957" s="103"/>
      <c r="D957" s="103"/>
      <c r="E957" s="103"/>
      <c r="F957" s="103"/>
      <c r="G957" s="103"/>
      <c r="H957" s="103"/>
    </row>
    <row r="958">
      <c r="A958" s="103"/>
      <c r="B958" s="103"/>
      <c r="C958" s="103"/>
      <c r="D958" s="103"/>
      <c r="E958" s="103"/>
      <c r="F958" s="103"/>
      <c r="G958" s="103"/>
      <c r="H958" s="103"/>
    </row>
    <row r="959">
      <c r="A959" s="103"/>
      <c r="B959" s="103"/>
      <c r="C959" s="103"/>
      <c r="D959" s="103"/>
      <c r="E959" s="103"/>
      <c r="F959" s="103"/>
      <c r="G959" s="103"/>
      <c r="H959" s="103"/>
    </row>
    <row r="960">
      <c r="A960" s="103"/>
      <c r="B960" s="103"/>
      <c r="C960" s="103"/>
      <c r="D960" s="103"/>
      <c r="E960" s="103"/>
      <c r="F960" s="103"/>
      <c r="G960" s="103"/>
      <c r="H960" s="103"/>
    </row>
    <row r="961">
      <c r="A961" s="103"/>
      <c r="B961" s="103"/>
      <c r="C961" s="103"/>
      <c r="D961" s="103"/>
      <c r="E961" s="103"/>
      <c r="F961" s="103"/>
      <c r="G961" s="103"/>
      <c r="H961" s="103"/>
    </row>
    <row r="962">
      <c r="A962" s="103"/>
      <c r="B962" s="103"/>
      <c r="C962" s="103"/>
      <c r="D962" s="103"/>
      <c r="E962" s="103"/>
      <c r="F962" s="103"/>
      <c r="G962" s="103"/>
      <c r="H962" s="103"/>
    </row>
    <row r="963">
      <c r="A963" s="103"/>
      <c r="B963" s="103"/>
      <c r="C963" s="103"/>
      <c r="D963" s="103"/>
      <c r="E963" s="103"/>
      <c r="F963" s="103"/>
      <c r="G963" s="103"/>
      <c r="H963" s="103"/>
    </row>
    <row r="964">
      <c r="A964" s="103"/>
      <c r="B964" s="103"/>
      <c r="C964" s="103"/>
      <c r="D964" s="103"/>
      <c r="E964" s="103"/>
      <c r="F964" s="103"/>
      <c r="G964" s="103"/>
      <c r="H964" s="103"/>
    </row>
    <row r="965">
      <c r="A965" s="103"/>
      <c r="B965" s="103"/>
      <c r="C965" s="103"/>
      <c r="D965" s="103"/>
      <c r="E965" s="103"/>
      <c r="F965" s="103"/>
      <c r="G965" s="103"/>
      <c r="H965" s="103"/>
    </row>
    <row r="966">
      <c r="A966" s="103"/>
      <c r="B966" s="103"/>
      <c r="C966" s="103"/>
      <c r="D966" s="103"/>
      <c r="E966" s="103"/>
      <c r="F966" s="103"/>
      <c r="G966" s="103"/>
      <c r="H966" s="103"/>
    </row>
    <row r="967">
      <c r="A967" s="103"/>
      <c r="B967" s="103"/>
      <c r="C967" s="103"/>
      <c r="D967" s="103"/>
      <c r="E967" s="103"/>
      <c r="F967" s="103"/>
      <c r="G967" s="103"/>
      <c r="H967" s="103"/>
    </row>
    <row r="968">
      <c r="A968" s="103"/>
      <c r="B968" s="103"/>
      <c r="C968" s="103"/>
      <c r="D968" s="103"/>
      <c r="E968" s="103"/>
      <c r="F968" s="103"/>
      <c r="G968" s="103"/>
      <c r="H968" s="103"/>
    </row>
    <row r="969">
      <c r="A969" s="103"/>
      <c r="B969" s="103"/>
      <c r="C969" s="103"/>
      <c r="D969" s="103"/>
      <c r="E969" s="103"/>
      <c r="F969" s="103"/>
      <c r="G969" s="103"/>
      <c r="H969" s="103"/>
    </row>
    <row r="970">
      <c r="A970" s="103"/>
      <c r="B970" s="103"/>
      <c r="C970" s="103"/>
      <c r="D970" s="103"/>
      <c r="E970" s="103"/>
      <c r="F970" s="103"/>
      <c r="G970" s="103"/>
      <c r="H970" s="103"/>
    </row>
    <row r="971">
      <c r="A971" s="103"/>
      <c r="B971" s="103"/>
      <c r="C971" s="103"/>
      <c r="D971" s="103"/>
      <c r="E971" s="103"/>
      <c r="F971" s="103"/>
      <c r="G971" s="103"/>
      <c r="H971" s="103"/>
    </row>
    <row r="972">
      <c r="A972" s="103"/>
      <c r="B972" s="103"/>
      <c r="C972" s="103"/>
      <c r="D972" s="103"/>
      <c r="E972" s="103"/>
      <c r="F972" s="103"/>
      <c r="G972" s="103"/>
      <c r="H972" s="103"/>
    </row>
    <row r="973">
      <c r="A973" s="103"/>
      <c r="B973" s="103"/>
      <c r="C973" s="103"/>
      <c r="D973" s="103"/>
      <c r="E973" s="103"/>
      <c r="F973" s="103"/>
      <c r="G973" s="103"/>
      <c r="H973" s="103"/>
    </row>
    <row r="974">
      <c r="A974" s="103"/>
      <c r="B974" s="103"/>
      <c r="C974" s="103"/>
      <c r="D974" s="103"/>
      <c r="E974" s="103"/>
      <c r="F974" s="103"/>
      <c r="G974" s="103"/>
      <c r="H974" s="103"/>
    </row>
    <row r="975">
      <c r="A975" s="103"/>
      <c r="B975" s="103"/>
      <c r="C975" s="103"/>
      <c r="D975" s="103"/>
      <c r="E975" s="103"/>
      <c r="F975" s="103"/>
      <c r="G975" s="103"/>
      <c r="H975" s="103"/>
    </row>
    <row r="976">
      <c r="A976" s="103"/>
      <c r="B976" s="103"/>
      <c r="C976" s="103"/>
      <c r="D976" s="103"/>
      <c r="E976" s="103"/>
      <c r="F976" s="103"/>
      <c r="G976" s="103"/>
      <c r="H976" s="103"/>
    </row>
    <row r="977">
      <c r="A977" s="103"/>
      <c r="B977" s="103"/>
      <c r="C977" s="103"/>
      <c r="D977" s="103"/>
      <c r="E977" s="103"/>
      <c r="F977" s="103"/>
      <c r="G977" s="103"/>
      <c r="H977" s="103"/>
    </row>
    <row r="978">
      <c r="A978" s="103"/>
      <c r="B978" s="103"/>
      <c r="C978" s="103"/>
      <c r="D978" s="103"/>
      <c r="E978" s="103"/>
      <c r="F978" s="103"/>
      <c r="G978" s="103"/>
      <c r="H978" s="103"/>
    </row>
    <row r="979">
      <c r="A979" s="103"/>
      <c r="B979" s="103"/>
      <c r="C979" s="103"/>
      <c r="D979" s="103"/>
      <c r="E979" s="103"/>
      <c r="F979" s="103"/>
      <c r="G979" s="103"/>
      <c r="H979" s="103"/>
    </row>
    <row r="980">
      <c r="A980" s="103"/>
      <c r="B980" s="103"/>
      <c r="C980" s="103"/>
      <c r="D980" s="103"/>
      <c r="E980" s="103"/>
      <c r="F980" s="103"/>
      <c r="G980" s="103"/>
      <c r="H980" s="103"/>
    </row>
    <row r="981">
      <c r="A981" s="103"/>
      <c r="B981" s="103"/>
      <c r="C981" s="103"/>
      <c r="D981" s="103"/>
      <c r="E981" s="103"/>
      <c r="F981" s="103"/>
      <c r="G981" s="103"/>
      <c r="H981" s="103"/>
    </row>
    <row r="982">
      <c r="A982" s="103"/>
      <c r="B982" s="103"/>
      <c r="C982" s="103"/>
      <c r="D982" s="103"/>
      <c r="E982" s="103"/>
      <c r="F982" s="103"/>
      <c r="G982" s="103"/>
      <c r="H982" s="103"/>
    </row>
    <row r="983">
      <c r="A983" s="103"/>
      <c r="B983" s="103"/>
      <c r="C983" s="103"/>
      <c r="D983" s="103"/>
      <c r="E983" s="103"/>
      <c r="F983" s="103"/>
      <c r="G983" s="103"/>
      <c r="H983" s="103"/>
    </row>
    <row r="984">
      <c r="A984" s="103"/>
      <c r="B984" s="103"/>
      <c r="C984" s="103"/>
      <c r="D984" s="103"/>
      <c r="E984" s="103"/>
      <c r="F984" s="103"/>
      <c r="G984" s="103"/>
      <c r="H984" s="103"/>
    </row>
    <row r="985">
      <c r="A985" s="103"/>
      <c r="B985" s="103"/>
      <c r="C985" s="103"/>
      <c r="D985" s="103"/>
      <c r="E985" s="103"/>
      <c r="F985" s="103"/>
      <c r="G985" s="103"/>
      <c r="H985" s="103"/>
    </row>
    <row r="986">
      <c r="A986" s="103"/>
      <c r="B986" s="103"/>
      <c r="C986" s="103"/>
      <c r="D986" s="103"/>
      <c r="E986" s="103"/>
      <c r="F986" s="103"/>
      <c r="G986" s="103"/>
      <c r="H986" s="103"/>
    </row>
    <row r="987">
      <c r="A987" s="103"/>
      <c r="B987" s="103"/>
      <c r="C987" s="103"/>
      <c r="D987" s="103"/>
      <c r="E987" s="103"/>
      <c r="F987" s="103"/>
      <c r="G987" s="103"/>
      <c r="H987" s="103"/>
    </row>
    <row r="988">
      <c r="A988" s="103"/>
      <c r="B988" s="103"/>
      <c r="C988" s="103"/>
      <c r="D988" s="103"/>
      <c r="E988" s="103"/>
      <c r="F988" s="103"/>
      <c r="G988" s="103"/>
      <c r="H988" s="103"/>
    </row>
    <row r="989">
      <c r="A989" s="103"/>
      <c r="B989" s="103"/>
      <c r="C989" s="103"/>
      <c r="D989" s="103"/>
      <c r="E989" s="103"/>
      <c r="F989" s="103"/>
      <c r="G989" s="103"/>
      <c r="H989" s="103"/>
    </row>
    <row r="990">
      <c r="A990" s="103"/>
      <c r="B990" s="103"/>
      <c r="C990" s="103"/>
      <c r="D990" s="103"/>
      <c r="E990" s="103"/>
      <c r="F990" s="103"/>
      <c r="G990" s="103"/>
      <c r="H990" s="103"/>
    </row>
    <row r="991">
      <c r="A991" s="103"/>
      <c r="B991" s="103"/>
      <c r="C991" s="103"/>
      <c r="D991" s="103"/>
      <c r="E991" s="103"/>
      <c r="F991" s="103"/>
      <c r="G991" s="103"/>
      <c r="H991" s="103"/>
    </row>
    <row r="992">
      <c r="A992" s="103"/>
      <c r="B992" s="103"/>
      <c r="C992" s="103"/>
      <c r="D992" s="103"/>
      <c r="E992" s="103"/>
      <c r="F992" s="103"/>
      <c r="G992" s="103"/>
      <c r="H992" s="103"/>
    </row>
    <row r="993">
      <c r="A993" s="103"/>
      <c r="B993" s="103"/>
      <c r="C993" s="103"/>
      <c r="D993" s="103"/>
      <c r="E993" s="103"/>
      <c r="F993" s="103"/>
      <c r="G993" s="103"/>
      <c r="H993" s="103"/>
    </row>
    <row r="994">
      <c r="A994" s="103"/>
      <c r="B994" s="103"/>
      <c r="C994" s="103"/>
      <c r="D994" s="103"/>
      <c r="E994" s="103"/>
      <c r="F994" s="103"/>
      <c r="G994" s="103"/>
      <c r="H994" s="103"/>
    </row>
    <row r="995">
      <c r="A995" s="103"/>
      <c r="B995" s="103"/>
      <c r="C995" s="103"/>
      <c r="D995" s="103"/>
      <c r="E995" s="103"/>
      <c r="F995" s="103"/>
      <c r="G995" s="103"/>
      <c r="H995" s="103"/>
    </row>
    <row r="996">
      <c r="A996" s="103"/>
      <c r="B996" s="103"/>
      <c r="C996" s="103"/>
      <c r="D996" s="103"/>
      <c r="E996" s="103"/>
      <c r="F996" s="103"/>
      <c r="G996" s="103"/>
      <c r="H996" s="103"/>
    </row>
    <row r="997">
      <c r="A997" s="103"/>
      <c r="B997" s="103"/>
      <c r="C997" s="103"/>
      <c r="D997" s="103"/>
      <c r="E997" s="103"/>
      <c r="F997" s="103"/>
      <c r="G997" s="103"/>
      <c r="H997" s="103"/>
    </row>
    <row r="998">
      <c r="A998" s="103"/>
      <c r="B998" s="103"/>
      <c r="C998" s="103"/>
      <c r="D998" s="103"/>
      <c r="E998" s="103"/>
      <c r="F998" s="103"/>
      <c r="G998" s="103"/>
      <c r="H998" s="103"/>
    </row>
    <row r="999">
      <c r="A999" s="103"/>
      <c r="B999" s="103"/>
      <c r="C999" s="103"/>
      <c r="D999" s="103"/>
      <c r="E999" s="103"/>
      <c r="F999" s="103"/>
      <c r="G999" s="103"/>
      <c r="H999" s="103"/>
    </row>
    <row r="1000">
      <c r="A1000" s="103"/>
      <c r="B1000" s="103"/>
      <c r="C1000" s="103"/>
      <c r="D1000" s="103"/>
      <c r="E1000" s="103"/>
      <c r="F1000" s="103"/>
      <c r="G1000" s="103"/>
      <c r="H1000" s="103"/>
    </row>
  </sheetData>
  <autoFilter ref="$A$1:$H$4"/>
  <dataValidations>
    <dataValidation type="list" allowBlank="1" showErrorMessage="1" sqref="H2:H4">
      <formula1>"EN OBSERVACIÓN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13"/>
    <col customWidth="1" min="4" max="4" width="35.5"/>
  </cols>
  <sheetData>
    <row r="1">
      <c r="A1" s="8" t="str">
        <f>IFERROR(__xludf.DUMMYFUNCTION("IMPORTRANGE(""https://docs.google.com/spreadsheets/d/1SL5v-2NtnvMap8bXHDoqaQJpdSl3VUhxEPIkoSQ4YqI/edit?gid=2038342701#gid=2038342701"",""SEG DIARIO!A:G"")")," ")</f>
        <v> </v>
      </c>
      <c r="B1" s="128"/>
      <c r="C1" s="128"/>
      <c r="D1" s="128"/>
      <c r="E1" s="128"/>
      <c r="F1" s="128"/>
      <c r="G1" s="128"/>
      <c r="I1" s="103"/>
      <c r="J1" s="103"/>
      <c r="K1" s="103"/>
      <c r="L1" s="103"/>
      <c r="M1" s="103"/>
      <c r="N1" s="103"/>
      <c r="O1" s="103"/>
      <c r="P1" s="103"/>
    </row>
    <row r="2">
      <c r="A2" s="8"/>
      <c r="B2" s="128" t="str">
        <f>IFERROR(__xludf.DUMMYFUNCTION("""COMPUTED_VALUE"""),"REV TECNICOMECANICA Y DE GASES (RTM)")</f>
        <v>REV TECNICOMECANICA Y DE GASES (RTM)</v>
      </c>
      <c r="C2" s="128"/>
      <c r="D2" s="128"/>
      <c r="E2" s="128"/>
      <c r="F2" s="128"/>
      <c r="G2" s="128"/>
      <c r="I2" s="103"/>
      <c r="J2" s="103"/>
      <c r="K2" s="103"/>
      <c r="L2" s="103"/>
      <c r="M2" s="103"/>
      <c r="N2" s="103"/>
      <c r="O2" s="103"/>
      <c r="P2" s="103"/>
    </row>
    <row r="3">
      <c r="A3" s="8"/>
      <c r="B3" s="128" t="str">
        <f>IFERROR(__xludf.DUMMYFUNCTION("""COMPUTED_VALUE"""),"ORDEN")</f>
        <v>ORDEN</v>
      </c>
      <c r="C3" s="128" t="str">
        <f>IFERROR(__xludf.DUMMYFUNCTION("""COMPUTED_VALUE"""),"MOVIL")</f>
        <v>MOVIL</v>
      </c>
      <c r="D3" s="128" t="str">
        <f>IFERROR(__xludf.DUMMYFUNCTION("""COMPUTED_VALUE"""),"DESCRIPCIÓN")</f>
        <v>DESCRIPCIÓN</v>
      </c>
      <c r="E3" s="128" t="str">
        <f>IFERROR(__xludf.DUMMYFUNCTION("""COMPUTED_VALUE"""),"VIGENCIA TEC")</f>
        <v>VIGENCIA TEC</v>
      </c>
      <c r="F3" s="128" t="str">
        <f>IFERROR(__xludf.DUMMYFUNCTION("""COMPUTED_VALUE"""),"PLACA")</f>
        <v>PLACA</v>
      </c>
      <c r="G3" s="128" t="str">
        <f>IFERROR(__xludf.DUMMYFUNCTION("""COMPUTED_VALUE"""),"POBLACIÓN")</f>
        <v>POBLACIÓN</v>
      </c>
      <c r="I3" s="134" t="s">
        <v>653</v>
      </c>
      <c r="J3" s="134" t="s">
        <v>654</v>
      </c>
      <c r="K3" s="134" t="s">
        <v>655</v>
      </c>
      <c r="L3" s="134" t="s">
        <v>656</v>
      </c>
      <c r="M3" s="134" t="s">
        <v>657</v>
      </c>
      <c r="N3" s="134" t="s">
        <v>658</v>
      </c>
      <c r="O3" s="134" t="s">
        <v>659</v>
      </c>
      <c r="P3" s="134" t="s">
        <v>660</v>
      </c>
    </row>
    <row r="4">
      <c r="A4" s="8"/>
      <c r="B4" s="128">
        <f>IFERROR(__xludf.DUMMYFUNCTION("""COMPUTED_VALUE"""),1.0)</f>
        <v>1</v>
      </c>
      <c r="C4" s="128">
        <f>IFERROR(__xludf.DUMMYFUNCTION("""COMPUTED_VALUE"""),3209.0)</f>
        <v>3209</v>
      </c>
      <c r="D4" s="128"/>
      <c r="E4" s="142">
        <f>IFERROR(__xludf.DUMMYFUNCTION("""COMPUTED_VALUE"""),-46215.0)</f>
        <v>-46215</v>
      </c>
      <c r="F4" s="128" t="str">
        <f>IFERROR(__xludf.DUMMYFUNCTION("""COMPUTED_VALUE"""),"PVS566")</f>
        <v>PVS566</v>
      </c>
      <c r="G4" s="128" t="str">
        <f>IFERROR(__xludf.DUMMYFUNCTION("""COMPUTED_VALUE"""),"02-Medellin")</f>
        <v>02-Medellin</v>
      </c>
      <c r="I4" s="78">
        <f t="shared" ref="I4:I5" si="1">IF($E$4&lt;=2,C4,"")</f>
        <v>3209</v>
      </c>
      <c r="J4" s="78">
        <f t="shared" ref="J4:J5" si="2">IF($E$5&lt;=3,C5,"")</f>
        <v>976</v>
      </c>
      <c r="K4" s="78">
        <f t="shared" ref="K4:K5" si="3">IF($E$6&lt;=4,C6,"")</f>
        <v>951</v>
      </c>
      <c r="L4" s="78">
        <f t="shared" ref="L4:L5" si="4">IF($E$7&lt;=5,C7,"")</f>
        <v>472</v>
      </c>
      <c r="M4" s="127">
        <f t="shared" ref="M4:M5" si="5">IF($E$7&lt;=6,C8,"")</f>
        <v>975</v>
      </c>
      <c r="N4" s="78">
        <f t="shared" ref="N4:N5" si="6">IF($E$7&lt;=7,C9,"")</f>
        <v>2858</v>
      </c>
      <c r="O4" s="78">
        <f t="shared" ref="O4:O5" si="7">IF($E$7&lt;=8,C10,"")</f>
        <v>2857</v>
      </c>
      <c r="P4" s="78">
        <f t="shared" ref="P4:P5" si="8">IF($E$7&lt;=9,C11,"")</f>
        <v>2856</v>
      </c>
    </row>
    <row r="5">
      <c r="A5" s="8"/>
      <c r="B5" s="128">
        <f>IFERROR(__xludf.DUMMYFUNCTION("""COMPUTED_VALUE"""),2.0)</f>
        <v>2</v>
      </c>
      <c r="C5" s="128">
        <f>IFERROR(__xludf.DUMMYFUNCTION("""COMPUTED_VALUE"""),976.0)</f>
        <v>976</v>
      </c>
      <c r="D5" s="141">
        <f>IFERROR(__xludf.DUMMYFUNCTION("""COMPUTED_VALUE"""),46047.0)</f>
        <v>46047</v>
      </c>
      <c r="E5" s="142">
        <f>IFERROR(__xludf.DUMMYFUNCTION("""COMPUTED_VALUE"""),-168.0)</f>
        <v>-168</v>
      </c>
      <c r="F5" s="128" t="str">
        <f>IFERROR(__xludf.DUMMYFUNCTION("""COMPUTED_VALUE"""),"EWZ999")</f>
        <v>EWZ999</v>
      </c>
      <c r="G5" s="128" t="str">
        <f>IFERROR(__xludf.DUMMYFUNCTION("""COMPUTED_VALUE"""),"02-Medellin")</f>
        <v>02-Medellin</v>
      </c>
      <c r="I5" s="78">
        <f t="shared" si="1"/>
        <v>976</v>
      </c>
      <c r="J5" s="78">
        <f t="shared" si="2"/>
        <v>951</v>
      </c>
      <c r="K5" s="78">
        <f t="shared" si="3"/>
        <v>472</v>
      </c>
      <c r="L5" s="78">
        <f t="shared" si="4"/>
        <v>975</v>
      </c>
      <c r="M5" s="127">
        <f t="shared" si="5"/>
        <v>2858</v>
      </c>
      <c r="N5" s="78">
        <f t="shared" si="6"/>
        <v>2857</v>
      </c>
      <c r="O5" s="78">
        <f t="shared" si="7"/>
        <v>2856</v>
      </c>
      <c r="P5" s="78">
        <f t="shared" si="8"/>
        <v>2866</v>
      </c>
    </row>
    <row r="6">
      <c r="A6" s="8"/>
      <c r="B6" s="128">
        <f>IFERROR(__xludf.DUMMYFUNCTION("""COMPUTED_VALUE"""),3.0)</f>
        <v>3</v>
      </c>
      <c r="C6" s="128">
        <f>IFERROR(__xludf.DUMMYFUNCTION("""COMPUTED_VALUE"""),951.0)</f>
        <v>951</v>
      </c>
      <c r="D6" s="141">
        <f>IFERROR(__xludf.DUMMYFUNCTION("""COMPUTED_VALUE"""),46211.0)</f>
        <v>46211</v>
      </c>
      <c r="E6" s="142">
        <f>IFERROR(__xludf.DUMMYFUNCTION("""COMPUTED_VALUE"""),-4.0)</f>
        <v>-4</v>
      </c>
      <c r="F6" s="128" t="str">
        <f>IFERROR(__xludf.DUMMYFUNCTION("""COMPUTED_VALUE"""),"TKG949")</f>
        <v>TKG949</v>
      </c>
      <c r="G6" s="128" t="str">
        <f>IFERROR(__xludf.DUMMYFUNCTION("""COMPUTED_VALUE"""),"02-Medellin")</f>
        <v>02-Medellin</v>
      </c>
      <c r="I6" s="103"/>
      <c r="J6" s="103"/>
      <c r="K6" s="103"/>
      <c r="L6" s="103"/>
      <c r="M6" s="103"/>
      <c r="N6" s="103"/>
      <c r="O6" s="103"/>
      <c r="P6" s="103"/>
    </row>
    <row r="7">
      <c r="A7" s="8"/>
      <c r="B7" s="128">
        <f>IFERROR(__xludf.DUMMYFUNCTION("""COMPUTED_VALUE"""),4.0)</f>
        <v>4</v>
      </c>
      <c r="C7" s="128">
        <f>IFERROR(__xludf.DUMMYFUNCTION("""COMPUTED_VALUE"""),472.0)</f>
        <v>472</v>
      </c>
      <c r="D7" s="141">
        <f>IFERROR(__xludf.DUMMYFUNCTION("""COMPUTED_VALUE"""),46213.0)</f>
        <v>46213</v>
      </c>
      <c r="E7" s="142">
        <f>IFERROR(__xludf.DUMMYFUNCTION("""COMPUTED_VALUE"""),-2.0)</f>
        <v>-2</v>
      </c>
      <c r="F7" s="128" t="str">
        <f>IFERROR(__xludf.DUMMYFUNCTION("""COMPUTED_VALUE"""),"TRH341")</f>
        <v>TRH341</v>
      </c>
      <c r="G7" s="128" t="str">
        <f>IFERROR(__xludf.DUMMYFUNCTION("""COMPUTED_VALUE"""),"02-Medellin")</f>
        <v>02-Medellin</v>
      </c>
      <c r="I7" s="103"/>
      <c r="J7" s="103"/>
      <c r="K7" s="103"/>
      <c r="L7" s="103"/>
      <c r="M7" s="103"/>
      <c r="N7" s="103"/>
      <c r="O7" s="103"/>
      <c r="P7" s="103"/>
    </row>
    <row r="8">
      <c r="A8" s="8"/>
      <c r="B8" s="128">
        <f>IFERROR(__xludf.DUMMYFUNCTION("""COMPUTED_VALUE"""),5.0)</f>
        <v>5</v>
      </c>
      <c r="C8" s="128">
        <f>IFERROR(__xludf.DUMMYFUNCTION("""COMPUTED_VALUE"""),975.0)</f>
        <v>975</v>
      </c>
      <c r="D8" s="141">
        <f>IFERROR(__xludf.DUMMYFUNCTION("""COMPUTED_VALUE"""),46214.0)</f>
        <v>46214</v>
      </c>
      <c r="E8" s="142">
        <f>IFERROR(__xludf.DUMMYFUNCTION("""COMPUTED_VALUE"""),-1.0)</f>
        <v>-1</v>
      </c>
      <c r="F8" s="128" t="str">
        <f>IFERROR(__xludf.DUMMYFUNCTION("""COMPUTED_VALUE"""),"ITX257")</f>
        <v>ITX257</v>
      </c>
      <c r="G8" s="128" t="str">
        <f>IFERROR(__xludf.DUMMYFUNCTION("""COMPUTED_VALUE"""),"02-Medellin")</f>
        <v>02-Medellin</v>
      </c>
      <c r="I8" s="103"/>
      <c r="J8" s="103"/>
      <c r="K8" s="103"/>
      <c r="L8" s="103"/>
      <c r="M8" s="103"/>
      <c r="N8" s="103"/>
      <c r="O8" s="103"/>
      <c r="P8" s="103"/>
    </row>
    <row r="9">
      <c r="A9" s="8"/>
      <c r="B9" s="128">
        <f>IFERROR(__xludf.DUMMYFUNCTION("""COMPUTED_VALUE"""),6.0)</f>
        <v>6</v>
      </c>
      <c r="C9" s="128">
        <f>IFERROR(__xludf.DUMMYFUNCTION("""COMPUTED_VALUE"""),2858.0)</f>
        <v>2858</v>
      </c>
      <c r="D9" s="141">
        <f>IFERROR(__xludf.DUMMYFUNCTION("""COMPUTED_VALUE"""),46215.0)</f>
        <v>46215</v>
      </c>
      <c r="E9" s="142">
        <f>IFERROR(__xludf.DUMMYFUNCTION("""COMPUTED_VALUE"""),0.0)</f>
        <v>0</v>
      </c>
      <c r="F9" s="128" t="str">
        <f>IFERROR(__xludf.DUMMYFUNCTION("""COMPUTED_VALUE"""),"NNZ272")</f>
        <v>NNZ272</v>
      </c>
      <c r="G9" s="128" t="str">
        <f>IFERROR(__xludf.DUMMYFUNCTION("""COMPUTED_VALUE"""),"MAYORCA")</f>
        <v>MAYORCA</v>
      </c>
      <c r="I9" s="103"/>
      <c r="J9" s="103"/>
      <c r="K9" s="103"/>
      <c r="L9" s="103"/>
      <c r="M9" s="103"/>
      <c r="N9" s="103"/>
      <c r="O9" s="103"/>
      <c r="P9" s="103"/>
    </row>
    <row r="10">
      <c r="A10" s="8"/>
      <c r="B10" s="128">
        <f>IFERROR(__xludf.DUMMYFUNCTION("""COMPUTED_VALUE"""),7.0)</f>
        <v>7</v>
      </c>
      <c r="C10" s="128">
        <f>IFERROR(__xludf.DUMMYFUNCTION("""COMPUTED_VALUE"""),2857.0)</f>
        <v>2857</v>
      </c>
      <c r="D10" s="141">
        <f>IFERROR(__xludf.DUMMYFUNCTION("""COMPUTED_VALUE"""),46215.0)</f>
        <v>46215</v>
      </c>
      <c r="E10" s="142">
        <f>IFERROR(__xludf.DUMMYFUNCTION("""COMPUTED_VALUE"""),0.0)</f>
        <v>0</v>
      </c>
      <c r="F10" s="128" t="str">
        <f>IFERROR(__xludf.DUMMYFUNCTION("""COMPUTED_VALUE"""),"NNZ271")</f>
        <v>NNZ271</v>
      </c>
      <c r="G10" s="128" t="str">
        <f>IFERROR(__xludf.DUMMYFUNCTION("""COMPUTED_VALUE"""),"24-Rionegro")</f>
        <v>24-Rionegro</v>
      </c>
      <c r="I10" s="103"/>
      <c r="J10" s="103"/>
      <c r="K10" s="103"/>
      <c r="L10" s="103"/>
      <c r="M10" s="103"/>
      <c r="N10" s="103"/>
      <c r="O10" s="103"/>
      <c r="P10" s="103"/>
    </row>
    <row r="11">
      <c r="A11" s="8"/>
      <c r="B11" s="128">
        <f>IFERROR(__xludf.DUMMYFUNCTION("""COMPUTED_VALUE"""),8.0)</f>
        <v>8</v>
      </c>
      <c r="C11" s="128">
        <f>IFERROR(__xludf.DUMMYFUNCTION("""COMPUTED_VALUE"""),2856.0)</f>
        <v>2856</v>
      </c>
      <c r="D11" s="141">
        <f>IFERROR(__xludf.DUMMYFUNCTION("""COMPUTED_VALUE"""),46215.0)</f>
        <v>46215</v>
      </c>
      <c r="E11" s="142">
        <f>IFERROR(__xludf.DUMMYFUNCTION("""COMPUTED_VALUE"""),0.0)</f>
        <v>0</v>
      </c>
      <c r="F11" s="128" t="str">
        <f>IFERROR(__xludf.DUMMYFUNCTION("""COMPUTED_VALUE"""),"NNZ267")</f>
        <v>NNZ267</v>
      </c>
      <c r="G11" s="128" t="str">
        <f>IFERROR(__xludf.DUMMYFUNCTION("""COMPUTED_VALUE"""),"MAYORCA")</f>
        <v>MAYORCA</v>
      </c>
      <c r="I11" s="103"/>
      <c r="J11" s="103"/>
      <c r="K11" s="103"/>
      <c r="L11" s="103"/>
      <c r="M11" s="103"/>
      <c r="N11" s="103"/>
      <c r="O11" s="103"/>
      <c r="P11" s="103"/>
    </row>
    <row r="12">
      <c r="A12" s="8"/>
      <c r="B12" s="128">
        <f>IFERROR(__xludf.DUMMYFUNCTION("""COMPUTED_VALUE"""),9.0)</f>
        <v>9</v>
      </c>
      <c r="C12" s="128">
        <f>IFERROR(__xludf.DUMMYFUNCTION("""COMPUTED_VALUE"""),2866.0)</f>
        <v>2866</v>
      </c>
      <c r="D12" s="141">
        <f>IFERROR(__xludf.DUMMYFUNCTION("""COMPUTED_VALUE"""),46221.0)</f>
        <v>46221</v>
      </c>
      <c r="E12" s="142">
        <f>IFERROR(__xludf.DUMMYFUNCTION("""COMPUTED_VALUE"""),6.0)</f>
        <v>6</v>
      </c>
      <c r="F12" s="128" t="str">
        <f>IFERROR(__xludf.DUMMYFUNCTION("""COMPUTED_VALUE"""),"NNZ281")</f>
        <v>NNZ281</v>
      </c>
      <c r="G12" s="128" t="str">
        <f>IFERROR(__xludf.DUMMYFUNCTION("""COMPUTED_VALUE"""),"02-Medellin")</f>
        <v>02-Medellin</v>
      </c>
      <c r="I12" s="103"/>
      <c r="J12" s="103"/>
      <c r="K12" s="103"/>
      <c r="L12" s="103"/>
      <c r="M12" s="103"/>
      <c r="N12" s="103"/>
      <c r="O12" s="103"/>
      <c r="P12" s="103"/>
    </row>
    <row r="13">
      <c r="A13" s="8"/>
      <c r="B13" s="128">
        <f>IFERROR(__xludf.DUMMYFUNCTION("""COMPUTED_VALUE"""),10.0)</f>
        <v>10</v>
      </c>
      <c r="C13" s="128">
        <f>IFERROR(__xludf.DUMMYFUNCTION("""COMPUTED_VALUE"""),2862.0)</f>
        <v>2862</v>
      </c>
      <c r="D13" s="141">
        <f>IFERROR(__xludf.DUMMYFUNCTION("""COMPUTED_VALUE"""),46221.0)</f>
        <v>46221</v>
      </c>
      <c r="E13" s="142">
        <f>IFERROR(__xludf.DUMMYFUNCTION("""COMPUTED_VALUE"""),6.0)</f>
        <v>6</v>
      </c>
      <c r="F13" s="128" t="str">
        <f>IFERROR(__xludf.DUMMYFUNCTION("""COMPUTED_VALUE"""),"NNZ276")</f>
        <v>NNZ276</v>
      </c>
      <c r="G13" s="128" t="str">
        <f>IFERROR(__xludf.DUMMYFUNCTION("""COMPUTED_VALUE"""),"02-Medellin")</f>
        <v>02-Medellin</v>
      </c>
      <c r="I13" s="103"/>
      <c r="J13" s="103"/>
      <c r="K13" s="103"/>
      <c r="L13" s="103"/>
      <c r="M13" s="103"/>
      <c r="N13" s="103"/>
      <c r="O13" s="103"/>
      <c r="P13" s="103"/>
    </row>
    <row r="14">
      <c r="A14" s="8"/>
      <c r="B14" s="128">
        <f>IFERROR(__xludf.DUMMYFUNCTION("""COMPUTED_VALUE"""),11.0)</f>
        <v>11</v>
      </c>
      <c r="C14" s="128">
        <f>IFERROR(__xludf.DUMMYFUNCTION("""COMPUTED_VALUE"""),2860.0)</f>
        <v>2860</v>
      </c>
      <c r="D14" s="141">
        <f>IFERROR(__xludf.DUMMYFUNCTION("""COMPUTED_VALUE"""),46221.0)</f>
        <v>46221</v>
      </c>
      <c r="E14" s="142">
        <f>IFERROR(__xludf.DUMMYFUNCTION("""COMPUTED_VALUE"""),6.0)</f>
        <v>6</v>
      </c>
      <c r="F14" s="128" t="str">
        <f>IFERROR(__xludf.DUMMYFUNCTION("""COMPUTED_VALUE"""),"NNZ274")</f>
        <v>NNZ274</v>
      </c>
      <c r="G14" s="128" t="str">
        <f>IFERROR(__xludf.DUMMYFUNCTION("""COMPUTED_VALUE"""),"02-Medellin")</f>
        <v>02-Medellin</v>
      </c>
      <c r="I14" s="103"/>
      <c r="J14" s="103"/>
      <c r="K14" s="103"/>
      <c r="L14" s="103"/>
      <c r="M14" s="103"/>
      <c r="N14" s="103"/>
      <c r="O14" s="103"/>
      <c r="P14" s="103"/>
    </row>
    <row r="15">
      <c r="A15" s="8"/>
      <c r="B15" s="128">
        <f>IFERROR(__xludf.DUMMYFUNCTION("""COMPUTED_VALUE"""),12.0)</f>
        <v>12</v>
      </c>
      <c r="C15" s="128">
        <f>IFERROR(__xludf.DUMMYFUNCTION("""COMPUTED_VALUE"""),2881.0)</f>
        <v>2881</v>
      </c>
      <c r="D15" s="141">
        <f>IFERROR(__xludf.DUMMYFUNCTION("""COMPUTED_VALUE"""),46226.0)</f>
        <v>46226</v>
      </c>
      <c r="E15" s="142">
        <f>IFERROR(__xludf.DUMMYFUNCTION("""COMPUTED_VALUE"""),11.0)</f>
        <v>11</v>
      </c>
      <c r="F15" s="128" t="str">
        <f>IFERROR(__xludf.DUMMYFUNCTION("""COMPUTED_VALUE"""),"NNZ296")</f>
        <v>NNZ296</v>
      </c>
      <c r="G15" s="128" t="str">
        <f>IFERROR(__xludf.DUMMYFUNCTION("""COMPUTED_VALUE"""),"02-Medellin")</f>
        <v>02-Medellin</v>
      </c>
      <c r="I15" s="103"/>
      <c r="J15" s="103"/>
      <c r="K15" s="103"/>
      <c r="L15" s="103"/>
      <c r="M15" s="103"/>
      <c r="N15" s="103"/>
      <c r="O15" s="103"/>
      <c r="P15" s="103"/>
    </row>
    <row r="16">
      <c r="A16" s="8"/>
      <c r="B16" s="128">
        <f>IFERROR(__xludf.DUMMYFUNCTION("""COMPUTED_VALUE"""),13.0)</f>
        <v>13</v>
      </c>
      <c r="C16" s="128">
        <f>IFERROR(__xludf.DUMMYFUNCTION("""COMPUTED_VALUE"""),2880.0)</f>
        <v>2880</v>
      </c>
      <c r="D16" s="141">
        <f>IFERROR(__xludf.DUMMYFUNCTION("""COMPUTED_VALUE"""),46226.0)</f>
        <v>46226</v>
      </c>
      <c r="E16" s="142">
        <f>IFERROR(__xludf.DUMMYFUNCTION("""COMPUTED_VALUE"""),11.0)</f>
        <v>11</v>
      </c>
      <c r="F16" s="128" t="str">
        <f>IFERROR(__xludf.DUMMYFUNCTION("""COMPUTED_VALUE"""),"NNZ295")</f>
        <v>NNZ295</v>
      </c>
      <c r="G16" s="128" t="str">
        <f>IFERROR(__xludf.DUMMYFUNCTION("""COMPUTED_VALUE"""),"MAYORCA")</f>
        <v>MAYORCA</v>
      </c>
      <c r="I16" s="103"/>
      <c r="J16" s="103"/>
      <c r="K16" s="103"/>
      <c r="L16" s="103"/>
      <c r="M16" s="103"/>
      <c r="N16" s="103"/>
      <c r="O16" s="103"/>
      <c r="P16" s="103"/>
    </row>
    <row r="17">
      <c r="A17" s="8"/>
      <c r="B17" s="128">
        <f>IFERROR(__xludf.DUMMYFUNCTION("""COMPUTED_VALUE"""),14.0)</f>
        <v>14</v>
      </c>
      <c r="C17" s="128">
        <f>IFERROR(__xludf.DUMMYFUNCTION("""COMPUTED_VALUE"""),2879.0)</f>
        <v>2879</v>
      </c>
      <c r="D17" s="141">
        <f>IFERROR(__xludf.DUMMYFUNCTION("""COMPUTED_VALUE"""),46226.0)</f>
        <v>46226</v>
      </c>
      <c r="E17" s="142">
        <f>IFERROR(__xludf.DUMMYFUNCTION("""COMPUTED_VALUE"""),11.0)</f>
        <v>11</v>
      </c>
      <c r="F17" s="128" t="str">
        <f>IFERROR(__xludf.DUMMYFUNCTION("""COMPUTED_VALUE"""),"NNZ294")</f>
        <v>NNZ294</v>
      </c>
      <c r="G17" s="128" t="str">
        <f>IFERROR(__xludf.DUMMYFUNCTION("""COMPUTED_VALUE"""),"02-Medellin")</f>
        <v>02-Medellin</v>
      </c>
      <c r="I17" s="103"/>
      <c r="J17" s="103"/>
      <c r="K17" s="103"/>
      <c r="L17" s="103"/>
      <c r="M17" s="103"/>
      <c r="N17" s="103"/>
      <c r="O17" s="103"/>
      <c r="P17" s="103"/>
    </row>
    <row r="18">
      <c r="A18" s="8"/>
      <c r="B18" s="128">
        <f>IFERROR(__xludf.DUMMYFUNCTION("""COMPUTED_VALUE"""),15.0)</f>
        <v>15</v>
      </c>
      <c r="C18" s="128">
        <f>IFERROR(__xludf.DUMMYFUNCTION("""COMPUTED_VALUE"""),2878.0)</f>
        <v>2878</v>
      </c>
      <c r="D18" s="141">
        <f>IFERROR(__xludf.DUMMYFUNCTION("""COMPUTED_VALUE"""),46226.0)</f>
        <v>46226</v>
      </c>
      <c r="E18" s="142">
        <f>IFERROR(__xludf.DUMMYFUNCTION("""COMPUTED_VALUE"""),11.0)</f>
        <v>11</v>
      </c>
      <c r="F18" s="128" t="str">
        <f>IFERROR(__xludf.DUMMYFUNCTION("""COMPUTED_VALUE"""),"NNZ293")</f>
        <v>NNZ293</v>
      </c>
      <c r="G18" s="128" t="str">
        <f>IFERROR(__xludf.DUMMYFUNCTION("""COMPUTED_VALUE"""),"02-Medellin")</f>
        <v>02-Medellin</v>
      </c>
      <c r="I18" s="103"/>
      <c r="J18" s="103"/>
      <c r="K18" s="103"/>
      <c r="L18" s="103"/>
      <c r="M18" s="103"/>
      <c r="N18" s="103"/>
      <c r="O18" s="103"/>
      <c r="P18" s="103"/>
    </row>
    <row r="19">
      <c r="A19" s="8"/>
      <c r="B19" s="128">
        <f>IFERROR(__xludf.DUMMYFUNCTION("""COMPUTED_VALUE"""),16.0)</f>
        <v>16</v>
      </c>
      <c r="C19" s="128">
        <f>IFERROR(__xludf.DUMMYFUNCTION("""COMPUTED_VALUE"""),2877.0)</f>
        <v>2877</v>
      </c>
      <c r="D19" s="141">
        <f>IFERROR(__xludf.DUMMYFUNCTION("""COMPUTED_VALUE"""),46226.0)</f>
        <v>46226</v>
      </c>
      <c r="E19" s="142">
        <f>IFERROR(__xludf.DUMMYFUNCTION("""COMPUTED_VALUE"""),11.0)</f>
        <v>11</v>
      </c>
      <c r="F19" s="128" t="str">
        <f>IFERROR(__xludf.DUMMYFUNCTION("""COMPUTED_VALUE"""),"NNZ292")</f>
        <v>NNZ292</v>
      </c>
      <c r="G19" s="128" t="str">
        <f>IFERROR(__xludf.DUMMYFUNCTION("""COMPUTED_VALUE"""),"MAYORCA")</f>
        <v>MAYORCA</v>
      </c>
      <c r="I19" s="103"/>
      <c r="J19" s="103"/>
      <c r="K19" s="103"/>
      <c r="L19" s="103"/>
      <c r="M19" s="103"/>
      <c r="N19" s="103"/>
      <c r="O19" s="103"/>
      <c r="P19" s="103"/>
    </row>
    <row r="20">
      <c r="A20" s="8"/>
      <c r="B20" s="128">
        <f>IFERROR(__xludf.DUMMYFUNCTION("""COMPUTED_VALUE"""),17.0)</f>
        <v>17</v>
      </c>
      <c r="C20" s="128">
        <f>IFERROR(__xludf.DUMMYFUNCTION("""COMPUTED_VALUE"""),2876.0)</f>
        <v>2876</v>
      </c>
      <c r="D20" s="141">
        <f>IFERROR(__xludf.DUMMYFUNCTION("""COMPUTED_VALUE"""),46226.0)</f>
        <v>46226</v>
      </c>
      <c r="E20" s="142">
        <f>IFERROR(__xludf.DUMMYFUNCTION("""COMPUTED_VALUE"""),11.0)</f>
        <v>11</v>
      </c>
      <c r="F20" s="128" t="str">
        <f>IFERROR(__xludf.DUMMYFUNCTION("""COMPUTED_VALUE"""),"NNZ291")</f>
        <v>NNZ291</v>
      </c>
      <c r="G20" s="128" t="str">
        <f>IFERROR(__xludf.DUMMYFUNCTION("""COMPUTED_VALUE"""),"02-Medellin")</f>
        <v>02-Medellin</v>
      </c>
      <c r="I20" s="103"/>
      <c r="J20" s="103"/>
      <c r="K20" s="103"/>
      <c r="L20" s="103"/>
      <c r="M20" s="103"/>
      <c r="N20" s="103"/>
      <c r="O20" s="103"/>
      <c r="P20" s="103"/>
    </row>
    <row r="21">
      <c r="A21" s="8"/>
      <c r="B21" s="128">
        <f>IFERROR(__xludf.DUMMYFUNCTION("""COMPUTED_VALUE"""),18.0)</f>
        <v>18</v>
      </c>
      <c r="C21" s="128">
        <f>IFERROR(__xludf.DUMMYFUNCTION("""COMPUTED_VALUE"""),2875.0)</f>
        <v>2875</v>
      </c>
      <c r="D21" s="141">
        <f>IFERROR(__xludf.DUMMYFUNCTION("""COMPUTED_VALUE"""),46226.0)</f>
        <v>46226</v>
      </c>
      <c r="E21" s="142">
        <f>IFERROR(__xludf.DUMMYFUNCTION("""COMPUTED_VALUE"""),11.0)</f>
        <v>11</v>
      </c>
      <c r="F21" s="128" t="str">
        <f>IFERROR(__xludf.DUMMYFUNCTION("""COMPUTED_VALUE"""),"NNZ290")</f>
        <v>NNZ290</v>
      </c>
      <c r="G21" s="128" t="str">
        <f>IFERROR(__xludf.DUMMYFUNCTION("""COMPUTED_VALUE"""),"02-Medellin")</f>
        <v>02-Medellin</v>
      </c>
      <c r="I21" s="103"/>
      <c r="J21" s="103"/>
      <c r="K21" s="103"/>
      <c r="L21" s="103"/>
      <c r="M21" s="103"/>
      <c r="N21" s="103"/>
      <c r="O21" s="103"/>
      <c r="P21" s="103"/>
    </row>
    <row r="22">
      <c r="A22" s="8"/>
      <c r="B22" s="128">
        <f>IFERROR(__xludf.DUMMYFUNCTION("""COMPUTED_VALUE"""),19.0)</f>
        <v>19</v>
      </c>
      <c r="C22" s="128">
        <f>IFERROR(__xludf.DUMMYFUNCTION("""COMPUTED_VALUE"""),2867.0)</f>
        <v>2867</v>
      </c>
      <c r="D22" s="141">
        <f>IFERROR(__xludf.DUMMYFUNCTION("""COMPUTED_VALUE"""),46226.0)</f>
        <v>46226</v>
      </c>
      <c r="E22" s="142">
        <f>IFERROR(__xludf.DUMMYFUNCTION("""COMPUTED_VALUE"""),11.0)</f>
        <v>11</v>
      </c>
      <c r="F22" s="128" t="str">
        <f>IFERROR(__xludf.DUMMYFUNCTION("""COMPUTED_VALUE"""),"NNZ282")</f>
        <v>NNZ282</v>
      </c>
      <c r="G22" s="128" t="str">
        <f>IFERROR(__xludf.DUMMYFUNCTION("""COMPUTED_VALUE"""),"02-Medellin")</f>
        <v>02-Medellin</v>
      </c>
      <c r="I22" s="103"/>
      <c r="J22" s="103"/>
      <c r="K22" s="103"/>
      <c r="L22" s="103"/>
      <c r="M22" s="103"/>
      <c r="N22" s="103"/>
      <c r="O22" s="103"/>
      <c r="P22" s="103"/>
    </row>
    <row r="23">
      <c r="A23" s="8"/>
      <c r="B23" s="128">
        <f>IFERROR(__xludf.DUMMYFUNCTION("""COMPUTED_VALUE"""),20.0)</f>
        <v>20</v>
      </c>
      <c r="C23" s="128">
        <f>IFERROR(__xludf.DUMMYFUNCTION("""COMPUTED_VALUE"""),2861.0)</f>
        <v>2861</v>
      </c>
      <c r="D23" s="141">
        <f>IFERROR(__xludf.DUMMYFUNCTION("""COMPUTED_VALUE"""),46226.0)</f>
        <v>46226</v>
      </c>
      <c r="E23" s="142">
        <f>IFERROR(__xludf.DUMMYFUNCTION("""COMPUTED_VALUE"""),11.0)</f>
        <v>11</v>
      </c>
      <c r="F23" s="128" t="str">
        <f>IFERROR(__xludf.DUMMYFUNCTION("""COMPUTED_VALUE"""),"NNZ275")</f>
        <v>NNZ275</v>
      </c>
      <c r="G23" s="128" t="str">
        <f>IFERROR(__xludf.DUMMYFUNCTION("""COMPUTED_VALUE"""),"02-Medellin")</f>
        <v>02-Medellin</v>
      </c>
      <c r="I23" s="103"/>
      <c r="J23" s="103"/>
      <c r="K23" s="103"/>
      <c r="L23" s="103"/>
      <c r="M23" s="103"/>
      <c r="N23" s="103"/>
      <c r="O23" s="103"/>
      <c r="P23" s="103"/>
    </row>
    <row r="24">
      <c r="A24" s="8"/>
      <c r="B24" s="128">
        <f>IFERROR(__xludf.DUMMYFUNCTION("""COMPUTED_VALUE"""),21.0)</f>
        <v>21</v>
      </c>
      <c r="C24" s="128">
        <f>IFERROR(__xludf.DUMMYFUNCTION("""COMPUTED_VALUE"""),2859.0)</f>
        <v>2859</v>
      </c>
      <c r="D24" s="141">
        <f>IFERROR(__xludf.DUMMYFUNCTION("""COMPUTED_VALUE"""),46226.0)</f>
        <v>46226</v>
      </c>
      <c r="E24" s="142">
        <f>IFERROR(__xludf.DUMMYFUNCTION("""COMPUTED_VALUE"""),11.0)</f>
        <v>11</v>
      </c>
      <c r="F24" s="128" t="str">
        <f>IFERROR(__xludf.DUMMYFUNCTION("""COMPUTED_VALUE"""),"NNZ273")</f>
        <v>NNZ273</v>
      </c>
      <c r="G24" s="128" t="str">
        <f>IFERROR(__xludf.DUMMYFUNCTION("""COMPUTED_VALUE"""),"MAYORCA")</f>
        <v>MAYORCA</v>
      </c>
      <c r="I24" s="103"/>
      <c r="J24" s="103"/>
      <c r="K24" s="103"/>
      <c r="L24" s="103"/>
      <c r="M24" s="103"/>
      <c r="N24" s="103"/>
      <c r="O24" s="103"/>
      <c r="P24" s="103"/>
    </row>
    <row r="25">
      <c r="A25" s="8"/>
      <c r="B25" s="128">
        <f>IFERROR(__xludf.DUMMYFUNCTION("""COMPUTED_VALUE"""),22.0)</f>
        <v>22</v>
      </c>
      <c r="C25" s="128">
        <f>IFERROR(__xludf.DUMMYFUNCTION("""COMPUTED_VALUE"""),2890.0)</f>
        <v>2890</v>
      </c>
      <c r="D25" s="141">
        <f>IFERROR(__xludf.DUMMYFUNCTION("""COMPUTED_VALUE"""),46233.0)</f>
        <v>46233</v>
      </c>
      <c r="E25" s="142">
        <f>IFERROR(__xludf.DUMMYFUNCTION("""COMPUTED_VALUE"""),18.0)</f>
        <v>18</v>
      </c>
      <c r="F25" s="128" t="str">
        <f>IFERROR(__xludf.DUMMYFUNCTION("""COMPUTED_VALUE"""),"NNZ308")</f>
        <v>NNZ308</v>
      </c>
      <c r="G25" s="128" t="str">
        <f>IFERROR(__xludf.DUMMYFUNCTION("""COMPUTED_VALUE"""),"02-Medellin")</f>
        <v>02-Medellin</v>
      </c>
      <c r="I25" s="103"/>
      <c r="J25" s="103"/>
      <c r="K25" s="103"/>
      <c r="L25" s="103"/>
      <c r="M25" s="103"/>
      <c r="N25" s="103"/>
      <c r="O25" s="103"/>
      <c r="P25" s="103"/>
    </row>
    <row r="26">
      <c r="A26" s="8"/>
      <c r="B26" s="128">
        <f>IFERROR(__xludf.DUMMYFUNCTION("""COMPUTED_VALUE"""),23.0)</f>
        <v>23</v>
      </c>
      <c r="C26" s="128">
        <f>IFERROR(__xludf.DUMMYFUNCTION("""COMPUTED_VALUE"""),2889.0)</f>
        <v>2889</v>
      </c>
      <c r="D26" s="141">
        <f>IFERROR(__xludf.DUMMYFUNCTION("""COMPUTED_VALUE"""),46233.0)</f>
        <v>46233</v>
      </c>
      <c r="E26" s="142">
        <f>IFERROR(__xludf.DUMMYFUNCTION("""COMPUTED_VALUE"""),18.0)</f>
        <v>18</v>
      </c>
      <c r="F26" s="128" t="str">
        <f>IFERROR(__xludf.DUMMYFUNCTION("""COMPUTED_VALUE"""),"NNZ307")</f>
        <v>NNZ307</v>
      </c>
      <c r="G26" s="128" t="str">
        <f>IFERROR(__xludf.DUMMYFUNCTION("""COMPUTED_VALUE"""),"31-Copacabana")</f>
        <v>31-Copacabana</v>
      </c>
      <c r="I26" s="103"/>
      <c r="J26" s="103"/>
      <c r="K26" s="103"/>
      <c r="L26" s="103"/>
      <c r="M26" s="103"/>
      <c r="N26" s="103"/>
      <c r="O26" s="103"/>
      <c r="P26" s="103"/>
    </row>
    <row r="27">
      <c r="A27" s="8"/>
      <c r="B27" s="128">
        <f>IFERROR(__xludf.DUMMYFUNCTION("""COMPUTED_VALUE"""),24.0)</f>
        <v>24</v>
      </c>
      <c r="C27" s="128">
        <f>IFERROR(__xludf.DUMMYFUNCTION("""COMPUTED_VALUE"""),2888.0)</f>
        <v>2888</v>
      </c>
      <c r="D27" s="141">
        <f>IFERROR(__xludf.DUMMYFUNCTION("""COMPUTED_VALUE"""),46233.0)</f>
        <v>46233</v>
      </c>
      <c r="E27" s="142">
        <f>IFERROR(__xludf.DUMMYFUNCTION("""COMPUTED_VALUE"""),18.0)</f>
        <v>18</v>
      </c>
      <c r="F27" s="128" t="str">
        <f>IFERROR(__xludf.DUMMYFUNCTION("""COMPUTED_VALUE"""),"NNZ306")</f>
        <v>NNZ306</v>
      </c>
      <c r="G27" s="128" t="str">
        <f>IFERROR(__xludf.DUMMYFUNCTION("""COMPUTED_VALUE"""),"24-Rionegro")</f>
        <v>24-Rionegro</v>
      </c>
      <c r="I27" s="103"/>
      <c r="J27" s="103"/>
      <c r="K27" s="103"/>
      <c r="L27" s="103"/>
      <c r="M27" s="103"/>
      <c r="N27" s="103"/>
      <c r="O27" s="103"/>
      <c r="P27" s="103"/>
    </row>
    <row r="28">
      <c r="A28" s="8"/>
      <c r="B28" s="128">
        <f>IFERROR(__xludf.DUMMYFUNCTION("""COMPUTED_VALUE"""),25.0)</f>
        <v>25</v>
      </c>
      <c r="C28" s="128">
        <f>IFERROR(__xludf.DUMMYFUNCTION("""COMPUTED_VALUE"""),2887.0)</f>
        <v>2887</v>
      </c>
      <c r="D28" s="141">
        <f>IFERROR(__xludf.DUMMYFUNCTION("""COMPUTED_VALUE"""),46233.0)</f>
        <v>46233</v>
      </c>
      <c r="E28" s="142">
        <f>IFERROR(__xludf.DUMMYFUNCTION("""COMPUTED_VALUE"""),18.0)</f>
        <v>18</v>
      </c>
      <c r="F28" s="128" t="str">
        <f>IFERROR(__xludf.DUMMYFUNCTION("""COMPUTED_VALUE"""),"NNZ305")</f>
        <v>NNZ305</v>
      </c>
      <c r="G28" s="128" t="str">
        <f>IFERROR(__xludf.DUMMYFUNCTION("""COMPUTED_VALUE"""),"02-Medellin")</f>
        <v>02-Medellin</v>
      </c>
      <c r="I28" s="103"/>
      <c r="J28" s="103"/>
      <c r="K28" s="103"/>
      <c r="L28" s="103"/>
      <c r="M28" s="103"/>
      <c r="N28" s="103"/>
      <c r="O28" s="103"/>
      <c r="P28" s="103"/>
    </row>
    <row r="29">
      <c r="A29" s="8"/>
      <c r="B29" s="128">
        <f>IFERROR(__xludf.DUMMYFUNCTION("""COMPUTED_VALUE"""),26.0)</f>
        <v>26</v>
      </c>
      <c r="C29" s="128">
        <f>IFERROR(__xludf.DUMMYFUNCTION("""COMPUTED_VALUE"""),2886.0)</f>
        <v>2886</v>
      </c>
      <c r="D29" s="141">
        <f>IFERROR(__xludf.DUMMYFUNCTION("""COMPUTED_VALUE"""),46233.0)</f>
        <v>46233</v>
      </c>
      <c r="E29" s="142">
        <f>IFERROR(__xludf.DUMMYFUNCTION("""COMPUTED_VALUE"""),18.0)</f>
        <v>18</v>
      </c>
      <c r="F29" s="128" t="str">
        <f>IFERROR(__xludf.DUMMYFUNCTION("""COMPUTED_VALUE"""),"NNZ304")</f>
        <v>NNZ304</v>
      </c>
      <c r="G29" s="128" t="str">
        <f>IFERROR(__xludf.DUMMYFUNCTION("""COMPUTED_VALUE"""),"02-Medellin")</f>
        <v>02-Medellin</v>
      </c>
      <c r="I29" s="103"/>
      <c r="J29" s="103"/>
      <c r="K29" s="103"/>
      <c r="L29" s="103"/>
      <c r="M29" s="103"/>
      <c r="N29" s="103"/>
      <c r="O29" s="103"/>
      <c r="P29" s="103"/>
    </row>
    <row r="30">
      <c r="A30" s="8"/>
      <c r="B30" s="128">
        <f>IFERROR(__xludf.DUMMYFUNCTION("""COMPUTED_VALUE"""),27.0)</f>
        <v>27</v>
      </c>
      <c r="C30" s="128">
        <f>IFERROR(__xludf.DUMMYFUNCTION("""COMPUTED_VALUE"""),2885.0)</f>
        <v>2885</v>
      </c>
      <c r="D30" s="141">
        <f>IFERROR(__xludf.DUMMYFUNCTION("""COMPUTED_VALUE"""),46233.0)</f>
        <v>46233</v>
      </c>
      <c r="E30" s="142">
        <f>IFERROR(__xludf.DUMMYFUNCTION("""COMPUTED_VALUE"""),18.0)</f>
        <v>18</v>
      </c>
      <c r="F30" s="128" t="str">
        <f>IFERROR(__xludf.DUMMYFUNCTION("""COMPUTED_VALUE"""),"NNZ303")</f>
        <v>NNZ303</v>
      </c>
      <c r="G30" s="128" t="str">
        <f>IFERROR(__xludf.DUMMYFUNCTION("""COMPUTED_VALUE"""),"MAYORCA")</f>
        <v>MAYORCA</v>
      </c>
      <c r="I30" s="103"/>
      <c r="J30" s="103"/>
      <c r="K30" s="103"/>
      <c r="L30" s="103"/>
      <c r="M30" s="103"/>
      <c r="N30" s="103"/>
      <c r="O30" s="103"/>
      <c r="P30" s="103"/>
    </row>
    <row r="31">
      <c r="A31" s="8"/>
      <c r="B31" s="128">
        <f>IFERROR(__xludf.DUMMYFUNCTION("""COMPUTED_VALUE"""),28.0)</f>
        <v>28</v>
      </c>
      <c r="C31" s="128">
        <f>IFERROR(__xludf.DUMMYFUNCTION("""COMPUTED_VALUE"""),2884.0)</f>
        <v>2884</v>
      </c>
      <c r="D31" s="141">
        <f>IFERROR(__xludf.DUMMYFUNCTION("""COMPUTED_VALUE"""),46233.0)</f>
        <v>46233</v>
      </c>
      <c r="E31" s="142">
        <f>IFERROR(__xludf.DUMMYFUNCTION("""COMPUTED_VALUE"""),18.0)</f>
        <v>18</v>
      </c>
      <c r="F31" s="128" t="str">
        <f>IFERROR(__xludf.DUMMYFUNCTION("""COMPUTED_VALUE"""),"NNZ302")</f>
        <v>NNZ302</v>
      </c>
      <c r="G31" s="128" t="str">
        <f>IFERROR(__xludf.DUMMYFUNCTION("""COMPUTED_VALUE"""),"24-Rionegro")</f>
        <v>24-Rionegro</v>
      </c>
      <c r="I31" s="103"/>
      <c r="J31" s="103"/>
      <c r="K31" s="103"/>
      <c r="L31" s="103"/>
      <c r="M31" s="103"/>
      <c r="N31" s="103"/>
      <c r="O31" s="103"/>
      <c r="P31" s="103"/>
    </row>
    <row r="32">
      <c r="A32" s="8"/>
      <c r="B32" s="128">
        <f>IFERROR(__xludf.DUMMYFUNCTION("""COMPUTED_VALUE"""),29.0)</f>
        <v>29</v>
      </c>
      <c r="C32" s="128">
        <f>IFERROR(__xludf.DUMMYFUNCTION("""COMPUTED_VALUE"""),2883.0)</f>
        <v>2883</v>
      </c>
      <c r="D32" s="141">
        <f>IFERROR(__xludf.DUMMYFUNCTION("""COMPUTED_VALUE"""),46233.0)</f>
        <v>46233</v>
      </c>
      <c r="E32" s="142">
        <f>IFERROR(__xludf.DUMMYFUNCTION("""COMPUTED_VALUE"""),18.0)</f>
        <v>18</v>
      </c>
      <c r="F32" s="128" t="str">
        <f>IFERROR(__xludf.DUMMYFUNCTION("""COMPUTED_VALUE"""),"NNZ301")</f>
        <v>NNZ301</v>
      </c>
      <c r="G32" s="128" t="str">
        <f>IFERROR(__xludf.DUMMYFUNCTION("""COMPUTED_VALUE"""),"MAYORCA")</f>
        <v>MAYORCA</v>
      </c>
      <c r="I32" s="103"/>
      <c r="J32" s="103"/>
      <c r="K32" s="103"/>
      <c r="L32" s="103"/>
      <c r="M32" s="103"/>
      <c r="N32" s="103"/>
      <c r="O32" s="103"/>
      <c r="P32" s="103"/>
    </row>
    <row r="33">
      <c r="A33" s="8"/>
      <c r="B33" s="128">
        <f>IFERROR(__xludf.DUMMYFUNCTION("""COMPUTED_VALUE"""),30.0)</f>
        <v>30</v>
      </c>
      <c r="C33" s="128">
        <f>IFERROR(__xludf.DUMMYFUNCTION("""COMPUTED_VALUE"""),2882.0)</f>
        <v>2882</v>
      </c>
      <c r="D33" s="141">
        <f>IFERROR(__xludf.DUMMYFUNCTION("""COMPUTED_VALUE"""),46233.0)</f>
        <v>46233</v>
      </c>
      <c r="E33" s="142">
        <f>IFERROR(__xludf.DUMMYFUNCTION("""COMPUTED_VALUE"""),18.0)</f>
        <v>18</v>
      </c>
      <c r="F33" s="128" t="str">
        <f>IFERROR(__xludf.DUMMYFUNCTION("""COMPUTED_VALUE"""),"NNZ300")</f>
        <v>NNZ300</v>
      </c>
      <c r="G33" s="128" t="str">
        <f>IFERROR(__xludf.DUMMYFUNCTION("""COMPUTED_VALUE"""),"38-La ceja")</f>
        <v>38-La ceja</v>
      </c>
      <c r="I33" s="103"/>
      <c r="J33" s="103"/>
      <c r="K33" s="103"/>
      <c r="L33" s="103"/>
      <c r="M33" s="103"/>
      <c r="N33" s="103"/>
      <c r="O33" s="103"/>
      <c r="P33" s="103"/>
    </row>
    <row r="34">
      <c r="A34" s="8"/>
      <c r="B34" s="128">
        <f>IFERROR(__xludf.DUMMYFUNCTION("""COMPUTED_VALUE"""),31.0)</f>
        <v>31</v>
      </c>
      <c r="C34" s="128">
        <f>IFERROR(__xludf.DUMMYFUNCTION("""COMPUTED_VALUE"""),2570.0)</f>
        <v>2570</v>
      </c>
      <c r="D34" s="141">
        <f>IFERROR(__xludf.DUMMYFUNCTION("""COMPUTED_VALUE"""),46236.0)</f>
        <v>46236</v>
      </c>
      <c r="E34" s="142">
        <f>IFERROR(__xludf.DUMMYFUNCTION("""COMPUTED_VALUE"""),21.0)</f>
        <v>21</v>
      </c>
      <c r="F34" s="128" t="str">
        <f>IFERROR(__xludf.DUMMYFUNCTION("""COMPUTED_VALUE"""),"GDW884")</f>
        <v>GDW884</v>
      </c>
      <c r="G34" s="128" t="str">
        <f>IFERROR(__xludf.DUMMYFUNCTION("""COMPUTED_VALUE"""),"02-Medellin")</f>
        <v>02-Medellin</v>
      </c>
      <c r="I34" s="103"/>
      <c r="J34" s="103"/>
      <c r="K34" s="103"/>
      <c r="L34" s="103"/>
      <c r="M34" s="103"/>
      <c r="N34" s="103"/>
      <c r="O34" s="103"/>
      <c r="P34" s="103"/>
    </row>
    <row r="35">
      <c r="A35" s="8"/>
      <c r="B35" s="128">
        <f>IFERROR(__xludf.DUMMYFUNCTION("""COMPUTED_VALUE"""),32.0)</f>
        <v>32</v>
      </c>
      <c r="C35" s="128">
        <f>IFERROR(__xludf.DUMMYFUNCTION("""COMPUTED_VALUE"""),2573.0)</f>
        <v>2573</v>
      </c>
      <c r="D35" s="141">
        <f>IFERROR(__xludf.DUMMYFUNCTION("""COMPUTED_VALUE"""),46239.0)</f>
        <v>46239</v>
      </c>
      <c r="E35" s="142">
        <f>IFERROR(__xludf.DUMMYFUNCTION("""COMPUTED_VALUE"""),24.0)</f>
        <v>24</v>
      </c>
      <c r="F35" s="128" t="str">
        <f>IFERROR(__xludf.DUMMYFUNCTION("""COMPUTED_VALUE"""),"GDW886")</f>
        <v>GDW886</v>
      </c>
      <c r="G35" s="128" t="str">
        <f>IFERROR(__xludf.DUMMYFUNCTION("""COMPUTED_VALUE"""),"02-Medellin")</f>
        <v>02-Medellin</v>
      </c>
      <c r="I35" s="103"/>
      <c r="J35" s="103"/>
      <c r="K35" s="103"/>
      <c r="L35" s="103"/>
      <c r="M35" s="103"/>
      <c r="N35" s="103"/>
      <c r="O35" s="103"/>
      <c r="P35" s="103"/>
    </row>
    <row r="36">
      <c r="A36" s="8"/>
      <c r="B36" s="128">
        <f>IFERROR(__xludf.DUMMYFUNCTION("""COMPUTED_VALUE"""),33.0)</f>
        <v>33</v>
      </c>
      <c r="C36" s="128">
        <f>IFERROR(__xludf.DUMMYFUNCTION("""COMPUTED_VALUE"""),2898.0)</f>
        <v>2898</v>
      </c>
      <c r="D36" s="141">
        <f>IFERROR(__xludf.DUMMYFUNCTION("""COMPUTED_VALUE"""),46242.0)</f>
        <v>46242</v>
      </c>
      <c r="E36" s="142">
        <f>IFERROR(__xludf.DUMMYFUNCTION("""COMPUTED_VALUE"""),27.0)</f>
        <v>27</v>
      </c>
      <c r="F36" s="128" t="str">
        <f>IFERROR(__xludf.DUMMYFUNCTION("""COMPUTED_VALUE"""),"NNZ319")</f>
        <v>NNZ319</v>
      </c>
      <c r="G36" s="128" t="str">
        <f>IFERROR(__xludf.DUMMYFUNCTION("""COMPUTED_VALUE"""),"31-Copacabana")</f>
        <v>31-Copacabana</v>
      </c>
      <c r="I36" s="103"/>
      <c r="J36" s="103"/>
      <c r="K36" s="103"/>
      <c r="L36" s="103"/>
      <c r="M36" s="103"/>
      <c r="N36" s="103"/>
      <c r="O36" s="103"/>
      <c r="P36" s="103"/>
    </row>
    <row r="37">
      <c r="A37" s="8"/>
      <c r="B37" s="128">
        <f>IFERROR(__xludf.DUMMYFUNCTION("""COMPUTED_VALUE"""),34.0)</f>
        <v>34</v>
      </c>
      <c r="C37" s="128">
        <f>IFERROR(__xludf.DUMMYFUNCTION("""COMPUTED_VALUE"""),2897.0)</f>
        <v>2897</v>
      </c>
      <c r="D37" s="141">
        <f>IFERROR(__xludf.DUMMYFUNCTION("""COMPUTED_VALUE"""),46242.0)</f>
        <v>46242</v>
      </c>
      <c r="E37" s="142">
        <f>IFERROR(__xludf.DUMMYFUNCTION("""COMPUTED_VALUE"""),27.0)</f>
        <v>27</v>
      </c>
      <c r="F37" s="128" t="str">
        <f>IFERROR(__xludf.DUMMYFUNCTION("""COMPUTED_VALUE"""),"NNZ318")</f>
        <v>NNZ318</v>
      </c>
      <c r="G37" s="128" t="str">
        <f>IFERROR(__xludf.DUMMYFUNCTION("""COMPUTED_VALUE"""),"31-Copacabana QUIMICOS")</f>
        <v>31-Copacabana QUIMICOS</v>
      </c>
      <c r="I37" s="103"/>
      <c r="J37" s="103"/>
      <c r="K37" s="103"/>
      <c r="L37" s="103"/>
      <c r="M37" s="103"/>
      <c r="N37" s="103"/>
      <c r="O37" s="103"/>
      <c r="P37" s="103"/>
    </row>
    <row r="38">
      <c r="A38" s="8"/>
      <c r="B38" s="128">
        <f>IFERROR(__xludf.DUMMYFUNCTION("""COMPUTED_VALUE"""),35.0)</f>
        <v>35</v>
      </c>
      <c r="C38" s="128">
        <f>IFERROR(__xludf.DUMMYFUNCTION("""COMPUTED_VALUE"""),2896.0)</f>
        <v>2896</v>
      </c>
      <c r="D38" s="141">
        <f>IFERROR(__xludf.DUMMYFUNCTION("""COMPUTED_VALUE"""),46242.0)</f>
        <v>46242</v>
      </c>
      <c r="E38" s="142">
        <f>IFERROR(__xludf.DUMMYFUNCTION("""COMPUTED_VALUE"""),27.0)</f>
        <v>27</v>
      </c>
      <c r="F38" s="128" t="str">
        <f>IFERROR(__xludf.DUMMYFUNCTION("""COMPUTED_VALUE"""),"NNZ317")</f>
        <v>NNZ317</v>
      </c>
      <c r="G38" s="128" t="str">
        <f>IFERROR(__xludf.DUMMYFUNCTION("""COMPUTED_VALUE"""),"02-Medellin")</f>
        <v>02-Medellin</v>
      </c>
      <c r="I38" s="103"/>
      <c r="J38" s="103"/>
      <c r="K38" s="103"/>
      <c r="L38" s="103"/>
      <c r="M38" s="103"/>
      <c r="N38" s="103"/>
      <c r="O38" s="103"/>
      <c r="P38" s="103"/>
    </row>
    <row r="39">
      <c r="A39" s="8"/>
      <c r="B39" s="128">
        <f>IFERROR(__xludf.DUMMYFUNCTION("""COMPUTED_VALUE"""),36.0)</f>
        <v>36</v>
      </c>
      <c r="C39" s="128">
        <f>IFERROR(__xludf.DUMMYFUNCTION("""COMPUTED_VALUE"""),2895.0)</f>
        <v>2895</v>
      </c>
      <c r="D39" s="141">
        <f>IFERROR(__xludf.DUMMYFUNCTION("""COMPUTED_VALUE"""),46242.0)</f>
        <v>46242</v>
      </c>
      <c r="E39" s="142">
        <f>IFERROR(__xludf.DUMMYFUNCTION("""COMPUTED_VALUE"""),27.0)</f>
        <v>27</v>
      </c>
      <c r="F39" s="128" t="str">
        <f>IFERROR(__xludf.DUMMYFUNCTION("""COMPUTED_VALUE"""),"NNZ316")</f>
        <v>NNZ316</v>
      </c>
      <c r="G39" s="128" t="str">
        <f>IFERROR(__xludf.DUMMYFUNCTION("""COMPUTED_VALUE"""),"31-Copacabana")</f>
        <v>31-Copacabana</v>
      </c>
      <c r="I39" s="103"/>
      <c r="J39" s="103"/>
      <c r="K39" s="103"/>
      <c r="L39" s="103"/>
      <c r="M39" s="103"/>
      <c r="N39" s="103"/>
      <c r="O39" s="103"/>
      <c r="P39" s="103"/>
    </row>
    <row r="40">
      <c r="A40" s="8"/>
      <c r="B40" s="128">
        <f>IFERROR(__xludf.DUMMYFUNCTION("""COMPUTED_VALUE"""),37.0)</f>
        <v>37</v>
      </c>
      <c r="C40" s="128">
        <f>IFERROR(__xludf.DUMMYFUNCTION("""COMPUTED_VALUE"""),2894.0)</f>
        <v>2894</v>
      </c>
      <c r="D40" s="141">
        <f>IFERROR(__xludf.DUMMYFUNCTION("""COMPUTED_VALUE"""),46242.0)</f>
        <v>46242</v>
      </c>
      <c r="E40" s="142">
        <f>IFERROR(__xludf.DUMMYFUNCTION("""COMPUTED_VALUE"""),27.0)</f>
        <v>27</v>
      </c>
      <c r="F40" s="128" t="str">
        <f>IFERROR(__xludf.DUMMYFUNCTION("""COMPUTED_VALUE"""),"NNZ315")</f>
        <v>NNZ315</v>
      </c>
      <c r="G40" s="128" t="str">
        <f>IFERROR(__xludf.DUMMYFUNCTION("""COMPUTED_VALUE"""),"02-Medellin")</f>
        <v>02-Medellin</v>
      </c>
      <c r="I40" s="103"/>
      <c r="J40" s="103"/>
      <c r="K40" s="103"/>
      <c r="L40" s="103"/>
      <c r="M40" s="103"/>
      <c r="N40" s="103"/>
      <c r="O40" s="103"/>
      <c r="P40" s="103"/>
    </row>
    <row r="41">
      <c r="A41" s="8"/>
      <c r="B41" s="128">
        <f>IFERROR(__xludf.DUMMYFUNCTION("""COMPUTED_VALUE"""),38.0)</f>
        <v>38</v>
      </c>
      <c r="C41" s="128">
        <f>IFERROR(__xludf.DUMMYFUNCTION("""COMPUTED_VALUE"""),2893.0)</f>
        <v>2893</v>
      </c>
      <c r="D41" s="141">
        <f>IFERROR(__xludf.DUMMYFUNCTION("""COMPUTED_VALUE"""),46242.0)</f>
        <v>46242</v>
      </c>
      <c r="E41" s="142">
        <f>IFERROR(__xludf.DUMMYFUNCTION("""COMPUTED_VALUE"""),27.0)</f>
        <v>27</v>
      </c>
      <c r="F41" s="128" t="str">
        <f>IFERROR(__xludf.DUMMYFUNCTION("""COMPUTED_VALUE"""),"NNZ314")</f>
        <v>NNZ314</v>
      </c>
      <c r="G41" s="128" t="str">
        <f>IFERROR(__xludf.DUMMYFUNCTION("""COMPUTED_VALUE"""),"31-Copacabana")</f>
        <v>31-Copacabana</v>
      </c>
      <c r="I41" s="103"/>
      <c r="J41" s="103"/>
      <c r="K41" s="103"/>
      <c r="L41" s="103"/>
      <c r="M41" s="103"/>
      <c r="N41" s="103"/>
      <c r="O41" s="103"/>
      <c r="P41" s="103"/>
    </row>
    <row r="42">
      <c r="A42" s="8"/>
      <c r="B42" s="128">
        <f>IFERROR(__xludf.DUMMYFUNCTION("""COMPUTED_VALUE"""),39.0)</f>
        <v>39</v>
      </c>
      <c r="C42" s="128">
        <f>IFERROR(__xludf.DUMMYFUNCTION("""COMPUTED_VALUE"""),2892.0)</f>
        <v>2892</v>
      </c>
      <c r="D42" s="141">
        <f>IFERROR(__xludf.DUMMYFUNCTION("""COMPUTED_VALUE"""),46242.0)</f>
        <v>46242</v>
      </c>
      <c r="E42" s="142">
        <f>IFERROR(__xludf.DUMMYFUNCTION("""COMPUTED_VALUE"""),27.0)</f>
        <v>27</v>
      </c>
      <c r="F42" s="128" t="str">
        <f>IFERROR(__xludf.DUMMYFUNCTION("""COMPUTED_VALUE"""),"NNZ313")</f>
        <v>NNZ313</v>
      </c>
      <c r="G42" s="128" t="str">
        <f>IFERROR(__xludf.DUMMYFUNCTION("""COMPUTED_VALUE"""),"24-Rionegro")</f>
        <v>24-Rionegro</v>
      </c>
      <c r="I42" s="103"/>
      <c r="J42" s="103"/>
      <c r="K42" s="103"/>
      <c r="L42" s="103"/>
      <c r="M42" s="103"/>
      <c r="N42" s="103"/>
      <c r="O42" s="103"/>
      <c r="P42" s="103"/>
    </row>
    <row r="43">
      <c r="A43" s="8"/>
      <c r="B43" s="128">
        <f>IFERROR(__xludf.DUMMYFUNCTION("""COMPUTED_VALUE"""),40.0)</f>
        <v>40</v>
      </c>
      <c r="C43" s="128">
        <f>IFERROR(__xludf.DUMMYFUNCTION("""COMPUTED_VALUE"""),2891.0)</f>
        <v>2891</v>
      </c>
      <c r="D43" s="141">
        <f>IFERROR(__xludf.DUMMYFUNCTION("""COMPUTED_VALUE"""),46242.0)</f>
        <v>46242</v>
      </c>
      <c r="E43" s="142">
        <f>IFERROR(__xludf.DUMMYFUNCTION("""COMPUTED_VALUE"""),27.0)</f>
        <v>27</v>
      </c>
      <c r="F43" s="128" t="str">
        <f>IFERROR(__xludf.DUMMYFUNCTION("""COMPUTED_VALUE"""),"NNZ312")</f>
        <v>NNZ312</v>
      </c>
      <c r="G43" s="128" t="str">
        <f>IFERROR(__xludf.DUMMYFUNCTION("""COMPUTED_VALUE"""),"31-Copacabana")</f>
        <v>31-Copacabana</v>
      </c>
      <c r="I43" s="103"/>
      <c r="J43" s="103"/>
      <c r="K43" s="103"/>
      <c r="L43" s="103"/>
      <c r="M43" s="103"/>
      <c r="N43" s="103"/>
      <c r="O43" s="103"/>
      <c r="P43" s="103"/>
    </row>
    <row r="44">
      <c r="A44" s="8"/>
      <c r="B44" s="128">
        <f>IFERROR(__xludf.DUMMYFUNCTION("""COMPUTED_VALUE"""),41.0)</f>
        <v>41</v>
      </c>
      <c r="C44" s="128">
        <f>IFERROR(__xludf.DUMMYFUNCTION("""COMPUTED_VALUE"""),487.0)</f>
        <v>487</v>
      </c>
      <c r="D44" s="141">
        <f>IFERROR(__xludf.DUMMYFUNCTION("""COMPUTED_VALUE"""),46242.0)</f>
        <v>46242</v>
      </c>
      <c r="E44" s="142">
        <f>IFERROR(__xludf.DUMMYFUNCTION("""COMPUTED_VALUE"""),27.0)</f>
        <v>27</v>
      </c>
      <c r="F44" s="128" t="str">
        <f>IFERROR(__xludf.DUMMYFUNCTION("""COMPUTED_VALUE"""),"TRH356")</f>
        <v>TRH356</v>
      </c>
      <c r="G44" s="128" t="str">
        <f>IFERROR(__xludf.DUMMYFUNCTION("""COMPUTED_VALUE"""),"02-Medellin")</f>
        <v>02-Medellin</v>
      </c>
      <c r="I44" s="103"/>
      <c r="J44" s="103"/>
      <c r="K44" s="103"/>
      <c r="L44" s="103"/>
      <c r="M44" s="103"/>
      <c r="N44" s="103"/>
      <c r="O44" s="103"/>
      <c r="P44" s="103"/>
    </row>
    <row r="45">
      <c r="A45" s="8"/>
      <c r="B45" s="128">
        <f>IFERROR(__xludf.DUMMYFUNCTION("""COMPUTED_VALUE"""),42.0)</f>
        <v>42</v>
      </c>
      <c r="C45" s="128">
        <f>IFERROR(__xludf.DUMMYFUNCTION("""COMPUTED_VALUE"""),2572.0)</f>
        <v>2572</v>
      </c>
      <c r="D45" s="141">
        <f>IFERROR(__xludf.DUMMYFUNCTION("""COMPUTED_VALUE"""),46245.0)</f>
        <v>46245</v>
      </c>
      <c r="E45" s="142">
        <f>IFERROR(__xludf.DUMMYFUNCTION("""COMPUTED_VALUE"""),30.0)</f>
        <v>30</v>
      </c>
      <c r="F45" s="128" t="str">
        <f>IFERROR(__xludf.DUMMYFUNCTION("""COMPUTED_VALUE"""),"GDW885")</f>
        <v>GDW885</v>
      </c>
      <c r="G45" s="128" t="str">
        <f>IFERROR(__xludf.DUMMYFUNCTION("""COMPUTED_VALUE"""),"31-Copacabana")</f>
        <v>31-Copacabana</v>
      </c>
      <c r="I45" s="103"/>
      <c r="J45" s="103"/>
      <c r="K45" s="103"/>
      <c r="L45" s="103"/>
      <c r="M45" s="103"/>
      <c r="N45" s="103"/>
      <c r="O45" s="103"/>
      <c r="P45" s="103"/>
    </row>
    <row r="46">
      <c r="A46" s="8"/>
      <c r="B46" s="128">
        <f>IFERROR(__xludf.DUMMYFUNCTION("""COMPUTED_VALUE"""),43.0)</f>
        <v>43</v>
      </c>
      <c r="C46" s="128">
        <f>IFERROR(__xludf.DUMMYFUNCTION("""COMPUTED_VALUE"""),2637.0)</f>
        <v>2637</v>
      </c>
      <c r="D46" s="141">
        <f>IFERROR(__xludf.DUMMYFUNCTION("""COMPUTED_VALUE"""),46249.0)</f>
        <v>46249</v>
      </c>
      <c r="E46" s="142">
        <f>IFERROR(__xludf.DUMMYFUNCTION("""COMPUTED_VALUE"""),34.0)</f>
        <v>34</v>
      </c>
      <c r="F46" s="128" t="str">
        <f>IFERROR(__xludf.DUMMYFUNCTION("""COMPUTED_VALUE"""),"JPO477")</f>
        <v>JPO477</v>
      </c>
      <c r="G46" s="128" t="str">
        <f>IFERROR(__xludf.DUMMYFUNCTION("""COMPUTED_VALUE"""),"02-Medellin")</f>
        <v>02-Medellin</v>
      </c>
      <c r="I46" s="103"/>
      <c r="J46" s="103"/>
      <c r="K46" s="103"/>
      <c r="L46" s="103"/>
      <c r="M46" s="103"/>
      <c r="N46" s="103"/>
      <c r="O46" s="103"/>
      <c r="P46" s="103"/>
    </row>
    <row r="47">
      <c r="A47" s="8"/>
      <c r="B47" s="128">
        <f>IFERROR(__xludf.DUMMYFUNCTION("""COMPUTED_VALUE"""),44.0)</f>
        <v>44</v>
      </c>
      <c r="C47" s="128">
        <f>IFERROR(__xludf.DUMMYFUNCTION("""COMPUTED_VALUE"""),2640.0)</f>
        <v>2640</v>
      </c>
      <c r="D47" s="141">
        <f>IFERROR(__xludf.DUMMYFUNCTION("""COMPUTED_VALUE"""),46254.0)</f>
        <v>46254</v>
      </c>
      <c r="E47" s="142">
        <f>IFERROR(__xludf.DUMMYFUNCTION("""COMPUTED_VALUE"""),39.0)</f>
        <v>39</v>
      </c>
      <c r="F47" s="128" t="str">
        <f>IFERROR(__xludf.DUMMYFUNCTION("""COMPUTED_VALUE"""),"JPO473")</f>
        <v>JPO473</v>
      </c>
      <c r="G47" s="128" t="str">
        <f>IFERROR(__xludf.DUMMYFUNCTION("""COMPUTED_VALUE"""),"27-Apartado")</f>
        <v>27-Apartado</v>
      </c>
      <c r="I47" s="103"/>
      <c r="J47" s="103"/>
      <c r="K47" s="103"/>
      <c r="L47" s="103"/>
      <c r="M47" s="103"/>
      <c r="N47" s="103"/>
      <c r="O47" s="103"/>
      <c r="P47" s="103"/>
    </row>
    <row r="48">
      <c r="A48" s="8"/>
      <c r="B48" s="128">
        <f>IFERROR(__xludf.DUMMYFUNCTION("""COMPUTED_VALUE"""),45.0)</f>
        <v>45</v>
      </c>
      <c r="C48" s="128">
        <f>IFERROR(__xludf.DUMMYFUNCTION("""COMPUTED_VALUE"""),2635.0)</f>
        <v>2635</v>
      </c>
      <c r="D48" s="141">
        <f>IFERROR(__xludf.DUMMYFUNCTION("""COMPUTED_VALUE"""),46254.0)</f>
        <v>46254</v>
      </c>
      <c r="E48" s="142">
        <f>IFERROR(__xludf.DUMMYFUNCTION("""COMPUTED_VALUE"""),39.0)</f>
        <v>39</v>
      </c>
      <c r="F48" s="128" t="str">
        <f>IFERROR(__xludf.DUMMYFUNCTION("""COMPUTED_VALUE"""),"JPO482")</f>
        <v>JPO482</v>
      </c>
      <c r="G48" s="128" t="str">
        <f>IFERROR(__xludf.DUMMYFUNCTION("""COMPUTED_VALUE"""),"02-Medellin")</f>
        <v>02-Medellin</v>
      </c>
      <c r="I48" s="103"/>
      <c r="J48" s="103"/>
      <c r="K48" s="103"/>
      <c r="L48" s="103"/>
      <c r="M48" s="103"/>
      <c r="N48" s="103"/>
      <c r="O48" s="103"/>
      <c r="P48" s="103"/>
    </row>
    <row r="49">
      <c r="A49" s="8"/>
      <c r="B49" s="128">
        <f>IFERROR(__xludf.DUMMYFUNCTION("""COMPUTED_VALUE"""),46.0)</f>
        <v>46</v>
      </c>
      <c r="C49" s="128">
        <f>IFERROR(__xludf.DUMMYFUNCTION("""COMPUTED_VALUE"""),2643.0)</f>
        <v>2643</v>
      </c>
      <c r="D49" s="141">
        <f>IFERROR(__xludf.DUMMYFUNCTION("""COMPUTED_VALUE"""),46259.0)</f>
        <v>46259</v>
      </c>
      <c r="E49" s="142">
        <f>IFERROR(__xludf.DUMMYFUNCTION("""COMPUTED_VALUE"""),44.0)</f>
        <v>44</v>
      </c>
      <c r="F49" s="128" t="str">
        <f>IFERROR(__xludf.DUMMYFUNCTION("""COMPUTED_VALUE"""),"JPO476")</f>
        <v>JPO476</v>
      </c>
      <c r="G49" s="128" t="str">
        <f>IFERROR(__xludf.DUMMYFUNCTION("""COMPUTED_VALUE"""),"27-Apartado")</f>
        <v>27-Apartado</v>
      </c>
      <c r="I49" s="103"/>
      <c r="J49" s="103"/>
      <c r="K49" s="103"/>
      <c r="L49" s="103"/>
      <c r="M49" s="103"/>
      <c r="N49" s="103"/>
      <c r="O49" s="103"/>
      <c r="P49" s="103"/>
    </row>
    <row r="50">
      <c r="A50" s="8"/>
      <c r="B50" s="128">
        <f>IFERROR(__xludf.DUMMYFUNCTION("""COMPUTED_VALUE"""),47.0)</f>
        <v>47</v>
      </c>
      <c r="C50" s="128">
        <f>IFERROR(__xludf.DUMMYFUNCTION("""COMPUTED_VALUE"""),2275.0)</f>
        <v>2275</v>
      </c>
      <c r="D50" s="141">
        <f>IFERROR(__xludf.DUMMYFUNCTION("""COMPUTED_VALUE"""),46263.0)</f>
        <v>46263</v>
      </c>
      <c r="E50" s="142">
        <f>IFERROR(__xludf.DUMMYFUNCTION("""COMPUTED_VALUE"""),48.0)</f>
        <v>48</v>
      </c>
      <c r="F50" s="128" t="str">
        <f>IFERROR(__xludf.DUMMYFUNCTION("""COMPUTED_VALUE"""),"TRG628")</f>
        <v>TRG628</v>
      </c>
      <c r="G50" s="128" t="str">
        <f>IFERROR(__xludf.DUMMYFUNCTION("""COMPUTED_VALUE"""),"02-Medellin")</f>
        <v>02-Medellin</v>
      </c>
      <c r="I50" s="103"/>
      <c r="J50" s="103"/>
      <c r="K50" s="103"/>
      <c r="L50" s="103"/>
      <c r="M50" s="103"/>
      <c r="N50" s="103"/>
      <c r="O50" s="103"/>
      <c r="P50" s="103"/>
    </row>
    <row r="51">
      <c r="A51" s="8"/>
      <c r="B51" s="128">
        <f>IFERROR(__xludf.DUMMYFUNCTION("""COMPUTED_VALUE"""),48.0)</f>
        <v>48</v>
      </c>
      <c r="C51" s="128">
        <f>IFERROR(__xludf.DUMMYFUNCTION("""COMPUTED_VALUE"""),2623.0)</f>
        <v>2623</v>
      </c>
      <c r="D51" s="141">
        <f>IFERROR(__xludf.DUMMYFUNCTION("""COMPUTED_VALUE"""),46268.0)</f>
        <v>46268</v>
      </c>
      <c r="E51" s="142">
        <f>IFERROR(__xludf.DUMMYFUNCTION("""COMPUTED_VALUE"""),53.0)</f>
        <v>53</v>
      </c>
      <c r="F51" s="128" t="str">
        <f>IFERROR(__xludf.DUMMYFUNCTION("""COMPUTED_VALUE"""),"GDX038")</f>
        <v>GDX038</v>
      </c>
      <c r="G51" s="128" t="str">
        <f>IFERROR(__xludf.DUMMYFUNCTION("""COMPUTED_VALUE"""),"02-Medellin")</f>
        <v>02-Medellin</v>
      </c>
      <c r="I51" s="103"/>
      <c r="J51" s="103"/>
      <c r="K51" s="103"/>
      <c r="L51" s="103"/>
      <c r="M51" s="103"/>
      <c r="N51" s="103"/>
      <c r="O51" s="103"/>
      <c r="P51" s="103"/>
    </row>
    <row r="52">
      <c r="A52" s="8"/>
      <c r="B52" s="128">
        <f>IFERROR(__xludf.DUMMYFUNCTION("""COMPUTED_VALUE"""),49.0)</f>
        <v>49</v>
      </c>
      <c r="C52" s="128">
        <f>IFERROR(__xludf.DUMMYFUNCTION("""COMPUTED_VALUE"""),2628.0)</f>
        <v>2628</v>
      </c>
      <c r="D52" s="141">
        <f>IFERROR(__xludf.DUMMYFUNCTION("""COMPUTED_VALUE"""),46269.0)</f>
        <v>46269</v>
      </c>
      <c r="E52" s="142">
        <f>IFERROR(__xludf.DUMMYFUNCTION("""COMPUTED_VALUE"""),54.0)</f>
        <v>54</v>
      </c>
      <c r="F52" s="128" t="str">
        <f>IFERROR(__xludf.DUMMYFUNCTION("""COMPUTED_VALUE"""),"GDX043")</f>
        <v>GDX043</v>
      </c>
      <c r="G52" s="128" t="str">
        <f>IFERROR(__xludf.DUMMYFUNCTION("""COMPUTED_VALUE"""),"38-La ceja")</f>
        <v>38-La ceja</v>
      </c>
      <c r="I52" s="103"/>
      <c r="J52" s="103"/>
      <c r="K52" s="103"/>
      <c r="L52" s="103"/>
      <c r="M52" s="103"/>
      <c r="N52" s="103"/>
      <c r="O52" s="103"/>
      <c r="P52" s="103"/>
    </row>
    <row r="53">
      <c r="A53" s="8"/>
      <c r="B53" s="128">
        <f>IFERROR(__xludf.DUMMYFUNCTION("""COMPUTED_VALUE"""),50.0)</f>
        <v>50</v>
      </c>
      <c r="C53" s="128">
        <f>IFERROR(__xludf.DUMMYFUNCTION("""COMPUTED_VALUE"""),3049.0)</f>
        <v>3049</v>
      </c>
      <c r="D53" s="141">
        <f>IFERROR(__xludf.DUMMYFUNCTION("""COMPUTED_VALUE"""),46273.0)</f>
        <v>46273</v>
      </c>
      <c r="E53" s="142">
        <f>IFERROR(__xludf.DUMMYFUNCTION("""COMPUTED_VALUE"""),58.0)</f>
        <v>58</v>
      </c>
      <c r="F53" s="128" t="str">
        <f>IFERROR(__xludf.DUMMYFUNCTION("""COMPUTED_VALUE"""),"TRK355")</f>
        <v>TRK355</v>
      </c>
      <c r="G53" s="128" t="str">
        <f>IFERROR(__xludf.DUMMYFUNCTION("""COMPUTED_VALUE"""),"02-Medellin")</f>
        <v>02-Medellin</v>
      </c>
      <c r="I53" s="103"/>
      <c r="J53" s="103"/>
      <c r="K53" s="103"/>
      <c r="L53" s="103"/>
      <c r="M53" s="103"/>
      <c r="N53" s="103"/>
      <c r="O53" s="103"/>
      <c r="P53" s="103"/>
    </row>
    <row r="54">
      <c r="A54" s="8"/>
      <c r="B54" s="128">
        <f>IFERROR(__xludf.DUMMYFUNCTION("""COMPUTED_VALUE"""),51.0)</f>
        <v>51</v>
      </c>
      <c r="C54" s="128">
        <f>IFERROR(__xludf.DUMMYFUNCTION("""COMPUTED_VALUE"""),2911.0)</f>
        <v>2911</v>
      </c>
      <c r="D54" s="141">
        <f>IFERROR(__xludf.DUMMYFUNCTION("""COMPUTED_VALUE"""),46275.0)</f>
        <v>46275</v>
      </c>
      <c r="E54" s="142">
        <f>IFERROR(__xludf.DUMMYFUNCTION("""COMPUTED_VALUE"""),60.0)</f>
        <v>60</v>
      </c>
      <c r="F54" s="128" t="str">
        <f>IFERROR(__xludf.DUMMYFUNCTION("""COMPUTED_VALUE"""),"NNZ339")</f>
        <v>NNZ339</v>
      </c>
      <c r="G54" s="128" t="str">
        <f>IFERROR(__xludf.DUMMYFUNCTION("""COMPUTED_VALUE"""),"31-Copacabana")</f>
        <v>31-Copacabana</v>
      </c>
      <c r="I54" s="103"/>
      <c r="J54" s="103"/>
      <c r="K54" s="103"/>
      <c r="L54" s="103"/>
      <c r="M54" s="103"/>
      <c r="N54" s="103"/>
      <c r="O54" s="103"/>
      <c r="P54" s="103"/>
    </row>
    <row r="55">
      <c r="A55" s="8"/>
      <c r="B55" s="128">
        <f>IFERROR(__xludf.DUMMYFUNCTION("""COMPUTED_VALUE"""),52.0)</f>
        <v>52</v>
      </c>
      <c r="C55" s="128">
        <f>IFERROR(__xludf.DUMMYFUNCTION("""COMPUTED_VALUE"""),2910.0)</f>
        <v>2910</v>
      </c>
      <c r="D55" s="141">
        <f>IFERROR(__xludf.DUMMYFUNCTION("""COMPUTED_VALUE"""),46275.0)</f>
        <v>46275</v>
      </c>
      <c r="E55" s="142">
        <f>IFERROR(__xludf.DUMMYFUNCTION("""COMPUTED_VALUE"""),60.0)</f>
        <v>60</v>
      </c>
      <c r="F55" s="128" t="str">
        <f>IFERROR(__xludf.DUMMYFUNCTION("""COMPUTED_VALUE"""),"NNZ338")</f>
        <v>NNZ338</v>
      </c>
      <c r="G55" s="128" t="str">
        <f>IFERROR(__xludf.DUMMYFUNCTION("""COMPUTED_VALUE"""),"24-Rionegro")</f>
        <v>24-Rionegro</v>
      </c>
      <c r="I55" s="103"/>
      <c r="J55" s="103"/>
      <c r="K55" s="103"/>
      <c r="L55" s="103"/>
      <c r="M55" s="103"/>
      <c r="N55" s="103"/>
      <c r="O55" s="103"/>
      <c r="P55" s="103"/>
    </row>
    <row r="56">
      <c r="A56" s="8"/>
      <c r="B56" s="128">
        <f>IFERROR(__xludf.DUMMYFUNCTION("""COMPUTED_VALUE"""),53.0)</f>
        <v>53</v>
      </c>
      <c r="C56" s="128">
        <f>IFERROR(__xludf.DUMMYFUNCTION("""COMPUTED_VALUE"""),2909.0)</f>
        <v>2909</v>
      </c>
      <c r="D56" s="141">
        <f>IFERROR(__xludf.DUMMYFUNCTION("""COMPUTED_VALUE"""),46275.0)</f>
        <v>46275</v>
      </c>
      <c r="E56" s="142">
        <f>IFERROR(__xludf.DUMMYFUNCTION("""COMPUTED_VALUE"""),60.0)</f>
        <v>60</v>
      </c>
      <c r="F56" s="128" t="str">
        <f>IFERROR(__xludf.DUMMYFUNCTION("""COMPUTED_VALUE"""),"NNZ336")</f>
        <v>NNZ336</v>
      </c>
      <c r="G56" s="128" t="str">
        <f>IFERROR(__xludf.DUMMYFUNCTION("""COMPUTED_VALUE"""),"02-Medellin")</f>
        <v>02-Medellin</v>
      </c>
      <c r="I56" s="103"/>
      <c r="J56" s="103"/>
      <c r="K56" s="103"/>
      <c r="L56" s="103"/>
      <c r="M56" s="103"/>
      <c r="N56" s="103"/>
      <c r="O56" s="103"/>
      <c r="P56" s="103"/>
    </row>
    <row r="57">
      <c r="A57" s="8"/>
      <c r="B57" s="128">
        <f>IFERROR(__xludf.DUMMYFUNCTION("""COMPUTED_VALUE"""),54.0)</f>
        <v>54</v>
      </c>
      <c r="C57" s="128">
        <f>IFERROR(__xludf.DUMMYFUNCTION("""COMPUTED_VALUE"""),2908.0)</f>
        <v>2908</v>
      </c>
      <c r="D57" s="141">
        <f>IFERROR(__xludf.DUMMYFUNCTION("""COMPUTED_VALUE"""),46275.0)</f>
        <v>46275</v>
      </c>
      <c r="E57" s="142">
        <f>IFERROR(__xludf.DUMMYFUNCTION("""COMPUTED_VALUE"""),60.0)</f>
        <v>60</v>
      </c>
      <c r="F57" s="128" t="str">
        <f>IFERROR(__xludf.DUMMYFUNCTION("""COMPUTED_VALUE"""),"NNZ335")</f>
        <v>NNZ335</v>
      </c>
      <c r="G57" s="128" t="str">
        <f>IFERROR(__xludf.DUMMYFUNCTION("""COMPUTED_VALUE"""),"24-Rionegro")</f>
        <v>24-Rionegro</v>
      </c>
      <c r="I57" s="103"/>
      <c r="J57" s="103"/>
      <c r="K57" s="103"/>
      <c r="L57" s="103"/>
      <c r="M57" s="103"/>
      <c r="N57" s="103"/>
      <c r="O57" s="103"/>
      <c r="P57" s="103"/>
    </row>
    <row r="58">
      <c r="A58" s="8"/>
      <c r="B58" s="128">
        <f>IFERROR(__xludf.DUMMYFUNCTION("""COMPUTED_VALUE"""),55.0)</f>
        <v>55</v>
      </c>
      <c r="C58" s="128">
        <f>IFERROR(__xludf.DUMMYFUNCTION("""COMPUTED_VALUE"""),2907.0)</f>
        <v>2907</v>
      </c>
      <c r="D58" s="141">
        <f>IFERROR(__xludf.DUMMYFUNCTION("""COMPUTED_VALUE"""),46275.0)</f>
        <v>46275</v>
      </c>
      <c r="E58" s="142">
        <f>IFERROR(__xludf.DUMMYFUNCTION("""COMPUTED_VALUE"""),60.0)</f>
        <v>60</v>
      </c>
      <c r="F58" s="128" t="str">
        <f>IFERROR(__xludf.DUMMYFUNCTION("""COMPUTED_VALUE"""),"NNZ334")</f>
        <v>NNZ334</v>
      </c>
      <c r="G58" s="128" t="str">
        <f>IFERROR(__xludf.DUMMYFUNCTION("""COMPUTED_VALUE"""),"38-La ceja")</f>
        <v>38-La ceja</v>
      </c>
      <c r="I58" s="103"/>
      <c r="J58" s="103"/>
      <c r="K58" s="103"/>
      <c r="L58" s="103"/>
      <c r="M58" s="103"/>
      <c r="N58" s="103"/>
      <c r="O58" s="103"/>
      <c r="P58" s="103"/>
    </row>
    <row r="59">
      <c r="A59" s="8"/>
      <c r="B59" s="128">
        <f>IFERROR(__xludf.DUMMYFUNCTION("""COMPUTED_VALUE"""),56.0)</f>
        <v>56</v>
      </c>
      <c r="C59" s="128">
        <f>IFERROR(__xludf.DUMMYFUNCTION("""COMPUTED_VALUE"""),2906.0)</f>
        <v>2906</v>
      </c>
      <c r="D59" s="141">
        <f>IFERROR(__xludf.DUMMYFUNCTION("""COMPUTED_VALUE"""),46275.0)</f>
        <v>46275</v>
      </c>
      <c r="E59" s="142">
        <f>IFERROR(__xludf.DUMMYFUNCTION("""COMPUTED_VALUE"""),60.0)</f>
        <v>60</v>
      </c>
      <c r="F59" s="128" t="str">
        <f>IFERROR(__xludf.DUMMYFUNCTION("""COMPUTED_VALUE"""),"NNZ333")</f>
        <v>NNZ333</v>
      </c>
      <c r="G59" s="128" t="str">
        <f>IFERROR(__xludf.DUMMYFUNCTION("""COMPUTED_VALUE"""),"02-Medellin")</f>
        <v>02-Medellin</v>
      </c>
      <c r="I59" s="103"/>
      <c r="J59" s="103"/>
      <c r="K59" s="103"/>
      <c r="L59" s="103"/>
      <c r="M59" s="103"/>
      <c r="N59" s="103"/>
      <c r="O59" s="103"/>
      <c r="P59" s="103"/>
    </row>
    <row r="60">
      <c r="A60" s="8"/>
      <c r="B60" s="128">
        <f>IFERROR(__xludf.DUMMYFUNCTION("""COMPUTED_VALUE"""),57.0)</f>
        <v>57</v>
      </c>
      <c r="C60" s="128">
        <f>IFERROR(__xludf.DUMMYFUNCTION("""COMPUTED_VALUE"""),2905.0)</f>
        <v>2905</v>
      </c>
      <c r="D60" s="141">
        <f>IFERROR(__xludf.DUMMYFUNCTION("""COMPUTED_VALUE"""),46275.0)</f>
        <v>46275</v>
      </c>
      <c r="E60" s="142">
        <f>IFERROR(__xludf.DUMMYFUNCTION("""COMPUTED_VALUE"""),60.0)</f>
        <v>60</v>
      </c>
      <c r="F60" s="128" t="str">
        <f>IFERROR(__xludf.DUMMYFUNCTION("""COMPUTED_VALUE"""),"NNZ331")</f>
        <v>NNZ331</v>
      </c>
      <c r="G60" s="128" t="str">
        <f>IFERROR(__xludf.DUMMYFUNCTION("""COMPUTED_VALUE"""),"02-Medellin")</f>
        <v>02-Medellin</v>
      </c>
      <c r="I60" s="103"/>
      <c r="J60" s="103"/>
      <c r="K60" s="103"/>
      <c r="L60" s="103"/>
      <c r="M60" s="103"/>
      <c r="N60" s="103"/>
      <c r="O60" s="103"/>
      <c r="P60" s="103"/>
    </row>
    <row r="61">
      <c r="A61" s="8"/>
      <c r="B61" s="128">
        <f>IFERROR(__xludf.DUMMYFUNCTION("""COMPUTED_VALUE"""),58.0)</f>
        <v>58</v>
      </c>
      <c r="C61" s="128">
        <f>IFERROR(__xludf.DUMMYFUNCTION("""COMPUTED_VALUE"""),2904.0)</f>
        <v>2904</v>
      </c>
      <c r="D61" s="141">
        <f>IFERROR(__xludf.DUMMYFUNCTION("""COMPUTED_VALUE"""),46275.0)</f>
        <v>46275</v>
      </c>
      <c r="E61" s="142">
        <f>IFERROR(__xludf.DUMMYFUNCTION("""COMPUTED_VALUE"""),60.0)</f>
        <v>60</v>
      </c>
      <c r="F61" s="128" t="str">
        <f>IFERROR(__xludf.DUMMYFUNCTION("""COMPUTED_VALUE"""),"NNZ330")</f>
        <v>NNZ330</v>
      </c>
      <c r="G61" s="128" t="str">
        <f>IFERROR(__xludf.DUMMYFUNCTION("""COMPUTED_VALUE"""),"02-Medellin")</f>
        <v>02-Medellin</v>
      </c>
      <c r="I61" s="103"/>
      <c r="J61" s="103"/>
      <c r="K61" s="103"/>
      <c r="L61" s="103"/>
      <c r="M61" s="103"/>
      <c r="N61" s="103"/>
      <c r="O61" s="103"/>
      <c r="P61" s="103"/>
    </row>
    <row r="62">
      <c r="A62" s="8"/>
      <c r="B62" s="128">
        <f>IFERROR(__xludf.DUMMYFUNCTION("""COMPUTED_VALUE"""),59.0)</f>
        <v>59</v>
      </c>
      <c r="C62" s="128">
        <f>IFERROR(__xludf.DUMMYFUNCTION("""COMPUTED_VALUE"""),2903.0)</f>
        <v>2903</v>
      </c>
      <c r="D62" s="141">
        <f>IFERROR(__xludf.DUMMYFUNCTION("""COMPUTED_VALUE"""),46275.0)</f>
        <v>46275</v>
      </c>
      <c r="E62" s="142">
        <f>IFERROR(__xludf.DUMMYFUNCTION("""COMPUTED_VALUE"""),60.0)</f>
        <v>60</v>
      </c>
      <c r="F62" s="128" t="str">
        <f>IFERROR(__xludf.DUMMYFUNCTION("""COMPUTED_VALUE"""),"NNZ329")</f>
        <v>NNZ329</v>
      </c>
      <c r="G62" s="128" t="str">
        <f>IFERROR(__xludf.DUMMYFUNCTION("""COMPUTED_VALUE"""),"02-Medellin")</f>
        <v>02-Medellin</v>
      </c>
      <c r="I62" s="103"/>
      <c r="J62" s="103"/>
      <c r="K62" s="103"/>
      <c r="L62" s="103"/>
      <c r="M62" s="103"/>
      <c r="N62" s="103"/>
      <c r="O62" s="103"/>
      <c r="P62" s="103"/>
    </row>
    <row r="63">
      <c r="A63" s="8"/>
      <c r="B63" s="128">
        <f>IFERROR(__xludf.DUMMYFUNCTION("""COMPUTED_VALUE"""),60.0)</f>
        <v>60</v>
      </c>
      <c r="C63" s="128">
        <f>IFERROR(__xludf.DUMMYFUNCTION("""COMPUTED_VALUE"""),3047.0)</f>
        <v>3047</v>
      </c>
      <c r="D63" s="141">
        <f>IFERROR(__xludf.DUMMYFUNCTION("""COMPUTED_VALUE"""),46276.0)</f>
        <v>46276</v>
      </c>
      <c r="E63" s="142">
        <f>IFERROR(__xludf.DUMMYFUNCTION("""COMPUTED_VALUE"""),61.0)</f>
        <v>61</v>
      </c>
      <c r="F63" s="128" t="str">
        <f>IFERROR(__xludf.DUMMYFUNCTION("""COMPUTED_VALUE"""),"TRK336")</f>
        <v>TRK336</v>
      </c>
      <c r="G63" s="128" t="str">
        <f>IFERROR(__xludf.DUMMYFUNCTION("""COMPUTED_VALUE"""),"02-Medellin")</f>
        <v>02-Medellin</v>
      </c>
      <c r="I63" s="103"/>
      <c r="J63" s="103"/>
      <c r="K63" s="103"/>
      <c r="L63" s="103"/>
      <c r="M63" s="103"/>
      <c r="N63" s="103"/>
      <c r="O63" s="103"/>
      <c r="P63" s="103"/>
    </row>
    <row r="64">
      <c r="A64" s="8"/>
      <c r="B64" s="128">
        <f>IFERROR(__xludf.DUMMYFUNCTION("""COMPUTED_VALUE"""),61.0)</f>
        <v>61</v>
      </c>
      <c r="C64" s="128">
        <f>IFERROR(__xludf.DUMMYFUNCTION("""COMPUTED_VALUE"""),3048.0)</f>
        <v>3048</v>
      </c>
      <c r="D64" s="141">
        <f>IFERROR(__xludf.DUMMYFUNCTION("""COMPUTED_VALUE"""),46280.0)</f>
        <v>46280</v>
      </c>
      <c r="E64" s="142">
        <f>IFERROR(__xludf.DUMMYFUNCTION("""COMPUTED_VALUE"""),65.0)</f>
        <v>65</v>
      </c>
      <c r="F64" s="128" t="str">
        <f>IFERROR(__xludf.DUMMYFUNCTION("""COMPUTED_VALUE"""),"TRK337")</f>
        <v>TRK337</v>
      </c>
      <c r="G64" s="128" t="str">
        <f>IFERROR(__xludf.DUMMYFUNCTION("""COMPUTED_VALUE"""),"02-Medellin")</f>
        <v>02-Medellin</v>
      </c>
      <c r="I64" s="103"/>
      <c r="J64" s="103"/>
      <c r="K64" s="103"/>
      <c r="L64" s="103"/>
      <c r="M64" s="103"/>
      <c r="N64" s="103"/>
      <c r="O64" s="103"/>
      <c r="P64" s="103"/>
    </row>
    <row r="65">
      <c r="A65" s="8"/>
      <c r="B65" s="128">
        <f>IFERROR(__xludf.DUMMYFUNCTION("""COMPUTED_VALUE"""),62.0)</f>
        <v>62</v>
      </c>
      <c r="C65" s="128">
        <f>IFERROR(__xludf.DUMMYFUNCTION("""COMPUTED_VALUE"""),481.0)</f>
        <v>481</v>
      </c>
      <c r="D65" s="141">
        <f>IFERROR(__xludf.DUMMYFUNCTION("""COMPUTED_VALUE"""),46287.0)</f>
        <v>46287</v>
      </c>
      <c r="E65" s="142">
        <f>IFERROR(__xludf.DUMMYFUNCTION("""COMPUTED_VALUE"""),72.0)</f>
        <v>72</v>
      </c>
      <c r="F65" s="128" t="str">
        <f>IFERROR(__xludf.DUMMYFUNCTION("""COMPUTED_VALUE"""),"TRH350")</f>
        <v>TRH350</v>
      </c>
      <c r="G65" s="128" t="str">
        <f>IFERROR(__xludf.DUMMYFUNCTION("""COMPUTED_VALUE"""),"02-Medellin")</f>
        <v>02-Medellin</v>
      </c>
      <c r="I65" s="103"/>
      <c r="J65" s="103"/>
      <c r="K65" s="103"/>
      <c r="L65" s="103"/>
      <c r="M65" s="103"/>
      <c r="N65" s="103"/>
      <c r="O65" s="103"/>
      <c r="P65" s="103"/>
    </row>
    <row r="66">
      <c r="A66" s="8"/>
      <c r="B66" s="128">
        <f>IFERROR(__xludf.DUMMYFUNCTION("""COMPUTED_VALUE"""),63.0)</f>
        <v>63</v>
      </c>
      <c r="C66" s="128">
        <f>IFERROR(__xludf.DUMMYFUNCTION("""COMPUTED_VALUE"""),2458.0)</f>
        <v>2458</v>
      </c>
      <c r="D66" s="141">
        <f>IFERROR(__xludf.DUMMYFUNCTION("""COMPUTED_VALUE"""),46288.0)</f>
        <v>46288</v>
      </c>
      <c r="E66" s="142">
        <f>IFERROR(__xludf.DUMMYFUNCTION("""COMPUTED_VALUE"""),73.0)</f>
        <v>73</v>
      </c>
      <c r="F66" s="128" t="str">
        <f>IFERROR(__xludf.DUMMYFUNCTION("""COMPUTED_VALUE"""),"TRN653")</f>
        <v>TRN653</v>
      </c>
      <c r="G66" s="128" t="str">
        <f>IFERROR(__xludf.DUMMYFUNCTION("""COMPUTED_VALUE"""),"02-Medellin")</f>
        <v>02-Medellin</v>
      </c>
      <c r="I66" s="103"/>
      <c r="J66" s="103"/>
      <c r="K66" s="103"/>
      <c r="L66" s="103"/>
      <c r="M66" s="103"/>
      <c r="N66" s="103"/>
      <c r="O66" s="103"/>
      <c r="P66" s="103"/>
    </row>
    <row r="67">
      <c r="A67" s="8"/>
      <c r="B67" s="128">
        <f>IFERROR(__xludf.DUMMYFUNCTION("""COMPUTED_VALUE"""),64.0)</f>
        <v>64</v>
      </c>
      <c r="C67" s="128">
        <f>IFERROR(__xludf.DUMMYFUNCTION("""COMPUTED_VALUE"""),2450.0)</f>
        <v>2450</v>
      </c>
      <c r="D67" s="141">
        <f>IFERROR(__xludf.DUMMYFUNCTION("""COMPUTED_VALUE"""),46290.0)</f>
        <v>46290</v>
      </c>
      <c r="E67" s="142">
        <f>IFERROR(__xludf.DUMMYFUNCTION("""COMPUTED_VALUE"""),75.0)</f>
        <v>75</v>
      </c>
      <c r="F67" s="128" t="str">
        <f>IFERROR(__xludf.DUMMYFUNCTION("""COMPUTED_VALUE"""),"TRN643")</f>
        <v>TRN643</v>
      </c>
      <c r="G67" s="128" t="str">
        <f>IFERROR(__xludf.DUMMYFUNCTION("""COMPUTED_VALUE"""),"MAYORCA")</f>
        <v>MAYORCA</v>
      </c>
      <c r="I67" s="103"/>
      <c r="J67" s="103"/>
      <c r="K67" s="103"/>
      <c r="L67" s="103"/>
      <c r="M67" s="103"/>
      <c r="N67" s="103"/>
      <c r="O67" s="103"/>
      <c r="P67" s="103"/>
    </row>
    <row r="68">
      <c r="A68" s="8"/>
      <c r="B68" s="128">
        <f>IFERROR(__xludf.DUMMYFUNCTION("""COMPUTED_VALUE"""),65.0)</f>
        <v>65</v>
      </c>
      <c r="C68" s="128">
        <f>IFERROR(__xludf.DUMMYFUNCTION("""COMPUTED_VALUE"""),2454.0)</f>
        <v>2454</v>
      </c>
      <c r="D68" s="141">
        <f>IFERROR(__xludf.DUMMYFUNCTION("""COMPUTED_VALUE"""),46291.0)</f>
        <v>46291</v>
      </c>
      <c r="E68" s="142">
        <f>IFERROR(__xludf.DUMMYFUNCTION("""COMPUTED_VALUE"""),76.0)</f>
        <v>76</v>
      </c>
      <c r="F68" s="128" t="str">
        <f>IFERROR(__xludf.DUMMYFUNCTION("""COMPUTED_VALUE"""),"TRN649")</f>
        <v>TRN649</v>
      </c>
      <c r="G68" s="128" t="str">
        <f>IFERROR(__xludf.DUMMYFUNCTION("""COMPUTED_VALUE"""),"02-Medellin")</f>
        <v>02-Medellin</v>
      </c>
      <c r="I68" s="103"/>
      <c r="J68" s="103"/>
      <c r="K68" s="103"/>
      <c r="L68" s="103"/>
      <c r="M68" s="103"/>
      <c r="N68" s="103"/>
      <c r="O68" s="103"/>
      <c r="P68" s="103"/>
    </row>
    <row r="69">
      <c r="A69" s="8"/>
      <c r="B69" s="128">
        <f>IFERROR(__xludf.DUMMYFUNCTION("""COMPUTED_VALUE"""),66.0)</f>
        <v>66</v>
      </c>
      <c r="C69" s="128">
        <f>IFERROR(__xludf.DUMMYFUNCTION("""COMPUTED_VALUE"""),2469.0)</f>
        <v>2469</v>
      </c>
      <c r="D69" s="141">
        <f>IFERROR(__xludf.DUMMYFUNCTION("""COMPUTED_VALUE"""),46292.0)</f>
        <v>46292</v>
      </c>
      <c r="E69" s="142">
        <f>IFERROR(__xludf.DUMMYFUNCTION("""COMPUTED_VALUE"""),77.0)</f>
        <v>77</v>
      </c>
      <c r="F69" s="128" t="str">
        <f>IFERROR(__xludf.DUMMYFUNCTION("""COMPUTED_VALUE"""),"TRN644")</f>
        <v>TRN644</v>
      </c>
      <c r="G69" s="128" t="str">
        <f>IFERROR(__xludf.DUMMYFUNCTION("""COMPUTED_VALUE"""),"31-Copacabana QUIMICOS")</f>
        <v>31-Copacabana QUIMICOS</v>
      </c>
      <c r="I69" s="103"/>
      <c r="J69" s="103"/>
      <c r="K69" s="103"/>
      <c r="L69" s="103"/>
      <c r="M69" s="103"/>
      <c r="N69" s="103"/>
      <c r="O69" s="103"/>
      <c r="P69" s="103"/>
    </row>
    <row r="70">
      <c r="A70" s="8"/>
      <c r="B70" s="128">
        <f>IFERROR(__xludf.DUMMYFUNCTION("""COMPUTED_VALUE"""),67.0)</f>
        <v>67</v>
      </c>
      <c r="C70" s="128">
        <f>IFERROR(__xludf.DUMMYFUNCTION("""COMPUTED_VALUE"""),2464.0)</f>
        <v>2464</v>
      </c>
      <c r="D70" s="141">
        <f>IFERROR(__xludf.DUMMYFUNCTION("""COMPUTED_VALUE"""),46295.0)</f>
        <v>46295</v>
      </c>
      <c r="E70" s="142">
        <f>IFERROR(__xludf.DUMMYFUNCTION("""COMPUTED_VALUE"""),80.0)</f>
        <v>80</v>
      </c>
      <c r="F70" s="128" t="str">
        <f>IFERROR(__xludf.DUMMYFUNCTION("""COMPUTED_VALUE"""),"TRN659")</f>
        <v>TRN659</v>
      </c>
      <c r="G70" s="128" t="str">
        <f>IFERROR(__xludf.DUMMYFUNCTION("""COMPUTED_VALUE"""),"02-Medellin")</f>
        <v>02-Medellin</v>
      </c>
      <c r="I70" s="103"/>
      <c r="J70" s="103"/>
      <c r="K70" s="103"/>
      <c r="L70" s="103"/>
      <c r="M70" s="103"/>
      <c r="N70" s="103"/>
      <c r="O70" s="103"/>
      <c r="P70" s="103"/>
    </row>
    <row r="71">
      <c r="A71" s="8"/>
      <c r="B71" s="128">
        <f>IFERROR(__xludf.DUMMYFUNCTION("""COMPUTED_VALUE"""),68.0)</f>
        <v>68</v>
      </c>
      <c r="C71" s="128">
        <f>IFERROR(__xludf.DUMMYFUNCTION("""COMPUTED_VALUE"""),2456.0)</f>
        <v>2456</v>
      </c>
      <c r="D71" s="141">
        <f>IFERROR(__xludf.DUMMYFUNCTION("""COMPUTED_VALUE"""),46296.0)</f>
        <v>46296</v>
      </c>
      <c r="E71" s="142">
        <f>IFERROR(__xludf.DUMMYFUNCTION("""COMPUTED_VALUE"""),81.0)</f>
        <v>81</v>
      </c>
      <c r="F71" s="128" t="str">
        <f>IFERROR(__xludf.DUMMYFUNCTION("""COMPUTED_VALUE"""),"TRN651")</f>
        <v>TRN651</v>
      </c>
      <c r="G71" s="128" t="str">
        <f>IFERROR(__xludf.DUMMYFUNCTION("""COMPUTED_VALUE"""),"02-Medellin")</f>
        <v>02-Medellin</v>
      </c>
      <c r="I71" s="103"/>
      <c r="J71" s="103"/>
      <c r="K71" s="103"/>
      <c r="L71" s="103"/>
      <c r="M71" s="103"/>
      <c r="N71" s="103"/>
      <c r="O71" s="103"/>
      <c r="P71" s="103"/>
    </row>
    <row r="72">
      <c r="A72" s="8"/>
      <c r="B72" s="128">
        <f>IFERROR(__xludf.DUMMYFUNCTION("""COMPUTED_VALUE"""),69.0)</f>
        <v>69</v>
      </c>
      <c r="C72" s="128">
        <f>IFERROR(__xludf.DUMMYFUNCTION("""COMPUTED_VALUE"""),2466.0)</f>
        <v>2466</v>
      </c>
      <c r="D72" s="141">
        <f>IFERROR(__xludf.DUMMYFUNCTION("""COMPUTED_VALUE"""),46297.0)</f>
        <v>46297</v>
      </c>
      <c r="E72" s="142">
        <f>IFERROR(__xludf.DUMMYFUNCTION("""COMPUTED_VALUE"""),82.0)</f>
        <v>82</v>
      </c>
      <c r="F72" s="128" t="str">
        <f>IFERROR(__xludf.DUMMYFUNCTION("""COMPUTED_VALUE"""),"TRN661")</f>
        <v>TRN661</v>
      </c>
      <c r="G72" s="128" t="str">
        <f>IFERROR(__xludf.DUMMYFUNCTION("""COMPUTED_VALUE"""),"02-Medellin")</f>
        <v>02-Medellin</v>
      </c>
      <c r="I72" s="103"/>
      <c r="J72" s="103"/>
      <c r="K72" s="103"/>
      <c r="L72" s="103"/>
      <c r="M72" s="103"/>
      <c r="N72" s="103"/>
      <c r="O72" s="103"/>
      <c r="P72" s="103"/>
    </row>
    <row r="73">
      <c r="A73" s="8"/>
      <c r="B73" s="128">
        <f>IFERROR(__xludf.DUMMYFUNCTION("""COMPUTED_VALUE"""),70.0)</f>
        <v>70</v>
      </c>
      <c r="C73" s="128">
        <f>IFERROR(__xludf.DUMMYFUNCTION("""COMPUTED_VALUE"""),495.0)</f>
        <v>495</v>
      </c>
      <c r="D73" s="141">
        <f>IFERROR(__xludf.DUMMYFUNCTION("""COMPUTED_VALUE"""),46297.0)</f>
        <v>46297</v>
      </c>
      <c r="E73" s="142">
        <f>IFERROR(__xludf.DUMMYFUNCTION("""COMPUTED_VALUE"""),82.0)</f>
        <v>82</v>
      </c>
      <c r="F73" s="128" t="str">
        <f>IFERROR(__xludf.DUMMYFUNCTION("""COMPUTED_VALUE"""),"TRH564")</f>
        <v>TRH564</v>
      </c>
      <c r="G73" s="128" t="str">
        <f>IFERROR(__xludf.DUMMYFUNCTION("""COMPUTED_VALUE"""),"02-Medellin")</f>
        <v>02-Medellin</v>
      </c>
      <c r="I73" s="103"/>
      <c r="J73" s="103"/>
      <c r="K73" s="103"/>
      <c r="L73" s="103"/>
      <c r="M73" s="103"/>
      <c r="N73" s="103"/>
      <c r="O73" s="103"/>
      <c r="P73" s="103"/>
    </row>
    <row r="74">
      <c r="A74" s="8"/>
      <c r="B74" s="128">
        <f>IFERROR(__xludf.DUMMYFUNCTION("""COMPUTED_VALUE"""),71.0)</f>
        <v>71</v>
      </c>
      <c r="C74" s="128">
        <f>IFERROR(__xludf.DUMMYFUNCTION("""COMPUTED_VALUE"""),2460.0)</f>
        <v>2460</v>
      </c>
      <c r="D74" s="141">
        <f>IFERROR(__xludf.DUMMYFUNCTION("""COMPUTED_VALUE"""),46298.0)</f>
        <v>46298</v>
      </c>
      <c r="E74" s="142">
        <f>IFERROR(__xludf.DUMMYFUNCTION("""COMPUTED_VALUE"""),83.0)</f>
        <v>83</v>
      </c>
      <c r="F74" s="128" t="str">
        <f>IFERROR(__xludf.DUMMYFUNCTION("""COMPUTED_VALUE"""),"TRN655")</f>
        <v>TRN655</v>
      </c>
      <c r="G74" s="128" t="str">
        <f>IFERROR(__xludf.DUMMYFUNCTION("""COMPUTED_VALUE"""),"BULTOS")</f>
        <v>BULTOS</v>
      </c>
      <c r="I74" s="103"/>
      <c r="J74" s="103"/>
      <c r="K74" s="103"/>
      <c r="L74" s="103"/>
      <c r="M74" s="103"/>
      <c r="N74" s="103"/>
      <c r="O74" s="103"/>
      <c r="P74" s="103"/>
    </row>
    <row r="75">
      <c r="A75" s="8"/>
      <c r="B75" s="128">
        <f>IFERROR(__xludf.DUMMYFUNCTION("""COMPUTED_VALUE"""),72.0)</f>
        <v>72</v>
      </c>
      <c r="C75" s="128">
        <f>IFERROR(__xludf.DUMMYFUNCTION("""COMPUTED_VALUE"""),2455.0)</f>
        <v>2455</v>
      </c>
      <c r="D75" s="141">
        <f>IFERROR(__xludf.DUMMYFUNCTION("""COMPUTED_VALUE"""),46298.0)</f>
        <v>46298</v>
      </c>
      <c r="E75" s="142">
        <f>IFERROR(__xludf.DUMMYFUNCTION("""COMPUTED_VALUE"""),83.0)</f>
        <v>83</v>
      </c>
      <c r="F75" s="128" t="str">
        <f>IFERROR(__xludf.DUMMYFUNCTION("""COMPUTED_VALUE"""),"TRN650")</f>
        <v>TRN650</v>
      </c>
      <c r="G75" s="128" t="str">
        <f>IFERROR(__xludf.DUMMYFUNCTION("""COMPUTED_VALUE"""),"02-Medellin")</f>
        <v>02-Medellin</v>
      </c>
      <c r="I75" s="103"/>
      <c r="J75" s="103"/>
      <c r="K75" s="103"/>
      <c r="L75" s="103"/>
      <c r="M75" s="103"/>
      <c r="N75" s="103"/>
      <c r="O75" s="103"/>
      <c r="P75" s="103"/>
    </row>
    <row r="76">
      <c r="A76" s="8"/>
      <c r="B76" s="128">
        <f>IFERROR(__xludf.DUMMYFUNCTION("""COMPUTED_VALUE"""),73.0)</f>
        <v>73</v>
      </c>
      <c r="C76" s="128">
        <f>IFERROR(__xludf.DUMMYFUNCTION("""COMPUTED_VALUE"""),2462.0)</f>
        <v>2462</v>
      </c>
      <c r="D76" s="141">
        <f>IFERROR(__xludf.DUMMYFUNCTION("""COMPUTED_VALUE"""),46299.0)</f>
        <v>46299</v>
      </c>
      <c r="E76" s="142">
        <f>IFERROR(__xludf.DUMMYFUNCTION("""COMPUTED_VALUE"""),84.0)</f>
        <v>84</v>
      </c>
      <c r="F76" s="128" t="str">
        <f>IFERROR(__xludf.DUMMYFUNCTION("""COMPUTED_VALUE"""),"TRN657")</f>
        <v>TRN657</v>
      </c>
      <c r="G76" s="128" t="str">
        <f>IFERROR(__xludf.DUMMYFUNCTION("""COMPUTED_VALUE"""),"02-Medellin")</f>
        <v>02-Medellin</v>
      </c>
      <c r="I76" s="103"/>
      <c r="J76" s="103"/>
      <c r="K76" s="103"/>
      <c r="L76" s="103"/>
      <c r="M76" s="103"/>
      <c r="N76" s="103"/>
      <c r="O76" s="103"/>
      <c r="P76" s="103"/>
    </row>
    <row r="77">
      <c r="A77" s="8"/>
      <c r="B77" s="128">
        <f>IFERROR(__xludf.DUMMYFUNCTION("""COMPUTED_VALUE"""),74.0)</f>
        <v>74</v>
      </c>
      <c r="C77" s="128">
        <f>IFERROR(__xludf.DUMMYFUNCTION("""COMPUTED_VALUE"""),2459.0)</f>
        <v>2459</v>
      </c>
      <c r="D77" s="141">
        <f>IFERROR(__xludf.DUMMYFUNCTION("""COMPUTED_VALUE"""),46301.0)</f>
        <v>46301</v>
      </c>
      <c r="E77" s="142">
        <f>IFERROR(__xludf.DUMMYFUNCTION("""COMPUTED_VALUE"""),86.0)</f>
        <v>86</v>
      </c>
      <c r="F77" s="128" t="str">
        <f>IFERROR(__xludf.DUMMYFUNCTION("""COMPUTED_VALUE"""),"TRN654")</f>
        <v>TRN654</v>
      </c>
      <c r="G77" s="128" t="str">
        <f>IFERROR(__xludf.DUMMYFUNCTION("""COMPUTED_VALUE"""),"02-Medellin")</f>
        <v>02-Medellin</v>
      </c>
      <c r="I77" s="103"/>
      <c r="J77" s="103"/>
      <c r="K77" s="103"/>
      <c r="L77" s="103"/>
      <c r="M77" s="103"/>
      <c r="N77" s="103"/>
      <c r="O77" s="103"/>
      <c r="P77" s="103"/>
    </row>
    <row r="78">
      <c r="A78" s="8"/>
      <c r="B78" s="128">
        <f>IFERROR(__xludf.DUMMYFUNCTION("""COMPUTED_VALUE"""),75.0)</f>
        <v>75</v>
      </c>
      <c r="C78" s="128">
        <f>IFERROR(__xludf.DUMMYFUNCTION("""COMPUTED_VALUE"""),657.0)</f>
        <v>657</v>
      </c>
      <c r="D78" s="141">
        <f>IFERROR(__xludf.DUMMYFUNCTION("""COMPUTED_VALUE"""),46301.0)</f>
        <v>46301</v>
      </c>
      <c r="E78" s="142">
        <f>IFERROR(__xludf.DUMMYFUNCTION("""COMPUTED_VALUE"""),86.0)</f>
        <v>86</v>
      </c>
      <c r="F78" s="128" t="str">
        <f>IFERROR(__xludf.DUMMYFUNCTION("""COMPUTED_VALUE"""),"TRI775")</f>
        <v>TRI775</v>
      </c>
      <c r="G78" s="128" t="str">
        <f>IFERROR(__xludf.DUMMYFUNCTION("""COMPUTED_VALUE"""),"02-Medellin")</f>
        <v>02-Medellin</v>
      </c>
      <c r="I78" s="103"/>
      <c r="J78" s="103"/>
      <c r="K78" s="103"/>
      <c r="L78" s="103"/>
      <c r="M78" s="103"/>
      <c r="N78" s="103"/>
      <c r="O78" s="103"/>
      <c r="P78" s="103"/>
    </row>
    <row r="79">
      <c r="A79" s="8"/>
      <c r="B79" s="128">
        <f>IFERROR(__xludf.DUMMYFUNCTION("""COMPUTED_VALUE"""),76.0)</f>
        <v>76</v>
      </c>
      <c r="C79" s="128">
        <f>IFERROR(__xludf.DUMMYFUNCTION("""COMPUTED_VALUE"""),2457.0)</f>
        <v>2457</v>
      </c>
      <c r="D79" s="141">
        <f>IFERROR(__xludf.DUMMYFUNCTION("""COMPUTED_VALUE"""),46302.0)</f>
        <v>46302</v>
      </c>
      <c r="E79" s="142">
        <f>IFERROR(__xludf.DUMMYFUNCTION("""COMPUTED_VALUE"""),87.0)</f>
        <v>87</v>
      </c>
      <c r="F79" s="128" t="str">
        <f>IFERROR(__xludf.DUMMYFUNCTION("""COMPUTED_VALUE"""),"TRN652")</f>
        <v>TRN652</v>
      </c>
      <c r="G79" s="128" t="str">
        <f>IFERROR(__xludf.DUMMYFUNCTION("""COMPUTED_VALUE"""),"BULTOS")</f>
        <v>BULTOS</v>
      </c>
      <c r="I79" s="103"/>
      <c r="J79" s="103"/>
      <c r="K79" s="103"/>
      <c r="L79" s="103"/>
      <c r="M79" s="103"/>
      <c r="N79" s="103"/>
      <c r="O79" s="103"/>
      <c r="P79" s="103"/>
    </row>
    <row r="80">
      <c r="A80" s="8"/>
      <c r="B80" s="128">
        <f>IFERROR(__xludf.DUMMYFUNCTION("""COMPUTED_VALUE"""),77.0)</f>
        <v>77</v>
      </c>
      <c r="C80" s="128">
        <f>IFERROR(__xludf.DUMMYFUNCTION("""COMPUTED_VALUE"""),2919.0)</f>
        <v>2919</v>
      </c>
      <c r="D80" s="141">
        <f>IFERROR(__xludf.DUMMYFUNCTION("""COMPUTED_VALUE"""),46303.0)</f>
        <v>46303</v>
      </c>
      <c r="E80" s="142">
        <f>IFERROR(__xludf.DUMMYFUNCTION("""COMPUTED_VALUE"""),88.0)</f>
        <v>88</v>
      </c>
      <c r="F80" s="128" t="str">
        <f>IFERROR(__xludf.DUMMYFUNCTION("""COMPUTED_VALUE"""),"NNZ351")</f>
        <v>NNZ351</v>
      </c>
      <c r="G80" s="128" t="str">
        <f>IFERROR(__xludf.DUMMYFUNCTION("""COMPUTED_VALUE"""),"MAYORCA")</f>
        <v>MAYORCA</v>
      </c>
      <c r="I80" s="103"/>
      <c r="J80" s="103"/>
      <c r="K80" s="103"/>
      <c r="L80" s="103"/>
      <c r="M80" s="103"/>
      <c r="N80" s="103"/>
      <c r="O80" s="103"/>
      <c r="P80" s="103"/>
    </row>
    <row r="81">
      <c r="A81" s="8"/>
      <c r="B81" s="128">
        <f>IFERROR(__xludf.DUMMYFUNCTION("""COMPUTED_VALUE"""),78.0)</f>
        <v>78</v>
      </c>
      <c r="C81" s="128">
        <f>IFERROR(__xludf.DUMMYFUNCTION("""COMPUTED_VALUE"""),2918.0)</f>
        <v>2918</v>
      </c>
      <c r="D81" s="141">
        <f>IFERROR(__xludf.DUMMYFUNCTION("""COMPUTED_VALUE"""),46303.0)</f>
        <v>46303</v>
      </c>
      <c r="E81" s="142">
        <f>IFERROR(__xludf.DUMMYFUNCTION("""COMPUTED_VALUE"""),88.0)</f>
        <v>88</v>
      </c>
      <c r="F81" s="128" t="str">
        <f>IFERROR(__xludf.DUMMYFUNCTION("""COMPUTED_VALUE"""),"NNZ350")</f>
        <v>NNZ350</v>
      </c>
      <c r="G81" s="128" t="str">
        <f>IFERROR(__xludf.DUMMYFUNCTION("""COMPUTED_VALUE"""),"02-Medellin")</f>
        <v>02-Medellin</v>
      </c>
      <c r="I81" s="103"/>
      <c r="J81" s="103"/>
      <c r="K81" s="103"/>
      <c r="L81" s="103"/>
      <c r="M81" s="103"/>
      <c r="N81" s="103"/>
      <c r="O81" s="103"/>
      <c r="P81" s="103"/>
    </row>
    <row r="82">
      <c r="A82" s="8"/>
      <c r="B82" s="128">
        <f>IFERROR(__xludf.DUMMYFUNCTION("""COMPUTED_VALUE"""),79.0)</f>
        <v>79</v>
      </c>
      <c r="C82" s="128">
        <f>IFERROR(__xludf.DUMMYFUNCTION("""COMPUTED_VALUE"""),2490.0)</f>
        <v>2490</v>
      </c>
      <c r="D82" s="141">
        <f>IFERROR(__xludf.DUMMYFUNCTION("""COMPUTED_VALUE"""),46303.0)</f>
        <v>46303</v>
      </c>
      <c r="E82" s="142">
        <f>IFERROR(__xludf.DUMMYFUNCTION("""COMPUTED_VALUE"""),88.0)</f>
        <v>88</v>
      </c>
      <c r="F82" s="128" t="str">
        <f>IFERROR(__xludf.DUMMYFUNCTION("""COMPUTED_VALUE"""),"WLZ243")</f>
        <v>WLZ243</v>
      </c>
      <c r="G82" s="128" t="str">
        <f>IFERROR(__xludf.DUMMYFUNCTION("""COMPUTED_VALUE"""),"02-Medellin")</f>
        <v>02-Medellin</v>
      </c>
      <c r="I82" s="103"/>
      <c r="J82" s="103"/>
      <c r="K82" s="103"/>
      <c r="L82" s="103"/>
      <c r="M82" s="103"/>
      <c r="N82" s="103"/>
      <c r="O82" s="103"/>
      <c r="P82" s="103"/>
    </row>
    <row r="83">
      <c r="A83" s="8"/>
      <c r="B83" s="128">
        <f>IFERROR(__xludf.DUMMYFUNCTION("""COMPUTED_VALUE"""),80.0)</f>
        <v>80</v>
      </c>
      <c r="C83" s="128">
        <f>IFERROR(__xludf.DUMMYFUNCTION("""COMPUTED_VALUE"""),2468.0)</f>
        <v>2468</v>
      </c>
      <c r="D83" s="141">
        <f>IFERROR(__xludf.DUMMYFUNCTION("""COMPUTED_VALUE"""),46304.0)</f>
        <v>46304</v>
      </c>
      <c r="E83" s="142">
        <f>IFERROR(__xludf.DUMMYFUNCTION("""COMPUTED_VALUE"""),89.0)</f>
        <v>89</v>
      </c>
      <c r="F83" s="128" t="str">
        <f>IFERROR(__xludf.DUMMYFUNCTION("""COMPUTED_VALUE"""),"TRN656")</f>
        <v>TRN656</v>
      </c>
      <c r="G83" s="128" t="str">
        <f>IFERROR(__xludf.DUMMYFUNCTION("""COMPUTED_VALUE"""),"02-Medellin")</f>
        <v>02-Medellin</v>
      </c>
      <c r="I83" s="103"/>
      <c r="J83" s="103"/>
      <c r="K83" s="103"/>
      <c r="L83" s="103"/>
      <c r="M83" s="103"/>
      <c r="N83" s="103"/>
      <c r="O83" s="103"/>
      <c r="P83" s="103"/>
    </row>
    <row r="84">
      <c r="A84" s="8"/>
      <c r="B84" s="128">
        <f>IFERROR(__xludf.DUMMYFUNCTION("""COMPUTED_VALUE"""),81.0)</f>
        <v>81</v>
      </c>
      <c r="C84" s="128">
        <f>IFERROR(__xludf.DUMMYFUNCTION("""COMPUTED_VALUE"""),2463.0)</f>
        <v>2463</v>
      </c>
      <c r="D84" s="141">
        <f>IFERROR(__xludf.DUMMYFUNCTION("""COMPUTED_VALUE"""),46305.0)</f>
        <v>46305</v>
      </c>
      <c r="E84" s="142">
        <f>IFERROR(__xludf.DUMMYFUNCTION("""COMPUTED_VALUE"""),90.0)</f>
        <v>90</v>
      </c>
      <c r="F84" s="128" t="str">
        <f>IFERROR(__xludf.DUMMYFUNCTION("""COMPUTED_VALUE"""),"TRN658")</f>
        <v>TRN658</v>
      </c>
      <c r="G84" s="128" t="str">
        <f>IFERROR(__xludf.DUMMYFUNCTION("""COMPUTED_VALUE"""),"02-Medellin")</f>
        <v>02-Medellin</v>
      </c>
      <c r="I84" s="103"/>
      <c r="J84" s="103"/>
      <c r="K84" s="103"/>
      <c r="L84" s="103"/>
      <c r="M84" s="103"/>
      <c r="N84" s="103"/>
      <c r="O84" s="103"/>
      <c r="P84" s="103"/>
    </row>
    <row r="85">
      <c r="A85" s="8"/>
      <c r="B85" s="128">
        <f>IFERROR(__xludf.DUMMYFUNCTION("""COMPUTED_VALUE"""),82.0)</f>
        <v>82</v>
      </c>
      <c r="C85" s="128">
        <f>IFERROR(__xludf.DUMMYFUNCTION("""COMPUTED_VALUE"""),2366.0)</f>
        <v>2366</v>
      </c>
      <c r="D85" s="141">
        <f>IFERROR(__xludf.DUMMYFUNCTION("""COMPUTED_VALUE"""),46306.0)</f>
        <v>46306</v>
      </c>
      <c r="E85" s="142">
        <f>IFERROR(__xludf.DUMMYFUNCTION("""COMPUTED_VALUE"""),91.0)</f>
        <v>91</v>
      </c>
      <c r="F85" s="128" t="str">
        <f>IFERROR(__xludf.DUMMYFUNCTION("""COMPUTED_VALUE"""),"WCV410")</f>
        <v>WCV410</v>
      </c>
      <c r="G85" s="128" t="str">
        <f>IFERROR(__xludf.DUMMYFUNCTION("""COMPUTED_VALUE"""),"02-Medellin")</f>
        <v>02-Medellin</v>
      </c>
      <c r="I85" s="103"/>
      <c r="J85" s="103"/>
      <c r="K85" s="103"/>
      <c r="L85" s="103"/>
      <c r="M85" s="103"/>
      <c r="N85" s="103"/>
      <c r="O85" s="103"/>
      <c r="P85" s="103"/>
    </row>
    <row r="86">
      <c r="A86" s="8"/>
      <c r="B86" s="128">
        <f>IFERROR(__xludf.DUMMYFUNCTION("""COMPUTED_VALUE"""),83.0)</f>
        <v>83</v>
      </c>
      <c r="C86" s="128">
        <f>IFERROR(__xludf.DUMMYFUNCTION("""COMPUTED_VALUE"""),2779.0)</f>
        <v>2779</v>
      </c>
      <c r="D86" s="141">
        <f>IFERROR(__xludf.DUMMYFUNCTION("""COMPUTED_VALUE"""),46306.0)</f>
        <v>46306</v>
      </c>
      <c r="E86" s="142">
        <f>IFERROR(__xludf.DUMMYFUNCTION("""COMPUTED_VALUE"""),91.0)</f>
        <v>91</v>
      </c>
      <c r="F86" s="128" t="str">
        <f>IFERROR(__xludf.DUMMYFUNCTION("""COMPUTED_VALUE"""),"TRK409")</f>
        <v>TRK409</v>
      </c>
      <c r="G86" s="128" t="str">
        <f>IFERROR(__xludf.DUMMYFUNCTION("""COMPUTED_VALUE"""),"02-Medellin")</f>
        <v>02-Medellin</v>
      </c>
      <c r="I86" s="103"/>
      <c r="J86" s="103"/>
      <c r="K86" s="103"/>
      <c r="L86" s="103"/>
      <c r="M86" s="103"/>
      <c r="N86" s="103"/>
      <c r="O86" s="103"/>
      <c r="P86" s="103"/>
    </row>
    <row r="87">
      <c r="A87" s="8"/>
      <c r="B87" s="128">
        <f>IFERROR(__xludf.DUMMYFUNCTION("""COMPUTED_VALUE"""),84.0)</f>
        <v>84</v>
      </c>
      <c r="C87" s="128">
        <f>IFERROR(__xludf.DUMMYFUNCTION("""COMPUTED_VALUE"""),2484.0)</f>
        <v>2484</v>
      </c>
      <c r="D87" s="141">
        <f>IFERROR(__xludf.DUMMYFUNCTION("""COMPUTED_VALUE"""),46309.0)</f>
        <v>46309</v>
      </c>
      <c r="E87" s="142">
        <f>IFERROR(__xludf.DUMMYFUNCTION("""COMPUTED_VALUE"""),94.0)</f>
        <v>94</v>
      </c>
      <c r="F87" s="128" t="str">
        <f>IFERROR(__xludf.DUMMYFUNCTION("""COMPUTED_VALUE"""),"WLZ246")</f>
        <v>WLZ246</v>
      </c>
      <c r="G87" s="128" t="str">
        <f>IFERROR(__xludf.DUMMYFUNCTION("""COMPUTED_VALUE"""),"MAYORCA")</f>
        <v>MAYORCA</v>
      </c>
      <c r="I87" s="103"/>
      <c r="J87" s="103"/>
      <c r="K87" s="103"/>
      <c r="L87" s="103"/>
      <c r="M87" s="103"/>
      <c r="N87" s="103"/>
      <c r="O87" s="103"/>
      <c r="P87" s="103"/>
    </row>
    <row r="88">
      <c r="A88" s="8"/>
      <c r="B88" s="128">
        <f>IFERROR(__xludf.DUMMYFUNCTION("""COMPUTED_VALUE"""),85.0)</f>
        <v>85</v>
      </c>
      <c r="C88" s="128">
        <f>IFERROR(__xludf.DUMMYFUNCTION("""COMPUTED_VALUE"""),654.0)</f>
        <v>654</v>
      </c>
      <c r="D88" s="141">
        <f>IFERROR(__xludf.DUMMYFUNCTION("""COMPUTED_VALUE"""),46309.0)</f>
        <v>46309</v>
      </c>
      <c r="E88" s="142">
        <f>IFERROR(__xludf.DUMMYFUNCTION("""COMPUTED_VALUE"""),94.0)</f>
        <v>94</v>
      </c>
      <c r="F88" s="128" t="str">
        <f>IFERROR(__xludf.DUMMYFUNCTION("""COMPUTED_VALUE"""),"TRI772")</f>
        <v>TRI772</v>
      </c>
      <c r="G88" s="128" t="str">
        <f>IFERROR(__xludf.DUMMYFUNCTION("""COMPUTED_VALUE"""),"02-Medellin")</f>
        <v>02-Medellin</v>
      </c>
      <c r="I88" s="103"/>
      <c r="J88" s="103"/>
      <c r="K88" s="103"/>
      <c r="L88" s="103"/>
      <c r="M88" s="103"/>
      <c r="N88" s="103"/>
      <c r="O88" s="103"/>
      <c r="P88" s="103"/>
    </row>
    <row r="89">
      <c r="A89" s="8"/>
      <c r="B89" s="128">
        <f>IFERROR(__xludf.DUMMYFUNCTION("""COMPUTED_VALUE"""),86.0)</f>
        <v>86</v>
      </c>
      <c r="C89" s="128">
        <f>IFERROR(__xludf.DUMMYFUNCTION("""COMPUTED_VALUE"""),496.0)</f>
        <v>496</v>
      </c>
      <c r="D89" s="141">
        <f>IFERROR(__xludf.DUMMYFUNCTION("""COMPUTED_VALUE"""),46315.0)</f>
        <v>46315</v>
      </c>
      <c r="E89" s="142">
        <f>IFERROR(__xludf.DUMMYFUNCTION("""COMPUTED_VALUE"""),100.0)</f>
        <v>100</v>
      </c>
      <c r="F89" s="128" t="str">
        <f>IFERROR(__xludf.DUMMYFUNCTION("""COMPUTED_VALUE"""),"TRH565")</f>
        <v>TRH565</v>
      </c>
      <c r="G89" s="128" t="str">
        <f>IFERROR(__xludf.DUMMYFUNCTION("""COMPUTED_VALUE"""),"02-Medellin")</f>
        <v>02-Medellin</v>
      </c>
      <c r="I89" s="103"/>
      <c r="J89" s="103"/>
      <c r="K89" s="103"/>
      <c r="L89" s="103"/>
      <c r="M89" s="103"/>
      <c r="N89" s="103"/>
      <c r="O89" s="103"/>
      <c r="P89" s="103"/>
    </row>
    <row r="90">
      <c r="A90" s="8"/>
      <c r="B90" s="128">
        <f>IFERROR(__xludf.DUMMYFUNCTION("""COMPUTED_VALUE"""),87.0)</f>
        <v>87</v>
      </c>
      <c r="C90" s="128">
        <f>IFERROR(__xludf.DUMMYFUNCTION("""COMPUTED_VALUE"""),2920.0)</f>
        <v>2920</v>
      </c>
      <c r="D90" s="141">
        <f>IFERROR(__xludf.DUMMYFUNCTION("""COMPUTED_VALUE"""),46317.0)</f>
        <v>46317</v>
      </c>
      <c r="E90" s="142">
        <f>IFERROR(__xludf.DUMMYFUNCTION("""COMPUTED_VALUE"""),102.0)</f>
        <v>102</v>
      </c>
      <c r="F90" s="128" t="str">
        <f>IFERROR(__xludf.DUMMYFUNCTION("""COMPUTED_VALUE"""),"NNZ360")</f>
        <v>NNZ360</v>
      </c>
      <c r="G90" s="128" t="str">
        <f>IFERROR(__xludf.DUMMYFUNCTION("""COMPUTED_VALUE"""),"31-Copacabana")</f>
        <v>31-Copacabana</v>
      </c>
      <c r="I90" s="103"/>
      <c r="J90" s="103"/>
      <c r="K90" s="103"/>
      <c r="L90" s="103"/>
      <c r="M90" s="103"/>
      <c r="N90" s="103"/>
      <c r="O90" s="103"/>
      <c r="P90" s="103"/>
    </row>
    <row r="91">
      <c r="A91" s="8"/>
      <c r="B91" s="128">
        <f>IFERROR(__xludf.DUMMYFUNCTION("""COMPUTED_VALUE"""),88.0)</f>
        <v>88</v>
      </c>
      <c r="C91" s="128">
        <f>IFERROR(__xludf.DUMMYFUNCTION("""COMPUTED_VALUE"""),2927.0)</f>
        <v>2927</v>
      </c>
      <c r="D91" s="141">
        <f>IFERROR(__xludf.DUMMYFUNCTION("""COMPUTED_VALUE"""),46318.0)</f>
        <v>46318</v>
      </c>
      <c r="E91" s="142">
        <f>IFERROR(__xludf.DUMMYFUNCTION("""COMPUTED_VALUE"""),103.0)</f>
        <v>103</v>
      </c>
      <c r="F91" s="128" t="str">
        <f>IFERROR(__xludf.DUMMYFUNCTION("""COMPUTED_VALUE"""),"NNZ367")</f>
        <v>NNZ367</v>
      </c>
      <c r="G91" s="128" t="str">
        <f>IFERROR(__xludf.DUMMYFUNCTION("""COMPUTED_VALUE"""),"02-Medellin")</f>
        <v>02-Medellin</v>
      </c>
      <c r="I91" s="103"/>
      <c r="J91" s="103"/>
      <c r="K91" s="103"/>
      <c r="L91" s="103"/>
      <c r="M91" s="103"/>
      <c r="N91" s="103"/>
      <c r="O91" s="103"/>
      <c r="P91" s="103"/>
    </row>
    <row r="92">
      <c r="A92" s="8"/>
      <c r="B92" s="128">
        <f>IFERROR(__xludf.DUMMYFUNCTION("""COMPUTED_VALUE"""),89.0)</f>
        <v>89</v>
      </c>
      <c r="C92" s="128">
        <f>IFERROR(__xludf.DUMMYFUNCTION("""COMPUTED_VALUE"""),2926.0)</f>
        <v>2926</v>
      </c>
      <c r="D92" s="141">
        <f>IFERROR(__xludf.DUMMYFUNCTION("""COMPUTED_VALUE"""),46318.0)</f>
        <v>46318</v>
      </c>
      <c r="E92" s="142">
        <f>IFERROR(__xludf.DUMMYFUNCTION("""COMPUTED_VALUE"""),103.0)</f>
        <v>103</v>
      </c>
      <c r="F92" s="128" t="str">
        <f>IFERROR(__xludf.DUMMYFUNCTION("""COMPUTED_VALUE"""),"NNZ366")</f>
        <v>NNZ366</v>
      </c>
      <c r="G92" s="128" t="str">
        <f>IFERROR(__xludf.DUMMYFUNCTION("""COMPUTED_VALUE"""),"31-Copacabana")</f>
        <v>31-Copacabana</v>
      </c>
      <c r="I92" s="103"/>
      <c r="J92" s="103"/>
      <c r="K92" s="103"/>
      <c r="L92" s="103"/>
      <c r="M92" s="103"/>
      <c r="N92" s="103"/>
      <c r="O92" s="103"/>
      <c r="P92" s="103"/>
    </row>
    <row r="93">
      <c r="A93" s="8"/>
      <c r="B93" s="128">
        <f>IFERROR(__xludf.DUMMYFUNCTION("""COMPUTED_VALUE"""),90.0)</f>
        <v>90</v>
      </c>
      <c r="C93" s="128">
        <f>IFERROR(__xludf.DUMMYFUNCTION("""COMPUTED_VALUE"""),2925.0)</f>
        <v>2925</v>
      </c>
      <c r="D93" s="141">
        <f>IFERROR(__xludf.DUMMYFUNCTION("""COMPUTED_VALUE"""),46318.0)</f>
        <v>46318</v>
      </c>
      <c r="E93" s="142">
        <f>IFERROR(__xludf.DUMMYFUNCTION("""COMPUTED_VALUE"""),103.0)</f>
        <v>103</v>
      </c>
      <c r="F93" s="128" t="str">
        <f>IFERROR(__xludf.DUMMYFUNCTION("""COMPUTED_VALUE"""),"NNZ365")</f>
        <v>NNZ365</v>
      </c>
      <c r="G93" s="128" t="str">
        <f>IFERROR(__xludf.DUMMYFUNCTION("""COMPUTED_VALUE"""),"02-Medellin")</f>
        <v>02-Medellin</v>
      </c>
      <c r="I93" s="103"/>
      <c r="J93" s="103"/>
      <c r="K93" s="103"/>
      <c r="L93" s="103"/>
      <c r="M93" s="103"/>
      <c r="N93" s="103"/>
      <c r="O93" s="103"/>
      <c r="P93" s="103"/>
    </row>
    <row r="94">
      <c r="A94" s="8"/>
      <c r="B94" s="128">
        <f>IFERROR(__xludf.DUMMYFUNCTION("""COMPUTED_VALUE"""),91.0)</f>
        <v>91</v>
      </c>
      <c r="C94" s="128">
        <f>IFERROR(__xludf.DUMMYFUNCTION("""COMPUTED_VALUE"""),2924.0)</f>
        <v>2924</v>
      </c>
      <c r="D94" s="141">
        <f>IFERROR(__xludf.DUMMYFUNCTION("""COMPUTED_VALUE"""),46318.0)</f>
        <v>46318</v>
      </c>
      <c r="E94" s="142">
        <f>IFERROR(__xludf.DUMMYFUNCTION("""COMPUTED_VALUE"""),103.0)</f>
        <v>103</v>
      </c>
      <c r="F94" s="128" t="str">
        <f>IFERROR(__xludf.DUMMYFUNCTION("""COMPUTED_VALUE"""),"NNZ364")</f>
        <v>NNZ364</v>
      </c>
      <c r="G94" s="128" t="str">
        <f>IFERROR(__xludf.DUMMYFUNCTION("""COMPUTED_VALUE"""),"02-Medellin")</f>
        <v>02-Medellin</v>
      </c>
      <c r="I94" s="103"/>
      <c r="J94" s="103"/>
      <c r="K94" s="103"/>
      <c r="L94" s="103"/>
      <c r="M94" s="103"/>
      <c r="N94" s="103"/>
      <c r="O94" s="103"/>
      <c r="P94" s="103"/>
    </row>
    <row r="95">
      <c r="A95" s="8"/>
      <c r="B95" s="128">
        <f>IFERROR(__xludf.DUMMYFUNCTION("""COMPUTED_VALUE"""),92.0)</f>
        <v>92</v>
      </c>
      <c r="C95" s="128">
        <f>IFERROR(__xludf.DUMMYFUNCTION("""COMPUTED_VALUE"""),2923.0)</f>
        <v>2923</v>
      </c>
      <c r="D95" s="141">
        <f>IFERROR(__xludf.DUMMYFUNCTION("""COMPUTED_VALUE"""),46318.0)</f>
        <v>46318</v>
      </c>
      <c r="E95" s="142">
        <f>IFERROR(__xludf.DUMMYFUNCTION("""COMPUTED_VALUE"""),103.0)</f>
        <v>103</v>
      </c>
      <c r="F95" s="128" t="str">
        <f>IFERROR(__xludf.DUMMYFUNCTION("""COMPUTED_VALUE"""),"NNZ363")</f>
        <v>NNZ363</v>
      </c>
      <c r="G95" s="128" t="str">
        <f>IFERROR(__xludf.DUMMYFUNCTION("""COMPUTED_VALUE"""),"BULTOS")</f>
        <v>BULTOS</v>
      </c>
      <c r="I95" s="103"/>
      <c r="J95" s="103"/>
      <c r="K95" s="103"/>
      <c r="L95" s="103"/>
      <c r="M95" s="103"/>
      <c r="N95" s="103"/>
      <c r="O95" s="103"/>
      <c r="P95" s="103"/>
    </row>
    <row r="96">
      <c r="A96" s="8"/>
      <c r="B96" s="128">
        <f>IFERROR(__xludf.DUMMYFUNCTION("""COMPUTED_VALUE"""),93.0)</f>
        <v>93</v>
      </c>
      <c r="C96" s="128">
        <f>IFERROR(__xludf.DUMMYFUNCTION("""COMPUTED_VALUE"""),2922.0)</f>
        <v>2922</v>
      </c>
      <c r="D96" s="141">
        <f>IFERROR(__xludf.DUMMYFUNCTION("""COMPUTED_VALUE"""),46318.0)</f>
        <v>46318</v>
      </c>
      <c r="E96" s="142">
        <f>IFERROR(__xludf.DUMMYFUNCTION("""COMPUTED_VALUE"""),103.0)</f>
        <v>103</v>
      </c>
      <c r="F96" s="128" t="str">
        <f>IFERROR(__xludf.DUMMYFUNCTION("""COMPUTED_VALUE"""),"NNZ362")</f>
        <v>NNZ362</v>
      </c>
      <c r="G96" s="128" t="str">
        <f>IFERROR(__xludf.DUMMYFUNCTION("""COMPUTED_VALUE"""),"02-Medellin")</f>
        <v>02-Medellin</v>
      </c>
      <c r="I96" s="103"/>
      <c r="J96" s="103"/>
      <c r="K96" s="103"/>
      <c r="L96" s="103"/>
      <c r="M96" s="103"/>
      <c r="N96" s="103"/>
      <c r="O96" s="103"/>
      <c r="P96" s="103"/>
    </row>
    <row r="97">
      <c r="A97" s="8"/>
      <c r="B97" s="128">
        <f>IFERROR(__xludf.DUMMYFUNCTION("""COMPUTED_VALUE"""),94.0)</f>
        <v>94</v>
      </c>
      <c r="C97" s="128">
        <f>IFERROR(__xludf.DUMMYFUNCTION("""COMPUTED_VALUE"""),2921.0)</f>
        <v>2921</v>
      </c>
      <c r="D97" s="141">
        <f>IFERROR(__xludf.DUMMYFUNCTION("""COMPUTED_VALUE"""),46318.0)</f>
        <v>46318</v>
      </c>
      <c r="E97" s="142">
        <f>IFERROR(__xludf.DUMMYFUNCTION("""COMPUTED_VALUE"""),103.0)</f>
        <v>103</v>
      </c>
      <c r="F97" s="128" t="str">
        <f>IFERROR(__xludf.DUMMYFUNCTION("""COMPUTED_VALUE"""),"NNZ361")</f>
        <v>NNZ361</v>
      </c>
      <c r="G97" s="128" t="str">
        <f>IFERROR(__xludf.DUMMYFUNCTION("""COMPUTED_VALUE"""),"MAYORCA")</f>
        <v>MAYORCA</v>
      </c>
      <c r="I97" s="103"/>
      <c r="J97" s="103"/>
      <c r="K97" s="103"/>
      <c r="L97" s="103"/>
      <c r="M97" s="103"/>
      <c r="N97" s="103"/>
      <c r="O97" s="103"/>
      <c r="P97" s="103"/>
    </row>
    <row r="98">
      <c r="A98" s="8"/>
      <c r="B98" s="128">
        <f>IFERROR(__xludf.DUMMYFUNCTION("""COMPUTED_VALUE"""),95.0)</f>
        <v>95</v>
      </c>
      <c r="C98" s="128">
        <f>IFERROR(__xludf.DUMMYFUNCTION("""COMPUTED_VALUE"""),2276.0)</f>
        <v>2276</v>
      </c>
      <c r="D98" s="141">
        <f>IFERROR(__xludf.DUMMYFUNCTION("""COMPUTED_VALUE"""),46366.0)</f>
        <v>46366</v>
      </c>
      <c r="E98" s="142">
        <f>IFERROR(__xludf.DUMMYFUNCTION("""COMPUTED_VALUE"""),151.0)</f>
        <v>151</v>
      </c>
      <c r="F98" s="128" t="str">
        <f>IFERROR(__xludf.DUMMYFUNCTION("""COMPUTED_VALUE"""),"SNP571")</f>
        <v>SNP571</v>
      </c>
      <c r="G98" s="128" t="str">
        <f>IFERROR(__xludf.DUMMYFUNCTION("""COMPUTED_VALUE"""),"02-Medellin")</f>
        <v>02-Medellin</v>
      </c>
      <c r="I98" s="103"/>
      <c r="J98" s="103"/>
      <c r="K98" s="103"/>
      <c r="L98" s="103"/>
      <c r="M98" s="103"/>
      <c r="N98" s="103"/>
      <c r="O98" s="103"/>
      <c r="P98" s="103"/>
    </row>
    <row r="99">
      <c r="A99" s="8"/>
      <c r="B99" s="128">
        <f>IFERROR(__xludf.DUMMYFUNCTION("""COMPUTED_VALUE"""),96.0)</f>
        <v>96</v>
      </c>
      <c r="C99" s="128">
        <f>IFERROR(__xludf.DUMMYFUNCTION("""COMPUTED_VALUE"""),2188.0)</f>
        <v>2188</v>
      </c>
      <c r="D99" s="141">
        <f>IFERROR(__xludf.DUMMYFUNCTION("""COMPUTED_VALUE"""),46375.0)</f>
        <v>46375</v>
      </c>
      <c r="E99" s="142">
        <f>IFERROR(__xludf.DUMMYFUNCTION("""COMPUTED_VALUE"""),160.0)</f>
        <v>160</v>
      </c>
      <c r="F99" s="128" t="str">
        <f>IFERROR(__xludf.DUMMYFUNCTION("""COMPUTED_VALUE"""),"SNP316")</f>
        <v>SNP316</v>
      </c>
      <c r="G99" s="128" t="str">
        <f>IFERROR(__xludf.DUMMYFUNCTION("""COMPUTED_VALUE"""),"BULTOS")</f>
        <v>BULTOS</v>
      </c>
      <c r="I99" s="103"/>
      <c r="J99" s="103"/>
      <c r="K99" s="103"/>
      <c r="L99" s="103"/>
      <c r="M99" s="103"/>
      <c r="N99" s="103"/>
      <c r="O99" s="103"/>
      <c r="P99" s="103"/>
    </row>
    <row r="100">
      <c r="A100" s="8"/>
      <c r="B100" s="128">
        <f>IFERROR(__xludf.DUMMYFUNCTION("""COMPUTED_VALUE"""),97.0)</f>
        <v>97</v>
      </c>
      <c r="C100" s="128">
        <f>IFERROR(__xludf.DUMMYFUNCTION("""COMPUTED_VALUE"""),2179.0)</f>
        <v>2179</v>
      </c>
      <c r="D100" s="141">
        <f>IFERROR(__xludf.DUMMYFUNCTION("""COMPUTED_VALUE"""),46383.0)</f>
        <v>46383</v>
      </c>
      <c r="E100" s="142">
        <f>IFERROR(__xludf.DUMMYFUNCTION("""COMPUTED_VALUE"""),168.0)</f>
        <v>168</v>
      </c>
      <c r="F100" s="128" t="str">
        <f>IFERROR(__xludf.DUMMYFUNCTION("""COMPUTED_VALUE"""),"SNP307")</f>
        <v>SNP307</v>
      </c>
      <c r="G100" s="128" t="str">
        <f>IFERROR(__xludf.DUMMYFUNCTION("""COMPUTED_VALUE"""),"02-Medellin")</f>
        <v>02-Medellin</v>
      </c>
      <c r="I100" s="103"/>
      <c r="J100" s="103"/>
      <c r="K100" s="103"/>
      <c r="L100" s="103"/>
      <c r="M100" s="103"/>
      <c r="N100" s="103"/>
      <c r="O100" s="103"/>
      <c r="P100" s="103"/>
    </row>
    <row r="101">
      <c r="A101" s="8"/>
      <c r="B101" s="128">
        <f>IFERROR(__xludf.DUMMYFUNCTION("""COMPUTED_VALUE"""),98.0)</f>
        <v>98</v>
      </c>
      <c r="C101" s="128">
        <f>IFERROR(__xludf.DUMMYFUNCTION("""COMPUTED_VALUE"""),2187.0)</f>
        <v>2187</v>
      </c>
      <c r="D101" s="141">
        <f>IFERROR(__xludf.DUMMYFUNCTION("""COMPUTED_VALUE"""),46410.0)</f>
        <v>46410</v>
      </c>
      <c r="E101" s="142">
        <f>IFERROR(__xludf.DUMMYFUNCTION("""COMPUTED_VALUE"""),195.0)</f>
        <v>195</v>
      </c>
      <c r="F101" s="128" t="str">
        <f>IFERROR(__xludf.DUMMYFUNCTION("""COMPUTED_VALUE"""),"SNP315")</f>
        <v>SNP315</v>
      </c>
      <c r="G101" s="128" t="str">
        <f>IFERROR(__xludf.DUMMYFUNCTION("""COMPUTED_VALUE"""),"02-Medellin")</f>
        <v>02-Medellin</v>
      </c>
      <c r="I101" s="103"/>
      <c r="J101" s="103"/>
      <c r="K101" s="103"/>
      <c r="L101" s="103"/>
      <c r="M101" s="103"/>
      <c r="N101" s="103"/>
      <c r="O101" s="103"/>
      <c r="P101" s="103"/>
    </row>
    <row r="102">
      <c r="A102" s="8"/>
      <c r="B102" s="128">
        <f>IFERROR(__xludf.DUMMYFUNCTION("""COMPUTED_VALUE"""),99.0)</f>
        <v>99</v>
      </c>
      <c r="C102" s="128">
        <f>IFERROR(__xludf.DUMMYFUNCTION("""COMPUTED_VALUE"""),461.0)</f>
        <v>461</v>
      </c>
      <c r="D102" s="141">
        <f>IFERROR(__xludf.DUMMYFUNCTION("""COMPUTED_VALUE"""),46420.0)</f>
        <v>46420</v>
      </c>
      <c r="E102" s="142">
        <f>IFERROR(__xludf.DUMMYFUNCTION("""COMPUTED_VALUE"""),205.0)</f>
        <v>205</v>
      </c>
      <c r="F102" s="128" t="str">
        <f>IFERROR(__xludf.DUMMYFUNCTION("""COMPUTED_VALUE"""),"TRG638")</f>
        <v>TRG638</v>
      </c>
      <c r="G102" s="128" t="str">
        <f>IFERROR(__xludf.DUMMYFUNCTION("""COMPUTED_VALUE"""),"02-Medellin")</f>
        <v>02-Medellin</v>
      </c>
      <c r="I102" s="103"/>
      <c r="J102" s="103"/>
      <c r="K102" s="103"/>
      <c r="L102" s="103"/>
      <c r="M102" s="103"/>
      <c r="N102" s="103"/>
      <c r="O102" s="103"/>
      <c r="P102" s="103"/>
    </row>
    <row r="103">
      <c r="A103" s="8"/>
      <c r="B103" s="128">
        <f>IFERROR(__xludf.DUMMYFUNCTION("""COMPUTED_VALUE"""),100.0)</f>
        <v>100</v>
      </c>
      <c r="C103" s="128">
        <f>IFERROR(__xludf.DUMMYFUNCTION("""COMPUTED_VALUE"""),661.0)</f>
        <v>661</v>
      </c>
      <c r="D103" s="141">
        <f>IFERROR(__xludf.DUMMYFUNCTION("""COMPUTED_VALUE"""),46420.0)</f>
        <v>46420</v>
      </c>
      <c r="E103" s="142">
        <f>IFERROR(__xludf.DUMMYFUNCTION("""COMPUTED_VALUE"""),205.0)</f>
        <v>205</v>
      </c>
      <c r="F103" s="128" t="str">
        <f>IFERROR(__xludf.DUMMYFUNCTION("""COMPUTED_VALUE"""),"TRI953")</f>
        <v>TRI953</v>
      </c>
      <c r="G103" s="128" t="str">
        <f>IFERROR(__xludf.DUMMYFUNCTION("""COMPUTED_VALUE"""),"02-Medellin")</f>
        <v>02-Medellin</v>
      </c>
      <c r="I103" s="103"/>
      <c r="J103" s="103"/>
      <c r="K103" s="103"/>
      <c r="L103" s="103"/>
      <c r="M103" s="103"/>
      <c r="N103" s="103"/>
      <c r="O103" s="103"/>
      <c r="P103" s="103"/>
    </row>
    <row r="104">
      <c r="A104" s="8"/>
      <c r="B104" s="128">
        <f>IFERROR(__xludf.DUMMYFUNCTION("""COMPUTED_VALUE"""),101.0)</f>
        <v>101</v>
      </c>
      <c r="C104" s="128">
        <f>IFERROR(__xludf.DUMMYFUNCTION("""COMPUTED_VALUE"""),2354.0)</f>
        <v>2354</v>
      </c>
      <c r="D104" s="141">
        <f>IFERROR(__xludf.DUMMYFUNCTION("""COMPUTED_VALUE"""),46435.0)</f>
        <v>46435</v>
      </c>
      <c r="E104" s="142">
        <f>IFERROR(__xludf.DUMMYFUNCTION("""COMPUTED_VALUE"""),220.0)</f>
        <v>220</v>
      </c>
      <c r="F104" s="128" t="str">
        <f>IFERROR(__xludf.DUMMYFUNCTION("""COMPUTED_VALUE"""),"TRM763")</f>
        <v>TRM763</v>
      </c>
      <c r="G104" s="128" t="str">
        <f>IFERROR(__xludf.DUMMYFUNCTION("""COMPUTED_VALUE"""),"31-Copacabana")</f>
        <v>31-Copacabana</v>
      </c>
      <c r="I104" s="103"/>
      <c r="J104" s="103"/>
      <c r="K104" s="103"/>
      <c r="L104" s="103"/>
      <c r="M104" s="103"/>
      <c r="N104" s="103"/>
      <c r="O104" s="103"/>
      <c r="P104" s="103"/>
    </row>
    <row r="105">
      <c r="A105" s="8"/>
      <c r="B105" s="128">
        <f>IFERROR(__xludf.DUMMYFUNCTION("""COMPUTED_VALUE"""),102.0)</f>
        <v>102</v>
      </c>
      <c r="C105" s="128">
        <f>IFERROR(__xludf.DUMMYFUNCTION("""COMPUTED_VALUE"""),2355.0)</f>
        <v>2355</v>
      </c>
      <c r="D105" s="141">
        <f>IFERROR(__xludf.DUMMYFUNCTION("""COMPUTED_VALUE"""),46439.0)</f>
        <v>46439</v>
      </c>
      <c r="E105" s="142">
        <f>IFERROR(__xludf.DUMMYFUNCTION("""COMPUTED_VALUE"""),224.0)</f>
        <v>224</v>
      </c>
      <c r="F105" s="128" t="str">
        <f>IFERROR(__xludf.DUMMYFUNCTION("""COMPUTED_VALUE"""),"TRM810")</f>
        <v>TRM810</v>
      </c>
      <c r="G105" s="128" t="str">
        <f>IFERROR(__xludf.DUMMYFUNCTION("""COMPUTED_VALUE"""),"31-Copacabana")</f>
        <v>31-Copacabana</v>
      </c>
      <c r="I105" s="103"/>
      <c r="J105" s="103"/>
      <c r="K105" s="103"/>
      <c r="L105" s="103"/>
      <c r="M105" s="103"/>
      <c r="N105" s="103"/>
      <c r="O105" s="103"/>
      <c r="P105" s="103"/>
    </row>
    <row r="106">
      <c r="A106" s="8"/>
      <c r="B106" s="128">
        <f>IFERROR(__xludf.DUMMYFUNCTION("""COMPUTED_VALUE"""),103.0)</f>
        <v>103</v>
      </c>
      <c r="C106" s="128">
        <f>IFERROR(__xludf.DUMMYFUNCTION("""COMPUTED_VALUE"""),2360.0)</f>
        <v>2360</v>
      </c>
      <c r="D106" s="141">
        <f>IFERROR(__xludf.DUMMYFUNCTION("""COMPUTED_VALUE"""),46445.0)</f>
        <v>46445</v>
      </c>
      <c r="E106" s="142">
        <f>IFERROR(__xludf.DUMMYFUNCTION("""COMPUTED_VALUE"""),230.0)</f>
        <v>230</v>
      </c>
      <c r="F106" s="128" t="str">
        <f>IFERROR(__xludf.DUMMYFUNCTION("""COMPUTED_VALUE"""),"TRM911")</f>
        <v>TRM911</v>
      </c>
      <c r="G106" s="128" t="str">
        <f>IFERROR(__xludf.DUMMYFUNCTION("""COMPUTED_VALUE"""),"02-Medellin")</f>
        <v>02-Medellin</v>
      </c>
      <c r="I106" s="103"/>
      <c r="J106" s="103"/>
      <c r="K106" s="103"/>
      <c r="L106" s="103"/>
      <c r="M106" s="103"/>
      <c r="N106" s="103"/>
      <c r="O106" s="103"/>
      <c r="P106" s="103"/>
    </row>
    <row r="107">
      <c r="A107" s="8"/>
      <c r="B107" s="128">
        <f>IFERROR(__xludf.DUMMYFUNCTION("""COMPUTED_VALUE"""),104.0)</f>
        <v>104</v>
      </c>
      <c r="C107" s="128">
        <f>IFERROR(__xludf.DUMMYFUNCTION("""COMPUTED_VALUE"""),2395.0)</f>
        <v>2395</v>
      </c>
      <c r="D107" s="141">
        <f>IFERROR(__xludf.DUMMYFUNCTION("""COMPUTED_VALUE"""),46446.0)</f>
        <v>46446</v>
      </c>
      <c r="E107" s="142">
        <f>IFERROR(__xludf.DUMMYFUNCTION("""COMPUTED_VALUE"""),231.0)</f>
        <v>231</v>
      </c>
      <c r="F107" s="128" t="str">
        <f>IFERROR(__xludf.DUMMYFUNCTION("""COMPUTED_VALUE"""),"TRN200")</f>
        <v>TRN200</v>
      </c>
      <c r="G107" s="128" t="str">
        <f>IFERROR(__xludf.DUMMYFUNCTION("""COMPUTED_VALUE"""),"02-Medellin")</f>
        <v>02-Medellin</v>
      </c>
      <c r="I107" s="103"/>
      <c r="J107" s="103"/>
      <c r="K107" s="103"/>
      <c r="L107" s="103"/>
      <c r="M107" s="103"/>
      <c r="N107" s="103"/>
      <c r="O107" s="103"/>
      <c r="P107" s="103"/>
    </row>
    <row r="108">
      <c r="A108" s="8"/>
      <c r="B108" s="128">
        <f>IFERROR(__xludf.DUMMYFUNCTION("""COMPUTED_VALUE"""),105.0)</f>
        <v>105</v>
      </c>
      <c r="C108" s="128">
        <f>IFERROR(__xludf.DUMMYFUNCTION("""COMPUTED_VALUE"""),2403.0)</f>
        <v>2403</v>
      </c>
      <c r="D108" s="141">
        <f>IFERROR(__xludf.DUMMYFUNCTION("""COMPUTED_VALUE"""),46457.0)</f>
        <v>46457</v>
      </c>
      <c r="E108" s="142">
        <f>IFERROR(__xludf.DUMMYFUNCTION("""COMPUTED_VALUE"""),242.0)</f>
        <v>242</v>
      </c>
      <c r="F108" s="128" t="str">
        <f>IFERROR(__xludf.DUMMYFUNCTION("""COMPUTED_VALUE"""),"TRN226")</f>
        <v>TRN226</v>
      </c>
      <c r="G108" s="128" t="str">
        <f>IFERROR(__xludf.DUMMYFUNCTION("""COMPUTED_VALUE"""),"BULTOS")</f>
        <v>BULTOS</v>
      </c>
      <c r="I108" s="103"/>
      <c r="J108" s="103"/>
      <c r="K108" s="103"/>
      <c r="L108" s="103"/>
      <c r="M108" s="103"/>
      <c r="N108" s="103"/>
      <c r="O108" s="103"/>
      <c r="P108" s="103"/>
    </row>
    <row r="109">
      <c r="A109" s="8"/>
      <c r="B109" s="128">
        <f>IFERROR(__xludf.DUMMYFUNCTION("""COMPUTED_VALUE"""),106.0)</f>
        <v>106</v>
      </c>
      <c r="C109" s="128">
        <f>IFERROR(__xludf.DUMMYFUNCTION("""COMPUTED_VALUE"""),2379.0)</f>
        <v>2379</v>
      </c>
      <c r="D109" s="141">
        <f>IFERROR(__xludf.DUMMYFUNCTION("""COMPUTED_VALUE"""),46457.0)</f>
        <v>46457</v>
      </c>
      <c r="E109" s="142">
        <f>IFERROR(__xludf.DUMMYFUNCTION("""COMPUTED_VALUE"""),242.0)</f>
        <v>242</v>
      </c>
      <c r="F109" s="128" t="str">
        <f>IFERROR(__xludf.DUMMYFUNCTION("""COMPUTED_VALUE"""),"TRN155")</f>
        <v>TRN155</v>
      </c>
      <c r="G109" s="128" t="str">
        <f>IFERROR(__xludf.DUMMYFUNCTION("""COMPUTED_VALUE"""),"31-Copacabana QUIMICOS")</f>
        <v>31-Copacabana QUIMICOS</v>
      </c>
      <c r="I109" s="103"/>
      <c r="J109" s="103"/>
      <c r="K109" s="103"/>
      <c r="L109" s="103"/>
      <c r="M109" s="103"/>
      <c r="N109" s="103"/>
      <c r="O109" s="103"/>
      <c r="P109" s="103"/>
    </row>
    <row r="110">
      <c r="A110" s="8"/>
      <c r="B110" s="128">
        <f>IFERROR(__xludf.DUMMYFUNCTION("""COMPUTED_VALUE"""),107.0)</f>
        <v>107</v>
      </c>
      <c r="C110" s="128">
        <f>IFERROR(__xludf.DUMMYFUNCTION("""COMPUTED_VALUE"""),2374.0)</f>
        <v>2374</v>
      </c>
      <c r="D110" s="141">
        <f>IFERROR(__xludf.DUMMYFUNCTION("""COMPUTED_VALUE"""),46460.0)</f>
        <v>46460</v>
      </c>
      <c r="E110" s="142">
        <f>IFERROR(__xludf.DUMMYFUNCTION("""COMPUTED_VALUE"""),245.0)</f>
        <v>245</v>
      </c>
      <c r="F110" s="128" t="str">
        <f>IFERROR(__xludf.DUMMYFUNCTION("""COMPUTED_VALUE"""),"TRK019")</f>
        <v>TRK019</v>
      </c>
      <c r="G110" s="128" t="str">
        <f>IFERROR(__xludf.DUMMYFUNCTION("""COMPUTED_VALUE"""),"02-Medellin")</f>
        <v>02-Medellin</v>
      </c>
      <c r="I110" s="103"/>
      <c r="J110" s="103"/>
      <c r="K110" s="103"/>
      <c r="L110" s="103"/>
      <c r="M110" s="103"/>
      <c r="N110" s="103"/>
      <c r="O110" s="103"/>
      <c r="P110" s="103"/>
    </row>
    <row r="111">
      <c r="A111" s="8"/>
      <c r="B111" s="128">
        <f>IFERROR(__xludf.DUMMYFUNCTION("""COMPUTED_VALUE"""),108.0)</f>
        <v>108</v>
      </c>
      <c r="C111" s="128">
        <f>IFERROR(__xludf.DUMMYFUNCTION("""COMPUTED_VALUE"""),2385.0)</f>
        <v>2385</v>
      </c>
      <c r="D111" s="141">
        <f>IFERROR(__xludf.DUMMYFUNCTION("""COMPUTED_VALUE"""),46463.0)</f>
        <v>46463</v>
      </c>
      <c r="E111" s="142">
        <f>IFERROR(__xludf.DUMMYFUNCTION("""COMPUTED_VALUE"""),248.0)</f>
        <v>248</v>
      </c>
      <c r="F111" s="128" t="str">
        <f>IFERROR(__xludf.DUMMYFUNCTION("""COMPUTED_VALUE"""),"TRN182")</f>
        <v>TRN182</v>
      </c>
      <c r="G111" s="128" t="str">
        <f>IFERROR(__xludf.DUMMYFUNCTION("""COMPUTED_VALUE"""),"02-Medellin")</f>
        <v>02-Medellin</v>
      </c>
      <c r="I111" s="103"/>
      <c r="J111" s="103"/>
      <c r="K111" s="103"/>
      <c r="L111" s="103"/>
      <c r="M111" s="103"/>
      <c r="N111" s="103"/>
      <c r="O111" s="103"/>
      <c r="P111" s="103"/>
    </row>
    <row r="112">
      <c r="A112" s="8"/>
      <c r="B112" s="128">
        <f>IFERROR(__xludf.DUMMYFUNCTION("""COMPUTED_VALUE"""),109.0)</f>
        <v>109</v>
      </c>
      <c r="C112" s="128">
        <f>IFERROR(__xludf.DUMMYFUNCTION("""COMPUTED_VALUE"""),464.0)</f>
        <v>464</v>
      </c>
      <c r="D112" s="141">
        <f>IFERROR(__xludf.DUMMYFUNCTION("""COMPUTED_VALUE"""),46464.0)</f>
        <v>46464</v>
      </c>
      <c r="E112" s="142">
        <f>IFERROR(__xludf.DUMMYFUNCTION("""COMPUTED_VALUE"""),249.0)</f>
        <v>249</v>
      </c>
      <c r="F112" s="128" t="str">
        <f>IFERROR(__xludf.DUMMYFUNCTION("""COMPUTED_VALUE"""),"TRG641")</f>
        <v>TRG641</v>
      </c>
      <c r="G112" s="128" t="str">
        <f>IFERROR(__xludf.DUMMYFUNCTION("""COMPUTED_VALUE"""),"02-Medellin")</f>
        <v>02-Medellin</v>
      </c>
      <c r="I112" s="103"/>
      <c r="J112" s="103"/>
      <c r="K112" s="103"/>
      <c r="L112" s="103"/>
      <c r="M112" s="103"/>
      <c r="N112" s="103"/>
      <c r="O112" s="103"/>
      <c r="P112" s="103"/>
    </row>
    <row r="113">
      <c r="A113" s="8"/>
      <c r="B113" s="128">
        <f>IFERROR(__xludf.DUMMYFUNCTION("""COMPUTED_VALUE"""),110.0)</f>
        <v>110</v>
      </c>
      <c r="C113" s="128">
        <f>IFERROR(__xludf.DUMMYFUNCTION("""COMPUTED_VALUE"""),2388.0)</f>
        <v>2388</v>
      </c>
      <c r="D113" s="141">
        <f>IFERROR(__xludf.DUMMYFUNCTION("""COMPUTED_VALUE"""),46466.0)</f>
        <v>46466</v>
      </c>
      <c r="E113" s="142">
        <f>IFERROR(__xludf.DUMMYFUNCTION("""COMPUTED_VALUE"""),251.0)</f>
        <v>251</v>
      </c>
      <c r="F113" s="128" t="str">
        <f>IFERROR(__xludf.DUMMYFUNCTION("""COMPUTED_VALUE"""),"TRN185")</f>
        <v>TRN185</v>
      </c>
      <c r="G113" s="128" t="str">
        <f>IFERROR(__xludf.DUMMYFUNCTION("""COMPUTED_VALUE"""),"02-Medellin")</f>
        <v>02-Medellin</v>
      </c>
      <c r="I113" s="103"/>
      <c r="J113" s="103"/>
      <c r="K113" s="103"/>
      <c r="L113" s="103"/>
      <c r="M113" s="103"/>
      <c r="N113" s="103"/>
      <c r="O113" s="103"/>
      <c r="P113" s="103"/>
    </row>
    <row r="114">
      <c r="A114" s="8"/>
      <c r="B114" s="128">
        <f>IFERROR(__xludf.DUMMYFUNCTION("""COMPUTED_VALUE"""),111.0)</f>
        <v>111</v>
      </c>
      <c r="C114" s="128">
        <f>IFERROR(__xludf.DUMMYFUNCTION("""COMPUTED_VALUE"""),2387.0)</f>
        <v>2387</v>
      </c>
      <c r="D114" s="141">
        <f>IFERROR(__xludf.DUMMYFUNCTION("""COMPUTED_VALUE"""),46466.0)</f>
        <v>46466</v>
      </c>
      <c r="E114" s="142">
        <f>IFERROR(__xludf.DUMMYFUNCTION("""COMPUTED_VALUE"""),251.0)</f>
        <v>251</v>
      </c>
      <c r="F114" s="128" t="str">
        <f>IFERROR(__xludf.DUMMYFUNCTION("""COMPUTED_VALUE"""),"TRN184")</f>
        <v>TRN184</v>
      </c>
      <c r="G114" s="128" t="str">
        <f>IFERROR(__xludf.DUMMYFUNCTION("""COMPUTED_VALUE"""),"BULTOS")</f>
        <v>BULTOS</v>
      </c>
      <c r="I114" s="103"/>
      <c r="J114" s="103"/>
      <c r="K114" s="103"/>
      <c r="L114" s="103"/>
      <c r="M114" s="103"/>
      <c r="N114" s="103"/>
      <c r="O114" s="103"/>
      <c r="P114" s="103"/>
    </row>
    <row r="115">
      <c r="A115" s="8"/>
      <c r="B115" s="128">
        <f>IFERROR(__xludf.DUMMYFUNCTION("""COMPUTED_VALUE"""),112.0)</f>
        <v>112</v>
      </c>
      <c r="C115" s="128">
        <f>IFERROR(__xludf.DUMMYFUNCTION("""COMPUTED_VALUE"""),2394.0)</f>
        <v>2394</v>
      </c>
      <c r="D115" s="141">
        <f>IFERROR(__xludf.DUMMYFUNCTION("""COMPUTED_VALUE"""),46467.0)</f>
        <v>46467</v>
      </c>
      <c r="E115" s="142">
        <f>IFERROR(__xludf.DUMMYFUNCTION("""COMPUTED_VALUE"""),252.0)</f>
        <v>252</v>
      </c>
      <c r="F115" s="128" t="str">
        <f>IFERROR(__xludf.DUMMYFUNCTION("""COMPUTED_VALUE"""),"TRN199")</f>
        <v>TRN199</v>
      </c>
      <c r="G115" s="128" t="str">
        <f>IFERROR(__xludf.DUMMYFUNCTION("""COMPUTED_VALUE"""),"MAYORCA")</f>
        <v>MAYORCA</v>
      </c>
      <c r="I115" s="103"/>
      <c r="J115" s="103"/>
      <c r="K115" s="103"/>
      <c r="L115" s="103"/>
      <c r="M115" s="103"/>
      <c r="N115" s="103"/>
      <c r="O115" s="103"/>
      <c r="P115" s="103"/>
    </row>
    <row r="116">
      <c r="A116" s="8"/>
      <c r="B116" s="128">
        <f>IFERROR(__xludf.DUMMYFUNCTION("""COMPUTED_VALUE"""),113.0)</f>
        <v>113</v>
      </c>
      <c r="C116" s="128">
        <f>IFERROR(__xludf.DUMMYFUNCTION("""COMPUTED_VALUE"""),2422.0)</f>
        <v>2422</v>
      </c>
      <c r="D116" s="141">
        <f>IFERROR(__xludf.DUMMYFUNCTION("""COMPUTED_VALUE"""),46471.0)</f>
        <v>46471</v>
      </c>
      <c r="E116" s="142">
        <f>IFERROR(__xludf.DUMMYFUNCTION("""COMPUTED_VALUE"""),256.0)</f>
        <v>256</v>
      </c>
      <c r="F116" s="128" t="str">
        <f>IFERROR(__xludf.DUMMYFUNCTION("""COMPUTED_VALUE"""),"TRN360")</f>
        <v>TRN360</v>
      </c>
      <c r="G116" s="128" t="str">
        <f>IFERROR(__xludf.DUMMYFUNCTION("""COMPUTED_VALUE"""),"31-Copacabana QUIMICOS")</f>
        <v>31-Copacabana QUIMICOS</v>
      </c>
      <c r="I116" s="103"/>
      <c r="J116" s="103"/>
      <c r="K116" s="103"/>
      <c r="L116" s="103"/>
      <c r="M116" s="103"/>
      <c r="N116" s="103"/>
      <c r="O116" s="103"/>
      <c r="P116" s="103"/>
    </row>
    <row r="117">
      <c r="A117" s="8"/>
      <c r="B117" s="128">
        <f>IFERROR(__xludf.DUMMYFUNCTION("""COMPUTED_VALUE"""),114.0)</f>
        <v>114</v>
      </c>
      <c r="C117" s="128">
        <f>IFERROR(__xludf.DUMMYFUNCTION("""COMPUTED_VALUE"""),2425.0)</f>
        <v>2425</v>
      </c>
      <c r="D117" s="141">
        <f>IFERROR(__xludf.DUMMYFUNCTION("""COMPUTED_VALUE"""),46477.0)</f>
        <v>46477</v>
      </c>
      <c r="E117" s="142">
        <f>IFERROR(__xludf.DUMMYFUNCTION("""COMPUTED_VALUE"""),262.0)</f>
        <v>262</v>
      </c>
      <c r="F117" s="128" t="str">
        <f>IFERROR(__xludf.DUMMYFUNCTION("""COMPUTED_VALUE"""),"TRN363")</f>
        <v>TRN363</v>
      </c>
      <c r="G117" s="128" t="str">
        <f>IFERROR(__xludf.DUMMYFUNCTION("""COMPUTED_VALUE"""),"BULTOS")</f>
        <v>BULTOS</v>
      </c>
      <c r="I117" s="103"/>
      <c r="J117" s="103"/>
      <c r="K117" s="103"/>
      <c r="L117" s="103"/>
      <c r="M117" s="103"/>
      <c r="N117" s="103"/>
      <c r="O117" s="103"/>
      <c r="P117" s="103"/>
    </row>
    <row r="118">
      <c r="A118" s="8"/>
      <c r="B118" s="128">
        <f>IFERROR(__xludf.DUMMYFUNCTION("""COMPUTED_VALUE"""),115.0)</f>
        <v>115</v>
      </c>
      <c r="C118" s="128">
        <f>IFERROR(__xludf.DUMMYFUNCTION("""COMPUTED_VALUE"""),2200.0)</f>
        <v>2200</v>
      </c>
      <c r="D118" s="141">
        <f>IFERROR(__xludf.DUMMYFUNCTION("""COMPUTED_VALUE"""),46478.0)</f>
        <v>46478</v>
      </c>
      <c r="E118" s="142">
        <f>IFERROR(__xludf.DUMMYFUNCTION("""COMPUTED_VALUE"""),263.0)</f>
        <v>263</v>
      </c>
      <c r="F118" s="128" t="str">
        <f>IFERROR(__xludf.DUMMYFUNCTION("""COMPUTED_VALUE"""),"TRH156")</f>
        <v>TRH156</v>
      </c>
      <c r="G118" s="128" t="str">
        <f>IFERROR(__xludf.DUMMYFUNCTION("""COMPUTED_VALUE"""),"BULTOS")</f>
        <v>BULTOS</v>
      </c>
      <c r="I118" s="103"/>
      <c r="J118" s="103"/>
      <c r="K118" s="103"/>
      <c r="L118" s="103"/>
      <c r="M118" s="103"/>
      <c r="N118" s="103"/>
      <c r="O118" s="103"/>
      <c r="P118" s="103"/>
    </row>
    <row r="119">
      <c r="A119" s="8"/>
      <c r="B119" s="128">
        <f>IFERROR(__xludf.DUMMYFUNCTION("""COMPUTED_VALUE"""),116.0)</f>
        <v>116</v>
      </c>
      <c r="C119" s="128">
        <f>IFERROR(__xludf.DUMMYFUNCTION("""COMPUTED_VALUE"""),2404.0)</f>
        <v>2404</v>
      </c>
      <c r="D119" s="141">
        <f>IFERROR(__xludf.DUMMYFUNCTION("""COMPUTED_VALUE"""),46484.0)</f>
        <v>46484</v>
      </c>
      <c r="E119" s="142">
        <f>IFERROR(__xludf.DUMMYFUNCTION("""COMPUTED_VALUE"""),269.0)</f>
        <v>269</v>
      </c>
      <c r="F119" s="128" t="str">
        <f>IFERROR(__xludf.DUMMYFUNCTION("""COMPUTED_VALUE"""),"TRN227")</f>
        <v>TRN227</v>
      </c>
      <c r="G119" s="128" t="str">
        <f>IFERROR(__xludf.DUMMYFUNCTION("""COMPUTED_VALUE"""),"02-Medellin")</f>
        <v>02-Medellin</v>
      </c>
      <c r="I119" s="103"/>
      <c r="J119" s="103"/>
      <c r="K119" s="103"/>
      <c r="L119" s="103"/>
      <c r="M119" s="103"/>
      <c r="N119" s="103"/>
      <c r="O119" s="103"/>
      <c r="P119" s="103"/>
    </row>
    <row r="120">
      <c r="A120" s="8"/>
      <c r="B120" s="128">
        <f>IFERROR(__xludf.DUMMYFUNCTION("""COMPUTED_VALUE"""),117.0)</f>
        <v>117</v>
      </c>
      <c r="C120" s="128">
        <f>IFERROR(__xludf.DUMMYFUNCTION("""COMPUTED_VALUE"""),2656.0)</f>
        <v>2656</v>
      </c>
      <c r="D120" s="141">
        <f>IFERROR(__xludf.DUMMYFUNCTION("""COMPUTED_VALUE"""),46485.0)</f>
        <v>46485</v>
      </c>
      <c r="E120" s="142">
        <f>IFERROR(__xludf.DUMMYFUNCTION("""COMPUTED_VALUE"""),270.0)</f>
        <v>270</v>
      </c>
      <c r="F120" s="128" t="str">
        <f>IFERROR(__xludf.DUMMYFUNCTION("""COMPUTED_VALUE"""),"KMZ283")</f>
        <v>KMZ283</v>
      </c>
      <c r="G120" s="128" t="str">
        <f>IFERROR(__xludf.DUMMYFUNCTION("""COMPUTED_VALUE"""),"02-Medellin")</f>
        <v>02-Medellin</v>
      </c>
      <c r="I120" s="103"/>
      <c r="J120" s="103"/>
      <c r="K120" s="103"/>
      <c r="L120" s="103"/>
      <c r="M120" s="103"/>
      <c r="N120" s="103"/>
      <c r="O120" s="103"/>
      <c r="P120" s="103"/>
    </row>
    <row r="121">
      <c r="A121" s="8"/>
      <c r="B121" s="128">
        <f>IFERROR(__xludf.DUMMYFUNCTION("""COMPUTED_VALUE"""),118.0)</f>
        <v>118</v>
      </c>
      <c r="C121" s="128">
        <f>IFERROR(__xludf.DUMMYFUNCTION("""COMPUTED_VALUE"""),2657.0)</f>
        <v>2657</v>
      </c>
      <c r="D121" s="141">
        <f>IFERROR(__xludf.DUMMYFUNCTION("""COMPUTED_VALUE"""),46486.0)</f>
        <v>46486</v>
      </c>
      <c r="E121" s="142">
        <f>IFERROR(__xludf.DUMMYFUNCTION("""COMPUTED_VALUE"""),271.0)</f>
        <v>271</v>
      </c>
      <c r="F121" s="128" t="str">
        <f>IFERROR(__xludf.DUMMYFUNCTION("""COMPUTED_VALUE"""),"KMZ284")</f>
        <v>KMZ284</v>
      </c>
      <c r="G121" s="128" t="str">
        <f>IFERROR(__xludf.DUMMYFUNCTION("""COMPUTED_VALUE"""),"MAYORCA")</f>
        <v>MAYORCA</v>
      </c>
      <c r="I121" s="103"/>
      <c r="J121" s="103"/>
      <c r="K121" s="103"/>
      <c r="L121" s="103"/>
      <c r="M121" s="103"/>
      <c r="N121" s="103"/>
      <c r="O121" s="103"/>
      <c r="P121" s="103"/>
    </row>
    <row r="122">
      <c r="A122" s="8"/>
      <c r="B122" s="128">
        <f>IFERROR(__xludf.DUMMYFUNCTION("""COMPUTED_VALUE"""),119.0)</f>
        <v>119</v>
      </c>
      <c r="C122" s="128">
        <f>IFERROR(__xludf.DUMMYFUNCTION("""COMPUTED_VALUE"""),2659.0)</f>
        <v>2659</v>
      </c>
      <c r="D122" s="141">
        <f>IFERROR(__xludf.DUMMYFUNCTION("""COMPUTED_VALUE"""),46487.0)</f>
        <v>46487</v>
      </c>
      <c r="E122" s="142">
        <f>IFERROR(__xludf.DUMMYFUNCTION("""COMPUTED_VALUE"""),272.0)</f>
        <v>272</v>
      </c>
      <c r="F122" s="128" t="str">
        <f>IFERROR(__xludf.DUMMYFUNCTION("""COMPUTED_VALUE"""),"KMZ286")</f>
        <v>KMZ286</v>
      </c>
      <c r="G122" s="128" t="str">
        <f>IFERROR(__xludf.DUMMYFUNCTION("""COMPUTED_VALUE"""),"02-Medellin")</f>
        <v>02-Medellin</v>
      </c>
      <c r="I122" s="103"/>
      <c r="J122" s="103"/>
      <c r="K122" s="103"/>
      <c r="L122" s="103"/>
      <c r="M122" s="103"/>
      <c r="N122" s="103"/>
      <c r="O122" s="103"/>
      <c r="P122" s="103"/>
    </row>
    <row r="123">
      <c r="A123" s="8"/>
      <c r="B123" s="128">
        <f>IFERROR(__xludf.DUMMYFUNCTION("""COMPUTED_VALUE"""),120.0)</f>
        <v>120</v>
      </c>
      <c r="C123" s="128">
        <f>IFERROR(__xludf.DUMMYFUNCTION("""COMPUTED_VALUE"""),2661.0)</f>
        <v>2661</v>
      </c>
      <c r="D123" s="141">
        <f>IFERROR(__xludf.DUMMYFUNCTION("""COMPUTED_VALUE"""),46489.0)</f>
        <v>46489</v>
      </c>
      <c r="E123" s="142">
        <f>IFERROR(__xludf.DUMMYFUNCTION("""COMPUTED_VALUE"""),274.0)</f>
        <v>274</v>
      </c>
      <c r="F123" s="128" t="str">
        <f>IFERROR(__xludf.DUMMYFUNCTION("""COMPUTED_VALUE"""),"KMZ288")</f>
        <v>KMZ288</v>
      </c>
      <c r="G123" s="128" t="str">
        <f>IFERROR(__xludf.DUMMYFUNCTION("""COMPUTED_VALUE"""),"02-Medellin")</f>
        <v>02-Medellin</v>
      </c>
      <c r="I123" s="103"/>
      <c r="J123" s="103"/>
      <c r="K123" s="103"/>
      <c r="L123" s="103"/>
      <c r="M123" s="103"/>
      <c r="N123" s="103"/>
      <c r="O123" s="103"/>
      <c r="P123" s="103"/>
    </row>
    <row r="124">
      <c r="A124" s="8"/>
      <c r="B124" s="128">
        <f>IFERROR(__xludf.DUMMYFUNCTION("""COMPUTED_VALUE"""),121.0)</f>
        <v>121</v>
      </c>
      <c r="C124" s="128">
        <f>IFERROR(__xludf.DUMMYFUNCTION("""COMPUTED_VALUE"""),2660.0)</f>
        <v>2660</v>
      </c>
      <c r="D124" s="141">
        <f>IFERROR(__xludf.DUMMYFUNCTION("""COMPUTED_VALUE"""),46491.0)</f>
        <v>46491</v>
      </c>
      <c r="E124" s="142">
        <f>IFERROR(__xludf.DUMMYFUNCTION("""COMPUTED_VALUE"""),276.0)</f>
        <v>276</v>
      </c>
      <c r="F124" s="128" t="str">
        <f>IFERROR(__xludf.DUMMYFUNCTION("""COMPUTED_VALUE"""),"KMZ287")</f>
        <v>KMZ287</v>
      </c>
      <c r="G124" s="128" t="str">
        <f>IFERROR(__xludf.DUMMYFUNCTION("""COMPUTED_VALUE"""),"24-Rionegro")</f>
        <v>24-Rionegro</v>
      </c>
      <c r="I124" s="103"/>
      <c r="J124" s="103"/>
      <c r="K124" s="103"/>
      <c r="L124" s="103"/>
      <c r="M124" s="103"/>
      <c r="N124" s="103"/>
      <c r="O124" s="103"/>
      <c r="P124" s="103"/>
    </row>
    <row r="125">
      <c r="A125" s="8"/>
      <c r="B125" s="128">
        <f>IFERROR(__xludf.DUMMYFUNCTION("""COMPUTED_VALUE"""),122.0)</f>
        <v>122</v>
      </c>
      <c r="C125" s="128">
        <f>IFERROR(__xludf.DUMMYFUNCTION("""COMPUTED_VALUE"""),2666.0)</f>
        <v>2666</v>
      </c>
      <c r="D125" s="141">
        <f>IFERROR(__xludf.DUMMYFUNCTION("""COMPUTED_VALUE"""),46492.0)</f>
        <v>46492</v>
      </c>
      <c r="E125" s="142">
        <f>IFERROR(__xludf.DUMMYFUNCTION("""COMPUTED_VALUE"""),277.0)</f>
        <v>277</v>
      </c>
      <c r="F125" s="128" t="str">
        <f>IFERROR(__xludf.DUMMYFUNCTION("""COMPUTED_VALUE"""),"KMZ293")</f>
        <v>KMZ293</v>
      </c>
      <c r="G125" s="128" t="str">
        <f>IFERROR(__xludf.DUMMYFUNCTION("""COMPUTED_VALUE"""),"02-Medellin")</f>
        <v>02-Medellin</v>
      </c>
      <c r="I125" s="103"/>
      <c r="J125" s="103"/>
      <c r="K125" s="103"/>
      <c r="L125" s="103"/>
      <c r="M125" s="103"/>
      <c r="N125" s="103"/>
      <c r="O125" s="103"/>
      <c r="P125" s="103"/>
    </row>
    <row r="126">
      <c r="A126" s="8"/>
      <c r="B126" s="128">
        <f>IFERROR(__xludf.DUMMYFUNCTION("""COMPUTED_VALUE"""),123.0)</f>
        <v>123</v>
      </c>
      <c r="C126" s="128">
        <f>IFERROR(__xludf.DUMMYFUNCTION("""COMPUTED_VALUE"""),2663.0)</f>
        <v>2663</v>
      </c>
      <c r="D126" s="141">
        <f>IFERROR(__xludf.DUMMYFUNCTION("""COMPUTED_VALUE"""),46493.0)</f>
        <v>46493</v>
      </c>
      <c r="E126" s="142">
        <f>IFERROR(__xludf.DUMMYFUNCTION("""COMPUTED_VALUE"""),278.0)</f>
        <v>278</v>
      </c>
      <c r="F126" s="128" t="str">
        <f>IFERROR(__xludf.DUMMYFUNCTION("""COMPUTED_VALUE"""),"KMZ290")</f>
        <v>KMZ290</v>
      </c>
      <c r="G126" s="128" t="str">
        <f>IFERROR(__xludf.DUMMYFUNCTION("""COMPUTED_VALUE"""),"24-Rionegro")</f>
        <v>24-Rionegro</v>
      </c>
      <c r="I126" s="103"/>
      <c r="J126" s="103"/>
      <c r="K126" s="103"/>
      <c r="L126" s="103"/>
      <c r="M126" s="103"/>
      <c r="N126" s="103"/>
      <c r="O126" s="103"/>
      <c r="P126" s="103"/>
    </row>
    <row r="127">
      <c r="A127" s="8"/>
      <c r="B127" s="128">
        <f>IFERROR(__xludf.DUMMYFUNCTION("""COMPUTED_VALUE"""),124.0)</f>
        <v>124</v>
      </c>
      <c r="C127" s="128">
        <f>IFERROR(__xludf.DUMMYFUNCTION("""COMPUTED_VALUE"""),2675.0)</f>
        <v>2675</v>
      </c>
      <c r="D127" s="141">
        <f>IFERROR(__xludf.DUMMYFUNCTION("""COMPUTED_VALUE"""),46494.0)</f>
        <v>46494</v>
      </c>
      <c r="E127" s="142">
        <f>IFERROR(__xludf.DUMMYFUNCTION("""COMPUTED_VALUE"""),279.0)</f>
        <v>279</v>
      </c>
      <c r="F127" s="128" t="str">
        <f>IFERROR(__xludf.DUMMYFUNCTION("""COMPUTED_VALUE"""),"KMZ302")</f>
        <v>KMZ302</v>
      </c>
      <c r="G127" s="128" t="str">
        <f>IFERROR(__xludf.DUMMYFUNCTION("""COMPUTED_VALUE"""),"02-Medellin")</f>
        <v>02-Medellin</v>
      </c>
      <c r="I127" s="103"/>
      <c r="J127" s="103"/>
      <c r="K127" s="103"/>
      <c r="L127" s="103"/>
      <c r="M127" s="103"/>
      <c r="N127" s="103"/>
      <c r="O127" s="103"/>
      <c r="P127" s="103"/>
    </row>
    <row r="128">
      <c r="A128" s="8"/>
      <c r="B128" s="128">
        <f>IFERROR(__xludf.DUMMYFUNCTION("""COMPUTED_VALUE"""),125.0)</f>
        <v>125</v>
      </c>
      <c r="C128" s="128">
        <f>IFERROR(__xludf.DUMMYFUNCTION("""COMPUTED_VALUE"""),2677.0)</f>
        <v>2677</v>
      </c>
      <c r="D128" s="141">
        <f>IFERROR(__xludf.DUMMYFUNCTION("""COMPUTED_VALUE"""),46497.0)</f>
        <v>46497</v>
      </c>
      <c r="E128" s="142">
        <f>IFERROR(__xludf.DUMMYFUNCTION("""COMPUTED_VALUE"""),282.0)</f>
        <v>282</v>
      </c>
      <c r="F128" s="128" t="str">
        <f>IFERROR(__xludf.DUMMYFUNCTION("""COMPUTED_VALUE"""),"KMZ304")</f>
        <v>KMZ304</v>
      </c>
      <c r="G128" s="128" t="str">
        <f>IFERROR(__xludf.DUMMYFUNCTION("""COMPUTED_VALUE"""),"02-Medellin")</f>
        <v>02-Medellin</v>
      </c>
      <c r="I128" s="103"/>
      <c r="J128" s="103"/>
      <c r="K128" s="103"/>
      <c r="L128" s="103"/>
      <c r="M128" s="103"/>
      <c r="N128" s="103"/>
      <c r="O128" s="103"/>
      <c r="P128" s="103"/>
    </row>
    <row r="129">
      <c r="A129" s="8"/>
      <c r="B129" s="128">
        <f>IFERROR(__xludf.DUMMYFUNCTION("""COMPUTED_VALUE"""),126.0)</f>
        <v>126</v>
      </c>
      <c r="C129" s="128">
        <f>IFERROR(__xludf.DUMMYFUNCTION("""COMPUTED_VALUE"""),2679.0)</f>
        <v>2679</v>
      </c>
      <c r="D129" s="141">
        <f>IFERROR(__xludf.DUMMYFUNCTION("""COMPUTED_VALUE"""),46499.0)</f>
        <v>46499</v>
      </c>
      <c r="E129" s="142">
        <f>IFERROR(__xludf.DUMMYFUNCTION("""COMPUTED_VALUE"""),284.0)</f>
        <v>284</v>
      </c>
      <c r="F129" s="128" t="str">
        <f>IFERROR(__xludf.DUMMYFUNCTION("""COMPUTED_VALUE"""),"KMZ306")</f>
        <v>KMZ306</v>
      </c>
      <c r="G129" s="128" t="str">
        <f>IFERROR(__xludf.DUMMYFUNCTION("""COMPUTED_VALUE"""),"02-Medellin")</f>
        <v>02-Medellin</v>
      </c>
      <c r="I129" s="103"/>
      <c r="J129" s="103"/>
      <c r="K129" s="103"/>
      <c r="L129" s="103"/>
      <c r="M129" s="103"/>
      <c r="N129" s="103"/>
      <c r="O129" s="103"/>
      <c r="P129" s="103"/>
    </row>
    <row r="130">
      <c r="A130" s="8"/>
      <c r="B130" s="128">
        <f>IFERROR(__xludf.DUMMYFUNCTION("""COMPUTED_VALUE"""),127.0)</f>
        <v>127</v>
      </c>
      <c r="C130" s="128">
        <f>IFERROR(__xludf.DUMMYFUNCTION("""COMPUTED_VALUE"""),2678.0)</f>
        <v>2678</v>
      </c>
      <c r="D130" s="141">
        <f>IFERROR(__xludf.DUMMYFUNCTION("""COMPUTED_VALUE"""),46500.0)</f>
        <v>46500</v>
      </c>
      <c r="E130" s="142">
        <f>IFERROR(__xludf.DUMMYFUNCTION("""COMPUTED_VALUE"""),285.0)</f>
        <v>285</v>
      </c>
      <c r="F130" s="128" t="str">
        <f>IFERROR(__xludf.DUMMYFUNCTION("""COMPUTED_VALUE"""),"KMZ305")</f>
        <v>KMZ305</v>
      </c>
      <c r="G130" s="128" t="str">
        <f>IFERROR(__xludf.DUMMYFUNCTION("""COMPUTED_VALUE"""),"MAYORCA")</f>
        <v>MAYORCA</v>
      </c>
      <c r="I130" s="103"/>
      <c r="J130" s="103"/>
      <c r="K130" s="103"/>
      <c r="L130" s="103"/>
      <c r="M130" s="103"/>
      <c r="N130" s="103"/>
      <c r="O130" s="103"/>
      <c r="P130" s="103"/>
    </row>
    <row r="131">
      <c r="A131" s="8"/>
      <c r="B131" s="128">
        <f>IFERROR(__xludf.DUMMYFUNCTION("""COMPUTED_VALUE"""),128.0)</f>
        <v>128</v>
      </c>
      <c r="C131" s="128">
        <f>IFERROR(__xludf.DUMMYFUNCTION("""COMPUTED_VALUE"""),962.0)</f>
        <v>962</v>
      </c>
      <c r="D131" s="141">
        <f>IFERROR(__xludf.DUMMYFUNCTION("""COMPUTED_VALUE"""),46500.0)</f>
        <v>46500</v>
      </c>
      <c r="E131" s="142">
        <f>IFERROR(__xludf.DUMMYFUNCTION("""COMPUTED_VALUE"""),285.0)</f>
        <v>285</v>
      </c>
      <c r="F131" s="128" t="str">
        <f>IFERROR(__xludf.DUMMYFUNCTION("""COMPUTED_VALUE"""),"WPM835")</f>
        <v>WPM835</v>
      </c>
      <c r="G131" s="128" t="str">
        <f>IFERROR(__xludf.DUMMYFUNCTION("""COMPUTED_VALUE"""),"02-Medellin")</f>
        <v>02-Medellin</v>
      </c>
      <c r="I131" s="103"/>
      <c r="J131" s="103"/>
      <c r="K131" s="103"/>
      <c r="L131" s="103"/>
      <c r="M131" s="103"/>
      <c r="N131" s="103"/>
      <c r="O131" s="103"/>
      <c r="P131" s="103"/>
    </row>
    <row r="132">
      <c r="A132" s="8"/>
      <c r="B132" s="128">
        <f>IFERROR(__xludf.DUMMYFUNCTION("""COMPUTED_VALUE"""),129.0)</f>
        <v>129</v>
      </c>
      <c r="C132" s="128">
        <f>IFERROR(__xludf.DUMMYFUNCTION("""COMPUTED_VALUE"""),2680.0)</f>
        <v>2680</v>
      </c>
      <c r="D132" s="141">
        <f>IFERROR(__xludf.DUMMYFUNCTION("""COMPUTED_VALUE"""),46501.0)</f>
        <v>46501</v>
      </c>
      <c r="E132" s="142">
        <f>IFERROR(__xludf.DUMMYFUNCTION("""COMPUTED_VALUE"""),286.0)</f>
        <v>286</v>
      </c>
      <c r="F132" s="128" t="str">
        <f>IFERROR(__xludf.DUMMYFUNCTION("""COMPUTED_VALUE"""),"KMZ307")</f>
        <v>KMZ307</v>
      </c>
      <c r="G132" s="128" t="str">
        <f>IFERROR(__xludf.DUMMYFUNCTION("""COMPUTED_VALUE"""),"BULTOS")</f>
        <v>BULTOS</v>
      </c>
      <c r="I132" s="103"/>
      <c r="J132" s="103"/>
      <c r="K132" s="103"/>
      <c r="L132" s="103"/>
      <c r="M132" s="103"/>
      <c r="N132" s="103"/>
      <c r="O132" s="103"/>
      <c r="P132" s="103"/>
    </row>
    <row r="133">
      <c r="A133" s="8"/>
      <c r="B133" s="128">
        <f>IFERROR(__xludf.DUMMYFUNCTION("""COMPUTED_VALUE"""),130.0)</f>
        <v>130</v>
      </c>
      <c r="C133" s="128">
        <f>IFERROR(__xludf.DUMMYFUNCTION("""COMPUTED_VALUE"""),2676.0)</f>
        <v>2676</v>
      </c>
      <c r="D133" s="141">
        <f>IFERROR(__xludf.DUMMYFUNCTION("""COMPUTED_VALUE"""),46502.0)</f>
        <v>46502</v>
      </c>
      <c r="E133" s="142">
        <f>IFERROR(__xludf.DUMMYFUNCTION("""COMPUTED_VALUE"""),287.0)</f>
        <v>287</v>
      </c>
      <c r="F133" s="128" t="str">
        <f>IFERROR(__xludf.DUMMYFUNCTION("""COMPUTED_VALUE"""),"KMZ303")</f>
        <v>KMZ303</v>
      </c>
      <c r="G133" s="128" t="str">
        <f>IFERROR(__xludf.DUMMYFUNCTION("""COMPUTED_VALUE"""),"02-Medellin")</f>
        <v>02-Medellin</v>
      </c>
      <c r="I133" s="103"/>
      <c r="J133" s="103"/>
      <c r="K133" s="103"/>
      <c r="L133" s="103"/>
      <c r="M133" s="103"/>
      <c r="N133" s="103"/>
      <c r="O133" s="103"/>
      <c r="P133" s="103"/>
    </row>
    <row r="134">
      <c r="A134" s="8"/>
      <c r="B134" s="128">
        <f>IFERROR(__xludf.DUMMYFUNCTION("""COMPUTED_VALUE"""),131.0)</f>
        <v>131</v>
      </c>
      <c r="C134" s="128">
        <f>IFERROR(__xludf.DUMMYFUNCTION("""COMPUTED_VALUE"""),2682.0)</f>
        <v>2682</v>
      </c>
      <c r="D134" s="141">
        <f>IFERROR(__xludf.DUMMYFUNCTION("""COMPUTED_VALUE"""),46506.0)</f>
        <v>46506</v>
      </c>
      <c r="E134" s="142">
        <f>IFERROR(__xludf.DUMMYFUNCTION("""COMPUTED_VALUE"""),291.0)</f>
        <v>291</v>
      </c>
      <c r="F134" s="128" t="str">
        <f>IFERROR(__xludf.DUMMYFUNCTION("""COMPUTED_VALUE"""),"KMZ309")</f>
        <v>KMZ309</v>
      </c>
      <c r="G134" s="128" t="str">
        <f>IFERROR(__xludf.DUMMYFUNCTION("""COMPUTED_VALUE"""),"24-Rionegro")</f>
        <v>24-Rionegro</v>
      </c>
      <c r="I134" s="103"/>
      <c r="J134" s="103"/>
      <c r="K134" s="103"/>
      <c r="L134" s="103"/>
      <c r="M134" s="103"/>
      <c r="N134" s="103"/>
      <c r="O134" s="103"/>
      <c r="P134" s="103"/>
    </row>
    <row r="135">
      <c r="A135" s="8"/>
      <c r="B135" s="128">
        <f>IFERROR(__xludf.DUMMYFUNCTION("""COMPUTED_VALUE"""),132.0)</f>
        <v>132</v>
      </c>
      <c r="C135" s="128">
        <f>IFERROR(__xludf.DUMMYFUNCTION("""COMPUTED_VALUE"""),2674.0)</f>
        <v>2674</v>
      </c>
      <c r="D135" s="141">
        <f>IFERROR(__xludf.DUMMYFUNCTION("""COMPUTED_VALUE"""),46507.0)</f>
        <v>46507</v>
      </c>
      <c r="E135" s="142">
        <f>IFERROR(__xludf.DUMMYFUNCTION("""COMPUTED_VALUE"""),292.0)</f>
        <v>292</v>
      </c>
      <c r="F135" s="128" t="str">
        <f>IFERROR(__xludf.DUMMYFUNCTION("""COMPUTED_VALUE"""),"KMZ301")</f>
        <v>KMZ301</v>
      </c>
      <c r="G135" s="128" t="str">
        <f>IFERROR(__xludf.DUMMYFUNCTION("""COMPUTED_VALUE"""),"27-Apartado")</f>
        <v>27-Apartado</v>
      </c>
      <c r="I135" s="103"/>
      <c r="J135" s="103"/>
      <c r="K135" s="103"/>
      <c r="L135" s="103"/>
      <c r="M135" s="103"/>
      <c r="N135" s="103"/>
      <c r="O135" s="103"/>
      <c r="P135" s="103"/>
    </row>
    <row r="136">
      <c r="A136" s="8"/>
      <c r="B136" s="128">
        <f>IFERROR(__xludf.DUMMYFUNCTION("""COMPUTED_VALUE"""),133.0)</f>
        <v>133</v>
      </c>
      <c r="C136" s="128">
        <f>IFERROR(__xludf.DUMMYFUNCTION("""COMPUTED_VALUE"""),2671.0)</f>
        <v>2671</v>
      </c>
      <c r="D136" s="141">
        <f>IFERROR(__xludf.DUMMYFUNCTION("""COMPUTED_VALUE"""),46507.0)</f>
        <v>46507</v>
      </c>
      <c r="E136" s="142">
        <f>IFERROR(__xludf.DUMMYFUNCTION("""COMPUTED_VALUE"""),292.0)</f>
        <v>292</v>
      </c>
      <c r="F136" s="128" t="str">
        <f>IFERROR(__xludf.DUMMYFUNCTION("""COMPUTED_VALUE"""),"KMZ298")</f>
        <v>KMZ298</v>
      </c>
      <c r="G136" s="128" t="str">
        <f>IFERROR(__xludf.DUMMYFUNCTION("""COMPUTED_VALUE"""),"MAYORCA")</f>
        <v>MAYORCA</v>
      </c>
      <c r="I136" s="103"/>
      <c r="J136" s="103"/>
      <c r="K136" s="103"/>
      <c r="L136" s="103"/>
      <c r="M136" s="103"/>
      <c r="N136" s="103"/>
      <c r="O136" s="103"/>
      <c r="P136" s="103"/>
    </row>
    <row r="137">
      <c r="A137" s="8"/>
      <c r="B137" s="128">
        <f>IFERROR(__xludf.DUMMYFUNCTION("""COMPUTED_VALUE"""),134.0)</f>
        <v>134</v>
      </c>
      <c r="C137" s="128">
        <f>IFERROR(__xludf.DUMMYFUNCTION("""COMPUTED_VALUE"""),2672.0)</f>
        <v>2672</v>
      </c>
      <c r="D137" s="141">
        <f>IFERROR(__xludf.DUMMYFUNCTION("""COMPUTED_VALUE"""),46511.0)</f>
        <v>46511</v>
      </c>
      <c r="E137" s="142">
        <f>IFERROR(__xludf.DUMMYFUNCTION("""COMPUTED_VALUE"""),296.0)</f>
        <v>296</v>
      </c>
      <c r="F137" s="128" t="str">
        <f>IFERROR(__xludf.DUMMYFUNCTION("""COMPUTED_VALUE"""),"KMZ299")</f>
        <v>KMZ299</v>
      </c>
      <c r="G137" s="128" t="str">
        <f>IFERROR(__xludf.DUMMYFUNCTION("""COMPUTED_VALUE"""),"02-Medellin")</f>
        <v>02-Medellin</v>
      </c>
      <c r="I137" s="103"/>
      <c r="J137" s="103"/>
      <c r="K137" s="103"/>
      <c r="L137" s="103"/>
      <c r="M137" s="103"/>
      <c r="N137" s="103"/>
      <c r="O137" s="103"/>
      <c r="P137" s="103"/>
    </row>
    <row r="138">
      <c r="A138" s="8"/>
      <c r="B138" s="128">
        <f>IFERROR(__xludf.DUMMYFUNCTION("""COMPUTED_VALUE"""),135.0)</f>
        <v>135</v>
      </c>
      <c r="C138" s="128">
        <f>IFERROR(__xludf.DUMMYFUNCTION("""COMPUTED_VALUE"""),2669.0)</f>
        <v>2669</v>
      </c>
      <c r="D138" s="141">
        <f>IFERROR(__xludf.DUMMYFUNCTION("""COMPUTED_VALUE"""),46511.0)</f>
        <v>46511</v>
      </c>
      <c r="E138" s="142">
        <f>IFERROR(__xludf.DUMMYFUNCTION("""COMPUTED_VALUE"""),296.0)</f>
        <v>296</v>
      </c>
      <c r="F138" s="128" t="str">
        <f>IFERROR(__xludf.DUMMYFUNCTION("""COMPUTED_VALUE"""),"KMZ296")</f>
        <v>KMZ296</v>
      </c>
      <c r="G138" s="128" t="str">
        <f>IFERROR(__xludf.DUMMYFUNCTION("""COMPUTED_VALUE"""),"02-Medellin")</f>
        <v>02-Medellin</v>
      </c>
      <c r="I138" s="103"/>
      <c r="J138" s="103"/>
      <c r="K138" s="103"/>
      <c r="L138" s="103"/>
      <c r="M138" s="103"/>
      <c r="N138" s="103"/>
      <c r="O138" s="103"/>
      <c r="P138" s="103"/>
    </row>
    <row r="139">
      <c r="A139" s="8"/>
      <c r="B139" s="128">
        <f>IFERROR(__xludf.DUMMYFUNCTION("""COMPUTED_VALUE"""),136.0)</f>
        <v>136</v>
      </c>
      <c r="C139" s="128">
        <f>IFERROR(__xludf.DUMMYFUNCTION("""COMPUTED_VALUE"""),2683.0)</f>
        <v>2683</v>
      </c>
      <c r="D139" s="141">
        <f>IFERROR(__xludf.DUMMYFUNCTION("""COMPUTED_VALUE"""),46512.0)</f>
        <v>46512</v>
      </c>
      <c r="E139" s="142">
        <f>IFERROR(__xludf.DUMMYFUNCTION("""COMPUTED_VALUE"""),297.0)</f>
        <v>297</v>
      </c>
      <c r="F139" s="128" t="str">
        <f>IFERROR(__xludf.DUMMYFUNCTION("""COMPUTED_VALUE"""),"KMZ310")</f>
        <v>KMZ310</v>
      </c>
      <c r="G139" s="128" t="str">
        <f>IFERROR(__xludf.DUMMYFUNCTION("""COMPUTED_VALUE"""),"02-Medellin")</f>
        <v>02-Medellin</v>
      </c>
      <c r="I139" s="103"/>
      <c r="J139" s="103"/>
      <c r="K139" s="103"/>
      <c r="L139" s="103"/>
      <c r="M139" s="103"/>
      <c r="N139" s="103"/>
      <c r="O139" s="103"/>
      <c r="P139" s="103"/>
    </row>
    <row r="140">
      <c r="A140" s="8"/>
      <c r="B140" s="128">
        <f>IFERROR(__xludf.DUMMYFUNCTION("""COMPUTED_VALUE"""),137.0)</f>
        <v>137</v>
      </c>
      <c r="C140" s="128">
        <f>IFERROR(__xludf.DUMMYFUNCTION("""COMPUTED_VALUE"""),2423.0)</f>
        <v>2423</v>
      </c>
      <c r="D140" s="141">
        <f>IFERROR(__xludf.DUMMYFUNCTION("""COMPUTED_VALUE"""),46513.0)</f>
        <v>46513</v>
      </c>
      <c r="E140" s="142">
        <f>IFERROR(__xludf.DUMMYFUNCTION("""COMPUTED_VALUE"""),298.0)</f>
        <v>298</v>
      </c>
      <c r="F140" s="128" t="str">
        <f>IFERROR(__xludf.DUMMYFUNCTION("""COMPUTED_VALUE"""),"TRN361")</f>
        <v>TRN361</v>
      </c>
      <c r="G140" s="128" t="str">
        <f>IFERROR(__xludf.DUMMYFUNCTION("""COMPUTED_VALUE"""),"02-Medellin")</f>
        <v>02-Medellin</v>
      </c>
      <c r="I140" s="103"/>
      <c r="J140" s="103"/>
      <c r="K140" s="103"/>
      <c r="L140" s="103"/>
      <c r="M140" s="103"/>
      <c r="N140" s="103"/>
      <c r="O140" s="103"/>
      <c r="P140" s="103"/>
    </row>
    <row r="141">
      <c r="A141" s="8"/>
      <c r="B141" s="128">
        <f>IFERROR(__xludf.DUMMYFUNCTION("""COMPUTED_VALUE"""),138.0)</f>
        <v>138</v>
      </c>
      <c r="C141" s="128">
        <f>IFERROR(__xludf.DUMMYFUNCTION("""COMPUTED_VALUE"""),2681.0)</f>
        <v>2681</v>
      </c>
      <c r="D141" s="141">
        <f>IFERROR(__xludf.DUMMYFUNCTION("""COMPUTED_VALUE"""),46514.0)</f>
        <v>46514</v>
      </c>
      <c r="E141" s="142">
        <f>IFERROR(__xludf.DUMMYFUNCTION("""COMPUTED_VALUE"""),299.0)</f>
        <v>299</v>
      </c>
      <c r="F141" s="128" t="str">
        <f>IFERROR(__xludf.DUMMYFUNCTION("""COMPUTED_VALUE"""),"KMZ308")</f>
        <v>KMZ308</v>
      </c>
      <c r="G141" s="128" t="str">
        <f>IFERROR(__xludf.DUMMYFUNCTION("""COMPUTED_VALUE"""),"27-Apartado")</f>
        <v>27-Apartado</v>
      </c>
      <c r="I141" s="103"/>
      <c r="J141" s="103"/>
      <c r="K141" s="103"/>
      <c r="L141" s="103"/>
      <c r="M141" s="103"/>
      <c r="N141" s="103"/>
      <c r="O141" s="103"/>
      <c r="P141" s="103"/>
    </row>
    <row r="142">
      <c r="A142" s="8"/>
      <c r="B142" s="128">
        <f>IFERROR(__xludf.DUMMYFUNCTION("""COMPUTED_VALUE"""),139.0)</f>
        <v>139</v>
      </c>
      <c r="C142" s="128">
        <f>IFERROR(__xludf.DUMMYFUNCTION("""COMPUTED_VALUE"""),2402.0)</f>
        <v>2402</v>
      </c>
      <c r="D142" s="141">
        <f>IFERROR(__xludf.DUMMYFUNCTION("""COMPUTED_VALUE"""),46514.0)</f>
        <v>46514</v>
      </c>
      <c r="E142" s="142">
        <f>IFERROR(__xludf.DUMMYFUNCTION("""COMPUTED_VALUE"""),299.0)</f>
        <v>299</v>
      </c>
      <c r="F142" s="128" t="str">
        <f>IFERROR(__xludf.DUMMYFUNCTION("""COMPUTED_VALUE"""),"TRN225")</f>
        <v>TRN225</v>
      </c>
      <c r="G142" s="128" t="str">
        <f>IFERROR(__xludf.DUMMYFUNCTION("""COMPUTED_VALUE"""),"MAYORCA")</f>
        <v>MAYORCA</v>
      </c>
      <c r="I142" s="103"/>
      <c r="J142" s="103"/>
      <c r="K142" s="103"/>
      <c r="L142" s="103"/>
      <c r="M142" s="103"/>
      <c r="N142" s="103"/>
      <c r="O142" s="103"/>
      <c r="P142" s="103"/>
    </row>
    <row r="143">
      <c r="A143" s="8"/>
      <c r="B143" s="128">
        <f>IFERROR(__xludf.DUMMYFUNCTION("""COMPUTED_VALUE"""),140.0)</f>
        <v>140</v>
      </c>
      <c r="C143" s="128">
        <f>IFERROR(__xludf.DUMMYFUNCTION("""COMPUTED_VALUE"""),2198.0)</f>
        <v>2198</v>
      </c>
      <c r="D143" s="141">
        <f>IFERROR(__xludf.DUMMYFUNCTION("""COMPUTED_VALUE"""),46515.0)</f>
        <v>46515</v>
      </c>
      <c r="E143" s="142">
        <f>IFERROR(__xludf.DUMMYFUNCTION("""COMPUTED_VALUE"""),300.0)</f>
        <v>300</v>
      </c>
      <c r="F143" s="128" t="str">
        <f>IFERROR(__xludf.DUMMYFUNCTION("""COMPUTED_VALUE"""),"TRH154")</f>
        <v>TRH154</v>
      </c>
      <c r="G143" s="128" t="str">
        <f>IFERROR(__xludf.DUMMYFUNCTION("""COMPUTED_VALUE"""),"02-Medellin")</f>
        <v>02-Medellin</v>
      </c>
      <c r="I143" s="103"/>
      <c r="J143" s="103"/>
      <c r="K143" s="103"/>
      <c r="L143" s="103"/>
      <c r="M143" s="103"/>
      <c r="N143" s="103"/>
      <c r="O143" s="103"/>
      <c r="P143" s="103"/>
    </row>
    <row r="144">
      <c r="A144" s="8"/>
      <c r="B144" s="128">
        <f>IFERROR(__xludf.DUMMYFUNCTION("""COMPUTED_VALUE"""),141.0)</f>
        <v>141</v>
      </c>
      <c r="C144" s="128">
        <f>IFERROR(__xludf.DUMMYFUNCTION("""COMPUTED_VALUE"""),2673.0)</f>
        <v>2673</v>
      </c>
      <c r="D144" s="141">
        <f>IFERROR(__xludf.DUMMYFUNCTION("""COMPUTED_VALUE"""),46516.0)</f>
        <v>46516</v>
      </c>
      <c r="E144" s="142">
        <f>IFERROR(__xludf.DUMMYFUNCTION("""COMPUTED_VALUE"""),301.0)</f>
        <v>301</v>
      </c>
      <c r="F144" s="128" t="str">
        <f>IFERROR(__xludf.DUMMYFUNCTION("""COMPUTED_VALUE"""),"KMZ300")</f>
        <v>KMZ300</v>
      </c>
      <c r="G144" s="128" t="str">
        <f>IFERROR(__xludf.DUMMYFUNCTION("""COMPUTED_VALUE"""),"02-Medellin")</f>
        <v>02-Medellin</v>
      </c>
      <c r="I144" s="103"/>
      <c r="J144" s="103"/>
      <c r="K144" s="103"/>
      <c r="L144" s="103"/>
      <c r="M144" s="103"/>
      <c r="N144" s="103"/>
      <c r="O144" s="103"/>
      <c r="P144" s="103"/>
    </row>
    <row r="145">
      <c r="A145" s="8"/>
      <c r="B145" s="128">
        <f>IFERROR(__xludf.DUMMYFUNCTION("""COMPUTED_VALUE"""),142.0)</f>
        <v>142</v>
      </c>
      <c r="C145" s="128">
        <f>IFERROR(__xludf.DUMMYFUNCTION("""COMPUTED_VALUE"""),2418.0)</f>
        <v>2418</v>
      </c>
      <c r="D145" s="141">
        <f>IFERROR(__xludf.DUMMYFUNCTION("""COMPUTED_VALUE"""),46520.0)</f>
        <v>46520</v>
      </c>
      <c r="E145" s="142">
        <f>IFERROR(__xludf.DUMMYFUNCTION("""COMPUTED_VALUE"""),305.0)</f>
        <v>305</v>
      </c>
      <c r="F145" s="128" t="str">
        <f>IFERROR(__xludf.DUMMYFUNCTION("""COMPUTED_VALUE"""),"TRN296")</f>
        <v>TRN296</v>
      </c>
      <c r="G145" s="128" t="str">
        <f>IFERROR(__xludf.DUMMYFUNCTION("""COMPUTED_VALUE"""),"02-Medellin")</f>
        <v>02-Medellin</v>
      </c>
      <c r="I145" s="103"/>
      <c r="J145" s="103"/>
      <c r="K145" s="103"/>
      <c r="L145" s="103"/>
      <c r="M145" s="103"/>
      <c r="N145" s="103"/>
      <c r="O145" s="103"/>
      <c r="P145" s="103"/>
    </row>
    <row r="146">
      <c r="A146" s="8"/>
      <c r="B146" s="128">
        <f>IFERROR(__xludf.DUMMYFUNCTION("""COMPUTED_VALUE"""),143.0)</f>
        <v>143</v>
      </c>
      <c r="C146" s="128">
        <f>IFERROR(__xludf.DUMMYFUNCTION("""COMPUTED_VALUE"""),2438.0)</f>
        <v>2438</v>
      </c>
      <c r="D146" s="141">
        <f>IFERROR(__xludf.DUMMYFUNCTION("""COMPUTED_VALUE"""),46521.0)</f>
        <v>46521</v>
      </c>
      <c r="E146" s="142">
        <f>IFERROR(__xludf.DUMMYFUNCTION("""COMPUTED_VALUE"""),306.0)</f>
        <v>306</v>
      </c>
      <c r="F146" s="128" t="str">
        <f>IFERROR(__xludf.DUMMYFUNCTION("""COMPUTED_VALUE"""),"TRN386")</f>
        <v>TRN386</v>
      </c>
      <c r="G146" s="128" t="str">
        <f>IFERROR(__xludf.DUMMYFUNCTION("""COMPUTED_VALUE"""),"02-Medellin")</f>
        <v>02-Medellin</v>
      </c>
      <c r="I146" s="103"/>
      <c r="J146" s="103"/>
      <c r="K146" s="103"/>
      <c r="L146" s="103"/>
      <c r="M146" s="103"/>
      <c r="N146" s="103"/>
      <c r="O146" s="103"/>
      <c r="P146" s="103"/>
    </row>
    <row r="147">
      <c r="A147" s="8"/>
      <c r="B147" s="128">
        <f>IFERROR(__xludf.DUMMYFUNCTION("""COMPUTED_VALUE"""),144.0)</f>
        <v>144</v>
      </c>
      <c r="C147" s="128">
        <f>IFERROR(__xludf.DUMMYFUNCTION("""COMPUTED_VALUE"""),2367.0)</f>
        <v>2367</v>
      </c>
      <c r="D147" s="141">
        <f>IFERROR(__xludf.DUMMYFUNCTION("""COMPUTED_VALUE"""),46522.0)</f>
        <v>46522</v>
      </c>
      <c r="E147" s="142">
        <f>IFERROR(__xludf.DUMMYFUNCTION("""COMPUTED_VALUE"""),307.0)</f>
        <v>307</v>
      </c>
      <c r="F147" s="128" t="str">
        <f>IFERROR(__xludf.DUMMYFUNCTION("""COMPUTED_VALUE"""),"TRL773")</f>
        <v>TRL773</v>
      </c>
      <c r="G147" s="128" t="str">
        <f>IFERROR(__xludf.DUMMYFUNCTION("""COMPUTED_VALUE"""),"31-Copacabana QUIMICOS")</f>
        <v>31-Copacabana QUIMICOS</v>
      </c>
      <c r="I147" s="103"/>
      <c r="J147" s="103"/>
      <c r="K147" s="103"/>
      <c r="L147" s="103"/>
      <c r="M147" s="103"/>
      <c r="N147" s="103"/>
      <c r="O147" s="103"/>
      <c r="P147" s="103"/>
    </row>
    <row r="148">
      <c r="A148" s="8"/>
      <c r="B148" s="128">
        <f>IFERROR(__xludf.DUMMYFUNCTION("""COMPUTED_VALUE"""),145.0)</f>
        <v>145</v>
      </c>
      <c r="C148" s="128">
        <f>IFERROR(__xludf.DUMMYFUNCTION("""COMPUTED_VALUE"""),2204.0)</f>
        <v>2204</v>
      </c>
      <c r="D148" s="141">
        <f>IFERROR(__xludf.DUMMYFUNCTION("""COMPUTED_VALUE"""),46523.0)</f>
        <v>46523</v>
      </c>
      <c r="E148" s="142">
        <f>IFERROR(__xludf.DUMMYFUNCTION("""COMPUTED_VALUE"""),308.0)</f>
        <v>308</v>
      </c>
      <c r="F148" s="128" t="str">
        <f>IFERROR(__xludf.DUMMYFUNCTION("""COMPUTED_VALUE"""),"TRH160")</f>
        <v>TRH160</v>
      </c>
      <c r="G148" s="128" t="str">
        <f>IFERROR(__xludf.DUMMYFUNCTION("""COMPUTED_VALUE"""),"BULTOS")</f>
        <v>BULTOS</v>
      </c>
      <c r="I148" s="103"/>
      <c r="J148" s="103"/>
      <c r="K148" s="103"/>
      <c r="L148" s="103"/>
      <c r="M148" s="103"/>
      <c r="N148" s="103"/>
      <c r="O148" s="103"/>
      <c r="P148" s="103"/>
    </row>
    <row r="149">
      <c r="A149" s="8"/>
      <c r="B149" s="128">
        <f>IFERROR(__xludf.DUMMYFUNCTION("""COMPUTED_VALUE"""),146.0)</f>
        <v>146</v>
      </c>
      <c r="C149" s="128">
        <f>IFERROR(__xludf.DUMMYFUNCTION("""COMPUTED_VALUE"""),2391.0)</f>
        <v>2391</v>
      </c>
      <c r="D149" s="141">
        <f>IFERROR(__xludf.DUMMYFUNCTION("""COMPUTED_VALUE"""),46527.0)</f>
        <v>46527</v>
      </c>
      <c r="E149" s="142">
        <f>IFERROR(__xludf.DUMMYFUNCTION("""COMPUTED_VALUE"""),312.0)</f>
        <v>312</v>
      </c>
      <c r="F149" s="128" t="str">
        <f>IFERROR(__xludf.DUMMYFUNCTION("""COMPUTED_VALUE"""),"TRN188")</f>
        <v>TRN188</v>
      </c>
      <c r="G149" s="128" t="str">
        <f>IFERROR(__xludf.DUMMYFUNCTION("""COMPUTED_VALUE"""),"02-Medellin")</f>
        <v>02-Medellin</v>
      </c>
      <c r="I149" s="103"/>
      <c r="J149" s="103"/>
      <c r="K149" s="103"/>
      <c r="L149" s="103"/>
      <c r="M149" s="103"/>
      <c r="N149" s="103"/>
      <c r="O149" s="103"/>
      <c r="P149" s="103"/>
    </row>
    <row r="150">
      <c r="A150" s="8"/>
      <c r="B150" s="128">
        <f>IFERROR(__xludf.DUMMYFUNCTION("""COMPUTED_VALUE"""),147.0)</f>
        <v>147</v>
      </c>
      <c r="C150" s="128">
        <f>IFERROR(__xludf.DUMMYFUNCTION("""COMPUTED_VALUE"""),2389.0)</f>
        <v>2389</v>
      </c>
      <c r="D150" s="141">
        <f>IFERROR(__xludf.DUMMYFUNCTION("""COMPUTED_VALUE"""),46527.0)</f>
        <v>46527</v>
      </c>
      <c r="E150" s="142">
        <f>IFERROR(__xludf.DUMMYFUNCTION("""COMPUTED_VALUE"""),312.0)</f>
        <v>312</v>
      </c>
      <c r="F150" s="128" t="str">
        <f>IFERROR(__xludf.DUMMYFUNCTION("""COMPUTED_VALUE"""),"TRN186")</f>
        <v>TRN186</v>
      </c>
      <c r="G150" s="128" t="str">
        <f>IFERROR(__xludf.DUMMYFUNCTION("""COMPUTED_VALUE"""),"24-Rionegro")</f>
        <v>24-Rionegro</v>
      </c>
      <c r="I150" s="103"/>
      <c r="J150" s="103"/>
      <c r="K150" s="103"/>
      <c r="L150" s="103"/>
      <c r="M150" s="103"/>
      <c r="N150" s="103"/>
      <c r="O150" s="103"/>
      <c r="P150" s="103"/>
    </row>
    <row r="151">
      <c r="A151" s="8"/>
      <c r="B151" s="128">
        <f>IFERROR(__xludf.DUMMYFUNCTION("""COMPUTED_VALUE"""),148.0)</f>
        <v>148</v>
      </c>
      <c r="C151" s="128">
        <f>IFERROR(__xludf.DUMMYFUNCTION("""COMPUTED_VALUE"""),2202.0)</f>
        <v>2202</v>
      </c>
      <c r="D151" s="141">
        <f>IFERROR(__xludf.DUMMYFUNCTION("""COMPUTED_VALUE"""),46527.0)</f>
        <v>46527</v>
      </c>
      <c r="E151" s="142">
        <f>IFERROR(__xludf.DUMMYFUNCTION("""COMPUTED_VALUE"""),312.0)</f>
        <v>312</v>
      </c>
      <c r="F151" s="128" t="str">
        <f>IFERROR(__xludf.DUMMYFUNCTION("""COMPUTED_VALUE"""),"TRH158")</f>
        <v>TRH158</v>
      </c>
      <c r="G151" s="128" t="str">
        <f>IFERROR(__xludf.DUMMYFUNCTION("""COMPUTED_VALUE"""),"02-Medellin")</f>
        <v>02-Medellin</v>
      </c>
      <c r="I151" s="103"/>
      <c r="J151" s="103"/>
      <c r="K151" s="103"/>
      <c r="L151" s="103"/>
      <c r="M151" s="103"/>
      <c r="N151" s="103"/>
      <c r="O151" s="103"/>
      <c r="P151" s="103"/>
    </row>
    <row r="152">
      <c r="A152" s="8"/>
      <c r="B152" s="128">
        <f>IFERROR(__xludf.DUMMYFUNCTION("""COMPUTED_VALUE"""),149.0)</f>
        <v>149</v>
      </c>
      <c r="C152" s="128">
        <f>IFERROR(__xludf.DUMMYFUNCTION("""COMPUTED_VALUE"""),2437.0)</f>
        <v>2437</v>
      </c>
      <c r="D152" s="141">
        <f>IFERROR(__xludf.DUMMYFUNCTION("""COMPUTED_VALUE"""),46528.0)</f>
        <v>46528</v>
      </c>
      <c r="E152" s="142">
        <f>IFERROR(__xludf.DUMMYFUNCTION("""COMPUTED_VALUE"""),313.0)</f>
        <v>313</v>
      </c>
      <c r="F152" s="128" t="str">
        <f>IFERROR(__xludf.DUMMYFUNCTION("""COMPUTED_VALUE"""),"TRN385")</f>
        <v>TRN385</v>
      </c>
      <c r="G152" s="128" t="str">
        <f>IFERROR(__xludf.DUMMYFUNCTION("""COMPUTED_VALUE"""),"02-Medellin")</f>
        <v>02-Medellin</v>
      </c>
      <c r="I152" s="103"/>
      <c r="J152" s="103"/>
      <c r="K152" s="103"/>
      <c r="L152" s="103"/>
      <c r="M152" s="103"/>
      <c r="N152" s="103"/>
      <c r="O152" s="103"/>
      <c r="P152" s="103"/>
    </row>
    <row r="153">
      <c r="A153" s="8"/>
      <c r="B153" s="128">
        <f>IFERROR(__xludf.DUMMYFUNCTION("""COMPUTED_VALUE"""),150.0)</f>
        <v>150</v>
      </c>
      <c r="C153" s="128">
        <f>IFERROR(__xludf.DUMMYFUNCTION("""COMPUTED_VALUE"""),2424.0)</f>
        <v>2424</v>
      </c>
      <c r="D153" s="141">
        <f>IFERROR(__xludf.DUMMYFUNCTION("""COMPUTED_VALUE"""),46528.0)</f>
        <v>46528</v>
      </c>
      <c r="E153" s="142">
        <f>IFERROR(__xludf.DUMMYFUNCTION("""COMPUTED_VALUE"""),313.0)</f>
        <v>313</v>
      </c>
      <c r="F153" s="128" t="str">
        <f>IFERROR(__xludf.DUMMYFUNCTION("""COMPUTED_VALUE"""),"TRN362")</f>
        <v>TRN362</v>
      </c>
      <c r="G153" s="128" t="str">
        <f>IFERROR(__xludf.DUMMYFUNCTION("""COMPUTED_VALUE"""),"02-Medellin")</f>
        <v>02-Medellin</v>
      </c>
      <c r="I153" s="103"/>
      <c r="J153" s="103"/>
      <c r="K153" s="103"/>
      <c r="L153" s="103"/>
      <c r="M153" s="103"/>
      <c r="N153" s="103"/>
      <c r="O153" s="103"/>
      <c r="P153" s="103"/>
    </row>
    <row r="154">
      <c r="A154" s="8"/>
      <c r="B154" s="128">
        <f>IFERROR(__xludf.DUMMYFUNCTION("""COMPUTED_VALUE"""),151.0)</f>
        <v>151</v>
      </c>
      <c r="C154" s="128">
        <f>IFERROR(__xludf.DUMMYFUNCTION("""COMPUTED_VALUE"""),2419.0)</f>
        <v>2419</v>
      </c>
      <c r="D154" s="141">
        <f>IFERROR(__xludf.DUMMYFUNCTION("""COMPUTED_VALUE"""),46528.0)</f>
        <v>46528</v>
      </c>
      <c r="E154" s="142">
        <f>IFERROR(__xludf.DUMMYFUNCTION("""COMPUTED_VALUE"""),313.0)</f>
        <v>313</v>
      </c>
      <c r="F154" s="128" t="str">
        <f>IFERROR(__xludf.DUMMYFUNCTION("""COMPUTED_VALUE"""),"TRN295")</f>
        <v>TRN295</v>
      </c>
      <c r="G154" s="128" t="str">
        <f>IFERROR(__xludf.DUMMYFUNCTION("""COMPUTED_VALUE"""),"02-Medellin")</f>
        <v>02-Medellin</v>
      </c>
      <c r="I154" s="103"/>
      <c r="J154" s="103"/>
      <c r="K154" s="103"/>
      <c r="L154" s="103"/>
      <c r="M154" s="103"/>
      <c r="N154" s="103"/>
      <c r="O154" s="103"/>
      <c r="P154" s="103"/>
    </row>
    <row r="155">
      <c r="A155" s="8"/>
      <c r="B155" s="128">
        <f>IFERROR(__xludf.DUMMYFUNCTION("""COMPUTED_VALUE"""),152.0)</f>
        <v>152</v>
      </c>
      <c r="C155" s="128">
        <f>IFERROR(__xludf.DUMMYFUNCTION("""COMPUTED_VALUE"""),2421.0)</f>
        <v>2421</v>
      </c>
      <c r="D155" s="141">
        <f>IFERROR(__xludf.DUMMYFUNCTION("""COMPUTED_VALUE"""),46529.0)</f>
        <v>46529</v>
      </c>
      <c r="E155" s="142">
        <f>IFERROR(__xludf.DUMMYFUNCTION("""COMPUTED_VALUE"""),314.0)</f>
        <v>314</v>
      </c>
      <c r="F155" s="128" t="str">
        <f>IFERROR(__xludf.DUMMYFUNCTION("""COMPUTED_VALUE"""),"TRN359")</f>
        <v>TRN359</v>
      </c>
      <c r="G155" s="128" t="str">
        <f>IFERROR(__xludf.DUMMYFUNCTION("""COMPUTED_VALUE"""),"02-Medellin")</f>
        <v>02-Medellin</v>
      </c>
      <c r="I155" s="103"/>
      <c r="J155" s="103"/>
      <c r="K155" s="103"/>
      <c r="L155" s="103"/>
      <c r="M155" s="103"/>
      <c r="N155" s="103"/>
      <c r="O155" s="103"/>
      <c r="P155" s="103"/>
    </row>
    <row r="156">
      <c r="A156" s="8"/>
      <c r="B156" s="128">
        <f>IFERROR(__xludf.DUMMYFUNCTION("""COMPUTED_VALUE"""),153.0)</f>
        <v>153</v>
      </c>
      <c r="C156" s="128">
        <f>IFERROR(__xludf.DUMMYFUNCTION("""COMPUTED_VALUE"""),2197.0)</f>
        <v>2197</v>
      </c>
      <c r="D156" s="141">
        <f>IFERROR(__xludf.DUMMYFUNCTION("""COMPUTED_VALUE"""),46529.0)</f>
        <v>46529</v>
      </c>
      <c r="E156" s="142">
        <f>IFERROR(__xludf.DUMMYFUNCTION("""COMPUTED_VALUE"""),314.0)</f>
        <v>314</v>
      </c>
      <c r="F156" s="128" t="str">
        <f>IFERROR(__xludf.DUMMYFUNCTION("""COMPUTED_VALUE"""),"TRH153")</f>
        <v>TRH153</v>
      </c>
      <c r="G156" s="128" t="str">
        <f>IFERROR(__xludf.DUMMYFUNCTION("""COMPUTED_VALUE"""),"02-Medellin")</f>
        <v>02-Medellin</v>
      </c>
      <c r="I156" s="103"/>
      <c r="J156" s="103"/>
      <c r="K156" s="103"/>
      <c r="L156" s="103"/>
      <c r="M156" s="103"/>
      <c r="N156" s="103"/>
      <c r="O156" s="103"/>
      <c r="P156" s="103"/>
    </row>
    <row r="157">
      <c r="A157" s="8"/>
      <c r="B157" s="128">
        <f>IFERROR(__xludf.DUMMYFUNCTION("""COMPUTED_VALUE"""),154.0)</f>
        <v>154</v>
      </c>
      <c r="C157" s="128">
        <f>IFERROR(__xludf.DUMMYFUNCTION("""COMPUTED_VALUE"""),2435.0)</f>
        <v>2435</v>
      </c>
      <c r="D157" s="141">
        <f>IFERROR(__xludf.DUMMYFUNCTION("""COMPUTED_VALUE"""),46530.0)</f>
        <v>46530</v>
      </c>
      <c r="E157" s="142">
        <f>IFERROR(__xludf.DUMMYFUNCTION("""COMPUTED_VALUE"""),315.0)</f>
        <v>315</v>
      </c>
      <c r="F157" s="128" t="str">
        <f>IFERROR(__xludf.DUMMYFUNCTION("""COMPUTED_VALUE"""),"TRN382")</f>
        <v>TRN382</v>
      </c>
      <c r="G157" s="128" t="str">
        <f>IFERROR(__xludf.DUMMYFUNCTION("""COMPUTED_VALUE"""),"02-Medellin")</f>
        <v>02-Medellin</v>
      </c>
      <c r="I157" s="103"/>
      <c r="J157" s="103"/>
      <c r="K157" s="103"/>
      <c r="L157" s="103"/>
      <c r="M157" s="103"/>
      <c r="N157" s="103"/>
      <c r="O157" s="103"/>
      <c r="P157" s="103"/>
    </row>
    <row r="158">
      <c r="A158" s="8"/>
      <c r="B158" s="128">
        <f>IFERROR(__xludf.DUMMYFUNCTION("""COMPUTED_VALUE"""),155.0)</f>
        <v>155</v>
      </c>
      <c r="C158" s="128">
        <f>IFERROR(__xludf.DUMMYFUNCTION("""COMPUTED_VALUE"""),2194.0)</f>
        <v>2194</v>
      </c>
      <c r="D158" s="141">
        <f>IFERROR(__xludf.DUMMYFUNCTION("""COMPUTED_VALUE"""),46530.0)</f>
        <v>46530</v>
      </c>
      <c r="E158" s="142">
        <f>IFERROR(__xludf.DUMMYFUNCTION("""COMPUTED_VALUE"""),315.0)</f>
        <v>315</v>
      </c>
      <c r="F158" s="128" t="str">
        <f>IFERROR(__xludf.DUMMYFUNCTION("""COMPUTED_VALUE"""),"TRH150")</f>
        <v>TRH150</v>
      </c>
      <c r="G158" s="128" t="str">
        <f>IFERROR(__xludf.DUMMYFUNCTION("""COMPUTED_VALUE"""),"02-Medellin")</f>
        <v>02-Medellin</v>
      </c>
      <c r="I158" s="103"/>
      <c r="J158" s="103"/>
      <c r="K158" s="103"/>
      <c r="L158" s="103"/>
      <c r="M158" s="103"/>
      <c r="N158" s="103"/>
      <c r="O158" s="103"/>
      <c r="P158" s="103"/>
    </row>
    <row r="159">
      <c r="A159" s="8"/>
      <c r="B159" s="128">
        <f>IFERROR(__xludf.DUMMYFUNCTION("""COMPUTED_VALUE"""),156.0)</f>
        <v>156</v>
      </c>
      <c r="C159" s="128">
        <f>IFERROR(__xludf.DUMMYFUNCTION("""COMPUTED_VALUE"""),2376.0)</f>
        <v>2376</v>
      </c>
      <c r="D159" s="141">
        <f>IFERROR(__xludf.DUMMYFUNCTION("""COMPUTED_VALUE"""),46540.0)</f>
        <v>46540</v>
      </c>
      <c r="E159" s="142">
        <f>IFERROR(__xludf.DUMMYFUNCTION("""COMPUTED_VALUE"""),325.0)</f>
        <v>325</v>
      </c>
      <c r="F159" s="128" t="str">
        <f>IFERROR(__xludf.DUMMYFUNCTION("""COMPUTED_VALUE"""),"TRM999")</f>
        <v>TRM999</v>
      </c>
      <c r="G159" s="128" t="str">
        <f>IFERROR(__xludf.DUMMYFUNCTION("""COMPUTED_VALUE"""),"02-Medellin")</f>
        <v>02-Medellin</v>
      </c>
      <c r="I159" s="103"/>
      <c r="J159" s="103"/>
      <c r="K159" s="103"/>
      <c r="L159" s="103"/>
      <c r="M159" s="103"/>
      <c r="N159" s="103"/>
      <c r="O159" s="103"/>
      <c r="P159" s="103"/>
    </row>
    <row r="160">
      <c r="A160" s="8"/>
      <c r="B160" s="128">
        <f>IFERROR(__xludf.DUMMYFUNCTION("""COMPUTED_VALUE"""),157.0)</f>
        <v>157</v>
      </c>
      <c r="C160" s="128">
        <f>IFERROR(__xludf.DUMMYFUNCTION("""COMPUTED_VALUE"""),2369.0)</f>
        <v>2369</v>
      </c>
      <c r="D160" s="141">
        <f>IFERROR(__xludf.DUMMYFUNCTION("""COMPUTED_VALUE"""),46541.0)</f>
        <v>46541</v>
      </c>
      <c r="E160" s="142">
        <f>IFERROR(__xludf.DUMMYFUNCTION("""COMPUTED_VALUE"""),326.0)</f>
        <v>326</v>
      </c>
      <c r="F160" s="128" t="str">
        <f>IFERROR(__xludf.DUMMYFUNCTION("""COMPUTED_VALUE"""),"TRM981")</f>
        <v>TRM981</v>
      </c>
      <c r="G160" s="128" t="str">
        <f>IFERROR(__xludf.DUMMYFUNCTION("""COMPUTED_VALUE"""),"02-Medellin")</f>
        <v>02-Medellin</v>
      </c>
      <c r="I160" s="103"/>
      <c r="J160" s="103"/>
      <c r="K160" s="103"/>
      <c r="L160" s="103"/>
      <c r="M160" s="103"/>
      <c r="N160" s="103"/>
      <c r="O160" s="103"/>
      <c r="P160" s="103"/>
    </row>
    <row r="161">
      <c r="A161" s="8"/>
      <c r="B161" s="128">
        <f>IFERROR(__xludf.DUMMYFUNCTION("""COMPUTED_VALUE"""),158.0)</f>
        <v>158</v>
      </c>
      <c r="C161" s="128">
        <f>IFERROR(__xludf.DUMMYFUNCTION("""COMPUTED_VALUE"""),2400.0)</f>
        <v>2400</v>
      </c>
      <c r="D161" s="141">
        <f>IFERROR(__xludf.DUMMYFUNCTION("""COMPUTED_VALUE"""),46542.0)</f>
        <v>46542</v>
      </c>
      <c r="E161" s="142">
        <f>IFERROR(__xludf.DUMMYFUNCTION("""COMPUTED_VALUE"""),327.0)</f>
        <v>327</v>
      </c>
      <c r="F161" s="128" t="str">
        <f>IFERROR(__xludf.DUMMYFUNCTION("""COMPUTED_VALUE"""),"TRN220")</f>
        <v>TRN220</v>
      </c>
      <c r="G161" s="128" t="str">
        <f>IFERROR(__xludf.DUMMYFUNCTION("""COMPUTED_VALUE"""),"MAYORCA")</f>
        <v>MAYORCA</v>
      </c>
      <c r="I161" s="103"/>
      <c r="J161" s="103"/>
      <c r="K161" s="103"/>
      <c r="L161" s="103"/>
      <c r="M161" s="103"/>
      <c r="N161" s="103"/>
      <c r="O161" s="103"/>
      <c r="P161" s="103"/>
    </row>
    <row r="162">
      <c r="A162" s="8"/>
      <c r="B162" s="128">
        <f>IFERROR(__xludf.DUMMYFUNCTION("""COMPUTED_VALUE"""),159.0)</f>
        <v>159</v>
      </c>
      <c r="C162" s="128">
        <f>IFERROR(__xludf.DUMMYFUNCTION("""COMPUTED_VALUE"""),2378.0)</f>
        <v>2378</v>
      </c>
      <c r="D162" s="141">
        <f>IFERROR(__xludf.DUMMYFUNCTION("""COMPUTED_VALUE"""),46542.0)</f>
        <v>46542</v>
      </c>
      <c r="E162" s="142">
        <f>IFERROR(__xludf.DUMMYFUNCTION("""COMPUTED_VALUE"""),327.0)</f>
        <v>327</v>
      </c>
      <c r="F162" s="128" t="str">
        <f>IFERROR(__xludf.DUMMYFUNCTION("""COMPUTED_VALUE"""),"TRN154")</f>
        <v>TRN154</v>
      </c>
      <c r="G162" s="128" t="str">
        <f>IFERROR(__xludf.DUMMYFUNCTION("""COMPUTED_VALUE"""),"MAYORCA")</f>
        <v>MAYORCA</v>
      </c>
      <c r="I162" s="103"/>
      <c r="J162" s="103"/>
      <c r="K162" s="103"/>
      <c r="L162" s="103"/>
      <c r="M162" s="103"/>
      <c r="N162" s="103"/>
      <c r="O162" s="103"/>
      <c r="P162" s="103"/>
    </row>
    <row r="163">
      <c r="A163" s="8"/>
      <c r="B163" s="128">
        <f>IFERROR(__xludf.DUMMYFUNCTION("""COMPUTED_VALUE"""),160.0)</f>
        <v>160</v>
      </c>
      <c r="C163" s="128">
        <f>IFERROR(__xludf.DUMMYFUNCTION("""COMPUTED_VALUE"""),2196.0)</f>
        <v>2196</v>
      </c>
      <c r="D163" s="141">
        <f>IFERROR(__xludf.DUMMYFUNCTION("""COMPUTED_VALUE"""),46542.0)</f>
        <v>46542</v>
      </c>
      <c r="E163" s="142">
        <f>IFERROR(__xludf.DUMMYFUNCTION("""COMPUTED_VALUE"""),327.0)</f>
        <v>327</v>
      </c>
      <c r="F163" s="128" t="str">
        <f>IFERROR(__xludf.DUMMYFUNCTION("""COMPUTED_VALUE"""),"TRH152")</f>
        <v>TRH152</v>
      </c>
      <c r="G163" s="128" t="str">
        <f>IFERROR(__xludf.DUMMYFUNCTION("""COMPUTED_VALUE"""),"02-Medellin")</f>
        <v>02-Medellin</v>
      </c>
      <c r="I163" s="103"/>
      <c r="J163" s="103"/>
      <c r="K163" s="103"/>
      <c r="L163" s="103"/>
      <c r="M163" s="103"/>
      <c r="N163" s="103"/>
      <c r="O163" s="103"/>
      <c r="P163" s="103"/>
    </row>
    <row r="164">
      <c r="A164" s="8"/>
      <c r="B164" s="128">
        <f>IFERROR(__xludf.DUMMYFUNCTION("""COMPUTED_VALUE"""),161.0)</f>
        <v>161</v>
      </c>
      <c r="C164" s="128">
        <f>IFERROR(__xludf.DUMMYFUNCTION("""COMPUTED_VALUE"""),2334.0)</f>
        <v>2334</v>
      </c>
      <c r="D164" s="141">
        <f>IFERROR(__xludf.DUMMYFUNCTION("""COMPUTED_VALUE"""),46543.0)</f>
        <v>46543</v>
      </c>
      <c r="E164" s="142">
        <f>IFERROR(__xludf.DUMMYFUNCTION("""COMPUTED_VALUE"""),328.0)</f>
        <v>328</v>
      </c>
      <c r="F164" s="128" t="str">
        <f>IFERROR(__xludf.DUMMYFUNCTION("""COMPUTED_VALUE"""),"TRG641")</f>
        <v>TRG641</v>
      </c>
      <c r="G164" s="128" t="str">
        <f>IFERROR(__xludf.DUMMYFUNCTION("""COMPUTED_VALUE"""),"27-Apartado")</f>
        <v>27-Apartado</v>
      </c>
      <c r="I164" s="103"/>
      <c r="J164" s="103"/>
      <c r="K164" s="103"/>
      <c r="L164" s="103"/>
      <c r="M164" s="103"/>
      <c r="N164" s="103"/>
      <c r="O164" s="103"/>
      <c r="P164" s="103"/>
    </row>
    <row r="165">
      <c r="A165" s="8"/>
      <c r="B165" s="128">
        <f>IFERROR(__xludf.DUMMYFUNCTION("""COMPUTED_VALUE"""),162.0)</f>
        <v>162</v>
      </c>
      <c r="C165" s="128">
        <f>IFERROR(__xludf.DUMMYFUNCTION("""COMPUTED_VALUE"""),2201.0)</f>
        <v>2201</v>
      </c>
      <c r="D165" s="141">
        <f>IFERROR(__xludf.DUMMYFUNCTION("""COMPUTED_VALUE"""),46543.0)</f>
        <v>46543</v>
      </c>
      <c r="E165" s="142">
        <f>IFERROR(__xludf.DUMMYFUNCTION("""COMPUTED_VALUE"""),328.0)</f>
        <v>328</v>
      </c>
      <c r="F165" s="128" t="str">
        <f>IFERROR(__xludf.DUMMYFUNCTION("""COMPUTED_VALUE"""),"TRH157")</f>
        <v>TRH157</v>
      </c>
      <c r="G165" s="128" t="str">
        <f>IFERROR(__xludf.DUMMYFUNCTION("""COMPUTED_VALUE"""),"02-Medellin")</f>
        <v>02-Medellin</v>
      </c>
      <c r="I165" s="103"/>
      <c r="J165" s="103"/>
      <c r="K165" s="103"/>
      <c r="L165" s="103"/>
      <c r="M165" s="103"/>
      <c r="N165" s="103"/>
      <c r="O165" s="103"/>
      <c r="P165" s="103"/>
    </row>
    <row r="166">
      <c r="A166" s="8"/>
      <c r="B166" s="128">
        <f>IFERROR(__xludf.DUMMYFUNCTION("""COMPUTED_VALUE"""),163.0)</f>
        <v>163</v>
      </c>
      <c r="C166" s="128">
        <f>IFERROR(__xludf.DUMMYFUNCTION("""COMPUTED_VALUE"""),2390.0)</f>
        <v>2390</v>
      </c>
      <c r="D166" s="141">
        <f>IFERROR(__xludf.DUMMYFUNCTION("""COMPUTED_VALUE"""),46544.0)</f>
        <v>46544</v>
      </c>
      <c r="E166" s="142">
        <f>IFERROR(__xludf.DUMMYFUNCTION("""COMPUTED_VALUE"""),329.0)</f>
        <v>329</v>
      </c>
      <c r="F166" s="128" t="str">
        <f>IFERROR(__xludf.DUMMYFUNCTION("""COMPUTED_VALUE"""),"TRN187")</f>
        <v>TRN187</v>
      </c>
      <c r="G166" s="128" t="str">
        <f>IFERROR(__xludf.DUMMYFUNCTION("""COMPUTED_VALUE"""),"MAYORCA")</f>
        <v>MAYORCA</v>
      </c>
      <c r="I166" s="103"/>
      <c r="J166" s="103"/>
      <c r="K166" s="103"/>
      <c r="L166" s="103"/>
      <c r="M166" s="103"/>
      <c r="N166" s="103"/>
      <c r="O166" s="103"/>
      <c r="P166" s="103"/>
    </row>
    <row r="167">
      <c r="A167" s="8"/>
      <c r="B167" s="128">
        <f>IFERROR(__xludf.DUMMYFUNCTION("""COMPUTED_VALUE"""),164.0)</f>
        <v>164</v>
      </c>
      <c r="C167" s="128">
        <f>IFERROR(__xludf.DUMMYFUNCTION("""COMPUTED_VALUE"""),2195.0)</f>
        <v>2195</v>
      </c>
      <c r="D167" s="141">
        <f>IFERROR(__xludf.DUMMYFUNCTION("""COMPUTED_VALUE"""),46544.0)</f>
        <v>46544</v>
      </c>
      <c r="E167" s="142">
        <f>IFERROR(__xludf.DUMMYFUNCTION("""COMPUTED_VALUE"""),329.0)</f>
        <v>329</v>
      </c>
      <c r="F167" s="128" t="str">
        <f>IFERROR(__xludf.DUMMYFUNCTION("""COMPUTED_VALUE"""),"TRH151")</f>
        <v>TRH151</v>
      </c>
      <c r="G167" s="128" t="str">
        <f>IFERROR(__xludf.DUMMYFUNCTION("""COMPUTED_VALUE"""),"02-Medellin")</f>
        <v>02-Medellin</v>
      </c>
      <c r="I167" s="103"/>
      <c r="J167" s="103"/>
      <c r="K167" s="103"/>
      <c r="L167" s="103"/>
      <c r="M167" s="103"/>
      <c r="N167" s="103"/>
      <c r="O167" s="103"/>
      <c r="P167" s="103"/>
    </row>
    <row r="168">
      <c r="A168" s="8"/>
      <c r="B168" s="128">
        <f>IFERROR(__xludf.DUMMYFUNCTION("""COMPUTED_VALUE"""),165.0)</f>
        <v>165</v>
      </c>
      <c r="C168" s="128">
        <f>IFERROR(__xludf.DUMMYFUNCTION("""COMPUTED_VALUE"""),2392.0)</f>
        <v>2392</v>
      </c>
      <c r="D168" s="141">
        <f>IFERROR(__xludf.DUMMYFUNCTION("""COMPUTED_VALUE"""),46548.0)</f>
        <v>46548</v>
      </c>
      <c r="E168" s="142">
        <f>IFERROR(__xludf.DUMMYFUNCTION("""COMPUTED_VALUE"""),333.0)</f>
        <v>333</v>
      </c>
      <c r="F168" s="128" t="str">
        <f>IFERROR(__xludf.DUMMYFUNCTION("""COMPUTED_VALUE"""),"TRN189")</f>
        <v>TRN189</v>
      </c>
      <c r="G168" s="128" t="str">
        <f>IFERROR(__xludf.DUMMYFUNCTION("""COMPUTED_VALUE"""),"02-Medellin")</f>
        <v>02-Medellin</v>
      </c>
      <c r="I168" s="103"/>
      <c r="J168" s="103"/>
      <c r="K168" s="103"/>
      <c r="L168" s="103"/>
      <c r="M168" s="103"/>
      <c r="N168" s="103"/>
      <c r="O168" s="103"/>
      <c r="P168" s="103"/>
    </row>
    <row r="169">
      <c r="A169" s="8"/>
      <c r="B169" s="128">
        <f>IFERROR(__xludf.DUMMYFUNCTION("""COMPUTED_VALUE"""),166.0)</f>
        <v>166</v>
      </c>
      <c r="C169" s="128">
        <f>IFERROR(__xludf.DUMMYFUNCTION("""COMPUTED_VALUE"""),2206.0)</f>
        <v>2206</v>
      </c>
      <c r="D169" s="141">
        <f>IFERROR(__xludf.DUMMYFUNCTION("""COMPUTED_VALUE"""),46548.0)</f>
        <v>46548</v>
      </c>
      <c r="E169" s="142">
        <f>IFERROR(__xludf.DUMMYFUNCTION("""COMPUTED_VALUE"""),333.0)</f>
        <v>333</v>
      </c>
      <c r="F169" s="128" t="str">
        <f>IFERROR(__xludf.DUMMYFUNCTION("""COMPUTED_VALUE"""),"TRH162")</f>
        <v>TRH162</v>
      </c>
      <c r="G169" s="128" t="str">
        <f>IFERROR(__xludf.DUMMYFUNCTION("""COMPUTED_VALUE"""),"MAYORCA")</f>
        <v>MAYORCA</v>
      </c>
      <c r="I169" s="103"/>
      <c r="J169" s="103"/>
      <c r="K169" s="103"/>
      <c r="L169" s="103"/>
      <c r="M169" s="103"/>
      <c r="N169" s="103"/>
      <c r="O169" s="103"/>
      <c r="P169" s="103"/>
    </row>
    <row r="170">
      <c r="A170" s="8"/>
      <c r="B170" s="128">
        <f>IFERROR(__xludf.DUMMYFUNCTION("""COMPUTED_VALUE"""),167.0)</f>
        <v>167</v>
      </c>
      <c r="C170" s="128">
        <f>IFERROR(__xludf.DUMMYFUNCTION("""COMPUTED_VALUE"""),2414.0)</f>
        <v>2414</v>
      </c>
      <c r="D170" s="141">
        <f>IFERROR(__xludf.DUMMYFUNCTION("""COMPUTED_VALUE"""),46549.0)</f>
        <v>46549</v>
      </c>
      <c r="E170" s="142">
        <f>IFERROR(__xludf.DUMMYFUNCTION("""COMPUTED_VALUE"""),334.0)</f>
        <v>334</v>
      </c>
      <c r="F170" s="128" t="str">
        <f>IFERROR(__xludf.DUMMYFUNCTION("""COMPUTED_VALUE"""),"TRN271")</f>
        <v>TRN271</v>
      </c>
      <c r="G170" s="128" t="str">
        <f>IFERROR(__xludf.DUMMYFUNCTION("""COMPUTED_VALUE"""),"02-Medellin")</f>
        <v>02-Medellin</v>
      </c>
      <c r="I170" s="103"/>
      <c r="J170" s="103"/>
      <c r="K170" s="103"/>
      <c r="L170" s="103"/>
      <c r="M170" s="103"/>
      <c r="N170" s="103"/>
      <c r="O170" s="103"/>
      <c r="P170" s="103"/>
    </row>
    <row r="171">
      <c r="A171" s="8"/>
      <c r="B171" s="128">
        <f>IFERROR(__xludf.DUMMYFUNCTION("""COMPUTED_VALUE"""),168.0)</f>
        <v>168</v>
      </c>
      <c r="C171" s="128">
        <f>IFERROR(__xludf.DUMMYFUNCTION("""COMPUTED_VALUE"""),982.0)</f>
        <v>982</v>
      </c>
      <c r="D171" s="141">
        <f>IFERROR(__xludf.DUMMYFUNCTION("""COMPUTED_VALUE"""),46551.0)</f>
        <v>46551</v>
      </c>
      <c r="E171" s="142">
        <f>IFERROR(__xludf.DUMMYFUNCTION("""COMPUTED_VALUE"""),336.0)</f>
        <v>336</v>
      </c>
      <c r="F171" s="128" t="str">
        <f>IFERROR(__xludf.DUMMYFUNCTION("""COMPUTED_VALUE"""),"BNQ233")</f>
        <v>BNQ233</v>
      </c>
      <c r="G171" s="128" t="str">
        <f>IFERROR(__xludf.DUMMYFUNCTION("""COMPUTED_VALUE"""),"02-Medellin")</f>
        <v>02-Medellin</v>
      </c>
      <c r="I171" s="103"/>
      <c r="J171" s="103"/>
      <c r="K171" s="103"/>
      <c r="L171" s="103"/>
      <c r="M171" s="103"/>
      <c r="N171" s="103"/>
      <c r="O171" s="103"/>
      <c r="P171" s="103"/>
    </row>
    <row r="172">
      <c r="A172" s="8"/>
      <c r="B172" s="128">
        <f>IFERROR(__xludf.DUMMYFUNCTION("""COMPUTED_VALUE"""),169.0)</f>
        <v>169</v>
      </c>
      <c r="C172" s="128">
        <f>IFERROR(__xludf.DUMMYFUNCTION("""COMPUTED_VALUE"""),2492.0)</f>
        <v>2492</v>
      </c>
      <c r="D172" s="141">
        <f>IFERROR(__xludf.DUMMYFUNCTION("""COMPUTED_VALUE"""),46555.0)</f>
        <v>46555</v>
      </c>
      <c r="E172" s="142">
        <f>IFERROR(__xludf.DUMMYFUNCTION("""COMPUTED_VALUE"""),340.0)</f>
        <v>340</v>
      </c>
      <c r="F172" s="128" t="str">
        <f>IFERROR(__xludf.DUMMYFUNCTION("""COMPUTED_VALUE"""),"WLY739")</f>
        <v>WLY739</v>
      </c>
      <c r="G172" s="128" t="str">
        <f>IFERROR(__xludf.DUMMYFUNCTION("""COMPUTED_VALUE"""),"02-Medellin")</f>
        <v>02-Medellin</v>
      </c>
      <c r="I172" s="103"/>
      <c r="J172" s="103"/>
      <c r="K172" s="103"/>
      <c r="L172" s="103"/>
      <c r="M172" s="103"/>
      <c r="N172" s="103"/>
      <c r="O172" s="103"/>
      <c r="P172" s="103"/>
    </row>
    <row r="173">
      <c r="A173" s="8"/>
      <c r="B173" s="128">
        <f>IFERROR(__xludf.DUMMYFUNCTION("""COMPUTED_VALUE"""),170.0)</f>
        <v>170</v>
      </c>
      <c r="C173" s="128">
        <f>IFERROR(__xludf.DUMMYFUNCTION("""COMPUTED_VALUE"""),2436.0)</f>
        <v>2436</v>
      </c>
      <c r="D173" s="141">
        <f>IFERROR(__xludf.DUMMYFUNCTION("""COMPUTED_VALUE"""),46558.0)</f>
        <v>46558</v>
      </c>
      <c r="E173" s="142">
        <f>IFERROR(__xludf.DUMMYFUNCTION("""COMPUTED_VALUE"""),343.0)</f>
        <v>343</v>
      </c>
      <c r="F173" s="128" t="str">
        <f>IFERROR(__xludf.DUMMYFUNCTION("""COMPUTED_VALUE"""),"TRN384")</f>
        <v>TRN384</v>
      </c>
      <c r="G173" s="128" t="str">
        <f>IFERROR(__xludf.DUMMYFUNCTION("""COMPUTED_VALUE"""),"02-Medellin")</f>
        <v>02-Medellin</v>
      </c>
      <c r="I173" s="103"/>
      <c r="J173" s="103"/>
      <c r="K173" s="103"/>
      <c r="L173" s="103"/>
      <c r="M173" s="103"/>
      <c r="N173" s="103"/>
      <c r="O173" s="103"/>
      <c r="P173" s="103"/>
    </row>
    <row r="174">
      <c r="A174" s="8"/>
      <c r="B174" s="128">
        <f>IFERROR(__xludf.DUMMYFUNCTION("""COMPUTED_VALUE"""),171.0)</f>
        <v>171</v>
      </c>
      <c r="C174" s="128">
        <f>IFERROR(__xludf.DUMMYFUNCTION("""COMPUTED_VALUE"""),2847.0)</f>
        <v>2847</v>
      </c>
      <c r="D174" s="141">
        <f>IFERROR(__xludf.DUMMYFUNCTION("""COMPUTED_VALUE"""),46559.0)</f>
        <v>46559</v>
      </c>
      <c r="E174" s="142">
        <f>IFERROR(__xludf.DUMMYFUNCTION("""COMPUTED_VALUE"""),344.0)</f>
        <v>344</v>
      </c>
      <c r="F174" s="128" t="str">
        <f>IFERROR(__xludf.DUMMYFUNCTION("""COMPUTED_VALUE"""),"NNZ258")</f>
        <v>NNZ258</v>
      </c>
      <c r="G174" s="128" t="str">
        <f>IFERROR(__xludf.DUMMYFUNCTION("""COMPUTED_VALUE"""),"31-Copacabana")</f>
        <v>31-Copacabana</v>
      </c>
      <c r="I174" s="103"/>
      <c r="J174" s="103"/>
      <c r="K174" s="103"/>
      <c r="L174" s="103"/>
      <c r="M174" s="103"/>
      <c r="N174" s="103"/>
      <c r="O174" s="103"/>
      <c r="P174" s="103"/>
    </row>
    <row r="175">
      <c r="A175" s="8"/>
      <c r="B175" s="128">
        <f>IFERROR(__xludf.DUMMYFUNCTION("""COMPUTED_VALUE"""),172.0)</f>
        <v>172</v>
      </c>
      <c r="C175" s="128">
        <f>IFERROR(__xludf.DUMMYFUNCTION("""COMPUTED_VALUE"""),2393.0)</f>
        <v>2393</v>
      </c>
      <c r="D175" s="141">
        <f>IFERROR(__xludf.DUMMYFUNCTION("""COMPUTED_VALUE"""),46559.0)</f>
        <v>46559</v>
      </c>
      <c r="E175" s="142">
        <f>IFERROR(__xludf.DUMMYFUNCTION("""COMPUTED_VALUE"""),344.0)</f>
        <v>344</v>
      </c>
      <c r="F175" s="128" t="str">
        <f>IFERROR(__xludf.DUMMYFUNCTION("""COMPUTED_VALUE"""),"TRN190")</f>
        <v>TRN190</v>
      </c>
      <c r="G175" s="128" t="str">
        <f>IFERROR(__xludf.DUMMYFUNCTION("""COMPUTED_VALUE"""),"MAYORCA")</f>
        <v>MAYORCA</v>
      </c>
      <c r="I175" s="103"/>
      <c r="J175" s="103"/>
      <c r="K175" s="103"/>
      <c r="L175" s="103"/>
      <c r="M175" s="103"/>
      <c r="N175" s="103"/>
      <c r="O175" s="103"/>
      <c r="P175" s="103"/>
    </row>
    <row r="176">
      <c r="A176" s="8"/>
      <c r="B176" s="128">
        <f>IFERROR(__xludf.DUMMYFUNCTION("""COMPUTED_VALUE"""),173.0)</f>
        <v>173</v>
      </c>
      <c r="C176" s="128">
        <f>IFERROR(__xludf.DUMMYFUNCTION("""COMPUTED_VALUE"""),2848.0)</f>
        <v>2848</v>
      </c>
      <c r="D176" s="141">
        <f>IFERROR(__xludf.DUMMYFUNCTION("""COMPUTED_VALUE"""),46561.0)</f>
        <v>46561</v>
      </c>
      <c r="E176" s="142">
        <f>IFERROR(__xludf.DUMMYFUNCTION("""COMPUTED_VALUE"""),346.0)</f>
        <v>346</v>
      </c>
      <c r="F176" s="128" t="str">
        <f>IFERROR(__xludf.DUMMYFUNCTION("""COMPUTED_VALUE"""),"NNZ259")</f>
        <v>NNZ259</v>
      </c>
      <c r="G176" s="128" t="str">
        <f>IFERROR(__xludf.DUMMYFUNCTION("""COMPUTED_VALUE"""),"02-Medellin")</f>
        <v>02-Medellin</v>
      </c>
      <c r="I176" s="103"/>
      <c r="J176" s="103"/>
      <c r="K176" s="103"/>
      <c r="L176" s="103"/>
      <c r="M176" s="103"/>
      <c r="N176" s="103"/>
      <c r="O176" s="103"/>
      <c r="P176" s="103"/>
    </row>
    <row r="177">
      <c r="A177" s="8"/>
      <c r="B177" s="128">
        <f>IFERROR(__xludf.DUMMYFUNCTION("""COMPUTED_VALUE"""),174.0)</f>
        <v>174</v>
      </c>
      <c r="C177" s="128">
        <f>IFERROR(__xludf.DUMMYFUNCTION("""COMPUTED_VALUE"""),2846.0)</f>
        <v>2846</v>
      </c>
      <c r="D177" s="141">
        <f>IFERROR(__xludf.DUMMYFUNCTION("""COMPUTED_VALUE"""),46561.0)</f>
        <v>46561</v>
      </c>
      <c r="E177" s="142">
        <f>IFERROR(__xludf.DUMMYFUNCTION("""COMPUTED_VALUE"""),346.0)</f>
        <v>346</v>
      </c>
      <c r="F177" s="128" t="str">
        <f>IFERROR(__xludf.DUMMYFUNCTION("""COMPUTED_VALUE"""),"NNZ257")</f>
        <v>NNZ257</v>
      </c>
      <c r="G177" s="128" t="str">
        <f>IFERROR(__xludf.DUMMYFUNCTION("""COMPUTED_VALUE"""),"38-La ceja")</f>
        <v>38-La ceja</v>
      </c>
      <c r="I177" s="103"/>
      <c r="J177" s="103"/>
      <c r="K177" s="103"/>
      <c r="L177" s="103"/>
      <c r="M177" s="103"/>
      <c r="N177" s="103"/>
      <c r="O177" s="103"/>
      <c r="P177" s="103"/>
    </row>
    <row r="178">
      <c r="A178" s="8"/>
      <c r="B178" s="128">
        <f>IFERROR(__xludf.DUMMYFUNCTION("""COMPUTED_VALUE"""),175.0)</f>
        <v>175</v>
      </c>
      <c r="C178" s="128">
        <f>IFERROR(__xludf.DUMMYFUNCTION("""COMPUTED_VALUE"""),2845.0)</f>
        <v>2845</v>
      </c>
      <c r="D178" s="141">
        <f>IFERROR(__xludf.DUMMYFUNCTION("""COMPUTED_VALUE"""),46561.0)</f>
        <v>46561</v>
      </c>
      <c r="E178" s="142">
        <f>IFERROR(__xludf.DUMMYFUNCTION("""COMPUTED_VALUE"""),346.0)</f>
        <v>346</v>
      </c>
      <c r="F178" s="128" t="str">
        <f>IFERROR(__xludf.DUMMYFUNCTION("""COMPUTED_VALUE"""),"NNZ256")</f>
        <v>NNZ256</v>
      </c>
      <c r="G178" s="128" t="str">
        <f>IFERROR(__xludf.DUMMYFUNCTION("""COMPUTED_VALUE"""),"02-Medellin")</f>
        <v>02-Medellin</v>
      </c>
      <c r="I178" s="103"/>
      <c r="J178" s="103"/>
      <c r="K178" s="103"/>
      <c r="L178" s="103"/>
      <c r="M178" s="103"/>
      <c r="N178" s="103"/>
      <c r="O178" s="103"/>
      <c r="P178" s="103"/>
    </row>
    <row r="179">
      <c r="A179" s="8"/>
      <c r="B179" s="128">
        <f>IFERROR(__xludf.DUMMYFUNCTION("""COMPUTED_VALUE"""),176.0)</f>
        <v>176</v>
      </c>
      <c r="C179" s="128">
        <f>IFERROR(__xludf.DUMMYFUNCTION("""COMPUTED_VALUE"""),2844.0)</f>
        <v>2844</v>
      </c>
      <c r="D179" s="141">
        <f>IFERROR(__xludf.DUMMYFUNCTION("""COMPUTED_VALUE"""),46562.0)</f>
        <v>46562</v>
      </c>
      <c r="E179" s="142">
        <f>IFERROR(__xludf.DUMMYFUNCTION("""COMPUTED_VALUE"""),347.0)</f>
        <v>347</v>
      </c>
      <c r="F179" s="128" t="str">
        <f>IFERROR(__xludf.DUMMYFUNCTION("""COMPUTED_VALUE"""),"NNZ254")</f>
        <v>NNZ254</v>
      </c>
      <c r="G179" s="128" t="str">
        <f>IFERROR(__xludf.DUMMYFUNCTION("""COMPUTED_VALUE"""),"02-Medellin")</f>
        <v>02-Medellin</v>
      </c>
      <c r="I179" s="103"/>
      <c r="J179" s="103"/>
      <c r="K179" s="103"/>
      <c r="L179" s="103"/>
      <c r="M179" s="103"/>
      <c r="N179" s="103"/>
      <c r="O179" s="103"/>
      <c r="P179" s="103"/>
    </row>
    <row r="180">
      <c r="A180" s="8"/>
      <c r="B180" s="128">
        <f>IFERROR(__xludf.DUMMYFUNCTION("""COMPUTED_VALUE"""),177.0)</f>
        <v>177</v>
      </c>
      <c r="C180" s="128">
        <f>IFERROR(__xludf.DUMMYFUNCTION("""COMPUTED_VALUE"""),2843.0)</f>
        <v>2843</v>
      </c>
      <c r="D180" s="141">
        <f>IFERROR(__xludf.DUMMYFUNCTION("""COMPUTED_VALUE"""),46562.0)</f>
        <v>46562</v>
      </c>
      <c r="E180" s="142">
        <f>IFERROR(__xludf.DUMMYFUNCTION("""COMPUTED_VALUE"""),347.0)</f>
        <v>347</v>
      </c>
      <c r="F180" s="128" t="str">
        <f>IFERROR(__xludf.DUMMYFUNCTION("""COMPUTED_VALUE"""),"NNZ253")</f>
        <v>NNZ253</v>
      </c>
      <c r="G180" s="128" t="str">
        <f>IFERROR(__xludf.DUMMYFUNCTION("""COMPUTED_VALUE"""),"31-Copacabana")</f>
        <v>31-Copacabana</v>
      </c>
      <c r="I180" s="103"/>
      <c r="J180" s="103"/>
      <c r="K180" s="103"/>
      <c r="L180" s="103"/>
      <c r="M180" s="103"/>
      <c r="N180" s="103"/>
      <c r="O180" s="103"/>
      <c r="P180" s="103"/>
    </row>
    <row r="181">
      <c r="A181" s="8"/>
      <c r="B181" s="128">
        <f>IFERROR(__xludf.DUMMYFUNCTION("""COMPUTED_VALUE"""),178.0)</f>
        <v>178</v>
      </c>
      <c r="C181" s="128">
        <f>IFERROR(__xludf.DUMMYFUNCTION("""COMPUTED_VALUE"""),2842.0)</f>
        <v>2842</v>
      </c>
      <c r="D181" s="141">
        <f>IFERROR(__xludf.DUMMYFUNCTION("""COMPUTED_VALUE"""),46562.0)</f>
        <v>46562</v>
      </c>
      <c r="E181" s="142">
        <f>IFERROR(__xludf.DUMMYFUNCTION("""COMPUTED_VALUE"""),347.0)</f>
        <v>347</v>
      </c>
      <c r="F181" s="128" t="str">
        <f>IFERROR(__xludf.DUMMYFUNCTION("""COMPUTED_VALUE"""),"NNZ251")</f>
        <v>NNZ251</v>
      </c>
      <c r="G181" s="128" t="str">
        <f>IFERROR(__xludf.DUMMYFUNCTION("""COMPUTED_VALUE"""),"24-Rionegro")</f>
        <v>24-Rionegro</v>
      </c>
      <c r="I181" s="103"/>
      <c r="J181" s="103"/>
      <c r="K181" s="103"/>
      <c r="L181" s="103"/>
      <c r="M181" s="103"/>
      <c r="N181" s="103"/>
      <c r="O181" s="103"/>
      <c r="P181" s="103"/>
    </row>
    <row r="182">
      <c r="A182" s="8"/>
      <c r="B182" s="128">
        <f>IFERROR(__xludf.DUMMYFUNCTION("""COMPUTED_VALUE"""),179.0)</f>
        <v>179</v>
      </c>
      <c r="C182" s="128">
        <f>IFERROR(__xludf.DUMMYFUNCTION("""COMPUTED_VALUE"""),1798.0)</f>
        <v>1798</v>
      </c>
      <c r="D182" s="141">
        <f>IFERROR(__xludf.DUMMYFUNCTION("""COMPUTED_VALUE"""),46565.0)</f>
        <v>46565</v>
      </c>
      <c r="E182" s="142">
        <f>IFERROR(__xludf.DUMMYFUNCTION("""COMPUTED_VALUE"""),350.0)</f>
        <v>350</v>
      </c>
      <c r="F182" s="128" t="str">
        <f>IFERROR(__xludf.DUMMYFUNCTION("""COMPUTED_VALUE"""),"WLY678")</f>
        <v>WLY678</v>
      </c>
      <c r="G182" s="128" t="str">
        <f>IFERROR(__xludf.DUMMYFUNCTION("""COMPUTED_VALUE"""),"02-Medellin")</f>
        <v>02-Medellin</v>
      </c>
      <c r="I182" s="103"/>
      <c r="J182" s="103"/>
      <c r="K182" s="103"/>
      <c r="L182" s="103"/>
      <c r="M182" s="103"/>
      <c r="N182" s="103"/>
      <c r="O182" s="103"/>
      <c r="P182" s="103"/>
    </row>
    <row r="183">
      <c r="A183" s="8"/>
      <c r="B183" s="128">
        <f>IFERROR(__xludf.DUMMYFUNCTION("""COMPUTED_VALUE"""),180.0)</f>
        <v>180</v>
      </c>
      <c r="C183" s="128">
        <f>IFERROR(__xludf.DUMMYFUNCTION("""COMPUTED_VALUE"""),2851.0)</f>
        <v>2851</v>
      </c>
      <c r="D183" s="141">
        <f>IFERROR(__xludf.DUMMYFUNCTION("""COMPUTED_VALUE"""),46569.0)</f>
        <v>46569</v>
      </c>
      <c r="E183" s="142">
        <f>IFERROR(__xludf.DUMMYFUNCTION("""COMPUTED_VALUE"""),354.0)</f>
        <v>354</v>
      </c>
      <c r="F183" s="128" t="str">
        <f>IFERROR(__xludf.DUMMYFUNCTION("""COMPUTED_VALUE"""),"NNZ264")</f>
        <v>NNZ264</v>
      </c>
      <c r="G183" s="128" t="str">
        <f>IFERROR(__xludf.DUMMYFUNCTION("""COMPUTED_VALUE"""),"02-Medellin")</f>
        <v>02-Medellin</v>
      </c>
      <c r="I183" s="103"/>
      <c r="J183" s="103"/>
      <c r="K183" s="103"/>
      <c r="L183" s="103"/>
      <c r="M183" s="103"/>
      <c r="N183" s="103"/>
      <c r="O183" s="103"/>
      <c r="P183" s="103"/>
    </row>
    <row r="184">
      <c r="A184" s="8"/>
      <c r="B184" s="128">
        <f>IFERROR(__xludf.DUMMYFUNCTION("""COMPUTED_VALUE"""),181.0)</f>
        <v>181</v>
      </c>
      <c r="C184" s="128">
        <f>IFERROR(__xludf.DUMMYFUNCTION("""COMPUTED_VALUE"""),2850.0)</f>
        <v>2850</v>
      </c>
      <c r="D184" s="141">
        <f>IFERROR(__xludf.DUMMYFUNCTION("""COMPUTED_VALUE"""),46570.0)</f>
        <v>46570</v>
      </c>
      <c r="E184" s="142">
        <f>IFERROR(__xludf.DUMMYFUNCTION("""COMPUTED_VALUE"""),355.0)</f>
        <v>355</v>
      </c>
      <c r="F184" s="128" t="str">
        <f>IFERROR(__xludf.DUMMYFUNCTION("""COMPUTED_VALUE"""),"NNZ262")</f>
        <v>NNZ262</v>
      </c>
      <c r="G184" s="128" t="str">
        <f>IFERROR(__xludf.DUMMYFUNCTION("""COMPUTED_VALUE"""),"MAYORCA")</f>
        <v>MAYORCA</v>
      </c>
      <c r="I184" s="103"/>
      <c r="J184" s="103"/>
      <c r="K184" s="103"/>
      <c r="L184" s="103"/>
      <c r="M184" s="103"/>
      <c r="N184" s="103"/>
      <c r="O184" s="103"/>
      <c r="P184" s="103"/>
    </row>
    <row r="185">
      <c r="A185" s="8"/>
      <c r="B185" s="128">
        <f>IFERROR(__xludf.DUMMYFUNCTION("""COMPUTED_VALUE"""),182.0)</f>
        <v>182</v>
      </c>
      <c r="C185" s="128">
        <f>IFERROR(__xludf.DUMMYFUNCTION("""COMPUTED_VALUE"""),2849.0)</f>
        <v>2849</v>
      </c>
      <c r="D185" s="141">
        <f>IFERROR(__xludf.DUMMYFUNCTION("""COMPUTED_VALUE"""),46570.0)</f>
        <v>46570</v>
      </c>
      <c r="E185" s="142">
        <f>IFERROR(__xludf.DUMMYFUNCTION("""COMPUTED_VALUE"""),355.0)</f>
        <v>355</v>
      </c>
      <c r="F185" s="128" t="str">
        <f>IFERROR(__xludf.DUMMYFUNCTION("""COMPUTED_VALUE"""),"NNZ261")</f>
        <v>NNZ261</v>
      </c>
      <c r="G185" s="128" t="str">
        <f>IFERROR(__xludf.DUMMYFUNCTION("""COMPUTED_VALUE"""),"24-Rionegro")</f>
        <v>24-Rionegro</v>
      </c>
      <c r="I185" s="103"/>
      <c r="J185" s="103"/>
      <c r="K185" s="103"/>
      <c r="L185" s="103"/>
      <c r="M185" s="103"/>
      <c r="N185" s="103"/>
      <c r="O185" s="103"/>
      <c r="P185" s="103"/>
    </row>
    <row r="186">
      <c r="A186" s="8"/>
      <c r="B186" s="128">
        <f>IFERROR(__xludf.DUMMYFUNCTION("""COMPUTED_VALUE"""),183.0)</f>
        <v>183</v>
      </c>
      <c r="C186" s="128">
        <f>IFERROR(__xludf.DUMMYFUNCTION("""COMPUTED_VALUE"""),2230.0)</f>
        <v>2230</v>
      </c>
      <c r="D186" s="141">
        <f>IFERROR(__xludf.DUMMYFUNCTION("""COMPUTED_VALUE"""),46570.0)</f>
        <v>46570</v>
      </c>
      <c r="E186" s="142">
        <f>IFERROR(__xludf.DUMMYFUNCTION("""COMPUTED_VALUE"""),355.0)</f>
        <v>355</v>
      </c>
      <c r="F186" s="128" t="str">
        <f>IFERROR(__xludf.DUMMYFUNCTION("""COMPUTED_VALUE"""),"TRH260")</f>
        <v>TRH260</v>
      </c>
      <c r="G186" s="128" t="str">
        <f>IFERROR(__xludf.DUMMYFUNCTION("""COMPUTED_VALUE"""),"02-Medellin")</f>
        <v>02-Medellin</v>
      </c>
      <c r="I186" s="103"/>
      <c r="J186" s="103"/>
      <c r="K186" s="103"/>
      <c r="L186" s="103"/>
      <c r="M186" s="103"/>
      <c r="N186" s="103"/>
      <c r="O186" s="103"/>
      <c r="P186" s="103"/>
    </row>
    <row r="187">
      <c r="A187" s="8"/>
      <c r="B187" s="128">
        <f>IFERROR(__xludf.DUMMYFUNCTION("""COMPUTED_VALUE"""),184.0)</f>
        <v>184</v>
      </c>
      <c r="C187" s="128">
        <f>IFERROR(__xludf.DUMMYFUNCTION("""COMPUTED_VALUE"""),2432.0)</f>
        <v>2432</v>
      </c>
      <c r="D187" s="141">
        <f>IFERROR(__xludf.DUMMYFUNCTION("""COMPUTED_VALUE"""),46571.0)</f>
        <v>46571</v>
      </c>
      <c r="E187" s="142">
        <f>IFERROR(__xludf.DUMMYFUNCTION("""COMPUTED_VALUE"""),356.0)</f>
        <v>356</v>
      </c>
      <c r="F187" s="128" t="str">
        <f>IFERROR(__xludf.DUMMYFUNCTION("""COMPUTED_VALUE"""),"TRN379")</f>
        <v>TRN379</v>
      </c>
      <c r="G187" s="128" t="str">
        <f>IFERROR(__xludf.DUMMYFUNCTION("""COMPUTED_VALUE"""),"02-Medellin")</f>
        <v>02-Medellin</v>
      </c>
      <c r="I187" s="103"/>
      <c r="J187" s="103"/>
      <c r="K187" s="103"/>
      <c r="L187" s="103"/>
      <c r="M187" s="103"/>
      <c r="N187" s="103"/>
      <c r="O187" s="103"/>
      <c r="P187" s="103"/>
    </row>
    <row r="188">
      <c r="A188" s="8"/>
      <c r="B188" s="128">
        <f>IFERROR(__xludf.DUMMYFUNCTION("""COMPUTED_VALUE"""),185.0)</f>
        <v>185</v>
      </c>
      <c r="C188" s="128">
        <f>IFERROR(__xludf.DUMMYFUNCTION("""COMPUTED_VALUE"""),2384.0)</f>
        <v>2384</v>
      </c>
      <c r="D188" s="141">
        <f>IFERROR(__xludf.DUMMYFUNCTION("""COMPUTED_VALUE"""),46571.0)</f>
        <v>46571</v>
      </c>
      <c r="E188" s="142">
        <f>IFERROR(__xludf.DUMMYFUNCTION("""COMPUTED_VALUE"""),356.0)</f>
        <v>356</v>
      </c>
      <c r="F188" s="128" t="str">
        <f>IFERROR(__xludf.DUMMYFUNCTION("""COMPUTED_VALUE"""),"TRN181")</f>
        <v>TRN181</v>
      </c>
      <c r="G188" s="128" t="str">
        <f>IFERROR(__xludf.DUMMYFUNCTION("""COMPUTED_VALUE"""),"02-Medellin")</f>
        <v>02-Medellin</v>
      </c>
      <c r="I188" s="103"/>
      <c r="J188" s="103"/>
      <c r="K188" s="103"/>
      <c r="L188" s="103"/>
      <c r="M188" s="103"/>
      <c r="N188" s="103"/>
      <c r="O188" s="103"/>
      <c r="P188" s="103"/>
    </row>
    <row r="189">
      <c r="A189" s="8"/>
      <c r="B189" s="128">
        <f>IFERROR(__xludf.DUMMYFUNCTION("""COMPUTED_VALUE"""),186.0)</f>
        <v>186</v>
      </c>
      <c r="C189" s="128">
        <f>IFERROR(__xludf.DUMMYFUNCTION("""COMPUTED_VALUE"""),2339.0)</f>
        <v>2339</v>
      </c>
      <c r="D189" s="141">
        <f>IFERROR(__xludf.DUMMYFUNCTION("""COMPUTED_VALUE"""),46572.0)</f>
        <v>46572</v>
      </c>
      <c r="E189" s="142">
        <f>IFERROR(__xludf.DUMMYFUNCTION("""COMPUTED_VALUE"""),357.0)</f>
        <v>357</v>
      </c>
      <c r="F189" s="128" t="str">
        <f>IFERROR(__xludf.DUMMYFUNCTION("""COMPUTED_VALUE"""),"TRL860")</f>
        <v>TRL860</v>
      </c>
      <c r="G189" s="128" t="str">
        <f>IFERROR(__xludf.DUMMYFUNCTION("""COMPUTED_VALUE"""),"02-Medellin")</f>
        <v>02-Medellin</v>
      </c>
      <c r="I189" s="103"/>
      <c r="J189" s="103"/>
      <c r="K189" s="103"/>
      <c r="L189" s="103"/>
      <c r="M189" s="103"/>
      <c r="N189" s="103"/>
      <c r="O189" s="103"/>
      <c r="P189" s="103"/>
    </row>
    <row r="190">
      <c r="A190" s="8"/>
      <c r="B190" s="128">
        <f>IFERROR(__xludf.DUMMYFUNCTION("""COMPUTED_VALUE"""),187.0)</f>
        <v>187</v>
      </c>
      <c r="C190" s="128">
        <f>IFERROR(__xludf.DUMMYFUNCTION("""COMPUTED_VALUE"""),2855.0)</f>
        <v>2855</v>
      </c>
      <c r="D190" s="141">
        <f>IFERROR(__xludf.DUMMYFUNCTION("""COMPUTED_VALUE"""),46575.0)</f>
        <v>46575</v>
      </c>
      <c r="E190" s="142">
        <f>IFERROR(__xludf.DUMMYFUNCTION("""COMPUTED_VALUE"""),360.0)</f>
        <v>360</v>
      </c>
      <c r="F190" s="128" t="str">
        <f>IFERROR(__xludf.DUMMYFUNCTION("""COMPUTED_VALUE"""),"NNZ265")</f>
        <v>NNZ265</v>
      </c>
      <c r="G190" s="128" t="str">
        <f>IFERROR(__xludf.DUMMYFUNCTION("""COMPUTED_VALUE"""),"02-Medellin")</f>
        <v>02-Medellin</v>
      </c>
      <c r="I190" s="103"/>
      <c r="J190" s="103"/>
      <c r="K190" s="103"/>
      <c r="L190" s="103"/>
      <c r="M190" s="103"/>
      <c r="N190" s="103"/>
      <c r="O190" s="103"/>
      <c r="P190" s="103"/>
    </row>
    <row r="191">
      <c r="A191" s="8"/>
      <c r="B191" s="128">
        <f>IFERROR(__xludf.DUMMYFUNCTION("""COMPUTED_VALUE"""),188.0)</f>
        <v>188</v>
      </c>
      <c r="C191" s="128">
        <f>IFERROR(__xludf.DUMMYFUNCTION("""COMPUTED_VALUE"""),2854.0)</f>
        <v>2854</v>
      </c>
      <c r="D191" s="141">
        <f>IFERROR(__xludf.DUMMYFUNCTION("""COMPUTED_VALUE"""),46575.0)</f>
        <v>46575</v>
      </c>
      <c r="E191" s="142">
        <f>IFERROR(__xludf.DUMMYFUNCTION("""COMPUTED_VALUE"""),360.0)</f>
        <v>360</v>
      </c>
      <c r="F191" s="128" t="str">
        <f>IFERROR(__xludf.DUMMYFUNCTION("""COMPUTED_VALUE"""),"NNZ270")</f>
        <v>NNZ270</v>
      </c>
      <c r="G191" s="128" t="str">
        <f>IFERROR(__xludf.DUMMYFUNCTION("""COMPUTED_VALUE"""),"02-Medellin")</f>
        <v>02-Medellin</v>
      </c>
      <c r="I191" s="103"/>
      <c r="J191" s="103"/>
      <c r="K191" s="103"/>
      <c r="L191" s="103"/>
      <c r="M191" s="103"/>
      <c r="N191" s="103"/>
      <c r="O191" s="103"/>
      <c r="P191" s="103"/>
    </row>
    <row r="192">
      <c r="A192" s="8"/>
      <c r="B192" s="128">
        <f>IFERROR(__xludf.DUMMYFUNCTION("""COMPUTED_VALUE"""),189.0)</f>
        <v>189</v>
      </c>
      <c r="C192" s="128">
        <f>IFERROR(__xludf.DUMMYFUNCTION("""COMPUTED_VALUE"""),2853.0)</f>
        <v>2853</v>
      </c>
      <c r="D192" s="141">
        <f>IFERROR(__xludf.DUMMYFUNCTION("""COMPUTED_VALUE"""),46576.0)</f>
        <v>46576</v>
      </c>
      <c r="E192" s="142">
        <f>IFERROR(__xludf.DUMMYFUNCTION("""COMPUTED_VALUE"""),361.0)</f>
        <v>361</v>
      </c>
      <c r="F192" s="128" t="str">
        <f>IFERROR(__xludf.DUMMYFUNCTION("""COMPUTED_VALUE"""),"NNZ269")</f>
        <v>NNZ269</v>
      </c>
      <c r="G192" s="128" t="str">
        <f>IFERROR(__xludf.DUMMYFUNCTION("""COMPUTED_VALUE"""),"BULTOS")</f>
        <v>BULTOS</v>
      </c>
      <c r="I192" s="103"/>
      <c r="J192" s="103"/>
      <c r="K192" s="103"/>
      <c r="L192" s="103"/>
      <c r="M192" s="103"/>
      <c r="N192" s="103"/>
      <c r="O192" s="103"/>
      <c r="P192" s="103"/>
    </row>
    <row r="193">
      <c r="A193" s="8"/>
      <c r="B193" s="128">
        <f>IFERROR(__xludf.DUMMYFUNCTION("""COMPUTED_VALUE"""),190.0)</f>
        <v>190</v>
      </c>
      <c r="C193" s="128">
        <f>IFERROR(__xludf.DUMMYFUNCTION("""COMPUTED_VALUE"""),2852.0)</f>
        <v>2852</v>
      </c>
      <c r="D193" s="141">
        <f>IFERROR(__xludf.DUMMYFUNCTION("""COMPUTED_VALUE"""),46576.0)</f>
        <v>46576</v>
      </c>
      <c r="E193" s="142">
        <f>IFERROR(__xludf.DUMMYFUNCTION("""COMPUTED_VALUE"""),361.0)</f>
        <v>361</v>
      </c>
      <c r="F193" s="128" t="str">
        <f>IFERROR(__xludf.DUMMYFUNCTION("""COMPUTED_VALUE"""),"NNZ268")</f>
        <v>NNZ268</v>
      </c>
      <c r="G193" s="128" t="str">
        <f>IFERROR(__xludf.DUMMYFUNCTION("""COMPUTED_VALUE"""),"24-Rionegro")</f>
        <v>24-Rionegro</v>
      </c>
      <c r="I193" s="103"/>
      <c r="J193" s="103"/>
      <c r="K193" s="103"/>
      <c r="L193" s="103"/>
      <c r="M193" s="103"/>
      <c r="N193" s="103"/>
      <c r="O193" s="103"/>
      <c r="P193" s="103"/>
    </row>
    <row r="194">
      <c r="A194" s="8"/>
      <c r="B194" s="128">
        <f>IFERROR(__xludf.DUMMYFUNCTION("""COMPUTED_VALUE"""),191.0)</f>
        <v>191</v>
      </c>
      <c r="C194" s="128">
        <f>IFERROR(__xludf.DUMMYFUNCTION("""COMPUTED_VALUE"""),3210.0)</f>
        <v>3210</v>
      </c>
      <c r="D194" s="141">
        <f>IFERROR(__xludf.DUMMYFUNCTION("""COMPUTED_VALUE"""),46648.0)</f>
        <v>46648</v>
      </c>
      <c r="E194" s="142">
        <f>IFERROR(__xludf.DUMMYFUNCTION("""COMPUTED_VALUE"""),433.0)</f>
        <v>433</v>
      </c>
      <c r="F194" s="128" t="str">
        <f>IFERROR(__xludf.DUMMYFUNCTION("""COMPUTED_VALUE"""),"PVS567")</f>
        <v>PVS567</v>
      </c>
      <c r="G194" s="128" t="str">
        <f>IFERROR(__xludf.DUMMYFUNCTION("""COMPUTED_VALUE"""),"02-Medellin")</f>
        <v>02-Medellin</v>
      </c>
      <c r="I194" s="103"/>
      <c r="J194" s="103"/>
      <c r="K194" s="103"/>
      <c r="L194" s="103"/>
      <c r="M194" s="103"/>
      <c r="N194" s="103"/>
      <c r="O194" s="103"/>
      <c r="P194" s="103"/>
    </row>
    <row r="195">
      <c r="A195" s="8"/>
      <c r="B195" s="128">
        <f>IFERROR(__xludf.DUMMYFUNCTION("""COMPUTED_VALUE"""),192.0)</f>
        <v>192</v>
      </c>
      <c r="C195" s="128">
        <f>IFERROR(__xludf.DUMMYFUNCTION("""COMPUTED_VALUE"""),3202.0)</f>
        <v>3202</v>
      </c>
      <c r="D195" s="141">
        <f>IFERROR(__xludf.DUMMYFUNCTION("""COMPUTED_VALUE"""),46653.0)</f>
        <v>46653</v>
      </c>
      <c r="E195" s="142">
        <f>IFERROR(__xludf.DUMMYFUNCTION("""COMPUTED_VALUE"""),438.0)</f>
        <v>438</v>
      </c>
      <c r="F195" s="128" t="str">
        <f>IFERROR(__xludf.DUMMYFUNCTION("""COMPUTED_VALUE"""),"PVS559")</f>
        <v>PVS559</v>
      </c>
      <c r="G195" s="128" t="str">
        <f>IFERROR(__xludf.DUMMYFUNCTION("""COMPUTED_VALUE"""),"02-Medellin")</f>
        <v>02-Medellin</v>
      </c>
      <c r="I195" s="103"/>
      <c r="J195" s="103"/>
      <c r="K195" s="103"/>
      <c r="L195" s="103"/>
      <c r="M195" s="103"/>
      <c r="N195" s="103"/>
      <c r="O195" s="103"/>
      <c r="P195" s="103"/>
    </row>
    <row r="196">
      <c r="A196" s="8"/>
      <c r="B196" s="128">
        <f>IFERROR(__xludf.DUMMYFUNCTION("""COMPUTED_VALUE"""),193.0)</f>
        <v>193</v>
      </c>
      <c r="C196" s="128">
        <f>IFERROR(__xludf.DUMMYFUNCTION("""COMPUTED_VALUE"""),3197.0)</f>
        <v>3197</v>
      </c>
      <c r="D196" s="141">
        <f>IFERROR(__xludf.DUMMYFUNCTION("""COMPUTED_VALUE"""),46653.0)</f>
        <v>46653</v>
      </c>
      <c r="E196" s="142">
        <f>IFERROR(__xludf.DUMMYFUNCTION("""COMPUTED_VALUE"""),438.0)</f>
        <v>438</v>
      </c>
      <c r="F196" s="128" t="str">
        <f>IFERROR(__xludf.DUMMYFUNCTION("""COMPUTED_VALUE"""),"PVS554")</f>
        <v>PVS554</v>
      </c>
      <c r="G196" s="128" t="str">
        <f>IFERROR(__xludf.DUMMYFUNCTION("""COMPUTED_VALUE"""),"02-Medellin")</f>
        <v>02-Medellin</v>
      </c>
      <c r="I196" s="103"/>
      <c r="J196" s="103"/>
      <c r="K196" s="103"/>
      <c r="L196" s="103"/>
      <c r="M196" s="103"/>
      <c r="N196" s="103"/>
      <c r="O196" s="103"/>
      <c r="P196" s="103"/>
    </row>
    <row r="197">
      <c r="A197" s="8"/>
      <c r="B197" s="128">
        <f>IFERROR(__xludf.DUMMYFUNCTION("""COMPUTED_VALUE"""),194.0)</f>
        <v>194</v>
      </c>
      <c r="C197" s="128">
        <f>IFERROR(__xludf.DUMMYFUNCTION("""COMPUTED_VALUE"""),3219.0)</f>
        <v>3219</v>
      </c>
      <c r="D197" s="141">
        <f>IFERROR(__xludf.DUMMYFUNCTION("""COMPUTED_VALUE"""),46654.0)</f>
        <v>46654</v>
      </c>
      <c r="E197" s="142">
        <f>IFERROR(__xludf.DUMMYFUNCTION("""COMPUTED_VALUE"""),439.0)</f>
        <v>439</v>
      </c>
      <c r="F197" s="128" t="str">
        <f>IFERROR(__xludf.DUMMYFUNCTION("""COMPUTED_VALUE"""),"PVS579")</f>
        <v>PVS579</v>
      </c>
      <c r="G197" s="128" t="str">
        <f>IFERROR(__xludf.DUMMYFUNCTION("""COMPUTED_VALUE"""),"02-Medellin")</f>
        <v>02-Medellin</v>
      </c>
      <c r="I197" s="103"/>
      <c r="J197" s="103"/>
      <c r="K197" s="103"/>
      <c r="L197" s="103"/>
      <c r="M197" s="103"/>
      <c r="N197" s="103"/>
      <c r="O197" s="103"/>
      <c r="P197" s="103"/>
    </row>
    <row r="198">
      <c r="A198" s="8"/>
      <c r="B198" s="128">
        <f>IFERROR(__xludf.DUMMYFUNCTION("""COMPUTED_VALUE"""),195.0)</f>
        <v>195</v>
      </c>
      <c r="C198" s="128">
        <f>IFERROR(__xludf.DUMMYFUNCTION("""COMPUTED_VALUE"""),3216.0)</f>
        <v>3216</v>
      </c>
      <c r="D198" s="141">
        <f>IFERROR(__xludf.DUMMYFUNCTION("""COMPUTED_VALUE"""),46654.0)</f>
        <v>46654</v>
      </c>
      <c r="E198" s="142">
        <f>IFERROR(__xludf.DUMMYFUNCTION("""COMPUTED_VALUE"""),439.0)</f>
        <v>439</v>
      </c>
      <c r="F198" s="128" t="str">
        <f>IFERROR(__xludf.DUMMYFUNCTION("""COMPUTED_VALUE"""),"PVS576")</f>
        <v>PVS576</v>
      </c>
      <c r="G198" s="128" t="str">
        <f>IFERROR(__xludf.DUMMYFUNCTION("""COMPUTED_VALUE"""),"02-Medellin")</f>
        <v>02-Medellin</v>
      </c>
      <c r="I198" s="103"/>
      <c r="J198" s="103"/>
      <c r="K198" s="103"/>
      <c r="L198" s="103"/>
      <c r="M198" s="103"/>
      <c r="N198" s="103"/>
      <c r="O198" s="103"/>
      <c r="P198" s="103"/>
    </row>
    <row r="199">
      <c r="A199" s="8"/>
      <c r="B199" s="128"/>
      <c r="C199" s="128">
        <f>IFERROR(__xludf.DUMMYFUNCTION("""COMPUTED_VALUE"""),3215.0)</f>
        <v>3215</v>
      </c>
      <c r="D199" s="141">
        <f>IFERROR(__xludf.DUMMYFUNCTION("""COMPUTED_VALUE"""),46654.0)</f>
        <v>46654</v>
      </c>
      <c r="E199" s="142">
        <f>IFERROR(__xludf.DUMMYFUNCTION("""COMPUTED_VALUE"""),439.0)</f>
        <v>439</v>
      </c>
      <c r="F199" s="128" t="str">
        <f>IFERROR(__xludf.DUMMYFUNCTION("""COMPUTED_VALUE"""),"PVS575")</f>
        <v>PVS575</v>
      </c>
      <c r="G199" s="128" t="str">
        <f>IFERROR(__xludf.DUMMYFUNCTION("""COMPUTED_VALUE"""),"02-Medellin")</f>
        <v>02-Medellin</v>
      </c>
      <c r="I199" s="103"/>
      <c r="J199" s="103"/>
      <c r="K199" s="103"/>
      <c r="L199" s="103"/>
      <c r="M199" s="103"/>
      <c r="N199" s="103"/>
      <c r="O199" s="103"/>
      <c r="P199" s="103"/>
    </row>
    <row r="200">
      <c r="A200" s="8"/>
      <c r="B200" s="128"/>
      <c r="C200" s="128">
        <f>IFERROR(__xludf.DUMMYFUNCTION("""COMPUTED_VALUE"""),3214.0)</f>
        <v>3214</v>
      </c>
      <c r="D200" s="141">
        <f>IFERROR(__xludf.DUMMYFUNCTION("""COMPUTED_VALUE"""),46654.0)</f>
        <v>46654</v>
      </c>
      <c r="E200" s="142">
        <f>IFERROR(__xludf.DUMMYFUNCTION("""COMPUTED_VALUE"""),439.0)</f>
        <v>439</v>
      </c>
      <c r="F200" s="128" t="str">
        <f>IFERROR(__xludf.DUMMYFUNCTION("""COMPUTED_VALUE"""),"PVS574")</f>
        <v>PVS574</v>
      </c>
      <c r="G200" s="128" t="str">
        <f>IFERROR(__xludf.DUMMYFUNCTION("""COMPUTED_VALUE"""),"02-Medellin")</f>
        <v>02-Medellin</v>
      </c>
      <c r="I200" s="103"/>
      <c r="J200" s="103"/>
      <c r="K200" s="103"/>
      <c r="L200" s="103"/>
      <c r="M200" s="103"/>
      <c r="N200" s="103"/>
      <c r="O200" s="103"/>
      <c r="P200" s="103"/>
    </row>
    <row r="201">
      <c r="A201" s="8"/>
      <c r="B201" s="128"/>
      <c r="C201" s="128">
        <f>IFERROR(__xludf.DUMMYFUNCTION("""COMPUTED_VALUE"""),3213.0)</f>
        <v>3213</v>
      </c>
      <c r="D201" s="141">
        <f>IFERROR(__xludf.DUMMYFUNCTION("""COMPUTED_VALUE"""),46654.0)</f>
        <v>46654</v>
      </c>
      <c r="E201" s="142">
        <f>IFERROR(__xludf.DUMMYFUNCTION("""COMPUTED_VALUE"""),439.0)</f>
        <v>439</v>
      </c>
      <c r="F201" s="128" t="str">
        <f>IFERROR(__xludf.DUMMYFUNCTION("""COMPUTED_VALUE"""),"PVS573")</f>
        <v>PVS573</v>
      </c>
      <c r="G201" s="128" t="str">
        <f>IFERROR(__xludf.DUMMYFUNCTION("""COMPUTED_VALUE"""),"02-Medellin")</f>
        <v>02-Medellin</v>
      </c>
      <c r="I201" s="103"/>
      <c r="J201" s="103"/>
      <c r="K201" s="103"/>
      <c r="L201" s="103"/>
      <c r="M201" s="103"/>
      <c r="N201" s="103"/>
      <c r="O201" s="103"/>
      <c r="P201" s="103"/>
    </row>
    <row r="202">
      <c r="A202" s="8"/>
      <c r="B202" s="128"/>
      <c r="C202" s="128">
        <f>IFERROR(__xludf.DUMMYFUNCTION("""COMPUTED_VALUE"""),3212.0)</f>
        <v>3212</v>
      </c>
      <c r="D202" s="141">
        <f>IFERROR(__xludf.DUMMYFUNCTION("""COMPUTED_VALUE"""),46654.0)</f>
        <v>46654</v>
      </c>
      <c r="E202" s="142">
        <f>IFERROR(__xludf.DUMMYFUNCTION("""COMPUTED_VALUE"""),439.0)</f>
        <v>439</v>
      </c>
      <c r="F202" s="128" t="str">
        <f>IFERROR(__xludf.DUMMYFUNCTION("""COMPUTED_VALUE"""),"PVS572")</f>
        <v>PVS572</v>
      </c>
      <c r="G202" s="128" t="str">
        <f>IFERROR(__xludf.DUMMYFUNCTION("""COMPUTED_VALUE"""),"02-Medellin")</f>
        <v>02-Medellin</v>
      </c>
      <c r="I202" s="103"/>
      <c r="J202" s="103"/>
      <c r="K202" s="103"/>
      <c r="L202" s="103"/>
      <c r="M202" s="103"/>
      <c r="N202" s="103"/>
      <c r="O202" s="103"/>
      <c r="P202" s="103"/>
    </row>
    <row r="203">
      <c r="A203" s="8"/>
      <c r="B203" s="128"/>
      <c r="C203" s="128">
        <f>IFERROR(__xludf.DUMMYFUNCTION("""COMPUTED_VALUE"""),3201.0)</f>
        <v>3201</v>
      </c>
      <c r="D203" s="141">
        <f>IFERROR(__xludf.DUMMYFUNCTION("""COMPUTED_VALUE"""),46654.0)</f>
        <v>46654</v>
      </c>
      <c r="E203" s="142">
        <f>IFERROR(__xludf.DUMMYFUNCTION("""COMPUTED_VALUE"""),439.0)</f>
        <v>439</v>
      </c>
      <c r="F203" s="128" t="str">
        <f>IFERROR(__xludf.DUMMYFUNCTION("""COMPUTED_VALUE"""),"PVS558")</f>
        <v>PVS558</v>
      </c>
      <c r="G203" s="128" t="str">
        <f>IFERROR(__xludf.DUMMYFUNCTION("""COMPUTED_VALUE"""),"02-Medellin")</f>
        <v>02-Medellin</v>
      </c>
      <c r="I203" s="103"/>
      <c r="J203" s="103"/>
      <c r="K203" s="103"/>
      <c r="L203" s="103"/>
      <c r="M203" s="103"/>
      <c r="N203" s="103"/>
      <c r="O203" s="103"/>
      <c r="P203" s="103"/>
    </row>
    <row r="204">
      <c r="A204" s="8"/>
      <c r="B204" s="128"/>
      <c r="C204" s="128">
        <f>IFERROR(__xludf.DUMMYFUNCTION("""COMPUTED_VALUE"""),3200.0)</f>
        <v>3200</v>
      </c>
      <c r="D204" s="141">
        <f>IFERROR(__xludf.DUMMYFUNCTION("""COMPUTED_VALUE"""),46654.0)</f>
        <v>46654</v>
      </c>
      <c r="E204" s="142">
        <f>IFERROR(__xludf.DUMMYFUNCTION("""COMPUTED_VALUE"""),439.0)</f>
        <v>439</v>
      </c>
      <c r="F204" s="128" t="str">
        <f>IFERROR(__xludf.DUMMYFUNCTION("""COMPUTED_VALUE"""),"PVS557")</f>
        <v>PVS557</v>
      </c>
      <c r="G204" s="128" t="str">
        <f>IFERROR(__xludf.DUMMYFUNCTION("""COMPUTED_VALUE"""),"02-Medellin")</f>
        <v>02-Medellin</v>
      </c>
      <c r="I204" s="103"/>
      <c r="J204" s="103"/>
      <c r="K204" s="103"/>
      <c r="L204" s="103"/>
      <c r="M204" s="103"/>
      <c r="N204" s="103"/>
      <c r="O204" s="103"/>
      <c r="P204" s="103"/>
    </row>
    <row r="205">
      <c r="A205" s="8"/>
      <c r="B205" s="128"/>
      <c r="C205" s="128">
        <f>IFERROR(__xludf.DUMMYFUNCTION("""COMPUTED_VALUE"""),3198.0)</f>
        <v>3198</v>
      </c>
      <c r="D205" s="141">
        <f>IFERROR(__xludf.DUMMYFUNCTION("""COMPUTED_VALUE"""),46654.0)</f>
        <v>46654</v>
      </c>
      <c r="E205" s="142">
        <f>IFERROR(__xludf.DUMMYFUNCTION("""COMPUTED_VALUE"""),439.0)</f>
        <v>439</v>
      </c>
      <c r="F205" s="128" t="str">
        <f>IFERROR(__xludf.DUMMYFUNCTION("""COMPUTED_VALUE"""),"PVS555")</f>
        <v>PVS555</v>
      </c>
      <c r="G205" s="128" t="str">
        <f>IFERROR(__xludf.DUMMYFUNCTION("""COMPUTED_VALUE"""),"31-Copacabana")</f>
        <v>31-Copacabana</v>
      </c>
      <c r="I205" s="103"/>
      <c r="J205" s="103"/>
      <c r="K205" s="103"/>
      <c r="L205" s="103"/>
      <c r="M205" s="103"/>
      <c r="N205" s="103"/>
      <c r="O205" s="103"/>
      <c r="P205" s="103"/>
    </row>
    <row r="206">
      <c r="A206" s="8"/>
      <c r="B206" s="128"/>
      <c r="C206" s="128">
        <f>IFERROR(__xludf.DUMMYFUNCTION("""COMPUTED_VALUE"""),3231.0)</f>
        <v>3231</v>
      </c>
      <c r="D206" s="141">
        <f>IFERROR(__xludf.DUMMYFUNCTION("""COMPUTED_VALUE"""),46660.0)</f>
        <v>46660</v>
      </c>
      <c r="E206" s="142">
        <f>IFERROR(__xludf.DUMMYFUNCTION("""COMPUTED_VALUE"""),445.0)</f>
        <v>445</v>
      </c>
      <c r="F206" s="128" t="str">
        <f>IFERROR(__xludf.DUMMYFUNCTION("""COMPUTED_VALUE"""),"PVS598")</f>
        <v>PVS598</v>
      </c>
      <c r="G206" s="128" t="str">
        <f>IFERROR(__xludf.DUMMYFUNCTION("""COMPUTED_VALUE"""),"02-Medellin")</f>
        <v>02-Medellin</v>
      </c>
      <c r="I206" s="103"/>
      <c r="J206" s="103"/>
      <c r="K206" s="103"/>
      <c r="L206" s="103"/>
      <c r="M206" s="103"/>
      <c r="N206" s="103"/>
      <c r="O206" s="103"/>
      <c r="P206" s="103"/>
    </row>
    <row r="207">
      <c r="A207" s="8"/>
      <c r="B207" s="128"/>
      <c r="C207" s="128">
        <f>IFERROR(__xludf.DUMMYFUNCTION("""COMPUTED_VALUE"""),3252.0)</f>
        <v>3252</v>
      </c>
      <c r="D207" s="141">
        <f>IFERROR(__xludf.DUMMYFUNCTION("""COMPUTED_VALUE"""),46661.0)</f>
        <v>46661</v>
      </c>
      <c r="E207" s="142">
        <f>IFERROR(__xludf.DUMMYFUNCTION("""COMPUTED_VALUE"""),446.0)</f>
        <v>446</v>
      </c>
      <c r="F207" s="128" t="str">
        <f>IFERROR(__xludf.DUMMYFUNCTION("""COMPUTED_VALUE"""),"PVS619")</f>
        <v>PVS619</v>
      </c>
      <c r="G207" s="128" t="str">
        <f>IFERROR(__xludf.DUMMYFUNCTION("""COMPUTED_VALUE"""),"24-Rionegro")</f>
        <v>24-Rionegro</v>
      </c>
      <c r="I207" s="103"/>
      <c r="J207" s="103"/>
      <c r="K207" s="103"/>
      <c r="L207" s="103"/>
      <c r="M207" s="103"/>
      <c r="N207" s="103"/>
      <c r="O207" s="103"/>
      <c r="P207" s="103"/>
    </row>
    <row r="208">
      <c r="A208" s="8"/>
      <c r="B208" s="128"/>
      <c r="C208" s="128">
        <f>IFERROR(__xludf.DUMMYFUNCTION("""COMPUTED_VALUE"""),3251.0)</f>
        <v>3251</v>
      </c>
      <c r="D208" s="141">
        <f>IFERROR(__xludf.DUMMYFUNCTION("""COMPUTED_VALUE"""),46661.0)</f>
        <v>46661</v>
      </c>
      <c r="E208" s="142">
        <f>IFERROR(__xludf.DUMMYFUNCTION("""COMPUTED_VALUE"""),446.0)</f>
        <v>446</v>
      </c>
      <c r="F208" s="128" t="str">
        <f>IFERROR(__xludf.DUMMYFUNCTION("""COMPUTED_VALUE"""),"PVS618")</f>
        <v>PVS618</v>
      </c>
      <c r="G208" s="128" t="str">
        <f>IFERROR(__xludf.DUMMYFUNCTION("""COMPUTED_VALUE"""),"24-Rionegro")</f>
        <v>24-Rionegro</v>
      </c>
      <c r="I208" s="103"/>
      <c r="J208" s="103"/>
      <c r="K208" s="103"/>
      <c r="L208" s="103"/>
      <c r="M208" s="103"/>
      <c r="N208" s="103"/>
      <c r="O208" s="103"/>
      <c r="P208" s="103"/>
    </row>
    <row r="209">
      <c r="A209" s="8"/>
      <c r="B209" s="128"/>
      <c r="C209" s="128">
        <f>IFERROR(__xludf.DUMMYFUNCTION("""COMPUTED_VALUE"""),3250.0)</f>
        <v>3250</v>
      </c>
      <c r="D209" s="141">
        <f>IFERROR(__xludf.DUMMYFUNCTION("""COMPUTED_VALUE"""),46661.0)</f>
        <v>46661</v>
      </c>
      <c r="E209" s="142">
        <f>IFERROR(__xludf.DUMMYFUNCTION("""COMPUTED_VALUE"""),446.0)</f>
        <v>446</v>
      </c>
      <c r="F209" s="128" t="str">
        <f>IFERROR(__xludf.DUMMYFUNCTION("""COMPUTED_VALUE"""),"PVS617")</f>
        <v>PVS617</v>
      </c>
      <c r="G209" s="128" t="str">
        <f>IFERROR(__xludf.DUMMYFUNCTION("""COMPUTED_VALUE"""),"02-Medellin")</f>
        <v>02-Medellin</v>
      </c>
      <c r="I209" s="103"/>
      <c r="J209" s="103"/>
      <c r="K209" s="103"/>
      <c r="L209" s="103"/>
      <c r="M209" s="103"/>
      <c r="N209" s="103"/>
      <c r="O209" s="103"/>
      <c r="P209" s="103"/>
    </row>
    <row r="210">
      <c r="A210" s="8"/>
      <c r="B210" s="128"/>
      <c r="C210" s="128">
        <f>IFERROR(__xludf.DUMMYFUNCTION("""COMPUTED_VALUE"""),3249.0)</f>
        <v>3249</v>
      </c>
      <c r="D210" s="141">
        <f>IFERROR(__xludf.DUMMYFUNCTION("""COMPUTED_VALUE"""),46661.0)</f>
        <v>46661</v>
      </c>
      <c r="E210" s="142">
        <f>IFERROR(__xludf.DUMMYFUNCTION("""COMPUTED_VALUE"""),446.0)</f>
        <v>446</v>
      </c>
      <c r="F210" s="128" t="str">
        <f>IFERROR(__xludf.DUMMYFUNCTION("""COMPUTED_VALUE"""),"PVS616")</f>
        <v>PVS616</v>
      </c>
      <c r="G210" s="128" t="str">
        <f>IFERROR(__xludf.DUMMYFUNCTION("""COMPUTED_VALUE"""),"02-Medellin")</f>
        <v>02-Medellin</v>
      </c>
      <c r="I210" s="103"/>
      <c r="J210" s="103"/>
      <c r="K210" s="103"/>
      <c r="L210" s="103"/>
      <c r="M210" s="103"/>
      <c r="N210" s="103"/>
      <c r="O210" s="103"/>
      <c r="P210" s="103"/>
    </row>
    <row r="211">
      <c r="A211" s="8"/>
      <c r="B211" s="128"/>
      <c r="C211" s="128">
        <f>IFERROR(__xludf.DUMMYFUNCTION("""COMPUTED_VALUE"""),3247.0)</f>
        <v>3247</v>
      </c>
      <c r="D211" s="141">
        <f>IFERROR(__xludf.DUMMYFUNCTION("""COMPUTED_VALUE"""),46661.0)</f>
        <v>46661</v>
      </c>
      <c r="E211" s="142">
        <f>IFERROR(__xludf.DUMMYFUNCTION("""COMPUTED_VALUE"""),446.0)</f>
        <v>446</v>
      </c>
      <c r="F211" s="128" t="str">
        <f>IFERROR(__xludf.DUMMYFUNCTION("""COMPUTED_VALUE"""),"PVS614")</f>
        <v>PVS614</v>
      </c>
      <c r="G211" s="128" t="str">
        <f>IFERROR(__xludf.DUMMYFUNCTION("""COMPUTED_VALUE"""),"02-Medellin")</f>
        <v>02-Medellin</v>
      </c>
      <c r="I211" s="103"/>
      <c r="J211" s="103"/>
      <c r="K211" s="103"/>
      <c r="L211" s="103"/>
      <c r="M211" s="103"/>
      <c r="N211" s="103"/>
      <c r="O211" s="103"/>
      <c r="P211" s="103"/>
    </row>
    <row r="212">
      <c r="A212" s="8"/>
      <c r="B212" s="128"/>
      <c r="C212" s="128">
        <f>IFERROR(__xludf.DUMMYFUNCTION("""COMPUTED_VALUE"""),3246.0)</f>
        <v>3246</v>
      </c>
      <c r="D212" s="141">
        <f>IFERROR(__xludf.DUMMYFUNCTION("""COMPUTED_VALUE"""),46661.0)</f>
        <v>46661</v>
      </c>
      <c r="E212" s="142">
        <f>IFERROR(__xludf.DUMMYFUNCTION("""COMPUTED_VALUE"""),446.0)</f>
        <v>446</v>
      </c>
      <c r="F212" s="128" t="str">
        <f>IFERROR(__xludf.DUMMYFUNCTION("""COMPUTED_VALUE"""),"PVS613")</f>
        <v>PVS613</v>
      </c>
      <c r="G212" s="128" t="str">
        <f>IFERROR(__xludf.DUMMYFUNCTION("""COMPUTED_VALUE"""),"02-Medellin")</f>
        <v>02-Medellin</v>
      </c>
      <c r="I212" s="103"/>
      <c r="J212" s="103"/>
      <c r="K212" s="103"/>
      <c r="L212" s="103"/>
      <c r="M212" s="103"/>
      <c r="N212" s="103"/>
      <c r="O212" s="103"/>
      <c r="P212" s="103"/>
    </row>
    <row r="213">
      <c r="A213" s="8"/>
      <c r="B213" s="128"/>
      <c r="C213" s="128">
        <f>IFERROR(__xludf.DUMMYFUNCTION("""COMPUTED_VALUE"""),3241.0)</f>
        <v>3241</v>
      </c>
      <c r="D213" s="141">
        <f>IFERROR(__xludf.DUMMYFUNCTION("""COMPUTED_VALUE"""),46661.0)</f>
        <v>46661</v>
      </c>
      <c r="E213" s="142">
        <f>IFERROR(__xludf.DUMMYFUNCTION("""COMPUTED_VALUE"""),446.0)</f>
        <v>446</v>
      </c>
      <c r="F213" s="128" t="str">
        <f>IFERROR(__xludf.DUMMYFUNCTION("""COMPUTED_VALUE"""),"PVS608")</f>
        <v>PVS608</v>
      </c>
      <c r="G213" s="128" t="str">
        <f>IFERROR(__xludf.DUMMYFUNCTION("""COMPUTED_VALUE"""),"02-Medellin")</f>
        <v>02-Medellin</v>
      </c>
      <c r="I213" s="103"/>
      <c r="J213" s="103"/>
      <c r="K213" s="103"/>
      <c r="L213" s="103"/>
      <c r="M213" s="103"/>
      <c r="N213" s="103"/>
      <c r="O213" s="103"/>
      <c r="P213" s="103"/>
    </row>
    <row r="214">
      <c r="A214" s="8"/>
      <c r="B214" s="128"/>
      <c r="C214" s="128">
        <f>IFERROR(__xludf.DUMMYFUNCTION("""COMPUTED_VALUE"""),3284.0)</f>
        <v>3284</v>
      </c>
      <c r="D214" s="141">
        <f>IFERROR(__xludf.DUMMYFUNCTION("""COMPUTED_VALUE"""),46668.0)</f>
        <v>46668</v>
      </c>
      <c r="E214" s="142">
        <f>IFERROR(__xludf.DUMMYFUNCTION("""COMPUTED_VALUE"""),453.0)</f>
        <v>453</v>
      </c>
      <c r="F214" s="128" t="str">
        <f>IFERROR(__xludf.DUMMYFUNCTION("""COMPUTED_VALUE"""),"PVS650")</f>
        <v>PVS650</v>
      </c>
      <c r="G214" s="128" t="str">
        <f>IFERROR(__xludf.DUMMYFUNCTION("""COMPUTED_VALUE"""),"02-Medellin")</f>
        <v>02-Medellin</v>
      </c>
      <c r="I214" s="103"/>
      <c r="J214" s="103"/>
      <c r="K214" s="103"/>
      <c r="L214" s="103"/>
      <c r="M214" s="103"/>
      <c r="N214" s="103"/>
      <c r="O214" s="103"/>
      <c r="P214" s="103"/>
    </row>
    <row r="215">
      <c r="A215" s="8"/>
      <c r="B215" s="128"/>
      <c r="C215" s="128">
        <f>IFERROR(__xludf.DUMMYFUNCTION("""COMPUTED_VALUE"""),3283.0)</f>
        <v>3283</v>
      </c>
      <c r="D215" s="141">
        <f>IFERROR(__xludf.DUMMYFUNCTION("""COMPUTED_VALUE"""),46668.0)</f>
        <v>46668</v>
      </c>
      <c r="E215" s="142">
        <f>IFERROR(__xludf.DUMMYFUNCTION("""COMPUTED_VALUE"""),453.0)</f>
        <v>453</v>
      </c>
      <c r="F215" s="128" t="str">
        <f>IFERROR(__xludf.DUMMYFUNCTION("""COMPUTED_VALUE"""),"PVS649")</f>
        <v>PVS649</v>
      </c>
      <c r="G215" s="128" t="str">
        <f>IFERROR(__xludf.DUMMYFUNCTION("""COMPUTED_VALUE"""),"02-Medellin")</f>
        <v>02-Medellin</v>
      </c>
      <c r="I215" s="103"/>
      <c r="J215" s="103"/>
      <c r="K215" s="103"/>
      <c r="L215" s="103"/>
      <c r="M215" s="103"/>
      <c r="N215" s="103"/>
      <c r="O215" s="103"/>
      <c r="P215" s="103"/>
    </row>
    <row r="216">
      <c r="A216" s="8"/>
      <c r="B216" s="128"/>
      <c r="C216" s="128">
        <f>IFERROR(__xludf.DUMMYFUNCTION("""COMPUTED_VALUE"""),3282.0)</f>
        <v>3282</v>
      </c>
      <c r="D216" s="141">
        <f>IFERROR(__xludf.DUMMYFUNCTION("""COMPUTED_VALUE"""),46668.0)</f>
        <v>46668</v>
      </c>
      <c r="E216" s="142">
        <f>IFERROR(__xludf.DUMMYFUNCTION("""COMPUTED_VALUE"""),453.0)</f>
        <v>453</v>
      </c>
      <c r="F216" s="128" t="str">
        <f>IFERROR(__xludf.DUMMYFUNCTION("""COMPUTED_VALUE"""),"PVS648")</f>
        <v>PVS648</v>
      </c>
      <c r="G216" s="128" t="str">
        <f>IFERROR(__xludf.DUMMYFUNCTION("""COMPUTED_VALUE"""),"02-Medellin")</f>
        <v>02-Medellin</v>
      </c>
      <c r="I216" s="103"/>
      <c r="J216" s="103"/>
      <c r="K216" s="103"/>
      <c r="L216" s="103"/>
      <c r="M216" s="103"/>
      <c r="N216" s="103"/>
      <c r="O216" s="103"/>
      <c r="P216" s="103"/>
    </row>
    <row r="217">
      <c r="A217" s="8"/>
      <c r="B217" s="128"/>
      <c r="C217" s="128">
        <f>IFERROR(__xludf.DUMMYFUNCTION("""COMPUTED_VALUE"""),3281.0)</f>
        <v>3281</v>
      </c>
      <c r="D217" s="141">
        <f>IFERROR(__xludf.DUMMYFUNCTION("""COMPUTED_VALUE"""),46668.0)</f>
        <v>46668</v>
      </c>
      <c r="E217" s="142">
        <f>IFERROR(__xludf.DUMMYFUNCTION("""COMPUTED_VALUE"""),453.0)</f>
        <v>453</v>
      </c>
      <c r="F217" s="128" t="str">
        <f>IFERROR(__xludf.DUMMYFUNCTION("""COMPUTED_VALUE"""),"PVS647")</f>
        <v>PVS647</v>
      </c>
      <c r="G217" s="128" t="str">
        <f>IFERROR(__xludf.DUMMYFUNCTION("""COMPUTED_VALUE"""),"02-Medellin")</f>
        <v>02-Medellin</v>
      </c>
      <c r="I217" s="103"/>
      <c r="J217" s="103"/>
      <c r="K217" s="103"/>
      <c r="L217" s="103"/>
      <c r="M217" s="103"/>
      <c r="N217" s="103"/>
      <c r="O217" s="103"/>
      <c r="P217" s="103"/>
    </row>
    <row r="218">
      <c r="A218" s="8"/>
      <c r="B218" s="128"/>
      <c r="C218" s="128">
        <f>IFERROR(__xludf.DUMMYFUNCTION("""COMPUTED_VALUE"""),3280.0)</f>
        <v>3280</v>
      </c>
      <c r="D218" s="141">
        <f>IFERROR(__xludf.DUMMYFUNCTION("""COMPUTED_VALUE"""),46668.0)</f>
        <v>46668</v>
      </c>
      <c r="E218" s="142">
        <f>IFERROR(__xludf.DUMMYFUNCTION("""COMPUTED_VALUE"""),453.0)</f>
        <v>453</v>
      </c>
      <c r="F218" s="128" t="str">
        <f>IFERROR(__xludf.DUMMYFUNCTION("""COMPUTED_VALUE"""),"PVS646")</f>
        <v>PVS646</v>
      </c>
      <c r="G218" s="128" t="str">
        <f>IFERROR(__xludf.DUMMYFUNCTION("""COMPUTED_VALUE"""),"02-Medellin")</f>
        <v>02-Medellin</v>
      </c>
      <c r="I218" s="103"/>
      <c r="J218" s="103"/>
      <c r="K218" s="103"/>
      <c r="L218" s="103"/>
      <c r="M218" s="103"/>
      <c r="N218" s="103"/>
      <c r="O218" s="103"/>
      <c r="P218" s="103"/>
    </row>
    <row r="219">
      <c r="A219" s="8"/>
      <c r="B219" s="128"/>
      <c r="C219" s="128">
        <f>IFERROR(__xludf.DUMMYFUNCTION("""COMPUTED_VALUE"""),3279.0)</f>
        <v>3279</v>
      </c>
      <c r="D219" s="141">
        <f>IFERROR(__xludf.DUMMYFUNCTION("""COMPUTED_VALUE"""),46668.0)</f>
        <v>46668</v>
      </c>
      <c r="E219" s="142">
        <f>IFERROR(__xludf.DUMMYFUNCTION("""COMPUTED_VALUE"""),453.0)</f>
        <v>453</v>
      </c>
      <c r="F219" s="128" t="str">
        <f>IFERROR(__xludf.DUMMYFUNCTION("""COMPUTED_VALUE"""),"PVS645")</f>
        <v>PVS645</v>
      </c>
      <c r="G219" s="128" t="str">
        <f>IFERROR(__xludf.DUMMYFUNCTION("""COMPUTED_VALUE"""),"02-Medellin")</f>
        <v>02-Medellin</v>
      </c>
      <c r="I219" s="103"/>
      <c r="J219" s="103"/>
      <c r="K219" s="103"/>
      <c r="L219" s="103"/>
      <c r="M219" s="103"/>
      <c r="N219" s="103"/>
      <c r="O219" s="103"/>
      <c r="P219" s="103"/>
    </row>
    <row r="220">
      <c r="A220" s="8"/>
      <c r="B220" s="128"/>
      <c r="C220" s="128">
        <f>IFERROR(__xludf.DUMMYFUNCTION("""COMPUTED_VALUE"""),3278.0)</f>
        <v>3278</v>
      </c>
      <c r="D220" s="141">
        <f>IFERROR(__xludf.DUMMYFUNCTION("""COMPUTED_VALUE"""),46668.0)</f>
        <v>46668</v>
      </c>
      <c r="E220" s="142">
        <f>IFERROR(__xludf.DUMMYFUNCTION("""COMPUTED_VALUE"""),453.0)</f>
        <v>453</v>
      </c>
      <c r="F220" s="128" t="str">
        <f>IFERROR(__xludf.DUMMYFUNCTION("""COMPUTED_VALUE"""),"PVS644")</f>
        <v>PVS644</v>
      </c>
      <c r="G220" s="128" t="str">
        <f>IFERROR(__xludf.DUMMYFUNCTION("""COMPUTED_VALUE"""),"02-Medellin")</f>
        <v>02-Medellin</v>
      </c>
      <c r="I220" s="103"/>
      <c r="J220" s="103"/>
      <c r="K220" s="103"/>
      <c r="L220" s="103"/>
      <c r="M220" s="103"/>
      <c r="N220" s="103"/>
      <c r="O220" s="103"/>
      <c r="P220" s="103"/>
    </row>
    <row r="221">
      <c r="A221" s="8"/>
      <c r="B221" s="128"/>
      <c r="C221" s="128">
        <f>IFERROR(__xludf.DUMMYFUNCTION("""COMPUTED_VALUE"""),3275.0)</f>
        <v>3275</v>
      </c>
      <c r="D221" s="141">
        <f>IFERROR(__xludf.DUMMYFUNCTION("""COMPUTED_VALUE"""),46668.0)</f>
        <v>46668</v>
      </c>
      <c r="E221" s="142">
        <f>IFERROR(__xludf.DUMMYFUNCTION("""COMPUTED_VALUE"""),453.0)</f>
        <v>453</v>
      </c>
      <c r="F221" s="128" t="str">
        <f>IFERROR(__xludf.DUMMYFUNCTION("""COMPUTED_VALUE"""),"PVS641")</f>
        <v>PVS641</v>
      </c>
      <c r="G221" s="128" t="str">
        <f>IFERROR(__xludf.DUMMYFUNCTION("""COMPUTED_VALUE"""),"02-Medellin")</f>
        <v>02-Medellin</v>
      </c>
      <c r="I221" s="103"/>
      <c r="J221" s="103"/>
      <c r="K221" s="103"/>
      <c r="L221" s="103"/>
      <c r="M221" s="103"/>
      <c r="N221" s="103"/>
      <c r="O221" s="103"/>
      <c r="P221" s="103"/>
    </row>
    <row r="222">
      <c r="A222" s="8"/>
      <c r="B222" s="128"/>
      <c r="C222" s="128">
        <f>IFERROR(__xludf.DUMMYFUNCTION("""COMPUTED_VALUE"""),3273.0)</f>
        <v>3273</v>
      </c>
      <c r="D222" s="141">
        <f>IFERROR(__xludf.DUMMYFUNCTION("""COMPUTED_VALUE"""),46668.0)</f>
        <v>46668</v>
      </c>
      <c r="E222" s="142">
        <f>IFERROR(__xludf.DUMMYFUNCTION("""COMPUTED_VALUE"""),453.0)</f>
        <v>453</v>
      </c>
      <c r="F222" s="128" t="str">
        <f>IFERROR(__xludf.DUMMYFUNCTION("""COMPUTED_VALUE"""),"PVS639")</f>
        <v>PVS639</v>
      </c>
      <c r="G222" s="128" t="str">
        <f>IFERROR(__xludf.DUMMYFUNCTION("""COMPUTED_VALUE"""),"02-Medellin")</f>
        <v>02-Medellin</v>
      </c>
      <c r="I222" s="103"/>
      <c r="J222" s="103"/>
      <c r="K222" s="103"/>
      <c r="L222" s="103"/>
      <c r="M222" s="103"/>
      <c r="N222" s="103"/>
      <c r="O222" s="103"/>
      <c r="P222" s="103"/>
    </row>
    <row r="223">
      <c r="A223" s="8"/>
      <c r="B223" s="128"/>
      <c r="C223" s="128">
        <f>IFERROR(__xludf.DUMMYFUNCTION("""COMPUTED_VALUE"""),3271.0)</f>
        <v>3271</v>
      </c>
      <c r="D223" s="141">
        <f>IFERROR(__xludf.DUMMYFUNCTION("""COMPUTED_VALUE"""),46668.0)</f>
        <v>46668</v>
      </c>
      <c r="E223" s="142">
        <f>IFERROR(__xludf.DUMMYFUNCTION("""COMPUTED_VALUE"""),453.0)</f>
        <v>453</v>
      </c>
      <c r="F223" s="128" t="str">
        <f>IFERROR(__xludf.DUMMYFUNCTION("""COMPUTED_VALUE"""),"PVS637")</f>
        <v>PVS637</v>
      </c>
      <c r="G223" s="128" t="str">
        <f>IFERROR(__xludf.DUMMYFUNCTION("""COMPUTED_VALUE"""),"02-Medellin")</f>
        <v>02-Medellin</v>
      </c>
      <c r="I223" s="103"/>
      <c r="J223" s="103"/>
      <c r="K223" s="103"/>
      <c r="L223" s="103"/>
      <c r="M223" s="103"/>
      <c r="N223" s="103"/>
      <c r="O223" s="103"/>
      <c r="P223" s="103"/>
    </row>
    <row r="224">
      <c r="A224" s="8"/>
      <c r="B224" s="128"/>
      <c r="C224" s="128">
        <f>IFERROR(__xludf.DUMMYFUNCTION("""COMPUTED_VALUE"""),3264.0)</f>
        <v>3264</v>
      </c>
      <c r="D224" s="141">
        <f>IFERROR(__xludf.DUMMYFUNCTION("""COMPUTED_VALUE"""),46668.0)</f>
        <v>46668</v>
      </c>
      <c r="E224" s="142">
        <f>IFERROR(__xludf.DUMMYFUNCTION("""COMPUTED_VALUE"""),453.0)</f>
        <v>453</v>
      </c>
      <c r="F224" s="128" t="str">
        <f>IFERROR(__xludf.DUMMYFUNCTION("""COMPUTED_VALUE"""),"PVS630")</f>
        <v>PVS630</v>
      </c>
      <c r="G224" s="128" t="str">
        <f>IFERROR(__xludf.DUMMYFUNCTION("""COMPUTED_VALUE"""),"02-Medellin")</f>
        <v>02-Medellin</v>
      </c>
      <c r="I224" s="103"/>
      <c r="J224" s="103"/>
      <c r="K224" s="103"/>
      <c r="L224" s="103"/>
      <c r="M224" s="103"/>
      <c r="N224" s="103"/>
      <c r="O224" s="103"/>
      <c r="P224" s="103"/>
    </row>
    <row r="225">
      <c r="A225" s="8"/>
      <c r="B225" s="128"/>
      <c r="C225" s="128">
        <f>IFERROR(__xludf.DUMMYFUNCTION("""COMPUTED_VALUE"""),3256.0)</f>
        <v>3256</v>
      </c>
      <c r="D225" s="141">
        <f>IFERROR(__xludf.DUMMYFUNCTION("""COMPUTED_VALUE"""),46668.0)</f>
        <v>46668</v>
      </c>
      <c r="E225" s="142">
        <f>IFERROR(__xludf.DUMMYFUNCTION("""COMPUTED_VALUE"""),453.0)</f>
        <v>453</v>
      </c>
      <c r="F225" s="128" t="str">
        <f>IFERROR(__xludf.DUMMYFUNCTION("""COMPUTED_VALUE"""),"PVS622")</f>
        <v>PVS622</v>
      </c>
      <c r="G225" s="128" t="str">
        <f>IFERROR(__xludf.DUMMYFUNCTION("""COMPUTED_VALUE"""),"02-Medellin")</f>
        <v>02-Medellin</v>
      </c>
      <c r="I225" s="103"/>
      <c r="J225" s="103"/>
      <c r="K225" s="103"/>
      <c r="L225" s="103"/>
      <c r="M225" s="103"/>
      <c r="N225" s="103"/>
      <c r="O225" s="103"/>
      <c r="P225" s="103"/>
    </row>
    <row r="226">
      <c r="A226" s="8"/>
      <c r="B226" s="128"/>
      <c r="C226" s="128"/>
      <c r="D226" s="128"/>
      <c r="E226" s="128"/>
      <c r="F226" s="128"/>
      <c r="G226" s="128"/>
      <c r="I226" s="103"/>
      <c r="J226" s="103"/>
      <c r="K226" s="103"/>
      <c r="L226" s="103"/>
      <c r="M226" s="103"/>
      <c r="N226" s="103"/>
      <c r="O226" s="103"/>
      <c r="P226" s="103"/>
    </row>
    <row r="227">
      <c r="A227" s="8"/>
      <c r="B227" s="128"/>
      <c r="C227" s="128"/>
      <c r="D227" s="128"/>
      <c r="E227" s="128"/>
      <c r="F227" s="128"/>
      <c r="G227" s="128"/>
      <c r="I227" s="103"/>
      <c r="J227" s="103"/>
      <c r="K227" s="103"/>
      <c r="L227" s="103"/>
      <c r="M227" s="103"/>
      <c r="N227" s="103"/>
      <c r="O227" s="103"/>
      <c r="P227" s="103"/>
    </row>
    <row r="228">
      <c r="A228" s="8"/>
      <c r="B228" s="128"/>
      <c r="C228" s="128"/>
      <c r="D228" s="128"/>
      <c r="E228" s="128"/>
      <c r="F228" s="128"/>
      <c r="G228" s="128"/>
      <c r="I228" s="103"/>
      <c r="J228" s="103"/>
      <c r="K228" s="103"/>
      <c r="L228" s="103"/>
      <c r="M228" s="103"/>
      <c r="N228" s="103"/>
      <c r="O228" s="103"/>
      <c r="P228" s="103"/>
    </row>
    <row r="229">
      <c r="A229" s="8"/>
      <c r="B229" s="128"/>
      <c r="C229" s="128"/>
      <c r="D229" s="128"/>
      <c r="E229" s="128"/>
      <c r="F229" s="128"/>
      <c r="G229" s="128"/>
      <c r="I229" s="103"/>
      <c r="J229" s="103"/>
      <c r="K229" s="103"/>
      <c r="L229" s="103"/>
      <c r="M229" s="103"/>
      <c r="N229" s="103"/>
      <c r="O229" s="103"/>
      <c r="P229" s="103"/>
    </row>
    <row r="230">
      <c r="A230" s="8"/>
      <c r="B230" s="128"/>
      <c r="C230" s="128"/>
      <c r="D230" s="128"/>
      <c r="E230" s="128"/>
      <c r="F230" s="128"/>
      <c r="G230" s="128"/>
      <c r="I230" s="103"/>
      <c r="J230" s="103"/>
      <c r="K230" s="103"/>
      <c r="L230" s="103"/>
      <c r="M230" s="103"/>
      <c r="N230" s="103"/>
      <c r="O230" s="103"/>
      <c r="P230" s="103"/>
    </row>
    <row r="231">
      <c r="A231" s="8"/>
      <c r="B231" s="128"/>
      <c r="C231" s="128"/>
      <c r="D231" s="128"/>
      <c r="E231" s="128"/>
      <c r="F231" s="128"/>
      <c r="G231" s="128"/>
      <c r="I231" s="103"/>
      <c r="J231" s="103"/>
      <c r="K231" s="103"/>
      <c r="L231" s="103"/>
      <c r="M231" s="103"/>
      <c r="N231" s="103"/>
      <c r="O231" s="103"/>
      <c r="P231" s="103"/>
    </row>
    <row r="232">
      <c r="A232" s="8"/>
      <c r="B232" s="128"/>
      <c r="C232" s="128"/>
      <c r="D232" s="128"/>
      <c r="E232" s="128"/>
      <c r="F232" s="128"/>
      <c r="G232" s="128"/>
      <c r="I232" s="103"/>
      <c r="J232" s="103"/>
      <c r="K232" s="103"/>
      <c r="L232" s="103"/>
      <c r="M232" s="103"/>
      <c r="N232" s="103"/>
      <c r="O232" s="103"/>
      <c r="P232" s="103"/>
    </row>
    <row r="233">
      <c r="A233" s="8"/>
      <c r="B233" s="128"/>
      <c r="C233" s="128"/>
      <c r="D233" s="128"/>
      <c r="E233" s="128"/>
      <c r="F233" s="128"/>
      <c r="G233" s="128"/>
      <c r="I233" s="103"/>
      <c r="J233" s="103"/>
      <c r="K233" s="103"/>
      <c r="L233" s="103"/>
      <c r="M233" s="103"/>
      <c r="N233" s="103"/>
      <c r="O233" s="103"/>
      <c r="P233" s="103"/>
    </row>
    <row r="234">
      <c r="A234" s="8"/>
      <c r="B234" s="128"/>
      <c r="C234" s="128"/>
      <c r="D234" s="128"/>
      <c r="E234" s="128"/>
      <c r="F234" s="128"/>
      <c r="G234" s="128"/>
      <c r="I234" s="103"/>
      <c r="J234" s="103"/>
      <c r="K234" s="103"/>
      <c r="L234" s="103"/>
      <c r="M234" s="103"/>
      <c r="N234" s="103"/>
      <c r="O234" s="103"/>
      <c r="P234" s="103"/>
    </row>
    <row r="235">
      <c r="A235" s="8"/>
      <c r="B235" s="128"/>
      <c r="C235" s="128"/>
      <c r="D235" s="128"/>
      <c r="E235" s="128"/>
      <c r="F235" s="128"/>
      <c r="G235" s="128"/>
      <c r="I235" s="103"/>
      <c r="J235" s="103"/>
      <c r="K235" s="103"/>
      <c r="L235" s="103"/>
      <c r="M235" s="103"/>
      <c r="N235" s="103"/>
      <c r="O235" s="103"/>
      <c r="P235" s="103"/>
    </row>
    <row r="236">
      <c r="A236" s="8"/>
      <c r="B236" s="128"/>
      <c r="C236" s="128"/>
      <c r="D236" s="128"/>
      <c r="E236" s="128"/>
      <c r="F236" s="128"/>
      <c r="G236" s="128"/>
      <c r="I236" s="103"/>
      <c r="J236" s="103"/>
      <c r="K236" s="103"/>
      <c r="L236" s="103"/>
      <c r="M236" s="103"/>
      <c r="N236" s="103"/>
      <c r="O236" s="103"/>
      <c r="P236" s="103"/>
    </row>
    <row r="237">
      <c r="A237" s="8"/>
      <c r="B237" s="128"/>
      <c r="C237" s="128"/>
      <c r="D237" s="128"/>
      <c r="E237" s="128"/>
      <c r="F237" s="128"/>
      <c r="G237" s="128"/>
      <c r="I237" s="103"/>
      <c r="J237" s="103"/>
      <c r="K237" s="103"/>
      <c r="L237" s="103"/>
      <c r="M237" s="103"/>
      <c r="N237" s="103"/>
      <c r="O237" s="103"/>
      <c r="P237" s="103"/>
    </row>
    <row r="238">
      <c r="A238" s="8"/>
      <c r="B238" s="128"/>
      <c r="C238" s="128"/>
      <c r="D238" s="128"/>
      <c r="E238" s="128"/>
      <c r="F238" s="128"/>
      <c r="G238" s="128"/>
      <c r="I238" s="103"/>
      <c r="J238" s="103"/>
      <c r="K238" s="103"/>
      <c r="L238" s="103"/>
      <c r="M238" s="103"/>
      <c r="N238" s="103"/>
      <c r="O238" s="103"/>
      <c r="P238" s="103"/>
    </row>
    <row r="239">
      <c r="A239" s="8"/>
      <c r="B239" s="128"/>
      <c r="C239" s="128"/>
      <c r="D239" s="128"/>
      <c r="E239" s="128"/>
      <c r="F239" s="128"/>
      <c r="G239" s="128"/>
      <c r="I239" s="103"/>
      <c r="J239" s="103"/>
      <c r="K239" s="103"/>
      <c r="L239" s="103"/>
      <c r="M239" s="103"/>
      <c r="N239" s="103"/>
      <c r="O239" s="103"/>
      <c r="P239" s="103"/>
    </row>
    <row r="240">
      <c r="A240" s="8"/>
      <c r="B240" s="128"/>
      <c r="C240" s="128"/>
      <c r="D240" s="128"/>
      <c r="E240" s="128"/>
      <c r="F240" s="128"/>
      <c r="G240" s="128"/>
      <c r="I240" s="103"/>
      <c r="J240" s="103"/>
      <c r="K240" s="103"/>
      <c r="L240" s="103"/>
      <c r="M240" s="103"/>
      <c r="N240" s="103"/>
      <c r="O240" s="103"/>
      <c r="P240" s="103"/>
    </row>
    <row r="241">
      <c r="A241" s="8"/>
      <c r="B241" s="128"/>
      <c r="C241" s="128"/>
      <c r="D241" s="128"/>
      <c r="E241" s="128"/>
      <c r="F241" s="128"/>
      <c r="G241" s="128"/>
      <c r="I241" s="103"/>
      <c r="J241" s="103"/>
      <c r="K241" s="103"/>
      <c r="L241" s="103"/>
      <c r="M241" s="103"/>
      <c r="N241" s="103"/>
      <c r="O241" s="103"/>
      <c r="P241" s="103"/>
    </row>
    <row r="242">
      <c r="A242" s="8"/>
      <c r="B242" s="128"/>
      <c r="C242" s="128"/>
      <c r="D242" s="128"/>
      <c r="E242" s="128"/>
      <c r="F242" s="128"/>
      <c r="G242" s="128"/>
      <c r="I242" s="103"/>
      <c r="J242" s="103"/>
      <c r="K242" s="103"/>
      <c r="L242" s="103"/>
      <c r="M242" s="103"/>
      <c r="N242" s="103"/>
      <c r="O242" s="103"/>
      <c r="P242" s="103"/>
    </row>
    <row r="243">
      <c r="A243" s="8"/>
      <c r="B243" s="128"/>
      <c r="C243" s="128"/>
      <c r="D243" s="128"/>
      <c r="E243" s="128"/>
      <c r="F243" s="128"/>
      <c r="G243" s="128"/>
      <c r="I243" s="103"/>
      <c r="J243" s="103"/>
      <c r="K243" s="103"/>
      <c r="L243" s="103"/>
      <c r="M243" s="103"/>
      <c r="N243" s="103"/>
      <c r="O243" s="103"/>
      <c r="P243" s="103"/>
    </row>
    <row r="244">
      <c r="A244" s="8"/>
      <c r="B244" s="128"/>
      <c r="C244" s="128"/>
      <c r="D244" s="128"/>
      <c r="E244" s="128"/>
      <c r="F244" s="128"/>
      <c r="G244" s="128"/>
      <c r="I244" s="103"/>
      <c r="J244" s="103"/>
      <c r="K244" s="103"/>
      <c r="L244" s="103"/>
      <c r="M244" s="103"/>
      <c r="N244" s="103"/>
      <c r="O244" s="103"/>
      <c r="P244" s="103"/>
    </row>
    <row r="245">
      <c r="A245" s="8"/>
      <c r="B245" s="128"/>
      <c r="C245" s="128"/>
      <c r="D245" s="128"/>
      <c r="E245" s="128"/>
      <c r="F245" s="128"/>
      <c r="G245" s="128"/>
      <c r="I245" s="103"/>
      <c r="J245" s="103"/>
      <c r="K245" s="103"/>
      <c r="L245" s="103"/>
      <c r="M245" s="103"/>
      <c r="N245" s="103"/>
      <c r="O245" s="103"/>
      <c r="P245" s="103"/>
    </row>
    <row r="246">
      <c r="A246" s="8"/>
      <c r="B246" s="128"/>
      <c r="C246" s="128"/>
      <c r="D246" s="128"/>
      <c r="E246" s="128"/>
      <c r="F246" s="128"/>
      <c r="G246" s="128"/>
      <c r="I246" s="103"/>
      <c r="J246" s="103"/>
      <c r="K246" s="103"/>
      <c r="L246" s="103"/>
      <c r="M246" s="103"/>
      <c r="N246" s="103"/>
      <c r="O246" s="103"/>
      <c r="P246" s="103"/>
    </row>
    <row r="247">
      <c r="A247" s="8"/>
      <c r="B247" s="128"/>
      <c r="C247" s="128"/>
      <c r="D247" s="128"/>
      <c r="E247" s="128"/>
      <c r="F247" s="128"/>
      <c r="G247" s="128"/>
      <c r="I247" s="103"/>
      <c r="J247" s="103"/>
      <c r="K247" s="103"/>
      <c r="L247" s="103"/>
      <c r="M247" s="103"/>
      <c r="N247" s="103"/>
      <c r="O247" s="103"/>
      <c r="P247" s="103"/>
    </row>
    <row r="248">
      <c r="A248" s="8"/>
      <c r="B248" s="128"/>
      <c r="C248" s="128"/>
      <c r="D248" s="128"/>
      <c r="E248" s="128"/>
      <c r="F248" s="128"/>
      <c r="G248" s="128"/>
      <c r="I248" s="103"/>
      <c r="J248" s="103"/>
      <c r="K248" s="103"/>
      <c r="L248" s="103"/>
      <c r="M248" s="103"/>
      <c r="N248" s="103"/>
      <c r="O248" s="103"/>
      <c r="P248" s="103"/>
    </row>
    <row r="249">
      <c r="A249" s="8"/>
      <c r="B249" s="128"/>
      <c r="C249" s="128"/>
      <c r="D249" s="128"/>
      <c r="E249" s="128"/>
      <c r="F249" s="128"/>
      <c r="G249" s="128"/>
      <c r="I249" s="103"/>
      <c r="J249" s="103"/>
      <c r="K249" s="103"/>
      <c r="L249" s="103"/>
      <c r="M249" s="103"/>
      <c r="N249" s="103"/>
      <c r="O249" s="103"/>
      <c r="P249" s="103"/>
    </row>
    <row r="250">
      <c r="A250" s="8"/>
      <c r="B250" s="128"/>
      <c r="C250" s="128"/>
      <c r="D250" s="128"/>
      <c r="E250" s="128"/>
      <c r="F250" s="128"/>
      <c r="G250" s="128"/>
      <c r="I250" s="103"/>
      <c r="J250" s="103"/>
      <c r="K250" s="103"/>
      <c r="L250" s="103"/>
      <c r="M250" s="103"/>
      <c r="N250" s="103"/>
      <c r="O250" s="103"/>
      <c r="P250" s="103"/>
    </row>
    <row r="251">
      <c r="A251" s="8"/>
      <c r="B251" s="128"/>
      <c r="C251" s="128"/>
      <c r="D251" s="128"/>
      <c r="E251" s="128"/>
      <c r="F251" s="128"/>
      <c r="G251" s="128"/>
      <c r="I251" s="103"/>
      <c r="J251" s="103"/>
      <c r="K251" s="103"/>
      <c r="L251" s="103"/>
      <c r="M251" s="103"/>
      <c r="N251" s="103"/>
      <c r="O251" s="103"/>
      <c r="P251" s="103"/>
    </row>
    <row r="252">
      <c r="A252" s="8"/>
      <c r="B252" s="128"/>
      <c r="C252" s="128"/>
      <c r="D252" s="128"/>
      <c r="E252" s="128"/>
      <c r="F252" s="128"/>
      <c r="G252" s="128"/>
      <c r="I252" s="103"/>
      <c r="J252" s="103"/>
      <c r="K252" s="103"/>
      <c r="L252" s="103"/>
      <c r="M252" s="103"/>
      <c r="N252" s="103"/>
      <c r="O252" s="103"/>
      <c r="P252" s="103"/>
    </row>
    <row r="253">
      <c r="A253" s="8"/>
      <c r="B253" s="128"/>
      <c r="C253" s="128"/>
      <c r="D253" s="128"/>
      <c r="E253" s="128"/>
      <c r="F253" s="128"/>
      <c r="G253" s="128"/>
      <c r="I253" s="103"/>
      <c r="J253" s="103"/>
      <c r="K253" s="103"/>
      <c r="L253" s="103"/>
      <c r="M253" s="103"/>
      <c r="N253" s="103"/>
      <c r="O253" s="103"/>
      <c r="P253" s="103"/>
    </row>
    <row r="254">
      <c r="A254" s="8"/>
      <c r="B254" s="128"/>
      <c r="C254" s="128"/>
      <c r="D254" s="128"/>
      <c r="E254" s="128"/>
      <c r="F254" s="128"/>
      <c r="G254" s="128"/>
      <c r="I254" s="103"/>
      <c r="J254" s="103"/>
      <c r="K254" s="103"/>
      <c r="L254" s="103"/>
      <c r="M254" s="103"/>
      <c r="N254" s="103"/>
      <c r="O254" s="103"/>
      <c r="P254" s="103"/>
    </row>
    <row r="255">
      <c r="A255" s="8"/>
      <c r="B255" s="128"/>
      <c r="C255" s="128"/>
      <c r="D255" s="128"/>
      <c r="E255" s="128"/>
      <c r="F255" s="128"/>
      <c r="G255" s="128"/>
      <c r="I255" s="103"/>
      <c r="J255" s="103"/>
      <c r="K255" s="103"/>
      <c r="L255" s="103"/>
      <c r="M255" s="103"/>
      <c r="N255" s="103"/>
      <c r="O255" s="103"/>
      <c r="P255" s="103"/>
    </row>
    <row r="256">
      <c r="A256" s="8"/>
      <c r="B256" s="128"/>
      <c r="C256" s="128"/>
      <c r="D256" s="128"/>
      <c r="E256" s="128"/>
      <c r="F256" s="128"/>
      <c r="G256" s="128"/>
      <c r="I256" s="103"/>
      <c r="J256" s="103"/>
      <c r="K256" s="103"/>
      <c r="L256" s="103"/>
      <c r="M256" s="103"/>
      <c r="N256" s="103"/>
      <c r="O256" s="103"/>
      <c r="P256" s="103"/>
    </row>
    <row r="257">
      <c r="A257" s="8"/>
      <c r="B257" s="128"/>
      <c r="C257" s="128"/>
      <c r="D257" s="128"/>
      <c r="E257" s="128"/>
      <c r="F257" s="128"/>
      <c r="G257" s="128"/>
      <c r="I257" s="103"/>
      <c r="J257" s="103"/>
      <c r="K257" s="103"/>
      <c r="L257" s="103"/>
      <c r="M257" s="103"/>
      <c r="N257" s="103"/>
      <c r="O257" s="103"/>
      <c r="P257" s="103"/>
    </row>
    <row r="258">
      <c r="A258" s="8"/>
      <c r="B258" s="128"/>
      <c r="C258" s="128"/>
      <c r="D258" s="128"/>
      <c r="E258" s="128"/>
      <c r="F258" s="128"/>
      <c r="G258" s="128"/>
      <c r="I258" s="103"/>
      <c r="J258" s="103"/>
      <c r="K258" s="103"/>
      <c r="L258" s="103"/>
      <c r="M258" s="103"/>
      <c r="N258" s="103"/>
      <c r="O258" s="103"/>
      <c r="P258" s="103"/>
    </row>
    <row r="259">
      <c r="A259" s="8"/>
      <c r="B259" s="128"/>
      <c r="C259" s="128"/>
      <c r="D259" s="128"/>
      <c r="E259" s="128"/>
      <c r="F259" s="128"/>
      <c r="G259" s="128"/>
      <c r="I259" s="103"/>
      <c r="J259" s="103"/>
      <c r="K259" s="103"/>
      <c r="L259" s="103"/>
      <c r="M259" s="103"/>
      <c r="N259" s="103"/>
      <c r="O259" s="103"/>
      <c r="P259" s="103"/>
    </row>
    <row r="260">
      <c r="A260" s="8"/>
      <c r="B260" s="128"/>
      <c r="C260" s="128"/>
      <c r="D260" s="128"/>
      <c r="E260" s="128"/>
      <c r="F260" s="128"/>
      <c r="G260" s="128"/>
      <c r="I260" s="103"/>
      <c r="J260" s="103"/>
      <c r="K260" s="103"/>
      <c r="L260" s="103"/>
      <c r="M260" s="103"/>
      <c r="N260" s="103"/>
      <c r="O260" s="103"/>
      <c r="P260" s="103"/>
    </row>
    <row r="261">
      <c r="A261" s="8"/>
      <c r="B261" s="128"/>
      <c r="C261" s="128"/>
      <c r="D261" s="128"/>
      <c r="E261" s="128"/>
      <c r="F261" s="128"/>
      <c r="G261" s="128"/>
      <c r="I261" s="103"/>
      <c r="J261" s="103"/>
      <c r="K261" s="103"/>
      <c r="L261" s="103"/>
      <c r="M261" s="103"/>
      <c r="N261" s="103"/>
      <c r="O261" s="103"/>
      <c r="P261" s="103"/>
    </row>
    <row r="262">
      <c r="A262" s="8"/>
      <c r="B262" s="128"/>
      <c r="C262" s="128"/>
      <c r="D262" s="128"/>
      <c r="E262" s="128"/>
      <c r="F262" s="128"/>
      <c r="G262" s="128"/>
      <c r="I262" s="103"/>
      <c r="J262" s="103"/>
      <c r="K262" s="103"/>
      <c r="L262" s="103"/>
      <c r="M262" s="103"/>
      <c r="N262" s="103"/>
      <c r="O262" s="103"/>
      <c r="P262" s="103"/>
    </row>
    <row r="263">
      <c r="A263" s="8"/>
      <c r="B263" s="128"/>
      <c r="C263" s="128"/>
      <c r="D263" s="128"/>
      <c r="E263" s="128"/>
      <c r="F263" s="128"/>
      <c r="G263" s="128"/>
      <c r="I263" s="103"/>
      <c r="J263" s="103"/>
      <c r="K263" s="103"/>
      <c r="L263" s="103"/>
      <c r="M263" s="103"/>
      <c r="N263" s="103"/>
      <c r="O263" s="103"/>
      <c r="P263" s="103"/>
    </row>
    <row r="264">
      <c r="A264" s="8"/>
      <c r="B264" s="128"/>
      <c r="C264" s="128"/>
      <c r="D264" s="128"/>
      <c r="E264" s="128"/>
      <c r="F264" s="128"/>
      <c r="G264" s="128"/>
      <c r="I264" s="103"/>
      <c r="J264" s="103"/>
      <c r="K264" s="103"/>
      <c r="L264" s="103"/>
      <c r="M264" s="103"/>
      <c r="N264" s="103"/>
      <c r="O264" s="103"/>
      <c r="P264" s="103"/>
    </row>
    <row r="265">
      <c r="A265" s="8"/>
      <c r="B265" s="128"/>
      <c r="C265" s="128"/>
      <c r="D265" s="128"/>
      <c r="E265" s="128"/>
      <c r="F265" s="128"/>
      <c r="G265" s="128"/>
      <c r="I265" s="103"/>
      <c r="J265" s="103"/>
      <c r="K265" s="103"/>
      <c r="L265" s="103"/>
      <c r="M265" s="103"/>
      <c r="N265" s="103"/>
      <c r="O265" s="103"/>
      <c r="P265" s="103"/>
    </row>
    <row r="266">
      <c r="A266" s="8"/>
      <c r="B266" s="128"/>
      <c r="C266" s="128"/>
      <c r="D266" s="128"/>
      <c r="E266" s="128"/>
      <c r="F266" s="128"/>
      <c r="G266" s="128"/>
      <c r="I266" s="103"/>
      <c r="J266" s="103"/>
      <c r="K266" s="103"/>
      <c r="L266" s="103"/>
      <c r="M266" s="103"/>
      <c r="N266" s="103"/>
      <c r="O266" s="103"/>
      <c r="P266" s="103"/>
    </row>
    <row r="267">
      <c r="A267" s="8"/>
      <c r="B267" s="128"/>
      <c r="C267" s="128"/>
      <c r="D267" s="128"/>
      <c r="E267" s="128"/>
      <c r="F267" s="128"/>
      <c r="G267" s="128"/>
      <c r="I267" s="103"/>
      <c r="J267" s="103"/>
      <c r="K267" s="103"/>
      <c r="L267" s="103"/>
      <c r="M267" s="103"/>
      <c r="N267" s="103"/>
      <c r="O267" s="103"/>
      <c r="P267" s="103"/>
    </row>
    <row r="268">
      <c r="A268" s="8"/>
      <c r="B268" s="128"/>
      <c r="C268" s="128"/>
      <c r="D268" s="128"/>
      <c r="E268" s="128"/>
      <c r="F268" s="128"/>
      <c r="G268" s="128"/>
      <c r="I268" s="103"/>
      <c r="J268" s="103"/>
      <c r="K268" s="103"/>
      <c r="L268" s="103"/>
      <c r="M268" s="103"/>
      <c r="N268" s="103"/>
      <c r="O268" s="103"/>
      <c r="P268" s="103"/>
    </row>
    <row r="269">
      <c r="A269" s="8"/>
      <c r="B269" s="128"/>
      <c r="C269" s="128"/>
      <c r="D269" s="128"/>
      <c r="E269" s="128"/>
      <c r="F269" s="128"/>
      <c r="G269" s="128"/>
      <c r="I269" s="103"/>
      <c r="J269" s="103"/>
      <c r="K269" s="103"/>
      <c r="L269" s="103"/>
      <c r="M269" s="103"/>
      <c r="N269" s="103"/>
      <c r="O269" s="103"/>
      <c r="P269" s="103"/>
    </row>
    <row r="270">
      <c r="A270" s="8"/>
      <c r="B270" s="128"/>
      <c r="C270" s="128"/>
      <c r="D270" s="128"/>
      <c r="E270" s="128"/>
      <c r="F270" s="128"/>
      <c r="G270" s="128"/>
      <c r="I270" s="103"/>
      <c r="J270" s="103"/>
      <c r="K270" s="103"/>
      <c r="L270" s="103"/>
      <c r="M270" s="103"/>
      <c r="N270" s="103"/>
      <c r="O270" s="103"/>
      <c r="P270" s="103"/>
    </row>
    <row r="271">
      <c r="A271" s="8"/>
      <c r="B271" s="128"/>
      <c r="C271" s="128"/>
      <c r="D271" s="128"/>
      <c r="E271" s="128"/>
      <c r="F271" s="128"/>
      <c r="G271" s="128"/>
      <c r="I271" s="103"/>
      <c r="J271" s="103"/>
      <c r="K271" s="103"/>
      <c r="L271" s="103"/>
      <c r="M271" s="103"/>
      <c r="N271" s="103"/>
      <c r="O271" s="103"/>
      <c r="P271" s="103"/>
    </row>
    <row r="272">
      <c r="A272" s="8"/>
      <c r="B272" s="128"/>
      <c r="C272" s="128"/>
      <c r="D272" s="128"/>
      <c r="E272" s="128"/>
      <c r="F272" s="128"/>
      <c r="G272" s="128"/>
      <c r="I272" s="103"/>
      <c r="J272" s="103"/>
      <c r="K272" s="103"/>
      <c r="L272" s="103"/>
      <c r="M272" s="103"/>
      <c r="N272" s="103"/>
      <c r="O272" s="103"/>
      <c r="P272" s="103"/>
    </row>
    <row r="273">
      <c r="A273" s="8"/>
      <c r="B273" s="128"/>
      <c r="C273" s="128"/>
      <c r="D273" s="128"/>
      <c r="E273" s="128"/>
      <c r="F273" s="128"/>
      <c r="G273" s="128"/>
      <c r="I273" s="103"/>
      <c r="J273" s="103"/>
      <c r="K273" s="103"/>
      <c r="L273" s="103"/>
      <c r="M273" s="103"/>
      <c r="N273" s="103"/>
      <c r="O273" s="103"/>
      <c r="P273" s="103"/>
    </row>
    <row r="274">
      <c r="A274" s="8"/>
      <c r="B274" s="128"/>
      <c r="C274" s="128"/>
      <c r="D274" s="128"/>
      <c r="E274" s="128"/>
      <c r="F274" s="128"/>
      <c r="G274" s="128"/>
      <c r="I274" s="103"/>
      <c r="J274" s="103"/>
      <c r="K274" s="103"/>
      <c r="L274" s="103"/>
      <c r="M274" s="103"/>
      <c r="N274" s="103"/>
      <c r="O274" s="103"/>
      <c r="P274" s="103"/>
    </row>
    <row r="275">
      <c r="A275" s="8"/>
      <c r="B275" s="128"/>
      <c r="C275" s="128"/>
      <c r="D275" s="128"/>
      <c r="E275" s="128"/>
      <c r="F275" s="128"/>
      <c r="G275" s="128"/>
      <c r="I275" s="103"/>
      <c r="J275" s="103"/>
      <c r="K275" s="103"/>
      <c r="L275" s="103"/>
      <c r="M275" s="103"/>
      <c r="N275" s="103"/>
      <c r="O275" s="103"/>
      <c r="P275" s="103"/>
    </row>
    <row r="276">
      <c r="A276" s="8"/>
      <c r="B276" s="128"/>
      <c r="C276" s="128"/>
      <c r="D276" s="128"/>
      <c r="E276" s="128"/>
      <c r="F276" s="128"/>
      <c r="G276" s="128"/>
      <c r="I276" s="103"/>
      <c r="J276" s="103"/>
      <c r="K276" s="103"/>
      <c r="L276" s="103"/>
      <c r="M276" s="103"/>
      <c r="N276" s="103"/>
      <c r="O276" s="103"/>
      <c r="P276" s="103"/>
    </row>
    <row r="277">
      <c r="A277" s="8"/>
      <c r="B277" s="128"/>
      <c r="C277" s="128"/>
      <c r="D277" s="128"/>
      <c r="E277" s="128"/>
      <c r="F277" s="128"/>
      <c r="G277" s="128"/>
      <c r="I277" s="103"/>
      <c r="J277" s="103"/>
      <c r="K277" s="103"/>
      <c r="L277" s="103"/>
      <c r="M277" s="103"/>
      <c r="N277" s="103"/>
      <c r="O277" s="103"/>
      <c r="P277" s="103"/>
    </row>
    <row r="278">
      <c r="A278" s="8"/>
      <c r="B278" s="128"/>
      <c r="C278" s="128"/>
      <c r="D278" s="128"/>
      <c r="E278" s="128"/>
      <c r="F278" s="128"/>
      <c r="G278" s="128"/>
      <c r="I278" s="103"/>
      <c r="J278" s="103"/>
      <c r="K278" s="103"/>
      <c r="L278" s="103"/>
      <c r="M278" s="103"/>
      <c r="N278" s="103"/>
      <c r="O278" s="103"/>
      <c r="P278" s="103"/>
    </row>
    <row r="279">
      <c r="A279" s="8"/>
      <c r="B279" s="128"/>
      <c r="C279" s="128"/>
      <c r="D279" s="128"/>
      <c r="E279" s="128"/>
      <c r="F279" s="128"/>
      <c r="G279" s="128"/>
      <c r="I279" s="103"/>
      <c r="J279" s="103"/>
      <c r="K279" s="103"/>
      <c r="L279" s="103"/>
      <c r="M279" s="103"/>
      <c r="N279" s="103"/>
      <c r="O279" s="103"/>
      <c r="P279" s="103"/>
    </row>
    <row r="280">
      <c r="A280" s="8"/>
      <c r="B280" s="128"/>
      <c r="C280" s="128"/>
      <c r="D280" s="128"/>
      <c r="E280" s="128"/>
      <c r="F280" s="128"/>
      <c r="G280" s="128"/>
      <c r="I280" s="103"/>
      <c r="J280" s="103"/>
      <c r="K280" s="103"/>
      <c r="L280" s="103"/>
      <c r="M280" s="103"/>
      <c r="N280" s="103"/>
      <c r="O280" s="103"/>
      <c r="P280" s="103"/>
    </row>
    <row r="281">
      <c r="A281" s="8"/>
      <c r="B281" s="128"/>
      <c r="C281" s="128"/>
      <c r="D281" s="128"/>
      <c r="E281" s="128"/>
      <c r="F281" s="128"/>
      <c r="G281" s="128"/>
      <c r="I281" s="103"/>
      <c r="J281" s="103"/>
      <c r="K281" s="103"/>
      <c r="L281" s="103"/>
      <c r="M281" s="103"/>
      <c r="N281" s="103"/>
      <c r="O281" s="103"/>
      <c r="P281" s="103"/>
    </row>
    <row r="282">
      <c r="A282" s="8"/>
      <c r="B282" s="128"/>
      <c r="C282" s="128"/>
      <c r="D282" s="128"/>
      <c r="E282" s="128"/>
      <c r="F282" s="128"/>
      <c r="G282" s="128"/>
      <c r="I282" s="103"/>
      <c r="J282" s="103"/>
      <c r="K282" s="103"/>
      <c r="L282" s="103"/>
      <c r="M282" s="103"/>
      <c r="N282" s="103"/>
      <c r="O282" s="103"/>
      <c r="P282" s="103"/>
    </row>
    <row r="283">
      <c r="A283" s="8"/>
      <c r="B283" s="128"/>
      <c r="C283" s="128"/>
      <c r="D283" s="128"/>
      <c r="E283" s="128"/>
      <c r="F283" s="128"/>
      <c r="G283" s="128"/>
      <c r="I283" s="103"/>
      <c r="J283" s="103"/>
      <c r="K283" s="103"/>
      <c r="L283" s="103"/>
      <c r="M283" s="103"/>
      <c r="N283" s="103"/>
      <c r="O283" s="103"/>
      <c r="P283" s="103"/>
    </row>
    <row r="284">
      <c r="A284" s="8"/>
      <c r="B284" s="128"/>
      <c r="C284" s="128"/>
      <c r="D284" s="128"/>
      <c r="E284" s="128"/>
      <c r="F284" s="128"/>
      <c r="G284" s="128"/>
      <c r="I284" s="103"/>
      <c r="J284" s="103"/>
      <c r="K284" s="103"/>
      <c r="L284" s="103"/>
      <c r="M284" s="103"/>
      <c r="N284" s="103"/>
      <c r="O284" s="103"/>
      <c r="P284" s="103"/>
    </row>
    <row r="285">
      <c r="A285" s="8"/>
      <c r="B285" s="128"/>
      <c r="C285" s="128"/>
      <c r="D285" s="128"/>
      <c r="E285" s="128"/>
      <c r="F285" s="128"/>
      <c r="G285" s="128"/>
      <c r="I285" s="103"/>
      <c r="J285" s="103"/>
      <c r="K285" s="103"/>
      <c r="L285" s="103"/>
      <c r="M285" s="103"/>
      <c r="N285" s="103"/>
      <c r="O285" s="103"/>
      <c r="P285" s="103"/>
    </row>
    <row r="286">
      <c r="A286" s="8"/>
      <c r="B286" s="128"/>
      <c r="C286" s="128"/>
      <c r="D286" s="128"/>
      <c r="E286" s="128"/>
      <c r="F286" s="128"/>
      <c r="G286" s="128"/>
      <c r="I286" s="103"/>
      <c r="J286" s="103"/>
      <c r="K286" s="103"/>
      <c r="L286" s="103"/>
      <c r="M286" s="103"/>
      <c r="N286" s="103"/>
      <c r="O286" s="103"/>
      <c r="P286" s="103"/>
    </row>
    <row r="287">
      <c r="A287" s="8"/>
      <c r="B287" s="128"/>
      <c r="C287" s="128"/>
      <c r="D287" s="128"/>
      <c r="E287" s="128"/>
      <c r="F287" s="128"/>
      <c r="G287" s="128"/>
      <c r="I287" s="103"/>
      <c r="J287" s="103"/>
      <c r="K287" s="103"/>
      <c r="L287" s="103"/>
      <c r="M287" s="103"/>
      <c r="N287" s="103"/>
      <c r="O287" s="103"/>
      <c r="P287" s="103"/>
    </row>
    <row r="288">
      <c r="A288" s="8"/>
      <c r="B288" s="128"/>
      <c r="C288" s="128"/>
      <c r="D288" s="128"/>
      <c r="E288" s="128"/>
      <c r="F288" s="128"/>
      <c r="G288" s="128"/>
      <c r="I288" s="103"/>
      <c r="J288" s="103"/>
      <c r="K288" s="103"/>
      <c r="L288" s="103"/>
      <c r="M288" s="103"/>
      <c r="N288" s="103"/>
      <c r="O288" s="103"/>
      <c r="P288" s="103"/>
    </row>
    <row r="289">
      <c r="A289" s="8"/>
      <c r="B289" s="128"/>
      <c r="C289" s="128"/>
      <c r="D289" s="128"/>
      <c r="E289" s="128"/>
      <c r="F289" s="128"/>
      <c r="G289" s="128"/>
      <c r="I289" s="103"/>
      <c r="J289" s="103"/>
      <c r="K289" s="103"/>
      <c r="L289" s="103"/>
      <c r="M289" s="103"/>
      <c r="N289" s="103"/>
      <c r="O289" s="103"/>
      <c r="P289" s="103"/>
    </row>
    <row r="290">
      <c r="A290" s="8"/>
      <c r="B290" s="128"/>
      <c r="C290" s="128"/>
      <c r="D290" s="128"/>
      <c r="E290" s="128"/>
      <c r="F290" s="128"/>
      <c r="G290" s="128"/>
      <c r="I290" s="103"/>
      <c r="J290" s="103"/>
      <c r="K290" s="103"/>
      <c r="L290" s="103"/>
      <c r="M290" s="103"/>
      <c r="N290" s="103"/>
      <c r="O290" s="103"/>
      <c r="P290" s="103"/>
    </row>
    <row r="291">
      <c r="A291" s="8"/>
      <c r="B291" s="128"/>
      <c r="C291" s="128"/>
      <c r="D291" s="128"/>
      <c r="E291" s="128"/>
      <c r="F291" s="128"/>
      <c r="G291" s="128"/>
      <c r="I291" s="103"/>
      <c r="J291" s="103"/>
      <c r="K291" s="103"/>
      <c r="L291" s="103"/>
      <c r="M291" s="103"/>
      <c r="N291" s="103"/>
      <c r="O291" s="103"/>
      <c r="P291" s="103"/>
    </row>
    <row r="292">
      <c r="A292" s="8"/>
      <c r="B292" s="128"/>
      <c r="C292" s="128"/>
      <c r="D292" s="128"/>
      <c r="E292" s="128"/>
      <c r="F292" s="128"/>
      <c r="G292" s="128"/>
      <c r="I292" s="103"/>
      <c r="J292" s="103"/>
      <c r="K292" s="103"/>
      <c r="L292" s="103"/>
      <c r="M292" s="103"/>
      <c r="N292" s="103"/>
      <c r="O292" s="103"/>
      <c r="P292" s="103"/>
    </row>
    <row r="293">
      <c r="A293" s="8"/>
      <c r="B293" s="128"/>
      <c r="C293" s="128"/>
      <c r="D293" s="128"/>
      <c r="E293" s="128"/>
      <c r="F293" s="128"/>
      <c r="G293" s="128"/>
      <c r="I293" s="103"/>
      <c r="J293" s="103"/>
      <c r="K293" s="103"/>
      <c r="L293" s="103"/>
      <c r="M293" s="103"/>
      <c r="N293" s="103"/>
      <c r="O293" s="103"/>
      <c r="P293" s="103"/>
    </row>
    <row r="294">
      <c r="A294" s="8"/>
      <c r="B294" s="128"/>
      <c r="C294" s="128"/>
      <c r="D294" s="128"/>
      <c r="E294" s="128"/>
      <c r="F294" s="128"/>
      <c r="G294" s="128"/>
      <c r="I294" s="103"/>
      <c r="J294" s="103"/>
      <c r="K294" s="103"/>
      <c r="L294" s="103"/>
      <c r="M294" s="103"/>
      <c r="N294" s="103"/>
      <c r="O294" s="103"/>
      <c r="P294" s="103"/>
    </row>
    <row r="295">
      <c r="A295" s="8"/>
      <c r="B295" s="128"/>
      <c r="C295" s="128"/>
      <c r="D295" s="128"/>
      <c r="E295" s="128"/>
      <c r="F295" s="128"/>
      <c r="G295" s="128"/>
      <c r="I295" s="103"/>
      <c r="J295" s="103"/>
      <c r="K295" s="103"/>
      <c r="L295" s="103"/>
      <c r="M295" s="103"/>
      <c r="N295" s="103"/>
      <c r="O295" s="103"/>
      <c r="P295" s="103"/>
    </row>
    <row r="296">
      <c r="A296" s="8"/>
      <c r="B296" s="128"/>
      <c r="C296" s="128"/>
      <c r="D296" s="128"/>
      <c r="E296" s="128"/>
      <c r="F296" s="128"/>
      <c r="G296" s="128"/>
      <c r="I296" s="103"/>
      <c r="J296" s="103"/>
      <c r="K296" s="103"/>
      <c r="L296" s="103"/>
      <c r="M296" s="103"/>
      <c r="N296" s="103"/>
      <c r="O296" s="103"/>
      <c r="P296" s="103"/>
    </row>
    <row r="297">
      <c r="A297" s="8"/>
      <c r="B297" s="128"/>
      <c r="C297" s="128"/>
      <c r="D297" s="128"/>
      <c r="E297" s="128"/>
      <c r="F297" s="128"/>
      <c r="G297" s="128"/>
      <c r="I297" s="103"/>
      <c r="J297" s="103"/>
      <c r="K297" s="103"/>
      <c r="L297" s="103"/>
      <c r="M297" s="103"/>
      <c r="N297" s="103"/>
      <c r="O297" s="103"/>
      <c r="P297" s="103"/>
    </row>
    <row r="298">
      <c r="A298" s="8"/>
      <c r="B298" s="128"/>
      <c r="C298" s="128"/>
      <c r="D298" s="128"/>
      <c r="E298" s="128"/>
      <c r="F298" s="128"/>
      <c r="G298" s="128"/>
      <c r="I298" s="103"/>
      <c r="J298" s="103"/>
      <c r="K298" s="103"/>
      <c r="L298" s="103"/>
      <c r="M298" s="103"/>
      <c r="N298" s="103"/>
      <c r="O298" s="103"/>
      <c r="P298" s="103"/>
    </row>
    <row r="299">
      <c r="A299" s="8"/>
      <c r="B299" s="128"/>
      <c r="C299" s="128"/>
      <c r="D299" s="128"/>
      <c r="E299" s="128"/>
      <c r="F299" s="128"/>
      <c r="G299" s="128"/>
      <c r="I299" s="103"/>
      <c r="J299" s="103"/>
      <c r="K299" s="103"/>
      <c r="L299" s="103"/>
      <c r="M299" s="103"/>
      <c r="N299" s="103"/>
      <c r="O299" s="103"/>
      <c r="P299" s="103"/>
    </row>
    <row r="300">
      <c r="A300" s="8"/>
      <c r="B300" s="128"/>
      <c r="C300" s="128"/>
      <c r="D300" s="128"/>
      <c r="E300" s="128"/>
      <c r="F300" s="128"/>
      <c r="G300" s="128"/>
      <c r="I300" s="103"/>
      <c r="J300" s="103"/>
      <c r="K300" s="103"/>
      <c r="L300" s="103"/>
      <c r="M300" s="103"/>
      <c r="N300" s="103"/>
      <c r="O300" s="103"/>
      <c r="P300" s="103"/>
    </row>
    <row r="301">
      <c r="A301" s="8"/>
      <c r="B301" s="128"/>
      <c r="C301" s="128"/>
      <c r="D301" s="128"/>
      <c r="E301" s="128"/>
      <c r="F301" s="128"/>
      <c r="G301" s="128"/>
      <c r="I301" s="103"/>
      <c r="J301" s="103"/>
      <c r="K301" s="103"/>
      <c r="L301" s="103"/>
      <c r="M301" s="103"/>
      <c r="N301" s="103"/>
      <c r="O301" s="103"/>
      <c r="P301" s="103"/>
    </row>
    <row r="302">
      <c r="A302" s="8"/>
      <c r="B302" s="128"/>
      <c r="C302" s="128"/>
      <c r="D302" s="128"/>
      <c r="E302" s="128"/>
      <c r="F302" s="128"/>
      <c r="G302" s="128"/>
      <c r="I302" s="103"/>
      <c r="J302" s="103"/>
      <c r="K302" s="103"/>
      <c r="L302" s="103"/>
      <c r="M302" s="103"/>
      <c r="N302" s="103"/>
      <c r="O302" s="103"/>
      <c r="P302" s="103"/>
    </row>
    <row r="303">
      <c r="A303" s="8"/>
      <c r="B303" s="128"/>
      <c r="C303" s="128"/>
      <c r="D303" s="128"/>
      <c r="E303" s="128"/>
      <c r="F303" s="128"/>
      <c r="G303" s="128"/>
      <c r="I303" s="103"/>
      <c r="J303" s="103"/>
      <c r="K303" s="103"/>
      <c r="L303" s="103"/>
      <c r="M303" s="103"/>
      <c r="N303" s="103"/>
      <c r="O303" s="103"/>
      <c r="P303" s="103"/>
    </row>
    <row r="304">
      <c r="A304" s="8"/>
      <c r="B304" s="128"/>
      <c r="C304" s="128"/>
      <c r="D304" s="128"/>
      <c r="E304" s="128"/>
      <c r="F304" s="128"/>
      <c r="G304" s="128"/>
      <c r="I304" s="103"/>
      <c r="J304" s="103"/>
      <c r="K304" s="103"/>
      <c r="L304" s="103"/>
      <c r="M304" s="103"/>
      <c r="N304" s="103"/>
      <c r="O304" s="103"/>
      <c r="P304" s="103"/>
    </row>
    <row r="305">
      <c r="A305" s="8"/>
      <c r="B305" s="128"/>
      <c r="C305" s="128"/>
      <c r="D305" s="128"/>
      <c r="E305" s="128"/>
      <c r="F305" s="128"/>
      <c r="G305" s="128"/>
      <c r="I305" s="103"/>
      <c r="J305" s="103"/>
      <c r="K305" s="103"/>
      <c r="L305" s="103"/>
      <c r="M305" s="103"/>
      <c r="N305" s="103"/>
      <c r="O305" s="103"/>
      <c r="P305" s="103"/>
    </row>
    <row r="306">
      <c r="A306" s="8"/>
      <c r="B306" s="128"/>
      <c r="C306" s="128"/>
      <c r="D306" s="128"/>
      <c r="E306" s="128"/>
      <c r="F306" s="128"/>
      <c r="G306" s="128"/>
      <c r="I306" s="103"/>
      <c r="J306" s="103"/>
      <c r="K306" s="103"/>
      <c r="L306" s="103"/>
      <c r="M306" s="103"/>
      <c r="N306" s="103"/>
      <c r="O306" s="103"/>
      <c r="P306" s="103"/>
    </row>
    <row r="307">
      <c r="A307" s="8"/>
      <c r="B307" s="128"/>
      <c r="C307" s="128"/>
      <c r="D307" s="128"/>
      <c r="E307" s="128"/>
      <c r="F307" s="128"/>
      <c r="G307" s="128"/>
      <c r="I307" s="103"/>
      <c r="J307" s="103"/>
      <c r="K307" s="103"/>
      <c r="L307" s="103"/>
      <c r="M307" s="103"/>
      <c r="N307" s="103"/>
      <c r="O307" s="103"/>
      <c r="P307" s="103"/>
    </row>
    <row r="308">
      <c r="A308" s="8"/>
      <c r="B308" s="128"/>
      <c r="C308" s="128"/>
      <c r="D308" s="128"/>
      <c r="E308" s="128"/>
      <c r="F308" s="128"/>
      <c r="G308" s="128"/>
      <c r="I308" s="103"/>
      <c r="J308" s="103"/>
      <c r="K308" s="103"/>
      <c r="L308" s="103"/>
      <c r="M308" s="103"/>
      <c r="N308" s="103"/>
      <c r="O308" s="103"/>
      <c r="P308" s="103"/>
    </row>
    <row r="309">
      <c r="A309" s="8"/>
      <c r="B309" s="128"/>
      <c r="C309" s="128"/>
      <c r="D309" s="128"/>
      <c r="E309" s="128"/>
      <c r="F309" s="128"/>
      <c r="G309" s="128"/>
      <c r="I309" s="103"/>
      <c r="J309" s="103"/>
      <c r="K309" s="103"/>
      <c r="L309" s="103"/>
      <c r="M309" s="103"/>
      <c r="N309" s="103"/>
      <c r="O309" s="103"/>
      <c r="P309" s="103"/>
    </row>
    <row r="310">
      <c r="A310" s="8"/>
      <c r="B310" s="128"/>
      <c r="C310" s="128"/>
      <c r="D310" s="128"/>
      <c r="E310" s="128"/>
      <c r="F310" s="128"/>
      <c r="G310" s="128"/>
      <c r="I310" s="103"/>
      <c r="J310" s="103"/>
      <c r="K310" s="103"/>
      <c r="L310" s="103"/>
      <c r="M310" s="103"/>
      <c r="N310" s="103"/>
      <c r="O310" s="103"/>
      <c r="P310" s="103"/>
    </row>
    <row r="311">
      <c r="A311" s="8"/>
      <c r="B311" s="128"/>
      <c r="C311" s="128"/>
      <c r="D311" s="128"/>
      <c r="E311" s="128"/>
      <c r="F311" s="128"/>
      <c r="G311" s="128"/>
      <c r="I311" s="103"/>
      <c r="J311" s="103"/>
      <c r="K311" s="103"/>
      <c r="L311" s="103"/>
      <c r="M311" s="103"/>
      <c r="N311" s="103"/>
      <c r="O311" s="103"/>
      <c r="P311" s="103"/>
    </row>
    <row r="312">
      <c r="A312" s="8"/>
      <c r="B312" s="128"/>
      <c r="C312" s="128"/>
      <c r="D312" s="128"/>
      <c r="E312" s="128"/>
      <c r="F312" s="128"/>
      <c r="G312" s="128"/>
      <c r="I312" s="103"/>
      <c r="J312" s="103"/>
      <c r="K312" s="103"/>
      <c r="L312" s="103"/>
      <c r="M312" s="103"/>
      <c r="N312" s="103"/>
      <c r="O312" s="103"/>
      <c r="P312" s="103"/>
    </row>
    <row r="313">
      <c r="A313" s="8"/>
      <c r="B313" s="128"/>
      <c r="C313" s="128"/>
      <c r="D313" s="128"/>
      <c r="E313" s="128"/>
      <c r="F313" s="128"/>
      <c r="G313" s="128"/>
      <c r="I313" s="103"/>
      <c r="J313" s="103"/>
      <c r="K313" s="103"/>
      <c r="L313" s="103"/>
      <c r="M313" s="103"/>
      <c r="N313" s="103"/>
      <c r="O313" s="103"/>
      <c r="P313" s="103"/>
    </row>
    <row r="314">
      <c r="A314" s="8"/>
      <c r="B314" s="128"/>
      <c r="C314" s="128"/>
      <c r="D314" s="128"/>
      <c r="E314" s="128"/>
      <c r="F314" s="128"/>
      <c r="G314" s="128"/>
      <c r="I314" s="103"/>
      <c r="J314" s="103"/>
      <c r="K314" s="103"/>
      <c r="L314" s="103"/>
      <c r="M314" s="103"/>
      <c r="N314" s="103"/>
      <c r="O314" s="103"/>
      <c r="P314" s="103"/>
    </row>
    <row r="315">
      <c r="A315" s="8"/>
      <c r="B315" s="128"/>
      <c r="C315" s="128"/>
      <c r="D315" s="128"/>
      <c r="E315" s="128"/>
      <c r="F315" s="128"/>
      <c r="G315" s="128"/>
      <c r="I315" s="103"/>
      <c r="J315" s="103"/>
      <c r="K315" s="103"/>
      <c r="L315" s="103"/>
      <c r="M315" s="103"/>
      <c r="N315" s="103"/>
      <c r="O315" s="103"/>
      <c r="P315" s="103"/>
    </row>
    <row r="316">
      <c r="A316" s="8"/>
      <c r="B316" s="128"/>
      <c r="C316" s="128"/>
      <c r="D316" s="128"/>
      <c r="E316" s="128"/>
      <c r="F316" s="128"/>
      <c r="G316" s="128"/>
      <c r="I316" s="103"/>
      <c r="J316" s="103"/>
      <c r="K316" s="103"/>
      <c r="L316" s="103"/>
      <c r="M316" s="103"/>
      <c r="N316" s="103"/>
      <c r="O316" s="103"/>
      <c r="P316" s="103"/>
    </row>
    <row r="317">
      <c r="A317" s="8"/>
      <c r="B317" s="128"/>
      <c r="C317" s="128"/>
      <c r="D317" s="128"/>
      <c r="E317" s="128"/>
      <c r="F317" s="128"/>
      <c r="G317" s="128"/>
      <c r="I317" s="103"/>
      <c r="J317" s="103"/>
      <c r="K317" s="103"/>
      <c r="L317" s="103"/>
      <c r="M317" s="103"/>
      <c r="N317" s="103"/>
      <c r="O317" s="103"/>
      <c r="P317" s="103"/>
    </row>
    <row r="318">
      <c r="A318" s="8"/>
      <c r="B318" s="128"/>
      <c r="C318" s="128"/>
      <c r="D318" s="128"/>
      <c r="E318" s="128"/>
      <c r="F318" s="128"/>
      <c r="G318" s="128"/>
      <c r="I318" s="103"/>
      <c r="J318" s="103"/>
      <c r="K318" s="103"/>
      <c r="L318" s="103"/>
      <c r="M318" s="103"/>
      <c r="N318" s="103"/>
      <c r="O318" s="103"/>
      <c r="P318" s="103"/>
    </row>
    <row r="319">
      <c r="A319" s="8"/>
      <c r="B319" s="128"/>
      <c r="C319" s="128"/>
      <c r="D319" s="128"/>
      <c r="E319" s="128"/>
      <c r="F319" s="128"/>
      <c r="G319" s="128"/>
      <c r="I319" s="103"/>
      <c r="J319" s="103"/>
      <c r="K319" s="103"/>
      <c r="L319" s="103"/>
      <c r="M319" s="103"/>
      <c r="N319" s="103"/>
      <c r="O319" s="103"/>
      <c r="P319" s="103"/>
    </row>
    <row r="320">
      <c r="A320" s="8"/>
      <c r="B320" s="128"/>
      <c r="C320" s="128"/>
      <c r="D320" s="128"/>
      <c r="E320" s="128"/>
      <c r="F320" s="128"/>
      <c r="G320" s="128"/>
      <c r="I320" s="103"/>
      <c r="J320" s="103"/>
      <c r="K320" s="103"/>
      <c r="L320" s="103"/>
      <c r="M320" s="103"/>
      <c r="N320" s="103"/>
      <c r="O320" s="103"/>
      <c r="P320" s="103"/>
    </row>
    <row r="321">
      <c r="A321" s="8"/>
      <c r="B321" s="128"/>
      <c r="C321" s="128"/>
      <c r="D321" s="128"/>
      <c r="E321" s="128"/>
      <c r="F321" s="128"/>
      <c r="G321" s="128"/>
      <c r="I321" s="103"/>
      <c r="J321" s="103"/>
      <c r="K321" s="103"/>
      <c r="L321" s="103"/>
      <c r="M321" s="103"/>
      <c r="N321" s="103"/>
      <c r="O321" s="103"/>
      <c r="P321" s="103"/>
    </row>
    <row r="322">
      <c r="A322" s="8"/>
      <c r="B322" s="128"/>
      <c r="C322" s="128"/>
      <c r="D322" s="128"/>
      <c r="E322" s="128"/>
      <c r="F322" s="128"/>
      <c r="G322" s="128"/>
      <c r="I322" s="103"/>
      <c r="J322" s="103"/>
      <c r="K322" s="103"/>
      <c r="L322" s="103"/>
      <c r="M322" s="103"/>
      <c r="N322" s="103"/>
      <c r="O322" s="103"/>
      <c r="P322" s="103"/>
    </row>
    <row r="323">
      <c r="A323" s="8"/>
      <c r="B323" s="128"/>
      <c r="C323" s="128"/>
      <c r="D323" s="128"/>
      <c r="E323" s="128"/>
      <c r="F323" s="128"/>
      <c r="G323" s="128"/>
      <c r="I323" s="103"/>
      <c r="J323" s="103"/>
      <c r="K323" s="103"/>
      <c r="L323" s="103"/>
      <c r="M323" s="103"/>
      <c r="N323" s="103"/>
      <c r="O323" s="103"/>
      <c r="P323" s="103"/>
    </row>
    <row r="324">
      <c r="A324" s="8"/>
      <c r="B324" s="128"/>
      <c r="C324" s="128"/>
      <c r="D324" s="128"/>
      <c r="E324" s="128"/>
      <c r="F324" s="128"/>
      <c r="G324" s="128"/>
      <c r="I324" s="103"/>
      <c r="J324" s="103"/>
      <c r="K324" s="103"/>
      <c r="L324" s="103"/>
      <c r="M324" s="103"/>
      <c r="N324" s="103"/>
      <c r="O324" s="103"/>
      <c r="P324" s="103"/>
    </row>
    <row r="325">
      <c r="A325" s="8"/>
      <c r="B325" s="128"/>
      <c r="C325" s="128"/>
      <c r="D325" s="128"/>
      <c r="E325" s="128"/>
      <c r="F325" s="128"/>
      <c r="G325" s="128"/>
      <c r="I325" s="103"/>
      <c r="J325" s="103"/>
      <c r="K325" s="103"/>
      <c r="L325" s="103"/>
      <c r="M325" s="103"/>
      <c r="N325" s="103"/>
      <c r="O325" s="103"/>
      <c r="P325" s="103"/>
    </row>
    <row r="326">
      <c r="A326" s="8"/>
      <c r="B326" s="128"/>
      <c r="C326" s="128"/>
      <c r="D326" s="128"/>
      <c r="E326" s="128"/>
      <c r="F326" s="128"/>
      <c r="G326" s="128"/>
      <c r="I326" s="103"/>
      <c r="J326" s="103"/>
      <c r="K326" s="103"/>
      <c r="L326" s="103"/>
      <c r="M326" s="103"/>
      <c r="N326" s="103"/>
      <c r="O326" s="103"/>
      <c r="P326" s="103"/>
    </row>
    <row r="327">
      <c r="A327" s="8"/>
      <c r="B327" s="128"/>
      <c r="C327" s="128"/>
      <c r="D327" s="128"/>
      <c r="E327" s="128"/>
      <c r="F327" s="128"/>
      <c r="G327" s="128"/>
      <c r="I327" s="103"/>
      <c r="J327" s="103"/>
      <c r="K327" s="103"/>
      <c r="L327" s="103"/>
      <c r="M327" s="103"/>
      <c r="N327" s="103"/>
      <c r="O327" s="103"/>
      <c r="P327" s="103"/>
    </row>
    <row r="328">
      <c r="A328" s="8"/>
      <c r="B328" s="128"/>
      <c r="C328" s="128"/>
      <c r="D328" s="128"/>
      <c r="E328" s="128"/>
      <c r="F328" s="128"/>
      <c r="G328" s="128"/>
      <c r="I328" s="103"/>
      <c r="J328" s="103"/>
      <c r="K328" s="103"/>
      <c r="L328" s="103"/>
      <c r="M328" s="103"/>
      <c r="N328" s="103"/>
      <c r="O328" s="103"/>
      <c r="P328" s="103"/>
    </row>
    <row r="329">
      <c r="A329" s="8"/>
      <c r="B329" s="128"/>
      <c r="C329" s="128"/>
      <c r="D329" s="128"/>
      <c r="E329" s="128"/>
      <c r="F329" s="128"/>
      <c r="G329" s="128"/>
      <c r="I329" s="103"/>
      <c r="J329" s="103"/>
      <c r="K329" s="103"/>
      <c r="L329" s="103"/>
      <c r="M329" s="103"/>
      <c r="N329" s="103"/>
      <c r="O329" s="103"/>
      <c r="P329" s="103"/>
    </row>
    <row r="330">
      <c r="A330" s="8"/>
      <c r="B330" s="128"/>
      <c r="C330" s="128"/>
      <c r="D330" s="128"/>
      <c r="E330" s="128"/>
      <c r="F330" s="128"/>
      <c r="G330" s="128"/>
      <c r="I330" s="103"/>
      <c r="J330" s="103"/>
      <c r="K330" s="103"/>
      <c r="L330" s="103"/>
      <c r="M330" s="103"/>
      <c r="N330" s="103"/>
      <c r="O330" s="103"/>
      <c r="P330" s="103"/>
    </row>
    <row r="331">
      <c r="A331" s="8"/>
      <c r="B331" s="128"/>
      <c r="C331" s="128"/>
      <c r="D331" s="128"/>
      <c r="E331" s="128"/>
      <c r="F331" s="128"/>
      <c r="G331" s="128"/>
      <c r="I331" s="103"/>
      <c r="J331" s="103"/>
      <c r="K331" s="103"/>
      <c r="L331" s="103"/>
      <c r="M331" s="103"/>
      <c r="N331" s="103"/>
      <c r="O331" s="103"/>
      <c r="P331" s="103"/>
    </row>
    <row r="332">
      <c r="A332" s="8"/>
      <c r="B332" s="128"/>
      <c r="C332" s="128"/>
      <c r="D332" s="128"/>
      <c r="E332" s="128"/>
      <c r="F332" s="128"/>
      <c r="G332" s="128"/>
      <c r="I332" s="103"/>
      <c r="J332" s="103"/>
      <c r="K332" s="103"/>
      <c r="L332" s="103"/>
      <c r="M332" s="103"/>
      <c r="N332" s="103"/>
      <c r="O332" s="103"/>
      <c r="P332" s="103"/>
    </row>
    <row r="333">
      <c r="A333" s="8"/>
      <c r="B333" s="128"/>
      <c r="C333" s="128"/>
      <c r="D333" s="128"/>
      <c r="E333" s="128"/>
      <c r="F333" s="128"/>
      <c r="G333" s="128"/>
      <c r="I333" s="103"/>
      <c r="J333" s="103"/>
      <c r="K333" s="103"/>
      <c r="L333" s="103"/>
      <c r="M333" s="103"/>
      <c r="N333" s="103"/>
      <c r="O333" s="103"/>
      <c r="P333" s="103"/>
    </row>
    <row r="334">
      <c r="A334" s="8"/>
      <c r="B334" s="128"/>
      <c r="C334" s="128"/>
      <c r="D334" s="128"/>
      <c r="E334" s="128"/>
      <c r="F334" s="128"/>
      <c r="G334" s="128"/>
      <c r="I334" s="103"/>
      <c r="J334" s="103"/>
      <c r="K334" s="103"/>
      <c r="L334" s="103"/>
      <c r="M334" s="103"/>
      <c r="N334" s="103"/>
      <c r="O334" s="103"/>
      <c r="P334" s="103"/>
    </row>
    <row r="335">
      <c r="A335" s="8"/>
      <c r="B335" s="128"/>
      <c r="C335" s="128"/>
      <c r="D335" s="128"/>
      <c r="E335" s="128"/>
      <c r="F335" s="128"/>
      <c r="G335" s="128"/>
      <c r="I335" s="103"/>
      <c r="J335" s="103"/>
      <c r="K335" s="103"/>
      <c r="L335" s="103"/>
      <c r="M335" s="103"/>
      <c r="N335" s="103"/>
      <c r="O335" s="103"/>
      <c r="P335" s="103"/>
    </row>
    <row r="336">
      <c r="A336" s="8"/>
      <c r="B336" s="128"/>
      <c r="C336" s="128"/>
      <c r="D336" s="128"/>
      <c r="E336" s="128"/>
      <c r="F336" s="128"/>
      <c r="G336" s="128"/>
      <c r="I336" s="103"/>
      <c r="J336" s="103"/>
      <c r="K336" s="103"/>
      <c r="L336" s="103"/>
      <c r="M336" s="103"/>
      <c r="N336" s="103"/>
      <c r="O336" s="103"/>
      <c r="P336" s="103"/>
    </row>
    <row r="337">
      <c r="A337" s="8"/>
      <c r="B337" s="128"/>
      <c r="C337" s="128"/>
      <c r="D337" s="128"/>
      <c r="E337" s="128"/>
      <c r="F337" s="128"/>
      <c r="G337" s="128"/>
      <c r="I337" s="103"/>
      <c r="J337" s="103"/>
      <c r="K337" s="103"/>
      <c r="L337" s="103"/>
      <c r="M337" s="103"/>
      <c r="N337" s="103"/>
      <c r="O337" s="103"/>
      <c r="P337" s="103"/>
    </row>
    <row r="338">
      <c r="A338" s="8"/>
      <c r="B338" s="128"/>
      <c r="C338" s="128"/>
      <c r="D338" s="128"/>
      <c r="E338" s="128"/>
      <c r="F338" s="128"/>
      <c r="G338" s="128"/>
      <c r="I338" s="103"/>
      <c r="J338" s="103"/>
      <c r="K338" s="103"/>
      <c r="L338" s="103"/>
      <c r="M338" s="103"/>
      <c r="N338" s="103"/>
      <c r="O338" s="103"/>
      <c r="P338" s="103"/>
    </row>
    <row r="339">
      <c r="A339" s="8"/>
      <c r="B339" s="128"/>
      <c r="C339" s="128"/>
      <c r="D339" s="128"/>
      <c r="E339" s="128"/>
      <c r="F339" s="128"/>
      <c r="G339" s="128"/>
      <c r="I339" s="103"/>
      <c r="J339" s="103"/>
      <c r="K339" s="103"/>
      <c r="L339" s="103"/>
      <c r="M339" s="103"/>
      <c r="N339" s="103"/>
      <c r="O339" s="103"/>
      <c r="P339" s="103"/>
    </row>
    <row r="340">
      <c r="A340" s="8"/>
      <c r="B340" s="128"/>
      <c r="C340" s="128"/>
      <c r="D340" s="128"/>
      <c r="E340" s="128"/>
      <c r="F340" s="128"/>
      <c r="G340" s="128"/>
      <c r="I340" s="103"/>
      <c r="J340" s="103"/>
      <c r="K340" s="103"/>
      <c r="L340" s="103"/>
      <c r="M340" s="103"/>
      <c r="N340" s="103"/>
      <c r="O340" s="103"/>
      <c r="P340" s="103"/>
    </row>
    <row r="341">
      <c r="A341" s="8"/>
      <c r="B341" s="128"/>
      <c r="C341" s="128"/>
      <c r="D341" s="128"/>
      <c r="E341" s="128"/>
      <c r="F341" s="128"/>
      <c r="G341" s="128"/>
      <c r="I341" s="103"/>
      <c r="J341" s="103"/>
      <c r="K341" s="103"/>
      <c r="L341" s="103"/>
      <c r="M341" s="103"/>
      <c r="N341" s="103"/>
      <c r="O341" s="103"/>
      <c r="P341" s="103"/>
    </row>
    <row r="342">
      <c r="A342" s="8"/>
      <c r="B342" s="128"/>
      <c r="C342" s="128"/>
      <c r="D342" s="128"/>
      <c r="E342" s="128"/>
      <c r="F342" s="128"/>
      <c r="G342" s="128"/>
      <c r="I342" s="103"/>
      <c r="J342" s="103"/>
      <c r="K342" s="103"/>
      <c r="L342" s="103"/>
      <c r="M342" s="103"/>
      <c r="N342" s="103"/>
      <c r="O342" s="103"/>
      <c r="P342" s="103"/>
    </row>
    <row r="343">
      <c r="A343" s="8"/>
      <c r="B343" s="128"/>
      <c r="C343" s="128"/>
      <c r="D343" s="128"/>
      <c r="E343" s="128"/>
      <c r="F343" s="128"/>
      <c r="G343" s="128"/>
      <c r="I343" s="103"/>
      <c r="J343" s="103"/>
      <c r="K343" s="103"/>
      <c r="L343" s="103"/>
      <c r="M343" s="103"/>
      <c r="N343" s="103"/>
      <c r="O343" s="103"/>
      <c r="P343" s="103"/>
    </row>
    <row r="344">
      <c r="A344" s="8"/>
      <c r="B344" s="128"/>
      <c r="C344" s="128"/>
      <c r="D344" s="128"/>
      <c r="E344" s="128"/>
      <c r="F344" s="128"/>
      <c r="G344" s="128"/>
      <c r="I344" s="103"/>
      <c r="J344" s="103"/>
      <c r="K344" s="103"/>
      <c r="L344" s="103"/>
      <c r="M344" s="103"/>
      <c r="N344" s="103"/>
      <c r="O344" s="103"/>
      <c r="P344" s="103"/>
    </row>
    <row r="345">
      <c r="A345" s="8"/>
      <c r="B345" s="128"/>
      <c r="C345" s="128"/>
      <c r="D345" s="128"/>
      <c r="E345" s="128"/>
      <c r="F345" s="128"/>
      <c r="G345" s="128"/>
      <c r="I345" s="103"/>
      <c r="J345" s="103"/>
      <c r="K345" s="103"/>
      <c r="L345" s="103"/>
      <c r="M345" s="103"/>
      <c r="N345" s="103"/>
      <c r="O345" s="103"/>
      <c r="P345" s="103"/>
    </row>
    <row r="346">
      <c r="A346" s="8"/>
      <c r="B346" s="128"/>
      <c r="C346" s="128"/>
      <c r="D346" s="128"/>
      <c r="E346" s="128"/>
      <c r="F346" s="128"/>
      <c r="G346" s="128"/>
      <c r="I346" s="103"/>
      <c r="J346" s="103"/>
      <c r="K346" s="103"/>
      <c r="L346" s="103"/>
      <c r="M346" s="103"/>
      <c r="N346" s="103"/>
      <c r="O346" s="103"/>
      <c r="P346" s="103"/>
    </row>
    <row r="347">
      <c r="A347" s="8"/>
      <c r="B347" s="128"/>
      <c r="C347" s="128"/>
      <c r="D347" s="128"/>
      <c r="E347" s="128"/>
      <c r="F347" s="128"/>
      <c r="G347" s="128"/>
      <c r="I347" s="103"/>
      <c r="J347" s="103"/>
      <c r="K347" s="103"/>
      <c r="L347" s="103"/>
      <c r="M347" s="103"/>
      <c r="N347" s="103"/>
      <c r="O347" s="103"/>
      <c r="P347" s="103"/>
    </row>
    <row r="348">
      <c r="A348" s="8"/>
      <c r="B348" s="128"/>
      <c r="C348" s="128"/>
      <c r="D348" s="128"/>
      <c r="E348" s="128"/>
      <c r="F348" s="128"/>
      <c r="G348" s="128"/>
      <c r="I348" s="103"/>
      <c r="J348" s="103"/>
      <c r="K348" s="103"/>
      <c r="L348" s="103"/>
      <c r="M348" s="103"/>
      <c r="N348" s="103"/>
      <c r="O348" s="103"/>
      <c r="P348" s="103"/>
    </row>
    <row r="349">
      <c r="A349" s="8"/>
      <c r="B349" s="128"/>
      <c r="C349" s="128"/>
      <c r="D349" s="128"/>
      <c r="E349" s="128"/>
      <c r="F349" s="128"/>
      <c r="G349" s="128"/>
      <c r="I349" s="103"/>
      <c r="J349" s="103"/>
      <c r="K349" s="103"/>
      <c r="L349" s="103"/>
      <c r="M349" s="103"/>
      <c r="N349" s="103"/>
      <c r="O349" s="103"/>
      <c r="P349" s="103"/>
    </row>
    <row r="350">
      <c r="A350" s="8"/>
      <c r="B350" s="128"/>
      <c r="C350" s="128"/>
      <c r="D350" s="128"/>
      <c r="E350" s="128"/>
      <c r="F350" s="128"/>
      <c r="G350" s="128"/>
      <c r="I350" s="103"/>
      <c r="J350" s="103"/>
      <c r="K350" s="103"/>
      <c r="L350" s="103"/>
      <c r="M350" s="103"/>
      <c r="N350" s="103"/>
      <c r="O350" s="103"/>
      <c r="P350" s="103"/>
    </row>
    <row r="351">
      <c r="A351" s="8"/>
      <c r="B351" s="128"/>
      <c r="C351" s="128"/>
      <c r="D351" s="128"/>
      <c r="E351" s="128"/>
      <c r="F351" s="128"/>
      <c r="G351" s="128"/>
      <c r="I351" s="103"/>
      <c r="J351" s="103"/>
      <c r="K351" s="103"/>
      <c r="L351" s="103"/>
      <c r="M351" s="103"/>
      <c r="N351" s="103"/>
      <c r="O351" s="103"/>
      <c r="P351" s="103"/>
    </row>
    <row r="352">
      <c r="A352" s="8"/>
      <c r="B352" s="128"/>
      <c r="C352" s="128"/>
      <c r="D352" s="128"/>
      <c r="E352" s="128"/>
      <c r="F352" s="128"/>
      <c r="G352" s="128"/>
      <c r="I352" s="103"/>
      <c r="J352" s="103"/>
      <c r="K352" s="103"/>
      <c r="L352" s="103"/>
      <c r="M352" s="103"/>
      <c r="N352" s="103"/>
      <c r="O352" s="103"/>
      <c r="P352" s="103"/>
    </row>
    <row r="353">
      <c r="A353" s="8"/>
      <c r="B353" s="128"/>
      <c r="C353" s="128"/>
      <c r="D353" s="128"/>
      <c r="E353" s="128"/>
      <c r="F353" s="128"/>
      <c r="G353" s="128"/>
      <c r="I353" s="103"/>
      <c r="J353" s="103"/>
      <c r="K353" s="103"/>
      <c r="L353" s="103"/>
      <c r="M353" s="103"/>
      <c r="N353" s="103"/>
      <c r="O353" s="103"/>
      <c r="P353" s="103"/>
    </row>
    <row r="354">
      <c r="A354" s="8"/>
      <c r="B354" s="128"/>
      <c r="C354" s="128"/>
      <c r="D354" s="128"/>
      <c r="E354" s="128"/>
      <c r="F354" s="128"/>
      <c r="G354" s="128"/>
      <c r="I354" s="103"/>
      <c r="J354" s="103"/>
      <c r="K354" s="103"/>
      <c r="L354" s="103"/>
      <c r="M354" s="103"/>
      <c r="N354" s="103"/>
      <c r="O354" s="103"/>
      <c r="P354" s="103"/>
    </row>
    <row r="355">
      <c r="A355" s="8"/>
      <c r="B355" s="128"/>
      <c r="C355" s="128"/>
      <c r="D355" s="128"/>
      <c r="E355" s="128"/>
      <c r="F355" s="128"/>
      <c r="G355" s="128"/>
      <c r="I355" s="103"/>
      <c r="J355" s="103"/>
      <c r="K355" s="103"/>
      <c r="L355" s="103"/>
      <c r="M355" s="103"/>
      <c r="N355" s="103"/>
      <c r="O355" s="103"/>
      <c r="P355" s="103"/>
    </row>
    <row r="356">
      <c r="A356" s="8"/>
      <c r="B356" s="128"/>
      <c r="C356" s="128"/>
      <c r="D356" s="128"/>
      <c r="E356" s="128"/>
      <c r="F356" s="128"/>
      <c r="G356" s="128"/>
      <c r="I356" s="103"/>
      <c r="J356" s="103"/>
      <c r="K356" s="103"/>
      <c r="L356" s="103"/>
      <c r="M356" s="103"/>
      <c r="N356" s="103"/>
      <c r="O356" s="103"/>
      <c r="P356" s="103"/>
    </row>
    <row r="357">
      <c r="A357" s="8"/>
      <c r="B357" s="128"/>
      <c r="C357" s="128"/>
      <c r="D357" s="128"/>
      <c r="E357" s="128"/>
      <c r="F357" s="128"/>
      <c r="G357" s="128"/>
      <c r="I357" s="103"/>
      <c r="J357" s="103"/>
      <c r="K357" s="103"/>
      <c r="L357" s="103"/>
      <c r="M357" s="103"/>
      <c r="N357" s="103"/>
      <c r="O357" s="103"/>
      <c r="P357" s="103"/>
    </row>
    <row r="358">
      <c r="A358" s="8"/>
      <c r="B358" s="128"/>
      <c r="C358" s="128"/>
      <c r="D358" s="128"/>
      <c r="E358" s="128"/>
      <c r="F358" s="128"/>
      <c r="G358" s="128"/>
      <c r="I358" s="103"/>
      <c r="J358" s="103"/>
      <c r="K358" s="103"/>
      <c r="L358" s="103"/>
      <c r="M358" s="103"/>
      <c r="N358" s="103"/>
      <c r="O358" s="103"/>
      <c r="P358" s="103"/>
    </row>
    <row r="359">
      <c r="A359" s="8"/>
      <c r="B359" s="128"/>
      <c r="C359" s="128"/>
      <c r="D359" s="128"/>
      <c r="E359" s="128"/>
      <c r="F359" s="128"/>
      <c r="G359" s="128"/>
      <c r="I359" s="103"/>
      <c r="J359" s="103"/>
      <c r="K359" s="103"/>
      <c r="L359" s="103"/>
      <c r="M359" s="103"/>
      <c r="N359" s="103"/>
      <c r="O359" s="103"/>
      <c r="P359" s="103"/>
    </row>
    <row r="360">
      <c r="A360" s="8"/>
      <c r="B360" s="128"/>
      <c r="C360" s="128"/>
      <c r="D360" s="128"/>
      <c r="E360" s="128"/>
      <c r="F360" s="128"/>
      <c r="G360" s="128"/>
      <c r="I360" s="103"/>
      <c r="J360" s="103"/>
      <c r="K360" s="103"/>
      <c r="L360" s="103"/>
      <c r="M360" s="103"/>
      <c r="N360" s="103"/>
      <c r="O360" s="103"/>
      <c r="P360" s="103"/>
    </row>
    <row r="361">
      <c r="A361" s="8"/>
      <c r="B361" s="128"/>
      <c r="C361" s="128"/>
      <c r="D361" s="128"/>
      <c r="E361" s="128"/>
      <c r="F361" s="128"/>
      <c r="G361" s="128"/>
      <c r="I361" s="103"/>
      <c r="J361" s="103"/>
      <c r="K361" s="103"/>
      <c r="L361" s="103"/>
      <c r="M361" s="103"/>
      <c r="N361" s="103"/>
      <c r="O361" s="103"/>
      <c r="P361" s="103"/>
    </row>
    <row r="362">
      <c r="A362" s="8"/>
      <c r="B362" s="128"/>
      <c r="C362" s="128"/>
      <c r="D362" s="128"/>
      <c r="E362" s="128"/>
      <c r="F362" s="128"/>
      <c r="G362" s="128"/>
      <c r="I362" s="103"/>
      <c r="J362" s="103"/>
      <c r="K362" s="103"/>
      <c r="L362" s="103"/>
      <c r="M362" s="103"/>
      <c r="N362" s="103"/>
      <c r="O362" s="103"/>
      <c r="P362" s="103"/>
    </row>
    <row r="363">
      <c r="A363" s="8"/>
      <c r="B363" s="128"/>
      <c r="C363" s="128"/>
      <c r="D363" s="128"/>
      <c r="E363" s="128"/>
      <c r="F363" s="128"/>
      <c r="G363" s="128"/>
      <c r="I363" s="103"/>
      <c r="J363" s="103"/>
      <c r="K363" s="103"/>
      <c r="L363" s="103"/>
      <c r="M363" s="103"/>
      <c r="N363" s="103"/>
      <c r="O363" s="103"/>
      <c r="P363" s="103"/>
    </row>
    <row r="364">
      <c r="A364" s="8"/>
      <c r="B364" s="128"/>
      <c r="C364" s="128"/>
      <c r="D364" s="128"/>
      <c r="E364" s="128"/>
      <c r="F364" s="128"/>
      <c r="G364" s="128"/>
      <c r="I364" s="103"/>
      <c r="J364" s="103"/>
      <c r="K364" s="103"/>
      <c r="L364" s="103"/>
      <c r="M364" s="103"/>
      <c r="N364" s="103"/>
      <c r="O364" s="103"/>
      <c r="P364" s="103"/>
    </row>
    <row r="365">
      <c r="A365" s="8"/>
      <c r="B365" s="128"/>
      <c r="C365" s="128"/>
      <c r="D365" s="128"/>
      <c r="E365" s="128"/>
      <c r="F365" s="128"/>
      <c r="G365" s="128"/>
      <c r="I365" s="103"/>
      <c r="J365" s="103"/>
      <c r="K365" s="103"/>
      <c r="L365" s="103"/>
      <c r="M365" s="103"/>
      <c r="N365" s="103"/>
      <c r="O365" s="103"/>
      <c r="P365" s="103"/>
    </row>
    <row r="366">
      <c r="A366" s="8"/>
      <c r="B366" s="128"/>
      <c r="C366" s="128"/>
      <c r="D366" s="128"/>
      <c r="E366" s="128"/>
      <c r="F366" s="128"/>
      <c r="G366" s="128"/>
      <c r="I366" s="103"/>
      <c r="J366" s="103"/>
      <c r="K366" s="103"/>
      <c r="L366" s="103"/>
      <c r="M366" s="103"/>
      <c r="N366" s="103"/>
      <c r="O366" s="103"/>
      <c r="P366" s="103"/>
    </row>
    <row r="367">
      <c r="A367" s="8"/>
      <c r="B367" s="128"/>
      <c r="C367" s="128"/>
      <c r="D367" s="128"/>
      <c r="E367" s="128"/>
      <c r="F367" s="128"/>
      <c r="G367" s="128"/>
      <c r="I367" s="103"/>
      <c r="J367" s="103"/>
      <c r="K367" s="103"/>
      <c r="L367" s="103"/>
      <c r="M367" s="103"/>
      <c r="N367" s="103"/>
      <c r="O367" s="103"/>
      <c r="P367" s="103"/>
    </row>
    <row r="368">
      <c r="A368" s="8"/>
      <c r="B368" s="128"/>
      <c r="C368" s="128"/>
      <c r="D368" s="128"/>
      <c r="E368" s="128"/>
      <c r="F368" s="128"/>
      <c r="G368" s="128"/>
      <c r="I368" s="103"/>
      <c r="J368" s="103"/>
      <c r="K368" s="103"/>
      <c r="L368" s="103"/>
      <c r="M368" s="103"/>
      <c r="N368" s="103"/>
      <c r="O368" s="103"/>
      <c r="P368" s="103"/>
    </row>
    <row r="369">
      <c r="A369" s="8"/>
      <c r="B369" s="128"/>
      <c r="C369" s="128"/>
      <c r="D369" s="128"/>
      <c r="E369" s="128"/>
      <c r="F369" s="128"/>
      <c r="G369" s="128"/>
      <c r="I369" s="103"/>
      <c r="J369" s="103"/>
      <c r="K369" s="103"/>
      <c r="L369" s="103"/>
      <c r="M369" s="103"/>
      <c r="N369" s="103"/>
      <c r="O369" s="103"/>
      <c r="P369" s="103"/>
    </row>
    <row r="370">
      <c r="A370" s="8"/>
      <c r="B370" s="128"/>
      <c r="C370" s="128"/>
      <c r="D370" s="128"/>
      <c r="E370" s="128"/>
      <c r="F370" s="128"/>
      <c r="G370" s="128"/>
      <c r="I370" s="103"/>
      <c r="J370" s="103"/>
      <c r="K370" s="103"/>
      <c r="L370" s="103"/>
      <c r="M370" s="103"/>
      <c r="N370" s="103"/>
      <c r="O370" s="103"/>
      <c r="P370" s="103"/>
    </row>
    <row r="371">
      <c r="A371" s="8"/>
      <c r="B371" s="128"/>
      <c r="C371" s="128"/>
      <c r="D371" s="128"/>
      <c r="E371" s="128"/>
      <c r="F371" s="128"/>
      <c r="G371" s="128"/>
      <c r="I371" s="103"/>
      <c r="J371" s="103"/>
      <c r="K371" s="103"/>
      <c r="L371" s="103"/>
      <c r="M371" s="103"/>
      <c r="N371" s="103"/>
      <c r="O371" s="103"/>
      <c r="P371" s="103"/>
    </row>
    <row r="372">
      <c r="A372" s="8"/>
      <c r="B372" s="128"/>
      <c r="C372" s="128"/>
      <c r="D372" s="128"/>
      <c r="E372" s="128"/>
      <c r="F372" s="128"/>
      <c r="G372" s="128"/>
      <c r="I372" s="103"/>
      <c r="J372" s="103"/>
      <c r="K372" s="103"/>
      <c r="L372" s="103"/>
      <c r="M372" s="103"/>
      <c r="N372" s="103"/>
      <c r="O372" s="103"/>
      <c r="P372" s="103"/>
    </row>
    <row r="373">
      <c r="A373" s="8"/>
      <c r="B373" s="128"/>
      <c r="C373" s="128"/>
      <c r="D373" s="128"/>
      <c r="E373" s="128"/>
      <c r="F373" s="128"/>
      <c r="G373" s="128"/>
      <c r="I373" s="103"/>
      <c r="J373" s="103"/>
      <c r="K373" s="103"/>
      <c r="L373" s="103"/>
      <c r="M373" s="103"/>
      <c r="N373" s="103"/>
      <c r="O373" s="103"/>
      <c r="P373" s="103"/>
    </row>
    <row r="374">
      <c r="A374" s="8"/>
      <c r="B374" s="128"/>
      <c r="C374" s="128"/>
      <c r="D374" s="128"/>
      <c r="E374" s="128"/>
      <c r="F374" s="128"/>
      <c r="G374" s="128"/>
      <c r="I374" s="103"/>
      <c r="J374" s="103"/>
      <c r="K374" s="103"/>
      <c r="L374" s="103"/>
      <c r="M374" s="103"/>
      <c r="N374" s="103"/>
      <c r="O374" s="103"/>
      <c r="P374" s="103"/>
    </row>
    <row r="375">
      <c r="A375" s="8"/>
      <c r="B375" s="128"/>
      <c r="C375" s="128"/>
      <c r="D375" s="128"/>
      <c r="E375" s="128"/>
      <c r="F375" s="128"/>
      <c r="G375" s="128"/>
      <c r="I375" s="103"/>
      <c r="J375" s="103"/>
      <c r="K375" s="103"/>
      <c r="L375" s="103"/>
      <c r="M375" s="103"/>
      <c r="N375" s="103"/>
      <c r="O375" s="103"/>
      <c r="P375" s="103"/>
    </row>
    <row r="376">
      <c r="A376" s="8"/>
      <c r="B376" s="128"/>
      <c r="C376" s="128"/>
      <c r="D376" s="128"/>
      <c r="E376" s="128"/>
      <c r="F376" s="128"/>
      <c r="G376" s="128"/>
      <c r="I376" s="103"/>
      <c r="J376" s="103"/>
      <c r="K376" s="103"/>
      <c r="L376" s="103"/>
      <c r="M376" s="103"/>
      <c r="N376" s="103"/>
      <c r="O376" s="103"/>
      <c r="P376" s="103"/>
    </row>
    <row r="377">
      <c r="A377" s="8"/>
      <c r="B377" s="128"/>
      <c r="C377" s="128"/>
      <c r="D377" s="128"/>
      <c r="E377" s="128"/>
      <c r="F377" s="128"/>
      <c r="G377" s="128"/>
      <c r="I377" s="103"/>
      <c r="J377" s="103"/>
      <c r="K377" s="103"/>
      <c r="L377" s="103"/>
      <c r="M377" s="103"/>
      <c r="N377" s="103"/>
      <c r="O377" s="103"/>
      <c r="P377" s="103"/>
    </row>
    <row r="378">
      <c r="A378" s="8"/>
      <c r="B378" s="128"/>
      <c r="C378" s="128"/>
      <c r="D378" s="128"/>
      <c r="E378" s="128"/>
      <c r="F378" s="128"/>
      <c r="G378" s="128"/>
      <c r="I378" s="103"/>
      <c r="J378" s="103"/>
      <c r="K378" s="103"/>
      <c r="L378" s="103"/>
      <c r="M378" s="103"/>
      <c r="N378" s="103"/>
      <c r="O378" s="103"/>
      <c r="P378" s="103"/>
    </row>
    <row r="379">
      <c r="A379" s="8"/>
      <c r="B379" s="128"/>
      <c r="C379" s="128"/>
      <c r="D379" s="128"/>
      <c r="E379" s="128"/>
      <c r="F379" s="128"/>
      <c r="G379" s="128"/>
      <c r="I379" s="103"/>
      <c r="J379" s="103"/>
      <c r="K379" s="103"/>
      <c r="L379" s="103"/>
      <c r="M379" s="103"/>
      <c r="N379" s="103"/>
      <c r="O379" s="103"/>
      <c r="P379" s="103"/>
    </row>
    <row r="380">
      <c r="A380" s="8"/>
      <c r="B380" s="128"/>
      <c r="C380" s="128"/>
      <c r="D380" s="128"/>
      <c r="E380" s="128"/>
      <c r="F380" s="128"/>
      <c r="G380" s="128"/>
      <c r="I380" s="103"/>
      <c r="J380" s="103"/>
      <c r="K380" s="103"/>
      <c r="L380" s="103"/>
      <c r="M380" s="103"/>
      <c r="N380" s="103"/>
      <c r="O380" s="103"/>
      <c r="P380" s="103"/>
    </row>
    <row r="381">
      <c r="A381" s="8"/>
      <c r="B381" s="128"/>
      <c r="C381" s="128"/>
      <c r="D381" s="128"/>
      <c r="E381" s="128"/>
      <c r="F381" s="128"/>
      <c r="G381" s="128"/>
      <c r="I381" s="103"/>
      <c r="J381" s="103"/>
      <c r="K381" s="103"/>
      <c r="L381" s="103"/>
      <c r="M381" s="103"/>
      <c r="N381" s="103"/>
      <c r="O381" s="103"/>
      <c r="P381" s="103"/>
    </row>
    <row r="382">
      <c r="A382" s="8"/>
      <c r="B382" s="128"/>
      <c r="C382" s="128"/>
      <c r="D382" s="128"/>
      <c r="E382" s="128"/>
      <c r="F382" s="128"/>
      <c r="G382" s="128"/>
      <c r="I382" s="103"/>
      <c r="J382" s="103"/>
      <c r="K382" s="103"/>
      <c r="L382" s="103"/>
      <c r="M382" s="103"/>
      <c r="N382" s="103"/>
      <c r="O382" s="103"/>
      <c r="P382" s="103"/>
    </row>
    <row r="383">
      <c r="A383" s="8"/>
      <c r="B383" s="128"/>
      <c r="C383" s="128"/>
      <c r="D383" s="128"/>
      <c r="E383" s="128"/>
      <c r="F383" s="128"/>
      <c r="G383" s="128"/>
      <c r="I383" s="103"/>
      <c r="J383" s="103"/>
      <c r="K383" s="103"/>
      <c r="L383" s="103"/>
      <c r="M383" s="103"/>
      <c r="N383" s="103"/>
      <c r="O383" s="103"/>
      <c r="P383" s="103"/>
    </row>
    <row r="384">
      <c r="A384" s="8"/>
      <c r="B384" s="128"/>
      <c r="C384" s="128"/>
      <c r="D384" s="128"/>
      <c r="E384" s="128"/>
      <c r="F384" s="128"/>
      <c r="G384" s="128"/>
      <c r="I384" s="103"/>
      <c r="J384" s="103"/>
      <c r="K384" s="103"/>
      <c r="L384" s="103"/>
      <c r="M384" s="103"/>
      <c r="N384" s="103"/>
      <c r="O384" s="103"/>
      <c r="P384" s="103"/>
    </row>
    <row r="385">
      <c r="A385" s="8"/>
      <c r="B385" s="128"/>
      <c r="C385" s="128"/>
      <c r="D385" s="128"/>
      <c r="E385" s="128"/>
      <c r="F385" s="128"/>
      <c r="G385" s="128"/>
      <c r="I385" s="103"/>
      <c r="J385" s="103"/>
      <c r="K385" s="103"/>
      <c r="L385" s="103"/>
      <c r="M385" s="103"/>
      <c r="N385" s="103"/>
      <c r="O385" s="103"/>
      <c r="P385" s="103"/>
    </row>
    <row r="386">
      <c r="A386" s="8"/>
      <c r="B386" s="128"/>
      <c r="C386" s="128"/>
      <c r="D386" s="128"/>
      <c r="E386" s="128"/>
      <c r="F386" s="128"/>
      <c r="G386" s="128"/>
      <c r="I386" s="103"/>
      <c r="J386" s="103"/>
      <c r="K386" s="103"/>
      <c r="L386" s="103"/>
      <c r="M386" s="103"/>
      <c r="N386" s="103"/>
      <c r="O386" s="103"/>
      <c r="P386" s="103"/>
    </row>
    <row r="387">
      <c r="A387" s="8"/>
      <c r="B387" s="128"/>
      <c r="C387" s="128"/>
      <c r="D387" s="128"/>
      <c r="E387" s="128"/>
      <c r="F387" s="128"/>
      <c r="G387" s="128"/>
      <c r="I387" s="103"/>
      <c r="J387" s="103"/>
      <c r="K387" s="103"/>
      <c r="L387" s="103"/>
      <c r="M387" s="103"/>
      <c r="N387" s="103"/>
      <c r="O387" s="103"/>
      <c r="P387" s="103"/>
    </row>
    <row r="388">
      <c r="A388" s="8"/>
      <c r="B388" s="128"/>
      <c r="C388" s="128"/>
      <c r="D388" s="128"/>
      <c r="E388" s="128"/>
      <c r="F388" s="128"/>
      <c r="G388" s="128"/>
      <c r="I388" s="103"/>
      <c r="J388" s="103"/>
      <c r="K388" s="103"/>
      <c r="L388" s="103"/>
      <c r="M388" s="103"/>
      <c r="N388" s="103"/>
      <c r="O388" s="103"/>
      <c r="P388" s="103"/>
    </row>
    <row r="389">
      <c r="A389" s="8"/>
      <c r="B389" s="128"/>
      <c r="C389" s="128"/>
      <c r="D389" s="128"/>
      <c r="E389" s="128"/>
      <c r="F389" s="128"/>
      <c r="G389" s="128"/>
      <c r="I389" s="103"/>
      <c r="J389" s="103"/>
      <c r="K389" s="103"/>
      <c r="L389" s="103"/>
      <c r="M389" s="103"/>
      <c r="N389" s="103"/>
      <c r="O389" s="103"/>
      <c r="P389" s="103"/>
    </row>
    <row r="390">
      <c r="A390" s="8"/>
      <c r="B390" s="128"/>
      <c r="C390" s="128"/>
      <c r="D390" s="128"/>
      <c r="E390" s="128"/>
      <c r="F390" s="128"/>
      <c r="G390" s="128"/>
      <c r="I390" s="103"/>
      <c r="J390" s="103"/>
      <c r="K390" s="103"/>
      <c r="L390" s="103"/>
      <c r="M390" s="103"/>
      <c r="N390" s="103"/>
      <c r="O390" s="103"/>
      <c r="P390" s="103"/>
    </row>
    <row r="391">
      <c r="A391" s="8"/>
      <c r="B391" s="128"/>
      <c r="C391" s="128"/>
      <c r="D391" s="128"/>
      <c r="E391" s="128"/>
      <c r="F391" s="128"/>
      <c r="G391" s="128"/>
      <c r="I391" s="103"/>
      <c r="J391" s="103"/>
      <c r="K391" s="103"/>
      <c r="L391" s="103"/>
      <c r="M391" s="103"/>
      <c r="N391" s="103"/>
      <c r="O391" s="103"/>
      <c r="P391" s="103"/>
    </row>
    <row r="392">
      <c r="A392" s="8"/>
      <c r="B392" s="128"/>
      <c r="C392" s="128"/>
      <c r="D392" s="128"/>
      <c r="E392" s="128"/>
      <c r="F392" s="128"/>
      <c r="G392" s="128"/>
      <c r="I392" s="103"/>
      <c r="J392" s="103"/>
      <c r="K392" s="103"/>
      <c r="L392" s="103"/>
      <c r="M392" s="103"/>
      <c r="N392" s="103"/>
      <c r="O392" s="103"/>
      <c r="P392" s="103"/>
    </row>
    <row r="393">
      <c r="A393" s="8"/>
      <c r="B393" s="128"/>
      <c r="C393" s="128"/>
      <c r="D393" s="128"/>
      <c r="E393" s="128"/>
      <c r="F393" s="128"/>
      <c r="G393" s="128"/>
      <c r="I393" s="103"/>
      <c r="J393" s="103"/>
      <c r="K393" s="103"/>
      <c r="L393" s="103"/>
      <c r="M393" s="103"/>
      <c r="N393" s="103"/>
      <c r="O393" s="103"/>
      <c r="P393" s="103"/>
    </row>
    <row r="394">
      <c r="A394" s="8"/>
      <c r="B394" s="128"/>
      <c r="C394" s="128"/>
      <c r="D394" s="128"/>
      <c r="E394" s="128"/>
      <c r="F394" s="128"/>
      <c r="G394" s="128"/>
      <c r="I394" s="103"/>
      <c r="J394" s="103"/>
      <c r="K394" s="103"/>
      <c r="L394" s="103"/>
      <c r="M394" s="103"/>
      <c r="N394" s="103"/>
      <c r="O394" s="103"/>
      <c r="P394" s="103"/>
    </row>
    <row r="395">
      <c r="A395" s="8"/>
      <c r="B395" s="128"/>
      <c r="C395" s="128"/>
      <c r="D395" s="128"/>
      <c r="E395" s="128"/>
      <c r="F395" s="128"/>
      <c r="G395" s="128"/>
      <c r="I395" s="103"/>
      <c r="J395" s="103"/>
      <c r="K395" s="103"/>
      <c r="L395" s="103"/>
      <c r="M395" s="103"/>
      <c r="N395" s="103"/>
      <c r="O395" s="103"/>
      <c r="P395" s="103"/>
    </row>
    <row r="396">
      <c r="A396" s="8"/>
      <c r="B396" s="128"/>
      <c r="C396" s="128"/>
      <c r="D396" s="128"/>
      <c r="E396" s="128"/>
      <c r="F396" s="128"/>
      <c r="G396" s="128"/>
      <c r="I396" s="103"/>
      <c r="J396" s="103"/>
      <c r="K396" s="103"/>
      <c r="L396" s="103"/>
      <c r="M396" s="103"/>
      <c r="N396" s="103"/>
      <c r="O396" s="103"/>
      <c r="P396" s="103"/>
    </row>
    <row r="397">
      <c r="A397" s="8"/>
      <c r="B397" s="128"/>
      <c r="C397" s="128"/>
      <c r="D397" s="128"/>
      <c r="E397" s="128"/>
      <c r="F397" s="128"/>
      <c r="G397" s="128"/>
      <c r="I397" s="103"/>
      <c r="J397" s="103"/>
      <c r="K397" s="103"/>
      <c r="L397" s="103"/>
      <c r="M397" s="103"/>
      <c r="N397" s="103"/>
      <c r="O397" s="103"/>
      <c r="P397" s="103"/>
    </row>
    <row r="398">
      <c r="A398" s="8"/>
      <c r="B398" s="128"/>
      <c r="C398" s="128"/>
      <c r="D398" s="128"/>
      <c r="E398" s="128"/>
      <c r="F398" s="128"/>
      <c r="G398" s="128"/>
      <c r="I398" s="103"/>
      <c r="J398" s="103"/>
      <c r="K398" s="103"/>
      <c r="L398" s="103"/>
      <c r="M398" s="103"/>
      <c r="N398" s="103"/>
      <c r="O398" s="103"/>
      <c r="P398" s="103"/>
    </row>
    <row r="399">
      <c r="A399" s="8"/>
      <c r="B399" s="128"/>
      <c r="C399" s="128"/>
      <c r="D399" s="128"/>
      <c r="E399" s="128"/>
      <c r="F399" s="128"/>
      <c r="G399" s="128"/>
      <c r="I399" s="103"/>
      <c r="J399" s="103"/>
      <c r="K399" s="103"/>
      <c r="L399" s="103"/>
      <c r="M399" s="103"/>
      <c r="N399" s="103"/>
      <c r="O399" s="103"/>
      <c r="P399" s="103"/>
    </row>
    <row r="400">
      <c r="A400" s="8"/>
      <c r="B400" s="128"/>
      <c r="C400" s="128"/>
      <c r="D400" s="128"/>
      <c r="E400" s="128"/>
      <c r="F400" s="128"/>
      <c r="G400" s="128"/>
      <c r="I400" s="103"/>
      <c r="J400" s="103"/>
      <c r="K400" s="103"/>
      <c r="L400" s="103"/>
      <c r="M400" s="103"/>
      <c r="N400" s="103"/>
      <c r="O400" s="103"/>
      <c r="P400" s="103"/>
    </row>
    <row r="401">
      <c r="A401" s="8"/>
      <c r="B401" s="128"/>
      <c r="C401" s="128"/>
      <c r="D401" s="128"/>
      <c r="E401" s="128"/>
      <c r="F401" s="128"/>
      <c r="G401" s="128"/>
      <c r="I401" s="103"/>
      <c r="J401" s="103"/>
      <c r="K401" s="103"/>
      <c r="L401" s="103"/>
      <c r="M401" s="103"/>
      <c r="N401" s="103"/>
      <c r="O401" s="103"/>
      <c r="P401" s="103"/>
    </row>
    <row r="402">
      <c r="A402" s="8"/>
      <c r="B402" s="128"/>
      <c r="C402" s="128"/>
      <c r="D402" s="128"/>
      <c r="E402" s="128"/>
      <c r="F402" s="128"/>
      <c r="G402" s="128"/>
      <c r="I402" s="103"/>
      <c r="J402" s="103"/>
      <c r="K402" s="103"/>
      <c r="L402" s="103"/>
      <c r="M402" s="103"/>
      <c r="N402" s="103"/>
      <c r="O402" s="103"/>
      <c r="P402" s="103"/>
    </row>
    <row r="403">
      <c r="A403" s="8"/>
      <c r="B403" s="128"/>
      <c r="C403" s="128"/>
      <c r="D403" s="128"/>
      <c r="E403" s="128"/>
      <c r="F403" s="128"/>
      <c r="G403" s="128"/>
      <c r="I403" s="103"/>
      <c r="J403" s="103"/>
      <c r="K403" s="103"/>
      <c r="L403" s="103"/>
      <c r="M403" s="103"/>
      <c r="N403" s="103"/>
      <c r="O403" s="103"/>
      <c r="P403" s="103"/>
    </row>
    <row r="404">
      <c r="A404" s="8"/>
      <c r="B404" s="128"/>
      <c r="C404" s="128"/>
      <c r="D404" s="128"/>
      <c r="E404" s="128"/>
      <c r="F404" s="128"/>
      <c r="G404" s="128"/>
      <c r="I404" s="103"/>
      <c r="J404" s="103"/>
      <c r="K404" s="103"/>
      <c r="L404" s="103"/>
      <c r="M404" s="103"/>
      <c r="N404" s="103"/>
      <c r="O404" s="103"/>
      <c r="P404" s="103"/>
    </row>
    <row r="405">
      <c r="A405" s="8"/>
      <c r="B405" s="128"/>
      <c r="C405" s="128"/>
      <c r="D405" s="128"/>
      <c r="E405" s="128"/>
      <c r="F405" s="128"/>
      <c r="G405" s="128"/>
      <c r="I405" s="103"/>
      <c r="J405" s="103"/>
      <c r="K405" s="103"/>
      <c r="L405" s="103"/>
      <c r="M405" s="103"/>
      <c r="N405" s="103"/>
      <c r="O405" s="103"/>
      <c r="P405" s="103"/>
    </row>
    <row r="406">
      <c r="A406" s="8"/>
      <c r="B406" s="128"/>
      <c r="C406" s="128"/>
      <c r="D406" s="128"/>
      <c r="E406" s="128"/>
      <c r="F406" s="128"/>
      <c r="G406" s="128"/>
      <c r="I406" s="103"/>
      <c r="J406" s="103"/>
      <c r="K406" s="103"/>
      <c r="L406" s="103"/>
      <c r="M406" s="103"/>
      <c r="N406" s="103"/>
      <c r="O406" s="103"/>
      <c r="P406" s="103"/>
    </row>
    <row r="407">
      <c r="A407" s="8"/>
      <c r="B407" s="128"/>
      <c r="C407" s="128"/>
      <c r="D407" s="128"/>
      <c r="E407" s="128"/>
      <c r="F407" s="128"/>
      <c r="G407" s="128"/>
      <c r="I407" s="103"/>
      <c r="J407" s="103"/>
      <c r="K407" s="103"/>
      <c r="L407" s="103"/>
      <c r="M407" s="103"/>
      <c r="N407" s="103"/>
      <c r="O407" s="103"/>
      <c r="P407" s="103"/>
    </row>
    <row r="408">
      <c r="A408" s="8"/>
      <c r="B408" s="128"/>
      <c r="C408" s="128"/>
      <c r="D408" s="128"/>
      <c r="E408" s="128"/>
      <c r="F408" s="128"/>
      <c r="G408" s="128"/>
      <c r="I408" s="103"/>
      <c r="J408" s="103"/>
      <c r="K408" s="103"/>
      <c r="L408" s="103"/>
      <c r="M408" s="103"/>
      <c r="N408" s="103"/>
      <c r="O408" s="103"/>
      <c r="P408" s="103"/>
    </row>
    <row r="409">
      <c r="A409" s="8"/>
      <c r="B409" s="128"/>
      <c r="C409" s="128"/>
      <c r="D409" s="128"/>
      <c r="E409" s="128"/>
      <c r="F409" s="128"/>
      <c r="G409" s="128"/>
      <c r="I409" s="103"/>
      <c r="J409" s="103"/>
      <c r="K409" s="103"/>
      <c r="L409" s="103"/>
      <c r="M409" s="103"/>
      <c r="N409" s="103"/>
      <c r="O409" s="103"/>
      <c r="P409" s="103"/>
    </row>
    <row r="410">
      <c r="A410" s="8"/>
      <c r="B410" s="128"/>
      <c r="C410" s="128"/>
      <c r="D410" s="128"/>
      <c r="E410" s="128"/>
      <c r="F410" s="128"/>
      <c r="G410" s="128"/>
      <c r="I410" s="103"/>
      <c r="J410" s="103"/>
      <c r="K410" s="103"/>
      <c r="L410" s="103"/>
      <c r="M410" s="103"/>
      <c r="N410" s="103"/>
      <c r="O410" s="103"/>
      <c r="P410" s="103"/>
    </row>
    <row r="411">
      <c r="A411" s="8"/>
      <c r="B411" s="128"/>
      <c r="C411" s="128"/>
      <c r="D411" s="128"/>
      <c r="E411" s="128"/>
      <c r="F411" s="128"/>
      <c r="G411" s="128"/>
      <c r="I411" s="103"/>
      <c r="J411" s="103"/>
      <c r="K411" s="103"/>
      <c r="L411" s="103"/>
      <c r="M411" s="103"/>
      <c r="N411" s="103"/>
      <c r="O411" s="103"/>
      <c r="P411" s="103"/>
    </row>
    <row r="412">
      <c r="A412" s="8"/>
      <c r="B412" s="128"/>
      <c r="C412" s="128"/>
      <c r="D412" s="128"/>
      <c r="E412" s="128"/>
      <c r="F412" s="128"/>
      <c r="G412" s="128"/>
      <c r="I412" s="103"/>
      <c r="J412" s="103"/>
      <c r="K412" s="103"/>
      <c r="L412" s="103"/>
      <c r="M412" s="103"/>
      <c r="N412" s="103"/>
      <c r="O412" s="103"/>
      <c r="P412" s="103"/>
    </row>
    <row r="413">
      <c r="A413" s="8"/>
      <c r="B413" s="128"/>
      <c r="C413" s="128"/>
      <c r="D413" s="128"/>
      <c r="E413" s="128"/>
      <c r="F413" s="128"/>
      <c r="G413" s="128"/>
      <c r="I413" s="103"/>
      <c r="J413" s="103"/>
      <c r="K413" s="103"/>
      <c r="L413" s="103"/>
      <c r="M413" s="103"/>
      <c r="N413" s="103"/>
      <c r="O413" s="103"/>
      <c r="P413" s="103"/>
    </row>
    <row r="414">
      <c r="A414" s="8"/>
      <c r="B414" s="128"/>
      <c r="C414" s="128"/>
      <c r="D414" s="128"/>
      <c r="E414" s="128"/>
      <c r="F414" s="128"/>
      <c r="G414" s="128"/>
      <c r="I414" s="103"/>
      <c r="J414" s="103"/>
      <c r="K414" s="103"/>
      <c r="L414" s="103"/>
      <c r="M414" s="103"/>
      <c r="N414" s="103"/>
      <c r="O414" s="103"/>
      <c r="P414" s="103"/>
    </row>
    <row r="415">
      <c r="A415" s="8"/>
      <c r="B415" s="128"/>
      <c r="C415" s="128"/>
      <c r="D415" s="128"/>
      <c r="E415" s="128"/>
      <c r="F415" s="128"/>
      <c r="G415" s="128"/>
      <c r="I415" s="103"/>
      <c r="J415" s="103"/>
      <c r="K415" s="103"/>
      <c r="L415" s="103"/>
      <c r="M415" s="103"/>
      <c r="N415" s="103"/>
      <c r="O415" s="103"/>
      <c r="P415" s="103"/>
    </row>
    <row r="416">
      <c r="A416" s="8"/>
      <c r="B416" s="128"/>
      <c r="C416" s="128"/>
      <c r="D416" s="128"/>
      <c r="E416" s="128"/>
      <c r="F416" s="128"/>
      <c r="G416" s="128"/>
      <c r="I416" s="103"/>
      <c r="J416" s="103"/>
      <c r="K416" s="103"/>
      <c r="L416" s="103"/>
      <c r="M416" s="103"/>
      <c r="N416" s="103"/>
      <c r="O416" s="103"/>
      <c r="P416" s="103"/>
    </row>
    <row r="417">
      <c r="A417" s="8"/>
      <c r="B417" s="128"/>
      <c r="C417" s="128"/>
      <c r="D417" s="128"/>
      <c r="E417" s="128"/>
      <c r="F417" s="128"/>
      <c r="G417" s="128"/>
      <c r="I417" s="103"/>
      <c r="J417" s="103"/>
      <c r="K417" s="103"/>
      <c r="L417" s="103"/>
      <c r="M417" s="103"/>
      <c r="N417" s="103"/>
      <c r="O417" s="103"/>
      <c r="P417" s="103"/>
    </row>
    <row r="418">
      <c r="A418" s="8"/>
      <c r="B418" s="128"/>
      <c r="C418" s="128"/>
      <c r="D418" s="128"/>
      <c r="E418" s="128"/>
      <c r="F418" s="128"/>
      <c r="G418" s="128"/>
      <c r="I418" s="103"/>
      <c r="J418" s="103"/>
      <c r="K418" s="103"/>
      <c r="L418" s="103"/>
      <c r="M418" s="103"/>
      <c r="N418" s="103"/>
      <c r="O418" s="103"/>
      <c r="P418" s="103"/>
    </row>
    <row r="419">
      <c r="A419" s="8"/>
      <c r="B419" s="128"/>
      <c r="C419" s="128"/>
      <c r="D419" s="128"/>
      <c r="E419" s="128"/>
      <c r="F419" s="128"/>
      <c r="G419" s="128"/>
      <c r="I419" s="103"/>
      <c r="J419" s="103"/>
      <c r="K419" s="103"/>
      <c r="L419" s="103"/>
      <c r="M419" s="103"/>
      <c r="N419" s="103"/>
      <c r="O419" s="103"/>
      <c r="P419" s="103"/>
    </row>
    <row r="420">
      <c r="A420" s="8"/>
      <c r="B420" s="128"/>
      <c r="C420" s="128"/>
      <c r="D420" s="128"/>
      <c r="E420" s="128"/>
      <c r="F420" s="128"/>
      <c r="G420" s="128"/>
      <c r="I420" s="103"/>
      <c r="J420" s="103"/>
      <c r="K420" s="103"/>
      <c r="L420" s="103"/>
      <c r="M420" s="103"/>
      <c r="N420" s="103"/>
      <c r="O420" s="103"/>
      <c r="P420" s="103"/>
    </row>
    <row r="421">
      <c r="A421" s="8"/>
      <c r="B421" s="128"/>
      <c r="C421" s="128"/>
      <c r="D421" s="128"/>
      <c r="E421" s="128"/>
      <c r="F421" s="128"/>
      <c r="G421" s="128"/>
      <c r="I421" s="103"/>
      <c r="J421" s="103"/>
      <c r="K421" s="103"/>
      <c r="L421" s="103"/>
      <c r="M421" s="103"/>
      <c r="N421" s="103"/>
      <c r="O421" s="103"/>
      <c r="P421" s="103"/>
    </row>
    <row r="422">
      <c r="A422" s="8"/>
      <c r="B422" s="128"/>
      <c r="C422" s="128"/>
      <c r="D422" s="128"/>
      <c r="E422" s="128"/>
      <c r="F422" s="128"/>
      <c r="G422" s="128"/>
      <c r="I422" s="103"/>
      <c r="J422" s="103"/>
      <c r="K422" s="103"/>
      <c r="L422" s="103"/>
      <c r="M422" s="103"/>
      <c r="N422" s="103"/>
      <c r="O422" s="103"/>
      <c r="P422" s="103"/>
    </row>
    <row r="423">
      <c r="A423" s="8"/>
      <c r="B423" s="128"/>
      <c r="C423" s="128"/>
      <c r="D423" s="128"/>
      <c r="E423" s="128"/>
      <c r="F423" s="128"/>
      <c r="G423" s="128"/>
      <c r="I423" s="103"/>
      <c r="J423" s="103"/>
      <c r="K423" s="103"/>
      <c r="L423" s="103"/>
      <c r="M423" s="103"/>
      <c r="N423" s="103"/>
      <c r="O423" s="103"/>
      <c r="P423" s="103"/>
    </row>
    <row r="424">
      <c r="A424" s="8"/>
      <c r="B424" s="128"/>
      <c r="C424" s="128"/>
      <c r="D424" s="128"/>
      <c r="E424" s="128"/>
      <c r="F424" s="128"/>
      <c r="G424" s="128"/>
      <c r="I424" s="103"/>
      <c r="J424" s="103"/>
      <c r="K424" s="103"/>
      <c r="L424" s="103"/>
      <c r="M424" s="103"/>
      <c r="N424" s="103"/>
      <c r="O424" s="103"/>
      <c r="P424" s="103"/>
    </row>
    <row r="425">
      <c r="A425" s="8"/>
      <c r="B425" s="128"/>
      <c r="C425" s="128"/>
      <c r="D425" s="128"/>
      <c r="E425" s="128"/>
      <c r="F425" s="128"/>
      <c r="G425" s="128"/>
      <c r="I425" s="103"/>
      <c r="J425" s="103"/>
      <c r="K425" s="103"/>
      <c r="L425" s="103"/>
      <c r="M425" s="103"/>
      <c r="N425" s="103"/>
      <c r="O425" s="103"/>
      <c r="P425" s="103"/>
    </row>
    <row r="426">
      <c r="A426" s="8"/>
      <c r="B426" s="128"/>
      <c r="C426" s="128"/>
      <c r="D426" s="128"/>
      <c r="E426" s="128"/>
      <c r="F426" s="128"/>
      <c r="G426" s="128"/>
      <c r="I426" s="103"/>
      <c r="J426" s="103"/>
      <c r="K426" s="103"/>
      <c r="L426" s="103"/>
      <c r="M426" s="103"/>
      <c r="N426" s="103"/>
      <c r="O426" s="103"/>
      <c r="P426" s="103"/>
    </row>
    <row r="427">
      <c r="A427" s="8"/>
      <c r="B427" s="128"/>
      <c r="C427" s="128"/>
      <c r="D427" s="128"/>
      <c r="E427" s="128"/>
      <c r="F427" s="128"/>
      <c r="G427" s="128"/>
      <c r="I427" s="103"/>
      <c r="J427" s="103"/>
      <c r="K427" s="103"/>
      <c r="L427" s="103"/>
      <c r="M427" s="103"/>
      <c r="N427" s="103"/>
      <c r="O427" s="103"/>
      <c r="P427" s="103"/>
    </row>
    <row r="428">
      <c r="A428" s="8"/>
      <c r="B428" s="128"/>
      <c r="C428" s="128"/>
      <c r="D428" s="128"/>
      <c r="E428" s="128"/>
      <c r="F428" s="128"/>
      <c r="G428" s="128"/>
      <c r="I428" s="103"/>
      <c r="J428" s="103"/>
      <c r="K428" s="103"/>
      <c r="L428" s="103"/>
      <c r="M428" s="103"/>
      <c r="N428" s="103"/>
      <c r="O428" s="103"/>
      <c r="P428" s="103"/>
    </row>
    <row r="429">
      <c r="A429" s="8"/>
      <c r="B429" s="128"/>
      <c r="C429" s="128"/>
      <c r="D429" s="128"/>
      <c r="E429" s="128"/>
      <c r="F429" s="128"/>
      <c r="G429" s="128"/>
      <c r="I429" s="103"/>
      <c r="J429" s="103"/>
      <c r="K429" s="103"/>
      <c r="L429" s="103"/>
      <c r="M429" s="103"/>
      <c r="N429" s="103"/>
      <c r="O429" s="103"/>
      <c r="P429" s="103"/>
    </row>
    <row r="430">
      <c r="A430" s="8"/>
      <c r="B430" s="128"/>
      <c r="C430" s="128"/>
      <c r="D430" s="128"/>
      <c r="E430" s="128"/>
      <c r="F430" s="128"/>
      <c r="G430" s="128"/>
      <c r="I430" s="103"/>
      <c r="J430" s="103"/>
      <c r="K430" s="103"/>
      <c r="L430" s="103"/>
      <c r="M430" s="103"/>
      <c r="N430" s="103"/>
      <c r="O430" s="103"/>
      <c r="P430" s="103"/>
    </row>
    <row r="431">
      <c r="A431" s="8"/>
      <c r="B431" s="128"/>
      <c r="C431" s="128"/>
      <c r="D431" s="128"/>
      <c r="E431" s="128"/>
      <c r="F431" s="128"/>
      <c r="G431" s="128"/>
      <c r="I431" s="103"/>
      <c r="J431" s="103"/>
      <c r="K431" s="103"/>
      <c r="L431" s="103"/>
      <c r="M431" s="103"/>
      <c r="N431" s="103"/>
      <c r="O431" s="103"/>
      <c r="P431" s="103"/>
    </row>
    <row r="432">
      <c r="A432" s="8"/>
      <c r="B432" s="128"/>
      <c r="C432" s="128"/>
      <c r="D432" s="128"/>
      <c r="E432" s="128"/>
      <c r="F432" s="128"/>
      <c r="G432" s="128"/>
      <c r="I432" s="103"/>
      <c r="J432" s="103"/>
      <c r="K432" s="103"/>
      <c r="L432" s="103"/>
      <c r="M432" s="103"/>
      <c r="N432" s="103"/>
      <c r="O432" s="103"/>
      <c r="P432" s="103"/>
    </row>
    <row r="433">
      <c r="A433" s="8"/>
      <c r="B433" s="128"/>
      <c r="C433" s="128"/>
      <c r="D433" s="128"/>
      <c r="E433" s="128"/>
      <c r="F433" s="128"/>
      <c r="G433" s="128"/>
      <c r="I433" s="103"/>
      <c r="J433" s="103"/>
      <c r="K433" s="103"/>
      <c r="L433" s="103"/>
      <c r="M433" s="103"/>
      <c r="N433" s="103"/>
      <c r="O433" s="103"/>
      <c r="P433" s="103"/>
    </row>
    <row r="434">
      <c r="A434" s="8"/>
      <c r="B434" s="128"/>
      <c r="C434" s="128"/>
      <c r="D434" s="128"/>
      <c r="E434" s="128"/>
      <c r="F434" s="128"/>
      <c r="G434" s="128"/>
      <c r="I434" s="103"/>
      <c r="J434" s="103"/>
      <c r="K434" s="103"/>
      <c r="L434" s="103"/>
      <c r="M434" s="103"/>
      <c r="N434" s="103"/>
      <c r="O434" s="103"/>
      <c r="P434" s="103"/>
    </row>
    <row r="435">
      <c r="A435" s="8"/>
      <c r="B435" s="128"/>
      <c r="C435" s="128"/>
      <c r="D435" s="128"/>
      <c r="E435" s="128"/>
      <c r="F435" s="128"/>
      <c r="G435" s="128"/>
      <c r="I435" s="103"/>
      <c r="J435" s="103"/>
      <c r="K435" s="103"/>
      <c r="L435" s="103"/>
      <c r="M435" s="103"/>
      <c r="N435" s="103"/>
      <c r="O435" s="103"/>
      <c r="P435" s="103"/>
    </row>
    <row r="436">
      <c r="A436" s="8"/>
      <c r="B436" s="128"/>
      <c r="C436" s="128"/>
      <c r="D436" s="128"/>
      <c r="E436" s="128"/>
      <c r="F436" s="128"/>
      <c r="G436" s="128"/>
      <c r="I436" s="103"/>
      <c r="J436" s="103"/>
      <c r="K436" s="103"/>
      <c r="L436" s="103"/>
      <c r="M436" s="103"/>
      <c r="N436" s="103"/>
      <c r="O436" s="103"/>
      <c r="P436" s="103"/>
    </row>
    <row r="437">
      <c r="A437" s="8"/>
      <c r="B437" s="128"/>
      <c r="C437" s="128"/>
      <c r="D437" s="128"/>
      <c r="E437" s="128"/>
      <c r="F437" s="128"/>
      <c r="G437" s="128"/>
      <c r="I437" s="103"/>
      <c r="J437" s="103"/>
      <c r="K437" s="103"/>
      <c r="L437" s="103"/>
      <c r="M437" s="103"/>
      <c r="N437" s="103"/>
      <c r="O437" s="103"/>
      <c r="P437" s="103"/>
    </row>
    <row r="438">
      <c r="A438" s="8"/>
      <c r="B438" s="128"/>
      <c r="C438" s="128"/>
      <c r="D438" s="128"/>
      <c r="E438" s="128"/>
      <c r="F438" s="128"/>
      <c r="G438" s="128"/>
      <c r="I438" s="103"/>
      <c r="J438" s="103"/>
      <c r="K438" s="103"/>
      <c r="L438" s="103"/>
      <c r="M438" s="103"/>
      <c r="N438" s="103"/>
      <c r="O438" s="103"/>
      <c r="P438" s="103"/>
    </row>
    <row r="439">
      <c r="A439" s="8"/>
      <c r="B439" s="128"/>
      <c r="C439" s="128"/>
      <c r="D439" s="128"/>
      <c r="E439" s="128"/>
      <c r="F439" s="128"/>
      <c r="G439" s="128"/>
      <c r="I439" s="103"/>
      <c r="J439" s="103"/>
      <c r="K439" s="103"/>
      <c r="L439" s="103"/>
      <c r="M439" s="103"/>
      <c r="N439" s="103"/>
      <c r="O439" s="103"/>
      <c r="P439" s="103"/>
    </row>
    <row r="440">
      <c r="A440" s="8"/>
      <c r="B440" s="128"/>
      <c r="C440" s="128"/>
      <c r="D440" s="128"/>
      <c r="E440" s="128"/>
      <c r="F440" s="128"/>
      <c r="G440" s="128"/>
      <c r="I440" s="103"/>
      <c r="J440" s="103"/>
      <c r="K440" s="103"/>
      <c r="L440" s="103"/>
      <c r="M440" s="103"/>
      <c r="N440" s="103"/>
      <c r="O440" s="103"/>
      <c r="P440" s="103"/>
    </row>
    <row r="441">
      <c r="A441" s="8"/>
      <c r="B441" s="128"/>
      <c r="C441" s="128"/>
      <c r="D441" s="128"/>
      <c r="E441" s="128"/>
      <c r="F441" s="128"/>
      <c r="G441" s="128"/>
      <c r="I441" s="103"/>
      <c r="J441" s="103"/>
      <c r="K441" s="103"/>
      <c r="L441" s="103"/>
      <c r="M441" s="103"/>
      <c r="N441" s="103"/>
      <c r="O441" s="103"/>
      <c r="P441" s="103"/>
    </row>
    <row r="442">
      <c r="A442" s="8"/>
      <c r="B442" s="128"/>
      <c r="C442" s="128"/>
      <c r="D442" s="128"/>
      <c r="E442" s="128"/>
      <c r="F442" s="128"/>
      <c r="G442" s="128"/>
      <c r="I442" s="103"/>
      <c r="J442" s="103"/>
      <c r="K442" s="103"/>
      <c r="L442" s="103"/>
      <c r="M442" s="103"/>
      <c r="N442" s="103"/>
      <c r="O442" s="103"/>
      <c r="P442" s="103"/>
    </row>
    <row r="443">
      <c r="A443" s="8"/>
      <c r="B443" s="128"/>
      <c r="C443" s="128"/>
      <c r="D443" s="128"/>
      <c r="E443" s="128"/>
      <c r="F443" s="128"/>
      <c r="G443" s="128"/>
      <c r="I443" s="103"/>
      <c r="J443" s="103"/>
      <c r="K443" s="103"/>
      <c r="L443" s="103"/>
      <c r="M443" s="103"/>
      <c r="N443" s="103"/>
      <c r="O443" s="103"/>
      <c r="P443" s="103"/>
    </row>
    <row r="444">
      <c r="A444" s="8"/>
      <c r="B444" s="128"/>
      <c r="C444" s="128"/>
      <c r="D444" s="128"/>
      <c r="E444" s="128"/>
      <c r="F444" s="128"/>
      <c r="G444" s="128"/>
      <c r="I444" s="103"/>
      <c r="J444" s="103"/>
      <c r="K444" s="103"/>
      <c r="L444" s="103"/>
      <c r="M444" s="103"/>
      <c r="N444" s="103"/>
      <c r="O444" s="103"/>
      <c r="P444" s="103"/>
    </row>
    <row r="445">
      <c r="A445" s="8"/>
      <c r="B445" s="128"/>
      <c r="C445" s="128"/>
      <c r="D445" s="128"/>
      <c r="E445" s="128"/>
      <c r="F445" s="128"/>
      <c r="G445" s="128"/>
      <c r="I445" s="103"/>
      <c r="J445" s="103"/>
      <c r="K445" s="103"/>
      <c r="L445" s="103"/>
      <c r="M445" s="103"/>
      <c r="N445" s="103"/>
      <c r="O445" s="103"/>
      <c r="P445" s="103"/>
    </row>
    <row r="446">
      <c r="A446" s="8"/>
      <c r="B446" s="128"/>
      <c r="C446" s="128"/>
      <c r="D446" s="128"/>
      <c r="E446" s="128"/>
      <c r="F446" s="128"/>
      <c r="G446" s="128"/>
      <c r="I446" s="103"/>
      <c r="J446" s="103"/>
      <c r="K446" s="103"/>
      <c r="L446" s="103"/>
      <c r="M446" s="103"/>
      <c r="N446" s="103"/>
      <c r="O446" s="103"/>
      <c r="P446" s="103"/>
    </row>
    <row r="447">
      <c r="A447" s="8"/>
      <c r="B447" s="128"/>
      <c r="C447" s="128"/>
      <c r="D447" s="128"/>
      <c r="E447" s="128"/>
      <c r="F447" s="128"/>
      <c r="G447" s="128"/>
      <c r="I447" s="103"/>
      <c r="J447" s="103"/>
      <c r="K447" s="103"/>
      <c r="L447" s="103"/>
      <c r="M447" s="103"/>
      <c r="N447" s="103"/>
      <c r="O447" s="103"/>
      <c r="P447" s="103"/>
    </row>
    <row r="448">
      <c r="A448" s="8"/>
      <c r="B448" s="128"/>
      <c r="C448" s="128"/>
      <c r="D448" s="128"/>
      <c r="E448" s="128"/>
      <c r="F448" s="128"/>
      <c r="G448" s="128"/>
      <c r="I448" s="103"/>
      <c r="J448" s="103"/>
      <c r="K448" s="103"/>
      <c r="L448" s="103"/>
      <c r="M448" s="103"/>
      <c r="N448" s="103"/>
      <c r="O448" s="103"/>
      <c r="P448" s="103"/>
    </row>
    <row r="449">
      <c r="A449" s="8"/>
      <c r="B449" s="128"/>
      <c r="C449" s="128"/>
      <c r="D449" s="128"/>
      <c r="E449" s="128"/>
      <c r="F449" s="128"/>
      <c r="G449" s="128"/>
      <c r="I449" s="103"/>
      <c r="J449" s="103"/>
      <c r="K449" s="103"/>
      <c r="L449" s="103"/>
      <c r="M449" s="103"/>
      <c r="N449" s="103"/>
      <c r="O449" s="103"/>
      <c r="P449" s="103"/>
    </row>
    <row r="450">
      <c r="A450" s="8"/>
      <c r="B450" s="128"/>
      <c r="C450" s="128"/>
      <c r="D450" s="128"/>
      <c r="E450" s="128"/>
      <c r="F450" s="128"/>
      <c r="G450" s="128"/>
      <c r="I450" s="103"/>
      <c r="J450" s="103"/>
      <c r="K450" s="103"/>
      <c r="L450" s="103"/>
      <c r="M450" s="103"/>
      <c r="N450" s="103"/>
      <c r="O450" s="103"/>
      <c r="P450" s="103"/>
    </row>
    <row r="451">
      <c r="A451" s="8"/>
      <c r="B451" s="128"/>
      <c r="C451" s="128"/>
      <c r="D451" s="128"/>
      <c r="E451" s="128"/>
      <c r="F451" s="128"/>
      <c r="G451" s="128"/>
      <c r="I451" s="103"/>
      <c r="J451" s="103"/>
      <c r="K451" s="103"/>
      <c r="L451" s="103"/>
      <c r="M451" s="103"/>
      <c r="N451" s="103"/>
      <c r="O451" s="103"/>
      <c r="P451" s="103"/>
    </row>
    <row r="452">
      <c r="A452" s="8"/>
      <c r="B452" s="128"/>
      <c r="C452" s="128"/>
      <c r="D452" s="128"/>
      <c r="E452" s="128"/>
      <c r="F452" s="128"/>
      <c r="G452" s="128"/>
      <c r="I452" s="103"/>
      <c r="J452" s="103"/>
      <c r="K452" s="103"/>
      <c r="L452" s="103"/>
      <c r="M452" s="103"/>
      <c r="N452" s="103"/>
      <c r="O452" s="103"/>
      <c r="P452" s="103"/>
    </row>
    <row r="453">
      <c r="A453" s="8"/>
      <c r="B453" s="128"/>
      <c r="C453" s="128"/>
      <c r="D453" s="128"/>
      <c r="E453" s="128"/>
      <c r="F453" s="128"/>
      <c r="G453" s="128"/>
      <c r="I453" s="103"/>
      <c r="J453" s="103"/>
      <c r="K453" s="103"/>
      <c r="L453" s="103"/>
      <c r="M453" s="103"/>
      <c r="N453" s="103"/>
      <c r="O453" s="103"/>
      <c r="P453" s="103"/>
    </row>
    <row r="454">
      <c r="A454" s="8"/>
      <c r="B454" s="128"/>
      <c r="C454" s="128"/>
      <c r="D454" s="128"/>
      <c r="E454" s="128"/>
      <c r="F454" s="128"/>
      <c r="G454" s="128"/>
      <c r="I454" s="103"/>
      <c r="J454" s="103"/>
      <c r="K454" s="103"/>
      <c r="L454" s="103"/>
      <c r="M454" s="103"/>
      <c r="N454" s="103"/>
      <c r="O454" s="103"/>
      <c r="P454" s="103"/>
    </row>
    <row r="455">
      <c r="A455" s="8"/>
      <c r="B455" s="128"/>
      <c r="C455" s="128"/>
      <c r="D455" s="128"/>
      <c r="E455" s="128"/>
      <c r="F455" s="128"/>
      <c r="G455" s="128"/>
      <c r="I455" s="103"/>
      <c r="J455" s="103"/>
      <c r="K455" s="103"/>
      <c r="L455" s="103"/>
      <c r="M455" s="103"/>
      <c r="N455" s="103"/>
      <c r="O455" s="103"/>
      <c r="P455" s="103"/>
    </row>
    <row r="456">
      <c r="A456" s="8"/>
      <c r="B456" s="128"/>
      <c r="C456" s="128"/>
      <c r="D456" s="128"/>
      <c r="E456" s="128"/>
      <c r="F456" s="128"/>
      <c r="G456" s="128"/>
      <c r="I456" s="103"/>
      <c r="J456" s="103"/>
      <c r="K456" s="103"/>
      <c r="L456" s="103"/>
      <c r="M456" s="103"/>
      <c r="N456" s="103"/>
      <c r="O456" s="103"/>
      <c r="P456" s="103"/>
    </row>
    <row r="457">
      <c r="A457" s="8"/>
      <c r="B457" s="128"/>
      <c r="C457" s="128"/>
      <c r="D457" s="128"/>
      <c r="E457" s="128"/>
      <c r="F457" s="128"/>
      <c r="G457" s="128"/>
      <c r="I457" s="103"/>
      <c r="J457" s="103"/>
      <c r="K457" s="103"/>
      <c r="L457" s="103"/>
      <c r="M457" s="103"/>
      <c r="N457" s="103"/>
      <c r="O457" s="103"/>
      <c r="P457" s="103"/>
    </row>
    <row r="458">
      <c r="A458" s="8"/>
      <c r="B458" s="128"/>
      <c r="C458" s="128"/>
      <c r="D458" s="128"/>
      <c r="E458" s="128"/>
      <c r="F458" s="128"/>
      <c r="G458" s="128"/>
      <c r="I458" s="103"/>
      <c r="J458" s="103"/>
      <c r="K458" s="103"/>
      <c r="L458" s="103"/>
      <c r="M458" s="103"/>
      <c r="N458" s="103"/>
      <c r="O458" s="103"/>
      <c r="P458" s="103"/>
    </row>
    <row r="459">
      <c r="A459" s="8"/>
      <c r="B459" s="128"/>
      <c r="C459" s="128"/>
      <c r="D459" s="128"/>
      <c r="E459" s="128"/>
      <c r="F459" s="128"/>
      <c r="G459" s="128"/>
      <c r="I459" s="103"/>
      <c r="J459" s="103"/>
      <c r="K459" s="103"/>
      <c r="L459" s="103"/>
      <c r="M459" s="103"/>
      <c r="N459" s="103"/>
      <c r="O459" s="103"/>
      <c r="P459" s="103"/>
    </row>
    <row r="460">
      <c r="A460" s="8"/>
      <c r="B460" s="128"/>
      <c r="C460" s="128"/>
      <c r="D460" s="128"/>
      <c r="E460" s="128"/>
      <c r="F460" s="128"/>
      <c r="G460" s="128"/>
      <c r="I460" s="103"/>
      <c r="J460" s="103"/>
      <c r="K460" s="103"/>
      <c r="L460" s="103"/>
      <c r="M460" s="103"/>
      <c r="N460" s="103"/>
      <c r="O460" s="103"/>
      <c r="P460" s="103"/>
    </row>
    <row r="461">
      <c r="A461" s="8"/>
      <c r="B461" s="128"/>
      <c r="C461" s="128"/>
      <c r="D461" s="128"/>
      <c r="E461" s="128"/>
      <c r="F461" s="128"/>
      <c r="G461" s="128"/>
      <c r="I461" s="103"/>
      <c r="J461" s="103"/>
      <c r="K461" s="103"/>
      <c r="L461" s="103"/>
      <c r="M461" s="103"/>
      <c r="N461" s="103"/>
      <c r="O461" s="103"/>
      <c r="P461" s="103"/>
    </row>
    <row r="462">
      <c r="A462" s="8"/>
      <c r="B462" s="128"/>
      <c r="C462" s="128"/>
      <c r="D462" s="128"/>
      <c r="E462" s="128"/>
      <c r="F462" s="128"/>
      <c r="G462" s="128"/>
      <c r="I462" s="103"/>
      <c r="J462" s="103"/>
      <c r="K462" s="103"/>
      <c r="L462" s="103"/>
      <c r="M462" s="103"/>
      <c r="N462" s="103"/>
      <c r="O462" s="103"/>
      <c r="P462" s="103"/>
    </row>
    <row r="463">
      <c r="A463" s="8"/>
      <c r="B463" s="128"/>
      <c r="C463" s="128"/>
      <c r="D463" s="128"/>
      <c r="E463" s="128"/>
      <c r="F463" s="128"/>
      <c r="G463" s="128"/>
      <c r="I463" s="103"/>
      <c r="J463" s="103"/>
      <c r="K463" s="103"/>
      <c r="L463" s="103"/>
      <c r="M463" s="103"/>
      <c r="N463" s="103"/>
      <c r="O463" s="103"/>
      <c r="P463" s="103"/>
    </row>
    <row r="464">
      <c r="A464" s="8"/>
      <c r="B464" s="128"/>
      <c r="C464" s="128"/>
      <c r="D464" s="128"/>
      <c r="E464" s="128"/>
      <c r="F464" s="128"/>
      <c r="G464" s="128"/>
      <c r="I464" s="103"/>
      <c r="J464" s="103"/>
      <c r="K464" s="103"/>
      <c r="L464" s="103"/>
      <c r="M464" s="103"/>
      <c r="N464" s="103"/>
      <c r="O464" s="103"/>
      <c r="P464" s="103"/>
    </row>
    <row r="465">
      <c r="A465" s="8"/>
      <c r="B465" s="128"/>
      <c r="C465" s="128"/>
      <c r="D465" s="128"/>
      <c r="E465" s="128"/>
      <c r="F465" s="128"/>
      <c r="G465" s="128"/>
      <c r="I465" s="103"/>
      <c r="J465" s="103"/>
      <c r="K465" s="103"/>
      <c r="L465" s="103"/>
      <c r="M465" s="103"/>
      <c r="N465" s="103"/>
      <c r="O465" s="103"/>
      <c r="P465" s="103"/>
    </row>
    <row r="466">
      <c r="A466" s="8"/>
      <c r="B466" s="128"/>
      <c r="C466" s="128"/>
      <c r="D466" s="128"/>
      <c r="E466" s="128"/>
      <c r="F466" s="128"/>
      <c r="G466" s="128"/>
      <c r="I466" s="103"/>
      <c r="J466" s="103"/>
      <c r="K466" s="103"/>
      <c r="L466" s="103"/>
      <c r="M466" s="103"/>
      <c r="N466" s="103"/>
      <c r="O466" s="103"/>
      <c r="P466" s="103"/>
    </row>
    <row r="467">
      <c r="A467" s="8"/>
      <c r="B467" s="128"/>
      <c r="C467" s="128"/>
      <c r="D467" s="128"/>
      <c r="E467" s="128"/>
      <c r="F467" s="128"/>
      <c r="G467" s="128"/>
      <c r="I467" s="103"/>
      <c r="J467" s="103"/>
      <c r="K467" s="103"/>
      <c r="L467" s="103"/>
      <c r="M467" s="103"/>
      <c r="N467" s="103"/>
      <c r="O467" s="103"/>
      <c r="P467" s="103"/>
    </row>
    <row r="468">
      <c r="A468" s="8"/>
      <c r="B468" s="128"/>
      <c r="C468" s="128"/>
      <c r="D468" s="128"/>
      <c r="E468" s="128"/>
      <c r="F468" s="128"/>
      <c r="G468" s="128"/>
      <c r="I468" s="103"/>
      <c r="J468" s="103"/>
      <c r="K468" s="103"/>
      <c r="L468" s="103"/>
      <c r="M468" s="103"/>
      <c r="N468" s="103"/>
      <c r="O468" s="103"/>
      <c r="P468" s="103"/>
    </row>
    <row r="469">
      <c r="A469" s="8"/>
      <c r="B469" s="128"/>
      <c r="C469" s="128"/>
      <c r="D469" s="128"/>
      <c r="E469" s="128"/>
      <c r="F469" s="128"/>
      <c r="G469" s="128"/>
      <c r="I469" s="103"/>
      <c r="J469" s="103"/>
      <c r="K469" s="103"/>
      <c r="L469" s="103"/>
      <c r="M469" s="103"/>
      <c r="N469" s="103"/>
      <c r="O469" s="103"/>
      <c r="P469" s="103"/>
    </row>
    <row r="470">
      <c r="A470" s="8"/>
      <c r="B470" s="128"/>
      <c r="C470" s="128"/>
      <c r="D470" s="128"/>
      <c r="E470" s="128"/>
      <c r="F470" s="128"/>
      <c r="G470" s="128"/>
      <c r="I470" s="103"/>
      <c r="J470" s="103"/>
      <c r="K470" s="103"/>
      <c r="L470" s="103"/>
      <c r="M470" s="103"/>
      <c r="N470" s="103"/>
      <c r="O470" s="103"/>
      <c r="P470" s="103"/>
    </row>
    <row r="471">
      <c r="A471" s="8"/>
      <c r="B471" s="128"/>
      <c r="C471" s="128"/>
      <c r="D471" s="128"/>
      <c r="E471" s="128"/>
      <c r="F471" s="128"/>
      <c r="G471" s="128"/>
      <c r="I471" s="103"/>
      <c r="J471" s="103"/>
      <c r="K471" s="103"/>
      <c r="L471" s="103"/>
      <c r="M471" s="103"/>
      <c r="N471" s="103"/>
      <c r="O471" s="103"/>
      <c r="P471" s="103"/>
    </row>
    <row r="472">
      <c r="A472" s="8"/>
      <c r="B472" s="128"/>
      <c r="C472" s="128"/>
      <c r="D472" s="128"/>
      <c r="E472" s="128"/>
      <c r="F472" s="128"/>
      <c r="G472" s="128"/>
      <c r="I472" s="103"/>
      <c r="J472" s="103"/>
      <c r="K472" s="103"/>
      <c r="L472" s="103"/>
      <c r="M472" s="103"/>
      <c r="N472" s="103"/>
      <c r="O472" s="103"/>
      <c r="P472" s="103"/>
    </row>
    <row r="473">
      <c r="A473" s="8"/>
      <c r="B473" s="128"/>
      <c r="C473" s="128"/>
      <c r="D473" s="128"/>
      <c r="E473" s="128"/>
      <c r="F473" s="128"/>
      <c r="G473" s="128"/>
      <c r="I473" s="103"/>
      <c r="J473" s="103"/>
      <c r="K473" s="103"/>
      <c r="L473" s="103"/>
      <c r="M473" s="103"/>
      <c r="N473" s="103"/>
      <c r="O473" s="103"/>
      <c r="P473" s="103"/>
    </row>
    <row r="474">
      <c r="A474" s="8"/>
      <c r="B474" s="128"/>
      <c r="C474" s="128"/>
      <c r="D474" s="128"/>
      <c r="E474" s="128"/>
      <c r="F474" s="128"/>
      <c r="G474" s="128"/>
      <c r="I474" s="103"/>
      <c r="J474" s="103"/>
      <c r="K474" s="103"/>
      <c r="L474" s="103"/>
      <c r="M474" s="103"/>
      <c r="N474" s="103"/>
      <c r="O474" s="103"/>
      <c r="P474" s="103"/>
    </row>
    <row r="475">
      <c r="A475" s="8"/>
      <c r="B475" s="128"/>
      <c r="C475" s="128"/>
      <c r="D475" s="128"/>
      <c r="E475" s="128"/>
      <c r="F475" s="128"/>
      <c r="G475" s="128"/>
      <c r="I475" s="103"/>
      <c r="J475" s="103"/>
      <c r="K475" s="103"/>
      <c r="L475" s="103"/>
      <c r="M475" s="103"/>
      <c r="N475" s="103"/>
      <c r="O475" s="103"/>
      <c r="P475" s="103"/>
    </row>
    <row r="476">
      <c r="A476" s="8"/>
      <c r="B476" s="128"/>
      <c r="C476" s="128"/>
      <c r="D476" s="128"/>
      <c r="E476" s="128"/>
      <c r="F476" s="128"/>
      <c r="G476" s="128"/>
      <c r="I476" s="103"/>
      <c r="J476" s="103"/>
      <c r="K476" s="103"/>
      <c r="L476" s="103"/>
      <c r="M476" s="103"/>
      <c r="N476" s="103"/>
      <c r="O476" s="103"/>
      <c r="P476" s="103"/>
    </row>
    <row r="477">
      <c r="A477" s="8"/>
      <c r="B477" s="128"/>
      <c r="C477" s="128"/>
      <c r="D477" s="128"/>
      <c r="E477" s="128"/>
      <c r="F477" s="128"/>
      <c r="G477" s="128"/>
      <c r="I477" s="103"/>
      <c r="J477" s="103"/>
      <c r="K477" s="103"/>
      <c r="L477" s="103"/>
      <c r="M477" s="103"/>
      <c r="N477" s="103"/>
      <c r="O477" s="103"/>
      <c r="P477" s="103"/>
    </row>
    <row r="478">
      <c r="A478" s="8"/>
      <c r="B478" s="128"/>
      <c r="C478" s="128"/>
      <c r="D478" s="128"/>
      <c r="E478" s="128"/>
      <c r="F478" s="128"/>
      <c r="G478" s="128"/>
      <c r="I478" s="103"/>
      <c r="J478" s="103"/>
      <c r="K478" s="103"/>
      <c r="L478" s="103"/>
      <c r="M478" s="103"/>
      <c r="N478" s="103"/>
      <c r="O478" s="103"/>
      <c r="P478" s="103"/>
    </row>
    <row r="479">
      <c r="A479" s="8"/>
      <c r="B479" s="128"/>
      <c r="C479" s="128"/>
      <c r="D479" s="128"/>
      <c r="E479" s="128"/>
      <c r="F479" s="128"/>
      <c r="G479" s="128"/>
      <c r="I479" s="103"/>
      <c r="J479" s="103"/>
      <c r="K479" s="103"/>
      <c r="L479" s="103"/>
      <c r="M479" s="103"/>
      <c r="N479" s="103"/>
      <c r="O479" s="103"/>
      <c r="P479" s="103"/>
    </row>
    <row r="480">
      <c r="A480" s="8"/>
      <c r="B480" s="128"/>
      <c r="C480" s="128"/>
      <c r="D480" s="128"/>
      <c r="E480" s="128"/>
      <c r="F480" s="128"/>
      <c r="G480" s="128"/>
      <c r="I480" s="103"/>
      <c r="J480" s="103"/>
      <c r="K480" s="103"/>
      <c r="L480" s="103"/>
      <c r="M480" s="103"/>
      <c r="N480" s="103"/>
      <c r="O480" s="103"/>
      <c r="P480" s="103"/>
    </row>
    <row r="481">
      <c r="A481" s="8"/>
      <c r="B481" s="128"/>
      <c r="C481" s="128"/>
      <c r="D481" s="128"/>
      <c r="E481" s="128"/>
      <c r="F481" s="128"/>
      <c r="G481" s="128"/>
      <c r="I481" s="103"/>
      <c r="J481" s="103"/>
      <c r="K481" s="103"/>
      <c r="L481" s="103"/>
      <c r="M481" s="103"/>
      <c r="N481" s="103"/>
      <c r="O481" s="103"/>
      <c r="P481" s="103"/>
    </row>
    <row r="482">
      <c r="A482" s="8"/>
      <c r="B482" s="128"/>
      <c r="C482" s="128"/>
      <c r="D482" s="128"/>
      <c r="E482" s="128"/>
      <c r="F482" s="128"/>
      <c r="G482" s="128"/>
      <c r="I482" s="103"/>
      <c r="J482" s="103"/>
      <c r="K482" s="103"/>
      <c r="L482" s="103"/>
      <c r="M482" s="103"/>
      <c r="N482" s="103"/>
      <c r="O482" s="103"/>
      <c r="P482" s="103"/>
    </row>
    <row r="483">
      <c r="A483" s="8"/>
      <c r="B483" s="128"/>
      <c r="C483" s="128"/>
      <c r="D483" s="128"/>
      <c r="E483" s="128"/>
      <c r="F483" s="128"/>
      <c r="G483" s="128"/>
      <c r="I483" s="103"/>
      <c r="J483" s="103"/>
      <c r="K483" s="103"/>
      <c r="L483" s="103"/>
      <c r="M483" s="103"/>
      <c r="N483" s="103"/>
      <c r="O483" s="103"/>
      <c r="P483" s="103"/>
    </row>
    <row r="484">
      <c r="A484" s="8"/>
      <c r="B484" s="128"/>
      <c r="C484" s="128"/>
      <c r="D484" s="128"/>
      <c r="E484" s="128"/>
      <c r="F484" s="128"/>
      <c r="G484" s="128"/>
      <c r="I484" s="103"/>
      <c r="J484" s="103"/>
      <c r="K484" s="103"/>
      <c r="L484" s="103"/>
      <c r="M484" s="103"/>
      <c r="N484" s="103"/>
      <c r="O484" s="103"/>
      <c r="P484" s="103"/>
    </row>
    <row r="485">
      <c r="A485" s="8"/>
      <c r="B485" s="128"/>
      <c r="C485" s="128"/>
      <c r="D485" s="128"/>
      <c r="E485" s="128"/>
      <c r="F485" s="128"/>
      <c r="G485" s="128"/>
      <c r="I485" s="103"/>
      <c r="J485" s="103"/>
      <c r="K485" s="103"/>
      <c r="L485" s="103"/>
      <c r="M485" s="103"/>
      <c r="N485" s="103"/>
      <c r="O485" s="103"/>
      <c r="P485" s="103"/>
    </row>
    <row r="486">
      <c r="A486" s="8"/>
      <c r="B486" s="128"/>
      <c r="C486" s="128"/>
      <c r="D486" s="128"/>
      <c r="E486" s="128"/>
      <c r="F486" s="128"/>
      <c r="G486" s="128"/>
      <c r="I486" s="103"/>
      <c r="J486" s="103"/>
      <c r="K486" s="103"/>
      <c r="L486" s="103"/>
      <c r="M486" s="103"/>
      <c r="N486" s="103"/>
      <c r="O486" s="103"/>
      <c r="P486" s="103"/>
    </row>
    <row r="487">
      <c r="A487" s="8"/>
      <c r="B487" s="128"/>
      <c r="C487" s="128"/>
      <c r="D487" s="128"/>
      <c r="E487" s="128"/>
      <c r="F487" s="128"/>
      <c r="G487" s="128"/>
      <c r="I487" s="103"/>
      <c r="J487" s="103"/>
      <c r="K487" s="103"/>
      <c r="L487" s="103"/>
      <c r="M487" s="103"/>
      <c r="N487" s="103"/>
      <c r="O487" s="103"/>
      <c r="P487" s="103"/>
    </row>
    <row r="488">
      <c r="A488" s="8"/>
      <c r="B488" s="128"/>
      <c r="C488" s="128"/>
      <c r="D488" s="128"/>
      <c r="E488" s="128"/>
      <c r="F488" s="128"/>
      <c r="G488" s="128"/>
      <c r="I488" s="103"/>
      <c r="J488" s="103"/>
      <c r="K488" s="103"/>
      <c r="L488" s="103"/>
      <c r="M488" s="103"/>
      <c r="N488" s="103"/>
      <c r="O488" s="103"/>
      <c r="P488" s="103"/>
    </row>
    <row r="489">
      <c r="A489" s="8"/>
      <c r="B489" s="128"/>
      <c r="C489" s="128"/>
      <c r="D489" s="128"/>
      <c r="E489" s="128"/>
      <c r="F489" s="128"/>
      <c r="G489" s="128"/>
      <c r="I489" s="103"/>
      <c r="J489" s="103"/>
      <c r="K489" s="103"/>
      <c r="L489" s="103"/>
      <c r="M489" s="103"/>
      <c r="N489" s="103"/>
      <c r="O489" s="103"/>
      <c r="P489" s="103"/>
    </row>
    <row r="490">
      <c r="A490" s="8"/>
      <c r="B490" s="128"/>
      <c r="C490" s="128"/>
      <c r="D490" s="128"/>
      <c r="E490" s="128"/>
      <c r="F490" s="128"/>
      <c r="G490" s="128"/>
      <c r="I490" s="103"/>
      <c r="J490" s="103"/>
      <c r="K490" s="103"/>
      <c r="L490" s="103"/>
      <c r="M490" s="103"/>
      <c r="N490" s="103"/>
      <c r="O490" s="103"/>
      <c r="P490" s="103"/>
    </row>
    <row r="491">
      <c r="A491" s="8"/>
      <c r="B491" s="128"/>
      <c r="C491" s="128"/>
      <c r="D491" s="128"/>
      <c r="E491" s="128"/>
      <c r="F491" s="128"/>
      <c r="G491" s="128"/>
      <c r="I491" s="103"/>
      <c r="J491" s="103"/>
      <c r="K491" s="103"/>
      <c r="L491" s="103"/>
      <c r="M491" s="103"/>
      <c r="N491" s="103"/>
      <c r="O491" s="103"/>
      <c r="P491" s="103"/>
    </row>
    <row r="492">
      <c r="A492" s="8"/>
      <c r="B492" s="128"/>
      <c r="C492" s="128"/>
      <c r="D492" s="128"/>
      <c r="E492" s="128"/>
      <c r="F492" s="128"/>
      <c r="G492" s="128"/>
      <c r="I492" s="103"/>
      <c r="J492" s="103"/>
      <c r="K492" s="103"/>
      <c r="L492" s="103"/>
      <c r="M492" s="103"/>
      <c r="N492" s="103"/>
      <c r="O492" s="103"/>
      <c r="P492" s="103"/>
    </row>
    <row r="493">
      <c r="A493" s="8"/>
      <c r="B493" s="128"/>
      <c r="C493" s="128"/>
      <c r="D493" s="128"/>
      <c r="E493" s="128"/>
      <c r="F493" s="128"/>
      <c r="G493" s="128"/>
      <c r="I493" s="103"/>
      <c r="J493" s="103"/>
      <c r="K493" s="103"/>
      <c r="L493" s="103"/>
      <c r="M493" s="103"/>
      <c r="N493" s="103"/>
      <c r="O493" s="103"/>
      <c r="P493" s="103"/>
    </row>
    <row r="494">
      <c r="A494" s="8"/>
      <c r="B494" s="128"/>
      <c r="C494" s="128"/>
      <c r="D494" s="128"/>
      <c r="E494" s="128"/>
      <c r="F494" s="128"/>
      <c r="G494" s="128"/>
      <c r="I494" s="103"/>
      <c r="J494" s="103"/>
      <c r="K494" s="103"/>
      <c r="L494" s="103"/>
      <c r="M494" s="103"/>
      <c r="N494" s="103"/>
      <c r="O494" s="103"/>
      <c r="P494" s="103"/>
    </row>
    <row r="495">
      <c r="A495" s="8"/>
      <c r="B495" s="128"/>
      <c r="C495" s="128"/>
      <c r="D495" s="128"/>
      <c r="E495" s="128"/>
      <c r="F495" s="128"/>
      <c r="G495" s="128"/>
      <c r="I495" s="103"/>
      <c r="J495" s="103"/>
      <c r="K495" s="103"/>
      <c r="L495" s="103"/>
      <c r="M495" s="103"/>
      <c r="N495" s="103"/>
      <c r="O495" s="103"/>
      <c r="P495" s="103"/>
    </row>
    <row r="496">
      <c r="A496" s="8"/>
      <c r="B496" s="128"/>
      <c r="C496" s="128"/>
      <c r="D496" s="128"/>
      <c r="E496" s="128"/>
      <c r="F496" s="128"/>
      <c r="G496" s="128"/>
      <c r="I496" s="103"/>
      <c r="J496" s="103"/>
      <c r="K496" s="103"/>
      <c r="L496" s="103"/>
      <c r="M496" s="103"/>
      <c r="N496" s="103"/>
      <c r="O496" s="103"/>
      <c r="P496" s="103"/>
    </row>
    <row r="497">
      <c r="A497" s="8"/>
      <c r="B497" s="128"/>
      <c r="C497" s="128"/>
      <c r="D497" s="128"/>
      <c r="E497" s="128"/>
      <c r="F497" s="128"/>
      <c r="G497" s="128"/>
      <c r="I497" s="103"/>
      <c r="J497" s="103"/>
      <c r="K497" s="103"/>
      <c r="L497" s="103"/>
      <c r="M497" s="103"/>
      <c r="N497" s="103"/>
      <c r="O497" s="103"/>
      <c r="P497" s="103"/>
    </row>
    <row r="498">
      <c r="A498" s="8"/>
      <c r="B498" s="128"/>
      <c r="C498" s="128"/>
      <c r="D498" s="128"/>
      <c r="E498" s="128"/>
      <c r="F498" s="128"/>
      <c r="G498" s="128"/>
      <c r="I498" s="103"/>
      <c r="J498" s="103"/>
      <c r="K498" s="103"/>
      <c r="L498" s="103"/>
      <c r="M498" s="103"/>
      <c r="N498" s="103"/>
      <c r="O498" s="103"/>
      <c r="P498" s="103"/>
    </row>
    <row r="499">
      <c r="A499" s="8"/>
      <c r="B499" s="128"/>
      <c r="C499" s="128"/>
      <c r="D499" s="128"/>
      <c r="E499" s="128"/>
      <c r="F499" s="128"/>
      <c r="G499" s="128"/>
      <c r="I499" s="103"/>
      <c r="J499" s="103"/>
      <c r="K499" s="103"/>
      <c r="L499" s="103"/>
      <c r="M499" s="103"/>
      <c r="N499" s="103"/>
      <c r="O499" s="103"/>
      <c r="P499" s="103"/>
    </row>
    <row r="500">
      <c r="A500" s="8"/>
      <c r="B500" s="128"/>
      <c r="C500" s="128"/>
      <c r="D500" s="128"/>
      <c r="E500" s="128"/>
      <c r="F500" s="128"/>
      <c r="G500" s="128"/>
      <c r="I500" s="103"/>
      <c r="J500" s="103"/>
      <c r="K500" s="103"/>
      <c r="L500" s="103"/>
      <c r="M500" s="103"/>
      <c r="N500" s="103"/>
      <c r="O500" s="103"/>
      <c r="P500" s="103"/>
    </row>
    <row r="501">
      <c r="A501" s="8"/>
      <c r="B501" s="128"/>
      <c r="C501" s="128"/>
      <c r="D501" s="128"/>
      <c r="E501" s="128"/>
      <c r="F501" s="128"/>
      <c r="G501" s="128"/>
      <c r="I501" s="103"/>
      <c r="J501" s="103"/>
      <c r="K501" s="103"/>
      <c r="L501" s="103"/>
      <c r="M501" s="103"/>
      <c r="N501" s="103"/>
      <c r="O501" s="103"/>
      <c r="P501" s="103"/>
    </row>
    <row r="502">
      <c r="A502" s="8"/>
      <c r="B502" s="128"/>
      <c r="C502" s="128"/>
      <c r="D502" s="128"/>
      <c r="E502" s="128"/>
      <c r="F502" s="128"/>
      <c r="G502" s="128"/>
      <c r="I502" s="103"/>
      <c r="J502" s="103"/>
      <c r="K502" s="103"/>
      <c r="L502" s="103"/>
      <c r="M502" s="103"/>
      <c r="N502" s="103"/>
      <c r="O502" s="103"/>
      <c r="P502" s="103"/>
    </row>
    <row r="503">
      <c r="A503" s="8"/>
      <c r="B503" s="128"/>
      <c r="C503" s="128"/>
      <c r="D503" s="128"/>
      <c r="E503" s="128"/>
      <c r="F503" s="128"/>
      <c r="G503" s="128"/>
      <c r="I503" s="103"/>
      <c r="J503" s="103"/>
      <c r="K503" s="103"/>
      <c r="L503" s="103"/>
      <c r="M503" s="103"/>
      <c r="N503" s="103"/>
      <c r="O503" s="103"/>
      <c r="P503" s="103"/>
    </row>
    <row r="504">
      <c r="A504" s="8"/>
      <c r="B504" s="128"/>
      <c r="C504" s="128"/>
      <c r="D504" s="128"/>
      <c r="E504" s="128"/>
      <c r="F504" s="128"/>
      <c r="G504" s="128"/>
      <c r="I504" s="103"/>
      <c r="J504" s="103"/>
      <c r="K504" s="103"/>
      <c r="L504" s="103"/>
      <c r="M504" s="103"/>
      <c r="N504" s="103"/>
      <c r="O504" s="103"/>
      <c r="P504" s="103"/>
    </row>
    <row r="505">
      <c r="A505" s="8"/>
      <c r="B505" s="128"/>
      <c r="C505" s="128"/>
      <c r="D505" s="128"/>
      <c r="E505" s="128"/>
      <c r="F505" s="128"/>
      <c r="G505" s="128"/>
      <c r="I505" s="103"/>
      <c r="J505" s="103"/>
      <c r="K505" s="103"/>
      <c r="L505" s="103"/>
      <c r="M505" s="103"/>
      <c r="N505" s="103"/>
      <c r="O505" s="103"/>
      <c r="P505" s="103"/>
    </row>
    <row r="506">
      <c r="A506" s="8"/>
      <c r="B506" s="128"/>
      <c r="C506" s="128"/>
      <c r="D506" s="128"/>
      <c r="E506" s="128"/>
      <c r="F506" s="128"/>
      <c r="G506" s="128"/>
      <c r="I506" s="103"/>
      <c r="J506" s="103"/>
      <c r="K506" s="103"/>
      <c r="L506" s="103"/>
      <c r="M506" s="103"/>
      <c r="N506" s="103"/>
      <c r="O506" s="103"/>
      <c r="P506" s="103"/>
    </row>
    <row r="507">
      <c r="A507" s="8"/>
      <c r="B507" s="128"/>
      <c r="C507" s="128"/>
      <c r="D507" s="128"/>
      <c r="E507" s="128"/>
      <c r="F507" s="128"/>
      <c r="G507" s="128"/>
      <c r="I507" s="103"/>
      <c r="J507" s="103"/>
      <c r="K507" s="103"/>
      <c r="L507" s="103"/>
      <c r="M507" s="103"/>
      <c r="N507" s="103"/>
      <c r="O507" s="103"/>
      <c r="P507" s="103"/>
    </row>
    <row r="508">
      <c r="A508" s="8"/>
      <c r="B508" s="128"/>
      <c r="C508" s="128"/>
      <c r="D508" s="128"/>
      <c r="E508" s="128"/>
      <c r="F508" s="128"/>
      <c r="G508" s="128"/>
      <c r="I508" s="103"/>
      <c r="J508" s="103"/>
      <c r="K508" s="103"/>
      <c r="L508" s="103"/>
      <c r="M508" s="103"/>
      <c r="N508" s="103"/>
      <c r="O508" s="103"/>
      <c r="P508" s="103"/>
    </row>
    <row r="509">
      <c r="A509" s="8"/>
      <c r="B509" s="128"/>
      <c r="C509" s="128"/>
      <c r="D509" s="128"/>
      <c r="E509" s="128"/>
      <c r="F509" s="128"/>
      <c r="G509" s="128"/>
      <c r="I509" s="103"/>
      <c r="J509" s="103"/>
      <c r="K509" s="103"/>
      <c r="L509" s="103"/>
      <c r="M509" s="103"/>
      <c r="N509" s="103"/>
      <c r="O509" s="103"/>
      <c r="P509" s="103"/>
    </row>
    <row r="510">
      <c r="A510" s="8"/>
      <c r="B510" s="128"/>
      <c r="C510" s="128"/>
      <c r="D510" s="128"/>
      <c r="E510" s="128"/>
      <c r="F510" s="128"/>
      <c r="G510" s="128"/>
      <c r="I510" s="103"/>
      <c r="J510" s="103"/>
      <c r="K510" s="103"/>
      <c r="L510" s="103"/>
      <c r="M510" s="103"/>
      <c r="N510" s="103"/>
      <c r="O510" s="103"/>
      <c r="P510" s="103"/>
    </row>
    <row r="511">
      <c r="A511" s="8"/>
      <c r="B511" s="128"/>
      <c r="C511" s="128"/>
      <c r="D511" s="128"/>
      <c r="E511" s="128"/>
      <c r="F511" s="128"/>
      <c r="G511" s="128"/>
      <c r="I511" s="103"/>
      <c r="J511" s="103"/>
      <c r="K511" s="103"/>
      <c r="L511" s="103"/>
      <c r="M511" s="103"/>
      <c r="N511" s="103"/>
      <c r="O511" s="103"/>
      <c r="P511" s="103"/>
    </row>
    <row r="512">
      <c r="A512" s="8"/>
      <c r="B512" s="128"/>
      <c r="C512" s="128"/>
      <c r="D512" s="128"/>
      <c r="E512" s="128"/>
      <c r="F512" s="128"/>
      <c r="G512" s="128"/>
      <c r="I512" s="103"/>
      <c r="J512" s="103"/>
      <c r="K512" s="103"/>
      <c r="L512" s="103"/>
      <c r="M512" s="103"/>
      <c r="N512" s="103"/>
      <c r="O512" s="103"/>
      <c r="P512" s="103"/>
    </row>
    <row r="513">
      <c r="A513" s="8"/>
      <c r="B513" s="128"/>
      <c r="C513" s="128"/>
      <c r="D513" s="128"/>
      <c r="E513" s="128"/>
      <c r="F513" s="128"/>
      <c r="G513" s="128"/>
      <c r="I513" s="103"/>
      <c r="J513" s="103"/>
      <c r="K513" s="103"/>
      <c r="L513" s="103"/>
      <c r="M513" s="103"/>
      <c r="N513" s="103"/>
      <c r="O513" s="103"/>
      <c r="P513" s="103"/>
    </row>
    <row r="514">
      <c r="A514" s="8"/>
      <c r="B514" s="128"/>
      <c r="C514" s="128"/>
      <c r="D514" s="128"/>
      <c r="E514" s="128"/>
      <c r="F514" s="128"/>
      <c r="G514" s="128"/>
      <c r="I514" s="103"/>
      <c r="J514" s="103"/>
      <c r="K514" s="103"/>
      <c r="L514" s="103"/>
      <c r="M514" s="103"/>
      <c r="N514" s="103"/>
      <c r="O514" s="103"/>
      <c r="P514" s="103"/>
    </row>
    <row r="515">
      <c r="A515" s="8"/>
      <c r="B515" s="128"/>
      <c r="C515" s="128"/>
      <c r="D515" s="128"/>
      <c r="E515" s="128"/>
      <c r="F515" s="128"/>
      <c r="G515" s="128"/>
      <c r="I515" s="103"/>
      <c r="J515" s="103"/>
      <c r="K515" s="103"/>
      <c r="L515" s="103"/>
      <c r="M515" s="103"/>
      <c r="N515" s="103"/>
      <c r="O515" s="103"/>
      <c r="P515" s="103"/>
    </row>
    <row r="516">
      <c r="A516" s="8"/>
      <c r="B516" s="128"/>
      <c r="C516" s="128"/>
      <c r="D516" s="128"/>
      <c r="E516" s="128"/>
      <c r="F516" s="128"/>
      <c r="G516" s="128"/>
      <c r="I516" s="103"/>
      <c r="J516" s="103"/>
      <c r="K516" s="103"/>
      <c r="L516" s="103"/>
      <c r="M516" s="103"/>
      <c r="N516" s="103"/>
      <c r="O516" s="103"/>
      <c r="P516" s="103"/>
    </row>
    <row r="517">
      <c r="A517" s="8"/>
      <c r="B517" s="128"/>
      <c r="C517" s="128"/>
      <c r="D517" s="128"/>
      <c r="E517" s="128"/>
      <c r="F517" s="128"/>
      <c r="G517" s="128"/>
      <c r="I517" s="103"/>
      <c r="J517" s="103"/>
      <c r="K517" s="103"/>
      <c r="L517" s="103"/>
      <c r="M517" s="103"/>
      <c r="N517" s="103"/>
      <c r="O517" s="103"/>
      <c r="P517" s="103"/>
    </row>
    <row r="518">
      <c r="A518" s="8"/>
      <c r="B518" s="128"/>
      <c r="C518" s="128"/>
      <c r="D518" s="128"/>
      <c r="E518" s="128"/>
      <c r="F518" s="128"/>
      <c r="G518" s="128"/>
      <c r="I518" s="103"/>
      <c r="J518" s="103"/>
      <c r="K518" s="103"/>
      <c r="L518" s="103"/>
      <c r="M518" s="103"/>
      <c r="N518" s="103"/>
      <c r="O518" s="103"/>
      <c r="P518" s="103"/>
    </row>
    <row r="519">
      <c r="A519" s="8"/>
      <c r="B519" s="128"/>
      <c r="C519" s="128"/>
      <c r="D519" s="128"/>
      <c r="E519" s="128"/>
      <c r="F519" s="128"/>
      <c r="G519" s="128"/>
      <c r="I519" s="103"/>
      <c r="J519" s="103"/>
      <c r="K519" s="103"/>
      <c r="L519" s="103"/>
      <c r="M519" s="103"/>
      <c r="N519" s="103"/>
      <c r="O519" s="103"/>
      <c r="P519" s="103"/>
    </row>
    <row r="520">
      <c r="A520" s="8"/>
      <c r="B520" s="128"/>
      <c r="C520" s="128"/>
      <c r="D520" s="128"/>
      <c r="E520" s="128"/>
      <c r="F520" s="128"/>
      <c r="G520" s="128"/>
      <c r="I520" s="103"/>
      <c r="J520" s="103"/>
      <c r="K520" s="103"/>
      <c r="L520" s="103"/>
      <c r="M520" s="103"/>
      <c r="N520" s="103"/>
      <c r="O520" s="103"/>
      <c r="P520" s="103"/>
    </row>
    <row r="521">
      <c r="A521" s="8"/>
      <c r="B521" s="128"/>
      <c r="C521" s="128"/>
      <c r="D521" s="128"/>
      <c r="E521" s="128"/>
      <c r="F521" s="128"/>
      <c r="G521" s="128"/>
      <c r="I521" s="103"/>
      <c r="J521" s="103"/>
      <c r="K521" s="103"/>
      <c r="L521" s="103"/>
      <c r="M521" s="103"/>
      <c r="N521" s="103"/>
      <c r="O521" s="103"/>
      <c r="P521" s="103"/>
    </row>
    <row r="522">
      <c r="A522" s="8"/>
      <c r="B522" s="128"/>
      <c r="C522" s="128"/>
      <c r="D522" s="128"/>
      <c r="E522" s="128"/>
      <c r="F522" s="128"/>
      <c r="G522" s="128"/>
      <c r="I522" s="103"/>
      <c r="J522" s="103"/>
      <c r="K522" s="103"/>
      <c r="L522" s="103"/>
      <c r="M522" s="103"/>
      <c r="N522" s="103"/>
      <c r="O522" s="103"/>
      <c r="P522" s="103"/>
    </row>
    <row r="523">
      <c r="A523" s="8"/>
      <c r="B523" s="128"/>
      <c r="C523" s="128"/>
      <c r="D523" s="128"/>
      <c r="E523" s="128"/>
      <c r="F523" s="128"/>
      <c r="G523" s="128"/>
      <c r="I523" s="103"/>
      <c r="J523" s="103"/>
      <c r="K523" s="103"/>
      <c r="L523" s="103"/>
      <c r="M523" s="103"/>
      <c r="N523" s="103"/>
      <c r="O523" s="103"/>
      <c r="P523" s="103"/>
    </row>
    <row r="524">
      <c r="A524" s="8"/>
      <c r="B524" s="128"/>
      <c r="C524" s="128"/>
      <c r="D524" s="128"/>
      <c r="E524" s="128"/>
      <c r="F524" s="128"/>
      <c r="G524" s="128"/>
      <c r="I524" s="103"/>
      <c r="J524" s="103"/>
      <c r="K524" s="103"/>
      <c r="L524" s="103"/>
      <c r="M524" s="103"/>
      <c r="N524" s="103"/>
      <c r="O524" s="103"/>
      <c r="P524" s="103"/>
    </row>
    <row r="525">
      <c r="A525" s="8"/>
      <c r="B525" s="128"/>
      <c r="C525" s="128"/>
      <c r="D525" s="128"/>
      <c r="E525" s="128"/>
      <c r="F525" s="128"/>
      <c r="G525" s="128"/>
      <c r="I525" s="103"/>
      <c r="J525" s="103"/>
      <c r="K525" s="103"/>
      <c r="L525" s="103"/>
      <c r="M525" s="103"/>
      <c r="N525" s="103"/>
      <c r="O525" s="103"/>
      <c r="P525" s="103"/>
    </row>
    <row r="526">
      <c r="A526" s="8"/>
      <c r="B526" s="128"/>
      <c r="C526" s="128"/>
      <c r="D526" s="128"/>
      <c r="E526" s="128"/>
      <c r="F526" s="128"/>
      <c r="G526" s="128"/>
      <c r="I526" s="103"/>
      <c r="J526" s="103"/>
      <c r="K526" s="103"/>
      <c r="L526" s="103"/>
      <c r="M526" s="103"/>
      <c r="N526" s="103"/>
      <c r="O526" s="103"/>
      <c r="P526" s="103"/>
    </row>
    <row r="527">
      <c r="A527" s="8"/>
      <c r="B527" s="128"/>
      <c r="C527" s="128"/>
      <c r="D527" s="128"/>
      <c r="E527" s="128"/>
      <c r="F527" s="128"/>
      <c r="G527" s="128"/>
      <c r="I527" s="103"/>
      <c r="J527" s="103"/>
      <c r="K527" s="103"/>
      <c r="L527" s="103"/>
      <c r="M527" s="103"/>
      <c r="N527" s="103"/>
      <c r="O527" s="103"/>
      <c r="P527" s="103"/>
    </row>
    <row r="528">
      <c r="A528" s="8"/>
      <c r="B528" s="128"/>
      <c r="C528" s="128"/>
      <c r="D528" s="128"/>
      <c r="E528" s="128"/>
      <c r="F528" s="128"/>
      <c r="G528" s="128"/>
      <c r="I528" s="103"/>
      <c r="J528" s="103"/>
      <c r="K528" s="103"/>
      <c r="L528" s="103"/>
      <c r="M528" s="103"/>
      <c r="N528" s="103"/>
      <c r="O528" s="103"/>
      <c r="P528" s="103"/>
    </row>
    <row r="529">
      <c r="A529" s="8"/>
      <c r="B529" s="128"/>
      <c r="C529" s="128"/>
      <c r="D529" s="128"/>
      <c r="E529" s="128"/>
      <c r="F529" s="128"/>
      <c r="G529" s="128"/>
      <c r="I529" s="103"/>
      <c r="J529" s="103"/>
      <c r="K529" s="103"/>
      <c r="L529" s="103"/>
      <c r="M529" s="103"/>
      <c r="N529" s="103"/>
      <c r="O529" s="103"/>
      <c r="P529" s="103"/>
    </row>
    <row r="530">
      <c r="A530" s="8"/>
      <c r="B530" s="128"/>
      <c r="C530" s="128"/>
      <c r="D530" s="128"/>
      <c r="E530" s="128"/>
      <c r="F530" s="128"/>
      <c r="G530" s="128"/>
      <c r="I530" s="103"/>
      <c r="J530" s="103"/>
      <c r="K530" s="103"/>
      <c r="L530" s="103"/>
      <c r="M530" s="103"/>
      <c r="N530" s="103"/>
      <c r="O530" s="103"/>
      <c r="P530" s="103"/>
    </row>
    <row r="531">
      <c r="A531" s="8"/>
      <c r="B531" s="128"/>
      <c r="C531" s="128"/>
      <c r="D531" s="128"/>
      <c r="E531" s="128"/>
      <c r="F531" s="128"/>
      <c r="G531" s="128"/>
      <c r="I531" s="103"/>
      <c r="J531" s="103"/>
      <c r="K531" s="103"/>
      <c r="L531" s="103"/>
      <c r="M531" s="103"/>
      <c r="N531" s="103"/>
      <c r="O531" s="103"/>
      <c r="P531" s="103"/>
    </row>
    <row r="532">
      <c r="A532" s="8"/>
      <c r="B532" s="128"/>
      <c r="C532" s="128"/>
      <c r="D532" s="128"/>
      <c r="E532" s="128"/>
      <c r="F532" s="128"/>
      <c r="G532" s="128"/>
      <c r="I532" s="103"/>
      <c r="J532" s="103"/>
      <c r="K532" s="103"/>
      <c r="L532" s="103"/>
      <c r="M532" s="103"/>
      <c r="N532" s="103"/>
      <c r="O532" s="103"/>
      <c r="P532" s="103"/>
    </row>
    <row r="533">
      <c r="A533" s="8"/>
      <c r="B533" s="128"/>
      <c r="C533" s="128"/>
      <c r="D533" s="128"/>
      <c r="E533" s="128"/>
      <c r="F533" s="128"/>
      <c r="G533" s="128"/>
      <c r="I533" s="103"/>
      <c r="J533" s="103"/>
      <c r="K533" s="103"/>
      <c r="L533" s="103"/>
      <c r="M533" s="103"/>
      <c r="N533" s="103"/>
      <c r="O533" s="103"/>
      <c r="P533" s="103"/>
    </row>
    <row r="534">
      <c r="A534" s="8"/>
      <c r="B534" s="128"/>
      <c r="C534" s="128"/>
      <c r="D534" s="128"/>
      <c r="E534" s="128"/>
      <c r="F534" s="128"/>
      <c r="G534" s="128"/>
      <c r="I534" s="103"/>
      <c r="J534" s="103"/>
      <c r="K534" s="103"/>
      <c r="L534" s="103"/>
      <c r="M534" s="103"/>
      <c r="N534" s="103"/>
      <c r="O534" s="103"/>
      <c r="P534" s="103"/>
    </row>
    <row r="535">
      <c r="A535" s="8"/>
      <c r="B535" s="128"/>
      <c r="C535" s="128"/>
      <c r="D535" s="128"/>
      <c r="E535" s="128"/>
      <c r="F535" s="128"/>
      <c r="G535" s="128"/>
      <c r="I535" s="103"/>
      <c r="J535" s="103"/>
      <c r="K535" s="103"/>
      <c r="L535" s="103"/>
      <c r="M535" s="103"/>
      <c r="N535" s="103"/>
      <c r="O535" s="103"/>
      <c r="P535" s="103"/>
    </row>
    <row r="536">
      <c r="A536" s="8"/>
      <c r="B536" s="128"/>
      <c r="C536" s="128"/>
      <c r="D536" s="128"/>
      <c r="E536" s="128"/>
      <c r="F536" s="128"/>
      <c r="G536" s="128"/>
      <c r="I536" s="103"/>
      <c r="J536" s="103"/>
      <c r="K536" s="103"/>
      <c r="L536" s="103"/>
      <c r="M536" s="103"/>
      <c r="N536" s="103"/>
      <c r="O536" s="103"/>
      <c r="P536" s="103"/>
    </row>
    <row r="537">
      <c r="A537" s="8"/>
      <c r="B537" s="128"/>
      <c r="C537" s="128"/>
      <c r="D537" s="128"/>
      <c r="E537" s="128"/>
      <c r="F537" s="128"/>
      <c r="G537" s="128"/>
      <c r="I537" s="103"/>
      <c r="J537" s="103"/>
      <c r="K537" s="103"/>
      <c r="L537" s="103"/>
      <c r="M537" s="103"/>
      <c r="N537" s="103"/>
      <c r="O537" s="103"/>
      <c r="P537" s="103"/>
    </row>
    <row r="538">
      <c r="A538" s="8"/>
      <c r="B538" s="128"/>
      <c r="C538" s="128"/>
      <c r="D538" s="128"/>
      <c r="E538" s="128"/>
      <c r="F538" s="128"/>
      <c r="G538" s="128"/>
      <c r="I538" s="103"/>
      <c r="J538" s="103"/>
      <c r="K538" s="103"/>
      <c r="L538" s="103"/>
      <c r="M538" s="103"/>
      <c r="N538" s="103"/>
      <c r="O538" s="103"/>
      <c r="P538" s="103"/>
    </row>
    <row r="539">
      <c r="A539" s="8"/>
      <c r="B539" s="128"/>
      <c r="C539" s="128"/>
      <c r="D539" s="128"/>
      <c r="E539" s="128"/>
      <c r="F539" s="128"/>
      <c r="G539" s="128"/>
      <c r="I539" s="103"/>
      <c r="J539" s="103"/>
      <c r="K539" s="103"/>
      <c r="L539" s="103"/>
      <c r="M539" s="103"/>
      <c r="N539" s="103"/>
      <c r="O539" s="103"/>
      <c r="P539" s="103"/>
    </row>
    <row r="540">
      <c r="A540" s="8"/>
      <c r="B540" s="128"/>
      <c r="C540" s="128"/>
      <c r="D540" s="128"/>
      <c r="E540" s="128"/>
      <c r="F540" s="128"/>
      <c r="G540" s="128"/>
      <c r="I540" s="103"/>
      <c r="J540" s="103"/>
      <c r="K540" s="103"/>
      <c r="L540" s="103"/>
      <c r="M540" s="103"/>
      <c r="N540" s="103"/>
      <c r="O540" s="103"/>
      <c r="P540" s="103"/>
    </row>
    <row r="541">
      <c r="A541" s="8"/>
      <c r="B541" s="128"/>
      <c r="C541" s="128"/>
      <c r="D541" s="128"/>
      <c r="E541" s="128"/>
      <c r="F541" s="128"/>
      <c r="G541" s="128"/>
      <c r="I541" s="103"/>
      <c r="J541" s="103"/>
      <c r="K541" s="103"/>
      <c r="L541" s="103"/>
      <c r="M541" s="103"/>
      <c r="N541" s="103"/>
      <c r="O541" s="103"/>
      <c r="P541" s="103"/>
    </row>
    <row r="542">
      <c r="A542" s="8"/>
      <c r="B542" s="128"/>
      <c r="C542" s="128"/>
      <c r="D542" s="128"/>
      <c r="E542" s="128"/>
      <c r="F542" s="128"/>
      <c r="G542" s="128"/>
      <c r="I542" s="103"/>
      <c r="J542" s="103"/>
      <c r="K542" s="103"/>
      <c r="L542" s="103"/>
      <c r="M542" s="103"/>
      <c r="N542" s="103"/>
      <c r="O542" s="103"/>
      <c r="P542" s="103"/>
    </row>
    <row r="543">
      <c r="A543" s="8"/>
      <c r="B543" s="128"/>
      <c r="C543" s="128"/>
      <c r="D543" s="128"/>
      <c r="E543" s="128"/>
      <c r="F543" s="128"/>
      <c r="G543" s="128"/>
      <c r="I543" s="103"/>
      <c r="J543" s="103"/>
      <c r="K543" s="103"/>
      <c r="L543" s="103"/>
      <c r="M543" s="103"/>
      <c r="N543" s="103"/>
      <c r="O543" s="103"/>
      <c r="P543" s="103"/>
    </row>
    <row r="544">
      <c r="A544" s="8"/>
      <c r="B544" s="128"/>
      <c r="C544" s="128"/>
      <c r="D544" s="128"/>
      <c r="E544" s="128"/>
      <c r="F544" s="128"/>
      <c r="G544" s="128"/>
      <c r="I544" s="103"/>
      <c r="J544" s="103"/>
      <c r="K544" s="103"/>
      <c r="L544" s="103"/>
      <c r="M544" s="103"/>
      <c r="N544" s="103"/>
      <c r="O544" s="103"/>
      <c r="P544" s="103"/>
    </row>
    <row r="545">
      <c r="A545" s="8"/>
      <c r="B545" s="128"/>
      <c r="C545" s="128"/>
      <c r="D545" s="128"/>
      <c r="E545" s="128"/>
      <c r="F545" s="128"/>
      <c r="G545" s="128"/>
      <c r="I545" s="103"/>
      <c r="J545" s="103"/>
      <c r="K545" s="103"/>
      <c r="L545" s="103"/>
      <c r="M545" s="103"/>
      <c r="N545" s="103"/>
      <c r="O545" s="103"/>
      <c r="P545" s="103"/>
    </row>
    <row r="546">
      <c r="A546" s="8"/>
      <c r="B546" s="128"/>
      <c r="C546" s="128"/>
      <c r="D546" s="128"/>
      <c r="E546" s="128"/>
      <c r="F546" s="128"/>
      <c r="G546" s="128"/>
      <c r="I546" s="103"/>
      <c r="J546" s="103"/>
      <c r="K546" s="103"/>
      <c r="L546" s="103"/>
      <c r="M546" s="103"/>
      <c r="N546" s="103"/>
      <c r="O546" s="103"/>
      <c r="P546" s="103"/>
    </row>
    <row r="547">
      <c r="A547" s="8"/>
      <c r="B547" s="128"/>
      <c r="C547" s="128"/>
      <c r="D547" s="128"/>
      <c r="E547" s="128"/>
      <c r="F547" s="128"/>
      <c r="G547" s="128"/>
      <c r="I547" s="103"/>
      <c r="J547" s="103"/>
      <c r="K547" s="103"/>
      <c r="L547" s="103"/>
      <c r="M547" s="103"/>
      <c r="N547" s="103"/>
      <c r="O547" s="103"/>
      <c r="P547" s="103"/>
    </row>
    <row r="548">
      <c r="A548" s="8"/>
      <c r="B548" s="128"/>
      <c r="C548" s="128"/>
      <c r="D548" s="128"/>
      <c r="E548" s="128"/>
      <c r="F548" s="128"/>
      <c r="G548" s="128"/>
      <c r="I548" s="103"/>
      <c r="J548" s="103"/>
      <c r="K548" s="103"/>
      <c r="L548" s="103"/>
      <c r="M548" s="103"/>
      <c r="N548" s="103"/>
      <c r="O548" s="103"/>
      <c r="P548" s="103"/>
    </row>
    <row r="549">
      <c r="A549" s="8"/>
      <c r="B549" s="128"/>
      <c r="C549" s="128"/>
      <c r="D549" s="128"/>
      <c r="E549" s="128"/>
      <c r="F549" s="128"/>
      <c r="G549" s="128"/>
      <c r="I549" s="103"/>
      <c r="J549" s="103"/>
      <c r="K549" s="103"/>
      <c r="L549" s="103"/>
      <c r="M549" s="103"/>
      <c r="N549" s="103"/>
      <c r="O549" s="103"/>
      <c r="P549" s="103"/>
    </row>
    <row r="550">
      <c r="A550" s="8"/>
      <c r="B550" s="128"/>
      <c r="C550" s="128"/>
      <c r="D550" s="128"/>
      <c r="E550" s="128"/>
      <c r="F550" s="128"/>
      <c r="G550" s="128"/>
      <c r="I550" s="103"/>
      <c r="J550" s="103"/>
      <c r="K550" s="103"/>
      <c r="L550" s="103"/>
      <c r="M550" s="103"/>
      <c r="N550" s="103"/>
      <c r="O550" s="103"/>
      <c r="P550" s="103"/>
    </row>
    <row r="551">
      <c r="A551" s="8"/>
      <c r="B551" s="128"/>
      <c r="C551" s="128"/>
      <c r="D551" s="128"/>
      <c r="E551" s="128"/>
      <c r="F551" s="128"/>
      <c r="G551" s="128"/>
      <c r="I551" s="103"/>
      <c r="J551" s="103"/>
      <c r="K551" s="103"/>
      <c r="L551" s="103"/>
      <c r="M551" s="103"/>
      <c r="N551" s="103"/>
      <c r="O551" s="103"/>
      <c r="P551" s="103"/>
    </row>
    <row r="552">
      <c r="A552" s="8"/>
      <c r="B552" s="128"/>
      <c r="C552" s="128"/>
      <c r="D552" s="128"/>
      <c r="E552" s="128"/>
      <c r="F552" s="128"/>
      <c r="G552" s="128"/>
      <c r="I552" s="103"/>
      <c r="J552" s="103"/>
      <c r="K552" s="103"/>
      <c r="L552" s="103"/>
      <c r="M552" s="103"/>
      <c r="N552" s="103"/>
      <c r="O552" s="103"/>
      <c r="P552" s="103"/>
    </row>
    <row r="553">
      <c r="A553" s="8"/>
      <c r="B553" s="128"/>
      <c r="C553" s="128"/>
      <c r="D553" s="128"/>
      <c r="E553" s="128"/>
      <c r="F553" s="128"/>
      <c r="G553" s="128"/>
      <c r="I553" s="103"/>
      <c r="J553" s="103"/>
      <c r="K553" s="103"/>
      <c r="L553" s="103"/>
      <c r="M553" s="103"/>
      <c r="N553" s="103"/>
      <c r="O553" s="103"/>
      <c r="P553" s="103"/>
    </row>
    <row r="554">
      <c r="A554" s="8"/>
      <c r="B554" s="128"/>
      <c r="C554" s="128"/>
      <c r="D554" s="128"/>
      <c r="E554" s="128"/>
      <c r="F554" s="128"/>
      <c r="G554" s="128"/>
      <c r="I554" s="103"/>
      <c r="J554" s="103"/>
      <c r="K554" s="103"/>
      <c r="L554" s="103"/>
      <c r="M554" s="103"/>
      <c r="N554" s="103"/>
      <c r="O554" s="103"/>
      <c r="P554" s="103"/>
    </row>
    <row r="555">
      <c r="A555" s="8"/>
      <c r="B555" s="128"/>
      <c r="C555" s="128"/>
      <c r="D555" s="128"/>
      <c r="E555" s="128"/>
      <c r="F555" s="128"/>
      <c r="G555" s="128"/>
      <c r="I555" s="103"/>
      <c r="J555" s="103"/>
      <c r="K555" s="103"/>
      <c r="L555" s="103"/>
      <c r="M555" s="103"/>
      <c r="N555" s="103"/>
      <c r="O555" s="103"/>
      <c r="P555" s="103"/>
    </row>
    <row r="556">
      <c r="A556" s="8"/>
      <c r="B556" s="128"/>
      <c r="C556" s="128"/>
      <c r="D556" s="128"/>
      <c r="E556" s="128"/>
      <c r="F556" s="128"/>
      <c r="G556" s="128"/>
      <c r="I556" s="103"/>
      <c r="J556" s="103"/>
      <c r="K556" s="103"/>
      <c r="L556" s="103"/>
      <c r="M556" s="103"/>
      <c r="N556" s="103"/>
      <c r="O556" s="103"/>
      <c r="P556" s="103"/>
    </row>
    <row r="557">
      <c r="A557" s="8"/>
      <c r="B557" s="128"/>
      <c r="C557" s="128"/>
      <c r="D557" s="128"/>
      <c r="E557" s="128"/>
      <c r="F557" s="128"/>
      <c r="G557" s="128"/>
      <c r="I557" s="103"/>
      <c r="J557" s="103"/>
      <c r="K557" s="103"/>
      <c r="L557" s="103"/>
      <c r="M557" s="103"/>
      <c r="N557" s="103"/>
      <c r="O557" s="103"/>
      <c r="P557" s="103"/>
    </row>
    <row r="558">
      <c r="A558" s="8"/>
      <c r="B558" s="128"/>
      <c r="C558" s="128"/>
      <c r="D558" s="128"/>
      <c r="E558" s="128"/>
      <c r="F558" s="128"/>
      <c r="G558" s="128"/>
      <c r="I558" s="103"/>
      <c r="J558" s="103"/>
      <c r="K558" s="103"/>
      <c r="L558" s="103"/>
      <c r="M558" s="103"/>
      <c r="N558" s="103"/>
      <c r="O558" s="103"/>
      <c r="P558" s="103"/>
    </row>
    <row r="559">
      <c r="A559" s="8"/>
      <c r="B559" s="128"/>
      <c r="C559" s="128"/>
      <c r="D559" s="128"/>
      <c r="E559" s="128"/>
      <c r="F559" s="128"/>
      <c r="G559" s="128"/>
      <c r="I559" s="103"/>
      <c r="J559" s="103"/>
      <c r="K559" s="103"/>
      <c r="L559" s="103"/>
      <c r="M559" s="103"/>
      <c r="N559" s="103"/>
      <c r="O559" s="103"/>
      <c r="P559" s="103"/>
    </row>
    <row r="560">
      <c r="A560" s="8"/>
      <c r="B560" s="128"/>
      <c r="C560" s="128"/>
      <c r="D560" s="128"/>
      <c r="E560" s="128"/>
      <c r="F560" s="128"/>
      <c r="G560" s="128"/>
      <c r="I560" s="103"/>
      <c r="J560" s="103"/>
      <c r="K560" s="103"/>
      <c r="L560" s="103"/>
      <c r="M560" s="103"/>
      <c r="N560" s="103"/>
      <c r="O560" s="103"/>
      <c r="P560" s="103"/>
    </row>
    <row r="561">
      <c r="A561" s="8"/>
      <c r="B561" s="128"/>
      <c r="C561" s="128"/>
      <c r="D561" s="128"/>
      <c r="E561" s="128"/>
      <c r="F561" s="128"/>
      <c r="G561" s="128"/>
      <c r="I561" s="103"/>
      <c r="J561" s="103"/>
      <c r="K561" s="103"/>
      <c r="L561" s="103"/>
      <c r="M561" s="103"/>
      <c r="N561" s="103"/>
      <c r="O561" s="103"/>
      <c r="P561" s="103"/>
    </row>
    <row r="562">
      <c r="A562" s="8"/>
      <c r="B562" s="128"/>
      <c r="C562" s="128"/>
      <c r="D562" s="128"/>
      <c r="E562" s="128"/>
      <c r="F562" s="128"/>
      <c r="G562" s="128"/>
      <c r="I562" s="103"/>
      <c r="J562" s="103"/>
      <c r="K562" s="103"/>
      <c r="L562" s="103"/>
      <c r="M562" s="103"/>
      <c r="N562" s="103"/>
      <c r="O562" s="103"/>
      <c r="P562" s="103"/>
    </row>
    <row r="563">
      <c r="A563" s="8"/>
      <c r="B563" s="128"/>
      <c r="C563" s="128"/>
      <c r="D563" s="128"/>
      <c r="E563" s="128"/>
      <c r="F563" s="128"/>
      <c r="G563" s="128"/>
      <c r="I563" s="103"/>
      <c r="J563" s="103"/>
      <c r="K563" s="103"/>
      <c r="L563" s="103"/>
      <c r="M563" s="103"/>
      <c r="N563" s="103"/>
      <c r="O563" s="103"/>
      <c r="P563" s="103"/>
    </row>
    <row r="564">
      <c r="A564" s="8"/>
      <c r="B564" s="128"/>
      <c r="C564" s="128"/>
      <c r="D564" s="128"/>
      <c r="E564" s="128"/>
      <c r="F564" s="128"/>
      <c r="G564" s="128"/>
      <c r="I564" s="103"/>
      <c r="J564" s="103"/>
      <c r="K564" s="103"/>
      <c r="L564" s="103"/>
      <c r="M564" s="103"/>
      <c r="N564" s="103"/>
      <c r="O564" s="103"/>
      <c r="P564" s="103"/>
    </row>
    <row r="565">
      <c r="A565" s="8"/>
      <c r="B565" s="128"/>
      <c r="C565" s="128"/>
      <c r="D565" s="128"/>
      <c r="E565" s="128"/>
      <c r="F565" s="128"/>
      <c r="G565" s="128"/>
      <c r="I565" s="103"/>
      <c r="J565" s="103"/>
      <c r="K565" s="103"/>
      <c r="L565" s="103"/>
      <c r="M565" s="103"/>
      <c r="N565" s="103"/>
      <c r="O565" s="103"/>
      <c r="P565" s="103"/>
    </row>
    <row r="566">
      <c r="A566" s="8"/>
      <c r="B566" s="128"/>
      <c r="C566" s="128"/>
      <c r="D566" s="128"/>
      <c r="E566" s="128"/>
      <c r="F566" s="128"/>
      <c r="G566" s="128"/>
      <c r="I566" s="103"/>
      <c r="J566" s="103"/>
      <c r="K566" s="103"/>
      <c r="L566" s="103"/>
      <c r="M566" s="103"/>
      <c r="N566" s="103"/>
      <c r="O566" s="103"/>
      <c r="P566" s="103"/>
    </row>
    <row r="567">
      <c r="A567" s="8"/>
      <c r="B567" s="128"/>
      <c r="C567" s="128"/>
      <c r="D567" s="128"/>
      <c r="E567" s="128"/>
      <c r="F567" s="128"/>
      <c r="G567" s="128"/>
      <c r="I567" s="103"/>
      <c r="J567" s="103"/>
      <c r="K567" s="103"/>
      <c r="L567" s="103"/>
      <c r="M567" s="103"/>
      <c r="N567" s="103"/>
      <c r="O567" s="103"/>
      <c r="P567" s="103"/>
    </row>
    <row r="568">
      <c r="A568" s="8"/>
      <c r="B568" s="128"/>
      <c r="C568" s="128"/>
      <c r="D568" s="128"/>
      <c r="E568" s="128"/>
      <c r="F568" s="128"/>
      <c r="G568" s="128"/>
      <c r="I568" s="103"/>
      <c r="J568" s="103"/>
      <c r="K568" s="103"/>
      <c r="L568" s="103"/>
      <c r="M568" s="103"/>
      <c r="N568" s="103"/>
      <c r="O568" s="103"/>
      <c r="P568" s="103"/>
    </row>
    <row r="569">
      <c r="A569" s="8"/>
      <c r="B569" s="128"/>
      <c r="C569" s="128"/>
      <c r="D569" s="128"/>
      <c r="E569" s="128"/>
      <c r="F569" s="128"/>
      <c r="G569" s="128"/>
      <c r="I569" s="103"/>
      <c r="J569" s="103"/>
      <c r="K569" s="103"/>
      <c r="L569" s="103"/>
      <c r="M569" s="103"/>
      <c r="N569" s="103"/>
      <c r="O569" s="103"/>
      <c r="P569" s="103"/>
    </row>
    <row r="570">
      <c r="A570" s="8"/>
      <c r="B570" s="128"/>
      <c r="C570" s="128"/>
      <c r="D570" s="128"/>
      <c r="E570" s="128"/>
      <c r="F570" s="128"/>
      <c r="G570" s="128"/>
      <c r="I570" s="103"/>
      <c r="J570" s="103"/>
      <c r="K570" s="103"/>
      <c r="L570" s="103"/>
      <c r="M570" s="103"/>
      <c r="N570" s="103"/>
      <c r="O570" s="103"/>
      <c r="P570" s="103"/>
    </row>
    <row r="571">
      <c r="A571" s="8"/>
      <c r="B571" s="128"/>
      <c r="C571" s="128"/>
      <c r="D571" s="128"/>
      <c r="E571" s="128"/>
      <c r="F571" s="128"/>
      <c r="G571" s="128"/>
      <c r="I571" s="103"/>
      <c r="J571" s="103"/>
      <c r="K571" s="103"/>
      <c r="L571" s="103"/>
      <c r="M571" s="103"/>
      <c r="N571" s="103"/>
      <c r="O571" s="103"/>
      <c r="P571" s="103"/>
    </row>
    <row r="572">
      <c r="A572" s="8"/>
      <c r="B572" s="128"/>
      <c r="C572" s="128"/>
      <c r="D572" s="128"/>
      <c r="E572" s="128"/>
      <c r="F572" s="128"/>
      <c r="G572" s="128"/>
      <c r="I572" s="103"/>
      <c r="J572" s="103"/>
      <c r="K572" s="103"/>
      <c r="L572" s="103"/>
      <c r="M572" s="103"/>
      <c r="N572" s="103"/>
      <c r="O572" s="103"/>
      <c r="P572" s="103"/>
    </row>
    <row r="573">
      <c r="A573" s="8"/>
      <c r="B573" s="128"/>
      <c r="C573" s="128"/>
      <c r="D573" s="128"/>
      <c r="E573" s="128"/>
      <c r="F573" s="128"/>
      <c r="G573" s="128"/>
      <c r="I573" s="103"/>
      <c r="J573" s="103"/>
      <c r="K573" s="103"/>
      <c r="L573" s="103"/>
      <c r="M573" s="103"/>
      <c r="N573" s="103"/>
      <c r="O573" s="103"/>
      <c r="P573" s="103"/>
    </row>
    <row r="574">
      <c r="A574" s="8"/>
      <c r="B574" s="128"/>
      <c r="C574" s="128"/>
      <c r="D574" s="128"/>
      <c r="E574" s="128"/>
      <c r="F574" s="128"/>
      <c r="G574" s="128"/>
      <c r="I574" s="103"/>
      <c r="J574" s="103"/>
      <c r="K574" s="103"/>
      <c r="L574" s="103"/>
      <c r="M574" s="103"/>
      <c r="N574" s="103"/>
      <c r="O574" s="103"/>
      <c r="P574" s="103"/>
    </row>
    <row r="575">
      <c r="A575" s="8"/>
      <c r="B575" s="128"/>
      <c r="C575" s="128"/>
      <c r="D575" s="128"/>
      <c r="E575" s="128"/>
      <c r="F575" s="128"/>
      <c r="G575" s="128"/>
      <c r="I575" s="103"/>
      <c r="J575" s="103"/>
      <c r="K575" s="103"/>
      <c r="L575" s="103"/>
      <c r="M575" s="103"/>
      <c r="N575" s="103"/>
      <c r="O575" s="103"/>
      <c r="P575" s="103"/>
    </row>
    <row r="576">
      <c r="A576" s="8"/>
      <c r="B576" s="128"/>
      <c r="C576" s="128"/>
      <c r="D576" s="128"/>
      <c r="E576" s="128"/>
      <c r="F576" s="128"/>
      <c r="G576" s="128"/>
      <c r="I576" s="103"/>
      <c r="J576" s="103"/>
      <c r="K576" s="103"/>
      <c r="L576" s="103"/>
      <c r="M576" s="103"/>
      <c r="N576" s="103"/>
      <c r="O576" s="103"/>
      <c r="P576" s="103"/>
    </row>
    <row r="577">
      <c r="A577" s="8"/>
      <c r="B577" s="128"/>
      <c r="C577" s="128"/>
      <c r="D577" s="128"/>
      <c r="E577" s="128"/>
      <c r="F577" s="128"/>
      <c r="G577" s="128"/>
      <c r="I577" s="103"/>
      <c r="J577" s="103"/>
      <c r="K577" s="103"/>
      <c r="L577" s="103"/>
      <c r="M577" s="103"/>
      <c r="N577" s="103"/>
      <c r="O577" s="103"/>
      <c r="P577" s="103"/>
    </row>
    <row r="578">
      <c r="A578" s="8"/>
      <c r="B578" s="128"/>
      <c r="C578" s="128"/>
      <c r="D578" s="128"/>
      <c r="E578" s="128"/>
      <c r="F578" s="128"/>
      <c r="G578" s="128"/>
      <c r="I578" s="103"/>
      <c r="J578" s="103"/>
      <c r="K578" s="103"/>
      <c r="L578" s="103"/>
      <c r="M578" s="103"/>
      <c r="N578" s="103"/>
      <c r="O578" s="103"/>
      <c r="P578" s="103"/>
    </row>
    <row r="579">
      <c r="A579" s="8"/>
      <c r="B579" s="128"/>
      <c r="C579" s="128"/>
      <c r="D579" s="128"/>
      <c r="E579" s="128"/>
      <c r="F579" s="128"/>
      <c r="G579" s="128"/>
      <c r="I579" s="103"/>
      <c r="J579" s="103"/>
      <c r="K579" s="103"/>
      <c r="L579" s="103"/>
      <c r="M579" s="103"/>
      <c r="N579" s="103"/>
      <c r="O579" s="103"/>
      <c r="P579" s="103"/>
    </row>
    <row r="580">
      <c r="A580" s="8"/>
      <c r="B580" s="128"/>
      <c r="C580" s="128"/>
      <c r="D580" s="128"/>
      <c r="E580" s="128"/>
      <c r="F580" s="128"/>
      <c r="G580" s="128"/>
      <c r="I580" s="103"/>
      <c r="J580" s="103"/>
      <c r="K580" s="103"/>
      <c r="L580" s="103"/>
      <c r="M580" s="103"/>
      <c r="N580" s="103"/>
      <c r="O580" s="103"/>
      <c r="P580" s="103"/>
    </row>
    <row r="581">
      <c r="A581" s="8"/>
      <c r="B581" s="128"/>
      <c r="C581" s="128"/>
      <c r="D581" s="128"/>
      <c r="E581" s="128"/>
      <c r="F581" s="128"/>
      <c r="G581" s="128"/>
      <c r="I581" s="103"/>
      <c r="J581" s="103"/>
      <c r="K581" s="103"/>
      <c r="L581" s="103"/>
      <c r="M581" s="103"/>
      <c r="N581" s="103"/>
      <c r="O581" s="103"/>
      <c r="P581" s="103"/>
    </row>
    <row r="582">
      <c r="A582" s="8"/>
      <c r="B582" s="128"/>
      <c r="C582" s="128"/>
      <c r="D582" s="128"/>
      <c r="E582" s="128"/>
      <c r="F582" s="128"/>
      <c r="G582" s="128"/>
      <c r="I582" s="103"/>
      <c r="J582" s="103"/>
      <c r="K582" s="103"/>
      <c r="L582" s="103"/>
      <c r="M582" s="103"/>
      <c r="N582" s="103"/>
      <c r="O582" s="103"/>
      <c r="P582" s="103"/>
    </row>
    <row r="583">
      <c r="A583" s="8"/>
      <c r="B583" s="128"/>
      <c r="C583" s="128"/>
      <c r="D583" s="128"/>
      <c r="E583" s="128"/>
      <c r="F583" s="128"/>
      <c r="G583" s="128"/>
      <c r="I583" s="103"/>
      <c r="J583" s="103"/>
      <c r="K583" s="103"/>
      <c r="L583" s="103"/>
      <c r="M583" s="103"/>
      <c r="N583" s="103"/>
      <c r="O583" s="103"/>
      <c r="P583" s="103"/>
    </row>
    <row r="584">
      <c r="A584" s="8"/>
      <c r="B584" s="128"/>
      <c r="C584" s="128"/>
      <c r="D584" s="128"/>
      <c r="E584" s="128"/>
      <c r="F584" s="128"/>
      <c r="G584" s="128"/>
      <c r="I584" s="103"/>
      <c r="J584" s="103"/>
      <c r="K584" s="103"/>
      <c r="L584" s="103"/>
      <c r="M584" s="103"/>
      <c r="N584" s="103"/>
      <c r="O584" s="103"/>
      <c r="P584" s="103"/>
    </row>
    <row r="585">
      <c r="A585" s="8"/>
      <c r="B585" s="128"/>
      <c r="C585" s="128"/>
      <c r="D585" s="128"/>
      <c r="E585" s="128"/>
      <c r="F585" s="128"/>
      <c r="G585" s="128"/>
      <c r="I585" s="103"/>
      <c r="J585" s="103"/>
      <c r="K585" s="103"/>
      <c r="L585" s="103"/>
      <c r="M585" s="103"/>
      <c r="N585" s="103"/>
      <c r="O585" s="103"/>
      <c r="P585" s="103"/>
    </row>
    <row r="586">
      <c r="A586" s="8"/>
      <c r="B586" s="128"/>
      <c r="C586" s="128"/>
      <c r="D586" s="128"/>
      <c r="E586" s="128"/>
      <c r="F586" s="128"/>
      <c r="G586" s="128"/>
      <c r="I586" s="103"/>
      <c r="J586" s="103"/>
      <c r="K586" s="103"/>
      <c r="L586" s="103"/>
      <c r="M586" s="103"/>
      <c r="N586" s="103"/>
      <c r="O586" s="103"/>
      <c r="P586" s="103"/>
    </row>
    <row r="587">
      <c r="A587" s="8"/>
      <c r="B587" s="128"/>
      <c r="C587" s="128"/>
      <c r="D587" s="128"/>
      <c r="E587" s="128"/>
      <c r="F587" s="128"/>
      <c r="G587" s="128"/>
      <c r="I587" s="103"/>
      <c r="J587" s="103"/>
      <c r="K587" s="103"/>
      <c r="L587" s="103"/>
      <c r="M587" s="103"/>
      <c r="N587" s="103"/>
      <c r="O587" s="103"/>
      <c r="P587" s="103"/>
    </row>
    <row r="588">
      <c r="A588" s="8"/>
      <c r="B588" s="128"/>
      <c r="C588" s="128"/>
      <c r="D588" s="128"/>
      <c r="E588" s="128"/>
      <c r="F588" s="128"/>
      <c r="G588" s="128"/>
      <c r="I588" s="103"/>
      <c r="J588" s="103"/>
      <c r="K588" s="103"/>
      <c r="L588" s="103"/>
      <c r="M588" s="103"/>
      <c r="N588" s="103"/>
      <c r="O588" s="103"/>
      <c r="P588" s="103"/>
    </row>
    <row r="589">
      <c r="A589" s="8"/>
      <c r="B589" s="128"/>
      <c r="C589" s="128"/>
      <c r="D589" s="128"/>
      <c r="E589" s="128"/>
      <c r="F589" s="128"/>
      <c r="G589" s="128"/>
      <c r="I589" s="103"/>
      <c r="J589" s="103"/>
      <c r="K589" s="103"/>
      <c r="L589" s="103"/>
      <c r="M589" s="103"/>
      <c r="N589" s="103"/>
      <c r="O589" s="103"/>
      <c r="P589" s="103"/>
    </row>
    <row r="590">
      <c r="A590" s="8"/>
      <c r="B590" s="128"/>
      <c r="C590" s="128"/>
      <c r="D590" s="128"/>
      <c r="E590" s="128"/>
      <c r="F590" s="128"/>
      <c r="G590" s="128"/>
      <c r="I590" s="103"/>
      <c r="J590" s="103"/>
      <c r="K590" s="103"/>
      <c r="L590" s="103"/>
      <c r="M590" s="103"/>
      <c r="N590" s="103"/>
      <c r="O590" s="103"/>
      <c r="P590" s="103"/>
    </row>
    <row r="591">
      <c r="A591" s="8"/>
      <c r="B591" s="128"/>
      <c r="C591" s="128"/>
      <c r="D591" s="128"/>
      <c r="E591" s="128"/>
      <c r="F591" s="128"/>
      <c r="G591" s="128"/>
      <c r="I591" s="103"/>
      <c r="J591" s="103"/>
      <c r="K591" s="103"/>
      <c r="L591" s="103"/>
      <c r="M591" s="103"/>
      <c r="N591" s="103"/>
      <c r="O591" s="103"/>
      <c r="P591" s="103"/>
    </row>
    <row r="592">
      <c r="A592" s="8"/>
      <c r="B592" s="128"/>
      <c r="C592" s="128"/>
      <c r="D592" s="128"/>
      <c r="E592" s="128"/>
      <c r="F592" s="128"/>
      <c r="G592" s="128"/>
      <c r="I592" s="103"/>
      <c r="J592" s="103"/>
      <c r="K592" s="103"/>
      <c r="L592" s="103"/>
      <c r="M592" s="103"/>
      <c r="N592" s="103"/>
      <c r="O592" s="103"/>
      <c r="P592" s="103"/>
    </row>
    <row r="593">
      <c r="A593" s="8"/>
      <c r="B593" s="128"/>
      <c r="C593" s="128"/>
      <c r="D593" s="128"/>
      <c r="E593" s="128"/>
      <c r="F593" s="128"/>
      <c r="G593" s="128"/>
      <c r="I593" s="103"/>
      <c r="J593" s="103"/>
      <c r="K593" s="103"/>
      <c r="L593" s="103"/>
      <c r="M593" s="103"/>
      <c r="N593" s="103"/>
      <c r="O593" s="103"/>
      <c r="P593" s="103"/>
    </row>
    <row r="594">
      <c r="A594" s="8"/>
      <c r="B594" s="128"/>
      <c r="C594" s="128"/>
      <c r="D594" s="128"/>
      <c r="E594" s="128"/>
      <c r="F594" s="128"/>
      <c r="G594" s="128"/>
      <c r="I594" s="103"/>
      <c r="J594" s="103"/>
      <c r="K594" s="103"/>
      <c r="L594" s="103"/>
      <c r="M594" s="103"/>
      <c r="N594" s="103"/>
      <c r="O594" s="103"/>
      <c r="P594" s="103"/>
    </row>
    <row r="595">
      <c r="A595" s="8"/>
      <c r="B595" s="128"/>
      <c r="C595" s="128"/>
      <c r="D595" s="128"/>
      <c r="E595" s="128"/>
      <c r="F595" s="128"/>
      <c r="G595" s="128"/>
      <c r="I595" s="103"/>
      <c r="J595" s="103"/>
      <c r="K595" s="103"/>
      <c r="L595" s="103"/>
      <c r="M595" s="103"/>
      <c r="N595" s="103"/>
      <c r="O595" s="103"/>
      <c r="P595" s="103"/>
    </row>
    <row r="596">
      <c r="A596" s="8"/>
      <c r="B596" s="128"/>
      <c r="C596" s="128"/>
      <c r="D596" s="128"/>
      <c r="E596" s="128"/>
      <c r="F596" s="128"/>
      <c r="G596" s="128"/>
      <c r="I596" s="103"/>
      <c r="J596" s="103"/>
      <c r="K596" s="103"/>
      <c r="L596" s="103"/>
      <c r="M596" s="103"/>
      <c r="N596" s="103"/>
      <c r="O596" s="103"/>
      <c r="P596" s="103"/>
    </row>
    <row r="597">
      <c r="A597" s="8"/>
      <c r="B597" s="128"/>
      <c r="C597" s="128"/>
      <c r="D597" s="128"/>
      <c r="E597" s="128"/>
      <c r="F597" s="128"/>
      <c r="G597" s="128"/>
      <c r="I597" s="103"/>
      <c r="J597" s="103"/>
      <c r="K597" s="103"/>
      <c r="L597" s="103"/>
      <c r="M597" s="103"/>
      <c r="N597" s="103"/>
      <c r="O597" s="103"/>
      <c r="P597" s="103"/>
    </row>
    <row r="598">
      <c r="A598" s="8"/>
      <c r="B598" s="128"/>
      <c r="C598" s="128"/>
      <c r="D598" s="128"/>
      <c r="E598" s="128"/>
      <c r="F598" s="128"/>
      <c r="G598" s="128"/>
      <c r="I598" s="103"/>
      <c r="J598" s="103"/>
      <c r="K598" s="103"/>
      <c r="L598" s="103"/>
      <c r="M598" s="103"/>
      <c r="N598" s="103"/>
      <c r="O598" s="103"/>
      <c r="P598" s="103"/>
    </row>
    <row r="599">
      <c r="A599" s="8"/>
      <c r="B599" s="128"/>
      <c r="C599" s="128"/>
      <c r="D599" s="128"/>
      <c r="E599" s="128"/>
      <c r="F599" s="128"/>
      <c r="G599" s="128"/>
      <c r="I599" s="103"/>
      <c r="J599" s="103"/>
      <c r="K599" s="103"/>
      <c r="L599" s="103"/>
      <c r="M599" s="103"/>
      <c r="N599" s="103"/>
      <c r="O599" s="103"/>
      <c r="P599" s="103"/>
    </row>
    <row r="600">
      <c r="A600" s="8"/>
      <c r="B600" s="128"/>
      <c r="C600" s="128"/>
      <c r="D600" s="128"/>
      <c r="E600" s="128"/>
      <c r="F600" s="128"/>
      <c r="G600" s="128"/>
      <c r="I600" s="103"/>
      <c r="J600" s="103"/>
      <c r="K600" s="103"/>
      <c r="L600" s="103"/>
      <c r="M600" s="103"/>
      <c r="N600" s="103"/>
      <c r="O600" s="103"/>
      <c r="P600" s="103"/>
    </row>
    <row r="601">
      <c r="A601" s="8"/>
      <c r="B601" s="128"/>
      <c r="C601" s="128"/>
      <c r="D601" s="128"/>
      <c r="E601" s="128"/>
      <c r="F601" s="128"/>
      <c r="G601" s="128"/>
      <c r="I601" s="103"/>
      <c r="J601" s="103"/>
      <c r="K601" s="103"/>
      <c r="L601" s="103"/>
      <c r="M601" s="103"/>
      <c r="N601" s="103"/>
      <c r="O601" s="103"/>
      <c r="P601" s="103"/>
    </row>
    <row r="602">
      <c r="A602" s="8"/>
      <c r="B602" s="128"/>
      <c r="C602" s="128"/>
      <c r="D602" s="128"/>
      <c r="E602" s="128"/>
      <c r="F602" s="128"/>
      <c r="G602" s="128"/>
      <c r="I602" s="103"/>
      <c r="J602" s="103"/>
      <c r="K602" s="103"/>
      <c r="L602" s="103"/>
      <c r="M602" s="103"/>
      <c r="N602" s="103"/>
      <c r="O602" s="103"/>
      <c r="P602" s="103"/>
    </row>
    <row r="603">
      <c r="A603" s="8"/>
      <c r="B603" s="128"/>
      <c r="C603" s="128"/>
      <c r="D603" s="128"/>
      <c r="E603" s="128"/>
      <c r="F603" s="128"/>
      <c r="G603" s="128"/>
      <c r="I603" s="103"/>
      <c r="J603" s="103"/>
      <c r="K603" s="103"/>
      <c r="L603" s="103"/>
      <c r="M603" s="103"/>
      <c r="N603" s="103"/>
      <c r="O603" s="103"/>
      <c r="P603" s="103"/>
    </row>
    <row r="604">
      <c r="A604" s="8"/>
      <c r="B604" s="128"/>
      <c r="C604" s="128"/>
      <c r="D604" s="128"/>
      <c r="E604" s="128"/>
      <c r="F604" s="128"/>
      <c r="G604" s="128"/>
      <c r="I604" s="103"/>
      <c r="J604" s="103"/>
      <c r="K604" s="103"/>
      <c r="L604" s="103"/>
      <c r="M604" s="103"/>
      <c r="N604" s="103"/>
      <c r="O604" s="103"/>
      <c r="P604" s="103"/>
    </row>
    <row r="605">
      <c r="A605" s="8"/>
      <c r="B605" s="128"/>
      <c r="C605" s="128"/>
      <c r="D605" s="128"/>
      <c r="E605" s="128"/>
      <c r="F605" s="128"/>
      <c r="G605" s="128"/>
      <c r="I605" s="103"/>
      <c r="J605" s="103"/>
      <c r="K605" s="103"/>
      <c r="L605" s="103"/>
      <c r="M605" s="103"/>
      <c r="N605" s="103"/>
      <c r="O605" s="103"/>
      <c r="P605" s="103"/>
    </row>
    <row r="606">
      <c r="A606" s="8"/>
      <c r="B606" s="128"/>
      <c r="C606" s="128"/>
      <c r="D606" s="128"/>
      <c r="E606" s="128"/>
      <c r="F606" s="128"/>
      <c r="G606" s="128"/>
      <c r="I606" s="103"/>
      <c r="J606" s="103"/>
      <c r="K606" s="103"/>
      <c r="L606" s="103"/>
      <c r="M606" s="103"/>
      <c r="N606" s="103"/>
      <c r="O606" s="103"/>
      <c r="P606" s="103"/>
    </row>
    <row r="607">
      <c r="A607" s="8"/>
      <c r="B607" s="128"/>
      <c r="C607" s="128"/>
      <c r="D607" s="128"/>
      <c r="E607" s="128"/>
      <c r="F607" s="128"/>
      <c r="G607" s="128"/>
      <c r="I607" s="103"/>
      <c r="J607" s="103"/>
      <c r="K607" s="103"/>
      <c r="L607" s="103"/>
      <c r="M607" s="103"/>
      <c r="N607" s="103"/>
      <c r="O607" s="103"/>
      <c r="P607" s="103"/>
    </row>
    <row r="608">
      <c r="A608" s="8"/>
      <c r="B608" s="128"/>
      <c r="C608" s="128"/>
      <c r="D608" s="128"/>
      <c r="E608" s="128"/>
      <c r="F608" s="128"/>
      <c r="G608" s="128"/>
      <c r="I608" s="103"/>
      <c r="J608" s="103"/>
      <c r="K608" s="103"/>
      <c r="L608" s="103"/>
      <c r="M608" s="103"/>
      <c r="N608" s="103"/>
      <c r="O608" s="103"/>
      <c r="P608" s="103"/>
    </row>
    <row r="609">
      <c r="A609" s="8"/>
      <c r="B609" s="128"/>
      <c r="C609" s="128"/>
      <c r="D609" s="128"/>
      <c r="E609" s="128"/>
      <c r="F609" s="128"/>
      <c r="G609" s="128"/>
      <c r="I609" s="103"/>
      <c r="J609" s="103"/>
      <c r="K609" s="103"/>
      <c r="L609" s="103"/>
      <c r="M609" s="103"/>
      <c r="N609" s="103"/>
      <c r="O609" s="103"/>
      <c r="P609" s="103"/>
    </row>
    <row r="610">
      <c r="A610" s="8"/>
      <c r="B610" s="128"/>
      <c r="C610" s="128"/>
      <c r="D610" s="128"/>
      <c r="E610" s="128"/>
      <c r="F610" s="128"/>
      <c r="G610" s="128"/>
      <c r="I610" s="103"/>
      <c r="J610" s="103"/>
      <c r="K610" s="103"/>
      <c r="L610" s="103"/>
      <c r="M610" s="103"/>
      <c r="N610" s="103"/>
      <c r="O610" s="103"/>
      <c r="P610" s="103"/>
    </row>
    <row r="611">
      <c r="A611" s="8"/>
      <c r="B611" s="128"/>
      <c r="C611" s="128"/>
      <c r="D611" s="128"/>
      <c r="E611" s="128"/>
      <c r="F611" s="128"/>
      <c r="G611" s="128"/>
      <c r="I611" s="103"/>
      <c r="J611" s="103"/>
      <c r="K611" s="103"/>
      <c r="L611" s="103"/>
      <c r="M611" s="103"/>
      <c r="N611" s="103"/>
      <c r="O611" s="103"/>
      <c r="P611" s="103"/>
    </row>
    <row r="612">
      <c r="A612" s="8"/>
      <c r="B612" s="128"/>
      <c r="C612" s="128"/>
      <c r="D612" s="128"/>
      <c r="E612" s="128"/>
      <c r="F612" s="128"/>
      <c r="G612" s="128"/>
      <c r="I612" s="103"/>
      <c r="J612" s="103"/>
      <c r="K612" s="103"/>
      <c r="L612" s="103"/>
      <c r="M612" s="103"/>
      <c r="N612" s="103"/>
      <c r="O612" s="103"/>
      <c r="P612" s="103"/>
    </row>
    <row r="613">
      <c r="A613" s="8"/>
      <c r="B613" s="128"/>
      <c r="C613" s="128"/>
      <c r="D613" s="128"/>
      <c r="E613" s="128"/>
      <c r="F613" s="128"/>
      <c r="G613" s="128"/>
      <c r="I613" s="103"/>
      <c r="J613" s="103"/>
      <c r="K613" s="103"/>
      <c r="L613" s="103"/>
      <c r="M613" s="103"/>
      <c r="N613" s="103"/>
      <c r="O613" s="103"/>
      <c r="P613" s="103"/>
    </row>
    <row r="614">
      <c r="A614" s="8"/>
      <c r="B614" s="128"/>
      <c r="C614" s="128"/>
      <c r="D614" s="128"/>
      <c r="E614" s="128"/>
      <c r="F614" s="128"/>
      <c r="G614" s="128"/>
      <c r="I614" s="103"/>
      <c r="J614" s="103"/>
      <c r="K614" s="103"/>
      <c r="L614" s="103"/>
      <c r="M614" s="103"/>
      <c r="N614" s="103"/>
      <c r="O614" s="103"/>
      <c r="P614" s="103"/>
    </row>
    <row r="615">
      <c r="A615" s="8"/>
      <c r="B615" s="128"/>
      <c r="C615" s="128"/>
      <c r="D615" s="128"/>
      <c r="E615" s="128"/>
      <c r="F615" s="128"/>
      <c r="G615" s="128"/>
      <c r="I615" s="103"/>
      <c r="J615" s="103"/>
      <c r="K615" s="103"/>
      <c r="L615" s="103"/>
      <c r="M615" s="103"/>
      <c r="N615" s="103"/>
      <c r="O615" s="103"/>
      <c r="P615" s="103"/>
    </row>
    <row r="616">
      <c r="A616" s="8"/>
      <c r="B616" s="128"/>
      <c r="C616" s="128"/>
      <c r="D616" s="128"/>
      <c r="E616" s="128"/>
      <c r="F616" s="128"/>
      <c r="G616" s="128"/>
      <c r="I616" s="103"/>
      <c r="J616" s="103"/>
      <c r="K616" s="103"/>
      <c r="L616" s="103"/>
      <c r="M616" s="103"/>
      <c r="N616" s="103"/>
      <c r="O616" s="103"/>
      <c r="P616" s="103"/>
    </row>
    <row r="617">
      <c r="A617" s="8"/>
      <c r="B617" s="128"/>
      <c r="C617" s="128"/>
      <c r="D617" s="128"/>
      <c r="E617" s="128"/>
      <c r="F617" s="128"/>
      <c r="G617" s="128"/>
      <c r="I617" s="103"/>
      <c r="J617" s="103"/>
      <c r="K617" s="103"/>
      <c r="L617" s="103"/>
      <c r="M617" s="103"/>
      <c r="N617" s="103"/>
      <c r="O617" s="103"/>
      <c r="P617" s="103"/>
    </row>
    <row r="618">
      <c r="A618" s="8"/>
      <c r="B618" s="128"/>
      <c r="C618" s="128"/>
      <c r="D618" s="128"/>
      <c r="E618" s="128"/>
      <c r="F618" s="128"/>
      <c r="G618" s="128"/>
      <c r="I618" s="103"/>
      <c r="J618" s="103"/>
      <c r="K618" s="103"/>
      <c r="L618" s="103"/>
      <c r="M618" s="103"/>
      <c r="N618" s="103"/>
      <c r="O618" s="103"/>
      <c r="P618" s="103"/>
    </row>
    <row r="619">
      <c r="A619" s="8"/>
      <c r="B619" s="128"/>
      <c r="C619" s="128"/>
      <c r="D619" s="128"/>
      <c r="E619" s="128"/>
      <c r="F619" s="128"/>
      <c r="G619" s="128"/>
      <c r="I619" s="103"/>
      <c r="J619" s="103"/>
      <c r="K619" s="103"/>
      <c r="L619" s="103"/>
      <c r="M619" s="103"/>
      <c r="N619" s="103"/>
      <c r="O619" s="103"/>
      <c r="P619" s="103"/>
    </row>
    <row r="620">
      <c r="A620" s="8"/>
      <c r="B620" s="128"/>
      <c r="C620" s="128"/>
      <c r="D620" s="128"/>
      <c r="E620" s="128"/>
      <c r="F620" s="128"/>
      <c r="G620" s="128"/>
      <c r="I620" s="103"/>
      <c r="J620" s="103"/>
      <c r="K620" s="103"/>
      <c r="L620" s="103"/>
      <c r="M620" s="103"/>
      <c r="N620" s="103"/>
      <c r="O620" s="103"/>
      <c r="P620" s="103"/>
    </row>
    <row r="621">
      <c r="A621" s="8"/>
      <c r="B621" s="128"/>
      <c r="C621" s="128"/>
      <c r="D621" s="128"/>
      <c r="E621" s="128"/>
      <c r="F621" s="128"/>
      <c r="G621" s="128"/>
      <c r="I621" s="103"/>
      <c r="J621" s="103"/>
      <c r="K621" s="103"/>
      <c r="L621" s="103"/>
      <c r="M621" s="103"/>
      <c r="N621" s="103"/>
      <c r="O621" s="103"/>
      <c r="P621" s="103"/>
    </row>
    <row r="622">
      <c r="A622" s="8"/>
      <c r="B622" s="128"/>
      <c r="C622" s="128"/>
      <c r="D622" s="128"/>
      <c r="E622" s="128"/>
      <c r="F622" s="128"/>
      <c r="G622" s="128"/>
      <c r="I622" s="103"/>
      <c r="J622" s="103"/>
      <c r="K622" s="103"/>
      <c r="L622" s="103"/>
      <c r="M622" s="103"/>
      <c r="N622" s="103"/>
      <c r="O622" s="103"/>
      <c r="P622" s="103"/>
    </row>
    <row r="623">
      <c r="A623" s="8"/>
      <c r="B623" s="128"/>
      <c r="C623" s="128"/>
      <c r="D623" s="128"/>
      <c r="E623" s="128"/>
      <c r="F623" s="128"/>
      <c r="G623" s="128"/>
      <c r="I623" s="103"/>
      <c r="J623" s="103"/>
      <c r="K623" s="103"/>
      <c r="L623" s="103"/>
      <c r="M623" s="103"/>
      <c r="N623" s="103"/>
      <c r="O623" s="103"/>
      <c r="P623" s="103"/>
    </row>
    <row r="624">
      <c r="A624" s="8"/>
      <c r="B624" s="128"/>
      <c r="C624" s="128"/>
      <c r="D624" s="128"/>
      <c r="E624" s="128"/>
      <c r="F624" s="128"/>
      <c r="G624" s="128"/>
      <c r="I624" s="103"/>
      <c r="J624" s="103"/>
      <c r="K624" s="103"/>
      <c r="L624" s="103"/>
      <c r="M624" s="103"/>
      <c r="N624" s="103"/>
      <c r="O624" s="103"/>
      <c r="P624" s="103"/>
    </row>
    <row r="625">
      <c r="A625" s="8"/>
      <c r="B625" s="128"/>
      <c r="C625" s="128"/>
      <c r="D625" s="128"/>
      <c r="E625" s="128"/>
      <c r="F625" s="128"/>
      <c r="G625" s="128"/>
      <c r="I625" s="103"/>
      <c r="J625" s="103"/>
      <c r="K625" s="103"/>
      <c r="L625" s="103"/>
      <c r="M625" s="103"/>
      <c r="N625" s="103"/>
      <c r="O625" s="103"/>
      <c r="P625" s="103"/>
    </row>
    <row r="626">
      <c r="A626" s="8"/>
      <c r="B626" s="128"/>
      <c r="C626" s="128"/>
      <c r="D626" s="128"/>
      <c r="E626" s="128"/>
      <c r="F626" s="128"/>
      <c r="G626" s="128"/>
      <c r="I626" s="103"/>
      <c r="J626" s="103"/>
      <c r="K626" s="103"/>
      <c r="L626" s="103"/>
      <c r="M626" s="103"/>
      <c r="N626" s="103"/>
      <c r="O626" s="103"/>
      <c r="P626" s="103"/>
    </row>
    <row r="627">
      <c r="A627" s="8"/>
      <c r="B627" s="128"/>
      <c r="C627" s="128"/>
      <c r="D627" s="128"/>
      <c r="E627" s="128"/>
      <c r="F627" s="128"/>
      <c r="G627" s="128"/>
      <c r="I627" s="103"/>
      <c r="J627" s="103"/>
      <c r="K627" s="103"/>
      <c r="L627" s="103"/>
      <c r="M627" s="103"/>
      <c r="N627" s="103"/>
      <c r="O627" s="103"/>
      <c r="P627" s="103"/>
    </row>
    <row r="628">
      <c r="A628" s="8"/>
      <c r="B628" s="128"/>
      <c r="C628" s="128"/>
      <c r="D628" s="128"/>
      <c r="E628" s="128"/>
      <c r="F628" s="128"/>
      <c r="G628" s="128"/>
      <c r="I628" s="103"/>
      <c r="J628" s="103"/>
      <c r="K628" s="103"/>
      <c r="L628" s="103"/>
      <c r="M628" s="103"/>
      <c r="N628" s="103"/>
      <c r="O628" s="103"/>
      <c r="P628" s="103"/>
    </row>
    <row r="629">
      <c r="A629" s="8"/>
      <c r="B629" s="128"/>
      <c r="C629" s="128"/>
      <c r="D629" s="128"/>
      <c r="E629" s="128"/>
      <c r="F629" s="128"/>
      <c r="G629" s="128"/>
      <c r="I629" s="103"/>
      <c r="J629" s="103"/>
      <c r="K629" s="103"/>
      <c r="L629" s="103"/>
      <c r="M629" s="103"/>
      <c r="N629" s="103"/>
      <c r="O629" s="103"/>
      <c r="P629" s="103"/>
    </row>
    <row r="630">
      <c r="A630" s="8"/>
      <c r="B630" s="128"/>
      <c r="C630" s="128"/>
      <c r="D630" s="128"/>
      <c r="E630" s="128"/>
      <c r="F630" s="128"/>
      <c r="G630" s="128"/>
      <c r="I630" s="103"/>
      <c r="J630" s="103"/>
      <c r="K630" s="103"/>
      <c r="L630" s="103"/>
      <c r="M630" s="103"/>
      <c r="N630" s="103"/>
      <c r="O630" s="103"/>
      <c r="P630" s="103"/>
    </row>
    <row r="631">
      <c r="A631" s="8"/>
      <c r="B631" s="128"/>
      <c r="C631" s="128"/>
      <c r="D631" s="128"/>
      <c r="E631" s="128"/>
      <c r="F631" s="128"/>
      <c r="G631" s="128"/>
      <c r="I631" s="103"/>
      <c r="J631" s="103"/>
      <c r="K631" s="103"/>
      <c r="L631" s="103"/>
      <c r="M631" s="103"/>
      <c r="N631" s="103"/>
      <c r="O631" s="103"/>
      <c r="P631" s="103"/>
    </row>
    <row r="632">
      <c r="A632" s="8"/>
      <c r="B632" s="128"/>
      <c r="C632" s="128"/>
      <c r="D632" s="128"/>
      <c r="E632" s="128"/>
      <c r="F632" s="128"/>
      <c r="G632" s="128"/>
      <c r="I632" s="103"/>
      <c r="J632" s="103"/>
      <c r="K632" s="103"/>
      <c r="L632" s="103"/>
      <c r="M632" s="103"/>
      <c r="N632" s="103"/>
      <c r="O632" s="103"/>
      <c r="P632" s="103"/>
    </row>
    <row r="633">
      <c r="A633" s="8"/>
      <c r="B633" s="128"/>
      <c r="C633" s="128"/>
      <c r="D633" s="128"/>
      <c r="E633" s="128"/>
      <c r="F633" s="128"/>
      <c r="G633" s="128"/>
      <c r="I633" s="103"/>
      <c r="J633" s="103"/>
      <c r="K633" s="103"/>
      <c r="L633" s="103"/>
      <c r="M633" s="103"/>
      <c r="N633" s="103"/>
      <c r="O633" s="103"/>
      <c r="P633" s="103"/>
    </row>
    <row r="634">
      <c r="A634" s="8"/>
      <c r="B634" s="128"/>
      <c r="C634" s="128"/>
      <c r="D634" s="128"/>
      <c r="E634" s="128"/>
      <c r="F634" s="128"/>
      <c r="G634" s="128"/>
      <c r="I634" s="103"/>
      <c r="J634" s="103"/>
      <c r="K634" s="103"/>
      <c r="L634" s="103"/>
      <c r="M634" s="103"/>
      <c r="N634" s="103"/>
      <c r="O634" s="103"/>
      <c r="P634" s="103"/>
    </row>
    <row r="635">
      <c r="A635" s="8"/>
      <c r="B635" s="128"/>
      <c r="C635" s="128"/>
      <c r="D635" s="128"/>
      <c r="E635" s="128"/>
      <c r="F635" s="128"/>
      <c r="G635" s="128"/>
      <c r="I635" s="103"/>
      <c r="J635" s="103"/>
      <c r="K635" s="103"/>
      <c r="L635" s="103"/>
      <c r="M635" s="103"/>
      <c r="N635" s="103"/>
      <c r="O635" s="103"/>
      <c r="P635" s="103"/>
    </row>
    <row r="636">
      <c r="A636" s="8"/>
      <c r="B636" s="128"/>
      <c r="C636" s="128"/>
      <c r="D636" s="128"/>
      <c r="E636" s="128"/>
      <c r="F636" s="128"/>
      <c r="G636" s="128"/>
      <c r="I636" s="103"/>
      <c r="J636" s="103"/>
      <c r="K636" s="103"/>
      <c r="L636" s="103"/>
      <c r="M636" s="103"/>
      <c r="N636" s="103"/>
      <c r="O636" s="103"/>
      <c r="P636" s="103"/>
    </row>
    <row r="637">
      <c r="A637" s="8"/>
      <c r="B637" s="128"/>
      <c r="C637" s="128"/>
      <c r="D637" s="128"/>
      <c r="E637" s="128"/>
      <c r="F637" s="128"/>
      <c r="G637" s="128"/>
      <c r="I637" s="103"/>
      <c r="J637" s="103"/>
      <c r="K637" s="103"/>
      <c r="L637" s="103"/>
      <c r="M637" s="103"/>
      <c r="N637" s="103"/>
      <c r="O637" s="103"/>
      <c r="P637" s="103"/>
    </row>
    <row r="638">
      <c r="A638" s="8"/>
      <c r="B638" s="128"/>
      <c r="C638" s="128"/>
      <c r="D638" s="128"/>
      <c r="E638" s="128"/>
      <c r="F638" s="128"/>
      <c r="G638" s="128"/>
      <c r="I638" s="103"/>
      <c r="J638" s="103"/>
      <c r="K638" s="103"/>
      <c r="L638" s="103"/>
      <c r="M638" s="103"/>
      <c r="N638" s="103"/>
      <c r="O638" s="103"/>
      <c r="P638" s="103"/>
    </row>
    <row r="639">
      <c r="A639" s="8"/>
      <c r="B639" s="128"/>
      <c r="C639" s="128"/>
      <c r="D639" s="128"/>
      <c r="E639" s="128"/>
      <c r="F639" s="128"/>
      <c r="G639" s="128"/>
      <c r="I639" s="103"/>
      <c r="J639" s="103"/>
      <c r="K639" s="103"/>
      <c r="L639" s="103"/>
      <c r="M639" s="103"/>
      <c r="N639" s="103"/>
      <c r="O639" s="103"/>
      <c r="P639" s="103"/>
    </row>
    <row r="640">
      <c r="A640" s="8"/>
      <c r="B640" s="128"/>
      <c r="C640" s="128"/>
      <c r="D640" s="128"/>
      <c r="E640" s="128"/>
      <c r="F640" s="128"/>
      <c r="G640" s="128"/>
      <c r="I640" s="103"/>
      <c r="J640" s="103"/>
      <c r="K640" s="103"/>
      <c r="L640" s="103"/>
      <c r="M640" s="103"/>
      <c r="N640" s="103"/>
      <c r="O640" s="103"/>
      <c r="P640" s="103"/>
    </row>
    <row r="641">
      <c r="A641" s="8"/>
      <c r="B641" s="128"/>
      <c r="C641" s="128"/>
      <c r="D641" s="128"/>
      <c r="E641" s="128"/>
      <c r="F641" s="128"/>
      <c r="G641" s="128"/>
      <c r="I641" s="103"/>
      <c r="J641" s="103"/>
      <c r="K641" s="103"/>
      <c r="L641" s="103"/>
      <c r="M641" s="103"/>
      <c r="N641" s="103"/>
      <c r="O641" s="103"/>
      <c r="P641" s="103"/>
    </row>
    <row r="642">
      <c r="A642" s="8"/>
      <c r="B642" s="128"/>
      <c r="C642" s="128"/>
      <c r="D642" s="128"/>
      <c r="E642" s="128"/>
      <c r="F642" s="128"/>
      <c r="G642" s="128"/>
      <c r="I642" s="103"/>
      <c r="J642" s="103"/>
      <c r="K642" s="103"/>
      <c r="L642" s="103"/>
      <c r="M642" s="103"/>
      <c r="N642" s="103"/>
      <c r="O642" s="103"/>
      <c r="P642" s="103"/>
    </row>
    <row r="643">
      <c r="A643" s="8"/>
      <c r="B643" s="128"/>
      <c r="C643" s="128"/>
      <c r="D643" s="128"/>
      <c r="E643" s="128"/>
      <c r="F643" s="128"/>
      <c r="G643" s="128"/>
      <c r="I643" s="103"/>
      <c r="J643" s="103"/>
      <c r="K643" s="103"/>
      <c r="L643" s="103"/>
      <c r="M643" s="103"/>
      <c r="N643" s="103"/>
      <c r="O643" s="103"/>
      <c r="P643" s="103"/>
    </row>
    <row r="644">
      <c r="A644" s="8"/>
      <c r="B644" s="128"/>
      <c r="C644" s="128"/>
      <c r="D644" s="128"/>
      <c r="E644" s="128"/>
      <c r="F644" s="128"/>
      <c r="G644" s="128"/>
      <c r="I644" s="103"/>
      <c r="J644" s="103"/>
      <c r="K644" s="103"/>
      <c r="L644" s="103"/>
      <c r="M644" s="103"/>
      <c r="N644" s="103"/>
      <c r="O644" s="103"/>
      <c r="P644" s="103"/>
    </row>
    <row r="645">
      <c r="A645" s="8"/>
      <c r="B645" s="128"/>
      <c r="C645" s="128"/>
      <c r="D645" s="128"/>
      <c r="E645" s="128"/>
      <c r="F645" s="128"/>
      <c r="G645" s="128"/>
      <c r="I645" s="103"/>
      <c r="J645" s="103"/>
      <c r="K645" s="103"/>
      <c r="L645" s="103"/>
      <c r="M645" s="103"/>
      <c r="N645" s="103"/>
      <c r="O645" s="103"/>
      <c r="P645" s="103"/>
    </row>
    <row r="646">
      <c r="A646" s="8"/>
      <c r="B646" s="128"/>
      <c r="C646" s="128"/>
      <c r="D646" s="128"/>
      <c r="E646" s="128"/>
      <c r="F646" s="128"/>
      <c r="G646" s="128"/>
      <c r="I646" s="103"/>
      <c r="J646" s="103"/>
      <c r="K646" s="103"/>
      <c r="L646" s="103"/>
      <c r="M646" s="103"/>
      <c r="N646" s="103"/>
      <c r="O646" s="103"/>
      <c r="P646" s="103"/>
    </row>
    <row r="647">
      <c r="A647" s="8"/>
      <c r="B647" s="128"/>
      <c r="C647" s="128"/>
      <c r="D647" s="128"/>
      <c r="E647" s="128"/>
      <c r="F647" s="128"/>
      <c r="G647" s="128"/>
      <c r="I647" s="103"/>
      <c r="J647" s="103"/>
      <c r="K647" s="103"/>
      <c r="L647" s="103"/>
      <c r="M647" s="103"/>
      <c r="N647" s="103"/>
      <c r="O647" s="103"/>
      <c r="P647" s="103"/>
    </row>
    <row r="648">
      <c r="A648" s="8"/>
      <c r="B648" s="128"/>
      <c r="C648" s="128"/>
      <c r="D648" s="128"/>
      <c r="E648" s="128"/>
      <c r="F648" s="128"/>
      <c r="G648" s="128"/>
      <c r="I648" s="103"/>
      <c r="J648" s="103"/>
      <c r="K648" s="103"/>
      <c r="L648" s="103"/>
      <c r="M648" s="103"/>
      <c r="N648" s="103"/>
      <c r="O648" s="103"/>
      <c r="P648" s="103"/>
    </row>
    <row r="649">
      <c r="A649" s="8"/>
      <c r="B649" s="128"/>
      <c r="C649" s="128"/>
      <c r="D649" s="128"/>
      <c r="E649" s="128"/>
      <c r="F649" s="128"/>
      <c r="G649" s="128"/>
      <c r="I649" s="103"/>
      <c r="J649" s="103"/>
      <c r="K649" s="103"/>
      <c r="L649" s="103"/>
      <c r="M649" s="103"/>
      <c r="N649" s="103"/>
      <c r="O649" s="103"/>
      <c r="P649" s="103"/>
    </row>
    <row r="650">
      <c r="A650" s="8"/>
      <c r="B650" s="128"/>
      <c r="C650" s="128"/>
      <c r="D650" s="128"/>
      <c r="E650" s="128"/>
      <c r="F650" s="128"/>
      <c r="G650" s="128"/>
      <c r="I650" s="103"/>
      <c r="J650" s="103"/>
      <c r="K650" s="103"/>
      <c r="L650" s="103"/>
      <c r="M650" s="103"/>
      <c r="N650" s="103"/>
      <c r="O650" s="103"/>
      <c r="P650" s="103"/>
    </row>
    <row r="651">
      <c r="A651" s="8"/>
      <c r="B651" s="128"/>
      <c r="C651" s="128"/>
      <c r="D651" s="128"/>
      <c r="E651" s="128"/>
      <c r="F651" s="128"/>
      <c r="G651" s="128"/>
      <c r="I651" s="103"/>
      <c r="J651" s="103"/>
      <c r="K651" s="103"/>
      <c r="L651" s="103"/>
      <c r="M651" s="103"/>
      <c r="N651" s="103"/>
      <c r="O651" s="103"/>
      <c r="P651" s="103"/>
    </row>
    <row r="652">
      <c r="A652" s="8"/>
      <c r="B652" s="128"/>
      <c r="C652" s="128"/>
      <c r="D652" s="128"/>
      <c r="E652" s="128"/>
      <c r="F652" s="128"/>
      <c r="G652" s="128"/>
      <c r="I652" s="103"/>
      <c r="J652" s="103"/>
      <c r="K652" s="103"/>
      <c r="L652" s="103"/>
      <c r="M652" s="103"/>
      <c r="N652" s="103"/>
      <c r="O652" s="103"/>
      <c r="P652" s="103"/>
    </row>
    <row r="653">
      <c r="A653" s="8"/>
      <c r="B653" s="128"/>
      <c r="C653" s="128"/>
      <c r="D653" s="128"/>
      <c r="E653" s="128"/>
      <c r="F653" s="128"/>
      <c r="G653" s="128"/>
      <c r="I653" s="103"/>
      <c r="J653" s="103"/>
      <c r="K653" s="103"/>
      <c r="L653" s="103"/>
      <c r="M653" s="103"/>
      <c r="N653" s="103"/>
      <c r="O653" s="103"/>
      <c r="P653" s="103"/>
    </row>
    <row r="654">
      <c r="A654" s="8"/>
      <c r="B654" s="128"/>
      <c r="C654" s="128"/>
      <c r="D654" s="128"/>
      <c r="E654" s="128"/>
      <c r="F654" s="128"/>
      <c r="G654" s="128"/>
      <c r="I654" s="103"/>
      <c r="J654" s="103"/>
      <c r="K654" s="103"/>
      <c r="L654" s="103"/>
      <c r="M654" s="103"/>
      <c r="N654" s="103"/>
      <c r="O654" s="103"/>
      <c r="P654" s="103"/>
    </row>
    <row r="655">
      <c r="A655" s="8"/>
      <c r="B655" s="128"/>
      <c r="C655" s="128"/>
      <c r="D655" s="128"/>
      <c r="E655" s="128"/>
      <c r="F655" s="128"/>
      <c r="G655" s="128"/>
      <c r="I655" s="103"/>
      <c r="J655" s="103"/>
      <c r="K655" s="103"/>
      <c r="L655" s="103"/>
      <c r="M655" s="103"/>
      <c r="N655" s="103"/>
      <c r="O655" s="103"/>
      <c r="P655" s="103"/>
    </row>
    <row r="656">
      <c r="A656" s="8"/>
      <c r="B656" s="128"/>
      <c r="C656" s="128"/>
      <c r="D656" s="128"/>
      <c r="E656" s="128"/>
      <c r="F656" s="128"/>
      <c r="G656" s="128"/>
      <c r="I656" s="103"/>
      <c r="J656" s="103"/>
      <c r="K656" s="103"/>
      <c r="L656" s="103"/>
      <c r="M656" s="103"/>
      <c r="N656" s="103"/>
      <c r="O656" s="103"/>
      <c r="P656" s="103"/>
    </row>
    <row r="657">
      <c r="A657" s="8"/>
      <c r="B657" s="128"/>
      <c r="C657" s="128"/>
      <c r="D657" s="128"/>
      <c r="E657" s="128"/>
      <c r="F657" s="128"/>
      <c r="G657" s="128"/>
      <c r="I657" s="103"/>
      <c r="J657" s="103"/>
      <c r="K657" s="103"/>
      <c r="L657" s="103"/>
      <c r="M657" s="103"/>
      <c r="N657" s="103"/>
      <c r="O657" s="103"/>
      <c r="P657" s="103"/>
    </row>
    <row r="658">
      <c r="A658" s="8"/>
      <c r="B658" s="128"/>
      <c r="C658" s="128"/>
      <c r="D658" s="128"/>
      <c r="E658" s="128"/>
      <c r="F658" s="128"/>
      <c r="G658" s="128"/>
      <c r="I658" s="103"/>
      <c r="J658" s="103"/>
      <c r="K658" s="103"/>
      <c r="L658" s="103"/>
      <c r="M658" s="103"/>
      <c r="N658" s="103"/>
      <c r="O658" s="103"/>
      <c r="P658" s="103"/>
    </row>
    <row r="659">
      <c r="A659" s="8"/>
      <c r="B659" s="128"/>
      <c r="C659" s="128"/>
      <c r="D659" s="128"/>
      <c r="E659" s="128"/>
      <c r="F659" s="128"/>
      <c r="G659" s="128"/>
      <c r="I659" s="103"/>
      <c r="J659" s="103"/>
      <c r="K659" s="103"/>
      <c r="L659" s="103"/>
      <c r="M659" s="103"/>
      <c r="N659" s="103"/>
      <c r="O659" s="103"/>
      <c r="P659" s="103"/>
    </row>
    <row r="660">
      <c r="A660" s="8"/>
      <c r="B660" s="128"/>
      <c r="C660" s="128"/>
      <c r="D660" s="128"/>
      <c r="E660" s="128"/>
      <c r="F660" s="128"/>
      <c r="G660" s="128"/>
      <c r="I660" s="103"/>
      <c r="J660" s="103"/>
      <c r="K660" s="103"/>
      <c r="L660" s="103"/>
      <c r="M660" s="103"/>
      <c r="N660" s="103"/>
      <c r="O660" s="103"/>
      <c r="P660" s="103"/>
    </row>
    <row r="661">
      <c r="A661" s="8"/>
      <c r="B661" s="128"/>
      <c r="C661" s="128"/>
      <c r="D661" s="128"/>
      <c r="E661" s="128"/>
      <c r="F661" s="128"/>
      <c r="G661" s="128"/>
      <c r="I661" s="103"/>
      <c r="J661" s="103"/>
      <c r="K661" s="103"/>
      <c r="L661" s="103"/>
      <c r="M661" s="103"/>
      <c r="N661" s="103"/>
      <c r="O661" s="103"/>
      <c r="P661" s="103"/>
    </row>
    <row r="662">
      <c r="A662" s="8"/>
      <c r="B662" s="128"/>
      <c r="C662" s="128"/>
      <c r="D662" s="128"/>
      <c r="E662" s="128"/>
      <c r="F662" s="128"/>
      <c r="G662" s="128"/>
      <c r="I662" s="103"/>
      <c r="J662" s="103"/>
      <c r="K662" s="103"/>
      <c r="L662" s="103"/>
      <c r="M662" s="103"/>
      <c r="N662" s="103"/>
      <c r="O662" s="103"/>
      <c r="P662" s="103"/>
    </row>
    <row r="663">
      <c r="A663" s="8"/>
      <c r="B663" s="128"/>
      <c r="C663" s="128"/>
      <c r="D663" s="128"/>
      <c r="E663" s="128"/>
      <c r="F663" s="128"/>
      <c r="G663" s="128"/>
      <c r="I663" s="103"/>
      <c r="J663" s="103"/>
      <c r="K663" s="103"/>
      <c r="L663" s="103"/>
      <c r="M663" s="103"/>
      <c r="N663" s="103"/>
      <c r="O663" s="103"/>
      <c r="P663" s="103"/>
    </row>
    <row r="664">
      <c r="A664" s="8"/>
      <c r="B664" s="128"/>
      <c r="C664" s="128"/>
      <c r="D664" s="128"/>
      <c r="E664" s="128"/>
      <c r="F664" s="128"/>
      <c r="G664" s="128"/>
      <c r="I664" s="103"/>
      <c r="J664" s="103"/>
      <c r="K664" s="103"/>
      <c r="L664" s="103"/>
      <c r="M664" s="103"/>
      <c r="N664" s="103"/>
      <c r="O664" s="103"/>
      <c r="P664" s="103"/>
    </row>
    <row r="665">
      <c r="A665" s="8"/>
      <c r="B665" s="128"/>
      <c r="C665" s="128"/>
      <c r="D665" s="128"/>
      <c r="E665" s="128"/>
      <c r="F665" s="128"/>
      <c r="G665" s="128"/>
      <c r="I665" s="103"/>
      <c r="J665" s="103"/>
      <c r="K665" s="103"/>
      <c r="L665" s="103"/>
      <c r="M665" s="103"/>
      <c r="N665" s="103"/>
      <c r="O665" s="103"/>
      <c r="P665" s="103"/>
    </row>
    <row r="666">
      <c r="A666" s="8"/>
      <c r="B666" s="128"/>
      <c r="C666" s="128"/>
      <c r="D666" s="128"/>
      <c r="E666" s="128"/>
      <c r="F666" s="128"/>
      <c r="G666" s="128"/>
      <c r="I666" s="103"/>
      <c r="J666" s="103"/>
      <c r="K666" s="103"/>
      <c r="L666" s="103"/>
      <c r="M666" s="103"/>
      <c r="N666" s="103"/>
      <c r="O666" s="103"/>
      <c r="P666" s="103"/>
    </row>
    <row r="667">
      <c r="A667" s="8"/>
      <c r="B667" s="128"/>
      <c r="C667" s="128"/>
      <c r="D667" s="128"/>
      <c r="E667" s="128"/>
      <c r="F667" s="128"/>
      <c r="G667" s="128"/>
      <c r="I667" s="103"/>
      <c r="J667" s="103"/>
      <c r="K667" s="103"/>
      <c r="L667" s="103"/>
      <c r="M667" s="103"/>
      <c r="N667" s="103"/>
      <c r="O667" s="103"/>
      <c r="P667" s="103"/>
    </row>
    <row r="668">
      <c r="A668" s="8"/>
      <c r="B668" s="128"/>
      <c r="C668" s="128"/>
      <c r="D668" s="128"/>
      <c r="E668" s="128"/>
      <c r="F668" s="128"/>
      <c r="G668" s="128"/>
      <c r="I668" s="103"/>
      <c r="J668" s="103"/>
      <c r="K668" s="103"/>
      <c r="L668" s="103"/>
      <c r="M668" s="103"/>
      <c r="N668" s="103"/>
      <c r="O668" s="103"/>
      <c r="P668" s="103"/>
    </row>
    <row r="669">
      <c r="A669" s="8"/>
      <c r="B669" s="128"/>
      <c r="C669" s="128"/>
      <c r="D669" s="128"/>
      <c r="E669" s="128"/>
      <c r="F669" s="128"/>
      <c r="G669" s="128"/>
      <c r="I669" s="103"/>
      <c r="J669" s="103"/>
      <c r="K669" s="103"/>
      <c r="L669" s="103"/>
      <c r="M669" s="103"/>
      <c r="N669" s="103"/>
      <c r="O669" s="103"/>
      <c r="P669" s="103"/>
    </row>
    <row r="670">
      <c r="A670" s="8"/>
      <c r="B670" s="128"/>
      <c r="C670" s="128"/>
      <c r="D670" s="128"/>
      <c r="E670" s="128"/>
      <c r="F670" s="128"/>
      <c r="G670" s="128"/>
      <c r="I670" s="103"/>
      <c r="J670" s="103"/>
      <c r="K670" s="103"/>
      <c r="L670" s="103"/>
      <c r="M670" s="103"/>
      <c r="N670" s="103"/>
      <c r="O670" s="103"/>
      <c r="P670" s="103"/>
    </row>
    <row r="671">
      <c r="A671" s="8"/>
      <c r="B671" s="128"/>
      <c r="C671" s="128"/>
      <c r="D671" s="128"/>
      <c r="E671" s="128"/>
      <c r="F671" s="128"/>
      <c r="G671" s="128"/>
      <c r="I671" s="103"/>
      <c r="J671" s="103"/>
      <c r="K671" s="103"/>
      <c r="L671" s="103"/>
      <c r="M671" s="103"/>
      <c r="N671" s="103"/>
      <c r="O671" s="103"/>
      <c r="P671" s="103"/>
    </row>
    <row r="672">
      <c r="A672" s="8"/>
      <c r="B672" s="128"/>
      <c r="C672" s="128"/>
      <c r="D672" s="128"/>
      <c r="E672" s="128"/>
      <c r="F672" s="128"/>
      <c r="G672" s="128"/>
      <c r="I672" s="103"/>
      <c r="J672" s="103"/>
      <c r="K672" s="103"/>
      <c r="L672" s="103"/>
      <c r="M672" s="103"/>
      <c r="N672" s="103"/>
      <c r="O672" s="103"/>
      <c r="P672" s="103"/>
    </row>
    <row r="673">
      <c r="A673" s="8"/>
      <c r="B673" s="128"/>
      <c r="C673" s="128"/>
      <c r="D673" s="128"/>
      <c r="E673" s="128"/>
      <c r="F673" s="128"/>
      <c r="G673" s="128"/>
      <c r="I673" s="103"/>
      <c r="J673" s="103"/>
      <c r="K673" s="103"/>
      <c r="L673" s="103"/>
      <c r="M673" s="103"/>
      <c r="N673" s="103"/>
      <c r="O673" s="103"/>
      <c r="P673" s="103"/>
    </row>
    <row r="674">
      <c r="A674" s="8"/>
      <c r="B674" s="128"/>
      <c r="C674" s="128"/>
      <c r="D674" s="128"/>
      <c r="E674" s="128"/>
      <c r="F674" s="128"/>
      <c r="G674" s="128"/>
      <c r="I674" s="103"/>
      <c r="J674" s="103"/>
      <c r="K674" s="103"/>
      <c r="L674" s="103"/>
      <c r="M674" s="103"/>
      <c r="N674" s="103"/>
      <c r="O674" s="103"/>
      <c r="P674" s="103"/>
    </row>
    <row r="675">
      <c r="A675" s="8"/>
      <c r="B675" s="128"/>
      <c r="C675" s="128"/>
      <c r="D675" s="128"/>
      <c r="E675" s="128"/>
      <c r="F675" s="128"/>
      <c r="G675" s="128"/>
      <c r="I675" s="103"/>
      <c r="J675" s="103"/>
      <c r="K675" s="103"/>
      <c r="L675" s="103"/>
      <c r="M675" s="103"/>
      <c r="N675" s="103"/>
      <c r="O675" s="103"/>
      <c r="P675" s="103"/>
    </row>
    <row r="676">
      <c r="A676" s="8"/>
      <c r="B676" s="128"/>
      <c r="C676" s="128"/>
      <c r="D676" s="128"/>
      <c r="E676" s="128"/>
      <c r="F676" s="128"/>
      <c r="G676" s="128"/>
      <c r="I676" s="103"/>
      <c r="J676" s="103"/>
      <c r="K676" s="103"/>
      <c r="L676" s="103"/>
      <c r="M676" s="103"/>
      <c r="N676" s="103"/>
      <c r="O676" s="103"/>
      <c r="P676" s="103"/>
    </row>
    <row r="677">
      <c r="A677" s="8"/>
      <c r="B677" s="128"/>
      <c r="C677" s="128"/>
      <c r="D677" s="128"/>
      <c r="E677" s="128"/>
      <c r="F677" s="128"/>
      <c r="G677" s="128"/>
      <c r="I677" s="103"/>
      <c r="J677" s="103"/>
      <c r="K677" s="103"/>
      <c r="L677" s="103"/>
      <c r="M677" s="103"/>
      <c r="N677" s="103"/>
      <c r="O677" s="103"/>
      <c r="P677" s="103"/>
    </row>
    <row r="678">
      <c r="A678" s="8"/>
      <c r="B678" s="128"/>
      <c r="C678" s="128"/>
      <c r="D678" s="128"/>
      <c r="E678" s="128"/>
      <c r="F678" s="128"/>
      <c r="G678" s="128"/>
      <c r="I678" s="103"/>
      <c r="J678" s="103"/>
      <c r="K678" s="103"/>
      <c r="L678" s="103"/>
      <c r="M678" s="103"/>
      <c r="N678" s="103"/>
      <c r="O678" s="103"/>
      <c r="P678" s="103"/>
    </row>
    <row r="679">
      <c r="A679" s="8"/>
      <c r="B679" s="128"/>
      <c r="C679" s="128"/>
      <c r="D679" s="128"/>
      <c r="E679" s="128"/>
      <c r="F679" s="128"/>
      <c r="G679" s="128"/>
      <c r="I679" s="103"/>
      <c r="J679" s="103"/>
      <c r="K679" s="103"/>
      <c r="L679" s="103"/>
      <c r="M679" s="103"/>
      <c r="N679" s="103"/>
      <c r="O679" s="103"/>
      <c r="P679" s="103"/>
    </row>
    <row r="680">
      <c r="A680" s="8"/>
      <c r="B680" s="128"/>
      <c r="C680" s="128"/>
      <c r="D680" s="128"/>
      <c r="E680" s="128"/>
      <c r="F680" s="128"/>
      <c r="G680" s="128"/>
      <c r="I680" s="103"/>
      <c r="J680" s="103"/>
      <c r="K680" s="103"/>
      <c r="L680" s="103"/>
      <c r="M680" s="103"/>
      <c r="N680" s="103"/>
      <c r="O680" s="103"/>
      <c r="P680" s="103"/>
    </row>
    <row r="681">
      <c r="A681" s="8"/>
      <c r="B681" s="128"/>
      <c r="C681" s="128"/>
      <c r="D681" s="128"/>
      <c r="E681" s="128"/>
      <c r="F681" s="128"/>
      <c r="G681" s="128"/>
      <c r="I681" s="103"/>
      <c r="J681" s="103"/>
      <c r="K681" s="103"/>
      <c r="L681" s="103"/>
      <c r="M681" s="103"/>
      <c r="N681" s="103"/>
      <c r="O681" s="103"/>
      <c r="P681" s="103"/>
    </row>
    <row r="682">
      <c r="A682" s="8"/>
      <c r="B682" s="128"/>
      <c r="C682" s="128"/>
      <c r="D682" s="128"/>
      <c r="E682" s="128"/>
      <c r="F682" s="128"/>
      <c r="G682" s="128"/>
      <c r="I682" s="103"/>
      <c r="J682" s="103"/>
      <c r="K682" s="103"/>
      <c r="L682" s="103"/>
      <c r="M682" s="103"/>
      <c r="N682" s="103"/>
      <c r="O682" s="103"/>
      <c r="P682" s="103"/>
    </row>
    <row r="683">
      <c r="A683" s="8"/>
      <c r="B683" s="128"/>
      <c r="C683" s="128"/>
      <c r="D683" s="128"/>
      <c r="E683" s="128"/>
      <c r="F683" s="128"/>
      <c r="G683" s="128"/>
      <c r="I683" s="103"/>
      <c r="J683" s="103"/>
      <c r="K683" s="103"/>
      <c r="L683" s="103"/>
      <c r="M683" s="103"/>
      <c r="N683" s="103"/>
      <c r="O683" s="103"/>
      <c r="P683" s="103"/>
    </row>
    <row r="684">
      <c r="A684" s="8"/>
      <c r="B684" s="128"/>
      <c r="C684" s="128"/>
      <c r="D684" s="128"/>
      <c r="E684" s="128"/>
      <c r="F684" s="128"/>
      <c r="G684" s="128"/>
      <c r="I684" s="103"/>
      <c r="J684" s="103"/>
      <c r="K684" s="103"/>
      <c r="L684" s="103"/>
      <c r="M684" s="103"/>
      <c r="N684" s="103"/>
      <c r="O684" s="103"/>
      <c r="P684" s="103"/>
    </row>
    <row r="685">
      <c r="A685" s="8"/>
      <c r="B685" s="128"/>
      <c r="C685" s="128"/>
      <c r="D685" s="128"/>
      <c r="E685" s="128"/>
      <c r="F685" s="128"/>
      <c r="G685" s="128"/>
      <c r="I685" s="103"/>
      <c r="J685" s="103"/>
      <c r="K685" s="103"/>
      <c r="L685" s="103"/>
      <c r="M685" s="103"/>
      <c r="N685" s="103"/>
      <c r="O685" s="103"/>
      <c r="P685" s="103"/>
    </row>
    <row r="686">
      <c r="A686" s="8"/>
      <c r="B686" s="128"/>
      <c r="C686" s="128"/>
      <c r="D686" s="128"/>
      <c r="E686" s="128"/>
      <c r="F686" s="128"/>
      <c r="G686" s="128"/>
      <c r="I686" s="103"/>
      <c r="J686" s="103"/>
      <c r="K686" s="103"/>
      <c r="L686" s="103"/>
      <c r="M686" s="103"/>
      <c r="N686" s="103"/>
      <c r="O686" s="103"/>
      <c r="P686" s="103"/>
    </row>
    <row r="687">
      <c r="A687" s="8"/>
      <c r="B687" s="128"/>
      <c r="C687" s="128"/>
      <c r="D687" s="128"/>
      <c r="E687" s="128"/>
      <c r="F687" s="128"/>
      <c r="G687" s="128"/>
      <c r="I687" s="103"/>
      <c r="J687" s="103"/>
      <c r="K687" s="103"/>
      <c r="L687" s="103"/>
      <c r="M687" s="103"/>
      <c r="N687" s="103"/>
      <c r="O687" s="103"/>
      <c r="P687" s="103"/>
    </row>
    <row r="688">
      <c r="A688" s="8"/>
      <c r="B688" s="128"/>
      <c r="C688" s="128"/>
      <c r="D688" s="128"/>
      <c r="E688" s="128"/>
      <c r="F688" s="128"/>
      <c r="G688" s="128"/>
      <c r="I688" s="103"/>
      <c r="J688" s="103"/>
      <c r="K688" s="103"/>
      <c r="L688" s="103"/>
      <c r="M688" s="103"/>
      <c r="N688" s="103"/>
      <c r="O688" s="103"/>
      <c r="P688" s="103"/>
    </row>
    <row r="689">
      <c r="A689" s="8"/>
      <c r="B689" s="128"/>
      <c r="C689" s="128"/>
      <c r="D689" s="128"/>
      <c r="E689" s="128"/>
      <c r="F689" s="128"/>
      <c r="G689" s="128"/>
      <c r="I689" s="103"/>
      <c r="J689" s="103"/>
      <c r="K689" s="103"/>
      <c r="L689" s="103"/>
      <c r="M689" s="103"/>
      <c r="N689" s="103"/>
      <c r="O689" s="103"/>
      <c r="P689" s="103"/>
    </row>
    <row r="690">
      <c r="A690" s="8"/>
      <c r="B690" s="128"/>
      <c r="C690" s="128"/>
      <c r="D690" s="128"/>
      <c r="E690" s="128"/>
      <c r="F690" s="128"/>
      <c r="G690" s="128"/>
      <c r="I690" s="103"/>
      <c r="J690" s="103"/>
      <c r="K690" s="103"/>
      <c r="L690" s="103"/>
      <c r="M690" s="103"/>
      <c r="N690" s="103"/>
      <c r="O690" s="103"/>
      <c r="P690" s="103"/>
    </row>
    <row r="691">
      <c r="A691" s="8"/>
      <c r="B691" s="128"/>
      <c r="C691" s="128"/>
      <c r="D691" s="128"/>
      <c r="E691" s="128"/>
      <c r="F691" s="128"/>
      <c r="G691" s="128"/>
      <c r="I691" s="103"/>
      <c r="J691" s="103"/>
      <c r="K691" s="103"/>
      <c r="L691" s="103"/>
      <c r="M691" s="103"/>
      <c r="N691" s="103"/>
      <c r="O691" s="103"/>
      <c r="P691" s="103"/>
    </row>
    <row r="692">
      <c r="A692" s="8"/>
      <c r="B692" s="128"/>
      <c r="C692" s="128"/>
      <c r="D692" s="128"/>
      <c r="E692" s="128"/>
      <c r="F692" s="128"/>
      <c r="G692" s="128"/>
      <c r="I692" s="103"/>
      <c r="J692" s="103"/>
      <c r="K692" s="103"/>
      <c r="L692" s="103"/>
      <c r="M692" s="103"/>
      <c r="N692" s="103"/>
      <c r="O692" s="103"/>
      <c r="P692" s="103"/>
    </row>
    <row r="693">
      <c r="A693" s="8"/>
      <c r="B693" s="128"/>
      <c r="C693" s="128"/>
      <c r="D693" s="128"/>
      <c r="E693" s="128"/>
      <c r="F693" s="128"/>
      <c r="G693" s="128"/>
      <c r="I693" s="103"/>
      <c r="J693" s="103"/>
      <c r="K693" s="103"/>
      <c r="L693" s="103"/>
      <c r="M693" s="103"/>
      <c r="N693" s="103"/>
      <c r="O693" s="103"/>
      <c r="P693" s="103"/>
    </row>
    <row r="694">
      <c r="A694" s="8"/>
      <c r="B694" s="128"/>
      <c r="C694" s="128"/>
      <c r="D694" s="128"/>
      <c r="E694" s="128"/>
      <c r="F694" s="128"/>
      <c r="G694" s="128"/>
      <c r="I694" s="103"/>
      <c r="J694" s="103"/>
      <c r="K694" s="103"/>
      <c r="L694" s="103"/>
      <c r="M694" s="103"/>
      <c r="N694" s="103"/>
      <c r="O694" s="103"/>
      <c r="P694" s="103"/>
    </row>
    <row r="695">
      <c r="A695" s="8"/>
      <c r="B695" s="128"/>
      <c r="C695" s="128"/>
      <c r="D695" s="128"/>
      <c r="E695" s="128"/>
      <c r="F695" s="128"/>
      <c r="G695" s="128"/>
      <c r="I695" s="103"/>
      <c r="J695" s="103"/>
      <c r="K695" s="103"/>
      <c r="L695" s="103"/>
      <c r="M695" s="103"/>
      <c r="N695" s="103"/>
      <c r="O695" s="103"/>
      <c r="P695" s="103"/>
    </row>
    <row r="696">
      <c r="A696" s="8"/>
      <c r="B696" s="128"/>
      <c r="C696" s="128"/>
      <c r="D696" s="128"/>
      <c r="E696" s="128"/>
      <c r="F696" s="128"/>
      <c r="G696" s="128"/>
      <c r="I696" s="103"/>
      <c r="J696" s="103"/>
      <c r="K696" s="103"/>
      <c r="L696" s="103"/>
      <c r="M696" s="103"/>
      <c r="N696" s="103"/>
      <c r="O696" s="103"/>
      <c r="P696" s="103"/>
    </row>
    <row r="697">
      <c r="A697" s="8"/>
      <c r="B697" s="128"/>
      <c r="C697" s="128"/>
      <c r="D697" s="128"/>
      <c r="E697" s="128"/>
      <c r="F697" s="128"/>
      <c r="G697" s="128"/>
      <c r="I697" s="103"/>
      <c r="J697" s="103"/>
      <c r="K697" s="103"/>
      <c r="L697" s="103"/>
      <c r="M697" s="103"/>
      <c r="N697" s="103"/>
      <c r="O697" s="103"/>
      <c r="P697" s="103"/>
    </row>
    <row r="698">
      <c r="A698" s="8"/>
      <c r="B698" s="128"/>
      <c r="C698" s="128"/>
      <c r="D698" s="128"/>
      <c r="E698" s="128"/>
      <c r="F698" s="128"/>
      <c r="G698" s="128"/>
      <c r="I698" s="103"/>
      <c r="J698" s="103"/>
      <c r="K698" s="103"/>
      <c r="L698" s="103"/>
      <c r="M698" s="103"/>
      <c r="N698" s="103"/>
      <c r="O698" s="103"/>
      <c r="P698" s="103"/>
    </row>
    <row r="699">
      <c r="A699" s="8"/>
      <c r="B699" s="128"/>
      <c r="C699" s="128"/>
      <c r="D699" s="128"/>
      <c r="E699" s="128"/>
      <c r="F699" s="128"/>
      <c r="G699" s="128"/>
      <c r="I699" s="103"/>
      <c r="J699" s="103"/>
      <c r="K699" s="103"/>
      <c r="L699" s="103"/>
      <c r="M699" s="103"/>
      <c r="N699" s="103"/>
      <c r="O699" s="103"/>
      <c r="P699" s="103"/>
    </row>
    <row r="700">
      <c r="A700" s="8"/>
      <c r="B700" s="128"/>
      <c r="C700" s="128"/>
      <c r="D700" s="128"/>
      <c r="E700" s="128"/>
      <c r="F700" s="128"/>
      <c r="G700" s="128"/>
      <c r="I700" s="103"/>
      <c r="J700" s="103"/>
      <c r="K700" s="103"/>
      <c r="L700" s="103"/>
      <c r="M700" s="103"/>
      <c r="N700" s="103"/>
      <c r="O700" s="103"/>
      <c r="P700" s="103"/>
    </row>
    <row r="701">
      <c r="A701" s="8"/>
      <c r="B701" s="128"/>
      <c r="C701" s="128"/>
      <c r="D701" s="128"/>
      <c r="E701" s="128"/>
      <c r="F701" s="128"/>
      <c r="G701" s="128"/>
      <c r="I701" s="103"/>
      <c r="J701" s="103"/>
      <c r="K701" s="103"/>
      <c r="L701" s="103"/>
      <c r="M701" s="103"/>
      <c r="N701" s="103"/>
      <c r="O701" s="103"/>
      <c r="P701" s="103"/>
    </row>
    <row r="702">
      <c r="A702" s="8"/>
      <c r="B702" s="128"/>
      <c r="C702" s="128"/>
      <c r="D702" s="128"/>
      <c r="E702" s="128"/>
      <c r="F702" s="128"/>
      <c r="G702" s="128"/>
      <c r="I702" s="103"/>
      <c r="J702" s="103"/>
      <c r="K702" s="103"/>
      <c r="L702" s="103"/>
      <c r="M702" s="103"/>
      <c r="N702" s="103"/>
      <c r="O702" s="103"/>
      <c r="P702" s="103"/>
    </row>
    <row r="703">
      <c r="A703" s="8"/>
      <c r="B703" s="128"/>
      <c r="C703" s="128"/>
      <c r="D703" s="128"/>
      <c r="E703" s="128"/>
      <c r="F703" s="128"/>
      <c r="G703" s="128"/>
      <c r="I703" s="103"/>
      <c r="J703" s="103"/>
      <c r="K703" s="103"/>
      <c r="L703" s="103"/>
      <c r="M703" s="103"/>
      <c r="N703" s="103"/>
      <c r="O703" s="103"/>
      <c r="P703" s="103"/>
    </row>
    <row r="704">
      <c r="A704" s="8"/>
      <c r="B704" s="128"/>
      <c r="C704" s="128"/>
      <c r="D704" s="128"/>
      <c r="E704" s="128"/>
      <c r="F704" s="128"/>
      <c r="G704" s="128"/>
      <c r="I704" s="103"/>
      <c r="J704" s="103"/>
      <c r="K704" s="103"/>
      <c r="L704" s="103"/>
      <c r="M704" s="103"/>
      <c r="N704" s="103"/>
      <c r="O704" s="103"/>
      <c r="P704" s="103"/>
    </row>
    <row r="705">
      <c r="A705" s="8"/>
      <c r="B705" s="128"/>
      <c r="C705" s="128"/>
      <c r="D705" s="128"/>
      <c r="E705" s="128"/>
      <c r="F705" s="128"/>
      <c r="G705" s="128"/>
      <c r="I705" s="103"/>
      <c r="J705" s="103"/>
      <c r="K705" s="103"/>
      <c r="L705" s="103"/>
      <c r="M705" s="103"/>
      <c r="N705" s="103"/>
      <c r="O705" s="103"/>
      <c r="P705" s="103"/>
    </row>
    <row r="706">
      <c r="A706" s="8"/>
      <c r="B706" s="128"/>
      <c r="C706" s="128"/>
      <c r="D706" s="128"/>
      <c r="E706" s="128"/>
      <c r="F706" s="128"/>
      <c r="G706" s="128"/>
      <c r="I706" s="103"/>
      <c r="J706" s="103"/>
      <c r="K706" s="103"/>
      <c r="L706" s="103"/>
      <c r="M706" s="103"/>
      <c r="N706" s="103"/>
      <c r="O706" s="103"/>
      <c r="P706" s="103"/>
    </row>
    <row r="707">
      <c r="A707" s="8"/>
      <c r="B707" s="128"/>
      <c r="C707" s="128"/>
      <c r="D707" s="128"/>
      <c r="E707" s="128"/>
      <c r="F707" s="128"/>
      <c r="G707" s="128"/>
      <c r="I707" s="103"/>
      <c r="J707" s="103"/>
      <c r="K707" s="103"/>
      <c r="L707" s="103"/>
      <c r="M707" s="103"/>
      <c r="N707" s="103"/>
      <c r="O707" s="103"/>
      <c r="P707" s="103"/>
    </row>
    <row r="708">
      <c r="A708" s="8"/>
      <c r="B708" s="128"/>
      <c r="C708" s="128"/>
      <c r="D708" s="128"/>
      <c r="E708" s="128"/>
      <c r="F708" s="128"/>
      <c r="G708" s="128"/>
      <c r="I708" s="103"/>
      <c r="J708" s="103"/>
      <c r="K708" s="103"/>
      <c r="L708" s="103"/>
      <c r="M708" s="103"/>
      <c r="N708" s="103"/>
      <c r="O708" s="103"/>
      <c r="P708" s="103"/>
    </row>
    <row r="709">
      <c r="A709" s="8"/>
      <c r="B709" s="128"/>
      <c r="C709" s="128"/>
      <c r="D709" s="128"/>
      <c r="E709" s="128"/>
      <c r="F709" s="128"/>
      <c r="G709" s="128"/>
      <c r="I709" s="103"/>
      <c r="J709" s="103"/>
      <c r="K709" s="103"/>
      <c r="L709" s="103"/>
      <c r="M709" s="103"/>
      <c r="N709" s="103"/>
      <c r="O709" s="103"/>
      <c r="P709" s="103"/>
    </row>
    <row r="710">
      <c r="A710" s="8"/>
      <c r="B710" s="128"/>
      <c r="C710" s="128"/>
      <c r="D710" s="128"/>
      <c r="E710" s="128"/>
      <c r="F710" s="128"/>
      <c r="G710" s="128"/>
      <c r="I710" s="103"/>
      <c r="J710" s="103"/>
      <c r="K710" s="103"/>
      <c r="L710" s="103"/>
      <c r="M710" s="103"/>
      <c r="N710" s="103"/>
      <c r="O710" s="103"/>
      <c r="P710" s="103"/>
    </row>
    <row r="711">
      <c r="A711" s="8"/>
      <c r="B711" s="128"/>
      <c r="C711" s="128"/>
      <c r="D711" s="128"/>
      <c r="E711" s="128"/>
      <c r="F711" s="128"/>
      <c r="G711" s="128"/>
      <c r="I711" s="103"/>
      <c r="J711" s="103"/>
      <c r="K711" s="103"/>
      <c r="L711" s="103"/>
      <c r="M711" s="103"/>
      <c r="N711" s="103"/>
      <c r="O711" s="103"/>
      <c r="P711" s="103"/>
    </row>
    <row r="712">
      <c r="A712" s="8"/>
      <c r="B712" s="128"/>
      <c r="C712" s="128"/>
      <c r="D712" s="128"/>
      <c r="E712" s="128"/>
      <c r="F712" s="128"/>
      <c r="G712" s="128"/>
      <c r="I712" s="103"/>
      <c r="J712" s="103"/>
      <c r="K712" s="103"/>
      <c r="L712" s="103"/>
      <c r="M712" s="103"/>
      <c r="N712" s="103"/>
      <c r="O712" s="103"/>
      <c r="P712" s="103"/>
    </row>
    <row r="713">
      <c r="A713" s="8"/>
      <c r="B713" s="128"/>
      <c r="C713" s="128"/>
      <c r="D713" s="128"/>
      <c r="E713" s="128"/>
      <c r="F713" s="128"/>
      <c r="G713" s="128"/>
      <c r="I713" s="103"/>
      <c r="J713" s="103"/>
      <c r="K713" s="103"/>
      <c r="L713" s="103"/>
      <c r="M713" s="103"/>
      <c r="N713" s="103"/>
      <c r="O713" s="103"/>
      <c r="P713" s="103"/>
    </row>
    <row r="714">
      <c r="A714" s="8"/>
      <c r="B714" s="128"/>
      <c r="C714" s="128"/>
      <c r="D714" s="128"/>
      <c r="E714" s="128"/>
      <c r="F714" s="128"/>
      <c r="G714" s="128"/>
      <c r="I714" s="103"/>
      <c r="J714" s="103"/>
      <c r="K714" s="103"/>
      <c r="L714" s="103"/>
      <c r="M714" s="103"/>
      <c r="N714" s="103"/>
      <c r="O714" s="103"/>
      <c r="P714" s="103"/>
    </row>
    <row r="715">
      <c r="A715" s="8"/>
      <c r="B715" s="128"/>
      <c r="C715" s="128"/>
      <c r="D715" s="128"/>
      <c r="E715" s="128"/>
      <c r="F715" s="128"/>
      <c r="G715" s="128"/>
      <c r="I715" s="103"/>
      <c r="J715" s="103"/>
      <c r="K715" s="103"/>
      <c r="L715" s="103"/>
      <c r="M715" s="103"/>
      <c r="N715" s="103"/>
      <c r="O715" s="103"/>
      <c r="P715" s="103"/>
    </row>
    <row r="716">
      <c r="A716" s="8"/>
      <c r="B716" s="128"/>
      <c r="C716" s="128"/>
      <c r="D716" s="128"/>
      <c r="E716" s="128"/>
      <c r="F716" s="128"/>
      <c r="G716" s="128"/>
      <c r="I716" s="103"/>
      <c r="J716" s="103"/>
      <c r="K716" s="103"/>
      <c r="L716" s="103"/>
      <c r="M716" s="103"/>
      <c r="N716" s="103"/>
      <c r="O716" s="103"/>
      <c r="P716" s="103"/>
    </row>
    <row r="717">
      <c r="A717" s="8"/>
      <c r="B717" s="128"/>
      <c r="C717" s="128"/>
      <c r="D717" s="128"/>
      <c r="E717" s="128"/>
      <c r="F717" s="128"/>
      <c r="G717" s="128"/>
      <c r="I717" s="103"/>
      <c r="J717" s="103"/>
      <c r="K717" s="103"/>
      <c r="L717" s="103"/>
      <c r="M717" s="103"/>
      <c r="N717" s="103"/>
      <c r="O717" s="103"/>
      <c r="P717" s="103"/>
    </row>
    <row r="718">
      <c r="A718" s="8"/>
      <c r="B718" s="128"/>
      <c r="C718" s="128"/>
      <c r="D718" s="128"/>
      <c r="E718" s="128"/>
      <c r="F718" s="128"/>
      <c r="G718" s="128"/>
      <c r="I718" s="103"/>
      <c r="J718" s="103"/>
      <c r="K718" s="103"/>
      <c r="L718" s="103"/>
      <c r="M718" s="103"/>
      <c r="N718" s="103"/>
      <c r="O718" s="103"/>
      <c r="P718" s="103"/>
    </row>
    <row r="719">
      <c r="A719" s="8"/>
      <c r="B719" s="128"/>
      <c r="C719" s="128"/>
      <c r="D719" s="128"/>
      <c r="E719" s="128"/>
      <c r="F719" s="128"/>
      <c r="G719" s="128"/>
      <c r="I719" s="103"/>
      <c r="J719" s="103"/>
      <c r="K719" s="103"/>
      <c r="L719" s="103"/>
      <c r="M719" s="103"/>
      <c r="N719" s="103"/>
      <c r="O719" s="103"/>
      <c r="P719" s="103"/>
    </row>
    <row r="720">
      <c r="A720" s="8"/>
      <c r="B720" s="128"/>
      <c r="C720" s="128"/>
      <c r="D720" s="128"/>
      <c r="E720" s="128"/>
      <c r="F720" s="128"/>
      <c r="G720" s="128"/>
      <c r="I720" s="103"/>
      <c r="J720" s="103"/>
      <c r="K720" s="103"/>
      <c r="L720" s="103"/>
      <c r="M720" s="103"/>
      <c r="N720" s="103"/>
      <c r="O720" s="103"/>
      <c r="P720" s="103"/>
    </row>
    <row r="721">
      <c r="A721" s="8"/>
      <c r="B721" s="128"/>
      <c r="C721" s="128"/>
      <c r="D721" s="128"/>
      <c r="E721" s="128"/>
      <c r="F721" s="128"/>
      <c r="G721" s="128"/>
      <c r="I721" s="103"/>
      <c r="J721" s="103"/>
      <c r="K721" s="103"/>
      <c r="L721" s="103"/>
      <c r="M721" s="103"/>
      <c r="N721" s="103"/>
      <c r="O721" s="103"/>
      <c r="P721" s="103"/>
    </row>
    <row r="722">
      <c r="A722" s="8"/>
      <c r="B722" s="128"/>
      <c r="C722" s="128"/>
      <c r="D722" s="128"/>
      <c r="E722" s="128"/>
      <c r="F722" s="128"/>
      <c r="G722" s="128"/>
      <c r="I722" s="103"/>
      <c r="J722" s="103"/>
      <c r="K722" s="103"/>
      <c r="L722" s="103"/>
      <c r="M722" s="103"/>
      <c r="N722" s="103"/>
      <c r="O722" s="103"/>
      <c r="P722" s="103"/>
    </row>
    <row r="723">
      <c r="A723" s="8"/>
      <c r="B723" s="128"/>
      <c r="C723" s="128"/>
      <c r="D723" s="128"/>
      <c r="E723" s="128"/>
      <c r="F723" s="128"/>
      <c r="G723" s="128"/>
      <c r="I723" s="103"/>
      <c r="J723" s="103"/>
      <c r="K723" s="103"/>
      <c r="L723" s="103"/>
      <c r="M723" s="103"/>
      <c r="N723" s="103"/>
      <c r="O723" s="103"/>
      <c r="P723" s="103"/>
    </row>
    <row r="724">
      <c r="A724" s="8"/>
      <c r="B724" s="128"/>
      <c r="C724" s="128"/>
      <c r="D724" s="128"/>
      <c r="E724" s="128"/>
      <c r="F724" s="128"/>
      <c r="G724" s="128"/>
      <c r="I724" s="103"/>
      <c r="J724" s="103"/>
      <c r="K724" s="103"/>
      <c r="L724" s="103"/>
      <c r="M724" s="103"/>
      <c r="N724" s="103"/>
      <c r="O724" s="103"/>
      <c r="P724" s="103"/>
    </row>
    <row r="725">
      <c r="A725" s="8"/>
      <c r="B725" s="128"/>
      <c r="C725" s="128"/>
      <c r="D725" s="128"/>
      <c r="E725" s="128"/>
      <c r="F725" s="128"/>
      <c r="G725" s="128"/>
      <c r="I725" s="103"/>
      <c r="J725" s="103"/>
      <c r="K725" s="103"/>
      <c r="L725" s="103"/>
      <c r="M725" s="103"/>
      <c r="N725" s="103"/>
      <c r="O725" s="103"/>
      <c r="P725" s="103"/>
    </row>
    <row r="726">
      <c r="A726" s="8"/>
      <c r="B726" s="128"/>
      <c r="C726" s="128"/>
      <c r="D726" s="128"/>
      <c r="E726" s="128"/>
      <c r="F726" s="128"/>
      <c r="G726" s="128"/>
      <c r="I726" s="103"/>
      <c r="J726" s="103"/>
      <c r="K726" s="103"/>
      <c r="L726" s="103"/>
      <c r="M726" s="103"/>
      <c r="N726" s="103"/>
      <c r="O726" s="103"/>
      <c r="P726" s="103"/>
    </row>
    <row r="727">
      <c r="A727" s="8"/>
      <c r="B727" s="128"/>
      <c r="C727" s="128"/>
      <c r="D727" s="128"/>
      <c r="E727" s="128"/>
      <c r="F727" s="128"/>
      <c r="G727" s="128"/>
      <c r="I727" s="103"/>
      <c r="J727" s="103"/>
      <c r="K727" s="103"/>
      <c r="L727" s="103"/>
      <c r="M727" s="103"/>
      <c r="N727" s="103"/>
      <c r="O727" s="103"/>
      <c r="P727" s="103"/>
    </row>
    <row r="728">
      <c r="A728" s="8"/>
      <c r="B728" s="128"/>
      <c r="C728" s="128"/>
      <c r="D728" s="128"/>
      <c r="E728" s="128"/>
      <c r="F728" s="128"/>
      <c r="G728" s="128"/>
      <c r="I728" s="103"/>
      <c r="J728" s="103"/>
      <c r="K728" s="103"/>
      <c r="L728" s="103"/>
      <c r="M728" s="103"/>
      <c r="N728" s="103"/>
      <c r="O728" s="103"/>
      <c r="P728" s="103"/>
    </row>
    <row r="729">
      <c r="A729" s="8"/>
      <c r="B729" s="128"/>
      <c r="C729" s="128"/>
      <c r="D729" s="128"/>
      <c r="E729" s="128"/>
      <c r="F729" s="128"/>
      <c r="G729" s="128"/>
      <c r="I729" s="103"/>
      <c r="J729" s="103"/>
      <c r="K729" s="103"/>
      <c r="L729" s="103"/>
      <c r="M729" s="103"/>
      <c r="N729" s="103"/>
      <c r="O729" s="103"/>
      <c r="P729" s="103"/>
    </row>
    <row r="730">
      <c r="A730" s="8"/>
      <c r="B730" s="128"/>
      <c r="C730" s="128"/>
      <c r="D730" s="128"/>
      <c r="E730" s="128"/>
      <c r="F730" s="128"/>
      <c r="G730" s="128"/>
      <c r="I730" s="103"/>
      <c r="J730" s="103"/>
      <c r="K730" s="103"/>
      <c r="L730" s="103"/>
      <c r="M730" s="103"/>
      <c r="N730" s="103"/>
      <c r="O730" s="103"/>
      <c r="P730" s="103"/>
    </row>
    <row r="731">
      <c r="A731" s="8"/>
      <c r="B731" s="128"/>
      <c r="C731" s="128"/>
      <c r="D731" s="128"/>
      <c r="E731" s="128"/>
      <c r="F731" s="128"/>
      <c r="G731" s="128"/>
      <c r="I731" s="103"/>
      <c r="J731" s="103"/>
      <c r="K731" s="103"/>
      <c r="L731" s="103"/>
      <c r="M731" s="103"/>
      <c r="N731" s="103"/>
      <c r="O731" s="103"/>
      <c r="P731" s="103"/>
    </row>
    <row r="732">
      <c r="A732" s="8"/>
      <c r="B732" s="128"/>
      <c r="C732" s="128"/>
      <c r="D732" s="128"/>
      <c r="E732" s="128"/>
      <c r="F732" s="128"/>
      <c r="G732" s="128"/>
      <c r="I732" s="103"/>
      <c r="J732" s="103"/>
      <c r="K732" s="103"/>
      <c r="L732" s="103"/>
      <c r="M732" s="103"/>
      <c r="N732" s="103"/>
      <c r="O732" s="103"/>
      <c r="P732" s="103"/>
    </row>
    <row r="733">
      <c r="A733" s="8"/>
      <c r="B733" s="128"/>
      <c r="C733" s="128"/>
      <c r="D733" s="128"/>
      <c r="E733" s="128"/>
      <c r="F733" s="128"/>
      <c r="G733" s="128"/>
      <c r="I733" s="103"/>
      <c r="J733" s="103"/>
      <c r="K733" s="103"/>
      <c r="L733" s="103"/>
      <c r="M733" s="103"/>
      <c r="N733" s="103"/>
      <c r="O733" s="103"/>
      <c r="P733" s="103"/>
    </row>
    <row r="734">
      <c r="A734" s="8"/>
      <c r="B734" s="128"/>
      <c r="C734" s="128"/>
      <c r="D734" s="128"/>
      <c r="E734" s="128"/>
      <c r="F734" s="128"/>
      <c r="G734" s="128"/>
      <c r="I734" s="103"/>
      <c r="J734" s="103"/>
      <c r="K734" s="103"/>
      <c r="L734" s="103"/>
      <c r="M734" s="103"/>
      <c r="N734" s="103"/>
      <c r="O734" s="103"/>
      <c r="P734" s="103"/>
    </row>
    <row r="735">
      <c r="A735" s="8"/>
      <c r="B735" s="128"/>
      <c r="C735" s="128"/>
      <c r="D735" s="128"/>
      <c r="E735" s="128"/>
      <c r="F735" s="128"/>
      <c r="G735" s="128"/>
      <c r="I735" s="103"/>
      <c r="J735" s="103"/>
      <c r="K735" s="103"/>
      <c r="L735" s="103"/>
      <c r="M735" s="103"/>
      <c r="N735" s="103"/>
      <c r="O735" s="103"/>
      <c r="P735" s="103"/>
    </row>
    <row r="736">
      <c r="A736" s="8"/>
      <c r="B736" s="128"/>
      <c r="C736" s="128"/>
      <c r="D736" s="128"/>
      <c r="E736" s="128"/>
      <c r="F736" s="128"/>
      <c r="G736" s="128"/>
      <c r="I736" s="103"/>
      <c r="J736" s="103"/>
      <c r="K736" s="103"/>
      <c r="L736" s="103"/>
      <c r="M736" s="103"/>
      <c r="N736" s="103"/>
      <c r="O736" s="103"/>
      <c r="P736" s="103"/>
    </row>
    <row r="737">
      <c r="A737" s="8"/>
      <c r="B737" s="128"/>
      <c r="C737" s="128"/>
      <c r="D737" s="128"/>
      <c r="E737" s="128"/>
      <c r="F737" s="128"/>
      <c r="G737" s="128"/>
      <c r="I737" s="103"/>
      <c r="J737" s="103"/>
      <c r="K737" s="103"/>
      <c r="L737" s="103"/>
      <c r="M737" s="103"/>
      <c r="N737" s="103"/>
      <c r="O737" s="103"/>
      <c r="P737" s="103"/>
    </row>
    <row r="738">
      <c r="A738" s="8"/>
      <c r="B738" s="128"/>
      <c r="C738" s="128"/>
      <c r="D738" s="128"/>
      <c r="E738" s="128"/>
      <c r="F738" s="128"/>
      <c r="G738" s="128"/>
      <c r="I738" s="103"/>
      <c r="J738" s="103"/>
      <c r="K738" s="103"/>
      <c r="L738" s="103"/>
      <c r="M738" s="103"/>
      <c r="N738" s="103"/>
      <c r="O738" s="103"/>
      <c r="P738" s="103"/>
    </row>
    <row r="739">
      <c r="A739" s="8"/>
      <c r="B739" s="128"/>
      <c r="C739" s="128"/>
      <c r="D739" s="128"/>
      <c r="E739" s="128"/>
      <c r="F739" s="128"/>
      <c r="G739" s="128"/>
      <c r="I739" s="103"/>
      <c r="J739" s="103"/>
      <c r="K739" s="103"/>
      <c r="L739" s="103"/>
      <c r="M739" s="103"/>
      <c r="N739" s="103"/>
      <c r="O739" s="103"/>
      <c r="P739" s="103"/>
    </row>
    <row r="740">
      <c r="A740" s="8"/>
      <c r="B740" s="128"/>
      <c r="C740" s="128"/>
      <c r="D740" s="128"/>
      <c r="E740" s="128"/>
      <c r="F740" s="128"/>
      <c r="G740" s="128"/>
      <c r="I740" s="103"/>
      <c r="J740" s="103"/>
      <c r="K740" s="103"/>
      <c r="L740" s="103"/>
      <c r="M740" s="103"/>
      <c r="N740" s="103"/>
      <c r="O740" s="103"/>
      <c r="P740" s="103"/>
    </row>
    <row r="741">
      <c r="A741" s="8"/>
      <c r="B741" s="128"/>
      <c r="C741" s="128"/>
      <c r="D741" s="128"/>
      <c r="E741" s="128"/>
      <c r="F741" s="128"/>
      <c r="G741" s="128"/>
      <c r="I741" s="103"/>
      <c r="J741" s="103"/>
      <c r="K741" s="103"/>
      <c r="L741" s="103"/>
      <c r="M741" s="103"/>
      <c r="N741" s="103"/>
      <c r="O741" s="103"/>
      <c r="P741" s="103"/>
    </row>
    <row r="742">
      <c r="A742" s="8"/>
      <c r="B742" s="128"/>
      <c r="C742" s="128"/>
      <c r="D742" s="128"/>
      <c r="E742" s="128"/>
      <c r="F742" s="128"/>
      <c r="G742" s="128"/>
      <c r="I742" s="103"/>
      <c r="J742" s="103"/>
      <c r="K742" s="103"/>
      <c r="L742" s="103"/>
      <c r="M742" s="103"/>
      <c r="N742" s="103"/>
      <c r="O742" s="103"/>
      <c r="P742" s="103"/>
    </row>
    <row r="743">
      <c r="A743" s="8"/>
      <c r="B743" s="128"/>
      <c r="C743" s="128"/>
      <c r="D743" s="128"/>
      <c r="E743" s="128"/>
      <c r="F743" s="128"/>
      <c r="G743" s="128"/>
      <c r="I743" s="103"/>
      <c r="J743" s="103"/>
      <c r="K743" s="103"/>
      <c r="L743" s="103"/>
      <c r="M743" s="103"/>
      <c r="N743" s="103"/>
      <c r="O743" s="103"/>
      <c r="P743" s="103"/>
    </row>
    <row r="744">
      <c r="A744" s="8"/>
      <c r="B744" s="128"/>
      <c r="C744" s="128"/>
      <c r="D744" s="128"/>
      <c r="E744" s="128"/>
      <c r="F744" s="128"/>
      <c r="G744" s="128"/>
      <c r="I744" s="103"/>
      <c r="J744" s="103"/>
      <c r="K744" s="103"/>
      <c r="L744" s="103"/>
      <c r="M744" s="103"/>
      <c r="N744" s="103"/>
      <c r="O744" s="103"/>
      <c r="P744" s="103"/>
    </row>
    <row r="745">
      <c r="A745" s="8"/>
      <c r="B745" s="128"/>
      <c r="C745" s="128"/>
      <c r="D745" s="128"/>
      <c r="E745" s="128"/>
      <c r="F745" s="128"/>
      <c r="G745" s="128"/>
      <c r="I745" s="103"/>
      <c r="J745" s="103"/>
      <c r="K745" s="103"/>
      <c r="L745" s="103"/>
      <c r="M745" s="103"/>
      <c r="N745" s="103"/>
      <c r="O745" s="103"/>
      <c r="P745" s="103"/>
    </row>
    <row r="746">
      <c r="A746" s="8"/>
      <c r="B746" s="128"/>
      <c r="C746" s="128"/>
      <c r="D746" s="128"/>
      <c r="E746" s="128"/>
      <c r="F746" s="128"/>
      <c r="G746" s="128"/>
      <c r="I746" s="103"/>
      <c r="J746" s="103"/>
      <c r="K746" s="103"/>
      <c r="L746" s="103"/>
      <c r="M746" s="103"/>
      <c r="N746" s="103"/>
      <c r="O746" s="103"/>
      <c r="P746" s="103"/>
    </row>
    <row r="747">
      <c r="A747" s="8"/>
      <c r="B747" s="128"/>
      <c r="C747" s="128"/>
      <c r="D747" s="128"/>
      <c r="E747" s="128"/>
      <c r="F747" s="128"/>
      <c r="G747" s="128"/>
      <c r="I747" s="103"/>
      <c r="J747" s="103"/>
      <c r="K747" s="103"/>
      <c r="L747" s="103"/>
      <c r="M747" s="103"/>
      <c r="N747" s="103"/>
      <c r="O747" s="103"/>
      <c r="P747" s="103"/>
    </row>
    <row r="748">
      <c r="A748" s="8"/>
      <c r="B748" s="128"/>
      <c r="C748" s="128"/>
      <c r="D748" s="128"/>
      <c r="E748" s="128"/>
      <c r="F748" s="128"/>
      <c r="G748" s="128"/>
      <c r="I748" s="103"/>
      <c r="J748" s="103"/>
      <c r="K748" s="103"/>
      <c r="L748" s="103"/>
      <c r="M748" s="103"/>
      <c r="N748" s="103"/>
      <c r="O748" s="103"/>
      <c r="P748" s="103"/>
    </row>
    <row r="749">
      <c r="A749" s="8"/>
      <c r="B749" s="128"/>
      <c r="C749" s="128"/>
      <c r="D749" s="128"/>
      <c r="E749" s="128"/>
      <c r="F749" s="128"/>
      <c r="G749" s="128"/>
      <c r="I749" s="103"/>
      <c r="J749" s="103"/>
      <c r="K749" s="103"/>
      <c r="L749" s="103"/>
      <c r="M749" s="103"/>
      <c r="N749" s="103"/>
      <c r="O749" s="103"/>
      <c r="P749" s="103"/>
    </row>
    <row r="750">
      <c r="A750" s="8"/>
      <c r="B750" s="128"/>
      <c r="C750" s="128"/>
      <c r="D750" s="128"/>
      <c r="E750" s="128"/>
      <c r="F750" s="128"/>
      <c r="G750" s="128"/>
      <c r="I750" s="103"/>
      <c r="J750" s="103"/>
      <c r="K750" s="103"/>
      <c r="L750" s="103"/>
      <c r="M750" s="103"/>
      <c r="N750" s="103"/>
      <c r="O750" s="103"/>
      <c r="P750" s="103"/>
    </row>
    <row r="751">
      <c r="A751" s="8"/>
      <c r="B751" s="128"/>
      <c r="C751" s="128"/>
      <c r="D751" s="128"/>
      <c r="E751" s="128"/>
      <c r="F751" s="128"/>
      <c r="G751" s="128"/>
      <c r="I751" s="103"/>
      <c r="J751" s="103"/>
      <c r="K751" s="103"/>
      <c r="L751" s="103"/>
      <c r="M751" s="103"/>
      <c r="N751" s="103"/>
      <c r="O751" s="103"/>
      <c r="P751" s="103"/>
    </row>
    <row r="752">
      <c r="A752" s="8"/>
      <c r="B752" s="128"/>
      <c r="C752" s="128"/>
      <c r="D752" s="128"/>
      <c r="E752" s="128"/>
      <c r="F752" s="128"/>
      <c r="G752" s="128"/>
      <c r="I752" s="103"/>
      <c r="J752" s="103"/>
      <c r="K752" s="103"/>
      <c r="L752" s="103"/>
      <c r="M752" s="103"/>
      <c r="N752" s="103"/>
      <c r="O752" s="103"/>
      <c r="P752" s="103"/>
    </row>
    <row r="753">
      <c r="A753" s="8"/>
      <c r="B753" s="128"/>
      <c r="C753" s="128"/>
      <c r="D753" s="128"/>
      <c r="E753" s="128"/>
      <c r="F753" s="128"/>
      <c r="G753" s="128"/>
      <c r="I753" s="103"/>
      <c r="J753" s="103"/>
      <c r="K753" s="103"/>
      <c r="L753" s="103"/>
      <c r="M753" s="103"/>
      <c r="N753" s="103"/>
      <c r="O753" s="103"/>
      <c r="P753" s="103"/>
    </row>
    <row r="754">
      <c r="A754" s="8"/>
      <c r="B754" s="128"/>
      <c r="C754" s="128"/>
      <c r="D754" s="128"/>
      <c r="E754" s="128"/>
      <c r="F754" s="128"/>
      <c r="G754" s="128"/>
      <c r="I754" s="103"/>
      <c r="J754" s="103"/>
      <c r="K754" s="103"/>
      <c r="L754" s="103"/>
      <c r="M754" s="103"/>
      <c r="N754" s="103"/>
      <c r="O754" s="103"/>
      <c r="P754" s="103"/>
    </row>
    <row r="755">
      <c r="A755" s="8"/>
      <c r="B755" s="128"/>
      <c r="C755" s="128"/>
      <c r="D755" s="128"/>
      <c r="E755" s="128"/>
      <c r="F755" s="128"/>
      <c r="G755" s="128"/>
      <c r="I755" s="103"/>
      <c r="J755" s="103"/>
      <c r="K755" s="103"/>
      <c r="L755" s="103"/>
      <c r="M755" s="103"/>
      <c r="N755" s="103"/>
      <c r="O755" s="103"/>
      <c r="P755" s="103"/>
    </row>
    <row r="756">
      <c r="A756" s="8"/>
      <c r="B756" s="128"/>
      <c r="C756" s="128"/>
      <c r="D756" s="128"/>
      <c r="E756" s="128"/>
      <c r="F756" s="128"/>
      <c r="G756" s="128"/>
      <c r="I756" s="103"/>
      <c r="J756" s="103"/>
      <c r="K756" s="103"/>
      <c r="L756" s="103"/>
      <c r="M756" s="103"/>
      <c r="N756" s="103"/>
      <c r="O756" s="103"/>
      <c r="P756" s="103"/>
    </row>
    <row r="757">
      <c r="A757" s="8"/>
      <c r="B757" s="128"/>
      <c r="C757" s="128"/>
      <c r="D757" s="128"/>
      <c r="E757" s="128"/>
      <c r="F757" s="128"/>
      <c r="G757" s="128"/>
      <c r="I757" s="103"/>
      <c r="J757" s="103"/>
      <c r="K757" s="103"/>
      <c r="L757" s="103"/>
      <c r="M757" s="103"/>
      <c r="N757" s="103"/>
      <c r="O757" s="103"/>
      <c r="P757" s="103"/>
    </row>
    <row r="758">
      <c r="A758" s="8"/>
      <c r="B758" s="128"/>
      <c r="C758" s="128"/>
      <c r="D758" s="128"/>
      <c r="E758" s="128"/>
      <c r="F758" s="128"/>
      <c r="G758" s="128"/>
      <c r="I758" s="103"/>
      <c r="J758" s="103"/>
      <c r="K758" s="103"/>
      <c r="L758" s="103"/>
      <c r="M758" s="103"/>
      <c r="N758" s="103"/>
      <c r="O758" s="103"/>
      <c r="P758" s="103"/>
    </row>
    <row r="759">
      <c r="A759" s="8"/>
      <c r="B759" s="128"/>
      <c r="C759" s="128"/>
      <c r="D759" s="128"/>
      <c r="E759" s="128"/>
      <c r="F759" s="128"/>
      <c r="G759" s="128"/>
      <c r="I759" s="103"/>
      <c r="J759" s="103"/>
      <c r="K759" s="103"/>
      <c r="L759" s="103"/>
      <c r="M759" s="103"/>
      <c r="N759" s="103"/>
      <c r="O759" s="103"/>
      <c r="P759" s="103"/>
    </row>
    <row r="760">
      <c r="A760" s="8"/>
      <c r="B760" s="128"/>
      <c r="C760" s="128"/>
      <c r="D760" s="128"/>
      <c r="E760" s="128"/>
      <c r="F760" s="128"/>
      <c r="G760" s="128"/>
      <c r="I760" s="103"/>
      <c r="J760" s="103"/>
      <c r="K760" s="103"/>
      <c r="L760" s="103"/>
      <c r="M760" s="103"/>
      <c r="N760" s="103"/>
      <c r="O760" s="103"/>
      <c r="P760" s="103"/>
    </row>
    <row r="761">
      <c r="A761" s="8"/>
      <c r="B761" s="128"/>
      <c r="C761" s="128"/>
      <c r="D761" s="128"/>
      <c r="E761" s="128"/>
      <c r="F761" s="128"/>
      <c r="G761" s="128"/>
      <c r="I761" s="103"/>
      <c r="J761" s="103"/>
      <c r="K761" s="103"/>
      <c r="L761" s="103"/>
      <c r="M761" s="103"/>
      <c r="N761" s="103"/>
      <c r="O761" s="103"/>
      <c r="P761" s="103"/>
    </row>
    <row r="762">
      <c r="A762" s="8"/>
      <c r="B762" s="128"/>
      <c r="C762" s="128"/>
      <c r="D762" s="128"/>
      <c r="E762" s="128"/>
      <c r="F762" s="128"/>
      <c r="G762" s="128"/>
      <c r="I762" s="103"/>
      <c r="J762" s="103"/>
      <c r="K762" s="103"/>
      <c r="L762" s="103"/>
      <c r="M762" s="103"/>
      <c r="N762" s="103"/>
      <c r="O762" s="103"/>
      <c r="P762" s="103"/>
    </row>
    <row r="763">
      <c r="A763" s="8"/>
      <c r="B763" s="128"/>
      <c r="C763" s="128"/>
      <c r="D763" s="128"/>
      <c r="E763" s="128"/>
      <c r="F763" s="128"/>
      <c r="G763" s="128"/>
      <c r="I763" s="103"/>
      <c r="J763" s="103"/>
      <c r="K763" s="103"/>
      <c r="L763" s="103"/>
      <c r="M763" s="103"/>
      <c r="N763" s="103"/>
      <c r="O763" s="103"/>
      <c r="P763" s="103"/>
    </row>
    <row r="764">
      <c r="A764" s="8"/>
      <c r="B764" s="128"/>
      <c r="C764" s="128"/>
      <c r="D764" s="128"/>
      <c r="E764" s="128"/>
      <c r="F764" s="128"/>
      <c r="G764" s="128"/>
      <c r="I764" s="103"/>
      <c r="J764" s="103"/>
      <c r="K764" s="103"/>
      <c r="L764" s="103"/>
      <c r="M764" s="103"/>
      <c r="N764" s="103"/>
      <c r="O764" s="103"/>
      <c r="P764" s="103"/>
    </row>
    <row r="765">
      <c r="A765" s="8"/>
      <c r="B765" s="128"/>
      <c r="C765" s="128"/>
      <c r="D765" s="128"/>
      <c r="E765" s="128"/>
      <c r="F765" s="128"/>
      <c r="G765" s="128"/>
      <c r="I765" s="103"/>
      <c r="J765" s="103"/>
      <c r="K765" s="103"/>
      <c r="L765" s="103"/>
      <c r="M765" s="103"/>
      <c r="N765" s="103"/>
      <c r="O765" s="103"/>
      <c r="P765" s="103"/>
    </row>
    <row r="766">
      <c r="A766" s="8"/>
      <c r="B766" s="128"/>
      <c r="C766" s="128"/>
      <c r="D766" s="128"/>
      <c r="E766" s="128"/>
      <c r="F766" s="128"/>
      <c r="G766" s="128"/>
      <c r="I766" s="103"/>
      <c r="J766" s="103"/>
      <c r="K766" s="103"/>
      <c r="L766" s="103"/>
      <c r="M766" s="103"/>
      <c r="N766" s="103"/>
      <c r="O766" s="103"/>
      <c r="P766" s="103"/>
    </row>
    <row r="767">
      <c r="A767" s="8"/>
      <c r="B767" s="128"/>
      <c r="C767" s="128"/>
      <c r="D767" s="128"/>
      <c r="E767" s="128"/>
      <c r="F767" s="128"/>
      <c r="G767" s="128"/>
      <c r="I767" s="103"/>
      <c r="J767" s="103"/>
      <c r="K767" s="103"/>
      <c r="L767" s="103"/>
      <c r="M767" s="103"/>
      <c r="N767" s="103"/>
      <c r="O767" s="103"/>
      <c r="P767" s="103"/>
    </row>
    <row r="768">
      <c r="A768" s="8"/>
      <c r="B768" s="128"/>
      <c r="C768" s="128"/>
      <c r="D768" s="128"/>
      <c r="E768" s="128"/>
      <c r="F768" s="128"/>
      <c r="G768" s="128"/>
      <c r="I768" s="103"/>
      <c r="J768" s="103"/>
      <c r="K768" s="103"/>
      <c r="L768" s="103"/>
      <c r="M768" s="103"/>
      <c r="N768" s="103"/>
      <c r="O768" s="103"/>
      <c r="P768" s="103"/>
    </row>
    <row r="769">
      <c r="A769" s="8"/>
      <c r="B769" s="128"/>
      <c r="C769" s="128"/>
      <c r="D769" s="128"/>
      <c r="E769" s="128"/>
      <c r="F769" s="128"/>
      <c r="G769" s="128"/>
      <c r="I769" s="103"/>
      <c r="J769" s="103"/>
      <c r="K769" s="103"/>
      <c r="L769" s="103"/>
      <c r="M769" s="103"/>
      <c r="N769" s="103"/>
      <c r="O769" s="103"/>
      <c r="P769" s="103"/>
    </row>
    <row r="770">
      <c r="A770" s="8"/>
      <c r="B770" s="128"/>
      <c r="C770" s="128"/>
      <c r="D770" s="128"/>
      <c r="E770" s="128"/>
      <c r="F770" s="128"/>
      <c r="G770" s="128"/>
      <c r="I770" s="103"/>
      <c r="J770" s="103"/>
      <c r="K770" s="103"/>
      <c r="L770" s="103"/>
      <c r="M770" s="103"/>
      <c r="N770" s="103"/>
      <c r="O770" s="103"/>
      <c r="P770" s="103"/>
    </row>
    <row r="771">
      <c r="A771" s="8"/>
      <c r="B771" s="128"/>
      <c r="C771" s="128"/>
      <c r="D771" s="128"/>
      <c r="E771" s="128"/>
      <c r="F771" s="128"/>
      <c r="G771" s="128"/>
      <c r="I771" s="103"/>
      <c r="J771" s="103"/>
      <c r="K771" s="103"/>
      <c r="L771" s="103"/>
      <c r="M771" s="103"/>
      <c r="N771" s="103"/>
      <c r="O771" s="103"/>
      <c r="P771" s="103"/>
    </row>
    <row r="772">
      <c r="A772" s="8"/>
      <c r="B772" s="128"/>
      <c r="C772" s="128"/>
      <c r="D772" s="128"/>
      <c r="E772" s="128"/>
      <c r="F772" s="128"/>
      <c r="G772" s="128"/>
      <c r="I772" s="103"/>
      <c r="J772" s="103"/>
      <c r="K772" s="103"/>
      <c r="L772" s="103"/>
      <c r="M772" s="103"/>
      <c r="N772" s="103"/>
      <c r="O772" s="103"/>
      <c r="P772" s="103"/>
    </row>
    <row r="773">
      <c r="A773" s="8"/>
      <c r="B773" s="128"/>
      <c r="C773" s="128"/>
      <c r="D773" s="128"/>
      <c r="E773" s="128"/>
      <c r="F773" s="128"/>
      <c r="G773" s="128"/>
      <c r="I773" s="103"/>
      <c r="J773" s="103"/>
      <c r="K773" s="103"/>
      <c r="L773" s="103"/>
      <c r="M773" s="103"/>
      <c r="N773" s="103"/>
      <c r="O773" s="103"/>
      <c r="P773" s="103"/>
    </row>
    <row r="774">
      <c r="A774" s="8"/>
      <c r="B774" s="128"/>
      <c r="C774" s="128"/>
      <c r="D774" s="128"/>
      <c r="E774" s="128"/>
      <c r="F774" s="128"/>
      <c r="G774" s="128"/>
      <c r="I774" s="103"/>
      <c r="J774" s="103"/>
      <c r="K774" s="103"/>
      <c r="L774" s="103"/>
      <c r="M774" s="103"/>
      <c r="N774" s="103"/>
      <c r="O774" s="103"/>
      <c r="P774" s="103"/>
    </row>
    <row r="775">
      <c r="A775" s="8"/>
      <c r="B775" s="128"/>
      <c r="C775" s="128"/>
      <c r="D775" s="128"/>
      <c r="E775" s="128"/>
      <c r="F775" s="128"/>
      <c r="G775" s="128"/>
      <c r="I775" s="103"/>
      <c r="J775" s="103"/>
      <c r="K775" s="103"/>
      <c r="L775" s="103"/>
      <c r="M775" s="103"/>
      <c r="N775" s="103"/>
      <c r="O775" s="103"/>
      <c r="P775" s="103"/>
    </row>
    <row r="776">
      <c r="A776" s="8"/>
      <c r="B776" s="128"/>
      <c r="C776" s="128"/>
      <c r="D776" s="128"/>
      <c r="E776" s="128"/>
      <c r="F776" s="128"/>
      <c r="G776" s="128"/>
      <c r="I776" s="103"/>
      <c r="J776" s="103"/>
      <c r="K776" s="103"/>
      <c r="L776" s="103"/>
      <c r="M776" s="103"/>
      <c r="N776" s="103"/>
      <c r="O776" s="103"/>
      <c r="P776" s="103"/>
    </row>
    <row r="777">
      <c r="A777" s="8"/>
      <c r="B777" s="128"/>
      <c r="C777" s="128"/>
      <c r="D777" s="128"/>
      <c r="E777" s="128"/>
      <c r="F777" s="128"/>
      <c r="G777" s="128"/>
      <c r="I777" s="103"/>
      <c r="J777" s="103"/>
      <c r="K777" s="103"/>
      <c r="L777" s="103"/>
      <c r="M777" s="103"/>
      <c r="N777" s="103"/>
      <c r="O777" s="103"/>
      <c r="P777" s="103"/>
    </row>
    <row r="778">
      <c r="A778" s="8"/>
      <c r="B778" s="128"/>
      <c r="C778" s="128"/>
      <c r="D778" s="128"/>
      <c r="E778" s="128"/>
      <c r="F778" s="128"/>
      <c r="G778" s="128"/>
      <c r="I778" s="103"/>
      <c r="J778" s="103"/>
      <c r="K778" s="103"/>
      <c r="L778" s="103"/>
      <c r="M778" s="103"/>
      <c r="N778" s="103"/>
      <c r="O778" s="103"/>
      <c r="P778" s="103"/>
    </row>
    <row r="779">
      <c r="A779" s="8"/>
      <c r="B779" s="128"/>
      <c r="C779" s="128"/>
      <c r="D779" s="128"/>
      <c r="E779" s="128"/>
      <c r="F779" s="128"/>
      <c r="G779" s="128"/>
      <c r="I779" s="103"/>
      <c r="J779" s="103"/>
      <c r="K779" s="103"/>
      <c r="L779" s="103"/>
      <c r="M779" s="103"/>
      <c r="N779" s="103"/>
      <c r="O779" s="103"/>
      <c r="P779" s="103"/>
    </row>
    <row r="780">
      <c r="A780" s="8"/>
      <c r="B780" s="128"/>
      <c r="C780" s="128"/>
      <c r="D780" s="128"/>
      <c r="E780" s="128"/>
      <c r="F780" s="128"/>
      <c r="G780" s="128"/>
      <c r="I780" s="103"/>
      <c r="J780" s="103"/>
      <c r="K780" s="103"/>
      <c r="L780" s="103"/>
      <c r="M780" s="103"/>
      <c r="N780" s="103"/>
      <c r="O780" s="103"/>
      <c r="P780" s="103"/>
    </row>
    <row r="781">
      <c r="A781" s="8"/>
      <c r="B781" s="128"/>
      <c r="C781" s="128"/>
      <c r="D781" s="128"/>
      <c r="E781" s="128"/>
      <c r="F781" s="128"/>
      <c r="G781" s="128"/>
      <c r="I781" s="103"/>
      <c r="J781" s="103"/>
      <c r="K781" s="103"/>
      <c r="L781" s="103"/>
      <c r="M781" s="103"/>
      <c r="N781" s="103"/>
      <c r="O781" s="103"/>
      <c r="P781" s="103"/>
    </row>
    <row r="782">
      <c r="A782" s="8"/>
      <c r="B782" s="128"/>
      <c r="C782" s="128"/>
      <c r="D782" s="128"/>
      <c r="E782" s="128"/>
      <c r="F782" s="128"/>
      <c r="G782" s="128"/>
      <c r="I782" s="103"/>
      <c r="J782" s="103"/>
      <c r="K782" s="103"/>
      <c r="L782" s="103"/>
      <c r="M782" s="103"/>
      <c r="N782" s="103"/>
      <c r="O782" s="103"/>
      <c r="P782" s="103"/>
    </row>
    <row r="783">
      <c r="A783" s="8"/>
      <c r="B783" s="128"/>
      <c r="C783" s="128"/>
      <c r="D783" s="128"/>
      <c r="E783" s="128"/>
      <c r="F783" s="128"/>
      <c r="G783" s="128"/>
      <c r="I783" s="103"/>
      <c r="J783" s="103"/>
      <c r="K783" s="103"/>
      <c r="L783" s="103"/>
      <c r="M783" s="103"/>
      <c r="N783" s="103"/>
      <c r="O783" s="103"/>
      <c r="P783" s="103"/>
    </row>
    <row r="784">
      <c r="A784" s="8"/>
      <c r="B784" s="128"/>
      <c r="C784" s="128"/>
      <c r="D784" s="128"/>
      <c r="E784" s="128"/>
      <c r="F784" s="128"/>
      <c r="G784" s="128"/>
      <c r="I784" s="103"/>
      <c r="J784" s="103"/>
      <c r="K784" s="103"/>
      <c r="L784" s="103"/>
      <c r="M784" s="103"/>
      <c r="N784" s="103"/>
      <c r="O784" s="103"/>
      <c r="P784" s="103"/>
    </row>
    <row r="785">
      <c r="A785" s="8"/>
      <c r="B785" s="128"/>
      <c r="C785" s="128"/>
      <c r="D785" s="128"/>
      <c r="E785" s="128"/>
      <c r="F785" s="128"/>
      <c r="G785" s="128"/>
      <c r="I785" s="103"/>
      <c r="J785" s="103"/>
      <c r="K785" s="103"/>
      <c r="L785" s="103"/>
      <c r="M785" s="103"/>
      <c r="N785" s="103"/>
      <c r="O785" s="103"/>
      <c r="P785" s="103"/>
    </row>
    <row r="786">
      <c r="A786" s="8"/>
      <c r="B786" s="128"/>
      <c r="C786" s="128"/>
      <c r="D786" s="128"/>
      <c r="E786" s="128"/>
      <c r="F786" s="128"/>
      <c r="G786" s="128"/>
      <c r="I786" s="103"/>
      <c r="J786" s="103"/>
      <c r="K786" s="103"/>
      <c r="L786" s="103"/>
      <c r="M786" s="103"/>
      <c r="N786" s="103"/>
      <c r="O786" s="103"/>
      <c r="P786" s="103"/>
    </row>
    <row r="787">
      <c r="A787" s="8"/>
      <c r="B787" s="128"/>
      <c r="C787" s="128"/>
      <c r="D787" s="128"/>
      <c r="E787" s="128"/>
      <c r="F787" s="128"/>
      <c r="G787" s="128"/>
      <c r="I787" s="103"/>
      <c r="J787" s="103"/>
      <c r="K787" s="103"/>
      <c r="L787" s="103"/>
      <c r="M787" s="103"/>
      <c r="N787" s="103"/>
      <c r="O787" s="103"/>
      <c r="P787" s="103"/>
    </row>
    <row r="788">
      <c r="A788" s="8"/>
      <c r="B788" s="128"/>
      <c r="C788" s="128"/>
      <c r="D788" s="128"/>
      <c r="E788" s="128"/>
      <c r="F788" s="128"/>
      <c r="G788" s="128"/>
      <c r="I788" s="103"/>
      <c r="J788" s="103"/>
      <c r="K788" s="103"/>
      <c r="L788" s="103"/>
      <c r="M788" s="103"/>
      <c r="N788" s="103"/>
      <c r="O788" s="103"/>
      <c r="P788" s="103"/>
    </row>
    <row r="789">
      <c r="A789" s="8"/>
      <c r="B789" s="128"/>
      <c r="C789" s="128"/>
      <c r="D789" s="128"/>
      <c r="E789" s="128"/>
      <c r="F789" s="128"/>
      <c r="G789" s="128"/>
      <c r="I789" s="103"/>
      <c r="J789" s="103"/>
      <c r="K789" s="103"/>
      <c r="L789" s="103"/>
      <c r="M789" s="103"/>
      <c r="N789" s="103"/>
      <c r="O789" s="103"/>
      <c r="P789" s="103"/>
    </row>
    <row r="790">
      <c r="A790" s="8"/>
      <c r="B790" s="128"/>
      <c r="C790" s="128"/>
      <c r="D790" s="128"/>
      <c r="E790" s="128"/>
      <c r="F790" s="128"/>
      <c r="G790" s="128"/>
      <c r="I790" s="103"/>
      <c r="J790" s="103"/>
      <c r="K790" s="103"/>
      <c r="L790" s="103"/>
      <c r="M790" s="103"/>
      <c r="N790" s="103"/>
      <c r="O790" s="103"/>
      <c r="P790" s="103"/>
    </row>
    <row r="791">
      <c r="A791" s="8"/>
      <c r="B791" s="128"/>
      <c r="C791" s="128"/>
      <c r="D791" s="128"/>
      <c r="E791" s="128"/>
      <c r="F791" s="128"/>
      <c r="G791" s="128"/>
      <c r="I791" s="103"/>
      <c r="J791" s="103"/>
      <c r="K791" s="103"/>
      <c r="L791" s="103"/>
      <c r="M791" s="103"/>
      <c r="N791" s="103"/>
      <c r="O791" s="103"/>
      <c r="P791" s="103"/>
    </row>
    <row r="792">
      <c r="A792" s="8"/>
      <c r="B792" s="128"/>
      <c r="C792" s="128"/>
      <c r="D792" s="128"/>
      <c r="E792" s="128"/>
      <c r="F792" s="128"/>
      <c r="G792" s="128"/>
      <c r="I792" s="103"/>
      <c r="J792" s="103"/>
      <c r="K792" s="103"/>
      <c r="L792" s="103"/>
      <c r="M792" s="103"/>
      <c r="N792" s="103"/>
      <c r="O792" s="103"/>
      <c r="P792" s="103"/>
    </row>
    <row r="793">
      <c r="A793" s="8"/>
      <c r="B793" s="128"/>
      <c r="C793" s="128"/>
      <c r="D793" s="128"/>
      <c r="E793" s="128"/>
      <c r="F793" s="128"/>
      <c r="G793" s="128"/>
      <c r="I793" s="103"/>
      <c r="J793" s="103"/>
      <c r="K793" s="103"/>
      <c r="L793" s="103"/>
      <c r="M793" s="103"/>
      <c r="N793" s="103"/>
      <c r="O793" s="103"/>
      <c r="P793" s="103"/>
    </row>
    <row r="794">
      <c r="A794" s="8"/>
      <c r="B794" s="128"/>
      <c r="C794" s="128"/>
      <c r="D794" s="128"/>
      <c r="E794" s="128"/>
      <c r="F794" s="128"/>
      <c r="G794" s="128"/>
      <c r="I794" s="103"/>
      <c r="J794" s="103"/>
      <c r="K794" s="103"/>
      <c r="L794" s="103"/>
      <c r="M794" s="103"/>
      <c r="N794" s="103"/>
      <c r="O794" s="103"/>
      <c r="P794" s="103"/>
    </row>
    <row r="795">
      <c r="A795" s="8"/>
      <c r="B795" s="128"/>
      <c r="C795" s="128"/>
      <c r="D795" s="128"/>
      <c r="E795" s="128"/>
      <c r="F795" s="128"/>
      <c r="G795" s="128"/>
      <c r="I795" s="103"/>
      <c r="J795" s="103"/>
      <c r="K795" s="103"/>
      <c r="L795" s="103"/>
      <c r="M795" s="103"/>
      <c r="N795" s="103"/>
      <c r="O795" s="103"/>
      <c r="P795" s="103"/>
    </row>
    <row r="796">
      <c r="A796" s="8"/>
      <c r="B796" s="128"/>
      <c r="C796" s="128"/>
      <c r="D796" s="128"/>
      <c r="E796" s="128"/>
      <c r="F796" s="128"/>
      <c r="G796" s="128"/>
      <c r="I796" s="103"/>
      <c r="J796" s="103"/>
      <c r="K796" s="103"/>
      <c r="L796" s="103"/>
      <c r="M796" s="103"/>
      <c r="N796" s="103"/>
      <c r="O796" s="103"/>
      <c r="P796" s="103"/>
    </row>
    <row r="797">
      <c r="A797" s="8"/>
      <c r="B797" s="128"/>
      <c r="C797" s="128"/>
      <c r="D797" s="128"/>
      <c r="E797" s="128"/>
      <c r="F797" s="128"/>
      <c r="G797" s="128"/>
      <c r="I797" s="103"/>
      <c r="J797" s="103"/>
      <c r="K797" s="103"/>
      <c r="L797" s="103"/>
      <c r="M797" s="103"/>
      <c r="N797" s="103"/>
      <c r="O797" s="103"/>
      <c r="P797" s="103"/>
    </row>
    <row r="798">
      <c r="A798" s="8"/>
      <c r="B798" s="128"/>
      <c r="C798" s="128"/>
      <c r="D798" s="128"/>
      <c r="E798" s="128"/>
      <c r="F798" s="128"/>
      <c r="G798" s="128"/>
      <c r="I798" s="103"/>
      <c r="J798" s="103"/>
      <c r="K798" s="103"/>
      <c r="L798" s="103"/>
      <c r="M798" s="103"/>
      <c r="N798" s="103"/>
      <c r="O798" s="103"/>
      <c r="P798" s="103"/>
    </row>
    <row r="799">
      <c r="A799" s="8"/>
      <c r="B799" s="128"/>
      <c r="C799" s="128"/>
      <c r="D799" s="128"/>
      <c r="E799" s="128"/>
      <c r="F799" s="128"/>
      <c r="G799" s="128"/>
      <c r="I799" s="103"/>
      <c r="J799" s="103"/>
      <c r="K799" s="103"/>
      <c r="L799" s="103"/>
      <c r="M799" s="103"/>
      <c r="N799" s="103"/>
      <c r="O799" s="103"/>
      <c r="P799" s="103"/>
    </row>
    <row r="800">
      <c r="A800" s="8"/>
      <c r="B800" s="128"/>
      <c r="C800" s="128"/>
      <c r="D800" s="128"/>
      <c r="E800" s="128"/>
      <c r="F800" s="128"/>
      <c r="G800" s="128"/>
      <c r="I800" s="103"/>
      <c r="J800" s="103"/>
      <c r="K800" s="103"/>
      <c r="L800" s="103"/>
      <c r="M800" s="103"/>
      <c r="N800" s="103"/>
      <c r="O800" s="103"/>
      <c r="P800" s="103"/>
    </row>
    <row r="801">
      <c r="A801" s="8"/>
      <c r="B801" s="128"/>
      <c r="C801" s="128"/>
      <c r="D801" s="128"/>
      <c r="E801" s="128"/>
      <c r="F801" s="128"/>
      <c r="G801" s="128"/>
      <c r="I801" s="103"/>
      <c r="J801" s="103"/>
      <c r="K801" s="103"/>
      <c r="L801" s="103"/>
      <c r="M801" s="103"/>
      <c r="N801" s="103"/>
      <c r="O801" s="103"/>
      <c r="P801" s="103"/>
    </row>
    <row r="802">
      <c r="A802" s="8"/>
      <c r="B802" s="128"/>
      <c r="C802" s="128"/>
      <c r="D802" s="128"/>
      <c r="E802" s="128"/>
      <c r="F802" s="128"/>
      <c r="G802" s="128"/>
      <c r="I802" s="103"/>
      <c r="J802" s="103"/>
      <c r="K802" s="103"/>
      <c r="L802" s="103"/>
      <c r="M802" s="103"/>
      <c r="N802" s="103"/>
      <c r="O802" s="103"/>
      <c r="P802" s="103"/>
    </row>
    <row r="803">
      <c r="A803" s="8"/>
      <c r="B803" s="128"/>
      <c r="C803" s="128"/>
      <c r="D803" s="128"/>
      <c r="E803" s="128"/>
      <c r="F803" s="128"/>
      <c r="G803" s="128"/>
      <c r="I803" s="103"/>
      <c r="J803" s="103"/>
      <c r="K803" s="103"/>
      <c r="L803" s="103"/>
      <c r="M803" s="103"/>
      <c r="N803" s="103"/>
      <c r="O803" s="103"/>
      <c r="P803" s="103"/>
    </row>
    <row r="804">
      <c r="A804" s="8"/>
      <c r="B804" s="128"/>
      <c r="C804" s="128"/>
      <c r="D804" s="128"/>
      <c r="E804" s="128"/>
      <c r="F804" s="128"/>
      <c r="G804" s="128"/>
      <c r="I804" s="103"/>
      <c r="J804" s="103"/>
      <c r="K804" s="103"/>
      <c r="L804" s="103"/>
      <c r="M804" s="103"/>
      <c r="N804" s="103"/>
      <c r="O804" s="103"/>
      <c r="P804" s="103"/>
    </row>
    <row r="805">
      <c r="A805" s="8"/>
      <c r="B805" s="128"/>
      <c r="C805" s="128"/>
      <c r="D805" s="128"/>
      <c r="E805" s="128"/>
      <c r="F805" s="128"/>
      <c r="G805" s="128"/>
      <c r="I805" s="103"/>
      <c r="J805" s="103"/>
      <c r="K805" s="103"/>
      <c r="L805" s="103"/>
      <c r="M805" s="103"/>
      <c r="N805" s="103"/>
      <c r="O805" s="103"/>
      <c r="P805" s="103"/>
    </row>
    <row r="806">
      <c r="A806" s="8"/>
      <c r="B806" s="128"/>
      <c r="C806" s="128"/>
      <c r="D806" s="128"/>
      <c r="E806" s="128"/>
      <c r="F806" s="128"/>
      <c r="G806" s="128"/>
      <c r="I806" s="103"/>
      <c r="J806" s="103"/>
      <c r="K806" s="103"/>
      <c r="L806" s="103"/>
      <c r="M806" s="103"/>
      <c r="N806" s="103"/>
      <c r="O806" s="103"/>
      <c r="P806" s="103"/>
    </row>
    <row r="807">
      <c r="A807" s="8"/>
      <c r="B807" s="128"/>
      <c r="C807" s="128"/>
      <c r="D807" s="128"/>
      <c r="E807" s="128"/>
      <c r="F807" s="128"/>
      <c r="G807" s="128"/>
      <c r="I807" s="103"/>
      <c r="J807" s="103"/>
      <c r="K807" s="103"/>
      <c r="L807" s="103"/>
      <c r="M807" s="103"/>
      <c r="N807" s="103"/>
      <c r="O807" s="103"/>
      <c r="P807" s="103"/>
    </row>
    <row r="808">
      <c r="A808" s="8"/>
      <c r="B808" s="128"/>
      <c r="C808" s="128"/>
      <c r="D808" s="128"/>
      <c r="E808" s="128"/>
      <c r="F808" s="128"/>
      <c r="G808" s="128"/>
      <c r="I808" s="103"/>
      <c r="J808" s="103"/>
      <c r="K808" s="103"/>
      <c r="L808" s="103"/>
      <c r="M808" s="103"/>
      <c r="N808" s="103"/>
      <c r="O808" s="103"/>
      <c r="P808" s="103"/>
    </row>
    <row r="809">
      <c r="A809" s="8"/>
      <c r="B809" s="128"/>
      <c r="C809" s="128"/>
      <c r="D809" s="128"/>
      <c r="E809" s="128"/>
      <c r="F809" s="128"/>
      <c r="G809" s="128"/>
      <c r="I809" s="103"/>
      <c r="J809" s="103"/>
      <c r="K809" s="103"/>
      <c r="L809" s="103"/>
      <c r="M809" s="103"/>
      <c r="N809" s="103"/>
      <c r="O809" s="103"/>
      <c r="P809" s="103"/>
    </row>
    <row r="810">
      <c r="A810" s="8"/>
      <c r="B810" s="128"/>
      <c r="C810" s="128"/>
      <c r="D810" s="128"/>
      <c r="E810" s="128"/>
      <c r="F810" s="128"/>
      <c r="G810" s="128"/>
      <c r="I810" s="103"/>
      <c r="J810" s="103"/>
      <c r="K810" s="103"/>
      <c r="L810" s="103"/>
      <c r="M810" s="103"/>
      <c r="N810" s="103"/>
      <c r="O810" s="103"/>
      <c r="P810" s="103"/>
    </row>
    <row r="811">
      <c r="A811" s="8"/>
      <c r="B811" s="128"/>
      <c r="C811" s="128"/>
      <c r="D811" s="128"/>
      <c r="E811" s="128"/>
      <c r="F811" s="128"/>
      <c r="G811" s="128"/>
      <c r="I811" s="103"/>
      <c r="J811" s="103"/>
      <c r="K811" s="103"/>
      <c r="L811" s="103"/>
      <c r="M811" s="103"/>
      <c r="N811" s="103"/>
      <c r="O811" s="103"/>
      <c r="P811" s="103"/>
    </row>
    <row r="812">
      <c r="A812" s="8"/>
      <c r="B812" s="128"/>
      <c r="C812" s="128"/>
      <c r="D812" s="128"/>
      <c r="E812" s="128"/>
      <c r="F812" s="128"/>
      <c r="G812" s="128"/>
      <c r="I812" s="103"/>
      <c r="J812" s="103"/>
      <c r="K812" s="103"/>
      <c r="L812" s="103"/>
      <c r="M812" s="103"/>
      <c r="N812" s="103"/>
      <c r="O812" s="103"/>
      <c r="P812" s="103"/>
    </row>
    <row r="813">
      <c r="A813" s="8"/>
      <c r="B813" s="128"/>
      <c r="C813" s="128"/>
      <c r="D813" s="128"/>
      <c r="E813" s="128"/>
      <c r="F813" s="128"/>
      <c r="G813" s="128"/>
      <c r="I813" s="103"/>
      <c r="J813" s="103"/>
      <c r="K813" s="103"/>
      <c r="L813" s="103"/>
      <c r="M813" s="103"/>
      <c r="N813" s="103"/>
      <c r="O813" s="103"/>
      <c r="P813" s="103"/>
    </row>
    <row r="814">
      <c r="A814" s="8"/>
      <c r="B814" s="128"/>
      <c r="C814" s="128"/>
      <c r="D814" s="128"/>
      <c r="E814" s="128"/>
      <c r="F814" s="128"/>
      <c r="G814" s="128"/>
      <c r="I814" s="103"/>
      <c r="J814" s="103"/>
      <c r="K814" s="103"/>
      <c r="L814" s="103"/>
      <c r="M814" s="103"/>
      <c r="N814" s="103"/>
      <c r="O814" s="103"/>
      <c r="P814" s="103"/>
    </row>
    <row r="815">
      <c r="A815" s="8"/>
      <c r="B815" s="128"/>
      <c r="C815" s="128"/>
      <c r="D815" s="128"/>
      <c r="E815" s="128"/>
      <c r="F815" s="128"/>
      <c r="G815" s="128"/>
      <c r="I815" s="103"/>
      <c r="J815" s="103"/>
      <c r="K815" s="103"/>
      <c r="L815" s="103"/>
      <c r="M815" s="103"/>
      <c r="N815" s="103"/>
      <c r="O815" s="103"/>
      <c r="P815" s="103"/>
    </row>
    <row r="816">
      <c r="A816" s="8"/>
      <c r="B816" s="128"/>
      <c r="C816" s="128"/>
      <c r="D816" s="128"/>
      <c r="E816" s="128"/>
      <c r="F816" s="128"/>
      <c r="G816" s="128"/>
      <c r="I816" s="103"/>
      <c r="J816" s="103"/>
      <c r="K816" s="103"/>
      <c r="L816" s="103"/>
      <c r="M816" s="103"/>
      <c r="N816" s="103"/>
      <c r="O816" s="103"/>
      <c r="P816" s="103"/>
    </row>
    <row r="817">
      <c r="A817" s="8"/>
      <c r="B817" s="128"/>
      <c r="C817" s="128"/>
      <c r="D817" s="128"/>
      <c r="E817" s="128"/>
      <c r="F817" s="128"/>
      <c r="G817" s="128"/>
      <c r="I817" s="103"/>
      <c r="J817" s="103"/>
      <c r="K817" s="103"/>
      <c r="L817" s="103"/>
      <c r="M817" s="103"/>
      <c r="N817" s="103"/>
      <c r="O817" s="103"/>
      <c r="P817" s="103"/>
    </row>
    <row r="818">
      <c r="A818" s="8"/>
      <c r="B818" s="128"/>
      <c r="C818" s="128"/>
      <c r="D818" s="128"/>
      <c r="E818" s="128"/>
      <c r="F818" s="128"/>
      <c r="G818" s="128"/>
      <c r="I818" s="103"/>
      <c r="J818" s="103"/>
      <c r="K818" s="103"/>
      <c r="L818" s="103"/>
      <c r="M818" s="103"/>
      <c r="N818" s="103"/>
      <c r="O818" s="103"/>
      <c r="P818" s="103"/>
    </row>
    <row r="819">
      <c r="A819" s="8"/>
      <c r="B819" s="128"/>
      <c r="C819" s="128"/>
      <c r="D819" s="128"/>
      <c r="E819" s="128"/>
      <c r="F819" s="128"/>
      <c r="G819" s="128"/>
      <c r="I819" s="103"/>
      <c r="J819" s="103"/>
      <c r="K819" s="103"/>
      <c r="L819" s="103"/>
      <c r="M819" s="103"/>
      <c r="N819" s="103"/>
      <c r="O819" s="103"/>
      <c r="P819" s="103"/>
    </row>
    <row r="820">
      <c r="A820" s="8"/>
      <c r="B820" s="128"/>
      <c r="C820" s="128"/>
      <c r="D820" s="128"/>
      <c r="E820" s="128"/>
      <c r="F820" s="128"/>
      <c r="G820" s="128"/>
      <c r="I820" s="103"/>
      <c r="J820" s="103"/>
      <c r="K820" s="103"/>
      <c r="L820" s="103"/>
      <c r="M820" s="103"/>
      <c r="N820" s="103"/>
      <c r="O820" s="103"/>
      <c r="P820" s="103"/>
    </row>
    <row r="821">
      <c r="A821" s="8"/>
      <c r="B821" s="128"/>
      <c r="C821" s="128"/>
      <c r="D821" s="128"/>
      <c r="E821" s="128"/>
      <c r="F821" s="128"/>
      <c r="G821" s="128"/>
      <c r="I821" s="103"/>
      <c r="J821" s="103"/>
      <c r="K821" s="103"/>
      <c r="L821" s="103"/>
      <c r="M821" s="103"/>
      <c r="N821" s="103"/>
      <c r="O821" s="103"/>
      <c r="P821" s="103"/>
    </row>
    <row r="822">
      <c r="A822" s="8"/>
      <c r="B822" s="128"/>
      <c r="C822" s="128"/>
      <c r="D822" s="128"/>
      <c r="E822" s="128"/>
      <c r="F822" s="128"/>
      <c r="G822" s="128"/>
      <c r="I822" s="103"/>
      <c r="J822" s="103"/>
      <c r="K822" s="103"/>
      <c r="L822" s="103"/>
      <c r="M822" s="103"/>
      <c r="N822" s="103"/>
      <c r="O822" s="103"/>
      <c r="P822" s="103"/>
    </row>
    <row r="823">
      <c r="A823" s="8"/>
      <c r="B823" s="128"/>
      <c r="C823" s="128"/>
      <c r="D823" s="128"/>
      <c r="E823" s="128"/>
      <c r="F823" s="128"/>
      <c r="G823" s="128"/>
      <c r="I823" s="103"/>
      <c r="J823" s="103"/>
      <c r="K823" s="103"/>
      <c r="L823" s="103"/>
      <c r="M823" s="103"/>
      <c r="N823" s="103"/>
      <c r="O823" s="103"/>
      <c r="P823" s="103"/>
    </row>
    <row r="824">
      <c r="A824" s="8"/>
      <c r="B824" s="128"/>
      <c r="C824" s="128"/>
      <c r="D824" s="128"/>
      <c r="E824" s="128"/>
      <c r="F824" s="128"/>
      <c r="G824" s="128"/>
      <c r="I824" s="103"/>
      <c r="J824" s="103"/>
      <c r="K824" s="103"/>
      <c r="L824" s="103"/>
      <c r="M824" s="103"/>
      <c r="N824" s="103"/>
      <c r="O824" s="103"/>
      <c r="P824" s="103"/>
    </row>
    <row r="825">
      <c r="A825" s="8"/>
      <c r="B825" s="128"/>
      <c r="C825" s="128"/>
      <c r="D825" s="128"/>
      <c r="E825" s="128"/>
      <c r="F825" s="128"/>
      <c r="G825" s="128"/>
      <c r="I825" s="103"/>
      <c r="J825" s="103"/>
      <c r="K825" s="103"/>
      <c r="L825" s="103"/>
      <c r="M825" s="103"/>
      <c r="N825" s="103"/>
      <c r="O825" s="103"/>
      <c r="P825" s="103"/>
    </row>
    <row r="826">
      <c r="A826" s="8"/>
      <c r="B826" s="128"/>
      <c r="C826" s="128"/>
      <c r="D826" s="128"/>
      <c r="E826" s="128"/>
      <c r="F826" s="128"/>
      <c r="G826" s="128"/>
      <c r="I826" s="103"/>
      <c r="J826" s="103"/>
      <c r="K826" s="103"/>
      <c r="L826" s="103"/>
      <c r="M826" s="103"/>
      <c r="N826" s="103"/>
      <c r="O826" s="103"/>
      <c r="P826" s="103"/>
    </row>
    <row r="827">
      <c r="A827" s="8"/>
      <c r="B827" s="128"/>
      <c r="C827" s="128"/>
      <c r="D827" s="128"/>
      <c r="E827" s="128"/>
      <c r="F827" s="128"/>
      <c r="G827" s="128"/>
      <c r="I827" s="103"/>
      <c r="J827" s="103"/>
      <c r="K827" s="103"/>
      <c r="L827" s="103"/>
      <c r="M827" s="103"/>
      <c r="N827" s="103"/>
      <c r="O827" s="103"/>
      <c r="P827" s="103"/>
    </row>
    <row r="828">
      <c r="A828" s="8"/>
      <c r="B828" s="128"/>
      <c r="C828" s="128"/>
      <c r="D828" s="128"/>
      <c r="E828" s="128"/>
      <c r="F828" s="128"/>
      <c r="G828" s="128"/>
      <c r="I828" s="103"/>
      <c r="J828" s="103"/>
      <c r="K828" s="103"/>
      <c r="L828" s="103"/>
      <c r="M828" s="103"/>
      <c r="N828" s="103"/>
      <c r="O828" s="103"/>
      <c r="P828" s="103"/>
    </row>
    <row r="829">
      <c r="A829" s="8"/>
      <c r="B829" s="128"/>
      <c r="C829" s="128"/>
      <c r="D829" s="128"/>
      <c r="E829" s="128"/>
      <c r="F829" s="128"/>
      <c r="G829" s="128"/>
      <c r="I829" s="103"/>
      <c r="J829" s="103"/>
      <c r="K829" s="103"/>
      <c r="L829" s="103"/>
      <c r="M829" s="103"/>
      <c r="N829" s="103"/>
      <c r="O829" s="103"/>
      <c r="P829" s="103"/>
    </row>
    <row r="830">
      <c r="A830" s="8"/>
      <c r="B830" s="128"/>
      <c r="C830" s="128"/>
      <c r="D830" s="128"/>
      <c r="E830" s="128"/>
      <c r="F830" s="128"/>
      <c r="G830" s="128"/>
      <c r="I830" s="103"/>
      <c r="J830" s="103"/>
      <c r="K830" s="103"/>
      <c r="L830" s="103"/>
      <c r="M830" s="103"/>
      <c r="N830" s="103"/>
      <c r="O830" s="103"/>
      <c r="P830" s="103"/>
    </row>
    <row r="831">
      <c r="A831" s="8"/>
      <c r="B831" s="128"/>
      <c r="C831" s="128"/>
      <c r="D831" s="128"/>
      <c r="E831" s="128"/>
      <c r="F831" s="128"/>
      <c r="G831" s="128"/>
      <c r="I831" s="103"/>
      <c r="J831" s="103"/>
      <c r="K831" s="103"/>
      <c r="L831" s="103"/>
      <c r="M831" s="103"/>
      <c r="N831" s="103"/>
      <c r="O831" s="103"/>
      <c r="P831" s="103"/>
    </row>
    <row r="832">
      <c r="A832" s="8"/>
      <c r="B832" s="128"/>
      <c r="C832" s="128"/>
      <c r="D832" s="128"/>
      <c r="E832" s="128"/>
      <c r="F832" s="128"/>
      <c r="G832" s="128"/>
      <c r="I832" s="103"/>
      <c r="J832" s="103"/>
      <c r="K832" s="103"/>
      <c r="L832" s="103"/>
      <c r="M832" s="103"/>
      <c r="N832" s="103"/>
      <c r="O832" s="103"/>
      <c r="P832" s="103"/>
    </row>
    <row r="833">
      <c r="A833" s="8"/>
      <c r="B833" s="128"/>
      <c r="C833" s="128"/>
      <c r="D833" s="128"/>
      <c r="E833" s="128"/>
      <c r="F833" s="128"/>
      <c r="G833" s="128"/>
      <c r="I833" s="103"/>
      <c r="J833" s="103"/>
      <c r="K833" s="103"/>
      <c r="L833" s="103"/>
      <c r="M833" s="103"/>
      <c r="N833" s="103"/>
      <c r="O833" s="103"/>
      <c r="P833" s="103"/>
    </row>
    <row r="834">
      <c r="A834" s="8"/>
      <c r="B834" s="128"/>
      <c r="C834" s="128"/>
      <c r="D834" s="128"/>
      <c r="E834" s="128"/>
      <c r="F834" s="128"/>
      <c r="G834" s="128"/>
      <c r="I834" s="103"/>
      <c r="J834" s="103"/>
      <c r="K834" s="103"/>
      <c r="L834" s="103"/>
      <c r="M834" s="103"/>
      <c r="N834" s="103"/>
      <c r="O834" s="103"/>
      <c r="P834" s="103"/>
    </row>
    <row r="835">
      <c r="A835" s="8"/>
      <c r="B835" s="128"/>
      <c r="C835" s="128"/>
      <c r="D835" s="128"/>
      <c r="E835" s="128"/>
      <c r="F835" s="128"/>
      <c r="G835" s="128"/>
      <c r="I835" s="103"/>
      <c r="J835" s="103"/>
      <c r="K835" s="103"/>
      <c r="L835" s="103"/>
      <c r="M835" s="103"/>
      <c r="N835" s="103"/>
      <c r="O835" s="103"/>
      <c r="P835" s="103"/>
    </row>
    <row r="836">
      <c r="A836" s="8"/>
      <c r="B836" s="128"/>
      <c r="C836" s="128"/>
      <c r="D836" s="128"/>
      <c r="E836" s="128"/>
      <c r="F836" s="128"/>
      <c r="G836" s="128"/>
      <c r="I836" s="103"/>
      <c r="J836" s="103"/>
      <c r="K836" s="103"/>
      <c r="L836" s="103"/>
      <c r="M836" s="103"/>
      <c r="N836" s="103"/>
      <c r="O836" s="103"/>
      <c r="P836" s="103"/>
    </row>
    <row r="837">
      <c r="A837" s="8"/>
      <c r="B837" s="128"/>
      <c r="C837" s="128"/>
      <c r="D837" s="128"/>
      <c r="E837" s="128"/>
      <c r="F837" s="128"/>
      <c r="G837" s="128"/>
      <c r="I837" s="103"/>
      <c r="J837" s="103"/>
      <c r="K837" s="103"/>
      <c r="L837" s="103"/>
      <c r="M837" s="103"/>
      <c r="N837" s="103"/>
      <c r="O837" s="103"/>
      <c r="P837" s="103"/>
    </row>
    <row r="838">
      <c r="A838" s="8"/>
      <c r="B838" s="128"/>
      <c r="C838" s="128"/>
      <c r="D838" s="128"/>
      <c r="E838" s="128"/>
      <c r="F838" s="128"/>
      <c r="G838" s="128"/>
      <c r="I838" s="103"/>
      <c r="J838" s="103"/>
      <c r="K838" s="103"/>
      <c r="L838" s="103"/>
      <c r="M838" s="103"/>
      <c r="N838" s="103"/>
      <c r="O838" s="103"/>
      <c r="P838" s="103"/>
    </row>
    <row r="839">
      <c r="A839" s="8"/>
      <c r="B839" s="128"/>
      <c r="C839" s="128"/>
      <c r="D839" s="128"/>
      <c r="E839" s="128"/>
      <c r="F839" s="128"/>
      <c r="G839" s="128"/>
      <c r="I839" s="103"/>
      <c r="J839" s="103"/>
      <c r="K839" s="103"/>
      <c r="L839" s="103"/>
      <c r="M839" s="103"/>
      <c r="N839" s="103"/>
      <c r="O839" s="103"/>
      <c r="P839" s="103"/>
    </row>
    <row r="840">
      <c r="A840" s="8"/>
      <c r="B840" s="128"/>
      <c r="C840" s="128"/>
      <c r="D840" s="128"/>
      <c r="E840" s="128"/>
      <c r="F840" s="128"/>
      <c r="G840" s="128"/>
      <c r="I840" s="103"/>
      <c r="J840" s="103"/>
      <c r="K840" s="103"/>
      <c r="L840" s="103"/>
      <c r="M840" s="103"/>
      <c r="N840" s="103"/>
      <c r="O840" s="103"/>
      <c r="P840" s="103"/>
    </row>
    <row r="841">
      <c r="A841" s="8"/>
      <c r="B841" s="128"/>
      <c r="C841" s="128"/>
      <c r="D841" s="128"/>
      <c r="E841" s="128"/>
      <c r="F841" s="128"/>
      <c r="G841" s="128"/>
      <c r="I841" s="103"/>
      <c r="J841" s="103"/>
      <c r="K841" s="103"/>
      <c r="L841" s="103"/>
      <c r="M841" s="103"/>
      <c r="N841" s="103"/>
      <c r="O841" s="103"/>
      <c r="P841" s="103"/>
    </row>
    <row r="842">
      <c r="A842" s="8"/>
      <c r="B842" s="128"/>
      <c r="C842" s="128"/>
      <c r="D842" s="128"/>
      <c r="E842" s="128"/>
      <c r="F842" s="128"/>
      <c r="G842" s="128"/>
      <c r="I842" s="103"/>
      <c r="J842" s="103"/>
      <c r="K842" s="103"/>
      <c r="L842" s="103"/>
      <c r="M842" s="103"/>
      <c r="N842" s="103"/>
      <c r="O842" s="103"/>
      <c r="P842" s="103"/>
    </row>
    <row r="843">
      <c r="A843" s="8"/>
      <c r="B843" s="128"/>
      <c r="C843" s="128"/>
      <c r="D843" s="128"/>
      <c r="E843" s="128"/>
      <c r="F843" s="128"/>
      <c r="G843" s="128"/>
      <c r="I843" s="103"/>
      <c r="J843" s="103"/>
      <c r="K843" s="103"/>
      <c r="L843" s="103"/>
      <c r="M843" s="103"/>
      <c r="N843" s="103"/>
      <c r="O843" s="103"/>
      <c r="P843" s="103"/>
    </row>
    <row r="844">
      <c r="A844" s="8"/>
      <c r="B844" s="128"/>
      <c r="C844" s="128"/>
      <c r="D844" s="128"/>
      <c r="E844" s="128"/>
      <c r="F844" s="128"/>
      <c r="G844" s="128"/>
      <c r="I844" s="103"/>
      <c r="J844" s="103"/>
      <c r="K844" s="103"/>
      <c r="L844" s="103"/>
      <c r="M844" s="103"/>
      <c r="N844" s="103"/>
      <c r="O844" s="103"/>
      <c r="P844" s="103"/>
    </row>
    <row r="845">
      <c r="A845" s="8"/>
      <c r="B845" s="128"/>
      <c r="C845" s="128"/>
      <c r="D845" s="128"/>
      <c r="E845" s="128"/>
      <c r="F845" s="128"/>
      <c r="G845" s="128"/>
      <c r="I845" s="103"/>
      <c r="J845" s="103"/>
      <c r="K845" s="103"/>
      <c r="L845" s="103"/>
      <c r="M845" s="103"/>
      <c r="N845" s="103"/>
      <c r="O845" s="103"/>
      <c r="P845" s="103"/>
    </row>
    <row r="846">
      <c r="A846" s="8"/>
      <c r="B846" s="128"/>
      <c r="C846" s="128"/>
      <c r="D846" s="128"/>
      <c r="E846" s="128"/>
      <c r="F846" s="128"/>
      <c r="G846" s="128"/>
      <c r="I846" s="103"/>
      <c r="J846" s="103"/>
      <c r="K846" s="103"/>
      <c r="L846" s="103"/>
      <c r="M846" s="103"/>
      <c r="N846" s="103"/>
      <c r="O846" s="103"/>
      <c r="P846" s="103"/>
    </row>
    <row r="847">
      <c r="A847" s="8"/>
      <c r="B847" s="128"/>
      <c r="C847" s="128"/>
      <c r="D847" s="128"/>
      <c r="E847" s="128"/>
      <c r="F847" s="128"/>
      <c r="G847" s="128"/>
      <c r="I847" s="103"/>
      <c r="J847" s="103"/>
      <c r="K847" s="103"/>
      <c r="L847" s="103"/>
      <c r="M847" s="103"/>
      <c r="N847" s="103"/>
      <c r="O847" s="103"/>
      <c r="P847" s="103"/>
    </row>
    <row r="848">
      <c r="A848" s="8"/>
      <c r="B848" s="128"/>
      <c r="C848" s="128"/>
      <c r="D848" s="128"/>
      <c r="E848" s="128"/>
      <c r="F848" s="128"/>
      <c r="G848" s="128"/>
      <c r="I848" s="103"/>
      <c r="J848" s="103"/>
      <c r="K848" s="103"/>
      <c r="L848" s="103"/>
      <c r="M848" s="103"/>
      <c r="N848" s="103"/>
      <c r="O848" s="103"/>
      <c r="P848" s="103"/>
    </row>
    <row r="849">
      <c r="A849" s="8"/>
      <c r="B849" s="128"/>
      <c r="C849" s="128"/>
      <c r="D849" s="128"/>
      <c r="E849" s="128"/>
      <c r="F849" s="128"/>
      <c r="G849" s="128"/>
      <c r="I849" s="103"/>
      <c r="J849" s="103"/>
      <c r="K849" s="103"/>
      <c r="L849" s="103"/>
      <c r="M849" s="103"/>
      <c r="N849" s="103"/>
      <c r="O849" s="103"/>
      <c r="P849" s="103"/>
    </row>
    <row r="850">
      <c r="A850" s="8"/>
      <c r="B850" s="128"/>
      <c r="C850" s="128"/>
      <c r="D850" s="128"/>
      <c r="E850" s="128"/>
      <c r="F850" s="128"/>
      <c r="G850" s="128"/>
      <c r="I850" s="103"/>
      <c r="J850" s="103"/>
      <c r="K850" s="103"/>
      <c r="L850" s="103"/>
      <c r="M850" s="103"/>
      <c r="N850" s="103"/>
      <c r="O850" s="103"/>
      <c r="P850" s="103"/>
    </row>
    <row r="851">
      <c r="A851" s="8"/>
      <c r="B851" s="128"/>
      <c r="C851" s="128"/>
      <c r="D851" s="128"/>
      <c r="E851" s="128"/>
      <c r="F851" s="128"/>
      <c r="G851" s="128"/>
      <c r="I851" s="103"/>
      <c r="J851" s="103"/>
      <c r="K851" s="103"/>
      <c r="L851" s="103"/>
      <c r="M851" s="103"/>
      <c r="N851" s="103"/>
      <c r="O851" s="103"/>
      <c r="P851" s="103"/>
    </row>
    <row r="852">
      <c r="A852" s="8"/>
      <c r="B852" s="128"/>
      <c r="C852" s="128"/>
      <c r="D852" s="128"/>
      <c r="E852" s="128"/>
      <c r="F852" s="128"/>
      <c r="G852" s="128"/>
      <c r="I852" s="103"/>
      <c r="J852" s="103"/>
      <c r="K852" s="103"/>
      <c r="L852" s="103"/>
      <c r="M852" s="103"/>
      <c r="N852" s="103"/>
      <c r="O852" s="103"/>
      <c r="P852" s="103"/>
    </row>
    <row r="853">
      <c r="A853" s="8"/>
      <c r="B853" s="128"/>
      <c r="C853" s="128"/>
      <c r="D853" s="128"/>
      <c r="E853" s="128"/>
      <c r="F853" s="128"/>
      <c r="G853" s="128"/>
      <c r="I853" s="103"/>
      <c r="J853" s="103"/>
      <c r="K853" s="103"/>
      <c r="L853" s="103"/>
      <c r="M853" s="103"/>
      <c r="N853" s="103"/>
      <c r="O853" s="103"/>
      <c r="P853" s="103"/>
    </row>
    <row r="854">
      <c r="A854" s="8"/>
      <c r="B854" s="128"/>
      <c r="C854" s="128"/>
      <c r="D854" s="128"/>
      <c r="E854" s="128"/>
      <c r="F854" s="128"/>
      <c r="G854" s="128"/>
      <c r="I854" s="103"/>
      <c r="J854" s="103"/>
      <c r="K854" s="103"/>
      <c r="L854" s="103"/>
      <c r="M854" s="103"/>
      <c r="N854" s="103"/>
      <c r="O854" s="103"/>
      <c r="P854" s="103"/>
    </row>
    <row r="855">
      <c r="A855" s="8"/>
      <c r="B855" s="128"/>
      <c r="C855" s="128"/>
      <c r="D855" s="128"/>
      <c r="E855" s="128"/>
      <c r="F855" s="128"/>
      <c r="G855" s="128"/>
      <c r="I855" s="103"/>
      <c r="J855" s="103"/>
      <c r="K855" s="103"/>
      <c r="L855" s="103"/>
      <c r="M855" s="103"/>
      <c r="N855" s="103"/>
      <c r="O855" s="103"/>
      <c r="P855" s="103"/>
    </row>
    <row r="856">
      <c r="A856" s="8"/>
      <c r="B856" s="128"/>
      <c r="C856" s="128"/>
      <c r="D856" s="128"/>
      <c r="E856" s="128"/>
      <c r="F856" s="128"/>
      <c r="G856" s="128"/>
      <c r="I856" s="103"/>
      <c r="J856" s="103"/>
      <c r="K856" s="103"/>
      <c r="L856" s="103"/>
      <c r="M856" s="103"/>
      <c r="N856" s="103"/>
      <c r="O856" s="103"/>
      <c r="P856" s="103"/>
    </row>
    <row r="857">
      <c r="A857" s="8"/>
      <c r="B857" s="128"/>
      <c r="C857" s="128"/>
      <c r="D857" s="128"/>
      <c r="E857" s="128"/>
      <c r="F857" s="128"/>
      <c r="G857" s="128"/>
      <c r="I857" s="103"/>
      <c r="J857" s="103"/>
      <c r="K857" s="103"/>
      <c r="L857" s="103"/>
      <c r="M857" s="103"/>
      <c r="N857" s="103"/>
      <c r="O857" s="103"/>
      <c r="P857" s="103"/>
    </row>
    <row r="858">
      <c r="A858" s="8"/>
      <c r="B858" s="128"/>
      <c r="C858" s="128"/>
      <c r="D858" s="128"/>
      <c r="E858" s="128"/>
      <c r="F858" s="128"/>
      <c r="G858" s="128"/>
      <c r="I858" s="103"/>
      <c r="J858" s="103"/>
      <c r="K858" s="103"/>
      <c r="L858" s="103"/>
      <c r="M858" s="103"/>
      <c r="N858" s="103"/>
      <c r="O858" s="103"/>
      <c r="P858" s="103"/>
    </row>
    <row r="859">
      <c r="A859" s="8"/>
      <c r="B859" s="128"/>
      <c r="C859" s="128"/>
      <c r="D859" s="128"/>
      <c r="E859" s="128"/>
      <c r="F859" s="128"/>
      <c r="G859" s="128"/>
      <c r="I859" s="103"/>
      <c r="J859" s="103"/>
      <c r="K859" s="103"/>
      <c r="L859" s="103"/>
      <c r="M859" s="103"/>
      <c r="N859" s="103"/>
      <c r="O859" s="103"/>
      <c r="P859" s="103"/>
    </row>
    <row r="860">
      <c r="A860" s="8"/>
      <c r="B860" s="128"/>
      <c r="C860" s="128"/>
      <c r="D860" s="128"/>
      <c r="E860" s="128"/>
      <c r="F860" s="128"/>
      <c r="G860" s="128"/>
      <c r="I860" s="103"/>
      <c r="J860" s="103"/>
      <c r="K860" s="103"/>
      <c r="L860" s="103"/>
      <c r="M860" s="103"/>
      <c r="N860" s="103"/>
      <c r="O860" s="103"/>
      <c r="P860" s="103"/>
    </row>
    <row r="861">
      <c r="A861" s="8"/>
      <c r="B861" s="128"/>
      <c r="C861" s="128"/>
      <c r="D861" s="128"/>
      <c r="E861" s="128"/>
      <c r="F861" s="128"/>
      <c r="G861" s="128"/>
      <c r="I861" s="103"/>
      <c r="J861" s="103"/>
      <c r="K861" s="103"/>
      <c r="L861" s="103"/>
      <c r="M861" s="103"/>
      <c r="N861" s="103"/>
      <c r="O861" s="103"/>
      <c r="P861" s="103"/>
    </row>
    <row r="862">
      <c r="A862" s="8"/>
      <c r="B862" s="128"/>
      <c r="C862" s="128"/>
      <c r="D862" s="128"/>
      <c r="E862" s="128"/>
      <c r="F862" s="128"/>
      <c r="G862" s="128"/>
      <c r="I862" s="103"/>
      <c r="J862" s="103"/>
      <c r="K862" s="103"/>
      <c r="L862" s="103"/>
      <c r="M862" s="103"/>
      <c r="N862" s="103"/>
      <c r="O862" s="103"/>
      <c r="P862" s="103"/>
    </row>
    <row r="863">
      <c r="A863" s="8"/>
      <c r="B863" s="128"/>
      <c r="C863" s="128"/>
      <c r="D863" s="128"/>
      <c r="E863" s="128"/>
      <c r="F863" s="128"/>
      <c r="G863" s="128"/>
      <c r="I863" s="103"/>
      <c r="J863" s="103"/>
      <c r="K863" s="103"/>
      <c r="L863" s="103"/>
      <c r="M863" s="103"/>
      <c r="N863" s="103"/>
      <c r="O863" s="103"/>
      <c r="P863" s="103"/>
    </row>
    <row r="864">
      <c r="A864" s="8"/>
      <c r="B864" s="128"/>
      <c r="C864" s="128"/>
      <c r="D864" s="128"/>
      <c r="E864" s="128"/>
      <c r="F864" s="128"/>
      <c r="G864" s="128"/>
      <c r="I864" s="103"/>
      <c r="J864" s="103"/>
      <c r="K864" s="103"/>
      <c r="L864" s="103"/>
      <c r="M864" s="103"/>
      <c r="N864" s="103"/>
      <c r="O864" s="103"/>
      <c r="P864" s="103"/>
    </row>
    <row r="865">
      <c r="A865" s="8"/>
      <c r="B865" s="128"/>
      <c r="C865" s="128"/>
      <c r="D865" s="128"/>
      <c r="E865" s="128"/>
      <c r="F865" s="128"/>
      <c r="G865" s="128"/>
      <c r="I865" s="103"/>
      <c r="J865" s="103"/>
      <c r="K865" s="103"/>
      <c r="L865" s="103"/>
      <c r="M865" s="103"/>
      <c r="N865" s="103"/>
      <c r="O865" s="103"/>
      <c r="P865" s="103"/>
    </row>
    <row r="866">
      <c r="A866" s="8"/>
      <c r="B866" s="128"/>
      <c r="C866" s="128"/>
      <c r="D866" s="128"/>
      <c r="E866" s="128"/>
      <c r="F866" s="128"/>
      <c r="G866" s="128"/>
      <c r="I866" s="103"/>
      <c r="J866" s="103"/>
      <c r="K866" s="103"/>
      <c r="L866" s="103"/>
      <c r="M866" s="103"/>
      <c r="N866" s="103"/>
      <c r="O866" s="103"/>
      <c r="P866" s="103"/>
    </row>
    <row r="867">
      <c r="A867" s="8"/>
      <c r="B867" s="128"/>
      <c r="C867" s="128"/>
      <c r="D867" s="128"/>
      <c r="E867" s="128"/>
      <c r="F867" s="128"/>
      <c r="G867" s="128"/>
      <c r="I867" s="103"/>
      <c r="J867" s="103"/>
      <c r="K867" s="103"/>
      <c r="L867" s="103"/>
      <c r="M867" s="103"/>
      <c r="N867" s="103"/>
      <c r="O867" s="103"/>
      <c r="P867" s="103"/>
    </row>
    <row r="868">
      <c r="A868" s="8"/>
      <c r="B868" s="128"/>
      <c r="C868" s="128"/>
      <c r="D868" s="128"/>
      <c r="E868" s="128"/>
      <c r="F868" s="128"/>
      <c r="G868" s="128"/>
      <c r="I868" s="103"/>
      <c r="J868" s="103"/>
      <c r="K868" s="103"/>
      <c r="L868" s="103"/>
      <c r="M868" s="103"/>
      <c r="N868" s="103"/>
      <c r="O868" s="103"/>
      <c r="P868" s="103"/>
    </row>
    <row r="869">
      <c r="A869" s="8"/>
      <c r="B869" s="128"/>
      <c r="C869" s="128"/>
      <c r="D869" s="128"/>
      <c r="E869" s="128"/>
      <c r="F869" s="128"/>
      <c r="G869" s="128"/>
      <c r="I869" s="103"/>
      <c r="J869" s="103"/>
      <c r="K869" s="103"/>
      <c r="L869" s="103"/>
      <c r="M869" s="103"/>
      <c r="N869" s="103"/>
      <c r="O869" s="103"/>
      <c r="P869" s="103"/>
    </row>
    <row r="870">
      <c r="A870" s="8"/>
      <c r="B870" s="128"/>
      <c r="C870" s="128"/>
      <c r="D870" s="128"/>
      <c r="E870" s="128"/>
      <c r="F870" s="128"/>
      <c r="G870" s="128"/>
      <c r="I870" s="103"/>
      <c r="J870" s="103"/>
      <c r="K870" s="103"/>
      <c r="L870" s="103"/>
      <c r="M870" s="103"/>
      <c r="N870" s="103"/>
      <c r="O870" s="103"/>
      <c r="P870" s="103"/>
    </row>
    <row r="871">
      <c r="A871" s="8"/>
      <c r="B871" s="128"/>
      <c r="C871" s="128"/>
      <c r="D871" s="128"/>
      <c r="E871" s="128"/>
      <c r="F871" s="128"/>
      <c r="G871" s="128"/>
      <c r="I871" s="103"/>
      <c r="J871" s="103"/>
      <c r="K871" s="103"/>
      <c r="L871" s="103"/>
      <c r="M871" s="103"/>
      <c r="N871" s="103"/>
      <c r="O871" s="103"/>
      <c r="P871" s="103"/>
    </row>
    <row r="872">
      <c r="A872" s="8"/>
      <c r="B872" s="128"/>
      <c r="C872" s="128"/>
      <c r="D872" s="128"/>
      <c r="E872" s="128"/>
      <c r="F872" s="128"/>
      <c r="G872" s="128"/>
      <c r="I872" s="103"/>
      <c r="J872" s="103"/>
      <c r="K872" s="103"/>
      <c r="L872" s="103"/>
      <c r="M872" s="103"/>
      <c r="N872" s="103"/>
      <c r="O872" s="103"/>
      <c r="P872" s="103"/>
    </row>
    <row r="873">
      <c r="A873" s="8"/>
      <c r="B873" s="128"/>
      <c r="C873" s="128"/>
      <c r="D873" s="128"/>
      <c r="E873" s="128"/>
      <c r="F873" s="128"/>
      <c r="G873" s="128"/>
      <c r="I873" s="103"/>
      <c r="J873" s="103"/>
      <c r="K873" s="103"/>
      <c r="L873" s="103"/>
      <c r="M873" s="103"/>
      <c r="N873" s="103"/>
      <c r="O873" s="103"/>
      <c r="P873" s="103"/>
    </row>
    <row r="874">
      <c r="A874" s="8"/>
      <c r="B874" s="128"/>
      <c r="C874" s="128"/>
      <c r="D874" s="128"/>
      <c r="E874" s="128"/>
      <c r="F874" s="128"/>
      <c r="G874" s="128"/>
      <c r="I874" s="103"/>
      <c r="J874" s="103"/>
      <c r="K874" s="103"/>
      <c r="L874" s="103"/>
      <c r="M874" s="103"/>
      <c r="N874" s="103"/>
      <c r="O874" s="103"/>
      <c r="P874" s="103"/>
    </row>
    <row r="875">
      <c r="A875" s="8"/>
      <c r="B875" s="128"/>
      <c r="C875" s="128"/>
      <c r="D875" s="128"/>
      <c r="E875" s="128"/>
      <c r="F875" s="128"/>
      <c r="G875" s="128"/>
      <c r="I875" s="103"/>
      <c r="J875" s="103"/>
      <c r="K875" s="103"/>
      <c r="L875" s="103"/>
      <c r="M875" s="103"/>
      <c r="N875" s="103"/>
      <c r="O875" s="103"/>
      <c r="P875" s="103"/>
    </row>
    <row r="876">
      <c r="A876" s="8"/>
      <c r="B876" s="128"/>
      <c r="C876" s="128"/>
      <c r="D876" s="128"/>
      <c r="E876" s="128"/>
      <c r="F876" s="128"/>
      <c r="G876" s="128"/>
      <c r="I876" s="103"/>
      <c r="J876" s="103"/>
      <c r="K876" s="103"/>
      <c r="L876" s="103"/>
      <c r="M876" s="103"/>
      <c r="N876" s="103"/>
      <c r="O876" s="103"/>
      <c r="P876" s="103"/>
    </row>
    <row r="877">
      <c r="A877" s="8"/>
      <c r="B877" s="128"/>
      <c r="C877" s="128"/>
      <c r="D877" s="128"/>
      <c r="E877" s="128"/>
      <c r="F877" s="128"/>
      <c r="G877" s="128"/>
      <c r="I877" s="103"/>
      <c r="J877" s="103"/>
      <c r="K877" s="103"/>
      <c r="L877" s="103"/>
      <c r="M877" s="103"/>
      <c r="N877" s="103"/>
      <c r="O877" s="103"/>
      <c r="P877" s="103"/>
    </row>
    <row r="878">
      <c r="A878" s="8"/>
      <c r="B878" s="128"/>
      <c r="C878" s="128"/>
      <c r="D878" s="128"/>
      <c r="E878" s="128"/>
      <c r="F878" s="128"/>
      <c r="G878" s="128"/>
      <c r="I878" s="103"/>
      <c r="J878" s="103"/>
      <c r="K878" s="103"/>
      <c r="L878" s="103"/>
      <c r="M878" s="103"/>
      <c r="N878" s="103"/>
      <c r="O878" s="103"/>
      <c r="P878" s="103"/>
    </row>
    <row r="879">
      <c r="A879" s="8"/>
      <c r="B879" s="128"/>
      <c r="C879" s="128"/>
      <c r="D879" s="128"/>
      <c r="E879" s="128"/>
      <c r="F879" s="128"/>
      <c r="G879" s="128"/>
      <c r="I879" s="103"/>
      <c r="J879" s="103"/>
      <c r="K879" s="103"/>
      <c r="L879" s="103"/>
      <c r="M879" s="103"/>
      <c r="N879" s="103"/>
      <c r="O879" s="103"/>
      <c r="P879" s="103"/>
    </row>
    <row r="880">
      <c r="A880" s="8"/>
      <c r="B880" s="128"/>
      <c r="C880" s="128"/>
      <c r="D880" s="128"/>
      <c r="E880" s="128"/>
      <c r="F880" s="128"/>
      <c r="G880" s="128"/>
      <c r="I880" s="103"/>
      <c r="J880" s="103"/>
      <c r="K880" s="103"/>
      <c r="L880" s="103"/>
      <c r="M880" s="103"/>
      <c r="N880" s="103"/>
      <c r="O880" s="103"/>
      <c r="P880" s="103"/>
    </row>
    <row r="881">
      <c r="A881" s="8"/>
      <c r="B881" s="128"/>
      <c r="C881" s="128"/>
      <c r="D881" s="128"/>
      <c r="E881" s="128"/>
      <c r="F881" s="128"/>
      <c r="G881" s="128"/>
      <c r="I881" s="103"/>
      <c r="J881" s="103"/>
      <c r="K881" s="103"/>
      <c r="L881" s="103"/>
      <c r="M881" s="103"/>
      <c r="N881" s="103"/>
      <c r="O881" s="103"/>
      <c r="P881" s="103"/>
    </row>
    <row r="882">
      <c r="A882" s="8"/>
      <c r="B882" s="128"/>
      <c r="C882" s="128"/>
      <c r="D882" s="128"/>
      <c r="E882" s="128"/>
      <c r="F882" s="128"/>
      <c r="G882" s="128"/>
      <c r="I882" s="103"/>
      <c r="J882" s="103"/>
      <c r="K882" s="103"/>
      <c r="L882" s="103"/>
      <c r="M882" s="103"/>
      <c r="N882" s="103"/>
      <c r="O882" s="103"/>
      <c r="P882" s="103"/>
    </row>
    <row r="883">
      <c r="A883" s="8"/>
      <c r="B883" s="128"/>
      <c r="C883" s="128"/>
      <c r="D883" s="128"/>
      <c r="E883" s="128"/>
      <c r="F883" s="128"/>
      <c r="G883" s="128"/>
      <c r="I883" s="103"/>
      <c r="J883" s="103"/>
      <c r="K883" s="103"/>
      <c r="L883" s="103"/>
      <c r="M883" s="103"/>
      <c r="N883" s="103"/>
      <c r="O883" s="103"/>
      <c r="P883" s="103"/>
    </row>
    <row r="884">
      <c r="A884" s="8"/>
      <c r="B884" s="128"/>
      <c r="C884" s="128"/>
      <c r="D884" s="128"/>
      <c r="E884" s="128"/>
      <c r="F884" s="128"/>
      <c r="G884" s="128"/>
      <c r="I884" s="103"/>
      <c r="J884" s="103"/>
      <c r="K884" s="103"/>
      <c r="L884" s="103"/>
      <c r="M884" s="103"/>
      <c r="N884" s="103"/>
      <c r="O884" s="103"/>
      <c r="P884" s="103"/>
    </row>
    <row r="885">
      <c r="A885" s="8"/>
      <c r="B885" s="128"/>
      <c r="C885" s="128"/>
      <c r="D885" s="128"/>
      <c r="E885" s="128"/>
      <c r="F885" s="128"/>
      <c r="G885" s="128"/>
      <c r="I885" s="103"/>
      <c r="J885" s="103"/>
      <c r="K885" s="103"/>
      <c r="L885" s="103"/>
      <c r="M885" s="103"/>
      <c r="N885" s="103"/>
      <c r="O885" s="103"/>
      <c r="P885" s="103"/>
    </row>
    <row r="886">
      <c r="A886" s="8"/>
      <c r="B886" s="128"/>
      <c r="C886" s="128"/>
      <c r="D886" s="128"/>
      <c r="E886" s="128"/>
      <c r="F886" s="128"/>
      <c r="G886" s="128"/>
      <c r="I886" s="103"/>
      <c r="J886" s="103"/>
      <c r="K886" s="103"/>
      <c r="L886" s="103"/>
      <c r="M886" s="103"/>
      <c r="N886" s="103"/>
      <c r="O886" s="103"/>
      <c r="P886" s="103"/>
    </row>
    <row r="887">
      <c r="A887" s="8"/>
      <c r="B887" s="128"/>
      <c r="C887" s="128"/>
      <c r="D887" s="128"/>
      <c r="E887" s="128"/>
      <c r="F887" s="128"/>
      <c r="G887" s="128"/>
      <c r="I887" s="103"/>
      <c r="J887" s="103"/>
      <c r="K887" s="103"/>
      <c r="L887" s="103"/>
      <c r="M887" s="103"/>
      <c r="N887" s="103"/>
      <c r="O887" s="103"/>
      <c r="P887" s="103"/>
    </row>
    <row r="888">
      <c r="A888" s="8"/>
      <c r="B888" s="128"/>
      <c r="C888" s="128"/>
      <c r="D888" s="128"/>
      <c r="E888" s="128"/>
      <c r="F888" s="128"/>
      <c r="G888" s="128"/>
      <c r="I888" s="103"/>
      <c r="J888" s="103"/>
      <c r="K888" s="103"/>
      <c r="L888" s="103"/>
      <c r="M888" s="103"/>
      <c r="N888" s="103"/>
      <c r="O888" s="103"/>
      <c r="P888" s="103"/>
    </row>
    <row r="889">
      <c r="A889" s="8"/>
      <c r="B889" s="128"/>
      <c r="C889" s="128"/>
      <c r="D889" s="128"/>
      <c r="E889" s="128"/>
      <c r="F889" s="128"/>
      <c r="G889" s="128"/>
      <c r="I889" s="103"/>
      <c r="J889" s="103"/>
      <c r="K889" s="103"/>
      <c r="L889" s="103"/>
      <c r="M889" s="103"/>
      <c r="N889" s="103"/>
      <c r="O889" s="103"/>
      <c r="P889" s="103"/>
    </row>
    <row r="890">
      <c r="A890" s="8"/>
      <c r="B890" s="128"/>
      <c r="C890" s="128"/>
      <c r="D890" s="128"/>
      <c r="E890" s="128"/>
      <c r="F890" s="128"/>
      <c r="G890" s="128"/>
      <c r="I890" s="103"/>
      <c r="J890" s="103"/>
      <c r="K890" s="103"/>
      <c r="L890" s="103"/>
      <c r="M890" s="103"/>
      <c r="N890" s="103"/>
      <c r="O890" s="103"/>
      <c r="P890" s="103"/>
    </row>
    <row r="891">
      <c r="A891" s="8"/>
      <c r="B891" s="128"/>
      <c r="C891" s="128"/>
      <c r="D891" s="128"/>
      <c r="E891" s="128"/>
      <c r="F891" s="128"/>
      <c r="G891" s="128"/>
      <c r="I891" s="103"/>
      <c r="J891" s="103"/>
      <c r="K891" s="103"/>
      <c r="L891" s="103"/>
      <c r="M891" s="103"/>
      <c r="N891" s="103"/>
      <c r="O891" s="103"/>
      <c r="P891" s="103"/>
    </row>
    <row r="892">
      <c r="A892" s="8"/>
      <c r="B892" s="128"/>
      <c r="C892" s="128"/>
      <c r="D892" s="128"/>
      <c r="E892" s="128"/>
      <c r="F892" s="128"/>
      <c r="G892" s="128"/>
      <c r="I892" s="103"/>
      <c r="J892" s="103"/>
      <c r="K892" s="103"/>
      <c r="L892" s="103"/>
      <c r="M892" s="103"/>
      <c r="N892" s="103"/>
      <c r="O892" s="103"/>
      <c r="P892" s="103"/>
    </row>
    <row r="893">
      <c r="A893" s="8"/>
      <c r="B893" s="128"/>
      <c r="C893" s="128"/>
      <c r="D893" s="128"/>
      <c r="E893" s="128"/>
      <c r="F893" s="128"/>
      <c r="G893" s="128"/>
      <c r="I893" s="103"/>
      <c r="J893" s="103"/>
      <c r="K893" s="103"/>
      <c r="L893" s="103"/>
      <c r="M893" s="103"/>
      <c r="N893" s="103"/>
      <c r="O893" s="103"/>
      <c r="P893" s="103"/>
    </row>
    <row r="894">
      <c r="A894" s="8"/>
      <c r="B894" s="128"/>
      <c r="C894" s="128"/>
      <c r="D894" s="128"/>
      <c r="E894" s="128"/>
      <c r="F894" s="128"/>
      <c r="G894" s="128"/>
      <c r="I894" s="103"/>
      <c r="J894" s="103"/>
      <c r="K894" s="103"/>
      <c r="L894" s="103"/>
      <c r="M894" s="103"/>
      <c r="N894" s="103"/>
      <c r="O894" s="103"/>
      <c r="P894" s="103"/>
    </row>
    <row r="895">
      <c r="A895" s="8"/>
      <c r="B895" s="128"/>
      <c r="C895" s="128"/>
      <c r="D895" s="128"/>
      <c r="E895" s="128"/>
      <c r="F895" s="128"/>
      <c r="G895" s="128"/>
      <c r="I895" s="103"/>
      <c r="J895" s="103"/>
      <c r="K895" s="103"/>
      <c r="L895" s="103"/>
      <c r="M895" s="103"/>
      <c r="N895" s="103"/>
      <c r="O895" s="103"/>
      <c r="P895" s="103"/>
    </row>
    <row r="896">
      <c r="A896" s="8"/>
      <c r="B896" s="128"/>
      <c r="C896" s="128"/>
      <c r="D896" s="128"/>
      <c r="E896" s="128"/>
      <c r="F896" s="128"/>
      <c r="G896" s="128"/>
      <c r="I896" s="103"/>
      <c r="J896" s="103"/>
      <c r="K896" s="103"/>
      <c r="L896" s="103"/>
      <c r="M896" s="103"/>
      <c r="N896" s="103"/>
      <c r="O896" s="103"/>
      <c r="P896" s="103"/>
    </row>
    <row r="897">
      <c r="A897" s="8"/>
      <c r="B897" s="128"/>
      <c r="C897" s="128"/>
      <c r="D897" s="128"/>
      <c r="E897" s="128"/>
      <c r="F897" s="128"/>
      <c r="G897" s="128"/>
      <c r="I897" s="103"/>
      <c r="J897" s="103"/>
      <c r="K897" s="103"/>
      <c r="L897" s="103"/>
      <c r="M897" s="103"/>
      <c r="N897" s="103"/>
      <c r="O897" s="103"/>
      <c r="P897" s="103"/>
    </row>
    <row r="898">
      <c r="A898" s="8"/>
      <c r="B898" s="128"/>
      <c r="C898" s="128"/>
      <c r="D898" s="128"/>
      <c r="E898" s="128"/>
      <c r="F898" s="128"/>
      <c r="G898" s="128"/>
      <c r="I898" s="103"/>
      <c r="J898" s="103"/>
      <c r="K898" s="103"/>
      <c r="L898" s="103"/>
      <c r="M898" s="103"/>
      <c r="N898" s="103"/>
      <c r="O898" s="103"/>
      <c r="P898" s="103"/>
    </row>
    <row r="899">
      <c r="A899" s="8"/>
      <c r="B899" s="128"/>
      <c r="C899" s="128"/>
      <c r="D899" s="128"/>
      <c r="E899" s="128"/>
      <c r="F899" s="128"/>
      <c r="G899" s="128"/>
      <c r="I899" s="103"/>
      <c r="J899" s="103"/>
      <c r="K899" s="103"/>
      <c r="L899" s="103"/>
      <c r="M899" s="103"/>
      <c r="N899" s="103"/>
      <c r="O899" s="103"/>
      <c r="P899" s="103"/>
    </row>
    <row r="900">
      <c r="A900" s="8"/>
      <c r="B900" s="128"/>
      <c r="C900" s="128"/>
      <c r="D900" s="128"/>
      <c r="E900" s="128"/>
      <c r="F900" s="128"/>
      <c r="G900" s="128"/>
      <c r="I900" s="103"/>
      <c r="J900" s="103"/>
      <c r="K900" s="103"/>
      <c r="L900" s="103"/>
      <c r="M900" s="103"/>
      <c r="N900" s="103"/>
      <c r="O900" s="103"/>
      <c r="P900" s="103"/>
    </row>
    <row r="901">
      <c r="A901" s="8"/>
      <c r="B901" s="128"/>
      <c r="C901" s="128"/>
      <c r="D901" s="128"/>
      <c r="E901" s="128"/>
      <c r="F901" s="128"/>
      <c r="G901" s="128"/>
      <c r="I901" s="103"/>
      <c r="J901" s="103"/>
      <c r="K901" s="103"/>
      <c r="L901" s="103"/>
      <c r="M901" s="103"/>
      <c r="N901" s="103"/>
      <c r="O901" s="103"/>
      <c r="P901" s="103"/>
    </row>
    <row r="902">
      <c r="A902" s="8"/>
      <c r="B902" s="128"/>
      <c r="C902" s="128"/>
      <c r="D902" s="128"/>
      <c r="E902" s="128"/>
      <c r="F902" s="128"/>
      <c r="G902" s="128"/>
      <c r="I902" s="103"/>
      <c r="J902" s="103"/>
      <c r="K902" s="103"/>
      <c r="L902" s="103"/>
      <c r="M902" s="103"/>
      <c r="N902" s="103"/>
      <c r="O902" s="103"/>
      <c r="P902" s="103"/>
    </row>
    <row r="903">
      <c r="A903" s="8"/>
      <c r="B903" s="128"/>
      <c r="C903" s="128"/>
      <c r="D903" s="128"/>
      <c r="E903" s="128"/>
      <c r="F903" s="128"/>
      <c r="G903" s="128"/>
      <c r="I903" s="103"/>
      <c r="J903" s="103"/>
      <c r="K903" s="103"/>
      <c r="L903" s="103"/>
      <c r="M903" s="103"/>
      <c r="N903" s="103"/>
      <c r="O903" s="103"/>
      <c r="P903" s="103"/>
    </row>
    <row r="904">
      <c r="A904" s="8"/>
      <c r="B904" s="128"/>
      <c r="C904" s="128"/>
      <c r="D904" s="128"/>
      <c r="E904" s="128"/>
      <c r="F904" s="128"/>
      <c r="G904" s="128"/>
      <c r="I904" s="103"/>
      <c r="J904" s="103"/>
      <c r="K904" s="103"/>
      <c r="L904" s="103"/>
      <c r="M904" s="103"/>
      <c r="N904" s="103"/>
      <c r="O904" s="103"/>
      <c r="P904" s="103"/>
    </row>
    <row r="905">
      <c r="A905" s="8"/>
      <c r="B905" s="128"/>
      <c r="C905" s="128"/>
      <c r="D905" s="128"/>
      <c r="E905" s="128"/>
      <c r="F905" s="128"/>
      <c r="G905" s="128"/>
      <c r="I905" s="103"/>
      <c r="J905" s="103"/>
      <c r="K905" s="103"/>
      <c r="L905" s="103"/>
      <c r="M905" s="103"/>
      <c r="N905" s="103"/>
      <c r="O905" s="103"/>
      <c r="P905" s="103"/>
    </row>
    <row r="906">
      <c r="A906" s="8"/>
      <c r="B906" s="128"/>
      <c r="C906" s="128"/>
      <c r="D906" s="128"/>
      <c r="E906" s="128"/>
      <c r="F906" s="128"/>
      <c r="G906" s="128"/>
      <c r="I906" s="103"/>
      <c r="J906" s="103"/>
      <c r="K906" s="103"/>
      <c r="L906" s="103"/>
      <c r="M906" s="103"/>
      <c r="N906" s="103"/>
      <c r="O906" s="103"/>
      <c r="P906" s="103"/>
    </row>
    <row r="907">
      <c r="A907" s="8"/>
      <c r="B907" s="128"/>
      <c r="C907" s="128"/>
      <c r="D907" s="128"/>
      <c r="E907" s="128"/>
      <c r="F907" s="128"/>
      <c r="G907" s="128"/>
      <c r="I907" s="103"/>
      <c r="J907" s="103"/>
      <c r="K907" s="103"/>
      <c r="L907" s="103"/>
      <c r="M907" s="103"/>
      <c r="N907" s="103"/>
      <c r="O907" s="103"/>
      <c r="P907" s="103"/>
    </row>
    <row r="908">
      <c r="A908" s="8"/>
      <c r="B908" s="128"/>
      <c r="C908" s="128"/>
      <c r="D908" s="128"/>
      <c r="E908" s="128"/>
      <c r="F908" s="128"/>
      <c r="G908" s="128"/>
      <c r="I908" s="103"/>
      <c r="J908" s="103"/>
      <c r="K908" s="103"/>
      <c r="L908" s="103"/>
      <c r="M908" s="103"/>
      <c r="N908" s="103"/>
      <c r="O908" s="103"/>
      <c r="P908" s="103"/>
    </row>
    <row r="909">
      <c r="A909" s="8"/>
      <c r="B909" s="128"/>
      <c r="C909" s="128"/>
      <c r="D909" s="128"/>
      <c r="E909" s="128"/>
      <c r="F909" s="128"/>
      <c r="G909" s="128"/>
      <c r="I909" s="103"/>
      <c r="J909" s="103"/>
      <c r="K909" s="103"/>
      <c r="L909" s="103"/>
      <c r="M909" s="103"/>
      <c r="N909" s="103"/>
      <c r="O909" s="103"/>
      <c r="P909" s="103"/>
    </row>
    <row r="910">
      <c r="A910" s="8"/>
      <c r="B910" s="128"/>
      <c r="C910" s="128"/>
      <c r="D910" s="128"/>
      <c r="E910" s="128"/>
      <c r="F910" s="128"/>
      <c r="G910" s="128"/>
      <c r="I910" s="103"/>
      <c r="J910" s="103"/>
      <c r="K910" s="103"/>
      <c r="L910" s="103"/>
      <c r="M910" s="103"/>
      <c r="N910" s="103"/>
      <c r="O910" s="103"/>
      <c r="P910" s="103"/>
    </row>
    <row r="911">
      <c r="A911" s="8"/>
      <c r="B911" s="128"/>
      <c r="C911" s="128"/>
      <c r="D911" s="128"/>
      <c r="E911" s="128"/>
      <c r="F911" s="128"/>
      <c r="G911" s="128"/>
      <c r="I911" s="103"/>
      <c r="J911" s="103"/>
      <c r="K911" s="103"/>
      <c r="L911" s="103"/>
      <c r="M911" s="103"/>
      <c r="N911" s="103"/>
      <c r="O911" s="103"/>
      <c r="P911" s="103"/>
    </row>
    <row r="912">
      <c r="A912" s="8"/>
      <c r="B912" s="128"/>
      <c r="C912" s="128"/>
      <c r="D912" s="128"/>
      <c r="E912" s="128"/>
      <c r="F912" s="128"/>
      <c r="G912" s="128"/>
      <c r="I912" s="103"/>
      <c r="J912" s="103"/>
      <c r="K912" s="103"/>
      <c r="L912" s="103"/>
      <c r="M912" s="103"/>
      <c r="N912" s="103"/>
      <c r="O912" s="103"/>
      <c r="P912" s="103"/>
    </row>
    <row r="913">
      <c r="A913" s="8"/>
      <c r="B913" s="128"/>
      <c r="C913" s="128"/>
      <c r="D913" s="128"/>
      <c r="E913" s="128"/>
      <c r="F913" s="128"/>
      <c r="G913" s="128"/>
      <c r="I913" s="103"/>
      <c r="J913" s="103"/>
      <c r="K913" s="103"/>
      <c r="L913" s="103"/>
      <c r="M913" s="103"/>
      <c r="N913" s="103"/>
      <c r="O913" s="103"/>
      <c r="P913" s="103"/>
    </row>
    <row r="914">
      <c r="A914" s="8"/>
      <c r="B914" s="128"/>
      <c r="C914" s="128"/>
      <c r="D914" s="128"/>
      <c r="E914" s="128"/>
      <c r="F914" s="128"/>
      <c r="G914" s="128"/>
      <c r="I914" s="103"/>
      <c r="J914" s="103"/>
      <c r="K914" s="103"/>
      <c r="L914" s="103"/>
      <c r="M914" s="103"/>
      <c r="N914" s="103"/>
      <c r="O914" s="103"/>
      <c r="P914" s="103"/>
    </row>
    <row r="915">
      <c r="A915" s="8"/>
      <c r="B915" s="128"/>
      <c r="C915" s="128"/>
      <c r="D915" s="128"/>
      <c r="E915" s="128"/>
      <c r="F915" s="128"/>
      <c r="G915" s="128"/>
      <c r="I915" s="103"/>
      <c r="J915" s="103"/>
      <c r="K915" s="103"/>
      <c r="L915" s="103"/>
      <c r="M915" s="103"/>
      <c r="N915" s="103"/>
      <c r="O915" s="103"/>
      <c r="P915" s="103"/>
    </row>
    <row r="916">
      <c r="A916" s="8"/>
      <c r="B916" s="128"/>
      <c r="C916" s="128"/>
      <c r="D916" s="128"/>
      <c r="E916" s="128"/>
      <c r="F916" s="128"/>
      <c r="G916" s="128"/>
      <c r="I916" s="103"/>
      <c r="J916" s="103"/>
      <c r="K916" s="103"/>
      <c r="L916" s="103"/>
      <c r="M916" s="103"/>
      <c r="N916" s="103"/>
      <c r="O916" s="103"/>
      <c r="P916" s="103"/>
    </row>
    <row r="917">
      <c r="A917" s="8"/>
      <c r="B917" s="128"/>
      <c r="C917" s="128"/>
      <c r="D917" s="128"/>
      <c r="E917" s="128"/>
      <c r="F917" s="128"/>
      <c r="G917" s="128"/>
      <c r="I917" s="103"/>
      <c r="J917" s="103"/>
      <c r="K917" s="103"/>
      <c r="L917" s="103"/>
      <c r="M917" s="103"/>
      <c r="N917" s="103"/>
      <c r="O917" s="103"/>
      <c r="P917" s="103"/>
    </row>
    <row r="918">
      <c r="A918" s="8"/>
      <c r="B918" s="128"/>
      <c r="C918" s="128"/>
      <c r="D918" s="128"/>
      <c r="E918" s="128"/>
      <c r="F918" s="128"/>
      <c r="G918" s="128"/>
      <c r="I918" s="103"/>
      <c r="J918" s="103"/>
      <c r="K918" s="103"/>
      <c r="L918" s="103"/>
      <c r="M918" s="103"/>
      <c r="N918" s="103"/>
      <c r="O918" s="103"/>
      <c r="P918" s="103"/>
    </row>
    <row r="919">
      <c r="A919" s="8"/>
      <c r="B919" s="128"/>
      <c r="C919" s="128"/>
      <c r="D919" s="128"/>
      <c r="E919" s="128"/>
      <c r="F919" s="128"/>
      <c r="G919" s="128"/>
      <c r="I919" s="103"/>
      <c r="J919" s="103"/>
      <c r="K919" s="103"/>
      <c r="L919" s="103"/>
      <c r="M919" s="103"/>
      <c r="N919" s="103"/>
      <c r="O919" s="103"/>
      <c r="P919" s="103"/>
    </row>
    <row r="920">
      <c r="A920" s="8"/>
      <c r="B920" s="128"/>
      <c r="C920" s="128"/>
      <c r="D920" s="128"/>
      <c r="E920" s="128"/>
      <c r="F920" s="128"/>
      <c r="G920" s="128"/>
      <c r="I920" s="103"/>
      <c r="J920" s="103"/>
      <c r="K920" s="103"/>
      <c r="L920" s="103"/>
      <c r="M920" s="103"/>
      <c r="N920" s="103"/>
      <c r="O920" s="103"/>
      <c r="P920" s="103"/>
    </row>
    <row r="921">
      <c r="A921" s="8"/>
      <c r="B921" s="128"/>
      <c r="C921" s="128"/>
      <c r="D921" s="128"/>
      <c r="E921" s="128"/>
      <c r="F921" s="128"/>
      <c r="G921" s="128"/>
      <c r="I921" s="103"/>
      <c r="J921" s="103"/>
      <c r="K921" s="103"/>
      <c r="L921" s="103"/>
      <c r="M921" s="103"/>
      <c r="N921" s="103"/>
      <c r="O921" s="103"/>
      <c r="P921" s="103"/>
    </row>
    <row r="922">
      <c r="A922" s="8"/>
      <c r="B922" s="128"/>
      <c r="C922" s="128"/>
      <c r="D922" s="128"/>
      <c r="E922" s="128"/>
      <c r="F922" s="128"/>
      <c r="G922" s="128"/>
      <c r="I922" s="103"/>
      <c r="J922" s="103"/>
      <c r="K922" s="103"/>
      <c r="L922" s="103"/>
      <c r="M922" s="103"/>
      <c r="N922" s="103"/>
      <c r="O922" s="103"/>
      <c r="P922" s="103"/>
    </row>
    <row r="923">
      <c r="A923" s="8"/>
      <c r="B923" s="128"/>
      <c r="C923" s="128"/>
      <c r="D923" s="128"/>
      <c r="E923" s="128"/>
      <c r="F923" s="128"/>
      <c r="G923" s="128"/>
      <c r="I923" s="103"/>
      <c r="J923" s="103"/>
      <c r="K923" s="103"/>
      <c r="L923" s="103"/>
      <c r="M923" s="103"/>
      <c r="N923" s="103"/>
      <c r="O923" s="103"/>
      <c r="P923" s="103"/>
    </row>
    <row r="924">
      <c r="A924" s="8"/>
      <c r="B924" s="128"/>
      <c r="C924" s="128"/>
      <c r="D924" s="128"/>
      <c r="E924" s="128"/>
      <c r="F924" s="128"/>
      <c r="G924" s="128"/>
      <c r="I924" s="103"/>
      <c r="J924" s="103"/>
      <c r="K924" s="103"/>
      <c r="L924" s="103"/>
      <c r="M924" s="103"/>
      <c r="N924" s="103"/>
      <c r="O924" s="103"/>
      <c r="P924" s="103"/>
    </row>
    <row r="925">
      <c r="A925" s="8"/>
      <c r="B925" s="128"/>
      <c r="C925" s="128"/>
      <c r="D925" s="128"/>
      <c r="E925" s="128"/>
      <c r="F925" s="128"/>
      <c r="G925" s="128"/>
      <c r="I925" s="103"/>
      <c r="J925" s="103"/>
      <c r="K925" s="103"/>
      <c r="L925" s="103"/>
      <c r="M925" s="103"/>
      <c r="N925" s="103"/>
      <c r="O925" s="103"/>
      <c r="P925" s="103"/>
    </row>
    <row r="926">
      <c r="A926" s="8"/>
      <c r="B926" s="128"/>
      <c r="C926" s="128"/>
      <c r="D926" s="128"/>
      <c r="E926" s="128"/>
      <c r="F926" s="128"/>
      <c r="G926" s="128"/>
      <c r="I926" s="103"/>
      <c r="J926" s="103"/>
      <c r="K926" s="103"/>
      <c r="L926" s="103"/>
      <c r="M926" s="103"/>
      <c r="N926" s="103"/>
      <c r="O926" s="103"/>
      <c r="P926" s="103"/>
    </row>
    <row r="927">
      <c r="A927" s="8"/>
      <c r="B927" s="128"/>
      <c r="C927" s="128"/>
      <c r="D927" s="128"/>
      <c r="E927" s="128"/>
      <c r="F927" s="128"/>
      <c r="G927" s="128"/>
      <c r="I927" s="103"/>
      <c r="J927" s="103"/>
      <c r="K927" s="103"/>
      <c r="L927" s="103"/>
      <c r="M927" s="103"/>
      <c r="N927" s="103"/>
      <c r="O927" s="103"/>
      <c r="P927" s="103"/>
    </row>
    <row r="928">
      <c r="A928" s="8"/>
      <c r="B928" s="128"/>
      <c r="C928" s="128"/>
      <c r="D928" s="128"/>
      <c r="E928" s="128"/>
      <c r="F928" s="128"/>
      <c r="G928" s="128"/>
      <c r="I928" s="103"/>
      <c r="J928" s="103"/>
      <c r="K928" s="103"/>
      <c r="L928" s="103"/>
      <c r="M928" s="103"/>
      <c r="N928" s="103"/>
      <c r="O928" s="103"/>
      <c r="P928" s="103"/>
    </row>
    <row r="929">
      <c r="A929" s="8"/>
      <c r="B929" s="128"/>
      <c r="C929" s="128"/>
      <c r="D929" s="128"/>
      <c r="E929" s="128"/>
      <c r="F929" s="128"/>
      <c r="G929" s="128"/>
      <c r="I929" s="103"/>
      <c r="J929" s="103"/>
      <c r="K929" s="103"/>
      <c r="L929" s="103"/>
      <c r="M929" s="103"/>
      <c r="N929" s="103"/>
      <c r="O929" s="103"/>
      <c r="P929" s="103"/>
    </row>
    <row r="930">
      <c r="A930" s="8"/>
      <c r="B930" s="128"/>
      <c r="C930" s="128"/>
      <c r="D930" s="128"/>
      <c r="E930" s="128"/>
      <c r="F930" s="128"/>
      <c r="G930" s="128"/>
      <c r="I930" s="103"/>
      <c r="J930" s="103"/>
      <c r="K930" s="103"/>
      <c r="L930" s="103"/>
      <c r="M930" s="103"/>
      <c r="N930" s="103"/>
      <c r="O930" s="103"/>
      <c r="P930" s="103"/>
    </row>
    <row r="931">
      <c r="A931" s="8"/>
      <c r="B931" s="128"/>
      <c r="C931" s="128"/>
      <c r="D931" s="128"/>
      <c r="E931" s="128"/>
      <c r="F931" s="128"/>
      <c r="G931" s="128"/>
      <c r="I931" s="103"/>
      <c r="J931" s="103"/>
      <c r="K931" s="103"/>
      <c r="L931" s="103"/>
      <c r="M931" s="103"/>
      <c r="N931" s="103"/>
      <c r="O931" s="103"/>
      <c r="P931" s="103"/>
    </row>
    <row r="932">
      <c r="A932" s="8"/>
      <c r="B932" s="128"/>
      <c r="C932" s="128"/>
      <c r="D932" s="128"/>
      <c r="E932" s="128"/>
      <c r="F932" s="128"/>
      <c r="G932" s="128"/>
      <c r="I932" s="103"/>
      <c r="J932" s="103"/>
      <c r="K932" s="103"/>
      <c r="L932" s="103"/>
      <c r="M932" s="103"/>
      <c r="N932" s="103"/>
      <c r="O932" s="103"/>
      <c r="P932" s="103"/>
    </row>
    <row r="933">
      <c r="A933" s="8"/>
      <c r="B933" s="128"/>
      <c r="C933" s="128"/>
      <c r="D933" s="128"/>
      <c r="E933" s="128"/>
      <c r="F933" s="128"/>
      <c r="G933" s="128"/>
      <c r="I933" s="103"/>
      <c r="J933" s="103"/>
      <c r="K933" s="103"/>
      <c r="L933" s="103"/>
      <c r="M933" s="103"/>
      <c r="N933" s="103"/>
      <c r="O933" s="103"/>
      <c r="P933" s="103"/>
    </row>
    <row r="934">
      <c r="A934" s="8"/>
      <c r="B934" s="128"/>
      <c r="C934" s="128"/>
      <c r="D934" s="128"/>
      <c r="E934" s="128"/>
      <c r="F934" s="128"/>
      <c r="G934" s="128"/>
      <c r="I934" s="103"/>
      <c r="J934" s="103"/>
      <c r="K934" s="103"/>
      <c r="L934" s="103"/>
      <c r="M934" s="103"/>
      <c r="N934" s="103"/>
      <c r="O934" s="103"/>
      <c r="P934" s="103"/>
    </row>
    <row r="935">
      <c r="A935" s="8"/>
      <c r="B935" s="128"/>
      <c r="C935" s="128"/>
      <c r="D935" s="128"/>
      <c r="E935" s="128"/>
      <c r="F935" s="128"/>
      <c r="G935" s="128"/>
      <c r="I935" s="103"/>
      <c r="J935" s="103"/>
      <c r="K935" s="103"/>
      <c r="L935" s="103"/>
      <c r="M935" s="103"/>
      <c r="N935" s="103"/>
      <c r="O935" s="103"/>
      <c r="P935" s="103"/>
    </row>
    <row r="936">
      <c r="A936" s="8"/>
      <c r="B936" s="128"/>
      <c r="C936" s="128"/>
      <c r="D936" s="128"/>
      <c r="E936" s="128"/>
      <c r="F936" s="128"/>
      <c r="G936" s="128"/>
      <c r="I936" s="103"/>
      <c r="J936" s="103"/>
      <c r="K936" s="103"/>
      <c r="L936" s="103"/>
      <c r="M936" s="103"/>
      <c r="N936" s="103"/>
      <c r="O936" s="103"/>
      <c r="P936" s="103"/>
    </row>
    <row r="937">
      <c r="A937" s="8"/>
      <c r="B937" s="128"/>
      <c r="C937" s="128"/>
      <c r="D937" s="128"/>
      <c r="E937" s="128"/>
      <c r="F937" s="128"/>
      <c r="G937" s="128"/>
      <c r="I937" s="103"/>
      <c r="J937" s="103"/>
      <c r="K937" s="103"/>
      <c r="L937" s="103"/>
      <c r="M937" s="103"/>
      <c r="N937" s="103"/>
      <c r="O937" s="103"/>
      <c r="P937" s="103"/>
    </row>
    <row r="938">
      <c r="A938" s="8"/>
      <c r="B938" s="128"/>
      <c r="C938" s="128"/>
      <c r="D938" s="128"/>
      <c r="E938" s="128"/>
      <c r="F938" s="128"/>
      <c r="G938" s="128"/>
      <c r="I938" s="103"/>
      <c r="J938" s="103"/>
      <c r="K938" s="103"/>
      <c r="L938" s="103"/>
      <c r="M938" s="103"/>
      <c r="N938" s="103"/>
      <c r="O938" s="103"/>
      <c r="P938" s="103"/>
    </row>
    <row r="939">
      <c r="A939" s="8"/>
      <c r="B939" s="128"/>
      <c r="C939" s="128"/>
      <c r="D939" s="128"/>
      <c r="E939" s="128"/>
      <c r="F939" s="128"/>
      <c r="G939" s="128"/>
      <c r="I939" s="103"/>
      <c r="J939" s="103"/>
      <c r="K939" s="103"/>
      <c r="L939" s="103"/>
      <c r="M939" s="103"/>
      <c r="N939" s="103"/>
      <c r="O939" s="103"/>
      <c r="P939" s="103"/>
    </row>
    <row r="940">
      <c r="A940" s="8"/>
      <c r="B940" s="128"/>
      <c r="C940" s="128"/>
      <c r="D940" s="128"/>
      <c r="E940" s="128"/>
      <c r="F940" s="128"/>
      <c r="G940" s="128"/>
      <c r="I940" s="103"/>
      <c r="J940" s="103"/>
      <c r="K940" s="103"/>
      <c r="L940" s="103"/>
      <c r="M940" s="103"/>
      <c r="N940" s="103"/>
      <c r="O940" s="103"/>
      <c r="P940" s="103"/>
    </row>
    <row r="941">
      <c r="A941" s="8"/>
      <c r="B941" s="128"/>
      <c r="C941" s="128"/>
      <c r="D941" s="128"/>
      <c r="E941" s="128"/>
      <c r="F941" s="128"/>
      <c r="G941" s="128"/>
      <c r="I941" s="103"/>
      <c r="J941" s="103"/>
      <c r="K941" s="103"/>
      <c r="L941" s="103"/>
      <c r="M941" s="103"/>
      <c r="N941" s="103"/>
      <c r="O941" s="103"/>
      <c r="P941" s="103"/>
    </row>
    <row r="942">
      <c r="A942" s="8"/>
      <c r="B942" s="128"/>
      <c r="C942" s="128"/>
      <c r="D942" s="128"/>
      <c r="E942" s="128"/>
      <c r="F942" s="128"/>
      <c r="G942" s="128"/>
      <c r="I942" s="103"/>
      <c r="J942" s="103"/>
      <c r="K942" s="103"/>
      <c r="L942" s="103"/>
      <c r="M942" s="103"/>
      <c r="N942" s="103"/>
      <c r="O942" s="103"/>
      <c r="P942" s="103"/>
    </row>
    <row r="943">
      <c r="A943" s="8"/>
      <c r="B943" s="128"/>
      <c r="C943" s="128"/>
      <c r="D943" s="128"/>
      <c r="E943" s="128"/>
      <c r="F943" s="128"/>
      <c r="G943" s="128"/>
      <c r="I943" s="103"/>
      <c r="J943" s="103"/>
      <c r="K943" s="103"/>
      <c r="L943" s="103"/>
      <c r="M943" s="103"/>
      <c r="N943" s="103"/>
      <c r="O943" s="103"/>
      <c r="P943" s="103"/>
    </row>
    <row r="944">
      <c r="A944" s="8"/>
      <c r="B944" s="128"/>
      <c r="C944" s="128"/>
      <c r="D944" s="128"/>
      <c r="E944" s="128"/>
      <c r="F944" s="128"/>
      <c r="G944" s="128"/>
      <c r="I944" s="103"/>
      <c r="J944" s="103"/>
      <c r="K944" s="103"/>
      <c r="L944" s="103"/>
      <c r="M944" s="103"/>
      <c r="N944" s="103"/>
      <c r="O944" s="103"/>
      <c r="P944" s="103"/>
    </row>
    <row r="945">
      <c r="A945" s="8"/>
      <c r="B945" s="128"/>
      <c r="C945" s="128"/>
      <c r="D945" s="128"/>
      <c r="E945" s="128"/>
      <c r="F945" s="128"/>
      <c r="G945" s="128"/>
      <c r="I945" s="103"/>
      <c r="J945" s="103"/>
      <c r="K945" s="103"/>
      <c r="L945" s="103"/>
      <c r="M945" s="103"/>
      <c r="N945" s="103"/>
      <c r="O945" s="103"/>
      <c r="P945" s="103"/>
    </row>
    <row r="946">
      <c r="A946" s="8"/>
      <c r="B946" s="128"/>
      <c r="C946" s="128"/>
      <c r="D946" s="128"/>
      <c r="E946" s="128"/>
      <c r="F946" s="128"/>
      <c r="G946" s="128"/>
      <c r="I946" s="103"/>
      <c r="J946" s="103"/>
      <c r="K946" s="103"/>
      <c r="L946" s="103"/>
      <c r="M946" s="103"/>
      <c r="N946" s="103"/>
      <c r="O946" s="103"/>
      <c r="P946" s="103"/>
    </row>
    <row r="947">
      <c r="A947" s="8"/>
      <c r="B947" s="128"/>
      <c r="C947" s="128"/>
      <c r="D947" s="128"/>
      <c r="E947" s="128"/>
      <c r="F947" s="128"/>
      <c r="G947" s="128"/>
      <c r="I947" s="103"/>
      <c r="J947" s="103"/>
      <c r="K947" s="103"/>
      <c r="L947" s="103"/>
      <c r="M947" s="103"/>
      <c r="N947" s="103"/>
      <c r="O947" s="103"/>
      <c r="P947" s="103"/>
    </row>
    <row r="948">
      <c r="A948" s="8"/>
      <c r="B948" s="128"/>
      <c r="C948" s="128"/>
      <c r="D948" s="128"/>
      <c r="E948" s="128"/>
      <c r="F948" s="128"/>
      <c r="G948" s="128"/>
      <c r="I948" s="103"/>
      <c r="J948" s="103"/>
      <c r="K948" s="103"/>
      <c r="L948" s="103"/>
      <c r="M948" s="103"/>
      <c r="N948" s="103"/>
      <c r="O948" s="103"/>
      <c r="P948" s="103"/>
    </row>
    <row r="949">
      <c r="A949" s="8"/>
      <c r="B949" s="128"/>
      <c r="C949" s="128"/>
      <c r="D949" s="128"/>
      <c r="E949" s="128"/>
      <c r="F949" s="128"/>
      <c r="G949" s="128"/>
      <c r="I949" s="103"/>
      <c r="J949" s="103"/>
      <c r="K949" s="103"/>
      <c r="L949" s="103"/>
      <c r="M949" s="103"/>
      <c r="N949" s="103"/>
      <c r="O949" s="103"/>
      <c r="P949" s="103"/>
    </row>
    <row r="950">
      <c r="A950" s="8"/>
      <c r="B950" s="128"/>
      <c r="C950" s="128"/>
      <c r="D950" s="128"/>
      <c r="E950" s="128"/>
      <c r="F950" s="128"/>
      <c r="G950" s="128"/>
      <c r="I950" s="103"/>
      <c r="J950" s="103"/>
      <c r="K950" s="103"/>
      <c r="L950" s="103"/>
      <c r="M950" s="103"/>
      <c r="N950" s="103"/>
      <c r="O950" s="103"/>
      <c r="P950" s="103"/>
    </row>
    <row r="951">
      <c r="A951" s="8"/>
      <c r="B951" s="128"/>
      <c r="C951" s="128"/>
      <c r="D951" s="128"/>
      <c r="E951" s="128"/>
      <c r="F951" s="128"/>
      <c r="G951" s="128"/>
      <c r="I951" s="103"/>
      <c r="J951" s="103"/>
      <c r="K951" s="103"/>
      <c r="L951" s="103"/>
      <c r="M951" s="103"/>
      <c r="N951" s="103"/>
      <c r="O951" s="103"/>
      <c r="P951" s="103"/>
    </row>
    <row r="952">
      <c r="A952" s="8"/>
      <c r="B952" s="128"/>
      <c r="C952" s="128"/>
      <c r="D952" s="128"/>
      <c r="E952" s="128"/>
      <c r="F952" s="128"/>
      <c r="G952" s="128"/>
      <c r="I952" s="103"/>
      <c r="J952" s="103"/>
      <c r="K952" s="103"/>
      <c r="L952" s="103"/>
      <c r="M952" s="103"/>
      <c r="N952" s="103"/>
      <c r="O952" s="103"/>
      <c r="P952" s="103"/>
    </row>
    <row r="953">
      <c r="A953" s="8"/>
      <c r="B953" s="128"/>
      <c r="C953" s="128"/>
      <c r="D953" s="128"/>
      <c r="E953" s="128"/>
      <c r="F953" s="128"/>
      <c r="G953" s="128"/>
      <c r="I953" s="103"/>
      <c r="J953" s="103"/>
      <c r="K953" s="103"/>
      <c r="L953" s="103"/>
      <c r="M953" s="103"/>
      <c r="N953" s="103"/>
      <c r="O953" s="103"/>
      <c r="P953" s="103"/>
    </row>
    <row r="954">
      <c r="A954" s="8"/>
      <c r="B954" s="128"/>
      <c r="C954" s="128"/>
      <c r="D954" s="128"/>
      <c r="E954" s="128"/>
      <c r="F954" s="128"/>
      <c r="G954" s="128"/>
      <c r="I954" s="103"/>
      <c r="J954" s="103"/>
      <c r="K954" s="103"/>
      <c r="L954" s="103"/>
      <c r="M954" s="103"/>
      <c r="N954" s="103"/>
      <c r="O954" s="103"/>
      <c r="P954" s="103"/>
    </row>
    <row r="955">
      <c r="A955" s="8"/>
      <c r="B955" s="128"/>
      <c r="C955" s="128"/>
      <c r="D955" s="128"/>
      <c r="E955" s="128"/>
      <c r="F955" s="128"/>
      <c r="G955" s="128"/>
      <c r="I955" s="103"/>
      <c r="J955" s="103"/>
      <c r="K955" s="103"/>
      <c r="L955" s="103"/>
      <c r="M955" s="103"/>
      <c r="N955" s="103"/>
      <c r="O955" s="103"/>
      <c r="P955" s="103"/>
    </row>
    <row r="956">
      <c r="A956" s="8"/>
      <c r="B956" s="128"/>
      <c r="C956" s="128"/>
      <c r="D956" s="128"/>
      <c r="E956" s="128"/>
      <c r="F956" s="128"/>
      <c r="G956" s="128"/>
      <c r="I956" s="103"/>
      <c r="J956" s="103"/>
      <c r="K956" s="103"/>
      <c r="L956" s="103"/>
      <c r="M956" s="103"/>
      <c r="N956" s="103"/>
      <c r="O956" s="103"/>
      <c r="P956" s="103"/>
    </row>
    <row r="957">
      <c r="A957" s="8"/>
      <c r="B957" s="128"/>
      <c r="C957" s="128"/>
      <c r="D957" s="128"/>
      <c r="E957" s="128"/>
      <c r="F957" s="128"/>
      <c r="G957" s="128"/>
      <c r="I957" s="103"/>
      <c r="J957" s="103"/>
      <c r="K957" s="103"/>
      <c r="L957" s="103"/>
      <c r="M957" s="103"/>
      <c r="N957" s="103"/>
      <c r="O957" s="103"/>
      <c r="P957" s="103"/>
    </row>
    <row r="958">
      <c r="A958" s="8"/>
      <c r="B958" s="128"/>
      <c r="C958" s="128"/>
      <c r="D958" s="128"/>
      <c r="E958" s="128"/>
      <c r="F958" s="128"/>
      <c r="G958" s="128"/>
      <c r="I958" s="103"/>
      <c r="J958" s="103"/>
      <c r="K958" s="103"/>
      <c r="L958" s="103"/>
      <c r="M958" s="103"/>
      <c r="N958" s="103"/>
      <c r="O958" s="103"/>
      <c r="P958" s="103"/>
    </row>
    <row r="959">
      <c r="A959" s="8"/>
      <c r="B959" s="128"/>
      <c r="C959" s="128"/>
      <c r="D959" s="128"/>
      <c r="E959" s="128"/>
      <c r="F959" s="128"/>
      <c r="G959" s="128"/>
      <c r="I959" s="103"/>
      <c r="J959" s="103"/>
      <c r="K959" s="103"/>
      <c r="L959" s="103"/>
      <c r="M959" s="103"/>
      <c r="N959" s="103"/>
      <c r="O959" s="103"/>
      <c r="P959" s="103"/>
    </row>
    <row r="960">
      <c r="A960" s="8"/>
      <c r="B960" s="128"/>
      <c r="C960" s="128"/>
      <c r="D960" s="128"/>
      <c r="E960" s="128"/>
      <c r="F960" s="128"/>
      <c r="G960" s="128"/>
      <c r="I960" s="103"/>
      <c r="J960" s="103"/>
      <c r="K960" s="103"/>
      <c r="L960" s="103"/>
      <c r="M960" s="103"/>
      <c r="N960" s="103"/>
      <c r="O960" s="103"/>
      <c r="P960" s="103"/>
    </row>
    <row r="961">
      <c r="A961" s="8"/>
      <c r="B961" s="128"/>
      <c r="C961" s="128"/>
      <c r="D961" s="128"/>
      <c r="E961" s="128"/>
      <c r="F961" s="128"/>
      <c r="G961" s="128"/>
      <c r="I961" s="103"/>
      <c r="J961" s="103"/>
      <c r="K961" s="103"/>
      <c r="L961" s="103"/>
      <c r="M961" s="103"/>
      <c r="N961" s="103"/>
      <c r="O961" s="103"/>
      <c r="P961" s="103"/>
    </row>
    <row r="962">
      <c r="A962" s="8"/>
      <c r="B962" s="128"/>
      <c r="C962" s="128"/>
      <c r="D962" s="128"/>
      <c r="E962" s="128"/>
      <c r="F962" s="128"/>
      <c r="G962" s="128"/>
      <c r="I962" s="103"/>
      <c r="J962" s="103"/>
      <c r="K962" s="103"/>
      <c r="L962" s="103"/>
      <c r="M962" s="103"/>
      <c r="N962" s="103"/>
      <c r="O962" s="103"/>
      <c r="P962" s="103"/>
    </row>
    <row r="963">
      <c r="A963" s="8"/>
      <c r="B963" s="128"/>
      <c r="C963" s="128"/>
      <c r="D963" s="128"/>
      <c r="E963" s="128"/>
      <c r="F963" s="128"/>
      <c r="G963" s="128"/>
      <c r="I963" s="103"/>
      <c r="J963" s="103"/>
      <c r="K963" s="103"/>
      <c r="L963" s="103"/>
      <c r="M963" s="103"/>
      <c r="N963" s="103"/>
      <c r="O963" s="103"/>
      <c r="P963" s="103"/>
    </row>
    <row r="964">
      <c r="A964" s="8"/>
      <c r="B964" s="128"/>
      <c r="C964" s="128"/>
      <c r="D964" s="128"/>
      <c r="E964" s="128"/>
      <c r="F964" s="128"/>
      <c r="G964" s="128"/>
      <c r="I964" s="103"/>
      <c r="J964" s="103"/>
      <c r="K964" s="103"/>
      <c r="L964" s="103"/>
      <c r="M964" s="103"/>
      <c r="N964" s="103"/>
      <c r="O964" s="103"/>
      <c r="P964" s="103"/>
    </row>
    <row r="965">
      <c r="A965" s="8"/>
      <c r="B965" s="128"/>
      <c r="C965" s="128"/>
      <c r="D965" s="128"/>
      <c r="E965" s="128"/>
      <c r="F965" s="128"/>
      <c r="G965" s="128"/>
      <c r="I965" s="103"/>
      <c r="J965" s="103"/>
      <c r="K965" s="103"/>
      <c r="L965" s="103"/>
      <c r="M965" s="103"/>
      <c r="N965" s="103"/>
      <c r="O965" s="103"/>
      <c r="P965" s="103"/>
    </row>
    <row r="966">
      <c r="A966" s="8"/>
      <c r="B966" s="128"/>
      <c r="C966" s="128"/>
      <c r="D966" s="128"/>
      <c r="E966" s="128"/>
      <c r="F966" s="128"/>
      <c r="G966" s="128"/>
      <c r="I966" s="103"/>
      <c r="J966" s="103"/>
      <c r="K966" s="103"/>
      <c r="L966" s="103"/>
      <c r="M966" s="103"/>
      <c r="N966" s="103"/>
      <c r="O966" s="103"/>
      <c r="P966" s="103"/>
    </row>
    <row r="967">
      <c r="A967" s="8"/>
      <c r="B967" s="128"/>
      <c r="C967" s="128"/>
      <c r="D967" s="128"/>
      <c r="E967" s="128"/>
      <c r="F967" s="128"/>
      <c r="G967" s="128"/>
      <c r="I967" s="103"/>
      <c r="J967" s="103"/>
      <c r="K967" s="103"/>
      <c r="L967" s="103"/>
      <c r="M967" s="103"/>
      <c r="N967" s="103"/>
      <c r="O967" s="103"/>
      <c r="P967" s="103"/>
    </row>
    <row r="968">
      <c r="A968" s="8"/>
      <c r="B968" s="128"/>
      <c r="C968" s="128"/>
      <c r="D968" s="128"/>
      <c r="E968" s="128"/>
      <c r="F968" s="128"/>
      <c r="G968" s="128"/>
      <c r="I968" s="103"/>
      <c r="J968" s="103"/>
      <c r="K968" s="103"/>
      <c r="L968" s="103"/>
      <c r="M968" s="103"/>
      <c r="N968" s="103"/>
      <c r="O968" s="103"/>
      <c r="P968" s="103"/>
    </row>
    <row r="969">
      <c r="A969" s="8"/>
      <c r="B969" s="128"/>
      <c r="C969" s="128"/>
      <c r="D969" s="128"/>
      <c r="E969" s="128"/>
      <c r="F969" s="128"/>
      <c r="G969" s="128"/>
      <c r="I969" s="103"/>
      <c r="J969" s="103"/>
      <c r="K969" s="103"/>
      <c r="L969" s="103"/>
      <c r="M969" s="103"/>
      <c r="N969" s="103"/>
      <c r="O969" s="103"/>
      <c r="P969" s="103"/>
    </row>
    <row r="970">
      <c r="A970" s="8"/>
      <c r="B970" s="128"/>
      <c r="C970" s="128"/>
      <c r="D970" s="128"/>
      <c r="E970" s="128"/>
      <c r="F970" s="128"/>
      <c r="G970" s="128"/>
      <c r="I970" s="103"/>
      <c r="J970" s="103"/>
      <c r="K970" s="103"/>
      <c r="L970" s="103"/>
      <c r="M970" s="103"/>
      <c r="N970" s="103"/>
      <c r="O970" s="103"/>
      <c r="P970" s="103"/>
    </row>
    <row r="971">
      <c r="A971" s="8"/>
      <c r="B971" s="128"/>
      <c r="C971" s="128"/>
      <c r="D971" s="128"/>
      <c r="E971" s="128"/>
      <c r="F971" s="128"/>
      <c r="G971" s="128"/>
      <c r="I971" s="103"/>
      <c r="J971" s="103"/>
      <c r="K971" s="103"/>
      <c r="L971" s="103"/>
      <c r="M971" s="103"/>
      <c r="N971" s="103"/>
      <c r="O971" s="103"/>
      <c r="P971" s="103"/>
    </row>
    <row r="972">
      <c r="A972" s="8"/>
      <c r="B972" s="128"/>
      <c r="C972" s="128"/>
      <c r="D972" s="128"/>
      <c r="E972" s="128"/>
      <c r="F972" s="128"/>
      <c r="G972" s="128"/>
      <c r="I972" s="103"/>
      <c r="J972" s="103"/>
      <c r="K972" s="103"/>
      <c r="L972" s="103"/>
      <c r="M972" s="103"/>
      <c r="N972" s="103"/>
      <c r="O972" s="103"/>
      <c r="P972" s="103"/>
    </row>
    <row r="973">
      <c r="A973" s="8"/>
      <c r="B973" s="128"/>
      <c r="C973" s="128"/>
      <c r="D973" s="128"/>
      <c r="E973" s="128"/>
      <c r="F973" s="128"/>
      <c r="G973" s="128"/>
      <c r="I973" s="103"/>
      <c r="J973" s="103"/>
      <c r="K973" s="103"/>
      <c r="L973" s="103"/>
      <c r="M973" s="103"/>
      <c r="N973" s="103"/>
      <c r="O973" s="103"/>
      <c r="P973" s="103"/>
    </row>
    <row r="974">
      <c r="A974" s="8"/>
      <c r="B974" s="128"/>
      <c r="C974" s="128"/>
      <c r="D974" s="128"/>
      <c r="E974" s="128"/>
      <c r="F974" s="128"/>
      <c r="G974" s="128"/>
      <c r="I974" s="103"/>
      <c r="J974" s="103"/>
      <c r="K974" s="103"/>
      <c r="L974" s="103"/>
      <c r="M974" s="103"/>
      <c r="N974" s="103"/>
      <c r="O974" s="103"/>
      <c r="P974" s="103"/>
    </row>
    <row r="975">
      <c r="A975" s="8"/>
      <c r="B975" s="128"/>
      <c r="C975" s="128"/>
      <c r="D975" s="128"/>
      <c r="E975" s="128"/>
      <c r="F975" s="128"/>
      <c r="G975" s="128"/>
      <c r="I975" s="103"/>
      <c r="J975" s="103"/>
      <c r="K975" s="103"/>
      <c r="L975" s="103"/>
      <c r="M975" s="103"/>
      <c r="N975" s="103"/>
      <c r="O975" s="103"/>
      <c r="P975" s="103"/>
    </row>
    <row r="976">
      <c r="A976" s="8"/>
      <c r="B976" s="128"/>
      <c r="C976" s="128"/>
      <c r="D976" s="128"/>
      <c r="E976" s="128"/>
      <c r="F976" s="128"/>
      <c r="G976" s="128"/>
      <c r="I976" s="103"/>
      <c r="J976" s="103"/>
      <c r="K976" s="103"/>
      <c r="L976" s="103"/>
      <c r="M976" s="103"/>
      <c r="N976" s="103"/>
      <c r="O976" s="103"/>
      <c r="P976" s="103"/>
    </row>
    <row r="977">
      <c r="A977" s="8"/>
      <c r="B977" s="128"/>
      <c r="C977" s="128"/>
      <c r="D977" s="128"/>
      <c r="E977" s="128"/>
      <c r="F977" s="128"/>
      <c r="G977" s="128"/>
      <c r="I977" s="103"/>
      <c r="J977" s="103"/>
      <c r="K977" s="103"/>
      <c r="L977" s="103"/>
      <c r="M977" s="103"/>
      <c r="N977" s="103"/>
      <c r="O977" s="103"/>
      <c r="P977" s="103"/>
    </row>
    <row r="978">
      <c r="A978" s="8"/>
      <c r="B978" s="128"/>
      <c r="C978" s="128"/>
      <c r="D978" s="128"/>
      <c r="E978" s="128"/>
      <c r="F978" s="128"/>
      <c r="G978" s="128"/>
      <c r="I978" s="103"/>
      <c r="J978" s="103"/>
      <c r="K978" s="103"/>
      <c r="L978" s="103"/>
      <c r="M978" s="103"/>
      <c r="N978" s="103"/>
      <c r="O978" s="103"/>
      <c r="P978" s="103"/>
    </row>
    <row r="979">
      <c r="A979" s="8"/>
      <c r="B979" s="128"/>
      <c r="C979" s="128"/>
      <c r="D979" s="128"/>
      <c r="E979" s="128"/>
      <c r="F979" s="128"/>
      <c r="G979" s="128"/>
      <c r="I979" s="103"/>
      <c r="J979" s="103"/>
      <c r="K979" s="103"/>
      <c r="L979" s="103"/>
      <c r="M979" s="103"/>
      <c r="N979" s="103"/>
      <c r="O979" s="103"/>
      <c r="P979" s="103"/>
    </row>
    <row r="980">
      <c r="A980" s="8"/>
      <c r="B980" s="128"/>
      <c r="C980" s="128"/>
      <c r="D980" s="128"/>
      <c r="E980" s="128"/>
      <c r="F980" s="128"/>
      <c r="G980" s="128"/>
      <c r="I980" s="103"/>
      <c r="J980" s="103"/>
      <c r="K980" s="103"/>
      <c r="L980" s="103"/>
      <c r="M980" s="103"/>
      <c r="N980" s="103"/>
      <c r="O980" s="103"/>
      <c r="P980" s="103"/>
    </row>
    <row r="981">
      <c r="A981" s="8"/>
      <c r="B981" s="128"/>
      <c r="C981" s="128"/>
      <c r="D981" s="128"/>
      <c r="E981" s="128"/>
      <c r="F981" s="128"/>
      <c r="G981" s="128"/>
      <c r="I981" s="103"/>
      <c r="J981" s="103"/>
      <c r="K981" s="103"/>
      <c r="L981" s="103"/>
      <c r="M981" s="103"/>
      <c r="N981" s="103"/>
      <c r="O981" s="103"/>
      <c r="P981" s="103"/>
    </row>
    <row r="982">
      <c r="A982" s="8"/>
      <c r="B982" s="128"/>
      <c r="C982" s="128"/>
      <c r="D982" s="128"/>
      <c r="E982" s="128"/>
      <c r="F982" s="128"/>
      <c r="G982" s="128"/>
      <c r="I982" s="103"/>
      <c r="J982" s="103"/>
      <c r="K982" s="103"/>
      <c r="L982" s="103"/>
      <c r="M982" s="103"/>
      <c r="N982" s="103"/>
      <c r="O982" s="103"/>
      <c r="P982" s="103"/>
    </row>
    <row r="983">
      <c r="A983" s="8"/>
      <c r="B983" s="128"/>
      <c r="C983" s="128"/>
      <c r="D983" s="128"/>
      <c r="E983" s="128"/>
      <c r="F983" s="128"/>
      <c r="G983" s="128"/>
      <c r="I983" s="103"/>
      <c r="J983" s="103"/>
      <c r="K983" s="103"/>
      <c r="L983" s="103"/>
      <c r="M983" s="103"/>
      <c r="N983" s="103"/>
      <c r="O983" s="103"/>
      <c r="P983" s="103"/>
    </row>
    <row r="984">
      <c r="A984" s="8"/>
      <c r="B984" s="128"/>
      <c r="C984" s="128"/>
      <c r="D984" s="128"/>
      <c r="E984" s="128"/>
      <c r="F984" s="128"/>
      <c r="G984" s="128"/>
      <c r="I984" s="103"/>
      <c r="J984" s="103"/>
      <c r="K984" s="103"/>
      <c r="L984" s="103"/>
      <c r="M984" s="103"/>
      <c r="N984" s="103"/>
      <c r="O984" s="103"/>
      <c r="P984" s="103"/>
    </row>
    <row r="985">
      <c r="A985" s="8"/>
      <c r="B985" s="128"/>
      <c r="C985" s="128"/>
      <c r="D985" s="128"/>
      <c r="E985" s="128"/>
      <c r="F985" s="128"/>
      <c r="G985" s="128"/>
      <c r="I985" s="103"/>
      <c r="J985" s="103"/>
      <c r="K985" s="103"/>
      <c r="L985" s="103"/>
      <c r="M985" s="103"/>
      <c r="N985" s="103"/>
      <c r="O985" s="103"/>
      <c r="P985" s="103"/>
    </row>
    <row r="986">
      <c r="A986" s="8"/>
      <c r="B986" s="128"/>
      <c r="C986" s="128"/>
      <c r="D986" s="128"/>
      <c r="E986" s="128"/>
      <c r="F986" s="128"/>
      <c r="G986" s="128"/>
      <c r="I986" s="103"/>
      <c r="J986" s="103"/>
      <c r="K986" s="103"/>
      <c r="L986" s="103"/>
      <c r="M986" s="103"/>
      <c r="N986" s="103"/>
      <c r="O986" s="103"/>
      <c r="P986" s="103"/>
    </row>
    <row r="987">
      <c r="A987" s="8"/>
      <c r="B987" s="128"/>
      <c r="C987" s="128"/>
      <c r="D987" s="128"/>
      <c r="E987" s="128"/>
      <c r="F987" s="128"/>
      <c r="G987" s="128"/>
      <c r="I987" s="103"/>
      <c r="J987" s="103"/>
      <c r="K987" s="103"/>
      <c r="L987" s="103"/>
      <c r="M987" s="103"/>
      <c r="N987" s="103"/>
      <c r="O987" s="103"/>
      <c r="P987" s="103"/>
    </row>
    <row r="988">
      <c r="A988" s="8"/>
      <c r="B988" s="128"/>
      <c r="C988" s="128"/>
      <c r="D988" s="128"/>
      <c r="E988" s="128"/>
      <c r="F988" s="128"/>
      <c r="G988" s="128"/>
      <c r="I988" s="103"/>
      <c r="J988" s="103"/>
      <c r="K988" s="103"/>
      <c r="L988" s="103"/>
      <c r="M988" s="103"/>
      <c r="N988" s="103"/>
      <c r="O988" s="103"/>
      <c r="P988" s="103"/>
    </row>
    <row r="989">
      <c r="A989" s="8"/>
      <c r="B989" s="128"/>
      <c r="C989" s="128"/>
      <c r="D989" s="128"/>
      <c r="E989" s="128"/>
      <c r="F989" s="128"/>
      <c r="G989" s="128"/>
      <c r="I989" s="103"/>
      <c r="J989" s="103"/>
      <c r="K989" s="103"/>
      <c r="L989" s="103"/>
      <c r="M989" s="103"/>
      <c r="N989" s="103"/>
      <c r="O989" s="103"/>
      <c r="P989" s="103"/>
    </row>
    <row r="990">
      <c r="A990" s="8"/>
      <c r="B990" s="128"/>
      <c r="C990" s="128"/>
      <c r="D990" s="128"/>
      <c r="E990" s="128"/>
      <c r="F990" s="128"/>
      <c r="G990" s="128"/>
      <c r="I990" s="103"/>
      <c r="J990" s="103"/>
      <c r="K990" s="103"/>
      <c r="L990" s="103"/>
      <c r="M990" s="103"/>
      <c r="N990" s="103"/>
      <c r="O990" s="103"/>
      <c r="P990" s="103"/>
    </row>
    <row r="991">
      <c r="A991" s="8"/>
      <c r="B991" s="128"/>
      <c r="C991" s="128"/>
      <c r="D991" s="128"/>
      <c r="E991" s="128"/>
      <c r="F991" s="128"/>
      <c r="G991" s="128"/>
      <c r="I991" s="103"/>
      <c r="J991" s="103"/>
      <c r="K991" s="103"/>
      <c r="L991" s="103"/>
      <c r="M991" s="103"/>
      <c r="N991" s="103"/>
      <c r="O991" s="103"/>
      <c r="P991" s="103"/>
    </row>
    <row r="992">
      <c r="A992" s="8"/>
      <c r="B992" s="128"/>
      <c r="C992" s="128"/>
      <c r="D992" s="128"/>
      <c r="E992" s="128"/>
      <c r="F992" s="128"/>
      <c r="G992" s="128"/>
      <c r="I992" s="103"/>
      <c r="J992" s="103"/>
      <c r="K992" s="103"/>
      <c r="L992" s="103"/>
      <c r="M992" s="103"/>
      <c r="N992" s="103"/>
      <c r="O992" s="103"/>
      <c r="P992" s="103"/>
    </row>
    <row r="993">
      <c r="A993" s="8"/>
      <c r="B993" s="128"/>
      <c r="C993" s="128"/>
      <c r="D993" s="128"/>
      <c r="E993" s="128"/>
      <c r="F993" s="128"/>
      <c r="G993" s="128"/>
      <c r="I993" s="103"/>
      <c r="J993" s="103"/>
      <c r="K993" s="103"/>
      <c r="L993" s="103"/>
      <c r="M993" s="103"/>
      <c r="N993" s="103"/>
      <c r="O993" s="103"/>
      <c r="P993" s="103"/>
    </row>
    <row r="994">
      <c r="A994" s="8"/>
      <c r="B994" s="128"/>
      <c r="C994" s="128"/>
      <c r="D994" s="128"/>
      <c r="E994" s="128"/>
      <c r="F994" s="128"/>
      <c r="G994" s="128"/>
      <c r="I994" s="103"/>
      <c r="J994" s="103"/>
      <c r="K994" s="103"/>
      <c r="L994" s="103"/>
      <c r="M994" s="103"/>
      <c r="N994" s="103"/>
      <c r="O994" s="103"/>
      <c r="P994" s="103"/>
    </row>
    <row r="995">
      <c r="A995" s="8"/>
      <c r="B995" s="128"/>
      <c r="C995" s="128"/>
      <c r="D995" s="128"/>
      <c r="E995" s="128"/>
      <c r="F995" s="128"/>
      <c r="G995" s="128"/>
      <c r="I995" s="103"/>
      <c r="J995" s="103"/>
      <c r="K995" s="103"/>
      <c r="L995" s="103"/>
      <c r="M995" s="103"/>
      <c r="N995" s="103"/>
      <c r="O995" s="103"/>
      <c r="P995" s="103"/>
    </row>
    <row r="996">
      <c r="A996" s="8"/>
      <c r="B996" s="128"/>
      <c r="C996" s="128"/>
      <c r="D996" s="128"/>
      <c r="E996" s="128"/>
      <c r="F996" s="128"/>
      <c r="G996" s="128"/>
      <c r="I996" s="103"/>
      <c r="J996" s="103"/>
      <c r="K996" s="103"/>
      <c r="L996" s="103"/>
      <c r="M996" s="103"/>
      <c r="N996" s="103"/>
      <c r="O996" s="103"/>
      <c r="P996" s="103"/>
    </row>
    <row r="997">
      <c r="A997" s="8"/>
      <c r="B997" s="128"/>
      <c r="C997" s="128"/>
      <c r="D997" s="128"/>
      <c r="E997" s="128"/>
      <c r="F997" s="128"/>
      <c r="G997" s="128"/>
      <c r="I997" s="103"/>
      <c r="J997" s="103"/>
      <c r="K997" s="103"/>
      <c r="L997" s="103"/>
      <c r="M997" s="103"/>
      <c r="N997" s="103"/>
      <c r="O997" s="103"/>
      <c r="P997" s="103"/>
    </row>
    <row r="998">
      <c r="A998" s="8"/>
      <c r="B998" s="128"/>
      <c r="C998" s="128"/>
      <c r="D998" s="128"/>
      <c r="E998" s="128"/>
      <c r="F998" s="128"/>
      <c r="G998" s="128"/>
      <c r="I998" s="103"/>
      <c r="J998" s="103"/>
      <c r="K998" s="103"/>
      <c r="L998" s="103"/>
      <c r="M998" s="103"/>
      <c r="N998" s="103"/>
      <c r="O998" s="103"/>
      <c r="P998" s="103"/>
    </row>
    <row r="999">
      <c r="A999" s="8"/>
      <c r="B999" s="128"/>
      <c r="C999" s="128"/>
      <c r="D999" s="128"/>
      <c r="E999" s="128"/>
      <c r="F999" s="128"/>
      <c r="G999" s="128"/>
      <c r="I999" s="103"/>
      <c r="J999" s="103"/>
      <c r="K999" s="103"/>
      <c r="L999" s="103"/>
      <c r="M999" s="103"/>
      <c r="N999" s="103"/>
      <c r="O999" s="103"/>
      <c r="P999" s="103"/>
    </row>
    <row r="1000">
      <c r="A1000" s="8"/>
      <c r="B1000" s="128"/>
      <c r="C1000" s="128"/>
      <c r="D1000" s="128"/>
      <c r="E1000" s="128"/>
      <c r="F1000" s="128"/>
      <c r="G1000" s="128"/>
      <c r="I1000" s="103"/>
      <c r="J1000" s="103"/>
      <c r="K1000" s="103"/>
      <c r="L1000" s="103"/>
      <c r="M1000" s="103"/>
      <c r="N1000" s="103"/>
      <c r="O1000" s="103"/>
      <c r="P1000" s="10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3"/>
    <col customWidth="1" min="2" max="2" width="7.0"/>
    <col customWidth="1" min="3" max="3" width="6.25"/>
    <col customWidth="1" min="4" max="4" width="28.63"/>
    <col customWidth="1" min="5" max="5" width="26.38"/>
    <col customWidth="1" min="6" max="6" width="11.88"/>
    <col customWidth="1" min="7" max="7" width="7.88"/>
    <col customWidth="1" min="8" max="8" width="12.38"/>
    <col customWidth="1" min="9" max="9" width="24.25"/>
    <col customWidth="1" min="10" max="10" width="2.38"/>
    <col customWidth="1" min="11" max="11" width="7.88"/>
    <col customWidth="1" min="12" max="12" width="6.25"/>
    <col customWidth="1" min="13" max="13" width="25.75"/>
    <col customWidth="1" min="14" max="14" width="19.0"/>
    <col customWidth="1" min="15" max="15" width="10.38"/>
    <col customWidth="1" min="16" max="16" width="13.38"/>
    <col customWidth="1" min="17" max="17" width="14.13"/>
    <col customWidth="1" min="19" max="19" width="22.13"/>
  </cols>
  <sheetData>
    <row r="1" ht="9.75" customHeight="1">
      <c r="A1" s="199"/>
      <c r="B1" s="111"/>
      <c r="C1" s="101"/>
      <c r="D1" s="120"/>
      <c r="E1" s="101"/>
      <c r="F1" s="101"/>
      <c r="G1" s="101"/>
      <c r="H1" s="101"/>
      <c r="I1" s="101"/>
      <c r="J1" s="101"/>
      <c r="K1" s="111"/>
      <c r="L1" s="101"/>
      <c r="M1" s="120"/>
      <c r="N1" s="101"/>
      <c r="O1" s="101"/>
      <c r="P1" s="101"/>
      <c r="AC1" s="200"/>
    </row>
    <row r="2">
      <c r="A2" s="101"/>
      <c r="B2" s="201" t="s">
        <v>661</v>
      </c>
      <c r="C2" s="202"/>
      <c r="D2" s="202"/>
      <c r="E2" s="202"/>
      <c r="F2" s="203"/>
      <c r="G2" s="204"/>
      <c r="H2" s="205"/>
      <c r="I2" s="206"/>
      <c r="J2" s="101"/>
      <c r="K2" s="207" t="s">
        <v>662</v>
      </c>
      <c r="L2" s="202"/>
      <c r="M2" s="202"/>
      <c r="N2" s="202"/>
      <c r="O2" s="203"/>
      <c r="P2" s="208"/>
      <c r="AC2" s="200"/>
    </row>
    <row r="3" ht="34.5" customHeight="1">
      <c r="A3" s="209"/>
      <c r="B3" s="210" t="s">
        <v>614</v>
      </c>
      <c r="C3" s="211" t="str">
        <f>IFERROR(__xludf.DUMMYFUNCTION("QUERY('BD MPP'!B1:P233,""SELECT B,C,L ,D,E,I ORDER BY E DESC"",1)"),"MOVIL")</f>
        <v>MOVIL</v>
      </c>
      <c r="D3" s="211" t="str">
        <f>IFERROR(__xludf.DUMMYFUNCTION("""COMPUTED_VALUE"""),"DESCRIPCIÓN")</f>
        <v>DESCRIPCIÓN</v>
      </c>
      <c r="E3" s="211" t="str">
        <f>IFERROR(__xludf.DUMMYFUNCTION("""COMPUTED_VALUE"""),"POBLACION")</f>
        <v>POBLACION</v>
      </c>
      <c r="F3" s="211" t="str">
        <f>IFERROR(__xludf.DUMMYFUNCTION("""COMPUTED_VALUE"""),"F ULTIMA INSPECCION")</f>
        <v>F ULTIMA INSPECCION</v>
      </c>
      <c r="G3" s="211" t="str">
        <f>IFERROR(__xludf.DUMMYFUNCTION("""COMPUTED_VALUE"""),"TIEMPO MPP")</f>
        <v>TIEMPO MPP</v>
      </c>
      <c r="H3" s="212" t="str">
        <f>IFERROR(__xludf.DUMMYFUNCTION("""COMPUTED_VALUE"""),"ESTADO TIEMPO")</f>
        <v>ESTADO TIEMPO</v>
      </c>
      <c r="I3" s="122"/>
      <c r="J3" s="122"/>
      <c r="K3" s="210" t="s">
        <v>614</v>
      </c>
      <c r="L3" s="213" t="str">
        <f>IFERROR(__xludf.DUMMYFUNCTION("QUERY('BD MPP'!B1:P233,""SELECT B,C,L,H,J ORDER BY H desc"",1)"),"MOVIL")</f>
        <v>MOVIL</v>
      </c>
      <c r="M3" s="211" t="str">
        <f>IFERROR(__xludf.DUMMYFUNCTION("""COMPUTED_VALUE"""),"DESCRIPCIÓN")</f>
        <v>DESCRIPCIÓN</v>
      </c>
      <c r="N3" s="211" t="str">
        <f>IFERROR(__xludf.DUMMYFUNCTION("""COMPUTED_VALUE"""),"POBLACION")</f>
        <v>POBLACION</v>
      </c>
      <c r="O3" s="211" t="str">
        <f>IFERROR(__xludf.DUMMYFUNCTION("""COMPUTED_VALUE"""),"KM DEL MPP")</f>
        <v>KM DEL MPP</v>
      </c>
      <c r="P3" s="212" t="str">
        <f>IFERROR(__xludf.DUMMYFUNCTION("""COMPUTED_VALUE"""),"ESTADO KM")</f>
        <v>ESTADO KM</v>
      </c>
      <c r="Q3" s="214"/>
      <c r="R3" s="214"/>
      <c r="S3" s="214"/>
      <c r="T3" s="214"/>
      <c r="U3" s="214"/>
      <c r="V3" s="215" t="s">
        <v>611</v>
      </c>
      <c r="W3" s="114"/>
      <c r="X3" s="214"/>
      <c r="Y3" s="216" t="s">
        <v>621</v>
      </c>
      <c r="Z3" s="217"/>
      <c r="AA3" s="217"/>
      <c r="AB3" s="217"/>
      <c r="AC3" s="217"/>
      <c r="AD3" s="217"/>
      <c r="AE3" s="217"/>
      <c r="AF3" s="217"/>
      <c r="AG3" s="217"/>
      <c r="AH3" s="218"/>
      <c r="AJ3" s="219" t="s">
        <v>663</v>
      </c>
      <c r="AK3" s="114"/>
    </row>
    <row r="4">
      <c r="A4" s="120"/>
      <c r="B4" s="220">
        <v>1.0</v>
      </c>
      <c r="C4" s="78">
        <f>IFERROR(__xludf.DUMMYFUNCTION("""COMPUTED_VALUE"""),2275.0)</f>
        <v>2275</v>
      </c>
      <c r="D4" s="221">
        <f>IFERROR(__xludf.DUMMYFUNCTION("""COMPUTED_VALUE"""),46263.0)</f>
        <v>46263</v>
      </c>
      <c r="E4" s="78" t="str">
        <f>IFERROR(__xludf.DUMMYFUNCTION("""COMPUTED_VALUE"""),"02-Medellin")</f>
        <v>02-Medellin</v>
      </c>
      <c r="F4" s="156">
        <f>IFERROR(__xludf.DUMMYFUNCTION("""COMPUTED_VALUE"""),46062.0)</f>
        <v>46062</v>
      </c>
      <c r="G4" s="159">
        <f>IFERROR(__xludf.DUMMYFUNCTION("""COMPUTED_VALUE"""),154.0)</f>
        <v>154</v>
      </c>
      <c r="H4" s="222" t="str">
        <f>IFERROR(__xludf.DUMMYFUNCTION("""COMPUTED_VALUE"""),"PASADO")</f>
        <v>PASADO</v>
      </c>
      <c r="I4" s="173" t="str">
        <f t="shared" ref="I4:I251" si="1">IF(OR(H4="PASADO",H4="PROXIMO"),IF(ISNUMBER(MATCH(C4,W$4:W$163,0)),IF(ISNUMBER(MATCH(C4,V$4:V$163,0)),"HECHO","PEDIDO"),"NO PEDIDO"),"-")</f>
        <v>NO PEDIDO</v>
      </c>
      <c r="J4" s="101"/>
      <c r="K4" s="220">
        <v>1.0</v>
      </c>
      <c r="L4" s="78">
        <f>IFERROR(__xludf.DUMMYFUNCTION("""COMPUTED_VALUE"""),2779.0)</f>
        <v>2779</v>
      </c>
      <c r="M4" s="221">
        <f>IFERROR(__xludf.DUMMYFUNCTION("""COMPUTED_VALUE"""),46306.0)</f>
        <v>46306</v>
      </c>
      <c r="N4" s="78" t="str">
        <f>IFERROR(__xludf.DUMMYFUNCTION("""COMPUTED_VALUE"""),"02-Medellin")</f>
        <v>02-Medellin</v>
      </c>
      <c r="O4" s="159">
        <f>IFERROR(__xludf.DUMMYFUNCTION("""COMPUTED_VALUE"""),21170.2)</f>
        <v>21170.2</v>
      </c>
      <c r="P4" s="222" t="str">
        <f>IFERROR(__xludf.DUMMYFUNCTION("""COMPUTED_VALUE"""),"PASADO")</f>
        <v>PASADO</v>
      </c>
      <c r="Q4" s="8" t="str">
        <f t="shared" ref="Q4:Q237" si="2">IF(OR(P4="PASADO",P4="PROXIMO"),IF(ISNUMBER(MATCH(P4,W$4:W$163,0)),IF(ISNUMBER(MATCH(P4,V$4:V$163,0)),"HECHO","PEDIDO"),"NO PEDIDO"),"--")</f>
        <v>NO PEDIDO</v>
      </c>
      <c r="S4" s="223"/>
      <c r="T4" s="224" t="s">
        <v>664</v>
      </c>
      <c r="V4" s="225" t="s">
        <v>619</v>
      </c>
      <c r="W4" s="225" t="s">
        <v>620</v>
      </c>
      <c r="Y4" s="226">
        <f>IFERROR(__xludf.DUMMYFUNCTION("UNIQUE(FLATTEN(IFERROR(FILTER(MPP!C4:C237,I4:I237=""NO PEDIDO""),""""),IFERROR(FILTER(L4:L237,Q4:Q237=""NO PEDIDO""),"""")))"),2275.0)</f>
        <v>2275</v>
      </c>
      <c r="Z4" s="227">
        <f>IF(Y4="","",VLOOKUP(Y4,'BD LUB'!$A$2:$L$223,5,FALSE)/VLOOKUP(Y4,'BD LUB'!$A$2:$L$223,7,FALSE)+(VLOOKUP(Y4,'BD LUB'!$A$2:$L$223,6,FALSE)/VLOOKUP(Y4,'BD LUB'!$A$2:$L$223,8,FALSE)))</f>
        <v>1.266866667</v>
      </c>
      <c r="AA4" s="228">
        <f t="array" ref="AA4">IF(Y4="","",IFERROR(
  CHOOSE(
    MATCH(
      XLOOKUP(Y4,'BD MPP'!$B2:$B223,'BD MPP'!$I2:I223)&amp;"-"&amp;
      XLOOKUP(Y4,'BD MPP'!$B2:$B223,'BD MPP'!$J2:J223),
      {"PASADO-PASADO";
       "PASADO-PROXIMO";
       "PROXIMO-PASADO";
       "PASADO-VIGENTE";
       "VIGENTE-PASADO";
       "PROXIMO-PROXIMO";
       "PROXIMO-VIGENTE";
       "VIGENTE-PROXIMO";
       "VIGENTE-VIGENTE"},
      0
    ),
    1,2,2,3,3,4,5,5,6
  ),
"No definido"))</f>
        <v>3</v>
      </c>
      <c r="AB4" s="229">
        <f>IFERROR(__xludf.DUMMYFUNCTION("FLATTEN(QUERY(C4:I237,""SELECT C WHERE (H='PASADO' OR H='PROXIMO') AND (I='PEDIDO' OR I='NO PEDIDO')""),QUERY(L4:R226,""SELECT L WHERE (P='PASADO' OR P='PROXIMO') AND (Q='PEDIDO' OR Q='NO PEDIDO')""))"),2275.0)</f>
        <v>2275</v>
      </c>
      <c r="AC4" s="230">
        <f>IF(AB4="","",VLOOKUP(AB4,'BD LUB'!$A$2:$L$223,5,FALSE)/VLOOKUP(AB4,'BD LUB'!$A$2:$L$223,7,FALSE)+(VLOOKUP(AB4,'BD LUB'!$A$2:$L$223,6,FALSE)/VLOOKUP(AB4,'BD LUB'!$A$2:$L$223,8,FALSE)))</f>
        <v>1.266866667</v>
      </c>
      <c r="AD4" s="231">
        <f t="array" ref="AD4">IF(AB4="","",IFERROR(
  CHOOSE(
    MATCH(
      XLOOKUP(AB4,'BD MPP'!$B2:$B223,'BD MPP'!$I2:I223)&amp;"-"&amp;
      XLOOKUP(AB4,'BD MPP'!$B2:$B223,'BD MPP'!$J2:J223),
      {"PASADO-PASADO";
       "PASADO-PROXIMO";
       "PROXIMO-PASADO";
       "PASADO-VIGENTE";
       "VIGENTE-PASADO";
       "PROXIMO-PROXIMO";
       "PROXIMO-VIGENTE";
       "VIGENTE-PROXIMO";
       "VIGENTE-VIGENTE"},
      0
    ),
    1,2,2,3,3,4,5,5,6
  ),
"No definido"))</f>
        <v>3</v>
      </c>
      <c r="AE4" s="226">
        <f>IFERROR(__xludf.DUMMYFUNCTION("QUERY(AB4:AD226,""select AB ORDER BY AC DESC,AD ASC"")"),2880.0)</f>
        <v>2880</v>
      </c>
      <c r="AF4" s="232" t="str">
        <f t="array" ref="AF4">XLOOKUP(AE4,'BD MPP'!B:B,'BD MPP'!L:L)</f>
        <v>MAYORCA</v>
      </c>
      <c r="AG4" s="232" t="str">
        <f t="shared" ref="AG4:AG34" si="3">XLOOKUP(AF4,$AJ$4:$AJ$21,$AK$4:$AK$21)</f>
        <v>MAY</v>
      </c>
      <c r="AH4" s="228" t="str">
        <f t="shared" ref="AH4:AH37" si="4">AE4&amp; " " &amp; AG4</f>
        <v>2880 MAY</v>
      </c>
      <c r="AJ4" s="233" t="s">
        <v>622</v>
      </c>
      <c r="AK4" s="234" t="s">
        <v>665</v>
      </c>
    </row>
    <row r="5">
      <c r="A5" s="120"/>
      <c r="B5" s="220">
        <v>2.0</v>
      </c>
      <c r="C5" s="155">
        <f>IFERROR(__xludf.DUMMYFUNCTION("""COMPUTED_VALUE"""),2842.0)</f>
        <v>2842</v>
      </c>
      <c r="D5" s="221">
        <f>IFERROR(__xludf.DUMMYFUNCTION("""COMPUTED_VALUE"""),46562.0)</f>
        <v>46562</v>
      </c>
      <c r="E5" s="78" t="str">
        <f>IFERROR(__xludf.DUMMYFUNCTION("""COMPUTED_VALUE"""),"24-Rionegro")</f>
        <v>24-Rionegro</v>
      </c>
      <c r="F5" s="156">
        <f>IFERROR(__xludf.DUMMYFUNCTION("""COMPUTED_VALUE"""),46069.0)</f>
        <v>46069</v>
      </c>
      <c r="G5" s="159">
        <f>IFERROR(__xludf.DUMMYFUNCTION("""COMPUTED_VALUE"""),147.0)</f>
        <v>147</v>
      </c>
      <c r="H5" s="222" t="str">
        <f>IFERROR(__xludf.DUMMYFUNCTION("""COMPUTED_VALUE"""),"PASADO")</f>
        <v>PASADO</v>
      </c>
      <c r="I5" s="173" t="str">
        <f t="shared" si="1"/>
        <v>NO PEDIDO</v>
      </c>
      <c r="J5" s="101"/>
      <c r="K5" s="220">
        <v>2.0</v>
      </c>
      <c r="L5" s="78">
        <f>IFERROR(__xludf.DUMMYFUNCTION("""COMPUTED_VALUE"""),3047.0)</f>
        <v>3047</v>
      </c>
      <c r="M5" s="221">
        <f>IFERROR(__xludf.DUMMYFUNCTION("""COMPUTED_VALUE"""),46276.0)</f>
        <v>46276</v>
      </c>
      <c r="N5" s="78" t="str">
        <f>IFERROR(__xludf.DUMMYFUNCTION("""COMPUTED_VALUE"""),"02-Medellin")</f>
        <v>02-Medellin</v>
      </c>
      <c r="O5" s="159">
        <f>IFERROR(__xludf.DUMMYFUNCTION("""COMPUTED_VALUE"""),18567.8)</f>
        <v>18567.8</v>
      </c>
      <c r="P5" s="222" t="str">
        <f>IFERROR(__xludf.DUMMYFUNCTION("""COMPUTED_VALUE"""),"PASADO")</f>
        <v>PASADO</v>
      </c>
      <c r="Q5" s="8" t="str">
        <f t="shared" si="2"/>
        <v>NO PEDIDO</v>
      </c>
      <c r="S5" s="235"/>
      <c r="T5" s="236" t="s">
        <v>666</v>
      </c>
      <c r="V5" s="237"/>
      <c r="W5" s="237" t="str">
        <f>CALENDARIO!V16</f>
        <v/>
      </c>
      <c r="Y5" s="238">
        <f>IFERROR(__xludf.DUMMYFUNCTION("""COMPUTED_VALUE"""),2842.0)</f>
        <v>2842</v>
      </c>
      <c r="Z5" s="239">
        <f>IF(Y5="","",VLOOKUP(Y5,'BD LUB'!$A$2:$L$223,5,FALSE)/VLOOKUP(Y5,'BD LUB'!$A$2:$L$223,7,FALSE)+(VLOOKUP(Y5,'BD LUB'!$A$2:$L$223,6,FALSE)/VLOOKUP(Y5,'BD LUB'!$A$2:$L$223,8,FALSE)))</f>
        <v>1.765177778</v>
      </c>
      <c r="AA5" s="222">
        <f t="array" ref="AA5">IF(Y5="","",IFERROR(
  CHOOSE(
    MATCH(
      XLOOKUP(Y5,'BD MPP'!$B3:$B224,'BD MPP'!$I3:I224)&amp;"-"&amp;
      XLOOKUP(Y5,'BD MPP'!$B3:$B224,'BD MPP'!$J3:J224),
      {"PASADO-PASADO";
       "PASADO-PROXIMO";
       "PROXIMO-PASADO";
       "PASADO-VIGENTE";
       "VIGENTE-PASADO";
       "PROXIMO-PROXIMO";
       "PROXIMO-VIGENTE";
       "VIGENTE-PROXIMO";
       "VIGENTE-VIGENTE"},
      0
    ),
    1,2,2,3,3,4,5,5,6
  ),
"No definido"))</f>
        <v>1</v>
      </c>
      <c r="AB5" s="240">
        <f>IFERROR(__xludf.DUMMYFUNCTION("""COMPUTED_VALUE"""),2842.0)</f>
        <v>2842</v>
      </c>
      <c r="AC5" s="241">
        <f>IF(AB5="","",VLOOKUP(AB5,'BD LUB'!$A$2:$L$223,5,FALSE)/VLOOKUP(AB5,'BD LUB'!$A$2:$L$223,7,FALSE)+(VLOOKUP(AB5,'BD LUB'!$A$2:$L$223,6,FALSE)/VLOOKUP(AB5,'BD LUB'!$A$2:$L$223,8,FALSE)))</f>
        <v>1.765177778</v>
      </c>
      <c r="AD5" s="242">
        <f t="array" ref="AD5">IF(AB5="","",IFERROR(
  CHOOSE(
    MATCH(
      XLOOKUP(AB5,'BD MPP'!$B3:$B224,'BD MPP'!$I3:I224)&amp;"-"&amp;
      XLOOKUP(AB5,'BD MPP'!$B3:$B224,'BD MPP'!$J3:J224),
      {"PASADO-PASADO";
       "PASADO-PROXIMO";
       "PROXIMO-PASADO";
       "PASADO-VIGENTE";
       "VIGENTE-PASADO";
       "PROXIMO-PROXIMO";
       "PROXIMO-VIGENTE";
       "VIGENTE-PROXIMO";
       "VIGENTE-VIGENTE"},
      0
    ),
    1,2,2,3,3,4,5,5,6
  ),
"No definido"))</f>
        <v>1</v>
      </c>
      <c r="AE5" s="238">
        <f>IFERROR(__xludf.DUMMYFUNCTION("""COMPUTED_VALUE"""),2276.0)</f>
        <v>2276</v>
      </c>
      <c r="AF5" s="78" t="str">
        <f t="array" ref="AF5">XLOOKUP(TRIM(AE5),TRIM('BD MPP'!B:B),'BD MPP'!L:L)</f>
        <v>02-Medellin</v>
      </c>
      <c r="AG5" s="78" t="str">
        <f t="shared" si="3"/>
        <v>MED</v>
      </c>
      <c r="AH5" s="222" t="str">
        <f t="shared" si="4"/>
        <v>2276 MED</v>
      </c>
      <c r="AJ5" s="233" t="s">
        <v>623</v>
      </c>
      <c r="AK5" s="234" t="s">
        <v>667</v>
      </c>
    </row>
    <row r="6">
      <c r="A6" s="120"/>
      <c r="B6" s="220">
        <v>3.0</v>
      </c>
      <c r="C6" s="144">
        <f>IFERROR(__xludf.DUMMYFUNCTION("""COMPUTED_VALUE"""),657.0)</f>
        <v>657</v>
      </c>
      <c r="D6" s="243">
        <f>IFERROR(__xludf.DUMMYFUNCTION("""COMPUTED_VALUE"""),46301.0)</f>
        <v>46301</v>
      </c>
      <c r="E6" s="150" t="str">
        <f>IFERROR(__xludf.DUMMYFUNCTION("""COMPUTED_VALUE"""),"02-Medellin")</f>
        <v>02-Medellin</v>
      </c>
      <c r="F6" s="149">
        <f>IFERROR(__xludf.DUMMYFUNCTION("""COMPUTED_VALUE"""),46069.0)</f>
        <v>46069</v>
      </c>
      <c r="G6" s="244">
        <f>IFERROR(__xludf.DUMMYFUNCTION("""COMPUTED_VALUE"""),147.0)</f>
        <v>147</v>
      </c>
      <c r="H6" s="245" t="str">
        <f>IFERROR(__xludf.DUMMYFUNCTION("""COMPUTED_VALUE"""),"PASADO")</f>
        <v>PASADO</v>
      </c>
      <c r="I6" s="173" t="str">
        <f t="shared" si="1"/>
        <v>NO PEDIDO</v>
      </c>
      <c r="J6" s="101"/>
      <c r="K6" s="220">
        <v>3.0</v>
      </c>
      <c r="L6" s="78">
        <f>IFERROR(__xludf.DUMMYFUNCTION("""COMPUTED_VALUE"""),2880.0)</f>
        <v>2880</v>
      </c>
      <c r="M6" s="221">
        <f>IFERROR(__xludf.DUMMYFUNCTION("""COMPUTED_VALUE"""),46226.0)</f>
        <v>46226</v>
      </c>
      <c r="N6" s="78" t="str">
        <f>IFERROR(__xludf.DUMMYFUNCTION("""COMPUTED_VALUE"""),"MAYORCA")</f>
        <v>MAYORCA</v>
      </c>
      <c r="O6" s="159">
        <f>IFERROR(__xludf.DUMMYFUNCTION("""COMPUTED_VALUE"""),17622.0)</f>
        <v>17622</v>
      </c>
      <c r="P6" s="222" t="str">
        <f>IFERROR(__xludf.DUMMYFUNCTION("""COMPUTED_VALUE"""),"PASADO")</f>
        <v>PASADO</v>
      </c>
      <c r="Q6" s="8" t="str">
        <f t="shared" si="2"/>
        <v>NO PEDIDO</v>
      </c>
      <c r="S6" s="246"/>
      <c r="T6" s="236" t="s">
        <v>668</v>
      </c>
      <c r="V6" s="237">
        <f>CALENDARIO!W17</f>
        <v>2195</v>
      </c>
      <c r="W6" s="237">
        <f>CALENDARIO!V17</f>
        <v>2195</v>
      </c>
      <c r="Y6" s="238">
        <f>IFERROR(__xludf.DUMMYFUNCTION("""COMPUTED_VALUE"""),657.0)</f>
        <v>657</v>
      </c>
      <c r="Z6" s="239">
        <f>IF(Y6="","",VLOOKUP(Y6,'BD LUB'!$A$2:$L$223,5,FALSE)/VLOOKUP(Y6,'BD LUB'!$A$2:$L$223,7,FALSE)+(VLOOKUP(Y6,'BD LUB'!$A$2:$L$223,6,FALSE)/VLOOKUP(Y6,'BD LUB'!$A$2:$L$223,8,FALSE)))</f>
        <v>1.114966667</v>
      </c>
      <c r="AA6" s="222">
        <f t="array" ref="AA6">IF(Y6="","",IFERROR(
  CHOOSE(
    MATCH(
      XLOOKUP(Y6,'BD MPP'!$B4:$B225,'BD MPP'!$I4:I225)&amp;"-"&amp;
      XLOOKUP(Y6,'BD MPP'!$B4:$B225,'BD MPP'!$J4:J225),
      {"PASADO-PASADO";
       "PASADO-PROXIMO";
       "PROXIMO-PASADO";
       "PASADO-VIGENTE";
       "VIGENTE-PASADO";
       "PROXIMO-PROXIMO";
       "PROXIMO-VIGENTE";
       "VIGENTE-PROXIMO";
       "VIGENTE-VIGENTE"},
      0
    ),
    1,2,2,3,3,4,5,5,6
  ),
"No definido"))</f>
        <v>1</v>
      </c>
      <c r="AB6" s="240">
        <f>IFERROR(__xludf.DUMMYFUNCTION("""COMPUTED_VALUE"""),657.0)</f>
        <v>657</v>
      </c>
      <c r="AC6" s="241">
        <f>IF(AB6="","",VLOOKUP(AB6,'BD LUB'!$A$2:$L$223,5,FALSE)/VLOOKUP(AB6,'BD LUB'!$A$2:$L$223,7,FALSE)+(VLOOKUP(AB6,'BD LUB'!$A$2:$L$223,6,FALSE)/VLOOKUP(AB6,'BD LUB'!$A$2:$L$223,8,FALSE)))</f>
        <v>1.114966667</v>
      </c>
      <c r="AD6" s="242">
        <f t="array" ref="AD6">IF(AB6="","",IFERROR(
  CHOOSE(
    MATCH(
      XLOOKUP(AB6,'BD MPP'!$B4:$B225,'BD MPP'!$I4:I225)&amp;"-"&amp;
      XLOOKUP(AB6,'BD MPP'!$B4:$B225,'BD MPP'!$J4:J225),
      {"PASADO-PASADO";
       "PASADO-PROXIMO";
       "PROXIMO-PASADO";
       "PASADO-VIGENTE";
       "VIGENTE-PASADO";
       "PROXIMO-PROXIMO";
       "PROXIMO-VIGENTE";
       "VIGENTE-PROXIMO";
       "VIGENTE-VIGENTE"},
      0
    ),
    1,2,2,3,3,4,5,5,6
  ),
"No definido"))</f>
        <v>1</v>
      </c>
      <c r="AE6" s="238">
        <f>IFERROR(__xludf.DUMMYFUNCTION("""COMPUTED_VALUE"""),2450.0)</f>
        <v>2450</v>
      </c>
      <c r="AF6" s="78" t="str">
        <f t="array" ref="AF6">XLOOKUP(TRIM(AE6),TRIM('BD MPP'!B:B),'BD MPP'!L:L)</f>
        <v>MAYORCA</v>
      </c>
      <c r="AG6" s="78" t="str">
        <f t="shared" si="3"/>
        <v>MAY</v>
      </c>
      <c r="AH6" s="222" t="str">
        <f t="shared" si="4"/>
        <v>2450 MAY</v>
      </c>
      <c r="AJ6" s="233" t="s">
        <v>624</v>
      </c>
      <c r="AK6" s="234" t="s">
        <v>669</v>
      </c>
    </row>
    <row r="7">
      <c r="A7" s="120"/>
      <c r="B7" s="220">
        <v>4.0</v>
      </c>
      <c r="C7" s="150">
        <f>IFERROR(__xludf.DUMMYFUNCTION("""COMPUTED_VALUE"""),464.0)</f>
        <v>464</v>
      </c>
      <c r="D7" s="247">
        <f>IFERROR(__xludf.DUMMYFUNCTION("""COMPUTED_VALUE"""),46464.0)</f>
        <v>46464</v>
      </c>
      <c r="E7" s="150" t="str">
        <f>IFERROR(__xludf.DUMMYFUNCTION("""COMPUTED_VALUE"""),"02-Medellin")</f>
        <v>02-Medellin</v>
      </c>
      <c r="F7" s="149">
        <f>IFERROR(__xludf.DUMMYFUNCTION("""COMPUTED_VALUE"""),46070.0)</f>
        <v>46070</v>
      </c>
      <c r="G7" s="244">
        <f>IFERROR(__xludf.DUMMYFUNCTION("""COMPUTED_VALUE"""),146.0)</f>
        <v>146</v>
      </c>
      <c r="H7" s="245" t="str">
        <f>IFERROR(__xludf.DUMMYFUNCTION("""COMPUTED_VALUE"""),"PASADO")</f>
        <v>PASADO</v>
      </c>
      <c r="I7" s="173" t="str">
        <f t="shared" si="1"/>
        <v>NO PEDIDO</v>
      </c>
      <c r="J7" s="101"/>
      <c r="K7" s="220">
        <v>4.0</v>
      </c>
      <c r="L7" s="78">
        <f>IFERROR(__xludf.DUMMYFUNCTION("""COMPUTED_VALUE"""),487.0)</f>
        <v>487</v>
      </c>
      <c r="M7" s="221">
        <f>IFERROR(__xludf.DUMMYFUNCTION("""COMPUTED_VALUE"""),46242.0)</f>
        <v>46242</v>
      </c>
      <c r="N7" s="78" t="str">
        <f>IFERROR(__xludf.DUMMYFUNCTION("""COMPUTED_VALUE"""),"02-Medellin")</f>
        <v>02-Medellin</v>
      </c>
      <c r="O7" s="159">
        <f>IFERROR(__xludf.DUMMYFUNCTION("""COMPUTED_VALUE"""),16561.8)</f>
        <v>16561.8</v>
      </c>
      <c r="P7" s="222" t="str">
        <f>IFERROR(__xludf.DUMMYFUNCTION("""COMPUTED_VALUE"""),"PASADO")</f>
        <v>PASADO</v>
      </c>
      <c r="Q7" s="8" t="str">
        <f t="shared" si="2"/>
        <v>NO PEDIDO</v>
      </c>
      <c r="S7" s="248"/>
      <c r="T7" s="236" t="s">
        <v>670</v>
      </c>
      <c r="V7" s="237">
        <f>CALENDARIO!W18</f>
        <v>2906</v>
      </c>
      <c r="W7" s="237">
        <f>CALENDARIO!V18</f>
        <v>2906</v>
      </c>
      <c r="Y7" s="238">
        <f>IFERROR(__xludf.DUMMYFUNCTION("""COMPUTED_VALUE"""),464.0)</f>
        <v>464</v>
      </c>
      <c r="Z7" s="239">
        <f>IF(Y7="","",VLOOKUP(Y7,'BD LUB'!$A$2:$L$223,5,FALSE)/VLOOKUP(Y7,'BD LUB'!$A$2:$L$223,7,FALSE)+(VLOOKUP(Y7,'BD LUB'!$A$2:$L$223,6,FALSE)/VLOOKUP(Y7,'BD LUB'!$A$2:$L$223,8,FALSE)))</f>
        <v>1.18678</v>
      </c>
      <c r="AA7" s="222">
        <f t="array" ref="AA7">IF(Y7="","",IFERROR(
  CHOOSE(
    MATCH(
      XLOOKUP(Y7,'BD MPP'!$B5:$B226,'BD MPP'!$I5:I226)&amp;"-"&amp;
      XLOOKUP(Y7,'BD MPP'!$B5:$B226,'BD MPP'!$J5:J226),
      {"PASADO-PASADO";
       "PASADO-PROXIMO";
       "PROXIMO-PASADO";
       "PASADO-VIGENTE";
       "VIGENTE-PASADO";
       "PROXIMO-PROXIMO";
       "PROXIMO-VIGENTE";
       "VIGENTE-PROXIMO";
       "VIGENTE-VIGENTE"},
      0
    ),
    1,2,2,3,3,4,5,5,6
  ),
"No definido"))</f>
        <v>1</v>
      </c>
      <c r="AB7" s="240">
        <f>IFERROR(__xludf.DUMMYFUNCTION("""COMPUTED_VALUE"""),464.0)</f>
        <v>464</v>
      </c>
      <c r="AC7" s="241">
        <f>IF(AB7="","",VLOOKUP(AB7,'BD LUB'!$A$2:$L$223,5,FALSE)/VLOOKUP(AB7,'BD LUB'!$A$2:$L$223,7,FALSE)+(VLOOKUP(AB7,'BD LUB'!$A$2:$L$223,6,FALSE)/VLOOKUP(AB7,'BD LUB'!$A$2:$L$223,8,FALSE)))</f>
        <v>1.18678</v>
      </c>
      <c r="AD7" s="242">
        <f t="array" ref="AD7">IF(AB7="","",IFERROR(
  CHOOSE(
    MATCH(
      XLOOKUP(AB7,'BD MPP'!$B5:$B226,'BD MPP'!$I5:I226)&amp;"-"&amp;
      XLOOKUP(AB7,'BD MPP'!$B5:$B226,'BD MPP'!$J5:J226),
      {"PASADO-PASADO";
       "PASADO-PROXIMO";
       "PROXIMO-PASADO";
       "PASADO-VIGENTE";
       "VIGENTE-PASADO";
       "PROXIMO-PROXIMO";
       "PROXIMO-VIGENTE";
       "VIGENTE-PROXIMO";
       "VIGENTE-VIGENTE"},
      0
    ),
    1,2,2,3,3,4,5,5,6
  ),
"No definido"))</f>
        <v>1</v>
      </c>
      <c r="AE7" s="238">
        <f>IFERROR(__xludf.DUMMYFUNCTION("""COMPUTED_VALUE"""),2484.0)</f>
        <v>2484</v>
      </c>
      <c r="AF7" s="78" t="str">
        <f t="array" ref="AF7">XLOOKUP(TRIM(AE7),TRIM('BD MPP'!B:B),'BD MPP'!L:L)</f>
        <v>MAYORCA</v>
      </c>
      <c r="AG7" s="78" t="str">
        <f t="shared" si="3"/>
        <v>MAY</v>
      </c>
      <c r="AH7" s="222" t="str">
        <f t="shared" si="4"/>
        <v>2484 MAY</v>
      </c>
      <c r="AJ7" s="233" t="s">
        <v>625</v>
      </c>
      <c r="AK7" s="234" t="s">
        <v>671</v>
      </c>
    </row>
    <row r="8">
      <c r="A8" s="120"/>
      <c r="B8" s="220">
        <v>5.0</v>
      </c>
      <c r="C8" s="150">
        <f>IFERROR(__xludf.DUMMYFUNCTION("""COMPUTED_VALUE"""),495.0)</f>
        <v>495</v>
      </c>
      <c r="D8" s="243">
        <f>IFERROR(__xludf.DUMMYFUNCTION("""COMPUTED_VALUE"""),46297.0)</f>
        <v>46297</v>
      </c>
      <c r="E8" s="150" t="str">
        <f>IFERROR(__xludf.DUMMYFUNCTION("""COMPUTED_VALUE"""),"02-Medellin")</f>
        <v>02-Medellin</v>
      </c>
      <c r="F8" s="149">
        <f>IFERROR(__xludf.DUMMYFUNCTION("""COMPUTED_VALUE"""),46070.0)</f>
        <v>46070</v>
      </c>
      <c r="G8" s="244">
        <f>IFERROR(__xludf.DUMMYFUNCTION("""COMPUTED_VALUE"""),146.0)</f>
        <v>146</v>
      </c>
      <c r="H8" s="245" t="str">
        <f>IFERROR(__xludf.DUMMYFUNCTION("""COMPUTED_VALUE"""),"PASADO")</f>
        <v>PASADO</v>
      </c>
      <c r="I8" s="173" t="str">
        <f t="shared" si="1"/>
        <v>NO PEDIDO</v>
      </c>
      <c r="J8" s="101"/>
      <c r="K8" s="220">
        <v>5.0</v>
      </c>
      <c r="L8" s="78">
        <f>IFERROR(__xludf.DUMMYFUNCTION("""COMPUTED_VALUE"""),2842.0)</f>
        <v>2842</v>
      </c>
      <c r="M8" s="221">
        <f>IFERROR(__xludf.DUMMYFUNCTION("""COMPUTED_VALUE"""),46562.0)</f>
        <v>46562</v>
      </c>
      <c r="N8" s="78" t="str">
        <f>IFERROR(__xludf.DUMMYFUNCTION("""COMPUTED_VALUE"""),"24-Rionegro")</f>
        <v>24-Rionegro</v>
      </c>
      <c r="O8" s="159">
        <f>IFERROR(__xludf.DUMMYFUNCTION("""COMPUTED_VALUE"""),13354.0)</f>
        <v>13354</v>
      </c>
      <c r="P8" s="222" t="str">
        <f>IFERROR(__xludf.DUMMYFUNCTION("""COMPUTED_VALUE"""),"PASADO")</f>
        <v>PASADO</v>
      </c>
      <c r="Q8" s="8" t="str">
        <f t="shared" si="2"/>
        <v>NO PEDIDO</v>
      </c>
      <c r="S8" s="249"/>
      <c r="T8" s="236" t="s">
        <v>672</v>
      </c>
      <c r="V8" s="237">
        <f>CALENDARIO!W19</f>
        <v>2360</v>
      </c>
      <c r="W8" s="237">
        <f>CALENDARIO!V19</f>
        <v>2360</v>
      </c>
      <c r="Y8" s="238">
        <f>IFERROR(__xludf.DUMMYFUNCTION("""COMPUTED_VALUE"""),495.0)</f>
        <v>495</v>
      </c>
      <c r="Z8" s="239">
        <f>IF(Y8="","",VLOOKUP(Y8,'BD LUB'!$A$2:$L$223,5,FALSE)/VLOOKUP(Y8,'BD LUB'!$A$2:$L$223,7,FALSE)+(VLOOKUP(Y8,'BD LUB'!$A$2:$L$223,6,FALSE)/VLOOKUP(Y8,'BD LUB'!$A$2:$L$223,8,FALSE)))</f>
        <v>1.531045556</v>
      </c>
      <c r="AA8" s="222">
        <f t="array" ref="AA8">IF(Y8="","",IFERROR(
  CHOOSE(
    MATCH(
      XLOOKUP(Y8,'BD MPP'!$B6:$B227,'BD MPP'!$I6:I227)&amp;"-"&amp;
      XLOOKUP(Y8,'BD MPP'!$B6:$B227,'BD MPP'!$J6:J227),
      {"PASADO-PASADO";
       "PASADO-PROXIMO";
       "PROXIMO-PASADO";
       "PASADO-VIGENTE";
       "VIGENTE-PASADO";
       "PROXIMO-PROXIMO";
       "PROXIMO-VIGENTE";
       "VIGENTE-PROXIMO";
       "VIGENTE-VIGENTE"},
      0
    ),
    1,2,2,3,3,4,5,5,6
  ),
"No definido"))</f>
        <v>1</v>
      </c>
      <c r="AB8" s="240">
        <f>IFERROR(__xludf.DUMMYFUNCTION("""COMPUTED_VALUE"""),495.0)</f>
        <v>495</v>
      </c>
      <c r="AC8" s="241">
        <f>IF(AB8="","",VLOOKUP(AB8,'BD LUB'!$A$2:$L$223,5,FALSE)/VLOOKUP(AB8,'BD LUB'!$A$2:$L$223,7,FALSE)+(VLOOKUP(AB8,'BD LUB'!$A$2:$L$223,6,FALSE)/VLOOKUP(AB8,'BD LUB'!$A$2:$L$223,8,FALSE)))</f>
        <v>1.531045556</v>
      </c>
      <c r="AD8" s="242">
        <f t="array" ref="AD8">IF(AB8="","",IFERROR(
  CHOOSE(
    MATCH(
      XLOOKUP(AB8,'BD MPP'!$B6:$B227,'BD MPP'!$I6:I227)&amp;"-"&amp;
      XLOOKUP(AB8,'BD MPP'!$B6:$B227,'BD MPP'!$J6:J227),
      {"PASADO-PASADO";
       "PASADO-PROXIMO";
       "PROXIMO-PASADO";
       "PASADO-VIGENTE";
       "VIGENTE-PASADO";
       "PROXIMO-PROXIMO";
       "PROXIMO-VIGENTE";
       "VIGENTE-PROXIMO";
       "VIGENTE-VIGENTE"},
      0
    ),
    1,2,2,3,3,4,5,5,6
  ),
"No definido"))</f>
        <v>1</v>
      </c>
      <c r="AE8" s="238">
        <f>IFERROR(__xludf.DUMMYFUNCTION("""COMPUTED_VALUE"""),2663.0)</f>
        <v>2663</v>
      </c>
      <c r="AF8" s="78" t="str">
        <f t="array" ref="AF8">XLOOKUP(TRIM(AE8),TRIM('BD MPP'!B:B),'BD MPP'!L:L)</f>
        <v>24-Rionegro</v>
      </c>
      <c r="AG8" s="78" t="str">
        <f t="shared" si="3"/>
        <v>RIO</v>
      </c>
      <c r="AH8" s="222" t="str">
        <f t="shared" si="4"/>
        <v>2663 RIO</v>
      </c>
      <c r="AJ8" s="233" t="s">
        <v>626</v>
      </c>
      <c r="AK8" s="234" t="s">
        <v>673</v>
      </c>
    </row>
    <row r="9">
      <c r="A9" s="120"/>
      <c r="B9" s="220">
        <v>6.0</v>
      </c>
      <c r="C9" s="150">
        <f>IFERROR(__xludf.DUMMYFUNCTION("""COMPUTED_VALUE"""),496.0)</f>
        <v>496</v>
      </c>
      <c r="D9" s="243">
        <f>IFERROR(__xludf.DUMMYFUNCTION("""COMPUTED_VALUE"""),46315.0)</f>
        <v>46315</v>
      </c>
      <c r="E9" s="150" t="str">
        <f>IFERROR(__xludf.DUMMYFUNCTION("""COMPUTED_VALUE"""),"02-Medellin")</f>
        <v>02-Medellin</v>
      </c>
      <c r="F9" s="149">
        <f>IFERROR(__xludf.DUMMYFUNCTION("""COMPUTED_VALUE"""),46070.0)</f>
        <v>46070</v>
      </c>
      <c r="G9" s="244">
        <f>IFERROR(__xludf.DUMMYFUNCTION("""COMPUTED_VALUE"""),146.0)</f>
        <v>146</v>
      </c>
      <c r="H9" s="245" t="str">
        <f>IFERROR(__xludf.DUMMYFUNCTION("""COMPUTED_VALUE"""),"PASADO")</f>
        <v>PASADO</v>
      </c>
      <c r="I9" s="173" t="str">
        <f t="shared" si="1"/>
        <v>NO PEDIDO</v>
      </c>
      <c r="J9" s="101"/>
      <c r="K9" s="220">
        <v>6.0</v>
      </c>
      <c r="L9" s="78">
        <f>IFERROR(__xludf.DUMMYFUNCTION("""COMPUTED_VALUE"""),495.0)</f>
        <v>495</v>
      </c>
      <c r="M9" s="221">
        <f>IFERROR(__xludf.DUMMYFUNCTION("""COMPUTED_VALUE"""),46297.0)</f>
        <v>46297</v>
      </c>
      <c r="N9" s="78" t="str">
        <f>IFERROR(__xludf.DUMMYFUNCTION("""COMPUTED_VALUE"""),"02-Medellin")</f>
        <v>02-Medellin</v>
      </c>
      <c r="O9" s="159">
        <f>IFERROR(__xludf.DUMMYFUNCTION("""COMPUTED_VALUE"""),13102.4)</f>
        <v>13102.4</v>
      </c>
      <c r="P9" s="222" t="str">
        <f>IFERROR(__xludf.DUMMYFUNCTION("""COMPUTED_VALUE"""),"PASADO")</f>
        <v>PASADO</v>
      </c>
      <c r="Q9" s="8" t="str">
        <f t="shared" si="2"/>
        <v>NO PEDIDO</v>
      </c>
      <c r="S9" s="250"/>
      <c r="T9" s="251" t="s">
        <v>674</v>
      </c>
      <c r="V9" s="237">
        <f>CALENDARIO!W20</f>
        <v>2905</v>
      </c>
      <c r="W9" s="237">
        <f>CALENDARIO!V20</f>
        <v>2905</v>
      </c>
      <c r="Y9" s="238">
        <f>IFERROR(__xludf.DUMMYFUNCTION("""COMPUTED_VALUE"""),496.0)</f>
        <v>496</v>
      </c>
      <c r="Z9" s="239">
        <f>IF(Y9="","",VLOOKUP(Y9,'BD LUB'!$A$2:$L$223,5,FALSE)/VLOOKUP(Y9,'BD LUB'!$A$2:$L$223,7,FALSE)+(VLOOKUP(Y9,'BD LUB'!$A$2:$L$223,6,FALSE)/VLOOKUP(Y9,'BD LUB'!$A$2:$L$223,8,FALSE)))</f>
        <v>1.408628889</v>
      </c>
      <c r="AA9" s="222">
        <f t="array" ref="AA9">IF(Y9="","",IFERROR(
  CHOOSE(
    MATCH(
      XLOOKUP(Y9,'BD MPP'!$B7:$B228,'BD MPP'!$I7:I228)&amp;"-"&amp;
      XLOOKUP(Y9,'BD MPP'!$B7:$B228,'BD MPP'!$J7:J228),
      {"PASADO-PASADO";
       "PASADO-PROXIMO";
       "PROXIMO-PASADO";
       "PASADO-VIGENTE";
       "VIGENTE-PASADO";
       "PROXIMO-PROXIMO";
       "PROXIMO-VIGENTE";
       "VIGENTE-PROXIMO";
       "VIGENTE-VIGENTE"},
      0
    ),
    1,2,2,3,3,4,5,5,6
  ),
"No definido"))</f>
        <v>1</v>
      </c>
      <c r="AB9" s="240">
        <f>IFERROR(__xludf.DUMMYFUNCTION("""COMPUTED_VALUE"""),496.0)</f>
        <v>496</v>
      </c>
      <c r="AC9" s="241">
        <f>IF(AB9="","",VLOOKUP(AB9,'BD LUB'!$A$2:$L$223,5,FALSE)/VLOOKUP(AB9,'BD LUB'!$A$2:$L$223,7,FALSE)+(VLOOKUP(AB9,'BD LUB'!$A$2:$L$223,6,FALSE)/VLOOKUP(AB9,'BD LUB'!$A$2:$L$223,8,FALSE)))</f>
        <v>1.408628889</v>
      </c>
      <c r="AD9" s="242">
        <f t="array" ref="AD9">IF(AB9="","",IFERROR(
  CHOOSE(
    MATCH(
      XLOOKUP(AB9,'BD MPP'!$B7:$B228,'BD MPP'!$I7:I228)&amp;"-"&amp;
      XLOOKUP(AB9,'BD MPP'!$B7:$B228,'BD MPP'!$J7:J228),
      {"PASADO-PASADO";
       "PASADO-PROXIMO";
       "PROXIMO-PASADO";
       "PASADO-VIGENTE";
       "VIGENTE-PASADO";
       "PROXIMO-PROXIMO";
       "PROXIMO-VIGENTE";
       "VIGENTE-PROXIMO";
       "VIGENTE-VIGENTE"},
      0
    ),
    1,2,2,3,3,4,5,5,6
  ),
"No definido"))</f>
        <v>1</v>
      </c>
      <c r="AE9" s="238">
        <f>IFERROR(__xludf.DUMMYFUNCTION("""COMPUTED_VALUE"""),2460.0)</f>
        <v>2460</v>
      </c>
      <c r="AF9" s="78" t="str">
        <f t="array" ref="AF9">XLOOKUP(TRIM(AE9),TRIM('BD MPP'!B:B),'BD MPP'!L:L)</f>
        <v>BULTOS</v>
      </c>
      <c r="AG9" s="78" t="str">
        <f t="shared" si="3"/>
        <v>BULT</v>
      </c>
      <c r="AH9" s="222" t="str">
        <f t="shared" si="4"/>
        <v>2460 BULT</v>
      </c>
      <c r="AJ9" s="233" t="s">
        <v>627</v>
      </c>
      <c r="AK9" s="234" t="s">
        <v>627</v>
      </c>
    </row>
    <row r="10">
      <c r="A10" s="120"/>
      <c r="B10" s="220">
        <v>7.0</v>
      </c>
      <c r="C10" s="150">
        <f>IFERROR(__xludf.DUMMYFUNCTION("""COMPUTED_VALUE"""),661.0)</f>
        <v>661</v>
      </c>
      <c r="D10" s="243">
        <f>IFERROR(__xludf.DUMMYFUNCTION("""COMPUTED_VALUE"""),46420.0)</f>
        <v>46420</v>
      </c>
      <c r="E10" s="150" t="str">
        <f>IFERROR(__xludf.DUMMYFUNCTION("""COMPUTED_VALUE"""),"02-Medellin")</f>
        <v>02-Medellin</v>
      </c>
      <c r="F10" s="149">
        <f>IFERROR(__xludf.DUMMYFUNCTION("""COMPUTED_VALUE"""),46070.0)</f>
        <v>46070</v>
      </c>
      <c r="G10" s="244">
        <f>IFERROR(__xludf.DUMMYFUNCTION("""COMPUTED_VALUE"""),146.0)</f>
        <v>146</v>
      </c>
      <c r="H10" s="245" t="str">
        <f>IFERROR(__xludf.DUMMYFUNCTION("""COMPUTED_VALUE"""),"PASADO")</f>
        <v>PASADO</v>
      </c>
      <c r="I10" s="173" t="str">
        <f t="shared" si="1"/>
        <v>NO PEDIDO</v>
      </c>
      <c r="J10" s="101"/>
      <c r="K10" s="220">
        <v>7.0</v>
      </c>
      <c r="L10" s="78">
        <f>IFERROR(__xludf.DUMMYFUNCTION("""COMPUTED_VALUE"""),2896.0)</f>
        <v>2896</v>
      </c>
      <c r="M10" s="221">
        <f>IFERROR(__xludf.DUMMYFUNCTION("""COMPUTED_VALUE"""),46242.0)</f>
        <v>46242</v>
      </c>
      <c r="N10" s="78" t="str">
        <f>IFERROR(__xludf.DUMMYFUNCTION("""COMPUTED_VALUE"""),"02-Medellin")</f>
        <v>02-Medellin</v>
      </c>
      <c r="O10" s="159">
        <f>IFERROR(__xludf.DUMMYFUNCTION("""COMPUTED_VALUE"""),12716.0)</f>
        <v>12716</v>
      </c>
      <c r="P10" s="222" t="str">
        <f>IFERROR(__xludf.DUMMYFUNCTION("""COMPUTED_VALUE"""),"PASADO")</f>
        <v>PASADO</v>
      </c>
      <c r="Q10" s="8" t="str">
        <f t="shared" si="2"/>
        <v>NO PEDIDO</v>
      </c>
      <c r="S10" s="252"/>
      <c r="T10" s="253" t="s">
        <v>675</v>
      </c>
      <c r="V10" s="237">
        <f>CALENDARIO!W21</f>
        <v>2753</v>
      </c>
      <c r="W10" s="237">
        <f>CALENDARIO!V21</f>
        <v>2753</v>
      </c>
      <c r="Y10" s="238">
        <f>IFERROR(__xludf.DUMMYFUNCTION("""COMPUTED_VALUE"""),661.0)</f>
        <v>661</v>
      </c>
      <c r="Z10" s="239">
        <f>IF(Y10="","",VLOOKUP(Y10,'BD LUB'!$A$2:$L$223,5,FALSE)/VLOOKUP(Y10,'BD LUB'!$A$2:$L$223,7,FALSE)+(VLOOKUP(Y10,'BD LUB'!$A$2:$L$223,6,FALSE)/VLOOKUP(Y10,'BD LUB'!$A$2:$L$223,8,FALSE)))</f>
        <v>1.30455</v>
      </c>
      <c r="AA10" s="222">
        <f t="array" ref="AA10">IF(Y10="","",IFERROR(
  CHOOSE(
    MATCH(
      XLOOKUP(Y10,'BD MPP'!$B8:$B229,'BD MPP'!$I8:I229)&amp;"-"&amp;
      XLOOKUP(Y10,'BD MPP'!$B8:$B229,'BD MPP'!$J8:J229),
      {"PASADO-PASADO";
       "PASADO-PROXIMO";
       "PROXIMO-PASADO";
       "PASADO-VIGENTE";
       "VIGENTE-PASADO";
       "PROXIMO-PROXIMO";
       "PROXIMO-VIGENTE";
       "VIGENTE-PROXIMO";
       "VIGENTE-VIGENTE"},
      0
    ),
    1,2,2,3,3,4,5,5,6
  ),
"No definido"))</f>
        <v>1</v>
      </c>
      <c r="AB10" s="240">
        <f>IFERROR(__xludf.DUMMYFUNCTION("""COMPUTED_VALUE"""),661.0)</f>
        <v>661</v>
      </c>
      <c r="AC10" s="241">
        <f>IF(AB10="","",VLOOKUP(AB10,'BD LUB'!$A$2:$L$223,5,FALSE)/VLOOKUP(AB10,'BD LUB'!$A$2:$L$223,7,FALSE)+(VLOOKUP(AB10,'BD LUB'!$A$2:$L$223,6,FALSE)/VLOOKUP(AB10,'BD LUB'!$A$2:$L$223,8,FALSE)))</f>
        <v>1.30455</v>
      </c>
      <c r="AD10" s="242">
        <f t="array" ref="AD10">IF(AB10="","",IFERROR(
  CHOOSE(
    MATCH(
      XLOOKUP(AB10,'BD MPP'!$B8:$B229,'BD MPP'!$I8:I229)&amp;"-"&amp;
      XLOOKUP(AB10,'BD MPP'!$B8:$B229,'BD MPP'!$J8:J229),
      {"PASADO-PASADO";
       "PASADO-PROXIMO";
       "PROXIMO-PASADO";
       "PASADO-VIGENTE";
       "VIGENTE-PASADO";
       "PROXIMO-PROXIMO";
       "PROXIMO-VIGENTE";
       "VIGENTE-PROXIMO";
       "VIGENTE-VIGENTE"},
      0
    ),
    1,2,2,3,3,4,5,5,6
  ),
"No definido"))</f>
        <v>1</v>
      </c>
      <c r="AE10" s="238">
        <f>IFERROR(__xludf.DUMMYFUNCTION("""COMPUTED_VALUE"""),3281.0)</f>
        <v>3281</v>
      </c>
      <c r="AF10" s="78" t="str">
        <f t="array" ref="AF10">XLOOKUP(TRIM(AE10),TRIM('BD MPP'!B:B),'BD MPP'!L:L)</f>
        <v>02-Medellin</v>
      </c>
      <c r="AG10" s="78" t="str">
        <f t="shared" si="3"/>
        <v>MED</v>
      </c>
      <c r="AH10" s="222" t="str">
        <f t="shared" si="4"/>
        <v>3281 MED</v>
      </c>
      <c r="AJ10" s="233" t="s">
        <v>628</v>
      </c>
      <c r="AK10" s="234" t="s">
        <v>676</v>
      </c>
    </row>
    <row r="11">
      <c r="A11" s="120"/>
      <c r="B11" s="220">
        <v>8.0</v>
      </c>
      <c r="C11" s="150">
        <f>IFERROR(__xludf.DUMMYFUNCTION("""COMPUTED_VALUE"""),2857.0)</f>
        <v>2857</v>
      </c>
      <c r="D11" s="243">
        <f>IFERROR(__xludf.DUMMYFUNCTION("""COMPUTED_VALUE"""),46215.0)</f>
        <v>46215</v>
      </c>
      <c r="E11" s="150" t="str">
        <f>IFERROR(__xludf.DUMMYFUNCTION("""COMPUTED_VALUE"""),"24-Rionegro")</f>
        <v>24-Rionegro</v>
      </c>
      <c r="F11" s="149">
        <f>IFERROR(__xludf.DUMMYFUNCTION("""COMPUTED_VALUE"""),46072.0)</f>
        <v>46072</v>
      </c>
      <c r="G11" s="244">
        <f>IFERROR(__xludf.DUMMYFUNCTION("""COMPUTED_VALUE"""),144.0)</f>
        <v>144</v>
      </c>
      <c r="H11" s="245" t="str">
        <f>IFERROR(__xludf.DUMMYFUNCTION("""COMPUTED_VALUE"""),"PASADO")</f>
        <v>PASADO</v>
      </c>
      <c r="I11" s="173" t="str">
        <f t="shared" si="1"/>
        <v>NO PEDIDO</v>
      </c>
      <c r="J11" s="101"/>
      <c r="K11" s="220">
        <v>8.0</v>
      </c>
      <c r="L11" s="78">
        <f>IFERROR(__xludf.DUMMYFUNCTION("""COMPUTED_VALUE"""),657.0)</f>
        <v>657</v>
      </c>
      <c r="M11" s="221">
        <f>IFERROR(__xludf.DUMMYFUNCTION("""COMPUTED_VALUE"""),46301.0)</f>
        <v>46301</v>
      </c>
      <c r="N11" s="78" t="str">
        <f>IFERROR(__xludf.DUMMYFUNCTION("""COMPUTED_VALUE"""),"02-Medellin")</f>
        <v>02-Medellin</v>
      </c>
      <c r="O11" s="159">
        <f>IFERROR(__xludf.DUMMYFUNCTION("""COMPUTED_VALUE"""),11182.7)</f>
        <v>11182.7</v>
      </c>
      <c r="P11" s="222" t="str">
        <f>IFERROR(__xludf.DUMMYFUNCTION("""COMPUTED_VALUE"""),"PASADO")</f>
        <v>PASADO</v>
      </c>
      <c r="Q11" s="8" t="str">
        <f t="shared" si="2"/>
        <v>NO PEDIDO</v>
      </c>
      <c r="V11" s="237">
        <f>CALENDARIO!W22</f>
        <v>2201</v>
      </c>
      <c r="W11" s="237">
        <f>CALENDARIO!V22</f>
        <v>2201</v>
      </c>
      <c r="Y11" s="238">
        <f>IFERROR(__xludf.DUMMYFUNCTION("""COMPUTED_VALUE"""),2857.0)</f>
        <v>2857</v>
      </c>
      <c r="Z11" s="239">
        <f>IF(Y11="","",VLOOKUP(Y11,'BD LUB'!$A$2:$L$223,5,FALSE)/VLOOKUP(Y11,'BD LUB'!$A$2:$L$223,7,FALSE)+(VLOOKUP(Y11,'BD LUB'!$A$2:$L$223,6,FALSE)/VLOOKUP(Y11,'BD LUB'!$A$2:$L$223,8,FALSE)))</f>
        <v>0.1540222222</v>
      </c>
      <c r="AA11" s="222">
        <f t="array" ref="AA11">IF(Y11="","",IFERROR(
  CHOOSE(
    MATCH(
      XLOOKUP(Y11,'BD MPP'!$B9:$B230,'BD MPP'!$I9:I230)&amp;"-"&amp;
      XLOOKUP(Y11,'BD MPP'!$B9:$B230,'BD MPP'!$J9:J230),
      {"PASADO-PASADO";
       "PASADO-PROXIMO";
       "PROXIMO-PASADO";
       "PASADO-VIGENTE";
       "VIGENTE-PASADO";
       "PROXIMO-PROXIMO";
       "PROXIMO-VIGENTE";
       "VIGENTE-PROXIMO";
       "VIGENTE-VIGENTE"},
      0
    ),
    1,2,2,3,3,4,5,5,6
  ),
"No definido"))</f>
        <v>1</v>
      </c>
      <c r="AB11" s="240">
        <f>IFERROR(__xludf.DUMMYFUNCTION("""COMPUTED_VALUE"""),2857.0)</f>
        <v>2857</v>
      </c>
      <c r="AC11" s="241">
        <f>IF(AB11="","",VLOOKUP(AB11,'BD LUB'!$A$2:$L$223,5,FALSE)/VLOOKUP(AB11,'BD LUB'!$A$2:$L$223,7,FALSE)+(VLOOKUP(AB11,'BD LUB'!$A$2:$L$223,6,FALSE)/VLOOKUP(AB11,'BD LUB'!$A$2:$L$223,8,FALSE)))</f>
        <v>0.1540222222</v>
      </c>
      <c r="AD11" s="242">
        <f t="array" ref="AD11">IF(AB11="","",IFERROR(
  CHOOSE(
    MATCH(
      XLOOKUP(AB11,'BD MPP'!$B9:$B230,'BD MPP'!$I9:I230)&amp;"-"&amp;
      XLOOKUP(AB11,'BD MPP'!$B9:$B230,'BD MPP'!$J9:J230),
      {"PASADO-PASADO";
       "PASADO-PROXIMO";
       "PROXIMO-PASADO";
       "PASADO-VIGENTE";
       "VIGENTE-PASADO";
       "PROXIMO-PROXIMO";
       "PROXIMO-VIGENTE";
       "VIGENTE-PROXIMO";
       "VIGENTE-VIGENTE"},
      0
    ),
    1,2,2,3,3,4,5,5,6
  ),
"No definido"))</f>
        <v>1</v>
      </c>
      <c r="AE11" s="238">
        <f>IFERROR(__xludf.DUMMYFUNCTION("""COMPUTED_VALUE"""),2853.0)</f>
        <v>2853</v>
      </c>
      <c r="AF11" s="78" t="str">
        <f t="array" ref="AF11">XLOOKUP(TRIM(AE11),TRIM('BD MPP'!B:B),'BD MPP'!L:L)</f>
        <v>BULTOS</v>
      </c>
      <c r="AG11" s="78" t="str">
        <f t="shared" si="3"/>
        <v>BULT</v>
      </c>
      <c r="AH11" s="222" t="str">
        <f t="shared" si="4"/>
        <v>2853 BULT</v>
      </c>
      <c r="AJ11" s="254" t="s">
        <v>629</v>
      </c>
      <c r="AK11" s="234" t="s">
        <v>677</v>
      </c>
    </row>
    <row r="12">
      <c r="A12" s="120"/>
      <c r="B12" s="220">
        <v>9.0</v>
      </c>
      <c r="C12" s="150">
        <f>IFERROR(__xludf.DUMMYFUNCTION("""COMPUTED_VALUE"""),2926.0)</f>
        <v>2926</v>
      </c>
      <c r="D12" s="243">
        <f>IFERROR(__xludf.DUMMYFUNCTION("""COMPUTED_VALUE"""),46318.0)</f>
        <v>46318</v>
      </c>
      <c r="E12" s="150" t="str">
        <f>IFERROR(__xludf.DUMMYFUNCTION("""COMPUTED_VALUE"""),"31-Copacabana")</f>
        <v>31-Copacabana</v>
      </c>
      <c r="F12" s="149">
        <f>IFERROR(__xludf.DUMMYFUNCTION("""COMPUTED_VALUE"""),46073.0)</f>
        <v>46073</v>
      </c>
      <c r="G12" s="244">
        <f>IFERROR(__xludf.DUMMYFUNCTION("""COMPUTED_VALUE"""),143.0)</f>
        <v>143</v>
      </c>
      <c r="H12" s="245" t="str">
        <f>IFERROR(__xludf.DUMMYFUNCTION("""COMPUTED_VALUE"""),"PASADO")</f>
        <v>PASADO</v>
      </c>
      <c r="I12" s="173" t="str">
        <f t="shared" si="1"/>
        <v>NO PEDIDO</v>
      </c>
      <c r="J12" s="101"/>
      <c r="K12" s="220">
        <v>9.0</v>
      </c>
      <c r="L12" s="78">
        <f>IFERROR(__xludf.DUMMYFUNCTION("""COMPUTED_VALUE"""),496.0)</f>
        <v>496</v>
      </c>
      <c r="M12" s="221">
        <f>IFERROR(__xludf.DUMMYFUNCTION("""COMPUTED_VALUE"""),46315.0)</f>
        <v>46315</v>
      </c>
      <c r="N12" s="78" t="str">
        <f>IFERROR(__xludf.DUMMYFUNCTION("""COMPUTED_VALUE"""),"02-Medellin")</f>
        <v>02-Medellin</v>
      </c>
      <c r="O12" s="159">
        <f>IFERROR(__xludf.DUMMYFUNCTION("""COMPUTED_VALUE"""),11059.2)</f>
        <v>11059.2</v>
      </c>
      <c r="P12" s="222" t="str">
        <f>IFERROR(__xludf.DUMMYFUNCTION("""COMPUTED_VALUE"""),"PASADO")</f>
        <v>PASADO</v>
      </c>
      <c r="Q12" s="8" t="str">
        <f t="shared" si="2"/>
        <v>NO PEDIDO</v>
      </c>
      <c r="V12" s="237">
        <f>CALENDARIO!W23</f>
        <v>2458</v>
      </c>
      <c r="W12" s="237">
        <f>CALENDARIO!V23</f>
        <v>2458</v>
      </c>
      <c r="Y12" s="238">
        <f>IFERROR(__xludf.DUMMYFUNCTION("""COMPUTED_VALUE"""),2926.0)</f>
        <v>2926</v>
      </c>
      <c r="Z12" s="239">
        <f>IF(Y12="","",VLOOKUP(Y12,'BD LUB'!$A$2:$L$223,5,FALSE)/VLOOKUP(Y12,'BD LUB'!$A$2:$L$223,7,FALSE)+(VLOOKUP(Y12,'BD LUB'!$A$2:$L$223,6,FALSE)/VLOOKUP(Y12,'BD LUB'!$A$2:$L$223,8,FALSE)))</f>
        <v>1.597088889</v>
      </c>
      <c r="AA12" s="222">
        <f t="array" ref="AA12">IF(Y12="","",IFERROR(
  CHOOSE(
    MATCH(
      XLOOKUP(Y12,'BD MPP'!$B10:$B231,'BD MPP'!$I10:I231)&amp;"-"&amp;
      XLOOKUP(Y12,'BD MPP'!$B10:$B231,'BD MPP'!$J10:J231),
      {"PASADO-PASADO";
       "PASADO-PROXIMO";
       "PROXIMO-PASADO";
       "PASADO-VIGENTE";
       "VIGENTE-PASADO";
       "PROXIMO-PROXIMO";
       "PROXIMO-VIGENTE";
       "VIGENTE-PROXIMO";
       "VIGENTE-VIGENTE"},
      0
    ),
    1,2,2,3,3,4,5,5,6
  ),
"No definido"))</f>
        <v>1</v>
      </c>
      <c r="AB12" s="240">
        <f>IFERROR(__xludf.DUMMYFUNCTION("""COMPUTED_VALUE"""),2926.0)</f>
        <v>2926</v>
      </c>
      <c r="AC12" s="241">
        <f>IF(AB12="","",VLOOKUP(AB12,'BD LUB'!$A$2:$L$223,5,FALSE)/VLOOKUP(AB12,'BD LUB'!$A$2:$L$223,7,FALSE)+(VLOOKUP(AB12,'BD LUB'!$A$2:$L$223,6,FALSE)/VLOOKUP(AB12,'BD LUB'!$A$2:$L$223,8,FALSE)))</f>
        <v>1.597088889</v>
      </c>
      <c r="AD12" s="242">
        <f t="array" ref="AD12">IF(AB12="","",IFERROR(
  CHOOSE(
    MATCH(
      XLOOKUP(AB12,'BD MPP'!$B10:$B231,'BD MPP'!$I10:I231)&amp;"-"&amp;
      XLOOKUP(AB12,'BD MPP'!$B10:$B231,'BD MPP'!$J10:J231),
      {"PASADO-PASADO";
       "PASADO-PROXIMO";
       "PROXIMO-PASADO";
       "PASADO-VIGENTE";
       "VIGENTE-PASADO";
       "PROXIMO-PROXIMO";
       "PROXIMO-VIGENTE";
       "VIGENTE-PROXIMO";
       "VIGENTE-VIGENTE"},
      0
    ),
    1,2,2,3,3,4,5,5,6
  ),
"No definido"))</f>
        <v>1</v>
      </c>
      <c r="AE12" s="238">
        <f>IFERROR(__xludf.DUMMYFUNCTION("""COMPUTED_VALUE"""),2921.0)</f>
        <v>2921</v>
      </c>
      <c r="AF12" s="78" t="str">
        <f t="array" ref="AF12">XLOOKUP(TRIM(AE12),TRIM('BD MPP'!B:B),'BD MPP'!L:L)</f>
        <v>MAYORCA</v>
      </c>
      <c r="AG12" s="78" t="str">
        <f t="shared" si="3"/>
        <v>MAY</v>
      </c>
      <c r="AH12" s="222" t="str">
        <f t="shared" si="4"/>
        <v>2921 MAY</v>
      </c>
      <c r="AJ12" s="233" t="s">
        <v>630</v>
      </c>
      <c r="AK12" s="234" t="s">
        <v>678</v>
      </c>
    </row>
    <row r="13">
      <c r="A13" s="120"/>
      <c r="B13" s="220">
        <v>10.0</v>
      </c>
      <c r="C13" s="150">
        <f>IFERROR(__xludf.DUMMYFUNCTION("""COMPUTED_VALUE"""),2355.0)</f>
        <v>2355</v>
      </c>
      <c r="D13" s="243">
        <f>IFERROR(__xludf.DUMMYFUNCTION("""COMPUTED_VALUE"""),46439.0)</f>
        <v>46439</v>
      </c>
      <c r="E13" s="150" t="str">
        <f>IFERROR(__xludf.DUMMYFUNCTION("""COMPUTED_VALUE"""),"31-Copacabana")</f>
        <v>31-Copacabana</v>
      </c>
      <c r="F13" s="149">
        <f>IFERROR(__xludf.DUMMYFUNCTION("""COMPUTED_VALUE"""),46073.0)</f>
        <v>46073</v>
      </c>
      <c r="G13" s="244">
        <f>IFERROR(__xludf.DUMMYFUNCTION("""COMPUTED_VALUE"""),143.0)</f>
        <v>143</v>
      </c>
      <c r="H13" s="245" t="str">
        <f>IFERROR(__xludf.DUMMYFUNCTION("""COMPUTED_VALUE"""),"PASADO")</f>
        <v>PASADO</v>
      </c>
      <c r="I13" s="173" t="str">
        <f t="shared" si="1"/>
        <v>NO PEDIDO</v>
      </c>
      <c r="J13" s="101"/>
      <c r="K13" s="220">
        <v>10.0</v>
      </c>
      <c r="L13" s="78">
        <f>IFERROR(__xludf.DUMMYFUNCTION("""COMPUTED_VALUE"""),2846.0)</f>
        <v>2846</v>
      </c>
      <c r="M13" s="221">
        <f>IFERROR(__xludf.DUMMYFUNCTION("""COMPUTED_VALUE"""),46561.0)</f>
        <v>46561</v>
      </c>
      <c r="N13" s="78" t="str">
        <f>IFERROR(__xludf.DUMMYFUNCTION("""COMPUTED_VALUE"""),"38-La ceja")</f>
        <v>38-La ceja</v>
      </c>
      <c r="O13" s="159">
        <f>IFERROR(__xludf.DUMMYFUNCTION("""COMPUTED_VALUE"""),10148.0)</f>
        <v>10148</v>
      </c>
      <c r="P13" s="222" t="str">
        <f>IFERROR(__xludf.DUMMYFUNCTION("""COMPUTED_VALUE"""),"PASADO")</f>
        <v>PASADO</v>
      </c>
      <c r="Q13" s="8" t="str">
        <f t="shared" si="2"/>
        <v>NO PEDIDO</v>
      </c>
      <c r="V13" s="237">
        <f>CALENDARIO!W24</f>
        <v>2861</v>
      </c>
      <c r="W13" s="237">
        <f>CALENDARIO!V24</f>
        <v>2861</v>
      </c>
      <c r="Y13" s="238">
        <f>IFERROR(__xludf.DUMMYFUNCTION("""COMPUTED_VALUE"""),2355.0)</f>
        <v>2355</v>
      </c>
      <c r="Z13" s="239">
        <f>IF(Y13="","",VLOOKUP(Y13,'BD LUB'!$A$2:$L$223,5,FALSE)/VLOOKUP(Y13,'BD LUB'!$A$2:$L$223,7,FALSE)+(VLOOKUP(Y13,'BD LUB'!$A$2:$L$223,6,FALSE)/VLOOKUP(Y13,'BD LUB'!$A$2:$L$223,8,FALSE)))</f>
        <v>1.049608889</v>
      </c>
      <c r="AA13" s="222">
        <f t="array" ref="AA13">IF(Y13="","",IFERROR(
  CHOOSE(
    MATCH(
      XLOOKUP(Y13,'BD MPP'!$B11:$B232,'BD MPP'!$I11:I232)&amp;"-"&amp;
      XLOOKUP(Y13,'BD MPP'!$B11:$B232,'BD MPP'!$J11:J232),
      {"PASADO-PASADO";
       "PASADO-PROXIMO";
       "PROXIMO-PASADO";
       "PASADO-VIGENTE";
       "VIGENTE-PASADO";
       "PROXIMO-PROXIMO";
       "PROXIMO-VIGENTE";
       "VIGENTE-PROXIMO";
       "VIGENTE-VIGENTE"},
      0
    ),
    1,2,2,3,3,4,5,5,6
  ),
"No definido"))</f>
        <v>1</v>
      </c>
      <c r="AB13" s="240">
        <f>IFERROR(__xludf.DUMMYFUNCTION("""COMPUTED_VALUE"""),2355.0)</f>
        <v>2355</v>
      </c>
      <c r="AC13" s="241">
        <f>IF(AB13="","",VLOOKUP(AB13,'BD LUB'!$A$2:$L$223,5,FALSE)/VLOOKUP(AB13,'BD LUB'!$A$2:$L$223,7,FALSE)+(VLOOKUP(AB13,'BD LUB'!$A$2:$L$223,6,FALSE)/VLOOKUP(AB13,'BD LUB'!$A$2:$L$223,8,FALSE)))</f>
        <v>1.049608889</v>
      </c>
      <c r="AD13" s="242">
        <f t="array" ref="AD13">IF(AB13="","",IFERROR(
  CHOOSE(
    MATCH(
      XLOOKUP(AB13,'BD MPP'!$B11:$B232,'BD MPP'!$I11:I232)&amp;"-"&amp;
      XLOOKUP(AB13,'BD MPP'!$B11:$B232,'BD MPP'!$J11:J232),
      {"PASADO-PASADO";
       "PASADO-PROXIMO";
       "PROXIMO-PASADO";
       "PASADO-VIGENTE";
       "VIGENTE-PASADO";
       "PROXIMO-PROXIMO";
       "PROXIMO-VIGENTE";
       "VIGENTE-PROXIMO";
       "VIGENTE-VIGENTE"},
      0
    ),
    1,2,2,3,3,4,5,5,6
  ),
"No definido"))</f>
        <v>1</v>
      </c>
      <c r="AE13" s="238">
        <f>IFERROR(__xludf.DUMMYFUNCTION("""COMPUTED_VALUE"""),2859.0)</f>
        <v>2859</v>
      </c>
      <c r="AF13" s="78" t="str">
        <f t="array" ref="AF13">XLOOKUP(TRIM(AE13),TRIM('BD MPP'!B:B),'BD MPP'!L:L)</f>
        <v>MAYORCA</v>
      </c>
      <c r="AG13" s="78" t="str">
        <f t="shared" si="3"/>
        <v>MAY</v>
      </c>
      <c r="AH13" s="222" t="str">
        <f t="shared" si="4"/>
        <v>2859 MAY</v>
      </c>
    </row>
    <row r="14">
      <c r="A14" s="120"/>
      <c r="B14" s="220">
        <v>11.0</v>
      </c>
      <c r="C14" s="150">
        <f>IFERROR(__xludf.DUMMYFUNCTION("""COMPUTED_VALUE"""),487.0)</f>
        <v>487</v>
      </c>
      <c r="D14" s="243">
        <f>IFERROR(__xludf.DUMMYFUNCTION("""COMPUTED_VALUE"""),46242.0)</f>
        <v>46242</v>
      </c>
      <c r="E14" s="150" t="str">
        <f>IFERROR(__xludf.DUMMYFUNCTION("""COMPUTED_VALUE"""),"02-Medellin")</f>
        <v>02-Medellin</v>
      </c>
      <c r="F14" s="149">
        <f>IFERROR(__xludf.DUMMYFUNCTION("""COMPUTED_VALUE"""),46079.0)</f>
        <v>46079</v>
      </c>
      <c r="G14" s="244">
        <f>IFERROR(__xludf.DUMMYFUNCTION("""COMPUTED_VALUE"""),137.0)</f>
        <v>137</v>
      </c>
      <c r="H14" s="245" t="str">
        <f>IFERROR(__xludf.DUMMYFUNCTION("""COMPUTED_VALUE"""),"PASADO")</f>
        <v>PASADO</v>
      </c>
      <c r="I14" s="173" t="str">
        <f t="shared" si="1"/>
        <v>NO PEDIDO</v>
      </c>
      <c r="J14" s="101"/>
      <c r="K14" s="220">
        <v>11.0</v>
      </c>
      <c r="L14" s="78">
        <f>IFERROR(__xludf.DUMMYFUNCTION("""COMPUTED_VALUE"""),2907.0)</f>
        <v>2907</v>
      </c>
      <c r="M14" s="221">
        <f>IFERROR(__xludf.DUMMYFUNCTION("""COMPUTED_VALUE"""),46275.0)</f>
        <v>46275</v>
      </c>
      <c r="N14" s="78" t="str">
        <f>IFERROR(__xludf.DUMMYFUNCTION("""COMPUTED_VALUE"""),"38-La ceja")</f>
        <v>38-La ceja</v>
      </c>
      <c r="O14" s="159">
        <f>IFERROR(__xludf.DUMMYFUNCTION("""COMPUTED_VALUE"""),10110.0)</f>
        <v>10110</v>
      </c>
      <c r="P14" s="222" t="str">
        <f>IFERROR(__xludf.DUMMYFUNCTION("""COMPUTED_VALUE"""),"PASADO")</f>
        <v>PASADO</v>
      </c>
      <c r="Q14" s="8" t="str">
        <f t="shared" si="2"/>
        <v>NO PEDIDO</v>
      </c>
      <c r="V14" s="237">
        <f>CALENDARIO!W25</f>
        <v>2676</v>
      </c>
      <c r="W14" s="237">
        <f>CALENDARIO!V25</f>
        <v>2676</v>
      </c>
      <c r="Y14" s="238">
        <f>IFERROR(__xludf.DUMMYFUNCTION("""COMPUTED_VALUE"""),487.0)</f>
        <v>487</v>
      </c>
      <c r="Z14" s="239">
        <f>IF(Y14="","",VLOOKUP(Y14,'BD LUB'!$A$2:$L$223,5,FALSE)/VLOOKUP(Y14,'BD LUB'!$A$2:$L$223,7,FALSE)+(VLOOKUP(Y14,'BD LUB'!$A$2:$L$223,6,FALSE)/VLOOKUP(Y14,'BD LUB'!$A$2:$L$223,8,FALSE)))</f>
        <v>1.635664444</v>
      </c>
      <c r="AA14" s="222">
        <f t="array" ref="AA14">IF(Y14="","",IFERROR(
  CHOOSE(
    MATCH(
      XLOOKUP(Y14,'BD MPP'!$B12:$B233,'BD MPP'!$I12:I233)&amp;"-"&amp;
      XLOOKUP(Y14,'BD MPP'!$B12:$B233,'BD MPP'!$J12:J233),
      {"PASADO-PASADO";
       "PASADO-PROXIMO";
       "PROXIMO-PASADO";
       "PASADO-VIGENTE";
       "VIGENTE-PASADO";
       "PROXIMO-PROXIMO";
       "PROXIMO-VIGENTE";
       "VIGENTE-PROXIMO";
       "VIGENTE-VIGENTE"},
      0
    ),
    1,2,2,3,3,4,5,5,6
  ),
"No definido"))</f>
        <v>1</v>
      </c>
      <c r="AB14" s="240">
        <f>IFERROR(__xludf.DUMMYFUNCTION("""COMPUTED_VALUE"""),487.0)</f>
        <v>487</v>
      </c>
      <c r="AC14" s="241">
        <f>IF(AB14="","",VLOOKUP(AB14,'BD LUB'!$A$2:$L$223,5,FALSE)/VLOOKUP(AB14,'BD LUB'!$A$2:$L$223,7,FALSE)+(VLOOKUP(AB14,'BD LUB'!$A$2:$L$223,6,FALSE)/VLOOKUP(AB14,'BD LUB'!$A$2:$L$223,8,FALSE)))</f>
        <v>1.635664444</v>
      </c>
      <c r="AD14" s="242">
        <f t="array" ref="AD14">IF(AB14="","",IFERROR(
  CHOOSE(
    MATCH(
      XLOOKUP(AB14,'BD MPP'!$B12:$B233,'BD MPP'!$I12:I233)&amp;"-"&amp;
      XLOOKUP(AB14,'BD MPP'!$B12:$B233,'BD MPP'!$J12:J233),
      {"PASADO-PASADO";
       "PASADO-PROXIMO";
       "PROXIMO-PASADO";
       "PASADO-VIGENTE";
       "VIGENTE-PASADO";
       "PROXIMO-PROXIMO";
       "PROXIMO-VIGENTE";
       "VIGENTE-PROXIMO";
       "VIGENTE-VIGENTE"},
      0
    ),
    1,2,2,3,3,4,5,5,6
  ),
"No definido"))</f>
        <v>1</v>
      </c>
      <c r="AE14" s="238">
        <f>IFERROR(__xludf.DUMMYFUNCTION("""COMPUTED_VALUE"""),2200.0)</f>
        <v>2200</v>
      </c>
      <c r="AF14" s="78" t="str">
        <f t="array" ref="AF14">XLOOKUP(TRIM(AE14),TRIM('BD MPP'!B:B),'BD MPP'!L:L)</f>
        <v>BULTOS</v>
      </c>
      <c r="AG14" s="78" t="str">
        <f t="shared" si="3"/>
        <v>BULT</v>
      </c>
      <c r="AH14" s="222" t="str">
        <f t="shared" si="4"/>
        <v>2200 BULT</v>
      </c>
    </row>
    <row r="15">
      <c r="A15" s="120"/>
      <c r="B15" s="220">
        <v>12.0</v>
      </c>
      <c r="C15" s="135">
        <f>IFERROR(__xludf.DUMMYFUNCTION("""COMPUTED_VALUE"""),2395.0)</f>
        <v>2395</v>
      </c>
      <c r="D15" s="243">
        <f>IFERROR(__xludf.DUMMYFUNCTION("""COMPUTED_VALUE"""),46446.0)</f>
        <v>46446</v>
      </c>
      <c r="E15" s="150" t="str">
        <f>IFERROR(__xludf.DUMMYFUNCTION("""COMPUTED_VALUE"""),"02-Medellin")</f>
        <v>02-Medellin</v>
      </c>
      <c r="F15" s="149">
        <f>IFERROR(__xludf.DUMMYFUNCTION("""COMPUTED_VALUE"""),46080.0)</f>
        <v>46080</v>
      </c>
      <c r="G15" s="244">
        <f>IFERROR(__xludf.DUMMYFUNCTION("""COMPUTED_VALUE"""),136.0)</f>
        <v>136</v>
      </c>
      <c r="H15" s="245" t="str">
        <f>IFERROR(__xludf.DUMMYFUNCTION("""COMPUTED_VALUE"""),"PASADO")</f>
        <v>PASADO</v>
      </c>
      <c r="I15" s="173" t="str">
        <f t="shared" si="1"/>
        <v>HECHO</v>
      </c>
      <c r="J15" s="101"/>
      <c r="K15" s="220">
        <v>12.0</v>
      </c>
      <c r="L15" s="78">
        <f>IFERROR(__xludf.DUMMYFUNCTION("""COMPUTED_VALUE"""),2877.0)</f>
        <v>2877</v>
      </c>
      <c r="M15" s="221">
        <f>IFERROR(__xludf.DUMMYFUNCTION("""COMPUTED_VALUE"""),46226.0)</f>
        <v>46226</v>
      </c>
      <c r="N15" s="78" t="str">
        <f>IFERROR(__xludf.DUMMYFUNCTION("""COMPUTED_VALUE"""),"MAYORCA")</f>
        <v>MAYORCA</v>
      </c>
      <c r="O15" s="159">
        <f>IFERROR(__xludf.DUMMYFUNCTION("""COMPUTED_VALUE"""),9714.0)</f>
        <v>9714</v>
      </c>
      <c r="P15" s="222" t="str">
        <f>IFERROR(__xludf.DUMMYFUNCTION("""COMPUTED_VALUE"""),"PASADO")</f>
        <v>PASADO</v>
      </c>
      <c r="Q15" s="8" t="str">
        <f t="shared" si="2"/>
        <v>NO PEDIDO</v>
      </c>
      <c r="V15" s="237">
        <f>CALENDARIO!W26</f>
        <v>2206</v>
      </c>
      <c r="W15" s="237">
        <f>CALENDARIO!V26</f>
        <v>2206</v>
      </c>
      <c r="Y15" s="238">
        <f>IFERROR(__xludf.DUMMYFUNCTION("""COMPUTED_VALUE"""),2907.0)</f>
        <v>2907</v>
      </c>
      <c r="Z15" s="239">
        <f>IF(Y15="","",VLOOKUP(Y15,'BD LUB'!$A$2:$L$223,5,FALSE)/VLOOKUP(Y15,'BD LUB'!$A$2:$L$223,7,FALSE)+(VLOOKUP(Y15,'BD LUB'!$A$2:$L$223,6,FALSE)/VLOOKUP(Y15,'BD LUB'!$A$2:$L$223,8,FALSE)))</f>
        <v>1.158777778</v>
      </c>
      <c r="AA15" s="222">
        <f t="array" ref="AA15">IF(Y15="","",IFERROR(
  CHOOSE(
    MATCH(
      XLOOKUP(Y15,'BD MPP'!$B13:$B234,'BD MPP'!$I13:I234)&amp;"-"&amp;
      XLOOKUP(Y15,'BD MPP'!$B13:$B234,'BD MPP'!$J13:J234),
      {"PASADO-PASADO";
       "PASADO-PROXIMO";
       "PROXIMO-PASADO";
       "PASADO-VIGENTE";
       "VIGENTE-PASADO";
       "PROXIMO-PROXIMO";
       "PROXIMO-VIGENTE";
       "VIGENTE-PROXIMO";
       "VIGENTE-VIGENTE"},
      0
    ),
    1,2,2,3,3,4,5,5,6
  ),
"No definido"))</f>
        <v>1</v>
      </c>
      <c r="AB15" s="240">
        <f>IFERROR(__xludf.DUMMYFUNCTION("""COMPUTED_VALUE"""),2907.0)</f>
        <v>2907</v>
      </c>
      <c r="AC15" s="241">
        <f>IF(AB15="","",VLOOKUP(AB15,'BD LUB'!$A$2:$L$223,5,FALSE)/VLOOKUP(AB15,'BD LUB'!$A$2:$L$223,7,FALSE)+(VLOOKUP(AB15,'BD LUB'!$A$2:$L$223,6,FALSE)/VLOOKUP(AB15,'BD LUB'!$A$2:$L$223,8,FALSE)))</f>
        <v>1.158777778</v>
      </c>
      <c r="AD15" s="242">
        <f t="array" ref="AD15">IF(AB15="","",IFERROR(
  CHOOSE(
    MATCH(
      XLOOKUP(AB15,'BD MPP'!$B13:$B234,'BD MPP'!$I13:I234)&amp;"-"&amp;
      XLOOKUP(AB15,'BD MPP'!$B13:$B234,'BD MPP'!$J13:J234),
      {"PASADO-PASADO";
       "PASADO-PROXIMO";
       "PROXIMO-PASADO";
       "PASADO-VIGENTE";
       "VIGENTE-PASADO";
       "PROXIMO-PROXIMO";
       "PROXIMO-VIGENTE";
       "VIGENTE-PROXIMO";
       "VIGENTE-VIGENTE"},
      0
    ),
    1,2,2,3,3,4,5,5,6
  ),
"No definido"))</f>
        <v>1</v>
      </c>
      <c r="AE15" s="238">
        <f>IFERROR(__xludf.DUMMYFUNCTION("""COMPUTED_VALUE"""),2842.0)</f>
        <v>2842</v>
      </c>
      <c r="AF15" s="78" t="str">
        <f t="array" ref="AF15">XLOOKUP(TRIM(AE15),TRIM('BD MPP'!B:B),'BD MPP'!L:L)</f>
        <v>24-Rionegro</v>
      </c>
      <c r="AG15" s="78" t="str">
        <f t="shared" si="3"/>
        <v>RIO</v>
      </c>
      <c r="AH15" s="222" t="str">
        <f t="shared" si="4"/>
        <v>2842 RIO</v>
      </c>
      <c r="AI15" s="8" t="str">
        <f t="array" ref="AI15">XLOOKUP(AF4,AI4:AI21,AK4:AK21)</f>
        <v>#REF!</v>
      </c>
    </row>
    <row r="16">
      <c r="A16" s="120"/>
      <c r="B16" s="220">
        <v>13.0</v>
      </c>
      <c r="C16" s="135">
        <f>IFERROR(__xludf.DUMMYFUNCTION("""COMPUTED_VALUE"""),2907.0)</f>
        <v>2907</v>
      </c>
      <c r="D16" s="243">
        <f>IFERROR(__xludf.DUMMYFUNCTION("""COMPUTED_VALUE"""),46275.0)</f>
        <v>46275</v>
      </c>
      <c r="E16" s="150" t="str">
        <f>IFERROR(__xludf.DUMMYFUNCTION("""COMPUTED_VALUE"""),"38-La ceja")</f>
        <v>38-La ceja</v>
      </c>
      <c r="F16" s="149">
        <f>IFERROR(__xludf.DUMMYFUNCTION("""COMPUTED_VALUE"""),46083.0)</f>
        <v>46083</v>
      </c>
      <c r="G16" s="244">
        <f>IFERROR(__xludf.DUMMYFUNCTION("""COMPUTED_VALUE"""),133.0)</f>
        <v>133</v>
      </c>
      <c r="H16" s="245" t="str">
        <f>IFERROR(__xludf.DUMMYFUNCTION("""COMPUTED_VALUE"""),"PASADO")</f>
        <v>PASADO</v>
      </c>
      <c r="I16" s="173" t="str">
        <f t="shared" si="1"/>
        <v>NO PEDIDO</v>
      </c>
      <c r="J16" s="101"/>
      <c r="K16" s="220">
        <v>13.0</v>
      </c>
      <c r="L16" s="78">
        <f>IFERROR(__xludf.DUMMYFUNCTION("""COMPUTED_VALUE"""),661.0)</f>
        <v>661</v>
      </c>
      <c r="M16" s="221">
        <f>IFERROR(__xludf.DUMMYFUNCTION("""COMPUTED_VALUE"""),46420.0)</f>
        <v>46420</v>
      </c>
      <c r="N16" s="78" t="str">
        <f>IFERROR(__xludf.DUMMYFUNCTION("""COMPUTED_VALUE"""),"02-Medellin")</f>
        <v>02-Medellin</v>
      </c>
      <c r="O16" s="159">
        <f>IFERROR(__xludf.DUMMYFUNCTION("""COMPUTED_VALUE"""),9567.0)</f>
        <v>9567</v>
      </c>
      <c r="P16" s="222" t="str">
        <f>IFERROR(__xludf.DUMMYFUNCTION("""COMPUTED_VALUE"""),"PASADO")</f>
        <v>PASADO</v>
      </c>
      <c r="Q16" s="8" t="str">
        <f t="shared" si="2"/>
        <v>NO PEDIDO</v>
      </c>
      <c r="V16" s="237">
        <f>CALENDARIO!W27</f>
        <v>2395</v>
      </c>
      <c r="W16" s="237">
        <f>CALENDARIO!V27</f>
        <v>2395</v>
      </c>
      <c r="Y16" s="238">
        <f>IFERROR(__xludf.DUMMYFUNCTION("""COMPUTED_VALUE"""),2843.0)</f>
        <v>2843</v>
      </c>
      <c r="Z16" s="239">
        <f>IF(Y16="","",VLOOKUP(Y16,'BD LUB'!$A$2:$L$223,5,FALSE)/VLOOKUP(Y16,'BD LUB'!$A$2:$L$223,7,FALSE)+(VLOOKUP(Y16,'BD LUB'!$A$2:$L$223,6,FALSE)/VLOOKUP(Y16,'BD LUB'!$A$2:$L$223,8,FALSE)))</f>
        <v>1.162866667</v>
      </c>
      <c r="AA16" s="222">
        <f t="array" ref="AA16">IF(Y16="","",IFERROR(
  CHOOSE(
    MATCH(
      XLOOKUP(Y16,'BD MPP'!$B14:$B235,'BD MPP'!$I14:I235)&amp;"-"&amp;
      XLOOKUP(Y16,'BD MPP'!$B14:$B235,'BD MPP'!$J14:J235),
      {"PASADO-PASADO";
       "PASADO-PROXIMO";
       "PROXIMO-PASADO";
       "PASADO-VIGENTE";
       "VIGENTE-PASADO";
       "PROXIMO-PROXIMO";
       "PROXIMO-VIGENTE";
       "VIGENTE-PROXIMO";
       "VIGENTE-VIGENTE"},
      0
    ),
    1,2,2,3,3,4,5,5,6
  ),
"No definido"))</f>
        <v>1</v>
      </c>
      <c r="AB16" s="240">
        <f>IFERROR(__xludf.DUMMYFUNCTION("""COMPUTED_VALUE"""),2843.0)</f>
        <v>2843</v>
      </c>
      <c r="AC16" s="241">
        <f>IF(AB16="","",VLOOKUP(AB16,'BD LUB'!$A$2:$L$223,5,FALSE)/VLOOKUP(AB16,'BD LUB'!$A$2:$L$223,7,FALSE)+(VLOOKUP(AB16,'BD LUB'!$A$2:$L$223,6,FALSE)/VLOOKUP(AB16,'BD LUB'!$A$2:$L$223,8,FALSE)))</f>
        <v>1.162866667</v>
      </c>
      <c r="AD16" s="242">
        <f t="array" ref="AD16">IF(AB16="","",IFERROR(
  CHOOSE(
    MATCH(
      XLOOKUP(AB16,'BD MPP'!$B14:$B235,'BD MPP'!$I14:I235)&amp;"-"&amp;
      XLOOKUP(AB16,'BD MPP'!$B14:$B235,'BD MPP'!$J14:J235),
      {"PASADO-PASADO";
       "PASADO-PROXIMO";
       "PROXIMO-PASADO";
       "PASADO-VIGENTE";
       "VIGENTE-PASADO";
       "PROXIMO-PROXIMO";
       "PROXIMO-VIGENTE";
       "VIGENTE-PROXIMO";
       "VIGENTE-VIGENTE"},
      0
    ),
    1,2,2,3,3,4,5,5,6
  ),
"No definido"))</f>
        <v>1</v>
      </c>
      <c r="AE16" s="238">
        <f>IFERROR(__xludf.DUMMYFUNCTION("""COMPUTED_VALUE"""),3275.0)</f>
        <v>3275</v>
      </c>
      <c r="AF16" s="78" t="str">
        <f t="array" ref="AF16">XLOOKUP(TRIM(AE16),TRIM('BD MPP'!B:B),'BD MPP'!L:L)</f>
        <v>02-Medellin</v>
      </c>
      <c r="AG16" s="78" t="str">
        <f t="shared" si="3"/>
        <v>MED</v>
      </c>
      <c r="AH16" s="222" t="str">
        <f t="shared" si="4"/>
        <v>3275 MED</v>
      </c>
    </row>
    <row r="17">
      <c r="A17" s="120"/>
      <c r="B17" s="220">
        <v>14.0</v>
      </c>
      <c r="C17" s="135">
        <f>IFERROR(__xludf.DUMMYFUNCTION("""COMPUTED_VALUE"""),2843.0)</f>
        <v>2843</v>
      </c>
      <c r="D17" s="243">
        <f>IFERROR(__xludf.DUMMYFUNCTION("""COMPUTED_VALUE"""),46562.0)</f>
        <v>46562</v>
      </c>
      <c r="E17" s="150" t="str">
        <f>IFERROR(__xludf.DUMMYFUNCTION("""COMPUTED_VALUE"""),"31-Copacabana")</f>
        <v>31-Copacabana</v>
      </c>
      <c r="F17" s="149">
        <f>IFERROR(__xludf.DUMMYFUNCTION("""COMPUTED_VALUE"""),46083.0)</f>
        <v>46083</v>
      </c>
      <c r="G17" s="244">
        <f>IFERROR(__xludf.DUMMYFUNCTION("""COMPUTED_VALUE"""),133.0)</f>
        <v>133</v>
      </c>
      <c r="H17" s="245" t="str">
        <f>IFERROR(__xludf.DUMMYFUNCTION("""COMPUTED_VALUE"""),"PASADO")</f>
        <v>PASADO</v>
      </c>
      <c r="I17" s="173" t="str">
        <f t="shared" si="1"/>
        <v>NO PEDIDO</v>
      </c>
      <c r="J17" s="101"/>
      <c r="K17" s="220">
        <v>14.0</v>
      </c>
      <c r="L17" s="78">
        <f>IFERROR(__xludf.DUMMYFUNCTION("""COMPUTED_VALUE"""),464.0)</f>
        <v>464</v>
      </c>
      <c r="M17" s="221">
        <f>IFERROR(__xludf.DUMMYFUNCTION("""COMPUTED_VALUE"""),46464.0)</f>
        <v>46464</v>
      </c>
      <c r="N17" s="78" t="str">
        <f>IFERROR(__xludf.DUMMYFUNCTION("""COMPUTED_VALUE"""),"02-Medellin")</f>
        <v>02-Medellin</v>
      </c>
      <c r="O17" s="159">
        <f>IFERROR(__xludf.DUMMYFUNCTION("""COMPUTED_VALUE"""),8507.3)</f>
        <v>8507.3</v>
      </c>
      <c r="P17" s="222" t="str">
        <f>IFERROR(__xludf.DUMMYFUNCTION("""COMPUTED_VALUE"""),"PASADO")</f>
        <v>PASADO</v>
      </c>
      <c r="Q17" s="8" t="str">
        <f t="shared" si="2"/>
        <v>NO PEDIDO</v>
      </c>
      <c r="V17" s="237">
        <f>CALENDARIO!W28</f>
        <v>4464</v>
      </c>
      <c r="W17" s="237">
        <f>CALENDARIO!V28</f>
        <v>4464</v>
      </c>
      <c r="Y17" s="238">
        <f>IFERROR(__xludf.DUMMYFUNCTION("""COMPUTED_VALUE"""),2666.0)</f>
        <v>2666</v>
      </c>
      <c r="Z17" s="239">
        <f>IF(Y17="","",VLOOKUP(Y17,'BD LUB'!$A$2:$L$223,5,FALSE)/VLOOKUP(Y17,'BD LUB'!$A$2:$L$223,7,FALSE)+(VLOOKUP(Y17,'BD LUB'!$A$2:$L$223,6,FALSE)/VLOOKUP(Y17,'BD LUB'!$A$2:$L$223,8,FALSE)))</f>
        <v>1.502558889</v>
      </c>
      <c r="AA17" s="222">
        <f t="array" ref="AA17">IF(Y17="","",IFERROR(
  CHOOSE(
    MATCH(
      XLOOKUP(Y17,'BD MPP'!$B15:$B236,'BD MPP'!$I15:I236)&amp;"-"&amp;
      XLOOKUP(Y17,'BD MPP'!$B15:$B236,'BD MPP'!$J15:J236),
      {"PASADO-PASADO";
       "PASADO-PROXIMO";
       "PROXIMO-PASADO";
       "PASADO-VIGENTE";
       "VIGENTE-PASADO";
       "PROXIMO-PROXIMO";
       "PROXIMO-VIGENTE";
       "VIGENTE-PROXIMO";
       "VIGENTE-VIGENTE"},
      0
    ),
    1,2,2,3,3,4,5,5,6
  ),
"No definido"))</f>
        <v>1</v>
      </c>
      <c r="AB17" s="240">
        <f>IFERROR(__xludf.DUMMYFUNCTION("""COMPUTED_VALUE"""),2666.0)</f>
        <v>2666</v>
      </c>
      <c r="AC17" s="241">
        <f>IF(AB17="","",VLOOKUP(AB17,'BD LUB'!$A$2:$L$223,5,FALSE)/VLOOKUP(AB17,'BD LUB'!$A$2:$L$223,7,FALSE)+(VLOOKUP(AB17,'BD LUB'!$A$2:$L$223,6,FALSE)/VLOOKUP(AB17,'BD LUB'!$A$2:$L$223,8,FALSE)))</f>
        <v>1.502558889</v>
      </c>
      <c r="AD17" s="242">
        <f t="array" ref="AD17">IF(AB17="","",IFERROR(
  CHOOSE(
    MATCH(
      XLOOKUP(AB17,'BD MPP'!$B15:$B236,'BD MPP'!$I15:I236)&amp;"-"&amp;
      XLOOKUP(AB17,'BD MPP'!$B15:$B236,'BD MPP'!$J15:J236),
      {"PASADO-PASADO";
       "PASADO-PROXIMO";
       "PROXIMO-PASADO";
       "PASADO-VIGENTE";
       "VIGENTE-PASADO";
       "PROXIMO-PROXIMO";
       "PROXIMO-VIGENTE";
       "VIGENTE-PROXIMO";
       "VIGENTE-VIGENTE"},
      0
    ),
    1,2,2,3,3,4,5,5,6
  ),
"No definido"))</f>
        <v>1</v>
      </c>
      <c r="AE17" s="238">
        <f>IFERROR(__xludf.DUMMYFUNCTION("""COMPUTED_VALUE"""),2896.0)</f>
        <v>2896</v>
      </c>
      <c r="AF17" s="78" t="str">
        <f t="array" ref="AF17">XLOOKUP(TRIM(AE17),TRIM('BD MPP'!B:B),'BD MPP'!L:L)</f>
        <v>02-Medellin</v>
      </c>
      <c r="AG17" s="78" t="str">
        <f t="shared" si="3"/>
        <v>MED</v>
      </c>
      <c r="AH17" s="222" t="str">
        <f t="shared" si="4"/>
        <v>2896 MED</v>
      </c>
    </row>
    <row r="18">
      <c r="A18" s="120"/>
      <c r="B18" s="220">
        <v>15.0</v>
      </c>
      <c r="C18" s="150">
        <f>IFERROR(__xludf.DUMMYFUNCTION("""COMPUTED_VALUE"""),2666.0)</f>
        <v>2666</v>
      </c>
      <c r="D18" s="243">
        <f>IFERROR(__xludf.DUMMYFUNCTION("""COMPUTED_VALUE"""),46492.0)</f>
        <v>46492</v>
      </c>
      <c r="E18" s="150" t="str">
        <f>IFERROR(__xludf.DUMMYFUNCTION("""COMPUTED_VALUE"""),"02-Medellin")</f>
        <v>02-Medellin</v>
      </c>
      <c r="F18" s="149">
        <f>IFERROR(__xludf.DUMMYFUNCTION("""COMPUTED_VALUE"""),46083.0)</f>
        <v>46083</v>
      </c>
      <c r="G18" s="244">
        <f>IFERROR(__xludf.DUMMYFUNCTION("""COMPUTED_VALUE"""),133.0)</f>
        <v>133</v>
      </c>
      <c r="H18" s="245" t="str">
        <f>IFERROR(__xludf.DUMMYFUNCTION("""COMPUTED_VALUE"""),"PASADO")</f>
        <v>PASADO</v>
      </c>
      <c r="I18" s="173" t="str">
        <f t="shared" si="1"/>
        <v>NO PEDIDO</v>
      </c>
      <c r="J18" s="101"/>
      <c r="K18" s="220">
        <v>15.0</v>
      </c>
      <c r="L18" s="78">
        <f>IFERROR(__xludf.DUMMYFUNCTION("""COMPUTED_VALUE"""),461.0)</f>
        <v>461</v>
      </c>
      <c r="M18" s="221">
        <f>IFERROR(__xludf.DUMMYFUNCTION("""COMPUTED_VALUE"""),46420.0)</f>
        <v>46420</v>
      </c>
      <c r="N18" s="78" t="str">
        <f>IFERROR(__xludf.DUMMYFUNCTION("""COMPUTED_VALUE"""),"02-Medellin")</f>
        <v>02-Medellin</v>
      </c>
      <c r="O18" s="159">
        <f>IFERROR(__xludf.DUMMYFUNCTION("""COMPUTED_VALUE"""),8013.7)</f>
        <v>8013.7</v>
      </c>
      <c r="P18" s="222" t="str">
        <f>IFERROR(__xludf.DUMMYFUNCTION("""COMPUTED_VALUE"""),"PASADO")</f>
        <v>PASADO</v>
      </c>
      <c r="Q18" s="8" t="str">
        <f t="shared" si="2"/>
        <v>NO PEDIDO</v>
      </c>
      <c r="V18" s="237">
        <f>CALENDARIO!W29</f>
        <v>2334</v>
      </c>
      <c r="W18" s="237">
        <f>CALENDARIO!V29</f>
        <v>2334</v>
      </c>
      <c r="Y18" s="238">
        <f>IFERROR(__xludf.DUMMYFUNCTION("""COMPUTED_VALUE"""),2464.0)</f>
        <v>2464</v>
      </c>
      <c r="Z18" s="239">
        <f>IF(Y18="","",VLOOKUP(Y18,'BD LUB'!$A$2:$L$223,5,FALSE)/VLOOKUP(Y18,'BD LUB'!$A$2:$L$223,7,FALSE)+(VLOOKUP(Y18,'BD LUB'!$A$2:$L$223,6,FALSE)/VLOOKUP(Y18,'BD LUB'!$A$2:$L$223,8,FALSE)))</f>
        <v>1.467901111</v>
      </c>
      <c r="AA18" s="222">
        <f t="array" ref="AA18">IF(Y18="","",IFERROR(
  CHOOSE(
    MATCH(
      XLOOKUP(Y18,'BD MPP'!$B16:$B237,'BD MPP'!$I16:I237)&amp;"-"&amp;
      XLOOKUP(Y18,'BD MPP'!$B16:$B237,'BD MPP'!$J16:J237),
      {"PASADO-PASADO";
       "PASADO-PROXIMO";
       "PROXIMO-PASADO";
       "PASADO-VIGENTE";
       "VIGENTE-PASADO";
       "PROXIMO-PROXIMO";
       "PROXIMO-VIGENTE";
       "VIGENTE-PROXIMO";
       "VIGENTE-VIGENTE"},
      0
    ),
    1,2,2,3,3,4,5,5,6
  ),
"No definido"))</f>
        <v>1</v>
      </c>
      <c r="AB18" s="240">
        <f>IFERROR(__xludf.DUMMYFUNCTION("""COMPUTED_VALUE"""),2450.0)</f>
        <v>2450</v>
      </c>
      <c r="AC18" s="241">
        <f>IF(AB18="","",VLOOKUP(AB18,'BD LUB'!$A$2:$L$223,5,FALSE)/VLOOKUP(AB18,'BD LUB'!$A$2:$L$223,7,FALSE)+(VLOOKUP(AB18,'BD LUB'!$A$2:$L$223,6,FALSE)/VLOOKUP(AB18,'BD LUB'!$A$2:$L$223,8,FALSE)))</f>
        <v>2.0774</v>
      </c>
      <c r="AD18" s="242">
        <f t="array" ref="AD18">IF(AB18="","",IFERROR(
  CHOOSE(
    MATCH(
      XLOOKUP(AB18,'BD MPP'!$B16:$B237,'BD MPP'!$I16:I237)&amp;"-"&amp;
      XLOOKUP(AB18,'BD MPP'!$B16:$B237,'BD MPP'!$J16:J237),
      {"PASADO-PASADO";
       "PASADO-PROXIMO";
       "PROXIMO-PASADO";
       "PASADO-VIGENTE";
       "VIGENTE-PASADO";
       "PROXIMO-PROXIMO";
       "PROXIMO-VIGENTE";
       "VIGENTE-PROXIMO";
       "VIGENTE-VIGENTE"},
      0
    ),
    1,2,2,3,3,4,5,5,6
  ),
"No definido"))</f>
        <v>1</v>
      </c>
      <c r="AE18" s="238">
        <f>IFERROR(__xludf.DUMMYFUNCTION("""COMPUTED_VALUE"""),2490.0)</f>
        <v>2490</v>
      </c>
      <c r="AF18" s="78" t="str">
        <f t="array" ref="AF18">XLOOKUP(TRIM(AE18),TRIM('BD MPP'!B:B),'BD MPP'!L:L)</f>
        <v>02-Medellin</v>
      </c>
      <c r="AG18" s="78" t="str">
        <f t="shared" si="3"/>
        <v>MED</v>
      </c>
      <c r="AH18" s="222" t="str">
        <f t="shared" si="4"/>
        <v>2490 MED</v>
      </c>
    </row>
    <row r="19">
      <c r="A19" s="120"/>
      <c r="B19" s="220">
        <v>16.0</v>
      </c>
      <c r="C19" s="150">
        <f>IFERROR(__xludf.DUMMYFUNCTION("""COMPUTED_VALUE"""),2450.0)</f>
        <v>2450</v>
      </c>
      <c r="D19" s="243">
        <f>IFERROR(__xludf.DUMMYFUNCTION("""COMPUTED_VALUE"""),46290.0)</f>
        <v>46290</v>
      </c>
      <c r="E19" s="150" t="str">
        <f>IFERROR(__xludf.DUMMYFUNCTION("""COMPUTED_VALUE"""),"MAYORCA")</f>
        <v>MAYORCA</v>
      </c>
      <c r="F19" s="149">
        <f>IFERROR(__xludf.DUMMYFUNCTION("""COMPUTED_VALUE"""),46083.0)</f>
        <v>46083</v>
      </c>
      <c r="G19" s="244">
        <f>IFERROR(__xludf.DUMMYFUNCTION("""COMPUTED_VALUE"""),133.0)</f>
        <v>133</v>
      </c>
      <c r="H19" s="245" t="str">
        <f>IFERROR(__xludf.DUMMYFUNCTION("""COMPUTED_VALUE"""),"PASADO")</f>
        <v>PASADO</v>
      </c>
      <c r="I19" s="173" t="str">
        <f t="shared" si="1"/>
        <v>PEDIDO</v>
      </c>
      <c r="J19" s="101"/>
      <c r="K19" s="220">
        <v>16.0</v>
      </c>
      <c r="L19" s="78">
        <f>IFERROR(__xludf.DUMMYFUNCTION("""COMPUTED_VALUE"""),2663.0)</f>
        <v>2663</v>
      </c>
      <c r="M19" s="221">
        <f>IFERROR(__xludf.DUMMYFUNCTION("""COMPUTED_VALUE"""),46493.0)</f>
        <v>46493</v>
      </c>
      <c r="N19" s="78" t="str">
        <f>IFERROR(__xludf.DUMMYFUNCTION("""COMPUTED_VALUE"""),"24-Rionegro")</f>
        <v>24-Rionegro</v>
      </c>
      <c r="O19" s="159">
        <f>IFERROR(__xludf.DUMMYFUNCTION("""COMPUTED_VALUE"""),7813.7)</f>
        <v>7813.7</v>
      </c>
      <c r="P19" s="222" t="str">
        <f>IFERROR(__xludf.DUMMYFUNCTION("""COMPUTED_VALUE"""),"PASADO")</f>
        <v>PASADO</v>
      </c>
      <c r="Q19" s="8" t="str">
        <f t="shared" si="2"/>
        <v>NO PEDIDO</v>
      </c>
      <c r="V19" s="237">
        <f>CALENDARIO!W30</f>
        <v>2360</v>
      </c>
      <c r="W19" s="237">
        <f>CALENDARIO!V30</f>
        <v>2360</v>
      </c>
      <c r="Y19" s="238">
        <f>IFERROR(__xludf.DUMMYFUNCTION("""COMPUTED_VALUE"""),2187.0)</f>
        <v>2187</v>
      </c>
      <c r="Z19" s="239">
        <f>IF(Y19="","",VLOOKUP(Y19,'BD LUB'!$A$2:$L$223,5,FALSE)/VLOOKUP(Y19,'BD LUB'!$A$2:$L$223,7,FALSE)+(VLOOKUP(Y19,'BD LUB'!$A$2:$L$223,6,FALSE)/VLOOKUP(Y19,'BD LUB'!$A$2:$L$223,8,FALSE)))</f>
        <v>0.4196597222</v>
      </c>
      <c r="AA19" s="222">
        <f t="array" ref="AA19">IF(Y19="","",IFERROR(
  CHOOSE(
    MATCH(
      XLOOKUP(Y19,'BD MPP'!$B17:$B238,'BD MPP'!$I17:I238)&amp;"-"&amp;
      XLOOKUP(Y19,'BD MPP'!$B17:$B238,'BD MPP'!$J17:J238),
      {"PASADO-PASADO";
       "PASADO-PROXIMO";
       "PROXIMO-PASADO";
       "PASADO-VIGENTE";
       "VIGENTE-PASADO";
       "PROXIMO-PROXIMO";
       "PROXIMO-VIGENTE";
       "VIGENTE-PROXIMO";
       "VIGENTE-VIGENTE"},
      0
    ),
    1,2,2,3,3,4,5,5,6
  ),
"No definido"))</f>
        <v>3</v>
      </c>
      <c r="AB19" s="240">
        <f>IFERROR(__xludf.DUMMYFUNCTION("""COMPUTED_VALUE"""),2464.0)</f>
        <v>2464</v>
      </c>
      <c r="AC19" s="241">
        <f>IF(AB19="","",VLOOKUP(AB19,'BD LUB'!$A$2:$L$223,5,FALSE)/VLOOKUP(AB19,'BD LUB'!$A$2:$L$223,7,FALSE)+(VLOOKUP(AB19,'BD LUB'!$A$2:$L$223,6,FALSE)/VLOOKUP(AB19,'BD LUB'!$A$2:$L$223,8,FALSE)))</f>
        <v>1.467901111</v>
      </c>
      <c r="AD19" s="242">
        <f t="array" ref="AD19">IF(AB19="","",IFERROR(
  CHOOSE(
    MATCH(
      XLOOKUP(AB19,'BD MPP'!$B17:$B238,'BD MPP'!$I17:I238)&amp;"-"&amp;
      XLOOKUP(AB19,'BD MPP'!$B17:$B238,'BD MPP'!$J17:J238),
      {"PASADO-PASADO";
       "PASADO-PROXIMO";
       "PROXIMO-PASADO";
       "PASADO-VIGENTE";
       "VIGENTE-PASADO";
       "PROXIMO-PROXIMO";
       "PROXIMO-VIGENTE";
       "VIGENTE-PROXIMO";
       "VIGENTE-VIGENTE"},
      0
    ),
    1,2,2,3,3,4,5,5,6
  ),
"No definido"))</f>
        <v>1</v>
      </c>
      <c r="AE19" s="238">
        <f>IFERROR(__xludf.DUMMYFUNCTION("""COMPUTED_VALUE"""),3202.0)</f>
        <v>3202</v>
      </c>
      <c r="AF19" s="78" t="str">
        <f t="array" ref="AF19">XLOOKUP(TRIM(AE19),TRIM('BD MPP'!B:B),'BD MPP'!L:L)</f>
        <v>02-Medellin</v>
      </c>
      <c r="AG19" s="78" t="str">
        <f t="shared" si="3"/>
        <v>MED</v>
      </c>
      <c r="AH19" s="222" t="str">
        <f t="shared" si="4"/>
        <v>3202 MED</v>
      </c>
    </row>
    <row r="20">
      <c r="A20" s="120"/>
      <c r="B20" s="220">
        <v>17.0</v>
      </c>
      <c r="C20" s="150">
        <f>IFERROR(__xludf.DUMMYFUNCTION("""COMPUTED_VALUE"""),2845.0)</f>
        <v>2845</v>
      </c>
      <c r="D20" s="243">
        <f>IFERROR(__xludf.DUMMYFUNCTION("""COMPUTED_VALUE"""),46561.0)</f>
        <v>46561</v>
      </c>
      <c r="E20" s="150" t="str">
        <f>IFERROR(__xludf.DUMMYFUNCTION("""COMPUTED_VALUE"""),"02-Medellin")</f>
        <v>02-Medellin</v>
      </c>
      <c r="F20" s="149">
        <f>IFERROR(__xludf.DUMMYFUNCTION("""COMPUTED_VALUE"""),46086.0)</f>
        <v>46086</v>
      </c>
      <c r="G20" s="244">
        <f>IFERROR(__xludf.DUMMYFUNCTION("""COMPUTED_VALUE"""),130.0)</f>
        <v>130</v>
      </c>
      <c r="H20" s="245" t="str">
        <f>IFERROR(__xludf.DUMMYFUNCTION("""COMPUTED_VALUE"""),"PASADO")</f>
        <v>PASADO</v>
      </c>
      <c r="I20" s="173" t="str">
        <f t="shared" si="1"/>
        <v>HECHO</v>
      </c>
      <c r="J20" s="101"/>
      <c r="K20" s="220">
        <v>17.0</v>
      </c>
      <c r="L20" s="78">
        <f>IFERROR(__xludf.DUMMYFUNCTION("""COMPUTED_VALUE"""),2460.0)</f>
        <v>2460</v>
      </c>
      <c r="M20" s="221">
        <f>IFERROR(__xludf.DUMMYFUNCTION("""COMPUTED_VALUE"""),46298.0)</f>
        <v>46298</v>
      </c>
      <c r="N20" s="78" t="str">
        <f>IFERROR(__xludf.DUMMYFUNCTION("""COMPUTED_VALUE"""),"BULTOS")</f>
        <v>BULTOS</v>
      </c>
      <c r="O20" s="159">
        <f>IFERROR(__xludf.DUMMYFUNCTION("""COMPUTED_VALUE"""),7638.6)</f>
        <v>7638.6</v>
      </c>
      <c r="P20" s="222" t="str">
        <f>IFERROR(__xludf.DUMMYFUNCTION("""COMPUTED_VALUE"""),"PASADO")</f>
        <v>PASADO</v>
      </c>
      <c r="Q20" s="8" t="str">
        <f t="shared" si="2"/>
        <v>NO PEDIDO</v>
      </c>
      <c r="V20" s="237">
        <f>CALENDARIO!W31</f>
        <v>2195</v>
      </c>
      <c r="W20" s="237">
        <f>CALENDARIO!V31</f>
        <v>2195</v>
      </c>
      <c r="Y20" s="238">
        <f>IFERROR(__xludf.DUMMYFUNCTION("""COMPUTED_VALUE"""),2466.0)</f>
        <v>2466</v>
      </c>
      <c r="Z20" s="239">
        <f>IF(Y20="","",VLOOKUP(Y20,'BD LUB'!$A$2:$L$223,5,FALSE)/VLOOKUP(Y20,'BD LUB'!$A$2:$L$223,7,FALSE)+(VLOOKUP(Y20,'BD LUB'!$A$2:$L$223,6,FALSE)/VLOOKUP(Y20,'BD LUB'!$A$2:$L$223,8,FALSE)))</f>
        <v>0.4188044444</v>
      </c>
      <c r="AA20" s="222">
        <f t="array" ref="AA20">IF(Y20="","",IFERROR(
  CHOOSE(
    MATCH(
      XLOOKUP(Y20,'BD MPP'!$B18:$B239,'BD MPP'!$I18:I239)&amp;"-"&amp;
      XLOOKUP(Y20,'BD MPP'!$B18:$B239,'BD MPP'!$J18:J239),
      {"PASADO-PASADO";
       "PASADO-PROXIMO";
       "PROXIMO-PASADO";
       "PASADO-VIGENTE";
       "VIGENTE-PASADO";
       "PROXIMO-PROXIMO";
       "PROXIMO-VIGENTE";
       "VIGENTE-PROXIMO";
       "VIGENTE-VIGENTE"},
      0
    ),
    1,2,2,3,3,4,5,5,6
  ),
"No definido"))</f>
        <v>3</v>
      </c>
      <c r="AB20" s="240">
        <f>IFERROR(__xludf.DUMMYFUNCTION("""COMPUTED_VALUE"""),2187.0)</f>
        <v>2187</v>
      </c>
      <c r="AC20" s="241">
        <f>IF(AB20="","",VLOOKUP(AB20,'BD LUB'!$A$2:$L$223,5,FALSE)/VLOOKUP(AB20,'BD LUB'!$A$2:$L$223,7,FALSE)+(VLOOKUP(AB20,'BD LUB'!$A$2:$L$223,6,FALSE)/VLOOKUP(AB20,'BD LUB'!$A$2:$L$223,8,FALSE)))</f>
        <v>0.4196597222</v>
      </c>
      <c r="AD20" s="242">
        <f t="array" ref="AD20">IF(AB20="","",IFERROR(
  CHOOSE(
    MATCH(
      XLOOKUP(AB20,'BD MPP'!$B18:$B239,'BD MPP'!$I18:I239)&amp;"-"&amp;
      XLOOKUP(AB20,'BD MPP'!$B18:$B239,'BD MPP'!$J18:J239),
      {"PASADO-PASADO";
       "PASADO-PROXIMO";
       "PROXIMO-PASADO";
       "PASADO-VIGENTE";
       "VIGENTE-PASADO";
       "PROXIMO-PROXIMO";
       "PROXIMO-VIGENTE";
       "VIGENTE-PROXIMO";
       "VIGENTE-VIGENTE"},
      0
    ),
    1,2,2,3,3,4,5,5,6
  ),
"No definido"))</f>
        <v>3</v>
      </c>
      <c r="AE20" s="238">
        <f>IFERROR(__xludf.DUMMYFUNCTION("""COMPUTED_VALUE"""),2923.0)</f>
        <v>2923</v>
      </c>
      <c r="AF20" s="78" t="str">
        <f t="array" ref="AF20">XLOOKUP(TRIM(AE20),TRIM('BD MPP'!B:B),'BD MPP'!L:L)</f>
        <v>BULTOS</v>
      </c>
      <c r="AG20" s="78" t="str">
        <f t="shared" si="3"/>
        <v>BULT</v>
      </c>
      <c r="AH20" s="222" t="str">
        <f t="shared" si="4"/>
        <v>2923 BULT</v>
      </c>
    </row>
    <row r="21">
      <c r="A21" s="120"/>
      <c r="B21" s="220">
        <v>18.0</v>
      </c>
      <c r="C21" s="150">
        <f>IFERROR(__xludf.DUMMYFUNCTION("""COMPUTED_VALUE"""),2464.0)</f>
        <v>2464</v>
      </c>
      <c r="D21" s="243">
        <f>IFERROR(__xludf.DUMMYFUNCTION("""COMPUTED_VALUE"""),46295.0)</f>
        <v>46295</v>
      </c>
      <c r="E21" s="150" t="str">
        <f>IFERROR(__xludf.DUMMYFUNCTION("""COMPUTED_VALUE"""),"02-Medellin")</f>
        <v>02-Medellin</v>
      </c>
      <c r="F21" s="149">
        <f>IFERROR(__xludf.DUMMYFUNCTION("""COMPUTED_VALUE"""),46086.0)</f>
        <v>46086</v>
      </c>
      <c r="G21" s="244">
        <f>IFERROR(__xludf.DUMMYFUNCTION("""COMPUTED_VALUE"""),130.0)</f>
        <v>130</v>
      </c>
      <c r="H21" s="245" t="str">
        <f>IFERROR(__xludf.DUMMYFUNCTION("""COMPUTED_VALUE"""),"PASADO")</f>
        <v>PASADO</v>
      </c>
      <c r="I21" s="173" t="str">
        <f t="shared" si="1"/>
        <v>NO PEDIDO</v>
      </c>
      <c r="J21" s="101"/>
      <c r="K21" s="220">
        <v>18.0</v>
      </c>
      <c r="L21" s="78">
        <f>IFERROR(__xludf.DUMMYFUNCTION("""COMPUTED_VALUE"""),2895.0)</f>
        <v>2895</v>
      </c>
      <c r="M21" s="221">
        <f>IFERROR(__xludf.DUMMYFUNCTION("""COMPUTED_VALUE"""),46242.0)</f>
        <v>46242</v>
      </c>
      <c r="N21" s="78" t="str">
        <f>IFERROR(__xludf.DUMMYFUNCTION("""COMPUTED_VALUE"""),"31-Copacabana")</f>
        <v>31-Copacabana</v>
      </c>
      <c r="O21" s="159">
        <f>IFERROR(__xludf.DUMMYFUNCTION("""COMPUTED_VALUE"""),7288.0)</f>
        <v>7288</v>
      </c>
      <c r="P21" s="222" t="str">
        <f>IFERROR(__xludf.DUMMYFUNCTION("""COMPUTED_VALUE"""),"PASADO")</f>
        <v>PASADO</v>
      </c>
      <c r="Q21" s="8" t="str">
        <f t="shared" si="2"/>
        <v>NO PEDIDO</v>
      </c>
      <c r="V21" s="237">
        <f>CALENDARIO!W32</f>
        <v>2390</v>
      </c>
      <c r="W21" s="237">
        <f>CALENDARIO!V32</f>
        <v>2390</v>
      </c>
      <c r="Y21" s="238">
        <f>IFERROR(__xludf.DUMMYFUNCTION("""COMPUTED_VALUE"""),2400.0)</f>
        <v>2400</v>
      </c>
      <c r="Z21" s="239">
        <f>IF(Y21="","",VLOOKUP(Y21,'BD LUB'!$A$2:$L$223,5,FALSE)/VLOOKUP(Y21,'BD LUB'!$A$2:$L$223,7,FALSE)+(VLOOKUP(Y21,'BD LUB'!$A$2:$L$223,6,FALSE)/VLOOKUP(Y21,'BD LUB'!$A$2:$L$223,8,FALSE)))</f>
        <v>1.003411111</v>
      </c>
      <c r="AA21" s="222">
        <f t="array" ref="AA21">IF(Y21="","",IFERROR(
  CHOOSE(
    MATCH(
      XLOOKUP(Y21,'BD MPP'!$B19:$B240,'BD MPP'!$I19:I240)&amp;"-"&amp;
      XLOOKUP(Y21,'BD MPP'!$B19:$B240,'BD MPP'!$J19:J240),
      {"PASADO-PASADO";
       "PASADO-PROXIMO";
       "PROXIMO-PASADO";
       "PASADO-VIGENTE";
       "VIGENTE-PASADO";
       "PROXIMO-PROXIMO";
       "PROXIMO-VIGENTE";
       "VIGENTE-PROXIMO";
       "VIGENTE-VIGENTE"},
      0
    ),
    1,2,2,3,3,4,5,5,6
  ),
"No definido"))</f>
        <v>3</v>
      </c>
      <c r="AB21" s="240">
        <f>IFERROR(__xludf.DUMMYFUNCTION("""COMPUTED_VALUE"""),2466.0)</f>
        <v>2466</v>
      </c>
      <c r="AC21" s="241">
        <f>IF(AB21="","",VLOOKUP(AB21,'BD LUB'!$A$2:$L$223,5,FALSE)/VLOOKUP(AB21,'BD LUB'!$A$2:$L$223,7,FALSE)+(VLOOKUP(AB21,'BD LUB'!$A$2:$L$223,6,FALSE)/VLOOKUP(AB21,'BD LUB'!$A$2:$L$223,8,FALSE)))</f>
        <v>0.4188044444</v>
      </c>
      <c r="AD21" s="242">
        <f t="array" ref="AD21">IF(AB21="","",IFERROR(
  CHOOSE(
    MATCH(
      XLOOKUP(AB21,'BD MPP'!$B19:$B240,'BD MPP'!$I19:I240)&amp;"-"&amp;
      XLOOKUP(AB21,'BD MPP'!$B19:$B240,'BD MPP'!$J19:J240),
      {"PASADO-PASADO";
       "PASADO-PROXIMO";
       "PROXIMO-PASADO";
       "PASADO-VIGENTE";
       "VIGENTE-PASADO";
       "PROXIMO-PROXIMO";
       "PROXIMO-VIGENTE";
       "VIGENTE-PROXIMO";
       "VIGENTE-VIGENTE"},
      0
    ),
    1,2,2,3,3,4,5,5,6
  ),
"No definido"))</f>
        <v>3</v>
      </c>
      <c r="AE21" s="238">
        <f>IFERROR(__xludf.DUMMYFUNCTION("""COMPUTED_VALUE"""),487.0)</f>
        <v>487</v>
      </c>
      <c r="AF21" s="78" t="str">
        <f t="array" ref="AF21">XLOOKUP(TRIM(AE21),TRIM('BD MPP'!B:B),'BD MPP'!L:L)</f>
        <v>02-Medellin</v>
      </c>
      <c r="AG21" s="78" t="str">
        <f t="shared" si="3"/>
        <v>MED</v>
      </c>
      <c r="AH21" s="222" t="str">
        <f t="shared" si="4"/>
        <v>487 MED</v>
      </c>
    </row>
    <row r="22">
      <c r="A22" s="120"/>
      <c r="B22" s="220">
        <v>19.0</v>
      </c>
      <c r="C22" s="129">
        <f>IFERROR(__xludf.DUMMYFUNCTION("""COMPUTED_VALUE"""),2456.0)</f>
        <v>2456</v>
      </c>
      <c r="D22" s="221">
        <f>IFERROR(__xludf.DUMMYFUNCTION("""COMPUTED_VALUE"""),46296.0)</f>
        <v>46296</v>
      </c>
      <c r="E22" s="78" t="str">
        <f>IFERROR(__xludf.DUMMYFUNCTION("""COMPUTED_VALUE"""),"02-Medellin")</f>
        <v>02-Medellin</v>
      </c>
      <c r="F22" s="156">
        <f>IFERROR(__xludf.DUMMYFUNCTION("""COMPUTED_VALUE"""),46086.0)</f>
        <v>46086</v>
      </c>
      <c r="G22" s="159">
        <f>IFERROR(__xludf.DUMMYFUNCTION("""COMPUTED_VALUE"""),130.0)</f>
        <v>130</v>
      </c>
      <c r="H22" s="222" t="str">
        <f>IFERROR(__xludf.DUMMYFUNCTION("""COMPUTED_VALUE"""),"PASADO")</f>
        <v>PASADO</v>
      </c>
      <c r="I22" s="173" t="str">
        <f t="shared" si="1"/>
        <v>HECHO</v>
      </c>
      <c r="J22" s="101"/>
      <c r="K22" s="220">
        <v>19.0</v>
      </c>
      <c r="L22" s="78">
        <f>IFERROR(__xludf.DUMMYFUNCTION("""COMPUTED_VALUE"""),2367.0)</f>
        <v>2367</v>
      </c>
      <c r="M22" s="221">
        <f>IFERROR(__xludf.DUMMYFUNCTION("""COMPUTED_VALUE"""),46522.0)</f>
        <v>46522</v>
      </c>
      <c r="N22" s="78" t="str">
        <f>IFERROR(__xludf.DUMMYFUNCTION("""COMPUTED_VALUE"""),"31-Copacabana QUIMICOS")</f>
        <v>31-Copacabana QUIMICOS</v>
      </c>
      <c r="O22" s="159">
        <f>IFERROR(__xludf.DUMMYFUNCTION("""COMPUTED_VALUE"""),7228.0)</f>
        <v>7228</v>
      </c>
      <c r="P22" s="222" t="str">
        <f>IFERROR(__xludf.DUMMYFUNCTION("""COMPUTED_VALUE"""),"PASADO")</f>
        <v>PASADO</v>
      </c>
      <c r="Q22" s="8" t="str">
        <f t="shared" si="2"/>
        <v>NO PEDIDO</v>
      </c>
      <c r="V22" s="237">
        <f>CALENDARIO!W33</f>
        <v>2905</v>
      </c>
      <c r="W22" s="237">
        <f>CALENDARIO!V33</f>
        <v>2905</v>
      </c>
      <c r="Y22" s="238">
        <f>IFERROR(__xludf.DUMMYFUNCTION("""COMPUTED_VALUE"""),2462.0)</f>
        <v>2462</v>
      </c>
      <c r="Z22" s="239">
        <f>IF(Y22="","",VLOOKUP(Y22,'BD LUB'!$A$2:$L$223,5,FALSE)/VLOOKUP(Y22,'BD LUB'!$A$2:$L$223,7,FALSE)+(VLOOKUP(Y22,'BD LUB'!$A$2:$L$223,6,FALSE)/VLOOKUP(Y22,'BD LUB'!$A$2:$L$223,8,FALSE)))</f>
        <v>0.6765844444</v>
      </c>
      <c r="AA22" s="222">
        <f t="array" ref="AA22">IF(Y22="","",IFERROR(
  CHOOSE(
    MATCH(
      XLOOKUP(Y22,'BD MPP'!$B20:$B241,'BD MPP'!$I20:I241)&amp;"-"&amp;
      XLOOKUP(Y22,'BD MPP'!$B20:$B241,'BD MPP'!$J20:J241),
      {"PASADO-PASADO";
       "PASADO-PROXIMO";
       "PROXIMO-PASADO";
       "PASADO-VIGENTE";
       "VIGENTE-PASADO";
       "PROXIMO-PROXIMO";
       "PROXIMO-VIGENTE";
       "VIGENTE-PROXIMO";
       "VIGENTE-VIGENTE"},
      0
    ),
    1,2,2,3,3,4,5,5,6
  ),
"No definido"))</f>
        <v>2</v>
      </c>
      <c r="AB22" s="240">
        <f>IFERROR(__xludf.DUMMYFUNCTION("""COMPUTED_VALUE"""),2400.0)</f>
        <v>2400</v>
      </c>
      <c r="AC22" s="241">
        <f>IF(AB22="","",VLOOKUP(AB22,'BD LUB'!$A$2:$L$223,5,FALSE)/VLOOKUP(AB22,'BD LUB'!$A$2:$L$223,7,FALSE)+(VLOOKUP(AB22,'BD LUB'!$A$2:$L$223,6,FALSE)/VLOOKUP(AB22,'BD LUB'!$A$2:$L$223,8,FALSE)))</f>
        <v>1.003411111</v>
      </c>
      <c r="AD22" s="242">
        <f t="array" ref="AD22">IF(AB22="","",IFERROR(
  CHOOSE(
    MATCH(
      XLOOKUP(AB22,'BD MPP'!$B20:$B241,'BD MPP'!$I20:I241)&amp;"-"&amp;
      XLOOKUP(AB22,'BD MPP'!$B20:$B241,'BD MPP'!$J20:J241),
      {"PASADO-PASADO";
       "PASADO-PROXIMO";
       "PROXIMO-PASADO";
       "PASADO-VIGENTE";
       "VIGENTE-PASADO";
       "PROXIMO-PROXIMO";
       "PROXIMO-VIGENTE";
       "VIGENTE-PROXIMO";
       "VIGENTE-VIGENTE"},
      0
    ),
    1,2,2,3,3,4,5,5,6
  ),
"No definido"))</f>
        <v>3</v>
      </c>
      <c r="AE22" s="238">
        <f>IFERROR(__xludf.DUMMYFUNCTION("""COMPUTED_VALUE"""),2926.0)</f>
        <v>2926</v>
      </c>
      <c r="AF22" s="78" t="str">
        <f t="array" ref="AF22">XLOOKUP(TRIM(AE22),TRIM('BD MPP'!B:B),'BD MPP'!L:L)</f>
        <v>31-Copacabana</v>
      </c>
      <c r="AG22" s="78" t="str">
        <f t="shared" si="3"/>
        <v>COP</v>
      </c>
      <c r="AH22" s="222" t="str">
        <f t="shared" si="4"/>
        <v>2926 COP</v>
      </c>
    </row>
    <row r="23">
      <c r="A23" s="120"/>
      <c r="B23" s="220">
        <v>20.0</v>
      </c>
      <c r="C23" s="129">
        <f>IFERROR(__xludf.DUMMYFUNCTION("""COMPUTED_VALUE"""),2392.0)</f>
        <v>2392</v>
      </c>
      <c r="D23" s="221">
        <f>IFERROR(__xludf.DUMMYFUNCTION("""COMPUTED_VALUE"""),46548.0)</f>
        <v>46548</v>
      </c>
      <c r="E23" s="78" t="str">
        <f>IFERROR(__xludf.DUMMYFUNCTION("""COMPUTED_VALUE"""),"02-Medellin")</f>
        <v>02-Medellin</v>
      </c>
      <c r="F23" s="156">
        <f>IFERROR(__xludf.DUMMYFUNCTION("""COMPUTED_VALUE"""),46086.0)</f>
        <v>46086</v>
      </c>
      <c r="G23" s="159">
        <f>IFERROR(__xludf.DUMMYFUNCTION("""COMPUTED_VALUE"""),130.0)</f>
        <v>130</v>
      </c>
      <c r="H23" s="222" t="str">
        <f>IFERROR(__xludf.DUMMYFUNCTION("""COMPUTED_VALUE"""),"PASADO")</f>
        <v>PASADO</v>
      </c>
      <c r="I23" s="173" t="str">
        <f t="shared" si="1"/>
        <v>HECHO</v>
      </c>
      <c r="J23" s="101"/>
      <c r="K23" s="220">
        <v>20.0</v>
      </c>
      <c r="L23" s="78">
        <f>IFERROR(__xludf.DUMMYFUNCTION("""COMPUTED_VALUE"""),2923.0)</f>
        <v>2923</v>
      </c>
      <c r="M23" s="221">
        <f>IFERROR(__xludf.DUMMYFUNCTION("""COMPUTED_VALUE"""),46318.0)</f>
        <v>46318</v>
      </c>
      <c r="N23" s="78" t="str">
        <f>IFERROR(__xludf.DUMMYFUNCTION("""COMPUTED_VALUE"""),"BULTOS")</f>
        <v>BULTOS</v>
      </c>
      <c r="O23" s="159">
        <f>IFERROR(__xludf.DUMMYFUNCTION("""COMPUTED_VALUE"""),7217.0)</f>
        <v>7217</v>
      </c>
      <c r="P23" s="222" t="str">
        <f>IFERROR(__xludf.DUMMYFUNCTION("""COMPUTED_VALUE"""),"PASADO")</f>
        <v>PASADO</v>
      </c>
      <c r="Q23" s="8" t="str">
        <f t="shared" si="2"/>
        <v>NO PEDIDO</v>
      </c>
      <c r="V23" s="237">
        <f>CALENDARIO!W34</f>
        <v>2573</v>
      </c>
      <c r="W23" s="237">
        <f>CALENDARIO!V34</f>
        <v>2573</v>
      </c>
      <c r="Y23" s="238">
        <f>IFERROR(__xludf.DUMMYFUNCTION("""COMPUTED_VALUE"""),2403.0)</f>
        <v>2403</v>
      </c>
      <c r="Z23" s="239">
        <f>IF(Y23="","",VLOOKUP(Y23,'BD LUB'!$A$2:$L$223,5,FALSE)/VLOOKUP(Y23,'BD LUB'!$A$2:$L$223,7,FALSE)+(VLOOKUP(Y23,'BD LUB'!$A$2:$L$223,6,FALSE)/VLOOKUP(Y23,'BD LUB'!$A$2:$L$223,8,FALSE)))</f>
        <v>1.33029</v>
      </c>
      <c r="AA23" s="222">
        <f t="array" ref="AA23">IF(Y23="","",IFERROR(
  CHOOSE(
    MATCH(
      XLOOKUP(Y23,'BD MPP'!$B21:$B242,'BD MPP'!$I21:I242)&amp;"-"&amp;
      XLOOKUP(Y23,'BD MPP'!$B21:$B242,'BD MPP'!$J21:J242),
      {"PASADO-PASADO";
       "PASADO-PROXIMO";
       "PROXIMO-PASADO";
       "PASADO-VIGENTE";
       "VIGENTE-PASADO";
       "PROXIMO-PROXIMO";
       "PROXIMO-VIGENTE";
       "VIGENTE-PROXIMO";
       "VIGENTE-VIGENTE"},
      0
    ),
    1,2,2,3,3,4,5,5,6
  ),
"No definido"))</f>
        <v>1</v>
      </c>
      <c r="AB23" s="240">
        <f>IFERROR(__xludf.DUMMYFUNCTION("""COMPUTED_VALUE"""),2462.0)</f>
        <v>2462</v>
      </c>
      <c r="AC23" s="241">
        <f>IF(AB23="","",VLOOKUP(AB23,'BD LUB'!$A$2:$L$223,5,FALSE)/VLOOKUP(AB23,'BD LUB'!$A$2:$L$223,7,FALSE)+(VLOOKUP(AB23,'BD LUB'!$A$2:$L$223,6,FALSE)/VLOOKUP(AB23,'BD LUB'!$A$2:$L$223,8,FALSE)))</f>
        <v>0.6765844444</v>
      </c>
      <c r="AD23" s="242">
        <f t="array" ref="AD23">IF(AB23="","",IFERROR(
  CHOOSE(
    MATCH(
      XLOOKUP(AB23,'BD MPP'!$B21:$B242,'BD MPP'!$I21:I242)&amp;"-"&amp;
      XLOOKUP(AB23,'BD MPP'!$B21:$B242,'BD MPP'!$J21:J242),
      {"PASADO-PASADO";
       "PASADO-PROXIMO";
       "PROXIMO-PASADO";
       "PASADO-VIGENTE";
       "VIGENTE-PASADO";
       "PROXIMO-PROXIMO";
       "PROXIMO-VIGENTE";
       "VIGENTE-PROXIMO";
       "VIGENTE-VIGENTE"},
      0
    ),
    1,2,2,3,3,4,5,5,6
  ),
"No definido"))</f>
        <v>2</v>
      </c>
      <c r="AE23" s="238">
        <f>IFERROR(__xludf.DUMMYFUNCTION("""COMPUTED_VALUE"""),2854.0)</f>
        <v>2854</v>
      </c>
      <c r="AF23" s="78" t="str">
        <f t="array" ref="AF23">XLOOKUP(TRIM(AE23),TRIM('BD MPP'!B:B),'BD MPP'!L:L)</f>
        <v>02-Medellin</v>
      </c>
      <c r="AG23" s="78" t="str">
        <f t="shared" si="3"/>
        <v>MED</v>
      </c>
      <c r="AH23" s="222" t="str">
        <f t="shared" si="4"/>
        <v>2854 MED</v>
      </c>
    </row>
    <row r="24">
      <c r="A24" s="120"/>
      <c r="B24" s="220">
        <v>21.0</v>
      </c>
      <c r="C24" s="135">
        <f>IFERROR(__xludf.DUMMYFUNCTION("""COMPUTED_VALUE"""),2187.0)</f>
        <v>2187</v>
      </c>
      <c r="D24" s="221">
        <f>IFERROR(__xludf.DUMMYFUNCTION("""COMPUTED_VALUE"""),46410.0)</f>
        <v>46410</v>
      </c>
      <c r="E24" s="78" t="str">
        <f>IFERROR(__xludf.DUMMYFUNCTION("""COMPUTED_VALUE"""),"02-Medellin")</f>
        <v>02-Medellin</v>
      </c>
      <c r="F24" s="156">
        <f>IFERROR(__xludf.DUMMYFUNCTION("""COMPUTED_VALUE"""),46087.0)</f>
        <v>46087</v>
      </c>
      <c r="G24" s="159">
        <f>IFERROR(__xludf.DUMMYFUNCTION("""COMPUTED_VALUE"""),129.0)</f>
        <v>129</v>
      </c>
      <c r="H24" s="222" t="str">
        <f>IFERROR(__xludf.DUMMYFUNCTION("""COMPUTED_VALUE"""),"PASADO")</f>
        <v>PASADO</v>
      </c>
      <c r="I24" s="173" t="str">
        <f t="shared" si="1"/>
        <v>NO PEDIDO</v>
      </c>
      <c r="J24" s="101"/>
      <c r="K24" s="220">
        <v>21.0</v>
      </c>
      <c r="L24" s="78">
        <f>IFERROR(__xludf.DUMMYFUNCTION("""COMPUTED_VALUE"""),2450.0)</f>
        <v>2450</v>
      </c>
      <c r="M24" s="221">
        <f>IFERROR(__xludf.DUMMYFUNCTION("""COMPUTED_VALUE"""),46290.0)</f>
        <v>46290</v>
      </c>
      <c r="N24" s="78" t="str">
        <f>IFERROR(__xludf.DUMMYFUNCTION("""COMPUTED_VALUE"""),"MAYORCA")</f>
        <v>MAYORCA</v>
      </c>
      <c r="O24" s="159">
        <f>IFERROR(__xludf.DUMMYFUNCTION("""COMPUTED_VALUE"""),7168.2)</f>
        <v>7168.2</v>
      </c>
      <c r="P24" s="222" t="str">
        <f>IFERROR(__xludf.DUMMYFUNCTION("""COMPUTED_VALUE"""),"PASADO")</f>
        <v>PASADO</v>
      </c>
      <c r="Q24" s="8" t="str">
        <f t="shared" si="2"/>
        <v>NO PEDIDO</v>
      </c>
      <c r="V24" s="237">
        <f>CALENDARIO!W35</f>
        <v>2458</v>
      </c>
      <c r="W24" s="237">
        <f>CALENDARIO!V35</f>
        <v>2458</v>
      </c>
      <c r="Y24" s="238">
        <f>IFERROR(__xludf.DUMMYFUNCTION("""COMPUTED_VALUE"""),2896.0)</f>
        <v>2896</v>
      </c>
      <c r="Z24" s="239">
        <f>IF(Y24="","",VLOOKUP(Y24,'BD LUB'!$A$2:$L$223,5,FALSE)/VLOOKUP(Y24,'BD LUB'!$A$2:$L$223,7,FALSE)+(VLOOKUP(Y24,'BD LUB'!$A$2:$L$223,6,FALSE)/VLOOKUP(Y24,'BD LUB'!$A$2:$L$223,8,FALSE)))</f>
        <v>1.726533333</v>
      </c>
      <c r="AA24" s="222">
        <f t="array" ref="AA24">IF(Y24="","",IFERROR(
  CHOOSE(
    MATCH(
      XLOOKUP(Y24,'BD MPP'!$B22:$B243,'BD MPP'!$I22:I243)&amp;"-"&amp;
      XLOOKUP(Y24,'BD MPP'!$B22:$B243,'BD MPP'!$J22:J243),
      {"PASADO-PASADO";
       "PASADO-PROXIMO";
       "PROXIMO-PASADO";
       "PASADO-VIGENTE";
       "VIGENTE-PASADO";
       "PROXIMO-PROXIMO";
       "PROXIMO-VIGENTE";
       "VIGENTE-PROXIMO";
       "VIGENTE-VIGENTE"},
      0
    ),
    1,2,2,3,3,4,5,5,6
  ),
"No definido"))</f>
        <v>1</v>
      </c>
      <c r="AB24" s="240">
        <f>IFERROR(__xludf.DUMMYFUNCTION("""COMPUTED_VALUE"""),2460.0)</f>
        <v>2460</v>
      </c>
      <c r="AC24" s="241">
        <f>IF(AB24="","",VLOOKUP(AB24,'BD LUB'!$A$2:$L$223,5,FALSE)/VLOOKUP(AB24,'BD LUB'!$A$2:$L$223,7,FALSE)+(VLOOKUP(AB24,'BD LUB'!$A$2:$L$223,6,FALSE)/VLOOKUP(AB24,'BD LUB'!$A$2:$L$223,8,FALSE)))</f>
        <v>1.932648889</v>
      </c>
      <c r="AD24" s="242">
        <f t="array" ref="AD24">IF(AB24="","",IFERROR(
  CHOOSE(
    MATCH(
      XLOOKUP(AB24,'BD MPP'!$B22:$B243,'BD MPP'!$I22:I243)&amp;"-"&amp;
      XLOOKUP(AB24,'BD MPP'!$B22:$B243,'BD MPP'!$J22:J243),
      {"PASADO-PASADO";
       "PASADO-PROXIMO";
       "PROXIMO-PASADO";
       "PASADO-VIGENTE";
       "VIGENTE-PASADO";
       "PROXIMO-PROXIMO";
       "PROXIMO-VIGENTE";
       "VIGENTE-PROXIMO";
       "VIGENTE-VIGENTE"},
      0
    ),
    1,2,2,3,3,4,5,5,6
  ),
"No definido"))</f>
        <v>1</v>
      </c>
      <c r="AE24" s="238">
        <f>IFERROR(__xludf.DUMMYFUNCTION("""COMPUTED_VALUE"""),495.0)</f>
        <v>495</v>
      </c>
      <c r="AF24" s="78" t="str">
        <f t="array" ref="AF24">XLOOKUP(TRIM(AE24),TRIM('BD MPP'!B:B),'BD MPP'!L:L)</f>
        <v>02-Medellin</v>
      </c>
      <c r="AG24" s="78" t="str">
        <f t="shared" si="3"/>
        <v>MED</v>
      </c>
      <c r="AH24" s="222" t="str">
        <f t="shared" si="4"/>
        <v>495 MED</v>
      </c>
    </row>
    <row r="25">
      <c r="A25" s="120"/>
      <c r="B25" s="220">
        <v>22.0</v>
      </c>
      <c r="C25" s="78">
        <f>IFERROR(__xludf.DUMMYFUNCTION("""COMPUTED_VALUE"""),2179.0)</f>
        <v>2179</v>
      </c>
      <c r="D25" s="221">
        <f>IFERROR(__xludf.DUMMYFUNCTION("""COMPUTED_VALUE"""),46383.0)</f>
        <v>46383</v>
      </c>
      <c r="E25" s="78" t="str">
        <f>IFERROR(__xludf.DUMMYFUNCTION("""COMPUTED_VALUE"""),"02-Medellin")</f>
        <v>02-Medellin</v>
      </c>
      <c r="F25" s="156">
        <f>IFERROR(__xludf.DUMMYFUNCTION("""COMPUTED_VALUE"""),46087.0)</f>
        <v>46087</v>
      </c>
      <c r="G25" s="159">
        <f>IFERROR(__xludf.DUMMYFUNCTION("""COMPUTED_VALUE"""),129.0)</f>
        <v>129</v>
      </c>
      <c r="H25" s="222" t="str">
        <f>IFERROR(__xludf.DUMMYFUNCTION("""COMPUTED_VALUE"""),"PASADO")</f>
        <v>PASADO</v>
      </c>
      <c r="I25" s="173" t="str">
        <f t="shared" si="1"/>
        <v>HECHO</v>
      </c>
      <c r="J25" s="101"/>
      <c r="K25" s="220">
        <v>22.0</v>
      </c>
      <c r="L25" s="78">
        <f>IFERROR(__xludf.DUMMYFUNCTION("""COMPUTED_VALUE"""),2457.0)</f>
        <v>2457</v>
      </c>
      <c r="M25" s="221">
        <f>IFERROR(__xludf.DUMMYFUNCTION("""COMPUTED_VALUE"""),46302.0)</f>
        <v>46302</v>
      </c>
      <c r="N25" s="78" t="str">
        <f>IFERROR(__xludf.DUMMYFUNCTION("""COMPUTED_VALUE"""),"BULTOS")</f>
        <v>BULTOS</v>
      </c>
      <c r="O25" s="159">
        <f>IFERROR(__xludf.DUMMYFUNCTION("""COMPUTED_VALUE"""),6746.4)</f>
        <v>6746.4</v>
      </c>
      <c r="P25" s="222" t="str">
        <f>IFERROR(__xludf.DUMMYFUNCTION("""COMPUTED_VALUE"""),"PASADO")</f>
        <v>PASADO</v>
      </c>
      <c r="Q25" s="8" t="str">
        <f t="shared" si="2"/>
        <v>NO PEDIDO</v>
      </c>
      <c r="V25" s="237">
        <f>CALENDARIO!W36</f>
        <v>2906</v>
      </c>
      <c r="W25" s="237">
        <f>CALENDARIO!V36</f>
        <v>2906</v>
      </c>
      <c r="Y25" s="238">
        <f>IFERROR(__xludf.DUMMYFUNCTION("""COMPUTED_VALUE"""),2455.0)</f>
        <v>2455</v>
      </c>
      <c r="Z25" s="239">
        <f>IF(Y25="","",VLOOKUP(Y25,'BD LUB'!$A$2:$L$223,5,FALSE)/VLOOKUP(Y25,'BD LUB'!$A$2:$L$223,7,FALSE)+(VLOOKUP(Y25,'BD LUB'!$A$2:$L$223,6,FALSE)/VLOOKUP(Y25,'BD LUB'!$A$2:$L$223,8,FALSE)))</f>
        <v>0.8027555556</v>
      </c>
      <c r="AA25" s="222">
        <f t="array" ref="AA25">IF(Y25="","",IFERROR(
  CHOOSE(
    MATCH(
      XLOOKUP(Y25,'BD MPP'!$B23:$B244,'BD MPP'!$I23:I244)&amp;"-"&amp;
      XLOOKUP(Y25,'BD MPP'!$B23:$B244,'BD MPP'!$J23:J244),
      {"PASADO-PASADO";
       "PASADO-PROXIMO";
       "PROXIMO-PASADO";
       "PASADO-VIGENTE";
       "VIGENTE-PASADO";
       "PROXIMO-PROXIMO";
       "PROXIMO-VIGENTE";
       "VIGENTE-PROXIMO";
       "VIGENTE-VIGENTE"},
      0
    ),
    1,2,2,3,3,4,5,5,6
  ),
"No definido"))</f>
        <v>3</v>
      </c>
      <c r="AB25" s="240">
        <f>IFERROR(__xludf.DUMMYFUNCTION("""COMPUTED_VALUE"""),2403.0)</f>
        <v>2403</v>
      </c>
      <c r="AC25" s="241">
        <f>IF(AB25="","",VLOOKUP(AB25,'BD LUB'!$A$2:$L$223,5,FALSE)/VLOOKUP(AB25,'BD LUB'!$A$2:$L$223,7,FALSE)+(VLOOKUP(AB25,'BD LUB'!$A$2:$L$223,6,FALSE)/VLOOKUP(AB25,'BD LUB'!$A$2:$L$223,8,FALSE)))</f>
        <v>1.33029</v>
      </c>
      <c r="AD25" s="242">
        <f t="array" ref="AD25">IF(AB25="","",IFERROR(
  CHOOSE(
    MATCH(
      XLOOKUP(AB25,'BD MPP'!$B23:$B244,'BD MPP'!$I23:I244)&amp;"-"&amp;
      XLOOKUP(AB25,'BD MPP'!$B23:$B244,'BD MPP'!$J23:J244),
      {"PASADO-PASADO";
       "PASADO-PROXIMO";
       "PROXIMO-PASADO";
       "PASADO-VIGENTE";
       "VIGENTE-PASADO";
       "PROXIMO-PROXIMO";
       "PROXIMO-VIGENTE";
       "VIGENTE-PROXIMO";
       "VIGENTE-VIGENTE"},
      0
    ),
    1,2,2,3,3,4,5,5,6
  ),
"No definido"))</f>
        <v>1</v>
      </c>
      <c r="AE25" s="238">
        <f>IFERROR(__xludf.DUMMYFUNCTION("""COMPUTED_VALUE"""),2850.0)</f>
        <v>2850</v>
      </c>
      <c r="AF25" s="78" t="str">
        <f t="array" ref="AF25">XLOOKUP(TRIM(AE25),TRIM('BD MPP'!B:B),'BD MPP'!L:L)</f>
        <v>MAYORCA</v>
      </c>
      <c r="AG25" s="78" t="str">
        <f t="shared" si="3"/>
        <v>MAY</v>
      </c>
      <c r="AH25" s="222" t="str">
        <f t="shared" si="4"/>
        <v>2850 MAY</v>
      </c>
    </row>
    <row r="26">
      <c r="A26" s="120"/>
      <c r="B26" s="220">
        <v>23.0</v>
      </c>
      <c r="C26" s="255">
        <f>IFERROR(__xludf.DUMMYFUNCTION("""COMPUTED_VALUE"""),2466.0)</f>
        <v>2466</v>
      </c>
      <c r="D26" s="221">
        <f>IFERROR(__xludf.DUMMYFUNCTION("""COMPUTED_VALUE"""),46297.0)</f>
        <v>46297</v>
      </c>
      <c r="E26" s="78" t="str">
        <f>IFERROR(__xludf.DUMMYFUNCTION("""COMPUTED_VALUE"""),"02-Medellin")</f>
        <v>02-Medellin</v>
      </c>
      <c r="F26" s="156">
        <f>IFERROR(__xludf.DUMMYFUNCTION("""COMPUTED_VALUE"""),46090.0)</f>
        <v>46090</v>
      </c>
      <c r="G26" s="159">
        <f>IFERROR(__xludf.DUMMYFUNCTION("""COMPUTED_VALUE"""),126.0)</f>
        <v>126</v>
      </c>
      <c r="H26" s="222" t="str">
        <f>IFERROR(__xludf.DUMMYFUNCTION("""COMPUTED_VALUE"""),"PASADO")</f>
        <v>PASADO</v>
      </c>
      <c r="I26" s="173" t="str">
        <f t="shared" si="1"/>
        <v>NO PEDIDO</v>
      </c>
      <c r="J26" s="101"/>
      <c r="K26" s="220">
        <v>23.0</v>
      </c>
      <c r="L26" s="78">
        <f>IFERROR(__xludf.DUMMYFUNCTION("""COMPUTED_VALUE"""),2387.0)</f>
        <v>2387</v>
      </c>
      <c r="M26" s="221">
        <f>IFERROR(__xludf.DUMMYFUNCTION("""COMPUTED_VALUE"""),46466.0)</f>
        <v>46466</v>
      </c>
      <c r="N26" s="78" t="str">
        <f>IFERROR(__xludf.DUMMYFUNCTION("""COMPUTED_VALUE"""),"BULTOS")</f>
        <v>BULTOS</v>
      </c>
      <c r="O26" s="159">
        <f>IFERROR(__xludf.DUMMYFUNCTION("""COMPUTED_VALUE"""),6484.7)</f>
        <v>6484.7</v>
      </c>
      <c r="P26" s="222" t="str">
        <f>IFERROR(__xludf.DUMMYFUNCTION("""COMPUTED_VALUE"""),"PASADO")</f>
        <v>PASADO</v>
      </c>
      <c r="Q26" s="8" t="str">
        <f t="shared" si="2"/>
        <v>NO PEDIDO</v>
      </c>
      <c r="V26" s="237">
        <f>CALENDARIO!W37</f>
        <v>2201</v>
      </c>
      <c r="W26" s="237">
        <f>CALENDARIO!V37</f>
        <v>2201</v>
      </c>
      <c r="Y26" s="238">
        <f>IFERROR(__xludf.DUMMYFUNCTION("""COMPUTED_VALUE"""),2432.0)</f>
        <v>2432</v>
      </c>
      <c r="Z26" s="239">
        <f>IF(Y26="","",VLOOKUP(Y26,'BD LUB'!$A$2:$L$223,5,FALSE)/VLOOKUP(Y26,'BD LUB'!$A$2:$L$223,7,FALSE)+(VLOOKUP(Y26,'BD LUB'!$A$2:$L$223,6,FALSE)/VLOOKUP(Y26,'BD LUB'!$A$2:$L$223,8,FALSE)))</f>
        <v>0.4412477778</v>
      </c>
      <c r="AA26" s="222">
        <f t="array" ref="AA26">IF(Y26="","",IFERROR(
  CHOOSE(
    MATCH(
      XLOOKUP(Y26,'BD MPP'!$B24:$B245,'BD MPP'!$I24:I245)&amp;"-"&amp;
      XLOOKUP(Y26,'BD MPP'!$B24:$B245,'BD MPP'!$J24:J245),
      {"PASADO-PASADO";
       "PASADO-PROXIMO";
       "PROXIMO-PASADO";
       "PASADO-VIGENTE";
       "VIGENTE-PASADO";
       "PROXIMO-PROXIMO";
       "PROXIMO-VIGENTE";
       "VIGENTE-PROXIMO";
       "VIGENTE-VIGENTE"},
      0
    ),
    1,2,2,3,3,4,5,5,6
  ),
"No definido"))</f>
        <v>3</v>
      </c>
      <c r="AB26" s="240">
        <f>IFERROR(__xludf.DUMMYFUNCTION("""COMPUTED_VALUE"""),2896.0)</f>
        <v>2896</v>
      </c>
      <c r="AC26" s="241">
        <f>IF(AB26="","",VLOOKUP(AB26,'BD LUB'!$A$2:$L$223,5,FALSE)/VLOOKUP(AB26,'BD LUB'!$A$2:$L$223,7,FALSE)+(VLOOKUP(AB26,'BD LUB'!$A$2:$L$223,6,FALSE)/VLOOKUP(AB26,'BD LUB'!$A$2:$L$223,8,FALSE)))</f>
        <v>1.726533333</v>
      </c>
      <c r="AD26" s="242">
        <f t="array" ref="AD26">IF(AB26="","",IFERROR(
  CHOOSE(
    MATCH(
      XLOOKUP(AB26,'BD MPP'!$B24:$B245,'BD MPP'!$I24:I245)&amp;"-"&amp;
      XLOOKUP(AB26,'BD MPP'!$B24:$B245,'BD MPP'!$J24:J245),
      {"PASADO-PASADO";
       "PASADO-PROXIMO";
       "PROXIMO-PASADO";
       "PASADO-VIGENTE";
       "VIGENTE-PASADO";
       "PROXIMO-PROXIMO";
       "PROXIMO-VIGENTE";
       "VIGENTE-PROXIMO";
       "VIGENTE-VIGENTE"},
      0
    ),
    1,2,2,3,3,4,5,5,6
  ),
"No definido"))</f>
        <v>1</v>
      </c>
      <c r="AE26" s="238">
        <f>IFERROR(__xludf.DUMMYFUNCTION("""COMPUTED_VALUE"""),2459.0)</f>
        <v>2459</v>
      </c>
      <c r="AF26" s="78" t="str">
        <f t="array" ref="AF26">XLOOKUP(TRIM(AE26),TRIM('BD MPP'!B:B),'BD MPP'!L:L)</f>
        <v>02-Medellin</v>
      </c>
      <c r="AG26" s="78" t="str">
        <f t="shared" si="3"/>
        <v>MED</v>
      </c>
      <c r="AH26" s="222" t="str">
        <f t="shared" si="4"/>
        <v>2459 MED</v>
      </c>
    </row>
    <row r="27">
      <c r="A27" s="120"/>
      <c r="B27" s="220">
        <v>24.0</v>
      </c>
      <c r="C27" s="255">
        <f>IFERROR(__xludf.DUMMYFUNCTION("""COMPUTED_VALUE"""),2400.0)</f>
        <v>2400</v>
      </c>
      <c r="D27" s="221">
        <f>IFERROR(__xludf.DUMMYFUNCTION("""COMPUTED_VALUE"""),46542.0)</f>
        <v>46542</v>
      </c>
      <c r="E27" s="78" t="str">
        <f>IFERROR(__xludf.DUMMYFUNCTION("""COMPUTED_VALUE"""),"MAYORCA")</f>
        <v>MAYORCA</v>
      </c>
      <c r="F27" s="156">
        <f>IFERROR(__xludf.DUMMYFUNCTION("""COMPUTED_VALUE"""),46090.0)</f>
        <v>46090</v>
      </c>
      <c r="G27" s="159">
        <f>IFERROR(__xludf.DUMMYFUNCTION("""COMPUTED_VALUE"""),126.0)</f>
        <v>126</v>
      </c>
      <c r="H27" s="222" t="str">
        <f>IFERROR(__xludf.DUMMYFUNCTION("""COMPUTED_VALUE"""),"PASADO")</f>
        <v>PASADO</v>
      </c>
      <c r="I27" s="173" t="str">
        <f t="shared" si="1"/>
        <v>NO PEDIDO</v>
      </c>
      <c r="J27" s="101"/>
      <c r="K27" s="220">
        <v>24.0</v>
      </c>
      <c r="L27" s="78">
        <f>IFERROR(__xludf.DUMMYFUNCTION("""COMPUTED_VALUE"""),2392.0)</f>
        <v>2392</v>
      </c>
      <c r="M27" s="221">
        <f>IFERROR(__xludf.DUMMYFUNCTION("""COMPUTED_VALUE"""),46548.0)</f>
        <v>46548</v>
      </c>
      <c r="N27" s="78" t="str">
        <f>IFERROR(__xludf.DUMMYFUNCTION("""COMPUTED_VALUE"""),"02-Medellin")</f>
        <v>02-Medellin</v>
      </c>
      <c r="O27" s="159">
        <f>IFERROR(__xludf.DUMMYFUNCTION("""COMPUTED_VALUE"""),6463.5)</f>
        <v>6463.5</v>
      </c>
      <c r="P27" s="222" t="str">
        <f>IFERROR(__xludf.DUMMYFUNCTION("""COMPUTED_VALUE"""),"PASADO")</f>
        <v>PASADO</v>
      </c>
      <c r="Q27" s="8" t="str">
        <f t="shared" si="2"/>
        <v>NO PEDIDO</v>
      </c>
      <c r="V27" s="237">
        <f>CALENDARIO!W38</f>
        <v>2196</v>
      </c>
      <c r="W27" s="237">
        <f>CALENDARIO!V38</f>
        <v>2196</v>
      </c>
      <c r="Y27" s="238">
        <f>IFERROR(__xludf.DUMMYFUNCTION("""COMPUTED_VALUE"""),2374.0)</f>
        <v>2374</v>
      </c>
      <c r="Z27" s="239">
        <f>IF(Y27="","",VLOOKUP(Y27,'BD LUB'!$A$2:$L$223,5,FALSE)/VLOOKUP(Y27,'BD LUB'!$A$2:$L$223,7,FALSE)+(VLOOKUP(Y27,'BD LUB'!$A$2:$L$223,6,FALSE)/VLOOKUP(Y27,'BD LUB'!$A$2:$L$223,8,FALSE)))</f>
        <v>0.4905355556</v>
      </c>
      <c r="AA27" s="222">
        <f t="array" ref="AA27">IF(Y27="","",IFERROR(
  CHOOSE(
    MATCH(
      XLOOKUP(Y27,'BD MPP'!$B25:$B246,'BD MPP'!$I25:I246)&amp;"-"&amp;
      XLOOKUP(Y27,'BD MPP'!$B25:$B246,'BD MPP'!$J25:J246),
      {"PASADO-PASADO";
       "PASADO-PROXIMO";
       "PROXIMO-PASADO";
       "PASADO-VIGENTE";
       "VIGENTE-PASADO";
       "PROXIMO-PROXIMO";
       "PROXIMO-VIGENTE";
       "VIGENTE-PROXIMO";
       "VIGENTE-VIGENTE"},
      0
    ),
    1,2,2,3,3,4,5,5,6
  ),
"No definido"))</f>
        <v>2</v>
      </c>
      <c r="AB27" s="240">
        <f>IFERROR(__xludf.DUMMYFUNCTION("""COMPUTED_VALUE"""),2455.0)</f>
        <v>2455</v>
      </c>
      <c r="AC27" s="241">
        <f>IF(AB27="","",VLOOKUP(AB27,'BD LUB'!$A$2:$L$223,5,FALSE)/VLOOKUP(AB27,'BD LUB'!$A$2:$L$223,7,FALSE)+(VLOOKUP(AB27,'BD LUB'!$A$2:$L$223,6,FALSE)/VLOOKUP(AB27,'BD LUB'!$A$2:$L$223,8,FALSE)))</f>
        <v>0.8027555556</v>
      </c>
      <c r="AD27" s="242">
        <f t="array" ref="AD27">IF(AB27="","",IFERROR(
  CHOOSE(
    MATCH(
      XLOOKUP(AB27,'BD MPP'!$B25:$B246,'BD MPP'!$I25:I246)&amp;"-"&amp;
      XLOOKUP(AB27,'BD MPP'!$B25:$B246,'BD MPP'!$J25:J246),
      {"PASADO-PASADO";
       "PASADO-PROXIMO";
       "PROXIMO-PASADO";
       "PASADO-VIGENTE";
       "VIGENTE-PASADO";
       "PROXIMO-PROXIMO";
       "PROXIMO-VIGENTE";
       "VIGENTE-PROXIMO";
       "VIGENTE-VIGENTE"},
      0
    ),
    1,2,2,3,3,4,5,5,6
  ),
"No definido"))</f>
        <v>3</v>
      </c>
      <c r="AE27" s="238">
        <f>IFERROR(__xludf.DUMMYFUNCTION("""COMPUTED_VALUE"""),2666.0)</f>
        <v>2666</v>
      </c>
      <c r="AF27" s="78" t="str">
        <f t="array" ref="AF27">XLOOKUP(TRIM(AE27),TRIM('BD MPP'!B:B),'BD MPP'!L:L)</f>
        <v>02-Medellin</v>
      </c>
      <c r="AG27" s="78" t="str">
        <f t="shared" si="3"/>
        <v>MED</v>
      </c>
      <c r="AH27" s="222" t="str">
        <f t="shared" si="4"/>
        <v>2666 MED</v>
      </c>
    </row>
    <row r="28">
      <c r="A28" s="120"/>
      <c r="B28" s="220">
        <v>25.0</v>
      </c>
      <c r="C28" s="78">
        <f>IFERROR(__xludf.DUMMYFUNCTION("""COMPUTED_VALUE"""),2206.0)</f>
        <v>2206</v>
      </c>
      <c r="D28" s="221">
        <f>IFERROR(__xludf.DUMMYFUNCTION("""COMPUTED_VALUE"""),46548.0)</f>
        <v>46548</v>
      </c>
      <c r="E28" s="78" t="str">
        <f>IFERROR(__xludf.DUMMYFUNCTION("""COMPUTED_VALUE"""),"MAYORCA")</f>
        <v>MAYORCA</v>
      </c>
      <c r="F28" s="156">
        <f>IFERROR(__xludf.DUMMYFUNCTION("""COMPUTED_VALUE"""),46090.0)</f>
        <v>46090</v>
      </c>
      <c r="G28" s="159">
        <f>IFERROR(__xludf.DUMMYFUNCTION("""COMPUTED_VALUE"""),126.0)</f>
        <v>126</v>
      </c>
      <c r="H28" s="222" t="str">
        <f>IFERROR(__xludf.DUMMYFUNCTION("""COMPUTED_VALUE"""),"PASADO")</f>
        <v>PASADO</v>
      </c>
      <c r="I28" s="173" t="str">
        <f t="shared" si="1"/>
        <v>HECHO</v>
      </c>
      <c r="J28" s="101"/>
      <c r="K28" s="220">
        <v>25.0</v>
      </c>
      <c r="L28" s="78">
        <f>IFERROR(__xludf.DUMMYFUNCTION("""COMPUTED_VALUE"""),2843.0)</f>
        <v>2843</v>
      </c>
      <c r="M28" s="221">
        <f>IFERROR(__xludf.DUMMYFUNCTION("""COMPUTED_VALUE"""),46562.0)</f>
        <v>46562</v>
      </c>
      <c r="N28" s="78" t="str">
        <f>IFERROR(__xludf.DUMMYFUNCTION("""COMPUTED_VALUE"""),"31-Copacabana")</f>
        <v>31-Copacabana</v>
      </c>
      <c r="O28" s="159">
        <f>IFERROR(__xludf.DUMMYFUNCTION("""COMPUTED_VALUE"""),6412.0)</f>
        <v>6412</v>
      </c>
      <c r="P28" s="222" t="str">
        <f>IFERROR(__xludf.DUMMYFUNCTION("""COMPUTED_VALUE"""),"PASADO")</f>
        <v>PASADO</v>
      </c>
      <c r="Q28" s="8" t="str">
        <f t="shared" si="2"/>
        <v>NO PEDIDO</v>
      </c>
      <c r="V28" s="237">
        <f>CALENDARIO!W39</f>
        <v>2369</v>
      </c>
      <c r="W28" s="237">
        <f>CALENDARIO!V39</f>
        <v>2369</v>
      </c>
      <c r="Y28" s="238">
        <f>IFERROR(__xludf.DUMMYFUNCTION("""COMPUTED_VALUE"""),2385.0)</f>
        <v>2385</v>
      </c>
      <c r="Z28" s="239">
        <f>IF(Y28="","",VLOOKUP(Y28,'BD LUB'!$A$2:$L$223,5,FALSE)/VLOOKUP(Y28,'BD LUB'!$A$2:$L$223,7,FALSE)+(VLOOKUP(Y28,'BD LUB'!$A$2:$L$223,6,FALSE)/VLOOKUP(Y28,'BD LUB'!$A$2:$L$223,8,FALSE)))</f>
        <v>0.5595977778</v>
      </c>
      <c r="AA28" s="222">
        <f t="array" ref="AA28">IF(Y28="","",IFERROR(
  CHOOSE(
    MATCH(
      XLOOKUP(Y28,'BD MPP'!$B26:$B247,'BD MPP'!$I26:I247)&amp;"-"&amp;
      XLOOKUP(Y28,'BD MPP'!$B26:$B247,'BD MPP'!$J26:J247),
      {"PASADO-PASADO";
       "PASADO-PROXIMO";
       "PROXIMO-PASADO";
       "PASADO-VIGENTE";
       "VIGENTE-PASADO";
       "PROXIMO-PROXIMO";
       "PROXIMO-VIGENTE";
       "VIGENTE-PROXIMO";
       "VIGENTE-VIGENTE"},
      0
    ),
    1,2,2,3,3,4,5,5,6
  ),
"No definido"))</f>
        <v>3</v>
      </c>
      <c r="AB28" s="256">
        <f>IFERROR(__xludf.DUMMYFUNCTION("""COMPUTED_VALUE"""),2432.0)</f>
        <v>2432</v>
      </c>
      <c r="AC28" s="257">
        <f>IF(AB28="","",VLOOKUP(AB28,'BD LUB'!$A$2:$L$223,5,FALSE)/VLOOKUP(AB28,'BD LUB'!$A$2:$L$223,7,FALSE)+(VLOOKUP(AB28,'BD LUB'!$A$2:$L$223,6,FALSE)/VLOOKUP(AB28,'BD LUB'!$A$2:$L$223,8,FALSE)))</f>
        <v>0.4412477778</v>
      </c>
      <c r="AD28" s="258">
        <f t="array" ref="AD28">IF(AB28="","",IFERROR(
  CHOOSE(
    MATCH(
      XLOOKUP(AB28,'BD MPP'!$B26:$B247,'BD MPP'!$I26:I247)&amp;"-"&amp;
      XLOOKUP(AB28,'BD MPP'!$B26:$B247,'BD MPP'!$J26:J247),
      {"PASADO-PASADO";
       "PASADO-PROXIMO";
       "PROXIMO-PASADO";
       "PASADO-VIGENTE";
       "VIGENTE-PASADO";
       "PROXIMO-PROXIMO";
       "PROXIMO-VIGENTE";
       "VIGENTE-PROXIMO";
       "VIGENTE-VIGENTE"},
      0
    ),
    1,2,2,3,3,4,5,5,6
  ),
"No definido"))</f>
        <v>3</v>
      </c>
      <c r="AE28" s="238">
        <f>IFERROR(__xludf.DUMMYFUNCTION("""COMPUTED_VALUE"""),2851.0)</f>
        <v>2851</v>
      </c>
      <c r="AF28" s="78" t="str">
        <f t="array" ref="AF28">XLOOKUP(TRIM(AE28),TRIM('BD MPP'!B:B),'BD MPP'!L:L)</f>
        <v>02-Medellin</v>
      </c>
      <c r="AG28" s="78" t="str">
        <f t="shared" si="3"/>
        <v>MED</v>
      </c>
      <c r="AH28" s="222" t="str">
        <f t="shared" si="4"/>
        <v>2851 MED</v>
      </c>
    </row>
    <row r="29">
      <c r="A29" s="120"/>
      <c r="B29" s="220">
        <v>26.0</v>
      </c>
      <c r="C29" s="255">
        <f>IFERROR(__xludf.DUMMYFUNCTION("""COMPUTED_VALUE"""),2846.0)</f>
        <v>2846</v>
      </c>
      <c r="D29" s="221">
        <f>IFERROR(__xludf.DUMMYFUNCTION("""COMPUTED_VALUE"""),46561.0)</f>
        <v>46561</v>
      </c>
      <c r="E29" s="78" t="str">
        <f>IFERROR(__xludf.DUMMYFUNCTION("""COMPUTED_VALUE"""),"38-La ceja")</f>
        <v>38-La ceja</v>
      </c>
      <c r="F29" s="156">
        <f>IFERROR(__xludf.DUMMYFUNCTION("""COMPUTED_VALUE"""),46092.0)</f>
        <v>46092</v>
      </c>
      <c r="G29" s="159">
        <f>IFERROR(__xludf.DUMMYFUNCTION("""COMPUTED_VALUE"""),124.0)</f>
        <v>124</v>
      </c>
      <c r="H29" s="222" t="str">
        <f>IFERROR(__xludf.DUMMYFUNCTION("""COMPUTED_VALUE"""),"PASADO")</f>
        <v>PASADO</v>
      </c>
      <c r="I29" s="173" t="str">
        <f t="shared" si="1"/>
        <v>HECHO</v>
      </c>
      <c r="J29" s="101"/>
      <c r="K29" s="220">
        <v>26.0</v>
      </c>
      <c r="L29" s="78">
        <f>IFERROR(__xludf.DUMMYFUNCTION("""COMPUTED_VALUE"""),2892.0)</f>
        <v>2892</v>
      </c>
      <c r="M29" s="221">
        <f>IFERROR(__xludf.DUMMYFUNCTION("""COMPUTED_VALUE"""),46242.0)</f>
        <v>46242</v>
      </c>
      <c r="N29" s="78" t="str">
        <f>IFERROR(__xludf.DUMMYFUNCTION("""COMPUTED_VALUE"""),"24-Rionegro")</f>
        <v>24-Rionegro</v>
      </c>
      <c r="O29" s="159">
        <f>IFERROR(__xludf.DUMMYFUNCTION("""COMPUTED_VALUE"""),6384.0)</f>
        <v>6384</v>
      </c>
      <c r="P29" s="222" t="str">
        <f>IFERROR(__xludf.DUMMYFUNCTION("""COMPUTED_VALUE"""),"PASADO")</f>
        <v>PASADO</v>
      </c>
      <c r="Q29" s="8" t="str">
        <f t="shared" si="2"/>
        <v>NO PEDIDO</v>
      </c>
      <c r="V29" s="237">
        <f>CALENDARIO!W40</f>
        <v>2469</v>
      </c>
      <c r="W29" s="237">
        <f>CALENDARIO!V40</f>
        <v>2469</v>
      </c>
      <c r="Y29" s="238">
        <f>IFERROR(__xludf.DUMMYFUNCTION("""COMPUTED_VALUE"""),2459.0)</f>
        <v>2459</v>
      </c>
      <c r="Z29" s="239">
        <f>IF(Y29="","",VLOOKUP(Y29,'BD LUB'!$A$2:$L$223,5,FALSE)/VLOOKUP(Y29,'BD LUB'!$A$2:$L$223,7,FALSE)+(VLOOKUP(Y29,'BD LUB'!$A$2:$L$223,6,FALSE)/VLOOKUP(Y29,'BD LUB'!$A$2:$L$223,8,FALSE)))</f>
        <v>1.514691111</v>
      </c>
      <c r="AA29" s="222">
        <f t="array" ref="AA29">IF(Y29="","",IFERROR(
  CHOOSE(
    MATCH(
      XLOOKUP(Y29,'BD MPP'!$B27:$B248,'BD MPP'!$I27:I248)&amp;"-"&amp;
      XLOOKUP(Y29,'BD MPP'!$B27:$B248,'BD MPP'!$J27:J248),
      {"PASADO-PASADO";
       "PASADO-PROXIMO";
       "PROXIMO-PASADO";
       "PASADO-VIGENTE";
       "VIGENTE-PASADO";
       "PROXIMO-PROXIMO";
       "PROXIMO-VIGENTE";
       "VIGENTE-PROXIMO";
       "VIGENTE-VIGENTE"},
      0
    ),
    1,2,2,3,3,4,5,5,6
  ),
"No definido"))</f>
        <v>2</v>
      </c>
      <c r="AB29" s="238">
        <f>IFERROR(__xludf.DUMMYFUNCTION("""COMPUTED_VALUE"""),2374.0)</f>
        <v>2374</v>
      </c>
      <c r="AC29" s="259">
        <f>IF(AB29="","",VLOOKUP(AB29,'BD LUB'!$A$2:$L$223,5,FALSE)/VLOOKUP(AB29,'BD LUB'!$A$2:$L$223,7,FALSE)+(VLOOKUP(AB29,'BD LUB'!$A$2:$L$223,6,FALSE)/VLOOKUP(AB29,'BD LUB'!$A$2:$L$223,8,FALSE)))</f>
        <v>0.4905355556</v>
      </c>
      <c r="AD29" s="222">
        <f t="array" ref="AD29">IF(AB29="","",IFERROR(
  CHOOSE(
    MATCH(
      XLOOKUP(AB29,'BD MPP'!$B27:$B248,'BD MPP'!$I27:I248)&amp;"-"&amp;
      XLOOKUP(AB29,'BD MPP'!$B27:$B248,'BD MPP'!$J27:J248),
      {"PASADO-PASADO";
       "PASADO-PROXIMO";
       "PROXIMO-PASADO";
       "PASADO-VIGENTE";
       "VIGENTE-PASADO";
       "PROXIMO-PROXIMO";
       "PROXIMO-VIGENTE";
       "VIGENTE-PROXIMO";
       "VIGENTE-VIGENTE"},
      0
    ),
    1,2,2,3,3,4,5,5,6
  ),
"No definido"))</f>
        <v>2</v>
      </c>
      <c r="AE29" s="238">
        <f>IFERROR(__xludf.DUMMYFUNCTION("""COMPUTED_VALUE"""),2464.0)</f>
        <v>2464</v>
      </c>
      <c r="AF29" s="78" t="str">
        <f t="array" ref="AF29">XLOOKUP(TRIM(AE29),TRIM('BD MPP'!B:B),'BD MPP'!L:L)</f>
        <v>02-Medellin</v>
      </c>
      <c r="AG29" s="78" t="str">
        <f t="shared" si="3"/>
        <v>MED</v>
      </c>
      <c r="AH29" s="222" t="str">
        <f t="shared" si="4"/>
        <v>2464 MED</v>
      </c>
    </row>
    <row r="30">
      <c r="A30" s="120"/>
      <c r="B30" s="220">
        <v>27.0</v>
      </c>
      <c r="C30" s="255">
        <f>IFERROR(__xludf.DUMMYFUNCTION("""COMPUTED_VALUE"""),2462.0)</f>
        <v>2462</v>
      </c>
      <c r="D30" s="221">
        <f>IFERROR(__xludf.DUMMYFUNCTION("""COMPUTED_VALUE"""),46299.0)</f>
        <v>46299</v>
      </c>
      <c r="E30" s="78" t="str">
        <f>IFERROR(__xludf.DUMMYFUNCTION("""COMPUTED_VALUE"""),"02-Medellin")</f>
        <v>02-Medellin</v>
      </c>
      <c r="F30" s="156">
        <f>IFERROR(__xludf.DUMMYFUNCTION("""COMPUTED_VALUE"""),46092.0)</f>
        <v>46092</v>
      </c>
      <c r="G30" s="159">
        <f>IFERROR(__xludf.DUMMYFUNCTION("""COMPUTED_VALUE"""),124.0)</f>
        <v>124</v>
      </c>
      <c r="H30" s="222" t="str">
        <f>IFERROR(__xludf.DUMMYFUNCTION("""COMPUTED_VALUE"""),"PASADO")</f>
        <v>PASADO</v>
      </c>
      <c r="I30" s="173" t="str">
        <f t="shared" si="1"/>
        <v>NO PEDIDO</v>
      </c>
      <c r="J30" s="101"/>
      <c r="K30" s="220">
        <v>27.0</v>
      </c>
      <c r="L30" s="78">
        <f>IFERROR(__xludf.DUMMYFUNCTION("""COMPUTED_VALUE"""),2853.0)</f>
        <v>2853</v>
      </c>
      <c r="M30" s="221">
        <f>IFERROR(__xludf.DUMMYFUNCTION("""COMPUTED_VALUE"""),46576.0)</f>
        <v>46576</v>
      </c>
      <c r="N30" s="78" t="str">
        <f>IFERROR(__xludf.DUMMYFUNCTION("""COMPUTED_VALUE"""),"BULTOS")</f>
        <v>BULTOS</v>
      </c>
      <c r="O30" s="159">
        <f>IFERROR(__xludf.DUMMYFUNCTION("""COMPUTED_VALUE"""),6352.0)</f>
        <v>6352</v>
      </c>
      <c r="P30" s="222" t="str">
        <f>IFERROR(__xludf.DUMMYFUNCTION("""COMPUTED_VALUE"""),"PASADO")</f>
        <v>PASADO</v>
      </c>
      <c r="Q30" s="8" t="str">
        <f t="shared" si="2"/>
        <v>NO PEDIDO</v>
      </c>
      <c r="V30" s="237">
        <f>CALENDARIO!W41</f>
        <v>2924</v>
      </c>
      <c r="W30" s="237">
        <f>CALENDARIO!V41</f>
        <v>2924</v>
      </c>
      <c r="Y30" s="238">
        <f>IFERROR(__xludf.DUMMYFUNCTION("""COMPUTED_VALUE"""),2387.0)</f>
        <v>2387</v>
      </c>
      <c r="Z30" s="239">
        <f>IF(Y30="","",VLOOKUP(Y30,'BD LUB'!$A$2:$L$223,5,FALSE)/VLOOKUP(Y30,'BD LUB'!$A$2:$L$223,7,FALSE)+(VLOOKUP(Y30,'BD LUB'!$A$2:$L$223,6,FALSE)/VLOOKUP(Y30,'BD LUB'!$A$2:$L$223,8,FALSE)))</f>
        <v>1.174934444</v>
      </c>
      <c r="AA30" s="222">
        <f t="array" ref="AA30">IF(Y30="","",IFERROR(
  CHOOSE(
    MATCH(
      XLOOKUP(Y30,'BD MPP'!$B28:$B249,'BD MPP'!$I28:I249)&amp;"-"&amp;
      XLOOKUP(Y30,'BD MPP'!$B28:$B249,'BD MPP'!$J28:J249),
      {"PASADO-PASADO";
       "PASADO-PROXIMO";
       "PROXIMO-PASADO";
       "PASADO-VIGENTE";
       "VIGENTE-PASADO";
       "PROXIMO-PROXIMO";
       "PROXIMO-VIGENTE";
       "VIGENTE-PROXIMO";
       "VIGENTE-VIGENTE"},
      0
    ),
    1,2,2,3,3,4,5,5,6
  ),
"No definido"))</f>
        <v>1</v>
      </c>
      <c r="AB30" s="238">
        <f>IFERROR(__xludf.DUMMYFUNCTION("""COMPUTED_VALUE"""),2663.0)</f>
        <v>2663</v>
      </c>
      <c r="AC30" s="259">
        <f>IF(AB30="","",VLOOKUP(AB30,'BD LUB'!$A$2:$L$223,5,FALSE)/VLOOKUP(AB30,'BD LUB'!$A$2:$L$223,7,FALSE)+(VLOOKUP(AB30,'BD LUB'!$A$2:$L$223,6,FALSE)/VLOOKUP(AB30,'BD LUB'!$A$2:$L$223,8,FALSE)))</f>
        <v>2.032498889</v>
      </c>
      <c r="AD30" s="222">
        <f t="array" ref="AD30">IF(AB30="","",IFERROR(
  CHOOSE(
    MATCH(
      XLOOKUP(AB30,'BD MPP'!$B28:$B249,'BD MPP'!$I28:I249)&amp;"-"&amp;
      XLOOKUP(AB30,'BD MPP'!$B28:$B249,'BD MPP'!$J28:J249),
      {"PASADO-PASADO";
       "PASADO-PROXIMO";
       "PROXIMO-PASADO";
       "PASADO-VIGENTE";
       "VIGENTE-PASADO";
       "PROXIMO-PROXIMO";
       "PROXIMO-VIGENTE";
       "VIGENTE-PROXIMO";
       "VIGENTE-VIGENTE"},
      0
    ),
    1,2,2,3,3,4,5,5,6
  ),
"No definido"))</f>
        <v>1</v>
      </c>
      <c r="AE30" s="238">
        <f>IFERROR(__xludf.DUMMYFUNCTION("""COMPUTED_VALUE"""),2394.0)</f>
        <v>2394</v>
      </c>
      <c r="AF30" s="78" t="str">
        <f t="array" ref="AF30">XLOOKUP(TRIM(AE30),TRIM('BD MPP'!B:B),'BD MPP'!L:L)</f>
        <v>MAYORCA</v>
      </c>
      <c r="AG30" s="78" t="str">
        <f t="shared" si="3"/>
        <v>MAY</v>
      </c>
      <c r="AH30" s="222" t="str">
        <f t="shared" si="4"/>
        <v>2394 MAY</v>
      </c>
    </row>
    <row r="31">
      <c r="A31" s="120"/>
      <c r="B31" s="220">
        <v>28.0</v>
      </c>
      <c r="C31" s="78">
        <f>IFERROR(__xludf.DUMMYFUNCTION("""COMPUTED_VALUE"""),2460.0)</f>
        <v>2460</v>
      </c>
      <c r="D31" s="221">
        <f>IFERROR(__xludf.DUMMYFUNCTION("""COMPUTED_VALUE"""),46298.0)</f>
        <v>46298</v>
      </c>
      <c r="E31" s="78" t="str">
        <f>IFERROR(__xludf.DUMMYFUNCTION("""COMPUTED_VALUE"""),"BULTOS")</f>
        <v>BULTOS</v>
      </c>
      <c r="F31" s="156">
        <f>IFERROR(__xludf.DUMMYFUNCTION("""COMPUTED_VALUE"""),46092.0)</f>
        <v>46092</v>
      </c>
      <c r="G31" s="159">
        <f>IFERROR(__xludf.DUMMYFUNCTION("""COMPUTED_VALUE"""),124.0)</f>
        <v>124</v>
      </c>
      <c r="H31" s="222" t="str">
        <f>IFERROR(__xludf.DUMMYFUNCTION("""COMPUTED_VALUE"""),"PASADO")</f>
        <v>PASADO</v>
      </c>
      <c r="I31" s="173" t="str">
        <f t="shared" si="1"/>
        <v>PEDIDO</v>
      </c>
      <c r="J31" s="101"/>
      <c r="K31" s="220">
        <v>28.0</v>
      </c>
      <c r="L31" s="78">
        <f>IFERROR(__xludf.DUMMYFUNCTION("""COMPUTED_VALUE"""),2403.0)</f>
        <v>2403</v>
      </c>
      <c r="M31" s="221">
        <f>IFERROR(__xludf.DUMMYFUNCTION("""COMPUTED_VALUE"""),46457.0)</f>
        <v>46457</v>
      </c>
      <c r="N31" s="78" t="str">
        <f>IFERROR(__xludf.DUMMYFUNCTION("""COMPUTED_VALUE"""),"BULTOS")</f>
        <v>BULTOS</v>
      </c>
      <c r="O31" s="159">
        <f>IFERROR(__xludf.DUMMYFUNCTION("""COMPUTED_VALUE"""),6216.2)</f>
        <v>6216.2</v>
      </c>
      <c r="P31" s="222" t="str">
        <f>IFERROR(__xludf.DUMMYFUNCTION("""COMPUTED_VALUE"""),"PASADO")</f>
        <v>PASADO</v>
      </c>
      <c r="Q31" s="8" t="str">
        <f t="shared" si="2"/>
        <v>NO PEDIDO</v>
      </c>
      <c r="V31" s="237">
        <f>CALENDARIO!W42</f>
        <v>2846</v>
      </c>
      <c r="W31" s="237">
        <f>CALENDARIO!V42</f>
        <v>2846</v>
      </c>
      <c r="Y31" s="238">
        <f>IFERROR(__xludf.DUMMYFUNCTION("""COMPUTED_VALUE"""),3212.0)</f>
        <v>3212</v>
      </c>
      <c r="Z31" s="239">
        <f>IF(Y31="","",VLOOKUP(Y31,'BD LUB'!$A$2:$L$223,5,FALSE)/VLOOKUP(Y31,'BD LUB'!$A$2:$L$223,7,FALSE)+(VLOOKUP(Y31,'BD LUB'!$A$2:$L$223,6,FALSE)/VLOOKUP(Y31,'BD LUB'!$A$2:$L$223,8,FALSE)))</f>
        <v>1.271977778</v>
      </c>
      <c r="AA31" s="222" t="str">
        <f t="array" ref="AA31">IF(Y31="","",IFERROR(
  CHOOSE(
    MATCH(
      XLOOKUP(Y31,'BD MPP'!$B29:$B250,'BD MPP'!$I29:I250)&amp;"-"&amp;
      XLOOKUP(Y31,'BD MPP'!$B29:$B250,'BD MPP'!$J29:J250),
      {"PASADO-PASADO";
       "PASADO-PROXIMO";
       "PROXIMO-PASADO";
       "PASADO-VIGENTE";
       "VIGENTE-PASADO";
       "PROXIMO-PROXIMO";
       "PROXIMO-VIGENTE";
       "VIGENTE-PROXIMO";
       "VIGENTE-VIGENTE"},
      0
    ),
    1,2,2,3,3,4,5,5,6
  ),
"No definido"))</f>
        <v>No definido</v>
      </c>
      <c r="AB31" s="238">
        <f>IFERROR(__xludf.DUMMYFUNCTION("""COMPUTED_VALUE"""),2385.0)</f>
        <v>2385</v>
      </c>
      <c r="AC31" s="259">
        <f>IF(AB31="","",VLOOKUP(AB31,'BD LUB'!$A$2:$L$223,5,FALSE)/VLOOKUP(AB31,'BD LUB'!$A$2:$L$223,7,FALSE)+(VLOOKUP(AB31,'BD LUB'!$A$2:$L$223,6,FALSE)/VLOOKUP(AB31,'BD LUB'!$A$2:$L$223,8,FALSE)))</f>
        <v>0.5595977778</v>
      </c>
      <c r="AD31" s="222">
        <f t="array" ref="AD31">IF(AB31="","",IFERROR(
  CHOOSE(
    MATCH(
      XLOOKUP(AB31,'BD MPP'!$B29:$B250,'BD MPP'!$I29:I250)&amp;"-"&amp;
      XLOOKUP(AB31,'BD MPP'!$B29:$B250,'BD MPP'!$J29:J250),
      {"PASADO-PASADO";
       "PASADO-PROXIMO";
       "PROXIMO-PASADO";
       "PASADO-VIGENTE";
       "VIGENTE-PASADO";
       "PROXIMO-PROXIMO";
       "PROXIMO-VIGENTE";
       "VIGENTE-PROXIMO";
       "VIGENTE-VIGENTE"},
      0
    ),
    1,2,2,3,3,4,5,5,6
  ),
"No definido"))</f>
        <v>3</v>
      </c>
      <c r="AE31" s="238">
        <f>IFERROR(__xludf.DUMMYFUNCTION("""COMPUTED_VALUE"""),496.0)</f>
        <v>496</v>
      </c>
      <c r="AF31" s="78" t="str">
        <f t="array" ref="AF31">XLOOKUP(TRIM(AE31),TRIM('BD MPP'!B:B),'BD MPP'!L:L)</f>
        <v>02-Medellin</v>
      </c>
      <c r="AG31" s="78" t="str">
        <f t="shared" si="3"/>
        <v>MED</v>
      </c>
      <c r="AH31" s="222" t="str">
        <f t="shared" si="4"/>
        <v>496 MED</v>
      </c>
    </row>
    <row r="32">
      <c r="A32" s="120"/>
      <c r="B32" s="220">
        <v>29.0</v>
      </c>
      <c r="C32" s="78">
        <f>IFERROR(__xludf.DUMMYFUNCTION("""COMPUTED_VALUE"""),2403.0)</f>
        <v>2403</v>
      </c>
      <c r="D32" s="221">
        <f>IFERROR(__xludf.DUMMYFUNCTION("""COMPUTED_VALUE"""),46457.0)</f>
        <v>46457</v>
      </c>
      <c r="E32" s="78" t="str">
        <f>IFERROR(__xludf.DUMMYFUNCTION("""COMPUTED_VALUE"""),"BULTOS")</f>
        <v>BULTOS</v>
      </c>
      <c r="F32" s="156">
        <f>IFERROR(__xludf.DUMMYFUNCTION("""COMPUTED_VALUE"""),46092.0)</f>
        <v>46092</v>
      </c>
      <c r="G32" s="159">
        <f>IFERROR(__xludf.DUMMYFUNCTION("""COMPUTED_VALUE"""),124.0)</f>
        <v>124</v>
      </c>
      <c r="H32" s="222" t="str">
        <f>IFERROR(__xludf.DUMMYFUNCTION("""COMPUTED_VALUE"""),"PASADO")</f>
        <v>PASADO</v>
      </c>
      <c r="I32" s="173" t="str">
        <f t="shared" si="1"/>
        <v>NO PEDIDO</v>
      </c>
      <c r="J32" s="101"/>
      <c r="K32" s="220">
        <v>29.0</v>
      </c>
      <c r="L32" s="78">
        <f>IFERROR(__xludf.DUMMYFUNCTION("""COMPUTED_VALUE"""),2857.0)</f>
        <v>2857</v>
      </c>
      <c r="M32" s="221">
        <f>IFERROR(__xludf.DUMMYFUNCTION("""COMPUTED_VALUE"""),46215.0)</f>
        <v>46215</v>
      </c>
      <c r="N32" s="78" t="str">
        <f>IFERROR(__xludf.DUMMYFUNCTION("""COMPUTED_VALUE"""),"24-Rionegro")</f>
        <v>24-Rionegro</v>
      </c>
      <c r="O32" s="159">
        <f>IFERROR(__xludf.DUMMYFUNCTION("""COMPUTED_VALUE"""),6197.0)</f>
        <v>6197</v>
      </c>
      <c r="P32" s="222" t="str">
        <f>IFERROR(__xludf.DUMMYFUNCTION("""COMPUTED_VALUE"""),"PASADO")</f>
        <v>PASADO</v>
      </c>
      <c r="Q32" s="8" t="str">
        <f t="shared" si="2"/>
        <v>NO PEDIDO</v>
      </c>
      <c r="V32" s="237">
        <f>CALENDARIO!W43</f>
        <v>2392</v>
      </c>
      <c r="W32" s="237">
        <f>CALENDARIO!V43</f>
        <v>2392</v>
      </c>
      <c r="Y32" s="238">
        <f>IFERROR(__xludf.DUMMYFUNCTION("""COMPUTED_VALUE"""),2457.0)</f>
        <v>2457</v>
      </c>
      <c r="Z32" s="239">
        <f>IF(Y32="","",VLOOKUP(Y32,'BD LUB'!$A$2:$L$223,5,FALSE)/VLOOKUP(Y32,'BD LUB'!$A$2:$L$223,7,FALSE)+(VLOOKUP(Y32,'BD LUB'!$A$2:$L$223,6,FALSE)/VLOOKUP(Y32,'BD LUB'!$A$2:$L$223,8,FALSE)))</f>
        <v>0.9236455556</v>
      </c>
      <c r="AA32" s="222">
        <f t="array" ref="AA32">IF(Y32="","",IFERROR(
  CHOOSE(
    MATCH(
      XLOOKUP(Y32,'BD MPP'!$B30:$B251,'BD MPP'!$I30:I251)&amp;"-"&amp;
      XLOOKUP(Y32,'BD MPP'!$B30:$B251,'BD MPP'!$J30:J251),
      {"PASADO-PASADO";
       "PASADO-PROXIMO";
       "PROXIMO-PASADO";
       "PASADO-VIGENTE";
       "VIGENTE-PASADO";
       "PROXIMO-PROXIMO";
       "PROXIMO-VIGENTE";
       "VIGENTE-PROXIMO";
       "VIGENTE-VIGENTE"},
      0
    ),
    1,2,2,3,3,4,5,5,6
  ),
"No definido"))</f>
        <v>1</v>
      </c>
      <c r="AB32" s="238">
        <f>IFERROR(__xludf.DUMMYFUNCTION("""COMPUTED_VALUE"""),3202.0)</f>
        <v>3202</v>
      </c>
      <c r="AC32" s="259">
        <f>IF(AB32="","",VLOOKUP(AB32,'BD LUB'!$A$2:$L$223,5,FALSE)/VLOOKUP(AB32,'BD LUB'!$A$2:$L$223,7,FALSE)+(VLOOKUP(AB32,'BD LUB'!$A$2:$L$223,6,FALSE)/VLOOKUP(AB32,'BD LUB'!$A$2:$L$223,8,FALSE)))</f>
        <v>1.653177778</v>
      </c>
      <c r="AD32" s="222" t="str">
        <f t="array" ref="AD32">IF(AB32="","",IFERROR(
  CHOOSE(
    MATCH(
      XLOOKUP(AB32,'BD MPP'!$B30:$B251,'BD MPP'!$I30:I251)&amp;"-"&amp;
      XLOOKUP(AB32,'BD MPP'!$B30:$B251,'BD MPP'!$J30:J251),
      {"PASADO-PASADO";
       "PASADO-PROXIMO";
       "PROXIMO-PASADO";
       "PASADO-VIGENTE";
       "VIGENTE-PASADO";
       "PROXIMO-PROXIMO";
       "PROXIMO-VIGENTE";
       "VIGENTE-PROXIMO";
       "VIGENTE-VIGENTE"},
      0
    ),
    1,2,2,3,3,4,5,5,6
  ),
"No definido"))</f>
        <v>No definido</v>
      </c>
      <c r="AE32" s="238">
        <f>IFERROR(__xludf.DUMMYFUNCTION("""COMPUTED_VALUE"""),2892.0)</f>
        <v>2892</v>
      </c>
      <c r="AF32" s="78" t="str">
        <f t="array" ref="AF32">XLOOKUP(TRIM(AE32),TRIM('BD MPP'!B:B),'BD MPP'!L:L)</f>
        <v>24-Rionegro</v>
      </c>
      <c r="AG32" s="78" t="str">
        <f t="shared" si="3"/>
        <v>RIO</v>
      </c>
      <c r="AH32" s="222" t="str">
        <f t="shared" si="4"/>
        <v>2892 RIO</v>
      </c>
    </row>
    <row r="33">
      <c r="A33" s="120"/>
      <c r="B33" s="220">
        <v>30.0</v>
      </c>
      <c r="C33" s="255">
        <f>IFERROR(__xludf.DUMMYFUNCTION("""COMPUTED_VALUE"""),2896.0)</f>
        <v>2896</v>
      </c>
      <c r="D33" s="221">
        <f>IFERROR(__xludf.DUMMYFUNCTION("""COMPUTED_VALUE"""),46242.0)</f>
        <v>46242</v>
      </c>
      <c r="E33" s="78" t="str">
        <f>IFERROR(__xludf.DUMMYFUNCTION("""COMPUTED_VALUE"""),"02-Medellin")</f>
        <v>02-Medellin</v>
      </c>
      <c r="F33" s="156">
        <f>IFERROR(__xludf.DUMMYFUNCTION("""COMPUTED_VALUE"""),46093.0)</f>
        <v>46093</v>
      </c>
      <c r="G33" s="159">
        <f>IFERROR(__xludf.DUMMYFUNCTION("""COMPUTED_VALUE"""),123.0)</f>
        <v>123</v>
      </c>
      <c r="H33" s="222" t="str">
        <f>IFERROR(__xludf.DUMMYFUNCTION("""COMPUTED_VALUE"""),"PASADO")</f>
        <v>PASADO</v>
      </c>
      <c r="I33" s="173" t="str">
        <f t="shared" si="1"/>
        <v>NO PEDIDO</v>
      </c>
      <c r="J33" s="101"/>
      <c r="K33" s="220">
        <v>30.0</v>
      </c>
      <c r="L33" s="78">
        <f>IFERROR(__xludf.DUMMYFUNCTION("""COMPUTED_VALUE"""),2926.0)</f>
        <v>2926</v>
      </c>
      <c r="M33" s="221">
        <f>IFERROR(__xludf.DUMMYFUNCTION("""COMPUTED_VALUE"""),46318.0)</f>
        <v>46318</v>
      </c>
      <c r="N33" s="78" t="str">
        <f>IFERROR(__xludf.DUMMYFUNCTION("""COMPUTED_VALUE"""),"31-Copacabana")</f>
        <v>31-Copacabana</v>
      </c>
      <c r="O33" s="159">
        <f>IFERROR(__xludf.DUMMYFUNCTION("""COMPUTED_VALUE"""),6160.0)</f>
        <v>6160</v>
      </c>
      <c r="P33" s="222" t="str">
        <f>IFERROR(__xludf.DUMMYFUNCTION("""COMPUTED_VALUE"""),"PASADO")</f>
        <v>PASADO</v>
      </c>
      <c r="Q33" s="8" t="str">
        <f t="shared" si="2"/>
        <v>NO PEDIDO</v>
      </c>
      <c r="V33" s="237">
        <f>CALENDARIO!W44</f>
        <v>2179</v>
      </c>
      <c r="W33" s="237">
        <f>CALENDARIO!V44</f>
        <v>2179</v>
      </c>
      <c r="Y33" s="238">
        <f>IFERROR(__xludf.DUMMYFUNCTION("""COMPUTED_VALUE"""),2388.0)</f>
        <v>2388</v>
      </c>
      <c r="Z33" s="239">
        <f>IF(Y33="","",VLOOKUP(Y33,'BD LUB'!$A$2:$L$223,5,FALSE)/VLOOKUP(Y33,'BD LUB'!$A$2:$L$223,7,FALSE)+(VLOOKUP(Y33,'BD LUB'!$A$2:$L$223,6,FALSE)/VLOOKUP(Y33,'BD LUB'!$A$2:$L$223,8,FALSE)))</f>
        <v>0.4290955556</v>
      </c>
      <c r="AA33" s="222">
        <f t="array" ref="AA33">IF(Y33="","",IFERROR(
  CHOOSE(
    MATCH(
      XLOOKUP(Y33,'BD MPP'!$B31:$B252,'BD MPP'!$I31:I252)&amp;"-"&amp;
      XLOOKUP(Y33,'BD MPP'!$B31:$B252,'BD MPP'!$J31:J252),
      {"PASADO-PASADO";
       "PASADO-PROXIMO";
       "PROXIMO-PASADO";
       "PASADO-VIGENTE";
       "VIGENTE-PASADO";
       "PROXIMO-PROXIMO";
       "PROXIMO-VIGENTE";
       "VIGENTE-PROXIMO";
       "VIGENTE-VIGENTE"},
      0
    ),
    1,2,2,3,3,4,5,5,6
  ),
"No definido"))</f>
        <v>3</v>
      </c>
      <c r="AB33" s="238">
        <f>IFERROR(__xludf.DUMMYFUNCTION("""COMPUTED_VALUE"""),2459.0)</f>
        <v>2459</v>
      </c>
      <c r="AC33" s="259">
        <f>IF(AB33="","",VLOOKUP(AB33,'BD LUB'!$A$2:$L$223,5,FALSE)/VLOOKUP(AB33,'BD LUB'!$A$2:$L$223,7,FALSE)+(VLOOKUP(AB33,'BD LUB'!$A$2:$L$223,6,FALSE)/VLOOKUP(AB33,'BD LUB'!$A$2:$L$223,8,FALSE)))</f>
        <v>1.514691111</v>
      </c>
      <c r="AD33" s="222">
        <f t="array" ref="AD33">IF(AB33="","",IFERROR(
  CHOOSE(
    MATCH(
      XLOOKUP(AB33,'BD MPP'!$B31:$B252,'BD MPP'!$I31:I252)&amp;"-"&amp;
      XLOOKUP(AB33,'BD MPP'!$B31:$B252,'BD MPP'!$J31:J252),
      {"PASADO-PASADO";
       "PASADO-PROXIMO";
       "PROXIMO-PASADO";
       "PASADO-VIGENTE";
       "VIGENTE-PASADO";
       "PROXIMO-PROXIMO";
       "PROXIMO-VIGENTE";
       "VIGENTE-PROXIMO";
       "VIGENTE-VIGENTE"},
      0
    ),
    1,2,2,3,3,4,5,5,6
  ),
"No definido"))</f>
        <v>2</v>
      </c>
      <c r="AE33" s="238">
        <f>IFERROR(__xludf.DUMMYFUNCTION("""COMPUTED_VALUE"""),2403.0)</f>
        <v>2403</v>
      </c>
      <c r="AF33" s="78" t="str">
        <f t="array" ref="AF33">XLOOKUP(TRIM(AE33),TRIM('BD MPP'!B:B),'BD MPP'!L:L)</f>
        <v>BULTOS</v>
      </c>
      <c r="AG33" s="78" t="str">
        <f t="shared" si="3"/>
        <v>BULT</v>
      </c>
      <c r="AH33" s="222" t="str">
        <f t="shared" si="4"/>
        <v>2403 BULT</v>
      </c>
    </row>
    <row r="34">
      <c r="A34" s="120"/>
      <c r="B34" s="220">
        <v>31.0</v>
      </c>
      <c r="C34" s="255">
        <f>IFERROR(__xludf.DUMMYFUNCTION("""COMPUTED_VALUE"""),2455.0)</f>
        <v>2455</v>
      </c>
      <c r="D34" s="221">
        <f>IFERROR(__xludf.DUMMYFUNCTION("""COMPUTED_VALUE"""),46298.0)</f>
        <v>46298</v>
      </c>
      <c r="E34" s="78" t="str">
        <f>IFERROR(__xludf.DUMMYFUNCTION("""COMPUTED_VALUE"""),"02-Medellin")</f>
        <v>02-Medellin</v>
      </c>
      <c r="F34" s="156">
        <f>IFERROR(__xludf.DUMMYFUNCTION("""COMPUTED_VALUE"""),46093.0)</f>
        <v>46093</v>
      </c>
      <c r="G34" s="159">
        <f>IFERROR(__xludf.DUMMYFUNCTION("""COMPUTED_VALUE"""),123.0)</f>
        <v>123</v>
      </c>
      <c r="H34" s="222" t="str">
        <f>IFERROR(__xludf.DUMMYFUNCTION("""COMPUTED_VALUE"""),"PASADO")</f>
        <v>PASADO</v>
      </c>
      <c r="I34" s="173" t="str">
        <f t="shared" si="1"/>
        <v>NO PEDIDO</v>
      </c>
      <c r="J34" s="101"/>
      <c r="K34" s="220">
        <v>31.0</v>
      </c>
      <c r="L34" s="78">
        <f>IFERROR(__xludf.DUMMYFUNCTION("""COMPUTED_VALUE"""),3202.0)</f>
        <v>3202</v>
      </c>
      <c r="M34" s="221">
        <f>IFERROR(__xludf.DUMMYFUNCTION("""COMPUTED_VALUE"""),46653.0)</f>
        <v>46653</v>
      </c>
      <c r="N34" s="78" t="str">
        <f>IFERROR(__xludf.DUMMYFUNCTION("""COMPUTED_VALUE"""),"02-Medellin")</f>
        <v>02-Medellin</v>
      </c>
      <c r="O34" s="159">
        <f>IFERROR(__xludf.DUMMYFUNCTION("""COMPUTED_VALUE"""),6154.0)</f>
        <v>6154</v>
      </c>
      <c r="P34" s="222" t="str">
        <f>IFERROR(__xludf.DUMMYFUNCTION("""COMPUTED_VALUE"""),"PASADO")</f>
        <v>PASADO</v>
      </c>
      <c r="Q34" s="8" t="str">
        <f t="shared" si="2"/>
        <v>NO PEDIDO</v>
      </c>
      <c r="V34" s="237">
        <f>CALENDARIO!W45</f>
        <v>2456</v>
      </c>
      <c r="W34" s="237">
        <f>CALENDARIO!V45</f>
        <v>2456</v>
      </c>
      <c r="Y34" s="238">
        <f>IFERROR(__xludf.DUMMYFUNCTION("""COMPUTED_VALUE"""),2468.0)</f>
        <v>2468</v>
      </c>
      <c r="Z34" s="239">
        <f>IF(Y34="","",VLOOKUP(Y34,'BD LUB'!$A$2:$L$223,5,FALSE)/VLOOKUP(Y34,'BD LUB'!$A$2:$L$223,7,FALSE)+(VLOOKUP(Y34,'BD LUB'!$A$2:$L$223,6,FALSE)/VLOOKUP(Y34,'BD LUB'!$A$2:$L$223,8,FALSE)))</f>
        <v>0.3825666667</v>
      </c>
      <c r="AA34" s="222">
        <f t="array" ref="AA34">IF(Y34="","",IFERROR(
  CHOOSE(
    MATCH(
      XLOOKUP(Y34,'BD MPP'!$B32:$B253,'BD MPP'!$I32:I253)&amp;"-"&amp;
      XLOOKUP(Y34,'BD MPP'!$B32:$B253,'BD MPP'!$J32:J253),
      {"PASADO-PASADO";
       "PASADO-PROXIMO";
       "PROXIMO-PASADO";
       "PASADO-VIGENTE";
       "VIGENTE-PASADO";
       "PROXIMO-PROXIMO";
       "PROXIMO-VIGENTE";
       "VIGENTE-PROXIMO";
       "VIGENTE-VIGENTE"},
      0
    ),
    1,2,2,3,3,4,5,5,6
  ),
"No definido"))</f>
        <v>1</v>
      </c>
      <c r="AB34" s="238">
        <f>IFERROR(__xludf.DUMMYFUNCTION("""COMPUTED_VALUE"""),2387.0)</f>
        <v>2387</v>
      </c>
      <c r="AC34" s="259">
        <f>IF(AB34="","",VLOOKUP(AB34,'BD LUB'!$A$2:$L$223,5,FALSE)/VLOOKUP(AB34,'BD LUB'!$A$2:$L$223,7,FALSE)+(VLOOKUP(AB34,'BD LUB'!$A$2:$L$223,6,FALSE)/VLOOKUP(AB34,'BD LUB'!$A$2:$L$223,8,FALSE)))</f>
        <v>1.174934444</v>
      </c>
      <c r="AD34" s="222">
        <f t="array" ref="AD34">IF(AB34="","",IFERROR(
  CHOOSE(
    MATCH(
      XLOOKUP(AB34,'BD MPP'!$B32:$B253,'BD MPP'!$I32:I253)&amp;"-"&amp;
      XLOOKUP(AB34,'BD MPP'!$B32:$B253,'BD MPP'!$J32:J253),
      {"PASADO-PASADO";
       "PASADO-PROXIMO";
       "PROXIMO-PASADO";
       "PASADO-VIGENTE";
       "VIGENTE-PASADO";
       "PROXIMO-PROXIMO";
       "PROXIMO-VIGENTE";
       "VIGENTE-PROXIMO";
       "VIGENTE-VIGENTE"},
      0
    ),
    1,2,2,3,3,4,5,5,6
  ),
"No definido"))</f>
        <v>1</v>
      </c>
      <c r="AE34" s="238">
        <f>IFERROR(__xludf.DUMMYFUNCTION("""COMPUTED_VALUE"""),3264.0)</f>
        <v>3264</v>
      </c>
      <c r="AF34" s="78" t="str">
        <f t="array" ref="AF34">XLOOKUP(TRIM(AE34),TRIM('BD MPP'!B:B),'BD MPP'!L:L)</f>
        <v>02-Medellin</v>
      </c>
      <c r="AG34" s="78" t="str">
        <f t="shared" si="3"/>
        <v>MED</v>
      </c>
      <c r="AH34" s="222" t="str">
        <f t="shared" si="4"/>
        <v>3264 MED</v>
      </c>
    </row>
    <row r="35">
      <c r="A35" s="120"/>
      <c r="B35" s="220">
        <v>32.0</v>
      </c>
      <c r="C35" s="255">
        <f>IFERROR(__xludf.DUMMYFUNCTION("""COMPUTED_VALUE"""),2432.0)</f>
        <v>2432</v>
      </c>
      <c r="D35" s="221">
        <f>IFERROR(__xludf.DUMMYFUNCTION("""COMPUTED_VALUE"""),46571.0)</f>
        <v>46571</v>
      </c>
      <c r="E35" s="78" t="str">
        <f>IFERROR(__xludf.DUMMYFUNCTION("""COMPUTED_VALUE"""),"02-Medellin")</f>
        <v>02-Medellin</v>
      </c>
      <c r="F35" s="156">
        <f>IFERROR(__xludf.DUMMYFUNCTION("""COMPUTED_VALUE"""),46093.0)</f>
        <v>46093</v>
      </c>
      <c r="G35" s="159">
        <f>IFERROR(__xludf.DUMMYFUNCTION("""COMPUTED_VALUE"""),123.0)</f>
        <v>123</v>
      </c>
      <c r="H35" s="222" t="str">
        <f>IFERROR(__xludf.DUMMYFUNCTION("""COMPUTED_VALUE"""),"PASADO")</f>
        <v>PASADO</v>
      </c>
      <c r="I35" s="173" t="str">
        <f t="shared" si="1"/>
        <v>NO PEDIDO</v>
      </c>
      <c r="J35" s="101"/>
      <c r="K35" s="220">
        <v>32.0</v>
      </c>
      <c r="L35" s="78">
        <f>IFERROR(__xludf.DUMMYFUNCTION("""COMPUTED_VALUE"""),481.0)</f>
        <v>481</v>
      </c>
      <c r="M35" s="221">
        <f>IFERROR(__xludf.DUMMYFUNCTION("""COMPUTED_VALUE"""),46287.0)</f>
        <v>46287</v>
      </c>
      <c r="N35" s="78" t="str">
        <f>IFERROR(__xludf.DUMMYFUNCTION("""COMPUTED_VALUE"""),"02-Medellin")</f>
        <v>02-Medellin</v>
      </c>
      <c r="O35" s="159">
        <f>IFERROR(__xludf.DUMMYFUNCTION("""COMPUTED_VALUE"""),5912.6)</f>
        <v>5912.6</v>
      </c>
      <c r="P35" s="222" t="str">
        <f>IFERROR(__xludf.DUMMYFUNCTION("""COMPUTED_VALUE"""),"PASADO")</f>
        <v>PASADO</v>
      </c>
      <c r="Q35" s="8" t="str">
        <f t="shared" si="2"/>
        <v>NO PEDIDO</v>
      </c>
      <c r="V35" s="237">
        <f>CALENDARIO!W46</f>
        <v>2845</v>
      </c>
      <c r="W35" s="237">
        <f>CALENDARIO!V46</f>
        <v>2845</v>
      </c>
      <c r="Y35" s="238">
        <f>IFERROR(__xludf.DUMMYFUNCTION("""COMPUTED_VALUE"""),2394.0)</f>
        <v>2394</v>
      </c>
      <c r="Z35" s="239">
        <f>IF(Y35="","",VLOOKUP(Y35,'BD LUB'!$A$2:$L$223,5,FALSE)/VLOOKUP(Y35,'BD LUB'!$A$2:$L$223,7,FALSE)+(VLOOKUP(Y35,'BD LUB'!$A$2:$L$223,6,FALSE)/VLOOKUP(Y35,'BD LUB'!$A$2:$L$223,8,FALSE)))</f>
        <v>1.455846667</v>
      </c>
      <c r="AA35" s="222">
        <f t="array" ref="AA35">IF(Y35="","",IFERROR(
  CHOOSE(
    MATCH(
      XLOOKUP(Y35,'BD MPP'!$B33:$B254,'BD MPP'!$I33:I254)&amp;"-"&amp;
      XLOOKUP(Y35,'BD MPP'!$B33:$B254,'BD MPP'!$J33:J254),
      {"PASADO-PASADO";
       "PASADO-PROXIMO";
       "PROXIMO-PASADO";
       "PASADO-VIGENTE";
       "VIGENTE-PASADO";
       "PROXIMO-PROXIMO";
       "PROXIMO-VIGENTE";
       "VIGENTE-PROXIMO";
       "VIGENTE-VIGENTE"},
      0
    ),
    1,2,2,3,3,4,5,5,6
  ),
"No definido"))</f>
        <v>3</v>
      </c>
      <c r="AB35" s="238">
        <f>IFERROR(__xludf.DUMMYFUNCTION("""COMPUTED_VALUE"""),3212.0)</f>
        <v>3212</v>
      </c>
      <c r="AC35" s="259">
        <f>IF(AB35="","",VLOOKUP(AB35,'BD LUB'!$A$2:$L$223,5,FALSE)/VLOOKUP(AB35,'BD LUB'!$A$2:$L$223,7,FALSE)+(VLOOKUP(AB35,'BD LUB'!$A$2:$L$223,6,FALSE)/VLOOKUP(AB35,'BD LUB'!$A$2:$L$223,8,FALSE)))</f>
        <v>1.271977778</v>
      </c>
      <c r="AD35" s="222" t="str">
        <f t="array" ref="AD35">IF(AB35="","",IFERROR(
  CHOOSE(
    MATCH(
      XLOOKUP(AB35,'BD MPP'!$B33:$B254,'BD MPP'!$I33:I254)&amp;"-"&amp;
      XLOOKUP(AB35,'BD MPP'!$B33:$B254,'BD MPP'!$J33:J254),
      {"PASADO-PASADO";
       "PASADO-PROXIMO";
       "PROXIMO-PASADO";
       "PASADO-VIGENTE";
       "VIGENTE-PASADO";
       "PROXIMO-PROXIMO";
       "PROXIMO-VIGENTE";
       "VIGENTE-PROXIMO";
       "VIGENTE-VIGENTE"},
      0
    ),
    1,2,2,3,3,4,5,5,6
  ),
"No definido"))</f>
        <v>No definido</v>
      </c>
      <c r="AE35" s="238">
        <f>IFERROR(__xludf.DUMMYFUNCTION("""COMPUTED_VALUE"""),661.0)</f>
        <v>661</v>
      </c>
      <c r="AF35" s="78" t="str">
        <f t="array" ref="AF35">XLOOKUP(TRIM(AE35),TRIM('BD MPP'!B:B),'BD MPP'!L:L)</f>
        <v>02-Medellin</v>
      </c>
      <c r="AG35" s="78"/>
      <c r="AH35" s="222" t="str">
        <f t="shared" si="4"/>
        <v>661 </v>
      </c>
    </row>
    <row r="36">
      <c r="A36" s="120"/>
      <c r="B36" s="220">
        <v>33.0</v>
      </c>
      <c r="C36" s="255">
        <f>IFERROR(__xludf.DUMMYFUNCTION("""COMPUTED_VALUE"""),2374.0)</f>
        <v>2374</v>
      </c>
      <c r="D36" s="221">
        <f>IFERROR(__xludf.DUMMYFUNCTION("""COMPUTED_VALUE"""),46460.0)</f>
        <v>46460</v>
      </c>
      <c r="E36" s="78" t="str">
        <f>IFERROR(__xludf.DUMMYFUNCTION("""COMPUTED_VALUE"""),"02-Medellin")</f>
        <v>02-Medellin</v>
      </c>
      <c r="F36" s="156">
        <f>IFERROR(__xludf.DUMMYFUNCTION("""COMPUTED_VALUE"""),46093.0)</f>
        <v>46093</v>
      </c>
      <c r="G36" s="159">
        <f>IFERROR(__xludf.DUMMYFUNCTION("""COMPUTED_VALUE"""),123.0)</f>
        <v>123</v>
      </c>
      <c r="H36" s="222" t="str">
        <f>IFERROR(__xludf.DUMMYFUNCTION("""COMPUTED_VALUE"""),"PASADO")</f>
        <v>PASADO</v>
      </c>
      <c r="I36" s="173" t="str">
        <f t="shared" si="1"/>
        <v>NO PEDIDO</v>
      </c>
      <c r="J36" s="101"/>
      <c r="K36" s="220">
        <v>33.0</v>
      </c>
      <c r="L36" s="78">
        <f>IFERROR(__xludf.DUMMYFUNCTION("""COMPUTED_VALUE"""),472.0)</f>
        <v>472</v>
      </c>
      <c r="M36" s="221">
        <f>IFERROR(__xludf.DUMMYFUNCTION("""COMPUTED_VALUE"""),46213.0)</f>
        <v>46213</v>
      </c>
      <c r="N36" s="78" t="str">
        <f>IFERROR(__xludf.DUMMYFUNCTION("""COMPUTED_VALUE"""),"02-Medellin")</f>
        <v>02-Medellin</v>
      </c>
      <c r="O36" s="159">
        <f>IFERROR(__xludf.DUMMYFUNCTION("""COMPUTED_VALUE"""),5692.9)</f>
        <v>5692.9</v>
      </c>
      <c r="P36" s="222" t="str">
        <f>IFERROR(__xludf.DUMMYFUNCTION("""COMPUTED_VALUE"""),"PASADO")</f>
        <v>PASADO</v>
      </c>
      <c r="Q36" s="8" t="str">
        <f t="shared" si="2"/>
        <v>NO PEDIDO</v>
      </c>
      <c r="V36" s="237">
        <f>CALENDARIO!W47</f>
        <v>2230</v>
      </c>
      <c r="W36" s="237">
        <f>CALENDARIO!V47</f>
        <v>2230</v>
      </c>
      <c r="Y36" s="238">
        <f>IFERROR(__xludf.DUMMYFUNCTION("""COMPUTED_VALUE"""),2657.0)</f>
        <v>2657</v>
      </c>
      <c r="Z36" s="239">
        <f>IF(Y36="","",VLOOKUP(Y36,'BD LUB'!$A$2:$L$223,5,FALSE)/VLOOKUP(Y36,'BD LUB'!$A$2:$L$223,7,FALSE)+(VLOOKUP(Y36,'BD LUB'!$A$2:$L$223,6,FALSE)/VLOOKUP(Y36,'BD LUB'!$A$2:$L$223,8,FALSE)))</f>
        <v>0.9736444444</v>
      </c>
      <c r="AA36" s="222">
        <f t="array" ref="AA36">IF(Y36="","",IFERROR(
  CHOOSE(
    MATCH(
      XLOOKUP(Y36,'BD MPP'!$B34:$B255,'BD MPP'!$I34:I255)&amp;"-"&amp;
      XLOOKUP(Y36,'BD MPP'!$B34:$B255,'BD MPP'!$J34:J255),
      {"PASADO-PASADO";
       "PASADO-PROXIMO";
       "PROXIMO-PASADO";
       "PASADO-VIGENTE";
       "VIGENTE-PASADO";
       "PROXIMO-PROXIMO";
       "PROXIMO-VIGENTE";
       "VIGENTE-PROXIMO";
       "VIGENTE-VIGENTE"},
      0
    ),
    1,2,2,3,3,4,5,5,6
  ),
"No definido"))</f>
        <v>3</v>
      </c>
      <c r="AB36" s="238">
        <f>IFERROR(__xludf.DUMMYFUNCTION("""COMPUTED_VALUE"""),2457.0)</f>
        <v>2457</v>
      </c>
      <c r="AC36" s="259">
        <f>IF(AB36="","",VLOOKUP(AB36,'BD LUB'!$A$2:$L$223,5,FALSE)/VLOOKUP(AB36,'BD LUB'!$A$2:$L$223,7,FALSE)+(VLOOKUP(AB36,'BD LUB'!$A$2:$L$223,6,FALSE)/VLOOKUP(AB36,'BD LUB'!$A$2:$L$223,8,FALSE)))</f>
        <v>0.9236455556</v>
      </c>
      <c r="AD36" s="222">
        <f t="array" ref="AD36">IF(AB36="","",IFERROR(
  CHOOSE(
    MATCH(
      XLOOKUP(AB36,'BD MPP'!$B34:$B255,'BD MPP'!$I34:I255)&amp;"-"&amp;
      XLOOKUP(AB36,'BD MPP'!$B34:$B255,'BD MPP'!$J34:J255),
      {"PASADO-PASADO";
       "PASADO-PROXIMO";
       "PROXIMO-PASADO";
       "PASADO-VIGENTE";
       "VIGENTE-PASADO";
       "PROXIMO-PROXIMO";
       "PROXIMO-VIGENTE";
       "VIGENTE-PROXIMO";
       "VIGENTE-VIGENTE"},
      0
    ),
    1,2,2,3,3,4,5,5,6
  ),
"No definido"))</f>
        <v>1</v>
      </c>
      <c r="AE36" s="238">
        <f>IFERROR(__xludf.DUMMYFUNCTION("""COMPUTED_VALUE"""),3212.0)</f>
        <v>3212</v>
      </c>
      <c r="AF36" s="78" t="str">
        <f t="array" ref="AF36">XLOOKUP(TRIM(AE36),TRIM('BD MPP'!B:B),'BD MPP'!L:L)</f>
        <v>02-Medellin</v>
      </c>
      <c r="AG36" s="78"/>
      <c r="AH36" s="222" t="str">
        <f t="shared" si="4"/>
        <v>3212 </v>
      </c>
    </row>
    <row r="37">
      <c r="A37" s="120"/>
      <c r="B37" s="220">
        <v>34.0</v>
      </c>
      <c r="C37" s="78">
        <f>IFERROR(__xludf.DUMMYFUNCTION("""COMPUTED_VALUE"""),2230.0)</f>
        <v>2230</v>
      </c>
      <c r="D37" s="221">
        <f>IFERROR(__xludf.DUMMYFUNCTION("""COMPUTED_VALUE"""),46570.0)</f>
        <v>46570</v>
      </c>
      <c r="E37" s="78" t="str">
        <f>IFERROR(__xludf.DUMMYFUNCTION("""COMPUTED_VALUE"""),"02-Medellin")</f>
        <v>02-Medellin</v>
      </c>
      <c r="F37" s="156">
        <f>IFERROR(__xludf.DUMMYFUNCTION("""COMPUTED_VALUE"""),46093.0)</f>
        <v>46093</v>
      </c>
      <c r="G37" s="159">
        <f>IFERROR(__xludf.DUMMYFUNCTION("""COMPUTED_VALUE"""),123.0)</f>
        <v>123</v>
      </c>
      <c r="H37" s="222" t="str">
        <f>IFERROR(__xludf.DUMMYFUNCTION("""COMPUTED_VALUE"""),"PASADO")</f>
        <v>PASADO</v>
      </c>
      <c r="I37" s="173" t="str">
        <f t="shared" si="1"/>
        <v>HECHO</v>
      </c>
      <c r="J37" s="101"/>
      <c r="K37" s="220">
        <v>34.0</v>
      </c>
      <c r="L37" s="78">
        <f>IFERROR(__xludf.DUMMYFUNCTION("""COMPUTED_VALUE"""),2876.0)</f>
        <v>2876</v>
      </c>
      <c r="M37" s="221">
        <f>IFERROR(__xludf.DUMMYFUNCTION("""COMPUTED_VALUE"""),46226.0)</f>
        <v>46226</v>
      </c>
      <c r="N37" s="78" t="str">
        <f>IFERROR(__xludf.DUMMYFUNCTION("""COMPUTED_VALUE"""),"02-Medellin")</f>
        <v>02-Medellin</v>
      </c>
      <c r="O37" s="159">
        <f>IFERROR(__xludf.DUMMYFUNCTION("""COMPUTED_VALUE"""),5678.0)</f>
        <v>5678</v>
      </c>
      <c r="P37" s="222" t="str">
        <f>IFERROR(__xludf.DUMMYFUNCTION("""COMPUTED_VALUE"""),"PASADO")</f>
        <v>PASADO</v>
      </c>
      <c r="Q37" s="8" t="str">
        <f t="shared" si="2"/>
        <v>NO PEDIDO</v>
      </c>
      <c r="V37" s="237">
        <f>CALENDARIO!W48</f>
        <v>2339</v>
      </c>
      <c r="W37" s="237">
        <f>CALENDARIO!V48</f>
        <v>2339</v>
      </c>
      <c r="Y37" s="238">
        <f>IFERROR(__xludf.DUMMYFUNCTION("""COMPUTED_VALUE"""),2892.0)</f>
        <v>2892</v>
      </c>
      <c r="Z37" s="239">
        <f>IF(Y37="","",VLOOKUP(Y37,'BD LUB'!$A$2:$L$223,5,FALSE)/VLOOKUP(Y37,'BD LUB'!$A$2:$L$223,7,FALSE)+(VLOOKUP(Y37,'BD LUB'!$A$2:$L$223,6,FALSE)/VLOOKUP(Y37,'BD LUB'!$A$2:$L$223,8,FALSE)))</f>
        <v>1.387155556</v>
      </c>
      <c r="AA37" s="222">
        <f t="array" ref="AA37">IF(Y37="","",IFERROR(
  CHOOSE(
    MATCH(
      XLOOKUP(Y37,'BD MPP'!$B35:$B256,'BD MPP'!$I35:I256)&amp;"-"&amp;
      XLOOKUP(Y37,'BD MPP'!$B35:$B256,'BD MPP'!$J35:J256),
      {"PASADO-PASADO";
       "PASADO-PROXIMO";
       "PROXIMO-PASADO";
       "PASADO-VIGENTE";
       "VIGENTE-PASADO";
       "PROXIMO-PROXIMO";
       "PROXIMO-VIGENTE";
       "VIGENTE-PROXIMO";
       "VIGENTE-VIGENTE"},
      0
    ),
    1,2,2,3,3,4,5,5,6
  ),
"No definido"))</f>
        <v>1</v>
      </c>
      <c r="AB37" s="238">
        <f>IFERROR(__xludf.DUMMYFUNCTION("""COMPUTED_VALUE"""),2388.0)</f>
        <v>2388</v>
      </c>
      <c r="AC37" s="259">
        <f>IF(AB37="","",VLOOKUP(AB37,'BD LUB'!$A$2:$L$223,5,FALSE)/VLOOKUP(AB37,'BD LUB'!$A$2:$L$223,7,FALSE)+(VLOOKUP(AB37,'BD LUB'!$A$2:$L$223,6,FALSE)/VLOOKUP(AB37,'BD LUB'!$A$2:$L$223,8,FALSE)))</f>
        <v>0.4290955556</v>
      </c>
      <c r="AD37" s="222">
        <f t="array" ref="AD37">IF(AB37="","",IFERROR(
  CHOOSE(
    MATCH(
      XLOOKUP(AB37,'BD MPP'!$B35:$B256,'BD MPP'!$I35:I256)&amp;"-"&amp;
      XLOOKUP(AB37,'BD MPP'!$B35:$B256,'BD MPP'!$J35:J256),
      {"PASADO-PASADO";
       "PASADO-PROXIMO";
       "PROXIMO-PASADO";
       "PASADO-VIGENTE";
       "VIGENTE-PASADO";
       "PROXIMO-PROXIMO";
       "PROXIMO-VIGENTE";
       "VIGENTE-PROXIMO";
       "VIGENTE-VIGENTE"},
      0
    ),
    1,2,2,3,3,4,5,5,6
  ),
"No definido"))</f>
        <v>3</v>
      </c>
      <c r="AE37" s="238">
        <f>IFERROR(__xludf.DUMMYFUNCTION("""COMPUTED_VALUE"""),2275.0)</f>
        <v>2275</v>
      </c>
      <c r="AF37" s="78" t="str">
        <f t="array" ref="AF37">XLOOKUP(TRIM(AE37),TRIM('BD MPP'!B:B),'BD MPP'!L:L)</f>
        <v>02-Medellin</v>
      </c>
      <c r="AG37" s="78"/>
      <c r="AH37" s="222" t="str">
        <f t="shared" si="4"/>
        <v>2275 </v>
      </c>
    </row>
    <row r="38">
      <c r="A38" s="120"/>
      <c r="B38" s="220">
        <v>35.0</v>
      </c>
      <c r="C38" s="255">
        <f>IFERROR(__xludf.DUMMYFUNCTION("""COMPUTED_VALUE"""),2663.0)</f>
        <v>2663</v>
      </c>
      <c r="D38" s="221">
        <f>IFERROR(__xludf.DUMMYFUNCTION("""COMPUTED_VALUE"""),46493.0)</f>
        <v>46493</v>
      </c>
      <c r="E38" s="78" t="str">
        <f>IFERROR(__xludf.DUMMYFUNCTION("""COMPUTED_VALUE"""),"24-Rionegro")</f>
        <v>24-Rionegro</v>
      </c>
      <c r="F38" s="156">
        <f>IFERROR(__xludf.DUMMYFUNCTION("""COMPUTED_VALUE"""),46097.0)</f>
        <v>46097</v>
      </c>
      <c r="G38" s="159">
        <f>IFERROR(__xludf.DUMMYFUNCTION("""COMPUTED_VALUE"""),119.0)</f>
        <v>119</v>
      </c>
      <c r="H38" s="222" t="str">
        <f>IFERROR(__xludf.DUMMYFUNCTION("""COMPUTED_VALUE"""),"PASADO")</f>
        <v>PASADO</v>
      </c>
      <c r="I38" s="173" t="str">
        <f t="shared" si="1"/>
        <v>PEDIDO</v>
      </c>
      <c r="J38" s="101"/>
      <c r="K38" s="220">
        <v>35.0</v>
      </c>
      <c r="L38" s="78">
        <f>IFERROR(__xludf.DUMMYFUNCTION("""COMPUTED_VALUE"""),2339.0)</f>
        <v>2339</v>
      </c>
      <c r="M38" s="221">
        <f>IFERROR(__xludf.DUMMYFUNCTION("""COMPUTED_VALUE"""),46572.0)</f>
        <v>46572</v>
      </c>
      <c r="N38" s="78" t="str">
        <f>IFERROR(__xludf.DUMMYFUNCTION("""COMPUTED_VALUE"""),"02-Medellin")</f>
        <v>02-Medellin</v>
      </c>
      <c r="O38" s="159">
        <f>IFERROR(__xludf.DUMMYFUNCTION("""COMPUTED_VALUE"""),5563.3)</f>
        <v>5563.3</v>
      </c>
      <c r="P38" s="222" t="str">
        <f>IFERROR(__xludf.DUMMYFUNCTION("""COMPUTED_VALUE"""),"PASADO")</f>
        <v>PASADO</v>
      </c>
      <c r="Q38" s="8" t="str">
        <f t="shared" si="2"/>
        <v>NO PEDIDO</v>
      </c>
      <c r="V38" s="237" t="str">
        <f>CALENDARIO!W49</f>
        <v/>
      </c>
      <c r="W38" s="237">
        <f>CALENDARIO!V49</f>
        <v>2484</v>
      </c>
      <c r="Y38" s="238">
        <f>IFERROR(__xludf.DUMMYFUNCTION("""COMPUTED_VALUE"""),2854.0)</f>
        <v>2854</v>
      </c>
      <c r="Z38" s="239">
        <f>IF(Y38="","",VLOOKUP(Y38,'BD LUB'!$A$2:$L$223,5,FALSE)/VLOOKUP(Y38,'BD LUB'!$A$2:$L$223,7,FALSE)+(VLOOKUP(Y38,'BD LUB'!$A$2:$L$223,6,FALSE)/VLOOKUP(Y38,'BD LUB'!$A$2:$L$223,8,FALSE)))</f>
        <v>1.533155556</v>
      </c>
      <c r="AA38" s="222">
        <f t="array" ref="AA38">IF(Y38="","",IFERROR(
  CHOOSE(
    MATCH(
      XLOOKUP(Y38,'BD MPP'!$B36:$B257,'BD MPP'!$I36:I257)&amp;"-"&amp;
      XLOOKUP(Y38,'BD MPP'!$B36:$B257,'BD MPP'!$J36:J257),
      {"PASADO-PASADO";
       "PASADO-PROXIMO";
       "PROXIMO-PASADO";
       "PASADO-VIGENTE";
       "VIGENTE-PASADO";
       "PROXIMO-PROXIMO";
       "PROXIMO-VIGENTE";
       "VIGENTE-PROXIMO";
       "VIGENTE-VIGENTE"},
      0
    ),
    1,2,2,3,3,4,5,5,6
  ),
"No definido"))</f>
        <v>3</v>
      </c>
      <c r="AB38" s="238">
        <f>IFERROR(__xludf.DUMMYFUNCTION("""COMPUTED_VALUE"""),2468.0)</f>
        <v>2468</v>
      </c>
      <c r="AC38" s="259">
        <f>IF(AB38="","",VLOOKUP(AB38,'BD LUB'!$A$2:$L$223,5,FALSE)/VLOOKUP(AB38,'BD LUB'!$A$2:$L$223,7,FALSE)+(VLOOKUP(AB38,'BD LUB'!$A$2:$L$223,6,FALSE)/VLOOKUP(AB38,'BD LUB'!$A$2:$L$223,8,FALSE)))</f>
        <v>0.3825666667</v>
      </c>
      <c r="AD38" s="222">
        <f t="array" ref="AD38">IF(AB38="","",IFERROR(
  CHOOSE(
    MATCH(
      XLOOKUP(AB38,'BD MPP'!$B36:$B257,'BD MPP'!$I36:I257)&amp;"-"&amp;
      XLOOKUP(AB38,'BD MPP'!$B36:$B257,'BD MPP'!$J36:J257),
      {"PASADO-PASADO";
       "PASADO-PROXIMO";
       "PROXIMO-PASADO";
       "PASADO-VIGENTE";
       "VIGENTE-PASADO";
       "PROXIMO-PROXIMO";
       "PROXIMO-VIGENTE";
       "VIGENTE-PROXIMO";
       "VIGENTE-VIGENTE"},
      0
    ),
    1,2,2,3,3,4,5,5,6
  ),
"No definido"))</f>
        <v>1</v>
      </c>
      <c r="AE38" s="238">
        <f>IFERROR(__xludf.DUMMYFUNCTION("""COMPUTED_VALUE"""),2661.0)</f>
        <v>2661</v>
      </c>
      <c r="AF38" s="78" t="str">
        <f t="array" ref="AF38">XLOOKUP(TRIM(AE38),TRIM('BD MPP'!B:B),'BD MPP'!L:L)</f>
        <v>02-Medellin</v>
      </c>
      <c r="AG38" s="78"/>
      <c r="AH38" s="222"/>
    </row>
    <row r="39">
      <c r="A39" s="120"/>
      <c r="B39" s="220">
        <v>36.0</v>
      </c>
      <c r="C39" s="255">
        <f>IFERROR(__xludf.DUMMYFUNCTION("""COMPUTED_VALUE"""),2385.0)</f>
        <v>2385</v>
      </c>
      <c r="D39" s="221">
        <f>IFERROR(__xludf.DUMMYFUNCTION("""COMPUTED_VALUE"""),46463.0)</f>
        <v>46463</v>
      </c>
      <c r="E39" s="78" t="str">
        <f>IFERROR(__xludf.DUMMYFUNCTION("""COMPUTED_VALUE"""),"02-Medellin")</f>
        <v>02-Medellin</v>
      </c>
      <c r="F39" s="156">
        <f>IFERROR(__xludf.DUMMYFUNCTION("""COMPUTED_VALUE"""),46097.0)</f>
        <v>46097</v>
      </c>
      <c r="G39" s="159">
        <f>IFERROR(__xludf.DUMMYFUNCTION("""COMPUTED_VALUE"""),119.0)</f>
        <v>119</v>
      </c>
      <c r="H39" s="222" t="str">
        <f>IFERROR(__xludf.DUMMYFUNCTION("""COMPUTED_VALUE"""),"PASADO")</f>
        <v>PASADO</v>
      </c>
      <c r="I39" s="173" t="str">
        <f t="shared" si="1"/>
        <v>NO PEDIDO</v>
      </c>
      <c r="J39" s="101"/>
      <c r="K39" s="220">
        <v>36.0</v>
      </c>
      <c r="L39" s="78">
        <f>IFERROR(__xludf.DUMMYFUNCTION("""COMPUTED_VALUE"""),2355.0)</f>
        <v>2355</v>
      </c>
      <c r="M39" s="221">
        <f>IFERROR(__xludf.DUMMYFUNCTION("""COMPUTED_VALUE"""),46439.0)</f>
        <v>46439</v>
      </c>
      <c r="N39" s="78" t="str">
        <f>IFERROR(__xludf.DUMMYFUNCTION("""COMPUTED_VALUE"""),"31-Copacabana")</f>
        <v>31-Copacabana</v>
      </c>
      <c r="O39" s="159">
        <f>IFERROR(__xludf.DUMMYFUNCTION("""COMPUTED_VALUE"""),5454.7)</f>
        <v>5454.7</v>
      </c>
      <c r="P39" s="222" t="str">
        <f>IFERROR(__xludf.DUMMYFUNCTION("""COMPUTED_VALUE"""),"PASADO")</f>
        <v>PASADO</v>
      </c>
      <c r="Q39" s="8" t="str">
        <f t="shared" si="2"/>
        <v>NO PEDIDO</v>
      </c>
      <c r="V39" s="237" t="str">
        <f>CALENDARIO!W50</f>
        <v/>
      </c>
      <c r="W39" s="237">
        <f>CALENDARIO!V50</f>
        <v>2663</v>
      </c>
      <c r="Y39" s="238">
        <f>IFERROR(__xludf.DUMMYFUNCTION("""COMPUTED_VALUE"""),2851.0)</f>
        <v>2851</v>
      </c>
      <c r="Z39" s="239">
        <f>IF(Y39="","",VLOOKUP(Y39,'BD LUB'!$A$2:$L$223,5,FALSE)/VLOOKUP(Y39,'BD LUB'!$A$2:$L$223,7,FALSE)+(VLOOKUP(Y39,'BD LUB'!$A$2:$L$223,6,FALSE)/VLOOKUP(Y39,'BD LUB'!$A$2:$L$223,8,FALSE)))</f>
        <v>1.501733333</v>
      </c>
      <c r="AA39" s="222">
        <f t="array" ref="AA39">IF(Y39="","",IFERROR(
  CHOOSE(
    MATCH(
      XLOOKUP(Y39,'BD MPP'!$B37:$B258,'BD MPP'!$I37:I258)&amp;"-"&amp;
      XLOOKUP(Y39,'BD MPP'!$B37:$B258,'BD MPP'!$J37:J258),
      {"PASADO-PASADO";
       "PASADO-PROXIMO";
       "PROXIMO-PASADO";
       "PASADO-VIGENTE";
       "VIGENTE-PASADO";
       "PROXIMO-PROXIMO";
       "PROXIMO-VIGENTE";
       "VIGENTE-PROXIMO";
       "VIGENTE-VIGENTE"},
      0
    ),
    1,2,2,3,3,4,5,5,6
  ),
"No definido"))</f>
        <v>3</v>
      </c>
      <c r="AB39" s="238">
        <f>IFERROR(__xludf.DUMMYFUNCTION("""COMPUTED_VALUE"""),2394.0)</f>
        <v>2394</v>
      </c>
      <c r="AC39" s="259">
        <f>IF(AB39="","",VLOOKUP(AB39,'BD LUB'!$A$2:$L$223,5,FALSE)/VLOOKUP(AB39,'BD LUB'!$A$2:$L$223,7,FALSE)+(VLOOKUP(AB39,'BD LUB'!$A$2:$L$223,6,FALSE)/VLOOKUP(AB39,'BD LUB'!$A$2:$L$223,8,FALSE)))</f>
        <v>1.455846667</v>
      </c>
      <c r="AD39" s="222">
        <f t="array" ref="AD39">IF(AB39="","",IFERROR(
  CHOOSE(
    MATCH(
      XLOOKUP(AB39,'BD MPP'!$B37:$B258,'BD MPP'!$I37:I258)&amp;"-"&amp;
      XLOOKUP(AB39,'BD MPP'!$B37:$B258,'BD MPP'!$J37:J258),
      {"PASADO-PASADO";
       "PASADO-PROXIMO";
       "PROXIMO-PASADO";
       "PASADO-VIGENTE";
       "VIGENTE-PASADO";
       "PROXIMO-PROXIMO";
       "PROXIMO-VIGENTE";
       "VIGENTE-PROXIMO";
       "VIGENTE-VIGENTE"},
      0
    ),
    1,2,2,3,3,4,5,5,6
  ),
"No definido"))</f>
        <v>3</v>
      </c>
      <c r="AE39" s="238">
        <f>IFERROR(__xludf.DUMMYFUNCTION("""COMPUTED_VALUE"""),2895.0)</f>
        <v>2895</v>
      </c>
      <c r="AF39" s="78" t="str">
        <f t="array" ref="AF39">XLOOKUP(TRIM(AE39),TRIM('BD MPP'!B:B),'BD MPP'!L:L)</f>
        <v>31-Copacabana</v>
      </c>
      <c r="AG39" s="78"/>
      <c r="AH39" s="222"/>
    </row>
    <row r="40">
      <c r="A40" s="120"/>
      <c r="B40" s="220">
        <v>37.0</v>
      </c>
      <c r="C40" s="255">
        <f>IFERROR(__xludf.DUMMYFUNCTION("""COMPUTED_VALUE"""),3202.0)</f>
        <v>3202</v>
      </c>
      <c r="D40" s="221">
        <f>IFERROR(__xludf.DUMMYFUNCTION("""COMPUTED_VALUE"""),46653.0)</f>
        <v>46653</v>
      </c>
      <c r="E40" s="78" t="str">
        <f>IFERROR(__xludf.DUMMYFUNCTION("""COMPUTED_VALUE"""),"02-Medellin")</f>
        <v>02-Medellin</v>
      </c>
      <c r="F40" s="156">
        <f>IFERROR(__xludf.DUMMYFUNCTION("""COMPUTED_VALUE"""),46099.0)</f>
        <v>46099</v>
      </c>
      <c r="G40" s="159">
        <f>IFERROR(__xludf.DUMMYFUNCTION("""COMPUTED_VALUE"""),117.0)</f>
        <v>117</v>
      </c>
      <c r="H40" s="222" t="str">
        <f>IFERROR(__xludf.DUMMYFUNCTION("""COMPUTED_VALUE"""),"PASADO")</f>
        <v>PASADO</v>
      </c>
      <c r="I40" s="173" t="str">
        <f t="shared" si="1"/>
        <v>PEDIDO</v>
      </c>
      <c r="J40" s="101"/>
      <c r="K40" s="220">
        <v>37.0</v>
      </c>
      <c r="L40" s="78">
        <f>IFERROR(__xludf.DUMMYFUNCTION("""COMPUTED_VALUE"""),654.0)</f>
        <v>654</v>
      </c>
      <c r="M40" s="221">
        <f>IFERROR(__xludf.DUMMYFUNCTION("""COMPUTED_VALUE"""),46309.0)</f>
        <v>46309</v>
      </c>
      <c r="N40" s="78" t="str">
        <f>IFERROR(__xludf.DUMMYFUNCTION("""COMPUTED_VALUE"""),"02-Medellin")</f>
        <v>02-Medellin</v>
      </c>
      <c r="O40" s="159">
        <f>IFERROR(__xludf.DUMMYFUNCTION("""COMPUTED_VALUE"""),5421.1)</f>
        <v>5421.1</v>
      </c>
      <c r="P40" s="222" t="str">
        <f>IFERROR(__xludf.DUMMYFUNCTION("""COMPUTED_VALUE"""),"PASADO")</f>
        <v>PASADO</v>
      </c>
      <c r="Q40" s="8" t="str">
        <f t="shared" si="2"/>
        <v>NO PEDIDO</v>
      </c>
      <c r="V40" s="237" t="str">
        <f>CALENDARIO!W51</f>
        <v/>
      </c>
      <c r="W40" s="237">
        <f>CALENDARIO!V51</f>
        <v>3202</v>
      </c>
      <c r="Y40" s="238">
        <f>IFERROR(__xludf.DUMMYFUNCTION("""COMPUTED_VALUE"""),2862.0)</f>
        <v>2862</v>
      </c>
      <c r="Z40" s="239">
        <f>IF(Y40="","",VLOOKUP(Y40,'BD LUB'!$A$2:$L$223,5,FALSE)/VLOOKUP(Y40,'BD LUB'!$A$2:$L$223,7,FALSE)+(VLOOKUP(Y40,'BD LUB'!$A$2:$L$223,6,FALSE)/VLOOKUP(Y40,'BD LUB'!$A$2:$L$223,8,FALSE)))</f>
        <v>0.8877777778</v>
      </c>
      <c r="AA40" s="222">
        <f t="array" ref="AA40">IF(Y40="","",IFERROR(
  CHOOSE(
    MATCH(
      XLOOKUP(Y40,'BD MPP'!$B38:$B259,'BD MPP'!$I38:I259)&amp;"-"&amp;
      XLOOKUP(Y40,'BD MPP'!$B38:$B259,'BD MPP'!$J38:J259),
      {"PASADO-PASADO";
       "PASADO-PROXIMO";
       "PROXIMO-PASADO";
       "PASADO-VIGENTE";
       "VIGENTE-PASADO";
       "PROXIMO-PROXIMO";
       "PROXIMO-VIGENTE";
       "VIGENTE-PROXIMO";
       "VIGENTE-VIGENTE"},
      0
    ),
    1,2,2,3,3,4,5,5,6
  ),
"No definido"))</f>
        <v>2</v>
      </c>
      <c r="AB40" s="238">
        <f>IFERROR(__xludf.DUMMYFUNCTION("""COMPUTED_VALUE"""),2657.0)</f>
        <v>2657</v>
      </c>
      <c r="AC40" s="259">
        <f>IF(AB40="","",VLOOKUP(AB40,'BD LUB'!$A$2:$L$223,5,FALSE)/VLOOKUP(AB40,'BD LUB'!$A$2:$L$223,7,FALSE)+(VLOOKUP(AB40,'BD LUB'!$A$2:$L$223,6,FALSE)/VLOOKUP(AB40,'BD LUB'!$A$2:$L$223,8,FALSE)))</f>
        <v>0.9736444444</v>
      </c>
      <c r="AD40" s="222">
        <f t="array" ref="AD40">IF(AB40="","",IFERROR(
  CHOOSE(
    MATCH(
      XLOOKUP(AB40,'BD MPP'!$B38:$B259,'BD MPP'!$I38:I259)&amp;"-"&amp;
      XLOOKUP(AB40,'BD MPP'!$B38:$B259,'BD MPP'!$J38:J259),
      {"PASADO-PASADO";
       "PASADO-PROXIMO";
       "PROXIMO-PASADO";
       "PASADO-VIGENTE";
       "VIGENTE-PASADO";
       "PROXIMO-PROXIMO";
       "PROXIMO-VIGENTE";
       "VIGENTE-PROXIMO";
       "VIGENTE-VIGENTE"},
      0
    ),
    1,2,2,3,3,4,5,5,6
  ),
"No definido"))</f>
        <v>3</v>
      </c>
      <c r="AE40" s="238">
        <f>IFERROR(__xludf.DUMMYFUNCTION("""COMPUTED_VALUE"""),464.0)</f>
        <v>464</v>
      </c>
      <c r="AF40" s="78" t="str">
        <f t="array" ref="AF40">XLOOKUP(TRIM(AE40),TRIM('BD MPP'!B:B),'BD MPP'!L:L)</f>
        <v>02-Medellin</v>
      </c>
      <c r="AG40" s="78"/>
      <c r="AH40" s="222"/>
    </row>
    <row r="41">
      <c r="A41" s="120"/>
      <c r="B41" s="220">
        <v>38.0</v>
      </c>
      <c r="C41" s="255">
        <f>IFERROR(__xludf.DUMMYFUNCTION("""COMPUTED_VALUE"""),2459.0)</f>
        <v>2459</v>
      </c>
      <c r="D41" s="221">
        <f>IFERROR(__xludf.DUMMYFUNCTION("""COMPUTED_VALUE"""),46301.0)</f>
        <v>46301</v>
      </c>
      <c r="E41" s="78" t="str">
        <f>IFERROR(__xludf.DUMMYFUNCTION("""COMPUTED_VALUE"""),"02-Medellin")</f>
        <v>02-Medellin</v>
      </c>
      <c r="F41" s="156">
        <f>IFERROR(__xludf.DUMMYFUNCTION("""COMPUTED_VALUE"""),46099.0)</f>
        <v>46099</v>
      </c>
      <c r="G41" s="159">
        <f>IFERROR(__xludf.DUMMYFUNCTION("""COMPUTED_VALUE"""),117.0)</f>
        <v>117</v>
      </c>
      <c r="H41" s="222" t="str">
        <f>IFERROR(__xludf.DUMMYFUNCTION("""COMPUTED_VALUE"""),"PASADO")</f>
        <v>PASADO</v>
      </c>
      <c r="I41" s="173" t="str">
        <f t="shared" si="1"/>
        <v>NO PEDIDO</v>
      </c>
      <c r="J41" s="101"/>
      <c r="K41" s="220">
        <v>38.0</v>
      </c>
      <c r="L41" s="78">
        <f>IFERROR(__xludf.DUMMYFUNCTION("""COMPUTED_VALUE"""),2468.0)</f>
        <v>2468</v>
      </c>
      <c r="M41" s="221">
        <f>IFERROR(__xludf.DUMMYFUNCTION("""COMPUTED_VALUE"""),46304.0)</f>
        <v>46304</v>
      </c>
      <c r="N41" s="78" t="str">
        <f>IFERROR(__xludf.DUMMYFUNCTION("""COMPUTED_VALUE"""),"02-Medellin")</f>
        <v>02-Medellin</v>
      </c>
      <c r="O41" s="159">
        <f>IFERROR(__xludf.DUMMYFUNCTION("""COMPUTED_VALUE"""),5135.0)</f>
        <v>5135</v>
      </c>
      <c r="P41" s="222" t="str">
        <f>IFERROR(__xludf.DUMMYFUNCTION("""COMPUTED_VALUE"""),"PASADO")</f>
        <v>PASADO</v>
      </c>
      <c r="Q41" s="8" t="str">
        <f t="shared" si="2"/>
        <v>NO PEDIDO</v>
      </c>
      <c r="V41" s="237" t="str">
        <f>CALENDARIO!W52</f>
        <v/>
      </c>
      <c r="W41" s="237">
        <f>CALENDARIO!V52</f>
        <v>2450</v>
      </c>
      <c r="Y41" s="238">
        <f>IFERROR(__xludf.DUMMYFUNCTION("""COMPUTED_VALUE"""),2853.0)</f>
        <v>2853</v>
      </c>
      <c r="Z41" s="239">
        <f>IF(Y41="","",VLOOKUP(Y41,'BD LUB'!$A$2:$L$223,5,FALSE)/VLOOKUP(Y41,'BD LUB'!$A$2:$L$223,7,FALSE)+(VLOOKUP(Y41,'BD LUB'!$A$2:$L$223,6,FALSE)/VLOOKUP(Y41,'BD LUB'!$A$2:$L$223,8,FALSE)))</f>
        <v>1.846844444</v>
      </c>
      <c r="AA41" s="222">
        <f t="array" ref="AA41">IF(Y41="","",IFERROR(
  CHOOSE(
    MATCH(
      XLOOKUP(Y41,'BD MPP'!$B39:$B260,'BD MPP'!$I39:I260)&amp;"-"&amp;
      XLOOKUP(Y41,'BD MPP'!$B39:$B260,'BD MPP'!$J39:J260),
      {"PASADO-PASADO";
       "PASADO-PROXIMO";
       "PROXIMO-PASADO";
       "PASADO-VIGENTE";
       "VIGENTE-PASADO";
       "PROXIMO-PROXIMO";
       "PROXIMO-VIGENTE";
       "VIGENTE-PROXIMO";
       "VIGENTE-VIGENTE"},
      0
    ),
    1,2,2,3,3,4,5,5,6
  ),
"No definido"))</f>
        <v>1</v>
      </c>
      <c r="AB41" s="238">
        <f>IFERROR(__xludf.DUMMYFUNCTION("""COMPUTED_VALUE"""),2892.0)</f>
        <v>2892</v>
      </c>
      <c r="AC41" s="259">
        <f>IF(AB41="","",VLOOKUP(AB41,'BD LUB'!$A$2:$L$223,5,FALSE)/VLOOKUP(AB41,'BD LUB'!$A$2:$L$223,7,FALSE)+(VLOOKUP(AB41,'BD LUB'!$A$2:$L$223,6,FALSE)/VLOOKUP(AB41,'BD LUB'!$A$2:$L$223,8,FALSE)))</f>
        <v>1.387155556</v>
      </c>
      <c r="AD41" s="222">
        <f t="array" ref="AD41">IF(AB41="","",IFERROR(
  CHOOSE(
    MATCH(
      XLOOKUP(AB41,'BD MPP'!$B39:$B260,'BD MPP'!$I39:I260)&amp;"-"&amp;
      XLOOKUP(AB41,'BD MPP'!$B39:$B260,'BD MPP'!$J39:J260),
      {"PASADO-PASADO";
       "PASADO-PROXIMO";
       "PROXIMO-PASADO";
       "PASADO-VIGENTE";
       "VIGENTE-PASADO";
       "PROXIMO-PROXIMO";
       "PROXIMO-VIGENTE";
       "VIGENTE-PROXIMO";
       "VIGENTE-VIGENTE"},
      0
    ),
    1,2,2,3,3,4,5,5,6
  ),
"No definido"))</f>
        <v>1</v>
      </c>
      <c r="AE41" s="238">
        <f>IFERROR(__xludf.DUMMYFUNCTION("""COMPUTED_VALUE"""),2659.0)</f>
        <v>2659</v>
      </c>
      <c r="AF41" s="78" t="str">
        <f t="array" ref="AF41">XLOOKUP(TRIM(AE41),TRIM('BD MPP'!B:B),'BD MPP'!L:L)</f>
        <v>02-Medellin</v>
      </c>
      <c r="AG41" s="78"/>
      <c r="AH41" s="222"/>
    </row>
    <row r="42">
      <c r="A42" s="120"/>
      <c r="B42" s="220">
        <v>39.0</v>
      </c>
      <c r="C42" s="78">
        <f>IFERROR(__xludf.DUMMYFUNCTION("""COMPUTED_VALUE"""),2387.0)</f>
        <v>2387</v>
      </c>
      <c r="D42" s="221">
        <f>IFERROR(__xludf.DUMMYFUNCTION("""COMPUTED_VALUE"""),46466.0)</f>
        <v>46466</v>
      </c>
      <c r="E42" s="78" t="str">
        <f>IFERROR(__xludf.DUMMYFUNCTION("""COMPUTED_VALUE"""),"BULTOS")</f>
        <v>BULTOS</v>
      </c>
      <c r="F42" s="156">
        <f>IFERROR(__xludf.DUMMYFUNCTION("""COMPUTED_VALUE"""),46099.0)</f>
        <v>46099</v>
      </c>
      <c r="G42" s="159">
        <f>IFERROR(__xludf.DUMMYFUNCTION("""COMPUTED_VALUE"""),117.0)</f>
        <v>117</v>
      </c>
      <c r="H42" s="222" t="str">
        <f>IFERROR(__xludf.DUMMYFUNCTION("""COMPUTED_VALUE"""),"PASADO")</f>
        <v>PASADO</v>
      </c>
      <c r="I42" s="173" t="str">
        <f t="shared" si="1"/>
        <v>NO PEDIDO</v>
      </c>
      <c r="J42" s="101"/>
      <c r="K42" s="220">
        <v>39.0</v>
      </c>
      <c r="L42" s="78">
        <f>IFERROR(__xludf.DUMMYFUNCTION("""COMPUTED_VALUE"""),2666.0)</f>
        <v>2666</v>
      </c>
      <c r="M42" s="221">
        <f>IFERROR(__xludf.DUMMYFUNCTION("""COMPUTED_VALUE"""),46492.0)</f>
        <v>46492</v>
      </c>
      <c r="N42" s="78" t="str">
        <f>IFERROR(__xludf.DUMMYFUNCTION("""COMPUTED_VALUE"""),"02-Medellin")</f>
        <v>02-Medellin</v>
      </c>
      <c r="O42" s="159">
        <f>IFERROR(__xludf.DUMMYFUNCTION("""COMPUTED_VALUE"""),5010.4)</f>
        <v>5010.4</v>
      </c>
      <c r="P42" s="222" t="str">
        <f>IFERROR(__xludf.DUMMYFUNCTION("""COMPUTED_VALUE"""),"PASADO")</f>
        <v>PASADO</v>
      </c>
      <c r="Q42" s="8" t="str">
        <f t="shared" si="2"/>
        <v>NO PEDIDO</v>
      </c>
      <c r="V42" s="237" t="str">
        <f>CALENDARIO!W53</f>
        <v/>
      </c>
      <c r="W42" s="237">
        <f>CALENDARIO!V53</f>
        <v>2460</v>
      </c>
      <c r="Y42" s="238">
        <f>IFERROR(__xludf.DUMMYFUNCTION("""COMPUTED_VALUE"""),2848.0)</f>
        <v>2848</v>
      </c>
      <c r="Z42" s="239">
        <f>IF(Y42="","",VLOOKUP(Y42,'BD LUB'!$A$2:$L$223,5,FALSE)/VLOOKUP(Y42,'BD LUB'!$A$2:$L$223,7,FALSE)+(VLOOKUP(Y42,'BD LUB'!$A$2:$L$223,6,FALSE)/VLOOKUP(Y42,'BD LUB'!$A$2:$L$223,8,FALSE)))</f>
        <v>1.176466667</v>
      </c>
      <c r="AA42" s="222">
        <f t="array" ref="AA42">IF(Y42="","",IFERROR(
  CHOOSE(
    MATCH(
      XLOOKUP(Y42,'BD MPP'!$B40:$B261,'BD MPP'!$I40:I261)&amp;"-"&amp;
      XLOOKUP(Y42,'BD MPP'!$B40:$B261,'BD MPP'!$J40:J261),
      {"PASADO-PASADO";
       "PASADO-PROXIMO";
       "PROXIMO-PASADO";
       "PASADO-VIGENTE";
       "VIGENTE-PASADO";
       "PROXIMO-PROXIMO";
       "PROXIMO-VIGENTE";
       "VIGENTE-PROXIMO";
       "VIGENTE-VIGENTE"},
      0
    ),
    1,2,2,3,3,4,5,5,6
  ),
"No definido"))</f>
        <v>2</v>
      </c>
      <c r="AB42" s="238">
        <f>IFERROR(__xludf.DUMMYFUNCTION("""COMPUTED_VALUE"""),2854.0)</f>
        <v>2854</v>
      </c>
      <c r="AC42" s="259">
        <f>IF(AB42="","",VLOOKUP(AB42,'BD LUB'!$A$2:$L$223,5,FALSE)/VLOOKUP(AB42,'BD LUB'!$A$2:$L$223,7,FALSE)+(VLOOKUP(AB42,'BD LUB'!$A$2:$L$223,6,FALSE)/VLOOKUP(AB42,'BD LUB'!$A$2:$L$223,8,FALSE)))</f>
        <v>1.533155556</v>
      </c>
      <c r="AD42" s="222">
        <f t="array" ref="AD42">IF(AB42="","",IFERROR(
  CHOOSE(
    MATCH(
      XLOOKUP(AB42,'BD MPP'!$B40:$B261,'BD MPP'!$I40:I261)&amp;"-"&amp;
      XLOOKUP(AB42,'BD MPP'!$B40:$B261,'BD MPP'!$J40:J261),
      {"PASADO-PASADO";
       "PASADO-PROXIMO";
       "PROXIMO-PASADO";
       "PASADO-VIGENTE";
       "VIGENTE-PASADO";
       "PROXIMO-PROXIMO";
       "PROXIMO-VIGENTE";
       "VIGENTE-PROXIMO";
       "VIGENTE-VIGENTE"},
      0
    ),
    1,2,2,3,3,4,5,5,6
  ),
"No definido"))</f>
        <v>3</v>
      </c>
      <c r="AE42" s="238">
        <f>IFERROR(__xludf.DUMMYFUNCTION("""COMPUTED_VALUE"""),2848.0)</f>
        <v>2848</v>
      </c>
      <c r="AF42" s="78" t="str">
        <f t="array" ref="AF42">XLOOKUP(TRIM(AE42),TRIM('BD MPP'!B:B),'BD MPP'!L:L)</f>
        <v>02-Medellin</v>
      </c>
      <c r="AG42" s="78"/>
      <c r="AH42" s="222"/>
    </row>
    <row r="43">
      <c r="A43" s="120"/>
      <c r="B43" s="220">
        <v>40.0</v>
      </c>
      <c r="C43" s="255">
        <f>IFERROR(__xludf.DUMMYFUNCTION("""COMPUTED_VALUE"""),3212.0)</f>
        <v>3212</v>
      </c>
      <c r="D43" s="221">
        <f>IFERROR(__xludf.DUMMYFUNCTION("""COMPUTED_VALUE"""),46654.0)</f>
        <v>46654</v>
      </c>
      <c r="E43" s="78" t="str">
        <f>IFERROR(__xludf.DUMMYFUNCTION("""COMPUTED_VALUE"""),"02-Medellin")</f>
        <v>02-Medellin</v>
      </c>
      <c r="F43" s="156">
        <f>IFERROR(__xludf.DUMMYFUNCTION("""COMPUTED_VALUE"""),46100.0)</f>
        <v>46100</v>
      </c>
      <c r="G43" s="159">
        <f>IFERROR(__xludf.DUMMYFUNCTION("""COMPUTED_VALUE"""),116.0)</f>
        <v>116</v>
      </c>
      <c r="H43" s="222" t="str">
        <f>IFERROR(__xludf.DUMMYFUNCTION("""COMPUTED_VALUE"""),"PASADO")</f>
        <v>PASADO</v>
      </c>
      <c r="I43" s="173" t="str">
        <f t="shared" si="1"/>
        <v>NO PEDIDO</v>
      </c>
      <c r="J43" s="101"/>
      <c r="K43" s="220">
        <v>40.0</v>
      </c>
      <c r="L43" s="78">
        <f>IFERROR(__xludf.DUMMYFUNCTION("""COMPUTED_VALUE"""),2464.0)</f>
        <v>2464</v>
      </c>
      <c r="M43" s="221">
        <f>IFERROR(__xludf.DUMMYFUNCTION("""COMPUTED_VALUE"""),46295.0)</f>
        <v>46295</v>
      </c>
      <c r="N43" s="78" t="str">
        <f>IFERROR(__xludf.DUMMYFUNCTION("""COMPUTED_VALUE"""),"02-Medellin")</f>
        <v>02-Medellin</v>
      </c>
      <c r="O43" s="159">
        <f>IFERROR(__xludf.DUMMYFUNCTION("""COMPUTED_VALUE"""),5008.2)</f>
        <v>5008.2</v>
      </c>
      <c r="P43" s="222" t="str">
        <f>IFERROR(__xludf.DUMMYFUNCTION("""COMPUTED_VALUE"""),"PASADO")</f>
        <v>PASADO</v>
      </c>
      <c r="Q43" s="8" t="str">
        <f t="shared" si="2"/>
        <v>NO PEDIDO</v>
      </c>
      <c r="W43" s="237" t="str">
        <f>CALENDARIO!V54</f>
        <v/>
      </c>
      <c r="Y43" s="238">
        <f>IFERROR(__xludf.DUMMYFUNCTION("""COMPUTED_VALUE"""),2679.0)</f>
        <v>2679</v>
      </c>
      <c r="Z43" s="239">
        <f>IF(Y43="","",VLOOKUP(Y43,'BD LUB'!$A$2:$L$223,5,FALSE)/VLOOKUP(Y43,'BD LUB'!$A$2:$L$223,7,FALSE)+(VLOOKUP(Y43,'BD LUB'!$A$2:$L$223,6,FALSE)/VLOOKUP(Y43,'BD LUB'!$A$2:$L$223,8,FALSE)))</f>
        <v>0.4686577778</v>
      </c>
      <c r="AA43" s="222">
        <f t="array" ref="AA43">IF(Y43="","",IFERROR(
  CHOOSE(
    MATCH(
      XLOOKUP(Y43,'BD MPP'!$B41:$B262,'BD MPP'!$I41:I262)&amp;"-"&amp;
      XLOOKUP(Y43,'BD MPP'!$B41:$B262,'BD MPP'!$J41:J262),
      {"PASADO-PASADO";
       "PASADO-PROXIMO";
       "PROXIMO-PASADO";
       "PASADO-VIGENTE";
       "VIGENTE-PASADO";
       "PROXIMO-PROXIMO";
       "PROXIMO-VIGENTE";
       "VIGENTE-PROXIMO";
       "VIGENTE-VIGENTE"},
      0
    ),
    1,2,2,3,3,4,5,5,6
  ),
"No definido"))</f>
        <v>3</v>
      </c>
      <c r="AB43" s="238">
        <f>IFERROR(__xludf.DUMMYFUNCTION("""COMPUTED_VALUE"""),2851.0)</f>
        <v>2851</v>
      </c>
      <c r="AC43" s="259">
        <f>IF(AB43="","",VLOOKUP(AB43,'BD LUB'!$A$2:$L$223,5,FALSE)/VLOOKUP(AB43,'BD LUB'!$A$2:$L$223,7,FALSE)+(VLOOKUP(AB43,'BD LUB'!$A$2:$L$223,6,FALSE)/VLOOKUP(AB43,'BD LUB'!$A$2:$L$223,8,FALSE)))</f>
        <v>1.501733333</v>
      </c>
      <c r="AD43" s="222">
        <f t="array" ref="AD43">IF(AB43="","",IFERROR(
  CHOOSE(
    MATCH(
      XLOOKUP(AB43,'BD MPP'!$B41:$B262,'BD MPP'!$I41:I262)&amp;"-"&amp;
      XLOOKUP(AB43,'BD MPP'!$B41:$B262,'BD MPP'!$J41:J262),
      {"PASADO-PASADO";
       "PASADO-PROXIMO";
       "PROXIMO-PASADO";
       "PASADO-VIGENTE";
       "VIGENTE-PASADO";
       "PROXIMO-PROXIMO";
       "PROXIMO-VIGENTE";
       "VIGENTE-PROXIMO";
       "VIGENTE-VIGENTE"},
      0
    ),
    1,2,2,3,3,4,5,5,6
  ),
"No definido"))</f>
        <v>3</v>
      </c>
      <c r="AE43" s="238">
        <f>IFERROR(__xludf.DUMMYFUNCTION("""COMPUTED_VALUE"""),2387.0)</f>
        <v>2387</v>
      </c>
      <c r="AF43" s="78"/>
      <c r="AG43" s="78"/>
      <c r="AH43" s="222"/>
    </row>
    <row r="44">
      <c r="A44" s="120"/>
      <c r="B44" s="220">
        <v>41.0</v>
      </c>
      <c r="C44" s="78">
        <f>IFERROR(__xludf.DUMMYFUNCTION("""COMPUTED_VALUE"""),2457.0)</f>
        <v>2457</v>
      </c>
      <c r="D44" s="221">
        <f>IFERROR(__xludf.DUMMYFUNCTION("""COMPUTED_VALUE"""),46302.0)</f>
        <v>46302</v>
      </c>
      <c r="E44" s="78" t="str">
        <f>IFERROR(__xludf.DUMMYFUNCTION("""COMPUTED_VALUE"""),"BULTOS")</f>
        <v>BULTOS</v>
      </c>
      <c r="F44" s="156">
        <f>IFERROR(__xludf.DUMMYFUNCTION("""COMPUTED_VALUE"""),46100.0)</f>
        <v>46100</v>
      </c>
      <c r="G44" s="159">
        <f>IFERROR(__xludf.DUMMYFUNCTION("""COMPUTED_VALUE"""),116.0)</f>
        <v>116</v>
      </c>
      <c r="H44" s="222" t="str">
        <f>IFERROR(__xludf.DUMMYFUNCTION("""COMPUTED_VALUE"""),"PASADO")</f>
        <v>PASADO</v>
      </c>
      <c r="I44" s="173" t="str">
        <f t="shared" si="1"/>
        <v>NO PEDIDO</v>
      </c>
      <c r="J44" s="101"/>
      <c r="K44" s="220">
        <v>41.0</v>
      </c>
      <c r="L44" s="78">
        <f>IFERROR(__xludf.DUMMYFUNCTION("""COMPUTED_VALUE"""),2850.0)</f>
        <v>2850</v>
      </c>
      <c r="M44" s="221">
        <f>IFERROR(__xludf.DUMMYFUNCTION("""COMPUTED_VALUE"""),46570.0)</f>
        <v>46570</v>
      </c>
      <c r="N44" s="78" t="str">
        <f>IFERROR(__xludf.DUMMYFUNCTION("""COMPUTED_VALUE"""),"MAYORCA")</f>
        <v>MAYORCA</v>
      </c>
      <c r="O44" s="159">
        <f>IFERROR(__xludf.DUMMYFUNCTION("""COMPUTED_VALUE"""),4981.0)</f>
        <v>4981</v>
      </c>
      <c r="P44" s="222" t="str">
        <f>IFERROR(__xludf.DUMMYFUNCTION("""COMPUTED_VALUE"""),"PROXIMO")</f>
        <v>PROXIMO</v>
      </c>
      <c r="Q44" s="8" t="str">
        <f t="shared" si="2"/>
        <v>NO PEDIDO</v>
      </c>
      <c r="W44" s="237" t="str">
        <f>CALENDARIO!V55</f>
        <v/>
      </c>
      <c r="Y44" s="238">
        <f>IFERROR(__xludf.DUMMYFUNCTION("""COMPUTED_VALUE"""),2404.0)</f>
        <v>2404</v>
      </c>
      <c r="Z44" s="78">
        <f>IF(Y44="","",VLOOKUP(Y44,'BD LUB'!$A$2:$L$223,5,FALSE)/VLOOKUP(Y44,'BD LUB'!$A$2:$L$223,7,FALSE)+(VLOOKUP(Y44,'BD LUB'!$A$2:$L$223,6,FALSE)/VLOOKUP(Y44,'BD LUB'!$A$2:$L$223,8,FALSE)))</f>
        <v>0.5796511111</v>
      </c>
      <c r="AA44" s="222">
        <f t="array" ref="AA44">IF(Y44="","",IFERROR(
  CHOOSE(
    MATCH(
      XLOOKUP(Y44,'BD MPP'!$B42:$B263,'BD MPP'!$I42:I263)&amp;"-"&amp;
      XLOOKUP(Y44,'BD MPP'!$B42:$B263,'BD MPP'!$J42:J263),
      {"PASADO-PASADO";
       "PASADO-PROXIMO";
       "PROXIMO-PASADO";
       "PASADO-VIGENTE";
       "VIGENTE-PASADO";
       "PROXIMO-PROXIMO";
       "PROXIMO-VIGENTE";
       "VIGENTE-PROXIMO";
       "VIGENTE-VIGENTE"},
      0
    ),
    1,2,2,3,3,4,5,5,6
  ),
"No definido"))</f>
        <v>3</v>
      </c>
      <c r="AB44" s="238">
        <f>IFERROR(__xludf.DUMMYFUNCTION("""COMPUTED_VALUE"""),2862.0)</f>
        <v>2862</v>
      </c>
      <c r="AC44" s="259">
        <f>IF(AB44="","",VLOOKUP(AB44,'BD LUB'!$A$2:$L$223,5,FALSE)/VLOOKUP(AB44,'BD LUB'!$A$2:$L$223,7,FALSE)+(VLOOKUP(AB44,'BD LUB'!$A$2:$L$223,6,FALSE)/VLOOKUP(AB44,'BD LUB'!$A$2:$L$223,8,FALSE)))</f>
        <v>0.8877777778</v>
      </c>
      <c r="AD44" s="222">
        <f t="array" ref="AD44">IF(AB44="","",IFERROR(
  CHOOSE(
    MATCH(
      XLOOKUP(AB44,'BD MPP'!$B42:$B263,'BD MPP'!$I42:I263)&amp;"-"&amp;
      XLOOKUP(AB44,'BD MPP'!$B42:$B263,'BD MPP'!$J42:J263),
      {"PASADO-PASADO";
       "PASADO-PROXIMO";
       "PROXIMO-PASADO";
       "PASADO-VIGENTE";
       "VIGENTE-PASADO";
       "PROXIMO-PROXIMO";
       "PROXIMO-VIGENTE";
       "VIGENTE-PROXIMO";
       "VIGENTE-VIGENTE"},
      0
    ),
    1,2,2,3,3,4,5,5,6
  ),
"No definido"))</f>
        <v>2</v>
      </c>
      <c r="AE44" s="238">
        <f>IFERROR(__xludf.DUMMYFUNCTION("""COMPUTED_VALUE"""),2843.0)</f>
        <v>2843</v>
      </c>
      <c r="AF44" s="78"/>
      <c r="AG44" s="78"/>
      <c r="AH44" s="222"/>
    </row>
    <row r="45">
      <c r="A45" s="120"/>
      <c r="B45" s="220">
        <v>42.0</v>
      </c>
      <c r="C45" s="255">
        <f>IFERROR(__xludf.DUMMYFUNCTION("""COMPUTED_VALUE"""),2388.0)</f>
        <v>2388</v>
      </c>
      <c r="D45" s="221">
        <f>IFERROR(__xludf.DUMMYFUNCTION("""COMPUTED_VALUE"""),46466.0)</f>
        <v>46466</v>
      </c>
      <c r="E45" s="78" t="str">
        <f>IFERROR(__xludf.DUMMYFUNCTION("""COMPUTED_VALUE"""),"02-Medellin")</f>
        <v>02-Medellin</v>
      </c>
      <c r="F45" s="156">
        <f>IFERROR(__xludf.DUMMYFUNCTION("""COMPUTED_VALUE"""),46100.0)</f>
        <v>46100</v>
      </c>
      <c r="G45" s="159">
        <f>IFERROR(__xludf.DUMMYFUNCTION("""COMPUTED_VALUE"""),116.0)</f>
        <v>116</v>
      </c>
      <c r="H45" s="222" t="str">
        <f>IFERROR(__xludf.DUMMYFUNCTION("""COMPUTED_VALUE"""),"PASADO")</f>
        <v>PASADO</v>
      </c>
      <c r="I45" s="173" t="str">
        <f t="shared" si="1"/>
        <v>NO PEDIDO</v>
      </c>
      <c r="J45" s="101"/>
      <c r="K45" s="220">
        <v>42.0</v>
      </c>
      <c r="L45" s="78">
        <f>IFERROR(__xludf.DUMMYFUNCTION("""COMPUTED_VALUE"""),2862.0)</f>
        <v>2862</v>
      </c>
      <c r="M45" s="221">
        <f>IFERROR(__xludf.DUMMYFUNCTION("""COMPUTED_VALUE"""),46221.0)</f>
        <v>46221</v>
      </c>
      <c r="N45" s="78" t="str">
        <f>IFERROR(__xludf.DUMMYFUNCTION("""COMPUTED_VALUE"""),"02-Medellin")</f>
        <v>02-Medellin</v>
      </c>
      <c r="O45" s="159">
        <f>IFERROR(__xludf.DUMMYFUNCTION("""COMPUTED_VALUE"""),4934.0)</f>
        <v>4934</v>
      </c>
      <c r="P45" s="222" t="str">
        <f>IFERROR(__xludf.DUMMYFUNCTION("""COMPUTED_VALUE"""),"PROXIMO")</f>
        <v>PROXIMO</v>
      </c>
      <c r="Q45" s="8" t="str">
        <f t="shared" si="2"/>
        <v>NO PEDIDO</v>
      </c>
      <c r="W45" s="237" t="str">
        <f>CALENDARIO!V56</f>
        <v/>
      </c>
      <c r="Y45" s="238">
        <f>IFERROR(__xludf.DUMMYFUNCTION("""COMPUTED_VALUE"""),2366.0)</f>
        <v>2366</v>
      </c>
      <c r="Z45" s="78">
        <f>IF(Y45="","",VLOOKUP(Y45,'BD LUB'!$A$2:$L$223,5,FALSE)/VLOOKUP(Y45,'BD LUB'!$A$2:$L$223,7,FALSE)+(VLOOKUP(Y45,'BD LUB'!$A$2:$L$223,6,FALSE)/VLOOKUP(Y45,'BD LUB'!$A$2:$L$223,8,FALSE)))</f>
        <v>0.8866077778</v>
      </c>
      <c r="AA45" s="222">
        <f t="array" ref="AA45">IF(Y45="","",IFERROR(
  CHOOSE(
    MATCH(
      XLOOKUP(Y45,'BD MPP'!$B43:$B264,'BD MPP'!$I43:I264)&amp;"-"&amp;
      XLOOKUP(Y45,'BD MPP'!$B43:$B264,'BD MPP'!$J43:J264),
      {"PASADO-PASADO";
       "PASADO-PROXIMO";
       "PROXIMO-PASADO";
       "PASADO-VIGENTE";
       "VIGENTE-PASADO";
       "PROXIMO-PROXIMO";
       "PROXIMO-VIGENTE";
       "VIGENTE-PROXIMO";
       "VIGENTE-VIGENTE"},
      0
    ),
    1,2,2,3,3,4,5,5,6
  ),
"No definido"))</f>
        <v>3</v>
      </c>
      <c r="AB45" s="238">
        <f>IFERROR(__xludf.DUMMYFUNCTION("""COMPUTED_VALUE"""),2853.0)</f>
        <v>2853</v>
      </c>
      <c r="AC45" s="259">
        <f>IF(AB45="","",VLOOKUP(AB45,'BD LUB'!$A$2:$L$223,5,FALSE)/VLOOKUP(AB45,'BD LUB'!$A$2:$L$223,7,FALSE)+(VLOOKUP(AB45,'BD LUB'!$A$2:$L$223,6,FALSE)/VLOOKUP(AB45,'BD LUB'!$A$2:$L$223,8,FALSE)))</f>
        <v>1.846844444</v>
      </c>
      <c r="AD45" s="222">
        <f t="array" ref="AD45">IF(AB45="","",IFERROR(
  CHOOSE(
    MATCH(
      XLOOKUP(AB45,'BD MPP'!$B43:$B264,'BD MPP'!$I43:I264)&amp;"-"&amp;
      XLOOKUP(AB45,'BD MPP'!$B43:$B264,'BD MPP'!$J43:J264),
      {"PASADO-PASADO";
       "PASADO-PROXIMO";
       "PROXIMO-PASADO";
       "PASADO-VIGENTE";
       "VIGENTE-PASADO";
       "PROXIMO-PROXIMO";
       "PROXIMO-VIGENTE";
       "VIGENTE-PROXIMO";
       "VIGENTE-VIGENTE"},
      0
    ),
    1,2,2,3,3,4,5,5,6
  ),
"No definido"))</f>
        <v>1</v>
      </c>
      <c r="AE45" s="238">
        <f>IFERROR(__xludf.DUMMYFUNCTION("""COMPUTED_VALUE"""),2907.0)</f>
        <v>2907</v>
      </c>
      <c r="AF45" s="78"/>
      <c r="AG45" s="78"/>
      <c r="AH45" s="222"/>
    </row>
    <row r="46">
      <c r="A46" s="120"/>
      <c r="B46" s="220">
        <v>43.0</v>
      </c>
      <c r="C46" s="78">
        <f>IFERROR(__xludf.DUMMYFUNCTION("""COMPUTED_VALUE"""),2468.0)</f>
        <v>2468</v>
      </c>
      <c r="D46" s="221">
        <f>IFERROR(__xludf.DUMMYFUNCTION("""COMPUTED_VALUE"""),46304.0)</f>
        <v>46304</v>
      </c>
      <c r="E46" s="78" t="str">
        <f>IFERROR(__xludf.DUMMYFUNCTION("""COMPUTED_VALUE"""),"02-Medellin")</f>
        <v>02-Medellin</v>
      </c>
      <c r="F46" s="156">
        <f>IFERROR(__xludf.DUMMYFUNCTION("""COMPUTED_VALUE"""),46101.0)</f>
        <v>46101</v>
      </c>
      <c r="G46" s="159">
        <f>IFERROR(__xludf.DUMMYFUNCTION("""COMPUTED_VALUE"""),115.0)</f>
        <v>115</v>
      </c>
      <c r="H46" s="222" t="str">
        <f>IFERROR(__xludf.DUMMYFUNCTION("""COMPUTED_VALUE"""),"PASADO")</f>
        <v>PASADO</v>
      </c>
      <c r="I46" s="173" t="str">
        <f t="shared" si="1"/>
        <v>NO PEDIDO</v>
      </c>
      <c r="J46" s="101"/>
      <c r="K46" s="220">
        <v>43.0</v>
      </c>
      <c r="L46" s="78">
        <f>IFERROR(__xludf.DUMMYFUNCTION("""COMPUTED_VALUE"""),2395.0)</f>
        <v>2395</v>
      </c>
      <c r="M46" s="221">
        <f>IFERROR(__xludf.DUMMYFUNCTION("""COMPUTED_VALUE"""),46446.0)</f>
        <v>46446</v>
      </c>
      <c r="N46" s="78" t="str">
        <f>IFERROR(__xludf.DUMMYFUNCTION("""COMPUTED_VALUE"""),"02-Medellin")</f>
        <v>02-Medellin</v>
      </c>
      <c r="O46" s="159">
        <f>IFERROR(__xludf.DUMMYFUNCTION("""COMPUTED_VALUE"""),4909.4)</f>
        <v>4909.4</v>
      </c>
      <c r="P46" s="222" t="str">
        <f>IFERROR(__xludf.DUMMYFUNCTION("""COMPUTED_VALUE"""),"PROXIMO")</f>
        <v>PROXIMO</v>
      </c>
      <c r="Q46" s="8" t="str">
        <f t="shared" si="2"/>
        <v>NO PEDIDO</v>
      </c>
      <c r="W46" s="237" t="str">
        <f>CALENDARIO!V57</f>
        <v/>
      </c>
      <c r="Y46" s="238">
        <f>IFERROR(__xludf.DUMMYFUNCTION("""COMPUTED_VALUE"""),2200.0)</f>
        <v>2200</v>
      </c>
      <c r="Z46" s="78">
        <f>IF(Y46="","",VLOOKUP(Y46,'BD LUB'!$A$2:$L$223,5,FALSE)/VLOOKUP(Y46,'BD LUB'!$A$2:$L$223,7,FALSE)+(VLOOKUP(Y46,'BD LUB'!$A$2:$L$223,6,FALSE)/VLOOKUP(Y46,'BD LUB'!$A$2:$L$223,8,FALSE)))</f>
        <v>1.776285556</v>
      </c>
      <c r="AA46" s="222">
        <f t="array" ref="AA46">IF(Y46="","",IFERROR(
  CHOOSE(
    MATCH(
      XLOOKUP(Y46,'BD MPP'!$B44:$B265,'BD MPP'!$I44:I265)&amp;"-"&amp;
      XLOOKUP(Y46,'BD MPP'!$B44:$B265,'BD MPP'!$J44:J265),
      {"PASADO-PASADO";
       "PASADO-PROXIMO";
       "PROXIMO-PASADO";
       "PASADO-VIGENTE";
       "VIGENTE-PASADO";
       "PROXIMO-PROXIMO";
       "PROXIMO-VIGENTE";
       "VIGENTE-PROXIMO";
       "VIGENTE-VIGENTE"},
      0
    ),
    1,2,2,3,3,4,5,5,6
  ),
"No definido"))</f>
        <v>2</v>
      </c>
      <c r="AB46" s="238">
        <f>IFERROR(__xludf.DUMMYFUNCTION("""COMPUTED_VALUE"""),2848.0)</f>
        <v>2848</v>
      </c>
      <c r="AC46" s="259">
        <f>IF(AB46="","",VLOOKUP(AB46,'BD LUB'!$A$2:$L$223,5,FALSE)/VLOOKUP(AB46,'BD LUB'!$A$2:$L$223,7,FALSE)+(VLOOKUP(AB46,'BD LUB'!$A$2:$L$223,6,FALSE)/VLOOKUP(AB46,'BD LUB'!$A$2:$L$223,8,FALSE)))</f>
        <v>1.176466667</v>
      </c>
      <c r="AD46" s="222">
        <f t="array" ref="AD46">IF(AB46="","",IFERROR(
  CHOOSE(
    MATCH(
      XLOOKUP(AB46,'BD MPP'!$B44:$B265,'BD MPP'!$I44:I265)&amp;"-"&amp;
      XLOOKUP(AB46,'BD MPP'!$B44:$B265,'BD MPP'!$J44:J265),
      {"PASADO-PASADO";
       "PASADO-PROXIMO";
       "PROXIMO-PASADO";
       "PASADO-VIGENTE";
       "VIGENTE-PASADO";
       "PROXIMO-PROXIMO";
       "PROXIMO-VIGENTE";
       "VIGENTE-PROXIMO";
       "VIGENTE-VIGENTE"},
      0
    ),
    1,2,2,3,3,4,5,5,6
  ),
"No definido"))</f>
        <v>2</v>
      </c>
      <c r="AE46" s="238">
        <f>IFERROR(__xludf.DUMMYFUNCTION("""COMPUTED_VALUE"""),2660.0)</f>
        <v>2660</v>
      </c>
      <c r="AF46" s="78"/>
      <c r="AG46" s="78"/>
      <c r="AH46" s="222"/>
    </row>
    <row r="47">
      <c r="A47" s="120"/>
      <c r="B47" s="220">
        <v>44.0</v>
      </c>
      <c r="C47" s="78">
        <f>IFERROR(__xludf.DUMMYFUNCTION("""COMPUTED_VALUE"""),2394.0)</f>
        <v>2394</v>
      </c>
      <c r="D47" s="221">
        <f>IFERROR(__xludf.DUMMYFUNCTION("""COMPUTED_VALUE"""),46467.0)</f>
        <v>46467</v>
      </c>
      <c r="E47" s="78" t="str">
        <f>IFERROR(__xludf.DUMMYFUNCTION("""COMPUTED_VALUE"""),"MAYORCA")</f>
        <v>MAYORCA</v>
      </c>
      <c r="F47" s="156">
        <f>IFERROR(__xludf.DUMMYFUNCTION("""COMPUTED_VALUE"""),46101.0)</f>
        <v>46101</v>
      </c>
      <c r="G47" s="159">
        <f>IFERROR(__xludf.DUMMYFUNCTION("""COMPUTED_VALUE"""),115.0)</f>
        <v>115</v>
      </c>
      <c r="H47" s="222" t="str">
        <f>IFERROR(__xludf.DUMMYFUNCTION("""COMPUTED_VALUE"""),"PASADO")</f>
        <v>PASADO</v>
      </c>
      <c r="I47" s="173" t="str">
        <f t="shared" si="1"/>
        <v>NO PEDIDO</v>
      </c>
      <c r="J47" s="101"/>
      <c r="K47" s="220">
        <v>44.0</v>
      </c>
      <c r="L47" s="78">
        <f>IFERROR(__xludf.DUMMYFUNCTION("""COMPUTED_VALUE"""),2661.0)</f>
        <v>2661</v>
      </c>
      <c r="M47" s="221">
        <f>IFERROR(__xludf.DUMMYFUNCTION("""COMPUTED_VALUE"""),46489.0)</f>
        <v>46489</v>
      </c>
      <c r="N47" s="78" t="str">
        <f>IFERROR(__xludf.DUMMYFUNCTION("""COMPUTED_VALUE"""),"02-Medellin")</f>
        <v>02-Medellin</v>
      </c>
      <c r="O47" s="159">
        <f>IFERROR(__xludf.DUMMYFUNCTION("""COMPUTED_VALUE"""),4855.9)</f>
        <v>4855.9</v>
      </c>
      <c r="P47" s="222" t="str">
        <f>IFERROR(__xludf.DUMMYFUNCTION("""COMPUTED_VALUE"""),"PROXIMO")</f>
        <v>PROXIMO</v>
      </c>
      <c r="Q47" s="8" t="str">
        <f t="shared" si="2"/>
        <v>NO PEDIDO</v>
      </c>
      <c r="W47" s="237" t="str">
        <f>CALENDARIO!V58</f>
        <v/>
      </c>
      <c r="Y47" s="238">
        <f>IFERROR(__xludf.DUMMYFUNCTION("""COMPUTED_VALUE"""),2859.0)</f>
        <v>2859</v>
      </c>
      <c r="Z47" s="78">
        <f>IF(Y47="","",VLOOKUP(Y47,'BD LUB'!$A$2:$L$223,5,FALSE)/VLOOKUP(Y47,'BD LUB'!$A$2:$L$223,7,FALSE)+(VLOOKUP(Y47,'BD LUB'!$A$2:$L$223,6,FALSE)/VLOOKUP(Y47,'BD LUB'!$A$2:$L$223,8,FALSE)))</f>
        <v>1.816088889</v>
      </c>
      <c r="AA47" s="222">
        <f t="array" ref="AA47">IF(Y47="","",IFERROR(
  CHOOSE(
    MATCH(
      XLOOKUP(Y47,'BD MPP'!$B45:$B266,'BD MPP'!$I45:I266)&amp;"-"&amp;
      XLOOKUP(Y47,'BD MPP'!$B45:$B266,'BD MPP'!$J45:J266),
      {"PASADO-PASADO";
       "PASADO-PROXIMO";
       "PROXIMO-PASADO";
       "PASADO-VIGENTE";
       "VIGENTE-PASADO";
       "PROXIMO-PROXIMO";
       "PROXIMO-VIGENTE";
       "VIGENTE-PROXIMO";
       "VIGENTE-VIGENTE"},
      0
    ),
    1,2,2,3,3,4,5,5,6
  ),
"No definido"))</f>
        <v>3</v>
      </c>
      <c r="AB47" s="238">
        <f>IFERROR(__xludf.DUMMYFUNCTION("""COMPUTED_VALUE"""),2679.0)</f>
        <v>2679</v>
      </c>
      <c r="AC47" s="259">
        <f>IF(AB47="","",VLOOKUP(AB47,'BD LUB'!$A$2:$L$223,5,FALSE)/VLOOKUP(AB47,'BD LUB'!$A$2:$L$223,7,FALSE)+(VLOOKUP(AB47,'BD LUB'!$A$2:$L$223,6,FALSE)/VLOOKUP(AB47,'BD LUB'!$A$2:$L$223,8,FALSE)))</f>
        <v>0.4686577778</v>
      </c>
      <c r="AD47" s="222">
        <f t="array" ref="AD47">IF(AB47="","",IFERROR(
  CHOOSE(
    MATCH(
      XLOOKUP(AB47,'BD MPP'!$B45:$B266,'BD MPP'!$I45:I266)&amp;"-"&amp;
      XLOOKUP(AB47,'BD MPP'!$B45:$B266,'BD MPP'!$J45:J266),
      {"PASADO-PASADO";
       "PASADO-PROXIMO";
       "PROXIMO-PASADO";
       "PASADO-VIGENTE";
       "VIGENTE-PASADO";
       "PROXIMO-PROXIMO";
       "PROXIMO-VIGENTE";
       "VIGENTE-PROXIMO";
       "VIGENTE-VIGENTE"},
      0
    ),
    1,2,2,3,3,4,5,5,6
  ),
"No definido"))</f>
        <v>3</v>
      </c>
      <c r="AE47" s="238">
        <f>IFERROR(__xludf.DUMMYFUNCTION("""COMPUTED_VALUE"""),657.0)</f>
        <v>657</v>
      </c>
      <c r="AF47" s="78"/>
      <c r="AG47" s="78"/>
      <c r="AH47" s="222"/>
    </row>
    <row r="48">
      <c r="A48" s="120"/>
      <c r="B48" s="220">
        <v>45.0</v>
      </c>
      <c r="C48" s="78">
        <f>IFERROR(__xludf.DUMMYFUNCTION("""COMPUTED_VALUE"""),2339.0)</f>
        <v>2339</v>
      </c>
      <c r="D48" s="221">
        <f>IFERROR(__xludf.DUMMYFUNCTION("""COMPUTED_VALUE"""),46572.0)</f>
        <v>46572</v>
      </c>
      <c r="E48" s="78" t="str">
        <f>IFERROR(__xludf.DUMMYFUNCTION("""COMPUTED_VALUE"""),"02-Medellin")</f>
        <v>02-Medellin</v>
      </c>
      <c r="F48" s="156">
        <f>IFERROR(__xludf.DUMMYFUNCTION("""COMPUTED_VALUE"""),46101.0)</f>
        <v>46101</v>
      </c>
      <c r="G48" s="159">
        <f>IFERROR(__xludf.DUMMYFUNCTION("""COMPUTED_VALUE"""),115.0)</f>
        <v>115</v>
      </c>
      <c r="H48" s="222" t="str">
        <f>IFERROR(__xludf.DUMMYFUNCTION("""COMPUTED_VALUE"""),"PASADO")</f>
        <v>PASADO</v>
      </c>
      <c r="I48" s="173" t="str">
        <f t="shared" si="1"/>
        <v>HECHO</v>
      </c>
      <c r="J48" s="101"/>
      <c r="K48" s="220">
        <v>45.0</v>
      </c>
      <c r="L48" s="78">
        <f>IFERROR(__xludf.DUMMYFUNCTION("""COMPUTED_VALUE"""),2462.0)</f>
        <v>2462</v>
      </c>
      <c r="M48" s="221">
        <f>IFERROR(__xludf.DUMMYFUNCTION("""COMPUTED_VALUE"""),46299.0)</f>
        <v>46299</v>
      </c>
      <c r="N48" s="78" t="str">
        <f>IFERROR(__xludf.DUMMYFUNCTION("""COMPUTED_VALUE"""),"02-Medellin")</f>
        <v>02-Medellin</v>
      </c>
      <c r="O48" s="159">
        <f>IFERROR(__xludf.DUMMYFUNCTION("""COMPUTED_VALUE"""),4834.2)</f>
        <v>4834.2</v>
      </c>
      <c r="P48" s="222" t="str">
        <f>IFERROR(__xludf.DUMMYFUNCTION("""COMPUTED_VALUE"""),"PROXIMO")</f>
        <v>PROXIMO</v>
      </c>
      <c r="Q48" s="8" t="str">
        <f t="shared" si="2"/>
        <v>NO PEDIDO</v>
      </c>
      <c r="W48" s="237" t="str">
        <f>CALENDARIO!V59</f>
        <v/>
      </c>
      <c r="Y48" s="238">
        <f>IFERROR(__xludf.DUMMYFUNCTION("""COMPUTED_VALUE"""),2490.0)</f>
        <v>2490</v>
      </c>
      <c r="Z48" s="78">
        <f>IF(Y48="","",VLOOKUP(Y48,'BD LUB'!$A$2:$L$223,5,FALSE)/VLOOKUP(Y48,'BD LUB'!$A$2:$L$223,7,FALSE)+(VLOOKUP(Y48,'BD LUB'!$A$2:$L$223,6,FALSE)/VLOOKUP(Y48,'BD LUB'!$A$2:$L$223,8,FALSE)))</f>
        <v>1.661555556</v>
      </c>
      <c r="AA48" s="222">
        <f t="array" ref="AA48">IF(Y48="","",IFERROR(
  CHOOSE(
    MATCH(
      XLOOKUP(Y48,'BD MPP'!$B46:$B267,'BD MPP'!$I46:I267)&amp;"-"&amp;
      XLOOKUP(Y48,'BD MPP'!$B46:$B267,'BD MPP'!$J46:J267),
      {"PASADO-PASADO";
       "PASADO-PROXIMO";
       "PROXIMO-PASADO";
       "PASADO-VIGENTE";
       "VIGENTE-PASADO";
       "PROXIMO-PROXIMO";
       "PROXIMO-VIGENTE";
       "VIGENTE-PROXIMO";
       "VIGENTE-VIGENTE"},
      0
    ),
    1,2,2,3,3,4,5,5,6
  ),
"No definido"))</f>
        <v>3</v>
      </c>
      <c r="AB48" s="238">
        <f>IFERROR(__xludf.DUMMYFUNCTION("""COMPUTED_VALUE"""),2484.0)</f>
        <v>2484</v>
      </c>
      <c r="AC48" s="259">
        <f>IF(AB48="","",VLOOKUP(AB48,'BD LUB'!$A$2:$L$223,5,FALSE)/VLOOKUP(AB48,'BD LUB'!$A$2:$L$223,7,FALSE)+(VLOOKUP(AB48,'BD LUB'!$A$2:$L$223,6,FALSE)/VLOOKUP(AB48,'BD LUB'!$A$2:$L$223,8,FALSE)))</f>
        <v>2.051406667</v>
      </c>
      <c r="AD48" s="222">
        <f t="array" ref="AD48">IF(AB48="","",IFERROR(
  CHOOSE(
    MATCH(
      XLOOKUP(AB48,'BD MPP'!$B46:$B267,'BD MPP'!$I46:I267)&amp;"-"&amp;
      XLOOKUP(AB48,'BD MPP'!$B46:$B267,'BD MPP'!$J46:J267),
      {"PASADO-PASADO";
       "PASADO-PROXIMO";
       "PROXIMO-PASADO";
       "PASADO-VIGENTE";
       "VIGENTE-PASADO";
       "PROXIMO-PROXIMO";
       "PROXIMO-VIGENTE";
       "VIGENTE-PROXIMO";
       "VIGENTE-VIGENTE"},
      0
    ),
    1,2,2,3,3,4,5,5,6
  ),
"No definido"))</f>
        <v>3</v>
      </c>
      <c r="AE48" s="238">
        <f>IFERROR(__xludf.DUMMYFUNCTION("""COMPUTED_VALUE"""),2355.0)</f>
        <v>2355</v>
      </c>
      <c r="AF48" s="78"/>
      <c r="AG48" s="78"/>
      <c r="AH48" s="222"/>
    </row>
    <row r="49">
      <c r="A49" s="120"/>
      <c r="B49" s="220">
        <v>46.0</v>
      </c>
      <c r="C49" s="78">
        <f>IFERROR(__xludf.DUMMYFUNCTION("""COMPUTED_VALUE"""),2657.0)</f>
        <v>2657</v>
      </c>
      <c r="D49" s="221">
        <f>IFERROR(__xludf.DUMMYFUNCTION("""COMPUTED_VALUE"""),46486.0)</f>
        <v>46486</v>
      </c>
      <c r="E49" s="78" t="str">
        <f>IFERROR(__xludf.DUMMYFUNCTION("""COMPUTED_VALUE"""),"MAYORCA")</f>
        <v>MAYORCA</v>
      </c>
      <c r="F49" s="156">
        <f>IFERROR(__xludf.DUMMYFUNCTION("""COMPUTED_VALUE"""),46105.0)</f>
        <v>46105</v>
      </c>
      <c r="G49" s="159">
        <f>IFERROR(__xludf.DUMMYFUNCTION("""COMPUTED_VALUE"""),111.0)</f>
        <v>111</v>
      </c>
      <c r="H49" s="222" t="str">
        <f>IFERROR(__xludf.DUMMYFUNCTION("""COMPUTED_VALUE"""),"PASADO")</f>
        <v>PASADO</v>
      </c>
      <c r="I49" s="173" t="str">
        <f t="shared" si="1"/>
        <v>NO PEDIDO</v>
      </c>
      <c r="J49" s="101"/>
      <c r="K49" s="220">
        <v>46.0</v>
      </c>
      <c r="L49" s="78">
        <f>IFERROR(__xludf.DUMMYFUNCTION("""COMPUTED_VALUE"""),2848.0)</f>
        <v>2848</v>
      </c>
      <c r="M49" s="221">
        <f>IFERROR(__xludf.DUMMYFUNCTION("""COMPUTED_VALUE"""),46561.0)</f>
        <v>46561</v>
      </c>
      <c r="N49" s="78" t="str">
        <f>IFERROR(__xludf.DUMMYFUNCTION("""COMPUTED_VALUE"""),"02-Medellin")</f>
        <v>02-Medellin</v>
      </c>
      <c r="O49" s="159">
        <f>IFERROR(__xludf.DUMMYFUNCTION("""COMPUTED_VALUE"""),4813.0)</f>
        <v>4813</v>
      </c>
      <c r="P49" s="222" t="str">
        <f>IFERROR(__xludf.DUMMYFUNCTION("""COMPUTED_VALUE"""),"PROXIMO")</f>
        <v>PROXIMO</v>
      </c>
      <c r="Q49" s="8" t="str">
        <f t="shared" si="2"/>
        <v>NO PEDIDO</v>
      </c>
      <c r="W49" s="237" t="str">
        <f>CALENDARIO!V60</f>
        <v/>
      </c>
      <c r="Y49" s="238">
        <f>IFERROR(__xludf.DUMMYFUNCTION("""COMPUTED_VALUE"""),3281.0)</f>
        <v>3281</v>
      </c>
      <c r="Z49" s="78">
        <f>IF(Y49="","",VLOOKUP(Y49,'BD LUB'!$A$2:$L$223,5,FALSE)/VLOOKUP(Y49,'BD LUB'!$A$2:$L$223,7,FALSE)+(VLOOKUP(Y49,'BD LUB'!$A$2:$L$223,6,FALSE)/VLOOKUP(Y49,'BD LUB'!$A$2:$L$223,8,FALSE)))</f>
        <v>1.849666667</v>
      </c>
      <c r="AA49" s="222" t="str">
        <f t="array" ref="AA49">IF(Y49="","",IFERROR(
  CHOOSE(
    MATCH(
      XLOOKUP(Y49,'BD MPP'!$B47:$B268,'BD MPP'!$I47:I268)&amp;"-"&amp;
      XLOOKUP(Y49,'BD MPP'!$B47:$B268,'BD MPP'!$J47:J268),
      {"PASADO-PASADO";
       "PASADO-PROXIMO";
       "PROXIMO-PASADO";
       "PASADO-VIGENTE";
       "VIGENTE-PASADO";
       "PROXIMO-PROXIMO";
       "PROXIMO-VIGENTE";
       "VIGENTE-PROXIMO";
       "VIGENTE-VIGENTE"},
      0
    ),
    1,2,2,3,3,4,5,5,6
  ),
"No definido"))</f>
        <v>No definido</v>
      </c>
      <c r="AB49" s="238">
        <f>IFERROR(__xludf.DUMMYFUNCTION("""COMPUTED_VALUE"""),2404.0)</f>
        <v>2404</v>
      </c>
      <c r="AC49" s="259">
        <f>IF(AB49="","",VLOOKUP(AB49,'BD LUB'!$A$2:$L$223,5,FALSE)/VLOOKUP(AB49,'BD LUB'!$A$2:$L$223,7,FALSE)+(VLOOKUP(AB49,'BD LUB'!$A$2:$L$223,6,FALSE)/VLOOKUP(AB49,'BD LUB'!$A$2:$L$223,8,FALSE)))</f>
        <v>0.5796511111</v>
      </c>
      <c r="AD49" s="222">
        <f t="array" ref="AD49">IF(AB49="","",IFERROR(
  CHOOSE(
    MATCH(
      XLOOKUP(AB49,'BD MPP'!$B47:$B268,'BD MPP'!$I47:I268)&amp;"-"&amp;
      XLOOKUP(AB49,'BD MPP'!$B47:$B268,'BD MPP'!$J47:J268),
      {"PASADO-PASADO";
       "PASADO-PROXIMO";
       "PROXIMO-PASADO";
       "PASADO-VIGENTE";
       "VIGENTE-PASADO";
       "PROXIMO-PROXIMO";
       "PROXIMO-VIGENTE";
       "VIGENTE-PROXIMO";
       "VIGENTE-VIGENTE"},
      0
    ),
    1,2,2,3,3,4,5,5,6
  ),
"No definido"))</f>
        <v>3</v>
      </c>
      <c r="AE49" s="238">
        <f>IFERROR(__xludf.DUMMYFUNCTION("""COMPUTED_VALUE"""),2856.0)</f>
        <v>2856</v>
      </c>
      <c r="AF49" s="78"/>
      <c r="AG49" s="78"/>
      <c r="AH49" s="222"/>
    </row>
    <row r="50">
      <c r="A50" s="120"/>
      <c r="B50" s="220">
        <v>47.0</v>
      </c>
      <c r="C50" s="78">
        <f>IFERROR(__xludf.DUMMYFUNCTION("""COMPUTED_VALUE"""),2892.0)</f>
        <v>2892</v>
      </c>
      <c r="D50" s="221">
        <f>IFERROR(__xludf.DUMMYFUNCTION("""COMPUTED_VALUE"""),46242.0)</f>
        <v>46242</v>
      </c>
      <c r="E50" s="78" t="str">
        <f>IFERROR(__xludf.DUMMYFUNCTION("""COMPUTED_VALUE"""),"24-Rionegro")</f>
        <v>24-Rionegro</v>
      </c>
      <c r="F50" s="156">
        <f>IFERROR(__xludf.DUMMYFUNCTION("""COMPUTED_VALUE"""),46106.0)</f>
        <v>46106</v>
      </c>
      <c r="G50" s="159">
        <f>IFERROR(__xludf.DUMMYFUNCTION("""COMPUTED_VALUE"""),110.0)</f>
        <v>110</v>
      </c>
      <c r="H50" s="222" t="str">
        <f>IFERROR(__xludf.DUMMYFUNCTION("""COMPUTED_VALUE"""),"PASADO")</f>
        <v>PASADO</v>
      </c>
      <c r="I50" s="173" t="str">
        <f t="shared" si="1"/>
        <v>NO PEDIDO</v>
      </c>
      <c r="J50" s="101"/>
      <c r="K50" s="220">
        <v>47.0</v>
      </c>
      <c r="L50" s="78">
        <f>IFERROR(__xludf.DUMMYFUNCTION("""COMPUTED_VALUE"""),2379.0)</f>
        <v>2379</v>
      </c>
      <c r="M50" s="221">
        <f>IFERROR(__xludf.DUMMYFUNCTION("""COMPUTED_VALUE"""),46457.0)</f>
        <v>46457</v>
      </c>
      <c r="N50" s="78" t="str">
        <f>IFERROR(__xludf.DUMMYFUNCTION("""COMPUTED_VALUE"""),"31-Copacabana QUIMICOS")</f>
        <v>31-Copacabana QUIMICOS</v>
      </c>
      <c r="O50" s="159">
        <f>IFERROR(__xludf.DUMMYFUNCTION("""COMPUTED_VALUE"""),4798.0)</f>
        <v>4798</v>
      </c>
      <c r="P50" s="222" t="str">
        <f>IFERROR(__xludf.DUMMYFUNCTION("""COMPUTED_VALUE"""),"PROXIMO")</f>
        <v>PROXIMO</v>
      </c>
      <c r="Q50" s="8" t="str">
        <f t="shared" si="2"/>
        <v>NO PEDIDO</v>
      </c>
      <c r="W50" s="237" t="str">
        <f>CALENDARIO!V61</f>
        <v/>
      </c>
      <c r="Y50" s="238">
        <f>IFERROR(__xludf.DUMMYFUNCTION("""COMPUTED_VALUE"""),2923.0)</f>
        <v>2923</v>
      </c>
      <c r="Z50" s="78">
        <f>IF(Y50="","",VLOOKUP(Y50,'BD LUB'!$A$2:$L$223,5,FALSE)/VLOOKUP(Y50,'BD LUB'!$A$2:$L$223,7,FALSE)+(VLOOKUP(Y50,'BD LUB'!$A$2:$L$223,6,FALSE)/VLOOKUP(Y50,'BD LUB'!$A$2:$L$223,8,FALSE)))</f>
        <v>1.6438</v>
      </c>
      <c r="AA50" s="260" t="str">
        <f t="array" ref="AA50">IF(Y50="","",IFERROR(
  CHOOSE(
    MATCH(
      XLOOKUP(Y50,'BD MPP'!$B48:$B269,'BD MPP'!$I48:I269)&amp;"-"&amp;
      XLOOKUP(Y50,'BD MPP'!$B48:$B269,'BD MPP'!$J48:J269),
      {"PASADO-PASADO";
       "PASADO-PROXIMO";
       "PROXIMO-PASADO";
       "PASADO-VIGENTE";
       "VIGENTE-PASADO";
       "PROXIMO-PROXIMO";
       "PROXIMO-VIGENTE";
       "VIGENTE-PROXIMO";
       "VIGENTE-VIGENTE"},
      0
    ),
    1,2,2,3,3,4,5,5,6
  ),
"No definido"))</f>
        <v>No definido</v>
      </c>
      <c r="AB50" s="238">
        <f>IFERROR(__xludf.DUMMYFUNCTION("""COMPUTED_VALUE"""),2366.0)</f>
        <v>2366</v>
      </c>
      <c r="AC50" s="259">
        <f>IF(AB50="","",VLOOKUP(AB50,'BD LUB'!$A$2:$L$223,5,FALSE)/VLOOKUP(AB50,'BD LUB'!$A$2:$L$223,7,FALSE)+(VLOOKUP(AB50,'BD LUB'!$A$2:$L$223,6,FALSE)/VLOOKUP(AB50,'BD LUB'!$A$2:$L$223,8,FALSE)))</f>
        <v>0.8866077778</v>
      </c>
      <c r="AD50" s="222">
        <f t="array" ref="AD50">IF(AB50="","",IFERROR(
  CHOOSE(
    MATCH(
      XLOOKUP(AB50,'BD MPP'!$B48:$B269,'BD MPP'!$I48:I269)&amp;"-"&amp;
      XLOOKUP(AB50,'BD MPP'!$B48:$B269,'BD MPP'!$J48:J269),
      {"PASADO-PASADO";
       "PASADO-PROXIMO";
       "PROXIMO-PASADO";
       "PASADO-VIGENTE";
       "VIGENTE-PASADO";
       "PROXIMO-PROXIMO";
       "PROXIMO-VIGENTE";
       "VIGENTE-PROXIMO";
       "VIGENTE-VIGENTE"},
      0
    ),
    1,2,2,3,3,4,5,5,6
  ),
"No definido"))</f>
        <v>3</v>
      </c>
      <c r="AE50" s="261">
        <f>IFERROR(__xludf.DUMMYFUNCTION("""COMPUTED_VALUE"""),2400.0)</f>
        <v>2400</v>
      </c>
      <c r="AF50" s="78"/>
      <c r="AG50" s="78"/>
      <c r="AH50" s="222"/>
    </row>
    <row r="51">
      <c r="A51" s="120"/>
      <c r="B51" s="220">
        <v>48.0</v>
      </c>
      <c r="C51" s="78">
        <f>IFERROR(__xludf.DUMMYFUNCTION("""COMPUTED_VALUE"""),2854.0)</f>
        <v>2854</v>
      </c>
      <c r="D51" s="221">
        <f>IFERROR(__xludf.DUMMYFUNCTION("""COMPUTED_VALUE"""),46575.0)</f>
        <v>46575</v>
      </c>
      <c r="E51" s="78" t="str">
        <f>IFERROR(__xludf.DUMMYFUNCTION("""COMPUTED_VALUE"""),"02-Medellin")</f>
        <v>02-Medellin</v>
      </c>
      <c r="F51" s="156">
        <f>IFERROR(__xludf.DUMMYFUNCTION("""COMPUTED_VALUE"""),46106.0)</f>
        <v>46106</v>
      </c>
      <c r="G51" s="159">
        <f>IFERROR(__xludf.DUMMYFUNCTION("""COMPUTED_VALUE"""),110.0)</f>
        <v>110</v>
      </c>
      <c r="H51" s="222" t="str">
        <f>IFERROR(__xludf.DUMMYFUNCTION("""COMPUTED_VALUE"""),"PASADO")</f>
        <v>PASADO</v>
      </c>
      <c r="I51" s="173" t="str">
        <f t="shared" si="1"/>
        <v>NO PEDIDO</v>
      </c>
      <c r="J51" s="101"/>
      <c r="K51" s="220">
        <v>48.0</v>
      </c>
      <c r="L51" s="78">
        <f>IFERROR(__xludf.DUMMYFUNCTION("""COMPUTED_VALUE"""),2847.0)</f>
        <v>2847</v>
      </c>
      <c r="M51" s="221">
        <f>IFERROR(__xludf.DUMMYFUNCTION("""COMPUTED_VALUE"""),46559.0)</f>
        <v>46559</v>
      </c>
      <c r="N51" s="78" t="str">
        <f>IFERROR(__xludf.DUMMYFUNCTION("""COMPUTED_VALUE"""),"31-Copacabana")</f>
        <v>31-Copacabana</v>
      </c>
      <c r="O51" s="159">
        <f>IFERROR(__xludf.DUMMYFUNCTION("""COMPUTED_VALUE"""),4794.0)</f>
        <v>4794</v>
      </c>
      <c r="P51" s="222" t="str">
        <f>IFERROR(__xludf.DUMMYFUNCTION("""COMPUTED_VALUE"""),"PROXIMO")</f>
        <v>PROXIMO</v>
      </c>
      <c r="Q51" s="8" t="str">
        <f t="shared" si="2"/>
        <v>NO PEDIDO</v>
      </c>
      <c r="W51" s="237" t="str">
        <f>CALENDARIO!V62</f>
        <v/>
      </c>
      <c r="Y51" s="238">
        <f>IFERROR(__xludf.DUMMYFUNCTION("""COMPUTED_VALUE"""),2895.0)</f>
        <v>2895</v>
      </c>
      <c r="Z51" s="78">
        <f>IF(Y51="","",VLOOKUP(Y51,'BD LUB'!$A$2:$L$223,5,FALSE)/VLOOKUP(Y51,'BD LUB'!$A$2:$L$223,7,FALSE)+(VLOOKUP(Y51,'BD LUB'!$A$2:$L$223,6,FALSE)/VLOOKUP(Y51,'BD LUB'!$A$2:$L$223,8,FALSE)))</f>
        <v>1.195933333</v>
      </c>
      <c r="AA51" s="260">
        <f t="array" ref="AA51">IF(Y51="","",IFERROR(
  CHOOSE(
    MATCH(
      XLOOKUP(Y51,'BD MPP'!$B49:$B270,'BD MPP'!$I49:I270)&amp;"-"&amp;
      XLOOKUP(Y51,'BD MPP'!$B49:$B270,'BD MPP'!$J49:J270),
      {"PASADO-PASADO";
       "PASADO-PROXIMO";
       "PROXIMO-PASADO";
       "PASADO-VIGENTE";
       "VIGENTE-PASADO";
       "PROXIMO-PROXIMO";
       "PROXIMO-VIGENTE";
       "VIGENTE-PROXIMO";
       "VIGENTE-VIGENTE"},
      0
    ),
    1,2,2,3,3,4,5,5,6
  ),
"No definido"))</f>
        <v>1</v>
      </c>
      <c r="AB51" s="238">
        <f>IFERROR(__xludf.DUMMYFUNCTION("""COMPUTED_VALUE"""),2200.0)</f>
        <v>2200</v>
      </c>
      <c r="AC51" s="259">
        <f>IF(AB51="","",VLOOKUP(AB51,'BD LUB'!$A$2:$L$223,5,FALSE)/VLOOKUP(AB51,'BD LUB'!$A$2:$L$223,7,FALSE)+(VLOOKUP(AB51,'BD LUB'!$A$2:$L$223,6,FALSE)/VLOOKUP(AB51,'BD LUB'!$A$2:$L$223,8,FALSE)))</f>
        <v>1.776285556</v>
      </c>
      <c r="AD51" s="222">
        <f t="array" ref="AD51">IF(AB51="","",IFERROR(
  CHOOSE(
    MATCH(
      XLOOKUP(AB51,'BD MPP'!$B49:$B270,'BD MPP'!$I49:I270)&amp;"-"&amp;
      XLOOKUP(AB51,'BD MPP'!$B49:$B270,'BD MPP'!$J49:J270),
      {"PASADO-PASADO";
       "PASADO-PROXIMO";
       "PROXIMO-PASADO";
       "PASADO-VIGENTE";
       "VIGENTE-PASADO";
       "PROXIMO-PROXIMO";
       "PROXIMO-VIGENTE";
       "VIGENTE-PROXIMO";
       "VIGENTE-VIGENTE"},
      0
    ),
    1,2,2,3,3,4,5,5,6
  ),
"No definido"))</f>
        <v>2</v>
      </c>
      <c r="AE51" s="261">
        <f>IFERROR(__xludf.DUMMYFUNCTION("""COMPUTED_VALUE"""),2657.0)</f>
        <v>2657</v>
      </c>
      <c r="AF51" s="78"/>
      <c r="AG51" s="78"/>
      <c r="AH51" s="222"/>
    </row>
    <row r="52">
      <c r="A52" s="120"/>
      <c r="B52" s="220">
        <v>49.0</v>
      </c>
      <c r="C52" s="78">
        <f>IFERROR(__xludf.DUMMYFUNCTION("""COMPUTED_VALUE"""),2851.0)</f>
        <v>2851</v>
      </c>
      <c r="D52" s="221">
        <f>IFERROR(__xludf.DUMMYFUNCTION("""COMPUTED_VALUE"""),46569.0)</f>
        <v>46569</v>
      </c>
      <c r="E52" s="78" t="str">
        <f>IFERROR(__xludf.DUMMYFUNCTION("""COMPUTED_VALUE"""),"02-Medellin")</f>
        <v>02-Medellin</v>
      </c>
      <c r="F52" s="156">
        <f>IFERROR(__xludf.DUMMYFUNCTION("""COMPUTED_VALUE"""),46106.0)</f>
        <v>46106</v>
      </c>
      <c r="G52" s="159">
        <f>IFERROR(__xludf.DUMMYFUNCTION("""COMPUTED_VALUE"""),110.0)</f>
        <v>110</v>
      </c>
      <c r="H52" s="222" t="str">
        <f>IFERROR(__xludf.DUMMYFUNCTION("""COMPUTED_VALUE"""),"PASADO")</f>
        <v>PASADO</v>
      </c>
      <c r="I52" s="173" t="str">
        <f t="shared" si="1"/>
        <v>NO PEDIDO</v>
      </c>
      <c r="J52" s="101"/>
      <c r="K52" s="220">
        <v>49.0</v>
      </c>
      <c r="L52" s="78">
        <f>IFERROR(__xludf.DUMMYFUNCTION("""COMPUTED_VALUE"""),2200.0)</f>
        <v>2200</v>
      </c>
      <c r="M52" s="221">
        <f>IFERROR(__xludf.DUMMYFUNCTION("""COMPUTED_VALUE"""),46478.0)</f>
        <v>46478</v>
      </c>
      <c r="N52" s="78" t="str">
        <f>IFERROR(__xludf.DUMMYFUNCTION("""COMPUTED_VALUE"""),"BULTOS")</f>
        <v>BULTOS</v>
      </c>
      <c r="O52" s="159">
        <f>IFERROR(__xludf.DUMMYFUNCTION("""COMPUTED_VALUE"""),4760.8)</f>
        <v>4760.8</v>
      </c>
      <c r="P52" s="222" t="str">
        <f>IFERROR(__xludf.DUMMYFUNCTION("""COMPUTED_VALUE"""),"PROXIMO")</f>
        <v>PROXIMO</v>
      </c>
      <c r="Q52" s="8" t="str">
        <f t="shared" si="2"/>
        <v>NO PEDIDO</v>
      </c>
      <c r="W52" s="237" t="str">
        <f>CALENDARIO!V63</f>
        <v/>
      </c>
      <c r="Y52" s="238">
        <f>IFERROR(__xludf.DUMMYFUNCTION("""COMPUTED_VALUE"""),2850.0)</f>
        <v>2850</v>
      </c>
      <c r="Z52" s="78">
        <f>IF(Y52="","",VLOOKUP(Y52,'BD LUB'!$A$2:$L$223,5,FALSE)/VLOOKUP(Y52,'BD LUB'!$A$2:$L$223,7,FALSE)+(VLOOKUP(Y52,'BD LUB'!$A$2:$L$223,6,FALSE)/VLOOKUP(Y52,'BD LUB'!$A$2:$L$223,8,FALSE)))</f>
        <v>1.517933333</v>
      </c>
      <c r="AA52" s="260">
        <f t="array" ref="AA52">IF(Y52="","",IFERROR(
  CHOOSE(
    MATCH(
      XLOOKUP(Y52,'BD MPP'!$B50:$B271,'BD MPP'!$I50:I271)&amp;"-"&amp;
      XLOOKUP(Y52,'BD MPP'!$B50:$B271,'BD MPP'!$J50:J271),
      {"PASADO-PASADO";
       "PASADO-PROXIMO";
       "PROXIMO-PASADO";
       "PASADO-VIGENTE";
       "VIGENTE-PASADO";
       "PROXIMO-PROXIMO";
       "PROXIMO-VIGENTE";
       "VIGENTE-PROXIMO";
       "VIGENTE-VIGENTE"},
      0
    ),
    1,2,2,3,3,4,5,5,6
  ),
"No definido"))</f>
        <v>2</v>
      </c>
      <c r="AB52" s="238">
        <f>IFERROR(__xludf.DUMMYFUNCTION("""COMPUTED_VALUE"""),2859.0)</f>
        <v>2859</v>
      </c>
      <c r="AC52" s="259">
        <f>IF(AB52="","",VLOOKUP(AB52,'BD LUB'!$A$2:$L$223,5,FALSE)/VLOOKUP(AB52,'BD LUB'!$A$2:$L$223,7,FALSE)+(VLOOKUP(AB52,'BD LUB'!$A$2:$L$223,6,FALSE)/VLOOKUP(AB52,'BD LUB'!$A$2:$L$223,8,FALSE)))</f>
        <v>1.816088889</v>
      </c>
      <c r="AD52" s="222">
        <f t="array" ref="AD52">IF(AB52="","",IFERROR(
  CHOOSE(
    MATCH(
      XLOOKUP(AB52,'BD MPP'!$B50:$B271,'BD MPP'!$I50:I271)&amp;"-"&amp;
      XLOOKUP(AB52,'BD MPP'!$B50:$B271,'BD MPP'!$J50:J271),
      {"PASADO-PASADO";
       "PASADO-PROXIMO";
       "PROXIMO-PASADO";
       "PASADO-VIGENTE";
       "VIGENTE-PASADO";
       "PROXIMO-PROXIMO";
       "PROXIMO-VIGENTE";
       "VIGENTE-PROXIMO";
       "VIGENTE-VIGENTE"},
      0
    ),
    1,2,2,3,3,4,5,5,6
  ),
"No definido"))</f>
        <v>3</v>
      </c>
      <c r="AE52" s="261">
        <f>IFERROR(__xludf.DUMMYFUNCTION("""COMPUTED_VALUE"""),2457.0)</f>
        <v>2457</v>
      </c>
      <c r="AF52" s="78"/>
      <c r="AG52" s="78"/>
      <c r="AH52" s="222"/>
    </row>
    <row r="53">
      <c r="A53" s="120"/>
      <c r="B53" s="220">
        <v>50.0</v>
      </c>
      <c r="C53" s="78">
        <f>IFERROR(__xludf.DUMMYFUNCTION("""COMPUTED_VALUE"""),2862.0)</f>
        <v>2862</v>
      </c>
      <c r="D53" s="221">
        <f>IFERROR(__xludf.DUMMYFUNCTION("""COMPUTED_VALUE"""),46221.0)</f>
        <v>46221</v>
      </c>
      <c r="E53" s="78" t="str">
        <f>IFERROR(__xludf.DUMMYFUNCTION("""COMPUTED_VALUE"""),"02-Medellin")</f>
        <v>02-Medellin</v>
      </c>
      <c r="F53" s="156">
        <f>IFERROR(__xludf.DUMMYFUNCTION("""COMPUTED_VALUE"""),46108.0)</f>
        <v>46108</v>
      </c>
      <c r="G53" s="159">
        <f>IFERROR(__xludf.DUMMYFUNCTION("""COMPUTED_VALUE"""),108.0)</f>
        <v>108</v>
      </c>
      <c r="H53" s="222" t="str">
        <f>IFERROR(__xludf.DUMMYFUNCTION("""COMPUTED_VALUE"""),"PASADO")</f>
        <v>PASADO</v>
      </c>
      <c r="I53" s="173" t="str">
        <f t="shared" si="1"/>
        <v>NO PEDIDO</v>
      </c>
      <c r="J53" s="101"/>
      <c r="K53" s="220">
        <v>50.0</v>
      </c>
      <c r="L53" s="78">
        <f>IFERROR(__xludf.DUMMYFUNCTION("""COMPUTED_VALUE"""),2459.0)</f>
        <v>2459</v>
      </c>
      <c r="M53" s="221">
        <f>IFERROR(__xludf.DUMMYFUNCTION("""COMPUTED_VALUE"""),46301.0)</f>
        <v>46301</v>
      </c>
      <c r="N53" s="78" t="str">
        <f>IFERROR(__xludf.DUMMYFUNCTION("""COMPUTED_VALUE"""),"02-Medellin")</f>
        <v>02-Medellin</v>
      </c>
      <c r="O53" s="159">
        <f>IFERROR(__xludf.DUMMYFUNCTION("""COMPUTED_VALUE"""),4750.3)</f>
        <v>4750.3</v>
      </c>
      <c r="P53" s="222" t="str">
        <f>IFERROR(__xludf.DUMMYFUNCTION("""COMPUTED_VALUE"""),"PROXIMO")</f>
        <v>PROXIMO</v>
      </c>
      <c r="Q53" s="8" t="str">
        <f t="shared" si="2"/>
        <v>NO PEDIDO</v>
      </c>
      <c r="W53" s="237" t="str">
        <f>CALENDARIO!V64</f>
        <v/>
      </c>
      <c r="Y53" s="238">
        <f>IFERROR(__xludf.DUMMYFUNCTION("""COMPUTED_VALUE"""),2656.0)</f>
        <v>2656</v>
      </c>
      <c r="Z53" s="78">
        <f>IF(Y53="","",VLOOKUP(Y53,'BD LUB'!$A$2:$L$223,5,FALSE)/VLOOKUP(Y53,'BD LUB'!$A$2:$L$223,7,FALSE)+(VLOOKUP(Y53,'BD LUB'!$A$2:$L$223,6,FALSE)/VLOOKUP(Y53,'BD LUB'!$A$2:$L$223,8,FALSE)))</f>
        <v>0.4143444444</v>
      </c>
      <c r="AA53" s="260">
        <f t="array" ref="AA53">IF(Y53="","",IFERROR(
  CHOOSE(
    MATCH(
      XLOOKUP(Y53,'BD MPP'!$B51:$B272,'BD MPP'!$I51:I272)&amp;"-"&amp;
      XLOOKUP(Y53,'BD MPP'!$B51:$B272,'BD MPP'!$J51:J272),
      {"PASADO-PASADO";
       "PASADO-PROXIMO";
       "PROXIMO-PASADO";
       "PASADO-VIGENTE";
       "VIGENTE-PASADO";
       "PROXIMO-PROXIMO";
       "PROXIMO-VIGENTE";
       "VIGENTE-PROXIMO";
       "VIGENTE-VIGENTE"},
      0
    ),
    1,2,2,3,3,4,5,5,6
  ),
"No definido"))</f>
        <v>3</v>
      </c>
      <c r="AB53" s="238">
        <f>IFERROR(__xludf.DUMMYFUNCTION("""COMPUTED_VALUE"""),2490.0)</f>
        <v>2490</v>
      </c>
      <c r="AC53" s="259">
        <f>IF(AB53="","",VLOOKUP(AB53,'BD LUB'!$A$2:$L$223,5,FALSE)/VLOOKUP(AB53,'BD LUB'!$A$2:$L$223,7,FALSE)+(VLOOKUP(AB53,'BD LUB'!$A$2:$L$223,6,FALSE)/VLOOKUP(AB53,'BD LUB'!$A$2:$L$223,8,FALSE)))</f>
        <v>1.661555556</v>
      </c>
      <c r="AD53" s="222">
        <f t="array" ref="AD53">IF(AB53="","",IFERROR(
  CHOOSE(
    MATCH(
      XLOOKUP(AB53,'BD MPP'!$B51:$B272,'BD MPP'!$I51:I272)&amp;"-"&amp;
      XLOOKUP(AB53,'BD MPP'!$B51:$B272,'BD MPP'!$J51:J272),
      {"PASADO-PASADO";
       "PASADO-PROXIMO";
       "PROXIMO-PASADO";
       "PASADO-VIGENTE";
       "VIGENTE-PASADO";
       "PROXIMO-PROXIMO";
       "PROXIMO-VIGENTE";
       "VIGENTE-PROXIMO";
       "VIGENTE-VIGENTE"},
      0
    ),
    1,2,2,3,3,4,5,5,6
  ),
"No definido"))</f>
        <v>3</v>
      </c>
      <c r="AE53" s="261">
        <f>IFERROR(__xludf.DUMMYFUNCTION("""COMPUTED_VALUE"""),2862.0)</f>
        <v>2862</v>
      </c>
      <c r="AF53" s="78"/>
      <c r="AG53" s="78"/>
      <c r="AH53" s="222"/>
    </row>
    <row r="54">
      <c r="A54" s="120"/>
      <c r="B54" s="220">
        <v>51.0</v>
      </c>
      <c r="C54" s="255">
        <f>IFERROR(__xludf.DUMMYFUNCTION("""COMPUTED_VALUE"""),2853.0)</f>
        <v>2853</v>
      </c>
      <c r="D54" s="221">
        <f>IFERROR(__xludf.DUMMYFUNCTION("""COMPUTED_VALUE"""),46576.0)</f>
        <v>46576</v>
      </c>
      <c r="E54" s="78" t="str">
        <f>IFERROR(__xludf.DUMMYFUNCTION("""COMPUTED_VALUE"""),"BULTOS")</f>
        <v>BULTOS</v>
      </c>
      <c r="F54" s="156">
        <f>IFERROR(__xludf.DUMMYFUNCTION("""COMPUTED_VALUE"""),46108.0)</f>
        <v>46108</v>
      </c>
      <c r="G54" s="159">
        <f>IFERROR(__xludf.DUMMYFUNCTION("""COMPUTED_VALUE"""),108.0)</f>
        <v>108</v>
      </c>
      <c r="H54" s="222" t="str">
        <f>IFERROR(__xludf.DUMMYFUNCTION("""COMPUTED_VALUE"""),"PASADO")</f>
        <v>PASADO</v>
      </c>
      <c r="I54" s="173" t="str">
        <f t="shared" si="1"/>
        <v>NO PEDIDO</v>
      </c>
      <c r="J54" s="101"/>
      <c r="K54" s="220">
        <v>51.0</v>
      </c>
      <c r="L54" s="78">
        <f>IFERROR(__xludf.DUMMYFUNCTION("""COMPUTED_VALUE"""),2422.0)</f>
        <v>2422</v>
      </c>
      <c r="M54" s="221">
        <f>IFERROR(__xludf.DUMMYFUNCTION("""COMPUTED_VALUE"""),46471.0)</f>
        <v>46471</v>
      </c>
      <c r="N54" s="78" t="str">
        <f>IFERROR(__xludf.DUMMYFUNCTION("""COMPUTED_VALUE"""),"31-Copacabana QUIMICOS")</f>
        <v>31-Copacabana QUIMICOS</v>
      </c>
      <c r="O54" s="159">
        <f>IFERROR(__xludf.DUMMYFUNCTION("""COMPUTED_VALUE"""),4655.9)</f>
        <v>4655.9</v>
      </c>
      <c r="P54" s="222" t="str">
        <f>IFERROR(__xludf.DUMMYFUNCTION("""COMPUTED_VALUE"""),"PROXIMO")</f>
        <v>PROXIMO</v>
      </c>
      <c r="Q54" s="8" t="str">
        <f t="shared" si="2"/>
        <v>NO PEDIDO</v>
      </c>
      <c r="W54" s="237" t="str">
        <f>CALENDARIO!V65</f>
        <v/>
      </c>
      <c r="Y54" s="238">
        <f>IFERROR(__xludf.DUMMYFUNCTION("""COMPUTED_VALUE"""),2921.0)</f>
        <v>2921</v>
      </c>
      <c r="Z54" s="78">
        <f>IF(Y54="","",VLOOKUP(Y54,'BD LUB'!$A$2:$L$223,5,FALSE)/VLOOKUP(Y54,'BD LUB'!$A$2:$L$223,7,FALSE)+(VLOOKUP(Y54,'BD LUB'!$A$2:$L$223,6,FALSE)/VLOOKUP(Y54,'BD LUB'!$A$2:$L$223,8,FALSE)))</f>
        <v>1.819488889</v>
      </c>
      <c r="AA54" s="260" t="str">
        <f t="array" ref="AA54">IF(Y54="","",IFERROR(
  CHOOSE(
    MATCH(
      XLOOKUP(Y54,'BD MPP'!$B52:$B273,'BD MPP'!$I52:I273)&amp;"-"&amp;
      XLOOKUP(Y54,'BD MPP'!$B52:$B273,'BD MPP'!$J52:J273),
      {"PASADO-PASADO";
       "PASADO-PROXIMO";
       "PROXIMO-PASADO";
       "PASADO-VIGENTE";
       "VIGENTE-PASADO";
       "PROXIMO-PROXIMO";
       "PROXIMO-VIGENTE";
       "VIGENTE-PROXIMO";
       "VIGENTE-VIGENTE"},
      0
    ),
    1,2,2,3,3,4,5,5,6
  ),
"No definido"))</f>
        <v>No definido</v>
      </c>
      <c r="AB54" s="238">
        <f>IFERROR(__xludf.DUMMYFUNCTION("""COMPUTED_VALUE"""),3281.0)</f>
        <v>3281</v>
      </c>
      <c r="AC54" s="259">
        <f>IF(AB54="","",VLOOKUP(AB54,'BD LUB'!$A$2:$L$223,5,FALSE)/VLOOKUP(AB54,'BD LUB'!$A$2:$L$223,7,FALSE)+(VLOOKUP(AB54,'BD LUB'!$A$2:$L$223,6,FALSE)/VLOOKUP(AB54,'BD LUB'!$A$2:$L$223,8,FALSE)))</f>
        <v>1.849666667</v>
      </c>
      <c r="AD54" s="222" t="str">
        <f t="array" ref="AD54">IF(AB54="","",IFERROR(
  CHOOSE(
    MATCH(
      XLOOKUP(AB54,'BD MPP'!$B52:$B273,'BD MPP'!$I52:I273)&amp;"-"&amp;
      XLOOKUP(AB54,'BD MPP'!$B52:$B273,'BD MPP'!$J52:J273),
      {"PASADO-PASADO";
       "PASADO-PROXIMO";
       "PROXIMO-PASADO";
       "PASADO-VIGENTE";
       "VIGENTE-PASADO";
       "PROXIMO-PROXIMO";
       "PROXIMO-VIGENTE";
       "VIGENTE-PROXIMO";
       "VIGENTE-VIGENTE"},
      0
    ),
    1,2,2,3,3,4,5,5,6
  ),
"No definido"))</f>
        <v>No definido</v>
      </c>
      <c r="AE54" s="261">
        <f>IFERROR(__xludf.DUMMYFUNCTION("""COMPUTED_VALUE"""),2366.0)</f>
        <v>2366</v>
      </c>
      <c r="AF54" s="78"/>
      <c r="AG54" s="78"/>
      <c r="AH54" s="222"/>
    </row>
    <row r="55">
      <c r="A55" s="120"/>
      <c r="B55" s="220">
        <v>52.0</v>
      </c>
      <c r="C55" s="78">
        <f>IFERROR(__xludf.DUMMYFUNCTION("""COMPUTED_VALUE"""),2848.0)</f>
        <v>2848</v>
      </c>
      <c r="D55" s="221">
        <f>IFERROR(__xludf.DUMMYFUNCTION("""COMPUTED_VALUE"""),46561.0)</f>
        <v>46561</v>
      </c>
      <c r="E55" s="78" t="str">
        <f>IFERROR(__xludf.DUMMYFUNCTION("""COMPUTED_VALUE"""),"02-Medellin")</f>
        <v>02-Medellin</v>
      </c>
      <c r="F55" s="156">
        <f>IFERROR(__xludf.DUMMYFUNCTION("""COMPUTED_VALUE"""),46108.0)</f>
        <v>46108</v>
      </c>
      <c r="G55" s="159">
        <f>IFERROR(__xludf.DUMMYFUNCTION("""COMPUTED_VALUE"""),108.0)</f>
        <v>108</v>
      </c>
      <c r="H55" s="222" t="str">
        <f>IFERROR(__xludf.DUMMYFUNCTION("""COMPUTED_VALUE"""),"PASADO")</f>
        <v>PASADO</v>
      </c>
      <c r="I55" s="173" t="str">
        <f t="shared" si="1"/>
        <v>NO PEDIDO</v>
      </c>
      <c r="J55" s="101"/>
      <c r="K55" s="220">
        <v>52.0</v>
      </c>
      <c r="L55" s="78">
        <f>IFERROR(__xludf.DUMMYFUNCTION("""COMPUTED_VALUE"""),2374.0)</f>
        <v>2374</v>
      </c>
      <c r="M55" s="221">
        <f>IFERROR(__xludf.DUMMYFUNCTION("""COMPUTED_VALUE"""),46460.0)</f>
        <v>46460</v>
      </c>
      <c r="N55" s="78" t="str">
        <f>IFERROR(__xludf.DUMMYFUNCTION("""COMPUTED_VALUE"""),"02-Medellin")</f>
        <v>02-Medellin</v>
      </c>
      <c r="O55" s="159">
        <f>IFERROR(__xludf.DUMMYFUNCTION("""COMPUTED_VALUE"""),4320.8)</f>
        <v>4320.8</v>
      </c>
      <c r="P55" s="222" t="str">
        <f>IFERROR(__xludf.DUMMYFUNCTION("""COMPUTED_VALUE"""),"PROXIMO")</f>
        <v>PROXIMO</v>
      </c>
      <c r="Q55" s="8" t="str">
        <f t="shared" si="2"/>
        <v>NO PEDIDO</v>
      </c>
      <c r="W55" s="237" t="str">
        <f>CALENDARIO!V66</f>
        <v/>
      </c>
      <c r="Y55" s="238">
        <f>IFERROR(__xludf.DUMMYFUNCTION("""COMPUTED_VALUE"""),2879.0)</f>
        <v>2879</v>
      </c>
      <c r="Z55" s="78">
        <f>IF(Y55="","",VLOOKUP(Y55,'BD LUB'!$A$2:$L$223,5,FALSE)/VLOOKUP(Y55,'BD LUB'!$A$2:$L$223,7,FALSE)+(VLOOKUP(Y55,'BD LUB'!$A$2:$L$223,6,FALSE)/VLOOKUP(Y55,'BD LUB'!$A$2:$L$223,8,FALSE)))</f>
        <v>0.6068666667</v>
      </c>
      <c r="AA55" s="222">
        <f t="array" ref="AA55">IF(Y55="","",IFERROR(
  CHOOSE(
    MATCH(
      XLOOKUP(Y55,'BD MPP'!$B53:$B274,'BD MPP'!$I53:I274)&amp;"-"&amp;
      XLOOKUP(Y55,'BD MPP'!$B53:$B274,'BD MPP'!$J53:J274),
      {"PASADO-PASADO";
       "PASADO-PROXIMO";
       "PROXIMO-PASADO";
       "PASADO-VIGENTE";
       "VIGENTE-PASADO";
       "PROXIMO-PROXIMO";
       "PROXIMO-VIGENTE";
       "VIGENTE-PROXIMO";
       "VIGENTE-VIGENTE"},
      0
    ),
    1,2,2,3,3,4,5,5,6
  ),
"No definido"))</f>
        <v>3</v>
      </c>
      <c r="AB55" s="261">
        <f>IFERROR(__xludf.DUMMYFUNCTION("""COMPUTED_VALUE"""),2923.0)</f>
        <v>2923</v>
      </c>
      <c r="AC55" s="259">
        <f>IF(AB55="","",VLOOKUP(AB55,'BD LUB'!$A$2:$L$223,5,FALSE)/VLOOKUP(AB55,'BD LUB'!$A$2:$L$223,7,FALSE)+(VLOOKUP(AB55,'BD LUB'!$A$2:$L$223,6,FALSE)/VLOOKUP(AB55,'BD LUB'!$A$2:$L$223,8,FALSE)))</f>
        <v>1.6438</v>
      </c>
      <c r="AD55" s="222" t="str">
        <f t="array" ref="AD55">IF(AB55="","",IFERROR(
  CHOOSE(
    MATCH(
      XLOOKUP(AB55,'BD MPP'!$B53:$B274,'BD MPP'!$I53:I274)&amp;"-"&amp;
      XLOOKUP(AB55,'BD MPP'!$B53:$B274,'BD MPP'!$J53:J274),
      {"PASADO-PASADO";
       "PASADO-PROXIMO";
       "PROXIMO-PASADO";
       "PASADO-VIGENTE";
       "VIGENTE-PASADO";
       "PROXIMO-PROXIMO";
       "PROXIMO-VIGENTE";
       "VIGENTE-PROXIMO";
       "VIGENTE-VIGENTE"},
      0
    ),
    1,2,2,3,3,4,5,5,6
  ),
"No definido"))</f>
        <v>No definido</v>
      </c>
      <c r="AE55" s="261">
        <f>IFERROR(__xludf.DUMMYFUNCTION("""COMPUTED_VALUE"""),2455.0)</f>
        <v>2455</v>
      </c>
      <c r="AF55" s="78"/>
      <c r="AG55" s="78"/>
      <c r="AH55" s="222"/>
    </row>
    <row r="56">
      <c r="A56" s="120"/>
      <c r="B56" s="220">
        <v>53.0</v>
      </c>
      <c r="C56" s="78">
        <f>IFERROR(__xludf.DUMMYFUNCTION("""COMPUTED_VALUE"""),2679.0)</f>
        <v>2679</v>
      </c>
      <c r="D56" s="221">
        <f>IFERROR(__xludf.DUMMYFUNCTION("""COMPUTED_VALUE"""),46499.0)</f>
        <v>46499</v>
      </c>
      <c r="E56" s="78" t="str">
        <f>IFERROR(__xludf.DUMMYFUNCTION("""COMPUTED_VALUE"""),"02-Medellin")</f>
        <v>02-Medellin</v>
      </c>
      <c r="F56" s="156">
        <f>IFERROR(__xludf.DUMMYFUNCTION("""COMPUTED_VALUE"""),46108.0)</f>
        <v>46108</v>
      </c>
      <c r="G56" s="159">
        <f>IFERROR(__xludf.DUMMYFUNCTION("""COMPUTED_VALUE"""),108.0)</f>
        <v>108</v>
      </c>
      <c r="H56" s="222" t="str">
        <f>IFERROR(__xludf.DUMMYFUNCTION("""COMPUTED_VALUE"""),"PASADO")</f>
        <v>PASADO</v>
      </c>
      <c r="I56" s="173" t="str">
        <f t="shared" si="1"/>
        <v>NO PEDIDO</v>
      </c>
      <c r="J56" s="101"/>
      <c r="K56" s="220">
        <v>53.0</v>
      </c>
      <c r="L56" s="78">
        <f>IFERROR(__xludf.DUMMYFUNCTION("""COMPUTED_VALUE"""),2572.0)</f>
        <v>2572</v>
      </c>
      <c r="M56" s="221">
        <f>IFERROR(__xludf.DUMMYFUNCTION("""COMPUTED_VALUE"""),46245.0)</f>
        <v>46245</v>
      </c>
      <c r="N56" s="78" t="str">
        <f>IFERROR(__xludf.DUMMYFUNCTION("""COMPUTED_VALUE"""),"31-Copacabana")</f>
        <v>31-Copacabana</v>
      </c>
      <c r="O56" s="159">
        <f>IFERROR(__xludf.DUMMYFUNCTION("""COMPUTED_VALUE"""),4262.0)</f>
        <v>4262</v>
      </c>
      <c r="P56" s="222" t="str">
        <f>IFERROR(__xludf.DUMMYFUNCTION("""COMPUTED_VALUE"""),"PROXIMO")</f>
        <v>PROXIMO</v>
      </c>
      <c r="Q56" s="8" t="str">
        <f t="shared" si="2"/>
        <v>NO PEDIDO</v>
      </c>
      <c r="W56" s="237" t="str">
        <f>CALENDARIO!V67</f>
        <v/>
      </c>
      <c r="Y56" s="238">
        <f>IFERROR(__xludf.DUMMYFUNCTION("""COMPUTED_VALUE"""),2661.0)</f>
        <v>2661</v>
      </c>
      <c r="Z56" s="78">
        <f>IF(Y56="","",VLOOKUP(Y56,'BD LUB'!$A$2:$L$223,5,FALSE)/VLOOKUP(Y56,'BD LUB'!$A$2:$L$223,7,FALSE)+(VLOOKUP(Y56,'BD LUB'!$A$2:$L$223,6,FALSE)/VLOOKUP(Y56,'BD LUB'!$A$2:$L$223,8,FALSE)))</f>
        <v>1.223144444</v>
      </c>
      <c r="AA56" s="222">
        <f t="array" ref="AA56">IF(Y56="","",IFERROR(
  CHOOSE(
    MATCH(
      XLOOKUP(Y56,'BD MPP'!$B54:$B275,'BD MPP'!$I54:I275)&amp;"-"&amp;
      XLOOKUP(Y56,'BD MPP'!$B54:$B275,'BD MPP'!$J54:J275),
      {"PASADO-PASADO";
       "PASADO-PROXIMO";
       "PROXIMO-PASADO";
       "PASADO-VIGENTE";
       "VIGENTE-PASADO";
       "PROXIMO-PROXIMO";
       "PROXIMO-VIGENTE";
       "VIGENTE-PROXIMO";
       "VIGENTE-VIGENTE"},
      0
    ),
    1,2,2,3,3,4,5,5,6
  ),
"No definido"))</f>
        <v>2</v>
      </c>
      <c r="AB56" s="261">
        <f>IFERROR(__xludf.DUMMYFUNCTION("""COMPUTED_VALUE"""),2895.0)</f>
        <v>2895</v>
      </c>
      <c r="AC56" s="259">
        <f>IF(AB56="","",VLOOKUP(AB56,'BD LUB'!$A$2:$L$223,5,FALSE)/VLOOKUP(AB56,'BD LUB'!$A$2:$L$223,7,FALSE)+(VLOOKUP(AB56,'BD LUB'!$A$2:$L$223,6,FALSE)/VLOOKUP(AB56,'BD LUB'!$A$2:$L$223,8,FALSE)))</f>
        <v>1.195933333</v>
      </c>
      <c r="AD56" s="222">
        <f t="array" ref="AD56">IF(AB56="","",IFERROR(
  CHOOSE(
    MATCH(
      XLOOKUP(AB56,'BD MPP'!$B54:$B275,'BD MPP'!$I54:I275)&amp;"-"&amp;
      XLOOKUP(AB56,'BD MPP'!$B54:$B275,'BD MPP'!$J54:J275),
      {"PASADO-PASADO";
       "PASADO-PROXIMO";
       "PROXIMO-PASADO";
       "PASADO-VIGENTE";
       "VIGENTE-PASADO";
       "PROXIMO-PROXIMO";
       "PROXIMO-VIGENTE";
       "VIGENTE-PROXIMO";
       "VIGENTE-VIGENTE"},
      0
    ),
    1,2,2,3,3,4,5,5,6
  ),
"No definido"))</f>
        <v>1</v>
      </c>
      <c r="AE56" s="261">
        <f>IFERROR(__xludf.DUMMYFUNCTION("""COMPUTED_VALUE"""),2462.0)</f>
        <v>2462</v>
      </c>
      <c r="AF56" s="78"/>
      <c r="AG56" s="78"/>
      <c r="AH56" s="222"/>
    </row>
    <row r="57">
      <c r="A57" s="120"/>
      <c r="B57" s="220">
        <v>54.0</v>
      </c>
      <c r="C57" s="78">
        <f>IFERROR(__xludf.DUMMYFUNCTION("""COMPUTED_VALUE"""),2484.0)</f>
        <v>2484</v>
      </c>
      <c r="D57" s="221">
        <f>IFERROR(__xludf.DUMMYFUNCTION("""COMPUTED_VALUE"""),46309.0)</f>
        <v>46309</v>
      </c>
      <c r="E57" s="78" t="str">
        <f>IFERROR(__xludf.DUMMYFUNCTION("""COMPUTED_VALUE"""),"MAYORCA")</f>
        <v>MAYORCA</v>
      </c>
      <c r="F57" s="156">
        <f>IFERROR(__xludf.DUMMYFUNCTION("""COMPUTED_VALUE"""),46108.0)</f>
        <v>46108</v>
      </c>
      <c r="G57" s="159">
        <f>IFERROR(__xludf.DUMMYFUNCTION("""COMPUTED_VALUE"""),108.0)</f>
        <v>108</v>
      </c>
      <c r="H57" s="222" t="str">
        <f>IFERROR(__xludf.DUMMYFUNCTION("""COMPUTED_VALUE"""),"PASADO")</f>
        <v>PASADO</v>
      </c>
      <c r="I57" s="173" t="str">
        <f t="shared" si="1"/>
        <v>PEDIDO</v>
      </c>
      <c r="J57" s="101"/>
      <c r="K57" s="220">
        <v>54.0</v>
      </c>
      <c r="L57" s="78">
        <f>IFERROR(__xludf.DUMMYFUNCTION("""COMPUTED_VALUE"""),2852.0)</f>
        <v>2852</v>
      </c>
      <c r="M57" s="221">
        <f>IFERROR(__xludf.DUMMYFUNCTION("""COMPUTED_VALUE"""),46576.0)</f>
        <v>46576</v>
      </c>
      <c r="N57" s="78" t="str">
        <f>IFERROR(__xludf.DUMMYFUNCTION("""COMPUTED_VALUE"""),"24-Rionegro")</f>
        <v>24-Rionegro</v>
      </c>
      <c r="O57" s="159">
        <f>IFERROR(__xludf.DUMMYFUNCTION("""COMPUTED_VALUE"""),4152.0)</f>
        <v>4152</v>
      </c>
      <c r="P57" s="222" t="str">
        <f>IFERROR(__xludf.DUMMYFUNCTION("""COMPUTED_VALUE"""),"PROXIMO")</f>
        <v>PROXIMO</v>
      </c>
      <c r="Q57" s="8" t="str">
        <f t="shared" si="2"/>
        <v>NO PEDIDO</v>
      </c>
      <c r="W57" s="237" t="str">
        <f>CALENDARIO!V68</f>
        <v/>
      </c>
      <c r="Y57" s="238">
        <f>IFERROR(__xludf.DUMMYFUNCTION("""COMPUTED_VALUE"""),2659.0)</f>
        <v>2659</v>
      </c>
      <c r="Z57" s="78">
        <f>IF(Y57="","",VLOOKUP(Y57,'BD LUB'!$A$2:$L$223,5,FALSE)/VLOOKUP(Y57,'BD LUB'!$A$2:$L$223,7,FALSE)+(VLOOKUP(Y57,'BD LUB'!$A$2:$L$223,6,FALSE)/VLOOKUP(Y57,'BD LUB'!$A$2:$L$223,8,FALSE)))</f>
        <v>1.180911111</v>
      </c>
      <c r="AA57" s="222">
        <f t="array" ref="AA57">IF(Y57="","",IFERROR(
  CHOOSE(
    MATCH(
      XLOOKUP(Y57,'BD MPP'!$B55:$B276,'BD MPP'!$I55:I276)&amp;"-"&amp;
      XLOOKUP(Y57,'BD MPP'!$B55:$B276,'BD MPP'!$J55:J276),
      {"PASADO-PASADO";
       "PASADO-PROXIMO";
       "PROXIMO-PASADO";
       "PASADO-VIGENTE";
       "VIGENTE-PASADO";
       "PROXIMO-PROXIMO";
       "PROXIMO-VIGENTE";
       "VIGENTE-PROXIMO";
       "VIGENTE-VIGENTE"},
      0
    ),
    1,2,2,3,3,4,5,5,6
  ),
"No definido"))</f>
        <v>3</v>
      </c>
      <c r="AB57" s="261">
        <f>IFERROR(__xludf.DUMMYFUNCTION("""COMPUTED_VALUE"""),2850.0)</f>
        <v>2850</v>
      </c>
      <c r="AC57" s="259">
        <f>IF(AB57="","",VLOOKUP(AB57,'BD LUB'!$A$2:$L$223,5,FALSE)/VLOOKUP(AB57,'BD LUB'!$A$2:$L$223,7,FALSE)+(VLOOKUP(AB57,'BD LUB'!$A$2:$L$223,6,FALSE)/VLOOKUP(AB57,'BD LUB'!$A$2:$L$223,8,FALSE)))</f>
        <v>1.517933333</v>
      </c>
      <c r="AD57" s="222">
        <f t="array" ref="AD57">IF(AB57="","",IFERROR(
  CHOOSE(
    MATCH(
      XLOOKUP(AB57,'BD MPP'!$B55:$B276,'BD MPP'!$I55:I276)&amp;"-"&amp;
      XLOOKUP(AB57,'BD MPP'!$B55:$B276,'BD MPP'!$J55:J276),
      {"PASADO-PASADO";
       "PASADO-PROXIMO";
       "PROXIMO-PASADO";
       "PASADO-VIGENTE";
       "VIGENTE-PASADO";
       "PROXIMO-PROXIMO";
       "PROXIMO-VIGENTE";
       "VIGENTE-PROXIMO";
       "VIGENTE-VIGENTE"},
      0
    ),
    1,2,2,3,3,4,5,5,6
  ),
"No definido"))</f>
        <v>2</v>
      </c>
      <c r="AE57" s="261">
        <f>IFERROR(__xludf.DUMMYFUNCTION("""COMPUTED_VALUE"""),2879.0)</f>
        <v>2879</v>
      </c>
      <c r="AF57" s="78"/>
      <c r="AG57" s="78"/>
      <c r="AH57" s="222"/>
    </row>
    <row r="58">
      <c r="A58" s="120"/>
      <c r="B58" s="220">
        <v>55.0</v>
      </c>
      <c r="C58" s="78">
        <f>IFERROR(__xludf.DUMMYFUNCTION("""COMPUTED_VALUE"""),2404.0)</f>
        <v>2404</v>
      </c>
      <c r="D58" s="221">
        <f>IFERROR(__xludf.DUMMYFUNCTION("""COMPUTED_VALUE"""),46484.0)</f>
        <v>46484</v>
      </c>
      <c r="E58" s="78" t="str">
        <f>IFERROR(__xludf.DUMMYFUNCTION("""COMPUTED_VALUE"""),"02-Medellin")</f>
        <v>02-Medellin</v>
      </c>
      <c r="F58" s="156">
        <f>IFERROR(__xludf.DUMMYFUNCTION("""COMPUTED_VALUE"""),46112.0)</f>
        <v>46112</v>
      </c>
      <c r="G58" s="159">
        <f>IFERROR(__xludf.DUMMYFUNCTION("""COMPUTED_VALUE"""),104.0)</f>
        <v>104</v>
      </c>
      <c r="H58" s="222" t="str">
        <f>IFERROR(__xludf.DUMMYFUNCTION("""COMPUTED_VALUE"""),"PASADO")</f>
        <v>PASADO</v>
      </c>
      <c r="I58" s="173" t="str">
        <f t="shared" si="1"/>
        <v>NO PEDIDO</v>
      </c>
      <c r="J58" s="101"/>
      <c r="K58" s="220">
        <v>55.0</v>
      </c>
      <c r="L58" s="78">
        <f>IFERROR(__xludf.DUMMYFUNCTION("""COMPUTED_VALUE"""),3049.0)</f>
        <v>3049</v>
      </c>
      <c r="M58" s="221">
        <f>IFERROR(__xludf.DUMMYFUNCTION("""COMPUTED_VALUE"""),46273.0)</f>
        <v>46273</v>
      </c>
      <c r="N58" s="78" t="str">
        <f>IFERROR(__xludf.DUMMYFUNCTION("""COMPUTED_VALUE"""),"02-Medellin")</f>
        <v>02-Medellin</v>
      </c>
      <c r="O58" s="159">
        <f>IFERROR(__xludf.DUMMYFUNCTION("""COMPUTED_VALUE"""),4130.3)</f>
        <v>4130.3</v>
      </c>
      <c r="P58" s="222" t="str">
        <f>IFERROR(__xludf.DUMMYFUNCTION("""COMPUTED_VALUE"""),"PROXIMO")</f>
        <v>PROXIMO</v>
      </c>
      <c r="Q58" s="8" t="str">
        <f t="shared" si="2"/>
        <v>NO PEDIDO</v>
      </c>
      <c r="W58" s="237" t="str">
        <f>CALENDARIO!V69</f>
        <v/>
      </c>
      <c r="Y58" s="238">
        <f>IFERROR(__xludf.DUMMYFUNCTION("""COMPUTED_VALUE"""),2623.0)</f>
        <v>2623</v>
      </c>
      <c r="Z58" s="78">
        <f>IF(Y58="","",VLOOKUP(Y58,'BD LUB'!$A$2:$L$223,5,FALSE)/VLOOKUP(Y58,'BD LUB'!$A$2:$L$223,7,FALSE)+(VLOOKUP(Y58,'BD LUB'!$A$2:$L$223,6,FALSE)/VLOOKUP(Y58,'BD LUB'!$A$2:$L$223,8,FALSE)))</f>
        <v>0.5432177778</v>
      </c>
      <c r="AA58" s="222">
        <f t="array" ref="AA58">IF(Y58="","",IFERROR(
  CHOOSE(
    MATCH(
      XLOOKUP(Y58,'BD MPP'!$B56:$B277,'BD MPP'!$I56:I277)&amp;"-"&amp;
      XLOOKUP(Y58,'BD MPP'!$B56:$B277,'BD MPP'!$J56:J277),
      {"PASADO-PASADO";
       "PASADO-PROXIMO";
       "PROXIMO-PASADO";
       "PASADO-VIGENTE";
       "VIGENTE-PASADO";
       "PROXIMO-PROXIMO";
       "PROXIMO-VIGENTE";
       "VIGENTE-PROXIMO";
       "VIGENTE-VIGENTE"},
      0
    ),
    1,2,2,3,3,4,5,5,6
  ),
"No definido"))</f>
        <v>3</v>
      </c>
      <c r="AB58" s="261">
        <f>IFERROR(__xludf.DUMMYFUNCTION("""COMPUTED_VALUE"""),2656.0)</f>
        <v>2656</v>
      </c>
      <c r="AC58" s="259">
        <f>IF(AB58="","",VLOOKUP(AB58,'BD LUB'!$A$2:$L$223,5,FALSE)/VLOOKUP(AB58,'BD LUB'!$A$2:$L$223,7,FALSE)+(VLOOKUP(AB58,'BD LUB'!$A$2:$L$223,6,FALSE)/VLOOKUP(AB58,'BD LUB'!$A$2:$L$223,8,FALSE)))</f>
        <v>0.4143444444</v>
      </c>
      <c r="AD58" s="222">
        <f t="array" ref="AD58">IF(AB58="","",IFERROR(
  CHOOSE(
    MATCH(
      XLOOKUP(AB58,'BD MPP'!$B56:$B277,'BD MPP'!$I56:I277)&amp;"-"&amp;
      XLOOKUP(AB58,'BD MPP'!$B56:$B277,'BD MPP'!$J56:J277),
      {"PASADO-PASADO";
       "PASADO-PROXIMO";
       "PROXIMO-PASADO";
       "PASADO-VIGENTE";
       "VIGENTE-PASADO";
       "PROXIMO-PROXIMO";
       "PROXIMO-VIGENTE";
       "VIGENTE-PROXIMO";
       "VIGENTE-VIGENTE"},
      0
    ),
    1,2,2,3,3,4,5,5,6
  ),
"No definido"))</f>
        <v>3</v>
      </c>
      <c r="AE58" s="261">
        <f>IFERROR(__xludf.DUMMYFUNCTION("""COMPUTED_VALUE"""),2404.0)</f>
        <v>2404</v>
      </c>
      <c r="AF58" s="78"/>
      <c r="AG58" s="78"/>
      <c r="AH58" s="222"/>
    </row>
    <row r="59">
      <c r="A59" s="120"/>
      <c r="B59" s="220">
        <v>56.0</v>
      </c>
      <c r="C59" s="78">
        <f>IFERROR(__xludf.DUMMYFUNCTION("""COMPUTED_VALUE"""),2366.0)</f>
        <v>2366</v>
      </c>
      <c r="D59" s="221">
        <f>IFERROR(__xludf.DUMMYFUNCTION("""COMPUTED_VALUE"""),46306.0)</f>
        <v>46306</v>
      </c>
      <c r="E59" s="78" t="str">
        <f>IFERROR(__xludf.DUMMYFUNCTION("""COMPUTED_VALUE"""),"02-Medellin")</f>
        <v>02-Medellin</v>
      </c>
      <c r="F59" s="156">
        <f>IFERROR(__xludf.DUMMYFUNCTION("""COMPUTED_VALUE"""),46112.0)</f>
        <v>46112</v>
      </c>
      <c r="G59" s="159">
        <f>IFERROR(__xludf.DUMMYFUNCTION("""COMPUTED_VALUE"""),104.0)</f>
        <v>104</v>
      </c>
      <c r="H59" s="222" t="str">
        <f>IFERROR(__xludf.DUMMYFUNCTION("""COMPUTED_VALUE"""),"PASADO")</f>
        <v>PASADO</v>
      </c>
      <c r="I59" s="173" t="str">
        <f t="shared" si="1"/>
        <v>NO PEDIDO</v>
      </c>
      <c r="J59" s="101"/>
      <c r="K59" s="220">
        <v>56.0</v>
      </c>
      <c r="L59" s="78">
        <f>IFERROR(__xludf.DUMMYFUNCTION("""COMPUTED_VALUE"""),2681.0)</f>
        <v>2681</v>
      </c>
      <c r="M59" s="221">
        <f>IFERROR(__xludf.DUMMYFUNCTION("""COMPUTED_VALUE"""),46514.0)</f>
        <v>46514</v>
      </c>
      <c r="N59" s="78" t="str">
        <f>IFERROR(__xludf.DUMMYFUNCTION("""COMPUTED_VALUE"""),"27-Apartado")</f>
        <v>27-Apartado</v>
      </c>
      <c r="O59" s="159">
        <f>IFERROR(__xludf.DUMMYFUNCTION("""COMPUTED_VALUE"""),4006.6)</f>
        <v>4006.6</v>
      </c>
      <c r="P59" s="222" t="str">
        <f>IFERROR(__xludf.DUMMYFUNCTION("""COMPUTED_VALUE"""),"PROXIMO")</f>
        <v>PROXIMO</v>
      </c>
      <c r="Q59" s="8" t="str">
        <f t="shared" si="2"/>
        <v>NO PEDIDO</v>
      </c>
      <c r="W59" s="237" t="str">
        <f>CALENDARIO!V70</f>
        <v/>
      </c>
      <c r="Y59" s="238">
        <f>IFERROR(__xludf.DUMMYFUNCTION("""COMPUTED_VALUE"""),2570.0)</f>
        <v>2570</v>
      </c>
      <c r="Z59" s="78">
        <f>IF(Y59="","",VLOOKUP(Y59,'BD LUB'!$A$2:$L$223,5,FALSE)/VLOOKUP(Y59,'BD LUB'!$A$2:$L$223,7,FALSE)+(VLOOKUP(Y59,'BD LUB'!$A$2:$L$223,6,FALSE)/VLOOKUP(Y59,'BD LUB'!$A$2:$L$223,8,FALSE)))</f>
        <v>0.3746222222</v>
      </c>
      <c r="AA59" s="222">
        <f t="array" ref="AA59">IF(Y59="","",IFERROR(
  CHOOSE(
    MATCH(
      XLOOKUP(Y59,'BD MPP'!$B57:$B278,'BD MPP'!$I57:I278)&amp;"-"&amp;
      XLOOKUP(Y59,'BD MPP'!$B57:$B278,'BD MPP'!$J57:J278),
      {"PASADO-PASADO";
       "PASADO-PROXIMO";
       "PROXIMO-PASADO";
       "PASADO-VIGENTE";
       "VIGENTE-PASADO";
       "PROXIMO-PROXIMO";
       "PROXIMO-VIGENTE";
       "VIGENTE-PROXIMO";
       "VIGENTE-VIGENTE"},
      0
    ),
    1,2,2,3,3,4,5,5,6
  ),
"No definido"))</f>
        <v>3</v>
      </c>
      <c r="AB59" s="261">
        <f>IFERROR(__xludf.DUMMYFUNCTION("""COMPUTED_VALUE"""),2921.0)</f>
        <v>2921</v>
      </c>
      <c r="AC59" s="259">
        <f>IF(AB59="","",VLOOKUP(AB59,'BD LUB'!$A$2:$L$223,5,FALSE)/VLOOKUP(AB59,'BD LUB'!$A$2:$L$223,7,FALSE)+(VLOOKUP(AB59,'BD LUB'!$A$2:$L$223,6,FALSE)/VLOOKUP(AB59,'BD LUB'!$A$2:$L$223,8,FALSE)))</f>
        <v>1.819488889</v>
      </c>
      <c r="AD59" s="222" t="str">
        <f t="array" ref="AD59">IF(AB59="","",IFERROR(
  CHOOSE(
    MATCH(
      XLOOKUP(AB59,'BD MPP'!$B57:$B278,'BD MPP'!$I57:I278)&amp;"-"&amp;
      XLOOKUP(AB59,'BD MPP'!$B57:$B278,'BD MPP'!$J57:J278),
      {"PASADO-PASADO";
       "PASADO-PROXIMO";
       "PROXIMO-PASADO";
       "PASADO-VIGENTE";
       "VIGENTE-PASADO";
       "PROXIMO-PROXIMO";
       "PROXIMO-VIGENTE";
       "VIGENTE-PROXIMO";
       "VIGENTE-VIGENTE"},
      0
    ),
    1,2,2,3,3,4,5,5,6
  ),
"No definido"))</f>
        <v>No definido</v>
      </c>
      <c r="AE59" s="261">
        <f>IFERROR(__xludf.DUMMYFUNCTION("""COMPUTED_VALUE"""),2385.0)</f>
        <v>2385</v>
      </c>
      <c r="AF59" s="78"/>
      <c r="AG59" s="78"/>
      <c r="AH59" s="222"/>
    </row>
    <row r="60">
      <c r="A60" s="120"/>
      <c r="B60" s="220">
        <v>57.0</v>
      </c>
      <c r="C60" s="78">
        <f>IFERROR(__xludf.DUMMYFUNCTION("""COMPUTED_VALUE"""),2200.0)</f>
        <v>2200</v>
      </c>
      <c r="D60" s="221">
        <f>IFERROR(__xludf.DUMMYFUNCTION("""COMPUTED_VALUE"""),46478.0)</f>
        <v>46478</v>
      </c>
      <c r="E60" s="78" t="str">
        <f>IFERROR(__xludf.DUMMYFUNCTION("""COMPUTED_VALUE"""),"BULTOS")</f>
        <v>BULTOS</v>
      </c>
      <c r="F60" s="156">
        <f>IFERROR(__xludf.DUMMYFUNCTION("""COMPUTED_VALUE"""),46112.0)</f>
        <v>46112</v>
      </c>
      <c r="G60" s="159">
        <f>IFERROR(__xludf.DUMMYFUNCTION("""COMPUTED_VALUE"""),104.0)</f>
        <v>104</v>
      </c>
      <c r="H60" s="222" t="str">
        <f>IFERROR(__xludf.DUMMYFUNCTION("""COMPUTED_VALUE"""),"PASADO")</f>
        <v>PASADO</v>
      </c>
      <c r="I60" s="173" t="str">
        <f t="shared" si="1"/>
        <v>NO PEDIDO</v>
      </c>
      <c r="J60" s="101"/>
      <c r="K60" s="220">
        <v>57.0</v>
      </c>
      <c r="L60" s="78">
        <f>IFERROR(__xludf.DUMMYFUNCTION("""COMPUTED_VALUE"""),2909.0)</f>
        <v>2909</v>
      </c>
      <c r="M60" s="221">
        <f>IFERROR(__xludf.DUMMYFUNCTION("""COMPUTED_VALUE"""),46275.0)</f>
        <v>46275</v>
      </c>
      <c r="N60" s="78" t="str">
        <f>IFERROR(__xludf.DUMMYFUNCTION("""COMPUTED_VALUE"""),"02-Medellin")</f>
        <v>02-Medellin</v>
      </c>
      <c r="O60" s="159">
        <f>IFERROR(__xludf.DUMMYFUNCTION("""COMPUTED_VALUE"""),3959.0)</f>
        <v>3959</v>
      </c>
      <c r="P60" s="222" t="str">
        <f>IFERROR(__xludf.DUMMYFUNCTION("""COMPUTED_VALUE"""),"VIGENTE")</f>
        <v>VIGENTE</v>
      </c>
      <c r="Q60" s="8" t="str">
        <f t="shared" si="2"/>
        <v>--</v>
      </c>
      <c r="W60" s="237" t="str">
        <f>CALENDARIO!V71</f>
        <v/>
      </c>
      <c r="Y60" s="238">
        <f>IFERROR(__xludf.DUMMYFUNCTION("""COMPUTED_VALUE"""),3275.0)</f>
        <v>3275</v>
      </c>
      <c r="Z60" s="78">
        <f>IF(AB60="","",VLOOKUP(Y60,'BD LUB'!$A$2:$L$223,5,FALSE)/VLOOKUP(Y60,'BD LUB'!$A$2:$L$223,7,FALSE)+(VLOOKUP(Y60,'BD LUB'!$A$2:$L$223,6,FALSE)/VLOOKUP(Y60,'BD LUB'!$A$2:$L$223,8,FALSE)))</f>
        <v>1.732511111</v>
      </c>
      <c r="AA60" s="222" t="str">
        <f t="array" ref="AA60">IF(Y60="","",IFERROR(
  CHOOSE(
    MATCH(
      XLOOKUP(Y60,'BD MPP'!$B58:$B279,'BD MPP'!$I58:I279)&amp;"-"&amp;
      XLOOKUP(Y60,'BD MPP'!$B58:$B279,'BD MPP'!$J58:J279),
      {"PASADO-PASADO";
       "PASADO-PROXIMO";
       "PROXIMO-PASADO";
       "PASADO-VIGENTE";
       "VIGENTE-PASADO";
       "PROXIMO-PROXIMO";
       "PROXIMO-VIGENTE";
       "VIGENTE-PROXIMO";
       "VIGENTE-VIGENTE"},
      0
    ),
    1,2,2,3,3,4,5,5,6
  ),
"No definido"))</f>
        <v>No definido</v>
      </c>
      <c r="AB60" s="261">
        <f>IFERROR(__xludf.DUMMYFUNCTION("""COMPUTED_VALUE"""),2879.0)</f>
        <v>2879</v>
      </c>
      <c r="AC60" s="259">
        <f>IF(AB60="","",VLOOKUP(AB60,'BD LUB'!$A$2:$L$223,5,FALSE)/VLOOKUP(AB60,'BD LUB'!$A$2:$L$223,7,FALSE)+(VLOOKUP(AB60,'BD LUB'!$A$2:$L$223,6,FALSE)/VLOOKUP(AB60,'BD LUB'!$A$2:$L$223,8,FALSE)))</f>
        <v>0.6068666667</v>
      </c>
      <c r="AD60" s="222">
        <f t="array" ref="AD60">IF(AB60="","",IFERROR(
  CHOOSE(
    MATCH(
      XLOOKUP(AB60,'BD MPP'!$B58:$B279,'BD MPP'!$I58:I279)&amp;"-"&amp;
      XLOOKUP(AB60,'BD MPP'!$B58:$B279,'BD MPP'!$J58:J279),
      {"PASADO-PASADO";
       "PASADO-PROXIMO";
       "PROXIMO-PASADO";
       "PASADO-VIGENTE";
       "VIGENTE-PASADO";
       "PROXIMO-PROXIMO";
       "PROXIMO-VIGENTE";
       "VIGENTE-PROXIMO";
       "VIGENTE-VIGENTE"},
      0
    ),
    1,2,2,3,3,4,5,5,6
  ),
"No definido"))</f>
        <v>3</v>
      </c>
      <c r="AE60" s="261">
        <f>IFERROR(__xludf.DUMMYFUNCTION("""COMPUTED_VALUE"""),2623.0)</f>
        <v>2623</v>
      </c>
      <c r="AF60" s="78"/>
      <c r="AG60" s="78"/>
      <c r="AH60" s="222"/>
    </row>
    <row r="61">
      <c r="A61" s="120"/>
      <c r="B61" s="220">
        <v>58.0</v>
      </c>
      <c r="C61" s="78">
        <f>IFERROR(__xludf.DUMMYFUNCTION("""COMPUTED_VALUE"""),2859.0)</f>
        <v>2859</v>
      </c>
      <c r="D61" s="221">
        <f>IFERROR(__xludf.DUMMYFUNCTION("""COMPUTED_VALUE"""),46226.0)</f>
        <v>46226</v>
      </c>
      <c r="E61" s="78" t="str">
        <f>IFERROR(__xludf.DUMMYFUNCTION("""COMPUTED_VALUE"""),"MAYORCA")</f>
        <v>MAYORCA</v>
      </c>
      <c r="F61" s="156">
        <f>IFERROR(__xludf.DUMMYFUNCTION("""COMPUTED_VALUE"""),46118.0)</f>
        <v>46118</v>
      </c>
      <c r="G61" s="159">
        <f>IFERROR(__xludf.DUMMYFUNCTION("""COMPUTED_VALUE"""),98.0)</f>
        <v>98</v>
      </c>
      <c r="H61" s="222" t="str">
        <f>IFERROR(__xludf.DUMMYFUNCTION("""COMPUTED_VALUE"""),"PASADO")</f>
        <v>PASADO</v>
      </c>
      <c r="I61" s="173" t="str">
        <f t="shared" si="1"/>
        <v>NO PEDIDO</v>
      </c>
      <c r="J61" s="101"/>
      <c r="K61" s="220">
        <v>58.0</v>
      </c>
      <c r="L61" s="78">
        <f>IFERROR(__xludf.DUMMYFUNCTION("""COMPUTED_VALUE"""),3212.0)</f>
        <v>3212</v>
      </c>
      <c r="M61" s="221">
        <f>IFERROR(__xludf.DUMMYFUNCTION("""COMPUTED_VALUE"""),46654.0)</f>
        <v>46654</v>
      </c>
      <c r="N61" s="78" t="str">
        <f>IFERROR(__xludf.DUMMYFUNCTION("""COMPUTED_VALUE"""),"02-Medellin")</f>
        <v>02-Medellin</v>
      </c>
      <c r="O61" s="159">
        <f>IFERROR(__xludf.DUMMYFUNCTION("""COMPUTED_VALUE"""),3913.0)</f>
        <v>3913</v>
      </c>
      <c r="P61" s="222" t="str">
        <f>IFERROR(__xludf.DUMMYFUNCTION("""COMPUTED_VALUE"""),"VIGENTE")</f>
        <v>VIGENTE</v>
      </c>
      <c r="Q61" s="8" t="str">
        <f t="shared" si="2"/>
        <v>--</v>
      </c>
      <c r="W61" s="237" t="str">
        <f>CALENDARIO!V72</f>
        <v/>
      </c>
      <c r="Y61" s="262">
        <f>IFERROR(__xludf.DUMMYFUNCTION("""COMPUTED_VALUE"""),3264.0)</f>
        <v>3264</v>
      </c>
      <c r="Z61" s="263">
        <f>IF(AB61="","",VLOOKUP(Y61,'BD LUB'!$A$2:$L$223,5,FALSE)/VLOOKUP(Y61,'BD LUB'!$A$2:$L$223,7,FALSE)+(VLOOKUP(Y61,'BD LUB'!$A$2:$L$223,6,FALSE)/VLOOKUP(Y61,'BD LUB'!$A$2:$L$223,8,FALSE)))</f>
        <v>1.305911111</v>
      </c>
      <c r="AA61" s="264" t="str">
        <f t="array" ref="AA61">IF(Y61="","",IFERROR(
  CHOOSE(
    MATCH(
      XLOOKUP(Y61,'BD MPP'!$B59:$B280,'BD MPP'!$I59:I280)&amp;"-"&amp;
      XLOOKUP(Y61,'BD MPP'!$B59:$B280,'BD MPP'!$J59:J280),
      {"PASADO-PASADO";
       "PASADO-PROXIMO";
       "PROXIMO-PASADO";
       "PASADO-VIGENTE";
       "VIGENTE-PASADO";
       "PROXIMO-PROXIMO";
       "PROXIMO-VIGENTE";
       "VIGENTE-PROXIMO";
       "VIGENTE-VIGENTE"},
      0
    ),
    1,2,2,3,3,4,5,5,6
  ),
"No definido"))</f>
        <v>No definido</v>
      </c>
      <c r="AB61" s="265">
        <f>IFERROR(__xludf.DUMMYFUNCTION("""COMPUTED_VALUE"""),2661.0)</f>
        <v>2661</v>
      </c>
      <c r="AC61" s="266">
        <f>IF(AB61="","",VLOOKUP(AB61,'BD LUB'!$A$2:$L$223,5,FALSE)/VLOOKUP(AB61,'BD LUB'!$A$2:$L$223,7,FALSE)+(VLOOKUP(AB61,'BD LUB'!$A$2:$L$223,6,FALSE)/VLOOKUP(AB61,'BD LUB'!$A$2:$L$223,8,FALSE)))</f>
        <v>1.223144444</v>
      </c>
      <c r="AD61" s="264"/>
      <c r="AE61" s="265">
        <f>IFERROR(__xludf.DUMMYFUNCTION("""COMPUTED_VALUE"""),2374.0)</f>
        <v>2374</v>
      </c>
      <c r="AF61" s="263"/>
      <c r="AG61" s="263"/>
      <c r="AH61" s="264"/>
    </row>
    <row r="62">
      <c r="A62" s="158"/>
      <c r="B62" s="220">
        <v>59.0</v>
      </c>
      <c r="C62" s="78">
        <f>IFERROR(__xludf.DUMMYFUNCTION("""COMPUTED_VALUE"""),2490.0)</f>
        <v>2490</v>
      </c>
      <c r="D62" s="221">
        <f>IFERROR(__xludf.DUMMYFUNCTION("""COMPUTED_VALUE"""),46303.0)</f>
        <v>46303</v>
      </c>
      <c r="E62" s="78" t="str">
        <f>IFERROR(__xludf.DUMMYFUNCTION("""COMPUTED_VALUE"""),"02-Medellin")</f>
        <v>02-Medellin</v>
      </c>
      <c r="F62" s="156">
        <f>IFERROR(__xludf.DUMMYFUNCTION("""COMPUTED_VALUE"""),46118.0)</f>
        <v>46118</v>
      </c>
      <c r="G62" s="159">
        <f>IFERROR(__xludf.DUMMYFUNCTION("""COMPUTED_VALUE"""),98.0)</f>
        <v>98</v>
      </c>
      <c r="H62" s="222" t="str">
        <f>IFERROR(__xludf.DUMMYFUNCTION("""COMPUTED_VALUE"""),"PASADO")</f>
        <v>PASADO</v>
      </c>
      <c r="I62" s="173" t="str">
        <f t="shared" si="1"/>
        <v>NO PEDIDO</v>
      </c>
      <c r="J62" s="103"/>
      <c r="K62" s="220">
        <v>59.0</v>
      </c>
      <c r="L62" s="78">
        <f>IFERROR(__xludf.DUMMYFUNCTION("""COMPUTED_VALUE"""),3281.0)</f>
        <v>3281</v>
      </c>
      <c r="M62" s="221">
        <f>IFERROR(__xludf.DUMMYFUNCTION("""COMPUTED_VALUE"""),46668.0)</f>
        <v>46668</v>
      </c>
      <c r="N62" s="78" t="str">
        <f>IFERROR(__xludf.DUMMYFUNCTION("""COMPUTED_VALUE"""),"02-Medellin")</f>
        <v>02-Medellin</v>
      </c>
      <c r="O62" s="159">
        <f>IFERROR(__xludf.DUMMYFUNCTION("""COMPUTED_VALUE"""),3904.0)</f>
        <v>3904</v>
      </c>
      <c r="P62" s="222" t="str">
        <f>IFERROR(__xludf.DUMMYFUNCTION("""COMPUTED_VALUE"""),"VIGENTE")</f>
        <v>VIGENTE</v>
      </c>
      <c r="Q62" s="8" t="str">
        <f t="shared" si="2"/>
        <v>--</v>
      </c>
      <c r="W62" s="237" t="str">
        <f>CALENDARIO!V73</f>
        <v/>
      </c>
      <c r="Y62" s="103">
        <f>IFERROR(__xludf.DUMMYFUNCTION("""COMPUTED_VALUE"""),2880.0)</f>
        <v>2880</v>
      </c>
      <c r="Z62" s="103">
        <f>IF(AB62="","",VLOOKUP(Y62,'BD LUB'!$A$2:$L$223,5,FALSE)/VLOOKUP(Y62,'BD LUB'!$A$2:$L$223,7,FALSE)+(VLOOKUP(Y62,'BD LUB'!$A$2:$L$223,6,FALSE)/VLOOKUP(Y62,'BD LUB'!$A$2:$L$223,8,FALSE)))</f>
        <v>3.086922222</v>
      </c>
      <c r="AA62" s="103">
        <f t="array" ref="AA62">IF(Y62="","",IFERROR(
  CHOOSE(
    MATCH(
      XLOOKUP(Y62,'BD MPP'!$B60:$B281,'BD MPP'!$I60:I281)&amp;"-"&amp;
      XLOOKUP(Y62,'BD MPP'!$B60:$B281,'BD MPP'!$J60:J281),
      {"PASADO-PASADO";
       "PASADO-PROXIMO";
       "PROXIMO-PASADO";
       "PASADO-VIGENTE";
       "VIGENTE-PASADO";
       "PROXIMO-PROXIMO";
       "PROXIMO-VIGENTE";
       "VIGENTE-PROXIMO";
       "VIGENTE-VIGENTE"},
      0
    ),
    1,2,2,3,3,4,5,5,6
  ),
"No definido"))</f>
        <v>2</v>
      </c>
      <c r="AB62" s="103">
        <f>IFERROR(__xludf.DUMMYFUNCTION("""COMPUTED_VALUE"""),2659.0)</f>
        <v>2659</v>
      </c>
      <c r="AC62" s="241">
        <f>IF(AB62="","",VLOOKUP(AB62,'BD LUB'!$A$2:$L$223,5,FALSE)/VLOOKUP(AB62,'BD LUB'!$A$2:$L$223,7,FALSE)+(VLOOKUP(AB62,'BD LUB'!$A$2:$L$223,6,FALSE)/VLOOKUP(AB62,'BD LUB'!$A$2:$L$223,8,FALSE)))</f>
        <v>1.180911111</v>
      </c>
      <c r="AD62" s="103"/>
      <c r="AE62" s="103">
        <f>IFERROR(__xludf.DUMMYFUNCTION("""COMPUTED_VALUE"""),2679.0)</f>
        <v>2679</v>
      </c>
      <c r="AF62" s="103"/>
      <c r="AG62" s="103"/>
      <c r="AH62" s="103"/>
    </row>
    <row r="63">
      <c r="A63" s="158"/>
      <c r="B63" s="220">
        <v>60.0</v>
      </c>
      <c r="C63" s="78">
        <f>IFERROR(__xludf.DUMMYFUNCTION("""COMPUTED_VALUE"""),3281.0)</f>
        <v>3281</v>
      </c>
      <c r="D63" s="221">
        <f>IFERROR(__xludf.DUMMYFUNCTION("""COMPUTED_VALUE"""),46668.0)</f>
        <v>46668</v>
      </c>
      <c r="E63" s="78" t="str">
        <f>IFERROR(__xludf.DUMMYFUNCTION("""COMPUTED_VALUE"""),"02-Medellin")</f>
        <v>02-Medellin</v>
      </c>
      <c r="F63" s="156">
        <f>IFERROR(__xludf.DUMMYFUNCTION("""COMPUTED_VALUE"""),46119.0)</f>
        <v>46119</v>
      </c>
      <c r="G63" s="159">
        <f>IFERROR(__xludf.DUMMYFUNCTION("""COMPUTED_VALUE"""),97.0)</f>
        <v>97</v>
      </c>
      <c r="H63" s="222" t="str">
        <f>IFERROR(__xludf.DUMMYFUNCTION("""COMPUTED_VALUE"""),"PASADO")</f>
        <v>PASADO</v>
      </c>
      <c r="I63" s="173" t="str">
        <f t="shared" si="1"/>
        <v>NO PEDIDO</v>
      </c>
      <c r="J63" s="103"/>
      <c r="K63" s="220">
        <v>60.0</v>
      </c>
      <c r="L63" s="78">
        <f>IFERROR(__xludf.DUMMYFUNCTION("""COMPUTED_VALUE"""),2910.0)</f>
        <v>2910</v>
      </c>
      <c r="M63" s="221">
        <f>IFERROR(__xludf.DUMMYFUNCTION("""COMPUTED_VALUE"""),46275.0)</f>
        <v>46275</v>
      </c>
      <c r="N63" s="78" t="str">
        <f>IFERROR(__xludf.DUMMYFUNCTION("""COMPUTED_VALUE"""),"24-Rionegro")</f>
        <v>24-Rionegro</v>
      </c>
      <c r="O63" s="159">
        <f>IFERROR(__xludf.DUMMYFUNCTION("""COMPUTED_VALUE"""),3839.0)</f>
        <v>3839</v>
      </c>
      <c r="P63" s="222" t="str">
        <f>IFERROR(__xludf.DUMMYFUNCTION("""COMPUTED_VALUE"""),"VIGENTE")</f>
        <v>VIGENTE</v>
      </c>
      <c r="Q63" s="8" t="str">
        <f t="shared" si="2"/>
        <v>--</v>
      </c>
      <c r="W63" s="237" t="str">
        <f>CALENDARIO!V74</f>
        <v/>
      </c>
      <c r="Y63" s="103">
        <f>IFERROR(__xludf.DUMMYFUNCTION("""COMPUTED_VALUE"""),2856.0)</f>
        <v>2856</v>
      </c>
      <c r="Z63" s="103">
        <f>IF(AB63="","",VLOOKUP(Y63,'BD LUB'!$A$2:$L$223,5,FALSE)/VLOOKUP(Y63,'BD LUB'!$A$2:$L$223,7,FALSE)+(VLOOKUP(Y63,'BD LUB'!$A$2:$L$223,6,FALSE)/VLOOKUP(Y63,'BD LUB'!$A$2:$L$223,8,FALSE)))</f>
        <v>1.027288889</v>
      </c>
      <c r="AA63" s="103">
        <f t="array" ref="AA63">IF(Y63="","",IFERROR(
  CHOOSE(
    MATCH(
      XLOOKUP(Y63,'BD MPP'!$B61:$B282,'BD MPP'!$I61:I282)&amp;"-"&amp;
      XLOOKUP(Y63,'BD MPP'!$B61:$B282,'BD MPP'!$J61:J282),
      {"PASADO-PASADO";
       "PASADO-PROXIMO";
       "PROXIMO-PASADO";
       "PASADO-VIGENTE";
       "VIGENTE-PASADO";
       "PROXIMO-PROXIMO";
       "PROXIMO-VIGENTE";
       "VIGENTE-PROXIMO";
       "VIGENTE-VIGENTE"},
      0
    ),
    1,2,2,3,3,4,5,5,6
  ),
"No definido"))</f>
        <v>5</v>
      </c>
      <c r="AB63" s="103">
        <f>IFERROR(__xludf.DUMMYFUNCTION("""COMPUTED_VALUE"""),2623.0)</f>
        <v>2623</v>
      </c>
      <c r="AC63" s="241">
        <f>IF(AB63="","",VLOOKUP(AB63,'BD LUB'!$A$2:$L$223,5,FALSE)/VLOOKUP(AB63,'BD LUB'!$A$2:$L$223,7,FALSE)+(VLOOKUP(AB63,'BD LUB'!$A$2:$L$223,6,FALSE)/VLOOKUP(AB63,'BD LUB'!$A$2:$L$223,8,FALSE)))</f>
        <v>0.5432177778</v>
      </c>
      <c r="AD63" s="103"/>
      <c r="AE63" s="103">
        <f>IFERROR(__xludf.DUMMYFUNCTION("""COMPUTED_VALUE"""),2421.0)</f>
        <v>2421</v>
      </c>
      <c r="AF63" s="103"/>
      <c r="AG63" s="103"/>
      <c r="AH63" s="103"/>
    </row>
    <row r="64">
      <c r="A64" s="158"/>
      <c r="B64" s="220">
        <v>61.0</v>
      </c>
      <c r="C64" s="78">
        <f>IFERROR(__xludf.DUMMYFUNCTION("""COMPUTED_VALUE"""),2923.0)</f>
        <v>2923</v>
      </c>
      <c r="D64" s="221">
        <f>IFERROR(__xludf.DUMMYFUNCTION("""COMPUTED_VALUE"""),46318.0)</f>
        <v>46318</v>
      </c>
      <c r="E64" s="78" t="str">
        <f>IFERROR(__xludf.DUMMYFUNCTION("""COMPUTED_VALUE"""),"BULTOS")</f>
        <v>BULTOS</v>
      </c>
      <c r="F64" s="156">
        <f>IFERROR(__xludf.DUMMYFUNCTION("""COMPUTED_VALUE"""),46119.0)</f>
        <v>46119</v>
      </c>
      <c r="G64" s="159">
        <f>IFERROR(__xludf.DUMMYFUNCTION("""COMPUTED_VALUE"""),97.0)</f>
        <v>97</v>
      </c>
      <c r="H64" s="222" t="str">
        <f>IFERROR(__xludf.DUMMYFUNCTION("""COMPUTED_VALUE"""),"PASADO")</f>
        <v>PASADO</v>
      </c>
      <c r="I64" s="173" t="str">
        <f t="shared" si="1"/>
        <v>NO PEDIDO</v>
      </c>
      <c r="J64" s="103"/>
      <c r="K64" s="220">
        <v>61.0</v>
      </c>
      <c r="L64" s="78">
        <f>IFERROR(__xludf.DUMMYFUNCTION("""COMPUTED_VALUE"""),2885.0)</f>
        <v>2885</v>
      </c>
      <c r="M64" s="221">
        <f>IFERROR(__xludf.DUMMYFUNCTION("""COMPUTED_VALUE"""),46233.0)</f>
        <v>46233</v>
      </c>
      <c r="N64" s="78" t="str">
        <f>IFERROR(__xludf.DUMMYFUNCTION("""COMPUTED_VALUE"""),"MAYORCA")</f>
        <v>MAYORCA</v>
      </c>
      <c r="O64" s="159">
        <f>IFERROR(__xludf.DUMMYFUNCTION("""COMPUTED_VALUE"""),3647.0)</f>
        <v>3647</v>
      </c>
      <c r="P64" s="222" t="str">
        <f>IFERROR(__xludf.DUMMYFUNCTION("""COMPUTED_VALUE"""),"VIGENTE")</f>
        <v>VIGENTE</v>
      </c>
      <c r="Q64" s="8" t="str">
        <f t="shared" si="2"/>
        <v>--</v>
      </c>
      <c r="W64" s="237" t="str">
        <f>CALENDARIO!V75</f>
        <v/>
      </c>
      <c r="Y64" s="103">
        <f>IFERROR(__xludf.DUMMYFUNCTION("""COMPUTED_VALUE"""),2660.0)</f>
        <v>2660</v>
      </c>
      <c r="Z64" s="103">
        <f>IF(AB64="","",VLOOKUP(Y64,'BD LUB'!$A$2:$L$223,5,FALSE)/VLOOKUP(Y64,'BD LUB'!$A$2:$L$223,7,FALSE)+(VLOOKUP(Y64,'BD LUB'!$A$2:$L$223,6,FALSE)/VLOOKUP(Y64,'BD LUB'!$A$2:$L$223,8,FALSE)))</f>
        <v>1.1486</v>
      </c>
      <c r="AA64" s="103">
        <f t="array" ref="AA64">IF(Y64="","",IFERROR(
  CHOOSE(
    MATCH(
      XLOOKUP(Y64,'BD MPP'!$B62:$B283,'BD MPP'!$I62:I283)&amp;"-"&amp;
      XLOOKUP(Y64,'BD MPP'!$B62:$B283,'BD MPP'!$J62:J283),
      {"PASADO-PASADO";
       "PASADO-PROXIMO";
       "PROXIMO-PASADO";
       "PASADO-VIGENTE";
       "VIGENTE-PASADO";
       "PROXIMO-PROXIMO";
       "PROXIMO-VIGENTE";
       "VIGENTE-PROXIMO";
       "VIGENTE-VIGENTE"},
      0
    ),
    1,2,2,3,3,4,5,5,6
  ),
"No definido"))</f>
        <v>5</v>
      </c>
      <c r="AB64" s="103">
        <f>IFERROR(__xludf.DUMMYFUNCTION("""COMPUTED_VALUE"""),2570.0)</f>
        <v>2570</v>
      </c>
      <c r="AC64" s="241">
        <f>IF(AB64="","",VLOOKUP(AB64,'BD LUB'!$A$2:$L$223,5,FALSE)/VLOOKUP(AB64,'BD LUB'!$A$2:$L$223,7,FALSE)+(VLOOKUP(AB64,'BD LUB'!$A$2:$L$223,6,FALSE)/VLOOKUP(AB64,'BD LUB'!$A$2:$L$223,8,FALSE)))</f>
        <v>0.3746222222</v>
      </c>
      <c r="AD64" s="103"/>
      <c r="AE64" s="103">
        <f>IFERROR(__xludf.DUMMYFUNCTION("""COMPUTED_VALUE"""),2432.0)</f>
        <v>2432</v>
      </c>
      <c r="AF64" s="103"/>
      <c r="AG64" s="103"/>
      <c r="AH64" s="103"/>
    </row>
    <row r="65">
      <c r="A65" s="158"/>
      <c r="B65" s="220">
        <v>62.0</v>
      </c>
      <c r="C65" s="78">
        <f>IFERROR(__xludf.DUMMYFUNCTION("""COMPUTED_VALUE"""),2895.0)</f>
        <v>2895</v>
      </c>
      <c r="D65" s="221">
        <f>IFERROR(__xludf.DUMMYFUNCTION("""COMPUTED_VALUE"""),46242.0)</f>
        <v>46242</v>
      </c>
      <c r="E65" s="78" t="str">
        <f>IFERROR(__xludf.DUMMYFUNCTION("""COMPUTED_VALUE"""),"31-Copacabana")</f>
        <v>31-Copacabana</v>
      </c>
      <c r="F65" s="156">
        <f>IFERROR(__xludf.DUMMYFUNCTION("""COMPUTED_VALUE"""),46119.0)</f>
        <v>46119</v>
      </c>
      <c r="G65" s="159">
        <f>IFERROR(__xludf.DUMMYFUNCTION("""COMPUTED_VALUE"""),97.0)</f>
        <v>97</v>
      </c>
      <c r="H65" s="222" t="str">
        <f>IFERROR(__xludf.DUMMYFUNCTION("""COMPUTED_VALUE"""),"PASADO")</f>
        <v>PASADO</v>
      </c>
      <c r="I65" s="173" t="str">
        <f t="shared" si="1"/>
        <v>NO PEDIDO</v>
      </c>
      <c r="J65" s="103"/>
      <c r="K65" s="220">
        <v>62.0</v>
      </c>
      <c r="L65" s="78">
        <f>IFERROR(__xludf.DUMMYFUNCTION("""COMPUTED_VALUE"""),2881.0)</f>
        <v>2881</v>
      </c>
      <c r="M65" s="221">
        <f>IFERROR(__xludf.DUMMYFUNCTION("""COMPUTED_VALUE"""),46226.0)</f>
        <v>46226</v>
      </c>
      <c r="N65" s="78" t="str">
        <f>IFERROR(__xludf.DUMMYFUNCTION("""COMPUTED_VALUE"""),"02-Medellin")</f>
        <v>02-Medellin</v>
      </c>
      <c r="O65" s="159">
        <f>IFERROR(__xludf.DUMMYFUNCTION("""COMPUTED_VALUE"""),3629.0)</f>
        <v>3629</v>
      </c>
      <c r="P65" s="222" t="str">
        <f>IFERROR(__xludf.DUMMYFUNCTION("""COMPUTED_VALUE"""),"VIGENTE")</f>
        <v>VIGENTE</v>
      </c>
      <c r="Q65" s="8" t="str">
        <f t="shared" si="2"/>
        <v>--</v>
      </c>
      <c r="W65" s="237" t="str">
        <f>CALENDARIO!V76</f>
        <v/>
      </c>
      <c r="Y65" s="8">
        <f>IFERROR(__xludf.DUMMYFUNCTION("""COMPUTED_VALUE"""),2421.0)</f>
        <v>2421</v>
      </c>
      <c r="Z65" s="8">
        <f>IF(AB65="","",VLOOKUP(Y65,'BD LUB'!$A$2:$L$223,5,FALSE)/VLOOKUP(Y65,'BD LUB'!$A$2:$L$223,7,FALSE)+(VLOOKUP(Y65,'BD LUB'!$A$2:$L$223,6,FALSE)/VLOOKUP(Y65,'BD LUB'!$A$2:$L$223,8,FALSE)))</f>
        <v>0.4673755556</v>
      </c>
      <c r="AA65" s="8">
        <f t="array" ref="AA65">IF(Y65="","",IFERROR(
  CHOOSE(
    MATCH(
      XLOOKUP(Y65,'BD MPP'!$B63:$B284,'BD MPP'!$I63:I284)&amp;"-"&amp;
      XLOOKUP(Y65,'BD MPP'!$B63:$B284,'BD MPP'!$J63:J284),
      {"PASADO-PASADO";
       "PASADO-PROXIMO";
       "PROXIMO-PASADO";
       "PASADO-VIGENTE";
       "VIGENTE-PASADO";
       "PROXIMO-PROXIMO";
       "PROXIMO-VIGENTE";
       "VIGENTE-PROXIMO";
       "VIGENTE-VIGENTE"},
      0
    ),
    1,2,2,3,3,4,5,5,6
  ),
"No definido"))</f>
        <v>5</v>
      </c>
      <c r="AB65" s="8">
        <f>IFERROR(__xludf.DUMMYFUNCTION("""COMPUTED_VALUE"""),3275.0)</f>
        <v>3275</v>
      </c>
      <c r="AC65" s="200">
        <f>IF(AB65="","",VLOOKUP(AB65,'BD LUB'!$A$2:$L$223,5,FALSE)/VLOOKUP(AB65,'BD LUB'!$A$2:$L$223,7,FALSE)+(VLOOKUP(AB65,'BD LUB'!$A$2:$L$223,6,FALSE)/VLOOKUP(AB65,'BD LUB'!$A$2:$L$223,8,FALSE)))</f>
        <v>1.732511111</v>
      </c>
      <c r="AE65" s="8">
        <f>IFERROR(__xludf.DUMMYFUNCTION("""COMPUTED_VALUE"""),2388.0)</f>
        <v>2388</v>
      </c>
    </row>
    <row r="66">
      <c r="A66" s="158"/>
      <c r="B66" s="220">
        <v>63.0</v>
      </c>
      <c r="C66" s="78">
        <f>IFERROR(__xludf.DUMMYFUNCTION("""COMPUTED_VALUE"""),2850.0)</f>
        <v>2850</v>
      </c>
      <c r="D66" s="221">
        <f>IFERROR(__xludf.DUMMYFUNCTION("""COMPUTED_VALUE"""),46570.0)</f>
        <v>46570</v>
      </c>
      <c r="E66" s="78" t="str">
        <f>IFERROR(__xludf.DUMMYFUNCTION("""COMPUTED_VALUE"""),"MAYORCA")</f>
        <v>MAYORCA</v>
      </c>
      <c r="F66" s="156">
        <f>IFERROR(__xludf.DUMMYFUNCTION("""COMPUTED_VALUE"""),46119.0)</f>
        <v>46119</v>
      </c>
      <c r="G66" s="159">
        <f>IFERROR(__xludf.DUMMYFUNCTION("""COMPUTED_VALUE"""),97.0)</f>
        <v>97</v>
      </c>
      <c r="H66" s="222" t="str">
        <f>IFERROR(__xludf.DUMMYFUNCTION("""COMPUTED_VALUE"""),"PASADO")</f>
        <v>PASADO</v>
      </c>
      <c r="I66" s="173" t="str">
        <f t="shared" si="1"/>
        <v>NO PEDIDO</v>
      </c>
      <c r="J66" s="103"/>
      <c r="K66" s="220">
        <v>63.0</v>
      </c>
      <c r="L66" s="78">
        <f>IFERROR(__xludf.DUMMYFUNCTION("""COMPUTED_VALUE"""),2889.0)</f>
        <v>2889</v>
      </c>
      <c r="M66" s="221">
        <f>IFERROR(__xludf.DUMMYFUNCTION("""COMPUTED_VALUE"""),46233.0)</f>
        <v>46233</v>
      </c>
      <c r="N66" s="78" t="str">
        <f>IFERROR(__xludf.DUMMYFUNCTION("""COMPUTED_VALUE"""),"31-Copacabana")</f>
        <v>31-Copacabana</v>
      </c>
      <c r="O66" s="159">
        <f>IFERROR(__xludf.DUMMYFUNCTION("""COMPUTED_VALUE"""),3628.0)</f>
        <v>3628</v>
      </c>
      <c r="P66" s="222" t="str">
        <f>IFERROR(__xludf.DUMMYFUNCTION("""COMPUTED_VALUE"""),"VIGENTE")</f>
        <v>VIGENTE</v>
      </c>
      <c r="Q66" s="8" t="str">
        <f t="shared" si="2"/>
        <v>--</v>
      </c>
      <c r="W66" s="237" t="str">
        <f>CALENDARIO!V77</f>
        <v/>
      </c>
      <c r="Y66" s="8">
        <f>IFERROR(__xludf.DUMMYFUNCTION("""COMPUTED_VALUE"""),2276.0)</f>
        <v>2276</v>
      </c>
      <c r="Z66" s="8">
        <f>IF(AB66="","",VLOOKUP(Y66,'BD LUB'!$A$2:$L$223,5,FALSE)/VLOOKUP(Y66,'BD LUB'!$A$2:$L$223,7,FALSE)+(VLOOKUP(Y66,'BD LUB'!$A$2:$L$223,6,FALSE)/VLOOKUP(Y66,'BD LUB'!$A$2:$L$223,8,FALSE)))</f>
        <v>2.172864444</v>
      </c>
      <c r="AA66" s="8">
        <f t="array" ref="AA66">IF(Y66="","",IFERROR(
  CHOOSE(
    MATCH(
      XLOOKUP(Y66,'BD MPP'!$B64:$B285,'BD MPP'!$I64:I285)&amp;"-"&amp;
      XLOOKUP(Y66,'BD MPP'!$B64:$B285,'BD MPP'!$J64:J285),
      {"PASADO-PASADO";
       "PASADO-PROXIMO";
       "PROXIMO-PASADO";
       "PASADO-VIGENTE";
       "VIGENTE-PASADO";
       "PROXIMO-PROXIMO";
       "PROXIMO-VIGENTE";
       "VIGENTE-PROXIMO";
       "VIGENTE-VIGENTE"},
      0
    ),
    1,2,2,3,3,4,5,5,6
  ),
"No definido"))</f>
        <v>5</v>
      </c>
      <c r="AB66" s="8">
        <f>IFERROR(__xludf.DUMMYFUNCTION("""COMPUTED_VALUE"""),3264.0)</f>
        <v>3264</v>
      </c>
      <c r="AC66" s="200">
        <f>IF(AB66="","",VLOOKUP(AB66,'BD LUB'!$A$2:$L$223,5,FALSE)/VLOOKUP(AB66,'BD LUB'!$A$2:$L$223,7,FALSE)+(VLOOKUP(AB66,'BD LUB'!$A$2:$L$223,6,FALSE)/VLOOKUP(AB66,'BD LUB'!$A$2:$L$223,8,FALSE)))</f>
        <v>1.305911111</v>
      </c>
      <c r="AE66" s="8">
        <f>IFERROR(__xludf.DUMMYFUNCTION("""COMPUTED_VALUE"""),2187.0)</f>
        <v>2187</v>
      </c>
    </row>
    <row r="67">
      <c r="A67" s="158"/>
      <c r="B67" s="220">
        <v>64.0</v>
      </c>
      <c r="C67" s="78">
        <f>IFERROR(__xludf.DUMMYFUNCTION("""COMPUTED_VALUE"""),2656.0)</f>
        <v>2656</v>
      </c>
      <c r="D67" s="221">
        <f>IFERROR(__xludf.DUMMYFUNCTION("""COMPUTED_VALUE"""),46485.0)</f>
        <v>46485</v>
      </c>
      <c r="E67" s="78" t="str">
        <f>IFERROR(__xludf.DUMMYFUNCTION("""COMPUTED_VALUE"""),"02-Medellin")</f>
        <v>02-Medellin</v>
      </c>
      <c r="F67" s="156">
        <f>IFERROR(__xludf.DUMMYFUNCTION("""COMPUTED_VALUE"""),46119.0)</f>
        <v>46119</v>
      </c>
      <c r="G67" s="159">
        <f>IFERROR(__xludf.DUMMYFUNCTION("""COMPUTED_VALUE"""),97.0)</f>
        <v>97</v>
      </c>
      <c r="H67" s="222" t="str">
        <f>IFERROR(__xludf.DUMMYFUNCTION("""COMPUTED_VALUE"""),"PASADO")</f>
        <v>PASADO</v>
      </c>
      <c r="I67" s="173" t="str">
        <f t="shared" si="1"/>
        <v>NO PEDIDO</v>
      </c>
      <c r="J67" s="103"/>
      <c r="K67" s="220">
        <v>64.0</v>
      </c>
      <c r="L67" s="78">
        <f>IFERROR(__xludf.DUMMYFUNCTION("""COMPUTED_VALUE"""),2888.0)</f>
        <v>2888</v>
      </c>
      <c r="M67" s="221">
        <f>IFERROR(__xludf.DUMMYFUNCTION("""COMPUTED_VALUE"""),46233.0)</f>
        <v>46233</v>
      </c>
      <c r="N67" s="78" t="str">
        <f>IFERROR(__xludf.DUMMYFUNCTION("""COMPUTED_VALUE"""),"24-Rionegro")</f>
        <v>24-Rionegro</v>
      </c>
      <c r="O67" s="159">
        <f>IFERROR(__xludf.DUMMYFUNCTION("""COMPUTED_VALUE"""),3607.0)</f>
        <v>3607</v>
      </c>
      <c r="P67" s="222" t="str">
        <f>IFERROR(__xludf.DUMMYFUNCTION("""COMPUTED_VALUE"""),"VIGENTE")</f>
        <v>VIGENTE</v>
      </c>
      <c r="Q67" s="8" t="str">
        <f t="shared" si="2"/>
        <v>--</v>
      </c>
      <c r="W67" s="237" t="str">
        <f>CALENDARIO!V78</f>
        <v/>
      </c>
      <c r="Y67" s="8">
        <f>IFERROR(__xludf.DUMMYFUNCTION("""COMPUTED_VALUE"""),461.0)</f>
        <v>461</v>
      </c>
      <c r="Z67" s="8">
        <f>IF(AB67="","",VLOOKUP(Y67,'BD LUB'!$A$2:$L$223,5,FALSE)/VLOOKUP(Y67,'BD LUB'!$A$2:$L$223,7,FALSE)+(VLOOKUP(Y67,'BD LUB'!$A$2:$L$223,6,FALSE)/VLOOKUP(Y67,'BD LUB'!$A$2:$L$223,8,FALSE)))</f>
        <v>1.008716667</v>
      </c>
      <c r="AA67" s="8">
        <f t="array" ref="AA67">IF(Y67="","",IFERROR(
  CHOOSE(
    MATCH(
      XLOOKUP(Y67,'BD MPP'!$B65:$B286,'BD MPP'!$I65:I286)&amp;"-"&amp;
      XLOOKUP(Y67,'BD MPP'!$B65:$B286,'BD MPP'!$J65:J286),
      {"PASADO-PASADO";
       "PASADO-PROXIMO";
       "PROXIMO-PASADO";
       "PASADO-VIGENTE";
       "VIGENTE-PASADO";
       "PROXIMO-PROXIMO";
       "PROXIMO-VIGENTE";
       "VIGENTE-PROXIMO";
       "VIGENTE-VIGENTE"},
      0
    ),
    1,2,2,3,3,4,5,5,6
  ),
"No definido"))</f>
        <v>2</v>
      </c>
      <c r="AB67" s="8">
        <f>IFERROR(__xludf.DUMMYFUNCTION("""COMPUTED_VALUE"""),2880.0)</f>
        <v>2880</v>
      </c>
      <c r="AC67" s="200">
        <f>IF(AB67="","",VLOOKUP(AB67,'BD LUB'!$A$2:$L$223,5,FALSE)/VLOOKUP(AB67,'BD LUB'!$A$2:$L$223,7,FALSE)+(VLOOKUP(AB67,'BD LUB'!$A$2:$L$223,6,FALSE)/VLOOKUP(AB67,'BD LUB'!$A$2:$L$223,8,FALSE)))</f>
        <v>3.086922222</v>
      </c>
      <c r="AE67" s="8">
        <f>IFERROR(__xludf.DUMMYFUNCTION("""COMPUTED_VALUE"""),2466.0)</f>
        <v>2466</v>
      </c>
    </row>
    <row r="68">
      <c r="A68" s="158"/>
      <c r="B68" s="220">
        <v>65.0</v>
      </c>
      <c r="C68" s="78">
        <f>IFERROR(__xludf.DUMMYFUNCTION("""COMPUTED_VALUE"""),2921.0)</f>
        <v>2921</v>
      </c>
      <c r="D68" s="221">
        <f>IFERROR(__xludf.DUMMYFUNCTION("""COMPUTED_VALUE"""),46318.0)</f>
        <v>46318</v>
      </c>
      <c r="E68" s="78" t="str">
        <f>IFERROR(__xludf.DUMMYFUNCTION("""COMPUTED_VALUE"""),"MAYORCA")</f>
        <v>MAYORCA</v>
      </c>
      <c r="F68" s="156">
        <f>IFERROR(__xludf.DUMMYFUNCTION("""COMPUTED_VALUE"""),46121.0)</f>
        <v>46121</v>
      </c>
      <c r="G68" s="159">
        <f>IFERROR(__xludf.DUMMYFUNCTION("""COMPUTED_VALUE"""),95.0)</f>
        <v>95</v>
      </c>
      <c r="H68" s="222" t="str">
        <f>IFERROR(__xludf.DUMMYFUNCTION("""COMPUTED_VALUE"""),"PASADO")</f>
        <v>PASADO</v>
      </c>
      <c r="I68" s="173" t="str">
        <f t="shared" si="1"/>
        <v>NO PEDIDO</v>
      </c>
      <c r="J68" s="103"/>
      <c r="K68" s="220">
        <v>65.0</v>
      </c>
      <c r="L68" s="78">
        <f>IFERROR(__xludf.DUMMYFUNCTION("""COMPUTED_VALUE"""),2845.0)</f>
        <v>2845</v>
      </c>
      <c r="M68" s="221">
        <f>IFERROR(__xludf.DUMMYFUNCTION("""COMPUTED_VALUE"""),46561.0)</f>
        <v>46561</v>
      </c>
      <c r="N68" s="78" t="str">
        <f>IFERROR(__xludf.DUMMYFUNCTION("""COMPUTED_VALUE"""),"02-Medellin")</f>
        <v>02-Medellin</v>
      </c>
      <c r="O68" s="159">
        <f>IFERROR(__xludf.DUMMYFUNCTION("""COMPUTED_VALUE"""),3595.0)</f>
        <v>3595</v>
      </c>
      <c r="P68" s="222" t="str">
        <f>IFERROR(__xludf.DUMMYFUNCTION("""COMPUTED_VALUE"""),"VIGENTE")</f>
        <v>VIGENTE</v>
      </c>
      <c r="Q68" s="8" t="str">
        <f t="shared" si="2"/>
        <v>--</v>
      </c>
      <c r="W68" s="237" t="str">
        <f>CALENDARIO!V79</f>
        <v/>
      </c>
      <c r="Y68" s="8">
        <f>IFERROR(__xludf.DUMMYFUNCTION("""COMPUTED_VALUE"""),3279.0)</f>
        <v>3279</v>
      </c>
      <c r="Z68" s="8">
        <f>IF(AB68="","",VLOOKUP(Y68,'BD LUB'!$A$2:$L$223,5,FALSE)/VLOOKUP(Y68,'BD LUB'!$A$2:$L$223,7,FALSE)+(VLOOKUP(Y68,'BD LUB'!$A$2:$L$223,6,FALSE)/VLOOKUP(Y68,'BD LUB'!$A$2:$L$223,8,FALSE)))</f>
        <v>1.1684</v>
      </c>
      <c r="AA68" s="8" t="str">
        <f t="array" ref="AA68">IF(Y68="","",IFERROR(
  CHOOSE(
    MATCH(
      XLOOKUP(Y68,'BD MPP'!$B66:$B287,'BD MPP'!$I66:I287)&amp;"-"&amp;
      XLOOKUP(Y68,'BD MPP'!$B66:$B287,'BD MPP'!$J66:J287),
      {"PASADO-PASADO";
       "PASADO-PROXIMO";
       "PROXIMO-PASADO";
       "PASADO-VIGENTE";
       "VIGENTE-PASADO";
       "PROXIMO-PROXIMO";
       "PROXIMO-VIGENTE";
       "VIGENTE-PROXIMO";
       "VIGENTE-VIGENTE"},
      0
    ),
    1,2,2,3,3,4,5,5,6
  ),
"No definido"))</f>
        <v>No definido</v>
      </c>
      <c r="AB68" s="8">
        <f>IFERROR(__xludf.DUMMYFUNCTION("""COMPUTED_VALUE"""),2856.0)</f>
        <v>2856</v>
      </c>
      <c r="AC68" s="200">
        <f>IF(AB68="","",VLOOKUP(AB68,'BD LUB'!$A$2:$L$223,5,FALSE)/VLOOKUP(AB68,'BD LUB'!$A$2:$L$223,7,FALSE)+(VLOOKUP(AB68,'BD LUB'!$A$2:$L$223,6,FALSE)/VLOOKUP(AB68,'BD LUB'!$A$2:$L$223,8,FALSE)))</f>
        <v>1.027288889</v>
      </c>
      <c r="AE68" s="8">
        <f>IFERROR(__xludf.DUMMYFUNCTION("""COMPUTED_VALUE"""),2656.0)</f>
        <v>2656</v>
      </c>
    </row>
    <row r="69">
      <c r="A69" s="158"/>
      <c r="B69" s="220">
        <v>66.0</v>
      </c>
      <c r="C69" s="78">
        <f>IFERROR(__xludf.DUMMYFUNCTION("""COMPUTED_VALUE"""),2879.0)</f>
        <v>2879</v>
      </c>
      <c r="D69" s="221">
        <f>IFERROR(__xludf.DUMMYFUNCTION("""COMPUTED_VALUE"""),46226.0)</f>
        <v>46226</v>
      </c>
      <c r="E69" s="78" t="str">
        <f>IFERROR(__xludf.DUMMYFUNCTION("""COMPUTED_VALUE"""),"02-Medellin")</f>
        <v>02-Medellin</v>
      </c>
      <c r="F69" s="156">
        <f>IFERROR(__xludf.DUMMYFUNCTION("""COMPUTED_VALUE"""),46121.0)</f>
        <v>46121</v>
      </c>
      <c r="G69" s="159">
        <f>IFERROR(__xludf.DUMMYFUNCTION("""COMPUTED_VALUE"""),95.0)</f>
        <v>95</v>
      </c>
      <c r="H69" s="222" t="str">
        <f>IFERROR(__xludf.DUMMYFUNCTION("""COMPUTED_VALUE"""),"PASADO")</f>
        <v>PASADO</v>
      </c>
      <c r="I69" s="173" t="str">
        <f t="shared" si="1"/>
        <v>NO PEDIDO</v>
      </c>
      <c r="J69" s="103"/>
      <c r="K69" s="220">
        <v>66.0</v>
      </c>
      <c r="L69" s="78">
        <f>IFERROR(__xludf.DUMMYFUNCTION("""COMPUTED_VALUE"""),2671.0)</f>
        <v>2671</v>
      </c>
      <c r="M69" s="221">
        <f>IFERROR(__xludf.DUMMYFUNCTION("""COMPUTED_VALUE"""),46507.0)</f>
        <v>46507</v>
      </c>
      <c r="N69" s="78" t="str">
        <f>IFERROR(__xludf.DUMMYFUNCTION("""COMPUTED_VALUE"""),"MAYORCA")</f>
        <v>MAYORCA</v>
      </c>
      <c r="O69" s="159">
        <f>IFERROR(__xludf.DUMMYFUNCTION("""COMPUTED_VALUE"""),3546.7)</f>
        <v>3546.7</v>
      </c>
      <c r="P69" s="222" t="str">
        <f>IFERROR(__xludf.DUMMYFUNCTION("""COMPUTED_VALUE"""),"VIGENTE")</f>
        <v>VIGENTE</v>
      </c>
      <c r="Q69" s="8" t="str">
        <f t="shared" si="2"/>
        <v>--</v>
      </c>
      <c r="W69" s="237" t="str">
        <f>CALENDARIO!V80</f>
        <v/>
      </c>
      <c r="Y69" s="8">
        <f>IFERROR(__xludf.DUMMYFUNCTION("""COMPUTED_VALUE"""),2675.0)</f>
        <v>2675</v>
      </c>
      <c r="Z69" s="8">
        <f>IF(AB69="","",VLOOKUP(Y69,'BD LUB'!$A$2:$L$223,5,FALSE)/VLOOKUP(Y69,'BD LUB'!$A$2:$L$223,7,FALSE)+(VLOOKUP(Y69,'BD LUB'!$A$2:$L$223,6,FALSE)/VLOOKUP(Y69,'BD LUB'!$A$2:$L$223,8,FALSE)))</f>
        <v>1.357418889</v>
      </c>
      <c r="AA69" s="8">
        <f t="array" ref="AA69">IF(Y69="","",IFERROR(
  CHOOSE(
    MATCH(
      XLOOKUP(Y69,'BD MPP'!$B67:$B288,'BD MPP'!$I67:I288)&amp;"-"&amp;
      XLOOKUP(Y69,'BD MPP'!$B67:$B288,'BD MPP'!$J67:J288),
      {"PASADO-PASADO";
       "PASADO-PROXIMO";
       "PROXIMO-PASADO";
       "PASADO-VIGENTE";
       "VIGENTE-PASADO";
       "PROXIMO-PROXIMO";
       "PROXIMO-VIGENTE";
       "VIGENTE-PROXIMO";
       "VIGENTE-VIGENTE"},
      0
    ),
    1,2,2,3,3,4,5,5,6
  ),
"No definido"))</f>
        <v>5</v>
      </c>
      <c r="AB69" s="8">
        <f>IFERROR(__xludf.DUMMYFUNCTION("""COMPUTED_VALUE"""),2660.0)</f>
        <v>2660</v>
      </c>
      <c r="AC69" s="200">
        <f>IF(AB69="","",VLOOKUP(AB69,'BD LUB'!$A$2:$L$223,5,FALSE)/VLOOKUP(AB69,'BD LUB'!$A$2:$L$223,7,FALSE)+(VLOOKUP(AB69,'BD LUB'!$A$2:$L$223,6,FALSE)/VLOOKUP(AB69,'BD LUB'!$A$2:$L$223,8,FALSE)))</f>
        <v>1.1486</v>
      </c>
      <c r="AE69" s="8">
        <f>IFERROR(__xludf.DUMMYFUNCTION("""COMPUTED_VALUE"""),2468.0)</f>
        <v>2468</v>
      </c>
    </row>
    <row r="70">
      <c r="A70" s="158"/>
      <c r="B70" s="220">
        <v>67.0</v>
      </c>
      <c r="C70" s="78">
        <f>IFERROR(__xludf.DUMMYFUNCTION("""COMPUTED_VALUE"""),2661.0)</f>
        <v>2661</v>
      </c>
      <c r="D70" s="221">
        <f>IFERROR(__xludf.DUMMYFUNCTION("""COMPUTED_VALUE"""),46489.0)</f>
        <v>46489</v>
      </c>
      <c r="E70" s="78" t="str">
        <f>IFERROR(__xludf.DUMMYFUNCTION("""COMPUTED_VALUE"""),"02-Medellin")</f>
        <v>02-Medellin</v>
      </c>
      <c r="F70" s="156">
        <f>IFERROR(__xludf.DUMMYFUNCTION("""COMPUTED_VALUE"""),46122.0)</f>
        <v>46122</v>
      </c>
      <c r="G70" s="159">
        <f>IFERROR(__xludf.DUMMYFUNCTION("""COMPUTED_VALUE"""),94.0)</f>
        <v>94</v>
      </c>
      <c r="H70" s="222" t="str">
        <f>IFERROR(__xludf.DUMMYFUNCTION("""COMPUTED_VALUE"""),"PASADO")</f>
        <v>PASADO</v>
      </c>
      <c r="I70" s="173" t="str">
        <f t="shared" si="1"/>
        <v>NO PEDIDO</v>
      </c>
      <c r="J70" s="103"/>
      <c r="K70" s="220">
        <v>67.0</v>
      </c>
      <c r="L70" s="78">
        <f>IFERROR(__xludf.DUMMYFUNCTION("""COMPUTED_VALUE"""),3048.0)</f>
        <v>3048</v>
      </c>
      <c r="M70" s="221">
        <f>IFERROR(__xludf.DUMMYFUNCTION("""COMPUTED_VALUE"""),46280.0)</f>
        <v>46280</v>
      </c>
      <c r="N70" s="78" t="str">
        <f>IFERROR(__xludf.DUMMYFUNCTION("""COMPUTED_VALUE"""),"02-Medellin")</f>
        <v>02-Medellin</v>
      </c>
      <c r="O70" s="159">
        <f>IFERROR(__xludf.DUMMYFUNCTION("""COMPUTED_VALUE"""),3533.5)</f>
        <v>3533.5</v>
      </c>
      <c r="P70" s="222" t="str">
        <f>IFERROR(__xludf.DUMMYFUNCTION("""COMPUTED_VALUE"""),"VIGENTE")</f>
        <v>VIGENTE</v>
      </c>
      <c r="Q70" s="8" t="str">
        <f t="shared" si="2"/>
        <v>--</v>
      </c>
      <c r="W70" s="237" t="str">
        <f>CALENDARIO!V81</f>
        <v/>
      </c>
      <c r="Y70" s="8">
        <f>IFERROR(__xludf.DUMMYFUNCTION("""COMPUTED_VALUE"""),3247.0)</f>
        <v>3247</v>
      </c>
      <c r="AA70" s="8" t="str">
        <f t="array" ref="AA70">IF(Y70="","",IFERROR(
  CHOOSE(
    MATCH(
      XLOOKUP(Y70,'BD MPP'!$B68:$B289,'BD MPP'!$I68:I289)&amp;"-"&amp;
      XLOOKUP(Y70,'BD MPP'!$B68:$B289,'BD MPP'!$J68:J289),
      {"PASADO-PASADO";
       "PASADO-PROXIMO";
       "PROXIMO-PASADO";
       "PASADO-VIGENTE";
       "VIGENTE-PASADO";
       "PROXIMO-PROXIMO";
       "PROXIMO-VIGENTE";
       "VIGENTE-PROXIMO";
       "VIGENTE-VIGENTE"},
      0
    ),
    1,2,2,3,3,4,5,5,6
  ),
"No definido"))</f>
        <v>No definido</v>
      </c>
      <c r="AB70" s="8">
        <f>IFERROR(__xludf.DUMMYFUNCTION("""COMPUTED_VALUE"""),2421.0)</f>
        <v>2421</v>
      </c>
      <c r="AC70" s="200">
        <f>IF(AB70="","",VLOOKUP(AB70,'BD LUB'!$A$2:$L$223,5,FALSE)/VLOOKUP(AB70,'BD LUB'!$A$2:$L$223,7,FALSE)+(VLOOKUP(AB70,'BD LUB'!$A$2:$L$223,6,FALSE)/VLOOKUP(AB70,'BD LUB'!$A$2:$L$223,8,FALSE)))</f>
        <v>0.4673755556</v>
      </c>
      <c r="AE70" s="8">
        <f>IFERROR(__xludf.DUMMYFUNCTION("""COMPUTED_VALUE"""),2570.0)</f>
        <v>2570</v>
      </c>
    </row>
    <row r="71">
      <c r="A71" s="158"/>
      <c r="B71" s="220">
        <v>68.0</v>
      </c>
      <c r="C71" s="78">
        <f>IFERROR(__xludf.DUMMYFUNCTION("""COMPUTED_VALUE"""),2659.0)</f>
        <v>2659</v>
      </c>
      <c r="D71" s="221">
        <f>IFERROR(__xludf.DUMMYFUNCTION("""COMPUTED_VALUE"""),46487.0)</f>
        <v>46487</v>
      </c>
      <c r="E71" s="78" t="str">
        <f>IFERROR(__xludf.DUMMYFUNCTION("""COMPUTED_VALUE"""),"02-Medellin")</f>
        <v>02-Medellin</v>
      </c>
      <c r="F71" s="156">
        <f>IFERROR(__xludf.DUMMYFUNCTION("""COMPUTED_VALUE"""),46122.0)</f>
        <v>46122</v>
      </c>
      <c r="G71" s="159">
        <f>IFERROR(__xludf.DUMMYFUNCTION("""COMPUTED_VALUE"""),94.0)</f>
        <v>94</v>
      </c>
      <c r="H71" s="222" t="str">
        <f>IFERROR(__xludf.DUMMYFUNCTION("""COMPUTED_VALUE"""),"PASADO")</f>
        <v>PASADO</v>
      </c>
      <c r="I71" s="173" t="str">
        <f t="shared" si="1"/>
        <v>NO PEDIDO</v>
      </c>
      <c r="J71" s="103"/>
      <c r="K71" s="220">
        <v>68.0</v>
      </c>
      <c r="L71" s="78">
        <f>IFERROR(__xludf.DUMMYFUNCTION("""COMPUTED_VALUE"""),2908.0)</f>
        <v>2908</v>
      </c>
      <c r="M71" s="221">
        <f>IFERROR(__xludf.DUMMYFUNCTION("""COMPUTED_VALUE"""),46275.0)</f>
        <v>46275</v>
      </c>
      <c r="N71" s="78" t="str">
        <f>IFERROR(__xludf.DUMMYFUNCTION("""COMPUTED_VALUE"""),"24-Rionegro")</f>
        <v>24-Rionegro</v>
      </c>
      <c r="O71" s="159">
        <f>IFERROR(__xludf.DUMMYFUNCTION("""COMPUTED_VALUE"""),3523.0)</f>
        <v>3523</v>
      </c>
      <c r="P71" s="222" t="str">
        <f>IFERROR(__xludf.DUMMYFUNCTION("""COMPUTED_VALUE"""),"VIGENTE")</f>
        <v>VIGENTE</v>
      </c>
      <c r="Q71" s="8" t="str">
        <f t="shared" si="2"/>
        <v>--</v>
      </c>
      <c r="W71" s="237" t="str">
        <f>CALENDARIO!V82</f>
        <v/>
      </c>
      <c r="Y71" s="8">
        <f>IFERROR(__xludf.DUMMYFUNCTION("""COMPUTED_VALUE"""),2424.0)</f>
        <v>2424</v>
      </c>
      <c r="AA71" s="8">
        <f t="array" ref="AA71">IF(Y71="","",IFERROR(
  CHOOSE(
    MATCH(
      XLOOKUP(Y71,'BD MPP'!$B69:$B290,'BD MPP'!$I69:I290)&amp;"-"&amp;
      XLOOKUP(Y71,'BD MPP'!$B69:$B290,'BD MPP'!$J69:J290),
      {"PASADO-PASADO";
       "PASADO-PROXIMO";
       "PROXIMO-PASADO";
       "PASADO-VIGENTE";
       "VIGENTE-PASADO";
       "PROXIMO-PROXIMO";
       "PROXIMO-VIGENTE";
       "VIGENTE-PROXIMO";
       "VIGENTE-VIGENTE"},
      0
    ),
    1,2,2,3,3,4,5,5,6
  ),
"No definido"))</f>
        <v>5</v>
      </c>
      <c r="AB71" s="8">
        <f>IFERROR(__xludf.DUMMYFUNCTION("""COMPUTED_VALUE"""),2276.0)</f>
        <v>2276</v>
      </c>
      <c r="AC71" s="200">
        <f>IF(AB71="","",VLOOKUP(AB71,'BD LUB'!$A$2:$L$223,5,FALSE)/VLOOKUP(AB71,'BD LUB'!$A$2:$L$223,7,FALSE)+(VLOOKUP(AB71,'BD LUB'!$A$2:$L$223,6,FALSE)/VLOOKUP(AB71,'BD LUB'!$A$2:$L$223,8,FALSE)))</f>
        <v>2.172864444</v>
      </c>
      <c r="AE71" s="8">
        <f>IFERROR(__xludf.DUMMYFUNCTION("""COMPUTED_VALUE"""),2857.0)</f>
        <v>2857</v>
      </c>
    </row>
    <row r="72">
      <c r="A72" s="158"/>
      <c r="B72" s="220">
        <v>69.0</v>
      </c>
      <c r="C72" s="78">
        <f>IFERROR(__xludf.DUMMYFUNCTION("""COMPUTED_VALUE"""),2623.0)</f>
        <v>2623</v>
      </c>
      <c r="D72" s="221">
        <f>IFERROR(__xludf.DUMMYFUNCTION("""COMPUTED_VALUE"""),46268.0)</f>
        <v>46268</v>
      </c>
      <c r="E72" s="78" t="str">
        <f>IFERROR(__xludf.DUMMYFUNCTION("""COMPUTED_VALUE"""),"02-Medellin")</f>
        <v>02-Medellin</v>
      </c>
      <c r="F72" s="156">
        <f>IFERROR(__xludf.DUMMYFUNCTION("""COMPUTED_VALUE"""),46122.0)</f>
        <v>46122</v>
      </c>
      <c r="G72" s="159">
        <f>IFERROR(__xludf.DUMMYFUNCTION("""COMPUTED_VALUE"""),94.0)</f>
        <v>94</v>
      </c>
      <c r="H72" s="222" t="str">
        <f>IFERROR(__xludf.DUMMYFUNCTION("""COMPUTED_VALUE"""),"PASADO")</f>
        <v>PASADO</v>
      </c>
      <c r="I72" s="173" t="str">
        <f t="shared" si="1"/>
        <v>NO PEDIDO</v>
      </c>
      <c r="J72" s="103"/>
      <c r="K72" s="220">
        <v>69.0</v>
      </c>
      <c r="L72" s="78">
        <f>IFERROR(__xludf.DUMMYFUNCTION("""COMPUTED_VALUE"""),2898.0)</f>
        <v>2898</v>
      </c>
      <c r="M72" s="221">
        <f>IFERROR(__xludf.DUMMYFUNCTION("""COMPUTED_VALUE"""),46242.0)</f>
        <v>46242</v>
      </c>
      <c r="N72" s="78" t="str">
        <f>IFERROR(__xludf.DUMMYFUNCTION("""COMPUTED_VALUE"""),"31-Copacabana")</f>
        <v>31-Copacabana</v>
      </c>
      <c r="O72" s="159">
        <f>IFERROR(__xludf.DUMMYFUNCTION("""COMPUTED_VALUE"""),3508.0)</f>
        <v>3508</v>
      </c>
      <c r="P72" s="222" t="str">
        <f>IFERROR(__xludf.DUMMYFUNCTION("""COMPUTED_VALUE"""),"VIGENTE")</f>
        <v>VIGENTE</v>
      </c>
      <c r="Q72" s="8" t="str">
        <f t="shared" si="2"/>
        <v>--</v>
      </c>
      <c r="W72" s="237" t="str">
        <f>CALENDARIO!V83</f>
        <v/>
      </c>
      <c r="Y72" s="8">
        <f>IFERROR(__xludf.DUMMYFUNCTION("""COMPUTED_VALUE"""),3231.0)</f>
        <v>3231</v>
      </c>
      <c r="AA72" s="8" t="str">
        <f t="array" ref="AA72">IF(Y72="","",IFERROR(
  CHOOSE(
    MATCH(
      XLOOKUP(Y72,'BD MPP'!$B70:$B291,'BD MPP'!$I70:I291)&amp;"-"&amp;
      XLOOKUP(Y72,'BD MPP'!$B70:$B291,'BD MPP'!$J70:J291),
      {"PASADO-PASADO";
       "PASADO-PROXIMO";
       "PROXIMO-PASADO";
       "PASADO-VIGENTE";
       "VIGENTE-PASADO";
       "PROXIMO-PROXIMO";
       "PROXIMO-VIGENTE";
       "VIGENTE-PROXIMO";
       "VIGENTE-VIGENTE"},
      0
    ),
    1,2,2,3,3,4,5,5,6
  ),
"No definido"))</f>
        <v>No definido</v>
      </c>
      <c r="AB72" s="8">
        <f>IFERROR(__xludf.DUMMYFUNCTION("""COMPUTED_VALUE"""),461.0)</f>
        <v>461</v>
      </c>
      <c r="AC72" s="200"/>
      <c r="AE72" s="8">
        <f>IFERROR(__xludf.DUMMYFUNCTION("""COMPUTED_VALUE"""),461.0)</f>
        <v>461</v>
      </c>
    </row>
    <row r="73">
      <c r="A73" s="158"/>
      <c r="B73" s="220">
        <v>70.0</v>
      </c>
      <c r="C73" s="78">
        <f>IFERROR(__xludf.DUMMYFUNCTION("""COMPUTED_VALUE"""),2570.0)</f>
        <v>2570</v>
      </c>
      <c r="D73" s="221">
        <f>IFERROR(__xludf.DUMMYFUNCTION("""COMPUTED_VALUE"""),46236.0)</f>
        <v>46236</v>
      </c>
      <c r="E73" s="78" t="str">
        <f>IFERROR(__xludf.DUMMYFUNCTION("""COMPUTED_VALUE"""),"02-Medellin")</f>
        <v>02-Medellin</v>
      </c>
      <c r="F73" s="156">
        <f>IFERROR(__xludf.DUMMYFUNCTION("""COMPUTED_VALUE"""),46122.0)</f>
        <v>46122</v>
      </c>
      <c r="G73" s="159">
        <f>IFERROR(__xludf.DUMMYFUNCTION("""COMPUTED_VALUE"""),94.0)</f>
        <v>94</v>
      </c>
      <c r="H73" s="222" t="str">
        <f>IFERROR(__xludf.DUMMYFUNCTION("""COMPUTED_VALUE"""),"PASADO")</f>
        <v>PASADO</v>
      </c>
      <c r="I73" s="173" t="str">
        <f t="shared" si="1"/>
        <v>NO PEDIDO</v>
      </c>
      <c r="J73" s="103"/>
      <c r="K73" s="220">
        <v>70.0</v>
      </c>
      <c r="L73" s="78">
        <f>IFERROR(__xludf.DUMMYFUNCTION("""COMPUTED_VALUE"""),2882.0)</f>
        <v>2882</v>
      </c>
      <c r="M73" s="221">
        <f>IFERROR(__xludf.DUMMYFUNCTION("""COMPUTED_VALUE"""),46233.0)</f>
        <v>46233</v>
      </c>
      <c r="N73" s="78" t="str">
        <f>IFERROR(__xludf.DUMMYFUNCTION("""COMPUTED_VALUE"""),"38-La ceja")</f>
        <v>38-La ceja</v>
      </c>
      <c r="O73" s="159">
        <f>IFERROR(__xludf.DUMMYFUNCTION("""COMPUTED_VALUE"""),3465.0)</f>
        <v>3465</v>
      </c>
      <c r="P73" s="222" t="str">
        <f>IFERROR(__xludf.DUMMYFUNCTION("""COMPUTED_VALUE"""),"VIGENTE")</f>
        <v>VIGENTE</v>
      </c>
      <c r="Q73" s="8" t="str">
        <f t="shared" si="2"/>
        <v>--</v>
      </c>
      <c r="W73" s="237" t="str">
        <f>CALENDARIO!V84</f>
        <v/>
      </c>
      <c r="Y73" s="8">
        <f>IFERROR(__xludf.DUMMYFUNCTION("""COMPUTED_VALUE"""),2909.0)</f>
        <v>2909</v>
      </c>
      <c r="AA73" s="8" t="str">
        <f t="array" ref="AA73">IF(Y73="","",IFERROR(
  CHOOSE(
    MATCH(
      XLOOKUP(Y73,'BD MPP'!$B71:$B292,'BD MPP'!$I71:I292)&amp;"-"&amp;
      XLOOKUP(Y73,'BD MPP'!$B71:$B292,'BD MPP'!$J71:J292),
      {"PASADO-PASADO";
       "PASADO-PROXIMO";
       "PROXIMO-PASADO";
       "PASADO-VIGENTE";
       "VIGENTE-PASADO";
       "PROXIMO-PROXIMO";
       "PROXIMO-VIGENTE";
       "VIGENTE-PROXIMO";
       "VIGENTE-VIGENTE"},
      0
    ),
    1,2,2,3,3,4,5,5,6
  ),
"No definido"))</f>
        <v>No definido</v>
      </c>
      <c r="AB73" s="8">
        <f>IFERROR(__xludf.DUMMYFUNCTION("""COMPUTED_VALUE"""),3279.0)</f>
        <v>3279</v>
      </c>
      <c r="AC73" s="200"/>
      <c r="AE73" s="8">
        <f>IFERROR(__xludf.DUMMYFUNCTION("""COMPUTED_VALUE"""),3279.0)</f>
        <v>3279</v>
      </c>
    </row>
    <row r="74">
      <c r="A74" s="158"/>
      <c r="B74" s="220">
        <v>71.0</v>
      </c>
      <c r="C74" s="78">
        <f>IFERROR(__xludf.DUMMYFUNCTION("""COMPUTED_VALUE"""),3275.0)</f>
        <v>3275</v>
      </c>
      <c r="D74" s="221">
        <f>IFERROR(__xludf.DUMMYFUNCTION("""COMPUTED_VALUE"""),46668.0)</f>
        <v>46668</v>
      </c>
      <c r="E74" s="78" t="str">
        <f>IFERROR(__xludf.DUMMYFUNCTION("""COMPUTED_VALUE"""),"02-Medellin")</f>
        <v>02-Medellin</v>
      </c>
      <c r="F74" s="156">
        <f>IFERROR(__xludf.DUMMYFUNCTION("""COMPUTED_VALUE"""),46126.0)</f>
        <v>46126</v>
      </c>
      <c r="G74" s="159">
        <f>IFERROR(__xludf.DUMMYFUNCTION("""COMPUTED_VALUE"""),90.0)</f>
        <v>90</v>
      </c>
      <c r="H74" s="222" t="str">
        <f>IFERROR(__xludf.DUMMYFUNCTION("""COMPUTED_VALUE"""),"PROXIMO")</f>
        <v>PROXIMO</v>
      </c>
      <c r="I74" s="173" t="str">
        <f t="shared" si="1"/>
        <v>NO PEDIDO</v>
      </c>
      <c r="J74" s="103"/>
      <c r="K74" s="220">
        <v>71.0</v>
      </c>
      <c r="L74" s="78">
        <f>IFERROR(__xludf.DUMMYFUNCTION("""COMPUTED_VALUE"""),2463.0)</f>
        <v>2463</v>
      </c>
      <c r="M74" s="221">
        <f>IFERROR(__xludf.DUMMYFUNCTION("""COMPUTED_VALUE"""),46305.0)</f>
        <v>46305</v>
      </c>
      <c r="N74" s="78" t="str">
        <f>IFERROR(__xludf.DUMMYFUNCTION("""COMPUTED_VALUE"""),"02-Medellin")</f>
        <v>02-Medellin</v>
      </c>
      <c r="O74" s="159">
        <f>IFERROR(__xludf.DUMMYFUNCTION("""COMPUTED_VALUE"""),3446.0)</f>
        <v>3446</v>
      </c>
      <c r="P74" s="222" t="str">
        <f>IFERROR(__xludf.DUMMYFUNCTION("""COMPUTED_VALUE"""),"VIGENTE")</f>
        <v>VIGENTE</v>
      </c>
      <c r="Q74" s="8" t="str">
        <f t="shared" si="2"/>
        <v>--</v>
      </c>
      <c r="W74" s="237" t="str">
        <f>CALENDARIO!V85</f>
        <v/>
      </c>
      <c r="Y74" s="8">
        <f>IFERROR(__xludf.DUMMYFUNCTION("""COMPUTED_VALUE"""),2889.0)</f>
        <v>2889</v>
      </c>
      <c r="AA74" s="8" t="str">
        <f t="array" ref="AA74">IF(Y74="","",IFERROR(
  CHOOSE(
    MATCH(
      XLOOKUP(Y74,'BD MPP'!$B72:$B293,'BD MPP'!$I72:I293)&amp;"-"&amp;
      XLOOKUP(Y74,'BD MPP'!$B72:$B293,'BD MPP'!$J72:J293),
      {"PASADO-PASADO";
       "PASADO-PROXIMO";
       "PROXIMO-PASADO";
       "PASADO-VIGENTE";
       "VIGENTE-PASADO";
       "PROXIMO-PROXIMO";
       "PROXIMO-VIGENTE";
       "VIGENTE-PROXIMO";
       "VIGENTE-VIGENTE"},
      0
    ),
    1,2,2,3,3,4,5,5,6
  ),
"No definido"))</f>
        <v>No definido</v>
      </c>
      <c r="AB74" s="8">
        <f>IFERROR(__xludf.DUMMYFUNCTION("""COMPUTED_VALUE"""),2675.0)</f>
        <v>2675</v>
      </c>
      <c r="AC74" s="200"/>
      <c r="AE74" s="8">
        <f>IFERROR(__xludf.DUMMYFUNCTION("""COMPUTED_VALUE"""),2675.0)</f>
        <v>2675</v>
      </c>
    </row>
    <row r="75">
      <c r="A75" s="158"/>
      <c r="B75" s="220">
        <v>72.0</v>
      </c>
      <c r="C75" s="78">
        <f>IFERROR(__xludf.DUMMYFUNCTION("""COMPUTED_VALUE"""),3264.0)</f>
        <v>3264</v>
      </c>
      <c r="D75" s="221">
        <f>IFERROR(__xludf.DUMMYFUNCTION("""COMPUTED_VALUE"""),46668.0)</f>
        <v>46668</v>
      </c>
      <c r="E75" s="78" t="str">
        <f>IFERROR(__xludf.DUMMYFUNCTION("""COMPUTED_VALUE"""),"02-Medellin")</f>
        <v>02-Medellin</v>
      </c>
      <c r="F75" s="156">
        <f>IFERROR(__xludf.DUMMYFUNCTION("""COMPUTED_VALUE"""),46126.0)</f>
        <v>46126</v>
      </c>
      <c r="G75" s="159">
        <f>IFERROR(__xludf.DUMMYFUNCTION("""COMPUTED_VALUE"""),90.0)</f>
        <v>90</v>
      </c>
      <c r="H75" s="222" t="str">
        <f>IFERROR(__xludf.DUMMYFUNCTION("""COMPUTED_VALUE"""),"PROXIMO")</f>
        <v>PROXIMO</v>
      </c>
      <c r="I75" s="173" t="str">
        <f t="shared" si="1"/>
        <v>NO PEDIDO</v>
      </c>
      <c r="J75" s="103"/>
      <c r="K75" s="220">
        <v>72.0</v>
      </c>
      <c r="L75" s="78">
        <f>IFERROR(__xludf.DUMMYFUNCTION("""COMPUTED_VALUE"""),2230.0)</f>
        <v>2230</v>
      </c>
      <c r="M75" s="221">
        <f>IFERROR(__xludf.DUMMYFUNCTION("""COMPUTED_VALUE"""),46570.0)</f>
        <v>46570</v>
      </c>
      <c r="N75" s="78" t="str">
        <f>IFERROR(__xludf.DUMMYFUNCTION("""COMPUTED_VALUE"""),"02-Medellin")</f>
        <v>02-Medellin</v>
      </c>
      <c r="O75" s="159">
        <f>IFERROR(__xludf.DUMMYFUNCTION("""COMPUTED_VALUE"""),3435.1)</f>
        <v>3435.1</v>
      </c>
      <c r="P75" s="222" t="str">
        <f>IFERROR(__xludf.DUMMYFUNCTION("""COMPUTED_VALUE"""),"VIGENTE")</f>
        <v>VIGENTE</v>
      </c>
      <c r="Q75" s="8" t="str">
        <f t="shared" si="2"/>
        <v>--</v>
      </c>
      <c r="W75" s="237" t="str">
        <f>CALENDARIO!V86</f>
        <v/>
      </c>
      <c r="Y75" s="8">
        <f>IFERROR(__xludf.DUMMYFUNCTION("""COMPUTED_VALUE"""),2463.0)</f>
        <v>2463</v>
      </c>
      <c r="AA75" s="8">
        <f t="array" ref="AA75">IF(Y75="","",IFERROR(
  CHOOSE(
    MATCH(
      XLOOKUP(Y75,'BD MPP'!$B73:$B294,'BD MPP'!$I73:I294)&amp;"-"&amp;
      XLOOKUP(Y75,'BD MPP'!$B73:$B294,'BD MPP'!$J73:J294),
      {"PASADO-PASADO";
       "PASADO-PROXIMO";
       "PROXIMO-PASADO";
       "PASADO-VIGENTE";
       "VIGENTE-PASADO";
       "PROXIMO-PROXIMO";
       "PROXIMO-VIGENTE";
       "VIGENTE-PROXIMO";
       "VIGENTE-VIGENTE"},
      0
    ),
    1,2,2,3,3,4,5,5,6
  ),
"No definido"))</f>
        <v>5</v>
      </c>
      <c r="AB75" s="8">
        <f>IFERROR(__xludf.DUMMYFUNCTION("""COMPUTED_VALUE"""),3247.0)</f>
        <v>3247</v>
      </c>
      <c r="AC75" s="200"/>
      <c r="AE75" s="8">
        <f>IFERROR(__xludf.DUMMYFUNCTION("""COMPUTED_VALUE"""),3247.0)</f>
        <v>3247</v>
      </c>
    </row>
    <row r="76">
      <c r="A76" s="158"/>
      <c r="B76" s="220">
        <v>73.0</v>
      </c>
      <c r="C76" s="78">
        <f>IFERROR(__xludf.DUMMYFUNCTION("""COMPUTED_VALUE"""),2880.0)</f>
        <v>2880</v>
      </c>
      <c r="D76" s="221">
        <f>IFERROR(__xludf.DUMMYFUNCTION("""COMPUTED_VALUE"""),46226.0)</f>
        <v>46226</v>
      </c>
      <c r="E76" s="78" t="str">
        <f>IFERROR(__xludf.DUMMYFUNCTION("""COMPUTED_VALUE"""),"MAYORCA")</f>
        <v>MAYORCA</v>
      </c>
      <c r="F76" s="156">
        <f>IFERROR(__xludf.DUMMYFUNCTION("""COMPUTED_VALUE"""),46126.0)</f>
        <v>46126</v>
      </c>
      <c r="G76" s="159">
        <f>IFERROR(__xludf.DUMMYFUNCTION("""COMPUTED_VALUE"""),90.0)</f>
        <v>90</v>
      </c>
      <c r="H76" s="222" t="str">
        <f>IFERROR(__xludf.DUMMYFUNCTION("""COMPUTED_VALUE"""),"PROXIMO")</f>
        <v>PROXIMO</v>
      </c>
      <c r="I76" s="173" t="str">
        <f t="shared" si="1"/>
        <v>NO PEDIDO</v>
      </c>
      <c r="J76" s="103"/>
      <c r="K76" s="220">
        <v>73.0</v>
      </c>
      <c r="L76" s="78">
        <f>IFERROR(__xludf.DUMMYFUNCTION("""COMPUTED_VALUE"""),3250.0)</f>
        <v>3250</v>
      </c>
      <c r="M76" s="221">
        <f>IFERROR(__xludf.DUMMYFUNCTION("""COMPUTED_VALUE"""),46661.0)</f>
        <v>46661</v>
      </c>
      <c r="N76" s="78" t="str">
        <f>IFERROR(__xludf.DUMMYFUNCTION("""COMPUTED_VALUE"""),"02-Medellin")</f>
        <v>02-Medellin</v>
      </c>
      <c r="O76" s="159">
        <f>IFERROR(__xludf.DUMMYFUNCTION("""COMPUTED_VALUE"""),3432.0)</f>
        <v>3432</v>
      </c>
      <c r="P76" s="222" t="str">
        <f>IFERROR(__xludf.DUMMYFUNCTION("""COMPUTED_VALUE"""),"VIGENTE")</f>
        <v>VIGENTE</v>
      </c>
      <c r="Q76" s="8" t="str">
        <f t="shared" si="2"/>
        <v>--</v>
      </c>
      <c r="W76" s="237" t="str">
        <f>CALENDARIO!V87</f>
        <v/>
      </c>
      <c r="Y76" s="8">
        <f>IFERROR(__xludf.DUMMYFUNCTION("""COMPUTED_VALUE"""),3047.0)</f>
        <v>3047</v>
      </c>
      <c r="AA76" s="8">
        <f t="array" ref="AA76">IF(Y76="","",IFERROR(
  CHOOSE(
    MATCH(
      XLOOKUP(Y76,'BD MPP'!$B74:$B295,'BD MPP'!$I74:I295)&amp;"-"&amp;
      XLOOKUP(Y76,'BD MPP'!$B74:$B295,'BD MPP'!$J74:J295),
      {"PASADO-PASADO";
       "PASADO-PROXIMO";
       "PROXIMO-PASADO";
       "PASADO-VIGENTE";
       "VIGENTE-PASADO";
       "PROXIMO-PROXIMO";
       "PROXIMO-VIGENTE";
       "VIGENTE-PROXIMO";
       "VIGENTE-VIGENTE"},
      0
    ),
    1,2,2,3,3,4,5,5,6
  ),
"No definido"))</f>
        <v>2</v>
      </c>
      <c r="AB76" s="8">
        <f>IFERROR(__xludf.DUMMYFUNCTION("""COMPUTED_VALUE"""),2424.0)</f>
        <v>2424</v>
      </c>
      <c r="AC76" s="200"/>
      <c r="AE76" s="8">
        <f>IFERROR(__xludf.DUMMYFUNCTION("""COMPUTED_VALUE"""),2424.0)</f>
        <v>2424</v>
      </c>
    </row>
    <row r="77">
      <c r="A77" s="158"/>
      <c r="B77" s="220">
        <v>74.0</v>
      </c>
      <c r="C77" s="78">
        <f>IFERROR(__xludf.DUMMYFUNCTION("""COMPUTED_VALUE"""),2856.0)</f>
        <v>2856</v>
      </c>
      <c r="D77" s="221">
        <f>IFERROR(__xludf.DUMMYFUNCTION("""COMPUTED_VALUE"""),46215.0)</f>
        <v>46215</v>
      </c>
      <c r="E77" s="78" t="str">
        <f>IFERROR(__xludf.DUMMYFUNCTION("""COMPUTED_VALUE"""),"MAYORCA")</f>
        <v>MAYORCA</v>
      </c>
      <c r="F77" s="156">
        <f>IFERROR(__xludf.DUMMYFUNCTION("""COMPUTED_VALUE"""),46126.0)</f>
        <v>46126</v>
      </c>
      <c r="G77" s="159">
        <f>IFERROR(__xludf.DUMMYFUNCTION("""COMPUTED_VALUE"""),90.0)</f>
        <v>90</v>
      </c>
      <c r="H77" s="222" t="str">
        <f>IFERROR(__xludf.DUMMYFUNCTION("""COMPUTED_VALUE"""),"PROXIMO")</f>
        <v>PROXIMO</v>
      </c>
      <c r="I77" s="173" t="str">
        <f t="shared" si="1"/>
        <v>NO PEDIDO</v>
      </c>
      <c r="J77" s="103"/>
      <c r="K77" s="220">
        <v>74.0</v>
      </c>
      <c r="L77" s="78">
        <f>IFERROR(__xludf.DUMMYFUNCTION("""COMPUTED_VALUE"""),2204.0)</f>
        <v>2204</v>
      </c>
      <c r="M77" s="221">
        <f>IFERROR(__xludf.DUMMYFUNCTION("""COMPUTED_VALUE"""),46523.0)</f>
        <v>46523</v>
      </c>
      <c r="N77" s="78" t="str">
        <f>IFERROR(__xludf.DUMMYFUNCTION("""COMPUTED_VALUE"""),"BULTOS")</f>
        <v>BULTOS</v>
      </c>
      <c r="O77" s="159">
        <f>IFERROR(__xludf.DUMMYFUNCTION("""COMPUTED_VALUE"""),3402.5)</f>
        <v>3402.5</v>
      </c>
      <c r="P77" s="222" t="str">
        <f>IFERROR(__xludf.DUMMYFUNCTION("""COMPUTED_VALUE"""),"VIGENTE")</f>
        <v>VIGENTE</v>
      </c>
      <c r="Q77" s="8" t="str">
        <f t="shared" si="2"/>
        <v>--</v>
      </c>
      <c r="W77" s="237" t="str">
        <f>CALENDARIO!V88</f>
        <v/>
      </c>
      <c r="Y77" s="8">
        <f>IFERROR(__xludf.DUMMYFUNCTION("""COMPUTED_VALUE"""),3271.0)</f>
        <v>3271</v>
      </c>
      <c r="AA77" s="8" t="str">
        <f t="array" ref="AA77">IF(Y77="","",IFERROR(
  CHOOSE(
    MATCH(
      XLOOKUP(Y77,'BD MPP'!$B75:$B296,'BD MPP'!$I75:I296)&amp;"-"&amp;
      XLOOKUP(Y77,'BD MPP'!$B75:$B296,'BD MPP'!$J75:J296),
      {"PASADO-PASADO";
       "PASADO-PROXIMO";
       "PROXIMO-PASADO";
       "PASADO-VIGENTE";
       "VIGENTE-PASADO";
       "PROXIMO-PROXIMO";
       "PROXIMO-VIGENTE";
       "VIGENTE-PROXIMO";
       "VIGENTE-VIGENTE"},
      0
    ),
    1,2,2,3,3,4,5,5,6
  ),
"No definido"))</f>
        <v>No definido</v>
      </c>
      <c r="AB77" s="8">
        <f>IFERROR(__xludf.DUMMYFUNCTION("""COMPUTED_VALUE"""),3231.0)</f>
        <v>3231</v>
      </c>
      <c r="AC77" s="200"/>
      <c r="AE77" s="8">
        <f>IFERROR(__xludf.DUMMYFUNCTION("""COMPUTED_VALUE"""),3231.0)</f>
        <v>3231</v>
      </c>
    </row>
    <row r="78">
      <c r="A78" s="158"/>
      <c r="B78" s="220">
        <v>75.0</v>
      </c>
      <c r="C78" s="78">
        <f>IFERROR(__xludf.DUMMYFUNCTION("""COMPUTED_VALUE"""),2660.0)</f>
        <v>2660</v>
      </c>
      <c r="D78" s="221">
        <f>IFERROR(__xludf.DUMMYFUNCTION("""COMPUTED_VALUE"""),46491.0)</f>
        <v>46491</v>
      </c>
      <c r="E78" s="78" t="str">
        <f>IFERROR(__xludf.DUMMYFUNCTION("""COMPUTED_VALUE"""),"24-Rionegro")</f>
        <v>24-Rionegro</v>
      </c>
      <c r="F78" s="156">
        <f>IFERROR(__xludf.DUMMYFUNCTION("""COMPUTED_VALUE"""),46126.0)</f>
        <v>46126</v>
      </c>
      <c r="G78" s="159">
        <f>IFERROR(__xludf.DUMMYFUNCTION("""COMPUTED_VALUE"""),90.0)</f>
        <v>90</v>
      </c>
      <c r="H78" s="222" t="str">
        <f>IFERROR(__xludf.DUMMYFUNCTION("""COMPUTED_VALUE"""),"PROXIMO")</f>
        <v>PROXIMO</v>
      </c>
      <c r="I78" s="173" t="str">
        <f t="shared" si="1"/>
        <v>NO PEDIDO</v>
      </c>
      <c r="J78" s="103"/>
      <c r="K78" s="220">
        <v>75.0</v>
      </c>
      <c r="L78" s="78">
        <f>IFERROR(__xludf.DUMMYFUNCTION("""COMPUTED_VALUE"""),2911.0)</f>
        <v>2911</v>
      </c>
      <c r="M78" s="221">
        <f>IFERROR(__xludf.DUMMYFUNCTION("""COMPUTED_VALUE"""),46275.0)</f>
        <v>46275</v>
      </c>
      <c r="N78" s="78" t="str">
        <f>IFERROR(__xludf.DUMMYFUNCTION("""COMPUTED_VALUE"""),"31-Copacabana")</f>
        <v>31-Copacabana</v>
      </c>
      <c r="O78" s="159">
        <f>IFERROR(__xludf.DUMMYFUNCTION("""COMPUTED_VALUE"""),3398.0)</f>
        <v>3398</v>
      </c>
      <c r="P78" s="222" t="str">
        <f>IFERROR(__xludf.DUMMYFUNCTION("""COMPUTED_VALUE"""),"VIGENTE")</f>
        <v>VIGENTE</v>
      </c>
      <c r="Q78" s="8" t="str">
        <f t="shared" si="2"/>
        <v>--</v>
      </c>
      <c r="W78" s="237" t="str">
        <f>CALENDARIO!V89</f>
        <v/>
      </c>
      <c r="Y78" s="8">
        <f>IFERROR(__xludf.DUMMYFUNCTION("""COMPUTED_VALUE"""),2898.0)</f>
        <v>2898</v>
      </c>
      <c r="AA78" s="8" t="str">
        <f t="array" ref="AA78">IF(Y78="","",IFERROR(
  CHOOSE(
    MATCH(
      XLOOKUP(Y78,'BD MPP'!$B76:$B297,'BD MPP'!$I76:I297)&amp;"-"&amp;
      XLOOKUP(Y78,'BD MPP'!$B76:$B297,'BD MPP'!$J76:J297),
      {"PASADO-PASADO";
       "PASADO-PROXIMO";
       "PROXIMO-PASADO";
       "PASADO-VIGENTE";
       "VIGENTE-PASADO";
       "PROXIMO-PROXIMO";
       "PROXIMO-VIGENTE";
       "VIGENTE-PROXIMO";
       "VIGENTE-VIGENTE"},
      0
    ),
    1,2,2,3,3,4,5,5,6
  ),
"No definido"))</f>
        <v>No definido</v>
      </c>
      <c r="AB78" s="8">
        <f>IFERROR(__xludf.DUMMYFUNCTION("""COMPUTED_VALUE"""),2909.0)</f>
        <v>2909</v>
      </c>
      <c r="AC78" s="200"/>
      <c r="AE78" s="8">
        <f>IFERROR(__xludf.DUMMYFUNCTION("""COMPUTED_VALUE"""),2909.0)</f>
        <v>2909</v>
      </c>
    </row>
    <row r="79">
      <c r="A79" s="158"/>
      <c r="B79" s="220">
        <v>76.0</v>
      </c>
      <c r="C79" s="78">
        <f>IFERROR(__xludf.DUMMYFUNCTION("""COMPUTED_VALUE"""),2421.0)</f>
        <v>2421</v>
      </c>
      <c r="D79" s="221">
        <f>IFERROR(__xludf.DUMMYFUNCTION("""COMPUTED_VALUE"""),46529.0)</f>
        <v>46529</v>
      </c>
      <c r="E79" s="78" t="str">
        <f>IFERROR(__xludf.DUMMYFUNCTION("""COMPUTED_VALUE"""),"02-Medellin")</f>
        <v>02-Medellin</v>
      </c>
      <c r="F79" s="156">
        <f>IFERROR(__xludf.DUMMYFUNCTION("""COMPUTED_VALUE"""),46126.0)</f>
        <v>46126</v>
      </c>
      <c r="G79" s="159">
        <f>IFERROR(__xludf.DUMMYFUNCTION("""COMPUTED_VALUE"""),90.0)</f>
        <v>90</v>
      </c>
      <c r="H79" s="222" t="str">
        <f>IFERROR(__xludf.DUMMYFUNCTION("""COMPUTED_VALUE"""),"PROXIMO")</f>
        <v>PROXIMO</v>
      </c>
      <c r="I79" s="173" t="str">
        <f t="shared" si="1"/>
        <v>NO PEDIDO</v>
      </c>
      <c r="J79" s="103"/>
      <c r="K79" s="220">
        <v>76.0</v>
      </c>
      <c r="L79" s="78">
        <f>IFERROR(__xludf.DUMMYFUNCTION("""COMPUTED_VALUE"""),3271.0)</f>
        <v>3271</v>
      </c>
      <c r="M79" s="221">
        <f>IFERROR(__xludf.DUMMYFUNCTION("""COMPUTED_VALUE"""),46668.0)</f>
        <v>46668</v>
      </c>
      <c r="N79" s="78" t="str">
        <f>IFERROR(__xludf.DUMMYFUNCTION("""COMPUTED_VALUE"""),"02-Medellin")</f>
        <v>02-Medellin</v>
      </c>
      <c r="O79" s="159">
        <f>IFERROR(__xludf.DUMMYFUNCTION("""COMPUTED_VALUE"""),3385.0)</f>
        <v>3385</v>
      </c>
      <c r="P79" s="222" t="str">
        <f>IFERROR(__xludf.DUMMYFUNCTION("""COMPUTED_VALUE"""),"VIGENTE")</f>
        <v>VIGENTE</v>
      </c>
      <c r="Q79" s="8" t="str">
        <f t="shared" si="2"/>
        <v>--</v>
      </c>
      <c r="W79" s="237" t="str">
        <f>CALENDARIO!V90</f>
        <v/>
      </c>
      <c r="Y79" s="8">
        <f>IFERROR(__xludf.DUMMYFUNCTION("""COMPUTED_VALUE"""),2678.0)</f>
        <v>2678</v>
      </c>
      <c r="AA79" s="8">
        <f t="array" ref="AA79">IF(Y79="","",IFERROR(
  CHOOSE(
    MATCH(
      XLOOKUP(Y79,'BD MPP'!$B77:$B298,'BD MPP'!$I77:I298)&amp;"-"&amp;
      XLOOKUP(Y79,'BD MPP'!$B77:$B298,'BD MPP'!$J77:J298),
      {"PASADO-PASADO";
       "PASADO-PROXIMO";
       "PROXIMO-PASADO";
       "PASADO-VIGENTE";
       "VIGENTE-PASADO";
       "PROXIMO-PROXIMO";
       "PROXIMO-VIGENTE";
       "VIGENTE-PROXIMO";
       "VIGENTE-VIGENTE"},
      0
    ),
    1,2,2,3,3,4,5,5,6
  ),
"No definido"))</f>
        <v>5</v>
      </c>
      <c r="AB79" s="8">
        <f>IFERROR(__xludf.DUMMYFUNCTION("""COMPUTED_VALUE"""),2889.0)</f>
        <v>2889</v>
      </c>
      <c r="AC79" s="200"/>
      <c r="AE79" s="8">
        <f>IFERROR(__xludf.DUMMYFUNCTION("""COMPUTED_VALUE"""),2889.0)</f>
        <v>2889</v>
      </c>
    </row>
    <row r="80">
      <c r="A80" s="158"/>
      <c r="B80" s="220">
        <v>77.0</v>
      </c>
      <c r="C80" s="78">
        <f>IFERROR(__xludf.DUMMYFUNCTION("""COMPUTED_VALUE"""),2276.0)</f>
        <v>2276</v>
      </c>
      <c r="D80" s="221">
        <f>IFERROR(__xludf.DUMMYFUNCTION("""COMPUTED_VALUE"""),46366.0)</f>
        <v>46366</v>
      </c>
      <c r="E80" s="78" t="str">
        <f>IFERROR(__xludf.DUMMYFUNCTION("""COMPUTED_VALUE"""),"02-Medellin")</f>
        <v>02-Medellin</v>
      </c>
      <c r="F80" s="156">
        <f>IFERROR(__xludf.DUMMYFUNCTION("""COMPUTED_VALUE"""),46126.0)</f>
        <v>46126</v>
      </c>
      <c r="G80" s="159">
        <f>IFERROR(__xludf.DUMMYFUNCTION("""COMPUTED_VALUE"""),90.0)</f>
        <v>90</v>
      </c>
      <c r="H80" s="222" t="str">
        <f>IFERROR(__xludf.DUMMYFUNCTION("""COMPUTED_VALUE"""),"PROXIMO")</f>
        <v>PROXIMO</v>
      </c>
      <c r="I80" s="173" t="str">
        <f t="shared" si="1"/>
        <v>NO PEDIDO</v>
      </c>
      <c r="J80" s="103"/>
      <c r="K80" s="220">
        <v>77.0</v>
      </c>
      <c r="L80" s="78">
        <f>IFERROR(__xludf.DUMMYFUNCTION("""COMPUTED_VALUE"""),2623.0)</f>
        <v>2623</v>
      </c>
      <c r="M80" s="221">
        <f>IFERROR(__xludf.DUMMYFUNCTION("""COMPUTED_VALUE"""),46268.0)</f>
        <v>46268</v>
      </c>
      <c r="N80" s="78" t="str">
        <f>IFERROR(__xludf.DUMMYFUNCTION("""COMPUTED_VALUE"""),"02-Medellin")</f>
        <v>02-Medellin</v>
      </c>
      <c r="O80" s="159">
        <f>IFERROR(__xludf.DUMMYFUNCTION("""COMPUTED_VALUE"""),3344.2)</f>
        <v>3344.2</v>
      </c>
      <c r="P80" s="222" t="str">
        <f>IFERROR(__xludf.DUMMYFUNCTION("""COMPUTED_VALUE"""),"VIGENTE")</f>
        <v>VIGENTE</v>
      </c>
      <c r="Q80" s="8" t="str">
        <f t="shared" si="2"/>
        <v>--</v>
      </c>
      <c r="W80" s="237" t="str">
        <f>CALENDARIO!V91</f>
        <v/>
      </c>
      <c r="Y80" s="8">
        <f>IFERROR(__xludf.DUMMYFUNCTION("""COMPUTED_VALUE"""),2402.0)</f>
        <v>2402</v>
      </c>
      <c r="AA80" s="8">
        <f t="array" ref="AA80">IF(Y80="","",IFERROR(
  CHOOSE(
    MATCH(
      XLOOKUP(Y80,'BD MPP'!$B78:$B299,'BD MPP'!$I78:I299)&amp;"-"&amp;
      XLOOKUP(Y80,'BD MPP'!$B78:$B299,'BD MPP'!$J78:J299),
      {"PASADO-PASADO";
       "PASADO-PROXIMO";
       "PROXIMO-PASADO";
       "PASADO-VIGENTE";
       "VIGENTE-PASADO";
       "PROXIMO-PROXIMO";
       "PROXIMO-VIGENTE";
       "VIGENTE-PROXIMO";
       "VIGENTE-VIGENTE"},
      0
    ),
    1,2,2,3,3,4,5,5,6
  ),
"No definido"))</f>
        <v>5</v>
      </c>
      <c r="AB80" s="8">
        <f>IFERROR(__xludf.DUMMYFUNCTION("""COMPUTED_VALUE"""),2463.0)</f>
        <v>2463</v>
      </c>
      <c r="AC80" s="200"/>
      <c r="AE80" s="8">
        <f>IFERROR(__xludf.DUMMYFUNCTION("""COMPUTED_VALUE"""),2463.0)</f>
        <v>2463</v>
      </c>
    </row>
    <row r="81">
      <c r="A81" s="158"/>
      <c r="B81" s="220">
        <v>78.0</v>
      </c>
      <c r="C81" s="78">
        <f>IFERROR(__xludf.DUMMYFUNCTION("""COMPUTED_VALUE"""),461.0)</f>
        <v>461</v>
      </c>
      <c r="D81" s="221">
        <f>IFERROR(__xludf.DUMMYFUNCTION("""COMPUTED_VALUE"""),46420.0)</f>
        <v>46420</v>
      </c>
      <c r="E81" s="78" t="str">
        <f>IFERROR(__xludf.DUMMYFUNCTION("""COMPUTED_VALUE"""),"02-Medellin")</f>
        <v>02-Medellin</v>
      </c>
      <c r="F81" s="156">
        <f>IFERROR(__xludf.DUMMYFUNCTION("""COMPUTED_VALUE"""),46126.0)</f>
        <v>46126</v>
      </c>
      <c r="G81" s="159">
        <f>IFERROR(__xludf.DUMMYFUNCTION("""COMPUTED_VALUE"""),90.0)</f>
        <v>90</v>
      </c>
      <c r="H81" s="222" t="str">
        <f>IFERROR(__xludf.DUMMYFUNCTION("""COMPUTED_VALUE"""),"PROXIMO")</f>
        <v>PROXIMO</v>
      </c>
      <c r="I81" s="173" t="str">
        <f t="shared" si="1"/>
        <v>NO PEDIDO</v>
      </c>
      <c r="J81" s="103"/>
      <c r="K81" s="220">
        <v>78.0</v>
      </c>
      <c r="L81" s="78">
        <f>IFERROR(__xludf.DUMMYFUNCTION("""COMPUTED_VALUE"""),3279.0)</f>
        <v>3279</v>
      </c>
      <c r="M81" s="221">
        <f>IFERROR(__xludf.DUMMYFUNCTION("""COMPUTED_VALUE"""),46668.0)</f>
        <v>46668</v>
      </c>
      <c r="N81" s="78" t="str">
        <f>IFERROR(__xludf.DUMMYFUNCTION("""COMPUTED_VALUE"""),"02-Medellin")</f>
        <v>02-Medellin</v>
      </c>
      <c r="O81" s="159">
        <f>IFERROR(__xludf.DUMMYFUNCTION("""COMPUTED_VALUE"""),3301.0)</f>
        <v>3301</v>
      </c>
      <c r="P81" s="222" t="str">
        <f>IFERROR(__xludf.DUMMYFUNCTION("""COMPUTED_VALUE"""),"VIGENTE")</f>
        <v>VIGENTE</v>
      </c>
      <c r="Q81" s="8" t="str">
        <f t="shared" si="2"/>
        <v>--</v>
      </c>
      <c r="W81" s="237" t="str">
        <f>CALENDARIO!V92</f>
        <v/>
      </c>
      <c r="Y81" s="8">
        <f>IFERROR(__xludf.DUMMYFUNCTION("""COMPUTED_VALUE"""),2779.0)</f>
        <v>2779</v>
      </c>
      <c r="AA81" s="8">
        <f t="array" ref="AA81">IF(Y81="","",IFERROR(
  CHOOSE(
    MATCH(
      XLOOKUP(Y81,'BD MPP'!$B79:$B300,'BD MPP'!$I79:I300)&amp;"-"&amp;
      XLOOKUP(Y81,'BD MPP'!$B79:$B300,'BD MPP'!$J79:J300),
      {"PASADO-PASADO";
       "PASADO-PROXIMO";
       "PROXIMO-PASADO";
       "PASADO-VIGENTE";
       "VIGENTE-PASADO";
       "PROXIMO-PROXIMO";
       "PROXIMO-VIGENTE";
       "VIGENTE-PROXIMO";
       "VIGENTE-VIGENTE"},
      0
    ),
    1,2,2,3,3,4,5,5,6
  ),
"No definido"))</f>
        <v>3</v>
      </c>
      <c r="AB81" s="8">
        <f>IFERROR(__xludf.DUMMYFUNCTION("""COMPUTED_VALUE"""),3047.0)</f>
        <v>3047</v>
      </c>
      <c r="AC81" s="200"/>
      <c r="AE81" s="8">
        <f>IFERROR(__xludf.DUMMYFUNCTION("""COMPUTED_VALUE"""),3047.0)</f>
        <v>3047</v>
      </c>
    </row>
    <row r="82">
      <c r="A82" s="158"/>
      <c r="B82" s="220">
        <v>79.0</v>
      </c>
      <c r="C82" s="78">
        <f>IFERROR(__xludf.DUMMYFUNCTION("""COMPUTED_VALUE"""),3279.0)</f>
        <v>3279</v>
      </c>
      <c r="D82" s="221">
        <f>IFERROR(__xludf.DUMMYFUNCTION("""COMPUTED_VALUE"""),46668.0)</f>
        <v>46668</v>
      </c>
      <c r="E82" s="78" t="str">
        <f>IFERROR(__xludf.DUMMYFUNCTION("""COMPUTED_VALUE"""),"02-Medellin")</f>
        <v>02-Medellin</v>
      </c>
      <c r="F82" s="156">
        <f>IFERROR(__xludf.DUMMYFUNCTION("""COMPUTED_VALUE"""),46127.0)</f>
        <v>46127</v>
      </c>
      <c r="G82" s="159">
        <f>IFERROR(__xludf.DUMMYFUNCTION("""COMPUTED_VALUE"""),89.0)</f>
        <v>89</v>
      </c>
      <c r="H82" s="222" t="str">
        <f>IFERROR(__xludf.DUMMYFUNCTION("""COMPUTED_VALUE"""),"PROXIMO")</f>
        <v>PROXIMO</v>
      </c>
      <c r="I82" s="173" t="str">
        <f t="shared" si="1"/>
        <v>NO PEDIDO</v>
      </c>
      <c r="J82" s="103"/>
      <c r="K82" s="220">
        <v>79.0</v>
      </c>
      <c r="L82" s="78">
        <f>IFERROR(__xludf.DUMMYFUNCTION("""COMPUTED_VALUE"""),2425.0)</f>
        <v>2425</v>
      </c>
      <c r="M82" s="221">
        <f>IFERROR(__xludf.DUMMYFUNCTION("""COMPUTED_VALUE"""),46477.0)</f>
        <v>46477</v>
      </c>
      <c r="N82" s="78" t="str">
        <f>IFERROR(__xludf.DUMMYFUNCTION("""COMPUTED_VALUE"""),"BULTOS")</f>
        <v>BULTOS</v>
      </c>
      <c r="O82" s="159">
        <f>IFERROR(__xludf.DUMMYFUNCTION("""COMPUTED_VALUE"""),3227.0)</f>
        <v>3227</v>
      </c>
      <c r="P82" s="222" t="str">
        <f>IFERROR(__xludf.DUMMYFUNCTION("""COMPUTED_VALUE"""),"VIGENTE")</f>
        <v>VIGENTE</v>
      </c>
      <c r="Q82" s="8" t="str">
        <f t="shared" si="2"/>
        <v>--</v>
      </c>
      <c r="W82" s="237" t="str">
        <f>CALENDARIO!V93</f>
        <v/>
      </c>
      <c r="Y82" s="8">
        <f>IFERROR(__xludf.DUMMYFUNCTION("""COMPUTED_VALUE"""),2846.0)</f>
        <v>2846</v>
      </c>
      <c r="AA82" s="8">
        <f t="array" ref="AA82">IF(Y82="","",IFERROR(
  CHOOSE(
    MATCH(
      XLOOKUP(Y82,'BD MPP'!$B80:$B301,'BD MPP'!$I80:I301)&amp;"-"&amp;
      XLOOKUP(Y82,'BD MPP'!$B80:$B301,'BD MPP'!$J80:J301),
      {"PASADO-PASADO";
       "PASADO-PROXIMO";
       "PROXIMO-PASADO";
       "PASADO-VIGENTE";
       "VIGENTE-PASADO";
       "PROXIMO-PROXIMO";
       "PROXIMO-VIGENTE";
       "VIGENTE-PROXIMO";
       "VIGENTE-VIGENTE"},
      0
    ),
    1,2,2,3,3,4,5,5,6
  ),
"No definido"))</f>
        <v>1</v>
      </c>
      <c r="AB82" s="8">
        <f>IFERROR(__xludf.DUMMYFUNCTION("""COMPUTED_VALUE"""),3271.0)</f>
        <v>3271</v>
      </c>
      <c r="AC82" s="200"/>
      <c r="AE82" s="8">
        <f>IFERROR(__xludf.DUMMYFUNCTION("""COMPUTED_VALUE"""),3271.0)</f>
        <v>3271</v>
      </c>
    </row>
    <row r="83">
      <c r="A83" s="158"/>
      <c r="B83" s="220">
        <v>80.0</v>
      </c>
      <c r="C83" s="78">
        <f>IFERROR(__xludf.DUMMYFUNCTION("""COMPUTED_VALUE"""),2675.0)</f>
        <v>2675</v>
      </c>
      <c r="D83" s="221">
        <f>IFERROR(__xludf.DUMMYFUNCTION("""COMPUTED_VALUE"""),46494.0)</f>
        <v>46494</v>
      </c>
      <c r="E83" s="78" t="str">
        <f>IFERROR(__xludf.DUMMYFUNCTION("""COMPUTED_VALUE"""),"02-Medellin")</f>
        <v>02-Medellin</v>
      </c>
      <c r="F83" s="156">
        <f>IFERROR(__xludf.DUMMYFUNCTION("""COMPUTED_VALUE"""),46127.0)</f>
        <v>46127</v>
      </c>
      <c r="G83" s="159">
        <f>IFERROR(__xludf.DUMMYFUNCTION("""COMPUTED_VALUE"""),89.0)</f>
        <v>89</v>
      </c>
      <c r="H83" s="222" t="str">
        <f>IFERROR(__xludf.DUMMYFUNCTION("""COMPUTED_VALUE"""),"PROXIMO")</f>
        <v>PROXIMO</v>
      </c>
      <c r="I83" s="173" t="str">
        <f t="shared" si="1"/>
        <v>NO PEDIDO</v>
      </c>
      <c r="J83" s="103"/>
      <c r="K83" s="220">
        <v>80.0</v>
      </c>
      <c r="L83" s="78">
        <f>IFERROR(__xludf.DUMMYFUNCTION("""COMPUTED_VALUE"""),2484.0)</f>
        <v>2484</v>
      </c>
      <c r="M83" s="221">
        <f>IFERROR(__xludf.DUMMYFUNCTION("""COMPUTED_VALUE"""),46309.0)</f>
        <v>46309</v>
      </c>
      <c r="N83" s="78" t="str">
        <f>IFERROR(__xludf.DUMMYFUNCTION("""COMPUTED_VALUE"""),"MAYORCA")</f>
        <v>MAYORCA</v>
      </c>
      <c r="O83" s="159">
        <f>IFERROR(__xludf.DUMMYFUNCTION("""COMPUTED_VALUE"""),3197.8)</f>
        <v>3197.8</v>
      </c>
      <c r="P83" s="222" t="str">
        <f>IFERROR(__xludf.DUMMYFUNCTION("""COMPUTED_VALUE"""),"VIGENTE")</f>
        <v>VIGENTE</v>
      </c>
      <c r="Q83" s="8" t="str">
        <f t="shared" si="2"/>
        <v>--</v>
      </c>
      <c r="W83" s="237" t="str">
        <f>CALENDARIO!V94</f>
        <v/>
      </c>
      <c r="Y83" s="8">
        <f>IFERROR(__xludf.DUMMYFUNCTION("""COMPUTED_VALUE"""),2877.0)</f>
        <v>2877</v>
      </c>
      <c r="AA83" s="8" t="str">
        <f t="array" ref="AA83">IF(Y83="","",IFERROR(
  CHOOSE(
    MATCH(
      XLOOKUP(Y83,'BD MPP'!$B81:$B302,'BD MPP'!$I81:I302)&amp;"-"&amp;
      XLOOKUP(Y83,'BD MPP'!$B81:$B302,'BD MPP'!$J81:J302),
      {"PASADO-PASADO";
       "PASADO-PROXIMO";
       "PROXIMO-PASADO";
       "PASADO-VIGENTE";
       "VIGENTE-PASADO";
       "PROXIMO-PROXIMO";
       "PROXIMO-VIGENTE";
       "VIGENTE-PROXIMO";
       "VIGENTE-VIGENTE"},
      0
    ),
    1,2,2,3,3,4,5,5,6
  ),
"No definido"))</f>
        <v>No definido</v>
      </c>
      <c r="AB83" s="8">
        <f>IFERROR(__xludf.DUMMYFUNCTION("""COMPUTED_VALUE"""),2898.0)</f>
        <v>2898</v>
      </c>
      <c r="AC83" s="200"/>
      <c r="AE83" s="8">
        <f>IFERROR(__xludf.DUMMYFUNCTION("""COMPUTED_VALUE"""),2898.0)</f>
        <v>2898</v>
      </c>
    </row>
    <row r="84">
      <c r="A84" s="158"/>
      <c r="B84" s="220">
        <v>81.0</v>
      </c>
      <c r="C84" s="78">
        <f>IFERROR(__xludf.DUMMYFUNCTION("""COMPUTED_VALUE"""),3247.0)</f>
        <v>3247</v>
      </c>
      <c r="D84" s="221">
        <f>IFERROR(__xludf.DUMMYFUNCTION("""COMPUTED_VALUE"""),46661.0)</f>
        <v>46661</v>
      </c>
      <c r="E84" s="78" t="str">
        <f>IFERROR(__xludf.DUMMYFUNCTION("""COMPUTED_VALUE"""),"02-Medellin")</f>
        <v>02-Medellin</v>
      </c>
      <c r="F84" s="156">
        <f>IFERROR(__xludf.DUMMYFUNCTION("""COMPUTED_VALUE"""),46129.0)</f>
        <v>46129</v>
      </c>
      <c r="G84" s="159">
        <f>IFERROR(__xludf.DUMMYFUNCTION("""COMPUTED_VALUE"""),87.0)</f>
        <v>87</v>
      </c>
      <c r="H84" s="222" t="str">
        <f>IFERROR(__xludf.DUMMYFUNCTION("""COMPUTED_VALUE"""),"PROXIMO")</f>
        <v>PROXIMO</v>
      </c>
      <c r="I84" s="173" t="str">
        <f t="shared" si="1"/>
        <v>NO PEDIDO</v>
      </c>
      <c r="J84" s="103"/>
      <c r="K84" s="220">
        <v>81.0</v>
      </c>
      <c r="L84" s="78">
        <f>IFERROR(__xludf.DUMMYFUNCTION("""COMPUTED_VALUE"""),2437.0)</f>
        <v>2437</v>
      </c>
      <c r="M84" s="221">
        <f>IFERROR(__xludf.DUMMYFUNCTION("""COMPUTED_VALUE"""),46528.0)</f>
        <v>46528</v>
      </c>
      <c r="N84" s="78" t="str">
        <f>IFERROR(__xludf.DUMMYFUNCTION("""COMPUTED_VALUE"""),"02-Medellin")</f>
        <v>02-Medellin</v>
      </c>
      <c r="O84" s="159">
        <f>IFERROR(__xludf.DUMMYFUNCTION("""COMPUTED_VALUE"""),3176.0)</f>
        <v>3176</v>
      </c>
      <c r="P84" s="222" t="str">
        <f>IFERROR(__xludf.DUMMYFUNCTION("""COMPUTED_VALUE"""),"VIGENTE")</f>
        <v>VIGENTE</v>
      </c>
      <c r="Q84" s="8" t="str">
        <f t="shared" si="2"/>
        <v>--</v>
      </c>
      <c r="W84" s="237" t="str">
        <f>CALENDARIO!V95</f>
        <v/>
      </c>
      <c r="Y84" s="8">
        <f>IFERROR(__xludf.DUMMYFUNCTION("""COMPUTED_VALUE"""),2663.0)</f>
        <v>2663</v>
      </c>
      <c r="AB84" s="8">
        <f>IFERROR(__xludf.DUMMYFUNCTION("""COMPUTED_VALUE"""),2678.0)</f>
        <v>2678</v>
      </c>
      <c r="AC84" s="200"/>
      <c r="AE84" s="8">
        <f>IFERROR(__xludf.DUMMYFUNCTION("""COMPUTED_VALUE"""),2678.0)</f>
        <v>2678</v>
      </c>
    </row>
    <row r="85">
      <c r="A85" s="158"/>
      <c r="B85" s="220">
        <v>82.0</v>
      </c>
      <c r="C85" s="78">
        <f>IFERROR(__xludf.DUMMYFUNCTION("""COMPUTED_VALUE"""),2424.0)</f>
        <v>2424</v>
      </c>
      <c r="D85" s="221">
        <f>IFERROR(__xludf.DUMMYFUNCTION("""COMPUTED_VALUE"""),46528.0)</f>
        <v>46528</v>
      </c>
      <c r="E85" s="78" t="str">
        <f>IFERROR(__xludf.DUMMYFUNCTION("""COMPUTED_VALUE"""),"02-Medellin")</f>
        <v>02-Medellin</v>
      </c>
      <c r="F85" s="156">
        <f>IFERROR(__xludf.DUMMYFUNCTION("""COMPUTED_VALUE"""),46129.0)</f>
        <v>46129</v>
      </c>
      <c r="G85" s="159">
        <f>IFERROR(__xludf.DUMMYFUNCTION("""COMPUTED_VALUE"""),87.0)</f>
        <v>87</v>
      </c>
      <c r="H85" s="222" t="str">
        <f>IFERROR(__xludf.DUMMYFUNCTION("""COMPUTED_VALUE"""),"PROXIMO")</f>
        <v>PROXIMO</v>
      </c>
      <c r="I85" s="173" t="str">
        <f t="shared" si="1"/>
        <v>NO PEDIDO</v>
      </c>
      <c r="J85" s="103"/>
      <c r="K85" s="220">
        <v>82.0</v>
      </c>
      <c r="L85" s="78">
        <f>IFERROR(__xludf.DUMMYFUNCTION("""COMPUTED_VALUE"""),2851.0)</f>
        <v>2851</v>
      </c>
      <c r="M85" s="221">
        <f>IFERROR(__xludf.DUMMYFUNCTION("""COMPUTED_VALUE"""),46569.0)</f>
        <v>46569</v>
      </c>
      <c r="N85" s="78" t="str">
        <f>IFERROR(__xludf.DUMMYFUNCTION("""COMPUTED_VALUE"""),"02-Medellin")</f>
        <v>02-Medellin</v>
      </c>
      <c r="O85" s="159">
        <f>IFERROR(__xludf.DUMMYFUNCTION("""COMPUTED_VALUE"""),3175.0)</f>
        <v>3175</v>
      </c>
      <c r="P85" s="222" t="str">
        <f>IFERROR(__xludf.DUMMYFUNCTION("""COMPUTED_VALUE"""),"VIGENTE")</f>
        <v>VIGENTE</v>
      </c>
      <c r="Q85" s="8" t="str">
        <f t="shared" si="2"/>
        <v>--</v>
      </c>
      <c r="W85" s="237" t="str">
        <f>CALENDARIO!V96</f>
        <v/>
      </c>
      <c r="Y85" s="8">
        <f>IFERROR(__xludf.DUMMYFUNCTION("""COMPUTED_VALUE"""),2460.0)</f>
        <v>2460</v>
      </c>
      <c r="AB85" s="8">
        <f>IFERROR(__xludf.DUMMYFUNCTION("""COMPUTED_VALUE"""),2402.0)</f>
        <v>2402</v>
      </c>
      <c r="AC85" s="200"/>
      <c r="AE85" s="8">
        <f>IFERROR(__xludf.DUMMYFUNCTION("""COMPUTED_VALUE"""),2402.0)</f>
        <v>2402</v>
      </c>
    </row>
    <row r="86">
      <c r="A86" s="158"/>
      <c r="B86" s="220">
        <v>83.0</v>
      </c>
      <c r="C86" s="78">
        <f>IFERROR(__xludf.DUMMYFUNCTION("""COMPUTED_VALUE"""),3231.0)</f>
        <v>3231</v>
      </c>
      <c r="D86" s="221">
        <f>IFERROR(__xludf.DUMMYFUNCTION("""COMPUTED_VALUE"""),46660.0)</f>
        <v>46660</v>
      </c>
      <c r="E86" s="78" t="str">
        <f>IFERROR(__xludf.DUMMYFUNCTION("""COMPUTED_VALUE"""),"02-Medellin")</f>
        <v>02-Medellin</v>
      </c>
      <c r="F86" s="156">
        <f>IFERROR(__xludf.DUMMYFUNCTION("""COMPUTED_VALUE"""),46132.0)</f>
        <v>46132</v>
      </c>
      <c r="G86" s="159">
        <f>IFERROR(__xludf.DUMMYFUNCTION("""COMPUTED_VALUE"""),84.0)</f>
        <v>84</v>
      </c>
      <c r="H86" s="222" t="str">
        <f>IFERROR(__xludf.DUMMYFUNCTION("""COMPUTED_VALUE"""),"PROXIMO")</f>
        <v>PROXIMO</v>
      </c>
      <c r="I86" s="173" t="str">
        <f t="shared" si="1"/>
        <v>NO PEDIDO</v>
      </c>
      <c r="J86" s="103"/>
      <c r="K86" s="220">
        <v>83.0</v>
      </c>
      <c r="L86" s="78">
        <f>IFERROR(__xludf.DUMMYFUNCTION("""COMPUTED_VALUE"""),2859.0)</f>
        <v>2859</v>
      </c>
      <c r="M86" s="221">
        <f>IFERROR(__xludf.DUMMYFUNCTION("""COMPUTED_VALUE"""),46226.0)</f>
        <v>46226</v>
      </c>
      <c r="N86" s="78" t="str">
        <f>IFERROR(__xludf.DUMMYFUNCTION("""COMPUTED_VALUE"""),"MAYORCA")</f>
        <v>MAYORCA</v>
      </c>
      <c r="O86" s="159">
        <f>IFERROR(__xludf.DUMMYFUNCTION("""COMPUTED_VALUE"""),3170.0)</f>
        <v>3170</v>
      </c>
      <c r="P86" s="222" t="str">
        <f>IFERROR(__xludf.DUMMYFUNCTION("""COMPUTED_VALUE"""),"VIGENTE")</f>
        <v>VIGENTE</v>
      </c>
      <c r="Q86" s="8" t="str">
        <f t="shared" si="2"/>
        <v>--</v>
      </c>
      <c r="W86" s="237" t="str">
        <f>CALENDARIO!V97</f>
        <v/>
      </c>
      <c r="Y86" s="8">
        <f>IFERROR(__xludf.DUMMYFUNCTION("""COMPUTED_VALUE"""),2367.0)</f>
        <v>2367</v>
      </c>
      <c r="AB86" s="8">
        <f>IFERROR(__xludf.DUMMYFUNCTION("""COMPUTED_VALUE"""),2779.0)</f>
        <v>2779</v>
      </c>
      <c r="AC86" s="200"/>
      <c r="AE86" s="8">
        <f>IFERROR(__xludf.DUMMYFUNCTION("""COMPUTED_VALUE"""),2779.0)</f>
        <v>2779</v>
      </c>
    </row>
    <row r="87">
      <c r="A87" s="158"/>
      <c r="B87" s="220">
        <v>84.0</v>
      </c>
      <c r="C87" s="78">
        <f>IFERROR(__xludf.DUMMYFUNCTION("""COMPUTED_VALUE"""),2909.0)</f>
        <v>2909</v>
      </c>
      <c r="D87" s="221">
        <f>IFERROR(__xludf.DUMMYFUNCTION("""COMPUTED_VALUE"""),46275.0)</f>
        <v>46275</v>
      </c>
      <c r="E87" s="78" t="str">
        <f>IFERROR(__xludf.DUMMYFUNCTION("""COMPUTED_VALUE"""),"02-Medellin")</f>
        <v>02-Medellin</v>
      </c>
      <c r="F87" s="156">
        <f>IFERROR(__xludf.DUMMYFUNCTION("""COMPUTED_VALUE"""),46132.0)</f>
        <v>46132</v>
      </c>
      <c r="G87" s="159">
        <f>IFERROR(__xludf.DUMMYFUNCTION("""COMPUTED_VALUE"""),84.0)</f>
        <v>84</v>
      </c>
      <c r="H87" s="222" t="str">
        <f>IFERROR(__xludf.DUMMYFUNCTION("""COMPUTED_VALUE"""),"PROXIMO")</f>
        <v>PROXIMO</v>
      </c>
      <c r="I87" s="173" t="str">
        <f t="shared" si="1"/>
        <v>NO PEDIDO</v>
      </c>
      <c r="J87" s="103"/>
      <c r="K87" s="220">
        <v>84.0</v>
      </c>
      <c r="L87" s="78">
        <f>IFERROR(__xludf.DUMMYFUNCTION("""COMPUTED_VALUE"""),2657.0)</f>
        <v>2657</v>
      </c>
      <c r="M87" s="221">
        <f>IFERROR(__xludf.DUMMYFUNCTION("""COMPUTED_VALUE"""),46486.0)</f>
        <v>46486</v>
      </c>
      <c r="N87" s="78" t="str">
        <f>IFERROR(__xludf.DUMMYFUNCTION("""COMPUTED_VALUE"""),"MAYORCA")</f>
        <v>MAYORCA</v>
      </c>
      <c r="O87" s="159">
        <f>IFERROR(__xludf.DUMMYFUNCTION("""COMPUTED_VALUE"""),3156.0)</f>
        <v>3156</v>
      </c>
      <c r="P87" s="222" t="str">
        <f>IFERROR(__xludf.DUMMYFUNCTION("""COMPUTED_VALUE"""),"VIGENTE")</f>
        <v>VIGENTE</v>
      </c>
      <c r="Q87" s="8" t="str">
        <f t="shared" si="2"/>
        <v>--</v>
      </c>
      <c r="W87" s="237" t="str">
        <f>CALENDARIO!V98</f>
        <v/>
      </c>
      <c r="Y87" s="8">
        <f>IFERROR(__xludf.DUMMYFUNCTION("""COMPUTED_VALUE"""),2450.0)</f>
        <v>2450</v>
      </c>
      <c r="AB87" s="8">
        <f>IFERROR(__xludf.DUMMYFUNCTION("""COMPUTED_VALUE"""),3047.0)</f>
        <v>3047</v>
      </c>
      <c r="AC87" s="200"/>
      <c r="AE87" s="8">
        <f>IFERROR(__xludf.DUMMYFUNCTION("""COMPUTED_VALUE"""),3047.0)</f>
        <v>3047</v>
      </c>
    </row>
    <row r="88">
      <c r="A88" s="158"/>
      <c r="B88" s="220">
        <v>85.0</v>
      </c>
      <c r="C88" s="78">
        <f>IFERROR(__xludf.DUMMYFUNCTION("""COMPUTED_VALUE"""),2889.0)</f>
        <v>2889</v>
      </c>
      <c r="D88" s="221">
        <f>IFERROR(__xludf.DUMMYFUNCTION("""COMPUTED_VALUE"""),46233.0)</f>
        <v>46233</v>
      </c>
      <c r="E88" s="78" t="str">
        <f>IFERROR(__xludf.DUMMYFUNCTION("""COMPUTED_VALUE"""),"31-Copacabana")</f>
        <v>31-Copacabana</v>
      </c>
      <c r="F88" s="156">
        <f>IFERROR(__xludf.DUMMYFUNCTION("""COMPUTED_VALUE"""),46132.0)</f>
        <v>46132</v>
      </c>
      <c r="G88" s="159">
        <f>IFERROR(__xludf.DUMMYFUNCTION("""COMPUTED_VALUE"""),84.0)</f>
        <v>84</v>
      </c>
      <c r="H88" s="222" t="str">
        <f>IFERROR(__xludf.DUMMYFUNCTION("""COMPUTED_VALUE"""),"PROXIMO")</f>
        <v>PROXIMO</v>
      </c>
      <c r="I88" s="173" t="str">
        <f t="shared" si="1"/>
        <v>NO PEDIDO</v>
      </c>
      <c r="J88" s="103"/>
      <c r="K88" s="220">
        <v>85.0</v>
      </c>
      <c r="L88" s="78">
        <f>IFERROR(__xludf.DUMMYFUNCTION("""COMPUTED_VALUE"""),2187.0)</f>
        <v>2187</v>
      </c>
      <c r="M88" s="221">
        <f>IFERROR(__xludf.DUMMYFUNCTION("""COMPUTED_VALUE"""),46410.0)</f>
        <v>46410</v>
      </c>
      <c r="N88" s="78" t="str">
        <f>IFERROR(__xludf.DUMMYFUNCTION("""COMPUTED_VALUE"""),"02-Medellin")</f>
        <v>02-Medellin</v>
      </c>
      <c r="O88" s="159">
        <f>IFERROR(__xludf.DUMMYFUNCTION("""COMPUTED_VALUE"""),3150.8)</f>
        <v>3150.8</v>
      </c>
      <c r="P88" s="222" t="str">
        <f>IFERROR(__xludf.DUMMYFUNCTION("""COMPUTED_VALUE"""),"VIGENTE")</f>
        <v>VIGENTE</v>
      </c>
      <c r="Q88" s="8" t="str">
        <f t="shared" si="2"/>
        <v>--</v>
      </c>
      <c r="W88" s="237" t="str">
        <f>CALENDARIO!V99</f>
        <v/>
      </c>
      <c r="Y88" s="8">
        <f>IFERROR(__xludf.DUMMYFUNCTION("""COMPUTED_VALUE"""),2392.0)</f>
        <v>2392</v>
      </c>
      <c r="AB88" s="8">
        <f>IFERROR(__xludf.DUMMYFUNCTION("""COMPUTED_VALUE"""),2880.0)</f>
        <v>2880</v>
      </c>
      <c r="AC88" s="200"/>
      <c r="AE88" s="8">
        <f>IFERROR(__xludf.DUMMYFUNCTION("""COMPUTED_VALUE"""),2880.0)</f>
        <v>2880</v>
      </c>
    </row>
    <row r="89">
      <c r="A89" s="158"/>
      <c r="B89" s="220">
        <v>86.0</v>
      </c>
      <c r="C89" s="78">
        <f>IFERROR(__xludf.DUMMYFUNCTION("""COMPUTED_VALUE"""),2463.0)</f>
        <v>2463</v>
      </c>
      <c r="D89" s="221">
        <f>IFERROR(__xludf.DUMMYFUNCTION("""COMPUTED_VALUE"""),46305.0)</f>
        <v>46305</v>
      </c>
      <c r="E89" s="78" t="str">
        <f>IFERROR(__xludf.DUMMYFUNCTION("""COMPUTED_VALUE"""),"02-Medellin")</f>
        <v>02-Medellin</v>
      </c>
      <c r="F89" s="156">
        <f>IFERROR(__xludf.DUMMYFUNCTION("""COMPUTED_VALUE"""),46132.0)</f>
        <v>46132</v>
      </c>
      <c r="G89" s="159">
        <f>IFERROR(__xludf.DUMMYFUNCTION("""COMPUTED_VALUE"""),84.0)</f>
        <v>84</v>
      </c>
      <c r="H89" s="222" t="str">
        <f>IFERROR(__xludf.DUMMYFUNCTION("""COMPUTED_VALUE"""),"PROXIMO")</f>
        <v>PROXIMO</v>
      </c>
      <c r="I89" s="173" t="str">
        <f t="shared" si="1"/>
        <v>NO PEDIDO</v>
      </c>
      <c r="J89" s="103"/>
      <c r="K89" s="220">
        <v>86.0</v>
      </c>
      <c r="L89" s="78">
        <f>IFERROR(__xludf.DUMMYFUNCTION("""COMPUTED_VALUE"""),3241.0)</f>
        <v>3241</v>
      </c>
      <c r="M89" s="221">
        <f>IFERROR(__xludf.DUMMYFUNCTION("""COMPUTED_VALUE"""),46661.0)</f>
        <v>46661</v>
      </c>
      <c r="N89" s="78" t="str">
        <f>IFERROR(__xludf.DUMMYFUNCTION("""COMPUTED_VALUE"""),"02-Medellin")</f>
        <v>02-Medellin</v>
      </c>
      <c r="O89" s="159">
        <f>IFERROR(__xludf.DUMMYFUNCTION("""COMPUTED_VALUE"""),3142.0)</f>
        <v>3142</v>
      </c>
      <c r="P89" s="222" t="str">
        <f>IFERROR(__xludf.DUMMYFUNCTION("""COMPUTED_VALUE"""),"VIGENTE")</f>
        <v>VIGENTE</v>
      </c>
      <c r="Q89" s="8" t="str">
        <f t="shared" si="2"/>
        <v>--</v>
      </c>
      <c r="W89" s="237" t="str">
        <f>CALENDARIO!V100</f>
        <v/>
      </c>
      <c r="Y89" s="8">
        <f>IFERROR(__xludf.DUMMYFUNCTION("""COMPUTED_VALUE"""),3202.0)</f>
        <v>3202</v>
      </c>
      <c r="AB89" s="8">
        <f>IFERROR(__xludf.DUMMYFUNCTION("""COMPUTED_VALUE"""),487.0)</f>
        <v>487</v>
      </c>
      <c r="AC89" s="200"/>
      <c r="AE89" s="8">
        <f>IFERROR(__xludf.DUMMYFUNCTION("""COMPUTED_VALUE"""),487.0)</f>
        <v>487</v>
      </c>
    </row>
    <row r="90">
      <c r="A90" s="158"/>
      <c r="B90" s="220">
        <v>87.0</v>
      </c>
      <c r="C90" s="78">
        <f>IFERROR(__xludf.DUMMYFUNCTION("""COMPUTED_VALUE"""),3047.0)</f>
        <v>3047</v>
      </c>
      <c r="D90" s="221">
        <f>IFERROR(__xludf.DUMMYFUNCTION("""COMPUTED_VALUE"""),46276.0)</f>
        <v>46276</v>
      </c>
      <c r="E90" s="78" t="str">
        <f>IFERROR(__xludf.DUMMYFUNCTION("""COMPUTED_VALUE"""),"02-Medellin")</f>
        <v>02-Medellin</v>
      </c>
      <c r="F90" s="156">
        <f>IFERROR(__xludf.DUMMYFUNCTION("""COMPUTED_VALUE"""),46132.0)</f>
        <v>46132</v>
      </c>
      <c r="G90" s="159">
        <f>IFERROR(__xludf.DUMMYFUNCTION("""COMPUTED_VALUE"""),84.0)</f>
        <v>84</v>
      </c>
      <c r="H90" s="222" t="str">
        <f>IFERROR(__xludf.DUMMYFUNCTION("""COMPUTED_VALUE"""),"PROXIMO")</f>
        <v>PROXIMO</v>
      </c>
      <c r="I90" s="173" t="str">
        <f t="shared" si="1"/>
        <v>NO PEDIDO</v>
      </c>
      <c r="J90" s="103"/>
      <c r="K90" s="220">
        <v>87.0</v>
      </c>
      <c r="L90" s="78">
        <f>IFERROR(__xludf.DUMMYFUNCTION("""COMPUTED_VALUE"""),2466.0)</f>
        <v>2466</v>
      </c>
      <c r="M90" s="221">
        <f>IFERROR(__xludf.DUMMYFUNCTION("""COMPUTED_VALUE"""),46297.0)</f>
        <v>46297</v>
      </c>
      <c r="N90" s="78" t="str">
        <f>IFERROR(__xludf.DUMMYFUNCTION("""COMPUTED_VALUE"""),"02-Medellin")</f>
        <v>02-Medellin</v>
      </c>
      <c r="O90" s="159">
        <f>IFERROR(__xludf.DUMMYFUNCTION("""COMPUTED_VALUE"""),3095.4)</f>
        <v>3095.4</v>
      </c>
      <c r="P90" s="222" t="str">
        <f>IFERROR(__xludf.DUMMYFUNCTION("""COMPUTED_VALUE"""),"VIGENTE")</f>
        <v>VIGENTE</v>
      </c>
      <c r="Q90" s="8" t="str">
        <f t="shared" si="2"/>
        <v>--</v>
      </c>
      <c r="W90" s="237" t="str">
        <f>CALENDARIO!V101</f>
        <v/>
      </c>
      <c r="Y90" s="8">
        <f>IFERROR(__xludf.DUMMYFUNCTION("""COMPUTED_VALUE"""),481.0)</f>
        <v>481</v>
      </c>
      <c r="AB90" s="8">
        <f>IFERROR(__xludf.DUMMYFUNCTION("""COMPUTED_VALUE"""),2842.0)</f>
        <v>2842</v>
      </c>
      <c r="AC90" s="200"/>
      <c r="AE90" s="8">
        <f>IFERROR(__xludf.DUMMYFUNCTION("""COMPUTED_VALUE"""),2842.0)</f>
        <v>2842</v>
      </c>
    </row>
    <row r="91">
      <c r="A91" s="158"/>
      <c r="B91" s="220">
        <v>88.0</v>
      </c>
      <c r="C91" s="78">
        <f>IFERROR(__xludf.DUMMYFUNCTION("""COMPUTED_VALUE"""),3271.0)</f>
        <v>3271</v>
      </c>
      <c r="D91" s="221">
        <f>IFERROR(__xludf.DUMMYFUNCTION("""COMPUTED_VALUE"""),46668.0)</f>
        <v>46668</v>
      </c>
      <c r="E91" s="78" t="str">
        <f>IFERROR(__xludf.DUMMYFUNCTION("""COMPUTED_VALUE"""),"02-Medellin")</f>
        <v>02-Medellin</v>
      </c>
      <c r="F91" s="156">
        <f>IFERROR(__xludf.DUMMYFUNCTION("""COMPUTED_VALUE"""),46133.0)</f>
        <v>46133</v>
      </c>
      <c r="G91" s="159">
        <f>IFERROR(__xludf.DUMMYFUNCTION("""COMPUTED_VALUE"""),83.0)</f>
        <v>83</v>
      </c>
      <c r="H91" s="222" t="str">
        <f>IFERROR(__xludf.DUMMYFUNCTION("""COMPUTED_VALUE"""),"PROXIMO")</f>
        <v>PROXIMO</v>
      </c>
      <c r="I91" s="173" t="str">
        <f t="shared" si="1"/>
        <v>NO PEDIDO</v>
      </c>
      <c r="J91" s="103"/>
      <c r="K91" s="220">
        <v>88.0</v>
      </c>
      <c r="L91" s="78">
        <f>IFERROR(__xludf.DUMMYFUNCTION("""COMPUTED_VALUE"""),3247.0)</f>
        <v>3247</v>
      </c>
      <c r="M91" s="221">
        <f>IFERROR(__xludf.DUMMYFUNCTION("""COMPUTED_VALUE"""),46661.0)</f>
        <v>46661</v>
      </c>
      <c r="N91" s="78" t="str">
        <f>IFERROR(__xludf.DUMMYFUNCTION("""COMPUTED_VALUE"""),"02-Medellin")</f>
        <v>02-Medellin</v>
      </c>
      <c r="O91" s="159">
        <f>IFERROR(__xludf.DUMMYFUNCTION("""COMPUTED_VALUE"""),3092.0)</f>
        <v>3092</v>
      </c>
      <c r="P91" s="222" t="str">
        <f>IFERROR(__xludf.DUMMYFUNCTION("""COMPUTED_VALUE"""),"VIGENTE")</f>
        <v>VIGENTE</v>
      </c>
      <c r="Q91" s="8" t="str">
        <f t="shared" si="2"/>
        <v>--</v>
      </c>
      <c r="W91" s="237" t="str">
        <f>CALENDARIO!V102</f>
        <v/>
      </c>
      <c r="Y91" s="8">
        <f>IFERROR(__xludf.DUMMYFUNCTION("""COMPUTED_VALUE"""),472.0)</f>
        <v>472</v>
      </c>
      <c r="AB91" s="8">
        <f>IFERROR(__xludf.DUMMYFUNCTION("""COMPUTED_VALUE"""),495.0)</f>
        <v>495</v>
      </c>
      <c r="AC91" s="200"/>
      <c r="AE91" s="8">
        <f>IFERROR(__xludf.DUMMYFUNCTION("""COMPUTED_VALUE"""),495.0)</f>
        <v>495</v>
      </c>
    </row>
    <row r="92">
      <c r="A92" s="158"/>
      <c r="B92" s="220">
        <v>89.0</v>
      </c>
      <c r="C92" s="78">
        <f>IFERROR(__xludf.DUMMYFUNCTION("""COMPUTED_VALUE"""),2898.0)</f>
        <v>2898</v>
      </c>
      <c r="D92" s="221">
        <f>IFERROR(__xludf.DUMMYFUNCTION("""COMPUTED_VALUE"""),46242.0)</f>
        <v>46242</v>
      </c>
      <c r="E92" s="78" t="str">
        <f>IFERROR(__xludf.DUMMYFUNCTION("""COMPUTED_VALUE"""),"31-Copacabana")</f>
        <v>31-Copacabana</v>
      </c>
      <c r="F92" s="156">
        <f>IFERROR(__xludf.DUMMYFUNCTION("""COMPUTED_VALUE"""),46134.0)</f>
        <v>46134</v>
      </c>
      <c r="G92" s="159">
        <f>IFERROR(__xludf.DUMMYFUNCTION("""COMPUTED_VALUE"""),82.0)</f>
        <v>82</v>
      </c>
      <c r="H92" s="222" t="str">
        <f>IFERROR(__xludf.DUMMYFUNCTION("""COMPUTED_VALUE"""),"PROXIMO")</f>
        <v>PROXIMO</v>
      </c>
      <c r="I92" s="173" t="str">
        <f t="shared" si="1"/>
        <v>NO PEDIDO</v>
      </c>
      <c r="J92" s="103"/>
      <c r="K92" s="220">
        <v>89.0</v>
      </c>
      <c r="L92" s="78">
        <f>IFERROR(__xludf.DUMMYFUNCTION("""COMPUTED_VALUE"""),2366.0)</f>
        <v>2366</v>
      </c>
      <c r="M92" s="221">
        <f>IFERROR(__xludf.DUMMYFUNCTION("""COMPUTED_VALUE"""),46306.0)</f>
        <v>46306</v>
      </c>
      <c r="N92" s="78" t="str">
        <f>IFERROR(__xludf.DUMMYFUNCTION("""COMPUTED_VALUE"""),"02-Medellin")</f>
        <v>02-Medellin</v>
      </c>
      <c r="O92" s="159">
        <f>IFERROR(__xludf.DUMMYFUNCTION("""COMPUTED_VALUE"""),3088.3)</f>
        <v>3088.3</v>
      </c>
      <c r="P92" s="222" t="str">
        <f>IFERROR(__xludf.DUMMYFUNCTION("""COMPUTED_VALUE"""),"VIGENTE")</f>
        <v>VIGENTE</v>
      </c>
      <c r="Q92" s="8" t="str">
        <f t="shared" si="2"/>
        <v>--</v>
      </c>
      <c r="W92" s="237" t="str">
        <f>CALENDARIO!V103</f>
        <v/>
      </c>
      <c r="Y92" s="8">
        <f>IFERROR(__xludf.DUMMYFUNCTION("""COMPUTED_VALUE"""),2876.0)</f>
        <v>2876</v>
      </c>
      <c r="AB92" s="8">
        <f>IFERROR(__xludf.DUMMYFUNCTION("""COMPUTED_VALUE"""),2896.0)</f>
        <v>2896</v>
      </c>
      <c r="AC92" s="200"/>
      <c r="AE92" s="8">
        <f>IFERROR(__xludf.DUMMYFUNCTION("""COMPUTED_VALUE"""),2896.0)</f>
        <v>2896</v>
      </c>
    </row>
    <row r="93">
      <c r="A93" s="158"/>
      <c r="B93" s="220">
        <v>90.0</v>
      </c>
      <c r="C93" s="78">
        <f>IFERROR(__xludf.DUMMYFUNCTION("""COMPUTED_VALUE"""),2678.0)</f>
        <v>2678</v>
      </c>
      <c r="D93" s="221">
        <f>IFERROR(__xludf.DUMMYFUNCTION("""COMPUTED_VALUE"""),46500.0)</f>
        <v>46500</v>
      </c>
      <c r="E93" s="78" t="str">
        <f>IFERROR(__xludf.DUMMYFUNCTION("""COMPUTED_VALUE"""),"MAYORCA")</f>
        <v>MAYORCA</v>
      </c>
      <c r="F93" s="156">
        <f>IFERROR(__xludf.DUMMYFUNCTION("""COMPUTED_VALUE"""),46134.0)</f>
        <v>46134</v>
      </c>
      <c r="G93" s="159">
        <f>IFERROR(__xludf.DUMMYFUNCTION("""COMPUTED_VALUE"""),82.0)</f>
        <v>82</v>
      </c>
      <c r="H93" s="222" t="str">
        <f>IFERROR(__xludf.DUMMYFUNCTION("""COMPUTED_VALUE"""),"PROXIMO")</f>
        <v>PROXIMO</v>
      </c>
      <c r="I93" s="173" t="str">
        <f t="shared" si="1"/>
        <v>NO PEDIDO</v>
      </c>
      <c r="J93" s="103"/>
      <c r="K93" s="220">
        <v>90.0</v>
      </c>
      <c r="L93" s="78">
        <f>IFERROR(__xludf.DUMMYFUNCTION("""COMPUTED_VALUE"""),2660.0)</f>
        <v>2660</v>
      </c>
      <c r="M93" s="221">
        <f>IFERROR(__xludf.DUMMYFUNCTION("""COMPUTED_VALUE"""),46491.0)</f>
        <v>46491</v>
      </c>
      <c r="N93" s="78" t="str">
        <f>IFERROR(__xludf.DUMMYFUNCTION("""COMPUTED_VALUE"""),"24-Rionegro")</f>
        <v>24-Rionegro</v>
      </c>
      <c r="O93" s="159">
        <f>IFERROR(__xludf.DUMMYFUNCTION("""COMPUTED_VALUE"""),3078.0)</f>
        <v>3078</v>
      </c>
      <c r="P93" s="222" t="str">
        <f>IFERROR(__xludf.DUMMYFUNCTION("""COMPUTED_VALUE"""),"VIGENTE")</f>
        <v>VIGENTE</v>
      </c>
      <c r="Q93" s="8" t="str">
        <f t="shared" si="2"/>
        <v>--</v>
      </c>
      <c r="W93" s="237" t="str">
        <f>CALENDARIO!V104</f>
        <v/>
      </c>
      <c r="Y93" s="8">
        <f>IFERROR(__xludf.DUMMYFUNCTION("""COMPUTED_VALUE"""),2339.0)</f>
        <v>2339</v>
      </c>
      <c r="AB93" s="8">
        <f>IFERROR(__xludf.DUMMYFUNCTION("""COMPUTED_VALUE"""),657.0)</f>
        <v>657</v>
      </c>
      <c r="AC93" s="200"/>
      <c r="AE93" s="8">
        <f>IFERROR(__xludf.DUMMYFUNCTION("""COMPUTED_VALUE"""),657.0)</f>
        <v>657</v>
      </c>
    </row>
    <row r="94">
      <c r="A94" s="158"/>
      <c r="B94" s="220">
        <v>91.0</v>
      </c>
      <c r="C94" s="78">
        <f>IFERROR(__xludf.DUMMYFUNCTION("""COMPUTED_VALUE"""),2402.0)</f>
        <v>2402</v>
      </c>
      <c r="D94" s="221">
        <f>IFERROR(__xludf.DUMMYFUNCTION("""COMPUTED_VALUE"""),46514.0)</f>
        <v>46514</v>
      </c>
      <c r="E94" s="78" t="str">
        <f>IFERROR(__xludf.DUMMYFUNCTION("""COMPUTED_VALUE"""),"MAYORCA")</f>
        <v>MAYORCA</v>
      </c>
      <c r="F94" s="156">
        <f>IFERROR(__xludf.DUMMYFUNCTION("""COMPUTED_VALUE"""),46134.0)</f>
        <v>46134</v>
      </c>
      <c r="G94" s="159">
        <f>IFERROR(__xludf.DUMMYFUNCTION("""COMPUTED_VALUE"""),82.0)</f>
        <v>82</v>
      </c>
      <c r="H94" s="222" t="str">
        <f>IFERROR(__xludf.DUMMYFUNCTION("""COMPUTED_VALUE"""),"PROXIMO")</f>
        <v>PROXIMO</v>
      </c>
      <c r="I94" s="173" t="str">
        <f t="shared" si="1"/>
        <v>NO PEDIDO</v>
      </c>
      <c r="J94" s="103"/>
      <c r="K94" s="220">
        <v>91.0</v>
      </c>
      <c r="L94" s="78">
        <f>IFERROR(__xludf.DUMMYFUNCTION("""COMPUTED_VALUE"""),2423.0)</f>
        <v>2423</v>
      </c>
      <c r="M94" s="221">
        <f>IFERROR(__xludf.DUMMYFUNCTION("""COMPUTED_VALUE"""),46513.0)</f>
        <v>46513</v>
      </c>
      <c r="N94" s="78" t="str">
        <f>IFERROR(__xludf.DUMMYFUNCTION("""COMPUTED_VALUE"""),"02-Medellin")</f>
        <v>02-Medellin</v>
      </c>
      <c r="O94" s="159">
        <f>IFERROR(__xludf.DUMMYFUNCTION("""COMPUTED_VALUE"""),3051.8)</f>
        <v>3051.8</v>
      </c>
      <c r="P94" s="222" t="str">
        <f>IFERROR(__xludf.DUMMYFUNCTION("""COMPUTED_VALUE"""),"VIGENTE")</f>
        <v>VIGENTE</v>
      </c>
      <c r="Q94" s="8" t="str">
        <f t="shared" si="2"/>
        <v>--</v>
      </c>
      <c r="W94" s="237" t="str">
        <f>CALENDARIO!V105</f>
        <v/>
      </c>
      <c r="Y94" s="8">
        <f>IFERROR(__xludf.DUMMYFUNCTION("""COMPUTED_VALUE"""),654.0)</f>
        <v>654</v>
      </c>
      <c r="AB94" s="8">
        <f>IFERROR(__xludf.DUMMYFUNCTION("""COMPUTED_VALUE"""),496.0)</f>
        <v>496</v>
      </c>
      <c r="AC94" s="200"/>
      <c r="AE94" s="8">
        <f>IFERROR(__xludf.DUMMYFUNCTION("""COMPUTED_VALUE"""),496.0)</f>
        <v>496</v>
      </c>
    </row>
    <row r="95">
      <c r="A95" s="158"/>
      <c r="B95" s="220">
        <v>92.0</v>
      </c>
      <c r="C95" s="78">
        <f>IFERROR(__xludf.DUMMYFUNCTION("""COMPUTED_VALUE"""),3249.0)</f>
        <v>3249</v>
      </c>
      <c r="D95" s="221">
        <f>IFERROR(__xludf.DUMMYFUNCTION("""COMPUTED_VALUE"""),46661.0)</f>
        <v>46661</v>
      </c>
      <c r="E95" s="78" t="str">
        <f>IFERROR(__xludf.DUMMYFUNCTION("""COMPUTED_VALUE"""),"02-Medellin")</f>
        <v>02-Medellin</v>
      </c>
      <c r="F95" s="156">
        <f>IFERROR(__xludf.DUMMYFUNCTION("""COMPUTED_VALUE"""),46140.0)</f>
        <v>46140</v>
      </c>
      <c r="G95" s="159">
        <f>IFERROR(__xludf.DUMMYFUNCTION("""COMPUTED_VALUE"""),76.0)</f>
        <v>76</v>
      </c>
      <c r="H95" s="222" t="str">
        <f>IFERROR(__xludf.DUMMYFUNCTION("""COMPUTED_VALUE"""),"VIGENTE")</f>
        <v>VIGENTE</v>
      </c>
      <c r="I95" s="173" t="str">
        <f t="shared" si="1"/>
        <v>-</v>
      </c>
      <c r="J95" s="103"/>
      <c r="K95" s="220">
        <v>92.0</v>
      </c>
      <c r="L95" s="78">
        <f>IFERROR(__xludf.DUMMYFUNCTION("""COMPUTED_VALUE"""),2424.0)</f>
        <v>2424</v>
      </c>
      <c r="M95" s="221">
        <f>IFERROR(__xludf.DUMMYFUNCTION("""COMPUTED_VALUE"""),46528.0)</f>
        <v>46528</v>
      </c>
      <c r="N95" s="78" t="str">
        <f>IFERROR(__xludf.DUMMYFUNCTION("""COMPUTED_VALUE"""),"02-Medellin")</f>
        <v>02-Medellin</v>
      </c>
      <c r="O95" s="159">
        <f>IFERROR(__xludf.DUMMYFUNCTION("""COMPUTED_VALUE"""),3021.0)</f>
        <v>3021</v>
      </c>
      <c r="P95" s="222" t="str">
        <f>IFERROR(__xludf.DUMMYFUNCTION("""COMPUTED_VALUE"""),"VIGENTE")</f>
        <v>VIGENTE</v>
      </c>
      <c r="Q95" s="8" t="str">
        <f t="shared" si="2"/>
        <v>--</v>
      </c>
      <c r="W95" s="237" t="str">
        <f>CALENDARIO!V106</f>
        <v/>
      </c>
      <c r="Y95" s="8">
        <f>IFERROR(__xludf.DUMMYFUNCTION("""COMPUTED_VALUE"""),2395.0)</f>
        <v>2395</v>
      </c>
      <c r="AB95" s="8">
        <f>IFERROR(__xludf.DUMMYFUNCTION("""COMPUTED_VALUE"""),2846.0)</f>
        <v>2846</v>
      </c>
      <c r="AC95" s="200"/>
      <c r="AE95" s="8">
        <f>IFERROR(__xludf.DUMMYFUNCTION("""COMPUTED_VALUE"""),2846.0)</f>
        <v>2846</v>
      </c>
    </row>
    <row r="96">
      <c r="A96" s="158"/>
      <c r="B96" s="220">
        <v>93.0</v>
      </c>
      <c r="C96" s="78">
        <f>IFERROR(__xludf.DUMMYFUNCTION("""COMPUTED_VALUE"""),2918.0)</f>
        <v>2918</v>
      </c>
      <c r="D96" s="221">
        <f>IFERROR(__xludf.DUMMYFUNCTION("""COMPUTED_VALUE"""),46303.0)</f>
        <v>46303</v>
      </c>
      <c r="E96" s="78" t="str">
        <f>IFERROR(__xludf.DUMMYFUNCTION("""COMPUTED_VALUE"""),"02-Medellin")</f>
        <v>02-Medellin</v>
      </c>
      <c r="F96" s="156">
        <f>IFERROR(__xludf.DUMMYFUNCTION("""COMPUTED_VALUE"""),46140.0)</f>
        <v>46140</v>
      </c>
      <c r="G96" s="159">
        <f>IFERROR(__xludf.DUMMYFUNCTION("""COMPUTED_VALUE"""),76.0)</f>
        <v>76</v>
      </c>
      <c r="H96" s="222" t="str">
        <f>IFERROR(__xludf.DUMMYFUNCTION("""COMPUTED_VALUE"""),"VIGENTE")</f>
        <v>VIGENTE</v>
      </c>
      <c r="I96" s="173" t="str">
        <f t="shared" si="1"/>
        <v>-</v>
      </c>
      <c r="J96" s="103"/>
      <c r="K96" s="220">
        <v>93.0</v>
      </c>
      <c r="L96" s="78">
        <f>IFERROR(__xludf.DUMMYFUNCTION("""COMPUTED_VALUE"""),2679.0)</f>
        <v>2679</v>
      </c>
      <c r="M96" s="221">
        <f>IFERROR(__xludf.DUMMYFUNCTION("""COMPUTED_VALUE"""),46499.0)</f>
        <v>46499</v>
      </c>
      <c r="N96" s="78" t="str">
        <f>IFERROR(__xludf.DUMMYFUNCTION("""COMPUTED_VALUE"""),"02-Medellin")</f>
        <v>02-Medellin</v>
      </c>
      <c r="O96" s="159">
        <f>IFERROR(__xludf.DUMMYFUNCTION("""COMPUTED_VALUE"""),2965.8)</f>
        <v>2965.8</v>
      </c>
      <c r="P96" s="222" t="str">
        <f>IFERROR(__xludf.DUMMYFUNCTION("""COMPUTED_VALUE"""),"VIGENTE")</f>
        <v>VIGENTE</v>
      </c>
      <c r="Q96" s="8" t="str">
        <f t="shared" si="2"/>
        <v>--</v>
      </c>
      <c r="Y96" s="8">
        <f>IFERROR(__xludf.DUMMYFUNCTION("""COMPUTED_VALUE"""),2379.0)</f>
        <v>2379</v>
      </c>
      <c r="AB96" s="8">
        <f>IFERROR(__xludf.DUMMYFUNCTION("""COMPUTED_VALUE"""),2907.0)</f>
        <v>2907</v>
      </c>
      <c r="AC96" s="200"/>
      <c r="AE96" s="8">
        <f>IFERROR(__xludf.DUMMYFUNCTION("""COMPUTED_VALUE"""),2907.0)</f>
        <v>2907</v>
      </c>
    </row>
    <row r="97">
      <c r="A97" s="158"/>
      <c r="B97" s="220">
        <v>94.0</v>
      </c>
      <c r="C97" s="78">
        <f>IFERROR(__xludf.DUMMYFUNCTION("""COMPUTED_VALUE"""),2844.0)</f>
        <v>2844</v>
      </c>
      <c r="D97" s="221">
        <f>IFERROR(__xludf.DUMMYFUNCTION("""COMPUTED_VALUE"""),46562.0)</f>
        <v>46562</v>
      </c>
      <c r="E97" s="78" t="str">
        <f>IFERROR(__xludf.DUMMYFUNCTION("""COMPUTED_VALUE"""),"02-Medellin")</f>
        <v>02-Medellin</v>
      </c>
      <c r="F97" s="156">
        <f>IFERROR(__xludf.DUMMYFUNCTION("""COMPUTED_VALUE"""),46140.0)</f>
        <v>46140</v>
      </c>
      <c r="G97" s="159">
        <f>IFERROR(__xludf.DUMMYFUNCTION("""COMPUTED_VALUE"""),76.0)</f>
        <v>76</v>
      </c>
      <c r="H97" s="222" t="str">
        <f>IFERROR(__xludf.DUMMYFUNCTION("""COMPUTED_VALUE"""),"VIGENTE")</f>
        <v>VIGENTE</v>
      </c>
      <c r="I97" s="173" t="str">
        <f t="shared" si="1"/>
        <v>-</v>
      </c>
      <c r="J97" s="103"/>
      <c r="K97" s="220">
        <v>94.0</v>
      </c>
      <c r="L97" s="78">
        <f>IFERROR(__xludf.DUMMYFUNCTION("""COMPUTED_VALUE"""),2394.0)</f>
        <v>2394</v>
      </c>
      <c r="M97" s="221">
        <f>IFERROR(__xludf.DUMMYFUNCTION("""COMPUTED_VALUE"""),46467.0)</f>
        <v>46467</v>
      </c>
      <c r="N97" s="78" t="str">
        <f>IFERROR(__xludf.DUMMYFUNCTION("""COMPUTED_VALUE"""),"MAYORCA")</f>
        <v>MAYORCA</v>
      </c>
      <c r="O97" s="159">
        <f>IFERROR(__xludf.DUMMYFUNCTION("""COMPUTED_VALUE"""),2946.5)</f>
        <v>2946.5</v>
      </c>
      <c r="P97" s="222" t="str">
        <f>IFERROR(__xludf.DUMMYFUNCTION("""COMPUTED_VALUE"""),"VIGENTE")</f>
        <v>VIGENTE</v>
      </c>
      <c r="Q97" s="8" t="str">
        <f t="shared" si="2"/>
        <v>--</v>
      </c>
      <c r="Y97" s="8">
        <f>IFERROR(__xludf.DUMMYFUNCTION("""COMPUTED_VALUE"""),2847.0)</f>
        <v>2847</v>
      </c>
      <c r="AB97" s="8">
        <f>IFERROR(__xludf.DUMMYFUNCTION("""COMPUTED_VALUE"""),2877.0)</f>
        <v>2877</v>
      </c>
      <c r="AC97" s="200"/>
      <c r="AE97" s="8">
        <f>IFERROR(__xludf.DUMMYFUNCTION("""COMPUTED_VALUE"""),2877.0)</f>
        <v>2877</v>
      </c>
    </row>
    <row r="98">
      <c r="A98" s="158"/>
      <c r="B98" s="220">
        <v>95.0</v>
      </c>
      <c r="C98" s="78">
        <f>IFERROR(__xludf.DUMMYFUNCTION("""COMPUTED_VALUE"""),2682.0)</f>
        <v>2682</v>
      </c>
      <c r="D98" s="221">
        <f>IFERROR(__xludf.DUMMYFUNCTION("""COMPUTED_VALUE"""),46506.0)</f>
        <v>46506</v>
      </c>
      <c r="E98" s="78" t="str">
        <f>IFERROR(__xludf.DUMMYFUNCTION("""COMPUTED_VALUE"""),"24-Rionegro")</f>
        <v>24-Rionegro</v>
      </c>
      <c r="F98" s="156">
        <f>IFERROR(__xludf.DUMMYFUNCTION("""COMPUTED_VALUE"""),46140.0)</f>
        <v>46140</v>
      </c>
      <c r="G98" s="159">
        <f>IFERROR(__xludf.DUMMYFUNCTION("""COMPUTED_VALUE"""),76.0)</f>
        <v>76</v>
      </c>
      <c r="H98" s="222" t="str">
        <f>IFERROR(__xludf.DUMMYFUNCTION("""COMPUTED_VALUE"""),"VIGENTE")</f>
        <v>VIGENTE</v>
      </c>
      <c r="I98" s="173" t="str">
        <f t="shared" si="1"/>
        <v>-</v>
      </c>
      <c r="J98" s="103"/>
      <c r="K98" s="220">
        <v>95.0</v>
      </c>
      <c r="L98" s="78">
        <f>IFERROR(__xludf.DUMMYFUNCTION("""COMPUTED_VALUE"""),2897.0)</f>
        <v>2897</v>
      </c>
      <c r="M98" s="221">
        <f>IFERROR(__xludf.DUMMYFUNCTION("""COMPUTED_VALUE"""),46242.0)</f>
        <v>46242</v>
      </c>
      <c r="N98" s="78" t="str">
        <f>IFERROR(__xludf.DUMMYFUNCTION("""COMPUTED_VALUE"""),"31-Copacabana QUIMICOS")</f>
        <v>31-Copacabana QUIMICOS</v>
      </c>
      <c r="O98" s="159">
        <f>IFERROR(__xludf.DUMMYFUNCTION("""COMPUTED_VALUE"""),2918.0)</f>
        <v>2918</v>
      </c>
      <c r="P98" s="222" t="str">
        <f>IFERROR(__xludf.DUMMYFUNCTION("""COMPUTED_VALUE"""),"VIGENTE")</f>
        <v>VIGENTE</v>
      </c>
      <c r="Q98" s="8" t="str">
        <f t="shared" si="2"/>
        <v>--</v>
      </c>
      <c r="Y98" s="8">
        <f>IFERROR(__xludf.DUMMYFUNCTION("""COMPUTED_VALUE"""),2422.0)</f>
        <v>2422</v>
      </c>
      <c r="AB98" s="8">
        <f>IFERROR(__xludf.DUMMYFUNCTION("""COMPUTED_VALUE"""),661.0)</f>
        <v>661</v>
      </c>
      <c r="AC98" s="200"/>
      <c r="AE98" s="8">
        <f>IFERROR(__xludf.DUMMYFUNCTION("""COMPUTED_VALUE"""),661.0)</f>
        <v>661</v>
      </c>
    </row>
    <row r="99">
      <c r="A99" s="158"/>
      <c r="B99" s="220">
        <v>96.0</v>
      </c>
      <c r="C99" s="78">
        <f>IFERROR(__xludf.DUMMYFUNCTION("""COMPUTED_VALUE"""),2847.0)</f>
        <v>2847</v>
      </c>
      <c r="D99" s="221">
        <f>IFERROR(__xludf.DUMMYFUNCTION("""COMPUTED_VALUE"""),46559.0)</f>
        <v>46559</v>
      </c>
      <c r="E99" s="78" t="str">
        <f>IFERROR(__xludf.DUMMYFUNCTION("""COMPUTED_VALUE"""),"31-Copacabana")</f>
        <v>31-Copacabana</v>
      </c>
      <c r="F99" s="156">
        <f>IFERROR(__xludf.DUMMYFUNCTION("""COMPUTED_VALUE"""),46142.0)</f>
        <v>46142</v>
      </c>
      <c r="G99" s="159">
        <f>IFERROR(__xludf.DUMMYFUNCTION("""COMPUTED_VALUE"""),74.0)</f>
        <v>74</v>
      </c>
      <c r="H99" s="222" t="str">
        <f>IFERROR(__xludf.DUMMYFUNCTION("""COMPUTED_VALUE"""),"VIGENTE")</f>
        <v>VIGENTE</v>
      </c>
      <c r="I99" s="173" t="str">
        <f t="shared" si="1"/>
        <v>-</v>
      </c>
      <c r="J99" s="103"/>
      <c r="K99" s="220">
        <v>96.0</v>
      </c>
      <c r="L99" s="78">
        <f>IFERROR(__xludf.DUMMYFUNCTION("""COMPUTED_VALUE"""),3200.0)</f>
        <v>3200</v>
      </c>
      <c r="M99" s="221">
        <f>IFERROR(__xludf.DUMMYFUNCTION("""COMPUTED_VALUE"""),46654.0)</f>
        <v>46654</v>
      </c>
      <c r="N99" s="78" t="str">
        <f>IFERROR(__xludf.DUMMYFUNCTION("""COMPUTED_VALUE"""),"02-Medellin")</f>
        <v>02-Medellin</v>
      </c>
      <c r="O99" s="159">
        <f>IFERROR(__xludf.DUMMYFUNCTION("""COMPUTED_VALUE"""),2792.0)</f>
        <v>2792</v>
      </c>
      <c r="P99" s="222" t="str">
        <f>IFERROR(__xludf.DUMMYFUNCTION("""COMPUTED_VALUE"""),"VIGENTE")</f>
        <v>VIGENTE</v>
      </c>
      <c r="Q99" s="8" t="str">
        <f t="shared" si="2"/>
        <v>--</v>
      </c>
      <c r="Y99" s="8">
        <f>IFERROR(__xludf.DUMMYFUNCTION("""COMPUTED_VALUE"""),2572.0)</f>
        <v>2572</v>
      </c>
      <c r="AB99" s="8">
        <f>IFERROR(__xludf.DUMMYFUNCTION("""COMPUTED_VALUE"""),464.0)</f>
        <v>464</v>
      </c>
      <c r="AC99" s="200"/>
      <c r="AE99" s="8">
        <f>IFERROR(__xludf.DUMMYFUNCTION("""COMPUTED_VALUE"""),464.0)</f>
        <v>464</v>
      </c>
    </row>
    <row r="100">
      <c r="A100" s="158"/>
      <c r="B100" s="220">
        <v>97.0</v>
      </c>
      <c r="C100" s="78">
        <f>IFERROR(__xludf.DUMMYFUNCTION("""COMPUTED_VALUE"""),2672.0)</f>
        <v>2672</v>
      </c>
      <c r="D100" s="221">
        <f>IFERROR(__xludf.DUMMYFUNCTION("""COMPUTED_VALUE"""),46511.0)</f>
        <v>46511</v>
      </c>
      <c r="E100" s="78" t="str">
        <f>IFERROR(__xludf.DUMMYFUNCTION("""COMPUTED_VALUE"""),"02-Medellin")</f>
        <v>02-Medellin</v>
      </c>
      <c r="F100" s="156">
        <f>IFERROR(__xludf.DUMMYFUNCTION("""COMPUTED_VALUE"""),46142.0)</f>
        <v>46142</v>
      </c>
      <c r="G100" s="159">
        <f>IFERROR(__xludf.DUMMYFUNCTION("""COMPUTED_VALUE"""),74.0)</f>
        <v>74</v>
      </c>
      <c r="H100" s="222" t="str">
        <f>IFERROR(__xludf.DUMMYFUNCTION("""COMPUTED_VALUE"""),"VIGENTE")</f>
        <v>VIGENTE</v>
      </c>
      <c r="I100" s="173" t="str">
        <f t="shared" si="1"/>
        <v>-</v>
      </c>
      <c r="J100" s="103"/>
      <c r="K100" s="220">
        <v>97.0</v>
      </c>
      <c r="L100" s="78">
        <f>IFERROR(__xludf.DUMMYFUNCTION("""COMPUTED_VALUE"""),2490.0)</f>
        <v>2490</v>
      </c>
      <c r="M100" s="221">
        <f>IFERROR(__xludf.DUMMYFUNCTION("""COMPUTED_VALUE"""),46303.0)</f>
        <v>46303</v>
      </c>
      <c r="N100" s="78" t="str">
        <f>IFERROR(__xludf.DUMMYFUNCTION("""COMPUTED_VALUE"""),"02-Medellin")</f>
        <v>02-Medellin</v>
      </c>
      <c r="O100" s="159">
        <f>IFERROR(__xludf.DUMMYFUNCTION("""COMPUTED_VALUE"""),2764.2)</f>
        <v>2764.2</v>
      </c>
      <c r="P100" s="222" t="str">
        <f>IFERROR(__xludf.DUMMYFUNCTION("""COMPUTED_VALUE"""),"VIGENTE")</f>
        <v>VIGENTE</v>
      </c>
      <c r="Q100" s="8" t="str">
        <f t="shared" si="2"/>
        <v>--</v>
      </c>
      <c r="Y100" s="8">
        <f>IFERROR(__xludf.DUMMYFUNCTION("""COMPUTED_VALUE"""),2852.0)</f>
        <v>2852</v>
      </c>
      <c r="AB100" s="8">
        <f>IFERROR(__xludf.DUMMYFUNCTION("""COMPUTED_VALUE"""),461.0)</f>
        <v>461</v>
      </c>
      <c r="AC100" s="200"/>
      <c r="AE100" s="8">
        <f>IFERROR(__xludf.DUMMYFUNCTION("""COMPUTED_VALUE"""),461.0)</f>
        <v>461</v>
      </c>
    </row>
    <row r="101">
      <c r="A101" s="158"/>
      <c r="B101" s="220">
        <v>98.0</v>
      </c>
      <c r="C101" s="78">
        <f>IFERROR(__xludf.DUMMYFUNCTION("""COMPUTED_VALUE"""),2671.0)</f>
        <v>2671</v>
      </c>
      <c r="D101" s="221">
        <f>IFERROR(__xludf.DUMMYFUNCTION("""COMPUTED_VALUE"""),46507.0)</f>
        <v>46507</v>
      </c>
      <c r="E101" s="78" t="str">
        <f>IFERROR(__xludf.DUMMYFUNCTION("""COMPUTED_VALUE"""),"MAYORCA")</f>
        <v>MAYORCA</v>
      </c>
      <c r="F101" s="156">
        <f>IFERROR(__xludf.DUMMYFUNCTION("""COMPUTED_VALUE"""),46142.0)</f>
        <v>46142</v>
      </c>
      <c r="G101" s="159">
        <f>IFERROR(__xludf.DUMMYFUNCTION("""COMPUTED_VALUE"""),74.0)</f>
        <v>74</v>
      </c>
      <c r="H101" s="222" t="str">
        <f>IFERROR(__xludf.DUMMYFUNCTION("""COMPUTED_VALUE"""),"VIGENTE")</f>
        <v>VIGENTE</v>
      </c>
      <c r="I101" s="173" t="str">
        <f t="shared" si="1"/>
        <v>-</v>
      </c>
      <c r="J101" s="103"/>
      <c r="K101" s="220">
        <v>98.0</v>
      </c>
      <c r="L101" s="78">
        <f>IFERROR(__xludf.DUMMYFUNCTION("""COMPUTED_VALUE"""),2856.0)</f>
        <v>2856</v>
      </c>
      <c r="M101" s="221">
        <f>IFERROR(__xludf.DUMMYFUNCTION("""COMPUTED_VALUE"""),46215.0)</f>
        <v>46215</v>
      </c>
      <c r="N101" s="78" t="str">
        <f>IFERROR(__xludf.DUMMYFUNCTION("""COMPUTED_VALUE"""),"MAYORCA")</f>
        <v>MAYORCA</v>
      </c>
      <c r="O101" s="159">
        <f>IFERROR(__xludf.DUMMYFUNCTION("""COMPUTED_VALUE"""),2760.0)</f>
        <v>2760</v>
      </c>
      <c r="P101" s="222" t="str">
        <f>IFERROR(__xludf.DUMMYFUNCTION("""COMPUTED_VALUE"""),"VIGENTE")</f>
        <v>VIGENTE</v>
      </c>
      <c r="Q101" s="8" t="str">
        <f t="shared" si="2"/>
        <v>--</v>
      </c>
      <c r="Y101" s="8">
        <f>IFERROR(__xludf.DUMMYFUNCTION("""COMPUTED_VALUE"""),3049.0)</f>
        <v>3049</v>
      </c>
      <c r="AB101" s="8">
        <f>IFERROR(__xludf.DUMMYFUNCTION("""COMPUTED_VALUE"""),2663.0)</f>
        <v>2663</v>
      </c>
      <c r="AC101" s="200"/>
      <c r="AE101" s="8">
        <f>IFERROR(__xludf.DUMMYFUNCTION("""COMPUTED_VALUE"""),2663.0)</f>
        <v>2663</v>
      </c>
    </row>
    <row r="102">
      <c r="A102" s="158"/>
      <c r="B102" s="220">
        <v>99.0</v>
      </c>
      <c r="C102" s="78">
        <f>IFERROR(__xludf.DUMMYFUNCTION("""COMPUTED_VALUE"""),2669.0)</f>
        <v>2669</v>
      </c>
      <c r="D102" s="221">
        <f>IFERROR(__xludf.DUMMYFUNCTION("""COMPUTED_VALUE"""),46511.0)</f>
        <v>46511</v>
      </c>
      <c r="E102" s="78" t="str">
        <f>IFERROR(__xludf.DUMMYFUNCTION("""COMPUTED_VALUE"""),"02-Medellin")</f>
        <v>02-Medellin</v>
      </c>
      <c r="F102" s="156">
        <f>IFERROR(__xludf.DUMMYFUNCTION("""COMPUTED_VALUE"""),46142.0)</f>
        <v>46142</v>
      </c>
      <c r="G102" s="159">
        <f>IFERROR(__xludf.DUMMYFUNCTION("""COMPUTED_VALUE"""),74.0)</f>
        <v>74</v>
      </c>
      <c r="H102" s="222" t="str">
        <f>IFERROR(__xludf.DUMMYFUNCTION("""COMPUTED_VALUE"""),"VIGENTE")</f>
        <v>VIGENTE</v>
      </c>
      <c r="I102" s="173" t="str">
        <f t="shared" si="1"/>
        <v>-</v>
      </c>
      <c r="J102" s="103"/>
      <c r="K102" s="220">
        <v>99.0</v>
      </c>
      <c r="L102" s="78">
        <f>IFERROR(__xludf.DUMMYFUNCTION("""COMPUTED_VALUE"""),2402.0)</f>
        <v>2402</v>
      </c>
      <c r="M102" s="221">
        <f>IFERROR(__xludf.DUMMYFUNCTION("""COMPUTED_VALUE"""),46514.0)</f>
        <v>46514</v>
      </c>
      <c r="N102" s="78" t="str">
        <f>IFERROR(__xludf.DUMMYFUNCTION("""COMPUTED_VALUE"""),"MAYORCA")</f>
        <v>MAYORCA</v>
      </c>
      <c r="O102" s="159">
        <f>IFERROR(__xludf.DUMMYFUNCTION("""COMPUTED_VALUE"""),2758.8)</f>
        <v>2758.8</v>
      </c>
      <c r="P102" s="222" t="str">
        <f>IFERROR(__xludf.DUMMYFUNCTION("""COMPUTED_VALUE"""),"VIGENTE")</f>
        <v>VIGENTE</v>
      </c>
      <c r="Q102" s="8" t="str">
        <f t="shared" si="2"/>
        <v>--</v>
      </c>
      <c r="Y102" s="8">
        <f>IFERROR(__xludf.DUMMYFUNCTION("""COMPUTED_VALUE"""),2681.0)</f>
        <v>2681</v>
      </c>
      <c r="AB102" s="8">
        <f>IFERROR(__xludf.DUMMYFUNCTION("""COMPUTED_VALUE"""),2460.0)</f>
        <v>2460</v>
      </c>
      <c r="AC102" s="200"/>
      <c r="AE102" s="8">
        <f>IFERROR(__xludf.DUMMYFUNCTION("""COMPUTED_VALUE"""),2460.0)</f>
        <v>2460</v>
      </c>
    </row>
    <row r="103">
      <c r="A103" s="158"/>
      <c r="B103" s="220">
        <v>100.0</v>
      </c>
      <c r="C103" s="78">
        <f>IFERROR(__xludf.DUMMYFUNCTION("""COMPUTED_VALUE"""),2438.0)</f>
        <v>2438</v>
      </c>
      <c r="D103" s="221">
        <f>IFERROR(__xludf.DUMMYFUNCTION("""COMPUTED_VALUE"""),46521.0)</f>
        <v>46521</v>
      </c>
      <c r="E103" s="78" t="str">
        <f>IFERROR(__xludf.DUMMYFUNCTION("""COMPUTED_VALUE"""),"02-Medellin")</f>
        <v>02-Medellin</v>
      </c>
      <c r="F103" s="156">
        <f>IFERROR(__xludf.DUMMYFUNCTION("""COMPUTED_VALUE"""),46142.0)</f>
        <v>46142</v>
      </c>
      <c r="G103" s="159">
        <f>IFERROR(__xludf.DUMMYFUNCTION("""COMPUTED_VALUE"""),74.0)</f>
        <v>74</v>
      </c>
      <c r="H103" s="222" t="str">
        <f>IFERROR(__xludf.DUMMYFUNCTION("""COMPUTED_VALUE"""),"VIGENTE")</f>
        <v>VIGENTE</v>
      </c>
      <c r="I103" s="173" t="str">
        <f t="shared" si="1"/>
        <v>-</v>
      </c>
      <c r="J103" s="103"/>
      <c r="K103" s="220">
        <v>100.0</v>
      </c>
      <c r="L103" s="78">
        <f>IFERROR(__xludf.DUMMYFUNCTION("""COMPUTED_VALUE"""),3275.0)</f>
        <v>3275</v>
      </c>
      <c r="M103" s="221">
        <f>IFERROR(__xludf.DUMMYFUNCTION("""COMPUTED_VALUE"""),46668.0)</f>
        <v>46668</v>
      </c>
      <c r="N103" s="78" t="str">
        <f>IFERROR(__xludf.DUMMYFUNCTION("""COMPUTED_VALUE"""),"02-Medellin")</f>
        <v>02-Medellin</v>
      </c>
      <c r="O103" s="159">
        <f>IFERROR(__xludf.DUMMYFUNCTION("""COMPUTED_VALUE"""),2748.0)</f>
        <v>2748</v>
      </c>
      <c r="P103" s="222" t="str">
        <f>IFERROR(__xludf.DUMMYFUNCTION("""COMPUTED_VALUE"""),"VIGENTE")</f>
        <v>VIGENTE</v>
      </c>
      <c r="Q103" s="8" t="str">
        <f t="shared" si="2"/>
        <v>--</v>
      </c>
      <c r="AB103" s="8">
        <f>IFERROR(__xludf.DUMMYFUNCTION("""COMPUTED_VALUE"""),2895.0)</f>
        <v>2895</v>
      </c>
      <c r="AC103" s="200"/>
      <c r="AE103" s="8">
        <f>IFERROR(__xludf.DUMMYFUNCTION("""COMPUTED_VALUE"""),2895.0)</f>
        <v>2895</v>
      </c>
    </row>
    <row r="104">
      <c r="A104" s="158"/>
      <c r="B104" s="220">
        <v>101.0</v>
      </c>
      <c r="C104" s="78">
        <f>IFERROR(__xludf.DUMMYFUNCTION("""COMPUTED_VALUE"""),2384.0)</f>
        <v>2384</v>
      </c>
      <c r="D104" s="221">
        <f>IFERROR(__xludf.DUMMYFUNCTION("""COMPUTED_VALUE"""),46571.0)</f>
        <v>46571</v>
      </c>
      <c r="E104" s="78" t="str">
        <f>IFERROR(__xludf.DUMMYFUNCTION("""COMPUTED_VALUE"""),"02-Medellin")</f>
        <v>02-Medellin</v>
      </c>
      <c r="F104" s="156">
        <f>IFERROR(__xludf.DUMMYFUNCTION("""COMPUTED_VALUE"""),46142.0)</f>
        <v>46142</v>
      </c>
      <c r="G104" s="159">
        <f>IFERROR(__xludf.DUMMYFUNCTION("""COMPUTED_VALUE"""),74.0)</f>
        <v>74</v>
      </c>
      <c r="H104" s="222" t="str">
        <f>IFERROR(__xludf.DUMMYFUNCTION("""COMPUTED_VALUE"""),"VIGENTE")</f>
        <v>VIGENTE</v>
      </c>
      <c r="I104" s="173" t="str">
        <f t="shared" si="1"/>
        <v>-</v>
      </c>
      <c r="J104" s="103"/>
      <c r="K104" s="220">
        <v>101.0</v>
      </c>
      <c r="L104" s="78">
        <f>IFERROR(__xludf.DUMMYFUNCTION("""COMPUTED_VALUE"""),2682.0)</f>
        <v>2682</v>
      </c>
      <c r="M104" s="221">
        <f>IFERROR(__xludf.DUMMYFUNCTION("""COMPUTED_VALUE"""),46506.0)</f>
        <v>46506</v>
      </c>
      <c r="N104" s="78" t="str">
        <f>IFERROR(__xludf.DUMMYFUNCTION("""COMPUTED_VALUE"""),"24-Rionegro")</f>
        <v>24-Rionegro</v>
      </c>
      <c r="O104" s="159">
        <f>IFERROR(__xludf.DUMMYFUNCTION("""COMPUTED_VALUE"""),2747.9)</f>
        <v>2747.9</v>
      </c>
      <c r="P104" s="222" t="str">
        <f>IFERROR(__xludf.DUMMYFUNCTION("""COMPUTED_VALUE"""),"VIGENTE")</f>
        <v>VIGENTE</v>
      </c>
      <c r="Q104" s="8" t="str">
        <f t="shared" si="2"/>
        <v>--</v>
      </c>
      <c r="AB104" s="8">
        <f>IFERROR(__xludf.DUMMYFUNCTION("""COMPUTED_VALUE"""),2367.0)</f>
        <v>2367</v>
      </c>
      <c r="AC104" s="200"/>
      <c r="AE104" s="8">
        <f>IFERROR(__xludf.DUMMYFUNCTION("""COMPUTED_VALUE"""),2367.0)</f>
        <v>2367</v>
      </c>
    </row>
    <row r="105">
      <c r="A105" s="158"/>
      <c r="B105" s="220">
        <v>102.0</v>
      </c>
      <c r="C105" s="78">
        <f>IFERROR(__xludf.DUMMYFUNCTION("""COMPUTED_VALUE"""),3284.0)</f>
        <v>3284</v>
      </c>
      <c r="D105" s="221">
        <f>IFERROR(__xludf.DUMMYFUNCTION("""COMPUTED_VALUE"""),46668.0)</f>
        <v>46668</v>
      </c>
      <c r="E105" s="78" t="str">
        <f>IFERROR(__xludf.DUMMYFUNCTION("""COMPUTED_VALUE"""),"02-Medellin")</f>
        <v>02-Medellin</v>
      </c>
      <c r="F105" s="156">
        <f>IFERROR(__xludf.DUMMYFUNCTION("""COMPUTED_VALUE"""),46147.0)</f>
        <v>46147</v>
      </c>
      <c r="G105" s="159">
        <f>IFERROR(__xludf.DUMMYFUNCTION("""COMPUTED_VALUE"""),69.0)</f>
        <v>69</v>
      </c>
      <c r="H105" s="222" t="str">
        <f>IFERROR(__xludf.DUMMYFUNCTION("""COMPUTED_VALUE"""),"VIGENTE")</f>
        <v>VIGENTE</v>
      </c>
      <c r="I105" s="173" t="str">
        <f t="shared" si="1"/>
        <v>-</v>
      </c>
      <c r="J105" s="103"/>
      <c r="K105" s="220">
        <v>102.0</v>
      </c>
      <c r="L105" s="78">
        <f>IFERROR(__xludf.DUMMYFUNCTION("""COMPUTED_VALUE"""),2921.0)</f>
        <v>2921</v>
      </c>
      <c r="M105" s="221">
        <f>IFERROR(__xludf.DUMMYFUNCTION("""COMPUTED_VALUE"""),46318.0)</f>
        <v>46318</v>
      </c>
      <c r="N105" s="78" t="str">
        <f>IFERROR(__xludf.DUMMYFUNCTION("""COMPUTED_VALUE"""),"MAYORCA")</f>
        <v>MAYORCA</v>
      </c>
      <c r="O105" s="159">
        <f>IFERROR(__xludf.DUMMYFUNCTION("""COMPUTED_VALUE"""),2718.0)</f>
        <v>2718</v>
      </c>
      <c r="P105" s="222" t="str">
        <f>IFERROR(__xludf.DUMMYFUNCTION("""COMPUTED_VALUE"""),"VIGENTE")</f>
        <v>VIGENTE</v>
      </c>
      <c r="Q105" s="8" t="str">
        <f t="shared" si="2"/>
        <v>--</v>
      </c>
      <c r="AB105" s="8">
        <f>IFERROR(__xludf.DUMMYFUNCTION("""COMPUTED_VALUE"""),2923.0)</f>
        <v>2923</v>
      </c>
      <c r="AC105" s="200"/>
      <c r="AE105" s="8">
        <f>IFERROR(__xludf.DUMMYFUNCTION("""COMPUTED_VALUE"""),2923.0)</f>
        <v>2923</v>
      </c>
    </row>
    <row r="106">
      <c r="A106" s="158"/>
      <c r="B106" s="220">
        <v>103.0</v>
      </c>
      <c r="C106" s="78">
        <f>IFERROR(__xludf.DUMMYFUNCTION("""COMPUTED_VALUE"""),3250.0)</f>
        <v>3250</v>
      </c>
      <c r="D106" s="221">
        <f>IFERROR(__xludf.DUMMYFUNCTION("""COMPUTED_VALUE"""),46661.0)</f>
        <v>46661</v>
      </c>
      <c r="E106" s="78" t="str">
        <f>IFERROR(__xludf.DUMMYFUNCTION("""COMPUTED_VALUE"""),"02-Medellin")</f>
        <v>02-Medellin</v>
      </c>
      <c r="F106" s="156">
        <f>IFERROR(__xludf.DUMMYFUNCTION("""COMPUTED_VALUE"""),46147.0)</f>
        <v>46147</v>
      </c>
      <c r="G106" s="159">
        <f>IFERROR(__xludf.DUMMYFUNCTION("""COMPUTED_VALUE"""),69.0)</f>
        <v>69</v>
      </c>
      <c r="H106" s="222" t="str">
        <f>IFERROR(__xludf.DUMMYFUNCTION("""COMPUTED_VALUE"""),"VIGENTE")</f>
        <v>VIGENTE</v>
      </c>
      <c r="I106" s="173" t="str">
        <f t="shared" si="1"/>
        <v>-</v>
      </c>
      <c r="J106" s="103"/>
      <c r="K106" s="220">
        <v>103.0</v>
      </c>
      <c r="L106" s="78">
        <f>IFERROR(__xludf.DUMMYFUNCTION("""COMPUTED_VALUE"""),2456.0)</f>
        <v>2456</v>
      </c>
      <c r="M106" s="221">
        <f>IFERROR(__xludf.DUMMYFUNCTION("""COMPUTED_VALUE"""),46296.0)</f>
        <v>46296</v>
      </c>
      <c r="N106" s="78" t="str">
        <f>IFERROR(__xludf.DUMMYFUNCTION("""COMPUTED_VALUE"""),"02-Medellin")</f>
        <v>02-Medellin</v>
      </c>
      <c r="O106" s="159">
        <f>IFERROR(__xludf.DUMMYFUNCTION("""COMPUTED_VALUE"""),2716.3)</f>
        <v>2716.3</v>
      </c>
      <c r="P106" s="222" t="str">
        <f>IFERROR(__xludf.DUMMYFUNCTION("""COMPUTED_VALUE"""),"VIGENTE")</f>
        <v>VIGENTE</v>
      </c>
      <c r="Q106" s="8" t="str">
        <f t="shared" si="2"/>
        <v>--</v>
      </c>
      <c r="AB106" s="8">
        <f>IFERROR(__xludf.DUMMYFUNCTION("""COMPUTED_VALUE"""),2450.0)</f>
        <v>2450</v>
      </c>
      <c r="AC106" s="200"/>
      <c r="AE106" s="8">
        <f>IFERROR(__xludf.DUMMYFUNCTION("""COMPUTED_VALUE"""),2450.0)</f>
        <v>2450</v>
      </c>
    </row>
    <row r="107">
      <c r="A107" s="158"/>
      <c r="B107" s="220">
        <v>104.0</v>
      </c>
      <c r="C107" s="78">
        <f>IFERROR(__xludf.DUMMYFUNCTION("""COMPUTED_VALUE"""),3246.0)</f>
        <v>3246</v>
      </c>
      <c r="D107" s="221">
        <f>IFERROR(__xludf.DUMMYFUNCTION("""COMPUTED_VALUE"""),46661.0)</f>
        <v>46661</v>
      </c>
      <c r="E107" s="78" t="str">
        <f>IFERROR(__xludf.DUMMYFUNCTION("""COMPUTED_VALUE"""),"02-Medellin")</f>
        <v>02-Medellin</v>
      </c>
      <c r="F107" s="156">
        <f>IFERROR(__xludf.DUMMYFUNCTION("""COMPUTED_VALUE"""),46147.0)</f>
        <v>46147</v>
      </c>
      <c r="G107" s="159">
        <f>IFERROR(__xludf.DUMMYFUNCTION("""COMPUTED_VALUE"""),69.0)</f>
        <v>69</v>
      </c>
      <c r="H107" s="222" t="str">
        <f>IFERROR(__xludf.DUMMYFUNCTION("""COMPUTED_VALUE"""),"VIGENTE")</f>
        <v>VIGENTE</v>
      </c>
      <c r="I107" s="173" t="str">
        <f t="shared" si="1"/>
        <v>-</v>
      </c>
      <c r="J107" s="103"/>
      <c r="K107" s="220">
        <v>104.0</v>
      </c>
      <c r="L107" s="78">
        <f>IFERROR(__xludf.DUMMYFUNCTION("""COMPUTED_VALUE"""),3264.0)</f>
        <v>3264</v>
      </c>
      <c r="M107" s="221">
        <f>IFERROR(__xludf.DUMMYFUNCTION("""COMPUTED_VALUE"""),46668.0)</f>
        <v>46668</v>
      </c>
      <c r="N107" s="78" t="str">
        <f>IFERROR(__xludf.DUMMYFUNCTION("""COMPUTED_VALUE"""),"02-Medellin")</f>
        <v>02-Medellin</v>
      </c>
      <c r="O107" s="159">
        <f>IFERROR(__xludf.DUMMYFUNCTION("""COMPUTED_VALUE"""),2711.0)</f>
        <v>2711</v>
      </c>
      <c r="P107" s="222" t="str">
        <f>IFERROR(__xludf.DUMMYFUNCTION("""COMPUTED_VALUE"""),"VIGENTE")</f>
        <v>VIGENTE</v>
      </c>
      <c r="Q107" s="8" t="str">
        <f t="shared" si="2"/>
        <v>--</v>
      </c>
      <c r="AB107" s="8">
        <f>IFERROR(__xludf.DUMMYFUNCTION("""COMPUTED_VALUE"""),2457.0)</f>
        <v>2457</v>
      </c>
      <c r="AC107" s="200"/>
      <c r="AE107" s="8">
        <f>IFERROR(__xludf.DUMMYFUNCTION("""COMPUTED_VALUE"""),2457.0)</f>
        <v>2457</v>
      </c>
    </row>
    <row r="108">
      <c r="A108" s="158"/>
      <c r="B108" s="220">
        <v>105.0</v>
      </c>
      <c r="C108" s="78">
        <f>IFERROR(__xludf.DUMMYFUNCTION("""COMPUTED_VALUE"""),3241.0)</f>
        <v>3241</v>
      </c>
      <c r="D108" s="221">
        <f>IFERROR(__xludf.DUMMYFUNCTION("""COMPUTED_VALUE"""),46661.0)</f>
        <v>46661</v>
      </c>
      <c r="E108" s="78" t="str">
        <f>IFERROR(__xludf.DUMMYFUNCTION("""COMPUTED_VALUE"""),"02-Medellin")</f>
        <v>02-Medellin</v>
      </c>
      <c r="F108" s="156">
        <f>IFERROR(__xludf.DUMMYFUNCTION("""COMPUTED_VALUE"""),46147.0)</f>
        <v>46147</v>
      </c>
      <c r="G108" s="159">
        <f>IFERROR(__xludf.DUMMYFUNCTION("""COMPUTED_VALUE"""),69.0)</f>
        <v>69</v>
      </c>
      <c r="H108" s="222" t="str">
        <f>IFERROR(__xludf.DUMMYFUNCTION("""COMPUTED_VALUE"""),"VIGENTE")</f>
        <v>VIGENTE</v>
      </c>
      <c r="I108" s="173" t="str">
        <f t="shared" si="1"/>
        <v>-</v>
      </c>
      <c r="J108" s="103"/>
      <c r="K108" s="220">
        <v>105.0</v>
      </c>
      <c r="L108" s="78">
        <f>IFERROR(__xludf.DUMMYFUNCTION("""COMPUTED_VALUE"""),2920.0)</f>
        <v>2920</v>
      </c>
      <c r="M108" s="221">
        <f>IFERROR(__xludf.DUMMYFUNCTION("""COMPUTED_VALUE"""),46317.0)</f>
        <v>46317</v>
      </c>
      <c r="N108" s="78" t="str">
        <f>IFERROR(__xludf.DUMMYFUNCTION("""COMPUTED_VALUE"""),"31-Copacabana")</f>
        <v>31-Copacabana</v>
      </c>
      <c r="O108" s="159">
        <f>IFERROR(__xludf.DUMMYFUNCTION("""COMPUTED_VALUE"""),2703.0)</f>
        <v>2703</v>
      </c>
      <c r="P108" s="222" t="str">
        <f>IFERROR(__xludf.DUMMYFUNCTION("""COMPUTED_VALUE"""),"VIGENTE")</f>
        <v>VIGENTE</v>
      </c>
      <c r="Q108" s="8" t="str">
        <f t="shared" si="2"/>
        <v>--</v>
      </c>
      <c r="AB108" s="8">
        <f>IFERROR(__xludf.DUMMYFUNCTION("""COMPUTED_VALUE"""),2387.0)</f>
        <v>2387</v>
      </c>
      <c r="AC108" s="200"/>
      <c r="AE108" s="8">
        <f>IFERROR(__xludf.DUMMYFUNCTION("""COMPUTED_VALUE"""),2387.0)</f>
        <v>2387</v>
      </c>
    </row>
    <row r="109">
      <c r="A109" s="158"/>
      <c r="B109" s="220">
        <v>106.0</v>
      </c>
      <c r="C109" s="78">
        <f>IFERROR(__xludf.DUMMYFUNCTION("""COMPUTED_VALUE"""),3214.0)</f>
        <v>3214</v>
      </c>
      <c r="D109" s="221">
        <f>IFERROR(__xludf.DUMMYFUNCTION("""COMPUTED_VALUE"""),46654.0)</f>
        <v>46654</v>
      </c>
      <c r="E109" s="78" t="str">
        <f>IFERROR(__xludf.DUMMYFUNCTION("""COMPUTED_VALUE"""),"02-Medellin")</f>
        <v>02-Medellin</v>
      </c>
      <c r="F109" s="156">
        <f>IFERROR(__xludf.DUMMYFUNCTION("""COMPUTED_VALUE"""),46147.0)</f>
        <v>46147</v>
      </c>
      <c r="G109" s="159">
        <f>IFERROR(__xludf.DUMMYFUNCTION("""COMPUTED_VALUE"""),69.0)</f>
        <v>69</v>
      </c>
      <c r="H109" s="222" t="str">
        <f>IFERROR(__xludf.DUMMYFUNCTION("""COMPUTED_VALUE"""),"VIGENTE")</f>
        <v>VIGENTE</v>
      </c>
      <c r="I109" s="173" t="str">
        <f t="shared" si="1"/>
        <v>-</v>
      </c>
      <c r="J109" s="103"/>
      <c r="K109" s="220">
        <v>106.0</v>
      </c>
      <c r="L109" s="78">
        <f>IFERROR(__xludf.DUMMYFUNCTION("""COMPUTED_VALUE"""),2384.0)</f>
        <v>2384</v>
      </c>
      <c r="M109" s="221">
        <f>IFERROR(__xludf.DUMMYFUNCTION("""COMPUTED_VALUE"""),46571.0)</f>
        <v>46571</v>
      </c>
      <c r="N109" s="78" t="str">
        <f>IFERROR(__xludf.DUMMYFUNCTION("""COMPUTED_VALUE"""),"02-Medellin")</f>
        <v>02-Medellin</v>
      </c>
      <c r="O109" s="159">
        <f>IFERROR(__xludf.DUMMYFUNCTION("""COMPUTED_VALUE"""),2692.3)</f>
        <v>2692.3</v>
      </c>
      <c r="P109" s="222" t="str">
        <f>IFERROR(__xludf.DUMMYFUNCTION("""COMPUTED_VALUE"""),"VIGENTE")</f>
        <v>VIGENTE</v>
      </c>
      <c r="Q109" s="8" t="str">
        <f t="shared" si="2"/>
        <v>--</v>
      </c>
      <c r="AB109" s="8">
        <f>IFERROR(__xludf.DUMMYFUNCTION("""COMPUTED_VALUE"""),2392.0)</f>
        <v>2392</v>
      </c>
      <c r="AC109" s="200"/>
      <c r="AE109" s="8">
        <f>IFERROR(__xludf.DUMMYFUNCTION("""COMPUTED_VALUE"""),2392.0)</f>
        <v>2392</v>
      </c>
    </row>
    <row r="110">
      <c r="A110" s="158"/>
      <c r="B110" s="220">
        <v>107.0</v>
      </c>
      <c r="C110" s="78">
        <f>IFERROR(__xludf.DUMMYFUNCTION("""COMPUTED_VALUE"""),3197.0)</f>
        <v>3197</v>
      </c>
      <c r="D110" s="221">
        <f>IFERROR(__xludf.DUMMYFUNCTION("""COMPUTED_VALUE"""),46653.0)</f>
        <v>46653</v>
      </c>
      <c r="E110" s="78" t="str">
        <f>IFERROR(__xludf.DUMMYFUNCTION("""COMPUTED_VALUE"""),"02-Medellin")</f>
        <v>02-Medellin</v>
      </c>
      <c r="F110" s="156">
        <f>IFERROR(__xludf.DUMMYFUNCTION("""COMPUTED_VALUE"""),46147.0)</f>
        <v>46147</v>
      </c>
      <c r="G110" s="159">
        <f>IFERROR(__xludf.DUMMYFUNCTION("""COMPUTED_VALUE"""),69.0)</f>
        <v>69</v>
      </c>
      <c r="H110" s="222" t="str">
        <f>IFERROR(__xludf.DUMMYFUNCTION("""COMPUTED_VALUE"""),"VIGENTE")</f>
        <v>VIGENTE</v>
      </c>
      <c r="I110" s="173" t="str">
        <f t="shared" si="1"/>
        <v>-</v>
      </c>
      <c r="J110" s="103"/>
      <c r="K110" s="220">
        <v>107.0</v>
      </c>
      <c r="L110" s="78">
        <f>IFERROR(__xludf.DUMMYFUNCTION("""COMPUTED_VALUE"""),2421.0)</f>
        <v>2421</v>
      </c>
      <c r="M110" s="221">
        <f>IFERROR(__xludf.DUMMYFUNCTION("""COMPUTED_VALUE"""),46529.0)</f>
        <v>46529</v>
      </c>
      <c r="N110" s="78" t="str">
        <f>IFERROR(__xludf.DUMMYFUNCTION("""COMPUTED_VALUE"""),"02-Medellin")</f>
        <v>02-Medellin</v>
      </c>
      <c r="O110" s="159">
        <f>IFERROR(__xludf.DUMMYFUNCTION("""COMPUTED_VALUE"""),2690.6)</f>
        <v>2690.6</v>
      </c>
      <c r="P110" s="222" t="str">
        <f>IFERROR(__xludf.DUMMYFUNCTION("""COMPUTED_VALUE"""),"VIGENTE")</f>
        <v>VIGENTE</v>
      </c>
      <c r="Q110" s="8" t="str">
        <f t="shared" si="2"/>
        <v>--</v>
      </c>
      <c r="AB110" s="8">
        <f>IFERROR(__xludf.DUMMYFUNCTION("""COMPUTED_VALUE"""),2843.0)</f>
        <v>2843</v>
      </c>
      <c r="AC110" s="200"/>
      <c r="AE110" s="8">
        <f>IFERROR(__xludf.DUMMYFUNCTION("""COMPUTED_VALUE"""),2843.0)</f>
        <v>2843</v>
      </c>
    </row>
    <row r="111">
      <c r="A111" s="158"/>
      <c r="B111" s="220">
        <v>108.0</v>
      </c>
      <c r="C111" s="78">
        <f>IFERROR(__xludf.DUMMYFUNCTION("""COMPUTED_VALUE"""),2911.0)</f>
        <v>2911</v>
      </c>
      <c r="D111" s="221">
        <f>IFERROR(__xludf.DUMMYFUNCTION("""COMPUTED_VALUE"""),46275.0)</f>
        <v>46275</v>
      </c>
      <c r="E111" s="78" t="str">
        <f>IFERROR(__xludf.DUMMYFUNCTION("""COMPUTED_VALUE"""),"31-Copacabana")</f>
        <v>31-Copacabana</v>
      </c>
      <c r="F111" s="156">
        <f>IFERROR(__xludf.DUMMYFUNCTION("""COMPUTED_VALUE"""),46147.0)</f>
        <v>46147</v>
      </c>
      <c r="G111" s="159">
        <f>IFERROR(__xludf.DUMMYFUNCTION("""COMPUTED_VALUE"""),69.0)</f>
        <v>69</v>
      </c>
      <c r="H111" s="222" t="str">
        <f>IFERROR(__xludf.DUMMYFUNCTION("""COMPUTED_VALUE"""),"VIGENTE")</f>
        <v>VIGENTE</v>
      </c>
      <c r="I111" s="173" t="str">
        <f t="shared" si="1"/>
        <v>-</v>
      </c>
      <c r="J111" s="103"/>
      <c r="K111" s="220">
        <v>108.0</v>
      </c>
      <c r="L111" s="78">
        <f>IFERROR(__xludf.DUMMYFUNCTION("""COMPUTED_VALUE"""),3282.0)</f>
        <v>3282</v>
      </c>
      <c r="M111" s="221">
        <f>IFERROR(__xludf.DUMMYFUNCTION("""COMPUTED_VALUE"""),46668.0)</f>
        <v>46668</v>
      </c>
      <c r="N111" s="78" t="str">
        <f>IFERROR(__xludf.DUMMYFUNCTION("""COMPUTED_VALUE"""),"02-Medellin")</f>
        <v>02-Medellin</v>
      </c>
      <c r="O111" s="159">
        <f>IFERROR(__xludf.DUMMYFUNCTION("""COMPUTED_VALUE"""),2672.0)</f>
        <v>2672</v>
      </c>
      <c r="P111" s="222" t="str">
        <f>IFERROR(__xludf.DUMMYFUNCTION("""COMPUTED_VALUE"""),"VIGENTE")</f>
        <v>VIGENTE</v>
      </c>
      <c r="Q111" s="8" t="str">
        <f t="shared" si="2"/>
        <v>--</v>
      </c>
      <c r="AB111" s="8">
        <f>IFERROR(__xludf.DUMMYFUNCTION("""COMPUTED_VALUE"""),2892.0)</f>
        <v>2892</v>
      </c>
      <c r="AC111" s="200"/>
      <c r="AE111" s="8">
        <f>IFERROR(__xludf.DUMMYFUNCTION("""COMPUTED_VALUE"""),2892.0)</f>
        <v>2892</v>
      </c>
    </row>
    <row r="112">
      <c r="A112" s="158"/>
      <c r="B112" s="220">
        <v>109.0</v>
      </c>
      <c r="C112" s="78">
        <f>IFERROR(__xludf.DUMMYFUNCTION("""COMPUTED_VALUE"""),2886.0)</f>
        <v>2886</v>
      </c>
      <c r="D112" s="221">
        <f>IFERROR(__xludf.DUMMYFUNCTION("""COMPUTED_VALUE"""),46233.0)</f>
        <v>46233</v>
      </c>
      <c r="E112" s="78" t="str">
        <f>IFERROR(__xludf.DUMMYFUNCTION("""COMPUTED_VALUE"""),"02-Medellin")</f>
        <v>02-Medellin</v>
      </c>
      <c r="F112" s="156">
        <f>IFERROR(__xludf.DUMMYFUNCTION("""COMPUTED_VALUE"""),46147.0)</f>
        <v>46147</v>
      </c>
      <c r="G112" s="159">
        <f>IFERROR(__xludf.DUMMYFUNCTION("""COMPUTED_VALUE"""),69.0)</f>
        <v>69</v>
      </c>
      <c r="H112" s="222" t="str">
        <f>IFERROR(__xludf.DUMMYFUNCTION("""COMPUTED_VALUE"""),"VIGENTE")</f>
        <v>VIGENTE</v>
      </c>
      <c r="I112" s="173" t="str">
        <f t="shared" si="1"/>
        <v>-</v>
      </c>
      <c r="J112" s="103"/>
      <c r="K112" s="220">
        <v>109.0</v>
      </c>
      <c r="L112" s="78">
        <f>IFERROR(__xludf.DUMMYFUNCTION("""COMPUTED_VALUE"""),2432.0)</f>
        <v>2432</v>
      </c>
      <c r="M112" s="221">
        <f>IFERROR(__xludf.DUMMYFUNCTION("""COMPUTED_VALUE"""),46571.0)</f>
        <v>46571</v>
      </c>
      <c r="N112" s="78" t="str">
        <f>IFERROR(__xludf.DUMMYFUNCTION("""COMPUTED_VALUE"""),"02-Medellin")</f>
        <v>02-Medellin</v>
      </c>
      <c r="O112" s="159">
        <f>IFERROR(__xludf.DUMMYFUNCTION("""COMPUTED_VALUE"""),2666.0)</f>
        <v>2666</v>
      </c>
      <c r="P112" s="222" t="str">
        <f>IFERROR(__xludf.DUMMYFUNCTION("""COMPUTED_VALUE"""),"VIGENTE")</f>
        <v>VIGENTE</v>
      </c>
      <c r="Q112" s="8" t="str">
        <f t="shared" si="2"/>
        <v>--</v>
      </c>
      <c r="AB112" s="8">
        <f>IFERROR(__xludf.DUMMYFUNCTION("""COMPUTED_VALUE"""),2853.0)</f>
        <v>2853</v>
      </c>
      <c r="AC112" s="200"/>
      <c r="AE112" s="8">
        <f>IFERROR(__xludf.DUMMYFUNCTION("""COMPUTED_VALUE"""),2853.0)</f>
        <v>2853</v>
      </c>
    </row>
    <row r="113">
      <c r="A113" s="158"/>
      <c r="B113" s="220">
        <v>110.0</v>
      </c>
      <c r="C113" s="78">
        <f>IFERROR(__xludf.DUMMYFUNCTION("""COMPUTED_VALUE"""),2884.0)</f>
        <v>2884</v>
      </c>
      <c r="D113" s="221">
        <f>IFERROR(__xludf.DUMMYFUNCTION("""COMPUTED_VALUE"""),46233.0)</f>
        <v>46233</v>
      </c>
      <c r="E113" s="78" t="str">
        <f>IFERROR(__xludf.DUMMYFUNCTION("""COMPUTED_VALUE"""),"24-Rionegro")</f>
        <v>24-Rionegro</v>
      </c>
      <c r="F113" s="156">
        <f>IFERROR(__xludf.DUMMYFUNCTION("""COMPUTED_VALUE"""),46147.0)</f>
        <v>46147</v>
      </c>
      <c r="G113" s="159">
        <f>IFERROR(__xludf.DUMMYFUNCTION("""COMPUTED_VALUE"""),69.0)</f>
        <v>69</v>
      </c>
      <c r="H113" s="222" t="str">
        <f>IFERROR(__xludf.DUMMYFUNCTION("""COMPUTED_VALUE"""),"VIGENTE")</f>
        <v>VIGENTE</v>
      </c>
      <c r="I113" s="173" t="str">
        <f t="shared" si="1"/>
        <v>-</v>
      </c>
      <c r="J113" s="103"/>
      <c r="K113" s="220">
        <v>110.0</v>
      </c>
      <c r="L113" s="78">
        <f>IFERROR(__xludf.DUMMYFUNCTION("""COMPUTED_VALUE"""),2388.0)</f>
        <v>2388</v>
      </c>
      <c r="M113" s="221">
        <f>IFERROR(__xludf.DUMMYFUNCTION("""COMPUTED_VALUE"""),46466.0)</f>
        <v>46466</v>
      </c>
      <c r="N113" s="78" t="str">
        <f>IFERROR(__xludf.DUMMYFUNCTION("""COMPUTED_VALUE"""),"02-Medellin")</f>
        <v>02-Medellin</v>
      </c>
      <c r="O113" s="159">
        <f>IFERROR(__xludf.DUMMYFUNCTION("""COMPUTED_VALUE"""),2614.2)</f>
        <v>2614.2</v>
      </c>
      <c r="P113" s="222" t="str">
        <f>IFERROR(__xludf.DUMMYFUNCTION("""COMPUTED_VALUE"""),"VIGENTE")</f>
        <v>VIGENTE</v>
      </c>
      <c r="Q113" s="8" t="str">
        <f t="shared" si="2"/>
        <v>--</v>
      </c>
      <c r="AB113" s="8">
        <f>IFERROR(__xludf.DUMMYFUNCTION("""COMPUTED_VALUE"""),2403.0)</f>
        <v>2403</v>
      </c>
      <c r="AC113" s="200"/>
      <c r="AE113" s="8">
        <f>IFERROR(__xludf.DUMMYFUNCTION("""COMPUTED_VALUE"""),2403.0)</f>
        <v>2403</v>
      </c>
    </row>
    <row r="114">
      <c r="A114" s="158"/>
      <c r="B114" s="220">
        <v>111.0</v>
      </c>
      <c r="C114" s="78">
        <f>IFERROR(__xludf.DUMMYFUNCTION("""COMPUTED_VALUE"""),2877.0)</f>
        <v>2877</v>
      </c>
      <c r="D114" s="221">
        <f>IFERROR(__xludf.DUMMYFUNCTION("""COMPUTED_VALUE"""),46226.0)</f>
        <v>46226</v>
      </c>
      <c r="E114" s="78" t="str">
        <f>IFERROR(__xludf.DUMMYFUNCTION("""COMPUTED_VALUE"""),"MAYORCA")</f>
        <v>MAYORCA</v>
      </c>
      <c r="F114" s="156">
        <f>IFERROR(__xludf.DUMMYFUNCTION("""COMPUTED_VALUE"""),46147.0)</f>
        <v>46147</v>
      </c>
      <c r="G114" s="159">
        <f>IFERROR(__xludf.DUMMYFUNCTION("""COMPUTED_VALUE"""),69.0)</f>
        <v>69</v>
      </c>
      <c r="H114" s="222" t="str">
        <f>IFERROR(__xludf.DUMMYFUNCTION("""COMPUTED_VALUE"""),"VIGENTE")</f>
        <v>VIGENTE</v>
      </c>
      <c r="I114" s="173" t="str">
        <f t="shared" si="1"/>
        <v>-</v>
      </c>
      <c r="J114" s="103"/>
      <c r="K114" s="220">
        <v>111.0</v>
      </c>
      <c r="L114" s="78">
        <f>IFERROR(__xludf.DUMMYFUNCTION("""COMPUTED_VALUE"""),2389.0)</f>
        <v>2389</v>
      </c>
      <c r="M114" s="221">
        <f>IFERROR(__xludf.DUMMYFUNCTION("""COMPUTED_VALUE"""),46527.0)</f>
        <v>46527</v>
      </c>
      <c r="N114" s="78" t="str">
        <f>IFERROR(__xludf.DUMMYFUNCTION("""COMPUTED_VALUE"""),"24-Rionegro")</f>
        <v>24-Rionegro</v>
      </c>
      <c r="O114" s="159">
        <f>IFERROR(__xludf.DUMMYFUNCTION("""COMPUTED_VALUE"""),2604.2)</f>
        <v>2604.2</v>
      </c>
      <c r="P114" s="222" t="str">
        <f>IFERROR(__xludf.DUMMYFUNCTION("""COMPUTED_VALUE"""),"VIGENTE")</f>
        <v>VIGENTE</v>
      </c>
      <c r="Q114" s="8" t="str">
        <f t="shared" si="2"/>
        <v>--</v>
      </c>
      <c r="AB114" s="8">
        <f>IFERROR(__xludf.DUMMYFUNCTION("""COMPUTED_VALUE"""),2857.0)</f>
        <v>2857</v>
      </c>
      <c r="AC114" s="200"/>
      <c r="AE114" s="8">
        <f>IFERROR(__xludf.DUMMYFUNCTION("""COMPUTED_VALUE"""),2857.0)</f>
        <v>2857</v>
      </c>
    </row>
    <row r="115">
      <c r="A115" s="158"/>
      <c r="B115" s="220">
        <v>112.0</v>
      </c>
      <c r="C115" s="78">
        <f>IFERROR(__xludf.DUMMYFUNCTION("""COMPUTED_VALUE"""),2683.0)</f>
        <v>2683</v>
      </c>
      <c r="D115" s="221">
        <f>IFERROR(__xludf.DUMMYFUNCTION("""COMPUTED_VALUE"""),46512.0)</f>
        <v>46512</v>
      </c>
      <c r="E115" s="78" t="str">
        <f>IFERROR(__xludf.DUMMYFUNCTION("""COMPUTED_VALUE"""),"02-Medellin")</f>
        <v>02-Medellin</v>
      </c>
      <c r="F115" s="156">
        <f>IFERROR(__xludf.DUMMYFUNCTION("""COMPUTED_VALUE"""),46147.0)</f>
        <v>46147</v>
      </c>
      <c r="G115" s="159">
        <f>IFERROR(__xludf.DUMMYFUNCTION("""COMPUTED_VALUE"""),69.0)</f>
        <v>69</v>
      </c>
      <c r="H115" s="222" t="str">
        <f>IFERROR(__xludf.DUMMYFUNCTION("""COMPUTED_VALUE"""),"VIGENTE")</f>
        <v>VIGENTE</v>
      </c>
      <c r="I115" s="173" t="str">
        <f t="shared" si="1"/>
        <v>-</v>
      </c>
      <c r="J115" s="103"/>
      <c r="K115" s="220">
        <v>112.0</v>
      </c>
      <c r="L115" s="78">
        <f>IFERROR(__xludf.DUMMYFUNCTION("""COMPUTED_VALUE"""),3198.0)</f>
        <v>3198</v>
      </c>
      <c r="M115" s="221">
        <f>IFERROR(__xludf.DUMMYFUNCTION("""COMPUTED_VALUE"""),46654.0)</f>
        <v>46654</v>
      </c>
      <c r="N115" s="78" t="str">
        <f>IFERROR(__xludf.DUMMYFUNCTION("""COMPUTED_VALUE"""),"31-Copacabana")</f>
        <v>31-Copacabana</v>
      </c>
      <c r="O115" s="159">
        <f>IFERROR(__xludf.DUMMYFUNCTION("""COMPUTED_VALUE"""),2575.0)</f>
        <v>2575</v>
      </c>
      <c r="P115" s="222" t="str">
        <f>IFERROR(__xludf.DUMMYFUNCTION("""COMPUTED_VALUE"""),"VIGENTE")</f>
        <v>VIGENTE</v>
      </c>
      <c r="Q115" s="8" t="str">
        <f t="shared" si="2"/>
        <v>--</v>
      </c>
      <c r="AB115" s="8">
        <f>IFERROR(__xludf.DUMMYFUNCTION("""COMPUTED_VALUE"""),2926.0)</f>
        <v>2926</v>
      </c>
      <c r="AC115" s="200"/>
      <c r="AE115" s="8">
        <f>IFERROR(__xludf.DUMMYFUNCTION("""COMPUTED_VALUE"""),2926.0)</f>
        <v>2926</v>
      </c>
    </row>
    <row r="116">
      <c r="A116" s="158"/>
      <c r="B116" s="220">
        <v>113.0</v>
      </c>
      <c r="C116" s="78">
        <f>IFERROR(__xludf.DUMMYFUNCTION("""COMPUTED_VALUE"""),2572.0)</f>
        <v>2572</v>
      </c>
      <c r="D116" s="221">
        <f>IFERROR(__xludf.DUMMYFUNCTION("""COMPUTED_VALUE"""),46245.0)</f>
        <v>46245</v>
      </c>
      <c r="E116" s="78" t="str">
        <f>IFERROR(__xludf.DUMMYFUNCTION("""COMPUTED_VALUE"""),"31-Copacabana")</f>
        <v>31-Copacabana</v>
      </c>
      <c r="F116" s="156">
        <f>IFERROR(__xludf.DUMMYFUNCTION("""COMPUTED_VALUE"""),46147.0)</f>
        <v>46147</v>
      </c>
      <c r="G116" s="159">
        <f>IFERROR(__xludf.DUMMYFUNCTION("""COMPUTED_VALUE"""),69.0)</f>
        <v>69</v>
      </c>
      <c r="H116" s="222" t="str">
        <f>IFERROR(__xludf.DUMMYFUNCTION("""COMPUTED_VALUE"""),"VIGENTE")</f>
        <v>VIGENTE</v>
      </c>
      <c r="I116" s="173" t="str">
        <f t="shared" si="1"/>
        <v>-</v>
      </c>
      <c r="J116" s="103"/>
      <c r="K116" s="220">
        <v>113.0</v>
      </c>
      <c r="L116" s="78">
        <f>IFERROR(__xludf.DUMMYFUNCTION("""COMPUTED_VALUE"""),2891.0)</f>
        <v>2891</v>
      </c>
      <c r="M116" s="221">
        <f>IFERROR(__xludf.DUMMYFUNCTION("""COMPUTED_VALUE"""),46242.0)</f>
        <v>46242</v>
      </c>
      <c r="N116" s="78" t="str">
        <f>IFERROR(__xludf.DUMMYFUNCTION("""COMPUTED_VALUE"""),"31-Copacabana")</f>
        <v>31-Copacabana</v>
      </c>
      <c r="O116" s="159">
        <f>IFERROR(__xludf.DUMMYFUNCTION("""COMPUTED_VALUE"""),2550.0)</f>
        <v>2550</v>
      </c>
      <c r="P116" s="222" t="str">
        <f>IFERROR(__xludf.DUMMYFUNCTION("""COMPUTED_VALUE"""),"VIGENTE")</f>
        <v>VIGENTE</v>
      </c>
      <c r="Q116" s="8" t="str">
        <f t="shared" si="2"/>
        <v>--</v>
      </c>
      <c r="AB116" s="8">
        <f>IFERROR(__xludf.DUMMYFUNCTION("""COMPUTED_VALUE"""),3202.0)</f>
        <v>3202</v>
      </c>
      <c r="AC116" s="200"/>
      <c r="AE116" s="8">
        <f>IFERROR(__xludf.DUMMYFUNCTION("""COMPUTED_VALUE"""),3202.0)</f>
        <v>3202</v>
      </c>
    </row>
    <row r="117">
      <c r="A117" s="158"/>
      <c r="B117" s="220">
        <v>114.0</v>
      </c>
      <c r="C117" s="78">
        <f>IFERROR(__xludf.DUMMYFUNCTION("""COMPUTED_VALUE"""),2423.0)</f>
        <v>2423</v>
      </c>
      <c r="D117" s="221">
        <f>IFERROR(__xludf.DUMMYFUNCTION("""COMPUTED_VALUE"""),46513.0)</f>
        <v>46513</v>
      </c>
      <c r="E117" s="78" t="str">
        <f>IFERROR(__xludf.DUMMYFUNCTION("""COMPUTED_VALUE"""),"02-Medellin")</f>
        <v>02-Medellin</v>
      </c>
      <c r="F117" s="156">
        <f>IFERROR(__xludf.DUMMYFUNCTION("""COMPUTED_VALUE"""),46147.0)</f>
        <v>46147</v>
      </c>
      <c r="G117" s="159">
        <f>IFERROR(__xludf.DUMMYFUNCTION("""COMPUTED_VALUE"""),69.0)</f>
        <v>69</v>
      </c>
      <c r="H117" s="222" t="str">
        <f>IFERROR(__xludf.DUMMYFUNCTION("""COMPUTED_VALUE"""),"VIGENTE")</f>
        <v>VIGENTE</v>
      </c>
      <c r="I117" s="173" t="str">
        <f t="shared" si="1"/>
        <v>-</v>
      </c>
      <c r="J117" s="103"/>
      <c r="K117" s="220">
        <v>114.0</v>
      </c>
      <c r="L117" s="78">
        <f>IFERROR(__xludf.DUMMYFUNCTION("""COMPUTED_VALUE"""),2469.0)</f>
        <v>2469</v>
      </c>
      <c r="M117" s="221">
        <f>IFERROR(__xludf.DUMMYFUNCTION("""COMPUTED_VALUE"""),46292.0)</f>
        <v>46292</v>
      </c>
      <c r="N117" s="78" t="str">
        <f>IFERROR(__xludf.DUMMYFUNCTION("""COMPUTED_VALUE"""),"31-Copacabana QUIMICOS")</f>
        <v>31-Copacabana QUIMICOS</v>
      </c>
      <c r="O117" s="159">
        <f>IFERROR(__xludf.DUMMYFUNCTION("""COMPUTED_VALUE"""),2510.7)</f>
        <v>2510.7</v>
      </c>
      <c r="P117" s="222" t="str">
        <f>IFERROR(__xludf.DUMMYFUNCTION("""COMPUTED_VALUE"""),"VIGENTE")</f>
        <v>VIGENTE</v>
      </c>
      <c r="Q117" s="8" t="str">
        <f t="shared" si="2"/>
        <v>--</v>
      </c>
      <c r="AB117" s="8">
        <f>IFERROR(__xludf.DUMMYFUNCTION("""COMPUTED_VALUE"""),481.0)</f>
        <v>481</v>
      </c>
      <c r="AC117" s="200"/>
      <c r="AE117" s="8">
        <f>IFERROR(__xludf.DUMMYFUNCTION("""COMPUTED_VALUE"""),481.0)</f>
        <v>481</v>
      </c>
    </row>
    <row r="118">
      <c r="A118" s="158"/>
      <c r="B118" s="220">
        <v>115.0</v>
      </c>
      <c r="C118" s="78">
        <f>IFERROR(__xludf.DUMMYFUNCTION("""COMPUTED_VALUE"""),2389.0)</f>
        <v>2389</v>
      </c>
      <c r="D118" s="221">
        <f>IFERROR(__xludf.DUMMYFUNCTION("""COMPUTED_VALUE"""),46527.0)</f>
        <v>46527</v>
      </c>
      <c r="E118" s="78" t="str">
        <f>IFERROR(__xludf.DUMMYFUNCTION("""COMPUTED_VALUE"""),"24-Rionegro")</f>
        <v>24-Rionegro</v>
      </c>
      <c r="F118" s="156">
        <f>IFERROR(__xludf.DUMMYFUNCTION("""COMPUTED_VALUE"""),46147.0)</f>
        <v>46147</v>
      </c>
      <c r="G118" s="159">
        <f>IFERROR(__xludf.DUMMYFUNCTION("""COMPUTED_VALUE"""),69.0)</f>
        <v>69</v>
      </c>
      <c r="H118" s="222" t="str">
        <f>IFERROR(__xludf.DUMMYFUNCTION("""COMPUTED_VALUE"""),"VIGENTE")</f>
        <v>VIGENTE</v>
      </c>
      <c r="I118" s="173" t="str">
        <f t="shared" si="1"/>
        <v>-</v>
      </c>
      <c r="J118" s="103"/>
      <c r="K118" s="220">
        <v>115.0</v>
      </c>
      <c r="L118" s="78">
        <f>IFERROR(__xludf.DUMMYFUNCTION("""COMPUTED_VALUE"""),3210.0)</f>
        <v>3210</v>
      </c>
      <c r="M118" s="221">
        <f>IFERROR(__xludf.DUMMYFUNCTION("""COMPUTED_VALUE"""),46648.0)</f>
        <v>46648</v>
      </c>
      <c r="N118" s="78" t="str">
        <f>IFERROR(__xludf.DUMMYFUNCTION("""COMPUTED_VALUE"""),"02-Medellin")</f>
        <v>02-Medellin</v>
      </c>
      <c r="O118" s="159">
        <f>IFERROR(__xludf.DUMMYFUNCTION("""COMPUTED_VALUE"""),2506.0)</f>
        <v>2506</v>
      </c>
      <c r="P118" s="222" t="str">
        <f>IFERROR(__xludf.DUMMYFUNCTION("""COMPUTED_VALUE"""),"VIGENTE")</f>
        <v>VIGENTE</v>
      </c>
      <c r="Q118" s="8" t="str">
        <f t="shared" si="2"/>
        <v>--</v>
      </c>
      <c r="AB118" s="8">
        <f>IFERROR(__xludf.DUMMYFUNCTION("""COMPUTED_VALUE"""),472.0)</f>
        <v>472</v>
      </c>
      <c r="AC118" s="200"/>
      <c r="AE118" s="8">
        <f>IFERROR(__xludf.DUMMYFUNCTION("""COMPUTED_VALUE"""),472.0)</f>
        <v>472</v>
      </c>
    </row>
    <row r="119">
      <c r="A119" s="158"/>
      <c r="B119" s="220">
        <v>116.0</v>
      </c>
      <c r="C119" s="78">
        <f>IFERROR(__xludf.DUMMYFUNCTION("""COMPUTED_VALUE"""),2893.0)</f>
        <v>2893</v>
      </c>
      <c r="D119" s="221">
        <f>IFERROR(__xludf.DUMMYFUNCTION("""COMPUTED_VALUE"""),46242.0)</f>
        <v>46242</v>
      </c>
      <c r="E119" s="78" t="str">
        <f>IFERROR(__xludf.DUMMYFUNCTION("""COMPUTED_VALUE"""),"31-Copacabana")</f>
        <v>31-Copacabana</v>
      </c>
      <c r="F119" s="156">
        <f>IFERROR(__xludf.DUMMYFUNCTION("""COMPUTED_VALUE"""),46148.0)</f>
        <v>46148</v>
      </c>
      <c r="G119" s="159">
        <f>IFERROR(__xludf.DUMMYFUNCTION("""COMPUTED_VALUE"""),68.0)</f>
        <v>68</v>
      </c>
      <c r="H119" s="222" t="str">
        <f>IFERROR(__xludf.DUMMYFUNCTION("""COMPUTED_VALUE"""),"VIGENTE")</f>
        <v>VIGENTE</v>
      </c>
      <c r="I119" s="173" t="str">
        <f t="shared" si="1"/>
        <v>-</v>
      </c>
      <c r="J119" s="103"/>
      <c r="K119" s="220">
        <v>116.0</v>
      </c>
      <c r="L119" s="78">
        <f>IFERROR(__xludf.DUMMYFUNCTION("""COMPUTED_VALUE"""),2198.0)</f>
        <v>2198</v>
      </c>
      <c r="M119" s="221">
        <f>IFERROR(__xludf.DUMMYFUNCTION("""COMPUTED_VALUE"""),46515.0)</f>
        <v>46515</v>
      </c>
      <c r="N119" s="78" t="str">
        <f>IFERROR(__xludf.DUMMYFUNCTION("""COMPUTED_VALUE"""),"02-Medellin")</f>
        <v>02-Medellin</v>
      </c>
      <c r="O119" s="159">
        <f>IFERROR(__xludf.DUMMYFUNCTION("""COMPUTED_VALUE"""),2495.0)</f>
        <v>2495</v>
      </c>
      <c r="P119" s="222" t="str">
        <f>IFERROR(__xludf.DUMMYFUNCTION("""COMPUTED_VALUE"""),"VIGENTE")</f>
        <v>VIGENTE</v>
      </c>
      <c r="Q119" s="8" t="str">
        <f t="shared" si="2"/>
        <v>--</v>
      </c>
      <c r="AB119" s="8">
        <f>IFERROR(__xludf.DUMMYFUNCTION("""COMPUTED_VALUE"""),2876.0)</f>
        <v>2876</v>
      </c>
      <c r="AC119" s="200"/>
      <c r="AE119" s="8">
        <f>IFERROR(__xludf.DUMMYFUNCTION("""COMPUTED_VALUE"""),2876.0)</f>
        <v>2876</v>
      </c>
    </row>
    <row r="120">
      <c r="A120" s="158"/>
      <c r="B120" s="220">
        <v>117.0</v>
      </c>
      <c r="C120" s="78">
        <f>IFERROR(__xludf.DUMMYFUNCTION("""COMPUTED_VALUE"""),2885.0)</f>
        <v>2885</v>
      </c>
      <c r="D120" s="221">
        <f>IFERROR(__xludf.DUMMYFUNCTION("""COMPUTED_VALUE"""),46233.0)</f>
        <v>46233</v>
      </c>
      <c r="E120" s="78" t="str">
        <f>IFERROR(__xludf.DUMMYFUNCTION("""COMPUTED_VALUE"""),"MAYORCA")</f>
        <v>MAYORCA</v>
      </c>
      <c r="F120" s="156">
        <f>IFERROR(__xludf.DUMMYFUNCTION("""COMPUTED_VALUE"""),46148.0)</f>
        <v>46148</v>
      </c>
      <c r="G120" s="159">
        <f>IFERROR(__xludf.DUMMYFUNCTION("""COMPUTED_VALUE"""),68.0)</f>
        <v>68</v>
      </c>
      <c r="H120" s="222" t="str">
        <f>IFERROR(__xludf.DUMMYFUNCTION("""COMPUTED_VALUE"""),"VIGENTE")</f>
        <v>VIGENTE</v>
      </c>
      <c r="I120" s="173" t="str">
        <f t="shared" si="1"/>
        <v>-</v>
      </c>
      <c r="J120" s="103"/>
      <c r="K120" s="220">
        <v>117.0</v>
      </c>
      <c r="L120" s="78">
        <f>IFERROR(__xludf.DUMMYFUNCTION("""COMPUTED_VALUE"""),3284.0)</f>
        <v>3284</v>
      </c>
      <c r="M120" s="221">
        <f>IFERROR(__xludf.DUMMYFUNCTION("""COMPUTED_VALUE"""),46668.0)</f>
        <v>46668</v>
      </c>
      <c r="N120" s="78" t="str">
        <f>IFERROR(__xludf.DUMMYFUNCTION("""COMPUTED_VALUE"""),"02-Medellin")</f>
        <v>02-Medellin</v>
      </c>
      <c r="O120" s="159">
        <f>IFERROR(__xludf.DUMMYFUNCTION("""COMPUTED_VALUE"""),2493.0)</f>
        <v>2493</v>
      </c>
      <c r="P120" s="222" t="str">
        <f>IFERROR(__xludf.DUMMYFUNCTION("""COMPUTED_VALUE"""),"VIGENTE")</f>
        <v>VIGENTE</v>
      </c>
      <c r="Q120" s="8" t="str">
        <f t="shared" si="2"/>
        <v>--</v>
      </c>
      <c r="AB120" s="8">
        <f>IFERROR(__xludf.DUMMYFUNCTION("""COMPUTED_VALUE"""),2339.0)</f>
        <v>2339</v>
      </c>
      <c r="AC120" s="200"/>
      <c r="AE120" s="8">
        <f>IFERROR(__xludf.DUMMYFUNCTION("""COMPUTED_VALUE"""),2339.0)</f>
        <v>2339</v>
      </c>
    </row>
    <row r="121">
      <c r="A121" s="158"/>
      <c r="B121" s="220">
        <v>118.0</v>
      </c>
      <c r="C121" s="78">
        <f>IFERROR(__xludf.DUMMYFUNCTION("""COMPUTED_VALUE"""),2849.0)</f>
        <v>2849</v>
      </c>
      <c r="D121" s="221">
        <f>IFERROR(__xludf.DUMMYFUNCTION("""COMPUTED_VALUE"""),46570.0)</f>
        <v>46570</v>
      </c>
      <c r="E121" s="78" t="str">
        <f>IFERROR(__xludf.DUMMYFUNCTION("""COMPUTED_VALUE"""),"24-Rionegro")</f>
        <v>24-Rionegro</v>
      </c>
      <c r="F121" s="156">
        <f>IFERROR(__xludf.DUMMYFUNCTION("""COMPUTED_VALUE"""),46148.0)</f>
        <v>46148</v>
      </c>
      <c r="G121" s="159">
        <f>IFERROR(__xludf.DUMMYFUNCTION("""COMPUTED_VALUE"""),68.0)</f>
        <v>68</v>
      </c>
      <c r="H121" s="222" t="str">
        <f>IFERROR(__xludf.DUMMYFUNCTION("""COMPUTED_VALUE"""),"VIGENTE")</f>
        <v>VIGENTE</v>
      </c>
      <c r="I121" s="173" t="str">
        <f t="shared" si="1"/>
        <v>-</v>
      </c>
      <c r="J121" s="103"/>
      <c r="K121" s="220">
        <v>118.0</v>
      </c>
      <c r="L121" s="78">
        <f>IFERROR(__xludf.DUMMYFUNCTION("""COMPUTED_VALUE"""),2890.0)</f>
        <v>2890</v>
      </c>
      <c r="M121" s="221">
        <f>IFERROR(__xludf.DUMMYFUNCTION("""COMPUTED_VALUE"""),46233.0)</f>
        <v>46233</v>
      </c>
      <c r="N121" s="78" t="str">
        <f>IFERROR(__xludf.DUMMYFUNCTION("""COMPUTED_VALUE"""),"02-Medellin")</f>
        <v>02-Medellin</v>
      </c>
      <c r="O121" s="159">
        <f>IFERROR(__xludf.DUMMYFUNCTION("""COMPUTED_VALUE"""),2492.0)</f>
        <v>2492</v>
      </c>
      <c r="P121" s="222" t="str">
        <f>IFERROR(__xludf.DUMMYFUNCTION("""COMPUTED_VALUE"""),"VIGENTE")</f>
        <v>VIGENTE</v>
      </c>
      <c r="Q121" s="8" t="str">
        <f t="shared" si="2"/>
        <v>--</v>
      </c>
      <c r="AB121" s="8">
        <f>IFERROR(__xludf.DUMMYFUNCTION("""COMPUTED_VALUE"""),2355.0)</f>
        <v>2355</v>
      </c>
      <c r="AC121" s="200"/>
      <c r="AE121" s="8">
        <f>IFERROR(__xludf.DUMMYFUNCTION("""COMPUTED_VALUE"""),2355.0)</f>
        <v>2355</v>
      </c>
    </row>
    <row r="122">
      <c r="A122" s="158"/>
      <c r="B122" s="220">
        <v>119.0</v>
      </c>
      <c r="C122" s="78">
        <f>IFERROR(__xludf.DUMMYFUNCTION("""COMPUTED_VALUE"""),2437.0)</f>
        <v>2437</v>
      </c>
      <c r="D122" s="221">
        <f>IFERROR(__xludf.DUMMYFUNCTION("""COMPUTED_VALUE"""),46528.0)</f>
        <v>46528</v>
      </c>
      <c r="E122" s="78" t="str">
        <f>IFERROR(__xludf.DUMMYFUNCTION("""COMPUTED_VALUE"""),"02-Medellin")</f>
        <v>02-Medellin</v>
      </c>
      <c r="F122" s="156">
        <f>IFERROR(__xludf.DUMMYFUNCTION("""COMPUTED_VALUE"""),46148.0)</f>
        <v>46148</v>
      </c>
      <c r="G122" s="159">
        <f>IFERROR(__xludf.DUMMYFUNCTION("""COMPUTED_VALUE"""),68.0)</f>
        <v>68</v>
      </c>
      <c r="H122" s="222" t="str">
        <f>IFERROR(__xludf.DUMMYFUNCTION("""COMPUTED_VALUE"""),"VIGENTE")</f>
        <v>VIGENTE</v>
      </c>
      <c r="I122" s="173" t="str">
        <f t="shared" si="1"/>
        <v>-</v>
      </c>
      <c r="J122" s="103"/>
      <c r="K122" s="220">
        <v>119.0</v>
      </c>
      <c r="L122" s="78">
        <f>IFERROR(__xludf.DUMMYFUNCTION("""COMPUTED_VALUE"""),2635.0)</f>
        <v>2635</v>
      </c>
      <c r="M122" s="221">
        <f>IFERROR(__xludf.DUMMYFUNCTION("""COMPUTED_VALUE"""),46254.0)</f>
        <v>46254</v>
      </c>
      <c r="N122" s="78" t="str">
        <f>IFERROR(__xludf.DUMMYFUNCTION("""COMPUTED_VALUE"""),"02-Medellin")</f>
        <v>02-Medellin</v>
      </c>
      <c r="O122" s="159">
        <f>IFERROR(__xludf.DUMMYFUNCTION("""COMPUTED_VALUE"""),2488.7)</f>
        <v>2488.7</v>
      </c>
      <c r="P122" s="222" t="str">
        <f>IFERROR(__xludf.DUMMYFUNCTION("""COMPUTED_VALUE"""),"VIGENTE")</f>
        <v>VIGENTE</v>
      </c>
      <c r="Q122" s="8" t="str">
        <f t="shared" si="2"/>
        <v>--</v>
      </c>
      <c r="AB122" s="8">
        <f>IFERROR(__xludf.DUMMYFUNCTION("""COMPUTED_VALUE"""),654.0)</f>
        <v>654</v>
      </c>
      <c r="AC122" s="200"/>
      <c r="AE122" s="8">
        <f>IFERROR(__xludf.DUMMYFUNCTION("""COMPUTED_VALUE"""),654.0)</f>
        <v>654</v>
      </c>
    </row>
    <row r="123">
      <c r="A123" s="158"/>
      <c r="B123" s="220">
        <v>120.0</v>
      </c>
      <c r="C123" s="78">
        <f>IFERROR(__xludf.DUMMYFUNCTION("""COMPUTED_VALUE"""),2908.0)</f>
        <v>2908</v>
      </c>
      <c r="D123" s="221">
        <f>IFERROR(__xludf.DUMMYFUNCTION("""COMPUTED_VALUE"""),46275.0)</f>
        <v>46275</v>
      </c>
      <c r="E123" s="78" t="str">
        <f>IFERROR(__xludf.DUMMYFUNCTION("""COMPUTED_VALUE"""),"24-Rionegro")</f>
        <v>24-Rionegro</v>
      </c>
      <c r="F123" s="156">
        <f>IFERROR(__xludf.DUMMYFUNCTION("""COMPUTED_VALUE"""),46149.0)</f>
        <v>46149</v>
      </c>
      <c r="G123" s="159">
        <f>IFERROR(__xludf.DUMMYFUNCTION("""COMPUTED_VALUE"""),67.0)</f>
        <v>67</v>
      </c>
      <c r="H123" s="222" t="str">
        <f>IFERROR(__xludf.DUMMYFUNCTION("""COMPUTED_VALUE"""),"VIGENTE")</f>
        <v>VIGENTE</v>
      </c>
      <c r="I123" s="173" t="str">
        <f t="shared" si="1"/>
        <v>-</v>
      </c>
      <c r="J123" s="103"/>
      <c r="K123" s="220">
        <v>120.0</v>
      </c>
      <c r="L123" s="78">
        <f>IFERROR(__xludf.DUMMYFUNCTION("""COMPUTED_VALUE"""),3283.0)</f>
        <v>3283</v>
      </c>
      <c r="M123" s="221">
        <f>IFERROR(__xludf.DUMMYFUNCTION("""COMPUTED_VALUE"""),46668.0)</f>
        <v>46668</v>
      </c>
      <c r="N123" s="78" t="str">
        <f>IFERROR(__xludf.DUMMYFUNCTION("""COMPUTED_VALUE"""),"02-Medellin")</f>
        <v>02-Medellin</v>
      </c>
      <c r="O123" s="159">
        <f>IFERROR(__xludf.DUMMYFUNCTION("""COMPUTED_VALUE"""),2462.0)</f>
        <v>2462</v>
      </c>
      <c r="P123" s="222" t="str">
        <f>IFERROR(__xludf.DUMMYFUNCTION("""COMPUTED_VALUE"""),"VIGENTE")</f>
        <v>VIGENTE</v>
      </c>
      <c r="Q123" s="8" t="str">
        <f t="shared" si="2"/>
        <v>--</v>
      </c>
      <c r="AB123" s="8">
        <f>IFERROR(__xludf.DUMMYFUNCTION("""COMPUTED_VALUE"""),2468.0)</f>
        <v>2468</v>
      </c>
      <c r="AC123" s="200"/>
      <c r="AE123" s="8">
        <f>IFERROR(__xludf.DUMMYFUNCTION("""COMPUTED_VALUE"""),2468.0)</f>
        <v>2468</v>
      </c>
    </row>
    <row r="124">
      <c r="A124" s="158"/>
      <c r="B124" s="220">
        <v>121.0</v>
      </c>
      <c r="C124" s="78">
        <f>IFERROR(__xludf.DUMMYFUNCTION("""COMPUTED_VALUE"""),2891.0)</f>
        <v>2891</v>
      </c>
      <c r="D124" s="221">
        <f>IFERROR(__xludf.DUMMYFUNCTION("""COMPUTED_VALUE"""),46242.0)</f>
        <v>46242</v>
      </c>
      <c r="E124" s="78" t="str">
        <f>IFERROR(__xludf.DUMMYFUNCTION("""COMPUTED_VALUE"""),"31-Copacabana")</f>
        <v>31-Copacabana</v>
      </c>
      <c r="F124" s="156">
        <f>IFERROR(__xludf.DUMMYFUNCTION("""COMPUTED_VALUE"""),46149.0)</f>
        <v>46149</v>
      </c>
      <c r="G124" s="159">
        <f>IFERROR(__xludf.DUMMYFUNCTION("""COMPUTED_VALUE"""),67.0)</f>
        <v>67</v>
      </c>
      <c r="H124" s="222" t="str">
        <f>IFERROR(__xludf.DUMMYFUNCTION("""COMPUTED_VALUE"""),"VIGENTE")</f>
        <v>VIGENTE</v>
      </c>
      <c r="I124" s="173" t="str">
        <f t="shared" si="1"/>
        <v>-</v>
      </c>
      <c r="J124" s="103"/>
      <c r="K124" s="220">
        <v>121.0</v>
      </c>
      <c r="L124" s="78">
        <f>IFERROR(__xludf.DUMMYFUNCTION("""COMPUTED_VALUE"""),2878.0)</f>
        <v>2878</v>
      </c>
      <c r="M124" s="221">
        <f>IFERROR(__xludf.DUMMYFUNCTION("""COMPUTED_VALUE"""),46226.0)</f>
        <v>46226</v>
      </c>
      <c r="N124" s="78" t="str">
        <f>IFERROR(__xludf.DUMMYFUNCTION("""COMPUTED_VALUE"""),"02-Medellin")</f>
        <v>02-Medellin</v>
      </c>
      <c r="O124" s="159">
        <f>IFERROR(__xludf.DUMMYFUNCTION("""COMPUTED_VALUE"""),2459.0)</f>
        <v>2459</v>
      </c>
      <c r="P124" s="222" t="str">
        <f>IFERROR(__xludf.DUMMYFUNCTION("""COMPUTED_VALUE"""),"VIGENTE")</f>
        <v>VIGENTE</v>
      </c>
      <c r="Q124" s="8" t="str">
        <f t="shared" si="2"/>
        <v>--</v>
      </c>
      <c r="AB124" s="8">
        <f>IFERROR(__xludf.DUMMYFUNCTION("""COMPUTED_VALUE"""),2666.0)</f>
        <v>2666</v>
      </c>
      <c r="AC124" s="200"/>
      <c r="AE124" s="8">
        <f>IFERROR(__xludf.DUMMYFUNCTION("""COMPUTED_VALUE"""),2666.0)</f>
        <v>2666</v>
      </c>
    </row>
    <row r="125">
      <c r="A125" s="158"/>
      <c r="B125" s="220">
        <v>122.0</v>
      </c>
      <c r="C125" s="78">
        <f>IFERROR(__xludf.DUMMYFUNCTION("""COMPUTED_VALUE"""),2888.0)</f>
        <v>2888</v>
      </c>
      <c r="D125" s="221">
        <f>IFERROR(__xludf.DUMMYFUNCTION("""COMPUTED_VALUE"""),46233.0)</f>
        <v>46233</v>
      </c>
      <c r="E125" s="78" t="str">
        <f>IFERROR(__xludf.DUMMYFUNCTION("""COMPUTED_VALUE"""),"24-Rionegro")</f>
        <v>24-Rionegro</v>
      </c>
      <c r="F125" s="156">
        <f>IFERROR(__xludf.DUMMYFUNCTION("""COMPUTED_VALUE"""),46149.0)</f>
        <v>46149</v>
      </c>
      <c r="G125" s="159">
        <f>IFERROR(__xludf.DUMMYFUNCTION("""COMPUTED_VALUE"""),67.0)</f>
        <v>67</v>
      </c>
      <c r="H125" s="222" t="str">
        <f>IFERROR(__xludf.DUMMYFUNCTION("""COMPUTED_VALUE"""),"VIGENTE")</f>
        <v>VIGENTE</v>
      </c>
      <c r="I125" s="173" t="str">
        <f t="shared" si="1"/>
        <v>-</v>
      </c>
      <c r="J125" s="103"/>
      <c r="K125" s="220">
        <v>122.0</v>
      </c>
      <c r="L125" s="78">
        <f>IFERROR(__xludf.DUMMYFUNCTION("""COMPUTED_VALUE"""),3249.0)</f>
        <v>3249</v>
      </c>
      <c r="M125" s="221">
        <f>IFERROR(__xludf.DUMMYFUNCTION("""COMPUTED_VALUE"""),46661.0)</f>
        <v>46661</v>
      </c>
      <c r="N125" s="78" t="str">
        <f>IFERROR(__xludf.DUMMYFUNCTION("""COMPUTED_VALUE"""),"02-Medellin")</f>
        <v>02-Medellin</v>
      </c>
      <c r="O125" s="159">
        <f>IFERROR(__xludf.DUMMYFUNCTION("""COMPUTED_VALUE"""),2457.0)</f>
        <v>2457</v>
      </c>
      <c r="P125" s="222" t="str">
        <f>IFERROR(__xludf.DUMMYFUNCTION("""COMPUTED_VALUE"""),"VIGENTE")</f>
        <v>VIGENTE</v>
      </c>
      <c r="Q125" s="8" t="str">
        <f t="shared" si="2"/>
        <v>--</v>
      </c>
      <c r="AB125" s="8">
        <f>IFERROR(__xludf.DUMMYFUNCTION("""COMPUTED_VALUE"""),2464.0)</f>
        <v>2464</v>
      </c>
      <c r="AC125" s="200"/>
      <c r="AE125" s="8">
        <f>IFERROR(__xludf.DUMMYFUNCTION("""COMPUTED_VALUE"""),2464.0)</f>
        <v>2464</v>
      </c>
    </row>
    <row r="126">
      <c r="A126" s="158"/>
      <c r="B126" s="220">
        <v>123.0</v>
      </c>
      <c r="C126" s="78">
        <f>IFERROR(__xludf.DUMMYFUNCTION("""COMPUTED_VALUE"""),3200.0)</f>
        <v>3200</v>
      </c>
      <c r="D126" s="221">
        <f>IFERROR(__xludf.DUMMYFUNCTION("""COMPUTED_VALUE"""),46654.0)</f>
        <v>46654</v>
      </c>
      <c r="E126" s="78" t="str">
        <f>IFERROR(__xludf.DUMMYFUNCTION("""COMPUTED_VALUE"""),"02-Medellin")</f>
        <v>02-Medellin</v>
      </c>
      <c r="F126" s="156">
        <f>IFERROR(__xludf.DUMMYFUNCTION("""COMPUTED_VALUE"""),46150.0)</f>
        <v>46150</v>
      </c>
      <c r="G126" s="159">
        <f>IFERROR(__xludf.DUMMYFUNCTION("""COMPUTED_VALUE"""),66.0)</f>
        <v>66</v>
      </c>
      <c r="H126" s="222" t="str">
        <f>IFERROR(__xludf.DUMMYFUNCTION("""COMPUTED_VALUE"""),"VIGENTE")</f>
        <v>VIGENTE</v>
      </c>
      <c r="I126" s="173" t="str">
        <f t="shared" si="1"/>
        <v>-</v>
      </c>
      <c r="J126" s="103"/>
      <c r="K126" s="220">
        <v>123.0</v>
      </c>
      <c r="L126" s="78">
        <f>IFERROR(__xludf.DUMMYFUNCTION("""COMPUTED_VALUE"""),2675.0)</f>
        <v>2675</v>
      </c>
      <c r="M126" s="221">
        <f>IFERROR(__xludf.DUMMYFUNCTION("""COMPUTED_VALUE"""),46494.0)</f>
        <v>46494</v>
      </c>
      <c r="N126" s="78" t="str">
        <f>IFERROR(__xludf.DUMMYFUNCTION("""COMPUTED_VALUE"""),"02-Medellin")</f>
        <v>02-Medellin</v>
      </c>
      <c r="O126" s="159">
        <f>IFERROR(__xludf.DUMMYFUNCTION("""COMPUTED_VALUE"""),2442.0)</f>
        <v>2442</v>
      </c>
      <c r="P126" s="222" t="str">
        <f>IFERROR(__xludf.DUMMYFUNCTION("""COMPUTED_VALUE"""),"VIGENTE")</f>
        <v>VIGENTE</v>
      </c>
      <c r="Q126" s="8" t="str">
        <f t="shared" si="2"/>
        <v>--</v>
      </c>
      <c r="AB126" s="8">
        <f>IFERROR(__xludf.DUMMYFUNCTION("""COMPUTED_VALUE"""),2850.0)</f>
        <v>2850</v>
      </c>
      <c r="AC126" s="200"/>
      <c r="AE126" s="8">
        <f>IFERROR(__xludf.DUMMYFUNCTION("""COMPUTED_VALUE"""),2850.0)</f>
        <v>2850</v>
      </c>
    </row>
    <row r="127">
      <c r="A127" s="158"/>
      <c r="B127" s="220">
        <v>124.0</v>
      </c>
      <c r="C127" s="78">
        <f>IFERROR(__xludf.DUMMYFUNCTION("""COMPUTED_VALUE"""),2890.0)</f>
        <v>2890</v>
      </c>
      <c r="D127" s="221">
        <f>IFERROR(__xludf.DUMMYFUNCTION("""COMPUTED_VALUE"""),46233.0)</f>
        <v>46233</v>
      </c>
      <c r="E127" s="78" t="str">
        <f>IFERROR(__xludf.DUMMYFUNCTION("""COMPUTED_VALUE"""),"02-Medellin")</f>
        <v>02-Medellin</v>
      </c>
      <c r="F127" s="156">
        <f>IFERROR(__xludf.DUMMYFUNCTION("""COMPUTED_VALUE"""),46150.0)</f>
        <v>46150</v>
      </c>
      <c r="G127" s="159">
        <f>IFERROR(__xludf.DUMMYFUNCTION("""COMPUTED_VALUE"""),66.0)</f>
        <v>66</v>
      </c>
      <c r="H127" s="222" t="str">
        <f>IFERROR(__xludf.DUMMYFUNCTION("""COMPUTED_VALUE"""),"VIGENTE")</f>
        <v>VIGENTE</v>
      </c>
      <c r="I127" s="173" t="str">
        <f t="shared" si="1"/>
        <v>-</v>
      </c>
      <c r="J127" s="103"/>
      <c r="K127" s="220">
        <v>124.0</v>
      </c>
      <c r="L127" s="78">
        <f>IFERROR(__xludf.DUMMYFUNCTION("""COMPUTED_VALUE"""),2276.0)</f>
        <v>2276</v>
      </c>
      <c r="M127" s="221">
        <f>IFERROR(__xludf.DUMMYFUNCTION("""COMPUTED_VALUE"""),46366.0)</f>
        <v>46366</v>
      </c>
      <c r="N127" s="78" t="str">
        <f>IFERROR(__xludf.DUMMYFUNCTION("""COMPUTED_VALUE"""),"02-Medellin")</f>
        <v>02-Medellin</v>
      </c>
      <c r="O127" s="159">
        <f>IFERROR(__xludf.DUMMYFUNCTION("""COMPUTED_VALUE"""),2421.0)</f>
        <v>2421</v>
      </c>
      <c r="P127" s="222" t="str">
        <f>IFERROR(__xludf.DUMMYFUNCTION("""COMPUTED_VALUE"""),"VIGENTE")</f>
        <v>VIGENTE</v>
      </c>
      <c r="Q127" s="8" t="str">
        <f t="shared" si="2"/>
        <v>--</v>
      </c>
      <c r="AB127" s="8">
        <f>IFERROR(__xludf.DUMMYFUNCTION("""COMPUTED_VALUE"""),2862.0)</f>
        <v>2862</v>
      </c>
      <c r="AC127" s="200"/>
      <c r="AE127" s="8">
        <f>IFERROR(__xludf.DUMMYFUNCTION("""COMPUTED_VALUE"""),2862.0)</f>
        <v>2862</v>
      </c>
    </row>
    <row r="128">
      <c r="A128" s="158"/>
      <c r="B128" s="220">
        <v>125.0</v>
      </c>
      <c r="C128" s="78">
        <f>IFERROR(__xludf.DUMMYFUNCTION("""COMPUTED_VALUE"""),2878.0)</f>
        <v>2878</v>
      </c>
      <c r="D128" s="221">
        <f>IFERROR(__xludf.DUMMYFUNCTION("""COMPUTED_VALUE"""),46226.0)</f>
        <v>46226</v>
      </c>
      <c r="E128" s="78" t="str">
        <f>IFERROR(__xludf.DUMMYFUNCTION("""COMPUTED_VALUE"""),"02-Medellin")</f>
        <v>02-Medellin</v>
      </c>
      <c r="F128" s="156">
        <f>IFERROR(__xludf.DUMMYFUNCTION("""COMPUTED_VALUE"""),46150.0)</f>
        <v>46150</v>
      </c>
      <c r="G128" s="159">
        <f>IFERROR(__xludf.DUMMYFUNCTION("""COMPUTED_VALUE"""),66.0)</f>
        <v>66</v>
      </c>
      <c r="H128" s="222" t="str">
        <f>IFERROR(__xludf.DUMMYFUNCTION("""COMPUTED_VALUE"""),"VIGENTE")</f>
        <v>VIGENTE</v>
      </c>
      <c r="I128" s="173" t="str">
        <f t="shared" si="1"/>
        <v>-</v>
      </c>
      <c r="J128" s="103"/>
      <c r="K128" s="220">
        <v>125.0</v>
      </c>
      <c r="L128" s="78">
        <f>IFERROR(__xludf.DUMMYFUNCTION("""COMPUTED_VALUE"""),2854.0)</f>
        <v>2854</v>
      </c>
      <c r="M128" s="221">
        <f>IFERROR(__xludf.DUMMYFUNCTION("""COMPUTED_VALUE"""),46575.0)</f>
        <v>46575</v>
      </c>
      <c r="N128" s="78" t="str">
        <f>IFERROR(__xludf.DUMMYFUNCTION("""COMPUTED_VALUE"""),"02-Medellin")</f>
        <v>02-Medellin</v>
      </c>
      <c r="O128" s="159">
        <f>IFERROR(__xludf.DUMMYFUNCTION("""COMPUTED_VALUE"""),2411.0)</f>
        <v>2411</v>
      </c>
      <c r="P128" s="222" t="str">
        <f>IFERROR(__xludf.DUMMYFUNCTION("""COMPUTED_VALUE"""),"VIGENTE")</f>
        <v>VIGENTE</v>
      </c>
      <c r="Q128" s="8" t="str">
        <f t="shared" si="2"/>
        <v>--</v>
      </c>
      <c r="AB128" s="8">
        <f>IFERROR(__xludf.DUMMYFUNCTION("""COMPUTED_VALUE"""),2395.0)</f>
        <v>2395</v>
      </c>
      <c r="AC128" s="200"/>
      <c r="AE128" s="8">
        <f>IFERROR(__xludf.DUMMYFUNCTION("""COMPUTED_VALUE"""),2395.0)</f>
        <v>2395</v>
      </c>
    </row>
    <row r="129">
      <c r="A129" s="158"/>
      <c r="B129" s="220">
        <v>126.0</v>
      </c>
      <c r="C129" s="78">
        <f>IFERROR(__xludf.DUMMYFUNCTION("""COMPUTED_VALUE"""),2677.0)</f>
        <v>2677</v>
      </c>
      <c r="D129" s="221">
        <f>IFERROR(__xludf.DUMMYFUNCTION("""COMPUTED_VALUE"""),46497.0)</f>
        <v>46497</v>
      </c>
      <c r="E129" s="78" t="str">
        <f>IFERROR(__xludf.DUMMYFUNCTION("""COMPUTED_VALUE"""),"02-Medellin")</f>
        <v>02-Medellin</v>
      </c>
      <c r="F129" s="156">
        <f>IFERROR(__xludf.DUMMYFUNCTION("""COMPUTED_VALUE"""),46150.0)</f>
        <v>46150</v>
      </c>
      <c r="G129" s="159">
        <f>IFERROR(__xludf.DUMMYFUNCTION("""COMPUTED_VALUE"""),66.0)</f>
        <v>66</v>
      </c>
      <c r="H129" s="222" t="str">
        <f>IFERROR(__xludf.DUMMYFUNCTION("""COMPUTED_VALUE"""),"VIGENTE")</f>
        <v>VIGENTE</v>
      </c>
      <c r="I129" s="173" t="str">
        <f t="shared" si="1"/>
        <v>-</v>
      </c>
      <c r="J129" s="103"/>
      <c r="K129" s="220">
        <v>126.0</v>
      </c>
      <c r="L129" s="78">
        <f>IFERROR(__xludf.DUMMYFUNCTION("""COMPUTED_VALUE"""),2369.0)</f>
        <v>2369</v>
      </c>
      <c r="M129" s="221">
        <f>IFERROR(__xludf.DUMMYFUNCTION("""COMPUTED_VALUE"""),46541.0)</f>
        <v>46541</v>
      </c>
      <c r="N129" s="78" t="str">
        <f>IFERROR(__xludf.DUMMYFUNCTION("""COMPUTED_VALUE"""),"02-Medellin")</f>
        <v>02-Medellin</v>
      </c>
      <c r="O129" s="159">
        <f>IFERROR(__xludf.DUMMYFUNCTION("""COMPUTED_VALUE"""),2406.3)</f>
        <v>2406.3</v>
      </c>
      <c r="P129" s="222" t="str">
        <f>IFERROR(__xludf.DUMMYFUNCTION("""COMPUTED_VALUE"""),"VIGENTE")</f>
        <v>VIGENTE</v>
      </c>
      <c r="Q129" s="8" t="str">
        <f t="shared" si="2"/>
        <v>--</v>
      </c>
      <c r="AB129" s="8">
        <f>IFERROR(__xludf.DUMMYFUNCTION("""COMPUTED_VALUE"""),2661.0)</f>
        <v>2661</v>
      </c>
      <c r="AC129" s="200"/>
      <c r="AE129" s="8">
        <f>IFERROR(__xludf.DUMMYFUNCTION("""COMPUTED_VALUE"""),2661.0)</f>
        <v>2661</v>
      </c>
    </row>
    <row r="130">
      <c r="A130" s="158"/>
      <c r="B130" s="220">
        <v>127.0</v>
      </c>
      <c r="C130" s="78">
        <f>IFERROR(__xludf.DUMMYFUNCTION("""COMPUTED_VALUE"""),2673.0)</f>
        <v>2673</v>
      </c>
      <c r="D130" s="221">
        <f>IFERROR(__xludf.DUMMYFUNCTION("""COMPUTED_VALUE"""),46516.0)</f>
        <v>46516</v>
      </c>
      <c r="E130" s="78" t="str">
        <f>IFERROR(__xludf.DUMMYFUNCTION("""COMPUTED_VALUE"""),"02-Medellin")</f>
        <v>02-Medellin</v>
      </c>
      <c r="F130" s="156">
        <f>IFERROR(__xludf.DUMMYFUNCTION("""COMPUTED_VALUE"""),46150.0)</f>
        <v>46150</v>
      </c>
      <c r="G130" s="159">
        <f>IFERROR(__xludf.DUMMYFUNCTION("""COMPUTED_VALUE"""),66.0)</f>
        <v>66</v>
      </c>
      <c r="H130" s="222" t="str">
        <f>IFERROR(__xludf.DUMMYFUNCTION("""COMPUTED_VALUE"""),"VIGENTE")</f>
        <v>VIGENTE</v>
      </c>
      <c r="I130" s="173" t="str">
        <f t="shared" si="1"/>
        <v>-</v>
      </c>
      <c r="J130" s="103"/>
      <c r="K130" s="220">
        <v>127.0</v>
      </c>
      <c r="L130" s="78">
        <f>IFERROR(__xludf.DUMMYFUNCTION("""COMPUTED_VALUE"""),2918.0)</f>
        <v>2918</v>
      </c>
      <c r="M130" s="221">
        <f>IFERROR(__xludf.DUMMYFUNCTION("""COMPUTED_VALUE"""),46303.0)</f>
        <v>46303</v>
      </c>
      <c r="N130" s="78" t="str">
        <f>IFERROR(__xludf.DUMMYFUNCTION("""COMPUTED_VALUE"""),"02-Medellin")</f>
        <v>02-Medellin</v>
      </c>
      <c r="O130" s="159">
        <f>IFERROR(__xludf.DUMMYFUNCTION("""COMPUTED_VALUE"""),2406.0)</f>
        <v>2406</v>
      </c>
      <c r="P130" s="222" t="str">
        <f>IFERROR(__xludf.DUMMYFUNCTION("""COMPUTED_VALUE"""),"VIGENTE")</f>
        <v>VIGENTE</v>
      </c>
      <c r="Q130" s="8" t="str">
        <f t="shared" si="2"/>
        <v>--</v>
      </c>
      <c r="AB130" s="8">
        <f>IFERROR(__xludf.DUMMYFUNCTION("""COMPUTED_VALUE"""),2462.0)</f>
        <v>2462</v>
      </c>
      <c r="AC130" s="200"/>
      <c r="AE130" s="8">
        <f>IFERROR(__xludf.DUMMYFUNCTION("""COMPUTED_VALUE"""),2462.0)</f>
        <v>2462</v>
      </c>
    </row>
    <row r="131">
      <c r="A131" s="158"/>
      <c r="B131" s="220">
        <v>128.0</v>
      </c>
      <c r="C131" s="78">
        <f>IFERROR(__xludf.DUMMYFUNCTION("""COMPUTED_VALUE"""),2379.0)</f>
        <v>2379</v>
      </c>
      <c r="D131" s="221">
        <f>IFERROR(__xludf.DUMMYFUNCTION("""COMPUTED_VALUE"""),46457.0)</f>
        <v>46457</v>
      </c>
      <c r="E131" s="78" t="str">
        <f>IFERROR(__xludf.DUMMYFUNCTION("""COMPUTED_VALUE"""),"31-Copacabana QUIMICOS")</f>
        <v>31-Copacabana QUIMICOS</v>
      </c>
      <c r="F131" s="156">
        <f>IFERROR(__xludf.DUMMYFUNCTION("""COMPUTED_VALUE"""),46150.0)</f>
        <v>46150</v>
      </c>
      <c r="G131" s="159">
        <f>IFERROR(__xludf.DUMMYFUNCTION("""COMPUTED_VALUE"""),66.0)</f>
        <v>66</v>
      </c>
      <c r="H131" s="222" t="str">
        <f>IFERROR(__xludf.DUMMYFUNCTION("""COMPUTED_VALUE"""),"VIGENTE")</f>
        <v>VIGENTE</v>
      </c>
      <c r="I131" s="173" t="str">
        <f t="shared" si="1"/>
        <v>-</v>
      </c>
      <c r="J131" s="103"/>
      <c r="K131" s="220">
        <v>128.0</v>
      </c>
      <c r="L131" s="78">
        <f>IFERROR(__xludf.DUMMYFUNCTION("""COMPUTED_VALUE"""),2893.0)</f>
        <v>2893</v>
      </c>
      <c r="M131" s="221">
        <f>IFERROR(__xludf.DUMMYFUNCTION("""COMPUTED_VALUE"""),46242.0)</f>
        <v>46242</v>
      </c>
      <c r="N131" s="78" t="str">
        <f>IFERROR(__xludf.DUMMYFUNCTION("""COMPUTED_VALUE"""),"31-Copacabana")</f>
        <v>31-Copacabana</v>
      </c>
      <c r="O131" s="159">
        <f>IFERROR(__xludf.DUMMYFUNCTION("""COMPUTED_VALUE"""),2390.0)</f>
        <v>2390</v>
      </c>
      <c r="P131" s="222" t="str">
        <f>IFERROR(__xludf.DUMMYFUNCTION("""COMPUTED_VALUE"""),"VIGENTE")</f>
        <v>VIGENTE</v>
      </c>
      <c r="Q131" s="8" t="str">
        <f t="shared" si="2"/>
        <v>--</v>
      </c>
      <c r="AB131" s="8">
        <f>IFERROR(__xludf.DUMMYFUNCTION("""COMPUTED_VALUE"""),2848.0)</f>
        <v>2848</v>
      </c>
      <c r="AC131" s="200"/>
      <c r="AE131" s="8">
        <f>IFERROR(__xludf.DUMMYFUNCTION("""COMPUTED_VALUE"""),2848.0)</f>
        <v>2848</v>
      </c>
    </row>
    <row r="132">
      <c r="A132" s="158"/>
      <c r="B132" s="220">
        <v>129.0</v>
      </c>
      <c r="C132" s="78">
        <f>IFERROR(__xludf.DUMMYFUNCTION("""COMPUTED_VALUE"""),2376.0)</f>
        <v>2376</v>
      </c>
      <c r="D132" s="221">
        <f>IFERROR(__xludf.DUMMYFUNCTION("""COMPUTED_VALUE"""),46540.0)</f>
        <v>46540</v>
      </c>
      <c r="E132" s="78" t="str">
        <f>IFERROR(__xludf.DUMMYFUNCTION("""COMPUTED_VALUE"""),"02-Medellin")</f>
        <v>02-Medellin</v>
      </c>
      <c r="F132" s="156">
        <f>IFERROR(__xludf.DUMMYFUNCTION("""COMPUTED_VALUE"""),46150.0)</f>
        <v>46150</v>
      </c>
      <c r="G132" s="159">
        <f>IFERROR(__xludf.DUMMYFUNCTION("""COMPUTED_VALUE"""),66.0)</f>
        <v>66</v>
      </c>
      <c r="H132" s="222" t="str">
        <f>IFERROR(__xludf.DUMMYFUNCTION("""COMPUTED_VALUE"""),"VIGENTE")</f>
        <v>VIGENTE</v>
      </c>
      <c r="I132" s="173" t="str">
        <f t="shared" si="1"/>
        <v>-</v>
      </c>
      <c r="J132" s="103"/>
      <c r="K132" s="220">
        <v>129.0</v>
      </c>
      <c r="L132" s="78">
        <f>IFERROR(__xludf.DUMMYFUNCTION("""COMPUTED_VALUE"""),2404.0)</f>
        <v>2404</v>
      </c>
      <c r="M132" s="221">
        <f>IFERROR(__xludf.DUMMYFUNCTION("""COMPUTED_VALUE"""),46484.0)</f>
        <v>46484</v>
      </c>
      <c r="N132" s="78" t="str">
        <f>IFERROR(__xludf.DUMMYFUNCTION("""COMPUTED_VALUE"""),"02-Medellin")</f>
        <v>02-Medellin</v>
      </c>
      <c r="O132" s="159">
        <f>IFERROR(__xludf.DUMMYFUNCTION("""COMPUTED_VALUE"""),2378.0)</f>
        <v>2378</v>
      </c>
      <c r="P132" s="222" t="str">
        <f>IFERROR(__xludf.DUMMYFUNCTION("""COMPUTED_VALUE"""),"VIGENTE")</f>
        <v>VIGENTE</v>
      </c>
      <c r="Q132" s="8" t="str">
        <f t="shared" si="2"/>
        <v>--</v>
      </c>
      <c r="AB132" s="8">
        <f>IFERROR(__xludf.DUMMYFUNCTION("""COMPUTED_VALUE"""),2379.0)</f>
        <v>2379</v>
      </c>
      <c r="AC132" s="200"/>
      <c r="AE132" s="8">
        <f>IFERROR(__xludf.DUMMYFUNCTION("""COMPUTED_VALUE"""),2379.0)</f>
        <v>2379</v>
      </c>
    </row>
    <row r="133">
      <c r="A133" s="158"/>
      <c r="B133" s="220">
        <v>130.0</v>
      </c>
      <c r="C133" s="78">
        <f>IFERROR(__xludf.DUMMYFUNCTION("""COMPUTED_VALUE"""),2202.0)</f>
        <v>2202</v>
      </c>
      <c r="D133" s="221">
        <f>IFERROR(__xludf.DUMMYFUNCTION("""COMPUTED_VALUE"""),46527.0)</f>
        <v>46527</v>
      </c>
      <c r="E133" s="78" t="str">
        <f>IFERROR(__xludf.DUMMYFUNCTION("""COMPUTED_VALUE"""),"02-Medellin")</f>
        <v>02-Medellin</v>
      </c>
      <c r="F133" s="156">
        <f>IFERROR(__xludf.DUMMYFUNCTION("""COMPUTED_VALUE"""),46150.0)</f>
        <v>46150</v>
      </c>
      <c r="G133" s="159">
        <f>IFERROR(__xludf.DUMMYFUNCTION("""COMPUTED_VALUE"""),66.0)</f>
        <v>66</v>
      </c>
      <c r="H133" s="222" t="str">
        <f>IFERROR(__xludf.DUMMYFUNCTION("""COMPUTED_VALUE"""),"VIGENTE")</f>
        <v>VIGENTE</v>
      </c>
      <c r="I133" s="173" t="str">
        <f t="shared" si="1"/>
        <v>-</v>
      </c>
      <c r="J133" s="103"/>
      <c r="K133" s="220">
        <v>130.0</v>
      </c>
      <c r="L133" s="78">
        <f>IFERROR(__xludf.DUMMYFUNCTION("""COMPUTED_VALUE"""),2656.0)</f>
        <v>2656</v>
      </c>
      <c r="M133" s="221">
        <f>IFERROR(__xludf.DUMMYFUNCTION("""COMPUTED_VALUE"""),46485.0)</f>
        <v>46485</v>
      </c>
      <c r="N133" s="78" t="str">
        <f>IFERROR(__xludf.DUMMYFUNCTION("""COMPUTED_VALUE"""),"02-Medellin")</f>
        <v>02-Medellin</v>
      </c>
      <c r="O133" s="159">
        <f>IFERROR(__xludf.DUMMYFUNCTION("""COMPUTED_VALUE"""),2376.0)</f>
        <v>2376</v>
      </c>
      <c r="P133" s="222" t="str">
        <f>IFERROR(__xludf.DUMMYFUNCTION("""COMPUTED_VALUE"""),"VIGENTE")</f>
        <v>VIGENTE</v>
      </c>
      <c r="Q133" s="8" t="str">
        <f t="shared" si="2"/>
        <v>--</v>
      </c>
      <c r="AB133" s="8">
        <f>IFERROR(__xludf.DUMMYFUNCTION("""COMPUTED_VALUE"""),2847.0)</f>
        <v>2847</v>
      </c>
      <c r="AC133" s="200"/>
      <c r="AE133" s="8">
        <f>IFERROR(__xludf.DUMMYFUNCTION("""COMPUTED_VALUE"""),2847.0)</f>
        <v>2847</v>
      </c>
    </row>
    <row r="134">
      <c r="A134" s="158"/>
      <c r="B134" s="220">
        <v>131.0</v>
      </c>
      <c r="C134" s="78">
        <f>IFERROR(__xludf.DUMMYFUNCTION("""COMPUTED_VALUE"""),2198.0)</f>
        <v>2198</v>
      </c>
      <c r="D134" s="221">
        <f>IFERROR(__xludf.DUMMYFUNCTION("""COMPUTED_VALUE"""),46515.0)</f>
        <v>46515</v>
      </c>
      <c r="E134" s="78" t="str">
        <f>IFERROR(__xludf.DUMMYFUNCTION("""COMPUTED_VALUE"""),"02-Medellin")</f>
        <v>02-Medellin</v>
      </c>
      <c r="F134" s="156">
        <f>IFERROR(__xludf.DUMMYFUNCTION("""COMPUTED_VALUE"""),46150.0)</f>
        <v>46150</v>
      </c>
      <c r="G134" s="159">
        <f>IFERROR(__xludf.DUMMYFUNCTION("""COMPUTED_VALUE"""),66.0)</f>
        <v>66</v>
      </c>
      <c r="H134" s="222" t="str">
        <f>IFERROR(__xludf.DUMMYFUNCTION("""COMPUTED_VALUE"""),"VIGENTE")</f>
        <v>VIGENTE</v>
      </c>
      <c r="I134" s="173" t="str">
        <f t="shared" si="1"/>
        <v>-</v>
      </c>
      <c r="J134" s="103"/>
      <c r="K134" s="220">
        <v>131.0</v>
      </c>
      <c r="L134" s="78">
        <f>IFERROR(__xludf.DUMMYFUNCTION("""COMPUTED_VALUE"""),2884.0)</f>
        <v>2884</v>
      </c>
      <c r="M134" s="221">
        <f>IFERROR(__xludf.DUMMYFUNCTION("""COMPUTED_VALUE"""),46233.0)</f>
        <v>46233</v>
      </c>
      <c r="N134" s="78" t="str">
        <f>IFERROR(__xludf.DUMMYFUNCTION("""COMPUTED_VALUE"""),"24-Rionegro")</f>
        <v>24-Rionegro</v>
      </c>
      <c r="O134" s="159">
        <f>IFERROR(__xludf.DUMMYFUNCTION("""COMPUTED_VALUE"""),2374.0)</f>
        <v>2374</v>
      </c>
      <c r="P134" s="222" t="str">
        <f>IFERROR(__xludf.DUMMYFUNCTION("""COMPUTED_VALUE"""),"VIGENTE")</f>
        <v>VIGENTE</v>
      </c>
      <c r="Q134" s="8" t="str">
        <f t="shared" si="2"/>
        <v>--</v>
      </c>
      <c r="AB134" s="8">
        <f>IFERROR(__xludf.DUMMYFUNCTION("""COMPUTED_VALUE"""),2200.0)</f>
        <v>2200</v>
      </c>
      <c r="AC134" s="200"/>
      <c r="AE134" s="8">
        <f>IFERROR(__xludf.DUMMYFUNCTION("""COMPUTED_VALUE"""),2200.0)</f>
        <v>2200</v>
      </c>
    </row>
    <row r="135">
      <c r="A135" s="158"/>
      <c r="B135" s="220">
        <v>132.0</v>
      </c>
      <c r="C135" s="78">
        <f>IFERROR(__xludf.DUMMYFUNCTION("""COMPUTED_VALUE"""),2779.0)</f>
        <v>2779</v>
      </c>
      <c r="D135" s="221">
        <f>IFERROR(__xludf.DUMMYFUNCTION("""COMPUTED_VALUE"""),46306.0)</f>
        <v>46306</v>
      </c>
      <c r="E135" s="78" t="str">
        <f>IFERROR(__xludf.DUMMYFUNCTION("""COMPUTED_VALUE"""),"02-Medellin")</f>
        <v>02-Medellin</v>
      </c>
      <c r="F135" s="156">
        <f>IFERROR(__xludf.DUMMYFUNCTION("""COMPUTED_VALUE"""),46150.0)</f>
        <v>46150</v>
      </c>
      <c r="G135" s="159">
        <f>IFERROR(__xludf.DUMMYFUNCTION("""COMPUTED_VALUE"""),66.0)</f>
        <v>66</v>
      </c>
      <c r="H135" s="222" t="str">
        <f>IFERROR(__xludf.DUMMYFUNCTION("""COMPUTED_VALUE"""),"VIGENTE")</f>
        <v>VIGENTE</v>
      </c>
      <c r="I135" s="173" t="str">
        <f t="shared" si="1"/>
        <v>-</v>
      </c>
      <c r="J135" s="103"/>
      <c r="K135" s="220">
        <v>132.0</v>
      </c>
      <c r="L135" s="78">
        <f>IFERROR(__xludf.DUMMYFUNCTION("""COMPUTED_VALUE"""),3256.0)</f>
        <v>3256</v>
      </c>
      <c r="M135" s="221">
        <f>IFERROR(__xludf.DUMMYFUNCTION("""COMPUTED_VALUE"""),46668.0)</f>
        <v>46668</v>
      </c>
      <c r="N135" s="78" t="str">
        <f>IFERROR(__xludf.DUMMYFUNCTION("""COMPUTED_VALUE"""),"02-Medellin")</f>
        <v>02-Medellin</v>
      </c>
      <c r="O135" s="159">
        <f>IFERROR(__xludf.DUMMYFUNCTION("""COMPUTED_VALUE"""),2368.0)</f>
        <v>2368</v>
      </c>
      <c r="P135" s="222" t="str">
        <f>IFERROR(__xludf.DUMMYFUNCTION("""COMPUTED_VALUE"""),"VIGENTE")</f>
        <v>VIGENTE</v>
      </c>
      <c r="Q135" s="8" t="str">
        <f t="shared" si="2"/>
        <v>--</v>
      </c>
      <c r="AB135" s="8">
        <f>IFERROR(__xludf.DUMMYFUNCTION("""COMPUTED_VALUE"""),2459.0)</f>
        <v>2459</v>
      </c>
      <c r="AC135" s="200"/>
      <c r="AE135" s="8">
        <f>IFERROR(__xludf.DUMMYFUNCTION("""COMPUTED_VALUE"""),2459.0)</f>
        <v>2459</v>
      </c>
    </row>
    <row r="136">
      <c r="A136" s="158"/>
      <c r="B136" s="220">
        <v>133.0</v>
      </c>
      <c r="C136" s="78">
        <f>IFERROR(__xludf.DUMMYFUNCTION("""COMPUTED_VALUE"""),3048.0)</f>
        <v>3048</v>
      </c>
      <c r="D136" s="221">
        <f>IFERROR(__xludf.DUMMYFUNCTION("""COMPUTED_VALUE"""),46280.0)</f>
        <v>46280</v>
      </c>
      <c r="E136" s="78" t="str">
        <f>IFERROR(__xludf.DUMMYFUNCTION("""COMPUTED_VALUE"""),"02-Medellin")</f>
        <v>02-Medellin</v>
      </c>
      <c r="F136" s="156">
        <f>IFERROR(__xludf.DUMMYFUNCTION("""COMPUTED_VALUE"""),46150.0)</f>
        <v>46150</v>
      </c>
      <c r="G136" s="159">
        <f>IFERROR(__xludf.DUMMYFUNCTION("""COMPUTED_VALUE"""),66.0)</f>
        <v>66</v>
      </c>
      <c r="H136" s="222" t="str">
        <f>IFERROR(__xludf.DUMMYFUNCTION("""COMPUTED_VALUE"""),"VIGENTE")</f>
        <v>VIGENTE</v>
      </c>
      <c r="I136" s="173" t="str">
        <f t="shared" si="1"/>
        <v>-</v>
      </c>
      <c r="J136" s="103"/>
      <c r="K136" s="220">
        <v>133.0</v>
      </c>
      <c r="L136" s="78">
        <f>IFERROR(__xludf.DUMMYFUNCTION("""COMPUTED_VALUE"""),2659.0)</f>
        <v>2659</v>
      </c>
      <c r="M136" s="221">
        <f>IFERROR(__xludf.DUMMYFUNCTION("""COMPUTED_VALUE"""),46487.0)</f>
        <v>46487</v>
      </c>
      <c r="N136" s="78" t="str">
        <f>IFERROR(__xludf.DUMMYFUNCTION("""COMPUTED_VALUE"""),"02-Medellin")</f>
        <v>02-Medellin</v>
      </c>
      <c r="O136" s="159">
        <f>IFERROR(__xludf.DUMMYFUNCTION("""COMPUTED_VALUE"""),2342.0)</f>
        <v>2342</v>
      </c>
      <c r="P136" s="222" t="str">
        <f>IFERROR(__xludf.DUMMYFUNCTION("""COMPUTED_VALUE"""),"VIGENTE")</f>
        <v>VIGENTE</v>
      </c>
      <c r="Q136" s="8" t="str">
        <f t="shared" si="2"/>
        <v>--</v>
      </c>
      <c r="AB136" s="8">
        <f>IFERROR(__xludf.DUMMYFUNCTION("""COMPUTED_VALUE"""),2422.0)</f>
        <v>2422</v>
      </c>
      <c r="AC136" s="200"/>
      <c r="AE136" s="8">
        <f>IFERROR(__xludf.DUMMYFUNCTION("""COMPUTED_VALUE"""),2422.0)</f>
        <v>2422</v>
      </c>
    </row>
    <row r="137">
      <c r="A137" s="158"/>
      <c r="B137" s="220">
        <v>134.0</v>
      </c>
      <c r="C137" s="78">
        <f>IFERROR(__xludf.DUMMYFUNCTION("""COMPUTED_VALUE"""),654.0)</f>
        <v>654</v>
      </c>
      <c r="D137" s="221">
        <f>IFERROR(__xludf.DUMMYFUNCTION("""COMPUTED_VALUE"""),46309.0)</f>
        <v>46309</v>
      </c>
      <c r="E137" s="78" t="str">
        <f>IFERROR(__xludf.DUMMYFUNCTION("""COMPUTED_VALUE"""),"02-Medellin")</f>
        <v>02-Medellin</v>
      </c>
      <c r="F137" s="156">
        <f>IFERROR(__xludf.DUMMYFUNCTION("""COMPUTED_VALUE"""),46150.0)</f>
        <v>46150</v>
      </c>
      <c r="G137" s="159">
        <f>IFERROR(__xludf.DUMMYFUNCTION("""COMPUTED_VALUE"""),66.0)</f>
        <v>66</v>
      </c>
      <c r="H137" s="222" t="str">
        <f>IFERROR(__xludf.DUMMYFUNCTION("""COMPUTED_VALUE"""),"VIGENTE")</f>
        <v>VIGENTE</v>
      </c>
      <c r="I137" s="173" t="str">
        <f t="shared" si="1"/>
        <v>-</v>
      </c>
      <c r="J137" s="103"/>
      <c r="K137" s="220">
        <v>134.0</v>
      </c>
      <c r="L137" s="78">
        <f>IFERROR(__xludf.DUMMYFUNCTION("""COMPUTED_VALUE"""),3273.0)</f>
        <v>3273</v>
      </c>
      <c r="M137" s="221">
        <f>IFERROR(__xludf.DUMMYFUNCTION("""COMPUTED_VALUE"""),46668.0)</f>
        <v>46668</v>
      </c>
      <c r="N137" s="78" t="str">
        <f>IFERROR(__xludf.DUMMYFUNCTION("""COMPUTED_VALUE"""),"02-Medellin")</f>
        <v>02-Medellin</v>
      </c>
      <c r="O137" s="159">
        <f>IFERROR(__xludf.DUMMYFUNCTION("""COMPUTED_VALUE"""),2333.0)</f>
        <v>2333</v>
      </c>
      <c r="P137" s="222" t="str">
        <f>IFERROR(__xludf.DUMMYFUNCTION("""COMPUTED_VALUE"""),"VIGENTE")</f>
        <v>VIGENTE</v>
      </c>
      <c r="Q137" s="8" t="str">
        <f t="shared" si="2"/>
        <v>--</v>
      </c>
      <c r="AB137" s="8">
        <f>IFERROR(__xludf.DUMMYFUNCTION("""COMPUTED_VALUE"""),2374.0)</f>
        <v>2374</v>
      </c>
      <c r="AC137" s="200"/>
      <c r="AE137" s="8">
        <f>IFERROR(__xludf.DUMMYFUNCTION("""COMPUTED_VALUE"""),2374.0)</f>
        <v>2374</v>
      </c>
    </row>
    <row r="138">
      <c r="A138" s="158"/>
      <c r="B138" s="220">
        <v>135.0</v>
      </c>
      <c r="C138" s="78">
        <f>IFERROR(__xludf.DUMMYFUNCTION("""COMPUTED_VALUE"""),3256.0)</f>
        <v>3256</v>
      </c>
      <c r="D138" s="221">
        <f>IFERROR(__xludf.DUMMYFUNCTION("""COMPUTED_VALUE"""),46668.0)</f>
        <v>46668</v>
      </c>
      <c r="E138" s="78" t="str">
        <f>IFERROR(__xludf.DUMMYFUNCTION("""COMPUTED_VALUE"""),"02-Medellin")</f>
        <v>02-Medellin</v>
      </c>
      <c r="F138" s="156">
        <f>IFERROR(__xludf.DUMMYFUNCTION("""COMPUTED_VALUE"""),46153.0)</f>
        <v>46153</v>
      </c>
      <c r="G138" s="159">
        <f>IFERROR(__xludf.DUMMYFUNCTION("""COMPUTED_VALUE"""),63.0)</f>
        <v>63</v>
      </c>
      <c r="H138" s="222" t="str">
        <f>IFERROR(__xludf.DUMMYFUNCTION("""COMPUTED_VALUE"""),"VIGENTE")</f>
        <v>VIGENTE</v>
      </c>
      <c r="I138" s="173" t="str">
        <f t="shared" si="1"/>
        <v>-</v>
      </c>
      <c r="J138" s="103"/>
      <c r="K138" s="220">
        <v>135.0</v>
      </c>
      <c r="L138" s="78">
        <f>IFERROR(__xludf.DUMMYFUNCTION("""COMPUTED_VALUE"""),2334.0)</f>
        <v>2334</v>
      </c>
      <c r="M138" s="221">
        <f>IFERROR(__xludf.DUMMYFUNCTION("""COMPUTED_VALUE"""),46543.0)</f>
        <v>46543</v>
      </c>
      <c r="N138" s="78" t="str">
        <f>IFERROR(__xludf.DUMMYFUNCTION("""COMPUTED_VALUE"""),"27-Apartado")</f>
        <v>27-Apartado</v>
      </c>
      <c r="O138" s="159">
        <f>IFERROR(__xludf.DUMMYFUNCTION("""COMPUTED_VALUE"""),2291.0)</f>
        <v>2291</v>
      </c>
      <c r="P138" s="222" t="str">
        <f>IFERROR(__xludf.DUMMYFUNCTION("""COMPUTED_VALUE"""),"VIGENTE")</f>
        <v>VIGENTE</v>
      </c>
      <c r="Q138" s="8" t="str">
        <f t="shared" si="2"/>
        <v>--</v>
      </c>
      <c r="AB138" s="8">
        <f>IFERROR(__xludf.DUMMYFUNCTION("""COMPUTED_VALUE"""),2572.0)</f>
        <v>2572</v>
      </c>
      <c r="AC138" s="200"/>
      <c r="AE138" s="8">
        <f>IFERROR(__xludf.DUMMYFUNCTION("""COMPUTED_VALUE"""),2572.0)</f>
        <v>2572</v>
      </c>
    </row>
    <row r="139">
      <c r="A139" s="158"/>
      <c r="B139" s="220">
        <v>136.0</v>
      </c>
      <c r="C139" s="78">
        <f>IFERROR(__xludf.DUMMYFUNCTION("""COMPUTED_VALUE"""),3215.0)</f>
        <v>3215</v>
      </c>
      <c r="D139" s="221">
        <f>IFERROR(__xludf.DUMMYFUNCTION("""COMPUTED_VALUE"""),46654.0)</f>
        <v>46654</v>
      </c>
      <c r="E139" s="78" t="str">
        <f>IFERROR(__xludf.DUMMYFUNCTION("""COMPUTED_VALUE"""),"02-Medellin")</f>
        <v>02-Medellin</v>
      </c>
      <c r="F139" s="156">
        <f>IFERROR(__xludf.DUMMYFUNCTION("""COMPUTED_VALUE"""),46153.0)</f>
        <v>46153</v>
      </c>
      <c r="G139" s="159">
        <f>IFERROR(__xludf.DUMMYFUNCTION("""COMPUTED_VALUE"""),63.0)</f>
        <v>63</v>
      </c>
      <c r="H139" s="222" t="str">
        <f>IFERROR(__xludf.DUMMYFUNCTION("""COMPUTED_VALUE"""),"VIGENTE")</f>
        <v>VIGENTE</v>
      </c>
      <c r="I139" s="173" t="str">
        <f t="shared" si="1"/>
        <v>-</v>
      </c>
      <c r="J139" s="103"/>
      <c r="K139" s="220">
        <v>136.0</v>
      </c>
      <c r="L139" s="78">
        <f>IFERROR(__xludf.DUMMYFUNCTION("""COMPUTED_VALUE"""),2925.0)</f>
        <v>2925</v>
      </c>
      <c r="M139" s="221">
        <f>IFERROR(__xludf.DUMMYFUNCTION("""COMPUTED_VALUE"""),46318.0)</f>
        <v>46318</v>
      </c>
      <c r="N139" s="78" t="str">
        <f>IFERROR(__xludf.DUMMYFUNCTION("""COMPUTED_VALUE"""),"02-Medellin")</f>
        <v>02-Medellin</v>
      </c>
      <c r="O139" s="159">
        <f>IFERROR(__xludf.DUMMYFUNCTION("""COMPUTED_VALUE"""),2254.0)</f>
        <v>2254</v>
      </c>
      <c r="P139" s="222" t="str">
        <f>IFERROR(__xludf.DUMMYFUNCTION("""COMPUTED_VALUE"""),"VIGENTE")</f>
        <v>VIGENTE</v>
      </c>
      <c r="Q139" s="8" t="str">
        <f t="shared" si="2"/>
        <v>--</v>
      </c>
      <c r="AB139" s="8">
        <f>IFERROR(__xludf.DUMMYFUNCTION("""COMPUTED_VALUE"""),2852.0)</f>
        <v>2852</v>
      </c>
      <c r="AC139" s="200"/>
      <c r="AE139" s="8">
        <f>IFERROR(__xludf.DUMMYFUNCTION("""COMPUTED_VALUE"""),2852.0)</f>
        <v>2852</v>
      </c>
    </row>
    <row r="140">
      <c r="A140" s="158"/>
      <c r="B140" s="220">
        <v>137.0</v>
      </c>
      <c r="C140" s="78">
        <f>IFERROR(__xludf.DUMMYFUNCTION("""COMPUTED_VALUE"""),2919.0)</f>
        <v>2919</v>
      </c>
      <c r="D140" s="221">
        <f>IFERROR(__xludf.DUMMYFUNCTION("""COMPUTED_VALUE"""),46303.0)</f>
        <v>46303</v>
      </c>
      <c r="E140" s="78" t="str">
        <f>IFERROR(__xludf.DUMMYFUNCTION("""COMPUTED_VALUE"""),"MAYORCA")</f>
        <v>MAYORCA</v>
      </c>
      <c r="F140" s="156">
        <f>IFERROR(__xludf.DUMMYFUNCTION("""COMPUTED_VALUE"""),46153.0)</f>
        <v>46153</v>
      </c>
      <c r="G140" s="159">
        <f>IFERROR(__xludf.DUMMYFUNCTION("""COMPUTED_VALUE"""),63.0)</f>
        <v>63</v>
      </c>
      <c r="H140" s="222" t="str">
        <f>IFERROR(__xludf.DUMMYFUNCTION("""COMPUTED_VALUE"""),"VIGENTE")</f>
        <v>VIGENTE</v>
      </c>
      <c r="I140" s="173" t="str">
        <f t="shared" si="1"/>
        <v>-</v>
      </c>
      <c r="J140" s="103"/>
      <c r="K140" s="220">
        <v>137.0</v>
      </c>
      <c r="L140" s="78">
        <f>IFERROR(__xludf.DUMMYFUNCTION("""COMPUTED_VALUE"""),2860.0)</f>
        <v>2860</v>
      </c>
      <c r="M140" s="221">
        <f>IFERROR(__xludf.DUMMYFUNCTION("""COMPUTED_VALUE"""),46221.0)</f>
        <v>46221</v>
      </c>
      <c r="N140" s="78" t="str">
        <f>IFERROR(__xludf.DUMMYFUNCTION("""COMPUTED_VALUE"""),"02-Medellin")</f>
        <v>02-Medellin</v>
      </c>
      <c r="O140" s="159">
        <f>IFERROR(__xludf.DUMMYFUNCTION("""COMPUTED_VALUE"""),2254.0)</f>
        <v>2254</v>
      </c>
      <c r="P140" s="222" t="str">
        <f>IFERROR(__xludf.DUMMYFUNCTION("""COMPUTED_VALUE"""),"VIGENTE")</f>
        <v>VIGENTE</v>
      </c>
      <c r="Q140" s="8" t="str">
        <f t="shared" si="2"/>
        <v>--</v>
      </c>
      <c r="AB140" s="8">
        <f>IFERROR(__xludf.DUMMYFUNCTION("""COMPUTED_VALUE"""),3049.0)</f>
        <v>3049</v>
      </c>
      <c r="AC140" s="200"/>
      <c r="AE140" s="8">
        <f>IFERROR(__xludf.DUMMYFUNCTION("""COMPUTED_VALUE"""),3049.0)</f>
        <v>3049</v>
      </c>
    </row>
    <row r="141">
      <c r="A141" s="158"/>
      <c r="B141" s="220">
        <v>138.0</v>
      </c>
      <c r="C141" s="78">
        <f>IFERROR(__xludf.DUMMYFUNCTION("""COMPUTED_VALUE"""),2367.0)</f>
        <v>2367</v>
      </c>
      <c r="D141" s="221">
        <f>IFERROR(__xludf.DUMMYFUNCTION("""COMPUTED_VALUE"""),46522.0)</f>
        <v>46522</v>
      </c>
      <c r="E141" s="78" t="str">
        <f>IFERROR(__xludf.DUMMYFUNCTION("""COMPUTED_VALUE"""),"31-Copacabana QUIMICOS")</f>
        <v>31-Copacabana QUIMICOS</v>
      </c>
      <c r="F141" s="156">
        <f>IFERROR(__xludf.DUMMYFUNCTION("""COMPUTED_VALUE"""),46153.0)</f>
        <v>46153</v>
      </c>
      <c r="G141" s="159">
        <f>IFERROR(__xludf.DUMMYFUNCTION("""COMPUTED_VALUE"""),63.0)</f>
        <v>63</v>
      </c>
      <c r="H141" s="222" t="str">
        <f>IFERROR(__xludf.DUMMYFUNCTION("""COMPUTED_VALUE"""),"VIGENTE")</f>
        <v>VIGENTE</v>
      </c>
      <c r="I141" s="173" t="str">
        <f t="shared" si="1"/>
        <v>-</v>
      </c>
      <c r="J141" s="103"/>
      <c r="K141" s="220">
        <v>138.0</v>
      </c>
      <c r="L141" s="78">
        <f>IFERROR(__xludf.DUMMYFUNCTION("""COMPUTED_VALUE"""),2643.0)</f>
        <v>2643</v>
      </c>
      <c r="M141" s="221">
        <f>IFERROR(__xludf.DUMMYFUNCTION("""COMPUTED_VALUE"""),46259.0)</f>
        <v>46259</v>
      </c>
      <c r="N141" s="78" t="str">
        <f>IFERROR(__xludf.DUMMYFUNCTION("""COMPUTED_VALUE"""),"27-Apartado")</f>
        <v>27-Apartado</v>
      </c>
      <c r="O141" s="159">
        <f>IFERROR(__xludf.DUMMYFUNCTION("""COMPUTED_VALUE"""),2252.3)</f>
        <v>2252.3</v>
      </c>
      <c r="P141" s="222" t="str">
        <f>IFERROR(__xludf.DUMMYFUNCTION("""COMPUTED_VALUE"""),"VIGENTE")</f>
        <v>VIGENTE</v>
      </c>
      <c r="Q141" s="8" t="str">
        <f t="shared" si="2"/>
        <v>--</v>
      </c>
      <c r="AB141" s="8">
        <f>IFERROR(__xludf.DUMMYFUNCTION("""COMPUTED_VALUE"""),2681.0)</f>
        <v>2681</v>
      </c>
      <c r="AC141" s="200"/>
      <c r="AE141" s="8">
        <f>IFERROR(__xludf.DUMMYFUNCTION("""COMPUTED_VALUE"""),2681.0)</f>
        <v>2681</v>
      </c>
    </row>
    <row r="142">
      <c r="A142" s="158"/>
      <c r="B142" s="220">
        <v>139.0</v>
      </c>
      <c r="C142" s="78">
        <f>IFERROR(__xludf.DUMMYFUNCTION("""COMPUTED_VALUE"""),2910.0)</f>
        <v>2910</v>
      </c>
      <c r="D142" s="221">
        <f>IFERROR(__xludf.DUMMYFUNCTION("""COMPUTED_VALUE"""),46275.0)</f>
        <v>46275</v>
      </c>
      <c r="E142" s="78" t="str">
        <f>IFERROR(__xludf.DUMMYFUNCTION("""COMPUTED_VALUE"""),"24-Rionegro")</f>
        <v>24-Rionegro</v>
      </c>
      <c r="F142" s="156">
        <f>IFERROR(__xludf.DUMMYFUNCTION("""COMPUTED_VALUE"""),46154.0)</f>
        <v>46154</v>
      </c>
      <c r="G142" s="159">
        <f>IFERROR(__xludf.DUMMYFUNCTION("""COMPUTED_VALUE"""),62.0)</f>
        <v>62</v>
      </c>
      <c r="H142" s="222" t="str">
        <f>IFERROR(__xludf.DUMMYFUNCTION("""COMPUTED_VALUE"""),"VIGENTE")</f>
        <v>VIGENTE</v>
      </c>
      <c r="I142" s="173" t="str">
        <f t="shared" si="1"/>
        <v>-</v>
      </c>
      <c r="J142" s="103"/>
      <c r="K142" s="220">
        <v>139.0</v>
      </c>
      <c r="L142" s="78">
        <f>IFERROR(__xludf.DUMMYFUNCTION("""COMPUTED_VALUE"""),2849.0)</f>
        <v>2849</v>
      </c>
      <c r="M142" s="221">
        <f>IFERROR(__xludf.DUMMYFUNCTION("""COMPUTED_VALUE"""),46570.0)</f>
        <v>46570</v>
      </c>
      <c r="N142" s="78" t="str">
        <f>IFERROR(__xludf.DUMMYFUNCTION("""COMPUTED_VALUE"""),"24-Rionegro")</f>
        <v>24-Rionegro</v>
      </c>
      <c r="O142" s="159">
        <f>IFERROR(__xludf.DUMMYFUNCTION("""COMPUTED_VALUE"""),2245.0)</f>
        <v>2245</v>
      </c>
      <c r="P142" s="222" t="str">
        <f>IFERROR(__xludf.DUMMYFUNCTION("""COMPUTED_VALUE"""),"VIGENTE")</f>
        <v>VIGENTE</v>
      </c>
      <c r="Q142" s="8" t="str">
        <f t="shared" si="2"/>
        <v>--</v>
      </c>
      <c r="AC142" s="200"/>
      <c r="AE142" s="8"/>
    </row>
    <row r="143">
      <c r="A143" s="158"/>
      <c r="B143" s="220">
        <v>140.0</v>
      </c>
      <c r="C143" s="78">
        <f>IFERROR(__xludf.DUMMYFUNCTION("""COMPUTED_VALUE"""),2904.0)</f>
        <v>2904</v>
      </c>
      <c r="D143" s="221">
        <f>IFERROR(__xludf.DUMMYFUNCTION("""COMPUTED_VALUE"""),46275.0)</f>
        <v>46275</v>
      </c>
      <c r="E143" s="78" t="str">
        <f>IFERROR(__xludf.DUMMYFUNCTION("""COMPUTED_VALUE"""),"02-Medellin")</f>
        <v>02-Medellin</v>
      </c>
      <c r="F143" s="156">
        <f>IFERROR(__xludf.DUMMYFUNCTION("""COMPUTED_VALUE"""),46154.0)</f>
        <v>46154</v>
      </c>
      <c r="G143" s="159">
        <f>IFERROR(__xludf.DUMMYFUNCTION("""COMPUTED_VALUE"""),62.0)</f>
        <v>62</v>
      </c>
      <c r="H143" s="222" t="str">
        <f>IFERROR(__xludf.DUMMYFUNCTION("""COMPUTED_VALUE"""),"VIGENTE")</f>
        <v>VIGENTE</v>
      </c>
      <c r="I143" s="173" t="str">
        <f t="shared" si="1"/>
        <v>-</v>
      </c>
      <c r="J143" s="103"/>
      <c r="K143" s="220">
        <v>140.0</v>
      </c>
      <c r="L143" s="78">
        <f>IFERROR(__xludf.DUMMYFUNCTION("""COMPUTED_VALUE"""),2455.0)</f>
        <v>2455</v>
      </c>
      <c r="M143" s="221">
        <f>IFERROR(__xludf.DUMMYFUNCTION("""COMPUTED_VALUE"""),46298.0)</f>
        <v>46298</v>
      </c>
      <c r="N143" s="78" t="str">
        <f>IFERROR(__xludf.DUMMYFUNCTION("""COMPUTED_VALUE"""),"02-Medellin")</f>
        <v>02-Medellin</v>
      </c>
      <c r="O143" s="159">
        <f>IFERROR(__xludf.DUMMYFUNCTION("""COMPUTED_VALUE"""),2221.0)</f>
        <v>2221</v>
      </c>
      <c r="P143" s="222" t="str">
        <f>IFERROR(__xludf.DUMMYFUNCTION("""COMPUTED_VALUE"""),"VIGENTE")</f>
        <v>VIGENTE</v>
      </c>
      <c r="Q143" s="8" t="str">
        <f t="shared" si="2"/>
        <v>--</v>
      </c>
      <c r="AC143" s="200"/>
      <c r="AE143" s="8"/>
    </row>
    <row r="144">
      <c r="A144" s="158"/>
      <c r="B144" s="220">
        <v>141.0</v>
      </c>
      <c r="C144" s="78">
        <f>IFERROR(__xludf.DUMMYFUNCTION("""COMPUTED_VALUE"""),2681.0)</f>
        <v>2681</v>
      </c>
      <c r="D144" s="221">
        <f>IFERROR(__xludf.DUMMYFUNCTION("""COMPUTED_VALUE"""),46514.0)</f>
        <v>46514</v>
      </c>
      <c r="E144" s="78" t="str">
        <f>IFERROR(__xludf.DUMMYFUNCTION("""COMPUTED_VALUE"""),"27-Apartado")</f>
        <v>27-Apartado</v>
      </c>
      <c r="F144" s="156">
        <f>IFERROR(__xludf.DUMMYFUNCTION("""COMPUTED_VALUE"""),46154.0)</f>
        <v>46154</v>
      </c>
      <c r="G144" s="159">
        <f>IFERROR(__xludf.DUMMYFUNCTION("""COMPUTED_VALUE"""),62.0)</f>
        <v>62</v>
      </c>
      <c r="H144" s="222" t="str">
        <f>IFERROR(__xludf.DUMMYFUNCTION("""COMPUTED_VALUE"""),"VIGENTE")</f>
        <v>VIGENTE</v>
      </c>
      <c r="I144" s="173" t="str">
        <f t="shared" si="1"/>
        <v>-</v>
      </c>
      <c r="J144" s="103"/>
      <c r="K144" s="220">
        <v>141.0</v>
      </c>
      <c r="L144" s="78">
        <f>IFERROR(__xludf.DUMMYFUNCTION("""COMPUTED_VALUE"""),2188.0)</f>
        <v>2188</v>
      </c>
      <c r="M144" s="221">
        <f>IFERROR(__xludf.DUMMYFUNCTION("""COMPUTED_VALUE"""),46375.0)</f>
        <v>46375</v>
      </c>
      <c r="N144" s="78" t="str">
        <f>IFERROR(__xludf.DUMMYFUNCTION("""COMPUTED_VALUE"""),"BULTOS")</f>
        <v>BULTOS</v>
      </c>
      <c r="O144" s="159">
        <f>IFERROR(__xludf.DUMMYFUNCTION("""COMPUTED_VALUE"""),2220.7)</f>
        <v>2220.7</v>
      </c>
      <c r="P144" s="222" t="str">
        <f>IFERROR(__xludf.DUMMYFUNCTION("""COMPUTED_VALUE"""),"VIGENTE")</f>
        <v>VIGENTE</v>
      </c>
      <c r="Q144" s="8" t="str">
        <f t="shared" si="2"/>
        <v>--</v>
      </c>
      <c r="AC144" s="200"/>
      <c r="AE144" s="8"/>
    </row>
    <row r="145">
      <c r="A145" s="158"/>
      <c r="B145" s="220">
        <v>142.0</v>
      </c>
      <c r="C145" s="78">
        <f>IFERROR(__xludf.DUMMYFUNCTION("""COMPUTED_VALUE"""),2674.0)</f>
        <v>2674</v>
      </c>
      <c r="D145" s="221">
        <f>IFERROR(__xludf.DUMMYFUNCTION("""COMPUTED_VALUE"""),46507.0)</f>
        <v>46507</v>
      </c>
      <c r="E145" s="78" t="str">
        <f>IFERROR(__xludf.DUMMYFUNCTION("""COMPUTED_VALUE"""),"27-Apartado")</f>
        <v>27-Apartado</v>
      </c>
      <c r="F145" s="156">
        <f>IFERROR(__xludf.DUMMYFUNCTION("""COMPUTED_VALUE"""),46154.0)</f>
        <v>46154</v>
      </c>
      <c r="G145" s="159">
        <f>IFERROR(__xludf.DUMMYFUNCTION("""COMPUTED_VALUE"""),62.0)</f>
        <v>62</v>
      </c>
      <c r="H145" s="222" t="str">
        <f>IFERROR(__xludf.DUMMYFUNCTION("""COMPUTED_VALUE"""),"VIGENTE")</f>
        <v>VIGENTE</v>
      </c>
      <c r="I145" s="173" t="str">
        <f t="shared" si="1"/>
        <v>-</v>
      </c>
      <c r="J145" s="103"/>
      <c r="K145" s="220">
        <v>142.0</v>
      </c>
      <c r="L145" s="78">
        <f>IFERROR(__xludf.DUMMYFUNCTION("""COMPUTED_VALUE"""),2676.0)</f>
        <v>2676</v>
      </c>
      <c r="M145" s="221">
        <f>IFERROR(__xludf.DUMMYFUNCTION("""COMPUTED_VALUE"""),46502.0)</f>
        <v>46502</v>
      </c>
      <c r="N145" s="78" t="str">
        <f>IFERROR(__xludf.DUMMYFUNCTION("""COMPUTED_VALUE"""),"02-Medellin")</f>
        <v>02-Medellin</v>
      </c>
      <c r="O145" s="159">
        <f>IFERROR(__xludf.DUMMYFUNCTION("""COMPUTED_VALUE"""),2201.7)</f>
        <v>2201.7</v>
      </c>
      <c r="P145" s="222" t="str">
        <f>IFERROR(__xludf.DUMMYFUNCTION("""COMPUTED_VALUE"""),"VIGENTE")</f>
        <v>VIGENTE</v>
      </c>
      <c r="Q145" s="8" t="str">
        <f t="shared" si="2"/>
        <v>--</v>
      </c>
      <c r="AC145" s="200"/>
      <c r="AE145" s="8"/>
    </row>
    <row r="146">
      <c r="A146" s="158"/>
      <c r="B146" s="220">
        <v>143.0</v>
      </c>
      <c r="C146" s="78">
        <f>IFERROR(__xludf.DUMMYFUNCTION("""COMPUTED_VALUE"""),2640.0)</f>
        <v>2640</v>
      </c>
      <c r="D146" s="221">
        <f>IFERROR(__xludf.DUMMYFUNCTION("""COMPUTED_VALUE"""),46254.0)</f>
        <v>46254</v>
      </c>
      <c r="E146" s="78" t="str">
        <f>IFERROR(__xludf.DUMMYFUNCTION("""COMPUTED_VALUE"""),"27-Apartado")</f>
        <v>27-Apartado</v>
      </c>
      <c r="F146" s="156">
        <f>IFERROR(__xludf.DUMMYFUNCTION("""COMPUTED_VALUE"""),46154.0)</f>
        <v>46154</v>
      </c>
      <c r="G146" s="159">
        <f>IFERROR(__xludf.DUMMYFUNCTION("""COMPUTED_VALUE"""),62.0)</f>
        <v>62</v>
      </c>
      <c r="H146" s="222" t="str">
        <f>IFERROR(__xludf.DUMMYFUNCTION("""COMPUTED_VALUE"""),"VIGENTE")</f>
        <v>VIGENTE</v>
      </c>
      <c r="I146" s="173" t="str">
        <f t="shared" si="1"/>
        <v>-</v>
      </c>
      <c r="J146" s="103"/>
      <c r="K146" s="220">
        <v>143.0</v>
      </c>
      <c r="L146" s="78">
        <f>IFERROR(__xludf.DUMMYFUNCTION("""COMPUTED_VALUE"""),2438.0)</f>
        <v>2438</v>
      </c>
      <c r="M146" s="221">
        <f>IFERROR(__xludf.DUMMYFUNCTION("""COMPUTED_VALUE"""),46521.0)</f>
        <v>46521</v>
      </c>
      <c r="N146" s="78" t="str">
        <f>IFERROR(__xludf.DUMMYFUNCTION("""COMPUTED_VALUE"""),"02-Medellin")</f>
        <v>02-Medellin</v>
      </c>
      <c r="O146" s="159">
        <f>IFERROR(__xludf.DUMMYFUNCTION("""COMPUTED_VALUE"""),2192.4)</f>
        <v>2192.4</v>
      </c>
      <c r="P146" s="222" t="str">
        <f>IFERROR(__xludf.DUMMYFUNCTION("""COMPUTED_VALUE"""),"VIGENTE")</f>
        <v>VIGENTE</v>
      </c>
      <c r="Q146" s="8" t="str">
        <f t="shared" si="2"/>
        <v>--</v>
      </c>
      <c r="AC146" s="200"/>
      <c r="AE146" s="8"/>
    </row>
    <row r="147">
      <c r="A147" s="158"/>
      <c r="B147" s="220">
        <v>144.0</v>
      </c>
      <c r="C147" s="78">
        <f>IFERROR(__xludf.DUMMYFUNCTION("""COMPUTED_VALUE"""),2418.0)</f>
        <v>2418</v>
      </c>
      <c r="D147" s="221">
        <f>IFERROR(__xludf.DUMMYFUNCTION("""COMPUTED_VALUE"""),46520.0)</f>
        <v>46520</v>
      </c>
      <c r="E147" s="78" t="str">
        <f>IFERROR(__xludf.DUMMYFUNCTION("""COMPUTED_VALUE"""),"02-Medellin")</f>
        <v>02-Medellin</v>
      </c>
      <c r="F147" s="156">
        <f>IFERROR(__xludf.DUMMYFUNCTION("""COMPUTED_VALUE"""),46154.0)</f>
        <v>46154</v>
      </c>
      <c r="G147" s="159">
        <f>IFERROR(__xludf.DUMMYFUNCTION("""COMPUTED_VALUE"""),62.0)</f>
        <v>62</v>
      </c>
      <c r="H147" s="222" t="str">
        <f>IFERROR(__xludf.DUMMYFUNCTION("""COMPUTED_VALUE"""),"VIGENTE")</f>
        <v>VIGENTE</v>
      </c>
      <c r="I147" s="173" t="str">
        <f t="shared" si="1"/>
        <v>-</v>
      </c>
      <c r="J147" s="103"/>
      <c r="K147" s="220">
        <v>144.0</v>
      </c>
      <c r="L147" s="78">
        <f>IFERROR(__xludf.DUMMYFUNCTION("""COMPUTED_VALUE"""),3280.0)</f>
        <v>3280</v>
      </c>
      <c r="M147" s="221">
        <f>IFERROR(__xludf.DUMMYFUNCTION("""COMPUTED_VALUE"""),46668.0)</f>
        <v>46668</v>
      </c>
      <c r="N147" s="78" t="str">
        <f>IFERROR(__xludf.DUMMYFUNCTION("""COMPUTED_VALUE"""),"02-Medellin")</f>
        <v>02-Medellin</v>
      </c>
      <c r="O147" s="159">
        <f>IFERROR(__xludf.DUMMYFUNCTION("""COMPUTED_VALUE"""),2178.0)</f>
        <v>2178</v>
      </c>
      <c r="P147" s="222" t="str">
        <f>IFERROR(__xludf.DUMMYFUNCTION("""COMPUTED_VALUE"""),"VIGENTE")</f>
        <v>VIGENTE</v>
      </c>
      <c r="Q147" s="8" t="str">
        <f t="shared" si="2"/>
        <v>--</v>
      </c>
      <c r="AC147" s="200"/>
      <c r="AE147" s="8"/>
    </row>
    <row r="148">
      <c r="A148" s="158"/>
      <c r="B148" s="220">
        <v>145.0</v>
      </c>
      <c r="C148" s="78">
        <f>IFERROR(__xludf.DUMMYFUNCTION("""COMPUTED_VALUE"""),951.0)</f>
        <v>951</v>
      </c>
      <c r="D148" s="221">
        <f>IFERROR(__xludf.DUMMYFUNCTION("""COMPUTED_VALUE"""),46211.0)</f>
        <v>46211</v>
      </c>
      <c r="E148" s="78" t="str">
        <f>IFERROR(__xludf.DUMMYFUNCTION("""COMPUTED_VALUE"""),"02-Medellin")</f>
        <v>02-Medellin</v>
      </c>
      <c r="F148" s="156">
        <f>IFERROR(__xludf.DUMMYFUNCTION("""COMPUTED_VALUE"""),46154.0)</f>
        <v>46154</v>
      </c>
      <c r="G148" s="159">
        <f>IFERROR(__xludf.DUMMYFUNCTION("""COMPUTED_VALUE"""),62.0)</f>
        <v>62</v>
      </c>
      <c r="H148" s="222" t="str">
        <f>IFERROR(__xludf.DUMMYFUNCTION("""COMPUTED_VALUE"""),"VIGENTE")</f>
        <v>VIGENTE</v>
      </c>
      <c r="I148" s="173" t="str">
        <f t="shared" si="1"/>
        <v>-</v>
      </c>
      <c r="J148" s="103"/>
      <c r="K148" s="220">
        <v>145.0</v>
      </c>
      <c r="L148" s="78">
        <f>IFERROR(__xludf.DUMMYFUNCTION("""COMPUTED_VALUE"""),2673.0)</f>
        <v>2673</v>
      </c>
      <c r="M148" s="221">
        <f>IFERROR(__xludf.DUMMYFUNCTION("""COMPUTED_VALUE"""),46516.0)</f>
        <v>46516</v>
      </c>
      <c r="N148" s="78" t="str">
        <f>IFERROR(__xludf.DUMMYFUNCTION("""COMPUTED_VALUE"""),"02-Medellin")</f>
        <v>02-Medellin</v>
      </c>
      <c r="O148" s="159">
        <f>IFERROR(__xludf.DUMMYFUNCTION("""COMPUTED_VALUE"""),2166.4)</f>
        <v>2166.4</v>
      </c>
      <c r="P148" s="222" t="str">
        <f>IFERROR(__xludf.DUMMYFUNCTION("""COMPUTED_VALUE"""),"VIGENTE")</f>
        <v>VIGENTE</v>
      </c>
      <c r="Q148" s="8" t="str">
        <f t="shared" si="2"/>
        <v>--</v>
      </c>
      <c r="AC148" s="200"/>
      <c r="AE148" s="8"/>
    </row>
    <row r="149">
      <c r="A149" s="158"/>
      <c r="B149" s="220">
        <v>146.0</v>
      </c>
      <c r="C149" s="78">
        <f>IFERROR(__xludf.DUMMYFUNCTION("""COMPUTED_VALUE"""),3283.0)</f>
        <v>3283</v>
      </c>
      <c r="D149" s="221">
        <f>IFERROR(__xludf.DUMMYFUNCTION("""COMPUTED_VALUE"""),46668.0)</f>
        <v>46668</v>
      </c>
      <c r="E149" s="78" t="str">
        <f>IFERROR(__xludf.DUMMYFUNCTION("""COMPUTED_VALUE"""),"02-Medellin")</f>
        <v>02-Medellin</v>
      </c>
      <c r="F149" s="156">
        <f>IFERROR(__xludf.DUMMYFUNCTION("""COMPUTED_VALUE"""),46155.0)</f>
        <v>46155</v>
      </c>
      <c r="G149" s="159">
        <f>IFERROR(__xludf.DUMMYFUNCTION("""COMPUTED_VALUE"""),61.0)</f>
        <v>61</v>
      </c>
      <c r="H149" s="222" t="str">
        <f>IFERROR(__xludf.DUMMYFUNCTION("""COMPUTED_VALUE"""),"VIGENTE")</f>
        <v>VIGENTE</v>
      </c>
      <c r="I149" s="173" t="str">
        <f t="shared" si="1"/>
        <v>-</v>
      </c>
      <c r="J149" s="103"/>
      <c r="K149" s="220">
        <v>146.0</v>
      </c>
      <c r="L149" s="78">
        <f>IFERROR(__xludf.DUMMYFUNCTION("""COMPUTED_VALUE"""),2179.0)</f>
        <v>2179</v>
      </c>
      <c r="M149" s="221">
        <f>IFERROR(__xludf.DUMMYFUNCTION("""COMPUTED_VALUE"""),46383.0)</f>
        <v>46383</v>
      </c>
      <c r="N149" s="78" t="str">
        <f>IFERROR(__xludf.DUMMYFUNCTION("""COMPUTED_VALUE"""),"02-Medellin")</f>
        <v>02-Medellin</v>
      </c>
      <c r="O149" s="159">
        <f>IFERROR(__xludf.DUMMYFUNCTION("""COMPUTED_VALUE"""),2148.1)</f>
        <v>2148.1</v>
      </c>
      <c r="P149" s="222" t="str">
        <f>IFERROR(__xludf.DUMMYFUNCTION("""COMPUTED_VALUE"""),"VIGENTE")</f>
        <v>VIGENTE</v>
      </c>
      <c r="Q149" s="8" t="str">
        <f t="shared" si="2"/>
        <v>--</v>
      </c>
      <c r="AC149" s="200"/>
      <c r="AE149" s="8"/>
    </row>
    <row r="150">
      <c r="A150" s="158"/>
      <c r="B150" s="220">
        <v>147.0</v>
      </c>
      <c r="C150" s="78">
        <f>IFERROR(__xludf.DUMMYFUNCTION("""COMPUTED_VALUE"""),3282.0)</f>
        <v>3282</v>
      </c>
      <c r="D150" s="221">
        <f>IFERROR(__xludf.DUMMYFUNCTION("""COMPUTED_VALUE"""),46668.0)</f>
        <v>46668</v>
      </c>
      <c r="E150" s="78" t="str">
        <f>IFERROR(__xludf.DUMMYFUNCTION("""COMPUTED_VALUE"""),"02-Medellin")</f>
        <v>02-Medellin</v>
      </c>
      <c r="F150" s="156">
        <f>IFERROR(__xludf.DUMMYFUNCTION("""COMPUTED_VALUE"""),46155.0)</f>
        <v>46155</v>
      </c>
      <c r="G150" s="159">
        <f>IFERROR(__xludf.DUMMYFUNCTION("""COMPUTED_VALUE"""),61.0)</f>
        <v>61</v>
      </c>
      <c r="H150" s="222" t="str">
        <f>IFERROR(__xludf.DUMMYFUNCTION("""COMPUTED_VALUE"""),"VIGENTE")</f>
        <v>VIGENTE</v>
      </c>
      <c r="I150" s="173" t="str">
        <f t="shared" si="1"/>
        <v>-</v>
      </c>
      <c r="J150" s="103"/>
      <c r="K150" s="220">
        <v>147.0</v>
      </c>
      <c r="L150" s="78">
        <f>IFERROR(__xludf.DUMMYFUNCTION("""COMPUTED_VALUE"""),3214.0)</f>
        <v>3214</v>
      </c>
      <c r="M150" s="221">
        <f>IFERROR(__xludf.DUMMYFUNCTION("""COMPUTED_VALUE"""),46654.0)</f>
        <v>46654</v>
      </c>
      <c r="N150" s="78" t="str">
        <f>IFERROR(__xludf.DUMMYFUNCTION("""COMPUTED_VALUE"""),"02-Medellin")</f>
        <v>02-Medellin</v>
      </c>
      <c r="O150" s="159">
        <f>IFERROR(__xludf.DUMMYFUNCTION("""COMPUTED_VALUE"""),2139.0)</f>
        <v>2139</v>
      </c>
      <c r="P150" s="222" t="str">
        <f>IFERROR(__xludf.DUMMYFUNCTION("""COMPUTED_VALUE"""),"VIGENTE")</f>
        <v>VIGENTE</v>
      </c>
      <c r="Q150" s="8" t="str">
        <f t="shared" si="2"/>
        <v>--</v>
      </c>
      <c r="AC150" s="200"/>
      <c r="AE150" s="8"/>
    </row>
    <row r="151">
      <c r="A151" s="158"/>
      <c r="B151" s="220">
        <v>148.0</v>
      </c>
      <c r="C151" s="78">
        <f>IFERROR(__xludf.DUMMYFUNCTION("""COMPUTED_VALUE"""),3198.0)</f>
        <v>3198</v>
      </c>
      <c r="D151" s="221">
        <f>IFERROR(__xludf.DUMMYFUNCTION("""COMPUTED_VALUE"""),46654.0)</f>
        <v>46654</v>
      </c>
      <c r="E151" s="78" t="str">
        <f>IFERROR(__xludf.DUMMYFUNCTION("""COMPUTED_VALUE"""),"31-Copacabana")</f>
        <v>31-Copacabana</v>
      </c>
      <c r="F151" s="156">
        <f>IFERROR(__xludf.DUMMYFUNCTION("""COMPUTED_VALUE"""),46155.0)</f>
        <v>46155</v>
      </c>
      <c r="G151" s="159">
        <f>IFERROR(__xludf.DUMMYFUNCTION("""COMPUTED_VALUE"""),61.0)</f>
        <v>61</v>
      </c>
      <c r="H151" s="222" t="str">
        <f>IFERROR(__xludf.DUMMYFUNCTION("""COMPUTED_VALUE"""),"VIGENTE")</f>
        <v>VIGENTE</v>
      </c>
      <c r="I151" s="173" t="str">
        <f t="shared" si="1"/>
        <v>-</v>
      </c>
      <c r="J151" s="103"/>
      <c r="K151" s="220">
        <v>148.0</v>
      </c>
      <c r="L151" s="78">
        <f>IFERROR(__xludf.DUMMYFUNCTION("""COMPUTED_VALUE"""),2680.0)</f>
        <v>2680</v>
      </c>
      <c r="M151" s="221">
        <f>IFERROR(__xludf.DUMMYFUNCTION("""COMPUTED_VALUE"""),46501.0)</f>
        <v>46501</v>
      </c>
      <c r="N151" s="78" t="str">
        <f>IFERROR(__xludf.DUMMYFUNCTION("""COMPUTED_VALUE"""),"BULTOS")</f>
        <v>BULTOS</v>
      </c>
      <c r="O151" s="159">
        <f>IFERROR(__xludf.DUMMYFUNCTION("""COMPUTED_VALUE"""),2138.4)</f>
        <v>2138.4</v>
      </c>
      <c r="P151" s="222" t="str">
        <f>IFERROR(__xludf.DUMMYFUNCTION("""COMPUTED_VALUE"""),"VIGENTE")</f>
        <v>VIGENTE</v>
      </c>
      <c r="Q151" s="8" t="str">
        <f t="shared" si="2"/>
        <v>--</v>
      </c>
      <c r="AC151" s="200"/>
      <c r="AE151" s="8"/>
    </row>
    <row r="152">
      <c r="A152" s="158"/>
      <c r="B152" s="220">
        <v>149.0</v>
      </c>
      <c r="C152" s="78">
        <f>IFERROR(__xludf.DUMMYFUNCTION("""COMPUTED_VALUE"""),2920.0)</f>
        <v>2920</v>
      </c>
      <c r="D152" s="221">
        <f>IFERROR(__xludf.DUMMYFUNCTION("""COMPUTED_VALUE"""),46317.0)</f>
        <v>46317</v>
      </c>
      <c r="E152" s="78" t="str">
        <f>IFERROR(__xludf.DUMMYFUNCTION("""COMPUTED_VALUE"""),"31-Copacabana")</f>
        <v>31-Copacabana</v>
      </c>
      <c r="F152" s="156">
        <f>IFERROR(__xludf.DUMMYFUNCTION("""COMPUTED_VALUE"""),46155.0)</f>
        <v>46155</v>
      </c>
      <c r="G152" s="159">
        <f>IFERROR(__xludf.DUMMYFUNCTION("""COMPUTED_VALUE"""),61.0)</f>
        <v>61</v>
      </c>
      <c r="H152" s="222" t="str">
        <f>IFERROR(__xludf.DUMMYFUNCTION("""COMPUTED_VALUE"""),"VIGENTE")</f>
        <v>VIGENTE</v>
      </c>
      <c r="I152" s="173" t="str">
        <f t="shared" si="1"/>
        <v>-</v>
      </c>
      <c r="J152" s="103"/>
      <c r="K152" s="220">
        <v>149.0</v>
      </c>
      <c r="L152" s="78">
        <f>IFERROR(__xludf.DUMMYFUNCTION("""COMPUTED_VALUE"""),2669.0)</f>
        <v>2669</v>
      </c>
      <c r="M152" s="221">
        <f>IFERROR(__xludf.DUMMYFUNCTION("""COMPUTED_VALUE"""),46511.0)</f>
        <v>46511</v>
      </c>
      <c r="N152" s="78" t="str">
        <f>IFERROR(__xludf.DUMMYFUNCTION("""COMPUTED_VALUE"""),"02-Medellin")</f>
        <v>02-Medellin</v>
      </c>
      <c r="O152" s="159">
        <f>IFERROR(__xludf.DUMMYFUNCTION("""COMPUTED_VALUE"""),2134.0)</f>
        <v>2134</v>
      </c>
      <c r="P152" s="222" t="str">
        <f>IFERROR(__xludf.DUMMYFUNCTION("""COMPUTED_VALUE"""),"VIGENTE")</f>
        <v>VIGENTE</v>
      </c>
      <c r="Q152" s="8" t="str">
        <f t="shared" si="2"/>
        <v>--</v>
      </c>
      <c r="AC152" s="200"/>
      <c r="AE152" s="8"/>
    </row>
    <row r="153">
      <c r="A153" s="158"/>
      <c r="B153" s="220">
        <v>150.0</v>
      </c>
      <c r="C153" s="78">
        <f>IFERROR(__xludf.DUMMYFUNCTION("""COMPUTED_VALUE"""),2883.0)</f>
        <v>2883</v>
      </c>
      <c r="D153" s="221">
        <f>IFERROR(__xludf.DUMMYFUNCTION("""COMPUTED_VALUE"""),46233.0)</f>
        <v>46233</v>
      </c>
      <c r="E153" s="78" t="str">
        <f>IFERROR(__xludf.DUMMYFUNCTION("""COMPUTED_VALUE"""),"MAYORCA")</f>
        <v>MAYORCA</v>
      </c>
      <c r="F153" s="156">
        <f>IFERROR(__xludf.DUMMYFUNCTION("""COMPUTED_VALUE"""),46155.0)</f>
        <v>46155</v>
      </c>
      <c r="G153" s="159">
        <f>IFERROR(__xludf.DUMMYFUNCTION("""COMPUTED_VALUE"""),61.0)</f>
        <v>61</v>
      </c>
      <c r="H153" s="222" t="str">
        <f>IFERROR(__xludf.DUMMYFUNCTION("""COMPUTED_VALUE"""),"VIGENTE")</f>
        <v>VIGENTE</v>
      </c>
      <c r="I153" s="173" t="str">
        <f t="shared" si="1"/>
        <v>-</v>
      </c>
      <c r="J153" s="103"/>
      <c r="K153" s="220">
        <v>150.0</v>
      </c>
      <c r="L153" s="78">
        <f>IFERROR(__xludf.DUMMYFUNCTION("""COMPUTED_VALUE"""),3231.0)</f>
        <v>3231</v>
      </c>
      <c r="M153" s="221">
        <f>IFERROR(__xludf.DUMMYFUNCTION("""COMPUTED_VALUE"""),46660.0)</f>
        <v>46660</v>
      </c>
      <c r="N153" s="78" t="str">
        <f>IFERROR(__xludf.DUMMYFUNCTION("""COMPUTED_VALUE"""),"02-Medellin")</f>
        <v>02-Medellin</v>
      </c>
      <c r="O153" s="159">
        <f>IFERROR(__xludf.DUMMYFUNCTION("""COMPUTED_VALUE"""),2123.0)</f>
        <v>2123</v>
      </c>
      <c r="P153" s="222" t="str">
        <f>IFERROR(__xludf.DUMMYFUNCTION("""COMPUTED_VALUE"""),"VIGENTE")</f>
        <v>VIGENTE</v>
      </c>
      <c r="Q153" s="8" t="str">
        <f t="shared" si="2"/>
        <v>--</v>
      </c>
      <c r="AC153" s="200"/>
      <c r="AE153" s="8"/>
    </row>
    <row r="154">
      <c r="A154" s="158"/>
      <c r="B154" s="220">
        <v>151.0</v>
      </c>
      <c r="C154" s="78">
        <f>IFERROR(__xludf.DUMMYFUNCTION("""COMPUTED_VALUE"""),3273.0)</f>
        <v>3273</v>
      </c>
      <c r="D154" s="221">
        <f>IFERROR(__xludf.DUMMYFUNCTION("""COMPUTED_VALUE"""),46668.0)</f>
        <v>46668</v>
      </c>
      <c r="E154" s="78" t="str">
        <f>IFERROR(__xludf.DUMMYFUNCTION("""COMPUTED_VALUE"""),"02-Medellin")</f>
        <v>02-Medellin</v>
      </c>
      <c r="F154" s="156">
        <f>IFERROR(__xludf.DUMMYFUNCTION("""COMPUTED_VALUE"""),46156.0)</f>
        <v>46156</v>
      </c>
      <c r="G154" s="159">
        <f>IFERROR(__xludf.DUMMYFUNCTION("""COMPUTED_VALUE"""),60.0)</f>
        <v>60</v>
      </c>
      <c r="H154" s="222" t="str">
        <f>IFERROR(__xludf.DUMMYFUNCTION("""COMPUTED_VALUE"""),"VIGENTE")</f>
        <v>VIGENTE</v>
      </c>
      <c r="I154" s="173" t="str">
        <f t="shared" si="1"/>
        <v>-</v>
      </c>
      <c r="J154" s="103"/>
      <c r="K154" s="220">
        <v>151.0</v>
      </c>
      <c r="L154" s="78">
        <f>IFERROR(__xludf.DUMMYFUNCTION("""COMPUTED_VALUE"""),2927.0)</f>
        <v>2927</v>
      </c>
      <c r="M154" s="221">
        <f>IFERROR(__xludf.DUMMYFUNCTION("""COMPUTED_VALUE"""),46318.0)</f>
        <v>46318</v>
      </c>
      <c r="N154" s="78" t="str">
        <f>IFERROR(__xludf.DUMMYFUNCTION("""COMPUTED_VALUE"""),"02-Medellin")</f>
        <v>02-Medellin</v>
      </c>
      <c r="O154" s="159">
        <f>IFERROR(__xludf.DUMMYFUNCTION("""COMPUTED_VALUE"""),2119.0)</f>
        <v>2119</v>
      </c>
      <c r="P154" s="222" t="str">
        <f>IFERROR(__xludf.DUMMYFUNCTION("""COMPUTED_VALUE"""),"VIGENTE")</f>
        <v>VIGENTE</v>
      </c>
      <c r="Q154" s="8" t="str">
        <f t="shared" si="2"/>
        <v>--</v>
      </c>
      <c r="AC154" s="200"/>
      <c r="AE154" s="8"/>
    </row>
    <row r="155">
      <c r="A155" s="158"/>
      <c r="B155" s="220">
        <v>152.0</v>
      </c>
      <c r="C155" s="78">
        <f>IFERROR(__xludf.DUMMYFUNCTION("""COMPUTED_VALUE"""),3219.0)</f>
        <v>3219</v>
      </c>
      <c r="D155" s="221">
        <f>IFERROR(__xludf.DUMMYFUNCTION("""COMPUTED_VALUE"""),46654.0)</f>
        <v>46654</v>
      </c>
      <c r="E155" s="78" t="str">
        <f>IFERROR(__xludf.DUMMYFUNCTION("""COMPUTED_VALUE"""),"02-Medellin")</f>
        <v>02-Medellin</v>
      </c>
      <c r="F155" s="156">
        <f>IFERROR(__xludf.DUMMYFUNCTION("""COMPUTED_VALUE"""),46156.0)</f>
        <v>46156</v>
      </c>
      <c r="G155" s="159">
        <f>IFERROR(__xludf.DUMMYFUNCTION("""COMPUTED_VALUE"""),60.0)</f>
        <v>60</v>
      </c>
      <c r="H155" s="222" t="str">
        <f>IFERROR(__xludf.DUMMYFUNCTION("""COMPUTED_VALUE"""),"VIGENTE")</f>
        <v>VIGENTE</v>
      </c>
      <c r="I155" s="173" t="str">
        <f t="shared" si="1"/>
        <v>-</v>
      </c>
      <c r="J155" s="103"/>
      <c r="K155" s="220">
        <v>152.0</v>
      </c>
      <c r="L155" s="78">
        <f>IFERROR(__xludf.DUMMYFUNCTION("""COMPUTED_VALUE"""),2904.0)</f>
        <v>2904</v>
      </c>
      <c r="M155" s="221">
        <f>IFERROR(__xludf.DUMMYFUNCTION("""COMPUTED_VALUE"""),46275.0)</f>
        <v>46275</v>
      </c>
      <c r="N155" s="78" t="str">
        <f>IFERROR(__xludf.DUMMYFUNCTION("""COMPUTED_VALUE"""),"02-Medellin")</f>
        <v>02-Medellin</v>
      </c>
      <c r="O155" s="159">
        <f>IFERROR(__xludf.DUMMYFUNCTION("""COMPUTED_VALUE"""),2095.0)</f>
        <v>2095</v>
      </c>
      <c r="P155" s="222" t="str">
        <f>IFERROR(__xludf.DUMMYFUNCTION("""COMPUTED_VALUE"""),"VIGENTE")</f>
        <v>VIGENTE</v>
      </c>
      <c r="Q155" s="8" t="str">
        <f t="shared" si="2"/>
        <v>--</v>
      </c>
      <c r="AC155" s="200"/>
      <c r="AE155" s="8"/>
    </row>
    <row r="156">
      <c r="A156" s="158"/>
      <c r="B156" s="220">
        <v>153.0</v>
      </c>
      <c r="C156" s="78">
        <f>IFERROR(__xludf.DUMMYFUNCTION("""COMPUTED_VALUE"""),3216.0)</f>
        <v>3216</v>
      </c>
      <c r="D156" s="221">
        <f>IFERROR(__xludf.DUMMYFUNCTION("""COMPUTED_VALUE"""),46654.0)</f>
        <v>46654</v>
      </c>
      <c r="E156" s="78" t="str">
        <f>IFERROR(__xludf.DUMMYFUNCTION("""COMPUTED_VALUE"""),"02-Medellin")</f>
        <v>02-Medellin</v>
      </c>
      <c r="F156" s="156">
        <f>IFERROR(__xludf.DUMMYFUNCTION("""COMPUTED_VALUE"""),46156.0)</f>
        <v>46156</v>
      </c>
      <c r="G156" s="159">
        <f>IFERROR(__xludf.DUMMYFUNCTION("""COMPUTED_VALUE"""),60.0)</f>
        <v>60</v>
      </c>
      <c r="H156" s="222" t="str">
        <f>IFERROR(__xludf.DUMMYFUNCTION("""COMPUTED_VALUE"""),"VIGENTE")</f>
        <v>VIGENTE</v>
      </c>
      <c r="I156" s="173" t="str">
        <f t="shared" si="1"/>
        <v>-</v>
      </c>
      <c r="J156" s="103"/>
      <c r="K156" s="220">
        <v>153.0</v>
      </c>
      <c r="L156" s="78">
        <f>IFERROR(__xludf.DUMMYFUNCTION("""COMPUTED_VALUE"""),2194.0)</f>
        <v>2194</v>
      </c>
      <c r="M156" s="221">
        <f>IFERROR(__xludf.DUMMYFUNCTION("""COMPUTED_VALUE"""),46530.0)</f>
        <v>46530</v>
      </c>
      <c r="N156" s="78" t="str">
        <f>IFERROR(__xludf.DUMMYFUNCTION("""COMPUTED_VALUE"""),"02-Medellin")</f>
        <v>02-Medellin</v>
      </c>
      <c r="O156" s="159">
        <f>IFERROR(__xludf.DUMMYFUNCTION("""COMPUTED_VALUE"""),2081.0)</f>
        <v>2081</v>
      </c>
      <c r="P156" s="222" t="str">
        <f>IFERROR(__xludf.DUMMYFUNCTION("""COMPUTED_VALUE"""),"VIGENTE")</f>
        <v>VIGENTE</v>
      </c>
      <c r="Q156" s="8" t="str">
        <f t="shared" si="2"/>
        <v>--</v>
      </c>
      <c r="AC156" s="200"/>
      <c r="AE156" s="8"/>
    </row>
    <row r="157">
      <c r="A157" s="158"/>
      <c r="B157" s="220">
        <v>154.0</v>
      </c>
      <c r="C157" s="78">
        <f>IFERROR(__xludf.DUMMYFUNCTION("""COMPUTED_VALUE"""),3213.0)</f>
        <v>3213</v>
      </c>
      <c r="D157" s="221">
        <f>IFERROR(__xludf.DUMMYFUNCTION("""COMPUTED_VALUE"""),46654.0)</f>
        <v>46654</v>
      </c>
      <c r="E157" s="78" t="str">
        <f>IFERROR(__xludf.DUMMYFUNCTION("""COMPUTED_VALUE"""),"02-Medellin")</f>
        <v>02-Medellin</v>
      </c>
      <c r="F157" s="156">
        <f>IFERROR(__xludf.DUMMYFUNCTION("""COMPUTED_VALUE"""),46156.0)</f>
        <v>46156</v>
      </c>
      <c r="G157" s="159">
        <f>IFERROR(__xludf.DUMMYFUNCTION("""COMPUTED_VALUE"""),60.0)</f>
        <v>60</v>
      </c>
      <c r="H157" s="222" t="str">
        <f>IFERROR(__xludf.DUMMYFUNCTION("""COMPUTED_VALUE"""),"VIGENTE")</f>
        <v>VIGENTE</v>
      </c>
      <c r="I157" s="173" t="str">
        <f t="shared" si="1"/>
        <v>-</v>
      </c>
      <c r="J157" s="103"/>
      <c r="K157" s="220">
        <v>154.0</v>
      </c>
      <c r="L157" s="78">
        <f>IFERROR(__xludf.DUMMYFUNCTION("""COMPUTED_VALUE"""),2385.0)</f>
        <v>2385</v>
      </c>
      <c r="M157" s="221">
        <f>IFERROR(__xludf.DUMMYFUNCTION("""COMPUTED_VALUE"""),46463.0)</f>
        <v>46463</v>
      </c>
      <c r="N157" s="78" t="str">
        <f>IFERROR(__xludf.DUMMYFUNCTION("""COMPUTED_VALUE"""),"02-Medellin")</f>
        <v>02-Medellin</v>
      </c>
      <c r="O157" s="159">
        <f>IFERROR(__xludf.DUMMYFUNCTION("""COMPUTED_VALUE"""),2051.9)</f>
        <v>2051.9</v>
      </c>
      <c r="P157" s="222" t="str">
        <f>IFERROR(__xludf.DUMMYFUNCTION("""COMPUTED_VALUE"""),"VIGENTE")</f>
        <v>VIGENTE</v>
      </c>
      <c r="Q157" s="8" t="str">
        <f t="shared" si="2"/>
        <v>--</v>
      </c>
      <c r="AC157" s="200"/>
      <c r="AE157" s="8"/>
    </row>
    <row r="158">
      <c r="A158" s="158"/>
      <c r="B158" s="220">
        <v>155.0</v>
      </c>
      <c r="C158" s="78">
        <f>IFERROR(__xludf.DUMMYFUNCTION("""COMPUTED_VALUE"""),2643.0)</f>
        <v>2643</v>
      </c>
      <c r="D158" s="221">
        <f>IFERROR(__xludf.DUMMYFUNCTION("""COMPUTED_VALUE"""),46259.0)</f>
        <v>46259</v>
      </c>
      <c r="E158" s="78" t="str">
        <f>IFERROR(__xludf.DUMMYFUNCTION("""COMPUTED_VALUE"""),"27-Apartado")</f>
        <v>27-Apartado</v>
      </c>
      <c r="F158" s="156">
        <f>IFERROR(__xludf.DUMMYFUNCTION("""COMPUTED_VALUE"""),46156.0)</f>
        <v>46156</v>
      </c>
      <c r="G158" s="159">
        <f>IFERROR(__xludf.DUMMYFUNCTION("""COMPUTED_VALUE"""),60.0)</f>
        <v>60</v>
      </c>
      <c r="H158" s="222" t="str">
        <f>IFERROR(__xludf.DUMMYFUNCTION("""COMPUTED_VALUE"""),"VIGENTE")</f>
        <v>VIGENTE</v>
      </c>
      <c r="I158" s="173" t="str">
        <f t="shared" si="1"/>
        <v>-</v>
      </c>
      <c r="J158" s="103"/>
      <c r="K158" s="220">
        <v>155.0</v>
      </c>
      <c r="L158" s="78">
        <f>IFERROR(__xludf.DUMMYFUNCTION("""COMPUTED_VALUE"""),2400.0)</f>
        <v>2400</v>
      </c>
      <c r="M158" s="221">
        <f>IFERROR(__xludf.DUMMYFUNCTION("""COMPUTED_VALUE"""),46542.0)</f>
        <v>46542</v>
      </c>
      <c r="N158" s="78" t="str">
        <f>IFERROR(__xludf.DUMMYFUNCTION("""COMPUTED_VALUE"""),"MAYORCA")</f>
        <v>MAYORCA</v>
      </c>
      <c r="O158" s="159">
        <f>IFERROR(__xludf.DUMMYFUNCTION("""COMPUTED_VALUE"""),2039.8)</f>
        <v>2039.8</v>
      </c>
      <c r="P158" s="222" t="str">
        <f>IFERROR(__xludf.DUMMYFUNCTION("""COMPUTED_VALUE"""),"VIGENTE")</f>
        <v>VIGENTE</v>
      </c>
      <c r="Q158" s="8" t="str">
        <f t="shared" si="2"/>
        <v>--</v>
      </c>
      <c r="AC158" s="200"/>
      <c r="AE158" s="8"/>
    </row>
    <row r="159">
      <c r="A159" s="158"/>
      <c r="B159" s="220">
        <v>156.0</v>
      </c>
      <c r="C159" s="78">
        <f>IFERROR(__xludf.DUMMYFUNCTION("""COMPUTED_VALUE"""),2635.0)</f>
        <v>2635</v>
      </c>
      <c r="D159" s="221">
        <f>IFERROR(__xludf.DUMMYFUNCTION("""COMPUTED_VALUE"""),46254.0)</f>
        <v>46254</v>
      </c>
      <c r="E159" s="78" t="str">
        <f>IFERROR(__xludf.DUMMYFUNCTION("""COMPUTED_VALUE"""),"02-Medellin")</f>
        <v>02-Medellin</v>
      </c>
      <c r="F159" s="156">
        <f>IFERROR(__xludf.DUMMYFUNCTION("""COMPUTED_VALUE"""),46156.0)</f>
        <v>46156</v>
      </c>
      <c r="G159" s="159">
        <f>IFERROR(__xludf.DUMMYFUNCTION("""COMPUTED_VALUE"""),60.0)</f>
        <v>60</v>
      </c>
      <c r="H159" s="222" t="str">
        <f>IFERROR(__xludf.DUMMYFUNCTION("""COMPUTED_VALUE"""),"VIGENTE")</f>
        <v>VIGENTE</v>
      </c>
      <c r="I159" s="173" t="str">
        <f t="shared" si="1"/>
        <v>-</v>
      </c>
      <c r="J159" s="103"/>
      <c r="K159" s="220">
        <v>156.0</v>
      </c>
      <c r="L159" s="78">
        <f>IFERROR(__xludf.DUMMYFUNCTION("""COMPUTED_VALUE"""),2858.0)</f>
        <v>2858</v>
      </c>
      <c r="M159" s="221">
        <f>IFERROR(__xludf.DUMMYFUNCTION("""COMPUTED_VALUE"""),46215.0)</f>
        <v>46215</v>
      </c>
      <c r="N159" s="78" t="str">
        <f>IFERROR(__xludf.DUMMYFUNCTION("""COMPUTED_VALUE"""),"MAYORCA")</f>
        <v>MAYORCA</v>
      </c>
      <c r="O159" s="159">
        <f>IFERROR(__xludf.DUMMYFUNCTION("""COMPUTED_VALUE"""),2025.0)</f>
        <v>2025</v>
      </c>
      <c r="P159" s="222" t="str">
        <f>IFERROR(__xludf.DUMMYFUNCTION("""COMPUTED_VALUE"""),"VIGENTE")</f>
        <v>VIGENTE</v>
      </c>
      <c r="Q159" s="8" t="str">
        <f t="shared" si="2"/>
        <v>--</v>
      </c>
      <c r="AC159" s="200"/>
      <c r="AE159" s="8"/>
    </row>
    <row r="160">
      <c r="A160" s="158"/>
      <c r="B160" s="220">
        <v>157.0</v>
      </c>
      <c r="C160" s="78">
        <f>IFERROR(__xludf.DUMMYFUNCTION("""COMPUTED_VALUE"""),2628.0)</f>
        <v>2628</v>
      </c>
      <c r="D160" s="221">
        <f>IFERROR(__xludf.DUMMYFUNCTION("""COMPUTED_VALUE"""),46269.0)</f>
        <v>46269</v>
      </c>
      <c r="E160" s="78" t="str">
        <f>IFERROR(__xludf.DUMMYFUNCTION("""COMPUTED_VALUE"""),"38-La ceja")</f>
        <v>38-La ceja</v>
      </c>
      <c r="F160" s="156">
        <f>IFERROR(__xludf.DUMMYFUNCTION("""COMPUTED_VALUE"""),46156.0)</f>
        <v>46156</v>
      </c>
      <c r="G160" s="159">
        <f>IFERROR(__xludf.DUMMYFUNCTION("""COMPUTED_VALUE"""),60.0)</f>
        <v>60</v>
      </c>
      <c r="H160" s="222" t="str">
        <f>IFERROR(__xludf.DUMMYFUNCTION("""COMPUTED_VALUE"""),"VIGENTE")</f>
        <v>VIGENTE</v>
      </c>
      <c r="I160" s="173" t="str">
        <f t="shared" si="1"/>
        <v>-</v>
      </c>
      <c r="J160" s="103"/>
      <c r="K160" s="220">
        <v>157.0</v>
      </c>
      <c r="L160" s="78">
        <f>IFERROR(__xludf.DUMMYFUNCTION("""COMPUTED_VALUE"""),3213.0)</f>
        <v>3213</v>
      </c>
      <c r="M160" s="221">
        <f>IFERROR(__xludf.DUMMYFUNCTION("""COMPUTED_VALUE"""),46654.0)</f>
        <v>46654</v>
      </c>
      <c r="N160" s="78" t="str">
        <f>IFERROR(__xludf.DUMMYFUNCTION("""COMPUTED_VALUE"""),"02-Medellin")</f>
        <v>02-Medellin</v>
      </c>
      <c r="O160" s="159">
        <f>IFERROR(__xludf.DUMMYFUNCTION("""COMPUTED_VALUE"""),2011.0)</f>
        <v>2011</v>
      </c>
      <c r="P160" s="222" t="str">
        <f>IFERROR(__xludf.DUMMYFUNCTION("""COMPUTED_VALUE"""),"VIGENTE")</f>
        <v>VIGENTE</v>
      </c>
      <c r="Q160" s="8" t="str">
        <f t="shared" si="2"/>
        <v>--</v>
      </c>
      <c r="AC160" s="200"/>
      <c r="AE160" s="8"/>
    </row>
    <row r="161">
      <c r="A161" s="158"/>
      <c r="B161" s="220">
        <v>158.0</v>
      </c>
      <c r="C161" s="78">
        <f>IFERROR(__xludf.DUMMYFUNCTION("""COMPUTED_VALUE"""),2422.0)</f>
        <v>2422</v>
      </c>
      <c r="D161" s="221">
        <f>IFERROR(__xludf.DUMMYFUNCTION("""COMPUTED_VALUE"""),46471.0)</f>
        <v>46471</v>
      </c>
      <c r="E161" s="78" t="str">
        <f>IFERROR(__xludf.DUMMYFUNCTION("""COMPUTED_VALUE"""),"31-Copacabana QUIMICOS")</f>
        <v>31-Copacabana QUIMICOS</v>
      </c>
      <c r="F161" s="156">
        <f>IFERROR(__xludf.DUMMYFUNCTION("""COMPUTED_VALUE"""),46156.0)</f>
        <v>46156</v>
      </c>
      <c r="G161" s="159">
        <f>IFERROR(__xludf.DUMMYFUNCTION("""COMPUTED_VALUE"""),60.0)</f>
        <v>60</v>
      </c>
      <c r="H161" s="222" t="str">
        <f>IFERROR(__xludf.DUMMYFUNCTION("""COMPUTED_VALUE"""),"VIGENTE")</f>
        <v>VIGENTE</v>
      </c>
      <c r="I161" s="173" t="str">
        <f t="shared" si="1"/>
        <v>-</v>
      </c>
      <c r="J161" s="103"/>
      <c r="K161" s="220">
        <v>158.0</v>
      </c>
      <c r="L161" s="78">
        <f>IFERROR(__xludf.DUMMYFUNCTION("""COMPUTED_VALUE"""),3219.0)</f>
        <v>3219</v>
      </c>
      <c r="M161" s="221">
        <f>IFERROR(__xludf.DUMMYFUNCTION("""COMPUTED_VALUE"""),46654.0)</f>
        <v>46654</v>
      </c>
      <c r="N161" s="78" t="str">
        <f>IFERROR(__xludf.DUMMYFUNCTION("""COMPUTED_VALUE"""),"02-Medellin")</f>
        <v>02-Medellin</v>
      </c>
      <c r="O161" s="159">
        <f>IFERROR(__xludf.DUMMYFUNCTION("""COMPUTED_VALUE"""),2004.0)</f>
        <v>2004</v>
      </c>
      <c r="P161" s="222" t="str">
        <f>IFERROR(__xludf.DUMMYFUNCTION("""COMPUTED_VALUE"""),"VIGENTE")</f>
        <v>VIGENTE</v>
      </c>
      <c r="Q161" s="8" t="str">
        <f t="shared" si="2"/>
        <v>--</v>
      </c>
      <c r="AC161" s="200"/>
      <c r="AE161" s="8"/>
    </row>
    <row r="162">
      <c r="A162" s="158"/>
      <c r="B162" s="220">
        <v>159.0</v>
      </c>
      <c r="C162" s="78">
        <f>IFERROR(__xludf.DUMMYFUNCTION("""COMPUTED_VALUE"""),2204.0)</f>
        <v>2204</v>
      </c>
      <c r="D162" s="221">
        <f>IFERROR(__xludf.DUMMYFUNCTION("""COMPUTED_VALUE"""),46523.0)</f>
        <v>46523</v>
      </c>
      <c r="E162" s="78" t="str">
        <f>IFERROR(__xludf.DUMMYFUNCTION("""COMPUTED_VALUE"""),"BULTOS")</f>
        <v>BULTOS</v>
      </c>
      <c r="F162" s="156">
        <f>IFERROR(__xludf.DUMMYFUNCTION("""COMPUTED_VALUE"""),46156.0)</f>
        <v>46156</v>
      </c>
      <c r="G162" s="159">
        <f>IFERROR(__xludf.DUMMYFUNCTION("""COMPUTED_VALUE"""),60.0)</f>
        <v>60</v>
      </c>
      <c r="H162" s="222" t="str">
        <f>IFERROR(__xludf.DUMMYFUNCTION("""COMPUTED_VALUE"""),"VIGENTE")</f>
        <v>VIGENTE</v>
      </c>
      <c r="I162" s="173" t="str">
        <f t="shared" si="1"/>
        <v>-</v>
      </c>
      <c r="J162" s="103"/>
      <c r="K162" s="220">
        <v>159.0</v>
      </c>
      <c r="L162" s="78">
        <f>IFERROR(__xludf.DUMMYFUNCTION("""COMPUTED_VALUE"""),2678.0)</f>
        <v>2678</v>
      </c>
      <c r="M162" s="221">
        <f>IFERROR(__xludf.DUMMYFUNCTION("""COMPUTED_VALUE"""),46500.0)</f>
        <v>46500</v>
      </c>
      <c r="N162" s="78" t="str">
        <f>IFERROR(__xludf.DUMMYFUNCTION("""COMPUTED_VALUE"""),"MAYORCA")</f>
        <v>MAYORCA</v>
      </c>
      <c r="O162" s="159">
        <f>IFERROR(__xludf.DUMMYFUNCTION("""COMPUTED_VALUE"""),1976.6)</f>
        <v>1976.6</v>
      </c>
      <c r="P162" s="222" t="str">
        <f>IFERROR(__xludf.DUMMYFUNCTION("""COMPUTED_VALUE"""),"VIGENTE")</f>
        <v>VIGENTE</v>
      </c>
      <c r="Q162" s="8" t="str">
        <f t="shared" si="2"/>
        <v>--</v>
      </c>
      <c r="AC162" s="200"/>
      <c r="AE162" s="8"/>
    </row>
    <row r="163">
      <c r="A163" s="158"/>
      <c r="B163" s="220">
        <v>160.0</v>
      </c>
      <c r="C163" s="78">
        <f>IFERROR(__xludf.DUMMYFUNCTION("""COMPUTED_VALUE"""),481.0)</f>
        <v>481</v>
      </c>
      <c r="D163" s="221">
        <f>IFERROR(__xludf.DUMMYFUNCTION("""COMPUTED_VALUE"""),46287.0)</f>
        <v>46287</v>
      </c>
      <c r="E163" s="78" t="str">
        <f>IFERROR(__xludf.DUMMYFUNCTION("""COMPUTED_VALUE"""),"02-Medellin")</f>
        <v>02-Medellin</v>
      </c>
      <c r="F163" s="156">
        <f>IFERROR(__xludf.DUMMYFUNCTION("""COMPUTED_VALUE"""),46156.0)</f>
        <v>46156</v>
      </c>
      <c r="G163" s="159">
        <f>IFERROR(__xludf.DUMMYFUNCTION("""COMPUTED_VALUE"""),60.0)</f>
        <v>60</v>
      </c>
      <c r="H163" s="222" t="str">
        <f>IFERROR(__xludf.DUMMYFUNCTION("""COMPUTED_VALUE"""),"VIGENTE")</f>
        <v>VIGENTE</v>
      </c>
      <c r="I163" s="173" t="str">
        <f t="shared" si="1"/>
        <v>-</v>
      </c>
      <c r="J163" s="103"/>
      <c r="K163" s="220">
        <v>160.0</v>
      </c>
      <c r="L163" s="78">
        <f>IFERROR(__xludf.DUMMYFUNCTION("""COMPUTED_VALUE"""),3252.0)</f>
        <v>3252</v>
      </c>
      <c r="M163" s="221">
        <f>IFERROR(__xludf.DUMMYFUNCTION("""COMPUTED_VALUE"""),46661.0)</f>
        <v>46661</v>
      </c>
      <c r="N163" s="78" t="str">
        <f>IFERROR(__xludf.DUMMYFUNCTION("""COMPUTED_VALUE"""),"24-Rionegro")</f>
        <v>24-Rionegro</v>
      </c>
      <c r="O163" s="159">
        <f>IFERROR(__xludf.DUMMYFUNCTION("""COMPUTED_VALUE"""),1955.0)</f>
        <v>1955</v>
      </c>
      <c r="P163" s="222" t="str">
        <f>IFERROR(__xludf.DUMMYFUNCTION("""COMPUTED_VALUE"""),"VIGENTE")</f>
        <v>VIGENTE</v>
      </c>
      <c r="Q163" s="8" t="str">
        <f t="shared" si="2"/>
        <v>--</v>
      </c>
      <c r="AC163" s="200"/>
      <c r="AE163" s="8"/>
    </row>
    <row r="164">
      <c r="A164" s="158"/>
      <c r="B164" s="220">
        <v>161.0</v>
      </c>
      <c r="C164" s="78">
        <f>IFERROR(__xludf.DUMMYFUNCTION("""COMPUTED_VALUE"""),3210.0)</f>
        <v>3210</v>
      </c>
      <c r="D164" s="221">
        <f>IFERROR(__xludf.DUMMYFUNCTION("""COMPUTED_VALUE"""),46648.0)</f>
        <v>46648</v>
      </c>
      <c r="E164" s="78" t="str">
        <f>IFERROR(__xludf.DUMMYFUNCTION("""COMPUTED_VALUE"""),"02-Medellin")</f>
        <v>02-Medellin</v>
      </c>
      <c r="F164" s="156">
        <f>IFERROR(__xludf.DUMMYFUNCTION("""COMPUTED_VALUE"""),46157.0)</f>
        <v>46157</v>
      </c>
      <c r="G164" s="159">
        <f>IFERROR(__xludf.DUMMYFUNCTION("""COMPUTED_VALUE"""),59.0)</f>
        <v>59</v>
      </c>
      <c r="H164" s="222" t="str">
        <f>IFERROR(__xludf.DUMMYFUNCTION("""COMPUTED_VALUE"""),"VIGENTE")</f>
        <v>VIGENTE</v>
      </c>
      <c r="I164" s="173" t="str">
        <f t="shared" si="1"/>
        <v>-</v>
      </c>
      <c r="J164" s="103"/>
      <c r="K164" s="220">
        <v>161.0</v>
      </c>
      <c r="L164" s="78">
        <f>IFERROR(__xludf.DUMMYFUNCTION("""COMPUTED_VALUE"""),3246.0)</f>
        <v>3246</v>
      </c>
      <c r="M164" s="221">
        <f>IFERROR(__xludf.DUMMYFUNCTION("""COMPUTED_VALUE"""),46661.0)</f>
        <v>46661</v>
      </c>
      <c r="N164" s="78" t="str">
        <f>IFERROR(__xludf.DUMMYFUNCTION("""COMPUTED_VALUE"""),"02-Medellin")</f>
        <v>02-Medellin</v>
      </c>
      <c r="O164" s="159">
        <f>IFERROR(__xludf.DUMMYFUNCTION("""COMPUTED_VALUE"""),1954.0)</f>
        <v>1954</v>
      </c>
      <c r="P164" s="222" t="str">
        <f>IFERROR(__xludf.DUMMYFUNCTION("""COMPUTED_VALUE"""),"VIGENTE")</f>
        <v>VIGENTE</v>
      </c>
      <c r="Q164" s="8" t="str">
        <f t="shared" si="2"/>
        <v>--</v>
      </c>
      <c r="AC164" s="200"/>
      <c r="AE164" s="8"/>
    </row>
    <row r="165">
      <c r="A165" s="158"/>
      <c r="B165" s="220">
        <v>162.0</v>
      </c>
      <c r="C165" s="78">
        <f>IFERROR(__xludf.DUMMYFUNCTION("""COMPUTED_VALUE"""),3201.0)</f>
        <v>3201</v>
      </c>
      <c r="D165" s="221">
        <f>IFERROR(__xludf.DUMMYFUNCTION("""COMPUTED_VALUE"""),46654.0)</f>
        <v>46654</v>
      </c>
      <c r="E165" s="78" t="str">
        <f>IFERROR(__xludf.DUMMYFUNCTION("""COMPUTED_VALUE"""),"02-Medellin")</f>
        <v>02-Medellin</v>
      </c>
      <c r="F165" s="156">
        <f>IFERROR(__xludf.DUMMYFUNCTION("""COMPUTED_VALUE"""),46157.0)</f>
        <v>46157</v>
      </c>
      <c r="G165" s="159">
        <f>IFERROR(__xludf.DUMMYFUNCTION("""COMPUTED_VALUE"""),59.0)</f>
        <v>59</v>
      </c>
      <c r="H165" s="222" t="str">
        <f>IFERROR(__xludf.DUMMYFUNCTION("""COMPUTED_VALUE"""),"VIGENTE")</f>
        <v>VIGENTE</v>
      </c>
      <c r="I165" s="173" t="str">
        <f t="shared" si="1"/>
        <v>-</v>
      </c>
      <c r="J165" s="103"/>
      <c r="K165" s="220">
        <v>162.0</v>
      </c>
      <c r="L165" s="78">
        <f>IFERROR(__xludf.DUMMYFUNCTION("""COMPUTED_VALUE"""),2637.0)</f>
        <v>2637</v>
      </c>
      <c r="M165" s="221">
        <f>IFERROR(__xludf.DUMMYFUNCTION("""COMPUTED_VALUE"""),46249.0)</f>
        <v>46249</v>
      </c>
      <c r="N165" s="78" t="str">
        <f>IFERROR(__xludf.DUMMYFUNCTION("""COMPUTED_VALUE"""),"02-Medellin")</f>
        <v>02-Medellin</v>
      </c>
      <c r="O165" s="159">
        <f>IFERROR(__xludf.DUMMYFUNCTION("""COMPUTED_VALUE"""),1933.3)</f>
        <v>1933.3</v>
      </c>
      <c r="P165" s="222" t="str">
        <f>IFERROR(__xludf.DUMMYFUNCTION("""COMPUTED_VALUE"""),"VIGENTE")</f>
        <v>VIGENTE</v>
      </c>
      <c r="Q165" s="8" t="str">
        <f t="shared" si="2"/>
        <v>--</v>
      </c>
      <c r="AC165" s="200"/>
      <c r="AE165" s="8"/>
    </row>
    <row r="166">
      <c r="A166" s="158"/>
      <c r="B166" s="220">
        <v>163.0</v>
      </c>
      <c r="C166" s="78">
        <f>IFERROR(__xludf.DUMMYFUNCTION("""COMPUTED_VALUE"""),2860.0)</f>
        <v>2860</v>
      </c>
      <c r="D166" s="221">
        <f>IFERROR(__xludf.DUMMYFUNCTION("""COMPUTED_VALUE"""),46221.0)</f>
        <v>46221</v>
      </c>
      <c r="E166" s="78" t="str">
        <f>IFERROR(__xludf.DUMMYFUNCTION("""COMPUTED_VALUE"""),"02-Medellin")</f>
        <v>02-Medellin</v>
      </c>
      <c r="F166" s="156">
        <f>IFERROR(__xludf.DUMMYFUNCTION("""COMPUTED_VALUE"""),46157.0)</f>
        <v>46157</v>
      </c>
      <c r="G166" s="159">
        <f>IFERROR(__xludf.DUMMYFUNCTION("""COMPUTED_VALUE"""),59.0)</f>
        <v>59</v>
      </c>
      <c r="H166" s="222" t="str">
        <f>IFERROR(__xludf.DUMMYFUNCTION("""COMPUTED_VALUE"""),"VIGENTE")</f>
        <v>VIGENTE</v>
      </c>
      <c r="I166" s="173" t="str">
        <f t="shared" si="1"/>
        <v>-</v>
      </c>
      <c r="J166" s="103"/>
      <c r="K166" s="220">
        <v>163.0</v>
      </c>
      <c r="L166" s="78">
        <f>IFERROR(__xludf.DUMMYFUNCTION("""COMPUTED_VALUE"""),2570.0)</f>
        <v>2570</v>
      </c>
      <c r="M166" s="221">
        <f>IFERROR(__xludf.DUMMYFUNCTION("""COMPUTED_VALUE"""),46236.0)</f>
        <v>46236</v>
      </c>
      <c r="N166" s="78" t="str">
        <f>IFERROR(__xludf.DUMMYFUNCTION("""COMPUTED_VALUE"""),"02-Medellin")</f>
        <v>02-Medellin</v>
      </c>
      <c r="O166" s="159">
        <f>IFERROR(__xludf.DUMMYFUNCTION("""COMPUTED_VALUE"""),1930.0)</f>
        <v>1930</v>
      </c>
      <c r="P166" s="222" t="str">
        <f>IFERROR(__xludf.DUMMYFUNCTION("""COMPUTED_VALUE"""),"VIGENTE")</f>
        <v>VIGENTE</v>
      </c>
      <c r="Q166" s="8" t="str">
        <f t="shared" si="2"/>
        <v>--</v>
      </c>
      <c r="AC166" s="200"/>
      <c r="AE166" s="8"/>
    </row>
    <row r="167">
      <c r="A167" s="158"/>
      <c r="B167" s="220">
        <v>164.0</v>
      </c>
      <c r="C167" s="78">
        <f>IFERROR(__xludf.DUMMYFUNCTION("""COMPUTED_VALUE"""),3049.0)</f>
        <v>3049</v>
      </c>
      <c r="D167" s="221">
        <f>IFERROR(__xludf.DUMMYFUNCTION("""COMPUTED_VALUE"""),46273.0)</f>
        <v>46273</v>
      </c>
      <c r="E167" s="78" t="str">
        <f>IFERROR(__xludf.DUMMYFUNCTION("""COMPUTED_VALUE"""),"02-Medellin")</f>
        <v>02-Medellin</v>
      </c>
      <c r="F167" s="156">
        <f>IFERROR(__xludf.DUMMYFUNCTION("""COMPUTED_VALUE"""),46157.0)</f>
        <v>46157</v>
      </c>
      <c r="G167" s="159">
        <f>IFERROR(__xludf.DUMMYFUNCTION("""COMPUTED_VALUE"""),59.0)</f>
        <v>59</v>
      </c>
      <c r="H167" s="222" t="str">
        <f>IFERROR(__xludf.DUMMYFUNCTION("""COMPUTED_VALUE"""),"VIGENTE")</f>
        <v>VIGENTE</v>
      </c>
      <c r="I167" s="173" t="str">
        <f t="shared" si="1"/>
        <v>-</v>
      </c>
      <c r="J167" s="103"/>
      <c r="K167" s="220">
        <v>164.0</v>
      </c>
      <c r="L167" s="78">
        <f>IFERROR(__xludf.DUMMYFUNCTION("""COMPUTED_VALUE"""),2894.0)</f>
        <v>2894</v>
      </c>
      <c r="M167" s="221">
        <f>IFERROR(__xludf.DUMMYFUNCTION("""COMPUTED_VALUE"""),46242.0)</f>
        <v>46242</v>
      </c>
      <c r="N167" s="78" t="str">
        <f>IFERROR(__xludf.DUMMYFUNCTION("""COMPUTED_VALUE"""),"02-Medellin")</f>
        <v>02-Medellin</v>
      </c>
      <c r="O167" s="159">
        <f>IFERROR(__xludf.DUMMYFUNCTION("""COMPUTED_VALUE"""),1919.0)</f>
        <v>1919</v>
      </c>
      <c r="P167" s="222" t="str">
        <f>IFERROR(__xludf.DUMMYFUNCTION("""COMPUTED_VALUE"""),"VIGENTE")</f>
        <v>VIGENTE</v>
      </c>
      <c r="Q167" s="8" t="str">
        <f t="shared" si="2"/>
        <v>--</v>
      </c>
      <c r="AC167" s="200"/>
      <c r="AE167" s="8"/>
    </row>
    <row r="168">
      <c r="A168" s="158"/>
      <c r="B168" s="220">
        <v>165.0</v>
      </c>
      <c r="C168" s="78">
        <f>IFERROR(__xludf.DUMMYFUNCTION("""COMPUTED_VALUE"""),472.0)</f>
        <v>472</v>
      </c>
      <c r="D168" s="221">
        <f>IFERROR(__xludf.DUMMYFUNCTION("""COMPUTED_VALUE"""),46213.0)</f>
        <v>46213</v>
      </c>
      <c r="E168" s="78" t="str">
        <f>IFERROR(__xludf.DUMMYFUNCTION("""COMPUTED_VALUE"""),"02-Medellin")</f>
        <v>02-Medellin</v>
      </c>
      <c r="F168" s="156">
        <f>IFERROR(__xludf.DUMMYFUNCTION("""COMPUTED_VALUE"""),46157.0)</f>
        <v>46157</v>
      </c>
      <c r="G168" s="159">
        <f>IFERROR(__xludf.DUMMYFUNCTION("""COMPUTED_VALUE"""),59.0)</f>
        <v>59</v>
      </c>
      <c r="H168" s="222" t="str">
        <f>IFERROR(__xludf.DUMMYFUNCTION("""COMPUTED_VALUE"""),"VIGENTE")</f>
        <v>VIGENTE</v>
      </c>
      <c r="I168" s="173" t="str">
        <f t="shared" si="1"/>
        <v>-</v>
      </c>
      <c r="J168" s="103"/>
      <c r="K168" s="220">
        <v>165.0</v>
      </c>
      <c r="L168" s="78">
        <f>IFERROR(__xludf.DUMMYFUNCTION("""COMPUTED_VALUE"""),3201.0)</f>
        <v>3201</v>
      </c>
      <c r="M168" s="221">
        <f>IFERROR(__xludf.DUMMYFUNCTION("""COMPUTED_VALUE"""),46654.0)</f>
        <v>46654</v>
      </c>
      <c r="N168" s="78" t="str">
        <f>IFERROR(__xludf.DUMMYFUNCTION("""COMPUTED_VALUE"""),"02-Medellin")</f>
        <v>02-Medellin</v>
      </c>
      <c r="O168" s="159">
        <f>IFERROR(__xludf.DUMMYFUNCTION("""COMPUTED_VALUE"""),1873.0)</f>
        <v>1873</v>
      </c>
      <c r="P168" s="222" t="str">
        <f>IFERROR(__xludf.DUMMYFUNCTION("""COMPUTED_VALUE"""),"VIGENTE")</f>
        <v>VIGENTE</v>
      </c>
      <c r="Q168" s="8" t="str">
        <f t="shared" si="2"/>
        <v>--</v>
      </c>
      <c r="AC168" s="200"/>
      <c r="AE168" s="8"/>
    </row>
    <row r="169">
      <c r="A169" s="158"/>
      <c r="B169" s="220">
        <v>166.0</v>
      </c>
      <c r="C169" s="78">
        <f>IFERROR(__xludf.DUMMYFUNCTION("""COMPUTED_VALUE"""),2927.0)</f>
        <v>2927</v>
      </c>
      <c r="D169" s="221">
        <f>IFERROR(__xludf.DUMMYFUNCTION("""COMPUTED_VALUE"""),46318.0)</f>
        <v>46318</v>
      </c>
      <c r="E169" s="78" t="str">
        <f>IFERROR(__xludf.DUMMYFUNCTION("""COMPUTED_VALUE"""),"02-Medellin")</f>
        <v>02-Medellin</v>
      </c>
      <c r="F169" s="156">
        <f>IFERROR(__xludf.DUMMYFUNCTION("""COMPUTED_VALUE"""),46161.0)</f>
        <v>46161</v>
      </c>
      <c r="G169" s="159">
        <f>IFERROR(__xludf.DUMMYFUNCTION("""COMPUTED_VALUE"""),55.0)</f>
        <v>55</v>
      </c>
      <c r="H169" s="222" t="str">
        <f>IFERROR(__xludf.DUMMYFUNCTION("""COMPUTED_VALUE"""),"VIGENTE")</f>
        <v>VIGENTE</v>
      </c>
      <c r="I169" s="173" t="str">
        <f t="shared" si="1"/>
        <v>-</v>
      </c>
      <c r="J169" s="103"/>
      <c r="K169" s="220">
        <v>166.0</v>
      </c>
      <c r="L169" s="78">
        <f>IFERROR(__xludf.DUMMYFUNCTION("""COMPUTED_VALUE"""),3197.0)</f>
        <v>3197</v>
      </c>
      <c r="M169" s="221">
        <f>IFERROR(__xludf.DUMMYFUNCTION("""COMPUTED_VALUE"""),46653.0)</f>
        <v>46653</v>
      </c>
      <c r="N169" s="78" t="str">
        <f>IFERROR(__xludf.DUMMYFUNCTION("""COMPUTED_VALUE"""),"02-Medellin")</f>
        <v>02-Medellin</v>
      </c>
      <c r="O169" s="159">
        <f>IFERROR(__xludf.DUMMYFUNCTION("""COMPUTED_VALUE"""),1844.0)</f>
        <v>1844</v>
      </c>
      <c r="P169" s="222" t="str">
        <f>IFERROR(__xludf.DUMMYFUNCTION("""COMPUTED_VALUE"""),"VIGENTE")</f>
        <v>VIGENTE</v>
      </c>
      <c r="Q169" s="8" t="str">
        <f t="shared" si="2"/>
        <v>--</v>
      </c>
      <c r="AC169" s="200"/>
      <c r="AE169" s="8"/>
    </row>
    <row r="170">
      <c r="A170" s="158"/>
      <c r="B170" s="220">
        <v>167.0</v>
      </c>
      <c r="C170" s="78">
        <f>IFERROR(__xludf.DUMMYFUNCTION("""COMPUTED_VALUE"""),2858.0)</f>
        <v>2858</v>
      </c>
      <c r="D170" s="221">
        <f>IFERROR(__xludf.DUMMYFUNCTION("""COMPUTED_VALUE"""),46215.0)</f>
        <v>46215</v>
      </c>
      <c r="E170" s="78" t="str">
        <f>IFERROR(__xludf.DUMMYFUNCTION("""COMPUTED_VALUE"""),"MAYORCA")</f>
        <v>MAYORCA</v>
      </c>
      <c r="F170" s="156">
        <f>IFERROR(__xludf.DUMMYFUNCTION("""COMPUTED_VALUE"""),46161.0)</f>
        <v>46161</v>
      </c>
      <c r="G170" s="159">
        <f>IFERROR(__xludf.DUMMYFUNCTION("""COMPUTED_VALUE"""),55.0)</f>
        <v>55</v>
      </c>
      <c r="H170" s="222" t="str">
        <f>IFERROR(__xludf.DUMMYFUNCTION("""COMPUTED_VALUE"""),"VIGENTE")</f>
        <v>VIGENTE</v>
      </c>
      <c r="I170" s="173" t="str">
        <f t="shared" si="1"/>
        <v>-</v>
      </c>
      <c r="J170" s="103"/>
      <c r="K170" s="220">
        <v>167.0</v>
      </c>
      <c r="L170" s="78">
        <f>IFERROR(__xludf.DUMMYFUNCTION("""COMPUTED_VALUE"""),2391.0)</f>
        <v>2391</v>
      </c>
      <c r="M170" s="221">
        <f>IFERROR(__xludf.DUMMYFUNCTION("""COMPUTED_VALUE"""),46527.0)</f>
        <v>46527</v>
      </c>
      <c r="N170" s="78" t="str">
        <f>IFERROR(__xludf.DUMMYFUNCTION("""COMPUTED_VALUE"""),"02-Medellin")</f>
        <v>02-Medellin</v>
      </c>
      <c r="O170" s="159">
        <f>IFERROR(__xludf.DUMMYFUNCTION("""COMPUTED_VALUE"""),1796.8)</f>
        <v>1796.8</v>
      </c>
      <c r="P170" s="222" t="str">
        <f>IFERROR(__xludf.DUMMYFUNCTION("""COMPUTED_VALUE"""),"VIGENTE")</f>
        <v>VIGENTE</v>
      </c>
      <c r="Q170" s="8" t="str">
        <f t="shared" si="2"/>
        <v>--</v>
      </c>
      <c r="AC170" s="200"/>
      <c r="AE170" s="8"/>
    </row>
    <row r="171">
      <c r="A171" s="158"/>
      <c r="B171" s="220">
        <v>168.0</v>
      </c>
      <c r="C171" s="78">
        <f>IFERROR(__xludf.DUMMYFUNCTION("""COMPUTED_VALUE"""),2393.0)</f>
        <v>2393</v>
      </c>
      <c r="D171" s="221">
        <f>IFERROR(__xludf.DUMMYFUNCTION("""COMPUTED_VALUE"""),46559.0)</f>
        <v>46559</v>
      </c>
      <c r="E171" s="78" t="str">
        <f>IFERROR(__xludf.DUMMYFUNCTION("""COMPUTED_VALUE"""),"MAYORCA")</f>
        <v>MAYORCA</v>
      </c>
      <c r="F171" s="156">
        <f>IFERROR(__xludf.DUMMYFUNCTION("""COMPUTED_VALUE"""),46161.0)</f>
        <v>46161</v>
      </c>
      <c r="G171" s="159">
        <f>IFERROR(__xludf.DUMMYFUNCTION("""COMPUTED_VALUE"""),55.0)</f>
        <v>55</v>
      </c>
      <c r="H171" s="222" t="str">
        <f>IFERROR(__xludf.DUMMYFUNCTION("""COMPUTED_VALUE"""),"VIGENTE")</f>
        <v>VIGENTE</v>
      </c>
      <c r="I171" s="173" t="str">
        <f t="shared" si="1"/>
        <v>-</v>
      </c>
      <c r="J171" s="103"/>
      <c r="K171" s="220">
        <v>168.0</v>
      </c>
      <c r="L171" s="78">
        <f>IFERROR(__xludf.DUMMYFUNCTION("""COMPUTED_VALUE"""),2393.0)</f>
        <v>2393</v>
      </c>
      <c r="M171" s="221">
        <f>IFERROR(__xludf.DUMMYFUNCTION("""COMPUTED_VALUE"""),46559.0)</f>
        <v>46559</v>
      </c>
      <c r="N171" s="78" t="str">
        <f>IFERROR(__xludf.DUMMYFUNCTION("""COMPUTED_VALUE"""),"MAYORCA")</f>
        <v>MAYORCA</v>
      </c>
      <c r="O171" s="159">
        <f>IFERROR(__xludf.DUMMYFUNCTION("""COMPUTED_VALUE"""),1793.3)</f>
        <v>1793.3</v>
      </c>
      <c r="P171" s="222" t="str">
        <f>IFERROR(__xludf.DUMMYFUNCTION("""COMPUTED_VALUE"""),"VIGENTE")</f>
        <v>VIGENTE</v>
      </c>
      <c r="Q171" s="8" t="str">
        <f t="shared" si="2"/>
        <v>--</v>
      </c>
      <c r="AC171" s="200"/>
      <c r="AE171" s="8"/>
    </row>
    <row r="172">
      <c r="A172" s="158"/>
      <c r="B172" s="220">
        <v>169.0</v>
      </c>
      <c r="C172" s="78">
        <f>IFERROR(__xludf.DUMMYFUNCTION("""COMPUTED_VALUE"""),2391.0)</f>
        <v>2391</v>
      </c>
      <c r="D172" s="221">
        <f>IFERROR(__xludf.DUMMYFUNCTION("""COMPUTED_VALUE"""),46527.0)</f>
        <v>46527</v>
      </c>
      <c r="E172" s="78" t="str">
        <f>IFERROR(__xludf.DUMMYFUNCTION("""COMPUTED_VALUE"""),"02-Medellin")</f>
        <v>02-Medellin</v>
      </c>
      <c r="F172" s="156">
        <f>IFERROR(__xludf.DUMMYFUNCTION("""COMPUTED_VALUE"""),46161.0)</f>
        <v>46161</v>
      </c>
      <c r="G172" s="159">
        <f>IFERROR(__xludf.DUMMYFUNCTION("""COMPUTED_VALUE"""),55.0)</f>
        <v>55</v>
      </c>
      <c r="H172" s="222" t="str">
        <f>IFERROR(__xludf.DUMMYFUNCTION("""COMPUTED_VALUE"""),"VIGENTE")</f>
        <v>VIGENTE</v>
      </c>
      <c r="I172" s="173" t="str">
        <f t="shared" si="1"/>
        <v>-</v>
      </c>
      <c r="J172" s="103"/>
      <c r="K172" s="220">
        <v>169.0</v>
      </c>
      <c r="L172" s="78">
        <f>IFERROR(__xludf.DUMMYFUNCTION("""COMPUTED_VALUE"""),3278.0)</f>
        <v>3278</v>
      </c>
      <c r="M172" s="221">
        <f>IFERROR(__xludf.DUMMYFUNCTION("""COMPUTED_VALUE"""),46668.0)</f>
        <v>46668</v>
      </c>
      <c r="N172" s="78" t="str">
        <f>IFERROR(__xludf.DUMMYFUNCTION("""COMPUTED_VALUE"""),"02-Medellin")</f>
        <v>02-Medellin</v>
      </c>
      <c r="O172" s="159">
        <f>IFERROR(__xludf.DUMMYFUNCTION("""COMPUTED_VALUE"""),1793.0)</f>
        <v>1793</v>
      </c>
      <c r="P172" s="222" t="str">
        <f>IFERROR(__xludf.DUMMYFUNCTION("""COMPUTED_VALUE"""),"VIGENTE")</f>
        <v>VIGENTE</v>
      </c>
      <c r="Q172" s="8" t="str">
        <f t="shared" si="2"/>
        <v>--</v>
      </c>
      <c r="AC172" s="200"/>
      <c r="AE172" s="8"/>
    </row>
    <row r="173">
      <c r="A173" s="158"/>
      <c r="B173" s="220">
        <v>170.0</v>
      </c>
      <c r="C173" s="78">
        <f>IFERROR(__xludf.DUMMYFUNCTION("""COMPUTED_VALUE"""),2925.0)</f>
        <v>2925</v>
      </c>
      <c r="D173" s="221">
        <f>IFERROR(__xludf.DUMMYFUNCTION("""COMPUTED_VALUE"""),46318.0)</f>
        <v>46318</v>
      </c>
      <c r="E173" s="78" t="str">
        <f>IFERROR(__xludf.DUMMYFUNCTION("""COMPUTED_VALUE"""),"02-Medellin")</f>
        <v>02-Medellin</v>
      </c>
      <c r="F173" s="156">
        <f>IFERROR(__xludf.DUMMYFUNCTION("""COMPUTED_VALUE"""),46162.0)</f>
        <v>46162</v>
      </c>
      <c r="G173" s="159">
        <f>IFERROR(__xludf.DUMMYFUNCTION("""COMPUTED_VALUE"""),54.0)</f>
        <v>54</v>
      </c>
      <c r="H173" s="222" t="str">
        <f>IFERROR(__xludf.DUMMYFUNCTION("""COMPUTED_VALUE"""),"VIGENTE")</f>
        <v>VIGENTE</v>
      </c>
      <c r="I173" s="173" t="str">
        <f t="shared" si="1"/>
        <v>-</v>
      </c>
      <c r="J173" s="103"/>
      <c r="K173" s="220">
        <v>170.0</v>
      </c>
      <c r="L173" s="78">
        <f>IFERROR(__xludf.DUMMYFUNCTION("""COMPUTED_VALUE"""),2867.0)</f>
        <v>2867</v>
      </c>
      <c r="M173" s="221">
        <f>IFERROR(__xludf.DUMMYFUNCTION("""COMPUTED_VALUE"""),46226.0)</f>
        <v>46226</v>
      </c>
      <c r="N173" s="78" t="str">
        <f>IFERROR(__xludf.DUMMYFUNCTION("""COMPUTED_VALUE"""),"02-Medellin")</f>
        <v>02-Medellin</v>
      </c>
      <c r="O173" s="159">
        <f>IFERROR(__xludf.DUMMYFUNCTION("""COMPUTED_VALUE"""),1743.0)</f>
        <v>1743</v>
      </c>
      <c r="P173" s="222" t="str">
        <f>IFERROR(__xludf.DUMMYFUNCTION("""COMPUTED_VALUE"""),"VIGENTE")</f>
        <v>VIGENTE</v>
      </c>
      <c r="Q173" s="8" t="str">
        <f t="shared" si="2"/>
        <v>--</v>
      </c>
      <c r="AC173" s="200"/>
      <c r="AE173" s="8"/>
    </row>
    <row r="174">
      <c r="A174" s="158"/>
      <c r="B174" s="220">
        <v>171.0</v>
      </c>
      <c r="C174" s="78">
        <f>IFERROR(__xludf.DUMMYFUNCTION("""COMPUTED_VALUE"""),2419.0)</f>
        <v>2419</v>
      </c>
      <c r="D174" s="221">
        <f>IFERROR(__xludf.DUMMYFUNCTION("""COMPUTED_VALUE"""),46528.0)</f>
        <v>46528</v>
      </c>
      <c r="E174" s="78" t="str">
        <f>IFERROR(__xludf.DUMMYFUNCTION("""COMPUTED_VALUE"""),"02-Medellin")</f>
        <v>02-Medellin</v>
      </c>
      <c r="F174" s="156">
        <f>IFERROR(__xludf.DUMMYFUNCTION("""COMPUTED_VALUE"""),46162.0)</f>
        <v>46162</v>
      </c>
      <c r="G174" s="159">
        <f>IFERROR(__xludf.DUMMYFUNCTION("""COMPUTED_VALUE"""),54.0)</f>
        <v>54</v>
      </c>
      <c r="H174" s="222" t="str">
        <f>IFERROR(__xludf.DUMMYFUNCTION("""COMPUTED_VALUE"""),"VIGENTE")</f>
        <v>VIGENTE</v>
      </c>
      <c r="I174" s="173" t="str">
        <f t="shared" si="1"/>
        <v>-</v>
      </c>
      <c r="J174" s="103"/>
      <c r="K174" s="220">
        <v>171.0</v>
      </c>
      <c r="L174" s="78">
        <f>IFERROR(__xludf.DUMMYFUNCTION("""COMPUTED_VALUE"""),3216.0)</f>
        <v>3216</v>
      </c>
      <c r="M174" s="221">
        <f>IFERROR(__xludf.DUMMYFUNCTION("""COMPUTED_VALUE"""),46654.0)</f>
        <v>46654</v>
      </c>
      <c r="N174" s="78" t="str">
        <f>IFERROR(__xludf.DUMMYFUNCTION("""COMPUTED_VALUE"""),"02-Medellin")</f>
        <v>02-Medellin</v>
      </c>
      <c r="O174" s="159">
        <f>IFERROR(__xludf.DUMMYFUNCTION("""COMPUTED_VALUE"""),1742.0)</f>
        <v>1742</v>
      </c>
      <c r="P174" s="222" t="str">
        <f>IFERROR(__xludf.DUMMYFUNCTION("""COMPUTED_VALUE"""),"VIGENTE")</f>
        <v>VIGENTE</v>
      </c>
      <c r="Q174" s="8" t="str">
        <f t="shared" si="2"/>
        <v>--</v>
      </c>
      <c r="AC174" s="200"/>
      <c r="AE174" s="8"/>
    </row>
    <row r="175">
      <c r="A175" s="158"/>
      <c r="B175" s="220">
        <v>172.0</v>
      </c>
      <c r="C175" s="78">
        <f>IFERROR(__xludf.DUMMYFUNCTION("""COMPUTED_VALUE"""),2903.0)</f>
        <v>2903</v>
      </c>
      <c r="D175" s="221">
        <f>IFERROR(__xludf.DUMMYFUNCTION("""COMPUTED_VALUE"""),46275.0)</f>
        <v>46275</v>
      </c>
      <c r="E175" s="78" t="str">
        <f>IFERROR(__xludf.DUMMYFUNCTION("""COMPUTED_VALUE"""),"02-Medellin")</f>
        <v>02-Medellin</v>
      </c>
      <c r="F175" s="156">
        <f>IFERROR(__xludf.DUMMYFUNCTION("""COMPUTED_VALUE"""),46163.0)</f>
        <v>46163</v>
      </c>
      <c r="G175" s="159">
        <f>IFERROR(__xludf.DUMMYFUNCTION("""COMPUTED_VALUE"""),53.0)</f>
        <v>53</v>
      </c>
      <c r="H175" s="222" t="str">
        <f>IFERROR(__xludf.DUMMYFUNCTION("""COMPUTED_VALUE"""),"VIGENTE")</f>
        <v>VIGENTE</v>
      </c>
      <c r="I175" s="173" t="str">
        <f t="shared" si="1"/>
        <v>-</v>
      </c>
      <c r="J175" s="103"/>
      <c r="K175" s="220">
        <v>172.0</v>
      </c>
      <c r="L175" s="78">
        <f>IFERROR(__xludf.DUMMYFUNCTION("""COMPUTED_VALUE"""),2419.0)</f>
        <v>2419</v>
      </c>
      <c r="M175" s="221">
        <f>IFERROR(__xludf.DUMMYFUNCTION("""COMPUTED_VALUE"""),46528.0)</f>
        <v>46528</v>
      </c>
      <c r="N175" s="78" t="str">
        <f>IFERROR(__xludf.DUMMYFUNCTION("""COMPUTED_VALUE"""),"02-Medellin")</f>
        <v>02-Medellin</v>
      </c>
      <c r="O175" s="159">
        <f>IFERROR(__xludf.DUMMYFUNCTION("""COMPUTED_VALUE"""),1737.7)</f>
        <v>1737.7</v>
      </c>
      <c r="P175" s="222" t="str">
        <f>IFERROR(__xludf.DUMMYFUNCTION("""COMPUTED_VALUE"""),"VIGENTE")</f>
        <v>VIGENTE</v>
      </c>
      <c r="Q175" s="8" t="str">
        <f t="shared" si="2"/>
        <v>--</v>
      </c>
      <c r="AC175" s="200"/>
      <c r="AE175" s="8"/>
    </row>
    <row r="176">
      <c r="A176" s="158"/>
      <c r="B176" s="220">
        <v>173.0</v>
      </c>
      <c r="C176" s="78">
        <f>IFERROR(__xludf.DUMMYFUNCTION("""COMPUTED_VALUE"""),2876.0)</f>
        <v>2876</v>
      </c>
      <c r="D176" s="221">
        <f>IFERROR(__xludf.DUMMYFUNCTION("""COMPUTED_VALUE"""),46226.0)</f>
        <v>46226</v>
      </c>
      <c r="E176" s="78" t="str">
        <f>IFERROR(__xludf.DUMMYFUNCTION("""COMPUTED_VALUE"""),"02-Medellin")</f>
        <v>02-Medellin</v>
      </c>
      <c r="F176" s="156">
        <f>IFERROR(__xludf.DUMMYFUNCTION("""COMPUTED_VALUE"""),46163.0)</f>
        <v>46163</v>
      </c>
      <c r="G176" s="159">
        <f>IFERROR(__xludf.DUMMYFUNCTION("""COMPUTED_VALUE"""),53.0)</f>
        <v>53</v>
      </c>
      <c r="H176" s="222" t="str">
        <f>IFERROR(__xludf.DUMMYFUNCTION("""COMPUTED_VALUE"""),"VIGENTE")</f>
        <v>VIGENTE</v>
      </c>
      <c r="I176" s="173" t="str">
        <f t="shared" si="1"/>
        <v>-</v>
      </c>
      <c r="J176" s="103"/>
      <c r="K176" s="220">
        <v>173.0</v>
      </c>
      <c r="L176" s="78">
        <f>IFERROR(__xludf.DUMMYFUNCTION("""COMPUTED_VALUE"""),2683.0)</f>
        <v>2683</v>
      </c>
      <c r="M176" s="221">
        <f>IFERROR(__xludf.DUMMYFUNCTION("""COMPUTED_VALUE"""),46512.0)</f>
        <v>46512</v>
      </c>
      <c r="N176" s="78" t="str">
        <f>IFERROR(__xludf.DUMMYFUNCTION("""COMPUTED_VALUE"""),"02-Medellin")</f>
        <v>02-Medellin</v>
      </c>
      <c r="O176" s="159">
        <f>IFERROR(__xludf.DUMMYFUNCTION("""COMPUTED_VALUE"""),1684.0)</f>
        <v>1684</v>
      </c>
      <c r="P176" s="222" t="str">
        <f>IFERROR(__xludf.DUMMYFUNCTION("""COMPUTED_VALUE"""),"VIGENTE")</f>
        <v>VIGENTE</v>
      </c>
      <c r="Q176" s="8" t="str">
        <f t="shared" si="2"/>
        <v>--</v>
      </c>
      <c r="AC176" s="200"/>
      <c r="AE176" s="8"/>
    </row>
    <row r="177">
      <c r="A177" s="158"/>
      <c r="B177" s="220">
        <v>174.0</v>
      </c>
      <c r="C177" s="78">
        <f>IFERROR(__xludf.DUMMYFUNCTION("""COMPUTED_VALUE"""),2492.0)</f>
        <v>2492</v>
      </c>
      <c r="D177" s="221">
        <f>IFERROR(__xludf.DUMMYFUNCTION("""COMPUTED_VALUE"""),46555.0)</f>
        <v>46555</v>
      </c>
      <c r="E177" s="78" t="str">
        <f>IFERROR(__xludf.DUMMYFUNCTION("""COMPUTED_VALUE"""),"02-Medellin")</f>
        <v>02-Medellin</v>
      </c>
      <c r="F177" s="156">
        <f>IFERROR(__xludf.DUMMYFUNCTION("""COMPUTED_VALUE"""),46163.0)</f>
        <v>46163</v>
      </c>
      <c r="G177" s="159">
        <f>IFERROR(__xludf.DUMMYFUNCTION("""COMPUTED_VALUE"""),53.0)</f>
        <v>53</v>
      </c>
      <c r="H177" s="222" t="str">
        <f>IFERROR(__xludf.DUMMYFUNCTION("""COMPUTED_VALUE"""),"VIGENTE")</f>
        <v>VIGENTE</v>
      </c>
      <c r="I177" s="173" t="str">
        <f t="shared" si="1"/>
        <v>-</v>
      </c>
      <c r="J177" s="103"/>
      <c r="K177" s="220">
        <v>174.0</v>
      </c>
      <c r="L177" s="78">
        <f>IFERROR(__xludf.DUMMYFUNCTION("""COMPUTED_VALUE"""),2879.0)</f>
        <v>2879</v>
      </c>
      <c r="M177" s="221">
        <f>IFERROR(__xludf.DUMMYFUNCTION("""COMPUTED_VALUE"""),46226.0)</f>
        <v>46226</v>
      </c>
      <c r="N177" s="78" t="str">
        <f>IFERROR(__xludf.DUMMYFUNCTION("""COMPUTED_VALUE"""),"02-Medellin")</f>
        <v>02-Medellin</v>
      </c>
      <c r="O177" s="159">
        <f>IFERROR(__xludf.DUMMYFUNCTION("""COMPUTED_VALUE"""),1661.0)</f>
        <v>1661</v>
      </c>
      <c r="P177" s="222" t="str">
        <f>IFERROR(__xludf.DUMMYFUNCTION("""COMPUTED_VALUE"""),"VIGENTE")</f>
        <v>VIGENTE</v>
      </c>
      <c r="Q177" s="8" t="str">
        <f t="shared" si="2"/>
        <v>--</v>
      </c>
      <c r="AC177" s="200"/>
      <c r="AE177" s="8"/>
    </row>
    <row r="178">
      <c r="A178" s="158"/>
      <c r="B178" s="220">
        <v>175.0</v>
      </c>
      <c r="C178" s="78">
        <f>IFERROR(__xludf.DUMMYFUNCTION("""COMPUTED_VALUE"""),2197.0)</f>
        <v>2197</v>
      </c>
      <c r="D178" s="221">
        <f>IFERROR(__xludf.DUMMYFUNCTION("""COMPUTED_VALUE"""),46529.0)</f>
        <v>46529</v>
      </c>
      <c r="E178" s="78" t="str">
        <f>IFERROR(__xludf.DUMMYFUNCTION("""COMPUTED_VALUE"""),"02-Medellin")</f>
        <v>02-Medellin</v>
      </c>
      <c r="F178" s="156">
        <f>IFERROR(__xludf.DUMMYFUNCTION("""COMPUTED_VALUE"""),46163.0)</f>
        <v>46163</v>
      </c>
      <c r="G178" s="159">
        <f>IFERROR(__xludf.DUMMYFUNCTION("""COMPUTED_VALUE"""),53.0)</f>
        <v>53</v>
      </c>
      <c r="H178" s="222" t="str">
        <f>IFERROR(__xludf.DUMMYFUNCTION("""COMPUTED_VALUE"""),"VIGENTE")</f>
        <v>VIGENTE</v>
      </c>
      <c r="I178" s="173" t="str">
        <f t="shared" si="1"/>
        <v>-</v>
      </c>
      <c r="J178" s="103"/>
      <c r="K178" s="220">
        <v>175.0</v>
      </c>
      <c r="L178" s="78">
        <f>IFERROR(__xludf.DUMMYFUNCTION("""COMPUTED_VALUE"""),2354.0)</f>
        <v>2354</v>
      </c>
      <c r="M178" s="221">
        <f>IFERROR(__xludf.DUMMYFUNCTION("""COMPUTED_VALUE"""),46435.0)</f>
        <v>46435</v>
      </c>
      <c r="N178" s="78" t="str">
        <f>IFERROR(__xludf.DUMMYFUNCTION("""COMPUTED_VALUE"""),"31-Copacabana")</f>
        <v>31-Copacabana</v>
      </c>
      <c r="O178" s="159">
        <f>IFERROR(__xludf.DUMMYFUNCTION("""COMPUTED_VALUE"""),1659.9)</f>
        <v>1659.9</v>
      </c>
      <c r="P178" s="222" t="str">
        <f>IFERROR(__xludf.DUMMYFUNCTION("""COMPUTED_VALUE"""),"VIGENTE")</f>
        <v>VIGENTE</v>
      </c>
      <c r="Q178" s="8" t="str">
        <f t="shared" si="2"/>
        <v>--</v>
      </c>
      <c r="AC178" s="200"/>
      <c r="AE178" s="8"/>
    </row>
    <row r="179">
      <c r="A179" s="158"/>
      <c r="B179" s="220">
        <v>176.0</v>
      </c>
      <c r="C179" s="78">
        <f>IFERROR(__xludf.DUMMYFUNCTION("""COMPUTED_VALUE"""),3280.0)</f>
        <v>3280</v>
      </c>
      <c r="D179" s="221">
        <f>IFERROR(__xludf.DUMMYFUNCTION("""COMPUTED_VALUE"""),46668.0)</f>
        <v>46668</v>
      </c>
      <c r="E179" s="78" t="str">
        <f>IFERROR(__xludf.DUMMYFUNCTION("""COMPUTED_VALUE"""),"02-Medellin")</f>
        <v>02-Medellin</v>
      </c>
      <c r="F179" s="156">
        <f>IFERROR(__xludf.DUMMYFUNCTION("""COMPUTED_VALUE"""),46167.0)</f>
        <v>46167</v>
      </c>
      <c r="G179" s="159">
        <f>IFERROR(__xludf.DUMMYFUNCTION("""COMPUTED_VALUE"""),49.0)</f>
        <v>49</v>
      </c>
      <c r="H179" s="222" t="str">
        <f>IFERROR(__xludf.DUMMYFUNCTION("""COMPUTED_VALUE"""),"VIGENTE")</f>
        <v>VIGENTE</v>
      </c>
      <c r="I179" s="173" t="str">
        <f t="shared" si="1"/>
        <v>-</v>
      </c>
      <c r="J179" s="103"/>
      <c r="K179" s="220">
        <v>176.0</v>
      </c>
      <c r="L179" s="78">
        <f>IFERROR(__xludf.DUMMYFUNCTION("""COMPUTED_VALUE"""),2674.0)</f>
        <v>2674</v>
      </c>
      <c r="M179" s="221">
        <f>IFERROR(__xludf.DUMMYFUNCTION("""COMPUTED_VALUE"""),46507.0)</f>
        <v>46507</v>
      </c>
      <c r="N179" s="78" t="str">
        <f>IFERROR(__xludf.DUMMYFUNCTION("""COMPUTED_VALUE"""),"27-Apartado")</f>
        <v>27-Apartado</v>
      </c>
      <c r="O179" s="159">
        <f>IFERROR(__xludf.DUMMYFUNCTION("""COMPUTED_VALUE"""),1634.6)</f>
        <v>1634.6</v>
      </c>
      <c r="P179" s="222" t="str">
        <f>IFERROR(__xludf.DUMMYFUNCTION("""COMPUTED_VALUE"""),"VIGENTE")</f>
        <v>VIGENTE</v>
      </c>
      <c r="Q179" s="8" t="str">
        <f t="shared" si="2"/>
        <v>--</v>
      </c>
      <c r="AC179" s="200"/>
      <c r="AE179" s="8"/>
    </row>
    <row r="180">
      <c r="A180" s="158"/>
      <c r="B180" s="220">
        <v>177.0</v>
      </c>
      <c r="C180" s="78">
        <f>IFERROR(__xludf.DUMMYFUNCTION("""COMPUTED_VALUE"""),3278.0)</f>
        <v>3278</v>
      </c>
      <c r="D180" s="221">
        <f>IFERROR(__xludf.DUMMYFUNCTION("""COMPUTED_VALUE"""),46668.0)</f>
        <v>46668</v>
      </c>
      <c r="E180" s="78" t="str">
        <f>IFERROR(__xludf.DUMMYFUNCTION("""COMPUTED_VALUE"""),"02-Medellin")</f>
        <v>02-Medellin</v>
      </c>
      <c r="F180" s="156">
        <f>IFERROR(__xludf.DUMMYFUNCTION("""COMPUTED_VALUE"""),46167.0)</f>
        <v>46167</v>
      </c>
      <c r="G180" s="159">
        <f>IFERROR(__xludf.DUMMYFUNCTION("""COMPUTED_VALUE"""),49.0)</f>
        <v>49</v>
      </c>
      <c r="H180" s="222" t="str">
        <f>IFERROR(__xludf.DUMMYFUNCTION("""COMPUTED_VALUE"""),"VIGENTE")</f>
        <v>VIGENTE</v>
      </c>
      <c r="I180" s="173" t="str">
        <f t="shared" si="1"/>
        <v>-</v>
      </c>
      <c r="J180" s="103"/>
      <c r="K180" s="220">
        <v>177.0</v>
      </c>
      <c r="L180" s="78">
        <f>IFERROR(__xludf.DUMMYFUNCTION("""COMPUTED_VALUE"""),2436.0)</f>
        <v>2436</v>
      </c>
      <c r="M180" s="221">
        <f>IFERROR(__xludf.DUMMYFUNCTION("""COMPUTED_VALUE"""),46558.0)</f>
        <v>46558</v>
      </c>
      <c r="N180" s="78" t="str">
        <f>IFERROR(__xludf.DUMMYFUNCTION("""COMPUTED_VALUE"""),"02-Medellin")</f>
        <v>02-Medellin</v>
      </c>
      <c r="O180" s="159">
        <f>IFERROR(__xludf.DUMMYFUNCTION("""COMPUTED_VALUE"""),1632.2)</f>
        <v>1632.2</v>
      </c>
      <c r="P180" s="222" t="str">
        <f>IFERROR(__xludf.DUMMYFUNCTION("""COMPUTED_VALUE"""),"VIGENTE")</f>
        <v>VIGENTE</v>
      </c>
      <c r="Q180" s="8" t="str">
        <f t="shared" si="2"/>
        <v>--</v>
      </c>
      <c r="AC180" s="200"/>
      <c r="AE180" s="8"/>
    </row>
    <row r="181">
      <c r="A181" s="158"/>
      <c r="B181" s="220">
        <v>178.0</v>
      </c>
      <c r="C181" s="78">
        <f>IFERROR(__xludf.DUMMYFUNCTION("""COMPUTED_VALUE"""),3252.0)</f>
        <v>3252</v>
      </c>
      <c r="D181" s="221">
        <f>IFERROR(__xludf.DUMMYFUNCTION("""COMPUTED_VALUE"""),46661.0)</f>
        <v>46661</v>
      </c>
      <c r="E181" s="78" t="str">
        <f>IFERROR(__xludf.DUMMYFUNCTION("""COMPUTED_VALUE"""),"24-Rionegro")</f>
        <v>24-Rionegro</v>
      </c>
      <c r="F181" s="156">
        <f>IFERROR(__xludf.DUMMYFUNCTION("""COMPUTED_VALUE"""),46167.0)</f>
        <v>46167</v>
      </c>
      <c r="G181" s="159">
        <f>IFERROR(__xludf.DUMMYFUNCTION("""COMPUTED_VALUE"""),49.0)</f>
        <v>49</v>
      </c>
      <c r="H181" s="222" t="str">
        <f>IFERROR(__xludf.DUMMYFUNCTION("""COMPUTED_VALUE"""),"VIGENTE")</f>
        <v>VIGENTE</v>
      </c>
      <c r="I181" s="173" t="str">
        <f t="shared" si="1"/>
        <v>-</v>
      </c>
      <c r="J181" s="103"/>
      <c r="K181" s="220">
        <v>178.0</v>
      </c>
      <c r="L181" s="78">
        <f>IFERROR(__xludf.DUMMYFUNCTION("""COMPUTED_VALUE"""),2887.0)</f>
        <v>2887</v>
      </c>
      <c r="M181" s="221">
        <f>IFERROR(__xludf.DUMMYFUNCTION("""COMPUTED_VALUE"""),46233.0)</f>
        <v>46233</v>
      </c>
      <c r="N181" s="78" t="str">
        <f>IFERROR(__xludf.DUMMYFUNCTION("""COMPUTED_VALUE"""),"02-Medellin")</f>
        <v>02-Medellin</v>
      </c>
      <c r="O181" s="159">
        <f>IFERROR(__xludf.DUMMYFUNCTION("""COMPUTED_VALUE"""),1602.0)</f>
        <v>1602</v>
      </c>
      <c r="P181" s="222" t="str">
        <f>IFERROR(__xludf.DUMMYFUNCTION("""COMPUTED_VALUE"""),"VIGENTE")</f>
        <v>VIGENTE</v>
      </c>
      <c r="Q181" s="8" t="str">
        <f t="shared" si="2"/>
        <v>--</v>
      </c>
      <c r="AC181" s="200"/>
      <c r="AE181" s="8"/>
    </row>
    <row r="182">
      <c r="A182" s="158"/>
      <c r="B182" s="220">
        <v>179.0</v>
      </c>
      <c r="C182" s="78">
        <f>IFERROR(__xludf.DUMMYFUNCTION("""COMPUTED_VALUE"""),3251.0)</f>
        <v>3251</v>
      </c>
      <c r="D182" s="221">
        <f>IFERROR(__xludf.DUMMYFUNCTION("""COMPUTED_VALUE"""),46661.0)</f>
        <v>46661</v>
      </c>
      <c r="E182" s="78" t="str">
        <f>IFERROR(__xludf.DUMMYFUNCTION("""COMPUTED_VALUE"""),"24-Rionegro")</f>
        <v>24-Rionegro</v>
      </c>
      <c r="F182" s="156">
        <f>IFERROR(__xludf.DUMMYFUNCTION("""COMPUTED_VALUE"""),46167.0)</f>
        <v>46167</v>
      </c>
      <c r="G182" s="159">
        <f>IFERROR(__xludf.DUMMYFUNCTION("""COMPUTED_VALUE"""),49.0)</f>
        <v>49</v>
      </c>
      <c r="H182" s="222" t="str">
        <f>IFERROR(__xludf.DUMMYFUNCTION("""COMPUTED_VALUE"""),"VIGENTE")</f>
        <v>VIGENTE</v>
      </c>
      <c r="I182" s="173" t="str">
        <f t="shared" si="1"/>
        <v>-</v>
      </c>
      <c r="J182" s="103"/>
      <c r="K182" s="220">
        <v>179.0</v>
      </c>
      <c r="L182" s="78">
        <f>IFERROR(__xludf.DUMMYFUNCTION("""COMPUTED_VALUE"""),2414.0)</f>
        <v>2414</v>
      </c>
      <c r="M182" s="221">
        <f>IFERROR(__xludf.DUMMYFUNCTION("""COMPUTED_VALUE"""),46549.0)</f>
        <v>46549</v>
      </c>
      <c r="N182" s="78" t="str">
        <f>IFERROR(__xludf.DUMMYFUNCTION("""COMPUTED_VALUE"""),"02-Medellin")</f>
        <v>02-Medellin</v>
      </c>
      <c r="O182" s="159">
        <f>IFERROR(__xludf.DUMMYFUNCTION("""COMPUTED_VALUE"""),1591.9)</f>
        <v>1591.9</v>
      </c>
      <c r="P182" s="222" t="str">
        <f>IFERROR(__xludf.DUMMYFUNCTION("""COMPUTED_VALUE"""),"VIGENTE")</f>
        <v>VIGENTE</v>
      </c>
      <c r="Q182" s="8" t="str">
        <f t="shared" si="2"/>
        <v>--</v>
      </c>
      <c r="AC182" s="200"/>
      <c r="AE182" s="8"/>
    </row>
    <row r="183">
      <c r="A183" s="158"/>
      <c r="B183" s="220">
        <v>180.0</v>
      </c>
      <c r="C183" s="78">
        <f>IFERROR(__xludf.DUMMYFUNCTION("""COMPUTED_VALUE"""),2875.0)</f>
        <v>2875</v>
      </c>
      <c r="D183" s="221">
        <f>IFERROR(__xludf.DUMMYFUNCTION("""COMPUTED_VALUE"""),46226.0)</f>
        <v>46226</v>
      </c>
      <c r="E183" s="78" t="str">
        <f>IFERROR(__xludf.DUMMYFUNCTION("""COMPUTED_VALUE"""),"02-Medellin")</f>
        <v>02-Medellin</v>
      </c>
      <c r="F183" s="156">
        <f>IFERROR(__xludf.DUMMYFUNCTION("""COMPUTED_VALUE"""),46167.0)</f>
        <v>46167</v>
      </c>
      <c r="G183" s="159">
        <f>IFERROR(__xludf.DUMMYFUNCTION("""COMPUTED_VALUE"""),49.0)</f>
        <v>49</v>
      </c>
      <c r="H183" s="222" t="str">
        <f>IFERROR(__xludf.DUMMYFUNCTION("""COMPUTED_VALUE"""),"VIGENTE")</f>
        <v>VIGENTE</v>
      </c>
      <c r="I183" s="173" t="str">
        <f t="shared" si="1"/>
        <v>-</v>
      </c>
      <c r="J183" s="103"/>
      <c r="K183" s="220">
        <v>180.0</v>
      </c>
      <c r="L183" s="78">
        <f>IFERROR(__xludf.DUMMYFUNCTION("""COMPUTED_VALUE"""),2844.0)</f>
        <v>2844</v>
      </c>
      <c r="M183" s="221">
        <f>IFERROR(__xludf.DUMMYFUNCTION("""COMPUTED_VALUE"""),46562.0)</f>
        <v>46562</v>
      </c>
      <c r="N183" s="78" t="str">
        <f>IFERROR(__xludf.DUMMYFUNCTION("""COMPUTED_VALUE"""),"02-Medellin")</f>
        <v>02-Medellin</v>
      </c>
      <c r="O183" s="159">
        <f>IFERROR(__xludf.DUMMYFUNCTION("""COMPUTED_VALUE"""),1585.0)</f>
        <v>1585</v>
      </c>
      <c r="P183" s="222" t="str">
        <f>IFERROR(__xludf.DUMMYFUNCTION("""COMPUTED_VALUE"""),"VIGENTE")</f>
        <v>VIGENTE</v>
      </c>
      <c r="Q183" s="8" t="str">
        <f t="shared" si="2"/>
        <v>--</v>
      </c>
      <c r="AC183" s="200"/>
      <c r="AE183" s="8"/>
    </row>
    <row r="184">
      <c r="A184" s="158"/>
      <c r="B184" s="220">
        <v>181.0</v>
      </c>
      <c r="C184" s="78">
        <f>IFERROR(__xludf.DUMMYFUNCTION("""COMPUTED_VALUE"""),2855.0)</f>
        <v>2855</v>
      </c>
      <c r="D184" s="221">
        <f>IFERROR(__xludf.DUMMYFUNCTION("""COMPUTED_VALUE"""),46575.0)</f>
        <v>46575</v>
      </c>
      <c r="E184" s="78" t="str">
        <f>IFERROR(__xludf.DUMMYFUNCTION("""COMPUTED_VALUE"""),"02-Medellin")</f>
        <v>02-Medellin</v>
      </c>
      <c r="F184" s="156">
        <f>IFERROR(__xludf.DUMMYFUNCTION("""COMPUTED_VALUE"""),46167.0)</f>
        <v>46167</v>
      </c>
      <c r="G184" s="159">
        <f>IFERROR(__xludf.DUMMYFUNCTION("""COMPUTED_VALUE"""),49.0)</f>
        <v>49</v>
      </c>
      <c r="H184" s="222" t="str">
        <f>IFERROR(__xludf.DUMMYFUNCTION("""COMPUTED_VALUE"""),"VIGENTE")</f>
        <v>VIGENTE</v>
      </c>
      <c r="I184" s="173" t="str">
        <f t="shared" si="1"/>
        <v>-</v>
      </c>
      <c r="J184" s="103"/>
      <c r="K184" s="220">
        <v>181.0</v>
      </c>
      <c r="L184" s="78">
        <f>IFERROR(__xludf.DUMMYFUNCTION("""COMPUTED_VALUE"""),3215.0)</f>
        <v>3215</v>
      </c>
      <c r="M184" s="221">
        <f>IFERROR(__xludf.DUMMYFUNCTION("""COMPUTED_VALUE"""),46654.0)</f>
        <v>46654</v>
      </c>
      <c r="N184" s="78" t="str">
        <f>IFERROR(__xludf.DUMMYFUNCTION("""COMPUTED_VALUE"""),"02-Medellin")</f>
        <v>02-Medellin</v>
      </c>
      <c r="O184" s="159">
        <f>IFERROR(__xludf.DUMMYFUNCTION("""COMPUTED_VALUE"""),1573.0)</f>
        <v>1573</v>
      </c>
      <c r="P184" s="222" t="str">
        <f>IFERROR(__xludf.DUMMYFUNCTION("""COMPUTED_VALUE"""),"VIGENTE")</f>
        <v>VIGENTE</v>
      </c>
      <c r="Q184" s="8" t="str">
        <f t="shared" si="2"/>
        <v>--</v>
      </c>
      <c r="AC184" s="200"/>
      <c r="AE184" s="8"/>
    </row>
    <row r="185">
      <c r="A185" s="158"/>
      <c r="B185" s="220">
        <v>182.0</v>
      </c>
      <c r="C185" s="78">
        <f>IFERROR(__xludf.DUMMYFUNCTION("""COMPUTED_VALUE"""),2852.0)</f>
        <v>2852</v>
      </c>
      <c r="D185" s="221">
        <f>IFERROR(__xludf.DUMMYFUNCTION("""COMPUTED_VALUE"""),46576.0)</f>
        <v>46576</v>
      </c>
      <c r="E185" s="78" t="str">
        <f>IFERROR(__xludf.DUMMYFUNCTION("""COMPUTED_VALUE"""),"24-Rionegro")</f>
        <v>24-Rionegro</v>
      </c>
      <c r="F185" s="156">
        <f>IFERROR(__xludf.DUMMYFUNCTION("""COMPUTED_VALUE"""),46167.0)</f>
        <v>46167</v>
      </c>
      <c r="G185" s="159">
        <f>IFERROR(__xludf.DUMMYFUNCTION("""COMPUTED_VALUE"""),49.0)</f>
        <v>49</v>
      </c>
      <c r="H185" s="222" t="str">
        <f>IFERROR(__xludf.DUMMYFUNCTION("""COMPUTED_VALUE"""),"VIGENTE")</f>
        <v>VIGENTE</v>
      </c>
      <c r="I185" s="173" t="str">
        <f t="shared" si="1"/>
        <v>-</v>
      </c>
      <c r="J185" s="103"/>
      <c r="K185" s="220">
        <v>182.0</v>
      </c>
      <c r="L185" s="78">
        <f>IFERROR(__xludf.DUMMYFUNCTION("""COMPUTED_VALUE"""),2454.0)</f>
        <v>2454</v>
      </c>
      <c r="M185" s="221">
        <f>IFERROR(__xludf.DUMMYFUNCTION("""COMPUTED_VALUE"""),46291.0)</f>
        <v>46291</v>
      </c>
      <c r="N185" s="78" t="str">
        <f>IFERROR(__xludf.DUMMYFUNCTION("""COMPUTED_VALUE"""),"02-Medellin")</f>
        <v>02-Medellin</v>
      </c>
      <c r="O185" s="159">
        <f>IFERROR(__xludf.DUMMYFUNCTION("""COMPUTED_VALUE"""),1563.9)</f>
        <v>1563.9</v>
      </c>
      <c r="P185" s="222" t="str">
        <f>IFERROR(__xludf.DUMMYFUNCTION("""COMPUTED_VALUE"""),"VIGENTE")</f>
        <v>VIGENTE</v>
      </c>
      <c r="Q185" s="8" t="str">
        <f t="shared" si="2"/>
        <v>--</v>
      </c>
      <c r="AC185" s="200"/>
      <c r="AE185" s="8"/>
    </row>
    <row r="186">
      <c r="A186" s="158"/>
      <c r="B186" s="220">
        <v>183.0</v>
      </c>
      <c r="C186" s="78">
        <f>IFERROR(__xludf.DUMMYFUNCTION("""COMPUTED_VALUE"""),2436.0)</f>
        <v>2436</v>
      </c>
      <c r="D186" s="221">
        <f>IFERROR(__xludf.DUMMYFUNCTION("""COMPUTED_VALUE"""),46558.0)</f>
        <v>46558</v>
      </c>
      <c r="E186" s="78" t="str">
        <f>IFERROR(__xludf.DUMMYFUNCTION("""COMPUTED_VALUE"""),"02-Medellin")</f>
        <v>02-Medellin</v>
      </c>
      <c r="F186" s="156">
        <f>IFERROR(__xludf.DUMMYFUNCTION("""COMPUTED_VALUE"""),46167.0)</f>
        <v>46167</v>
      </c>
      <c r="G186" s="159">
        <f>IFERROR(__xludf.DUMMYFUNCTION("""COMPUTED_VALUE"""),49.0)</f>
        <v>49</v>
      </c>
      <c r="H186" s="222" t="str">
        <f>IFERROR(__xludf.DUMMYFUNCTION("""COMPUTED_VALUE"""),"VIGENTE")</f>
        <v>VIGENTE</v>
      </c>
      <c r="I186" s="173" t="str">
        <f t="shared" si="1"/>
        <v>-</v>
      </c>
      <c r="J186" s="103"/>
      <c r="K186" s="220">
        <v>183.0</v>
      </c>
      <c r="L186" s="78">
        <f>IFERROR(__xludf.DUMMYFUNCTION("""COMPUTED_VALUE"""),1798.0)</f>
        <v>1798</v>
      </c>
      <c r="M186" s="221">
        <f>IFERROR(__xludf.DUMMYFUNCTION("""COMPUTED_VALUE"""),46565.0)</f>
        <v>46565</v>
      </c>
      <c r="N186" s="78" t="str">
        <f>IFERROR(__xludf.DUMMYFUNCTION("""COMPUTED_VALUE"""),"02-Medellin")</f>
        <v>02-Medellin</v>
      </c>
      <c r="O186" s="159">
        <f>IFERROR(__xludf.DUMMYFUNCTION("""COMPUTED_VALUE"""),1559.2)</f>
        <v>1559.2</v>
      </c>
      <c r="P186" s="222" t="str">
        <f>IFERROR(__xludf.DUMMYFUNCTION("""COMPUTED_VALUE"""),"VIGENTE")</f>
        <v>VIGENTE</v>
      </c>
      <c r="Q186" s="8" t="str">
        <f t="shared" si="2"/>
        <v>--</v>
      </c>
      <c r="AC186" s="200"/>
      <c r="AE186" s="8"/>
    </row>
    <row r="187">
      <c r="A187" s="158"/>
      <c r="B187" s="220">
        <v>184.0</v>
      </c>
      <c r="C187" s="78">
        <f>IFERROR(__xludf.DUMMYFUNCTION("""COMPUTED_VALUE"""),2435.0)</f>
        <v>2435</v>
      </c>
      <c r="D187" s="221">
        <f>IFERROR(__xludf.DUMMYFUNCTION("""COMPUTED_VALUE"""),46530.0)</f>
        <v>46530</v>
      </c>
      <c r="E187" s="78" t="str">
        <f>IFERROR(__xludf.DUMMYFUNCTION("""COMPUTED_VALUE"""),"02-Medellin")</f>
        <v>02-Medellin</v>
      </c>
      <c r="F187" s="156">
        <f>IFERROR(__xludf.DUMMYFUNCTION("""COMPUTED_VALUE"""),46167.0)</f>
        <v>46167</v>
      </c>
      <c r="G187" s="159">
        <f>IFERROR(__xludf.DUMMYFUNCTION("""COMPUTED_VALUE"""),49.0)</f>
        <v>49</v>
      </c>
      <c r="H187" s="222" t="str">
        <f>IFERROR(__xludf.DUMMYFUNCTION("""COMPUTED_VALUE"""),"VIGENTE")</f>
        <v>VIGENTE</v>
      </c>
      <c r="I187" s="173" t="str">
        <f t="shared" si="1"/>
        <v>-</v>
      </c>
      <c r="J187" s="103"/>
      <c r="K187" s="220">
        <v>184.0</v>
      </c>
      <c r="L187" s="78">
        <f>IFERROR(__xludf.DUMMYFUNCTION("""COMPUTED_VALUE"""),2672.0)</f>
        <v>2672</v>
      </c>
      <c r="M187" s="221">
        <f>IFERROR(__xludf.DUMMYFUNCTION("""COMPUTED_VALUE"""),46511.0)</f>
        <v>46511</v>
      </c>
      <c r="N187" s="78" t="str">
        <f>IFERROR(__xludf.DUMMYFUNCTION("""COMPUTED_VALUE"""),"02-Medellin")</f>
        <v>02-Medellin</v>
      </c>
      <c r="O187" s="159">
        <f>IFERROR(__xludf.DUMMYFUNCTION("""COMPUTED_VALUE"""),1467.0)</f>
        <v>1467</v>
      </c>
      <c r="P187" s="222" t="str">
        <f>IFERROR(__xludf.DUMMYFUNCTION("""COMPUTED_VALUE"""),"VIGENTE")</f>
        <v>VIGENTE</v>
      </c>
      <c r="Q187" s="8" t="str">
        <f t="shared" si="2"/>
        <v>--</v>
      </c>
      <c r="AC187" s="200"/>
      <c r="AE187" s="8"/>
    </row>
    <row r="188">
      <c r="A188" s="158"/>
      <c r="B188" s="220">
        <v>185.0</v>
      </c>
      <c r="C188" s="78">
        <f>IFERROR(__xludf.DUMMYFUNCTION("""COMPUTED_VALUE"""),2194.0)</f>
        <v>2194</v>
      </c>
      <c r="D188" s="221">
        <f>IFERROR(__xludf.DUMMYFUNCTION("""COMPUTED_VALUE"""),46530.0)</f>
        <v>46530</v>
      </c>
      <c r="E188" s="78" t="str">
        <f>IFERROR(__xludf.DUMMYFUNCTION("""COMPUTED_VALUE"""),"02-Medellin")</f>
        <v>02-Medellin</v>
      </c>
      <c r="F188" s="156">
        <f>IFERROR(__xludf.DUMMYFUNCTION("""COMPUTED_VALUE"""),46167.0)</f>
        <v>46167</v>
      </c>
      <c r="G188" s="159">
        <f>IFERROR(__xludf.DUMMYFUNCTION("""COMPUTED_VALUE"""),49.0)</f>
        <v>49</v>
      </c>
      <c r="H188" s="222" t="str">
        <f>IFERROR(__xludf.DUMMYFUNCTION("""COMPUTED_VALUE"""),"VIGENTE")</f>
        <v>VIGENTE</v>
      </c>
      <c r="I188" s="173" t="str">
        <f t="shared" si="1"/>
        <v>-</v>
      </c>
      <c r="J188" s="103"/>
      <c r="K188" s="220">
        <v>185.0</v>
      </c>
      <c r="L188" s="78">
        <f>IFERROR(__xludf.DUMMYFUNCTION("""COMPUTED_VALUE"""),2886.0)</f>
        <v>2886</v>
      </c>
      <c r="M188" s="221">
        <f>IFERROR(__xludf.DUMMYFUNCTION("""COMPUTED_VALUE"""),46233.0)</f>
        <v>46233</v>
      </c>
      <c r="N188" s="78" t="str">
        <f>IFERROR(__xludf.DUMMYFUNCTION("""COMPUTED_VALUE"""),"02-Medellin")</f>
        <v>02-Medellin</v>
      </c>
      <c r="O188" s="159">
        <f>IFERROR(__xludf.DUMMYFUNCTION("""COMPUTED_VALUE"""),1453.0)</f>
        <v>1453</v>
      </c>
      <c r="P188" s="222" t="str">
        <f>IFERROR(__xludf.DUMMYFUNCTION("""COMPUTED_VALUE"""),"VIGENTE")</f>
        <v>VIGENTE</v>
      </c>
      <c r="Q188" s="8" t="str">
        <f t="shared" si="2"/>
        <v>--</v>
      </c>
      <c r="AC188" s="200"/>
      <c r="AE188" s="8"/>
    </row>
    <row r="189">
      <c r="A189" s="158"/>
      <c r="B189" s="220">
        <v>186.0</v>
      </c>
      <c r="C189" s="78">
        <f>IFERROR(__xludf.DUMMYFUNCTION("""COMPUTED_VALUE"""),2637.0)</f>
        <v>2637</v>
      </c>
      <c r="D189" s="221">
        <f>IFERROR(__xludf.DUMMYFUNCTION("""COMPUTED_VALUE"""),46249.0)</f>
        <v>46249</v>
      </c>
      <c r="E189" s="78" t="str">
        <f>IFERROR(__xludf.DUMMYFUNCTION("""COMPUTED_VALUE"""),"02-Medellin")</f>
        <v>02-Medellin</v>
      </c>
      <c r="F189" s="156">
        <f>IFERROR(__xludf.DUMMYFUNCTION("""COMPUTED_VALUE"""),46168.0)</f>
        <v>46168</v>
      </c>
      <c r="G189" s="159">
        <f>IFERROR(__xludf.DUMMYFUNCTION("""COMPUTED_VALUE"""),48.0)</f>
        <v>48</v>
      </c>
      <c r="H189" s="222" t="str">
        <f>IFERROR(__xludf.DUMMYFUNCTION("""COMPUTED_VALUE"""),"VIGENTE")</f>
        <v>VIGENTE</v>
      </c>
      <c r="I189" s="173" t="str">
        <f t="shared" si="1"/>
        <v>-</v>
      </c>
      <c r="J189" s="103"/>
      <c r="K189" s="220">
        <v>186.0</v>
      </c>
      <c r="L189" s="78">
        <f>IFERROR(__xludf.DUMMYFUNCTION("""COMPUTED_VALUE"""),2903.0)</f>
        <v>2903</v>
      </c>
      <c r="M189" s="221">
        <f>IFERROR(__xludf.DUMMYFUNCTION("""COMPUTED_VALUE"""),46275.0)</f>
        <v>46275</v>
      </c>
      <c r="N189" s="78" t="str">
        <f>IFERROR(__xludf.DUMMYFUNCTION("""COMPUTED_VALUE"""),"02-Medellin")</f>
        <v>02-Medellin</v>
      </c>
      <c r="O189" s="159">
        <f>IFERROR(__xludf.DUMMYFUNCTION("""COMPUTED_VALUE"""),1425.0)</f>
        <v>1425</v>
      </c>
      <c r="P189" s="222" t="str">
        <f>IFERROR(__xludf.DUMMYFUNCTION("""COMPUTED_VALUE"""),"VIGENTE")</f>
        <v>VIGENTE</v>
      </c>
      <c r="Q189" s="8" t="str">
        <f t="shared" si="2"/>
        <v>--</v>
      </c>
      <c r="AC189" s="200"/>
      <c r="AE189" s="8"/>
    </row>
    <row r="190">
      <c r="A190" s="158"/>
      <c r="B190" s="220">
        <v>187.0</v>
      </c>
      <c r="C190" s="78">
        <f>IFERROR(__xludf.DUMMYFUNCTION("""COMPUTED_VALUE"""),2188.0)</f>
        <v>2188</v>
      </c>
      <c r="D190" s="221">
        <f>IFERROR(__xludf.DUMMYFUNCTION("""COMPUTED_VALUE"""),46375.0)</f>
        <v>46375</v>
      </c>
      <c r="E190" s="78" t="str">
        <f>IFERROR(__xludf.DUMMYFUNCTION("""COMPUTED_VALUE"""),"BULTOS")</f>
        <v>BULTOS</v>
      </c>
      <c r="F190" s="156">
        <f>IFERROR(__xludf.DUMMYFUNCTION("""COMPUTED_VALUE"""),46168.0)</f>
        <v>46168</v>
      </c>
      <c r="G190" s="159">
        <f>IFERROR(__xludf.DUMMYFUNCTION("""COMPUTED_VALUE"""),48.0)</f>
        <v>48</v>
      </c>
      <c r="H190" s="222" t="str">
        <f>IFERROR(__xludf.DUMMYFUNCTION("""COMPUTED_VALUE"""),"VIGENTE")</f>
        <v>VIGENTE</v>
      </c>
      <c r="I190" s="173" t="str">
        <f t="shared" si="1"/>
        <v>-</v>
      </c>
      <c r="J190" s="103"/>
      <c r="K190" s="220">
        <v>187.0</v>
      </c>
      <c r="L190" s="78">
        <f>IFERROR(__xludf.DUMMYFUNCTION("""COMPUTED_VALUE"""),2924.0)</f>
        <v>2924</v>
      </c>
      <c r="M190" s="221">
        <f>IFERROR(__xludf.DUMMYFUNCTION("""COMPUTED_VALUE"""),46318.0)</f>
        <v>46318</v>
      </c>
      <c r="N190" s="78" t="str">
        <f>IFERROR(__xludf.DUMMYFUNCTION("""COMPUTED_VALUE"""),"02-Medellin")</f>
        <v>02-Medellin</v>
      </c>
      <c r="O190" s="159">
        <f>IFERROR(__xludf.DUMMYFUNCTION("""COMPUTED_VALUE"""),1422.0)</f>
        <v>1422</v>
      </c>
      <c r="P190" s="222" t="str">
        <f>IFERROR(__xludf.DUMMYFUNCTION("""COMPUTED_VALUE"""),"VIGENTE")</f>
        <v>VIGENTE</v>
      </c>
      <c r="Q190" s="8" t="str">
        <f t="shared" si="2"/>
        <v>--</v>
      </c>
      <c r="AC190" s="200"/>
      <c r="AE190" s="8"/>
    </row>
    <row r="191">
      <c r="A191" s="158"/>
      <c r="B191" s="220">
        <v>188.0</v>
      </c>
      <c r="C191" s="165">
        <f>IFERROR(__xludf.DUMMYFUNCTION("""COMPUTED_VALUE"""),2894.0)</f>
        <v>2894</v>
      </c>
      <c r="D191" s="267">
        <f>IFERROR(__xludf.DUMMYFUNCTION("""COMPUTED_VALUE"""),46242.0)</f>
        <v>46242</v>
      </c>
      <c r="E191" s="165" t="str">
        <f>IFERROR(__xludf.DUMMYFUNCTION("""COMPUTED_VALUE"""),"02-Medellin")</f>
        <v>02-Medellin</v>
      </c>
      <c r="F191" s="166">
        <f>IFERROR(__xludf.DUMMYFUNCTION("""COMPUTED_VALUE"""),46169.0)</f>
        <v>46169</v>
      </c>
      <c r="G191" s="167">
        <f>IFERROR(__xludf.DUMMYFUNCTION("""COMPUTED_VALUE"""),47.0)</f>
        <v>47</v>
      </c>
      <c r="H191" s="268" t="str">
        <f>IFERROR(__xludf.DUMMYFUNCTION("""COMPUTED_VALUE"""),"VIGENTE")</f>
        <v>VIGENTE</v>
      </c>
      <c r="I191" s="173" t="str">
        <f t="shared" si="1"/>
        <v>-</v>
      </c>
      <c r="J191" s="103"/>
      <c r="K191" s="220">
        <v>188.0</v>
      </c>
      <c r="L191" s="165">
        <f>IFERROR(__xludf.DUMMYFUNCTION("""COMPUTED_VALUE"""),2202.0)</f>
        <v>2202</v>
      </c>
      <c r="M191" s="267">
        <f>IFERROR(__xludf.DUMMYFUNCTION("""COMPUTED_VALUE"""),46527.0)</f>
        <v>46527</v>
      </c>
      <c r="N191" s="165" t="str">
        <f>IFERROR(__xludf.DUMMYFUNCTION("""COMPUTED_VALUE"""),"02-Medellin")</f>
        <v>02-Medellin</v>
      </c>
      <c r="O191" s="167">
        <f>IFERROR(__xludf.DUMMYFUNCTION("""COMPUTED_VALUE"""),1421.2)</f>
        <v>1421.2</v>
      </c>
      <c r="P191" s="268" t="str">
        <f>IFERROR(__xludf.DUMMYFUNCTION("""COMPUTED_VALUE"""),"VIGENTE")</f>
        <v>VIGENTE</v>
      </c>
      <c r="Q191" s="8" t="str">
        <f t="shared" si="2"/>
        <v>--</v>
      </c>
      <c r="AC191" s="200"/>
      <c r="AE191" s="8"/>
    </row>
    <row r="192">
      <c r="A192" s="158"/>
      <c r="B192" s="220">
        <v>189.0</v>
      </c>
      <c r="C192" s="78">
        <f>IFERROR(__xludf.DUMMYFUNCTION("""COMPUTED_VALUE"""),2881.0)</f>
        <v>2881</v>
      </c>
      <c r="D192" s="221">
        <f>IFERROR(__xludf.DUMMYFUNCTION("""COMPUTED_VALUE"""),46226.0)</f>
        <v>46226</v>
      </c>
      <c r="E192" s="78" t="str">
        <f>IFERROR(__xludf.DUMMYFUNCTION("""COMPUTED_VALUE"""),"02-Medellin")</f>
        <v>02-Medellin</v>
      </c>
      <c r="F192" s="156">
        <f>IFERROR(__xludf.DUMMYFUNCTION("""COMPUTED_VALUE"""),46169.0)</f>
        <v>46169</v>
      </c>
      <c r="G192" s="159">
        <f>IFERROR(__xludf.DUMMYFUNCTION("""COMPUTED_VALUE"""),47.0)</f>
        <v>47</v>
      </c>
      <c r="H192" s="78" t="str">
        <f>IFERROR(__xludf.DUMMYFUNCTION("""COMPUTED_VALUE"""),"VIGENTE")</f>
        <v>VIGENTE</v>
      </c>
      <c r="I192" s="173" t="str">
        <f t="shared" si="1"/>
        <v>-</v>
      </c>
      <c r="J192" s="103"/>
      <c r="K192" s="220">
        <v>189.0</v>
      </c>
      <c r="L192" s="78">
        <f>IFERROR(__xludf.DUMMYFUNCTION("""COMPUTED_VALUE"""),2883.0)</f>
        <v>2883</v>
      </c>
      <c r="M192" s="221">
        <f>IFERROR(__xludf.DUMMYFUNCTION("""COMPUTED_VALUE"""),46233.0)</f>
        <v>46233</v>
      </c>
      <c r="N192" s="78" t="str">
        <f>IFERROR(__xludf.DUMMYFUNCTION("""COMPUTED_VALUE"""),"MAYORCA")</f>
        <v>MAYORCA</v>
      </c>
      <c r="O192" s="159">
        <f>IFERROR(__xludf.DUMMYFUNCTION("""COMPUTED_VALUE"""),1420.0)</f>
        <v>1420</v>
      </c>
      <c r="P192" s="78" t="str">
        <f>IFERROR(__xludf.DUMMYFUNCTION("""COMPUTED_VALUE"""),"VIGENTE")</f>
        <v>VIGENTE</v>
      </c>
      <c r="Q192" s="8" t="str">
        <f t="shared" si="2"/>
        <v>--</v>
      </c>
      <c r="AC192" s="200"/>
      <c r="AE192" s="8"/>
    </row>
    <row r="193">
      <c r="A193" s="158"/>
      <c r="B193" s="220">
        <v>190.0</v>
      </c>
      <c r="C193" s="78">
        <f>IFERROR(__xludf.DUMMYFUNCTION("""COMPUTED_VALUE"""),2425.0)</f>
        <v>2425</v>
      </c>
      <c r="D193" s="221">
        <f>IFERROR(__xludf.DUMMYFUNCTION("""COMPUTED_VALUE"""),46477.0)</f>
        <v>46477</v>
      </c>
      <c r="E193" s="78" t="str">
        <f>IFERROR(__xludf.DUMMYFUNCTION("""COMPUTED_VALUE"""),"BULTOS")</f>
        <v>BULTOS</v>
      </c>
      <c r="F193" s="156">
        <f>IFERROR(__xludf.DUMMYFUNCTION("""COMPUTED_VALUE"""),46169.0)</f>
        <v>46169</v>
      </c>
      <c r="G193" s="159">
        <f>IFERROR(__xludf.DUMMYFUNCTION("""COMPUTED_VALUE"""),47.0)</f>
        <v>47</v>
      </c>
      <c r="H193" s="78" t="str">
        <f>IFERROR(__xludf.DUMMYFUNCTION("""COMPUTED_VALUE"""),"VIGENTE")</f>
        <v>VIGENTE</v>
      </c>
      <c r="I193" s="173" t="str">
        <f t="shared" si="1"/>
        <v>-</v>
      </c>
      <c r="J193" s="103"/>
      <c r="K193" s="220">
        <v>190.0</v>
      </c>
      <c r="L193" s="78">
        <f>IFERROR(__xludf.DUMMYFUNCTION("""COMPUTED_VALUE"""),3251.0)</f>
        <v>3251</v>
      </c>
      <c r="M193" s="221">
        <f>IFERROR(__xludf.DUMMYFUNCTION("""COMPUTED_VALUE"""),46661.0)</f>
        <v>46661</v>
      </c>
      <c r="N193" s="78" t="str">
        <f>IFERROR(__xludf.DUMMYFUNCTION("""COMPUTED_VALUE"""),"24-Rionegro")</f>
        <v>24-Rionegro</v>
      </c>
      <c r="O193" s="159">
        <f>IFERROR(__xludf.DUMMYFUNCTION("""COMPUTED_VALUE"""),1379.0)</f>
        <v>1379</v>
      </c>
      <c r="P193" s="78" t="str">
        <f>IFERROR(__xludf.DUMMYFUNCTION("""COMPUTED_VALUE"""),"VIGENTE")</f>
        <v>VIGENTE</v>
      </c>
      <c r="Q193" s="8" t="str">
        <f t="shared" si="2"/>
        <v>--</v>
      </c>
      <c r="AC193" s="200"/>
      <c r="AE193" s="8"/>
    </row>
    <row r="194">
      <c r="A194" s="158"/>
      <c r="B194" s="220">
        <v>191.0</v>
      </c>
      <c r="C194" s="78">
        <f>IFERROR(__xludf.DUMMYFUNCTION("""COMPUTED_VALUE"""),2378.0)</f>
        <v>2378</v>
      </c>
      <c r="D194" s="221">
        <f>IFERROR(__xludf.DUMMYFUNCTION("""COMPUTED_VALUE"""),46542.0)</f>
        <v>46542</v>
      </c>
      <c r="E194" s="78" t="str">
        <f>IFERROR(__xludf.DUMMYFUNCTION("""COMPUTED_VALUE"""),"MAYORCA")</f>
        <v>MAYORCA</v>
      </c>
      <c r="F194" s="156">
        <f>IFERROR(__xludf.DUMMYFUNCTION("""COMPUTED_VALUE"""),46169.0)</f>
        <v>46169</v>
      </c>
      <c r="G194" s="159">
        <f>IFERROR(__xludf.DUMMYFUNCTION("""COMPUTED_VALUE"""),47.0)</f>
        <v>47</v>
      </c>
      <c r="H194" s="78" t="str">
        <f>IFERROR(__xludf.DUMMYFUNCTION("""COMPUTED_VALUE"""),"VIGENTE")</f>
        <v>VIGENTE</v>
      </c>
      <c r="I194" s="173" t="str">
        <f t="shared" si="1"/>
        <v>-</v>
      </c>
      <c r="J194" s="103"/>
      <c r="K194" s="220">
        <v>191.0</v>
      </c>
      <c r="L194" s="78">
        <f>IFERROR(__xludf.DUMMYFUNCTION("""COMPUTED_VALUE"""),2855.0)</f>
        <v>2855</v>
      </c>
      <c r="M194" s="221">
        <f>IFERROR(__xludf.DUMMYFUNCTION("""COMPUTED_VALUE"""),46575.0)</f>
        <v>46575</v>
      </c>
      <c r="N194" s="78" t="str">
        <f>IFERROR(__xludf.DUMMYFUNCTION("""COMPUTED_VALUE"""),"02-Medellin")</f>
        <v>02-Medellin</v>
      </c>
      <c r="O194" s="159">
        <f>IFERROR(__xludf.DUMMYFUNCTION("""COMPUTED_VALUE"""),1319.0)</f>
        <v>1319</v>
      </c>
      <c r="P194" s="78" t="str">
        <f>IFERROR(__xludf.DUMMYFUNCTION("""COMPUTED_VALUE"""),"VIGENTE")</f>
        <v>VIGENTE</v>
      </c>
      <c r="Q194" s="8" t="str">
        <f t="shared" si="2"/>
        <v>--</v>
      </c>
      <c r="AC194" s="200"/>
      <c r="AE194" s="8"/>
    </row>
    <row r="195">
      <c r="A195" s="158"/>
      <c r="B195" s="220">
        <v>192.0</v>
      </c>
      <c r="C195" s="78">
        <f>IFERROR(__xludf.DUMMYFUNCTION("""COMPUTED_VALUE"""),2354.0)</f>
        <v>2354</v>
      </c>
      <c r="D195" s="221">
        <f>IFERROR(__xludf.DUMMYFUNCTION("""COMPUTED_VALUE"""),46435.0)</f>
        <v>46435</v>
      </c>
      <c r="E195" s="78" t="str">
        <f>IFERROR(__xludf.DUMMYFUNCTION("""COMPUTED_VALUE"""),"31-Copacabana")</f>
        <v>31-Copacabana</v>
      </c>
      <c r="F195" s="156">
        <f>IFERROR(__xludf.DUMMYFUNCTION("""COMPUTED_VALUE"""),46169.0)</f>
        <v>46169</v>
      </c>
      <c r="G195" s="159">
        <f>IFERROR(__xludf.DUMMYFUNCTION("""COMPUTED_VALUE"""),47.0)</f>
        <v>47</v>
      </c>
      <c r="H195" s="78" t="str">
        <f>IFERROR(__xludf.DUMMYFUNCTION("""COMPUTED_VALUE"""),"VIGENTE")</f>
        <v>VIGENTE</v>
      </c>
      <c r="I195" s="173" t="str">
        <f t="shared" si="1"/>
        <v>-</v>
      </c>
      <c r="J195" s="103"/>
      <c r="K195" s="220">
        <v>192.0</v>
      </c>
      <c r="L195" s="78">
        <f>IFERROR(__xludf.DUMMYFUNCTION("""COMPUTED_VALUE"""),2197.0)</f>
        <v>2197</v>
      </c>
      <c r="M195" s="221">
        <f>IFERROR(__xludf.DUMMYFUNCTION("""COMPUTED_VALUE"""),46529.0)</f>
        <v>46529</v>
      </c>
      <c r="N195" s="78" t="str">
        <f>IFERROR(__xludf.DUMMYFUNCTION("""COMPUTED_VALUE"""),"02-Medellin")</f>
        <v>02-Medellin</v>
      </c>
      <c r="O195" s="159">
        <f>IFERROR(__xludf.DUMMYFUNCTION("""COMPUTED_VALUE"""),1280.7)</f>
        <v>1280.7</v>
      </c>
      <c r="P195" s="78" t="str">
        <f>IFERROR(__xludf.DUMMYFUNCTION("""COMPUTED_VALUE"""),"VIGENTE")</f>
        <v>VIGENTE</v>
      </c>
      <c r="Q195" s="8" t="str">
        <f t="shared" si="2"/>
        <v>--</v>
      </c>
      <c r="AC195" s="200"/>
      <c r="AE195" s="8"/>
    </row>
    <row r="196">
      <c r="A196" s="158"/>
      <c r="B196" s="220">
        <v>193.0</v>
      </c>
      <c r="C196" s="78">
        <f>IFERROR(__xludf.DUMMYFUNCTION("""COMPUTED_VALUE"""),1798.0)</f>
        <v>1798</v>
      </c>
      <c r="D196" s="221">
        <f>IFERROR(__xludf.DUMMYFUNCTION("""COMPUTED_VALUE"""),46565.0)</f>
        <v>46565</v>
      </c>
      <c r="E196" s="78" t="str">
        <f>IFERROR(__xludf.DUMMYFUNCTION("""COMPUTED_VALUE"""),"02-Medellin")</f>
        <v>02-Medellin</v>
      </c>
      <c r="F196" s="156">
        <f>IFERROR(__xludf.DUMMYFUNCTION("""COMPUTED_VALUE"""),46169.0)</f>
        <v>46169</v>
      </c>
      <c r="G196" s="159">
        <f>IFERROR(__xludf.DUMMYFUNCTION("""COMPUTED_VALUE"""),47.0)</f>
        <v>47</v>
      </c>
      <c r="H196" s="78" t="str">
        <f>IFERROR(__xludf.DUMMYFUNCTION("""COMPUTED_VALUE"""),"VIGENTE")</f>
        <v>VIGENTE</v>
      </c>
      <c r="I196" s="173" t="str">
        <f t="shared" si="1"/>
        <v>-</v>
      </c>
      <c r="J196" s="103"/>
      <c r="K196" s="220">
        <v>193.0</v>
      </c>
      <c r="L196" s="78">
        <f>IFERROR(__xludf.DUMMYFUNCTION("""COMPUTED_VALUE"""),2906.0)</f>
        <v>2906</v>
      </c>
      <c r="M196" s="221">
        <f>IFERROR(__xludf.DUMMYFUNCTION("""COMPUTED_VALUE"""),46275.0)</f>
        <v>46275</v>
      </c>
      <c r="N196" s="78" t="str">
        <f>IFERROR(__xludf.DUMMYFUNCTION("""COMPUTED_VALUE"""),"02-Medellin")</f>
        <v>02-Medellin</v>
      </c>
      <c r="O196" s="159">
        <f>IFERROR(__xludf.DUMMYFUNCTION("""COMPUTED_VALUE"""),1250.0)</f>
        <v>1250</v>
      </c>
      <c r="P196" s="78" t="str">
        <f>IFERROR(__xludf.DUMMYFUNCTION("""COMPUTED_VALUE"""),"VIGENTE")</f>
        <v>VIGENTE</v>
      </c>
      <c r="Q196" s="8" t="str">
        <f t="shared" si="2"/>
        <v>--</v>
      </c>
      <c r="AC196" s="200"/>
      <c r="AE196" s="8"/>
    </row>
    <row r="197">
      <c r="A197" s="158"/>
      <c r="B197" s="220">
        <v>194.0</v>
      </c>
      <c r="C197" s="78">
        <f>IFERROR(__xludf.DUMMYFUNCTION("""COMPUTED_VALUE"""),2897.0)</f>
        <v>2897</v>
      </c>
      <c r="D197" s="221">
        <f>IFERROR(__xludf.DUMMYFUNCTION("""COMPUTED_VALUE"""),46242.0)</f>
        <v>46242</v>
      </c>
      <c r="E197" s="78" t="str">
        <f>IFERROR(__xludf.DUMMYFUNCTION("""COMPUTED_VALUE"""),"31-Copacabana QUIMICOS")</f>
        <v>31-Copacabana QUIMICOS</v>
      </c>
      <c r="F197" s="156">
        <f>IFERROR(__xludf.DUMMYFUNCTION("""COMPUTED_VALUE"""),46170.0)</f>
        <v>46170</v>
      </c>
      <c r="G197" s="159">
        <f>IFERROR(__xludf.DUMMYFUNCTION("""COMPUTED_VALUE"""),46.0)</f>
        <v>46</v>
      </c>
      <c r="H197" s="78" t="str">
        <f>IFERROR(__xludf.DUMMYFUNCTION("""COMPUTED_VALUE"""),"VIGENTE")</f>
        <v>VIGENTE</v>
      </c>
      <c r="I197" s="173" t="str">
        <f t="shared" si="1"/>
        <v>-</v>
      </c>
      <c r="J197" s="103"/>
      <c r="K197" s="220">
        <v>194.0</v>
      </c>
      <c r="L197" s="78">
        <f>IFERROR(__xludf.DUMMYFUNCTION("""COMPUTED_VALUE"""),2390.0)</f>
        <v>2390</v>
      </c>
      <c r="M197" s="221">
        <f>IFERROR(__xludf.DUMMYFUNCTION("""COMPUTED_VALUE"""),46544.0)</f>
        <v>46544</v>
      </c>
      <c r="N197" s="78" t="str">
        <f>IFERROR(__xludf.DUMMYFUNCTION("""COMPUTED_VALUE"""),"MAYORCA")</f>
        <v>MAYORCA</v>
      </c>
      <c r="O197" s="159">
        <f>IFERROR(__xludf.DUMMYFUNCTION("""COMPUTED_VALUE"""),1246.4)</f>
        <v>1246.4</v>
      </c>
      <c r="P197" s="78" t="str">
        <f>IFERROR(__xludf.DUMMYFUNCTION("""COMPUTED_VALUE"""),"VIGENTE")</f>
        <v>VIGENTE</v>
      </c>
      <c r="Q197" s="8" t="str">
        <f t="shared" si="2"/>
        <v>--</v>
      </c>
      <c r="AC197" s="200"/>
      <c r="AE197" s="8"/>
    </row>
    <row r="198">
      <c r="A198" s="158"/>
      <c r="B198" s="220">
        <v>195.0</v>
      </c>
      <c r="C198" s="78">
        <f>IFERROR(__xludf.DUMMYFUNCTION("""COMPUTED_VALUE"""),2887.0)</f>
        <v>2887</v>
      </c>
      <c r="D198" s="221">
        <f>IFERROR(__xludf.DUMMYFUNCTION("""COMPUTED_VALUE"""),46233.0)</f>
        <v>46233</v>
      </c>
      <c r="E198" s="78" t="str">
        <f>IFERROR(__xludf.DUMMYFUNCTION("""COMPUTED_VALUE"""),"02-Medellin")</f>
        <v>02-Medellin</v>
      </c>
      <c r="F198" s="156">
        <f>IFERROR(__xludf.DUMMYFUNCTION("""COMPUTED_VALUE"""),46170.0)</f>
        <v>46170</v>
      </c>
      <c r="G198" s="159">
        <f>IFERROR(__xludf.DUMMYFUNCTION("""COMPUTED_VALUE"""),46.0)</f>
        <v>46</v>
      </c>
      <c r="H198" s="78" t="str">
        <f>IFERROR(__xludf.DUMMYFUNCTION("""COMPUTED_VALUE"""),"VIGENTE")</f>
        <v>VIGENTE</v>
      </c>
      <c r="I198" s="173" t="str">
        <f t="shared" si="1"/>
        <v>-</v>
      </c>
      <c r="J198" s="103"/>
      <c r="K198" s="220">
        <v>195.0</v>
      </c>
      <c r="L198" s="78">
        <f>IFERROR(__xludf.DUMMYFUNCTION("""COMPUTED_VALUE"""),2360.0)</f>
        <v>2360</v>
      </c>
      <c r="M198" s="221">
        <f>IFERROR(__xludf.DUMMYFUNCTION("""COMPUTED_VALUE"""),46445.0)</f>
        <v>46445</v>
      </c>
      <c r="N198" s="78" t="str">
        <f>IFERROR(__xludf.DUMMYFUNCTION("""COMPUTED_VALUE"""),"02-Medellin")</f>
        <v>02-Medellin</v>
      </c>
      <c r="O198" s="159">
        <f>IFERROR(__xludf.DUMMYFUNCTION("""COMPUTED_VALUE"""),1244.4)</f>
        <v>1244.4</v>
      </c>
      <c r="P198" s="78" t="str">
        <f>IFERROR(__xludf.DUMMYFUNCTION("""COMPUTED_VALUE"""),"VIGENTE")</f>
        <v>VIGENTE</v>
      </c>
      <c r="Q198" s="8" t="str">
        <f t="shared" si="2"/>
        <v>--</v>
      </c>
      <c r="AC198" s="200"/>
      <c r="AE198" s="8"/>
    </row>
    <row r="199">
      <c r="A199" s="158"/>
      <c r="B199" s="220">
        <v>196.0</v>
      </c>
      <c r="C199" s="78">
        <f>IFERROR(__xludf.DUMMYFUNCTION("""COMPUTED_VALUE"""),2882.0)</f>
        <v>2882</v>
      </c>
      <c r="D199" s="221">
        <f>IFERROR(__xludf.DUMMYFUNCTION("""COMPUTED_VALUE"""),46233.0)</f>
        <v>46233</v>
      </c>
      <c r="E199" s="78" t="str">
        <f>IFERROR(__xludf.DUMMYFUNCTION("""COMPUTED_VALUE"""),"38-La ceja")</f>
        <v>38-La ceja</v>
      </c>
      <c r="F199" s="156">
        <f>IFERROR(__xludf.DUMMYFUNCTION("""COMPUTED_VALUE"""),46170.0)</f>
        <v>46170</v>
      </c>
      <c r="G199" s="159">
        <f>IFERROR(__xludf.DUMMYFUNCTION("""COMPUTED_VALUE"""),46.0)</f>
        <v>46</v>
      </c>
      <c r="H199" s="78" t="str">
        <f>IFERROR(__xludf.DUMMYFUNCTION("""COMPUTED_VALUE"""),"VIGENTE")</f>
        <v>VIGENTE</v>
      </c>
      <c r="I199" s="173" t="str">
        <f t="shared" si="1"/>
        <v>-</v>
      </c>
      <c r="J199" s="103"/>
      <c r="K199" s="220">
        <v>196.0</v>
      </c>
      <c r="L199" s="78">
        <f>IFERROR(__xludf.DUMMYFUNCTION("""COMPUTED_VALUE"""),2905.0)</f>
        <v>2905</v>
      </c>
      <c r="M199" s="221">
        <f>IFERROR(__xludf.DUMMYFUNCTION("""COMPUTED_VALUE"""),46275.0)</f>
        <v>46275</v>
      </c>
      <c r="N199" s="78" t="str">
        <f>IFERROR(__xludf.DUMMYFUNCTION("""COMPUTED_VALUE"""),"02-Medellin")</f>
        <v>02-Medellin</v>
      </c>
      <c r="O199" s="159">
        <f>IFERROR(__xludf.DUMMYFUNCTION("""COMPUTED_VALUE"""),1242.0)</f>
        <v>1242</v>
      </c>
      <c r="P199" s="78" t="str">
        <f>IFERROR(__xludf.DUMMYFUNCTION("""COMPUTED_VALUE"""),"VIGENTE")</f>
        <v>VIGENTE</v>
      </c>
      <c r="Q199" s="8" t="str">
        <f t="shared" si="2"/>
        <v>--</v>
      </c>
      <c r="AC199" s="200"/>
      <c r="AE199" s="8"/>
    </row>
    <row r="200">
      <c r="A200" s="158"/>
      <c r="B200" s="220">
        <v>197.0</v>
      </c>
      <c r="C200" s="78">
        <f>IFERROR(__xludf.DUMMYFUNCTION("""COMPUTED_VALUE"""),2454.0)</f>
        <v>2454</v>
      </c>
      <c r="D200" s="221">
        <f>IFERROR(__xludf.DUMMYFUNCTION("""COMPUTED_VALUE"""),46291.0)</f>
        <v>46291</v>
      </c>
      <c r="E200" s="78" t="str">
        <f>IFERROR(__xludf.DUMMYFUNCTION("""COMPUTED_VALUE"""),"02-Medellin")</f>
        <v>02-Medellin</v>
      </c>
      <c r="F200" s="156">
        <f>IFERROR(__xludf.DUMMYFUNCTION("""COMPUTED_VALUE"""),46170.0)</f>
        <v>46170</v>
      </c>
      <c r="G200" s="159">
        <f>IFERROR(__xludf.DUMMYFUNCTION("""COMPUTED_VALUE"""),46.0)</f>
        <v>46</v>
      </c>
      <c r="H200" s="78" t="str">
        <f>IFERROR(__xludf.DUMMYFUNCTION("""COMPUTED_VALUE"""),"VIGENTE")</f>
        <v>VIGENTE</v>
      </c>
      <c r="I200" s="173" t="str">
        <f t="shared" si="1"/>
        <v>-</v>
      </c>
      <c r="J200" s="103"/>
      <c r="K200" s="220">
        <v>197.0</v>
      </c>
      <c r="L200" s="78">
        <f>IFERROR(__xludf.DUMMYFUNCTION("""COMPUTED_VALUE"""),2919.0)</f>
        <v>2919</v>
      </c>
      <c r="M200" s="221">
        <f>IFERROR(__xludf.DUMMYFUNCTION("""COMPUTED_VALUE"""),46303.0)</f>
        <v>46303</v>
      </c>
      <c r="N200" s="78" t="str">
        <f>IFERROR(__xludf.DUMMYFUNCTION("""COMPUTED_VALUE"""),"MAYORCA")</f>
        <v>MAYORCA</v>
      </c>
      <c r="O200" s="159">
        <f>IFERROR(__xludf.DUMMYFUNCTION("""COMPUTED_VALUE"""),1237.0)</f>
        <v>1237</v>
      </c>
      <c r="P200" s="78" t="str">
        <f>IFERROR(__xludf.DUMMYFUNCTION("""COMPUTED_VALUE"""),"VIGENTE")</f>
        <v>VIGENTE</v>
      </c>
      <c r="Q200" s="8" t="str">
        <f t="shared" si="2"/>
        <v>--</v>
      </c>
      <c r="AC200" s="200"/>
      <c r="AE200" s="8"/>
    </row>
    <row r="201">
      <c r="A201" s="158"/>
      <c r="B201" s="220">
        <v>198.0</v>
      </c>
      <c r="C201" s="78">
        <f>IFERROR(__xludf.DUMMYFUNCTION("""COMPUTED_VALUE"""),2414.0)</f>
        <v>2414</v>
      </c>
      <c r="D201" s="221">
        <f>IFERROR(__xludf.DUMMYFUNCTION("""COMPUTED_VALUE"""),46549.0)</f>
        <v>46549</v>
      </c>
      <c r="E201" s="78" t="str">
        <f>IFERROR(__xludf.DUMMYFUNCTION("""COMPUTED_VALUE"""),"02-Medellin")</f>
        <v>02-Medellin</v>
      </c>
      <c r="F201" s="156">
        <f>IFERROR(__xludf.DUMMYFUNCTION("""COMPUTED_VALUE"""),46170.0)</f>
        <v>46170</v>
      </c>
      <c r="G201" s="159">
        <f>IFERROR(__xludf.DUMMYFUNCTION("""COMPUTED_VALUE"""),46.0)</f>
        <v>46</v>
      </c>
      <c r="H201" s="78" t="str">
        <f>IFERROR(__xludf.DUMMYFUNCTION("""COMPUTED_VALUE"""),"VIGENTE")</f>
        <v>VIGENTE</v>
      </c>
      <c r="I201" s="173" t="str">
        <f t="shared" si="1"/>
        <v>-</v>
      </c>
      <c r="J201" s="103"/>
      <c r="K201" s="220">
        <v>198.0</v>
      </c>
      <c r="L201" s="78">
        <f>IFERROR(__xludf.DUMMYFUNCTION("""COMPUTED_VALUE"""),2196.0)</f>
        <v>2196</v>
      </c>
      <c r="M201" s="221">
        <f>IFERROR(__xludf.DUMMYFUNCTION("""COMPUTED_VALUE"""),46542.0)</f>
        <v>46542</v>
      </c>
      <c r="N201" s="78" t="str">
        <f>IFERROR(__xludf.DUMMYFUNCTION("""COMPUTED_VALUE"""),"02-Medellin")</f>
        <v>02-Medellin</v>
      </c>
      <c r="O201" s="159">
        <f>IFERROR(__xludf.DUMMYFUNCTION("""COMPUTED_VALUE"""),1223.4)</f>
        <v>1223.4</v>
      </c>
      <c r="P201" s="78" t="str">
        <f>IFERROR(__xludf.DUMMYFUNCTION("""COMPUTED_VALUE"""),"VIGENTE")</f>
        <v>VIGENTE</v>
      </c>
      <c r="Q201" s="8" t="str">
        <f t="shared" si="2"/>
        <v>--</v>
      </c>
      <c r="AC201" s="200"/>
      <c r="AE201" s="8"/>
    </row>
    <row r="202">
      <c r="A202" s="158"/>
      <c r="B202" s="220">
        <v>199.0</v>
      </c>
      <c r="C202" s="78">
        <f>IFERROR(__xludf.DUMMYFUNCTION("""COMPUTED_VALUE"""),2922.0)</f>
        <v>2922</v>
      </c>
      <c r="D202" s="221">
        <f>IFERROR(__xludf.DUMMYFUNCTION("""COMPUTED_VALUE"""),46318.0)</f>
        <v>46318</v>
      </c>
      <c r="E202" s="78" t="str">
        <f>IFERROR(__xludf.DUMMYFUNCTION("""COMPUTED_VALUE"""),"02-Medellin")</f>
        <v>02-Medellin</v>
      </c>
      <c r="F202" s="156">
        <f>IFERROR(__xludf.DUMMYFUNCTION("""COMPUTED_VALUE"""),46171.0)</f>
        <v>46171</v>
      </c>
      <c r="G202" s="159">
        <f>IFERROR(__xludf.DUMMYFUNCTION("""COMPUTED_VALUE"""),45.0)</f>
        <v>45</v>
      </c>
      <c r="H202" s="78" t="str">
        <f>IFERROR(__xludf.DUMMYFUNCTION("""COMPUTED_VALUE"""),"VIGENTE")</f>
        <v>VIGENTE</v>
      </c>
      <c r="I202" s="173" t="str">
        <f t="shared" si="1"/>
        <v>-</v>
      </c>
      <c r="J202" s="103"/>
      <c r="K202" s="220">
        <v>199.0</v>
      </c>
      <c r="L202" s="78">
        <f>IFERROR(__xludf.DUMMYFUNCTION("""COMPUTED_VALUE"""),2640.0)</f>
        <v>2640</v>
      </c>
      <c r="M202" s="221">
        <f>IFERROR(__xludf.DUMMYFUNCTION("""COMPUTED_VALUE"""),46254.0)</f>
        <v>46254</v>
      </c>
      <c r="N202" s="78" t="str">
        <f>IFERROR(__xludf.DUMMYFUNCTION("""COMPUTED_VALUE"""),"27-Apartado")</f>
        <v>27-Apartado</v>
      </c>
      <c r="O202" s="159">
        <f>IFERROR(__xludf.DUMMYFUNCTION("""COMPUTED_VALUE"""),1199.0)</f>
        <v>1199</v>
      </c>
      <c r="P202" s="78" t="str">
        <f>IFERROR(__xludf.DUMMYFUNCTION("""COMPUTED_VALUE"""),"VIGENTE")</f>
        <v>VIGENTE</v>
      </c>
      <c r="Q202" s="8" t="str">
        <f t="shared" si="2"/>
        <v>--</v>
      </c>
      <c r="AC202" s="200"/>
      <c r="AE202" s="8"/>
    </row>
    <row r="203">
      <c r="A203" s="158"/>
      <c r="B203" s="220">
        <v>200.0</v>
      </c>
      <c r="C203" s="78">
        <f>IFERROR(__xludf.DUMMYFUNCTION("""COMPUTED_VALUE"""),2866.0)</f>
        <v>2866</v>
      </c>
      <c r="D203" s="221">
        <f>IFERROR(__xludf.DUMMYFUNCTION("""COMPUTED_VALUE"""),46221.0)</f>
        <v>46221</v>
      </c>
      <c r="E203" s="78" t="str">
        <f>IFERROR(__xludf.DUMMYFUNCTION("""COMPUTED_VALUE"""),"02-Medellin")</f>
        <v>02-Medellin</v>
      </c>
      <c r="F203" s="156">
        <f>IFERROR(__xludf.DUMMYFUNCTION("""COMPUTED_VALUE"""),46172.0)</f>
        <v>46172</v>
      </c>
      <c r="G203" s="159">
        <f>IFERROR(__xludf.DUMMYFUNCTION("""COMPUTED_VALUE"""),44.0)</f>
        <v>44</v>
      </c>
      <c r="H203" s="78" t="str">
        <f>IFERROR(__xludf.DUMMYFUNCTION("""COMPUTED_VALUE"""),"VIGENTE")</f>
        <v>VIGENTE</v>
      </c>
      <c r="I203" s="173" t="str">
        <f t="shared" si="1"/>
        <v>-</v>
      </c>
      <c r="J203" s="103"/>
      <c r="K203" s="220">
        <v>200.0</v>
      </c>
      <c r="L203" s="78">
        <f>IFERROR(__xludf.DUMMYFUNCTION("""COMPUTED_VALUE"""),2435.0)</f>
        <v>2435</v>
      </c>
      <c r="M203" s="221">
        <f>IFERROR(__xludf.DUMMYFUNCTION("""COMPUTED_VALUE"""),46530.0)</f>
        <v>46530</v>
      </c>
      <c r="N203" s="78" t="str">
        <f>IFERROR(__xludf.DUMMYFUNCTION("""COMPUTED_VALUE"""),"02-Medellin")</f>
        <v>02-Medellin</v>
      </c>
      <c r="O203" s="159">
        <f>IFERROR(__xludf.DUMMYFUNCTION("""COMPUTED_VALUE"""),1185.4)</f>
        <v>1185.4</v>
      </c>
      <c r="P203" s="78" t="str">
        <f>IFERROR(__xludf.DUMMYFUNCTION("""COMPUTED_VALUE"""),"VIGENTE")</f>
        <v>VIGENTE</v>
      </c>
      <c r="Q203" s="8" t="str">
        <f t="shared" si="2"/>
        <v>--</v>
      </c>
      <c r="AC203" s="200"/>
      <c r="AE203" s="8"/>
    </row>
    <row r="204">
      <c r="A204" s="158"/>
      <c r="B204" s="220">
        <v>201.0</v>
      </c>
      <c r="C204" s="78">
        <f>IFERROR(__xludf.DUMMYFUNCTION("""COMPUTED_VALUE"""),2469.0)</f>
        <v>2469</v>
      </c>
      <c r="D204" s="221">
        <f>IFERROR(__xludf.DUMMYFUNCTION("""COMPUTED_VALUE"""),46292.0)</f>
        <v>46292</v>
      </c>
      <c r="E204" s="78" t="str">
        <f>IFERROR(__xludf.DUMMYFUNCTION("""COMPUTED_VALUE"""),"31-Copacabana QUIMICOS")</f>
        <v>31-Copacabana QUIMICOS</v>
      </c>
      <c r="F204" s="156">
        <f>IFERROR(__xludf.DUMMYFUNCTION("""COMPUTED_VALUE"""),46172.0)</f>
        <v>46172</v>
      </c>
      <c r="G204" s="159">
        <f>IFERROR(__xludf.DUMMYFUNCTION("""COMPUTED_VALUE"""),44.0)</f>
        <v>44</v>
      </c>
      <c r="H204" s="78" t="str">
        <f>IFERROR(__xludf.DUMMYFUNCTION("""COMPUTED_VALUE"""),"VIGENTE")</f>
        <v>VIGENTE</v>
      </c>
      <c r="I204" s="173" t="str">
        <f t="shared" si="1"/>
        <v>-</v>
      </c>
      <c r="J204" s="103"/>
      <c r="K204" s="220">
        <v>201.0</v>
      </c>
      <c r="L204" s="78">
        <f>IFERROR(__xludf.DUMMYFUNCTION("""COMPUTED_VALUE"""),2866.0)</f>
        <v>2866</v>
      </c>
      <c r="M204" s="221">
        <f>IFERROR(__xludf.DUMMYFUNCTION("""COMPUTED_VALUE"""),46221.0)</f>
        <v>46221</v>
      </c>
      <c r="N204" s="78" t="str">
        <f>IFERROR(__xludf.DUMMYFUNCTION("""COMPUTED_VALUE"""),"02-Medellin")</f>
        <v>02-Medellin</v>
      </c>
      <c r="O204" s="159">
        <f>IFERROR(__xludf.DUMMYFUNCTION("""COMPUTED_VALUE"""),1180.0)</f>
        <v>1180</v>
      </c>
      <c r="P204" s="78" t="str">
        <f>IFERROR(__xludf.DUMMYFUNCTION("""COMPUTED_VALUE"""),"VIGENTE")</f>
        <v>VIGENTE</v>
      </c>
      <c r="Q204" s="8" t="str">
        <f t="shared" si="2"/>
        <v>--</v>
      </c>
      <c r="AC204" s="200"/>
      <c r="AE204" s="8"/>
    </row>
    <row r="205">
      <c r="A205" s="158"/>
      <c r="B205" s="220">
        <v>202.0</v>
      </c>
      <c r="C205" s="78">
        <f>IFERROR(__xludf.DUMMYFUNCTION("""COMPUTED_VALUE"""),2924.0)</f>
        <v>2924</v>
      </c>
      <c r="D205" s="221">
        <f>IFERROR(__xludf.DUMMYFUNCTION("""COMPUTED_VALUE"""),46318.0)</f>
        <v>46318</v>
      </c>
      <c r="E205" s="78" t="str">
        <f>IFERROR(__xludf.DUMMYFUNCTION("""COMPUTED_VALUE"""),"02-Medellin")</f>
        <v>02-Medellin</v>
      </c>
      <c r="F205" s="156">
        <f>IFERROR(__xludf.DUMMYFUNCTION("""COMPUTED_VALUE"""),46176.0)</f>
        <v>46176</v>
      </c>
      <c r="G205" s="159">
        <f>IFERROR(__xludf.DUMMYFUNCTION("""COMPUTED_VALUE"""),40.0)</f>
        <v>40</v>
      </c>
      <c r="H205" s="78" t="str">
        <f>IFERROR(__xludf.DUMMYFUNCTION("""COMPUTED_VALUE"""),"VIGENTE")</f>
        <v>VIGENTE</v>
      </c>
      <c r="I205" s="173" t="str">
        <f t="shared" si="1"/>
        <v>-</v>
      </c>
      <c r="J205" s="103"/>
      <c r="K205" s="220">
        <v>202.0</v>
      </c>
      <c r="L205" s="78">
        <f>IFERROR(__xludf.DUMMYFUNCTION("""COMPUTED_VALUE"""),2861.0)</f>
        <v>2861</v>
      </c>
      <c r="M205" s="221">
        <f>IFERROR(__xludf.DUMMYFUNCTION("""COMPUTED_VALUE"""),46226.0)</f>
        <v>46226</v>
      </c>
      <c r="N205" s="78" t="str">
        <f>IFERROR(__xludf.DUMMYFUNCTION("""COMPUTED_VALUE"""),"02-Medellin")</f>
        <v>02-Medellin</v>
      </c>
      <c r="O205" s="159">
        <f>IFERROR(__xludf.DUMMYFUNCTION("""COMPUTED_VALUE"""),1149.0)</f>
        <v>1149</v>
      </c>
      <c r="P205" s="78" t="str">
        <f>IFERROR(__xludf.DUMMYFUNCTION("""COMPUTED_VALUE"""),"VIGENTE")</f>
        <v>VIGENTE</v>
      </c>
      <c r="Q205" s="8" t="str">
        <f t="shared" si="2"/>
        <v>--</v>
      </c>
      <c r="AC205" s="200"/>
      <c r="AE205" s="8"/>
    </row>
    <row r="206">
      <c r="A206" s="158"/>
      <c r="B206" s="220">
        <v>203.0</v>
      </c>
      <c r="C206" s="78">
        <f>IFERROR(__xludf.DUMMYFUNCTION("""COMPUTED_VALUE"""),2867.0)</f>
        <v>2867</v>
      </c>
      <c r="D206" s="221">
        <f>IFERROR(__xludf.DUMMYFUNCTION("""COMPUTED_VALUE"""),46226.0)</f>
        <v>46226</v>
      </c>
      <c r="E206" s="78" t="str">
        <f>IFERROR(__xludf.DUMMYFUNCTION("""COMPUTED_VALUE"""),"02-Medellin")</f>
        <v>02-Medellin</v>
      </c>
      <c r="F206" s="156">
        <f>IFERROR(__xludf.DUMMYFUNCTION("""COMPUTED_VALUE"""),46176.0)</f>
        <v>46176</v>
      </c>
      <c r="G206" s="159">
        <f>IFERROR(__xludf.DUMMYFUNCTION("""COMPUTED_VALUE"""),40.0)</f>
        <v>40</v>
      </c>
      <c r="H206" s="78" t="str">
        <f>IFERROR(__xludf.DUMMYFUNCTION("""COMPUTED_VALUE"""),"VIGENTE")</f>
        <v>VIGENTE</v>
      </c>
      <c r="I206" s="173" t="str">
        <f t="shared" si="1"/>
        <v>-</v>
      </c>
      <c r="J206" s="103"/>
      <c r="K206" s="220">
        <v>203.0</v>
      </c>
      <c r="L206" s="78">
        <f>IFERROR(__xludf.DUMMYFUNCTION("""COMPUTED_VALUE"""),2376.0)</f>
        <v>2376</v>
      </c>
      <c r="M206" s="221">
        <f>IFERROR(__xludf.DUMMYFUNCTION("""COMPUTED_VALUE"""),46540.0)</f>
        <v>46540</v>
      </c>
      <c r="N206" s="78" t="str">
        <f>IFERROR(__xludf.DUMMYFUNCTION("""COMPUTED_VALUE"""),"02-Medellin")</f>
        <v>02-Medellin</v>
      </c>
      <c r="O206" s="159">
        <f>IFERROR(__xludf.DUMMYFUNCTION("""COMPUTED_VALUE"""),1111.6)</f>
        <v>1111.6</v>
      </c>
      <c r="P206" s="78" t="str">
        <f>IFERROR(__xludf.DUMMYFUNCTION("""COMPUTED_VALUE"""),"VIGENTE")</f>
        <v>VIGENTE</v>
      </c>
      <c r="Q206" s="8" t="str">
        <f t="shared" si="2"/>
        <v>--</v>
      </c>
      <c r="AC206" s="200"/>
      <c r="AE206" s="8"/>
    </row>
    <row r="207">
      <c r="A207" s="158"/>
      <c r="B207" s="220">
        <v>204.0</v>
      </c>
      <c r="C207" s="78">
        <f>IFERROR(__xludf.DUMMYFUNCTION("""COMPUTED_VALUE"""),2861.0)</f>
        <v>2861</v>
      </c>
      <c r="D207" s="221">
        <f>IFERROR(__xludf.DUMMYFUNCTION("""COMPUTED_VALUE"""),46226.0)</f>
        <v>46226</v>
      </c>
      <c r="E207" s="78" t="str">
        <f>IFERROR(__xludf.DUMMYFUNCTION("""COMPUTED_VALUE"""),"02-Medellin")</f>
        <v>02-Medellin</v>
      </c>
      <c r="F207" s="156">
        <f>IFERROR(__xludf.DUMMYFUNCTION("""COMPUTED_VALUE"""),46176.0)</f>
        <v>46176</v>
      </c>
      <c r="G207" s="159">
        <f>IFERROR(__xludf.DUMMYFUNCTION("""COMPUTED_VALUE"""),40.0)</f>
        <v>40</v>
      </c>
      <c r="H207" s="78" t="str">
        <f>IFERROR(__xludf.DUMMYFUNCTION("""COMPUTED_VALUE"""),"VIGENTE")</f>
        <v>VIGENTE</v>
      </c>
      <c r="I207" s="173" t="str">
        <f t="shared" si="1"/>
        <v>-</v>
      </c>
      <c r="J207" s="103"/>
      <c r="K207" s="220">
        <v>204.0</v>
      </c>
      <c r="L207" s="78">
        <f>IFERROR(__xludf.DUMMYFUNCTION("""COMPUTED_VALUE"""),2922.0)</f>
        <v>2922</v>
      </c>
      <c r="M207" s="221">
        <f>IFERROR(__xludf.DUMMYFUNCTION("""COMPUTED_VALUE"""),46318.0)</f>
        <v>46318</v>
      </c>
      <c r="N207" s="78" t="str">
        <f>IFERROR(__xludf.DUMMYFUNCTION("""COMPUTED_VALUE"""),"02-Medellin")</f>
        <v>02-Medellin</v>
      </c>
      <c r="O207" s="159">
        <f>IFERROR(__xludf.DUMMYFUNCTION("""COMPUTED_VALUE"""),1111.0)</f>
        <v>1111</v>
      </c>
      <c r="P207" s="78" t="str">
        <f>IFERROR(__xludf.DUMMYFUNCTION("""COMPUTED_VALUE"""),"VIGENTE")</f>
        <v>VIGENTE</v>
      </c>
      <c r="Q207" s="8" t="str">
        <f t="shared" si="2"/>
        <v>--</v>
      </c>
      <c r="AC207" s="200"/>
      <c r="AE207" s="8"/>
    </row>
    <row r="208">
      <c r="A208" s="158"/>
      <c r="B208" s="220">
        <v>205.0</v>
      </c>
      <c r="C208" s="78">
        <f>IFERROR(__xludf.DUMMYFUNCTION("""COMPUTED_VALUE"""),2676.0)</f>
        <v>2676</v>
      </c>
      <c r="D208" s="221">
        <f>IFERROR(__xludf.DUMMYFUNCTION("""COMPUTED_VALUE"""),46502.0)</f>
        <v>46502</v>
      </c>
      <c r="E208" s="78" t="str">
        <f>IFERROR(__xludf.DUMMYFUNCTION("""COMPUTED_VALUE"""),"02-Medellin")</f>
        <v>02-Medellin</v>
      </c>
      <c r="F208" s="156">
        <f>IFERROR(__xludf.DUMMYFUNCTION("""COMPUTED_VALUE"""),46176.0)</f>
        <v>46176</v>
      </c>
      <c r="G208" s="159">
        <f>IFERROR(__xludf.DUMMYFUNCTION("""COMPUTED_VALUE"""),40.0)</f>
        <v>40</v>
      </c>
      <c r="H208" s="78" t="str">
        <f>IFERROR(__xludf.DUMMYFUNCTION("""COMPUTED_VALUE"""),"VIGENTE")</f>
        <v>VIGENTE</v>
      </c>
      <c r="I208" s="173" t="str">
        <f t="shared" si="1"/>
        <v>-</v>
      </c>
      <c r="J208" s="103"/>
      <c r="K208" s="220">
        <v>205.0</v>
      </c>
      <c r="L208" s="78">
        <f>IFERROR(__xludf.DUMMYFUNCTION("""COMPUTED_VALUE"""),2418.0)</f>
        <v>2418</v>
      </c>
      <c r="M208" s="221">
        <f>IFERROR(__xludf.DUMMYFUNCTION("""COMPUTED_VALUE"""),46520.0)</f>
        <v>46520</v>
      </c>
      <c r="N208" s="78" t="str">
        <f>IFERROR(__xludf.DUMMYFUNCTION("""COMPUTED_VALUE"""),"02-Medellin")</f>
        <v>02-Medellin</v>
      </c>
      <c r="O208" s="159">
        <f>IFERROR(__xludf.DUMMYFUNCTION("""COMPUTED_VALUE"""),1090.1)</f>
        <v>1090.1</v>
      </c>
      <c r="P208" s="78" t="str">
        <f>IFERROR(__xludf.DUMMYFUNCTION("""COMPUTED_VALUE"""),"VIGENTE")</f>
        <v>VIGENTE</v>
      </c>
      <c r="Q208" s="8" t="str">
        <f t="shared" si="2"/>
        <v>--</v>
      </c>
      <c r="AC208" s="200"/>
      <c r="AE208" s="8"/>
    </row>
    <row r="209">
      <c r="A209" s="158"/>
      <c r="B209" s="220">
        <v>206.0</v>
      </c>
      <c r="C209" s="78">
        <f>IFERROR(__xludf.DUMMYFUNCTION("""COMPUTED_VALUE"""),2369.0)</f>
        <v>2369</v>
      </c>
      <c r="D209" s="221">
        <f>IFERROR(__xludf.DUMMYFUNCTION("""COMPUTED_VALUE"""),46541.0)</f>
        <v>46541</v>
      </c>
      <c r="E209" s="78" t="str">
        <f>IFERROR(__xludf.DUMMYFUNCTION("""COMPUTED_VALUE"""),"02-Medellin")</f>
        <v>02-Medellin</v>
      </c>
      <c r="F209" s="156">
        <f>IFERROR(__xludf.DUMMYFUNCTION("""COMPUTED_VALUE"""),46176.0)</f>
        <v>46176</v>
      </c>
      <c r="G209" s="159">
        <f>IFERROR(__xludf.DUMMYFUNCTION("""COMPUTED_VALUE"""),40.0)</f>
        <v>40</v>
      </c>
      <c r="H209" s="78" t="str">
        <f>IFERROR(__xludf.DUMMYFUNCTION("""COMPUTED_VALUE"""),"VIGENTE")</f>
        <v>VIGENTE</v>
      </c>
      <c r="I209" s="173" t="str">
        <f t="shared" si="1"/>
        <v>-</v>
      </c>
      <c r="J209" s="103"/>
      <c r="K209" s="220">
        <v>206.0</v>
      </c>
      <c r="L209" s="78">
        <f>IFERROR(__xludf.DUMMYFUNCTION("""COMPUTED_VALUE"""),2206.0)</f>
        <v>2206</v>
      </c>
      <c r="M209" s="221">
        <f>IFERROR(__xludf.DUMMYFUNCTION("""COMPUTED_VALUE"""),46548.0)</f>
        <v>46548</v>
      </c>
      <c r="N209" s="78" t="str">
        <f>IFERROR(__xludf.DUMMYFUNCTION("""COMPUTED_VALUE"""),"MAYORCA")</f>
        <v>MAYORCA</v>
      </c>
      <c r="O209" s="159">
        <f>IFERROR(__xludf.DUMMYFUNCTION("""COMPUTED_VALUE"""),1038.4)</f>
        <v>1038.4</v>
      </c>
      <c r="P209" s="78" t="str">
        <f>IFERROR(__xludf.DUMMYFUNCTION("""COMPUTED_VALUE"""),"VIGENTE")</f>
        <v>VIGENTE</v>
      </c>
      <c r="Q209" s="8" t="str">
        <f t="shared" si="2"/>
        <v>--</v>
      </c>
      <c r="AC209" s="200"/>
      <c r="AE209" s="8"/>
    </row>
    <row r="210">
      <c r="A210" s="158"/>
      <c r="B210" s="220">
        <v>207.0</v>
      </c>
      <c r="C210" s="78">
        <f>IFERROR(__xludf.DUMMYFUNCTION("""COMPUTED_VALUE"""),2196.0)</f>
        <v>2196</v>
      </c>
      <c r="D210" s="221">
        <f>IFERROR(__xludf.DUMMYFUNCTION("""COMPUTED_VALUE"""),46542.0)</f>
        <v>46542</v>
      </c>
      <c r="E210" s="78" t="str">
        <f>IFERROR(__xludf.DUMMYFUNCTION("""COMPUTED_VALUE"""),"02-Medellin")</f>
        <v>02-Medellin</v>
      </c>
      <c r="F210" s="156">
        <f>IFERROR(__xludf.DUMMYFUNCTION("""COMPUTED_VALUE"""),46176.0)</f>
        <v>46176</v>
      </c>
      <c r="G210" s="159">
        <f>IFERROR(__xludf.DUMMYFUNCTION("""COMPUTED_VALUE"""),40.0)</f>
        <v>40</v>
      </c>
      <c r="H210" s="78" t="str">
        <f>IFERROR(__xludf.DUMMYFUNCTION("""COMPUTED_VALUE"""),"VIGENTE")</f>
        <v>VIGENTE</v>
      </c>
      <c r="I210" s="173" t="str">
        <f t="shared" si="1"/>
        <v>-</v>
      </c>
      <c r="J210" s="103"/>
      <c r="K210" s="220">
        <v>207.0</v>
      </c>
      <c r="L210" s="78">
        <f>IFERROR(__xludf.DUMMYFUNCTION("""COMPUTED_VALUE"""),2378.0)</f>
        <v>2378</v>
      </c>
      <c r="M210" s="221">
        <f>IFERROR(__xludf.DUMMYFUNCTION("""COMPUTED_VALUE"""),46542.0)</f>
        <v>46542</v>
      </c>
      <c r="N210" s="78" t="str">
        <f>IFERROR(__xludf.DUMMYFUNCTION("""COMPUTED_VALUE"""),"MAYORCA")</f>
        <v>MAYORCA</v>
      </c>
      <c r="O210" s="159">
        <f>IFERROR(__xludf.DUMMYFUNCTION("""COMPUTED_VALUE"""),1022.8)</f>
        <v>1022.8</v>
      </c>
      <c r="P210" s="78" t="str">
        <f>IFERROR(__xludf.DUMMYFUNCTION("""COMPUTED_VALUE"""),"VIGENTE")</f>
        <v>VIGENTE</v>
      </c>
      <c r="Q210" s="8" t="str">
        <f t="shared" si="2"/>
        <v>--</v>
      </c>
      <c r="AC210" s="200"/>
      <c r="AE210" s="8"/>
    </row>
    <row r="211">
      <c r="A211" s="158"/>
      <c r="B211" s="220">
        <v>208.0</v>
      </c>
      <c r="C211" s="78">
        <f>IFERROR(__xludf.DUMMYFUNCTION("""COMPUTED_VALUE"""),2680.0)</f>
        <v>2680</v>
      </c>
      <c r="D211" s="221">
        <f>IFERROR(__xludf.DUMMYFUNCTION("""COMPUTED_VALUE"""),46501.0)</f>
        <v>46501</v>
      </c>
      <c r="E211" s="78" t="str">
        <f>IFERROR(__xludf.DUMMYFUNCTION("""COMPUTED_VALUE"""),"BULTOS")</f>
        <v>BULTOS</v>
      </c>
      <c r="F211" s="156">
        <f>IFERROR(__xludf.DUMMYFUNCTION("""COMPUTED_VALUE"""),46177.0)</f>
        <v>46177</v>
      </c>
      <c r="G211" s="159">
        <f>IFERROR(__xludf.DUMMYFUNCTION("""COMPUTED_VALUE"""),39.0)</f>
        <v>39</v>
      </c>
      <c r="H211" s="78" t="str">
        <f>IFERROR(__xludf.DUMMYFUNCTION("""COMPUTED_VALUE"""),"VIGENTE")</f>
        <v>VIGENTE</v>
      </c>
      <c r="I211" s="173" t="str">
        <f t="shared" si="1"/>
        <v>-</v>
      </c>
      <c r="J211" s="103"/>
      <c r="K211" s="220">
        <v>208.0</v>
      </c>
      <c r="L211" s="78">
        <f>IFERROR(__xludf.DUMMYFUNCTION("""COMPUTED_VALUE"""),2275.0)</f>
        <v>2275</v>
      </c>
      <c r="M211" s="221">
        <f>IFERROR(__xludf.DUMMYFUNCTION("""COMPUTED_VALUE"""),46263.0)</f>
        <v>46263</v>
      </c>
      <c r="N211" s="78" t="str">
        <f>IFERROR(__xludf.DUMMYFUNCTION("""COMPUTED_VALUE"""),"02-Medellin")</f>
        <v>02-Medellin</v>
      </c>
      <c r="O211" s="159">
        <f>IFERROR(__xludf.DUMMYFUNCTION("""COMPUTED_VALUE"""),987.1)</f>
        <v>987.1</v>
      </c>
      <c r="P211" s="78" t="str">
        <f>IFERROR(__xludf.DUMMYFUNCTION("""COMPUTED_VALUE"""),"VIGENTE")</f>
        <v>VIGENTE</v>
      </c>
      <c r="Q211" s="8" t="str">
        <f t="shared" si="2"/>
        <v>--</v>
      </c>
      <c r="AC211" s="200"/>
      <c r="AE211" s="8"/>
    </row>
    <row r="212">
      <c r="A212" s="158"/>
      <c r="B212" s="220">
        <v>209.0</v>
      </c>
      <c r="C212" s="78">
        <f>IFERROR(__xludf.DUMMYFUNCTION("""COMPUTED_VALUE"""),2573.0)</f>
        <v>2573</v>
      </c>
      <c r="D212" s="221">
        <f>IFERROR(__xludf.DUMMYFUNCTION("""COMPUTED_VALUE"""),46239.0)</f>
        <v>46239</v>
      </c>
      <c r="E212" s="78" t="str">
        <f>IFERROR(__xludf.DUMMYFUNCTION("""COMPUTED_VALUE"""),"02-Medellin")</f>
        <v>02-Medellin</v>
      </c>
      <c r="F212" s="156">
        <f>IFERROR(__xludf.DUMMYFUNCTION("""COMPUTED_VALUE"""),46177.0)</f>
        <v>46177</v>
      </c>
      <c r="G212" s="159">
        <f>IFERROR(__xludf.DUMMYFUNCTION("""COMPUTED_VALUE"""),39.0)</f>
        <v>39</v>
      </c>
      <c r="H212" s="78" t="str">
        <f>IFERROR(__xludf.DUMMYFUNCTION("""COMPUTED_VALUE"""),"VIGENTE")</f>
        <v>VIGENTE</v>
      </c>
      <c r="I212" s="173" t="str">
        <f t="shared" si="1"/>
        <v>-</v>
      </c>
      <c r="J212" s="103"/>
      <c r="K212" s="220">
        <v>209.0</v>
      </c>
      <c r="L212" s="78">
        <f>IFERROR(__xludf.DUMMYFUNCTION("""COMPUTED_VALUE"""),2458.0)</f>
        <v>2458</v>
      </c>
      <c r="M212" s="221">
        <f>IFERROR(__xludf.DUMMYFUNCTION("""COMPUTED_VALUE"""),46288.0)</f>
        <v>46288</v>
      </c>
      <c r="N212" s="78" t="str">
        <f>IFERROR(__xludf.DUMMYFUNCTION("""COMPUTED_VALUE"""),"02-Medellin")</f>
        <v>02-Medellin</v>
      </c>
      <c r="O212" s="159">
        <f>IFERROR(__xludf.DUMMYFUNCTION("""COMPUTED_VALUE"""),930.7)</f>
        <v>930.7</v>
      </c>
      <c r="P212" s="78" t="str">
        <f>IFERROR(__xludf.DUMMYFUNCTION("""COMPUTED_VALUE"""),"VIGENTE")</f>
        <v>VIGENTE</v>
      </c>
      <c r="Q212" s="8" t="str">
        <f t="shared" si="2"/>
        <v>--</v>
      </c>
      <c r="AC212" s="200"/>
      <c r="AE212" s="8"/>
    </row>
    <row r="213">
      <c r="A213" s="158"/>
      <c r="B213" s="220">
        <v>210.0</v>
      </c>
      <c r="C213" s="78">
        <f>IFERROR(__xludf.DUMMYFUNCTION("""COMPUTED_VALUE"""),2458.0)</f>
        <v>2458</v>
      </c>
      <c r="D213" s="221">
        <f>IFERROR(__xludf.DUMMYFUNCTION("""COMPUTED_VALUE"""),46288.0)</f>
        <v>46288</v>
      </c>
      <c r="E213" s="78" t="str">
        <f>IFERROR(__xludf.DUMMYFUNCTION("""COMPUTED_VALUE"""),"02-Medellin")</f>
        <v>02-Medellin</v>
      </c>
      <c r="F213" s="156">
        <f>IFERROR(__xludf.DUMMYFUNCTION("""COMPUTED_VALUE"""),46177.0)</f>
        <v>46177</v>
      </c>
      <c r="G213" s="159">
        <f>IFERROR(__xludf.DUMMYFUNCTION("""COMPUTED_VALUE"""),39.0)</f>
        <v>39</v>
      </c>
      <c r="H213" s="78" t="str">
        <f>IFERROR(__xludf.DUMMYFUNCTION("""COMPUTED_VALUE"""),"VIGENTE")</f>
        <v>VIGENTE</v>
      </c>
      <c r="I213" s="173" t="str">
        <f t="shared" si="1"/>
        <v>-</v>
      </c>
      <c r="J213" s="103"/>
      <c r="K213" s="220">
        <v>210.0</v>
      </c>
      <c r="L213" s="78">
        <f>IFERROR(__xludf.DUMMYFUNCTION("""COMPUTED_VALUE"""),2195.0)</f>
        <v>2195</v>
      </c>
      <c r="M213" s="221">
        <f>IFERROR(__xludf.DUMMYFUNCTION("""COMPUTED_VALUE"""),46544.0)</f>
        <v>46544</v>
      </c>
      <c r="N213" s="78" t="str">
        <f>IFERROR(__xludf.DUMMYFUNCTION("""COMPUTED_VALUE"""),"02-Medellin")</f>
        <v>02-Medellin</v>
      </c>
      <c r="O213" s="159">
        <f>IFERROR(__xludf.DUMMYFUNCTION("""COMPUTED_VALUE"""),929.0)</f>
        <v>929</v>
      </c>
      <c r="P213" s="78" t="str">
        <f>IFERROR(__xludf.DUMMYFUNCTION("""COMPUTED_VALUE"""),"VIGENTE")</f>
        <v>VIGENTE</v>
      </c>
      <c r="Q213" s="8" t="str">
        <f t="shared" si="2"/>
        <v>--</v>
      </c>
      <c r="AC213" s="200"/>
      <c r="AE213" s="8"/>
    </row>
    <row r="214">
      <c r="A214" s="158"/>
      <c r="B214" s="220">
        <v>211.0</v>
      </c>
      <c r="C214" s="78">
        <f>IFERROR(__xludf.DUMMYFUNCTION("""COMPUTED_VALUE"""),2334.0)</f>
        <v>2334</v>
      </c>
      <c r="D214" s="221">
        <f>IFERROR(__xludf.DUMMYFUNCTION("""COMPUTED_VALUE"""),46543.0)</f>
        <v>46543</v>
      </c>
      <c r="E214" s="78" t="str">
        <f>IFERROR(__xludf.DUMMYFUNCTION("""COMPUTED_VALUE"""),"27-Apartado")</f>
        <v>27-Apartado</v>
      </c>
      <c r="F214" s="156">
        <f>IFERROR(__xludf.DUMMYFUNCTION("""COMPUTED_VALUE"""),46177.0)</f>
        <v>46177</v>
      </c>
      <c r="G214" s="159">
        <f>IFERROR(__xludf.DUMMYFUNCTION("""COMPUTED_VALUE"""),39.0)</f>
        <v>39</v>
      </c>
      <c r="H214" s="78" t="str">
        <f>IFERROR(__xludf.DUMMYFUNCTION("""COMPUTED_VALUE"""),"VIGENTE")</f>
        <v>VIGENTE</v>
      </c>
      <c r="I214" s="173" t="str">
        <f t="shared" si="1"/>
        <v>-</v>
      </c>
      <c r="J214" s="103"/>
      <c r="K214" s="220">
        <v>211.0</v>
      </c>
      <c r="L214" s="78">
        <f>IFERROR(__xludf.DUMMYFUNCTION("""COMPUTED_VALUE"""),2875.0)</f>
        <v>2875</v>
      </c>
      <c r="M214" s="221">
        <f>IFERROR(__xludf.DUMMYFUNCTION("""COMPUTED_VALUE"""),46226.0)</f>
        <v>46226</v>
      </c>
      <c r="N214" s="78" t="str">
        <f>IFERROR(__xludf.DUMMYFUNCTION("""COMPUTED_VALUE"""),"02-Medellin")</f>
        <v>02-Medellin</v>
      </c>
      <c r="O214" s="159">
        <f>IFERROR(__xludf.DUMMYFUNCTION("""COMPUTED_VALUE"""),851.0)</f>
        <v>851</v>
      </c>
      <c r="P214" s="78" t="str">
        <f>IFERROR(__xludf.DUMMYFUNCTION("""COMPUTED_VALUE"""),"VIGENTE")</f>
        <v>VIGENTE</v>
      </c>
      <c r="Q214" s="8" t="str">
        <f t="shared" si="2"/>
        <v>--</v>
      </c>
      <c r="AC214" s="200"/>
      <c r="AE214" s="8"/>
    </row>
    <row r="215">
      <c r="A215" s="158"/>
      <c r="B215" s="220">
        <v>212.0</v>
      </c>
      <c r="C215" s="78">
        <f>IFERROR(__xludf.DUMMYFUNCTION("""COMPUTED_VALUE"""),2201.0)</f>
        <v>2201</v>
      </c>
      <c r="D215" s="221">
        <f>IFERROR(__xludf.DUMMYFUNCTION("""COMPUTED_VALUE"""),46543.0)</f>
        <v>46543</v>
      </c>
      <c r="E215" s="78" t="str">
        <f>IFERROR(__xludf.DUMMYFUNCTION("""COMPUTED_VALUE"""),"02-Medellin")</f>
        <v>02-Medellin</v>
      </c>
      <c r="F215" s="156">
        <f>IFERROR(__xludf.DUMMYFUNCTION("""COMPUTED_VALUE"""),46177.0)</f>
        <v>46177</v>
      </c>
      <c r="G215" s="159">
        <f>IFERROR(__xludf.DUMMYFUNCTION("""COMPUTED_VALUE"""),39.0)</f>
        <v>39</v>
      </c>
      <c r="H215" s="78" t="str">
        <f>IFERROR(__xludf.DUMMYFUNCTION("""COMPUTED_VALUE"""),"VIGENTE")</f>
        <v>VIGENTE</v>
      </c>
      <c r="I215" s="173" t="str">
        <f t="shared" si="1"/>
        <v>-</v>
      </c>
      <c r="J215" s="103"/>
      <c r="K215" s="220">
        <v>212.0</v>
      </c>
      <c r="L215" s="78">
        <f>IFERROR(__xludf.DUMMYFUNCTION("""COMPUTED_VALUE"""),2201.0)</f>
        <v>2201</v>
      </c>
      <c r="M215" s="221">
        <f>IFERROR(__xludf.DUMMYFUNCTION("""COMPUTED_VALUE"""),46543.0)</f>
        <v>46543</v>
      </c>
      <c r="N215" s="78" t="str">
        <f>IFERROR(__xludf.DUMMYFUNCTION("""COMPUTED_VALUE"""),"02-Medellin")</f>
        <v>02-Medellin</v>
      </c>
      <c r="O215" s="159">
        <f>IFERROR(__xludf.DUMMYFUNCTION("""COMPUTED_VALUE"""),825.0)</f>
        <v>825</v>
      </c>
      <c r="P215" s="78" t="str">
        <f>IFERROR(__xludf.DUMMYFUNCTION("""COMPUTED_VALUE"""),"VIGENTE")</f>
        <v>VIGENTE</v>
      </c>
      <c r="Q215" s="8" t="str">
        <f t="shared" si="2"/>
        <v>--</v>
      </c>
      <c r="AC215" s="200"/>
      <c r="AE215" s="8"/>
    </row>
    <row r="216">
      <c r="A216" s="158"/>
      <c r="B216" s="220">
        <v>213.0</v>
      </c>
      <c r="C216" s="78">
        <f>IFERROR(__xludf.DUMMYFUNCTION("""COMPUTED_VALUE"""),2195.0)</f>
        <v>2195</v>
      </c>
      <c r="D216" s="221">
        <f>IFERROR(__xludf.DUMMYFUNCTION("""COMPUTED_VALUE"""),46544.0)</f>
        <v>46544</v>
      </c>
      <c r="E216" s="78" t="str">
        <f>IFERROR(__xludf.DUMMYFUNCTION("""COMPUTED_VALUE"""),"02-Medellin")</f>
        <v>02-Medellin</v>
      </c>
      <c r="F216" s="156">
        <f>IFERROR(__xludf.DUMMYFUNCTION("""COMPUTED_VALUE"""),46177.0)</f>
        <v>46177</v>
      </c>
      <c r="G216" s="159">
        <f>IFERROR(__xludf.DUMMYFUNCTION("""COMPUTED_VALUE"""),39.0)</f>
        <v>39</v>
      </c>
      <c r="H216" s="78" t="str">
        <f>IFERROR(__xludf.DUMMYFUNCTION("""COMPUTED_VALUE"""),"VIGENTE")</f>
        <v>VIGENTE</v>
      </c>
      <c r="I216" s="173" t="str">
        <f t="shared" si="1"/>
        <v>-</v>
      </c>
      <c r="J216" s="103"/>
      <c r="K216" s="220">
        <v>213.0</v>
      </c>
      <c r="L216" s="78">
        <f>IFERROR(__xludf.DUMMYFUNCTION("""COMPUTED_VALUE"""),2492.0)</f>
        <v>2492</v>
      </c>
      <c r="M216" s="221">
        <f>IFERROR(__xludf.DUMMYFUNCTION("""COMPUTED_VALUE"""),46555.0)</f>
        <v>46555</v>
      </c>
      <c r="N216" s="78" t="str">
        <f>IFERROR(__xludf.DUMMYFUNCTION("""COMPUTED_VALUE"""),"02-Medellin")</f>
        <v>02-Medellin</v>
      </c>
      <c r="O216" s="159">
        <f>IFERROR(__xludf.DUMMYFUNCTION("""COMPUTED_VALUE"""),792.9)</f>
        <v>792.9</v>
      </c>
      <c r="P216" s="78" t="str">
        <f>IFERROR(__xludf.DUMMYFUNCTION("""COMPUTED_VALUE"""),"VIGENTE")</f>
        <v>VIGENTE</v>
      </c>
      <c r="Q216" s="8" t="str">
        <f t="shared" si="2"/>
        <v>--</v>
      </c>
      <c r="AC216" s="200"/>
      <c r="AE216" s="8"/>
    </row>
    <row r="217">
      <c r="A217" s="158"/>
      <c r="B217" s="220">
        <v>214.0</v>
      </c>
      <c r="C217" s="78">
        <f>IFERROR(__xludf.DUMMYFUNCTION("""COMPUTED_VALUE"""),2906.0)</f>
        <v>2906</v>
      </c>
      <c r="D217" s="221">
        <f>IFERROR(__xludf.DUMMYFUNCTION("""COMPUTED_VALUE"""),46275.0)</f>
        <v>46275</v>
      </c>
      <c r="E217" s="78" t="str">
        <f>IFERROR(__xludf.DUMMYFUNCTION("""COMPUTED_VALUE"""),"02-Medellin")</f>
        <v>02-Medellin</v>
      </c>
      <c r="F217" s="156">
        <f>IFERROR(__xludf.DUMMYFUNCTION("""COMPUTED_VALUE"""),46179.0)</f>
        <v>46179</v>
      </c>
      <c r="G217" s="159">
        <f>IFERROR(__xludf.DUMMYFUNCTION("""COMPUTED_VALUE"""),37.0)</f>
        <v>37</v>
      </c>
      <c r="H217" s="78" t="str">
        <f>IFERROR(__xludf.DUMMYFUNCTION("""COMPUTED_VALUE"""),"VIGENTE")</f>
        <v>VIGENTE</v>
      </c>
      <c r="I217" s="173" t="str">
        <f t="shared" si="1"/>
        <v>-</v>
      </c>
      <c r="J217" s="103"/>
      <c r="K217" s="220">
        <v>214.0</v>
      </c>
      <c r="L217" s="78">
        <f>IFERROR(__xludf.DUMMYFUNCTION("""COMPUTED_VALUE"""),2677.0)</f>
        <v>2677</v>
      </c>
      <c r="M217" s="221">
        <f>IFERROR(__xludf.DUMMYFUNCTION("""COMPUTED_VALUE"""),46497.0)</f>
        <v>46497</v>
      </c>
      <c r="N217" s="78" t="str">
        <f>IFERROR(__xludf.DUMMYFUNCTION("""COMPUTED_VALUE"""),"02-Medellin")</f>
        <v>02-Medellin</v>
      </c>
      <c r="O217" s="159">
        <f>IFERROR(__xludf.DUMMYFUNCTION("""COMPUTED_VALUE"""),770.1)</f>
        <v>770.1</v>
      </c>
      <c r="P217" s="78" t="str">
        <f>IFERROR(__xludf.DUMMYFUNCTION("""COMPUTED_VALUE"""),"VIGENTE")</f>
        <v>VIGENTE</v>
      </c>
      <c r="Q217" s="8" t="str">
        <f t="shared" si="2"/>
        <v>--</v>
      </c>
      <c r="AC217" s="200"/>
      <c r="AE217" s="8"/>
    </row>
    <row r="218">
      <c r="A218" s="158"/>
      <c r="B218" s="220">
        <v>215.0</v>
      </c>
      <c r="C218" s="78">
        <f>IFERROR(__xludf.DUMMYFUNCTION("""COMPUTED_VALUE"""),2905.0)</f>
        <v>2905</v>
      </c>
      <c r="D218" s="221">
        <f>IFERROR(__xludf.DUMMYFUNCTION("""COMPUTED_VALUE"""),46275.0)</f>
        <v>46275</v>
      </c>
      <c r="E218" s="78" t="str">
        <f>IFERROR(__xludf.DUMMYFUNCTION("""COMPUTED_VALUE"""),"02-Medellin")</f>
        <v>02-Medellin</v>
      </c>
      <c r="F218" s="156">
        <f>IFERROR(__xludf.DUMMYFUNCTION("""COMPUTED_VALUE"""),46179.0)</f>
        <v>46179</v>
      </c>
      <c r="G218" s="159">
        <f>IFERROR(__xludf.DUMMYFUNCTION("""COMPUTED_VALUE"""),37.0)</f>
        <v>37</v>
      </c>
      <c r="H218" s="78" t="str">
        <f>IFERROR(__xludf.DUMMYFUNCTION("""COMPUTED_VALUE"""),"VIGENTE")</f>
        <v>VIGENTE</v>
      </c>
      <c r="I218" s="173" t="str">
        <f t="shared" si="1"/>
        <v>-</v>
      </c>
      <c r="J218" s="103"/>
      <c r="K218" s="220">
        <v>215.0</v>
      </c>
      <c r="L218" s="78">
        <f>IFERROR(__xludf.DUMMYFUNCTION("""COMPUTED_VALUE"""),2573.0)</f>
        <v>2573</v>
      </c>
      <c r="M218" s="221">
        <f>IFERROR(__xludf.DUMMYFUNCTION("""COMPUTED_VALUE"""),46239.0)</f>
        <v>46239</v>
      </c>
      <c r="N218" s="78" t="str">
        <f>IFERROR(__xludf.DUMMYFUNCTION("""COMPUTED_VALUE"""),"02-Medellin")</f>
        <v>02-Medellin</v>
      </c>
      <c r="O218" s="159">
        <f>IFERROR(__xludf.DUMMYFUNCTION("""COMPUTED_VALUE"""),622.7)</f>
        <v>622.7</v>
      </c>
      <c r="P218" s="78" t="str">
        <f>IFERROR(__xludf.DUMMYFUNCTION("""COMPUTED_VALUE"""),"VIGENTE")</f>
        <v>VIGENTE</v>
      </c>
      <c r="Q218" s="8" t="str">
        <f t="shared" si="2"/>
        <v>--</v>
      </c>
      <c r="AC218" s="200"/>
      <c r="AE218" s="8"/>
    </row>
    <row r="219">
      <c r="A219" s="158"/>
      <c r="B219" s="220">
        <v>216.0</v>
      </c>
      <c r="C219" s="78">
        <f>IFERROR(__xludf.DUMMYFUNCTION("""COMPUTED_VALUE"""),2390.0)</f>
        <v>2390</v>
      </c>
      <c r="D219" s="221">
        <f>IFERROR(__xludf.DUMMYFUNCTION("""COMPUTED_VALUE"""),46544.0)</f>
        <v>46544</v>
      </c>
      <c r="E219" s="78" t="str">
        <f>IFERROR(__xludf.DUMMYFUNCTION("""COMPUTED_VALUE"""),"MAYORCA")</f>
        <v>MAYORCA</v>
      </c>
      <c r="F219" s="156">
        <f>IFERROR(__xludf.DUMMYFUNCTION("""COMPUTED_VALUE"""),46179.0)</f>
        <v>46179</v>
      </c>
      <c r="G219" s="159">
        <f>IFERROR(__xludf.DUMMYFUNCTION("""COMPUTED_VALUE"""),37.0)</f>
        <v>37</v>
      </c>
      <c r="H219" s="78" t="str">
        <f>IFERROR(__xludf.DUMMYFUNCTION("""COMPUTED_VALUE"""),"VIGENTE")</f>
        <v>VIGENTE</v>
      </c>
      <c r="I219" s="173" t="str">
        <f t="shared" si="1"/>
        <v>-</v>
      </c>
      <c r="J219" s="103"/>
      <c r="K219" s="220">
        <v>216.0</v>
      </c>
      <c r="L219" s="78">
        <f>IFERROR(__xludf.DUMMYFUNCTION("""COMPUTED_VALUE"""),2628.0)</f>
        <v>2628</v>
      </c>
      <c r="M219" s="221">
        <f>IFERROR(__xludf.DUMMYFUNCTION("""COMPUTED_VALUE"""),46269.0)</f>
        <v>46269</v>
      </c>
      <c r="N219" s="78" t="str">
        <f>IFERROR(__xludf.DUMMYFUNCTION("""COMPUTED_VALUE"""),"38-La ceja")</f>
        <v>38-La ceja</v>
      </c>
      <c r="O219" s="159">
        <f>IFERROR(__xludf.DUMMYFUNCTION("""COMPUTED_VALUE"""),0.0)</f>
        <v>0</v>
      </c>
      <c r="P219" s="78" t="str">
        <f>IFERROR(__xludf.DUMMYFUNCTION("""COMPUTED_VALUE"""),"VIGENTE")</f>
        <v>VIGENTE</v>
      </c>
      <c r="Q219" s="8" t="str">
        <f t="shared" si="2"/>
        <v>--</v>
      </c>
      <c r="AC219" s="200"/>
      <c r="AE219" s="8"/>
    </row>
    <row r="220">
      <c r="A220" s="158"/>
      <c r="B220" s="220">
        <v>217.0</v>
      </c>
      <c r="C220" s="78">
        <f>IFERROR(__xludf.DUMMYFUNCTION("""COMPUTED_VALUE"""),2360.0)</f>
        <v>2360</v>
      </c>
      <c r="D220" s="221">
        <f>IFERROR(__xludf.DUMMYFUNCTION("""COMPUTED_VALUE"""),46445.0)</f>
        <v>46445</v>
      </c>
      <c r="E220" s="78" t="str">
        <f>IFERROR(__xludf.DUMMYFUNCTION("""COMPUTED_VALUE"""),"02-Medellin")</f>
        <v>02-Medellin</v>
      </c>
      <c r="F220" s="156">
        <f>IFERROR(__xludf.DUMMYFUNCTION("""COMPUTED_VALUE"""),46179.0)</f>
        <v>46179</v>
      </c>
      <c r="G220" s="159">
        <f>IFERROR(__xludf.DUMMYFUNCTION("""COMPUTED_VALUE"""),37.0)</f>
        <v>37</v>
      </c>
      <c r="H220" s="78" t="str">
        <f>IFERROR(__xludf.DUMMYFUNCTION("""COMPUTED_VALUE"""),"VIGENTE")</f>
        <v>VIGENTE</v>
      </c>
      <c r="I220" s="173" t="str">
        <f t="shared" si="1"/>
        <v>-</v>
      </c>
      <c r="J220" s="103"/>
      <c r="K220" s="220">
        <v>217.0</v>
      </c>
      <c r="L220" s="78">
        <f>IFERROR(__xludf.DUMMYFUNCTION("""COMPUTED_VALUE"""),951.0)</f>
        <v>951</v>
      </c>
      <c r="M220" s="221">
        <f>IFERROR(__xludf.DUMMYFUNCTION("""COMPUTED_VALUE"""),46211.0)</f>
        <v>46211</v>
      </c>
      <c r="N220" s="78" t="str">
        <f>IFERROR(__xludf.DUMMYFUNCTION("""COMPUTED_VALUE"""),"02-Medellin")</f>
        <v>02-Medellin</v>
      </c>
      <c r="O220" s="159">
        <f>IFERROR(__xludf.DUMMYFUNCTION("""COMPUTED_VALUE"""),0.0)</f>
        <v>0</v>
      </c>
      <c r="P220" s="78" t="str">
        <f>IFERROR(__xludf.DUMMYFUNCTION("""COMPUTED_VALUE"""),"VIGENTE")</f>
        <v>VIGENTE</v>
      </c>
      <c r="Q220" s="8" t="str">
        <f t="shared" si="2"/>
        <v>--</v>
      </c>
      <c r="AC220" s="200"/>
      <c r="AE220" s="8"/>
    </row>
    <row r="221">
      <c r="A221" s="158"/>
      <c r="B221" s="220">
        <v>218.0</v>
      </c>
      <c r="C221" s="78">
        <f>IFERROR(__xludf.DUMMYFUNCTION("""COMPUTED_VALUE"""),982.0)</f>
        <v>982</v>
      </c>
      <c r="D221" s="221">
        <f>IFERROR(__xludf.DUMMYFUNCTION("""COMPUTED_VALUE"""),46551.0)</f>
        <v>46551</v>
      </c>
      <c r="E221" s="78" t="str">
        <f>IFERROR(__xludf.DUMMYFUNCTION("""COMPUTED_VALUE"""),"02-Medellin")</f>
        <v>02-Medellin</v>
      </c>
      <c r="F221" s="156"/>
      <c r="G221" s="159"/>
      <c r="H221" s="78" t="str">
        <f>IFERROR(__xludf.DUMMYFUNCTION("""COMPUTED_VALUE"""),"#N/A")</f>
        <v>#N/A</v>
      </c>
      <c r="I221" s="173" t="str">
        <f t="shared" si="1"/>
        <v>-</v>
      </c>
      <c r="J221" s="103"/>
      <c r="K221" s="220">
        <v>218.0</v>
      </c>
      <c r="L221" s="78">
        <f>IFERROR(__xludf.DUMMYFUNCTION("""COMPUTED_VALUE"""),982.0)</f>
        <v>982</v>
      </c>
      <c r="M221" s="221">
        <f>IFERROR(__xludf.DUMMYFUNCTION("""COMPUTED_VALUE"""),46551.0)</f>
        <v>46551</v>
      </c>
      <c r="N221" s="78" t="str">
        <f>IFERROR(__xludf.DUMMYFUNCTION("""COMPUTED_VALUE"""),"02-Medellin")</f>
        <v>02-Medellin</v>
      </c>
      <c r="O221" s="159"/>
      <c r="P221" s="78" t="str">
        <f>IFERROR(__xludf.DUMMYFUNCTION("""COMPUTED_VALUE"""),"#N/A")</f>
        <v>#N/A</v>
      </c>
      <c r="Q221" s="8" t="str">
        <f t="shared" si="2"/>
        <v>--</v>
      </c>
      <c r="AC221" s="200"/>
      <c r="AE221" s="8"/>
    </row>
    <row r="222">
      <c r="A222" s="158"/>
      <c r="B222" s="220">
        <v>219.0</v>
      </c>
      <c r="C222" s="78">
        <f>IFERROR(__xludf.DUMMYFUNCTION("""COMPUTED_VALUE"""),962.0)</f>
        <v>962</v>
      </c>
      <c r="D222" s="221">
        <f>IFERROR(__xludf.DUMMYFUNCTION("""COMPUTED_VALUE"""),46500.0)</f>
        <v>46500</v>
      </c>
      <c r="E222" s="78" t="str">
        <f>IFERROR(__xludf.DUMMYFUNCTION("""COMPUTED_VALUE"""),"02-Medellin")</f>
        <v>02-Medellin</v>
      </c>
      <c r="F222" s="156"/>
      <c r="G222" s="159"/>
      <c r="H222" s="78" t="str">
        <f>IFERROR(__xludf.DUMMYFUNCTION("""COMPUTED_VALUE"""),"#N/A")</f>
        <v>#N/A</v>
      </c>
      <c r="I222" s="173" t="str">
        <f t="shared" si="1"/>
        <v>-</v>
      </c>
      <c r="J222" s="103"/>
      <c r="K222" s="220">
        <v>219.0</v>
      </c>
      <c r="L222" s="78">
        <f>IFERROR(__xludf.DUMMYFUNCTION("""COMPUTED_VALUE"""),962.0)</f>
        <v>962</v>
      </c>
      <c r="M222" s="221">
        <f>IFERROR(__xludf.DUMMYFUNCTION("""COMPUTED_VALUE"""),46500.0)</f>
        <v>46500</v>
      </c>
      <c r="N222" s="78" t="str">
        <f>IFERROR(__xludf.DUMMYFUNCTION("""COMPUTED_VALUE"""),"02-Medellin")</f>
        <v>02-Medellin</v>
      </c>
      <c r="O222" s="159"/>
      <c r="P222" s="78" t="str">
        <f>IFERROR(__xludf.DUMMYFUNCTION("""COMPUTED_VALUE"""),"#N/A")</f>
        <v>#N/A</v>
      </c>
      <c r="Q222" s="8" t="str">
        <f t="shared" si="2"/>
        <v>--</v>
      </c>
      <c r="AC222" s="200"/>
      <c r="AE222" s="8"/>
    </row>
    <row r="223">
      <c r="A223" s="158"/>
      <c r="B223" s="220">
        <v>220.0</v>
      </c>
      <c r="C223" s="78">
        <f>IFERROR(__xludf.DUMMYFUNCTION("""COMPUTED_VALUE"""),975.0)</f>
        <v>975</v>
      </c>
      <c r="D223" s="221">
        <f>IFERROR(__xludf.DUMMYFUNCTION("""COMPUTED_VALUE"""),46214.0)</f>
        <v>46214</v>
      </c>
      <c r="E223" s="78" t="str">
        <f>IFERROR(__xludf.DUMMYFUNCTION("""COMPUTED_VALUE"""),"02-Medellin")</f>
        <v>02-Medellin</v>
      </c>
      <c r="F223" s="156"/>
      <c r="G223" s="159"/>
      <c r="H223" s="78" t="str">
        <f>IFERROR(__xludf.DUMMYFUNCTION("""COMPUTED_VALUE"""),"#N/A")</f>
        <v>#N/A</v>
      </c>
      <c r="I223" s="173" t="str">
        <f t="shared" si="1"/>
        <v>-</v>
      </c>
      <c r="J223" s="103"/>
      <c r="K223" s="220">
        <v>220.0</v>
      </c>
      <c r="L223" s="78">
        <f>IFERROR(__xludf.DUMMYFUNCTION("""COMPUTED_VALUE"""),975.0)</f>
        <v>975</v>
      </c>
      <c r="M223" s="221">
        <f>IFERROR(__xludf.DUMMYFUNCTION("""COMPUTED_VALUE"""),46214.0)</f>
        <v>46214</v>
      </c>
      <c r="N223" s="78" t="str">
        <f>IFERROR(__xludf.DUMMYFUNCTION("""COMPUTED_VALUE"""),"02-Medellin")</f>
        <v>02-Medellin</v>
      </c>
      <c r="O223" s="159"/>
      <c r="P223" s="78" t="str">
        <f>IFERROR(__xludf.DUMMYFUNCTION("""COMPUTED_VALUE"""),"#N/A")</f>
        <v>#N/A</v>
      </c>
      <c r="Q223" s="8" t="str">
        <f t="shared" si="2"/>
        <v>--</v>
      </c>
      <c r="AC223" s="200"/>
      <c r="AE223" s="8"/>
    </row>
    <row r="224">
      <c r="A224" s="158"/>
      <c r="B224" s="220">
        <v>221.0</v>
      </c>
      <c r="C224" s="78">
        <f>IFERROR(__xludf.DUMMYFUNCTION("""COMPUTED_VALUE"""),976.0)</f>
        <v>976</v>
      </c>
      <c r="D224" s="221">
        <f>IFERROR(__xludf.DUMMYFUNCTION("""COMPUTED_VALUE"""),46047.0)</f>
        <v>46047</v>
      </c>
      <c r="E224" s="78" t="str">
        <f>IFERROR(__xludf.DUMMYFUNCTION("""COMPUTED_VALUE"""),"02-Medellin")</f>
        <v>02-Medellin</v>
      </c>
      <c r="F224" s="156"/>
      <c r="G224" s="159"/>
      <c r="H224" s="78" t="str">
        <f>IFERROR(__xludf.DUMMYFUNCTION("""COMPUTED_VALUE"""),"#N/A")</f>
        <v>#N/A</v>
      </c>
      <c r="I224" s="173" t="str">
        <f t="shared" si="1"/>
        <v>-</v>
      </c>
      <c r="J224" s="103"/>
      <c r="K224" s="220">
        <v>221.0</v>
      </c>
      <c r="L224" s="78">
        <f>IFERROR(__xludf.DUMMYFUNCTION("""COMPUTED_VALUE"""),976.0)</f>
        <v>976</v>
      </c>
      <c r="M224" s="221">
        <f>IFERROR(__xludf.DUMMYFUNCTION("""COMPUTED_VALUE"""),46047.0)</f>
        <v>46047</v>
      </c>
      <c r="N224" s="78" t="str">
        <f>IFERROR(__xludf.DUMMYFUNCTION("""COMPUTED_VALUE"""),"02-Medellin")</f>
        <v>02-Medellin</v>
      </c>
      <c r="O224" s="159"/>
      <c r="P224" s="78" t="str">
        <f>IFERROR(__xludf.DUMMYFUNCTION("""COMPUTED_VALUE"""),"#N/A")</f>
        <v>#N/A</v>
      </c>
      <c r="Q224" s="8" t="str">
        <f t="shared" si="2"/>
        <v>--</v>
      </c>
      <c r="AC224" s="200"/>
      <c r="AE224" s="8"/>
    </row>
    <row r="225">
      <c r="A225" s="158"/>
      <c r="B225" s="220">
        <v>222.0</v>
      </c>
      <c r="C225" s="78"/>
      <c r="D225" s="221"/>
      <c r="E225" s="78" t="str">
        <f>IFERROR(__xludf.DUMMYFUNCTION("""COMPUTED_VALUE"""),"#N/A")</f>
        <v>#N/A</v>
      </c>
      <c r="F225" s="156"/>
      <c r="G225" s="159"/>
      <c r="H225" s="78" t="str">
        <f>IFERROR(__xludf.DUMMYFUNCTION("""COMPUTED_VALUE"""),"#N/A")</f>
        <v>#N/A</v>
      </c>
      <c r="I225" s="173" t="str">
        <f t="shared" si="1"/>
        <v>-</v>
      </c>
      <c r="J225" s="103"/>
      <c r="K225" s="220">
        <v>222.0</v>
      </c>
      <c r="L225" s="78"/>
      <c r="M225" s="221"/>
      <c r="N225" s="78" t="str">
        <f>IFERROR(__xludf.DUMMYFUNCTION("""COMPUTED_VALUE"""),"#N/A")</f>
        <v>#N/A</v>
      </c>
      <c r="O225" s="159"/>
      <c r="P225" s="78" t="str">
        <f>IFERROR(__xludf.DUMMYFUNCTION("""COMPUTED_VALUE"""),"#N/A")</f>
        <v>#N/A</v>
      </c>
      <c r="Q225" s="8" t="str">
        <f t="shared" si="2"/>
        <v>--</v>
      </c>
      <c r="AC225" s="200"/>
      <c r="AE225" s="8"/>
    </row>
    <row r="226">
      <c r="A226" s="158"/>
      <c r="B226" s="220">
        <v>223.0</v>
      </c>
      <c r="C226" s="78"/>
      <c r="D226" s="221"/>
      <c r="E226" s="78"/>
      <c r="F226" s="156"/>
      <c r="G226" s="159"/>
      <c r="H226" s="78"/>
      <c r="I226" s="173" t="str">
        <f t="shared" si="1"/>
        <v>-</v>
      </c>
      <c r="J226" s="103"/>
      <c r="K226" s="220">
        <v>223.0</v>
      </c>
      <c r="L226" s="78"/>
      <c r="M226" s="221"/>
      <c r="N226" s="78"/>
      <c r="O226" s="159"/>
      <c r="P226" s="78"/>
      <c r="Q226" s="8" t="str">
        <f t="shared" si="2"/>
        <v>--</v>
      </c>
      <c r="AC226" s="200"/>
      <c r="AE226" s="8"/>
    </row>
    <row r="227">
      <c r="A227" s="158"/>
      <c r="B227" s="220">
        <v>224.0</v>
      </c>
      <c r="C227" s="78"/>
      <c r="D227" s="221"/>
      <c r="E227" s="78"/>
      <c r="F227" s="156"/>
      <c r="G227" s="159"/>
      <c r="H227" s="78"/>
      <c r="I227" s="173" t="str">
        <f t="shared" si="1"/>
        <v>-</v>
      </c>
      <c r="J227" s="103"/>
      <c r="K227" s="220">
        <v>224.0</v>
      </c>
      <c r="L227" s="78"/>
      <c r="M227" s="221"/>
      <c r="N227" s="78"/>
      <c r="O227" s="159"/>
      <c r="P227" s="78"/>
      <c r="Q227" s="8" t="str">
        <f t="shared" si="2"/>
        <v>--</v>
      </c>
      <c r="AC227" s="200"/>
    </row>
    <row r="228">
      <c r="A228" s="158"/>
      <c r="B228" s="220">
        <v>225.0</v>
      </c>
      <c r="C228" s="78"/>
      <c r="D228" s="221"/>
      <c r="E228" s="78"/>
      <c r="F228" s="156"/>
      <c r="G228" s="159"/>
      <c r="H228" s="78"/>
      <c r="I228" s="173" t="str">
        <f t="shared" si="1"/>
        <v>-</v>
      </c>
      <c r="J228" s="103"/>
      <c r="K228" s="220">
        <v>225.0</v>
      </c>
      <c r="L228" s="78"/>
      <c r="M228" s="221"/>
      <c r="N228" s="78"/>
      <c r="O228" s="159"/>
      <c r="P228" s="78"/>
      <c r="Q228" s="8" t="str">
        <f t="shared" si="2"/>
        <v>--</v>
      </c>
      <c r="AC228" s="200"/>
    </row>
    <row r="229">
      <c r="A229" s="158"/>
      <c r="B229" s="220">
        <v>226.0</v>
      </c>
      <c r="C229" s="78"/>
      <c r="D229" s="221"/>
      <c r="E229" s="78"/>
      <c r="F229" s="156"/>
      <c r="G229" s="159"/>
      <c r="H229" s="78"/>
      <c r="I229" s="173" t="str">
        <f t="shared" si="1"/>
        <v>-</v>
      </c>
      <c r="J229" s="103"/>
      <c r="K229" s="220">
        <v>226.0</v>
      </c>
      <c r="L229" s="78"/>
      <c r="M229" s="221"/>
      <c r="N229" s="78"/>
      <c r="O229" s="159"/>
      <c r="P229" s="78"/>
      <c r="Q229" s="8" t="str">
        <f t="shared" si="2"/>
        <v>--</v>
      </c>
      <c r="AC229" s="200"/>
    </row>
    <row r="230">
      <c r="A230" s="158"/>
      <c r="B230" s="220">
        <v>227.0</v>
      </c>
      <c r="C230" s="78"/>
      <c r="D230" s="221"/>
      <c r="E230" s="78"/>
      <c r="F230" s="156"/>
      <c r="G230" s="159"/>
      <c r="H230" s="78"/>
      <c r="I230" s="173" t="str">
        <f t="shared" si="1"/>
        <v>-</v>
      </c>
      <c r="J230" s="103"/>
      <c r="K230" s="220">
        <v>227.0</v>
      </c>
      <c r="L230" s="78"/>
      <c r="M230" s="221"/>
      <c r="N230" s="78"/>
      <c r="O230" s="159"/>
      <c r="P230" s="78"/>
      <c r="Q230" s="8" t="str">
        <f t="shared" si="2"/>
        <v>--</v>
      </c>
      <c r="AC230" s="200"/>
    </row>
    <row r="231">
      <c r="A231" s="158"/>
      <c r="B231" s="220">
        <v>228.0</v>
      </c>
      <c r="C231" s="78"/>
      <c r="D231" s="221"/>
      <c r="E231" s="78"/>
      <c r="F231" s="156"/>
      <c r="G231" s="159"/>
      <c r="H231" s="78"/>
      <c r="I231" s="173" t="str">
        <f t="shared" si="1"/>
        <v>-</v>
      </c>
      <c r="J231" s="103"/>
      <c r="K231" s="220">
        <v>228.0</v>
      </c>
      <c r="L231" s="78"/>
      <c r="M231" s="221"/>
      <c r="N231" s="78"/>
      <c r="O231" s="159"/>
      <c r="P231" s="78"/>
      <c r="Q231" s="8" t="str">
        <f t="shared" si="2"/>
        <v>--</v>
      </c>
      <c r="AC231" s="200"/>
    </row>
    <row r="232">
      <c r="A232" s="158"/>
      <c r="B232" s="220">
        <v>229.0</v>
      </c>
      <c r="C232" s="78"/>
      <c r="D232" s="221"/>
      <c r="E232" s="78"/>
      <c r="F232" s="156"/>
      <c r="G232" s="159"/>
      <c r="H232" s="78"/>
      <c r="I232" s="173" t="str">
        <f t="shared" si="1"/>
        <v>-</v>
      </c>
      <c r="J232" s="103"/>
      <c r="K232" s="220">
        <v>229.0</v>
      </c>
      <c r="L232" s="78"/>
      <c r="M232" s="221"/>
      <c r="N232" s="78"/>
      <c r="O232" s="159"/>
      <c r="P232" s="78"/>
      <c r="Q232" s="8" t="str">
        <f t="shared" si="2"/>
        <v>--</v>
      </c>
      <c r="AC232" s="200"/>
    </row>
    <row r="233">
      <c r="A233" s="158"/>
      <c r="B233" s="220">
        <v>230.0</v>
      </c>
      <c r="C233" s="78"/>
      <c r="D233" s="221"/>
      <c r="E233" s="78"/>
      <c r="F233" s="156"/>
      <c r="G233" s="159"/>
      <c r="H233" s="78"/>
      <c r="I233" s="173" t="str">
        <f t="shared" si="1"/>
        <v>-</v>
      </c>
      <c r="J233" s="103"/>
      <c r="K233" s="220">
        <v>230.0</v>
      </c>
      <c r="L233" s="78"/>
      <c r="M233" s="221"/>
      <c r="N233" s="78"/>
      <c r="O233" s="159"/>
      <c r="P233" s="78"/>
      <c r="Q233" s="8" t="str">
        <f t="shared" si="2"/>
        <v>--</v>
      </c>
      <c r="AC233" s="200"/>
    </row>
    <row r="234">
      <c r="A234" s="158"/>
      <c r="B234" s="220">
        <v>231.0</v>
      </c>
      <c r="C234" s="78"/>
      <c r="D234" s="221"/>
      <c r="E234" s="78"/>
      <c r="F234" s="156"/>
      <c r="G234" s="159"/>
      <c r="H234" s="78"/>
      <c r="I234" s="173" t="str">
        <f t="shared" si="1"/>
        <v>-</v>
      </c>
      <c r="J234" s="103"/>
      <c r="K234" s="220">
        <v>231.0</v>
      </c>
      <c r="L234" s="78"/>
      <c r="M234" s="221"/>
      <c r="N234" s="78"/>
      <c r="O234" s="159"/>
      <c r="P234" s="78"/>
      <c r="Q234" s="8" t="str">
        <f t="shared" si="2"/>
        <v>--</v>
      </c>
      <c r="AC234" s="200"/>
    </row>
    <row r="235">
      <c r="A235" s="158"/>
      <c r="B235" s="220">
        <v>232.0</v>
      </c>
      <c r="C235" s="78"/>
      <c r="D235" s="221"/>
      <c r="E235" s="78"/>
      <c r="F235" s="156"/>
      <c r="G235" s="159"/>
      <c r="H235" s="78"/>
      <c r="I235" s="173" t="str">
        <f t="shared" si="1"/>
        <v>-</v>
      </c>
      <c r="J235" s="103"/>
      <c r="K235" s="220">
        <v>232.0</v>
      </c>
      <c r="L235" s="78"/>
      <c r="M235" s="221"/>
      <c r="N235" s="78"/>
      <c r="O235" s="159"/>
      <c r="P235" s="78"/>
      <c r="Q235" s="8" t="str">
        <f t="shared" si="2"/>
        <v>--</v>
      </c>
      <c r="AC235" s="200"/>
    </row>
    <row r="236">
      <c r="A236" s="158"/>
      <c r="B236" s="220">
        <v>233.0</v>
      </c>
      <c r="C236" s="78"/>
      <c r="D236" s="269"/>
      <c r="E236" s="78"/>
      <c r="F236" s="78"/>
      <c r="G236" s="78"/>
      <c r="H236" s="78"/>
      <c r="I236" s="173" t="str">
        <f t="shared" si="1"/>
        <v>-</v>
      </c>
      <c r="J236" s="103"/>
      <c r="K236" s="220">
        <v>233.0</v>
      </c>
      <c r="L236" s="78"/>
      <c r="M236" s="269"/>
      <c r="N236" s="78"/>
      <c r="O236" s="78"/>
      <c r="P236" s="78"/>
      <c r="Q236" s="8" t="str">
        <f t="shared" si="2"/>
        <v>--</v>
      </c>
      <c r="AC236" s="200"/>
    </row>
    <row r="237">
      <c r="A237" s="158"/>
      <c r="B237" s="220">
        <v>234.0</v>
      </c>
      <c r="C237" s="78"/>
      <c r="D237" s="269"/>
      <c r="E237" s="78"/>
      <c r="F237" s="78"/>
      <c r="G237" s="78"/>
      <c r="H237" s="78"/>
      <c r="I237" s="173" t="str">
        <f t="shared" si="1"/>
        <v>-</v>
      </c>
      <c r="J237" s="103"/>
      <c r="K237" s="220">
        <v>234.0</v>
      </c>
      <c r="L237" s="78"/>
      <c r="M237" s="269"/>
      <c r="N237" s="78"/>
      <c r="O237" s="78"/>
      <c r="P237" s="78"/>
      <c r="Q237" s="8" t="str">
        <f t="shared" si="2"/>
        <v>--</v>
      </c>
      <c r="AC237" s="200"/>
    </row>
    <row r="238">
      <c r="A238" s="158"/>
      <c r="B238" s="160"/>
      <c r="C238" s="103"/>
      <c r="D238" s="158"/>
      <c r="E238" s="103"/>
      <c r="F238" s="103"/>
      <c r="G238" s="103"/>
      <c r="H238" s="103"/>
      <c r="I238" s="173" t="str">
        <f t="shared" si="1"/>
        <v>-</v>
      </c>
      <c r="J238" s="103"/>
      <c r="K238" s="160"/>
      <c r="L238" s="103"/>
      <c r="M238" s="158"/>
      <c r="N238" s="103"/>
      <c r="O238" s="103"/>
      <c r="P238" s="103"/>
      <c r="AC238" s="200"/>
    </row>
    <row r="239">
      <c r="A239" s="158"/>
      <c r="B239" s="160"/>
      <c r="C239" s="103"/>
      <c r="D239" s="158"/>
      <c r="E239" s="103"/>
      <c r="F239" s="103"/>
      <c r="G239" s="103"/>
      <c r="H239" s="103"/>
      <c r="I239" s="173" t="str">
        <f t="shared" si="1"/>
        <v>-</v>
      </c>
      <c r="J239" s="103"/>
      <c r="K239" s="160"/>
      <c r="L239" s="103"/>
      <c r="M239" s="158"/>
      <c r="N239" s="103"/>
      <c r="O239" s="103"/>
      <c r="P239" s="103"/>
      <c r="AC239" s="200"/>
    </row>
    <row r="240">
      <c r="A240" s="158"/>
      <c r="B240" s="160"/>
      <c r="C240" s="103"/>
      <c r="D240" s="158"/>
      <c r="E240" s="103"/>
      <c r="F240" s="103"/>
      <c r="G240" s="103"/>
      <c r="H240" s="103"/>
      <c r="I240" s="173" t="str">
        <f t="shared" si="1"/>
        <v>-</v>
      </c>
      <c r="J240" s="103"/>
      <c r="K240" s="160"/>
      <c r="L240" s="103"/>
      <c r="M240" s="158"/>
      <c r="N240" s="103"/>
      <c r="O240" s="103"/>
      <c r="P240" s="103"/>
      <c r="AC240" s="200"/>
    </row>
    <row r="241">
      <c r="A241" s="158"/>
      <c r="B241" s="160"/>
      <c r="C241" s="103"/>
      <c r="D241" s="158"/>
      <c r="E241" s="103"/>
      <c r="F241" s="103"/>
      <c r="G241" s="103"/>
      <c r="H241" s="103"/>
      <c r="I241" s="173" t="str">
        <f t="shared" si="1"/>
        <v>-</v>
      </c>
      <c r="J241" s="103"/>
      <c r="K241" s="160"/>
      <c r="L241" s="103"/>
      <c r="M241" s="158"/>
      <c r="N241" s="103"/>
      <c r="O241" s="103"/>
      <c r="P241" s="103"/>
      <c r="AC241" s="200"/>
    </row>
    <row r="242">
      <c r="A242" s="158"/>
      <c r="B242" s="160"/>
      <c r="C242" s="103"/>
      <c r="D242" s="158"/>
      <c r="E242" s="103"/>
      <c r="F242" s="103"/>
      <c r="G242" s="103"/>
      <c r="H242" s="103"/>
      <c r="I242" s="173" t="str">
        <f t="shared" si="1"/>
        <v>-</v>
      </c>
      <c r="J242" s="103"/>
      <c r="K242" s="160"/>
      <c r="L242" s="103"/>
      <c r="M242" s="158"/>
      <c r="N242" s="103"/>
      <c r="O242" s="103"/>
      <c r="P242" s="103"/>
      <c r="AC242" s="200"/>
    </row>
    <row r="243">
      <c r="A243" s="158"/>
      <c r="B243" s="160"/>
      <c r="C243" s="103"/>
      <c r="D243" s="158"/>
      <c r="E243" s="103"/>
      <c r="F243" s="103"/>
      <c r="G243" s="103"/>
      <c r="H243" s="103"/>
      <c r="I243" s="173" t="str">
        <f t="shared" si="1"/>
        <v>-</v>
      </c>
      <c r="J243" s="103"/>
      <c r="K243" s="160"/>
      <c r="L243" s="103"/>
      <c r="M243" s="158"/>
      <c r="N243" s="103"/>
      <c r="O243" s="103"/>
      <c r="P243" s="103"/>
      <c r="AC243" s="200"/>
    </row>
    <row r="244">
      <c r="A244" s="158"/>
      <c r="B244" s="160"/>
      <c r="C244" s="103"/>
      <c r="D244" s="158"/>
      <c r="E244" s="103"/>
      <c r="F244" s="103"/>
      <c r="G244" s="103"/>
      <c r="H244" s="103"/>
      <c r="I244" s="173" t="str">
        <f t="shared" si="1"/>
        <v>-</v>
      </c>
      <c r="J244" s="103"/>
      <c r="K244" s="160"/>
      <c r="L244" s="103"/>
      <c r="M244" s="158"/>
      <c r="N244" s="103"/>
      <c r="O244" s="103"/>
      <c r="P244" s="103"/>
      <c r="AC244" s="200"/>
    </row>
    <row r="245">
      <c r="A245" s="158"/>
      <c r="B245" s="160"/>
      <c r="C245" s="103"/>
      <c r="D245" s="158"/>
      <c r="E245" s="103"/>
      <c r="F245" s="103"/>
      <c r="G245" s="103"/>
      <c r="H245" s="103"/>
      <c r="I245" s="173" t="str">
        <f t="shared" si="1"/>
        <v>-</v>
      </c>
      <c r="J245" s="103"/>
      <c r="K245" s="160"/>
      <c r="L245" s="103"/>
      <c r="M245" s="158"/>
      <c r="N245" s="103"/>
      <c r="O245" s="103"/>
      <c r="P245" s="103"/>
      <c r="AC245" s="200"/>
    </row>
    <row r="246">
      <c r="A246" s="158"/>
      <c r="B246" s="160"/>
      <c r="C246" s="103"/>
      <c r="D246" s="158"/>
      <c r="E246" s="103"/>
      <c r="F246" s="103"/>
      <c r="G246" s="103"/>
      <c r="H246" s="103"/>
      <c r="I246" s="173" t="str">
        <f t="shared" si="1"/>
        <v>-</v>
      </c>
      <c r="J246" s="103"/>
      <c r="K246" s="160"/>
      <c r="L246" s="103"/>
      <c r="M246" s="158"/>
      <c r="N246" s="103"/>
      <c r="O246" s="103"/>
      <c r="P246" s="103"/>
      <c r="AC246" s="200"/>
    </row>
    <row r="247">
      <c r="A247" s="158"/>
      <c r="B247" s="160"/>
      <c r="C247" s="103"/>
      <c r="D247" s="158"/>
      <c r="E247" s="103"/>
      <c r="F247" s="103"/>
      <c r="G247" s="103"/>
      <c r="H247" s="103"/>
      <c r="I247" s="173" t="str">
        <f t="shared" si="1"/>
        <v>-</v>
      </c>
      <c r="J247" s="103"/>
      <c r="K247" s="160"/>
      <c r="L247" s="103"/>
      <c r="M247" s="158"/>
      <c r="N247" s="103"/>
      <c r="O247" s="103"/>
      <c r="P247" s="103"/>
      <c r="AC247" s="200"/>
    </row>
    <row r="248">
      <c r="A248" s="158"/>
      <c r="B248" s="160"/>
      <c r="C248" s="103"/>
      <c r="D248" s="158"/>
      <c r="E248" s="103"/>
      <c r="F248" s="103"/>
      <c r="G248" s="103"/>
      <c r="H248" s="103"/>
      <c r="I248" s="173" t="str">
        <f t="shared" si="1"/>
        <v>-</v>
      </c>
      <c r="J248" s="103"/>
      <c r="K248" s="160"/>
      <c r="L248" s="103"/>
      <c r="M248" s="158"/>
      <c r="N248" s="103"/>
      <c r="O248" s="103"/>
      <c r="P248" s="103"/>
      <c r="AC248" s="200"/>
    </row>
    <row r="249">
      <c r="A249" s="158"/>
      <c r="B249" s="160"/>
      <c r="C249" s="103"/>
      <c r="D249" s="158"/>
      <c r="E249" s="103"/>
      <c r="F249" s="103"/>
      <c r="G249" s="103"/>
      <c r="H249" s="103"/>
      <c r="I249" s="173" t="str">
        <f t="shared" si="1"/>
        <v>-</v>
      </c>
      <c r="J249" s="103"/>
      <c r="K249" s="160"/>
      <c r="L249" s="103"/>
      <c r="M249" s="158"/>
      <c r="N249" s="103"/>
      <c r="O249" s="103"/>
      <c r="P249" s="103"/>
      <c r="AC249" s="200"/>
    </row>
    <row r="250">
      <c r="A250" s="158"/>
      <c r="B250" s="160"/>
      <c r="C250" s="103"/>
      <c r="D250" s="158"/>
      <c r="E250" s="103"/>
      <c r="F250" s="103"/>
      <c r="G250" s="103"/>
      <c r="H250" s="103"/>
      <c r="I250" s="173" t="str">
        <f t="shared" si="1"/>
        <v>-</v>
      </c>
      <c r="J250" s="103"/>
      <c r="K250" s="160"/>
      <c r="L250" s="103"/>
      <c r="M250" s="158"/>
      <c r="N250" s="103"/>
      <c r="O250" s="103"/>
      <c r="P250" s="103"/>
      <c r="AC250" s="200"/>
    </row>
    <row r="251">
      <c r="A251" s="158"/>
      <c r="B251" s="160"/>
      <c r="C251" s="103"/>
      <c r="D251" s="158"/>
      <c r="E251" s="103"/>
      <c r="F251" s="103"/>
      <c r="G251" s="103"/>
      <c r="H251" s="103"/>
      <c r="I251" s="173" t="str">
        <f t="shared" si="1"/>
        <v>-</v>
      </c>
      <c r="J251" s="103"/>
      <c r="K251" s="160"/>
      <c r="L251" s="103"/>
      <c r="M251" s="158"/>
      <c r="N251" s="103"/>
      <c r="O251" s="103"/>
      <c r="P251" s="103"/>
      <c r="AC251" s="200"/>
    </row>
    <row r="252">
      <c r="A252" s="158"/>
      <c r="B252" s="160"/>
      <c r="C252" s="103"/>
      <c r="D252" s="158"/>
      <c r="E252" s="103"/>
      <c r="F252" s="103"/>
      <c r="G252" s="103"/>
      <c r="H252" s="103"/>
      <c r="I252" s="103"/>
      <c r="J252" s="103"/>
      <c r="K252" s="160"/>
      <c r="L252" s="103"/>
      <c r="M252" s="158"/>
      <c r="N252" s="103"/>
      <c r="O252" s="103"/>
      <c r="P252" s="103"/>
      <c r="AC252" s="200"/>
    </row>
    <row r="253">
      <c r="A253" s="158"/>
      <c r="B253" s="160"/>
      <c r="C253" s="103"/>
      <c r="D253" s="158"/>
      <c r="E253" s="103"/>
      <c r="F253" s="103"/>
      <c r="G253" s="103"/>
      <c r="H253" s="103"/>
      <c r="I253" s="103"/>
      <c r="J253" s="103"/>
      <c r="K253" s="160"/>
      <c r="L253" s="103"/>
      <c r="M253" s="158"/>
      <c r="N253" s="103"/>
      <c r="O253" s="103"/>
      <c r="P253" s="103"/>
      <c r="AC253" s="200"/>
    </row>
    <row r="254">
      <c r="A254" s="158"/>
      <c r="B254" s="160"/>
      <c r="C254" s="103"/>
      <c r="D254" s="158"/>
      <c r="E254" s="103"/>
      <c r="F254" s="103"/>
      <c r="G254" s="103"/>
      <c r="H254" s="103"/>
      <c r="I254" s="103"/>
      <c r="J254" s="103"/>
      <c r="K254" s="160"/>
      <c r="L254" s="103"/>
      <c r="M254" s="158"/>
      <c r="N254" s="103"/>
      <c r="O254" s="103"/>
      <c r="P254" s="103"/>
      <c r="AC254" s="200"/>
    </row>
    <row r="255">
      <c r="A255" s="158"/>
      <c r="B255" s="160"/>
      <c r="C255" s="103"/>
      <c r="D255" s="158"/>
      <c r="E255" s="103"/>
      <c r="F255" s="103"/>
      <c r="G255" s="103"/>
      <c r="H255" s="103"/>
      <c r="I255" s="103"/>
      <c r="J255" s="103"/>
      <c r="K255" s="160"/>
      <c r="L255" s="103"/>
      <c r="M255" s="158"/>
      <c r="N255" s="103"/>
      <c r="O255" s="103"/>
      <c r="P255" s="103"/>
      <c r="AC255" s="200"/>
    </row>
    <row r="256">
      <c r="A256" s="158"/>
      <c r="B256" s="160"/>
      <c r="C256" s="103"/>
      <c r="D256" s="158"/>
      <c r="E256" s="103"/>
      <c r="F256" s="103"/>
      <c r="G256" s="103"/>
      <c r="H256" s="103"/>
      <c r="I256" s="103"/>
      <c r="J256" s="103"/>
      <c r="K256" s="160"/>
      <c r="L256" s="103"/>
      <c r="M256" s="158"/>
      <c r="N256" s="103"/>
      <c r="O256" s="103"/>
      <c r="P256" s="103"/>
      <c r="AC256" s="200"/>
    </row>
    <row r="257">
      <c r="A257" s="158"/>
      <c r="B257" s="160"/>
      <c r="C257" s="103"/>
      <c r="D257" s="158"/>
      <c r="E257" s="103"/>
      <c r="F257" s="103"/>
      <c r="G257" s="103"/>
      <c r="H257" s="103"/>
      <c r="I257" s="103"/>
      <c r="J257" s="103"/>
      <c r="K257" s="160"/>
      <c r="L257" s="103"/>
      <c r="M257" s="158"/>
      <c r="N257" s="103"/>
      <c r="O257" s="103"/>
      <c r="P257" s="103"/>
      <c r="AC257" s="200"/>
    </row>
    <row r="258">
      <c r="A258" s="158"/>
      <c r="B258" s="160"/>
      <c r="C258" s="103"/>
      <c r="D258" s="158"/>
      <c r="E258" s="103"/>
      <c r="F258" s="103"/>
      <c r="G258" s="103"/>
      <c r="H258" s="103"/>
      <c r="I258" s="103"/>
      <c r="J258" s="103"/>
      <c r="K258" s="160"/>
      <c r="L258" s="103"/>
      <c r="M258" s="158"/>
      <c r="N258" s="103"/>
      <c r="O258" s="103"/>
      <c r="P258" s="103"/>
      <c r="AC258" s="200"/>
    </row>
    <row r="259">
      <c r="A259" s="158"/>
      <c r="B259" s="160"/>
      <c r="C259" s="103"/>
      <c r="D259" s="158"/>
      <c r="E259" s="103"/>
      <c r="F259" s="103"/>
      <c r="G259" s="103"/>
      <c r="H259" s="103"/>
      <c r="I259" s="103"/>
      <c r="J259" s="103"/>
      <c r="K259" s="160"/>
      <c r="L259" s="103"/>
      <c r="M259" s="158"/>
      <c r="N259" s="103"/>
      <c r="O259" s="103"/>
      <c r="P259" s="103"/>
      <c r="AC259" s="200"/>
    </row>
    <row r="260">
      <c r="A260" s="158"/>
      <c r="B260" s="160"/>
      <c r="C260" s="103"/>
      <c r="D260" s="158"/>
      <c r="E260" s="103"/>
      <c r="F260" s="103"/>
      <c r="G260" s="103"/>
      <c r="H260" s="103"/>
      <c r="I260" s="103"/>
      <c r="J260" s="103"/>
      <c r="K260" s="160"/>
      <c r="L260" s="103"/>
      <c r="M260" s="158"/>
      <c r="N260" s="103"/>
      <c r="O260" s="103"/>
      <c r="P260" s="103"/>
      <c r="AC260" s="200"/>
    </row>
    <row r="261">
      <c r="A261" s="158"/>
      <c r="B261" s="160"/>
      <c r="C261" s="103"/>
      <c r="D261" s="158"/>
      <c r="E261" s="103"/>
      <c r="F261" s="103"/>
      <c r="G261" s="103"/>
      <c r="H261" s="103"/>
      <c r="I261" s="103"/>
      <c r="J261" s="103"/>
      <c r="K261" s="160"/>
      <c r="L261" s="103"/>
      <c r="M261" s="158"/>
      <c r="N261" s="103"/>
      <c r="O261" s="103"/>
      <c r="P261" s="103"/>
      <c r="AC261" s="200"/>
    </row>
    <row r="262">
      <c r="A262" s="158"/>
      <c r="B262" s="160"/>
      <c r="C262" s="103"/>
      <c r="D262" s="158"/>
      <c r="E262" s="103"/>
      <c r="F262" s="103"/>
      <c r="G262" s="103"/>
      <c r="H262" s="103"/>
      <c r="I262" s="103"/>
      <c r="J262" s="103"/>
      <c r="K262" s="160"/>
      <c r="L262" s="103"/>
      <c r="M262" s="158"/>
      <c r="N262" s="103"/>
      <c r="O262" s="103"/>
      <c r="P262" s="103"/>
      <c r="AC262" s="200"/>
    </row>
    <row r="263">
      <c r="A263" s="158"/>
      <c r="B263" s="160"/>
      <c r="C263" s="103"/>
      <c r="D263" s="158"/>
      <c r="E263" s="103"/>
      <c r="F263" s="103"/>
      <c r="G263" s="103"/>
      <c r="H263" s="103"/>
      <c r="I263" s="103"/>
      <c r="J263" s="103"/>
      <c r="K263" s="160"/>
      <c r="L263" s="103"/>
      <c r="M263" s="158"/>
      <c r="N263" s="103"/>
      <c r="O263" s="103"/>
      <c r="P263" s="103"/>
      <c r="AC263" s="200"/>
    </row>
    <row r="264">
      <c r="A264" s="158"/>
      <c r="B264" s="160"/>
      <c r="C264" s="103"/>
      <c r="D264" s="158"/>
      <c r="E264" s="103"/>
      <c r="F264" s="103"/>
      <c r="G264" s="103"/>
      <c r="H264" s="103"/>
      <c r="I264" s="103"/>
      <c r="J264" s="103"/>
      <c r="K264" s="160"/>
      <c r="L264" s="103"/>
      <c r="M264" s="158"/>
      <c r="N264" s="103"/>
      <c r="O264" s="103"/>
      <c r="P264" s="103"/>
      <c r="AC264" s="200"/>
    </row>
    <row r="265">
      <c r="A265" s="158"/>
      <c r="B265" s="160"/>
      <c r="C265" s="103"/>
      <c r="D265" s="158"/>
      <c r="E265" s="103"/>
      <c r="F265" s="103"/>
      <c r="G265" s="103"/>
      <c r="H265" s="103"/>
      <c r="I265" s="103"/>
      <c r="J265" s="103"/>
      <c r="K265" s="160"/>
      <c r="L265" s="103"/>
      <c r="M265" s="158"/>
      <c r="N265" s="103"/>
      <c r="O265" s="103"/>
      <c r="P265" s="103"/>
      <c r="AC265" s="200"/>
    </row>
    <row r="266">
      <c r="A266" s="158"/>
      <c r="B266" s="160"/>
      <c r="C266" s="103"/>
      <c r="D266" s="158"/>
      <c r="E266" s="103"/>
      <c r="F266" s="103"/>
      <c r="G266" s="103"/>
      <c r="H266" s="103"/>
      <c r="I266" s="103"/>
      <c r="J266" s="103"/>
      <c r="K266" s="160"/>
      <c r="L266" s="103"/>
      <c r="M266" s="158"/>
      <c r="N266" s="103"/>
      <c r="O266" s="103"/>
      <c r="P266" s="103"/>
      <c r="AC266" s="200"/>
    </row>
    <row r="267">
      <c r="A267" s="158"/>
      <c r="B267" s="160"/>
      <c r="C267" s="103"/>
      <c r="D267" s="158"/>
      <c r="E267" s="103"/>
      <c r="F267" s="103"/>
      <c r="G267" s="103"/>
      <c r="H267" s="103"/>
      <c r="I267" s="103"/>
      <c r="J267" s="103"/>
      <c r="K267" s="160"/>
      <c r="L267" s="103"/>
      <c r="M267" s="158"/>
      <c r="N267" s="103"/>
      <c r="O267" s="103"/>
      <c r="P267" s="103"/>
      <c r="AC267" s="200"/>
    </row>
    <row r="268">
      <c r="A268" s="158"/>
      <c r="B268" s="160"/>
      <c r="C268" s="103"/>
      <c r="D268" s="158"/>
      <c r="E268" s="103"/>
      <c r="F268" s="103"/>
      <c r="G268" s="103"/>
      <c r="H268" s="103"/>
      <c r="I268" s="103"/>
      <c r="J268" s="103"/>
      <c r="K268" s="160"/>
      <c r="L268" s="103"/>
      <c r="M268" s="158"/>
      <c r="N268" s="103"/>
      <c r="O268" s="103"/>
      <c r="P268" s="103"/>
      <c r="AC268" s="200"/>
    </row>
    <row r="269">
      <c r="A269" s="158"/>
      <c r="B269" s="160"/>
      <c r="C269" s="103"/>
      <c r="D269" s="158"/>
      <c r="E269" s="103"/>
      <c r="F269" s="103"/>
      <c r="G269" s="103"/>
      <c r="H269" s="103"/>
      <c r="I269" s="103"/>
      <c r="J269" s="103"/>
      <c r="K269" s="160"/>
      <c r="L269" s="103"/>
      <c r="M269" s="158"/>
      <c r="N269" s="103"/>
      <c r="O269" s="103"/>
      <c r="P269" s="103"/>
      <c r="AC269" s="200"/>
    </row>
    <row r="270">
      <c r="A270" s="158"/>
      <c r="B270" s="160"/>
      <c r="C270" s="103"/>
      <c r="D270" s="158"/>
      <c r="E270" s="103"/>
      <c r="F270" s="103"/>
      <c r="G270" s="103"/>
      <c r="H270" s="103"/>
      <c r="I270" s="103"/>
      <c r="J270" s="103"/>
      <c r="K270" s="160"/>
      <c r="L270" s="103"/>
      <c r="M270" s="158"/>
      <c r="N270" s="103"/>
      <c r="O270" s="103"/>
      <c r="P270" s="103"/>
      <c r="AC270" s="200"/>
    </row>
    <row r="271">
      <c r="A271" s="158"/>
      <c r="B271" s="160"/>
      <c r="C271" s="103"/>
      <c r="D271" s="158"/>
      <c r="E271" s="103"/>
      <c r="F271" s="103"/>
      <c r="G271" s="103"/>
      <c r="H271" s="103"/>
      <c r="I271" s="103"/>
      <c r="J271" s="103"/>
      <c r="K271" s="160"/>
      <c r="L271" s="103"/>
      <c r="M271" s="158"/>
      <c r="N271" s="103"/>
      <c r="O271" s="103"/>
      <c r="P271" s="103"/>
      <c r="AC271" s="200"/>
    </row>
    <row r="272">
      <c r="A272" s="158"/>
      <c r="B272" s="160"/>
      <c r="C272" s="103"/>
      <c r="D272" s="158"/>
      <c r="E272" s="103"/>
      <c r="F272" s="103"/>
      <c r="G272" s="103"/>
      <c r="H272" s="103"/>
      <c r="I272" s="103"/>
      <c r="J272" s="103"/>
      <c r="K272" s="160"/>
      <c r="L272" s="103"/>
      <c r="M272" s="158"/>
      <c r="N272" s="103"/>
      <c r="O272" s="103"/>
      <c r="P272" s="103"/>
      <c r="AC272" s="200"/>
    </row>
    <row r="273">
      <c r="A273" s="158"/>
      <c r="B273" s="160"/>
      <c r="C273" s="103"/>
      <c r="D273" s="158"/>
      <c r="E273" s="103"/>
      <c r="F273" s="103"/>
      <c r="G273" s="103"/>
      <c r="H273" s="103"/>
      <c r="I273" s="103"/>
      <c r="J273" s="103"/>
      <c r="K273" s="160"/>
      <c r="L273" s="103"/>
      <c r="M273" s="158"/>
      <c r="N273" s="103"/>
      <c r="O273" s="103"/>
      <c r="P273" s="103"/>
      <c r="AC273" s="200"/>
    </row>
    <row r="274">
      <c r="A274" s="158"/>
      <c r="B274" s="160"/>
      <c r="C274" s="103"/>
      <c r="D274" s="158"/>
      <c r="E274" s="103"/>
      <c r="F274" s="103"/>
      <c r="G274" s="103"/>
      <c r="H274" s="103"/>
      <c r="I274" s="103"/>
      <c r="J274" s="103"/>
      <c r="K274" s="160"/>
      <c r="L274" s="103"/>
      <c r="M274" s="158"/>
      <c r="N274" s="103"/>
      <c r="O274" s="103"/>
      <c r="P274" s="103"/>
      <c r="AC274" s="200"/>
    </row>
    <row r="275">
      <c r="A275" s="158"/>
      <c r="B275" s="160"/>
      <c r="C275" s="103"/>
      <c r="D275" s="158"/>
      <c r="E275" s="103"/>
      <c r="F275" s="103"/>
      <c r="G275" s="103"/>
      <c r="H275" s="103"/>
      <c r="I275" s="103"/>
      <c r="J275" s="103"/>
      <c r="K275" s="160"/>
      <c r="L275" s="103"/>
      <c r="M275" s="158"/>
      <c r="N275" s="103"/>
      <c r="O275" s="103"/>
      <c r="P275" s="103"/>
      <c r="AC275" s="200"/>
    </row>
    <row r="276">
      <c r="A276" s="158"/>
      <c r="B276" s="160"/>
      <c r="C276" s="103"/>
      <c r="D276" s="158"/>
      <c r="E276" s="103"/>
      <c r="F276" s="103"/>
      <c r="G276" s="103"/>
      <c r="H276" s="103"/>
      <c r="I276" s="103"/>
      <c r="J276" s="103"/>
      <c r="K276" s="160"/>
      <c r="L276" s="103"/>
      <c r="M276" s="158"/>
      <c r="N276" s="103"/>
      <c r="O276" s="103"/>
      <c r="P276" s="103"/>
      <c r="AC276" s="200"/>
    </row>
    <row r="277">
      <c r="A277" s="158"/>
      <c r="B277" s="160"/>
      <c r="C277" s="103"/>
      <c r="D277" s="158"/>
      <c r="E277" s="103"/>
      <c r="F277" s="103"/>
      <c r="G277" s="103"/>
      <c r="H277" s="103"/>
      <c r="I277" s="103"/>
      <c r="J277" s="103"/>
      <c r="K277" s="160"/>
      <c r="L277" s="103"/>
      <c r="M277" s="158"/>
      <c r="N277" s="103"/>
      <c r="O277" s="103"/>
      <c r="P277" s="103"/>
      <c r="AC277" s="200"/>
    </row>
    <row r="278">
      <c r="A278" s="158"/>
      <c r="B278" s="160"/>
      <c r="C278" s="103"/>
      <c r="D278" s="158"/>
      <c r="E278" s="103"/>
      <c r="F278" s="103"/>
      <c r="G278" s="103"/>
      <c r="H278" s="103"/>
      <c r="I278" s="103"/>
      <c r="J278" s="103"/>
      <c r="K278" s="160"/>
      <c r="L278" s="103"/>
      <c r="M278" s="158"/>
      <c r="N278" s="103"/>
      <c r="O278" s="103"/>
      <c r="P278" s="103"/>
      <c r="AC278" s="200"/>
    </row>
    <row r="279">
      <c r="A279" s="158"/>
      <c r="B279" s="160"/>
      <c r="C279" s="103"/>
      <c r="D279" s="158"/>
      <c r="E279" s="103"/>
      <c r="F279" s="103"/>
      <c r="G279" s="103"/>
      <c r="H279" s="103"/>
      <c r="I279" s="103"/>
      <c r="J279" s="103"/>
      <c r="K279" s="160"/>
      <c r="L279" s="103"/>
      <c r="M279" s="158"/>
      <c r="N279" s="103"/>
      <c r="O279" s="103"/>
      <c r="P279" s="103"/>
      <c r="AC279" s="200"/>
    </row>
    <row r="280">
      <c r="A280" s="158"/>
      <c r="B280" s="160"/>
      <c r="C280" s="103"/>
      <c r="D280" s="158"/>
      <c r="E280" s="103"/>
      <c r="F280" s="103"/>
      <c r="G280" s="103"/>
      <c r="H280" s="103"/>
      <c r="I280" s="103"/>
      <c r="J280" s="103"/>
      <c r="K280" s="160"/>
      <c r="L280" s="103"/>
      <c r="M280" s="158"/>
      <c r="N280" s="103"/>
      <c r="O280" s="103"/>
      <c r="P280" s="103"/>
      <c r="AC280" s="200"/>
    </row>
    <row r="281">
      <c r="A281" s="158"/>
      <c r="B281" s="160"/>
      <c r="C281" s="103"/>
      <c r="D281" s="158"/>
      <c r="E281" s="103"/>
      <c r="F281" s="103"/>
      <c r="G281" s="103"/>
      <c r="H281" s="103"/>
      <c r="I281" s="103"/>
      <c r="J281" s="103"/>
      <c r="K281" s="160"/>
      <c r="L281" s="103"/>
      <c r="M281" s="158"/>
      <c r="N281" s="103"/>
      <c r="O281" s="103"/>
      <c r="P281" s="103"/>
      <c r="AC281" s="200"/>
    </row>
    <row r="282">
      <c r="A282" s="158"/>
      <c r="B282" s="160"/>
      <c r="C282" s="103"/>
      <c r="D282" s="158"/>
      <c r="E282" s="103"/>
      <c r="F282" s="103"/>
      <c r="G282" s="103"/>
      <c r="H282" s="103"/>
      <c r="I282" s="103"/>
      <c r="J282" s="103"/>
      <c r="K282" s="160"/>
      <c r="L282" s="103"/>
      <c r="M282" s="158"/>
      <c r="N282" s="103"/>
      <c r="O282" s="103"/>
      <c r="P282" s="103"/>
      <c r="AC282" s="200"/>
    </row>
    <row r="283">
      <c r="A283" s="158"/>
      <c r="B283" s="160"/>
      <c r="C283" s="103"/>
      <c r="D283" s="158"/>
      <c r="E283" s="103"/>
      <c r="F283" s="103"/>
      <c r="G283" s="103"/>
      <c r="H283" s="103"/>
      <c r="I283" s="103"/>
      <c r="J283" s="103"/>
      <c r="K283" s="160"/>
      <c r="L283" s="103"/>
      <c r="M283" s="158"/>
      <c r="N283" s="103"/>
      <c r="O283" s="103"/>
      <c r="P283" s="103"/>
      <c r="AC283" s="200"/>
    </row>
    <row r="284">
      <c r="A284" s="158"/>
      <c r="B284" s="160"/>
      <c r="C284" s="103"/>
      <c r="D284" s="158"/>
      <c r="E284" s="103"/>
      <c r="F284" s="103"/>
      <c r="G284" s="103"/>
      <c r="H284" s="103"/>
      <c r="I284" s="103"/>
      <c r="J284" s="103"/>
      <c r="K284" s="160"/>
      <c r="L284" s="103"/>
      <c r="M284" s="158"/>
      <c r="N284" s="103"/>
      <c r="O284" s="103"/>
      <c r="P284" s="103"/>
      <c r="AC284" s="200"/>
    </row>
    <row r="285">
      <c r="A285" s="158"/>
      <c r="B285" s="160"/>
      <c r="C285" s="103"/>
      <c r="D285" s="158"/>
      <c r="E285" s="103"/>
      <c r="F285" s="103"/>
      <c r="G285" s="103"/>
      <c r="H285" s="103"/>
      <c r="I285" s="103"/>
      <c r="J285" s="103"/>
      <c r="K285" s="160"/>
      <c r="L285" s="103"/>
      <c r="M285" s="158"/>
      <c r="N285" s="103"/>
      <c r="O285" s="103"/>
      <c r="P285" s="103"/>
      <c r="AC285" s="200"/>
    </row>
    <row r="286">
      <c r="A286" s="158"/>
      <c r="B286" s="160"/>
      <c r="C286" s="103"/>
      <c r="D286" s="158"/>
      <c r="E286" s="103"/>
      <c r="F286" s="103"/>
      <c r="G286" s="103"/>
      <c r="H286" s="103"/>
      <c r="I286" s="103"/>
      <c r="J286" s="103"/>
      <c r="K286" s="160"/>
      <c r="L286" s="103"/>
      <c r="M286" s="158"/>
      <c r="N286" s="103"/>
      <c r="O286" s="103"/>
      <c r="P286" s="103"/>
      <c r="AC286" s="200"/>
    </row>
    <row r="287">
      <c r="A287" s="158"/>
      <c r="B287" s="160"/>
      <c r="C287" s="103"/>
      <c r="D287" s="158"/>
      <c r="E287" s="103"/>
      <c r="F287" s="103"/>
      <c r="G287" s="103"/>
      <c r="H287" s="103"/>
      <c r="I287" s="103"/>
      <c r="J287" s="103"/>
      <c r="K287" s="160"/>
      <c r="L287" s="103"/>
      <c r="M287" s="158"/>
      <c r="N287" s="103"/>
      <c r="O287" s="103"/>
      <c r="P287" s="103"/>
      <c r="AC287" s="200"/>
    </row>
    <row r="288">
      <c r="A288" s="158"/>
      <c r="B288" s="160"/>
      <c r="C288" s="103"/>
      <c r="D288" s="158"/>
      <c r="E288" s="103"/>
      <c r="F288" s="103"/>
      <c r="G288" s="103"/>
      <c r="H288" s="103"/>
      <c r="I288" s="103"/>
      <c r="J288" s="103"/>
      <c r="K288" s="160"/>
      <c r="L288" s="103"/>
      <c r="M288" s="158"/>
      <c r="N288" s="103"/>
      <c r="O288" s="103"/>
      <c r="P288" s="103"/>
      <c r="AC288" s="200"/>
    </row>
    <row r="289">
      <c r="A289" s="158"/>
      <c r="B289" s="160"/>
      <c r="C289" s="103"/>
      <c r="D289" s="158"/>
      <c r="E289" s="103"/>
      <c r="F289" s="103"/>
      <c r="G289" s="103"/>
      <c r="H289" s="103"/>
      <c r="I289" s="103"/>
      <c r="J289" s="103"/>
      <c r="K289" s="160"/>
      <c r="L289" s="103"/>
      <c r="M289" s="158"/>
      <c r="N289" s="103"/>
      <c r="O289" s="103"/>
      <c r="P289" s="103"/>
      <c r="AC289" s="200"/>
    </row>
    <row r="290">
      <c r="A290" s="158"/>
      <c r="B290" s="160"/>
      <c r="C290" s="103"/>
      <c r="D290" s="158"/>
      <c r="E290" s="103"/>
      <c r="F290" s="103"/>
      <c r="G290" s="103"/>
      <c r="H290" s="103"/>
      <c r="I290" s="103"/>
      <c r="J290" s="103"/>
      <c r="K290" s="160"/>
      <c r="L290" s="103"/>
      <c r="M290" s="158"/>
      <c r="N290" s="103"/>
      <c r="O290" s="103"/>
      <c r="P290" s="103"/>
      <c r="AC290" s="200"/>
    </row>
    <row r="291">
      <c r="A291" s="158"/>
      <c r="B291" s="160"/>
      <c r="C291" s="103"/>
      <c r="D291" s="158"/>
      <c r="E291" s="103"/>
      <c r="F291" s="103"/>
      <c r="G291" s="103"/>
      <c r="H291" s="103"/>
      <c r="I291" s="103"/>
      <c r="J291" s="103"/>
      <c r="K291" s="160"/>
      <c r="L291" s="103"/>
      <c r="M291" s="158"/>
      <c r="N291" s="103"/>
      <c r="O291" s="103"/>
      <c r="P291" s="103"/>
      <c r="AC291" s="200"/>
    </row>
    <row r="292">
      <c r="A292" s="158"/>
      <c r="B292" s="160"/>
      <c r="C292" s="103"/>
      <c r="D292" s="158"/>
      <c r="E292" s="103"/>
      <c r="F292" s="103"/>
      <c r="G292" s="103"/>
      <c r="H292" s="103"/>
      <c r="I292" s="103"/>
      <c r="J292" s="103"/>
      <c r="K292" s="160"/>
      <c r="L292" s="103"/>
      <c r="M292" s="158"/>
      <c r="N292" s="103"/>
      <c r="O292" s="103"/>
      <c r="P292" s="103"/>
      <c r="AC292" s="200"/>
    </row>
    <row r="293">
      <c r="A293" s="158"/>
      <c r="B293" s="160"/>
      <c r="C293" s="103"/>
      <c r="D293" s="158"/>
      <c r="E293" s="103"/>
      <c r="F293" s="103"/>
      <c r="G293" s="103"/>
      <c r="H293" s="103"/>
      <c r="I293" s="103"/>
      <c r="J293" s="103"/>
      <c r="K293" s="160"/>
      <c r="L293" s="103"/>
      <c r="M293" s="158"/>
      <c r="N293" s="103"/>
      <c r="O293" s="103"/>
      <c r="P293" s="103"/>
      <c r="AC293" s="200"/>
    </row>
    <row r="294">
      <c r="A294" s="158"/>
      <c r="B294" s="160"/>
      <c r="C294" s="103"/>
      <c r="D294" s="158"/>
      <c r="E294" s="103"/>
      <c r="F294" s="103"/>
      <c r="G294" s="103"/>
      <c r="H294" s="103"/>
      <c r="I294" s="103"/>
      <c r="J294" s="103"/>
      <c r="K294" s="160"/>
      <c r="L294" s="103"/>
      <c r="M294" s="158"/>
      <c r="N294" s="103"/>
      <c r="O294" s="103"/>
      <c r="P294" s="103"/>
      <c r="AC294" s="200"/>
    </row>
    <row r="295">
      <c r="A295" s="158"/>
      <c r="B295" s="160"/>
      <c r="C295" s="103"/>
      <c r="D295" s="158"/>
      <c r="E295" s="103"/>
      <c r="F295" s="103"/>
      <c r="G295" s="103"/>
      <c r="H295" s="103"/>
      <c r="I295" s="103"/>
      <c r="J295" s="103"/>
      <c r="K295" s="160"/>
      <c r="L295" s="103"/>
      <c r="M295" s="158"/>
      <c r="N295" s="103"/>
      <c r="O295" s="103"/>
      <c r="P295" s="103"/>
      <c r="AC295" s="200"/>
    </row>
    <row r="296">
      <c r="A296" s="158"/>
      <c r="B296" s="160"/>
      <c r="C296" s="103"/>
      <c r="D296" s="158"/>
      <c r="E296" s="103"/>
      <c r="F296" s="103"/>
      <c r="G296" s="103"/>
      <c r="H296" s="103"/>
      <c r="I296" s="103"/>
      <c r="J296" s="103"/>
      <c r="K296" s="160"/>
      <c r="L296" s="103"/>
      <c r="M296" s="158"/>
      <c r="N296" s="103"/>
      <c r="O296" s="103"/>
      <c r="P296" s="103"/>
      <c r="AC296" s="200"/>
    </row>
    <row r="297">
      <c r="A297" s="158"/>
      <c r="B297" s="160"/>
      <c r="C297" s="103"/>
      <c r="D297" s="158"/>
      <c r="E297" s="103"/>
      <c r="F297" s="103"/>
      <c r="G297" s="103"/>
      <c r="H297" s="103"/>
      <c r="I297" s="103"/>
      <c r="J297" s="103"/>
      <c r="K297" s="160"/>
      <c r="L297" s="103"/>
      <c r="M297" s="158"/>
      <c r="N297" s="103"/>
      <c r="O297" s="103"/>
      <c r="P297" s="103"/>
      <c r="AC297" s="200"/>
    </row>
    <row r="298">
      <c r="A298" s="158"/>
      <c r="B298" s="160"/>
      <c r="C298" s="103"/>
      <c r="D298" s="158"/>
      <c r="E298" s="103"/>
      <c r="F298" s="103"/>
      <c r="G298" s="103"/>
      <c r="H298" s="103"/>
      <c r="I298" s="103"/>
      <c r="J298" s="103"/>
      <c r="K298" s="160"/>
      <c r="L298" s="103"/>
      <c r="M298" s="158"/>
      <c r="N298" s="103"/>
      <c r="O298" s="103"/>
      <c r="P298" s="103"/>
      <c r="AC298" s="200"/>
    </row>
    <row r="299">
      <c r="A299" s="158"/>
      <c r="B299" s="160"/>
      <c r="C299" s="103"/>
      <c r="D299" s="158"/>
      <c r="E299" s="103"/>
      <c r="F299" s="103"/>
      <c r="G299" s="103"/>
      <c r="H299" s="103"/>
      <c r="I299" s="103"/>
      <c r="J299" s="103"/>
      <c r="K299" s="160"/>
      <c r="L299" s="103"/>
      <c r="M299" s="158"/>
      <c r="N299" s="103"/>
      <c r="O299" s="103"/>
      <c r="P299" s="103"/>
      <c r="AC299" s="200"/>
    </row>
    <row r="300">
      <c r="A300" s="158"/>
      <c r="B300" s="160"/>
      <c r="C300" s="103"/>
      <c r="D300" s="158"/>
      <c r="E300" s="103"/>
      <c r="F300" s="103"/>
      <c r="G300" s="103"/>
      <c r="H300" s="103"/>
      <c r="I300" s="103"/>
      <c r="J300" s="103"/>
      <c r="K300" s="160"/>
      <c r="L300" s="103"/>
      <c r="M300" s="158"/>
      <c r="N300" s="103"/>
      <c r="O300" s="103"/>
      <c r="P300" s="103"/>
      <c r="AC300" s="200"/>
    </row>
    <row r="301">
      <c r="A301" s="158"/>
      <c r="B301" s="160"/>
      <c r="C301" s="103"/>
      <c r="D301" s="158"/>
      <c r="E301" s="103"/>
      <c r="F301" s="103"/>
      <c r="G301" s="103"/>
      <c r="H301" s="103"/>
      <c r="I301" s="103"/>
      <c r="J301" s="103"/>
      <c r="K301" s="160"/>
      <c r="L301" s="103"/>
      <c r="M301" s="158"/>
      <c r="N301" s="103"/>
      <c r="O301" s="103"/>
      <c r="P301" s="103"/>
      <c r="AC301" s="200"/>
    </row>
    <row r="302">
      <c r="A302" s="158"/>
      <c r="B302" s="160"/>
      <c r="C302" s="103"/>
      <c r="D302" s="158"/>
      <c r="E302" s="103"/>
      <c r="F302" s="103"/>
      <c r="G302" s="103"/>
      <c r="H302" s="103"/>
      <c r="I302" s="103"/>
      <c r="J302" s="103"/>
      <c r="K302" s="160"/>
      <c r="L302" s="103"/>
      <c r="M302" s="158"/>
      <c r="N302" s="103"/>
      <c r="O302" s="103"/>
      <c r="P302" s="103"/>
      <c r="AC302" s="200"/>
    </row>
    <row r="303">
      <c r="A303" s="158"/>
      <c r="B303" s="160"/>
      <c r="C303" s="103"/>
      <c r="D303" s="158"/>
      <c r="E303" s="103"/>
      <c r="F303" s="103"/>
      <c r="G303" s="103"/>
      <c r="H303" s="103"/>
      <c r="I303" s="103"/>
      <c r="J303" s="103"/>
      <c r="K303" s="160"/>
      <c r="L303" s="103"/>
      <c r="M303" s="158"/>
      <c r="N303" s="103"/>
      <c r="O303" s="103"/>
      <c r="P303" s="103"/>
      <c r="AC303" s="200"/>
    </row>
    <row r="304">
      <c r="A304" s="158"/>
      <c r="B304" s="160"/>
      <c r="C304" s="103"/>
      <c r="D304" s="158"/>
      <c r="E304" s="103"/>
      <c r="F304" s="103"/>
      <c r="G304" s="103"/>
      <c r="H304" s="103"/>
      <c r="I304" s="103"/>
      <c r="J304" s="103"/>
      <c r="K304" s="160"/>
      <c r="L304" s="103"/>
      <c r="M304" s="158"/>
      <c r="N304" s="103"/>
      <c r="O304" s="103"/>
      <c r="P304" s="103"/>
      <c r="AC304" s="200"/>
    </row>
    <row r="305">
      <c r="A305" s="158"/>
      <c r="B305" s="160"/>
      <c r="C305" s="103"/>
      <c r="D305" s="158"/>
      <c r="E305" s="103"/>
      <c r="F305" s="103"/>
      <c r="G305" s="103"/>
      <c r="H305" s="103"/>
      <c r="I305" s="103"/>
      <c r="J305" s="103"/>
      <c r="K305" s="160"/>
      <c r="L305" s="103"/>
      <c r="M305" s="158"/>
      <c r="N305" s="103"/>
      <c r="O305" s="103"/>
      <c r="P305" s="103"/>
      <c r="AC305" s="200"/>
    </row>
    <row r="306">
      <c r="A306" s="158"/>
      <c r="B306" s="160"/>
      <c r="C306" s="103"/>
      <c r="D306" s="158"/>
      <c r="E306" s="103"/>
      <c r="F306" s="103"/>
      <c r="G306" s="103"/>
      <c r="H306" s="103"/>
      <c r="I306" s="103"/>
      <c r="J306" s="103"/>
      <c r="K306" s="160"/>
      <c r="L306" s="103"/>
      <c r="M306" s="158"/>
      <c r="N306" s="103"/>
      <c r="O306" s="103"/>
      <c r="P306" s="103"/>
      <c r="AC306" s="200"/>
    </row>
    <row r="307">
      <c r="A307" s="158"/>
      <c r="B307" s="160"/>
      <c r="C307" s="103"/>
      <c r="D307" s="158"/>
      <c r="E307" s="103"/>
      <c r="F307" s="103"/>
      <c r="G307" s="103"/>
      <c r="H307" s="103"/>
      <c r="I307" s="103"/>
      <c r="J307" s="103"/>
      <c r="K307" s="160"/>
      <c r="L307" s="103"/>
      <c r="M307" s="158"/>
      <c r="N307" s="103"/>
      <c r="O307" s="103"/>
      <c r="P307" s="103"/>
      <c r="AC307" s="200"/>
    </row>
    <row r="308">
      <c r="A308" s="158"/>
      <c r="B308" s="160"/>
      <c r="C308" s="103"/>
      <c r="D308" s="158"/>
      <c r="E308" s="103"/>
      <c r="F308" s="103"/>
      <c r="G308" s="103"/>
      <c r="H308" s="103"/>
      <c r="I308" s="103"/>
      <c r="J308" s="103"/>
      <c r="K308" s="160"/>
      <c r="L308" s="103"/>
      <c r="M308" s="158"/>
      <c r="N308" s="103"/>
      <c r="O308" s="103"/>
      <c r="P308" s="103"/>
      <c r="AC308" s="200"/>
    </row>
    <row r="309">
      <c r="A309" s="158"/>
      <c r="B309" s="160"/>
      <c r="C309" s="103"/>
      <c r="D309" s="158"/>
      <c r="E309" s="103"/>
      <c r="F309" s="103"/>
      <c r="G309" s="103"/>
      <c r="H309" s="103"/>
      <c r="I309" s="103"/>
      <c r="J309" s="103"/>
      <c r="K309" s="160"/>
      <c r="L309" s="103"/>
      <c r="M309" s="158"/>
      <c r="N309" s="103"/>
      <c r="O309" s="103"/>
      <c r="P309" s="103"/>
      <c r="AC309" s="200"/>
    </row>
    <row r="310">
      <c r="A310" s="158"/>
      <c r="B310" s="160"/>
      <c r="C310" s="103"/>
      <c r="D310" s="158"/>
      <c r="E310" s="103"/>
      <c r="F310" s="103"/>
      <c r="G310" s="103"/>
      <c r="H310" s="103"/>
      <c r="I310" s="103"/>
      <c r="J310" s="103"/>
      <c r="K310" s="160"/>
      <c r="L310" s="103"/>
      <c r="M310" s="158"/>
      <c r="N310" s="103"/>
      <c r="O310" s="103"/>
      <c r="P310" s="103"/>
      <c r="AC310" s="200"/>
    </row>
    <row r="311">
      <c r="A311" s="158"/>
      <c r="B311" s="160"/>
      <c r="C311" s="103"/>
      <c r="D311" s="158"/>
      <c r="E311" s="103"/>
      <c r="F311" s="103"/>
      <c r="G311" s="103"/>
      <c r="H311" s="103"/>
      <c r="I311" s="103"/>
      <c r="J311" s="103"/>
      <c r="K311" s="160"/>
      <c r="L311" s="103"/>
      <c r="M311" s="158"/>
      <c r="N311" s="103"/>
      <c r="O311" s="103"/>
      <c r="P311" s="103"/>
      <c r="AC311" s="200"/>
    </row>
    <row r="312">
      <c r="A312" s="158"/>
      <c r="B312" s="160"/>
      <c r="C312" s="103"/>
      <c r="D312" s="158"/>
      <c r="E312" s="103"/>
      <c r="F312" s="103"/>
      <c r="G312" s="103"/>
      <c r="H312" s="103"/>
      <c r="I312" s="103"/>
      <c r="J312" s="103"/>
      <c r="K312" s="160"/>
      <c r="L312" s="103"/>
      <c r="M312" s="158"/>
      <c r="N312" s="103"/>
      <c r="O312" s="103"/>
      <c r="P312" s="103"/>
      <c r="AC312" s="200"/>
    </row>
    <row r="313">
      <c r="A313" s="158"/>
      <c r="B313" s="160"/>
      <c r="C313" s="103"/>
      <c r="D313" s="158"/>
      <c r="E313" s="103"/>
      <c r="F313" s="103"/>
      <c r="G313" s="103"/>
      <c r="H313" s="103"/>
      <c r="I313" s="103"/>
      <c r="J313" s="103"/>
      <c r="K313" s="160"/>
      <c r="L313" s="103"/>
      <c r="M313" s="158"/>
      <c r="N313" s="103"/>
      <c r="O313" s="103"/>
      <c r="P313" s="103"/>
      <c r="AC313" s="200"/>
    </row>
    <row r="314">
      <c r="A314" s="158"/>
      <c r="B314" s="160"/>
      <c r="C314" s="103"/>
      <c r="D314" s="158"/>
      <c r="E314" s="103"/>
      <c r="F314" s="103"/>
      <c r="G314" s="103"/>
      <c r="H314" s="103"/>
      <c r="I314" s="103"/>
      <c r="J314" s="103"/>
      <c r="K314" s="160"/>
      <c r="L314" s="103"/>
      <c r="M314" s="158"/>
      <c r="N314" s="103"/>
      <c r="O314" s="103"/>
      <c r="P314" s="103"/>
      <c r="AC314" s="200"/>
    </row>
    <row r="315">
      <c r="A315" s="158"/>
      <c r="B315" s="160"/>
      <c r="C315" s="103"/>
      <c r="D315" s="158"/>
      <c r="E315" s="103"/>
      <c r="F315" s="103"/>
      <c r="G315" s="103"/>
      <c r="H315" s="103"/>
      <c r="I315" s="103"/>
      <c r="J315" s="103"/>
      <c r="K315" s="160"/>
      <c r="L315" s="103"/>
      <c r="M315" s="158"/>
      <c r="N315" s="103"/>
      <c r="O315" s="103"/>
      <c r="P315" s="103"/>
      <c r="AC315" s="200"/>
    </row>
    <row r="316">
      <c r="A316" s="158"/>
      <c r="B316" s="160"/>
      <c r="C316" s="103"/>
      <c r="D316" s="158"/>
      <c r="E316" s="103"/>
      <c r="F316" s="103"/>
      <c r="G316" s="103"/>
      <c r="H316" s="103"/>
      <c r="I316" s="103"/>
      <c r="J316" s="103"/>
      <c r="K316" s="160"/>
      <c r="L316" s="103"/>
      <c r="M316" s="158"/>
      <c r="N316" s="103"/>
      <c r="O316" s="103"/>
      <c r="P316" s="103"/>
      <c r="AC316" s="200"/>
    </row>
    <row r="317">
      <c r="A317" s="158"/>
      <c r="B317" s="160"/>
      <c r="C317" s="103"/>
      <c r="D317" s="158"/>
      <c r="E317" s="103"/>
      <c r="F317" s="103"/>
      <c r="G317" s="103"/>
      <c r="H317" s="103"/>
      <c r="I317" s="103"/>
      <c r="J317" s="103"/>
      <c r="K317" s="160"/>
      <c r="L317" s="103"/>
      <c r="M317" s="158"/>
      <c r="N317" s="103"/>
      <c r="O317" s="103"/>
      <c r="P317" s="103"/>
      <c r="AC317" s="200"/>
    </row>
    <row r="318">
      <c r="A318" s="158"/>
      <c r="B318" s="160"/>
      <c r="C318" s="103"/>
      <c r="D318" s="158"/>
      <c r="E318" s="103"/>
      <c r="F318" s="103"/>
      <c r="G318" s="103"/>
      <c r="H318" s="103"/>
      <c r="I318" s="103"/>
      <c r="J318" s="103"/>
      <c r="K318" s="160"/>
      <c r="L318" s="103"/>
      <c r="M318" s="158"/>
      <c r="N318" s="103"/>
      <c r="O318" s="103"/>
      <c r="P318" s="103"/>
      <c r="AC318" s="200"/>
    </row>
    <row r="319">
      <c r="A319" s="158"/>
      <c r="B319" s="160"/>
      <c r="C319" s="103"/>
      <c r="D319" s="158"/>
      <c r="E319" s="103"/>
      <c r="F319" s="103"/>
      <c r="G319" s="103"/>
      <c r="H319" s="103"/>
      <c r="I319" s="103"/>
      <c r="J319" s="103"/>
      <c r="K319" s="160"/>
      <c r="L319" s="103"/>
      <c r="M319" s="158"/>
      <c r="N319" s="103"/>
      <c r="O319" s="103"/>
      <c r="P319" s="103"/>
      <c r="AC319" s="200"/>
    </row>
    <row r="320">
      <c r="A320" s="158"/>
      <c r="B320" s="160"/>
      <c r="C320" s="103"/>
      <c r="D320" s="158"/>
      <c r="E320" s="103"/>
      <c r="F320" s="103"/>
      <c r="G320" s="103"/>
      <c r="H320" s="103"/>
      <c r="I320" s="103"/>
      <c r="J320" s="103"/>
      <c r="K320" s="160"/>
      <c r="L320" s="103"/>
      <c r="M320" s="158"/>
      <c r="N320" s="103"/>
      <c r="O320" s="103"/>
      <c r="P320" s="103"/>
      <c r="AC320" s="200"/>
    </row>
    <row r="321">
      <c r="A321" s="158"/>
      <c r="B321" s="160"/>
      <c r="C321" s="103"/>
      <c r="D321" s="158"/>
      <c r="E321" s="103"/>
      <c r="F321" s="103"/>
      <c r="G321" s="103"/>
      <c r="H321" s="103"/>
      <c r="I321" s="103"/>
      <c r="J321" s="103"/>
      <c r="K321" s="160"/>
      <c r="L321" s="103"/>
      <c r="M321" s="158"/>
      <c r="N321" s="103"/>
      <c r="O321" s="103"/>
      <c r="P321" s="103"/>
      <c r="AC321" s="200"/>
    </row>
    <row r="322">
      <c r="A322" s="158"/>
      <c r="B322" s="160"/>
      <c r="C322" s="103"/>
      <c r="D322" s="158"/>
      <c r="E322" s="103"/>
      <c r="F322" s="103"/>
      <c r="G322" s="103"/>
      <c r="H322" s="103"/>
      <c r="I322" s="103"/>
      <c r="J322" s="103"/>
      <c r="K322" s="160"/>
      <c r="L322" s="103"/>
      <c r="M322" s="158"/>
      <c r="N322" s="103"/>
      <c r="O322" s="103"/>
      <c r="P322" s="103"/>
      <c r="AC322" s="200"/>
    </row>
    <row r="323">
      <c r="A323" s="158"/>
      <c r="B323" s="160"/>
      <c r="C323" s="103"/>
      <c r="D323" s="158"/>
      <c r="E323" s="103"/>
      <c r="F323" s="103"/>
      <c r="G323" s="103"/>
      <c r="H323" s="103"/>
      <c r="I323" s="103"/>
      <c r="J323" s="103"/>
      <c r="K323" s="160"/>
      <c r="L323" s="103"/>
      <c r="M323" s="158"/>
      <c r="N323" s="103"/>
      <c r="O323" s="103"/>
      <c r="P323" s="103"/>
      <c r="AC323" s="200"/>
    </row>
    <row r="324">
      <c r="A324" s="158"/>
      <c r="B324" s="160"/>
      <c r="C324" s="103"/>
      <c r="D324" s="158"/>
      <c r="E324" s="103"/>
      <c r="F324" s="103"/>
      <c r="G324" s="103"/>
      <c r="H324" s="103"/>
      <c r="I324" s="103"/>
      <c r="J324" s="103"/>
      <c r="K324" s="160"/>
      <c r="L324" s="103"/>
      <c r="M324" s="158"/>
      <c r="N324" s="103"/>
      <c r="O324" s="103"/>
      <c r="P324" s="103"/>
      <c r="AC324" s="200"/>
    </row>
    <row r="325">
      <c r="A325" s="158"/>
      <c r="B325" s="160"/>
      <c r="C325" s="103"/>
      <c r="D325" s="158"/>
      <c r="E325" s="103"/>
      <c r="F325" s="103"/>
      <c r="G325" s="103"/>
      <c r="H325" s="103"/>
      <c r="I325" s="103"/>
      <c r="J325" s="103"/>
      <c r="K325" s="160"/>
      <c r="L325" s="103"/>
      <c r="M325" s="158"/>
      <c r="N325" s="103"/>
      <c r="O325" s="103"/>
      <c r="P325" s="103"/>
      <c r="AC325" s="200"/>
    </row>
    <row r="326">
      <c r="A326" s="158"/>
      <c r="B326" s="160"/>
      <c r="C326" s="103"/>
      <c r="D326" s="158"/>
      <c r="E326" s="103"/>
      <c r="F326" s="103"/>
      <c r="G326" s="103"/>
      <c r="H326" s="103"/>
      <c r="I326" s="103"/>
      <c r="J326" s="103"/>
      <c r="K326" s="160"/>
      <c r="L326" s="103"/>
      <c r="M326" s="158"/>
      <c r="N326" s="103"/>
      <c r="O326" s="103"/>
      <c r="P326" s="103"/>
      <c r="AC326" s="200"/>
    </row>
    <row r="327">
      <c r="A327" s="158"/>
      <c r="B327" s="160"/>
      <c r="C327" s="103"/>
      <c r="D327" s="158"/>
      <c r="E327" s="103"/>
      <c r="F327" s="103"/>
      <c r="G327" s="103"/>
      <c r="H327" s="103"/>
      <c r="I327" s="103"/>
      <c r="J327" s="103"/>
      <c r="K327" s="160"/>
      <c r="L327" s="103"/>
      <c r="M327" s="158"/>
      <c r="N327" s="103"/>
      <c r="O327" s="103"/>
      <c r="P327" s="103"/>
      <c r="AC327" s="200"/>
    </row>
    <row r="328">
      <c r="A328" s="158"/>
      <c r="B328" s="160"/>
      <c r="C328" s="103"/>
      <c r="D328" s="158"/>
      <c r="E328" s="103"/>
      <c r="F328" s="103"/>
      <c r="G328" s="103"/>
      <c r="H328" s="103"/>
      <c r="I328" s="103"/>
      <c r="J328" s="103"/>
      <c r="K328" s="160"/>
      <c r="L328" s="103"/>
      <c r="M328" s="158"/>
      <c r="N328" s="103"/>
      <c r="O328" s="103"/>
      <c r="P328" s="103"/>
      <c r="AC328" s="200"/>
    </row>
    <row r="329">
      <c r="A329" s="158"/>
      <c r="B329" s="160"/>
      <c r="C329" s="103"/>
      <c r="D329" s="158"/>
      <c r="E329" s="103"/>
      <c r="F329" s="103"/>
      <c r="G329" s="103"/>
      <c r="H329" s="103"/>
      <c r="I329" s="103"/>
      <c r="J329" s="103"/>
      <c r="K329" s="160"/>
      <c r="L329" s="103"/>
      <c r="M329" s="158"/>
      <c r="N329" s="103"/>
      <c r="O329" s="103"/>
      <c r="P329" s="103"/>
      <c r="AC329" s="200"/>
    </row>
    <row r="330">
      <c r="A330" s="158"/>
      <c r="B330" s="160"/>
      <c r="C330" s="103"/>
      <c r="D330" s="158"/>
      <c r="E330" s="103"/>
      <c r="F330" s="103"/>
      <c r="G330" s="103"/>
      <c r="H330" s="103"/>
      <c r="I330" s="103"/>
      <c r="J330" s="103"/>
      <c r="K330" s="160"/>
      <c r="L330" s="103"/>
      <c r="M330" s="158"/>
      <c r="N330" s="103"/>
      <c r="O330" s="103"/>
      <c r="P330" s="103"/>
      <c r="AC330" s="200"/>
    </row>
    <row r="331">
      <c r="A331" s="158"/>
      <c r="B331" s="160"/>
      <c r="C331" s="103"/>
      <c r="D331" s="158"/>
      <c r="E331" s="103"/>
      <c r="F331" s="103"/>
      <c r="G331" s="103"/>
      <c r="H331" s="103"/>
      <c r="I331" s="103"/>
      <c r="J331" s="103"/>
      <c r="K331" s="160"/>
      <c r="L331" s="103"/>
      <c r="M331" s="158"/>
      <c r="N331" s="103"/>
      <c r="O331" s="103"/>
      <c r="P331" s="103"/>
      <c r="AC331" s="200"/>
    </row>
    <row r="332">
      <c r="A332" s="158"/>
      <c r="B332" s="160"/>
      <c r="C332" s="103"/>
      <c r="D332" s="158"/>
      <c r="E332" s="103"/>
      <c r="F332" s="103"/>
      <c r="G332" s="103"/>
      <c r="H332" s="103"/>
      <c r="I332" s="103"/>
      <c r="J332" s="103"/>
      <c r="K332" s="160"/>
      <c r="L332" s="103"/>
      <c r="M332" s="158"/>
      <c r="N332" s="103"/>
      <c r="O332" s="103"/>
      <c r="P332" s="103"/>
      <c r="AC332" s="200"/>
    </row>
    <row r="333">
      <c r="A333" s="158"/>
      <c r="B333" s="160"/>
      <c r="C333" s="103"/>
      <c r="D333" s="158"/>
      <c r="E333" s="103"/>
      <c r="F333" s="103"/>
      <c r="G333" s="103"/>
      <c r="H333" s="103"/>
      <c r="I333" s="103"/>
      <c r="J333" s="103"/>
      <c r="K333" s="160"/>
      <c r="L333" s="103"/>
      <c r="M333" s="158"/>
      <c r="N333" s="103"/>
      <c r="O333" s="103"/>
      <c r="P333" s="103"/>
      <c r="AC333" s="200"/>
    </row>
    <row r="334">
      <c r="A334" s="158"/>
      <c r="B334" s="160"/>
      <c r="C334" s="103"/>
      <c r="D334" s="158"/>
      <c r="E334" s="103"/>
      <c r="F334" s="103"/>
      <c r="G334" s="103"/>
      <c r="H334" s="103"/>
      <c r="I334" s="103"/>
      <c r="J334" s="103"/>
      <c r="K334" s="160"/>
      <c r="L334" s="103"/>
      <c r="M334" s="158"/>
      <c r="N334" s="103"/>
      <c r="O334" s="103"/>
      <c r="P334" s="103"/>
      <c r="AC334" s="200"/>
    </row>
    <row r="335">
      <c r="A335" s="158"/>
      <c r="B335" s="160"/>
      <c r="C335" s="103"/>
      <c r="D335" s="158"/>
      <c r="E335" s="103"/>
      <c r="F335" s="103"/>
      <c r="G335" s="103"/>
      <c r="H335" s="103"/>
      <c r="I335" s="103"/>
      <c r="J335" s="103"/>
      <c r="K335" s="160"/>
      <c r="L335" s="103"/>
      <c r="M335" s="158"/>
      <c r="N335" s="103"/>
      <c r="O335" s="103"/>
      <c r="P335" s="103"/>
      <c r="AC335" s="200"/>
    </row>
    <row r="336">
      <c r="A336" s="158"/>
      <c r="B336" s="160"/>
      <c r="C336" s="103"/>
      <c r="D336" s="158"/>
      <c r="E336" s="103"/>
      <c r="F336" s="103"/>
      <c r="G336" s="103"/>
      <c r="H336" s="103"/>
      <c r="I336" s="103"/>
      <c r="J336" s="103"/>
      <c r="K336" s="160"/>
      <c r="L336" s="103"/>
      <c r="M336" s="158"/>
      <c r="N336" s="103"/>
      <c r="O336" s="103"/>
      <c r="P336" s="103"/>
      <c r="AC336" s="200"/>
    </row>
    <row r="337">
      <c r="A337" s="158"/>
      <c r="B337" s="160"/>
      <c r="C337" s="103"/>
      <c r="D337" s="158"/>
      <c r="E337" s="103"/>
      <c r="F337" s="103"/>
      <c r="G337" s="103"/>
      <c r="H337" s="103"/>
      <c r="I337" s="103"/>
      <c r="J337" s="103"/>
      <c r="K337" s="160"/>
      <c r="L337" s="103"/>
      <c r="M337" s="158"/>
      <c r="N337" s="103"/>
      <c r="O337" s="103"/>
      <c r="P337" s="103"/>
      <c r="AC337" s="200"/>
    </row>
    <row r="338">
      <c r="A338" s="158"/>
      <c r="B338" s="160"/>
      <c r="C338" s="103"/>
      <c r="D338" s="158"/>
      <c r="E338" s="103"/>
      <c r="F338" s="103"/>
      <c r="G338" s="103"/>
      <c r="H338" s="103"/>
      <c r="I338" s="103"/>
      <c r="J338" s="103"/>
      <c r="K338" s="160"/>
      <c r="L338" s="103"/>
      <c r="M338" s="158"/>
      <c r="N338" s="103"/>
      <c r="O338" s="103"/>
      <c r="P338" s="103"/>
      <c r="AC338" s="200"/>
    </row>
    <row r="339">
      <c r="A339" s="158"/>
      <c r="B339" s="160"/>
      <c r="C339" s="103"/>
      <c r="D339" s="158"/>
      <c r="E339" s="103"/>
      <c r="F339" s="103"/>
      <c r="G339" s="103"/>
      <c r="H339" s="103"/>
      <c r="I339" s="103"/>
      <c r="J339" s="103"/>
      <c r="K339" s="160"/>
      <c r="L339" s="103"/>
      <c r="M339" s="158"/>
      <c r="N339" s="103"/>
      <c r="O339" s="103"/>
      <c r="P339" s="103"/>
      <c r="AC339" s="200"/>
    </row>
    <row r="340">
      <c r="A340" s="158"/>
      <c r="B340" s="160"/>
      <c r="C340" s="103"/>
      <c r="D340" s="158"/>
      <c r="E340" s="103"/>
      <c r="F340" s="103"/>
      <c r="G340" s="103"/>
      <c r="H340" s="103"/>
      <c r="I340" s="103"/>
      <c r="J340" s="103"/>
      <c r="K340" s="160"/>
      <c r="L340" s="103"/>
      <c r="M340" s="158"/>
      <c r="N340" s="103"/>
      <c r="O340" s="103"/>
      <c r="P340" s="103"/>
      <c r="AC340" s="200"/>
    </row>
    <row r="341">
      <c r="A341" s="158"/>
      <c r="B341" s="160"/>
      <c r="C341" s="103"/>
      <c r="D341" s="158"/>
      <c r="E341" s="103"/>
      <c r="F341" s="103"/>
      <c r="G341" s="103"/>
      <c r="H341" s="103"/>
      <c r="I341" s="103"/>
      <c r="J341" s="103"/>
      <c r="K341" s="160"/>
      <c r="L341" s="103"/>
      <c r="M341" s="158"/>
      <c r="N341" s="103"/>
      <c r="O341" s="103"/>
      <c r="P341" s="103"/>
      <c r="AC341" s="200"/>
    </row>
    <row r="342">
      <c r="A342" s="158"/>
      <c r="B342" s="160"/>
      <c r="C342" s="103"/>
      <c r="D342" s="158"/>
      <c r="E342" s="103"/>
      <c r="F342" s="103"/>
      <c r="G342" s="103"/>
      <c r="H342" s="103"/>
      <c r="I342" s="103"/>
      <c r="J342" s="103"/>
      <c r="K342" s="160"/>
      <c r="L342" s="103"/>
      <c r="M342" s="158"/>
      <c r="N342" s="103"/>
      <c r="O342" s="103"/>
      <c r="P342" s="103"/>
      <c r="AC342" s="200"/>
    </row>
    <row r="343">
      <c r="A343" s="158"/>
      <c r="B343" s="160"/>
      <c r="C343" s="103"/>
      <c r="D343" s="158"/>
      <c r="E343" s="103"/>
      <c r="F343" s="103"/>
      <c r="G343" s="103"/>
      <c r="H343" s="103"/>
      <c r="I343" s="103"/>
      <c r="J343" s="103"/>
      <c r="K343" s="160"/>
      <c r="L343" s="103"/>
      <c r="M343" s="158"/>
      <c r="N343" s="103"/>
      <c r="O343" s="103"/>
      <c r="P343" s="103"/>
      <c r="AC343" s="200"/>
    </row>
    <row r="344">
      <c r="A344" s="158"/>
      <c r="B344" s="160"/>
      <c r="C344" s="103"/>
      <c r="D344" s="158"/>
      <c r="E344" s="103"/>
      <c r="F344" s="103"/>
      <c r="G344" s="103"/>
      <c r="H344" s="103"/>
      <c r="I344" s="103"/>
      <c r="J344" s="103"/>
      <c r="K344" s="160"/>
      <c r="L344" s="103"/>
      <c r="M344" s="158"/>
      <c r="N344" s="103"/>
      <c r="O344" s="103"/>
      <c r="P344" s="103"/>
      <c r="AC344" s="200"/>
    </row>
    <row r="345">
      <c r="A345" s="158"/>
      <c r="B345" s="160"/>
      <c r="C345" s="103"/>
      <c r="D345" s="158"/>
      <c r="E345" s="103"/>
      <c r="F345" s="103"/>
      <c r="G345" s="103"/>
      <c r="H345" s="103"/>
      <c r="I345" s="103"/>
      <c r="J345" s="103"/>
      <c r="K345" s="160"/>
      <c r="L345" s="103"/>
      <c r="M345" s="158"/>
      <c r="N345" s="103"/>
      <c r="O345" s="103"/>
      <c r="P345" s="103"/>
      <c r="AC345" s="200"/>
    </row>
    <row r="346">
      <c r="A346" s="158"/>
      <c r="B346" s="160"/>
      <c r="C346" s="103"/>
      <c r="D346" s="158"/>
      <c r="E346" s="103"/>
      <c r="F346" s="103"/>
      <c r="G346" s="103"/>
      <c r="H346" s="103"/>
      <c r="I346" s="103"/>
      <c r="J346" s="103"/>
      <c r="K346" s="160"/>
      <c r="L346" s="103"/>
      <c r="M346" s="158"/>
      <c r="N346" s="103"/>
      <c r="O346" s="103"/>
      <c r="P346" s="103"/>
      <c r="AC346" s="200"/>
    </row>
    <row r="347">
      <c r="A347" s="158"/>
      <c r="B347" s="160"/>
      <c r="C347" s="103"/>
      <c r="D347" s="158"/>
      <c r="E347" s="103"/>
      <c r="F347" s="103"/>
      <c r="G347" s="103"/>
      <c r="H347" s="103"/>
      <c r="I347" s="103"/>
      <c r="J347" s="103"/>
      <c r="K347" s="160"/>
      <c r="L347" s="103"/>
      <c r="M347" s="158"/>
      <c r="N347" s="103"/>
      <c r="O347" s="103"/>
      <c r="P347" s="103"/>
      <c r="AC347" s="200"/>
    </row>
    <row r="348">
      <c r="A348" s="158"/>
      <c r="B348" s="160"/>
      <c r="C348" s="103"/>
      <c r="D348" s="158"/>
      <c r="E348" s="103"/>
      <c r="F348" s="103"/>
      <c r="G348" s="103"/>
      <c r="H348" s="103"/>
      <c r="I348" s="103"/>
      <c r="J348" s="103"/>
      <c r="K348" s="160"/>
      <c r="L348" s="103"/>
      <c r="M348" s="158"/>
      <c r="N348" s="103"/>
      <c r="O348" s="103"/>
      <c r="P348" s="103"/>
      <c r="AC348" s="200"/>
    </row>
    <row r="349">
      <c r="A349" s="158"/>
      <c r="B349" s="160"/>
      <c r="C349" s="103"/>
      <c r="D349" s="158"/>
      <c r="E349" s="103"/>
      <c r="F349" s="103"/>
      <c r="G349" s="103"/>
      <c r="H349" s="103"/>
      <c r="I349" s="103"/>
      <c r="J349" s="103"/>
      <c r="K349" s="160"/>
      <c r="L349" s="103"/>
      <c r="M349" s="158"/>
      <c r="N349" s="103"/>
      <c r="O349" s="103"/>
      <c r="P349" s="103"/>
      <c r="AC349" s="200"/>
    </row>
    <row r="350">
      <c r="A350" s="158"/>
      <c r="B350" s="160"/>
      <c r="C350" s="103"/>
      <c r="D350" s="158"/>
      <c r="E350" s="103"/>
      <c r="F350" s="103"/>
      <c r="G350" s="103"/>
      <c r="H350" s="103"/>
      <c r="I350" s="103"/>
      <c r="J350" s="103"/>
      <c r="K350" s="160"/>
      <c r="L350" s="103"/>
      <c r="M350" s="158"/>
      <c r="N350" s="103"/>
      <c r="O350" s="103"/>
      <c r="P350" s="103"/>
      <c r="AC350" s="200"/>
    </row>
    <row r="351">
      <c r="A351" s="158"/>
      <c r="B351" s="160"/>
      <c r="C351" s="103"/>
      <c r="D351" s="158"/>
      <c r="E351" s="103"/>
      <c r="F351" s="103"/>
      <c r="G351" s="103"/>
      <c r="H351" s="103"/>
      <c r="I351" s="103"/>
      <c r="J351" s="103"/>
      <c r="K351" s="160"/>
      <c r="L351" s="103"/>
      <c r="M351" s="158"/>
      <c r="N351" s="103"/>
      <c r="O351" s="103"/>
      <c r="P351" s="103"/>
      <c r="AC351" s="200"/>
    </row>
    <row r="352">
      <c r="A352" s="158"/>
      <c r="B352" s="160"/>
      <c r="C352" s="103"/>
      <c r="D352" s="158"/>
      <c r="E352" s="103"/>
      <c r="F352" s="103"/>
      <c r="G352" s="103"/>
      <c r="H352" s="103"/>
      <c r="I352" s="103"/>
      <c r="J352" s="103"/>
      <c r="K352" s="160"/>
      <c r="L352" s="103"/>
      <c r="M352" s="158"/>
      <c r="N352" s="103"/>
      <c r="O352" s="103"/>
      <c r="P352" s="103"/>
      <c r="AC352" s="200"/>
    </row>
    <row r="353">
      <c r="A353" s="158"/>
      <c r="B353" s="160"/>
      <c r="C353" s="103"/>
      <c r="D353" s="158"/>
      <c r="E353" s="103"/>
      <c r="F353" s="103"/>
      <c r="G353" s="103"/>
      <c r="H353" s="103"/>
      <c r="I353" s="103"/>
      <c r="J353" s="103"/>
      <c r="K353" s="160"/>
      <c r="L353" s="103"/>
      <c r="M353" s="158"/>
      <c r="N353" s="103"/>
      <c r="O353" s="103"/>
      <c r="P353" s="103"/>
      <c r="AC353" s="200"/>
    </row>
    <row r="354">
      <c r="A354" s="158"/>
      <c r="B354" s="160"/>
      <c r="C354" s="103"/>
      <c r="D354" s="158"/>
      <c r="E354" s="103"/>
      <c r="F354" s="103"/>
      <c r="G354" s="103"/>
      <c r="H354" s="103"/>
      <c r="I354" s="103"/>
      <c r="J354" s="103"/>
      <c r="K354" s="160"/>
      <c r="L354" s="103"/>
      <c r="M354" s="158"/>
      <c r="N354" s="103"/>
      <c r="O354" s="103"/>
      <c r="P354" s="103"/>
      <c r="AC354" s="200"/>
    </row>
    <row r="355">
      <c r="A355" s="158"/>
      <c r="B355" s="160"/>
      <c r="C355" s="103"/>
      <c r="D355" s="158"/>
      <c r="E355" s="103"/>
      <c r="F355" s="103"/>
      <c r="G355" s="103"/>
      <c r="H355" s="103"/>
      <c r="I355" s="103"/>
      <c r="J355" s="103"/>
      <c r="K355" s="160"/>
      <c r="L355" s="103"/>
      <c r="M355" s="158"/>
      <c r="N355" s="103"/>
      <c r="O355" s="103"/>
      <c r="P355" s="103"/>
      <c r="AC355" s="200"/>
    </row>
    <row r="356">
      <c r="A356" s="158"/>
      <c r="B356" s="160"/>
      <c r="C356" s="103"/>
      <c r="D356" s="158"/>
      <c r="E356" s="103"/>
      <c r="F356" s="103"/>
      <c r="G356" s="103"/>
      <c r="H356" s="103"/>
      <c r="I356" s="103"/>
      <c r="J356" s="103"/>
      <c r="K356" s="160"/>
      <c r="L356" s="103"/>
      <c r="M356" s="158"/>
      <c r="N356" s="103"/>
      <c r="O356" s="103"/>
      <c r="P356" s="103"/>
      <c r="AC356" s="200"/>
    </row>
    <row r="357">
      <c r="A357" s="158"/>
      <c r="B357" s="160"/>
      <c r="C357" s="103"/>
      <c r="D357" s="158"/>
      <c r="E357" s="103"/>
      <c r="F357" s="103"/>
      <c r="G357" s="103"/>
      <c r="H357" s="103"/>
      <c r="I357" s="103"/>
      <c r="J357" s="103"/>
      <c r="K357" s="160"/>
      <c r="L357" s="103"/>
      <c r="M357" s="158"/>
      <c r="N357" s="103"/>
      <c r="O357" s="103"/>
      <c r="P357" s="103"/>
      <c r="AC357" s="200"/>
    </row>
    <row r="358">
      <c r="A358" s="158"/>
      <c r="B358" s="160"/>
      <c r="C358" s="103"/>
      <c r="D358" s="158"/>
      <c r="E358" s="103"/>
      <c r="F358" s="103"/>
      <c r="G358" s="103"/>
      <c r="H358" s="103"/>
      <c r="I358" s="103"/>
      <c r="J358" s="103"/>
      <c r="K358" s="160"/>
      <c r="L358" s="103"/>
      <c r="M358" s="158"/>
      <c r="N358" s="103"/>
      <c r="O358" s="103"/>
      <c r="P358" s="103"/>
      <c r="AC358" s="200"/>
    </row>
    <row r="359">
      <c r="A359" s="158"/>
      <c r="B359" s="160"/>
      <c r="C359" s="103"/>
      <c r="D359" s="158"/>
      <c r="E359" s="103"/>
      <c r="F359" s="103"/>
      <c r="G359" s="103"/>
      <c r="H359" s="103"/>
      <c r="I359" s="103"/>
      <c r="J359" s="103"/>
      <c r="K359" s="160"/>
      <c r="L359" s="103"/>
      <c r="M359" s="158"/>
      <c r="N359" s="103"/>
      <c r="O359" s="103"/>
      <c r="P359" s="103"/>
      <c r="AC359" s="200"/>
    </row>
    <row r="360">
      <c r="A360" s="158"/>
      <c r="B360" s="160"/>
      <c r="C360" s="103"/>
      <c r="D360" s="158"/>
      <c r="E360" s="103"/>
      <c r="F360" s="103"/>
      <c r="G360" s="103"/>
      <c r="H360" s="103"/>
      <c r="I360" s="103"/>
      <c r="J360" s="103"/>
      <c r="K360" s="160"/>
      <c r="L360" s="103"/>
      <c r="M360" s="158"/>
      <c r="N360" s="103"/>
      <c r="O360" s="103"/>
      <c r="P360" s="103"/>
      <c r="AC360" s="200"/>
    </row>
    <row r="361">
      <c r="A361" s="158"/>
      <c r="B361" s="160"/>
      <c r="C361" s="103"/>
      <c r="D361" s="158"/>
      <c r="E361" s="103"/>
      <c r="F361" s="103"/>
      <c r="G361" s="103"/>
      <c r="H361" s="103"/>
      <c r="I361" s="103"/>
      <c r="J361" s="103"/>
      <c r="K361" s="160"/>
      <c r="L361" s="103"/>
      <c r="M361" s="158"/>
      <c r="N361" s="103"/>
      <c r="O361" s="103"/>
      <c r="P361" s="103"/>
      <c r="AC361" s="200"/>
    </row>
    <row r="362">
      <c r="A362" s="158"/>
      <c r="B362" s="160"/>
      <c r="C362" s="103"/>
      <c r="D362" s="158"/>
      <c r="E362" s="103"/>
      <c r="F362" s="103"/>
      <c r="G362" s="103"/>
      <c r="H362" s="103"/>
      <c r="I362" s="103"/>
      <c r="J362" s="103"/>
      <c r="K362" s="160"/>
      <c r="L362" s="103"/>
      <c r="M362" s="158"/>
      <c r="N362" s="103"/>
      <c r="O362" s="103"/>
      <c r="P362" s="103"/>
      <c r="AC362" s="200"/>
    </row>
    <row r="363">
      <c r="A363" s="158"/>
      <c r="B363" s="160"/>
      <c r="C363" s="103"/>
      <c r="D363" s="158"/>
      <c r="E363" s="103"/>
      <c r="F363" s="103"/>
      <c r="G363" s="103"/>
      <c r="H363" s="103"/>
      <c r="I363" s="103"/>
      <c r="J363" s="103"/>
      <c r="K363" s="160"/>
      <c r="L363" s="103"/>
      <c r="M363" s="158"/>
      <c r="N363" s="103"/>
      <c r="O363" s="103"/>
      <c r="P363" s="103"/>
      <c r="AC363" s="200"/>
    </row>
    <row r="364">
      <c r="A364" s="158"/>
      <c r="B364" s="160"/>
      <c r="C364" s="103"/>
      <c r="D364" s="158"/>
      <c r="E364" s="103"/>
      <c r="F364" s="103"/>
      <c r="G364" s="103"/>
      <c r="H364" s="103"/>
      <c r="I364" s="103"/>
      <c r="J364" s="103"/>
      <c r="K364" s="160"/>
      <c r="L364" s="103"/>
      <c r="M364" s="158"/>
      <c r="N364" s="103"/>
      <c r="O364" s="103"/>
      <c r="P364" s="103"/>
      <c r="AC364" s="200"/>
    </row>
    <row r="365">
      <c r="A365" s="158"/>
      <c r="B365" s="160"/>
      <c r="C365" s="103"/>
      <c r="D365" s="158"/>
      <c r="E365" s="103"/>
      <c r="F365" s="103"/>
      <c r="G365" s="103"/>
      <c r="H365" s="103"/>
      <c r="I365" s="103"/>
      <c r="J365" s="103"/>
      <c r="K365" s="160"/>
      <c r="L365" s="103"/>
      <c r="M365" s="158"/>
      <c r="N365" s="103"/>
      <c r="O365" s="103"/>
      <c r="P365" s="103"/>
      <c r="AC365" s="200"/>
    </row>
    <row r="366">
      <c r="A366" s="158"/>
      <c r="B366" s="160"/>
      <c r="C366" s="103"/>
      <c r="D366" s="158"/>
      <c r="E366" s="103"/>
      <c r="F366" s="103"/>
      <c r="G366" s="103"/>
      <c r="H366" s="103"/>
      <c r="I366" s="103"/>
      <c r="J366" s="103"/>
      <c r="K366" s="160"/>
      <c r="L366" s="103"/>
      <c r="M366" s="158"/>
      <c r="N366" s="103"/>
      <c r="O366" s="103"/>
      <c r="P366" s="103"/>
      <c r="AC366" s="200"/>
    </row>
    <row r="367">
      <c r="A367" s="158"/>
      <c r="B367" s="160"/>
      <c r="C367" s="103"/>
      <c r="D367" s="158"/>
      <c r="E367" s="103"/>
      <c r="F367" s="103"/>
      <c r="G367" s="103"/>
      <c r="H367" s="103"/>
      <c r="I367" s="103"/>
      <c r="J367" s="103"/>
      <c r="K367" s="160"/>
      <c r="L367" s="103"/>
      <c r="M367" s="158"/>
      <c r="N367" s="103"/>
      <c r="O367" s="103"/>
      <c r="P367" s="103"/>
      <c r="AC367" s="200"/>
    </row>
    <row r="368">
      <c r="A368" s="158"/>
      <c r="B368" s="160"/>
      <c r="C368" s="103"/>
      <c r="D368" s="158"/>
      <c r="E368" s="103"/>
      <c r="F368" s="103"/>
      <c r="G368" s="103"/>
      <c r="H368" s="103"/>
      <c r="I368" s="103"/>
      <c r="J368" s="103"/>
      <c r="K368" s="160"/>
      <c r="L368" s="103"/>
      <c r="M368" s="158"/>
      <c r="N368" s="103"/>
      <c r="O368" s="103"/>
      <c r="P368" s="103"/>
      <c r="AC368" s="200"/>
    </row>
    <row r="369">
      <c r="A369" s="158"/>
      <c r="B369" s="160"/>
      <c r="C369" s="103"/>
      <c r="D369" s="158"/>
      <c r="E369" s="103"/>
      <c r="F369" s="103"/>
      <c r="G369" s="103"/>
      <c r="H369" s="103"/>
      <c r="I369" s="103"/>
      <c r="J369" s="103"/>
      <c r="K369" s="160"/>
      <c r="L369" s="103"/>
      <c r="M369" s="158"/>
      <c r="N369" s="103"/>
      <c r="O369" s="103"/>
      <c r="P369" s="103"/>
      <c r="AC369" s="200"/>
    </row>
    <row r="370">
      <c r="A370" s="158"/>
      <c r="B370" s="160"/>
      <c r="C370" s="103"/>
      <c r="D370" s="158"/>
      <c r="E370" s="103"/>
      <c r="F370" s="103"/>
      <c r="G370" s="103"/>
      <c r="H370" s="103"/>
      <c r="I370" s="103"/>
      <c r="J370" s="103"/>
      <c r="K370" s="160"/>
      <c r="L370" s="103"/>
      <c r="M370" s="158"/>
      <c r="N370" s="103"/>
      <c r="O370" s="103"/>
      <c r="P370" s="103"/>
      <c r="AC370" s="200"/>
    </row>
    <row r="371">
      <c r="A371" s="158"/>
      <c r="B371" s="160"/>
      <c r="C371" s="103"/>
      <c r="D371" s="158"/>
      <c r="E371" s="103"/>
      <c r="F371" s="103"/>
      <c r="G371" s="103"/>
      <c r="H371" s="103"/>
      <c r="I371" s="103"/>
      <c r="J371" s="103"/>
      <c r="K371" s="160"/>
      <c r="L371" s="103"/>
      <c r="M371" s="158"/>
      <c r="N371" s="103"/>
      <c r="O371" s="103"/>
      <c r="P371" s="103"/>
      <c r="AC371" s="200"/>
    </row>
    <row r="372">
      <c r="A372" s="158"/>
      <c r="B372" s="160"/>
      <c r="C372" s="103"/>
      <c r="D372" s="158"/>
      <c r="E372" s="103"/>
      <c r="F372" s="103"/>
      <c r="G372" s="103"/>
      <c r="H372" s="103"/>
      <c r="I372" s="103"/>
      <c r="J372" s="103"/>
      <c r="K372" s="160"/>
      <c r="L372" s="103"/>
      <c r="M372" s="158"/>
      <c r="N372" s="103"/>
      <c r="O372" s="103"/>
      <c r="P372" s="103"/>
      <c r="AC372" s="200"/>
    </row>
    <row r="373">
      <c r="A373" s="158"/>
      <c r="B373" s="160"/>
      <c r="C373" s="103"/>
      <c r="D373" s="158"/>
      <c r="E373" s="103"/>
      <c r="F373" s="103"/>
      <c r="G373" s="103"/>
      <c r="H373" s="103"/>
      <c r="I373" s="103"/>
      <c r="J373" s="103"/>
      <c r="K373" s="160"/>
      <c r="L373" s="103"/>
      <c r="M373" s="158"/>
      <c r="N373" s="103"/>
      <c r="O373" s="103"/>
      <c r="P373" s="103"/>
      <c r="AC373" s="200"/>
    </row>
    <row r="374">
      <c r="A374" s="158"/>
      <c r="B374" s="160"/>
      <c r="C374" s="103"/>
      <c r="D374" s="158"/>
      <c r="E374" s="103"/>
      <c r="F374" s="103"/>
      <c r="G374" s="103"/>
      <c r="H374" s="103"/>
      <c r="I374" s="103"/>
      <c r="J374" s="103"/>
      <c r="K374" s="160"/>
      <c r="L374" s="103"/>
      <c r="M374" s="158"/>
      <c r="N374" s="103"/>
      <c r="O374" s="103"/>
      <c r="P374" s="103"/>
      <c r="AC374" s="200"/>
    </row>
    <row r="375">
      <c r="A375" s="158"/>
      <c r="B375" s="160"/>
      <c r="C375" s="103"/>
      <c r="D375" s="158"/>
      <c r="E375" s="103"/>
      <c r="F375" s="103"/>
      <c r="G375" s="103"/>
      <c r="H375" s="103"/>
      <c r="I375" s="103"/>
      <c r="J375" s="103"/>
      <c r="K375" s="160"/>
      <c r="L375" s="103"/>
      <c r="M375" s="158"/>
      <c r="N375" s="103"/>
      <c r="O375" s="103"/>
      <c r="P375" s="103"/>
      <c r="AC375" s="200"/>
    </row>
    <row r="376">
      <c r="A376" s="158"/>
      <c r="B376" s="160"/>
      <c r="C376" s="103"/>
      <c r="D376" s="158"/>
      <c r="E376" s="103"/>
      <c r="F376" s="103"/>
      <c r="G376" s="103"/>
      <c r="H376" s="103"/>
      <c r="I376" s="103"/>
      <c r="J376" s="103"/>
      <c r="K376" s="160"/>
      <c r="L376" s="103"/>
      <c r="M376" s="158"/>
      <c r="N376" s="103"/>
      <c r="O376" s="103"/>
      <c r="P376" s="103"/>
      <c r="AC376" s="200"/>
    </row>
    <row r="377">
      <c r="A377" s="158"/>
      <c r="B377" s="160"/>
      <c r="C377" s="103"/>
      <c r="D377" s="158"/>
      <c r="E377" s="103"/>
      <c r="F377" s="103"/>
      <c r="G377" s="103"/>
      <c r="H377" s="103"/>
      <c r="I377" s="103"/>
      <c r="J377" s="103"/>
      <c r="K377" s="160"/>
      <c r="L377" s="103"/>
      <c r="M377" s="158"/>
      <c r="N377" s="103"/>
      <c r="O377" s="103"/>
      <c r="P377" s="103"/>
      <c r="AC377" s="200"/>
    </row>
    <row r="378">
      <c r="A378" s="158"/>
      <c r="B378" s="160"/>
      <c r="C378" s="103"/>
      <c r="D378" s="158"/>
      <c r="E378" s="103"/>
      <c r="F378" s="103"/>
      <c r="G378" s="103"/>
      <c r="H378" s="103"/>
      <c r="I378" s="103"/>
      <c r="J378" s="103"/>
      <c r="K378" s="160"/>
      <c r="L378" s="103"/>
      <c r="M378" s="158"/>
      <c r="N378" s="103"/>
      <c r="O378" s="103"/>
      <c r="P378" s="103"/>
      <c r="AC378" s="200"/>
    </row>
    <row r="379">
      <c r="A379" s="158"/>
      <c r="B379" s="160"/>
      <c r="C379" s="103"/>
      <c r="D379" s="158"/>
      <c r="E379" s="103"/>
      <c r="F379" s="103"/>
      <c r="G379" s="103"/>
      <c r="H379" s="103"/>
      <c r="I379" s="103"/>
      <c r="J379" s="103"/>
      <c r="K379" s="160"/>
      <c r="L379" s="103"/>
      <c r="M379" s="158"/>
      <c r="N379" s="103"/>
      <c r="O379" s="103"/>
      <c r="P379" s="103"/>
      <c r="AC379" s="200"/>
    </row>
    <row r="380">
      <c r="A380" s="158"/>
      <c r="B380" s="160"/>
      <c r="C380" s="103"/>
      <c r="D380" s="158"/>
      <c r="E380" s="103"/>
      <c r="F380" s="103"/>
      <c r="G380" s="103"/>
      <c r="H380" s="103"/>
      <c r="I380" s="103"/>
      <c r="J380" s="103"/>
      <c r="K380" s="160"/>
      <c r="L380" s="103"/>
      <c r="M380" s="158"/>
      <c r="N380" s="103"/>
      <c r="O380" s="103"/>
      <c r="P380" s="103"/>
      <c r="AC380" s="200"/>
    </row>
    <row r="381">
      <c r="A381" s="158"/>
      <c r="B381" s="160"/>
      <c r="C381" s="103"/>
      <c r="D381" s="158"/>
      <c r="E381" s="103"/>
      <c r="F381" s="103"/>
      <c r="G381" s="103"/>
      <c r="H381" s="103"/>
      <c r="I381" s="103"/>
      <c r="J381" s="103"/>
      <c r="K381" s="160"/>
      <c r="L381" s="103"/>
      <c r="M381" s="158"/>
      <c r="N381" s="103"/>
      <c r="O381" s="103"/>
      <c r="P381" s="103"/>
      <c r="AC381" s="200"/>
    </row>
    <row r="382">
      <c r="A382" s="158"/>
      <c r="B382" s="160"/>
      <c r="C382" s="103"/>
      <c r="D382" s="158"/>
      <c r="E382" s="103"/>
      <c r="F382" s="103"/>
      <c r="G382" s="103"/>
      <c r="H382" s="103"/>
      <c r="I382" s="103"/>
      <c r="J382" s="103"/>
      <c r="K382" s="160"/>
      <c r="L382" s="103"/>
      <c r="M382" s="158"/>
      <c r="N382" s="103"/>
      <c r="O382" s="103"/>
      <c r="P382" s="103"/>
      <c r="AC382" s="200"/>
    </row>
    <row r="383">
      <c r="A383" s="158"/>
      <c r="B383" s="160"/>
      <c r="C383" s="103"/>
      <c r="D383" s="158"/>
      <c r="E383" s="103"/>
      <c r="F383" s="103"/>
      <c r="G383" s="103"/>
      <c r="H383" s="103"/>
      <c r="I383" s="103"/>
      <c r="J383" s="103"/>
      <c r="K383" s="160"/>
      <c r="L383" s="103"/>
      <c r="M383" s="158"/>
      <c r="N383" s="103"/>
      <c r="O383" s="103"/>
      <c r="P383" s="103"/>
      <c r="AC383" s="200"/>
    </row>
    <row r="384">
      <c r="A384" s="158"/>
      <c r="B384" s="160"/>
      <c r="C384" s="103"/>
      <c r="D384" s="158"/>
      <c r="E384" s="103"/>
      <c r="F384" s="103"/>
      <c r="G384" s="103"/>
      <c r="H384" s="103"/>
      <c r="I384" s="103"/>
      <c r="J384" s="103"/>
      <c r="K384" s="160"/>
      <c r="L384" s="103"/>
      <c r="M384" s="158"/>
      <c r="N384" s="103"/>
      <c r="O384" s="103"/>
      <c r="P384" s="103"/>
      <c r="AC384" s="200"/>
    </row>
    <row r="385">
      <c r="A385" s="158"/>
      <c r="B385" s="160"/>
      <c r="C385" s="103"/>
      <c r="D385" s="158"/>
      <c r="E385" s="103"/>
      <c r="F385" s="103"/>
      <c r="G385" s="103"/>
      <c r="H385" s="103"/>
      <c r="I385" s="103"/>
      <c r="J385" s="103"/>
      <c r="K385" s="160"/>
      <c r="L385" s="103"/>
      <c r="M385" s="158"/>
      <c r="N385" s="103"/>
      <c r="O385" s="103"/>
      <c r="P385" s="103"/>
      <c r="AC385" s="200"/>
    </row>
    <row r="386">
      <c r="A386" s="158"/>
      <c r="B386" s="160"/>
      <c r="C386" s="103"/>
      <c r="D386" s="158"/>
      <c r="E386" s="103"/>
      <c r="F386" s="103"/>
      <c r="G386" s="103"/>
      <c r="H386" s="103"/>
      <c r="I386" s="103"/>
      <c r="J386" s="103"/>
      <c r="K386" s="160"/>
      <c r="L386" s="103"/>
      <c r="M386" s="158"/>
      <c r="N386" s="103"/>
      <c r="O386" s="103"/>
      <c r="P386" s="103"/>
      <c r="AC386" s="200"/>
    </row>
    <row r="387">
      <c r="A387" s="158"/>
      <c r="B387" s="160"/>
      <c r="C387" s="103"/>
      <c r="D387" s="158"/>
      <c r="E387" s="103"/>
      <c r="F387" s="103"/>
      <c r="G387" s="103"/>
      <c r="H387" s="103"/>
      <c r="I387" s="103"/>
      <c r="J387" s="103"/>
      <c r="K387" s="160"/>
      <c r="L387" s="103"/>
      <c r="M387" s="158"/>
      <c r="N387" s="103"/>
      <c r="O387" s="103"/>
      <c r="P387" s="103"/>
      <c r="AC387" s="200"/>
    </row>
    <row r="388">
      <c r="A388" s="158"/>
      <c r="B388" s="160"/>
      <c r="C388" s="103"/>
      <c r="D388" s="158"/>
      <c r="E388" s="103"/>
      <c r="F388" s="103"/>
      <c r="G388" s="103"/>
      <c r="H388" s="103"/>
      <c r="I388" s="103"/>
      <c r="J388" s="103"/>
      <c r="K388" s="160"/>
      <c r="L388" s="103"/>
      <c r="M388" s="158"/>
      <c r="N388" s="103"/>
      <c r="O388" s="103"/>
      <c r="P388" s="103"/>
      <c r="AC388" s="200"/>
    </row>
    <row r="389">
      <c r="A389" s="158"/>
      <c r="B389" s="160"/>
      <c r="C389" s="103"/>
      <c r="D389" s="158"/>
      <c r="E389" s="103"/>
      <c r="F389" s="103"/>
      <c r="G389" s="103"/>
      <c r="H389" s="103"/>
      <c r="I389" s="103"/>
      <c r="J389" s="103"/>
      <c r="K389" s="160"/>
      <c r="L389" s="103"/>
      <c r="M389" s="158"/>
      <c r="N389" s="103"/>
      <c r="O389" s="103"/>
      <c r="P389" s="103"/>
      <c r="AC389" s="200"/>
    </row>
    <row r="390">
      <c r="A390" s="158"/>
      <c r="B390" s="160"/>
      <c r="C390" s="103"/>
      <c r="D390" s="158"/>
      <c r="E390" s="103"/>
      <c r="F390" s="103"/>
      <c r="G390" s="103"/>
      <c r="H390" s="103"/>
      <c r="I390" s="103"/>
      <c r="J390" s="103"/>
      <c r="K390" s="160"/>
      <c r="L390" s="103"/>
      <c r="M390" s="158"/>
      <c r="N390" s="103"/>
      <c r="O390" s="103"/>
      <c r="P390" s="103"/>
      <c r="AC390" s="200"/>
    </row>
    <row r="391">
      <c r="A391" s="158"/>
      <c r="B391" s="160"/>
      <c r="C391" s="103"/>
      <c r="D391" s="158"/>
      <c r="E391" s="103"/>
      <c r="F391" s="103"/>
      <c r="G391" s="103"/>
      <c r="H391" s="103"/>
      <c r="I391" s="103"/>
      <c r="J391" s="103"/>
      <c r="K391" s="160"/>
      <c r="L391" s="103"/>
      <c r="M391" s="158"/>
      <c r="N391" s="103"/>
      <c r="O391" s="103"/>
      <c r="P391" s="103"/>
      <c r="AC391" s="200"/>
    </row>
    <row r="392">
      <c r="A392" s="158"/>
      <c r="B392" s="160"/>
      <c r="C392" s="103"/>
      <c r="D392" s="158"/>
      <c r="E392" s="103"/>
      <c r="F392" s="103"/>
      <c r="G392" s="103"/>
      <c r="H392" s="103"/>
      <c r="I392" s="103"/>
      <c r="J392" s="103"/>
      <c r="K392" s="160"/>
      <c r="L392" s="103"/>
      <c r="M392" s="158"/>
      <c r="N392" s="103"/>
      <c r="O392" s="103"/>
      <c r="P392" s="103"/>
      <c r="AC392" s="200"/>
    </row>
    <row r="393">
      <c r="A393" s="158"/>
      <c r="B393" s="160"/>
      <c r="C393" s="103"/>
      <c r="D393" s="158"/>
      <c r="E393" s="103"/>
      <c r="F393" s="103"/>
      <c r="G393" s="103"/>
      <c r="H393" s="103"/>
      <c r="I393" s="103"/>
      <c r="J393" s="103"/>
      <c r="K393" s="160"/>
      <c r="L393" s="103"/>
      <c r="M393" s="158"/>
      <c r="N393" s="103"/>
      <c r="O393" s="103"/>
      <c r="P393" s="103"/>
      <c r="AC393" s="200"/>
    </row>
    <row r="394">
      <c r="A394" s="158"/>
      <c r="B394" s="160"/>
      <c r="C394" s="103"/>
      <c r="D394" s="158"/>
      <c r="E394" s="103"/>
      <c r="F394" s="103"/>
      <c r="G394" s="103"/>
      <c r="H394" s="103"/>
      <c r="I394" s="103"/>
      <c r="J394" s="103"/>
      <c r="K394" s="160"/>
      <c r="L394" s="103"/>
      <c r="M394" s="158"/>
      <c r="N394" s="103"/>
      <c r="O394" s="103"/>
      <c r="P394" s="103"/>
      <c r="AC394" s="200"/>
    </row>
    <row r="395">
      <c r="A395" s="158"/>
      <c r="B395" s="160"/>
      <c r="C395" s="103"/>
      <c r="D395" s="158"/>
      <c r="E395" s="103"/>
      <c r="F395" s="103"/>
      <c r="G395" s="103"/>
      <c r="H395" s="103"/>
      <c r="I395" s="103"/>
      <c r="J395" s="103"/>
      <c r="K395" s="160"/>
      <c r="L395" s="103"/>
      <c r="M395" s="158"/>
      <c r="N395" s="103"/>
      <c r="O395" s="103"/>
      <c r="P395" s="103"/>
      <c r="AC395" s="200"/>
    </row>
    <row r="396">
      <c r="A396" s="158"/>
      <c r="B396" s="160"/>
      <c r="C396" s="103"/>
      <c r="D396" s="158"/>
      <c r="E396" s="103"/>
      <c r="F396" s="103"/>
      <c r="G396" s="103"/>
      <c r="H396" s="103"/>
      <c r="I396" s="103"/>
      <c r="J396" s="103"/>
      <c r="K396" s="160"/>
      <c r="L396" s="103"/>
      <c r="M396" s="158"/>
      <c r="N396" s="103"/>
      <c r="O396" s="103"/>
      <c r="P396" s="103"/>
      <c r="AC396" s="200"/>
    </row>
    <row r="397">
      <c r="A397" s="158"/>
      <c r="B397" s="160"/>
      <c r="C397" s="103"/>
      <c r="D397" s="158"/>
      <c r="E397" s="103"/>
      <c r="F397" s="103"/>
      <c r="G397" s="103"/>
      <c r="H397" s="103"/>
      <c r="I397" s="103"/>
      <c r="J397" s="103"/>
      <c r="K397" s="160"/>
      <c r="L397" s="103"/>
      <c r="M397" s="158"/>
      <c r="N397" s="103"/>
      <c r="O397" s="103"/>
      <c r="P397" s="103"/>
      <c r="AC397" s="200"/>
    </row>
    <row r="398">
      <c r="A398" s="158"/>
      <c r="B398" s="160"/>
      <c r="C398" s="103"/>
      <c r="D398" s="158"/>
      <c r="E398" s="103"/>
      <c r="F398" s="103"/>
      <c r="G398" s="103"/>
      <c r="H398" s="103"/>
      <c r="I398" s="103"/>
      <c r="J398" s="103"/>
      <c r="K398" s="160"/>
      <c r="L398" s="103"/>
      <c r="M398" s="158"/>
      <c r="N398" s="103"/>
      <c r="O398" s="103"/>
      <c r="P398" s="103"/>
      <c r="AC398" s="200"/>
    </row>
    <row r="399">
      <c r="A399" s="158"/>
      <c r="B399" s="160"/>
      <c r="C399" s="103"/>
      <c r="D399" s="158"/>
      <c r="E399" s="103"/>
      <c r="F399" s="103"/>
      <c r="G399" s="103"/>
      <c r="H399" s="103"/>
      <c r="I399" s="103"/>
      <c r="J399" s="103"/>
      <c r="K399" s="160"/>
      <c r="L399" s="103"/>
      <c r="M399" s="158"/>
      <c r="N399" s="103"/>
      <c r="O399" s="103"/>
      <c r="P399" s="103"/>
      <c r="AC399" s="200"/>
    </row>
    <row r="400">
      <c r="A400" s="158"/>
      <c r="B400" s="160"/>
      <c r="C400" s="103"/>
      <c r="D400" s="158"/>
      <c r="E400" s="103"/>
      <c r="F400" s="103"/>
      <c r="G400" s="103"/>
      <c r="H400" s="103"/>
      <c r="I400" s="103"/>
      <c r="J400" s="103"/>
      <c r="K400" s="160"/>
      <c r="L400" s="103"/>
      <c r="M400" s="158"/>
      <c r="N400" s="103"/>
      <c r="O400" s="103"/>
      <c r="P400" s="103"/>
      <c r="AC400" s="200"/>
    </row>
    <row r="401">
      <c r="A401" s="158"/>
      <c r="B401" s="160"/>
      <c r="C401" s="103"/>
      <c r="D401" s="158"/>
      <c r="E401" s="103"/>
      <c r="F401" s="103"/>
      <c r="G401" s="103"/>
      <c r="H401" s="103"/>
      <c r="I401" s="103"/>
      <c r="J401" s="103"/>
      <c r="K401" s="160"/>
      <c r="L401" s="103"/>
      <c r="M401" s="158"/>
      <c r="N401" s="103"/>
      <c r="O401" s="103"/>
      <c r="P401" s="103"/>
      <c r="AC401" s="200"/>
    </row>
    <row r="402">
      <c r="A402" s="158"/>
      <c r="B402" s="160"/>
      <c r="C402" s="103"/>
      <c r="D402" s="158"/>
      <c r="E402" s="103"/>
      <c r="F402" s="103"/>
      <c r="G402" s="103"/>
      <c r="H402" s="103"/>
      <c r="I402" s="103"/>
      <c r="J402" s="103"/>
      <c r="K402" s="160"/>
      <c r="L402" s="103"/>
      <c r="M402" s="158"/>
      <c r="N402" s="103"/>
      <c r="O402" s="103"/>
      <c r="P402" s="103"/>
      <c r="AC402" s="200"/>
    </row>
    <row r="403">
      <c r="A403" s="158"/>
      <c r="B403" s="160"/>
      <c r="C403" s="103"/>
      <c r="D403" s="158"/>
      <c r="E403" s="103"/>
      <c r="F403" s="103"/>
      <c r="G403" s="103"/>
      <c r="H403" s="103"/>
      <c r="I403" s="103"/>
      <c r="J403" s="103"/>
      <c r="K403" s="160"/>
      <c r="L403" s="103"/>
      <c r="M403" s="158"/>
      <c r="N403" s="103"/>
      <c r="O403" s="103"/>
      <c r="P403" s="103"/>
      <c r="AC403" s="200"/>
    </row>
    <row r="404">
      <c r="A404" s="158"/>
      <c r="B404" s="160"/>
      <c r="C404" s="103"/>
      <c r="D404" s="158"/>
      <c r="E404" s="103"/>
      <c r="F404" s="103"/>
      <c r="G404" s="103"/>
      <c r="H404" s="103"/>
      <c r="I404" s="103"/>
      <c r="J404" s="103"/>
      <c r="K404" s="160"/>
      <c r="L404" s="103"/>
      <c r="M404" s="158"/>
      <c r="N404" s="103"/>
      <c r="O404" s="103"/>
      <c r="P404" s="103"/>
      <c r="AC404" s="200"/>
    </row>
    <row r="405">
      <c r="A405" s="158"/>
      <c r="B405" s="160"/>
      <c r="C405" s="103"/>
      <c r="D405" s="158"/>
      <c r="E405" s="103"/>
      <c r="F405" s="103"/>
      <c r="G405" s="103"/>
      <c r="H405" s="103"/>
      <c r="I405" s="103"/>
      <c r="J405" s="103"/>
      <c r="K405" s="160"/>
      <c r="L405" s="103"/>
      <c r="M405" s="158"/>
      <c r="N405" s="103"/>
      <c r="O405" s="103"/>
      <c r="P405" s="103"/>
      <c r="AC405" s="200"/>
    </row>
    <row r="406">
      <c r="A406" s="158"/>
      <c r="B406" s="160"/>
      <c r="C406" s="103"/>
      <c r="D406" s="158"/>
      <c r="E406" s="103"/>
      <c r="F406" s="103"/>
      <c r="G406" s="103"/>
      <c r="H406" s="103"/>
      <c r="I406" s="103"/>
      <c r="J406" s="103"/>
      <c r="K406" s="160"/>
      <c r="L406" s="103"/>
      <c r="M406" s="158"/>
      <c r="N406" s="103"/>
      <c r="O406" s="103"/>
      <c r="P406" s="103"/>
      <c r="AC406" s="200"/>
    </row>
    <row r="407">
      <c r="A407" s="158"/>
      <c r="B407" s="160"/>
      <c r="C407" s="103"/>
      <c r="D407" s="158"/>
      <c r="E407" s="103"/>
      <c r="F407" s="103"/>
      <c r="G407" s="103"/>
      <c r="H407" s="103"/>
      <c r="I407" s="103"/>
      <c r="J407" s="103"/>
      <c r="K407" s="160"/>
      <c r="L407" s="103"/>
      <c r="M407" s="158"/>
      <c r="N407" s="103"/>
      <c r="O407" s="103"/>
      <c r="P407" s="103"/>
      <c r="AC407" s="200"/>
    </row>
    <row r="408">
      <c r="A408" s="158"/>
      <c r="B408" s="160"/>
      <c r="C408" s="103"/>
      <c r="D408" s="158"/>
      <c r="E408" s="103"/>
      <c r="F408" s="103"/>
      <c r="G408" s="103"/>
      <c r="H408" s="103"/>
      <c r="I408" s="103"/>
      <c r="J408" s="103"/>
      <c r="K408" s="160"/>
      <c r="L408" s="103"/>
      <c r="M408" s="158"/>
      <c r="N408" s="103"/>
      <c r="O408" s="103"/>
      <c r="P408" s="103"/>
      <c r="AC408" s="200"/>
    </row>
    <row r="409">
      <c r="A409" s="158"/>
      <c r="B409" s="160"/>
      <c r="C409" s="103"/>
      <c r="D409" s="158"/>
      <c r="E409" s="103"/>
      <c r="F409" s="103"/>
      <c r="G409" s="103"/>
      <c r="H409" s="103"/>
      <c r="I409" s="103"/>
      <c r="J409" s="103"/>
      <c r="K409" s="160"/>
      <c r="L409" s="103"/>
      <c r="M409" s="158"/>
      <c r="N409" s="103"/>
      <c r="O409" s="103"/>
      <c r="P409" s="103"/>
      <c r="AC409" s="200"/>
    </row>
    <row r="410">
      <c r="A410" s="158"/>
      <c r="B410" s="160"/>
      <c r="C410" s="103"/>
      <c r="D410" s="158"/>
      <c r="E410" s="103"/>
      <c r="F410" s="103"/>
      <c r="G410" s="103"/>
      <c r="H410" s="103"/>
      <c r="I410" s="103"/>
      <c r="J410" s="103"/>
      <c r="K410" s="160"/>
      <c r="L410" s="103"/>
      <c r="M410" s="158"/>
      <c r="N410" s="103"/>
      <c r="O410" s="103"/>
      <c r="P410" s="103"/>
      <c r="AC410" s="200"/>
    </row>
    <row r="411">
      <c r="A411" s="158"/>
      <c r="B411" s="160"/>
      <c r="C411" s="103"/>
      <c r="D411" s="158"/>
      <c r="E411" s="103"/>
      <c r="F411" s="103"/>
      <c r="G411" s="103"/>
      <c r="H411" s="103"/>
      <c r="I411" s="103"/>
      <c r="J411" s="103"/>
      <c r="K411" s="160"/>
      <c r="L411" s="103"/>
      <c r="M411" s="158"/>
      <c r="N411" s="103"/>
      <c r="O411" s="103"/>
      <c r="P411" s="103"/>
      <c r="AC411" s="200"/>
    </row>
    <row r="412">
      <c r="A412" s="158"/>
      <c r="B412" s="160"/>
      <c r="C412" s="103"/>
      <c r="D412" s="158"/>
      <c r="E412" s="103"/>
      <c r="F412" s="103"/>
      <c r="G412" s="103"/>
      <c r="H412" s="103"/>
      <c r="I412" s="103"/>
      <c r="J412" s="103"/>
      <c r="K412" s="160"/>
      <c r="L412" s="103"/>
      <c r="M412" s="158"/>
      <c r="N412" s="103"/>
      <c r="O412" s="103"/>
      <c r="P412" s="103"/>
      <c r="AC412" s="200"/>
    </row>
    <row r="413">
      <c r="A413" s="158"/>
      <c r="B413" s="160"/>
      <c r="C413" s="103"/>
      <c r="D413" s="158"/>
      <c r="E413" s="103"/>
      <c r="F413" s="103"/>
      <c r="G413" s="103"/>
      <c r="H413" s="103"/>
      <c r="I413" s="103"/>
      <c r="J413" s="103"/>
      <c r="K413" s="160"/>
      <c r="L413" s="103"/>
      <c r="M413" s="158"/>
      <c r="N413" s="103"/>
      <c r="O413" s="103"/>
      <c r="P413" s="103"/>
      <c r="AC413" s="200"/>
    </row>
    <row r="414">
      <c r="A414" s="158"/>
      <c r="B414" s="160"/>
      <c r="C414" s="103"/>
      <c r="D414" s="158"/>
      <c r="E414" s="103"/>
      <c r="F414" s="103"/>
      <c r="G414" s="103"/>
      <c r="H414" s="103"/>
      <c r="I414" s="103"/>
      <c r="J414" s="103"/>
      <c r="K414" s="160"/>
      <c r="L414" s="103"/>
      <c r="M414" s="158"/>
      <c r="N414" s="103"/>
      <c r="O414" s="103"/>
      <c r="P414" s="103"/>
      <c r="AC414" s="200"/>
    </row>
    <row r="415">
      <c r="A415" s="158"/>
      <c r="B415" s="160"/>
      <c r="C415" s="103"/>
      <c r="D415" s="158"/>
      <c r="E415" s="103"/>
      <c r="F415" s="103"/>
      <c r="G415" s="103"/>
      <c r="H415" s="103"/>
      <c r="I415" s="103"/>
      <c r="J415" s="103"/>
      <c r="K415" s="160"/>
      <c r="L415" s="103"/>
      <c r="M415" s="158"/>
      <c r="N415" s="103"/>
      <c r="O415" s="103"/>
      <c r="P415" s="103"/>
      <c r="AC415" s="200"/>
    </row>
    <row r="416">
      <c r="A416" s="158"/>
      <c r="B416" s="160"/>
      <c r="C416" s="103"/>
      <c r="D416" s="158"/>
      <c r="E416" s="103"/>
      <c r="F416" s="103"/>
      <c r="G416" s="103"/>
      <c r="H416" s="103"/>
      <c r="I416" s="103"/>
      <c r="J416" s="103"/>
      <c r="K416" s="160"/>
      <c r="L416" s="103"/>
      <c r="M416" s="158"/>
      <c r="N416" s="103"/>
      <c r="O416" s="103"/>
      <c r="P416" s="103"/>
      <c r="AC416" s="200"/>
    </row>
    <row r="417">
      <c r="A417" s="158"/>
      <c r="B417" s="160"/>
      <c r="C417" s="103"/>
      <c r="D417" s="158"/>
      <c r="E417" s="103"/>
      <c r="F417" s="103"/>
      <c r="G417" s="103"/>
      <c r="H417" s="103"/>
      <c r="I417" s="103"/>
      <c r="J417" s="103"/>
      <c r="K417" s="160"/>
      <c r="L417" s="103"/>
      <c r="M417" s="158"/>
      <c r="N417" s="103"/>
      <c r="O417" s="103"/>
      <c r="P417" s="103"/>
      <c r="AC417" s="200"/>
    </row>
    <row r="418">
      <c r="A418" s="158"/>
      <c r="B418" s="160"/>
      <c r="C418" s="103"/>
      <c r="D418" s="158"/>
      <c r="E418" s="103"/>
      <c r="F418" s="103"/>
      <c r="G418" s="103"/>
      <c r="H418" s="103"/>
      <c r="I418" s="103"/>
      <c r="J418" s="103"/>
      <c r="K418" s="160"/>
      <c r="L418" s="103"/>
      <c r="M418" s="158"/>
      <c r="N418" s="103"/>
      <c r="O418" s="103"/>
      <c r="P418" s="103"/>
      <c r="AC418" s="200"/>
    </row>
    <row r="419">
      <c r="A419" s="158"/>
      <c r="B419" s="160"/>
      <c r="C419" s="103"/>
      <c r="D419" s="158"/>
      <c r="E419" s="103"/>
      <c r="F419" s="103"/>
      <c r="G419" s="103"/>
      <c r="H419" s="103"/>
      <c r="I419" s="103"/>
      <c r="J419" s="103"/>
      <c r="K419" s="160"/>
      <c r="L419" s="103"/>
      <c r="M419" s="158"/>
      <c r="N419" s="103"/>
      <c r="O419" s="103"/>
      <c r="P419" s="103"/>
      <c r="AC419" s="200"/>
    </row>
    <row r="420">
      <c r="A420" s="158"/>
      <c r="B420" s="160"/>
      <c r="C420" s="103"/>
      <c r="D420" s="158"/>
      <c r="E420" s="103"/>
      <c r="F420" s="103"/>
      <c r="G420" s="103"/>
      <c r="H420" s="103"/>
      <c r="I420" s="103"/>
      <c r="J420" s="103"/>
      <c r="K420" s="160"/>
      <c r="L420" s="103"/>
      <c r="M420" s="158"/>
      <c r="N420" s="103"/>
      <c r="O420" s="103"/>
      <c r="P420" s="103"/>
      <c r="AC420" s="200"/>
    </row>
    <row r="421">
      <c r="A421" s="158"/>
      <c r="B421" s="160"/>
      <c r="C421" s="103"/>
      <c r="D421" s="158"/>
      <c r="E421" s="103"/>
      <c r="F421" s="103"/>
      <c r="G421" s="103"/>
      <c r="H421" s="103"/>
      <c r="I421" s="103"/>
      <c r="J421" s="103"/>
      <c r="K421" s="160"/>
      <c r="L421" s="103"/>
      <c r="M421" s="158"/>
      <c r="N421" s="103"/>
      <c r="O421" s="103"/>
      <c r="P421" s="103"/>
      <c r="AC421" s="200"/>
    </row>
    <row r="422">
      <c r="A422" s="158"/>
      <c r="B422" s="160"/>
      <c r="C422" s="103"/>
      <c r="D422" s="158"/>
      <c r="E422" s="103"/>
      <c r="F422" s="103"/>
      <c r="G422" s="103"/>
      <c r="H422" s="103"/>
      <c r="I422" s="103"/>
      <c r="J422" s="103"/>
      <c r="K422" s="160"/>
      <c r="L422" s="103"/>
      <c r="M422" s="158"/>
      <c r="N422" s="103"/>
      <c r="O422" s="103"/>
      <c r="P422" s="103"/>
      <c r="AC422" s="200"/>
    </row>
    <row r="423">
      <c r="A423" s="158"/>
      <c r="B423" s="160"/>
      <c r="C423" s="103"/>
      <c r="D423" s="158"/>
      <c r="E423" s="103"/>
      <c r="F423" s="103"/>
      <c r="G423" s="103"/>
      <c r="H423" s="103"/>
      <c r="I423" s="103"/>
      <c r="J423" s="103"/>
      <c r="K423" s="160"/>
      <c r="L423" s="103"/>
      <c r="M423" s="158"/>
      <c r="N423" s="103"/>
      <c r="O423" s="103"/>
      <c r="P423" s="103"/>
      <c r="AC423" s="200"/>
    </row>
    <row r="424">
      <c r="A424" s="158"/>
      <c r="B424" s="160"/>
      <c r="C424" s="103"/>
      <c r="D424" s="158"/>
      <c r="E424" s="103"/>
      <c r="F424" s="103"/>
      <c r="G424" s="103"/>
      <c r="H424" s="103"/>
      <c r="I424" s="103"/>
      <c r="J424" s="103"/>
      <c r="K424" s="160"/>
      <c r="L424" s="103"/>
      <c r="M424" s="158"/>
      <c r="N424" s="103"/>
      <c r="O424" s="103"/>
      <c r="P424" s="103"/>
      <c r="AC424" s="200"/>
    </row>
    <row r="425">
      <c r="A425" s="158"/>
      <c r="B425" s="160"/>
      <c r="C425" s="103"/>
      <c r="D425" s="158"/>
      <c r="E425" s="103"/>
      <c r="F425" s="103"/>
      <c r="G425" s="103"/>
      <c r="H425" s="103"/>
      <c r="I425" s="103"/>
      <c r="J425" s="103"/>
      <c r="K425" s="160"/>
      <c r="L425" s="103"/>
      <c r="M425" s="158"/>
      <c r="N425" s="103"/>
      <c r="O425" s="103"/>
      <c r="P425" s="103"/>
      <c r="AC425" s="200"/>
    </row>
    <row r="426">
      <c r="A426" s="158"/>
      <c r="B426" s="160"/>
      <c r="C426" s="103"/>
      <c r="D426" s="158"/>
      <c r="E426" s="103"/>
      <c r="F426" s="103"/>
      <c r="G426" s="103"/>
      <c r="H426" s="103"/>
      <c r="I426" s="103"/>
      <c r="J426" s="103"/>
      <c r="K426" s="160"/>
      <c r="L426" s="103"/>
      <c r="M426" s="158"/>
      <c r="N426" s="103"/>
      <c r="O426" s="103"/>
      <c r="P426" s="103"/>
      <c r="AC426" s="200"/>
    </row>
    <row r="427">
      <c r="A427" s="158"/>
      <c r="B427" s="160"/>
      <c r="C427" s="103"/>
      <c r="D427" s="158"/>
      <c r="E427" s="103"/>
      <c r="F427" s="103"/>
      <c r="G427" s="103"/>
      <c r="H427" s="103"/>
      <c r="I427" s="103"/>
      <c r="J427" s="103"/>
      <c r="K427" s="160"/>
      <c r="L427" s="103"/>
      <c r="M427" s="158"/>
      <c r="N427" s="103"/>
      <c r="O427" s="103"/>
      <c r="P427" s="103"/>
      <c r="AC427" s="200"/>
    </row>
    <row r="428">
      <c r="A428" s="158"/>
      <c r="B428" s="160"/>
      <c r="C428" s="103"/>
      <c r="D428" s="158"/>
      <c r="E428" s="103"/>
      <c r="F428" s="103"/>
      <c r="G428" s="103"/>
      <c r="H428" s="103"/>
      <c r="I428" s="103"/>
      <c r="J428" s="103"/>
      <c r="K428" s="160"/>
      <c r="L428" s="103"/>
      <c r="M428" s="158"/>
      <c r="N428" s="103"/>
      <c r="O428" s="103"/>
      <c r="P428" s="103"/>
      <c r="AC428" s="200"/>
    </row>
    <row r="429">
      <c r="A429" s="158"/>
      <c r="B429" s="160"/>
      <c r="C429" s="103"/>
      <c r="D429" s="158"/>
      <c r="E429" s="103"/>
      <c r="F429" s="103"/>
      <c r="G429" s="103"/>
      <c r="H429" s="103"/>
      <c r="I429" s="103"/>
      <c r="J429" s="103"/>
      <c r="K429" s="160"/>
      <c r="L429" s="103"/>
      <c r="M429" s="158"/>
      <c r="N429" s="103"/>
      <c r="O429" s="103"/>
      <c r="P429" s="103"/>
      <c r="AC429" s="200"/>
    </row>
    <row r="430">
      <c r="A430" s="158"/>
      <c r="B430" s="160"/>
      <c r="C430" s="103"/>
      <c r="D430" s="158"/>
      <c r="E430" s="103"/>
      <c r="F430" s="103"/>
      <c r="G430" s="103"/>
      <c r="H430" s="103"/>
      <c r="I430" s="103"/>
      <c r="J430" s="103"/>
      <c r="K430" s="160"/>
      <c r="L430" s="103"/>
      <c r="M430" s="158"/>
      <c r="N430" s="103"/>
      <c r="O430" s="103"/>
      <c r="P430" s="103"/>
      <c r="AC430" s="200"/>
    </row>
    <row r="431">
      <c r="A431" s="158"/>
      <c r="B431" s="160"/>
      <c r="C431" s="103"/>
      <c r="D431" s="158"/>
      <c r="E431" s="103"/>
      <c r="F431" s="103"/>
      <c r="G431" s="103"/>
      <c r="H431" s="103"/>
      <c r="I431" s="103"/>
      <c r="J431" s="103"/>
      <c r="K431" s="160"/>
      <c r="L431" s="103"/>
      <c r="M431" s="158"/>
      <c r="N431" s="103"/>
      <c r="O431" s="103"/>
      <c r="P431" s="103"/>
      <c r="AC431" s="200"/>
    </row>
    <row r="432">
      <c r="A432" s="158"/>
      <c r="B432" s="160"/>
      <c r="C432" s="103"/>
      <c r="D432" s="158"/>
      <c r="E432" s="103"/>
      <c r="F432" s="103"/>
      <c r="G432" s="103"/>
      <c r="H432" s="103"/>
      <c r="I432" s="103"/>
      <c r="J432" s="103"/>
      <c r="K432" s="160"/>
      <c r="L432" s="103"/>
      <c r="M432" s="158"/>
      <c r="N432" s="103"/>
      <c r="O432" s="103"/>
      <c r="P432" s="103"/>
      <c r="AC432" s="200"/>
    </row>
    <row r="433">
      <c r="A433" s="158"/>
      <c r="B433" s="160"/>
      <c r="C433" s="103"/>
      <c r="D433" s="158"/>
      <c r="E433" s="103"/>
      <c r="F433" s="103"/>
      <c r="G433" s="103"/>
      <c r="H433" s="103"/>
      <c r="I433" s="103"/>
      <c r="J433" s="103"/>
      <c r="K433" s="160"/>
      <c r="L433" s="103"/>
      <c r="M433" s="158"/>
      <c r="N433" s="103"/>
      <c r="O433" s="103"/>
      <c r="P433" s="103"/>
      <c r="AC433" s="200"/>
    </row>
    <row r="434">
      <c r="A434" s="158"/>
      <c r="B434" s="160"/>
      <c r="C434" s="103"/>
      <c r="D434" s="158"/>
      <c r="E434" s="103"/>
      <c r="F434" s="103"/>
      <c r="G434" s="103"/>
      <c r="H434" s="103"/>
      <c r="I434" s="103"/>
      <c r="J434" s="103"/>
      <c r="K434" s="160"/>
      <c r="L434" s="103"/>
      <c r="M434" s="158"/>
      <c r="N434" s="103"/>
      <c r="O434" s="103"/>
      <c r="P434" s="103"/>
      <c r="AC434" s="200"/>
    </row>
    <row r="435">
      <c r="A435" s="158"/>
      <c r="B435" s="160"/>
      <c r="C435" s="103"/>
      <c r="D435" s="158"/>
      <c r="E435" s="103"/>
      <c r="F435" s="103"/>
      <c r="G435" s="103"/>
      <c r="H435" s="103"/>
      <c r="I435" s="103"/>
      <c r="J435" s="103"/>
      <c r="K435" s="160"/>
      <c r="L435" s="103"/>
      <c r="M435" s="158"/>
      <c r="N435" s="103"/>
      <c r="O435" s="103"/>
      <c r="P435" s="103"/>
      <c r="AC435" s="200"/>
    </row>
    <row r="436">
      <c r="A436" s="158"/>
      <c r="B436" s="160"/>
      <c r="C436" s="103"/>
      <c r="D436" s="158"/>
      <c r="E436" s="103"/>
      <c r="F436" s="103"/>
      <c r="G436" s="103"/>
      <c r="H436" s="103"/>
      <c r="I436" s="103"/>
      <c r="J436" s="103"/>
      <c r="K436" s="160"/>
      <c r="L436" s="103"/>
      <c r="M436" s="158"/>
      <c r="N436" s="103"/>
      <c r="O436" s="103"/>
      <c r="P436" s="103"/>
      <c r="AC436" s="200"/>
    </row>
    <row r="437">
      <c r="A437" s="158"/>
      <c r="B437" s="160"/>
      <c r="C437" s="103"/>
      <c r="D437" s="158"/>
      <c r="E437" s="103"/>
      <c r="F437" s="103"/>
      <c r="G437" s="103"/>
      <c r="H437" s="103"/>
      <c r="I437" s="103"/>
      <c r="J437" s="103"/>
      <c r="K437" s="160"/>
      <c r="L437" s="103"/>
      <c r="M437" s="158"/>
      <c r="N437" s="103"/>
      <c r="O437" s="103"/>
      <c r="P437" s="103"/>
      <c r="AC437" s="200"/>
    </row>
    <row r="438">
      <c r="A438" s="158"/>
      <c r="B438" s="160"/>
      <c r="C438" s="103"/>
      <c r="D438" s="158"/>
      <c r="E438" s="103"/>
      <c r="F438" s="103"/>
      <c r="G438" s="103"/>
      <c r="H438" s="103"/>
      <c r="I438" s="103"/>
      <c r="J438" s="103"/>
      <c r="K438" s="160"/>
      <c r="L438" s="103"/>
      <c r="M438" s="158"/>
      <c r="N438" s="103"/>
      <c r="O438" s="103"/>
      <c r="P438" s="103"/>
      <c r="AC438" s="200"/>
    </row>
    <row r="439">
      <c r="A439" s="158"/>
      <c r="B439" s="160"/>
      <c r="C439" s="103"/>
      <c r="D439" s="158"/>
      <c r="E439" s="103"/>
      <c r="F439" s="103"/>
      <c r="G439" s="103"/>
      <c r="H439" s="103"/>
      <c r="I439" s="103"/>
      <c r="J439" s="103"/>
      <c r="K439" s="160"/>
      <c r="L439" s="103"/>
      <c r="M439" s="158"/>
      <c r="N439" s="103"/>
      <c r="O439" s="103"/>
      <c r="P439" s="103"/>
      <c r="AC439" s="200"/>
    </row>
    <row r="440">
      <c r="A440" s="158"/>
      <c r="B440" s="160"/>
      <c r="C440" s="103"/>
      <c r="D440" s="158"/>
      <c r="E440" s="103"/>
      <c r="F440" s="103"/>
      <c r="G440" s="103"/>
      <c r="H440" s="103"/>
      <c r="I440" s="103"/>
      <c r="J440" s="103"/>
      <c r="K440" s="160"/>
      <c r="L440" s="103"/>
      <c r="M440" s="158"/>
      <c r="N440" s="103"/>
      <c r="O440" s="103"/>
      <c r="P440" s="103"/>
      <c r="AC440" s="200"/>
    </row>
    <row r="441">
      <c r="A441" s="158"/>
      <c r="B441" s="160"/>
      <c r="C441" s="103"/>
      <c r="D441" s="158"/>
      <c r="E441" s="103"/>
      <c r="F441" s="103"/>
      <c r="G441" s="103"/>
      <c r="H441" s="103"/>
      <c r="I441" s="103"/>
      <c r="J441" s="103"/>
      <c r="K441" s="160"/>
      <c r="L441" s="103"/>
      <c r="M441" s="158"/>
      <c r="N441" s="103"/>
      <c r="O441" s="103"/>
      <c r="P441" s="103"/>
      <c r="AC441" s="200"/>
    </row>
    <row r="442">
      <c r="A442" s="158"/>
      <c r="B442" s="160"/>
      <c r="C442" s="103"/>
      <c r="D442" s="158"/>
      <c r="E442" s="103"/>
      <c r="F442" s="103"/>
      <c r="G442" s="103"/>
      <c r="H442" s="103"/>
      <c r="I442" s="103"/>
      <c r="J442" s="103"/>
      <c r="K442" s="160"/>
      <c r="L442" s="103"/>
      <c r="M442" s="158"/>
      <c r="N442" s="103"/>
      <c r="O442" s="103"/>
      <c r="P442" s="103"/>
      <c r="AC442" s="200"/>
    </row>
    <row r="443">
      <c r="A443" s="158"/>
      <c r="B443" s="160"/>
      <c r="C443" s="103"/>
      <c r="D443" s="158"/>
      <c r="E443" s="103"/>
      <c r="F443" s="103"/>
      <c r="G443" s="103"/>
      <c r="H443" s="103"/>
      <c r="I443" s="103"/>
      <c r="J443" s="103"/>
      <c r="K443" s="160"/>
      <c r="L443" s="103"/>
      <c r="M443" s="158"/>
      <c r="N443" s="103"/>
      <c r="O443" s="103"/>
      <c r="P443" s="103"/>
      <c r="AC443" s="200"/>
    </row>
    <row r="444">
      <c r="A444" s="158"/>
      <c r="B444" s="160"/>
      <c r="C444" s="103"/>
      <c r="D444" s="158"/>
      <c r="E444" s="103"/>
      <c r="F444" s="103"/>
      <c r="G444" s="103"/>
      <c r="H444" s="103"/>
      <c r="I444" s="103"/>
      <c r="J444" s="103"/>
      <c r="K444" s="160"/>
      <c r="L444" s="103"/>
      <c r="M444" s="158"/>
      <c r="N444" s="103"/>
      <c r="O444" s="103"/>
      <c r="P444" s="103"/>
      <c r="AC444" s="200"/>
    </row>
    <row r="445">
      <c r="A445" s="158"/>
      <c r="B445" s="160"/>
      <c r="C445" s="103"/>
      <c r="D445" s="158"/>
      <c r="E445" s="103"/>
      <c r="F445" s="103"/>
      <c r="G445" s="103"/>
      <c r="H445" s="103"/>
      <c r="I445" s="103"/>
      <c r="J445" s="103"/>
      <c r="K445" s="160"/>
      <c r="L445" s="103"/>
      <c r="M445" s="158"/>
      <c r="N445" s="103"/>
      <c r="O445" s="103"/>
      <c r="P445" s="103"/>
      <c r="AC445" s="200"/>
    </row>
    <row r="446">
      <c r="A446" s="158"/>
      <c r="B446" s="160"/>
      <c r="C446" s="103"/>
      <c r="D446" s="158"/>
      <c r="E446" s="103"/>
      <c r="F446" s="103"/>
      <c r="G446" s="103"/>
      <c r="H446" s="103"/>
      <c r="I446" s="103"/>
      <c r="J446" s="103"/>
      <c r="K446" s="160"/>
      <c r="L446" s="103"/>
      <c r="M446" s="158"/>
      <c r="N446" s="103"/>
      <c r="O446" s="103"/>
      <c r="P446" s="103"/>
      <c r="AC446" s="200"/>
    </row>
    <row r="447">
      <c r="A447" s="158"/>
      <c r="B447" s="160"/>
      <c r="C447" s="103"/>
      <c r="D447" s="158"/>
      <c r="E447" s="103"/>
      <c r="F447" s="103"/>
      <c r="G447" s="103"/>
      <c r="H447" s="103"/>
      <c r="I447" s="103"/>
      <c r="J447" s="103"/>
      <c r="K447" s="160"/>
      <c r="L447" s="103"/>
      <c r="M447" s="158"/>
      <c r="N447" s="103"/>
      <c r="O447" s="103"/>
      <c r="P447" s="103"/>
      <c r="AC447" s="200"/>
    </row>
    <row r="448">
      <c r="A448" s="158"/>
      <c r="B448" s="160"/>
      <c r="C448" s="103"/>
      <c r="D448" s="158"/>
      <c r="E448" s="103"/>
      <c r="F448" s="103"/>
      <c r="G448" s="103"/>
      <c r="H448" s="103"/>
      <c r="I448" s="103"/>
      <c r="J448" s="103"/>
      <c r="K448" s="160"/>
      <c r="L448" s="103"/>
      <c r="M448" s="158"/>
      <c r="N448" s="103"/>
      <c r="O448" s="103"/>
      <c r="P448" s="103"/>
      <c r="AC448" s="200"/>
    </row>
    <row r="449">
      <c r="A449" s="158"/>
      <c r="B449" s="160"/>
      <c r="C449" s="103"/>
      <c r="D449" s="158"/>
      <c r="E449" s="103"/>
      <c r="F449" s="103"/>
      <c r="G449" s="103"/>
      <c r="H449" s="103"/>
      <c r="I449" s="103"/>
      <c r="J449" s="103"/>
      <c r="K449" s="160"/>
      <c r="L449" s="103"/>
      <c r="M449" s="158"/>
      <c r="N449" s="103"/>
      <c r="O449" s="103"/>
      <c r="P449" s="103"/>
      <c r="AC449" s="200"/>
    </row>
    <row r="450">
      <c r="A450" s="158"/>
      <c r="B450" s="160"/>
      <c r="C450" s="103"/>
      <c r="D450" s="158"/>
      <c r="E450" s="103"/>
      <c r="F450" s="103"/>
      <c r="G450" s="103"/>
      <c r="H450" s="103"/>
      <c r="I450" s="103"/>
      <c r="J450" s="103"/>
      <c r="K450" s="160"/>
      <c r="L450" s="103"/>
      <c r="M450" s="158"/>
      <c r="N450" s="103"/>
      <c r="O450" s="103"/>
      <c r="P450" s="103"/>
      <c r="AC450" s="200"/>
    </row>
    <row r="451">
      <c r="A451" s="158"/>
      <c r="B451" s="160"/>
      <c r="C451" s="103"/>
      <c r="D451" s="158"/>
      <c r="E451" s="103"/>
      <c r="F451" s="103"/>
      <c r="G451" s="103"/>
      <c r="H451" s="103"/>
      <c r="I451" s="103"/>
      <c r="J451" s="103"/>
      <c r="K451" s="160"/>
      <c r="L451" s="103"/>
      <c r="M451" s="158"/>
      <c r="N451" s="103"/>
      <c r="O451" s="103"/>
      <c r="P451" s="103"/>
      <c r="AC451" s="200"/>
    </row>
    <row r="452">
      <c r="A452" s="158"/>
      <c r="B452" s="160"/>
      <c r="C452" s="103"/>
      <c r="D452" s="158"/>
      <c r="E452" s="103"/>
      <c r="F452" s="103"/>
      <c r="G452" s="103"/>
      <c r="H452" s="103"/>
      <c r="I452" s="103"/>
      <c r="J452" s="103"/>
      <c r="K452" s="160"/>
      <c r="L452" s="103"/>
      <c r="M452" s="158"/>
      <c r="N452" s="103"/>
      <c r="O452" s="103"/>
      <c r="P452" s="103"/>
      <c r="AC452" s="200"/>
    </row>
    <row r="453">
      <c r="A453" s="158"/>
      <c r="B453" s="160"/>
      <c r="C453" s="103"/>
      <c r="D453" s="158"/>
      <c r="E453" s="103"/>
      <c r="F453" s="103"/>
      <c r="G453" s="103"/>
      <c r="H453" s="103"/>
      <c r="I453" s="103"/>
      <c r="J453" s="103"/>
      <c r="K453" s="160"/>
      <c r="L453" s="103"/>
      <c r="M453" s="158"/>
      <c r="N453" s="103"/>
      <c r="O453" s="103"/>
      <c r="P453" s="103"/>
      <c r="AC453" s="200"/>
    </row>
    <row r="454">
      <c r="A454" s="158"/>
      <c r="B454" s="160"/>
      <c r="C454" s="103"/>
      <c r="D454" s="158"/>
      <c r="E454" s="103"/>
      <c r="F454" s="103"/>
      <c r="G454" s="103"/>
      <c r="H454" s="103"/>
      <c r="I454" s="103"/>
      <c r="J454" s="103"/>
      <c r="K454" s="160"/>
      <c r="L454" s="103"/>
      <c r="M454" s="158"/>
      <c r="N454" s="103"/>
      <c r="O454" s="103"/>
      <c r="P454" s="103"/>
      <c r="AC454" s="200"/>
    </row>
    <row r="455">
      <c r="A455" s="158"/>
      <c r="B455" s="160"/>
      <c r="C455" s="103"/>
      <c r="D455" s="158"/>
      <c r="E455" s="103"/>
      <c r="F455" s="103"/>
      <c r="G455" s="103"/>
      <c r="H455" s="103"/>
      <c r="I455" s="103"/>
      <c r="J455" s="103"/>
      <c r="K455" s="160"/>
      <c r="L455" s="103"/>
      <c r="M455" s="158"/>
      <c r="N455" s="103"/>
      <c r="O455" s="103"/>
      <c r="P455" s="103"/>
      <c r="AC455" s="200"/>
    </row>
    <row r="456">
      <c r="A456" s="158"/>
      <c r="B456" s="160"/>
      <c r="C456" s="103"/>
      <c r="D456" s="158"/>
      <c r="E456" s="103"/>
      <c r="F456" s="103"/>
      <c r="G456" s="103"/>
      <c r="H456" s="103"/>
      <c r="I456" s="103"/>
      <c r="J456" s="103"/>
      <c r="K456" s="160"/>
      <c r="L456" s="103"/>
      <c r="M456" s="158"/>
      <c r="N456" s="103"/>
      <c r="O456" s="103"/>
      <c r="P456" s="103"/>
      <c r="AC456" s="200"/>
    </row>
    <row r="457">
      <c r="A457" s="158"/>
      <c r="B457" s="160"/>
      <c r="C457" s="103"/>
      <c r="D457" s="158"/>
      <c r="E457" s="103"/>
      <c r="F457" s="103"/>
      <c r="G457" s="103"/>
      <c r="H457" s="103"/>
      <c r="I457" s="103"/>
      <c r="J457" s="103"/>
      <c r="K457" s="160"/>
      <c r="L457" s="103"/>
      <c r="M457" s="158"/>
      <c r="N457" s="103"/>
      <c r="O457" s="103"/>
      <c r="P457" s="103"/>
      <c r="AC457" s="200"/>
    </row>
    <row r="458">
      <c r="A458" s="158"/>
      <c r="B458" s="160"/>
      <c r="C458" s="103"/>
      <c r="D458" s="158"/>
      <c r="E458" s="103"/>
      <c r="F458" s="103"/>
      <c r="G458" s="103"/>
      <c r="H458" s="103"/>
      <c r="I458" s="103"/>
      <c r="J458" s="103"/>
      <c r="K458" s="160"/>
      <c r="L458" s="103"/>
      <c r="M458" s="158"/>
      <c r="N458" s="103"/>
      <c r="O458" s="103"/>
      <c r="P458" s="103"/>
      <c r="AC458" s="200"/>
    </row>
    <row r="459">
      <c r="A459" s="158"/>
      <c r="B459" s="160"/>
      <c r="C459" s="103"/>
      <c r="D459" s="158"/>
      <c r="E459" s="103"/>
      <c r="F459" s="103"/>
      <c r="G459" s="103"/>
      <c r="H459" s="103"/>
      <c r="I459" s="103"/>
      <c r="J459" s="103"/>
      <c r="K459" s="160"/>
      <c r="L459" s="103"/>
      <c r="M459" s="158"/>
      <c r="N459" s="103"/>
      <c r="O459" s="103"/>
      <c r="P459" s="103"/>
      <c r="AC459" s="200"/>
    </row>
    <row r="460">
      <c r="A460" s="158"/>
      <c r="B460" s="160"/>
      <c r="C460" s="103"/>
      <c r="D460" s="158"/>
      <c r="E460" s="103"/>
      <c r="F460" s="103"/>
      <c r="G460" s="103"/>
      <c r="H460" s="103"/>
      <c r="I460" s="103"/>
      <c r="J460" s="103"/>
      <c r="K460" s="160"/>
      <c r="L460" s="103"/>
      <c r="M460" s="158"/>
      <c r="N460" s="103"/>
      <c r="O460" s="103"/>
      <c r="P460" s="103"/>
      <c r="AC460" s="200"/>
    </row>
    <row r="461">
      <c r="A461" s="158"/>
      <c r="B461" s="160"/>
      <c r="C461" s="103"/>
      <c r="D461" s="158"/>
      <c r="E461" s="103"/>
      <c r="F461" s="103"/>
      <c r="G461" s="103"/>
      <c r="H461" s="103"/>
      <c r="I461" s="103"/>
      <c r="J461" s="103"/>
      <c r="K461" s="160"/>
      <c r="L461" s="103"/>
      <c r="M461" s="158"/>
      <c r="N461" s="103"/>
      <c r="O461" s="103"/>
      <c r="P461" s="103"/>
      <c r="AC461" s="200"/>
    </row>
    <row r="462">
      <c r="A462" s="158"/>
      <c r="B462" s="160"/>
      <c r="C462" s="103"/>
      <c r="D462" s="158"/>
      <c r="E462" s="103"/>
      <c r="F462" s="103"/>
      <c r="G462" s="103"/>
      <c r="H462" s="103"/>
      <c r="I462" s="103"/>
      <c r="J462" s="103"/>
      <c r="K462" s="160"/>
      <c r="L462" s="103"/>
      <c r="M462" s="158"/>
      <c r="N462" s="103"/>
      <c r="O462" s="103"/>
      <c r="P462" s="103"/>
      <c r="AC462" s="200"/>
    </row>
    <row r="463">
      <c r="A463" s="158"/>
      <c r="B463" s="160"/>
      <c r="C463" s="103"/>
      <c r="D463" s="158"/>
      <c r="E463" s="103"/>
      <c r="F463" s="103"/>
      <c r="G463" s="103"/>
      <c r="H463" s="103"/>
      <c r="I463" s="103"/>
      <c r="J463" s="103"/>
      <c r="K463" s="160"/>
      <c r="L463" s="103"/>
      <c r="M463" s="158"/>
      <c r="N463" s="103"/>
      <c r="O463" s="103"/>
      <c r="P463" s="103"/>
      <c r="AC463" s="200"/>
    </row>
    <row r="464">
      <c r="A464" s="158"/>
      <c r="B464" s="160"/>
      <c r="C464" s="103"/>
      <c r="D464" s="158"/>
      <c r="E464" s="103"/>
      <c r="F464" s="103"/>
      <c r="G464" s="103"/>
      <c r="H464" s="103"/>
      <c r="I464" s="103"/>
      <c r="J464" s="103"/>
      <c r="K464" s="160"/>
      <c r="L464" s="103"/>
      <c r="M464" s="158"/>
      <c r="N464" s="103"/>
      <c r="O464" s="103"/>
      <c r="P464" s="103"/>
      <c r="AC464" s="200"/>
    </row>
    <row r="465">
      <c r="A465" s="158"/>
      <c r="B465" s="160"/>
      <c r="C465" s="103"/>
      <c r="D465" s="158"/>
      <c r="E465" s="103"/>
      <c r="F465" s="103"/>
      <c r="G465" s="103"/>
      <c r="H465" s="103"/>
      <c r="I465" s="103"/>
      <c r="J465" s="103"/>
      <c r="K465" s="160"/>
      <c r="L465" s="103"/>
      <c r="M465" s="158"/>
      <c r="N465" s="103"/>
      <c r="O465" s="103"/>
      <c r="P465" s="103"/>
      <c r="AC465" s="200"/>
    </row>
    <row r="466">
      <c r="A466" s="158"/>
      <c r="B466" s="160"/>
      <c r="C466" s="103"/>
      <c r="D466" s="158"/>
      <c r="E466" s="103"/>
      <c r="F466" s="103"/>
      <c r="G466" s="103"/>
      <c r="H466" s="103"/>
      <c r="I466" s="103"/>
      <c r="J466" s="103"/>
      <c r="K466" s="160"/>
      <c r="L466" s="103"/>
      <c r="M466" s="158"/>
      <c r="N466" s="103"/>
      <c r="O466" s="103"/>
      <c r="P466" s="103"/>
      <c r="AC466" s="200"/>
    </row>
    <row r="467">
      <c r="A467" s="158"/>
      <c r="B467" s="160"/>
      <c r="C467" s="103"/>
      <c r="D467" s="158"/>
      <c r="E467" s="103"/>
      <c r="F467" s="103"/>
      <c r="G467" s="103"/>
      <c r="H467" s="103"/>
      <c r="I467" s="103"/>
      <c r="J467" s="103"/>
      <c r="K467" s="160"/>
      <c r="L467" s="103"/>
      <c r="M467" s="158"/>
      <c r="N467" s="103"/>
      <c r="O467" s="103"/>
      <c r="P467" s="103"/>
      <c r="AC467" s="200"/>
    </row>
    <row r="468">
      <c r="A468" s="158"/>
      <c r="B468" s="160"/>
      <c r="C468" s="103"/>
      <c r="D468" s="158"/>
      <c r="E468" s="103"/>
      <c r="F468" s="103"/>
      <c r="G468" s="103"/>
      <c r="H468" s="103"/>
      <c r="I468" s="103"/>
      <c r="J468" s="103"/>
      <c r="K468" s="160"/>
      <c r="L468" s="103"/>
      <c r="M468" s="158"/>
      <c r="N468" s="103"/>
      <c r="O468" s="103"/>
      <c r="P468" s="103"/>
      <c r="AC468" s="200"/>
    </row>
    <row r="469">
      <c r="A469" s="158"/>
      <c r="B469" s="160"/>
      <c r="C469" s="103"/>
      <c r="D469" s="158"/>
      <c r="E469" s="103"/>
      <c r="F469" s="103"/>
      <c r="G469" s="103"/>
      <c r="H469" s="103"/>
      <c r="I469" s="103"/>
      <c r="J469" s="103"/>
      <c r="K469" s="160"/>
      <c r="L469" s="103"/>
      <c r="M469" s="158"/>
      <c r="N469" s="103"/>
      <c r="O469" s="103"/>
      <c r="P469" s="103"/>
      <c r="AC469" s="200"/>
    </row>
    <row r="470">
      <c r="A470" s="158"/>
      <c r="B470" s="160"/>
      <c r="C470" s="103"/>
      <c r="D470" s="158"/>
      <c r="E470" s="103"/>
      <c r="F470" s="103"/>
      <c r="G470" s="103"/>
      <c r="H470" s="103"/>
      <c r="I470" s="103"/>
      <c r="J470" s="103"/>
      <c r="K470" s="160"/>
      <c r="L470" s="103"/>
      <c r="M470" s="158"/>
      <c r="N470" s="103"/>
      <c r="O470" s="103"/>
      <c r="P470" s="103"/>
      <c r="AC470" s="200"/>
    </row>
    <row r="471">
      <c r="A471" s="158"/>
      <c r="B471" s="160"/>
      <c r="C471" s="103"/>
      <c r="D471" s="158"/>
      <c r="E471" s="103"/>
      <c r="F471" s="103"/>
      <c r="G471" s="103"/>
      <c r="H471" s="103"/>
      <c r="I471" s="103"/>
      <c r="J471" s="103"/>
      <c r="K471" s="160"/>
      <c r="L471" s="103"/>
      <c r="M471" s="158"/>
      <c r="N471" s="103"/>
      <c r="O471" s="103"/>
      <c r="P471" s="103"/>
      <c r="AC471" s="200"/>
    </row>
    <row r="472">
      <c r="A472" s="158"/>
      <c r="B472" s="160"/>
      <c r="C472" s="103"/>
      <c r="D472" s="158"/>
      <c r="E472" s="103"/>
      <c r="F472" s="103"/>
      <c r="G472" s="103"/>
      <c r="H472" s="103"/>
      <c r="I472" s="103"/>
      <c r="J472" s="103"/>
      <c r="K472" s="160"/>
      <c r="L472" s="103"/>
      <c r="M472" s="158"/>
      <c r="N472" s="103"/>
      <c r="O472" s="103"/>
      <c r="P472" s="103"/>
      <c r="AC472" s="200"/>
    </row>
    <row r="473">
      <c r="A473" s="158"/>
      <c r="B473" s="160"/>
      <c r="C473" s="103"/>
      <c r="D473" s="158"/>
      <c r="E473" s="103"/>
      <c r="F473" s="103"/>
      <c r="G473" s="103"/>
      <c r="H473" s="103"/>
      <c r="I473" s="103"/>
      <c r="J473" s="103"/>
      <c r="K473" s="160"/>
      <c r="L473" s="103"/>
      <c r="M473" s="158"/>
      <c r="N473" s="103"/>
      <c r="O473" s="103"/>
      <c r="P473" s="103"/>
      <c r="AC473" s="200"/>
    </row>
    <row r="474">
      <c r="A474" s="158"/>
      <c r="B474" s="160"/>
      <c r="C474" s="103"/>
      <c r="D474" s="158"/>
      <c r="E474" s="103"/>
      <c r="F474" s="103"/>
      <c r="G474" s="103"/>
      <c r="H474" s="103"/>
      <c r="I474" s="103"/>
      <c r="J474" s="103"/>
      <c r="K474" s="160"/>
      <c r="L474" s="103"/>
      <c r="M474" s="158"/>
      <c r="N474" s="103"/>
      <c r="O474" s="103"/>
      <c r="P474" s="103"/>
      <c r="AC474" s="200"/>
    </row>
    <row r="475">
      <c r="A475" s="158"/>
      <c r="B475" s="160"/>
      <c r="C475" s="103"/>
      <c r="D475" s="158"/>
      <c r="E475" s="103"/>
      <c r="F475" s="103"/>
      <c r="G475" s="103"/>
      <c r="H475" s="103"/>
      <c r="I475" s="103"/>
      <c r="J475" s="103"/>
      <c r="K475" s="160"/>
      <c r="L475" s="103"/>
      <c r="M475" s="158"/>
      <c r="N475" s="103"/>
      <c r="O475" s="103"/>
      <c r="P475" s="103"/>
      <c r="AC475" s="200"/>
    </row>
    <row r="476">
      <c r="A476" s="158"/>
      <c r="B476" s="160"/>
      <c r="C476" s="103"/>
      <c r="D476" s="158"/>
      <c r="E476" s="103"/>
      <c r="F476" s="103"/>
      <c r="G476" s="103"/>
      <c r="H476" s="103"/>
      <c r="I476" s="103"/>
      <c r="J476" s="103"/>
      <c r="K476" s="160"/>
      <c r="L476" s="103"/>
      <c r="M476" s="158"/>
      <c r="N476" s="103"/>
      <c r="O476" s="103"/>
      <c r="P476" s="103"/>
      <c r="AC476" s="200"/>
    </row>
    <row r="477">
      <c r="A477" s="158"/>
      <c r="B477" s="160"/>
      <c r="C477" s="103"/>
      <c r="D477" s="158"/>
      <c r="E477" s="103"/>
      <c r="F477" s="103"/>
      <c r="G477" s="103"/>
      <c r="H477" s="103"/>
      <c r="I477" s="103"/>
      <c r="J477" s="103"/>
      <c r="K477" s="160"/>
      <c r="L477" s="103"/>
      <c r="M477" s="158"/>
      <c r="N477" s="103"/>
      <c r="O477" s="103"/>
      <c r="P477" s="103"/>
      <c r="AC477" s="200"/>
    </row>
    <row r="478">
      <c r="A478" s="158"/>
      <c r="B478" s="160"/>
      <c r="C478" s="103"/>
      <c r="D478" s="158"/>
      <c r="E478" s="103"/>
      <c r="F478" s="103"/>
      <c r="G478" s="103"/>
      <c r="H478" s="103"/>
      <c r="I478" s="103"/>
      <c r="J478" s="103"/>
      <c r="K478" s="160"/>
      <c r="L478" s="103"/>
      <c r="M478" s="158"/>
      <c r="N478" s="103"/>
      <c r="O478" s="103"/>
      <c r="P478" s="103"/>
      <c r="AC478" s="200"/>
    </row>
    <row r="479">
      <c r="A479" s="158"/>
      <c r="B479" s="160"/>
      <c r="C479" s="103"/>
      <c r="D479" s="158"/>
      <c r="E479" s="103"/>
      <c r="F479" s="103"/>
      <c r="G479" s="103"/>
      <c r="H479" s="103"/>
      <c r="I479" s="103"/>
      <c r="J479" s="103"/>
      <c r="K479" s="160"/>
      <c r="L479" s="103"/>
      <c r="M479" s="158"/>
      <c r="N479" s="103"/>
      <c r="O479" s="103"/>
      <c r="P479" s="103"/>
      <c r="AC479" s="200"/>
    </row>
    <row r="480">
      <c r="A480" s="158"/>
      <c r="B480" s="160"/>
      <c r="C480" s="103"/>
      <c r="D480" s="158"/>
      <c r="E480" s="103"/>
      <c r="F480" s="103"/>
      <c r="G480" s="103"/>
      <c r="H480" s="103"/>
      <c r="I480" s="103"/>
      <c r="J480" s="103"/>
      <c r="K480" s="160"/>
      <c r="L480" s="103"/>
      <c r="M480" s="158"/>
      <c r="N480" s="103"/>
      <c r="O480" s="103"/>
      <c r="P480" s="103"/>
      <c r="AC480" s="200"/>
    </row>
    <row r="481">
      <c r="A481" s="158"/>
      <c r="B481" s="160"/>
      <c r="C481" s="103"/>
      <c r="D481" s="158"/>
      <c r="E481" s="103"/>
      <c r="F481" s="103"/>
      <c r="G481" s="103"/>
      <c r="H481" s="103"/>
      <c r="I481" s="103"/>
      <c r="J481" s="103"/>
      <c r="K481" s="160"/>
      <c r="L481" s="103"/>
      <c r="M481" s="158"/>
      <c r="N481" s="103"/>
      <c r="O481" s="103"/>
      <c r="P481" s="103"/>
      <c r="AC481" s="200"/>
    </row>
    <row r="482">
      <c r="A482" s="158"/>
      <c r="B482" s="160"/>
      <c r="C482" s="103"/>
      <c r="D482" s="158"/>
      <c r="E482" s="103"/>
      <c r="F482" s="103"/>
      <c r="G482" s="103"/>
      <c r="H482" s="103"/>
      <c r="I482" s="103"/>
      <c r="J482" s="103"/>
      <c r="K482" s="160"/>
      <c r="L482" s="103"/>
      <c r="M482" s="158"/>
      <c r="N482" s="103"/>
      <c r="O482" s="103"/>
      <c r="P482" s="103"/>
      <c r="AC482" s="200"/>
    </row>
    <row r="483">
      <c r="A483" s="158"/>
      <c r="B483" s="160"/>
      <c r="C483" s="103"/>
      <c r="D483" s="158"/>
      <c r="E483" s="103"/>
      <c r="F483" s="103"/>
      <c r="G483" s="103"/>
      <c r="H483" s="103"/>
      <c r="I483" s="103"/>
      <c r="J483" s="103"/>
      <c r="K483" s="160"/>
      <c r="L483" s="103"/>
      <c r="M483" s="158"/>
      <c r="N483" s="103"/>
      <c r="O483" s="103"/>
      <c r="P483" s="103"/>
      <c r="AC483" s="200"/>
    </row>
    <row r="484">
      <c r="A484" s="158"/>
      <c r="B484" s="160"/>
      <c r="C484" s="103"/>
      <c r="D484" s="158"/>
      <c r="E484" s="103"/>
      <c r="F484" s="103"/>
      <c r="G484" s="103"/>
      <c r="H484" s="103"/>
      <c r="I484" s="103"/>
      <c r="J484" s="103"/>
      <c r="K484" s="160"/>
      <c r="L484" s="103"/>
      <c r="M484" s="158"/>
      <c r="N484" s="103"/>
      <c r="O484" s="103"/>
      <c r="P484" s="103"/>
      <c r="AC484" s="200"/>
    </row>
    <row r="485">
      <c r="A485" s="158"/>
      <c r="B485" s="160"/>
      <c r="C485" s="103"/>
      <c r="D485" s="158"/>
      <c r="E485" s="103"/>
      <c r="F485" s="103"/>
      <c r="G485" s="103"/>
      <c r="H485" s="103"/>
      <c r="I485" s="103"/>
      <c r="J485" s="103"/>
      <c r="K485" s="160"/>
      <c r="L485" s="103"/>
      <c r="M485" s="158"/>
      <c r="N485" s="103"/>
      <c r="O485" s="103"/>
      <c r="P485" s="103"/>
      <c r="AC485" s="200"/>
    </row>
    <row r="486">
      <c r="A486" s="158"/>
      <c r="B486" s="160"/>
      <c r="C486" s="103"/>
      <c r="D486" s="158"/>
      <c r="E486" s="103"/>
      <c r="F486" s="103"/>
      <c r="G486" s="103"/>
      <c r="H486" s="103"/>
      <c r="I486" s="103"/>
      <c r="J486" s="103"/>
      <c r="K486" s="160"/>
      <c r="L486" s="103"/>
      <c r="M486" s="158"/>
      <c r="N486" s="103"/>
      <c r="O486" s="103"/>
      <c r="P486" s="103"/>
      <c r="AC486" s="200"/>
    </row>
    <row r="487">
      <c r="A487" s="158"/>
      <c r="B487" s="160"/>
      <c r="C487" s="103"/>
      <c r="D487" s="158"/>
      <c r="E487" s="103"/>
      <c r="F487" s="103"/>
      <c r="G487" s="103"/>
      <c r="H487" s="103"/>
      <c r="I487" s="103"/>
      <c r="J487" s="103"/>
      <c r="K487" s="160"/>
      <c r="L487" s="103"/>
      <c r="M487" s="158"/>
      <c r="N487" s="103"/>
      <c r="O487" s="103"/>
      <c r="P487" s="103"/>
      <c r="AC487" s="200"/>
    </row>
    <row r="488">
      <c r="A488" s="158"/>
      <c r="B488" s="160"/>
      <c r="C488" s="103"/>
      <c r="D488" s="158"/>
      <c r="E488" s="103"/>
      <c r="F488" s="103"/>
      <c r="G488" s="103"/>
      <c r="H488" s="103"/>
      <c r="I488" s="103"/>
      <c r="J488" s="103"/>
      <c r="K488" s="160"/>
      <c r="L488" s="103"/>
      <c r="M488" s="158"/>
      <c r="N488" s="103"/>
      <c r="O488" s="103"/>
      <c r="P488" s="103"/>
      <c r="AC488" s="200"/>
    </row>
    <row r="489">
      <c r="A489" s="158"/>
      <c r="B489" s="160"/>
      <c r="C489" s="103"/>
      <c r="D489" s="158"/>
      <c r="E489" s="103"/>
      <c r="F489" s="103"/>
      <c r="G489" s="103"/>
      <c r="H489" s="103"/>
      <c r="I489" s="103"/>
      <c r="J489" s="103"/>
      <c r="K489" s="160"/>
      <c r="L489" s="103"/>
      <c r="M489" s="158"/>
      <c r="N489" s="103"/>
      <c r="O489" s="103"/>
      <c r="P489" s="103"/>
      <c r="AC489" s="200"/>
    </row>
    <row r="490">
      <c r="A490" s="158"/>
      <c r="B490" s="160"/>
      <c r="C490" s="103"/>
      <c r="D490" s="158"/>
      <c r="E490" s="103"/>
      <c r="F490" s="103"/>
      <c r="G490" s="103"/>
      <c r="H490" s="103"/>
      <c r="I490" s="103"/>
      <c r="J490" s="103"/>
      <c r="K490" s="160"/>
      <c r="L490" s="103"/>
      <c r="M490" s="158"/>
      <c r="N490" s="103"/>
      <c r="O490" s="103"/>
      <c r="P490" s="103"/>
      <c r="AC490" s="200"/>
    </row>
    <row r="491">
      <c r="A491" s="158"/>
      <c r="B491" s="160"/>
      <c r="C491" s="103"/>
      <c r="D491" s="158"/>
      <c r="E491" s="103"/>
      <c r="F491" s="103"/>
      <c r="G491" s="103"/>
      <c r="H491" s="103"/>
      <c r="I491" s="103"/>
      <c r="J491" s="103"/>
      <c r="K491" s="160"/>
      <c r="L491" s="103"/>
      <c r="M491" s="158"/>
      <c r="N491" s="103"/>
      <c r="O491" s="103"/>
      <c r="P491" s="103"/>
      <c r="AC491" s="200"/>
    </row>
    <row r="492">
      <c r="A492" s="158"/>
      <c r="B492" s="160"/>
      <c r="C492" s="103"/>
      <c r="D492" s="158"/>
      <c r="E492" s="103"/>
      <c r="F492" s="103"/>
      <c r="G492" s="103"/>
      <c r="H492" s="103"/>
      <c r="I492" s="103"/>
      <c r="J492" s="103"/>
      <c r="K492" s="160"/>
      <c r="L492" s="103"/>
      <c r="M492" s="158"/>
      <c r="N492" s="103"/>
      <c r="O492" s="103"/>
      <c r="P492" s="103"/>
      <c r="AC492" s="200"/>
    </row>
    <row r="493">
      <c r="A493" s="158"/>
      <c r="B493" s="160"/>
      <c r="C493" s="103"/>
      <c r="D493" s="158"/>
      <c r="E493" s="103"/>
      <c r="F493" s="103"/>
      <c r="G493" s="103"/>
      <c r="H493" s="103"/>
      <c r="I493" s="103"/>
      <c r="J493" s="103"/>
      <c r="K493" s="160"/>
      <c r="L493" s="103"/>
      <c r="M493" s="158"/>
      <c r="N493" s="103"/>
      <c r="O493" s="103"/>
      <c r="P493" s="103"/>
      <c r="AC493" s="200"/>
    </row>
    <row r="494">
      <c r="A494" s="158"/>
      <c r="B494" s="160"/>
      <c r="C494" s="103"/>
      <c r="D494" s="158"/>
      <c r="E494" s="103"/>
      <c r="F494" s="103"/>
      <c r="G494" s="103"/>
      <c r="H494" s="103"/>
      <c r="I494" s="103"/>
      <c r="J494" s="103"/>
      <c r="K494" s="160"/>
      <c r="L494" s="103"/>
      <c r="M494" s="158"/>
      <c r="N494" s="103"/>
      <c r="O494" s="103"/>
      <c r="P494" s="103"/>
      <c r="AC494" s="200"/>
    </row>
    <row r="495">
      <c r="A495" s="158"/>
      <c r="B495" s="160"/>
      <c r="C495" s="103"/>
      <c r="D495" s="158"/>
      <c r="E495" s="103"/>
      <c r="F495" s="103"/>
      <c r="G495" s="103"/>
      <c r="H495" s="103"/>
      <c r="I495" s="103"/>
      <c r="J495" s="103"/>
      <c r="K495" s="160"/>
      <c r="L495" s="103"/>
      <c r="M495" s="158"/>
      <c r="N495" s="103"/>
      <c r="O495" s="103"/>
      <c r="P495" s="103"/>
      <c r="AC495" s="200"/>
    </row>
    <row r="496">
      <c r="A496" s="158"/>
      <c r="B496" s="160"/>
      <c r="C496" s="103"/>
      <c r="D496" s="158"/>
      <c r="E496" s="103"/>
      <c r="F496" s="103"/>
      <c r="G496" s="103"/>
      <c r="H496" s="103"/>
      <c r="I496" s="103"/>
      <c r="J496" s="103"/>
      <c r="K496" s="160"/>
      <c r="L496" s="103"/>
      <c r="M496" s="158"/>
      <c r="N496" s="103"/>
      <c r="O496" s="103"/>
      <c r="P496" s="103"/>
      <c r="AC496" s="200"/>
    </row>
    <row r="497">
      <c r="A497" s="158"/>
      <c r="B497" s="160"/>
      <c r="C497" s="103"/>
      <c r="D497" s="158"/>
      <c r="E497" s="103"/>
      <c r="F497" s="103"/>
      <c r="G497" s="103"/>
      <c r="H497" s="103"/>
      <c r="I497" s="103"/>
      <c r="J497" s="103"/>
      <c r="K497" s="160"/>
      <c r="L497" s="103"/>
      <c r="M497" s="158"/>
      <c r="N497" s="103"/>
      <c r="O497" s="103"/>
      <c r="P497" s="103"/>
      <c r="AC497" s="200"/>
    </row>
    <row r="498">
      <c r="A498" s="158"/>
      <c r="B498" s="160"/>
      <c r="C498" s="103"/>
      <c r="D498" s="158"/>
      <c r="E498" s="103"/>
      <c r="F498" s="103"/>
      <c r="G498" s="103"/>
      <c r="H498" s="103"/>
      <c r="I498" s="103"/>
      <c r="J498" s="103"/>
      <c r="K498" s="160"/>
      <c r="L498" s="103"/>
      <c r="M498" s="158"/>
      <c r="N498" s="103"/>
      <c r="O498" s="103"/>
      <c r="P498" s="103"/>
      <c r="AC498" s="200"/>
    </row>
    <row r="499">
      <c r="A499" s="158"/>
      <c r="B499" s="160"/>
      <c r="C499" s="103"/>
      <c r="D499" s="158"/>
      <c r="E499" s="103"/>
      <c r="F499" s="103"/>
      <c r="G499" s="103"/>
      <c r="H499" s="103"/>
      <c r="I499" s="103"/>
      <c r="J499" s="103"/>
      <c r="K499" s="160"/>
      <c r="L499" s="103"/>
      <c r="M499" s="158"/>
      <c r="N499" s="103"/>
      <c r="O499" s="103"/>
      <c r="P499" s="103"/>
      <c r="AC499" s="200"/>
    </row>
    <row r="500">
      <c r="A500" s="158"/>
      <c r="B500" s="160"/>
      <c r="C500" s="103"/>
      <c r="D500" s="158"/>
      <c r="E500" s="103"/>
      <c r="F500" s="103"/>
      <c r="G500" s="103"/>
      <c r="H500" s="103"/>
      <c r="I500" s="103"/>
      <c r="J500" s="103"/>
      <c r="K500" s="160"/>
      <c r="L500" s="103"/>
      <c r="M500" s="158"/>
      <c r="N500" s="103"/>
      <c r="O500" s="103"/>
      <c r="P500" s="103"/>
      <c r="AC500" s="200"/>
    </row>
    <row r="501">
      <c r="A501" s="158"/>
      <c r="B501" s="160"/>
      <c r="C501" s="103"/>
      <c r="D501" s="158"/>
      <c r="E501" s="103"/>
      <c r="F501" s="103"/>
      <c r="G501" s="103"/>
      <c r="H501" s="103"/>
      <c r="I501" s="103"/>
      <c r="J501" s="103"/>
      <c r="K501" s="160"/>
      <c r="L501" s="103"/>
      <c r="M501" s="158"/>
      <c r="N501" s="103"/>
      <c r="O501" s="103"/>
      <c r="P501" s="103"/>
      <c r="AC501" s="200"/>
    </row>
    <row r="502">
      <c r="A502" s="158"/>
      <c r="B502" s="160"/>
      <c r="C502" s="103"/>
      <c r="D502" s="158"/>
      <c r="E502" s="103"/>
      <c r="F502" s="103"/>
      <c r="G502" s="103"/>
      <c r="H502" s="103"/>
      <c r="I502" s="103"/>
      <c r="J502" s="103"/>
      <c r="K502" s="160"/>
      <c r="L502" s="103"/>
      <c r="M502" s="158"/>
      <c r="N502" s="103"/>
      <c r="O502" s="103"/>
      <c r="P502" s="103"/>
      <c r="AC502" s="200"/>
    </row>
    <row r="503">
      <c r="A503" s="158"/>
      <c r="B503" s="160"/>
      <c r="C503" s="103"/>
      <c r="D503" s="158"/>
      <c r="E503" s="103"/>
      <c r="F503" s="103"/>
      <c r="G503" s="103"/>
      <c r="H503" s="103"/>
      <c r="I503" s="103"/>
      <c r="J503" s="103"/>
      <c r="K503" s="160"/>
      <c r="L503" s="103"/>
      <c r="M503" s="158"/>
      <c r="N503" s="103"/>
      <c r="O503" s="103"/>
      <c r="P503" s="103"/>
      <c r="AC503" s="200"/>
    </row>
    <row r="504">
      <c r="A504" s="158"/>
      <c r="B504" s="160"/>
      <c r="C504" s="103"/>
      <c r="D504" s="158"/>
      <c r="E504" s="103"/>
      <c r="F504" s="103"/>
      <c r="G504" s="103"/>
      <c r="H504" s="103"/>
      <c r="I504" s="103"/>
      <c r="J504" s="103"/>
      <c r="K504" s="160"/>
      <c r="L504" s="103"/>
      <c r="M504" s="158"/>
      <c r="N504" s="103"/>
      <c r="O504" s="103"/>
      <c r="P504" s="103"/>
      <c r="AC504" s="200"/>
    </row>
    <row r="505">
      <c r="A505" s="158"/>
      <c r="B505" s="160"/>
      <c r="C505" s="103"/>
      <c r="D505" s="158"/>
      <c r="E505" s="103"/>
      <c r="F505" s="103"/>
      <c r="G505" s="103"/>
      <c r="H505" s="103"/>
      <c r="I505" s="103"/>
      <c r="J505" s="103"/>
      <c r="K505" s="160"/>
      <c r="L505" s="103"/>
      <c r="M505" s="158"/>
      <c r="N505" s="103"/>
      <c r="O505" s="103"/>
      <c r="P505" s="103"/>
      <c r="AC505" s="200"/>
    </row>
    <row r="506">
      <c r="A506" s="158"/>
      <c r="B506" s="160"/>
      <c r="C506" s="103"/>
      <c r="D506" s="158"/>
      <c r="E506" s="103"/>
      <c r="F506" s="103"/>
      <c r="G506" s="103"/>
      <c r="H506" s="103"/>
      <c r="I506" s="103"/>
      <c r="J506" s="103"/>
      <c r="K506" s="160"/>
      <c r="L506" s="103"/>
      <c r="M506" s="158"/>
      <c r="N506" s="103"/>
      <c r="O506" s="103"/>
      <c r="P506" s="103"/>
      <c r="AC506" s="200"/>
    </row>
    <row r="507">
      <c r="A507" s="158"/>
      <c r="B507" s="160"/>
      <c r="C507" s="103"/>
      <c r="D507" s="158"/>
      <c r="E507" s="103"/>
      <c r="F507" s="103"/>
      <c r="G507" s="103"/>
      <c r="H507" s="103"/>
      <c r="I507" s="103"/>
      <c r="J507" s="103"/>
      <c r="K507" s="160"/>
      <c r="L507" s="103"/>
      <c r="M507" s="158"/>
      <c r="N507" s="103"/>
      <c r="O507" s="103"/>
      <c r="P507" s="103"/>
      <c r="AC507" s="200"/>
    </row>
    <row r="508">
      <c r="A508" s="158"/>
      <c r="B508" s="160"/>
      <c r="C508" s="103"/>
      <c r="D508" s="158"/>
      <c r="E508" s="103"/>
      <c r="F508" s="103"/>
      <c r="G508" s="103"/>
      <c r="H508" s="103"/>
      <c r="I508" s="103"/>
      <c r="J508" s="103"/>
      <c r="K508" s="160"/>
      <c r="L508" s="103"/>
      <c r="M508" s="158"/>
      <c r="N508" s="103"/>
      <c r="O508" s="103"/>
      <c r="P508" s="103"/>
      <c r="AC508" s="200"/>
    </row>
    <row r="509">
      <c r="A509" s="158"/>
      <c r="B509" s="160"/>
      <c r="C509" s="103"/>
      <c r="D509" s="158"/>
      <c r="E509" s="103"/>
      <c r="F509" s="103"/>
      <c r="G509" s="103"/>
      <c r="H509" s="103"/>
      <c r="I509" s="103"/>
      <c r="J509" s="103"/>
      <c r="K509" s="160"/>
      <c r="L509" s="103"/>
      <c r="M509" s="158"/>
      <c r="N509" s="103"/>
      <c r="O509" s="103"/>
      <c r="P509" s="103"/>
      <c r="AC509" s="200"/>
    </row>
    <row r="510">
      <c r="A510" s="158"/>
      <c r="B510" s="160"/>
      <c r="C510" s="103"/>
      <c r="D510" s="158"/>
      <c r="E510" s="103"/>
      <c r="F510" s="103"/>
      <c r="G510" s="103"/>
      <c r="H510" s="103"/>
      <c r="I510" s="103"/>
      <c r="J510" s="103"/>
      <c r="K510" s="160"/>
      <c r="L510" s="103"/>
      <c r="M510" s="158"/>
      <c r="N510" s="103"/>
      <c r="O510" s="103"/>
      <c r="P510" s="103"/>
      <c r="AC510" s="200"/>
    </row>
    <row r="511">
      <c r="A511" s="158"/>
      <c r="B511" s="160"/>
      <c r="C511" s="103"/>
      <c r="D511" s="158"/>
      <c r="E511" s="103"/>
      <c r="F511" s="103"/>
      <c r="G511" s="103"/>
      <c r="H511" s="103"/>
      <c r="I511" s="103"/>
      <c r="J511" s="103"/>
      <c r="K511" s="160"/>
      <c r="L511" s="103"/>
      <c r="M511" s="158"/>
      <c r="N511" s="103"/>
      <c r="O511" s="103"/>
      <c r="P511" s="103"/>
      <c r="AC511" s="200"/>
    </row>
    <row r="512">
      <c r="A512" s="158"/>
      <c r="B512" s="160"/>
      <c r="C512" s="103"/>
      <c r="D512" s="158"/>
      <c r="E512" s="103"/>
      <c r="F512" s="103"/>
      <c r="G512" s="103"/>
      <c r="H512" s="103"/>
      <c r="I512" s="103"/>
      <c r="J512" s="103"/>
      <c r="K512" s="160"/>
      <c r="L512" s="103"/>
      <c r="M512" s="158"/>
      <c r="N512" s="103"/>
      <c r="O512" s="103"/>
      <c r="P512" s="103"/>
      <c r="AC512" s="200"/>
    </row>
    <row r="513">
      <c r="A513" s="158"/>
      <c r="B513" s="160"/>
      <c r="C513" s="103"/>
      <c r="D513" s="158"/>
      <c r="E513" s="103"/>
      <c r="F513" s="103"/>
      <c r="G513" s="103"/>
      <c r="H513" s="103"/>
      <c r="I513" s="103"/>
      <c r="J513" s="103"/>
      <c r="K513" s="160"/>
      <c r="L513" s="103"/>
      <c r="M513" s="158"/>
      <c r="N513" s="103"/>
      <c r="O513" s="103"/>
      <c r="P513" s="103"/>
      <c r="AC513" s="200"/>
    </row>
    <row r="514">
      <c r="A514" s="158"/>
      <c r="B514" s="160"/>
      <c r="C514" s="103"/>
      <c r="D514" s="158"/>
      <c r="E514" s="103"/>
      <c r="F514" s="103"/>
      <c r="G514" s="103"/>
      <c r="H514" s="103"/>
      <c r="I514" s="103"/>
      <c r="J514" s="103"/>
      <c r="K514" s="160"/>
      <c r="L514" s="103"/>
      <c r="M514" s="158"/>
      <c r="N514" s="103"/>
      <c r="O514" s="103"/>
      <c r="P514" s="103"/>
      <c r="AC514" s="200"/>
    </row>
    <row r="515">
      <c r="A515" s="158"/>
      <c r="B515" s="160"/>
      <c r="C515" s="103"/>
      <c r="D515" s="158"/>
      <c r="E515" s="103"/>
      <c r="F515" s="103"/>
      <c r="G515" s="103"/>
      <c r="H515" s="103"/>
      <c r="I515" s="103"/>
      <c r="J515" s="103"/>
      <c r="K515" s="160"/>
      <c r="L515" s="103"/>
      <c r="M515" s="158"/>
      <c r="N515" s="103"/>
      <c r="O515" s="103"/>
      <c r="P515" s="103"/>
      <c r="AC515" s="200"/>
    </row>
    <row r="516">
      <c r="A516" s="158"/>
      <c r="B516" s="160"/>
      <c r="C516" s="103"/>
      <c r="D516" s="158"/>
      <c r="E516" s="103"/>
      <c r="F516" s="103"/>
      <c r="G516" s="103"/>
      <c r="H516" s="103"/>
      <c r="I516" s="103"/>
      <c r="J516" s="103"/>
      <c r="K516" s="160"/>
      <c r="L516" s="103"/>
      <c r="M516" s="158"/>
      <c r="N516" s="103"/>
      <c r="O516" s="103"/>
      <c r="P516" s="103"/>
      <c r="AC516" s="200"/>
    </row>
    <row r="517">
      <c r="A517" s="158"/>
      <c r="B517" s="160"/>
      <c r="C517" s="103"/>
      <c r="D517" s="158"/>
      <c r="E517" s="103"/>
      <c r="F517" s="103"/>
      <c r="G517" s="103"/>
      <c r="H517" s="103"/>
      <c r="I517" s="103"/>
      <c r="J517" s="103"/>
      <c r="K517" s="160"/>
      <c r="L517" s="103"/>
      <c r="M517" s="158"/>
      <c r="N517" s="103"/>
      <c r="O517" s="103"/>
      <c r="P517" s="103"/>
      <c r="AC517" s="200"/>
    </row>
    <row r="518">
      <c r="A518" s="158"/>
      <c r="B518" s="160"/>
      <c r="C518" s="103"/>
      <c r="D518" s="158"/>
      <c r="E518" s="103"/>
      <c r="F518" s="103"/>
      <c r="G518" s="103"/>
      <c r="H518" s="103"/>
      <c r="I518" s="103"/>
      <c r="J518" s="103"/>
      <c r="K518" s="160"/>
      <c r="L518" s="103"/>
      <c r="M518" s="158"/>
      <c r="N518" s="103"/>
      <c r="O518" s="103"/>
      <c r="P518" s="103"/>
      <c r="AC518" s="200"/>
    </row>
    <row r="519">
      <c r="A519" s="158"/>
      <c r="B519" s="160"/>
      <c r="C519" s="103"/>
      <c r="D519" s="158"/>
      <c r="E519" s="103"/>
      <c r="F519" s="103"/>
      <c r="G519" s="103"/>
      <c r="H519" s="103"/>
      <c r="I519" s="103"/>
      <c r="J519" s="103"/>
      <c r="K519" s="160"/>
      <c r="L519" s="103"/>
      <c r="M519" s="158"/>
      <c r="N519" s="103"/>
      <c r="O519" s="103"/>
      <c r="P519" s="103"/>
      <c r="AC519" s="200"/>
    </row>
    <row r="520">
      <c r="A520" s="158"/>
      <c r="B520" s="160"/>
      <c r="C520" s="103"/>
      <c r="D520" s="158"/>
      <c r="E520" s="103"/>
      <c r="F520" s="103"/>
      <c r="G520" s="103"/>
      <c r="H520" s="103"/>
      <c r="I520" s="103"/>
      <c r="J520" s="103"/>
      <c r="K520" s="160"/>
      <c r="L520" s="103"/>
      <c r="M520" s="158"/>
      <c r="N520" s="103"/>
      <c r="O520" s="103"/>
      <c r="P520" s="103"/>
      <c r="AC520" s="200"/>
    </row>
    <row r="521">
      <c r="A521" s="158"/>
      <c r="B521" s="160"/>
      <c r="C521" s="103"/>
      <c r="D521" s="158"/>
      <c r="E521" s="103"/>
      <c r="F521" s="103"/>
      <c r="G521" s="103"/>
      <c r="H521" s="103"/>
      <c r="I521" s="103"/>
      <c r="J521" s="103"/>
      <c r="K521" s="160"/>
      <c r="L521" s="103"/>
      <c r="M521" s="158"/>
      <c r="N521" s="103"/>
      <c r="O521" s="103"/>
      <c r="P521" s="103"/>
      <c r="AC521" s="200"/>
    </row>
    <row r="522">
      <c r="A522" s="158"/>
      <c r="B522" s="160"/>
      <c r="C522" s="103"/>
      <c r="D522" s="158"/>
      <c r="E522" s="103"/>
      <c r="F522" s="103"/>
      <c r="G522" s="103"/>
      <c r="H522" s="103"/>
      <c r="I522" s="103"/>
      <c r="J522" s="103"/>
      <c r="K522" s="160"/>
      <c r="L522" s="103"/>
      <c r="M522" s="158"/>
      <c r="N522" s="103"/>
      <c r="O522" s="103"/>
      <c r="P522" s="103"/>
      <c r="AC522" s="200"/>
    </row>
    <row r="523">
      <c r="A523" s="158"/>
      <c r="B523" s="160"/>
      <c r="C523" s="103"/>
      <c r="D523" s="158"/>
      <c r="E523" s="103"/>
      <c r="F523" s="103"/>
      <c r="G523" s="103"/>
      <c r="H523" s="103"/>
      <c r="I523" s="103"/>
      <c r="J523" s="103"/>
      <c r="K523" s="160"/>
      <c r="L523" s="103"/>
      <c r="M523" s="158"/>
      <c r="N523" s="103"/>
      <c r="O523" s="103"/>
      <c r="P523" s="103"/>
      <c r="AC523" s="200"/>
    </row>
    <row r="524">
      <c r="A524" s="158"/>
      <c r="B524" s="160"/>
      <c r="C524" s="103"/>
      <c r="D524" s="158"/>
      <c r="E524" s="103"/>
      <c r="F524" s="103"/>
      <c r="G524" s="103"/>
      <c r="H524" s="103"/>
      <c r="I524" s="103"/>
      <c r="J524" s="103"/>
      <c r="K524" s="160"/>
      <c r="L524" s="103"/>
      <c r="M524" s="158"/>
      <c r="N524" s="103"/>
      <c r="O524" s="103"/>
      <c r="P524" s="103"/>
      <c r="AC524" s="200"/>
    </row>
    <row r="525">
      <c r="A525" s="158"/>
      <c r="B525" s="160"/>
      <c r="C525" s="103"/>
      <c r="D525" s="158"/>
      <c r="E525" s="103"/>
      <c r="F525" s="103"/>
      <c r="G525" s="103"/>
      <c r="H525" s="103"/>
      <c r="I525" s="103"/>
      <c r="J525" s="103"/>
      <c r="K525" s="160"/>
      <c r="L525" s="103"/>
      <c r="M525" s="158"/>
      <c r="N525" s="103"/>
      <c r="O525" s="103"/>
      <c r="P525" s="103"/>
      <c r="AC525" s="200"/>
    </row>
    <row r="526">
      <c r="A526" s="158"/>
      <c r="B526" s="160"/>
      <c r="C526" s="103"/>
      <c r="D526" s="158"/>
      <c r="E526" s="103"/>
      <c r="F526" s="103"/>
      <c r="G526" s="103"/>
      <c r="H526" s="103"/>
      <c r="I526" s="103"/>
      <c r="J526" s="103"/>
      <c r="K526" s="160"/>
      <c r="L526" s="103"/>
      <c r="M526" s="158"/>
      <c r="N526" s="103"/>
      <c r="O526" s="103"/>
      <c r="P526" s="103"/>
      <c r="AC526" s="200"/>
    </row>
    <row r="527">
      <c r="A527" s="158"/>
      <c r="B527" s="160"/>
      <c r="C527" s="103"/>
      <c r="D527" s="158"/>
      <c r="E527" s="103"/>
      <c r="F527" s="103"/>
      <c r="G527" s="103"/>
      <c r="H527" s="103"/>
      <c r="I527" s="103"/>
      <c r="J527" s="103"/>
      <c r="K527" s="160"/>
      <c r="L527" s="103"/>
      <c r="M527" s="158"/>
      <c r="N527" s="103"/>
      <c r="O527" s="103"/>
      <c r="P527" s="103"/>
      <c r="AC527" s="200"/>
    </row>
    <row r="528">
      <c r="A528" s="158"/>
      <c r="B528" s="160"/>
      <c r="C528" s="103"/>
      <c r="D528" s="158"/>
      <c r="E528" s="103"/>
      <c r="F528" s="103"/>
      <c r="G528" s="103"/>
      <c r="H528" s="103"/>
      <c r="I528" s="103"/>
      <c r="J528" s="103"/>
      <c r="K528" s="160"/>
      <c r="L528" s="103"/>
      <c r="M528" s="158"/>
      <c r="N528" s="103"/>
      <c r="O528" s="103"/>
      <c r="P528" s="103"/>
      <c r="AC528" s="200"/>
    </row>
    <row r="529">
      <c r="A529" s="158"/>
      <c r="B529" s="160"/>
      <c r="C529" s="103"/>
      <c r="D529" s="158"/>
      <c r="E529" s="103"/>
      <c r="F529" s="103"/>
      <c r="G529" s="103"/>
      <c r="H529" s="103"/>
      <c r="I529" s="103"/>
      <c r="J529" s="103"/>
      <c r="K529" s="160"/>
      <c r="L529" s="103"/>
      <c r="M529" s="158"/>
      <c r="N529" s="103"/>
      <c r="O529" s="103"/>
      <c r="P529" s="103"/>
      <c r="AC529" s="200"/>
    </row>
    <row r="530">
      <c r="A530" s="158"/>
      <c r="B530" s="160"/>
      <c r="C530" s="103"/>
      <c r="D530" s="158"/>
      <c r="E530" s="103"/>
      <c r="F530" s="103"/>
      <c r="G530" s="103"/>
      <c r="H530" s="103"/>
      <c r="I530" s="103"/>
      <c r="J530" s="103"/>
      <c r="K530" s="160"/>
      <c r="L530" s="103"/>
      <c r="M530" s="158"/>
      <c r="N530" s="103"/>
      <c r="O530" s="103"/>
      <c r="P530" s="103"/>
      <c r="AC530" s="200"/>
    </row>
    <row r="531">
      <c r="A531" s="158"/>
      <c r="B531" s="160"/>
      <c r="C531" s="103"/>
      <c r="D531" s="158"/>
      <c r="E531" s="103"/>
      <c r="F531" s="103"/>
      <c r="G531" s="103"/>
      <c r="H531" s="103"/>
      <c r="I531" s="103"/>
      <c r="J531" s="103"/>
      <c r="K531" s="160"/>
      <c r="L531" s="103"/>
      <c r="M531" s="158"/>
      <c r="N531" s="103"/>
      <c r="O531" s="103"/>
      <c r="P531" s="103"/>
      <c r="AC531" s="200"/>
    </row>
    <row r="532">
      <c r="A532" s="158"/>
      <c r="B532" s="160"/>
      <c r="C532" s="103"/>
      <c r="D532" s="158"/>
      <c r="E532" s="103"/>
      <c r="F532" s="103"/>
      <c r="G532" s="103"/>
      <c r="H532" s="103"/>
      <c r="I532" s="103"/>
      <c r="J532" s="103"/>
      <c r="K532" s="160"/>
      <c r="L532" s="103"/>
      <c r="M532" s="158"/>
      <c r="N532" s="103"/>
      <c r="O532" s="103"/>
      <c r="P532" s="103"/>
      <c r="AC532" s="200"/>
    </row>
    <row r="533">
      <c r="A533" s="158"/>
      <c r="B533" s="160"/>
      <c r="C533" s="103"/>
      <c r="D533" s="158"/>
      <c r="E533" s="103"/>
      <c r="F533" s="103"/>
      <c r="G533" s="103"/>
      <c r="H533" s="103"/>
      <c r="I533" s="103"/>
      <c r="J533" s="103"/>
      <c r="K533" s="160"/>
      <c r="L533" s="103"/>
      <c r="M533" s="158"/>
      <c r="N533" s="103"/>
      <c r="O533" s="103"/>
      <c r="P533" s="103"/>
      <c r="AC533" s="200"/>
    </row>
    <row r="534">
      <c r="A534" s="158"/>
      <c r="B534" s="160"/>
      <c r="C534" s="103"/>
      <c r="D534" s="158"/>
      <c r="E534" s="103"/>
      <c r="F534" s="103"/>
      <c r="G534" s="103"/>
      <c r="H534" s="103"/>
      <c r="I534" s="103"/>
      <c r="J534" s="103"/>
      <c r="K534" s="160"/>
      <c r="L534" s="103"/>
      <c r="M534" s="158"/>
      <c r="N534" s="103"/>
      <c r="O534" s="103"/>
      <c r="P534" s="103"/>
      <c r="AC534" s="200"/>
    </row>
    <row r="535">
      <c r="A535" s="158"/>
      <c r="B535" s="160"/>
      <c r="C535" s="103"/>
      <c r="D535" s="158"/>
      <c r="E535" s="103"/>
      <c r="F535" s="103"/>
      <c r="G535" s="103"/>
      <c r="H535" s="103"/>
      <c r="I535" s="103"/>
      <c r="J535" s="103"/>
      <c r="K535" s="160"/>
      <c r="L535" s="103"/>
      <c r="M535" s="158"/>
      <c r="N535" s="103"/>
      <c r="O535" s="103"/>
      <c r="P535" s="103"/>
      <c r="AC535" s="200"/>
    </row>
    <row r="536">
      <c r="A536" s="158"/>
      <c r="B536" s="160"/>
      <c r="C536" s="103"/>
      <c r="D536" s="158"/>
      <c r="E536" s="103"/>
      <c r="F536" s="103"/>
      <c r="G536" s="103"/>
      <c r="H536" s="103"/>
      <c r="I536" s="103"/>
      <c r="J536" s="103"/>
      <c r="K536" s="160"/>
      <c r="L536" s="103"/>
      <c r="M536" s="158"/>
      <c r="N536" s="103"/>
      <c r="O536" s="103"/>
      <c r="P536" s="103"/>
      <c r="AC536" s="200"/>
    </row>
    <row r="537">
      <c r="A537" s="158"/>
      <c r="B537" s="160"/>
      <c r="C537" s="103"/>
      <c r="D537" s="158"/>
      <c r="E537" s="103"/>
      <c r="F537" s="103"/>
      <c r="G537" s="103"/>
      <c r="H537" s="103"/>
      <c r="I537" s="103"/>
      <c r="J537" s="103"/>
      <c r="K537" s="160"/>
      <c r="L537" s="103"/>
      <c r="M537" s="158"/>
      <c r="N537" s="103"/>
      <c r="O537" s="103"/>
      <c r="P537" s="103"/>
      <c r="AC537" s="200"/>
    </row>
    <row r="538">
      <c r="A538" s="158"/>
      <c r="B538" s="160"/>
      <c r="C538" s="103"/>
      <c r="D538" s="158"/>
      <c r="E538" s="103"/>
      <c r="F538" s="103"/>
      <c r="G538" s="103"/>
      <c r="H538" s="103"/>
      <c r="I538" s="103"/>
      <c r="J538" s="103"/>
      <c r="K538" s="160"/>
      <c r="L538" s="103"/>
      <c r="M538" s="158"/>
      <c r="N538" s="103"/>
      <c r="O538" s="103"/>
      <c r="P538" s="103"/>
      <c r="AC538" s="200"/>
    </row>
    <row r="539">
      <c r="A539" s="158"/>
      <c r="B539" s="160"/>
      <c r="C539" s="103"/>
      <c r="D539" s="158"/>
      <c r="E539" s="103"/>
      <c r="F539" s="103"/>
      <c r="G539" s="103"/>
      <c r="H539" s="103"/>
      <c r="I539" s="103"/>
      <c r="J539" s="103"/>
      <c r="K539" s="160"/>
      <c r="L539" s="103"/>
      <c r="M539" s="158"/>
      <c r="N539" s="103"/>
      <c r="O539" s="103"/>
      <c r="P539" s="103"/>
      <c r="AC539" s="200"/>
    </row>
    <row r="540">
      <c r="A540" s="158"/>
      <c r="B540" s="160"/>
      <c r="C540" s="103"/>
      <c r="D540" s="158"/>
      <c r="E540" s="103"/>
      <c r="F540" s="103"/>
      <c r="G540" s="103"/>
      <c r="H540" s="103"/>
      <c r="I540" s="103"/>
      <c r="J540" s="103"/>
      <c r="K540" s="160"/>
      <c r="L540" s="103"/>
      <c r="M540" s="158"/>
      <c r="N540" s="103"/>
      <c r="O540" s="103"/>
      <c r="P540" s="103"/>
      <c r="AC540" s="200"/>
    </row>
    <row r="541">
      <c r="A541" s="158"/>
      <c r="B541" s="160"/>
      <c r="C541" s="103"/>
      <c r="D541" s="158"/>
      <c r="E541" s="103"/>
      <c r="F541" s="103"/>
      <c r="G541" s="103"/>
      <c r="H541" s="103"/>
      <c r="I541" s="103"/>
      <c r="J541" s="103"/>
      <c r="K541" s="160"/>
      <c r="L541" s="103"/>
      <c r="M541" s="158"/>
      <c r="N541" s="103"/>
      <c r="O541" s="103"/>
      <c r="P541" s="103"/>
      <c r="AC541" s="200"/>
    </row>
    <row r="542">
      <c r="A542" s="158"/>
      <c r="B542" s="160"/>
      <c r="C542" s="103"/>
      <c r="D542" s="158"/>
      <c r="E542" s="103"/>
      <c r="F542" s="103"/>
      <c r="G542" s="103"/>
      <c r="H542" s="103"/>
      <c r="I542" s="103"/>
      <c r="J542" s="103"/>
      <c r="K542" s="160"/>
      <c r="L542" s="103"/>
      <c r="M542" s="158"/>
      <c r="N542" s="103"/>
      <c r="O542" s="103"/>
      <c r="P542" s="103"/>
      <c r="AC542" s="200"/>
    </row>
    <row r="543">
      <c r="A543" s="158"/>
      <c r="B543" s="160"/>
      <c r="C543" s="103"/>
      <c r="D543" s="158"/>
      <c r="E543" s="103"/>
      <c r="F543" s="103"/>
      <c r="G543" s="103"/>
      <c r="H543" s="103"/>
      <c r="I543" s="103"/>
      <c r="J543" s="103"/>
      <c r="K543" s="160"/>
      <c r="L543" s="103"/>
      <c r="M543" s="158"/>
      <c r="N543" s="103"/>
      <c r="O543" s="103"/>
      <c r="P543" s="103"/>
      <c r="AC543" s="200"/>
    </row>
    <row r="544">
      <c r="A544" s="158"/>
      <c r="B544" s="160"/>
      <c r="C544" s="103"/>
      <c r="D544" s="158"/>
      <c r="E544" s="103"/>
      <c r="F544" s="103"/>
      <c r="G544" s="103"/>
      <c r="H544" s="103"/>
      <c r="I544" s="103"/>
      <c r="J544" s="103"/>
      <c r="K544" s="160"/>
      <c r="L544" s="103"/>
      <c r="M544" s="158"/>
      <c r="N544" s="103"/>
      <c r="O544" s="103"/>
      <c r="P544" s="103"/>
      <c r="AC544" s="200"/>
    </row>
    <row r="545">
      <c r="A545" s="158"/>
      <c r="B545" s="160"/>
      <c r="C545" s="103"/>
      <c r="D545" s="158"/>
      <c r="E545" s="103"/>
      <c r="F545" s="103"/>
      <c r="G545" s="103"/>
      <c r="H545" s="103"/>
      <c r="I545" s="103"/>
      <c r="J545" s="103"/>
      <c r="K545" s="160"/>
      <c r="L545" s="103"/>
      <c r="M545" s="158"/>
      <c r="N545" s="103"/>
      <c r="O545" s="103"/>
      <c r="P545" s="103"/>
      <c r="AC545" s="200"/>
    </row>
    <row r="546">
      <c r="A546" s="158"/>
      <c r="B546" s="160"/>
      <c r="C546" s="103"/>
      <c r="D546" s="158"/>
      <c r="E546" s="103"/>
      <c r="F546" s="103"/>
      <c r="G546" s="103"/>
      <c r="H546" s="103"/>
      <c r="I546" s="103"/>
      <c r="J546" s="103"/>
      <c r="K546" s="160"/>
      <c r="L546" s="103"/>
      <c r="M546" s="158"/>
      <c r="N546" s="103"/>
      <c r="O546" s="103"/>
      <c r="P546" s="103"/>
      <c r="AC546" s="200"/>
    </row>
    <row r="547">
      <c r="A547" s="158"/>
      <c r="B547" s="160"/>
      <c r="C547" s="103"/>
      <c r="D547" s="158"/>
      <c r="E547" s="103"/>
      <c r="F547" s="103"/>
      <c r="G547" s="103"/>
      <c r="H547" s="103"/>
      <c r="I547" s="103"/>
      <c r="J547" s="103"/>
      <c r="K547" s="160"/>
      <c r="L547" s="103"/>
      <c r="M547" s="158"/>
      <c r="N547" s="103"/>
      <c r="O547" s="103"/>
      <c r="P547" s="103"/>
      <c r="AC547" s="200"/>
    </row>
    <row r="548">
      <c r="A548" s="158"/>
      <c r="B548" s="160"/>
      <c r="C548" s="103"/>
      <c r="D548" s="158"/>
      <c r="E548" s="103"/>
      <c r="F548" s="103"/>
      <c r="G548" s="103"/>
      <c r="H548" s="103"/>
      <c r="I548" s="103"/>
      <c r="J548" s="103"/>
      <c r="K548" s="160"/>
      <c r="L548" s="103"/>
      <c r="M548" s="158"/>
      <c r="N548" s="103"/>
      <c r="O548" s="103"/>
      <c r="P548" s="103"/>
      <c r="AC548" s="200"/>
    </row>
    <row r="549">
      <c r="A549" s="158"/>
      <c r="B549" s="160"/>
      <c r="C549" s="103"/>
      <c r="D549" s="158"/>
      <c r="E549" s="103"/>
      <c r="F549" s="103"/>
      <c r="G549" s="103"/>
      <c r="H549" s="103"/>
      <c r="I549" s="103"/>
      <c r="J549" s="103"/>
      <c r="K549" s="160"/>
      <c r="L549" s="103"/>
      <c r="M549" s="158"/>
      <c r="N549" s="103"/>
      <c r="O549" s="103"/>
      <c r="P549" s="103"/>
      <c r="AC549" s="200"/>
    </row>
    <row r="550">
      <c r="A550" s="158"/>
      <c r="B550" s="160"/>
      <c r="C550" s="103"/>
      <c r="D550" s="158"/>
      <c r="E550" s="103"/>
      <c r="F550" s="103"/>
      <c r="G550" s="103"/>
      <c r="H550" s="103"/>
      <c r="I550" s="103"/>
      <c r="J550" s="103"/>
      <c r="K550" s="160"/>
      <c r="L550" s="103"/>
      <c r="M550" s="158"/>
      <c r="N550" s="103"/>
      <c r="O550" s="103"/>
      <c r="P550" s="103"/>
      <c r="AC550" s="200"/>
    </row>
    <row r="551">
      <c r="A551" s="158"/>
      <c r="B551" s="160"/>
      <c r="C551" s="103"/>
      <c r="D551" s="158"/>
      <c r="E551" s="103"/>
      <c r="F551" s="103"/>
      <c r="G551" s="103"/>
      <c r="H551" s="103"/>
      <c r="I551" s="103"/>
      <c r="J551" s="103"/>
      <c r="K551" s="160"/>
      <c r="L551" s="103"/>
      <c r="M551" s="158"/>
      <c r="N551" s="103"/>
      <c r="O551" s="103"/>
      <c r="P551" s="103"/>
      <c r="AC551" s="200"/>
    </row>
    <row r="552">
      <c r="A552" s="158"/>
      <c r="B552" s="160"/>
      <c r="C552" s="103"/>
      <c r="D552" s="158"/>
      <c r="E552" s="103"/>
      <c r="F552" s="103"/>
      <c r="G552" s="103"/>
      <c r="H552" s="103"/>
      <c r="I552" s="103"/>
      <c r="J552" s="103"/>
      <c r="K552" s="160"/>
      <c r="L552" s="103"/>
      <c r="M552" s="158"/>
      <c r="N552" s="103"/>
      <c r="O552" s="103"/>
      <c r="P552" s="103"/>
      <c r="AC552" s="200"/>
    </row>
    <row r="553">
      <c r="A553" s="158"/>
      <c r="B553" s="160"/>
      <c r="C553" s="103"/>
      <c r="D553" s="158"/>
      <c r="E553" s="103"/>
      <c r="F553" s="103"/>
      <c r="G553" s="103"/>
      <c r="H553" s="103"/>
      <c r="I553" s="103"/>
      <c r="J553" s="103"/>
      <c r="K553" s="160"/>
      <c r="L553" s="103"/>
      <c r="M553" s="158"/>
      <c r="N553" s="103"/>
      <c r="O553" s="103"/>
      <c r="P553" s="103"/>
      <c r="AC553" s="200"/>
    </row>
    <row r="554">
      <c r="A554" s="158"/>
      <c r="B554" s="160"/>
      <c r="C554" s="103"/>
      <c r="D554" s="158"/>
      <c r="E554" s="103"/>
      <c r="F554" s="103"/>
      <c r="G554" s="103"/>
      <c r="H554" s="103"/>
      <c r="I554" s="103"/>
      <c r="J554" s="103"/>
      <c r="K554" s="160"/>
      <c r="L554" s="103"/>
      <c r="M554" s="158"/>
      <c r="N554" s="103"/>
      <c r="O554" s="103"/>
      <c r="P554" s="103"/>
      <c r="AC554" s="200"/>
    </row>
    <row r="555">
      <c r="A555" s="158"/>
      <c r="B555" s="160"/>
      <c r="C555" s="103"/>
      <c r="D555" s="158"/>
      <c r="E555" s="103"/>
      <c r="F555" s="103"/>
      <c r="G555" s="103"/>
      <c r="H555" s="103"/>
      <c r="I555" s="103"/>
      <c r="J555" s="103"/>
      <c r="K555" s="160"/>
      <c r="L555" s="103"/>
      <c r="M555" s="158"/>
      <c r="N555" s="103"/>
      <c r="O555" s="103"/>
      <c r="P555" s="103"/>
      <c r="AC555" s="200"/>
    </row>
    <row r="556">
      <c r="A556" s="158"/>
      <c r="B556" s="160"/>
      <c r="C556" s="103"/>
      <c r="D556" s="158"/>
      <c r="E556" s="103"/>
      <c r="F556" s="103"/>
      <c r="G556" s="103"/>
      <c r="H556" s="103"/>
      <c r="I556" s="103"/>
      <c r="J556" s="103"/>
      <c r="K556" s="160"/>
      <c r="L556" s="103"/>
      <c r="M556" s="158"/>
      <c r="N556" s="103"/>
      <c r="O556" s="103"/>
      <c r="P556" s="103"/>
      <c r="AC556" s="200"/>
    </row>
    <row r="557">
      <c r="A557" s="158"/>
      <c r="B557" s="160"/>
      <c r="C557" s="103"/>
      <c r="D557" s="158"/>
      <c r="E557" s="103"/>
      <c r="F557" s="103"/>
      <c r="G557" s="103"/>
      <c r="H557" s="103"/>
      <c r="I557" s="103"/>
      <c r="J557" s="103"/>
      <c r="K557" s="160"/>
      <c r="L557" s="103"/>
      <c r="M557" s="158"/>
      <c r="N557" s="103"/>
      <c r="O557" s="103"/>
      <c r="P557" s="103"/>
      <c r="AC557" s="200"/>
    </row>
    <row r="558">
      <c r="A558" s="158"/>
      <c r="B558" s="160"/>
      <c r="C558" s="103"/>
      <c r="D558" s="158"/>
      <c r="E558" s="103"/>
      <c r="F558" s="103"/>
      <c r="G558" s="103"/>
      <c r="H558" s="103"/>
      <c r="I558" s="103"/>
      <c r="J558" s="103"/>
      <c r="K558" s="160"/>
      <c r="L558" s="103"/>
      <c r="M558" s="158"/>
      <c r="N558" s="103"/>
      <c r="O558" s="103"/>
      <c r="P558" s="103"/>
      <c r="AC558" s="200"/>
    </row>
    <row r="559">
      <c r="A559" s="158"/>
      <c r="B559" s="160"/>
      <c r="C559" s="103"/>
      <c r="D559" s="158"/>
      <c r="E559" s="103"/>
      <c r="F559" s="103"/>
      <c r="G559" s="103"/>
      <c r="H559" s="103"/>
      <c r="I559" s="103"/>
      <c r="J559" s="103"/>
      <c r="K559" s="160"/>
      <c r="L559" s="103"/>
      <c r="M559" s="158"/>
      <c r="N559" s="103"/>
      <c r="O559" s="103"/>
      <c r="P559" s="103"/>
      <c r="AC559" s="200"/>
    </row>
    <row r="560">
      <c r="A560" s="158"/>
      <c r="B560" s="160"/>
      <c r="C560" s="103"/>
      <c r="D560" s="158"/>
      <c r="E560" s="103"/>
      <c r="F560" s="103"/>
      <c r="G560" s="103"/>
      <c r="H560" s="103"/>
      <c r="I560" s="103"/>
      <c r="J560" s="103"/>
      <c r="K560" s="160"/>
      <c r="L560" s="103"/>
      <c r="M560" s="158"/>
      <c r="N560" s="103"/>
      <c r="O560" s="103"/>
      <c r="P560" s="103"/>
      <c r="AC560" s="200"/>
    </row>
    <row r="561">
      <c r="A561" s="158"/>
      <c r="B561" s="160"/>
      <c r="C561" s="103"/>
      <c r="D561" s="158"/>
      <c r="E561" s="103"/>
      <c r="F561" s="103"/>
      <c r="G561" s="103"/>
      <c r="H561" s="103"/>
      <c r="I561" s="103"/>
      <c r="J561" s="103"/>
      <c r="K561" s="160"/>
      <c r="L561" s="103"/>
      <c r="M561" s="158"/>
      <c r="N561" s="103"/>
      <c r="O561" s="103"/>
      <c r="P561" s="103"/>
      <c r="AC561" s="200"/>
    </row>
    <row r="562">
      <c r="A562" s="158"/>
      <c r="B562" s="160"/>
      <c r="C562" s="103"/>
      <c r="D562" s="158"/>
      <c r="E562" s="103"/>
      <c r="F562" s="103"/>
      <c r="G562" s="103"/>
      <c r="H562" s="103"/>
      <c r="I562" s="103"/>
      <c r="J562" s="103"/>
      <c r="K562" s="160"/>
      <c r="L562" s="103"/>
      <c r="M562" s="158"/>
      <c r="N562" s="103"/>
      <c r="O562" s="103"/>
      <c r="P562" s="103"/>
      <c r="AC562" s="200"/>
    </row>
    <row r="563">
      <c r="A563" s="158"/>
      <c r="B563" s="160"/>
      <c r="C563" s="103"/>
      <c r="D563" s="158"/>
      <c r="E563" s="103"/>
      <c r="F563" s="103"/>
      <c r="G563" s="103"/>
      <c r="H563" s="103"/>
      <c r="I563" s="103"/>
      <c r="J563" s="103"/>
      <c r="K563" s="160"/>
      <c r="L563" s="103"/>
      <c r="M563" s="158"/>
      <c r="N563" s="103"/>
      <c r="O563" s="103"/>
      <c r="P563" s="103"/>
      <c r="AC563" s="200"/>
    </row>
    <row r="564">
      <c r="A564" s="158"/>
      <c r="B564" s="160"/>
      <c r="C564" s="103"/>
      <c r="D564" s="158"/>
      <c r="E564" s="103"/>
      <c r="F564" s="103"/>
      <c r="G564" s="103"/>
      <c r="H564" s="103"/>
      <c r="I564" s="103"/>
      <c r="J564" s="103"/>
      <c r="K564" s="160"/>
      <c r="L564" s="103"/>
      <c r="M564" s="158"/>
      <c r="N564" s="103"/>
      <c r="O564" s="103"/>
      <c r="P564" s="103"/>
      <c r="AC564" s="200"/>
    </row>
    <row r="565">
      <c r="A565" s="158"/>
      <c r="B565" s="160"/>
      <c r="C565" s="103"/>
      <c r="D565" s="158"/>
      <c r="E565" s="103"/>
      <c r="F565" s="103"/>
      <c r="G565" s="103"/>
      <c r="H565" s="103"/>
      <c r="I565" s="103"/>
      <c r="J565" s="103"/>
      <c r="K565" s="160"/>
      <c r="L565" s="103"/>
      <c r="M565" s="158"/>
      <c r="N565" s="103"/>
      <c r="O565" s="103"/>
      <c r="P565" s="103"/>
      <c r="AC565" s="200"/>
    </row>
    <row r="566">
      <c r="A566" s="158"/>
      <c r="B566" s="160"/>
      <c r="C566" s="103"/>
      <c r="D566" s="158"/>
      <c r="E566" s="103"/>
      <c r="F566" s="103"/>
      <c r="G566" s="103"/>
      <c r="H566" s="103"/>
      <c r="I566" s="103"/>
      <c r="J566" s="103"/>
      <c r="K566" s="160"/>
      <c r="L566" s="103"/>
      <c r="M566" s="158"/>
      <c r="N566" s="103"/>
      <c r="O566" s="103"/>
      <c r="P566" s="103"/>
      <c r="AC566" s="200"/>
    </row>
    <row r="567">
      <c r="A567" s="158"/>
      <c r="B567" s="160"/>
      <c r="C567" s="103"/>
      <c r="D567" s="158"/>
      <c r="E567" s="103"/>
      <c r="F567" s="103"/>
      <c r="G567" s="103"/>
      <c r="H567" s="103"/>
      <c r="I567" s="103"/>
      <c r="J567" s="103"/>
      <c r="K567" s="160"/>
      <c r="L567" s="103"/>
      <c r="M567" s="158"/>
      <c r="N567" s="103"/>
      <c r="O567" s="103"/>
      <c r="P567" s="103"/>
      <c r="AC567" s="200"/>
    </row>
    <row r="568">
      <c r="A568" s="158"/>
      <c r="B568" s="160"/>
      <c r="C568" s="103"/>
      <c r="D568" s="158"/>
      <c r="E568" s="103"/>
      <c r="F568" s="103"/>
      <c r="G568" s="103"/>
      <c r="H568" s="103"/>
      <c r="I568" s="103"/>
      <c r="J568" s="103"/>
      <c r="K568" s="160"/>
      <c r="L568" s="103"/>
      <c r="M568" s="158"/>
      <c r="N568" s="103"/>
      <c r="O568" s="103"/>
      <c r="P568" s="103"/>
      <c r="AC568" s="200"/>
    </row>
    <row r="569">
      <c r="A569" s="158"/>
      <c r="B569" s="160"/>
      <c r="C569" s="103"/>
      <c r="D569" s="158"/>
      <c r="E569" s="103"/>
      <c r="F569" s="103"/>
      <c r="G569" s="103"/>
      <c r="H569" s="103"/>
      <c r="I569" s="103"/>
      <c r="J569" s="103"/>
      <c r="K569" s="160"/>
      <c r="L569" s="103"/>
      <c r="M569" s="158"/>
      <c r="N569" s="103"/>
      <c r="O569" s="103"/>
      <c r="P569" s="103"/>
      <c r="AC569" s="200"/>
    </row>
    <row r="570">
      <c r="A570" s="158"/>
      <c r="B570" s="160"/>
      <c r="C570" s="103"/>
      <c r="D570" s="158"/>
      <c r="E570" s="103"/>
      <c r="F570" s="103"/>
      <c r="G570" s="103"/>
      <c r="H570" s="103"/>
      <c r="I570" s="103"/>
      <c r="J570" s="103"/>
      <c r="K570" s="160"/>
      <c r="L570" s="103"/>
      <c r="M570" s="158"/>
      <c r="N570" s="103"/>
      <c r="O570" s="103"/>
      <c r="P570" s="103"/>
      <c r="AC570" s="200"/>
    </row>
    <row r="571">
      <c r="A571" s="158"/>
      <c r="B571" s="160"/>
      <c r="C571" s="103"/>
      <c r="D571" s="158"/>
      <c r="E571" s="103"/>
      <c r="F571" s="103"/>
      <c r="G571" s="103"/>
      <c r="H571" s="103"/>
      <c r="I571" s="103"/>
      <c r="J571" s="103"/>
      <c r="K571" s="160"/>
      <c r="L571" s="103"/>
      <c r="M571" s="158"/>
      <c r="N571" s="103"/>
      <c r="O571" s="103"/>
      <c r="P571" s="103"/>
      <c r="AC571" s="200"/>
    </row>
    <row r="572">
      <c r="A572" s="158"/>
      <c r="B572" s="160"/>
      <c r="C572" s="103"/>
      <c r="D572" s="158"/>
      <c r="E572" s="103"/>
      <c r="F572" s="103"/>
      <c r="G572" s="103"/>
      <c r="H572" s="103"/>
      <c r="I572" s="103"/>
      <c r="J572" s="103"/>
      <c r="K572" s="160"/>
      <c r="L572" s="103"/>
      <c r="M572" s="158"/>
      <c r="N572" s="103"/>
      <c r="O572" s="103"/>
      <c r="P572" s="103"/>
      <c r="AC572" s="200"/>
    </row>
    <row r="573">
      <c r="A573" s="158"/>
      <c r="B573" s="160"/>
      <c r="C573" s="103"/>
      <c r="D573" s="158"/>
      <c r="E573" s="103"/>
      <c r="F573" s="103"/>
      <c r="G573" s="103"/>
      <c r="H573" s="103"/>
      <c r="I573" s="103"/>
      <c r="J573" s="103"/>
      <c r="K573" s="160"/>
      <c r="L573" s="103"/>
      <c r="M573" s="158"/>
      <c r="N573" s="103"/>
      <c r="O573" s="103"/>
      <c r="P573" s="103"/>
      <c r="AC573" s="200"/>
    </row>
    <row r="574">
      <c r="A574" s="158"/>
      <c r="B574" s="160"/>
      <c r="C574" s="103"/>
      <c r="D574" s="158"/>
      <c r="E574" s="103"/>
      <c r="F574" s="103"/>
      <c r="G574" s="103"/>
      <c r="H574" s="103"/>
      <c r="I574" s="103"/>
      <c r="J574" s="103"/>
      <c r="K574" s="160"/>
      <c r="L574" s="103"/>
      <c r="M574" s="158"/>
      <c r="N574" s="103"/>
      <c r="O574" s="103"/>
      <c r="P574" s="103"/>
      <c r="AC574" s="200"/>
    </row>
    <row r="575">
      <c r="A575" s="158"/>
      <c r="B575" s="160"/>
      <c r="C575" s="103"/>
      <c r="D575" s="158"/>
      <c r="E575" s="103"/>
      <c r="F575" s="103"/>
      <c r="G575" s="103"/>
      <c r="H575" s="103"/>
      <c r="I575" s="103"/>
      <c r="J575" s="103"/>
      <c r="K575" s="160"/>
      <c r="L575" s="103"/>
      <c r="M575" s="158"/>
      <c r="N575" s="103"/>
      <c r="O575" s="103"/>
      <c r="P575" s="103"/>
      <c r="AC575" s="200"/>
    </row>
    <row r="576">
      <c r="A576" s="158"/>
      <c r="B576" s="160"/>
      <c r="C576" s="103"/>
      <c r="D576" s="158"/>
      <c r="E576" s="103"/>
      <c r="F576" s="103"/>
      <c r="G576" s="103"/>
      <c r="H576" s="103"/>
      <c r="I576" s="103"/>
      <c r="J576" s="103"/>
      <c r="K576" s="160"/>
      <c r="L576" s="103"/>
      <c r="M576" s="158"/>
      <c r="N576" s="103"/>
      <c r="O576" s="103"/>
      <c r="P576" s="103"/>
      <c r="AC576" s="200"/>
    </row>
    <row r="577">
      <c r="A577" s="158"/>
      <c r="B577" s="160"/>
      <c r="C577" s="103"/>
      <c r="D577" s="158"/>
      <c r="E577" s="103"/>
      <c r="F577" s="103"/>
      <c r="G577" s="103"/>
      <c r="H577" s="103"/>
      <c r="I577" s="103"/>
      <c r="J577" s="103"/>
      <c r="K577" s="160"/>
      <c r="L577" s="103"/>
      <c r="M577" s="158"/>
      <c r="N577" s="103"/>
      <c r="O577" s="103"/>
      <c r="P577" s="103"/>
      <c r="AC577" s="200"/>
    </row>
    <row r="578">
      <c r="A578" s="158"/>
      <c r="B578" s="160"/>
      <c r="C578" s="103"/>
      <c r="D578" s="158"/>
      <c r="E578" s="103"/>
      <c r="F578" s="103"/>
      <c r="G578" s="103"/>
      <c r="H578" s="103"/>
      <c r="I578" s="103"/>
      <c r="J578" s="103"/>
      <c r="K578" s="160"/>
      <c r="L578" s="103"/>
      <c r="M578" s="158"/>
      <c r="N578" s="103"/>
      <c r="O578" s="103"/>
      <c r="P578" s="103"/>
      <c r="AC578" s="200"/>
    </row>
    <row r="579">
      <c r="A579" s="158"/>
      <c r="B579" s="160"/>
      <c r="C579" s="103"/>
      <c r="D579" s="158"/>
      <c r="E579" s="103"/>
      <c r="F579" s="103"/>
      <c r="G579" s="103"/>
      <c r="H579" s="103"/>
      <c r="I579" s="103"/>
      <c r="J579" s="103"/>
      <c r="K579" s="160"/>
      <c r="L579" s="103"/>
      <c r="M579" s="158"/>
      <c r="N579" s="103"/>
      <c r="O579" s="103"/>
      <c r="P579" s="103"/>
      <c r="AC579" s="200"/>
    </row>
    <row r="580">
      <c r="A580" s="158"/>
      <c r="B580" s="160"/>
      <c r="C580" s="103"/>
      <c r="D580" s="158"/>
      <c r="E580" s="103"/>
      <c r="F580" s="103"/>
      <c r="G580" s="103"/>
      <c r="H580" s="103"/>
      <c r="I580" s="103"/>
      <c r="J580" s="103"/>
      <c r="K580" s="160"/>
      <c r="L580" s="103"/>
      <c r="M580" s="158"/>
      <c r="N580" s="103"/>
      <c r="O580" s="103"/>
      <c r="P580" s="103"/>
      <c r="AC580" s="200"/>
    </row>
    <row r="581">
      <c r="A581" s="158"/>
      <c r="B581" s="160"/>
      <c r="C581" s="103"/>
      <c r="D581" s="158"/>
      <c r="E581" s="103"/>
      <c r="F581" s="103"/>
      <c r="G581" s="103"/>
      <c r="H581" s="103"/>
      <c r="I581" s="103"/>
      <c r="J581" s="103"/>
      <c r="K581" s="160"/>
      <c r="L581" s="103"/>
      <c r="M581" s="158"/>
      <c r="N581" s="103"/>
      <c r="O581" s="103"/>
      <c r="P581" s="103"/>
      <c r="AC581" s="200"/>
    </row>
    <row r="582">
      <c r="A582" s="158"/>
      <c r="B582" s="160"/>
      <c r="C582" s="103"/>
      <c r="D582" s="158"/>
      <c r="E582" s="103"/>
      <c r="F582" s="103"/>
      <c r="G582" s="103"/>
      <c r="H582" s="103"/>
      <c r="I582" s="103"/>
      <c r="J582" s="103"/>
      <c r="K582" s="160"/>
      <c r="L582" s="103"/>
      <c r="M582" s="158"/>
      <c r="N582" s="103"/>
      <c r="O582" s="103"/>
      <c r="P582" s="103"/>
      <c r="AC582" s="200"/>
    </row>
    <row r="583">
      <c r="A583" s="158"/>
      <c r="B583" s="160"/>
      <c r="C583" s="103"/>
      <c r="D583" s="158"/>
      <c r="E583" s="103"/>
      <c r="F583" s="103"/>
      <c r="G583" s="103"/>
      <c r="H583" s="103"/>
      <c r="I583" s="103"/>
      <c r="J583" s="103"/>
      <c r="K583" s="160"/>
      <c r="L583" s="103"/>
      <c r="M583" s="158"/>
      <c r="N583" s="103"/>
      <c r="O583" s="103"/>
      <c r="P583" s="103"/>
      <c r="AC583" s="200"/>
    </row>
    <row r="584">
      <c r="A584" s="158"/>
      <c r="B584" s="160"/>
      <c r="C584" s="103"/>
      <c r="D584" s="158"/>
      <c r="E584" s="103"/>
      <c r="F584" s="103"/>
      <c r="G584" s="103"/>
      <c r="H584" s="103"/>
      <c r="I584" s="103"/>
      <c r="J584" s="103"/>
      <c r="K584" s="160"/>
      <c r="L584" s="103"/>
      <c r="M584" s="158"/>
      <c r="N584" s="103"/>
      <c r="O584" s="103"/>
      <c r="P584" s="103"/>
      <c r="AC584" s="200"/>
    </row>
    <row r="585">
      <c r="A585" s="158"/>
      <c r="B585" s="160"/>
      <c r="C585" s="103"/>
      <c r="D585" s="158"/>
      <c r="E585" s="103"/>
      <c r="F585" s="103"/>
      <c r="G585" s="103"/>
      <c r="H585" s="103"/>
      <c r="I585" s="103"/>
      <c r="J585" s="103"/>
      <c r="K585" s="160"/>
      <c r="L585" s="103"/>
      <c r="M585" s="158"/>
      <c r="N585" s="103"/>
      <c r="O585" s="103"/>
      <c r="P585" s="103"/>
      <c r="AC585" s="200"/>
    </row>
    <row r="586">
      <c r="A586" s="158"/>
      <c r="B586" s="160"/>
      <c r="C586" s="103"/>
      <c r="D586" s="158"/>
      <c r="E586" s="103"/>
      <c r="F586" s="103"/>
      <c r="G586" s="103"/>
      <c r="H586" s="103"/>
      <c r="I586" s="103"/>
      <c r="J586" s="103"/>
      <c r="K586" s="160"/>
      <c r="L586" s="103"/>
      <c r="M586" s="158"/>
      <c r="N586" s="103"/>
      <c r="O586" s="103"/>
      <c r="P586" s="103"/>
      <c r="AC586" s="200"/>
    </row>
    <row r="587">
      <c r="A587" s="158"/>
      <c r="B587" s="160"/>
      <c r="C587" s="103"/>
      <c r="D587" s="158"/>
      <c r="E587" s="103"/>
      <c r="F587" s="103"/>
      <c r="G587" s="103"/>
      <c r="H587" s="103"/>
      <c r="I587" s="103"/>
      <c r="J587" s="103"/>
      <c r="K587" s="160"/>
      <c r="L587" s="103"/>
      <c r="M587" s="158"/>
      <c r="N587" s="103"/>
      <c r="O587" s="103"/>
      <c r="P587" s="103"/>
      <c r="AC587" s="200"/>
    </row>
    <row r="588">
      <c r="A588" s="158"/>
      <c r="B588" s="160"/>
      <c r="C588" s="103"/>
      <c r="D588" s="158"/>
      <c r="E588" s="103"/>
      <c r="F588" s="103"/>
      <c r="G588" s="103"/>
      <c r="H588" s="103"/>
      <c r="I588" s="103"/>
      <c r="J588" s="103"/>
      <c r="K588" s="160"/>
      <c r="L588" s="103"/>
      <c r="M588" s="158"/>
      <c r="N588" s="103"/>
      <c r="O588" s="103"/>
      <c r="P588" s="103"/>
      <c r="AC588" s="200"/>
    </row>
    <row r="589">
      <c r="A589" s="158"/>
      <c r="B589" s="160"/>
      <c r="C589" s="103"/>
      <c r="D589" s="158"/>
      <c r="E589" s="103"/>
      <c r="F589" s="103"/>
      <c r="G589" s="103"/>
      <c r="H589" s="103"/>
      <c r="I589" s="103"/>
      <c r="J589" s="103"/>
      <c r="K589" s="160"/>
      <c r="L589" s="103"/>
      <c r="M589" s="158"/>
      <c r="N589" s="103"/>
      <c r="O589" s="103"/>
      <c r="P589" s="103"/>
      <c r="AC589" s="200"/>
    </row>
    <row r="590">
      <c r="A590" s="158"/>
      <c r="B590" s="160"/>
      <c r="C590" s="103"/>
      <c r="D590" s="158"/>
      <c r="E590" s="103"/>
      <c r="F590" s="103"/>
      <c r="G590" s="103"/>
      <c r="H590" s="103"/>
      <c r="I590" s="103"/>
      <c r="J590" s="103"/>
      <c r="K590" s="160"/>
      <c r="L590" s="103"/>
      <c r="M590" s="158"/>
      <c r="N590" s="103"/>
      <c r="O590" s="103"/>
      <c r="P590" s="103"/>
      <c r="AC590" s="200"/>
    </row>
    <row r="591">
      <c r="A591" s="158"/>
      <c r="B591" s="160"/>
      <c r="C591" s="103"/>
      <c r="D591" s="158"/>
      <c r="E591" s="103"/>
      <c r="F591" s="103"/>
      <c r="G591" s="103"/>
      <c r="H591" s="103"/>
      <c r="I591" s="103"/>
      <c r="J591" s="103"/>
      <c r="K591" s="160"/>
      <c r="L591" s="103"/>
      <c r="M591" s="158"/>
      <c r="N591" s="103"/>
      <c r="O591" s="103"/>
      <c r="P591" s="103"/>
      <c r="AC591" s="200"/>
    </row>
    <row r="592">
      <c r="A592" s="158"/>
      <c r="B592" s="160"/>
      <c r="C592" s="103"/>
      <c r="D592" s="158"/>
      <c r="E592" s="103"/>
      <c r="F592" s="103"/>
      <c r="G592" s="103"/>
      <c r="H592" s="103"/>
      <c r="I592" s="103"/>
      <c r="J592" s="103"/>
      <c r="K592" s="160"/>
      <c r="L592" s="103"/>
      <c r="M592" s="158"/>
      <c r="N592" s="103"/>
      <c r="O592" s="103"/>
      <c r="P592" s="103"/>
      <c r="AC592" s="200"/>
    </row>
    <row r="593">
      <c r="A593" s="158"/>
      <c r="B593" s="160"/>
      <c r="C593" s="103"/>
      <c r="D593" s="158"/>
      <c r="E593" s="103"/>
      <c r="F593" s="103"/>
      <c r="G593" s="103"/>
      <c r="H593" s="103"/>
      <c r="I593" s="103"/>
      <c r="J593" s="103"/>
      <c r="K593" s="160"/>
      <c r="L593" s="103"/>
      <c r="M593" s="158"/>
      <c r="N593" s="103"/>
      <c r="O593" s="103"/>
      <c r="P593" s="103"/>
      <c r="AC593" s="200"/>
    </row>
    <row r="594">
      <c r="A594" s="158"/>
      <c r="B594" s="160"/>
      <c r="C594" s="103"/>
      <c r="D594" s="158"/>
      <c r="E594" s="103"/>
      <c r="F594" s="103"/>
      <c r="G594" s="103"/>
      <c r="H594" s="103"/>
      <c r="I594" s="103"/>
      <c r="J594" s="103"/>
      <c r="K594" s="160"/>
      <c r="L594" s="103"/>
      <c r="M594" s="158"/>
      <c r="N594" s="103"/>
      <c r="O594" s="103"/>
      <c r="P594" s="103"/>
      <c r="AC594" s="200"/>
    </row>
    <row r="595">
      <c r="A595" s="158"/>
      <c r="B595" s="160"/>
      <c r="C595" s="103"/>
      <c r="D595" s="158"/>
      <c r="E595" s="103"/>
      <c r="F595" s="103"/>
      <c r="G595" s="103"/>
      <c r="H595" s="103"/>
      <c r="I595" s="103"/>
      <c r="J595" s="103"/>
      <c r="K595" s="160"/>
      <c r="L595" s="103"/>
      <c r="M595" s="158"/>
      <c r="N595" s="103"/>
      <c r="O595" s="103"/>
      <c r="P595" s="103"/>
      <c r="AC595" s="200"/>
    </row>
    <row r="596">
      <c r="A596" s="158"/>
      <c r="B596" s="160"/>
      <c r="C596" s="103"/>
      <c r="D596" s="158"/>
      <c r="E596" s="103"/>
      <c r="F596" s="103"/>
      <c r="G596" s="103"/>
      <c r="H596" s="103"/>
      <c r="I596" s="103"/>
      <c r="J596" s="103"/>
      <c r="K596" s="160"/>
      <c r="L596" s="103"/>
      <c r="M596" s="158"/>
      <c r="N596" s="103"/>
      <c r="O596" s="103"/>
      <c r="P596" s="103"/>
      <c r="AC596" s="200"/>
    </row>
    <row r="597">
      <c r="A597" s="158"/>
      <c r="B597" s="160"/>
      <c r="C597" s="103"/>
      <c r="D597" s="158"/>
      <c r="E597" s="103"/>
      <c r="F597" s="103"/>
      <c r="G597" s="103"/>
      <c r="H597" s="103"/>
      <c r="I597" s="103"/>
      <c r="J597" s="103"/>
      <c r="K597" s="160"/>
      <c r="L597" s="103"/>
      <c r="M597" s="158"/>
      <c r="N597" s="103"/>
      <c r="O597" s="103"/>
      <c r="P597" s="103"/>
      <c r="AC597" s="200"/>
    </row>
    <row r="598">
      <c r="A598" s="158"/>
      <c r="B598" s="160"/>
      <c r="C598" s="103"/>
      <c r="D598" s="158"/>
      <c r="E598" s="103"/>
      <c r="F598" s="103"/>
      <c r="G598" s="103"/>
      <c r="H598" s="103"/>
      <c r="I598" s="103"/>
      <c r="J598" s="103"/>
      <c r="K598" s="160"/>
      <c r="L598" s="103"/>
      <c r="M598" s="158"/>
      <c r="N598" s="103"/>
      <c r="O598" s="103"/>
      <c r="P598" s="103"/>
      <c r="AC598" s="200"/>
    </row>
    <row r="599">
      <c r="A599" s="158"/>
      <c r="B599" s="160"/>
      <c r="C599" s="103"/>
      <c r="D599" s="158"/>
      <c r="E599" s="103"/>
      <c r="F599" s="103"/>
      <c r="G599" s="103"/>
      <c r="H599" s="103"/>
      <c r="I599" s="103"/>
      <c r="J599" s="103"/>
      <c r="K599" s="160"/>
      <c r="L599" s="103"/>
      <c r="M599" s="158"/>
      <c r="N599" s="103"/>
      <c r="O599" s="103"/>
      <c r="P599" s="103"/>
      <c r="AC599" s="200"/>
    </row>
    <row r="600">
      <c r="A600" s="158"/>
      <c r="B600" s="160"/>
      <c r="C600" s="103"/>
      <c r="D600" s="158"/>
      <c r="E600" s="103"/>
      <c r="F600" s="103"/>
      <c r="G600" s="103"/>
      <c r="H600" s="103"/>
      <c r="I600" s="103"/>
      <c r="J600" s="103"/>
      <c r="K600" s="160"/>
      <c r="L600" s="103"/>
      <c r="M600" s="158"/>
      <c r="N600" s="103"/>
      <c r="O600" s="103"/>
      <c r="P600" s="103"/>
      <c r="AC600" s="200"/>
    </row>
    <row r="601">
      <c r="A601" s="158"/>
      <c r="B601" s="160"/>
      <c r="C601" s="103"/>
      <c r="D601" s="158"/>
      <c r="E601" s="103"/>
      <c r="F601" s="103"/>
      <c r="G601" s="103"/>
      <c r="H601" s="103"/>
      <c r="I601" s="103"/>
      <c r="J601" s="103"/>
      <c r="K601" s="160"/>
      <c r="L601" s="103"/>
      <c r="M601" s="158"/>
      <c r="N601" s="103"/>
      <c r="O601" s="103"/>
      <c r="P601" s="103"/>
      <c r="AC601" s="200"/>
    </row>
    <row r="602">
      <c r="A602" s="158"/>
      <c r="B602" s="160"/>
      <c r="C602" s="103"/>
      <c r="D602" s="158"/>
      <c r="E602" s="103"/>
      <c r="F602" s="103"/>
      <c r="G602" s="103"/>
      <c r="H602" s="103"/>
      <c r="I602" s="103"/>
      <c r="J602" s="103"/>
      <c r="K602" s="160"/>
      <c r="L602" s="103"/>
      <c r="M602" s="158"/>
      <c r="N602" s="103"/>
      <c r="O602" s="103"/>
      <c r="P602" s="103"/>
      <c r="AC602" s="200"/>
    </row>
    <row r="603">
      <c r="A603" s="158"/>
      <c r="B603" s="160"/>
      <c r="C603" s="103"/>
      <c r="D603" s="158"/>
      <c r="E603" s="103"/>
      <c r="F603" s="103"/>
      <c r="G603" s="103"/>
      <c r="H603" s="103"/>
      <c r="I603" s="103"/>
      <c r="J603" s="103"/>
      <c r="K603" s="160"/>
      <c r="L603" s="103"/>
      <c r="M603" s="158"/>
      <c r="N603" s="103"/>
      <c r="O603" s="103"/>
      <c r="P603" s="103"/>
      <c r="AC603" s="200"/>
    </row>
    <row r="604">
      <c r="A604" s="158"/>
      <c r="B604" s="160"/>
      <c r="C604" s="103"/>
      <c r="D604" s="158"/>
      <c r="E604" s="103"/>
      <c r="F604" s="103"/>
      <c r="G604" s="103"/>
      <c r="H604" s="103"/>
      <c r="I604" s="103"/>
      <c r="J604" s="103"/>
      <c r="K604" s="160"/>
      <c r="L604" s="103"/>
      <c r="M604" s="158"/>
      <c r="N604" s="103"/>
      <c r="O604" s="103"/>
      <c r="P604" s="103"/>
      <c r="AC604" s="200"/>
    </row>
    <row r="605">
      <c r="A605" s="158"/>
      <c r="B605" s="160"/>
      <c r="C605" s="103"/>
      <c r="D605" s="158"/>
      <c r="E605" s="103"/>
      <c r="F605" s="103"/>
      <c r="G605" s="103"/>
      <c r="H605" s="103"/>
      <c r="I605" s="103"/>
      <c r="J605" s="103"/>
      <c r="K605" s="160"/>
      <c r="L605" s="103"/>
      <c r="M605" s="158"/>
      <c r="N605" s="103"/>
      <c r="O605" s="103"/>
      <c r="P605" s="103"/>
      <c r="AC605" s="200"/>
    </row>
    <row r="606">
      <c r="A606" s="158"/>
      <c r="B606" s="160"/>
      <c r="C606" s="103"/>
      <c r="D606" s="158"/>
      <c r="E606" s="103"/>
      <c r="F606" s="103"/>
      <c r="G606" s="103"/>
      <c r="H606" s="103"/>
      <c r="I606" s="103"/>
      <c r="J606" s="103"/>
      <c r="K606" s="160"/>
      <c r="L606" s="103"/>
      <c r="M606" s="158"/>
      <c r="N606" s="103"/>
      <c r="O606" s="103"/>
      <c r="P606" s="103"/>
      <c r="AC606" s="200"/>
    </row>
    <row r="607">
      <c r="A607" s="158"/>
      <c r="B607" s="160"/>
      <c r="C607" s="103"/>
      <c r="D607" s="158"/>
      <c r="E607" s="103"/>
      <c r="F607" s="103"/>
      <c r="G607" s="103"/>
      <c r="H607" s="103"/>
      <c r="I607" s="103"/>
      <c r="J607" s="103"/>
      <c r="K607" s="160"/>
      <c r="L607" s="103"/>
      <c r="M607" s="158"/>
      <c r="N607" s="103"/>
      <c r="O607" s="103"/>
      <c r="P607" s="103"/>
      <c r="AC607" s="200"/>
    </row>
    <row r="608">
      <c r="A608" s="158"/>
      <c r="B608" s="160"/>
      <c r="C608" s="103"/>
      <c r="D608" s="158"/>
      <c r="E608" s="103"/>
      <c r="F608" s="103"/>
      <c r="G608" s="103"/>
      <c r="H608" s="103"/>
      <c r="I608" s="103"/>
      <c r="J608" s="103"/>
      <c r="K608" s="160"/>
      <c r="L608" s="103"/>
      <c r="M608" s="158"/>
      <c r="N608" s="103"/>
      <c r="O608" s="103"/>
      <c r="P608" s="103"/>
      <c r="AC608" s="200"/>
    </row>
    <row r="609">
      <c r="A609" s="158"/>
      <c r="B609" s="160"/>
      <c r="C609" s="103"/>
      <c r="D609" s="158"/>
      <c r="E609" s="103"/>
      <c r="F609" s="103"/>
      <c r="G609" s="103"/>
      <c r="H609" s="103"/>
      <c r="I609" s="103"/>
      <c r="J609" s="103"/>
      <c r="K609" s="160"/>
      <c r="L609" s="103"/>
      <c r="M609" s="158"/>
      <c r="N609" s="103"/>
      <c r="O609" s="103"/>
      <c r="P609" s="103"/>
      <c r="AC609" s="200"/>
    </row>
    <row r="610">
      <c r="A610" s="158"/>
      <c r="B610" s="160"/>
      <c r="C610" s="103"/>
      <c r="D610" s="158"/>
      <c r="E610" s="103"/>
      <c r="F610" s="103"/>
      <c r="G610" s="103"/>
      <c r="H610" s="103"/>
      <c r="I610" s="103"/>
      <c r="J610" s="103"/>
      <c r="K610" s="160"/>
      <c r="L610" s="103"/>
      <c r="M610" s="158"/>
      <c r="N610" s="103"/>
      <c r="O610" s="103"/>
      <c r="P610" s="103"/>
      <c r="AC610" s="200"/>
    </row>
    <row r="611">
      <c r="A611" s="158"/>
      <c r="B611" s="160"/>
      <c r="C611" s="103"/>
      <c r="D611" s="158"/>
      <c r="E611" s="103"/>
      <c r="F611" s="103"/>
      <c r="G611" s="103"/>
      <c r="H611" s="103"/>
      <c r="I611" s="103"/>
      <c r="J611" s="103"/>
      <c r="K611" s="160"/>
      <c r="L611" s="103"/>
      <c r="M611" s="158"/>
      <c r="N611" s="103"/>
      <c r="O611" s="103"/>
      <c r="P611" s="103"/>
      <c r="AC611" s="200"/>
    </row>
    <row r="612">
      <c r="A612" s="158"/>
      <c r="B612" s="160"/>
      <c r="C612" s="103"/>
      <c r="D612" s="158"/>
      <c r="E612" s="103"/>
      <c r="F612" s="103"/>
      <c r="G612" s="103"/>
      <c r="H612" s="103"/>
      <c r="I612" s="103"/>
      <c r="J612" s="103"/>
      <c r="K612" s="160"/>
      <c r="L612" s="103"/>
      <c r="M612" s="158"/>
      <c r="N612" s="103"/>
      <c r="O612" s="103"/>
      <c r="P612" s="103"/>
      <c r="AC612" s="200"/>
    </row>
    <row r="613">
      <c r="A613" s="158"/>
      <c r="B613" s="160"/>
      <c r="C613" s="103"/>
      <c r="D613" s="158"/>
      <c r="E613" s="103"/>
      <c r="F613" s="103"/>
      <c r="G613" s="103"/>
      <c r="H613" s="103"/>
      <c r="I613" s="103"/>
      <c r="J613" s="103"/>
      <c r="K613" s="160"/>
      <c r="L613" s="103"/>
      <c r="M613" s="158"/>
      <c r="N613" s="103"/>
      <c r="O613" s="103"/>
      <c r="P613" s="103"/>
      <c r="AC613" s="200"/>
    </row>
    <row r="614">
      <c r="A614" s="158"/>
      <c r="B614" s="160"/>
      <c r="C614" s="103"/>
      <c r="D614" s="158"/>
      <c r="E614" s="103"/>
      <c r="F614" s="103"/>
      <c r="G614" s="103"/>
      <c r="H614" s="103"/>
      <c r="I614" s="103"/>
      <c r="J614" s="103"/>
      <c r="K614" s="160"/>
      <c r="L614" s="103"/>
      <c r="M614" s="158"/>
      <c r="N614" s="103"/>
      <c r="O614" s="103"/>
      <c r="P614" s="103"/>
      <c r="AC614" s="200"/>
    </row>
    <row r="615">
      <c r="A615" s="158"/>
      <c r="B615" s="160"/>
      <c r="C615" s="103"/>
      <c r="D615" s="158"/>
      <c r="E615" s="103"/>
      <c r="F615" s="103"/>
      <c r="G615" s="103"/>
      <c r="H615" s="103"/>
      <c r="I615" s="103"/>
      <c r="J615" s="103"/>
      <c r="K615" s="160"/>
      <c r="L615" s="103"/>
      <c r="M615" s="158"/>
      <c r="N615" s="103"/>
      <c r="O615" s="103"/>
      <c r="P615" s="103"/>
      <c r="AC615" s="200"/>
    </row>
    <row r="616">
      <c r="A616" s="158"/>
      <c r="B616" s="160"/>
      <c r="C616" s="103"/>
      <c r="D616" s="158"/>
      <c r="E616" s="103"/>
      <c r="F616" s="103"/>
      <c r="G616" s="103"/>
      <c r="H616" s="103"/>
      <c r="I616" s="103"/>
      <c r="J616" s="103"/>
      <c r="K616" s="160"/>
      <c r="L616" s="103"/>
      <c r="M616" s="158"/>
      <c r="N616" s="103"/>
      <c r="O616" s="103"/>
      <c r="P616" s="103"/>
      <c r="AC616" s="200"/>
    </row>
    <row r="617">
      <c r="A617" s="158"/>
      <c r="B617" s="160"/>
      <c r="C617" s="103"/>
      <c r="D617" s="158"/>
      <c r="E617" s="103"/>
      <c r="F617" s="103"/>
      <c r="G617" s="103"/>
      <c r="H617" s="103"/>
      <c r="I617" s="103"/>
      <c r="J617" s="103"/>
      <c r="K617" s="160"/>
      <c r="L617" s="103"/>
      <c r="M617" s="158"/>
      <c r="N617" s="103"/>
      <c r="O617" s="103"/>
      <c r="P617" s="103"/>
      <c r="AC617" s="200"/>
    </row>
    <row r="618">
      <c r="A618" s="158"/>
      <c r="B618" s="160"/>
      <c r="C618" s="103"/>
      <c r="D618" s="158"/>
      <c r="E618" s="103"/>
      <c r="F618" s="103"/>
      <c r="G618" s="103"/>
      <c r="H618" s="103"/>
      <c r="I618" s="103"/>
      <c r="J618" s="103"/>
      <c r="K618" s="160"/>
      <c r="L618" s="103"/>
      <c r="M618" s="158"/>
      <c r="N618" s="103"/>
      <c r="O618" s="103"/>
      <c r="P618" s="103"/>
      <c r="AC618" s="200"/>
    </row>
    <row r="619">
      <c r="A619" s="158"/>
      <c r="B619" s="160"/>
      <c r="C619" s="103"/>
      <c r="D619" s="158"/>
      <c r="E619" s="103"/>
      <c r="F619" s="103"/>
      <c r="G619" s="103"/>
      <c r="H619" s="103"/>
      <c r="I619" s="103"/>
      <c r="J619" s="103"/>
      <c r="K619" s="160"/>
      <c r="L619" s="103"/>
      <c r="M619" s="158"/>
      <c r="N619" s="103"/>
      <c r="O619" s="103"/>
      <c r="P619" s="103"/>
      <c r="AC619" s="200"/>
    </row>
    <row r="620">
      <c r="A620" s="158"/>
      <c r="B620" s="160"/>
      <c r="C620" s="103"/>
      <c r="D620" s="158"/>
      <c r="E620" s="103"/>
      <c r="F620" s="103"/>
      <c r="G620" s="103"/>
      <c r="H620" s="103"/>
      <c r="I620" s="103"/>
      <c r="J620" s="103"/>
      <c r="K620" s="160"/>
      <c r="L620" s="103"/>
      <c r="M620" s="158"/>
      <c r="N620" s="103"/>
      <c r="O620" s="103"/>
      <c r="P620" s="103"/>
      <c r="AC620" s="200"/>
    </row>
    <row r="621">
      <c r="A621" s="158"/>
      <c r="B621" s="160"/>
      <c r="C621" s="103"/>
      <c r="D621" s="158"/>
      <c r="E621" s="103"/>
      <c r="F621" s="103"/>
      <c r="G621" s="103"/>
      <c r="H621" s="103"/>
      <c r="I621" s="103"/>
      <c r="J621" s="103"/>
      <c r="K621" s="160"/>
      <c r="L621" s="103"/>
      <c r="M621" s="158"/>
      <c r="N621" s="103"/>
      <c r="O621" s="103"/>
      <c r="P621" s="103"/>
      <c r="AC621" s="200"/>
    </row>
    <row r="622">
      <c r="A622" s="158"/>
      <c r="B622" s="160"/>
      <c r="C622" s="103"/>
      <c r="D622" s="158"/>
      <c r="E622" s="103"/>
      <c r="F622" s="103"/>
      <c r="G622" s="103"/>
      <c r="H622" s="103"/>
      <c r="I622" s="103"/>
      <c r="J622" s="103"/>
      <c r="K622" s="160"/>
      <c r="L622" s="103"/>
      <c r="M622" s="158"/>
      <c r="N622" s="103"/>
      <c r="O622" s="103"/>
      <c r="P622" s="103"/>
      <c r="AC622" s="200"/>
    </row>
    <row r="623">
      <c r="A623" s="158"/>
      <c r="B623" s="160"/>
      <c r="C623" s="103"/>
      <c r="D623" s="158"/>
      <c r="E623" s="103"/>
      <c r="F623" s="103"/>
      <c r="G623" s="103"/>
      <c r="H623" s="103"/>
      <c r="I623" s="103"/>
      <c r="J623" s="103"/>
      <c r="K623" s="160"/>
      <c r="L623" s="103"/>
      <c r="M623" s="158"/>
      <c r="N623" s="103"/>
      <c r="O623" s="103"/>
      <c r="P623" s="103"/>
      <c r="AC623" s="200"/>
    </row>
    <row r="624">
      <c r="A624" s="158"/>
      <c r="B624" s="160"/>
      <c r="C624" s="103"/>
      <c r="D624" s="158"/>
      <c r="E624" s="103"/>
      <c r="F624" s="103"/>
      <c r="G624" s="103"/>
      <c r="H624" s="103"/>
      <c r="I624" s="103"/>
      <c r="J624" s="103"/>
      <c r="K624" s="160"/>
      <c r="L624" s="103"/>
      <c r="M624" s="158"/>
      <c r="N624" s="103"/>
      <c r="O624" s="103"/>
      <c r="P624" s="103"/>
      <c r="AC624" s="200"/>
    </row>
    <row r="625">
      <c r="A625" s="158"/>
      <c r="B625" s="160"/>
      <c r="C625" s="103"/>
      <c r="D625" s="158"/>
      <c r="E625" s="103"/>
      <c r="F625" s="103"/>
      <c r="G625" s="103"/>
      <c r="H625" s="103"/>
      <c r="I625" s="103"/>
      <c r="J625" s="103"/>
      <c r="K625" s="160"/>
      <c r="L625" s="103"/>
      <c r="M625" s="158"/>
      <c r="N625" s="103"/>
      <c r="O625" s="103"/>
      <c r="P625" s="103"/>
      <c r="AC625" s="200"/>
    </row>
    <row r="626">
      <c r="A626" s="158"/>
      <c r="B626" s="160"/>
      <c r="C626" s="103"/>
      <c r="D626" s="158"/>
      <c r="E626" s="103"/>
      <c r="F626" s="103"/>
      <c r="G626" s="103"/>
      <c r="H626" s="103"/>
      <c r="I626" s="103"/>
      <c r="J626" s="103"/>
      <c r="K626" s="160"/>
      <c r="L626" s="103"/>
      <c r="M626" s="158"/>
      <c r="N626" s="103"/>
      <c r="O626" s="103"/>
      <c r="P626" s="103"/>
      <c r="AC626" s="200"/>
    </row>
    <row r="627">
      <c r="A627" s="158"/>
      <c r="B627" s="160"/>
      <c r="C627" s="103"/>
      <c r="D627" s="158"/>
      <c r="E627" s="103"/>
      <c r="F627" s="103"/>
      <c r="G627" s="103"/>
      <c r="H627" s="103"/>
      <c r="I627" s="103"/>
      <c r="J627" s="103"/>
      <c r="K627" s="160"/>
      <c r="L627" s="103"/>
      <c r="M627" s="158"/>
      <c r="N627" s="103"/>
      <c r="O627" s="103"/>
      <c r="P627" s="103"/>
      <c r="AC627" s="200"/>
    </row>
    <row r="628">
      <c r="A628" s="158"/>
      <c r="B628" s="160"/>
      <c r="C628" s="103"/>
      <c r="D628" s="158"/>
      <c r="E628" s="103"/>
      <c r="F628" s="103"/>
      <c r="G628" s="103"/>
      <c r="H628" s="103"/>
      <c r="I628" s="103"/>
      <c r="J628" s="103"/>
      <c r="K628" s="160"/>
      <c r="L628" s="103"/>
      <c r="M628" s="158"/>
      <c r="N628" s="103"/>
      <c r="O628" s="103"/>
      <c r="P628" s="103"/>
      <c r="AC628" s="200"/>
    </row>
    <row r="629">
      <c r="A629" s="158"/>
      <c r="B629" s="160"/>
      <c r="C629" s="103"/>
      <c r="D629" s="158"/>
      <c r="E629" s="103"/>
      <c r="F629" s="103"/>
      <c r="G629" s="103"/>
      <c r="H629" s="103"/>
      <c r="I629" s="103"/>
      <c r="J629" s="103"/>
      <c r="K629" s="160"/>
      <c r="L629" s="103"/>
      <c r="M629" s="158"/>
      <c r="N629" s="103"/>
      <c r="O629" s="103"/>
      <c r="P629" s="103"/>
      <c r="AC629" s="200"/>
    </row>
    <row r="630">
      <c r="A630" s="158"/>
      <c r="B630" s="160"/>
      <c r="C630" s="103"/>
      <c r="D630" s="158"/>
      <c r="E630" s="103"/>
      <c r="F630" s="103"/>
      <c r="G630" s="103"/>
      <c r="H630" s="103"/>
      <c r="I630" s="103"/>
      <c r="J630" s="103"/>
      <c r="K630" s="160"/>
      <c r="L630" s="103"/>
      <c r="M630" s="158"/>
      <c r="N630" s="103"/>
      <c r="O630" s="103"/>
      <c r="P630" s="103"/>
      <c r="AC630" s="200"/>
    </row>
    <row r="631">
      <c r="A631" s="158"/>
      <c r="B631" s="160"/>
      <c r="C631" s="103"/>
      <c r="D631" s="158"/>
      <c r="E631" s="103"/>
      <c r="F631" s="103"/>
      <c r="G631" s="103"/>
      <c r="H631" s="103"/>
      <c r="I631" s="103"/>
      <c r="J631" s="103"/>
      <c r="K631" s="160"/>
      <c r="L631" s="103"/>
      <c r="M631" s="158"/>
      <c r="N631" s="103"/>
      <c r="O631" s="103"/>
      <c r="P631" s="103"/>
      <c r="AC631" s="200"/>
    </row>
    <row r="632">
      <c r="A632" s="158"/>
      <c r="B632" s="160"/>
      <c r="C632" s="103"/>
      <c r="D632" s="158"/>
      <c r="E632" s="103"/>
      <c r="F632" s="103"/>
      <c r="G632" s="103"/>
      <c r="H632" s="103"/>
      <c r="I632" s="103"/>
      <c r="J632" s="103"/>
      <c r="K632" s="160"/>
      <c r="L632" s="103"/>
      <c r="M632" s="158"/>
      <c r="N632" s="103"/>
      <c r="O632" s="103"/>
      <c r="P632" s="103"/>
      <c r="AC632" s="200"/>
    </row>
    <row r="633">
      <c r="A633" s="158"/>
      <c r="B633" s="160"/>
      <c r="C633" s="103"/>
      <c r="D633" s="158"/>
      <c r="E633" s="103"/>
      <c r="F633" s="103"/>
      <c r="G633" s="103"/>
      <c r="H633" s="103"/>
      <c r="I633" s="103"/>
      <c r="J633" s="103"/>
      <c r="K633" s="160"/>
      <c r="L633" s="103"/>
      <c r="M633" s="158"/>
      <c r="N633" s="103"/>
      <c r="O633" s="103"/>
      <c r="P633" s="103"/>
      <c r="AC633" s="200"/>
    </row>
    <row r="634">
      <c r="A634" s="158"/>
      <c r="B634" s="160"/>
      <c r="C634" s="103"/>
      <c r="D634" s="158"/>
      <c r="E634" s="103"/>
      <c r="F634" s="103"/>
      <c r="G634" s="103"/>
      <c r="H634" s="103"/>
      <c r="I634" s="103"/>
      <c r="J634" s="103"/>
      <c r="K634" s="160"/>
      <c r="L634" s="103"/>
      <c r="M634" s="158"/>
      <c r="N634" s="103"/>
      <c r="O634" s="103"/>
      <c r="P634" s="103"/>
      <c r="AC634" s="200"/>
    </row>
    <row r="635">
      <c r="A635" s="158"/>
      <c r="B635" s="160"/>
      <c r="C635" s="103"/>
      <c r="D635" s="158"/>
      <c r="E635" s="103"/>
      <c r="F635" s="103"/>
      <c r="G635" s="103"/>
      <c r="H635" s="103"/>
      <c r="I635" s="103"/>
      <c r="J635" s="103"/>
      <c r="K635" s="160"/>
      <c r="L635" s="103"/>
      <c r="M635" s="158"/>
      <c r="N635" s="103"/>
      <c r="O635" s="103"/>
      <c r="P635" s="103"/>
      <c r="AC635" s="200"/>
    </row>
    <row r="636">
      <c r="A636" s="158"/>
      <c r="B636" s="160"/>
      <c r="C636" s="103"/>
      <c r="D636" s="158"/>
      <c r="E636" s="103"/>
      <c r="F636" s="103"/>
      <c r="G636" s="103"/>
      <c r="H636" s="103"/>
      <c r="I636" s="103"/>
      <c r="J636" s="103"/>
      <c r="K636" s="160"/>
      <c r="L636" s="103"/>
      <c r="M636" s="158"/>
      <c r="N636" s="103"/>
      <c r="O636" s="103"/>
      <c r="P636" s="103"/>
      <c r="AC636" s="200"/>
    </row>
    <row r="637">
      <c r="A637" s="158"/>
      <c r="B637" s="160"/>
      <c r="C637" s="103"/>
      <c r="D637" s="158"/>
      <c r="E637" s="103"/>
      <c r="F637" s="103"/>
      <c r="G637" s="103"/>
      <c r="H637" s="103"/>
      <c r="I637" s="103"/>
      <c r="J637" s="103"/>
      <c r="K637" s="160"/>
      <c r="L637" s="103"/>
      <c r="M637" s="158"/>
      <c r="N637" s="103"/>
      <c r="O637" s="103"/>
      <c r="P637" s="103"/>
      <c r="AC637" s="200"/>
    </row>
    <row r="638">
      <c r="A638" s="158"/>
      <c r="B638" s="160"/>
      <c r="C638" s="103"/>
      <c r="D638" s="158"/>
      <c r="E638" s="103"/>
      <c r="F638" s="103"/>
      <c r="G638" s="103"/>
      <c r="H638" s="103"/>
      <c r="I638" s="103"/>
      <c r="J638" s="103"/>
      <c r="K638" s="160"/>
      <c r="L638" s="103"/>
      <c r="M638" s="158"/>
      <c r="N638" s="103"/>
      <c r="O638" s="103"/>
      <c r="P638" s="103"/>
      <c r="AC638" s="200"/>
    </row>
    <row r="639">
      <c r="A639" s="158"/>
      <c r="B639" s="160"/>
      <c r="C639" s="103"/>
      <c r="D639" s="158"/>
      <c r="E639" s="103"/>
      <c r="F639" s="103"/>
      <c r="G639" s="103"/>
      <c r="H639" s="103"/>
      <c r="I639" s="103"/>
      <c r="J639" s="103"/>
      <c r="K639" s="160"/>
      <c r="L639" s="103"/>
      <c r="M639" s="158"/>
      <c r="N639" s="103"/>
      <c r="O639" s="103"/>
      <c r="P639" s="103"/>
      <c r="AC639" s="200"/>
    </row>
    <row r="640">
      <c r="A640" s="158"/>
      <c r="B640" s="160"/>
      <c r="C640" s="103"/>
      <c r="D640" s="158"/>
      <c r="E640" s="103"/>
      <c r="F640" s="103"/>
      <c r="G640" s="103"/>
      <c r="H640" s="103"/>
      <c r="I640" s="103"/>
      <c r="J640" s="103"/>
      <c r="K640" s="160"/>
      <c r="L640" s="103"/>
      <c r="M640" s="158"/>
      <c r="N640" s="103"/>
      <c r="O640" s="103"/>
      <c r="P640" s="103"/>
      <c r="AC640" s="200"/>
    </row>
    <row r="641">
      <c r="A641" s="158"/>
      <c r="B641" s="160"/>
      <c r="C641" s="103"/>
      <c r="D641" s="158"/>
      <c r="E641" s="103"/>
      <c r="F641" s="103"/>
      <c r="G641" s="103"/>
      <c r="H641" s="103"/>
      <c r="I641" s="103"/>
      <c r="J641" s="103"/>
      <c r="K641" s="160"/>
      <c r="L641" s="103"/>
      <c r="M641" s="158"/>
      <c r="N641" s="103"/>
      <c r="O641" s="103"/>
      <c r="P641" s="103"/>
      <c r="AC641" s="200"/>
    </row>
    <row r="642">
      <c r="A642" s="158"/>
      <c r="B642" s="160"/>
      <c r="C642" s="103"/>
      <c r="D642" s="158"/>
      <c r="E642" s="103"/>
      <c r="F642" s="103"/>
      <c r="G642" s="103"/>
      <c r="H642" s="103"/>
      <c r="I642" s="103"/>
      <c r="J642" s="103"/>
      <c r="K642" s="160"/>
      <c r="L642" s="103"/>
      <c r="M642" s="158"/>
      <c r="N642" s="103"/>
      <c r="O642" s="103"/>
      <c r="P642" s="103"/>
      <c r="AC642" s="200"/>
    </row>
    <row r="643">
      <c r="A643" s="158"/>
      <c r="B643" s="160"/>
      <c r="C643" s="103"/>
      <c r="D643" s="158"/>
      <c r="E643" s="103"/>
      <c r="F643" s="103"/>
      <c r="G643" s="103"/>
      <c r="H643" s="103"/>
      <c r="I643" s="103"/>
      <c r="J643" s="103"/>
      <c r="K643" s="160"/>
      <c r="L643" s="103"/>
      <c r="M643" s="158"/>
      <c r="N643" s="103"/>
      <c r="O643" s="103"/>
      <c r="P643" s="103"/>
      <c r="AC643" s="200"/>
    </row>
    <row r="644">
      <c r="A644" s="158"/>
      <c r="B644" s="160"/>
      <c r="C644" s="103"/>
      <c r="D644" s="158"/>
      <c r="E644" s="103"/>
      <c r="F644" s="103"/>
      <c r="G644" s="103"/>
      <c r="H644" s="103"/>
      <c r="I644" s="103"/>
      <c r="J644" s="103"/>
      <c r="K644" s="160"/>
      <c r="L644" s="103"/>
      <c r="M644" s="158"/>
      <c r="N644" s="103"/>
      <c r="O644" s="103"/>
      <c r="P644" s="103"/>
      <c r="AC644" s="200"/>
    </row>
    <row r="645">
      <c r="A645" s="158"/>
      <c r="B645" s="160"/>
      <c r="C645" s="103"/>
      <c r="D645" s="158"/>
      <c r="E645" s="103"/>
      <c r="F645" s="103"/>
      <c r="G645" s="103"/>
      <c r="H645" s="103"/>
      <c r="I645" s="103"/>
      <c r="J645" s="103"/>
      <c r="K645" s="160"/>
      <c r="L645" s="103"/>
      <c r="M645" s="158"/>
      <c r="N645" s="103"/>
      <c r="O645" s="103"/>
      <c r="P645" s="103"/>
      <c r="AC645" s="200"/>
    </row>
    <row r="646">
      <c r="A646" s="158"/>
      <c r="B646" s="160"/>
      <c r="C646" s="103"/>
      <c r="D646" s="158"/>
      <c r="E646" s="103"/>
      <c r="F646" s="103"/>
      <c r="G646" s="103"/>
      <c r="H646" s="103"/>
      <c r="I646" s="103"/>
      <c r="J646" s="103"/>
      <c r="K646" s="160"/>
      <c r="L646" s="103"/>
      <c r="M646" s="158"/>
      <c r="N646" s="103"/>
      <c r="O646" s="103"/>
      <c r="P646" s="103"/>
      <c r="AC646" s="200"/>
    </row>
    <row r="647">
      <c r="A647" s="158"/>
      <c r="B647" s="160"/>
      <c r="C647" s="103"/>
      <c r="D647" s="158"/>
      <c r="E647" s="103"/>
      <c r="F647" s="103"/>
      <c r="G647" s="103"/>
      <c r="H647" s="103"/>
      <c r="I647" s="103"/>
      <c r="J647" s="103"/>
      <c r="K647" s="160"/>
      <c r="L647" s="103"/>
      <c r="M647" s="158"/>
      <c r="N647" s="103"/>
      <c r="O647" s="103"/>
      <c r="P647" s="103"/>
      <c r="AC647" s="200"/>
    </row>
    <row r="648">
      <c r="A648" s="158"/>
      <c r="B648" s="160"/>
      <c r="C648" s="103"/>
      <c r="D648" s="158"/>
      <c r="E648" s="103"/>
      <c r="F648" s="103"/>
      <c r="G648" s="103"/>
      <c r="H648" s="103"/>
      <c r="I648" s="103"/>
      <c r="J648" s="103"/>
      <c r="K648" s="160"/>
      <c r="L648" s="103"/>
      <c r="M648" s="158"/>
      <c r="N648" s="103"/>
      <c r="O648" s="103"/>
      <c r="P648" s="103"/>
      <c r="AC648" s="200"/>
    </row>
    <row r="649">
      <c r="A649" s="158"/>
      <c r="B649" s="160"/>
      <c r="C649" s="103"/>
      <c r="D649" s="158"/>
      <c r="E649" s="103"/>
      <c r="F649" s="103"/>
      <c r="G649" s="103"/>
      <c r="H649" s="103"/>
      <c r="I649" s="103"/>
      <c r="J649" s="103"/>
      <c r="K649" s="160"/>
      <c r="L649" s="103"/>
      <c r="M649" s="158"/>
      <c r="N649" s="103"/>
      <c r="O649" s="103"/>
      <c r="P649" s="103"/>
      <c r="AC649" s="200"/>
    </row>
    <row r="650">
      <c r="A650" s="158"/>
      <c r="B650" s="160"/>
      <c r="C650" s="103"/>
      <c r="D650" s="158"/>
      <c r="E650" s="103"/>
      <c r="F650" s="103"/>
      <c r="G650" s="103"/>
      <c r="H650" s="103"/>
      <c r="I650" s="103"/>
      <c r="J650" s="103"/>
      <c r="K650" s="160"/>
      <c r="L650" s="103"/>
      <c r="M650" s="158"/>
      <c r="N650" s="103"/>
      <c r="O650" s="103"/>
      <c r="P650" s="103"/>
      <c r="AC650" s="200"/>
    </row>
    <row r="651">
      <c r="A651" s="158"/>
      <c r="B651" s="160"/>
      <c r="C651" s="103"/>
      <c r="D651" s="158"/>
      <c r="E651" s="103"/>
      <c r="F651" s="103"/>
      <c r="G651" s="103"/>
      <c r="H651" s="103"/>
      <c r="I651" s="103"/>
      <c r="J651" s="103"/>
      <c r="K651" s="160"/>
      <c r="L651" s="103"/>
      <c r="M651" s="158"/>
      <c r="N651" s="103"/>
      <c r="O651" s="103"/>
      <c r="P651" s="103"/>
      <c r="AC651" s="200"/>
    </row>
    <row r="652">
      <c r="A652" s="158"/>
      <c r="B652" s="160"/>
      <c r="C652" s="103"/>
      <c r="D652" s="158"/>
      <c r="E652" s="103"/>
      <c r="F652" s="103"/>
      <c r="G652" s="103"/>
      <c r="H652" s="103"/>
      <c r="I652" s="103"/>
      <c r="J652" s="103"/>
      <c r="K652" s="160"/>
      <c r="L652" s="103"/>
      <c r="M652" s="158"/>
      <c r="N652" s="103"/>
      <c r="O652" s="103"/>
      <c r="P652" s="103"/>
      <c r="AC652" s="200"/>
    </row>
    <row r="653">
      <c r="A653" s="158"/>
      <c r="B653" s="160"/>
      <c r="C653" s="103"/>
      <c r="D653" s="158"/>
      <c r="E653" s="103"/>
      <c r="F653" s="103"/>
      <c r="G653" s="103"/>
      <c r="H653" s="103"/>
      <c r="I653" s="103"/>
      <c r="J653" s="103"/>
      <c r="K653" s="160"/>
      <c r="L653" s="103"/>
      <c r="M653" s="158"/>
      <c r="N653" s="103"/>
      <c r="O653" s="103"/>
      <c r="P653" s="103"/>
      <c r="AC653" s="200"/>
    </row>
    <row r="654">
      <c r="A654" s="158"/>
      <c r="B654" s="160"/>
      <c r="C654" s="103"/>
      <c r="D654" s="158"/>
      <c r="E654" s="103"/>
      <c r="F654" s="103"/>
      <c r="G654" s="103"/>
      <c r="H654" s="103"/>
      <c r="I654" s="103"/>
      <c r="J654" s="103"/>
      <c r="K654" s="160"/>
      <c r="L654" s="103"/>
      <c r="M654" s="158"/>
      <c r="N654" s="103"/>
      <c r="O654" s="103"/>
      <c r="P654" s="103"/>
      <c r="AC654" s="200"/>
    </row>
    <row r="655">
      <c r="A655" s="158"/>
      <c r="B655" s="160"/>
      <c r="C655" s="103"/>
      <c r="D655" s="158"/>
      <c r="E655" s="103"/>
      <c r="F655" s="103"/>
      <c r="G655" s="103"/>
      <c r="H655" s="103"/>
      <c r="I655" s="103"/>
      <c r="J655" s="103"/>
      <c r="K655" s="160"/>
      <c r="L655" s="103"/>
      <c r="M655" s="158"/>
      <c r="N655" s="103"/>
      <c r="O655" s="103"/>
      <c r="P655" s="103"/>
      <c r="AC655" s="200"/>
    </row>
    <row r="656">
      <c r="A656" s="158"/>
      <c r="B656" s="160"/>
      <c r="C656" s="103"/>
      <c r="D656" s="158"/>
      <c r="E656" s="103"/>
      <c r="F656" s="103"/>
      <c r="G656" s="103"/>
      <c r="H656" s="103"/>
      <c r="I656" s="103"/>
      <c r="J656" s="103"/>
      <c r="K656" s="160"/>
      <c r="L656" s="103"/>
      <c r="M656" s="158"/>
      <c r="N656" s="103"/>
      <c r="O656" s="103"/>
      <c r="P656" s="103"/>
      <c r="AC656" s="200"/>
    </row>
    <row r="657">
      <c r="A657" s="158"/>
      <c r="B657" s="160"/>
      <c r="C657" s="103"/>
      <c r="D657" s="158"/>
      <c r="E657" s="103"/>
      <c r="F657" s="103"/>
      <c r="G657" s="103"/>
      <c r="H657" s="103"/>
      <c r="I657" s="103"/>
      <c r="J657" s="103"/>
      <c r="K657" s="160"/>
      <c r="L657" s="103"/>
      <c r="M657" s="158"/>
      <c r="N657" s="103"/>
      <c r="O657" s="103"/>
      <c r="P657" s="103"/>
      <c r="AC657" s="200"/>
    </row>
    <row r="658">
      <c r="A658" s="158"/>
      <c r="B658" s="160"/>
      <c r="C658" s="103"/>
      <c r="D658" s="158"/>
      <c r="E658" s="103"/>
      <c r="F658" s="103"/>
      <c r="G658" s="103"/>
      <c r="H658" s="103"/>
      <c r="I658" s="103"/>
      <c r="J658" s="103"/>
      <c r="K658" s="160"/>
      <c r="L658" s="103"/>
      <c r="M658" s="158"/>
      <c r="N658" s="103"/>
      <c r="O658" s="103"/>
      <c r="P658" s="103"/>
      <c r="AC658" s="200"/>
    </row>
    <row r="659">
      <c r="A659" s="158"/>
      <c r="B659" s="160"/>
      <c r="C659" s="103"/>
      <c r="D659" s="158"/>
      <c r="E659" s="103"/>
      <c r="F659" s="103"/>
      <c r="G659" s="103"/>
      <c r="H659" s="103"/>
      <c r="I659" s="103"/>
      <c r="J659" s="103"/>
      <c r="K659" s="160"/>
      <c r="L659" s="103"/>
      <c r="M659" s="158"/>
      <c r="N659" s="103"/>
      <c r="O659" s="103"/>
      <c r="P659" s="103"/>
      <c r="AC659" s="200"/>
    </row>
    <row r="660">
      <c r="A660" s="158"/>
      <c r="B660" s="160"/>
      <c r="C660" s="103"/>
      <c r="D660" s="158"/>
      <c r="E660" s="103"/>
      <c r="F660" s="103"/>
      <c r="G660" s="103"/>
      <c r="H660" s="103"/>
      <c r="I660" s="103"/>
      <c r="J660" s="103"/>
      <c r="K660" s="160"/>
      <c r="L660" s="103"/>
      <c r="M660" s="158"/>
      <c r="N660" s="103"/>
      <c r="O660" s="103"/>
      <c r="P660" s="103"/>
      <c r="AC660" s="200"/>
    </row>
    <row r="661">
      <c r="A661" s="158"/>
      <c r="B661" s="160"/>
      <c r="C661" s="103"/>
      <c r="D661" s="158"/>
      <c r="E661" s="103"/>
      <c r="F661" s="103"/>
      <c r="G661" s="103"/>
      <c r="H661" s="103"/>
      <c r="I661" s="103"/>
      <c r="J661" s="103"/>
      <c r="K661" s="160"/>
      <c r="L661" s="103"/>
      <c r="M661" s="158"/>
      <c r="N661" s="103"/>
      <c r="O661" s="103"/>
      <c r="P661" s="103"/>
      <c r="AC661" s="200"/>
    </row>
    <row r="662">
      <c r="A662" s="158"/>
      <c r="B662" s="160"/>
      <c r="C662" s="103"/>
      <c r="D662" s="158"/>
      <c r="E662" s="103"/>
      <c r="F662" s="103"/>
      <c r="G662" s="103"/>
      <c r="H662" s="103"/>
      <c r="I662" s="103"/>
      <c r="J662" s="103"/>
      <c r="K662" s="160"/>
      <c r="L662" s="103"/>
      <c r="M662" s="158"/>
      <c r="N662" s="103"/>
      <c r="O662" s="103"/>
      <c r="P662" s="103"/>
      <c r="AC662" s="200"/>
    </row>
    <row r="663">
      <c r="A663" s="158"/>
      <c r="B663" s="160"/>
      <c r="C663" s="103"/>
      <c r="D663" s="158"/>
      <c r="E663" s="103"/>
      <c r="F663" s="103"/>
      <c r="G663" s="103"/>
      <c r="H663" s="103"/>
      <c r="I663" s="103"/>
      <c r="J663" s="103"/>
      <c r="K663" s="160"/>
      <c r="L663" s="103"/>
      <c r="M663" s="158"/>
      <c r="N663" s="103"/>
      <c r="O663" s="103"/>
      <c r="P663" s="103"/>
      <c r="AC663" s="200"/>
    </row>
    <row r="664">
      <c r="A664" s="158"/>
      <c r="B664" s="160"/>
      <c r="C664" s="103"/>
      <c r="D664" s="158"/>
      <c r="E664" s="103"/>
      <c r="F664" s="103"/>
      <c r="G664" s="103"/>
      <c r="H664" s="103"/>
      <c r="I664" s="103"/>
      <c r="J664" s="103"/>
      <c r="K664" s="160"/>
      <c r="L664" s="103"/>
      <c r="M664" s="158"/>
      <c r="N664" s="103"/>
      <c r="O664" s="103"/>
      <c r="P664" s="103"/>
      <c r="AC664" s="200"/>
    </row>
    <row r="665">
      <c r="A665" s="158"/>
      <c r="B665" s="160"/>
      <c r="C665" s="103"/>
      <c r="D665" s="158"/>
      <c r="E665" s="103"/>
      <c r="F665" s="103"/>
      <c r="G665" s="103"/>
      <c r="H665" s="103"/>
      <c r="I665" s="103"/>
      <c r="J665" s="103"/>
      <c r="K665" s="160"/>
      <c r="L665" s="103"/>
      <c r="M665" s="158"/>
      <c r="N665" s="103"/>
      <c r="O665" s="103"/>
      <c r="P665" s="103"/>
      <c r="AC665" s="200"/>
    </row>
    <row r="666">
      <c r="A666" s="158"/>
      <c r="B666" s="160"/>
      <c r="C666" s="103"/>
      <c r="D666" s="158"/>
      <c r="E666" s="103"/>
      <c r="F666" s="103"/>
      <c r="G666" s="103"/>
      <c r="H666" s="103"/>
      <c r="I666" s="103"/>
      <c r="J666" s="103"/>
      <c r="K666" s="160"/>
      <c r="L666" s="103"/>
      <c r="M666" s="158"/>
      <c r="N666" s="103"/>
      <c r="O666" s="103"/>
      <c r="P666" s="103"/>
      <c r="AC666" s="200"/>
    </row>
    <row r="667">
      <c r="A667" s="158"/>
      <c r="B667" s="160"/>
      <c r="C667" s="103"/>
      <c r="D667" s="158"/>
      <c r="E667" s="103"/>
      <c r="F667" s="103"/>
      <c r="G667" s="103"/>
      <c r="H667" s="103"/>
      <c r="I667" s="103"/>
      <c r="J667" s="103"/>
      <c r="K667" s="160"/>
      <c r="L667" s="103"/>
      <c r="M667" s="158"/>
      <c r="N667" s="103"/>
      <c r="O667" s="103"/>
      <c r="P667" s="103"/>
      <c r="AC667" s="200"/>
    </row>
    <row r="668">
      <c r="A668" s="158"/>
      <c r="B668" s="160"/>
      <c r="C668" s="103"/>
      <c r="D668" s="158"/>
      <c r="E668" s="103"/>
      <c r="F668" s="103"/>
      <c r="G668" s="103"/>
      <c r="H668" s="103"/>
      <c r="I668" s="103"/>
      <c r="J668" s="103"/>
      <c r="K668" s="160"/>
      <c r="L668" s="103"/>
      <c r="M668" s="158"/>
      <c r="N668" s="103"/>
      <c r="O668" s="103"/>
      <c r="P668" s="103"/>
      <c r="AC668" s="200"/>
    </row>
    <row r="669">
      <c r="A669" s="158"/>
      <c r="B669" s="160"/>
      <c r="C669" s="103"/>
      <c r="D669" s="158"/>
      <c r="E669" s="103"/>
      <c r="F669" s="103"/>
      <c r="G669" s="103"/>
      <c r="H669" s="103"/>
      <c r="I669" s="103"/>
      <c r="J669" s="103"/>
      <c r="K669" s="160"/>
      <c r="L669" s="103"/>
      <c r="M669" s="158"/>
      <c r="N669" s="103"/>
      <c r="O669" s="103"/>
      <c r="P669" s="103"/>
      <c r="AC669" s="200"/>
    </row>
    <row r="670">
      <c r="A670" s="158"/>
      <c r="B670" s="160"/>
      <c r="C670" s="103"/>
      <c r="D670" s="158"/>
      <c r="E670" s="103"/>
      <c r="F670" s="103"/>
      <c r="G670" s="103"/>
      <c r="H670" s="103"/>
      <c r="I670" s="103"/>
      <c r="J670" s="103"/>
      <c r="K670" s="160"/>
      <c r="L670" s="103"/>
      <c r="M670" s="158"/>
      <c r="N670" s="103"/>
      <c r="O670" s="103"/>
      <c r="P670" s="103"/>
      <c r="AC670" s="200"/>
    </row>
    <row r="671">
      <c r="A671" s="158"/>
      <c r="B671" s="160"/>
      <c r="C671" s="103"/>
      <c r="D671" s="158"/>
      <c r="E671" s="103"/>
      <c r="F671" s="103"/>
      <c r="G671" s="103"/>
      <c r="H671" s="103"/>
      <c r="I671" s="103"/>
      <c r="J671" s="103"/>
      <c r="K671" s="160"/>
      <c r="L671" s="103"/>
      <c r="M671" s="158"/>
      <c r="N671" s="103"/>
      <c r="O671" s="103"/>
      <c r="P671" s="103"/>
      <c r="AC671" s="200"/>
    </row>
    <row r="672">
      <c r="A672" s="158"/>
      <c r="B672" s="160"/>
      <c r="C672" s="103"/>
      <c r="D672" s="158"/>
      <c r="E672" s="103"/>
      <c r="F672" s="103"/>
      <c r="G672" s="103"/>
      <c r="H672" s="103"/>
      <c r="I672" s="103"/>
      <c r="J672" s="103"/>
      <c r="K672" s="160"/>
      <c r="L672" s="103"/>
      <c r="M672" s="158"/>
      <c r="N672" s="103"/>
      <c r="O672" s="103"/>
      <c r="P672" s="103"/>
      <c r="AC672" s="200"/>
    </row>
    <row r="673">
      <c r="A673" s="158"/>
      <c r="B673" s="160"/>
      <c r="C673" s="103"/>
      <c r="D673" s="158"/>
      <c r="E673" s="103"/>
      <c r="F673" s="103"/>
      <c r="G673" s="103"/>
      <c r="H673" s="103"/>
      <c r="I673" s="103"/>
      <c r="J673" s="103"/>
      <c r="K673" s="160"/>
      <c r="L673" s="103"/>
      <c r="M673" s="158"/>
      <c r="N673" s="103"/>
      <c r="O673" s="103"/>
      <c r="P673" s="103"/>
      <c r="AC673" s="200"/>
    </row>
    <row r="674">
      <c r="A674" s="158"/>
      <c r="B674" s="160"/>
      <c r="C674" s="103"/>
      <c r="D674" s="158"/>
      <c r="E674" s="103"/>
      <c r="F674" s="103"/>
      <c r="G674" s="103"/>
      <c r="H674" s="103"/>
      <c r="I674" s="103"/>
      <c r="J674" s="103"/>
      <c r="K674" s="160"/>
      <c r="L674" s="103"/>
      <c r="M674" s="158"/>
      <c r="N674" s="103"/>
      <c r="O674" s="103"/>
      <c r="P674" s="103"/>
      <c r="AC674" s="200"/>
    </row>
    <row r="675">
      <c r="A675" s="158"/>
      <c r="B675" s="160"/>
      <c r="C675" s="103"/>
      <c r="D675" s="158"/>
      <c r="E675" s="103"/>
      <c r="F675" s="103"/>
      <c r="G675" s="103"/>
      <c r="H675" s="103"/>
      <c r="I675" s="103"/>
      <c r="J675" s="103"/>
      <c r="K675" s="160"/>
      <c r="L675" s="103"/>
      <c r="M675" s="158"/>
      <c r="N675" s="103"/>
      <c r="O675" s="103"/>
      <c r="P675" s="103"/>
      <c r="AC675" s="200"/>
    </row>
    <row r="676">
      <c r="A676" s="158"/>
      <c r="B676" s="160"/>
      <c r="C676" s="103"/>
      <c r="D676" s="158"/>
      <c r="E676" s="103"/>
      <c r="F676" s="103"/>
      <c r="G676" s="103"/>
      <c r="H676" s="103"/>
      <c r="I676" s="103"/>
      <c r="J676" s="103"/>
      <c r="K676" s="160"/>
      <c r="L676" s="103"/>
      <c r="M676" s="158"/>
      <c r="N676" s="103"/>
      <c r="O676" s="103"/>
      <c r="P676" s="103"/>
      <c r="AC676" s="200"/>
    </row>
    <row r="677">
      <c r="A677" s="158"/>
      <c r="B677" s="160"/>
      <c r="C677" s="103"/>
      <c r="D677" s="158"/>
      <c r="E677" s="103"/>
      <c r="F677" s="103"/>
      <c r="G677" s="103"/>
      <c r="H677" s="103"/>
      <c r="I677" s="103"/>
      <c r="J677" s="103"/>
      <c r="K677" s="160"/>
      <c r="L677" s="103"/>
      <c r="M677" s="158"/>
      <c r="N677" s="103"/>
      <c r="O677" s="103"/>
      <c r="P677" s="103"/>
      <c r="AC677" s="200"/>
    </row>
    <row r="678">
      <c r="A678" s="158"/>
      <c r="B678" s="160"/>
      <c r="C678" s="103"/>
      <c r="D678" s="158"/>
      <c r="E678" s="103"/>
      <c r="F678" s="103"/>
      <c r="G678" s="103"/>
      <c r="H678" s="103"/>
      <c r="I678" s="103"/>
      <c r="J678" s="103"/>
      <c r="K678" s="160"/>
      <c r="L678" s="103"/>
      <c r="M678" s="158"/>
      <c r="N678" s="103"/>
      <c r="O678" s="103"/>
      <c r="P678" s="103"/>
      <c r="AC678" s="200"/>
    </row>
    <row r="679">
      <c r="A679" s="158"/>
      <c r="B679" s="160"/>
      <c r="C679" s="103"/>
      <c r="D679" s="158"/>
      <c r="E679" s="103"/>
      <c r="F679" s="103"/>
      <c r="G679" s="103"/>
      <c r="H679" s="103"/>
      <c r="I679" s="103"/>
      <c r="J679" s="103"/>
      <c r="K679" s="160"/>
      <c r="L679" s="103"/>
      <c r="M679" s="158"/>
      <c r="N679" s="103"/>
      <c r="O679" s="103"/>
      <c r="P679" s="103"/>
      <c r="AC679" s="200"/>
    </row>
    <row r="680">
      <c r="A680" s="158"/>
      <c r="B680" s="160"/>
      <c r="C680" s="103"/>
      <c r="D680" s="158"/>
      <c r="E680" s="103"/>
      <c r="F680" s="103"/>
      <c r="G680" s="103"/>
      <c r="H680" s="103"/>
      <c r="I680" s="103"/>
      <c r="J680" s="103"/>
      <c r="K680" s="160"/>
      <c r="L680" s="103"/>
      <c r="M680" s="158"/>
      <c r="N680" s="103"/>
      <c r="O680" s="103"/>
      <c r="P680" s="103"/>
      <c r="AC680" s="200"/>
    </row>
    <row r="681">
      <c r="A681" s="158"/>
      <c r="B681" s="160"/>
      <c r="C681" s="103"/>
      <c r="D681" s="158"/>
      <c r="E681" s="103"/>
      <c r="F681" s="103"/>
      <c r="G681" s="103"/>
      <c r="H681" s="103"/>
      <c r="I681" s="103"/>
      <c r="J681" s="103"/>
      <c r="K681" s="160"/>
      <c r="L681" s="103"/>
      <c r="M681" s="158"/>
      <c r="N681" s="103"/>
      <c r="O681" s="103"/>
      <c r="P681" s="103"/>
      <c r="AC681" s="200"/>
    </row>
    <row r="682">
      <c r="A682" s="158"/>
      <c r="B682" s="160"/>
      <c r="C682" s="103"/>
      <c r="D682" s="158"/>
      <c r="E682" s="103"/>
      <c r="F682" s="103"/>
      <c r="G682" s="103"/>
      <c r="H682" s="103"/>
      <c r="I682" s="103"/>
      <c r="J682" s="103"/>
      <c r="K682" s="160"/>
      <c r="L682" s="103"/>
      <c r="M682" s="158"/>
      <c r="N682" s="103"/>
      <c r="O682" s="103"/>
      <c r="P682" s="103"/>
      <c r="AC682" s="200"/>
    </row>
    <row r="683">
      <c r="A683" s="158"/>
      <c r="B683" s="160"/>
      <c r="C683" s="103"/>
      <c r="D683" s="158"/>
      <c r="E683" s="103"/>
      <c r="F683" s="103"/>
      <c r="G683" s="103"/>
      <c r="H683" s="103"/>
      <c r="I683" s="103"/>
      <c r="J683" s="103"/>
      <c r="K683" s="160"/>
      <c r="L683" s="103"/>
      <c r="M683" s="158"/>
      <c r="N683" s="103"/>
      <c r="O683" s="103"/>
      <c r="P683" s="103"/>
      <c r="AC683" s="200"/>
    </row>
    <row r="684">
      <c r="A684" s="158"/>
      <c r="B684" s="160"/>
      <c r="C684" s="103"/>
      <c r="D684" s="158"/>
      <c r="E684" s="103"/>
      <c r="F684" s="103"/>
      <c r="G684" s="103"/>
      <c r="H684" s="103"/>
      <c r="I684" s="103"/>
      <c r="J684" s="103"/>
      <c r="K684" s="160"/>
      <c r="L684" s="103"/>
      <c r="M684" s="158"/>
      <c r="N684" s="103"/>
      <c r="O684" s="103"/>
      <c r="P684" s="103"/>
      <c r="AC684" s="200"/>
    </row>
    <row r="685">
      <c r="A685" s="158"/>
      <c r="B685" s="160"/>
      <c r="C685" s="103"/>
      <c r="D685" s="158"/>
      <c r="E685" s="103"/>
      <c r="F685" s="103"/>
      <c r="G685" s="103"/>
      <c r="H685" s="103"/>
      <c r="I685" s="103"/>
      <c r="J685" s="103"/>
      <c r="K685" s="160"/>
      <c r="L685" s="103"/>
      <c r="M685" s="158"/>
      <c r="N685" s="103"/>
      <c r="O685" s="103"/>
      <c r="P685" s="103"/>
      <c r="AC685" s="200"/>
    </row>
    <row r="686">
      <c r="A686" s="158"/>
      <c r="B686" s="160"/>
      <c r="C686" s="103"/>
      <c r="D686" s="158"/>
      <c r="E686" s="103"/>
      <c r="F686" s="103"/>
      <c r="G686" s="103"/>
      <c r="H686" s="103"/>
      <c r="I686" s="103"/>
      <c r="J686" s="103"/>
      <c r="K686" s="160"/>
      <c r="L686" s="103"/>
      <c r="M686" s="158"/>
      <c r="N686" s="103"/>
      <c r="O686" s="103"/>
      <c r="P686" s="103"/>
      <c r="AC686" s="200"/>
    </row>
    <row r="687">
      <c r="A687" s="158"/>
      <c r="B687" s="160"/>
      <c r="C687" s="103"/>
      <c r="D687" s="158"/>
      <c r="E687" s="103"/>
      <c r="F687" s="103"/>
      <c r="G687" s="103"/>
      <c r="H687" s="103"/>
      <c r="I687" s="103"/>
      <c r="J687" s="103"/>
      <c r="K687" s="160"/>
      <c r="L687" s="103"/>
      <c r="M687" s="158"/>
      <c r="N687" s="103"/>
      <c r="O687" s="103"/>
      <c r="P687" s="103"/>
      <c r="AC687" s="200"/>
    </row>
    <row r="688">
      <c r="A688" s="158"/>
      <c r="B688" s="160"/>
      <c r="C688" s="103"/>
      <c r="D688" s="158"/>
      <c r="E688" s="103"/>
      <c r="F688" s="103"/>
      <c r="G688" s="103"/>
      <c r="H688" s="103"/>
      <c r="I688" s="103"/>
      <c r="J688" s="103"/>
      <c r="K688" s="160"/>
      <c r="L688" s="103"/>
      <c r="M688" s="158"/>
      <c r="N688" s="103"/>
      <c r="O688" s="103"/>
      <c r="P688" s="103"/>
      <c r="AC688" s="200"/>
    </row>
    <row r="689">
      <c r="A689" s="158"/>
      <c r="B689" s="160"/>
      <c r="C689" s="103"/>
      <c r="D689" s="158"/>
      <c r="E689" s="103"/>
      <c r="F689" s="103"/>
      <c r="G689" s="103"/>
      <c r="H689" s="103"/>
      <c r="I689" s="103"/>
      <c r="J689" s="103"/>
      <c r="K689" s="160"/>
      <c r="L689" s="103"/>
      <c r="M689" s="158"/>
      <c r="N689" s="103"/>
      <c r="O689" s="103"/>
      <c r="P689" s="103"/>
      <c r="AC689" s="200"/>
    </row>
    <row r="690">
      <c r="A690" s="158"/>
      <c r="B690" s="160"/>
      <c r="C690" s="103"/>
      <c r="D690" s="158"/>
      <c r="E690" s="103"/>
      <c r="F690" s="103"/>
      <c r="G690" s="103"/>
      <c r="H690" s="103"/>
      <c r="I690" s="103"/>
      <c r="J690" s="103"/>
      <c r="K690" s="160"/>
      <c r="L690" s="103"/>
      <c r="M690" s="158"/>
      <c r="N690" s="103"/>
      <c r="O690" s="103"/>
      <c r="P690" s="103"/>
      <c r="AC690" s="200"/>
    </row>
    <row r="691">
      <c r="A691" s="158"/>
      <c r="B691" s="160"/>
      <c r="C691" s="103"/>
      <c r="D691" s="158"/>
      <c r="E691" s="103"/>
      <c r="F691" s="103"/>
      <c r="G691" s="103"/>
      <c r="H691" s="103"/>
      <c r="I691" s="103"/>
      <c r="J691" s="103"/>
      <c r="K691" s="160"/>
      <c r="L691" s="103"/>
      <c r="M691" s="158"/>
      <c r="N691" s="103"/>
      <c r="O691" s="103"/>
      <c r="P691" s="103"/>
      <c r="AC691" s="200"/>
    </row>
    <row r="692">
      <c r="A692" s="158"/>
      <c r="B692" s="160"/>
      <c r="C692" s="103"/>
      <c r="D692" s="158"/>
      <c r="E692" s="103"/>
      <c r="F692" s="103"/>
      <c r="G692" s="103"/>
      <c r="H692" s="103"/>
      <c r="I692" s="103"/>
      <c r="J692" s="103"/>
      <c r="K692" s="160"/>
      <c r="L692" s="103"/>
      <c r="M692" s="158"/>
      <c r="N692" s="103"/>
      <c r="O692" s="103"/>
      <c r="P692" s="103"/>
      <c r="AC692" s="200"/>
    </row>
    <row r="693">
      <c r="A693" s="158"/>
      <c r="B693" s="160"/>
      <c r="C693" s="103"/>
      <c r="D693" s="158"/>
      <c r="E693" s="103"/>
      <c r="F693" s="103"/>
      <c r="G693" s="103"/>
      <c r="H693" s="103"/>
      <c r="I693" s="103"/>
      <c r="J693" s="103"/>
      <c r="K693" s="160"/>
      <c r="L693" s="103"/>
      <c r="M693" s="158"/>
      <c r="N693" s="103"/>
      <c r="O693" s="103"/>
      <c r="P693" s="103"/>
      <c r="AC693" s="200"/>
    </row>
    <row r="694">
      <c r="A694" s="158"/>
      <c r="B694" s="160"/>
      <c r="C694" s="103"/>
      <c r="D694" s="158"/>
      <c r="E694" s="103"/>
      <c r="F694" s="103"/>
      <c r="G694" s="103"/>
      <c r="H694" s="103"/>
      <c r="I694" s="103"/>
      <c r="J694" s="103"/>
      <c r="K694" s="160"/>
      <c r="L694" s="103"/>
      <c r="M694" s="158"/>
      <c r="N694" s="103"/>
      <c r="O694" s="103"/>
      <c r="P694" s="103"/>
      <c r="AC694" s="200"/>
    </row>
    <row r="695">
      <c r="A695" s="158"/>
      <c r="B695" s="160"/>
      <c r="C695" s="103"/>
      <c r="D695" s="158"/>
      <c r="E695" s="103"/>
      <c r="F695" s="103"/>
      <c r="G695" s="103"/>
      <c r="H695" s="103"/>
      <c r="I695" s="103"/>
      <c r="J695" s="103"/>
      <c r="K695" s="160"/>
      <c r="L695" s="103"/>
      <c r="M695" s="158"/>
      <c r="N695" s="103"/>
      <c r="O695" s="103"/>
      <c r="P695" s="103"/>
      <c r="AC695" s="200"/>
    </row>
    <row r="696">
      <c r="A696" s="158"/>
      <c r="B696" s="160"/>
      <c r="C696" s="103"/>
      <c r="D696" s="158"/>
      <c r="E696" s="103"/>
      <c r="F696" s="103"/>
      <c r="G696" s="103"/>
      <c r="H696" s="103"/>
      <c r="I696" s="103"/>
      <c r="J696" s="103"/>
      <c r="K696" s="160"/>
      <c r="L696" s="103"/>
      <c r="M696" s="158"/>
      <c r="N696" s="103"/>
      <c r="O696" s="103"/>
      <c r="P696" s="103"/>
      <c r="AC696" s="200"/>
    </row>
    <row r="697">
      <c r="A697" s="158"/>
      <c r="B697" s="160"/>
      <c r="C697" s="103"/>
      <c r="D697" s="158"/>
      <c r="E697" s="103"/>
      <c r="F697" s="103"/>
      <c r="G697" s="103"/>
      <c r="H697" s="103"/>
      <c r="I697" s="103"/>
      <c r="J697" s="103"/>
      <c r="K697" s="160"/>
      <c r="L697" s="103"/>
      <c r="M697" s="158"/>
      <c r="N697" s="103"/>
      <c r="O697" s="103"/>
      <c r="P697" s="103"/>
      <c r="AC697" s="200"/>
    </row>
    <row r="698">
      <c r="A698" s="158"/>
      <c r="B698" s="160"/>
      <c r="C698" s="103"/>
      <c r="D698" s="158"/>
      <c r="E698" s="103"/>
      <c r="F698" s="103"/>
      <c r="G698" s="103"/>
      <c r="H698" s="103"/>
      <c r="I698" s="103"/>
      <c r="J698" s="103"/>
      <c r="K698" s="160"/>
      <c r="L698" s="103"/>
      <c r="M698" s="158"/>
      <c r="N698" s="103"/>
      <c r="O698" s="103"/>
      <c r="P698" s="103"/>
      <c r="AC698" s="200"/>
    </row>
    <row r="699">
      <c r="A699" s="158"/>
      <c r="B699" s="160"/>
      <c r="C699" s="103"/>
      <c r="D699" s="158"/>
      <c r="E699" s="103"/>
      <c r="F699" s="103"/>
      <c r="G699" s="103"/>
      <c r="H699" s="103"/>
      <c r="I699" s="103"/>
      <c r="J699" s="103"/>
      <c r="K699" s="160"/>
      <c r="L699" s="103"/>
      <c r="M699" s="158"/>
      <c r="N699" s="103"/>
      <c r="O699" s="103"/>
      <c r="P699" s="103"/>
      <c r="AC699" s="200"/>
    </row>
    <row r="700">
      <c r="A700" s="158"/>
      <c r="B700" s="160"/>
      <c r="C700" s="103"/>
      <c r="D700" s="158"/>
      <c r="E700" s="103"/>
      <c r="F700" s="103"/>
      <c r="G700" s="103"/>
      <c r="H700" s="103"/>
      <c r="I700" s="103"/>
      <c r="J700" s="103"/>
      <c r="K700" s="160"/>
      <c r="L700" s="103"/>
      <c r="M700" s="158"/>
      <c r="N700" s="103"/>
      <c r="O700" s="103"/>
      <c r="P700" s="103"/>
      <c r="AC700" s="200"/>
    </row>
    <row r="701">
      <c r="A701" s="158"/>
      <c r="B701" s="160"/>
      <c r="C701" s="103"/>
      <c r="D701" s="158"/>
      <c r="E701" s="103"/>
      <c r="F701" s="103"/>
      <c r="G701" s="103"/>
      <c r="H701" s="103"/>
      <c r="I701" s="103"/>
      <c r="J701" s="103"/>
      <c r="K701" s="160"/>
      <c r="L701" s="103"/>
      <c r="M701" s="158"/>
      <c r="N701" s="103"/>
      <c r="O701" s="103"/>
      <c r="P701" s="103"/>
      <c r="AC701" s="200"/>
    </row>
    <row r="702">
      <c r="A702" s="158"/>
      <c r="B702" s="160"/>
      <c r="C702" s="103"/>
      <c r="D702" s="158"/>
      <c r="E702" s="103"/>
      <c r="F702" s="103"/>
      <c r="G702" s="103"/>
      <c r="H702" s="103"/>
      <c r="I702" s="103"/>
      <c r="J702" s="103"/>
      <c r="K702" s="160"/>
      <c r="L702" s="103"/>
      <c r="M702" s="158"/>
      <c r="N702" s="103"/>
      <c r="O702" s="103"/>
      <c r="P702" s="103"/>
      <c r="AC702" s="200"/>
    </row>
    <row r="703">
      <c r="A703" s="158"/>
      <c r="B703" s="160"/>
      <c r="C703" s="103"/>
      <c r="D703" s="158"/>
      <c r="E703" s="103"/>
      <c r="F703" s="103"/>
      <c r="G703" s="103"/>
      <c r="H703" s="103"/>
      <c r="I703" s="103"/>
      <c r="J703" s="103"/>
      <c r="K703" s="160"/>
      <c r="L703" s="103"/>
      <c r="M703" s="158"/>
      <c r="N703" s="103"/>
      <c r="O703" s="103"/>
      <c r="P703" s="103"/>
      <c r="AC703" s="200"/>
    </row>
    <row r="704">
      <c r="A704" s="158"/>
      <c r="B704" s="160"/>
      <c r="C704" s="103"/>
      <c r="D704" s="158"/>
      <c r="E704" s="103"/>
      <c r="F704" s="103"/>
      <c r="G704" s="103"/>
      <c r="H704" s="103"/>
      <c r="I704" s="103"/>
      <c r="J704" s="103"/>
      <c r="K704" s="160"/>
      <c r="L704" s="103"/>
      <c r="M704" s="158"/>
      <c r="N704" s="103"/>
      <c r="O704" s="103"/>
      <c r="P704" s="103"/>
      <c r="AC704" s="200"/>
    </row>
    <row r="705">
      <c r="A705" s="158"/>
      <c r="B705" s="160"/>
      <c r="C705" s="103"/>
      <c r="D705" s="158"/>
      <c r="E705" s="103"/>
      <c r="F705" s="103"/>
      <c r="G705" s="103"/>
      <c r="H705" s="103"/>
      <c r="I705" s="103"/>
      <c r="J705" s="103"/>
      <c r="K705" s="160"/>
      <c r="L705" s="103"/>
      <c r="M705" s="158"/>
      <c r="N705" s="103"/>
      <c r="O705" s="103"/>
      <c r="P705" s="103"/>
      <c r="AC705" s="200"/>
    </row>
    <row r="706">
      <c r="A706" s="158"/>
      <c r="B706" s="160"/>
      <c r="C706" s="103"/>
      <c r="D706" s="158"/>
      <c r="E706" s="103"/>
      <c r="F706" s="103"/>
      <c r="G706" s="103"/>
      <c r="H706" s="103"/>
      <c r="I706" s="103"/>
      <c r="J706" s="103"/>
      <c r="K706" s="160"/>
      <c r="L706" s="103"/>
      <c r="M706" s="158"/>
      <c r="N706" s="103"/>
      <c r="O706" s="103"/>
      <c r="P706" s="103"/>
      <c r="AC706" s="200"/>
    </row>
    <row r="707">
      <c r="A707" s="158"/>
      <c r="B707" s="160"/>
      <c r="C707" s="103"/>
      <c r="D707" s="158"/>
      <c r="E707" s="103"/>
      <c r="F707" s="103"/>
      <c r="G707" s="103"/>
      <c r="H707" s="103"/>
      <c r="I707" s="103"/>
      <c r="J707" s="103"/>
      <c r="K707" s="160"/>
      <c r="L707" s="103"/>
      <c r="M707" s="158"/>
      <c r="N707" s="103"/>
      <c r="O707" s="103"/>
      <c r="P707" s="103"/>
      <c r="AC707" s="200"/>
    </row>
    <row r="708">
      <c r="A708" s="158"/>
      <c r="B708" s="160"/>
      <c r="C708" s="103"/>
      <c r="D708" s="158"/>
      <c r="E708" s="103"/>
      <c r="F708" s="103"/>
      <c r="G708" s="103"/>
      <c r="H708" s="103"/>
      <c r="I708" s="103"/>
      <c r="J708" s="103"/>
      <c r="K708" s="160"/>
      <c r="L708" s="103"/>
      <c r="M708" s="158"/>
      <c r="N708" s="103"/>
      <c r="O708" s="103"/>
      <c r="P708" s="103"/>
      <c r="AC708" s="200"/>
    </row>
    <row r="709">
      <c r="A709" s="158"/>
      <c r="B709" s="160"/>
      <c r="C709" s="103"/>
      <c r="D709" s="158"/>
      <c r="E709" s="103"/>
      <c r="F709" s="103"/>
      <c r="G709" s="103"/>
      <c r="H709" s="103"/>
      <c r="I709" s="103"/>
      <c r="J709" s="103"/>
      <c r="K709" s="160"/>
      <c r="L709" s="103"/>
      <c r="M709" s="158"/>
      <c r="N709" s="103"/>
      <c r="O709" s="103"/>
      <c r="P709" s="103"/>
      <c r="AC709" s="200"/>
    </row>
    <row r="710">
      <c r="A710" s="158"/>
      <c r="B710" s="160"/>
      <c r="C710" s="103"/>
      <c r="D710" s="158"/>
      <c r="E710" s="103"/>
      <c r="F710" s="103"/>
      <c r="G710" s="103"/>
      <c r="H710" s="103"/>
      <c r="I710" s="103"/>
      <c r="J710" s="103"/>
      <c r="K710" s="160"/>
      <c r="L710" s="103"/>
      <c r="M710" s="158"/>
      <c r="N710" s="103"/>
      <c r="O710" s="103"/>
      <c r="P710" s="103"/>
      <c r="AC710" s="200"/>
    </row>
    <row r="711">
      <c r="A711" s="158"/>
      <c r="B711" s="160"/>
      <c r="C711" s="103"/>
      <c r="D711" s="158"/>
      <c r="E711" s="103"/>
      <c r="F711" s="103"/>
      <c r="G711" s="103"/>
      <c r="H711" s="103"/>
      <c r="I711" s="103"/>
      <c r="J711" s="103"/>
      <c r="K711" s="160"/>
      <c r="L711" s="103"/>
      <c r="M711" s="158"/>
      <c r="N711" s="103"/>
      <c r="O711" s="103"/>
      <c r="P711" s="103"/>
      <c r="AC711" s="200"/>
    </row>
    <row r="712">
      <c r="A712" s="158"/>
      <c r="B712" s="160"/>
      <c r="C712" s="103"/>
      <c r="D712" s="158"/>
      <c r="E712" s="103"/>
      <c r="F712" s="103"/>
      <c r="G712" s="103"/>
      <c r="H712" s="103"/>
      <c r="I712" s="103"/>
      <c r="J712" s="103"/>
      <c r="K712" s="160"/>
      <c r="L712" s="103"/>
      <c r="M712" s="158"/>
      <c r="N712" s="103"/>
      <c r="O712" s="103"/>
      <c r="P712" s="103"/>
      <c r="AC712" s="200"/>
    </row>
    <row r="713">
      <c r="A713" s="158"/>
      <c r="B713" s="160"/>
      <c r="C713" s="103"/>
      <c r="D713" s="158"/>
      <c r="E713" s="103"/>
      <c r="F713" s="103"/>
      <c r="G713" s="103"/>
      <c r="H713" s="103"/>
      <c r="I713" s="103"/>
      <c r="J713" s="103"/>
      <c r="K713" s="160"/>
      <c r="L713" s="103"/>
      <c r="M713" s="158"/>
      <c r="N713" s="103"/>
      <c r="O713" s="103"/>
      <c r="P713" s="103"/>
      <c r="AC713" s="200"/>
    </row>
    <row r="714">
      <c r="A714" s="158"/>
      <c r="B714" s="160"/>
      <c r="C714" s="103"/>
      <c r="D714" s="158"/>
      <c r="E714" s="103"/>
      <c r="F714" s="103"/>
      <c r="G714" s="103"/>
      <c r="H714" s="103"/>
      <c r="I714" s="103"/>
      <c r="J714" s="103"/>
      <c r="K714" s="160"/>
      <c r="L714" s="103"/>
      <c r="M714" s="158"/>
      <c r="N714" s="103"/>
      <c r="O714" s="103"/>
      <c r="P714" s="103"/>
      <c r="AC714" s="200"/>
    </row>
    <row r="715">
      <c r="A715" s="158"/>
      <c r="B715" s="160"/>
      <c r="C715" s="103"/>
      <c r="D715" s="158"/>
      <c r="E715" s="103"/>
      <c r="F715" s="103"/>
      <c r="G715" s="103"/>
      <c r="H715" s="103"/>
      <c r="I715" s="103"/>
      <c r="J715" s="103"/>
      <c r="K715" s="160"/>
      <c r="L715" s="103"/>
      <c r="M715" s="158"/>
      <c r="N715" s="103"/>
      <c r="O715" s="103"/>
      <c r="P715" s="103"/>
      <c r="AC715" s="200"/>
    </row>
    <row r="716">
      <c r="A716" s="158"/>
      <c r="B716" s="160"/>
      <c r="C716" s="103"/>
      <c r="D716" s="158"/>
      <c r="E716" s="103"/>
      <c r="F716" s="103"/>
      <c r="G716" s="103"/>
      <c r="H716" s="103"/>
      <c r="I716" s="103"/>
      <c r="J716" s="103"/>
      <c r="K716" s="160"/>
      <c r="L716" s="103"/>
      <c r="M716" s="158"/>
      <c r="N716" s="103"/>
      <c r="O716" s="103"/>
      <c r="P716" s="103"/>
      <c r="AC716" s="200"/>
    </row>
    <row r="717">
      <c r="A717" s="158"/>
      <c r="B717" s="160"/>
      <c r="C717" s="103"/>
      <c r="D717" s="158"/>
      <c r="E717" s="103"/>
      <c r="F717" s="103"/>
      <c r="G717" s="103"/>
      <c r="H717" s="103"/>
      <c r="I717" s="103"/>
      <c r="J717" s="103"/>
      <c r="K717" s="160"/>
      <c r="L717" s="103"/>
      <c r="M717" s="158"/>
      <c r="N717" s="103"/>
      <c r="O717" s="103"/>
      <c r="P717" s="103"/>
      <c r="AC717" s="200"/>
    </row>
    <row r="718">
      <c r="A718" s="158"/>
      <c r="B718" s="160"/>
      <c r="C718" s="103"/>
      <c r="D718" s="158"/>
      <c r="E718" s="103"/>
      <c r="F718" s="103"/>
      <c r="G718" s="103"/>
      <c r="H718" s="103"/>
      <c r="I718" s="103"/>
      <c r="J718" s="103"/>
      <c r="K718" s="160"/>
      <c r="L718" s="103"/>
      <c r="M718" s="158"/>
      <c r="N718" s="103"/>
      <c r="O718" s="103"/>
      <c r="P718" s="103"/>
      <c r="AC718" s="200"/>
    </row>
    <row r="719">
      <c r="A719" s="158"/>
      <c r="B719" s="160"/>
      <c r="C719" s="103"/>
      <c r="D719" s="158"/>
      <c r="E719" s="103"/>
      <c r="F719" s="103"/>
      <c r="G719" s="103"/>
      <c r="H719" s="103"/>
      <c r="I719" s="103"/>
      <c r="J719" s="103"/>
      <c r="K719" s="160"/>
      <c r="L719" s="103"/>
      <c r="M719" s="158"/>
      <c r="N719" s="103"/>
      <c r="O719" s="103"/>
      <c r="P719" s="103"/>
      <c r="AC719" s="200"/>
    </row>
    <row r="720">
      <c r="A720" s="158"/>
      <c r="B720" s="160"/>
      <c r="C720" s="103"/>
      <c r="D720" s="158"/>
      <c r="E720" s="103"/>
      <c r="F720" s="103"/>
      <c r="G720" s="103"/>
      <c r="H720" s="103"/>
      <c r="I720" s="103"/>
      <c r="J720" s="103"/>
      <c r="K720" s="160"/>
      <c r="L720" s="103"/>
      <c r="M720" s="158"/>
      <c r="N720" s="103"/>
      <c r="O720" s="103"/>
      <c r="P720" s="103"/>
      <c r="AC720" s="200"/>
    </row>
    <row r="721">
      <c r="A721" s="158"/>
      <c r="B721" s="160"/>
      <c r="C721" s="103"/>
      <c r="D721" s="158"/>
      <c r="E721" s="103"/>
      <c r="F721" s="103"/>
      <c r="G721" s="103"/>
      <c r="H721" s="103"/>
      <c r="I721" s="103"/>
      <c r="J721" s="103"/>
      <c r="K721" s="160"/>
      <c r="L721" s="103"/>
      <c r="M721" s="158"/>
      <c r="N721" s="103"/>
      <c r="O721" s="103"/>
      <c r="P721" s="103"/>
      <c r="AC721" s="200"/>
    </row>
    <row r="722">
      <c r="A722" s="158"/>
      <c r="B722" s="160"/>
      <c r="C722" s="103"/>
      <c r="D722" s="158"/>
      <c r="E722" s="103"/>
      <c r="F722" s="103"/>
      <c r="G722" s="103"/>
      <c r="H722" s="103"/>
      <c r="I722" s="103"/>
      <c r="J722" s="103"/>
      <c r="K722" s="160"/>
      <c r="L722" s="103"/>
      <c r="M722" s="158"/>
      <c r="N722" s="103"/>
      <c r="O722" s="103"/>
      <c r="P722" s="103"/>
      <c r="AC722" s="200"/>
    </row>
    <row r="723">
      <c r="A723" s="158"/>
      <c r="B723" s="160"/>
      <c r="C723" s="103"/>
      <c r="D723" s="158"/>
      <c r="E723" s="103"/>
      <c r="F723" s="103"/>
      <c r="G723" s="103"/>
      <c r="H723" s="103"/>
      <c r="I723" s="103"/>
      <c r="J723" s="103"/>
      <c r="K723" s="160"/>
      <c r="L723" s="103"/>
      <c r="M723" s="158"/>
      <c r="N723" s="103"/>
      <c r="O723" s="103"/>
      <c r="P723" s="103"/>
      <c r="AC723" s="200"/>
    </row>
    <row r="724">
      <c r="A724" s="158"/>
      <c r="B724" s="160"/>
      <c r="C724" s="103"/>
      <c r="D724" s="158"/>
      <c r="E724" s="103"/>
      <c r="F724" s="103"/>
      <c r="G724" s="103"/>
      <c r="H724" s="103"/>
      <c r="I724" s="103"/>
      <c r="J724" s="103"/>
      <c r="K724" s="160"/>
      <c r="L724" s="103"/>
      <c r="M724" s="158"/>
      <c r="N724" s="103"/>
      <c r="O724" s="103"/>
      <c r="P724" s="103"/>
      <c r="AC724" s="200"/>
    </row>
    <row r="725">
      <c r="A725" s="158"/>
      <c r="B725" s="160"/>
      <c r="C725" s="103"/>
      <c r="D725" s="158"/>
      <c r="E725" s="103"/>
      <c r="F725" s="103"/>
      <c r="G725" s="103"/>
      <c r="H725" s="103"/>
      <c r="I725" s="103"/>
      <c r="J725" s="103"/>
      <c r="K725" s="160"/>
      <c r="L725" s="103"/>
      <c r="M725" s="158"/>
      <c r="N725" s="103"/>
      <c r="O725" s="103"/>
      <c r="P725" s="103"/>
      <c r="AC725" s="200"/>
    </row>
    <row r="726">
      <c r="A726" s="158"/>
      <c r="B726" s="160"/>
      <c r="C726" s="103"/>
      <c r="D726" s="158"/>
      <c r="E726" s="103"/>
      <c r="F726" s="103"/>
      <c r="G726" s="103"/>
      <c r="H726" s="103"/>
      <c r="I726" s="103"/>
      <c r="J726" s="103"/>
      <c r="K726" s="160"/>
      <c r="L726" s="103"/>
      <c r="M726" s="158"/>
      <c r="N726" s="103"/>
      <c r="O726" s="103"/>
      <c r="P726" s="103"/>
      <c r="AC726" s="200"/>
    </row>
    <row r="727">
      <c r="A727" s="158"/>
      <c r="B727" s="160"/>
      <c r="C727" s="103"/>
      <c r="D727" s="158"/>
      <c r="E727" s="103"/>
      <c r="F727" s="103"/>
      <c r="G727" s="103"/>
      <c r="H727" s="103"/>
      <c r="I727" s="103"/>
      <c r="J727" s="103"/>
      <c r="K727" s="160"/>
      <c r="L727" s="103"/>
      <c r="M727" s="158"/>
      <c r="N727" s="103"/>
      <c r="O727" s="103"/>
      <c r="P727" s="103"/>
      <c r="AC727" s="200"/>
    </row>
    <row r="728">
      <c r="A728" s="158"/>
      <c r="B728" s="160"/>
      <c r="C728" s="103"/>
      <c r="D728" s="158"/>
      <c r="E728" s="103"/>
      <c r="F728" s="103"/>
      <c r="G728" s="103"/>
      <c r="H728" s="103"/>
      <c r="I728" s="103"/>
      <c r="J728" s="103"/>
      <c r="K728" s="160"/>
      <c r="L728" s="103"/>
      <c r="M728" s="158"/>
      <c r="N728" s="103"/>
      <c r="O728" s="103"/>
      <c r="P728" s="103"/>
      <c r="AC728" s="200"/>
    </row>
    <row r="729">
      <c r="A729" s="158"/>
      <c r="B729" s="160"/>
      <c r="C729" s="103"/>
      <c r="D729" s="158"/>
      <c r="E729" s="103"/>
      <c r="F729" s="103"/>
      <c r="G729" s="103"/>
      <c r="H729" s="103"/>
      <c r="I729" s="103"/>
      <c r="J729" s="103"/>
      <c r="K729" s="160"/>
      <c r="L729" s="103"/>
      <c r="M729" s="158"/>
      <c r="N729" s="103"/>
      <c r="O729" s="103"/>
      <c r="P729" s="103"/>
      <c r="AC729" s="200"/>
    </row>
    <row r="730">
      <c r="A730" s="158"/>
      <c r="B730" s="160"/>
      <c r="C730" s="103"/>
      <c r="D730" s="158"/>
      <c r="E730" s="103"/>
      <c r="F730" s="103"/>
      <c r="G730" s="103"/>
      <c r="H730" s="103"/>
      <c r="I730" s="103"/>
      <c r="J730" s="103"/>
      <c r="K730" s="160"/>
      <c r="L730" s="103"/>
      <c r="M730" s="158"/>
      <c r="N730" s="103"/>
      <c r="O730" s="103"/>
      <c r="P730" s="103"/>
      <c r="AC730" s="200"/>
    </row>
    <row r="731">
      <c r="A731" s="158"/>
      <c r="B731" s="160"/>
      <c r="C731" s="103"/>
      <c r="D731" s="158"/>
      <c r="E731" s="103"/>
      <c r="F731" s="103"/>
      <c r="G731" s="103"/>
      <c r="H731" s="103"/>
      <c r="I731" s="103"/>
      <c r="J731" s="103"/>
      <c r="K731" s="160"/>
      <c r="L731" s="103"/>
      <c r="M731" s="158"/>
      <c r="N731" s="103"/>
      <c r="O731" s="103"/>
      <c r="P731" s="103"/>
      <c r="AC731" s="200"/>
    </row>
    <row r="732">
      <c r="A732" s="158"/>
      <c r="B732" s="160"/>
      <c r="C732" s="103"/>
      <c r="D732" s="158"/>
      <c r="E732" s="103"/>
      <c r="F732" s="103"/>
      <c r="G732" s="103"/>
      <c r="H732" s="103"/>
      <c r="I732" s="103"/>
      <c r="J732" s="103"/>
      <c r="K732" s="160"/>
      <c r="L732" s="103"/>
      <c r="M732" s="158"/>
      <c r="N732" s="103"/>
      <c r="O732" s="103"/>
      <c r="P732" s="103"/>
      <c r="AC732" s="200"/>
    </row>
    <row r="733">
      <c r="A733" s="158"/>
      <c r="B733" s="160"/>
      <c r="C733" s="103"/>
      <c r="D733" s="158"/>
      <c r="E733" s="103"/>
      <c r="F733" s="103"/>
      <c r="G733" s="103"/>
      <c r="H733" s="103"/>
      <c r="I733" s="103"/>
      <c r="J733" s="103"/>
      <c r="K733" s="160"/>
      <c r="L733" s="103"/>
      <c r="M733" s="158"/>
      <c r="N733" s="103"/>
      <c r="O733" s="103"/>
      <c r="P733" s="103"/>
      <c r="AC733" s="200"/>
    </row>
    <row r="734">
      <c r="A734" s="158"/>
      <c r="B734" s="160"/>
      <c r="C734" s="103"/>
      <c r="D734" s="158"/>
      <c r="E734" s="103"/>
      <c r="F734" s="103"/>
      <c r="G734" s="103"/>
      <c r="H734" s="103"/>
      <c r="I734" s="103"/>
      <c r="J734" s="103"/>
      <c r="K734" s="160"/>
      <c r="L734" s="103"/>
      <c r="M734" s="158"/>
      <c r="N734" s="103"/>
      <c r="O734" s="103"/>
      <c r="P734" s="103"/>
      <c r="AC734" s="200"/>
    </row>
    <row r="735">
      <c r="A735" s="158"/>
      <c r="B735" s="160"/>
      <c r="C735" s="103"/>
      <c r="D735" s="158"/>
      <c r="E735" s="103"/>
      <c r="F735" s="103"/>
      <c r="G735" s="103"/>
      <c r="H735" s="103"/>
      <c r="I735" s="103"/>
      <c r="J735" s="103"/>
      <c r="K735" s="160"/>
      <c r="L735" s="103"/>
      <c r="M735" s="158"/>
      <c r="N735" s="103"/>
      <c r="O735" s="103"/>
      <c r="P735" s="103"/>
      <c r="AC735" s="200"/>
    </row>
    <row r="736">
      <c r="A736" s="158"/>
      <c r="B736" s="160"/>
      <c r="C736" s="103"/>
      <c r="D736" s="158"/>
      <c r="E736" s="103"/>
      <c r="F736" s="103"/>
      <c r="G736" s="103"/>
      <c r="H736" s="103"/>
      <c r="I736" s="103"/>
      <c r="J736" s="103"/>
      <c r="K736" s="160"/>
      <c r="L736" s="103"/>
      <c r="M736" s="158"/>
      <c r="N736" s="103"/>
      <c r="O736" s="103"/>
      <c r="P736" s="103"/>
      <c r="AC736" s="200"/>
    </row>
    <row r="737">
      <c r="A737" s="158"/>
      <c r="B737" s="160"/>
      <c r="C737" s="103"/>
      <c r="D737" s="158"/>
      <c r="E737" s="103"/>
      <c r="F737" s="103"/>
      <c r="G737" s="103"/>
      <c r="H737" s="103"/>
      <c r="I737" s="103"/>
      <c r="J737" s="103"/>
      <c r="K737" s="160"/>
      <c r="L737" s="103"/>
      <c r="M737" s="158"/>
      <c r="N737" s="103"/>
      <c r="O737" s="103"/>
      <c r="P737" s="103"/>
      <c r="AC737" s="200"/>
    </row>
    <row r="738">
      <c r="A738" s="158"/>
      <c r="B738" s="160"/>
      <c r="C738" s="103"/>
      <c r="D738" s="158"/>
      <c r="E738" s="103"/>
      <c r="F738" s="103"/>
      <c r="G738" s="103"/>
      <c r="H738" s="103"/>
      <c r="I738" s="103"/>
      <c r="J738" s="103"/>
      <c r="K738" s="160"/>
      <c r="L738" s="103"/>
      <c r="M738" s="158"/>
      <c r="N738" s="103"/>
      <c r="O738" s="103"/>
      <c r="P738" s="103"/>
      <c r="AC738" s="200"/>
    </row>
    <row r="739">
      <c r="A739" s="158"/>
      <c r="B739" s="160"/>
      <c r="C739" s="103"/>
      <c r="D739" s="158"/>
      <c r="E739" s="103"/>
      <c r="F739" s="103"/>
      <c r="G739" s="103"/>
      <c r="H739" s="103"/>
      <c r="I739" s="103"/>
      <c r="J739" s="103"/>
      <c r="K739" s="160"/>
      <c r="L739" s="103"/>
      <c r="M739" s="158"/>
      <c r="N739" s="103"/>
      <c r="O739" s="103"/>
      <c r="P739" s="103"/>
      <c r="AC739" s="200"/>
    </row>
    <row r="740">
      <c r="A740" s="158"/>
      <c r="B740" s="160"/>
      <c r="C740" s="103"/>
      <c r="D740" s="158"/>
      <c r="E740" s="103"/>
      <c r="F740" s="103"/>
      <c r="G740" s="103"/>
      <c r="H740" s="103"/>
      <c r="I740" s="103"/>
      <c r="J740" s="103"/>
      <c r="K740" s="160"/>
      <c r="L740" s="103"/>
      <c r="M740" s="158"/>
      <c r="N740" s="103"/>
      <c r="O740" s="103"/>
      <c r="P740" s="103"/>
      <c r="AC740" s="200"/>
    </row>
    <row r="741">
      <c r="A741" s="158"/>
      <c r="B741" s="160"/>
      <c r="C741" s="103"/>
      <c r="D741" s="158"/>
      <c r="E741" s="103"/>
      <c r="F741" s="103"/>
      <c r="G741" s="103"/>
      <c r="H741" s="103"/>
      <c r="I741" s="103"/>
      <c r="J741" s="103"/>
      <c r="K741" s="160"/>
      <c r="L741" s="103"/>
      <c r="M741" s="158"/>
      <c r="N741" s="103"/>
      <c r="O741" s="103"/>
      <c r="P741" s="103"/>
      <c r="AC741" s="200"/>
    </row>
    <row r="742">
      <c r="A742" s="158"/>
      <c r="B742" s="160"/>
      <c r="C742" s="103"/>
      <c r="D742" s="158"/>
      <c r="E742" s="103"/>
      <c r="F742" s="103"/>
      <c r="G742" s="103"/>
      <c r="H742" s="103"/>
      <c r="I742" s="103"/>
      <c r="J742" s="103"/>
      <c r="K742" s="160"/>
      <c r="L742" s="103"/>
      <c r="M742" s="158"/>
      <c r="N742" s="103"/>
      <c r="O742" s="103"/>
      <c r="P742" s="103"/>
      <c r="AC742" s="200"/>
    </row>
    <row r="743">
      <c r="A743" s="158"/>
      <c r="B743" s="160"/>
      <c r="C743" s="103"/>
      <c r="D743" s="158"/>
      <c r="E743" s="103"/>
      <c r="F743" s="103"/>
      <c r="G743" s="103"/>
      <c r="H743" s="103"/>
      <c r="I743" s="103"/>
      <c r="J743" s="103"/>
      <c r="K743" s="160"/>
      <c r="L743" s="103"/>
      <c r="M743" s="158"/>
      <c r="N743" s="103"/>
      <c r="O743" s="103"/>
      <c r="P743" s="103"/>
      <c r="AC743" s="200"/>
    </row>
    <row r="744">
      <c r="A744" s="158"/>
      <c r="B744" s="160"/>
      <c r="C744" s="103"/>
      <c r="D744" s="158"/>
      <c r="E744" s="103"/>
      <c r="F744" s="103"/>
      <c r="G744" s="103"/>
      <c r="H744" s="103"/>
      <c r="I744" s="103"/>
      <c r="J744" s="103"/>
      <c r="K744" s="160"/>
      <c r="L744" s="103"/>
      <c r="M744" s="158"/>
      <c r="N744" s="103"/>
      <c r="O744" s="103"/>
      <c r="P744" s="103"/>
      <c r="AC744" s="200"/>
    </row>
    <row r="745">
      <c r="A745" s="158"/>
      <c r="B745" s="160"/>
      <c r="C745" s="103"/>
      <c r="D745" s="158"/>
      <c r="E745" s="103"/>
      <c r="F745" s="103"/>
      <c r="G745" s="103"/>
      <c r="H745" s="103"/>
      <c r="I745" s="103"/>
      <c r="J745" s="103"/>
      <c r="K745" s="160"/>
      <c r="L745" s="103"/>
      <c r="M745" s="158"/>
      <c r="N745" s="103"/>
      <c r="O745" s="103"/>
      <c r="P745" s="103"/>
      <c r="AC745" s="200"/>
    </row>
    <row r="746">
      <c r="A746" s="158"/>
      <c r="B746" s="160"/>
      <c r="C746" s="103"/>
      <c r="D746" s="158"/>
      <c r="E746" s="103"/>
      <c r="F746" s="103"/>
      <c r="G746" s="103"/>
      <c r="H746" s="103"/>
      <c r="I746" s="103"/>
      <c r="J746" s="103"/>
      <c r="K746" s="160"/>
      <c r="L746" s="103"/>
      <c r="M746" s="158"/>
      <c r="N746" s="103"/>
      <c r="O746" s="103"/>
      <c r="P746" s="103"/>
      <c r="AC746" s="200"/>
    </row>
    <row r="747">
      <c r="A747" s="158"/>
      <c r="B747" s="160"/>
      <c r="C747" s="103"/>
      <c r="D747" s="158"/>
      <c r="E747" s="103"/>
      <c r="F747" s="103"/>
      <c r="G747" s="103"/>
      <c r="H747" s="103"/>
      <c r="I747" s="103"/>
      <c r="J747" s="103"/>
      <c r="K747" s="160"/>
      <c r="L747" s="103"/>
      <c r="M747" s="158"/>
      <c r="N747" s="103"/>
      <c r="O747" s="103"/>
      <c r="P747" s="103"/>
      <c r="AC747" s="200"/>
    </row>
    <row r="748">
      <c r="A748" s="158"/>
      <c r="B748" s="160"/>
      <c r="C748" s="103"/>
      <c r="D748" s="158"/>
      <c r="E748" s="103"/>
      <c r="F748" s="103"/>
      <c r="G748" s="103"/>
      <c r="H748" s="103"/>
      <c r="I748" s="103"/>
      <c r="J748" s="103"/>
      <c r="K748" s="160"/>
      <c r="L748" s="103"/>
      <c r="M748" s="158"/>
      <c r="N748" s="103"/>
      <c r="O748" s="103"/>
      <c r="P748" s="103"/>
      <c r="AC748" s="200"/>
    </row>
    <row r="749">
      <c r="A749" s="158"/>
      <c r="B749" s="160"/>
      <c r="C749" s="103"/>
      <c r="D749" s="158"/>
      <c r="E749" s="103"/>
      <c r="F749" s="103"/>
      <c r="G749" s="103"/>
      <c r="H749" s="103"/>
      <c r="I749" s="103"/>
      <c r="J749" s="103"/>
      <c r="K749" s="160"/>
      <c r="L749" s="103"/>
      <c r="M749" s="158"/>
      <c r="N749" s="103"/>
      <c r="O749" s="103"/>
      <c r="P749" s="103"/>
      <c r="AC749" s="200"/>
    </row>
    <row r="750">
      <c r="A750" s="158"/>
      <c r="B750" s="160"/>
      <c r="C750" s="103"/>
      <c r="D750" s="158"/>
      <c r="E750" s="103"/>
      <c r="F750" s="103"/>
      <c r="G750" s="103"/>
      <c r="H750" s="103"/>
      <c r="I750" s="103"/>
      <c r="J750" s="103"/>
      <c r="K750" s="160"/>
      <c r="L750" s="103"/>
      <c r="M750" s="158"/>
      <c r="N750" s="103"/>
      <c r="O750" s="103"/>
      <c r="P750" s="103"/>
      <c r="AC750" s="200"/>
    </row>
    <row r="751">
      <c r="A751" s="158"/>
      <c r="B751" s="160"/>
      <c r="C751" s="103"/>
      <c r="D751" s="158"/>
      <c r="E751" s="103"/>
      <c r="F751" s="103"/>
      <c r="G751" s="103"/>
      <c r="H751" s="103"/>
      <c r="I751" s="103"/>
      <c r="J751" s="103"/>
      <c r="K751" s="160"/>
      <c r="L751" s="103"/>
      <c r="M751" s="158"/>
      <c r="N751" s="103"/>
      <c r="O751" s="103"/>
      <c r="P751" s="103"/>
      <c r="AC751" s="200"/>
    </row>
    <row r="752">
      <c r="A752" s="158"/>
      <c r="B752" s="160"/>
      <c r="C752" s="103"/>
      <c r="D752" s="158"/>
      <c r="E752" s="103"/>
      <c r="F752" s="103"/>
      <c r="G752" s="103"/>
      <c r="H752" s="103"/>
      <c r="I752" s="103"/>
      <c r="J752" s="103"/>
      <c r="K752" s="160"/>
      <c r="L752" s="103"/>
      <c r="M752" s="158"/>
      <c r="N752" s="103"/>
      <c r="O752" s="103"/>
      <c r="P752" s="103"/>
      <c r="AC752" s="200"/>
    </row>
    <row r="753">
      <c r="A753" s="158"/>
      <c r="B753" s="160"/>
      <c r="C753" s="103"/>
      <c r="D753" s="158"/>
      <c r="E753" s="103"/>
      <c r="F753" s="103"/>
      <c r="G753" s="103"/>
      <c r="H753" s="103"/>
      <c r="I753" s="103"/>
      <c r="J753" s="103"/>
      <c r="K753" s="160"/>
      <c r="L753" s="103"/>
      <c r="M753" s="158"/>
      <c r="N753" s="103"/>
      <c r="O753" s="103"/>
      <c r="P753" s="103"/>
      <c r="AC753" s="200"/>
    </row>
    <row r="754">
      <c r="A754" s="158"/>
      <c r="B754" s="160"/>
      <c r="C754" s="103"/>
      <c r="D754" s="158"/>
      <c r="E754" s="103"/>
      <c r="F754" s="103"/>
      <c r="G754" s="103"/>
      <c r="H754" s="103"/>
      <c r="I754" s="103"/>
      <c r="J754" s="103"/>
      <c r="K754" s="160"/>
      <c r="L754" s="103"/>
      <c r="M754" s="158"/>
      <c r="N754" s="103"/>
      <c r="O754" s="103"/>
      <c r="P754" s="103"/>
      <c r="AC754" s="200"/>
    </row>
    <row r="755">
      <c r="A755" s="158"/>
      <c r="B755" s="160"/>
      <c r="C755" s="103"/>
      <c r="D755" s="158"/>
      <c r="E755" s="103"/>
      <c r="F755" s="103"/>
      <c r="G755" s="103"/>
      <c r="H755" s="103"/>
      <c r="I755" s="103"/>
      <c r="J755" s="103"/>
      <c r="K755" s="160"/>
      <c r="L755" s="103"/>
      <c r="M755" s="158"/>
      <c r="N755" s="103"/>
      <c r="O755" s="103"/>
      <c r="P755" s="103"/>
      <c r="AC755" s="200"/>
    </row>
    <row r="756">
      <c r="A756" s="158"/>
      <c r="B756" s="160"/>
      <c r="C756" s="103"/>
      <c r="D756" s="158"/>
      <c r="E756" s="103"/>
      <c r="F756" s="103"/>
      <c r="G756" s="103"/>
      <c r="H756" s="103"/>
      <c r="I756" s="103"/>
      <c r="J756" s="103"/>
      <c r="K756" s="160"/>
      <c r="L756" s="103"/>
      <c r="M756" s="158"/>
      <c r="N756" s="103"/>
      <c r="O756" s="103"/>
      <c r="P756" s="103"/>
      <c r="AC756" s="200"/>
    </row>
    <row r="757">
      <c r="A757" s="158"/>
      <c r="B757" s="160"/>
      <c r="C757" s="103"/>
      <c r="D757" s="158"/>
      <c r="E757" s="103"/>
      <c r="F757" s="103"/>
      <c r="G757" s="103"/>
      <c r="H757" s="103"/>
      <c r="I757" s="103"/>
      <c r="J757" s="103"/>
      <c r="K757" s="160"/>
      <c r="L757" s="103"/>
      <c r="M757" s="158"/>
      <c r="N757" s="103"/>
      <c r="O757" s="103"/>
      <c r="P757" s="103"/>
      <c r="AC757" s="200"/>
    </row>
    <row r="758">
      <c r="A758" s="158"/>
      <c r="B758" s="160"/>
      <c r="C758" s="103"/>
      <c r="D758" s="158"/>
      <c r="E758" s="103"/>
      <c r="F758" s="103"/>
      <c r="G758" s="103"/>
      <c r="H758" s="103"/>
      <c r="I758" s="103"/>
      <c r="J758" s="103"/>
      <c r="K758" s="160"/>
      <c r="L758" s="103"/>
      <c r="M758" s="158"/>
      <c r="N758" s="103"/>
      <c r="O758" s="103"/>
      <c r="P758" s="103"/>
      <c r="AC758" s="200"/>
    </row>
    <row r="759">
      <c r="A759" s="158"/>
      <c r="B759" s="160"/>
      <c r="C759" s="103"/>
      <c r="D759" s="158"/>
      <c r="E759" s="103"/>
      <c r="F759" s="103"/>
      <c r="G759" s="103"/>
      <c r="H759" s="103"/>
      <c r="I759" s="103"/>
      <c r="J759" s="103"/>
      <c r="K759" s="160"/>
      <c r="L759" s="103"/>
      <c r="M759" s="158"/>
      <c r="N759" s="103"/>
      <c r="O759" s="103"/>
      <c r="P759" s="103"/>
      <c r="AC759" s="200"/>
    </row>
    <row r="760">
      <c r="A760" s="158"/>
      <c r="B760" s="160"/>
      <c r="C760" s="103"/>
      <c r="D760" s="158"/>
      <c r="E760" s="103"/>
      <c r="F760" s="103"/>
      <c r="G760" s="103"/>
      <c r="H760" s="103"/>
      <c r="I760" s="103"/>
      <c r="J760" s="103"/>
      <c r="K760" s="160"/>
      <c r="L760" s="103"/>
      <c r="M760" s="158"/>
      <c r="N760" s="103"/>
      <c r="O760" s="103"/>
      <c r="P760" s="103"/>
      <c r="AC760" s="200"/>
    </row>
    <row r="761">
      <c r="A761" s="158"/>
      <c r="B761" s="160"/>
      <c r="C761" s="103"/>
      <c r="D761" s="158"/>
      <c r="E761" s="103"/>
      <c r="F761" s="103"/>
      <c r="G761" s="103"/>
      <c r="H761" s="103"/>
      <c r="I761" s="103"/>
      <c r="J761" s="103"/>
      <c r="K761" s="160"/>
      <c r="L761" s="103"/>
      <c r="M761" s="158"/>
      <c r="N761" s="103"/>
      <c r="O761" s="103"/>
      <c r="P761" s="103"/>
      <c r="AC761" s="200"/>
    </row>
    <row r="762">
      <c r="A762" s="158"/>
      <c r="B762" s="160"/>
      <c r="C762" s="103"/>
      <c r="D762" s="158"/>
      <c r="E762" s="103"/>
      <c r="F762" s="103"/>
      <c r="G762" s="103"/>
      <c r="H762" s="103"/>
      <c r="I762" s="103"/>
      <c r="J762" s="103"/>
      <c r="K762" s="160"/>
      <c r="L762" s="103"/>
      <c r="M762" s="158"/>
      <c r="N762" s="103"/>
      <c r="O762" s="103"/>
      <c r="P762" s="103"/>
      <c r="AC762" s="200"/>
    </row>
    <row r="763">
      <c r="A763" s="158"/>
      <c r="B763" s="160"/>
      <c r="C763" s="103"/>
      <c r="D763" s="158"/>
      <c r="E763" s="103"/>
      <c r="F763" s="103"/>
      <c r="G763" s="103"/>
      <c r="H763" s="103"/>
      <c r="I763" s="103"/>
      <c r="J763" s="103"/>
      <c r="K763" s="160"/>
      <c r="L763" s="103"/>
      <c r="M763" s="158"/>
      <c r="N763" s="103"/>
      <c r="O763" s="103"/>
      <c r="P763" s="103"/>
      <c r="AC763" s="200"/>
    </row>
    <row r="764">
      <c r="A764" s="158"/>
      <c r="B764" s="160"/>
      <c r="C764" s="103"/>
      <c r="D764" s="158"/>
      <c r="E764" s="103"/>
      <c r="F764" s="103"/>
      <c r="G764" s="103"/>
      <c r="H764" s="103"/>
      <c r="I764" s="103"/>
      <c r="J764" s="103"/>
      <c r="K764" s="160"/>
      <c r="L764" s="103"/>
      <c r="M764" s="158"/>
      <c r="N764" s="103"/>
      <c r="O764" s="103"/>
      <c r="P764" s="103"/>
      <c r="AC764" s="200"/>
    </row>
    <row r="765">
      <c r="A765" s="158"/>
      <c r="B765" s="160"/>
      <c r="C765" s="103"/>
      <c r="D765" s="158"/>
      <c r="E765" s="103"/>
      <c r="F765" s="103"/>
      <c r="G765" s="103"/>
      <c r="H765" s="103"/>
      <c r="I765" s="103"/>
      <c r="J765" s="103"/>
      <c r="K765" s="160"/>
      <c r="L765" s="103"/>
      <c r="M765" s="158"/>
      <c r="N765" s="103"/>
      <c r="O765" s="103"/>
      <c r="P765" s="103"/>
      <c r="AC765" s="200"/>
    </row>
    <row r="766">
      <c r="A766" s="158"/>
      <c r="B766" s="160"/>
      <c r="C766" s="103"/>
      <c r="D766" s="158"/>
      <c r="E766" s="103"/>
      <c r="F766" s="103"/>
      <c r="G766" s="103"/>
      <c r="H766" s="103"/>
      <c r="I766" s="103"/>
      <c r="J766" s="103"/>
      <c r="K766" s="160"/>
      <c r="L766" s="103"/>
      <c r="M766" s="158"/>
      <c r="N766" s="103"/>
      <c r="O766" s="103"/>
      <c r="P766" s="103"/>
      <c r="AC766" s="200"/>
    </row>
    <row r="767">
      <c r="A767" s="158"/>
      <c r="B767" s="160"/>
      <c r="C767" s="103"/>
      <c r="D767" s="158"/>
      <c r="E767" s="103"/>
      <c r="F767" s="103"/>
      <c r="G767" s="103"/>
      <c r="H767" s="103"/>
      <c r="I767" s="103"/>
      <c r="J767" s="103"/>
      <c r="K767" s="160"/>
      <c r="L767" s="103"/>
      <c r="M767" s="158"/>
      <c r="N767" s="103"/>
      <c r="O767" s="103"/>
      <c r="P767" s="103"/>
      <c r="AC767" s="200"/>
    </row>
    <row r="768">
      <c r="A768" s="158"/>
      <c r="B768" s="160"/>
      <c r="C768" s="103"/>
      <c r="D768" s="158"/>
      <c r="E768" s="103"/>
      <c r="F768" s="103"/>
      <c r="G768" s="103"/>
      <c r="H768" s="103"/>
      <c r="I768" s="103"/>
      <c r="J768" s="103"/>
      <c r="K768" s="160"/>
      <c r="L768" s="103"/>
      <c r="M768" s="158"/>
      <c r="N768" s="103"/>
      <c r="O768" s="103"/>
      <c r="P768" s="103"/>
      <c r="AC768" s="200"/>
    </row>
    <row r="769">
      <c r="A769" s="158"/>
      <c r="B769" s="160"/>
      <c r="C769" s="103"/>
      <c r="D769" s="158"/>
      <c r="E769" s="103"/>
      <c r="F769" s="103"/>
      <c r="G769" s="103"/>
      <c r="H769" s="103"/>
      <c r="I769" s="103"/>
      <c r="J769" s="103"/>
      <c r="K769" s="160"/>
      <c r="L769" s="103"/>
      <c r="M769" s="158"/>
      <c r="N769" s="103"/>
      <c r="O769" s="103"/>
      <c r="P769" s="103"/>
      <c r="AC769" s="200"/>
    </row>
    <row r="770">
      <c r="A770" s="158"/>
      <c r="B770" s="160"/>
      <c r="C770" s="103"/>
      <c r="D770" s="158"/>
      <c r="E770" s="103"/>
      <c r="F770" s="103"/>
      <c r="G770" s="103"/>
      <c r="H770" s="103"/>
      <c r="I770" s="103"/>
      <c r="J770" s="103"/>
      <c r="K770" s="160"/>
      <c r="L770" s="103"/>
      <c r="M770" s="158"/>
      <c r="N770" s="103"/>
      <c r="O770" s="103"/>
      <c r="P770" s="103"/>
      <c r="AC770" s="200"/>
    </row>
    <row r="771">
      <c r="A771" s="158"/>
      <c r="B771" s="160"/>
      <c r="C771" s="103"/>
      <c r="D771" s="158"/>
      <c r="E771" s="103"/>
      <c r="F771" s="103"/>
      <c r="G771" s="103"/>
      <c r="H771" s="103"/>
      <c r="I771" s="103"/>
      <c r="J771" s="103"/>
      <c r="K771" s="160"/>
      <c r="L771" s="103"/>
      <c r="M771" s="158"/>
      <c r="N771" s="103"/>
      <c r="O771" s="103"/>
      <c r="P771" s="103"/>
      <c r="AC771" s="200"/>
    </row>
    <row r="772">
      <c r="A772" s="158"/>
      <c r="B772" s="160"/>
      <c r="C772" s="103"/>
      <c r="D772" s="158"/>
      <c r="E772" s="103"/>
      <c r="F772" s="103"/>
      <c r="G772" s="103"/>
      <c r="H772" s="103"/>
      <c r="I772" s="103"/>
      <c r="J772" s="103"/>
      <c r="K772" s="160"/>
      <c r="L772" s="103"/>
      <c r="M772" s="158"/>
      <c r="N772" s="103"/>
      <c r="O772" s="103"/>
      <c r="P772" s="103"/>
      <c r="AC772" s="200"/>
    </row>
    <row r="773">
      <c r="A773" s="158"/>
      <c r="B773" s="160"/>
      <c r="C773" s="103"/>
      <c r="D773" s="158"/>
      <c r="E773" s="103"/>
      <c r="F773" s="103"/>
      <c r="G773" s="103"/>
      <c r="H773" s="103"/>
      <c r="I773" s="103"/>
      <c r="J773" s="103"/>
      <c r="K773" s="160"/>
      <c r="L773" s="103"/>
      <c r="M773" s="158"/>
      <c r="N773" s="103"/>
      <c r="O773" s="103"/>
      <c r="P773" s="103"/>
      <c r="AC773" s="200"/>
    </row>
    <row r="774">
      <c r="A774" s="158"/>
      <c r="B774" s="160"/>
      <c r="C774" s="103"/>
      <c r="D774" s="158"/>
      <c r="E774" s="103"/>
      <c r="F774" s="103"/>
      <c r="G774" s="103"/>
      <c r="H774" s="103"/>
      <c r="I774" s="103"/>
      <c r="J774" s="103"/>
      <c r="K774" s="160"/>
      <c r="L774" s="103"/>
      <c r="M774" s="158"/>
      <c r="N774" s="103"/>
      <c r="O774" s="103"/>
      <c r="P774" s="103"/>
      <c r="AC774" s="200"/>
    </row>
    <row r="775">
      <c r="A775" s="158"/>
      <c r="B775" s="160"/>
      <c r="C775" s="103"/>
      <c r="D775" s="158"/>
      <c r="E775" s="103"/>
      <c r="F775" s="103"/>
      <c r="G775" s="103"/>
      <c r="H775" s="103"/>
      <c r="I775" s="103"/>
      <c r="J775" s="103"/>
      <c r="K775" s="160"/>
      <c r="L775" s="103"/>
      <c r="M775" s="158"/>
      <c r="N775" s="103"/>
      <c r="O775" s="103"/>
      <c r="P775" s="103"/>
      <c r="AC775" s="200"/>
    </row>
    <row r="776">
      <c r="A776" s="158"/>
      <c r="B776" s="160"/>
      <c r="C776" s="103"/>
      <c r="D776" s="158"/>
      <c r="E776" s="103"/>
      <c r="F776" s="103"/>
      <c r="G776" s="103"/>
      <c r="H776" s="103"/>
      <c r="I776" s="103"/>
      <c r="J776" s="103"/>
      <c r="K776" s="160"/>
      <c r="L776" s="103"/>
      <c r="M776" s="158"/>
      <c r="N776" s="103"/>
      <c r="O776" s="103"/>
      <c r="P776" s="103"/>
      <c r="AC776" s="200"/>
    </row>
    <row r="777">
      <c r="A777" s="158"/>
      <c r="B777" s="160"/>
      <c r="C777" s="103"/>
      <c r="D777" s="158"/>
      <c r="E777" s="103"/>
      <c r="F777" s="103"/>
      <c r="G777" s="103"/>
      <c r="H777" s="103"/>
      <c r="I777" s="103"/>
      <c r="J777" s="103"/>
      <c r="K777" s="160"/>
      <c r="L777" s="103"/>
      <c r="M777" s="158"/>
      <c r="N777" s="103"/>
      <c r="O777" s="103"/>
      <c r="P777" s="103"/>
      <c r="AC777" s="200"/>
    </row>
    <row r="778">
      <c r="A778" s="158"/>
      <c r="B778" s="160"/>
      <c r="C778" s="103"/>
      <c r="D778" s="158"/>
      <c r="E778" s="103"/>
      <c r="F778" s="103"/>
      <c r="G778" s="103"/>
      <c r="H778" s="103"/>
      <c r="I778" s="103"/>
      <c r="J778" s="103"/>
      <c r="K778" s="160"/>
      <c r="L778" s="103"/>
      <c r="M778" s="158"/>
      <c r="N778" s="103"/>
      <c r="O778" s="103"/>
      <c r="P778" s="103"/>
      <c r="AC778" s="200"/>
    </row>
    <row r="779">
      <c r="A779" s="158"/>
      <c r="B779" s="160"/>
      <c r="C779" s="103"/>
      <c r="D779" s="158"/>
      <c r="E779" s="103"/>
      <c r="F779" s="103"/>
      <c r="G779" s="103"/>
      <c r="H779" s="103"/>
      <c r="I779" s="103"/>
      <c r="J779" s="103"/>
      <c r="K779" s="160"/>
      <c r="L779" s="103"/>
      <c r="M779" s="158"/>
      <c r="N779" s="103"/>
      <c r="O779" s="103"/>
      <c r="P779" s="103"/>
      <c r="AC779" s="200"/>
    </row>
    <row r="780">
      <c r="A780" s="158"/>
      <c r="B780" s="160"/>
      <c r="C780" s="103"/>
      <c r="D780" s="158"/>
      <c r="E780" s="103"/>
      <c r="F780" s="103"/>
      <c r="G780" s="103"/>
      <c r="H780" s="103"/>
      <c r="I780" s="103"/>
      <c r="J780" s="103"/>
      <c r="K780" s="160"/>
      <c r="L780" s="103"/>
      <c r="M780" s="158"/>
      <c r="N780" s="103"/>
      <c r="O780" s="103"/>
      <c r="P780" s="103"/>
      <c r="AC780" s="200"/>
    </row>
    <row r="781">
      <c r="A781" s="158"/>
      <c r="B781" s="160"/>
      <c r="C781" s="103"/>
      <c r="D781" s="158"/>
      <c r="E781" s="103"/>
      <c r="F781" s="103"/>
      <c r="G781" s="103"/>
      <c r="H781" s="103"/>
      <c r="I781" s="103"/>
      <c r="J781" s="103"/>
      <c r="K781" s="160"/>
      <c r="L781" s="103"/>
      <c r="M781" s="158"/>
      <c r="N781" s="103"/>
      <c r="O781" s="103"/>
      <c r="P781" s="103"/>
      <c r="AC781" s="200"/>
    </row>
    <row r="782">
      <c r="A782" s="158"/>
      <c r="B782" s="160"/>
      <c r="C782" s="103"/>
      <c r="D782" s="158"/>
      <c r="E782" s="103"/>
      <c r="F782" s="103"/>
      <c r="G782" s="103"/>
      <c r="H782" s="103"/>
      <c r="I782" s="103"/>
      <c r="J782" s="103"/>
      <c r="K782" s="160"/>
      <c r="L782" s="103"/>
      <c r="M782" s="158"/>
      <c r="N782" s="103"/>
      <c r="O782" s="103"/>
      <c r="P782" s="103"/>
      <c r="AC782" s="200"/>
    </row>
    <row r="783">
      <c r="A783" s="158"/>
      <c r="B783" s="160"/>
      <c r="C783" s="103"/>
      <c r="D783" s="158"/>
      <c r="E783" s="103"/>
      <c r="F783" s="103"/>
      <c r="G783" s="103"/>
      <c r="H783" s="103"/>
      <c r="I783" s="103"/>
      <c r="J783" s="103"/>
      <c r="K783" s="160"/>
      <c r="L783" s="103"/>
      <c r="M783" s="158"/>
      <c r="N783" s="103"/>
      <c r="O783" s="103"/>
      <c r="P783" s="103"/>
      <c r="AC783" s="200"/>
    </row>
    <row r="784">
      <c r="A784" s="158"/>
      <c r="B784" s="160"/>
      <c r="C784" s="103"/>
      <c r="D784" s="158"/>
      <c r="E784" s="103"/>
      <c r="F784" s="103"/>
      <c r="G784" s="103"/>
      <c r="H784" s="103"/>
      <c r="I784" s="103"/>
      <c r="J784" s="103"/>
      <c r="K784" s="160"/>
      <c r="L784" s="103"/>
      <c r="M784" s="158"/>
      <c r="N784" s="103"/>
      <c r="O784" s="103"/>
      <c r="P784" s="103"/>
      <c r="AC784" s="200"/>
    </row>
    <row r="785">
      <c r="A785" s="158"/>
      <c r="B785" s="160"/>
      <c r="C785" s="103"/>
      <c r="D785" s="158"/>
      <c r="E785" s="103"/>
      <c r="F785" s="103"/>
      <c r="G785" s="103"/>
      <c r="H785" s="103"/>
      <c r="I785" s="103"/>
      <c r="J785" s="103"/>
      <c r="K785" s="160"/>
      <c r="L785" s="103"/>
      <c r="M785" s="158"/>
      <c r="N785" s="103"/>
      <c r="O785" s="103"/>
      <c r="P785" s="103"/>
      <c r="AC785" s="200"/>
    </row>
    <row r="786">
      <c r="A786" s="158"/>
      <c r="B786" s="160"/>
      <c r="C786" s="103"/>
      <c r="D786" s="158"/>
      <c r="E786" s="103"/>
      <c r="F786" s="103"/>
      <c r="G786" s="103"/>
      <c r="H786" s="103"/>
      <c r="I786" s="103"/>
      <c r="J786" s="103"/>
      <c r="K786" s="160"/>
      <c r="L786" s="103"/>
      <c r="M786" s="158"/>
      <c r="N786" s="103"/>
      <c r="O786" s="103"/>
      <c r="P786" s="103"/>
      <c r="AC786" s="200"/>
    </row>
    <row r="787">
      <c r="A787" s="158"/>
      <c r="B787" s="160"/>
      <c r="C787" s="103"/>
      <c r="D787" s="158"/>
      <c r="E787" s="103"/>
      <c r="F787" s="103"/>
      <c r="G787" s="103"/>
      <c r="H787" s="103"/>
      <c r="I787" s="103"/>
      <c r="J787" s="103"/>
      <c r="K787" s="160"/>
      <c r="L787" s="103"/>
      <c r="M787" s="158"/>
      <c r="N787" s="103"/>
      <c r="O787" s="103"/>
      <c r="P787" s="103"/>
      <c r="AC787" s="200"/>
    </row>
    <row r="788">
      <c r="A788" s="158"/>
      <c r="B788" s="160"/>
      <c r="C788" s="103"/>
      <c r="D788" s="158"/>
      <c r="E788" s="103"/>
      <c r="F788" s="103"/>
      <c r="G788" s="103"/>
      <c r="H788" s="103"/>
      <c r="I788" s="103"/>
      <c r="J788" s="103"/>
      <c r="K788" s="160"/>
      <c r="L788" s="103"/>
      <c r="M788" s="158"/>
      <c r="N788" s="103"/>
      <c r="O788" s="103"/>
      <c r="P788" s="103"/>
      <c r="AC788" s="200"/>
    </row>
    <row r="789">
      <c r="A789" s="158"/>
      <c r="B789" s="160"/>
      <c r="C789" s="103"/>
      <c r="D789" s="158"/>
      <c r="E789" s="103"/>
      <c r="F789" s="103"/>
      <c r="G789" s="103"/>
      <c r="H789" s="103"/>
      <c r="I789" s="103"/>
      <c r="J789" s="103"/>
      <c r="K789" s="160"/>
      <c r="L789" s="103"/>
      <c r="M789" s="158"/>
      <c r="N789" s="103"/>
      <c r="O789" s="103"/>
      <c r="P789" s="103"/>
      <c r="AC789" s="200"/>
    </row>
    <row r="790">
      <c r="A790" s="158"/>
      <c r="B790" s="160"/>
      <c r="C790" s="103"/>
      <c r="D790" s="158"/>
      <c r="E790" s="103"/>
      <c r="F790" s="103"/>
      <c r="G790" s="103"/>
      <c r="H790" s="103"/>
      <c r="I790" s="103"/>
      <c r="J790" s="103"/>
      <c r="K790" s="160"/>
      <c r="L790" s="103"/>
      <c r="M790" s="158"/>
      <c r="N790" s="103"/>
      <c r="O790" s="103"/>
      <c r="P790" s="103"/>
      <c r="AC790" s="200"/>
    </row>
    <row r="791">
      <c r="A791" s="158"/>
      <c r="B791" s="160"/>
      <c r="C791" s="103"/>
      <c r="D791" s="158"/>
      <c r="E791" s="103"/>
      <c r="F791" s="103"/>
      <c r="G791" s="103"/>
      <c r="H791" s="103"/>
      <c r="I791" s="103"/>
      <c r="J791" s="103"/>
      <c r="K791" s="160"/>
      <c r="L791" s="103"/>
      <c r="M791" s="158"/>
      <c r="N791" s="103"/>
      <c r="O791" s="103"/>
      <c r="P791" s="103"/>
      <c r="AC791" s="200"/>
    </row>
    <row r="792">
      <c r="A792" s="158"/>
      <c r="B792" s="160"/>
      <c r="C792" s="103"/>
      <c r="D792" s="158"/>
      <c r="E792" s="103"/>
      <c r="F792" s="103"/>
      <c r="G792" s="103"/>
      <c r="H792" s="103"/>
      <c r="I792" s="103"/>
      <c r="J792" s="103"/>
      <c r="K792" s="160"/>
      <c r="L792" s="103"/>
      <c r="M792" s="158"/>
      <c r="N792" s="103"/>
      <c r="O792" s="103"/>
      <c r="P792" s="103"/>
      <c r="AC792" s="200"/>
    </row>
    <row r="793">
      <c r="A793" s="158"/>
      <c r="B793" s="160"/>
      <c r="C793" s="103"/>
      <c r="D793" s="158"/>
      <c r="E793" s="103"/>
      <c r="F793" s="103"/>
      <c r="G793" s="103"/>
      <c r="H793" s="103"/>
      <c r="I793" s="103"/>
      <c r="J793" s="103"/>
      <c r="K793" s="160"/>
      <c r="L793" s="103"/>
      <c r="M793" s="158"/>
      <c r="N793" s="103"/>
      <c r="O793" s="103"/>
      <c r="P793" s="103"/>
      <c r="AC793" s="200"/>
    </row>
    <row r="794">
      <c r="A794" s="158"/>
      <c r="B794" s="160"/>
      <c r="C794" s="103"/>
      <c r="D794" s="158"/>
      <c r="E794" s="103"/>
      <c r="F794" s="103"/>
      <c r="G794" s="103"/>
      <c r="H794" s="103"/>
      <c r="I794" s="103"/>
      <c r="J794" s="103"/>
      <c r="K794" s="160"/>
      <c r="L794" s="103"/>
      <c r="M794" s="158"/>
      <c r="N794" s="103"/>
      <c r="O794" s="103"/>
      <c r="P794" s="103"/>
      <c r="AC794" s="200"/>
    </row>
    <row r="795">
      <c r="A795" s="158"/>
      <c r="B795" s="160"/>
      <c r="C795" s="103"/>
      <c r="D795" s="158"/>
      <c r="E795" s="103"/>
      <c r="F795" s="103"/>
      <c r="G795" s="103"/>
      <c r="H795" s="103"/>
      <c r="I795" s="103"/>
      <c r="J795" s="103"/>
      <c r="K795" s="160"/>
      <c r="L795" s="103"/>
      <c r="M795" s="158"/>
      <c r="N795" s="103"/>
      <c r="O795" s="103"/>
      <c r="P795" s="103"/>
      <c r="AC795" s="200"/>
    </row>
    <row r="796">
      <c r="A796" s="158"/>
      <c r="B796" s="160"/>
      <c r="C796" s="103"/>
      <c r="D796" s="158"/>
      <c r="E796" s="103"/>
      <c r="F796" s="103"/>
      <c r="G796" s="103"/>
      <c r="H796" s="103"/>
      <c r="I796" s="103"/>
      <c r="J796" s="103"/>
      <c r="K796" s="160"/>
      <c r="L796" s="103"/>
      <c r="M796" s="158"/>
      <c r="N796" s="103"/>
      <c r="O796" s="103"/>
      <c r="P796" s="103"/>
      <c r="AC796" s="200"/>
    </row>
    <row r="797">
      <c r="A797" s="158"/>
      <c r="B797" s="160"/>
      <c r="C797" s="103"/>
      <c r="D797" s="158"/>
      <c r="E797" s="103"/>
      <c r="F797" s="103"/>
      <c r="G797" s="103"/>
      <c r="H797" s="103"/>
      <c r="I797" s="103"/>
      <c r="J797" s="103"/>
      <c r="K797" s="160"/>
      <c r="L797" s="103"/>
      <c r="M797" s="158"/>
      <c r="N797" s="103"/>
      <c r="O797" s="103"/>
      <c r="P797" s="103"/>
      <c r="AC797" s="200"/>
    </row>
    <row r="798">
      <c r="A798" s="158"/>
      <c r="B798" s="160"/>
      <c r="C798" s="103"/>
      <c r="D798" s="158"/>
      <c r="E798" s="103"/>
      <c r="F798" s="103"/>
      <c r="G798" s="103"/>
      <c r="H798" s="103"/>
      <c r="I798" s="103"/>
      <c r="J798" s="103"/>
      <c r="K798" s="160"/>
      <c r="L798" s="103"/>
      <c r="M798" s="158"/>
      <c r="N798" s="103"/>
      <c r="O798" s="103"/>
      <c r="P798" s="103"/>
      <c r="AC798" s="200"/>
    </row>
    <row r="799">
      <c r="A799" s="158"/>
      <c r="B799" s="160"/>
      <c r="C799" s="103"/>
      <c r="D799" s="158"/>
      <c r="E799" s="103"/>
      <c r="F799" s="103"/>
      <c r="G799" s="103"/>
      <c r="H799" s="103"/>
      <c r="I799" s="103"/>
      <c r="J799" s="103"/>
      <c r="K799" s="160"/>
      <c r="L799" s="103"/>
      <c r="M799" s="158"/>
      <c r="N799" s="103"/>
      <c r="O799" s="103"/>
      <c r="P799" s="103"/>
      <c r="AC799" s="200"/>
    </row>
    <row r="800">
      <c r="A800" s="158"/>
      <c r="B800" s="160"/>
      <c r="C800" s="103"/>
      <c r="D800" s="158"/>
      <c r="E800" s="103"/>
      <c r="F800" s="103"/>
      <c r="G800" s="103"/>
      <c r="H800" s="103"/>
      <c r="I800" s="103"/>
      <c r="J800" s="103"/>
      <c r="K800" s="160"/>
      <c r="L800" s="103"/>
      <c r="M800" s="158"/>
      <c r="N800" s="103"/>
      <c r="O800" s="103"/>
      <c r="P800" s="103"/>
      <c r="AC800" s="200"/>
    </row>
    <row r="801">
      <c r="A801" s="158"/>
      <c r="B801" s="160"/>
      <c r="C801" s="103"/>
      <c r="D801" s="158"/>
      <c r="E801" s="103"/>
      <c r="F801" s="103"/>
      <c r="G801" s="103"/>
      <c r="H801" s="103"/>
      <c r="I801" s="103"/>
      <c r="J801" s="103"/>
      <c r="K801" s="160"/>
      <c r="L801" s="103"/>
      <c r="M801" s="158"/>
      <c r="N801" s="103"/>
      <c r="O801" s="103"/>
      <c r="P801" s="103"/>
      <c r="AC801" s="200"/>
    </row>
    <row r="802">
      <c r="A802" s="158"/>
      <c r="B802" s="160"/>
      <c r="C802" s="103"/>
      <c r="D802" s="158"/>
      <c r="E802" s="103"/>
      <c r="F802" s="103"/>
      <c r="G802" s="103"/>
      <c r="H802" s="103"/>
      <c r="I802" s="103"/>
      <c r="J802" s="103"/>
      <c r="K802" s="160"/>
      <c r="L802" s="103"/>
      <c r="M802" s="158"/>
      <c r="N802" s="103"/>
      <c r="O802" s="103"/>
      <c r="P802" s="103"/>
      <c r="AC802" s="200"/>
    </row>
    <row r="803">
      <c r="A803" s="158"/>
      <c r="B803" s="160"/>
      <c r="C803" s="103"/>
      <c r="D803" s="158"/>
      <c r="E803" s="103"/>
      <c r="F803" s="103"/>
      <c r="G803" s="103"/>
      <c r="H803" s="103"/>
      <c r="I803" s="103"/>
      <c r="J803" s="103"/>
      <c r="K803" s="160"/>
      <c r="L803" s="103"/>
      <c r="M803" s="158"/>
      <c r="N803" s="103"/>
      <c r="O803" s="103"/>
      <c r="P803" s="103"/>
      <c r="AC803" s="200"/>
    </row>
    <row r="804">
      <c r="A804" s="158"/>
      <c r="B804" s="160"/>
      <c r="C804" s="103"/>
      <c r="D804" s="158"/>
      <c r="E804" s="103"/>
      <c r="F804" s="103"/>
      <c r="G804" s="103"/>
      <c r="H804" s="103"/>
      <c r="I804" s="103"/>
      <c r="J804" s="103"/>
      <c r="K804" s="160"/>
      <c r="L804" s="103"/>
      <c r="M804" s="158"/>
      <c r="N804" s="103"/>
      <c r="O804" s="103"/>
      <c r="P804" s="103"/>
      <c r="AC804" s="200"/>
    </row>
    <row r="805">
      <c r="A805" s="158"/>
      <c r="B805" s="160"/>
      <c r="C805" s="103"/>
      <c r="D805" s="158"/>
      <c r="E805" s="103"/>
      <c r="F805" s="103"/>
      <c r="G805" s="103"/>
      <c r="H805" s="103"/>
      <c r="I805" s="103"/>
      <c r="J805" s="103"/>
      <c r="K805" s="160"/>
      <c r="L805" s="103"/>
      <c r="M805" s="158"/>
      <c r="N805" s="103"/>
      <c r="O805" s="103"/>
      <c r="P805" s="103"/>
      <c r="AC805" s="200"/>
    </row>
    <row r="806">
      <c r="A806" s="158"/>
      <c r="B806" s="160"/>
      <c r="C806" s="103"/>
      <c r="D806" s="158"/>
      <c r="E806" s="103"/>
      <c r="F806" s="103"/>
      <c r="G806" s="103"/>
      <c r="H806" s="103"/>
      <c r="I806" s="103"/>
      <c r="J806" s="103"/>
      <c r="K806" s="160"/>
      <c r="L806" s="103"/>
      <c r="M806" s="158"/>
      <c r="N806" s="103"/>
      <c r="O806" s="103"/>
      <c r="P806" s="103"/>
      <c r="AC806" s="200"/>
    </row>
    <row r="807">
      <c r="A807" s="158"/>
      <c r="B807" s="160"/>
      <c r="C807" s="103"/>
      <c r="D807" s="158"/>
      <c r="E807" s="103"/>
      <c r="F807" s="103"/>
      <c r="G807" s="103"/>
      <c r="H807" s="103"/>
      <c r="I807" s="103"/>
      <c r="J807" s="103"/>
      <c r="K807" s="160"/>
      <c r="L807" s="103"/>
      <c r="M807" s="158"/>
      <c r="N807" s="103"/>
      <c r="O807" s="103"/>
      <c r="P807" s="103"/>
      <c r="AC807" s="200"/>
    </row>
    <row r="808">
      <c r="A808" s="158"/>
      <c r="B808" s="160"/>
      <c r="C808" s="103"/>
      <c r="D808" s="158"/>
      <c r="E808" s="103"/>
      <c r="F808" s="103"/>
      <c r="G808" s="103"/>
      <c r="H808" s="103"/>
      <c r="I808" s="103"/>
      <c r="J808" s="103"/>
      <c r="K808" s="160"/>
      <c r="L808" s="103"/>
      <c r="M808" s="158"/>
      <c r="N808" s="103"/>
      <c r="O808" s="103"/>
      <c r="P808" s="103"/>
      <c r="AC808" s="200"/>
    </row>
    <row r="809">
      <c r="A809" s="158"/>
      <c r="B809" s="160"/>
      <c r="C809" s="103"/>
      <c r="D809" s="158"/>
      <c r="E809" s="103"/>
      <c r="F809" s="103"/>
      <c r="G809" s="103"/>
      <c r="H809" s="103"/>
      <c r="I809" s="103"/>
      <c r="J809" s="103"/>
      <c r="K809" s="160"/>
      <c r="L809" s="103"/>
      <c r="M809" s="158"/>
      <c r="N809" s="103"/>
      <c r="O809" s="103"/>
      <c r="P809" s="103"/>
      <c r="AC809" s="200"/>
    </row>
    <row r="810">
      <c r="A810" s="158"/>
      <c r="B810" s="160"/>
      <c r="C810" s="103"/>
      <c r="D810" s="158"/>
      <c r="E810" s="103"/>
      <c r="F810" s="103"/>
      <c r="G810" s="103"/>
      <c r="H810" s="103"/>
      <c r="I810" s="103"/>
      <c r="J810" s="103"/>
      <c r="K810" s="160"/>
      <c r="L810" s="103"/>
      <c r="M810" s="158"/>
      <c r="N810" s="103"/>
      <c r="O810" s="103"/>
      <c r="P810" s="103"/>
      <c r="AC810" s="200"/>
    </row>
    <row r="811">
      <c r="A811" s="158"/>
      <c r="B811" s="160"/>
      <c r="C811" s="103"/>
      <c r="D811" s="158"/>
      <c r="E811" s="103"/>
      <c r="F811" s="103"/>
      <c r="G811" s="103"/>
      <c r="H811" s="103"/>
      <c r="I811" s="103"/>
      <c r="J811" s="103"/>
      <c r="K811" s="160"/>
      <c r="L811" s="103"/>
      <c r="M811" s="158"/>
      <c r="N811" s="103"/>
      <c r="O811" s="103"/>
      <c r="P811" s="103"/>
      <c r="AC811" s="200"/>
    </row>
    <row r="812">
      <c r="A812" s="158"/>
      <c r="B812" s="160"/>
      <c r="C812" s="103"/>
      <c r="D812" s="158"/>
      <c r="E812" s="103"/>
      <c r="F812" s="103"/>
      <c r="G812" s="103"/>
      <c r="H812" s="103"/>
      <c r="I812" s="103"/>
      <c r="J812" s="103"/>
      <c r="K812" s="160"/>
      <c r="L812" s="103"/>
      <c r="M812" s="158"/>
      <c r="N812" s="103"/>
      <c r="O812" s="103"/>
      <c r="P812" s="103"/>
      <c r="AC812" s="200"/>
    </row>
    <row r="813">
      <c r="A813" s="158"/>
      <c r="B813" s="160"/>
      <c r="C813" s="103"/>
      <c r="D813" s="158"/>
      <c r="E813" s="103"/>
      <c r="F813" s="103"/>
      <c r="G813" s="103"/>
      <c r="H813" s="103"/>
      <c r="I813" s="103"/>
      <c r="J813" s="103"/>
      <c r="K813" s="160"/>
      <c r="L813" s="103"/>
      <c r="M813" s="158"/>
      <c r="N813" s="103"/>
      <c r="O813" s="103"/>
      <c r="P813" s="103"/>
      <c r="AC813" s="200"/>
    </row>
    <row r="814">
      <c r="A814" s="158"/>
      <c r="B814" s="160"/>
      <c r="C814" s="103"/>
      <c r="D814" s="158"/>
      <c r="E814" s="103"/>
      <c r="F814" s="103"/>
      <c r="G814" s="103"/>
      <c r="H814" s="103"/>
      <c r="I814" s="103"/>
      <c r="J814" s="103"/>
      <c r="K814" s="160"/>
      <c r="L814" s="103"/>
      <c r="M814" s="158"/>
      <c r="N814" s="103"/>
      <c r="O814" s="103"/>
      <c r="P814" s="103"/>
      <c r="AC814" s="200"/>
    </row>
    <row r="815">
      <c r="A815" s="158"/>
      <c r="B815" s="160"/>
      <c r="C815" s="103"/>
      <c r="D815" s="158"/>
      <c r="E815" s="103"/>
      <c r="F815" s="103"/>
      <c r="G815" s="103"/>
      <c r="H815" s="103"/>
      <c r="I815" s="103"/>
      <c r="J815" s="103"/>
      <c r="K815" s="160"/>
      <c r="L815" s="103"/>
      <c r="M815" s="158"/>
      <c r="N815" s="103"/>
      <c r="O815" s="103"/>
      <c r="P815" s="103"/>
      <c r="AC815" s="200"/>
    </row>
    <row r="816">
      <c r="A816" s="158"/>
      <c r="B816" s="160"/>
      <c r="C816" s="103"/>
      <c r="D816" s="158"/>
      <c r="E816" s="103"/>
      <c r="F816" s="103"/>
      <c r="G816" s="103"/>
      <c r="H816" s="103"/>
      <c r="I816" s="103"/>
      <c r="J816" s="103"/>
      <c r="K816" s="160"/>
      <c r="L816" s="103"/>
      <c r="M816" s="158"/>
      <c r="N816" s="103"/>
      <c r="O816" s="103"/>
      <c r="P816" s="103"/>
      <c r="AC816" s="200"/>
    </row>
    <row r="817">
      <c r="A817" s="158"/>
      <c r="B817" s="160"/>
      <c r="C817" s="103"/>
      <c r="D817" s="158"/>
      <c r="E817" s="103"/>
      <c r="F817" s="103"/>
      <c r="G817" s="103"/>
      <c r="H817" s="103"/>
      <c r="I817" s="103"/>
      <c r="J817" s="103"/>
      <c r="K817" s="160"/>
      <c r="L817" s="103"/>
      <c r="M817" s="158"/>
      <c r="N817" s="103"/>
      <c r="O817" s="103"/>
      <c r="P817" s="103"/>
      <c r="AC817" s="200"/>
    </row>
    <row r="818">
      <c r="A818" s="158"/>
      <c r="B818" s="160"/>
      <c r="C818" s="103"/>
      <c r="D818" s="158"/>
      <c r="E818" s="103"/>
      <c r="F818" s="103"/>
      <c r="G818" s="103"/>
      <c r="H818" s="103"/>
      <c r="I818" s="103"/>
      <c r="J818" s="103"/>
      <c r="K818" s="160"/>
      <c r="L818" s="103"/>
      <c r="M818" s="158"/>
      <c r="N818" s="103"/>
      <c r="O818" s="103"/>
      <c r="P818" s="103"/>
      <c r="AC818" s="200"/>
    </row>
    <row r="819">
      <c r="A819" s="158"/>
      <c r="B819" s="160"/>
      <c r="C819" s="103"/>
      <c r="D819" s="158"/>
      <c r="E819" s="103"/>
      <c r="F819" s="103"/>
      <c r="G819" s="103"/>
      <c r="H819" s="103"/>
      <c r="I819" s="103"/>
      <c r="J819" s="103"/>
      <c r="K819" s="160"/>
      <c r="L819" s="103"/>
      <c r="M819" s="158"/>
      <c r="N819" s="103"/>
      <c r="O819" s="103"/>
      <c r="P819" s="103"/>
      <c r="AC819" s="200"/>
    </row>
    <row r="820">
      <c r="A820" s="158"/>
      <c r="B820" s="160"/>
      <c r="C820" s="103"/>
      <c r="D820" s="158"/>
      <c r="E820" s="103"/>
      <c r="F820" s="103"/>
      <c r="G820" s="103"/>
      <c r="H820" s="103"/>
      <c r="I820" s="103"/>
      <c r="J820" s="103"/>
      <c r="K820" s="160"/>
      <c r="L820" s="103"/>
      <c r="M820" s="158"/>
      <c r="N820" s="103"/>
      <c r="O820" s="103"/>
      <c r="P820" s="103"/>
      <c r="AC820" s="200"/>
    </row>
    <row r="821">
      <c r="A821" s="158"/>
      <c r="B821" s="160"/>
      <c r="C821" s="103"/>
      <c r="D821" s="158"/>
      <c r="E821" s="103"/>
      <c r="F821" s="103"/>
      <c r="G821" s="103"/>
      <c r="H821" s="103"/>
      <c r="I821" s="103"/>
      <c r="J821" s="103"/>
      <c r="K821" s="160"/>
      <c r="L821" s="103"/>
      <c r="M821" s="158"/>
      <c r="N821" s="103"/>
      <c r="O821" s="103"/>
      <c r="P821" s="103"/>
      <c r="AC821" s="200"/>
    </row>
    <row r="822">
      <c r="A822" s="158"/>
      <c r="B822" s="160"/>
      <c r="C822" s="103"/>
      <c r="D822" s="158"/>
      <c r="E822" s="103"/>
      <c r="F822" s="103"/>
      <c r="G822" s="103"/>
      <c r="H822" s="103"/>
      <c r="I822" s="103"/>
      <c r="J822" s="103"/>
      <c r="K822" s="160"/>
      <c r="L822" s="103"/>
      <c r="M822" s="158"/>
      <c r="N822" s="103"/>
      <c r="O822" s="103"/>
      <c r="P822" s="103"/>
      <c r="AC822" s="200"/>
    </row>
    <row r="823">
      <c r="A823" s="158"/>
      <c r="B823" s="160"/>
      <c r="C823" s="103"/>
      <c r="D823" s="158"/>
      <c r="E823" s="103"/>
      <c r="F823" s="103"/>
      <c r="G823" s="103"/>
      <c r="H823" s="103"/>
      <c r="I823" s="103"/>
      <c r="J823" s="103"/>
      <c r="K823" s="160"/>
      <c r="L823" s="103"/>
      <c r="M823" s="158"/>
      <c r="N823" s="103"/>
      <c r="O823" s="103"/>
      <c r="P823" s="103"/>
      <c r="AC823" s="200"/>
    </row>
    <row r="824">
      <c r="A824" s="158"/>
      <c r="B824" s="160"/>
      <c r="C824" s="103"/>
      <c r="D824" s="158"/>
      <c r="E824" s="103"/>
      <c r="F824" s="103"/>
      <c r="G824" s="103"/>
      <c r="H824" s="103"/>
      <c r="I824" s="103"/>
      <c r="J824" s="103"/>
      <c r="K824" s="160"/>
      <c r="L824" s="103"/>
      <c r="M824" s="158"/>
      <c r="N824" s="103"/>
      <c r="O824" s="103"/>
      <c r="P824" s="103"/>
      <c r="AC824" s="200"/>
    </row>
    <row r="825">
      <c r="A825" s="158"/>
      <c r="B825" s="160"/>
      <c r="C825" s="103"/>
      <c r="D825" s="158"/>
      <c r="E825" s="103"/>
      <c r="F825" s="103"/>
      <c r="G825" s="103"/>
      <c r="H825" s="103"/>
      <c r="I825" s="103"/>
      <c r="J825" s="103"/>
      <c r="K825" s="160"/>
      <c r="L825" s="103"/>
      <c r="M825" s="158"/>
      <c r="N825" s="103"/>
      <c r="O825" s="103"/>
      <c r="P825" s="103"/>
      <c r="AC825" s="200"/>
    </row>
    <row r="826">
      <c r="A826" s="158"/>
      <c r="B826" s="160"/>
      <c r="C826" s="103"/>
      <c r="D826" s="158"/>
      <c r="E826" s="103"/>
      <c r="F826" s="103"/>
      <c r="G826" s="103"/>
      <c r="H826" s="103"/>
      <c r="I826" s="103"/>
      <c r="J826" s="103"/>
      <c r="K826" s="160"/>
      <c r="L826" s="103"/>
      <c r="M826" s="158"/>
      <c r="N826" s="103"/>
      <c r="O826" s="103"/>
      <c r="P826" s="103"/>
      <c r="AC826" s="200"/>
    </row>
    <row r="827">
      <c r="A827" s="158"/>
      <c r="B827" s="160"/>
      <c r="C827" s="103"/>
      <c r="D827" s="158"/>
      <c r="E827" s="103"/>
      <c r="F827" s="103"/>
      <c r="G827" s="103"/>
      <c r="H827" s="103"/>
      <c r="I827" s="103"/>
      <c r="J827" s="103"/>
      <c r="K827" s="160"/>
      <c r="L827" s="103"/>
      <c r="M827" s="158"/>
      <c r="N827" s="103"/>
      <c r="O827" s="103"/>
      <c r="P827" s="103"/>
      <c r="AC827" s="200"/>
    </row>
    <row r="828">
      <c r="A828" s="158"/>
      <c r="B828" s="160"/>
      <c r="C828" s="103"/>
      <c r="D828" s="158"/>
      <c r="E828" s="103"/>
      <c r="F828" s="103"/>
      <c r="G828" s="103"/>
      <c r="H828" s="103"/>
      <c r="I828" s="103"/>
      <c r="J828" s="103"/>
      <c r="K828" s="160"/>
      <c r="L828" s="103"/>
      <c r="M828" s="158"/>
      <c r="N828" s="103"/>
      <c r="O828" s="103"/>
      <c r="P828" s="103"/>
      <c r="AC828" s="200"/>
    </row>
    <row r="829">
      <c r="A829" s="158"/>
      <c r="B829" s="160"/>
      <c r="C829" s="103"/>
      <c r="D829" s="158"/>
      <c r="E829" s="103"/>
      <c r="F829" s="103"/>
      <c r="G829" s="103"/>
      <c r="H829" s="103"/>
      <c r="I829" s="103"/>
      <c r="J829" s="103"/>
      <c r="K829" s="160"/>
      <c r="L829" s="103"/>
      <c r="M829" s="158"/>
      <c r="N829" s="103"/>
      <c r="O829" s="103"/>
      <c r="P829" s="103"/>
      <c r="AC829" s="200"/>
    </row>
    <row r="830">
      <c r="A830" s="158"/>
      <c r="B830" s="160"/>
      <c r="C830" s="103"/>
      <c r="D830" s="158"/>
      <c r="E830" s="103"/>
      <c r="F830" s="103"/>
      <c r="G830" s="103"/>
      <c r="H830" s="103"/>
      <c r="I830" s="103"/>
      <c r="J830" s="103"/>
      <c r="K830" s="160"/>
      <c r="L830" s="103"/>
      <c r="M830" s="158"/>
      <c r="N830" s="103"/>
      <c r="O830" s="103"/>
      <c r="P830" s="103"/>
      <c r="AC830" s="200"/>
    </row>
    <row r="831">
      <c r="A831" s="158"/>
      <c r="B831" s="160"/>
      <c r="C831" s="103"/>
      <c r="D831" s="158"/>
      <c r="E831" s="103"/>
      <c r="F831" s="103"/>
      <c r="G831" s="103"/>
      <c r="H831" s="103"/>
      <c r="I831" s="103"/>
      <c r="J831" s="103"/>
      <c r="K831" s="160"/>
      <c r="L831" s="103"/>
      <c r="M831" s="158"/>
      <c r="N831" s="103"/>
      <c r="O831" s="103"/>
      <c r="P831" s="103"/>
      <c r="AC831" s="200"/>
    </row>
    <row r="832">
      <c r="A832" s="158"/>
      <c r="B832" s="160"/>
      <c r="C832" s="103"/>
      <c r="D832" s="158"/>
      <c r="E832" s="103"/>
      <c r="F832" s="103"/>
      <c r="G832" s="103"/>
      <c r="H832" s="103"/>
      <c r="I832" s="103"/>
      <c r="J832" s="103"/>
      <c r="K832" s="160"/>
      <c r="L832" s="103"/>
      <c r="M832" s="158"/>
      <c r="N832" s="103"/>
      <c r="O832" s="103"/>
      <c r="P832" s="103"/>
      <c r="AC832" s="200"/>
    </row>
    <row r="833">
      <c r="A833" s="158"/>
      <c r="B833" s="160"/>
      <c r="C833" s="103"/>
      <c r="D833" s="158"/>
      <c r="E833" s="103"/>
      <c r="F833" s="103"/>
      <c r="G833" s="103"/>
      <c r="H833" s="103"/>
      <c r="I833" s="103"/>
      <c r="J833" s="103"/>
      <c r="K833" s="160"/>
      <c r="L833" s="103"/>
      <c r="M833" s="158"/>
      <c r="N833" s="103"/>
      <c r="O833" s="103"/>
      <c r="P833" s="103"/>
      <c r="AC833" s="200"/>
    </row>
    <row r="834">
      <c r="A834" s="158"/>
      <c r="B834" s="160"/>
      <c r="C834" s="103"/>
      <c r="D834" s="158"/>
      <c r="E834" s="103"/>
      <c r="F834" s="103"/>
      <c r="G834" s="103"/>
      <c r="H834" s="103"/>
      <c r="I834" s="103"/>
      <c r="J834" s="103"/>
      <c r="K834" s="160"/>
      <c r="L834" s="103"/>
      <c r="M834" s="158"/>
      <c r="N834" s="103"/>
      <c r="O834" s="103"/>
      <c r="P834" s="103"/>
      <c r="AC834" s="200"/>
    </row>
    <row r="835">
      <c r="A835" s="158"/>
      <c r="B835" s="160"/>
      <c r="C835" s="103"/>
      <c r="D835" s="158"/>
      <c r="E835" s="103"/>
      <c r="F835" s="103"/>
      <c r="G835" s="103"/>
      <c r="H835" s="103"/>
      <c r="I835" s="103"/>
      <c r="J835" s="103"/>
      <c r="K835" s="160"/>
      <c r="L835" s="103"/>
      <c r="M835" s="158"/>
      <c r="N835" s="103"/>
      <c r="O835" s="103"/>
      <c r="P835" s="103"/>
      <c r="AC835" s="200"/>
    </row>
    <row r="836">
      <c r="A836" s="158"/>
      <c r="B836" s="160"/>
      <c r="C836" s="103"/>
      <c r="D836" s="158"/>
      <c r="E836" s="103"/>
      <c r="F836" s="103"/>
      <c r="G836" s="103"/>
      <c r="H836" s="103"/>
      <c r="I836" s="103"/>
      <c r="J836" s="103"/>
      <c r="K836" s="160"/>
      <c r="L836" s="103"/>
      <c r="M836" s="158"/>
      <c r="N836" s="103"/>
      <c r="O836" s="103"/>
      <c r="P836" s="103"/>
      <c r="AC836" s="200"/>
    </row>
    <row r="837">
      <c r="A837" s="158"/>
      <c r="B837" s="160"/>
      <c r="C837" s="103"/>
      <c r="D837" s="158"/>
      <c r="E837" s="103"/>
      <c r="F837" s="103"/>
      <c r="G837" s="103"/>
      <c r="H837" s="103"/>
      <c r="I837" s="103"/>
      <c r="J837" s="103"/>
      <c r="K837" s="160"/>
      <c r="L837" s="103"/>
      <c r="M837" s="158"/>
      <c r="N837" s="103"/>
      <c r="O837" s="103"/>
      <c r="P837" s="103"/>
      <c r="AC837" s="200"/>
    </row>
    <row r="838">
      <c r="A838" s="158"/>
      <c r="B838" s="160"/>
      <c r="C838" s="103"/>
      <c r="D838" s="158"/>
      <c r="E838" s="103"/>
      <c r="F838" s="103"/>
      <c r="G838" s="103"/>
      <c r="H838" s="103"/>
      <c r="I838" s="103"/>
      <c r="J838" s="103"/>
      <c r="K838" s="160"/>
      <c r="L838" s="103"/>
      <c r="M838" s="158"/>
      <c r="N838" s="103"/>
      <c r="O838" s="103"/>
      <c r="P838" s="103"/>
      <c r="AC838" s="200"/>
    </row>
    <row r="839">
      <c r="A839" s="158"/>
      <c r="B839" s="160"/>
      <c r="C839" s="103"/>
      <c r="D839" s="158"/>
      <c r="E839" s="103"/>
      <c r="F839" s="103"/>
      <c r="G839" s="103"/>
      <c r="H839" s="103"/>
      <c r="I839" s="103"/>
      <c r="J839" s="103"/>
      <c r="K839" s="160"/>
      <c r="L839" s="103"/>
      <c r="M839" s="158"/>
      <c r="N839" s="103"/>
      <c r="O839" s="103"/>
      <c r="P839" s="103"/>
      <c r="AC839" s="200"/>
    </row>
    <row r="840">
      <c r="A840" s="158"/>
      <c r="B840" s="160"/>
      <c r="C840" s="103"/>
      <c r="D840" s="158"/>
      <c r="E840" s="103"/>
      <c r="F840" s="103"/>
      <c r="G840" s="103"/>
      <c r="H840" s="103"/>
      <c r="I840" s="103"/>
      <c r="J840" s="103"/>
      <c r="K840" s="160"/>
      <c r="L840" s="103"/>
      <c r="M840" s="158"/>
      <c r="N840" s="103"/>
      <c r="O840" s="103"/>
      <c r="P840" s="103"/>
      <c r="AC840" s="200"/>
    </row>
    <row r="841">
      <c r="A841" s="158"/>
      <c r="B841" s="160"/>
      <c r="C841" s="103"/>
      <c r="D841" s="158"/>
      <c r="E841" s="103"/>
      <c r="F841" s="103"/>
      <c r="G841" s="103"/>
      <c r="H841" s="103"/>
      <c r="I841" s="103"/>
      <c r="J841" s="103"/>
      <c r="K841" s="160"/>
      <c r="L841" s="103"/>
      <c r="M841" s="158"/>
      <c r="N841" s="103"/>
      <c r="O841" s="103"/>
      <c r="P841" s="103"/>
      <c r="AC841" s="200"/>
    </row>
    <row r="842">
      <c r="A842" s="158"/>
      <c r="B842" s="160"/>
      <c r="C842" s="103"/>
      <c r="D842" s="158"/>
      <c r="E842" s="103"/>
      <c r="F842" s="103"/>
      <c r="G842" s="103"/>
      <c r="H842" s="103"/>
      <c r="I842" s="103"/>
      <c r="J842" s="103"/>
      <c r="K842" s="160"/>
      <c r="L842" s="103"/>
      <c r="M842" s="158"/>
      <c r="N842" s="103"/>
      <c r="O842" s="103"/>
      <c r="P842" s="103"/>
      <c r="AC842" s="200"/>
    </row>
    <row r="843">
      <c r="A843" s="158"/>
      <c r="B843" s="160"/>
      <c r="C843" s="103"/>
      <c r="D843" s="158"/>
      <c r="E843" s="103"/>
      <c r="F843" s="103"/>
      <c r="G843" s="103"/>
      <c r="H843" s="103"/>
      <c r="I843" s="103"/>
      <c r="J843" s="103"/>
      <c r="K843" s="160"/>
      <c r="L843" s="103"/>
      <c r="M843" s="158"/>
      <c r="N843" s="103"/>
      <c r="O843" s="103"/>
      <c r="P843" s="103"/>
      <c r="AC843" s="200"/>
    </row>
    <row r="844">
      <c r="A844" s="158"/>
      <c r="B844" s="160"/>
      <c r="C844" s="103"/>
      <c r="D844" s="158"/>
      <c r="E844" s="103"/>
      <c r="F844" s="103"/>
      <c r="G844" s="103"/>
      <c r="H844" s="103"/>
      <c r="I844" s="103"/>
      <c r="J844" s="103"/>
      <c r="K844" s="160"/>
      <c r="L844" s="103"/>
      <c r="M844" s="158"/>
      <c r="N844" s="103"/>
      <c r="O844" s="103"/>
      <c r="P844" s="103"/>
      <c r="AC844" s="200"/>
    </row>
    <row r="845">
      <c r="A845" s="158"/>
      <c r="B845" s="160"/>
      <c r="C845" s="103"/>
      <c r="D845" s="158"/>
      <c r="E845" s="103"/>
      <c r="F845" s="103"/>
      <c r="G845" s="103"/>
      <c r="H845" s="103"/>
      <c r="I845" s="103"/>
      <c r="J845" s="103"/>
      <c r="K845" s="160"/>
      <c r="L845" s="103"/>
      <c r="M845" s="158"/>
      <c r="N845" s="103"/>
      <c r="O845" s="103"/>
      <c r="P845" s="103"/>
      <c r="AC845" s="200"/>
    </row>
    <row r="846">
      <c r="A846" s="158"/>
      <c r="B846" s="160"/>
      <c r="C846" s="103"/>
      <c r="D846" s="158"/>
      <c r="E846" s="103"/>
      <c r="F846" s="103"/>
      <c r="G846" s="103"/>
      <c r="H846" s="103"/>
      <c r="I846" s="103"/>
      <c r="J846" s="103"/>
      <c r="K846" s="160"/>
      <c r="L846" s="103"/>
      <c r="M846" s="158"/>
      <c r="N846" s="103"/>
      <c r="O846" s="103"/>
      <c r="P846" s="103"/>
      <c r="AC846" s="200"/>
    </row>
    <row r="847">
      <c r="A847" s="158"/>
      <c r="B847" s="160"/>
      <c r="C847" s="103"/>
      <c r="D847" s="158"/>
      <c r="E847" s="103"/>
      <c r="F847" s="103"/>
      <c r="G847" s="103"/>
      <c r="H847" s="103"/>
      <c r="I847" s="103"/>
      <c r="J847" s="103"/>
      <c r="K847" s="160"/>
      <c r="L847" s="103"/>
      <c r="M847" s="158"/>
      <c r="N847" s="103"/>
      <c r="O847" s="103"/>
      <c r="P847" s="103"/>
      <c r="AC847" s="200"/>
    </row>
    <row r="848">
      <c r="A848" s="158"/>
      <c r="B848" s="160"/>
      <c r="C848" s="103"/>
      <c r="D848" s="158"/>
      <c r="E848" s="103"/>
      <c r="F848" s="103"/>
      <c r="G848" s="103"/>
      <c r="H848" s="103"/>
      <c r="I848" s="103"/>
      <c r="J848" s="103"/>
      <c r="K848" s="160"/>
      <c r="L848" s="103"/>
      <c r="M848" s="158"/>
      <c r="N848" s="103"/>
      <c r="O848" s="103"/>
      <c r="P848" s="103"/>
      <c r="AC848" s="200"/>
    </row>
    <row r="849">
      <c r="A849" s="158"/>
      <c r="B849" s="160"/>
      <c r="C849" s="103"/>
      <c r="D849" s="158"/>
      <c r="E849" s="103"/>
      <c r="F849" s="103"/>
      <c r="G849" s="103"/>
      <c r="H849" s="103"/>
      <c r="I849" s="103"/>
      <c r="J849" s="103"/>
      <c r="K849" s="160"/>
      <c r="L849" s="103"/>
      <c r="M849" s="158"/>
      <c r="N849" s="103"/>
      <c r="O849" s="103"/>
      <c r="P849" s="103"/>
      <c r="AC849" s="200"/>
    </row>
    <row r="850">
      <c r="A850" s="158"/>
      <c r="B850" s="160"/>
      <c r="C850" s="103"/>
      <c r="D850" s="158"/>
      <c r="E850" s="103"/>
      <c r="F850" s="103"/>
      <c r="G850" s="103"/>
      <c r="H850" s="103"/>
      <c r="I850" s="103"/>
      <c r="J850" s="103"/>
      <c r="K850" s="160"/>
      <c r="L850" s="103"/>
      <c r="M850" s="158"/>
      <c r="N850" s="103"/>
      <c r="O850" s="103"/>
      <c r="P850" s="103"/>
      <c r="AC850" s="200"/>
    </row>
    <row r="851">
      <c r="A851" s="158"/>
      <c r="B851" s="160"/>
      <c r="C851" s="103"/>
      <c r="D851" s="158"/>
      <c r="E851" s="103"/>
      <c r="F851" s="103"/>
      <c r="G851" s="103"/>
      <c r="H851" s="103"/>
      <c r="I851" s="103"/>
      <c r="J851" s="103"/>
      <c r="K851" s="160"/>
      <c r="L851" s="103"/>
      <c r="M851" s="158"/>
      <c r="N851" s="103"/>
      <c r="O851" s="103"/>
      <c r="P851" s="103"/>
      <c r="AC851" s="200"/>
    </row>
    <row r="852">
      <c r="A852" s="158"/>
      <c r="B852" s="160"/>
      <c r="C852" s="103"/>
      <c r="D852" s="158"/>
      <c r="E852" s="103"/>
      <c r="F852" s="103"/>
      <c r="G852" s="103"/>
      <c r="H852" s="103"/>
      <c r="I852" s="103"/>
      <c r="J852" s="103"/>
      <c r="K852" s="160"/>
      <c r="L852" s="103"/>
      <c r="M852" s="158"/>
      <c r="N852" s="103"/>
      <c r="O852" s="103"/>
      <c r="P852" s="103"/>
      <c r="AC852" s="200"/>
    </row>
    <row r="853">
      <c r="A853" s="158"/>
      <c r="B853" s="160"/>
      <c r="C853" s="103"/>
      <c r="D853" s="158"/>
      <c r="E853" s="103"/>
      <c r="F853" s="103"/>
      <c r="G853" s="103"/>
      <c r="H853" s="103"/>
      <c r="I853" s="103"/>
      <c r="J853" s="103"/>
      <c r="K853" s="160"/>
      <c r="L853" s="103"/>
      <c r="M853" s="158"/>
      <c r="N853" s="103"/>
      <c r="O853" s="103"/>
      <c r="P853" s="103"/>
      <c r="AC853" s="200"/>
    </row>
    <row r="854">
      <c r="A854" s="158"/>
      <c r="B854" s="160"/>
      <c r="C854" s="103"/>
      <c r="D854" s="158"/>
      <c r="E854" s="103"/>
      <c r="F854" s="103"/>
      <c r="G854" s="103"/>
      <c r="H854" s="103"/>
      <c r="I854" s="103"/>
      <c r="J854" s="103"/>
      <c r="K854" s="160"/>
      <c r="L854" s="103"/>
      <c r="M854" s="158"/>
      <c r="N854" s="103"/>
      <c r="O854" s="103"/>
      <c r="P854" s="103"/>
      <c r="AC854" s="200"/>
    </row>
    <row r="855">
      <c r="A855" s="158"/>
      <c r="B855" s="160"/>
      <c r="C855" s="103"/>
      <c r="D855" s="158"/>
      <c r="E855" s="103"/>
      <c r="F855" s="103"/>
      <c r="G855" s="103"/>
      <c r="H855" s="103"/>
      <c r="I855" s="103"/>
      <c r="J855" s="103"/>
      <c r="K855" s="160"/>
      <c r="L855" s="103"/>
      <c r="M855" s="158"/>
      <c r="N855" s="103"/>
      <c r="O855" s="103"/>
      <c r="P855" s="103"/>
      <c r="AC855" s="200"/>
    </row>
    <row r="856">
      <c r="A856" s="158"/>
      <c r="B856" s="160"/>
      <c r="C856" s="103"/>
      <c r="D856" s="158"/>
      <c r="E856" s="103"/>
      <c r="F856" s="103"/>
      <c r="G856" s="103"/>
      <c r="H856" s="103"/>
      <c r="I856" s="103"/>
      <c r="J856" s="103"/>
      <c r="K856" s="160"/>
      <c r="L856" s="103"/>
      <c r="M856" s="158"/>
      <c r="N856" s="103"/>
      <c r="O856" s="103"/>
      <c r="P856" s="103"/>
      <c r="AC856" s="200"/>
    </row>
    <row r="857">
      <c r="A857" s="158"/>
      <c r="B857" s="160"/>
      <c r="C857" s="103"/>
      <c r="D857" s="158"/>
      <c r="E857" s="103"/>
      <c r="F857" s="103"/>
      <c r="G857" s="103"/>
      <c r="H857" s="103"/>
      <c r="I857" s="103"/>
      <c r="J857" s="103"/>
      <c r="K857" s="160"/>
      <c r="L857" s="103"/>
      <c r="M857" s="158"/>
      <c r="N857" s="103"/>
      <c r="O857" s="103"/>
      <c r="P857" s="103"/>
      <c r="AC857" s="200"/>
    </row>
    <row r="858">
      <c r="A858" s="158"/>
      <c r="B858" s="160"/>
      <c r="C858" s="103"/>
      <c r="D858" s="158"/>
      <c r="E858" s="103"/>
      <c r="F858" s="103"/>
      <c r="G858" s="103"/>
      <c r="H858" s="103"/>
      <c r="I858" s="103"/>
      <c r="J858" s="103"/>
      <c r="K858" s="160"/>
      <c r="L858" s="103"/>
      <c r="M858" s="158"/>
      <c r="N858" s="103"/>
      <c r="O858" s="103"/>
      <c r="P858" s="103"/>
      <c r="AC858" s="200"/>
    </row>
    <row r="859">
      <c r="A859" s="158"/>
      <c r="B859" s="160"/>
      <c r="C859" s="103"/>
      <c r="D859" s="158"/>
      <c r="E859" s="103"/>
      <c r="F859" s="103"/>
      <c r="G859" s="103"/>
      <c r="H859" s="103"/>
      <c r="I859" s="103"/>
      <c r="J859" s="103"/>
      <c r="K859" s="160"/>
      <c r="L859" s="103"/>
      <c r="M859" s="158"/>
      <c r="N859" s="103"/>
      <c r="O859" s="103"/>
      <c r="P859" s="103"/>
      <c r="AC859" s="200"/>
    </row>
    <row r="860">
      <c r="A860" s="158"/>
      <c r="B860" s="160"/>
      <c r="C860" s="103"/>
      <c r="D860" s="158"/>
      <c r="E860" s="103"/>
      <c r="F860" s="103"/>
      <c r="G860" s="103"/>
      <c r="H860" s="103"/>
      <c r="I860" s="103"/>
      <c r="J860" s="103"/>
      <c r="K860" s="160"/>
      <c r="L860" s="103"/>
      <c r="M860" s="158"/>
      <c r="N860" s="103"/>
      <c r="O860" s="103"/>
      <c r="P860" s="103"/>
      <c r="AC860" s="200"/>
    </row>
  </sheetData>
  <mergeCells count="5">
    <mergeCell ref="B2:F2"/>
    <mergeCell ref="K2:O2"/>
    <mergeCell ref="V3:W3"/>
    <mergeCell ref="Y3:AH3"/>
    <mergeCell ref="AJ3:AK3"/>
  </mergeCells>
  <conditionalFormatting sqref="C3:C190">
    <cfRule type="expression" dxfId="6" priority="1">
      <formula>MATCH(C3:C190,{2204;2205;2389;2397;2398;2401;2436;2516;2628;2638;2682;2683},0)</formula>
    </cfRule>
  </conditionalFormatting>
  <conditionalFormatting sqref="C3:C190">
    <cfRule type="expression" dxfId="1" priority="2">
      <formula>MATCH(C3:C190,{2640;2642;2643;2674;2681},0)</formula>
    </cfRule>
  </conditionalFormatting>
  <conditionalFormatting sqref="C3:C190">
    <cfRule type="expression" dxfId="7" priority="3">
      <formula>MATCH(C3:C190,{1200;2411;461;472;481;495;496;657},0)</formula>
    </cfRule>
  </conditionalFormatting>
  <conditionalFormatting sqref="C3:C190">
    <cfRule type="expression" dxfId="8" priority="4">
      <formula>MATCH(C3:C190,{2393;2383;2382;2298;2391;2384;2402;2225;2390;2394;2432;2563;2378;2386;2450;2179;2437;2678;2658;2230;2424;2480;2238;2636},0)</formula>
    </cfRule>
  </conditionalFormatting>
  <conditionalFormatting sqref="C3:C190">
    <cfRule type="expression" dxfId="9" priority="5">
      <formula>MATCH(C3:C190,{2666;2669;2671},0)</formula>
    </cfRule>
  </conditionalFormatting>
  <conditionalFormatting sqref="C3:C190">
    <cfRule type="expression" dxfId="10" priority="6">
      <formula>MATCH(C3:C190,{2638;2630;2218;2677;1900;2639;2626;2637;2508;2637;2508;2627;2456;2683;2672},0)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2.25"/>
    <col customWidth="1" min="3" max="3" width="8.88"/>
    <col customWidth="1" min="4" max="4" width="7.88"/>
    <col customWidth="1" min="5" max="5" width="13.5"/>
    <col customWidth="1" min="6" max="6" width="13.75"/>
    <col customWidth="1" min="7" max="7" width="16.5"/>
    <col customWidth="1" min="8" max="8" width="13.13"/>
    <col customWidth="1" min="9" max="9" width="12.63"/>
    <col customWidth="1" min="10" max="10" width="11.75"/>
    <col customWidth="1" min="11" max="11" width="9.63"/>
    <col customWidth="1" min="12" max="12" width="11.88"/>
    <col customWidth="1" min="13" max="13" width="9.38"/>
    <col customWidth="1" min="14" max="14" width="9.63"/>
    <col customWidth="1" min="15" max="15" width="9.5"/>
    <col customWidth="1" min="16" max="16" width="9.13"/>
    <col customWidth="1" min="17" max="17" width="7.5"/>
    <col customWidth="1" min="18" max="19" width="8.88"/>
    <col customWidth="1" min="20" max="20" width="12.75"/>
    <col customWidth="1" min="21" max="21" width="21.75"/>
    <col customWidth="1" min="22" max="22" width="7.5"/>
    <col customWidth="1" min="23" max="23" width="8.88"/>
  </cols>
  <sheetData>
    <row r="1">
      <c r="A1" s="7" t="s">
        <v>679</v>
      </c>
      <c r="B1" s="103"/>
      <c r="C1" s="103"/>
      <c r="D1" s="103"/>
      <c r="E1" s="103"/>
      <c r="F1" s="104"/>
      <c r="G1" s="103"/>
      <c r="H1" s="103"/>
      <c r="I1" s="157"/>
      <c r="Q1" s="103"/>
      <c r="R1" s="103"/>
      <c r="S1" s="103"/>
      <c r="T1" s="270"/>
      <c r="U1" s="103"/>
      <c r="V1" s="271"/>
    </row>
    <row r="2">
      <c r="B2" s="272" t="s">
        <v>680</v>
      </c>
      <c r="C2" s="273"/>
      <c r="D2" s="273"/>
      <c r="E2" s="273" t="s">
        <v>681</v>
      </c>
      <c r="F2" s="274"/>
      <c r="G2" s="272" t="s">
        <v>682</v>
      </c>
      <c r="H2" s="273">
        <v>2025.0</v>
      </c>
      <c r="I2" s="157"/>
      <c r="Q2" s="103"/>
      <c r="R2" s="103"/>
      <c r="S2" s="103"/>
      <c r="T2" s="270"/>
      <c r="U2" s="103"/>
      <c r="V2" s="271"/>
    </row>
    <row r="3">
      <c r="B3" s="103"/>
      <c r="C3" s="103"/>
      <c r="D3" s="103"/>
      <c r="E3" s="103"/>
      <c r="F3" s="104"/>
      <c r="G3" s="103"/>
      <c r="H3" s="103"/>
      <c r="I3" s="275"/>
      <c r="J3" s="276" t="s">
        <v>683</v>
      </c>
      <c r="K3" s="113"/>
      <c r="L3" s="113"/>
      <c r="M3" s="113"/>
      <c r="N3" s="113"/>
      <c r="O3" s="113"/>
      <c r="P3" s="114"/>
      <c r="Q3" s="103"/>
      <c r="R3" s="103"/>
      <c r="S3" s="103"/>
      <c r="T3" s="270"/>
      <c r="U3" s="103"/>
      <c r="V3" s="271"/>
    </row>
    <row r="4">
      <c r="B4" s="103"/>
      <c r="C4" s="103"/>
      <c r="D4" s="103"/>
      <c r="E4" s="103"/>
      <c r="F4" s="104"/>
      <c r="G4" s="103"/>
      <c r="H4" s="103"/>
      <c r="I4" s="277"/>
      <c r="J4" s="278" t="s">
        <v>684</v>
      </c>
      <c r="K4" s="278" t="s">
        <v>685</v>
      </c>
      <c r="L4" s="278" t="s">
        <v>686</v>
      </c>
      <c r="M4" s="278" t="s">
        <v>687</v>
      </c>
      <c r="N4" s="278" t="s">
        <v>688</v>
      </c>
      <c r="O4" s="278" t="s">
        <v>689</v>
      </c>
      <c r="P4" s="279" t="s">
        <v>690</v>
      </c>
      <c r="Q4" s="103"/>
      <c r="R4" s="103"/>
      <c r="S4" s="103"/>
      <c r="T4" s="270"/>
      <c r="U4" s="103"/>
      <c r="V4" s="271"/>
    </row>
    <row r="5">
      <c r="B5" s="103"/>
      <c r="C5" s="103"/>
      <c r="D5" s="103"/>
      <c r="E5" s="103"/>
      <c r="F5" s="104"/>
      <c r="G5" s="103"/>
      <c r="H5" s="103"/>
      <c r="I5" s="157"/>
      <c r="J5" s="280">
        <f t="array" ref="J5:P10">LET(calen,DATE($H$2,VALUE(MONTH($E$2&amp;1)),1),SEQUENCE(6,7,calen-WEEKDAY(calen,3)))</f>
        <v>45866</v>
      </c>
      <c r="K5" s="280">
        <v>45867.0</v>
      </c>
      <c r="L5" s="280">
        <v>45868.0</v>
      </c>
      <c r="M5" s="280">
        <v>45869.0</v>
      </c>
      <c r="N5" s="280">
        <v>45870.0</v>
      </c>
      <c r="O5" s="280">
        <v>45871.0</v>
      </c>
      <c r="P5" s="280">
        <v>45872.0</v>
      </c>
      <c r="Q5" s="103"/>
      <c r="R5" s="103"/>
      <c r="S5" s="103"/>
      <c r="T5" s="270"/>
      <c r="U5" s="103"/>
      <c r="V5" s="271"/>
    </row>
    <row r="6">
      <c r="B6" s="103"/>
      <c r="C6" s="103"/>
      <c r="D6" s="103"/>
      <c r="E6" s="103"/>
      <c r="F6" s="104"/>
      <c r="G6" s="103"/>
      <c r="H6" s="103"/>
      <c r="I6" s="157"/>
      <c r="J6" s="280">
        <v>45873.0</v>
      </c>
      <c r="K6" s="280">
        <v>45874.0</v>
      </c>
      <c r="L6" s="280">
        <v>45875.0</v>
      </c>
      <c r="M6" s="280">
        <v>45876.0</v>
      </c>
      <c r="N6" s="280">
        <v>45877.0</v>
      </c>
      <c r="O6" s="280">
        <v>45878.0</v>
      </c>
      <c r="P6" s="280">
        <v>45879.0</v>
      </c>
      <c r="Q6" s="103"/>
      <c r="R6" s="103"/>
      <c r="S6" s="103"/>
      <c r="T6" s="270"/>
      <c r="U6" s="103"/>
      <c r="V6" s="271"/>
    </row>
    <row r="7">
      <c r="B7" s="103"/>
      <c r="C7" s="103"/>
      <c r="D7" s="103"/>
      <c r="E7" s="103"/>
      <c r="F7" s="104"/>
      <c r="G7" s="103"/>
      <c r="H7" s="103"/>
      <c r="I7" s="157"/>
      <c r="J7" s="280">
        <v>45880.0</v>
      </c>
      <c r="K7" s="280">
        <v>45881.0</v>
      </c>
      <c r="L7" s="280">
        <v>45882.0</v>
      </c>
      <c r="M7" s="280">
        <v>45883.0</v>
      </c>
      <c r="N7" s="280">
        <v>45884.0</v>
      </c>
      <c r="O7" s="280">
        <v>45885.0</v>
      </c>
      <c r="P7" s="280">
        <v>45886.0</v>
      </c>
      <c r="Q7" s="103"/>
      <c r="R7" s="103"/>
      <c r="S7" s="103"/>
      <c r="T7" s="270"/>
      <c r="U7" s="103"/>
      <c r="V7" s="271"/>
    </row>
    <row r="8">
      <c r="B8" s="103"/>
      <c r="C8" s="103"/>
      <c r="D8" s="103"/>
      <c r="E8" s="103"/>
      <c r="F8" s="104"/>
      <c r="G8" s="103"/>
      <c r="H8" s="281" t="s">
        <v>691</v>
      </c>
      <c r="I8" s="157"/>
      <c r="J8" s="280">
        <v>45887.0</v>
      </c>
      <c r="K8" s="280">
        <v>45888.0</v>
      </c>
      <c r="L8" s="280">
        <v>45889.0</v>
      </c>
      <c r="M8" s="280">
        <v>45890.0</v>
      </c>
      <c r="N8" s="280">
        <v>45891.0</v>
      </c>
      <c r="O8" s="280">
        <v>45892.0</v>
      </c>
      <c r="P8" s="280">
        <v>45893.0</v>
      </c>
      <c r="Q8" s="103"/>
      <c r="R8" s="103"/>
      <c r="S8" s="103"/>
      <c r="T8" s="270"/>
      <c r="U8" s="103"/>
      <c r="V8" s="271"/>
    </row>
    <row r="9">
      <c r="B9" s="103"/>
      <c r="C9" s="103"/>
      <c r="D9" s="103"/>
      <c r="E9" s="103"/>
      <c r="F9" s="104"/>
      <c r="G9" s="103"/>
      <c r="H9" s="281" t="s">
        <v>692</v>
      </c>
      <c r="I9" s="157"/>
      <c r="J9" s="280">
        <v>45894.0</v>
      </c>
      <c r="K9" s="280">
        <v>45895.0</v>
      </c>
      <c r="L9" s="280">
        <v>45896.0</v>
      </c>
      <c r="M9" s="280">
        <v>45897.0</v>
      </c>
      <c r="N9" s="280">
        <v>45898.0</v>
      </c>
      <c r="O9" s="280">
        <v>45899.0</v>
      </c>
      <c r="P9" s="280">
        <v>45900.0</v>
      </c>
      <c r="Q9" s="103"/>
      <c r="R9" s="282">
        <f>TODAY()</f>
        <v>46216</v>
      </c>
      <c r="S9" s="103"/>
      <c r="T9" s="270"/>
      <c r="U9" s="103"/>
      <c r="V9" s="271"/>
    </row>
    <row r="10">
      <c r="B10" s="103"/>
      <c r="C10" s="103"/>
      <c r="D10" s="103"/>
      <c r="E10" s="103"/>
      <c r="F10" s="104"/>
      <c r="G10" s="103"/>
      <c r="H10" s="283" t="s">
        <v>693</v>
      </c>
      <c r="I10" s="157"/>
      <c r="J10" s="280">
        <v>45901.0</v>
      </c>
      <c r="K10" s="280">
        <v>45902.0</v>
      </c>
      <c r="L10" s="280">
        <v>45903.0</v>
      </c>
      <c r="M10" s="280">
        <v>45904.0</v>
      </c>
      <c r="N10" s="280">
        <v>45905.0</v>
      </c>
      <c r="O10" s="280">
        <v>45906.0</v>
      </c>
      <c r="P10" s="280">
        <v>45907.0</v>
      </c>
      <c r="Q10" s="103"/>
      <c r="R10" s="103"/>
      <c r="S10" s="103"/>
      <c r="T10" s="270"/>
      <c r="U10" s="103"/>
      <c r="V10" s="271"/>
    </row>
    <row r="11">
      <c r="B11" s="103"/>
      <c r="C11" s="101"/>
      <c r="D11" s="103"/>
      <c r="E11" s="103"/>
      <c r="F11" s="104"/>
      <c r="G11" s="103"/>
      <c r="H11" s="103"/>
      <c r="Q11" s="103"/>
      <c r="R11" s="103"/>
      <c r="S11" s="103"/>
      <c r="T11" s="270"/>
      <c r="U11" s="103"/>
      <c r="V11" s="271"/>
    </row>
    <row r="12">
      <c r="C12" s="101"/>
      <c r="D12" s="103"/>
      <c r="E12" s="103"/>
      <c r="T12" s="270"/>
      <c r="V12" s="271"/>
    </row>
    <row r="13">
      <c r="A13" s="101"/>
      <c r="T13" s="270"/>
      <c r="V13" s="271"/>
    </row>
    <row r="14">
      <c r="A14" s="284" t="s">
        <v>611</v>
      </c>
      <c r="B14" s="285"/>
      <c r="C14" s="285"/>
      <c r="D14" s="286"/>
      <c r="E14" s="287" t="s">
        <v>694</v>
      </c>
      <c r="F14" s="285"/>
      <c r="G14" s="285"/>
      <c r="H14" s="285"/>
      <c r="I14" s="285"/>
      <c r="J14" s="285"/>
      <c r="K14" s="285"/>
      <c r="L14" s="285"/>
      <c r="M14" s="285"/>
      <c r="N14" s="285"/>
      <c r="O14" s="285"/>
      <c r="P14" s="285"/>
      <c r="Q14" s="285"/>
      <c r="R14" s="285"/>
      <c r="S14" s="286"/>
      <c r="T14" s="288" t="s">
        <v>695</v>
      </c>
      <c r="U14" s="285"/>
      <c r="V14" s="285"/>
      <c r="W14" s="286"/>
    </row>
    <row r="15" ht="21.0" customHeight="1">
      <c r="A15" s="289" t="s">
        <v>696</v>
      </c>
      <c r="B15" s="289" t="s">
        <v>596</v>
      </c>
      <c r="C15" s="289" t="s">
        <v>697</v>
      </c>
      <c r="D15" s="289" t="s">
        <v>698</v>
      </c>
      <c r="E15" s="17"/>
      <c r="F15" s="17" t="str">
        <f>TEXT(R9,"DDDD")</f>
        <v>lunes</v>
      </c>
      <c r="G15" s="17" t="str">
        <f>TEXT(R9+1,"DDDD")</f>
        <v>martes</v>
      </c>
      <c r="H15" s="17" t="str">
        <f>TEXT(R9+2,"DDDD")</f>
        <v>miércoles</v>
      </c>
      <c r="I15" s="17" t="str">
        <f>TEXT(R9+3,"DDDD")</f>
        <v>jueves</v>
      </c>
      <c r="J15" s="17" t="str">
        <f>TEXT(R9+4,"DDDD")</f>
        <v>viernes</v>
      </c>
      <c r="K15" s="17" t="str">
        <f>TEXT(R9+5,"DDDD")</f>
        <v>sábado</v>
      </c>
      <c r="L15" s="17" t="str">
        <f>TEXT(R9+6,"DDDD")</f>
        <v>domingo</v>
      </c>
      <c r="M15" s="17" t="str">
        <f>TEXT(R9+7,"DDDD")</f>
        <v>lunes</v>
      </c>
      <c r="N15" s="17" t="str">
        <f>TEXT(R9+8,"DDDD")</f>
        <v>martes</v>
      </c>
      <c r="O15" s="17" t="str">
        <f>TEXT(R9+9,"DDDD")</f>
        <v>miércoles</v>
      </c>
      <c r="P15" s="17" t="str">
        <f>TEXT(R9+10,"DDDD")</f>
        <v>jueves</v>
      </c>
      <c r="Q15" s="17" t="str">
        <f>TEXT(R9+11,"DDDD")</f>
        <v>viernes</v>
      </c>
      <c r="R15" s="17" t="str">
        <f>TEXT(R9+12,"DDDD")</f>
        <v>sábado</v>
      </c>
      <c r="S15" s="17" t="str">
        <f>TEXT(R9+13,"DDDD")</f>
        <v>domingo</v>
      </c>
      <c r="T15" s="290" t="s">
        <v>696</v>
      </c>
      <c r="U15" s="291" t="s">
        <v>596</v>
      </c>
      <c r="V15" s="292" t="s">
        <v>697</v>
      </c>
      <c r="W15" s="291" t="s">
        <v>698</v>
      </c>
    </row>
    <row r="16" ht="19.5" customHeight="1">
      <c r="A16" s="293">
        <f>IFERROR(__xludf.DUMMYFUNCTION("UNIQUE(QUERY(LUBRICACION!W4:Z225,""SELECT W ORDER BY X DESC, Y ASC ""))"),2200.0)</f>
        <v>2200</v>
      </c>
      <c r="B16" s="293" t="str">
        <f>IFNA(VLOOKUP(A16,'BD LUB'!$A$2:$L$223,3,FALSE),"")</f>
        <v>BULTOS</v>
      </c>
      <c r="C16" s="294">
        <v>2880.0</v>
      </c>
      <c r="D16" s="68">
        <v>2425.0</v>
      </c>
      <c r="E16" s="295" t="s">
        <v>699</v>
      </c>
      <c r="F16" s="296">
        <f>DAY(R9+1)</f>
        <v>14</v>
      </c>
      <c r="G16" s="296">
        <f>DAY(R9+2)</f>
        <v>15</v>
      </c>
      <c r="H16" s="296">
        <f>DAY(R9+3)</f>
        <v>16</v>
      </c>
      <c r="I16" s="296">
        <f>DAY(R9+4)</f>
        <v>17</v>
      </c>
      <c r="J16" s="296">
        <f>DAY(R9+5)</f>
        <v>18</v>
      </c>
      <c r="K16" s="296">
        <f>DAY(R9+6)</f>
        <v>19</v>
      </c>
      <c r="L16" s="296">
        <f>DAY(R9+7)</f>
        <v>20</v>
      </c>
      <c r="M16" s="296">
        <f>DAY(R9+8)</f>
        <v>21</v>
      </c>
      <c r="N16" s="296">
        <f>DAY(R9+9)</f>
        <v>22</v>
      </c>
      <c r="O16" s="296">
        <f>DAY(R9+10)</f>
        <v>23</v>
      </c>
      <c r="P16" s="296">
        <f>DAY(R9+11)</f>
        <v>24</v>
      </c>
      <c r="Q16" s="296">
        <f>DAY(R9+12)</f>
        <v>25</v>
      </c>
      <c r="R16" s="296">
        <f>DAY(R9+13)</f>
        <v>26</v>
      </c>
      <c r="S16" s="296">
        <f>DAY(R9+14)</f>
        <v>27</v>
      </c>
      <c r="T16" s="297">
        <f>IFERROR(__xludf.DUMMYFUNCTION("UNIQUE(QUERY(MPP!Y4:AB50,""SELECT Y ORDER BY Z DESC, AA ASC ""))"),3281.0)</f>
        <v>3281</v>
      </c>
      <c r="U16" s="298" t="str">
        <f>IFNA(VLOOKUP(T16,'BD MPP'!$B$2:$L$223,11,FALSE),"")</f>
        <v>02-Medellin</v>
      </c>
      <c r="V16" s="299"/>
      <c r="W16" s="300"/>
    </row>
    <row r="17" ht="16.5" customHeight="1">
      <c r="A17" s="301">
        <f>IFERROR(__xludf.DUMMYFUNCTION("""COMPUTED_VALUE"""),3213.0)</f>
        <v>3213</v>
      </c>
      <c r="B17" s="302" t="str">
        <f>IFNA(VLOOKUP(A17,'BD LUB'!$A$2:$L$223,3,FALSE),"")</f>
        <v>02-Medellin</v>
      </c>
      <c r="C17" s="294">
        <v>2392.0</v>
      </c>
      <c r="D17" s="68">
        <v>2201.0</v>
      </c>
      <c r="E17" s="303" t="s">
        <v>700</v>
      </c>
      <c r="F17" s="304"/>
      <c r="G17" s="304"/>
      <c r="H17" s="304"/>
      <c r="I17" s="305"/>
      <c r="J17" s="305"/>
      <c r="K17" s="305"/>
      <c r="L17" s="305"/>
      <c r="M17" s="306"/>
      <c r="N17" s="307"/>
      <c r="O17" s="307"/>
      <c r="P17" s="308"/>
      <c r="Q17" s="308"/>
      <c r="R17" s="308"/>
      <c r="S17" s="309"/>
      <c r="T17" s="310">
        <f>IFERROR(__xludf.DUMMYFUNCTION("""COMPUTED_VALUE"""),2853.0)</f>
        <v>2853</v>
      </c>
      <c r="U17" s="311" t="str">
        <f>IFNA(VLOOKUP(T17,'BD MPP'!$B$2:$L$223,11,FALSE),"")</f>
        <v>BULTOS</v>
      </c>
      <c r="V17" s="301">
        <v>2195.0</v>
      </c>
      <c r="W17" s="301">
        <v>2195.0</v>
      </c>
    </row>
    <row r="18" ht="16.5" customHeight="1">
      <c r="A18" s="312">
        <f>IFERROR(__xludf.DUMMYFUNCTION("""COMPUTED_VALUE"""),2887.0)</f>
        <v>2887</v>
      </c>
      <c r="B18" s="312" t="str">
        <f>IFNA(VLOOKUP(A18,'BD LUB'!$A$2:$L$223,3,FALSE),"")</f>
        <v>02-Medellin</v>
      </c>
      <c r="C18" s="294">
        <v>2425.0</v>
      </c>
      <c r="D18" s="68">
        <v>3083.0</v>
      </c>
      <c r="E18" s="313" t="s">
        <v>700</v>
      </c>
      <c r="F18" s="314"/>
      <c r="G18" s="315"/>
      <c r="H18" s="315"/>
      <c r="I18" s="315"/>
      <c r="J18" s="315"/>
      <c r="K18" s="315"/>
      <c r="L18" s="315"/>
      <c r="M18" s="316"/>
      <c r="N18" s="316"/>
      <c r="O18" s="316"/>
      <c r="P18" s="316"/>
      <c r="Q18" s="316"/>
      <c r="R18" s="316"/>
      <c r="S18" s="317"/>
      <c r="T18" s="318">
        <f>IFERROR(__xludf.DUMMYFUNCTION("""COMPUTED_VALUE"""),2859.0)</f>
        <v>2859</v>
      </c>
      <c r="U18" s="319" t="str">
        <f>IFNA(VLOOKUP(T18,'BD MPP'!$B$2:$L$223,11,FALSE),"")</f>
        <v>MAYORCA</v>
      </c>
      <c r="V18" s="320">
        <v>2906.0</v>
      </c>
      <c r="W18" s="320">
        <v>2906.0</v>
      </c>
    </row>
    <row r="19" ht="16.5" customHeight="1">
      <c r="A19" s="302">
        <f>IFERROR(__xludf.DUMMYFUNCTION("""COMPUTED_VALUE"""),495.0)</f>
        <v>495</v>
      </c>
      <c r="B19" s="302" t="str">
        <f>IFNA(VLOOKUP(A19,'BD LUB'!$A$2:$L$223,3,FALSE),"")</f>
        <v>02-Medellin</v>
      </c>
      <c r="C19" s="294">
        <v>2201.0</v>
      </c>
      <c r="D19" s="68">
        <v>3282.0</v>
      </c>
      <c r="E19" s="303" t="s">
        <v>701</v>
      </c>
      <c r="F19" s="304" t="str">
        <f>IFERROR(__xludf.DUMMYFUNCTION("WRAPCOLS(
  FILTER(
    MPP!AH4:AH226,(COUNTIF(V16:V1017, MPP!AE4:AE226)&gt;0) 
  *(COUNTIF(W16:W1017, MPP!AE4:AE226)=0)),
  3,
  """"
)"),"2450 MAY")</f>
        <v>2450 MAY</v>
      </c>
      <c r="G19" s="304" t="str">
        <f>IFERROR(__xludf.DUMMYFUNCTION("""COMPUTED_VALUE"""),"2460 BULT")</f>
        <v>2460 BULT</v>
      </c>
      <c r="H19" s="304"/>
      <c r="I19" s="304"/>
      <c r="J19" s="304"/>
      <c r="K19" s="304"/>
      <c r="L19" s="304"/>
      <c r="M19" s="321"/>
      <c r="N19" s="321"/>
      <c r="O19" s="321"/>
      <c r="P19" s="321"/>
      <c r="Q19" s="321"/>
      <c r="R19" s="321"/>
      <c r="S19" s="322"/>
      <c r="T19" s="310">
        <f>IFERROR(__xludf.DUMMYFUNCTION("""COMPUTED_VALUE"""),2200.0)</f>
        <v>2200</v>
      </c>
      <c r="U19" s="311" t="str">
        <f>IFNA(VLOOKUP(T19,'BD MPP'!$B$2:$L$223,11,FALSE),"")</f>
        <v>BULTOS</v>
      </c>
      <c r="V19" s="301">
        <v>2360.0</v>
      </c>
      <c r="W19" s="301">
        <v>2360.0</v>
      </c>
    </row>
    <row r="20" ht="16.5" customHeight="1">
      <c r="A20" s="312">
        <f>IFERROR(__xludf.DUMMYFUNCTION("""COMPUTED_VALUE"""),2891.0)</f>
        <v>2891</v>
      </c>
      <c r="B20" s="312" t="str">
        <f>IFNA(VLOOKUP(A20,'BD LUB'!$A$2:$L$223,3,FALSE),"")</f>
        <v>31-Copacabana</v>
      </c>
      <c r="C20" s="294">
        <v>2437.0</v>
      </c>
      <c r="D20" s="68">
        <v>2845.0</v>
      </c>
      <c r="E20" s="313" t="s">
        <v>701</v>
      </c>
      <c r="F20" s="315" t="str">
        <f>IFERROR(__xludf.DUMMYFUNCTION("""COMPUTED_VALUE"""),"2484 MAY")</f>
        <v>2484 MAY</v>
      </c>
      <c r="G20" s="315" t="str">
        <f>IFERROR(__xludf.DUMMYFUNCTION("""COMPUTED_VALUE"""),"3202 MED")</f>
        <v>3202 MED</v>
      </c>
      <c r="H20" s="315"/>
      <c r="I20" s="315"/>
      <c r="J20" s="315"/>
      <c r="K20" s="315"/>
      <c r="L20" s="315"/>
      <c r="M20" s="316"/>
      <c r="N20" s="316"/>
      <c r="O20" s="316"/>
      <c r="P20" s="316"/>
      <c r="Q20" s="316"/>
      <c r="R20" s="316"/>
      <c r="S20" s="317"/>
      <c r="T20" s="318">
        <f>IFERROR(__xludf.DUMMYFUNCTION("""COMPUTED_VALUE"""),2842.0)</f>
        <v>2842</v>
      </c>
      <c r="U20" s="319" t="str">
        <f>IFNA(VLOOKUP(T20,'BD MPP'!$B$2:$L$223,11,FALSE),"")</f>
        <v>24-Rionegro</v>
      </c>
      <c r="V20" s="320">
        <v>2905.0</v>
      </c>
      <c r="W20" s="320">
        <v>2905.0</v>
      </c>
    </row>
    <row r="21" ht="16.5" customHeight="1">
      <c r="A21" s="302">
        <f>IFERROR(__xludf.DUMMYFUNCTION("""COMPUTED_VALUE"""),2394.0)</f>
        <v>2394</v>
      </c>
      <c r="B21" s="302" t="str">
        <f>IFNA(VLOOKUP(A21,'BD LUB'!$A$2:$L$223,3,FALSE),"")</f>
        <v>MAYORCA</v>
      </c>
      <c r="C21" s="294">
        <v>2671.0</v>
      </c>
      <c r="D21" s="68">
        <v>3202.0</v>
      </c>
      <c r="E21" s="303" t="s">
        <v>701</v>
      </c>
      <c r="F21" s="304" t="str">
        <f>IFERROR(__xludf.DUMMYFUNCTION("""COMPUTED_VALUE"""),"2663 RIO")</f>
        <v>2663 RIO</v>
      </c>
      <c r="G21" s="304"/>
      <c r="H21" s="304"/>
      <c r="I21" s="304"/>
      <c r="J21" s="304"/>
      <c r="K21" s="304"/>
      <c r="L21" s="304"/>
      <c r="M21" s="308"/>
      <c r="N21" s="307"/>
      <c r="O21" s="308"/>
      <c r="P21" s="308"/>
      <c r="Q21" s="308"/>
      <c r="R21" s="308"/>
      <c r="S21" s="309"/>
      <c r="T21" s="310">
        <f>IFERROR(__xludf.DUMMYFUNCTION("""COMPUTED_VALUE"""),2896.0)</f>
        <v>2896</v>
      </c>
      <c r="U21" s="311" t="str">
        <f>IFNA(VLOOKUP(T21,'BD MPP'!$B$2:$L$223,11,FALSE),"")</f>
        <v>02-Medellin</v>
      </c>
      <c r="V21" s="301">
        <v>2753.0</v>
      </c>
      <c r="W21" s="301">
        <v>2753.0</v>
      </c>
    </row>
    <row r="22" ht="16.5" customHeight="1">
      <c r="A22" s="312">
        <f>IFERROR(__xludf.DUMMYFUNCTION("""COMPUTED_VALUE"""),2640.0)</f>
        <v>2640</v>
      </c>
      <c r="B22" s="312" t="str">
        <f>IFNA(VLOOKUP(A22,'BD LUB'!$A$2:$L$223,3,FALSE),"")</f>
        <v>27-Apartado</v>
      </c>
      <c r="C22" s="294">
        <v>2484.0</v>
      </c>
      <c r="D22" s="68">
        <v>3280.0</v>
      </c>
      <c r="E22" s="323" t="s">
        <v>702</v>
      </c>
      <c r="F22" s="315" t="str">
        <f>IFERROR(__xludf.DUMMYFUNCTION("TRANSPOSE(WRAPROWS(TRANSPOSE(FILTER(LUBRICACION!AD4:AD226,ISNUMBER(MATCH(LUBRICACION!AC4:AC226,(FILTER(LUBRICACION!AC4:AC226,(COUNTIF(C16:C207,LUBRICACION!AC4:AC226)&gt;0))),0)))),4,""""))"),"2671 MAY")</f>
        <v>2671 MAY</v>
      </c>
      <c r="G22" s="315" t="str">
        <f>IFERROR(__xludf.DUMMYFUNCTION("""COMPUTED_VALUE"""),"2392 MED")</f>
        <v>2392 MED</v>
      </c>
      <c r="H22" s="315" t="str">
        <f>IFERROR(__xludf.DUMMYFUNCTION("""COMPUTED_VALUE"""),"3198 COP")</f>
        <v>3198 COP</v>
      </c>
      <c r="I22" s="315" t="str">
        <f>IFERROR(__xludf.DUMMYFUNCTION("""COMPUTED_VALUE"""),"2460 BULT")</f>
        <v>2460 BULT</v>
      </c>
      <c r="J22" s="324" t="str">
        <f>IFERROR(__xludf.DUMMYFUNCTION("""COMPUTED_VALUE"""),"2859 MAY")</f>
        <v>2859 MAY</v>
      </c>
      <c r="K22" s="315" t="str">
        <f>IFERROR(__xludf.DUMMYFUNCTION("""COMPUTED_VALUE"""),"2842 RIO")</f>
        <v>2842 RIO</v>
      </c>
      <c r="L22" s="315" t="str">
        <f>IFERROR(__xludf.DUMMYFUNCTION("""COMPUTED_VALUE"""),"2354 COP")</f>
        <v>2354 COP</v>
      </c>
      <c r="M22" s="325" t="str">
        <f>IFERROR(__xludf.DUMMYFUNCTION("""COMPUTED_VALUE"""),"2923 BULT")</f>
        <v>2923 BULT</v>
      </c>
      <c r="N22" s="325" t="str">
        <f>IFERROR(__xludf.DUMMYFUNCTION("""COMPUTED_VALUE"""),"2643 APART")</f>
        <v>2643 APART</v>
      </c>
      <c r="O22" s="325" t="str">
        <f>IFERROR(__xludf.DUMMYFUNCTION("""COMPUTED_VALUE"""),"2876 MED")</f>
        <v>2876 MED</v>
      </c>
      <c r="P22" s="325"/>
      <c r="Q22" s="325"/>
      <c r="R22" s="325"/>
      <c r="S22" s="326"/>
      <c r="T22" s="318">
        <f>IFERROR(__xludf.DUMMYFUNCTION("""COMPUTED_VALUE"""),2490.0)</f>
        <v>2490</v>
      </c>
      <c r="U22" s="319" t="str">
        <f>IFNA(VLOOKUP(T22,'BD MPP'!$B$2:$L$223,11,FALSE),"")</f>
        <v>02-Medellin</v>
      </c>
      <c r="V22" s="320">
        <v>2201.0</v>
      </c>
      <c r="W22" s="320">
        <v>2201.0</v>
      </c>
    </row>
    <row r="23" ht="16.5" customHeight="1">
      <c r="A23" s="302">
        <f>IFERROR(__xludf.DUMMYFUNCTION("""COMPUTED_VALUE"""),496.0)</f>
        <v>496</v>
      </c>
      <c r="B23" s="302" t="str">
        <f>IFNA(VLOOKUP(A23,'BD LUB'!$A$2:$L$223,3,FALSE),"")</f>
        <v>02-Medellin</v>
      </c>
      <c r="C23" s="294">
        <v>2681.0</v>
      </c>
      <c r="D23" s="7">
        <v>2198.0</v>
      </c>
      <c r="E23" s="327" t="s">
        <v>702</v>
      </c>
      <c r="F23" s="328" t="str">
        <f>IFERROR(__xludf.DUMMYFUNCTION("""COMPUTED_VALUE"""),"2681 APART")</f>
        <v>2681 APART</v>
      </c>
      <c r="G23" s="304" t="str">
        <f>IFERROR(__xludf.DUMMYFUNCTION("""COMPUTED_VALUE"""),"3283 MED")</f>
        <v>3283 MED</v>
      </c>
      <c r="H23" s="304" t="str">
        <f>IFERROR(__xludf.DUMMYFUNCTION("""COMPUTED_VALUE"""),"2469 COPQUI")</f>
        <v>2469 COPQUI</v>
      </c>
      <c r="I23" s="304" t="str">
        <f>IFERROR(__xludf.DUMMYFUNCTION("""COMPUTED_VALUE"""),"2673 MED")</f>
        <v>2673 MED</v>
      </c>
      <c r="J23" s="304" t="str">
        <f>IFERROR(__xludf.DUMMYFUNCTION("""COMPUTED_VALUE"""),"2927 MED")</f>
        <v>2927 MED</v>
      </c>
      <c r="K23" s="304" t="str">
        <f>IFERROR(__xludf.DUMMYFUNCTION("""COMPUTED_VALUE"""),"2881 MED")</f>
        <v>2881 MED</v>
      </c>
      <c r="L23" s="304" t="str">
        <f>IFERROR(__xludf.DUMMYFUNCTION("""COMPUTED_VALUE"""),"3200 MED")</f>
        <v>3200 MED</v>
      </c>
      <c r="M23" s="329" t="str">
        <f>IFERROR(__xludf.DUMMYFUNCTION("""COMPUTED_VALUE"""),"3197 MED")</f>
        <v>3197 MED</v>
      </c>
      <c r="N23" s="308" t="str">
        <f>IFERROR(__xludf.DUMMYFUNCTION("""COMPUTED_VALUE"""),"481 MED")</f>
        <v>481 MED</v>
      </c>
      <c r="O23" s="308" t="str">
        <f>IFERROR(__xludf.DUMMYFUNCTION("""COMPUTED_VALUE"""),"661 MED")</f>
        <v>661 MED</v>
      </c>
      <c r="P23" s="308"/>
      <c r="Q23" s="308"/>
      <c r="R23" s="308"/>
      <c r="S23" s="309"/>
      <c r="T23" s="310">
        <f>IFERROR(__xludf.DUMMYFUNCTION("""COMPUTED_VALUE"""),2923.0)</f>
        <v>2923</v>
      </c>
      <c r="U23" s="311" t="str">
        <f>IFNA(VLOOKUP(T23,'BD MPP'!$B$2:$L$223,11,FALSE),"")</f>
        <v>BULTOS</v>
      </c>
      <c r="V23" s="301">
        <v>2458.0</v>
      </c>
      <c r="W23" s="301">
        <v>2458.0</v>
      </c>
    </row>
    <row r="24" ht="16.5" customHeight="1">
      <c r="A24" s="312">
        <f>IFERROR(__xludf.DUMMYFUNCTION("""COMPUTED_VALUE"""),2892.0)</f>
        <v>2892</v>
      </c>
      <c r="B24" s="312" t="str">
        <f>IFNA(VLOOKUP(A24,'BD LUB'!$A$2:$L$223,3,FALSE),"")</f>
        <v>24-Rionegro</v>
      </c>
      <c r="C24" s="294">
        <v>2276.0</v>
      </c>
      <c r="D24" s="68">
        <v>2572.0</v>
      </c>
      <c r="E24" s="330" t="s">
        <v>702</v>
      </c>
      <c r="F24" s="315" t="str">
        <f>IFERROR(__xludf.DUMMYFUNCTION("""COMPUTED_VALUE"""),"2276 MED")</f>
        <v>2276 MED</v>
      </c>
      <c r="G24" s="315" t="str">
        <f>IFERROR(__xludf.DUMMYFUNCTION("""COMPUTED_VALUE"""),"2188 BULT")</f>
        <v>2188 BULT</v>
      </c>
      <c r="H24" s="315" t="str">
        <f>IFERROR(__xludf.DUMMYFUNCTION("""COMPUTED_VALUE"""),"2663 RIO")</f>
        <v>2663 RIO</v>
      </c>
      <c r="I24" s="315" t="str">
        <f>IFERROR(__xludf.DUMMYFUNCTION("""COMPUTED_VALUE"""),"2910 RIO")</f>
        <v>2910 RIO</v>
      </c>
      <c r="J24" s="315" t="str">
        <f>IFERROR(__xludf.DUMMYFUNCTION("""COMPUTED_VALUE"""),"2925 MED")</f>
        <v>2925 MED</v>
      </c>
      <c r="K24" s="315" t="str">
        <f>IFERROR(__xludf.DUMMYFUNCTION("""COMPUTED_VALUE"""),"2922 MED")</f>
        <v>2922 MED</v>
      </c>
      <c r="L24" s="315" t="str">
        <f>IFERROR(__xludf.DUMMYFUNCTION("""COMPUTED_VALUE"""),"3271 MED")</f>
        <v>3271 MED</v>
      </c>
      <c r="M24" s="325" t="str">
        <f>IFERROR(__xludf.DUMMYFUNCTION("""COMPUTED_VALUE"""),"487 MED")</f>
        <v>487 MED</v>
      </c>
      <c r="N24" s="325" t="str">
        <f>IFERROR(__xludf.DUMMYFUNCTION("""COMPUTED_VALUE"""),"3247 MED")</f>
        <v>3247 MED</v>
      </c>
      <c r="O24" s="325" t="str">
        <f>IFERROR(__xludf.DUMMYFUNCTION("""COMPUTED_VALUE"""),"")</f>
        <v/>
      </c>
      <c r="P24" s="325"/>
      <c r="Q24" s="325"/>
      <c r="R24" s="325"/>
      <c r="S24" s="326"/>
      <c r="T24" s="318">
        <f>IFERROR(__xludf.DUMMYFUNCTION("""COMPUTED_VALUE"""),487.0)</f>
        <v>487</v>
      </c>
      <c r="U24" s="319" t="str">
        <f>IFNA(VLOOKUP(T24,'BD MPP'!$B$2:$L$223,11,FALSE),"")</f>
        <v>02-Medellin</v>
      </c>
      <c r="V24" s="320">
        <v>2861.0</v>
      </c>
      <c r="W24" s="320">
        <v>2861.0</v>
      </c>
    </row>
    <row r="25" ht="16.5" customHeight="1">
      <c r="A25" s="302">
        <f>IFERROR(__xludf.DUMMYFUNCTION("""COMPUTED_VALUE"""),2847.0)</f>
        <v>2847</v>
      </c>
      <c r="B25" s="302" t="str">
        <f>IFNA(VLOOKUP(A25,'BD LUB'!$A$2:$L$223,3,FALSE),"")</f>
        <v>31-Copacabana</v>
      </c>
      <c r="C25" s="294">
        <v>2188.0</v>
      </c>
      <c r="D25" s="68">
        <v>3275.0</v>
      </c>
      <c r="E25" s="303" t="s">
        <v>702</v>
      </c>
      <c r="F25" s="304" t="str">
        <f>IFERROR(__xludf.DUMMYFUNCTION("""COMPUTED_VALUE"""),"2334 APART")</f>
        <v>2334 APART</v>
      </c>
      <c r="G25" s="304" t="str">
        <f>IFERROR(__xludf.DUMMYFUNCTION("""COMPUTED_VALUE"""),"2484 MAY")</f>
        <v>2484 MAY</v>
      </c>
      <c r="H25" s="304" t="str">
        <f>IFERROR(__xludf.DUMMYFUNCTION("""COMPUTED_VALUE"""),"2424 MED")</f>
        <v>2424 MED</v>
      </c>
      <c r="I25" s="304" t="str">
        <f>IFERROR(__xludf.DUMMYFUNCTION("""COMPUTED_VALUE"""),"2921 MAY")</f>
        <v>2921 MAY</v>
      </c>
      <c r="J25" s="304" t="str">
        <f>IFERROR(__xludf.DUMMYFUNCTION("""COMPUTED_VALUE"""),"2909 MED")</f>
        <v>2909 MED</v>
      </c>
      <c r="K25" s="304" t="str">
        <f>IFERROR(__xludf.DUMMYFUNCTION("""COMPUTED_VALUE"""),"3273 MED")</f>
        <v>3273 MED</v>
      </c>
      <c r="L25" s="304" t="str">
        <f>IFERROR(__xludf.DUMMYFUNCTION("""COMPUTED_VALUE"""),"2906 MED")</f>
        <v>2906 MED</v>
      </c>
      <c r="M25" s="331" t="str">
        <f>IFERROR(__xludf.DUMMYFUNCTION("""COMPUTED_VALUE"""),"2920 COP")</f>
        <v>2920 COP</v>
      </c>
      <c r="N25" s="332" t="str">
        <f>IFERROR(__xludf.DUMMYFUNCTION("""COMPUTED_VALUE"""),"2850 MAY")</f>
        <v>2850 MAY</v>
      </c>
      <c r="O25" s="333" t="str">
        <f>IFERROR(__xludf.DUMMYFUNCTION("""COMPUTED_VALUE"""),"")</f>
        <v/>
      </c>
      <c r="P25" s="333"/>
      <c r="Q25" s="333"/>
      <c r="R25" s="333"/>
      <c r="S25" s="334"/>
      <c r="T25" s="310">
        <f>IFERROR(__xludf.DUMMYFUNCTION("""COMPUTED_VALUE"""),2926.0)</f>
        <v>2926</v>
      </c>
      <c r="U25" s="311" t="str">
        <f>IFNA(VLOOKUP(T25,'BD MPP'!$B$2:$L$223,11,FALSE),"")</f>
        <v>31-Copacabana</v>
      </c>
      <c r="V25" s="301">
        <v>2676.0</v>
      </c>
      <c r="W25" s="301">
        <v>2676.0</v>
      </c>
    </row>
    <row r="26" ht="16.5" customHeight="1">
      <c r="A26" s="312">
        <f>IFERROR(__xludf.DUMMYFUNCTION("""COMPUTED_VALUE"""),2908.0)</f>
        <v>2908</v>
      </c>
      <c r="B26" s="312" t="str">
        <f>IFNA(VLOOKUP(A26,'BD LUB'!$A$2:$L$223,3,FALSE),"")</f>
        <v>24-Rionegro</v>
      </c>
      <c r="C26" s="294">
        <v>2469.0</v>
      </c>
      <c r="D26" s="69">
        <v>3284.0</v>
      </c>
      <c r="E26" s="313" t="s">
        <v>703</v>
      </c>
      <c r="F26" s="315">
        <f>RTM!$I$4</f>
        <v>3209</v>
      </c>
      <c r="G26" s="315">
        <f>RTM!$J$4</f>
        <v>976</v>
      </c>
      <c r="H26" s="315">
        <f>RTM!$K$4</f>
        <v>951</v>
      </c>
      <c r="I26" s="315">
        <f>RTM!$L$4</f>
        <v>472</v>
      </c>
      <c r="J26" s="315">
        <f>RTM!$M$4</f>
        <v>975</v>
      </c>
      <c r="K26" s="315">
        <f>RTM!$N$4</f>
        <v>2858</v>
      </c>
      <c r="L26" s="315">
        <f>RTM!$O$4</f>
        <v>2857</v>
      </c>
      <c r="M26" s="314"/>
      <c r="N26" s="314"/>
      <c r="O26" s="314"/>
      <c r="P26" s="314"/>
      <c r="Q26" s="314"/>
      <c r="R26" s="314"/>
      <c r="S26" s="335"/>
      <c r="T26" s="318">
        <f>IFERROR(__xludf.DUMMYFUNCTION("""COMPUTED_VALUE"""),2854.0)</f>
        <v>2854</v>
      </c>
      <c r="U26" s="319" t="str">
        <f>IFNA(VLOOKUP(T26,'BD MPP'!$B$2:$L$223,11,FALSE),"")</f>
        <v>02-Medellin</v>
      </c>
      <c r="V26" s="320">
        <v>2206.0</v>
      </c>
      <c r="W26" s="320">
        <v>2206.0</v>
      </c>
    </row>
    <row r="27" ht="16.5" customHeight="1">
      <c r="A27" s="302">
        <f>IFERROR(__xludf.DUMMYFUNCTION("""COMPUTED_VALUE"""),2275.0)</f>
        <v>2275</v>
      </c>
      <c r="B27" s="302" t="str">
        <f>IFNA(VLOOKUP(A27,'BD LUB'!$A$2:$L$223,3,FALSE),"")</f>
        <v>02-Medellin</v>
      </c>
      <c r="C27" s="68">
        <v>3283.0</v>
      </c>
      <c r="D27" s="69">
        <v>2572.0</v>
      </c>
      <c r="E27" s="336" t="s">
        <v>703</v>
      </c>
      <c r="F27" s="304">
        <f>RTM!$I$5</f>
        <v>976</v>
      </c>
      <c r="G27" s="304">
        <f>RTM!$J$5</f>
        <v>951</v>
      </c>
      <c r="H27" s="304">
        <f>RTM!$K$4</f>
        <v>951</v>
      </c>
      <c r="I27" s="304">
        <f>RTM!$L$5</f>
        <v>975</v>
      </c>
      <c r="J27" s="304">
        <f>RTM!$M$5</f>
        <v>2858</v>
      </c>
      <c r="K27" s="304">
        <f>RTM!$N$5</f>
        <v>2857</v>
      </c>
      <c r="L27" s="304">
        <f>RTM!$O$5</f>
        <v>2856</v>
      </c>
      <c r="M27" s="333"/>
      <c r="N27" s="333"/>
      <c r="O27" s="333"/>
      <c r="P27" s="333"/>
      <c r="Q27" s="333"/>
      <c r="R27" s="333"/>
      <c r="S27" s="334"/>
      <c r="T27" s="310">
        <f>IFERROR(__xludf.DUMMYFUNCTION("""COMPUTED_VALUE"""),495.0)</f>
        <v>495</v>
      </c>
      <c r="U27" s="311" t="str">
        <f>IFNA(VLOOKUP(T27,'BD MPP'!$B$2:$L$223,11,FALSE),"")</f>
        <v>02-Medellin</v>
      </c>
      <c r="V27" s="301">
        <v>2395.0</v>
      </c>
      <c r="W27" s="301">
        <v>2395.0</v>
      </c>
    </row>
    <row r="28" ht="16.5" customHeight="1">
      <c r="A28" s="312">
        <f>IFERROR(__xludf.DUMMYFUNCTION("""COMPUTED_VALUE"""),2895.0)</f>
        <v>2895</v>
      </c>
      <c r="B28" s="312" t="str">
        <f>IFNA(VLOOKUP(A28,'BD LUB'!$A$2:$L$223,3,FALSE),"")</f>
        <v>31-Copacabana</v>
      </c>
      <c r="C28" s="69">
        <v>2903.0</v>
      </c>
      <c r="D28" s="69">
        <v>3251.0</v>
      </c>
      <c r="E28" s="337"/>
      <c r="F28" s="338"/>
      <c r="G28" s="339"/>
      <c r="H28" s="339"/>
      <c r="I28" s="339"/>
      <c r="J28" s="339"/>
      <c r="K28" s="339"/>
      <c r="L28" s="339"/>
      <c r="M28" s="339"/>
      <c r="N28" s="339"/>
      <c r="O28" s="339"/>
      <c r="P28" s="339"/>
      <c r="Q28" s="339"/>
      <c r="R28" s="339"/>
      <c r="S28" s="340"/>
      <c r="T28" s="318">
        <f>IFERROR(__xludf.DUMMYFUNCTION("""COMPUTED_VALUE"""),2459.0)</f>
        <v>2459</v>
      </c>
      <c r="U28" s="319" t="str">
        <f>IFNA(VLOOKUP(T28,'BD MPP'!$B$2:$L$223,11,FALSE),"")</f>
        <v>02-Medellin</v>
      </c>
      <c r="V28" s="320">
        <v>4464.0</v>
      </c>
      <c r="W28" s="320">
        <v>4464.0</v>
      </c>
    </row>
    <row r="29" ht="16.5" customHeight="1">
      <c r="A29" s="302">
        <f>IFERROR(__xludf.DUMMYFUNCTION("""COMPUTED_VALUE"""),464.0)</f>
        <v>464</v>
      </c>
      <c r="B29" s="302" t="str">
        <f>IFNA(VLOOKUP(A29,'BD LUB'!$A$2:$L$223,3,FALSE),"")</f>
        <v>02-Medellin</v>
      </c>
      <c r="C29" s="69">
        <v>2424.0</v>
      </c>
      <c r="D29" s="69">
        <v>2682.0</v>
      </c>
      <c r="E29" s="341"/>
      <c r="F29" s="28"/>
      <c r="G29" s="28"/>
      <c r="H29" s="28"/>
      <c r="I29" s="28"/>
      <c r="J29" s="28"/>
      <c r="K29" s="28"/>
      <c r="L29" s="28"/>
      <c r="M29" s="28"/>
      <c r="N29" s="28"/>
      <c r="O29" s="28"/>
      <c r="P29" s="28"/>
      <c r="Q29" s="28"/>
      <c r="R29" s="28"/>
      <c r="S29" s="342"/>
      <c r="T29" s="310">
        <f>IFERROR(__xludf.DUMMYFUNCTION("""COMPUTED_VALUE"""),2666.0)</f>
        <v>2666</v>
      </c>
      <c r="U29" s="319" t="str">
        <f>IFNA(VLOOKUP(T29,'BD MPP'!$B$2:$L$223,11,FALSE),"")</f>
        <v>02-Medellin</v>
      </c>
      <c r="V29" s="301">
        <v>2334.0</v>
      </c>
      <c r="W29" s="301">
        <v>2334.0</v>
      </c>
    </row>
    <row r="30" ht="16.5" customHeight="1">
      <c r="A30" s="312"/>
      <c r="B30" s="312" t="str">
        <f>IFNA(VLOOKUP(A30,'BD LUB'!$A$2:$L$223,3,FALSE),"")</f>
        <v/>
      </c>
      <c r="C30" s="69">
        <v>2673.0</v>
      </c>
      <c r="D30" s="69">
        <v>2926.0</v>
      </c>
      <c r="E30" s="343"/>
      <c r="F30" s="35"/>
      <c r="G30" s="52"/>
      <c r="H30" s="38"/>
      <c r="I30" s="38"/>
      <c r="J30" s="35"/>
      <c r="K30" s="35"/>
      <c r="L30" s="35"/>
      <c r="M30" s="35"/>
      <c r="N30" s="35"/>
      <c r="O30" s="35"/>
      <c r="P30" s="35"/>
      <c r="Q30" s="35"/>
      <c r="R30" s="35"/>
      <c r="S30" s="344"/>
      <c r="T30" s="318">
        <f>IFERROR(__xludf.DUMMYFUNCTION("""COMPUTED_VALUE"""),2851.0)</f>
        <v>2851</v>
      </c>
      <c r="U30" s="319" t="str">
        <f>IFNA(VLOOKUP(T30,'BD MPP'!$B$2:$L$223,11,FALSE),"")</f>
        <v>02-Medellin</v>
      </c>
      <c r="V30" s="320">
        <v>2360.0</v>
      </c>
      <c r="W30" s="320">
        <v>2360.0</v>
      </c>
    </row>
    <row r="31" ht="16.5" customHeight="1">
      <c r="A31" s="302"/>
      <c r="B31" s="302" t="str">
        <f>IFNA(VLOOKUP(A31,'BD LUB'!$A$2:$L$223,3,FALSE),"")</f>
        <v/>
      </c>
      <c r="C31" s="69">
        <v>3198.0</v>
      </c>
      <c r="D31" s="69">
        <v>2903.0</v>
      </c>
      <c r="E31" s="341"/>
      <c r="F31" s="342"/>
      <c r="G31" s="51"/>
      <c r="H31" s="345"/>
      <c r="I31" s="31"/>
      <c r="J31" s="28"/>
      <c r="K31" s="28"/>
      <c r="L31" s="28"/>
      <c r="M31" s="28"/>
      <c r="N31" s="28"/>
      <c r="O31" s="28"/>
      <c r="P31" s="28"/>
      <c r="Q31" s="28"/>
      <c r="R31" s="28"/>
      <c r="S31" s="342"/>
      <c r="T31" s="310">
        <f>IFERROR(__xludf.DUMMYFUNCTION("""COMPUTED_VALUE"""),2464.0)</f>
        <v>2464</v>
      </c>
      <c r="U31" s="319" t="str">
        <f>IFNA(VLOOKUP(T31,'BD MPP'!$B$2:$L$223,11,FALSE),"")</f>
        <v>02-Medellin</v>
      </c>
      <c r="V31" s="301">
        <v>2195.0</v>
      </c>
      <c r="W31" s="301">
        <v>2195.0</v>
      </c>
    </row>
    <row r="32" ht="16.5" customHeight="1">
      <c r="A32" s="312"/>
      <c r="B32" s="312" t="str">
        <f>IFNA(VLOOKUP(A32,'BD LUB'!$A$2:$L$223,3,FALSE),"")</f>
        <v/>
      </c>
      <c r="C32" s="68">
        <v>2230.0</v>
      </c>
      <c r="D32" s="69">
        <v>2437.0</v>
      </c>
      <c r="E32" s="343"/>
      <c r="F32" s="35"/>
      <c r="G32" s="52"/>
      <c r="H32" s="38"/>
      <c r="I32" s="38"/>
      <c r="J32" s="35"/>
      <c r="K32" s="35"/>
      <c r="L32" s="35"/>
      <c r="M32" s="35"/>
      <c r="N32" s="35"/>
      <c r="O32" s="35"/>
      <c r="P32" s="35"/>
      <c r="Q32" s="35"/>
      <c r="R32" s="35"/>
      <c r="S32" s="344"/>
      <c r="T32" s="318">
        <f>IFERROR(__xludf.DUMMYFUNCTION("""COMPUTED_VALUE"""),2394.0)</f>
        <v>2394</v>
      </c>
      <c r="U32" s="319" t="str">
        <f>IFNA(VLOOKUP(T32,'BD MPP'!$B$2:$L$223,11,FALSE),"")</f>
        <v>MAYORCA</v>
      </c>
      <c r="V32" s="320">
        <v>2390.0</v>
      </c>
      <c r="W32" s="320">
        <v>2390.0</v>
      </c>
    </row>
    <row r="33" ht="16.5" customHeight="1">
      <c r="A33" s="302"/>
      <c r="B33" s="302" t="str">
        <f>IFNA(VLOOKUP(A33,'BD LUB'!$A$2:$L$223,3,FALSE),"")</f>
        <v/>
      </c>
      <c r="C33" s="68">
        <v>3282.0</v>
      </c>
      <c r="D33" s="68">
        <v>2384.0</v>
      </c>
      <c r="E33" s="341"/>
      <c r="F33" s="28"/>
      <c r="G33" s="52"/>
      <c r="H33" s="31"/>
      <c r="I33" s="31"/>
      <c r="J33" s="28"/>
      <c r="K33" s="28"/>
      <c r="L33" s="28"/>
      <c r="M33" s="28"/>
      <c r="N33" s="28"/>
      <c r="O33" s="28"/>
      <c r="P33" s="28"/>
      <c r="Q33" s="28"/>
      <c r="R33" s="28"/>
      <c r="S33" s="342"/>
      <c r="T33" s="310">
        <f>IFERROR(__xludf.DUMMYFUNCTION("""COMPUTED_VALUE"""),496.0)</f>
        <v>496</v>
      </c>
      <c r="U33" s="319" t="str">
        <f>IFNA(VLOOKUP(T33,'BD MPP'!$B$2:$L$223,11,FALSE),"")</f>
        <v>02-Medellin</v>
      </c>
      <c r="V33" s="301">
        <v>2905.0</v>
      </c>
      <c r="W33" s="301">
        <v>2905.0</v>
      </c>
    </row>
    <row r="34" ht="16.5" customHeight="1">
      <c r="A34" s="312"/>
      <c r="B34" s="312" t="str">
        <f>IFNA(VLOOKUP(A34,'BD LUB'!$A$2:$L$223,3,FALSE),"")</f>
        <v/>
      </c>
      <c r="C34" s="68">
        <v>3280.0</v>
      </c>
      <c r="D34" s="68">
        <v>2853.0</v>
      </c>
      <c r="E34" s="343"/>
      <c r="F34" s="346"/>
      <c r="G34" s="52"/>
      <c r="H34" s="35"/>
      <c r="I34" s="38"/>
      <c r="J34" s="35"/>
      <c r="K34" s="35"/>
      <c r="L34" s="35"/>
      <c r="M34" s="35"/>
      <c r="N34" s="35"/>
      <c r="O34" s="35"/>
      <c r="P34" s="35"/>
      <c r="Q34" s="35"/>
      <c r="R34" s="35"/>
      <c r="S34" s="344"/>
      <c r="T34" s="318">
        <f>IFERROR(__xludf.DUMMYFUNCTION("""COMPUTED_VALUE"""),2892.0)</f>
        <v>2892</v>
      </c>
      <c r="U34" s="319" t="str">
        <f>IFNA(VLOOKUP(T34,'BD MPP'!$B$2:$L$223,11,FALSE),"")</f>
        <v>24-Rionegro</v>
      </c>
      <c r="V34" s="320">
        <v>2573.0</v>
      </c>
      <c r="W34" s="320">
        <v>2573.0</v>
      </c>
    </row>
    <row r="35" ht="16.5" customHeight="1">
      <c r="A35" s="302"/>
      <c r="B35" s="302" t="str">
        <f>IFNA(VLOOKUP(A35,'BD LUB'!$A$2:$L$223,3,FALSE),"")</f>
        <v/>
      </c>
      <c r="C35" s="68">
        <v>2911.0</v>
      </c>
      <c r="D35" s="68">
        <v>650.0</v>
      </c>
      <c r="E35" s="341"/>
      <c r="F35" s="347"/>
      <c r="G35" s="52"/>
      <c r="H35" s="28"/>
      <c r="I35" s="31"/>
      <c r="J35" s="28"/>
      <c r="K35" s="28"/>
      <c r="L35" s="28"/>
      <c r="M35" s="28"/>
      <c r="N35" s="28"/>
      <c r="O35" s="28"/>
      <c r="P35" s="28"/>
      <c r="Q35" s="28"/>
      <c r="R35" s="28"/>
      <c r="S35" s="342"/>
      <c r="T35" s="310">
        <f>IFERROR(__xludf.DUMMYFUNCTION("""COMPUTED_VALUE"""),2403.0)</f>
        <v>2403</v>
      </c>
      <c r="U35" s="319" t="str">
        <f>IFNA(VLOOKUP(T35,'BD MPP'!$B$2:$L$223,11,FALSE),"")</f>
        <v>BULTOS</v>
      </c>
      <c r="V35" s="301">
        <v>2458.0</v>
      </c>
      <c r="W35" s="301">
        <v>2458.0</v>
      </c>
    </row>
    <row r="36" ht="16.5" customHeight="1">
      <c r="A36" s="312"/>
      <c r="B36" s="312" t="str">
        <f>IFNA(VLOOKUP(A36,'BD LUB'!$A$2:$L$223,3,FALSE),"")</f>
        <v/>
      </c>
      <c r="C36" s="68">
        <v>2909.0</v>
      </c>
      <c r="D36" s="68">
        <v>2339.0</v>
      </c>
      <c r="E36" s="343"/>
      <c r="F36" s="346"/>
      <c r="G36" s="52"/>
      <c r="H36" s="35"/>
      <c r="I36" s="38"/>
      <c r="J36" s="35"/>
      <c r="K36" s="35"/>
      <c r="L36" s="35"/>
      <c r="M36" s="35"/>
      <c r="N36" s="35"/>
      <c r="O36" s="35"/>
      <c r="P36" s="35"/>
      <c r="Q36" s="348"/>
      <c r="R36" s="348"/>
      <c r="S36" s="349"/>
      <c r="T36" s="318">
        <f>IFERROR(__xludf.DUMMYFUNCTION("""COMPUTED_VALUE"""),661.0)</f>
        <v>661</v>
      </c>
      <c r="U36" s="319" t="str">
        <f>IFNA(VLOOKUP(T36,'BD MPP'!$B$2:$L$223,11,FALSE),"")</f>
        <v>02-Medellin</v>
      </c>
      <c r="V36" s="320">
        <v>2906.0</v>
      </c>
      <c r="W36" s="320">
        <v>2906.0</v>
      </c>
    </row>
    <row r="37" ht="16.5" customHeight="1">
      <c r="A37" s="302"/>
      <c r="B37" s="302" t="str">
        <f>IFNA(VLOOKUP(A37,'BD LUB'!$A$2:$L$223,3,FALSE),"")</f>
        <v/>
      </c>
      <c r="C37" s="68">
        <v>2910.0</v>
      </c>
      <c r="D37" s="69">
        <v>2880.0</v>
      </c>
      <c r="E37" s="341"/>
      <c r="F37" s="28"/>
      <c r="G37" s="52"/>
      <c r="H37" s="28"/>
      <c r="I37" s="28"/>
      <c r="J37" s="28"/>
      <c r="K37" s="28"/>
      <c r="L37" s="28"/>
      <c r="M37" s="28"/>
      <c r="N37" s="28"/>
      <c r="O37" s="28"/>
      <c r="P37" s="28"/>
      <c r="Q37" s="350"/>
      <c r="R37" s="350"/>
      <c r="S37" s="351"/>
      <c r="T37" s="310">
        <f>IFERROR(__xludf.DUMMYFUNCTION("""COMPUTED_VALUE"""),3212.0)</f>
        <v>3212</v>
      </c>
      <c r="U37" s="319" t="str">
        <f>IFNA(VLOOKUP(T37,'BD MPP'!$B$2:$L$223,11,FALSE),"")</f>
        <v>02-Medellin</v>
      </c>
      <c r="V37" s="301">
        <v>2201.0</v>
      </c>
      <c r="W37" s="301">
        <v>2201.0</v>
      </c>
    </row>
    <row r="38" ht="16.5" customHeight="1">
      <c r="A38" s="312"/>
      <c r="B38" s="312" t="str">
        <f>IFNA(VLOOKUP(A38,'BD LUB'!$A$2:$L$223,3,FALSE),"")</f>
        <v/>
      </c>
      <c r="C38" s="68">
        <v>2334.0</v>
      </c>
      <c r="D38" s="69">
        <v>2882.0</v>
      </c>
      <c r="E38" s="343"/>
      <c r="F38" s="35"/>
      <c r="G38" s="52"/>
      <c r="H38" s="35"/>
      <c r="I38" s="35"/>
      <c r="J38" s="35"/>
      <c r="K38" s="35"/>
      <c r="L38" s="35"/>
      <c r="M38" s="35"/>
      <c r="N38" s="35"/>
      <c r="O38" s="35"/>
      <c r="P38" s="35"/>
      <c r="Q38" s="352"/>
      <c r="R38" s="352"/>
      <c r="S38" s="353"/>
      <c r="T38" s="318">
        <f>IFERROR(__xludf.DUMMYFUNCTION("""COMPUTED_VALUE"""),2275.0)</f>
        <v>2275</v>
      </c>
      <c r="U38" s="319" t="str">
        <f>IFNA(VLOOKUP(T38,'BD MPP'!$B$2:$L$223,11,FALSE),"")</f>
        <v>02-Medellin</v>
      </c>
      <c r="V38" s="320">
        <v>2196.0</v>
      </c>
      <c r="W38" s="320">
        <v>2196.0</v>
      </c>
    </row>
    <row r="39" ht="16.5" customHeight="1">
      <c r="A39" s="302"/>
      <c r="B39" s="302" t="str">
        <f>IFNA(VLOOKUP(A39,'BD LUB'!$A$2:$L$223,3,FALSE),"")</f>
        <v/>
      </c>
      <c r="C39" s="51">
        <v>2663.0</v>
      </c>
      <c r="D39" s="69">
        <v>2897.0</v>
      </c>
      <c r="E39" s="341"/>
      <c r="F39" s="28"/>
      <c r="G39" s="52"/>
      <c r="H39" s="28"/>
      <c r="I39" s="28"/>
      <c r="J39" s="28"/>
      <c r="K39" s="28"/>
      <c r="L39" s="28"/>
      <c r="M39" s="28"/>
      <c r="N39" s="28"/>
      <c r="O39" s="28"/>
      <c r="P39" s="28"/>
      <c r="Q39" s="350"/>
      <c r="R39" s="350"/>
      <c r="S39" s="351"/>
      <c r="T39" s="310">
        <f>IFERROR(__xludf.DUMMYFUNCTION("""COMPUTED_VALUE"""),464.0)</f>
        <v>464</v>
      </c>
      <c r="U39" s="319" t="str">
        <f>IFNA(VLOOKUP(T39,'BD MPP'!$B$2:$L$223,11,FALSE),"")</f>
        <v>02-Medellin</v>
      </c>
      <c r="V39" s="301">
        <v>2369.0</v>
      </c>
      <c r="W39" s="301">
        <v>2369.0</v>
      </c>
    </row>
    <row r="40" ht="16.5" customHeight="1">
      <c r="A40" s="312"/>
      <c r="B40" s="312" t="str">
        <f>IFNA(VLOOKUP(A40,'BD LUB'!$A$2:$L$223,3,FALSE),"")</f>
        <v/>
      </c>
      <c r="C40" s="51">
        <v>3284.0</v>
      </c>
      <c r="D40" s="69">
        <v>2040.0</v>
      </c>
      <c r="E40" s="343"/>
      <c r="F40" s="35"/>
      <c r="G40" s="52"/>
      <c r="H40" s="35"/>
      <c r="I40" s="35"/>
      <c r="J40" s="35"/>
      <c r="K40" s="35"/>
      <c r="L40" s="35"/>
      <c r="M40" s="35"/>
      <c r="N40" s="35"/>
      <c r="O40" s="35"/>
      <c r="P40" s="35"/>
      <c r="Q40" s="352"/>
      <c r="R40" s="352"/>
      <c r="S40" s="353"/>
      <c r="T40" s="318">
        <f>IFERROR(__xludf.DUMMYFUNCTION("""COMPUTED_VALUE"""),2848.0)</f>
        <v>2848</v>
      </c>
      <c r="U40" s="319" t="str">
        <f>IFNA(VLOOKUP(T40,'BD MPP'!$B$2:$L$223,11,FALSE),"")</f>
        <v>02-Medellin</v>
      </c>
      <c r="V40" s="320">
        <v>2469.0</v>
      </c>
      <c r="W40" s="320">
        <v>2469.0</v>
      </c>
    </row>
    <row r="41" ht="16.5" customHeight="1">
      <c r="A41" s="302"/>
      <c r="B41" s="302" t="str">
        <f>IFNA(VLOOKUP(A41,'BD LUB'!$A$2:$L$223,3,FALSE),"")</f>
        <v/>
      </c>
      <c r="C41" s="51">
        <v>2890.0</v>
      </c>
      <c r="D41" s="69">
        <v>2450.0</v>
      </c>
      <c r="E41" s="341"/>
      <c r="F41" s="28"/>
      <c r="G41" s="51"/>
      <c r="H41" s="28"/>
      <c r="I41" s="28"/>
      <c r="J41" s="28"/>
      <c r="K41" s="28"/>
      <c r="L41" s="28"/>
      <c r="M41" s="28"/>
      <c r="N41" s="28"/>
      <c r="O41" s="28"/>
      <c r="P41" s="28"/>
      <c r="Q41" s="350"/>
      <c r="R41" s="350"/>
      <c r="S41" s="351"/>
      <c r="T41" s="310">
        <f>IFERROR(__xludf.DUMMYFUNCTION("""COMPUTED_VALUE"""),2387.0)</f>
        <v>2387</v>
      </c>
      <c r="U41" s="319" t="str">
        <f>IFNA(VLOOKUP(T41,'BD MPP'!$B$2:$L$223,11,FALSE),"")</f>
        <v>BULTOS</v>
      </c>
      <c r="V41" s="301">
        <v>2924.0</v>
      </c>
      <c r="W41" s="301">
        <v>2924.0</v>
      </c>
    </row>
    <row r="42" ht="16.5" customHeight="1">
      <c r="A42" s="312"/>
      <c r="B42" s="312" t="str">
        <f>IFNA(VLOOKUP(A42,'BD LUB'!$A$2:$L$223,3,FALSE),"")</f>
        <v/>
      </c>
      <c r="C42" s="51">
        <v>2894.0</v>
      </c>
      <c r="D42" s="69">
        <v>2890.0</v>
      </c>
      <c r="E42" s="343"/>
      <c r="F42" s="35"/>
      <c r="G42" s="51"/>
      <c r="H42" s="35"/>
      <c r="I42" s="35"/>
      <c r="J42" s="35"/>
      <c r="K42" s="35"/>
      <c r="L42" s="35"/>
      <c r="M42" s="35"/>
      <c r="N42" s="35"/>
      <c r="O42" s="35"/>
      <c r="P42" s="35"/>
      <c r="Q42" s="352"/>
      <c r="R42" s="352"/>
      <c r="S42" s="353"/>
      <c r="T42" s="318">
        <f>IFERROR(__xludf.DUMMYFUNCTION("""COMPUTED_VALUE"""),2843.0)</f>
        <v>2843</v>
      </c>
      <c r="U42" s="319" t="str">
        <f>IFNA(VLOOKUP(T42,'BD MPP'!$B$2:$L$223,11,FALSE),"")</f>
        <v>31-Copacabana</v>
      </c>
      <c r="V42" s="320">
        <v>2846.0</v>
      </c>
      <c r="W42" s="320">
        <v>2846.0</v>
      </c>
    </row>
    <row r="43" ht="16.5" customHeight="1">
      <c r="A43" s="302"/>
      <c r="B43" s="302" t="str">
        <f>IFNA(VLOOKUP(A43,'BD LUB'!$A$2:$L$223,3,FALSE),"")</f>
        <v/>
      </c>
      <c r="C43" s="51">
        <v>2925.0</v>
      </c>
      <c r="D43" s="69">
        <v>3246.0</v>
      </c>
      <c r="E43" s="341"/>
      <c r="F43" s="28"/>
      <c r="G43" s="51"/>
      <c r="H43" s="28"/>
      <c r="I43" s="28"/>
      <c r="J43" s="28"/>
      <c r="K43" s="28"/>
      <c r="L43" s="28"/>
      <c r="M43" s="28"/>
      <c r="N43" s="28"/>
      <c r="O43" s="28"/>
      <c r="P43" s="28"/>
      <c r="Q43" s="350"/>
      <c r="R43" s="350"/>
      <c r="S43" s="351"/>
      <c r="T43" s="310">
        <f>IFERROR(__xludf.DUMMYFUNCTION("""COMPUTED_VALUE"""),2907.0)</f>
        <v>2907</v>
      </c>
      <c r="U43" s="319" t="str">
        <f>IFNA(VLOOKUP(T43,'BD MPP'!$B$2:$L$223,11,FALSE),"")</f>
        <v>38-La ceja</v>
      </c>
      <c r="V43" s="301">
        <v>2392.0</v>
      </c>
      <c r="W43" s="301">
        <v>2392.0</v>
      </c>
    </row>
    <row r="44" ht="16.5" customHeight="1">
      <c r="A44" s="312"/>
      <c r="B44" s="312" t="str">
        <f>IFNA(VLOOKUP(A44,'BD LUB'!$A$2:$L$223,3,FALSE),"")</f>
        <v/>
      </c>
      <c r="C44" s="51">
        <v>3251.0</v>
      </c>
      <c r="D44" s="68">
        <v>499.0</v>
      </c>
      <c r="E44" s="343"/>
      <c r="F44" s="35"/>
      <c r="G44" s="51"/>
      <c r="H44" s="35"/>
      <c r="I44" s="35"/>
      <c r="J44" s="35"/>
      <c r="K44" s="35"/>
      <c r="L44" s="35"/>
      <c r="M44" s="35"/>
      <c r="N44" s="35"/>
      <c r="O44" s="35"/>
      <c r="P44" s="35"/>
      <c r="Q44" s="352"/>
      <c r="R44" s="352"/>
      <c r="S44" s="353"/>
      <c r="T44" s="318">
        <f>IFERROR(__xludf.DUMMYFUNCTION("""COMPUTED_VALUE"""),657.0)</f>
        <v>657</v>
      </c>
      <c r="U44" s="319" t="str">
        <f>IFNA(VLOOKUP(T44,'BD MPP'!$B$2:$L$223,11,FALSE),"")</f>
        <v>02-Medellin</v>
      </c>
      <c r="V44" s="320">
        <v>2179.0</v>
      </c>
      <c r="W44" s="320">
        <v>2179.0</v>
      </c>
    </row>
    <row r="45" ht="16.5" customHeight="1">
      <c r="A45" s="302"/>
      <c r="B45" s="302" t="str">
        <f>IFNA(VLOOKUP(A45,'BD LUB'!$A$2:$L$223,3,FALSE),"")</f>
        <v/>
      </c>
      <c r="C45" s="51">
        <v>2853.0</v>
      </c>
      <c r="D45" s="68">
        <v>2087.0</v>
      </c>
      <c r="E45" s="341"/>
      <c r="F45" s="28"/>
      <c r="G45" s="51"/>
      <c r="H45" s="28"/>
      <c r="I45" s="28"/>
      <c r="J45" s="28"/>
      <c r="K45" s="28"/>
      <c r="L45" s="28"/>
      <c r="M45" s="28"/>
      <c r="N45" s="28"/>
      <c r="O45" s="28"/>
      <c r="P45" s="28"/>
      <c r="Q45" s="350"/>
      <c r="R45" s="350"/>
      <c r="S45" s="351"/>
      <c r="T45" s="310">
        <f>IFERROR(__xludf.DUMMYFUNCTION("""COMPUTED_VALUE"""),2355.0)</f>
        <v>2355</v>
      </c>
      <c r="U45" s="319" t="str">
        <f>IFNA(VLOOKUP(T45,'BD MPP'!$B$2:$L$223,11,FALSE),"")</f>
        <v>31-Copacabana</v>
      </c>
      <c r="V45" s="301">
        <v>2456.0</v>
      </c>
      <c r="W45" s="301">
        <v>2456.0</v>
      </c>
    </row>
    <row r="46" ht="16.5" customHeight="1">
      <c r="A46" s="312"/>
      <c r="B46" s="312" t="str">
        <f>IFNA(VLOOKUP(A46,'BD LUB'!$A$2:$L$223,3,FALSE),"")</f>
        <v/>
      </c>
      <c r="C46" s="51">
        <v>3202.0</v>
      </c>
      <c r="D46" s="68">
        <v>2894.0</v>
      </c>
      <c r="E46" s="343"/>
      <c r="F46" s="35"/>
      <c r="G46" s="51"/>
      <c r="H46" s="35"/>
      <c r="I46" s="35"/>
      <c r="J46" s="35"/>
      <c r="K46" s="35"/>
      <c r="L46" s="35"/>
      <c r="M46" s="35"/>
      <c r="N46" s="35"/>
      <c r="O46" s="35"/>
      <c r="P46" s="35"/>
      <c r="Q46" s="352"/>
      <c r="R46" s="352"/>
      <c r="S46" s="353"/>
      <c r="T46" s="318">
        <f>IFERROR(__xludf.DUMMYFUNCTION("""COMPUTED_VALUE"""),2400.0)</f>
        <v>2400</v>
      </c>
      <c r="U46" s="319" t="str">
        <f>IFNA(VLOOKUP(T46,'BD MPP'!$B$2:$L$223,11,FALSE),"")</f>
        <v>MAYORCA</v>
      </c>
      <c r="V46" s="320">
        <v>2845.0</v>
      </c>
      <c r="W46" s="320">
        <v>2845.0</v>
      </c>
    </row>
    <row r="47" ht="16.5" customHeight="1">
      <c r="A47" s="302"/>
      <c r="B47" s="302" t="str">
        <f>IFNA(VLOOKUP(A47,'BD LUB'!$A$2:$L$223,3,FALSE),"")</f>
        <v/>
      </c>
      <c r="C47" s="51">
        <v>2842.0</v>
      </c>
      <c r="D47" s="68">
        <v>2894.0</v>
      </c>
      <c r="E47" s="341"/>
      <c r="F47" s="28"/>
      <c r="G47" s="51"/>
      <c r="H47" s="28"/>
      <c r="I47" s="28"/>
      <c r="J47" s="28"/>
      <c r="K47" s="28"/>
      <c r="L47" s="28"/>
      <c r="M47" s="28"/>
      <c r="N47" s="28"/>
      <c r="O47" s="28"/>
      <c r="P47" s="28"/>
      <c r="Q47" s="350"/>
      <c r="R47" s="350"/>
      <c r="S47" s="351"/>
      <c r="T47" s="310">
        <f>IFERROR(__xludf.DUMMYFUNCTION("""COMPUTED_VALUE"""),2657.0)</f>
        <v>2657</v>
      </c>
      <c r="U47" s="319" t="str">
        <f>IFNA(VLOOKUP(T47,'BD MPP'!$B$2:$L$223,11,FALSE),"")</f>
        <v>MAYORCA</v>
      </c>
      <c r="V47" s="301">
        <v>2230.0</v>
      </c>
      <c r="W47" s="301">
        <v>2230.0</v>
      </c>
    </row>
    <row r="48" ht="16.5" customHeight="1">
      <c r="A48" s="312"/>
      <c r="B48" s="312" t="str">
        <f>IFNA(VLOOKUP(A48,'BD LUB'!$A$2:$L$223,3,FALSE),"")</f>
        <v/>
      </c>
      <c r="C48" s="68">
        <v>2845.0</v>
      </c>
      <c r="D48" s="68">
        <v>2911.0</v>
      </c>
      <c r="E48" s="343"/>
      <c r="F48" s="35"/>
      <c r="G48" s="51"/>
      <c r="H48" s="35"/>
      <c r="I48" s="35"/>
      <c r="J48" s="35"/>
      <c r="K48" s="35"/>
      <c r="L48" s="35"/>
      <c r="M48" s="35"/>
      <c r="N48" s="35"/>
      <c r="O48" s="35"/>
      <c r="P48" s="35"/>
      <c r="Q48" s="352"/>
      <c r="R48" s="352"/>
      <c r="S48" s="353"/>
      <c r="T48" s="318">
        <f>IFERROR(__xludf.DUMMYFUNCTION("""COMPUTED_VALUE"""),2457.0)</f>
        <v>2457</v>
      </c>
      <c r="U48" s="319" t="str">
        <f>IFNA(VLOOKUP(T48,'BD MPP'!$B$2:$L$223,11,FALSE),"")</f>
        <v>BULTOS</v>
      </c>
      <c r="V48" s="320">
        <v>2339.0</v>
      </c>
      <c r="W48" s="320">
        <v>2339.0</v>
      </c>
    </row>
    <row r="49" ht="16.5" customHeight="1">
      <c r="A49" s="302"/>
      <c r="B49" s="302" t="str">
        <f>IFNA(VLOOKUP(A49,'BD LUB'!$A$2:$L$223,3,FALSE),"")</f>
        <v/>
      </c>
      <c r="C49" s="68">
        <v>2198.0</v>
      </c>
      <c r="D49" s="68">
        <v>2052.0</v>
      </c>
      <c r="E49" s="341"/>
      <c r="F49" s="28"/>
      <c r="G49" s="51"/>
      <c r="H49" s="28"/>
      <c r="I49" s="28"/>
      <c r="J49" s="28"/>
      <c r="K49" s="28"/>
      <c r="L49" s="28"/>
      <c r="M49" s="28"/>
      <c r="N49" s="28"/>
      <c r="O49" s="28"/>
      <c r="P49" s="28"/>
      <c r="Q49" s="350"/>
      <c r="R49" s="350"/>
      <c r="S49" s="351"/>
      <c r="T49" s="310">
        <f>IFERROR(__xludf.DUMMYFUNCTION("""COMPUTED_VALUE"""),2862.0)</f>
        <v>2862</v>
      </c>
      <c r="U49" s="319" t="str">
        <f>IFNA(VLOOKUP(T49,'BD MPP'!$B$2:$L$223,11,FALSE),"")</f>
        <v>02-Medellin</v>
      </c>
      <c r="V49" s="301">
        <v>2484.0</v>
      </c>
      <c r="W49" s="311"/>
    </row>
    <row r="50" ht="16.5" customHeight="1">
      <c r="A50" s="312"/>
      <c r="B50" s="312" t="str">
        <f>IFNA(VLOOKUP(A50,'BD LUB'!$A$2:$L$223,3,FALSE),"")</f>
        <v/>
      </c>
      <c r="C50" s="68">
        <v>2450.0</v>
      </c>
      <c r="D50" s="68">
        <v>2877.0</v>
      </c>
      <c r="E50" s="343"/>
      <c r="F50" s="35"/>
      <c r="G50" s="51"/>
      <c r="H50" s="35"/>
      <c r="I50" s="35"/>
      <c r="J50" s="35"/>
      <c r="K50" s="35"/>
      <c r="L50" s="35"/>
      <c r="M50" s="35"/>
      <c r="N50" s="35"/>
      <c r="O50" s="35"/>
      <c r="P50" s="35"/>
      <c r="Q50" s="352"/>
      <c r="R50" s="352"/>
      <c r="S50" s="353"/>
      <c r="T50" s="318">
        <f>IFERROR(__xludf.DUMMYFUNCTION("""COMPUTED_VALUE"""),2366.0)</f>
        <v>2366</v>
      </c>
      <c r="U50" s="319" t="str">
        <f>IFNA(VLOOKUP(T50,'BD MPP'!$B$2:$L$223,11,FALSE),"")</f>
        <v>02-Medellin</v>
      </c>
      <c r="V50" s="320">
        <v>2663.0</v>
      </c>
      <c r="W50" s="319"/>
    </row>
    <row r="51" ht="16.5" customHeight="1">
      <c r="A51" s="302"/>
      <c r="B51" s="302" t="str">
        <f>IFNA(VLOOKUP(A51,'BD LUB'!$A$2:$L$223,3,FALSE),"")</f>
        <v/>
      </c>
      <c r="C51" s="51">
        <v>2339.0</v>
      </c>
      <c r="D51" s="68">
        <v>2896.0</v>
      </c>
      <c r="E51" s="341"/>
      <c r="F51" s="28"/>
      <c r="G51" s="51"/>
      <c r="H51" s="28"/>
      <c r="I51" s="28"/>
      <c r="J51" s="28"/>
      <c r="K51" s="28"/>
      <c r="L51" s="28"/>
      <c r="M51" s="28"/>
      <c r="N51" s="28"/>
      <c r="O51" s="28"/>
      <c r="P51" s="28"/>
      <c r="Q51" s="350"/>
      <c r="R51" s="350"/>
      <c r="S51" s="351"/>
      <c r="T51" s="310">
        <f>IFERROR(__xludf.DUMMYFUNCTION("""COMPUTED_VALUE"""),2455.0)</f>
        <v>2455</v>
      </c>
      <c r="U51" s="319" t="str">
        <f>IFNA(VLOOKUP(T51,'BD MPP'!$B$2:$L$223,11,FALSE),"")</f>
        <v>02-Medellin</v>
      </c>
      <c r="V51" s="301">
        <v>3202.0</v>
      </c>
      <c r="W51" s="311"/>
    </row>
    <row r="52" ht="16.5" customHeight="1">
      <c r="A52" s="312"/>
      <c r="B52" s="312" t="str">
        <f>IFNA(VLOOKUP(A52,'BD LUB'!$A$2:$L$223,3,FALSE),"")</f>
        <v/>
      </c>
      <c r="C52" s="68">
        <v>2572.0</v>
      </c>
      <c r="D52" s="68">
        <v>3175.0</v>
      </c>
      <c r="E52" s="343"/>
      <c r="F52" s="35"/>
      <c r="G52" s="51"/>
      <c r="H52" s="35"/>
      <c r="I52" s="35"/>
      <c r="J52" s="35"/>
      <c r="K52" s="35"/>
      <c r="L52" s="35"/>
      <c r="M52" s="35"/>
      <c r="N52" s="35"/>
      <c r="O52" s="35"/>
      <c r="P52" s="35"/>
      <c r="Q52" s="352"/>
      <c r="R52" s="352"/>
      <c r="S52" s="353"/>
      <c r="T52" s="318">
        <f>IFERROR(__xludf.DUMMYFUNCTION("""COMPUTED_VALUE"""),2462.0)</f>
        <v>2462</v>
      </c>
      <c r="U52" s="319" t="str">
        <f>IFNA(VLOOKUP(T52,'BD MPP'!$B$2:$L$223,11,FALSE),"")</f>
        <v>02-Medellin</v>
      </c>
      <c r="V52" s="320">
        <v>2450.0</v>
      </c>
      <c r="W52" s="319"/>
    </row>
    <row r="53" ht="16.5" customHeight="1">
      <c r="A53" s="302"/>
      <c r="B53" s="302" t="str">
        <f>IFNA(VLOOKUP(A53,'BD LUB'!$A$2:$L$223,3,FALSE),"")</f>
        <v/>
      </c>
      <c r="C53" s="51">
        <v>2460.0</v>
      </c>
      <c r="D53" s="68">
        <v>3281.0</v>
      </c>
      <c r="E53" s="341"/>
      <c r="F53" s="28"/>
      <c r="G53" s="51"/>
      <c r="H53" s="28"/>
      <c r="I53" s="28"/>
      <c r="J53" s="28"/>
      <c r="K53" s="28"/>
      <c r="L53" s="28"/>
      <c r="M53" s="28"/>
      <c r="N53" s="28"/>
      <c r="O53" s="28"/>
      <c r="P53" s="28"/>
      <c r="Q53" s="350"/>
      <c r="R53" s="350"/>
      <c r="S53" s="351"/>
      <c r="T53" s="310">
        <f>IFERROR(__xludf.DUMMYFUNCTION("""COMPUTED_VALUE"""),2404.0)</f>
        <v>2404</v>
      </c>
      <c r="U53" s="319" t="str">
        <f>IFNA(VLOOKUP(T53,'BD MPP'!$B$2:$L$223,11,FALSE),"")</f>
        <v>02-Medellin</v>
      </c>
      <c r="V53" s="301">
        <v>2460.0</v>
      </c>
      <c r="W53" s="311"/>
    </row>
    <row r="54" ht="16.5" customHeight="1">
      <c r="A54" s="312"/>
      <c r="B54" s="312" t="str">
        <f>IFNA(VLOOKUP(A54,'BD LUB'!$A$2:$L$223,3,FALSE),"")</f>
        <v/>
      </c>
      <c r="C54" s="51">
        <v>3246.0</v>
      </c>
      <c r="D54" s="68">
        <v>2230.0</v>
      </c>
      <c r="E54" s="343"/>
      <c r="F54" s="35"/>
      <c r="G54" s="51"/>
      <c r="H54" s="35"/>
      <c r="I54" s="35"/>
      <c r="J54" s="35"/>
      <c r="K54" s="35"/>
      <c r="L54" s="35"/>
      <c r="M54" s="35"/>
      <c r="N54" s="35"/>
      <c r="O54" s="35"/>
      <c r="P54" s="35"/>
      <c r="Q54" s="352"/>
      <c r="R54" s="352"/>
      <c r="S54" s="353"/>
      <c r="T54" s="318">
        <f>IFERROR(__xludf.DUMMYFUNCTION("""COMPUTED_VALUE"""),2385.0)</f>
        <v>2385</v>
      </c>
      <c r="U54" s="319" t="str">
        <f>IFNA(VLOOKUP(T54,'BD MPP'!$B$2:$L$223,11,FALSE),"")</f>
        <v>02-Medellin</v>
      </c>
      <c r="V54" s="354"/>
      <c r="W54" s="319"/>
    </row>
    <row r="55" ht="16.5" customHeight="1">
      <c r="A55" s="302"/>
      <c r="B55" s="302" t="str">
        <f>IFNA(VLOOKUP(A55,'BD LUB'!$A$2:$L$223,3,FALSE),"")</f>
        <v/>
      </c>
      <c r="C55" s="51">
        <v>3047.0</v>
      </c>
      <c r="D55" s="294">
        <v>2846.0</v>
      </c>
      <c r="E55" s="341"/>
      <c r="F55" s="28"/>
      <c r="G55" s="51"/>
      <c r="H55" s="28"/>
      <c r="I55" s="28"/>
      <c r="J55" s="28"/>
      <c r="K55" s="28"/>
      <c r="L55" s="28"/>
      <c r="M55" s="28"/>
      <c r="N55" s="28"/>
      <c r="O55" s="28"/>
      <c r="P55" s="28"/>
      <c r="Q55" s="350"/>
      <c r="R55" s="350"/>
      <c r="S55" s="351"/>
      <c r="T55" s="310">
        <f>IFERROR(__xludf.DUMMYFUNCTION("""COMPUTED_VALUE"""),2374.0)</f>
        <v>2374</v>
      </c>
      <c r="U55" s="319" t="str">
        <f>IFNA(VLOOKUP(T55,'BD MPP'!$B$2:$L$223,11,FALSE),"")</f>
        <v>02-Medellin</v>
      </c>
      <c r="V55" s="355"/>
      <c r="W55" s="311"/>
    </row>
    <row r="56" ht="16.5" customHeight="1">
      <c r="A56" s="312"/>
      <c r="B56" s="312" t="str">
        <f>IFNA(VLOOKUP(A56,'BD LUB'!$A$2:$L$223,3,FALSE),"")</f>
        <v/>
      </c>
      <c r="C56" s="51">
        <v>2921.0</v>
      </c>
      <c r="D56" s="64"/>
      <c r="E56" s="343"/>
      <c r="F56" s="35"/>
      <c r="G56" s="51"/>
      <c r="H56" s="35"/>
      <c r="I56" s="35"/>
      <c r="J56" s="35"/>
      <c r="K56" s="35"/>
      <c r="L56" s="35"/>
      <c r="M56" s="35"/>
      <c r="N56" s="35"/>
      <c r="O56" s="35"/>
      <c r="P56" s="35"/>
      <c r="Q56" s="352"/>
      <c r="R56" s="352"/>
      <c r="S56" s="353"/>
      <c r="T56" s="318">
        <f>IFERROR(__xludf.DUMMYFUNCTION("""COMPUTED_VALUE"""),2679.0)</f>
        <v>2679</v>
      </c>
      <c r="U56" s="319" t="str">
        <f>IFNA(VLOOKUP(T56,'BD MPP'!$B$2:$L$223,11,FALSE),"")</f>
        <v>02-Medellin</v>
      </c>
      <c r="V56" s="354"/>
      <c r="W56" s="319"/>
    </row>
    <row r="57" ht="16.5" customHeight="1">
      <c r="A57" s="302"/>
      <c r="B57" s="302" t="str">
        <f>IFNA(VLOOKUP(A57,'BD LUB'!$A$2:$L$223,3,FALSE),"")</f>
        <v/>
      </c>
      <c r="C57" s="51">
        <v>2859.0</v>
      </c>
      <c r="D57" s="64"/>
      <c r="E57" s="341"/>
      <c r="F57" s="28"/>
      <c r="G57" s="51"/>
      <c r="H57" s="28"/>
      <c r="I57" s="28"/>
      <c r="J57" s="28"/>
      <c r="K57" s="28"/>
      <c r="L57" s="28"/>
      <c r="M57" s="28"/>
      <c r="N57" s="28"/>
      <c r="O57" s="28"/>
      <c r="P57" s="28"/>
      <c r="Q57" s="350"/>
      <c r="R57" s="350"/>
      <c r="S57" s="351"/>
      <c r="T57" s="310">
        <f>IFERROR(__xludf.DUMMYFUNCTION("""COMPUTED_VALUE"""),2432.0)</f>
        <v>2432</v>
      </c>
      <c r="U57" s="319" t="str">
        <f>IFNA(VLOOKUP(T57,'BD MPP'!$B$2:$L$223,11,FALSE),"")</f>
        <v>02-Medellin</v>
      </c>
      <c r="V57" s="355"/>
      <c r="W57" s="311"/>
    </row>
    <row r="58" ht="16.5" customHeight="1">
      <c r="A58" s="312"/>
      <c r="B58" s="312" t="str">
        <f>IFNA(VLOOKUP(A58,'BD LUB'!$A$2:$L$223,3,FALSE),"")</f>
        <v/>
      </c>
      <c r="C58" s="51">
        <v>2927.0</v>
      </c>
      <c r="D58" s="64"/>
      <c r="E58" s="343"/>
      <c r="F58" s="35"/>
      <c r="G58" s="51"/>
      <c r="H58" s="35"/>
      <c r="I58" s="35"/>
      <c r="J58" s="35"/>
      <c r="K58" s="35"/>
      <c r="L58" s="35"/>
      <c r="M58" s="35"/>
      <c r="N58" s="35"/>
      <c r="O58" s="35"/>
      <c r="P58" s="35"/>
      <c r="Q58" s="352"/>
      <c r="R58" s="352"/>
      <c r="S58" s="353"/>
      <c r="T58" s="318">
        <f>IFERROR(__xludf.DUMMYFUNCTION("""COMPUTED_VALUE"""),2388.0)</f>
        <v>2388</v>
      </c>
      <c r="U58" s="319" t="str">
        <f>IFNA(VLOOKUP(T58,'BD MPP'!$B$2:$L$223,11,FALSE),"")</f>
        <v>02-Medellin</v>
      </c>
      <c r="V58" s="354"/>
      <c r="W58" s="319"/>
    </row>
    <row r="59" ht="16.5" customHeight="1">
      <c r="A59" s="302"/>
      <c r="B59" s="302" t="str">
        <f>IFNA(VLOOKUP(A59,'BD LUB'!$A$2:$L$223,3,FALSE),"")</f>
        <v/>
      </c>
      <c r="C59" s="51">
        <v>3281.0</v>
      </c>
      <c r="D59" s="64"/>
      <c r="E59" s="341"/>
      <c r="F59" s="28"/>
      <c r="G59" s="51"/>
      <c r="H59" s="28"/>
      <c r="I59" s="28"/>
      <c r="J59" s="28"/>
      <c r="K59" s="28"/>
      <c r="L59" s="28"/>
      <c r="M59" s="28"/>
      <c r="N59" s="28"/>
      <c r="O59" s="28"/>
      <c r="P59" s="28"/>
      <c r="Q59" s="350"/>
      <c r="R59" s="350"/>
      <c r="S59" s="351"/>
      <c r="T59" s="310">
        <f>IFERROR(__xludf.DUMMYFUNCTION("""COMPUTED_VALUE"""),2187.0)</f>
        <v>2187</v>
      </c>
      <c r="U59" s="319" t="str">
        <f>IFNA(VLOOKUP(T59,'BD MPP'!$B$2:$L$223,11,FALSE),"")</f>
        <v>02-Medellin</v>
      </c>
      <c r="V59" s="355"/>
      <c r="W59" s="311"/>
    </row>
    <row r="60" ht="16.5" customHeight="1">
      <c r="A60" s="312"/>
      <c r="B60" s="312" t="str">
        <f>IFNA(VLOOKUP(A60,'BD LUB'!$A$2:$L$223,3,FALSE),"")</f>
        <v/>
      </c>
      <c r="C60" s="51">
        <v>2384.0</v>
      </c>
      <c r="D60" s="64"/>
      <c r="E60" s="343"/>
      <c r="F60" s="35"/>
      <c r="G60" s="51"/>
      <c r="H60" s="35"/>
      <c r="I60" s="35"/>
      <c r="J60" s="35"/>
      <c r="K60" s="35"/>
      <c r="L60" s="35"/>
      <c r="M60" s="35"/>
      <c r="N60" s="35"/>
      <c r="O60" s="35"/>
      <c r="P60" s="35"/>
      <c r="Q60" s="352"/>
      <c r="R60" s="352"/>
      <c r="S60" s="353"/>
      <c r="T60" s="318">
        <f>IFERROR(__xludf.DUMMYFUNCTION("""COMPUTED_VALUE"""),2466.0)</f>
        <v>2466</v>
      </c>
      <c r="U60" s="319" t="str">
        <f>IFNA(VLOOKUP(T60,'BD MPP'!$B$2:$L$223,11,FALSE),"")</f>
        <v>02-Medellin</v>
      </c>
      <c r="V60" s="354"/>
      <c r="W60" s="319"/>
    </row>
    <row r="61" ht="16.5" customHeight="1">
      <c r="A61" s="302"/>
      <c r="B61" s="302" t="str">
        <f>IFNA(VLOOKUP(A61,'BD LUB'!$A$2:$L$223,3,FALSE),"")</f>
        <v/>
      </c>
      <c r="C61" s="51">
        <v>3275.0</v>
      </c>
      <c r="D61" s="64"/>
      <c r="E61" s="341"/>
      <c r="F61" s="28"/>
      <c r="G61" s="51"/>
      <c r="H61" s="28"/>
      <c r="I61" s="28"/>
      <c r="J61" s="28"/>
      <c r="K61" s="28"/>
      <c r="L61" s="28"/>
      <c r="M61" s="28"/>
      <c r="N61" s="28"/>
      <c r="O61" s="28"/>
      <c r="P61" s="28"/>
      <c r="Q61" s="350"/>
      <c r="R61" s="350"/>
      <c r="S61" s="350"/>
      <c r="T61" s="356">
        <f>IFERROR(__xludf.DUMMYFUNCTION("""COMPUTED_VALUE"""),2468.0)</f>
        <v>2468</v>
      </c>
      <c r="U61" s="357"/>
      <c r="V61" s="358"/>
      <c r="W61" s="359"/>
    </row>
    <row r="62" ht="16.5" customHeight="1">
      <c r="A62" s="312"/>
      <c r="B62" s="312" t="str">
        <f>IFNA(VLOOKUP(A62,'BD LUB'!$A$2:$L$223,3,FALSE),"")</f>
        <v/>
      </c>
      <c r="C62" s="51">
        <v>3200.0</v>
      </c>
      <c r="D62" s="64"/>
      <c r="E62" s="343"/>
      <c r="F62" s="35"/>
      <c r="G62" s="51"/>
      <c r="H62" s="35"/>
      <c r="I62" s="35"/>
      <c r="J62" s="35"/>
      <c r="K62" s="35"/>
      <c r="L62" s="35"/>
      <c r="M62" s="35"/>
      <c r="N62" s="35"/>
      <c r="O62" s="35"/>
      <c r="P62" s="35"/>
      <c r="Q62" s="352"/>
      <c r="R62" s="352"/>
      <c r="S62" s="352"/>
      <c r="T62" s="360">
        <f>IFERROR(__xludf.DUMMYFUNCTION("""COMPUTED_VALUE"""),2857.0)</f>
        <v>2857</v>
      </c>
      <c r="U62" s="352"/>
      <c r="V62" s="361"/>
      <c r="W62" s="35"/>
    </row>
    <row r="63" ht="16.5" customHeight="1">
      <c r="A63" s="302"/>
      <c r="B63" s="302" t="str">
        <f>IFNA(VLOOKUP(A63,'BD LUB'!$A$2:$L$223,3,FALSE),"")</f>
        <v/>
      </c>
      <c r="C63" s="51">
        <v>3271.0</v>
      </c>
      <c r="D63" s="64"/>
      <c r="E63" s="341"/>
      <c r="F63" s="28"/>
      <c r="G63" s="51"/>
      <c r="H63" s="28"/>
      <c r="I63" s="28"/>
      <c r="J63" s="28"/>
      <c r="K63" s="28"/>
      <c r="L63" s="28"/>
      <c r="M63" s="28"/>
      <c r="N63" s="28"/>
      <c r="O63" s="28"/>
      <c r="P63" s="28"/>
      <c r="Q63" s="350"/>
      <c r="R63" s="350"/>
      <c r="S63" s="350"/>
      <c r="T63" s="362"/>
      <c r="U63" s="350"/>
      <c r="V63" s="363"/>
      <c r="W63" s="28"/>
    </row>
    <row r="64" ht="16.5" customHeight="1">
      <c r="A64" s="312"/>
      <c r="B64" s="312" t="str">
        <f>IFNA(VLOOKUP(A64,'BD LUB'!$A$2:$L$223,3,FALSE),"")</f>
        <v/>
      </c>
      <c r="C64" s="51">
        <v>2882.0</v>
      </c>
      <c r="D64" s="64"/>
      <c r="E64" s="343"/>
      <c r="F64" s="35"/>
      <c r="G64" s="35"/>
      <c r="H64" s="35"/>
      <c r="I64" s="35"/>
      <c r="J64" s="35"/>
      <c r="K64" s="35"/>
      <c r="L64" s="35"/>
      <c r="M64" s="35"/>
      <c r="N64" s="35"/>
      <c r="O64" s="35"/>
      <c r="P64" s="35"/>
      <c r="Q64" s="352"/>
      <c r="R64" s="352"/>
      <c r="S64" s="352"/>
      <c r="T64" s="360"/>
      <c r="U64" s="352"/>
      <c r="V64" s="361"/>
      <c r="W64" s="35"/>
    </row>
    <row r="65" ht="16.5" customHeight="1">
      <c r="A65" s="302"/>
      <c r="B65" s="302" t="str">
        <f>IFNA(VLOOKUP(A65,'BD LUB'!$A$2:$L$223,3,FALSE),"")</f>
        <v/>
      </c>
      <c r="C65" s="51">
        <v>2926.0</v>
      </c>
      <c r="D65" s="64"/>
      <c r="E65" s="341"/>
      <c r="F65" s="28"/>
      <c r="G65" s="28"/>
      <c r="H65" s="28"/>
      <c r="I65" s="28"/>
      <c r="J65" s="28"/>
      <c r="K65" s="28"/>
      <c r="L65" s="28"/>
      <c r="M65" s="28"/>
      <c r="N65" s="28"/>
      <c r="O65" s="28"/>
      <c r="P65" s="28"/>
      <c r="Q65" s="350"/>
      <c r="R65" s="350"/>
      <c r="S65" s="350"/>
      <c r="T65" s="362"/>
      <c r="U65" s="350"/>
      <c r="V65" s="363"/>
      <c r="W65" s="28"/>
    </row>
    <row r="66" ht="16.5" customHeight="1">
      <c r="A66" s="312"/>
      <c r="B66" s="312" t="str">
        <f>IFNA(VLOOKUP(A66,'BD LUB'!$A$2:$L$223,3,FALSE),"")</f>
        <v/>
      </c>
      <c r="C66" s="51">
        <v>2896.0</v>
      </c>
      <c r="D66" s="64"/>
      <c r="E66" s="343"/>
      <c r="F66" s="35"/>
      <c r="G66" s="35"/>
      <c r="H66" s="35"/>
      <c r="I66" s="35"/>
      <c r="J66" s="35"/>
      <c r="K66" s="35"/>
      <c r="L66" s="35"/>
      <c r="M66" s="35"/>
      <c r="N66" s="35"/>
      <c r="O66" s="35"/>
      <c r="P66" s="35"/>
      <c r="Q66" s="352"/>
      <c r="R66" s="352"/>
      <c r="S66" s="352"/>
      <c r="T66" s="360"/>
      <c r="U66" s="352"/>
      <c r="V66" s="361"/>
      <c r="W66" s="35"/>
    </row>
    <row r="67" ht="16.5" customHeight="1">
      <c r="A67" s="302"/>
      <c r="B67" s="302" t="str">
        <f>IFNA(VLOOKUP(A67,'BD LUB'!$A$2:$L$223,3,FALSE),"")</f>
        <v/>
      </c>
      <c r="C67" s="51">
        <v>2920.0</v>
      </c>
      <c r="D67" s="64"/>
      <c r="E67" s="341"/>
      <c r="F67" s="28"/>
      <c r="G67" s="28"/>
      <c r="H67" s="28"/>
      <c r="I67" s="28"/>
      <c r="J67" s="28"/>
      <c r="K67" s="28"/>
      <c r="L67" s="28"/>
      <c r="M67" s="28"/>
      <c r="N67" s="28"/>
      <c r="O67" s="28"/>
      <c r="P67" s="28"/>
      <c r="Q67" s="350"/>
      <c r="R67" s="350"/>
      <c r="S67" s="350"/>
      <c r="T67" s="362"/>
      <c r="U67" s="350"/>
      <c r="V67" s="363"/>
      <c r="W67" s="28"/>
    </row>
    <row r="68" ht="16.5" customHeight="1">
      <c r="A68" s="312"/>
      <c r="B68" s="312" t="str">
        <f>IFNA(VLOOKUP(A68,'BD LUB'!$A$2:$L$223,3,FALSE),"")</f>
        <v/>
      </c>
      <c r="C68" s="51">
        <v>2923.0</v>
      </c>
      <c r="D68" s="64"/>
      <c r="E68" s="343"/>
      <c r="F68" s="35"/>
      <c r="G68" s="35"/>
      <c r="H68" s="35"/>
      <c r="I68" s="35"/>
      <c r="J68" s="35"/>
      <c r="K68" s="35"/>
      <c r="L68" s="35"/>
      <c r="M68" s="35"/>
      <c r="N68" s="35"/>
      <c r="O68" s="35"/>
      <c r="P68" s="35"/>
      <c r="Q68" s="352"/>
      <c r="R68" s="352"/>
      <c r="S68" s="352"/>
      <c r="T68" s="360"/>
      <c r="U68" s="352"/>
      <c r="V68" s="361"/>
      <c r="W68" s="35"/>
    </row>
    <row r="69" ht="16.5" customHeight="1">
      <c r="A69" s="302"/>
      <c r="B69" s="302" t="str">
        <f>IFNA(VLOOKUP(A69,'BD LUB'!$A$2:$L$223,3,FALSE),"")</f>
        <v/>
      </c>
      <c r="C69" s="51">
        <v>2897.0</v>
      </c>
      <c r="D69" s="64"/>
      <c r="E69" s="341"/>
      <c r="F69" s="28"/>
      <c r="G69" s="28"/>
      <c r="H69" s="28"/>
      <c r="I69" s="28"/>
      <c r="J69" s="28"/>
      <c r="K69" s="28"/>
      <c r="L69" s="28"/>
      <c r="M69" s="28"/>
      <c r="N69" s="28"/>
      <c r="O69" s="28"/>
      <c r="P69" s="28"/>
      <c r="Q69" s="350"/>
      <c r="R69" s="350"/>
      <c r="S69" s="350"/>
      <c r="T69" s="362"/>
      <c r="U69" s="350"/>
      <c r="V69" s="363"/>
      <c r="W69" s="28"/>
    </row>
    <row r="70" ht="16.5" customHeight="1">
      <c r="A70" s="312"/>
      <c r="B70" s="312" t="str">
        <f>IFNA(VLOOKUP(A70,'BD LUB'!$A$2:$L$223,3,FALSE),"")</f>
        <v/>
      </c>
      <c r="C70" s="51">
        <v>2876.0</v>
      </c>
      <c r="D70" s="64"/>
      <c r="E70" s="343"/>
      <c r="F70" s="35"/>
      <c r="G70" s="35"/>
      <c r="H70" s="35"/>
      <c r="I70" s="35"/>
      <c r="J70" s="35"/>
      <c r="K70" s="35"/>
      <c r="L70" s="35"/>
      <c r="M70" s="35"/>
      <c r="N70" s="35"/>
      <c r="O70" s="35"/>
      <c r="P70" s="35"/>
      <c r="Q70" s="352"/>
      <c r="R70" s="352"/>
      <c r="S70" s="352"/>
      <c r="T70" s="360"/>
      <c r="U70" s="352"/>
      <c r="V70" s="361"/>
      <c r="W70" s="35"/>
    </row>
    <row r="71" ht="16.5" customHeight="1">
      <c r="A71" s="302"/>
      <c r="B71" s="302" t="str">
        <f>IFNA(VLOOKUP(A71,'BD LUB'!$A$2:$L$223,3,FALSE),"")</f>
        <v/>
      </c>
      <c r="C71" s="51">
        <v>2846.0</v>
      </c>
      <c r="D71" s="64"/>
      <c r="E71" s="341"/>
      <c r="F71" s="28"/>
      <c r="G71" s="28"/>
      <c r="H71" s="28"/>
      <c r="I71" s="28"/>
      <c r="J71" s="28"/>
      <c r="K71" s="28"/>
      <c r="L71" s="28"/>
      <c r="M71" s="28"/>
      <c r="N71" s="28"/>
      <c r="O71" s="28"/>
      <c r="P71" s="28"/>
      <c r="Q71" s="350"/>
      <c r="R71" s="350"/>
      <c r="S71" s="350"/>
      <c r="T71" s="362"/>
      <c r="U71" s="350"/>
      <c r="V71" s="363"/>
      <c r="W71" s="28"/>
    </row>
    <row r="72" ht="16.5" customHeight="1">
      <c r="A72" s="312"/>
      <c r="B72" s="312" t="str">
        <f>IFNA(VLOOKUP(A72,'BD LUB'!$A$2:$L$223,3,FALSE),"")</f>
        <v/>
      </c>
      <c r="C72" s="51">
        <v>2877.0</v>
      </c>
      <c r="D72" s="64"/>
      <c r="E72" s="343"/>
      <c r="F72" s="35"/>
      <c r="G72" s="35"/>
      <c r="H72" s="35"/>
      <c r="I72" s="35"/>
      <c r="J72" s="35"/>
      <c r="K72" s="35"/>
      <c r="L72" s="35"/>
      <c r="M72" s="35"/>
      <c r="N72" s="35"/>
      <c r="O72" s="35"/>
      <c r="P72" s="35"/>
      <c r="Q72" s="352"/>
      <c r="R72" s="352"/>
      <c r="S72" s="352"/>
      <c r="T72" s="360"/>
      <c r="U72" s="352"/>
      <c r="V72" s="361"/>
      <c r="W72" s="35"/>
    </row>
    <row r="73" ht="16.5" customHeight="1">
      <c r="A73" s="302"/>
      <c r="B73" s="302" t="str">
        <f>IFNA(VLOOKUP(A73,'BD LUB'!$A$2:$L$223,3,FALSE),"")</f>
        <v/>
      </c>
      <c r="C73" s="51">
        <v>2850.0</v>
      </c>
      <c r="D73" s="64"/>
      <c r="E73" s="341"/>
      <c r="F73" s="28"/>
      <c r="G73" s="28"/>
      <c r="H73" s="28"/>
      <c r="I73" s="28"/>
      <c r="J73" s="28"/>
      <c r="K73" s="28"/>
      <c r="L73" s="28"/>
      <c r="M73" s="28"/>
      <c r="N73" s="28"/>
      <c r="O73" s="28"/>
      <c r="P73" s="28"/>
      <c r="Q73" s="350"/>
      <c r="R73" s="350"/>
      <c r="S73" s="350"/>
      <c r="T73" s="362"/>
      <c r="U73" s="350"/>
      <c r="V73" s="363"/>
      <c r="W73" s="28"/>
    </row>
    <row r="74" ht="16.5" customHeight="1">
      <c r="A74" s="312"/>
      <c r="B74" s="312" t="str">
        <f>IFNA(VLOOKUP(A74,'BD LUB'!$A$2:$L$223,3,FALSE),"")</f>
        <v/>
      </c>
      <c r="C74" s="51">
        <v>661.0</v>
      </c>
      <c r="D74" s="64"/>
      <c r="E74" s="343"/>
      <c r="F74" s="35"/>
      <c r="G74" s="35"/>
      <c r="H74" s="35"/>
      <c r="I74" s="35"/>
      <c r="J74" s="35"/>
      <c r="K74" s="35"/>
      <c r="L74" s="35"/>
      <c r="M74" s="35"/>
      <c r="N74" s="35"/>
      <c r="O74" s="35"/>
      <c r="P74" s="35"/>
      <c r="Q74" s="352"/>
      <c r="R74" s="352"/>
      <c r="S74" s="352"/>
      <c r="T74" s="360"/>
      <c r="U74" s="352"/>
      <c r="V74" s="361"/>
      <c r="W74" s="35"/>
    </row>
    <row r="75" ht="16.5" customHeight="1">
      <c r="A75" s="302"/>
      <c r="B75" s="302" t="str">
        <f>IFNA(VLOOKUP(A75,'BD LUB'!$A$2:$L$223,3,FALSE),"")</f>
        <v/>
      </c>
      <c r="C75" s="68">
        <v>2682.0</v>
      </c>
      <c r="D75" s="64"/>
      <c r="E75" s="341"/>
      <c r="F75" s="28"/>
      <c r="G75" s="28"/>
      <c r="H75" s="28"/>
      <c r="I75" s="28"/>
      <c r="J75" s="28"/>
      <c r="K75" s="28"/>
      <c r="L75" s="28"/>
      <c r="M75" s="28"/>
      <c r="N75" s="28"/>
      <c r="O75" s="28"/>
      <c r="P75" s="28"/>
      <c r="Q75" s="350"/>
      <c r="R75" s="350"/>
      <c r="S75" s="350"/>
      <c r="T75" s="362"/>
      <c r="U75" s="350"/>
      <c r="V75" s="363"/>
      <c r="W75" s="28"/>
    </row>
    <row r="76" ht="16.5" customHeight="1">
      <c r="A76" s="312"/>
      <c r="B76" s="312" t="str">
        <f>IFNA(VLOOKUP(A76,'BD LUB'!$A$2:$L$223,3,FALSE),"")</f>
        <v/>
      </c>
      <c r="C76" s="68">
        <v>2881.0</v>
      </c>
      <c r="D76" s="51"/>
      <c r="E76" s="343"/>
      <c r="F76" s="35"/>
      <c r="G76" s="35"/>
      <c r="H76" s="35"/>
      <c r="I76" s="35"/>
      <c r="J76" s="35"/>
      <c r="K76" s="35"/>
      <c r="L76" s="35"/>
      <c r="M76" s="35"/>
      <c r="N76" s="35"/>
      <c r="O76" s="35"/>
      <c r="P76" s="35"/>
      <c r="Q76" s="352"/>
      <c r="R76" s="352"/>
      <c r="S76" s="352"/>
      <c r="T76" s="360"/>
      <c r="U76" s="352"/>
      <c r="V76" s="361"/>
      <c r="W76" s="35"/>
    </row>
    <row r="77" ht="16.5" customHeight="1">
      <c r="A77" s="302"/>
      <c r="B77" s="302" t="str">
        <f>IFNA(VLOOKUP(A77,'BD LUB'!$A$2:$L$223,3,FALSE),"")</f>
        <v/>
      </c>
      <c r="C77" s="51">
        <v>2922.0</v>
      </c>
      <c r="D77" s="51"/>
      <c r="E77" s="341"/>
      <c r="F77" s="28"/>
      <c r="G77" s="28"/>
      <c r="H77" s="28"/>
      <c r="I77" s="28"/>
      <c r="J77" s="28"/>
      <c r="K77" s="28"/>
      <c r="L77" s="28"/>
      <c r="M77" s="28"/>
      <c r="N77" s="28"/>
      <c r="O77" s="28"/>
      <c r="P77" s="28"/>
      <c r="Q77" s="350"/>
      <c r="R77" s="350"/>
      <c r="S77" s="350"/>
      <c r="T77" s="362"/>
      <c r="U77" s="350"/>
      <c r="V77" s="363"/>
      <c r="W77" s="28"/>
    </row>
    <row r="78" ht="16.5" customHeight="1">
      <c r="A78" s="312"/>
      <c r="B78" s="312" t="str">
        <f>IFNA(VLOOKUP(A78,'BD LUB'!$A$2:$L$223,3,FALSE),"")</f>
        <v/>
      </c>
      <c r="C78" s="68">
        <v>3273.0</v>
      </c>
      <c r="D78" s="51"/>
      <c r="E78" s="343"/>
      <c r="F78" s="35"/>
      <c r="G78" s="35"/>
      <c r="H78" s="35"/>
      <c r="I78" s="35"/>
      <c r="J78" s="35"/>
      <c r="K78" s="35"/>
      <c r="L78" s="35"/>
      <c r="M78" s="35"/>
      <c r="N78" s="35"/>
      <c r="O78" s="35"/>
      <c r="P78" s="35"/>
      <c r="Q78" s="352"/>
      <c r="R78" s="352"/>
      <c r="S78" s="352"/>
      <c r="T78" s="360"/>
      <c r="U78" s="352"/>
      <c r="V78" s="361"/>
      <c r="W78" s="35"/>
    </row>
    <row r="79" ht="16.5" customHeight="1">
      <c r="A79" s="302"/>
      <c r="B79" s="302" t="str">
        <f>IFNA(VLOOKUP(A79,'BD LUB'!$A$2:$L$223,3,FALSE),"")</f>
        <v/>
      </c>
      <c r="C79" s="51">
        <v>2354.0</v>
      </c>
      <c r="D79" s="51"/>
      <c r="E79" s="341"/>
      <c r="F79" s="28"/>
      <c r="G79" s="28"/>
      <c r="H79" s="28"/>
      <c r="I79" s="28"/>
      <c r="J79" s="28"/>
      <c r="K79" s="28"/>
      <c r="L79" s="28"/>
      <c r="M79" s="28"/>
      <c r="N79" s="28"/>
      <c r="O79" s="28"/>
      <c r="P79" s="28"/>
      <c r="Q79" s="350"/>
      <c r="R79" s="350"/>
      <c r="S79" s="350"/>
      <c r="T79" s="362"/>
      <c r="U79" s="350"/>
      <c r="V79" s="363"/>
      <c r="W79" s="28"/>
    </row>
    <row r="80" ht="16.5" customHeight="1">
      <c r="A80" s="312"/>
      <c r="B80" s="312" t="str">
        <f>IFNA(VLOOKUP(A80,'BD LUB'!$A$2:$L$223,3,FALSE),"")</f>
        <v/>
      </c>
      <c r="C80" s="51">
        <v>2906.0</v>
      </c>
      <c r="D80" s="51"/>
      <c r="E80" s="343"/>
      <c r="F80" s="35"/>
      <c r="G80" s="35"/>
      <c r="H80" s="35"/>
      <c r="I80" s="35"/>
      <c r="J80" s="35"/>
      <c r="K80" s="35"/>
      <c r="L80" s="35"/>
      <c r="M80" s="35"/>
      <c r="N80" s="35"/>
      <c r="O80" s="35"/>
      <c r="P80" s="35"/>
      <c r="Q80" s="352"/>
      <c r="R80" s="352"/>
      <c r="S80" s="352"/>
      <c r="T80" s="360"/>
      <c r="U80" s="352"/>
      <c r="V80" s="361"/>
      <c r="W80" s="35"/>
    </row>
    <row r="81" ht="16.5" customHeight="1">
      <c r="A81" s="302"/>
      <c r="B81" s="302" t="str">
        <f>IFNA(VLOOKUP(A81,'BD LUB'!$A$2:$L$223,3,FALSE),"")</f>
        <v/>
      </c>
      <c r="C81" s="51">
        <v>3197.0</v>
      </c>
      <c r="D81" s="51"/>
      <c r="E81" s="341"/>
      <c r="F81" s="28"/>
      <c r="G81" s="28"/>
      <c r="H81" s="28"/>
      <c r="I81" s="28"/>
      <c r="J81" s="28"/>
      <c r="K81" s="28"/>
      <c r="L81" s="28"/>
      <c r="M81" s="28"/>
      <c r="N81" s="28"/>
      <c r="O81" s="28"/>
      <c r="P81" s="28"/>
      <c r="Q81" s="350"/>
      <c r="R81" s="350"/>
      <c r="S81" s="350"/>
      <c r="T81" s="362"/>
      <c r="U81" s="350"/>
      <c r="V81" s="363"/>
      <c r="W81" s="28"/>
    </row>
    <row r="82" ht="16.5" customHeight="1">
      <c r="A82" s="312"/>
      <c r="B82" s="312" t="str">
        <f>IFNA(VLOOKUP(A82,'BD LUB'!$A$2:$L$223,3,FALSE),"")</f>
        <v/>
      </c>
      <c r="C82" s="51">
        <v>487.0</v>
      </c>
      <c r="D82" s="51"/>
      <c r="E82" s="343"/>
      <c r="F82" s="35"/>
      <c r="G82" s="35"/>
      <c r="H82" s="35"/>
      <c r="I82" s="35"/>
      <c r="J82" s="35"/>
      <c r="K82" s="35"/>
      <c r="L82" s="35"/>
      <c r="M82" s="35"/>
      <c r="N82" s="35"/>
      <c r="O82" s="35"/>
      <c r="P82" s="35"/>
      <c r="Q82" s="352"/>
      <c r="R82" s="352"/>
      <c r="S82" s="352"/>
      <c r="T82" s="360"/>
      <c r="U82" s="352"/>
      <c r="V82" s="361"/>
      <c r="W82" s="35"/>
    </row>
    <row r="83" ht="16.5" customHeight="1">
      <c r="A83" s="302"/>
      <c r="B83" s="302" t="str">
        <f>IFNA(VLOOKUP(A83,'BD LUB'!$A$2:$L$223,3,FALSE),"")</f>
        <v/>
      </c>
      <c r="C83" s="51">
        <v>2643.0</v>
      </c>
      <c r="D83" s="51"/>
      <c r="E83" s="341"/>
      <c r="F83" s="28"/>
      <c r="G83" s="28"/>
      <c r="H83" s="28"/>
      <c r="I83" s="28"/>
      <c r="J83" s="28"/>
      <c r="K83" s="28"/>
      <c r="L83" s="28"/>
      <c r="M83" s="28"/>
      <c r="N83" s="28"/>
      <c r="O83" s="28"/>
      <c r="P83" s="28"/>
      <c r="Q83" s="350"/>
      <c r="R83" s="350"/>
      <c r="S83" s="350"/>
      <c r="T83" s="362"/>
      <c r="U83" s="350"/>
      <c r="V83" s="363"/>
      <c r="W83" s="28"/>
    </row>
    <row r="84" ht="16.5" customHeight="1">
      <c r="A84" s="312"/>
      <c r="B84" s="312" t="str">
        <f>IFNA(VLOOKUP(A84,'BD LUB'!$A$2:$L$223,3,FALSE),"")</f>
        <v/>
      </c>
      <c r="C84" s="51">
        <v>481.0</v>
      </c>
      <c r="D84" s="51"/>
      <c r="E84" s="343"/>
      <c r="F84" s="35"/>
      <c r="G84" s="35"/>
      <c r="H84" s="35"/>
      <c r="I84" s="35"/>
      <c r="J84" s="35"/>
      <c r="K84" s="35"/>
      <c r="L84" s="35"/>
      <c r="M84" s="35"/>
      <c r="N84" s="35"/>
      <c r="O84" s="35"/>
      <c r="P84" s="35"/>
      <c r="Q84" s="352"/>
      <c r="R84" s="352"/>
      <c r="S84" s="352"/>
      <c r="T84" s="360"/>
      <c r="U84" s="352"/>
      <c r="V84" s="361"/>
      <c r="W84" s="35"/>
    </row>
    <row r="85" ht="16.5" customHeight="1">
      <c r="A85" s="302"/>
      <c r="B85" s="302" t="str">
        <f>IFNA(VLOOKUP(A85,'BD LUB'!$A$2:$L$223,3,FALSE),"")</f>
        <v/>
      </c>
      <c r="C85" s="51">
        <v>3247.0</v>
      </c>
      <c r="D85" s="51"/>
      <c r="E85" s="341"/>
      <c r="F85" s="28"/>
      <c r="G85" s="28"/>
      <c r="H85" s="28"/>
      <c r="I85" s="28"/>
      <c r="J85" s="28"/>
      <c r="K85" s="28"/>
      <c r="L85" s="28"/>
      <c r="M85" s="28"/>
      <c r="N85" s="28"/>
      <c r="O85" s="28"/>
      <c r="P85" s="28"/>
      <c r="Q85" s="350"/>
      <c r="R85" s="350"/>
      <c r="S85" s="350"/>
      <c r="T85" s="362"/>
      <c r="U85" s="350"/>
      <c r="V85" s="363"/>
      <c r="W85" s="28"/>
    </row>
    <row r="86" ht="16.5" customHeight="1">
      <c r="A86" s="312"/>
      <c r="B86" s="312" t="str">
        <f>IFNA(VLOOKUP(A86,'BD LUB'!$A$2:$L$223,3,FALSE),"")</f>
        <v/>
      </c>
      <c r="C86" s="64"/>
      <c r="D86" s="51"/>
      <c r="E86" s="343"/>
      <c r="F86" s="35"/>
      <c r="G86" s="35"/>
      <c r="H86" s="35"/>
      <c r="I86" s="35"/>
      <c r="J86" s="35"/>
      <c r="K86" s="35"/>
      <c r="L86" s="35"/>
      <c r="M86" s="35"/>
      <c r="N86" s="35"/>
      <c r="O86" s="35"/>
      <c r="P86" s="35"/>
      <c r="Q86" s="352"/>
      <c r="R86" s="352"/>
      <c r="S86" s="352"/>
      <c r="T86" s="360"/>
      <c r="U86" s="352"/>
      <c r="V86" s="361"/>
      <c r="W86" s="35"/>
    </row>
    <row r="87" ht="16.5" customHeight="1">
      <c r="A87" s="302"/>
      <c r="B87" s="302" t="str">
        <f>IFNA(VLOOKUP(A87,'BD LUB'!$A$2:$L$223,3,FALSE),"")</f>
        <v/>
      </c>
      <c r="C87" s="64"/>
      <c r="D87" s="51"/>
      <c r="E87" s="341"/>
      <c r="F87" s="28"/>
      <c r="G87" s="28"/>
      <c r="H87" s="28"/>
      <c r="I87" s="28"/>
      <c r="J87" s="28"/>
      <c r="K87" s="28"/>
      <c r="L87" s="28"/>
      <c r="M87" s="28"/>
      <c r="N87" s="28"/>
      <c r="O87" s="28"/>
      <c r="P87" s="28"/>
      <c r="Q87" s="350"/>
      <c r="R87" s="350"/>
      <c r="S87" s="350"/>
      <c r="T87" s="362"/>
      <c r="U87" s="350"/>
      <c r="V87" s="363"/>
      <c r="W87" s="28"/>
    </row>
    <row r="88" ht="16.5" customHeight="1">
      <c r="A88" s="312"/>
      <c r="B88" s="312" t="str">
        <f>IFNA(VLOOKUP(A88,'BD LUB'!$A$2:$L$223,3,FALSE),"")</f>
        <v/>
      </c>
      <c r="C88" s="64"/>
      <c r="D88" s="51"/>
      <c r="E88" s="343"/>
      <c r="F88" s="35"/>
      <c r="G88" s="35"/>
      <c r="H88" s="35"/>
      <c r="I88" s="35"/>
      <c r="J88" s="35"/>
      <c r="K88" s="35"/>
      <c r="L88" s="35"/>
      <c r="M88" s="35"/>
      <c r="N88" s="35"/>
      <c r="O88" s="35"/>
      <c r="P88" s="35"/>
      <c r="Q88" s="352"/>
      <c r="R88" s="352"/>
      <c r="S88" s="352"/>
      <c r="T88" s="360"/>
      <c r="U88" s="352"/>
      <c r="V88" s="361"/>
      <c r="W88" s="35"/>
    </row>
    <row r="89" ht="16.5" customHeight="1">
      <c r="A89" s="302"/>
      <c r="B89" s="302" t="str">
        <f>IFNA(VLOOKUP(A89,'BD LUB'!$A$2:$L$223,3,FALSE),"")</f>
        <v/>
      </c>
      <c r="C89" s="64"/>
      <c r="D89" s="51"/>
      <c r="E89" s="341"/>
      <c r="F89" s="28"/>
      <c r="G89" s="28"/>
      <c r="H89" s="28"/>
      <c r="I89" s="28"/>
      <c r="J89" s="28"/>
      <c r="K89" s="28"/>
      <c r="L89" s="28"/>
      <c r="M89" s="28"/>
      <c r="N89" s="28"/>
      <c r="O89" s="28"/>
      <c r="P89" s="28"/>
      <c r="Q89" s="350"/>
      <c r="R89" s="350"/>
      <c r="S89" s="350"/>
      <c r="T89" s="362"/>
      <c r="U89" s="350"/>
      <c r="V89" s="363"/>
      <c r="W89" s="28"/>
    </row>
    <row r="90" ht="16.5" customHeight="1">
      <c r="A90" s="312"/>
      <c r="B90" s="312" t="str">
        <f>IFNA(VLOOKUP(A90,'BD LUB'!$A$2:$L$223,3,FALSE),"")</f>
        <v/>
      </c>
      <c r="C90" s="64"/>
      <c r="D90" s="51"/>
      <c r="E90" s="343"/>
      <c r="F90" s="35"/>
      <c r="G90" s="35"/>
      <c r="H90" s="35"/>
      <c r="I90" s="35"/>
      <c r="J90" s="35"/>
      <c r="K90" s="35"/>
      <c r="L90" s="35"/>
      <c r="M90" s="35"/>
      <c r="N90" s="35"/>
      <c r="O90" s="35"/>
      <c r="P90" s="35"/>
      <c r="Q90" s="352"/>
      <c r="R90" s="352"/>
      <c r="S90" s="352"/>
      <c r="T90" s="360"/>
      <c r="U90" s="352"/>
      <c r="V90" s="361"/>
      <c r="W90" s="35"/>
    </row>
    <row r="91" ht="16.5" customHeight="1">
      <c r="A91" s="302"/>
      <c r="B91" s="302" t="str">
        <f>IFNA(VLOOKUP(A91,'BD LUB'!$A$2:$L$223,3,FALSE),"")</f>
        <v/>
      </c>
      <c r="C91" s="64"/>
      <c r="D91" s="51"/>
      <c r="E91" s="341"/>
      <c r="F91" s="28"/>
      <c r="G91" s="28"/>
      <c r="H91" s="28"/>
      <c r="I91" s="28"/>
      <c r="J91" s="28"/>
      <c r="K91" s="28"/>
      <c r="L91" s="28"/>
      <c r="M91" s="28"/>
      <c r="N91" s="28"/>
      <c r="O91" s="28"/>
      <c r="P91" s="28"/>
      <c r="Q91" s="350"/>
      <c r="R91" s="350"/>
      <c r="S91" s="350"/>
      <c r="T91" s="362"/>
      <c r="U91" s="350"/>
      <c r="V91" s="363"/>
      <c r="W91" s="28"/>
    </row>
    <row r="92" ht="16.5" customHeight="1">
      <c r="A92" s="312"/>
      <c r="B92" s="312" t="str">
        <f>IFNA(VLOOKUP(A92,'BD LUB'!$A$2:$L$223,3,FALSE),"")</f>
        <v/>
      </c>
      <c r="C92" s="51"/>
      <c r="D92" s="51"/>
      <c r="E92" s="343"/>
      <c r="F92" s="35"/>
      <c r="G92" s="35"/>
      <c r="H92" s="35"/>
      <c r="I92" s="35"/>
      <c r="J92" s="35"/>
      <c r="K92" s="35"/>
      <c r="L92" s="35"/>
      <c r="M92" s="35"/>
      <c r="N92" s="35"/>
      <c r="O92" s="35"/>
      <c r="P92" s="35"/>
      <c r="Q92" s="352"/>
      <c r="R92" s="352"/>
      <c r="S92" s="352"/>
      <c r="T92" s="360"/>
      <c r="U92" s="352"/>
      <c r="V92" s="361"/>
      <c r="W92" s="35"/>
    </row>
    <row r="93" ht="16.5" customHeight="1">
      <c r="A93" s="302"/>
      <c r="B93" s="302" t="str">
        <f>IFNA(VLOOKUP(A93,'BD LUB'!$A$2:$L$223,3,FALSE),"")</f>
        <v/>
      </c>
      <c r="C93" s="51"/>
      <c r="D93" s="51"/>
      <c r="E93" s="341"/>
      <c r="F93" s="28"/>
      <c r="G93" s="28"/>
      <c r="H93" s="28"/>
      <c r="I93" s="28"/>
      <c r="J93" s="28"/>
      <c r="K93" s="28"/>
      <c r="L93" s="28"/>
      <c r="M93" s="28"/>
      <c r="N93" s="28"/>
      <c r="O93" s="28"/>
      <c r="P93" s="28"/>
      <c r="Q93" s="350"/>
      <c r="R93" s="350"/>
      <c r="S93" s="350"/>
      <c r="T93" s="362"/>
      <c r="U93" s="350"/>
      <c r="V93" s="363"/>
      <c r="W93" s="28"/>
    </row>
    <row r="94" ht="16.5" customHeight="1">
      <c r="A94" s="312"/>
      <c r="B94" s="312" t="str">
        <f>IFNA(VLOOKUP(A94,'BD LUB'!$A$2:$L$223,3,FALSE),"")</f>
        <v/>
      </c>
      <c r="C94" s="51"/>
      <c r="D94" s="52"/>
      <c r="E94" s="343"/>
      <c r="F94" s="35"/>
      <c r="G94" s="35"/>
      <c r="H94" s="35"/>
      <c r="I94" s="35"/>
      <c r="J94" s="35"/>
      <c r="K94" s="35"/>
      <c r="L94" s="35"/>
      <c r="M94" s="35"/>
      <c r="N94" s="35"/>
      <c r="O94" s="35"/>
      <c r="P94" s="35"/>
      <c r="Q94" s="352"/>
      <c r="R94" s="352"/>
      <c r="S94" s="352"/>
      <c r="T94" s="360"/>
      <c r="U94" s="352"/>
      <c r="V94" s="361"/>
      <c r="W94" s="35"/>
    </row>
    <row r="95" ht="16.5" customHeight="1">
      <c r="A95" s="302"/>
      <c r="B95" s="302" t="str">
        <f>IFNA(VLOOKUP(A95,'BD LUB'!$A$2:$L$223,3,FALSE),"")</f>
        <v/>
      </c>
      <c r="C95" s="51"/>
      <c r="D95" s="52"/>
      <c r="E95" s="341"/>
      <c r="F95" s="28"/>
      <c r="G95" s="28"/>
      <c r="H95" s="28"/>
      <c r="I95" s="28"/>
      <c r="J95" s="28"/>
      <c r="K95" s="28"/>
      <c r="L95" s="28"/>
      <c r="M95" s="28"/>
      <c r="N95" s="28"/>
      <c r="O95" s="28"/>
      <c r="P95" s="28"/>
      <c r="Q95" s="350"/>
      <c r="R95" s="350"/>
      <c r="S95" s="350"/>
      <c r="T95" s="362"/>
      <c r="U95" s="350"/>
      <c r="V95" s="363"/>
      <c r="W95" s="28"/>
    </row>
    <row r="96" ht="16.5" customHeight="1">
      <c r="A96" s="312"/>
      <c r="B96" s="312" t="str">
        <f>IFNA(VLOOKUP(A96,'BD LUB'!$A$2:$L$223,3,FALSE),"")</f>
        <v/>
      </c>
      <c r="C96" s="51"/>
      <c r="D96" s="52"/>
      <c r="E96" s="343"/>
      <c r="F96" s="35"/>
      <c r="G96" s="35"/>
      <c r="H96" s="35"/>
      <c r="I96" s="35"/>
      <c r="J96" s="35"/>
      <c r="K96" s="35"/>
      <c r="L96" s="35"/>
      <c r="M96" s="35"/>
      <c r="N96" s="35"/>
      <c r="O96" s="35"/>
      <c r="P96" s="35"/>
      <c r="Q96" s="352"/>
      <c r="R96" s="352"/>
      <c r="S96" s="352"/>
      <c r="T96" s="360"/>
      <c r="U96" s="352"/>
      <c r="V96" s="361"/>
      <c r="W96" s="35"/>
    </row>
    <row r="97" ht="16.5" customHeight="1">
      <c r="A97" s="302"/>
      <c r="B97" s="302" t="str">
        <f>IFNA(VLOOKUP(A97,'BD LUB'!$A$2:$L$223,3,FALSE),"")</f>
        <v/>
      </c>
      <c r="C97" s="51"/>
      <c r="D97" s="52"/>
      <c r="E97" s="341"/>
      <c r="F97" s="28"/>
      <c r="G97" s="28"/>
      <c r="H97" s="28"/>
      <c r="I97" s="28"/>
      <c r="J97" s="28"/>
      <c r="K97" s="28"/>
      <c r="L97" s="28"/>
      <c r="M97" s="28"/>
      <c r="N97" s="28"/>
      <c r="O97" s="28"/>
      <c r="P97" s="28"/>
      <c r="Q97" s="350"/>
      <c r="R97" s="350"/>
      <c r="S97" s="350"/>
      <c r="T97" s="362"/>
      <c r="U97" s="350"/>
      <c r="V97" s="363"/>
      <c r="W97" s="28"/>
    </row>
    <row r="98" ht="16.5" customHeight="1">
      <c r="A98" s="312"/>
      <c r="B98" s="312" t="str">
        <f>IFNA(VLOOKUP(A98,'BD LUB'!$A$2:$L$223,3,FALSE),"")</f>
        <v/>
      </c>
      <c r="C98" s="51"/>
      <c r="D98" s="52"/>
      <c r="E98" s="343"/>
      <c r="F98" s="35"/>
      <c r="G98" s="35"/>
      <c r="H98" s="35"/>
      <c r="I98" s="35"/>
      <c r="J98" s="35"/>
      <c r="K98" s="35"/>
      <c r="L98" s="35"/>
      <c r="M98" s="35"/>
      <c r="N98" s="35"/>
      <c r="O98" s="35"/>
      <c r="P98" s="35"/>
      <c r="Q98" s="352"/>
      <c r="R98" s="352"/>
      <c r="S98" s="352"/>
      <c r="T98" s="360"/>
      <c r="U98" s="352"/>
      <c r="V98" s="361"/>
      <c r="W98" s="35"/>
    </row>
    <row r="99" ht="16.5" customHeight="1">
      <c r="A99" s="302"/>
      <c r="B99" s="302" t="str">
        <f>IFNA(VLOOKUP(A99,'BD LUB'!$A$2:$L$223,3,FALSE),"")</f>
        <v/>
      </c>
      <c r="C99" s="51"/>
      <c r="D99" s="52"/>
      <c r="E99" s="341"/>
      <c r="F99" s="28"/>
      <c r="G99" s="28"/>
      <c r="H99" s="28"/>
      <c r="I99" s="28"/>
      <c r="J99" s="28"/>
      <c r="K99" s="28"/>
      <c r="L99" s="28"/>
      <c r="M99" s="28"/>
      <c r="N99" s="28"/>
      <c r="O99" s="28"/>
      <c r="P99" s="28"/>
      <c r="Q99" s="350"/>
      <c r="R99" s="350"/>
      <c r="S99" s="350"/>
      <c r="T99" s="362"/>
      <c r="U99" s="350"/>
      <c r="V99" s="363"/>
      <c r="W99" s="28"/>
    </row>
    <row r="100" ht="16.5" customHeight="1">
      <c r="A100" s="312"/>
      <c r="B100" s="312" t="str">
        <f>IFNA(VLOOKUP(A100,'BD LUB'!$A$2:$L$223,3,FALSE),"")</f>
        <v/>
      </c>
      <c r="C100" s="51"/>
      <c r="D100" s="52"/>
      <c r="E100" s="343"/>
      <c r="F100" s="35"/>
      <c r="G100" s="35"/>
      <c r="H100" s="35"/>
      <c r="I100" s="35"/>
      <c r="J100" s="35"/>
      <c r="K100" s="35"/>
      <c r="L100" s="35"/>
      <c r="M100" s="35"/>
      <c r="N100" s="35"/>
      <c r="O100" s="35"/>
      <c r="P100" s="35"/>
      <c r="Q100" s="352"/>
      <c r="R100" s="352"/>
      <c r="S100" s="352"/>
      <c r="T100" s="360"/>
      <c r="U100" s="352"/>
      <c r="V100" s="361"/>
      <c r="W100" s="35"/>
    </row>
    <row r="101" ht="16.5" customHeight="1">
      <c r="A101" s="302"/>
      <c r="B101" s="302" t="str">
        <f>IFNA(VLOOKUP(A101,'BD LUB'!$A$2:$L$223,3,FALSE),"")</f>
        <v/>
      </c>
      <c r="C101" s="51"/>
      <c r="D101" s="52"/>
      <c r="E101" s="341"/>
      <c r="F101" s="28"/>
      <c r="G101" s="28"/>
      <c r="H101" s="28"/>
      <c r="I101" s="28"/>
      <c r="J101" s="28"/>
      <c r="K101" s="28"/>
      <c r="L101" s="28"/>
      <c r="M101" s="28"/>
      <c r="N101" s="28"/>
      <c r="O101" s="28"/>
      <c r="P101" s="28"/>
      <c r="Q101" s="350"/>
      <c r="R101" s="350"/>
      <c r="S101" s="350"/>
      <c r="T101" s="362"/>
      <c r="U101" s="350"/>
      <c r="V101" s="363"/>
      <c r="W101" s="28"/>
    </row>
    <row r="102" ht="16.5" customHeight="1">
      <c r="A102" s="312"/>
      <c r="B102" s="312" t="str">
        <f>IFNA(VLOOKUP(A102,'BD LUB'!$A$2:$L$223,3,FALSE),"")</f>
        <v/>
      </c>
      <c r="C102" s="51"/>
      <c r="D102" s="52"/>
      <c r="E102" s="343"/>
      <c r="F102" s="35"/>
      <c r="G102" s="35"/>
      <c r="H102" s="35"/>
      <c r="I102" s="35"/>
      <c r="J102" s="35"/>
      <c r="K102" s="35"/>
      <c r="L102" s="35"/>
      <c r="M102" s="35"/>
      <c r="N102" s="35"/>
      <c r="O102" s="35"/>
      <c r="P102" s="35"/>
      <c r="Q102" s="352"/>
      <c r="R102" s="352"/>
      <c r="S102" s="352"/>
      <c r="T102" s="360"/>
      <c r="U102" s="352"/>
      <c r="V102" s="361"/>
      <c r="W102" s="35"/>
    </row>
    <row r="103" ht="16.5" customHeight="1">
      <c r="A103" s="302"/>
      <c r="B103" s="302" t="str">
        <f>IFNA(VLOOKUP(A103,'BD LUB'!$A$2:$L$223,3,FALSE),"")</f>
        <v/>
      </c>
      <c r="C103" s="51"/>
      <c r="D103" s="52"/>
      <c r="E103" s="341"/>
      <c r="F103" s="28"/>
      <c r="G103" s="28"/>
      <c r="H103" s="28"/>
      <c r="I103" s="28"/>
      <c r="J103" s="28"/>
      <c r="K103" s="28"/>
      <c r="L103" s="28"/>
      <c r="M103" s="28"/>
      <c r="N103" s="28"/>
      <c r="O103" s="28"/>
      <c r="P103" s="28"/>
      <c r="Q103" s="350"/>
      <c r="R103" s="350"/>
      <c r="S103" s="350"/>
      <c r="T103" s="362"/>
      <c r="U103" s="350"/>
      <c r="V103" s="363"/>
      <c r="W103" s="28"/>
    </row>
    <row r="104" ht="16.5" customHeight="1">
      <c r="A104" s="312"/>
      <c r="B104" s="312" t="str">
        <f>IFNA(VLOOKUP(A104,'BD LUB'!$A$2:$L$223,3,FALSE),"")</f>
        <v/>
      </c>
      <c r="C104" s="51"/>
      <c r="D104" s="52"/>
      <c r="E104" s="343"/>
      <c r="F104" s="35"/>
      <c r="G104" s="35"/>
      <c r="H104" s="35"/>
      <c r="I104" s="35"/>
      <c r="J104" s="35"/>
      <c r="K104" s="35"/>
      <c r="L104" s="35"/>
      <c r="M104" s="35"/>
      <c r="N104" s="35"/>
      <c r="O104" s="35"/>
      <c r="P104" s="35"/>
      <c r="Q104" s="352"/>
      <c r="R104" s="352"/>
      <c r="S104" s="352"/>
      <c r="T104" s="360"/>
      <c r="U104" s="352"/>
      <c r="V104" s="361"/>
      <c r="W104" s="35"/>
    </row>
    <row r="105" ht="16.5" customHeight="1">
      <c r="A105" s="302"/>
      <c r="B105" s="302" t="str">
        <f>IFNA(VLOOKUP(A105,'BD LUB'!$A$2:$L$223,3,FALSE),"")</f>
        <v/>
      </c>
      <c r="C105" s="51"/>
      <c r="D105" s="52"/>
      <c r="E105" s="341"/>
      <c r="F105" s="28"/>
      <c r="G105" s="28"/>
      <c r="H105" s="28"/>
      <c r="I105" s="28"/>
      <c r="J105" s="28"/>
      <c r="K105" s="28"/>
      <c r="L105" s="28"/>
      <c r="M105" s="28"/>
      <c r="N105" s="28"/>
      <c r="O105" s="28"/>
      <c r="P105" s="28"/>
      <c r="Q105" s="350"/>
      <c r="R105" s="350"/>
      <c r="S105" s="350"/>
      <c r="T105" s="362"/>
      <c r="U105" s="350"/>
      <c r="V105" s="363"/>
      <c r="W105" s="28"/>
    </row>
    <row r="106" ht="16.5" customHeight="1">
      <c r="A106" s="312"/>
      <c r="B106" s="312" t="str">
        <f>IFNA(VLOOKUP(A106,'BD LUB'!$A$2:$L$223,3,FALSE),"")</f>
        <v/>
      </c>
      <c r="C106" s="51"/>
      <c r="D106" s="52"/>
      <c r="E106" s="343"/>
      <c r="F106" s="35"/>
      <c r="G106" s="35"/>
      <c r="H106" s="35"/>
      <c r="I106" s="35"/>
      <c r="J106" s="35"/>
      <c r="K106" s="35"/>
      <c r="L106" s="35"/>
      <c r="M106" s="35"/>
      <c r="N106" s="35"/>
      <c r="O106" s="35"/>
      <c r="P106" s="35"/>
      <c r="Q106" s="352"/>
      <c r="R106" s="352"/>
      <c r="S106" s="352"/>
      <c r="T106" s="360"/>
      <c r="U106" s="352"/>
      <c r="V106" s="361"/>
      <c r="W106" s="35"/>
    </row>
    <row r="107" ht="16.5" customHeight="1">
      <c r="A107" s="302"/>
      <c r="B107" s="302" t="str">
        <f>IFNA(VLOOKUP(A107,'BD LUB'!$A$2:$L$223,3,FALSE),"")</f>
        <v/>
      </c>
      <c r="C107" s="51"/>
      <c r="D107" s="52"/>
      <c r="E107" s="341"/>
      <c r="F107" s="28"/>
      <c r="G107" s="28"/>
      <c r="H107" s="28"/>
      <c r="I107" s="28"/>
      <c r="J107" s="28"/>
      <c r="K107" s="28"/>
      <c r="L107" s="28"/>
      <c r="M107" s="28"/>
      <c r="N107" s="28"/>
      <c r="O107" s="28"/>
      <c r="P107" s="28"/>
      <c r="Q107" s="350"/>
      <c r="R107" s="350"/>
      <c r="S107" s="350"/>
      <c r="T107" s="362"/>
      <c r="U107" s="350"/>
      <c r="V107" s="363"/>
      <c r="W107" s="28"/>
    </row>
    <row r="108" ht="16.5" customHeight="1">
      <c r="A108" s="312"/>
      <c r="B108" s="312" t="str">
        <f>IFNA(VLOOKUP(A108,'BD LUB'!$A$2:$L$223,3,FALSE),"")</f>
        <v/>
      </c>
      <c r="C108" s="51"/>
      <c r="D108" s="52"/>
      <c r="E108" s="343"/>
      <c r="F108" s="35"/>
      <c r="G108" s="35"/>
      <c r="H108" s="35"/>
      <c r="I108" s="35"/>
      <c r="J108" s="35"/>
      <c r="K108" s="35"/>
      <c r="L108" s="35"/>
      <c r="M108" s="35"/>
      <c r="N108" s="35"/>
      <c r="O108" s="35"/>
      <c r="P108" s="35"/>
      <c r="Q108" s="352"/>
      <c r="R108" s="352"/>
      <c r="S108" s="352"/>
      <c r="T108" s="360"/>
      <c r="U108" s="352"/>
      <c r="V108" s="361"/>
      <c r="W108" s="35"/>
    </row>
    <row r="109" ht="16.5" customHeight="1">
      <c r="A109" s="302"/>
      <c r="B109" s="302" t="str">
        <f>IFNA(VLOOKUP(A109,'BD LUB'!$A$2:$L$223,3,FALSE),"")</f>
        <v/>
      </c>
      <c r="C109" s="51"/>
      <c r="D109" s="52"/>
      <c r="E109" s="341"/>
      <c r="F109" s="28"/>
      <c r="G109" s="28"/>
      <c r="H109" s="28"/>
      <c r="I109" s="28"/>
      <c r="J109" s="28"/>
      <c r="K109" s="28"/>
      <c r="L109" s="28"/>
      <c r="M109" s="28"/>
      <c r="N109" s="28"/>
      <c r="O109" s="28"/>
      <c r="P109" s="28"/>
      <c r="Q109" s="350"/>
      <c r="R109" s="350"/>
      <c r="S109" s="350"/>
      <c r="T109" s="362"/>
      <c r="U109" s="350"/>
      <c r="V109" s="363"/>
      <c r="W109" s="28"/>
    </row>
    <row r="110" ht="16.5" customHeight="1">
      <c r="A110" s="312"/>
      <c r="B110" s="312" t="str">
        <f>IFNA(VLOOKUP(A110,'BD LUB'!$A$2:$L$223,3,FALSE),"")</f>
        <v/>
      </c>
      <c r="C110" s="51"/>
      <c r="D110" s="52"/>
      <c r="E110" s="343"/>
      <c r="F110" s="35"/>
      <c r="G110" s="35"/>
      <c r="H110" s="35"/>
      <c r="I110" s="35"/>
      <c r="J110" s="35"/>
      <c r="K110" s="35"/>
      <c r="L110" s="35"/>
      <c r="M110" s="35"/>
      <c r="N110" s="35"/>
      <c r="O110" s="35"/>
      <c r="P110" s="35"/>
      <c r="Q110" s="352"/>
      <c r="R110" s="352"/>
      <c r="S110" s="352"/>
      <c r="T110" s="360"/>
      <c r="U110" s="352"/>
      <c r="V110" s="361"/>
      <c r="W110" s="35"/>
    </row>
    <row r="111" ht="16.5" customHeight="1">
      <c r="A111" s="302"/>
      <c r="B111" s="302" t="str">
        <f>IFNA(VLOOKUP(A111,'BD LUB'!$A$2:$L$223,3,FALSE),"")</f>
        <v/>
      </c>
      <c r="C111" s="364"/>
      <c r="D111" s="52"/>
      <c r="E111" s="341"/>
      <c r="F111" s="28"/>
      <c r="G111" s="28"/>
      <c r="H111" s="28"/>
      <c r="I111" s="28"/>
      <c r="J111" s="28"/>
      <c r="K111" s="28"/>
      <c r="L111" s="28"/>
      <c r="M111" s="28"/>
      <c r="N111" s="28"/>
      <c r="O111" s="28"/>
      <c r="P111" s="28"/>
      <c r="Q111" s="350"/>
      <c r="R111" s="350"/>
      <c r="S111" s="350"/>
      <c r="T111" s="362"/>
      <c r="U111" s="350"/>
      <c r="V111" s="363"/>
      <c r="W111" s="28"/>
    </row>
    <row r="112" ht="16.5" customHeight="1">
      <c r="A112" s="312"/>
      <c r="B112" s="312" t="str">
        <f>IFNA(VLOOKUP(A112,'BD LUB'!$A$2:$L$223,3,FALSE),"")</f>
        <v/>
      </c>
      <c r="C112" s="312"/>
      <c r="D112" s="52"/>
      <c r="E112" s="343"/>
      <c r="F112" s="35"/>
      <c r="G112" s="35"/>
      <c r="H112" s="35"/>
      <c r="I112" s="35"/>
      <c r="J112" s="35"/>
      <c r="K112" s="35"/>
      <c r="L112" s="35"/>
      <c r="M112" s="35"/>
      <c r="N112" s="35"/>
      <c r="O112" s="35"/>
      <c r="P112" s="35"/>
      <c r="Q112" s="352"/>
      <c r="R112" s="352"/>
      <c r="S112" s="352"/>
      <c r="T112" s="360"/>
      <c r="U112" s="352"/>
      <c r="V112" s="361"/>
      <c r="W112" s="35"/>
    </row>
    <row r="113" ht="16.5" customHeight="1">
      <c r="A113" s="302"/>
      <c r="B113" s="302" t="str">
        <f>IFNA(VLOOKUP(A113,'BD LUB'!$A$2:$L$223,3,FALSE),"")</f>
        <v/>
      </c>
      <c r="C113" s="302"/>
      <c r="D113" s="51"/>
      <c r="E113" s="341"/>
      <c r="F113" s="28"/>
      <c r="G113" s="28"/>
      <c r="H113" s="28"/>
      <c r="I113" s="28"/>
      <c r="J113" s="28"/>
      <c r="K113" s="28"/>
      <c r="L113" s="28"/>
      <c r="M113" s="28"/>
      <c r="N113" s="28"/>
      <c r="O113" s="28"/>
      <c r="P113" s="28"/>
      <c r="Q113" s="350"/>
      <c r="R113" s="350"/>
      <c r="S113" s="350"/>
      <c r="T113" s="362"/>
      <c r="U113" s="350"/>
      <c r="V113" s="363"/>
      <c r="W113" s="28"/>
    </row>
    <row r="114" ht="16.5" customHeight="1">
      <c r="A114" s="312"/>
      <c r="B114" s="312" t="str">
        <f>IFNA(VLOOKUP(A114,'BD LUB'!$A$2:$L$223,3,FALSE),"")</f>
        <v/>
      </c>
      <c r="C114" s="312"/>
      <c r="D114" s="51"/>
      <c r="E114" s="343"/>
      <c r="F114" s="35"/>
      <c r="G114" s="35"/>
      <c r="H114" s="35"/>
      <c r="I114" s="35"/>
      <c r="J114" s="35"/>
      <c r="K114" s="35"/>
      <c r="L114" s="35"/>
      <c r="M114" s="35"/>
      <c r="N114" s="35"/>
      <c r="O114" s="35"/>
      <c r="P114" s="35"/>
      <c r="Q114" s="352"/>
      <c r="R114" s="352"/>
      <c r="S114" s="352"/>
      <c r="T114" s="360"/>
      <c r="U114" s="352"/>
      <c r="V114" s="361"/>
      <c r="W114" s="35"/>
    </row>
    <row r="115" ht="16.5" customHeight="1">
      <c r="A115" s="302"/>
      <c r="B115" s="302" t="str">
        <f>IFNA(VLOOKUP(A115,'BD LUB'!$A$2:$L$223,3,FALSE),"")</f>
        <v/>
      </c>
      <c r="C115" s="302"/>
      <c r="D115" s="51"/>
      <c r="E115" s="341"/>
      <c r="F115" s="28"/>
      <c r="G115" s="28"/>
      <c r="H115" s="28"/>
      <c r="I115" s="28"/>
      <c r="J115" s="28"/>
      <c r="K115" s="28"/>
      <c r="L115" s="28"/>
      <c r="M115" s="28"/>
      <c r="N115" s="28"/>
      <c r="O115" s="28"/>
      <c r="P115" s="28"/>
      <c r="Q115" s="350"/>
      <c r="R115" s="350"/>
      <c r="S115" s="350"/>
      <c r="T115" s="362"/>
      <c r="U115" s="350"/>
      <c r="V115" s="363"/>
      <c r="W115" s="28"/>
    </row>
    <row r="116" ht="16.5" customHeight="1">
      <c r="A116" s="312"/>
      <c r="B116" s="312" t="str">
        <f>IFNA(VLOOKUP(A116,'BD LUB'!$A$2:$L$223,3,FALSE),"")</f>
        <v/>
      </c>
      <c r="C116" s="312"/>
      <c r="D116" s="51"/>
      <c r="E116" s="343"/>
      <c r="F116" s="35"/>
      <c r="G116" s="35"/>
      <c r="H116" s="35"/>
      <c r="I116" s="35"/>
      <c r="J116" s="35"/>
      <c r="K116" s="35"/>
      <c r="L116" s="35"/>
      <c r="M116" s="35"/>
      <c r="N116" s="35"/>
      <c r="O116" s="35"/>
      <c r="P116" s="35"/>
      <c r="Q116" s="352"/>
      <c r="R116" s="352"/>
      <c r="S116" s="352"/>
      <c r="T116" s="360"/>
      <c r="U116" s="352"/>
      <c r="V116" s="361"/>
      <c r="W116" s="35"/>
    </row>
    <row r="117" ht="16.5" customHeight="1">
      <c r="A117" s="302"/>
      <c r="B117" s="302" t="str">
        <f>IFNA(VLOOKUP(A117,'BD LUB'!$A$2:$L$223,3,FALSE),"")</f>
        <v/>
      </c>
      <c r="C117" s="302"/>
      <c r="D117" s="51"/>
      <c r="E117" s="341"/>
      <c r="F117" s="28"/>
      <c r="G117" s="28"/>
      <c r="H117" s="28"/>
      <c r="I117" s="28"/>
      <c r="J117" s="28"/>
      <c r="K117" s="28"/>
      <c r="L117" s="28"/>
      <c r="M117" s="28"/>
      <c r="N117" s="28"/>
      <c r="O117" s="28"/>
      <c r="P117" s="28"/>
      <c r="Q117" s="350"/>
      <c r="R117" s="350"/>
      <c r="S117" s="350"/>
      <c r="T117" s="362"/>
      <c r="U117" s="350"/>
      <c r="V117" s="363"/>
      <c r="W117" s="28"/>
    </row>
    <row r="118" ht="16.5" customHeight="1">
      <c r="A118" s="312"/>
      <c r="B118" s="312" t="str">
        <f>IFNA(VLOOKUP(A118,'BD LUB'!$A$2:$L$223,3,FALSE),"")</f>
        <v/>
      </c>
      <c r="C118" s="312"/>
      <c r="D118" s="51"/>
      <c r="E118" s="343"/>
      <c r="F118" s="35"/>
      <c r="G118" s="35"/>
      <c r="H118" s="35"/>
      <c r="I118" s="35"/>
      <c r="J118" s="35"/>
      <c r="K118" s="35"/>
      <c r="L118" s="35"/>
      <c r="M118" s="35"/>
      <c r="N118" s="35"/>
      <c r="O118" s="35"/>
      <c r="P118" s="35"/>
      <c r="Q118" s="352"/>
      <c r="R118" s="352"/>
      <c r="S118" s="352"/>
      <c r="T118" s="360"/>
      <c r="U118" s="352"/>
      <c r="V118" s="361"/>
      <c r="W118" s="35"/>
    </row>
    <row r="119" ht="16.5" customHeight="1">
      <c r="A119" s="302"/>
      <c r="B119" s="302" t="str">
        <f>IFNA(VLOOKUP(A119,'BD LUB'!$A$2:$L$223,3,FALSE),"")</f>
        <v/>
      </c>
      <c r="C119" s="302"/>
      <c r="D119" s="51"/>
      <c r="E119" s="341"/>
      <c r="F119" s="28"/>
      <c r="G119" s="28"/>
      <c r="H119" s="28"/>
      <c r="I119" s="28"/>
      <c r="J119" s="28"/>
      <c r="K119" s="28"/>
      <c r="L119" s="28"/>
      <c r="M119" s="28"/>
      <c r="N119" s="28"/>
      <c r="O119" s="28"/>
      <c r="P119" s="28"/>
      <c r="Q119" s="350"/>
      <c r="R119" s="350"/>
      <c r="S119" s="350"/>
      <c r="T119" s="362"/>
      <c r="U119" s="350"/>
      <c r="V119" s="363"/>
      <c r="W119" s="28"/>
    </row>
    <row r="120" ht="16.5" customHeight="1">
      <c r="A120" s="312"/>
      <c r="B120" s="312" t="str">
        <f>IFNA(VLOOKUP(A120,'BD LUB'!$A$2:$L$223,3,FALSE),"")</f>
        <v/>
      </c>
      <c r="C120" s="312"/>
      <c r="D120" s="51"/>
      <c r="E120" s="343"/>
      <c r="F120" s="35"/>
      <c r="G120" s="35"/>
      <c r="H120" s="35"/>
      <c r="I120" s="35"/>
      <c r="J120" s="35"/>
      <c r="K120" s="35"/>
      <c r="L120" s="35"/>
      <c r="M120" s="35"/>
      <c r="N120" s="35"/>
      <c r="O120" s="35"/>
      <c r="P120" s="35"/>
      <c r="Q120" s="352"/>
      <c r="R120" s="352"/>
      <c r="S120" s="352"/>
      <c r="T120" s="360"/>
      <c r="U120" s="352"/>
      <c r="V120" s="361"/>
      <c r="W120" s="35"/>
    </row>
    <row r="121" ht="16.5" customHeight="1">
      <c r="A121" s="302"/>
      <c r="B121" s="302" t="str">
        <f>IFNA(VLOOKUP(A121,'BD LUB'!$A$2:$L$223,3,FALSE),"")</f>
        <v/>
      </c>
      <c r="C121" s="302"/>
      <c r="D121" s="51"/>
      <c r="E121" s="341"/>
      <c r="F121" s="28"/>
      <c r="G121" s="28"/>
      <c r="H121" s="28"/>
      <c r="I121" s="28"/>
      <c r="J121" s="28"/>
      <c r="K121" s="28"/>
      <c r="L121" s="28"/>
      <c r="M121" s="28"/>
      <c r="N121" s="28"/>
      <c r="O121" s="28"/>
      <c r="P121" s="28"/>
      <c r="Q121" s="350"/>
      <c r="R121" s="350"/>
      <c r="S121" s="350"/>
      <c r="T121" s="362"/>
      <c r="U121" s="350"/>
      <c r="V121" s="363"/>
      <c r="W121" s="28"/>
    </row>
    <row r="122" ht="16.5" customHeight="1">
      <c r="A122" s="312"/>
      <c r="B122" s="312" t="str">
        <f>IFNA(VLOOKUP(A122,'BD LUB'!$A$2:$L$223,3,FALSE),"")</f>
        <v/>
      </c>
      <c r="C122" s="312"/>
      <c r="D122" s="51"/>
      <c r="E122" s="343"/>
      <c r="F122" s="35"/>
      <c r="G122" s="35"/>
      <c r="H122" s="35"/>
      <c r="I122" s="35"/>
      <c r="J122" s="35"/>
      <c r="K122" s="35"/>
      <c r="L122" s="35"/>
      <c r="M122" s="35"/>
      <c r="N122" s="35"/>
      <c r="O122" s="35"/>
      <c r="P122" s="35"/>
      <c r="Q122" s="352"/>
      <c r="R122" s="352"/>
      <c r="S122" s="352"/>
      <c r="T122" s="360"/>
      <c r="U122" s="352"/>
      <c r="V122" s="361"/>
      <c r="W122" s="35"/>
    </row>
    <row r="123" ht="16.5" customHeight="1">
      <c r="A123" s="302"/>
      <c r="B123" s="302" t="str">
        <f>IFNA(VLOOKUP(A123,'BD LUB'!$A$2:$L$223,3,FALSE),"")</f>
        <v/>
      </c>
      <c r="C123" s="302"/>
      <c r="D123" s="51"/>
      <c r="E123" s="341"/>
      <c r="F123" s="28"/>
      <c r="G123" s="28"/>
      <c r="H123" s="28"/>
      <c r="I123" s="28"/>
      <c r="J123" s="28"/>
      <c r="K123" s="28"/>
      <c r="L123" s="28"/>
      <c r="M123" s="28"/>
      <c r="N123" s="28"/>
      <c r="O123" s="28"/>
      <c r="P123" s="28"/>
      <c r="Q123" s="350"/>
      <c r="R123" s="350"/>
      <c r="S123" s="350"/>
      <c r="T123" s="362"/>
      <c r="U123" s="350"/>
      <c r="V123" s="363"/>
      <c r="W123" s="28"/>
    </row>
    <row r="124" ht="16.5" customHeight="1">
      <c r="A124" s="312"/>
      <c r="B124" s="312" t="str">
        <f>IFNA(VLOOKUP(A124,'BD LUB'!$A$2:$L$223,3,FALSE),"")</f>
        <v/>
      </c>
      <c r="C124" s="312"/>
      <c r="D124" s="51"/>
      <c r="E124" s="343"/>
      <c r="F124" s="35"/>
      <c r="G124" s="35"/>
      <c r="H124" s="35"/>
      <c r="I124" s="35"/>
      <c r="J124" s="35"/>
      <c r="K124" s="35"/>
      <c r="L124" s="35"/>
      <c r="M124" s="35"/>
      <c r="N124" s="35"/>
      <c r="O124" s="35"/>
      <c r="P124" s="35"/>
      <c r="Q124" s="352"/>
      <c r="R124" s="352"/>
      <c r="S124" s="352"/>
      <c r="T124" s="360"/>
      <c r="U124" s="352"/>
      <c r="V124" s="361"/>
      <c r="W124" s="35"/>
    </row>
    <row r="125" ht="16.5" customHeight="1">
      <c r="A125" s="302"/>
      <c r="B125" s="302" t="str">
        <f>IFNA(VLOOKUP(A125,'BD LUB'!$A$2:$L$223,3,FALSE),"")</f>
        <v/>
      </c>
      <c r="C125" s="302"/>
      <c r="D125" s="51"/>
      <c r="E125" s="341"/>
      <c r="F125" s="28"/>
      <c r="G125" s="28"/>
      <c r="H125" s="28"/>
      <c r="I125" s="28"/>
      <c r="J125" s="28"/>
      <c r="K125" s="28"/>
      <c r="L125" s="28"/>
      <c r="M125" s="28"/>
      <c r="N125" s="28"/>
      <c r="O125" s="28"/>
      <c r="P125" s="28"/>
      <c r="Q125" s="350"/>
      <c r="R125" s="350"/>
      <c r="S125" s="350"/>
      <c r="T125" s="362"/>
      <c r="U125" s="350"/>
      <c r="V125" s="363"/>
      <c r="W125" s="28"/>
    </row>
    <row r="126" ht="16.5" customHeight="1">
      <c r="A126" s="312"/>
      <c r="B126" s="312" t="str">
        <f>IFNA(VLOOKUP(A126,'BD LUB'!$A$2:$L$223,3,FALSE),"")</f>
        <v/>
      </c>
      <c r="C126" s="312"/>
      <c r="D126" s="51"/>
      <c r="E126" s="343"/>
      <c r="F126" s="35"/>
      <c r="G126" s="35"/>
      <c r="H126" s="35"/>
      <c r="I126" s="35"/>
      <c r="J126" s="35"/>
      <c r="K126" s="35"/>
      <c r="L126" s="35"/>
      <c r="M126" s="35"/>
      <c r="N126" s="35"/>
      <c r="O126" s="35"/>
      <c r="P126" s="35"/>
      <c r="Q126" s="352"/>
      <c r="R126" s="352"/>
      <c r="S126" s="352"/>
      <c r="T126" s="360"/>
      <c r="U126" s="352"/>
      <c r="V126" s="361"/>
      <c r="W126" s="35"/>
    </row>
    <row r="127" ht="16.5" customHeight="1">
      <c r="A127" s="302"/>
      <c r="B127" s="302" t="str">
        <f>IFNA(VLOOKUP(A127,'BD LUB'!$A$2:$L$223,3,FALSE),"")</f>
        <v/>
      </c>
      <c r="C127" s="302"/>
      <c r="D127" s="51"/>
      <c r="E127" s="341"/>
      <c r="F127" s="28"/>
      <c r="G127" s="28"/>
      <c r="H127" s="28"/>
      <c r="I127" s="28"/>
      <c r="J127" s="28"/>
      <c r="K127" s="28"/>
      <c r="L127" s="28"/>
      <c r="M127" s="28"/>
      <c r="N127" s="28"/>
      <c r="O127" s="28"/>
      <c r="P127" s="28"/>
      <c r="Q127" s="350"/>
      <c r="R127" s="350"/>
      <c r="S127" s="350"/>
      <c r="T127" s="362"/>
      <c r="U127" s="350"/>
      <c r="V127" s="363"/>
      <c r="W127" s="28"/>
    </row>
    <row r="128" ht="16.5" customHeight="1">
      <c r="A128" s="312"/>
      <c r="B128" s="312" t="str">
        <f>IFNA(VLOOKUP(A128,'BD LUB'!$A$2:$L$223,3,FALSE),"")</f>
        <v/>
      </c>
      <c r="C128" s="312"/>
      <c r="D128" s="51"/>
      <c r="E128" s="343"/>
      <c r="F128" s="35"/>
      <c r="G128" s="35"/>
      <c r="H128" s="35"/>
      <c r="I128" s="35"/>
      <c r="J128" s="35"/>
      <c r="K128" s="35"/>
      <c r="L128" s="35"/>
      <c r="M128" s="35"/>
      <c r="N128" s="35"/>
      <c r="O128" s="35"/>
      <c r="P128" s="35"/>
      <c r="Q128" s="352"/>
      <c r="R128" s="352"/>
      <c r="S128" s="352"/>
      <c r="T128" s="360"/>
      <c r="U128" s="352"/>
      <c r="V128" s="361"/>
      <c r="W128" s="35"/>
    </row>
    <row r="129" ht="16.5" customHeight="1">
      <c r="A129" s="302"/>
      <c r="B129" s="302" t="str">
        <f>IFNA(VLOOKUP(A129,'BD LUB'!$A$2:$L$223,3,FALSE),"")</f>
        <v/>
      </c>
      <c r="C129" s="302"/>
      <c r="D129" s="51"/>
      <c r="E129" s="341"/>
      <c r="F129" s="28"/>
      <c r="G129" s="28"/>
      <c r="H129" s="28"/>
      <c r="I129" s="28"/>
      <c r="J129" s="28"/>
      <c r="K129" s="28"/>
      <c r="L129" s="28"/>
      <c r="M129" s="28"/>
      <c r="N129" s="28"/>
      <c r="O129" s="28"/>
      <c r="P129" s="28"/>
      <c r="Q129" s="350"/>
      <c r="R129" s="350"/>
      <c r="S129" s="350"/>
      <c r="T129" s="362"/>
      <c r="U129" s="350"/>
      <c r="V129" s="363"/>
      <c r="W129" s="28"/>
    </row>
    <row r="130" ht="16.5" customHeight="1">
      <c r="A130" s="312"/>
      <c r="B130" s="312" t="str">
        <f>IFNA(VLOOKUP(A130,'BD LUB'!$A$2:$L$223,3,FALSE),"")</f>
        <v/>
      </c>
      <c r="C130" s="312"/>
      <c r="D130" s="51"/>
      <c r="E130" s="343"/>
      <c r="F130" s="35"/>
      <c r="G130" s="35"/>
      <c r="H130" s="35"/>
      <c r="I130" s="35"/>
      <c r="J130" s="35"/>
      <c r="K130" s="35"/>
      <c r="L130" s="35"/>
      <c r="M130" s="35"/>
      <c r="N130" s="35"/>
      <c r="O130" s="35"/>
      <c r="P130" s="35"/>
      <c r="Q130" s="352"/>
      <c r="R130" s="352"/>
      <c r="S130" s="352"/>
      <c r="T130" s="360"/>
      <c r="U130" s="352"/>
      <c r="V130" s="361"/>
      <c r="W130" s="35"/>
    </row>
    <row r="131" ht="16.5" customHeight="1">
      <c r="A131" s="302"/>
      <c r="B131" s="302" t="str">
        <f>IFNA(VLOOKUP(A131,'BD LUB'!$A$2:$L$223,3,FALSE),"")</f>
        <v/>
      </c>
      <c r="C131" s="302"/>
      <c r="D131" s="51"/>
      <c r="E131" s="341"/>
      <c r="F131" s="28"/>
      <c r="G131" s="28"/>
      <c r="H131" s="28"/>
      <c r="I131" s="28"/>
      <c r="J131" s="28"/>
      <c r="K131" s="28"/>
      <c r="L131" s="28"/>
      <c r="M131" s="28"/>
      <c r="N131" s="28"/>
      <c r="O131" s="28"/>
      <c r="P131" s="28"/>
      <c r="Q131" s="350"/>
      <c r="R131" s="350"/>
      <c r="S131" s="350"/>
      <c r="T131" s="362"/>
      <c r="U131" s="350"/>
      <c r="V131" s="363"/>
      <c r="W131" s="28"/>
    </row>
    <row r="132" ht="16.5" customHeight="1">
      <c r="A132" s="312"/>
      <c r="B132" s="312" t="str">
        <f>IFNA(VLOOKUP(A132,'BD LUB'!$A$2:$L$223,3,FALSE),"")</f>
        <v/>
      </c>
      <c r="C132" s="312"/>
      <c r="D132" s="51"/>
      <c r="E132" s="343"/>
      <c r="F132" s="35"/>
      <c r="G132" s="35"/>
      <c r="H132" s="35"/>
      <c r="I132" s="35"/>
      <c r="J132" s="35"/>
      <c r="K132" s="35"/>
      <c r="L132" s="35"/>
      <c r="M132" s="35"/>
      <c r="N132" s="35"/>
      <c r="O132" s="35"/>
      <c r="P132" s="35"/>
      <c r="Q132" s="352"/>
      <c r="R132" s="352"/>
      <c r="S132" s="352"/>
      <c r="T132" s="360"/>
      <c r="U132" s="352"/>
      <c r="V132" s="361"/>
      <c r="W132" s="35"/>
    </row>
    <row r="133" ht="16.5" customHeight="1">
      <c r="A133" s="302"/>
      <c r="B133" s="302" t="str">
        <f>IFNA(VLOOKUP(A133,'BD LUB'!$A$2:$L$223,3,FALSE),"")</f>
        <v/>
      </c>
      <c r="C133" s="302"/>
      <c r="D133" s="51"/>
      <c r="E133" s="341"/>
      <c r="F133" s="28"/>
      <c r="G133" s="28"/>
      <c r="H133" s="28"/>
      <c r="I133" s="28"/>
      <c r="J133" s="28"/>
      <c r="K133" s="28"/>
      <c r="L133" s="28"/>
      <c r="M133" s="28"/>
      <c r="N133" s="28"/>
      <c r="O133" s="28"/>
      <c r="P133" s="28"/>
      <c r="Q133" s="350"/>
      <c r="R133" s="350"/>
      <c r="S133" s="350"/>
      <c r="T133" s="362"/>
      <c r="U133" s="350"/>
      <c r="V133" s="363"/>
      <c r="W133" s="28"/>
    </row>
    <row r="134" ht="16.5" customHeight="1">
      <c r="A134" s="312"/>
      <c r="B134" s="312" t="str">
        <f>IFNA(VLOOKUP(A134,'BD LUB'!$A$2:$L$223,3,FALSE),"")</f>
        <v/>
      </c>
      <c r="C134" s="312"/>
      <c r="D134" s="51"/>
      <c r="E134" s="343"/>
      <c r="F134" s="35"/>
      <c r="G134" s="35"/>
      <c r="H134" s="35"/>
      <c r="I134" s="35"/>
      <c r="J134" s="35"/>
      <c r="K134" s="35"/>
      <c r="L134" s="35"/>
      <c r="M134" s="35"/>
      <c r="N134" s="35"/>
      <c r="O134" s="35"/>
      <c r="P134" s="35"/>
      <c r="Q134" s="352"/>
      <c r="R134" s="352"/>
      <c r="S134" s="352"/>
      <c r="T134" s="360"/>
      <c r="U134" s="352"/>
      <c r="V134" s="361"/>
      <c r="W134" s="35"/>
    </row>
    <row r="135" ht="16.5" customHeight="1">
      <c r="A135" s="302"/>
      <c r="B135" s="302" t="str">
        <f>IFNA(VLOOKUP(A135,'BD LUB'!$A$2:$L$223,3,FALSE),"")</f>
        <v/>
      </c>
      <c r="C135" s="302"/>
      <c r="D135" s="51"/>
      <c r="E135" s="341"/>
      <c r="F135" s="28"/>
      <c r="G135" s="28"/>
      <c r="H135" s="28"/>
      <c r="I135" s="28"/>
      <c r="J135" s="28"/>
      <c r="K135" s="28"/>
      <c r="L135" s="28"/>
      <c r="M135" s="28"/>
      <c r="N135" s="28"/>
      <c r="O135" s="28"/>
      <c r="P135" s="28"/>
      <c r="Q135" s="350"/>
      <c r="R135" s="350"/>
      <c r="S135" s="350"/>
      <c r="T135" s="362"/>
      <c r="U135" s="350"/>
      <c r="V135" s="363"/>
      <c r="W135" s="28"/>
    </row>
    <row r="136" ht="16.5" customHeight="1">
      <c r="A136" s="312"/>
      <c r="B136" s="312" t="str">
        <f>IFNA(VLOOKUP(A136,'BD LUB'!$A$2:$L$223,3,FALSE),"")</f>
        <v/>
      </c>
      <c r="C136" s="312"/>
      <c r="D136" s="51"/>
      <c r="E136" s="343"/>
      <c r="F136" s="35"/>
      <c r="G136" s="35"/>
      <c r="H136" s="35"/>
      <c r="I136" s="35"/>
      <c r="J136" s="35"/>
      <c r="K136" s="35"/>
      <c r="L136" s="35"/>
      <c r="M136" s="35"/>
      <c r="N136" s="35"/>
      <c r="O136" s="35"/>
      <c r="P136" s="35"/>
      <c r="Q136" s="352"/>
      <c r="R136" s="352"/>
      <c r="S136" s="352"/>
      <c r="T136" s="360"/>
      <c r="U136" s="352"/>
      <c r="V136" s="361"/>
      <c r="W136" s="35"/>
    </row>
    <row r="137" ht="16.5" customHeight="1">
      <c r="A137" s="302"/>
      <c r="B137" s="302" t="str">
        <f>IFNA(VLOOKUP(A137,'BD LUB'!$A$2:$L$223,3,FALSE),"")</f>
        <v/>
      </c>
      <c r="C137" s="302"/>
      <c r="D137" s="51"/>
      <c r="E137" s="341"/>
      <c r="F137" s="28"/>
      <c r="G137" s="28"/>
      <c r="H137" s="28"/>
      <c r="I137" s="28"/>
      <c r="J137" s="28"/>
      <c r="K137" s="28"/>
      <c r="L137" s="28"/>
      <c r="M137" s="28"/>
      <c r="N137" s="28"/>
      <c r="O137" s="28"/>
      <c r="P137" s="28"/>
      <c r="Q137" s="350"/>
      <c r="R137" s="350"/>
      <c r="S137" s="350"/>
      <c r="T137" s="362"/>
      <c r="U137" s="350"/>
      <c r="V137" s="363"/>
      <c r="W137" s="28"/>
    </row>
    <row r="138" ht="16.5" customHeight="1">
      <c r="A138" s="312"/>
      <c r="B138" s="312" t="str">
        <f>IFNA(VLOOKUP(A138,'BD LUB'!$A$2:$L$223,3,FALSE),"")</f>
        <v/>
      </c>
      <c r="C138" s="312"/>
      <c r="D138" s="51"/>
      <c r="E138" s="343"/>
      <c r="F138" s="35"/>
      <c r="G138" s="35"/>
      <c r="H138" s="35"/>
      <c r="I138" s="35"/>
      <c r="J138" s="35"/>
      <c r="K138" s="35"/>
      <c r="L138" s="35"/>
      <c r="M138" s="35"/>
      <c r="N138" s="35"/>
      <c r="O138" s="35"/>
      <c r="P138" s="35"/>
      <c r="Q138" s="352"/>
      <c r="R138" s="352"/>
      <c r="S138" s="352"/>
      <c r="T138" s="360"/>
      <c r="U138" s="352"/>
      <c r="V138" s="361"/>
      <c r="W138" s="35"/>
    </row>
    <row r="139" ht="16.5" customHeight="1">
      <c r="A139" s="302"/>
      <c r="B139" s="302" t="str">
        <f>IFNA(VLOOKUP(A139,'BD LUB'!$A$2:$L$223,3,FALSE),"")</f>
        <v/>
      </c>
      <c r="C139" s="302"/>
      <c r="D139" s="51"/>
      <c r="E139" s="341"/>
      <c r="F139" s="28"/>
      <c r="G139" s="28"/>
      <c r="H139" s="28"/>
      <c r="I139" s="28"/>
      <c r="J139" s="28"/>
      <c r="K139" s="28"/>
      <c r="L139" s="28"/>
      <c r="M139" s="28"/>
      <c r="N139" s="28"/>
      <c r="O139" s="28"/>
      <c r="P139" s="28"/>
      <c r="Q139" s="350"/>
      <c r="R139" s="350"/>
      <c r="S139" s="350"/>
      <c r="T139" s="362"/>
      <c r="U139" s="350"/>
      <c r="V139" s="363"/>
      <c r="W139" s="28"/>
    </row>
    <row r="140" ht="16.5" customHeight="1">
      <c r="A140" s="312"/>
      <c r="B140" s="312" t="str">
        <f>IFNA(VLOOKUP(A140,'BD LUB'!$A$2:$L$223,3,FALSE),"")</f>
        <v/>
      </c>
      <c r="C140" s="312"/>
      <c r="D140" s="51"/>
      <c r="E140" s="343"/>
      <c r="F140" s="35"/>
      <c r="G140" s="35"/>
      <c r="H140" s="35"/>
      <c r="I140" s="35"/>
      <c r="J140" s="35"/>
      <c r="K140" s="35"/>
      <c r="L140" s="35"/>
      <c r="M140" s="35"/>
      <c r="N140" s="35"/>
      <c r="O140" s="35"/>
      <c r="P140" s="35"/>
      <c r="Q140" s="352"/>
      <c r="R140" s="352"/>
      <c r="S140" s="352"/>
      <c r="T140" s="360"/>
      <c r="U140" s="352"/>
      <c r="V140" s="361"/>
      <c r="W140" s="35"/>
    </row>
    <row r="141" ht="16.5" customHeight="1">
      <c r="A141" s="302"/>
      <c r="B141" s="302" t="str">
        <f>IFNA(VLOOKUP(A141,'BD LUB'!$A$2:$L$223,3,FALSE),"")</f>
        <v/>
      </c>
      <c r="C141" s="302"/>
      <c r="D141" s="51"/>
      <c r="E141" s="341"/>
      <c r="F141" s="28"/>
      <c r="G141" s="28"/>
      <c r="H141" s="28"/>
      <c r="I141" s="28"/>
      <c r="J141" s="28"/>
      <c r="K141" s="28"/>
      <c r="L141" s="28"/>
      <c r="M141" s="28"/>
      <c r="N141" s="28"/>
      <c r="O141" s="28"/>
      <c r="P141" s="28"/>
      <c r="Q141" s="350"/>
      <c r="R141" s="350"/>
      <c r="S141" s="350"/>
      <c r="T141" s="362"/>
      <c r="U141" s="350"/>
      <c r="V141" s="363"/>
      <c r="W141" s="28"/>
    </row>
    <row r="142" ht="16.5" customHeight="1">
      <c r="A142" s="312"/>
      <c r="B142" s="312" t="str">
        <f>IFNA(VLOOKUP(A142,'BD LUB'!$A$2:$L$223,3,FALSE),"")</f>
        <v/>
      </c>
      <c r="C142" s="312"/>
      <c r="D142" s="51"/>
      <c r="E142" s="343"/>
      <c r="F142" s="35"/>
      <c r="G142" s="35"/>
      <c r="H142" s="35"/>
      <c r="I142" s="35"/>
      <c r="J142" s="35"/>
      <c r="K142" s="35"/>
      <c r="L142" s="35"/>
      <c r="M142" s="35"/>
      <c r="N142" s="35"/>
      <c r="O142" s="35"/>
      <c r="P142" s="35"/>
      <c r="Q142" s="352"/>
      <c r="R142" s="352"/>
      <c r="S142" s="352"/>
      <c r="T142" s="360"/>
      <c r="U142" s="352"/>
      <c r="V142" s="361"/>
      <c r="W142" s="35"/>
    </row>
    <row r="143" ht="16.5" customHeight="1">
      <c r="A143" s="302"/>
      <c r="B143" s="302" t="str">
        <f>IFNA(VLOOKUP(A143,'BD LUB'!$A$2:$L$223,3,FALSE),"")</f>
        <v/>
      </c>
      <c r="C143" s="302"/>
      <c r="D143" s="51"/>
      <c r="E143" s="341"/>
      <c r="F143" s="28"/>
      <c r="G143" s="28"/>
      <c r="H143" s="28"/>
      <c r="I143" s="28"/>
      <c r="J143" s="28"/>
      <c r="K143" s="28"/>
      <c r="L143" s="28"/>
      <c r="M143" s="28"/>
      <c r="N143" s="28"/>
      <c r="O143" s="28"/>
      <c r="P143" s="28"/>
      <c r="Q143" s="350"/>
      <c r="R143" s="350"/>
      <c r="S143" s="350"/>
      <c r="T143" s="362"/>
      <c r="U143" s="350"/>
      <c r="V143" s="363"/>
      <c r="W143" s="28"/>
    </row>
    <row r="144" ht="16.5" customHeight="1">
      <c r="A144" s="312"/>
      <c r="B144" s="312" t="str">
        <f>IFNA(VLOOKUP(A144,'BD LUB'!$A$2:$L$223,3,FALSE),"")</f>
        <v/>
      </c>
      <c r="C144" s="312"/>
      <c r="D144" s="51"/>
      <c r="E144" s="343"/>
      <c r="F144" s="35"/>
      <c r="G144" s="35"/>
      <c r="H144" s="35"/>
      <c r="I144" s="35"/>
      <c r="J144" s="35"/>
      <c r="K144" s="35"/>
      <c r="L144" s="35"/>
      <c r="M144" s="35"/>
      <c r="N144" s="35"/>
      <c r="O144" s="35"/>
      <c r="P144" s="35"/>
      <c r="Q144" s="352"/>
      <c r="R144" s="352"/>
      <c r="S144" s="352"/>
      <c r="T144" s="360"/>
      <c r="U144" s="352"/>
      <c r="V144" s="361"/>
      <c r="W144" s="35"/>
    </row>
    <row r="145" ht="16.5" customHeight="1">
      <c r="A145" s="302"/>
      <c r="B145" s="302" t="str">
        <f>IFNA(VLOOKUP(A145,'BD LUB'!$A$2:$L$223,3,FALSE),"")</f>
        <v/>
      </c>
      <c r="C145" s="302"/>
      <c r="D145" s="51"/>
      <c r="E145" s="341"/>
      <c r="F145" s="28"/>
      <c r="G145" s="28"/>
      <c r="H145" s="28"/>
      <c r="I145" s="28"/>
      <c r="J145" s="28"/>
      <c r="K145" s="28"/>
      <c r="L145" s="28"/>
      <c r="M145" s="28"/>
      <c r="N145" s="28"/>
      <c r="O145" s="28"/>
      <c r="P145" s="28"/>
      <c r="Q145" s="350"/>
      <c r="R145" s="350"/>
      <c r="S145" s="350"/>
      <c r="T145" s="362"/>
      <c r="U145" s="350"/>
      <c r="V145" s="363"/>
      <c r="W145" s="28"/>
    </row>
    <row r="146" ht="16.5" customHeight="1">
      <c r="A146" s="365"/>
      <c r="B146" s="365" t="str">
        <f>IFNA(VLOOKUP(A146,'BD LUB'!$A$2:$L$223,3,FALSE),"")</f>
        <v/>
      </c>
      <c r="C146" s="365"/>
      <c r="D146" s="365"/>
      <c r="E146" s="35"/>
      <c r="F146" s="35"/>
      <c r="G146" s="35"/>
      <c r="H146" s="35"/>
      <c r="I146" s="35"/>
      <c r="J146" s="35"/>
      <c r="K146" s="35"/>
      <c r="L146" s="35"/>
      <c r="M146" s="35"/>
      <c r="N146" s="35"/>
      <c r="O146" s="35"/>
      <c r="P146" s="35"/>
      <c r="Q146" s="352"/>
      <c r="R146" s="352"/>
      <c r="S146" s="352"/>
      <c r="T146" s="360"/>
      <c r="U146" s="352"/>
      <c r="V146" s="361"/>
      <c r="W146" s="35"/>
    </row>
    <row r="147" ht="16.5" customHeight="1">
      <c r="A147" s="350"/>
      <c r="B147" s="350" t="str">
        <f>IFNA(VLOOKUP(A147,'BD LUB'!$A$2:$L$223,3,FALSE),"")</f>
        <v/>
      </c>
      <c r="C147" s="350"/>
      <c r="D147" s="350"/>
      <c r="E147" s="28"/>
      <c r="F147" s="28"/>
      <c r="G147" s="28"/>
      <c r="H147" s="28"/>
      <c r="I147" s="28"/>
      <c r="J147" s="28"/>
      <c r="K147" s="28"/>
      <c r="L147" s="28"/>
      <c r="M147" s="28"/>
      <c r="N147" s="28"/>
      <c r="O147" s="28"/>
      <c r="P147" s="28"/>
      <c r="Q147" s="350"/>
      <c r="R147" s="350"/>
      <c r="S147" s="350"/>
      <c r="T147" s="362"/>
      <c r="U147" s="350"/>
      <c r="V147" s="363"/>
      <c r="W147" s="28"/>
    </row>
    <row r="148" ht="16.5" customHeight="1">
      <c r="A148" s="352"/>
      <c r="B148" s="352" t="str">
        <f>IFNA(VLOOKUP(A148,'BD LUB'!$A$2:$L$223,3,FALSE),"")</f>
        <v/>
      </c>
      <c r="C148" s="352"/>
      <c r="D148" s="352"/>
      <c r="E148" s="35"/>
      <c r="F148" s="35"/>
      <c r="G148" s="35"/>
      <c r="H148" s="35"/>
      <c r="I148" s="35"/>
      <c r="J148" s="35"/>
      <c r="K148" s="35"/>
      <c r="L148" s="35"/>
      <c r="M148" s="35"/>
      <c r="N148" s="35"/>
      <c r="O148" s="35"/>
      <c r="P148" s="35"/>
      <c r="Q148" s="352"/>
      <c r="R148" s="352"/>
      <c r="S148" s="352"/>
      <c r="T148" s="360"/>
      <c r="U148" s="352"/>
      <c r="V148" s="361"/>
      <c r="W148" s="35"/>
    </row>
    <row r="149" ht="16.5" customHeight="1">
      <c r="A149" s="350"/>
      <c r="B149" s="350" t="str">
        <f>IFNA(VLOOKUP(A149,'BD LUB'!$A$2:$L$223,3,FALSE),"")</f>
        <v/>
      </c>
      <c r="C149" s="350"/>
      <c r="D149" s="350"/>
      <c r="E149" s="28"/>
      <c r="F149" s="28"/>
      <c r="G149" s="28"/>
      <c r="H149" s="28"/>
      <c r="I149" s="28"/>
      <c r="J149" s="28"/>
      <c r="K149" s="28"/>
      <c r="L149" s="28"/>
      <c r="M149" s="28"/>
      <c r="N149" s="28"/>
      <c r="O149" s="28"/>
      <c r="P149" s="28"/>
      <c r="Q149" s="350"/>
      <c r="R149" s="350"/>
      <c r="S149" s="350"/>
      <c r="T149" s="362"/>
      <c r="U149" s="350"/>
      <c r="V149" s="363"/>
      <c r="W149" s="28"/>
    </row>
    <row r="150" ht="16.5" customHeight="1">
      <c r="A150" s="352"/>
      <c r="B150" s="352" t="str">
        <f>IFNA(VLOOKUP(A150,'BD LUB'!$A$2:$L$223,3,FALSE),"")</f>
        <v/>
      </c>
      <c r="C150" s="352"/>
      <c r="D150" s="352"/>
      <c r="E150" s="35"/>
      <c r="F150" s="35"/>
      <c r="G150" s="35"/>
      <c r="H150" s="35"/>
      <c r="I150" s="35"/>
      <c r="J150" s="35"/>
      <c r="K150" s="35"/>
      <c r="L150" s="35"/>
      <c r="M150" s="35"/>
      <c r="N150" s="35"/>
      <c r="O150" s="35"/>
      <c r="P150" s="35"/>
      <c r="Q150" s="352"/>
      <c r="R150" s="352"/>
      <c r="S150" s="352"/>
      <c r="T150" s="360"/>
      <c r="U150" s="352"/>
      <c r="V150" s="361"/>
      <c r="W150" s="35"/>
    </row>
    <row r="151" ht="16.5" customHeight="1">
      <c r="A151" s="350"/>
      <c r="B151" s="350" t="str">
        <f>IFNA(VLOOKUP(A151,'BD LUB'!$A$2:$L$223,3,FALSE),"")</f>
        <v/>
      </c>
      <c r="C151" s="350"/>
      <c r="D151" s="350"/>
      <c r="E151" s="28"/>
      <c r="F151" s="28"/>
      <c r="G151" s="28"/>
      <c r="H151" s="28"/>
      <c r="I151" s="28"/>
      <c r="J151" s="28"/>
      <c r="K151" s="28"/>
      <c r="L151" s="28"/>
      <c r="M151" s="28"/>
      <c r="N151" s="28"/>
      <c r="O151" s="28"/>
      <c r="P151" s="28"/>
      <c r="Q151" s="350"/>
      <c r="R151" s="350"/>
      <c r="S151" s="350"/>
      <c r="T151" s="362"/>
      <c r="U151" s="350"/>
      <c r="V151" s="363"/>
      <c r="W151" s="28"/>
    </row>
    <row r="152" ht="16.5" customHeight="1">
      <c r="A152" s="352"/>
      <c r="B152" s="352" t="str">
        <f>IFNA(VLOOKUP(A152,'BD LUB'!$A$2:$L$223,3,FALSE),"")</f>
        <v/>
      </c>
      <c r="C152" s="352"/>
      <c r="D152" s="352"/>
      <c r="E152" s="35"/>
      <c r="F152" s="35"/>
      <c r="G152" s="35"/>
      <c r="H152" s="35"/>
      <c r="I152" s="35"/>
      <c r="J152" s="35"/>
      <c r="K152" s="35"/>
      <c r="L152" s="35"/>
      <c r="M152" s="35"/>
      <c r="N152" s="35"/>
      <c r="O152" s="35"/>
      <c r="P152" s="35"/>
      <c r="Q152" s="352"/>
      <c r="R152" s="352"/>
      <c r="S152" s="352"/>
      <c r="T152" s="360"/>
      <c r="U152" s="352"/>
      <c r="V152" s="361"/>
      <c r="W152" s="35"/>
    </row>
    <row r="153" ht="16.5" customHeight="1">
      <c r="A153" s="350"/>
      <c r="B153" s="350" t="str">
        <f>IFNA(VLOOKUP(A153,'BD LUB'!$A$2:$L$223,3,FALSE),"")</f>
        <v/>
      </c>
      <c r="C153" s="350"/>
      <c r="D153" s="350"/>
      <c r="E153" s="28"/>
      <c r="F153" s="28"/>
      <c r="G153" s="28"/>
      <c r="H153" s="28"/>
      <c r="I153" s="28"/>
      <c r="J153" s="28"/>
      <c r="K153" s="28"/>
      <c r="L153" s="28"/>
      <c r="M153" s="28"/>
      <c r="N153" s="28"/>
      <c r="O153" s="28"/>
      <c r="P153" s="28"/>
      <c r="Q153" s="350"/>
      <c r="R153" s="350"/>
      <c r="S153" s="350"/>
      <c r="T153" s="362"/>
      <c r="U153" s="350"/>
      <c r="V153" s="363"/>
      <c r="W153" s="28"/>
    </row>
    <row r="154" ht="16.5" customHeight="1">
      <c r="A154" s="352"/>
      <c r="B154" s="352" t="str">
        <f>IFNA(VLOOKUP(A154,'BD LUB'!$A$2:$L$223,3,FALSE),"")</f>
        <v/>
      </c>
      <c r="C154" s="352"/>
      <c r="D154" s="352"/>
      <c r="E154" s="35"/>
      <c r="F154" s="35"/>
      <c r="G154" s="35"/>
      <c r="H154" s="35"/>
      <c r="I154" s="35"/>
      <c r="J154" s="35"/>
      <c r="K154" s="35"/>
      <c r="L154" s="35"/>
      <c r="M154" s="35"/>
      <c r="N154" s="35"/>
      <c r="O154" s="35"/>
      <c r="P154" s="35"/>
      <c r="Q154" s="352"/>
      <c r="R154" s="352"/>
      <c r="S154" s="352"/>
      <c r="T154" s="360"/>
      <c r="U154" s="352"/>
      <c r="V154" s="361"/>
      <c r="W154" s="35"/>
    </row>
    <row r="155" ht="16.5" customHeight="1">
      <c r="A155" s="350"/>
      <c r="B155" s="350" t="str">
        <f>IFNA(VLOOKUP(A155,'BD LUB'!$A$2:$L$223,3,FALSE),"")</f>
        <v/>
      </c>
      <c r="C155" s="350"/>
      <c r="D155" s="350"/>
      <c r="E155" s="28"/>
      <c r="F155" s="28"/>
      <c r="G155" s="28"/>
      <c r="H155" s="28"/>
      <c r="I155" s="28"/>
      <c r="J155" s="28"/>
      <c r="K155" s="28"/>
      <c r="L155" s="28"/>
      <c r="M155" s="28"/>
      <c r="N155" s="28"/>
      <c r="O155" s="28"/>
      <c r="P155" s="28"/>
      <c r="Q155" s="350"/>
      <c r="R155" s="350"/>
      <c r="S155" s="350"/>
      <c r="T155" s="362"/>
      <c r="U155" s="350"/>
      <c r="V155" s="363"/>
      <c r="W155" s="28"/>
    </row>
    <row r="156" ht="16.5" customHeight="1">
      <c r="A156" s="352"/>
      <c r="B156" s="352" t="str">
        <f>IFNA(VLOOKUP(A156,'BD LUB'!$A$2:$L$223,3,FALSE),"")</f>
        <v/>
      </c>
      <c r="C156" s="352"/>
      <c r="D156" s="352"/>
      <c r="E156" s="35"/>
      <c r="F156" s="35"/>
      <c r="G156" s="35"/>
      <c r="H156" s="35"/>
      <c r="I156" s="35"/>
      <c r="J156" s="35"/>
      <c r="K156" s="35"/>
      <c r="L156" s="35"/>
      <c r="M156" s="35"/>
      <c r="N156" s="35"/>
      <c r="O156" s="35"/>
      <c r="P156" s="35"/>
      <c r="Q156" s="352"/>
      <c r="R156" s="352"/>
      <c r="S156" s="352"/>
      <c r="T156" s="360"/>
      <c r="U156" s="352"/>
      <c r="V156" s="361"/>
      <c r="W156" s="35"/>
    </row>
    <row r="157" ht="16.5" customHeight="1">
      <c r="A157" s="350"/>
      <c r="B157" s="350" t="str">
        <f>IFNA(VLOOKUP(A157,'BD LUB'!$A$2:$L$223,3,FALSE),"")</f>
        <v/>
      </c>
      <c r="C157" s="350"/>
      <c r="D157" s="350"/>
      <c r="E157" s="28"/>
      <c r="F157" s="28"/>
      <c r="G157" s="28"/>
      <c r="H157" s="28"/>
      <c r="I157" s="28"/>
      <c r="J157" s="28"/>
      <c r="K157" s="28"/>
      <c r="L157" s="28"/>
      <c r="M157" s="28"/>
      <c r="N157" s="28"/>
      <c r="O157" s="28"/>
      <c r="P157" s="28"/>
      <c r="Q157" s="350"/>
      <c r="R157" s="350"/>
      <c r="S157" s="350"/>
      <c r="T157" s="362"/>
      <c r="U157" s="350"/>
      <c r="V157" s="363"/>
      <c r="W157" s="28"/>
    </row>
    <row r="158" ht="16.5" customHeight="1">
      <c r="A158" s="352"/>
      <c r="B158" s="352" t="str">
        <f>IFNA(VLOOKUP(A158,'BD LUB'!$A$2:$L$223,3,FALSE),"")</f>
        <v/>
      </c>
      <c r="C158" s="352"/>
      <c r="D158" s="352"/>
      <c r="E158" s="35"/>
      <c r="F158" s="35"/>
      <c r="G158" s="35"/>
      <c r="H158" s="35"/>
      <c r="I158" s="35"/>
      <c r="J158" s="35"/>
      <c r="K158" s="35"/>
      <c r="L158" s="35"/>
      <c r="M158" s="35"/>
      <c r="N158" s="35"/>
      <c r="O158" s="35"/>
      <c r="P158" s="35"/>
      <c r="Q158" s="352"/>
      <c r="R158" s="352"/>
      <c r="S158" s="352"/>
      <c r="T158" s="360"/>
      <c r="U158" s="352"/>
      <c r="V158" s="361"/>
      <c r="W158" s="35"/>
    </row>
    <row r="159" ht="16.5" customHeight="1">
      <c r="A159" s="350"/>
      <c r="B159" s="350" t="str">
        <f>IFNA(VLOOKUP(A159,'BD LUB'!$A$2:$L$223,3,FALSE),"")</f>
        <v/>
      </c>
      <c r="C159" s="350"/>
      <c r="D159" s="350"/>
      <c r="E159" s="28"/>
      <c r="F159" s="28"/>
      <c r="G159" s="28"/>
      <c r="H159" s="28"/>
      <c r="I159" s="28"/>
      <c r="J159" s="28"/>
      <c r="K159" s="28"/>
      <c r="L159" s="28"/>
      <c r="M159" s="28"/>
      <c r="N159" s="28"/>
      <c r="O159" s="28"/>
      <c r="P159" s="28"/>
      <c r="Q159" s="350"/>
      <c r="R159" s="350"/>
      <c r="S159" s="350"/>
      <c r="T159" s="362"/>
      <c r="U159" s="350"/>
      <c r="V159" s="363"/>
      <c r="W159" s="28"/>
    </row>
    <row r="160" ht="16.5" customHeight="1">
      <c r="A160" s="352"/>
      <c r="B160" s="352" t="str">
        <f>IFNA(VLOOKUP(A160,'BD LUB'!$A$2:$L$223,3,FALSE),"")</f>
        <v/>
      </c>
      <c r="C160" s="352"/>
      <c r="D160" s="352"/>
      <c r="E160" s="35"/>
      <c r="F160" s="35"/>
      <c r="G160" s="35"/>
      <c r="H160" s="35"/>
      <c r="I160" s="35"/>
      <c r="J160" s="35"/>
      <c r="K160" s="35"/>
      <c r="L160" s="35"/>
      <c r="M160" s="35"/>
      <c r="N160" s="35"/>
      <c r="O160" s="35"/>
      <c r="P160" s="35"/>
      <c r="Q160" s="352"/>
      <c r="R160" s="352"/>
      <c r="S160" s="352"/>
      <c r="T160" s="360"/>
      <c r="U160" s="352"/>
      <c r="V160" s="361"/>
      <c r="W160" s="35"/>
    </row>
    <row r="161" ht="16.5" customHeight="1">
      <c r="A161" s="350"/>
      <c r="B161" s="350" t="str">
        <f>IFNA(VLOOKUP(A161,'BD LUB'!$A$2:$L$223,3,FALSE),"")</f>
        <v/>
      </c>
      <c r="C161" s="350"/>
      <c r="D161" s="350"/>
      <c r="E161" s="28"/>
      <c r="F161" s="28"/>
      <c r="G161" s="28"/>
      <c r="H161" s="28"/>
      <c r="I161" s="28"/>
      <c r="J161" s="28"/>
      <c r="K161" s="28"/>
      <c r="L161" s="28"/>
      <c r="M161" s="28"/>
      <c r="N161" s="28"/>
      <c r="O161" s="28"/>
      <c r="P161" s="28"/>
      <c r="Q161" s="350"/>
      <c r="R161" s="350"/>
      <c r="S161" s="350"/>
      <c r="T161" s="362"/>
      <c r="U161" s="350"/>
      <c r="V161" s="363"/>
      <c r="W161" s="28"/>
    </row>
    <row r="162" ht="16.5" customHeight="1">
      <c r="A162" s="352"/>
      <c r="B162" s="352" t="str">
        <f>IFNA(VLOOKUP(A162,'BD LUB'!$A$2:$L$223,3,FALSE),"")</f>
        <v/>
      </c>
      <c r="C162" s="352"/>
      <c r="D162" s="352"/>
      <c r="E162" s="35"/>
      <c r="F162" s="35"/>
      <c r="G162" s="35"/>
      <c r="H162" s="35"/>
      <c r="I162" s="35"/>
      <c r="J162" s="35"/>
      <c r="K162" s="35"/>
      <c r="L162" s="35"/>
      <c r="M162" s="35"/>
      <c r="N162" s="35"/>
      <c r="O162" s="35"/>
      <c r="P162" s="35"/>
      <c r="Q162" s="352"/>
      <c r="R162" s="352"/>
      <c r="S162" s="352"/>
      <c r="T162" s="360"/>
      <c r="U162" s="352"/>
      <c r="V162" s="361"/>
      <c r="W162" s="35"/>
    </row>
    <row r="163" ht="16.5" customHeight="1">
      <c r="A163" s="350"/>
      <c r="B163" s="350" t="str">
        <f>IFNA(VLOOKUP(A163,'BD LUB'!$A$2:$L$223,3,FALSE),"")</f>
        <v/>
      </c>
      <c r="C163" s="350"/>
      <c r="D163" s="350"/>
      <c r="E163" s="28"/>
      <c r="F163" s="28"/>
      <c r="G163" s="28"/>
      <c r="H163" s="28"/>
      <c r="I163" s="28"/>
      <c r="J163" s="28"/>
      <c r="K163" s="28"/>
      <c r="L163" s="28"/>
      <c r="M163" s="28"/>
      <c r="N163" s="28"/>
      <c r="O163" s="28"/>
      <c r="P163" s="28"/>
      <c r="Q163" s="350"/>
      <c r="R163" s="350"/>
      <c r="S163" s="350"/>
      <c r="T163" s="362"/>
      <c r="U163" s="350"/>
      <c r="V163" s="363"/>
      <c r="W163" s="28"/>
    </row>
    <row r="164" ht="16.5" customHeight="1">
      <c r="A164" s="352"/>
      <c r="B164" s="352" t="str">
        <f>IFNA(VLOOKUP(A164,'BD LUB'!$A$2:$L$223,3,FALSE),"")</f>
        <v/>
      </c>
      <c r="C164" s="352"/>
      <c r="D164" s="352"/>
      <c r="E164" s="35"/>
      <c r="F164" s="35"/>
      <c r="G164" s="35"/>
      <c r="H164" s="35"/>
      <c r="I164" s="35"/>
      <c r="J164" s="35"/>
      <c r="K164" s="35"/>
      <c r="L164" s="35"/>
      <c r="M164" s="35"/>
      <c r="N164" s="35"/>
      <c r="O164" s="35"/>
      <c r="P164" s="35"/>
      <c r="Q164" s="352"/>
      <c r="R164" s="352"/>
      <c r="S164" s="352"/>
      <c r="T164" s="360"/>
      <c r="U164" s="352"/>
      <c r="V164" s="361"/>
      <c r="W164" s="35"/>
    </row>
    <row r="165" ht="16.5" customHeight="1">
      <c r="A165" s="350"/>
      <c r="B165" s="350" t="str">
        <f>IFNA(VLOOKUP(A165,'BD LUB'!$A$2:$L$223,3,FALSE),"")</f>
        <v/>
      </c>
      <c r="C165" s="350"/>
      <c r="D165" s="350"/>
      <c r="E165" s="28"/>
      <c r="F165" s="28"/>
      <c r="G165" s="28"/>
      <c r="H165" s="28"/>
      <c r="I165" s="28"/>
      <c r="J165" s="28"/>
      <c r="K165" s="28"/>
      <c r="L165" s="28"/>
      <c r="M165" s="28"/>
      <c r="N165" s="28"/>
      <c r="O165" s="28"/>
      <c r="P165" s="28"/>
      <c r="Q165" s="350"/>
      <c r="R165" s="350"/>
      <c r="S165" s="350"/>
      <c r="T165" s="362"/>
      <c r="U165" s="350"/>
      <c r="V165" s="363"/>
      <c r="W165" s="28"/>
    </row>
    <row r="166" ht="16.5" customHeight="1">
      <c r="A166" s="352"/>
      <c r="B166" s="352" t="str">
        <f>IFNA(VLOOKUP(A166,'BD LUB'!$A$2:$L$223,3,FALSE),"")</f>
        <v/>
      </c>
      <c r="C166" s="352"/>
      <c r="D166" s="352"/>
      <c r="E166" s="35"/>
      <c r="F166" s="35"/>
      <c r="G166" s="35"/>
      <c r="H166" s="35"/>
      <c r="I166" s="35"/>
      <c r="J166" s="35"/>
      <c r="K166" s="35"/>
      <c r="L166" s="35"/>
      <c r="M166" s="35"/>
      <c r="N166" s="35"/>
      <c r="O166" s="35"/>
      <c r="P166" s="35"/>
      <c r="Q166" s="352"/>
      <c r="R166" s="352"/>
      <c r="S166" s="352"/>
      <c r="T166" s="360"/>
      <c r="U166" s="352"/>
      <c r="V166" s="361"/>
      <c r="W166" s="35"/>
    </row>
    <row r="167" ht="16.5" customHeight="1">
      <c r="A167" s="350"/>
      <c r="B167" s="350" t="str">
        <f>IFNA(VLOOKUP(A167,'BD LUB'!$A$2:$L$223,3,FALSE),"")</f>
        <v/>
      </c>
      <c r="C167" s="350"/>
      <c r="D167" s="350"/>
      <c r="E167" s="28"/>
      <c r="F167" s="28"/>
      <c r="G167" s="28"/>
      <c r="H167" s="28"/>
      <c r="I167" s="28"/>
      <c r="J167" s="28"/>
      <c r="K167" s="28"/>
      <c r="L167" s="28"/>
      <c r="M167" s="28"/>
      <c r="N167" s="28"/>
      <c r="O167" s="28"/>
      <c r="P167" s="28"/>
      <c r="Q167" s="350"/>
      <c r="R167" s="350"/>
      <c r="S167" s="350"/>
      <c r="T167" s="362"/>
      <c r="U167" s="350"/>
      <c r="V167" s="363"/>
      <c r="W167" s="28"/>
    </row>
    <row r="168" ht="16.5" customHeight="1">
      <c r="A168" s="352"/>
      <c r="B168" s="352" t="str">
        <f>IFNA(VLOOKUP(A168,'BD LUB'!$A$2:$L$223,3,FALSE),"")</f>
        <v/>
      </c>
      <c r="C168" s="352"/>
      <c r="D168" s="352"/>
      <c r="E168" s="35"/>
      <c r="F168" s="35"/>
      <c r="G168" s="35"/>
      <c r="H168" s="35"/>
      <c r="I168" s="35"/>
      <c r="J168" s="35"/>
      <c r="K168" s="35"/>
      <c r="L168" s="35"/>
      <c r="M168" s="35"/>
      <c r="N168" s="35"/>
      <c r="O168" s="35"/>
      <c r="P168" s="35"/>
      <c r="Q168" s="352"/>
      <c r="R168" s="352"/>
      <c r="S168" s="352"/>
      <c r="T168" s="360"/>
      <c r="U168" s="352"/>
      <c r="V168" s="361"/>
      <c r="W168" s="35"/>
    </row>
    <row r="169" ht="16.5" customHeight="1">
      <c r="A169" s="350"/>
      <c r="B169" s="350" t="str">
        <f>IFNA(VLOOKUP(A169,'BD LUB'!$A$2:$L$223,3,FALSE),"")</f>
        <v/>
      </c>
      <c r="C169" s="350"/>
      <c r="D169" s="350"/>
      <c r="E169" s="28"/>
      <c r="F169" s="28"/>
      <c r="G169" s="28"/>
      <c r="H169" s="28"/>
      <c r="I169" s="28"/>
      <c r="J169" s="28"/>
      <c r="K169" s="28"/>
      <c r="L169" s="28"/>
      <c r="M169" s="28"/>
      <c r="N169" s="28"/>
      <c r="O169" s="28"/>
      <c r="P169" s="28"/>
      <c r="Q169" s="350"/>
      <c r="R169" s="350"/>
      <c r="S169" s="350"/>
      <c r="T169" s="362"/>
      <c r="U169" s="350"/>
      <c r="V169" s="363"/>
      <c r="W169" s="28"/>
    </row>
    <row r="170" ht="16.5" customHeight="1">
      <c r="A170" s="352"/>
      <c r="B170" s="352" t="str">
        <f>IFNA(VLOOKUP(A170,'BD LUB'!$A$2:$L$223,3,FALSE),"")</f>
        <v/>
      </c>
      <c r="C170" s="352"/>
      <c r="D170" s="352"/>
      <c r="E170" s="35"/>
      <c r="F170" s="35"/>
      <c r="G170" s="35"/>
      <c r="H170" s="35"/>
      <c r="I170" s="35"/>
      <c r="J170" s="35"/>
      <c r="K170" s="35"/>
      <c r="L170" s="35"/>
      <c r="M170" s="35"/>
      <c r="N170" s="35"/>
      <c r="O170" s="35"/>
      <c r="P170" s="35"/>
      <c r="Q170" s="352"/>
      <c r="R170" s="352"/>
      <c r="S170" s="352"/>
      <c r="T170" s="360"/>
      <c r="U170" s="352"/>
      <c r="V170" s="361"/>
      <c r="W170" s="35"/>
    </row>
    <row r="171" ht="16.5" customHeight="1">
      <c r="A171" s="350"/>
      <c r="B171" s="350" t="str">
        <f>IFNA(VLOOKUP(A171,'BD LUB'!$A$2:$L$223,3,FALSE),"")</f>
        <v/>
      </c>
      <c r="C171" s="350"/>
      <c r="D171" s="350"/>
      <c r="E171" s="28"/>
      <c r="F171" s="28"/>
      <c r="G171" s="28"/>
      <c r="H171" s="28"/>
      <c r="I171" s="28"/>
      <c r="J171" s="28"/>
      <c r="K171" s="28"/>
      <c r="L171" s="28"/>
      <c r="M171" s="28"/>
      <c r="N171" s="28"/>
      <c r="O171" s="28"/>
      <c r="P171" s="28"/>
      <c r="Q171" s="350"/>
      <c r="R171" s="350"/>
      <c r="S171" s="350"/>
      <c r="T171" s="362"/>
      <c r="U171" s="350"/>
      <c r="V171" s="363"/>
      <c r="W171" s="28"/>
    </row>
    <row r="172" ht="16.5" customHeight="1">
      <c r="A172" s="352"/>
      <c r="B172" s="352" t="str">
        <f>IFNA(VLOOKUP(A172,'BD LUB'!$A$2:$L$223,3,FALSE),"")</f>
        <v/>
      </c>
      <c r="C172" s="352"/>
      <c r="D172" s="352"/>
      <c r="E172" s="35"/>
      <c r="F172" s="35"/>
      <c r="G172" s="35"/>
      <c r="H172" s="35"/>
      <c r="I172" s="35"/>
      <c r="J172" s="35"/>
      <c r="K172" s="35"/>
      <c r="L172" s="35"/>
      <c r="M172" s="35"/>
      <c r="N172" s="35"/>
      <c r="O172" s="35"/>
      <c r="P172" s="35"/>
      <c r="Q172" s="352"/>
      <c r="R172" s="352"/>
      <c r="S172" s="352"/>
      <c r="T172" s="360"/>
      <c r="U172" s="352"/>
      <c r="V172" s="361"/>
      <c r="W172" s="35"/>
    </row>
    <row r="173" ht="16.5" customHeight="1">
      <c r="A173" s="350"/>
      <c r="B173" s="350" t="str">
        <f>IFNA(VLOOKUP(A173,'BD LUB'!$A$2:$L$223,3,FALSE),"")</f>
        <v/>
      </c>
      <c r="C173" s="350"/>
      <c r="D173" s="350"/>
      <c r="E173" s="28"/>
      <c r="F173" s="28"/>
      <c r="G173" s="28"/>
      <c r="H173" s="28"/>
      <c r="I173" s="28"/>
      <c r="J173" s="28"/>
      <c r="K173" s="28"/>
      <c r="L173" s="28"/>
      <c r="M173" s="28"/>
      <c r="N173" s="28"/>
      <c r="O173" s="28"/>
      <c r="P173" s="28"/>
      <c r="Q173" s="350"/>
      <c r="R173" s="350"/>
      <c r="S173" s="350"/>
      <c r="T173" s="362"/>
      <c r="U173" s="350"/>
      <c r="V173" s="363"/>
      <c r="W173" s="28"/>
    </row>
    <row r="174" ht="16.5" customHeight="1">
      <c r="A174" s="352"/>
      <c r="B174" s="352" t="str">
        <f>IFNA(VLOOKUP(A174,'BD LUB'!$A$2:$L$223,3,FALSE),"")</f>
        <v/>
      </c>
      <c r="C174" s="352"/>
      <c r="D174" s="352"/>
      <c r="E174" s="35"/>
      <c r="F174" s="35"/>
      <c r="G174" s="35"/>
      <c r="H174" s="35"/>
      <c r="I174" s="35"/>
      <c r="J174" s="35"/>
      <c r="K174" s="35"/>
      <c r="L174" s="35"/>
      <c r="M174" s="35"/>
      <c r="N174" s="35"/>
      <c r="O174" s="35"/>
      <c r="P174" s="35"/>
      <c r="Q174" s="352"/>
      <c r="R174" s="352"/>
      <c r="S174" s="352"/>
      <c r="T174" s="360"/>
      <c r="U174" s="352"/>
      <c r="V174" s="361"/>
      <c r="W174" s="35"/>
    </row>
    <row r="175" ht="16.5" customHeight="1">
      <c r="A175" s="350"/>
      <c r="B175" s="350" t="str">
        <f>IFNA(VLOOKUP(A175,'BD LUB'!$A$2:$L$223,3,FALSE),"")</f>
        <v/>
      </c>
      <c r="C175" s="350"/>
      <c r="D175" s="350"/>
      <c r="E175" s="28"/>
      <c r="F175" s="28"/>
      <c r="G175" s="28"/>
      <c r="H175" s="28"/>
      <c r="I175" s="28"/>
      <c r="J175" s="28"/>
      <c r="K175" s="28"/>
      <c r="L175" s="28"/>
      <c r="M175" s="28"/>
      <c r="N175" s="28"/>
      <c r="O175" s="28"/>
      <c r="P175" s="28"/>
      <c r="Q175" s="350"/>
      <c r="R175" s="350"/>
      <c r="S175" s="350"/>
      <c r="T175" s="362"/>
      <c r="U175" s="350"/>
      <c r="V175" s="363"/>
      <c r="W175" s="28"/>
    </row>
    <row r="176" ht="16.5" customHeight="1">
      <c r="A176" s="352"/>
      <c r="B176" s="352" t="str">
        <f>IFNA(VLOOKUP(A176,'BD LUB'!$A$2:$L$223,3,FALSE),"")</f>
        <v/>
      </c>
      <c r="C176" s="352"/>
      <c r="D176" s="352"/>
      <c r="E176" s="35"/>
      <c r="F176" s="35"/>
      <c r="G176" s="35"/>
      <c r="H176" s="35"/>
      <c r="I176" s="35"/>
      <c r="J176" s="35"/>
      <c r="K176" s="35"/>
      <c r="L176" s="35"/>
      <c r="M176" s="35"/>
      <c r="N176" s="35"/>
      <c r="O176" s="35"/>
      <c r="P176" s="35"/>
      <c r="Q176" s="352"/>
      <c r="R176" s="352"/>
      <c r="S176" s="352"/>
      <c r="T176" s="360"/>
      <c r="U176" s="352"/>
      <c r="V176" s="361"/>
      <c r="W176" s="35"/>
    </row>
    <row r="177" ht="16.5" customHeight="1">
      <c r="A177" s="350"/>
      <c r="B177" s="350" t="str">
        <f>IFNA(VLOOKUP(A177,'BD LUB'!$A$2:$L$223,3,FALSE),"")</f>
        <v/>
      </c>
      <c r="C177" s="350"/>
      <c r="D177" s="350"/>
      <c r="E177" s="28"/>
      <c r="F177" s="28"/>
      <c r="G177" s="28"/>
      <c r="H177" s="28"/>
      <c r="I177" s="28"/>
      <c r="J177" s="28"/>
      <c r="K177" s="28"/>
      <c r="L177" s="28"/>
      <c r="M177" s="28"/>
      <c r="N177" s="28"/>
      <c r="O177" s="28"/>
      <c r="P177" s="28"/>
      <c r="Q177" s="350"/>
      <c r="R177" s="350"/>
      <c r="S177" s="350"/>
      <c r="T177" s="362"/>
      <c r="U177" s="350"/>
      <c r="V177" s="363"/>
      <c r="W177" s="28"/>
    </row>
    <row r="178" ht="16.5" customHeight="1">
      <c r="A178" s="352"/>
      <c r="B178" s="352" t="str">
        <f>IFNA(VLOOKUP(A178,'BD LUB'!$A$2:$L$223,3,FALSE),"")</f>
        <v/>
      </c>
      <c r="C178" s="352"/>
      <c r="D178" s="352"/>
      <c r="E178" s="35"/>
      <c r="F178" s="35"/>
      <c r="G178" s="35"/>
      <c r="H178" s="35"/>
      <c r="I178" s="35"/>
      <c r="J178" s="35"/>
      <c r="K178" s="35"/>
      <c r="L178" s="35"/>
      <c r="M178" s="35"/>
      <c r="N178" s="35"/>
      <c r="O178" s="35"/>
      <c r="P178" s="35"/>
      <c r="Q178" s="352"/>
      <c r="R178" s="352"/>
      <c r="S178" s="352"/>
      <c r="T178" s="360"/>
      <c r="U178" s="352"/>
      <c r="V178" s="361"/>
      <c r="W178" s="35"/>
    </row>
    <row r="179" ht="16.5" customHeight="1">
      <c r="A179" s="350"/>
      <c r="B179" s="350" t="str">
        <f>IFNA(VLOOKUP(A179,'BD LUB'!$A$2:$L$223,3,FALSE),"")</f>
        <v/>
      </c>
      <c r="C179" s="350"/>
      <c r="D179" s="350"/>
      <c r="E179" s="28"/>
      <c r="F179" s="28"/>
      <c r="G179" s="28"/>
      <c r="H179" s="28"/>
      <c r="I179" s="28"/>
      <c r="J179" s="28"/>
      <c r="K179" s="28"/>
      <c r="L179" s="28"/>
      <c r="M179" s="28"/>
      <c r="N179" s="28"/>
      <c r="O179" s="28"/>
      <c r="P179" s="28"/>
      <c r="Q179" s="350"/>
      <c r="R179" s="350"/>
      <c r="S179" s="350"/>
      <c r="T179" s="362"/>
      <c r="U179" s="350"/>
      <c r="V179" s="363"/>
      <c r="W179" s="28"/>
    </row>
    <row r="180" ht="16.5" customHeight="1">
      <c r="A180" s="352"/>
      <c r="B180" s="352" t="str">
        <f>IFNA(VLOOKUP(A180,'BD LUB'!$A$2:$L$223,3,FALSE),"")</f>
        <v/>
      </c>
      <c r="C180" s="352"/>
      <c r="D180" s="352"/>
      <c r="E180" s="35"/>
      <c r="F180" s="35"/>
      <c r="G180" s="35"/>
      <c r="H180" s="35"/>
      <c r="I180" s="35"/>
      <c r="J180" s="35"/>
      <c r="K180" s="35"/>
      <c r="L180" s="35"/>
      <c r="M180" s="35"/>
      <c r="N180" s="35"/>
      <c r="O180" s="35"/>
      <c r="P180" s="35"/>
      <c r="Q180" s="352"/>
      <c r="R180" s="352"/>
      <c r="S180" s="352"/>
      <c r="T180" s="360"/>
      <c r="U180" s="352"/>
      <c r="V180" s="361"/>
      <c r="W180" s="35"/>
    </row>
    <row r="181" ht="16.5" customHeight="1">
      <c r="A181" s="350"/>
      <c r="B181" s="350" t="str">
        <f>IFNA(VLOOKUP(A181,'BD LUB'!$A$2:$L$223,3,FALSE),"")</f>
        <v/>
      </c>
      <c r="C181" s="350"/>
      <c r="D181" s="350"/>
      <c r="E181" s="28"/>
      <c r="F181" s="28"/>
      <c r="G181" s="28"/>
      <c r="H181" s="28"/>
      <c r="I181" s="28"/>
      <c r="J181" s="28"/>
      <c r="K181" s="28"/>
      <c r="L181" s="28"/>
      <c r="M181" s="28"/>
      <c r="N181" s="28"/>
      <c r="O181" s="28"/>
      <c r="P181" s="28"/>
      <c r="Q181" s="350"/>
      <c r="R181" s="350"/>
      <c r="S181" s="350"/>
      <c r="T181" s="362"/>
      <c r="U181" s="350"/>
      <c r="V181" s="363"/>
      <c r="W181" s="28"/>
    </row>
    <row r="182" ht="16.5" customHeight="1">
      <c r="A182" s="352"/>
      <c r="B182" s="352" t="str">
        <f>IFNA(VLOOKUP(A182,'BD LUB'!$A$2:$L$223,3,FALSE),"")</f>
        <v/>
      </c>
      <c r="C182" s="352"/>
      <c r="D182" s="352"/>
      <c r="E182" s="35"/>
      <c r="F182" s="35"/>
      <c r="G182" s="35"/>
      <c r="H182" s="35"/>
      <c r="I182" s="35"/>
      <c r="J182" s="35"/>
      <c r="K182" s="35"/>
      <c r="L182" s="35"/>
      <c r="M182" s="35"/>
      <c r="N182" s="35"/>
      <c r="O182" s="35"/>
      <c r="P182" s="35"/>
      <c r="Q182" s="352"/>
      <c r="R182" s="352"/>
      <c r="S182" s="352"/>
      <c r="T182" s="360"/>
      <c r="U182" s="352"/>
      <c r="V182" s="361"/>
      <c r="W182" s="35"/>
    </row>
    <row r="183" ht="16.5" customHeight="1">
      <c r="A183" s="350"/>
      <c r="B183" s="350" t="str">
        <f>IFNA(VLOOKUP(A183,'BD LUB'!$A$2:$L$223,3,FALSE),"")</f>
        <v/>
      </c>
      <c r="C183" s="350"/>
      <c r="D183" s="350"/>
      <c r="E183" s="28"/>
      <c r="F183" s="28"/>
      <c r="G183" s="28"/>
      <c r="H183" s="28"/>
      <c r="I183" s="28"/>
      <c r="J183" s="28"/>
      <c r="K183" s="28"/>
      <c r="L183" s="28"/>
      <c r="M183" s="28"/>
      <c r="N183" s="28"/>
      <c r="O183" s="28"/>
      <c r="P183" s="28"/>
      <c r="Q183" s="350"/>
      <c r="R183" s="350"/>
      <c r="S183" s="350"/>
      <c r="T183" s="362"/>
      <c r="U183" s="350"/>
      <c r="V183" s="363"/>
      <c r="W183" s="28"/>
    </row>
    <row r="184" ht="16.5" customHeight="1">
      <c r="A184" s="352"/>
      <c r="B184" s="352" t="str">
        <f>IFNA(VLOOKUP(A184,'BD LUB'!$A$2:$L$223,3,FALSE),"")</f>
        <v/>
      </c>
      <c r="C184" s="352"/>
      <c r="D184" s="352"/>
      <c r="E184" s="35"/>
      <c r="F184" s="35"/>
      <c r="G184" s="35"/>
      <c r="H184" s="35"/>
      <c r="I184" s="35"/>
      <c r="J184" s="35"/>
      <c r="K184" s="35"/>
      <c r="L184" s="35"/>
      <c r="M184" s="35"/>
      <c r="N184" s="35"/>
      <c r="O184" s="35"/>
      <c r="P184" s="35"/>
      <c r="Q184" s="352"/>
      <c r="R184" s="352"/>
      <c r="S184" s="352"/>
      <c r="T184" s="360"/>
      <c r="U184" s="352"/>
      <c r="V184" s="361"/>
      <c r="W184" s="35"/>
    </row>
    <row r="185" ht="16.5" customHeight="1">
      <c r="A185" s="350"/>
      <c r="B185" s="350" t="str">
        <f>IFNA(VLOOKUP(A185,'BD LUB'!$A$2:$L$223,3,FALSE),"")</f>
        <v/>
      </c>
      <c r="C185" s="350"/>
      <c r="D185" s="350"/>
      <c r="E185" s="28"/>
      <c r="F185" s="28"/>
      <c r="G185" s="28"/>
      <c r="H185" s="28"/>
      <c r="I185" s="28"/>
      <c r="J185" s="28"/>
      <c r="K185" s="28"/>
      <c r="L185" s="28"/>
      <c r="M185" s="28"/>
      <c r="N185" s="28"/>
      <c r="O185" s="28"/>
      <c r="P185" s="28"/>
      <c r="Q185" s="350"/>
      <c r="R185" s="350"/>
      <c r="S185" s="350"/>
      <c r="T185" s="362"/>
      <c r="U185" s="350"/>
      <c r="V185" s="363"/>
      <c r="W185" s="28"/>
    </row>
    <row r="186" ht="16.5" customHeight="1">
      <c r="A186" s="352"/>
      <c r="B186" s="352" t="str">
        <f>IFNA(VLOOKUP(A186,'BD LUB'!$A$2:$L$223,3,FALSE),"")</f>
        <v/>
      </c>
      <c r="C186" s="352"/>
      <c r="D186" s="352"/>
      <c r="E186" s="35"/>
      <c r="F186" s="35"/>
      <c r="G186" s="35"/>
      <c r="H186" s="35"/>
      <c r="I186" s="35"/>
      <c r="J186" s="35"/>
      <c r="K186" s="35"/>
      <c r="L186" s="35"/>
      <c r="M186" s="35"/>
      <c r="N186" s="35"/>
      <c r="O186" s="35"/>
      <c r="P186" s="35"/>
      <c r="Q186" s="352"/>
      <c r="R186" s="352"/>
      <c r="S186" s="352"/>
      <c r="T186" s="360"/>
      <c r="U186" s="352"/>
      <c r="V186" s="361"/>
      <c r="W186" s="35"/>
    </row>
    <row r="187" ht="16.5" customHeight="1">
      <c r="A187" s="350"/>
      <c r="B187" s="350" t="str">
        <f>IFNA(VLOOKUP(A187,'BD LUB'!$A$2:$L$223,3,FALSE),"")</f>
        <v/>
      </c>
      <c r="C187" s="350"/>
      <c r="D187" s="350"/>
      <c r="E187" s="28"/>
      <c r="F187" s="28"/>
      <c r="G187" s="28"/>
      <c r="H187" s="28"/>
      <c r="I187" s="28"/>
      <c r="J187" s="28"/>
      <c r="K187" s="28"/>
      <c r="L187" s="28"/>
      <c r="M187" s="28"/>
      <c r="N187" s="28"/>
      <c r="O187" s="28"/>
      <c r="P187" s="28"/>
      <c r="Q187" s="350"/>
      <c r="R187" s="350"/>
      <c r="S187" s="350"/>
      <c r="T187" s="362"/>
      <c r="U187" s="350"/>
      <c r="V187" s="363"/>
      <c r="W187" s="28"/>
    </row>
    <row r="188" ht="16.5" customHeight="1">
      <c r="A188" s="352"/>
      <c r="B188" s="352" t="str">
        <f>IFNA(VLOOKUP(A188,'BD LUB'!$A$2:$L$223,3,FALSE),"")</f>
        <v/>
      </c>
      <c r="C188" s="352"/>
      <c r="D188" s="352"/>
      <c r="E188" s="35"/>
      <c r="F188" s="35"/>
      <c r="G188" s="35"/>
      <c r="H188" s="35"/>
      <c r="I188" s="35"/>
      <c r="J188" s="35"/>
      <c r="K188" s="35"/>
      <c r="L188" s="35"/>
      <c r="M188" s="35"/>
      <c r="N188" s="35"/>
      <c r="O188" s="35"/>
      <c r="P188" s="35"/>
      <c r="Q188" s="352"/>
      <c r="R188" s="352"/>
      <c r="S188" s="352"/>
      <c r="T188" s="360"/>
      <c r="U188" s="352"/>
      <c r="V188" s="361"/>
      <c r="W188" s="35"/>
    </row>
    <row r="189" ht="16.5" customHeight="1">
      <c r="A189" s="350"/>
      <c r="B189" s="350" t="str">
        <f>IFNA(VLOOKUP(A189,'BD LUB'!$A$2:$L$223,3,FALSE),"")</f>
        <v/>
      </c>
      <c r="C189" s="350"/>
      <c r="D189" s="350"/>
      <c r="E189" s="28"/>
      <c r="F189" s="28"/>
      <c r="G189" s="28"/>
      <c r="H189" s="28"/>
      <c r="I189" s="28"/>
      <c r="J189" s="28"/>
      <c r="K189" s="28"/>
      <c r="L189" s="28"/>
      <c r="M189" s="28"/>
      <c r="N189" s="28"/>
      <c r="O189" s="28"/>
      <c r="P189" s="28"/>
      <c r="Q189" s="350"/>
      <c r="R189" s="350"/>
      <c r="S189" s="350"/>
      <c r="T189" s="362"/>
      <c r="U189" s="350"/>
      <c r="V189" s="363"/>
      <c r="W189" s="28"/>
    </row>
    <row r="190" ht="16.5" customHeight="1">
      <c r="A190" s="352"/>
      <c r="B190" s="352" t="str">
        <f>IFNA(VLOOKUP(A190,'BD LUB'!$A$2:$L$223,3,FALSE),"")</f>
        <v/>
      </c>
      <c r="C190" s="352"/>
      <c r="D190" s="352"/>
      <c r="E190" s="35"/>
      <c r="F190" s="35"/>
      <c r="G190" s="35"/>
      <c r="H190" s="35"/>
      <c r="I190" s="35"/>
      <c r="J190" s="35"/>
      <c r="K190" s="35"/>
      <c r="L190" s="35"/>
      <c r="M190" s="35"/>
      <c r="N190" s="35"/>
      <c r="O190" s="35"/>
      <c r="P190" s="35"/>
      <c r="Q190" s="352"/>
      <c r="R190" s="352"/>
      <c r="S190" s="352"/>
      <c r="T190" s="360"/>
      <c r="U190" s="352"/>
      <c r="V190" s="361"/>
      <c r="W190" s="35"/>
    </row>
    <row r="191" ht="16.5" customHeight="1">
      <c r="A191" s="350"/>
      <c r="B191" s="350" t="str">
        <f>IFNA(VLOOKUP(A191,'BD LUB'!$A$2:$L$223,3,FALSE),"")</f>
        <v/>
      </c>
      <c r="C191" s="350"/>
      <c r="D191" s="350"/>
      <c r="E191" s="28"/>
      <c r="F191" s="28"/>
      <c r="G191" s="28"/>
      <c r="H191" s="28"/>
      <c r="I191" s="28"/>
      <c r="J191" s="28"/>
      <c r="K191" s="28"/>
      <c r="L191" s="28"/>
      <c r="M191" s="28"/>
      <c r="N191" s="28"/>
      <c r="O191" s="28"/>
      <c r="P191" s="28"/>
      <c r="Q191" s="350"/>
      <c r="R191" s="350"/>
      <c r="S191" s="350"/>
      <c r="T191" s="362"/>
      <c r="U191" s="350"/>
      <c r="V191" s="363"/>
      <c r="W191" s="28"/>
    </row>
    <row r="192" ht="16.5" customHeight="1">
      <c r="A192" s="352"/>
      <c r="B192" s="352" t="str">
        <f>IFNA(VLOOKUP(A192,'BD LUB'!$A$2:$L$223,3,FALSE),"")</f>
        <v/>
      </c>
      <c r="C192" s="352"/>
      <c r="D192" s="352"/>
      <c r="E192" s="35"/>
      <c r="F192" s="35"/>
      <c r="G192" s="35"/>
      <c r="H192" s="35"/>
      <c r="I192" s="35"/>
      <c r="J192" s="35"/>
      <c r="K192" s="35"/>
      <c r="L192" s="35"/>
      <c r="M192" s="35"/>
      <c r="N192" s="35"/>
      <c r="O192" s="35"/>
      <c r="P192" s="35"/>
      <c r="Q192" s="352"/>
      <c r="R192" s="352"/>
      <c r="S192" s="352"/>
      <c r="T192" s="360"/>
      <c r="U192" s="352"/>
      <c r="V192" s="361"/>
      <c r="W192" s="35"/>
    </row>
    <row r="193" ht="16.5" customHeight="1">
      <c r="A193" s="350"/>
      <c r="B193" s="350" t="str">
        <f>IFNA(VLOOKUP(A193,'BD LUB'!$A$2:$L$223,3,FALSE),"")</f>
        <v/>
      </c>
      <c r="C193" s="350"/>
      <c r="D193" s="350"/>
      <c r="E193" s="28"/>
      <c r="F193" s="28"/>
      <c r="G193" s="28"/>
      <c r="H193" s="28"/>
      <c r="I193" s="28"/>
      <c r="J193" s="28"/>
      <c r="K193" s="28"/>
      <c r="L193" s="28"/>
      <c r="M193" s="28"/>
      <c r="N193" s="28"/>
      <c r="O193" s="28"/>
      <c r="P193" s="28"/>
      <c r="Q193" s="350"/>
      <c r="R193" s="350"/>
      <c r="S193" s="350"/>
      <c r="T193" s="362"/>
      <c r="U193" s="350"/>
      <c r="V193" s="363"/>
      <c r="W193" s="28"/>
    </row>
    <row r="194" ht="16.5" customHeight="1">
      <c r="A194" s="352"/>
      <c r="B194" s="352" t="str">
        <f>IFNA(VLOOKUP(A194,'BD LUB'!$A$2:$L$223,3,FALSE),"")</f>
        <v/>
      </c>
      <c r="C194" s="352"/>
      <c r="D194" s="352"/>
      <c r="E194" s="35"/>
      <c r="F194" s="35"/>
      <c r="G194" s="35"/>
      <c r="H194" s="35"/>
      <c r="I194" s="35"/>
      <c r="J194" s="35"/>
      <c r="K194" s="35"/>
      <c r="L194" s="35"/>
      <c r="M194" s="35"/>
      <c r="N194" s="35"/>
      <c r="O194" s="35"/>
      <c r="P194" s="35"/>
      <c r="Q194" s="352"/>
      <c r="R194" s="352"/>
      <c r="S194" s="352"/>
      <c r="T194" s="360"/>
      <c r="U194" s="352"/>
      <c r="V194" s="361"/>
      <c r="W194" s="35"/>
    </row>
    <row r="195" ht="16.5" customHeight="1">
      <c r="A195" s="350"/>
      <c r="B195" s="350" t="str">
        <f>IFNA(VLOOKUP(A195,'BD LUB'!$A$2:$L$223,3,FALSE),"")</f>
        <v/>
      </c>
      <c r="C195" s="350"/>
      <c r="D195" s="350"/>
      <c r="E195" s="28"/>
      <c r="F195" s="28"/>
      <c r="G195" s="28"/>
      <c r="H195" s="28"/>
      <c r="I195" s="28"/>
      <c r="J195" s="28"/>
      <c r="K195" s="28"/>
      <c r="L195" s="28"/>
      <c r="M195" s="28"/>
      <c r="N195" s="28"/>
      <c r="O195" s="28"/>
      <c r="P195" s="28"/>
      <c r="Q195" s="350"/>
      <c r="R195" s="350"/>
      <c r="S195" s="350"/>
      <c r="T195" s="362"/>
      <c r="U195" s="350"/>
      <c r="V195" s="363"/>
      <c r="W195" s="28"/>
    </row>
    <row r="196" ht="16.5" customHeight="1">
      <c r="A196" s="352"/>
      <c r="B196" s="352" t="str">
        <f>IFNA(VLOOKUP(A196,'BD LUB'!$A$2:$L$223,3,FALSE),"")</f>
        <v/>
      </c>
      <c r="C196" s="352"/>
      <c r="D196" s="352"/>
      <c r="E196" s="35"/>
      <c r="F196" s="35"/>
      <c r="G196" s="35"/>
      <c r="H196" s="35"/>
      <c r="I196" s="35"/>
      <c r="J196" s="35"/>
      <c r="K196" s="35"/>
      <c r="L196" s="35"/>
      <c r="M196" s="35"/>
      <c r="N196" s="35"/>
      <c r="O196" s="35"/>
      <c r="P196" s="35"/>
      <c r="Q196" s="352"/>
      <c r="R196" s="352"/>
      <c r="S196" s="352"/>
      <c r="T196" s="360"/>
      <c r="U196" s="352"/>
      <c r="V196" s="361"/>
      <c r="W196" s="35"/>
    </row>
    <row r="197" ht="16.5" customHeight="1">
      <c r="A197" s="350"/>
      <c r="B197" s="350" t="str">
        <f>IFNA(VLOOKUP(A197,'BD LUB'!$A$2:$L$223,3,FALSE),"")</f>
        <v/>
      </c>
      <c r="C197" s="350"/>
      <c r="D197" s="350"/>
      <c r="E197" s="350"/>
      <c r="F197" s="350"/>
      <c r="G197" s="350"/>
      <c r="H197" s="350"/>
      <c r="I197" s="28"/>
      <c r="J197" s="28"/>
      <c r="K197" s="28"/>
      <c r="L197" s="28"/>
      <c r="M197" s="28"/>
      <c r="N197" s="28"/>
      <c r="O197" s="28"/>
      <c r="P197" s="28"/>
      <c r="Q197" s="350"/>
      <c r="R197" s="350"/>
      <c r="S197" s="350"/>
      <c r="T197" s="362"/>
      <c r="U197" s="350"/>
      <c r="V197" s="363"/>
      <c r="W197" s="28"/>
    </row>
    <row r="198" ht="16.5" customHeight="1">
      <c r="A198" s="35"/>
      <c r="B198" s="352" t="str">
        <f>IFNA(VLOOKUP(A198,'BD LUB'!$A$2:$L$223,3,FALSE),"")</f>
        <v/>
      </c>
      <c r="C198" s="352"/>
      <c r="D198" s="352"/>
      <c r="E198" s="352"/>
      <c r="F198" s="352"/>
      <c r="G198" s="352"/>
      <c r="H198" s="352"/>
      <c r="I198" s="35"/>
      <c r="J198" s="35"/>
      <c r="K198" s="35"/>
      <c r="L198" s="35"/>
      <c r="M198" s="35"/>
      <c r="N198" s="35"/>
      <c r="O198" s="35"/>
      <c r="P198" s="35"/>
      <c r="Q198" s="352"/>
      <c r="R198" s="352"/>
      <c r="S198" s="352"/>
      <c r="T198" s="360"/>
      <c r="U198" s="352"/>
      <c r="V198" s="361"/>
      <c r="W198" s="35"/>
    </row>
    <row r="199" ht="16.5" customHeight="1">
      <c r="A199" s="28"/>
      <c r="B199" s="350" t="str">
        <f>IFNA(VLOOKUP(A199,'BD LUB'!$A$2:$L$223,3,FALSE),"")</f>
        <v/>
      </c>
      <c r="C199" s="350"/>
      <c r="D199" s="350"/>
      <c r="E199" s="350"/>
      <c r="F199" s="350"/>
      <c r="G199" s="350"/>
      <c r="H199" s="350"/>
      <c r="I199" s="28"/>
      <c r="J199" s="28"/>
      <c r="K199" s="28"/>
      <c r="L199" s="28"/>
      <c r="M199" s="28"/>
      <c r="N199" s="28"/>
      <c r="O199" s="28"/>
      <c r="P199" s="28"/>
      <c r="Q199" s="350"/>
      <c r="R199" s="350"/>
      <c r="S199" s="350"/>
      <c r="T199" s="362"/>
      <c r="U199" s="350"/>
      <c r="V199" s="363"/>
      <c r="W199" s="28"/>
    </row>
    <row r="200" ht="16.5" customHeight="1">
      <c r="A200" s="35"/>
      <c r="B200" s="352" t="str">
        <f>IFNA(VLOOKUP(A200,'BD LUB'!$A$2:$L$223,3,FALSE),"")</f>
        <v/>
      </c>
      <c r="C200" s="352"/>
      <c r="D200" s="352"/>
      <c r="E200" s="352"/>
      <c r="F200" s="352"/>
      <c r="G200" s="352"/>
      <c r="H200" s="352"/>
      <c r="I200" s="35"/>
      <c r="J200" s="35"/>
      <c r="K200" s="35"/>
      <c r="L200" s="35"/>
      <c r="M200" s="35"/>
      <c r="N200" s="35"/>
      <c r="O200" s="35"/>
      <c r="P200" s="35"/>
      <c r="Q200" s="352"/>
      <c r="R200" s="352"/>
      <c r="S200" s="352"/>
      <c r="T200" s="360"/>
      <c r="U200" s="352"/>
      <c r="V200" s="361"/>
      <c r="W200" s="35"/>
    </row>
    <row r="201" ht="16.5" customHeight="1">
      <c r="A201" s="28"/>
      <c r="B201" s="350" t="str">
        <f>IFNA(VLOOKUP(A201,'BD LUB'!$A$2:$L$223,3,FALSE),"")</f>
        <v/>
      </c>
      <c r="C201" s="350"/>
      <c r="D201" s="350"/>
      <c r="E201" s="350"/>
      <c r="F201" s="350"/>
      <c r="G201" s="350"/>
      <c r="H201" s="350"/>
      <c r="I201" s="28"/>
      <c r="J201" s="28"/>
      <c r="K201" s="28"/>
      <c r="L201" s="28"/>
      <c r="M201" s="28"/>
      <c r="N201" s="28"/>
      <c r="O201" s="28"/>
      <c r="P201" s="28"/>
      <c r="Q201" s="350"/>
      <c r="R201" s="350"/>
      <c r="S201" s="350"/>
      <c r="T201" s="362"/>
      <c r="U201" s="350"/>
      <c r="V201" s="363"/>
      <c r="W201" s="28"/>
    </row>
    <row r="202" ht="16.5" customHeight="1">
      <c r="A202" s="35"/>
      <c r="B202" s="352" t="str">
        <f>IFNA(VLOOKUP(A202,'BD LUB'!$A$2:$L$223,3,FALSE),"")</f>
        <v/>
      </c>
      <c r="C202" s="352"/>
      <c r="D202" s="352"/>
      <c r="E202" s="352"/>
      <c r="F202" s="352"/>
      <c r="G202" s="352"/>
      <c r="H202" s="352"/>
      <c r="I202" s="35"/>
      <c r="J202" s="35"/>
      <c r="K202" s="35"/>
      <c r="L202" s="35"/>
      <c r="M202" s="35"/>
      <c r="N202" s="35"/>
      <c r="O202" s="35"/>
      <c r="P202" s="35"/>
      <c r="Q202" s="352"/>
      <c r="R202" s="352"/>
      <c r="S202" s="352"/>
      <c r="T202" s="360"/>
      <c r="U202" s="352"/>
      <c r="V202" s="361"/>
      <c r="W202" s="35"/>
    </row>
    <row r="203" ht="16.5" customHeight="1">
      <c r="A203" s="28"/>
      <c r="B203" s="350" t="str">
        <f>IFNA(VLOOKUP(A203,'BD LUB'!$A$2:$L$223,3,FALSE),"")</f>
        <v/>
      </c>
      <c r="C203" s="350"/>
      <c r="D203" s="350"/>
      <c r="E203" s="350"/>
      <c r="F203" s="350"/>
      <c r="G203" s="350"/>
      <c r="H203" s="350"/>
      <c r="I203" s="28"/>
      <c r="J203" s="28"/>
      <c r="K203" s="28"/>
      <c r="L203" s="28"/>
      <c r="M203" s="28"/>
      <c r="N203" s="28"/>
      <c r="O203" s="28"/>
      <c r="P203" s="28"/>
      <c r="Q203" s="350"/>
      <c r="R203" s="350"/>
      <c r="S203" s="350"/>
      <c r="T203" s="362"/>
      <c r="U203" s="350"/>
      <c r="V203" s="363"/>
      <c r="W203" s="28"/>
    </row>
    <row r="204" ht="16.5" customHeight="1">
      <c r="A204" s="35"/>
      <c r="B204" s="352" t="str">
        <f>IFNA(VLOOKUP(A204,'BD LUB'!$A$2:$L$223,3,FALSE),"")</f>
        <v/>
      </c>
      <c r="C204" s="352"/>
      <c r="D204" s="352"/>
      <c r="E204" s="352"/>
      <c r="F204" s="352"/>
      <c r="G204" s="352"/>
      <c r="H204" s="352"/>
      <c r="I204" s="35"/>
      <c r="J204" s="35"/>
      <c r="K204" s="35"/>
      <c r="L204" s="35"/>
      <c r="M204" s="35"/>
      <c r="N204" s="35"/>
      <c r="O204" s="35"/>
      <c r="P204" s="35"/>
      <c r="Q204" s="352"/>
      <c r="R204" s="352"/>
      <c r="S204" s="352"/>
      <c r="T204" s="360"/>
      <c r="U204" s="352"/>
      <c r="V204" s="361"/>
      <c r="W204" s="35"/>
    </row>
    <row r="205" ht="16.5" customHeight="1">
      <c r="A205" s="28"/>
      <c r="B205" s="350" t="str">
        <f>IFNA(VLOOKUP(A205,'BD LUB'!$A$2:$L$223,3,FALSE),"")</f>
        <v/>
      </c>
      <c r="C205" s="350"/>
      <c r="D205" s="350"/>
      <c r="E205" s="350"/>
      <c r="F205" s="350"/>
      <c r="G205" s="350"/>
      <c r="H205" s="350"/>
      <c r="I205" s="28"/>
      <c r="J205" s="28"/>
      <c r="K205" s="28"/>
      <c r="L205" s="28"/>
      <c r="M205" s="28"/>
      <c r="N205" s="28"/>
      <c r="O205" s="28"/>
      <c r="P205" s="28"/>
      <c r="Q205" s="350"/>
      <c r="R205" s="350"/>
      <c r="S205" s="350"/>
      <c r="T205" s="362"/>
      <c r="U205" s="350"/>
      <c r="V205" s="363"/>
      <c r="W205" s="28"/>
    </row>
    <row r="206" ht="16.5" customHeight="1">
      <c r="A206" s="35"/>
      <c r="B206" s="352" t="str">
        <f>IFNA(VLOOKUP(A206,'BD LUB'!$A$2:$L$223,3,FALSE),"")</f>
        <v/>
      </c>
      <c r="C206" s="352"/>
      <c r="D206" s="352"/>
      <c r="E206" s="352"/>
      <c r="F206" s="352"/>
      <c r="G206" s="352"/>
      <c r="H206" s="352"/>
      <c r="I206" s="35"/>
      <c r="J206" s="35"/>
      <c r="K206" s="35"/>
      <c r="L206" s="35"/>
      <c r="M206" s="35"/>
      <c r="N206" s="35"/>
      <c r="O206" s="35"/>
      <c r="P206" s="35"/>
      <c r="Q206" s="352"/>
      <c r="R206" s="352"/>
      <c r="S206" s="352"/>
      <c r="T206" s="360"/>
      <c r="U206" s="352"/>
      <c r="V206" s="361"/>
      <c r="W206" s="35"/>
    </row>
    <row r="207" ht="16.5" customHeight="1">
      <c r="A207" s="28"/>
      <c r="B207" s="350" t="str">
        <f>IFNA(VLOOKUP(A207,'BD LUB'!$A$2:$L$223,3,FALSE),"")</f>
        <v/>
      </c>
      <c r="C207" s="350"/>
      <c r="D207" s="350"/>
      <c r="E207" s="350"/>
      <c r="F207" s="350"/>
      <c r="G207" s="350"/>
      <c r="H207" s="350"/>
      <c r="I207" s="28"/>
      <c r="J207" s="28"/>
      <c r="K207" s="28"/>
      <c r="L207" s="28"/>
      <c r="M207" s="28"/>
      <c r="N207" s="28"/>
      <c r="O207" s="28"/>
      <c r="P207" s="28"/>
      <c r="Q207" s="350"/>
      <c r="R207" s="350"/>
      <c r="S207" s="350"/>
      <c r="T207" s="362"/>
      <c r="U207" s="350"/>
      <c r="V207" s="363"/>
      <c r="W207" s="28"/>
    </row>
    <row r="208">
      <c r="B208" s="103"/>
      <c r="C208" s="103"/>
      <c r="D208" s="103"/>
      <c r="E208" s="103"/>
      <c r="F208" s="104"/>
      <c r="G208" s="103"/>
      <c r="H208" s="103"/>
      <c r="I208" s="157"/>
      <c r="Q208" s="103"/>
      <c r="R208" s="103"/>
      <c r="S208" s="103"/>
      <c r="T208" s="270"/>
      <c r="U208" s="103"/>
      <c r="V208" s="271"/>
    </row>
    <row r="209">
      <c r="B209" s="103"/>
      <c r="C209" s="103"/>
      <c r="D209" s="103"/>
      <c r="E209" s="103"/>
      <c r="F209" s="104"/>
      <c r="G209" s="103"/>
      <c r="H209" s="103"/>
      <c r="I209" s="157"/>
      <c r="Q209" s="103"/>
      <c r="R209" s="103"/>
      <c r="S209" s="103"/>
      <c r="T209" s="270"/>
      <c r="U209" s="103"/>
      <c r="V209" s="271"/>
    </row>
    <row r="210">
      <c r="B210" s="103"/>
      <c r="C210" s="103"/>
      <c r="D210" s="103"/>
      <c r="E210" s="103"/>
      <c r="F210" s="104"/>
      <c r="G210" s="103"/>
      <c r="H210" s="103"/>
      <c r="I210" s="157"/>
      <c r="Q210" s="103"/>
      <c r="R210" s="103"/>
      <c r="S210" s="103"/>
      <c r="T210" s="270"/>
      <c r="U210" s="103"/>
      <c r="V210" s="271"/>
    </row>
    <row r="211">
      <c r="B211" s="103"/>
      <c r="C211" s="103"/>
      <c r="D211" s="103"/>
      <c r="E211" s="103"/>
      <c r="F211" s="104"/>
      <c r="G211" s="103"/>
      <c r="H211" s="103"/>
      <c r="I211" s="157"/>
      <c r="Q211" s="103"/>
      <c r="R211" s="103"/>
      <c r="S211" s="103"/>
      <c r="T211" s="270"/>
      <c r="U211" s="103"/>
      <c r="V211" s="271"/>
    </row>
    <row r="212">
      <c r="B212" s="103"/>
      <c r="C212" s="103"/>
      <c r="D212" s="103"/>
      <c r="E212" s="103"/>
      <c r="F212" s="104"/>
      <c r="G212" s="103"/>
      <c r="H212" s="103"/>
      <c r="I212" s="157"/>
      <c r="Q212" s="103"/>
      <c r="R212" s="103"/>
      <c r="S212" s="103"/>
      <c r="T212" s="270"/>
      <c r="U212" s="103"/>
      <c r="V212" s="271"/>
    </row>
    <row r="213">
      <c r="B213" s="103"/>
      <c r="C213" s="103"/>
      <c r="D213" s="103"/>
      <c r="E213" s="103"/>
      <c r="F213" s="104"/>
      <c r="G213" s="103"/>
      <c r="H213" s="103"/>
      <c r="I213" s="157"/>
      <c r="Q213" s="103"/>
      <c r="R213" s="103"/>
      <c r="S213" s="103"/>
      <c r="T213" s="270"/>
      <c r="U213" s="103"/>
      <c r="V213" s="271"/>
    </row>
    <row r="214">
      <c r="B214" s="103"/>
      <c r="C214" s="103"/>
      <c r="D214" s="103"/>
      <c r="E214" s="103"/>
      <c r="F214" s="104"/>
      <c r="G214" s="103"/>
      <c r="H214" s="103"/>
      <c r="I214" s="157"/>
      <c r="Q214" s="103"/>
      <c r="R214" s="103"/>
      <c r="S214" s="103"/>
      <c r="T214" s="270"/>
      <c r="U214" s="103"/>
      <c r="V214" s="271"/>
    </row>
    <row r="215">
      <c r="B215" s="103"/>
      <c r="C215" s="103"/>
      <c r="D215" s="103"/>
      <c r="E215" s="103"/>
      <c r="F215" s="104"/>
      <c r="G215" s="103"/>
      <c r="H215" s="103"/>
      <c r="I215" s="157"/>
      <c r="Q215" s="103"/>
      <c r="R215" s="103"/>
      <c r="S215" s="103"/>
      <c r="T215" s="270"/>
      <c r="U215" s="103"/>
      <c r="V215" s="271"/>
    </row>
    <row r="216">
      <c r="B216" s="103"/>
      <c r="C216" s="103"/>
      <c r="D216" s="103"/>
      <c r="E216" s="103"/>
      <c r="F216" s="104"/>
      <c r="G216" s="103"/>
      <c r="H216" s="103"/>
      <c r="I216" s="157"/>
      <c r="Q216" s="103"/>
      <c r="R216" s="103"/>
      <c r="S216" s="103"/>
      <c r="T216" s="270"/>
      <c r="U216" s="103"/>
      <c r="V216" s="271"/>
    </row>
    <row r="217">
      <c r="B217" s="103"/>
      <c r="C217" s="103"/>
      <c r="D217" s="103"/>
      <c r="E217" s="103"/>
      <c r="F217" s="104"/>
      <c r="G217" s="103"/>
      <c r="H217" s="103"/>
      <c r="I217" s="157"/>
      <c r="Q217" s="103"/>
      <c r="R217" s="103"/>
      <c r="S217" s="103"/>
      <c r="T217" s="270"/>
      <c r="U217" s="103"/>
      <c r="V217" s="271"/>
    </row>
    <row r="218">
      <c r="B218" s="103"/>
      <c r="C218" s="103"/>
      <c r="D218" s="103"/>
      <c r="E218" s="103"/>
      <c r="F218" s="104"/>
      <c r="G218" s="103"/>
      <c r="H218" s="103"/>
      <c r="I218" s="157"/>
      <c r="Q218" s="103"/>
      <c r="R218" s="103"/>
      <c r="S218" s="103"/>
      <c r="T218" s="270"/>
      <c r="U218" s="103"/>
      <c r="V218" s="271"/>
    </row>
    <row r="219">
      <c r="B219" s="103"/>
      <c r="C219" s="103"/>
      <c r="D219" s="103"/>
      <c r="E219" s="103"/>
      <c r="F219" s="104"/>
      <c r="G219" s="103"/>
      <c r="H219" s="103"/>
      <c r="I219" s="157"/>
      <c r="Q219" s="103"/>
      <c r="R219" s="103"/>
      <c r="S219" s="103"/>
      <c r="T219" s="270"/>
      <c r="U219" s="103"/>
      <c r="V219" s="271"/>
    </row>
    <row r="220">
      <c r="B220" s="103"/>
      <c r="C220" s="103"/>
      <c r="D220" s="103"/>
      <c r="E220" s="103"/>
      <c r="F220" s="104"/>
      <c r="G220" s="103"/>
      <c r="H220" s="103"/>
      <c r="I220" s="157"/>
      <c r="Q220" s="103"/>
      <c r="R220" s="103"/>
      <c r="S220" s="103"/>
      <c r="T220" s="270"/>
      <c r="U220" s="103"/>
      <c r="V220" s="271"/>
    </row>
    <row r="221">
      <c r="B221" s="103"/>
      <c r="C221" s="103"/>
      <c r="D221" s="103"/>
      <c r="E221" s="103"/>
      <c r="F221" s="104"/>
      <c r="G221" s="103"/>
      <c r="H221" s="103"/>
      <c r="I221" s="157"/>
      <c r="Q221" s="103"/>
      <c r="R221" s="103"/>
      <c r="S221" s="103"/>
      <c r="T221" s="270"/>
      <c r="U221" s="103"/>
      <c r="V221" s="271"/>
    </row>
    <row r="222">
      <c r="B222" s="103"/>
      <c r="C222" s="103"/>
      <c r="D222" s="103"/>
      <c r="E222" s="103"/>
      <c r="F222" s="104"/>
      <c r="G222" s="103"/>
      <c r="H222" s="103"/>
      <c r="I222" s="157"/>
      <c r="Q222" s="103"/>
      <c r="R222" s="103"/>
      <c r="S222" s="103"/>
      <c r="T222" s="270"/>
      <c r="U222" s="103"/>
      <c r="V222" s="271"/>
    </row>
    <row r="223">
      <c r="B223" s="103"/>
      <c r="C223" s="103"/>
      <c r="D223" s="103"/>
      <c r="E223" s="103"/>
      <c r="F223" s="104"/>
      <c r="G223" s="103"/>
      <c r="H223" s="103"/>
      <c r="I223" s="157"/>
      <c r="Q223" s="103"/>
      <c r="R223" s="103"/>
      <c r="S223" s="103"/>
      <c r="T223" s="270"/>
      <c r="U223" s="103"/>
      <c r="V223" s="271"/>
    </row>
    <row r="224">
      <c r="B224" s="103"/>
      <c r="C224" s="103"/>
      <c r="D224" s="103"/>
      <c r="E224" s="103"/>
      <c r="F224" s="104"/>
      <c r="G224" s="103"/>
      <c r="H224" s="103"/>
      <c r="I224" s="157"/>
      <c r="Q224" s="103"/>
      <c r="R224" s="103"/>
      <c r="S224" s="103"/>
      <c r="T224" s="270"/>
      <c r="U224" s="103"/>
      <c r="V224" s="271"/>
    </row>
    <row r="225">
      <c r="B225" s="103"/>
      <c r="C225" s="103"/>
      <c r="D225" s="103"/>
      <c r="E225" s="103"/>
      <c r="F225" s="104"/>
      <c r="G225" s="103"/>
      <c r="H225" s="103"/>
      <c r="I225" s="157"/>
      <c r="Q225" s="103"/>
      <c r="R225" s="103"/>
      <c r="S225" s="103"/>
      <c r="T225" s="270"/>
      <c r="U225" s="103"/>
      <c r="V225" s="271"/>
    </row>
    <row r="226">
      <c r="B226" s="103"/>
      <c r="C226" s="103"/>
      <c r="D226" s="103"/>
      <c r="E226" s="103"/>
      <c r="F226" s="104"/>
      <c r="G226" s="103"/>
      <c r="H226" s="103"/>
      <c r="I226" s="157"/>
      <c r="Q226" s="103"/>
      <c r="R226" s="103"/>
      <c r="S226" s="103"/>
      <c r="T226" s="270"/>
      <c r="U226" s="103"/>
      <c r="V226" s="271"/>
    </row>
    <row r="227">
      <c r="B227" s="103"/>
      <c r="C227" s="103"/>
      <c r="D227" s="103"/>
      <c r="E227" s="103"/>
      <c r="F227" s="104"/>
      <c r="G227" s="103"/>
      <c r="H227" s="103"/>
      <c r="I227" s="157"/>
      <c r="Q227" s="103"/>
      <c r="R227" s="103"/>
      <c r="S227" s="103"/>
      <c r="T227" s="270"/>
      <c r="U227" s="103"/>
      <c r="V227" s="271"/>
    </row>
    <row r="228">
      <c r="B228" s="103"/>
      <c r="C228" s="103"/>
      <c r="D228" s="103"/>
      <c r="E228" s="103"/>
      <c r="F228" s="104"/>
      <c r="G228" s="103"/>
      <c r="H228" s="103"/>
      <c r="I228" s="157"/>
      <c r="Q228" s="103"/>
      <c r="R228" s="103"/>
      <c r="S228" s="103"/>
      <c r="T228" s="270"/>
      <c r="U228" s="103"/>
      <c r="V228" s="271"/>
    </row>
    <row r="229">
      <c r="B229" s="103"/>
      <c r="C229" s="103"/>
      <c r="D229" s="103"/>
      <c r="E229" s="103"/>
      <c r="F229" s="104"/>
      <c r="G229" s="103"/>
      <c r="H229" s="103"/>
      <c r="I229" s="157"/>
      <c r="Q229" s="103"/>
      <c r="R229" s="103"/>
      <c r="S229" s="103"/>
      <c r="T229" s="270"/>
      <c r="U229" s="103"/>
      <c r="V229" s="271"/>
    </row>
    <row r="230">
      <c r="B230" s="103"/>
      <c r="C230" s="103"/>
      <c r="D230" s="103"/>
      <c r="E230" s="103"/>
      <c r="F230" s="104"/>
      <c r="G230" s="103"/>
      <c r="H230" s="103"/>
      <c r="I230" s="157"/>
      <c r="Q230" s="103"/>
      <c r="R230" s="103"/>
      <c r="S230" s="103"/>
      <c r="T230" s="270"/>
      <c r="U230" s="103"/>
      <c r="V230" s="271"/>
    </row>
    <row r="231">
      <c r="B231" s="103"/>
      <c r="C231" s="103"/>
      <c r="D231" s="103"/>
      <c r="E231" s="103"/>
      <c r="F231" s="104"/>
      <c r="G231" s="103"/>
      <c r="H231" s="103"/>
      <c r="I231" s="157"/>
      <c r="Q231" s="103"/>
      <c r="R231" s="103"/>
      <c r="S231" s="103"/>
      <c r="T231" s="270"/>
      <c r="U231" s="103"/>
      <c r="V231" s="271"/>
    </row>
    <row r="232">
      <c r="B232" s="103"/>
      <c r="C232" s="103"/>
      <c r="D232" s="103"/>
      <c r="E232" s="103"/>
      <c r="F232" s="104"/>
      <c r="G232" s="103"/>
      <c r="H232" s="103"/>
      <c r="I232" s="157"/>
      <c r="Q232" s="103"/>
      <c r="R232" s="103"/>
      <c r="S232" s="103"/>
      <c r="T232" s="270"/>
      <c r="U232" s="103"/>
      <c r="V232" s="271"/>
    </row>
    <row r="233">
      <c r="B233" s="103"/>
      <c r="C233" s="103"/>
      <c r="D233" s="103"/>
      <c r="E233" s="103"/>
      <c r="F233" s="104"/>
      <c r="G233" s="103"/>
      <c r="H233" s="103"/>
      <c r="I233" s="157"/>
      <c r="Q233" s="103"/>
      <c r="R233" s="103"/>
      <c r="S233" s="103"/>
      <c r="T233" s="270"/>
      <c r="U233" s="103"/>
      <c r="V233" s="271"/>
    </row>
    <row r="234">
      <c r="B234" s="103"/>
      <c r="C234" s="103"/>
      <c r="D234" s="103"/>
      <c r="E234" s="103"/>
      <c r="F234" s="104"/>
      <c r="G234" s="103"/>
      <c r="H234" s="103"/>
      <c r="I234" s="157"/>
      <c r="Q234" s="103"/>
      <c r="R234" s="103"/>
      <c r="S234" s="103"/>
      <c r="T234" s="270"/>
      <c r="U234" s="103"/>
      <c r="V234" s="271"/>
    </row>
    <row r="235">
      <c r="B235" s="103"/>
      <c r="C235" s="103"/>
      <c r="D235" s="103"/>
      <c r="E235" s="103"/>
      <c r="F235" s="104"/>
      <c r="G235" s="103"/>
      <c r="H235" s="103"/>
      <c r="I235" s="157"/>
      <c r="Q235" s="103"/>
      <c r="R235" s="103"/>
      <c r="S235" s="103"/>
      <c r="T235" s="270"/>
      <c r="U235" s="103"/>
      <c r="V235" s="271"/>
    </row>
    <row r="236">
      <c r="B236" s="103"/>
      <c r="C236" s="103"/>
      <c r="D236" s="103"/>
      <c r="E236" s="103"/>
      <c r="F236" s="104"/>
      <c r="G236" s="103"/>
      <c r="H236" s="103"/>
      <c r="I236" s="157"/>
      <c r="Q236" s="103"/>
      <c r="R236" s="103"/>
      <c r="S236" s="103"/>
      <c r="T236" s="270"/>
      <c r="U236" s="103"/>
      <c r="V236" s="271"/>
    </row>
    <row r="237">
      <c r="B237" s="103"/>
      <c r="C237" s="103"/>
      <c r="D237" s="103"/>
      <c r="E237" s="103"/>
      <c r="F237" s="104"/>
      <c r="G237" s="103"/>
      <c r="H237" s="103"/>
      <c r="I237" s="157"/>
      <c r="Q237" s="103"/>
      <c r="R237" s="103"/>
      <c r="S237" s="103"/>
      <c r="T237" s="270"/>
      <c r="U237" s="103"/>
      <c r="V237" s="271"/>
    </row>
    <row r="238">
      <c r="B238" s="103"/>
      <c r="C238" s="103"/>
      <c r="D238" s="103"/>
      <c r="E238" s="103"/>
      <c r="F238" s="104"/>
      <c r="G238" s="103"/>
      <c r="H238" s="103"/>
      <c r="I238" s="157"/>
      <c r="Q238" s="103"/>
      <c r="R238" s="103"/>
      <c r="S238" s="103"/>
      <c r="T238" s="270"/>
      <c r="U238" s="103"/>
      <c r="V238" s="271"/>
    </row>
    <row r="239">
      <c r="B239" s="103"/>
      <c r="C239" s="103"/>
      <c r="D239" s="103"/>
      <c r="E239" s="103"/>
      <c r="F239" s="104"/>
      <c r="G239" s="103"/>
      <c r="H239" s="103"/>
      <c r="I239" s="157"/>
      <c r="Q239" s="103"/>
      <c r="R239" s="103"/>
      <c r="S239" s="103"/>
      <c r="T239" s="270"/>
      <c r="U239" s="103"/>
      <c r="V239" s="271"/>
    </row>
    <row r="240">
      <c r="B240" s="103"/>
      <c r="C240" s="103"/>
      <c r="D240" s="103"/>
      <c r="E240" s="103"/>
      <c r="F240" s="104"/>
      <c r="G240" s="103"/>
      <c r="H240" s="103"/>
      <c r="I240" s="157"/>
      <c r="Q240" s="103"/>
      <c r="R240" s="103"/>
      <c r="S240" s="103"/>
      <c r="T240" s="270"/>
      <c r="U240" s="103"/>
      <c r="V240" s="271"/>
    </row>
    <row r="241">
      <c r="B241" s="103"/>
      <c r="C241" s="103"/>
      <c r="D241" s="103"/>
      <c r="E241" s="103"/>
      <c r="F241" s="104"/>
      <c r="G241" s="103"/>
      <c r="H241" s="103"/>
      <c r="I241" s="157"/>
      <c r="Q241" s="103"/>
      <c r="R241" s="103"/>
      <c r="S241" s="103"/>
      <c r="T241" s="270"/>
      <c r="U241" s="103"/>
      <c r="V241" s="271"/>
    </row>
    <row r="242">
      <c r="B242" s="103"/>
      <c r="C242" s="103"/>
      <c r="D242" s="103"/>
      <c r="E242" s="103"/>
      <c r="F242" s="104"/>
      <c r="G242" s="103"/>
      <c r="H242" s="103"/>
      <c r="I242" s="157"/>
      <c r="Q242" s="103"/>
      <c r="R242" s="103"/>
      <c r="S242" s="103"/>
      <c r="T242" s="270"/>
      <c r="U242" s="103"/>
      <c r="V242" s="271"/>
    </row>
    <row r="243">
      <c r="B243" s="103"/>
      <c r="C243" s="103"/>
      <c r="D243" s="103"/>
      <c r="E243" s="103"/>
      <c r="F243" s="104"/>
      <c r="G243" s="103"/>
      <c r="H243" s="103"/>
      <c r="I243" s="157"/>
      <c r="Q243" s="103"/>
      <c r="R243" s="103"/>
      <c r="S243" s="103"/>
      <c r="T243" s="270"/>
      <c r="U243" s="103"/>
      <c r="V243" s="271"/>
    </row>
    <row r="244">
      <c r="B244" s="103"/>
      <c r="C244" s="103"/>
      <c r="D244" s="103"/>
      <c r="E244" s="103"/>
      <c r="F244" s="104"/>
      <c r="G244" s="103"/>
      <c r="H244" s="103"/>
      <c r="I244" s="157"/>
      <c r="Q244" s="103"/>
      <c r="R244" s="103"/>
      <c r="S244" s="103"/>
      <c r="T244" s="270"/>
      <c r="U244" s="103"/>
      <c r="V244" s="271"/>
    </row>
    <row r="245">
      <c r="B245" s="103"/>
      <c r="C245" s="103"/>
      <c r="D245" s="103"/>
      <c r="E245" s="103"/>
      <c r="F245" s="104"/>
      <c r="G245" s="103"/>
      <c r="H245" s="103"/>
      <c r="I245" s="157"/>
      <c r="Q245" s="103"/>
      <c r="R245" s="103"/>
      <c r="S245" s="103"/>
      <c r="T245" s="270"/>
      <c r="U245" s="103"/>
      <c r="V245" s="271"/>
    </row>
    <row r="246">
      <c r="B246" s="103"/>
      <c r="C246" s="103"/>
      <c r="D246" s="103"/>
      <c r="E246" s="103"/>
      <c r="F246" s="104"/>
      <c r="G246" s="103"/>
      <c r="H246" s="103"/>
      <c r="I246" s="157"/>
      <c r="Q246" s="103"/>
      <c r="R246" s="103"/>
      <c r="S246" s="103"/>
      <c r="T246" s="270"/>
      <c r="U246" s="103"/>
      <c r="V246" s="271"/>
    </row>
    <row r="247">
      <c r="B247" s="103"/>
      <c r="C247" s="103"/>
      <c r="D247" s="103"/>
      <c r="E247" s="103"/>
      <c r="F247" s="104"/>
      <c r="G247" s="103"/>
      <c r="H247" s="103"/>
      <c r="I247" s="157"/>
      <c r="Q247" s="103"/>
      <c r="R247" s="103"/>
      <c r="S247" s="103"/>
      <c r="T247" s="270"/>
      <c r="U247" s="103"/>
      <c r="V247" s="271"/>
    </row>
    <row r="248">
      <c r="B248" s="103"/>
      <c r="C248" s="103"/>
      <c r="D248" s="103"/>
      <c r="E248" s="103"/>
      <c r="F248" s="104"/>
      <c r="G248" s="103"/>
      <c r="H248" s="103"/>
      <c r="I248" s="157"/>
      <c r="Q248" s="103"/>
      <c r="R248" s="103"/>
      <c r="S248" s="103"/>
      <c r="T248" s="270"/>
      <c r="U248" s="103"/>
      <c r="V248" s="271"/>
    </row>
    <row r="249">
      <c r="B249" s="103"/>
      <c r="C249" s="103"/>
      <c r="D249" s="103"/>
      <c r="E249" s="103"/>
      <c r="F249" s="104"/>
      <c r="G249" s="103"/>
      <c r="H249" s="103"/>
      <c r="I249" s="157"/>
      <c r="Q249" s="103"/>
      <c r="R249" s="103"/>
      <c r="S249" s="103"/>
      <c r="T249" s="270"/>
      <c r="U249" s="103"/>
      <c r="V249" s="271"/>
    </row>
    <row r="250">
      <c r="B250" s="103"/>
      <c r="C250" s="103"/>
      <c r="D250" s="103"/>
      <c r="E250" s="103"/>
      <c r="F250" s="104"/>
      <c r="G250" s="103"/>
      <c r="H250" s="103"/>
      <c r="I250" s="157"/>
      <c r="Q250" s="103"/>
      <c r="R250" s="103"/>
      <c r="S250" s="103"/>
      <c r="T250" s="270"/>
      <c r="U250" s="103"/>
      <c r="V250" s="271"/>
    </row>
    <row r="251">
      <c r="B251" s="103"/>
      <c r="C251" s="103"/>
      <c r="D251" s="103"/>
      <c r="E251" s="103"/>
      <c r="F251" s="104"/>
      <c r="G251" s="103"/>
      <c r="H251" s="103"/>
      <c r="I251" s="157"/>
      <c r="Q251" s="103"/>
      <c r="R251" s="103"/>
      <c r="S251" s="103"/>
      <c r="T251" s="270"/>
      <c r="U251" s="103"/>
      <c r="V251" s="271"/>
    </row>
    <row r="252">
      <c r="B252" s="103"/>
      <c r="C252" s="103"/>
      <c r="D252" s="103"/>
      <c r="E252" s="103"/>
      <c r="F252" s="104"/>
      <c r="G252" s="103"/>
      <c r="H252" s="103"/>
      <c r="I252" s="157"/>
      <c r="Q252" s="103"/>
      <c r="R252" s="103"/>
      <c r="S252" s="103"/>
      <c r="T252" s="270"/>
      <c r="U252" s="103"/>
      <c r="V252" s="271"/>
    </row>
    <row r="253">
      <c r="B253" s="103"/>
      <c r="C253" s="103"/>
      <c r="D253" s="103"/>
      <c r="E253" s="103"/>
      <c r="F253" s="104"/>
      <c r="G253" s="103"/>
      <c r="H253" s="103"/>
      <c r="I253" s="157"/>
      <c r="Q253" s="103"/>
      <c r="R253" s="103"/>
      <c r="S253" s="103"/>
      <c r="T253" s="270"/>
      <c r="U253" s="103"/>
      <c r="V253" s="271"/>
    </row>
    <row r="254">
      <c r="B254" s="103"/>
      <c r="C254" s="103"/>
      <c r="D254" s="103"/>
      <c r="E254" s="103"/>
      <c r="F254" s="104"/>
      <c r="G254" s="103"/>
      <c r="H254" s="103"/>
      <c r="I254" s="157"/>
      <c r="Q254" s="103"/>
      <c r="R254" s="103"/>
      <c r="S254" s="103"/>
      <c r="T254" s="270"/>
      <c r="U254" s="103"/>
      <c r="V254" s="271"/>
    </row>
    <row r="255">
      <c r="B255" s="103"/>
      <c r="C255" s="103"/>
      <c r="D255" s="103"/>
      <c r="E255" s="103"/>
      <c r="F255" s="104"/>
      <c r="G255" s="103"/>
      <c r="H255" s="103"/>
      <c r="I255" s="157"/>
      <c r="Q255" s="103"/>
      <c r="R255" s="103"/>
      <c r="S255" s="103"/>
      <c r="T255" s="270"/>
      <c r="U255" s="103"/>
      <c r="V255" s="271"/>
    </row>
    <row r="256">
      <c r="B256" s="103"/>
      <c r="C256" s="103"/>
      <c r="D256" s="103"/>
      <c r="E256" s="103"/>
      <c r="F256" s="104"/>
      <c r="G256" s="103"/>
      <c r="H256" s="103"/>
      <c r="I256" s="157"/>
      <c r="Q256" s="103"/>
      <c r="R256" s="103"/>
      <c r="S256" s="103"/>
      <c r="T256" s="270"/>
      <c r="U256" s="103"/>
      <c r="V256" s="271"/>
    </row>
    <row r="257">
      <c r="B257" s="103"/>
      <c r="C257" s="103"/>
      <c r="D257" s="103"/>
      <c r="E257" s="103"/>
      <c r="F257" s="104"/>
      <c r="G257" s="103"/>
      <c r="H257" s="103"/>
      <c r="I257" s="157"/>
      <c r="Q257" s="103"/>
      <c r="R257" s="103"/>
      <c r="S257" s="103"/>
      <c r="T257" s="270"/>
      <c r="U257" s="103"/>
      <c r="V257" s="271"/>
    </row>
    <row r="258">
      <c r="B258" s="103"/>
      <c r="C258" s="103"/>
      <c r="D258" s="103"/>
      <c r="E258" s="103"/>
      <c r="F258" s="104"/>
      <c r="G258" s="103"/>
      <c r="H258" s="103"/>
      <c r="I258" s="157"/>
      <c r="Q258" s="103"/>
      <c r="R258" s="103"/>
      <c r="S258" s="103"/>
      <c r="T258" s="270"/>
      <c r="U258" s="103"/>
      <c r="V258" s="271"/>
    </row>
    <row r="259">
      <c r="B259" s="103"/>
      <c r="C259" s="103"/>
      <c r="D259" s="103"/>
      <c r="E259" s="103"/>
      <c r="F259" s="104"/>
      <c r="G259" s="103"/>
      <c r="H259" s="103"/>
      <c r="I259" s="157"/>
      <c r="Q259" s="103"/>
      <c r="R259" s="103"/>
      <c r="S259" s="103"/>
      <c r="T259" s="270"/>
      <c r="U259" s="103"/>
      <c r="V259" s="271"/>
    </row>
    <row r="260">
      <c r="B260" s="103"/>
      <c r="C260" s="103"/>
      <c r="D260" s="103"/>
      <c r="E260" s="103"/>
      <c r="F260" s="104"/>
      <c r="G260" s="103"/>
      <c r="H260" s="103"/>
      <c r="I260" s="157"/>
      <c r="Q260" s="103"/>
      <c r="R260" s="103"/>
      <c r="S260" s="103"/>
      <c r="T260" s="270"/>
      <c r="U260" s="103"/>
      <c r="V260" s="271"/>
    </row>
    <row r="261">
      <c r="B261" s="103"/>
      <c r="C261" s="103"/>
      <c r="D261" s="103"/>
      <c r="E261" s="103"/>
      <c r="F261" s="104"/>
      <c r="G261" s="103"/>
      <c r="H261" s="103"/>
      <c r="I261" s="157"/>
      <c r="Q261" s="103"/>
      <c r="R261" s="103"/>
      <c r="S261" s="103"/>
      <c r="T261" s="270"/>
      <c r="U261" s="103"/>
      <c r="V261" s="271"/>
    </row>
    <row r="262">
      <c r="B262" s="103"/>
      <c r="C262" s="103"/>
      <c r="D262" s="103"/>
      <c r="E262" s="103"/>
      <c r="F262" s="104"/>
      <c r="G262" s="103"/>
      <c r="H262" s="103"/>
      <c r="I262" s="157"/>
      <c r="Q262" s="103"/>
      <c r="R262" s="103"/>
      <c r="S262" s="103"/>
      <c r="T262" s="270"/>
      <c r="U262" s="103"/>
      <c r="V262" s="271"/>
    </row>
    <row r="263">
      <c r="B263" s="103"/>
      <c r="C263" s="103"/>
      <c r="D263" s="103"/>
      <c r="E263" s="103"/>
      <c r="F263" s="104"/>
      <c r="G263" s="103"/>
      <c r="H263" s="103"/>
      <c r="I263" s="157"/>
      <c r="Q263" s="103"/>
      <c r="R263" s="103"/>
      <c r="S263" s="103"/>
      <c r="T263" s="270"/>
      <c r="U263" s="103"/>
      <c r="V263" s="271"/>
    </row>
    <row r="264">
      <c r="B264" s="103"/>
      <c r="C264" s="103"/>
      <c r="D264" s="103"/>
      <c r="E264" s="103"/>
      <c r="F264" s="104"/>
      <c r="G264" s="103"/>
      <c r="H264" s="103"/>
      <c r="I264" s="157"/>
      <c r="Q264" s="103"/>
      <c r="R264" s="103"/>
      <c r="S264" s="103"/>
      <c r="T264" s="270"/>
      <c r="U264" s="103"/>
      <c r="V264" s="271"/>
    </row>
    <row r="265">
      <c r="B265" s="103"/>
      <c r="C265" s="103"/>
      <c r="D265" s="103"/>
      <c r="E265" s="103"/>
      <c r="F265" s="104"/>
      <c r="G265" s="103"/>
      <c r="H265" s="103"/>
      <c r="I265" s="157"/>
      <c r="Q265" s="103"/>
      <c r="R265" s="103"/>
      <c r="S265" s="103"/>
      <c r="T265" s="270"/>
      <c r="U265" s="103"/>
      <c r="V265" s="271"/>
    </row>
    <row r="266">
      <c r="B266" s="103"/>
      <c r="C266" s="103"/>
      <c r="D266" s="103"/>
      <c r="E266" s="103"/>
      <c r="F266" s="104"/>
      <c r="G266" s="103"/>
      <c r="H266" s="103"/>
      <c r="I266" s="157"/>
      <c r="Q266" s="103"/>
      <c r="R266" s="103"/>
      <c r="S266" s="103"/>
      <c r="T266" s="270"/>
      <c r="U266" s="103"/>
      <c r="V266" s="271"/>
    </row>
    <row r="267">
      <c r="B267" s="103"/>
      <c r="C267" s="103"/>
      <c r="D267" s="103"/>
      <c r="E267" s="103"/>
      <c r="F267" s="104"/>
      <c r="G267" s="103"/>
      <c r="H267" s="103"/>
      <c r="I267" s="157"/>
      <c r="Q267" s="103"/>
      <c r="R267" s="103"/>
      <c r="S267" s="103"/>
      <c r="T267" s="270"/>
      <c r="U267" s="103"/>
      <c r="V267" s="271"/>
    </row>
    <row r="268">
      <c r="B268" s="103"/>
      <c r="C268" s="103"/>
      <c r="D268" s="103"/>
      <c r="E268" s="103"/>
      <c r="F268" s="104"/>
      <c r="G268" s="103"/>
      <c r="H268" s="103"/>
      <c r="I268" s="157"/>
      <c r="Q268" s="103"/>
      <c r="R268" s="103"/>
      <c r="S268" s="103"/>
      <c r="T268" s="270"/>
      <c r="U268" s="103"/>
      <c r="V268" s="271"/>
    </row>
    <row r="269">
      <c r="B269" s="103"/>
      <c r="C269" s="103"/>
      <c r="D269" s="103"/>
      <c r="E269" s="103"/>
      <c r="F269" s="104"/>
      <c r="G269" s="103"/>
      <c r="H269" s="103"/>
      <c r="I269" s="157"/>
      <c r="Q269" s="103"/>
      <c r="R269" s="103"/>
      <c r="S269" s="103"/>
      <c r="T269" s="270"/>
      <c r="U269" s="103"/>
      <c r="V269" s="271"/>
    </row>
    <row r="270">
      <c r="B270" s="103"/>
      <c r="C270" s="103"/>
      <c r="D270" s="103"/>
      <c r="E270" s="103"/>
      <c r="F270" s="104"/>
      <c r="G270" s="103"/>
      <c r="H270" s="103"/>
      <c r="I270" s="157"/>
      <c r="Q270" s="103"/>
      <c r="R270" s="103"/>
      <c r="S270" s="103"/>
      <c r="T270" s="270"/>
      <c r="U270" s="103"/>
      <c r="V270" s="271"/>
    </row>
    <row r="271">
      <c r="B271" s="103"/>
      <c r="C271" s="103"/>
      <c r="D271" s="103"/>
      <c r="E271" s="103"/>
      <c r="F271" s="104"/>
      <c r="G271" s="103"/>
      <c r="H271" s="103"/>
      <c r="I271" s="157"/>
      <c r="Q271" s="103"/>
      <c r="R271" s="103"/>
      <c r="S271" s="103"/>
      <c r="T271" s="270"/>
      <c r="U271" s="103"/>
      <c r="V271" s="271"/>
    </row>
    <row r="272">
      <c r="B272" s="103"/>
      <c r="C272" s="103"/>
      <c r="D272" s="103"/>
      <c r="E272" s="103"/>
      <c r="F272" s="104"/>
      <c r="G272" s="103"/>
      <c r="H272" s="103"/>
      <c r="I272" s="157"/>
      <c r="Q272" s="103"/>
      <c r="R272" s="103"/>
      <c r="S272" s="103"/>
      <c r="T272" s="270"/>
      <c r="U272" s="103"/>
      <c r="V272" s="271"/>
    </row>
    <row r="273">
      <c r="B273" s="103"/>
      <c r="C273" s="103"/>
      <c r="D273" s="103"/>
      <c r="E273" s="103"/>
      <c r="F273" s="104"/>
      <c r="G273" s="103"/>
      <c r="H273" s="103"/>
      <c r="I273" s="157"/>
      <c r="Q273" s="103"/>
      <c r="R273" s="103"/>
      <c r="S273" s="103"/>
      <c r="T273" s="270"/>
      <c r="U273" s="103"/>
      <c r="V273" s="271"/>
    </row>
    <row r="274">
      <c r="B274" s="103"/>
      <c r="C274" s="103"/>
      <c r="D274" s="103"/>
      <c r="E274" s="103"/>
      <c r="F274" s="104"/>
      <c r="G274" s="103"/>
      <c r="H274" s="103"/>
      <c r="I274" s="157"/>
      <c r="Q274" s="103"/>
      <c r="R274" s="103"/>
      <c r="S274" s="103"/>
      <c r="T274" s="270"/>
      <c r="U274" s="103"/>
      <c r="V274" s="271"/>
    </row>
    <row r="275">
      <c r="B275" s="103"/>
      <c r="C275" s="103"/>
      <c r="D275" s="103"/>
      <c r="E275" s="103"/>
      <c r="F275" s="104"/>
      <c r="G275" s="103"/>
      <c r="H275" s="103"/>
      <c r="I275" s="157"/>
      <c r="Q275" s="103"/>
      <c r="R275" s="103"/>
      <c r="S275" s="103"/>
      <c r="T275" s="270"/>
      <c r="U275" s="103"/>
      <c r="V275" s="271"/>
    </row>
    <row r="276">
      <c r="B276" s="103"/>
      <c r="C276" s="103"/>
      <c r="D276" s="103"/>
      <c r="E276" s="103"/>
      <c r="F276" s="104"/>
      <c r="G276" s="103"/>
      <c r="H276" s="103"/>
      <c r="I276" s="157"/>
      <c r="Q276" s="103"/>
      <c r="R276" s="103"/>
      <c r="S276" s="103"/>
      <c r="T276" s="270"/>
      <c r="U276" s="103"/>
      <c r="V276" s="271"/>
    </row>
    <row r="277">
      <c r="B277" s="103"/>
      <c r="C277" s="103"/>
      <c r="D277" s="103"/>
      <c r="E277" s="103"/>
      <c r="F277" s="104"/>
      <c r="G277" s="103"/>
      <c r="H277" s="103"/>
      <c r="I277" s="157"/>
      <c r="Q277" s="103"/>
      <c r="R277" s="103"/>
      <c r="S277" s="103"/>
      <c r="T277" s="270"/>
      <c r="U277" s="103"/>
      <c r="V277" s="271"/>
    </row>
    <row r="278">
      <c r="B278" s="103"/>
      <c r="C278" s="103"/>
      <c r="D278" s="103"/>
      <c r="E278" s="103"/>
      <c r="F278" s="104"/>
      <c r="G278" s="103"/>
      <c r="H278" s="103"/>
      <c r="I278" s="157"/>
      <c r="Q278" s="103"/>
      <c r="R278" s="103"/>
      <c r="S278" s="103"/>
      <c r="T278" s="270"/>
      <c r="U278" s="103"/>
      <c r="V278" s="271"/>
    </row>
    <row r="279">
      <c r="B279" s="103"/>
      <c r="C279" s="103"/>
      <c r="D279" s="103"/>
      <c r="E279" s="103"/>
      <c r="F279" s="104"/>
      <c r="G279" s="103"/>
      <c r="H279" s="103"/>
      <c r="I279" s="157"/>
      <c r="Q279" s="103"/>
      <c r="R279" s="103"/>
      <c r="S279" s="103"/>
      <c r="T279" s="270"/>
      <c r="U279" s="103"/>
      <c r="V279" s="271"/>
    </row>
    <row r="280">
      <c r="B280" s="103"/>
      <c r="C280" s="103"/>
      <c r="D280" s="103"/>
      <c r="E280" s="103"/>
      <c r="F280" s="104"/>
      <c r="G280" s="103"/>
      <c r="H280" s="103"/>
      <c r="I280" s="157"/>
      <c r="Q280" s="103"/>
      <c r="R280" s="103"/>
      <c r="S280" s="103"/>
      <c r="T280" s="270"/>
      <c r="U280" s="103"/>
      <c r="V280" s="271"/>
    </row>
    <row r="281">
      <c r="B281" s="103"/>
      <c r="C281" s="103"/>
      <c r="D281" s="103"/>
      <c r="E281" s="103"/>
      <c r="F281" s="104"/>
      <c r="G281" s="103"/>
      <c r="H281" s="103"/>
      <c r="I281" s="157"/>
      <c r="Q281" s="103"/>
      <c r="R281" s="103"/>
      <c r="S281" s="103"/>
      <c r="T281" s="270"/>
      <c r="U281" s="103"/>
      <c r="V281" s="271"/>
    </row>
    <row r="282">
      <c r="B282" s="103"/>
      <c r="C282" s="103"/>
      <c r="D282" s="103"/>
      <c r="E282" s="103"/>
      <c r="F282" s="104"/>
      <c r="G282" s="103"/>
      <c r="H282" s="103"/>
      <c r="I282" s="157"/>
      <c r="Q282" s="103"/>
      <c r="R282" s="103"/>
      <c r="S282" s="103"/>
      <c r="T282" s="270"/>
      <c r="U282" s="103"/>
      <c r="V282" s="271"/>
    </row>
    <row r="283">
      <c r="B283" s="103"/>
      <c r="C283" s="103"/>
      <c r="D283" s="103"/>
      <c r="E283" s="103"/>
      <c r="F283" s="104"/>
      <c r="G283" s="103"/>
      <c r="H283" s="103"/>
      <c r="I283" s="157"/>
      <c r="Q283" s="103"/>
      <c r="R283" s="103"/>
      <c r="S283" s="103"/>
      <c r="T283" s="270"/>
      <c r="U283" s="103"/>
      <c r="V283" s="271"/>
    </row>
    <row r="284">
      <c r="B284" s="103"/>
      <c r="C284" s="103"/>
      <c r="D284" s="103"/>
      <c r="E284" s="103"/>
      <c r="F284" s="104"/>
      <c r="G284" s="103"/>
      <c r="H284" s="103"/>
      <c r="I284" s="157"/>
      <c r="Q284" s="103"/>
      <c r="R284" s="103"/>
      <c r="S284" s="103"/>
      <c r="T284" s="270"/>
      <c r="U284" s="103"/>
      <c r="V284" s="271"/>
    </row>
    <row r="285">
      <c r="B285" s="103"/>
      <c r="C285" s="103"/>
      <c r="D285" s="103"/>
      <c r="E285" s="103"/>
      <c r="F285" s="104"/>
      <c r="G285" s="103"/>
      <c r="H285" s="103"/>
      <c r="I285" s="157"/>
      <c r="Q285" s="103"/>
      <c r="R285" s="103"/>
      <c r="S285" s="103"/>
      <c r="T285" s="270"/>
      <c r="U285" s="103"/>
      <c r="V285" s="271"/>
    </row>
    <row r="286">
      <c r="B286" s="103"/>
      <c r="C286" s="103"/>
      <c r="D286" s="103"/>
      <c r="E286" s="103"/>
      <c r="F286" s="104"/>
      <c r="G286" s="103"/>
      <c r="H286" s="103"/>
      <c r="I286" s="157"/>
      <c r="Q286" s="103"/>
      <c r="R286" s="103"/>
      <c r="S286" s="103"/>
      <c r="T286" s="270"/>
      <c r="U286" s="103"/>
      <c r="V286" s="271"/>
    </row>
    <row r="287">
      <c r="B287" s="103"/>
      <c r="C287" s="103"/>
      <c r="D287" s="103"/>
      <c r="E287" s="103"/>
      <c r="F287" s="104"/>
      <c r="G287" s="103"/>
      <c r="H287" s="103"/>
      <c r="I287" s="157"/>
      <c r="Q287" s="103"/>
      <c r="R287" s="103"/>
      <c r="S287" s="103"/>
      <c r="T287" s="270"/>
      <c r="U287" s="103"/>
      <c r="V287" s="271"/>
    </row>
    <row r="288">
      <c r="B288" s="103"/>
      <c r="C288" s="103"/>
      <c r="D288" s="103"/>
      <c r="E288" s="103"/>
      <c r="F288" s="104"/>
      <c r="G288" s="103"/>
      <c r="H288" s="103"/>
      <c r="I288" s="157"/>
      <c r="Q288" s="103"/>
      <c r="R288" s="103"/>
      <c r="S288" s="103"/>
      <c r="T288" s="270"/>
      <c r="U288" s="103"/>
      <c r="V288" s="271"/>
    </row>
    <row r="289">
      <c r="B289" s="103"/>
      <c r="C289" s="103"/>
      <c r="D289" s="103"/>
      <c r="E289" s="103"/>
      <c r="F289" s="104"/>
      <c r="G289" s="103"/>
      <c r="H289" s="103"/>
      <c r="I289" s="157"/>
      <c r="Q289" s="103"/>
      <c r="R289" s="103"/>
      <c r="S289" s="103"/>
      <c r="T289" s="270"/>
      <c r="U289" s="103"/>
      <c r="V289" s="271"/>
    </row>
    <row r="290">
      <c r="B290" s="103"/>
      <c r="C290" s="103"/>
      <c r="D290" s="103"/>
      <c r="E290" s="103"/>
      <c r="F290" s="104"/>
      <c r="G290" s="103"/>
      <c r="H290" s="103"/>
      <c r="I290" s="157"/>
      <c r="Q290" s="103"/>
      <c r="R290" s="103"/>
      <c r="S290" s="103"/>
      <c r="T290" s="270"/>
      <c r="U290" s="103"/>
      <c r="V290" s="271"/>
    </row>
    <row r="291">
      <c r="B291" s="103"/>
      <c r="C291" s="103"/>
      <c r="D291" s="103"/>
      <c r="E291" s="103"/>
      <c r="F291" s="104"/>
      <c r="G291" s="103"/>
      <c r="H291" s="103"/>
      <c r="I291" s="157"/>
      <c r="Q291" s="103"/>
      <c r="R291" s="103"/>
      <c r="S291" s="103"/>
      <c r="T291" s="270"/>
      <c r="U291" s="103"/>
      <c r="V291" s="271"/>
    </row>
    <row r="292">
      <c r="B292" s="103"/>
      <c r="C292" s="103"/>
      <c r="D292" s="103"/>
      <c r="E292" s="103"/>
      <c r="F292" s="104"/>
      <c r="G292" s="103"/>
      <c r="H292" s="103"/>
      <c r="I292" s="157"/>
      <c r="Q292" s="103"/>
      <c r="R292" s="103"/>
      <c r="S292" s="103"/>
      <c r="T292" s="270"/>
      <c r="U292" s="103"/>
      <c r="V292" s="271"/>
    </row>
    <row r="293">
      <c r="B293" s="103"/>
      <c r="C293" s="103"/>
      <c r="D293" s="103"/>
      <c r="E293" s="103"/>
      <c r="F293" s="104"/>
      <c r="G293" s="103"/>
      <c r="H293" s="103"/>
      <c r="I293" s="157"/>
      <c r="Q293" s="103"/>
      <c r="R293" s="103"/>
      <c r="S293" s="103"/>
      <c r="T293" s="270"/>
      <c r="U293" s="103"/>
      <c r="V293" s="271"/>
    </row>
    <row r="294">
      <c r="B294" s="103"/>
      <c r="C294" s="103"/>
      <c r="D294" s="103"/>
      <c r="E294" s="103"/>
      <c r="F294" s="104"/>
      <c r="G294" s="103"/>
      <c r="H294" s="103"/>
      <c r="I294" s="157"/>
      <c r="Q294" s="103"/>
      <c r="R294" s="103"/>
      <c r="S294" s="103"/>
      <c r="T294" s="270"/>
      <c r="U294" s="103"/>
      <c r="V294" s="271"/>
    </row>
    <row r="295">
      <c r="B295" s="103"/>
      <c r="C295" s="103"/>
      <c r="D295" s="103"/>
      <c r="E295" s="103"/>
      <c r="F295" s="104"/>
      <c r="G295" s="103"/>
      <c r="H295" s="103"/>
      <c r="I295" s="157"/>
      <c r="Q295" s="103"/>
      <c r="R295" s="103"/>
      <c r="S295" s="103"/>
      <c r="T295" s="270"/>
      <c r="U295" s="103"/>
      <c r="V295" s="271"/>
    </row>
    <row r="296">
      <c r="B296" s="103"/>
      <c r="C296" s="103"/>
      <c r="D296" s="103"/>
      <c r="E296" s="103"/>
      <c r="F296" s="104"/>
      <c r="G296" s="103"/>
      <c r="H296" s="103"/>
      <c r="I296" s="157"/>
      <c r="Q296" s="103"/>
      <c r="R296" s="103"/>
      <c r="S296" s="103"/>
      <c r="T296" s="270"/>
      <c r="U296" s="103"/>
      <c r="V296" s="271"/>
    </row>
    <row r="297">
      <c r="B297" s="103"/>
      <c r="C297" s="103"/>
      <c r="D297" s="103"/>
      <c r="E297" s="103"/>
      <c r="F297" s="104"/>
      <c r="G297" s="103"/>
      <c r="H297" s="103"/>
      <c r="I297" s="157"/>
      <c r="Q297" s="103"/>
      <c r="R297" s="103"/>
      <c r="S297" s="103"/>
      <c r="T297" s="270"/>
      <c r="U297" s="103"/>
      <c r="V297" s="271"/>
    </row>
    <row r="298">
      <c r="B298" s="103"/>
      <c r="C298" s="103"/>
      <c r="D298" s="103"/>
      <c r="E298" s="103"/>
      <c r="F298" s="104"/>
      <c r="G298" s="103"/>
      <c r="H298" s="103"/>
      <c r="I298" s="157"/>
      <c r="Q298" s="103"/>
      <c r="R298" s="103"/>
      <c r="S298" s="103"/>
      <c r="T298" s="270"/>
      <c r="U298" s="103"/>
      <c r="V298" s="271"/>
    </row>
    <row r="299">
      <c r="B299" s="103"/>
      <c r="C299" s="103"/>
      <c r="D299" s="103"/>
      <c r="E299" s="103"/>
      <c r="F299" s="104"/>
      <c r="G299" s="103"/>
      <c r="H299" s="103"/>
      <c r="I299" s="157"/>
      <c r="Q299" s="103"/>
      <c r="R299" s="103"/>
      <c r="S299" s="103"/>
      <c r="T299" s="270"/>
      <c r="U299" s="103"/>
      <c r="V299" s="271"/>
    </row>
    <row r="300">
      <c r="B300" s="103"/>
      <c r="C300" s="103"/>
      <c r="D300" s="103"/>
      <c r="E300" s="103"/>
      <c r="F300" s="104"/>
      <c r="G300" s="103"/>
      <c r="H300" s="103"/>
      <c r="I300" s="157"/>
      <c r="Q300" s="103"/>
      <c r="R300" s="103"/>
      <c r="S300" s="103"/>
      <c r="T300" s="270"/>
      <c r="U300" s="103"/>
      <c r="V300" s="271"/>
    </row>
    <row r="301">
      <c r="B301" s="103"/>
      <c r="C301" s="103"/>
      <c r="D301" s="103"/>
      <c r="E301" s="103"/>
      <c r="F301" s="104"/>
      <c r="G301" s="103"/>
      <c r="H301" s="103"/>
      <c r="I301" s="157"/>
      <c r="Q301" s="103"/>
      <c r="R301" s="103"/>
      <c r="S301" s="103"/>
      <c r="T301" s="270"/>
      <c r="U301" s="103"/>
      <c r="V301" s="271"/>
    </row>
    <row r="302">
      <c r="B302" s="103"/>
      <c r="C302" s="103"/>
      <c r="D302" s="103"/>
      <c r="E302" s="103"/>
      <c r="F302" s="104"/>
      <c r="G302" s="103"/>
      <c r="H302" s="103"/>
      <c r="I302" s="157"/>
      <c r="Q302" s="103"/>
      <c r="R302" s="103"/>
      <c r="S302" s="103"/>
      <c r="T302" s="270"/>
      <c r="U302" s="103"/>
      <c r="V302" s="271"/>
    </row>
    <row r="303">
      <c r="B303" s="103"/>
      <c r="C303" s="103"/>
      <c r="D303" s="103"/>
      <c r="E303" s="103"/>
      <c r="F303" s="104"/>
      <c r="G303" s="103"/>
      <c r="H303" s="103"/>
      <c r="I303" s="157"/>
      <c r="Q303" s="103"/>
      <c r="R303" s="103"/>
      <c r="S303" s="103"/>
      <c r="T303" s="270"/>
      <c r="U303" s="103"/>
      <c r="V303" s="271"/>
    </row>
    <row r="304">
      <c r="B304" s="103"/>
      <c r="C304" s="103"/>
      <c r="D304" s="103"/>
      <c r="E304" s="103"/>
      <c r="F304" s="104"/>
      <c r="G304" s="103"/>
      <c r="H304" s="103"/>
      <c r="I304" s="157"/>
      <c r="Q304" s="103"/>
      <c r="R304" s="103"/>
      <c r="S304" s="103"/>
      <c r="T304" s="270"/>
      <c r="U304" s="103"/>
      <c r="V304" s="271"/>
    </row>
    <row r="305">
      <c r="B305" s="103"/>
      <c r="C305" s="103"/>
      <c r="D305" s="103"/>
      <c r="E305" s="103"/>
      <c r="F305" s="104"/>
      <c r="G305" s="103"/>
      <c r="H305" s="103"/>
      <c r="I305" s="157"/>
      <c r="Q305" s="103"/>
      <c r="R305" s="103"/>
      <c r="S305" s="103"/>
      <c r="T305" s="270"/>
      <c r="U305" s="103"/>
      <c r="V305" s="271"/>
    </row>
    <row r="306">
      <c r="B306" s="103"/>
      <c r="C306" s="103"/>
      <c r="D306" s="103"/>
      <c r="E306" s="103"/>
      <c r="F306" s="104"/>
      <c r="G306" s="103"/>
      <c r="H306" s="103"/>
      <c r="I306" s="157"/>
      <c r="Q306" s="103"/>
      <c r="R306" s="103"/>
      <c r="S306" s="103"/>
      <c r="T306" s="270"/>
      <c r="U306" s="103"/>
      <c r="V306" s="271"/>
    </row>
    <row r="307">
      <c r="B307" s="103"/>
      <c r="C307" s="103"/>
      <c r="D307" s="103"/>
      <c r="E307" s="103"/>
      <c r="F307" s="104"/>
      <c r="G307" s="103"/>
      <c r="H307" s="103"/>
      <c r="I307" s="157"/>
      <c r="Q307" s="103"/>
      <c r="R307" s="103"/>
      <c r="S307" s="103"/>
      <c r="T307" s="270"/>
      <c r="U307" s="103"/>
      <c r="V307" s="271"/>
    </row>
    <row r="308">
      <c r="B308" s="103"/>
      <c r="C308" s="103"/>
      <c r="D308" s="103"/>
      <c r="E308" s="103"/>
      <c r="F308" s="104"/>
      <c r="G308" s="103"/>
      <c r="H308" s="103"/>
      <c r="I308" s="157"/>
      <c r="Q308" s="103"/>
      <c r="R308" s="103"/>
      <c r="S308" s="103"/>
      <c r="T308" s="270"/>
      <c r="U308" s="103"/>
      <c r="V308" s="271"/>
    </row>
    <row r="309">
      <c r="B309" s="103"/>
      <c r="C309" s="103"/>
      <c r="D309" s="103"/>
      <c r="E309" s="103"/>
      <c r="F309" s="104"/>
      <c r="G309" s="103"/>
      <c r="H309" s="103"/>
      <c r="I309" s="157"/>
      <c r="Q309" s="103"/>
      <c r="R309" s="103"/>
      <c r="S309" s="103"/>
      <c r="T309" s="270"/>
      <c r="U309" s="103"/>
      <c r="V309" s="271"/>
    </row>
    <row r="310">
      <c r="B310" s="103"/>
      <c r="C310" s="103"/>
      <c r="D310" s="103"/>
      <c r="E310" s="103"/>
      <c r="F310" s="104"/>
      <c r="G310" s="103"/>
      <c r="H310" s="103"/>
      <c r="I310" s="157"/>
      <c r="Q310" s="103"/>
      <c r="R310" s="103"/>
      <c r="S310" s="103"/>
      <c r="T310" s="270"/>
      <c r="U310" s="103"/>
      <c r="V310" s="271"/>
    </row>
    <row r="311">
      <c r="B311" s="103"/>
      <c r="C311" s="103"/>
      <c r="D311" s="103"/>
      <c r="E311" s="103"/>
      <c r="F311" s="104"/>
      <c r="G311" s="103"/>
      <c r="H311" s="103"/>
      <c r="I311" s="157"/>
      <c r="Q311" s="103"/>
      <c r="R311" s="103"/>
      <c r="S311" s="103"/>
      <c r="T311" s="270"/>
      <c r="U311" s="103"/>
      <c r="V311" s="271"/>
    </row>
    <row r="312">
      <c r="B312" s="103"/>
      <c r="C312" s="103"/>
      <c r="D312" s="103"/>
      <c r="E312" s="103"/>
      <c r="F312" s="104"/>
      <c r="G312" s="103"/>
      <c r="H312" s="103"/>
      <c r="I312" s="157"/>
      <c r="Q312" s="103"/>
      <c r="R312" s="103"/>
      <c r="S312" s="103"/>
      <c r="T312" s="270"/>
      <c r="U312" s="103"/>
      <c r="V312" s="271"/>
    </row>
    <row r="313">
      <c r="B313" s="103"/>
      <c r="C313" s="103"/>
      <c r="D313" s="103"/>
      <c r="E313" s="103"/>
      <c r="F313" s="104"/>
      <c r="G313" s="103"/>
      <c r="H313" s="103"/>
      <c r="I313" s="157"/>
      <c r="Q313" s="103"/>
      <c r="R313" s="103"/>
      <c r="S313" s="103"/>
      <c r="T313" s="270"/>
      <c r="U313" s="103"/>
      <c r="V313" s="271"/>
    </row>
    <row r="314">
      <c r="B314" s="103"/>
      <c r="C314" s="103"/>
      <c r="D314" s="103"/>
      <c r="E314" s="103"/>
      <c r="F314" s="104"/>
      <c r="G314" s="103"/>
      <c r="H314" s="103"/>
      <c r="I314" s="157"/>
      <c r="Q314" s="103"/>
      <c r="R314" s="103"/>
      <c r="S314" s="103"/>
      <c r="T314" s="270"/>
      <c r="U314" s="103"/>
      <c r="V314" s="271"/>
    </row>
    <row r="315">
      <c r="B315" s="103"/>
      <c r="C315" s="103"/>
      <c r="D315" s="103"/>
      <c r="E315" s="103"/>
      <c r="F315" s="104"/>
      <c r="G315" s="103"/>
      <c r="H315" s="103"/>
      <c r="I315" s="157"/>
      <c r="Q315" s="103"/>
      <c r="R315" s="103"/>
      <c r="S315" s="103"/>
      <c r="T315" s="270"/>
      <c r="U315" s="103"/>
      <c r="V315" s="271"/>
    </row>
    <row r="316">
      <c r="B316" s="103"/>
      <c r="C316" s="103"/>
      <c r="D316" s="103"/>
      <c r="E316" s="103"/>
      <c r="F316" s="104"/>
      <c r="G316" s="103"/>
      <c r="H316" s="103"/>
      <c r="I316" s="157"/>
      <c r="Q316" s="103"/>
      <c r="R316" s="103"/>
      <c r="S316" s="103"/>
      <c r="T316" s="270"/>
      <c r="U316" s="103"/>
      <c r="V316" s="271"/>
    </row>
    <row r="317">
      <c r="B317" s="103"/>
      <c r="C317" s="103"/>
      <c r="D317" s="103"/>
      <c r="E317" s="103"/>
      <c r="F317" s="104"/>
      <c r="G317" s="103"/>
      <c r="H317" s="103"/>
      <c r="I317" s="157"/>
      <c r="Q317" s="103"/>
      <c r="R317" s="103"/>
      <c r="S317" s="103"/>
      <c r="T317" s="270"/>
      <c r="U317" s="103"/>
      <c r="V317" s="271"/>
    </row>
    <row r="318">
      <c r="B318" s="103"/>
      <c r="C318" s="103"/>
      <c r="D318" s="103"/>
      <c r="E318" s="103"/>
      <c r="F318" s="104"/>
      <c r="G318" s="103"/>
      <c r="H318" s="103"/>
      <c r="I318" s="157"/>
      <c r="Q318" s="103"/>
      <c r="R318" s="103"/>
      <c r="S318" s="103"/>
      <c r="T318" s="270"/>
      <c r="U318" s="103"/>
      <c r="V318" s="271"/>
    </row>
    <row r="319">
      <c r="B319" s="103"/>
      <c r="C319" s="103"/>
      <c r="D319" s="103"/>
      <c r="E319" s="103"/>
      <c r="F319" s="104"/>
      <c r="G319" s="103"/>
      <c r="H319" s="103"/>
      <c r="I319" s="157"/>
      <c r="Q319" s="103"/>
      <c r="R319" s="103"/>
      <c r="S319" s="103"/>
      <c r="T319" s="270"/>
      <c r="U319" s="103"/>
      <c r="V319" s="271"/>
    </row>
    <row r="320">
      <c r="B320" s="103"/>
      <c r="C320" s="103"/>
      <c r="D320" s="103"/>
      <c r="E320" s="103"/>
      <c r="F320" s="104"/>
      <c r="G320" s="103"/>
      <c r="H320" s="103"/>
      <c r="I320" s="157"/>
      <c r="Q320" s="103"/>
      <c r="R320" s="103"/>
      <c r="S320" s="103"/>
      <c r="T320" s="270"/>
      <c r="U320" s="103"/>
      <c r="V320" s="271"/>
    </row>
    <row r="321">
      <c r="B321" s="103"/>
      <c r="C321" s="103"/>
      <c r="D321" s="103"/>
      <c r="E321" s="103"/>
      <c r="F321" s="104"/>
      <c r="G321" s="103"/>
      <c r="H321" s="103"/>
      <c r="I321" s="157"/>
      <c r="Q321" s="103"/>
      <c r="R321" s="103"/>
      <c r="S321" s="103"/>
      <c r="T321" s="270"/>
      <c r="U321" s="103"/>
      <c r="V321" s="271"/>
    </row>
    <row r="322">
      <c r="B322" s="103"/>
      <c r="C322" s="103"/>
      <c r="D322" s="103"/>
      <c r="E322" s="103"/>
      <c r="F322" s="104"/>
      <c r="G322" s="103"/>
      <c r="H322" s="103"/>
      <c r="I322" s="157"/>
      <c r="Q322" s="103"/>
      <c r="R322" s="103"/>
      <c r="S322" s="103"/>
      <c r="T322" s="270"/>
      <c r="U322" s="103"/>
      <c r="V322" s="271"/>
    </row>
    <row r="323">
      <c r="B323" s="103"/>
      <c r="C323" s="103"/>
      <c r="D323" s="103"/>
      <c r="E323" s="103"/>
      <c r="F323" s="104"/>
      <c r="G323" s="103"/>
      <c r="H323" s="103"/>
      <c r="I323" s="157"/>
      <c r="Q323" s="103"/>
      <c r="R323" s="103"/>
      <c r="S323" s="103"/>
      <c r="T323" s="270"/>
      <c r="U323" s="103"/>
      <c r="V323" s="271"/>
    </row>
    <row r="324">
      <c r="B324" s="103"/>
      <c r="C324" s="103"/>
      <c r="D324" s="103"/>
      <c r="E324" s="103"/>
      <c r="F324" s="104"/>
      <c r="G324" s="103"/>
      <c r="H324" s="103"/>
      <c r="I324" s="157"/>
      <c r="Q324" s="103"/>
      <c r="R324" s="103"/>
      <c r="S324" s="103"/>
      <c r="T324" s="270"/>
      <c r="U324" s="103"/>
      <c r="V324" s="271"/>
    </row>
    <row r="325">
      <c r="B325" s="103"/>
      <c r="C325" s="103"/>
      <c r="D325" s="103"/>
      <c r="E325" s="103"/>
      <c r="F325" s="104"/>
      <c r="G325" s="103"/>
      <c r="H325" s="103"/>
      <c r="I325" s="157"/>
      <c r="Q325" s="103"/>
      <c r="R325" s="103"/>
      <c r="S325" s="103"/>
      <c r="T325" s="270"/>
      <c r="U325" s="103"/>
      <c r="V325" s="271"/>
    </row>
    <row r="326">
      <c r="B326" s="103"/>
      <c r="C326" s="103"/>
      <c r="D326" s="103"/>
      <c r="E326" s="103"/>
      <c r="F326" s="104"/>
      <c r="G326" s="103"/>
      <c r="H326" s="103"/>
      <c r="I326" s="157"/>
      <c r="Q326" s="103"/>
      <c r="R326" s="103"/>
      <c r="S326" s="103"/>
      <c r="T326" s="270"/>
      <c r="U326" s="103"/>
      <c r="V326" s="271"/>
    </row>
    <row r="327">
      <c r="B327" s="103"/>
      <c r="C327" s="103"/>
      <c r="D327" s="103"/>
      <c r="E327" s="103"/>
      <c r="F327" s="104"/>
      <c r="G327" s="103"/>
      <c r="H327" s="103"/>
      <c r="I327" s="157"/>
      <c r="Q327" s="103"/>
      <c r="R327" s="103"/>
      <c r="S327" s="103"/>
      <c r="T327" s="270"/>
      <c r="U327" s="103"/>
      <c r="V327" s="271"/>
    </row>
    <row r="328">
      <c r="B328" s="103"/>
      <c r="C328" s="103"/>
      <c r="D328" s="103"/>
      <c r="E328" s="103"/>
      <c r="F328" s="104"/>
      <c r="G328" s="103"/>
      <c r="H328" s="103"/>
      <c r="I328" s="157"/>
      <c r="Q328" s="103"/>
      <c r="R328" s="103"/>
      <c r="S328" s="103"/>
      <c r="T328" s="270"/>
      <c r="U328" s="103"/>
      <c r="V328" s="271"/>
    </row>
    <row r="329">
      <c r="B329" s="103"/>
      <c r="C329" s="103"/>
      <c r="D329" s="103"/>
      <c r="E329" s="103"/>
      <c r="F329" s="104"/>
      <c r="G329" s="103"/>
      <c r="H329" s="103"/>
      <c r="I329" s="157"/>
      <c r="Q329" s="103"/>
      <c r="R329" s="103"/>
      <c r="S329" s="103"/>
      <c r="T329" s="270"/>
      <c r="U329" s="103"/>
      <c r="V329" s="271"/>
    </row>
    <row r="330">
      <c r="B330" s="103"/>
      <c r="C330" s="103"/>
      <c r="D330" s="103"/>
      <c r="E330" s="103"/>
      <c r="F330" s="104"/>
      <c r="G330" s="103"/>
      <c r="H330" s="103"/>
      <c r="I330" s="157"/>
      <c r="Q330" s="103"/>
      <c r="R330" s="103"/>
      <c r="S330" s="103"/>
      <c r="T330" s="270"/>
      <c r="U330" s="103"/>
      <c r="V330" s="271"/>
    </row>
    <row r="331">
      <c r="B331" s="103"/>
      <c r="C331" s="103"/>
      <c r="D331" s="103"/>
      <c r="E331" s="103"/>
      <c r="F331" s="104"/>
      <c r="G331" s="103"/>
      <c r="H331" s="103"/>
      <c r="I331" s="157"/>
      <c r="Q331" s="103"/>
      <c r="R331" s="103"/>
      <c r="S331" s="103"/>
      <c r="T331" s="270"/>
      <c r="U331" s="103"/>
      <c r="V331" s="271"/>
    </row>
    <row r="332">
      <c r="B332" s="103"/>
      <c r="C332" s="103"/>
      <c r="D332" s="103"/>
      <c r="E332" s="103"/>
      <c r="F332" s="104"/>
      <c r="G332" s="103"/>
      <c r="H332" s="103"/>
      <c r="I332" s="157"/>
      <c r="Q332" s="103"/>
      <c r="R332" s="103"/>
      <c r="S332" s="103"/>
      <c r="T332" s="270"/>
      <c r="U332" s="103"/>
      <c r="V332" s="271"/>
    </row>
    <row r="333">
      <c r="B333" s="103"/>
      <c r="C333" s="103"/>
      <c r="D333" s="103"/>
      <c r="E333" s="103"/>
      <c r="F333" s="104"/>
      <c r="G333" s="103"/>
      <c r="H333" s="103"/>
      <c r="I333" s="157"/>
      <c r="Q333" s="103"/>
      <c r="R333" s="103"/>
      <c r="S333" s="103"/>
      <c r="T333" s="270"/>
      <c r="U333" s="103"/>
      <c r="V333" s="271"/>
    </row>
    <row r="334">
      <c r="B334" s="103"/>
      <c r="C334" s="103"/>
      <c r="D334" s="103"/>
      <c r="E334" s="103"/>
      <c r="F334" s="104"/>
      <c r="G334" s="103"/>
      <c r="H334" s="103"/>
      <c r="I334" s="157"/>
      <c r="Q334" s="103"/>
      <c r="R334" s="103"/>
      <c r="S334" s="103"/>
      <c r="T334" s="270"/>
      <c r="U334" s="103"/>
      <c r="V334" s="271"/>
    </row>
    <row r="335">
      <c r="B335" s="103"/>
      <c r="C335" s="103"/>
      <c r="D335" s="103"/>
      <c r="E335" s="103"/>
      <c r="F335" s="104"/>
      <c r="G335" s="103"/>
      <c r="H335" s="103"/>
      <c r="I335" s="157"/>
      <c r="Q335" s="103"/>
      <c r="R335" s="103"/>
      <c r="S335" s="103"/>
      <c r="T335" s="270"/>
      <c r="U335" s="103"/>
      <c r="V335" s="271"/>
    </row>
    <row r="336">
      <c r="B336" s="103"/>
      <c r="C336" s="103"/>
      <c r="D336" s="103"/>
      <c r="E336" s="103"/>
      <c r="F336" s="104"/>
      <c r="G336" s="103"/>
      <c r="H336" s="103"/>
      <c r="I336" s="157"/>
      <c r="Q336" s="103"/>
      <c r="R336" s="103"/>
      <c r="S336" s="103"/>
      <c r="T336" s="270"/>
      <c r="U336" s="103"/>
      <c r="V336" s="271"/>
    </row>
    <row r="337">
      <c r="B337" s="103"/>
      <c r="C337" s="103"/>
      <c r="D337" s="103"/>
      <c r="E337" s="103"/>
      <c r="F337" s="104"/>
      <c r="G337" s="103"/>
      <c r="H337" s="103"/>
      <c r="I337" s="157"/>
      <c r="Q337" s="103"/>
      <c r="R337" s="103"/>
      <c r="S337" s="103"/>
      <c r="T337" s="270"/>
      <c r="U337" s="103"/>
      <c r="V337" s="271"/>
    </row>
    <row r="338">
      <c r="B338" s="103"/>
      <c r="C338" s="103"/>
      <c r="D338" s="103"/>
      <c r="E338" s="103"/>
      <c r="F338" s="104"/>
      <c r="G338" s="103"/>
      <c r="H338" s="103"/>
      <c r="I338" s="157"/>
      <c r="Q338" s="103"/>
      <c r="R338" s="103"/>
      <c r="S338" s="103"/>
      <c r="T338" s="270"/>
      <c r="U338" s="103"/>
      <c r="V338" s="271"/>
    </row>
    <row r="339">
      <c r="B339" s="103"/>
      <c r="C339" s="103"/>
      <c r="D339" s="103"/>
      <c r="E339" s="103"/>
      <c r="F339" s="104"/>
      <c r="G339" s="103"/>
      <c r="H339" s="103"/>
      <c r="I339" s="157"/>
      <c r="Q339" s="103"/>
      <c r="R339" s="103"/>
      <c r="S339" s="103"/>
      <c r="T339" s="270"/>
      <c r="U339" s="103"/>
      <c r="V339" s="271"/>
    </row>
    <row r="340">
      <c r="B340" s="103"/>
      <c r="C340" s="103"/>
      <c r="D340" s="103"/>
      <c r="E340" s="103"/>
      <c r="F340" s="104"/>
      <c r="G340" s="103"/>
      <c r="H340" s="103"/>
      <c r="I340" s="157"/>
      <c r="Q340" s="103"/>
      <c r="R340" s="103"/>
      <c r="S340" s="103"/>
      <c r="T340" s="270"/>
      <c r="U340" s="103"/>
      <c r="V340" s="271"/>
    </row>
    <row r="341">
      <c r="B341" s="103"/>
      <c r="C341" s="103"/>
      <c r="D341" s="103"/>
      <c r="E341" s="103"/>
      <c r="F341" s="104"/>
      <c r="G341" s="103"/>
      <c r="H341" s="103"/>
      <c r="I341" s="157"/>
      <c r="Q341" s="103"/>
      <c r="R341" s="103"/>
      <c r="S341" s="103"/>
      <c r="T341" s="270"/>
      <c r="U341" s="103"/>
      <c r="V341" s="271"/>
    </row>
    <row r="342">
      <c r="B342" s="103"/>
      <c r="C342" s="103"/>
      <c r="D342" s="103"/>
      <c r="E342" s="103"/>
      <c r="F342" s="104"/>
      <c r="G342" s="103"/>
      <c r="H342" s="103"/>
      <c r="I342" s="157"/>
      <c r="Q342" s="103"/>
      <c r="R342" s="103"/>
      <c r="S342" s="103"/>
      <c r="T342" s="270"/>
      <c r="U342" s="103"/>
      <c r="V342" s="271"/>
    </row>
    <row r="343">
      <c r="B343" s="103"/>
      <c r="C343" s="103"/>
      <c r="D343" s="103"/>
      <c r="E343" s="103"/>
      <c r="F343" s="104"/>
      <c r="G343" s="103"/>
      <c r="H343" s="103"/>
      <c r="I343" s="157"/>
      <c r="Q343" s="103"/>
      <c r="R343" s="103"/>
      <c r="S343" s="103"/>
      <c r="T343" s="270"/>
      <c r="U343" s="103"/>
      <c r="V343" s="271"/>
    </row>
    <row r="344">
      <c r="B344" s="103"/>
      <c r="C344" s="103"/>
      <c r="D344" s="103"/>
      <c r="E344" s="103"/>
      <c r="F344" s="104"/>
      <c r="G344" s="103"/>
      <c r="H344" s="103"/>
      <c r="I344" s="157"/>
      <c r="Q344" s="103"/>
      <c r="R344" s="103"/>
      <c r="S344" s="103"/>
      <c r="T344" s="270"/>
      <c r="U344" s="103"/>
      <c r="V344" s="271"/>
    </row>
    <row r="345">
      <c r="B345" s="103"/>
      <c r="C345" s="103"/>
      <c r="D345" s="103"/>
      <c r="E345" s="103"/>
      <c r="F345" s="104"/>
      <c r="G345" s="103"/>
      <c r="H345" s="103"/>
      <c r="I345" s="157"/>
      <c r="Q345" s="103"/>
      <c r="R345" s="103"/>
      <c r="S345" s="103"/>
      <c r="T345" s="270"/>
      <c r="U345" s="103"/>
      <c r="V345" s="271"/>
    </row>
    <row r="346">
      <c r="B346" s="103"/>
      <c r="C346" s="103"/>
      <c r="D346" s="103"/>
      <c r="E346" s="103"/>
      <c r="F346" s="104"/>
      <c r="G346" s="103"/>
      <c r="H346" s="103"/>
      <c r="I346" s="157"/>
      <c r="Q346" s="103"/>
      <c r="R346" s="103"/>
      <c r="S346" s="103"/>
      <c r="T346" s="270"/>
      <c r="U346" s="103"/>
      <c r="V346" s="271"/>
    </row>
    <row r="347">
      <c r="B347" s="103"/>
      <c r="C347" s="103"/>
      <c r="D347" s="103"/>
      <c r="E347" s="103"/>
      <c r="F347" s="104"/>
      <c r="G347" s="103"/>
      <c r="H347" s="103"/>
      <c r="I347" s="157"/>
      <c r="Q347" s="103"/>
      <c r="R347" s="103"/>
      <c r="S347" s="103"/>
      <c r="T347" s="270"/>
      <c r="U347" s="103"/>
      <c r="V347" s="271"/>
    </row>
    <row r="348">
      <c r="B348" s="103"/>
      <c r="C348" s="103"/>
      <c r="D348" s="103"/>
      <c r="E348" s="103"/>
      <c r="F348" s="104"/>
      <c r="G348" s="103"/>
      <c r="H348" s="103"/>
      <c r="I348" s="157"/>
      <c r="Q348" s="103"/>
      <c r="R348" s="103"/>
      <c r="S348" s="103"/>
      <c r="T348" s="270"/>
      <c r="U348" s="103"/>
      <c r="V348" s="271"/>
    </row>
    <row r="349">
      <c r="B349" s="103"/>
      <c r="C349" s="103"/>
      <c r="D349" s="103"/>
      <c r="E349" s="103"/>
      <c r="F349" s="104"/>
      <c r="G349" s="103"/>
      <c r="H349" s="103"/>
      <c r="I349" s="157"/>
      <c r="Q349" s="103"/>
      <c r="R349" s="103"/>
      <c r="S349" s="103"/>
      <c r="T349" s="270"/>
      <c r="U349" s="103"/>
      <c r="V349" s="271"/>
    </row>
    <row r="350">
      <c r="B350" s="103"/>
      <c r="C350" s="103"/>
      <c r="D350" s="103"/>
      <c r="E350" s="103"/>
      <c r="F350" s="104"/>
      <c r="G350" s="103"/>
      <c r="H350" s="103"/>
      <c r="I350" s="157"/>
      <c r="Q350" s="103"/>
      <c r="R350" s="103"/>
      <c r="S350" s="103"/>
      <c r="T350" s="270"/>
      <c r="U350" s="103"/>
      <c r="V350" s="271"/>
    </row>
    <row r="351">
      <c r="B351" s="103"/>
      <c r="C351" s="103"/>
      <c r="D351" s="103"/>
      <c r="E351" s="103"/>
      <c r="F351" s="104"/>
      <c r="G351" s="103"/>
      <c r="H351" s="103"/>
      <c r="I351" s="157"/>
      <c r="Q351" s="103"/>
      <c r="R351" s="103"/>
      <c r="S351" s="103"/>
      <c r="T351" s="270"/>
      <c r="U351" s="103"/>
      <c r="V351" s="271"/>
    </row>
    <row r="352">
      <c r="B352" s="103"/>
      <c r="C352" s="103"/>
      <c r="D352" s="103"/>
      <c r="E352" s="103"/>
      <c r="F352" s="104"/>
      <c r="G352" s="103"/>
      <c r="H352" s="103"/>
      <c r="I352" s="157"/>
      <c r="Q352" s="103"/>
      <c r="R352" s="103"/>
      <c r="S352" s="103"/>
      <c r="T352" s="270"/>
      <c r="U352" s="103"/>
      <c r="V352" s="271"/>
    </row>
    <row r="353">
      <c r="B353" s="103"/>
      <c r="C353" s="103"/>
      <c r="D353" s="103"/>
      <c r="E353" s="103"/>
      <c r="F353" s="104"/>
      <c r="G353" s="103"/>
      <c r="H353" s="103"/>
      <c r="I353" s="157"/>
      <c r="Q353" s="103"/>
      <c r="R353" s="103"/>
      <c r="S353" s="103"/>
      <c r="T353" s="270"/>
      <c r="U353" s="103"/>
      <c r="V353" s="271"/>
    </row>
    <row r="354">
      <c r="B354" s="103"/>
      <c r="C354" s="103"/>
      <c r="D354" s="103"/>
      <c r="E354" s="103"/>
      <c r="F354" s="104"/>
      <c r="G354" s="103"/>
      <c r="H354" s="103"/>
      <c r="I354" s="157"/>
      <c r="Q354" s="103"/>
      <c r="R354" s="103"/>
      <c r="S354" s="103"/>
      <c r="T354" s="270"/>
      <c r="U354" s="103"/>
      <c r="V354" s="271"/>
    </row>
    <row r="355">
      <c r="B355" s="103"/>
      <c r="C355" s="103"/>
      <c r="D355" s="103"/>
      <c r="E355" s="103"/>
      <c r="F355" s="104"/>
      <c r="G355" s="103"/>
      <c r="H355" s="103"/>
      <c r="I355" s="157"/>
      <c r="Q355" s="103"/>
      <c r="R355" s="103"/>
      <c r="S355" s="103"/>
      <c r="T355" s="270"/>
      <c r="U355" s="103"/>
      <c r="V355" s="271"/>
    </row>
    <row r="356">
      <c r="B356" s="103"/>
      <c r="C356" s="103"/>
      <c r="D356" s="103"/>
      <c r="E356" s="103"/>
      <c r="F356" s="104"/>
      <c r="G356" s="103"/>
      <c r="H356" s="103"/>
      <c r="I356" s="157"/>
      <c r="Q356" s="103"/>
      <c r="R356" s="103"/>
      <c r="S356" s="103"/>
      <c r="T356" s="270"/>
      <c r="U356" s="103"/>
      <c r="V356" s="271"/>
    </row>
    <row r="357">
      <c r="B357" s="103"/>
      <c r="C357" s="103"/>
      <c r="D357" s="103"/>
      <c r="E357" s="103"/>
      <c r="F357" s="104"/>
      <c r="G357" s="103"/>
      <c r="H357" s="103"/>
      <c r="I357" s="157"/>
      <c r="Q357" s="103"/>
      <c r="R357" s="103"/>
      <c r="S357" s="103"/>
      <c r="T357" s="270"/>
      <c r="U357" s="103"/>
      <c r="V357" s="271"/>
    </row>
    <row r="358">
      <c r="B358" s="103"/>
      <c r="C358" s="103"/>
      <c r="D358" s="103"/>
      <c r="E358" s="103"/>
      <c r="F358" s="104"/>
      <c r="G358" s="103"/>
      <c r="H358" s="103"/>
      <c r="I358" s="157"/>
      <c r="Q358" s="103"/>
      <c r="R358" s="103"/>
      <c r="S358" s="103"/>
      <c r="T358" s="270"/>
      <c r="U358" s="103"/>
      <c r="V358" s="271"/>
    </row>
    <row r="359">
      <c r="B359" s="103"/>
      <c r="C359" s="103"/>
      <c r="D359" s="103"/>
      <c r="E359" s="103"/>
      <c r="F359" s="104"/>
      <c r="G359" s="103"/>
      <c r="H359" s="103"/>
      <c r="I359" s="157"/>
      <c r="Q359" s="103"/>
      <c r="R359" s="103"/>
      <c r="S359" s="103"/>
      <c r="T359" s="270"/>
      <c r="U359" s="103"/>
      <c r="V359" s="271"/>
    </row>
    <row r="360">
      <c r="B360" s="103"/>
      <c r="C360" s="103"/>
      <c r="D360" s="103"/>
      <c r="E360" s="103"/>
      <c r="F360" s="104"/>
      <c r="G360" s="103"/>
      <c r="H360" s="103"/>
      <c r="I360" s="157"/>
      <c r="Q360" s="103"/>
      <c r="R360" s="103"/>
      <c r="S360" s="103"/>
      <c r="T360" s="270"/>
      <c r="U360" s="103"/>
      <c r="V360" s="271"/>
    </row>
    <row r="361">
      <c r="B361" s="103"/>
      <c r="C361" s="103"/>
      <c r="D361" s="103"/>
      <c r="E361" s="103"/>
      <c r="F361" s="104"/>
      <c r="G361" s="103"/>
      <c r="H361" s="103"/>
      <c r="I361" s="157"/>
      <c r="Q361" s="103"/>
      <c r="R361" s="103"/>
      <c r="S361" s="103"/>
      <c r="T361" s="270"/>
      <c r="U361" s="103"/>
      <c r="V361" s="271"/>
    </row>
    <row r="362">
      <c r="B362" s="103"/>
      <c r="C362" s="103"/>
      <c r="D362" s="103"/>
      <c r="E362" s="103"/>
      <c r="F362" s="104"/>
      <c r="G362" s="103"/>
      <c r="H362" s="103"/>
      <c r="I362" s="157"/>
      <c r="Q362" s="103"/>
      <c r="R362" s="103"/>
      <c r="S362" s="103"/>
      <c r="T362" s="270"/>
      <c r="U362" s="103"/>
      <c r="V362" s="271"/>
    </row>
    <row r="363">
      <c r="B363" s="103"/>
      <c r="C363" s="103"/>
      <c r="D363" s="103"/>
      <c r="E363" s="103"/>
      <c r="F363" s="104"/>
      <c r="G363" s="103"/>
      <c r="H363" s="103"/>
      <c r="I363" s="157"/>
      <c r="Q363" s="103"/>
      <c r="R363" s="103"/>
      <c r="S363" s="103"/>
      <c r="T363" s="270"/>
      <c r="U363" s="103"/>
      <c r="V363" s="271"/>
    </row>
    <row r="364">
      <c r="B364" s="103"/>
      <c r="C364" s="103"/>
      <c r="D364" s="103"/>
      <c r="E364" s="103"/>
      <c r="F364" s="104"/>
      <c r="G364" s="103"/>
      <c r="H364" s="103"/>
      <c r="I364" s="157"/>
      <c r="Q364" s="103"/>
      <c r="R364" s="103"/>
      <c r="S364" s="103"/>
      <c r="T364" s="270"/>
      <c r="U364" s="103"/>
      <c r="V364" s="271"/>
    </row>
    <row r="365">
      <c r="B365" s="103"/>
      <c r="C365" s="103"/>
      <c r="D365" s="103"/>
      <c r="E365" s="103"/>
      <c r="F365" s="104"/>
      <c r="G365" s="103"/>
      <c r="H365" s="103"/>
      <c r="I365" s="157"/>
      <c r="Q365" s="103"/>
      <c r="R365" s="103"/>
      <c r="S365" s="103"/>
      <c r="T365" s="270"/>
      <c r="U365" s="103"/>
      <c r="V365" s="271"/>
    </row>
    <row r="366">
      <c r="B366" s="103"/>
      <c r="C366" s="103"/>
      <c r="D366" s="103"/>
      <c r="E366" s="103"/>
      <c r="F366" s="104"/>
      <c r="G366" s="103"/>
      <c r="H366" s="103"/>
      <c r="I366" s="157"/>
      <c r="Q366" s="103"/>
      <c r="R366" s="103"/>
      <c r="S366" s="103"/>
      <c r="T366" s="270"/>
      <c r="U366" s="103"/>
      <c r="V366" s="271"/>
    </row>
    <row r="367">
      <c r="B367" s="103"/>
      <c r="C367" s="103"/>
      <c r="D367" s="103"/>
      <c r="E367" s="103"/>
      <c r="F367" s="104"/>
      <c r="G367" s="103"/>
      <c r="H367" s="103"/>
      <c r="I367" s="157"/>
      <c r="Q367" s="103"/>
      <c r="R367" s="103"/>
      <c r="S367" s="103"/>
      <c r="T367" s="270"/>
      <c r="U367" s="103"/>
      <c r="V367" s="271"/>
    </row>
    <row r="368">
      <c r="B368" s="103"/>
      <c r="C368" s="103"/>
      <c r="D368" s="103"/>
      <c r="E368" s="103"/>
      <c r="F368" s="104"/>
      <c r="G368" s="103"/>
      <c r="H368" s="103"/>
      <c r="I368" s="157"/>
      <c r="Q368" s="103"/>
      <c r="R368" s="103"/>
      <c r="S368" s="103"/>
      <c r="T368" s="270"/>
      <c r="U368" s="103"/>
      <c r="V368" s="271"/>
    </row>
    <row r="369">
      <c r="B369" s="103"/>
      <c r="C369" s="103"/>
      <c r="D369" s="103"/>
      <c r="E369" s="103"/>
      <c r="F369" s="104"/>
      <c r="G369" s="103"/>
      <c r="H369" s="103"/>
      <c r="I369" s="157"/>
      <c r="Q369" s="103"/>
      <c r="R369" s="103"/>
      <c r="S369" s="103"/>
      <c r="T369" s="270"/>
      <c r="U369" s="103"/>
      <c r="V369" s="271"/>
    </row>
    <row r="370">
      <c r="B370" s="103"/>
      <c r="C370" s="103"/>
      <c r="D370" s="103"/>
      <c r="E370" s="103"/>
      <c r="F370" s="104"/>
      <c r="G370" s="103"/>
      <c r="H370" s="103"/>
      <c r="I370" s="157"/>
      <c r="Q370" s="103"/>
      <c r="R370" s="103"/>
      <c r="S370" s="103"/>
      <c r="T370" s="270"/>
      <c r="U370" s="103"/>
      <c r="V370" s="271"/>
    </row>
    <row r="371">
      <c r="B371" s="103"/>
      <c r="C371" s="103"/>
      <c r="D371" s="103"/>
      <c r="E371" s="103"/>
      <c r="F371" s="104"/>
      <c r="G371" s="103"/>
      <c r="H371" s="103"/>
      <c r="I371" s="157"/>
      <c r="Q371" s="103"/>
      <c r="R371" s="103"/>
      <c r="S371" s="103"/>
      <c r="T371" s="270"/>
      <c r="U371" s="103"/>
      <c r="V371" s="271"/>
    </row>
    <row r="372">
      <c r="B372" s="103"/>
      <c r="C372" s="103"/>
      <c r="D372" s="103"/>
      <c r="E372" s="103"/>
      <c r="F372" s="104"/>
      <c r="G372" s="103"/>
      <c r="H372" s="103"/>
      <c r="I372" s="157"/>
      <c r="Q372" s="103"/>
      <c r="R372" s="103"/>
      <c r="S372" s="103"/>
      <c r="T372" s="270"/>
      <c r="U372" s="103"/>
      <c r="V372" s="271"/>
    </row>
    <row r="373">
      <c r="B373" s="103"/>
      <c r="C373" s="103"/>
      <c r="D373" s="103"/>
      <c r="E373" s="103"/>
      <c r="F373" s="104"/>
      <c r="G373" s="103"/>
      <c r="H373" s="103"/>
      <c r="I373" s="157"/>
      <c r="Q373" s="103"/>
      <c r="R373" s="103"/>
      <c r="S373" s="103"/>
      <c r="T373" s="270"/>
      <c r="U373" s="103"/>
      <c r="V373" s="271"/>
    </row>
    <row r="374">
      <c r="B374" s="103"/>
      <c r="C374" s="103"/>
      <c r="D374" s="103"/>
      <c r="E374" s="103"/>
      <c r="F374" s="104"/>
      <c r="G374" s="103"/>
      <c r="H374" s="103"/>
      <c r="I374" s="157"/>
      <c r="Q374" s="103"/>
      <c r="R374" s="103"/>
      <c r="S374" s="103"/>
      <c r="T374" s="270"/>
      <c r="U374" s="103"/>
      <c r="V374" s="271"/>
    </row>
    <row r="375">
      <c r="B375" s="103"/>
      <c r="C375" s="103"/>
      <c r="D375" s="103"/>
      <c r="E375" s="103"/>
      <c r="F375" s="104"/>
      <c r="G375" s="103"/>
      <c r="H375" s="103"/>
      <c r="I375" s="157"/>
      <c r="Q375" s="103"/>
      <c r="R375" s="103"/>
      <c r="S375" s="103"/>
      <c r="T375" s="270"/>
      <c r="U375" s="103"/>
      <c r="V375" s="271"/>
    </row>
    <row r="376">
      <c r="B376" s="103"/>
      <c r="C376" s="103"/>
      <c r="D376" s="103"/>
      <c r="E376" s="103"/>
      <c r="F376" s="104"/>
      <c r="G376" s="103"/>
      <c r="H376" s="103"/>
      <c r="I376" s="157"/>
      <c r="Q376" s="103"/>
      <c r="R376" s="103"/>
      <c r="S376" s="103"/>
      <c r="T376" s="270"/>
      <c r="U376" s="103"/>
      <c r="V376" s="271"/>
    </row>
    <row r="377">
      <c r="B377" s="103"/>
      <c r="C377" s="103"/>
      <c r="D377" s="103"/>
      <c r="E377" s="103"/>
      <c r="F377" s="104"/>
      <c r="G377" s="103"/>
      <c r="H377" s="103"/>
      <c r="I377" s="157"/>
      <c r="Q377" s="103"/>
      <c r="R377" s="103"/>
      <c r="S377" s="103"/>
      <c r="T377" s="270"/>
      <c r="U377" s="103"/>
      <c r="V377" s="271"/>
    </row>
    <row r="378">
      <c r="B378" s="103"/>
      <c r="C378" s="103"/>
      <c r="D378" s="103"/>
      <c r="E378" s="103"/>
      <c r="F378" s="104"/>
      <c r="G378" s="103"/>
      <c r="H378" s="103"/>
      <c r="I378" s="157"/>
      <c r="Q378" s="103"/>
      <c r="R378" s="103"/>
      <c r="S378" s="103"/>
      <c r="T378" s="270"/>
      <c r="U378" s="103"/>
      <c r="V378" s="271"/>
    </row>
    <row r="379">
      <c r="B379" s="103"/>
      <c r="C379" s="103"/>
      <c r="D379" s="103"/>
      <c r="E379" s="103"/>
      <c r="F379" s="104"/>
      <c r="G379" s="103"/>
      <c r="H379" s="103"/>
      <c r="I379" s="157"/>
      <c r="Q379" s="103"/>
      <c r="R379" s="103"/>
      <c r="S379" s="103"/>
      <c r="T379" s="270"/>
      <c r="U379" s="103"/>
      <c r="V379" s="271"/>
    </row>
    <row r="380">
      <c r="B380" s="103"/>
      <c r="C380" s="103"/>
      <c r="D380" s="103"/>
      <c r="E380" s="103"/>
      <c r="F380" s="104"/>
      <c r="G380" s="103"/>
      <c r="H380" s="103"/>
      <c r="I380" s="157"/>
      <c r="Q380" s="103"/>
      <c r="R380" s="103"/>
      <c r="S380" s="103"/>
      <c r="T380" s="270"/>
      <c r="U380" s="103"/>
      <c r="V380" s="271"/>
    </row>
    <row r="381">
      <c r="B381" s="103"/>
      <c r="C381" s="103"/>
      <c r="D381" s="103"/>
      <c r="E381" s="103"/>
      <c r="F381" s="104"/>
      <c r="G381" s="103"/>
      <c r="H381" s="103"/>
      <c r="I381" s="157"/>
      <c r="Q381" s="103"/>
      <c r="R381" s="103"/>
      <c r="S381" s="103"/>
      <c r="T381" s="270"/>
      <c r="U381" s="103"/>
      <c r="V381" s="271"/>
    </row>
    <row r="382">
      <c r="B382" s="103"/>
      <c r="C382" s="103"/>
      <c r="D382" s="103"/>
      <c r="E382" s="103"/>
      <c r="F382" s="104"/>
      <c r="G382" s="103"/>
      <c r="H382" s="103"/>
      <c r="I382" s="157"/>
      <c r="Q382" s="103"/>
      <c r="R382" s="103"/>
      <c r="S382" s="103"/>
      <c r="T382" s="270"/>
      <c r="U382" s="103"/>
      <c r="V382" s="271"/>
    </row>
    <row r="383">
      <c r="B383" s="103"/>
      <c r="C383" s="103"/>
      <c r="D383" s="103"/>
      <c r="E383" s="103"/>
      <c r="F383" s="104"/>
      <c r="G383" s="103"/>
      <c r="H383" s="103"/>
      <c r="I383" s="157"/>
      <c r="Q383" s="103"/>
      <c r="R383" s="103"/>
      <c r="S383" s="103"/>
      <c r="T383" s="270"/>
      <c r="U383" s="103"/>
      <c r="V383" s="271"/>
    </row>
    <row r="384">
      <c r="B384" s="103"/>
      <c r="C384" s="103"/>
      <c r="D384" s="103"/>
      <c r="E384" s="103"/>
      <c r="F384" s="104"/>
      <c r="G384" s="103"/>
      <c r="H384" s="103"/>
      <c r="I384" s="157"/>
      <c r="Q384" s="103"/>
      <c r="R384" s="103"/>
      <c r="S384" s="103"/>
      <c r="T384" s="270"/>
      <c r="U384" s="103"/>
      <c r="V384" s="271"/>
    </row>
    <row r="385">
      <c r="B385" s="103"/>
      <c r="C385" s="103"/>
      <c r="D385" s="103"/>
      <c r="E385" s="103"/>
      <c r="F385" s="104"/>
      <c r="G385" s="103"/>
      <c r="H385" s="103"/>
      <c r="I385" s="157"/>
      <c r="Q385" s="103"/>
      <c r="R385" s="103"/>
      <c r="S385" s="103"/>
      <c r="T385" s="270"/>
      <c r="U385" s="103"/>
      <c r="V385" s="271"/>
    </row>
    <row r="386">
      <c r="B386" s="103"/>
      <c r="C386" s="103"/>
      <c r="D386" s="103"/>
      <c r="E386" s="103"/>
      <c r="F386" s="104"/>
      <c r="G386" s="103"/>
      <c r="H386" s="103"/>
      <c r="I386" s="157"/>
      <c r="Q386" s="103"/>
      <c r="R386" s="103"/>
      <c r="S386" s="103"/>
      <c r="T386" s="270"/>
      <c r="U386" s="103"/>
      <c r="V386" s="271"/>
    </row>
    <row r="387">
      <c r="B387" s="103"/>
      <c r="C387" s="103"/>
      <c r="D387" s="103"/>
      <c r="E387" s="103"/>
      <c r="F387" s="104"/>
      <c r="G387" s="103"/>
      <c r="H387" s="103"/>
      <c r="I387" s="157"/>
      <c r="Q387" s="103"/>
      <c r="R387" s="103"/>
      <c r="S387" s="103"/>
      <c r="T387" s="270"/>
      <c r="U387" s="103"/>
      <c r="V387" s="271"/>
    </row>
    <row r="388">
      <c r="B388" s="103"/>
      <c r="C388" s="103"/>
      <c r="D388" s="103"/>
      <c r="E388" s="103"/>
      <c r="F388" s="104"/>
      <c r="G388" s="103"/>
      <c r="H388" s="103"/>
      <c r="I388" s="157"/>
      <c r="Q388" s="103"/>
      <c r="R388" s="103"/>
      <c r="S388" s="103"/>
      <c r="T388" s="270"/>
      <c r="U388" s="103"/>
      <c r="V388" s="271"/>
    </row>
    <row r="389">
      <c r="B389" s="103"/>
      <c r="C389" s="103"/>
      <c r="D389" s="103"/>
      <c r="E389" s="103"/>
      <c r="F389" s="104"/>
      <c r="G389" s="103"/>
      <c r="H389" s="103"/>
      <c r="I389" s="157"/>
      <c r="Q389" s="103"/>
      <c r="R389" s="103"/>
      <c r="S389" s="103"/>
      <c r="T389" s="270"/>
      <c r="U389" s="103"/>
      <c r="V389" s="271"/>
    </row>
    <row r="390">
      <c r="B390" s="103"/>
      <c r="C390" s="103"/>
      <c r="D390" s="103"/>
      <c r="E390" s="103"/>
      <c r="F390" s="104"/>
      <c r="G390" s="103"/>
      <c r="H390" s="103"/>
      <c r="I390" s="157"/>
      <c r="Q390" s="103"/>
      <c r="R390" s="103"/>
      <c r="S390" s="103"/>
      <c r="T390" s="270"/>
      <c r="U390" s="103"/>
      <c r="V390" s="271"/>
    </row>
    <row r="391">
      <c r="B391" s="103"/>
      <c r="C391" s="103"/>
      <c r="D391" s="103"/>
      <c r="E391" s="103"/>
      <c r="F391" s="104"/>
      <c r="G391" s="103"/>
      <c r="H391" s="103"/>
      <c r="I391" s="157"/>
      <c r="Q391" s="103"/>
      <c r="R391" s="103"/>
      <c r="S391" s="103"/>
      <c r="T391" s="270"/>
      <c r="U391" s="103"/>
      <c r="V391" s="271"/>
    </row>
    <row r="392">
      <c r="B392" s="103"/>
      <c r="C392" s="103"/>
      <c r="D392" s="103"/>
      <c r="E392" s="103"/>
      <c r="F392" s="104"/>
      <c r="G392" s="103"/>
      <c r="H392" s="103"/>
      <c r="I392" s="157"/>
      <c r="Q392" s="103"/>
      <c r="R392" s="103"/>
      <c r="S392" s="103"/>
      <c r="T392" s="270"/>
      <c r="U392" s="103"/>
      <c r="V392" s="271"/>
    </row>
    <row r="393">
      <c r="B393" s="103"/>
      <c r="C393" s="103"/>
      <c r="D393" s="103"/>
      <c r="E393" s="103"/>
      <c r="F393" s="104"/>
      <c r="G393" s="103"/>
      <c r="H393" s="103"/>
      <c r="I393" s="157"/>
      <c r="Q393" s="103"/>
      <c r="R393" s="103"/>
      <c r="S393" s="103"/>
      <c r="T393" s="270"/>
      <c r="U393" s="103"/>
      <c r="V393" s="271"/>
    </row>
    <row r="394">
      <c r="B394" s="103"/>
      <c r="C394" s="103"/>
      <c r="D394" s="103"/>
      <c r="E394" s="103"/>
      <c r="F394" s="104"/>
      <c r="G394" s="103"/>
      <c r="H394" s="103"/>
      <c r="I394" s="157"/>
      <c r="Q394" s="103"/>
      <c r="R394" s="103"/>
      <c r="S394" s="103"/>
      <c r="T394" s="270"/>
      <c r="U394" s="103"/>
      <c r="V394" s="271"/>
    </row>
    <row r="395">
      <c r="B395" s="103"/>
      <c r="C395" s="103"/>
      <c r="D395" s="103"/>
      <c r="E395" s="103"/>
      <c r="F395" s="104"/>
      <c r="G395" s="103"/>
      <c r="H395" s="103"/>
      <c r="I395" s="157"/>
      <c r="Q395" s="103"/>
      <c r="R395" s="103"/>
      <c r="S395" s="103"/>
      <c r="T395" s="270"/>
      <c r="U395" s="103"/>
      <c r="V395" s="271"/>
    </row>
    <row r="396">
      <c r="B396" s="103"/>
      <c r="C396" s="103"/>
      <c r="D396" s="103"/>
      <c r="E396" s="103"/>
      <c r="F396" s="104"/>
      <c r="G396" s="103"/>
      <c r="H396" s="103"/>
      <c r="I396" s="157"/>
      <c r="Q396" s="103"/>
      <c r="R396" s="103"/>
      <c r="S396" s="103"/>
      <c r="T396" s="270"/>
      <c r="U396" s="103"/>
      <c r="V396" s="271"/>
    </row>
    <row r="397">
      <c r="B397" s="103"/>
      <c r="C397" s="103"/>
      <c r="D397" s="103"/>
      <c r="E397" s="103"/>
      <c r="F397" s="104"/>
      <c r="G397" s="103"/>
      <c r="H397" s="103"/>
      <c r="I397" s="157"/>
      <c r="Q397" s="103"/>
      <c r="R397" s="103"/>
      <c r="S397" s="103"/>
      <c r="T397" s="270"/>
      <c r="U397" s="103"/>
      <c r="V397" s="271"/>
    </row>
    <row r="398">
      <c r="B398" s="103"/>
      <c r="C398" s="103"/>
      <c r="D398" s="103"/>
      <c r="E398" s="103"/>
      <c r="F398" s="104"/>
      <c r="G398" s="103"/>
      <c r="H398" s="103"/>
      <c r="I398" s="157"/>
      <c r="Q398" s="103"/>
      <c r="R398" s="103"/>
      <c r="S398" s="103"/>
      <c r="T398" s="270"/>
      <c r="U398" s="103"/>
      <c r="V398" s="271"/>
    </row>
    <row r="399">
      <c r="B399" s="103"/>
      <c r="C399" s="103"/>
      <c r="D399" s="103"/>
      <c r="E399" s="103"/>
      <c r="F399" s="104"/>
      <c r="G399" s="103"/>
      <c r="H399" s="103"/>
      <c r="I399" s="157"/>
      <c r="Q399" s="103"/>
      <c r="R399" s="103"/>
      <c r="S399" s="103"/>
      <c r="T399" s="270"/>
      <c r="U399" s="103"/>
      <c r="V399" s="271"/>
    </row>
    <row r="400">
      <c r="B400" s="103"/>
      <c r="C400" s="103"/>
      <c r="D400" s="103"/>
      <c r="E400" s="103"/>
      <c r="F400" s="104"/>
      <c r="G400" s="103"/>
      <c r="H400" s="103"/>
      <c r="I400" s="157"/>
      <c r="Q400" s="103"/>
      <c r="R400" s="103"/>
      <c r="S400" s="103"/>
      <c r="T400" s="270"/>
      <c r="U400" s="103"/>
      <c r="V400" s="271"/>
    </row>
    <row r="401">
      <c r="B401" s="103"/>
      <c r="C401" s="103"/>
      <c r="D401" s="103"/>
      <c r="E401" s="103"/>
      <c r="F401" s="104"/>
      <c r="G401" s="103"/>
      <c r="H401" s="103"/>
      <c r="I401" s="157"/>
      <c r="Q401" s="103"/>
      <c r="R401" s="103"/>
      <c r="S401" s="103"/>
      <c r="T401" s="270"/>
      <c r="U401" s="103"/>
      <c r="V401" s="271"/>
    </row>
    <row r="402">
      <c r="B402" s="103"/>
      <c r="C402" s="103"/>
      <c r="D402" s="103"/>
      <c r="E402" s="103"/>
      <c r="F402" s="104"/>
      <c r="G402" s="103"/>
      <c r="H402" s="103"/>
      <c r="I402" s="157"/>
      <c r="Q402" s="103"/>
      <c r="R402" s="103"/>
      <c r="S402" s="103"/>
      <c r="T402" s="270"/>
      <c r="U402" s="103"/>
      <c r="V402" s="271"/>
    </row>
    <row r="403">
      <c r="B403" s="103"/>
      <c r="C403" s="103"/>
      <c r="D403" s="103"/>
      <c r="E403" s="103"/>
      <c r="F403" s="104"/>
      <c r="G403" s="103"/>
      <c r="H403" s="103"/>
      <c r="I403" s="157"/>
      <c r="Q403" s="103"/>
      <c r="R403" s="103"/>
      <c r="S403" s="103"/>
      <c r="T403" s="270"/>
      <c r="U403" s="103"/>
      <c r="V403" s="271"/>
    </row>
    <row r="404">
      <c r="B404" s="103"/>
      <c r="C404" s="103"/>
      <c r="D404" s="103"/>
      <c r="E404" s="103"/>
      <c r="F404" s="104"/>
      <c r="G404" s="103"/>
      <c r="H404" s="103"/>
      <c r="I404" s="157"/>
      <c r="Q404" s="103"/>
      <c r="R404" s="103"/>
      <c r="S404" s="103"/>
      <c r="T404" s="270"/>
      <c r="U404" s="103"/>
      <c r="V404" s="271"/>
    </row>
    <row r="405">
      <c r="B405" s="103"/>
      <c r="C405" s="103"/>
      <c r="D405" s="103"/>
      <c r="E405" s="103"/>
      <c r="F405" s="104"/>
      <c r="G405" s="103"/>
      <c r="H405" s="103"/>
      <c r="I405" s="157"/>
      <c r="Q405" s="103"/>
      <c r="R405" s="103"/>
      <c r="S405" s="103"/>
      <c r="T405" s="270"/>
      <c r="U405" s="103"/>
      <c r="V405" s="271"/>
    </row>
    <row r="406">
      <c r="B406" s="103"/>
      <c r="C406" s="103"/>
      <c r="D406" s="103"/>
      <c r="E406" s="103"/>
      <c r="F406" s="104"/>
      <c r="G406" s="103"/>
      <c r="H406" s="103"/>
      <c r="I406" s="157"/>
      <c r="Q406" s="103"/>
      <c r="R406" s="103"/>
      <c r="S406" s="103"/>
      <c r="T406" s="270"/>
      <c r="U406" s="103"/>
      <c r="V406" s="271"/>
    </row>
    <row r="407">
      <c r="B407" s="103"/>
      <c r="C407" s="103"/>
      <c r="D407" s="103"/>
      <c r="E407" s="103"/>
      <c r="F407" s="104"/>
      <c r="G407" s="103"/>
      <c r="H407" s="103"/>
      <c r="I407" s="157"/>
      <c r="Q407" s="103"/>
      <c r="R407" s="103"/>
      <c r="S407" s="103"/>
      <c r="T407" s="270"/>
      <c r="U407" s="103"/>
      <c r="V407" s="271"/>
    </row>
    <row r="408">
      <c r="B408" s="103"/>
      <c r="C408" s="103"/>
      <c r="D408" s="103"/>
      <c r="E408" s="103"/>
      <c r="F408" s="104"/>
      <c r="G408" s="103"/>
      <c r="H408" s="103"/>
      <c r="I408" s="157"/>
      <c r="Q408" s="103"/>
      <c r="R408" s="103"/>
      <c r="S408" s="103"/>
      <c r="T408" s="270"/>
      <c r="U408" s="103"/>
      <c r="V408" s="271"/>
    </row>
    <row r="409">
      <c r="B409" s="103"/>
      <c r="C409" s="103"/>
      <c r="D409" s="103"/>
      <c r="E409" s="103"/>
      <c r="F409" s="104"/>
      <c r="G409" s="103"/>
      <c r="H409" s="103"/>
      <c r="I409" s="157"/>
      <c r="Q409" s="103"/>
      <c r="R409" s="103"/>
      <c r="S409" s="103"/>
      <c r="T409" s="270"/>
      <c r="U409" s="103"/>
      <c r="V409" s="271"/>
    </row>
    <row r="410">
      <c r="B410" s="103"/>
      <c r="C410" s="103"/>
      <c r="D410" s="103"/>
      <c r="E410" s="103"/>
      <c r="F410" s="104"/>
      <c r="G410" s="103"/>
      <c r="H410" s="103"/>
      <c r="I410" s="157"/>
      <c r="Q410" s="103"/>
      <c r="R410" s="103"/>
      <c r="S410" s="103"/>
      <c r="T410" s="270"/>
      <c r="U410" s="103"/>
      <c r="V410" s="271"/>
    </row>
    <row r="411">
      <c r="B411" s="103"/>
      <c r="C411" s="103"/>
      <c r="D411" s="103"/>
      <c r="E411" s="103"/>
      <c r="F411" s="104"/>
      <c r="G411" s="103"/>
      <c r="H411" s="103"/>
      <c r="I411" s="157"/>
      <c r="Q411" s="103"/>
      <c r="R411" s="103"/>
      <c r="S411" s="103"/>
      <c r="T411" s="270"/>
      <c r="U411" s="103"/>
      <c r="V411" s="271"/>
    </row>
    <row r="412">
      <c r="B412" s="103"/>
      <c r="C412" s="103"/>
      <c r="D412" s="103"/>
      <c r="E412" s="103"/>
      <c r="F412" s="104"/>
      <c r="G412" s="103"/>
      <c r="H412" s="103"/>
      <c r="I412" s="157"/>
      <c r="Q412" s="103"/>
      <c r="R412" s="103"/>
      <c r="S412" s="103"/>
      <c r="T412" s="270"/>
      <c r="U412" s="103"/>
      <c r="V412" s="271"/>
    </row>
    <row r="413">
      <c r="B413" s="103"/>
      <c r="C413" s="103"/>
      <c r="D413" s="103"/>
      <c r="E413" s="103"/>
      <c r="F413" s="104"/>
      <c r="G413" s="103"/>
      <c r="H413" s="103"/>
      <c r="I413" s="157"/>
      <c r="Q413" s="103"/>
      <c r="R413" s="103"/>
      <c r="S413" s="103"/>
      <c r="T413" s="270"/>
      <c r="U413" s="103"/>
      <c r="V413" s="271"/>
    </row>
    <row r="414">
      <c r="B414" s="103"/>
      <c r="C414" s="103"/>
      <c r="D414" s="103"/>
      <c r="E414" s="103"/>
      <c r="F414" s="104"/>
      <c r="G414" s="103"/>
      <c r="H414" s="103"/>
      <c r="I414" s="157"/>
      <c r="Q414" s="103"/>
      <c r="R414" s="103"/>
      <c r="S414" s="103"/>
      <c r="T414" s="270"/>
      <c r="U414" s="103"/>
      <c r="V414" s="271"/>
    </row>
    <row r="415">
      <c r="B415" s="103"/>
      <c r="C415" s="103"/>
      <c r="D415" s="103"/>
      <c r="E415" s="103"/>
      <c r="F415" s="104"/>
      <c r="G415" s="103"/>
      <c r="H415" s="103"/>
      <c r="I415" s="157"/>
      <c r="Q415" s="103"/>
      <c r="R415" s="103"/>
      <c r="S415" s="103"/>
      <c r="T415" s="270"/>
      <c r="U415" s="103"/>
      <c r="V415" s="271"/>
    </row>
    <row r="416">
      <c r="B416" s="103"/>
      <c r="C416" s="103"/>
      <c r="D416" s="103"/>
      <c r="E416" s="103"/>
      <c r="F416" s="104"/>
      <c r="G416" s="103"/>
      <c r="H416" s="103"/>
      <c r="I416" s="157"/>
      <c r="Q416" s="103"/>
      <c r="R416" s="103"/>
      <c r="S416" s="103"/>
      <c r="T416" s="270"/>
      <c r="U416" s="103"/>
      <c r="V416" s="271"/>
    </row>
    <row r="417">
      <c r="B417" s="103"/>
      <c r="C417" s="103"/>
      <c r="D417" s="103"/>
      <c r="E417" s="103"/>
      <c r="F417" s="104"/>
      <c r="G417" s="103"/>
      <c r="H417" s="103"/>
      <c r="I417" s="157"/>
      <c r="Q417" s="103"/>
      <c r="R417" s="103"/>
      <c r="S417" s="103"/>
      <c r="T417" s="270"/>
      <c r="U417" s="103"/>
      <c r="V417" s="271"/>
    </row>
    <row r="418">
      <c r="B418" s="103"/>
      <c r="C418" s="103"/>
      <c r="D418" s="103"/>
      <c r="E418" s="103"/>
      <c r="F418" s="104"/>
      <c r="G418" s="103"/>
      <c r="H418" s="103"/>
      <c r="I418" s="157"/>
      <c r="Q418" s="103"/>
      <c r="R418" s="103"/>
      <c r="S418" s="103"/>
      <c r="T418" s="270"/>
      <c r="U418" s="103"/>
      <c r="V418" s="271"/>
    </row>
    <row r="419">
      <c r="B419" s="103"/>
      <c r="C419" s="103"/>
      <c r="D419" s="103"/>
      <c r="E419" s="103"/>
      <c r="F419" s="104"/>
      <c r="G419" s="103"/>
      <c r="H419" s="103"/>
      <c r="I419" s="157"/>
      <c r="Q419" s="103"/>
      <c r="R419" s="103"/>
      <c r="S419" s="103"/>
      <c r="T419" s="270"/>
      <c r="U419" s="103"/>
      <c r="V419" s="271"/>
    </row>
    <row r="420">
      <c r="B420" s="103"/>
      <c r="C420" s="103"/>
      <c r="D420" s="103"/>
      <c r="E420" s="103"/>
      <c r="F420" s="104"/>
      <c r="G420" s="103"/>
      <c r="H420" s="103"/>
      <c r="I420" s="157"/>
      <c r="Q420" s="103"/>
      <c r="R420" s="103"/>
      <c r="S420" s="103"/>
      <c r="T420" s="270"/>
      <c r="U420" s="103"/>
      <c r="V420" s="271"/>
    </row>
    <row r="421">
      <c r="B421" s="103"/>
      <c r="C421" s="103"/>
      <c r="D421" s="103"/>
      <c r="E421" s="103"/>
      <c r="F421" s="104"/>
      <c r="G421" s="103"/>
      <c r="H421" s="103"/>
      <c r="I421" s="157"/>
      <c r="Q421" s="103"/>
      <c r="R421" s="103"/>
      <c r="S421" s="103"/>
      <c r="T421" s="270"/>
      <c r="U421" s="103"/>
      <c r="V421" s="271"/>
    </row>
    <row r="422">
      <c r="B422" s="103"/>
      <c r="C422" s="103"/>
      <c r="D422" s="103"/>
      <c r="E422" s="103"/>
      <c r="F422" s="104"/>
      <c r="G422" s="103"/>
      <c r="H422" s="103"/>
      <c r="I422" s="157"/>
      <c r="Q422" s="103"/>
      <c r="R422" s="103"/>
      <c r="S422" s="103"/>
      <c r="T422" s="270"/>
      <c r="U422" s="103"/>
      <c r="V422" s="271"/>
    </row>
    <row r="423">
      <c r="B423" s="103"/>
      <c r="C423" s="103"/>
      <c r="D423" s="103"/>
      <c r="E423" s="103"/>
      <c r="F423" s="104"/>
      <c r="G423" s="103"/>
      <c r="H423" s="103"/>
      <c r="I423" s="157"/>
      <c r="Q423" s="103"/>
      <c r="R423" s="103"/>
      <c r="S423" s="103"/>
      <c r="T423" s="270"/>
      <c r="U423" s="103"/>
      <c r="V423" s="271"/>
    </row>
    <row r="424">
      <c r="B424" s="103"/>
      <c r="C424" s="103"/>
      <c r="D424" s="103"/>
      <c r="E424" s="103"/>
      <c r="F424" s="104"/>
      <c r="G424" s="103"/>
      <c r="H424" s="103"/>
      <c r="I424" s="157"/>
      <c r="Q424" s="103"/>
      <c r="R424" s="103"/>
      <c r="S424" s="103"/>
      <c r="T424" s="270"/>
      <c r="U424" s="103"/>
      <c r="V424" s="271"/>
    </row>
    <row r="425">
      <c r="B425" s="103"/>
      <c r="C425" s="103"/>
      <c r="D425" s="103"/>
      <c r="E425" s="103"/>
      <c r="F425" s="104"/>
      <c r="G425" s="103"/>
      <c r="H425" s="103"/>
      <c r="I425" s="157"/>
      <c r="Q425" s="103"/>
      <c r="R425" s="103"/>
      <c r="S425" s="103"/>
      <c r="T425" s="270"/>
      <c r="U425" s="103"/>
      <c r="V425" s="271"/>
    </row>
    <row r="426">
      <c r="B426" s="103"/>
      <c r="C426" s="103"/>
      <c r="D426" s="103"/>
      <c r="E426" s="103"/>
      <c r="F426" s="104"/>
      <c r="G426" s="103"/>
      <c r="H426" s="103"/>
      <c r="I426" s="157"/>
      <c r="Q426" s="103"/>
      <c r="R426" s="103"/>
      <c r="S426" s="103"/>
      <c r="T426" s="270"/>
      <c r="U426" s="103"/>
      <c r="V426" s="271"/>
    </row>
    <row r="427">
      <c r="B427" s="103"/>
      <c r="C427" s="103"/>
      <c r="D427" s="103"/>
      <c r="E427" s="103"/>
      <c r="F427" s="104"/>
      <c r="G427" s="103"/>
      <c r="H427" s="103"/>
      <c r="I427" s="157"/>
      <c r="Q427" s="103"/>
      <c r="R427" s="103"/>
      <c r="S427" s="103"/>
      <c r="T427" s="270"/>
      <c r="U427" s="103"/>
      <c r="V427" s="271"/>
    </row>
    <row r="428">
      <c r="B428" s="103"/>
      <c r="C428" s="103"/>
      <c r="D428" s="103"/>
      <c r="E428" s="103"/>
      <c r="F428" s="104"/>
      <c r="G428" s="103"/>
      <c r="H428" s="103"/>
      <c r="I428" s="157"/>
      <c r="Q428" s="103"/>
      <c r="R428" s="103"/>
      <c r="S428" s="103"/>
      <c r="T428" s="270"/>
      <c r="U428" s="103"/>
      <c r="V428" s="271"/>
    </row>
    <row r="429">
      <c r="B429" s="103"/>
      <c r="C429" s="103"/>
      <c r="D429" s="103"/>
      <c r="E429" s="103"/>
      <c r="F429" s="104"/>
      <c r="G429" s="103"/>
      <c r="H429" s="103"/>
      <c r="I429" s="157"/>
      <c r="Q429" s="103"/>
      <c r="R429" s="103"/>
      <c r="S429" s="103"/>
      <c r="T429" s="270"/>
      <c r="U429" s="103"/>
      <c r="V429" s="271"/>
    </row>
    <row r="430">
      <c r="B430" s="103"/>
      <c r="C430" s="103"/>
      <c r="D430" s="103"/>
      <c r="E430" s="103"/>
      <c r="F430" s="104"/>
      <c r="G430" s="103"/>
      <c r="H430" s="103"/>
      <c r="I430" s="157"/>
      <c r="Q430" s="103"/>
      <c r="R430" s="103"/>
      <c r="S430" s="103"/>
      <c r="T430" s="270"/>
      <c r="U430" s="103"/>
      <c r="V430" s="271"/>
    </row>
    <row r="431">
      <c r="B431" s="103"/>
      <c r="C431" s="103"/>
      <c r="D431" s="103"/>
      <c r="E431" s="103"/>
      <c r="F431" s="104"/>
      <c r="G431" s="103"/>
      <c r="H431" s="103"/>
      <c r="I431" s="157"/>
      <c r="Q431" s="103"/>
      <c r="R431" s="103"/>
      <c r="S431" s="103"/>
      <c r="T431" s="270"/>
      <c r="U431" s="103"/>
      <c r="V431" s="271"/>
    </row>
    <row r="432">
      <c r="B432" s="103"/>
      <c r="C432" s="103"/>
      <c r="D432" s="103"/>
      <c r="E432" s="103"/>
      <c r="F432" s="104"/>
      <c r="G432" s="103"/>
      <c r="H432" s="103"/>
      <c r="I432" s="157"/>
      <c r="Q432" s="103"/>
      <c r="R432" s="103"/>
      <c r="S432" s="103"/>
      <c r="T432" s="270"/>
      <c r="U432" s="103"/>
      <c r="V432" s="271"/>
    </row>
    <row r="433">
      <c r="B433" s="103"/>
      <c r="C433" s="103"/>
      <c r="D433" s="103"/>
      <c r="E433" s="103"/>
      <c r="F433" s="104"/>
      <c r="G433" s="103"/>
      <c r="H433" s="103"/>
      <c r="I433" s="157"/>
      <c r="Q433" s="103"/>
      <c r="R433" s="103"/>
      <c r="S433" s="103"/>
      <c r="T433" s="270"/>
      <c r="U433" s="103"/>
      <c r="V433" s="271"/>
    </row>
    <row r="434">
      <c r="B434" s="103"/>
      <c r="C434" s="103"/>
      <c r="D434" s="103"/>
      <c r="E434" s="103"/>
      <c r="F434" s="104"/>
      <c r="G434" s="103"/>
      <c r="H434" s="103"/>
      <c r="I434" s="157"/>
      <c r="Q434" s="103"/>
      <c r="R434" s="103"/>
      <c r="S434" s="103"/>
      <c r="T434" s="270"/>
      <c r="U434" s="103"/>
      <c r="V434" s="271"/>
    </row>
    <row r="435">
      <c r="B435" s="103"/>
      <c r="C435" s="103"/>
      <c r="D435" s="103"/>
      <c r="E435" s="103"/>
      <c r="F435" s="104"/>
      <c r="G435" s="103"/>
      <c r="H435" s="103"/>
      <c r="I435" s="157"/>
      <c r="Q435" s="103"/>
      <c r="R435" s="103"/>
      <c r="S435" s="103"/>
      <c r="T435" s="270"/>
      <c r="U435" s="103"/>
      <c r="V435" s="271"/>
    </row>
    <row r="436">
      <c r="B436" s="103"/>
      <c r="C436" s="103"/>
      <c r="D436" s="103"/>
      <c r="E436" s="103"/>
      <c r="F436" s="104"/>
      <c r="G436" s="103"/>
      <c r="H436" s="103"/>
      <c r="I436" s="157"/>
      <c r="Q436" s="103"/>
      <c r="R436" s="103"/>
      <c r="S436" s="103"/>
      <c r="T436" s="270"/>
      <c r="U436" s="103"/>
      <c r="V436" s="271"/>
    </row>
    <row r="437">
      <c r="B437" s="103"/>
      <c r="C437" s="103"/>
      <c r="D437" s="103"/>
      <c r="E437" s="103"/>
      <c r="F437" s="104"/>
      <c r="G437" s="103"/>
      <c r="H437" s="103"/>
      <c r="I437" s="157"/>
      <c r="Q437" s="103"/>
      <c r="R437" s="103"/>
      <c r="S437" s="103"/>
      <c r="T437" s="270"/>
      <c r="U437" s="103"/>
      <c r="V437" s="271"/>
    </row>
    <row r="438">
      <c r="B438" s="103"/>
      <c r="C438" s="103"/>
      <c r="D438" s="103"/>
      <c r="E438" s="103"/>
      <c r="F438" s="104"/>
      <c r="G438" s="103"/>
      <c r="H438" s="103"/>
      <c r="I438" s="157"/>
      <c r="Q438" s="103"/>
      <c r="R438" s="103"/>
      <c r="S438" s="103"/>
      <c r="T438" s="270"/>
      <c r="U438" s="103"/>
      <c r="V438" s="271"/>
    </row>
    <row r="439">
      <c r="B439" s="103"/>
      <c r="C439" s="103"/>
      <c r="D439" s="103"/>
      <c r="E439" s="103"/>
      <c r="F439" s="104"/>
      <c r="G439" s="103"/>
      <c r="H439" s="103"/>
      <c r="I439" s="157"/>
      <c r="Q439" s="103"/>
      <c r="R439" s="103"/>
      <c r="S439" s="103"/>
      <c r="T439" s="270"/>
      <c r="U439" s="103"/>
      <c r="V439" s="271"/>
    </row>
    <row r="440">
      <c r="B440" s="103"/>
      <c r="C440" s="103"/>
      <c r="D440" s="103"/>
      <c r="E440" s="103"/>
      <c r="F440" s="104"/>
      <c r="G440" s="103"/>
      <c r="H440" s="103"/>
      <c r="I440" s="157"/>
      <c r="Q440" s="103"/>
      <c r="R440" s="103"/>
      <c r="S440" s="103"/>
      <c r="T440" s="270"/>
      <c r="U440" s="103"/>
      <c r="V440" s="271"/>
    </row>
    <row r="441">
      <c r="B441" s="103"/>
      <c r="C441" s="103"/>
      <c r="D441" s="103"/>
      <c r="E441" s="103"/>
      <c r="F441" s="104"/>
      <c r="G441" s="103"/>
      <c r="H441" s="103"/>
      <c r="I441" s="157"/>
      <c r="Q441" s="103"/>
      <c r="R441" s="103"/>
      <c r="S441" s="103"/>
      <c r="T441" s="270"/>
      <c r="U441" s="103"/>
      <c r="V441" s="271"/>
    </row>
    <row r="442">
      <c r="B442" s="103"/>
      <c r="C442" s="103"/>
      <c r="D442" s="103"/>
      <c r="E442" s="103"/>
      <c r="F442" s="104"/>
      <c r="G442" s="103"/>
      <c r="H442" s="103"/>
      <c r="I442" s="157"/>
      <c r="Q442" s="103"/>
      <c r="R442" s="103"/>
      <c r="S442" s="103"/>
      <c r="T442" s="270"/>
      <c r="U442" s="103"/>
      <c r="V442" s="271"/>
    </row>
    <row r="443">
      <c r="B443" s="103"/>
      <c r="C443" s="103"/>
      <c r="D443" s="103"/>
      <c r="E443" s="103"/>
      <c r="F443" s="104"/>
      <c r="G443" s="103"/>
      <c r="H443" s="103"/>
      <c r="I443" s="157"/>
      <c r="Q443" s="103"/>
      <c r="R443" s="103"/>
      <c r="S443" s="103"/>
      <c r="T443" s="270"/>
      <c r="U443" s="103"/>
      <c r="V443" s="271"/>
    </row>
    <row r="444">
      <c r="B444" s="103"/>
      <c r="C444" s="103"/>
      <c r="D444" s="103"/>
      <c r="E444" s="103"/>
      <c r="F444" s="104"/>
      <c r="G444" s="103"/>
      <c r="H444" s="103"/>
      <c r="I444" s="157"/>
      <c r="Q444" s="103"/>
      <c r="R444" s="103"/>
      <c r="S444" s="103"/>
      <c r="T444" s="270"/>
      <c r="U444" s="103"/>
      <c r="V444" s="271"/>
    </row>
    <row r="445">
      <c r="B445" s="103"/>
      <c r="C445" s="103"/>
      <c r="D445" s="103"/>
      <c r="E445" s="103"/>
      <c r="F445" s="104"/>
      <c r="G445" s="103"/>
      <c r="H445" s="103"/>
      <c r="I445" s="157"/>
      <c r="Q445" s="103"/>
      <c r="R445" s="103"/>
      <c r="S445" s="103"/>
      <c r="T445" s="270"/>
      <c r="U445" s="103"/>
      <c r="V445" s="271"/>
    </row>
    <row r="446">
      <c r="B446" s="103"/>
      <c r="C446" s="103"/>
      <c r="D446" s="103"/>
      <c r="E446" s="103"/>
      <c r="F446" s="104"/>
      <c r="G446" s="103"/>
      <c r="H446" s="103"/>
      <c r="I446" s="157"/>
      <c r="Q446" s="103"/>
      <c r="R446" s="103"/>
      <c r="S446" s="103"/>
      <c r="T446" s="270"/>
      <c r="U446" s="103"/>
      <c r="V446" s="271"/>
    </row>
    <row r="447">
      <c r="B447" s="103"/>
      <c r="C447" s="103"/>
      <c r="D447" s="103"/>
      <c r="E447" s="103"/>
      <c r="F447" s="104"/>
      <c r="G447" s="103"/>
      <c r="H447" s="103"/>
      <c r="I447" s="157"/>
      <c r="Q447" s="103"/>
      <c r="R447" s="103"/>
      <c r="S447" s="103"/>
      <c r="T447" s="270"/>
      <c r="U447" s="103"/>
      <c r="V447" s="271"/>
    </row>
    <row r="448">
      <c r="B448" s="103"/>
      <c r="C448" s="103"/>
      <c r="D448" s="103"/>
      <c r="E448" s="103"/>
      <c r="F448" s="104"/>
      <c r="G448" s="103"/>
      <c r="H448" s="103"/>
      <c r="I448" s="157"/>
      <c r="Q448" s="103"/>
      <c r="R448" s="103"/>
      <c r="S448" s="103"/>
      <c r="T448" s="270"/>
      <c r="U448" s="103"/>
      <c r="V448" s="271"/>
    </row>
    <row r="449">
      <c r="B449" s="103"/>
      <c r="C449" s="103"/>
      <c r="D449" s="103"/>
      <c r="E449" s="103"/>
      <c r="F449" s="104"/>
      <c r="G449" s="103"/>
      <c r="H449" s="103"/>
      <c r="I449" s="157"/>
      <c r="Q449" s="103"/>
      <c r="R449" s="103"/>
      <c r="S449" s="103"/>
      <c r="T449" s="270"/>
      <c r="U449" s="103"/>
      <c r="V449" s="271"/>
    </row>
    <row r="450">
      <c r="B450" s="103"/>
      <c r="C450" s="103"/>
      <c r="D450" s="103"/>
      <c r="E450" s="103"/>
      <c r="F450" s="104"/>
      <c r="G450" s="103"/>
      <c r="H450" s="103"/>
      <c r="I450" s="157"/>
      <c r="Q450" s="103"/>
      <c r="R450" s="103"/>
      <c r="S450" s="103"/>
      <c r="T450" s="270"/>
      <c r="U450" s="103"/>
      <c r="V450" s="271"/>
    </row>
    <row r="451">
      <c r="B451" s="103"/>
      <c r="C451" s="103"/>
      <c r="D451" s="103"/>
      <c r="E451" s="103"/>
      <c r="F451" s="104"/>
      <c r="G451" s="103"/>
      <c r="H451" s="103"/>
      <c r="I451" s="157"/>
      <c r="Q451" s="103"/>
      <c r="R451" s="103"/>
      <c r="S451" s="103"/>
      <c r="T451" s="270"/>
      <c r="U451" s="103"/>
      <c r="V451" s="271"/>
    </row>
    <row r="452">
      <c r="B452" s="103"/>
      <c r="C452" s="103"/>
      <c r="D452" s="103"/>
      <c r="E452" s="103"/>
      <c r="F452" s="104"/>
      <c r="G452" s="103"/>
      <c r="H452" s="103"/>
      <c r="I452" s="157"/>
      <c r="Q452" s="103"/>
      <c r="R452" s="103"/>
      <c r="S452" s="103"/>
      <c r="T452" s="270"/>
      <c r="U452" s="103"/>
      <c r="V452" s="271"/>
    </row>
    <row r="453">
      <c r="B453" s="103"/>
      <c r="C453" s="103"/>
      <c r="D453" s="103"/>
      <c r="E453" s="103"/>
      <c r="F453" s="104"/>
      <c r="G453" s="103"/>
      <c r="H453" s="103"/>
      <c r="I453" s="157"/>
      <c r="Q453" s="103"/>
      <c r="R453" s="103"/>
      <c r="S453" s="103"/>
      <c r="T453" s="270"/>
      <c r="U453" s="103"/>
      <c r="V453" s="271"/>
    </row>
    <row r="454">
      <c r="B454" s="103"/>
      <c r="C454" s="103"/>
      <c r="D454" s="103"/>
      <c r="E454" s="103"/>
      <c r="F454" s="104"/>
      <c r="G454" s="103"/>
      <c r="H454" s="103"/>
      <c r="I454" s="157"/>
      <c r="Q454" s="103"/>
      <c r="R454" s="103"/>
      <c r="S454" s="103"/>
      <c r="T454" s="270"/>
      <c r="U454" s="103"/>
      <c r="V454" s="271"/>
    </row>
    <row r="455">
      <c r="B455" s="103"/>
      <c r="C455" s="103"/>
      <c r="D455" s="103"/>
      <c r="E455" s="103"/>
      <c r="F455" s="104"/>
      <c r="G455" s="103"/>
      <c r="H455" s="103"/>
      <c r="I455" s="157"/>
      <c r="Q455" s="103"/>
      <c r="R455" s="103"/>
      <c r="S455" s="103"/>
      <c r="T455" s="270"/>
      <c r="U455" s="103"/>
      <c r="V455" s="271"/>
    </row>
    <row r="456">
      <c r="B456" s="103"/>
      <c r="C456" s="103"/>
      <c r="D456" s="103"/>
      <c r="E456" s="103"/>
      <c r="F456" s="104"/>
      <c r="G456" s="103"/>
      <c r="H456" s="103"/>
      <c r="I456" s="157"/>
      <c r="Q456" s="103"/>
      <c r="R456" s="103"/>
      <c r="S456" s="103"/>
      <c r="T456" s="270"/>
      <c r="U456" s="103"/>
      <c r="V456" s="271"/>
    </row>
    <row r="457">
      <c r="B457" s="103"/>
      <c r="C457" s="103"/>
      <c r="D457" s="103"/>
      <c r="E457" s="103"/>
      <c r="F457" s="104"/>
      <c r="G457" s="103"/>
      <c r="H457" s="103"/>
      <c r="I457" s="157"/>
      <c r="Q457" s="103"/>
      <c r="R457" s="103"/>
      <c r="S457" s="103"/>
      <c r="T457" s="270"/>
      <c r="U457" s="103"/>
      <c r="V457" s="271"/>
    </row>
    <row r="458">
      <c r="B458" s="103"/>
      <c r="C458" s="103"/>
      <c r="D458" s="103"/>
      <c r="E458" s="103"/>
      <c r="F458" s="104"/>
      <c r="G458" s="103"/>
      <c r="H458" s="103"/>
      <c r="I458" s="157"/>
      <c r="Q458" s="103"/>
      <c r="R458" s="103"/>
      <c r="S458" s="103"/>
      <c r="T458" s="270"/>
      <c r="U458" s="103"/>
      <c r="V458" s="271"/>
    </row>
    <row r="459">
      <c r="B459" s="103"/>
      <c r="C459" s="103"/>
      <c r="D459" s="103"/>
      <c r="E459" s="103"/>
      <c r="F459" s="104"/>
      <c r="G459" s="103"/>
      <c r="H459" s="103"/>
      <c r="I459" s="157"/>
      <c r="Q459" s="103"/>
      <c r="R459" s="103"/>
      <c r="S459" s="103"/>
      <c r="T459" s="270"/>
      <c r="U459" s="103"/>
      <c r="V459" s="271"/>
    </row>
    <row r="460">
      <c r="B460" s="103"/>
      <c r="C460" s="103"/>
      <c r="D460" s="103"/>
      <c r="E460" s="103"/>
      <c r="F460" s="104"/>
      <c r="G460" s="103"/>
      <c r="H460" s="103"/>
      <c r="I460" s="157"/>
      <c r="Q460" s="103"/>
      <c r="R460" s="103"/>
      <c r="S460" s="103"/>
      <c r="T460" s="270"/>
      <c r="U460" s="103"/>
      <c r="V460" s="271"/>
    </row>
    <row r="461">
      <c r="B461" s="103"/>
      <c r="C461" s="103"/>
      <c r="D461" s="103"/>
      <c r="E461" s="103"/>
      <c r="F461" s="104"/>
      <c r="G461" s="103"/>
      <c r="H461" s="103"/>
      <c r="I461" s="157"/>
      <c r="Q461" s="103"/>
      <c r="R461" s="103"/>
      <c r="S461" s="103"/>
      <c r="T461" s="270"/>
      <c r="U461" s="103"/>
      <c r="V461" s="271"/>
    </row>
    <row r="462">
      <c r="B462" s="103"/>
      <c r="C462" s="103"/>
      <c r="D462" s="103"/>
      <c r="E462" s="103"/>
      <c r="F462" s="104"/>
      <c r="G462" s="103"/>
      <c r="H462" s="103"/>
      <c r="I462" s="157"/>
      <c r="Q462" s="103"/>
      <c r="R462" s="103"/>
      <c r="S462" s="103"/>
      <c r="T462" s="270"/>
      <c r="U462" s="103"/>
      <c r="V462" s="271"/>
    </row>
    <row r="463">
      <c r="B463" s="103"/>
      <c r="C463" s="103"/>
      <c r="D463" s="103"/>
      <c r="E463" s="103"/>
      <c r="F463" s="104"/>
      <c r="G463" s="103"/>
      <c r="H463" s="103"/>
      <c r="I463" s="157"/>
      <c r="Q463" s="103"/>
      <c r="R463" s="103"/>
      <c r="S463" s="103"/>
      <c r="T463" s="270"/>
      <c r="U463" s="103"/>
      <c r="V463" s="271"/>
    </row>
    <row r="464">
      <c r="B464" s="103"/>
      <c r="C464" s="103"/>
      <c r="D464" s="103"/>
      <c r="E464" s="103"/>
      <c r="F464" s="104"/>
      <c r="G464" s="103"/>
      <c r="H464" s="103"/>
      <c r="I464" s="157"/>
      <c r="Q464" s="103"/>
      <c r="R464" s="103"/>
      <c r="S464" s="103"/>
      <c r="T464" s="270"/>
      <c r="U464" s="103"/>
      <c r="V464" s="271"/>
    </row>
    <row r="465">
      <c r="B465" s="103"/>
      <c r="C465" s="103"/>
      <c r="D465" s="103"/>
      <c r="E465" s="103"/>
      <c r="F465" s="104"/>
      <c r="G465" s="103"/>
      <c r="H465" s="103"/>
      <c r="I465" s="157"/>
      <c r="Q465" s="103"/>
      <c r="R465" s="103"/>
      <c r="S465" s="103"/>
      <c r="T465" s="270"/>
      <c r="U465" s="103"/>
      <c r="V465" s="271"/>
    </row>
    <row r="466">
      <c r="B466" s="103"/>
      <c r="C466" s="103"/>
      <c r="D466" s="103"/>
      <c r="E466" s="103"/>
      <c r="F466" s="104"/>
      <c r="G466" s="103"/>
      <c r="H466" s="103"/>
      <c r="I466" s="157"/>
      <c r="Q466" s="103"/>
      <c r="R466" s="103"/>
      <c r="S466" s="103"/>
      <c r="T466" s="270"/>
      <c r="U466" s="103"/>
      <c r="V466" s="271"/>
    </row>
    <row r="467">
      <c r="B467" s="103"/>
      <c r="C467" s="103"/>
      <c r="D467" s="103"/>
      <c r="E467" s="103"/>
      <c r="F467" s="104"/>
      <c r="G467" s="103"/>
      <c r="H467" s="103"/>
      <c r="I467" s="157"/>
      <c r="Q467" s="103"/>
      <c r="R467" s="103"/>
      <c r="S467" s="103"/>
      <c r="T467" s="270"/>
      <c r="U467" s="103"/>
      <c r="V467" s="271"/>
    </row>
    <row r="468">
      <c r="B468" s="103"/>
      <c r="C468" s="103"/>
      <c r="D468" s="103"/>
      <c r="E468" s="103"/>
      <c r="F468" s="104"/>
      <c r="G468" s="103"/>
      <c r="H468" s="103"/>
      <c r="I468" s="157"/>
      <c r="Q468" s="103"/>
      <c r="R468" s="103"/>
      <c r="S468" s="103"/>
      <c r="T468" s="270"/>
      <c r="U468" s="103"/>
      <c r="V468" s="271"/>
    </row>
    <row r="469">
      <c r="B469" s="103"/>
      <c r="C469" s="103"/>
      <c r="D469" s="103"/>
      <c r="E469" s="103"/>
      <c r="F469" s="104"/>
      <c r="G469" s="103"/>
      <c r="H469" s="103"/>
      <c r="I469" s="157"/>
      <c r="Q469" s="103"/>
      <c r="R469" s="103"/>
      <c r="S469" s="103"/>
      <c r="T469" s="270"/>
      <c r="U469" s="103"/>
      <c r="V469" s="271"/>
    </row>
    <row r="470">
      <c r="B470" s="103"/>
      <c r="C470" s="103"/>
      <c r="D470" s="103"/>
      <c r="E470" s="103"/>
      <c r="F470" s="104"/>
      <c r="G470" s="103"/>
      <c r="H470" s="103"/>
      <c r="I470" s="157"/>
      <c r="Q470" s="103"/>
      <c r="R470" s="103"/>
      <c r="S470" s="103"/>
      <c r="T470" s="270"/>
      <c r="U470" s="103"/>
      <c r="V470" s="271"/>
    </row>
    <row r="471">
      <c r="B471" s="103"/>
      <c r="C471" s="103"/>
      <c r="D471" s="103"/>
      <c r="E471" s="103"/>
      <c r="F471" s="104"/>
      <c r="G471" s="103"/>
      <c r="H471" s="103"/>
      <c r="I471" s="157"/>
      <c r="Q471" s="103"/>
      <c r="R471" s="103"/>
      <c r="S471" s="103"/>
      <c r="T471" s="270"/>
      <c r="U471" s="103"/>
      <c r="V471" s="271"/>
    </row>
    <row r="472">
      <c r="B472" s="103"/>
      <c r="C472" s="103"/>
      <c r="D472" s="103"/>
      <c r="E472" s="103"/>
      <c r="F472" s="104"/>
      <c r="G472" s="103"/>
      <c r="H472" s="103"/>
      <c r="I472" s="157"/>
      <c r="Q472" s="103"/>
      <c r="R472" s="103"/>
      <c r="S472" s="103"/>
      <c r="T472" s="270"/>
      <c r="U472" s="103"/>
      <c r="V472" s="271"/>
    </row>
    <row r="473">
      <c r="B473" s="103"/>
      <c r="C473" s="103"/>
      <c r="D473" s="103"/>
      <c r="E473" s="103"/>
      <c r="F473" s="104"/>
      <c r="G473" s="103"/>
      <c r="H473" s="103"/>
      <c r="I473" s="157"/>
      <c r="Q473" s="103"/>
      <c r="R473" s="103"/>
      <c r="S473" s="103"/>
      <c r="T473" s="270"/>
      <c r="U473" s="103"/>
      <c r="V473" s="271"/>
    </row>
    <row r="474">
      <c r="B474" s="103"/>
      <c r="C474" s="103"/>
      <c r="D474" s="103"/>
      <c r="E474" s="103"/>
      <c r="F474" s="104"/>
      <c r="G474" s="103"/>
      <c r="H474" s="103"/>
      <c r="I474" s="157"/>
      <c r="Q474" s="103"/>
      <c r="R474" s="103"/>
      <c r="S474" s="103"/>
      <c r="T474" s="270"/>
      <c r="U474" s="103"/>
      <c r="V474" s="271"/>
    </row>
    <row r="475">
      <c r="B475" s="103"/>
      <c r="C475" s="103"/>
      <c r="D475" s="103"/>
      <c r="E475" s="103"/>
      <c r="F475" s="104"/>
      <c r="G475" s="103"/>
      <c r="H475" s="103"/>
      <c r="I475" s="157"/>
      <c r="Q475" s="103"/>
      <c r="R475" s="103"/>
      <c r="S475" s="103"/>
      <c r="T475" s="270"/>
      <c r="U475" s="103"/>
      <c r="V475" s="271"/>
    </row>
    <row r="476">
      <c r="B476" s="103"/>
      <c r="C476" s="103"/>
      <c r="D476" s="103"/>
      <c r="E476" s="103"/>
      <c r="F476" s="104"/>
      <c r="G476" s="103"/>
      <c r="H476" s="103"/>
      <c r="I476" s="157"/>
      <c r="Q476" s="103"/>
      <c r="R476" s="103"/>
      <c r="S476" s="103"/>
      <c r="T476" s="270"/>
      <c r="U476" s="103"/>
      <c r="V476" s="271"/>
    </row>
    <row r="477">
      <c r="B477" s="103"/>
      <c r="C477" s="103"/>
      <c r="D477" s="103"/>
      <c r="E477" s="103"/>
      <c r="F477" s="104"/>
      <c r="G477" s="103"/>
      <c r="H477" s="103"/>
      <c r="I477" s="157"/>
      <c r="Q477" s="103"/>
      <c r="R477" s="103"/>
      <c r="S477" s="103"/>
      <c r="T477" s="270"/>
      <c r="U477" s="103"/>
      <c r="V477" s="271"/>
    </row>
    <row r="478">
      <c r="B478" s="103"/>
      <c r="C478" s="103"/>
      <c r="D478" s="103"/>
      <c r="E478" s="103"/>
      <c r="F478" s="104"/>
      <c r="G478" s="103"/>
      <c r="H478" s="103"/>
      <c r="I478" s="157"/>
      <c r="Q478" s="103"/>
      <c r="R478" s="103"/>
      <c r="S478" s="103"/>
      <c r="T478" s="270"/>
      <c r="U478" s="103"/>
      <c r="V478" s="271"/>
    </row>
    <row r="479">
      <c r="B479" s="103"/>
      <c r="C479" s="103"/>
      <c r="D479" s="103"/>
      <c r="E479" s="103"/>
      <c r="F479" s="104"/>
      <c r="G479" s="103"/>
      <c r="H479" s="103"/>
      <c r="I479" s="157"/>
      <c r="Q479" s="103"/>
      <c r="R479" s="103"/>
      <c r="S479" s="103"/>
      <c r="T479" s="270"/>
      <c r="U479" s="103"/>
      <c r="V479" s="271"/>
    </row>
    <row r="480">
      <c r="B480" s="103"/>
      <c r="C480" s="103"/>
      <c r="D480" s="103"/>
      <c r="E480" s="103"/>
      <c r="F480" s="104"/>
      <c r="G480" s="103"/>
      <c r="H480" s="103"/>
      <c r="I480" s="157"/>
      <c r="Q480" s="103"/>
      <c r="R480" s="103"/>
      <c r="S480" s="103"/>
      <c r="T480" s="270"/>
      <c r="U480" s="103"/>
      <c r="V480" s="271"/>
    </row>
    <row r="481">
      <c r="B481" s="103"/>
      <c r="C481" s="103"/>
      <c r="D481" s="103"/>
      <c r="E481" s="103"/>
      <c r="F481" s="104"/>
      <c r="G481" s="103"/>
      <c r="H481" s="103"/>
      <c r="I481" s="157"/>
      <c r="Q481" s="103"/>
      <c r="R481" s="103"/>
      <c r="S481" s="103"/>
      <c r="T481" s="270"/>
      <c r="U481" s="103"/>
      <c r="V481" s="271"/>
    </row>
    <row r="482">
      <c r="B482" s="103"/>
      <c r="C482" s="103"/>
      <c r="D482" s="103"/>
      <c r="E482" s="103"/>
      <c r="F482" s="104"/>
      <c r="G482" s="103"/>
      <c r="H482" s="103"/>
      <c r="I482" s="157"/>
      <c r="Q482" s="103"/>
      <c r="R482" s="103"/>
      <c r="S482" s="103"/>
      <c r="T482" s="270"/>
      <c r="U482" s="103"/>
      <c r="V482" s="271"/>
    </row>
    <row r="483">
      <c r="B483" s="103"/>
      <c r="C483" s="103"/>
      <c r="D483" s="103"/>
      <c r="E483" s="103"/>
      <c r="F483" s="104"/>
      <c r="G483" s="103"/>
      <c r="H483" s="103"/>
      <c r="I483" s="157"/>
      <c r="Q483" s="103"/>
      <c r="R483" s="103"/>
      <c r="S483" s="103"/>
      <c r="T483" s="270"/>
      <c r="U483" s="103"/>
      <c r="V483" s="271"/>
    </row>
    <row r="484">
      <c r="B484" s="103"/>
      <c r="C484" s="103"/>
      <c r="D484" s="103"/>
      <c r="E484" s="103"/>
      <c r="F484" s="104"/>
      <c r="G484" s="103"/>
      <c r="H484" s="103"/>
      <c r="I484" s="157"/>
      <c r="Q484" s="103"/>
      <c r="R484" s="103"/>
      <c r="S484" s="103"/>
      <c r="T484" s="270"/>
      <c r="U484" s="103"/>
      <c r="V484" s="271"/>
    </row>
    <row r="485">
      <c r="B485" s="103"/>
      <c r="C485" s="103"/>
      <c r="D485" s="103"/>
      <c r="E485" s="103"/>
      <c r="F485" s="104"/>
      <c r="G485" s="103"/>
      <c r="H485" s="103"/>
      <c r="I485" s="157"/>
      <c r="Q485" s="103"/>
      <c r="R485" s="103"/>
      <c r="S485" s="103"/>
      <c r="T485" s="270"/>
      <c r="U485" s="103"/>
      <c r="V485" s="271"/>
    </row>
    <row r="486">
      <c r="B486" s="103"/>
      <c r="C486" s="103"/>
      <c r="D486" s="103"/>
      <c r="E486" s="103"/>
      <c r="F486" s="104"/>
      <c r="G486" s="103"/>
      <c r="H486" s="103"/>
      <c r="I486" s="157"/>
      <c r="Q486" s="103"/>
      <c r="R486" s="103"/>
      <c r="S486" s="103"/>
      <c r="T486" s="270"/>
      <c r="U486" s="103"/>
      <c r="V486" s="271"/>
    </row>
    <row r="487">
      <c r="B487" s="103"/>
      <c r="C487" s="103"/>
      <c r="D487" s="103"/>
      <c r="E487" s="103"/>
      <c r="F487" s="104"/>
      <c r="G487" s="103"/>
      <c r="H487" s="103"/>
      <c r="I487" s="157"/>
      <c r="Q487" s="103"/>
      <c r="R487" s="103"/>
      <c r="S487" s="103"/>
      <c r="T487" s="270"/>
      <c r="U487" s="103"/>
      <c r="V487" s="271"/>
    </row>
    <row r="488">
      <c r="B488" s="103"/>
      <c r="C488" s="103"/>
      <c r="D488" s="103"/>
      <c r="E488" s="103"/>
      <c r="F488" s="104"/>
      <c r="G488" s="103"/>
      <c r="H488" s="103"/>
      <c r="I488" s="157"/>
      <c r="Q488" s="103"/>
      <c r="R488" s="103"/>
      <c r="S488" s="103"/>
      <c r="T488" s="270"/>
      <c r="U488" s="103"/>
      <c r="V488" s="271"/>
    </row>
    <row r="489">
      <c r="B489" s="103"/>
      <c r="C489" s="103"/>
      <c r="D489" s="103"/>
      <c r="E489" s="103"/>
      <c r="F489" s="104"/>
      <c r="G489" s="103"/>
      <c r="H489" s="103"/>
      <c r="I489" s="157"/>
      <c r="Q489" s="103"/>
      <c r="R489" s="103"/>
      <c r="S489" s="103"/>
      <c r="T489" s="270"/>
      <c r="U489" s="103"/>
      <c r="V489" s="271"/>
    </row>
    <row r="490">
      <c r="B490" s="103"/>
      <c r="C490" s="103"/>
      <c r="D490" s="103"/>
      <c r="E490" s="103"/>
      <c r="F490" s="104"/>
      <c r="G490" s="103"/>
      <c r="H490" s="103"/>
      <c r="I490" s="157"/>
      <c r="Q490" s="103"/>
      <c r="R490" s="103"/>
      <c r="S490" s="103"/>
      <c r="T490" s="270"/>
      <c r="U490" s="103"/>
      <c r="V490" s="271"/>
    </row>
    <row r="491">
      <c r="B491" s="103"/>
      <c r="C491" s="103"/>
      <c r="D491" s="103"/>
      <c r="E491" s="103"/>
      <c r="F491" s="104"/>
      <c r="G491" s="103"/>
      <c r="H491" s="103"/>
      <c r="I491" s="157"/>
      <c r="Q491" s="103"/>
      <c r="R491" s="103"/>
      <c r="S491" s="103"/>
      <c r="T491" s="270"/>
      <c r="U491" s="103"/>
      <c r="V491" s="271"/>
    </row>
    <row r="492">
      <c r="B492" s="103"/>
      <c r="C492" s="103"/>
      <c r="D492" s="103"/>
      <c r="E492" s="103"/>
      <c r="F492" s="104"/>
      <c r="G492" s="103"/>
      <c r="H492" s="103"/>
      <c r="I492" s="157"/>
      <c r="Q492" s="103"/>
      <c r="R492" s="103"/>
      <c r="S492" s="103"/>
      <c r="T492" s="270"/>
      <c r="U492" s="103"/>
      <c r="V492" s="271"/>
    </row>
    <row r="493">
      <c r="B493" s="103"/>
      <c r="C493" s="103"/>
      <c r="D493" s="103"/>
      <c r="E493" s="103"/>
      <c r="F493" s="104"/>
      <c r="G493" s="103"/>
      <c r="H493" s="103"/>
      <c r="I493" s="157"/>
      <c r="Q493" s="103"/>
      <c r="R493" s="103"/>
      <c r="S493" s="103"/>
      <c r="T493" s="270"/>
      <c r="U493" s="103"/>
      <c r="V493" s="271"/>
    </row>
    <row r="494">
      <c r="B494" s="103"/>
      <c r="C494" s="103"/>
      <c r="D494" s="103"/>
      <c r="E494" s="103"/>
      <c r="F494" s="104"/>
      <c r="G494" s="103"/>
      <c r="H494" s="103"/>
      <c r="I494" s="157"/>
      <c r="Q494" s="103"/>
      <c r="R494" s="103"/>
      <c r="S494" s="103"/>
      <c r="T494" s="270"/>
      <c r="U494" s="103"/>
      <c r="V494" s="271"/>
    </row>
    <row r="495">
      <c r="B495" s="103"/>
      <c r="C495" s="103"/>
      <c r="D495" s="103"/>
      <c r="E495" s="103"/>
      <c r="F495" s="104"/>
      <c r="G495" s="103"/>
      <c r="H495" s="103"/>
      <c r="I495" s="157"/>
      <c r="Q495" s="103"/>
      <c r="R495" s="103"/>
      <c r="S495" s="103"/>
      <c r="T495" s="270"/>
      <c r="U495" s="103"/>
      <c r="V495" s="271"/>
    </row>
    <row r="496">
      <c r="B496" s="103"/>
      <c r="C496" s="103"/>
      <c r="D496" s="103"/>
      <c r="E496" s="103"/>
      <c r="F496" s="104"/>
      <c r="G496" s="103"/>
      <c r="H496" s="103"/>
      <c r="I496" s="157"/>
      <c r="Q496" s="103"/>
      <c r="R496" s="103"/>
      <c r="S496" s="103"/>
      <c r="T496" s="270"/>
      <c r="U496" s="103"/>
      <c r="V496" s="271"/>
    </row>
    <row r="497">
      <c r="B497" s="103"/>
      <c r="C497" s="103"/>
      <c r="D497" s="103"/>
      <c r="E497" s="103"/>
      <c r="F497" s="104"/>
      <c r="G497" s="103"/>
      <c r="H497" s="103"/>
      <c r="I497" s="157"/>
      <c r="Q497" s="103"/>
      <c r="R497" s="103"/>
      <c r="S497" s="103"/>
      <c r="T497" s="270"/>
      <c r="U497" s="103"/>
      <c r="V497" s="271"/>
    </row>
    <row r="498">
      <c r="B498" s="103"/>
      <c r="C498" s="103"/>
      <c r="D498" s="103"/>
      <c r="E498" s="103"/>
      <c r="F498" s="104"/>
      <c r="G498" s="103"/>
      <c r="H498" s="103"/>
      <c r="I498" s="157"/>
      <c r="Q498" s="103"/>
      <c r="R498" s="103"/>
      <c r="S498" s="103"/>
      <c r="T498" s="270"/>
      <c r="U498" s="103"/>
      <c r="V498" s="271"/>
    </row>
    <row r="499">
      <c r="B499" s="103"/>
      <c r="C499" s="103"/>
      <c r="D499" s="103"/>
      <c r="E499" s="103"/>
      <c r="F499" s="104"/>
      <c r="G499" s="103"/>
      <c r="H499" s="103"/>
      <c r="I499" s="157"/>
      <c r="Q499" s="103"/>
      <c r="R499" s="103"/>
      <c r="S499" s="103"/>
      <c r="T499" s="270"/>
      <c r="U499" s="103"/>
      <c r="V499" s="271"/>
    </row>
    <row r="500">
      <c r="B500" s="103"/>
      <c r="C500" s="103"/>
      <c r="D500" s="103"/>
      <c r="E500" s="103"/>
      <c r="F500" s="104"/>
      <c r="G500" s="103"/>
      <c r="H500" s="103"/>
      <c r="I500" s="157"/>
      <c r="Q500" s="103"/>
      <c r="R500" s="103"/>
      <c r="S500" s="103"/>
      <c r="T500" s="270"/>
      <c r="U500" s="103"/>
      <c r="V500" s="271"/>
    </row>
    <row r="501">
      <c r="B501" s="103"/>
      <c r="C501" s="103"/>
      <c r="D501" s="103"/>
      <c r="E501" s="103"/>
      <c r="F501" s="104"/>
      <c r="G501" s="103"/>
      <c r="H501" s="103"/>
      <c r="I501" s="157"/>
      <c r="Q501" s="103"/>
      <c r="R501" s="103"/>
      <c r="S501" s="103"/>
      <c r="T501" s="270"/>
      <c r="U501" s="103"/>
      <c r="V501" s="271"/>
    </row>
    <row r="502">
      <c r="B502" s="103"/>
      <c r="C502" s="103"/>
      <c r="D502" s="103"/>
      <c r="E502" s="103"/>
      <c r="F502" s="104"/>
      <c r="G502" s="103"/>
      <c r="H502" s="103"/>
      <c r="I502" s="157"/>
      <c r="Q502" s="103"/>
      <c r="R502" s="103"/>
      <c r="S502" s="103"/>
      <c r="T502" s="270"/>
      <c r="U502" s="103"/>
      <c r="V502" s="271"/>
    </row>
    <row r="503">
      <c r="B503" s="103"/>
      <c r="C503" s="103"/>
      <c r="D503" s="103"/>
      <c r="E503" s="103"/>
      <c r="F503" s="104"/>
      <c r="G503" s="103"/>
      <c r="H503" s="103"/>
      <c r="I503" s="157"/>
      <c r="Q503" s="103"/>
      <c r="R503" s="103"/>
      <c r="S503" s="103"/>
      <c r="T503" s="270"/>
      <c r="U503" s="103"/>
      <c r="V503" s="271"/>
    </row>
    <row r="504">
      <c r="B504" s="103"/>
      <c r="C504" s="103"/>
      <c r="D504" s="103"/>
      <c r="E504" s="103"/>
      <c r="F504" s="104"/>
      <c r="G504" s="103"/>
      <c r="H504" s="103"/>
      <c r="I504" s="157"/>
      <c r="Q504" s="103"/>
      <c r="R504" s="103"/>
      <c r="S504" s="103"/>
      <c r="T504" s="270"/>
      <c r="U504" s="103"/>
      <c r="V504" s="271"/>
    </row>
    <row r="505">
      <c r="B505" s="103"/>
      <c r="C505" s="103"/>
      <c r="D505" s="103"/>
      <c r="E505" s="103"/>
      <c r="F505" s="104"/>
      <c r="G505" s="103"/>
      <c r="H505" s="103"/>
      <c r="I505" s="157"/>
      <c r="Q505" s="103"/>
      <c r="R505" s="103"/>
      <c r="S505" s="103"/>
      <c r="T505" s="270"/>
      <c r="U505" s="103"/>
      <c r="V505" s="271"/>
    </row>
    <row r="506">
      <c r="B506" s="103"/>
      <c r="C506" s="103"/>
      <c r="D506" s="103"/>
      <c r="E506" s="103"/>
      <c r="F506" s="104"/>
      <c r="G506" s="103"/>
      <c r="H506" s="103"/>
      <c r="I506" s="157"/>
      <c r="Q506" s="103"/>
      <c r="R506" s="103"/>
      <c r="S506" s="103"/>
      <c r="T506" s="270"/>
      <c r="U506" s="103"/>
      <c r="V506" s="271"/>
    </row>
    <row r="507">
      <c r="B507" s="103"/>
      <c r="C507" s="103"/>
      <c r="D507" s="103"/>
      <c r="E507" s="103"/>
      <c r="F507" s="104"/>
      <c r="G507" s="103"/>
      <c r="H507" s="103"/>
      <c r="I507" s="157"/>
      <c r="Q507" s="103"/>
      <c r="R507" s="103"/>
      <c r="S507" s="103"/>
      <c r="T507" s="270"/>
      <c r="U507" s="103"/>
      <c r="V507" s="271"/>
    </row>
    <row r="508">
      <c r="B508" s="103"/>
      <c r="C508" s="103"/>
      <c r="D508" s="103"/>
      <c r="E508" s="103"/>
      <c r="F508" s="104"/>
      <c r="G508" s="103"/>
      <c r="H508" s="103"/>
      <c r="I508" s="157"/>
      <c r="Q508" s="103"/>
      <c r="R508" s="103"/>
      <c r="S508" s="103"/>
      <c r="T508" s="270"/>
      <c r="U508" s="103"/>
      <c r="V508" s="271"/>
    </row>
    <row r="509">
      <c r="B509" s="103"/>
      <c r="C509" s="103"/>
      <c r="D509" s="103"/>
      <c r="E509" s="103"/>
      <c r="F509" s="104"/>
      <c r="G509" s="103"/>
      <c r="H509" s="103"/>
      <c r="I509" s="157"/>
      <c r="Q509" s="103"/>
      <c r="R509" s="103"/>
      <c r="S509" s="103"/>
      <c r="T509" s="270"/>
      <c r="U509" s="103"/>
      <c r="V509" s="271"/>
    </row>
    <row r="510">
      <c r="B510" s="103"/>
      <c r="C510" s="103"/>
      <c r="D510" s="103"/>
      <c r="E510" s="103"/>
      <c r="F510" s="104"/>
      <c r="G510" s="103"/>
      <c r="H510" s="103"/>
      <c r="I510" s="157"/>
      <c r="Q510" s="103"/>
      <c r="R510" s="103"/>
      <c r="S510" s="103"/>
      <c r="T510" s="270"/>
      <c r="U510" s="103"/>
      <c r="V510" s="271"/>
    </row>
    <row r="511">
      <c r="B511" s="103"/>
      <c r="C511" s="103"/>
      <c r="D511" s="103"/>
      <c r="E511" s="103"/>
      <c r="F511" s="104"/>
      <c r="G511" s="103"/>
      <c r="H511" s="103"/>
      <c r="I511" s="157"/>
      <c r="Q511" s="103"/>
      <c r="R511" s="103"/>
      <c r="S511" s="103"/>
      <c r="T511" s="270"/>
      <c r="U511" s="103"/>
      <c r="V511" s="271"/>
    </row>
    <row r="512">
      <c r="B512" s="103"/>
      <c r="C512" s="103"/>
      <c r="D512" s="103"/>
      <c r="E512" s="103"/>
      <c r="F512" s="104"/>
      <c r="G512" s="103"/>
      <c r="H512" s="103"/>
      <c r="I512" s="157"/>
      <c r="Q512" s="103"/>
      <c r="R512" s="103"/>
      <c r="S512" s="103"/>
      <c r="T512" s="270"/>
      <c r="U512" s="103"/>
      <c r="V512" s="271"/>
    </row>
    <row r="513">
      <c r="B513" s="103"/>
      <c r="C513" s="103"/>
      <c r="D513" s="103"/>
      <c r="E513" s="103"/>
      <c r="F513" s="104"/>
      <c r="G513" s="103"/>
      <c r="H513" s="103"/>
      <c r="I513" s="157"/>
      <c r="Q513" s="103"/>
      <c r="R513" s="103"/>
      <c r="S513" s="103"/>
      <c r="T513" s="270"/>
      <c r="U513" s="103"/>
      <c r="V513" s="271"/>
    </row>
    <row r="514">
      <c r="B514" s="103"/>
      <c r="C514" s="103"/>
      <c r="D514" s="103"/>
      <c r="E514" s="103"/>
      <c r="F514" s="104"/>
      <c r="G514" s="103"/>
      <c r="H514" s="103"/>
      <c r="I514" s="157"/>
      <c r="Q514" s="103"/>
      <c r="R514" s="103"/>
      <c r="S514" s="103"/>
      <c r="T514" s="270"/>
      <c r="U514" s="103"/>
      <c r="V514" s="271"/>
    </row>
    <row r="515">
      <c r="B515" s="103"/>
      <c r="C515" s="103"/>
      <c r="D515" s="103"/>
      <c r="E515" s="103"/>
      <c r="F515" s="104"/>
      <c r="G515" s="103"/>
      <c r="H515" s="103"/>
      <c r="I515" s="157"/>
      <c r="Q515" s="103"/>
      <c r="R515" s="103"/>
      <c r="S515" s="103"/>
      <c r="T515" s="270"/>
      <c r="U515" s="103"/>
      <c r="V515" s="271"/>
    </row>
    <row r="516">
      <c r="B516" s="103"/>
      <c r="C516" s="103"/>
      <c r="D516" s="103"/>
      <c r="E516" s="103"/>
      <c r="F516" s="104"/>
      <c r="G516" s="103"/>
      <c r="H516" s="103"/>
      <c r="I516" s="157"/>
      <c r="Q516" s="103"/>
      <c r="R516" s="103"/>
      <c r="S516" s="103"/>
      <c r="T516" s="270"/>
      <c r="U516" s="103"/>
      <c r="V516" s="271"/>
    </row>
    <row r="517">
      <c r="B517" s="103"/>
      <c r="C517" s="103"/>
      <c r="D517" s="103"/>
      <c r="E517" s="103"/>
      <c r="F517" s="104"/>
      <c r="G517" s="103"/>
      <c r="H517" s="103"/>
      <c r="I517" s="157"/>
      <c r="Q517" s="103"/>
      <c r="R517" s="103"/>
      <c r="S517" s="103"/>
      <c r="T517" s="270"/>
      <c r="U517" s="103"/>
      <c r="V517" s="271"/>
    </row>
    <row r="518">
      <c r="B518" s="103"/>
      <c r="C518" s="103"/>
      <c r="D518" s="103"/>
      <c r="E518" s="103"/>
      <c r="F518" s="104"/>
      <c r="G518" s="103"/>
      <c r="H518" s="103"/>
      <c r="I518" s="157"/>
      <c r="Q518" s="103"/>
      <c r="R518" s="103"/>
      <c r="S518" s="103"/>
      <c r="T518" s="270"/>
      <c r="U518" s="103"/>
      <c r="V518" s="271"/>
    </row>
    <row r="519">
      <c r="B519" s="103"/>
      <c r="C519" s="103"/>
      <c r="D519" s="103"/>
      <c r="E519" s="103"/>
      <c r="F519" s="104"/>
      <c r="G519" s="103"/>
      <c r="H519" s="103"/>
      <c r="I519" s="157"/>
      <c r="Q519" s="103"/>
      <c r="R519" s="103"/>
      <c r="S519" s="103"/>
      <c r="T519" s="270"/>
      <c r="U519" s="103"/>
      <c r="V519" s="271"/>
    </row>
    <row r="520">
      <c r="B520" s="103"/>
      <c r="C520" s="103"/>
      <c r="D520" s="103"/>
      <c r="E520" s="103"/>
      <c r="F520" s="104"/>
      <c r="G520" s="103"/>
      <c r="H520" s="103"/>
      <c r="I520" s="157"/>
      <c r="Q520" s="103"/>
      <c r="R520" s="103"/>
      <c r="S520" s="103"/>
      <c r="T520" s="270"/>
      <c r="U520" s="103"/>
      <c r="V520" s="271"/>
    </row>
    <row r="521">
      <c r="B521" s="103"/>
      <c r="C521" s="103"/>
      <c r="D521" s="103"/>
      <c r="E521" s="103"/>
      <c r="F521" s="104"/>
      <c r="G521" s="103"/>
      <c r="H521" s="103"/>
      <c r="I521" s="157"/>
      <c r="Q521" s="103"/>
      <c r="R521" s="103"/>
      <c r="S521" s="103"/>
      <c r="T521" s="270"/>
      <c r="U521" s="103"/>
      <c r="V521" s="271"/>
    </row>
    <row r="522">
      <c r="B522" s="103"/>
      <c r="C522" s="103"/>
      <c r="D522" s="103"/>
      <c r="E522" s="103"/>
      <c r="F522" s="104"/>
      <c r="G522" s="103"/>
      <c r="H522" s="103"/>
      <c r="I522" s="157"/>
      <c r="Q522" s="103"/>
      <c r="R522" s="103"/>
      <c r="S522" s="103"/>
      <c r="T522" s="270"/>
      <c r="U522" s="103"/>
      <c r="V522" s="271"/>
    </row>
    <row r="523">
      <c r="B523" s="103"/>
      <c r="C523" s="103"/>
      <c r="D523" s="103"/>
      <c r="E523" s="103"/>
      <c r="F523" s="104"/>
      <c r="G523" s="103"/>
      <c r="H523" s="103"/>
      <c r="I523" s="157"/>
      <c r="Q523" s="103"/>
      <c r="R523" s="103"/>
      <c r="S523" s="103"/>
      <c r="T523" s="270"/>
      <c r="U523" s="103"/>
      <c r="V523" s="271"/>
    </row>
    <row r="524">
      <c r="B524" s="103"/>
      <c r="C524" s="103"/>
      <c r="D524" s="103"/>
      <c r="E524" s="103"/>
      <c r="F524" s="104"/>
      <c r="G524" s="103"/>
      <c r="H524" s="103"/>
      <c r="I524" s="157"/>
      <c r="Q524" s="103"/>
      <c r="R524" s="103"/>
      <c r="S524" s="103"/>
      <c r="T524" s="270"/>
      <c r="U524" s="103"/>
      <c r="V524" s="271"/>
    </row>
    <row r="525">
      <c r="B525" s="103"/>
      <c r="C525" s="103"/>
      <c r="D525" s="103"/>
      <c r="E525" s="103"/>
      <c r="F525" s="104"/>
      <c r="G525" s="103"/>
      <c r="H525" s="103"/>
      <c r="I525" s="157"/>
      <c r="Q525" s="103"/>
      <c r="R525" s="103"/>
      <c r="S525" s="103"/>
      <c r="T525" s="270"/>
      <c r="U525" s="103"/>
      <c r="V525" s="271"/>
    </row>
    <row r="526">
      <c r="B526" s="103"/>
      <c r="C526" s="103"/>
      <c r="D526" s="103"/>
      <c r="E526" s="103"/>
      <c r="F526" s="104"/>
      <c r="G526" s="103"/>
      <c r="H526" s="103"/>
      <c r="I526" s="157"/>
      <c r="Q526" s="103"/>
      <c r="R526" s="103"/>
      <c r="S526" s="103"/>
      <c r="T526" s="270"/>
      <c r="U526" s="103"/>
      <c r="V526" s="271"/>
    </row>
    <row r="527">
      <c r="B527" s="103"/>
      <c r="C527" s="103"/>
      <c r="D527" s="103"/>
      <c r="E527" s="103"/>
      <c r="F527" s="104"/>
      <c r="G527" s="103"/>
      <c r="H527" s="103"/>
      <c r="I527" s="157"/>
      <c r="Q527" s="103"/>
      <c r="R527" s="103"/>
      <c r="S527" s="103"/>
      <c r="T527" s="270"/>
      <c r="U527" s="103"/>
      <c r="V527" s="271"/>
    </row>
    <row r="528">
      <c r="B528" s="103"/>
      <c r="C528" s="103"/>
      <c r="D528" s="103"/>
      <c r="E528" s="103"/>
      <c r="F528" s="104"/>
      <c r="G528" s="103"/>
      <c r="H528" s="103"/>
      <c r="I528" s="157"/>
      <c r="Q528" s="103"/>
      <c r="R528" s="103"/>
      <c r="S528" s="103"/>
      <c r="T528" s="270"/>
      <c r="U528" s="103"/>
      <c r="V528" s="271"/>
    </row>
    <row r="529">
      <c r="B529" s="103"/>
      <c r="C529" s="103"/>
      <c r="D529" s="103"/>
      <c r="E529" s="103"/>
      <c r="F529" s="104"/>
      <c r="G529" s="103"/>
      <c r="H529" s="103"/>
      <c r="I529" s="157"/>
      <c r="Q529" s="103"/>
      <c r="R529" s="103"/>
      <c r="S529" s="103"/>
      <c r="T529" s="270"/>
      <c r="U529" s="103"/>
      <c r="V529" s="271"/>
    </row>
    <row r="530">
      <c r="B530" s="103"/>
      <c r="C530" s="103"/>
      <c r="D530" s="103"/>
      <c r="E530" s="103"/>
      <c r="F530" s="104"/>
      <c r="G530" s="103"/>
      <c r="H530" s="103"/>
      <c r="I530" s="157"/>
      <c r="Q530" s="103"/>
      <c r="R530" s="103"/>
      <c r="S530" s="103"/>
      <c r="T530" s="270"/>
      <c r="U530" s="103"/>
      <c r="V530" s="271"/>
    </row>
    <row r="531">
      <c r="B531" s="103"/>
      <c r="C531" s="103"/>
      <c r="D531" s="103"/>
      <c r="E531" s="103"/>
      <c r="F531" s="104"/>
      <c r="G531" s="103"/>
      <c r="H531" s="103"/>
      <c r="I531" s="157"/>
      <c r="Q531" s="103"/>
      <c r="R531" s="103"/>
      <c r="S531" s="103"/>
      <c r="T531" s="270"/>
      <c r="U531" s="103"/>
      <c r="V531" s="271"/>
    </row>
    <row r="532">
      <c r="B532" s="103"/>
      <c r="C532" s="103"/>
      <c r="D532" s="103"/>
      <c r="E532" s="103"/>
      <c r="F532" s="104"/>
      <c r="G532" s="103"/>
      <c r="H532" s="103"/>
      <c r="I532" s="157"/>
      <c r="Q532" s="103"/>
      <c r="R532" s="103"/>
      <c r="S532" s="103"/>
      <c r="T532" s="270"/>
      <c r="U532" s="103"/>
      <c r="V532" s="271"/>
    </row>
    <row r="533">
      <c r="B533" s="103"/>
      <c r="C533" s="103"/>
      <c r="D533" s="103"/>
      <c r="E533" s="103"/>
      <c r="F533" s="104"/>
      <c r="G533" s="103"/>
      <c r="H533" s="103"/>
      <c r="I533" s="157"/>
      <c r="Q533" s="103"/>
      <c r="R533" s="103"/>
      <c r="S533" s="103"/>
      <c r="T533" s="270"/>
      <c r="U533" s="103"/>
      <c r="V533" s="271"/>
    </row>
    <row r="534">
      <c r="B534" s="103"/>
      <c r="C534" s="103"/>
      <c r="D534" s="103"/>
      <c r="E534" s="103"/>
      <c r="F534" s="104"/>
      <c r="G534" s="103"/>
      <c r="H534" s="103"/>
      <c r="I534" s="157"/>
      <c r="Q534" s="103"/>
      <c r="R534" s="103"/>
      <c r="S534" s="103"/>
      <c r="T534" s="270"/>
      <c r="U534" s="103"/>
      <c r="V534" s="271"/>
    </row>
    <row r="535">
      <c r="B535" s="103"/>
      <c r="C535" s="103"/>
      <c r="D535" s="103"/>
      <c r="E535" s="103"/>
      <c r="F535" s="104"/>
      <c r="G535" s="103"/>
      <c r="H535" s="103"/>
      <c r="I535" s="157"/>
      <c r="Q535" s="103"/>
      <c r="R535" s="103"/>
      <c r="S535" s="103"/>
      <c r="T535" s="270"/>
      <c r="U535" s="103"/>
      <c r="V535" s="271"/>
    </row>
    <row r="536">
      <c r="B536" s="103"/>
      <c r="C536" s="103"/>
      <c r="D536" s="103"/>
      <c r="E536" s="103"/>
      <c r="F536" s="104"/>
      <c r="G536" s="103"/>
      <c r="H536" s="103"/>
      <c r="I536" s="157"/>
      <c r="Q536" s="103"/>
      <c r="R536" s="103"/>
      <c r="S536" s="103"/>
      <c r="T536" s="270"/>
      <c r="U536" s="103"/>
      <c r="V536" s="271"/>
    </row>
    <row r="537">
      <c r="B537" s="103"/>
      <c r="C537" s="103"/>
      <c r="D537" s="103"/>
      <c r="E537" s="103"/>
      <c r="F537" s="104"/>
      <c r="G537" s="103"/>
      <c r="H537" s="103"/>
      <c r="I537" s="157"/>
      <c r="Q537" s="103"/>
      <c r="R537" s="103"/>
      <c r="S537" s="103"/>
      <c r="T537" s="270"/>
      <c r="U537" s="103"/>
      <c r="V537" s="271"/>
    </row>
    <row r="538">
      <c r="B538" s="103"/>
      <c r="C538" s="103"/>
      <c r="D538" s="103"/>
      <c r="E538" s="103"/>
      <c r="F538" s="104"/>
      <c r="G538" s="103"/>
      <c r="H538" s="103"/>
      <c r="I538" s="157"/>
      <c r="Q538" s="103"/>
      <c r="R538" s="103"/>
      <c r="S538" s="103"/>
      <c r="T538" s="270"/>
      <c r="U538" s="103"/>
      <c r="V538" s="271"/>
    </row>
    <row r="539">
      <c r="B539" s="103"/>
      <c r="C539" s="103"/>
      <c r="D539" s="103"/>
      <c r="E539" s="103"/>
      <c r="F539" s="104"/>
      <c r="G539" s="103"/>
      <c r="H539" s="103"/>
      <c r="I539" s="157"/>
      <c r="Q539" s="103"/>
      <c r="R539" s="103"/>
      <c r="S539" s="103"/>
      <c r="T539" s="270"/>
      <c r="U539" s="103"/>
      <c r="V539" s="271"/>
    </row>
    <row r="540">
      <c r="B540" s="103"/>
      <c r="C540" s="103"/>
      <c r="D540" s="103"/>
      <c r="E540" s="103"/>
      <c r="F540" s="104"/>
      <c r="G540" s="103"/>
      <c r="H540" s="103"/>
      <c r="I540" s="157"/>
      <c r="Q540" s="103"/>
      <c r="R540" s="103"/>
      <c r="S540" s="103"/>
      <c r="T540" s="270"/>
      <c r="U540" s="103"/>
      <c r="V540" s="271"/>
    </row>
    <row r="541">
      <c r="B541" s="103"/>
      <c r="C541" s="103"/>
      <c r="D541" s="103"/>
      <c r="E541" s="103"/>
      <c r="F541" s="104"/>
      <c r="G541" s="103"/>
      <c r="H541" s="103"/>
      <c r="I541" s="157"/>
      <c r="Q541" s="103"/>
      <c r="R541" s="103"/>
      <c r="S541" s="103"/>
      <c r="T541" s="270"/>
      <c r="U541" s="103"/>
      <c r="V541" s="271"/>
    </row>
    <row r="542">
      <c r="B542" s="103"/>
      <c r="C542" s="103"/>
      <c r="D542" s="103"/>
      <c r="E542" s="103"/>
      <c r="F542" s="104"/>
      <c r="G542" s="103"/>
      <c r="H542" s="103"/>
      <c r="I542" s="157"/>
      <c r="Q542" s="103"/>
      <c r="R542" s="103"/>
      <c r="S542" s="103"/>
      <c r="T542" s="270"/>
      <c r="U542" s="103"/>
      <c r="V542" s="271"/>
    </row>
    <row r="543">
      <c r="B543" s="103"/>
      <c r="C543" s="103"/>
      <c r="D543" s="103"/>
      <c r="E543" s="103"/>
      <c r="F543" s="104"/>
      <c r="G543" s="103"/>
      <c r="H543" s="103"/>
      <c r="I543" s="157"/>
      <c r="Q543" s="103"/>
      <c r="R543" s="103"/>
      <c r="S543" s="103"/>
      <c r="T543" s="270"/>
      <c r="U543" s="103"/>
      <c r="V543" s="271"/>
    </row>
    <row r="544">
      <c r="B544" s="103"/>
      <c r="C544" s="103"/>
      <c r="D544" s="103"/>
      <c r="E544" s="103"/>
      <c r="F544" s="104"/>
      <c r="G544" s="103"/>
      <c r="H544" s="103"/>
      <c r="I544" s="157"/>
      <c r="Q544" s="103"/>
      <c r="R544" s="103"/>
      <c r="S544" s="103"/>
      <c r="T544" s="270"/>
      <c r="U544" s="103"/>
      <c r="V544" s="271"/>
    </row>
    <row r="545">
      <c r="B545" s="103"/>
      <c r="C545" s="103"/>
      <c r="D545" s="103"/>
      <c r="E545" s="103"/>
      <c r="F545" s="104"/>
      <c r="G545" s="103"/>
      <c r="H545" s="103"/>
      <c r="I545" s="157"/>
      <c r="Q545" s="103"/>
      <c r="R545" s="103"/>
      <c r="S545" s="103"/>
      <c r="T545" s="270"/>
      <c r="U545" s="103"/>
      <c r="V545" s="271"/>
    </row>
    <row r="546">
      <c r="B546" s="103"/>
      <c r="C546" s="103"/>
      <c r="D546" s="103"/>
      <c r="E546" s="103"/>
      <c r="F546" s="104"/>
      <c r="G546" s="103"/>
      <c r="H546" s="103"/>
      <c r="I546" s="157"/>
      <c r="Q546" s="103"/>
      <c r="R546" s="103"/>
      <c r="S546" s="103"/>
      <c r="T546" s="270"/>
      <c r="U546" s="103"/>
      <c r="V546" s="271"/>
    </row>
    <row r="547">
      <c r="B547" s="103"/>
      <c r="C547" s="103"/>
      <c r="D547" s="103"/>
      <c r="E547" s="103"/>
      <c r="F547" s="104"/>
      <c r="G547" s="103"/>
      <c r="H547" s="103"/>
      <c r="I547" s="157"/>
      <c r="Q547" s="103"/>
      <c r="R547" s="103"/>
      <c r="S547" s="103"/>
      <c r="T547" s="270"/>
      <c r="U547" s="103"/>
      <c r="V547" s="271"/>
    </row>
    <row r="548">
      <c r="B548" s="103"/>
      <c r="C548" s="103"/>
      <c r="D548" s="103"/>
      <c r="E548" s="103"/>
      <c r="F548" s="104"/>
      <c r="G548" s="103"/>
      <c r="H548" s="103"/>
      <c r="I548" s="157"/>
      <c r="Q548" s="103"/>
      <c r="R548" s="103"/>
      <c r="S548" s="103"/>
      <c r="T548" s="270"/>
      <c r="U548" s="103"/>
      <c r="V548" s="271"/>
    </row>
    <row r="549">
      <c r="B549" s="103"/>
      <c r="C549" s="103"/>
      <c r="D549" s="103"/>
      <c r="E549" s="103"/>
      <c r="F549" s="104"/>
      <c r="G549" s="103"/>
      <c r="H549" s="103"/>
      <c r="I549" s="157"/>
      <c r="Q549" s="103"/>
      <c r="R549" s="103"/>
      <c r="S549" s="103"/>
      <c r="T549" s="270"/>
      <c r="U549" s="103"/>
      <c r="V549" s="271"/>
    </row>
    <row r="550">
      <c r="B550" s="103"/>
      <c r="C550" s="103"/>
      <c r="D550" s="103"/>
      <c r="E550" s="103"/>
      <c r="F550" s="104"/>
      <c r="G550" s="103"/>
      <c r="H550" s="103"/>
      <c r="I550" s="157"/>
      <c r="Q550" s="103"/>
      <c r="R550" s="103"/>
      <c r="S550" s="103"/>
      <c r="T550" s="270"/>
      <c r="U550" s="103"/>
      <c r="V550" s="271"/>
    </row>
    <row r="551">
      <c r="B551" s="103"/>
      <c r="C551" s="103"/>
      <c r="D551" s="103"/>
      <c r="E551" s="103"/>
      <c r="F551" s="104"/>
      <c r="G551" s="103"/>
      <c r="H551" s="103"/>
      <c r="I551" s="157"/>
      <c r="Q551" s="103"/>
      <c r="R551" s="103"/>
      <c r="S551" s="103"/>
      <c r="T551" s="270"/>
      <c r="U551" s="103"/>
      <c r="V551" s="271"/>
    </row>
    <row r="552">
      <c r="B552" s="103"/>
      <c r="C552" s="103"/>
      <c r="D552" s="103"/>
      <c r="E552" s="103"/>
      <c r="F552" s="104"/>
      <c r="G552" s="103"/>
      <c r="H552" s="103"/>
      <c r="I552" s="157"/>
      <c r="Q552" s="103"/>
      <c r="R552" s="103"/>
      <c r="S552" s="103"/>
      <c r="T552" s="270"/>
      <c r="U552" s="103"/>
      <c r="V552" s="271"/>
    </row>
    <row r="553">
      <c r="B553" s="103"/>
      <c r="C553" s="103"/>
      <c r="D553" s="103"/>
      <c r="E553" s="103"/>
      <c r="F553" s="104"/>
      <c r="G553" s="103"/>
      <c r="H553" s="103"/>
      <c r="I553" s="157"/>
      <c r="Q553" s="103"/>
      <c r="R553" s="103"/>
      <c r="S553" s="103"/>
      <c r="T553" s="270"/>
      <c r="U553" s="103"/>
      <c r="V553" s="271"/>
    </row>
    <row r="554">
      <c r="B554" s="103"/>
      <c r="C554" s="103"/>
      <c r="D554" s="103"/>
      <c r="E554" s="103"/>
      <c r="F554" s="104"/>
      <c r="G554" s="103"/>
      <c r="H554" s="103"/>
      <c r="I554" s="157"/>
      <c r="Q554" s="103"/>
      <c r="R554" s="103"/>
      <c r="S554" s="103"/>
      <c r="T554" s="270"/>
      <c r="U554" s="103"/>
      <c r="V554" s="271"/>
    </row>
    <row r="555">
      <c r="B555" s="103"/>
      <c r="C555" s="103"/>
      <c r="D555" s="103"/>
      <c r="E555" s="103"/>
      <c r="F555" s="104"/>
      <c r="G555" s="103"/>
      <c r="H555" s="103"/>
      <c r="I555" s="157"/>
      <c r="Q555" s="103"/>
      <c r="R555" s="103"/>
      <c r="S555" s="103"/>
      <c r="T555" s="270"/>
      <c r="U555" s="103"/>
      <c r="V555" s="271"/>
    </row>
    <row r="556">
      <c r="B556" s="103"/>
      <c r="C556" s="103"/>
      <c r="D556" s="103"/>
      <c r="E556" s="103"/>
      <c r="F556" s="104"/>
      <c r="G556" s="103"/>
      <c r="H556" s="103"/>
      <c r="I556" s="157"/>
      <c r="Q556" s="103"/>
      <c r="R556" s="103"/>
      <c r="S556" s="103"/>
      <c r="T556" s="270"/>
      <c r="U556" s="103"/>
      <c r="V556" s="271"/>
    </row>
    <row r="557">
      <c r="B557" s="103"/>
      <c r="C557" s="103"/>
      <c r="D557" s="103"/>
      <c r="E557" s="103"/>
      <c r="F557" s="104"/>
      <c r="G557" s="103"/>
      <c r="H557" s="103"/>
      <c r="I557" s="157"/>
      <c r="Q557" s="103"/>
      <c r="R557" s="103"/>
      <c r="S557" s="103"/>
      <c r="T557" s="270"/>
      <c r="U557" s="103"/>
      <c r="V557" s="271"/>
    </row>
    <row r="558">
      <c r="B558" s="103"/>
      <c r="C558" s="103"/>
      <c r="D558" s="103"/>
      <c r="E558" s="103"/>
      <c r="F558" s="104"/>
      <c r="G558" s="103"/>
      <c r="H558" s="103"/>
      <c r="I558" s="157"/>
      <c r="Q558" s="103"/>
      <c r="R558" s="103"/>
      <c r="S558" s="103"/>
      <c r="T558" s="270"/>
      <c r="U558" s="103"/>
      <c r="V558" s="271"/>
    </row>
    <row r="559">
      <c r="B559" s="103"/>
      <c r="C559" s="103"/>
      <c r="D559" s="103"/>
      <c r="E559" s="103"/>
      <c r="F559" s="104"/>
      <c r="G559" s="103"/>
      <c r="H559" s="103"/>
      <c r="I559" s="157"/>
      <c r="Q559" s="103"/>
      <c r="R559" s="103"/>
      <c r="S559" s="103"/>
      <c r="T559" s="270"/>
      <c r="U559" s="103"/>
      <c r="V559" s="271"/>
    </row>
    <row r="560">
      <c r="B560" s="103"/>
      <c r="C560" s="103"/>
      <c r="D560" s="103"/>
      <c r="E560" s="103"/>
      <c r="F560" s="104"/>
      <c r="G560" s="103"/>
      <c r="H560" s="103"/>
      <c r="I560" s="157"/>
      <c r="Q560" s="103"/>
      <c r="R560" s="103"/>
      <c r="S560" s="103"/>
      <c r="T560" s="270"/>
      <c r="U560" s="103"/>
      <c r="V560" s="271"/>
    </row>
    <row r="561">
      <c r="B561" s="103"/>
      <c r="C561" s="103"/>
      <c r="D561" s="103"/>
      <c r="E561" s="103"/>
      <c r="F561" s="104"/>
      <c r="G561" s="103"/>
      <c r="H561" s="103"/>
      <c r="I561" s="157"/>
      <c r="Q561" s="103"/>
      <c r="R561" s="103"/>
      <c r="S561" s="103"/>
      <c r="T561" s="270"/>
      <c r="U561" s="103"/>
      <c r="V561" s="271"/>
    </row>
    <row r="562">
      <c r="B562" s="103"/>
      <c r="C562" s="103"/>
      <c r="D562" s="103"/>
      <c r="E562" s="103"/>
      <c r="F562" s="104"/>
      <c r="G562" s="103"/>
      <c r="H562" s="103"/>
      <c r="I562" s="157"/>
      <c r="Q562" s="103"/>
      <c r="R562" s="103"/>
      <c r="S562" s="103"/>
      <c r="T562" s="270"/>
      <c r="U562" s="103"/>
      <c r="V562" s="271"/>
    </row>
    <row r="563">
      <c r="B563" s="103"/>
      <c r="C563" s="103"/>
      <c r="D563" s="103"/>
      <c r="E563" s="103"/>
      <c r="F563" s="104"/>
      <c r="G563" s="103"/>
      <c r="H563" s="103"/>
      <c r="I563" s="157"/>
      <c r="Q563" s="103"/>
      <c r="R563" s="103"/>
      <c r="S563" s="103"/>
      <c r="T563" s="270"/>
      <c r="U563" s="103"/>
      <c r="V563" s="271"/>
    </row>
    <row r="564">
      <c r="B564" s="103"/>
      <c r="C564" s="103"/>
      <c r="D564" s="103"/>
      <c r="E564" s="103"/>
      <c r="F564" s="104"/>
      <c r="G564" s="103"/>
      <c r="H564" s="103"/>
      <c r="I564" s="157"/>
      <c r="Q564" s="103"/>
      <c r="R564" s="103"/>
      <c r="S564" s="103"/>
      <c r="T564" s="270"/>
      <c r="U564" s="103"/>
      <c r="V564" s="271"/>
    </row>
    <row r="565">
      <c r="B565" s="103"/>
      <c r="C565" s="103"/>
      <c r="D565" s="103"/>
      <c r="E565" s="103"/>
      <c r="F565" s="104"/>
      <c r="G565" s="103"/>
      <c r="H565" s="103"/>
      <c r="I565" s="157"/>
      <c r="Q565" s="103"/>
      <c r="R565" s="103"/>
      <c r="S565" s="103"/>
      <c r="T565" s="270"/>
      <c r="U565" s="103"/>
      <c r="V565" s="271"/>
    </row>
    <row r="566">
      <c r="B566" s="103"/>
      <c r="C566" s="103"/>
      <c r="D566" s="103"/>
      <c r="E566" s="103"/>
      <c r="F566" s="104"/>
      <c r="G566" s="103"/>
      <c r="H566" s="103"/>
      <c r="I566" s="157"/>
      <c r="Q566" s="103"/>
      <c r="R566" s="103"/>
      <c r="S566" s="103"/>
      <c r="T566" s="270"/>
      <c r="U566" s="103"/>
      <c r="V566" s="271"/>
    </row>
    <row r="567">
      <c r="B567" s="103"/>
      <c r="C567" s="103"/>
      <c r="D567" s="103"/>
      <c r="E567" s="103"/>
      <c r="F567" s="104"/>
      <c r="G567" s="103"/>
      <c r="H567" s="103"/>
      <c r="I567" s="157"/>
      <c r="Q567" s="103"/>
      <c r="R567" s="103"/>
      <c r="S567" s="103"/>
      <c r="T567" s="270"/>
      <c r="U567" s="103"/>
      <c r="V567" s="271"/>
    </row>
    <row r="568">
      <c r="B568" s="103"/>
      <c r="C568" s="103"/>
      <c r="D568" s="103"/>
      <c r="E568" s="103"/>
      <c r="F568" s="104"/>
      <c r="G568" s="103"/>
      <c r="H568" s="103"/>
      <c r="I568" s="157"/>
      <c r="Q568" s="103"/>
      <c r="R568" s="103"/>
      <c r="S568" s="103"/>
      <c r="T568" s="270"/>
      <c r="U568" s="103"/>
      <c r="V568" s="271"/>
    </row>
    <row r="569">
      <c r="B569" s="103"/>
      <c r="C569" s="103"/>
      <c r="D569" s="103"/>
      <c r="E569" s="103"/>
      <c r="F569" s="104"/>
      <c r="G569" s="103"/>
      <c r="H569" s="103"/>
      <c r="I569" s="157"/>
      <c r="Q569" s="103"/>
      <c r="R569" s="103"/>
      <c r="S569" s="103"/>
      <c r="T569" s="270"/>
      <c r="U569" s="103"/>
      <c r="V569" s="271"/>
    </row>
    <row r="570">
      <c r="B570" s="103"/>
      <c r="C570" s="103"/>
      <c r="D570" s="103"/>
      <c r="E570" s="103"/>
      <c r="F570" s="104"/>
      <c r="G570" s="103"/>
      <c r="H570" s="103"/>
      <c r="I570" s="157"/>
      <c r="Q570" s="103"/>
      <c r="R570" s="103"/>
      <c r="S570" s="103"/>
      <c r="T570" s="270"/>
      <c r="U570" s="103"/>
      <c r="V570" s="271"/>
    </row>
    <row r="571">
      <c r="B571" s="103"/>
      <c r="C571" s="103"/>
      <c r="D571" s="103"/>
      <c r="E571" s="103"/>
      <c r="F571" s="104"/>
      <c r="G571" s="103"/>
      <c r="H571" s="103"/>
      <c r="I571" s="157"/>
      <c r="Q571" s="103"/>
      <c r="R571" s="103"/>
      <c r="S571" s="103"/>
      <c r="T571" s="270"/>
      <c r="U571" s="103"/>
      <c r="V571" s="271"/>
    </row>
    <row r="572">
      <c r="B572" s="103"/>
      <c r="C572" s="103"/>
      <c r="D572" s="103"/>
      <c r="E572" s="103"/>
      <c r="F572" s="104"/>
      <c r="G572" s="103"/>
      <c r="H572" s="103"/>
      <c r="I572" s="157"/>
      <c r="Q572" s="103"/>
      <c r="R572" s="103"/>
      <c r="S572" s="103"/>
      <c r="T572" s="270"/>
      <c r="U572" s="103"/>
      <c r="V572" s="271"/>
    </row>
    <row r="573">
      <c r="B573" s="103"/>
      <c r="C573" s="103"/>
      <c r="D573" s="103"/>
      <c r="E573" s="103"/>
      <c r="F573" s="104"/>
      <c r="G573" s="103"/>
      <c r="H573" s="103"/>
      <c r="I573" s="157"/>
      <c r="Q573" s="103"/>
      <c r="R573" s="103"/>
      <c r="S573" s="103"/>
      <c r="T573" s="270"/>
      <c r="U573" s="103"/>
      <c r="V573" s="271"/>
    </row>
    <row r="574">
      <c r="B574" s="103"/>
      <c r="C574" s="103"/>
      <c r="D574" s="103"/>
      <c r="E574" s="103"/>
      <c r="F574" s="104"/>
      <c r="G574" s="103"/>
      <c r="H574" s="103"/>
      <c r="I574" s="157"/>
      <c r="Q574" s="103"/>
      <c r="R574" s="103"/>
      <c r="S574" s="103"/>
      <c r="T574" s="270"/>
      <c r="U574" s="103"/>
      <c r="V574" s="271"/>
    </row>
    <row r="575">
      <c r="B575" s="103"/>
      <c r="C575" s="103"/>
      <c r="D575" s="103"/>
      <c r="E575" s="103"/>
      <c r="F575" s="104"/>
      <c r="G575" s="103"/>
      <c r="H575" s="103"/>
      <c r="I575" s="157"/>
      <c r="Q575" s="103"/>
      <c r="R575" s="103"/>
      <c r="S575" s="103"/>
      <c r="T575" s="270"/>
      <c r="U575" s="103"/>
      <c r="V575" s="271"/>
    </row>
    <row r="576">
      <c r="B576" s="103"/>
      <c r="C576" s="103"/>
      <c r="D576" s="103"/>
      <c r="E576" s="103"/>
      <c r="F576" s="104"/>
      <c r="G576" s="103"/>
      <c r="H576" s="103"/>
      <c r="I576" s="157"/>
      <c r="Q576" s="103"/>
      <c r="R576" s="103"/>
      <c r="S576" s="103"/>
      <c r="T576" s="270"/>
      <c r="U576" s="103"/>
      <c r="V576" s="271"/>
    </row>
    <row r="577">
      <c r="B577" s="103"/>
      <c r="C577" s="103"/>
      <c r="D577" s="103"/>
      <c r="E577" s="103"/>
      <c r="F577" s="104"/>
      <c r="G577" s="103"/>
      <c r="H577" s="103"/>
      <c r="I577" s="157"/>
      <c r="Q577" s="103"/>
      <c r="R577" s="103"/>
      <c r="S577" s="103"/>
      <c r="T577" s="270"/>
      <c r="U577" s="103"/>
      <c r="V577" s="271"/>
    </row>
    <row r="578">
      <c r="B578" s="103"/>
      <c r="C578" s="103"/>
      <c r="D578" s="103"/>
      <c r="E578" s="103"/>
      <c r="F578" s="104"/>
      <c r="G578" s="103"/>
      <c r="H578" s="103"/>
      <c r="I578" s="157"/>
      <c r="Q578" s="103"/>
      <c r="R578" s="103"/>
      <c r="S578" s="103"/>
      <c r="T578" s="270"/>
      <c r="U578" s="103"/>
      <c r="V578" s="271"/>
    </row>
    <row r="579">
      <c r="B579" s="103"/>
      <c r="C579" s="103"/>
      <c r="D579" s="103"/>
      <c r="E579" s="103"/>
      <c r="F579" s="104"/>
      <c r="G579" s="103"/>
      <c r="H579" s="103"/>
      <c r="I579" s="157"/>
      <c r="Q579" s="103"/>
      <c r="R579" s="103"/>
      <c r="S579" s="103"/>
      <c r="T579" s="270"/>
      <c r="U579" s="103"/>
      <c r="V579" s="271"/>
    </row>
    <row r="580">
      <c r="B580" s="103"/>
      <c r="C580" s="103"/>
      <c r="D580" s="103"/>
      <c r="E580" s="103"/>
      <c r="F580" s="104"/>
      <c r="G580" s="103"/>
      <c r="H580" s="103"/>
      <c r="I580" s="157"/>
      <c r="Q580" s="103"/>
      <c r="R580" s="103"/>
      <c r="S580" s="103"/>
      <c r="T580" s="270"/>
      <c r="U580" s="103"/>
      <c r="V580" s="271"/>
    </row>
    <row r="581">
      <c r="B581" s="103"/>
      <c r="C581" s="103"/>
      <c r="D581" s="103"/>
      <c r="E581" s="103"/>
      <c r="F581" s="104"/>
      <c r="G581" s="103"/>
      <c r="H581" s="103"/>
      <c r="I581" s="157"/>
      <c r="Q581" s="103"/>
      <c r="R581" s="103"/>
      <c r="S581" s="103"/>
      <c r="T581" s="270"/>
      <c r="U581" s="103"/>
      <c r="V581" s="271"/>
    </row>
    <row r="582">
      <c r="B582" s="103"/>
      <c r="C582" s="103"/>
      <c r="D582" s="103"/>
      <c r="E582" s="103"/>
      <c r="F582" s="104"/>
      <c r="G582" s="103"/>
      <c r="H582" s="103"/>
      <c r="I582" s="157"/>
      <c r="Q582" s="103"/>
      <c r="R582" s="103"/>
      <c r="S582" s="103"/>
      <c r="T582" s="270"/>
      <c r="U582" s="103"/>
      <c r="V582" s="271"/>
    </row>
    <row r="583">
      <c r="B583" s="103"/>
      <c r="C583" s="103"/>
      <c r="D583" s="103"/>
      <c r="E583" s="103"/>
      <c r="F583" s="104"/>
      <c r="G583" s="103"/>
      <c r="H583" s="103"/>
      <c r="I583" s="157"/>
      <c r="Q583" s="103"/>
      <c r="R583" s="103"/>
      <c r="S583" s="103"/>
      <c r="T583" s="270"/>
      <c r="U583" s="103"/>
      <c r="V583" s="271"/>
    </row>
    <row r="584">
      <c r="B584" s="103"/>
      <c r="C584" s="103"/>
      <c r="D584" s="103"/>
      <c r="E584" s="103"/>
      <c r="F584" s="104"/>
      <c r="G584" s="103"/>
      <c r="H584" s="103"/>
      <c r="I584" s="157"/>
      <c r="Q584" s="103"/>
      <c r="R584" s="103"/>
      <c r="S584" s="103"/>
      <c r="T584" s="270"/>
      <c r="U584" s="103"/>
      <c r="V584" s="271"/>
    </row>
    <row r="585">
      <c r="B585" s="103"/>
      <c r="C585" s="103"/>
      <c r="D585" s="103"/>
      <c r="E585" s="103"/>
      <c r="F585" s="104"/>
      <c r="G585" s="103"/>
      <c r="H585" s="103"/>
      <c r="I585" s="157"/>
      <c r="Q585" s="103"/>
      <c r="R585" s="103"/>
      <c r="S585" s="103"/>
      <c r="T585" s="270"/>
      <c r="U585" s="103"/>
      <c r="V585" s="271"/>
    </row>
    <row r="586">
      <c r="B586" s="103"/>
      <c r="C586" s="103"/>
      <c r="D586" s="103"/>
      <c r="E586" s="103"/>
      <c r="F586" s="104"/>
      <c r="G586" s="103"/>
      <c r="H586" s="103"/>
      <c r="I586" s="157"/>
      <c r="Q586" s="103"/>
      <c r="R586" s="103"/>
      <c r="S586" s="103"/>
      <c r="T586" s="270"/>
      <c r="U586" s="103"/>
      <c r="V586" s="271"/>
    </row>
    <row r="587">
      <c r="B587" s="103"/>
      <c r="C587" s="103"/>
      <c r="D587" s="103"/>
      <c r="E587" s="103"/>
      <c r="F587" s="104"/>
      <c r="G587" s="103"/>
      <c r="H587" s="103"/>
      <c r="I587" s="157"/>
      <c r="Q587" s="103"/>
      <c r="R587" s="103"/>
      <c r="S587" s="103"/>
      <c r="T587" s="270"/>
      <c r="U587" s="103"/>
      <c r="V587" s="271"/>
    </row>
    <row r="588">
      <c r="B588" s="103"/>
      <c r="C588" s="103"/>
      <c r="D588" s="103"/>
      <c r="E588" s="103"/>
      <c r="F588" s="104"/>
      <c r="G588" s="103"/>
      <c r="H588" s="103"/>
      <c r="I588" s="157"/>
      <c r="Q588" s="103"/>
      <c r="R588" s="103"/>
      <c r="S588" s="103"/>
      <c r="T588" s="270"/>
      <c r="U588" s="103"/>
      <c r="V588" s="271"/>
    </row>
    <row r="589">
      <c r="B589" s="103"/>
      <c r="C589" s="103"/>
      <c r="D589" s="103"/>
      <c r="E589" s="103"/>
      <c r="F589" s="104"/>
      <c r="G589" s="103"/>
      <c r="H589" s="103"/>
      <c r="I589" s="157"/>
      <c r="Q589" s="103"/>
      <c r="R589" s="103"/>
      <c r="S589" s="103"/>
      <c r="T589" s="270"/>
      <c r="U589" s="103"/>
      <c r="V589" s="271"/>
    </row>
    <row r="590">
      <c r="B590" s="103"/>
      <c r="C590" s="103"/>
      <c r="D590" s="103"/>
      <c r="E590" s="103"/>
      <c r="F590" s="104"/>
      <c r="G590" s="103"/>
      <c r="H590" s="103"/>
      <c r="I590" s="157"/>
      <c r="Q590" s="103"/>
      <c r="R590" s="103"/>
      <c r="S590" s="103"/>
      <c r="T590" s="270"/>
      <c r="U590" s="103"/>
      <c r="V590" s="271"/>
    </row>
    <row r="591">
      <c r="B591" s="103"/>
      <c r="C591" s="103"/>
      <c r="D591" s="103"/>
      <c r="E591" s="103"/>
      <c r="F591" s="104"/>
      <c r="G591" s="103"/>
      <c r="H591" s="103"/>
      <c r="I591" s="157"/>
      <c r="Q591" s="103"/>
      <c r="R591" s="103"/>
      <c r="S591" s="103"/>
      <c r="T591" s="270"/>
      <c r="U591" s="103"/>
      <c r="V591" s="271"/>
    </row>
    <row r="592">
      <c r="B592" s="103"/>
      <c r="C592" s="103"/>
      <c r="D592" s="103"/>
      <c r="E592" s="103"/>
      <c r="F592" s="104"/>
      <c r="G592" s="103"/>
      <c r="H592" s="103"/>
      <c r="I592" s="157"/>
      <c r="Q592" s="103"/>
      <c r="R592" s="103"/>
      <c r="S592" s="103"/>
      <c r="T592" s="270"/>
      <c r="U592" s="103"/>
      <c r="V592" s="271"/>
    </row>
    <row r="593">
      <c r="B593" s="103"/>
      <c r="C593" s="103"/>
      <c r="D593" s="103"/>
      <c r="E593" s="103"/>
      <c r="F593" s="104"/>
      <c r="G593" s="103"/>
      <c r="H593" s="103"/>
      <c r="I593" s="157"/>
      <c r="Q593" s="103"/>
      <c r="R593" s="103"/>
      <c r="S593" s="103"/>
      <c r="T593" s="270"/>
      <c r="U593" s="103"/>
      <c r="V593" s="271"/>
    </row>
    <row r="594">
      <c r="B594" s="103"/>
      <c r="C594" s="103"/>
      <c r="D594" s="103"/>
      <c r="E594" s="103"/>
      <c r="F594" s="104"/>
      <c r="G594" s="103"/>
      <c r="H594" s="103"/>
      <c r="I594" s="157"/>
      <c r="Q594" s="103"/>
      <c r="R594" s="103"/>
      <c r="S594" s="103"/>
      <c r="T594" s="270"/>
      <c r="U594" s="103"/>
      <c r="V594" s="271"/>
    </row>
    <row r="595">
      <c r="B595" s="103"/>
      <c r="C595" s="103"/>
      <c r="D595" s="103"/>
      <c r="E595" s="103"/>
      <c r="F595" s="104"/>
      <c r="G595" s="103"/>
      <c r="H595" s="103"/>
      <c r="I595" s="157"/>
      <c r="Q595" s="103"/>
      <c r="R595" s="103"/>
      <c r="S595" s="103"/>
      <c r="T595" s="270"/>
      <c r="U595" s="103"/>
      <c r="V595" s="271"/>
    </row>
    <row r="596">
      <c r="B596" s="103"/>
      <c r="C596" s="103"/>
      <c r="D596" s="103"/>
      <c r="E596" s="103"/>
      <c r="F596" s="104"/>
      <c r="G596" s="103"/>
      <c r="H596" s="103"/>
      <c r="I596" s="157"/>
      <c r="Q596" s="103"/>
      <c r="R596" s="103"/>
      <c r="S596" s="103"/>
      <c r="T596" s="270"/>
      <c r="U596" s="103"/>
      <c r="V596" s="271"/>
    </row>
    <row r="597">
      <c r="B597" s="103"/>
      <c r="C597" s="103"/>
      <c r="D597" s="103"/>
      <c r="E597" s="103"/>
      <c r="F597" s="104"/>
      <c r="G597" s="103"/>
      <c r="H597" s="103"/>
      <c r="I597" s="157"/>
      <c r="Q597" s="103"/>
      <c r="R597" s="103"/>
      <c r="S597" s="103"/>
      <c r="T597" s="270"/>
      <c r="U597" s="103"/>
      <c r="V597" s="271"/>
    </row>
    <row r="598">
      <c r="B598" s="103"/>
      <c r="C598" s="103"/>
      <c r="D598" s="103"/>
      <c r="E598" s="103"/>
      <c r="F598" s="104"/>
      <c r="G598" s="103"/>
      <c r="H598" s="103"/>
      <c r="I598" s="157"/>
      <c r="Q598" s="103"/>
      <c r="R598" s="103"/>
      <c r="S598" s="103"/>
      <c r="T598" s="270"/>
      <c r="U598" s="103"/>
      <c r="V598" s="271"/>
    </row>
    <row r="599">
      <c r="B599" s="103"/>
      <c r="C599" s="103"/>
      <c r="D599" s="103"/>
      <c r="E599" s="103"/>
      <c r="F599" s="104"/>
      <c r="G599" s="103"/>
      <c r="H599" s="103"/>
      <c r="I599" s="157"/>
      <c r="Q599" s="103"/>
      <c r="R599" s="103"/>
      <c r="S599" s="103"/>
      <c r="T599" s="270"/>
      <c r="U599" s="103"/>
      <c r="V599" s="271"/>
    </row>
    <row r="600">
      <c r="B600" s="103"/>
      <c r="C600" s="103"/>
      <c r="D600" s="103"/>
      <c r="E600" s="103"/>
      <c r="F600" s="104"/>
      <c r="G600" s="103"/>
      <c r="H600" s="103"/>
      <c r="I600" s="157"/>
      <c r="Q600" s="103"/>
      <c r="R600" s="103"/>
      <c r="S600" s="103"/>
      <c r="T600" s="270"/>
      <c r="U600" s="103"/>
      <c r="V600" s="271"/>
    </row>
    <row r="601">
      <c r="B601" s="103"/>
      <c r="C601" s="103"/>
      <c r="D601" s="103"/>
      <c r="E601" s="103"/>
      <c r="F601" s="104"/>
      <c r="G601" s="103"/>
      <c r="H601" s="103"/>
      <c r="I601" s="157"/>
      <c r="Q601" s="103"/>
      <c r="R601" s="103"/>
      <c r="S601" s="103"/>
      <c r="T601" s="270"/>
      <c r="U601" s="103"/>
      <c r="V601" s="271"/>
    </row>
    <row r="602">
      <c r="B602" s="103"/>
      <c r="C602" s="103"/>
      <c r="D602" s="103"/>
      <c r="E602" s="103"/>
      <c r="F602" s="104"/>
      <c r="G602" s="103"/>
      <c r="H602" s="103"/>
      <c r="I602" s="157"/>
      <c r="Q602" s="103"/>
      <c r="R602" s="103"/>
      <c r="S602" s="103"/>
      <c r="T602" s="270"/>
      <c r="U602" s="103"/>
      <c r="V602" s="271"/>
    </row>
    <row r="603">
      <c r="B603" s="103"/>
      <c r="C603" s="103"/>
      <c r="D603" s="103"/>
      <c r="E603" s="103"/>
      <c r="F603" s="104"/>
      <c r="G603" s="103"/>
      <c r="H603" s="103"/>
      <c r="I603" s="157"/>
      <c r="Q603" s="103"/>
      <c r="R603" s="103"/>
      <c r="S603" s="103"/>
      <c r="T603" s="270"/>
      <c r="U603" s="103"/>
      <c r="V603" s="271"/>
    </row>
    <row r="604">
      <c r="B604" s="103"/>
      <c r="C604" s="103"/>
      <c r="D604" s="103"/>
      <c r="E604" s="103"/>
      <c r="F604" s="104"/>
      <c r="G604" s="103"/>
      <c r="H604" s="103"/>
      <c r="I604" s="157"/>
      <c r="Q604" s="103"/>
      <c r="R604" s="103"/>
      <c r="S604" s="103"/>
      <c r="T604" s="270"/>
      <c r="U604" s="103"/>
      <c r="V604" s="271"/>
    </row>
    <row r="605">
      <c r="B605" s="103"/>
      <c r="C605" s="103"/>
      <c r="D605" s="103"/>
      <c r="E605" s="103"/>
      <c r="F605" s="104"/>
      <c r="G605" s="103"/>
      <c r="H605" s="103"/>
      <c r="I605" s="157"/>
      <c r="Q605" s="103"/>
      <c r="R605" s="103"/>
      <c r="S605" s="103"/>
      <c r="T605" s="270"/>
      <c r="U605" s="103"/>
      <c r="V605" s="271"/>
    </row>
    <row r="606">
      <c r="B606" s="103"/>
      <c r="C606" s="103"/>
      <c r="D606" s="103"/>
      <c r="E606" s="103"/>
      <c r="F606" s="104"/>
      <c r="G606" s="103"/>
      <c r="H606" s="103"/>
      <c r="I606" s="157"/>
      <c r="Q606" s="103"/>
      <c r="R606" s="103"/>
      <c r="S606" s="103"/>
      <c r="T606" s="270"/>
      <c r="U606" s="103"/>
      <c r="V606" s="271"/>
    </row>
    <row r="607">
      <c r="B607" s="103"/>
      <c r="C607" s="103"/>
      <c r="D607" s="103"/>
      <c r="E607" s="103"/>
      <c r="F607" s="104"/>
      <c r="G607" s="103"/>
      <c r="H607" s="103"/>
      <c r="I607" s="157"/>
      <c r="Q607" s="103"/>
      <c r="R607" s="103"/>
      <c r="S607" s="103"/>
      <c r="T607" s="270"/>
      <c r="U607" s="103"/>
      <c r="V607" s="271"/>
    </row>
    <row r="608">
      <c r="B608" s="103"/>
      <c r="C608" s="103"/>
      <c r="D608" s="103"/>
      <c r="E608" s="103"/>
      <c r="F608" s="104"/>
      <c r="G608" s="103"/>
      <c r="H608" s="103"/>
      <c r="I608" s="157"/>
      <c r="Q608" s="103"/>
      <c r="R608" s="103"/>
      <c r="S608" s="103"/>
      <c r="T608" s="270"/>
      <c r="U608" s="103"/>
      <c r="V608" s="271"/>
    </row>
    <row r="609">
      <c r="B609" s="103"/>
      <c r="C609" s="103"/>
      <c r="D609" s="103"/>
      <c r="E609" s="103"/>
      <c r="F609" s="104"/>
      <c r="G609" s="103"/>
      <c r="H609" s="103"/>
      <c r="I609" s="157"/>
      <c r="Q609" s="103"/>
      <c r="R609" s="103"/>
      <c r="S609" s="103"/>
      <c r="T609" s="270"/>
      <c r="U609" s="103"/>
      <c r="V609" s="271"/>
    </row>
    <row r="610">
      <c r="B610" s="103"/>
      <c r="C610" s="103"/>
      <c r="D610" s="103"/>
      <c r="E610" s="103"/>
      <c r="F610" s="104"/>
      <c r="G610" s="103"/>
      <c r="H610" s="103"/>
      <c r="I610" s="157"/>
      <c r="Q610" s="103"/>
      <c r="R610" s="103"/>
      <c r="S610" s="103"/>
      <c r="T610" s="270"/>
      <c r="U610" s="103"/>
      <c r="V610" s="271"/>
    </row>
    <row r="611">
      <c r="B611" s="103"/>
      <c r="C611" s="103"/>
      <c r="D611" s="103"/>
      <c r="E611" s="103"/>
      <c r="F611" s="104"/>
      <c r="G611" s="103"/>
      <c r="H611" s="103"/>
      <c r="I611" s="157"/>
      <c r="Q611" s="103"/>
      <c r="R611" s="103"/>
      <c r="S611" s="103"/>
      <c r="T611" s="270"/>
      <c r="U611" s="103"/>
      <c r="V611" s="271"/>
    </row>
    <row r="612">
      <c r="B612" s="103"/>
      <c r="C612" s="103"/>
      <c r="D612" s="103"/>
      <c r="E612" s="103"/>
      <c r="F612" s="104"/>
      <c r="G612" s="103"/>
      <c r="H612" s="103"/>
      <c r="I612" s="157"/>
      <c r="Q612" s="103"/>
      <c r="R612" s="103"/>
      <c r="S612" s="103"/>
      <c r="T612" s="270"/>
      <c r="U612" s="103"/>
      <c r="V612" s="271"/>
    </row>
    <row r="613">
      <c r="B613" s="103"/>
      <c r="C613" s="103"/>
      <c r="D613" s="103"/>
      <c r="E613" s="103"/>
      <c r="F613" s="104"/>
      <c r="G613" s="103"/>
      <c r="H613" s="103"/>
      <c r="I613" s="157"/>
      <c r="Q613" s="103"/>
      <c r="R613" s="103"/>
      <c r="S613" s="103"/>
      <c r="T613" s="270"/>
      <c r="U613" s="103"/>
      <c r="V613" s="271"/>
    </row>
    <row r="614">
      <c r="B614" s="103"/>
      <c r="C614" s="103"/>
      <c r="D614" s="103"/>
      <c r="E614" s="103"/>
      <c r="F614" s="104"/>
      <c r="G614" s="103"/>
      <c r="H614" s="103"/>
      <c r="I614" s="157"/>
      <c r="Q614" s="103"/>
      <c r="R614" s="103"/>
      <c r="S614" s="103"/>
      <c r="T614" s="270"/>
      <c r="U614" s="103"/>
      <c r="V614" s="271"/>
    </row>
    <row r="615">
      <c r="B615" s="103"/>
      <c r="C615" s="103"/>
      <c r="D615" s="103"/>
      <c r="E615" s="103"/>
      <c r="F615" s="104"/>
      <c r="G615" s="103"/>
      <c r="H615" s="103"/>
      <c r="I615" s="157"/>
      <c r="Q615" s="103"/>
      <c r="R615" s="103"/>
      <c r="S615" s="103"/>
      <c r="T615" s="270"/>
      <c r="U615" s="103"/>
      <c r="V615" s="271"/>
    </row>
    <row r="616">
      <c r="B616" s="103"/>
      <c r="C616" s="103"/>
      <c r="D616" s="103"/>
      <c r="E616" s="103"/>
      <c r="F616" s="104"/>
      <c r="G616" s="103"/>
      <c r="H616" s="103"/>
      <c r="I616" s="157"/>
      <c r="Q616" s="103"/>
      <c r="R616" s="103"/>
      <c r="S616" s="103"/>
      <c r="T616" s="270"/>
      <c r="U616" s="103"/>
      <c r="V616" s="271"/>
    </row>
    <row r="617">
      <c r="B617" s="103"/>
      <c r="C617" s="103"/>
      <c r="D617" s="103"/>
      <c r="E617" s="103"/>
      <c r="F617" s="104"/>
      <c r="G617" s="103"/>
      <c r="H617" s="103"/>
      <c r="I617" s="157"/>
      <c r="Q617" s="103"/>
      <c r="R617" s="103"/>
      <c r="S617" s="103"/>
      <c r="T617" s="270"/>
      <c r="U617" s="103"/>
      <c r="V617" s="271"/>
    </row>
    <row r="618">
      <c r="B618" s="103"/>
      <c r="C618" s="103"/>
      <c r="D618" s="103"/>
      <c r="E618" s="103"/>
      <c r="F618" s="104"/>
      <c r="G618" s="103"/>
      <c r="H618" s="103"/>
      <c r="I618" s="157"/>
      <c r="Q618" s="103"/>
      <c r="R618" s="103"/>
      <c r="S618" s="103"/>
      <c r="T618" s="270"/>
      <c r="U618" s="103"/>
      <c r="V618" s="271"/>
    </row>
    <row r="619">
      <c r="B619" s="103"/>
      <c r="C619" s="103"/>
      <c r="D619" s="103"/>
      <c r="E619" s="103"/>
      <c r="F619" s="104"/>
      <c r="G619" s="103"/>
      <c r="H619" s="103"/>
      <c r="I619" s="157"/>
      <c r="Q619" s="103"/>
      <c r="R619" s="103"/>
      <c r="S619" s="103"/>
      <c r="T619" s="270"/>
      <c r="U619" s="103"/>
      <c r="V619" s="271"/>
    </row>
    <row r="620">
      <c r="B620" s="103"/>
      <c r="C620" s="103"/>
      <c r="D620" s="103"/>
      <c r="E620" s="103"/>
      <c r="F620" s="104"/>
      <c r="G620" s="103"/>
      <c r="H620" s="103"/>
      <c r="I620" s="157"/>
      <c r="Q620" s="103"/>
      <c r="R620" s="103"/>
      <c r="S620" s="103"/>
      <c r="T620" s="270"/>
      <c r="U620" s="103"/>
      <c r="V620" s="271"/>
    </row>
    <row r="621">
      <c r="B621" s="103"/>
      <c r="C621" s="103"/>
      <c r="D621" s="103"/>
      <c r="E621" s="103"/>
      <c r="F621" s="104"/>
      <c r="G621" s="103"/>
      <c r="H621" s="103"/>
      <c r="I621" s="157"/>
      <c r="Q621" s="103"/>
      <c r="R621" s="103"/>
      <c r="S621" s="103"/>
      <c r="T621" s="270"/>
      <c r="U621" s="103"/>
      <c r="V621" s="271"/>
    </row>
    <row r="622">
      <c r="B622" s="103"/>
      <c r="C622" s="103"/>
      <c r="D622" s="103"/>
      <c r="E622" s="103"/>
      <c r="F622" s="104"/>
      <c r="G622" s="103"/>
      <c r="H622" s="103"/>
      <c r="I622" s="157"/>
      <c r="Q622" s="103"/>
      <c r="R622" s="103"/>
      <c r="S622" s="103"/>
      <c r="T622" s="270"/>
      <c r="U622" s="103"/>
      <c r="V622" s="271"/>
    </row>
    <row r="623">
      <c r="B623" s="103"/>
      <c r="C623" s="103"/>
      <c r="D623" s="103"/>
      <c r="E623" s="103"/>
      <c r="F623" s="104"/>
      <c r="G623" s="103"/>
      <c r="H623" s="103"/>
      <c r="I623" s="157"/>
      <c r="Q623" s="103"/>
      <c r="R623" s="103"/>
      <c r="S623" s="103"/>
      <c r="T623" s="270"/>
      <c r="U623" s="103"/>
      <c r="V623" s="271"/>
    </row>
    <row r="624">
      <c r="B624" s="103"/>
      <c r="C624" s="103"/>
      <c r="D624" s="103"/>
      <c r="E624" s="103"/>
      <c r="F624" s="104"/>
      <c r="G624" s="103"/>
      <c r="H624" s="103"/>
      <c r="I624" s="157"/>
      <c r="Q624" s="103"/>
      <c r="R624" s="103"/>
      <c r="S624" s="103"/>
      <c r="T624" s="270"/>
      <c r="U624" s="103"/>
      <c r="V624" s="271"/>
    </row>
    <row r="625">
      <c r="B625" s="103"/>
      <c r="C625" s="103"/>
      <c r="D625" s="103"/>
      <c r="E625" s="103"/>
      <c r="F625" s="104"/>
      <c r="G625" s="103"/>
      <c r="H625" s="103"/>
      <c r="I625" s="157"/>
      <c r="Q625" s="103"/>
      <c r="R625" s="103"/>
      <c r="S625" s="103"/>
      <c r="T625" s="270"/>
      <c r="U625" s="103"/>
      <c r="V625" s="271"/>
    </row>
    <row r="626">
      <c r="B626" s="103"/>
      <c r="C626" s="103"/>
      <c r="D626" s="103"/>
      <c r="E626" s="103"/>
      <c r="F626" s="104"/>
      <c r="G626" s="103"/>
      <c r="H626" s="103"/>
      <c r="I626" s="157"/>
      <c r="Q626" s="103"/>
      <c r="R626" s="103"/>
      <c r="S626" s="103"/>
      <c r="T626" s="270"/>
      <c r="U626" s="103"/>
      <c r="V626" s="271"/>
    </row>
    <row r="627">
      <c r="B627" s="103"/>
      <c r="C627" s="103"/>
      <c r="D627" s="103"/>
      <c r="E627" s="103"/>
      <c r="F627" s="104"/>
      <c r="G627" s="103"/>
      <c r="H627" s="103"/>
      <c r="I627" s="157"/>
      <c r="Q627" s="103"/>
      <c r="R627" s="103"/>
      <c r="S627" s="103"/>
      <c r="T627" s="270"/>
      <c r="U627" s="103"/>
      <c r="V627" s="271"/>
    </row>
    <row r="628">
      <c r="B628" s="103"/>
      <c r="C628" s="103"/>
      <c r="D628" s="103"/>
      <c r="E628" s="103"/>
      <c r="F628" s="104"/>
      <c r="G628" s="103"/>
      <c r="H628" s="103"/>
      <c r="I628" s="157"/>
      <c r="Q628" s="103"/>
      <c r="R628" s="103"/>
      <c r="S628" s="103"/>
      <c r="T628" s="270"/>
      <c r="U628" s="103"/>
      <c r="V628" s="271"/>
    </row>
    <row r="629">
      <c r="B629" s="103"/>
      <c r="C629" s="103"/>
      <c r="D629" s="103"/>
      <c r="E629" s="103"/>
      <c r="F629" s="104"/>
      <c r="G629" s="103"/>
      <c r="H629" s="103"/>
      <c r="I629" s="157"/>
      <c r="Q629" s="103"/>
      <c r="R629" s="103"/>
      <c r="S629" s="103"/>
      <c r="T629" s="270"/>
      <c r="U629" s="103"/>
      <c r="V629" s="271"/>
    </row>
    <row r="630">
      <c r="B630" s="103"/>
      <c r="C630" s="103"/>
      <c r="D630" s="103"/>
      <c r="E630" s="103"/>
      <c r="F630" s="104"/>
      <c r="G630" s="103"/>
      <c r="H630" s="103"/>
      <c r="I630" s="157"/>
      <c r="Q630" s="103"/>
      <c r="R630" s="103"/>
      <c r="S630" s="103"/>
      <c r="T630" s="270"/>
      <c r="U630" s="103"/>
      <c r="V630" s="271"/>
    </row>
    <row r="631">
      <c r="B631" s="103"/>
      <c r="C631" s="103"/>
      <c r="D631" s="103"/>
      <c r="E631" s="103"/>
      <c r="F631" s="104"/>
      <c r="G631" s="103"/>
      <c r="H631" s="103"/>
      <c r="I631" s="157"/>
      <c r="Q631" s="103"/>
      <c r="R631" s="103"/>
      <c r="S631" s="103"/>
      <c r="T631" s="270"/>
      <c r="U631" s="103"/>
      <c r="V631" s="271"/>
    </row>
    <row r="632">
      <c r="B632" s="103"/>
      <c r="C632" s="103"/>
      <c r="D632" s="103"/>
      <c r="E632" s="103"/>
      <c r="F632" s="104"/>
      <c r="G632" s="103"/>
      <c r="H632" s="103"/>
      <c r="I632" s="157"/>
      <c r="Q632" s="103"/>
      <c r="R632" s="103"/>
      <c r="S632" s="103"/>
      <c r="T632" s="270"/>
      <c r="U632" s="103"/>
      <c r="V632" s="271"/>
    </row>
    <row r="633">
      <c r="B633" s="103"/>
      <c r="C633" s="103"/>
      <c r="D633" s="103"/>
      <c r="E633" s="103"/>
      <c r="F633" s="104"/>
      <c r="G633" s="103"/>
      <c r="H633" s="103"/>
      <c r="I633" s="157"/>
      <c r="Q633" s="103"/>
      <c r="R633" s="103"/>
      <c r="S633" s="103"/>
      <c r="T633" s="270"/>
      <c r="U633" s="103"/>
      <c r="V633" s="271"/>
    </row>
    <row r="634">
      <c r="B634" s="103"/>
      <c r="C634" s="103"/>
      <c r="D634" s="103"/>
      <c r="E634" s="103"/>
      <c r="F634" s="104"/>
      <c r="G634" s="103"/>
      <c r="H634" s="103"/>
      <c r="I634" s="157"/>
      <c r="Q634" s="103"/>
      <c r="R634" s="103"/>
      <c r="S634" s="103"/>
      <c r="T634" s="270"/>
      <c r="U634" s="103"/>
      <c r="V634" s="271"/>
    </row>
    <row r="635">
      <c r="B635" s="103"/>
      <c r="C635" s="103"/>
      <c r="D635" s="103"/>
      <c r="E635" s="103"/>
      <c r="F635" s="104"/>
      <c r="G635" s="103"/>
      <c r="H635" s="103"/>
      <c r="I635" s="157"/>
      <c r="Q635" s="103"/>
      <c r="R635" s="103"/>
      <c r="S635" s="103"/>
      <c r="T635" s="270"/>
      <c r="U635" s="103"/>
      <c r="V635" s="271"/>
    </row>
    <row r="636">
      <c r="B636" s="103"/>
      <c r="C636" s="103"/>
      <c r="D636" s="103"/>
      <c r="E636" s="103"/>
      <c r="F636" s="104"/>
      <c r="G636" s="103"/>
      <c r="H636" s="103"/>
      <c r="I636" s="157"/>
      <c r="Q636" s="103"/>
      <c r="R636" s="103"/>
      <c r="S636" s="103"/>
      <c r="T636" s="270"/>
      <c r="U636" s="103"/>
      <c r="V636" s="271"/>
    </row>
    <row r="637">
      <c r="B637" s="103"/>
      <c r="C637" s="103"/>
      <c r="D637" s="103"/>
      <c r="E637" s="103"/>
      <c r="F637" s="104"/>
      <c r="G637" s="103"/>
      <c r="H637" s="103"/>
      <c r="I637" s="157"/>
      <c r="Q637" s="103"/>
      <c r="R637" s="103"/>
      <c r="S637" s="103"/>
      <c r="T637" s="270"/>
      <c r="U637" s="103"/>
      <c r="V637" s="271"/>
    </row>
    <row r="638">
      <c r="B638" s="103"/>
      <c r="C638" s="103"/>
      <c r="D638" s="103"/>
      <c r="E638" s="103"/>
      <c r="F638" s="104"/>
      <c r="G638" s="103"/>
      <c r="H638" s="103"/>
      <c r="I638" s="157"/>
      <c r="Q638" s="103"/>
      <c r="R638" s="103"/>
      <c r="S638" s="103"/>
      <c r="T638" s="270"/>
      <c r="U638" s="103"/>
      <c r="V638" s="271"/>
    </row>
    <row r="639">
      <c r="B639" s="103"/>
      <c r="C639" s="103"/>
      <c r="D639" s="103"/>
      <c r="E639" s="103"/>
      <c r="F639" s="104"/>
      <c r="G639" s="103"/>
      <c r="H639" s="103"/>
      <c r="I639" s="157"/>
      <c r="Q639" s="103"/>
      <c r="R639" s="103"/>
      <c r="S639" s="103"/>
      <c r="T639" s="270"/>
      <c r="U639" s="103"/>
      <c r="V639" s="271"/>
    </row>
    <row r="640">
      <c r="B640" s="103"/>
      <c r="C640" s="103"/>
      <c r="D640" s="103"/>
      <c r="E640" s="103"/>
      <c r="F640" s="104"/>
      <c r="G640" s="103"/>
      <c r="H640" s="103"/>
      <c r="I640" s="157"/>
      <c r="Q640" s="103"/>
      <c r="R640" s="103"/>
      <c r="S640" s="103"/>
      <c r="T640" s="270"/>
      <c r="U640" s="103"/>
      <c r="V640" s="271"/>
    </row>
    <row r="641">
      <c r="B641" s="103"/>
      <c r="C641" s="103"/>
      <c r="D641" s="103"/>
      <c r="E641" s="103"/>
      <c r="F641" s="104"/>
      <c r="G641" s="103"/>
      <c r="H641" s="103"/>
      <c r="I641" s="157"/>
      <c r="Q641" s="103"/>
      <c r="R641" s="103"/>
      <c r="S641" s="103"/>
      <c r="T641" s="270"/>
      <c r="U641" s="103"/>
      <c r="V641" s="271"/>
    </row>
    <row r="642">
      <c r="B642" s="103"/>
      <c r="C642" s="103"/>
      <c r="D642" s="103"/>
      <c r="E642" s="103"/>
      <c r="F642" s="104"/>
      <c r="G642" s="103"/>
      <c r="H642" s="103"/>
      <c r="I642" s="157"/>
      <c r="Q642" s="103"/>
      <c r="R642" s="103"/>
      <c r="S642" s="103"/>
      <c r="T642" s="270"/>
      <c r="U642" s="103"/>
      <c r="V642" s="271"/>
    </row>
    <row r="643">
      <c r="B643" s="103"/>
      <c r="C643" s="103"/>
      <c r="D643" s="103"/>
      <c r="E643" s="103"/>
      <c r="F643" s="104"/>
      <c r="G643" s="103"/>
      <c r="H643" s="103"/>
      <c r="I643" s="157"/>
      <c r="Q643" s="103"/>
      <c r="R643" s="103"/>
      <c r="S643" s="103"/>
      <c r="T643" s="270"/>
      <c r="U643" s="103"/>
      <c r="V643" s="271"/>
    </row>
    <row r="644">
      <c r="B644" s="103"/>
      <c r="C644" s="103"/>
      <c r="D644" s="103"/>
      <c r="E644" s="103"/>
      <c r="F644" s="104"/>
      <c r="G644" s="103"/>
      <c r="H644" s="103"/>
      <c r="I644" s="157"/>
      <c r="Q644" s="103"/>
      <c r="R644" s="103"/>
      <c r="S644" s="103"/>
      <c r="T644" s="270"/>
      <c r="U644" s="103"/>
      <c r="V644" s="271"/>
    </row>
    <row r="645">
      <c r="B645" s="103"/>
      <c r="C645" s="103"/>
      <c r="D645" s="103"/>
      <c r="E645" s="103"/>
      <c r="F645" s="104"/>
      <c r="G645" s="103"/>
      <c r="H645" s="103"/>
      <c r="I645" s="157"/>
      <c r="Q645" s="103"/>
      <c r="R645" s="103"/>
      <c r="S645" s="103"/>
      <c r="T645" s="270"/>
      <c r="U645" s="103"/>
      <c r="V645" s="271"/>
    </row>
    <row r="646">
      <c r="B646" s="103"/>
      <c r="C646" s="103"/>
      <c r="D646" s="103"/>
      <c r="E646" s="103"/>
      <c r="F646" s="104"/>
      <c r="G646" s="103"/>
      <c r="H646" s="103"/>
      <c r="I646" s="157"/>
      <c r="Q646" s="103"/>
      <c r="R646" s="103"/>
      <c r="S646" s="103"/>
      <c r="T646" s="270"/>
      <c r="U646" s="103"/>
      <c r="V646" s="271"/>
    </row>
    <row r="647">
      <c r="B647" s="103"/>
      <c r="C647" s="103"/>
      <c r="D647" s="103"/>
      <c r="E647" s="103"/>
      <c r="F647" s="104"/>
      <c r="G647" s="103"/>
      <c r="H647" s="103"/>
      <c r="I647" s="157"/>
      <c r="Q647" s="103"/>
      <c r="R647" s="103"/>
      <c r="S647" s="103"/>
      <c r="T647" s="270"/>
      <c r="U647" s="103"/>
      <c r="V647" s="271"/>
    </row>
    <row r="648">
      <c r="B648" s="103"/>
      <c r="C648" s="103"/>
      <c r="D648" s="103"/>
      <c r="E648" s="103"/>
      <c r="F648" s="104"/>
      <c r="G648" s="103"/>
      <c r="H648" s="103"/>
      <c r="I648" s="157"/>
      <c r="Q648" s="103"/>
      <c r="R648" s="103"/>
      <c r="S648" s="103"/>
      <c r="T648" s="270"/>
      <c r="U648" s="103"/>
      <c r="V648" s="271"/>
    </row>
    <row r="649">
      <c r="B649" s="103"/>
      <c r="C649" s="103"/>
      <c r="D649" s="103"/>
      <c r="E649" s="103"/>
      <c r="F649" s="104"/>
      <c r="G649" s="103"/>
      <c r="H649" s="103"/>
      <c r="I649" s="157"/>
      <c r="Q649" s="103"/>
      <c r="R649" s="103"/>
      <c r="S649" s="103"/>
      <c r="T649" s="270"/>
      <c r="U649" s="103"/>
      <c r="V649" s="271"/>
    </row>
    <row r="650">
      <c r="B650" s="103"/>
      <c r="C650" s="103"/>
      <c r="D650" s="103"/>
      <c r="E650" s="103"/>
      <c r="F650" s="104"/>
      <c r="G650" s="103"/>
      <c r="H650" s="103"/>
      <c r="I650" s="157"/>
      <c r="Q650" s="103"/>
      <c r="R650" s="103"/>
      <c r="S650" s="103"/>
      <c r="T650" s="270"/>
      <c r="U650" s="103"/>
      <c r="V650" s="271"/>
    </row>
    <row r="651">
      <c r="B651" s="103"/>
      <c r="C651" s="103"/>
      <c r="D651" s="103"/>
      <c r="E651" s="103"/>
      <c r="F651" s="104"/>
      <c r="G651" s="103"/>
      <c r="H651" s="103"/>
      <c r="I651" s="157"/>
      <c r="Q651" s="103"/>
      <c r="R651" s="103"/>
      <c r="S651" s="103"/>
      <c r="T651" s="270"/>
      <c r="U651" s="103"/>
      <c r="V651" s="271"/>
    </row>
    <row r="652">
      <c r="B652" s="103"/>
      <c r="C652" s="103"/>
      <c r="D652" s="103"/>
      <c r="E652" s="103"/>
      <c r="F652" s="104"/>
      <c r="G652" s="103"/>
      <c r="H652" s="103"/>
      <c r="I652" s="157"/>
      <c r="Q652" s="103"/>
      <c r="R652" s="103"/>
      <c r="S652" s="103"/>
      <c r="T652" s="270"/>
      <c r="U652" s="103"/>
      <c r="V652" s="271"/>
    </row>
    <row r="653">
      <c r="B653" s="103"/>
      <c r="C653" s="103"/>
      <c r="D653" s="103"/>
      <c r="E653" s="103"/>
      <c r="F653" s="104"/>
      <c r="G653" s="103"/>
      <c r="H653" s="103"/>
      <c r="I653" s="157"/>
      <c r="Q653" s="103"/>
      <c r="R653" s="103"/>
      <c r="S653" s="103"/>
      <c r="T653" s="270"/>
      <c r="U653" s="103"/>
      <c r="V653" s="271"/>
    </row>
    <row r="654">
      <c r="B654" s="103"/>
      <c r="C654" s="103"/>
      <c r="D654" s="103"/>
      <c r="E654" s="103"/>
      <c r="F654" s="104"/>
      <c r="G654" s="103"/>
      <c r="H654" s="103"/>
      <c r="I654" s="157"/>
      <c r="Q654" s="103"/>
      <c r="R654" s="103"/>
      <c r="S654" s="103"/>
      <c r="T654" s="270"/>
      <c r="U654" s="103"/>
      <c r="V654" s="271"/>
    </row>
    <row r="655">
      <c r="B655" s="103"/>
      <c r="C655" s="103"/>
      <c r="D655" s="103"/>
      <c r="E655" s="103"/>
      <c r="F655" s="104"/>
      <c r="G655" s="103"/>
      <c r="H655" s="103"/>
      <c r="I655" s="157"/>
      <c r="Q655" s="103"/>
      <c r="R655" s="103"/>
      <c r="S655" s="103"/>
      <c r="T655" s="270"/>
      <c r="U655" s="103"/>
      <c r="V655" s="271"/>
    </row>
    <row r="656">
      <c r="B656" s="103"/>
      <c r="C656" s="103"/>
      <c r="D656" s="103"/>
      <c r="E656" s="103"/>
      <c r="F656" s="104"/>
      <c r="G656" s="103"/>
      <c r="H656" s="103"/>
      <c r="I656" s="157"/>
      <c r="Q656" s="103"/>
      <c r="R656" s="103"/>
      <c r="S656" s="103"/>
      <c r="T656" s="270"/>
      <c r="U656" s="103"/>
      <c r="V656" s="271"/>
    </row>
    <row r="657">
      <c r="B657" s="103"/>
      <c r="C657" s="103"/>
      <c r="D657" s="103"/>
      <c r="E657" s="103"/>
      <c r="F657" s="104"/>
      <c r="G657" s="103"/>
      <c r="H657" s="103"/>
      <c r="I657" s="157"/>
      <c r="Q657" s="103"/>
      <c r="R657" s="103"/>
      <c r="S657" s="103"/>
      <c r="T657" s="270"/>
      <c r="U657" s="103"/>
      <c r="V657" s="271"/>
    </row>
    <row r="658">
      <c r="B658" s="103"/>
      <c r="C658" s="103"/>
      <c r="D658" s="103"/>
      <c r="E658" s="103"/>
      <c r="F658" s="104"/>
      <c r="G658" s="103"/>
      <c r="H658" s="103"/>
      <c r="I658" s="157"/>
      <c r="Q658" s="103"/>
      <c r="R658" s="103"/>
      <c r="S658" s="103"/>
      <c r="T658" s="270"/>
      <c r="U658" s="103"/>
      <c r="V658" s="271"/>
    </row>
    <row r="659">
      <c r="B659" s="103"/>
      <c r="C659" s="103"/>
      <c r="D659" s="103"/>
      <c r="E659" s="103"/>
      <c r="F659" s="104"/>
      <c r="G659" s="103"/>
      <c r="H659" s="103"/>
      <c r="I659" s="157"/>
      <c r="Q659" s="103"/>
      <c r="R659" s="103"/>
      <c r="S659" s="103"/>
      <c r="T659" s="270"/>
      <c r="U659" s="103"/>
      <c r="V659" s="271"/>
    </row>
    <row r="660">
      <c r="B660" s="103"/>
      <c r="C660" s="103"/>
      <c r="D660" s="103"/>
      <c r="E660" s="103"/>
      <c r="F660" s="104"/>
      <c r="G660" s="103"/>
      <c r="H660" s="103"/>
      <c r="I660" s="157"/>
      <c r="Q660" s="103"/>
      <c r="R660" s="103"/>
      <c r="S660" s="103"/>
      <c r="T660" s="270"/>
      <c r="U660" s="103"/>
      <c r="V660" s="271"/>
    </row>
    <row r="661">
      <c r="B661" s="103"/>
      <c r="C661" s="103"/>
      <c r="D661" s="103"/>
      <c r="E661" s="103"/>
      <c r="F661" s="104"/>
      <c r="G661" s="103"/>
      <c r="H661" s="103"/>
      <c r="I661" s="157"/>
      <c r="Q661" s="103"/>
      <c r="R661" s="103"/>
      <c r="S661" s="103"/>
      <c r="T661" s="270"/>
      <c r="U661" s="103"/>
      <c r="V661" s="271"/>
    </row>
    <row r="662">
      <c r="B662" s="103"/>
      <c r="C662" s="103"/>
      <c r="D662" s="103"/>
      <c r="E662" s="103"/>
      <c r="F662" s="104"/>
      <c r="G662" s="103"/>
      <c r="H662" s="103"/>
      <c r="I662" s="157"/>
      <c r="Q662" s="103"/>
      <c r="R662" s="103"/>
      <c r="S662" s="103"/>
      <c r="T662" s="270"/>
      <c r="U662" s="103"/>
      <c r="V662" s="271"/>
    </row>
    <row r="663">
      <c r="B663" s="103"/>
      <c r="C663" s="103"/>
      <c r="D663" s="103"/>
      <c r="E663" s="103"/>
      <c r="F663" s="104"/>
      <c r="G663" s="103"/>
      <c r="H663" s="103"/>
      <c r="I663" s="157"/>
      <c r="Q663" s="103"/>
      <c r="R663" s="103"/>
      <c r="S663" s="103"/>
      <c r="T663" s="270"/>
      <c r="U663" s="103"/>
      <c r="V663" s="271"/>
    </row>
    <row r="664">
      <c r="B664" s="103"/>
      <c r="C664" s="103"/>
      <c r="D664" s="103"/>
      <c r="E664" s="103"/>
      <c r="F664" s="104"/>
      <c r="G664" s="103"/>
      <c r="H664" s="103"/>
      <c r="I664" s="157"/>
      <c r="Q664" s="103"/>
      <c r="R664" s="103"/>
      <c r="S664" s="103"/>
      <c r="T664" s="270"/>
      <c r="U664" s="103"/>
      <c r="V664" s="271"/>
    </row>
    <row r="665">
      <c r="B665" s="103"/>
      <c r="C665" s="103"/>
      <c r="D665" s="103"/>
      <c r="E665" s="103"/>
      <c r="F665" s="104"/>
      <c r="G665" s="103"/>
      <c r="H665" s="103"/>
      <c r="I665" s="157"/>
      <c r="Q665" s="103"/>
      <c r="R665" s="103"/>
      <c r="S665" s="103"/>
      <c r="T665" s="270"/>
      <c r="U665" s="103"/>
      <c r="V665" s="271"/>
    </row>
    <row r="666">
      <c r="B666" s="103"/>
      <c r="C666" s="103"/>
      <c r="D666" s="103"/>
      <c r="E666" s="103"/>
      <c r="F666" s="104"/>
      <c r="G666" s="103"/>
      <c r="H666" s="103"/>
      <c r="I666" s="157"/>
      <c r="Q666" s="103"/>
      <c r="R666" s="103"/>
      <c r="S666" s="103"/>
      <c r="T666" s="270"/>
      <c r="U666" s="103"/>
      <c r="V666" s="271"/>
    </row>
    <row r="667">
      <c r="B667" s="103"/>
      <c r="C667" s="103"/>
      <c r="D667" s="103"/>
      <c r="E667" s="103"/>
      <c r="F667" s="104"/>
      <c r="G667" s="103"/>
      <c r="H667" s="103"/>
      <c r="I667" s="157"/>
      <c r="Q667" s="103"/>
      <c r="R667" s="103"/>
      <c r="S667" s="103"/>
      <c r="T667" s="270"/>
      <c r="U667" s="103"/>
      <c r="V667" s="271"/>
    </row>
    <row r="668">
      <c r="B668" s="103"/>
      <c r="C668" s="103"/>
      <c r="D668" s="103"/>
      <c r="E668" s="103"/>
      <c r="F668" s="104"/>
      <c r="G668" s="103"/>
      <c r="H668" s="103"/>
      <c r="I668" s="157"/>
      <c r="Q668" s="103"/>
      <c r="R668" s="103"/>
      <c r="S668" s="103"/>
      <c r="T668" s="270"/>
      <c r="U668" s="103"/>
      <c r="V668" s="271"/>
    </row>
    <row r="669">
      <c r="B669" s="103"/>
      <c r="C669" s="103"/>
      <c r="D669" s="103"/>
      <c r="E669" s="103"/>
      <c r="F669" s="104"/>
      <c r="G669" s="103"/>
      <c r="H669" s="103"/>
      <c r="I669" s="157"/>
      <c r="Q669" s="103"/>
      <c r="R669" s="103"/>
      <c r="S669" s="103"/>
      <c r="T669" s="270"/>
      <c r="U669" s="103"/>
      <c r="V669" s="271"/>
    </row>
    <row r="670">
      <c r="B670" s="103"/>
      <c r="C670" s="103"/>
      <c r="D670" s="103"/>
      <c r="E670" s="103"/>
      <c r="F670" s="104"/>
      <c r="G670" s="103"/>
      <c r="H670" s="103"/>
      <c r="I670" s="157"/>
      <c r="Q670" s="103"/>
      <c r="R670" s="103"/>
      <c r="S670" s="103"/>
      <c r="T670" s="270"/>
      <c r="U670" s="103"/>
      <c r="V670" s="271"/>
    </row>
    <row r="671">
      <c r="B671" s="103"/>
      <c r="C671" s="103"/>
      <c r="D671" s="103"/>
      <c r="E671" s="103"/>
      <c r="F671" s="104"/>
      <c r="G671" s="103"/>
      <c r="H671" s="103"/>
      <c r="I671" s="157"/>
      <c r="Q671" s="103"/>
      <c r="R671" s="103"/>
      <c r="S671" s="103"/>
      <c r="T671" s="270"/>
      <c r="U671" s="103"/>
      <c r="V671" s="271"/>
    </row>
    <row r="672">
      <c r="B672" s="103"/>
      <c r="C672" s="103"/>
      <c r="D672" s="103"/>
      <c r="E672" s="103"/>
      <c r="F672" s="104"/>
      <c r="G672" s="103"/>
      <c r="H672" s="103"/>
      <c r="I672" s="157"/>
      <c r="Q672" s="103"/>
      <c r="R672" s="103"/>
      <c r="S672" s="103"/>
      <c r="T672" s="270"/>
      <c r="U672" s="103"/>
      <c r="V672" s="271"/>
    </row>
    <row r="673">
      <c r="B673" s="103"/>
      <c r="C673" s="103"/>
      <c r="D673" s="103"/>
      <c r="E673" s="103"/>
      <c r="F673" s="104"/>
      <c r="G673" s="103"/>
      <c r="H673" s="103"/>
      <c r="I673" s="157"/>
      <c r="Q673" s="103"/>
      <c r="R673" s="103"/>
      <c r="S673" s="103"/>
      <c r="T673" s="270"/>
      <c r="U673" s="103"/>
      <c r="V673" s="271"/>
    </row>
    <row r="674">
      <c r="B674" s="103"/>
      <c r="C674" s="103"/>
      <c r="D674" s="103"/>
      <c r="E674" s="103"/>
      <c r="F674" s="104"/>
      <c r="G674" s="103"/>
      <c r="H674" s="103"/>
      <c r="I674" s="157"/>
      <c r="Q674" s="103"/>
      <c r="R674" s="103"/>
      <c r="S674" s="103"/>
      <c r="T674" s="270"/>
      <c r="U674" s="103"/>
      <c r="V674" s="271"/>
    </row>
    <row r="675">
      <c r="B675" s="103"/>
      <c r="C675" s="103"/>
      <c r="D675" s="103"/>
      <c r="E675" s="103"/>
      <c r="F675" s="104"/>
      <c r="G675" s="103"/>
      <c r="H675" s="103"/>
      <c r="I675" s="157"/>
      <c r="Q675" s="103"/>
      <c r="R675" s="103"/>
      <c r="S675" s="103"/>
      <c r="T675" s="270"/>
      <c r="U675" s="103"/>
      <c r="V675" s="271"/>
    </row>
    <row r="676">
      <c r="B676" s="103"/>
      <c r="C676" s="103"/>
      <c r="D676" s="103"/>
      <c r="E676" s="103"/>
      <c r="F676" s="104"/>
      <c r="G676" s="103"/>
      <c r="H676" s="103"/>
      <c r="I676" s="157"/>
      <c r="Q676" s="103"/>
      <c r="R676" s="103"/>
      <c r="S676" s="103"/>
      <c r="T676" s="270"/>
      <c r="U676" s="103"/>
      <c r="V676" s="271"/>
    </row>
    <row r="677">
      <c r="B677" s="103"/>
      <c r="C677" s="103"/>
      <c r="D677" s="103"/>
      <c r="E677" s="103"/>
      <c r="F677" s="104"/>
      <c r="G677" s="103"/>
      <c r="H677" s="103"/>
      <c r="I677" s="157"/>
      <c r="Q677" s="103"/>
      <c r="R677" s="103"/>
      <c r="S677" s="103"/>
      <c r="T677" s="270"/>
      <c r="U677" s="103"/>
      <c r="V677" s="271"/>
    </row>
    <row r="678">
      <c r="B678" s="103"/>
      <c r="C678" s="103"/>
      <c r="D678" s="103"/>
      <c r="E678" s="103"/>
      <c r="F678" s="104"/>
      <c r="G678" s="103"/>
      <c r="H678" s="103"/>
      <c r="I678" s="157"/>
      <c r="Q678" s="103"/>
      <c r="R678" s="103"/>
      <c r="S678" s="103"/>
      <c r="T678" s="270"/>
      <c r="U678" s="103"/>
      <c r="V678" s="271"/>
    </row>
    <row r="679">
      <c r="B679" s="103"/>
      <c r="C679" s="103"/>
      <c r="D679" s="103"/>
      <c r="E679" s="103"/>
      <c r="F679" s="104"/>
      <c r="G679" s="103"/>
      <c r="H679" s="103"/>
      <c r="I679" s="157"/>
      <c r="Q679" s="103"/>
      <c r="R679" s="103"/>
      <c r="S679" s="103"/>
      <c r="T679" s="270"/>
      <c r="U679" s="103"/>
      <c r="V679" s="271"/>
    </row>
    <row r="680">
      <c r="B680" s="103"/>
      <c r="C680" s="103"/>
      <c r="D680" s="103"/>
      <c r="E680" s="103"/>
      <c r="F680" s="104"/>
      <c r="G680" s="103"/>
      <c r="H680" s="103"/>
      <c r="I680" s="157"/>
      <c r="Q680" s="103"/>
      <c r="R680" s="103"/>
      <c r="S680" s="103"/>
      <c r="T680" s="270"/>
      <c r="U680" s="103"/>
      <c r="V680" s="271"/>
    </row>
    <row r="681">
      <c r="B681" s="103"/>
      <c r="C681" s="103"/>
      <c r="D681" s="103"/>
      <c r="E681" s="103"/>
      <c r="F681" s="104"/>
      <c r="G681" s="103"/>
      <c r="H681" s="103"/>
      <c r="I681" s="157"/>
      <c r="Q681" s="103"/>
      <c r="R681" s="103"/>
      <c r="S681" s="103"/>
      <c r="T681" s="270"/>
      <c r="U681" s="103"/>
      <c r="V681" s="271"/>
    </row>
    <row r="682">
      <c r="B682" s="103"/>
      <c r="C682" s="103"/>
      <c r="D682" s="103"/>
      <c r="E682" s="103"/>
      <c r="F682" s="104"/>
      <c r="G682" s="103"/>
      <c r="H682" s="103"/>
      <c r="I682" s="157"/>
      <c r="Q682" s="103"/>
      <c r="R682" s="103"/>
      <c r="S682" s="103"/>
      <c r="T682" s="270"/>
      <c r="U682" s="103"/>
      <c r="V682" s="271"/>
    </row>
    <row r="683">
      <c r="B683" s="103"/>
      <c r="C683" s="103"/>
      <c r="D683" s="103"/>
      <c r="E683" s="103"/>
      <c r="F683" s="104"/>
      <c r="G683" s="103"/>
      <c r="H683" s="103"/>
      <c r="I683" s="157"/>
      <c r="Q683" s="103"/>
      <c r="R683" s="103"/>
      <c r="S683" s="103"/>
      <c r="T683" s="270"/>
      <c r="U683" s="103"/>
      <c r="V683" s="271"/>
    </row>
    <row r="684">
      <c r="B684" s="103"/>
      <c r="C684" s="103"/>
      <c r="D684" s="103"/>
      <c r="E684" s="103"/>
      <c r="F684" s="104"/>
      <c r="G684" s="103"/>
      <c r="H684" s="103"/>
      <c r="I684" s="157"/>
      <c r="Q684" s="103"/>
      <c r="R684" s="103"/>
      <c r="S684" s="103"/>
      <c r="T684" s="270"/>
      <c r="U684" s="103"/>
      <c r="V684" s="271"/>
    </row>
    <row r="685">
      <c r="B685" s="103"/>
      <c r="C685" s="103"/>
      <c r="D685" s="103"/>
      <c r="E685" s="103"/>
      <c r="F685" s="104"/>
      <c r="G685" s="103"/>
      <c r="H685" s="103"/>
      <c r="I685" s="157"/>
      <c r="Q685" s="103"/>
      <c r="R685" s="103"/>
      <c r="S685" s="103"/>
      <c r="T685" s="270"/>
      <c r="U685" s="103"/>
      <c r="V685" s="271"/>
    </row>
    <row r="686">
      <c r="B686" s="103"/>
      <c r="C686" s="103"/>
      <c r="D686" s="103"/>
      <c r="E686" s="103"/>
      <c r="F686" s="104"/>
      <c r="G686" s="103"/>
      <c r="H686" s="103"/>
      <c r="I686" s="157"/>
      <c r="Q686" s="103"/>
      <c r="R686" s="103"/>
      <c r="S686" s="103"/>
      <c r="T686" s="270"/>
      <c r="U686" s="103"/>
      <c r="V686" s="271"/>
    </row>
    <row r="687">
      <c r="B687" s="103"/>
      <c r="C687" s="103"/>
      <c r="D687" s="103"/>
      <c r="E687" s="103"/>
      <c r="F687" s="104"/>
      <c r="G687" s="103"/>
      <c r="H687" s="103"/>
      <c r="I687" s="157"/>
      <c r="Q687" s="103"/>
      <c r="R687" s="103"/>
      <c r="S687" s="103"/>
      <c r="T687" s="270"/>
      <c r="U687" s="103"/>
      <c r="V687" s="271"/>
    </row>
    <row r="688">
      <c r="B688" s="103"/>
      <c r="C688" s="103"/>
      <c r="D688" s="103"/>
      <c r="E688" s="103"/>
      <c r="F688" s="104"/>
      <c r="G688" s="103"/>
      <c r="H688" s="103"/>
      <c r="I688" s="157"/>
      <c r="Q688" s="103"/>
      <c r="R688" s="103"/>
      <c r="S688" s="103"/>
      <c r="T688" s="270"/>
      <c r="U688" s="103"/>
      <c r="V688" s="271"/>
    </row>
    <row r="689">
      <c r="B689" s="103"/>
      <c r="C689" s="103"/>
      <c r="D689" s="103"/>
      <c r="E689" s="103"/>
      <c r="F689" s="104"/>
      <c r="G689" s="103"/>
      <c r="H689" s="103"/>
      <c r="I689" s="157"/>
      <c r="Q689" s="103"/>
      <c r="R689" s="103"/>
      <c r="S689" s="103"/>
      <c r="T689" s="270"/>
      <c r="U689" s="103"/>
      <c r="V689" s="271"/>
    </row>
    <row r="690">
      <c r="B690" s="103"/>
      <c r="C690" s="103"/>
      <c r="D690" s="103"/>
      <c r="E690" s="103"/>
      <c r="F690" s="104"/>
      <c r="G690" s="103"/>
      <c r="H690" s="103"/>
      <c r="I690" s="157"/>
      <c r="Q690" s="103"/>
      <c r="R690" s="103"/>
      <c r="S690" s="103"/>
      <c r="T690" s="270"/>
      <c r="U690" s="103"/>
      <c r="V690" s="271"/>
    </row>
    <row r="691">
      <c r="B691" s="103"/>
      <c r="C691" s="103"/>
      <c r="D691" s="103"/>
      <c r="E691" s="103"/>
      <c r="F691" s="104"/>
      <c r="G691" s="103"/>
      <c r="H691" s="103"/>
      <c r="I691" s="157"/>
      <c r="Q691" s="103"/>
      <c r="R691" s="103"/>
      <c r="S691" s="103"/>
      <c r="T691" s="270"/>
      <c r="U691" s="103"/>
      <c r="V691" s="271"/>
    </row>
    <row r="692">
      <c r="B692" s="103"/>
      <c r="C692" s="103"/>
      <c r="D692" s="103"/>
      <c r="E692" s="103"/>
      <c r="F692" s="104"/>
      <c r="G692" s="103"/>
      <c r="H692" s="103"/>
      <c r="I692" s="157"/>
      <c r="Q692" s="103"/>
      <c r="R692" s="103"/>
      <c r="S692" s="103"/>
      <c r="T692" s="270"/>
      <c r="U692" s="103"/>
      <c r="V692" s="271"/>
    </row>
    <row r="693">
      <c r="B693" s="103"/>
      <c r="C693" s="103"/>
      <c r="D693" s="103"/>
      <c r="E693" s="103"/>
      <c r="F693" s="104"/>
      <c r="G693" s="103"/>
      <c r="H693" s="103"/>
      <c r="I693" s="157"/>
      <c r="Q693" s="103"/>
      <c r="R693" s="103"/>
      <c r="S693" s="103"/>
      <c r="T693" s="270"/>
      <c r="U693" s="103"/>
      <c r="V693" s="271"/>
    </row>
    <row r="694">
      <c r="B694" s="103"/>
      <c r="C694" s="103"/>
      <c r="D694" s="103"/>
      <c r="E694" s="103"/>
      <c r="F694" s="104"/>
      <c r="G694" s="103"/>
      <c r="H694" s="103"/>
      <c r="I694" s="157"/>
      <c r="Q694" s="103"/>
      <c r="R694" s="103"/>
      <c r="S694" s="103"/>
      <c r="T694" s="270"/>
      <c r="U694" s="103"/>
      <c r="V694" s="271"/>
    </row>
    <row r="695">
      <c r="B695" s="103"/>
      <c r="C695" s="103"/>
      <c r="D695" s="103"/>
      <c r="E695" s="103"/>
      <c r="F695" s="104"/>
      <c r="G695" s="103"/>
      <c r="H695" s="103"/>
      <c r="I695" s="157"/>
      <c r="Q695" s="103"/>
      <c r="R695" s="103"/>
      <c r="S695" s="103"/>
      <c r="T695" s="270"/>
      <c r="U695" s="103"/>
      <c r="V695" s="271"/>
    </row>
    <row r="696">
      <c r="B696" s="103"/>
      <c r="C696" s="103"/>
      <c r="D696" s="103"/>
      <c r="E696" s="103"/>
      <c r="F696" s="104"/>
      <c r="G696" s="103"/>
      <c r="H696" s="103"/>
      <c r="I696" s="157"/>
      <c r="Q696" s="103"/>
      <c r="R696" s="103"/>
      <c r="S696" s="103"/>
      <c r="T696" s="270"/>
      <c r="U696" s="103"/>
      <c r="V696" s="271"/>
    </row>
    <row r="697">
      <c r="B697" s="103"/>
      <c r="C697" s="103"/>
      <c r="D697" s="103"/>
      <c r="E697" s="103"/>
      <c r="F697" s="104"/>
      <c r="G697" s="103"/>
      <c r="H697" s="103"/>
      <c r="I697" s="157"/>
      <c r="Q697" s="103"/>
      <c r="R697" s="103"/>
      <c r="S697" s="103"/>
      <c r="T697" s="270"/>
      <c r="U697" s="103"/>
      <c r="V697" s="271"/>
    </row>
    <row r="698">
      <c r="B698" s="103"/>
      <c r="C698" s="103"/>
      <c r="D698" s="103"/>
      <c r="E698" s="103"/>
      <c r="F698" s="104"/>
      <c r="G698" s="103"/>
      <c r="H698" s="103"/>
      <c r="I698" s="157"/>
      <c r="Q698" s="103"/>
      <c r="R698" s="103"/>
      <c r="S698" s="103"/>
      <c r="T698" s="270"/>
      <c r="U698" s="103"/>
      <c r="V698" s="271"/>
    </row>
    <row r="699">
      <c r="B699" s="103"/>
      <c r="C699" s="103"/>
      <c r="D699" s="103"/>
      <c r="E699" s="103"/>
      <c r="F699" s="104"/>
      <c r="G699" s="103"/>
      <c r="H699" s="103"/>
      <c r="I699" s="157"/>
      <c r="Q699" s="103"/>
      <c r="R699" s="103"/>
      <c r="S699" s="103"/>
      <c r="T699" s="270"/>
      <c r="U699" s="103"/>
      <c r="V699" s="271"/>
    </row>
    <row r="700">
      <c r="B700" s="103"/>
      <c r="C700" s="103"/>
      <c r="D700" s="103"/>
      <c r="E700" s="103"/>
      <c r="F700" s="104"/>
      <c r="G700" s="103"/>
      <c r="H700" s="103"/>
      <c r="I700" s="157"/>
      <c r="Q700" s="103"/>
      <c r="R700" s="103"/>
      <c r="S700" s="103"/>
      <c r="T700" s="270"/>
      <c r="U700" s="103"/>
      <c r="V700" s="271"/>
    </row>
    <row r="701">
      <c r="B701" s="103"/>
      <c r="C701" s="103"/>
      <c r="D701" s="103"/>
      <c r="E701" s="103"/>
      <c r="F701" s="104"/>
      <c r="G701" s="103"/>
      <c r="H701" s="103"/>
      <c r="I701" s="157"/>
      <c r="Q701" s="103"/>
      <c r="R701" s="103"/>
      <c r="S701" s="103"/>
      <c r="T701" s="270"/>
      <c r="U701" s="103"/>
      <c r="V701" s="271"/>
    </row>
    <row r="702">
      <c r="B702" s="103"/>
      <c r="C702" s="103"/>
      <c r="D702" s="103"/>
      <c r="E702" s="103"/>
      <c r="F702" s="104"/>
      <c r="G702" s="103"/>
      <c r="H702" s="103"/>
      <c r="I702" s="157"/>
      <c r="Q702" s="103"/>
      <c r="R702" s="103"/>
      <c r="S702" s="103"/>
      <c r="T702" s="270"/>
      <c r="U702" s="103"/>
      <c r="V702" s="271"/>
    </row>
    <row r="703">
      <c r="B703" s="103"/>
      <c r="C703" s="103"/>
      <c r="D703" s="103"/>
      <c r="E703" s="103"/>
      <c r="F703" s="104"/>
      <c r="G703" s="103"/>
      <c r="H703" s="103"/>
      <c r="I703" s="157"/>
      <c r="Q703" s="103"/>
      <c r="R703" s="103"/>
      <c r="S703" s="103"/>
      <c r="T703" s="270"/>
      <c r="U703" s="103"/>
      <c r="V703" s="271"/>
    </row>
    <row r="704">
      <c r="B704" s="103"/>
      <c r="C704" s="103"/>
      <c r="D704" s="103"/>
      <c r="E704" s="103"/>
      <c r="F704" s="104"/>
      <c r="G704" s="103"/>
      <c r="H704" s="103"/>
      <c r="I704" s="157"/>
      <c r="Q704" s="103"/>
      <c r="R704" s="103"/>
      <c r="S704" s="103"/>
      <c r="T704" s="270"/>
      <c r="U704" s="103"/>
      <c r="V704" s="271"/>
    </row>
    <row r="705">
      <c r="B705" s="103"/>
      <c r="C705" s="103"/>
      <c r="D705" s="103"/>
      <c r="E705" s="103"/>
      <c r="F705" s="104"/>
      <c r="G705" s="103"/>
      <c r="H705" s="103"/>
      <c r="I705" s="157"/>
      <c r="Q705" s="103"/>
      <c r="R705" s="103"/>
      <c r="S705" s="103"/>
      <c r="T705" s="270"/>
      <c r="U705" s="103"/>
      <c r="V705" s="271"/>
    </row>
    <row r="706">
      <c r="B706" s="103"/>
      <c r="C706" s="103"/>
      <c r="D706" s="103"/>
      <c r="E706" s="103"/>
      <c r="F706" s="104"/>
      <c r="G706" s="103"/>
      <c r="H706" s="103"/>
      <c r="I706" s="157"/>
      <c r="Q706" s="103"/>
      <c r="R706" s="103"/>
      <c r="S706" s="103"/>
      <c r="T706" s="270"/>
      <c r="U706" s="103"/>
      <c r="V706" s="271"/>
    </row>
    <row r="707">
      <c r="B707" s="103"/>
      <c r="C707" s="103"/>
      <c r="D707" s="103"/>
      <c r="E707" s="103"/>
      <c r="F707" s="104"/>
      <c r="G707" s="103"/>
      <c r="H707" s="103"/>
      <c r="I707" s="157"/>
      <c r="Q707" s="103"/>
      <c r="R707" s="103"/>
      <c r="S707" s="103"/>
      <c r="T707" s="270"/>
      <c r="U707" s="103"/>
      <c r="V707" s="271"/>
    </row>
    <row r="708">
      <c r="B708" s="103"/>
      <c r="C708" s="103"/>
      <c r="D708" s="103"/>
      <c r="E708" s="103"/>
      <c r="F708" s="104"/>
      <c r="G708" s="103"/>
      <c r="H708" s="103"/>
      <c r="I708" s="157"/>
      <c r="Q708" s="103"/>
      <c r="R708" s="103"/>
      <c r="S708" s="103"/>
      <c r="T708" s="270"/>
      <c r="U708" s="103"/>
      <c r="V708" s="271"/>
    </row>
    <row r="709">
      <c r="B709" s="103"/>
      <c r="C709" s="103"/>
      <c r="D709" s="103"/>
      <c r="E709" s="103"/>
      <c r="F709" s="104"/>
      <c r="G709" s="103"/>
      <c r="H709" s="103"/>
      <c r="I709" s="157"/>
      <c r="Q709" s="103"/>
      <c r="R709" s="103"/>
      <c r="S709" s="103"/>
      <c r="T709" s="270"/>
      <c r="U709" s="103"/>
      <c r="V709" s="271"/>
    </row>
    <row r="710">
      <c r="B710" s="103"/>
      <c r="C710" s="103"/>
      <c r="D710" s="103"/>
      <c r="E710" s="103"/>
      <c r="F710" s="104"/>
      <c r="G710" s="103"/>
      <c r="H710" s="103"/>
      <c r="I710" s="157"/>
      <c r="Q710" s="103"/>
      <c r="R710" s="103"/>
      <c r="S710" s="103"/>
      <c r="T710" s="270"/>
      <c r="U710" s="103"/>
      <c r="V710" s="271"/>
    </row>
    <row r="711">
      <c r="B711" s="103"/>
      <c r="C711" s="103"/>
      <c r="D711" s="103"/>
      <c r="E711" s="103"/>
      <c r="F711" s="104"/>
      <c r="G711" s="103"/>
      <c r="H711" s="103"/>
      <c r="I711" s="157"/>
      <c r="Q711" s="103"/>
      <c r="R711" s="103"/>
      <c r="S711" s="103"/>
      <c r="T711" s="270"/>
      <c r="U711" s="103"/>
      <c r="V711" s="271"/>
    </row>
    <row r="712">
      <c r="B712" s="103"/>
      <c r="C712" s="103"/>
      <c r="D712" s="103"/>
      <c r="E712" s="103"/>
      <c r="F712" s="104"/>
      <c r="G712" s="103"/>
      <c r="H712" s="103"/>
      <c r="I712" s="157"/>
      <c r="Q712" s="103"/>
      <c r="R712" s="103"/>
      <c r="S712" s="103"/>
      <c r="T712" s="270"/>
      <c r="U712" s="103"/>
      <c r="V712" s="271"/>
    </row>
    <row r="713">
      <c r="B713" s="103"/>
      <c r="C713" s="103"/>
      <c r="D713" s="103"/>
      <c r="E713" s="103"/>
      <c r="F713" s="104"/>
      <c r="G713" s="103"/>
      <c r="H713" s="103"/>
      <c r="I713" s="157"/>
      <c r="Q713" s="103"/>
      <c r="R713" s="103"/>
      <c r="S713" s="103"/>
      <c r="T713" s="270"/>
      <c r="U713" s="103"/>
      <c r="V713" s="271"/>
    </row>
    <row r="714">
      <c r="B714" s="103"/>
      <c r="C714" s="103"/>
      <c r="D714" s="103"/>
      <c r="E714" s="103"/>
      <c r="F714" s="104"/>
      <c r="G714" s="103"/>
      <c r="H714" s="103"/>
      <c r="I714" s="157"/>
      <c r="Q714" s="103"/>
      <c r="R714" s="103"/>
      <c r="S714" s="103"/>
      <c r="T714" s="270"/>
      <c r="U714" s="103"/>
      <c r="V714" s="271"/>
    </row>
    <row r="715">
      <c r="B715" s="103"/>
      <c r="C715" s="103"/>
      <c r="D715" s="103"/>
      <c r="E715" s="103"/>
      <c r="F715" s="104"/>
      <c r="G715" s="103"/>
      <c r="H715" s="103"/>
      <c r="I715" s="157"/>
      <c r="Q715" s="103"/>
      <c r="R715" s="103"/>
      <c r="S715" s="103"/>
      <c r="T715" s="270"/>
      <c r="U715" s="103"/>
      <c r="V715" s="271"/>
    </row>
    <row r="716">
      <c r="B716" s="103"/>
      <c r="C716" s="103"/>
      <c r="D716" s="103"/>
      <c r="E716" s="103"/>
      <c r="F716" s="104"/>
      <c r="G716" s="103"/>
      <c r="H716" s="103"/>
      <c r="I716" s="157"/>
      <c r="Q716" s="103"/>
      <c r="R716" s="103"/>
      <c r="S716" s="103"/>
      <c r="T716" s="270"/>
      <c r="U716" s="103"/>
      <c r="V716" s="271"/>
    </row>
    <row r="717">
      <c r="B717" s="103"/>
      <c r="C717" s="103"/>
      <c r="D717" s="103"/>
      <c r="E717" s="103"/>
      <c r="F717" s="104"/>
      <c r="G717" s="103"/>
      <c r="H717" s="103"/>
      <c r="I717" s="157"/>
      <c r="Q717" s="103"/>
      <c r="R717" s="103"/>
      <c r="S717" s="103"/>
      <c r="T717" s="270"/>
      <c r="U717" s="103"/>
      <c r="V717" s="271"/>
    </row>
    <row r="718">
      <c r="B718" s="103"/>
      <c r="C718" s="103"/>
      <c r="D718" s="103"/>
      <c r="E718" s="103"/>
      <c r="F718" s="104"/>
      <c r="G718" s="103"/>
      <c r="H718" s="103"/>
      <c r="I718" s="157"/>
      <c r="Q718" s="103"/>
      <c r="R718" s="103"/>
      <c r="S718" s="103"/>
      <c r="T718" s="270"/>
      <c r="U718" s="103"/>
      <c r="V718" s="271"/>
    </row>
    <row r="719">
      <c r="B719" s="103"/>
      <c r="C719" s="103"/>
      <c r="D719" s="103"/>
      <c r="E719" s="103"/>
      <c r="F719" s="104"/>
      <c r="G719" s="103"/>
      <c r="H719" s="103"/>
      <c r="I719" s="157"/>
      <c r="Q719" s="103"/>
      <c r="R719" s="103"/>
      <c r="S719" s="103"/>
      <c r="T719" s="270"/>
      <c r="U719" s="103"/>
      <c r="V719" s="271"/>
    </row>
    <row r="720">
      <c r="B720" s="103"/>
      <c r="C720" s="103"/>
      <c r="D720" s="103"/>
      <c r="E720" s="103"/>
      <c r="F720" s="104"/>
      <c r="G720" s="103"/>
      <c r="H720" s="103"/>
      <c r="I720" s="157"/>
      <c r="Q720" s="103"/>
      <c r="R720" s="103"/>
      <c r="S720" s="103"/>
      <c r="T720" s="270"/>
      <c r="U720" s="103"/>
      <c r="V720" s="271"/>
    </row>
    <row r="721">
      <c r="B721" s="103"/>
      <c r="C721" s="103"/>
      <c r="D721" s="103"/>
      <c r="E721" s="103"/>
      <c r="F721" s="104"/>
      <c r="G721" s="103"/>
      <c r="H721" s="103"/>
      <c r="I721" s="157"/>
      <c r="Q721" s="103"/>
      <c r="R721" s="103"/>
      <c r="S721" s="103"/>
      <c r="T721" s="270"/>
      <c r="U721" s="103"/>
      <c r="V721" s="271"/>
    </row>
    <row r="722">
      <c r="B722" s="103"/>
      <c r="C722" s="103"/>
      <c r="D722" s="103"/>
      <c r="E722" s="103"/>
      <c r="F722" s="104"/>
      <c r="G722" s="103"/>
      <c r="H722" s="103"/>
      <c r="I722" s="157"/>
      <c r="Q722" s="103"/>
      <c r="R722" s="103"/>
      <c r="S722" s="103"/>
      <c r="T722" s="270"/>
      <c r="U722" s="103"/>
      <c r="V722" s="271"/>
    </row>
    <row r="723">
      <c r="B723" s="103"/>
      <c r="C723" s="103"/>
      <c r="D723" s="103"/>
      <c r="E723" s="103"/>
      <c r="F723" s="104"/>
      <c r="G723" s="103"/>
      <c r="H723" s="103"/>
      <c r="I723" s="157"/>
      <c r="Q723" s="103"/>
      <c r="R723" s="103"/>
      <c r="S723" s="103"/>
      <c r="T723" s="270"/>
      <c r="U723" s="103"/>
      <c r="V723" s="271"/>
    </row>
    <row r="724">
      <c r="B724" s="103"/>
      <c r="C724" s="103"/>
      <c r="D724" s="103"/>
      <c r="E724" s="103"/>
      <c r="F724" s="104"/>
      <c r="G724" s="103"/>
      <c r="H724" s="103"/>
      <c r="I724" s="157"/>
      <c r="Q724" s="103"/>
      <c r="R724" s="103"/>
      <c r="S724" s="103"/>
      <c r="T724" s="270"/>
      <c r="U724" s="103"/>
      <c r="V724" s="271"/>
    </row>
    <row r="725">
      <c r="B725" s="103"/>
      <c r="C725" s="103"/>
      <c r="D725" s="103"/>
      <c r="E725" s="103"/>
      <c r="F725" s="104"/>
      <c r="G725" s="103"/>
      <c r="H725" s="103"/>
      <c r="I725" s="157"/>
      <c r="Q725" s="103"/>
      <c r="R725" s="103"/>
      <c r="S725" s="103"/>
      <c r="T725" s="270"/>
      <c r="U725" s="103"/>
      <c r="V725" s="271"/>
    </row>
    <row r="726">
      <c r="B726" s="103"/>
      <c r="C726" s="103"/>
      <c r="D726" s="103"/>
      <c r="E726" s="103"/>
      <c r="F726" s="104"/>
      <c r="G726" s="103"/>
      <c r="H726" s="103"/>
      <c r="I726" s="157"/>
      <c r="Q726" s="103"/>
      <c r="R726" s="103"/>
      <c r="S726" s="103"/>
      <c r="T726" s="270"/>
      <c r="U726" s="103"/>
      <c r="V726" s="271"/>
    </row>
    <row r="727">
      <c r="B727" s="103"/>
      <c r="C727" s="103"/>
      <c r="D727" s="103"/>
      <c r="E727" s="103"/>
      <c r="F727" s="104"/>
      <c r="G727" s="103"/>
      <c r="H727" s="103"/>
      <c r="I727" s="157"/>
      <c r="Q727" s="103"/>
      <c r="R727" s="103"/>
      <c r="S727" s="103"/>
      <c r="T727" s="270"/>
      <c r="U727" s="103"/>
      <c r="V727" s="271"/>
    </row>
    <row r="728">
      <c r="B728" s="103"/>
      <c r="C728" s="103"/>
      <c r="D728" s="103"/>
      <c r="E728" s="103"/>
      <c r="F728" s="104"/>
      <c r="G728" s="103"/>
      <c r="H728" s="103"/>
      <c r="I728" s="157"/>
      <c r="Q728" s="103"/>
      <c r="R728" s="103"/>
      <c r="S728" s="103"/>
      <c r="T728" s="270"/>
      <c r="U728" s="103"/>
      <c r="V728" s="271"/>
    </row>
    <row r="729">
      <c r="B729" s="103"/>
      <c r="C729" s="103"/>
      <c r="D729" s="103"/>
      <c r="E729" s="103"/>
      <c r="F729" s="104"/>
      <c r="G729" s="103"/>
      <c r="H729" s="103"/>
      <c r="I729" s="157"/>
      <c r="Q729" s="103"/>
      <c r="R729" s="103"/>
      <c r="S729" s="103"/>
      <c r="T729" s="270"/>
      <c r="U729" s="103"/>
      <c r="V729" s="271"/>
    </row>
    <row r="730">
      <c r="B730" s="103"/>
      <c r="C730" s="103"/>
      <c r="D730" s="103"/>
      <c r="E730" s="103"/>
      <c r="F730" s="104"/>
      <c r="G730" s="103"/>
      <c r="H730" s="103"/>
      <c r="I730" s="157"/>
      <c r="Q730" s="103"/>
      <c r="R730" s="103"/>
      <c r="S730" s="103"/>
      <c r="T730" s="270"/>
      <c r="U730" s="103"/>
      <c r="V730" s="271"/>
    </row>
    <row r="731">
      <c r="B731" s="103"/>
      <c r="C731" s="103"/>
      <c r="D731" s="103"/>
      <c r="E731" s="103"/>
      <c r="F731" s="104"/>
      <c r="G731" s="103"/>
      <c r="H731" s="103"/>
      <c r="I731" s="157"/>
      <c r="Q731" s="103"/>
      <c r="R731" s="103"/>
      <c r="S731" s="103"/>
      <c r="T731" s="270"/>
      <c r="U731" s="103"/>
      <c r="V731" s="271"/>
    </row>
    <row r="732">
      <c r="B732" s="103"/>
      <c r="C732" s="103"/>
      <c r="D732" s="103"/>
      <c r="E732" s="103"/>
      <c r="F732" s="104"/>
      <c r="G732" s="103"/>
      <c r="H732" s="103"/>
      <c r="I732" s="157"/>
      <c r="Q732" s="103"/>
      <c r="R732" s="103"/>
      <c r="S732" s="103"/>
      <c r="T732" s="270"/>
      <c r="U732" s="103"/>
      <c r="V732" s="271"/>
    </row>
    <row r="733">
      <c r="B733" s="103"/>
      <c r="C733" s="103"/>
      <c r="D733" s="103"/>
      <c r="E733" s="103"/>
      <c r="F733" s="104"/>
      <c r="G733" s="103"/>
      <c r="H733" s="103"/>
      <c r="I733" s="157"/>
      <c r="Q733" s="103"/>
      <c r="R733" s="103"/>
      <c r="S733" s="103"/>
      <c r="T733" s="270"/>
      <c r="U733" s="103"/>
      <c r="V733" s="271"/>
    </row>
    <row r="734">
      <c r="B734" s="103"/>
      <c r="C734" s="103"/>
      <c r="D734" s="103"/>
      <c r="E734" s="103"/>
      <c r="F734" s="104"/>
      <c r="G734" s="103"/>
      <c r="H734" s="103"/>
      <c r="I734" s="157"/>
      <c r="Q734" s="103"/>
      <c r="R734" s="103"/>
      <c r="S734" s="103"/>
      <c r="T734" s="270"/>
      <c r="U734" s="103"/>
      <c r="V734" s="271"/>
    </row>
    <row r="735">
      <c r="B735" s="103"/>
      <c r="C735" s="103"/>
      <c r="D735" s="103"/>
      <c r="E735" s="103"/>
      <c r="F735" s="104"/>
      <c r="G735" s="103"/>
      <c r="H735" s="103"/>
      <c r="I735" s="157"/>
      <c r="Q735" s="103"/>
      <c r="R735" s="103"/>
      <c r="S735" s="103"/>
      <c r="T735" s="270"/>
      <c r="U735" s="103"/>
      <c r="V735" s="271"/>
    </row>
    <row r="736">
      <c r="B736" s="103"/>
      <c r="C736" s="103"/>
      <c r="D736" s="103"/>
      <c r="E736" s="103"/>
      <c r="F736" s="104"/>
      <c r="G736" s="103"/>
      <c r="H736" s="103"/>
      <c r="I736" s="157"/>
      <c r="Q736" s="103"/>
      <c r="R736" s="103"/>
      <c r="S736" s="103"/>
      <c r="T736" s="270"/>
      <c r="U736" s="103"/>
      <c r="V736" s="271"/>
    </row>
    <row r="737">
      <c r="B737" s="103"/>
      <c r="C737" s="103"/>
      <c r="D737" s="103"/>
      <c r="E737" s="103"/>
      <c r="F737" s="104"/>
      <c r="G737" s="103"/>
      <c r="H737" s="103"/>
      <c r="I737" s="157"/>
      <c r="Q737" s="103"/>
      <c r="R737" s="103"/>
      <c r="S737" s="103"/>
      <c r="T737" s="270"/>
      <c r="U737" s="103"/>
      <c r="V737" s="271"/>
    </row>
    <row r="738">
      <c r="B738" s="103"/>
      <c r="C738" s="103"/>
      <c r="D738" s="103"/>
      <c r="E738" s="103"/>
      <c r="F738" s="104"/>
      <c r="G738" s="103"/>
      <c r="H738" s="103"/>
      <c r="I738" s="157"/>
      <c r="Q738" s="103"/>
      <c r="R738" s="103"/>
      <c r="S738" s="103"/>
      <c r="T738" s="270"/>
      <c r="U738" s="103"/>
      <c r="V738" s="271"/>
    </row>
    <row r="739">
      <c r="B739" s="103"/>
      <c r="C739" s="103"/>
      <c r="D739" s="103"/>
      <c r="E739" s="103"/>
      <c r="F739" s="104"/>
      <c r="G739" s="103"/>
      <c r="H739" s="103"/>
      <c r="I739" s="157"/>
      <c r="Q739" s="103"/>
      <c r="R739" s="103"/>
      <c r="S739" s="103"/>
      <c r="T739" s="270"/>
      <c r="U739" s="103"/>
      <c r="V739" s="271"/>
    </row>
    <row r="740">
      <c r="B740" s="103"/>
      <c r="C740" s="103"/>
      <c r="D740" s="103"/>
      <c r="E740" s="103"/>
      <c r="F740" s="104"/>
      <c r="G740" s="103"/>
      <c r="H740" s="103"/>
      <c r="I740" s="157"/>
      <c r="Q740" s="103"/>
      <c r="R740" s="103"/>
      <c r="S740" s="103"/>
      <c r="T740" s="270"/>
      <c r="U740" s="103"/>
      <c r="V740" s="271"/>
    </row>
    <row r="741">
      <c r="B741" s="103"/>
      <c r="C741" s="103"/>
      <c r="D741" s="103"/>
      <c r="E741" s="103"/>
      <c r="F741" s="104"/>
      <c r="G741" s="103"/>
      <c r="H741" s="103"/>
      <c r="I741" s="157"/>
      <c r="Q741" s="103"/>
      <c r="R741" s="103"/>
      <c r="S741" s="103"/>
      <c r="T741" s="270"/>
      <c r="U741" s="103"/>
      <c r="V741" s="271"/>
    </row>
    <row r="742">
      <c r="B742" s="103"/>
      <c r="C742" s="103"/>
      <c r="D742" s="103"/>
      <c r="E742" s="103"/>
      <c r="F742" s="104"/>
      <c r="G742" s="103"/>
      <c r="H742" s="103"/>
      <c r="I742" s="157"/>
      <c r="Q742" s="103"/>
      <c r="R742" s="103"/>
      <c r="S742" s="103"/>
      <c r="T742" s="270"/>
      <c r="U742" s="103"/>
      <c r="V742" s="271"/>
    </row>
    <row r="743">
      <c r="B743" s="103"/>
      <c r="C743" s="103"/>
      <c r="D743" s="103"/>
      <c r="E743" s="103"/>
      <c r="F743" s="104"/>
      <c r="G743" s="103"/>
      <c r="H743" s="103"/>
      <c r="I743" s="157"/>
      <c r="Q743" s="103"/>
      <c r="R743" s="103"/>
      <c r="S743" s="103"/>
      <c r="T743" s="270"/>
      <c r="U743" s="103"/>
      <c r="V743" s="271"/>
    </row>
    <row r="744">
      <c r="B744" s="103"/>
      <c r="C744" s="103"/>
      <c r="D744" s="103"/>
      <c r="E744" s="103"/>
      <c r="F744" s="104"/>
      <c r="G744" s="103"/>
      <c r="H744" s="103"/>
      <c r="I744" s="157"/>
      <c r="Q744" s="103"/>
      <c r="R744" s="103"/>
      <c r="S744" s="103"/>
      <c r="T744" s="270"/>
      <c r="U744" s="103"/>
      <c r="V744" s="271"/>
    </row>
    <row r="745">
      <c r="B745" s="103"/>
      <c r="C745" s="103"/>
      <c r="D745" s="103"/>
      <c r="E745" s="103"/>
      <c r="F745" s="104"/>
      <c r="G745" s="103"/>
      <c r="H745" s="103"/>
      <c r="I745" s="157"/>
      <c r="Q745" s="103"/>
      <c r="R745" s="103"/>
      <c r="S745" s="103"/>
      <c r="T745" s="270"/>
      <c r="U745" s="103"/>
      <c r="V745" s="271"/>
    </row>
    <row r="746">
      <c r="B746" s="103"/>
      <c r="C746" s="103"/>
      <c r="D746" s="103"/>
      <c r="E746" s="103"/>
      <c r="F746" s="104"/>
      <c r="G746" s="103"/>
      <c r="H746" s="103"/>
      <c r="I746" s="157"/>
      <c r="Q746" s="103"/>
      <c r="R746" s="103"/>
      <c r="S746" s="103"/>
      <c r="T746" s="270"/>
      <c r="U746" s="103"/>
      <c r="V746" s="271"/>
    </row>
    <row r="747">
      <c r="B747" s="103"/>
      <c r="C747" s="103"/>
      <c r="D747" s="103"/>
      <c r="E747" s="103"/>
      <c r="F747" s="104"/>
      <c r="G747" s="103"/>
      <c r="H747" s="103"/>
      <c r="I747" s="157"/>
      <c r="Q747" s="103"/>
      <c r="R747" s="103"/>
      <c r="S747" s="103"/>
      <c r="T747" s="270"/>
      <c r="U747" s="103"/>
      <c r="V747" s="271"/>
    </row>
    <row r="748">
      <c r="B748" s="103"/>
      <c r="C748" s="103"/>
      <c r="D748" s="103"/>
      <c r="E748" s="103"/>
      <c r="F748" s="104"/>
      <c r="G748" s="103"/>
      <c r="H748" s="103"/>
      <c r="I748" s="157"/>
      <c r="Q748" s="103"/>
      <c r="R748" s="103"/>
      <c r="S748" s="103"/>
      <c r="T748" s="270"/>
      <c r="U748" s="103"/>
      <c r="V748" s="271"/>
    </row>
    <row r="749">
      <c r="B749" s="103"/>
      <c r="C749" s="103"/>
      <c r="D749" s="103"/>
      <c r="E749" s="103"/>
      <c r="F749" s="104"/>
      <c r="G749" s="103"/>
      <c r="H749" s="103"/>
      <c r="I749" s="157"/>
      <c r="Q749" s="103"/>
      <c r="R749" s="103"/>
      <c r="S749" s="103"/>
      <c r="T749" s="270"/>
      <c r="U749" s="103"/>
      <c r="V749" s="271"/>
    </row>
    <row r="750">
      <c r="B750" s="103"/>
      <c r="C750" s="103"/>
      <c r="D750" s="103"/>
      <c r="E750" s="103"/>
      <c r="F750" s="104"/>
      <c r="G750" s="103"/>
      <c r="H750" s="103"/>
      <c r="I750" s="157"/>
      <c r="Q750" s="103"/>
      <c r="R750" s="103"/>
      <c r="S750" s="103"/>
      <c r="T750" s="270"/>
      <c r="U750" s="103"/>
      <c r="V750" s="271"/>
    </row>
    <row r="751">
      <c r="B751" s="103"/>
      <c r="C751" s="103"/>
      <c r="D751" s="103"/>
      <c r="E751" s="103"/>
      <c r="F751" s="104"/>
      <c r="G751" s="103"/>
      <c r="H751" s="103"/>
      <c r="I751" s="157"/>
      <c r="Q751" s="103"/>
      <c r="R751" s="103"/>
      <c r="S751" s="103"/>
      <c r="T751" s="270"/>
      <c r="U751" s="103"/>
      <c r="V751" s="271"/>
    </row>
    <row r="752">
      <c r="B752" s="103"/>
      <c r="C752" s="103"/>
      <c r="D752" s="103"/>
      <c r="E752" s="103"/>
      <c r="F752" s="104"/>
      <c r="G752" s="103"/>
      <c r="H752" s="103"/>
      <c r="I752" s="157"/>
      <c r="Q752" s="103"/>
      <c r="R752" s="103"/>
      <c r="S752" s="103"/>
      <c r="T752" s="270"/>
      <c r="U752" s="103"/>
      <c r="V752" s="271"/>
    </row>
    <row r="753">
      <c r="B753" s="103"/>
      <c r="C753" s="103"/>
      <c r="D753" s="103"/>
      <c r="E753" s="103"/>
      <c r="F753" s="104"/>
      <c r="G753" s="103"/>
      <c r="H753" s="103"/>
      <c r="I753" s="157"/>
      <c r="Q753" s="103"/>
      <c r="R753" s="103"/>
      <c r="S753" s="103"/>
      <c r="T753" s="270"/>
      <c r="U753" s="103"/>
      <c r="V753" s="271"/>
    </row>
    <row r="754">
      <c r="B754" s="103"/>
      <c r="C754" s="103"/>
      <c r="D754" s="103"/>
      <c r="E754" s="103"/>
      <c r="F754" s="104"/>
      <c r="G754" s="103"/>
      <c r="H754" s="103"/>
      <c r="I754" s="157"/>
      <c r="Q754" s="103"/>
      <c r="R754" s="103"/>
      <c r="S754" s="103"/>
      <c r="T754" s="270"/>
      <c r="U754" s="103"/>
      <c r="V754" s="271"/>
    </row>
    <row r="755">
      <c r="B755" s="103"/>
      <c r="C755" s="103"/>
      <c r="D755" s="103"/>
      <c r="E755" s="103"/>
      <c r="F755" s="104"/>
      <c r="G755" s="103"/>
      <c r="H755" s="103"/>
      <c r="I755" s="157"/>
      <c r="Q755" s="103"/>
      <c r="R755" s="103"/>
      <c r="S755" s="103"/>
      <c r="T755" s="270"/>
      <c r="U755" s="103"/>
      <c r="V755" s="271"/>
    </row>
    <row r="756">
      <c r="B756" s="103"/>
      <c r="C756" s="103"/>
      <c r="D756" s="103"/>
      <c r="E756" s="103"/>
      <c r="F756" s="104"/>
      <c r="G756" s="103"/>
      <c r="H756" s="103"/>
      <c r="I756" s="157"/>
      <c r="Q756" s="103"/>
      <c r="R756" s="103"/>
      <c r="S756" s="103"/>
      <c r="T756" s="270"/>
      <c r="U756" s="103"/>
      <c r="V756" s="271"/>
    </row>
    <row r="757">
      <c r="B757" s="103"/>
      <c r="C757" s="103"/>
      <c r="D757" s="103"/>
      <c r="E757" s="103"/>
      <c r="F757" s="104"/>
      <c r="G757" s="103"/>
      <c r="H757" s="103"/>
      <c r="I757" s="157"/>
      <c r="Q757" s="103"/>
      <c r="R757" s="103"/>
      <c r="S757" s="103"/>
      <c r="T757" s="270"/>
      <c r="U757" s="103"/>
      <c r="V757" s="271"/>
    </row>
    <row r="758">
      <c r="B758" s="103"/>
      <c r="C758" s="103"/>
      <c r="D758" s="103"/>
      <c r="E758" s="103"/>
      <c r="F758" s="104"/>
      <c r="G758" s="103"/>
      <c r="H758" s="103"/>
      <c r="I758" s="157"/>
      <c r="Q758" s="103"/>
      <c r="R758" s="103"/>
      <c r="S758" s="103"/>
      <c r="T758" s="270"/>
      <c r="U758" s="103"/>
      <c r="V758" s="271"/>
    </row>
    <row r="759">
      <c r="B759" s="103"/>
      <c r="C759" s="103"/>
      <c r="D759" s="103"/>
      <c r="E759" s="103"/>
      <c r="F759" s="104"/>
      <c r="G759" s="103"/>
      <c r="H759" s="103"/>
      <c r="I759" s="157"/>
      <c r="Q759" s="103"/>
      <c r="R759" s="103"/>
      <c r="S759" s="103"/>
      <c r="T759" s="270"/>
      <c r="U759" s="103"/>
      <c r="V759" s="271"/>
    </row>
    <row r="760">
      <c r="B760" s="103"/>
      <c r="C760" s="103"/>
      <c r="D760" s="103"/>
      <c r="E760" s="103"/>
      <c r="F760" s="104"/>
      <c r="G760" s="103"/>
      <c r="H760" s="103"/>
      <c r="I760" s="157"/>
      <c r="Q760" s="103"/>
      <c r="R760" s="103"/>
      <c r="S760" s="103"/>
      <c r="T760" s="270"/>
      <c r="U760" s="103"/>
      <c r="V760" s="271"/>
    </row>
    <row r="761">
      <c r="B761" s="103"/>
      <c r="C761" s="103"/>
      <c r="D761" s="103"/>
      <c r="E761" s="103"/>
      <c r="F761" s="104"/>
      <c r="G761" s="103"/>
      <c r="H761" s="103"/>
      <c r="I761" s="157"/>
      <c r="Q761" s="103"/>
      <c r="R761" s="103"/>
      <c r="S761" s="103"/>
      <c r="T761" s="270"/>
      <c r="U761" s="103"/>
      <c r="V761" s="271"/>
    </row>
    <row r="762">
      <c r="B762" s="103"/>
      <c r="C762" s="103"/>
      <c r="D762" s="103"/>
      <c r="E762" s="103"/>
      <c r="F762" s="104"/>
      <c r="G762" s="103"/>
      <c r="H762" s="103"/>
      <c r="I762" s="157"/>
      <c r="Q762" s="103"/>
      <c r="R762" s="103"/>
      <c r="S762" s="103"/>
      <c r="T762" s="270"/>
      <c r="U762" s="103"/>
      <c r="V762" s="271"/>
    </row>
    <row r="763">
      <c r="B763" s="103"/>
      <c r="C763" s="103"/>
      <c r="D763" s="103"/>
      <c r="E763" s="103"/>
      <c r="F763" s="104"/>
      <c r="G763" s="103"/>
      <c r="H763" s="103"/>
      <c r="I763" s="157"/>
      <c r="Q763" s="103"/>
      <c r="R763" s="103"/>
      <c r="S763" s="103"/>
      <c r="T763" s="270"/>
      <c r="U763" s="103"/>
      <c r="V763" s="271"/>
    </row>
    <row r="764">
      <c r="B764" s="103"/>
      <c r="C764" s="103"/>
      <c r="D764" s="103"/>
      <c r="E764" s="103"/>
      <c r="F764" s="104"/>
      <c r="G764" s="103"/>
      <c r="H764" s="103"/>
      <c r="I764" s="157"/>
      <c r="Q764" s="103"/>
      <c r="R764" s="103"/>
      <c r="S764" s="103"/>
      <c r="T764" s="270"/>
      <c r="U764" s="103"/>
      <c r="V764" s="271"/>
    </row>
    <row r="765">
      <c r="B765" s="103"/>
      <c r="C765" s="103"/>
      <c r="D765" s="103"/>
      <c r="E765" s="103"/>
      <c r="F765" s="104"/>
      <c r="G765" s="103"/>
      <c r="H765" s="103"/>
      <c r="I765" s="157"/>
      <c r="Q765" s="103"/>
      <c r="R765" s="103"/>
      <c r="S765" s="103"/>
      <c r="T765" s="270"/>
      <c r="U765" s="103"/>
      <c r="V765" s="271"/>
    </row>
    <row r="766">
      <c r="B766" s="103"/>
      <c r="C766" s="103"/>
      <c r="D766" s="103"/>
      <c r="E766" s="103"/>
      <c r="F766" s="104"/>
      <c r="G766" s="103"/>
      <c r="H766" s="103"/>
      <c r="I766" s="157"/>
      <c r="Q766" s="103"/>
      <c r="R766" s="103"/>
      <c r="S766" s="103"/>
      <c r="T766" s="270"/>
      <c r="U766" s="103"/>
      <c r="V766" s="271"/>
    </row>
    <row r="767">
      <c r="B767" s="103"/>
      <c r="C767" s="103"/>
      <c r="D767" s="103"/>
      <c r="E767" s="103"/>
      <c r="F767" s="104"/>
      <c r="G767" s="103"/>
      <c r="H767" s="103"/>
      <c r="I767" s="157"/>
      <c r="Q767" s="103"/>
      <c r="R767" s="103"/>
      <c r="S767" s="103"/>
      <c r="T767" s="270"/>
      <c r="U767" s="103"/>
      <c r="V767" s="271"/>
    </row>
    <row r="768">
      <c r="B768" s="103"/>
      <c r="C768" s="103"/>
      <c r="D768" s="103"/>
      <c r="E768" s="103"/>
      <c r="F768" s="104"/>
      <c r="G768" s="103"/>
      <c r="H768" s="103"/>
      <c r="I768" s="157"/>
      <c r="Q768" s="103"/>
      <c r="R768" s="103"/>
      <c r="S768" s="103"/>
      <c r="T768" s="270"/>
      <c r="U768" s="103"/>
      <c r="V768" s="271"/>
    </row>
    <row r="769">
      <c r="B769" s="103"/>
      <c r="C769" s="103"/>
      <c r="D769" s="103"/>
      <c r="E769" s="103"/>
      <c r="F769" s="104"/>
      <c r="G769" s="103"/>
      <c r="H769" s="103"/>
      <c r="I769" s="157"/>
      <c r="Q769" s="103"/>
      <c r="R769" s="103"/>
      <c r="S769" s="103"/>
      <c r="T769" s="270"/>
      <c r="U769" s="103"/>
      <c r="V769" s="271"/>
    </row>
    <row r="770">
      <c r="B770" s="103"/>
      <c r="C770" s="103"/>
      <c r="D770" s="103"/>
      <c r="E770" s="103"/>
      <c r="F770" s="104"/>
      <c r="G770" s="103"/>
      <c r="H770" s="103"/>
      <c r="I770" s="157"/>
      <c r="Q770" s="103"/>
      <c r="R770" s="103"/>
      <c r="S770" s="103"/>
      <c r="T770" s="270"/>
      <c r="U770" s="103"/>
      <c r="V770" s="271"/>
    </row>
    <row r="771">
      <c r="B771" s="103"/>
      <c r="C771" s="103"/>
      <c r="D771" s="103"/>
      <c r="E771" s="103"/>
      <c r="F771" s="104"/>
      <c r="G771" s="103"/>
      <c r="H771" s="103"/>
      <c r="I771" s="157"/>
      <c r="Q771" s="103"/>
      <c r="R771" s="103"/>
      <c r="S771" s="103"/>
      <c r="T771" s="270"/>
      <c r="U771" s="103"/>
      <c r="V771" s="271"/>
    </row>
    <row r="772">
      <c r="B772" s="103"/>
      <c r="C772" s="103"/>
      <c r="D772" s="103"/>
      <c r="E772" s="103"/>
      <c r="F772" s="104"/>
      <c r="G772" s="103"/>
      <c r="H772" s="103"/>
      <c r="I772" s="157"/>
      <c r="Q772" s="103"/>
      <c r="R772" s="103"/>
      <c r="S772" s="103"/>
      <c r="T772" s="270"/>
      <c r="U772" s="103"/>
      <c r="V772" s="271"/>
    </row>
    <row r="773">
      <c r="B773" s="103"/>
      <c r="C773" s="103"/>
      <c r="D773" s="103"/>
      <c r="E773" s="103"/>
      <c r="F773" s="104"/>
      <c r="G773" s="103"/>
      <c r="H773" s="103"/>
      <c r="I773" s="157"/>
      <c r="Q773" s="103"/>
      <c r="R773" s="103"/>
      <c r="S773" s="103"/>
      <c r="T773" s="270"/>
      <c r="U773" s="103"/>
      <c r="V773" s="271"/>
    </row>
    <row r="774">
      <c r="B774" s="103"/>
      <c r="C774" s="103"/>
      <c r="D774" s="103"/>
      <c r="E774" s="103"/>
      <c r="F774" s="104"/>
      <c r="G774" s="103"/>
      <c r="H774" s="103"/>
      <c r="I774" s="157"/>
      <c r="Q774" s="103"/>
      <c r="R774" s="103"/>
      <c r="S774" s="103"/>
      <c r="T774" s="270"/>
      <c r="U774" s="103"/>
      <c r="V774" s="271"/>
    </row>
    <row r="775">
      <c r="B775" s="103"/>
      <c r="C775" s="103"/>
      <c r="D775" s="103"/>
      <c r="E775" s="103"/>
      <c r="F775" s="104"/>
      <c r="G775" s="103"/>
      <c r="H775" s="103"/>
      <c r="I775" s="157"/>
      <c r="Q775" s="103"/>
      <c r="R775" s="103"/>
      <c r="S775" s="103"/>
      <c r="T775" s="270"/>
      <c r="U775" s="103"/>
      <c r="V775" s="271"/>
    </row>
    <row r="776">
      <c r="B776" s="103"/>
      <c r="C776" s="103"/>
      <c r="D776" s="103"/>
      <c r="E776" s="103"/>
      <c r="F776" s="104"/>
      <c r="G776" s="103"/>
      <c r="H776" s="103"/>
      <c r="I776" s="157"/>
      <c r="Q776" s="103"/>
      <c r="R776" s="103"/>
      <c r="S776" s="103"/>
      <c r="T776" s="270"/>
      <c r="U776" s="103"/>
      <c r="V776" s="271"/>
    </row>
    <row r="777">
      <c r="B777" s="103"/>
      <c r="C777" s="103"/>
      <c r="D777" s="103"/>
      <c r="E777" s="103"/>
      <c r="F777" s="104"/>
      <c r="G777" s="103"/>
      <c r="H777" s="103"/>
      <c r="I777" s="157"/>
      <c r="Q777" s="103"/>
      <c r="R777" s="103"/>
      <c r="S777" s="103"/>
      <c r="T777" s="270"/>
      <c r="U777" s="103"/>
      <c r="V777" s="271"/>
    </row>
    <row r="778">
      <c r="B778" s="103"/>
      <c r="C778" s="103"/>
      <c r="D778" s="103"/>
      <c r="E778" s="103"/>
      <c r="F778" s="104"/>
      <c r="G778" s="103"/>
      <c r="H778" s="103"/>
      <c r="I778" s="157"/>
      <c r="Q778" s="103"/>
      <c r="R778" s="103"/>
      <c r="S778" s="103"/>
      <c r="T778" s="270"/>
      <c r="U778" s="103"/>
      <c r="V778" s="271"/>
    </row>
    <row r="779">
      <c r="B779" s="103"/>
      <c r="C779" s="103"/>
      <c r="D779" s="103"/>
      <c r="E779" s="103"/>
      <c r="F779" s="104"/>
      <c r="G779" s="103"/>
      <c r="H779" s="103"/>
      <c r="I779" s="157"/>
      <c r="Q779" s="103"/>
      <c r="R779" s="103"/>
      <c r="S779" s="103"/>
      <c r="T779" s="270"/>
      <c r="U779" s="103"/>
      <c r="V779" s="271"/>
    </row>
    <row r="780">
      <c r="B780" s="103"/>
      <c r="C780" s="103"/>
      <c r="D780" s="103"/>
      <c r="E780" s="103"/>
      <c r="F780" s="104"/>
      <c r="G780" s="103"/>
      <c r="H780" s="103"/>
      <c r="I780" s="157"/>
      <c r="Q780" s="103"/>
      <c r="R780" s="103"/>
      <c r="S780" s="103"/>
      <c r="T780" s="270"/>
      <c r="U780" s="103"/>
      <c r="V780" s="271"/>
    </row>
    <row r="781">
      <c r="B781" s="103"/>
      <c r="C781" s="103"/>
      <c r="D781" s="103"/>
      <c r="E781" s="103"/>
      <c r="F781" s="104"/>
      <c r="G781" s="103"/>
      <c r="H781" s="103"/>
      <c r="I781" s="157"/>
      <c r="Q781" s="103"/>
      <c r="R781" s="103"/>
      <c r="S781" s="103"/>
      <c r="T781" s="270"/>
      <c r="U781" s="103"/>
      <c r="V781" s="271"/>
    </row>
    <row r="782">
      <c r="B782" s="103"/>
      <c r="C782" s="103"/>
      <c r="D782" s="103"/>
      <c r="E782" s="103"/>
      <c r="F782" s="104"/>
      <c r="G782" s="103"/>
      <c r="H782" s="103"/>
      <c r="I782" s="157"/>
      <c r="Q782" s="103"/>
      <c r="R782" s="103"/>
      <c r="S782" s="103"/>
      <c r="T782" s="270"/>
      <c r="U782" s="103"/>
      <c r="V782" s="271"/>
    </row>
    <row r="783">
      <c r="B783" s="103"/>
      <c r="C783" s="103"/>
      <c r="D783" s="103"/>
      <c r="E783" s="103"/>
      <c r="F783" s="104"/>
      <c r="G783" s="103"/>
      <c r="H783" s="103"/>
      <c r="I783" s="157"/>
      <c r="Q783" s="103"/>
      <c r="R783" s="103"/>
      <c r="S783" s="103"/>
      <c r="T783" s="270"/>
      <c r="U783" s="103"/>
      <c r="V783" s="271"/>
    </row>
    <row r="784">
      <c r="B784" s="103"/>
      <c r="C784" s="103"/>
      <c r="D784" s="103"/>
      <c r="E784" s="103"/>
      <c r="F784" s="104"/>
      <c r="G784" s="103"/>
      <c r="H784" s="103"/>
      <c r="I784" s="157"/>
      <c r="Q784" s="103"/>
      <c r="R784" s="103"/>
      <c r="S784" s="103"/>
      <c r="T784" s="270"/>
      <c r="U784" s="103"/>
      <c r="V784" s="271"/>
    </row>
    <row r="785">
      <c r="B785" s="103"/>
      <c r="C785" s="103"/>
      <c r="D785" s="103"/>
      <c r="E785" s="103"/>
      <c r="F785" s="104"/>
      <c r="G785" s="103"/>
      <c r="H785" s="103"/>
      <c r="I785" s="157"/>
      <c r="Q785" s="103"/>
      <c r="R785" s="103"/>
      <c r="S785" s="103"/>
      <c r="T785" s="270"/>
      <c r="U785" s="103"/>
      <c r="V785" s="271"/>
    </row>
    <row r="786">
      <c r="B786" s="103"/>
      <c r="C786" s="103"/>
      <c r="D786" s="103"/>
      <c r="E786" s="103"/>
      <c r="F786" s="104"/>
      <c r="G786" s="103"/>
      <c r="H786" s="103"/>
      <c r="I786" s="157"/>
      <c r="Q786" s="103"/>
      <c r="R786" s="103"/>
      <c r="S786" s="103"/>
      <c r="T786" s="270"/>
      <c r="U786" s="103"/>
      <c r="V786" s="271"/>
    </row>
    <row r="787">
      <c r="B787" s="103"/>
      <c r="C787" s="103"/>
      <c r="D787" s="103"/>
      <c r="E787" s="103"/>
      <c r="F787" s="104"/>
      <c r="G787" s="103"/>
      <c r="H787" s="103"/>
      <c r="I787" s="157"/>
      <c r="Q787" s="103"/>
      <c r="R787" s="103"/>
      <c r="S787" s="103"/>
      <c r="T787" s="270"/>
      <c r="U787" s="103"/>
      <c r="V787" s="271"/>
    </row>
    <row r="788">
      <c r="B788" s="103"/>
      <c r="C788" s="103"/>
      <c r="D788" s="103"/>
      <c r="E788" s="103"/>
      <c r="F788" s="104"/>
      <c r="G788" s="103"/>
      <c r="H788" s="103"/>
      <c r="I788" s="157"/>
      <c r="Q788" s="103"/>
      <c r="R788" s="103"/>
      <c r="S788" s="103"/>
      <c r="T788" s="270"/>
      <c r="U788" s="103"/>
      <c r="V788" s="271"/>
    </row>
    <row r="789">
      <c r="B789" s="103"/>
      <c r="C789" s="103"/>
      <c r="D789" s="103"/>
      <c r="E789" s="103"/>
      <c r="F789" s="104"/>
      <c r="G789" s="103"/>
      <c r="H789" s="103"/>
      <c r="I789" s="157"/>
      <c r="Q789" s="103"/>
      <c r="R789" s="103"/>
      <c r="S789" s="103"/>
      <c r="T789" s="270"/>
      <c r="U789" s="103"/>
      <c r="V789" s="271"/>
    </row>
    <row r="790">
      <c r="B790" s="103"/>
      <c r="C790" s="103"/>
      <c r="D790" s="103"/>
      <c r="E790" s="103"/>
      <c r="F790" s="104"/>
      <c r="G790" s="103"/>
      <c r="H790" s="103"/>
      <c r="I790" s="157"/>
      <c r="Q790" s="103"/>
      <c r="R790" s="103"/>
      <c r="S790" s="103"/>
      <c r="T790" s="270"/>
      <c r="U790" s="103"/>
      <c r="V790" s="271"/>
    </row>
    <row r="791">
      <c r="B791" s="103"/>
      <c r="C791" s="103"/>
      <c r="D791" s="103"/>
      <c r="E791" s="103"/>
      <c r="F791" s="104"/>
      <c r="G791" s="103"/>
      <c r="H791" s="103"/>
      <c r="I791" s="157"/>
      <c r="Q791" s="103"/>
      <c r="R791" s="103"/>
      <c r="S791" s="103"/>
      <c r="T791" s="270"/>
      <c r="U791" s="103"/>
      <c r="V791" s="271"/>
    </row>
    <row r="792">
      <c r="B792" s="103"/>
      <c r="C792" s="103"/>
      <c r="D792" s="103"/>
      <c r="E792" s="103"/>
      <c r="F792" s="104"/>
      <c r="G792" s="103"/>
      <c r="H792" s="103"/>
      <c r="I792" s="157"/>
      <c r="Q792" s="103"/>
      <c r="R792" s="103"/>
      <c r="S792" s="103"/>
      <c r="T792" s="270"/>
      <c r="U792" s="103"/>
      <c r="V792" s="271"/>
    </row>
    <row r="793">
      <c r="B793" s="103"/>
      <c r="C793" s="103"/>
      <c r="D793" s="103"/>
      <c r="E793" s="103"/>
      <c r="F793" s="104"/>
      <c r="G793" s="103"/>
      <c r="H793" s="103"/>
      <c r="I793" s="157"/>
      <c r="Q793" s="103"/>
      <c r="R793" s="103"/>
      <c r="S793" s="103"/>
      <c r="T793" s="270"/>
      <c r="U793" s="103"/>
      <c r="V793" s="271"/>
    </row>
    <row r="794">
      <c r="B794" s="103"/>
      <c r="C794" s="103"/>
      <c r="D794" s="103"/>
      <c r="E794" s="103"/>
      <c r="F794" s="104"/>
      <c r="G794" s="103"/>
      <c r="H794" s="103"/>
      <c r="I794" s="157"/>
      <c r="Q794" s="103"/>
      <c r="R794" s="103"/>
      <c r="S794" s="103"/>
      <c r="T794" s="270"/>
      <c r="U794" s="103"/>
      <c r="V794" s="271"/>
    </row>
    <row r="795">
      <c r="B795" s="103"/>
      <c r="C795" s="103"/>
      <c r="D795" s="103"/>
      <c r="E795" s="103"/>
      <c r="F795" s="104"/>
      <c r="G795" s="103"/>
      <c r="H795" s="103"/>
      <c r="I795" s="157"/>
      <c r="Q795" s="103"/>
      <c r="R795" s="103"/>
      <c r="S795" s="103"/>
      <c r="T795" s="270"/>
      <c r="U795" s="103"/>
      <c r="V795" s="271"/>
    </row>
    <row r="796">
      <c r="B796" s="103"/>
      <c r="C796" s="103"/>
      <c r="D796" s="103"/>
      <c r="E796" s="103"/>
      <c r="F796" s="104"/>
      <c r="G796" s="103"/>
      <c r="H796" s="103"/>
      <c r="I796" s="157"/>
      <c r="Q796" s="103"/>
      <c r="R796" s="103"/>
      <c r="S796" s="103"/>
      <c r="T796" s="270"/>
      <c r="U796" s="103"/>
      <c r="V796" s="271"/>
    </row>
    <row r="797">
      <c r="B797" s="103"/>
      <c r="C797" s="103"/>
      <c r="D797" s="103"/>
      <c r="E797" s="103"/>
      <c r="F797" s="104"/>
      <c r="G797" s="103"/>
      <c r="H797" s="103"/>
      <c r="I797" s="157"/>
      <c r="Q797" s="103"/>
      <c r="R797" s="103"/>
      <c r="S797" s="103"/>
      <c r="T797" s="270"/>
      <c r="U797" s="103"/>
      <c r="V797" s="271"/>
    </row>
    <row r="798">
      <c r="B798" s="103"/>
      <c r="C798" s="103"/>
      <c r="D798" s="103"/>
      <c r="E798" s="103"/>
      <c r="F798" s="104"/>
      <c r="G798" s="103"/>
      <c r="H798" s="103"/>
      <c r="I798" s="157"/>
      <c r="Q798" s="103"/>
      <c r="R798" s="103"/>
      <c r="S798" s="103"/>
      <c r="T798" s="270"/>
      <c r="U798" s="103"/>
      <c r="V798" s="271"/>
    </row>
    <row r="799">
      <c r="B799" s="103"/>
      <c r="C799" s="103"/>
      <c r="D799" s="103"/>
      <c r="E799" s="103"/>
      <c r="F799" s="104"/>
      <c r="G799" s="103"/>
      <c r="H799" s="103"/>
      <c r="I799" s="157"/>
      <c r="Q799" s="103"/>
      <c r="R799" s="103"/>
      <c r="S799" s="103"/>
      <c r="T799" s="270"/>
      <c r="U799" s="103"/>
      <c r="V799" s="271"/>
    </row>
    <row r="800">
      <c r="B800" s="103"/>
      <c r="C800" s="103"/>
      <c r="D800" s="103"/>
      <c r="E800" s="103"/>
      <c r="F800" s="104"/>
      <c r="G800" s="103"/>
      <c r="H800" s="103"/>
      <c r="I800" s="157"/>
      <c r="Q800" s="103"/>
      <c r="R800" s="103"/>
      <c r="S800" s="103"/>
      <c r="T800" s="270"/>
      <c r="U800" s="103"/>
      <c r="V800" s="271"/>
    </row>
    <row r="801">
      <c r="B801" s="103"/>
      <c r="C801" s="103"/>
      <c r="D801" s="103"/>
      <c r="E801" s="103"/>
      <c r="F801" s="104"/>
      <c r="G801" s="103"/>
      <c r="H801" s="103"/>
      <c r="I801" s="157"/>
      <c r="Q801" s="103"/>
      <c r="R801" s="103"/>
      <c r="S801" s="103"/>
      <c r="T801" s="270"/>
      <c r="U801" s="103"/>
      <c r="V801" s="271"/>
    </row>
    <row r="802">
      <c r="B802" s="103"/>
      <c r="C802" s="103"/>
      <c r="D802" s="103"/>
      <c r="E802" s="103"/>
      <c r="F802" s="104"/>
      <c r="G802" s="103"/>
      <c r="H802" s="103"/>
      <c r="I802" s="157"/>
      <c r="Q802" s="103"/>
      <c r="R802" s="103"/>
      <c r="S802" s="103"/>
      <c r="T802" s="270"/>
      <c r="U802" s="103"/>
      <c r="V802" s="271"/>
    </row>
    <row r="803">
      <c r="B803" s="103"/>
      <c r="C803" s="103"/>
      <c r="D803" s="103"/>
      <c r="E803" s="103"/>
      <c r="F803" s="104"/>
      <c r="G803" s="103"/>
      <c r="H803" s="103"/>
      <c r="I803" s="157"/>
      <c r="Q803" s="103"/>
      <c r="R803" s="103"/>
      <c r="S803" s="103"/>
      <c r="T803" s="270"/>
      <c r="U803" s="103"/>
      <c r="V803" s="271"/>
    </row>
    <row r="804">
      <c r="B804" s="103"/>
      <c r="C804" s="103"/>
      <c r="D804" s="103"/>
      <c r="E804" s="103"/>
      <c r="F804" s="104"/>
      <c r="G804" s="103"/>
      <c r="H804" s="103"/>
      <c r="I804" s="157"/>
      <c r="Q804" s="103"/>
      <c r="R804" s="103"/>
      <c r="S804" s="103"/>
      <c r="T804" s="270"/>
      <c r="U804" s="103"/>
      <c r="V804" s="271"/>
    </row>
    <row r="805">
      <c r="B805" s="103"/>
      <c r="C805" s="103"/>
      <c r="D805" s="103"/>
      <c r="E805" s="103"/>
      <c r="F805" s="104"/>
      <c r="G805" s="103"/>
      <c r="H805" s="103"/>
      <c r="I805" s="157"/>
      <c r="Q805" s="103"/>
      <c r="R805" s="103"/>
      <c r="S805" s="103"/>
      <c r="T805" s="270"/>
      <c r="U805" s="103"/>
      <c r="V805" s="271"/>
    </row>
    <row r="806">
      <c r="B806" s="103"/>
      <c r="C806" s="103"/>
      <c r="D806" s="103"/>
      <c r="E806" s="103"/>
      <c r="F806" s="104"/>
      <c r="G806" s="103"/>
      <c r="H806" s="103"/>
      <c r="I806" s="157"/>
      <c r="Q806" s="103"/>
      <c r="R806" s="103"/>
      <c r="S806" s="103"/>
      <c r="T806" s="270"/>
      <c r="U806" s="103"/>
      <c r="V806" s="271"/>
    </row>
    <row r="807">
      <c r="B807" s="103"/>
      <c r="C807" s="103"/>
      <c r="D807" s="103"/>
      <c r="E807" s="103"/>
      <c r="F807" s="104"/>
      <c r="G807" s="103"/>
      <c r="H807" s="103"/>
      <c r="I807" s="157"/>
      <c r="Q807" s="103"/>
      <c r="R807" s="103"/>
      <c r="S807" s="103"/>
      <c r="T807" s="270"/>
      <c r="U807" s="103"/>
      <c r="V807" s="271"/>
    </row>
    <row r="808">
      <c r="B808" s="103"/>
      <c r="C808" s="103"/>
      <c r="D808" s="103"/>
      <c r="E808" s="103"/>
      <c r="F808" s="104"/>
      <c r="G808" s="103"/>
      <c r="H808" s="103"/>
      <c r="I808" s="157"/>
      <c r="Q808" s="103"/>
      <c r="R808" s="103"/>
      <c r="S808" s="103"/>
      <c r="T808" s="270"/>
      <c r="U808" s="103"/>
      <c r="V808" s="271"/>
    </row>
    <row r="809">
      <c r="B809" s="103"/>
      <c r="C809" s="103"/>
      <c r="D809" s="103"/>
      <c r="E809" s="103"/>
      <c r="F809" s="104"/>
      <c r="G809" s="103"/>
      <c r="H809" s="103"/>
      <c r="I809" s="157"/>
      <c r="Q809" s="103"/>
      <c r="R809" s="103"/>
      <c r="S809" s="103"/>
      <c r="T809" s="270"/>
      <c r="U809" s="103"/>
      <c r="V809" s="271"/>
    </row>
    <row r="810">
      <c r="B810" s="103"/>
      <c r="C810" s="103"/>
      <c r="D810" s="103"/>
      <c r="E810" s="103"/>
      <c r="F810" s="104"/>
      <c r="G810" s="103"/>
      <c r="H810" s="103"/>
      <c r="I810" s="157"/>
      <c r="Q810" s="103"/>
      <c r="R810" s="103"/>
      <c r="S810" s="103"/>
      <c r="T810" s="270"/>
      <c r="U810" s="103"/>
      <c r="V810" s="271"/>
    </row>
    <row r="811">
      <c r="B811" s="103"/>
      <c r="C811" s="103"/>
      <c r="D811" s="103"/>
      <c r="E811" s="103"/>
      <c r="F811" s="104"/>
      <c r="G811" s="103"/>
      <c r="H811" s="103"/>
      <c r="I811" s="157"/>
      <c r="Q811" s="103"/>
      <c r="R811" s="103"/>
      <c r="S811" s="103"/>
      <c r="T811" s="270"/>
      <c r="U811" s="103"/>
      <c r="V811" s="271"/>
    </row>
    <row r="812">
      <c r="B812" s="103"/>
      <c r="C812" s="103"/>
      <c r="D812" s="103"/>
      <c r="E812" s="103"/>
      <c r="F812" s="104"/>
      <c r="G812" s="103"/>
      <c r="H812" s="103"/>
      <c r="I812" s="157"/>
      <c r="Q812" s="103"/>
      <c r="R812" s="103"/>
      <c r="S812" s="103"/>
      <c r="T812" s="270"/>
      <c r="U812" s="103"/>
      <c r="V812" s="271"/>
    </row>
    <row r="813">
      <c r="B813" s="103"/>
      <c r="C813" s="103"/>
      <c r="D813" s="103"/>
      <c r="E813" s="103"/>
      <c r="F813" s="104"/>
      <c r="G813" s="103"/>
      <c r="H813" s="103"/>
      <c r="I813" s="157"/>
      <c r="Q813" s="103"/>
      <c r="R813" s="103"/>
      <c r="S813" s="103"/>
      <c r="T813" s="270"/>
      <c r="U813" s="103"/>
      <c r="V813" s="271"/>
    </row>
    <row r="814">
      <c r="B814" s="103"/>
      <c r="C814" s="103"/>
      <c r="D814" s="103"/>
      <c r="E814" s="103"/>
      <c r="F814" s="104"/>
      <c r="G814" s="103"/>
      <c r="H814" s="103"/>
      <c r="I814" s="157"/>
      <c r="Q814" s="103"/>
      <c r="R814" s="103"/>
      <c r="S814" s="103"/>
      <c r="T814" s="270"/>
      <c r="U814" s="103"/>
      <c r="V814" s="271"/>
    </row>
    <row r="815">
      <c r="B815" s="103"/>
      <c r="C815" s="103"/>
      <c r="D815" s="103"/>
      <c r="E815" s="103"/>
      <c r="F815" s="104"/>
      <c r="G815" s="103"/>
      <c r="H815" s="103"/>
      <c r="I815" s="157"/>
      <c r="Q815" s="103"/>
      <c r="R815" s="103"/>
      <c r="S815" s="103"/>
      <c r="T815" s="270"/>
      <c r="U815" s="103"/>
      <c r="V815" s="271"/>
    </row>
    <row r="816">
      <c r="B816" s="103"/>
      <c r="C816" s="103"/>
      <c r="D816" s="103"/>
      <c r="E816" s="103"/>
      <c r="F816" s="104"/>
      <c r="G816" s="103"/>
      <c r="H816" s="103"/>
      <c r="I816" s="157"/>
      <c r="Q816" s="103"/>
      <c r="R816" s="103"/>
      <c r="S816" s="103"/>
      <c r="T816" s="270"/>
      <c r="U816" s="103"/>
      <c r="V816" s="271"/>
    </row>
    <row r="817">
      <c r="B817" s="103"/>
      <c r="C817" s="103"/>
      <c r="D817" s="103"/>
      <c r="E817" s="103"/>
      <c r="F817" s="104"/>
      <c r="G817" s="103"/>
      <c r="H817" s="103"/>
      <c r="I817" s="157"/>
      <c r="Q817" s="103"/>
      <c r="R817" s="103"/>
      <c r="S817" s="103"/>
      <c r="T817" s="270"/>
      <c r="U817" s="103"/>
      <c r="V817" s="271"/>
    </row>
    <row r="818">
      <c r="B818" s="103"/>
      <c r="C818" s="103"/>
      <c r="D818" s="103"/>
      <c r="E818" s="103"/>
      <c r="F818" s="104"/>
      <c r="G818" s="103"/>
      <c r="H818" s="103"/>
      <c r="I818" s="157"/>
      <c r="Q818" s="103"/>
      <c r="R818" s="103"/>
      <c r="S818" s="103"/>
      <c r="T818" s="270"/>
      <c r="U818" s="103"/>
      <c r="V818" s="271"/>
    </row>
    <row r="819">
      <c r="B819" s="103"/>
      <c r="C819" s="103"/>
      <c r="D819" s="103"/>
      <c r="E819" s="103"/>
      <c r="F819" s="104"/>
      <c r="G819" s="103"/>
      <c r="H819" s="103"/>
      <c r="I819" s="157"/>
      <c r="Q819" s="103"/>
      <c r="R819" s="103"/>
      <c r="S819" s="103"/>
      <c r="T819" s="270"/>
      <c r="U819" s="103"/>
      <c r="V819" s="271"/>
    </row>
    <row r="820">
      <c r="B820" s="103"/>
      <c r="C820" s="103"/>
      <c r="D820" s="103"/>
      <c r="E820" s="103"/>
      <c r="F820" s="104"/>
      <c r="G820" s="103"/>
      <c r="H820" s="103"/>
      <c r="I820" s="157"/>
      <c r="Q820" s="103"/>
      <c r="R820" s="103"/>
      <c r="S820" s="103"/>
      <c r="T820" s="270"/>
      <c r="U820" s="103"/>
      <c r="V820" s="271"/>
    </row>
    <row r="821">
      <c r="B821" s="103"/>
      <c r="C821" s="103"/>
      <c r="D821" s="103"/>
      <c r="E821" s="103"/>
      <c r="F821" s="104"/>
      <c r="G821" s="103"/>
      <c r="H821" s="103"/>
      <c r="I821" s="157"/>
      <c r="Q821" s="103"/>
      <c r="R821" s="103"/>
      <c r="S821" s="103"/>
      <c r="T821" s="270"/>
      <c r="U821" s="103"/>
      <c r="V821" s="271"/>
    </row>
    <row r="822">
      <c r="B822" s="103"/>
      <c r="C822" s="103"/>
      <c r="D822" s="103"/>
      <c r="E822" s="103"/>
      <c r="F822" s="104"/>
      <c r="G822" s="103"/>
      <c r="H822" s="103"/>
      <c r="I822" s="157"/>
      <c r="Q822" s="103"/>
      <c r="R822" s="103"/>
      <c r="S822" s="103"/>
      <c r="T822" s="270"/>
      <c r="U822" s="103"/>
      <c r="V822" s="271"/>
    </row>
    <row r="823">
      <c r="B823" s="103"/>
      <c r="C823" s="103"/>
      <c r="D823" s="103"/>
      <c r="E823" s="103"/>
      <c r="F823" s="104"/>
      <c r="G823" s="103"/>
      <c r="H823" s="103"/>
      <c r="I823" s="157"/>
      <c r="Q823" s="103"/>
      <c r="R823" s="103"/>
      <c r="S823" s="103"/>
      <c r="T823" s="270"/>
      <c r="U823" s="103"/>
      <c r="V823" s="271"/>
    </row>
    <row r="824">
      <c r="B824" s="103"/>
      <c r="C824" s="103"/>
      <c r="D824" s="103"/>
      <c r="E824" s="103"/>
      <c r="F824" s="104"/>
      <c r="G824" s="103"/>
      <c r="H824" s="103"/>
      <c r="I824" s="157"/>
      <c r="Q824" s="103"/>
      <c r="R824" s="103"/>
      <c r="S824" s="103"/>
      <c r="T824" s="270"/>
      <c r="U824" s="103"/>
      <c r="V824" s="271"/>
    </row>
    <row r="825">
      <c r="B825" s="103"/>
      <c r="C825" s="103"/>
      <c r="D825" s="103"/>
      <c r="E825" s="103"/>
      <c r="F825" s="104"/>
      <c r="G825" s="103"/>
      <c r="H825" s="103"/>
      <c r="I825" s="157"/>
      <c r="Q825" s="103"/>
      <c r="R825" s="103"/>
      <c r="S825" s="103"/>
      <c r="T825" s="270"/>
      <c r="U825" s="103"/>
      <c r="V825" s="271"/>
    </row>
    <row r="826">
      <c r="B826" s="103"/>
      <c r="C826" s="103"/>
      <c r="D826" s="103"/>
      <c r="E826" s="103"/>
      <c r="F826" s="104"/>
      <c r="G826" s="103"/>
      <c r="H826" s="103"/>
      <c r="I826" s="157"/>
      <c r="Q826" s="103"/>
      <c r="R826" s="103"/>
      <c r="S826" s="103"/>
      <c r="T826" s="270"/>
      <c r="U826" s="103"/>
      <c r="V826" s="271"/>
    </row>
    <row r="827">
      <c r="B827" s="103"/>
      <c r="C827" s="103"/>
      <c r="D827" s="103"/>
      <c r="E827" s="103"/>
      <c r="F827" s="104"/>
      <c r="G827" s="103"/>
      <c r="H827" s="103"/>
      <c r="I827" s="157"/>
      <c r="Q827" s="103"/>
      <c r="R827" s="103"/>
      <c r="S827" s="103"/>
      <c r="T827" s="270"/>
      <c r="U827" s="103"/>
      <c r="V827" s="271"/>
    </row>
    <row r="828">
      <c r="B828" s="103"/>
      <c r="C828" s="103"/>
      <c r="D828" s="103"/>
      <c r="E828" s="103"/>
      <c r="F828" s="104"/>
      <c r="G828" s="103"/>
      <c r="H828" s="103"/>
      <c r="I828" s="157"/>
      <c r="Q828" s="103"/>
      <c r="R828" s="103"/>
      <c r="S828" s="103"/>
      <c r="T828" s="270"/>
      <c r="U828" s="103"/>
      <c r="V828" s="271"/>
    </row>
    <row r="829">
      <c r="B829" s="103"/>
      <c r="C829" s="103"/>
      <c r="D829" s="103"/>
      <c r="E829" s="103"/>
      <c r="F829" s="104"/>
      <c r="G829" s="103"/>
      <c r="H829" s="103"/>
      <c r="I829" s="157"/>
      <c r="Q829" s="103"/>
      <c r="R829" s="103"/>
      <c r="S829" s="103"/>
      <c r="T829" s="270"/>
      <c r="U829" s="103"/>
      <c r="V829" s="271"/>
    </row>
    <row r="830">
      <c r="B830" s="103"/>
      <c r="C830" s="103"/>
      <c r="D830" s="103"/>
      <c r="E830" s="103"/>
      <c r="F830" s="104"/>
      <c r="G830" s="103"/>
      <c r="H830" s="103"/>
      <c r="I830" s="157"/>
      <c r="Q830" s="103"/>
      <c r="R830" s="103"/>
      <c r="S830" s="103"/>
      <c r="T830" s="270"/>
      <c r="U830" s="103"/>
      <c r="V830" s="271"/>
    </row>
    <row r="831">
      <c r="B831" s="103"/>
      <c r="C831" s="103"/>
      <c r="D831" s="103"/>
      <c r="E831" s="103"/>
      <c r="F831" s="104"/>
      <c r="G831" s="103"/>
      <c r="H831" s="103"/>
      <c r="I831" s="157"/>
      <c r="Q831" s="103"/>
      <c r="R831" s="103"/>
      <c r="S831" s="103"/>
      <c r="T831" s="270"/>
      <c r="U831" s="103"/>
      <c r="V831" s="271"/>
    </row>
    <row r="832">
      <c r="B832" s="103"/>
      <c r="C832" s="103"/>
      <c r="D832" s="103"/>
      <c r="E832" s="103"/>
      <c r="F832" s="104"/>
      <c r="G832" s="103"/>
      <c r="H832" s="103"/>
      <c r="I832" s="157"/>
      <c r="Q832" s="103"/>
      <c r="R832" s="103"/>
      <c r="S832" s="103"/>
      <c r="T832" s="270"/>
      <c r="U832" s="103"/>
      <c r="V832" s="271"/>
    </row>
    <row r="833">
      <c r="B833" s="103"/>
      <c r="C833" s="103"/>
      <c r="D833" s="103"/>
      <c r="E833" s="103"/>
      <c r="F833" s="104"/>
      <c r="G833" s="103"/>
      <c r="H833" s="103"/>
      <c r="I833" s="157"/>
      <c r="Q833" s="103"/>
      <c r="R833" s="103"/>
      <c r="S833" s="103"/>
      <c r="T833" s="270"/>
      <c r="U833" s="103"/>
      <c r="V833" s="271"/>
    </row>
    <row r="834">
      <c r="B834" s="103"/>
      <c r="C834" s="103"/>
      <c r="D834" s="103"/>
      <c r="E834" s="103"/>
      <c r="F834" s="104"/>
      <c r="G834" s="103"/>
      <c r="H834" s="103"/>
      <c r="I834" s="157"/>
      <c r="Q834" s="103"/>
      <c r="R834" s="103"/>
      <c r="S834" s="103"/>
      <c r="T834" s="270"/>
      <c r="U834" s="103"/>
      <c r="V834" s="271"/>
    </row>
    <row r="835">
      <c r="B835" s="103"/>
      <c r="C835" s="103"/>
      <c r="D835" s="103"/>
      <c r="E835" s="103"/>
      <c r="F835" s="104"/>
      <c r="G835" s="103"/>
      <c r="H835" s="103"/>
      <c r="I835" s="157"/>
      <c r="Q835" s="103"/>
      <c r="R835" s="103"/>
      <c r="S835" s="103"/>
      <c r="T835" s="270"/>
      <c r="U835" s="103"/>
      <c r="V835" s="271"/>
    </row>
    <row r="836">
      <c r="B836" s="103"/>
      <c r="C836" s="103"/>
      <c r="D836" s="103"/>
      <c r="E836" s="103"/>
      <c r="F836" s="104"/>
      <c r="G836" s="103"/>
      <c r="H836" s="103"/>
      <c r="I836" s="157"/>
      <c r="Q836" s="103"/>
      <c r="R836" s="103"/>
      <c r="S836" s="103"/>
      <c r="T836" s="270"/>
      <c r="U836" s="103"/>
      <c r="V836" s="271"/>
    </row>
    <row r="837">
      <c r="B837" s="103"/>
      <c r="C837" s="103"/>
      <c r="D837" s="103"/>
      <c r="E837" s="103"/>
      <c r="F837" s="104"/>
      <c r="G837" s="103"/>
      <c r="H837" s="103"/>
      <c r="I837" s="157"/>
      <c r="Q837" s="103"/>
      <c r="R837" s="103"/>
      <c r="S837" s="103"/>
      <c r="T837" s="270"/>
      <c r="U837" s="103"/>
      <c r="V837" s="271"/>
    </row>
    <row r="838">
      <c r="B838" s="103"/>
      <c r="C838" s="103"/>
      <c r="D838" s="103"/>
      <c r="E838" s="103"/>
      <c r="F838" s="104"/>
      <c r="G838" s="103"/>
      <c r="H838" s="103"/>
      <c r="I838" s="157"/>
      <c r="Q838" s="103"/>
      <c r="R838" s="103"/>
      <c r="S838" s="103"/>
      <c r="T838" s="270"/>
      <c r="U838" s="103"/>
      <c r="V838" s="271"/>
    </row>
    <row r="839">
      <c r="B839" s="103"/>
      <c r="C839" s="103"/>
      <c r="D839" s="103"/>
      <c r="E839" s="103"/>
      <c r="F839" s="104"/>
      <c r="G839" s="103"/>
      <c r="H839" s="103"/>
      <c r="I839" s="157"/>
      <c r="Q839" s="103"/>
      <c r="R839" s="103"/>
      <c r="S839" s="103"/>
      <c r="T839" s="270"/>
      <c r="U839" s="103"/>
      <c r="V839" s="271"/>
    </row>
    <row r="840">
      <c r="B840" s="103"/>
      <c r="C840" s="103"/>
      <c r="D840" s="103"/>
      <c r="E840" s="103"/>
      <c r="F840" s="104"/>
      <c r="G840" s="103"/>
      <c r="H840" s="103"/>
      <c r="I840" s="157"/>
      <c r="Q840" s="103"/>
      <c r="R840" s="103"/>
      <c r="S840" s="103"/>
      <c r="T840" s="270"/>
      <c r="U840" s="103"/>
      <c r="V840" s="271"/>
    </row>
    <row r="841">
      <c r="B841" s="103"/>
      <c r="C841" s="103"/>
      <c r="D841" s="103"/>
      <c r="E841" s="103"/>
      <c r="F841" s="104"/>
      <c r="G841" s="103"/>
      <c r="H841" s="103"/>
      <c r="I841" s="157"/>
      <c r="Q841" s="103"/>
      <c r="R841" s="103"/>
      <c r="S841" s="103"/>
      <c r="T841" s="270"/>
      <c r="U841" s="103"/>
      <c r="V841" s="271"/>
    </row>
    <row r="842">
      <c r="B842" s="103"/>
      <c r="C842" s="103"/>
      <c r="D842" s="103"/>
      <c r="E842" s="103"/>
      <c r="F842" s="104"/>
      <c r="G842" s="103"/>
      <c r="H842" s="103"/>
      <c r="I842" s="157"/>
      <c r="Q842" s="103"/>
      <c r="R842" s="103"/>
      <c r="S842" s="103"/>
      <c r="T842" s="270"/>
      <c r="U842" s="103"/>
      <c r="V842" s="271"/>
    </row>
    <row r="843">
      <c r="B843" s="103"/>
      <c r="C843" s="103"/>
      <c r="D843" s="103"/>
      <c r="E843" s="103"/>
      <c r="F843" s="104"/>
      <c r="G843" s="103"/>
      <c r="H843" s="103"/>
      <c r="I843" s="157"/>
      <c r="Q843" s="103"/>
      <c r="R843" s="103"/>
      <c r="S843" s="103"/>
      <c r="T843" s="270"/>
      <c r="U843" s="103"/>
      <c r="V843" s="271"/>
    </row>
    <row r="844">
      <c r="B844" s="103"/>
      <c r="C844" s="103"/>
      <c r="D844" s="103"/>
      <c r="E844" s="103"/>
      <c r="F844" s="104"/>
      <c r="G844" s="103"/>
      <c r="H844" s="103"/>
      <c r="I844" s="157"/>
      <c r="Q844" s="103"/>
      <c r="R844" s="103"/>
      <c r="S844" s="103"/>
      <c r="T844" s="270"/>
      <c r="U844" s="103"/>
      <c r="V844" s="271"/>
    </row>
    <row r="845">
      <c r="B845" s="103"/>
      <c r="C845" s="103"/>
      <c r="D845" s="103"/>
      <c r="E845" s="103"/>
      <c r="F845" s="104"/>
      <c r="G845" s="103"/>
      <c r="H845" s="103"/>
      <c r="I845" s="157"/>
      <c r="Q845" s="103"/>
      <c r="R845" s="103"/>
      <c r="S845" s="103"/>
      <c r="T845" s="270"/>
      <c r="U845" s="103"/>
      <c r="V845" s="271"/>
    </row>
    <row r="846">
      <c r="B846" s="103"/>
      <c r="C846" s="103"/>
      <c r="D846" s="103"/>
      <c r="E846" s="103"/>
      <c r="F846" s="104"/>
      <c r="G846" s="103"/>
      <c r="H846" s="103"/>
      <c r="I846" s="157"/>
      <c r="Q846" s="103"/>
      <c r="R846" s="103"/>
      <c r="S846" s="103"/>
      <c r="T846" s="270"/>
      <c r="U846" s="103"/>
      <c r="V846" s="271"/>
    </row>
    <row r="847">
      <c r="B847" s="103"/>
      <c r="C847" s="103"/>
      <c r="D847" s="103"/>
      <c r="E847" s="103"/>
      <c r="F847" s="104"/>
      <c r="G847" s="103"/>
      <c r="H847" s="103"/>
      <c r="I847" s="157"/>
      <c r="Q847" s="103"/>
      <c r="R847" s="103"/>
      <c r="S847" s="103"/>
      <c r="T847" s="270"/>
      <c r="U847" s="103"/>
      <c r="V847" s="271"/>
    </row>
    <row r="848">
      <c r="B848" s="103"/>
      <c r="C848" s="103"/>
      <c r="D848" s="103"/>
      <c r="E848" s="103"/>
      <c r="F848" s="104"/>
      <c r="G848" s="103"/>
      <c r="H848" s="103"/>
      <c r="I848" s="157"/>
      <c r="Q848" s="103"/>
      <c r="R848" s="103"/>
      <c r="S848" s="103"/>
      <c r="T848" s="270"/>
      <c r="U848" s="103"/>
      <c r="V848" s="271"/>
    </row>
    <row r="849">
      <c r="B849" s="103"/>
      <c r="C849" s="103"/>
      <c r="D849" s="103"/>
      <c r="E849" s="103"/>
      <c r="F849" s="104"/>
      <c r="G849" s="103"/>
      <c r="H849" s="103"/>
      <c r="I849" s="157"/>
      <c r="Q849" s="103"/>
      <c r="R849" s="103"/>
      <c r="S849" s="103"/>
      <c r="T849" s="270"/>
      <c r="U849" s="103"/>
      <c r="V849" s="271"/>
    </row>
    <row r="850">
      <c r="B850" s="103"/>
      <c r="C850" s="103"/>
      <c r="D850" s="103"/>
      <c r="E850" s="103"/>
      <c r="F850" s="104"/>
      <c r="G850" s="103"/>
      <c r="H850" s="103"/>
      <c r="I850" s="157"/>
      <c r="Q850" s="103"/>
      <c r="R850" s="103"/>
      <c r="S850" s="103"/>
      <c r="T850" s="270"/>
      <c r="U850" s="103"/>
      <c r="V850" s="271"/>
    </row>
    <row r="851">
      <c r="B851" s="103"/>
      <c r="C851" s="103"/>
      <c r="D851" s="103"/>
      <c r="E851" s="103"/>
      <c r="F851" s="104"/>
      <c r="G851" s="103"/>
      <c r="H851" s="103"/>
      <c r="I851" s="157"/>
      <c r="Q851" s="103"/>
      <c r="R851" s="103"/>
      <c r="S851" s="103"/>
      <c r="T851" s="270"/>
      <c r="U851" s="103"/>
      <c r="V851" s="271"/>
    </row>
    <row r="852">
      <c r="B852" s="103"/>
      <c r="C852" s="103"/>
      <c r="D852" s="103"/>
      <c r="E852" s="103"/>
      <c r="F852" s="104"/>
      <c r="G852" s="103"/>
      <c r="H852" s="103"/>
      <c r="I852" s="157"/>
      <c r="Q852" s="103"/>
      <c r="R852" s="103"/>
      <c r="S852" s="103"/>
      <c r="T852" s="270"/>
      <c r="U852" s="103"/>
      <c r="V852" s="271"/>
    </row>
    <row r="853">
      <c r="B853" s="103"/>
      <c r="C853" s="103"/>
      <c r="D853" s="103"/>
      <c r="E853" s="103"/>
      <c r="F853" s="104"/>
      <c r="G853" s="103"/>
      <c r="H853" s="103"/>
      <c r="I853" s="157"/>
      <c r="Q853" s="103"/>
      <c r="R853" s="103"/>
      <c r="S853" s="103"/>
      <c r="T853" s="270"/>
      <c r="U853" s="103"/>
      <c r="V853" s="271"/>
    </row>
    <row r="854">
      <c r="B854" s="103"/>
      <c r="C854" s="103"/>
      <c r="D854" s="103"/>
      <c r="E854" s="103"/>
      <c r="F854" s="104"/>
      <c r="G854" s="103"/>
      <c r="H854" s="103"/>
      <c r="I854" s="157"/>
      <c r="Q854" s="103"/>
      <c r="R854" s="103"/>
      <c r="S854" s="103"/>
      <c r="T854" s="270"/>
      <c r="U854" s="103"/>
      <c r="V854" s="271"/>
    </row>
    <row r="855">
      <c r="B855" s="103"/>
      <c r="C855" s="103"/>
      <c r="D855" s="103"/>
      <c r="E855" s="103"/>
      <c r="F855" s="104"/>
      <c r="G855" s="103"/>
      <c r="H855" s="103"/>
      <c r="I855" s="157"/>
      <c r="Q855" s="103"/>
      <c r="R855" s="103"/>
      <c r="S855" s="103"/>
      <c r="T855" s="270"/>
      <c r="U855" s="103"/>
      <c r="V855" s="271"/>
    </row>
    <row r="856">
      <c r="B856" s="103"/>
      <c r="C856" s="103"/>
      <c r="D856" s="103"/>
      <c r="E856" s="103"/>
      <c r="F856" s="104"/>
      <c r="G856" s="103"/>
      <c r="H856" s="103"/>
      <c r="I856" s="157"/>
      <c r="Q856" s="103"/>
      <c r="R856" s="103"/>
      <c r="S856" s="103"/>
      <c r="T856" s="270"/>
      <c r="U856" s="103"/>
      <c r="V856" s="271"/>
    </row>
    <row r="857">
      <c r="B857" s="103"/>
      <c r="C857" s="103"/>
      <c r="D857" s="103"/>
      <c r="E857" s="103"/>
      <c r="F857" s="104"/>
      <c r="G857" s="103"/>
      <c r="H857" s="103"/>
      <c r="I857" s="157"/>
      <c r="Q857" s="103"/>
      <c r="R857" s="103"/>
      <c r="S857" s="103"/>
      <c r="T857" s="270"/>
      <c r="U857" s="103"/>
      <c r="V857" s="271"/>
    </row>
    <row r="858">
      <c r="B858" s="103"/>
      <c r="C858" s="103"/>
      <c r="D858" s="103"/>
      <c r="E858" s="103"/>
      <c r="F858" s="104"/>
      <c r="G858" s="103"/>
      <c r="H858" s="103"/>
      <c r="I858" s="157"/>
      <c r="Q858" s="103"/>
      <c r="R858" s="103"/>
      <c r="S858" s="103"/>
      <c r="T858" s="270"/>
      <c r="U858" s="103"/>
      <c r="V858" s="271"/>
    </row>
    <row r="859">
      <c r="B859" s="103"/>
      <c r="C859" s="103"/>
      <c r="D859" s="103"/>
      <c r="E859" s="103"/>
      <c r="F859" s="104"/>
      <c r="G859" s="103"/>
      <c r="H859" s="103"/>
      <c r="I859" s="157"/>
      <c r="Q859" s="103"/>
      <c r="R859" s="103"/>
      <c r="S859" s="103"/>
      <c r="T859" s="270"/>
      <c r="U859" s="103"/>
      <c r="V859" s="271"/>
    </row>
    <row r="860">
      <c r="B860" s="103"/>
      <c r="C860" s="103"/>
      <c r="D860" s="103"/>
      <c r="E860" s="103"/>
      <c r="F860" s="104"/>
      <c r="G860" s="103"/>
      <c r="H860" s="103"/>
      <c r="I860" s="157"/>
      <c r="Q860" s="103"/>
      <c r="R860" s="103"/>
      <c r="S860" s="103"/>
      <c r="T860" s="270"/>
      <c r="U860" s="103"/>
      <c r="V860" s="271"/>
    </row>
    <row r="861">
      <c r="B861" s="103"/>
      <c r="C861" s="103"/>
      <c r="D861" s="103"/>
      <c r="E861" s="103"/>
      <c r="F861" s="104"/>
      <c r="G861" s="103"/>
      <c r="H861" s="103"/>
      <c r="I861" s="157"/>
      <c r="Q861" s="103"/>
      <c r="R861" s="103"/>
      <c r="S861" s="103"/>
      <c r="T861" s="270"/>
      <c r="U861" s="103"/>
      <c r="V861" s="271"/>
    </row>
    <row r="862">
      <c r="B862" s="103"/>
      <c r="C862" s="103"/>
      <c r="D862" s="103"/>
      <c r="E862" s="103"/>
      <c r="F862" s="104"/>
      <c r="G862" s="103"/>
      <c r="H862" s="103"/>
      <c r="I862" s="157"/>
      <c r="Q862" s="103"/>
      <c r="R862" s="103"/>
      <c r="S862" s="103"/>
      <c r="T862" s="270"/>
      <c r="U862" s="103"/>
      <c r="V862" s="271"/>
    </row>
    <row r="863">
      <c r="B863" s="103"/>
      <c r="C863" s="103"/>
      <c r="D863" s="103"/>
      <c r="E863" s="103"/>
      <c r="F863" s="104"/>
      <c r="G863" s="103"/>
      <c r="H863" s="103"/>
      <c r="I863" s="157"/>
      <c r="Q863" s="103"/>
      <c r="R863" s="103"/>
      <c r="S863" s="103"/>
      <c r="T863" s="270"/>
      <c r="U863" s="103"/>
      <c r="V863" s="271"/>
    </row>
    <row r="864">
      <c r="B864" s="103"/>
      <c r="C864" s="103"/>
      <c r="D864" s="103"/>
      <c r="E864" s="103"/>
      <c r="F864" s="104"/>
      <c r="G864" s="103"/>
      <c r="H864" s="103"/>
      <c r="I864" s="157"/>
      <c r="Q864" s="103"/>
      <c r="R864" s="103"/>
      <c r="S864" s="103"/>
      <c r="T864" s="270"/>
      <c r="U864" s="103"/>
      <c r="V864" s="271"/>
    </row>
    <row r="865">
      <c r="B865" s="103"/>
      <c r="C865" s="103"/>
      <c r="D865" s="103"/>
      <c r="E865" s="103"/>
      <c r="F865" s="104"/>
      <c r="G865" s="103"/>
      <c r="H865" s="103"/>
      <c r="I865" s="157"/>
      <c r="Q865" s="103"/>
      <c r="R865" s="103"/>
      <c r="S865" s="103"/>
      <c r="T865" s="270"/>
      <c r="U865" s="103"/>
      <c r="V865" s="271"/>
    </row>
    <row r="866">
      <c r="B866" s="103"/>
      <c r="C866" s="103"/>
      <c r="D866" s="103"/>
      <c r="E866" s="103"/>
      <c r="F866" s="104"/>
      <c r="G866" s="103"/>
      <c r="H866" s="103"/>
      <c r="I866" s="157"/>
      <c r="Q866" s="103"/>
      <c r="R866" s="103"/>
      <c r="S866" s="103"/>
      <c r="T866" s="270"/>
      <c r="U866" s="103"/>
      <c r="V866" s="271"/>
    </row>
    <row r="867">
      <c r="B867" s="103"/>
      <c r="C867" s="103"/>
      <c r="D867" s="103"/>
      <c r="E867" s="103"/>
      <c r="F867" s="104"/>
      <c r="G867" s="103"/>
      <c r="H867" s="103"/>
      <c r="I867" s="157"/>
      <c r="Q867" s="103"/>
      <c r="R867" s="103"/>
      <c r="S867" s="103"/>
      <c r="T867" s="270"/>
      <c r="U867" s="103"/>
      <c r="V867" s="271"/>
    </row>
    <row r="868">
      <c r="B868" s="103"/>
      <c r="C868" s="103"/>
      <c r="D868" s="103"/>
      <c r="E868" s="103"/>
      <c r="F868" s="104"/>
      <c r="G868" s="103"/>
      <c r="H868" s="103"/>
      <c r="I868" s="157"/>
      <c r="Q868" s="103"/>
      <c r="R868" s="103"/>
      <c r="S868" s="103"/>
      <c r="T868" s="270"/>
      <c r="U868" s="103"/>
      <c r="V868" s="271"/>
    </row>
    <row r="869">
      <c r="B869" s="103"/>
      <c r="C869" s="103"/>
      <c r="D869" s="103"/>
      <c r="E869" s="103"/>
      <c r="F869" s="104"/>
      <c r="G869" s="103"/>
      <c r="H869" s="103"/>
      <c r="I869" s="157"/>
      <c r="Q869" s="103"/>
      <c r="R869" s="103"/>
      <c r="S869" s="103"/>
      <c r="T869" s="270"/>
      <c r="U869" s="103"/>
      <c r="V869" s="271"/>
    </row>
    <row r="870">
      <c r="B870" s="103"/>
      <c r="C870" s="103"/>
      <c r="D870" s="103"/>
      <c r="E870" s="103"/>
      <c r="F870" s="104"/>
      <c r="G870" s="103"/>
      <c r="H870" s="103"/>
      <c r="I870" s="157"/>
      <c r="Q870" s="103"/>
      <c r="R870" s="103"/>
      <c r="S870" s="103"/>
      <c r="T870" s="270"/>
      <c r="U870" s="103"/>
      <c r="V870" s="271"/>
    </row>
    <row r="871">
      <c r="B871" s="103"/>
      <c r="C871" s="103"/>
      <c r="D871" s="103"/>
      <c r="E871" s="103"/>
      <c r="F871" s="104"/>
      <c r="G871" s="103"/>
      <c r="H871" s="103"/>
      <c r="I871" s="157"/>
      <c r="Q871" s="103"/>
      <c r="R871" s="103"/>
      <c r="S871" s="103"/>
      <c r="T871" s="270"/>
      <c r="U871" s="103"/>
      <c r="V871" s="271"/>
    </row>
    <row r="872">
      <c r="B872" s="103"/>
      <c r="C872" s="103"/>
      <c r="D872" s="103"/>
      <c r="E872" s="103"/>
      <c r="F872" s="104"/>
      <c r="G872" s="103"/>
      <c r="H872" s="103"/>
      <c r="I872" s="157"/>
      <c r="Q872" s="103"/>
      <c r="R872" s="103"/>
      <c r="S872" s="103"/>
      <c r="T872" s="270"/>
      <c r="U872" s="103"/>
      <c r="V872" s="271"/>
    </row>
    <row r="873">
      <c r="B873" s="103"/>
      <c r="C873" s="103"/>
      <c r="D873" s="103"/>
      <c r="E873" s="103"/>
      <c r="F873" s="104"/>
      <c r="G873" s="103"/>
      <c r="H873" s="103"/>
      <c r="I873" s="157"/>
      <c r="Q873" s="103"/>
      <c r="R873" s="103"/>
      <c r="S873" s="103"/>
      <c r="T873" s="270"/>
      <c r="U873" s="103"/>
      <c r="V873" s="271"/>
    </row>
    <row r="874">
      <c r="B874" s="103"/>
      <c r="C874" s="103"/>
      <c r="D874" s="103"/>
      <c r="E874" s="103"/>
      <c r="F874" s="104"/>
      <c r="G874" s="103"/>
      <c r="H874" s="103"/>
      <c r="I874" s="157"/>
      <c r="Q874" s="103"/>
      <c r="R874" s="103"/>
      <c r="S874" s="103"/>
      <c r="T874" s="270"/>
      <c r="U874" s="103"/>
      <c r="V874" s="271"/>
    </row>
    <row r="875">
      <c r="B875" s="103"/>
      <c r="C875" s="103"/>
      <c r="D875" s="103"/>
      <c r="E875" s="103"/>
      <c r="F875" s="104"/>
      <c r="G875" s="103"/>
      <c r="H875" s="103"/>
      <c r="I875" s="157"/>
      <c r="Q875" s="103"/>
      <c r="R875" s="103"/>
      <c r="S875" s="103"/>
      <c r="T875" s="270"/>
      <c r="U875" s="103"/>
      <c r="V875" s="271"/>
    </row>
    <row r="876">
      <c r="B876" s="103"/>
      <c r="C876" s="103"/>
      <c r="D876" s="103"/>
      <c r="E876" s="103"/>
      <c r="F876" s="104"/>
      <c r="G876" s="103"/>
      <c r="H876" s="103"/>
      <c r="I876" s="157"/>
      <c r="Q876" s="103"/>
      <c r="R876" s="103"/>
      <c r="S876" s="103"/>
      <c r="T876" s="270"/>
      <c r="U876" s="103"/>
      <c r="V876" s="271"/>
    </row>
    <row r="877">
      <c r="B877" s="103"/>
      <c r="C877" s="103"/>
      <c r="D877" s="103"/>
      <c r="E877" s="103"/>
      <c r="F877" s="104"/>
      <c r="G877" s="103"/>
      <c r="H877" s="103"/>
      <c r="I877" s="157"/>
      <c r="Q877" s="103"/>
      <c r="R877" s="103"/>
      <c r="S877" s="103"/>
      <c r="T877" s="270"/>
      <c r="U877" s="103"/>
      <c r="V877" s="271"/>
    </row>
    <row r="878">
      <c r="B878" s="103"/>
      <c r="C878" s="103"/>
      <c r="D878" s="103"/>
      <c r="E878" s="103"/>
      <c r="F878" s="104"/>
      <c r="G878" s="103"/>
      <c r="H878" s="103"/>
      <c r="I878" s="157"/>
      <c r="Q878" s="103"/>
      <c r="R878" s="103"/>
      <c r="S878" s="103"/>
      <c r="T878" s="270"/>
      <c r="U878" s="103"/>
      <c r="V878" s="271"/>
    </row>
    <row r="879">
      <c r="B879" s="103"/>
      <c r="C879" s="103"/>
      <c r="D879" s="103"/>
      <c r="E879" s="103"/>
      <c r="F879" s="104"/>
      <c r="G879" s="103"/>
      <c r="H879" s="103"/>
      <c r="I879" s="157"/>
      <c r="Q879" s="103"/>
      <c r="R879" s="103"/>
      <c r="S879" s="103"/>
      <c r="T879" s="270"/>
      <c r="U879" s="103"/>
      <c r="V879" s="271"/>
    </row>
    <row r="880">
      <c r="B880" s="103"/>
      <c r="C880" s="103"/>
      <c r="D880" s="103"/>
      <c r="E880" s="103"/>
      <c r="F880" s="104"/>
      <c r="G880" s="103"/>
      <c r="H880" s="103"/>
      <c r="I880" s="157"/>
      <c r="Q880" s="103"/>
      <c r="R880" s="103"/>
      <c r="S880" s="103"/>
      <c r="T880" s="270"/>
      <c r="U880" s="103"/>
      <c r="V880" s="271"/>
    </row>
    <row r="881">
      <c r="B881" s="103"/>
      <c r="C881" s="103"/>
      <c r="D881" s="103"/>
      <c r="E881" s="103"/>
      <c r="F881" s="104"/>
      <c r="G881" s="103"/>
      <c r="H881" s="103"/>
      <c r="I881" s="157"/>
      <c r="Q881" s="103"/>
      <c r="R881" s="103"/>
      <c r="S881" s="103"/>
      <c r="T881" s="270"/>
      <c r="U881" s="103"/>
      <c r="V881" s="271"/>
    </row>
    <row r="882">
      <c r="B882" s="103"/>
      <c r="C882" s="103"/>
      <c r="D882" s="103"/>
      <c r="E882" s="103"/>
      <c r="F882" s="104"/>
      <c r="G882" s="103"/>
      <c r="H882" s="103"/>
      <c r="I882" s="157"/>
      <c r="Q882" s="103"/>
      <c r="R882" s="103"/>
      <c r="S882" s="103"/>
      <c r="T882" s="270"/>
      <c r="U882" s="103"/>
      <c r="V882" s="271"/>
    </row>
    <row r="883">
      <c r="B883" s="103"/>
      <c r="C883" s="103"/>
      <c r="D883" s="103"/>
      <c r="E883" s="103"/>
      <c r="F883" s="104"/>
      <c r="G883" s="103"/>
      <c r="H883" s="103"/>
      <c r="I883" s="157"/>
      <c r="Q883" s="103"/>
      <c r="R883" s="103"/>
      <c r="S883" s="103"/>
      <c r="T883" s="270"/>
      <c r="U883" s="103"/>
      <c r="V883" s="271"/>
    </row>
    <row r="884">
      <c r="B884" s="103"/>
      <c r="C884" s="103"/>
      <c r="D884" s="103"/>
      <c r="E884" s="103"/>
      <c r="F884" s="104"/>
      <c r="G884" s="103"/>
      <c r="H884" s="103"/>
      <c r="I884" s="157"/>
      <c r="Q884" s="103"/>
      <c r="R884" s="103"/>
      <c r="S884" s="103"/>
      <c r="T884" s="270"/>
      <c r="U884" s="103"/>
      <c r="V884" s="271"/>
    </row>
    <row r="885">
      <c r="B885" s="103"/>
      <c r="C885" s="103"/>
      <c r="D885" s="103"/>
      <c r="E885" s="103"/>
      <c r="F885" s="104"/>
      <c r="G885" s="103"/>
      <c r="H885" s="103"/>
      <c r="I885" s="157"/>
      <c r="Q885" s="103"/>
      <c r="R885" s="103"/>
      <c r="S885" s="103"/>
      <c r="T885" s="270"/>
      <c r="U885" s="103"/>
      <c r="V885" s="271"/>
    </row>
    <row r="886">
      <c r="B886" s="103"/>
      <c r="C886" s="103"/>
      <c r="D886" s="103"/>
      <c r="E886" s="103"/>
      <c r="F886" s="104"/>
      <c r="G886" s="103"/>
      <c r="H886" s="103"/>
      <c r="I886" s="157"/>
      <c r="Q886" s="103"/>
      <c r="R886" s="103"/>
      <c r="S886" s="103"/>
      <c r="T886" s="270"/>
      <c r="U886" s="103"/>
      <c r="V886" s="271"/>
    </row>
    <row r="887">
      <c r="B887" s="103"/>
      <c r="C887" s="103"/>
      <c r="D887" s="103"/>
      <c r="E887" s="103"/>
      <c r="F887" s="104"/>
      <c r="G887" s="103"/>
      <c r="H887" s="103"/>
      <c r="I887" s="157"/>
      <c r="Q887" s="103"/>
      <c r="R887" s="103"/>
      <c r="S887" s="103"/>
      <c r="T887" s="270"/>
      <c r="U887" s="103"/>
      <c r="V887" s="271"/>
    </row>
    <row r="888">
      <c r="B888" s="103"/>
      <c r="C888" s="103"/>
      <c r="D888" s="103"/>
      <c r="E888" s="103"/>
      <c r="F888" s="104"/>
      <c r="G888" s="103"/>
      <c r="H888" s="103"/>
      <c r="I888" s="157"/>
      <c r="Q888" s="103"/>
      <c r="R888" s="103"/>
      <c r="S888" s="103"/>
      <c r="T888" s="270"/>
      <c r="U888" s="103"/>
      <c r="V888" s="271"/>
    </row>
    <row r="889">
      <c r="B889" s="103"/>
      <c r="C889" s="103"/>
      <c r="D889" s="103"/>
      <c r="E889" s="103"/>
      <c r="F889" s="104"/>
      <c r="G889" s="103"/>
      <c r="H889" s="103"/>
      <c r="I889" s="157"/>
      <c r="Q889" s="103"/>
      <c r="R889" s="103"/>
      <c r="S889" s="103"/>
      <c r="T889" s="270"/>
      <c r="U889" s="103"/>
      <c r="V889" s="271"/>
    </row>
    <row r="890">
      <c r="B890" s="103"/>
      <c r="C890" s="103"/>
      <c r="D890" s="103"/>
      <c r="E890" s="103"/>
      <c r="F890" s="104"/>
      <c r="G890" s="103"/>
      <c r="H890" s="103"/>
      <c r="I890" s="157"/>
      <c r="Q890" s="103"/>
      <c r="R890" s="103"/>
      <c r="S890" s="103"/>
      <c r="T890" s="270"/>
      <c r="U890" s="103"/>
      <c r="V890" s="271"/>
    </row>
    <row r="891">
      <c r="B891" s="103"/>
      <c r="C891" s="103"/>
      <c r="D891" s="103"/>
      <c r="E891" s="103"/>
      <c r="F891" s="104"/>
      <c r="G891" s="103"/>
      <c r="H891" s="103"/>
      <c r="I891" s="157"/>
      <c r="Q891" s="103"/>
      <c r="R891" s="103"/>
      <c r="S891" s="103"/>
      <c r="T891" s="270"/>
      <c r="U891" s="103"/>
      <c r="V891" s="271"/>
    </row>
    <row r="892">
      <c r="B892" s="103"/>
      <c r="C892" s="103"/>
      <c r="D892" s="103"/>
      <c r="E892" s="103"/>
      <c r="F892" s="104"/>
      <c r="G892" s="103"/>
      <c r="H892" s="103"/>
      <c r="I892" s="157"/>
      <c r="Q892" s="103"/>
      <c r="R892" s="103"/>
      <c r="S892" s="103"/>
      <c r="T892" s="270"/>
      <c r="U892" s="103"/>
      <c r="V892" s="271"/>
    </row>
    <row r="893">
      <c r="B893" s="103"/>
      <c r="C893" s="103"/>
      <c r="D893" s="103"/>
      <c r="E893" s="103"/>
      <c r="F893" s="104"/>
      <c r="G893" s="103"/>
      <c r="H893" s="103"/>
      <c r="I893" s="157"/>
      <c r="Q893" s="103"/>
      <c r="R893" s="103"/>
      <c r="S893" s="103"/>
      <c r="T893" s="270"/>
      <c r="U893" s="103"/>
      <c r="V893" s="271"/>
    </row>
    <row r="894">
      <c r="B894" s="103"/>
      <c r="C894" s="103"/>
      <c r="D894" s="103"/>
      <c r="E894" s="103"/>
      <c r="F894" s="104"/>
      <c r="G894" s="103"/>
      <c r="H894" s="103"/>
      <c r="I894" s="157"/>
      <c r="Q894" s="103"/>
      <c r="R894" s="103"/>
      <c r="S894" s="103"/>
      <c r="T894" s="270"/>
      <c r="U894" s="103"/>
      <c r="V894" s="271"/>
    </row>
    <row r="895">
      <c r="B895" s="103"/>
      <c r="C895" s="103"/>
      <c r="D895" s="103"/>
      <c r="E895" s="103"/>
      <c r="F895" s="104"/>
      <c r="G895" s="103"/>
      <c r="H895" s="103"/>
      <c r="I895" s="157"/>
      <c r="Q895" s="103"/>
      <c r="R895" s="103"/>
      <c r="S895" s="103"/>
      <c r="T895" s="270"/>
      <c r="U895" s="103"/>
      <c r="V895" s="271"/>
    </row>
    <row r="896">
      <c r="B896" s="103"/>
      <c r="C896" s="103"/>
      <c r="D896" s="103"/>
      <c r="E896" s="103"/>
      <c r="F896" s="104"/>
      <c r="G896" s="103"/>
      <c r="H896" s="103"/>
      <c r="I896" s="157"/>
      <c r="Q896" s="103"/>
      <c r="R896" s="103"/>
      <c r="S896" s="103"/>
      <c r="T896" s="270"/>
      <c r="U896" s="103"/>
      <c r="V896" s="271"/>
    </row>
    <row r="897">
      <c r="B897" s="103"/>
      <c r="C897" s="103"/>
      <c r="D897" s="103"/>
      <c r="E897" s="103"/>
      <c r="F897" s="104"/>
      <c r="G897" s="103"/>
      <c r="H897" s="103"/>
      <c r="I897" s="157"/>
      <c r="Q897" s="103"/>
      <c r="R897" s="103"/>
      <c r="S897" s="103"/>
      <c r="T897" s="270"/>
      <c r="U897" s="103"/>
      <c r="V897" s="271"/>
    </row>
    <row r="898">
      <c r="B898" s="103"/>
      <c r="C898" s="103"/>
      <c r="D898" s="103"/>
      <c r="E898" s="103"/>
      <c r="F898" s="104"/>
      <c r="G898" s="103"/>
      <c r="H898" s="103"/>
      <c r="I898" s="157"/>
      <c r="Q898" s="103"/>
      <c r="R898" s="103"/>
      <c r="S898" s="103"/>
      <c r="T898" s="270"/>
      <c r="U898" s="103"/>
      <c r="V898" s="271"/>
    </row>
    <row r="899">
      <c r="B899" s="103"/>
      <c r="C899" s="103"/>
      <c r="D899" s="103"/>
      <c r="E899" s="103"/>
      <c r="F899" s="104"/>
      <c r="G899" s="103"/>
      <c r="H899" s="103"/>
      <c r="I899" s="157"/>
      <c r="Q899" s="103"/>
      <c r="R899" s="103"/>
      <c r="S899" s="103"/>
      <c r="T899" s="270"/>
      <c r="U899" s="103"/>
      <c r="V899" s="271"/>
    </row>
    <row r="900">
      <c r="B900" s="103"/>
      <c r="C900" s="103"/>
      <c r="D900" s="103"/>
      <c r="E900" s="103"/>
      <c r="F900" s="104"/>
      <c r="G900" s="103"/>
      <c r="H900" s="103"/>
      <c r="I900" s="157"/>
      <c r="Q900" s="103"/>
      <c r="R900" s="103"/>
      <c r="S900" s="103"/>
      <c r="T900" s="270"/>
      <c r="U900" s="103"/>
      <c r="V900" s="271"/>
    </row>
    <row r="901">
      <c r="B901" s="103"/>
      <c r="C901" s="103"/>
      <c r="D901" s="103"/>
      <c r="E901" s="103"/>
      <c r="F901" s="104"/>
      <c r="G901" s="103"/>
      <c r="H901" s="103"/>
      <c r="I901" s="157"/>
      <c r="Q901" s="103"/>
      <c r="R901" s="103"/>
      <c r="S901" s="103"/>
      <c r="T901" s="270"/>
      <c r="U901" s="103"/>
      <c r="V901" s="271"/>
    </row>
    <row r="902">
      <c r="B902" s="103"/>
      <c r="C902" s="103"/>
      <c r="D902" s="103"/>
      <c r="E902" s="103"/>
      <c r="F902" s="104"/>
      <c r="G902" s="103"/>
      <c r="H902" s="103"/>
      <c r="I902" s="157"/>
      <c r="Q902" s="103"/>
      <c r="R902" s="103"/>
      <c r="S902" s="103"/>
      <c r="T902" s="270"/>
      <c r="U902" s="103"/>
      <c r="V902" s="271"/>
    </row>
    <row r="903">
      <c r="B903" s="103"/>
      <c r="C903" s="103"/>
      <c r="D903" s="103"/>
      <c r="E903" s="103"/>
      <c r="F903" s="104"/>
      <c r="G903" s="103"/>
      <c r="H903" s="103"/>
      <c r="I903" s="157"/>
      <c r="Q903" s="103"/>
      <c r="R903" s="103"/>
      <c r="S903" s="103"/>
      <c r="T903" s="270"/>
      <c r="U903" s="103"/>
      <c r="V903" s="271"/>
    </row>
    <row r="904">
      <c r="B904" s="103"/>
      <c r="C904" s="103"/>
      <c r="D904" s="103"/>
      <c r="E904" s="103"/>
      <c r="F904" s="104"/>
      <c r="G904" s="103"/>
      <c r="H904" s="103"/>
      <c r="I904" s="157"/>
      <c r="Q904" s="103"/>
      <c r="R904" s="103"/>
      <c r="S904" s="103"/>
      <c r="T904" s="270"/>
      <c r="U904" s="103"/>
      <c r="V904" s="271"/>
    </row>
    <row r="905">
      <c r="B905" s="103"/>
      <c r="C905" s="103"/>
      <c r="D905" s="103"/>
      <c r="E905" s="103"/>
      <c r="F905" s="104"/>
      <c r="G905" s="103"/>
      <c r="H905" s="103"/>
      <c r="I905" s="157"/>
      <c r="Q905" s="103"/>
      <c r="R905" s="103"/>
      <c r="S905" s="103"/>
      <c r="T905" s="270"/>
      <c r="U905" s="103"/>
      <c r="V905" s="271"/>
    </row>
    <row r="906">
      <c r="B906" s="103"/>
      <c r="C906" s="103"/>
      <c r="D906" s="103"/>
      <c r="E906" s="103"/>
      <c r="F906" s="104"/>
      <c r="G906" s="103"/>
      <c r="H906" s="103"/>
      <c r="I906" s="157"/>
      <c r="Q906" s="103"/>
      <c r="R906" s="103"/>
      <c r="S906" s="103"/>
      <c r="T906" s="270"/>
      <c r="U906" s="103"/>
      <c r="V906" s="271"/>
    </row>
    <row r="907">
      <c r="B907" s="103"/>
      <c r="C907" s="103"/>
      <c r="D907" s="103"/>
      <c r="E907" s="103"/>
      <c r="F907" s="104"/>
      <c r="G907" s="103"/>
      <c r="H907" s="103"/>
      <c r="I907" s="157"/>
      <c r="Q907" s="103"/>
      <c r="R907" s="103"/>
      <c r="S907" s="103"/>
      <c r="T907" s="270"/>
      <c r="U907" s="103"/>
      <c r="V907" s="271"/>
    </row>
    <row r="908">
      <c r="B908" s="103"/>
      <c r="C908" s="103"/>
      <c r="D908" s="103"/>
      <c r="E908" s="103"/>
      <c r="F908" s="104"/>
      <c r="G908" s="103"/>
      <c r="H908" s="103"/>
      <c r="I908" s="157"/>
      <c r="Q908" s="103"/>
      <c r="R908" s="103"/>
      <c r="S908" s="103"/>
      <c r="T908" s="270"/>
      <c r="U908" s="103"/>
      <c r="V908" s="271"/>
    </row>
    <row r="909">
      <c r="B909" s="103"/>
      <c r="C909" s="103"/>
      <c r="D909" s="103"/>
      <c r="E909" s="103"/>
      <c r="F909" s="104"/>
      <c r="G909" s="103"/>
      <c r="H909" s="103"/>
      <c r="I909" s="157"/>
      <c r="Q909" s="103"/>
      <c r="R909" s="103"/>
      <c r="S909" s="103"/>
      <c r="T909" s="270"/>
      <c r="U909" s="103"/>
      <c r="V909" s="271"/>
    </row>
    <row r="910">
      <c r="B910" s="103"/>
      <c r="C910" s="103"/>
      <c r="D910" s="103"/>
      <c r="E910" s="103"/>
      <c r="F910" s="104"/>
      <c r="G910" s="103"/>
      <c r="H910" s="103"/>
      <c r="I910" s="157"/>
      <c r="Q910" s="103"/>
      <c r="R910" s="103"/>
      <c r="S910" s="103"/>
      <c r="T910" s="270"/>
      <c r="U910" s="103"/>
      <c r="V910" s="271"/>
    </row>
    <row r="911">
      <c r="B911" s="103"/>
      <c r="C911" s="103"/>
      <c r="D911" s="103"/>
      <c r="E911" s="103"/>
      <c r="F911" s="104"/>
      <c r="G911" s="103"/>
      <c r="H911" s="103"/>
      <c r="I911" s="157"/>
      <c r="Q911" s="103"/>
      <c r="R911" s="103"/>
      <c r="S911" s="103"/>
      <c r="T911" s="270"/>
      <c r="U911" s="103"/>
      <c r="V911" s="271"/>
    </row>
    <row r="912">
      <c r="B912" s="103"/>
      <c r="C912" s="103"/>
      <c r="D912" s="103"/>
      <c r="E912" s="103"/>
      <c r="F912" s="104"/>
      <c r="G912" s="103"/>
      <c r="H912" s="103"/>
      <c r="I912" s="157"/>
      <c r="Q912" s="103"/>
      <c r="R912" s="103"/>
      <c r="S912" s="103"/>
      <c r="T912" s="270"/>
      <c r="U912" s="103"/>
      <c r="V912" s="271"/>
    </row>
    <row r="913">
      <c r="B913" s="103"/>
      <c r="C913" s="103"/>
      <c r="D913" s="103"/>
      <c r="E913" s="103"/>
      <c r="F913" s="104"/>
      <c r="G913" s="103"/>
      <c r="H913" s="103"/>
      <c r="I913" s="157"/>
      <c r="Q913" s="103"/>
      <c r="R913" s="103"/>
      <c r="S913" s="103"/>
      <c r="T913" s="270"/>
      <c r="U913" s="103"/>
      <c r="V913" s="271"/>
    </row>
    <row r="914">
      <c r="B914" s="103"/>
      <c r="C914" s="103"/>
      <c r="D914" s="103"/>
      <c r="E914" s="103"/>
      <c r="F914" s="104"/>
      <c r="G914" s="103"/>
      <c r="H914" s="103"/>
      <c r="I914" s="157"/>
      <c r="Q914" s="103"/>
      <c r="R914" s="103"/>
      <c r="S914" s="103"/>
      <c r="T914" s="270"/>
      <c r="U914" s="103"/>
      <c r="V914" s="271"/>
    </row>
    <row r="915">
      <c r="B915" s="103"/>
      <c r="C915" s="103"/>
      <c r="D915" s="103"/>
      <c r="E915" s="103"/>
      <c r="F915" s="104"/>
      <c r="G915" s="103"/>
      <c r="H915" s="103"/>
      <c r="I915" s="157"/>
      <c r="Q915" s="103"/>
      <c r="R915" s="103"/>
      <c r="S915" s="103"/>
      <c r="T915" s="270"/>
      <c r="U915" s="103"/>
      <c r="V915" s="271"/>
    </row>
    <row r="916">
      <c r="B916" s="103"/>
      <c r="C916" s="103"/>
      <c r="D916" s="103"/>
      <c r="E916" s="103"/>
      <c r="F916" s="104"/>
      <c r="G916" s="103"/>
      <c r="H916" s="103"/>
      <c r="I916" s="157"/>
      <c r="Q916" s="103"/>
      <c r="R916" s="103"/>
      <c r="S916" s="103"/>
      <c r="T916" s="270"/>
      <c r="U916" s="103"/>
      <c r="V916" s="271"/>
    </row>
    <row r="917">
      <c r="B917" s="103"/>
      <c r="C917" s="103"/>
      <c r="D917" s="103"/>
      <c r="E917" s="103"/>
      <c r="F917" s="104"/>
      <c r="G917" s="103"/>
      <c r="H917" s="103"/>
      <c r="I917" s="157"/>
      <c r="Q917" s="103"/>
      <c r="R917" s="103"/>
      <c r="S917" s="103"/>
      <c r="T917" s="270"/>
      <c r="U917" s="103"/>
      <c r="V917" s="271"/>
    </row>
    <row r="918">
      <c r="B918" s="103"/>
      <c r="C918" s="103"/>
      <c r="D918" s="103"/>
      <c r="E918" s="103"/>
      <c r="F918" s="104"/>
      <c r="G918" s="103"/>
      <c r="H918" s="103"/>
      <c r="I918" s="157"/>
      <c r="Q918" s="103"/>
      <c r="R918" s="103"/>
      <c r="S918" s="103"/>
      <c r="T918" s="270"/>
      <c r="U918" s="103"/>
      <c r="V918" s="271"/>
    </row>
    <row r="919">
      <c r="B919" s="103"/>
      <c r="C919" s="103"/>
      <c r="D919" s="103"/>
      <c r="E919" s="103"/>
      <c r="F919" s="104"/>
      <c r="G919" s="103"/>
      <c r="H919" s="103"/>
      <c r="I919" s="157"/>
      <c r="Q919" s="103"/>
      <c r="R919" s="103"/>
      <c r="S919" s="103"/>
      <c r="T919" s="270"/>
      <c r="U919" s="103"/>
      <c r="V919" s="271"/>
    </row>
    <row r="920">
      <c r="B920" s="103"/>
      <c r="C920" s="103"/>
      <c r="D920" s="103"/>
      <c r="E920" s="103"/>
      <c r="F920" s="104"/>
      <c r="G920" s="103"/>
      <c r="H920" s="103"/>
      <c r="I920" s="157"/>
      <c r="Q920" s="103"/>
      <c r="R920" s="103"/>
      <c r="S920" s="103"/>
      <c r="T920" s="270"/>
      <c r="U920" s="103"/>
      <c r="V920" s="271"/>
    </row>
    <row r="921">
      <c r="B921" s="103"/>
      <c r="C921" s="103"/>
      <c r="D921" s="103"/>
      <c r="E921" s="103"/>
      <c r="F921" s="104"/>
      <c r="G921" s="103"/>
      <c r="H921" s="103"/>
      <c r="I921" s="157"/>
      <c r="Q921" s="103"/>
      <c r="R921" s="103"/>
      <c r="S921" s="103"/>
      <c r="T921" s="270"/>
      <c r="U921" s="103"/>
      <c r="V921" s="271"/>
    </row>
    <row r="922">
      <c r="B922" s="103"/>
      <c r="C922" s="103"/>
      <c r="D922" s="103"/>
      <c r="E922" s="103"/>
      <c r="F922" s="104"/>
      <c r="G922" s="103"/>
      <c r="H922" s="103"/>
      <c r="I922" s="157"/>
      <c r="Q922" s="103"/>
      <c r="R922" s="103"/>
      <c r="S922" s="103"/>
      <c r="T922" s="270"/>
      <c r="U922" s="103"/>
      <c r="V922" s="271"/>
    </row>
    <row r="923">
      <c r="B923" s="103"/>
      <c r="C923" s="103"/>
      <c r="D923" s="103"/>
      <c r="E923" s="103"/>
      <c r="F923" s="104"/>
      <c r="G923" s="103"/>
      <c r="H923" s="103"/>
      <c r="I923" s="157"/>
      <c r="Q923" s="103"/>
      <c r="R923" s="103"/>
      <c r="S923" s="103"/>
      <c r="T923" s="270"/>
      <c r="U923" s="103"/>
      <c r="V923" s="271"/>
    </row>
    <row r="924">
      <c r="B924" s="103"/>
      <c r="C924" s="103"/>
      <c r="D924" s="103"/>
      <c r="E924" s="103"/>
      <c r="F924" s="104"/>
      <c r="G924" s="103"/>
      <c r="H924" s="103"/>
      <c r="I924" s="157"/>
      <c r="Q924" s="103"/>
      <c r="R924" s="103"/>
      <c r="S924" s="103"/>
      <c r="T924" s="270"/>
      <c r="U924" s="103"/>
      <c r="V924" s="271"/>
    </row>
    <row r="925">
      <c r="B925" s="103"/>
      <c r="C925" s="103"/>
      <c r="D925" s="103"/>
      <c r="E925" s="103"/>
      <c r="F925" s="104"/>
      <c r="G925" s="103"/>
      <c r="H925" s="103"/>
      <c r="I925" s="157"/>
      <c r="Q925" s="103"/>
      <c r="R925" s="103"/>
      <c r="S925" s="103"/>
      <c r="T925" s="270"/>
      <c r="U925" s="103"/>
      <c r="V925" s="271"/>
    </row>
    <row r="926">
      <c r="B926" s="103"/>
      <c r="C926" s="103"/>
      <c r="D926" s="103"/>
      <c r="E926" s="103"/>
      <c r="F926" s="104"/>
      <c r="G926" s="103"/>
      <c r="H926" s="103"/>
      <c r="I926" s="157"/>
      <c r="Q926" s="103"/>
      <c r="R926" s="103"/>
      <c r="S926" s="103"/>
      <c r="T926" s="270"/>
      <c r="U926" s="103"/>
      <c r="V926" s="271"/>
    </row>
    <row r="927">
      <c r="B927" s="103"/>
      <c r="C927" s="103"/>
      <c r="D927" s="103"/>
      <c r="E927" s="103"/>
      <c r="F927" s="104"/>
      <c r="G927" s="103"/>
      <c r="H927" s="103"/>
      <c r="I927" s="157"/>
      <c r="Q927" s="103"/>
      <c r="R927" s="103"/>
      <c r="S927" s="103"/>
      <c r="T927" s="270"/>
      <c r="U927" s="103"/>
      <c r="V927" s="271"/>
    </row>
    <row r="928">
      <c r="B928" s="103"/>
      <c r="C928" s="103"/>
      <c r="D928" s="103"/>
      <c r="E928" s="103"/>
      <c r="F928" s="104"/>
      <c r="G928" s="103"/>
      <c r="H928" s="103"/>
      <c r="I928" s="157"/>
      <c r="Q928" s="103"/>
      <c r="R928" s="103"/>
      <c r="S928" s="103"/>
      <c r="T928" s="270"/>
      <c r="U928" s="103"/>
      <c r="V928" s="271"/>
    </row>
    <row r="929">
      <c r="B929" s="103"/>
      <c r="C929" s="103"/>
      <c r="D929" s="103"/>
      <c r="E929" s="103"/>
      <c r="F929" s="104"/>
      <c r="G929" s="103"/>
      <c r="H929" s="103"/>
      <c r="I929" s="157"/>
      <c r="Q929" s="103"/>
      <c r="R929" s="103"/>
      <c r="S929" s="103"/>
      <c r="T929" s="270"/>
      <c r="U929" s="103"/>
      <c r="V929" s="271"/>
    </row>
    <row r="930">
      <c r="B930" s="103"/>
      <c r="C930" s="103"/>
      <c r="D930" s="103"/>
      <c r="E930" s="103"/>
      <c r="F930" s="104"/>
      <c r="G930" s="103"/>
      <c r="H930" s="103"/>
      <c r="I930" s="157"/>
      <c r="Q930" s="103"/>
      <c r="R930" s="103"/>
      <c r="S930" s="103"/>
      <c r="T930" s="270"/>
      <c r="U930" s="103"/>
      <c r="V930" s="271"/>
    </row>
    <row r="931">
      <c r="B931" s="103"/>
      <c r="C931" s="103"/>
      <c r="D931" s="103"/>
      <c r="E931" s="103"/>
      <c r="F931" s="104"/>
      <c r="G931" s="103"/>
      <c r="H931" s="103"/>
      <c r="I931" s="157"/>
      <c r="Q931" s="103"/>
      <c r="R931" s="103"/>
      <c r="S931" s="103"/>
      <c r="T931" s="270"/>
      <c r="U931" s="103"/>
      <c r="V931" s="271"/>
    </row>
    <row r="932">
      <c r="B932" s="103"/>
      <c r="C932" s="103"/>
      <c r="D932" s="103"/>
      <c r="E932" s="103"/>
      <c r="F932" s="104"/>
      <c r="G932" s="103"/>
      <c r="H932" s="103"/>
      <c r="I932" s="157"/>
      <c r="Q932" s="103"/>
      <c r="R932" s="103"/>
      <c r="S932" s="103"/>
      <c r="T932" s="270"/>
      <c r="U932" s="103"/>
      <c r="V932" s="271"/>
    </row>
    <row r="933">
      <c r="B933" s="103"/>
      <c r="C933" s="103"/>
      <c r="D933" s="103"/>
      <c r="E933" s="103"/>
      <c r="F933" s="104"/>
      <c r="G933" s="103"/>
      <c r="H933" s="103"/>
      <c r="I933" s="157"/>
      <c r="Q933" s="103"/>
      <c r="R933" s="103"/>
      <c r="S933" s="103"/>
      <c r="T933" s="270"/>
      <c r="U933" s="103"/>
      <c r="V933" s="271"/>
    </row>
    <row r="934">
      <c r="B934" s="103"/>
      <c r="C934" s="103"/>
      <c r="D934" s="103"/>
      <c r="E934" s="103"/>
      <c r="F934" s="104"/>
      <c r="G934" s="103"/>
      <c r="H934" s="103"/>
      <c r="I934" s="157"/>
      <c r="Q934" s="103"/>
      <c r="R934" s="103"/>
      <c r="S934" s="103"/>
      <c r="T934" s="270"/>
      <c r="U934" s="103"/>
      <c r="V934" s="271"/>
    </row>
    <row r="935">
      <c r="B935" s="103"/>
      <c r="C935" s="103"/>
      <c r="D935" s="103"/>
      <c r="E935" s="103"/>
      <c r="F935" s="104"/>
      <c r="G935" s="103"/>
      <c r="H935" s="103"/>
      <c r="I935" s="157"/>
      <c r="Q935" s="103"/>
      <c r="R935" s="103"/>
      <c r="S935" s="103"/>
      <c r="T935" s="270"/>
      <c r="U935" s="103"/>
      <c r="V935" s="271"/>
    </row>
    <row r="936">
      <c r="B936" s="103"/>
      <c r="C936" s="103"/>
      <c r="D936" s="103"/>
      <c r="E936" s="103"/>
      <c r="F936" s="104"/>
      <c r="G936" s="103"/>
      <c r="H936" s="103"/>
      <c r="I936" s="157"/>
      <c r="Q936" s="103"/>
      <c r="R936" s="103"/>
      <c r="S936" s="103"/>
      <c r="T936" s="270"/>
      <c r="U936" s="103"/>
      <c r="V936" s="271"/>
    </row>
    <row r="937">
      <c r="B937" s="103"/>
      <c r="C937" s="103"/>
      <c r="D937" s="103"/>
      <c r="E937" s="103"/>
      <c r="F937" s="104"/>
      <c r="G937" s="103"/>
      <c r="H937" s="103"/>
      <c r="I937" s="157"/>
      <c r="Q937" s="103"/>
      <c r="R937" s="103"/>
      <c r="S937" s="103"/>
      <c r="T937" s="270"/>
      <c r="U937" s="103"/>
      <c r="V937" s="271"/>
    </row>
    <row r="938">
      <c r="B938" s="103"/>
      <c r="C938" s="103"/>
      <c r="D938" s="103"/>
      <c r="E938" s="103"/>
      <c r="F938" s="104"/>
      <c r="G938" s="103"/>
      <c r="H938" s="103"/>
      <c r="I938" s="157"/>
      <c r="Q938" s="103"/>
      <c r="R938" s="103"/>
      <c r="S938" s="103"/>
      <c r="T938" s="270"/>
      <c r="U938" s="103"/>
      <c r="V938" s="271"/>
    </row>
    <row r="939">
      <c r="B939" s="103"/>
      <c r="C939" s="103"/>
      <c r="D939" s="103"/>
      <c r="E939" s="103"/>
      <c r="F939" s="104"/>
      <c r="G939" s="103"/>
      <c r="H939" s="103"/>
      <c r="I939" s="157"/>
      <c r="Q939" s="103"/>
      <c r="R939" s="103"/>
      <c r="S939" s="103"/>
      <c r="T939" s="270"/>
      <c r="U939" s="103"/>
      <c r="V939" s="271"/>
    </row>
    <row r="940">
      <c r="B940" s="103"/>
      <c r="C940" s="103"/>
      <c r="D940" s="103"/>
      <c r="E940" s="103"/>
      <c r="F940" s="104"/>
      <c r="G940" s="103"/>
      <c r="H940" s="103"/>
      <c r="I940" s="157"/>
      <c r="Q940" s="103"/>
      <c r="R940" s="103"/>
      <c r="S940" s="103"/>
      <c r="T940" s="270"/>
      <c r="U940" s="103"/>
      <c r="V940" s="271"/>
    </row>
    <row r="941">
      <c r="B941" s="103"/>
      <c r="C941" s="103"/>
      <c r="D941" s="103"/>
      <c r="E941" s="103"/>
      <c r="F941" s="104"/>
      <c r="G941" s="103"/>
      <c r="H941" s="103"/>
      <c r="I941" s="157"/>
      <c r="Q941" s="103"/>
      <c r="R941" s="103"/>
      <c r="S941" s="103"/>
      <c r="T941" s="270"/>
      <c r="U941" s="103"/>
      <c r="V941" s="271"/>
    </row>
    <row r="942">
      <c r="B942" s="103"/>
      <c r="C942" s="103"/>
      <c r="D942" s="103"/>
      <c r="E942" s="103"/>
      <c r="F942" s="104"/>
      <c r="G942" s="103"/>
      <c r="H942" s="103"/>
      <c r="I942" s="157"/>
      <c r="Q942" s="103"/>
      <c r="R942" s="103"/>
      <c r="S942" s="103"/>
      <c r="T942" s="270"/>
      <c r="U942" s="103"/>
      <c r="V942" s="271"/>
    </row>
    <row r="943">
      <c r="B943" s="103"/>
      <c r="C943" s="103"/>
      <c r="D943" s="103"/>
      <c r="E943" s="103"/>
      <c r="F943" s="104"/>
      <c r="G943" s="103"/>
      <c r="H943" s="103"/>
      <c r="I943" s="157"/>
      <c r="Q943" s="103"/>
      <c r="R943" s="103"/>
      <c r="S943" s="103"/>
      <c r="T943" s="270"/>
      <c r="U943" s="103"/>
      <c r="V943" s="271"/>
    </row>
    <row r="944">
      <c r="B944" s="103"/>
      <c r="C944" s="103"/>
      <c r="D944" s="103"/>
      <c r="E944" s="103"/>
      <c r="F944" s="104"/>
      <c r="G944" s="103"/>
      <c r="H944" s="103"/>
      <c r="I944" s="157"/>
      <c r="Q944" s="103"/>
      <c r="R944" s="103"/>
      <c r="S944" s="103"/>
      <c r="T944" s="270"/>
      <c r="U944" s="103"/>
      <c r="V944" s="271"/>
    </row>
    <row r="945">
      <c r="B945" s="103"/>
      <c r="C945" s="103"/>
      <c r="D945" s="103"/>
      <c r="E945" s="103"/>
      <c r="F945" s="104"/>
      <c r="G945" s="103"/>
      <c r="H945" s="103"/>
      <c r="I945" s="157"/>
      <c r="Q945" s="103"/>
      <c r="R945" s="103"/>
      <c r="S945" s="103"/>
      <c r="T945" s="270"/>
      <c r="U945" s="103"/>
      <c r="V945" s="271"/>
    </row>
    <row r="946">
      <c r="B946" s="103"/>
      <c r="C946" s="103"/>
      <c r="D946" s="103"/>
      <c r="E946" s="103"/>
      <c r="F946" s="104"/>
      <c r="G946" s="103"/>
      <c r="H946" s="103"/>
      <c r="I946" s="157"/>
      <c r="Q946" s="103"/>
      <c r="R946" s="103"/>
      <c r="S946" s="103"/>
      <c r="T946" s="270"/>
      <c r="U946" s="103"/>
      <c r="V946" s="271"/>
    </row>
    <row r="947">
      <c r="B947" s="103"/>
      <c r="C947" s="103"/>
      <c r="D947" s="103"/>
      <c r="E947" s="103"/>
      <c r="F947" s="104"/>
      <c r="G947" s="103"/>
      <c r="H947" s="103"/>
      <c r="I947" s="157"/>
      <c r="Q947" s="103"/>
      <c r="R947" s="103"/>
      <c r="S947" s="103"/>
      <c r="T947" s="270"/>
      <c r="U947" s="103"/>
      <c r="V947" s="271"/>
    </row>
    <row r="948">
      <c r="B948" s="103"/>
      <c r="C948" s="103"/>
      <c r="D948" s="103"/>
      <c r="E948" s="103"/>
      <c r="F948" s="104"/>
      <c r="G948" s="103"/>
      <c r="H948" s="103"/>
      <c r="I948" s="157"/>
      <c r="Q948" s="103"/>
      <c r="R948" s="103"/>
      <c r="S948" s="103"/>
      <c r="T948" s="270"/>
      <c r="U948" s="103"/>
      <c r="V948" s="271"/>
    </row>
    <row r="949">
      <c r="B949" s="103"/>
      <c r="C949" s="103"/>
      <c r="D949" s="103"/>
      <c r="E949" s="103"/>
      <c r="F949" s="104"/>
      <c r="G949" s="103"/>
      <c r="H949" s="103"/>
      <c r="I949" s="157"/>
      <c r="Q949" s="103"/>
      <c r="R949" s="103"/>
      <c r="S949" s="103"/>
      <c r="T949" s="270"/>
      <c r="U949" s="103"/>
      <c r="V949" s="271"/>
    </row>
    <row r="950">
      <c r="B950" s="103"/>
      <c r="C950" s="103"/>
      <c r="D950" s="103"/>
      <c r="E950" s="103"/>
      <c r="F950" s="104"/>
      <c r="G950" s="103"/>
      <c r="H950" s="103"/>
      <c r="I950" s="157"/>
      <c r="Q950" s="103"/>
      <c r="R950" s="103"/>
      <c r="S950" s="103"/>
      <c r="T950" s="270"/>
      <c r="U950" s="103"/>
      <c r="V950" s="271"/>
    </row>
    <row r="951">
      <c r="B951" s="103"/>
      <c r="C951" s="103"/>
      <c r="D951" s="103"/>
      <c r="E951" s="103"/>
      <c r="F951" s="104"/>
      <c r="G951" s="103"/>
      <c r="H951" s="103"/>
      <c r="I951" s="157"/>
      <c r="Q951" s="103"/>
      <c r="R951" s="103"/>
      <c r="S951" s="103"/>
      <c r="T951" s="270"/>
      <c r="U951" s="103"/>
      <c r="V951" s="271"/>
    </row>
    <row r="952">
      <c r="B952" s="103"/>
      <c r="C952" s="103"/>
      <c r="D952" s="103"/>
      <c r="E952" s="103"/>
      <c r="F952" s="104"/>
      <c r="G952" s="103"/>
      <c r="H952" s="103"/>
      <c r="I952" s="157"/>
      <c r="Q952" s="103"/>
      <c r="R952" s="103"/>
      <c r="S952" s="103"/>
      <c r="T952" s="270"/>
      <c r="U952" s="103"/>
      <c r="V952" s="271"/>
    </row>
    <row r="953">
      <c r="B953" s="103"/>
      <c r="C953" s="103"/>
      <c r="D953" s="103"/>
      <c r="E953" s="103"/>
      <c r="F953" s="104"/>
      <c r="G953" s="103"/>
      <c r="H953" s="103"/>
      <c r="I953" s="157"/>
      <c r="Q953" s="103"/>
      <c r="R953" s="103"/>
      <c r="S953" s="103"/>
      <c r="T953" s="270"/>
      <c r="U953" s="103"/>
      <c r="V953" s="271"/>
    </row>
    <row r="954">
      <c r="B954" s="103"/>
      <c r="C954" s="103"/>
      <c r="D954" s="103"/>
      <c r="E954" s="103"/>
      <c r="F954" s="104"/>
      <c r="G954" s="103"/>
      <c r="H954" s="103"/>
      <c r="I954" s="157"/>
      <c r="Q954" s="103"/>
      <c r="R954" s="103"/>
      <c r="S954" s="103"/>
      <c r="T954" s="270"/>
      <c r="U954" s="103"/>
      <c r="V954" s="271"/>
    </row>
    <row r="955">
      <c r="B955" s="103"/>
      <c r="C955" s="103"/>
      <c r="D955" s="103"/>
      <c r="E955" s="103"/>
      <c r="F955" s="104"/>
      <c r="G955" s="103"/>
      <c r="H955" s="103"/>
      <c r="I955" s="157"/>
      <c r="Q955" s="103"/>
      <c r="R955" s="103"/>
      <c r="S955" s="103"/>
      <c r="T955" s="270"/>
      <c r="U955" s="103"/>
      <c r="V955" s="271"/>
    </row>
    <row r="956">
      <c r="B956" s="103"/>
      <c r="C956" s="103"/>
      <c r="D956" s="103"/>
      <c r="E956" s="103"/>
      <c r="F956" s="104"/>
      <c r="G956" s="103"/>
      <c r="H956" s="103"/>
      <c r="I956" s="157"/>
      <c r="Q956" s="103"/>
      <c r="R956" s="103"/>
      <c r="S956" s="103"/>
      <c r="T956" s="270"/>
      <c r="U956" s="103"/>
      <c r="V956" s="271"/>
    </row>
    <row r="957">
      <c r="B957" s="103"/>
      <c r="C957" s="103"/>
      <c r="D957" s="103"/>
      <c r="E957" s="103"/>
      <c r="F957" s="104"/>
      <c r="G957" s="103"/>
      <c r="H957" s="103"/>
      <c r="I957" s="157"/>
      <c r="Q957" s="103"/>
      <c r="R957" s="103"/>
      <c r="S957" s="103"/>
      <c r="T957" s="270"/>
      <c r="U957" s="103"/>
      <c r="V957" s="271"/>
    </row>
    <row r="958">
      <c r="B958" s="103"/>
      <c r="C958" s="103"/>
      <c r="D958" s="103"/>
      <c r="E958" s="103"/>
      <c r="F958" s="104"/>
      <c r="G958" s="103"/>
      <c r="H958" s="103"/>
      <c r="I958" s="157"/>
      <c r="Q958" s="103"/>
      <c r="R958" s="103"/>
      <c r="S958" s="103"/>
      <c r="T958" s="270"/>
      <c r="U958" s="103"/>
      <c r="V958" s="271"/>
    </row>
    <row r="959">
      <c r="B959" s="103"/>
      <c r="C959" s="103"/>
      <c r="D959" s="103"/>
      <c r="E959" s="103"/>
      <c r="F959" s="104"/>
      <c r="G959" s="103"/>
      <c r="H959" s="103"/>
      <c r="I959" s="157"/>
      <c r="Q959" s="103"/>
      <c r="R959" s="103"/>
      <c r="S959" s="103"/>
      <c r="T959" s="270"/>
      <c r="U959" s="103"/>
      <c r="V959" s="271"/>
    </row>
    <row r="960">
      <c r="B960" s="103"/>
      <c r="C960" s="103"/>
      <c r="D960" s="103"/>
      <c r="E960" s="103"/>
      <c r="F960" s="104"/>
      <c r="G960" s="103"/>
      <c r="H960" s="103"/>
      <c r="I960" s="157"/>
      <c r="Q960" s="103"/>
      <c r="R960" s="103"/>
      <c r="S960" s="103"/>
      <c r="T960" s="270"/>
      <c r="U960" s="103"/>
      <c r="V960" s="271"/>
    </row>
    <row r="961">
      <c r="B961" s="103"/>
      <c r="C961" s="103"/>
      <c r="D961" s="103"/>
      <c r="E961" s="103"/>
      <c r="F961" s="104"/>
      <c r="G961" s="103"/>
      <c r="H961" s="103"/>
      <c r="I961" s="157"/>
      <c r="Q961" s="103"/>
      <c r="R961" s="103"/>
      <c r="S961" s="103"/>
      <c r="T961" s="270"/>
      <c r="U961" s="103"/>
      <c r="V961" s="271"/>
    </row>
    <row r="962">
      <c r="B962" s="103"/>
      <c r="C962" s="103"/>
      <c r="D962" s="103"/>
      <c r="E962" s="103"/>
      <c r="F962" s="104"/>
      <c r="G962" s="103"/>
      <c r="H962" s="103"/>
      <c r="I962" s="157"/>
      <c r="Q962" s="103"/>
      <c r="R962" s="103"/>
      <c r="S962" s="103"/>
      <c r="T962" s="270"/>
      <c r="U962" s="103"/>
      <c r="V962" s="271"/>
    </row>
    <row r="963">
      <c r="B963" s="103"/>
      <c r="C963" s="103"/>
      <c r="D963" s="103"/>
      <c r="E963" s="103"/>
      <c r="F963" s="104"/>
      <c r="G963" s="103"/>
      <c r="H963" s="103"/>
      <c r="I963" s="157"/>
      <c r="Q963" s="103"/>
      <c r="R963" s="103"/>
      <c r="S963" s="103"/>
      <c r="T963" s="270"/>
      <c r="U963" s="103"/>
      <c r="V963" s="271"/>
    </row>
    <row r="964">
      <c r="B964" s="103"/>
      <c r="C964" s="103"/>
      <c r="D964" s="103"/>
      <c r="E964" s="103"/>
      <c r="F964" s="104"/>
      <c r="G964" s="103"/>
      <c r="H964" s="103"/>
      <c r="I964" s="157"/>
      <c r="Q964" s="103"/>
      <c r="R964" s="103"/>
      <c r="S964" s="103"/>
      <c r="T964" s="270"/>
      <c r="U964" s="103"/>
      <c r="V964" s="271"/>
    </row>
    <row r="965">
      <c r="B965" s="103"/>
      <c r="C965" s="103"/>
      <c r="D965" s="103"/>
      <c r="E965" s="103"/>
      <c r="F965" s="104"/>
      <c r="G965" s="103"/>
      <c r="H965" s="103"/>
      <c r="I965" s="157"/>
      <c r="Q965" s="103"/>
      <c r="R965" s="103"/>
      <c r="S965" s="103"/>
      <c r="T965" s="270"/>
      <c r="U965" s="103"/>
      <c r="V965" s="271"/>
    </row>
    <row r="966">
      <c r="B966" s="103"/>
      <c r="C966" s="103"/>
      <c r="D966" s="103"/>
      <c r="E966" s="103"/>
      <c r="F966" s="104"/>
      <c r="G966" s="103"/>
      <c r="H966" s="103"/>
      <c r="I966" s="157"/>
      <c r="Q966" s="103"/>
      <c r="R966" s="103"/>
      <c r="S966" s="103"/>
      <c r="T966" s="270"/>
      <c r="U966" s="103"/>
      <c r="V966" s="271"/>
    </row>
    <row r="967">
      <c r="B967" s="103"/>
      <c r="C967" s="103"/>
      <c r="D967" s="103"/>
      <c r="E967" s="103"/>
      <c r="F967" s="104"/>
      <c r="G967" s="103"/>
      <c r="H967" s="103"/>
      <c r="I967" s="157"/>
      <c r="Q967" s="103"/>
      <c r="R967" s="103"/>
      <c r="S967" s="103"/>
      <c r="T967" s="270"/>
      <c r="U967" s="103"/>
      <c r="V967" s="271"/>
    </row>
    <row r="968">
      <c r="B968" s="103"/>
      <c r="C968" s="103"/>
      <c r="D968" s="103"/>
      <c r="E968" s="103"/>
      <c r="F968" s="104"/>
      <c r="G968" s="103"/>
      <c r="H968" s="103"/>
      <c r="I968" s="157"/>
      <c r="Q968" s="103"/>
      <c r="R968" s="103"/>
      <c r="S968" s="103"/>
      <c r="T968" s="270"/>
      <c r="U968" s="103"/>
      <c r="V968" s="271"/>
    </row>
    <row r="969">
      <c r="B969" s="103"/>
      <c r="C969" s="103"/>
      <c r="D969" s="103"/>
      <c r="E969" s="103"/>
      <c r="F969" s="104"/>
      <c r="G969" s="103"/>
      <c r="H969" s="103"/>
      <c r="I969" s="157"/>
      <c r="Q969" s="103"/>
      <c r="R969" s="103"/>
      <c r="S969" s="103"/>
      <c r="T969" s="270"/>
      <c r="U969" s="103"/>
      <c r="V969" s="271"/>
    </row>
    <row r="970">
      <c r="B970" s="103"/>
      <c r="C970" s="103"/>
      <c r="D970" s="103"/>
      <c r="E970" s="103"/>
      <c r="F970" s="104"/>
      <c r="G970" s="103"/>
      <c r="H970" s="103"/>
      <c r="I970" s="157"/>
      <c r="Q970" s="103"/>
      <c r="R970" s="103"/>
      <c r="S970" s="103"/>
      <c r="T970" s="270"/>
      <c r="U970" s="103"/>
      <c r="V970" s="271"/>
    </row>
    <row r="971">
      <c r="B971" s="103"/>
      <c r="C971" s="103"/>
      <c r="D971" s="103"/>
      <c r="E971" s="103"/>
      <c r="F971" s="104"/>
      <c r="G971" s="103"/>
      <c r="H971" s="103"/>
      <c r="I971" s="157"/>
      <c r="Q971" s="103"/>
      <c r="R971" s="103"/>
      <c r="S971" s="103"/>
      <c r="T971" s="270"/>
      <c r="U971" s="103"/>
      <c r="V971" s="271"/>
    </row>
    <row r="972">
      <c r="B972" s="103"/>
      <c r="C972" s="103"/>
      <c r="D972" s="103"/>
      <c r="E972" s="103"/>
      <c r="F972" s="104"/>
      <c r="G972" s="103"/>
      <c r="H972" s="103"/>
      <c r="I972" s="157"/>
      <c r="Q972" s="103"/>
      <c r="R972" s="103"/>
      <c r="S972" s="103"/>
      <c r="T972" s="270"/>
      <c r="U972" s="103"/>
      <c r="V972" s="271"/>
    </row>
    <row r="973">
      <c r="B973" s="103"/>
      <c r="C973" s="103"/>
      <c r="D973" s="103"/>
      <c r="E973" s="103"/>
      <c r="F973" s="104"/>
      <c r="G973" s="103"/>
      <c r="H973" s="103"/>
      <c r="I973" s="157"/>
      <c r="Q973" s="103"/>
      <c r="R973" s="103"/>
      <c r="S973" s="103"/>
      <c r="T973" s="270"/>
      <c r="U973" s="103"/>
      <c r="V973" s="271"/>
    </row>
    <row r="974">
      <c r="B974" s="103"/>
      <c r="C974" s="103"/>
      <c r="D974" s="103"/>
      <c r="E974" s="103"/>
      <c r="F974" s="104"/>
      <c r="G974" s="103"/>
      <c r="H974" s="103"/>
      <c r="I974" s="157"/>
      <c r="Q974" s="103"/>
      <c r="R974" s="103"/>
      <c r="S974" s="103"/>
      <c r="T974" s="270"/>
      <c r="U974" s="103"/>
      <c r="V974" s="271"/>
    </row>
    <row r="975">
      <c r="B975" s="103"/>
      <c r="C975" s="103"/>
      <c r="D975" s="103"/>
      <c r="E975" s="103"/>
      <c r="F975" s="104"/>
      <c r="G975" s="103"/>
      <c r="H975" s="103"/>
      <c r="I975" s="157"/>
      <c r="Q975" s="103"/>
      <c r="R975" s="103"/>
      <c r="S975" s="103"/>
      <c r="T975" s="270"/>
      <c r="U975" s="103"/>
      <c r="V975" s="271"/>
    </row>
    <row r="976">
      <c r="B976" s="103"/>
      <c r="C976" s="103"/>
      <c r="D976" s="103"/>
      <c r="E976" s="103"/>
      <c r="F976" s="104"/>
      <c r="G976" s="103"/>
      <c r="H976" s="103"/>
      <c r="I976" s="157"/>
      <c r="Q976" s="103"/>
      <c r="R976" s="103"/>
      <c r="S976" s="103"/>
      <c r="T976" s="270"/>
      <c r="U976" s="103"/>
      <c r="V976" s="271"/>
    </row>
    <row r="977">
      <c r="B977" s="103"/>
      <c r="C977" s="103"/>
      <c r="D977" s="103"/>
      <c r="E977" s="103"/>
      <c r="F977" s="104"/>
      <c r="G977" s="103"/>
      <c r="H977" s="103"/>
      <c r="I977" s="157"/>
      <c r="Q977" s="103"/>
      <c r="R977" s="103"/>
      <c r="S977" s="103"/>
      <c r="T977" s="270"/>
      <c r="U977" s="103"/>
      <c r="V977" s="271"/>
    </row>
    <row r="978">
      <c r="B978" s="103"/>
      <c r="C978" s="103"/>
      <c r="D978" s="103"/>
      <c r="E978" s="103"/>
      <c r="F978" s="104"/>
      <c r="G978" s="103"/>
      <c r="H978" s="103"/>
      <c r="I978" s="157"/>
      <c r="Q978" s="103"/>
      <c r="R978" s="103"/>
      <c r="S978" s="103"/>
      <c r="T978" s="270"/>
      <c r="U978" s="103"/>
      <c r="V978" s="271"/>
    </row>
    <row r="979">
      <c r="B979" s="103"/>
      <c r="C979" s="103"/>
      <c r="D979" s="103"/>
      <c r="E979" s="103"/>
      <c r="F979" s="104"/>
      <c r="G979" s="103"/>
      <c r="H979" s="103"/>
      <c r="I979" s="157"/>
      <c r="Q979" s="103"/>
      <c r="R979" s="103"/>
      <c r="S979" s="103"/>
      <c r="T979" s="270"/>
      <c r="U979" s="103"/>
      <c r="V979" s="271"/>
    </row>
    <row r="980">
      <c r="B980" s="103"/>
      <c r="C980" s="103"/>
      <c r="D980" s="103"/>
      <c r="E980" s="103"/>
      <c r="F980" s="104"/>
      <c r="G980" s="103"/>
      <c r="H980" s="103"/>
      <c r="I980" s="157"/>
      <c r="Q980" s="103"/>
      <c r="R980" s="103"/>
      <c r="S980" s="103"/>
      <c r="T980" s="270"/>
      <c r="U980" s="103"/>
      <c r="V980" s="271"/>
    </row>
    <row r="981">
      <c r="B981" s="103"/>
      <c r="C981" s="103"/>
      <c r="D981" s="103"/>
      <c r="E981" s="103"/>
      <c r="F981" s="104"/>
      <c r="G981" s="103"/>
      <c r="H981" s="103"/>
      <c r="I981" s="157"/>
      <c r="Q981" s="103"/>
      <c r="R981" s="103"/>
      <c r="S981" s="103"/>
      <c r="T981" s="270"/>
      <c r="U981" s="103"/>
      <c r="V981" s="271"/>
    </row>
    <row r="982">
      <c r="B982" s="103"/>
      <c r="C982" s="103"/>
      <c r="D982" s="103"/>
      <c r="E982" s="103"/>
      <c r="F982" s="104"/>
      <c r="G982" s="103"/>
      <c r="H982" s="103"/>
      <c r="I982" s="157"/>
      <c r="Q982" s="103"/>
      <c r="R982" s="103"/>
      <c r="S982" s="103"/>
      <c r="T982" s="270"/>
      <c r="U982" s="103"/>
      <c r="V982" s="271"/>
    </row>
    <row r="983">
      <c r="B983" s="103"/>
      <c r="C983" s="103"/>
      <c r="D983" s="103"/>
      <c r="E983" s="103"/>
      <c r="F983" s="104"/>
      <c r="G983" s="103"/>
      <c r="H983" s="103"/>
      <c r="I983" s="157"/>
      <c r="Q983" s="103"/>
      <c r="R983" s="103"/>
      <c r="S983" s="103"/>
      <c r="T983" s="270"/>
      <c r="U983" s="103"/>
      <c r="V983" s="271"/>
    </row>
    <row r="984">
      <c r="B984" s="103"/>
      <c r="C984" s="103"/>
      <c r="D984" s="103"/>
      <c r="E984" s="103"/>
      <c r="F984" s="104"/>
      <c r="G984" s="103"/>
      <c r="H984" s="103"/>
      <c r="I984" s="157"/>
      <c r="Q984" s="103"/>
      <c r="R984" s="103"/>
      <c r="S984" s="103"/>
      <c r="T984" s="270"/>
      <c r="U984" s="103"/>
      <c r="V984" s="271"/>
    </row>
    <row r="985">
      <c r="B985" s="103"/>
      <c r="C985" s="103"/>
      <c r="D985" s="103"/>
      <c r="E985" s="103"/>
      <c r="F985" s="104"/>
      <c r="G985" s="103"/>
      <c r="H985" s="103"/>
      <c r="I985" s="157"/>
      <c r="Q985" s="103"/>
      <c r="R985" s="103"/>
      <c r="S985" s="103"/>
      <c r="T985" s="270"/>
      <c r="U985" s="103"/>
      <c r="V985" s="271"/>
    </row>
    <row r="986">
      <c r="B986" s="103"/>
      <c r="C986" s="103"/>
      <c r="D986" s="103"/>
      <c r="E986" s="103"/>
      <c r="F986" s="104"/>
      <c r="G986" s="103"/>
      <c r="H986" s="103"/>
      <c r="I986" s="157"/>
      <c r="Q986" s="103"/>
      <c r="R986" s="103"/>
      <c r="S986" s="103"/>
      <c r="T986" s="270"/>
      <c r="U986" s="103"/>
      <c r="V986" s="271"/>
    </row>
    <row r="987">
      <c r="B987" s="103"/>
      <c r="C987" s="103"/>
      <c r="D987" s="103"/>
      <c r="E987" s="103"/>
      <c r="F987" s="104"/>
      <c r="G987" s="103"/>
      <c r="H987" s="103"/>
      <c r="I987" s="157"/>
      <c r="Q987" s="103"/>
      <c r="R987" s="103"/>
      <c r="S987" s="103"/>
      <c r="T987" s="270"/>
      <c r="U987" s="103"/>
      <c r="V987" s="271"/>
    </row>
    <row r="988">
      <c r="B988" s="103"/>
      <c r="C988" s="103"/>
      <c r="D988" s="103"/>
      <c r="E988" s="103"/>
      <c r="F988" s="104"/>
      <c r="G988" s="103"/>
      <c r="H988" s="103"/>
      <c r="I988" s="157"/>
      <c r="Q988" s="103"/>
      <c r="R988" s="103"/>
      <c r="S988" s="103"/>
      <c r="T988" s="270"/>
      <c r="U988" s="103"/>
      <c r="V988" s="271"/>
    </row>
    <row r="989">
      <c r="B989" s="103"/>
      <c r="C989" s="103"/>
      <c r="D989" s="103"/>
      <c r="E989" s="103"/>
      <c r="F989" s="104"/>
      <c r="G989" s="103"/>
      <c r="H989" s="103"/>
      <c r="I989" s="157"/>
      <c r="Q989" s="103"/>
      <c r="R989" s="103"/>
      <c r="S989" s="103"/>
      <c r="T989" s="270"/>
      <c r="U989" s="103"/>
      <c r="V989" s="271"/>
    </row>
    <row r="990">
      <c r="B990" s="103"/>
      <c r="C990" s="103"/>
      <c r="D990" s="103"/>
      <c r="E990" s="103"/>
      <c r="F990" s="104"/>
      <c r="G990" s="103"/>
      <c r="H990" s="103"/>
      <c r="I990" s="157"/>
      <c r="Q990" s="103"/>
      <c r="R990" s="103"/>
      <c r="S990" s="103"/>
      <c r="T990" s="270"/>
      <c r="U990" s="103"/>
      <c r="V990" s="271"/>
    </row>
    <row r="991">
      <c r="B991" s="103"/>
      <c r="C991" s="103"/>
      <c r="D991" s="103"/>
      <c r="E991" s="103"/>
      <c r="F991" s="104"/>
      <c r="G991" s="103"/>
      <c r="H991" s="103"/>
      <c r="I991" s="157"/>
      <c r="Q991" s="103"/>
      <c r="R991" s="103"/>
      <c r="S991" s="103"/>
      <c r="T991" s="270"/>
      <c r="U991" s="103"/>
      <c r="V991" s="271"/>
    </row>
    <row r="992">
      <c r="B992" s="103"/>
      <c r="C992" s="103"/>
      <c r="D992" s="103"/>
      <c r="E992" s="103"/>
      <c r="F992" s="104"/>
      <c r="G992" s="103"/>
      <c r="H992" s="103"/>
      <c r="I992" s="157"/>
      <c r="Q992" s="103"/>
      <c r="R992" s="103"/>
      <c r="S992" s="103"/>
      <c r="T992" s="270"/>
      <c r="U992" s="103"/>
      <c r="V992" s="271"/>
    </row>
    <row r="993">
      <c r="B993" s="103"/>
      <c r="C993" s="103"/>
      <c r="D993" s="103"/>
      <c r="E993" s="103"/>
      <c r="F993" s="104"/>
      <c r="G993" s="103"/>
      <c r="H993" s="103"/>
      <c r="I993" s="157"/>
      <c r="Q993" s="103"/>
      <c r="R993" s="103"/>
      <c r="S993" s="103"/>
      <c r="T993" s="270"/>
      <c r="U993" s="103"/>
      <c r="V993" s="271"/>
    </row>
    <row r="994">
      <c r="B994" s="103"/>
      <c r="C994" s="103"/>
      <c r="D994" s="103"/>
      <c r="E994" s="103"/>
      <c r="F994" s="104"/>
      <c r="G994" s="103"/>
      <c r="H994" s="103"/>
      <c r="I994" s="157"/>
      <c r="Q994" s="103"/>
      <c r="R994" s="103"/>
      <c r="S994" s="103"/>
      <c r="T994" s="270"/>
      <c r="U994" s="103"/>
      <c r="V994" s="271"/>
    </row>
    <row r="995">
      <c r="B995" s="103"/>
      <c r="C995" s="103"/>
      <c r="D995" s="103"/>
      <c r="E995" s="103"/>
      <c r="F995" s="104"/>
      <c r="G995" s="103"/>
      <c r="H995" s="103"/>
      <c r="I995" s="157"/>
      <c r="Q995" s="103"/>
      <c r="R995" s="103"/>
      <c r="S995" s="103"/>
      <c r="T995" s="270"/>
      <c r="U995" s="103"/>
      <c r="V995" s="271"/>
    </row>
    <row r="996">
      <c r="B996" s="103"/>
      <c r="C996" s="103"/>
      <c r="D996" s="103"/>
      <c r="E996" s="103"/>
      <c r="F996" s="104"/>
      <c r="G996" s="103"/>
      <c r="H996" s="103"/>
      <c r="I996" s="157"/>
      <c r="Q996" s="103"/>
      <c r="R996" s="103"/>
      <c r="S996" s="103"/>
      <c r="T996" s="270"/>
      <c r="U996" s="103"/>
      <c r="V996" s="271"/>
    </row>
    <row r="997">
      <c r="B997" s="103"/>
      <c r="C997" s="103"/>
      <c r="D997" s="103"/>
      <c r="E997" s="103"/>
      <c r="F997" s="104"/>
      <c r="G997" s="103"/>
      <c r="H997" s="103"/>
      <c r="I997" s="157"/>
      <c r="Q997" s="103"/>
      <c r="R997" s="103"/>
      <c r="S997" s="103"/>
      <c r="T997" s="270"/>
      <c r="U997" s="103"/>
      <c r="V997" s="271"/>
    </row>
    <row r="998">
      <c r="B998" s="103"/>
      <c r="C998" s="103"/>
      <c r="D998" s="103"/>
      <c r="E998" s="103"/>
      <c r="F998" s="104"/>
      <c r="G998" s="103"/>
      <c r="H998" s="103"/>
      <c r="I998" s="157"/>
      <c r="Q998" s="103"/>
      <c r="R998" s="103"/>
      <c r="S998" s="103"/>
      <c r="T998" s="270"/>
      <c r="U998" s="103"/>
      <c r="V998" s="271"/>
    </row>
    <row r="999">
      <c r="B999" s="103"/>
      <c r="C999" s="103"/>
      <c r="D999" s="103"/>
      <c r="E999" s="103"/>
      <c r="F999" s="104"/>
      <c r="G999" s="103"/>
      <c r="H999" s="103"/>
      <c r="I999" s="157"/>
      <c r="Q999" s="103"/>
      <c r="R999" s="103"/>
      <c r="S999" s="103"/>
      <c r="T999" s="270"/>
      <c r="U999" s="103"/>
      <c r="V999" s="271"/>
    </row>
    <row r="1000">
      <c r="B1000" s="103"/>
      <c r="C1000" s="103"/>
      <c r="D1000" s="103"/>
      <c r="E1000" s="103"/>
      <c r="F1000" s="104"/>
      <c r="G1000" s="103"/>
      <c r="H1000" s="103"/>
      <c r="I1000" s="157"/>
      <c r="Q1000" s="103"/>
      <c r="R1000" s="103"/>
      <c r="S1000" s="103"/>
      <c r="T1000" s="270"/>
      <c r="U1000" s="103"/>
      <c r="V1000" s="271"/>
    </row>
    <row r="1001">
      <c r="B1001" s="103"/>
      <c r="C1001" s="103"/>
      <c r="D1001" s="103"/>
      <c r="E1001" s="103"/>
      <c r="F1001" s="104"/>
      <c r="G1001" s="103"/>
      <c r="H1001" s="103"/>
      <c r="I1001" s="157"/>
      <c r="Q1001" s="103"/>
      <c r="R1001" s="103"/>
      <c r="S1001" s="103"/>
      <c r="T1001" s="270"/>
      <c r="U1001" s="103"/>
      <c r="V1001" s="271"/>
    </row>
    <row r="1002">
      <c r="B1002" s="103"/>
      <c r="C1002" s="103"/>
      <c r="D1002" s="103"/>
      <c r="E1002" s="103"/>
      <c r="F1002" s="104"/>
      <c r="G1002" s="103"/>
      <c r="H1002" s="103"/>
      <c r="I1002" s="157"/>
      <c r="Q1002" s="103"/>
      <c r="R1002" s="103"/>
      <c r="S1002" s="103"/>
      <c r="T1002" s="270"/>
      <c r="U1002" s="103"/>
      <c r="V1002" s="271"/>
    </row>
    <row r="1003">
      <c r="B1003" s="103"/>
      <c r="C1003" s="103"/>
      <c r="D1003" s="103"/>
      <c r="E1003" s="103"/>
      <c r="F1003" s="104"/>
      <c r="G1003" s="103"/>
      <c r="H1003" s="103"/>
      <c r="I1003" s="157"/>
      <c r="Q1003" s="103"/>
      <c r="R1003" s="103"/>
      <c r="S1003" s="103"/>
      <c r="T1003" s="270"/>
      <c r="U1003" s="103"/>
      <c r="V1003" s="271"/>
    </row>
    <row r="1004">
      <c r="B1004" s="103"/>
      <c r="C1004" s="103"/>
      <c r="D1004" s="103"/>
      <c r="E1004" s="103"/>
      <c r="F1004" s="104"/>
      <c r="G1004" s="103"/>
      <c r="H1004" s="103"/>
      <c r="I1004" s="157"/>
      <c r="Q1004" s="103"/>
      <c r="R1004" s="103"/>
      <c r="S1004" s="103"/>
      <c r="T1004" s="270"/>
      <c r="U1004" s="103"/>
      <c r="V1004" s="271"/>
    </row>
    <row r="1005">
      <c r="B1005" s="103"/>
      <c r="C1005" s="103"/>
      <c r="D1005" s="103"/>
      <c r="E1005" s="103"/>
      <c r="F1005" s="104"/>
      <c r="G1005" s="103"/>
      <c r="H1005" s="103"/>
      <c r="I1005" s="157"/>
      <c r="Q1005" s="103"/>
      <c r="R1005" s="103"/>
      <c r="S1005" s="103"/>
      <c r="T1005" s="270"/>
      <c r="U1005" s="103"/>
      <c r="V1005" s="271"/>
    </row>
    <row r="1006">
      <c r="B1006" s="103"/>
      <c r="C1006" s="103"/>
      <c r="D1006" s="103"/>
      <c r="E1006" s="103"/>
      <c r="F1006" s="104"/>
      <c r="G1006" s="103"/>
      <c r="H1006" s="103"/>
      <c r="I1006" s="157"/>
      <c r="Q1006" s="103"/>
      <c r="R1006" s="103"/>
      <c r="S1006" s="103"/>
      <c r="T1006" s="270"/>
      <c r="U1006" s="103"/>
      <c r="V1006" s="271"/>
    </row>
    <row r="1007">
      <c r="B1007" s="103"/>
      <c r="C1007" s="103"/>
      <c r="D1007" s="103"/>
      <c r="E1007" s="103"/>
      <c r="F1007" s="104"/>
      <c r="G1007" s="103"/>
      <c r="H1007" s="103"/>
      <c r="I1007" s="157"/>
      <c r="Q1007" s="103"/>
      <c r="R1007" s="103"/>
      <c r="S1007" s="103"/>
      <c r="T1007" s="270"/>
      <c r="U1007" s="103"/>
      <c r="V1007" s="271"/>
    </row>
    <row r="1008">
      <c r="B1008" s="103"/>
      <c r="C1008" s="103"/>
      <c r="D1008" s="103"/>
      <c r="E1008" s="103"/>
      <c r="F1008" s="104"/>
      <c r="G1008" s="103"/>
      <c r="H1008" s="103"/>
      <c r="I1008" s="157"/>
      <c r="Q1008" s="103"/>
      <c r="R1008" s="103"/>
      <c r="S1008" s="103"/>
      <c r="T1008" s="270"/>
      <c r="U1008" s="103"/>
      <c r="V1008" s="271"/>
    </row>
    <row r="1009">
      <c r="B1009" s="103"/>
      <c r="C1009" s="103"/>
      <c r="D1009" s="103"/>
      <c r="E1009" s="103"/>
      <c r="F1009" s="104"/>
      <c r="G1009" s="103"/>
      <c r="H1009" s="103"/>
      <c r="I1009" s="157"/>
      <c r="Q1009" s="103"/>
      <c r="R1009" s="103"/>
      <c r="S1009" s="103"/>
      <c r="T1009" s="270"/>
      <c r="U1009" s="103"/>
      <c r="V1009" s="271"/>
    </row>
    <row r="1010">
      <c r="B1010" s="103"/>
      <c r="C1010" s="103"/>
      <c r="D1010" s="103"/>
      <c r="E1010" s="103"/>
      <c r="F1010" s="104"/>
      <c r="G1010" s="103"/>
      <c r="H1010" s="103"/>
      <c r="I1010" s="157"/>
      <c r="Q1010" s="103"/>
      <c r="R1010" s="103"/>
      <c r="S1010" s="103"/>
      <c r="T1010" s="270"/>
      <c r="U1010" s="103"/>
      <c r="V1010" s="271"/>
    </row>
    <row r="1011">
      <c r="B1011" s="103"/>
      <c r="C1011" s="103"/>
      <c r="D1011" s="103"/>
      <c r="E1011" s="103"/>
      <c r="F1011" s="104"/>
      <c r="G1011" s="103"/>
      <c r="H1011" s="103"/>
      <c r="I1011" s="157"/>
      <c r="Q1011" s="103"/>
      <c r="R1011" s="103"/>
      <c r="S1011" s="103"/>
      <c r="T1011" s="270"/>
      <c r="U1011" s="103"/>
      <c r="V1011" s="271"/>
    </row>
    <row r="1012">
      <c r="B1012" s="103"/>
      <c r="C1012" s="103"/>
      <c r="D1012" s="103"/>
      <c r="E1012" s="103"/>
      <c r="F1012" s="104"/>
      <c r="G1012" s="103"/>
      <c r="H1012" s="103"/>
      <c r="I1012" s="157"/>
      <c r="Q1012" s="103"/>
      <c r="R1012" s="103"/>
      <c r="S1012" s="103"/>
      <c r="T1012" s="270"/>
      <c r="U1012" s="103"/>
      <c r="V1012" s="271"/>
    </row>
    <row r="1013">
      <c r="B1013" s="103"/>
      <c r="C1013" s="103"/>
      <c r="D1013" s="103"/>
      <c r="E1013" s="103"/>
      <c r="F1013" s="104"/>
      <c r="G1013" s="103"/>
      <c r="H1013" s="103"/>
      <c r="I1013" s="157"/>
      <c r="Q1013" s="103"/>
      <c r="R1013" s="103"/>
      <c r="S1013" s="103"/>
      <c r="T1013" s="270"/>
      <c r="U1013" s="103"/>
      <c r="V1013" s="271"/>
    </row>
    <row r="1014">
      <c r="B1014" s="103"/>
      <c r="C1014" s="103"/>
      <c r="D1014" s="103"/>
      <c r="E1014" s="103"/>
      <c r="F1014" s="104"/>
      <c r="G1014" s="103"/>
      <c r="H1014" s="103"/>
      <c r="I1014" s="157"/>
      <c r="Q1014" s="103"/>
      <c r="R1014" s="103"/>
      <c r="S1014" s="103"/>
      <c r="T1014" s="270"/>
      <c r="U1014" s="103"/>
      <c r="V1014" s="271"/>
    </row>
    <row r="1015">
      <c r="B1015" s="103"/>
      <c r="C1015" s="103"/>
      <c r="D1015" s="103"/>
      <c r="E1015" s="103"/>
      <c r="F1015" s="104"/>
      <c r="G1015" s="103"/>
      <c r="H1015" s="103"/>
      <c r="I1015" s="157"/>
      <c r="Q1015" s="103"/>
      <c r="R1015" s="103"/>
      <c r="S1015" s="103"/>
      <c r="T1015" s="270"/>
      <c r="U1015" s="103"/>
      <c r="V1015" s="271"/>
    </row>
    <row r="1016">
      <c r="B1016" s="103"/>
      <c r="C1016" s="103"/>
      <c r="D1016" s="103"/>
      <c r="E1016" s="103"/>
      <c r="F1016" s="104"/>
      <c r="G1016" s="103"/>
      <c r="H1016" s="103"/>
      <c r="I1016" s="157"/>
      <c r="Q1016" s="103"/>
      <c r="R1016" s="103"/>
      <c r="S1016" s="103"/>
      <c r="T1016" s="270"/>
      <c r="U1016" s="103"/>
      <c r="V1016" s="271"/>
    </row>
    <row r="1017">
      <c r="B1017" s="103"/>
      <c r="C1017" s="103"/>
      <c r="D1017" s="103"/>
      <c r="E1017" s="103"/>
      <c r="F1017" s="104"/>
      <c r="G1017" s="103"/>
      <c r="H1017" s="103"/>
      <c r="I1017" s="157"/>
      <c r="Q1017" s="103"/>
      <c r="R1017" s="103"/>
      <c r="S1017" s="103"/>
      <c r="T1017" s="270"/>
      <c r="U1017" s="103"/>
      <c r="V1017" s="271"/>
    </row>
  </sheetData>
  <mergeCells count="5">
    <mergeCell ref="J3:P3"/>
    <mergeCell ref="A13:D13"/>
    <mergeCell ref="A14:D14"/>
    <mergeCell ref="E14:S14"/>
    <mergeCell ref="T14:W14"/>
  </mergeCells>
  <conditionalFormatting sqref="F22:S25">
    <cfRule type="expression" dxfId="0" priority="1">
      <formula>"BUSCARV(A16;'BD LUB'!$A$2:$L$193;3;FALSO"</formula>
    </cfRule>
  </conditionalFormatting>
  <dataValidations>
    <dataValidation type="list" allowBlank="1" showErrorMessage="1" sqref="C2:E2">
      <formula1>"ENERO,FEBRERO,MARZO,ABRIL,MAYO,JUNIO,JULIO,AGOSTO,SEPTIEMBRE,OCTUBRE,NOVIEMBRE,DICIEMBRE"</formula1>
    </dataValidation>
    <dataValidation type="list" allowBlank="1" showErrorMessage="1" sqref="H2">
      <formula1>"2024,2025"</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10" max="10" width="11.13"/>
    <col customWidth="1" min="11" max="11" width="14.0"/>
    <col customWidth="1" min="12" max="12" width="13.0"/>
  </cols>
  <sheetData>
    <row r="1">
      <c r="A1" s="80" t="s">
        <v>520</v>
      </c>
      <c r="B1" s="80" t="s">
        <v>521</v>
      </c>
      <c r="C1" s="80" t="s">
        <v>522</v>
      </c>
      <c r="D1" s="80" t="s">
        <v>523</v>
      </c>
      <c r="E1" s="80" t="s">
        <v>524</v>
      </c>
      <c r="F1" s="80" t="s">
        <v>525</v>
      </c>
      <c r="G1" s="80" t="s">
        <v>526</v>
      </c>
      <c r="H1" s="83" t="s">
        <v>527</v>
      </c>
      <c r="I1" s="83" t="s">
        <v>528</v>
      </c>
      <c r="J1" s="80" t="s">
        <v>529</v>
      </c>
      <c r="K1" s="81" t="s">
        <v>530</v>
      </c>
      <c r="L1" s="81" t="s">
        <v>531</v>
      </c>
      <c r="M1" s="366" t="s">
        <v>704</v>
      </c>
      <c r="N1" s="80"/>
      <c r="O1" s="80"/>
    </row>
    <row r="2">
      <c r="A2" s="367">
        <f>IFERROR(__xludf.DUMMYFUNCTION("SORT(FILTER('Q LUB'!A2:L274, ('Q LUB'!B2:B274 = ""Furgon Foton 1045"") + ('Q LUB'!B2:B274 = ""Furgon Foton 1065"")), 12, FALSE)"),2683.0)</f>
        <v>2683</v>
      </c>
      <c r="B2" s="8" t="str">
        <f>IFERROR(__xludf.DUMMYFUNCTION("""COMPUTED_VALUE"""),"Furgon Foton 1065")</f>
        <v>Furgon Foton 1065</v>
      </c>
      <c r="C2" s="8" t="str">
        <f>IFERROR(__xludf.DUMMYFUNCTION("""COMPUTED_VALUE"""),"2. Medellin")</f>
        <v>2. Medellin</v>
      </c>
      <c r="D2" s="367">
        <f>IFERROR(__xludf.DUMMYFUNCTION("""COMPUTED_VALUE"""),10000.0)</f>
        <v>10000</v>
      </c>
      <c r="E2" s="367">
        <f>IFERROR(__xludf.DUMMYFUNCTION("""COMPUTED_VALUE"""),180.0)</f>
        <v>180</v>
      </c>
      <c r="F2" s="367">
        <f>IFERROR(__xludf.DUMMYFUNCTION("""COMPUTED_VALUE"""),125.0)</f>
        <v>125</v>
      </c>
      <c r="G2" s="367">
        <f>IFERROR(__xludf.DUMMYFUNCTION("""COMPUTED_VALUE"""),3186.0)</f>
        <v>3186</v>
      </c>
      <c r="H2" s="368">
        <f>IFERROR(__xludf.DUMMYFUNCTION("""COMPUTED_VALUE"""),46087.0)</f>
        <v>46087</v>
      </c>
      <c r="I2" s="368">
        <f>IFERROR(__xludf.DUMMYFUNCTION("""COMPUTED_VALUE"""),46212.0)</f>
        <v>46212</v>
      </c>
      <c r="J2" s="8" t="str">
        <f>IFERROR(__xludf.DUMMYFUNCTION("""COMPUTED_VALUE"""),"Vigente")</f>
        <v>Vigente</v>
      </c>
      <c r="K2" s="369">
        <f>IFERROR(__xludf.DUMMYFUNCTION("""COMPUTED_VALUE"""),1150090.0)</f>
        <v>1150090</v>
      </c>
      <c r="L2" s="367">
        <f>IFERROR(__xludf.DUMMYFUNCTION("""COMPUTED_VALUE"""),126129.34)</f>
        <v>126129.34</v>
      </c>
      <c r="M2" s="367">
        <f t="shared" ref="M2:M12" si="1">L2+G2</f>
        <v>129315.34</v>
      </c>
      <c r="O2" s="367">
        <f t="shared" ref="O2:O4" si="2">IF(M2&gt;$R$2,$R$2-MOD(M2,$R$2),$R$2+MOD(M2,$R$2))</f>
        <v>50684.66</v>
      </c>
      <c r="P2" s="367">
        <f>M2-INT(M2/R2)*R2</f>
        <v>9315.34</v>
      </c>
      <c r="Q2" s="7">
        <v>10000.0</v>
      </c>
      <c r="R2" s="7">
        <v>60000.0</v>
      </c>
    </row>
    <row r="3">
      <c r="A3" s="367">
        <f>IFERROR(__xludf.DUMMYFUNCTION("""COMPUTED_VALUE"""),2681.0)</f>
        <v>2681</v>
      </c>
      <c r="B3" s="8" t="str">
        <f>IFERROR(__xludf.DUMMYFUNCTION("""COMPUTED_VALUE"""),"Furgon Foton 1065")</f>
        <v>Furgon Foton 1065</v>
      </c>
      <c r="C3" s="8" t="str">
        <f>IFERROR(__xludf.DUMMYFUNCTION("""COMPUTED_VALUE"""),"27. Apartado")</f>
        <v>27. Apartado</v>
      </c>
      <c r="D3" s="367">
        <f>IFERROR(__xludf.DUMMYFUNCTION("""COMPUTED_VALUE"""),10000.0)</f>
        <v>10000</v>
      </c>
      <c r="E3" s="367">
        <f>IFERROR(__xludf.DUMMYFUNCTION("""COMPUTED_VALUE"""),180.0)</f>
        <v>180</v>
      </c>
      <c r="F3" s="367">
        <f>IFERROR(__xludf.DUMMYFUNCTION("""COMPUTED_VALUE"""),183.0)</f>
        <v>183</v>
      </c>
      <c r="G3" s="367">
        <f>IFERROR(__xludf.DUMMYFUNCTION("""COMPUTED_VALUE"""),11846.3)</f>
        <v>11846.3</v>
      </c>
      <c r="H3" s="368">
        <f>IFERROR(__xludf.DUMMYFUNCTION("""COMPUTED_VALUE"""),46029.0)</f>
        <v>46029</v>
      </c>
      <c r="I3" s="368">
        <f>IFERROR(__xludf.DUMMYFUNCTION("""COMPUTED_VALUE"""),46212.0)</f>
        <v>46212</v>
      </c>
      <c r="J3" s="8" t="str">
        <f>IFERROR(__xludf.DUMMYFUNCTION("""COMPUTED_VALUE"""),"Pasado")</f>
        <v>Pasado</v>
      </c>
      <c r="K3" s="369">
        <f>IFERROR(__xludf.DUMMYFUNCTION("""COMPUTED_VALUE"""),1145456.0)</f>
        <v>1145456</v>
      </c>
      <c r="L3" s="367">
        <f>IFERROR(__xludf.DUMMYFUNCTION("""COMPUTED_VALUE"""),109571.66)</f>
        <v>109571.66</v>
      </c>
      <c r="M3" s="367">
        <f t="shared" si="1"/>
        <v>121417.96</v>
      </c>
      <c r="O3" s="367">
        <f t="shared" si="2"/>
        <v>58582.04</v>
      </c>
    </row>
    <row r="4">
      <c r="A4" s="367">
        <f>IFERROR(__xludf.DUMMYFUNCTION("""COMPUTED_VALUE"""),2672.0)</f>
        <v>2672</v>
      </c>
      <c r="B4" s="8" t="str">
        <f>IFERROR(__xludf.DUMMYFUNCTION("""COMPUTED_VALUE"""),"Furgon Foton 1065")</f>
        <v>Furgon Foton 1065</v>
      </c>
      <c r="C4" s="8" t="str">
        <f>IFERROR(__xludf.DUMMYFUNCTION("""COMPUTED_VALUE"""),"2. Medellin")</f>
        <v>2. Medellin</v>
      </c>
      <c r="D4" s="367">
        <f>IFERROR(__xludf.DUMMYFUNCTION("""COMPUTED_VALUE"""),10000.0)</f>
        <v>10000</v>
      </c>
      <c r="E4" s="367">
        <f>IFERROR(__xludf.DUMMYFUNCTION("""COMPUTED_VALUE"""),180.0)</f>
        <v>180</v>
      </c>
      <c r="F4" s="367">
        <f>IFERROR(__xludf.DUMMYFUNCTION("""COMPUTED_VALUE"""),111.0)</f>
        <v>111</v>
      </c>
      <c r="G4" s="367">
        <f>IFERROR(__xludf.DUMMYFUNCTION("""COMPUTED_VALUE"""),2385.0)</f>
        <v>2385</v>
      </c>
      <c r="H4" s="368">
        <f>IFERROR(__xludf.DUMMYFUNCTION("""COMPUTED_VALUE"""),46101.0)</f>
        <v>46101</v>
      </c>
      <c r="I4" s="368">
        <f>IFERROR(__xludf.DUMMYFUNCTION("""COMPUTED_VALUE"""),46212.0)</f>
        <v>46212</v>
      </c>
      <c r="J4" s="8" t="str">
        <f>IFERROR(__xludf.DUMMYFUNCTION("""COMPUTED_VALUE"""),"Vigente")</f>
        <v>Vigente</v>
      </c>
      <c r="K4" s="369">
        <f>IFERROR(__xludf.DUMMYFUNCTION("""COMPUTED_VALUE"""),1153506.0)</f>
        <v>1153506</v>
      </c>
      <c r="L4" s="367">
        <f>IFERROR(__xludf.DUMMYFUNCTION("""COMPUTED_VALUE"""),93182.3)</f>
        <v>93182.3</v>
      </c>
      <c r="M4" s="367">
        <f t="shared" si="1"/>
        <v>95567.3</v>
      </c>
      <c r="O4" s="367">
        <f t="shared" si="2"/>
        <v>24432.7</v>
      </c>
    </row>
    <row r="5">
      <c r="A5" s="367">
        <f>IFERROR(__xludf.DUMMYFUNCTION("""COMPUTED_VALUE"""),2677.0)</f>
        <v>2677</v>
      </c>
      <c r="B5" s="8" t="str">
        <f>IFERROR(__xludf.DUMMYFUNCTION("""COMPUTED_VALUE"""),"Furgon Foton 1065")</f>
        <v>Furgon Foton 1065</v>
      </c>
      <c r="C5" s="8" t="str">
        <f>IFERROR(__xludf.DUMMYFUNCTION("""COMPUTED_VALUE"""),"2. Medellin")</f>
        <v>2. Medellin</v>
      </c>
      <c r="D5" s="367">
        <f>IFERROR(__xludf.DUMMYFUNCTION("""COMPUTED_VALUE"""),10000.0)</f>
        <v>10000</v>
      </c>
      <c r="E5" s="367">
        <f>IFERROR(__xludf.DUMMYFUNCTION("""COMPUTED_VALUE"""),180.0)</f>
        <v>180</v>
      </c>
      <c r="F5" s="367">
        <f>IFERROR(__xludf.DUMMYFUNCTION("""COMPUTED_VALUE"""),156.0)</f>
        <v>156</v>
      </c>
      <c r="G5" s="367">
        <f>IFERROR(__xludf.DUMMYFUNCTION("""COMPUTED_VALUE"""),1740.6)</f>
        <v>1740.6</v>
      </c>
      <c r="H5" s="368">
        <f>IFERROR(__xludf.DUMMYFUNCTION("""COMPUTED_VALUE"""),46056.0)</f>
        <v>46056</v>
      </c>
      <c r="I5" s="368">
        <f>IFERROR(__xludf.DUMMYFUNCTION("""COMPUTED_VALUE"""),46212.0)</f>
        <v>46212</v>
      </c>
      <c r="J5" s="8" t="str">
        <f>IFERROR(__xludf.DUMMYFUNCTION("""COMPUTED_VALUE"""),"Vigente")</f>
        <v>Vigente</v>
      </c>
      <c r="K5" s="369">
        <f>IFERROR(__xludf.DUMMYFUNCTION("""COMPUTED_VALUE"""),1148309.0)</f>
        <v>1148309</v>
      </c>
      <c r="L5" s="367">
        <f>IFERROR(__xludf.DUMMYFUNCTION("""COMPUTED_VALUE"""),87340.24)</f>
        <v>87340.24</v>
      </c>
      <c r="M5" s="367">
        <f t="shared" si="1"/>
        <v>89080.84</v>
      </c>
      <c r="O5" s="367">
        <f t="shared" ref="O5:O12" si="3">$R$2-MOD(M5,$R$2)</f>
        <v>30919.16</v>
      </c>
      <c r="Q5" s="367">
        <f>IF(M2&gt;R2,R2-MOD(M2,R2),R2+MOD(M2,R2))</f>
        <v>50684.66</v>
      </c>
    </row>
    <row r="6">
      <c r="A6" s="367">
        <f>IFERROR(__xludf.DUMMYFUNCTION("""COMPUTED_VALUE"""),2682.0)</f>
        <v>2682</v>
      </c>
      <c r="B6" s="8" t="str">
        <f>IFERROR(__xludf.DUMMYFUNCTION("""COMPUTED_VALUE"""),"Furgon Foton 1065")</f>
        <v>Furgon Foton 1065</v>
      </c>
      <c r="C6" s="8" t="str">
        <f>IFERROR(__xludf.DUMMYFUNCTION("""COMPUTED_VALUE"""),"24. Rionegro")</f>
        <v>24. Rionegro</v>
      </c>
      <c r="D6" s="367">
        <f>IFERROR(__xludf.DUMMYFUNCTION("""COMPUTED_VALUE"""),10000.0)</f>
        <v>10000</v>
      </c>
      <c r="E6" s="367">
        <f>IFERROR(__xludf.DUMMYFUNCTION("""COMPUTED_VALUE"""),180.0)</f>
        <v>180</v>
      </c>
      <c r="F6" s="367">
        <f>IFERROR(__xludf.DUMMYFUNCTION("""COMPUTED_VALUE"""),177.0)</f>
        <v>177</v>
      </c>
      <c r="G6" s="367">
        <f>IFERROR(__xludf.DUMMYFUNCTION("""COMPUTED_VALUE"""),7476.5)</f>
        <v>7476.5</v>
      </c>
      <c r="H6" s="368">
        <f>IFERROR(__xludf.DUMMYFUNCTION("""COMPUTED_VALUE"""),46035.0)</f>
        <v>46035</v>
      </c>
      <c r="I6" s="368">
        <f>IFERROR(__xludf.DUMMYFUNCTION("""COMPUTED_VALUE"""),46212.0)</f>
        <v>46212</v>
      </c>
      <c r="J6" s="8" t="str">
        <f>IFERROR(__xludf.DUMMYFUNCTION("""COMPUTED_VALUE"""),"Vigente")</f>
        <v>Vigente</v>
      </c>
      <c r="K6" s="369">
        <f>IFERROR(__xludf.DUMMYFUNCTION("""COMPUTED_VALUE"""),1146097.0)</f>
        <v>1146097</v>
      </c>
      <c r="L6" s="367">
        <f>IFERROR(__xludf.DUMMYFUNCTION("""COMPUTED_VALUE"""),83766.11)</f>
        <v>83766.11</v>
      </c>
      <c r="M6" s="367">
        <f t="shared" si="1"/>
        <v>91242.61</v>
      </c>
      <c r="O6" s="367">
        <f t="shared" si="3"/>
        <v>28757.39</v>
      </c>
    </row>
    <row r="7">
      <c r="A7" s="367">
        <f>IFERROR(__xludf.DUMMYFUNCTION("""COMPUTED_VALUE"""),2680.0)</f>
        <v>2680</v>
      </c>
      <c r="B7" s="8" t="str">
        <f>IFERROR(__xludf.DUMMYFUNCTION("""COMPUTED_VALUE"""),"Furgon Foton 1065")</f>
        <v>Furgon Foton 1065</v>
      </c>
      <c r="C7" s="8" t="str">
        <f>IFERROR(__xludf.DUMMYFUNCTION("""COMPUTED_VALUE"""),"2. Medellin")</f>
        <v>2. Medellin</v>
      </c>
      <c r="D7" s="367">
        <f>IFERROR(__xludf.DUMMYFUNCTION("""COMPUTED_VALUE"""),10000.0)</f>
        <v>10000</v>
      </c>
      <c r="E7" s="367">
        <f>IFERROR(__xludf.DUMMYFUNCTION("""COMPUTED_VALUE"""),180.0)</f>
        <v>180</v>
      </c>
      <c r="F7" s="367">
        <f>IFERROR(__xludf.DUMMYFUNCTION("""COMPUTED_VALUE"""),126.0)</f>
        <v>126</v>
      </c>
      <c r="G7" s="367">
        <f>IFERROR(__xludf.DUMMYFUNCTION("""COMPUTED_VALUE"""),7911.7)</f>
        <v>7911.7</v>
      </c>
      <c r="H7" s="368">
        <f>IFERROR(__xludf.DUMMYFUNCTION("""COMPUTED_VALUE"""),46086.0)</f>
        <v>46086</v>
      </c>
      <c r="I7" s="368">
        <f>IFERROR(__xludf.DUMMYFUNCTION("""COMPUTED_VALUE"""),46212.0)</f>
        <v>46212</v>
      </c>
      <c r="J7" s="8" t="str">
        <f>IFERROR(__xludf.DUMMYFUNCTION("""COMPUTED_VALUE"""),"Vigente")</f>
        <v>Vigente</v>
      </c>
      <c r="K7" s="369">
        <f>IFERROR(__xludf.DUMMYFUNCTION("""COMPUTED_VALUE"""),1151954.0)</f>
        <v>1151954</v>
      </c>
      <c r="L7" s="367">
        <f>IFERROR(__xludf.DUMMYFUNCTION("""COMPUTED_VALUE"""),81657.81)</f>
        <v>81657.81</v>
      </c>
      <c r="M7" s="367">
        <f t="shared" si="1"/>
        <v>89569.51</v>
      </c>
      <c r="O7" s="367">
        <f t="shared" si="3"/>
        <v>30430.49</v>
      </c>
      <c r="R7" s="7">
        <f>INT(M2/R2)</f>
        <v>2</v>
      </c>
    </row>
    <row r="8">
      <c r="A8" s="367">
        <f>IFERROR(__xludf.DUMMYFUNCTION("""COMPUTED_VALUE"""),2676.0)</f>
        <v>2676</v>
      </c>
      <c r="B8" s="8" t="str">
        <f>IFERROR(__xludf.DUMMYFUNCTION("""COMPUTED_VALUE"""),"Furgon Foton 1065")</f>
        <v>Furgon Foton 1065</v>
      </c>
      <c r="C8" s="8" t="str">
        <f>IFERROR(__xludf.DUMMYFUNCTION("""COMPUTED_VALUE"""),"2. Medellin")</f>
        <v>2. Medellin</v>
      </c>
      <c r="D8" s="367">
        <f>IFERROR(__xludf.DUMMYFUNCTION("""COMPUTED_VALUE"""),10000.0)</f>
        <v>10000</v>
      </c>
      <c r="E8" s="367">
        <f>IFERROR(__xludf.DUMMYFUNCTION("""COMPUTED_VALUE"""),180.0)</f>
        <v>180</v>
      </c>
      <c r="F8" s="367">
        <f>IFERROR(__xludf.DUMMYFUNCTION("""COMPUTED_VALUE"""),37.0)</f>
        <v>37</v>
      </c>
      <c r="G8" s="367">
        <f>IFERROR(__xludf.DUMMYFUNCTION("""COMPUTED_VALUE"""),2237.4)</f>
        <v>2237.4</v>
      </c>
      <c r="H8" s="368">
        <f>IFERROR(__xludf.DUMMYFUNCTION("""COMPUTED_VALUE"""),46175.0)</f>
        <v>46175</v>
      </c>
      <c r="I8" s="368">
        <f>IFERROR(__xludf.DUMMYFUNCTION("""COMPUTED_VALUE"""),46212.0)</f>
        <v>46212</v>
      </c>
      <c r="J8" s="8" t="str">
        <f>IFERROR(__xludf.DUMMYFUNCTION("""COMPUTED_VALUE"""),"Vigente")</f>
        <v>Vigente</v>
      </c>
      <c r="K8" s="369">
        <f>IFERROR(__xludf.DUMMYFUNCTION("""COMPUTED_VALUE"""),1161560.0)</f>
        <v>1161560</v>
      </c>
      <c r="L8" s="367">
        <f>IFERROR(__xludf.DUMMYFUNCTION("""COMPUTED_VALUE"""),69488.66)</f>
        <v>69488.66</v>
      </c>
      <c r="M8" s="367">
        <f t="shared" si="1"/>
        <v>71726.06</v>
      </c>
      <c r="O8" s="367">
        <f t="shared" si="3"/>
        <v>48273.94</v>
      </c>
    </row>
    <row r="9">
      <c r="A9" s="367">
        <f>IFERROR(__xludf.DUMMYFUNCTION("""COMPUTED_VALUE"""),2673.0)</f>
        <v>2673</v>
      </c>
      <c r="B9" s="8" t="str">
        <f>IFERROR(__xludf.DUMMYFUNCTION("""COMPUTED_VALUE"""),"Furgon Foton 1065")</f>
        <v>Furgon Foton 1065</v>
      </c>
      <c r="C9" s="8" t="str">
        <f>IFERROR(__xludf.DUMMYFUNCTION("""COMPUTED_VALUE"""),"2. Medellin")</f>
        <v>2. Medellin</v>
      </c>
      <c r="D9" s="367">
        <f>IFERROR(__xludf.DUMMYFUNCTION("""COMPUTED_VALUE"""),10000.0)</f>
        <v>10000</v>
      </c>
      <c r="E9" s="367">
        <f>IFERROR(__xludf.DUMMYFUNCTION("""COMPUTED_VALUE"""),180.0)</f>
        <v>180</v>
      </c>
      <c r="F9" s="367">
        <f>IFERROR(__xludf.DUMMYFUNCTION("""COMPUTED_VALUE"""),206.0)</f>
        <v>206</v>
      </c>
      <c r="G9" s="367">
        <f>IFERROR(__xludf.DUMMYFUNCTION("""COMPUTED_VALUE"""),7201.7)</f>
        <v>7201.7</v>
      </c>
      <c r="H9" s="368">
        <f>IFERROR(__xludf.DUMMYFUNCTION("""COMPUTED_VALUE"""),46006.0)</f>
        <v>46006</v>
      </c>
      <c r="I9" s="368">
        <f>IFERROR(__xludf.DUMMYFUNCTION("""COMPUTED_VALUE"""),46212.0)</f>
        <v>46212</v>
      </c>
      <c r="J9" s="8" t="str">
        <f>IFERROR(__xludf.DUMMYFUNCTION("""COMPUTED_VALUE"""),"Pasado")</f>
        <v>Pasado</v>
      </c>
      <c r="K9" s="369">
        <f>IFERROR(__xludf.DUMMYFUNCTION("""COMPUTED_VALUE"""),1143020.0)</f>
        <v>1143020</v>
      </c>
      <c r="L9" s="367">
        <f>IFERROR(__xludf.DUMMYFUNCTION("""COMPUTED_VALUE"""),67048.46)</f>
        <v>67048.46</v>
      </c>
      <c r="M9" s="367">
        <f t="shared" si="1"/>
        <v>74250.16</v>
      </c>
      <c r="O9" s="367">
        <f t="shared" si="3"/>
        <v>45749.84</v>
      </c>
    </row>
    <row r="10">
      <c r="A10" s="367">
        <f>IFERROR(__xludf.DUMMYFUNCTION("""COMPUTED_VALUE"""),2842.0)</f>
        <v>2842</v>
      </c>
      <c r="B10" s="8" t="str">
        <f>IFERROR(__xludf.DUMMYFUNCTION("""COMPUTED_VALUE"""),"Furgon Foton 1065")</f>
        <v>Furgon Foton 1065</v>
      </c>
      <c r="C10" s="8" t="str">
        <f>IFERROR(__xludf.DUMMYFUNCTION("""COMPUTED_VALUE"""),"24. Rionegro")</f>
        <v>24. Rionegro</v>
      </c>
      <c r="D10" s="367">
        <f>IFERROR(__xludf.DUMMYFUNCTION("""COMPUTED_VALUE"""),5000.0)</f>
        <v>5000</v>
      </c>
      <c r="E10" s="367">
        <f>IFERROR(__xludf.DUMMYFUNCTION("""COMPUTED_VALUE"""),180.0)</f>
        <v>180</v>
      </c>
      <c r="F10" s="367">
        <f>IFERROR(__xludf.DUMMYFUNCTION("""COMPUTED_VALUE"""),73.0)</f>
        <v>73</v>
      </c>
      <c r="G10" s="367">
        <f>IFERROR(__xludf.DUMMYFUNCTION("""COMPUTED_VALUE"""),6687.0)</f>
        <v>6687</v>
      </c>
      <c r="H10" s="368">
        <f>IFERROR(__xludf.DUMMYFUNCTION("""COMPUTED_VALUE"""),46139.0)</f>
        <v>46139</v>
      </c>
      <c r="I10" s="368">
        <f>IFERROR(__xludf.DUMMYFUNCTION("""COMPUTED_VALUE"""),46212.0)</f>
        <v>46212</v>
      </c>
      <c r="J10" s="8" t="str">
        <f>IFERROR(__xludf.DUMMYFUNCTION("""COMPUTED_VALUE"""),"Pasado")</f>
        <v>Pasado</v>
      </c>
      <c r="K10" s="369">
        <f>IFERROR(__xludf.DUMMYFUNCTION("""COMPUTED_VALUE"""),1157528.0)</f>
        <v>1157528</v>
      </c>
      <c r="L10" s="367">
        <f>IFERROR(__xludf.DUMMYFUNCTION("""COMPUTED_VALUE"""),61853.0)</f>
        <v>61853</v>
      </c>
      <c r="M10" s="367">
        <f t="shared" si="1"/>
        <v>68540</v>
      </c>
      <c r="O10" s="367">
        <f t="shared" si="3"/>
        <v>51460</v>
      </c>
    </row>
    <row r="11">
      <c r="A11" s="367">
        <f>IFERROR(__xludf.DUMMYFUNCTION("""COMPUTED_VALUE"""),2675.0)</f>
        <v>2675</v>
      </c>
      <c r="B11" s="8" t="str">
        <f>IFERROR(__xludf.DUMMYFUNCTION("""COMPUTED_VALUE"""),"Furgon Foton 1065")</f>
        <v>Furgon Foton 1065</v>
      </c>
      <c r="C11" s="8" t="str">
        <f>IFERROR(__xludf.DUMMYFUNCTION("""COMPUTED_VALUE"""),"2. Medellin")</f>
        <v>2. Medellin</v>
      </c>
      <c r="D11" s="367">
        <f>IFERROR(__xludf.DUMMYFUNCTION("""COMPUTED_VALUE"""),10000.0)</f>
        <v>10000</v>
      </c>
      <c r="E11" s="367">
        <f>IFERROR(__xludf.DUMMYFUNCTION("""COMPUTED_VALUE"""),180.0)</f>
        <v>180</v>
      </c>
      <c r="F11" s="367">
        <f>IFERROR(__xludf.DUMMYFUNCTION("""COMPUTED_VALUE"""),156.0)</f>
        <v>156</v>
      </c>
      <c r="G11" s="367">
        <f>IFERROR(__xludf.DUMMYFUNCTION("""COMPUTED_VALUE"""),4685.3)</f>
        <v>4685.3</v>
      </c>
      <c r="H11" s="368">
        <f>IFERROR(__xludf.DUMMYFUNCTION("""COMPUTED_VALUE"""),46056.0)</f>
        <v>46056</v>
      </c>
      <c r="I11" s="368">
        <f>IFERROR(__xludf.DUMMYFUNCTION("""COMPUTED_VALUE"""),46212.0)</f>
        <v>46212</v>
      </c>
      <c r="J11" s="8" t="str">
        <f>IFERROR(__xludf.DUMMYFUNCTION("""COMPUTED_VALUE"""),"Vigente")</f>
        <v>Vigente</v>
      </c>
      <c r="K11" s="369">
        <f>IFERROR(__xludf.DUMMYFUNCTION("""COMPUTED_VALUE"""),1148303.0)</f>
        <v>1148303</v>
      </c>
      <c r="L11" s="367">
        <f>IFERROR(__xludf.DUMMYFUNCTION("""COMPUTED_VALUE"""),59065.46)</f>
        <v>59065.46</v>
      </c>
      <c r="M11" s="367">
        <f t="shared" si="1"/>
        <v>63750.76</v>
      </c>
      <c r="O11" s="367">
        <f t="shared" si="3"/>
        <v>56249.24</v>
      </c>
    </row>
    <row r="12">
      <c r="A12" s="367">
        <f>IFERROR(__xludf.DUMMYFUNCTION("""COMPUTED_VALUE"""),2678.0)</f>
        <v>2678</v>
      </c>
      <c r="B12" s="8" t="str">
        <f>IFERROR(__xludf.DUMMYFUNCTION("""COMPUTED_VALUE"""),"Furgon Foton 1065")</f>
        <v>Furgon Foton 1065</v>
      </c>
      <c r="C12" s="8" t="str">
        <f>IFERROR(__xludf.DUMMYFUNCTION("""COMPUTED_VALUE"""),"2. Medellin")</f>
        <v>2. Medellin</v>
      </c>
      <c r="D12" s="367">
        <f>IFERROR(__xludf.DUMMYFUNCTION("""COMPUTED_VALUE"""),10000.0)</f>
        <v>10000</v>
      </c>
      <c r="E12" s="367">
        <f>IFERROR(__xludf.DUMMYFUNCTION("""COMPUTED_VALUE"""),180.0)</f>
        <v>180</v>
      </c>
      <c r="F12" s="367">
        <f>IFERROR(__xludf.DUMMYFUNCTION("""COMPUTED_VALUE"""),56.0)</f>
        <v>56</v>
      </c>
      <c r="G12" s="367">
        <f>IFERROR(__xludf.DUMMYFUNCTION("""COMPUTED_VALUE"""),1371.4)</f>
        <v>1371.4</v>
      </c>
      <c r="H12" s="368">
        <f>IFERROR(__xludf.DUMMYFUNCTION("""COMPUTED_VALUE"""),46156.0)</f>
        <v>46156</v>
      </c>
      <c r="I12" s="368">
        <f>IFERROR(__xludf.DUMMYFUNCTION("""COMPUTED_VALUE"""),46212.0)</f>
        <v>46212</v>
      </c>
      <c r="J12" s="8" t="str">
        <f>IFERROR(__xludf.DUMMYFUNCTION("""COMPUTED_VALUE"""),"Vigente")</f>
        <v>Vigente</v>
      </c>
      <c r="K12" s="369">
        <f>IFERROR(__xludf.DUMMYFUNCTION("""COMPUTED_VALUE"""),1158356.0)</f>
        <v>1158356</v>
      </c>
      <c r="L12" s="367">
        <f>IFERROR(__xludf.DUMMYFUNCTION("""COMPUTED_VALUE"""),54897.41)</f>
        <v>54897.41</v>
      </c>
      <c r="M12" s="367">
        <f t="shared" si="1"/>
        <v>56268.81</v>
      </c>
      <c r="O12" s="367">
        <f t="shared" si="3"/>
        <v>3731.19</v>
      </c>
    </row>
    <row r="13">
      <c r="A13" s="367">
        <f>IFERROR(__xludf.DUMMYFUNCTION("""COMPUTED_VALUE"""),2674.0)</f>
        <v>2674</v>
      </c>
      <c r="B13" s="8" t="str">
        <f>IFERROR(__xludf.DUMMYFUNCTION("""COMPUTED_VALUE"""),"Furgon Foton 1065")</f>
        <v>Furgon Foton 1065</v>
      </c>
      <c r="C13" s="8" t="str">
        <f>IFERROR(__xludf.DUMMYFUNCTION("""COMPUTED_VALUE"""),"27. Apartado")</f>
        <v>27. Apartado</v>
      </c>
      <c r="D13" s="367">
        <f>IFERROR(__xludf.DUMMYFUNCTION("""COMPUTED_VALUE"""),10000.0)</f>
        <v>10000</v>
      </c>
      <c r="E13" s="367">
        <f>IFERROR(__xludf.DUMMYFUNCTION("""COMPUTED_VALUE"""),180.0)</f>
        <v>180</v>
      </c>
      <c r="F13" s="367">
        <f>IFERROR(__xludf.DUMMYFUNCTION("""COMPUTED_VALUE"""),80.0)</f>
        <v>80</v>
      </c>
      <c r="G13" s="367">
        <f>IFERROR(__xludf.DUMMYFUNCTION("""COMPUTED_VALUE"""),2068.4)</f>
        <v>2068.4</v>
      </c>
      <c r="H13" s="368">
        <f>IFERROR(__xludf.DUMMYFUNCTION("""COMPUTED_VALUE"""),46132.0)</f>
        <v>46132</v>
      </c>
      <c r="I13" s="368">
        <f>IFERROR(__xludf.DUMMYFUNCTION("""COMPUTED_VALUE"""),46212.0)</f>
        <v>46212</v>
      </c>
      <c r="J13" s="8" t="str">
        <f>IFERROR(__xludf.DUMMYFUNCTION("""COMPUTED_VALUE"""),"Vigente")</f>
        <v>Vigente</v>
      </c>
      <c r="K13" s="369">
        <f>IFERROR(__xludf.DUMMYFUNCTION("""COMPUTED_VALUE"""),1156771.0)</f>
        <v>1156771</v>
      </c>
      <c r="L13" s="367">
        <f>IFERROR(__xludf.DUMMYFUNCTION("""COMPUTED_VALUE"""),54633.48)</f>
        <v>54633.48</v>
      </c>
    </row>
    <row r="14">
      <c r="A14" s="367">
        <f>IFERROR(__xludf.DUMMYFUNCTION("""COMPUTED_VALUE"""),2679.0)</f>
        <v>2679</v>
      </c>
      <c r="B14" s="8" t="str">
        <f>IFERROR(__xludf.DUMMYFUNCTION("""COMPUTED_VALUE"""),"Furgon Foton 1065")</f>
        <v>Furgon Foton 1065</v>
      </c>
      <c r="C14" s="8" t="str">
        <f>IFERROR(__xludf.DUMMYFUNCTION("""COMPUTED_VALUE"""),"2. Medellin")</f>
        <v>2. Medellin</v>
      </c>
      <c r="D14" s="367">
        <f>IFERROR(__xludf.DUMMYFUNCTION("""COMPUTED_VALUE"""),10000.0)</f>
        <v>10000</v>
      </c>
      <c r="E14" s="367">
        <f>IFERROR(__xludf.DUMMYFUNCTION("""COMPUTED_VALUE"""),180.0)</f>
        <v>180</v>
      </c>
      <c r="F14" s="367">
        <f>IFERROR(__xludf.DUMMYFUNCTION("""COMPUTED_VALUE"""),55.0)</f>
        <v>55</v>
      </c>
      <c r="G14" s="367">
        <f>IFERROR(__xludf.DUMMYFUNCTION("""COMPUTED_VALUE"""),1408.8)</f>
        <v>1408.8</v>
      </c>
      <c r="H14" s="368">
        <f>IFERROR(__xludf.DUMMYFUNCTION("""COMPUTED_VALUE"""),46157.0)</f>
        <v>46157</v>
      </c>
      <c r="I14" s="368">
        <f>IFERROR(__xludf.DUMMYFUNCTION("""COMPUTED_VALUE"""),46212.0)</f>
        <v>46212</v>
      </c>
      <c r="J14" s="8" t="str">
        <f>IFERROR(__xludf.DUMMYFUNCTION("""COMPUTED_VALUE"""),"Vigente")</f>
        <v>Vigente</v>
      </c>
      <c r="K14" s="369">
        <f>IFERROR(__xludf.DUMMYFUNCTION("""COMPUTED_VALUE"""),1159385.0)</f>
        <v>1159385</v>
      </c>
      <c r="L14" s="367">
        <f>IFERROR(__xludf.DUMMYFUNCTION("""COMPUTED_VALUE"""),49349.7)</f>
        <v>49349.7</v>
      </c>
    </row>
    <row r="15">
      <c r="A15" s="367">
        <f>IFERROR(__xludf.DUMMYFUNCTION("""COMPUTED_VALUE"""),2843.0)</f>
        <v>2843</v>
      </c>
      <c r="B15" s="8" t="str">
        <f>IFERROR(__xludf.DUMMYFUNCTION("""COMPUTED_VALUE"""),"Furgon Foton 1065")</f>
        <v>Furgon Foton 1065</v>
      </c>
      <c r="C15" s="8" t="str">
        <f>IFERROR(__xludf.DUMMYFUNCTION("""COMPUTED_VALUE"""),"31. Copacabana")</f>
        <v>31. Copacabana</v>
      </c>
      <c r="D15" s="367">
        <f>IFERROR(__xludf.DUMMYFUNCTION("""COMPUTED_VALUE"""),5000.0)</f>
        <v>5000</v>
      </c>
      <c r="E15" s="367">
        <f>IFERROR(__xludf.DUMMYFUNCTION("""COMPUTED_VALUE"""),180.0)</f>
        <v>180</v>
      </c>
      <c r="F15" s="367">
        <f>IFERROR(__xludf.DUMMYFUNCTION("""COMPUTED_VALUE"""),80.0)</f>
        <v>80</v>
      </c>
      <c r="G15" s="367">
        <f>IFERROR(__xludf.DUMMYFUNCTION("""COMPUTED_VALUE"""),3481.0)</f>
        <v>3481</v>
      </c>
      <c r="H15" s="368">
        <f>IFERROR(__xludf.DUMMYFUNCTION("""COMPUTED_VALUE"""),46132.0)</f>
        <v>46132</v>
      </c>
      <c r="I15" s="368">
        <f>IFERROR(__xludf.DUMMYFUNCTION("""COMPUTED_VALUE"""),46212.0)</f>
        <v>46212</v>
      </c>
      <c r="J15" s="8" t="str">
        <f>IFERROR(__xludf.DUMMYFUNCTION("""COMPUTED_VALUE"""),"Vigente")</f>
        <v>Vigente</v>
      </c>
      <c r="K15" s="369">
        <f>IFERROR(__xludf.DUMMYFUNCTION("""COMPUTED_VALUE"""),1156770.0)</f>
        <v>1156770</v>
      </c>
      <c r="L15" s="367">
        <f>IFERROR(__xludf.DUMMYFUNCTION("""COMPUTED_VALUE"""),39555.0)</f>
        <v>39555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4" max="4" width="13.75"/>
    <col customWidth="1" min="5" max="5" width="17.63"/>
    <col customWidth="1" min="6" max="6" width="47.75"/>
  </cols>
  <sheetData>
    <row r="1">
      <c r="G1" s="157"/>
    </row>
    <row r="2">
      <c r="G2" s="157"/>
    </row>
    <row r="3">
      <c r="B3" s="370" t="s">
        <v>705</v>
      </c>
      <c r="D3" s="371" t="str">
        <f>B3</f>
        <v>TRACTOMULA EAGLE 9400 ISX400</v>
      </c>
      <c r="E3" s="372"/>
      <c r="F3" s="372"/>
      <c r="G3" s="372"/>
      <c r="H3" s="372"/>
      <c r="I3" s="373"/>
    </row>
    <row r="4">
      <c r="D4" s="374" t="s">
        <v>706</v>
      </c>
      <c r="E4" s="126" t="s">
        <v>707</v>
      </c>
      <c r="F4" s="375" t="s">
        <v>708</v>
      </c>
      <c r="G4" s="126" t="s">
        <v>709</v>
      </c>
      <c r="H4" s="376" t="s">
        <v>710</v>
      </c>
      <c r="I4" s="376" t="s">
        <v>711</v>
      </c>
    </row>
    <row r="5">
      <c r="D5" s="78">
        <f>IFERROR(__xludf.DUMMYFUNCTION("IF(B3=FILTROS!C2, QUERY(FILTROS!C4:H8, ""SELECT C,D,E,F,G,H""),
 IF(B3=FILTROS!J2, QUERY(FILTROS!J4:O8, ""SELECT J,K,L,M,N,O""),
 IF(B3=FILTROS!C11, QUERY(FILTROS!C13:H17, ""SELECT C,D,E,F,G,H""),
 IF(B3=FILTROS!J11, QUERY(FILTROS!J13:O18, ""SELECT J,K,L,"&amp;"M,N,O""),
 IF(B3=FILTROS!C20, QUERY(FILTROS!C22:H26, ""SELECT C,D,E,F,G,H""),
 IF(B3=FILTROS!J20, QUERY(FILTROS!J22:O27, ""SELECT J,K,L,M,N,O""),
 IF(B3=FILTROS!C29, QUERY(FILTROS!C31:H36, ""SELECT C,D,E,F,G,H""),
 IF(B3=FILTROS!J29, QUERY(FILTROS!J31:O36"&amp;", ""SELECT J,K,L,M,N,O""),
 IF(B3=FILTROS!C38, QUERY(FILTROS!C40:O44, ""SELECT C,D,E,F,G,H""),
 IF(B3=FILTROS!J38, QUERY(FILTROS!J40:O45, ""SELECT J,K,L,M,N,O""),
 IF(B3=FILTROS!C46, QUERY(FILTROS!C48:H52, ""SELECT C,D,E,F,G,H""),
 IF(B3=FILTROS!J47, QUER"&amp;"Y(FILTROS!J49:O53, ""SELECT J,K,L,M,N,O""),
 IF(B3=FILTROS!C54, QUERY(FILTROS!C56:H61, ""SELECT C,D,E,F,G,H""),
 IF(B3=FILTROS!J55, QUERY(FILTROS!J57:O62, ""SELECT J,K,L,M,N,O""),
 IF(B3=FILTROS!C63, QUERY(FILTROS!C65:H70, ""SELECT C,D,E,F,G,H""),
 IF(B3="&amp;"FILTROS!J64, QUERY(FILTROS!J66:O70, ""SELECT J,K,L,M,N,O""),
 IF(B3=FILTROS!C72, QUERY(FILTROS!C74:H79, ""SELECT C,D,E,F,G,H""),
 IF(B3=FILTROS!J72, QUERY(FILTROS!J74:O78, ""SELECT J,K,L,M,N,O""),
 IF(B3=FILTROS!J80, QUERY(FILTROS!J82:O87, ""SELECT J,K,L,"&amp;"M,N,O""),
 IF(B3=FILTROS!C81, QUERY(FILTROS!C83:H88, ""SELECT C,D,E,F,G,H""),
 IF(B3=FILTROS!J89, QUERY(FILTROS!J91:O96, ""SELECT J,K,L,M,N,O""),
 IF(B3=FILTROS!C90, QUERY(FILTROS!C92:H99, ""SELECT C,D,E,F,G,H""),
 IF(B3=FILTROS!J98, QUERY(FILTROS!J100:O1"&amp;"05, ""SELECT J,K,L,M,N,O""),
 IF(B3=FILTROS!C101, QUERY(FILTROS!C103:H109, ""SELECT C,D,E,F,G,H""),
 IF(B3=FILTROS!J107, QUERY(FILTROS!J109:O115, ""SELECT J,K,L,M,N,O""),
 IF(B3=FILTROS!C111, QUERY(FILTROS!C113:H118, ""SELECT C,D,E,F,G,H""),
 IF(B3=FILTRO"&amp;"S!J117, QUERY(FILTROS!J119:O125, ""SELECT J,K,L,M,N,O""), """")))))))))))))))))))))))))))"),10022.0)</f>
        <v>10022</v>
      </c>
      <c r="E5" s="78">
        <f>IFERROR(__xludf.DUMMYFUNCTION("""COMPUTED_VALUE"""),7.0001071E7)</f>
        <v>70001071</v>
      </c>
      <c r="F5" s="78" t="str">
        <f>IFERROR(__xludf.DUMMYFUNCTION("""COMPUTED_VALUE"""),"FILTRO AIRE PRIM.ISX EAGLE GOBY")</f>
        <v>FILTRO AIRE PRIM.ISX EAGLE GOBY</v>
      </c>
      <c r="G5" s="377">
        <f>IFERROR(__xludf.DUMMYFUNCTION("""COMPUTED_VALUE"""),1.0)</f>
        <v>1</v>
      </c>
      <c r="H5" s="128" t="str">
        <f>IFERROR(__xludf.DUMMYFUNCTION("""COMPUTED_VALUE"""),"110A")</f>
        <v>110A</v>
      </c>
      <c r="I5" s="128">
        <f>IFERROR(__xludf.DUMMYFUNCTION("""COMPUTED_VALUE"""),1102.0)</f>
        <v>1102</v>
      </c>
      <c r="J5" s="7">
        <v>481.0</v>
      </c>
    </row>
    <row r="6">
      <c r="D6" s="134">
        <f>IFERROR(__xludf.DUMMYFUNCTION("""COMPUTED_VALUE"""),12535.0)</f>
        <v>12535</v>
      </c>
      <c r="E6" s="78">
        <f>IFERROR(__xludf.DUMMYFUNCTION("""COMPUTED_VALUE"""),7.0001804E7)</f>
        <v>70001804</v>
      </c>
      <c r="F6" s="78" t="str">
        <f>IFERROR(__xludf.DUMMYFUNCTION("""COMPUTED_VALUE"""),"FILTRO COMBUSTIBLE FULL PRO GOBY")</f>
        <v>FILTRO COMBUSTIBLE FULL PRO GOBY</v>
      </c>
      <c r="G6" s="377">
        <f>IFERROR(__xludf.DUMMYFUNCTION("""COMPUTED_VALUE"""),1.0)</f>
        <v>1</v>
      </c>
      <c r="H6" s="128" t="str">
        <f>IFERROR(__xludf.DUMMYFUNCTION("""COMPUTED_VALUE"""),"110A")</f>
        <v>110A</v>
      </c>
      <c r="I6" s="128">
        <f>IFERROR(__xludf.DUMMYFUNCTION("""COMPUTED_VALUE"""),1102.0)</f>
        <v>1102</v>
      </c>
      <c r="J6" s="7">
        <f t="shared" ref="J6:J11" si="1">J5</f>
        <v>481</v>
      </c>
    </row>
    <row r="7">
      <c r="D7" s="78">
        <f>IFERROR(__xludf.DUMMYFUNCTION("""COMPUTED_VALUE"""),13556.0)</f>
        <v>13556</v>
      </c>
      <c r="E7" s="78">
        <f>IFERROR(__xludf.DUMMYFUNCTION("""COMPUTED_VALUE"""),7.0001313E7)</f>
        <v>70001313</v>
      </c>
      <c r="F7" s="78" t="str">
        <f>IFERROR(__xludf.DUMMYFUNCTION("""COMPUTED_VALUE"""),"FILTRO ACEITE EAGLE Y KENTWORTH")</f>
        <v>FILTRO ACEITE EAGLE Y KENTWORTH</v>
      </c>
      <c r="G7" s="377">
        <f>IFERROR(__xludf.DUMMYFUNCTION("""COMPUTED_VALUE"""),1.0)</f>
        <v>1</v>
      </c>
      <c r="H7" s="128" t="str">
        <f>IFERROR(__xludf.DUMMYFUNCTION("""COMPUTED_VALUE"""),"110A")</f>
        <v>110A</v>
      </c>
      <c r="I7" s="128">
        <f>IFERROR(__xludf.DUMMYFUNCTION("""COMPUTED_VALUE"""),1102.0)</f>
        <v>1102</v>
      </c>
      <c r="J7" s="7">
        <f t="shared" si="1"/>
        <v>481</v>
      </c>
    </row>
    <row r="8">
      <c r="D8" s="78">
        <f>IFERROR(__xludf.DUMMYFUNCTION("""COMPUTED_VALUE"""),2190.0)</f>
        <v>2190</v>
      </c>
      <c r="E8" s="78">
        <f>IFERROR(__xludf.DUMMYFUNCTION("""COMPUTED_VALUE"""),7.0004394E7)</f>
        <v>70004394</v>
      </c>
      <c r="F8" s="78" t="str">
        <f>IFERROR(__xludf.DUMMYFUNCTION("""COMPUTED_VALUE"""),"FILTRO AGUA KENTWORT")</f>
        <v>FILTRO AGUA KENTWORT</v>
      </c>
      <c r="G8" s="377">
        <f>IFERROR(__xludf.DUMMYFUNCTION("""COMPUTED_VALUE"""),1.0)</f>
        <v>1</v>
      </c>
      <c r="H8" s="128" t="str">
        <f>IFERROR(__xludf.DUMMYFUNCTION("""COMPUTED_VALUE"""),"110A")</f>
        <v>110A</v>
      </c>
      <c r="I8" s="128">
        <f>IFERROR(__xludf.DUMMYFUNCTION("""COMPUTED_VALUE"""),1102.0)</f>
        <v>1102</v>
      </c>
      <c r="J8" s="7">
        <f t="shared" si="1"/>
        <v>481</v>
      </c>
    </row>
    <row r="9">
      <c r="D9" s="78">
        <f>IFERROR(__xludf.DUMMYFUNCTION("""COMPUTED_VALUE"""),22801.0)</f>
        <v>22801</v>
      </c>
      <c r="E9" s="78">
        <f>IFERROR(__xludf.DUMMYFUNCTION("""COMPUTED_VALUE"""),5.000163E7)</f>
        <v>50001630</v>
      </c>
      <c r="F9" s="78" t="str">
        <f>IFERROR(__xludf.DUMMYFUNCTION("""COMPUTED_VALUE"""),"ACEITE MOTOR MOBIL DELVAC 15W40 - CI4 SUPER DEFENSE V3")</f>
        <v>ACEITE MOTOR MOBIL DELVAC 15W40 - CI4 SUPER DEFENSE V3</v>
      </c>
      <c r="G9" s="377">
        <f>IFERROR(__xludf.DUMMYFUNCTION("""COMPUTED_VALUE"""),12.0)</f>
        <v>12</v>
      </c>
      <c r="H9" s="128" t="str">
        <f>IFERROR(__xludf.DUMMYFUNCTION("""COMPUTED_VALUE"""),"110A")</f>
        <v>110A</v>
      </c>
      <c r="I9" s="128">
        <f>IFERROR(__xludf.DUMMYFUNCTION("""COMPUTED_VALUE"""),1102.0)</f>
        <v>1102</v>
      </c>
      <c r="J9" s="7">
        <f t="shared" si="1"/>
        <v>481</v>
      </c>
    </row>
    <row r="10">
      <c r="D10" s="78">
        <f>IFERROR(__xludf.DUMMYFUNCTION("""COMPUTED_VALUE"""),9305.0)</f>
        <v>9305</v>
      </c>
      <c r="E10" s="78">
        <f>IFERROR(__xludf.DUMMYFUNCTION("""COMPUTED_VALUE"""),5.0001705E7)</f>
        <v>50001705</v>
      </c>
      <c r="F10" s="78" t="str">
        <f>IFERROR(__xludf.DUMMYFUNCTION("""COMPUTED_VALUE"""),"FRASCO MUESTRA DE ACEITE")</f>
        <v>FRASCO MUESTRA DE ACEITE</v>
      </c>
      <c r="G10" s="377">
        <f>IFERROR(__xludf.DUMMYFUNCTION("""COMPUTED_VALUE"""),1.0)</f>
        <v>1</v>
      </c>
      <c r="H10" s="128" t="str">
        <f>IFERROR(__xludf.DUMMYFUNCTION("""COMPUTED_VALUE"""),"110A")</f>
        <v>110A</v>
      </c>
      <c r="I10" s="128">
        <f>IFERROR(__xludf.DUMMYFUNCTION("""COMPUTED_VALUE"""),1102.0)</f>
        <v>1102</v>
      </c>
      <c r="J10" s="7">
        <f t="shared" si="1"/>
        <v>481</v>
      </c>
    </row>
    <row r="11">
      <c r="D11" s="78"/>
      <c r="E11" s="78"/>
      <c r="F11" s="78"/>
      <c r="G11" s="128"/>
      <c r="H11" s="128"/>
      <c r="J11" s="7">
        <f t="shared" si="1"/>
        <v>481</v>
      </c>
    </row>
    <row r="12">
      <c r="D12" s="78"/>
      <c r="E12" s="78"/>
      <c r="F12" s="78"/>
      <c r="G12" s="128"/>
      <c r="H12" s="128"/>
    </row>
  </sheetData>
  <mergeCells count="1">
    <mergeCell ref="D3:I3"/>
  </mergeCells>
  <dataValidations>
    <dataValidation type="list" allowBlank="1" showErrorMessage="1" sqref="B3">
      <formula1>"FURGON FOTON 1030,FURGON JMC 1054 VI,FURGON FOTON 1065 VI,FURGON FOTON 1065 IV,FURGON FOTON 1045 VI,CAMION FOTON BJ1128 IV,CAMION FOTON BJ1128 VI,FURGON FOTON 1039 AO  IV,FURGON JAC JHR IV,CAMION FOTON 1129 IV,FURGON RENAULT MASTER,VAN FOTON BJ5,FURGON CH"&amp;"EVROLET NKR IIIE,CAMION CHEVROLET FRR,FURGON HINO DUTRO PRO EJE SENCILLO,FURGON CHEVROLET NKR III,FURGON HINO DUTROPACK,VAN CHEVROLET CARRY,TRACTOMULA EAGLE 9400 ISX400,TRACTOMULA PROSTAR,TRACTOMULA KENWORTH T800 EURO II,TRACTOMULA DAF CF480 FTT EURO V,TR"&amp;"ACTOMULA DAF CF480 FTT EURO VI,TRACTOMULA MACK ANTHEM,TRACTOMULA  INTERNATIONAL LT,TRACTOMULA FOTON EST AMT BJ4269,TRACTOMULA  FREIGHTLINER CL 120"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3"/>
    <col customWidth="1" min="3" max="3" width="28.75"/>
    <col customWidth="1" min="4" max="4" width="26.38"/>
  </cols>
  <sheetData>
    <row r="1">
      <c r="B1" s="157"/>
      <c r="C1" s="157"/>
      <c r="D1" s="157"/>
    </row>
    <row r="2">
      <c r="B2" s="378" t="s">
        <v>71</v>
      </c>
      <c r="C2" s="378" t="s">
        <v>712</v>
      </c>
      <c r="D2" s="52" t="s">
        <v>713</v>
      </c>
    </row>
    <row r="3">
      <c r="B3" s="378" t="s">
        <v>714</v>
      </c>
      <c r="C3" s="378" t="s">
        <v>715</v>
      </c>
      <c r="D3" s="52" t="s">
        <v>713</v>
      </c>
    </row>
    <row r="4">
      <c r="B4" s="378" t="s">
        <v>716</v>
      </c>
      <c r="C4" s="378" t="s">
        <v>717</v>
      </c>
      <c r="D4" s="52" t="s">
        <v>713</v>
      </c>
    </row>
    <row r="5">
      <c r="B5" s="378" t="s">
        <v>718</v>
      </c>
      <c r="C5" s="378" t="s">
        <v>719</v>
      </c>
      <c r="D5" s="52" t="s">
        <v>713</v>
      </c>
    </row>
    <row r="6">
      <c r="B6" s="378" t="s">
        <v>720</v>
      </c>
      <c r="C6" s="378" t="s">
        <v>721</v>
      </c>
      <c r="D6" s="52" t="s">
        <v>713</v>
      </c>
    </row>
    <row r="7">
      <c r="B7" s="378" t="s">
        <v>722</v>
      </c>
      <c r="C7" s="378" t="s">
        <v>723</v>
      </c>
      <c r="D7" s="52" t="s">
        <v>713</v>
      </c>
    </row>
    <row r="8">
      <c r="B8" s="378" t="s">
        <v>724</v>
      </c>
      <c r="C8" s="378" t="s">
        <v>725</v>
      </c>
      <c r="D8" s="52" t="s">
        <v>713</v>
      </c>
    </row>
    <row r="9">
      <c r="B9" s="378" t="s">
        <v>726</v>
      </c>
      <c r="C9" s="378" t="s">
        <v>727</v>
      </c>
      <c r="D9" s="52" t="s">
        <v>713</v>
      </c>
    </row>
    <row r="10">
      <c r="B10" s="378" t="s">
        <v>728</v>
      </c>
      <c r="C10" s="378" t="s">
        <v>729</v>
      </c>
      <c r="D10" s="52" t="s">
        <v>713</v>
      </c>
    </row>
    <row r="11">
      <c r="B11" s="378" t="s">
        <v>730</v>
      </c>
      <c r="C11" s="378" t="s">
        <v>731</v>
      </c>
      <c r="D11" s="52" t="s">
        <v>713</v>
      </c>
    </row>
    <row r="12">
      <c r="B12" s="378" t="s">
        <v>732</v>
      </c>
      <c r="C12" s="378" t="s">
        <v>733</v>
      </c>
      <c r="D12" s="52" t="s">
        <v>713</v>
      </c>
    </row>
    <row r="13">
      <c r="B13" s="378" t="s">
        <v>734</v>
      </c>
      <c r="C13" s="378" t="s">
        <v>735</v>
      </c>
      <c r="D13" s="52" t="s">
        <v>713</v>
      </c>
    </row>
    <row r="14">
      <c r="B14" s="378" t="s">
        <v>736</v>
      </c>
      <c r="C14" s="378" t="s">
        <v>737</v>
      </c>
      <c r="D14" s="52" t="s">
        <v>713</v>
      </c>
    </row>
    <row r="15">
      <c r="B15" s="378" t="s">
        <v>738</v>
      </c>
      <c r="C15" s="378" t="s">
        <v>739</v>
      </c>
      <c r="D15" s="52" t="s">
        <v>740</v>
      </c>
    </row>
    <row r="16">
      <c r="B16" s="378" t="s">
        <v>741</v>
      </c>
      <c r="C16" s="378" t="s">
        <v>742</v>
      </c>
      <c r="D16" s="378" t="s">
        <v>743</v>
      </c>
    </row>
    <row r="17">
      <c r="B17" s="378" t="s">
        <v>744</v>
      </c>
      <c r="C17" s="378" t="s">
        <v>745</v>
      </c>
      <c r="D17" s="378" t="s">
        <v>746</v>
      </c>
    </row>
    <row r="18">
      <c r="B18" s="378" t="s">
        <v>747</v>
      </c>
      <c r="C18" s="378" t="s">
        <v>748</v>
      </c>
      <c r="D18" s="378" t="s">
        <v>749</v>
      </c>
    </row>
    <row r="19">
      <c r="B19" s="378" t="s">
        <v>750</v>
      </c>
      <c r="C19" s="378" t="s">
        <v>751</v>
      </c>
      <c r="D19" s="378" t="s">
        <v>749</v>
      </c>
    </row>
    <row r="20">
      <c r="B20" s="378" t="s">
        <v>738</v>
      </c>
      <c r="C20" s="378" t="s">
        <v>739</v>
      </c>
      <c r="D20" s="378" t="s">
        <v>740</v>
      </c>
    </row>
    <row r="21">
      <c r="B21" s="378" t="s">
        <v>752</v>
      </c>
      <c r="C21" s="378" t="s">
        <v>753</v>
      </c>
      <c r="D21" s="378" t="s">
        <v>754</v>
      </c>
    </row>
    <row r="22">
      <c r="B22" s="378" t="s">
        <v>755</v>
      </c>
      <c r="C22" s="378" t="s">
        <v>756</v>
      </c>
      <c r="D22" s="378" t="s">
        <v>749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44.0"/>
    <col customWidth="1" min="3" max="4" width="15.88"/>
    <col customWidth="1" min="5" max="5" width="26.75"/>
    <col customWidth="1" min="6" max="6" width="29.88"/>
    <col customWidth="1" min="7" max="7" width="30.63"/>
  </cols>
  <sheetData>
    <row r="1">
      <c r="A1" s="379" t="s">
        <v>757</v>
      </c>
      <c r="B1" s="379"/>
      <c r="C1" s="379"/>
      <c r="D1" s="379" t="s">
        <v>711</v>
      </c>
      <c r="E1" s="379" t="s">
        <v>758</v>
      </c>
      <c r="F1" s="379" t="s">
        <v>759</v>
      </c>
      <c r="G1" s="379" t="s">
        <v>760</v>
      </c>
      <c r="H1" s="379" t="s">
        <v>761</v>
      </c>
      <c r="I1" s="379" t="s">
        <v>762</v>
      </c>
      <c r="J1" s="379" t="s">
        <v>763</v>
      </c>
      <c r="K1" s="379" t="s">
        <v>764</v>
      </c>
      <c r="L1" s="379" t="s">
        <v>765</v>
      </c>
    </row>
    <row r="2">
      <c r="A2" s="380" t="s">
        <v>766</v>
      </c>
      <c r="B2" s="380" t="str">
        <f>IFERROR(__xludf.DUMMYFUNCTION("ARRAYFORMULA(IF(A2:A14483="""", """", TRIM(REGEXREPLACE(A2:A14483, ""\s*\(\d+\)\s*$"", """"))))"),"Desengrasante Crema Cuñete X10")</f>
        <v>Desengrasante Crema Cuñete X10</v>
      </c>
      <c r="C2" s="380" t="str">
        <f>IFERROR(__xludf.DUMMYFUNCTION("ARRAYFORMULA(IF(A2:A14483="""", """", REGEXEXTRACT(A2:A14483, ""\((\d+)\)"")))"),"10000503")</f>
        <v>10000503</v>
      </c>
      <c r="D2" s="380" t="s">
        <v>767</v>
      </c>
      <c r="E2" s="380" t="s">
        <v>768</v>
      </c>
      <c r="F2" s="380" t="s">
        <v>769</v>
      </c>
      <c r="G2" s="380" t="s">
        <v>770</v>
      </c>
      <c r="H2" s="380" t="s">
        <v>771</v>
      </c>
      <c r="I2" s="380" t="s">
        <v>772</v>
      </c>
      <c r="J2" s="380" t="s">
        <v>773</v>
      </c>
      <c r="K2" s="381">
        <v>0.0</v>
      </c>
      <c r="L2" s="382">
        <v>1.0</v>
      </c>
    </row>
    <row r="3">
      <c r="A3" s="380" t="s">
        <v>774</v>
      </c>
      <c r="B3" s="380" t="str">
        <f>IFERROR(__xludf.DUMMYFUNCTION("""COMPUTED_VALUE"""),"Desengrasante Crema Manos Mecanicos Cuñ")</f>
        <v>Desengrasante Crema Manos Mecanicos Cuñ</v>
      </c>
      <c r="C3" s="380" t="str">
        <f>IFERROR(__xludf.DUMMYFUNCTION("""COMPUTED_VALUE"""),"10000614")</f>
        <v>10000614</v>
      </c>
      <c r="D3" s="380" t="s">
        <v>767</v>
      </c>
      <c r="E3" s="380" t="s">
        <v>768</v>
      </c>
      <c r="F3" s="380" t="s">
        <v>769</v>
      </c>
      <c r="G3" s="380" t="s">
        <v>770</v>
      </c>
      <c r="H3" s="380" t="s">
        <v>771</v>
      </c>
      <c r="I3" s="380" t="s">
        <v>772</v>
      </c>
      <c r="J3" s="380" t="s">
        <v>773</v>
      </c>
      <c r="K3" s="381">
        <v>130900.0</v>
      </c>
      <c r="L3" s="382">
        <v>1.0</v>
      </c>
    </row>
    <row r="4">
      <c r="A4" s="380" t="s">
        <v>775</v>
      </c>
      <c r="B4" s="380" t="str">
        <f>IFERROR(__xludf.DUMMYFUNCTION("""COMPUTED_VALUE"""),"Pintura Viniltex Gris Nube1569")</f>
        <v>Pintura Viniltex Gris Nube1569</v>
      </c>
      <c r="C4" s="380" t="str">
        <f>IFERROR(__xludf.DUMMYFUNCTION("""COMPUTED_VALUE"""),"80000795")</f>
        <v>80000795</v>
      </c>
      <c r="D4" s="380" t="s">
        <v>767</v>
      </c>
      <c r="E4" s="380" t="s">
        <v>776</v>
      </c>
      <c r="F4" s="380" t="s">
        <v>777</v>
      </c>
      <c r="G4" s="380" t="s">
        <v>770</v>
      </c>
      <c r="H4" s="380" t="s">
        <v>771</v>
      </c>
      <c r="I4" s="380" t="s">
        <v>778</v>
      </c>
      <c r="J4" s="380" t="s">
        <v>773</v>
      </c>
      <c r="K4" s="381">
        <v>0.0</v>
      </c>
      <c r="L4" s="382">
        <v>1.0</v>
      </c>
    </row>
    <row r="5">
      <c r="A5" s="380" t="s">
        <v>779</v>
      </c>
      <c r="B5" s="380" t="str">
        <f>IFERROR(__xludf.DUMMYFUNCTION("""COMPUTED_VALUE"""),"Pintura Koraza Gris Basal 2675")</f>
        <v>Pintura Koraza Gris Basal 2675</v>
      </c>
      <c r="C5" s="380" t="str">
        <f>IFERROR(__xludf.DUMMYFUNCTION("""COMPUTED_VALUE"""),"80000825")</f>
        <v>80000825</v>
      </c>
      <c r="D5" s="380" t="s">
        <v>767</v>
      </c>
      <c r="E5" s="380" t="s">
        <v>776</v>
      </c>
      <c r="F5" s="380" t="s">
        <v>777</v>
      </c>
      <c r="G5" s="380" t="s">
        <v>770</v>
      </c>
      <c r="H5" s="380" t="s">
        <v>771</v>
      </c>
      <c r="I5" s="380" t="s">
        <v>778</v>
      </c>
      <c r="J5" s="380" t="s">
        <v>773</v>
      </c>
      <c r="K5" s="381">
        <v>0.0</v>
      </c>
      <c r="L5" s="382">
        <v>1.0</v>
      </c>
    </row>
    <row r="6">
      <c r="A6" s="380" t="s">
        <v>780</v>
      </c>
      <c r="B6" s="380" t="str">
        <f>IFERROR(__xludf.DUMMYFUNCTION("""COMPUTED_VALUE"""),"Medidor De Distancia Laser 100 Metros")</f>
        <v>Medidor De Distancia Laser 100 Metros</v>
      </c>
      <c r="C6" s="380" t="str">
        <f>IFERROR(__xludf.DUMMYFUNCTION("""COMPUTED_VALUE"""),"50000495")</f>
        <v>50000495</v>
      </c>
      <c r="D6" s="380" t="s">
        <v>767</v>
      </c>
      <c r="E6" s="380" t="s">
        <v>781</v>
      </c>
      <c r="F6" s="380" t="s">
        <v>782</v>
      </c>
      <c r="G6" s="380" t="s">
        <v>783</v>
      </c>
      <c r="H6" s="380" t="s">
        <v>771</v>
      </c>
      <c r="I6" s="380" t="s">
        <v>784</v>
      </c>
      <c r="J6" s="380" t="s">
        <v>773</v>
      </c>
      <c r="K6" s="381">
        <v>0.0</v>
      </c>
      <c r="L6" s="382">
        <v>1.0</v>
      </c>
    </row>
    <row r="7">
      <c r="A7" s="380" t="s">
        <v>785</v>
      </c>
      <c r="B7" s="380" t="str">
        <f>IFERROR(__xludf.DUMMYFUNCTION("""COMPUTED_VALUE"""),"Manguera Siliconada Alta Temp Azul 3""")</f>
        <v>Manguera Siliconada Alta Temp Azul 3"</v>
      </c>
      <c r="C7" s="380" t="str">
        <f>IFERROR(__xludf.DUMMYFUNCTION("""COMPUTED_VALUE"""),"70001381")</f>
        <v>70001381</v>
      </c>
      <c r="D7" s="380" t="s">
        <v>767</v>
      </c>
      <c r="E7" s="380" t="s">
        <v>786</v>
      </c>
      <c r="F7" s="380" t="s">
        <v>787</v>
      </c>
      <c r="G7" s="380" t="s">
        <v>783</v>
      </c>
      <c r="H7" s="380" t="s">
        <v>771</v>
      </c>
      <c r="I7" s="380" t="s">
        <v>788</v>
      </c>
      <c r="J7" s="380" t="s">
        <v>773</v>
      </c>
      <c r="K7" s="381">
        <v>0.0</v>
      </c>
      <c r="L7" s="382">
        <v>1.0</v>
      </c>
    </row>
    <row r="8">
      <c r="A8" s="380" t="s">
        <v>789</v>
      </c>
      <c r="B8" s="380" t="str">
        <f>IFERROR(__xludf.DUMMYFUNCTION("""COMPUTED_VALUE"""),"Manguera Siliconada 1"" RF26116")</f>
        <v>Manguera Siliconada 1" RF26116</v>
      </c>
      <c r="C8" s="380" t="str">
        <f>IFERROR(__xludf.DUMMYFUNCTION("""COMPUTED_VALUE"""),"70001556")</f>
        <v>70001556</v>
      </c>
      <c r="D8" s="380" t="s">
        <v>767</v>
      </c>
      <c r="E8" s="380" t="s">
        <v>786</v>
      </c>
      <c r="F8" s="380" t="s">
        <v>787</v>
      </c>
      <c r="G8" s="380" t="s">
        <v>783</v>
      </c>
      <c r="H8" s="380" t="s">
        <v>771</v>
      </c>
      <c r="I8" s="380" t="s">
        <v>788</v>
      </c>
      <c r="J8" s="380" t="s">
        <v>773</v>
      </c>
      <c r="K8" s="381">
        <v>0.0</v>
      </c>
      <c r="L8" s="382">
        <v>1.0</v>
      </c>
    </row>
    <row r="9">
      <c r="A9" s="380" t="s">
        <v>790</v>
      </c>
      <c r="B9" s="380" t="str">
        <f>IFERROR(__xludf.DUMMYFUNCTION("""COMPUTED_VALUE"""),"Manguera Radiador Lisa Eagle 2 3/4""")</f>
        <v>Manguera Radiador Lisa Eagle 2 3/4"</v>
      </c>
      <c r="C9" s="380" t="str">
        <f>IFERROR(__xludf.DUMMYFUNCTION("""COMPUTED_VALUE"""),"70001652")</f>
        <v>70001652</v>
      </c>
      <c r="D9" s="380" t="s">
        <v>767</v>
      </c>
      <c r="E9" s="380" t="s">
        <v>786</v>
      </c>
      <c r="F9" s="380" t="s">
        <v>787</v>
      </c>
      <c r="G9" s="380" t="s">
        <v>783</v>
      </c>
      <c r="H9" s="380" t="s">
        <v>771</v>
      </c>
      <c r="I9" s="380" t="s">
        <v>788</v>
      </c>
      <c r="J9" s="380" t="s">
        <v>773</v>
      </c>
      <c r="K9" s="381">
        <v>0.0</v>
      </c>
      <c r="L9" s="382">
        <v>1.0</v>
      </c>
    </row>
    <row r="10">
      <c r="A10" s="380" t="s">
        <v>791</v>
      </c>
      <c r="B10" s="380" t="str">
        <f>IFERROR(__xludf.DUMMYFUNCTION("""COMPUTED_VALUE"""),"Tubo Flexible En Centimetros 3 1/2""")</f>
        <v>Tubo Flexible En Centimetros 3 1/2"</v>
      </c>
      <c r="C10" s="380" t="str">
        <f>IFERROR(__xludf.DUMMYFUNCTION("""COMPUTED_VALUE"""),"70003057")</f>
        <v>70003057</v>
      </c>
      <c r="D10" s="380" t="s">
        <v>767</v>
      </c>
      <c r="E10" s="380" t="s">
        <v>786</v>
      </c>
      <c r="F10" s="380" t="s">
        <v>792</v>
      </c>
      <c r="G10" s="380" t="s">
        <v>783</v>
      </c>
      <c r="H10" s="380" t="s">
        <v>771</v>
      </c>
      <c r="I10" s="380" t="s">
        <v>788</v>
      </c>
      <c r="J10" s="380" t="s">
        <v>773</v>
      </c>
      <c r="K10" s="381">
        <v>0.0</v>
      </c>
      <c r="L10" s="382">
        <v>1.0</v>
      </c>
    </row>
    <row r="11">
      <c r="A11" s="380" t="s">
        <v>793</v>
      </c>
      <c r="B11" s="380" t="str">
        <f>IFERROR(__xludf.DUMMYFUNCTION("""COMPUTED_VALUE"""),"Tubo Flexible 5"" En Centimetros")</f>
        <v>Tubo Flexible 5" En Centimetros</v>
      </c>
      <c r="C11" s="380" t="str">
        <f>IFERROR(__xludf.DUMMYFUNCTION("""COMPUTED_VALUE"""),"70003059")</f>
        <v>70003059</v>
      </c>
      <c r="D11" s="380" t="s">
        <v>767</v>
      </c>
      <c r="E11" s="380" t="s">
        <v>786</v>
      </c>
      <c r="F11" s="380" t="s">
        <v>792</v>
      </c>
      <c r="G11" s="380" t="s">
        <v>783</v>
      </c>
      <c r="H11" s="380" t="s">
        <v>771</v>
      </c>
      <c r="I11" s="380" t="s">
        <v>788</v>
      </c>
      <c r="J11" s="380" t="s">
        <v>773</v>
      </c>
      <c r="K11" s="381">
        <v>1712.0</v>
      </c>
      <c r="L11" s="382">
        <v>1.0</v>
      </c>
    </row>
    <row r="12">
      <c r="A12" s="380" t="s">
        <v>794</v>
      </c>
      <c r="B12" s="380" t="str">
        <f>IFERROR(__xludf.DUMMYFUNCTION("""COMPUTED_VALUE"""),"Clip Hoja Articulada Deflector Angular D")</f>
        <v>Clip Hoja Articulada Deflector Angular D</v>
      </c>
      <c r="C12" s="380" t="str">
        <f>IFERROR(__xludf.DUMMYFUNCTION("""COMPUTED_VALUE"""),"70006778")</f>
        <v>70006778</v>
      </c>
      <c r="D12" s="380" t="s">
        <v>767</v>
      </c>
      <c r="E12" s="380" t="s">
        <v>786</v>
      </c>
      <c r="F12" s="380" t="s">
        <v>792</v>
      </c>
      <c r="G12" s="380" t="s">
        <v>783</v>
      </c>
      <c r="H12" s="380" t="s">
        <v>771</v>
      </c>
      <c r="I12" s="380" t="s">
        <v>788</v>
      </c>
      <c r="J12" s="380" t="s">
        <v>773</v>
      </c>
      <c r="K12" s="381">
        <v>0.0</v>
      </c>
      <c r="L12" s="382">
        <v>1.0</v>
      </c>
    </row>
    <row r="13">
      <c r="A13" s="380" t="s">
        <v>795</v>
      </c>
      <c r="B13" s="380" t="str">
        <f>IFERROR(__xludf.DUMMYFUNCTION("""COMPUTED_VALUE"""),"Empaque Tanque Acpm 4"" 4"" 0130")</f>
        <v>Empaque Tanque Acpm 4" 4" 0130</v>
      </c>
      <c r="C13" s="380" t="str">
        <f>IFERROR(__xludf.DUMMYFUNCTION("""COMPUTED_VALUE"""),"70006873")</f>
        <v>70006873</v>
      </c>
      <c r="D13" s="380" t="s">
        <v>767</v>
      </c>
      <c r="E13" s="380" t="s">
        <v>786</v>
      </c>
      <c r="F13" s="380" t="s">
        <v>792</v>
      </c>
      <c r="G13" s="380" t="s">
        <v>783</v>
      </c>
      <c r="H13" s="380" t="s">
        <v>771</v>
      </c>
      <c r="I13" s="380" t="s">
        <v>788</v>
      </c>
      <c r="J13" s="380" t="s">
        <v>773</v>
      </c>
      <c r="K13" s="381">
        <v>0.0</v>
      </c>
      <c r="L13" s="382">
        <v>1.0</v>
      </c>
    </row>
    <row r="14">
      <c r="A14" s="380" t="s">
        <v>796</v>
      </c>
      <c r="B14" s="380" t="str">
        <f>IFERROR(__xludf.DUMMYFUNCTION("""COMPUTED_VALUE"""),"Gancho Expediente # 9 X 100")</f>
        <v>Gancho Expediente # 9 X 100</v>
      </c>
      <c r="C14" s="380" t="str">
        <f>IFERROR(__xludf.DUMMYFUNCTION("""COMPUTED_VALUE"""),"10000346")</f>
        <v>10000346</v>
      </c>
      <c r="D14" s="380" t="s">
        <v>767</v>
      </c>
      <c r="E14" s="380" t="s">
        <v>768</v>
      </c>
      <c r="F14" s="380" t="s">
        <v>797</v>
      </c>
      <c r="G14" s="380" t="s">
        <v>798</v>
      </c>
      <c r="H14" s="380" t="s">
        <v>771</v>
      </c>
      <c r="I14" s="380" t="s">
        <v>799</v>
      </c>
      <c r="J14" s="380" t="s">
        <v>773</v>
      </c>
      <c r="K14" s="381">
        <v>0.0</v>
      </c>
      <c r="L14" s="382">
        <v>1.0</v>
      </c>
    </row>
    <row r="15">
      <c r="A15" s="380" t="s">
        <v>800</v>
      </c>
      <c r="B15" s="380" t="str">
        <f>IFERROR(__xludf.DUMMYFUNCTION("""COMPUTED_VALUE"""),"Gancho Expediente # 7 X 100")</f>
        <v>Gancho Expediente # 7 X 100</v>
      </c>
      <c r="C15" s="380" t="str">
        <f>IFERROR(__xludf.DUMMYFUNCTION("""COMPUTED_VALUE"""),"10000347")</f>
        <v>10000347</v>
      </c>
      <c r="D15" s="380" t="s">
        <v>767</v>
      </c>
      <c r="E15" s="380" t="s">
        <v>768</v>
      </c>
      <c r="F15" s="380" t="s">
        <v>797</v>
      </c>
      <c r="G15" s="380" t="s">
        <v>798</v>
      </c>
      <c r="H15" s="380" t="s">
        <v>771</v>
      </c>
      <c r="I15" s="380" t="s">
        <v>799</v>
      </c>
      <c r="J15" s="380" t="s">
        <v>773</v>
      </c>
      <c r="K15" s="381">
        <v>0.0</v>
      </c>
      <c r="L15" s="382">
        <v>1.0</v>
      </c>
    </row>
    <row r="16">
      <c r="A16" s="380" t="s">
        <v>801</v>
      </c>
      <c r="B16" s="380" t="str">
        <f>IFERROR(__xludf.DUMMYFUNCTION("""COMPUTED_VALUE"""),"Plastilina Pelikan X 10")</f>
        <v>Plastilina Pelikan X 10</v>
      </c>
      <c r="C16" s="380" t="str">
        <f>IFERROR(__xludf.DUMMYFUNCTION("""COMPUTED_VALUE"""),"10000389")</f>
        <v>10000389</v>
      </c>
      <c r="D16" s="380" t="s">
        <v>767</v>
      </c>
      <c r="E16" s="380" t="s">
        <v>768</v>
      </c>
      <c r="F16" s="380" t="s">
        <v>797</v>
      </c>
      <c r="G16" s="380" t="s">
        <v>798</v>
      </c>
      <c r="H16" s="380" t="s">
        <v>771</v>
      </c>
      <c r="I16" s="380" t="s">
        <v>799</v>
      </c>
      <c r="J16" s="380" t="s">
        <v>773</v>
      </c>
      <c r="K16" s="381">
        <v>0.0</v>
      </c>
      <c r="L16" s="382">
        <v>1.0</v>
      </c>
    </row>
    <row r="17">
      <c r="A17" s="380" t="s">
        <v>802</v>
      </c>
      <c r="B17" s="380" t="str">
        <f>IFERROR(__xludf.DUMMYFUNCTION("""COMPUTED_VALUE"""),"Aromaticas Surtidas X 20")</f>
        <v>Aromaticas Surtidas X 20</v>
      </c>
      <c r="C17" s="380" t="str">
        <f>IFERROR(__xludf.DUMMYFUNCTION("""COMPUTED_VALUE"""),"10000419")</f>
        <v>10000419</v>
      </c>
      <c r="D17" s="380" t="s">
        <v>767</v>
      </c>
      <c r="E17" s="380" t="s">
        <v>768</v>
      </c>
      <c r="F17" s="380" t="s">
        <v>803</v>
      </c>
      <c r="G17" s="380" t="s">
        <v>798</v>
      </c>
      <c r="H17" s="380" t="s">
        <v>771</v>
      </c>
      <c r="I17" s="380" t="s">
        <v>772</v>
      </c>
      <c r="J17" s="380" t="s">
        <v>773</v>
      </c>
      <c r="K17" s="381">
        <v>1844.0</v>
      </c>
      <c r="L17" s="382">
        <v>1.0</v>
      </c>
    </row>
    <row r="18">
      <c r="A18" s="380" t="s">
        <v>804</v>
      </c>
      <c r="B18" s="380" t="str">
        <f>IFERROR(__xludf.DUMMYFUNCTION("""COMPUTED_VALUE"""),"Gancho Legajador")</f>
        <v>Gancho Legajador</v>
      </c>
      <c r="C18" s="380" t="str">
        <f>IFERROR(__xludf.DUMMYFUNCTION("""COMPUTED_VALUE"""),"10000463")</f>
        <v>10000463</v>
      </c>
      <c r="D18" s="380" t="s">
        <v>767</v>
      </c>
      <c r="E18" s="380" t="s">
        <v>768</v>
      </c>
      <c r="F18" s="380" t="s">
        <v>797</v>
      </c>
      <c r="G18" s="380" t="s">
        <v>798</v>
      </c>
      <c r="H18" s="380" t="s">
        <v>771</v>
      </c>
      <c r="I18" s="380" t="s">
        <v>799</v>
      </c>
      <c r="J18" s="380" t="s">
        <v>773</v>
      </c>
      <c r="K18" s="381">
        <v>0.0</v>
      </c>
      <c r="L18" s="382">
        <v>1.0</v>
      </c>
    </row>
    <row r="19">
      <c r="A19" s="380" t="s">
        <v>805</v>
      </c>
      <c r="B19" s="380" t="str">
        <f>IFERROR(__xludf.DUMMYFUNCTION("""COMPUTED_VALUE"""),"Ganchos Para Cosedora")</f>
        <v>Ganchos Para Cosedora</v>
      </c>
      <c r="C19" s="380" t="str">
        <f>IFERROR(__xludf.DUMMYFUNCTION("""COMPUTED_VALUE"""),"10000464")</f>
        <v>10000464</v>
      </c>
      <c r="D19" s="380" t="s">
        <v>767</v>
      </c>
      <c r="E19" s="380" t="s">
        <v>768</v>
      </c>
      <c r="F19" s="380" t="s">
        <v>797</v>
      </c>
      <c r="G19" s="380" t="s">
        <v>798</v>
      </c>
      <c r="H19" s="380" t="s">
        <v>771</v>
      </c>
      <c r="I19" s="380" t="s">
        <v>799</v>
      </c>
      <c r="J19" s="380" t="s">
        <v>773</v>
      </c>
      <c r="K19" s="381">
        <v>2835.0</v>
      </c>
      <c r="L19" s="382">
        <v>1.0</v>
      </c>
    </row>
    <row r="20">
      <c r="A20" s="380" t="s">
        <v>806</v>
      </c>
      <c r="B20" s="380" t="str">
        <f>IFERROR(__xludf.DUMMYFUNCTION("""COMPUTED_VALUE"""),"Chinches Plasticos X 12")</f>
        <v>Chinches Plasticos X 12</v>
      </c>
      <c r="C20" s="380" t="str">
        <f>IFERROR(__xludf.DUMMYFUNCTION("""COMPUTED_VALUE"""),"10000512")</f>
        <v>10000512</v>
      </c>
      <c r="D20" s="380" t="s">
        <v>767</v>
      </c>
      <c r="E20" s="380" t="s">
        <v>768</v>
      </c>
      <c r="F20" s="380" t="s">
        <v>797</v>
      </c>
      <c r="G20" s="380" t="s">
        <v>798</v>
      </c>
      <c r="H20" s="380" t="s">
        <v>771</v>
      </c>
      <c r="I20" s="380" t="s">
        <v>799</v>
      </c>
      <c r="J20" s="380" t="s">
        <v>773</v>
      </c>
      <c r="K20" s="381">
        <v>920.0</v>
      </c>
      <c r="L20" s="382">
        <v>1.0</v>
      </c>
    </row>
    <row r="21">
      <c r="A21" s="380" t="s">
        <v>807</v>
      </c>
      <c r="B21" s="380" t="str">
        <f>IFERROR(__xludf.DUMMYFUNCTION("""COMPUTED_VALUE"""),"Clips Std")</f>
        <v>Clips Std</v>
      </c>
      <c r="C21" s="380" t="str">
        <f>IFERROR(__xludf.DUMMYFUNCTION("""COMPUTED_VALUE"""),"10000549")</f>
        <v>10000549</v>
      </c>
      <c r="D21" s="380" t="s">
        <v>767</v>
      </c>
      <c r="E21" s="380" t="s">
        <v>768</v>
      </c>
      <c r="F21" s="380" t="s">
        <v>797</v>
      </c>
      <c r="G21" s="380" t="s">
        <v>798</v>
      </c>
      <c r="H21" s="380" t="s">
        <v>771</v>
      </c>
      <c r="I21" s="380" t="s">
        <v>799</v>
      </c>
      <c r="J21" s="380" t="s">
        <v>773</v>
      </c>
      <c r="K21" s="381">
        <v>791.0</v>
      </c>
      <c r="L21" s="382">
        <v>1.0</v>
      </c>
    </row>
    <row r="22">
      <c r="A22" s="380" t="s">
        <v>808</v>
      </c>
      <c r="B22" s="380" t="str">
        <f>IFERROR(__xludf.DUMMYFUNCTION("""COMPUTED_VALUE"""),"Aromaticas Hindu Frutales Surt")</f>
        <v>Aromaticas Hindu Frutales Surt</v>
      </c>
      <c r="C22" s="380" t="str">
        <f>IFERROR(__xludf.DUMMYFUNCTION("""COMPUTED_VALUE"""),"10000655")</f>
        <v>10000655</v>
      </c>
      <c r="D22" s="380" t="s">
        <v>767</v>
      </c>
      <c r="E22" s="380" t="s">
        <v>768</v>
      </c>
      <c r="F22" s="380" t="s">
        <v>769</v>
      </c>
      <c r="G22" s="380" t="s">
        <v>798</v>
      </c>
      <c r="H22" s="380" t="s">
        <v>771</v>
      </c>
      <c r="I22" s="380" t="s">
        <v>772</v>
      </c>
      <c r="J22" s="380" t="s">
        <v>773</v>
      </c>
      <c r="K22" s="381">
        <v>0.0</v>
      </c>
      <c r="L22" s="382">
        <v>1.0</v>
      </c>
    </row>
    <row r="23">
      <c r="A23" s="380" t="s">
        <v>809</v>
      </c>
      <c r="B23" s="380" t="str">
        <f>IFERROR(__xludf.DUMMYFUNCTION("""COMPUTED_VALUE"""),"Curitas Caja X 100")</f>
        <v>Curitas Caja X 100</v>
      </c>
      <c r="C23" s="380" t="str">
        <f>IFERROR(__xludf.DUMMYFUNCTION("""COMPUTED_VALUE"""),"30000877")</f>
        <v>30000877</v>
      </c>
      <c r="D23" s="380" t="s">
        <v>767</v>
      </c>
      <c r="E23" s="380" t="s">
        <v>810</v>
      </c>
      <c r="F23" s="380" t="s">
        <v>811</v>
      </c>
      <c r="G23" s="380" t="s">
        <v>798</v>
      </c>
      <c r="H23" s="380" t="s">
        <v>771</v>
      </c>
      <c r="I23" s="380" t="s">
        <v>812</v>
      </c>
      <c r="J23" s="380" t="s">
        <v>773</v>
      </c>
      <c r="K23" s="381">
        <v>0.0</v>
      </c>
      <c r="L23" s="382">
        <v>1.0</v>
      </c>
    </row>
    <row r="24">
      <c r="A24" s="380" t="s">
        <v>813</v>
      </c>
      <c r="B24" s="380" t="str">
        <f>IFERROR(__xludf.DUMMYFUNCTION("""COMPUTED_VALUE"""),"Tapabocas-Mascarilla Caja X 50")</f>
        <v>Tapabocas-Mascarilla Caja X 50</v>
      </c>
      <c r="C24" s="380" t="str">
        <f>IFERROR(__xludf.DUMMYFUNCTION("""COMPUTED_VALUE"""),"30000885")</f>
        <v>30000885</v>
      </c>
      <c r="D24" s="380" t="s">
        <v>767</v>
      </c>
      <c r="E24" s="380" t="s">
        <v>810</v>
      </c>
      <c r="F24" s="380" t="s">
        <v>811</v>
      </c>
      <c r="G24" s="380" t="s">
        <v>798</v>
      </c>
      <c r="H24" s="380" t="s">
        <v>771</v>
      </c>
      <c r="I24" s="380" t="s">
        <v>812</v>
      </c>
      <c r="J24" s="380" t="s">
        <v>773</v>
      </c>
      <c r="K24" s="381">
        <v>0.0</v>
      </c>
      <c r="L24" s="382">
        <v>1.0</v>
      </c>
    </row>
    <row r="25">
      <c r="A25" s="380" t="s">
        <v>814</v>
      </c>
      <c r="B25" s="380" t="str">
        <f>IFERROR(__xludf.DUMMYFUNCTION("""COMPUTED_VALUE"""),"Aplicadores Madera Largos X100")</f>
        <v>Aplicadores Madera Largos X100</v>
      </c>
      <c r="C25" s="380" t="str">
        <f>IFERROR(__xludf.DUMMYFUNCTION("""COMPUTED_VALUE"""),"30000907")</f>
        <v>30000907</v>
      </c>
      <c r="D25" s="380" t="s">
        <v>767</v>
      </c>
      <c r="E25" s="380" t="s">
        <v>810</v>
      </c>
      <c r="F25" s="380" t="s">
        <v>811</v>
      </c>
      <c r="G25" s="380" t="s">
        <v>798</v>
      </c>
      <c r="H25" s="380" t="s">
        <v>771</v>
      </c>
      <c r="I25" s="380" t="s">
        <v>812</v>
      </c>
      <c r="J25" s="380" t="s">
        <v>773</v>
      </c>
      <c r="K25" s="381">
        <v>0.0</v>
      </c>
      <c r="L25" s="382">
        <v>1.0</v>
      </c>
    </row>
    <row r="26">
      <c r="A26" s="380" t="s">
        <v>815</v>
      </c>
      <c r="B26" s="380" t="str">
        <f>IFERROR(__xludf.DUMMYFUNCTION("""COMPUTED_VALUE"""),"Cofias Caja X 100 Unidades")</f>
        <v>Cofias Caja X 100 Unidades</v>
      </c>
      <c r="C26" s="380" t="str">
        <f>IFERROR(__xludf.DUMMYFUNCTION("""COMPUTED_VALUE"""),"50001547")</f>
        <v>50001547</v>
      </c>
      <c r="D26" s="380" t="s">
        <v>767</v>
      </c>
      <c r="E26" s="380" t="s">
        <v>781</v>
      </c>
      <c r="F26" s="380" t="s">
        <v>816</v>
      </c>
      <c r="G26" s="380" t="s">
        <v>798</v>
      </c>
      <c r="H26" s="380" t="s">
        <v>771</v>
      </c>
      <c r="I26" s="380" t="s">
        <v>817</v>
      </c>
      <c r="J26" s="380" t="s">
        <v>773</v>
      </c>
      <c r="K26" s="381">
        <v>0.0</v>
      </c>
      <c r="L26" s="382">
        <v>1.0</v>
      </c>
    </row>
    <row r="27">
      <c r="A27" s="380" t="s">
        <v>818</v>
      </c>
      <c r="B27" s="380" t="str">
        <f>IFERROR(__xludf.DUMMYFUNCTION("""COMPUTED_VALUE"""),"Remache Pop Ciego Standar 250 3/16 X 3/4")</f>
        <v>Remache Pop Ciego Standar 250 3/16 X 3/4</v>
      </c>
      <c r="C27" s="380" t="str">
        <f>IFERROR(__xludf.DUMMYFUNCTION("""COMPUTED_VALUE"""),"50001865")</f>
        <v>50001865</v>
      </c>
      <c r="D27" s="380" t="s">
        <v>767</v>
      </c>
      <c r="E27" s="380" t="s">
        <v>781</v>
      </c>
      <c r="F27" s="380" t="s">
        <v>819</v>
      </c>
      <c r="G27" s="380" t="s">
        <v>798</v>
      </c>
      <c r="H27" s="380" t="s">
        <v>771</v>
      </c>
      <c r="I27" s="380" t="s">
        <v>817</v>
      </c>
      <c r="J27" s="380" t="s">
        <v>773</v>
      </c>
      <c r="K27" s="381">
        <v>0.0</v>
      </c>
      <c r="L27" s="382">
        <v>1.0</v>
      </c>
    </row>
    <row r="28">
      <c r="A28" s="380" t="s">
        <v>820</v>
      </c>
      <c r="B28" s="380" t="str">
        <f>IFERROR(__xludf.DUMMYFUNCTION("""COMPUTED_VALUE"""),"Kit Oring Metrico")</f>
        <v>Kit Oring Metrico</v>
      </c>
      <c r="C28" s="380" t="str">
        <f>IFERROR(__xludf.DUMMYFUNCTION("""COMPUTED_VALUE"""),"70003310")</f>
        <v>70003310</v>
      </c>
      <c r="D28" s="380" t="s">
        <v>767</v>
      </c>
      <c r="E28" s="380" t="s">
        <v>786</v>
      </c>
      <c r="F28" s="380" t="s">
        <v>787</v>
      </c>
      <c r="G28" s="380" t="s">
        <v>798</v>
      </c>
      <c r="H28" s="380" t="s">
        <v>771</v>
      </c>
      <c r="I28" s="380" t="s">
        <v>788</v>
      </c>
      <c r="J28" s="380" t="s">
        <v>773</v>
      </c>
      <c r="K28" s="381">
        <v>0.0</v>
      </c>
      <c r="L28" s="382">
        <v>1.0</v>
      </c>
    </row>
    <row r="29">
      <c r="A29" s="380" t="s">
        <v>821</v>
      </c>
      <c r="B29" s="380" t="str">
        <f>IFERROR(__xludf.DUMMYFUNCTION("""COMPUTED_VALUE"""),"Colbon X Galon")</f>
        <v>Colbon X Galon</v>
      </c>
      <c r="C29" s="380" t="str">
        <f>IFERROR(__xludf.DUMMYFUNCTION("""COMPUTED_VALUE"""),"10000265")</f>
        <v>10000265</v>
      </c>
      <c r="D29" s="380" t="s">
        <v>767</v>
      </c>
      <c r="E29" s="380" t="s">
        <v>768</v>
      </c>
      <c r="F29" s="380" t="s">
        <v>797</v>
      </c>
      <c r="G29" s="380" t="s">
        <v>822</v>
      </c>
      <c r="H29" s="380" t="s">
        <v>771</v>
      </c>
      <c r="I29" s="380" t="s">
        <v>799</v>
      </c>
      <c r="J29" s="380" t="s">
        <v>773</v>
      </c>
      <c r="K29" s="381">
        <v>0.0</v>
      </c>
      <c r="L29" s="382">
        <v>1.0</v>
      </c>
    </row>
    <row r="30">
      <c r="A30" s="380" t="s">
        <v>823</v>
      </c>
      <c r="B30" s="380" t="str">
        <f>IFERROR(__xludf.DUMMYFUNCTION("""COMPUTED_VALUE"""),"Alcohol Industrial Mayor Al 80")</f>
        <v>Alcohol Industrial Mayor Al 80</v>
      </c>
      <c r="C30" s="380" t="str">
        <f>IFERROR(__xludf.DUMMYFUNCTION("""COMPUTED_VALUE"""),"10000280")</f>
        <v>10000280</v>
      </c>
      <c r="D30" s="380" t="s">
        <v>767</v>
      </c>
      <c r="E30" s="380" t="s">
        <v>768</v>
      </c>
      <c r="F30" s="380" t="s">
        <v>769</v>
      </c>
      <c r="G30" s="380" t="s">
        <v>822</v>
      </c>
      <c r="H30" s="380" t="s">
        <v>771</v>
      </c>
      <c r="I30" s="380" t="s">
        <v>772</v>
      </c>
      <c r="J30" s="380" t="s">
        <v>773</v>
      </c>
      <c r="K30" s="381">
        <v>0.0</v>
      </c>
      <c r="L30" s="382">
        <v>1.0</v>
      </c>
    </row>
    <row r="31">
      <c r="A31" s="380" t="s">
        <v>824</v>
      </c>
      <c r="B31" s="380" t="str">
        <f>IFERROR(__xludf.DUMMYFUNCTION("""COMPUTED_VALUE"""),"Kit Desmanchador Vehiculo X 2")</f>
        <v>Kit Desmanchador Vehiculo X 2</v>
      </c>
      <c r="C31" s="380" t="str">
        <f>IFERROR(__xludf.DUMMYFUNCTION("""COMPUTED_VALUE"""),"10000447")</f>
        <v>10000447</v>
      </c>
      <c r="D31" s="380" t="s">
        <v>767</v>
      </c>
      <c r="E31" s="380" t="s">
        <v>768</v>
      </c>
      <c r="F31" s="380" t="s">
        <v>769</v>
      </c>
      <c r="G31" s="380" t="s">
        <v>822</v>
      </c>
      <c r="H31" s="380" t="s">
        <v>771</v>
      </c>
      <c r="I31" s="380" t="s">
        <v>772</v>
      </c>
      <c r="J31" s="380" t="s">
        <v>773</v>
      </c>
      <c r="K31" s="381">
        <v>259182.0</v>
      </c>
      <c r="L31" s="382">
        <v>1.0</v>
      </c>
    </row>
    <row r="32">
      <c r="A32" s="380" t="s">
        <v>825</v>
      </c>
      <c r="B32" s="380" t="str">
        <f>IFERROR(__xludf.DUMMYFUNCTION("""COMPUTED_VALUE"""),"Varsol 500 Ml No Gravado")</f>
        <v>Varsol 500 Ml No Gravado</v>
      </c>
      <c r="C32" s="380" t="str">
        <f>IFERROR(__xludf.DUMMYFUNCTION("""COMPUTED_VALUE"""),"10000499")</f>
        <v>10000499</v>
      </c>
      <c r="D32" s="380" t="s">
        <v>767</v>
      </c>
      <c r="E32" s="380" t="s">
        <v>768</v>
      </c>
      <c r="F32" s="380" t="s">
        <v>769</v>
      </c>
      <c r="G32" s="380" t="s">
        <v>822</v>
      </c>
      <c r="H32" s="380" t="s">
        <v>771</v>
      </c>
      <c r="I32" s="380" t="s">
        <v>772</v>
      </c>
      <c r="J32" s="380" t="s">
        <v>773</v>
      </c>
      <c r="K32" s="381">
        <v>0.0</v>
      </c>
      <c r="L32" s="382">
        <v>1.0</v>
      </c>
    </row>
    <row r="33">
      <c r="A33" s="380" t="s">
        <v>826</v>
      </c>
      <c r="B33" s="380" t="str">
        <f>IFERROR(__xludf.DUMMYFUNCTION("""COMPUTED_VALUE"""),"Shampoo Para Pisos Con Olor")</f>
        <v>Shampoo Para Pisos Con Olor</v>
      </c>
      <c r="C33" s="380" t="str">
        <f>IFERROR(__xludf.DUMMYFUNCTION("""COMPUTED_VALUE"""),"10000615")</f>
        <v>10000615</v>
      </c>
      <c r="D33" s="380" t="s">
        <v>767</v>
      </c>
      <c r="E33" s="380" t="s">
        <v>768</v>
      </c>
      <c r="F33" s="380" t="s">
        <v>769</v>
      </c>
      <c r="G33" s="380" t="s">
        <v>822</v>
      </c>
      <c r="H33" s="380" t="s">
        <v>771</v>
      </c>
      <c r="I33" s="380" t="s">
        <v>772</v>
      </c>
      <c r="J33" s="380" t="s">
        <v>773</v>
      </c>
      <c r="K33" s="381">
        <v>44030.0</v>
      </c>
      <c r="L33" s="382">
        <v>1.0</v>
      </c>
    </row>
    <row r="34">
      <c r="A34" s="380" t="s">
        <v>827</v>
      </c>
      <c r="B34" s="380" t="str">
        <f>IFERROR(__xludf.DUMMYFUNCTION("""COMPUTED_VALUE"""),"Varsol Gravado")</f>
        <v>Varsol Gravado</v>
      </c>
      <c r="C34" s="380" t="str">
        <f>IFERROR(__xludf.DUMMYFUNCTION("""COMPUTED_VALUE"""),"10000624")</f>
        <v>10000624</v>
      </c>
      <c r="D34" s="380" t="s">
        <v>767</v>
      </c>
      <c r="E34" s="380" t="s">
        <v>768</v>
      </c>
      <c r="F34" s="380" t="s">
        <v>769</v>
      </c>
      <c r="G34" s="380" t="s">
        <v>822</v>
      </c>
      <c r="H34" s="380" t="s">
        <v>771</v>
      </c>
      <c r="I34" s="380" t="s">
        <v>772</v>
      </c>
      <c r="J34" s="380" t="s">
        <v>773</v>
      </c>
      <c r="K34" s="381">
        <v>0.0</v>
      </c>
      <c r="L34" s="382">
        <v>1.0</v>
      </c>
    </row>
    <row r="35">
      <c r="A35" s="380" t="s">
        <v>828</v>
      </c>
      <c r="B35" s="380" t="str">
        <f>IFERROR(__xludf.DUMMYFUNCTION("""COMPUTED_VALUE"""),"Shampoo Desinfectante Industri")</f>
        <v>Shampoo Desinfectante Industri</v>
      </c>
      <c r="C35" s="380" t="str">
        <f>IFERROR(__xludf.DUMMYFUNCTION("""COMPUTED_VALUE"""),"10000794")</f>
        <v>10000794</v>
      </c>
      <c r="D35" s="380" t="s">
        <v>767</v>
      </c>
      <c r="E35" s="380" t="s">
        <v>768</v>
      </c>
      <c r="F35" s="380" t="s">
        <v>769</v>
      </c>
      <c r="G35" s="380" t="s">
        <v>822</v>
      </c>
      <c r="H35" s="380" t="s">
        <v>771</v>
      </c>
      <c r="I35" s="380" t="s">
        <v>772</v>
      </c>
      <c r="J35" s="380" t="s">
        <v>773</v>
      </c>
      <c r="K35" s="381">
        <v>0.0</v>
      </c>
      <c r="L35" s="382">
        <v>1.0</v>
      </c>
    </row>
    <row r="36">
      <c r="A36" s="380" t="s">
        <v>829</v>
      </c>
      <c r="B36" s="380" t="str">
        <f>IFERROR(__xludf.DUMMYFUNCTION("""COMPUTED_VALUE"""),"Thinner Corriente")</f>
        <v>Thinner Corriente</v>
      </c>
      <c r="C36" s="380" t="str">
        <f>IFERROR(__xludf.DUMMYFUNCTION("""COMPUTED_VALUE"""),"50000310")</f>
        <v>50000310</v>
      </c>
      <c r="D36" s="380" t="s">
        <v>767</v>
      </c>
      <c r="E36" s="380" t="s">
        <v>781</v>
      </c>
      <c r="F36" s="380" t="s">
        <v>830</v>
      </c>
      <c r="G36" s="380" t="s">
        <v>822</v>
      </c>
      <c r="H36" s="380" t="s">
        <v>771</v>
      </c>
      <c r="I36" s="380" t="s">
        <v>817</v>
      </c>
      <c r="J36" s="380" t="s">
        <v>773</v>
      </c>
      <c r="K36" s="381">
        <v>0.0</v>
      </c>
      <c r="L36" s="382">
        <v>1.0</v>
      </c>
    </row>
    <row r="37">
      <c r="A37" s="380" t="s">
        <v>831</v>
      </c>
      <c r="B37" s="380" t="str">
        <f>IFERROR(__xludf.DUMMYFUNCTION("""COMPUTED_VALUE"""),"Thinner Acrilico")</f>
        <v>Thinner Acrilico</v>
      </c>
      <c r="C37" s="380" t="str">
        <f>IFERROR(__xludf.DUMMYFUNCTION("""COMPUTED_VALUE"""),"50000311")</f>
        <v>50000311</v>
      </c>
      <c r="D37" s="380" t="s">
        <v>767</v>
      </c>
      <c r="E37" s="380" t="s">
        <v>781</v>
      </c>
      <c r="F37" s="380" t="s">
        <v>830</v>
      </c>
      <c r="G37" s="380" t="s">
        <v>822</v>
      </c>
      <c r="H37" s="380" t="s">
        <v>771</v>
      </c>
      <c r="I37" s="380" t="s">
        <v>817</v>
      </c>
      <c r="J37" s="380" t="s">
        <v>773</v>
      </c>
      <c r="K37" s="381">
        <v>0.0</v>
      </c>
      <c r="L37" s="382">
        <v>1.0</v>
      </c>
    </row>
    <row r="38">
      <c r="A38" s="380" t="s">
        <v>832</v>
      </c>
      <c r="B38" s="380" t="str">
        <f>IFERROR(__xludf.DUMMYFUNCTION("""COMPUTED_VALUE"""),"Refrigerante Fleetguard Motor X13")</f>
        <v>Refrigerante Fleetguard Motor X13</v>
      </c>
      <c r="C38" s="380" t="str">
        <f>IFERROR(__xludf.DUMMYFUNCTION("""COMPUTED_VALUE"""),"50001514")</f>
        <v>50001514</v>
      </c>
      <c r="D38" s="380" t="s">
        <v>767</v>
      </c>
      <c r="E38" s="380" t="s">
        <v>781</v>
      </c>
      <c r="F38" s="380" t="s">
        <v>833</v>
      </c>
      <c r="G38" s="380" t="s">
        <v>822</v>
      </c>
      <c r="H38" s="380" t="s">
        <v>771</v>
      </c>
      <c r="I38" s="380" t="s">
        <v>834</v>
      </c>
      <c r="J38" s="380" t="s">
        <v>773</v>
      </c>
      <c r="K38" s="381">
        <v>67964.0</v>
      </c>
      <c r="L38" s="382">
        <v>1.0</v>
      </c>
    </row>
    <row r="39">
      <c r="A39" s="380" t="s">
        <v>835</v>
      </c>
      <c r="B39" s="380" t="str">
        <f>IFERROR(__xludf.DUMMYFUNCTION("""COMPUTED_VALUE"""),"Peroxido De Hidrogeno Al 50% No Gravado")</f>
        <v>Peroxido De Hidrogeno Al 50% No Gravado</v>
      </c>
      <c r="C39" s="380" t="str">
        <f>IFERROR(__xludf.DUMMYFUNCTION("""COMPUTED_VALUE"""),"50001526")</f>
        <v>50001526</v>
      </c>
      <c r="D39" s="380" t="s">
        <v>767</v>
      </c>
      <c r="E39" s="380" t="s">
        <v>781</v>
      </c>
      <c r="F39" s="380" t="s">
        <v>816</v>
      </c>
      <c r="G39" s="380" t="s">
        <v>822</v>
      </c>
      <c r="H39" s="380" t="s">
        <v>771</v>
      </c>
      <c r="I39" s="380" t="s">
        <v>817</v>
      </c>
      <c r="J39" s="380" t="s">
        <v>773</v>
      </c>
      <c r="K39" s="381">
        <v>0.0</v>
      </c>
      <c r="L39" s="382">
        <v>1.0</v>
      </c>
    </row>
    <row r="40">
      <c r="A40" s="380" t="s">
        <v>836</v>
      </c>
      <c r="B40" s="380" t="str">
        <f>IFERROR(__xludf.DUMMYFUNCTION("""COMPUTED_VALUE"""),"Pintura Pintucoat Gris Y Catalizador")</f>
        <v>Pintura Pintucoat Gris Y Catalizador</v>
      </c>
      <c r="C40" s="380" t="str">
        <f>IFERROR(__xludf.DUMMYFUNCTION("""COMPUTED_VALUE"""),"50001552")</f>
        <v>50001552</v>
      </c>
      <c r="D40" s="380" t="s">
        <v>767</v>
      </c>
      <c r="E40" s="380" t="s">
        <v>781</v>
      </c>
      <c r="F40" s="380" t="s">
        <v>837</v>
      </c>
      <c r="G40" s="380" t="s">
        <v>822</v>
      </c>
      <c r="H40" s="380" t="s">
        <v>771</v>
      </c>
      <c r="I40" s="380" t="s">
        <v>817</v>
      </c>
      <c r="J40" s="380" t="s">
        <v>773</v>
      </c>
      <c r="K40" s="381">
        <v>0.0</v>
      </c>
      <c r="L40" s="382">
        <v>1.0</v>
      </c>
    </row>
    <row r="41">
      <c r="A41" s="380" t="s">
        <v>838</v>
      </c>
      <c r="B41" s="380" t="str">
        <f>IFERROR(__xludf.DUMMYFUNCTION("""COMPUTED_VALUE"""),"Disolvente D - 20 D-20")</f>
        <v>Disolvente D - 20 D-20</v>
      </c>
      <c r="C41" s="380" t="str">
        <f>IFERROR(__xludf.DUMMYFUNCTION("""COMPUTED_VALUE"""),"50001563")</f>
        <v>50001563</v>
      </c>
      <c r="D41" s="380" t="s">
        <v>767</v>
      </c>
      <c r="E41" s="380" t="s">
        <v>781</v>
      </c>
      <c r="F41" s="380" t="s">
        <v>837</v>
      </c>
      <c r="G41" s="380" t="s">
        <v>822</v>
      </c>
      <c r="H41" s="380" t="s">
        <v>771</v>
      </c>
      <c r="I41" s="380" t="s">
        <v>817</v>
      </c>
      <c r="J41" s="380" t="s">
        <v>773</v>
      </c>
      <c r="K41" s="381">
        <v>0.0</v>
      </c>
      <c r="L41" s="382">
        <v>1.0</v>
      </c>
    </row>
    <row r="42">
      <c r="A42" s="380" t="s">
        <v>839</v>
      </c>
      <c r="B42" s="380" t="str">
        <f>IFERROR(__xludf.DUMMYFUNCTION("""COMPUTED_VALUE"""),"Pintura Laca Blanca. 7519")</f>
        <v>Pintura Laca Blanca. 7519</v>
      </c>
      <c r="C42" s="380" t="str">
        <f>IFERROR(__xludf.DUMMYFUNCTION("""COMPUTED_VALUE"""),"50001565")</f>
        <v>50001565</v>
      </c>
      <c r="D42" s="380" t="s">
        <v>767</v>
      </c>
      <c r="E42" s="380" t="s">
        <v>781</v>
      </c>
      <c r="F42" s="380" t="s">
        <v>837</v>
      </c>
      <c r="G42" s="380" t="s">
        <v>822</v>
      </c>
      <c r="H42" s="380" t="s">
        <v>771</v>
      </c>
      <c r="I42" s="380" t="s">
        <v>817</v>
      </c>
      <c r="J42" s="380" t="s">
        <v>773</v>
      </c>
      <c r="K42" s="381">
        <v>132296.0</v>
      </c>
      <c r="L42" s="382">
        <v>1.0</v>
      </c>
    </row>
    <row r="43">
      <c r="A43" s="380" t="s">
        <v>840</v>
      </c>
      <c r="B43" s="380" t="str">
        <f>IFERROR(__xludf.DUMMYFUNCTION("""COMPUTED_VALUE"""),"Pintulaca Negro Brillante 7518")</f>
        <v>Pintulaca Negro Brillante 7518</v>
      </c>
      <c r="C43" s="380" t="str">
        <f>IFERROR(__xludf.DUMMYFUNCTION("""COMPUTED_VALUE"""),"50001568")</f>
        <v>50001568</v>
      </c>
      <c r="D43" s="380" t="s">
        <v>767</v>
      </c>
      <c r="E43" s="380" t="s">
        <v>781</v>
      </c>
      <c r="F43" s="380" t="s">
        <v>837</v>
      </c>
      <c r="G43" s="380" t="s">
        <v>822</v>
      </c>
      <c r="H43" s="380" t="s">
        <v>771</v>
      </c>
      <c r="I43" s="380" t="s">
        <v>817</v>
      </c>
      <c r="J43" s="380" t="s">
        <v>773</v>
      </c>
      <c r="K43" s="381">
        <v>120522.0</v>
      </c>
      <c r="L43" s="382">
        <v>1.0</v>
      </c>
    </row>
    <row r="44">
      <c r="A44" s="380" t="s">
        <v>841</v>
      </c>
      <c r="B44" s="380" t="str">
        <f>IFERROR(__xludf.DUMMYFUNCTION("""COMPUTED_VALUE"""),"Pintura Verde Oliva 513")</f>
        <v>Pintura Verde Oliva 513</v>
      </c>
      <c r="C44" s="380" t="str">
        <f>IFERROR(__xludf.DUMMYFUNCTION("""COMPUTED_VALUE"""),"50001570")</f>
        <v>50001570</v>
      </c>
      <c r="D44" s="380" t="s">
        <v>767</v>
      </c>
      <c r="E44" s="380" t="s">
        <v>781</v>
      </c>
      <c r="F44" s="380" t="s">
        <v>837</v>
      </c>
      <c r="G44" s="380" t="s">
        <v>822</v>
      </c>
      <c r="H44" s="380" t="s">
        <v>771</v>
      </c>
      <c r="I44" s="380" t="s">
        <v>817</v>
      </c>
      <c r="J44" s="380" t="s">
        <v>773</v>
      </c>
      <c r="K44" s="381">
        <v>124419.0</v>
      </c>
      <c r="L44" s="382">
        <v>1.0</v>
      </c>
    </row>
    <row r="45">
      <c r="A45" s="380" t="s">
        <v>842</v>
      </c>
      <c r="B45" s="380" t="str">
        <f>IFERROR(__xludf.DUMMYFUNCTION("""COMPUTED_VALUE"""),"Pintura Base Gris 1 K Rf 5010")</f>
        <v>Pintura Base Gris 1 K Rf 5010</v>
      </c>
      <c r="C45" s="380" t="str">
        <f>IFERROR(__xludf.DUMMYFUNCTION("""COMPUTED_VALUE"""),"50001571")</f>
        <v>50001571</v>
      </c>
      <c r="D45" s="380" t="s">
        <v>767</v>
      </c>
      <c r="E45" s="380" t="s">
        <v>781</v>
      </c>
      <c r="F45" s="380" t="s">
        <v>837</v>
      </c>
      <c r="G45" s="380" t="s">
        <v>822</v>
      </c>
      <c r="H45" s="380" t="s">
        <v>771</v>
      </c>
      <c r="I45" s="380" t="s">
        <v>817</v>
      </c>
      <c r="J45" s="380" t="s">
        <v>773</v>
      </c>
      <c r="K45" s="381">
        <v>134600.0</v>
      </c>
      <c r="L45" s="382">
        <v>1.0</v>
      </c>
    </row>
    <row r="46">
      <c r="A46" s="380" t="s">
        <v>843</v>
      </c>
      <c r="B46" s="380" t="str">
        <f>IFERROR(__xludf.DUMMYFUNCTION("""COMPUTED_VALUE"""),"Primer Fosfato Zinc Blanco 60 1250095631")</f>
        <v>Primer Fosfato Zinc Blanco 60 1250095631</v>
      </c>
      <c r="C46" s="380" t="str">
        <f>IFERROR(__xludf.DUMMYFUNCTION("""COMPUTED_VALUE"""),"50001573")</f>
        <v>50001573</v>
      </c>
      <c r="D46" s="380" t="s">
        <v>767</v>
      </c>
      <c r="E46" s="380" t="s">
        <v>781</v>
      </c>
      <c r="F46" s="380" t="s">
        <v>837</v>
      </c>
      <c r="G46" s="380" t="s">
        <v>822</v>
      </c>
      <c r="H46" s="380" t="s">
        <v>771</v>
      </c>
      <c r="I46" s="380" t="s">
        <v>817</v>
      </c>
      <c r="J46" s="380" t="s">
        <v>773</v>
      </c>
      <c r="K46" s="381">
        <v>0.0</v>
      </c>
      <c r="L46" s="382">
        <v>1.0</v>
      </c>
    </row>
    <row r="47">
      <c r="A47" s="380" t="s">
        <v>844</v>
      </c>
      <c r="B47" s="380" t="str">
        <f>IFERROR(__xludf.DUMMYFUNCTION("""COMPUTED_VALUE"""),"Uretano Gris U2 1250034194")</f>
        <v>Uretano Gris U2 1250034194</v>
      </c>
      <c r="C47" s="380" t="str">
        <f>IFERROR(__xludf.DUMMYFUNCTION("""COMPUTED_VALUE"""),"50001575")</f>
        <v>50001575</v>
      </c>
      <c r="D47" s="380" t="s">
        <v>767</v>
      </c>
      <c r="E47" s="380" t="s">
        <v>781</v>
      </c>
      <c r="F47" s="380" t="s">
        <v>837</v>
      </c>
      <c r="G47" s="380" t="s">
        <v>822</v>
      </c>
      <c r="H47" s="380" t="s">
        <v>771</v>
      </c>
      <c r="I47" s="380" t="s">
        <v>817</v>
      </c>
      <c r="J47" s="380" t="s">
        <v>773</v>
      </c>
      <c r="K47" s="381">
        <v>0.0</v>
      </c>
      <c r="L47" s="382">
        <v>1.0</v>
      </c>
    </row>
    <row r="48">
      <c r="A48" s="380" t="s">
        <v>845</v>
      </c>
      <c r="B48" s="380" t="str">
        <f>IFERROR(__xludf.DUMMYFUNCTION("""COMPUTED_VALUE"""),"Impermeabilizante Pintuoxido Pintuco 100")</f>
        <v>Impermeabilizante Pintuoxido Pintuco 100</v>
      </c>
      <c r="C48" s="380" t="str">
        <f>IFERROR(__xludf.DUMMYFUNCTION("""COMPUTED_VALUE"""),"50001579")</f>
        <v>50001579</v>
      </c>
      <c r="D48" s="380" t="s">
        <v>767</v>
      </c>
      <c r="E48" s="380" t="s">
        <v>781</v>
      </c>
      <c r="F48" s="380" t="s">
        <v>837</v>
      </c>
      <c r="G48" s="380" t="s">
        <v>822</v>
      </c>
      <c r="H48" s="380" t="s">
        <v>771</v>
      </c>
      <c r="I48" s="380" t="s">
        <v>817</v>
      </c>
      <c r="J48" s="380" t="s">
        <v>773</v>
      </c>
      <c r="K48" s="381">
        <v>0.0</v>
      </c>
      <c r="L48" s="382">
        <v>1.0</v>
      </c>
    </row>
    <row r="49">
      <c r="A49" s="380" t="s">
        <v>846</v>
      </c>
      <c r="B49" s="380" t="str">
        <f>IFERROR(__xludf.DUMMYFUNCTION("""COMPUTED_VALUE"""),"Pintura Pintura Amarillo Cr Mediano 7501")</f>
        <v>Pintura Pintura Amarillo Cr Mediano 7501</v>
      </c>
      <c r="C49" s="380" t="str">
        <f>IFERROR(__xludf.DUMMYFUNCTION("""COMPUTED_VALUE"""),"50001585")</f>
        <v>50001585</v>
      </c>
      <c r="D49" s="380" t="s">
        <v>767</v>
      </c>
      <c r="E49" s="380" t="s">
        <v>781</v>
      </c>
      <c r="F49" s="380" t="s">
        <v>837</v>
      </c>
      <c r="G49" s="380" t="s">
        <v>822</v>
      </c>
      <c r="H49" s="380" t="s">
        <v>771</v>
      </c>
      <c r="I49" s="380" t="s">
        <v>817</v>
      </c>
      <c r="J49" s="380" t="s">
        <v>773</v>
      </c>
      <c r="K49" s="381">
        <v>0.0</v>
      </c>
      <c r="L49" s="382">
        <v>1.0</v>
      </c>
    </row>
    <row r="50">
      <c r="A50" s="380" t="s">
        <v>847</v>
      </c>
      <c r="B50" s="380" t="str">
        <f>IFERROR(__xludf.DUMMYFUNCTION("""COMPUTED_VALUE"""),"Pintura Entonada Nkr Iii 113797-005")</f>
        <v>Pintura Entonada Nkr Iii 113797-005</v>
      </c>
      <c r="C50" s="380" t="str">
        <f>IFERROR(__xludf.DUMMYFUNCTION("""COMPUTED_VALUE"""),"50001591")</f>
        <v>50001591</v>
      </c>
      <c r="D50" s="380" t="s">
        <v>767</v>
      </c>
      <c r="E50" s="380" t="s">
        <v>781</v>
      </c>
      <c r="F50" s="380" t="s">
        <v>837</v>
      </c>
      <c r="G50" s="380" t="s">
        <v>822</v>
      </c>
      <c r="H50" s="380" t="s">
        <v>771</v>
      </c>
      <c r="I50" s="380" t="s">
        <v>817</v>
      </c>
      <c r="J50" s="380" t="s">
        <v>773</v>
      </c>
      <c r="K50" s="381">
        <v>0.0</v>
      </c>
      <c r="L50" s="382">
        <v>1.0</v>
      </c>
    </row>
    <row r="51">
      <c r="A51" s="380" t="s">
        <v>848</v>
      </c>
      <c r="B51" s="380" t="str">
        <f>IFERROR(__xludf.DUMMYFUNCTION("""COMPUTED_VALUE"""),"Pintura Aluminio Fino 7540")</f>
        <v>Pintura Aluminio Fino 7540</v>
      </c>
      <c r="C51" s="380" t="str">
        <f>IFERROR(__xludf.DUMMYFUNCTION("""COMPUTED_VALUE"""),"50001592")</f>
        <v>50001592</v>
      </c>
      <c r="D51" s="380" t="s">
        <v>767</v>
      </c>
      <c r="E51" s="380" t="s">
        <v>781</v>
      </c>
      <c r="F51" s="380" t="s">
        <v>837</v>
      </c>
      <c r="G51" s="380" t="s">
        <v>822</v>
      </c>
      <c r="H51" s="380" t="s">
        <v>771</v>
      </c>
      <c r="I51" s="380" t="s">
        <v>817</v>
      </c>
      <c r="J51" s="380" t="s">
        <v>773</v>
      </c>
      <c r="K51" s="381">
        <v>0.0</v>
      </c>
      <c r="L51" s="382">
        <v>1.0</v>
      </c>
    </row>
    <row r="52">
      <c r="A52" s="380" t="s">
        <v>849</v>
      </c>
      <c r="B52" s="380" t="str">
        <f>IFERROR(__xludf.DUMMYFUNCTION("""COMPUTED_VALUE"""),"Pintura Azul Oscuro Laca Ento 118950-04")</f>
        <v>Pintura Azul Oscuro Laca Ento 118950-04</v>
      </c>
      <c r="C52" s="380" t="str">
        <f>IFERROR(__xludf.DUMMYFUNCTION("""COMPUTED_VALUE"""),"50001594")</f>
        <v>50001594</v>
      </c>
      <c r="D52" s="380" t="s">
        <v>767</v>
      </c>
      <c r="E52" s="380" t="s">
        <v>781</v>
      </c>
      <c r="F52" s="380" t="s">
        <v>837</v>
      </c>
      <c r="G52" s="380" t="s">
        <v>822</v>
      </c>
      <c r="H52" s="380" t="s">
        <v>771</v>
      </c>
      <c r="I52" s="380" t="s">
        <v>817</v>
      </c>
      <c r="J52" s="380" t="s">
        <v>773</v>
      </c>
      <c r="K52" s="381">
        <v>0.0</v>
      </c>
      <c r="L52" s="382">
        <v>1.0</v>
      </c>
    </row>
    <row r="53">
      <c r="A53" s="380" t="s">
        <v>850</v>
      </c>
      <c r="B53" s="380" t="str">
        <f>IFERROR(__xludf.DUMMYFUNCTION("""COMPUTED_VALUE"""),"Pintura Acoat Blanca Bt100 6002bt1061")</f>
        <v>Pintura Acoat Blanca Bt100 6002bt1061</v>
      </c>
      <c r="C53" s="380" t="str">
        <f>IFERROR(__xludf.DUMMYFUNCTION("""COMPUTED_VALUE"""),"50001607")</f>
        <v>50001607</v>
      </c>
      <c r="D53" s="380" t="s">
        <v>767</v>
      </c>
      <c r="E53" s="380" t="s">
        <v>781</v>
      </c>
      <c r="F53" s="380" t="s">
        <v>837</v>
      </c>
      <c r="G53" s="380" t="s">
        <v>822</v>
      </c>
      <c r="H53" s="380" t="s">
        <v>771</v>
      </c>
      <c r="I53" s="380" t="s">
        <v>817</v>
      </c>
      <c r="J53" s="380" t="s">
        <v>773</v>
      </c>
      <c r="K53" s="381">
        <v>172260.0</v>
      </c>
      <c r="L53" s="382">
        <v>1.0</v>
      </c>
    </row>
    <row r="54">
      <c r="A54" s="380" t="s">
        <v>851</v>
      </c>
      <c r="B54" s="380" t="str">
        <f>IFERROR(__xludf.DUMMYFUNCTION("""COMPUTED_VALUE"""),"Pintura Primer Epoxica Bt331 6110033062")</f>
        <v>Pintura Primer Epoxica Bt331 6110033062</v>
      </c>
      <c r="C54" s="380" t="str">
        <f>IFERROR(__xludf.DUMMYFUNCTION("""COMPUTED_VALUE"""),"50001608")</f>
        <v>50001608</v>
      </c>
      <c r="D54" s="380" t="s">
        <v>767</v>
      </c>
      <c r="E54" s="380" t="s">
        <v>781</v>
      </c>
      <c r="F54" s="380" t="s">
        <v>837</v>
      </c>
      <c r="G54" s="380" t="s">
        <v>822</v>
      </c>
      <c r="H54" s="380" t="s">
        <v>771</v>
      </c>
      <c r="I54" s="380" t="s">
        <v>817</v>
      </c>
      <c r="J54" s="380" t="s">
        <v>773</v>
      </c>
      <c r="K54" s="381">
        <v>0.0</v>
      </c>
      <c r="L54" s="382">
        <v>1.0</v>
      </c>
    </row>
    <row r="55">
      <c r="A55" s="380" t="s">
        <v>852</v>
      </c>
      <c r="B55" s="380" t="str">
        <f>IFERROR(__xludf.DUMMYFUNCTION("""COMPUTED_VALUE"""),"Aditivo Refrigeran Rw 52067990")</f>
        <v>Aditivo Refrigeran Rw 52067990</v>
      </c>
      <c r="C55" s="380" t="str">
        <f>IFERROR(__xludf.DUMMYFUNCTION("""COMPUTED_VALUE"""),"50001614")</f>
        <v>50001614</v>
      </c>
      <c r="D55" s="380" t="s">
        <v>767</v>
      </c>
      <c r="E55" s="380" t="s">
        <v>781</v>
      </c>
      <c r="F55" s="380" t="s">
        <v>833</v>
      </c>
      <c r="G55" s="380" t="s">
        <v>822</v>
      </c>
      <c r="H55" s="380" t="s">
        <v>771</v>
      </c>
      <c r="I55" s="380" t="s">
        <v>834</v>
      </c>
      <c r="J55" s="380" t="s">
        <v>773</v>
      </c>
      <c r="K55" s="381">
        <v>52656.0</v>
      </c>
      <c r="L55" s="382">
        <v>1.0</v>
      </c>
    </row>
    <row r="56">
      <c r="A56" s="380" t="s">
        <v>853</v>
      </c>
      <c r="B56" s="380" t="str">
        <f>IFERROR(__xludf.DUMMYFUNCTION("""COMPUTED_VALUE"""),"Aceite Compresor T-30")</f>
        <v>Aceite Compresor T-30</v>
      </c>
      <c r="C56" s="380" t="str">
        <f>IFERROR(__xludf.DUMMYFUNCTION("""COMPUTED_VALUE"""),"50001616")</f>
        <v>50001616</v>
      </c>
      <c r="D56" s="380" t="s">
        <v>767</v>
      </c>
      <c r="E56" s="380" t="s">
        <v>781</v>
      </c>
      <c r="F56" s="380" t="s">
        <v>833</v>
      </c>
      <c r="G56" s="380" t="s">
        <v>822</v>
      </c>
      <c r="H56" s="380" t="s">
        <v>771</v>
      </c>
      <c r="I56" s="380" t="s">
        <v>834</v>
      </c>
      <c r="J56" s="380" t="s">
        <v>773</v>
      </c>
      <c r="K56" s="381">
        <v>0.0</v>
      </c>
      <c r="L56" s="382">
        <v>1.0</v>
      </c>
    </row>
    <row r="57">
      <c r="A57" s="380" t="s">
        <v>854</v>
      </c>
      <c r="B57" s="380" t="str">
        <f>IFERROR(__xludf.DUMMYFUNCTION("""COMPUTED_VALUE"""),"Aceite Varios")</f>
        <v>Aceite Varios</v>
      </c>
      <c r="C57" s="380" t="str">
        <f>IFERROR(__xludf.DUMMYFUNCTION("""COMPUTED_VALUE"""),"50001617")</f>
        <v>50001617</v>
      </c>
      <c r="D57" s="380" t="s">
        <v>767</v>
      </c>
      <c r="E57" s="380" t="s">
        <v>781</v>
      </c>
      <c r="F57" s="380" t="s">
        <v>833</v>
      </c>
      <c r="G57" s="380" t="s">
        <v>822</v>
      </c>
      <c r="H57" s="380" t="s">
        <v>771</v>
      </c>
      <c r="I57" s="380" t="s">
        <v>834</v>
      </c>
      <c r="J57" s="380" t="s">
        <v>773</v>
      </c>
      <c r="K57" s="381">
        <v>0.0</v>
      </c>
      <c r="L57" s="382">
        <v>1.0</v>
      </c>
    </row>
    <row r="58">
      <c r="A58" s="380" t="s">
        <v>855</v>
      </c>
      <c r="B58" s="380" t="str">
        <f>IFERROR(__xludf.DUMMYFUNCTION("""COMPUTED_VALUE"""),"Aceite Mobil 15 W 40 Mx Delvac")</f>
        <v>Aceite Mobil 15 W 40 Mx Delvac</v>
      </c>
      <c r="C58" s="380" t="str">
        <f>IFERROR(__xludf.DUMMYFUNCTION("""COMPUTED_VALUE"""),"50001618")</f>
        <v>50001618</v>
      </c>
      <c r="D58" s="380" t="s">
        <v>767</v>
      </c>
      <c r="E58" s="380" t="s">
        <v>781</v>
      </c>
      <c r="F58" s="380" t="s">
        <v>833</v>
      </c>
      <c r="G58" s="380" t="s">
        <v>822</v>
      </c>
      <c r="H58" s="380" t="s">
        <v>771</v>
      </c>
      <c r="I58" s="380" t="s">
        <v>834</v>
      </c>
      <c r="J58" s="380" t="s">
        <v>773</v>
      </c>
      <c r="K58" s="381">
        <v>33753.0</v>
      </c>
      <c r="L58" s="382">
        <v>1.0</v>
      </c>
    </row>
    <row r="59">
      <c r="A59" s="380" t="s">
        <v>856</v>
      </c>
      <c r="B59" s="380" t="str">
        <f>IFERROR(__xludf.DUMMYFUNCTION("""COMPUTED_VALUE"""),"Refrigerante Concentrado Fleetrite MOT X")</f>
        <v>Refrigerante Concentrado Fleetrite MOT X</v>
      </c>
      <c r="C59" s="380" t="str">
        <f>IFERROR(__xludf.DUMMYFUNCTION("""COMPUTED_VALUE"""),"50001619")</f>
        <v>50001619</v>
      </c>
      <c r="D59" s="380" t="s">
        <v>767</v>
      </c>
      <c r="E59" s="380" t="s">
        <v>781</v>
      </c>
      <c r="F59" s="380" t="s">
        <v>833</v>
      </c>
      <c r="G59" s="380" t="s">
        <v>822</v>
      </c>
      <c r="H59" s="380" t="s">
        <v>771</v>
      </c>
      <c r="I59" s="380" t="s">
        <v>834</v>
      </c>
      <c r="J59" s="380" t="s">
        <v>773</v>
      </c>
      <c r="K59" s="381">
        <v>67963.0</v>
      </c>
      <c r="L59" s="382">
        <v>1.0</v>
      </c>
    </row>
    <row r="60">
      <c r="A60" s="380" t="s">
        <v>857</v>
      </c>
      <c r="B60" s="380" t="str">
        <f>IFERROR(__xludf.DUMMYFUNCTION("""COMPUTED_VALUE"""),"Aceite Hidraulico Mobil Dte 26 Ultra")</f>
        <v>Aceite Hidraulico Mobil Dte 26 Ultra</v>
      </c>
      <c r="C60" s="380" t="str">
        <f>IFERROR(__xludf.DUMMYFUNCTION("""COMPUTED_VALUE"""),"50001627")</f>
        <v>50001627</v>
      </c>
      <c r="D60" s="380" t="s">
        <v>767</v>
      </c>
      <c r="E60" s="380" t="s">
        <v>781</v>
      </c>
      <c r="F60" s="380" t="s">
        <v>833</v>
      </c>
      <c r="G60" s="380" t="s">
        <v>822</v>
      </c>
      <c r="H60" s="380" t="s">
        <v>771</v>
      </c>
      <c r="I60" s="380" t="s">
        <v>834</v>
      </c>
      <c r="J60" s="380" t="s">
        <v>773</v>
      </c>
      <c r="K60" s="381">
        <v>41439.0</v>
      </c>
      <c r="L60" s="382">
        <v>1.0</v>
      </c>
    </row>
    <row r="61">
      <c r="A61" s="380" t="s">
        <v>858</v>
      </c>
      <c r="B61" s="380" t="str">
        <f>IFERROR(__xludf.DUMMYFUNCTION("""COMPUTED_VALUE"""),"Aceite Caja Mobil Delvac 1-Go 75w90 Syn")</f>
        <v>Aceite Caja Mobil Delvac 1-Go 75w90 Syn</v>
      </c>
      <c r="C61" s="380" t="str">
        <f>IFERROR(__xludf.DUMMYFUNCTION("""COMPUTED_VALUE"""),"50001629")</f>
        <v>50001629</v>
      </c>
      <c r="D61" s="380" t="s">
        <v>767</v>
      </c>
      <c r="E61" s="380" t="s">
        <v>781</v>
      </c>
      <c r="F61" s="380" t="s">
        <v>833</v>
      </c>
      <c r="G61" s="380" t="s">
        <v>822</v>
      </c>
      <c r="H61" s="380" t="s">
        <v>771</v>
      </c>
      <c r="I61" s="380" t="s">
        <v>834</v>
      </c>
      <c r="J61" s="380" t="s">
        <v>773</v>
      </c>
      <c r="K61" s="381">
        <v>150072.0</v>
      </c>
      <c r="L61" s="382">
        <v>1.0</v>
      </c>
    </row>
    <row r="62">
      <c r="A62" s="380" t="s">
        <v>859</v>
      </c>
      <c r="B62" s="380" t="str">
        <f>IFERROR(__xludf.DUMMYFUNCTION("""COMPUTED_VALUE"""),"Aceite MOT Mobil Delvac 15w40 - Ci4 Supe")</f>
        <v>Aceite MOT Mobil Delvac 15w40 - Ci4 Supe</v>
      </c>
      <c r="C62" s="380" t="str">
        <f>IFERROR(__xludf.DUMMYFUNCTION("""COMPUTED_VALUE"""),"50001630")</f>
        <v>50001630</v>
      </c>
      <c r="D62" s="380" t="s">
        <v>767</v>
      </c>
      <c r="E62" s="380" t="s">
        <v>781</v>
      </c>
      <c r="F62" s="380" t="s">
        <v>833</v>
      </c>
      <c r="G62" s="380" t="s">
        <v>822</v>
      </c>
      <c r="H62" s="380" t="s">
        <v>771</v>
      </c>
      <c r="I62" s="380" t="s">
        <v>834</v>
      </c>
      <c r="J62" s="380" t="s">
        <v>773</v>
      </c>
      <c r="K62" s="381">
        <v>43610.0</v>
      </c>
      <c r="L62" s="382">
        <v>1.0</v>
      </c>
    </row>
    <row r="63">
      <c r="A63" s="380" t="s">
        <v>860</v>
      </c>
      <c r="B63" s="380" t="str">
        <f>IFERROR(__xludf.DUMMYFUNCTION("""COMPUTED_VALUE"""),"Urea Liquido X Galon Interno A Granel")</f>
        <v>Urea Liquido X Galon Interno A Granel</v>
      </c>
      <c r="C63" s="380" t="str">
        <f>IFERROR(__xludf.DUMMYFUNCTION("""COMPUTED_VALUE"""),"50001632")</f>
        <v>50001632</v>
      </c>
      <c r="D63" s="380" t="s">
        <v>767</v>
      </c>
      <c r="E63" s="380" t="s">
        <v>781</v>
      </c>
      <c r="F63" s="380" t="s">
        <v>861</v>
      </c>
      <c r="G63" s="380" t="s">
        <v>822</v>
      </c>
      <c r="H63" s="380" t="s">
        <v>771</v>
      </c>
      <c r="I63" s="380" t="s">
        <v>834</v>
      </c>
      <c r="J63" s="380" t="s">
        <v>773</v>
      </c>
      <c r="K63" s="381">
        <v>11162.0</v>
      </c>
      <c r="L63" s="382">
        <v>1.0</v>
      </c>
    </row>
    <row r="64">
      <c r="A64" s="380" t="s">
        <v>862</v>
      </c>
      <c r="B64" s="380" t="str">
        <f>IFERROR(__xludf.DUMMYFUNCTION("""COMPUTED_VALUE"""),"Refrigerante Organico Radiox Premium 50-")</f>
        <v>Refrigerante Organico Radiox Premium 50-</v>
      </c>
      <c r="C64" s="380" t="str">
        <f>IFERROR(__xludf.DUMMYFUNCTION("""COMPUTED_VALUE"""),"50001638")</f>
        <v>50001638</v>
      </c>
      <c r="D64" s="380" t="s">
        <v>767</v>
      </c>
      <c r="E64" s="380" t="s">
        <v>781</v>
      </c>
      <c r="F64" s="380" t="s">
        <v>833</v>
      </c>
      <c r="G64" s="380" t="s">
        <v>822</v>
      </c>
      <c r="H64" s="380" t="s">
        <v>771</v>
      </c>
      <c r="I64" s="380" t="s">
        <v>834</v>
      </c>
      <c r="J64" s="380" t="s">
        <v>773</v>
      </c>
      <c r="K64" s="381">
        <v>66880.0</v>
      </c>
      <c r="L64" s="382">
        <v>1.0</v>
      </c>
    </row>
    <row r="65">
      <c r="A65" s="380" t="s">
        <v>863</v>
      </c>
      <c r="B65" s="380" t="str">
        <f>IFERROR(__xludf.DUMMYFUNCTION("""COMPUTED_VALUE"""),"Refrigerante 50/50 Motor Daf Trp-Ece5001")</f>
        <v>Refrigerante 50/50 Motor Daf Trp-Ece5001</v>
      </c>
      <c r="C65" s="380" t="str">
        <f>IFERROR(__xludf.DUMMYFUNCTION("""COMPUTED_VALUE"""),"50001640")</f>
        <v>50001640</v>
      </c>
      <c r="D65" s="380" t="s">
        <v>767</v>
      </c>
      <c r="E65" s="380" t="s">
        <v>781</v>
      </c>
      <c r="F65" s="380" t="s">
        <v>833</v>
      </c>
      <c r="G65" s="380" t="s">
        <v>822</v>
      </c>
      <c r="H65" s="380" t="s">
        <v>771</v>
      </c>
      <c r="I65" s="380" t="s">
        <v>834</v>
      </c>
      <c r="J65" s="380" t="s">
        <v>773</v>
      </c>
      <c r="K65" s="381">
        <v>55667.0</v>
      </c>
      <c r="L65" s="382">
        <v>1.0</v>
      </c>
    </row>
    <row r="66">
      <c r="A66" s="380" t="s">
        <v>864</v>
      </c>
      <c r="B66" s="380" t="str">
        <f>IFERROR(__xludf.DUMMYFUNCTION("""COMPUTED_VALUE"""),"Aceite Transmision Axle Total 75w140")</f>
        <v>Aceite Transmision Axle Total 75w140</v>
      </c>
      <c r="C66" s="380" t="str">
        <f>IFERROR(__xludf.DUMMYFUNCTION("""COMPUTED_VALUE"""),"50001647")</f>
        <v>50001647</v>
      </c>
      <c r="D66" s="380" t="s">
        <v>767</v>
      </c>
      <c r="E66" s="380" t="s">
        <v>781</v>
      </c>
      <c r="F66" s="380" t="s">
        <v>833</v>
      </c>
      <c r="G66" s="380" t="s">
        <v>822</v>
      </c>
      <c r="H66" s="380" t="s">
        <v>771</v>
      </c>
      <c r="I66" s="380" t="s">
        <v>834</v>
      </c>
      <c r="J66" s="380" t="s">
        <v>773</v>
      </c>
      <c r="K66" s="381">
        <v>156863.0</v>
      </c>
      <c r="L66" s="382">
        <v>1.0</v>
      </c>
    </row>
    <row r="67">
      <c r="A67" s="380" t="s">
        <v>865</v>
      </c>
      <c r="B67" s="380" t="str">
        <f>IFERROR(__xludf.DUMMYFUNCTION("""COMPUTED_VALUE"""),"Aceite Transmision Sae 75w80 Mack")</f>
        <v>Aceite Transmision Sae 75w80 Mack</v>
      </c>
      <c r="C67" s="380" t="str">
        <f>IFERROR(__xludf.DUMMYFUNCTION("""COMPUTED_VALUE"""),"50001652")</f>
        <v>50001652</v>
      </c>
      <c r="D67" s="380" t="s">
        <v>767</v>
      </c>
      <c r="E67" s="380" t="s">
        <v>781</v>
      </c>
      <c r="F67" s="380" t="s">
        <v>833</v>
      </c>
      <c r="G67" s="380" t="s">
        <v>822</v>
      </c>
      <c r="H67" s="380" t="s">
        <v>771</v>
      </c>
      <c r="I67" s="380" t="s">
        <v>834</v>
      </c>
      <c r="J67" s="380" t="s">
        <v>773</v>
      </c>
      <c r="K67" s="381">
        <v>0.0</v>
      </c>
      <c r="L67" s="382">
        <v>1.0</v>
      </c>
    </row>
    <row r="68">
      <c r="A68" s="380" t="s">
        <v>866</v>
      </c>
      <c r="B68" s="380" t="str">
        <f>IFERROR(__xludf.DUMMYFUNCTION("""COMPUTED_VALUE"""),"Aceite Hidraulico Mobil Nuto H 68")</f>
        <v>Aceite Hidraulico Mobil Nuto H 68</v>
      </c>
      <c r="C68" s="380" t="str">
        <f>IFERROR(__xludf.DUMMYFUNCTION("""COMPUTED_VALUE"""),"50001657")</f>
        <v>50001657</v>
      </c>
      <c r="D68" s="380" t="s">
        <v>767</v>
      </c>
      <c r="E68" s="380" t="s">
        <v>781</v>
      </c>
      <c r="F68" s="380" t="s">
        <v>833</v>
      </c>
      <c r="G68" s="380" t="s">
        <v>822</v>
      </c>
      <c r="H68" s="380" t="s">
        <v>771</v>
      </c>
      <c r="I68" s="380" t="s">
        <v>834</v>
      </c>
      <c r="J68" s="380" t="s">
        <v>773</v>
      </c>
      <c r="K68" s="381">
        <v>0.0</v>
      </c>
      <c r="L68" s="382">
        <v>1.0</v>
      </c>
    </row>
    <row r="69">
      <c r="A69" s="380" t="s">
        <v>867</v>
      </c>
      <c r="B69" s="380" t="str">
        <f>IFERROR(__xludf.DUMMYFUNCTION("""COMPUTED_VALUE"""),"Aceite De MOT Mobil Delvac 15w40 - Ck4 S")</f>
        <v>Aceite De MOT Mobil Delvac 15w40 - Ck4 S</v>
      </c>
      <c r="C69" s="380" t="str">
        <f>IFERROR(__xludf.DUMMYFUNCTION("""COMPUTED_VALUE"""),"50001658")</f>
        <v>50001658</v>
      </c>
      <c r="D69" s="380" t="s">
        <v>767</v>
      </c>
      <c r="E69" s="380" t="s">
        <v>781</v>
      </c>
      <c r="F69" s="380" t="s">
        <v>833</v>
      </c>
      <c r="G69" s="380" t="s">
        <v>822</v>
      </c>
      <c r="H69" s="380" t="s">
        <v>771</v>
      </c>
      <c r="I69" s="380" t="s">
        <v>834</v>
      </c>
      <c r="J69" s="380" t="s">
        <v>773</v>
      </c>
      <c r="K69" s="381">
        <v>45606.0</v>
      </c>
      <c r="L69" s="382">
        <v>1.0</v>
      </c>
    </row>
    <row r="70">
      <c r="A70" s="380" t="s">
        <v>868</v>
      </c>
      <c r="B70" s="380" t="str">
        <f>IFERROR(__xludf.DUMMYFUNCTION("""COMPUTED_VALUE"""),"Grasa Mobilux Ep2 181k Mobil")</f>
        <v>Grasa Mobilux Ep2 181k Mobil</v>
      </c>
      <c r="C70" s="380" t="str">
        <f>IFERROR(__xludf.DUMMYFUNCTION("""COMPUTED_VALUE"""),"50001659")</f>
        <v>50001659</v>
      </c>
      <c r="D70" s="380" t="s">
        <v>767</v>
      </c>
      <c r="E70" s="380" t="s">
        <v>781</v>
      </c>
      <c r="F70" s="380" t="s">
        <v>833</v>
      </c>
      <c r="G70" s="380" t="s">
        <v>822</v>
      </c>
      <c r="H70" s="380" t="s">
        <v>771</v>
      </c>
      <c r="I70" s="380" t="s">
        <v>834</v>
      </c>
      <c r="J70" s="380" t="s">
        <v>773</v>
      </c>
      <c r="K70" s="381">
        <v>26784.0</v>
      </c>
      <c r="L70" s="382">
        <v>1.0</v>
      </c>
    </row>
    <row r="71">
      <c r="A71" s="380" t="s">
        <v>869</v>
      </c>
      <c r="B71" s="380" t="str">
        <f>IFERROR(__xludf.DUMMYFUNCTION("""COMPUTED_VALUE"""),"Aceite Transmision Mobil Delvac 1-Go 80w")</f>
        <v>Aceite Transmision Mobil Delvac 1-Go 80w</v>
      </c>
      <c r="C71" s="380" t="str">
        <f>IFERROR(__xludf.DUMMYFUNCTION("""COMPUTED_VALUE"""),"50001660")</f>
        <v>50001660</v>
      </c>
      <c r="D71" s="380" t="s">
        <v>767</v>
      </c>
      <c r="E71" s="380" t="s">
        <v>781</v>
      </c>
      <c r="F71" s="380" t="s">
        <v>833</v>
      </c>
      <c r="G71" s="380" t="s">
        <v>822</v>
      </c>
      <c r="H71" s="380" t="s">
        <v>771</v>
      </c>
      <c r="I71" s="380" t="s">
        <v>834</v>
      </c>
      <c r="J71" s="380" t="s">
        <v>773</v>
      </c>
      <c r="K71" s="381">
        <v>150051.0</v>
      </c>
      <c r="L71" s="382">
        <v>1.0</v>
      </c>
    </row>
    <row r="72">
      <c r="A72" s="380" t="s">
        <v>870</v>
      </c>
      <c r="B72" s="380" t="str">
        <f>IFERROR(__xludf.DUMMYFUNCTION("""COMPUTED_VALUE"""),"Aceite Motor Rubia Tir 7400 15w40total")</f>
        <v>Aceite Motor Rubia Tir 7400 15w40total</v>
      </c>
      <c r="C72" s="380" t="str">
        <f>IFERROR(__xludf.DUMMYFUNCTION("""COMPUTED_VALUE"""),"50001664")</f>
        <v>50001664</v>
      </c>
      <c r="D72" s="380" t="s">
        <v>767</v>
      </c>
      <c r="E72" s="380" t="s">
        <v>781</v>
      </c>
      <c r="F72" s="380" t="s">
        <v>833</v>
      </c>
      <c r="G72" s="380" t="s">
        <v>822</v>
      </c>
      <c r="H72" s="380" t="s">
        <v>771</v>
      </c>
      <c r="I72" s="380" t="s">
        <v>834</v>
      </c>
      <c r="J72" s="380" t="s">
        <v>773</v>
      </c>
      <c r="K72" s="381">
        <v>0.0</v>
      </c>
      <c r="L72" s="382">
        <v>1.0</v>
      </c>
    </row>
    <row r="73">
      <c r="A73" s="380" t="s">
        <v>871</v>
      </c>
      <c r="B73" s="380" t="str">
        <f>IFERROR(__xludf.DUMMYFUNCTION("""COMPUTED_VALUE"""),"Aceite Caja Syn 75w90 Total")</f>
        <v>Aceite Caja Syn 75w90 Total</v>
      </c>
      <c r="C73" s="380" t="str">
        <f>IFERROR(__xludf.DUMMYFUNCTION("""COMPUTED_VALUE"""),"50001667")</f>
        <v>50001667</v>
      </c>
      <c r="D73" s="380" t="s">
        <v>767</v>
      </c>
      <c r="E73" s="380" t="s">
        <v>781</v>
      </c>
      <c r="F73" s="380" t="s">
        <v>833</v>
      </c>
      <c r="G73" s="380" t="s">
        <v>822</v>
      </c>
      <c r="H73" s="380" t="s">
        <v>771</v>
      </c>
      <c r="I73" s="380" t="s">
        <v>834</v>
      </c>
      <c r="J73" s="380" t="s">
        <v>773</v>
      </c>
      <c r="K73" s="381">
        <v>158328.0</v>
      </c>
      <c r="L73" s="382">
        <v>1.0</v>
      </c>
    </row>
    <row r="74">
      <c r="A74" s="380" t="s">
        <v>872</v>
      </c>
      <c r="B74" s="380" t="str">
        <f>IFERROR(__xludf.DUMMYFUNCTION("""COMPUTED_VALUE"""),"Aceite Caja Automa. Montacarga")</f>
        <v>Aceite Caja Automa. Montacarga</v>
      </c>
      <c r="C74" s="380" t="str">
        <f>IFERROR(__xludf.DUMMYFUNCTION("""COMPUTED_VALUE"""),"50001669")</f>
        <v>50001669</v>
      </c>
      <c r="D74" s="380" t="s">
        <v>767</v>
      </c>
      <c r="E74" s="380" t="s">
        <v>781</v>
      </c>
      <c r="F74" s="380" t="s">
        <v>833</v>
      </c>
      <c r="G74" s="380" t="s">
        <v>822</v>
      </c>
      <c r="H74" s="380" t="s">
        <v>771</v>
      </c>
      <c r="I74" s="380" t="s">
        <v>834</v>
      </c>
      <c r="J74" s="380" t="s">
        <v>773</v>
      </c>
      <c r="K74" s="381">
        <v>0.0</v>
      </c>
      <c r="L74" s="382">
        <v>1.0</v>
      </c>
    </row>
    <row r="75">
      <c r="A75" s="380" t="s">
        <v>873</v>
      </c>
      <c r="B75" s="380" t="str">
        <f>IFERROR(__xludf.DUMMYFUNCTION("""COMPUTED_VALUE"""),"Acei Aceite Hidraulicoazolla Zs 68 Total")</f>
        <v>Acei Aceite Hidraulicoazolla Zs 68 Total</v>
      </c>
      <c r="C75" s="380" t="str">
        <f>IFERROR(__xludf.DUMMYFUNCTION("""COMPUTED_VALUE"""),"50001674")</f>
        <v>50001674</v>
      </c>
      <c r="D75" s="380" t="s">
        <v>767</v>
      </c>
      <c r="E75" s="380" t="s">
        <v>781</v>
      </c>
      <c r="F75" s="380" t="s">
        <v>833</v>
      </c>
      <c r="G75" s="380" t="s">
        <v>822</v>
      </c>
      <c r="H75" s="380" t="s">
        <v>771</v>
      </c>
      <c r="I75" s="380" t="s">
        <v>834</v>
      </c>
      <c r="J75" s="380" t="s">
        <v>773</v>
      </c>
      <c r="K75" s="381">
        <v>0.0</v>
      </c>
      <c r="L75" s="382">
        <v>1.0</v>
      </c>
    </row>
    <row r="76">
      <c r="A76" s="380" t="s">
        <v>874</v>
      </c>
      <c r="B76" s="380" t="str">
        <f>IFERROR(__xludf.DUMMYFUNCTION("""COMPUTED_VALUE"""),"Acpm Interno")</f>
        <v>Acpm Interno</v>
      </c>
      <c r="C76" s="380" t="str">
        <f>IFERROR(__xludf.DUMMYFUNCTION("""COMPUTED_VALUE"""),"60000444")</f>
        <v>60000444</v>
      </c>
      <c r="D76" s="380" t="s">
        <v>767</v>
      </c>
      <c r="E76" s="380" t="s">
        <v>875</v>
      </c>
      <c r="F76" s="380" t="s">
        <v>861</v>
      </c>
      <c r="G76" s="380" t="s">
        <v>822</v>
      </c>
      <c r="H76" s="380" t="s">
        <v>771</v>
      </c>
      <c r="I76" s="380" t="s">
        <v>876</v>
      </c>
      <c r="J76" s="380" t="s">
        <v>773</v>
      </c>
      <c r="K76" s="381">
        <v>10421.0</v>
      </c>
      <c r="L76" s="382">
        <v>1.0</v>
      </c>
    </row>
    <row r="77">
      <c r="A77" s="380" t="s">
        <v>877</v>
      </c>
      <c r="B77" s="380" t="str">
        <f>IFERROR(__xludf.DUMMYFUNCTION("""COMPUTED_VALUE"""),"Acpm Interno Biocem 20% Prueba")</f>
        <v>Acpm Interno Biocem 20% Prueba</v>
      </c>
      <c r="C77" s="380" t="str">
        <f>IFERROR(__xludf.DUMMYFUNCTION("""COMPUTED_VALUE"""),"60000450")</f>
        <v>60000450</v>
      </c>
      <c r="D77" s="380" t="s">
        <v>767</v>
      </c>
      <c r="E77" s="380" t="s">
        <v>875</v>
      </c>
      <c r="F77" s="380" t="s">
        <v>861</v>
      </c>
      <c r="G77" s="380" t="s">
        <v>822</v>
      </c>
      <c r="H77" s="380" t="s">
        <v>771</v>
      </c>
      <c r="I77" s="380" t="s">
        <v>876</v>
      </c>
      <c r="J77" s="380" t="s">
        <v>773</v>
      </c>
      <c r="K77" s="381">
        <v>0.0</v>
      </c>
      <c r="L77" s="382">
        <v>1.0</v>
      </c>
    </row>
    <row r="78">
      <c r="A78" s="380" t="s">
        <v>878</v>
      </c>
      <c r="B78" s="380" t="str">
        <f>IFERROR(__xludf.DUMMYFUNCTION("""COMPUTED_VALUE"""),"Biocombustible B100")</f>
        <v>Biocombustible B100</v>
      </c>
      <c r="C78" s="380" t="str">
        <f>IFERROR(__xludf.DUMMYFUNCTION("""COMPUTED_VALUE"""),"60000451")</f>
        <v>60000451</v>
      </c>
      <c r="D78" s="380" t="s">
        <v>767</v>
      </c>
      <c r="E78" s="380" t="s">
        <v>875</v>
      </c>
      <c r="F78" s="380" t="s">
        <v>861</v>
      </c>
      <c r="G78" s="380" t="s">
        <v>822</v>
      </c>
      <c r="H78" s="380" t="s">
        <v>771</v>
      </c>
      <c r="I78" s="380" t="s">
        <v>876</v>
      </c>
      <c r="J78" s="380" t="s">
        <v>773</v>
      </c>
      <c r="K78" s="381">
        <v>1.0</v>
      </c>
      <c r="L78" s="382">
        <v>1.0</v>
      </c>
    </row>
    <row r="79">
      <c r="A79" s="380" t="s">
        <v>879</v>
      </c>
      <c r="B79" s="380" t="str">
        <f>IFERROR(__xludf.DUMMYFUNCTION("""COMPUTED_VALUE"""),"Biocombustible B40")</f>
        <v>Biocombustible B40</v>
      </c>
      <c r="C79" s="380" t="str">
        <f>IFERROR(__xludf.DUMMYFUNCTION("""COMPUTED_VALUE"""),"60000452")</f>
        <v>60000452</v>
      </c>
      <c r="D79" s="380" t="s">
        <v>767</v>
      </c>
      <c r="E79" s="380" t="s">
        <v>875</v>
      </c>
      <c r="F79" s="380" t="s">
        <v>861</v>
      </c>
      <c r="G79" s="380" t="s">
        <v>822</v>
      </c>
      <c r="H79" s="380" t="s">
        <v>771</v>
      </c>
      <c r="I79" s="380" t="s">
        <v>876</v>
      </c>
      <c r="J79" s="380" t="s">
        <v>773</v>
      </c>
      <c r="K79" s="381">
        <v>0.0</v>
      </c>
      <c r="L79" s="382">
        <v>1.0</v>
      </c>
    </row>
    <row r="80">
      <c r="A80" s="380" t="s">
        <v>880</v>
      </c>
      <c r="B80" s="380" t="str">
        <f>IFERROR(__xludf.DUMMYFUNCTION("""COMPUTED_VALUE"""),"Acpm Externo")</f>
        <v>Acpm Externo</v>
      </c>
      <c r="C80" s="380" t="str">
        <f>IFERROR(__xludf.DUMMYFUNCTION("""COMPUTED_VALUE"""),"60000454")</f>
        <v>60000454</v>
      </c>
      <c r="D80" s="380" t="s">
        <v>767</v>
      </c>
      <c r="E80" s="380" t="s">
        <v>875</v>
      </c>
      <c r="F80" s="380" t="s">
        <v>861</v>
      </c>
      <c r="G80" s="380" t="s">
        <v>822</v>
      </c>
      <c r="H80" s="380" t="s">
        <v>771</v>
      </c>
      <c r="I80" s="380" t="s">
        <v>876</v>
      </c>
      <c r="J80" s="380" t="s">
        <v>773</v>
      </c>
      <c r="K80" s="381">
        <v>0.0</v>
      </c>
      <c r="L80" s="382">
        <v>1.0</v>
      </c>
    </row>
    <row r="81">
      <c r="A81" s="380" t="s">
        <v>881</v>
      </c>
      <c r="B81" s="380" t="str">
        <f>IFERROR(__xludf.DUMMYFUNCTION("""COMPUTED_VALUE"""),"Acpm Ecologico Interno")</f>
        <v>Acpm Ecologico Interno</v>
      </c>
      <c r="C81" s="380" t="str">
        <f>IFERROR(__xludf.DUMMYFUNCTION("""COMPUTED_VALUE"""),"60000571")</f>
        <v>60000571</v>
      </c>
      <c r="D81" s="380" t="s">
        <v>767</v>
      </c>
      <c r="E81" s="380" t="s">
        <v>875</v>
      </c>
      <c r="F81" s="380" t="s">
        <v>861</v>
      </c>
      <c r="G81" s="380" t="s">
        <v>822</v>
      </c>
      <c r="H81" s="380" t="s">
        <v>771</v>
      </c>
      <c r="I81" s="380" t="s">
        <v>876</v>
      </c>
      <c r="J81" s="380" t="s">
        <v>773</v>
      </c>
      <c r="K81" s="381">
        <v>0.0</v>
      </c>
      <c r="L81" s="382">
        <v>1.0</v>
      </c>
    </row>
    <row r="82">
      <c r="A82" s="380" t="s">
        <v>882</v>
      </c>
      <c r="B82" s="380" t="str">
        <f>IFERROR(__xludf.DUMMYFUNCTION("""COMPUTED_VALUE"""),"Biocombustible B50")</f>
        <v>Biocombustible B50</v>
      </c>
      <c r="C82" s="380" t="str">
        <f>IFERROR(__xludf.DUMMYFUNCTION("""COMPUTED_VALUE"""),"60000625")</f>
        <v>60000625</v>
      </c>
      <c r="D82" s="380" t="s">
        <v>767</v>
      </c>
      <c r="E82" s="380" t="s">
        <v>875</v>
      </c>
      <c r="F82" s="380" t="s">
        <v>861</v>
      </c>
      <c r="G82" s="380" t="s">
        <v>822</v>
      </c>
      <c r="H82" s="380" t="s">
        <v>771</v>
      </c>
      <c r="I82" s="380" t="s">
        <v>876</v>
      </c>
      <c r="J82" s="380" t="s">
        <v>773</v>
      </c>
      <c r="K82" s="381">
        <v>0.0</v>
      </c>
      <c r="L82" s="382">
        <v>1.0</v>
      </c>
    </row>
    <row r="83">
      <c r="A83" s="380" t="s">
        <v>883</v>
      </c>
      <c r="B83" s="380" t="str">
        <f>IFERROR(__xludf.DUMMYFUNCTION("""COMPUTED_VALUE"""),"Pintura Azul Mediterraneo Rpl")</f>
        <v>Pintura Azul Mediterraneo Rpl</v>
      </c>
      <c r="C83" s="380" t="str">
        <f>IFERROR(__xludf.DUMMYFUNCTION("""COMPUTED_VALUE"""),"80000010")</f>
        <v>80000010</v>
      </c>
      <c r="D83" s="380" t="s">
        <v>767</v>
      </c>
      <c r="E83" s="380" t="s">
        <v>776</v>
      </c>
      <c r="F83" s="380" t="s">
        <v>777</v>
      </c>
      <c r="G83" s="380" t="s">
        <v>822</v>
      </c>
      <c r="H83" s="380" t="s">
        <v>771</v>
      </c>
      <c r="I83" s="380" t="s">
        <v>778</v>
      </c>
      <c r="J83" s="380" t="s">
        <v>773</v>
      </c>
      <c r="K83" s="381">
        <v>0.0</v>
      </c>
      <c r="L83" s="382">
        <v>1.0</v>
      </c>
    </row>
    <row r="84">
      <c r="A84" s="380" t="s">
        <v>884</v>
      </c>
      <c r="B84" s="380" t="str">
        <f>IFERROR(__xludf.DUMMYFUNCTION("""COMPUTED_VALUE"""),"Disolvente Xilol 0104")</f>
        <v>Disolvente Xilol 0104</v>
      </c>
      <c r="C84" s="380" t="str">
        <f>IFERROR(__xludf.DUMMYFUNCTION("""COMPUTED_VALUE"""),"80000015")</f>
        <v>80000015</v>
      </c>
      <c r="D84" s="380" t="s">
        <v>767</v>
      </c>
      <c r="E84" s="380" t="s">
        <v>776</v>
      </c>
      <c r="F84" s="380" t="s">
        <v>777</v>
      </c>
      <c r="G84" s="380" t="s">
        <v>822</v>
      </c>
      <c r="H84" s="380" t="s">
        <v>771</v>
      </c>
      <c r="I84" s="380" t="s">
        <v>778</v>
      </c>
      <c r="J84" s="380" t="s">
        <v>773</v>
      </c>
      <c r="K84" s="381">
        <v>0.0</v>
      </c>
      <c r="L84" s="382">
        <v>1.0</v>
      </c>
    </row>
    <row r="85">
      <c r="A85" s="380" t="s">
        <v>885</v>
      </c>
      <c r="B85" s="380" t="str">
        <f>IFERROR(__xludf.DUMMYFUNCTION("""COMPUTED_VALUE"""),"Pintura Demarcacion Amarillo")</f>
        <v>Pintura Demarcacion Amarillo</v>
      </c>
      <c r="C85" s="380" t="str">
        <f>IFERROR(__xludf.DUMMYFUNCTION("""COMPUTED_VALUE"""),"80000041")</f>
        <v>80000041</v>
      </c>
      <c r="D85" s="380" t="s">
        <v>767</v>
      </c>
      <c r="E85" s="380" t="s">
        <v>776</v>
      </c>
      <c r="F85" s="380" t="s">
        <v>777</v>
      </c>
      <c r="G85" s="380" t="s">
        <v>822</v>
      </c>
      <c r="H85" s="380" t="s">
        <v>771</v>
      </c>
      <c r="I85" s="380" t="s">
        <v>778</v>
      </c>
      <c r="J85" s="380" t="s">
        <v>773</v>
      </c>
      <c r="K85" s="381">
        <v>145756.0</v>
      </c>
      <c r="L85" s="382">
        <v>1.0</v>
      </c>
    </row>
    <row r="86">
      <c r="A86" s="380" t="s">
        <v>886</v>
      </c>
      <c r="B86" s="380" t="str">
        <f>IFERROR(__xludf.DUMMYFUNCTION("""COMPUTED_VALUE"""),"Pintura Gris Basalto Base Agua")</f>
        <v>Pintura Gris Basalto Base Agua</v>
      </c>
      <c r="C86" s="380" t="str">
        <f>IFERROR(__xludf.DUMMYFUNCTION("""COMPUTED_VALUE"""),"80000042")</f>
        <v>80000042</v>
      </c>
      <c r="D86" s="380" t="s">
        <v>767</v>
      </c>
      <c r="E86" s="380" t="s">
        <v>776</v>
      </c>
      <c r="F86" s="380" t="s">
        <v>777</v>
      </c>
      <c r="G86" s="380" t="s">
        <v>822</v>
      </c>
      <c r="H86" s="380" t="s">
        <v>771</v>
      </c>
      <c r="I86" s="380" t="s">
        <v>778</v>
      </c>
      <c r="J86" s="380" t="s">
        <v>773</v>
      </c>
      <c r="K86" s="381">
        <v>0.0</v>
      </c>
      <c r="L86" s="382">
        <v>1.0</v>
      </c>
    </row>
    <row r="87">
      <c r="A87" s="380" t="s">
        <v>887</v>
      </c>
      <c r="B87" s="380" t="str">
        <f>IFERROR(__xludf.DUMMYFUNCTION("""COMPUTED_VALUE"""),"Pintura Gris Plata Pintulux 84")</f>
        <v>Pintura Gris Plata Pintulux 84</v>
      </c>
      <c r="C87" s="380" t="str">
        <f>IFERROR(__xludf.DUMMYFUNCTION("""COMPUTED_VALUE"""),"80000048")</f>
        <v>80000048</v>
      </c>
      <c r="D87" s="380" t="s">
        <v>767</v>
      </c>
      <c r="E87" s="380" t="s">
        <v>776</v>
      </c>
      <c r="F87" s="380" t="s">
        <v>777</v>
      </c>
      <c r="G87" s="380" t="s">
        <v>822</v>
      </c>
      <c r="H87" s="380" t="s">
        <v>771</v>
      </c>
      <c r="I87" s="380" t="s">
        <v>778</v>
      </c>
      <c r="J87" s="380" t="s">
        <v>773</v>
      </c>
      <c r="K87" s="381">
        <v>107315.0</v>
      </c>
      <c r="L87" s="382">
        <v>1.0</v>
      </c>
    </row>
    <row r="88">
      <c r="A88" s="380" t="s">
        <v>888</v>
      </c>
      <c r="B88" s="380" t="str">
        <f>IFERROR(__xludf.DUMMYFUNCTION("""COMPUTED_VALUE"""),"Pintura Blanca Viniltex Interi")</f>
        <v>Pintura Blanca Viniltex Interi</v>
      </c>
      <c r="C88" s="380" t="str">
        <f>IFERROR(__xludf.DUMMYFUNCTION("""COMPUTED_VALUE"""),"80000051")</f>
        <v>80000051</v>
      </c>
      <c r="D88" s="380" t="s">
        <v>767</v>
      </c>
      <c r="E88" s="380" t="s">
        <v>776</v>
      </c>
      <c r="F88" s="380" t="s">
        <v>777</v>
      </c>
      <c r="G88" s="380" t="s">
        <v>822</v>
      </c>
      <c r="H88" s="380" t="s">
        <v>771</v>
      </c>
      <c r="I88" s="380" t="s">
        <v>778</v>
      </c>
      <c r="J88" s="380" t="s">
        <v>773</v>
      </c>
      <c r="K88" s="381">
        <v>93053.0</v>
      </c>
      <c r="L88" s="382">
        <v>1.0</v>
      </c>
    </row>
    <row r="89">
      <c r="A89" s="380" t="s">
        <v>889</v>
      </c>
      <c r="B89" s="380" t="str">
        <f>IFERROR(__xludf.DUMMYFUNCTION("""COMPUTED_VALUE"""),"Pintura Esmalte Gris Basalto")</f>
        <v>Pintura Esmalte Gris Basalto</v>
      </c>
      <c r="C89" s="380" t="str">
        <f>IFERROR(__xludf.DUMMYFUNCTION("""COMPUTED_VALUE"""),"80000096")</f>
        <v>80000096</v>
      </c>
      <c r="D89" s="380" t="s">
        <v>767</v>
      </c>
      <c r="E89" s="380" t="s">
        <v>776</v>
      </c>
      <c r="F89" s="380" t="s">
        <v>777</v>
      </c>
      <c r="G89" s="380" t="s">
        <v>822</v>
      </c>
      <c r="H89" s="380" t="s">
        <v>771</v>
      </c>
      <c r="I89" s="380" t="s">
        <v>778</v>
      </c>
      <c r="J89" s="380" t="s">
        <v>773</v>
      </c>
      <c r="K89" s="381">
        <v>0.0</v>
      </c>
      <c r="L89" s="382">
        <v>1.0</v>
      </c>
    </row>
    <row r="90">
      <c r="A90" s="380" t="s">
        <v>890</v>
      </c>
      <c r="B90" s="380" t="str">
        <f>IFERROR(__xludf.DUMMYFUNCTION("""COMPUTED_VALUE"""),"Pintura Pintulux Blanco Mate")</f>
        <v>Pintura Pintulux Blanco Mate</v>
      </c>
      <c r="C90" s="380" t="str">
        <f>IFERROR(__xludf.DUMMYFUNCTION("""COMPUTED_VALUE"""),"80000097")</f>
        <v>80000097</v>
      </c>
      <c r="D90" s="380" t="s">
        <v>767</v>
      </c>
      <c r="E90" s="380" t="s">
        <v>776</v>
      </c>
      <c r="F90" s="380" t="s">
        <v>777</v>
      </c>
      <c r="G90" s="380" t="s">
        <v>822</v>
      </c>
      <c r="H90" s="380" t="s">
        <v>771</v>
      </c>
      <c r="I90" s="380" t="s">
        <v>778</v>
      </c>
      <c r="J90" s="380" t="s">
        <v>773</v>
      </c>
      <c r="K90" s="381">
        <v>0.0</v>
      </c>
      <c r="L90" s="382">
        <v>1.0</v>
      </c>
    </row>
    <row r="91">
      <c r="A91" s="380" t="s">
        <v>891</v>
      </c>
      <c r="B91" s="380" t="str">
        <f>IFERROR(__xludf.DUMMYFUNCTION("""COMPUTED_VALUE"""),"Pintura Blanca A Base Aceite")</f>
        <v>Pintura Blanca A Base Aceite</v>
      </c>
      <c r="C91" s="380" t="str">
        <f>IFERROR(__xludf.DUMMYFUNCTION("""COMPUTED_VALUE"""),"80000110")</f>
        <v>80000110</v>
      </c>
      <c r="D91" s="380" t="s">
        <v>767</v>
      </c>
      <c r="E91" s="380" t="s">
        <v>776</v>
      </c>
      <c r="F91" s="380" t="s">
        <v>777</v>
      </c>
      <c r="G91" s="380" t="s">
        <v>822</v>
      </c>
      <c r="H91" s="380" t="s">
        <v>771</v>
      </c>
      <c r="I91" s="380" t="s">
        <v>778</v>
      </c>
      <c r="J91" s="380" t="s">
        <v>773</v>
      </c>
      <c r="K91" s="381">
        <v>0.0</v>
      </c>
      <c r="L91" s="382">
        <v>1.0</v>
      </c>
    </row>
    <row r="92">
      <c r="A92" s="380" t="s">
        <v>892</v>
      </c>
      <c r="B92" s="380" t="str">
        <f>IFERROR(__xludf.DUMMYFUNCTION("""COMPUTED_VALUE"""),"Pintura Koraza Gr Plata 127475")</f>
        <v>Pintura Koraza Gr Plata 127475</v>
      </c>
      <c r="C92" s="380" t="str">
        <f>IFERROR(__xludf.DUMMYFUNCTION("""COMPUTED_VALUE"""),"80000111")</f>
        <v>80000111</v>
      </c>
      <c r="D92" s="380" t="s">
        <v>767</v>
      </c>
      <c r="E92" s="380" t="s">
        <v>776</v>
      </c>
      <c r="F92" s="380" t="s">
        <v>777</v>
      </c>
      <c r="G92" s="380" t="s">
        <v>822</v>
      </c>
      <c r="H92" s="380" t="s">
        <v>771</v>
      </c>
      <c r="I92" s="380" t="s">
        <v>778</v>
      </c>
      <c r="J92" s="380" t="s">
        <v>773</v>
      </c>
      <c r="K92" s="381">
        <v>0.0</v>
      </c>
      <c r="L92" s="382">
        <v>1.0</v>
      </c>
    </row>
    <row r="93">
      <c r="A93" s="380" t="s">
        <v>893</v>
      </c>
      <c r="B93" s="380" t="str">
        <f>IFERROR(__xludf.DUMMYFUNCTION("""COMPUTED_VALUE"""),"Pintura Viniltex Blanco Almend")</f>
        <v>Pintura Viniltex Blanco Almend</v>
      </c>
      <c r="C93" s="380" t="str">
        <f>IFERROR(__xludf.DUMMYFUNCTION("""COMPUTED_VALUE"""),"80000118")</f>
        <v>80000118</v>
      </c>
      <c r="D93" s="380" t="s">
        <v>767</v>
      </c>
      <c r="E93" s="380" t="s">
        <v>776</v>
      </c>
      <c r="F93" s="380" t="s">
        <v>777</v>
      </c>
      <c r="G93" s="380" t="s">
        <v>822</v>
      </c>
      <c r="H93" s="380" t="s">
        <v>771</v>
      </c>
      <c r="I93" s="380" t="s">
        <v>778</v>
      </c>
      <c r="J93" s="380" t="s">
        <v>773</v>
      </c>
      <c r="K93" s="381">
        <v>0.0</v>
      </c>
      <c r="L93" s="382">
        <v>1.0</v>
      </c>
    </row>
    <row r="94">
      <c r="A94" s="380" t="s">
        <v>894</v>
      </c>
      <c r="B94" s="380" t="str">
        <f>IFERROR(__xludf.DUMMYFUNCTION("""COMPUTED_VALUE"""),"Esmalte Sintetico Tipo 1 Color")</f>
        <v>Esmalte Sintetico Tipo 1 Color</v>
      </c>
      <c r="C94" s="380" t="str">
        <f>IFERROR(__xludf.DUMMYFUNCTION("""COMPUTED_VALUE"""),"80000132")</f>
        <v>80000132</v>
      </c>
      <c r="D94" s="380" t="s">
        <v>767</v>
      </c>
      <c r="E94" s="380" t="s">
        <v>776</v>
      </c>
      <c r="F94" s="380" t="s">
        <v>777</v>
      </c>
      <c r="G94" s="380" t="s">
        <v>822</v>
      </c>
      <c r="H94" s="380" t="s">
        <v>771</v>
      </c>
      <c r="I94" s="380" t="s">
        <v>778</v>
      </c>
      <c r="J94" s="380" t="s">
        <v>773</v>
      </c>
      <c r="K94" s="381">
        <v>0.0</v>
      </c>
      <c r="L94" s="382">
        <v>1.0</v>
      </c>
    </row>
    <row r="95">
      <c r="A95" s="380" t="s">
        <v>895</v>
      </c>
      <c r="B95" s="380" t="str">
        <f>IFERROR(__xludf.DUMMYFUNCTION("""COMPUTED_VALUE"""),"Impermeabilizante Para Techo")</f>
        <v>Impermeabilizante Para Techo</v>
      </c>
      <c r="C95" s="380" t="str">
        <f>IFERROR(__xludf.DUMMYFUNCTION("""COMPUTED_VALUE"""),"80000776")</f>
        <v>80000776</v>
      </c>
      <c r="D95" s="380" t="s">
        <v>767</v>
      </c>
      <c r="E95" s="380" t="s">
        <v>776</v>
      </c>
      <c r="F95" s="380" t="s">
        <v>777</v>
      </c>
      <c r="G95" s="380" t="s">
        <v>822</v>
      </c>
      <c r="H95" s="380" t="s">
        <v>771</v>
      </c>
      <c r="I95" s="380" t="s">
        <v>778</v>
      </c>
      <c r="J95" s="380" t="s">
        <v>773</v>
      </c>
      <c r="K95" s="381">
        <v>0.0</v>
      </c>
      <c r="L95" s="382">
        <v>1.0</v>
      </c>
    </row>
    <row r="96">
      <c r="A96" s="380" t="s">
        <v>896</v>
      </c>
      <c r="B96" s="380" t="str">
        <f>IFERROR(__xludf.DUMMYFUNCTION("""COMPUTED_VALUE"""),"Pintura Koraza Blanca")</f>
        <v>Pintura Koraza Blanca</v>
      </c>
      <c r="C96" s="380" t="str">
        <f>IFERROR(__xludf.DUMMYFUNCTION("""COMPUTED_VALUE"""),"80000796")</f>
        <v>80000796</v>
      </c>
      <c r="D96" s="380" t="s">
        <v>767</v>
      </c>
      <c r="E96" s="380" t="s">
        <v>776</v>
      </c>
      <c r="F96" s="380" t="s">
        <v>777</v>
      </c>
      <c r="G96" s="380" t="s">
        <v>822</v>
      </c>
      <c r="H96" s="380" t="s">
        <v>771</v>
      </c>
      <c r="I96" s="380" t="s">
        <v>778</v>
      </c>
      <c r="J96" s="380" t="s">
        <v>773</v>
      </c>
      <c r="K96" s="381">
        <v>0.0</v>
      </c>
      <c r="L96" s="382">
        <v>1.0</v>
      </c>
    </row>
    <row r="97">
      <c r="A97" s="380" t="s">
        <v>897</v>
      </c>
      <c r="B97" s="380" t="str">
        <f>IFERROR(__xludf.DUMMYFUNCTION("""COMPUTED_VALUE"""),"Esmalte Domestico Blaco Interi")</f>
        <v>Esmalte Domestico Blaco Interi</v>
      </c>
      <c r="C97" s="380" t="str">
        <f>IFERROR(__xludf.DUMMYFUNCTION("""COMPUTED_VALUE"""),"80000804")</f>
        <v>80000804</v>
      </c>
      <c r="D97" s="380" t="s">
        <v>767</v>
      </c>
      <c r="E97" s="380" t="s">
        <v>776</v>
      </c>
      <c r="F97" s="380" t="s">
        <v>777</v>
      </c>
      <c r="G97" s="380" t="s">
        <v>822</v>
      </c>
      <c r="H97" s="380" t="s">
        <v>771</v>
      </c>
      <c r="I97" s="380" t="s">
        <v>778</v>
      </c>
      <c r="J97" s="380" t="s">
        <v>773</v>
      </c>
      <c r="K97" s="381">
        <v>107500.0</v>
      </c>
      <c r="L97" s="382">
        <v>1.0</v>
      </c>
    </row>
    <row r="98">
      <c r="A98" s="380" t="s">
        <v>898</v>
      </c>
      <c r="B98" s="380" t="str">
        <f>IFERROR(__xludf.DUMMYFUNCTION("""COMPUTED_VALUE"""),"Pintura Demarcacion Blanca 653 Blanca")</f>
        <v>Pintura Demarcacion Blanca 653 Blanca</v>
      </c>
      <c r="C98" s="380" t="str">
        <f>IFERROR(__xludf.DUMMYFUNCTION("""COMPUTED_VALUE"""),"80000806")</f>
        <v>80000806</v>
      </c>
      <c r="D98" s="380" t="s">
        <v>767</v>
      </c>
      <c r="E98" s="380" t="s">
        <v>776</v>
      </c>
      <c r="F98" s="380" t="s">
        <v>777</v>
      </c>
      <c r="G98" s="380" t="s">
        <v>822</v>
      </c>
      <c r="H98" s="380" t="s">
        <v>771</v>
      </c>
      <c r="I98" s="380" t="s">
        <v>778</v>
      </c>
      <c r="J98" s="380" t="s">
        <v>773</v>
      </c>
      <c r="K98" s="381">
        <v>174500.0</v>
      </c>
      <c r="L98" s="382">
        <v>1.0</v>
      </c>
    </row>
    <row r="99">
      <c r="A99" s="380" t="s">
        <v>899</v>
      </c>
      <c r="B99" s="380" t="str">
        <f>IFERROR(__xludf.DUMMYFUNCTION("""COMPUTED_VALUE"""),"Pintura Demarcacio Verde 13795")</f>
        <v>Pintura Demarcacio Verde 13795</v>
      </c>
      <c r="C99" s="380" t="str">
        <f>IFERROR(__xludf.DUMMYFUNCTION("""COMPUTED_VALUE"""),"80000828")</f>
        <v>80000828</v>
      </c>
      <c r="D99" s="380" t="s">
        <v>767</v>
      </c>
      <c r="E99" s="380" t="s">
        <v>776</v>
      </c>
      <c r="F99" s="380" t="s">
        <v>777</v>
      </c>
      <c r="G99" s="380" t="s">
        <v>822</v>
      </c>
      <c r="H99" s="380" t="s">
        <v>771</v>
      </c>
      <c r="I99" s="380" t="s">
        <v>778</v>
      </c>
      <c r="J99" s="380" t="s">
        <v>773</v>
      </c>
      <c r="K99" s="381">
        <v>0.0</v>
      </c>
      <c r="L99" s="382">
        <v>1.0</v>
      </c>
    </row>
    <row r="100">
      <c r="A100" s="380" t="s">
        <v>900</v>
      </c>
      <c r="B100" s="380" t="str">
        <f>IFERROR(__xludf.DUMMYFUNCTION("""COMPUTED_VALUE"""),"Pintura Epóxica 2K Gr Colpisa 1411010004")</f>
        <v>Pintura Epóxica 2K Gr Colpisa 1411010004</v>
      </c>
      <c r="C100" s="380" t="str">
        <f>IFERROR(__xludf.DUMMYFUNCTION("""COMPUTED_VALUE"""),"80000835")</f>
        <v>80000835</v>
      </c>
      <c r="D100" s="380" t="s">
        <v>767</v>
      </c>
      <c r="E100" s="380" t="s">
        <v>776</v>
      </c>
      <c r="F100" s="380" t="s">
        <v>777</v>
      </c>
      <c r="G100" s="380" t="s">
        <v>822</v>
      </c>
      <c r="H100" s="380" t="s">
        <v>771</v>
      </c>
      <c r="I100" s="380" t="s">
        <v>778</v>
      </c>
      <c r="J100" s="380" t="s">
        <v>773</v>
      </c>
      <c r="K100" s="381">
        <v>0.0</v>
      </c>
      <c r="L100" s="382">
        <v>1.0</v>
      </c>
    </row>
    <row r="101">
      <c r="A101" s="380" t="s">
        <v>901</v>
      </c>
      <c r="B101" s="380" t="str">
        <f>IFERROR(__xludf.DUMMYFUNCTION("""COMPUTED_VALUE"""),"Pintura Acril Demar Rojo 13881")</f>
        <v>Pintura Acril Demar Rojo 13881</v>
      </c>
      <c r="C101" s="380" t="str">
        <f>IFERROR(__xludf.DUMMYFUNCTION("""COMPUTED_VALUE"""),"80000837")</f>
        <v>80000837</v>
      </c>
      <c r="D101" s="380" t="s">
        <v>767</v>
      </c>
      <c r="E101" s="380" t="s">
        <v>776</v>
      </c>
      <c r="F101" s="380" t="s">
        <v>777</v>
      </c>
      <c r="G101" s="380" t="s">
        <v>822</v>
      </c>
      <c r="H101" s="380" t="s">
        <v>771</v>
      </c>
      <c r="I101" s="380" t="s">
        <v>778</v>
      </c>
      <c r="J101" s="380" t="s">
        <v>773</v>
      </c>
      <c r="K101" s="381">
        <v>236299.0</v>
      </c>
      <c r="L101" s="382">
        <v>1.0</v>
      </c>
    </row>
    <row r="102">
      <c r="A102" s="380" t="s">
        <v>902</v>
      </c>
      <c r="B102" s="380" t="str">
        <f>IFERROR(__xludf.DUMMYFUNCTION("""COMPUTED_VALUE"""),"Pintura Acril Demar Negr 13791")</f>
        <v>Pintura Acril Demar Negr 13791</v>
      </c>
      <c r="C102" s="380" t="str">
        <f>IFERROR(__xludf.DUMMYFUNCTION("""COMPUTED_VALUE"""),"80000838")</f>
        <v>80000838</v>
      </c>
      <c r="D102" s="380" t="s">
        <v>767</v>
      </c>
      <c r="E102" s="380" t="s">
        <v>776</v>
      </c>
      <c r="F102" s="380" t="s">
        <v>777</v>
      </c>
      <c r="G102" s="380" t="s">
        <v>822</v>
      </c>
      <c r="H102" s="380" t="s">
        <v>771</v>
      </c>
      <c r="I102" s="380" t="s">
        <v>778</v>
      </c>
      <c r="J102" s="380" t="s">
        <v>773</v>
      </c>
      <c r="K102" s="381">
        <v>0.0</v>
      </c>
      <c r="L102" s="382">
        <v>1.0</v>
      </c>
    </row>
    <row r="103">
      <c r="A103" s="380" t="s">
        <v>903</v>
      </c>
      <c r="B103" s="380" t="str">
        <f>IFERROR(__xludf.DUMMYFUNCTION("""COMPUTED_VALUE"""),"Hidroxicloruro De Aluminio Gf")</f>
        <v>Hidroxicloruro De Aluminio Gf</v>
      </c>
      <c r="C103" s="380" t="str">
        <f>IFERROR(__xludf.DUMMYFUNCTION("""COMPUTED_VALUE"""),"10000649")</f>
        <v>10000649</v>
      </c>
      <c r="D103" s="380" t="s">
        <v>767</v>
      </c>
      <c r="E103" s="380" t="s">
        <v>768</v>
      </c>
      <c r="F103" s="380" t="s">
        <v>769</v>
      </c>
      <c r="G103" s="380" t="s">
        <v>904</v>
      </c>
      <c r="H103" s="380" t="s">
        <v>771</v>
      </c>
      <c r="I103" s="380" t="s">
        <v>772</v>
      </c>
      <c r="J103" s="380" t="s">
        <v>773</v>
      </c>
      <c r="K103" s="381">
        <v>0.0</v>
      </c>
      <c r="L103" s="382">
        <v>1.0</v>
      </c>
    </row>
    <row r="104">
      <c r="A104" s="380" t="s">
        <v>905</v>
      </c>
      <c r="B104" s="380" t="str">
        <f>IFERROR(__xludf.DUMMYFUNCTION("""COMPUTED_VALUE"""),"Banda Caucho")</f>
        <v>Banda Caucho</v>
      </c>
      <c r="C104" s="380" t="str">
        <f>IFERROR(__xludf.DUMMYFUNCTION("""COMPUTED_VALUE"""),"10000870")</f>
        <v>10000870</v>
      </c>
      <c r="D104" s="380" t="s">
        <v>767</v>
      </c>
      <c r="E104" s="380" t="s">
        <v>768</v>
      </c>
      <c r="F104" s="380" t="s">
        <v>797</v>
      </c>
      <c r="G104" s="380" t="s">
        <v>904</v>
      </c>
      <c r="H104" s="380" t="s">
        <v>771</v>
      </c>
      <c r="I104" s="380" t="s">
        <v>799</v>
      </c>
      <c r="J104" s="380" t="s">
        <v>773</v>
      </c>
      <c r="K104" s="381">
        <v>13723.0</v>
      </c>
      <c r="L104" s="382">
        <v>1.0</v>
      </c>
    </row>
    <row r="105">
      <c r="A105" s="380" t="s">
        <v>906</v>
      </c>
      <c r="B105" s="380" t="str">
        <f>IFERROR(__xludf.DUMMYFUNCTION("""COMPUTED_VALUE"""),"Fibra De Tela Mat 450")</f>
        <v>Fibra De Tela Mat 450</v>
      </c>
      <c r="C105" s="380" t="str">
        <f>IFERROR(__xludf.DUMMYFUNCTION("""COMPUTED_VALUE"""),"50000204")</f>
        <v>50000204</v>
      </c>
      <c r="D105" s="380" t="s">
        <v>767</v>
      </c>
      <c r="E105" s="380" t="s">
        <v>781</v>
      </c>
      <c r="F105" s="380" t="s">
        <v>830</v>
      </c>
      <c r="G105" s="380" t="s">
        <v>904</v>
      </c>
      <c r="H105" s="380" t="s">
        <v>771</v>
      </c>
      <c r="I105" s="380" t="s">
        <v>817</v>
      </c>
      <c r="J105" s="380" t="s">
        <v>773</v>
      </c>
      <c r="K105" s="381">
        <v>16390.0</v>
      </c>
      <c r="L105" s="382">
        <v>1.0</v>
      </c>
    </row>
    <row r="106">
      <c r="A106" s="380" t="s">
        <v>907</v>
      </c>
      <c r="B106" s="380" t="str">
        <f>IFERROR(__xludf.DUMMYFUNCTION("""COMPUTED_VALUE"""),"Lamina Negra Lamina Negra C-16 (1.5 Mm)")</f>
        <v>Lamina Negra Lamina Negra C-16 (1.5 Mm)</v>
      </c>
      <c r="C106" s="380" t="str">
        <f>IFERROR(__xludf.DUMMYFUNCTION("""COMPUTED_VALUE"""),"50000370")</f>
        <v>50000370</v>
      </c>
      <c r="D106" s="380" t="s">
        <v>767</v>
      </c>
      <c r="E106" s="380" t="s">
        <v>781</v>
      </c>
      <c r="F106" s="380" t="s">
        <v>830</v>
      </c>
      <c r="G106" s="380" t="s">
        <v>904</v>
      </c>
      <c r="H106" s="380" t="s">
        <v>771</v>
      </c>
      <c r="I106" s="380" t="s">
        <v>817</v>
      </c>
      <c r="J106" s="380" t="s">
        <v>773</v>
      </c>
      <c r="K106" s="381">
        <v>0.0</v>
      </c>
      <c r="L106" s="382">
        <v>1.0</v>
      </c>
    </row>
    <row r="107">
      <c r="A107" s="380" t="s">
        <v>908</v>
      </c>
      <c r="B107" s="380" t="str">
        <f>IFERROR(__xludf.DUMMYFUNCTION("""COMPUTED_VALUE"""),"Lamina Alumi Lamina Aluminio 1.22 Cal 16")</f>
        <v>Lamina Alumi Lamina Aluminio 1.22 Cal 16</v>
      </c>
      <c r="C107" s="380" t="str">
        <f>IFERROR(__xludf.DUMMYFUNCTION("""COMPUTED_VALUE"""),"50000444")</f>
        <v>50000444</v>
      </c>
      <c r="D107" s="380" t="s">
        <v>767</v>
      </c>
      <c r="E107" s="380" t="s">
        <v>781</v>
      </c>
      <c r="F107" s="380" t="s">
        <v>830</v>
      </c>
      <c r="G107" s="380" t="s">
        <v>904</v>
      </c>
      <c r="H107" s="380" t="s">
        <v>771</v>
      </c>
      <c r="I107" s="380" t="s">
        <v>817</v>
      </c>
      <c r="J107" s="380" t="s">
        <v>773</v>
      </c>
      <c r="K107" s="381">
        <v>0.0</v>
      </c>
      <c r="L107" s="382">
        <v>1.0</v>
      </c>
    </row>
    <row r="108">
      <c r="A108" s="380" t="s">
        <v>909</v>
      </c>
      <c r="B108" s="380" t="str">
        <f>IFERROR(__xludf.DUMMYFUNCTION("""COMPUTED_VALUE"""),"Poliester 809")</f>
        <v>Poliester 809</v>
      </c>
      <c r="C108" s="380" t="str">
        <f>IFERROR(__xludf.DUMMYFUNCTION("""COMPUTED_VALUE"""),"50001508")</f>
        <v>50001508</v>
      </c>
      <c r="D108" s="380" t="s">
        <v>767</v>
      </c>
      <c r="E108" s="380" t="s">
        <v>781</v>
      </c>
      <c r="F108" s="380" t="s">
        <v>830</v>
      </c>
      <c r="G108" s="380" t="s">
        <v>904</v>
      </c>
      <c r="H108" s="380" t="s">
        <v>771</v>
      </c>
      <c r="I108" s="380" t="s">
        <v>817</v>
      </c>
      <c r="J108" s="380" t="s">
        <v>773</v>
      </c>
      <c r="K108" s="381">
        <v>18277.0</v>
      </c>
      <c r="L108" s="382">
        <v>1.0</v>
      </c>
    </row>
    <row r="109">
      <c r="A109" s="380" t="s">
        <v>910</v>
      </c>
      <c r="B109" s="380" t="str">
        <f>IFERROR(__xludf.DUMMYFUNCTION("""COMPUTED_VALUE"""),"Talco Industrial Piram")</f>
        <v>Talco Industrial Piram</v>
      </c>
      <c r="C109" s="380" t="str">
        <f>IFERROR(__xludf.DUMMYFUNCTION("""COMPUTED_VALUE"""),"50001509")</f>
        <v>50001509</v>
      </c>
      <c r="D109" s="380" t="s">
        <v>767</v>
      </c>
      <c r="E109" s="380" t="s">
        <v>781</v>
      </c>
      <c r="F109" s="380" t="s">
        <v>830</v>
      </c>
      <c r="G109" s="380" t="s">
        <v>904</v>
      </c>
      <c r="H109" s="380" t="s">
        <v>771</v>
      </c>
      <c r="I109" s="380" t="s">
        <v>817</v>
      </c>
      <c r="J109" s="380" t="s">
        <v>773</v>
      </c>
      <c r="K109" s="381">
        <v>2797.0</v>
      </c>
      <c r="L109" s="382">
        <v>1.0</v>
      </c>
    </row>
    <row r="110">
      <c r="A110" s="380" t="s">
        <v>911</v>
      </c>
      <c r="B110" s="380" t="str">
        <f>IFERROR(__xludf.DUMMYFUNCTION("""COMPUTED_VALUE"""),"Estireno Monometro")</f>
        <v>Estireno Monometro</v>
      </c>
      <c r="C110" s="380" t="str">
        <f>IFERROR(__xludf.DUMMYFUNCTION("""COMPUTED_VALUE"""),"50001533")</f>
        <v>50001533</v>
      </c>
      <c r="D110" s="380" t="s">
        <v>767</v>
      </c>
      <c r="E110" s="380" t="s">
        <v>781</v>
      </c>
      <c r="F110" s="380" t="s">
        <v>837</v>
      </c>
      <c r="G110" s="380" t="s">
        <v>904</v>
      </c>
      <c r="H110" s="380" t="s">
        <v>771</v>
      </c>
      <c r="I110" s="380" t="s">
        <v>817</v>
      </c>
      <c r="J110" s="380" t="s">
        <v>773</v>
      </c>
      <c r="K110" s="381">
        <v>18543.0</v>
      </c>
      <c r="L110" s="382">
        <v>1.0</v>
      </c>
    </row>
    <row r="111">
      <c r="A111" s="380" t="s">
        <v>912</v>
      </c>
      <c r="B111" s="380" t="str">
        <f>IFERROR(__xludf.DUMMYFUNCTION("""COMPUTED_VALUE"""),"Octoato De Cohalto 706")</f>
        <v>Octoato De Cohalto 706</v>
      </c>
      <c r="C111" s="380" t="str">
        <f>IFERROR(__xludf.DUMMYFUNCTION("""COMPUTED_VALUE"""),"50001559")</f>
        <v>50001559</v>
      </c>
      <c r="D111" s="380" t="s">
        <v>767</v>
      </c>
      <c r="E111" s="380" t="s">
        <v>781</v>
      </c>
      <c r="F111" s="380" t="s">
        <v>837</v>
      </c>
      <c r="G111" s="380" t="s">
        <v>904</v>
      </c>
      <c r="H111" s="380" t="s">
        <v>771</v>
      </c>
      <c r="I111" s="380" t="s">
        <v>817</v>
      </c>
      <c r="J111" s="380" t="s">
        <v>773</v>
      </c>
      <c r="K111" s="381">
        <v>95682.0</v>
      </c>
      <c r="L111" s="382">
        <v>1.0</v>
      </c>
    </row>
    <row r="112">
      <c r="A112" s="380" t="s">
        <v>913</v>
      </c>
      <c r="B112" s="380" t="str">
        <f>IFERROR(__xludf.DUMMYFUNCTION("""COMPUTED_VALUE"""),"Grasa Mobil Xhp222 Balde 16 Kg")</f>
        <v>Grasa Mobil Xhp222 Balde 16 Kg</v>
      </c>
      <c r="C112" s="380" t="str">
        <f>IFERROR(__xludf.DUMMYFUNCTION("""COMPUTED_VALUE"""),"50001613")</f>
        <v>50001613</v>
      </c>
      <c r="D112" s="380" t="s">
        <v>767</v>
      </c>
      <c r="E112" s="380" t="s">
        <v>781</v>
      </c>
      <c r="F112" s="380" t="s">
        <v>833</v>
      </c>
      <c r="G112" s="380" t="s">
        <v>904</v>
      </c>
      <c r="H112" s="380" t="s">
        <v>771</v>
      </c>
      <c r="I112" s="380" t="s">
        <v>834</v>
      </c>
      <c r="J112" s="380" t="s">
        <v>773</v>
      </c>
      <c r="K112" s="381">
        <v>33558.0</v>
      </c>
      <c r="L112" s="382">
        <v>1.0</v>
      </c>
    </row>
    <row r="113">
      <c r="A113" s="380" t="s">
        <v>914</v>
      </c>
      <c r="B113" s="380" t="str">
        <f>IFERROR(__xludf.DUMMYFUNCTION("""COMPUTED_VALUE"""),"Estopa Limpia")</f>
        <v>Estopa Limpia</v>
      </c>
      <c r="C113" s="380" t="str">
        <f>IFERROR(__xludf.DUMMYFUNCTION("""COMPUTED_VALUE"""),"50001702")</f>
        <v>50001702</v>
      </c>
      <c r="D113" s="380" t="s">
        <v>767</v>
      </c>
      <c r="E113" s="380" t="s">
        <v>781</v>
      </c>
      <c r="F113" s="380" t="s">
        <v>819</v>
      </c>
      <c r="G113" s="380" t="s">
        <v>904</v>
      </c>
      <c r="H113" s="380" t="s">
        <v>771</v>
      </c>
      <c r="I113" s="380" t="s">
        <v>817</v>
      </c>
      <c r="J113" s="380" t="s">
        <v>773</v>
      </c>
      <c r="K113" s="381">
        <v>0.0</v>
      </c>
      <c r="L113" s="382">
        <v>1.0</v>
      </c>
    </row>
    <row r="114">
      <c r="A114" s="380" t="s">
        <v>915</v>
      </c>
      <c r="B114" s="380" t="str">
        <f>IFERROR(__xludf.DUMMYFUNCTION("""COMPUTED_VALUE"""),"Alambre Galvanizado # 14")</f>
        <v>Alambre Galvanizado # 14</v>
      </c>
      <c r="C114" s="380" t="str">
        <f>IFERROR(__xludf.DUMMYFUNCTION("""COMPUTED_VALUE"""),"50001769")</f>
        <v>50001769</v>
      </c>
      <c r="D114" s="380" t="s">
        <v>767</v>
      </c>
      <c r="E114" s="380" t="s">
        <v>781</v>
      </c>
      <c r="F114" s="380" t="s">
        <v>819</v>
      </c>
      <c r="G114" s="380" t="s">
        <v>904</v>
      </c>
      <c r="H114" s="380" t="s">
        <v>771</v>
      </c>
      <c r="I114" s="380" t="s">
        <v>817</v>
      </c>
      <c r="J114" s="380" t="s">
        <v>773</v>
      </c>
      <c r="K114" s="381">
        <v>0.0</v>
      </c>
      <c r="L114" s="382">
        <v>1.0</v>
      </c>
    </row>
    <row r="115">
      <c r="A115" s="380" t="s">
        <v>916</v>
      </c>
      <c r="B115" s="380" t="str">
        <f>IFERROR(__xludf.DUMMYFUNCTION("""COMPUTED_VALUE"""),"Soldadura Sw Super 6013 De 1/8 6013 1/8""")</f>
        <v>Soldadura Sw Super 6013 De 1/8 6013 1/8"</v>
      </c>
      <c r="C115" s="380" t="str">
        <f>IFERROR(__xludf.DUMMYFUNCTION("""COMPUTED_VALUE"""),"50001804")</f>
        <v>50001804</v>
      </c>
      <c r="D115" s="380" t="s">
        <v>767</v>
      </c>
      <c r="E115" s="380" t="s">
        <v>781</v>
      </c>
      <c r="F115" s="380" t="s">
        <v>819</v>
      </c>
      <c r="G115" s="380" t="s">
        <v>904</v>
      </c>
      <c r="H115" s="380" t="s">
        <v>771</v>
      </c>
      <c r="I115" s="380" t="s">
        <v>817</v>
      </c>
      <c r="J115" s="380" t="s">
        <v>773</v>
      </c>
      <c r="K115" s="381">
        <v>0.0</v>
      </c>
      <c r="L115" s="382">
        <v>1.0</v>
      </c>
    </row>
    <row r="116">
      <c r="A116" s="380" t="s">
        <v>917</v>
      </c>
      <c r="B116" s="380" t="str">
        <f>IFERROR(__xludf.DUMMYFUNCTION("""COMPUTED_VALUE"""),"Soldadura Super Sw6013 De 3/3 6013 3/32""")</f>
        <v>Soldadura Super Sw6013 De 3/3 6013 3/32"</v>
      </c>
      <c r="C116" s="380" t="str">
        <f>IFERROR(__xludf.DUMMYFUNCTION("""COMPUTED_VALUE"""),"50001805")</f>
        <v>50001805</v>
      </c>
      <c r="D116" s="380" t="s">
        <v>767</v>
      </c>
      <c r="E116" s="380" t="s">
        <v>781</v>
      </c>
      <c r="F116" s="380" t="s">
        <v>819</v>
      </c>
      <c r="G116" s="380" t="s">
        <v>904</v>
      </c>
      <c r="H116" s="380" t="s">
        <v>771</v>
      </c>
      <c r="I116" s="380" t="s">
        <v>817</v>
      </c>
      <c r="J116" s="380" t="s">
        <v>773</v>
      </c>
      <c r="K116" s="381">
        <v>0.0</v>
      </c>
      <c r="L116" s="382">
        <v>1.0</v>
      </c>
    </row>
    <row r="117">
      <c r="A117" s="380" t="s">
        <v>918</v>
      </c>
      <c r="B117" s="380" t="str">
        <f>IFERROR(__xludf.DUMMYFUNCTION("""COMPUTED_VALUE"""),"Soldadura 6011 1/8""")</f>
        <v>Soldadura 6011 1/8"</v>
      </c>
      <c r="C117" s="380" t="str">
        <f>IFERROR(__xludf.DUMMYFUNCTION("""COMPUTED_VALUE"""),"50001806")</f>
        <v>50001806</v>
      </c>
      <c r="D117" s="380" t="s">
        <v>767</v>
      </c>
      <c r="E117" s="380" t="s">
        <v>781</v>
      </c>
      <c r="F117" s="380" t="s">
        <v>819</v>
      </c>
      <c r="G117" s="380" t="s">
        <v>904</v>
      </c>
      <c r="H117" s="380" t="s">
        <v>771</v>
      </c>
      <c r="I117" s="380" t="s">
        <v>817</v>
      </c>
      <c r="J117" s="380" t="s">
        <v>773</v>
      </c>
      <c r="K117" s="381">
        <v>20108.0</v>
      </c>
      <c r="L117" s="382">
        <v>1.0</v>
      </c>
    </row>
    <row r="118">
      <c r="A118" s="380" t="s">
        <v>919</v>
      </c>
      <c r="B118" s="380" t="str">
        <f>IFERROR(__xludf.DUMMYFUNCTION("""COMPUTED_VALUE"""),"Soldadura Whiz 18 7018 1/8""")</f>
        <v>Soldadura Whiz 18 7018 1/8"</v>
      </c>
      <c r="C118" s="380" t="str">
        <f>IFERROR(__xludf.DUMMYFUNCTION("""COMPUTED_VALUE"""),"50001814")</f>
        <v>50001814</v>
      </c>
      <c r="D118" s="380" t="s">
        <v>767</v>
      </c>
      <c r="E118" s="380" t="s">
        <v>781</v>
      </c>
      <c r="F118" s="380" t="s">
        <v>819</v>
      </c>
      <c r="G118" s="380" t="s">
        <v>904</v>
      </c>
      <c r="H118" s="380" t="s">
        <v>771</v>
      </c>
      <c r="I118" s="380" t="s">
        <v>817</v>
      </c>
      <c r="J118" s="380" t="s">
        <v>773</v>
      </c>
      <c r="K118" s="381">
        <v>20111.0</v>
      </c>
      <c r="L118" s="382">
        <v>1.0</v>
      </c>
    </row>
    <row r="119">
      <c r="A119" s="380" t="s">
        <v>920</v>
      </c>
      <c r="B119" s="380" t="str">
        <f>IFERROR(__xludf.DUMMYFUNCTION("""COMPUTED_VALUE"""),"Remache Aluminio Sol 3/16 X 1/2")</f>
        <v>Remache Aluminio Sol 3/16 X 1/2</v>
      </c>
      <c r="C119" s="380" t="str">
        <f>IFERROR(__xludf.DUMMYFUNCTION("""COMPUTED_VALUE"""),"50001848")</f>
        <v>50001848</v>
      </c>
      <c r="D119" s="380" t="s">
        <v>767</v>
      </c>
      <c r="E119" s="380" t="s">
        <v>781</v>
      </c>
      <c r="F119" s="380" t="s">
        <v>819</v>
      </c>
      <c r="G119" s="380" t="s">
        <v>904</v>
      </c>
      <c r="H119" s="380" t="s">
        <v>771</v>
      </c>
      <c r="I119" s="380" t="s">
        <v>817</v>
      </c>
      <c r="J119" s="380" t="s">
        <v>773</v>
      </c>
      <c r="K119" s="381">
        <v>152717.0</v>
      </c>
      <c r="L119" s="382">
        <v>1.0</v>
      </c>
    </row>
    <row r="120">
      <c r="A120" s="380" t="s">
        <v>921</v>
      </c>
      <c r="B120" s="380" t="str">
        <f>IFERROR(__xludf.DUMMYFUNCTION("""COMPUTED_VALUE"""),"Soldadura 6011 De 3/32")</f>
        <v>Soldadura 6011 De 3/32</v>
      </c>
      <c r="C120" s="380" t="str">
        <f>IFERROR(__xludf.DUMMYFUNCTION("""COMPUTED_VALUE"""),"50001879")</f>
        <v>50001879</v>
      </c>
      <c r="D120" s="380" t="s">
        <v>767</v>
      </c>
      <c r="E120" s="380" t="s">
        <v>781</v>
      </c>
      <c r="F120" s="380" t="s">
        <v>819</v>
      </c>
      <c r="G120" s="380" t="s">
        <v>904</v>
      </c>
      <c r="H120" s="380" t="s">
        <v>771</v>
      </c>
      <c r="I120" s="380" t="s">
        <v>817</v>
      </c>
      <c r="J120" s="380" t="s">
        <v>773</v>
      </c>
      <c r="K120" s="381">
        <v>0.0</v>
      </c>
      <c r="L120" s="382">
        <v>1.0</v>
      </c>
    </row>
    <row r="121">
      <c r="A121" s="380" t="s">
        <v>922</v>
      </c>
      <c r="B121" s="380" t="str">
        <f>IFERROR(__xludf.DUMMYFUNCTION("""COMPUTED_VALUE"""),"Grasa Mobil Xhp222 180 Kg")</f>
        <v>Grasa Mobil Xhp222 180 Kg</v>
      </c>
      <c r="C121" s="380" t="str">
        <f>IFERROR(__xludf.DUMMYFUNCTION("""COMPUTED_VALUE"""),"50001934")</f>
        <v>50001934</v>
      </c>
      <c r="D121" s="380" t="s">
        <v>767</v>
      </c>
      <c r="E121" s="380" t="s">
        <v>781</v>
      </c>
      <c r="F121" s="380" t="s">
        <v>833</v>
      </c>
      <c r="G121" s="380" t="s">
        <v>904</v>
      </c>
      <c r="H121" s="380" t="s">
        <v>771</v>
      </c>
      <c r="I121" s="380" t="s">
        <v>834</v>
      </c>
      <c r="J121" s="380" t="s">
        <v>773</v>
      </c>
      <c r="K121" s="381">
        <v>31714.0</v>
      </c>
      <c r="L121" s="382">
        <v>1.0</v>
      </c>
    </row>
    <row r="122">
      <c r="A122" s="380" t="s">
        <v>923</v>
      </c>
      <c r="B122" s="380" t="str">
        <f>IFERROR(__xludf.DUMMYFUNCTION("""COMPUTED_VALUE"""),"Carton Corrugado Rollo En Kilos")</f>
        <v>Carton Corrugado Rollo En Kilos</v>
      </c>
      <c r="C122" s="380" t="str">
        <f>IFERROR(__xludf.DUMMYFUNCTION("""COMPUTED_VALUE"""),"60000170")</f>
        <v>60000170</v>
      </c>
      <c r="D122" s="380" t="s">
        <v>767</v>
      </c>
      <c r="E122" s="380" t="s">
        <v>875</v>
      </c>
      <c r="F122" s="380" t="s">
        <v>924</v>
      </c>
      <c r="G122" s="380" t="s">
        <v>904</v>
      </c>
      <c r="H122" s="380" t="s">
        <v>771</v>
      </c>
      <c r="I122" s="380" t="s">
        <v>925</v>
      </c>
      <c r="J122" s="380" t="s">
        <v>773</v>
      </c>
      <c r="K122" s="381">
        <v>0.0</v>
      </c>
      <c r="L122" s="382">
        <v>1.0</v>
      </c>
    </row>
    <row r="123">
      <c r="A123" s="380" t="s">
        <v>926</v>
      </c>
      <c r="B123" s="380" t="str">
        <f>IFERROR(__xludf.DUMMYFUNCTION("""COMPUTED_VALUE"""),"Complemento Soporte Motor Del Kw K066404")</f>
        <v>Complemento Soporte Motor Del Kw K066404</v>
      </c>
      <c r="C123" s="380" t="str">
        <f>IFERROR(__xludf.DUMMYFUNCTION("""COMPUTED_VALUE"""),"70007419")</f>
        <v>70007419</v>
      </c>
      <c r="D123" s="380" t="s">
        <v>767</v>
      </c>
      <c r="E123" s="380" t="s">
        <v>786</v>
      </c>
      <c r="F123" s="380" t="s">
        <v>787</v>
      </c>
      <c r="G123" s="380" t="s">
        <v>904</v>
      </c>
      <c r="H123" s="380" t="s">
        <v>771</v>
      </c>
      <c r="I123" s="380" t="s">
        <v>788</v>
      </c>
      <c r="J123" s="380" t="s">
        <v>773</v>
      </c>
      <c r="K123" s="381">
        <v>0.0</v>
      </c>
      <c r="L123" s="382">
        <v>1.0</v>
      </c>
    </row>
    <row r="124">
      <c r="A124" s="380" t="s">
        <v>927</v>
      </c>
      <c r="B124" s="380" t="str">
        <f>IFERROR(__xludf.DUMMYFUNCTION("""COMPUTED_VALUE"""),"Carreta Bajo CJ EGL N14 Eaton 4300907")</f>
        <v>Carreta Bajo CJ EGL N14 Eaton 4300907</v>
      </c>
      <c r="C124" s="380" t="str">
        <f>IFERROR(__xludf.DUMMYFUNCTION("""COMPUTED_VALUE"""),"70007440")</f>
        <v>70007440</v>
      </c>
      <c r="D124" s="380" t="s">
        <v>767</v>
      </c>
      <c r="E124" s="380" t="s">
        <v>786</v>
      </c>
      <c r="F124" s="380" t="s">
        <v>928</v>
      </c>
      <c r="G124" s="380" t="s">
        <v>904</v>
      </c>
      <c r="H124" s="380" t="s">
        <v>771</v>
      </c>
      <c r="I124" s="380" t="s">
        <v>788</v>
      </c>
      <c r="J124" s="380" t="s">
        <v>773</v>
      </c>
      <c r="K124" s="381">
        <v>0.0</v>
      </c>
      <c r="L124" s="382">
        <v>1.0</v>
      </c>
    </row>
    <row r="125">
      <c r="A125" s="380" t="s">
        <v>929</v>
      </c>
      <c r="B125" s="380" t="str">
        <f>IFERROR(__xludf.DUMMYFUNCTION("""COMPUTED_VALUE"""),"Rejilla Mofle 10"" KW-Eagle K2132734")</f>
        <v>Rejilla Mofle 10" KW-Eagle K2132734</v>
      </c>
      <c r="C125" s="380" t="str">
        <f>IFERROR(__xludf.DUMMYFUNCTION("""COMPUTED_VALUE"""),"70007442")</f>
        <v>70007442</v>
      </c>
      <c r="D125" s="380" t="s">
        <v>767</v>
      </c>
      <c r="E125" s="380" t="s">
        <v>786</v>
      </c>
      <c r="F125" s="380" t="s">
        <v>792</v>
      </c>
      <c r="G125" s="380" t="s">
        <v>904</v>
      </c>
      <c r="H125" s="380" t="s">
        <v>771</v>
      </c>
      <c r="I125" s="380" t="s">
        <v>788</v>
      </c>
      <c r="J125" s="380" t="s">
        <v>773</v>
      </c>
      <c r="K125" s="381">
        <v>0.0</v>
      </c>
      <c r="L125" s="382">
        <v>1.0</v>
      </c>
    </row>
    <row r="126">
      <c r="A126" s="380" t="s">
        <v>930</v>
      </c>
      <c r="B126" s="380" t="str">
        <f>IFERROR(__xludf.DUMMYFUNCTION("""COMPUTED_VALUE"""),"Base Filtro Agua Eagle 427446c1")</f>
        <v>Base Filtro Agua Eagle 427446c1</v>
      </c>
      <c r="C126" s="380" t="str">
        <f>IFERROR(__xludf.DUMMYFUNCTION("""COMPUTED_VALUE"""),"70007499")</f>
        <v>70007499</v>
      </c>
      <c r="D126" s="380" t="s">
        <v>767</v>
      </c>
      <c r="E126" s="380" t="s">
        <v>786</v>
      </c>
      <c r="F126" s="380" t="s">
        <v>787</v>
      </c>
      <c r="G126" s="380" t="s">
        <v>904</v>
      </c>
      <c r="H126" s="380" t="s">
        <v>771</v>
      </c>
      <c r="I126" s="380" t="s">
        <v>788</v>
      </c>
      <c r="J126" s="380" t="s">
        <v>773</v>
      </c>
      <c r="K126" s="381">
        <v>0.0</v>
      </c>
      <c r="L126" s="382">
        <v>1.0</v>
      </c>
    </row>
    <row r="127">
      <c r="A127" s="380" t="s">
        <v>931</v>
      </c>
      <c r="B127" s="380" t="str">
        <f>IFERROR(__xludf.DUMMYFUNCTION("""COMPUTED_VALUE"""),"Estucor Por Kilo")</f>
        <v>Estucor Por Kilo</v>
      </c>
      <c r="C127" s="380" t="str">
        <f>IFERROR(__xludf.DUMMYFUNCTION("""COMPUTED_VALUE"""),"80000069")</f>
        <v>80000069</v>
      </c>
      <c r="D127" s="380" t="s">
        <v>767</v>
      </c>
      <c r="E127" s="380" t="s">
        <v>776</v>
      </c>
      <c r="F127" s="380" t="s">
        <v>777</v>
      </c>
      <c r="G127" s="380" t="s">
        <v>904</v>
      </c>
      <c r="H127" s="380" t="s">
        <v>771</v>
      </c>
      <c r="I127" s="380" t="s">
        <v>778</v>
      </c>
      <c r="J127" s="380" t="s">
        <v>773</v>
      </c>
      <c r="K127" s="381">
        <v>0.0</v>
      </c>
      <c r="L127" s="382">
        <v>1.0</v>
      </c>
    </row>
    <row r="128">
      <c r="A128" s="380" t="s">
        <v>932</v>
      </c>
      <c r="B128" s="380" t="str">
        <f>IFERROR(__xludf.DUMMYFUNCTION("""COMPUTED_VALUE"""),"Desengrasante Liquido")</f>
        <v>Desengrasante Liquido</v>
      </c>
      <c r="C128" s="380" t="str">
        <f>IFERROR(__xludf.DUMMYFUNCTION("""COMPUTED_VALUE"""),"10000504")</f>
        <v>10000504</v>
      </c>
      <c r="D128" s="380" t="s">
        <v>767</v>
      </c>
      <c r="E128" s="380" t="s">
        <v>768</v>
      </c>
      <c r="F128" s="380" t="s">
        <v>769</v>
      </c>
      <c r="G128" s="380" t="s">
        <v>933</v>
      </c>
      <c r="H128" s="380" t="s">
        <v>771</v>
      </c>
      <c r="I128" s="380" t="s">
        <v>772</v>
      </c>
      <c r="J128" s="380" t="s">
        <v>773</v>
      </c>
      <c r="K128" s="381">
        <v>4617.0</v>
      </c>
      <c r="L128" s="382">
        <v>1.0</v>
      </c>
    </row>
    <row r="129">
      <c r="A129" s="380" t="s">
        <v>934</v>
      </c>
      <c r="B129" s="380" t="str">
        <f>IFERROR(__xludf.DUMMYFUNCTION("""COMPUTED_VALUE"""),"Shampoo Industrial Tarena 60 L")</f>
        <v>Shampoo Industrial Tarena 60 L</v>
      </c>
      <c r="C129" s="380" t="str">
        <f>IFERROR(__xludf.DUMMYFUNCTION("""COMPUTED_VALUE"""),"10000796")</f>
        <v>10000796</v>
      </c>
      <c r="D129" s="380" t="s">
        <v>767</v>
      </c>
      <c r="E129" s="380" t="s">
        <v>768</v>
      </c>
      <c r="F129" s="380" t="s">
        <v>769</v>
      </c>
      <c r="G129" s="380" t="s">
        <v>933</v>
      </c>
      <c r="H129" s="380" t="s">
        <v>771</v>
      </c>
      <c r="I129" s="380" t="s">
        <v>772</v>
      </c>
      <c r="J129" s="380" t="s">
        <v>773</v>
      </c>
      <c r="K129" s="381">
        <v>5950.0</v>
      </c>
      <c r="L129" s="382">
        <v>1.0</v>
      </c>
    </row>
    <row r="130">
      <c r="A130" s="380" t="s">
        <v>935</v>
      </c>
      <c r="B130" s="380" t="str">
        <f>IFERROR(__xludf.DUMMYFUNCTION("""COMPUTED_VALUE"""),"Clavos Varios De Consumo Locat")</f>
        <v>Clavos Varios De Consumo Locat</v>
      </c>
      <c r="C130" s="380" t="str">
        <f>IFERROR(__xludf.DUMMYFUNCTION("""COMPUTED_VALUE"""),"80000070")</f>
        <v>80000070</v>
      </c>
      <c r="D130" s="380" t="s">
        <v>767</v>
      </c>
      <c r="E130" s="380" t="s">
        <v>776</v>
      </c>
      <c r="F130" s="380" t="s">
        <v>777</v>
      </c>
      <c r="G130" s="380" t="s">
        <v>936</v>
      </c>
      <c r="H130" s="380" t="s">
        <v>771</v>
      </c>
      <c r="I130" s="380" t="s">
        <v>778</v>
      </c>
      <c r="J130" s="380" t="s">
        <v>773</v>
      </c>
      <c r="K130" s="381">
        <v>0.0</v>
      </c>
      <c r="L130" s="382">
        <v>1.0</v>
      </c>
    </row>
    <row r="131">
      <c r="A131" s="380" t="s">
        <v>937</v>
      </c>
      <c r="B131" s="380" t="str">
        <f>IFERROR(__xludf.DUMMYFUNCTION("""COMPUTED_VALUE"""),"Manila Polipropileno 3/8 Carro")</f>
        <v>Manila Polipropileno 3/8 Carro</v>
      </c>
      <c r="C131" s="380" t="str">
        <f>IFERROR(__xludf.DUMMYFUNCTION("""COMPUTED_VALUE"""),"10000393")</f>
        <v>10000393</v>
      </c>
      <c r="D131" s="380" t="s">
        <v>767</v>
      </c>
      <c r="E131" s="380" t="s">
        <v>768</v>
      </c>
      <c r="F131" s="380" t="s">
        <v>797</v>
      </c>
      <c r="G131" s="380" t="s">
        <v>938</v>
      </c>
      <c r="H131" s="380" t="s">
        <v>771</v>
      </c>
      <c r="I131" s="380" t="s">
        <v>799</v>
      </c>
      <c r="J131" s="380" t="s">
        <v>773</v>
      </c>
      <c r="K131" s="381">
        <v>0.0</v>
      </c>
      <c r="L131" s="382">
        <v>1.0</v>
      </c>
    </row>
    <row r="132">
      <c r="A132" s="380" t="s">
        <v>939</v>
      </c>
      <c r="B132" s="380" t="str">
        <f>IFERROR(__xludf.DUMMYFUNCTION("""COMPUTED_VALUE"""),"Manila Polipropileno 1/4 Carre")</f>
        <v>Manila Polipropileno 1/4 Carre</v>
      </c>
      <c r="C132" s="380" t="str">
        <f>IFERROR(__xludf.DUMMYFUNCTION("""COMPUTED_VALUE"""),"10000395")</f>
        <v>10000395</v>
      </c>
      <c r="D132" s="380" t="s">
        <v>767</v>
      </c>
      <c r="E132" s="380" t="s">
        <v>768</v>
      </c>
      <c r="F132" s="380" t="s">
        <v>797</v>
      </c>
      <c r="G132" s="380" t="s">
        <v>938</v>
      </c>
      <c r="H132" s="380" t="s">
        <v>771</v>
      </c>
      <c r="I132" s="380" t="s">
        <v>799</v>
      </c>
      <c r="J132" s="380" t="s">
        <v>773</v>
      </c>
      <c r="K132" s="381">
        <v>1000.0</v>
      </c>
      <c r="L132" s="382">
        <v>1.0</v>
      </c>
    </row>
    <row r="133">
      <c r="A133" s="380" t="s">
        <v>940</v>
      </c>
      <c r="B133" s="380" t="str">
        <f>IFERROR(__xludf.DUMMYFUNCTION("""COMPUTED_VALUE"""),"Manila Polipropileno De 1""")</f>
        <v>Manila Polipropileno De 1"</v>
      </c>
      <c r="C133" s="380" t="str">
        <f>IFERROR(__xludf.DUMMYFUNCTION("""COMPUTED_VALUE"""),"10000438")</f>
        <v>10000438</v>
      </c>
      <c r="D133" s="380" t="s">
        <v>767</v>
      </c>
      <c r="E133" s="380" t="s">
        <v>768</v>
      </c>
      <c r="F133" s="380" t="s">
        <v>797</v>
      </c>
      <c r="G133" s="380" t="s">
        <v>938</v>
      </c>
      <c r="H133" s="380" t="s">
        <v>771</v>
      </c>
      <c r="I133" s="380" t="s">
        <v>799</v>
      </c>
      <c r="J133" s="380" t="s">
        <v>773</v>
      </c>
      <c r="K133" s="381">
        <v>0.0</v>
      </c>
      <c r="L133" s="382">
        <v>1.0</v>
      </c>
    </row>
    <row r="134">
      <c r="A134" s="380" t="s">
        <v>941</v>
      </c>
      <c r="B134" s="380" t="str">
        <f>IFERROR(__xludf.DUMMYFUNCTION("""COMPUTED_VALUE"""),"Dulce Abrigo Blanco")</f>
        <v>Dulce Abrigo Blanco</v>
      </c>
      <c r="C134" s="380" t="str">
        <f>IFERROR(__xludf.DUMMYFUNCTION("""COMPUTED_VALUE"""),"10000505")</f>
        <v>10000505</v>
      </c>
      <c r="D134" s="380" t="s">
        <v>767</v>
      </c>
      <c r="E134" s="380" t="s">
        <v>768</v>
      </c>
      <c r="F134" s="380" t="s">
        <v>769</v>
      </c>
      <c r="G134" s="380" t="s">
        <v>938</v>
      </c>
      <c r="H134" s="380" t="s">
        <v>771</v>
      </c>
      <c r="I134" s="380" t="s">
        <v>772</v>
      </c>
      <c r="J134" s="380" t="s">
        <v>773</v>
      </c>
      <c r="K134" s="381">
        <v>3577.0</v>
      </c>
      <c r="L134" s="382">
        <v>1.0</v>
      </c>
    </row>
    <row r="135">
      <c r="A135" s="380" t="s">
        <v>942</v>
      </c>
      <c r="B135" s="380" t="str">
        <f>IFERROR(__xludf.DUMMYFUNCTION("""COMPUTED_VALUE"""),"Dulce Abrigo Rojo")</f>
        <v>Dulce Abrigo Rojo</v>
      </c>
      <c r="C135" s="380" t="str">
        <f>IFERROR(__xludf.DUMMYFUNCTION("""COMPUTED_VALUE"""),"10000506")</f>
        <v>10000506</v>
      </c>
      <c r="D135" s="380" t="s">
        <v>767</v>
      </c>
      <c r="E135" s="380" t="s">
        <v>768</v>
      </c>
      <c r="F135" s="380" t="s">
        <v>769</v>
      </c>
      <c r="G135" s="380" t="s">
        <v>938</v>
      </c>
      <c r="H135" s="380" t="s">
        <v>771</v>
      </c>
      <c r="I135" s="380" t="s">
        <v>772</v>
      </c>
      <c r="J135" s="380" t="s">
        <v>773</v>
      </c>
      <c r="K135" s="381">
        <v>3549.0</v>
      </c>
      <c r="L135" s="382">
        <v>1.0</v>
      </c>
    </row>
    <row r="136">
      <c r="A136" s="380" t="s">
        <v>943</v>
      </c>
      <c r="B136" s="380" t="str">
        <f>IFERROR(__xludf.DUMMYFUNCTION("""COMPUTED_VALUE"""),"Manila Polipropileno 1/2""")</f>
        <v>Manila Polipropileno 1/2"</v>
      </c>
      <c r="C136" s="380" t="str">
        <f>IFERROR(__xludf.DUMMYFUNCTION("""COMPUTED_VALUE"""),"10000562")</f>
        <v>10000562</v>
      </c>
      <c r="D136" s="380" t="s">
        <v>767</v>
      </c>
      <c r="E136" s="380" t="s">
        <v>768</v>
      </c>
      <c r="F136" s="380" t="s">
        <v>797</v>
      </c>
      <c r="G136" s="380" t="s">
        <v>938</v>
      </c>
      <c r="H136" s="380" t="s">
        <v>771</v>
      </c>
      <c r="I136" s="380" t="s">
        <v>799</v>
      </c>
      <c r="J136" s="380" t="s">
        <v>773</v>
      </c>
      <c r="K136" s="381">
        <v>0.0</v>
      </c>
      <c r="L136" s="382">
        <v>1.0</v>
      </c>
    </row>
    <row r="137">
      <c r="A137" s="380" t="s">
        <v>944</v>
      </c>
      <c r="B137" s="380" t="str">
        <f>IFERROR(__xludf.DUMMYFUNCTION("""COMPUTED_VALUE"""),"Manila Polipropileno De 3/16")</f>
        <v>Manila Polipropileno De 3/16</v>
      </c>
      <c r="C137" s="380" t="str">
        <f>IFERROR(__xludf.DUMMYFUNCTION("""COMPUTED_VALUE"""),"10000759")</f>
        <v>10000759</v>
      </c>
      <c r="D137" s="380" t="s">
        <v>767</v>
      </c>
      <c r="E137" s="380" t="s">
        <v>768</v>
      </c>
      <c r="F137" s="380" t="s">
        <v>797</v>
      </c>
      <c r="G137" s="380" t="s">
        <v>938</v>
      </c>
      <c r="H137" s="380" t="s">
        <v>771</v>
      </c>
      <c r="I137" s="380" t="s">
        <v>799</v>
      </c>
      <c r="J137" s="380" t="s">
        <v>773</v>
      </c>
      <c r="K137" s="381">
        <v>0.0</v>
      </c>
      <c r="L137" s="382">
        <v>1.0</v>
      </c>
    </row>
    <row r="138">
      <c r="A138" s="380" t="s">
        <v>945</v>
      </c>
      <c r="B138" s="380" t="str">
        <f>IFERROR(__xludf.DUMMYFUNCTION("""COMPUTED_VALUE"""),"Cinta Metalizada Para Regalo")</f>
        <v>Cinta Metalizada Para Regalo</v>
      </c>
      <c r="C138" s="380" t="str">
        <f>IFERROR(__xludf.DUMMYFUNCTION("""COMPUTED_VALUE"""),"10000873")</f>
        <v>10000873</v>
      </c>
      <c r="D138" s="380" t="s">
        <v>767</v>
      </c>
      <c r="E138" s="380" t="s">
        <v>768</v>
      </c>
      <c r="F138" s="380" t="s">
        <v>797</v>
      </c>
      <c r="G138" s="380" t="s">
        <v>938</v>
      </c>
      <c r="H138" s="380" t="s">
        <v>771</v>
      </c>
      <c r="I138" s="380" t="s">
        <v>799</v>
      </c>
      <c r="J138" s="380" t="s">
        <v>773</v>
      </c>
      <c r="K138" s="381">
        <v>0.0</v>
      </c>
      <c r="L138" s="382">
        <v>1.0</v>
      </c>
    </row>
    <row r="139">
      <c r="A139" s="380" t="s">
        <v>946</v>
      </c>
      <c r="B139" s="380" t="str">
        <f>IFERROR(__xludf.DUMMYFUNCTION("""COMPUTED_VALUE"""),"Coraza Plastica De 1"" Can 25")</f>
        <v>Coraza Plastica De 1" Can 25</v>
      </c>
      <c r="C139" s="380" t="str">
        <f>IFERROR(__xludf.DUMMYFUNCTION("""COMPUTED_VALUE"""),"50000170")</f>
        <v>50000170</v>
      </c>
      <c r="D139" s="380" t="s">
        <v>767</v>
      </c>
      <c r="E139" s="380" t="s">
        <v>781</v>
      </c>
      <c r="F139" s="380" t="s">
        <v>830</v>
      </c>
      <c r="G139" s="380" t="s">
        <v>938</v>
      </c>
      <c r="H139" s="380" t="s">
        <v>771</v>
      </c>
      <c r="I139" s="380" t="s">
        <v>817</v>
      </c>
      <c r="J139" s="380" t="s">
        <v>773</v>
      </c>
      <c r="K139" s="381">
        <v>0.0</v>
      </c>
      <c r="L139" s="382">
        <v>1.0</v>
      </c>
    </row>
    <row r="140">
      <c r="A140" s="380" t="s">
        <v>947</v>
      </c>
      <c r="B140" s="380" t="str">
        <f>IFERROR(__xludf.DUMMYFUNCTION("""COMPUTED_VALUE"""),"Angulo Hierro 3/8 X 6"" Mts")</f>
        <v>Angulo Hierro 3/8 X 6" Mts</v>
      </c>
      <c r="C140" s="380" t="str">
        <f>IFERROR(__xludf.DUMMYFUNCTION("""COMPUTED_VALUE"""),"50000179")</f>
        <v>50000179</v>
      </c>
      <c r="D140" s="380" t="s">
        <v>767</v>
      </c>
      <c r="E140" s="380" t="s">
        <v>781</v>
      </c>
      <c r="F140" s="380" t="s">
        <v>830</v>
      </c>
      <c r="G140" s="380" t="s">
        <v>938</v>
      </c>
      <c r="H140" s="380" t="s">
        <v>771</v>
      </c>
      <c r="I140" s="380" t="s">
        <v>817</v>
      </c>
      <c r="J140" s="380" t="s">
        <v>773</v>
      </c>
      <c r="K140" s="381">
        <v>0.0</v>
      </c>
      <c r="L140" s="382">
        <v>1.0</v>
      </c>
    </row>
    <row r="141">
      <c r="A141" s="380" t="s">
        <v>948</v>
      </c>
      <c r="B141" s="380" t="str">
        <f>IFERROR(__xludf.DUMMYFUNCTION("""COMPUTED_VALUE"""),"Tubo Est Rec 4mm 150x100mm-12MA500G")</f>
        <v>Tubo Est Rec 4mm 150x100mm-12MA500G</v>
      </c>
      <c r="C141" s="380" t="str">
        <f>IFERROR(__xludf.DUMMYFUNCTION("""COMPUTED_VALUE"""),"50000187")</f>
        <v>50000187</v>
      </c>
      <c r="D141" s="380" t="s">
        <v>767</v>
      </c>
      <c r="E141" s="380" t="s">
        <v>781</v>
      </c>
      <c r="F141" s="380" t="s">
        <v>830</v>
      </c>
      <c r="G141" s="380" t="s">
        <v>938</v>
      </c>
      <c r="H141" s="380" t="s">
        <v>771</v>
      </c>
      <c r="I141" s="380" t="s">
        <v>817</v>
      </c>
      <c r="J141" s="380" t="s">
        <v>773</v>
      </c>
      <c r="K141" s="381">
        <v>0.0</v>
      </c>
      <c r="L141" s="382">
        <v>1.0</v>
      </c>
    </row>
    <row r="142">
      <c r="A142" s="380" t="s">
        <v>949</v>
      </c>
      <c r="B142" s="380" t="str">
        <f>IFERROR(__xludf.DUMMYFUNCTION("""COMPUTED_VALUE"""),"Cinta Antideslizante Negra Estribo 2""")</f>
        <v>Cinta Antideslizante Negra Estribo 2"</v>
      </c>
      <c r="C142" s="380" t="str">
        <f>IFERROR(__xludf.DUMMYFUNCTION("""COMPUTED_VALUE"""),"50000188")</f>
        <v>50000188</v>
      </c>
      <c r="D142" s="380" t="s">
        <v>767</v>
      </c>
      <c r="E142" s="380" t="s">
        <v>781</v>
      </c>
      <c r="F142" s="380" t="s">
        <v>830</v>
      </c>
      <c r="G142" s="380" t="s">
        <v>938</v>
      </c>
      <c r="H142" s="380" t="s">
        <v>771</v>
      </c>
      <c r="I142" s="380" t="s">
        <v>817</v>
      </c>
      <c r="J142" s="380" t="s">
        <v>773</v>
      </c>
      <c r="K142" s="381">
        <v>0.0</v>
      </c>
      <c r="L142" s="382">
        <v>1.0</v>
      </c>
    </row>
    <row r="143">
      <c r="A143" s="380" t="s">
        <v>950</v>
      </c>
      <c r="B143" s="380" t="str">
        <f>IFERROR(__xludf.DUMMYFUNCTION("""COMPUTED_VALUE"""),"Lamina Steeliner Exterior Trailer Mts")</f>
        <v>Lamina Steeliner Exterior Trailer Mts</v>
      </c>
      <c r="C143" s="380" t="str">
        <f>IFERROR(__xludf.DUMMYFUNCTION("""COMPUTED_VALUE"""),"50000189")</f>
        <v>50000189</v>
      </c>
      <c r="D143" s="380" t="s">
        <v>767</v>
      </c>
      <c r="E143" s="380" t="s">
        <v>781</v>
      </c>
      <c r="F143" s="380" t="s">
        <v>830</v>
      </c>
      <c r="G143" s="380" t="s">
        <v>938</v>
      </c>
      <c r="H143" s="380" t="s">
        <v>771</v>
      </c>
      <c r="I143" s="380" t="s">
        <v>817</v>
      </c>
      <c r="J143" s="380" t="s">
        <v>773</v>
      </c>
      <c r="K143" s="381">
        <v>0.0</v>
      </c>
      <c r="L143" s="382">
        <v>1.0</v>
      </c>
    </row>
    <row r="144">
      <c r="A144" s="380" t="s">
        <v>951</v>
      </c>
      <c r="B144" s="380" t="str">
        <f>IFERROR(__xludf.DUMMYFUNCTION("""COMPUTED_VALUE"""),"Cable Vehiculo N-10")</f>
        <v>Cable Vehiculo N-10</v>
      </c>
      <c r="C144" s="380" t="str">
        <f>IFERROR(__xludf.DUMMYFUNCTION("""COMPUTED_VALUE"""),"50000351")</f>
        <v>50000351</v>
      </c>
      <c r="D144" s="380" t="s">
        <v>767</v>
      </c>
      <c r="E144" s="380" t="s">
        <v>781</v>
      </c>
      <c r="F144" s="380" t="s">
        <v>830</v>
      </c>
      <c r="G144" s="380" t="s">
        <v>938</v>
      </c>
      <c r="H144" s="380" t="s">
        <v>771</v>
      </c>
      <c r="I144" s="380" t="s">
        <v>817</v>
      </c>
      <c r="J144" s="380" t="s">
        <v>773</v>
      </c>
      <c r="K144" s="381">
        <v>0.0</v>
      </c>
      <c r="L144" s="382">
        <v>1.0</v>
      </c>
    </row>
    <row r="145">
      <c r="A145" s="380" t="s">
        <v>952</v>
      </c>
      <c r="B145" s="380" t="str">
        <f>IFERROR(__xludf.DUMMYFUNCTION("""COMPUTED_VALUE"""),"Tee Para Manguera Limpiabrisas 1/4""")</f>
        <v>Tee Para Manguera Limpiabrisas 1/4"</v>
      </c>
      <c r="C145" s="380" t="str">
        <f>IFERROR(__xludf.DUMMYFUNCTION("""COMPUTED_VALUE"""),"50000360")</f>
        <v>50000360</v>
      </c>
      <c r="D145" s="380" t="s">
        <v>767</v>
      </c>
      <c r="E145" s="380" t="s">
        <v>781</v>
      </c>
      <c r="F145" s="380" t="s">
        <v>830</v>
      </c>
      <c r="G145" s="380" t="s">
        <v>938</v>
      </c>
      <c r="H145" s="380" t="s">
        <v>771</v>
      </c>
      <c r="I145" s="380" t="s">
        <v>817</v>
      </c>
      <c r="J145" s="380" t="s">
        <v>773</v>
      </c>
      <c r="K145" s="381">
        <v>0.0</v>
      </c>
      <c r="L145" s="382">
        <v>1.0</v>
      </c>
    </row>
    <row r="146">
      <c r="A146" s="380" t="s">
        <v>953</v>
      </c>
      <c r="B146" s="380" t="str">
        <f>IFERROR(__xludf.DUMMYFUNCTION("""COMPUTED_VALUE"""),"Cable Vehiculo N-14")</f>
        <v>Cable Vehiculo N-14</v>
      </c>
      <c r="C146" s="380" t="str">
        <f>IFERROR(__xludf.DUMMYFUNCTION("""COMPUTED_VALUE"""),"50000384")</f>
        <v>50000384</v>
      </c>
      <c r="D146" s="380" t="s">
        <v>767</v>
      </c>
      <c r="E146" s="380" t="s">
        <v>781</v>
      </c>
      <c r="F146" s="380" t="s">
        <v>830</v>
      </c>
      <c r="G146" s="380" t="s">
        <v>938</v>
      </c>
      <c r="H146" s="380" t="s">
        <v>771</v>
      </c>
      <c r="I146" s="380" t="s">
        <v>817</v>
      </c>
      <c r="J146" s="380" t="s">
        <v>773</v>
      </c>
      <c r="K146" s="381">
        <v>2542.0</v>
      </c>
      <c r="L146" s="382">
        <v>1.0</v>
      </c>
    </row>
    <row r="147">
      <c r="A147" s="380" t="s">
        <v>954</v>
      </c>
      <c r="B147" s="380" t="str">
        <f>IFERROR(__xludf.DUMMYFUNCTION("""COMPUTED_VALUE"""),"Cable Vehiculos Gps N-20")</f>
        <v>Cable Vehiculos Gps N-20</v>
      </c>
      <c r="C147" s="380" t="str">
        <f>IFERROR(__xludf.DUMMYFUNCTION("""COMPUTED_VALUE"""),"50000386")</f>
        <v>50000386</v>
      </c>
      <c r="D147" s="380" t="s">
        <v>767</v>
      </c>
      <c r="E147" s="380" t="s">
        <v>781</v>
      </c>
      <c r="F147" s="380" t="s">
        <v>830</v>
      </c>
      <c r="G147" s="380" t="s">
        <v>938</v>
      </c>
      <c r="H147" s="380" t="s">
        <v>771</v>
      </c>
      <c r="I147" s="380" t="s">
        <v>817</v>
      </c>
      <c r="J147" s="380" t="s">
        <v>773</v>
      </c>
      <c r="K147" s="381">
        <v>350.0</v>
      </c>
      <c r="L147" s="382">
        <v>1.0</v>
      </c>
    </row>
    <row r="148">
      <c r="A148" s="380" t="s">
        <v>955</v>
      </c>
      <c r="B148" s="380" t="str">
        <f>IFERROR(__xludf.DUMMYFUNCTION("""COMPUTED_VALUE"""),"Aislante Termico 3482")</f>
        <v>Aislante Termico 3482</v>
      </c>
      <c r="C148" s="380" t="str">
        <f>IFERROR(__xludf.DUMMYFUNCTION("""COMPUTED_VALUE"""),"50000399")</f>
        <v>50000399</v>
      </c>
      <c r="D148" s="380" t="s">
        <v>767</v>
      </c>
      <c r="E148" s="380" t="s">
        <v>781</v>
      </c>
      <c r="F148" s="380" t="s">
        <v>830</v>
      </c>
      <c r="G148" s="380" t="s">
        <v>938</v>
      </c>
      <c r="H148" s="380" t="s">
        <v>771</v>
      </c>
      <c r="I148" s="380" t="s">
        <v>817</v>
      </c>
      <c r="J148" s="380" t="s">
        <v>773</v>
      </c>
      <c r="K148" s="381">
        <v>0.0</v>
      </c>
      <c r="L148" s="382">
        <v>1.0</v>
      </c>
    </row>
    <row r="149">
      <c r="A149" s="380" t="s">
        <v>956</v>
      </c>
      <c r="B149" s="380" t="str">
        <f>IFERROR(__xludf.DUMMYFUNCTION("""COMPUTED_VALUE"""),"Tub Tubo Negro Red. 1.1/4 X 2.5mm X 6mts")</f>
        <v>Tub Tubo Negro Red. 1.1/4 X 2.5mm X 6mts</v>
      </c>
      <c r="C149" s="380" t="str">
        <f>IFERROR(__xludf.DUMMYFUNCTION("""COMPUTED_VALUE"""),"50000400")</f>
        <v>50000400</v>
      </c>
      <c r="D149" s="380" t="s">
        <v>767</v>
      </c>
      <c r="E149" s="380" t="s">
        <v>781</v>
      </c>
      <c r="F149" s="380" t="s">
        <v>830</v>
      </c>
      <c r="G149" s="380" t="s">
        <v>938</v>
      </c>
      <c r="H149" s="380" t="s">
        <v>771</v>
      </c>
      <c r="I149" s="380" t="s">
        <v>817</v>
      </c>
      <c r="J149" s="380" t="s">
        <v>773</v>
      </c>
      <c r="K149" s="381">
        <v>0.0</v>
      </c>
      <c r="L149" s="382">
        <v>1.0</v>
      </c>
    </row>
    <row r="150">
      <c r="A150" s="380" t="s">
        <v>957</v>
      </c>
      <c r="B150" s="380" t="str">
        <f>IFERROR(__xludf.DUMMYFUNCTION("""COMPUTED_VALUE"""),"Alicate Con Corta Frio Channelock Ck-348")</f>
        <v>Alicate Con Corta Frio Channelock Ck-348</v>
      </c>
      <c r="C150" s="380" t="str">
        <f>IFERROR(__xludf.DUMMYFUNCTION("""COMPUTED_VALUE"""),"50000517")</f>
        <v>50000517</v>
      </c>
      <c r="D150" s="380" t="s">
        <v>767</v>
      </c>
      <c r="E150" s="380" t="s">
        <v>781</v>
      </c>
      <c r="F150" s="380" t="s">
        <v>782</v>
      </c>
      <c r="G150" s="380" t="s">
        <v>938</v>
      </c>
      <c r="H150" s="380" t="s">
        <v>771</v>
      </c>
      <c r="I150" s="380" t="s">
        <v>784</v>
      </c>
      <c r="J150" s="380" t="s">
        <v>773</v>
      </c>
      <c r="K150" s="381">
        <v>0.0</v>
      </c>
      <c r="L150" s="382">
        <v>1.0</v>
      </c>
    </row>
    <row r="151">
      <c r="A151" s="380" t="s">
        <v>958</v>
      </c>
      <c r="B151" s="380" t="str">
        <f>IFERROR(__xludf.DUMMYFUNCTION("""COMPUTED_VALUE"""),"Copa Torx T 45 Tipo B")</f>
        <v>Copa Torx T 45 Tipo B</v>
      </c>
      <c r="C151" s="380" t="str">
        <f>IFERROR(__xludf.DUMMYFUNCTION("""COMPUTED_VALUE"""),"50000742")</f>
        <v>50000742</v>
      </c>
      <c r="D151" s="380" t="s">
        <v>767</v>
      </c>
      <c r="E151" s="380" t="s">
        <v>781</v>
      </c>
      <c r="F151" s="380" t="s">
        <v>782</v>
      </c>
      <c r="G151" s="380" t="s">
        <v>938</v>
      </c>
      <c r="H151" s="380" t="s">
        <v>771</v>
      </c>
      <c r="I151" s="380" t="s">
        <v>784</v>
      </c>
      <c r="J151" s="380" t="s">
        <v>773</v>
      </c>
      <c r="K151" s="381">
        <v>0.0</v>
      </c>
      <c r="L151" s="382">
        <v>1.0</v>
      </c>
    </row>
    <row r="152">
      <c r="A152" s="380" t="s">
        <v>959</v>
      </c>
      <c r="B152" s="380" t="str">
        <f>IFERROR(__xludf.DUMMYFUNCTION("""COMPUTED_VALUE"""),"Copa Larga Cuadrante 3/8 X10mm Snapon")</f>
        <v>Copa Larga Cuadrante 3/8 X10mm Snapon</v>
      </c>
      <c r="C152" s="380" t="str">
        <f>IFERROR(__xludf.DUMMYFUNCTION("""COMPUTED_VALUE"""),"50000778")</f>
        <v>50000778</v>
      </c>
      <c r="D152" s="380" t="s">
        <v>767</v>
      </c>
      <c r="E152" s="380" t="s">
        <v>781</v>
      </c>
      <c r="F152" s="380" t="s">
        <v>782</v>
      </c>
      <c r="G152" s="380" t="s">
        <v>938</v>
      </c>
      <c r="H152" s="380" t="s">
        <v>771</v>
      </c>
      <c r="I152" s="380" t="s">
        <v>784</v>
      </c>
      <c r="J152" s="380" t="s">
        <v>773</v>
      </c>
      <c r="K152" s="381">
        <v>0.0</v>
      </c>
      <c r="L152" s="382">
        <v>1.0</v>
      </c>
    </row>
    <row r="153">
      <c r="A153" s="380" t="s">
        <v>960</v>
      </c>
      <c r="B153" s="380" t="str">
        <f>IFERROR(__xludf.DUMMYFUNCTION("""COMPUTED_VALUE"""),"Exte Extension Cuadrante 3/8 X 12 Tipo B")</f>
        <v>Exte Extension Cuadrante 3/8 X 12 Tipo B</v>
      </c>
      <c r="C153" s="380" t="str">
        <f>IFERROR(__xludf.DUMMYFUNCTION("""COMPUTED_VALUE"""),"50000820")</f>
        <v>50000820</v>
      </c>
      <c r="D153" s="380" t="s">
        <v>767</v>
      </c>
      <c r="E153" s="380" t="s">
        <v>781</v>
      </c>
      <c r="F153" s="380" t="s">
        <v>782</v>
      </c>
      <c r="G153" s="380" t="s">
        <v>938</v>
      </c>
      <c r="H153" s="380" t="s">
        <v>771</v>
      </c>
      <c r="I153" s="380" t="s">
        <v>784</v>
      </c>
      <c r="J153" s="380" t="s">
        <v>773</v>
      </c>
      <c r="K153" s="381">
        <v>0.0</v>
      </c>
      <c r="L153" s="382">
        <v>1.0</v>
      </c>
    </row>
    <row r="154">
      <c r="A154" s="380" t="s">
        <v>961</v>
      </c>
      <c r="B154" s="380" t="str">
        <f>IFERROR(__xludf.DUMMYFUNCTION("""COMPUTED_VALUE"""),"Copa Cuadrante 1/2 X 10 Mm Snapon")</f>
        <v>Copa Cuadrante 1/2 X 10 Mm Snapon</v>
      </c>
      <c r="C154" s="380" t="str">
        <f>IFERROR(__xludf.DUMMYFUNCTION("""COMPUTED_VALUE"""),"50000990")</f>
        <v>50000990</v>
      </c>
      <c r="D154" s="380" t="s">
        <v>767</v>
      </c>
      <c r="E154" s="380" t="s">
        <v>781</v>
      </c>
      <c r="F154" s="380" t="s">
        <v>782</v>
      </c>
      <c r="G154" s="380" t="s">
        <v>938</v>
      </c>
      <c r="H154" s="380" t="s">
        <v>771</v>
      </c>
      <c r="I154" s="380" t="s">
        <v>784</v>
      </c>
      <c r="J154" s="380" t="s">
        <v>773</v>
      </c>
      <c r="K154" s="381">
        <v>0.0</v>
      </c>
      <c r="L154" s="382">
        <v>1.0</v>
      </c>
    </row>
    <row r="155">
      <c r="A155" s="380" t="s">
        <v>962</v>
      </c>
      <c r="B155" s="380" t="str">
        <f>IFERROR(__xludf.DUMMYFUNCTION("""COMPUTED_VALUE"""),"Marcador Llantas Con Numeros 32a De 1""")</f>
        <v>Marcador Llantas Con Numeros 32a De 1"</v>
      </c>
      <c r="C155" s="380" t="str">
        <f>IFERROR(__xludf.DUMMYFUNCTION("""COMPUTED_VALUE"""),"50001128")</f>
        <v>50001128</v>
      </c>
      <c r="D155" s="380" t="s">
        <v>767</v>
      </c>
      <c r="E155" s="380" t="s">
        <v>781</v>
      </c>
      <c r="F155" s="380" t="s">
        <v>782</v>
      </c>
      <c r="G155" s="380" t="s">
        <v>938</v>
      </c>
      <c r="H155" s="380" t="s">
        <v>771</v>
      </c>
      <c r="I155" s="380" t="s">
        <v>784</v>
      </c>
      <c r="J155" s="380" t="s">
        <v>773</v>
      </c>
      <c r="K155" s="381">
        <v>0.0</v>
      </c>
      <c r="L155" s="382">
        <v>1.0</v>
      </c>
    </row>
    <row r="156">
      <c r="A156" s="380" t="s">
        <v>963</v>
      </c>
      <c r="B156" s="380" t="str">
        <f>IFERROR(__xludf.DUMMYFUNCTION("""COMPUTED_VALUE"""),"Cadena Eslabonada 1/2 1/2""")</f>
        <v>Cadena Eslabonada 1/2 1/2"</v>
      </c>
      <c r="C156" s="380" t="str">
        <f>IFERROR(__xludf.DUMMYFUNCTION("""COMPUTED_VALUE"""),"50001167")</f>
        <v>50001167</v>
      </c>
      <c r="D156" s="380" t="s">
        <v>767</v>
      </c>
      <c r="E156" s="380" t="s">
        <v>781</v>
      </c>
      <c r="F156" s="380" t="s">
        <v>782</v>
      </c>
      <c r="G156" s="380" t="s">
        <v>938</v>
      </c>
      <c r="H156" s="380" t="s">
        <v>771</v>
      </c>
      <c r="I156" s="380" t="s">
        <v>784</v>
      </c>
      <c r="J156" s="380" t="s">
        <v>773</v>
      </c>
      <c r="K156" s="381">
        <v>77350.0</v>
      </c>
      <c r="L156" s="382">
        <v>1.0</v>
      </c>
    </row>
    <row r="157">
      <c r="A157" s="380" t="s">
        <v>964</v>
      </c>
      <c r="B157" s="380" t="str">
        <f>IFERROR(__xludf.DUMMYFUNCTION("""COMPUTED_VALUE"""),"Cadena Eslabonada 5/16 5/16""")</f>
        <v>Cadena Eslabonada 5/16 5/16"</v>
      </c>
      <c r="C157" s="380" t="str">
        <f>IFERROR(__xludf.DUMMYFUNCTION("""COMPUTED_VALUE"""),"50001169")</f>
        <v>50001169</v>
      </c>
      <c r="D157" s="380" t="s">
        <v>767</v>
      </c>
      <c r="E157" s="380" t="s">
        <v>781</v>
      </c>
      <c r="F157" s="380" t="s">
        <v>782</v>
      </c>
      <c r="G157" s="380" t="s">
        <v>938</v>
      </c>
      <c r="H157" s="380" t="s">
        <v>771</v>
      </c>
      <c r="I157" s="380" t="s">
        <v>784</v>
      </c>
      <c r="J157" s="380" t="s">
        <v>773</v>
      </c>
      <c r="K157" s="381">
        <v>15411.0</v>
      </c>
      <c r="L157" s="382">
        <v>1.0</v>
      </c>
    </row>
    <row r="158">
      <c r="A158" s="380" t="s">
        <v>965</v>
      </c>
      <c r="B158" s="380" t="str">
        <f>IFERROR(__xludf.DUMMYFUNCTION("""COMPUTED_VALUE"""),"Extension Cuad 1/2 X 5"" Proto")</f>
        <v>Extension Cuad 1/2 X 5" Proto</v>
      </c>
      <c r="C158" s="380" t="str">
        <f>IFERROR(__xludf.DUMMYFUNCTION("""COMPUTED_VALUE"""),"50001236")</f>
        <v>50001236</v>
      </c>
      <c r="D158" s="380" t="s">
        <v>767</v>
      </c>
      <c r="E158" s="380" t="s">
        <v>781</v>
      </c>
      <c r="F158" s="380" t="s">
        <v>782</v>
      </c>
      <c r="G158" s="380" t="s">
        <v>938</v>
      </c>
      <c r="H158" s="380" t="s">
        <v>771</v>
      </c>
      <c r="I158" s="380" t="s">
        <v>784</v>
      </c>
      <c r="J158" s="380" t="s">
        <v>773</v>
      </c>
      <c r="K158" s="381">
        <v>0.0</v>
      </c>
      <c r="L158" s="382">
        <v>1.0</v>
      </c>
    </row>
    <row r="159">
      <c r="A159" s="380" t="s">
        <v>966</v>
      </c>
      <c r="B159" s="380" t="str">
        <f>IFERROR(__xludf.DUMMYFUNCTION("""COMPUTED_VALUE"""),"Espatula Esquinera Interior Para Drywall")</f>
        <v>Espatula Esquinera Interior Para Drywall</v>
      </c>
      <c r="C159" s="380" t="str">
        <f>IFERROR(__xludf.DUMMYFUNCTION("""COMPUTED_VALUE"""),"50001255")</f>
        <v>50001255</v>
      </c>
      <c r="D159" s="380" t="s">
        <v>767</v>
      </c>
      <c r="E159" s="380" t="s">
        <v>781</v>
      </c>
      <c r="F159" s="380" t="s">
        <v>782</v>
      </c>
      <c r="G159" s="380" t="s">
        <v>938</v>
      </c>
      <c r="H159" s="380" t="s">
        <v>771</v>
      </c>
      <c r="I159" s="380" t="s">
        <v>784</v>
      </c>
      <c r="J159" s="380" t="s">
        <v>773</v>
      </c>
      <c r="K159" s="381">
        <v>0.0</v>
      </c>
      <c r="L159" s="382">
        <v>1.0</v>
      </c>
    </row>
    <row r="160">
      <c r="A160" s="380" t="s">
        <v>967</v>
      </c>
      <c r="B160" s="380" t="str">
        <f>IFERROR(__xludf.DUMMYFUNCTION("""COMPUTED_VALUE"""),"Medidor Compresion Diesel Kd Tools Tx346")</f>
        <v>Medidor Compresion Diesel Kd Tools Tx346</v>
      </c>
      <c r="C160" s="380" t="str">
        <f>IFERROR(__xludf.DUMMYFUNCTION("""COMPUTED_VALUE"""),"50001411")</f>
        <v>50001411</v>
      </c>
      <c r="D160" s="380" t="s">
        <v>767</v>
      </c>
      <c r="E160" s="380" t="s">
        <v>781</v>
      </c>
      <c r="F160" s="380" t="s">
        <v>782</v>
      </c>
      <c r="G160" s="380" t="s">
        <v>938</v>
      </c>
      <c r="H160" s="380" t="s">
        <v>771</v>
      </c>
      <c r="I160" s="380" t="s">
        <v>784</v>
      </c>
      <c r="J160" s="380" t="s">
        <v>773</v>
      </c>
      <c r="K160" s="381">
        <v>0.0</v>
      </c>
      <c r="L160" s="382">
        <v>1.0</v>
      </c>
    </row>
    <row r="161">
      <c r="A161" s="380" t="s">
        <v>968</v>
      </c>
      <c r="B161" s="380" t="str">
        <f>IFERROR(__xludf.DUMMYFUNCTION("""COMPUTED_VALUE"""),"Aceite Motor Rimula R4 X 15w40 Shell")</f>
        <v>Aceite Motor Rimula R4 X 15w40 Shell</v>
      </c>
      <c r="C161" s="380" t="str">
        <f>IFERROR(__xludf.DUMMYFUNCTION("""COMPUTED_VALUE"""),"50001655")</f>
        <v>50001655</v>
      </c>
      <c r="D161" s="380" t="s">
        <v>767</v>
      </c>
      <c r="E161" s="380" t="s">
        <v>781</v>
      </c>
      <c r="F161" s="380" t="s">
        <v>833</v>
      </c>
      <c r="G161" s="380" t="s">
        <v>938</v>
      </c>
      <c r="H161" s="380" t="s">
        <v>771</v>
      </c>
      <c r="I161" s="380" t="s">
        <v>834</v>
      </c>
      <c r="J161" s="380" t="s">
        <v>773</v>
      </c>
      <c r="K161" s="381">
        <v>0.0</v>
      </c>
      <c r="L161" s="382">
        <v>1.0</v>
      </c>
    </row>
    <row r="162">
      <c r="A162" s="380" t="s">
        <v>969</v>
      </c>
      <c r="B162" s="380" t="str">
        <f>IFERROR(__xludf.DUMMYFUNCTION("""COMPUTED_VALUE"""),"Manguera Surtidor Acpm De 1""")</f>
        <v>Manguera Surtidor Acpm De 1"</v>
      </c>
      <c r="C162" s="380" t="str">
        <f>IFERROR(__xludf.DUMMYFUNCTION("""COMPUTED_VALUE"""),"50001736")</f>
        <v>50001736</v>
      </c>
      <c r="D162" s="380" t="s">
        <v>767</v>
      </c>
      <c r="E162" s="380" t="s">
        <v>781</v>
      </c>
      <c r="F162" s="380" t="s">
        <v>819</v>
      </c>
      <c r="G162" s="380" t="s">
        <v>938</v>
      </c>
      <c r="H162" s="380" t="s">
        <v>771</v>
      </c>
      <c r="I162" s="380" t="s">
        <v>817</v>
      </c>
      <c r="J162" s="380" t="s">
        <v>773</v>
      </c>
      <c r="K162" s="381">
        <v>0.0</v>
      </c>
      <c r="L162" s="382">
        <v>1.0</v>
      </c>
    </row>
    <row r="163">
      <c r="A163" s="380" t="s">
        <v>970</v>
      </c>
      <c r="B163" s="380" t="str">
        <f>IFERROR(__xludf.DUMMYFUNCTION("""COMPUTED_VALUE"""),"Crema Disipadora De Calor Artic Silver #")</f>
        <v>Crema Disipadora De Calor Artic Silver #</v>
      </c>
      <c r="C163" s="380" t="str">
        <f>IFERROR(__xludf.DUMMYFUNCTION("""COMPUTED_VALUE"""),"50001829")</f>
        <v>50001829</v>
      </c>
      <c r="D163" s="380" t="s">
        <v>767</v>
      </c>
      <c r="E163" s="380" t="s">
        <v>781</v>
      </c>
      <c r="F163" s="380" t="s">
        <v>819</v>
      </c>
      <c r="G163" s="380" t="s">
        <v>938</v>
      </c>
      <c r="H163" s="380" t="s">
        <v>771</v>
      </c>
      <c r="I163" s="380" t="s">
        <v>817</v>
      </c>
      <c r="J163" s="380" t="s">
        <v>773</v>
      </c>
      <c r="K163" s="381">
        <v>0.0</v>
      </c>
      <c r="L163" s="382">
        <v>1.0</v>
      </c>
    </row>
    <row r="164">
      <c r="A164" s="380" t="s">
        <v>971</v>
      </c>
      <c r="B164" s="380" t="str">
        <f>IFERROR(__xludf.DUMMYFUNCTION("""COMPUTED_VALUE"""),"Tornillo 7/16 X 2 1/2 G8 Ro")</f>
        <v>Tornillo 7/16 X 2 1/2 G8 Ro</v>
      </c>
      <c r="C164" s="380" t="str">
        <f>IFERROR(__xludf.DUMMYFUNCTION("""COMPUTED_VALUE"""),"50001915")</f>
        <v>50001915</v>
      </c>
      <c r="D164" s="380" t="s">
        <v>767</v>
      </c>
      <c r="E164" s="380" t="s">
        <v>781</v>
      </c>
      <c r="F164" s="380" t="s">
        <v>830</v>
      </c>
      <c r="G164" s="380" t="s">
        <v>938</v>
      </c>
      <c r="H164" s="380" t="s">
        <v>771</v>
      </c>
      <c r="I164" s="380" t="s">
        <v>817</v>
      </c>
      <c r="J164" s="380" t="s">
        <v>773</v>
      </c>
      <c r="K164" s="381">
        <v>0.0</v>
      </c>
      <c r="L164" s="382">
        <v>1.0</v>
      </c>
    </row>
    <row r="165">
      <c r="A165" s="380" t="s">
        <v>972</v>
      </c>
      <c r="B165" s="380" t="str">
        <f>IFERROR(__xludf.DUMMYFUNCTION("""COMPUTED_VALUE"""),"Plastico Invernadero Carreta 2 X 2.20 C6")</f>
        <v>Plastico Invernadero Carreta 2 X 2.20 C6</v>
      </c>
      <c r="C165" s="380" t="str">
        <f>IFERROR(__xludf.DUMMYFUNCTION("""COMPUTED_VALUE"""),"60000161")</f>
        <v>60000161</v>
      </c>
      <c r="D165" s="380" t="s">
        <v>767</v>
      </c>
      <c r="E165" s="380" t="s">
        <v>875</v>
      </c>
      <c r="F165" s="380" t="s">
        <v>924</v>
      </c>
      <c r="G165" s="380" t="s">
        <v>938</v>
      </c>
      <c r="H165" s="380" t="s">
        <v>771</v>
      </c>
      <c r="I165" s="380" t="s">
        <v>925</v>
      </c>
      <c r="J165" s="380" t="s">
        <v>773</v>
      </c>
      <c r="K165" s="381">
        <v>16136.0</v>
      </c>
      <c r="L165" s="382">
        <v>1.0</v>
      </c>
    </row>
    <row r="166">
      <c r="A166" s="380" t="s">
        <v>973</v>
      </c>
      <c r="B166" s="380" t="str">
        <f>IFERROR(__xludf.DUMMYFUNCTION("""COMPUTED_VALUE"""),"Plastico C 2 De 3 X 3 Mts Negro")</f>
        <v>Plastico C 2 De 3 X 3 Mts Negro</v>
      </c>
      <c r="C166" s="380" t="str">
        <f>IFERROR(__xludf.DUMMYFUNCTION("""COMPUTED_VALUE"""),"60000182")</f>
        <v>60000182</v>
      </c>
      <c r="D166" s="380" t="s">
        <v>767</v>
      </c>
      <c r="E166" s="380" t="s">
        <v>875</v>
      </c>
      <c r="F166" s="380" t="s">
        <v>924</v>
      </c>
      <c r="G166" s="380" t="s">
        <v>938</v>
      </c>
      <c r="H166" s="380" t="s">
        <v>771</v>
      </c>
      <c r="I166" s="380" t="s">
        <v>925</v>
      </c>
      <c r="J166" s="380" t="s">
        <v>773</v>
      </c>
      <c r="K166" s="381">
        <v>8598.0</v>
      </c>
      <c r="L166" s="382">
        <v>1.0</v>
      </c>
    </row>
    <row r="167">
      <c r="A167" s="380" t="s">
        <v>974</v>
      </c>
      <c r="B167" s="380" t="str">
        <f>IFERROR(__xludf.DUMMYFUNCTION("""COMPUTED_VALUE"""),"Plastico Burbuja")</f>
        <v>Plastico Burbuja</v>
      </c>
      <c r="C167" s="380" t="str">
        <f>IFERROR(__xludf.DUMMYFUNCTION("""COMPUTED_VALUE"""),"60000189")</f>
        <v>60000189</v>
      </c>
      <c r="D167" s="380" t="s">
        <v>767</v>
      </c>
      <c r="E167" s="380" t="s">
        <v>875</v>
      </c>
      <c r="F167" s="380" t="s">
        <v>924</v>
      </c>
      <c r="G167" s="380" t="s">
        <v>938</v>
      </c>
      <c r="H167" s="380" t="s">
        <v>771</v>
      </c>
      <c r="I167" s="380" t="s">
        <v>925</v>
      </c>
      <c r="J167" s="380" t="s">
        <v>773</v>
      </c>
      <c r="K167" s="381">
        <v>0.0</v>
      </c>
      <c r="L167" s="382">
        <v>1.0</v>
      </c>
    </row>
    <row r="168">
      <c r="A168" s="380" t="s">
        <v>975</v>
      </c>
      <c r="B168" s="380" t="str">
        <f>IFERROR(__xludf.DUMMYFUNCTION("""COMPUTED_VALUE"""),"Banda E12/2 V5/V10 + K10 U65 W=100 Arp")</f>
        <v>Banda E12/2 V5/V10 + K10 U65 W=100 Arp</v>
      </c>
      <c r="C168" s="380" t="str">
        <f>IFERROR(__xludf.DUMMYFUNCTION("""COMPUTED_VALUE"""),"60000236")</f>
        <v>60000236</v>
      </c>
      <c r="D168" s="380" t="s">
        <v>767</v>
      </c>
      <c r="E168" s="380" t="s">
        <v>875</v>
      </c>
      <c r="F168" s="380" t="s">
        <v>976</v>
      </c>
      <c r="G168" s="380" t="s">
        <v>938</v>
      </c>
      <c r="H168" s="380" t="s">
        <v>771</v>
      </c>
      <c r="I168" s="380" t="s">
        <v>788</v>
      </c>
      <c r="J168" s="380" t="s">
        <v>773</v>
      </c>
      <c r="K168" s="381">
        <v>0.0</v>
      </c>
      <c r="L168" s="382">
        <v>1.0</v>
      </c>
    </row>
    <row r="169">
      <c r="A169" s="380" t="s">
        <v>977</v>
      </c>
      <c r="B169" s="380" t="str">
        <f>IFERROR(__xludf.DUMMYFUNCTION("""COMPUTED_VALUE"""),"Banda E8/2 U0/V5h Mt Negra W= 800 Bf/Prt")</f>
        <v>Banda E8/2 U0/V5h Mt Negra W= 800 Bf/Prt</v>
      </c>
      <c r="C169" s="380" t="str">
        <f>IFERROR(__xludf.DUMMYFUNCTION("""COMPUTED_VALUE"""),"60000294")</f>
        <v>60000294</v>
      </c>
      <c r="D169" s="380" t="s">
        <v>767</v>
      </c>
      <c r="E169" s="380" t="s">
        <v>875</v>
      </c>
      <c r="F169" s="380" t="s">
        <v>976</v>
      </c>
      <c r="G169" s="380" t="s">
        <v>938</v>
      </c>
      <c r="H169" s="380" t="s">
        <v>771</v>
      </c>
      <c r="I169" s="380" t="s">
        <v>788</v>
      </c>
      <c r="J169" s="380" t="s">
        <v>773</v>
      </c>
      <c r="K169" s="381">
        <v>0.0</v>
      </c>
      <c r="L169" s="382">
        <v>1.0</v>
      </c>
    </row>
    <row r="170">
      <c r="A170" s="380" t="s">
        <v>978</v>
      </c>
      <c r="B170" s="380" t="str">
        <f>IFERROR(__xludf.DUMMYFUNCTION("""COMPUTED_VALUE"""),"Banda E8/2 U0/V5h/Mt Negra W=1300 Bf")</f>
        <v>Banda E8/2 U0/V5h/Mt Negra W=1300 Bf</v>
      </c>
      <c r="C170" s="380" t="str">
        <f>IFERROR(__xludf.DUMMYFUNCTION("""COMPUTED_VALUE"""),"60000295")</f>
        <v>60000295</v>
      </c>
      <c r="D170" s="380" t="s">
        <v>767</v>
      </c>
      <c r="E170" s="380" t="s">
        <v>875</v>
      </c>
      <c r="F170" s="380" t="s">
        <v>976</v>
      </c>
      <c r="G170" s="380" t="s">
        <v>938</v>
      </c>
      <c r="H170" s="380" t="s">
        <v>771</v>
      </c>
      <c r="I170" s="380" t="s">
        <v>788</v>
      </c>
      <c r="J170" s="380" t="s">
        <v>773</v>
      </c>
      <c r="K170" s="381">
        <v>0.0</v>
      </c>
      <c r="L170" s="382">
        <v>1.0</v>
      </c>
    </row>
    <row r="171">
      <c r="A171" s="380" t="s">
        <v>979</v>
      </c>
      <c r="B171" s="380" t="str">
        <f>IFERROR(__xludf.DUMMYFUNCTION("""COMPUTED_VALUE"""),"Banda E12/2 U0/V/U0 Antraci W=1300 Bm/Bf")</f>
        <v>Banda E12/2 U0/V/U0 Antraci W=1300 Bm/Bf</v>
      </c>
      <c r="C171" s="380" t="str">
        <f>IFERROR(__xludf.DUMMYFUNCTION("""COMPUTED_VALUE"""),"60000296")</f>
        <v>60000296</v>
      </c>
      <c r="D171" s="380" t="s">
        <v>767</v>
      </c>
      <c r="E171" s="380" t="s">
        <v>875</v>
      </c>
      <c r="F171" s="380" t="s">
        <v>976</v>
      </c>
      <c r="G171" s="380" t="s">
        <v>938</v>
      </c>
      <c r="H171" s="380" t="s">
        <v>771</v>
      </c>
      <c r="I171" s="380" t="s">
        <v>788</v>
      </c>
      <c r="J171" s="380" t="s">
        <v>773</v>
      </c>
      <c r="K171" s="381">
        <v>0.0</v>
      </c>
      <c r="L171" s="382">
        <v>1.0</v>
      </c>
    </row>
    <row r="172">
      <c r="A172" s="380" t="s">
        <v>980</v>
      </c>
      <c r="B172" s="380" t="str">
        <f>IFERROR(__xludf.DUMMYFUNCTION("""COMPUTED_VALUE"""),"Correa Fric Gg14p-30VerW=25SinFinRm/Sr7m")</f>
        <v>Correa Fric Gg14p-30VerW=25SinFinRm/Sr7m</v>
      </c>
      <c r="C172" s="380" t="str">
        <f>IFERROR(__xludf.DUMMYFUNCTION("""COMPUTED_VALUE"""),"60000297")</f>
        <v>60000297</v>
      </c>
      <c r="D172" s="380" t="s">
        <v>767</v>
      </c>
      <c r="E172" s="380" t="s">
        <v>875</v>
      </c>
      <c r="F172" s="380" t="s">
        <v>976</v>
      </c>
      <c r="G172" s="380" t="s">
        <v>938</v>
      </c>
      <c r="H172" s="380" t="s">
        <v>771</v>
      </c>
      <c r="I172" s="380" t="s">
        <v>788</v>
      </c>
      <c r="J172" s="380" t="s">
        <v>773</v>
      </c>
      <c r="K172" s="381">
        <v>0.0</v>
      </c>
      <c r="L172" s="382">
        <v>1.0</v>
      </c>
    </row>
    <row r="173">
      <c r="A173" s="380" t="s">
        <v>981</v>
      </c>
      <c r="B173" s="380" t="str">
        <f>IFERROR(__xludf.DUMMYFUNCTION("""COMPUTED_VALUE"""),"Correa Fric Gg14p-30VerW=25SinFinRm/Sr9m")</f>
        <v>Correa Fric Gg14p-30VerW=25SinFinRm/Sr9m</v>
      </c>
      <c r="C173" s="380" t="str">
        <f>IFERROR(__xludf.DUMMYFUNCTION("""COMPUTED_VALUE"""),"60000298")</f>
        <v>60000298</v>
      </c>
      <c r="D173" s="380" t="s">
        <v>767</v>
      </c>
      <c r="E173" s="380" t="s">
        <v>875</v>
      </c>
      <c r="F173" s="380" t="s">
        <v>976</v>
      </c>
      <c r="G173" s="380" t="s">
        <v>938</v>
      </c>
      <c r="H173" s="380" t="s">
        <v>771</v>
      </c>
      <c r="I173" s="380" t="s">
        <v>788</v>
      </c>
      <c r="J173" s="380" t="s">
        <v>773</v>
      </c>
      <c r="K173" s="381">
        <v>0.0</v>
      </c>
      <c r="L173" s="382">
        <v>1.0</v>
      </c>
    </row>
    <row r="174">
      <c r="A174" s="380" t="s">
        <v>982</v>
      </c>
      <c r="B174" s="380" t="str">
        <f>IFERROR(__xludf.DUMMYFUNCTION("""COMPUTED_VALUE"""),"Correa Fric Gg14p-30VerW=25SinFinRm/Sr8m")</f>
        <v>Correa Fric Gg14p-30VerW=25SinFinRm/Sr8m</v>
      </c>
      <c r="C174" s="380" t="str">
        <f>IFERROR(__xludf.DUMMYFUNCTION("""COMPUTED_VALUE"""),"60000299")</f>
        <v>60000299</v>
      </c>
      <c r="D174" s="380" t="s">
        <v>767</v>
      </c>
      <c r="E174" s="380" t="s">
        <v>875</v>
      </c>
      <c r="F174" s="380" t="s">
        <v>976</v>
      </c>
      <c r="G174" s="380" t="s">
        <v>938</v>
      </c>
      <c r="H174" s="380" t="s">
        <v>771</v>
      </c>
      <c r="I174" s="380" t="s">
        <v>788</v>
      </c>
      <c r="J174" s="380" t="s">
        <v>773</v>
      </c>
      <c r="K174" s="381">
        <v>0.0</v>
      </c>
      <c r="L174" s="382">
        <v>1.0</v>
      </c>
    </row>
    <row r="175">
      <c r="A175" s="380" t="s">
        <v>983</v>
      </c>
      <c r="B175" s="380" t="str">
        <f>IFERROR(__xludf.DUMMYFUNCTION("""COMPUTED_VALUE"""),"Correa Fric Gg14p30VerdeW25SinFinRm/Sr5m")</f>
        <v>Correa Fric Gg14p30VerdeW25SinFinRm/Sr5m</v>
      </c>
      <c r="C175" s="380" t="str">
        <f>IFERROR(__xludf.DUMMYFUNCTION("""COMPUTED_VALUE"""),"60000300")</f>
        <v>60000300</v>
      </c>
      <c r="D175" s="380" t="s">
        <v>767</v>
      </c>
      <c r="E175" s="380" t="s">
        <v>875</v>
      </c>
      <c r="F175" s="380" t="s">
        <v>976</v>
      </c>
      <c r="G175" s="380" t="s">
        <v>938</v>
      </c>
      <c r="H175" s="380" t="s">
        <v>771</v>
      </c>
      <c r="I175" s="380" t="s">
        <v>788</v>
      </c>
      <c r="J175" s="380" t="s">
        <v>773</v>
      </c>
      <c r="K175" s="381">
        <v>0.0</v>
      </c>
      <c r="L175" s="382">
        <v>1.0</v>
      </c>
    </row>
    <row r="176">
      <c r="A176" s="380" t="s">
        <v>984</v>
      </c>
      <c r="B176" s="380" t="str">
        <f>IFERROR(__xludf.DUMMYFUNCTION("""COMPUTED_VALUE"""),"Llanta 205/75r 17.5 Michelin")</f>
        <v>Llanta 205/75r 17.5 Michelin</v>
      </c>
      <c r="C176" s="380" t="str">
        <f>IFERROR(__xludf.DUMMYFUNCTION("""COMPUTED_VALUE"""),"60000466")</f>
        <v>60000466</v>
      </c>
      <c r="D176" s="380" t="s">
        <v>767</v>
      </c>
      <c r="E176" s="380" t="s">
        <v>875</v>
      </c>
      <c r="F176" s="380" t="s">
        <v>985</v>
      </c>
      <c r="G176" s="380" t="s">
        <v>938</v>
      </c>
      <c r="H176" s="380" t="s">
        <v>771</v>
      </c>
      <c r="I176" s="380" t="s">
        <v>986</v>
      </c>
      <c r="J176" s="380" t="s">
        <v>773</v>
      </c>
      <c r="K176" s="381">
        <v>0.0</v>
      </c>
      <c r="L176" s="382">
        <v>1.0</v>
      </c>
    </row>
    <row r="177">
      <c r="A177" s="380" t="s">
        <v>987</v>
      </c>
      <c r="B177" s="380" t="str">
        <f>IFERROR(__xludf.DUMMYFUNCTION("""COMPUTED_VALUE"""),"Llanta 295/80 R22.5 Good Year Kmax Ext")</f>
        <v>Llanta 295/80 R22.5 Good Year Kmax Ext</v>
      </c>
      <c r="C177" s="380" t="str">
        <f>IFERROR(__xludf.DUMMYFUNCTION("""COMPUTED_VALUE"""),"60000515")</f>
        <v>60000515</v>
      </c>
      <c r="D177" s="380" t="s">
        <v>767</v>
      </c>
      <c r="E177" s="380" t="s">
        <v>875</v>
      </c>
      <c r="F177" s="380" t="s">
        <v>985</v>
      </c>
      <c r="G177" s="380" t="s">
        <v>938</v>
      </c>
      <c r="H177" s="380" t="s">
        <v>771</v>
      </c>
      <c r="I177" s="380" t="s">
        <v>986</v>
      </c>
      <c r="J177" s="380" t="s">
        <v>773</v>
      </c>
      <c r="K177" s="381">
        <v>0.0</v>
      </c>
      <c r="L177" s="382">
        <v>1.0</v>
      </c>
    </row>
    <row r="178">
      <c r="A178" s="380" t="s">
        <v>988</v>
      </c>
      <c r="B178" s="380" t="str">
        <f>IFERROR(__xludf.DUMMYFUNCTION("""COMPUTED_VALUE"""),"Manguera Transparente 3/4""")</f>
        <v>Manguera Transparente 3/4"</v>
      </c>
      <c r="C178" s="380" t="str">
        <f>IFERROR(__xludf.DUMMYFUNCTION("""COMPUTED_VALUE"""),"70001589")</f>
        <v>70001589</v>
      </c>
      <c r="D178" s="380" t="s">
        <v>767</v>
      </c>
      <c r="E178" s="380" t="s">
        <v>786</v>
      </c>
      <c r="F178" s="380" t="s">
        <v>989</v>
      </c>
      <c r="G178" s="380" t="s">
        <v>938</v>
      </c>
      <c r="H178" s="380" t="s">
        <v>771</v>
      </c>
      <c r="I178" s="380" t="s">
        <v>788</v>
      </c>
      <c r="J178" s="380" t="s">
        <v>773</v>
      </c>
      <c r="K178" s="381">
        <v>0.0</v>
      </c>
      <c r="L178" s="382">
        <v>1.0</v>
      </c>
    </row>
    <row r="179">
      <c r="A179" s="380" t="s">
        <v>990</v>
      </c>
      <c r="B179" s="380" t="str">
        <f>IFERROR(__xludf.DUMMYFUNCTION("""COMPUTED_VALUE"""),"Manguera Transparente 3/8")</f>
        <v>Manguera Transparente 3/8</v>
      </c>
      <c r="C179" s="380" t="str">
        <f>IFERROR(__xludf.DUMMYFUNCTION("""COMPUTED_VALUE"""),"70001605")</f>
        <v>70001605</v>
      </c>
      <c r="D179" s="380" t="s">
        <v>767</v>
      </c>
      <c r="E179" s="380" t="s">
        <v>786</v>
      </c>
      <c r="F179" s="380" t="s">
        <v>989</v>
      </c>
      <c r="G179" s="380" t="s">
        <v>938</v>
      </c>
      <c r="H179" s="380" t="s">
        <v>771</v>
      </c>
      <c r="I179" s="380" t="s">
        <v>788</v>
      </c>
      <c r="J179" s="380" t="s">
        <v>773</v>
      </c>
      <c r="K179" s="381">
        <v>0.0</v>
      </c>
      <c r="L179" s="382">
        <v>1.0</v>
      </c>
    </row>
    <row r="180">
      <c r="A180" s="380" t="s">
        <v>991</v>
      </c>
      <c r="B180" s="380" t="str">
        <f>IFERROR(__xludf.DUMMYFUNCTION("""COMPUTED_VALUE"""),"Manguera Transparente 1/2""")</f>
        <v>Manguera Transparente 1/2"</v>
      </c>
      <c r="C180" s="380" t="str">
        <f>IFERROR(__xludf.DUMMYFUNCTION("""COMPUTED_VALUE"""),"70001615")</f>
        <v>70001615</v>
      </c>
      <c r="D180" s="380" t="s">
        <v>767</v>
      </c>
      <c r="E180" s="380" t="s">
        <v>786</v>
      </c>
      <c r="F180" s="380" t="s">
        <v>989</v>
      </c>
      <c r="G180" s="380" t="s">
        <v>938</v>
      </c>
      <c r="H180" s="380" t="s">
        <v>771</v>
      </c>
      <c r="I180" s="380" t="s">
        <v>788</v>
      </c>
      <c r="J180" s="380" t="s">
        <v>773</v>
      </c>
      <c r="K180" s="381">
        <v>0.0</v>
      </c>
      <c r="L180" s="382">
        <v>1.0</v>
      </c>
    </row>
    <row r="181">
      <c r="A181" s="380" t="s">
        <v>992</v>
      </c>
      <c r="B181" s="380" t="str">
        <f>IFERROR(__xludf.DUMMYFUNCTION("""COMPUTED_VALUE"""),"Manguera Sinflex 1/4""")</f>
        <v>Manguera Sinflex 1/4"</v>
      </c>
      <c r="C181" s="380" t="str">
        <f>IFERROR(__xludf.DUMMYFUNCTION("""COMPUTED_VALUE"""),"70001623")</f>
        <v>70001623</v>
      </c>
      <c r="D181" s="380" t="s">
        <v>767</v>
      </c>
      <c r="E181" s="380" t="s">
        <v>786</v>
      </c>
      <c r="F181" s="380" t="s">
        <v>989</v>
      </c>
      <c r="G181" s="380" t="s">
        <v>938</v>
      </c>
      <c r="H181" s="380" t="s">
        <v>771</v>
      </c>
      <c r="I181" s="380" t="s">
        <v>788</v>
      </c>
      <c r="J181" s="380" t="s">
        <v>773</v>
      </c>
      <c r="K181" s="381">
        <v>4165.0</v>
      </c>
      <c r="L181" s="382">
        <v>1.0</v>
      </c>
    </row>
    <row r="182">
      <c r="A182" s="380" t="s">
        <v>993</v>
      </c>
      <c r="B182" s="380" t="str">
        <f>IFERROR(__xludf.DUMMYFUNCTION("""COMPUTED_VALUE"""),"Manguera Sinflex 3/8""")</f>
        <v>Manguera Sinflex 3/8"</v>
      </c>
      <c r="C182" s="380" t="str">
        <f>IFERROR(__xludf.DUMMYFUNCTION("""COMPUTED_VALUE"""),"70001627")</f>
        <v>70001627</v>
      </c>
      <c r="D182" s="380" t="s">
        <v>767</v>
      </c>
      <c r="E182" s="380" t="s">
        <v>786</v>
      </c>
      <c r="F182" s="380" t="s">
        <v>989</v>
      </c>
      <c r="G182" s="380" t="s">
        <v>938</v>
      </c>
      <c r="H182" s="380" t="s">
        <v>771</v>
      </c>
      <c r="I182" s="380" t="s">
        <v>788</v>
      </c>
      <c r="J182" s="380" t="s">
        <v>773</v>
      </c>
      <c r="K182" s="381">
        <v>7116.0</v>
      </c>
      <c r="L182" s="382">
        <v>1.0</v>
      </c>
    </row>
    <row r="183">
      <c r="A183" s="380" t="s">
        <v>994</v>
      </c>
      <c r="B183" s="380" t="str">
        <f>IFERROR(__xludf.DUMMYFUNCTION("""COMPUTED_VALUE"""),"Manguera Sinflex 5/8""")</f>
        <v>Manguera Sinflex 5/8"</v>
      </c>
      <c r="C183" s="380" t="str">
        <f>IFERROR(__xludf.DUMMYFUNCTION("""COMPUTED_VALUE"""),"70001637")</f>
        <v>70001637</v>
      </c>
      <c r="D183" s="380" t="s">
        <v>767</v>
      </c>
      <c r="E183" s="380" t="s">
        <v>786</v>
      </c>
      <c r="F183" s="380" t="s">
        <v>989</v>
      </c>
      <c r="G183" s="380" t="s">
        <v>938</v>
      </c>
      <c r="H183" s="380" t="s">
        <v>771</v>
      </c>
      <c r="I183" s="380" t="s">
        <v>788</v>
      </c>
      <c r="J183" s="380" t="s">
        <v>773</v>
      </c>
      <c r="K183" s="381">
        <v>21301.0</v>
      </c>
      <c r="L183" s="382">
        <v>1.0</v>
      </c>
    </row>
    <row r="184">
      <c r="A184" s="380" t="s">
        <v>995</v>
      </c>
      <c r="B184" s="380" t="str">
        <f>IFERROR(__xludf.DUMMYFUNCTION("""COMPUTED_VALUE"""),"Manguera Sinflex 1/2""")</f>
        <v>Manguera Sinflex 1/2"</v>
      </c>
      <c r="C184" s="380" t="str">
        <f>IFERROR(__xludf.DUMMYFUNCTION("""COMPUTED_VALUE"""),"70001644")</f>
        <v>70001644</v>
      </c>
      <c r="D184" s="380" t="s">
        <v>767</v>
      </c>
      <c r="E184" s="380" t="s">
        <v>786</v>
      </c>
      <c r="F184" s="380" t="s">
        <v>989</v>
      </c>
      <c r="G184" s="380" t="s">
        <v>938</v>
      </c>
      <c r="H184" s="380" t="s">
        <v>771</v>
      </c>
      <c r="I184" s="380" t="s">
        <v>788</v>
      </c>
      <c r="J184" s="380" t="s">
        <v>773</v>
      </c>
      <c r="K184" s="381">
        <v>9520.0</v>
      </c>
      <c r="L184" s="382">
        <v>1.0</v>
      </c>
    </row>
    <row r="185">
      <c r="A185" s="380" t="s">
        <v>996</v>
      </c>
      <c r="B185" s="380" t="str">
        <f>IFERROR(__xludf.DUMMYFUNCTION("""COMPUTED_VALUE"""),"Tapiz Piso Cabina Zapaton Negro")</f>
        <v>Tapiz Piso Cabina Zapaton Negro</v>
      </c>
      <c r="C185" s="380" t="str">
        <f>IFERROR(__xludf.DUMMYFUNCTION("""COMPUTED_VALUE"""),"70001715")</f>
        <v>70001715</v>
      </c>
      <c r="D185" s="380" t="s">
        <v>767</v>
      </c>
      <c r="E185" s="380" t="s">
        <v>786</v>
      </c>
      <c r="F185" s="380" t="s">
        <v>792</v>
      </c>
      <c r="G185" s="380" t="s">
        <v>938</v>
      </c>
      <c r="H185" s="380" t="s">
        <v>771</v>
      </c>
      <c r="I185" s="380" t="s">
        <v>788</v>
      </c>
      <c r="J185" s="380" t="s">
        <v>773</v>
      </c>
      <c r="K185" s="381">
        <v>69899.0</v>
      </c>
      <c r="L185" s="382">
        <v>1.0</v>
      </c>
    </row>
    <row r="186">
      <c r="A186" s="380" t="s">
        <v>997</v>
      </c>
      <c r="B186" s="380" t="str">
        <f>IFERROR(__xludf.DUMMYFUNCTION("""COMPUTED_VALUE"""),"Coraza Plastica De 1/2 Can 13 1/2"" Can-1")</f>
        <v>Coraza Plastica De 1/2 Can 13 1/2" Can-1</v>
      </c>
      <c r="C186" s="380" t="str">
        <f>IFERROR(__xludf.DUMMYFUNCTION("""COMPUTED_VALUE"""),"70001729")</f>
        <v>70001729</v>
      </c>
      <c r="D186" s="380" t="s">
        <v>767</v>
      </c>
      <c r="E186" s="380" t="s">
        <v>786</v>
      </c>
      <c r="F186" s="380" t="s">
        <v>998</v>
      </c>
      <c r="G186" s="380" t="s">
        <v>938</v>
      </c>
      <c r="H186" s="380" t="s">
        <v>771</v>
      </c>
      <c r="I186" s="380" t="s">
        <v>788</v>
      </c>
      <c r="J186" s="380" t="s">
        <v>773</v>
      </c>
      <c r="K186" s="381">
        <v>0.0</v>
      </c>
      <c r="L186" s="382">
        <v>1.0</v>
      </c>
    </row>
    <row r="187">
      <c r="A187" s="380" t="s">
        <v>999</v>
      </c>
      <c r="B187" s="380" t="str">
        <f>IFERROR(__xludf.DUMMYFUNCTION("""COMPUTED_VALUE"""),"Coraza Plastica De 3/4 Can 19 3/4"" Can-1")</f>
        <v>Coraza Plastica De 3/4 Can 19 3/4" Can-1</v>
      </c>
      <c r="C187" s="380" t="str">
        <f>IFERROR(__xludf.DUMMYFUNCTION("""COMPUTED_VALUE"""),"70001733")</f>
        <v>70001733</v>
      </c>
      <c r="D187" s="380" t="s">
        <v>767</v>
      </c>
      <c r="E187" s="380" t="s">
        <v>786</v>
      </c>
      <c r="F187" s="380" t="s">
        <v>998</v>
      </c>
      <c r="G187" s="380" t="s">
        <v>938</v>
      </c>
      <c r="H187" s="380" t="s">
        <v>771</v>
      </c>
      <c r="I187" s="380" t="s">
        <v>788</v>
      </c>
      <c r="J187" s="380" t="s">
        <v>773</v>
      </c>
      <c r="K187" s="381">
        <v>0.0</v>
      </c>
      <c r="L187" s="382">
        <v>1.0</v>
      </c>
    </row>
    <row r="188">
      <c r="A188" s="380" t="s">
        <v>1000</v>
      </c>
      <c r="B188" s="380" t="str">
        <f>IFERROR(__xludf.DUMMYFUNCTION("""COMPUTED_VALUE"""),"Coraza Plastica De 5/16 Can 06 5/16"" Can")</f>
        <v>Coraza Plastica De 5/16 Can 06 5/16" Can</v>
      </c>
      <c r="C188" s="380" t="str">
        <f>IFERROR(__xludf.DUMMYFUNCTION("""COMPUTED_VALUE"""),"70001743")</f>
        <v>70001743</v>
      </c>
      <c r="D188" s="380" t="s">
        <v>767</v>
      </c>
      <c r="E188" s="380" t="s">
        <v>786</v>
      </c>
      <c r="F188" s="380" t="s">
        <v>998</v>
      </c>
      <c r="G188" s="380" t="s">
        <v>938</v>
      </c>
      <c r="H188" s="380" t="s">
        <v>771</v>
      </c>
      <c r="I188" s="380" t="s">
        <v>788</v>
      </c>
      <c r="J188" s="380" t="s">
        <v>773</v>
      </c>
      <c r="K188" s="381">
        <v>0.0</v>
      </c>
      <c r="L188" s="382">
        <v>1.0</v>
      </c>
    </row>
    <row r="189">
      <c r="A189" s="380" t="s">
        <v>1001</v>
      </c>
      <c r="B189" s="380" t="str">
        <f>IFERROR(__xludf.DUMMYFUNCTION("""COMPUTED_VALUE"""),"Coraza Plastica De 3/8 Can 10 3/8"" Can-1")</f>
        <v>Coraza Plastica De 3/8 Can 10 3/8" Can-1</v>
      </c>
      <c r="C189" s="380" t="str">
        <f>IFERROR(__xludf.DUMMYFUNCTION("""COMPUTED_VALUE"""),"70001759")</f>
        <v>70001759</v>
      </c>
      <c r="D189" s="380" t="s">
        <v>767</v>
      </c>
      <c r="E189" s="380" t="s">
        <v>786</v>
      </c>
      <c r="F189" s="380" t="s">
        <v>998</v>
      </c>
      <c r="G189" s="380" t="s">
        <v>938</v>
      </c>
      <c r="H189" s="380" t="s">
        <v>771</v>
      </c>
      <c r="I189" s="380" t="s">
        <v>788</v>
      </c>
      <c r="J189" s="380" t="s">
        <v>773</v>
      </c>
      <c r="K189" s="381">
        <v>0.0</v>
      </c>
      <c r="L189" s="382">
        <v>1.0</v>
      </c>
    </row>
    <row r="190">
      <c r="A190" s="380" t="s">
        <v>1002</v>
      </c>
      <c r="B190" s="380" t="str">
        <f>IFERROR(__xludf.DUMMYFUNCTION("""COMPUTED_VALUE"""),"Manguera Caucho Lona 3/8""")</f>
        <v>Manguera Caucho Lona 3/8"</v>
      </c>
      <c r="C190" s="380" t="str">
        <f>IFERROR(__xludf.DUMMYFUNCTION("""COMPUTED_VALUE"""),"70001781")</f>
        <v>70001781</v>
      </c>
      <c r="D190" s="380" t="s">
        <v>767</v>
      </c>
      <c r="E190" s="380" t="s">
        <v>786</v>
      </c>
      <c r="F190" s="380" t="s">
        <v>989</v>
      </c>
      <c r="G190" s="380" t="s">
        <v>938</v>
      </c>
      <c r="H190" s="380" t="s">
        <v>771</v>
      </c>
      <c r="I190" s="380" t="s">
        <v>788</v>
      </c>
      <c r="J190" s="380" t="s">
        <v>773</v>
      </c>
      <c r="K190" s="381">
        <v>13685.0</v>
      </c>
      <c r="L190" s="382">
        <v>1.0</v>
      </c>
    </row>
    <row r="191">
      <c r="A191" s="380" t="s">
        <v>1003</v>
      </c>
      <c r="B191" s="380" t="str">
        <f>IFERROR(__xludf.DUMMYFUNCTION("""COMPUTED_VALUE"""),"Manguera Caucho Lona 1""")</f>
        <v>Manguera Caucho Lona 1"</v>
      </c>
      <c r="C191" s="380" t="str">
        <f>IFERROR(__xludf.DUMMYFUNCTION("""COMPUTED_VALUE"""),"70001786")</f>
        <v>70001786</v>
      </c>
      <c r="D191" s="380" t="s">
        <v>767</v>
      </c>
      <c r="E191" s="380" t="s">
        <v>786</v>
      </c>
      <c r="F191" s="380" t="s">
        <v>989</v>
      </c>
      <c r="G191" s="380" t="s">
        <v>938</v>
      </c>
      <c r="H191" s="380" t="s">
        <v>771</v>
      </c>
      <c r="I191" s="380" t="s">
        <v>788</v>
      </c>
      <c r="J191" s="380" t="s">
        <v>773</v>
      </c>
      <c r="K191" s="381">
        <v>32692.0</v>
      </c>
      <c r="L191" s="382">
        <v>1.0</v>
      </c>
    </row>
    <row r="192">
      <c r="A192" s="380" t="s">
        <v>1004</v>
      </c>
      <c r="B192" s="380" t="str">
        <f>IFERROR(__xludf.DUMMYFUNCTION("""COMPUTED_VALUE"""),"Manguera Caucho Lona De 3/16")</f>
        <v>Manguera Caucho Lona De 3/16</v>
      </c>
      <c r="C192" s="380" t="str">
        <f>IFERROR(__xludf.DUMMYFUNCTION("""COMPUTED_VALUE"""),"70001791")</f>
        <v>70001791</v>
      </c>
      <c r="D192" s="380" t="s">
        <v>767</v>
      </c>
      <c r="E192" s="380" t="s">
        <v>786</v>
      </c>
      <c r="F192" s="380" t="s">
        <v>989</v>
      </c>
      <c r="G192" s="380" t="s">
        <v>938</v>
      </c>
      <c r="H192" s="380" t="s">
        <v>771</v>
      </c>
      <c r="I192" s="380" t="s">
        <v>788</v>
      </c>
      <c r="J192" s="380" t="s">
        <v>773</v>
      </c>
      <c r="K192" s="381">
        <v>0.0</v>
      </c>
      <c r="L192" s="382">
        <v>1.0</v>
      </c>
    </row>
    <row r="193">
      <c r="A193" s="380" t="s">
        <v>1005</v>
      </c>
      <c r="B193" s="380" t="str">
        <f>IFERROR(__xludf.DUMMYFUNCTION("""COMPUTED_VALUE"""),"Manguera Caucho Lona 2 1/2""")</f>
        <v>Manguera Caucho Lona 2 1/2"</v>
      </c>
      <c r="C193" s="380" t="str">
        <f>IFERROR(__xludf.DUMMYFUNCTION("""COMPUTED_VALUE"""),"70001793")</f>
        <v>70001793</v>
      </c>
      <c r="D193" s="380" t="s">
        <v>767</v>
      </c>
      <c r="E193" s="380" t="s">
        <v>786</v>
      </c>
      <c r="F193" s="380" t="s">
        <v>989</v>
      </c>
      <c r="G193" s="380" t="s">
        <v>938</v>
      </c>
      <c r="H193" s="380" t="s">
        <v>771</v>
      </c>
      <c r="I193" s="380" t="s">
        <v>788</v>
      </c>
      <c r="J193" s="380" t="s">
        <v>773</v>
      </c>
      <c r="K193" s="381">
        <v>0.0</v>
      </c>
      <c r="L193" s="382">
        <v>1.0</v>
      </c>
    </row>
    <row r="194">
      <c r="A194" s="380" t="s">
        <v>1006</v>
      </c>
      <c r="B194" s="380" t="str">
        <f>IFERROR(__xludf.DUMMYFUNCTION("""COMPUTED_VALUE"""),"Manguera Caucho Lona 1/4")</f>
        <v>Manguera Caucho Lona 1/4</v>
      </c>
      <c r="C194" s="380" t="str">
        <f>IFERROR(__xludf.DUMMYFUNCTION("""COMPUTED_VALUE"""),"70001797")</f>
        <v>70001797</v>
      </c>
      <c r="D194" s="380" t="s">
        <v>767</v>
      </c>
      <c r="E194" s="380" t="s">
        <v>786</v>
      </c>
      <c r="F194" s="380" t="s">
        <v>989</v>
      </c>
      <c r="G194" s="380" t="s">
        <v>938</v>
      </c>
      <c r="H194" s="380" t="s">
        <v>771</v>
      </c>
      <c r="I194" s="380" t="s">
        <v>788</v>
      </c>
      <c r="J194" s="380" t="s">
        <v>773</v>
      </c>
      <c r="K194" s="381">
        <v>11608.0</v>
      </c>
      <c r="L194" s="382">
        <v>1.0</v>
      </c>
    </row>
    <row r="195">
      <c r="A195" s="380" t="s">
        <v>1007</v>
      </c>
      <c r="B195" s="380" t="str">
        <f>IFERROR(__xludf.DUMMYFUNCTION("""COMPUTED_VALUE"""),"Manguera Caucho Lona 3/4""")</f>
        <v>Manguera Caucho Lona 3/4"</v>
      </c>
      <c r="C195" s="380" t="str">
        <f>IFERROR(__xludf.DUMMYFUNCTION("""COMPUTED_VALUE"""),"70001802")</f>
        <v>70001802</v>
      </c>
      <c r="D195" s="380" t="s">
        <v>767</v>
      </c>
      <c r="E195" s="380" t="s">
        <v>786</v>
      </c>
      <c r="F195" s="380" t="s">
        <v>989</v>
      </c>
      <c r="G195" s="380" t="s">
        <v>938</v>
      </c>
      <c r="H195" s="380" t="s">
        <v>771</v>
      </c>
      <c r="I195" s="380" t="s">
        <v>788</v>
      </c>
      <c r="J195" s="380" t="s">
        <v>773</v>
      </c>
      <c r="K195" s="381">
        <v>25744.0</v>
      </c>
      <c r="L195" s="382">
        <v>1.0</v>
      </c>
    </row>
    <row r="196">
      <c r="A196" s="380" t="s">
        <v>1008</v>
      </c>
      <c r="B196" s="380" t="str">
        <f>IFERROR(__xludf.DUMMYFUNCTION("""COMPUTED_VALUE"""),"Manguera Caucho Lona 5/16""")</f>
        <v>Manguera Caucho Lona 5/16"</v>
      </c>
      <c r="C196" s="380" t="str">
        <f>IFERROR(__xludf.DUMMYFUNCTION("""COMPUTED_VALUE"""),"70001808")</f>
        <v>70001808</v>
      </c>
      <c r="D196" s="380" t="s">
        <v>767</v>
      </c>
      <c r="E196" s="380" t="s">
        <v>786</v>
      </c>
      <c r="F196" s="380" t="s">
        <v>989</v>
      </c>
      <c r="G196" s="380" t="s">
        <v>938</v>
      </c>
      <c r="H196" s="380" t="s">
        <v>771</v>
      </c>
      <c r="I196" s="380" t="s">
        <v>788</v>
      </c>
      <c r="J196" s="380" t="s">
        <v>773</v>
      </c>
      <c r="K196" s="381">
        <v>0.0</v>
      </c>
      <c r="L196" s="382">
        <v>1.0</v>
      </c>
    </row>
    <row r="197">
      <c r="A197" s="380" t="s">
        <v>1009</v>
      </c>
      <c r="B197" s="380" t="str">
        <f>IFERROR(__xludf.DUMMYFUNCTION("""COMPUTED_VALUE"""),"Manguera Caucho Lona 1/2 1/2""")</f>
        <v>Manguera Caucho Lona 1/2 1/2"</v>
      </c>
      <c r="C197" s="380" t="str">
        <f>IFERROR(__xludf.DUMMYFUNCTION("""COMPUTED_VALUE"""),"70001812")</f>
        <v>70001812</v>
      </c>
      <c r="D197" s="380" t="s">
        <v>767</v>
      </c>
      <c r="E197" s="380" t="s">
        <v>786</v>
      </c>
      <c r="F197" s="380" t="s">
        <v>989</v>
      </c>
      <c r="G197" s="380" t="s">
        <v>938</v>
      </c>
      <c r="H197" s="380" t="s">
        <v>771</v>
      </c>
      <c r="I197" s="380" t="s">
        <v>788</v>
      </c>
      <c r="J197" s="380" t="s">
        <v>773</v>
      </c>
      <c r="K197" s="381">
        <v>19992.0</v>
      </c>
      <c r="L197" s="382">
        <v>1.0</v>
      </c>
    </row>
    <row r="198">
      <c r="A198" s="380" t="s">
        <v>1010</v>
      </c>
      <c r="B198" s="380" t="str">
        <f>IFERROR(__xludf.DUMMYFUNCTION("""COMPUTED_VALUE"""),"Manguera Caucho Lona 5/8"" 5/8""")</f>
        <v>Manguera Caucho Lona 5/8" 5/8"</v>
      </c>
      <c r="C198" s="380" t="str">
        <f>IFERROR(__xludf.DUMMYFUNCTION("""COMPUTED_VALUE"""),"70001816")</f>
        <v>70001816</v>
      </c>
      <c r="D198" s="380" t="s">
        <v>767</v>
      </c>
      <c r="E198" s="380" t="s">
        <v>786</v>
      </c>
      <c r="F198" s="380" t="s">
        <v>989</v>
      </c>
      <c r="G198" s="380" t="s">
        <v>938</v>
      </c>
      <c r="H198" s="380" t="s">
        <v>771</v>
      </c>
      <c r="I198" s="380" t="s">
        <v>788</v>
      </c>
      <c r="J198" s="380" t="s">
        <v>773</v>
      </c>
      <c r="K198" s="381">
        <v>25585.0</v>
      </c>
      <c r="L198" s="382">
        <v>1.0</v>
      </c>
    </row>
    <row r="199">
      <c r="A199" s="380" t="s">
        <v>1011</v>
      </c>
      <c r="B199" s="380" t="str">
        <f>IFERROR(__xludf.DUMMYFUNCTION("""COMPUTED_VALUE"""),"Manguera Sinflex 3/4")</f>
        <v>Manguera Sinflex 3/4</v>
      </c>
      <c r="C199" s="380" t="str">
        <f>IFERROR(__xludf.DUMMYFUNCTION("""COMPUTED_VALUE"""),"70001933")</f>
        <v>70001933</v>
      </c>
      <c r="D199" s="380" t="s">
        <v>767</v>
      </c>
      <c r="E199" s="380" t="s">
        <v>786</v>
      </c>
      <c r="F199" s="380" t="s">
        <v>989</v>
      </c>
      <c r="G199" s="380" t="s">
        <v>938</v>
      </c>
      <c r="H199" s="380" t="s">
        <v>771</v>
      </c>
      <c r="I199" s="380" t="s">
        <v>788</v>
      </c>
      <c r="J199" s="380" t="s">
        <v>773</v>
      </c>
      <c r="K199" s="381">
        <v>35403.0</v>
      </c>
      <c r="L199" s="382">
        <v>1.0</v>
      </c>
    </row>
    <row r="200">
      <c r="A200" s="380" t="s">
        <v>1012</v>
      </c>
      <c r="B200" s="380" t="str">
        <f>IFERROR(__xludf.DUMMYFUNCTION("""COMPUTED_VALUE"""),"Manguera Caucho 3/16")</f>
        <v>Manguera Caucho 3/16</v>
      </c>
      <c r="C200" s="380" t="str">
        <f>IFERROR(__xludf.DUMMYFUNCTION("""COMPUTED_VALUE"""),"70002497")</f>
        <v>70002497</v>
      </c>
      <c r="D200" s="380" t="s">
        <v>767</v>
      </c>
      <c r="E200" s="380" t="s">
        <v>786</v>
      </c>
      <c r="F200" s="380" t="s">
        <v>989</v>
      </c>
      <c r="G200" s="380" t="s">
        <v>938</v>
      </c>
      <c r="H200" s="380" t="s">
        <v>771</v>
      </c>
      <c r="I200" s="380" t="s">
        <v>788</v>
      </c>
      <c r="J200" s="380" t="s">
        <v>773</v>
      </c>
      <c r="K200" s="381">
        <v>0.0</v>
      </c>
      <c r="L200" s="382">
        <v>1.0</v>
      </c>
    </row>
    <row r="201">
      <c r="A201" s="380" t="s">
        <v>1013</v>
      </c>
      <c r="B201" s="380" t="str">
        <f>IFERROR(__xludf.DUMMYFUNCTION("""COMPUTED_VALUE"""),"Manguera Caucho 1/4")</f>
        <v>Manguera Caucho 1/4</v>
      </c>
      <c r="C201" s="380" t="str">
        <f>IFERROR(__xludf.DUMMYFUNCTION("""COMPUTED_VALUE"""),"70002498")</f>
        <v>70002498</v>
      </c>
      <c r="D201" s="380" t="s">
        <v>767</v>
      </c>
      <c r="E201" s="380" t="s">
        <v>786</v>
      </c>
      <c r="F201" s="380" t="s">
        <v>989</v>
      </c>
      <c r="G201" s="380" t="s">
        <v>938</v>
      </c>
      <c r="H201" s="380" t="s">
        <v>771</v>
      </c>
      <c r="I201" s="380" t="s">
        <v>788</v>
      </c>
      <c r="J201" s="380" t="s">
        <v>773</v>
      </c>
      <c r="K201" s="381">
        <v>0.0</v>
      </c>
      <c r="L201" s="382">
        <v>1.0</v>
      </c>
    </row>
    <row r="202">
      <c r="A202" s="380" t="s">
        <v>1014</v>
      </c>
      <c r="B202" s="380" t="str">
        <f>IFERROR(__xludf.DUMMYFUNCTION("""COMPUTED_VALUE"""),"Manguera Caucho 5/16")</f>
        <v>Manguera Caucho 5/16</v>
      </c>
      <c r="C202" s="380" t="str">
        <f>IFERROR(__xludf.DUMMYFUNCTION("""COMPUTED_VALUE"""),"70002499")</f>
        <v>70002499</v>
      </c>
      <c r="D202" s="380" t="s">
        <v>767</v>
      </c>
      <c r="E202" s="380" t="s">
        <v>786</v>
      </c>
      <c r="F202" s="380" t="s">
        <v>989</v>
      </c>
      <c r="G202" s="380" t="s">
        <v>938</v>
      </c>
      <c r="H202" s="380" t="s">
        <v>771</v>
      </c>
      <c r="I202" s="380" t="s">
        <v>788</v>
      </c>
      <c r="J202" s="380" t="s">
        <v>773</v>
      </c>
      <c r="K202" s="381">
        <v>0.0</v>
      </c>
      <c r="L202" s="382">
        <v>1.0</v>
      </c>
    </row>
    <row r="203">
      <c r="A203" s="380" t="s">
        <v>1015</v>
      </c>
      <c r="B203" s="380" t="str">
        <f>IFERROR(__xludf.DUMMYFUNCTION("""COMPUTED_VALUE"""),"Manguera Caucho 3/8")</f>
        <v>Manguera Caucho 3/8</v>
      </c>
      <c r="C203" s="380" t="str">
        <f>IFERROR(__xludf.DUMMYFUNCTION("""COMPUTED_VALUE"""),"70002500")</f>
        <v>70002500</v>
      </c>
      <c r="D203" s="380" t="s">
        <v>767</v>
      </c>
      <c r="E203" s="380" t="s">
        <v>786</v>
      </c>
      <c r="F203" s="380" t="s">
        <v>989</v>
      </c>
      <c r="G203" s="380" t="s">
        <v>938</v>
      </c>
      <c r="H203" s="380" t="s">
        <v>771</v>
      </c>
      <c r="I203" s="380" t="s">
        <v>788</v>
      </c>
      <c r="J203" s="380" t="s">
        <v>773</v>
      </c>
      <c r="K203" s="381">
        <v>0.0</v>
      </c>
      <c r="L203" s="382">
        <v>1.0</v>
      </c>
    </row>
    <row r="204">
      <c r="A204" s="380" t="s">
        <v>1016</v>
      </c>
      <c r="B204" s="380" t="str">
        <f>IFERROR(__xludf.DUMMYFUNCTION("""COMPUTED_VALUE"""),"Juego Pastas Tras R Master 440603321R")</f>
        <v>Juego Pastas Tras R Master 440603321R</v>
      </c>
      <c r="C204" s="380" t="str">
        <f>IFERROR(__xludf.DUMMYFUNCTION("""COMPUTED_VALUE"""),"70003439")</f>
        <v>70003439</v>
      </c>
      <c r="D204" s="380" t="s">
        <v>767</v>
      </c>
      <c r="E204" s="380" t="s">
        <v>786</v>
      </c>
      <c r="F204" s="380" t="s">
        <v>1017</v>
      </c>
      <c r="G204" s="380" t="s">
        <v>938</v>
      </c>
      <c r="H204" s="380" t="s">
        <v>771</v>
      </c>
      <c r="I204" s="380" t="s">
        <v>788</v>
      </c>
      <c r="J204" s="380" t="s">
        <v>773</v>
      </c>
      <c r="K204" s="381">
        <v>0.0</v>
      </c>
      <c r="L204" s="382">
        <v>1.0</v>
      </c>
    </row>
    <row r="205">
      <c r="A205" s="380" t="s">
        <v>1018</v>
      </c>
      <c r="B205" s="380" t="str">
        <f>IFERROR(__xludf.DUMMYFUNCTION("""COMPUTED_VALUE"""),"Manguera Fabricada Montacargas")</f>
        <v>Manguera Fabricada Montacargas</v>
      </c>
      <c r="C205" s="380" t="str">
        <f>IFERROR(__xludf.DUMMYFUNCTION("""COMPUTED_VALUE"""),"70003440")</f>
        <v>70003440</v>
      </c>
      <c r="D205" s="380" t="s">
        <v>767</v>
      </c>
      <c r="E205" s="380" t="s">
        <v>786</v>
      </c>
      <c r="F205" s="380" t="s">
        <v>989</v>
      </c>
      <c r="G205" s="380" t="s">
        <v>938</v>
      </c>
      <c r="H205" s="380" t="s">
        <v>771</v>
      </c>
      <c r="I205" s="380" t="s">
        <v>788</v>
      </c>
      <c r="J205" s="380" t="s">
        <v>773</v>
      </c>
      <c r="K205" s="381">
        <v>0.0</v>
      </c>
      <c r="L205" s="382">
        <v>1.0</v>
      </c>
    </row>
    <row r="206">
      <c r="A206" s="380" t="s">
        <v>1019</v>
      </c>
      <c r="B206" s="380" t="str">
        <f>IFERROR(__xludf.DUMMYFUNCTION("""COMPUTED_VALUE"""),"Guardapolvo Caja Direc Izq 485728")</f>
        <v>Guardapolvo Caja Direc Izq 485728</v>
      </c>
      <c r="C206" s="380" t="str">
        <f>IFERROR(__xludf.DUMMYFUNCTION("""COMPUTED_VALUE"""),"70004001")</f>
        <v>70004001</v>
      </c>
      <c r="D206" s="380" t="s">
        <v>767</v>
      </c>
      <c r="E206" s="380" t="s">
        <v>786</v>
      </c>
      <c r="F206" s="380" t="s">
        <v>1020</v>
      </c>
      <c r="G206" s="380" t="s">
        <v>938</v>
      </c>
      <c r="H206" s="380" t="s">
        <v>771</v>
      </c>
      <c r="I206" s="380" t="s">
        <v>788</v>
      </c>
      <c r="J206" s="380" t="s">
        <v>773</v>
      </c>
      <c r="K206" s="381">
        <v>0.0</v>
      </c>
      <c r="L206" s="382">
        <v>1.0</v>
      </c>
    </row>
    <row r="207">
      <c r="A207" s="380" t="s">
        <v>1021</v>
      </c>
      <c r="B207" s="380" t="str">
        <f>IFERROR(__xludf.DUMMYFUNCTION("""COMPUTED_VALUE"""),"Cable Encauchetado 4 X 18")</f>
        <v>Cable Encauchetado 4 X 18</v>
      </c>
      <c r="C207" s="380" t="str">
        <f>IFERROR(__xludf.DUMMYFUNCTION("""COMPUTED_VALUE"""),"70005498")</f>
        <v>70005498</v>
      </c>
      <c r="D207" s="380" t="s">
        <v>767</v>
      </c>
      <c r="E207" s="380" t="s">
        <v>786</v>
      </c>
      <c r="F207" s="380" t="s">
        <v>998</v>
      </c>
      <c r="G207" s="380" t="s">
        <v>938</v>
      </c>
      <c r="H207" s="380" t="s">
        <v>771</v>
      </c>
      <c r="I207" s="380" t="s">
        <v>788</v>
      </c>
      <c r="J207" s="380" t="s">
        <v>773</v>
      </c>
      <c r="K207" s="381">
        <v>6069.0</v>
      </c>
      <c r="L207" s="382">
        <v>1.0</v>
      </c>
    </row>
    <row r="208">
      <c r="A208" s="380" t="s">
        <v>1022</v>
      </c>
      <c r="B208" s="380" t="str">
        <f>IFERROR(__xludf.DUMMYFUNCTION("""COMPUTED_VALUE"""),"Cable Bateria # 2 No2")</f>
        <v>Cable Bateria # 2 No2</v>
      </c>
      <c r="C208" s="380" t="str">
        <f>IFERROR(__xludf.DUMMYFUNCTION("""COMPUTED_VALUE"""),"70005657")</f>
        <v>70005657</v>
      </c>
      <c r="D208" s="380" t="s">
        <v>767</v>
      </c>
      <c r="E208" s="380" t="s">
        <v>786</v>
      </c>
      <c r="F208" s="380" t="s">
        <v>998</v>
      </c>
      <c r="G208" s="380" t="s">
        <v>938</v>
      </c>
      <c r="H208" s="380" t="s">
        <v>771</v>
      </c>
      <c r="I208" s="380" t="s">
        <v>788</v>
      </c>
      <c r="J208" s="380" t="s">
        <v>773</v>
      </c>
      <c r="K208" s="381">
        <v>0.0</v>
      </c>
      <c r="L208" s="382">
        <v>1.0</v>
      </c>
    </row>
    <row r="209">
      <c r="A209" s="380" t="s">
        <v>1023</v>
      </c>
      <c r="B209" s="380" t="str">
        <f>IFERROR(__xludf.DUMMYFUNCTION("""COMPUTED_VALUE"""),"Cable Duplex 2 X 16")</f>
        <v>Cable Duplex 2 X 16</v>
      </c>
      <c r="C209" s="380" t="str">
        <f>IFERROR(__xludf.DUMMYFUNCTION("""COMPUTED_VALUE"""),"70006106")</f>
        <v>70006106</v>
      </c>
      <c r="D209" s="380" t="s">
        <v>767</v>
      </c>
      <c r="E209" s="380" t="s">
        <v>786</v>
      </c>
      <c r="F209" s="380" t="s">
        <v>998</v>
      </c>
      <c r="G209" s="380" t="s">
        <v>938</v>
      </c>
      <c r="H209" s="380" t="s">
        <v>771</v>
      </c>
      <c r="I209" s="380" t="s">
        <v>788</v>
      </c>
      <c r="J209" s="380" t="s">
        <v>773</v>
      </c>
      <c r="K209" s="381">
        <v>0.0</v>
      </c>
      <c r="L209" s="382">
        <v>1.0</v>
      </c>
    </row>
    <row r="210">
      <c r="A210" s="380" t="s">
        <v>1024</v>
      </c>
      <c r="B210" s="380" t="str">
        <f>IFERROR(__xludf.DUMMYFUNCTION("""COMPUTED_VALUE"""),"Tubo Salida Agua Turbo Npr 8972100772")</f>
        <v>Tubo Salida Agua Turbo Npr 8972100772</v>
      </c>
      <c r="C210" s="380" t="str">
        <f>IFERROR(__xludf.DUMMYFUNCTION("""COMPUTED_VALUE"""),"70006148")</f>
        <v>70006148</v>
      </c>
      <c r="D210" s="380" t="s">
        <v>767</v>
      </c>
      <c r="E210" s="380" t="s">
        <v>786</v>
      </c>
      <c r="F210" s="380" t="s">
        <v>787</v>
      </c>
      <c r="G210" s="380" t="s">
        <v>938</v>
      </c>
      <c r="H210" s="380" t="s">
        <v>771</v>
      </c>
      <c r="I210" s="380" t="s">
        <v>788</v>
      </c>
      <c r="J210" s="380" t="s">
        <v>773</v>
      </c>
      <c r="K210" s="381">
        <v>0.0</v>
      </c>
      <c r="L210" s="382">
        <v>1.0</v>
      </c>
    </row>
    <row r="211">
      <c r="A211" s="380" t="s">
        <v>1025</v>
      </c>
      <c r="B211" s="380" t="str">
        <f>IFERROR(__xludf.DUMMYFUNCTION("""COMPUTED_VALUE"""),"Manguera Caucho 1/8")</f>
        <v>Manguera Caucho 1/8</v>
      </c>
      <c r="C211" s="380" t="str">
        <f>IFERROR(__xludf.DUMMYFUNCTION("""COMPUTED_VALUE"""),"70006171")</f>
        <v>70006171</v>
      </c>
      <c r="D211" s="380" t="s">
        <v>767</v>
      </c>
      <c r="E211" s="380" t="s">
        <v>786</v>
      </c>
      <c r="F211" s="380" t="s">
        <v>989</v>
      </c>
      <c r="G211" s="380" t="s">
        <v>938</v>
      </c>
      <c r="H211" s="380" t="s">
        <v>771</v>
      </c>
      <c r="I211" s="380" t="s">
        <v>788</v>
      </c>
      <c r="J211" s="380" t="s">
        <v>773</v>
      </c>
      <c r="K211" s="381">
        <v>0.0</v>
      </c>
      <c r="L211" s="382">
        <v>1.0</v>
      </c>
    </row>
    <row r="212">
      <c r="A212" s="380" t="s">
        <v>1026</v>
      </c>
      <c r="B212" s="380" t="str">
        <f>IFERROR(__xludf.DUMMYFUNCTION("""COMPUTED_VALUE"""),"Bomba Gasolina S Carry 1510085501")</f>
        <v>Bomba Gasolina S Carry 1510085501</v>
      </c>
      <c r="C212" s="380" t="str">
        <f>IFERROR(__xludf.DUMMYFUNCTION("""COMPUTED_VALUE"""),"70006186")</f>
        <v>70006186</v>
      </c>
      <c r="D212" s="380" t="s">
        <v>767</v>
      </c>
      <c r="E212" s="380" t="s">
        <v>786</v>
      </c>
      <c r="F212" s="380" t="s">
        <v>787</v>
      </c>
      <c r="G212" s="380" t="s">
        <v>938</v>
      </c>
      <c r="H212" s="380" t="s">
        <v>771</v>
      </c>
      <c r="I212" s="380" t="s">
        <v>788</v>
      </c>
      <c r="J212" s="380" t="s">
        <v>773</v>
      </c>
      <c r="K212" s="381">
        <v>0.0</v>
      </c>
      <c r="L212" s="382">
        <v>1.0</v>
      </c>
    </row>
    <row r="213">
      <c r="A213" s="380" t="s">
        <v>1027</v>
      </c>
      <c r="B213" s="380" t="str">
        <f>IFERROR(__xludf.DUMMYFUNCTION("""COMPUTED_VALUE"""),"Cable Encauchetado 3 X 12")</f>
        <v>Cable Encauchetado 3 X 12</v>
      </c>
      <c r="C213" s="380" t="str">
        <f>IFERROR(__xludf.DUMMYFUNCTION("""COMPUTED_VALUE"""),"70006347")</f>
        <v>70006347</v>
      </c>
      <c r="D213" s="380" t="s">
        <v>767</v>
      </c>
      <c r="E213" s="380" t="s">
        <v>786</v>
      </c>
      <c r="F213" s="380" t="s">
        <v>998</v>
      </c>
      <c r="G213" s="380" t="s">
        <v>938</v>
      </c>
      <c r="H213" s="380" t="s">
        <v>771</v>
      </c>
      <c r="I213" s="380" t="s">
        <v>788</v>
      </c>
      <c r="J213" s="380" t="s">
        <v>773</v>
      </c>
      <c r="K213" s="381">
        <v>10889.0</v>
      </c>
      <c r="L213" s="382">
        <v>1.0</v>
      </c>
    </row>
    <row r="214">
      <c r="A214" s="380" t="s">
        <v>1028</v>
      </c>
      <c r="B214" s="380" t="str">
        <f>IFERROR(__xludf.DUMMYFUNCTION("""COMPUTED_VALUE"""),"Cable Bateria Calibre 00")</f>
        <v>Cable Bateria Calibre 00</v>
      </c>
      <c r="C214" s="380" t="str">
        <f>IFERROR(__xludf.DUMMYFUNCTION("""COMPUTED_VALUE"""),"70006358")</f>
        <v>70006358</v>
      </c>
      <c r="D214" s="380" t="s">
        <v>767</v>
      </c>
      <c r="E214" s="380" t="s">
        <v>786</v>
      </c>
      <c r="F214" s="380" t="s">
        <v>998</v>
      </c>
      <c r="G214" s="380" t="s">
        <v>938</v>
      </c>
      <c r="H214" s="380" t="s">
        <v>771</v>
      </c>
      <c r="I214" s="380" t="s">
        <v>788</v>
      </c>
      <c r="J214" s="380" t="s">
        <v>773</v>
      </c>
      <c r="K214" s="381">
        <v>0.0</v>
      </c>
      <c r="L214" s="382">
        <v>1.0</v>
      </c>
    </row>
    <row r="215">
      <c r="A215" s="380" t="s">
        <v>1029</v>
      </c>
      <c r="B215" s="380" t="str">
        <f>IFERROR(__xludf.DUMMYFUNCTION("""COMPUTED_VALUE"""),"SOP Estribo CAB Npr Der 8978929651")</f>
        <v>SOP Estribo CAB Npr Der 8978929651</v>
      </c>
      <c r="C215" s="380" t="str">
        <f>IFERROR(__xludf.DUMMYFUNCTION("""COMPUTED_VALUE"""),"70006437")</f>
        <v>70006437</v>
      </c>
      <c r="D215" s="380" t="s">
        <v>767</v>
      </c>
      <c r="E215" s="380" t="s">
        <v>786</v>
      </c>
      <c r="F215" s="380" t="s">
        <v>792</v>
      </c>
      <c r="G215" s="380" t="s">
        <v>938</v>
      </c>
      <c r="H215" s="380" t="s">
        <v>771</v>
      </c>
      <c r="I215" s="380" t="s">
        <v>788</v>
      </c>
      <c r="J215" s="380" t="s">
        <v>773</v>
      </c>
      <c r="K215" s="381">
        <v>0.0</v>
      </c>
      <c r="L215" s="382">
        <v>1.0</v>
      </c>
    </row>
    <row r="216">
      <c r="A216" s="380" t="s">
        <v>1030</v>
      </c>
      <c r="B216" s="380" t="str">
        <f>IFERROR(__xludf.DUMMYFUNCTION("""COMPUTED_VALUE"""),"AIR AC Gener Aire Acondicionado Generico")</f>
        <v>AIR AC Gener Aire Acondicionado Generico</v>
      </c>
      <c r="C216" s="380" t="str">
        <f>IFERROR(__xludf.DUMMYFUNCTION("""COMPUTED_VALUE"""),"70006555")</f>
        <v>70006555</v>
      </c>
      <c r="D216" s="380" t="s">
        <v>767</v>
      </c>
      <c r="E216" s="380" t="s">
        <v>786</v>
      </c>
      <c r="F216" s="380" t="s">
        <v>1031</v>
      </c>
      <c r="G216" s="380" t="s">
        <v>938</v>
      </c>
      <c r="H216" s="380" t="s">
        <v>771</v>
      </c>
      <c r="I216" s="380" t="s">
        <v>788</v>
      </c>
      <c r="J216" s="380" t="s">
        <v>773</v>
      </c>
      <c r="K216" s="381">
        <v>0.0</v>
      </c>
      <c r="L216" s="382">
        <v>1.0</v>
      </c>
    </row>
    <row r="217">
      <c r="A217" s="380" t="s">
        <v>1032</v>
      </c>
      <c r="B217" s="380" t="str">
        <f>IFERROR(__xludf.DUMMYFUNCTION("""COMPUTED_VALUE"""),"Cable Encauchetado 3 X 16")</f>
        <v>Cable Encauchetado 3 X 16</v>
      </c>
      <c r="C217" s="380" t="str">
        <f>IFERROR(__xludf.DUMMYFUNCTION("""COMPUTED_VALUE"""),"70006557")</f>
        <v>70006557</v>
      </c>
      <c r="D217" s="380" t="s">
        <v>767</v>
      </c>
      <c r="E217" s="380" t="s">
        <v>786</v>
      </c>
      <c r="F217" s="380" t="s">
        <v>998</v>
      </c>
      <c r="G217" s="380" t="s">
        <v>938</v>
      </c>
      <c r="H217" s="380" t="s">
        <v>771</v>
      </c>
      <c r="I217" s="380" t="s">
        <v>788</v>
      </c>
      <c r="J217" s="380" t="s">
        <v>773</v>
      </c>
      <c r="K217" s="381">
        <v>0.0</v>
      </c>
      <c r="L217" s="382">
        <v>1.0</v>
      </c>
    </row>
    <row r="218">
      <c r="A218" s="380" t="s">
        <v>1033</v>
      </c>
      <c r="B218" s="380" t="str">
        <f>IFERROR(__xludf.DUMMYFUNCTION("""COMPUTED_VALUE"""),"Coraza Americana De 1""")</f>
        <v>Coraza Americana De 1"</v>
      </c>
      <c r="C218" s="380" t="str">
        <f>IFERROR(__xludf.DUMMYFUNCTION("""COMPUTED_VALUE"""),"70006762")</f>
        <v>70006762</v>
      </c>
      <c r="D218" s="380" t="s">
        <v>767</v>
      </c>
      <c r="E218" s="380" t="s">
        <v>786</v>
      </c>
      <c r="F218" s="380" t="s">
        <v>998</v>
      </c>
      <c r="G218" s="380" t="s">
        <v>938</v>
      </c>
      <c r="H218" s="380" t="s">
        <v>771</v>
      </c>
      <c r="I218" s="380" t="s">
        <v>788</v>
      </c>
      <c r="J218" s="380" t="s">
        <v>773</v>
      </c>
      <c r="K218" s="381">
        <v>0.0</v>
      </c>
      <c r="L218" s="382">
        <v>1.0</v>
      </c>
    </row>
    <row r="219">
      <c r="A219" s="380" t="s">
        <v>1034</v>
      </c>
      <c r="B219" s="380" t="str">
        <f>IFERROR(__xludf.DUMMYFUNCTION("""COMPUTED_VALUE"""),"EMP Abrazadera TANQ COMB 2 1/2""")</f>
        <v>EMP Abrazadera TANQ COMB 2 1/2"</v>
      </c>
      <c r="C219" s="380" t="str">
        <f>IFERROR(__xludf.DUMMYFUNCTION("""COMPUTED_VALUE"""),"70006874")</f>
        <v>70006874</v>
      </c>
      <c r="D219" s="380" t="s">
        <v>767</v>
      </c>
      <c r="E219" s="380" t="s">
        <v>786</v>
      </c>
      <c r="F219" s="380" t="s">
        <v>787</v>
      </c>
      <c r="G219" s="380" t="s">
        <v>938</v>
      </c>
      <c r="H219" s="380" t="s">
        <v>771</v>
      </c>
      <c r="I219" s="380" t="s">
        <v>788</v>
      </c>
      <c r="J219" s="380" t="s">
        <v>773</v>
      </c>
      <c r="K219" s="381">
        <v>0.0</v>
      </c>
      <c r="L219" s="382">
        <v>1.0</v>
      </c>
    </row>
    <row r="220">
      <c r="A220" s="380" t="s">
        <v>1035</v>
      </c>
      <c r="B220" s="380" t="str">
        <f>IFERROR(__xludf.DUMMYFUNCTION("""COMPUTED_VALUE"""),"Lampara DIRal Del Der T Delta 8151087383")</f>
        <v>Lampara DIRal Del Der T Delta 8151087383</v>
      </c>
      <c r="C220" s="380" t="str">
        <f>IFERROR(__xludf.DUMMYFUNCTION("""COMPUTED_VALUE"""),"70006880")</f>
        <v>70006880</v>
      </c>
      <c r="D220" s="380" t="s">
        <v>767</v>
      </c>
      <c r="E220" s="380" t="s">
        <v>786</v>
      </c>
      <c r="F220" s="380" t="s">
        <v>998</v>
      </c>
      <c r="G220" s="380" t="s">
        <v>938</v>
      </c>
      <c r="H220" s="380" t="s">
        <v>771</v>
      </c>
      <c r="I220" s="380" t="s">
        <v>788</v>
      </c>
      <c r="J220" s="380" t="s">
        <v>773</v>
      </c>
      <c r="K220" s="381">
        <v>0.0</v>
      </c>
      <c r="L220" s="382">
        <v>1.0</v>
      </c>
    </row>
    <row r="221">
      <c r="A221" s="380" t="s">
        <v>1036</v>
      </c>
      <c r="B221" s="380" t="str">
        <f>IFERROR(__xludf.DUMMYFUNCTION("""COMPUTED_VALUE"""),"Tapa Carcaza Filtro Aire Eag 2039515c1")</f>
        <v>Tapa Carcaza Filtro Aire Eag 2039515c1</v>
      </c>
      <c r="C221" s="380" t="str">
        <f>IFERROR(__xludf.DUMMYFUNCTION("""COMPUTED_VALUE"""),"70007162")</f>
        <v>70007162</v>
      </c>
      <c r="D221" s="380" t="s">
        <v>767</v>
      </c>
      <c r="E221" s="380" t="s">
        <v>786</v>
      </c>
      <c r="F221" s="380" t="s">
        <v>787</v>
      </c>
      <c r="G221" s="380" t="s">
        <v>938</v>
      </c>
      <c r="H221" s="380" t="s">
        <v>771</v>
      </c>
      <c r="I221" s="380" t="s">
        <v>788</v>
      </c>
      <c r="J221" s="380" t="s">
        <v>773</v>
      </c>
      <c r="K221" s="381">
        <v>0.0</v>
      </c>
      <c r="L221" s="382">
        <v>1.0</v>
      </c>
    </row>
    <row r="222">
      <c r="A222" s="380" t="s">
        <v>1037</v>
      </c>
      <c r="B222" s="380" t="str">
        <f>IFERROR(__xludf.DUMMYFUNCTION("""COMPUTED_VALUE"""),"Cable Vehiculo N-18")</f>
        <v>Cable Vehiculo N-18</v>
      </c>
      <c r="C222" s="380" t="str">
        <f>IFERROR(__xludf.DUMMYFUNCTION("""COMPUTED_VALUE"""),"70007443")</f>
        <v>70007443</v>
      </c>
      <c r="D222" s="380" t="s">
        <v>767</v>
      </c>
      <c r="E222" s="380" t="s">
        <v>786</v>
      </c>
      <c r="F222" s="380" t="s">
        <v>998</v>
      </c>
      <c r="G222" s="380" t="s">
        <v>938</v>
      </c>
      <c r="H222" s="380" t="s">
        <v>771</v>
      </c>
      <c r="I222" s="380" t="s">
        <v>788</v>
      </c>
      <c r="J222" s="380" t="s">
        <v>773</v>
      </c>
      <c r="K222" s="381">
        <v>1296.0</v>
      </c>
      <c r="L222" s="382">
        <v>1.0</v>
      </c>
    </row>
    <row r="223">
      <c r="A223" s="380" t="s">
        <v>1038</v>
      </c>
      <c r="B223" s="380" t="str">
        <f>IFERROR(__xludf.DUMMYFUNCTION("""COMPUTED_VALUE"""),"Tapa Cubo Rueda Del N14 9925 64249")</f>
        <v>Tapa Cubo Rueda Del N14 9925 64249</v>
      </c>
      <c r="C223" s="380" t="str">
        <f>IFERROR(__xludf.DUMMYFUNCTION("""COMPUTED_VALUE"""),"70007445")</f>
        <v>70007445</v>
      </c>
      <c r="D223" s="380" t="s">
        <v>767</v>
      </c>
      <c r="E223" s="380" t="s">
        <v>786</v>
      </c>
      <c r="F223" s="380" t="s">
        <v>1039</v>
      </c>
      <c r="G223" s="380" t="s">
        <v>938</v>
      </c>
      <c r="H223" s="380" t="s">
        <v>771</v>
      </c>
      <c r="I223" s="380" t="s">
        <v>788</v>
      </c>
      <c r="J223" s="380" t="s">
        <v>773</v>
      </c>
      <c r="K223" s="381">
        <v>0.0</v>
      </c>
      <c r="L223" s="382">
        <v>1.0</v>
      </c>
    </row>
    <row r="224">
      <c r="A224" s="380" t="s">
        <v>1040</v>
      </c>
      <c r="B224" s="380" t="str">
        <f>IFERROR(__xludf.DUMMYFUNCTION("""COMPUTED_VALUE"""),"VALV Reparticion Mang AIR TRL Tp 3c31493")</f>
        <v>VALV Reparticion Mang AIR TRL Tp 3c31493</v>
      </c>
      <c r="C224" s="380" t="str">
        <f>IFERROR(__xludf.DUMMYFUNCTION("""COMPUTED_VALUE"""),"70007459")</f>
        <v>70007459</v>
      </c>
      <c r="D224" s="380" t="s">
        <v>767</v>
      </c>
      <c r="E224" s="380" t="s">
        <v>786</v>
      </c>
      <c r="F224" s="380" t="s">
        <v>792</v>
      </c>
      <c r="G224" s="380" t="s">
        <v>938</v>
      </c>
      <c r="H224" s="380" t="s">
        <v>771</v>
      </c>
      <c r="I224" s="380" t="s">
        <v>788</v>
      </c>
      <c r="J224" s="380" t="s">
        <v>773</v>
      </c>
      <c r="K224" s="381">
        <v>0.0</v>
      </c>
      <c r="L224" s="382">
        <v>1.0</v>
      </c>
    </row>
    <row r="225">
      <c r="A225" s="380" t="s">
        <v>1041</v>
      </c>
      <c r="B225" s="380" t="str">
        <f>IFERROR(__xludf.DUMMYFUNCTION("""COMPUTED_VALUE"""),"Manija Pta Exter Cabina S C 8282085000")</f>
        <v>Manija Pta Exter Cabina S C 8282085000</v>
      </c>
      <c r="C225" s="380" t="str">
        <f>IFERROR(__xludf.DUMMYFUNCTION("""COMPUTED_VALUE"""),"70007482")</f>
        <v>70007482</v>
      </c>
      <c r="D225" s="380" t="s">
        <v>767</v>
      </c>
      <c r="E225" s="380" t="s">
        <v>786</v>
      </c>
      <c r="F225" s="380" t="s">
        <v>792</v>
      </c>
      <c r="G225" s="380" t="s">
        <v>938</v>
      </c>
      <c r="H225" s="380" t="s">
        <v>771</v>
      </c>
      <c r="I225" s="380" t="s">
        <v>788</v>
      </c>
      <c r="J225" s="380" t="s">
        <v>773</v>
      </c>
      <c r="K225" s="381">
        <v>0.0</v>
      </c>
      <c r="L225" s="382">
        <v>1.0</v>
      </c>
    </row>
    <row r="226">
      <c r="A226" s="380" t="s">
        <v>1042</v>
      </c>
      <c r="B226" s="380" t="str">
        <f>IFERROR(__xludf.DUMMYFUNCTION("""COMPUTED_VALUE"""),"Manija Elevavidrio Npr 3550 Gp")</f>
        <v>Manija Elevavidrio Npr 3550 Gp</v>
      </c>
      <c r="C226" s="380" t="str">
        <f>IFERROR(__xludf.DUMMYFUNCTION("""COMPUTED_VALUE"""),"70007509")</f>
        <v>70007509</v>
      </c>
      <c r="D226" s="380" t="s">
        <v>767</v>
      </c>
      <c r="E226" s="380" t="s">
        <v>786</v>
      </c>
      <c r="F226" s="380" t="s">
        <v>792</v>
      </c>
      <c r="G226" s="380" t="s">
        <v>938</v>
      </c>
      <c r="H226" s="380" t="s">
        <v>771</v>
      </c>
      <c r="I226" s="380" t="s">
        <v>788</v>
      </c>
      <c r="J226" s="380" t="s">
        <v>773</v>
      </c>
      <c r="K226" s="381">
        <v>0.0</v>
      </c>
      <c r="L226" s="382">
        <v>1.0</v>
      </c>
    </row>
    <row r="227">
      <c r="A227" s="380" t="s">
        <v>1043</v>
      </c>
      <c r="B227" s="380" t="str">
        <f>IFERROR(__xludf.DUMMYFUNCTION("""COMPUTED_VALUE"""),"Tapizado Cojineria")</f>
        <v>Tapizado Cojineria</v>
      </c>
      <c r="C227" s="380" t="str">
        <f>IFERROR(__xludf.DUMMYFUNCTION("""COMPUTED_VALUE"""),"70007526")</f>
        <v>70007526</v>
      </c>
      <c r="D227" s="380" t="s">
        <v>767</v>
      </c>
      <c r="E227" s="380" t="s">
        <v>786</v>
      </c>
      <c r="F227" s="380" t="s">
        <v>792</v>
      </c>
      <c r="G227" s="380" t="s">
        <v>938</v>
      </c>
      <c r="H227" s="380" t="s">
        <v>771</v>
      </c>
      <c r="I227" s="380" t="s">
        <v>788</v>
      </c>
      <c r="J227" s="380" t="s">
        <v>773</v>
      </c>
      <c r="K227" s="381">
        <v>0.0</v>
      </c>
      <c r="L227" s="382">
        <v>1.0</v>
      </c>
    </row>
    <row r="228">
      <c r="A228" s="380" t="s">
        <v>1044</v>
      </c>
      <c r="B228" s="380" t="str">
        <f>IFERROR(__xludf.DUMMYFUNCTION("""COMPUTED_VALUE"""),"Leva Freno TRAS DER Prostar 2210m7631")</f>
        <v>Leva Freno TRAS DER Prostar 2210m7631</v>
      </c>
      <c r="C228" s="380" t="str">
        <f>IFERROR(__xludf.DUMMYFUNCTION("""COMPUTED_VALUE"""),"70007534")</f>
        <v>70007534</v>
      </c>
      <c r="D228" s="380" t="s">
        <v>767</v>
      </c>
      <c r="E228" s="380" t="s">
        <v>786</v>
      </c>
      <c r="F228" s="380" t="s">
        <v>1017</v>
      </c>
      <c r="G228" s="380" t="s">
        <v>938</v>
      </c>
      <c r="H228" s="380" t="s">
        <v>771</v>
      </c>
      <c r="I228" s="380" t="s">
        <v>788</v>
      </c>
      <c r="J228" s="380" t="s">
        <v>773</v>
      </c>
      <c r="K228" s="381">
        <v>0.0</v>
      </c>
      <c r="L228" s="382">
        <v>1.0</v>
      </c>
    </row>
    <row r="229">
      <c r="A229" s="380" t="s">
        <v>1045</v>
      </c>
      <c r="B229" s="380" t="str">
        <f>IFERROR(__xludf.DUMMYFUNCTION("""COMPUTED_VALUE"""),"Moldura Persina Radiador Nkr 5867120520")</f>
        <v>Moldura Persina Radiador Nkr 5867120520</v>
      </c>
      <c r="C229" s="380" t="str">
        <f>IFERROR(__xludf.DUMMYFUNCTION("""COMPUTED_VALUE"""),"70007822")</f>
        <v>70007822</v>
      </c>
      <c r="D229" s="380" t="s">
        <v>767</v>
      </c>
      <c r="E229" s="380" t="s">
        <v>786</v>
      </c>
      <c r="F229" s="380" t="s">
        <v>792</v>
      </c>
      <c r="G229" s="380" t="s">
        <v>938</v>
      </c>
      <c r="H229" s="380" t="s">
        <v>771</v>
      </c>
      <c r="I229" s="380" t="s">
        <v>788</v>
      </c>
      <c r="J229" s="380" t="s">
        <v>773</v>
      </c>
      <c r="K229" s="381">
        <v>0.0</v>
      </c>
      <c r="L229" s="382">
        <v>1.0</v>
      </c>
    </row>
    <row r="230">
      <c r="A230" s="380" t="s">
        <v>1046</v>
      </c>
      <c r="B230" s="380" t="str">
        <f>IFERROR(__xludf.DUMMYFUNCTION("""COMPUTED_VALUE"""),"Bocin Rin De Disco Bendix Reparado")</f>
        <v>Bocin Rin De Disco Bendix Reparado</v>
      </c>
      <c r="C230" s="380" t="str">
        <f>IFERROR(__xludf.DUMMYFUNCTION("""COMPUTED_VALUE"""),"70007920")</f>
        <v>70007920</v>
      </c>
      <c r="D230" s="380" t="s">
        <v>767</v>
      </c>
      <c r="E230" s="380" t="s">
        <v>786</v>
      </c>
      <c r="F230" s="380" t="s">
        <v>1017</v>
      </c>
      <c r="G230" s="380" t="s">
        <v>938</v>
      </c>
      <c r="H230" s="380" t="s">
        <v>771</v>
      </c>
      <c r="I230" s="380" t="s">
        <v>788</v>
      </c>
      <c r="J230" s="380" t="s">
        <v>773</v>
      </c>
      <c r="K230" s="381">
        <v>0.0</v>
      </c>
      <c r="L230" s="382">
        <v>1.0</v>
      </c>
    </row>
    <row r="231">
      <c r="A231" s="380" t="s">
        <v>1047</v>
      </c>
      <c r="B231" s="380" t="str">
        <f>IFERROR(__xludf.DUMMYFUNCTION("""COMPUTED_VALUE"""),"Banda Trasera Hi Supertrack Remachada")</f>
        <v>Banda Trasera Hi Supertrack Remachada</v>
      </c>
      <c r="C231" s="380" t="str">
        <f>IFERROR(__xludf.DUMMYFUNCTION("""COMPUTED_VALUE"""),"70008162")</f>
        <v>70008162</v>
      </c>
      <c r="D231" s="380" t="s">
        <v>767</v>
      </c>
      <c r="E231" s="380" t="s">
        <v>786</v>
      </c>
      <c r="F231" s="380" t="s">
        <v>1017</v>
      </c>
      <c r="G231" s="380" t="s">
        <v>938</v>
      </c>
      <c r="H231" s="380" t="s">
        <v>771</v>
      </c>
      <c r="I231" s="380" t="s">
        <v>788</v>
      </c>
      <c r="J231" s="380" t="s">
        <v>773</v>
      </c>
      <c r="K231" s="381">
        <v>0.0</v>
      </c>
      <c r="L231" s="382">
        <v>1.0</v>
      </c>
    </row>
    <row r="232">
      <c r="A232" s="380" t="s">
        <v>1048</v>
      </c>
      <c r="B232" s="380" t="str">
        <f>IFERROR(__xludf.DUMMYFUNCTION("""COMPUTED_VALUE"""),"Caja Dir Internacional Prostar Reparado")</f>
        <v>Caja Dir Internacional Prostar Reparado</v>
      </c>
      <c r="C232" s="380" t="str">
        <f>IFERROR(__xludf.DUMMYFUNCTION("""COMPUTED_VALUE"""),"70008203")</f>
        <v>70008203</v>
      </c>
      <c r="D232" s="380" t="s">
        <v>767</v>
      </c>
      <c r="E232" s="380" t="s">
        <v>786</v>
      </c>
      <c r="F232" s="380" t="s">
        <v>928</v>
      </c>
      <c r="G232" s="380" t="s">
        <v>938</v>
      </c>
      <c r="H232" s="380" t="s">
        <v>771</v>
      </c>
      <c r="I232" s="380" t="s">
        <v>788</v>
      </c>
      <c r="J232" s="380" t="s">
        <v>773</v>
      </c>
      <c r="K232" s="381">
        <v>0.0</v>
      </c>
      <c r="L232" s="382">
        <v>1.0</v>
      </c>
    </row>
    <row r="233">
      <c r="A233" s="380" t="s">
        <v>1049</v>
      </c>
      <c r="B233" s="380" t="str">
        <f>IFERROR(__xludf.DUMMYFUNCTION("""COMPUTED_VALUE"""),"Puntera Bomper Der Vw 8150 2rd807104")</f>
        <v>Puntera Bomper Der Vw 8150 2rd807104</v>
      </c>
      <c r="C233" s="380" t="str">
        <f>IFERROR(__xludf.DUMMYFUNCTION("""COMPUTED_VALUE"""),"70008742")</f>
        <v>70008742</v>
      </c>
      <c r="D233" s="380" t="s">
        <v>767</v>
      </c>
      <c r="E233" s="380" t="s">
        <v>786</v>
      </c>
      <c r="F233" s="380" t="s">
        <v>792</v>
      </c>
      <c r="G233" s="380" t="s">
        <v>938</v>
      </c>
      <c r="H233" s="380" t="s">
        <v>771</v>
      </c>
      <c r="I233" s="380" t="s">
        <v>788</v>
      </c>
      <c r="J233" s="380" t="s">
        <v>773</v>
      </c>
      <c r="K233" s="381">
        <v>0.0</v>
      </c>
      <c r="L233" s="382">
        <v>1.0</v>
      </c>
    </row>
    <row r="234">
      <c r="A234" s="380" t="s">
        <v>1050</v>
      </c>
      <c r="B234" s="380" t="str">
        <f>IFERROR(__xludf.DUMMYFUNCTION("""COMPUTED_VALUE"""),"Biela Motor Nhr-Nkr Reparado")</f>
        <v>Biela Motor Nhr-Nkr Reparado</v>
      </c>
      <c r="C234" s="380" t="str">
        <f>IFERROR(__xludf.DUMMYFUNCTION("""COMPUTED_VALUE"""),"70008838")</f>
        <v>70008838</v>
      </c>
      <c r="D234" s="380" t="s">
        <v>767</v>
      </c>
      <c r="E234" s="380" t="s">
        <v>786</v>
      </c>
      <c r="F234" s="380" t="s">
        <v>787</v>
      </c>
      <c r="G234" s="380" t="s">
        <v>938</v>
      </c>
      <c r="H234" s="380" t="s">
        <v>771</v>
      </c>
      <c r="I234" s="380" t="s">
        <v>788</v>
      </c>
      <c r="J234" s="380" t="s">
        <v>773</v>
      </c>
      <c r="K234" s="381">
        <v>0.0</v>
      </c>
      <c r="L234" s="382">
        <v>1.0</v>
      </c>
    </row>
    <row r="235">
      <c r="A235" s="380" t="s">
        <v>1051</v>
      </c>
      <c r="B235" s="380" t="str">
        <f>IFERROR(__xludf.DUMMYFUNCTION("""COMPUTED_VALUE"""),"Espejo Retrovisor Hi-Sb Reparado")</f>
        <v>Espejo Retrovisor Hi-Sb Reparado</v>
      </c>
      <c r="C235" s="380" t="str">
        <f>IFERROR(__xludf.DUMMYFUNCTION("""COMPUTED_VALUE"""),"70008856")</f>
        <v>70008856</v>
      </c>
      <c r="D235" s="380" t="s">
        <v>767</v>
      </c>
      <c r="E235" s="380" t="s">
        <v>786</v>
      </c>
      <c r="F235" s="380" t="s">
        <v>792</v>
      </c>
      <c r="G235" s="380" t="s">
        <v>938</v>
      </c>
      <c r="H235" s="380" t="s">
        <v>771</v>
      </c>
      <c r="I235" s="380" t="s">
        <v>788</v>
      </c>
      <c r="J235" s="380" t="s">
        <v>773</v>
      </c>
      <c r="K235" s="381">
        <v>0.0</v>
      </c>
      <c r="L235" s="382">
        <v>1.0</v>
      </c>
    </row>
    <row r="236">
      <c r="A236" s="380" t="s">
        <v>1052</v>
      </c>
      <c r="B236" s="380" t="str">
        <f>IFERROR(__xludf.DUMMYFUNCTION("""COMPUTED_VALUE"""),"Caucho Porta Sproket Akt125 714230")</f>
        <v>Caucho Porta Sproket Akt125 714230</v>
      </c>
      <c r="C236" s="380" t="str">
        <f>IFERROR(__xludf.DUMMYFUNCTION("""COMPUTED_VALUE"""),"70009028")</f>
        <v>70009028</v>
      </c>
      <c r="D236" s="380" t="s">
        <v>767</v>
      </c>
      <c r="E236" s="380" t="s">
        <v>786</v>
      </c>
      <c r="F236" s="380" t="s">
        <v>792</v>
      </c>
      <c r="G236" s="380" t="s">
        <v>938</v>
      </c>
      <c r="H236" s="380" t="s">
        <v>771</v>
      </c>
      <c r="I236" s="380" t="s">
        <v>788</v>
      </c>
      <c r="J236" s="380" t="s">
        <v>773</v>
      </c>
      <c r="K236" s="381">
        <v>0.0</v>
      </c>
      <c r="L236" s="382">
        <v>1.0</v>
      </c>
    </row>
    <row r="237">
      <c r="A237" s="380" t="s">
        <v>1053</v>
      </c>
      <c r="B237" s="380" t="str">
        <f>IFERROR(__xludf.DUMMYFUNCTION("""COMPUTED_VALUE"""),"Rollo De Cable 7 Hilos Calibr Blanco")</f>
        <v>Rollo De Cable 7 Hilos Calibr Blanco</v>
      </c>
      <c r="C237" s="380" t="str">
        <f>IFERROR(__xludf.DUMMYFUNCTION("""COMPUTED_VALUE"""),"80000025")</f>
        <v>80000025</v>
      </c>
      <c r="D237" s="380" t="s">
        <v>767</v>
      </c>
      <c r="E237" s="380" t="s">
        <v>776</v>
      </c>
      <c r="F237" s="380" t="s">
        <v>777</v>
      </c>
      <c r="G237" s="380" t="s">
        <v>938</v>
      </c>
      <c r="H237" s="380" t="s">
        <v>771</v>
      </c>
      <c r="I237" s="380" t="s">
        <v>778</v>
      </c>
      <c r="J237" s="380" t="s">
        <v>773</v>
      </c>
      <c r="K237" s="381">
        <v>0.0</v>
      </c>
      <c r="L237" s="382">
        <v>1.0</v>
      </c>
    </row>
    <row r="238">
      <c r="A238" s="380" t="s">
        <v>1054</v>
      </c>
      <c r="B238" s="380" t="str">
        <f>IFERROR(__xludf.DUMMYFUNCTION("""COMPUTED_VALUE"""),"Vinilo Esmerilado Opalizado De")</f>
        <v>Vinilo Esmerilado Opalizado De</v>
      </c>
      <c r="C238" s="380" t="str">
        <f>IFERROR(__xludf.DUMMYFUNCTION("""COMPUTED_VALUE"""),"80000145")</f>
        <v>80000145</v>
      </c>
      <c r="D238" s="380" t="s">
        <v>767</v>
      </c>
      <c r="E238" s="380" t="s">
        <v>776</v>
      </c>
      <c r="F238" s="380" t="s">
        <v>777</v>
      </c>
      <c r="G238" s="380" t="s">
        <v>938</v>
      </c>
      <c r="H238" s="380" t="s">
        <v>771</v>
      </c>
      <c r="I238" s="380" t="s">
        <v>778</v>
      </c>
      <c r="J238" s="380" t="s">
        <v>773</v>
      </c>
      <c r="K238" s="381">
        <v>0.0</v>
      </c>
      <c r="L238" s="382">
        <v>1.0</v>
      </c>
    </row>
    <row r="239">
      <c r="A239" s="380" t="s">
        <v>1055</v>
      </c>
      <c r="B239" s="380" t="str">
        <f>IFERROR(__xludf.DUMMYFUNCTION("""COMPUTED_VALUE"""),"Cadena Did 12B1- 3/4 Simplex B")</f>
        <v>Cadena Did 12B1- 3/4 Simplex B</v>
      </c>
      <c r="C239" s="380" t="str">
        <f>IFERROR(__xludf.DUMMYFUNCTION("""COMPUTED_VALUE"""),"80000237")</f>
        <v>80000237</v>
      </c>
      <c r="D239" s="380" t="s">
        <v>767</v>
      </c>
      <c r="E239" s="380" t="s">
        <v>776</v>
      </c>
      <c r="F239" s="380" t="s">
        <v>976</v>
      </c>
      <c r="G239" s="380" t="s">
        <v>938</v>
      </c>
      <c r="H239" s="380" t="s">
        <v>771</v>
      </c>
      <c r="I239" s="380" t="s">
        <v>788</v>
      </c>
      <c r="J239" s="380" t="s">
        <v>773</v>
      </c>
      <c r="K239" s="381">
        <v>0.0</v>
      </c>
      <c r="L239" s="382">
        <v>1.0</v>
      </c>
    </row>
    <row r="240">
      <c r="A240" s="380" t="s">
        <v>1056</v>
      </c>
      <c r="B240" s="380" t="str">
        <f>IFERROR(__xludf.DUMMYFUNCTION("""COMPUTED_VALUE"""),"Cadena Sh 10B1 5/8 Simplex Be")</f>
        <v>Cadena Sh 10B1 5/8 Simplex Be</v>
      </c>
      <c r="C240" s="380" t="str">
        <f>IFERROR(__xludf.DUMMYFUNCTION("""COMPUTED_VALUE"""),"80000263")</f>
        <v>80000263</v>
      </c>
      <c r="D240" s="380" t="s">
        <v>767</v>
      </c>
      <c r="E240" s="380" t="s">
        <v>776</v>
      </c>
      <c r="F240" s="380" t="s">
        <v>976</v>
      </c>
      <c r="G240" s="380" t="s">
        <v>938</v>
      </c>
      <c r="H240" s="380" t="s">
        <v>771</v>
      </c>
      <c r="I240" s="380" t="s">
        <v>788</v>
      </c>
      <c r="J240" s="380" t="s">
        <v>773</v>
      </c>
      <c r="K240" s="381">
        <v>0.0</v>
      </c>
      <c r="L240" s="382">
        <v>1.0</v>
      </c>
    </row>
    <row r="241">
      <c r="A241" s="380" t="s">
        <v>1057</v>
      </c>
      <c r="B241" s="380" t="str">
        <f>IFERROR(__xludf.DUMMYFUNCTION("""COMPUTED_VALUE"""),"Cable Plano Cero Halogenos Ra-")</f>
        <v>Cable Plano Cero Halogenos Ra-</v>
      </c>
      <c r="C241" s="380" t="str">
        <f>IFERROR(__xludf.DUMMYFUNCTION("""COMPUTED_VALUE"""),"80000408")</f>
        <v>80000408</v>
      </c>
      <c r="D241" s="380" t="s">
        <v>767</v>
      </c>
      <c r="E241" s="380" t="s">
        <v>776</v>
      </c>
      <c r="F241" s="380" t="s">
        <v>1058</v>
      </c>
      <c r="G241" s="380" t="s">
        <v>938</v>
      </c>
      <c r="H241" s="380" t="s">
        <v>771</v>
      </c>
      <c r="I241" s="380" t="s">
        <v>788</v>
      </c>
      <c r="J241" s="380" t="s">
        <v>773</v>
      </c>
      <c r="K241" s="381">
        <v>0.0</v>
      </c>
      <c r="L241" s="382">
        <v>1.0</v>
      </c>
    </row>
    <row r="242">
      <c r="A242" s="380" t="s">
        <v>1059</v>
      </c>
      <c r="B242" s="380" t="str">
        <f>IFERROR(__xludf.DUMMYFUNCTION("""COMPUTED_VALUE"""),"Cable Maniobra Asi Interno 2X1")</f>
        <v>Cable Maniobra Asi Interno 2X1</v>
      </c>
      <c r="C242" s="380" t="str">
        <f>IFERROR(__xludf.DUMMYFUNCTION("""COMPUTED_VALUE"""),"80000442")</f>
        <v>80000442</v>
      </c>
      <c r="D242" s="380" t="s">
        <v>767</v>
      </c>
      <c r="E242" s="380" t="s">
        <v>776</v>
      </c>
      <c r="F242" s="380" t="s">
        <v>1058</v>
      </c>
      <c r="G242" s="380" t="s">
        <v>938</v>
      </c>
      <c r="H242" s="380" t="s">
        <v>771</v>
      </c>
      <c r="I242" s="380" t="s">
        <v>788</v>
      </c>
      <c r="J242" s="380" t="s">
        <v>773</v>
      </c>
      <c r="K242" s="381">
        <v>0.0</v>
      </c>
      <c r="L242" s="382">
        <v>1.0</v>
      </c>
    </row>
    <row r="243">
      <c r="A243" s="380" t="s">
        <v>1060</v>
      </c>
      <c r="B243" s="380" t="str">
        <f>IFERROR(__xludf.DUMMYFUNCTION("""COMPUTED_VALUE"""),"Cable Potencia Asi Externo 2X1")</f>
        <v>Cable Potencia Asi Externo 2X1</v>
      </c>
      <c r="C243" s="380" t="str">
        <f>IFERROR(__xludf.DUMMYFUNCTION("""COMPUTED_VALUE"""),"80000443")</f>
        <v>80000443</v>
      </c>
      <c r="D243" s="380" t="s">
        <v>767</v>
      </c>
      <c r="E243" s="380" t="s">
        <v>776</v>
      </c>
      <c r="F243" s="380" t="s">
        <v>1058</v>
      </c>
      <c r="G243" s="380" t="s">
        <v>938</v>
      </c>
      <c r="H243" s="380" t="s">
        <v>771</v>
      </c>
      <c r="I243" s="380" t="s">
        <v>788</v>
      </c>
      <c r="J243" s="380" t="s">
        <v>773</v>
      </c>
      <c r="K243" s="381">
        <v>0.0</v>
      </c>
      <c r="L243" s="382">
        <v>1.0</v>
      </c>
    </row>
    <row r="244">
      <c r="A244" s="380" t="s">
        <v>1061</v>
      </c>
      <c r="B244" s="380" t="str">
        <f>IFERROR(__xludf.DUMMYFUNCTION("""COMPUTED_VALUE"""),"Cable Profinet Flexible 2X2X0,")</f>
        <v>Cable Profinet Flexible 2X2X0,</v>
      </c>
      <c r="C244" s="380" t="str">
        <f>IFERROR(__xludf.DUMMYFUNCTION("""COMPUTED_VALUE"""),"80000518")</f>
        <v>80000518</v>
      </c>
      <c r="D244" s="380" t="s">
        <v>767</v>
      </c>
      <c r="E244" s="380" t="s">
        <v>776</v>
      </c>
      <c r="F244" s="380" t="s">
        <v>1058</v>
      </c>
      <c r="G244" s="380" t="s">
        <v>938</v>
      </c>
      <c r="H244" s="380" t="s">
        <v>771</v>
      </c>
      <c r="I244" s="380" t="s">
        <v>788</v>
      </c>
      <c r="J244" s="380" t="s">
        <v>773</v>
      </c>
      <c r="K244" s="381">
        <v>0.0</v>
      </c>
      <c r="L244" s="382">
        <v>1.0</v>
      </c>
    </row>
    <row r="245">
      <c r="A245" s="380" t="s">
        <v>1062</v>
      </c>
      <c r="B245" s="380" t="str">
        <f>IFERROR(__xludf.DUMMYFUNCTION("""COMPUTED_VALUE"""),"Banda Ifz W=1180 El 0/V10 Np-S")</f>
        <v>Banda Ifz W=1180 El 0/V10 Np-S</v>
      </c>
      <c r="C245" s="380" t="str">
        <f>IFERROR(__xludf.DUMMYFUNCTION("""COMPUTED_VALUE"""),"80000630")</f>
        <v>80000630</v>
      </c>
      <c r="D245" s="380" t="s">
        <v>767</v>
      </c>
      <c r="E245" s="380" t="s">
        <v>776</v>
      </c>
      <c r="F245" s="380" t="s">
        <v>976</v>
      </c>
      <c r="G245" s="380" t="s">
        <v>938</v>
      </c>
      <c r="H245" s="380" t="s">
        <v>771</v>
      </c>
      <c r="I245" s="380" t="s">
        <v>788</v>
      </c>
      <c r="J245" s="380" t="s">
        <v>773</v>
      </c>
      <c r="K245" s="381">
        <v>0.0</v>
      </c>
      <c r="L245" s="382">
        <v>1.0</v>
      </c>
    </row>
    <row r="246">
      <c r="A246" s="380" t="s">
        <v>1063</v>
      </c>
      <c r="B246" s="380" t="str">
        <f>IFERROR(__xludf.DUMMYFUNCTION("""COMPUTED_VALUE"""),"Cadena Rodillo Tensor1-1/2Iso")</f>
        <v>Cadena Rodillo Tensor1-1/2Iso</v>
      </c>
      <c r="C246" s="380" t="str">
        <f>IFERROR(__xludf.DUMMYFUNCTION("""COMPUTED_VALUE"""),"80000634")</f>
        <v>80000634</v>
      </c>
      <c r="D246" s="380" t="s">
        <v>767</v>
      </c>
      <c r="E246" s="380" t="s">
        <v>776</v>
      </c>
      <c r="F246" s="380" t="s">
        <v>976</v>
      </c>
      <c r="G246" s="380" t="s">
        <v>938</v>
      </c>
      <c r="H246" s="380" t="s">
        <v>771</v>
      </c>
      <c r="I246" s="380" t="s">
        <v>788</v>
      </c>
      <c r="J246" s="380" t="s">
        <v>773</v>
      </c>
      <c r="K246" s="381">
        <v>0.0</v>
      </c>
      <c r="L246" s="382">
        <v>1.0</v>
      </c>
    </row>
    <row r="247">
      <c r="A247" s="380" t="s">
        <v>1064</v>
      </c>
      <c r="B247" s="380" t="str">
        <f>IFERROR(__xludf.DUMMYFUNCTION("""COMPUTED_VALUE"""),"Cadena Rodillo Tensor1-1/3 Iso")</f>
        <v>Cadena Rodillo Tensor1-1/3 Iso</v>
      </c>
      <c r="C247" s="380" t="str">
        <f>IFERROR(__xludf.DUMMYFUNCTION("""COMPUTED_VALUE"""),"80000635")</f>
        <v>80000635</v>
      </c>
      <c r="D247" s="380" t="s">
        <v>767</v>
      </c>
      <c r="E247" s="380" t="s">
        <v>776</v>
      </c>
      <c r="F247" s="380" t="s">
        <v>976</v>
      </c>
      <c r="G247" s="380" t="s">
        <v>938</v>
      </c>
      <c r="H247" s="380" t="s">
        <v>771</v>
      </c>
      <c r="I247" s="380" t="s">
        <v>788</v>
      </c>
      <c r="J247" s="380" t="s">
        <v>773</v>
      </c>
      <c r="K247" s="381">
        <v>0.0</v>
      </c>
      <c r="L247" s="382">
        <v>1.0</v>
      </c>
    </row>
    <row r="248">
      <c r="A248" s="380" t="s">
        <v>1065</v>
      </c>
      <c r="B248" s="380" t="str">
        <f>IFERROR(__xludf.DUMMYFUNCTION("""COMPUTED_VALUE"""),"Cadena Rodillos Doble 2-1/2 Is")</f>
        <v>Cadena Rodillos Doble 2-1/2 Is</v>
      </c>
      <c r="C248" s="380" t="str">
        <f>IFERROR(__xludf.DUMMYFUNCTION("""COMPUTED_VALUE"""),"80000636")</f>
        <v>80000636</v>
      </c>
      <c r="D248" s="380" t="s">
        <v>767</v>
      </c>
      <c r="E248" s="380" t="s">
        <v>776</v>
      </c>
      <c r="F248" s="380" t="s">
        <v>976</v>
      </c>
      <c r="G248" s="380" t="s">
        <v>938</v>
      </c>
      <c r="H248" s="380" t="s">
        <v>771</v>
      </c>
      <c r="I248" s="380" t="s">
        <v>788</v>
      </c>
      <c r="J248" s="380" t="s">
        <v>773</v>
      </c>
      <c r="K248" s="381">
        <v>0.0</v>
      </c>
      <c r="L248" s="382">
        <v>1.0</v>
      </c>
    </row>
    <row r="249">
      <c r="A249" s="380" t="s">
        <v>1066</v>
      </c>
      <c r="B249" s="380" t="str">
        <f>IFERROR(__xludf.DUMMYFUNCTION("""COMPUTED_VALUE"""),"Banda E12/2 U0/V/U0 Antracita")</f>
        <v>Banda E12/2 U0/V/U0 Antracita</v>
      </c>
      <c r="C249" s="380" t="str">
        <f>IFERROR(__xludf.DUMMYFUNCTION("""COMPUTED_VALUE"""),"80000647")</f>
        <v>80000647</v>
      </c>
      <c r="D249" s="380" t="s">
        <v>767</v>
      </c>
      <c r="E249" s="380" t="s">
        <v>776</v>
      </c>
      <c r="F249" s="380" t="s">
        <v>976</v>
      </c>
      <c r="G249" s="380" t="s">
        <v>938</v>
      </c>
      <c r="H249" s="380" t="s">
        <v>771</v>
      </c>
      <c r="I249" s="380" t="s">
        <v>788</v>
      </c>
      <c r="J249" s="380" t="s">
        <v>773</v>
      </c>
      <c r="K249" s="381">
        <v>0.0</v>
      </c>
      <c r="L249" s="382">
        <v>1.0</v>
      </c>
    </row>
    <row r="250">
      <c r="A250" s="380" t="s">
        <v>1067</v>
      </c>
      <c r="B250" s="380" t="str">
        <f>IFERROR(__xludf.DUMMYFUNCTION("""COMPUTED_VALUE"""),"Banda E8/2 U0/V15/Lg Negra W=")</f>
        <v>Banda E8/2 U0/V15/Lg Negra W=</v>
      </c>
      <c r="C250" s="380" t="str">
        <f>IFERROR(__xludf.DUMMYFUNCTION("""COMPUTED_VALUE"""),"80000648")</f>
        <v>80000648</v>
      </c>
      <c r="D250" s="380" t="s">
        <v>767</v>
      </c>
      <c r="E250" s="380" t="s">
        <v>776</v>
      </c>
      <c r="F250" s="380" t="s">
        <v>976</v>
      </c>
      <c r="G250" s="380" t="s">
        <v>938</v>
      </c>
      <c r="H250" s="380" t="s">
        <v>771</v>
      </c>
      <c r="I250" s="380" t="s">
        <v>788</v>
      </c>
      <c r="J250" s="380" t="s">
        <v>773</v>
      </c>
      <c r="K250" s="381">
        <v>0.0</v>
      </c>
      <c r="L250" s="382">
        <v>1.0</v>
      </c>
    </row>
    <row r="251">
      <c r="A251" s="380" t="s">
        <v>1068</v>
      </c>
      <c r="B251" s="380" t="str">
        <f>IFERROR(__xludf.DUMMYFUNCTION("""COMPUTED_VALUE"""),"Banda E8/2 U0/V15/Lg-Se Negra")</f>
        <v>Banda E8/2 U0/V15/Lg-Se Negra</v>
      </c>
      <c r="C251" s="380" t="str">
        <f>IFERROR(__xludf.DUMMYFUNCTION("""COMPUTED_VALUE"""),"80000649")</f>
        <v>80000649</v>
      </c>
      <c r="D251" s="380" t="s">
        <v>767</v>
      </c>
      <c r="E251" s="380" t="s">
        <v>776</v>
      </c>
      <c r="F251" s="380" t="s">
        <v>976</v>
      </c>
      <c r="G251" s="380" t="s">
        <v>938</v>
      </c>
      <c r="H251" s="380" t="s">
        <v>771</v>
      </c>
      <c r="I251" s="380" t="s">
        <v>788</v>
      </c>
      <c r="J251" s="380" t="s">
        <v>773</v>
      </c>
      <c r="K251" s="381">
        <v>0.0</v>
      </c>
      <c r="L251" s="382">
        <v>1.0</v>
      </c>
    </row>
    <row r="252">
      <c r="A252" s="380" t="s">
        <v>1069</v>
      </c>
      <c r="B252" s="380" t="str">
        <f>IFERROR(__xludf.DUMMYFUNCTION("""COMPUTED_VALUE"""),"Banda E8/2 U0/V15/Lg Negra W=1")</f>
        <v>Banda E8/2 U0/V15/Lg Negra W=1</v>
      </c>
      <c r="C252" s="380" t="str">
        <f>IFERROR(__xludf.DUMMYFUNCTION("""COMPUTED_VALUE"""),"80000650")</f>
        <v>80000650</v>
      </c>
      <c r="D252" s="380" t="s">
        <v>767</v>
      </c>
      <c r="E252" s="380" t="s">
        <v>776</v>
      </c>
      <c r="F252" s="380" t="s">
        <v>976</v>
      </c>
      <c r="G252" s="380" t="s">
        <v>938</v>
      </c>
      <c r="H252" s="380" t="s">
        <v>771</v>
      </c>
      <c r="I252" s="380" t="s">
        <v>788</v>
      </c>
      <c r="J252" s="380" t="s">
        <v>773</v>
      </c>
      <c r="K252" s="381">
        <v>0.0</v>
      </c>
      <c r="L252" s="382">
        <v>1.0</v>
      </c>
    </row>
    <row r="253">
      <c r="A253" s="380" t="s">
        <v>1070</v>
      </c>
      <c r="B253" s="380" t="str">
        <f>IFERROR(__xludf.DUMMYFUNCTION("""COMPUTED_VALUE"""),"Tubo Pvc 1 1/4")</f>
        <v>Tubo Pvc 1 1/4</v>
      </c>
      <c r="C253" s="380" t="str">
        <f>IFERROR(__xludf.DUMMYFUNCTION("""COMPUTED_VALUE"""),"80000742")</f>
        <v>80000742</v>
      </c>
      <c r="D253" s="380" t="s">
        <v>767</v>
      </c>
      <c r="E253" s="380" t="s">
        <v>776</v>
      </c>
      <c r="F253" s="380" t="s">
        <v>777</v>
      </c>
      <c r="G253" s="380" t="s">
        <v>938</v>
      </c>
      <c r="H253" s="380" t="s">
        <v>771</v>
      </c>
      <c r="I253" s="380" t="s">
        <v>778</v>
      </c>
      <c r="J253" s="380" t="s">
        <v>773</v>
      </c>
      <c r="K253" s="381">
        <v>0.0</v>
      </c>
      <c r="L253" s="382">
        <v>1.0</v>
      </c>
    </row>
    <row r="254">
      <c r="A254" s="380" t="s">
        <v>1071</v>
      </c>
      <c r="B254" s="380" t="str">
        <f>IFERROR(__xludf.DUMMYFUNCTION("""COMPUTED_VALUE"""),"Tubo Pvc 3/4""")</f>
        <v>Tubo Pvc 3/4"</v>
      </c>
      <c r="C254" s="380" t="str">
        <f>IFERROR(__xludf.DUMMYFUNCTION("""COMPUTED_VALUE"""),"80000786")</f>
        <v>80000786</v>
      </c>
      <c r="D254" s="380" t="s">
        <v>767</v>
      </c>
      <c r="E254" s="380" t="s">
        <v>776</v>
      </c>
      <c r="F254" s="380" t="s">
        <v>777</v>
      </c>
      <c r="G254" s="380" t="s">
        <v>938</v>
      </c>
      <c r="H254" s="380" t="s">
        <v>771</v>
      </c>
      <c r="I254" s="380" t="s">
        <v>778</v>
      </c>
      <c r="J254" s="380" t="s">
        <v>773</v>
      </c>
      <c r="K254" s="381">
        <v>0.0</v>
      </c>
      <c r="L254" s="382">
        <v>1.0</v>
      </c>
    </row>
    <row r="255">
      <c r="A255" s="380" t="s">
        <v>1072</v>
      </c>
      <c r="B255" s="380" t="str">
        <f>IFERROR(__xludf.DUMMYFUNCTION("""COMPUTED_VALUE"""),"Rejilla 3 X 2 Corriente")</f>
        <v>Rejilla 3 X 2 Corriente</v>
      </c>
      <c r="C255" s="380" t="str">
        <f>IFERROR(__xludf.DUMMYFUNCTION("""COMPUTED_VALUE"""),"80000830")</f>
        <v>80000830</v>
      </c>
      <c r="D255" s="380" t="s">
        <v>767</v>
      </c>
      <c r="E255" s="380" t="s">
        <v>776</v>
      </c>
      <c r="F255" s="380" t="s">
        <v>777</v>
      </c>
      <c r="G255" s="380" t="s">
        <v>938</v>
      </c>
      <c r="H255" s="380" t="s">
        <v>771</v>
      </c>
      <c r="I255" s="380" t="s">
        <v>778</v>
      </c>
      <c r="J255" s="380" t="s">
        <v>773</v>
      </c>
      <c r="K255" s="381">
        <v>0.0</v>
      </c>
      <c r="L255" s="382">
        <v>1.0</v>
      </c>
    </row>
    <row r="256">
      <c r="A256" s="380" t="s">
        <v>1073</v>
      </c>
      <c r="B256" s="380" t="str">
        <f>IFERROR(__xludf.DUMMYFUNCTION("""COMPUTED_VALUE"""),"Yee 2"" Sanitaria")</f>
        <v>Yee 2" Sanitaria</v>
      </c>
      <c r="C256" s="380" t="str">
        <f>IFERROR(__xludf.DUMMYFUNCTION("""COMPUTED_VALUE"""),"80000844")</f>
        <v>80000844</v>
      </c>
      <c r="D256" s="380" t="s">
        <v>767</v>
      </c>
      <c r="E256" s="380" t="s">
        <v>776</v>
      </c>
      <c r="F256" s="380" t="s">
        <v>777</v>
      </c>
      <c r="G256" s="380" t="s">
        <v>938</v>
      </c>
      <c r="H256" s="380" t="s">
        <v>771</v>
      </c>
      <c r="I256" s="380" t="s">
        <v>778</v>
      </c>
      <c r="J256" s="380" t="s">
        <v>773</v>
      </c>
      <c r="K256" s="381">
        <v>0.0</v>
      </c>
      <c r="L256" s="382">
        <v>1.0</v>
      </c>
    </row>
    <row r="257">
      <c r="A257" s="380" t="s">
        <v>1074</v>
      </c>
      <c r="B257" s="380" t="str">
        <f>IFERROR(__xludf.DUMMYFUNCTION("""COMPUTED_VALUE"""),"Aditivo Acelerante Para Concre")</f>
        <v>Aditivo Acelerante Para Concre</v>
      </c>
      <c r="C257" s="380" t="str">
        <f>IFERROR(__xludf.DUMMYFUNCTION("""COMPUTED_VALUE"""),"80000119")</f>
        <v>80000119</v>
      </c>
      <c r="D257" s="380" t="s">
        <v>767</v>
      </c>
      <c r="E257" s="380" t="s">
        <v>776</v>
      </c>
      <c r="F257" s="380" t="s">
        <v>777</v>
      </c>
      <c r="G257" s="380" t="s">
        <v>1075</v>
      </c>
      <c r="H257" s="380" t="s">
        <v>771</v>
      </c>
      <c r="I257" s="380" t="s">
        <v>778</v>
      </c>
      <c r="J257" s="380" t="s">
        <v>773</v>
      </c>
      <c r="K257" s="381">
        <v>0.0</v>
      </c>
      <c r="L257" s="382">
        <v>1.0</v>
      </c>
    </row>
    <row r="258">
      <c r="A258" s="380" t="s">
        <v>1076</v>
      </c>
      <c r="B258" s="380" t="str">
        <f>IFERROR(__xludf.DUMMYFUNCTION("""COMPUTED_VALUE"""),"Guante Poliester Poliuretano A9")</f>
        <v>Guante Poliester Poliuretano A9</v>
      </c>
      <c r="C258" s="380" t="str">
        <f>IFERROR(__xludf.DUMMYFUNCTION("""COMPUTED_VALUE"""),"30000951")</f>
        <v>30000951</v>
      </c>
      <c r="D258" s="380" t="s">
        <v>767</v>
      </c>
      <c r="E258" s="380" t="s">
        <v>810</v>
      </c>
      <c r="F258" s="380" t="s">
        <v>1077</v>
      </c>
      <c r="G258" s="380" t="s">
        <v>1078</v>
      </c>
      <c r="H258" s="380"/>
      <c r="I258" s="380" t="s">
        <v>812</v>
      </c>
      <c r="J258" s="380" t="s">
        <v>773</v>
      </c>
      <c r="K258" s="381">
        <v>2901.0</v>
      </c>
      <c r="L258" s="382">
        <v>1.0</v>
      </c>
    </row>
    <row r="259">
      <c r="A259" s="380" t="s">
        <v>1079</v>
      </c>
      <c r="B259" s="380" t="str">
        <f>IFERROR(__xludf.DUMMYFUNCTION("""COMPUTED_VALUE"""),"Guante Poliester Poliuretano A7")</f>
        <v>Guante Poliester Poliuretano A7</v>
      </c>
      <c r="C259" s="380" t="str">
        <f>IFERROR(__xludf.DUMMYFUNCTION("""COMPUTED_VALUE"""),"30000952")</f>
        <v>30000952</v>
      </c>
      <c r="D259" s="380" t="s">
        <v>767</v>
      </c>
      <c r="E259" s="380" t="s">
        <v>810</v>
      </c>
      <c r="F259" s="380" t="s">
        <v>1077</v>
      </c>
      <c r="G259" s="380" t="s">
        <v>1078</v>
      </c>
      <c r="H259" s="380"/>
      <c r="I259" s="380" t="s">
        <v>812</v>
      </c>
      <c r="J259" s="380" t="s">
        <v>773</v>
      </c>
      <c r="K259" s="381">
        <v>2901.0</v>
      </c>
      <c r="L259" s="382">
        <v>1.0</v>
      </c>
    </row>
    <row r="260">
      <c r="A260" s="380" t="s">
        <v>1080</v>
      </c>
      <c r="B260" s="380" t="str">
        <f>IFERROR(__xludf.DUMMYFUNCTION("""COMPUTED_VALUE"""),"Guante Poliester Poliuretano A10")</f>
        <v>Guante Poliester Poliuretano A10</v>
      </c>
      <c r="C260" s="380" t="str">
        <f>IFERROR(__xludf.DUMMYFUNCTION("""COMPUTED_VALUE"""),"30000953")</f>
        <v>30000953</v>
      </c>
      <c r="D260" s="380" t="s">
        <v>767</v>
      </c>
      <c r="E260" s="380" t="s">
        <v>810</v>
      </c>
      <c r="F260" s="380" t="s">
        <v>1077</v>
      </c>
      <c r="G260" s="380" t="s">
        <v>1078</v>
      </c>
      <c r="H260" s="380"/>
      <c r="I260" s="380" t="s">
        <v>812</v>
      </c>
      <c r="J260" s="380" t="s">
        <v>773</v>
      </c>
      <c r="K260" s="381">
        <v>2901.0</v>
      </c>
      <c r="L260" s="382">
        <v>1.0</v>
      </c>
    </row>
    <row r="261">
      <c r="A261" s="380" t="s">
        <v>1081</v>
      </c>
      <c r="B261" s="380" t="str">
        <f>IFERROR(__xludf.DUMMYFUNCTION("""COMPUTED_VALUE"""),"Pila Energizer Ultimante Aa2 C")</f>
        <v>Pila Energizer Ultimante Aa2 C</v>
      </c>
      <c r="C261" s="380" t="str">
        <f>IFERROR(__xludf.DUMMYFUNCTION("""COMPUTED_VALUE"""),"10000704")</f>
        <v>10000704</v>
      </c>
      <c r="D261" s="380" t="s">
        <v>767</v>
      </c>
      <c r="E261" s="380" t="s">
        <v>768</v>
      </c>
      <c r="F261" s="380" t="s">
        <v>797</v>
      </c>
      <c r="G261" s="380" t="s">
        <v>1078</v>
      </c>
      <c r="H261" s="380" t="s">
        <v>771</v>
      </c>
      <c r="I261" s="380" t="s">
        <v>799</v>
      </c>
      <c r="J261" s="380" t="s">
        <v>773</v>
      </c>
      <c r="K261" s="381">
        <v>26299.0</v>
      </c>
      <c r="L261" s="382">
        <v>1.0</v>
      </c>
    </row>
    <row r="262">
      <c r="A262" s="380" t="s">
        <v>1082</v>
      </c>
      <c r="B262" s="380" t="str">
        <f>IFERROR(__xludf.DUMMYFUNCTION("""COMPUTED_VALUE"""),"Guantes Latex Aseo Talla 8 C20")</f>
        <v>Guantes Latex Aseo Talla 8 C20</v>
      </c>
      <c r="C262" s="380" t="str">
        <f>IFERROR(__xludf.DUMMYFUNCTION("""COMPUTED_VALUE"""),"30000181")</f>
        <v>30000181</v>
      </c>
      <c r="D262" s="380" t="s">
        <v>767</v>
      </c>
      <c r="E262" s="380" t="s">
        <v>810</v>
      </c>
      <c r="F262" s="380" t="s">
        <v>1083</v>
      </c>
      <c r="G262" s="380" t="s">
        <v>1078</v>
      </c>
      <c r="H262" s="380" t="s">
        <v>771</v>
      </c>
      <c r="I262" s="380" t="s">
        <v>1084</v>
      </c>
      <c r="J262" s="380" t="s">
        <v>773</v>
      </c>
      <c r="K262" s="381">
        <v>0.0</v>
      </c>
      <c r="L262" s="382">
        <v>1.0</v>
      </c>
    </row>
    <row r="263">
      <c r="A263" s="380" t="s">
        <v>1085</v>
      </c>
      <c r="B263" s="380" t="str">
        <f>IFERROR(__xludf.DUMMYFUNCTION("""COMPUTED_VALUE"""),"Guantes Latex Aseo Talla 8 C35")</f>
        <v>Guantes Latex Aseo Talla 8 C35</v>
      </c>
      <c r="C263" s="380" t="str">
        <f>IFERROR(__xludf.DUMMYFUNCTION("""COMPUTED_VALUE"""),"30000182")</f>
        <v>30000182</v>
      </c>
      <c r="D263" s="380" t="s">
        <v>767</v>
      </c>
      <c r="E263" s="380" t="s">
        <v>810</v>
      </c>
      <c r="F263" s="380" t="s">
        <v>1083</v>
      </c>
      <c r="G263" s="380" t="s">
        <v>1078</v>
      </c>
      <c r="H263" s="380" t="s">
        <v>771</v>
      </c>
      <c r="I263" s="380" t="s">
        <v>1084</v>
      </c>
      <c r="J263" s="380" t="s">
        <v>773</v>
      </c>
      <c r="K263" s="381">
        <v>4559.0</v>
      </c>
      <c r="L263" s="382">
        <v>1.0</v>
      </c>
    </row>
    <row r="264">
      <c r="A264" s="380" t="s">
        <v>1086</v>
      </c>
      <c r="B264" s="380" t="str">
        <f>IFERROR(__xludf.DUMMYFUNCTION("""COMPUTED_VALUE"""),"Polaines Carnaza Soldador")</f>
        <v>Polaines Carnaza Soldador</v>
      </c>
      <c r="C264" s="380" t="str">
        <f>IFERROR(__xludf.DUMMYFUNCTION("""COMPUTED_VALUE"""),"30000198")</f>
        <v>30000198</v>
      </c>
      <c r="D264" s="380" t="s">
        <v>767</v>
      </c>
      <c r="E264" s="380" t="s">
        <v>810</v>
      </c>
      <c r="F264" s="380" t="s">
        <v>1083</v>
      </c>
      <c r="G264" s="380" t="s">
        <v>1078</v>
      </c>
      <c r="H264" s="380" t="s">
        <v>771</v>
      </c>
      <c r="I264" s="380" t="s">
        <v>1084</v>
      </c>
      <c r="J264" s="380" t="s">
        <v>773</v>
      </c>
      <c r="K264" s="381">
        <v>22761.0</v>
      </c>
      <c r="L264" s="382">
        <v>1.0</v>
      </c>
    </row>
    <row r="265">
      <c r="A265" s="380" t="s">
        <v>1087</v>
      </c>
      <c r="B265" s="380" t="str">
        <f>IFERROR(__xludf.DUMMYFUNCTION("""COMPUTED_VALUE"""),"Mangas Carnaza Soldador")</f>
        <v>Mangas Carnaza Soldador</v>
      </c>
      <c r="C265" s="380" t="str">
        <f>IFERROR(__xludf.DUMMYFUNCTION("""COMPUTED_VALUE"""),"30000219")</f>
        <v>30000219</v>
      </c>
      <c r="D265" s="380" t="s">
        <v>767</v>
      </c>
      <c r="E265" s="380" t="s">
        <v>810</v>
      </c>
      <c r="F265" s="380" t="s">
        <v>1083</v>
      </c>
      <c r="G265" s="380" t="s">
        <v>1078</v>
      </c>
      <c r="H265" s="380" t="s">
        <v>771</v>
      </c>
      <c r="I265" s="380" t="s">
        <v>1084</v>
      </c>
      <c r="J265" s="380" t="s">
        <v>773</v>
      </c>
      <c r="K265" s="381">
        <v>20143.0</v>
      </c>
      <c r="L265" s="382">
        <v>1.0</v>
      </c>
    </row>
    <row r="266">
      <c r="A266" s="380" t="s">
        <v>1088</v>
      </c>
      <c r="B266" s="380" t="str">
        <f>IFERROR(__xludf.DUMMYFUNCTION("""COMPUTED_VALUE"""),"Zapatilla Aventura 45")</f>
        <v>Zapatilla Aventura 45</v>
      </c>
      <c r="C266" s="380" t="str">
        <f>IFERROR(__xludf.DUMMYFUNCTION("""COMPUTED_VALUE"""),"30000288")</f>
        <v>30000288</v>
      </c>
      <c r="D266" s="380" t="s">
        <v>767</v>
      </c>
      <c r="E266" s="380" t="s">
        <v>810</v>
      </c>
      <c r="F266" s="380" t="s">
        <v>1089</v>
      </c>
      <c r="G266" s="380" t="s">
        <v>1078</v>
      </c>
      <c r="H266" s="380" t="s">
        <v>771</v>
      </c>
      <c r="I266" s="380" t="s">
        <v>1084</v>
      </c>
      <c r="J266" s="380" t="s">
        <v>773</v>
      </c>
      <c r="K266" s="381">
        <v>51569.0</v>
      </c>
      <c r="L266" s="382">
        <v>1.0</v>
      </c>
    </row>
    <row r="267">
      <c r="A267" s="380" t="s">
        <v>1090</v>
      </c>
      <c r="B267" s="380" t="str">
        <f>IFERROR(__xludf.DUMMYFUNCTION("""COMPUTED_VALUE"""),"Zapatilla Aventura 39")</f>
        <v>Zapatilla Aventura 39</v>
      </c>
      <c r="C267" s="380" t="str">
        <f>IFERROR(__xludf.DUMMYFUNCTION("""COMPUTED_VALUE"""),"30000289")</f>
        <v>30000289</v>
      </c>
      <c r="D267" s="380" t="s">
        <v>767</v>
      </c>
      <c r="E267" s="380" t="s">
        <v>810</v>
      </c>
      <c r="F267" s="380" t="s">
        <v>1089</v>
      </c>
      <c r="G267" s="380" t="s">
        <v>1078</v>
      </c>
      <c r="H267" s="380" t="s">
        <v>771</v>
      </c>
      <c r="I267" s="380" t="s">
        <v>1084</v>
      </c>
      <c r="J267" s="380" t="s">
        <v>773</v>
      </c>
      <c r="K267" s="381">
        <v>51569.0</v>
      </c>
      <c r="L267" s="382">
        <v>1.0</v>
      </c>
    </row>
    <row r="268">
      <c r="A268" s="380" t="s">
        <v>1091</v>
      </c>
      <c r="B268" s="380" t="str">
        <f>IFERROR(__xludf.DUMMYFUNCTION("""COMPUTED_VALUE"""),"Zapatilla Aventura 35")</f>
        <v>Zapatilla Aventura 35</v>
      </c>
      <c r="C268" s="380" t="str">
        <f>IFERROR(__xludf.DUMMYFUNCTION("""COMPUTED_VALUE"""),"30000291")</f>
        <v>30000291</v>
      </c>
      <c r="D268" s="380" t="s">
        <v>767</v>
      </c>
      <c r="E268" s="380" t="s">
        <v>810</v>
      </c>
      <c r="F268" s="380" t="s">
        <v>1089</v>
      </c>
      <c r="G268" s="380" t="s">
        <v>1078</v>
      </c>
      <c r="H268" s="380" t="s">
        <v>771</v>
      </c>
      <c r="I268" s="380" t="s">
        <v>1084</v>
      </c>
      <c r="J268" s="380" t="s">
        <v>773</v>
      </c>
      <c r="K268" s="381">
        <v>51569.0</v>
      </c>
      <c r="L268" s="382">
        <v>1.0</v>
      </c>
    </row>
    <row r="269">
      <c r="A269" s="380" t="s">
        <v>1092</v>
      </c>
      <c r="B269" s="380" t="str">
        <f>IFERROR(__xludf.DUMMYFUNCTION("""COMPUTED_VALUE"""),"Zapatilla Aventura 37")</f>
        <v>Zapatilla Aventura 37</v>
      </c>
      <c r="C269" s="380" t="str">
        <f>IFERROR(__xludf.DUMMYFUNCTION("""COMPUTED_VALUE"""),"30000292")</f>
        <v>30000292</v>
      </c>
      <c r="D269" s="380" t="s">
        <v>767</v>
      </c>
      <c r="E269" s="380" t="s">
        <v>810</v>
      </c>
      <c r="F269" s="380" t="s">
        <v>1089</v>
      </c>
      <c r="G269" s="380" t="s">
        <v>1078</v>
      </c>
      <c r="H269" s="380" t="s">
        <v>771</v>
      </c>
      <c r="I269" s="380" t="s">
        <v>1084</v>
      </c>
      <c r="J269" s="380" t="s">
        <v>773</v>
      </c>
      <c r="K269" s="381">
        <v>51569.0</v>
      </c>
      <c r="L269" s="382">
        <v>1.0</v>
      </c>
    </row>
    <row r="270">
      <c r="A270" s="380" t="s">
        <v>1093</v>
      </c>
      <c r="B270" s="380" t="str">
        <f>IFERROR(__xludf.DUMMYFUNCTION("""COMPUTED_VALUE"""),"Zapatilla Aventura 34")</f>
        <v>Zapatilla Aventura 34</v>
      </c>
      <c r="C270" s="380" t="str">
        <f>IFERROR(__xludf.DUMMYFUNCTION("""COMPUTED_VALUE"""),"30000293")</f>
        <v>30000293</v>
      </c>
      <c r="D270" s="380" t="s">
        <v>767</v>
      </c>
      <c r="E270" s="380" t="s">
        <v>810</v>
      </c>
      <c r="F270" s="380" t="s">
        <v>1089</v>
      </c>
      <c r="G270" s="380" t="s">
        <v>1078</v>
      </c>
      <c r="H270" s="380" t="s">
        <v>771</v>
      </c>
      <c r="I270" s="380" t="s">
        <v>1084</v>
      </c>
      <c r="J270" s="380" t="s">
        <v>773</v>
      </c>
      <c r="K270" s="381">
        <v>0.0</v>
      </c>
      <c r="L270" s="382">
        <v>1.0</v>
      </c>
    </row>
    <row r="271">
      <c r="A271" s="380" t="s">
        <v>1094</v>
      </c>
      <c r="B271" s="380" t="str">
        <f>IFERROR(__xludf.DUMMYFUNCTION("""COMPUTED_VALUE"""),"Zapatilla Aventura 43")</f>
        <v>Zapatilla Aventura 43</v>
      </c>
      <c r="C271" s="380" t="str">
        <f>IFERROR(__xludf.DUMMYFUNCTION("""COMPUTED_VALUE"""),"30000294")</f>
        <v>30000294</v>
      </c>
      <c r="D271" s="380" t="s">
        <v>767</v>
      </c>
      <c r="E271" s="380" t="s">
        <v>810</v>
      </c>
      <c r="F271" s="380" t="s">
        <v>1089</v>
      </c>
      <c r="G271" s="380" t="s">
        <v>1078</v>
      </c>
      <c r="H271" s="380" t="s">
        <v>771</v>
      </c>
      <c r="I271" s="380" t="s">
        <v>1084</v>
      </c>
      <c r="J271" s="380" t="s">
        <v>773</v>
      </c>
      <c r="K271" s="381">
        <v>51569.0</v>
      </c>
      <c r="L271" s="382">
        <v>1.0</v>
      </c>
    </row>
    <row r="272">
      <c r="A272" s="380" t="s">
        <v>1095</v>
      </c>
      <c r="B272" s="380" t="str">
        <f>IFERROR(__xludf.DUMMYFUNCTION("""COMPUTED_VALUE"""),"Zapatilla Aventura 38")</f>
        <v>Zapatilla Aventura 38</v>
      </c>
      <c r="C272" s="380" t="str">
        <f>IFERROR(__xludf.DUMMYFUNCTION("""COMPUTED_VALUE"""),"30000313")</f>
        <v>30000313</v>
      </c>
      <c r="D272" s="380" t="s">
        <v>767</v>
      </c>
      <c r="E272" s="380" t="s">
        <v>810</v>
      </c>
      <c r="F272" s="380" t="s">
        <v>1089</v>
      </c>
      <c r="G272" s="380" t="s">
        <v>1078</v>
      </c>
      <c r="H272" s="380" t="s">
        <v>771</v>
      </c>
      <c r="I272" s="380" t="s">
        <v>1084</v>
      </c>
      <c r="J272" s="380" t="s">
        <v>773</v>
      </c>
      <c r="K272" s="381">
        <v>51569.0</v>
      </c>
      <c r="L272" s="382">
        <v>1.0</v>
      </c>
    </row>
    <row r="273">
      <c r="A273" s="380" t="s">
        <v>1096</v>
      </c>
      <c r="B273" s="380" t="str">
        <f>IFERROR(__xludf.DUMMYFUNCTION("""COMPUTED_VALUE"""),"Zapatilla Aventura 40")</f>
        <v>Zapatilla Aventura 40</v>
      </c>
      <c r="C273" s="380" t="str">
        <f>IFERROR(__xludf.DUMMYFUNCTION("""COMPUTED_VALUE"""),"30000314")</f>
        <v>30000314</v>
      </c>
      <c r="D273" s="380" t="s">
        <v>767</v>
      </c>
      <c r="E273" s="380" t="s">
        <v>810</v>
      </c>
      <c r="F273" s="380" t="s">
        <v>1089</v>
      </c>
      <c r="G273" s="380" t="s">
        <v>1078</v>
      </c>
      <c r="H273" s="380" t="s">
        <v>771</v>
      </c>
      <c r="I273" s="380" t="s">
        <v>1084</v>
      </c>
      <c r="J273" s="380" t="s">
        <v>773</v>
      </c>
      <c r="K273" s="381">
        <v>51569.0</v>
      </c>
      <c r="L273" s="382">
        <v>1.0</v>
      </c>
    </row>
    <row r="274">
      <c r="A274" s="380" t="s">
        <v>1097</v>
      </c>
      <c r="B274" s="380" t="str">
        <f>IFERROR(__xludf.DUMMYFUNCTION("""COMPUTED_VALUE"""),"Zapatilla Aventura 41")</f>
        <v>Zapatilla Aventura 41</v>
      </c>
      <c r="C274" s="380" t="str">
        <f>IFERROR(__xludf.DUMMYFUNCTION("""COMPUTED_VALUE"""),"30000315")</f>
        <v>30000315</v>
      </c>
      <c r="D274" s="380" t="s">
        <v>767</v>
      </c>
      <c r="E274" s="380" t="s">
        <v>810</v>
      </c>
      <c r="F274" s="380" t="s">
        <v>1089</v>
      </c>
      <c r="G274" s="380" t="s">
        <v>1078</v>
      </c>
      <c r="H274" s="380" t="s">
        <v>771</v>
      </c>
      <c r="I274" s="380" t="s">
        <v>1084</v>
      </c>
      <c r="J274" s="380" t="s">
        <v>773</v>
      </c>
      <c r="K274" s="381">
        <v>51569.0</v>
      </c>
      <c r="L274" s="382">
        <v>1.0</v>
      </c>
    </row>
    <row r="275">
      <c r="A275" s="380" t="s">
        <v>1098</v>
      </c>
      <c r="B275" s="380" t="str">
        <f>IFERROR(__xludf.DUMMYFUNCTION("""COMPUTED_VALUE"""),"Zapatilla Aventura 46")</f>
        <v>Zapatilla Aventura 46</v>
      </c>
      <c r="C275" s="380" t="str">
        <f>IFERROR(__xludf.DUMMYFUNCTION("""COMPUTED_VALUE"""),"30000316")</f>
        <v>30000316</v>
      </c>
      <c r="D275" s="380" t="s">
        <v>767</v>
      </c>
      <c r="E275" s="380" t="s">
        <v>810</v>
      </c>
      <c r="F275" s="380" t="s">
        <v>1089</v>
      </c>
      <c r="G275" s="380" t="s">
        <v>1078</v>
      </c>
      <c r="H275" s="380" t="s">
        <v>771</v>
      </c>
      <c r="I275" s="380" t="s">
        <v>1084</v>
      </c>
      <c r="J275" s="380" t="s">
        <v>773</v>
      </c>
      <c r="K275" s="381">
        <v>0.0</v>
      </c>
      <c r="L275" s="382">
        <v>1.0</v>
      </c>
    </row>
    <row r="276">
      <c r="A276" s="380" t="s">
        <v>1099</v>
      </c>
      <c r="B276" s="380" t="str">
        <f>IFERROR(__xludf.DUMMYFUNCTION("""COMPUTED_VALUE"""),"Zapatilla Aventura 44")</f>
        <v>Zapatilla Aventura 44</v>
      </c>
      <c r="C276" s="380" t="str">
        <f>IFERROR(__xludf.DUMMYFUNCTION("""COMPUTED_VALUE"""),"30000317")</f>
        <v>30000317</v>
      </c>
      <c r="D276" s="380" t="s">
        <v>767</v>
      </c>
      <c r="E276" s="380" t="s">
        <v>810</v>
      </c>
      <c r="F276" s="380" t="s">
        <v>1089</v>
      </c>
      <c r="G276" s="380" t="s">
        <v>1078</v>
      </c>
      <c r="H276" s="380" t="s">
        <v>771</v>
      </c>
      <c r="I276" s="380" t="s">
        <v>1084</v>
      </c>
      <c r="J276" s="380" t="s">
        <v>773</v>
      </c>
      <c r="K276" s="381">
        <v>51569.0</v>
      </c>
      <c r="L276" s="382">
        <v>1.0</v>
      </c>
    </row>
    <row r="277">
      <c r="A277" s="380" t="s">
        <v>1100</v>
      </c>
      <c r="B277" s="380" t="str">
        <f>IFERROR(__xludf.DUMMYFUNCTION("""COMPUTED_VALUE"""),"Zapatilla Aventura 42")</f>
        <v>Zapatilla Aventura 42</v>
      </c>
      <c r="C277" s="380" t="str">
        <f>IFERROR(__xludf.DUMMYFUNCTION("""COMPUTED_VALUE"""),"30000318")</f>
        <v>30000318</v>
      </c>
      <c r="D277" s="380" t="s">
        <v>767</v>
      </c>
      <c r="E277" s="380" t="s">
        <v>810</v>
      </c>
      <c r="F277" s="380" t="s">
        <v>1089</v>
      </c>
      <c r="G277" s="380" t="s">
        <v>1078</v>
      </c>
      <c r="H277" s="380" t="s">
        <v>771</v>
      </c>
      <c r="I277" s="380" t="s">
        <v>1084</v>
      </c>
      <c r="J277" s="380" t="s">
        <v>773</v>
      </c>
      <c r="K277" s="381">
        <v>51569.0</v>
      </c>
      <c r="L277" s="382">
        <v>1.0</v>
      </c>
    </row>
    <row r="278">
      <c r="A278" s="380" t="s">
        <v>1101</v>
      </c>
      <c r="B278" s="380" t="str">
        <f>IFERROR(__xludf.DUMMYFUNCTION("""COMPUTED_VALUE"""),"Zapatilla Aventura 36")</f>
        <v>Zapatilla Aventura 36</v>
      </c>
      <c r="C278" s="380" t="str">
        <f>IFERROR(__xludf.DUMMYFUNCTION("""COMPUTED_VALUE"""),"30000319")</f>
        <v>30000319</v>
      </c>
      <c r="D278" s="380" t="s">
        <v>767</v>
      </c>
      <c r="E278" s="380" t="s">
        <v>810</v>
      </c>
      <c r="F278" s="380" t="s">
        <v>1089</v>
      </c>
      <c r="G278" s="380" t="s">
        <v>1078</v>
      </c>
      <c r="H278" s="380" t="s">
        <v>771</v>
      </c>
      <c r="I278" s="380" t="s">
        <v>1084</v>
      </c>
      <c r="J278" s="380" t="s">
        <v>773</v>
      </c>
      <c r="K278" s="381">
        <v>51569.0</v>
      </c>
      <c r="L278" s="382">
        <v>1.0</v>
      </c>
    </row>
    <row r="279">
      <c r="A279" s="380" t="s">
        <v>1102</v>
      </c>
      <c r="B279" s="380" t="str">
        <f>IFERROR(__xludf.DUMMYFUNCTION("""COMPUTED_VALUE"""),"Guantes Largos Soldador 11910777")</f>
        <v>Guantes Largos Soldador 11910777</v>
      </c>
      <c r="C279" s="380" t="str">
        <f>IFERROR(__xludf.DUMMYFUNCTION("""COMPUTED_VALUE"""),"30000410")</f>
        <v>30000410</v>
      </c>
      <c r="D279" s="380" t="s">
        <v>767</v>
      </c>
      <c r="E279" s="380" t="s">
        <v>810</v>
      </c>
      <c r="F279" s="380" t="s">
        <v>1083</v>
      </c>
      <c r="G279" s="380" t="s">
        <v>1078</v>
      </c>
      <c r="H279" s="380" t="s">
        <v>771</v>
      </c>
      <c r="I279" s="380" t="s">
        <v>1084</v>
      </c>
      <c r="J279" s="380" t="s">
        <v>773</v>
      </c>
      <c r="K279" s="381">
        <v>30393.0</v>
      </c>
      <c r="L279" s="382">
        <v>1.0</v>
      </c>
    </row>
    <row r="280">
      <c r="A280" s="380" t="s">
        <v>1103</v>
      </c>
      <c r="B280" s="380" t="str">
        <f>IFERROR(__xludf.DUMMYFUNCTION("""COMPUTED_VALUE"""),"Botas Plasticas Con Puntera (Hub) 43")</f>
        <v>Botas Plasticas Con Puntera (Hub) 43</v>
      </c>
      <c r="C280" s="380" t="str">
        <f>IFERROR(__xludf.DUMMYFUNCTION("""COMPUTED_VALUE"""),"30000416")</f>
        <v>30000416</v>
      </c>
      <c r="D280" s="380" t="s">
        <v>767</v>
      </c>
      <c r="E280" s="380" t="s">
        <v>810</v>
      </c>
      <c r="F280" s="380" t="s">
        <v>1089</v>
      </c>
      <c r="G280" s="380" t="s">
        <v>1078</v>
      </c>
      <c r="H280" s="380" t="s">
        <v>771</v>
      </c>
      <c r="I280" s="380" t="s">
        <v>1084</v>
      </c>
      <c r="J280" s="380" t="s">
        <v>773</v>
      </c>
      <c r="K280" s="381">
        <v>0.0</v>
      </c>
      <c r="L280" s="382">
        <v>1.0</v>
      </c>
    </row>
    <row r="281">
      <c r="A281" s="380" t="s">
        <v>1104</v>
      </c>
      <c r="B281" s="380" t="str">
        <f>IFERROR(__xludf.DUMMYFUNCTION("""COMPUTED_VALUE"""),"Botas Plasticas Con Puntera (Hub) 38")</f>
        <v>Botas Plasticas Con Puntera (Hub) 38</v>
      </c>
      <c r="C281" s="380" t="str">
        <f>IFERROR(__xludf.DUMMYFUNCTION("""COMPUTED_VALUE"""),"30000417")</f>
        <v>30000417</v>
      </c>
      <c r="D281" s="380" t="s">
        <v>767</v>
      </c>
      <c r="E281" s="380" t="s">
        <v>810</v>
      </c>
      <c r="F281" s="380" t="s">
        <v>1089</v>
      </c>
      <c r="G281" s="380" t="s">
        <v>1078</v>
      </c>
      <c r="H281" s="380" t="s">
        <v>771</v>
      </c>
      <c r="I281" s="380" t="s">
        <v>1084</v>
      </c>
      <c r="J281" s="380" t="s">
        <v>773</v>
      </c>
      <c r="K281" s="381">
        <v>0.0</v>
      </c>
      <c r="L281" s="382">
        <v>1.0</v>
      </c>
    </row>
    <row r="282">
      <c r="A282" s="380" t="s">
        <v>1105</v>
      </c>
      <c r="B282" s="380" t="str">
        <f>IFERROR(__xludf.DUMMYFUNCTION("""COMPUTED_VALUE"""),"Guantes Operaciones 11480 Hyflex T8")</f>
        <v>Guantes Operaciones 11480 Hyflex T8</v>
      </c>
      <c r="C282" s="380" t="str">
        <f>IFERROR(__xludf.DUMMYFUNCTION("""COMPUTED_VALUE"""),"30000420")</f>
        <v>30000420</v>
      </c>
      <c r="D282" s="380" t="s">
        <v>767</v>
      </c>
      <c r="E282" s="380" t="s">
        <v>810</v>
      </c>
      <c r="F282" s="380" t="s">
        <v>1083</v>
      </c>
      <c r="G282" s="380" t="s">
        <v>1078</v>
      </c>
      <c r="H282" s="380" t="s">
        <v>771</v>
      </c>
      <c r="I282" s="380" t="s">
        <v>1084</v>
      </c>
      <c r="J282" s="380" t="s">
        <v>773</v>
      </c>
      <c r="K282" s="381">
        <v>0.0</v>
      </c>
      <c r="L282" s="382">
        <v>1.0</v>
      </c>
    </row>
    <row r="283">
      <c r="A283" s="380" t="s">
        <v>1106</v>
      </c>
      <c r="B283" s="380" t="str">
        <f>IFERROR(__xludf.DUMMYFUNCTION("""COMPUTED_VALUE"""),"Guantes Operaciones 11480 Hyflex T7")</f>
        <v>Guantes Operaciones 11480 Hyflex T7</v>
      </c>
      <c r="C283" s="380" t="str">
        <f>IFERROR(__xludf.DUMMYFUNCTION("""COMPUTED_VALUE"""),"30000421")</f>
        <v>30000421</v>
      </c>
      <c r="D283" s="380" t="s">
        <v>767</v>
      </c>
      <c r="E283" s="380" t="s">
        <v>810</v>
      </c>
      <c r="F283" s="380" t="s">
        <v>1083</v>
      </c>
      <c r="G283" s="380" t="s">
        <v>1078</v>
      </c>
      <c r="H283" s="380" t="s">
        <v>771</v>
      </c>
      <c r="I283" s="380" t="s">
        <v>1084</v>
      </c>
      <c r="J283" s="380" t="s">
        <v>773</v>
      </c>
      <c r="K283" s="381">
        <v>0.0</v>
      </c>
      <c r="L283" s="382">
        <v>1.0</v>
      </c>
    </row>
    <row r="284">
      <c r="A284" s="380" t="s">
        <v>1107</v>
      </c>
      <c r="B284" s="380" t="str">
        <f>IFERROR(__xludf.DUMMYFUNCTION("""COMPUTED_VALUE"""),"Guantes Operaciones 11480 Hyflex T9")</f>
        <v>Guantes Operaciones 11480 Hyflex T9</v>
      </c>
      <c r="C284" s="380" t="str">
        <f>IFERROR(__xludf.DUMMYFUNCTION("""COMPUTED_VALUE"""),"30000422")</f>
        <v>30000422</v>
      </c>
      <c r="D284" s="380" t="s">
        <v>767</v>
      </c>
      <c r="E284" s="380" t="s">
        <v>810</v>
      </c>
      <c r="F284" s="380" t="s">
        <v>1083</v>
      </c>
      <c r="G284" s="380" t="s">
        <v>1078</v>
      </c>
      <c r="H284" s="380" t="s">
        <v>771</v>
      </c>
      <c r="I284" s="380" t="s">
        <v>1084</v>
      </c>
      <c r="J284" s="380" t="s">
        <v>773</v>
      </c>
      <c r="K284" s="381">
        <v>0.0</v>
      </c>
      <c r="L284" s="382">
        <v>1.0</v>
      </c>
    </row>
    <row r="285">
      <c r="A285" s="380" t="s">
        <v>1108</v>
      </c>
      <c r="B285" s="380" t="str">
        <f>IFERROR(__xludf.DUMMYFUNCTION("""COMPUTED_VALUE"""),"Guantes Operaciones 11480 Hyflex T10")</f>
        <v>Guantes Operaciones 11480 Hyflex T10</v>
      </c>
      <c r="C285" s="380" t="str">
        <f>IFERROR(__xludf.DUMMYFUNCTION("""COMPUTED_VALUE"""),"30000423")</f>
        <v>30000423</v>
      </c>
      <c r="D285" s="380" t="s">
        <v>767</v>
      </c>
      <c r="E285" s="380" t="s">
        <v>810</v>
      </c>
      <c r="F285" s="380" t="s">
        <v>1083</v>
      </c>
      <c r="G285" s="380" t="s">
        <v>1078</v>
      </c>
      <c r="H285" s="380" t="s">
        <v>771</v>
      </c>
      <c r="I285" s="380" t="s">
        <v>1084</v>
      </c>
      <c r="J285" s="380" t="s">
        <v>773</v>
      </c>
      <c r="K285" s="381">
        <v>0.0</v>
      </c>
      <c r="L285" s="382">
        <v>1.0</v>
      </c>
    </row>
    <row r="286">
      <c r="A286" s="380" t="s">
        <v>1109</v>
      </c>
      <c r="B286" s="380" t="str">
        <f>IFERROR(__xludf.DUMMYFUNCTION("""COMPUTED_VALUE"""),"Botas Plasticas Con Puntera (Hub) 45")</f>
        <v>Botas Plasticas Con Puntera (Hub) 45</v>
      </c>
      <c r="C286" s="380" t="str">
        <f>IFERROR(__xludf.DUMMYFUNCTION("""COMPUTED_VALUE"""),"30000439")</f>
        <v>30000439</v>
      </c>
      <c r="D286" s="380" t="s">
        <v>767</v>
      </c>
      <c r="E286" s="380" t="s">
        <v>810</v>
      </c>
      <c r="F286" s="380" t="s">
        <v>1089</v>
      </c>
      <c r="G286" s="380" t="s">
        <v>1078</v>
      </c>
      <c r="H286" s="380" t="s">
        <v>771</v>
      </c>
      <c r="I286" s="380" t="s">
        <v>1084</v>
      </c>
      <c r="J286" s="380" t="s">
        <v>773</v>
      </c>
      <c r="K286" s="381">
        <v>0.0</v>
      </c>
      <c r="L286" s="382">
        <v>1.0</v>
      </c>
    </row>
    <row r="287">
      <c r="A287" s="380" t="s">
        <v>1110</v>
      </c>
      <c r="B287" s="380" t="str">
        <f>IFERROR(__xludf.DUMMYFUNCTION("""COMPUTED_VALUE"""),"Botas Plasticas Con Puntera (Hub) 40")</f>
        <v>Botas Plasticas Con Puntera (Hub) 40</v>
      </c>
      <c r="C287" s="380" t="str">
        <f>IFERROR(__xludf.DUMMYFUNCTION("""COMPUTED_VALUE"""),"30000440")</f>
        <v>30000440</v>
      </c>
      <c r="D287" s="380" t="s">
        <v>767</v>
      </c>
      <c r="E287" s="380" t="s">
        <v>810</v>
      </c>
      <c r="F287" s="380" t="s">
        <v>1089</v>
      </c>
      <c r="G287" s="380" t="s">
        <v>1078</v>
      </c>
      <c r="H287" s="380" t="s">
        <v>771</v>
      </c>
      <c r="I287" s="380" t="s">
        <v>1084</v>
      </c>
      <c r="J287" s="380" t="s">
        <v>773</v>
      </c>
      <c r="K287" s="381">
        <v>0.0</v>
      </c>
      <c r="L287" s="382">
        <v>1.0</v>
      </c>
    </row>
    <row r="288">
      <c r="A288" s="380" t="s">
        <v>1111</v>
      </c>
      <c r="B288" s="380" t="str">
        <f>IFERROR(__xludf.DUMMYFUNCTION("""COMPUTED_VALUE"""),"Botas Plasticas Con Puntera (Hub) 36")</f>
        <v>Botas Plasticas Con Puntera (Hub) 36</v>
      </c>
      <c r="C288" s="380" t="str">
        <f>IFERROR(__xludf.DUMMYFUNCTION("""COMPUTED_VALUE"""),"30000441")</f>
        <v>30000441</v>
      </c>
      <c r="D288" s="380" t="s">
        <v>767</v>
      </c>
      <c r="E288" s="380" t="s">
        <v>810</v>
      </c>
      <c r="F288" s="380" t="s">
        <v>1089</v>
      </c>
      <c r="G288" s="380" t="s">
        <v>1078</v>
      </c>
      <c r="H288" s="380" t="s">
        <v>771</v>
      </c>
      <c r="I288" s="380" t="s">
        <v>1084</v>
      </c>
      <c r="J288" s="380" t="s">
        <v>773</v>
      </c>
      <c r="K288" s="381">
        <v>0.0</v>
      </c>
      <c r="L288" s="382">
        <v>1.0</v>
      </c>
    </row>
    <row r="289">
      <c r="A289" s="380" t="s">
        <v>1112</v>
      </c>
      <c r="B289" s="380" t="str">
        <f>IFERROR(__xludf.DUMMYFUNCTION("""COMPUTED_VALUE"""),"Botas Plasticas Con Puntera (Hub) 41")</f>
        <v>Botas Plasticas Con Puntera (Hub) 41</v>
      </c>
      <c r="C289" s="380" t="str">
        <f>IFERROR(__xludf.DUMMYFUNCTION("""COMPUTED_VALUE"""),"30000442")</f>
        <v>30000442</v>
      </c>
      <c r="D289" s="380" t="s">
        <v>767</v>
      </c>
      <c r="E289" s="380" t="s">
        <v>810</v>
      </c>
      <c r="F289" s="380" t="s">
        <v>1089</v>
      </c>
      <c r="G289" s="380" t="s">
        <v>1078</v>
      </c>
      <c r="H289" s="380" t="s">
        <v>771</v>
      </c>
      <c r="I289" s="380" t="s">
        <v>1084</v>
      </c>
      <c r="J289" s="380" t="s">
        <v>773</v>
      </c>
      <c r="K289" s="381">
        <v>0.0</v>
      </c>
      <c r="L289" s="382">
        <v>1.0</v>
      </c>
    </row>
    <row r="290">
      <c r="A290" s="380" t="s">
        <v>1113</v>
      </c>
      <c r="B290" s="380" t="str">
        <f>IFERROR(__xludf.DUMMYFUNCTION("""COMPUTED_VALUE"""),"Botas Plasticas Con Puntera (Hub) 44")</f>
        <v>Botas Plasticas Con Puntera (Hub) 44</v>
      </c>
      <c r="C290" s="380" t="str">
        <f>IFERROR(__xludf.DUMMYFUNCTION("""COMPUTED_VALUE"""),"30000443")</f>
        <v>30000443</v>
      </c>
      <c r="D290" s="380" t="s">
        <v>767</v>
      </c>
      <c r="E290" s="380" t="s">
        <v>810</v>
      </c>
      <c r="F290" s="380" t="s">
        <v>1089</v>
      </c>
      <c r="G290" s="380" t="s">
        <v>1078</v>
      </c>
      <c r="H290" s="380" t="s">
        <v>771</v>
      </c>
      <c r="I290" s="380" t="s">
        <v>1084</v>
      </c>
      <c r="J290" s="380" t="s">
        <v>773</v>
      </c>
      <c r="K290" s="381">
        <v>0.0</v>
      </c>
      <c r="L290" s="382">
        <v>1.0</v>
      </c>
    </row>
    <row r="291">
      <c r="A291" s="380" t="s">
        <v>1114</v>
      </c>
      <c r="B291" s="380" t="str">
        <f>IFERROR(__xludf.DUMMYFUNCTION("""COMPUTED_VALUE"""),"Botas Plasticas Con Puntera (Hub) 42")</f>
        <v>Botas Plasticas Con Puntera (Hub) 42</v>
      </c>
      <c r="C291" s="380" t="str">
        <f>IFERROR(__xludf.DUMMYFUNCTION("""COMPUTED_VALUE"""),"30000444")</f>
        <v>30000444</v>
      </c>
      <c r="D291" s="380" t="s">
        <v>767</v>
      </c>
      <c r="E291" s="380" t="s">
        <v>810</v>
      </c>
      <c r="F291" s="380" t="s">
        <v>1089</v>
      </c>
      <c r="G291" s="380" t="s">
        <v>1078</v>
      </c>
      <c r="H291" s="380" t="s">
        <v>771</v>
      </c>
      <c r="I291" s="380" t="s">
        <v>1084</v>
      </c>
      <c r="J291" s="380" t="s">
        <v>773</v>
      </c>
      <c r="K291" s="381">
        <v>0.0</v>
      </c>
      <c r="L291" s="382">
        <v>1.0</v>
      </c>
    </row>
    <row r="292">
      <c r="A292" s="380" t="s">
        <v>1115</v>
      </c>
      <c r="B292" s="380" t="str">
        <f>IFERROR(__xludf.DUMMYFUNCTION("""COMPUTED_VALUE"""),"Botas Plasticas Con Puntera (Hub) 37")</f>
        <v>Botas Plasticas Con Puntera (Hub) 37</v>
      </c>
      <c r="C292" s="380" t="str">
        <f>IFERROR(__xludf.DUMMYFUNCTION("""COMPUTED_VALUE"""),"30000446")</f>
        <v>30000446</v>
      </c>
      <c r="D292" s="380" t="s">
        <v>767</v>
      </c>
      <c r="E292" s="380" t="s">
        <v>810</v>
      </c>
      <c r="F292" s="380" t="s">
        <v>1089</v>
      </c>
      <c r="G292" s="380" t="s">
        <v>1078</v>
      </c>
      <c r="H292" s="380" t="s">
        <v>771</v>
      </c>
      <c r="I292" s="380" t="s">
        <v>1084</v>
      </c>
      <c r="J292" s="380" t="s">
        <v>773</v>
      </c>
      <c r="K292" s="381">
        <v>0.0</v>
      </c>
      <c r="L292" s="382">
        <v>1.0</v>
      </c>
    </row>
    <row r="293">
      <c r="A293" s="380" t="s">
        <v>1116</v>
      </c>
      <c r="B293" s="380" t="str">
        <f>IFERROR(__xludf.DUMMYFUNCTION("""COMPUTED_VALUE"""),"Botas Plasticas Con Puntera (Hub) 39")</f>
        <v>Botas Plasticas Con Puntera (Hub) 39</v>
      </c>
      <c r="C293" s="380" t="str">
        <f>IFERROR(__xludf.DUMMYFUNCTION("""COMPUTED_VALUE"""),"30000447")</f>
        <v>30000447</v>
      </c>
      <c r="D293" s="380" t="s">
        <v>767</v>
      </c>
      <c r="E293" s="380" t="s">
        <v>810</v>
      </c>
      <c r="F293" s="380" t="s">
        <v>1089</v>
      </c>
      <c r="G293" s="380" t="s">
        <v>1078</v>
      </c>
      <c r="H293" s="380" t="s">
        <v>771</v>
      </c>
      <c r="I293" s="380" t="s">
        <v>1084</v>
      </c>
      <c r="J293" s="380" t="s">
        <v>773</v>
      </c>
      <c r="K293" s="381">
        <v>0.0</v>
      </c>
      <c r="L293" s="382">
        <v>1.0</v>
      </c>
    </row>
    <row r="294">
      <c r="A294" s="380" t="s">
        <v>1117</v>
      </c>
      <c r="B294" s="380" t="str">
        <f>IFERROR(__xludf.DUMMYFUNCTION("""COMPUTED_VALUE"""),"Zapato Evacol T36")</f>
        <v>Zapato Evacol T36</v>
      </c>
      <c r="C294" s="380" t="str">
        <f>IFERROR(__xludf.DUMMYFUNCTION("""COMPUTED_VALUE"""),"30000448")</f>
        <v>30000448</v>
      </c>
      <c r="D294" s="380" t="s">
        <v>767</v>
      </c>
      <c r="E294" s="380" t="s">
        <v>810</v>
      </c>
      <c r="F294" s="380" t="s">
        <v>1089</v>
      </c>
      <c r="G294" s="380" t="s">
        <v>1078</v>
      </c>
      <c r="H294" s="380" t="s">
        <v>771</v>
      </c>
      <c r="I294" s="380" t="s">
        <v>1084</v>
      </c>
      <c r="J294" s="380" t="s">
        <v>773</v>
      </c>
      <c r="K294" s="381">
        <v>0.0</v>
      </c>
      <c r="L294" s="382">
        <v>1.0</v>
      </c>
    </row>
    <row r="295">
      <c r="A295" s="380" t="s">
        <v>1118</v>
      </c>
      <c r="B295" s="380" t="str">
        <f>IFERROR(__xludf.DUMMYFUNCTION("""COMPUTED_VALUE"""),"Zapato Evacol T35")</f>
        <v>Zapato Evacol T35</v>
      </c>
      <c r="C295" s="380" t="str">
        <f>IFERROR(__xludf.DUMMYFUNCTION("""COMPUTED_VALUE"""),"30000449")</f>
        <v>30000449</v>
      </c>
      <c r="D295" s="380" t="s">
        <v>767</v>
      </c>
      <c r="E295" s="380" t="s">
        <v>810</v>
      </c>
      <c r="F295" s="380" t="s">
        <v>1089</v>
      </c>
      <c r="G295" s="380" t="s">
        <v>1078</v>
      </c>
      <c r="H295" s="380" t="s">
        <v>771</v>
      </c>
      <c r="I295" s="380" t="s">
        <v>1084</v>
      </c>
      <c r="J295" s="380" t="s">
        <v>773</v>
      </c>
      <c r="K295" s="381">
        <v>0.0</v>
      </c>
      <c r="L295" s="382">
        <v>1.0</v>
      </c>
    </row>
    <row r="296">
      <c r="A296" s="380" t="s">
        <v>1119</v>
      </c>
      <c r="B296" s="380" t="str">
        <f>IFERROR(__xludf.DUMMYFUNCTION("""COMPUTED_VALUE"""),"Zapato Evacol T34")</f>
        <v>Zapato Evacol T34</v>
      </c>
      <c r="C296" s="380" t="str">
        <f>IFERROR(__xludf.DUMMYFUNCTION("""COMPUTED_VALUE"""),"30000450")</f>
        <v>30000450</v>
      </c>
      <c r="D296" s="380" t="s">
        <v>767</v>
      </c>
      <c r="E296" s="380" t="s">
        <v>810</v>
      </c>
      <c r="F296" s="380" t="s">
        <v>1089</v>
      </c>
      <c r="G296" s="380" t="s">
        <v>1078</v>
      </c>
      <c r="H296" s="380" t="s">
        <v>771</v>
      </c>
      <c r="I296" s="380" t="s">
        <v>1084</v>
      </c>
      <c r="J296" s="380" t="s">
        <v>773</v>
      </c>
      <c r="K296" s="381">
        <v>0.0</v>
      </c>
      <c r="L296" s="382">
        <v>1.0</v>
      </c>
    </row>
    <row r="297">
      <c r="A297" s="380" t="s">
        <v>1120</v>
      </c>
      <c r="B297" s="380" t="str">
        <f>IFERROR(__xludf.DUMMYFUNCTION("""COMPUTED_VALUE"""),"Zapato Evacol T42")</f>
        <v>Zapato Evacol T42</v>
      </c>
      <c r="C297" s="380" t="str">
        <f>IFERROR(__xludf.DUMMYFUNCTION("""COMPUTED_VALUE"""),"30000451")</f>
        <v>30000451</v>
      </c>
      <c r="D297" s="380" t="s">
        <v>767</v>
      </c>
      <c r="E297" s="380" t="s">
        <v>810</v>
      </c>
      <c r="F297" s="380" t="s">
        <v>1089</v>
      </c>
      <c r="G297" s="380" t="s">
        <v>1078</v>
      </c>
      <c r="H297" s="380" t="s">
        <v>771</v>
      </c>
      <c r="I297" s="380" t="s">
        <v>1084</v>
      </c>
      <c r="J297" s="380" t="s">
        <v>773</v>
      </c>
      <c r="K297" s="381">
        <v>0.0</v>
      </c>
      <c r="L297" s="382">
        <v>1.0</v>
      </c>
    </row>
    <row r="298">
      <c r="A298" s="380" t="s">
        <v>1121</v>
      </c>
      <c r="B298" s="380" t="str">
        <f>IFERROR(__xludf.DUMMYFUNCTION("""COMPUTED_VALUE"""),"Bota Seguridad Sin Puntera 46")</f>
        <v>Bota Seguridad Sin Puntera 46</v>
      </c>
      <c r="C298" s="380" t="str">
        <f>IFERROR(__xludf.DUMMYFUNCTION("""COMPUTED_VALUE"""),"30000457")</f>
        <v>30000457</v>
      </c>
      <c r="D298" s="380" t="s">
        <v>767</v>
      </c>
      <c r="E298" s="380" t="s">
        <v>810</v>
      </c>
      <c r="F298" s="380" t="s">
        <v>1089</v>
      </c>
      <c r="G298" s="380" t="s">
        <v>1078</v>
      </c>
      <c r="H298" s="380" t="s">
        <v>771</v>
      </c>
      <c r="I298" s="380" t="s">
        <v>1084</v>
      </c>
      <c r="J298" s="380" t="s">
        <v>773</v>
      </c>
      <c r="K298" s="381">
        <v>0.0</v>
      </c>
      <c r="L298" s="382">
        <v>1.0</v>
      </c>
    </row>
    <row r="299">
      <c r="A299" s="380" t="s">
        <v>1122</v>
      </c>
      <c r="B299" s="380" t="str">
        <f>IFERROR(__xludf.DUMMYFUNCTION("""COMPUTED_VALUE"""),"Bota Seguridad Sin Puntera 43")</f>
        <v>Bota Seguridad Sin Puntera 43</v>
      </c>
      <c r="C299" s="380" t="str">
        <f>IFERROR(__xludf.DUMMYFUNCTION("""COMPUTED_VALUE"""),"30000458")</f>
        <v>30000458</v>
      </c>
      <c r="D299" s="380" t="s">
        <v>767</v>
      </c>
      <c r="E299" s="380" t="s">
        <v>810</v>
      </c>
      <c r="F299" s="380" t="s">
        <v>1089</v>
      </c>
      <c r="G299" s="380" t="s">
        <v>1078</v>
      </c>
      <c r="H299" s="380" t="s">
        <v>771</v>
      </c>
      <c r="I299" s="380" t="s">
        <v>1084</v>
      </c>
      <c r="J299" s="380" t="s">
        <v>773</v>
      </c>
      <c r="K299" s="381">
        <v>0.0</v>
      </c>
      <c r="L299" s="382">
        <v>1.0</v>
      </c>
    </row>
    <row r="300">
      <c r="A300" s="380" t="s">
        <v>1123</v>
      </c>
      <c r="B300" s="380" t="str">
        <f>IFERROR(__xludf.DUMMYFUNCTION("""COMPUTED_VALUE"""),"Bota Seguridad Sin Puntera 48")</f>
        <v>Bota Seguridad Sin Puntera 48</v>
      </c>
      <c r="C300" s="380" t="str">
        <f>IFERROR(__xludf.DUMMYFUNCTION("""COMPUTED_VALUE"""),"30000459")</f>
        <v>30000459</v>
      </c>
      <c r="D300" s="380" t="s">
        <v>767</v>
      </c>
      <c r="E300" s="380" t="s">
        <v>810</v>
      </c>
      <c r="F300" s="380" t="s">
        <v>1089</v>
      </c>
      <c r="G300" s="380" t="s">
        <v>1078</v>
      </c>
      <c r="H300" s="380" t="s">
        <v>771</v>
      </c>
      <c r="I300" s="380" t="s">
        <v>1084</v>
      </c>
      <c r="J300" s="380" t="s">
        <v>773</v>
      </c>
      <c r="K300" s="381">
        <v>0.0</v>
      </c>
      <c r="L300" s="382">
        <v>1.0</v>
      </c>
    </row>
    <row r="301">
      <c r="A301" s="380" t="s">
        <v>1124</v>
      </c>
      <c r="B301" s="380" t="str">
        <f>IFERROR(__xludf.DUMMYFUNCTION("""COMPUTED_VALUE"""),"Bota Seguridad Sin Puntera 45")</f>
        <v>Bota Seguridad Sin Puntera 45</v>
      </c>
      <c r="C301" s="380" t="str">
        <f>IFERROR(__xludf.DUMMYFUNCTION("""COMPUTED_VALUE"""),"30000460")</f>
        <v>30000460</v>
      </c>
      <c r="D301" s="380" t="s">
        <v>767</v>
      </c>
      <c r="E301" s="380" t="s">
        <v>810</v>
      </c>
      <c r="F301" s="380" t="s">
        <v>1089</v>
      </c>
      <c r="G301" s="380" t="s">
        <v>1078</v>
      </c>
      <c r="H301" s="380" t="s">
        <v>771</v>
      </c>
      <c r="I301" s="380" t="s">
        <v>1084</v>
      </c>
      <c r="J301" s="380" t="s">
        <v>773</v>
      </c>
      <c r="K301" s="381">
        <v>0.0</v>
      </c>
      <c r="L301" s="382">
        <v>1.0</v>
      </c>
    </row>
    <row r="302">
      <c r="A302" s="380" t="s">
        <v>1125</v>
      </c>
      <c r="B302" s="380" t="str">
        <f>IFERROR(__xludf.DUMMYFUNCTION("""COMPUTED_VALUE"""),"Bota Seguridad Sin Puntera 47")</f>
        <v>Bota Seguridad Sin Puntera 47</v>
      </c>
      <c r="C302" s="380" t="str">
        <f>IFERROR(__xludf.DUMMYFUNCTION("""COMPUTED_VALUE"""),"30000461")</f>
        <v>30000461</v>
      </c>
      <c r="D302" s="380" t="s">
        <v>767</v>
      </c>
      <c r="E302" s="380" t="s">
        <v>810</v>
      </c>
      <c r="F302" s="380" t="s">
        <v>1089</v>
      </c>
      <c r="G302" s="380" t="s">
        <v>1078</v>
      </c>
      <c r="H302" s="380" t="s">
        <v>771</v>
      </c>
      <c r="I302" s="380" t="s">
        <v>1084</v>
      </c>
      <c r="J302" s="380" t="s">
        <v>773</v>
      </c>
      <c r="K302" s="381">
        <v>0.0</v>
      </c>
      <c r="L302" s="382">
        <v>1.0</v>
      </c>
    </row>
    <row r="303">
      <c r="A303" s="380" t="s">
        <v>1126</v>
      </c>
      <c r="B303" s="380" t="str">
        <f>IFERROR(__xludf.DUMMYFUNCTION("""COMPUTED_VALUE"""),"Bota Seguridad Sin Puntera 44")</f>
        <v>Bota Seguridad Sin Puntera 44</v>
      </c>
      <c r="C303" s="380" t="str">
        <f>IFERROR(__xludf.DUMMYFUNCTION("""COMPUTED_VALUE"""),"30000462")</f>
        <v>30000462</v>
      </c>
      <c r="D303" s="380" t="s">
        <v>767</v>
      </c>
      <c r="E303" s="380" t="s">
        <v>810</v>
      </c>
      <c r="F303" s="380" t="s">
        <v>1089</v>
      </c>
      <c r="G303" s="380" t="s">
        <v>1078</v>
      </c>
      <c r="H303" s="380" t="s">
        <v>771</v>
      </c>
      <c r="I303" s="380" t="s">
        <v>1084</v>
      </c>
      <c r="J303" s="380" t="s">
        <v>773</v>
      </c>
      <c r="K303" s="381">
        <v>0.0</v>
      </c>
      <c r="L303" s="382">
        <v>1.0</v>
      </c>
    </row>
    <row r="304">
      <c r="A304" s="380" t="s">
        <v>1127</v>
      </c>
      <c r="B304" s="380" t="str">
        <f>IFERROR(__xludf.DUMMYFUNCTION("""COMPUTED_VALUE"""),"Tenis Roblo Jr Negro Ruta Nacional 46")</f>
        <v>Tenis Roblo Jr Negro Ruta Nacional 46</v>
      </c>
      <c r="C304" s="380" t="str">
        <f>IFERROR(__xludf.DUMMYFUNCTION("""COMPUTED_VALUE"""),"30000464")</f>
        <v>30000464</v>
      </c>
      <c r="D304" s="380" t="s">
        <v>767</v>
      </c>
      <c r="E304" s="380" t="s">
        <v>810</v>
      </c>
      <c r="F304" s="380" t="s">
        <v>1089</v>
      </c>
      <c r="G304" s="380" t="s">
        <v>1078</v>
      </c>
      <c r="H304" s="380" t="s">
        <v>771</v>
      </c>
      <c r="I304" s="380" t="s">
        <v>1084</v>
      </c>
      <c r="J304" s="380" t="s">
        <v>773</v>
      </c>
      <c r="K304" s="381">
        <v>0.0</v>
      </c>
      <c r="L304" s="382">
        <v>1.0</v>
      </c>
    </row>
    <row r="305">
      <c r="A305" s="380" t="s">
        <v>1128</v>
      </c>
      <c r="B305" s="380" t="str">
        <f>IFERROR(__xludf.DUMMYFUNCTION("""COMPUTED_VALUE"""),"Tenis Roblo Jr Negro Ruta Nacional 39")</f>
        <v>Tenis Roblo Jr Negro Ruta Nacional 39</v>
      </c>
      <c r="C305" s="380" t="str">
        <f>IFERROR(__xludf.DUMMYFUNCTION("""COMPUTED_VALUE"""),"30000466")</f>
        <v>30000466</v>
      </c>
      <c r="D305" s="380" t="s">
        <v>767</v>
      </c>
      <c r="E305" s="380" t="s">
        <v>810</v>
      </c>
      <c r="F305" s="380" t="s">
        <v>1089</v>
      </c>
      <c r="G305" s="380" t="s">
        <v>1078</v>
      </c>
      <c r="H305" s="380" t="s">
        <v>771</v>
      </c>
      <c r="I305" s="380" t="s">
        <v>1084</v>
      </c>
      <c r="J305" s="380" t="s">
        <v>773</v>
      </c>
      <c r="K305" s="381">
        <v>0.0</v>
      </c>
      <c r="L305" s="382">
        <v>1.0</v>
      </c>
    </row>
    <row r="306">
      <c r="A306" s="380" t="s">
        <v>1129</v>
      </c>
      <c r="B306" s="380" t="str">
        <f>IFERROR(__xludf.DUMMYFUNCTION("""COMPUTED_VALUE"""),"Tenis Roblo Jr Negro Ruta Nacional 41")</f>
        <v>Tenis Roblo Jr Negro Ruta Nacional 41</v>
      </c>
      <c r="C306" s="380" t="str">
        <f>IFERROR(__xludf.DUMMYFUNCTION("""COMPUTED_VALUE"""),"30000467")</f>
        <v>30000467</v>
      </c>
      <c r="D306" s="380" t="s">
        <v>767</v>
      </c>
      <c r="E306" s="380" t="s">
        <v>810</v>
      </c>
      <c r="F306" s="380" t="s">
        <v>1089</v>
      </c>
      <c r="G306" s="380" t="s">
        <v>1078</v>
      </c>
      <c r="H306" s="380" t="s">
        <v>771</v>
      </c>
      <c r="I306" s="380" t="s">
        <v>1084</v>
      </c>
      <c r="J306" s="380" t="s">
        <v>773</v>
      </c>
      <c r="K306" s="381">
        <v>71880.0</v>
      </c>
      <c r="L306" s="382">
        <v>1.0</v>
      </c>
    </row>
    <row r="307">
      <c r="A307" s="380" t="s">
        <v>1130</v>
      </c>
      <c r="B307" s="380" t="str">
        <f>IFERROR(__xludf.DUMMYFUNCTION("""COMPUTED_VALUE"""),"Tenis Roblo Jr Negro Ruta Nacional 40")</f>
        <v>Tenis Roblo Jr Negro Ruta Nacional 40</v>
      </c>
      <c r="C307" s="380" t="str">
        <f>IFERROR(__xludf.DUMMYFUNCTION("""COMPUTED_VALUE"""),"30000468")</f>
        <v>30000468</v>
      </c>
      <c r="D307" s="380" t="s">
        <v>767</v>
      </c>
      <c r="E307" s="380" t="s">
        <v>810</v>
      </c>
      <c r="F307" s="380" t="s">
        <v>1089</v>
      </c>
      <c r="G307" s="380" t="s">
        <v>1078</v>
      </c>
      <c r="H307" s="380" t="s">
        <v>771</v>
      </c>
      <c r="I307" s="380" t="s">
        <v>1084</v>
      </c>
      <c r="J307" s="380" t="s">
        <v>773</v>
      </c>
      <c r="K307" s="381">
        <v>0.0</v>
      </c>
      <c r="L307" s="382">
        <v>1.0</v>
      </c>
    </row>
    <row r="308">
      <c r="A308" s="380" t="s">
        <v>1131</v>
      </c>
      <c r="B308" s="380" t="str">
        <f>IFERROR(__xludf.DUMMYFUNCTION("""COMPUTED_VALUE"""),"Tenis Roblo Jr Negro Ruta Nacional 43")</f>
        <v>Tenis Roblo Jr Negro Ruta Nacional 43</v>
      </c>
      <c r="C308" s="380" t="str">
        <f>IFERROR(__xludf.DUMMYFUNCTION("""COMPUTED_VALUE"""),"30000469")</f>
        <v>30000469</v>
      </c>
      <c r="D308" s="380" t="s">
        <v>767</v>
      </c>
      <c r="E308" s="380" t="s">
        <v>810</v>
      </c>
      <c r="F308" s="380" t="s">
        <v>1089</v>
      </c>
      <c r="G308" s="380" t="s">
        <v>1078</v>
      </c>
      <c r="H308" s="380" t="s">
        <v>771</v>
      </c>
      <c r="I308" s="380" t="s">
        <v>1084</v>
      </c>
      <c r="J308" s="380" t="s">
        <v>773</v>
      </c>
      <c r="K308" s="381">
        <v>0.0</v>
      </c>
      <c r="L308" s="382">
        <v>1.0</v>
      </c>
    </row>
    <row r="309">
      <c r="A309" s="380" t="s">
        <v>1132</v>
      </c>
      <c r="B309" s="380" t="str">
        <f>IFERROR(__xludf.DUMMYFUNCTION("""COMPUTED_VALUE"""),"Tenis Roblo Jr Negro Ruta Nacional 36")</f>
        <v>Tenis Roblo Jr Negro Ruta Nacional 36</v>
      </c>
      <c r="C309" s="380" t="str">
        <f>IFERROR(__xludf.DUMMYFUNCTION("""COMPUTED_VALUE"""),"30000470")</f>
        <v>30000470</v>
      </c>
      <c r="D309" s="380" t="s">
        <v>767</v>
      </c>
      <c r="E309" s="380" t="s">
        <v>810</v>
      </c>
      <c r="F309" s="380" t="s">
        <v>1089</v>
      </c>
      <c r="G309" s="380" t="s">
        <v>1078</v>
      </c>
      <c r="H309" s="380" t="s">
        <v>771</v>
      </c>
      <c r="I309" s="380" t="s">
        <v>1084</v>
      </c>
      <c r="J309" s="380" t="s">
        <v>773</v>
      </c>
      <c r="K309" s="381">
        <v>0.0</v>
      </c>
      <c r="L309" s="382">
        <v>1.0</v>
      </c>
    </row>
    <row r="310">
      <c r="A310" s="380" t="s">
        <v>1133</v>
      </c>
      <c r="B310" s="380" t="str">
        <f>IFERROR(__xludf.DUMMYFUNCTION("""COMPUTED_VALUE"""),"Tenis Roblo Jr Negro Ruta Nacional 45")</f>
        <v>Tenis Roblo Jr Negro Ruta Nacional 45</v>
      </c>
      <c r="C310" s="380" t="str">
        <f>IFERROR(__xludf.DUMMYFUNCTION("""COMPUTED_VALUE"""),"30000471")</f>
        <v>30000471</v>
      </c>
      <c r="D310" s="380" t="s">
        <v>767</v>
      </c>
      <c r="E310" s="380" t="s">
        <v>810</v>
      </c>
      <c r="F310" s="380" t="s">
        <v>1089</v>
      </c>
      <c r="G310" s="380" t="s">
        <v>1078</v>
      </c>
      <c r="H310" s="380" t="s">
        <v>771</v>
      </c>
      <c r="I310" s="380" t="s">
        <v>1084</v>
      </c>
      <c r="J310" s="380" t="s">
        <v>773</v>
      </c>
      <c r="K310" s="381">
        <v>0.0</v>
      </c>
      <c r="L310" s="382">
        <v>1.0</v>
      </c>
    </row>
    <row r="311">
      <c r="A311" s="380" t="s">
        <v>1134</v>
      </c>
      <c r="B311" s="380" t="str">
        <f>IFERROR(__xludf.DUMMYFUNCTION("""COMPUTED_VALUE"""),"Tenis Roblo Jr Negro Ruta Nacional 44")</f>
        <v>Tenis Roblo Jr Negro Ruta Nacional 44</v>
      </c>
      <c r="C311" s="380" t="str">
        <f>IFERROR(__xludf.DUMMYFUNCTION("""COMPUTED_VALUE"""),"30000472")</f>
        <v>30000472</v>
      </c>
      <c r="D311" s="380" t="s">
        <v>767</v>
      </c>
      <c r="E311" s="380" t="s">
        <v>810</v>
      </c>
      <c r="F311" s="380" t="s">
        <v>1089</v>
      </c>
      <c r="G311" s="380" t="s">
        <v>1078</v>
      </c>
      <c r="H311" s="380" t="s">
        <v>771</v>
      </c>
      <c r="I311" s="380" t="s">
        <v>1084</v>
      </c>
      <c r="J311" s="380" t="s">
        <v>773</v>
      </c>
      <c r="K311" s="381">
        <v>0.0</v>
      </c>
      <c r="L311" s="382">
        <v>1.0</v>
      </c>
    </row>
    <row r="312">
      <c r="A312" s="380" t="s">
        <v>1135</v>
      </c>
      <c r="B312" s="380" t="str">
        <f>IFERROR(__xludf.DUMMYFUNCTION("""COMPUTED_VALUE"""),"Zapato Evacol T43")</f>
        <v>Zapato Evacol T43</v>
      </c>
      <c r="C312" s="380" t="str">
        <f>IFERROR(__xludf.DUMMYFUNCTION("""COMPUTED_VALUE"""),"30000473")</f>
        <v>30000473</v>
      </c>
      <c r="D312" s="380" t="s">
        <v>767</v>
      </c>
      <c r="E312" s="380" t="s">
        <v>810</v>
      </c>
      <c r="F312" s="380" t="s">
        <v>1089</v>
      </c>
      <c r="G312" s="380" t="s">
        <v>1078</v>
      </c>
      <c r="H312" s="380" t="s">
        <v>771</v>
      </c>
      <c r="I312" s="380" t="s">
        <v>1084</v>
      </c>
      <c r="J312" s="380" t="s">
        <v>773</v>
      </c>
      <c r="K312" s="381">
        <v>0.0</v>
      </c>
      <c r="L312" s="382">
        <v>1.0</v>
      </c>
    </row>
    <row r="313">
      <c r="A313" s="380" t="s">
        <v>1136</v>
      </c>
      <c r="B313" s="380" t="str">
        <f>IFERROR(__xludf.DUMMYFUNCTION("""COMPUTED_VALUE"""),"Zapato Evacol T38")</f>
        <v>Zapato Evacol T38</v>
      </c>
      <c r="C313" s="380" t="str">
        <f>IFERROR(__xludf.DUMMYFUNCTION("""COMPUTED_VALUE"""),"30000474")</f>
        <v>30000474</v>
      </c>
      <c r="D313" s="380" t="s">
        <v>767</v>
      </c>
      <c r="E313" s="380" t="s">
        <v>810</v>
      </c>
      <c r="F313" s="380" t="s">
        <v>1089</v>
      </c>
      <c r="G313" s="380" t="s">
        <v>1078</v>
      </c>
      <c r="H313" s="380" t="s">
        <v>771</v>
      </c>
      <c r="I313" s="380" t="s">
        <v>1084</v>
      </c>
      <c r="J313" s="380" t="s">
        <v>773</v>
      </c>
      <c r="K313" s="381">
        <v>48494.0</v>
      </c>
      <c r="L313" s="382">
        <v>1.0</v>
      </c>
    </row>
    <row r="314">
      <c r="A314" s="380" t="s">
        <v>1137</v>
      </c>
      <c r="B314" s="380" t="str">
        <f>IFERROR(__xludf.DUMMYFUNCTION("""COMPUTED_VALUE"""),"Zapato Evacol T39")</f>
        <v>Zapato Evacol T39</v>
      </c>
      <c r="C314" s="380" t="str">
        <f>IFERROR(__xludf.DUMMYFUNCTION("""COMPUTED_VALUE"""),"30000475")</f>
        <v>30000475</v>
      </c>
      <c r="D314" s="380" t="s">
        <v>767</v>
      </c>
      <c r="E314" s="380" t="s">
        <v>810</v>
      </c>
      <c r="F314" s="380" t="s">
        <v>1089</v>
      </c>
      <c r="G314" s="380" t="s">
        <v>1078</v>
      </c>
      <c r="H314" s="380" t="s">
        <v>771</v>
      </c>
      <c r="I314" s="380" t="s">
        <v>1084</v>
      </c>
      <c r="J314" s="380" t="s">
        <v>773</v>
      </c>
      <c r="K314" s="381">
        <v>48494.0</v>
      </c>
      <c r="L314" s="382">
        <v>1.0</v>
      </c>
    </row>
    <row r="315">
      <c r="A315" s="380" t="s">
        <v>1138</v>
      </c>
      <c r="B315" s="380" t="str">
        <f>IFERROR(__xludf.DUMMYFUNCTION("""COMPUTED_VALUE"""),"Zapato Evacol T37")</f>
        <v>Zapato Evacol T37</v>
      </c>
      <c r="C315" s="380" t="str">
        <f>IFERROR(__xludf.DUMMYFUNCTION("""COMPUTED_VALUE"""),"30000477")</f>
        <v>30000477</v>
      </c>
      <c r="D315" s="380" t="s">
        <v>767</v>
      </c>
      <c r="E315" s="380" t="s">
        <v>810</v>
      </c>
      <c r="F315" s="380" t="s">
        <v>1089</v>
      </c>
      <c r="G315" s="380" t="s">
        <v>1078</v>
      </c>
      <c r="H315" s="380" t="s">
        <v>771</v>
      </c>
      <c r="I315" s="380" t="s">
        <v>1084</v>
      </c>
      <c r="J315" s="380" t="s">
        <v>773</v>
      </c>
      <c r="K315" s="381">
        <v>48494.0</v>
      </c>
      <c r="L315" s="382">
        <v>1.0</v>
      </c>
    </row>
    <row r="316">
      <c r="A316" s="380" t="s">
        <v>1139</v>
      </c>
      <c r="B316" s="380" t="str">
        <f>IFERROR(__xludf.DUMMYFUNCTION("""COMPUTED_VALUE"""),"Zapato Evacol T40")</f>
        <v>Zapato Evacol T40</v>
      </c>
      <c r="C316" s="380" t="str">
        <f>IFERROR(__xludf.DUMMYFUNCTION("""COMPUTED_VALUE"""),"30000478")</f>
        <v>30000478</v>
      </c>
      <c r="D316" s="380" t="s">
        <v>767</v>
      </c>
      <c r="E316" s="380" t="s">
        <v>810</v>
      </c>
      <c r="F316" s="380" t="s">
        <v>1089</v>
      </c>
      <c r="G316" s="380" t="s">
        <v>1078</v>
      </c>
      <c r="H316" s="380" t="s">
        <v>771</v>
      </c>
      <c r="I316" s="380" t="s">
        <v>1084</v>
      </c>
      <c r="J316" s="380" t="s">
        <v>773</v>
      </c>
      <c r="K316" s="381">
        <v>0.0</v>
      </c>
      <c r="L316" s="382">
        <v>1.0</v>
      </c>
    </row>
    <row r="317">
      <c r="A317" s="380" t="s">
        <v>1140</v>
      </c>
      <c r="B317" s="380" t="str">
        <f>IFERROR(__xludf.DUMMYFUNCTION("""COMPUTED_VALUE"""),"Zapato Evacol T41")</f>
        <v>Zapato Evacol T41</v>
      </c>
      <c r="C317" s="380" t="str">
        <f>IFERROR(__xludf.DUMMYFUNCTION("""COMPUTED_VALUE"""),"30000479")</f>
        <v>30000479</v>
      </c>
      <c r="D317" s="380" t="s">
        <v>767</v>
      </c>
      <c r="E317" s="380" t="s">
        <v>810</v>
      </c>
      <c r="F317" s="380" t="s">
        <v>1089</v>
      </c>
      <c r="G317" s="380" t="s">
        <v>1078</v>
      </c>
      <c r="H317" s="380" t="s">
        <v>771</v>
      </c>
      <c r="I317" s="380" t="s">
        <v>1084</v>
      </c>
      <c r="J317" s="380" t="s">
        <v>773</v>
      </c>
      <c r="K317" s="381">
        <v>0.0</v>
      </c>
      <c r="L317" s="382">
        <v>1.0</v>
      </c>
    </row>
    <row r="318">
      <c r="A318" s="380" t="s">
        <v>1141</v>
      </c>
      <c r="B318" s="380" t="str">
        <f>IFERROR(__xludf.DUMMYFUNCTION("""COMPUTED_VALUE"""),"Tenis Roblo Jr Negro Ruta Nacional 37")</f>
        <v>Tenis Roblo Jr Negro Ruta Nacional 37</v>
      </c>
      <c r="C318" s="380" t="str">
        <f>IFERROR(__xludf.DUMMYFUNCTION("""COMPUTED_VALUE"""),"30000492")</f>
        <v>30000492</v>
      </c>
      <c r="D318" s="380" t="s">
        <v>767</v>
      </c>
      <c r="E318" s="380" t="s">
        <v>810</v>
      </c>
      <c r="F318" s="380" t="s">
        <v>1089</v>
      </c>
      <c r="G318" s="380" t="s">
        <v>1078</v>
      </c>
      <c r="H318" s="380" t="s">
        <v>771</v>
      </c>
      <c r="I318" s="380" t="s">
        <v>1084</v>
      </c>
      <c r="J318" s="380" t="s">
        <v>773</v>
      </c>
      <c r="K318" s="381">
        <v>0.0</v>
      </c>
      <c r="L318" s="382">
        <v>1.0</v>
      </c>
    </row>
    <row r="319">
      <c r="A319" s="380" t="s">
        <v>1142</v>
      </c>
      <c r="B319" s="380" t="str">
        <f>IFERROR(__xludf.DUMMYFUNCTION("""COMPUTED_VALUE"""),"Tenis Roblo Jr Negro Ruta Nacional 42")</f>
        <v>Tenis Roblo Jr Negro Ruta Nacional 42</v>
      </c>
      <c r="C319" s="380" t="str">
        <f>IFERROR(__xludf.DUMMYFUNCTION("""COMPUTED_VALUE"""),"30000493")</f>
        <v>30000493</v>
      </c>
      <c r="D319" s="380" t="s">
        <v>767</v>
      </c>
      <c r="E319" s="380" t="s">
        <v>810</v>
      </c>
      <c r="F319" s="380" t="s">
        <v>1089</v>
      </c>
      <c r="G319" s="380" t="s">
        <v>1078</v>
      </c>
      <c r="H319" s="380" t="s">
        <v>771</v>
      </c>
      <c r="I319" s="380" t="s">
        <v>1084</v>
      </c>
      <c r="J319" s="380" t="s">
        <v>773</v>
      </c>
      <c r="K319" s="381">
        <v>71880.0</v>
      </c>
      <c r="L319" s="382">
        <v>1.0</v>
      </c>
    </row>
    <row r="320">
      <c r="A320" s="380" t="s">
        <v>1143</v>
      </c>
      <c r="B320" s="380" t="str">
        <f>IFERROR(__xludf.DUMMYFUNCTION("""COMPUTED_VALUE"""),"Tenis Roblo Jr Negro Ruta Nacional 38")</f>
        <v>Tenis Roblo Jr Negro Ruta Nacional 38</v>
      </c>
      <c r="C320" s="380" t="str">
        <f>IFERROR(__xludf.DUMMYFUNCTION("""COMPUTED_VALUE"""),"30000494")</f>
        <v>30000494</v>
      </c>
      <c r="D320" s="380" t="s">
        <v>767</v>
      </c>
      <c r="E320" s="380" t="s">
        <v>810</v>
      </c>
      <c r="F320" s="380" t="s">
        <v>1089</v>
      </c>
      <c r="G320" s="380" t="s">
        <v>1078</v>
      </c>
      <c r="H320" s="380" t="s">
        <v>771</v>
      </c>
      <c r="I320" s="380" t="s">
        <v>1084</v>
      </c>
      <c r="J320" s="380" t="s">
        <v>773</v>
      </c>
      <c r="K320" s="381">
        <v>0.0</v>
      </c>
      <c r="L320" s="382">
        <v>1.0</v>
      </c>
    </row>
    <row r="321">
      <c r="A321" s="380" t="s">
        <v>1144</v>
      </c>
      <c r="B321" s="380" t="str">
        <f>IFERROR(__xludf.DUMMYFUNCTION("""COMPUTED_VALUE"""),"Tenis Roblo Jr Negro Ruta Nacional 47")</f>
        <v>Tenis Roblo Jr Negro Ruta Nacional 47</v>
      </c>
      <c r="C321" s="380" t="str">
        <f>IFERROR(__xludf.DUMMYFUNCTION("""COMPUTED_VALUE"""),"30000495")</f>
        <v>30000495</v>
      </c>
      <c r="D321" s="380" t="s">
        <v>767</v>
      </c>
      <c r="E321" s="380" t="s">
        <v>810</v>
      </c>
      <c r="F321" s="380" t="s">
        <v>1089</v>
      </c>
      <c r="G321" s="380" t="s">
        <v>1078</v>
      </c>
      <c r="H321" s="380" t="s">
        <v>771</v>
      </c>
      <c r="I321" s="380" t="s">
        <v>1084</v>
      </c>
      <c r="J321" s="380" t="s">
        <v>773</v>
      </c>
      <c r="K321" s="381">
        <v>0.0</v>
      </c>
      <c r="L321" s="382">
        <v>1.0</v>
      </c>
    </row>
    <row r="322">
      <c r="A322" s="380" t="s">
        <v>1145</v>
      </c>
      <c r="B322" s="380" t="str">
        <f>IFERROR(__xludf.DUMMYFUNCTION("""COMPUTED_VALUE"""),"Guante Alphatec Solvex 37-185 Anzel")</f>
        <v>Guante Alphatec Solvex 37-185 Anzel</v>
      </c>
      <c r="C322" s="380" t="str">
        <f>IFERROR(__xludf.DUMMYFUNCTION("""COMPUTED_VALUE"""),"30000524")</f>
        <v>30000524</v>
      </c>
      <c r="D322" s="380" t="s">
        <v>767</v>
      </c>
      <c r="E322" s="380" t="s">
        <v>810</v>
      </c>
      <c r="F322" s="380" t="s">
        <v>1083</v>
      </c>
      <c r="G322" s="380" t="s">
        <v>1078</v>
      </c>
      <c r="H322" s="380" t="s">
        <v>771</v>
      </c>
      <c r="I322" s="380" t="s">
        <v>1084</v>
      </c>
      <c r="J322" s="380" t="s">
        <v>773</v>
      </c>
      <c r="K322" s="381">
        <v>0.0</v>
      </c>
      <c r="L322" s="382">
        <v>1.0</v>
      </c>
    </row>
    <row r="323">
      <c r="A323" s="380" t="s">
        <v>1146</v>
      </c>
      <c r="B323" s="380" t="str">
        <f>IFERROR(__xludf.DUMMYFUNCTION("""COMPUTED_VALUE"""),"Botas Plasticas 43")</f>
        <v>Botas Plasticas 43</v>
      </c>
      <c r="C323" s="380" t="str">
        <f>IFERROR(__xludf.DUMMYFUNCTION("""COMPUTED_VALUE"""),"30000608")</f>
        <v>30000608</v>
      </c>
      <c r="D323" s="380" t="s">
        <v>767</v>
      </c>
      <c r="E323" s="380" t="s">
        <v>810</v>
      </c>
      <c r="F323" s="380" t="s">
        <v>1089</v>
      </c>
      <c r="G323" s="380" t="s">
        <v>1078</v>
      </c>
      <c r="H323" s="380" t="s">
        <v>771</v>
      </c>
      <c r="I323" s="380" t="s">
        <v>1084</v>
      </c>
      <c r="J323" s="380" t="s">
        <v>773</v>
      </c>
      <c r="K323" s="381">
        <v>36198.0</v>
      </c>
      <c r="L323" s="382">
        <v>1.0</v>
      </c>
    </row>
    <row r="324">
      <c r="A324" s="380" t="s">
        <v>1147</v>
      </c>
      <c r="B324" s="380" t="str">
        <f>IFERROR(__xludf.DUMMYFUNCTION("""COMPUTED_VALUE"""),"Botas Plasticas 44")</f>
        <v>Botas Plasticas 44</v>
      </c>
      <c r="C324" s="380" t="str">
        <f>IFERROR(__xludf.DUMMYFUNCTION("""COMPUTED_VALUE"""),"30000609")</f>
        <v>30000609</v>
      </c>
      <c r="D324" s="380" t="s">
        <v>767</v>
      </c>
      <c r="E324" s="380" t="s">
        <v>810</v>
      </c>
      <c r="F324" s="380" t="s">
        <v>1089</v>
      </c>
      <c r="G324" s="380" t="s">
        <v>1078</v>
      </c>
      <c r="H324" s="380" t="s">
        <v>771</v>
      </c>
      <c r="I324" s="380" t="s">
        <v>1084</v>
      </c>
      <c r="J324" s="380" t="s">
        <v>773</v>
      </c>
      <c r="K324" s="381">
        <v>0.0</v>
      </c>
      <c r="L324" s="382">
        <v>1.0</v>
      </c>
    </row>
    <row r="325">
      <c r="A325" s="380" t="s">
        <v>1148</v>
      </c>
      <c r="B325" s="380" t="str">
        <f>IFERROR(__xludf.DUMMYFUNCTION("""COMPUTED_VALUE"""),"Botas Plasticas 45")</f>
        <v>Botas Plasticas 45</v>
      </c>
      <c r="C325" s="380" t="str">
        <f>IFERROR(__xludf.DUMMYFUNCTION("""COMPUTED_VALUE"""),"30000610")</f>
        <v>30000610</v>
      </c>
      <c r="D325" s="380" t="s">
        <v>767</v>
      </c>
      <c r="E325" s="380" t="s">
        <v>810</v>
      </c>
      <c r="F325" s="380" t="s">
        <v>1089</v>
      </c>
      <c r="G325" s="380" t="s">
        <v>1078</v>
      </c>
      <c r="H325" s="380" t="s">
        <v>771</v>
      </c>
      <c r="I325" s="380" t="s">
        <v>1084</v>
      </c>
      <c r="J325" s="380" t="s">
        <v>773</v>
      </c>
      <c r="K325" s="381">
        <v>0.0</v>
      </c>
      <c r="L325" s="382">
        <v>1.0</v>
      </c>
    </row>
    <row r="326">
      <c r="A326" s="380" t="s">
        <v>1149</v>
      </c>
      <c r="B326" s="380" t="str">
        <f>IFERROR(__xludf.DUMMYFUNCTION("""COMPUTED_VALUE"""),"Botas Plasticas 40")</f>
        <v>Botas Plasticas 40</v>
      </c>
      <c r="C326" s="380" t="str">
        <f>IFERROR(__xludf.DUMMYFUNCTION("""COMPUTED_VALUE"""),"30000611")</f>
        <v>30000611</v>
      </c>
      <c r="D326" s="380" t="s">
        <v>767</v>
      </c>
      <c r="E326" s="380" t="s">
        <v>810</v>
      </c>
      <c r="F326" s="380" t="s">
        <v>1089</v>
      </c>
      <c r="G326" s="380" t="s">
        <v>1078</v>
      </c>
      <c r="H326" s="380" t="s">
        <v>771</v>
      </c>
      <c r="I326" s="380" t="s">
        <v>1084</v>
      </c>
      <c r="J326" s="380" t="s">
        <v>773</v>
      </c>
      <c r="K326" s="381">
        <v>36198.0</v>
      </c>
      <c r="L326" s="382">
        <v>1.0</v>
      </c>
    </row>
    <row r="327">
      <c r="A327" s="380" t="s">
        <v>1150</v>
      </c>
      <c r="B327" s="380" t="str">
        <f>IFERROR(__xludf.DUMMYFUNCTION("""COMPUTED_VALUE"""),"Bota Seguridad 47")</f>
        <v>Bota Seguridad 47</v>
      </c>
      <c r="C327" s="380" t="str">
        <f>IFERROR(__xludf.DUMMYFUNCTION("""COMPUTED_VALUE"""),"30000623")</f>
        <v>30000623</v>
      </c>
      <c r="D327" s="380" t="s">
        <v>767</v>
      </c>
      <c r="E327" s="380" t="s">
        <v>810</v>
      </c>
      <c r="F327" s="380" t="s">
        <v>1089</v>
      </c>
      <c r="G327" s="380" t="s">
        <v>1078</v>
      </c>
      <c r="H327" s="380" t="s">
        <v>771</v>
      </c>
      <c r="I327" s="380" t="s">
        <v>1084</v>
      </c>
      <c r="J327" s="380" t="s">
        <v>773</v>
      </c>
      <c r="K327" s="381">
        <v>0.0</v>
      </c>
      <c r="L327" s="382">
        <v>1.0</v>
      </c>
    </row>
    <row r="328">
      <c r="A328" s="380" t="s">
        <v>1151</v>
      </c>
      <c r="B328" s="380" t="str">
        <f>IFERROR(__xludf.DUMMYFUNCTION("""COMPUTED_VALUE"""),"Bota Seguridad 34")</f>
        <v>Bota Seguridad 34</v>
      </c>
      <c r="C328" s="380" t="str">
        <f>IFERROR(__xludf.DUMMYFUNCTION("""COMPUTED_VALUE"""),"30000624")</f>
        <v>30000624</v>
      </c>
      <c r="D328" s="380" t="s">
        <v>767</v>
      </c>
      <c r="E328" s="380" t="s">
        <v>810</v>
      </c>
      <c r="F328" s="380" t="s">
        <v>1089</v>
      </c>
      <c r="G328" s="380" t="s">
        <v>1078</v>
      </c>
      <c r="H328" s="380" t="s">
        <v>771</v>
      </c>
      <c r="I328" s="380" t="s">
        <v>1084</v>
      </c>
      <c r="J328" s="380" t="s">
        <v>773</v>
      </c>
      <c r="K328" s="381">
        <v>76368.0</v>
      </c>
      <c r="L328" s="382">
        <v>1.0</v>
      </c>
    </row>
    <row r="329">
      <c r="A329" s="380" t="s">
        <v>1152</v>
      </c>
      <c r="B329" s="380" t="str">
        <f>IFERROR(__xludf.DUMMYFUNCTION("""COMPUTED_VALUE"""),"Bota Seguridad 48")</f>
        <v>Bota Seguridad 48</v>
      </c>
      <c r="C329" s="380" t="str">
        <f>IFERROR(__xludf.DUMMYFUNCTION("""COMPUTED_VALUE"""),"30000625")</f>
        <v>30000625</v>
      </c>
      <c r="D329" s="380" t="s">
        <v>767</v>
      </c>
      <c r="E329" s="380" t="s">
        <v>810</v>
      </c>
      <c r="F329" s="380" t="s">
        <v>1089</v>
      </c>
      <c r="G329" s="380" t="s">
        <v>1078</v>
      </c>
      <c r="H329" s="380" t="s">
        <v>771</v>
      </c>
      <c r="I329" s="380" t="s">
        <v>1084</v>
      </c>
      <c r="J329" s="380" t="s">
        <v>773</v>
      </c>
      <c r="K329" s="381">
        <v>0.0</v>
      </c>
      <c r="L329" s="382">
        <v>1.0</v>
      </c>
    </row>
    <row r="330">
      <c r="A330" s="380" t="s">
        <v>1153</v>
      </c>
      <c r="B330" s="380" t="str">
        <f>IFERROR(__xludf.DUMMYFUNCTION("""COMPUTED_VALUE"""),"Bota Seguridad 38")</f>
        <v>Bota Seguridad 38</v>
      </c>
      <c r="C330" s="380" t="str">
        <f>IFERROR(__xludf.DUMMYFUNCTION("""COMPUTED_VALUE"""),"30000626")</f>
        <v>30000626</v>
      </c>
      <c r="D330" s="380" t="s">
        <v>767</v>
      </c>
      <c r="E330" s="380" t="s">
        <v>810</v>
      </c>
      <c r="F330" s="380" t="s">
        <v>1089</v>
      </c>
      <c r="G330" s="380" t="s">
        <v>1078</v>
      </c>
      <c r="H330" s="380" t="s">
        <v>771</v>
      </c>
      <c r="I330" s="380" t="s">
        <v>1084</v>
      </c>
      <c r="J330" s="380" t="s">
        <v>773</v>
      </c>
      <c r="K330" s="381">
        <v>76368.0</v>
      </c>
      <c r="L330" s="382">
        <v>1.0</v>
      </c>
    </row>
    <row r="331">
      <c r="A331" s="380" t="s">
        <v>1154</v>
      </c>
      <c r="B331" s="380" t="str">
        <f>IFERROR(__xludf.DUMMYFUNCTION("""COMPUTED_VALUE"""),"Bota Seguridad 39")</f>
        <v>Bota Seguridad 39</v>
      </c>
      <c r="C331" s="380" t="str">
        <f>IFERROR(__xludf.DUMMYFUNCTION("""COMPUTED_VALUE"""),"30000627")</f>
        <v>30000627</v>
      </c>
      <c r="D331" s="380" t="s">
        <v>767</v>
      </c>
      <c r="E331" s="380" t="s">
        <v>810</v>
      </c>
      <c r="F331" s="380" t="s">
        <v>1089</v>
      </c>
      <c r="G331" s="380" t="s">
        <v>1078</v>
      </c>
      <c r="H331" s="380" t="s">
        <v>771</v>
      </c>
      <c r="I331" s="380" t="s">
        <v>1084</v>
      </c>
      <c r="J331" s="380" t="s">
        <v>773</v>
      </c>
      <c r="K331" s="381">
        <v>76368.0</v>
      </c>
      <c r="L331" s="382">
        <v>1.0</v>
      </c>
    </row>
    <row r="332">
      <c r="A332" s="380" t="s">
        <v>1155</v>
      </c>
      <c r="B332" s="380" t="str">
        <f>IFERROR(__xludf.DUMMYFUNCTION("""COMPUTED_VALUE"""),"Botas Plasticas 42")</f>
        <v>Botas Plasticas 42</v>
      </c>
      <c r="C332" s="380" t="str">
        <f>IFERROR(__xludf.DUMMYFUNCTION("""COMPUTED_VALUE"""),"30000632")</f>
        <v>30000632</v>
      </c>
      <c r="D332" s="380" t="s">
        <v>767</v>
      </c>
      <c r="E332" s="380" t="s">
        <v>810</v>
      </c>
      <c r="F332" s="380" t="s">
        <v>1089</v>
      </c>
      <c r="G332" s="380" t="s">
        <v>1078</v>
      </c>
      <c r="H332" s="380" t="s">
        <v>771</v>
      </c>
      <c r="I332" s="380" t="s">
        <v>1084</v>
      </c>
      <c r="J332" s="380" t="s">
        <v>773</v>
      </c>
      <c r="K332" s="381">
        <v>36198.0</v>
      </c>
      <c r="L332" s="382">
        <v>1.0</v>
      </c>
    </row>
    <row r="333">
      <c r="A333" s="380" t="s">
        <v>1156</v>
      </c>
      <c r="B333" s="380" t="str">
        <f>IFERROR(__xludf.DUMMYFUNCTION("""COMPUTED_VALUE"""),"Botas Plasticas 46")</f>
        <v>Botas Plasticas 46</v>
      </c>
      <c r="C333" s="380" t="str">
        <f>IFERROR(__xludf.DUMMYFUNCTION("""COMPUTED_VALUE"""),"30000633")</f>
        <v>30000633</v>
      </c>
      <c r="D333" s="380" t="s">
        <v>767</v>
      </c>
      <c r="E333" s="380" t="s">
        <v>810</v>
      </c>
      <c r="F333" s="380" t="s">
        <v>1089</v>
      </c>
      <c r="G333" s="380" t="s">
        <v>1078</v>
      </c>
      <c r="H333" s="380" t="s">
        <v>771</v>
      </c>
      <c r="I333" s="380" t="s">
        <v>1084</v>
      </c>
      <c r="J333" s="380" t="s">
        <v>773</v>
      </c>
      <c r="K333" s="381">
        <v>0.0</v>
      </c>
      <c r="L333" s="382">
        <v>1.0</v>
      </c>
    </row>
    <row r="334">
      <c r="A334" s="380" t="s">
        <v>1157</v>
      </c>
      <c r="B334" s="380" t="str">
        <f>IFERROR(__xludf.DUMMYFUNCTION("""COMPUTED_VALUE"""),"Botas Plasticas 39")</f>
        <v>Botas Plasticas 39</v>
      </c>
      <c r="C334" s="380" t="str">
        <f>IFERROR(__xludf.DUMMYFUNCTION("""COMPUTED_VALUE"""),"30000634")</f>
        <v>30000634</v>
      </c>
      <c r="D334" s="380" t="s">
        <v>767</v>
      </c>
      <c r="E334" s="380" t="s">
        <v>810</v>
      </c>
      <c r="F334" s="380" t="s">
        <v>1089</v>
      </c>
      <c r="G334" s="380" t="s">
        <v>1078</v>
      </c>
      <c r="H334" s="380" t="s">
        <v>771</v>
      </c>
      <c r="I334" s="380" t="s">
        <v>1084</v>
      </c>
      <c r="J334" s="380" t="s">
        <v>773</v>
      </c>
      <c r="K334" s="381">
        <v>36199.0</v>
      </c>
      <c r="L334" s="382">
        <v>1.0</v>
      </c>
    </row>
    <row r="335">
      <c r="A335" s="380" t="s">
        <v>1158</v>
      </c>
      <c r="B335" s="380" t="str">
        <f>IFERROR(__xludf.DUMMYFUNCTION("""COMPUTED_VALUE"""),"Botas Plasticas 38")</f>
        <v>Botas Plasticas 38</v>
      </c>
      <c r="C335" s="380" t="str">
        <f>IFERROR(__xludf.DUMMYFUNCTION("""COMPUTED_VALUE"""),"30000635")</f>
        <v>30000635</v>
      </c>
      <c r="D335" s="380" t="s">
        <v>767</v>
      </c>
      <c r="E335" s="380" t="s">
        <v>810</v>
      </c>
      <c r="F335" s="380" t="s">
        <v>1089</v>
      </c>
      <c r="G335" s="380" t="s">
        <v>1078</v>
      </c>
      <c r="H335" s="380" t="s">
        <v>771</v>
      </c>
      <c r="I335" s="380" t="s">
        <v>1084</v>
      </c>
      <c r="J335" s="380" t="s">
        <v>773</v>
      </c>
      <c r="K335" s="381">
        <v>0.0</v>
      </c>
      <c r="L335" s="382">
        <v>1.0</v>
      </c>
    </row>
    <row r="336">
      <c r="A336" s="380" t="s">
        <v>1159</v>
      </c>
      <c r="B336" s="380" t="str">
        <f>IFERROR(__xludf.DUMMYFUNCTION("""COMPUTED_VALUE"""),"Botas Plasticas 37")</f>
        <v>Botas Plasticas 37</v>
      </c>
      <c r="C336" s="380" t="str">
        <f>IFERROR(__xludf.DUMMYFUNCTION("""COMPUTED_VALUE"""),"30000636")</f>
        <v>30000636</v>
      </c>
      <c r="D336" s="380" t="s">
        <v>767</v>
      </c>
      <c r="E336" s="380" t="s">
        <v>810</v>
      </c>
      <c r="F336" s="380" t="s">
        <v>1089</v>
      </c>
      <c r="G336" s="380" t="s">
        <v>1078</v>
      </c>
      <c r="H336" s="380" t="s">
        <v>771</v>
      </c>
      <c r="I336" s="380" t="s">
        <v>1084</v>
      </c>
      <c r="J336" s="380" t="s">
        <v>773</v>
      </c>
      <c r="K336" s="381">
        <v>0.0</v>
      </c>
      <c r="L336" s="382">
        <v>1.0</v>
      </c>
    </row>
    <row r="337">
      <c r="A337" s="380" t="s">
        <v>1160</v>
      </c>
      <c r="B337" s="380" t="str">
        <f>IFERROR(__xludf.DUMMYFUNCTION("""COMPUTED_VALUE"""),"Botas Plasticas 41")</f>
        <v>Botas Plasticas 41</v>
      </c>
      <c r="C337" s="380" t="str">
        <f>IFERROR(__xludf.DUMMYFUNCTION("""COMPUTED_VALUE"""),"30000637")</f>
        <v>30000637</v>
      </c>
      <c r="D337" s="380" t="s">
        <v>767</v>
      </c>
      <c r="E337" s="380" t="s">
        <v>810</v>
      </c>
      <c r="F337" s="380" t="s">
        <v>1089</v>
      </c>
      <c r="G337" s="380" t="s">
        <v>1078</v>
      </c>
      <c r="H337" s="380" t="s">
        <v>771</v>
      </c>
      <c r="I337" s="380" t="s">
        <v>1084</v>
      </c>
      <c r="J337" s="380" t="s">
        <v>773</v>
      </c>
      <c r="K337" s="381">
        <v>36198.0</v>
      </c>
      <c r="L337" s="382">
        <v>1.0</v>
      </c>
    </row>
    <row r="338">
      <c r="A338" s="380" t="s">
        <v>1161</v>
      </c>
      <c r="B338" s="380" t="str">
        <f>IFERROR(__xludf.DUMMYFUNCTION("""COMPUTED_VALUE"""),"Botas Plasticas 36")</f>
        <v>Botas Plasticas 36</v>
      </c>
      <c r="C338" s="380" t="str">
        <f>IFERROR(__xludf.DUMMYFUNCTION("""COMPUTED_VALUE"""),"30000638")</f>
        <v>30000638</v>
      </c>
      <c r="D338" s="380" t="s">
        <v>767</v>
      </c>
      <c r="E338" s="380" t="s">
        <v>810</v>
      </c>
      <c r="F338" s="380" t="s">
        <v>1089</v>
      </c>
      <c r="G338" s="380" t="s">
        <v>1078</v>
      </c>
      <c r="H338" s="380" t="s">
        <v>771</v>
      </c>
      <c r="I338" s="380" t="s">
        <v>1084</v>
      </c>
      <c r="J338" s="380" t="s">
        <v>773</v>
      </c>
      <c r="K338" s="381">
        <v>0.0</v>
      </c>
      <c r="L338" s="382">
        <v>1.0</v>
      </c>
    </row>
    <row r="339">
      <c r="A339" s="380" t="s">
        <v>1162</v>
      </c>
      <c r="B339" s="380" t="str">
        <f>IFERROR(__xludf.DUMMYFUNCTION("""COMPUTED_VALUE"""),"Bota Mounth Cuero 48")</f>
        <v>Bota Mounth Cuero 48</v>
      </c>
      <c r="C339" s="380" t="str">
        <f>IFERROR(__xludf.DUMMYFUNCTION("""COMPUTED_VALUE"""),"30000639")</f>
        <v>30000639</v>
      </c>
      <c r="D339" s="380" t="s">
        <v>767</v>
      </c>
      <c r="E339" s="380" t="s">
        <v>810</v>
      </c>
      <c r="F339" s="380" t="s">
        <v>1089</v>
      </c>
      <c r="G339" s="380" t="s">
        <v>1078</v>
      </c>
      <c r="H339" s="380" t="s">
        <v>771</v>
      </c>
      <c r="I339" s="380" t="s">
        <v>1084</v>
      </c>
      <c r="J339" s="380" t="s">
        <v>773</v>
      </c>
      <c r="K339" s="381">
        <v>0.0</v>
      </c>
      <c r="L339" s="382">
        <v>1.0</v>
      </c>
    </row>
    <row r="340">
      <c r="A340" s="380" t="s">
        <v>1163</v>
      </c>
      <c r="B340" s="380" t="str">
        <f>IFERROR(__xludf.DUMMYFUNCTION("""COMPUTED_VALUE"""),"Bota Mounth Cuero 44")</f>
        <v>Bota Mounth Cuero 44</v>
      </c>
      <c r="C340" s="380" t="str">
        <f>IFERROR(__xludf.DUMMYFUNCTION("""COMPUTED_VALUE"""),"30000640")</f>
        <v>30000640</v>
      </c>
      <c r="D340" s="380" t="s">
        <v>767</v>
      </c>
      <c r="E340" s="380" t="s">
        <v>810</v>
      </c>
      <c r="F340" s="380" t="s">
        <v>1089</v>
      </c>
      <c r="G340" s="380" t="s">
        <v>1078</v>
      </c>
      <c r="H340" s="380" t="s">
        <v>771</v>
      </c>
      <c r="I340" s="380" t="s">
        <v>1084</v>
      </c>
      <c r="J340" s="380" t="s">
        <v>773</v>
      </c>
      <c r="K340" s="381">
        <v>59895.0</v>
      </c>
      <c r="L340" s="382">
        <v>1.0</v>
      </c>
    </row>
    <row r="341">
      <c r="A341" s="380" t="s">
        <v>1164</v>
      </c>
      <c r="B341" s="380" t="str">
        <f>IFERROR(__xludf.DUMMYFUNCTION("""COMPUTED_VALUE"""),"Bota Mounth Cuero 42")</f>
        <v>Bota Mounth Cuero 42</v>
      </c>
      <c r="C341" s="380" t="str">
        <f>IFERROR(__xludf.DUMMYFUNCTION("""COMPUTED_VALUE"""),"30000641")</f>
        <v>30000641</v>
      </c>
      <c r="D341" s="380" t="s">
        <v>767</v>
      </c>
      <c r="E341" s="380" t="s">
        <v>810</v>
      </c>
      <c r="F341" s="380" t="s">
        <v>1089</v>
      </c>
      <c r="G341" s="380" t="s">
        <v>1078</v>
      </c>
      <c r="H341" s="380" t="s">
        <v>771</v>
      </c>
      <c r="I341" s="380" t="s">
        <v>1084</v>
      </c>
      <c r="J341" s="380" t="s">
        <v>773</v>
      </c>
      <c r="K341" s="381">
        <v>59895.0</v>
      </c>
      <c r="L341" s="382">
        <v>1.0</v>
      </c>
    </row>
    <row r="342">
      <c r="A342" s="380" t="s">
        <v>1165</v>
      </c>
      <c r="B342" s="380" t="str">
        <f>IFERROR(__xludf.DUMMYFUNCTION("""COMPUTED_VALUE"""),"Bota Mounth Cuero 36")</f>
        <v>Bota Mounth Cuero 36</v>
      </c>
      <c r="C342" s="380" t="str">
        <f>IFERROR(__xludf.DUMMYFUNCTION("""COMPUTED_VALUE"""),"30000642")</f>
        <v>30000642</v>
      </c>
      <c r="D342" s="380" t="s">
        <v>767</v>
      </c>
      <c r="E342" s="380" t="s">
        <v>810</v>
      </c>
      <c r="F342" s="380" t="s">
        <v>1089</v>
      </c>
      <c r="G342" s="380" t="s">
        <v>1078</v>
      </c>
      <c r="H342" s="380" t="s">
        <v>771</v>
      </c>
      <c r="I342" s="380" t="s">
        <v>1084</v>
      </c>
      <c r="J342" s="380" t="s">
        <v>773</v>
      </c>
      <c r="K342" s="381">
        <v>0.0</v>
      </c>
      <c r="L342" s="382">
        <v>1.0</v>
      </c>
    </row>
    <row r="343">
      <c r="A343" s="380" t="s">
        <v>1166</v>
      </c>
      <c r="B343" s="380" t="str">
        <f>IFERROR(__xludf.DUMMYFUNCTION("""COMPUTED_VALUE"""),"Bota Mounth Cuero 45")</f>
        <v>Bota Mounth Cuero 45</v>
      </c>
      <c r="C343" s="380" t="str">
        <f>IFERROR(__xludf.DUMMYFUNCTION("""COMPUTED_VALUE"""),"30000643")</f>
        <v>30000643</v>
      </c>
      <c r="D343" s="380" t="s">
        <v>767</v>
      </c>
      <c r="E343" s="380" t="s">
        <v>810</v>
      </c>
      <c r="F343" s="380" t="s">
        <v>1089</v>
      </c>
      <c r="G343" s="380" t="s">
        <v>1078</v>
      </c>
      <c r="H343" s="380" t="s">
        <v>771</v>
      </c>
      <c r="I343" s="380" t="s">
        <v>1084</v>
      </c>
      <c r="J343" s="380" t="s">
        <v>773</v>
      </c>
      <c r="K343" s="381">
        <v>0.0</v>
      </c>
      <c r="L343" s="382">
        <v>1.0</v>
      </c>
    </row>
    <row r="344">
      <c r="A344" s="380" t="s">
        <v>1167</v>
      </c>
      <c r="B344" s="380" t="str">
        <f>IFERROR(__xludf.DUMMYFUNCTION("""COMPUTED_VALUE"""),"Bota Seguridad 42")</f>
        <v>Bota Seguridad 42</v>
      </c>
      <c r="C344" s="380" t="str">
        <f>IFERROR(__xludf.DUMMYFUNCTION("""COMPUTED_VALUE"""),"30000644")</f>
        <v>30000644</v>
      </c>
      <c r="D344" s="380" t="s">
        <v>767</v>
      </c>
      <c r="E344" s="380" t="s">
        <v>810</v>
      </c>
      <c r="F344" s="380" t="s">
        <v>1089</v>
      </c>
      <c r="G344" s="380" t="s">
        <v>1078</v>
      </c>
      <c r="H344" s="380" t="s">
        <v>771</v>
      </c>
      <c r="I344" s="380" t="s">
        <v>1084</v>
      </c>
      <c r="J344" s="380" t="s">
        <v>773</v>
      </c>
      <c r="K344" s="381">
        <v>76368.0</v>
      </c>
      <c r="L344" s="382">
        <v>1.0</v>
      </c>
    </row>
    <row r="345">
      <c r="A345" s="380" t="s">
        <v>1168</v>
      </c>
      <c r="B345" s="380" t="str">
        <f>IFERROR(__xludf.DUMMYFUNCTION("""COMPUTED_VALUE"""),"Bota Seguridad 40")</f>
        <v>Bota Seguridad 40</v>
      </c>
      <c r="C345" s="380" t="str">
        <f>IFERROR(__xludf.DUMMYFUNCTION("""COMPUTED_VALUE"""),"30000645")</f>
        <v>30000645</v>
      </c>
      <c r="D345" s="380" t="s">
        <v>767</v>
      </c>
      <c r="E345" s="380" t="s">
        <v>810</v>
      </c>
      <c r="F345" s="380" t="s">
        <v>1089</v>
      </c>
      <c r="G345" s="380" t="s">
        <v>1078</v>
      </c>
      <c r="H345" s="380" t="s">
        <v>771</v>
      </c>
      <c r="I345" s="380" t="s">
        <v>1084</v>
      </c>
      <c r="J345" s="380" t="s">
        <v>773</v>
      </c>
      <c r="K345" s="381">
        <v>76368.0</v>
      </c>
      <c r="L345" s="382">
        <v>1.0</v>
      </c>
    </row>
    <row r="346">
      <c r="A346" s="380" t="s">
        <v>1169</v>
      </c>
      <c r="B346" s="380" t="str">
        <f>IFERROR(__xludf.DUMMYFUNCTION("""COMPUTED_VALUE"""),"Bota Seguridad 37")</f>
        <v>Bota Seguridad 37</v>
      </c>
      <c r="C346" s="380" t="str">
        <f>IFERROR(__xludf.DUMMYFUNCTION("""COMPUTED_VALUE"""),"30000646")</f>
        <v>30000646</v>
      </c>
      <c r="D346" s="380" t="s">
        <v>767</v>
      </c>
      <c r="E346" s="380" t="s">
        <v>810</v>
      </c>
      <c r="F346" s="380" t="s">
        <v>1089</v>
      </c>
      <c r="G346" s="380" t="s">
        <v>1078</v>
      </c>
      <c r="H346" s="380" t="s">
        <v>771</v>
      </c>
      <c r="I346" s="380" t="s">
        <v>1084</v>
      </c>
      <c r="J346" s="380" t="s">
        <v>773</v>
      </c>
      <c r="K346" s="381">
        <v>76368.0</v>
      </c>
      <c r="L346" s="382">
        <v>1.0</v>
      </c>
    </row>
    <row r="347">
      <c r="A347" s="380" t="s">
        <v>1170</v>
      </c>
      <c r="B347" s="380" t="str">
        <f>IFERROR(__xludf.DUMMYFUNCTION("""COMPUTED_VALUE"""),"Bota Seguridad 45")</f>
        <v>Bota Seguridad 45</v>
      </c>
      <c r="C347" s="380" t="str">
        <f>IFERROR(__xludf.DUMMYFUNCTION("""COMPUTED_VALUE"""),"30000647")</f>
        <v>30000647</v>
      </c>
      <c r="D347" s="380" t="s">
        <v>767</v>
      </c>
      <c r="E347" s="380" t="s">
        <v>810</v>
      </c>
      <c r="F347" s="380" t="s">
        <v>1089</v>
      </c>
      <c r="G347" s="380" t="s">
        <v>1078</v>
      </c>
      <c r="H347" s="380" t="s">
        <v>771</v>
      </c>
      <c r="I347" s="380" t="s">
        <v>1084</v>
      </c>
      <c r="J347" s="380" t="s">
        <v>773</v>
      </c>
      <c r="K347" s="381">
        <v>76368.0</v>
      </c>
      <c r="L347" s="382">
        <v>1.0</v>
      </c>
    </row>
    <row r="348">
      <c r="A348" s="380" t="s">
        <v>1171</v>
      </c>
      <c r="B348" s="380" t="str">
        <f>IFERROR(__xludf.DUMMYFUNCTION("""COMPUTED_VALUE"""),"Bota Seguridad 35")</f>
        <v>Bota Seguridad 35</v>
      </c>
      <c r="C348" s="380" t="str">
        <f>IFERROR(__xludf.DUMMYFUNCTION("""COMPUTED_VALUE"""),"30000648")</f>
        <v>30000648</v>
      </c>
      <c r="D348" s="380" t="s">
        <v>767</v>
      </c>
      <c r="E348" s="380" t="s">
        <v>810</v>
      </c>
      <c r="F348" s="380" t="s">
        <v>1089</v>
      </c>
      <c r="G348" s="380" t="s">
        <v>1078</v>
      </c>
      <c r="H348" s="380" t="s">
        <v>771</v>
      </c>
      <c r="I348" s="380" t="s">
        <v>1084</v>
      </c>
      <c r="J348" s="380" t="s">
        <v>773</v>
      </c>
      <c r="K348" s="381">
        <v>76368.0</v>
      </c>
      <c r="L348" s="382">
        <v>1.0</v>
      </c>
    </row>
    <row r="349">
      <c r="A349" s="380" t="s">
        <v>1172</v>
      </c>
      <c r="B349" s="380" t="str">
        <f>IFERROR(__xludf.DUMMYFUNCTION("""COMPUTED_VALUE"""),"Bota Seguridad 44")</f>
        <v>Bota Seguridad 44</v>
      </c>
      <c r="C349" s="380" t="str">
        <f>IFERROR(__xludf.DUMMYFUNCTION("""COMPUTED_VALUE"""),"30000650")</f>
        <v>30000650</v>
      </c>
      <c r="D349" s="380" t="s">
        <v>767</v>
      </c>
      <c r="E349" s="380" t="s">
        <v>810</v>
      </c>
      <c r="F349" s="380" t="s">
        <v>1089</v>
      </c>
      <c r="G349" s="380" t="s">
        <v>1078</v>
      </c>
      <c r="H349" s="380" t="s">
        <v>771</v>
      </c>
      <c r="I349" s="380" t="s">
        <v>1084</v>
      </c>
      <c r="J349" s="380" t="s">
        <v>773</v>
      </c>
      <c r="K349" s="381">
        <v>76368.0</v>
      </c>
      <c r="L349" s="382">
        <v>1.0</v>
      </c>
    </row>
    <row r="350">
      <c r="A350" s="380" t="s">
        <v>1173</v>
      </c>
      <c r="B350" s="380" t="str">
        <f>IFERROR(__xludf.DUMMYFUNCTION("""COMPUTED_VALUE"""),"Bota Seguridad 43")</f>
        <v>Bota Seguridad 43</v>
      </c>
      <c r="C350" s="380" t="str">
        <f>IFERROR(__xludf.DUMMYFUNCTION("""COMPUTED_VALUE"""),"30000651")</f>
        <v>30000651</v>
      </c>
      <c r="D350" s="380" t="s">
        <v>767</v>
      </c>
      <c r="E350" s="380" t="s">
        <v>810</v>
      </c>
      <c r="F350" s="380" t="s">
        <v>1089</v>
      </c>
      <c r="G350" s="380" t="s">
        <v>1078</v>
      </c>
      <c r="H350" s="380" t="s">
        <v>771</v>
      </c>
      <c r="I350" s="380" t="s">
        <v>1084</v>
      </c>
      <c r="J350" s="380" t="s">
        <v>773</v>
      </c>
      <c r="K350" s="381">
        <v>76368.0</v>
      </c>
      <c r="L350" s="382">
        <v>1.0</v>
      </c>
    </row>
    <row r="351">
      <c r="A351" s="380" t="s">
        <v>1174</v>
      </c>
      <c r="B351" s="380" t="str">
        <f>IFERROR(__xludf.DUMMYFUNCTION("""COMPUTED_VALUE"""),"Bota Seguridad 41")</f>
        <v>Bota Seguridad 41</v>
      </c>
      <c r="C351" s="380" t="str">
        <f>IFERROR(__xludf.DUMMYFUNCTION("""COMPUTED_VALUE"""),"30000652")</f>
        <v>30000652</v>
      </c>
      <c r="D351" s="380" t="s">
        <v>767</v>
      </c>
      <c r="E351" s="380" t="s">
        <v>810</v>
      </c>
      <c r="F351" s="380" t="s">
        <v>1089</v>
      </c>
      <c r="G351" s="380" t="s">
        <v>1078</v>
      </c>
      <c r="H351" s="380" t="s">
        <v>771</v>
      </c>
      <c r="I351" s="380" t="s">
        <v>1084</v>
      </c>
      <c r="J351" s="380" t="s">
        <v>773</v>
      </c>
      <c r="K351" s="381">
        <v>76368.0</v>
      </c>
      <c r="L351" s="382">
        <v>1.0</v>
      </c>
    </row>
    <row r="352">
      <c r="A352" s="380" t="s">
        <v>1175</v>
      </c>
      <c r="B352" s="380" t="str">
        <f>IFERROR(__xludf.DUMMYFUNCTION("""COMPUTED_VALUE"""),"Bota Seguridad 36")</f>
        <v>Bota Seguridad 36</v>
      </c>
      <c r="C352" s="380" t="str">
        <f>IFERROR(__xludf.DUMMYFUNCTION("""COMPUTED_VALUE"""),"30000653")</f>
        <v>30000653</v>
      </c>
      <c r="D352" s="380" t="s">
        <v>767</v>
      </c>
      <c r="E352" s="380" t="s">
        <v>810</v>
      </c>
      <c r="F352" s="380" t="s">
        <v>1089</v>
      </c>
      <c r="G352" s="380" t="s">
        <v>1078</v>
      </c>
      <c r="H352" s="380" t="s">
        <v>771</v>
      </c>
      <c r="I352" s="380" t="s">
        <v>1084</v>
      </c>
      <c r="J352" s="380" t="s">
        <v>773</v>
      </c>
      <c r="K352" s="381">
        <v>0.0</v>
      </c>
      <c r="L352" s="382">
        <v>1.0</v>
      </c>
    </row>
    <row r="353">
      <c r="A353" s="380" t="s">
        <v>1176</v>
      </c>
      <c r="B353" s="380" t="str">
        <f>IFERROR(__xludf.DUMMYFUNCTION("""COMPUTED_VALUE"""),"Bota Seguridad 46")</f>
        <v>Bota Seguridad 46</v>
      </c>
      <c r="C353" s="380" t="str">
        <f>IFERROR(__xludf.DUMMYFUNCTION("""COMPUTED_VALUE"""),"30000654")</f>
        <v>30000654</v>
      </c>
      <c r="D353" s="380" t="s">
        <v>767</v>
      </c>
      <c r="E353" s="380" t="s">
        <v>810</v>
      </c>
      <c r="F353" s="380" t="s">
        <v>1089</v>
      </c>
      <c r="G353" s="380" t="s">
        <v>1078</v>
      </c>
      <c r="H353" s="380" t="s">
        <v>771</v>
      </c>
      <c r="I353" s="380" t="s">
        <v>1084</v>
      </c>
      <c r="J353" s="380" t="s">
        <v>773</v>
      </c>
      <c r="K353" s="381">
        <v>76368.0</v>
      </c>
      <c r="L353" s="382">
        <v>1.0</v>
      </c>
    </row>
    <row r="354">
      <c r="A354" s="380" t="s">
        <v>1177</v>
      </c>
      <c r="B354" s="380" t="str">
        <f>IFERROR(__xludf.DUMMYFUNCTION("""COMPUTED_VALUE"""),"Bota Mounth Cuero 30")</f>
        <v>Bota Mounth Cuero 30</v>
      </c>
      <c r="C354" s="380" t="str">
        <f>IFERROR(__xludf.DUMMYFUNCTION("""COMPUTED_VALUE"""),"30000657")</f>
        <v>30000657</v>
      </c>
      <c r="D354" s="380" t="s">
        <v>767</v>
      </c>
      <c r="E354" s="380" t="s">
        <v>810</v>
      </c>
      <c r="F354" s="380" t="s">
        <v>1089</v>
      </c>
      <c r="G354" s="380" t="s">
        <v>1078</v>
      </c>
      <c r="H354" s="380" t="s">
        <v>771</v>
      </c>
      <c r="I354" s="380" t="s">
        <v>1084</v>
      </c>
      <c r="J354" s="380" t="s">
        <v>773</v>
      </c>
      <c r="K354" s="381">
        <v>0.0</v>
      </c>
      <c r="L354" s="382">
        <v>1.0</v>
      </c>
    </row>
    <row r="355">
      <c r="A355" s="380" t="s">
        <v>1178</v>
      </c>
      <c r="B355" s="380" t="str">
        <f>IFERROR(__xludf.DUMMYFUNCTION("""COMPUTED_VALUE"""),"Bota Mounth Cuero 46")</f>
        <v>Bota Mounth Cuero 46</v>
      </c>
      <c r="C355" s="380" t="str">
        <f>IFERROR(__xludf.DUMMYFUNCTION("""COMPUTED_VALUE"""),"30000658")</f>
        <v>30000658</v>
      </c>
      <c r="D355" s="380" t="s">
        <v>767</v>
      </c>
      <c r="E355" s="380" t="s">
        <v>810</v>
      </c>
      <c r="F355" s="380" t="s">
        <v>1089</v>
      </c>
      <c r="G355" s="380" t="s">
        <v>1078</v>
      </c>
      <c r="H355" s="380" t="s">
        <v>771</v>
      </c>
      <c r="I355" s="380" t="s">
        <v>1084</v>
      </c>
      <c r="J355" s="380" t="s">
        <v>773</v>
      </c>
      <c r="K355" s="381">
        <v>0.0</v>
      </c>
      <c r="L355" s="382">
        <v>1.0</v>
      </c>
    </row>
    <row r="356">
      <c r="A356" s="380" t="s">
        <v>1179</v>
      </c>
      <c r="B356" s="380" t="str">
        <f>IFERROR(__xludf.DUMMYFUNCTION("""COMPUTED_VALUE"""),"Bota Mounth Cuero 32")</f>
        <v>Bota Mounth Cuero 32</v>
      </c>
      <c r="C356" s="380" t="str">
        <f>IFERROR(__xludf.DUMMYFUNCTION("""COMPUTED_VALUE"""),"30000660")</f>
        <v>30000660</v>
      </c>
      <c r="D356" s="380" t="s">
        <v>767</v>
      </c>
      <c r="E356" s="380" t="s">
        <v>810</v>
      </c>
      <c r="F356" s="380" t="s">
        <v>1089</v>
      </c>
      <c r="G356" s="380" t="s">
        <v>1078</v>
      </c>
      <c r="H356" s="380" t="s">
        <v>771</v>
      </c>
      <c r="I356" s="380" t="s">
        <v>1084</v>
      </c>
      <c r="J356" s="380" t="s">
        <v>773</v>
      </c>
      <c r="K356" s="381">
        <v>0.0</v>
      </c>
      <c r="L356" s="382">
        <v>1.0</v>
      </c>
    </row>
    <row r="357">
      <c r="A357" s="380" t="s">
        <v>1180</v>
      </c>
      <c r="B357" s="380" t="str">
        <f>IFERROR(__xludf.DUMMYFUNCTION("""COMPUTED_VALUE"""),"Bota Mounth Cuero 39")</f>
        <v>Bota Mounth Cuero 39</v>
      </c>
      <c r="C357" s="380" t="str">
        <f>IFERROR(__xludf.DUMMYFUNCTION("""COMPUTED_VALUE"""),"30000661")</f>
        <v>30000661</v>
      </c>
      <c r="D357" s="380" t="s">
        <v>767</v>
      </c>
      <c r="E357" s="380" t="s">
        <v>810</v>
      </c>
      <c r="F357" s="380" t="s">
        <v>1089</v>
      </c>
      <c r="G357" s="380" t="s">
        <v>1078</v>
      </c>
      <c r="H357" s="380" t="s">
        <v>771</v>
      </c>
      <c r="I357" s="380" t="s">
        <v>1084</v>
      </c>
      <c r="J357" s="380" t="s">
        <v>773</v>
      </c>
      <c r="K357" s="381">
        <v>59895.0</v>
      </c>
      <c r="L357" s="382">
        <v>1.0</v>
      </c>
    </row>
    <row r="358">
      <c r="A358" s="380" t="s">
        <v>1181</v>
      </c>
      <c r="B358" s="380" t="str">
        <f>IFERROR(__xludf.DUMMYFUNCTION("""COMPUTED_VALUE"""),"Bota Mounth Cuero 35")</f>
        <v>Bota Mounth Cuero 35</v>
      </c>
      <c r="C358" s="380" t="str">
        <f>IFERROR(__xludf.DUMMYFUNCTION("""COMPUTED_VALUE"""),"30000662")</f>
        <v>30000662</v>
      </c>
      <c r="D358" s="380" t="s">
        <v>767</v>
      </c>
      <c r="E358" s="380" t="s">
        <v>810</v>
      </c>
      <c r="F358" s="380" t="s">
        <v>1089</v>
      </c>
      <c r="G358" s="380" t="s">
        <v>1078</v>
      </c>
      <c r="H358" s="380" t="s">
        <v>771</v>
      </c>
      <c r="I358" s="380" t="s">
        <v>1084</v>
      </c>
      <c r="J358" s="380" t="s">
        <v>773</v>
      </c>
      <c r="K358" s="381">
        <v>0.0</v>
      </c>
      <c r="L358" s="382">
        <v>1.0</v>
      </c>
    </row>
    <row r="359">
      <c r="A359" s="380" t="s">
        <v>1182</v>
      </c>
      <c r="B359" s="380" t="str">
        <f>IFERROR(__xludf.DUMMYFUNCTION("""COMPUTED_VALUE"""),"Bota Mounth Cuero 43")</f>
        <v>Bota Mounth Cuero 43</v>
      </c>
      <c r="C359" s="380" t="str">
        <f>IFERROR(__xludf.DUMMYFUNCTION("""COMPUTED_VALUE"""),"30000663")</f>
        <v>30000663</v>
      </c>
      <c r="D359" s="380" t="s">
        <v>767</v>
      </c>
      <c r="E359" s="380" t="s">
        <v>810</v>
      </c>
      <c r="F359" s="380" t="s">
        <v>1089</v>
      </c>
      <c r="G359" s="380" t="s">
        <v>1078</v>
      </c>
      <c r="H359" s="380" t="s">
        <v>771</v>
      </c>
      <c r="I359" s="380" t="s">
        <v>1084</v>
      </c>
      <c r="J359" s="380" t="s">
        <v>773</v>
      </c>
      <c r="K359" s="381">
        <v>59895.0</v>
      </c>
      <c r="L359" s="382">
        <v>1.0</v>
      </c>
    </row>
    <row r="360">
      <c r="A360" s="380" t="s">
        <v>1183</v>
      </c>
      <c r="B360" s="380" t="str">
        <f>IFERROR(__xludf.DUMMYFUNCTION("""COMPUTED_VALUE"""),"Bota Mounth Cuero 38")</f>
        <v>Bota Mounth Cuero 38</v>
      </c>
      <c r="C360" s="380" t="str">
        <f>IFERROR(__xludf.DUMMYFUNCTION("""COMPUTED_VALUE"""),"30000664")</f>
        <v>30000664</v>
      </c>
      <c r="D360" s="380" t="s">
        <v>767</v>
      </c>
      <c r="E360" s="380" t="s">
        <v>810</v>
      </c>
      <c r="F360" s="380" t="s">
        <v>1089</v>
      </c>
      <c r="G360" s="380" t="s">
        <v>1078</v>
      </c>
      <c r="H360" s="380" t="s">
        <v>771</v>
      </c>
      <c r="I360" s="380" t="s">
        <v>1084</v>
      </c>
      <c r="J360" s="380" t="s">
        <v>773</v>
      </c>
      <c r="K360" s="381">
        <v>59895.0</v>
      </c>
      <c r="L360" s="382">
        <v>1.0</v>
      </c>
    </row>
    <row r="361">
      <c r="A361" s="380" t="s">
        <v>1184</v>
      </c>
      <c r="B361" s="380" t="str">
        <f>IFERROR(__xludf.DUMMYFUNCTION("""COMPUTED_VALUE"""),"Bota Mounth Cuero 28")</f>
        <v>Bota Mounth Cuero 28</v>
      </c>
      <c r="C361" s="380" t="str">
        <f>IFERROR(__xludf.DUMMYFUNCTION("""COMPUTED_VALUE"""),"30000665")</f>
        <v>30000665</v>
      </c>
      <c r="D361" s="380" t="s">
        <v>767</v>
      </c>
      <c r="E361" s="380" t="s">
        <v>810</v>
      </c>
      <c r="F361" s="380" t="s">
        <v>1089</v>
      </c>
      <c r="G361" s="380" t="s">
        <v>1078</v>
      </c>
      <c r="H361" s="380" t="s">
        <v>771</v>
      </c>
      <c r="I361" s="380" t="s">
        <v>1084</v>
      </c>
      <c r="J361" s="380" t="s">
        <v>773</v>
      </c>
      <c r="K361" s="381">
        <v>0.0</v>
      </c>
      <c r="L361" s="382">
        <v>1.0</v>
      </c>
    </row>
    <row r="362">
      <c r="A362" s="380" t="s">
        <v>1185</v>
      </c>
      <c r="B362" s="380" t="str">
        <f>IFERROR(__xludf.DUMMYFUNCTION("""COMPUTED_VALUE"""),"Bota Mounth Cuero 40")</f>
        <v>Bota Mounth Cuero 40</v>
      </c>
      <c r="C362" s="380" t="str">
        <f>IFERROR(__xludf.DUMMYFUNCTION("""COMPUTED_VALUE"""),"30000666")</f>
        <v>30000666</v>
      </c>
      <c r="D362" s="380" t="s">
        <v>767</v>
      </c>
      <c r="E362" s="380" t="s">
        <v>810</v>
      </c>
      <c r="F362" s="380" t="s">
        <v>1089</v>
      </c>
      <c r="G362" s="380" t="s">
        <v>1078</v>
      </c>
      <c r="H362" s="380" t="s">
        <v>771</v>
      </c>
      <c r="I362" s="380" t="s">
        <v>1084</v>
      </c>
      <c r="J362" s="380" t="s">
        <v>773</v>
      </c>
      <c r="K362" s="381">
        <v>59895.0</v>
      </c>
      <c r="L362" s="382">
        <v>1.0</v>
      </c>
    </row>
    <row r="363">
      <c r="A363" s="380" t="s">
        <v>1186</v>
      </c>
      <c r="B363" s="380" t="str">
        <f>IFERROR(__xludf.DUMMYFUNCTION("""COMPUTED_VALUE"""),"Bota Mounth Cuero 37")</f>
        <v>Bota Mounth Cuero 37</v>
      </c>
      <c r="C363" s="380" t="str">
        <f>IFERROR(__xludf.DUMMYFUNCTION("""COMPUTED_VALUE"""),"30000667")</f>
        <v>30000667</v>
      </c>
      <c r="D363" s="380" t="s">
        <v>767</v>
      </c>
      <c r="E363" s="380" t="s">
        <v>810</v>
      </c>
      <c r="F363" s="380" t="s">
        <v>1089</v>
      </c>
      <c r="G363" s="380" t="s">
        <v>1078</v>
      </c>
      <c r="H363" s="380" t="s">
        <v>771</v>
      </c>
      <c r="I363" s="380" t="s">
        <v>1084</v>
      </c>
      <c r="J363" s="380" t="s">
        <v>773</v>
      </c>
      <c r="K363" s="381">
        <v>0.0</v>
      </c>
      <c r="L363" s="382">
        <v>1.0</v>
      </c>
    </row>
    <row r="364">
      <c r="A364" s="380" t="s">
        <v>1187</v>
      </c>
      <c r="B364" s="380" t="str">
        <f>IFERROR(__xludf.DUMMYFUNCTION("""COMPUTED_VALUE"""),"Bota Mounth Cuero 34")</f>
        <v>Bota Mounth Cuero 34</v>
      </c>
      <c r="C364" s="380" t="str">
        <f>IFERROR(__xludf.DUMMYFUNCTION("""COMPUTED_VALUE"""),"30000668")</f>
        <v>30000668</v>
      </c>
      <c r="D364" s="380" t="s">
        <v>767</v>
      </c>
      <c r="E364" s="380" t="s">
        <v>810</v>
      </c>
      <c r="F364" s="380" t="s">
        <v>1089</v>
      </c>
      <c r="G364" s="380" t="s">
        <v>1078</v>
      </c>
      <c r="H364" s="380" t="s">
        <v>771</v>
      </c>
      <c r="I364" s="380" t="s">
        <v>1084</v>
      </c>
      <c r="J364" s="380" t="s">
        <v>773</v>
      </c>
      <c r="K364" s="381">
        <v>0.0</v>
      </c>
      <c r="L364" s="382">
        <v>1.0</v>
      </c>
    </row>
    <row r="365">
      <c r="A365" s="380" t="s">
        <v>1188</v>
      </c>
      <c r="B365" s="380" t="str">
        <f>IFERROR(__xludf.DUMMYFUNCTION("""COMPUTED_VALUE"""),"Bota Mounth Cuero 41")</f>
        <v>Bota Mounth Cuero 41</v>
      </c>
      <c r="C365" s="380" t="str">
        <f>IFERROR(__xludf.DUMMYFUNCTION("""COMPUTED_VALUE"""),"30000669")</f>
        <v>30000669</v>
      </c>
      <c r="D365" s="380" t="s">
        <v>767</v>
      </c>
      <c r="E365" s="380" t="s">
        <v>810</v>
      </c>
      <c r="F365" s="380" t="s">
        <v>1089</v>
      </c>
      <c r="G365" s="380" t="s">
        <v>1078</v>
      </c>
      <c r="H365" s="380" t="s">
        <v>771</v>
      </c>
      <c r="I365" s="380" t="s">
        <v>1084</v>
      </c>
      <c r="J365" s="380" t="s">
        <v>773</v>
      </c>
      <c r="K365" s="381">
        <v>59895.0</v>
      </c>
      <c r="L365" s="382">
        <v>1.0</v>
      </c>
    </row>
    <row r="366">
      <c r="A366" s="380" t="s">
        <v>1189</v>
      </c>
      <c r="B366" s="380" t="str">
        <f>IFERROR(__xludf.DUMMYFUNCTION("""COMPUTED_VALUE"""),"Guante Poliester Poliuretano A8")</f>
        <v>Guante Poliester Poliuretano A8</v>
      </c>
      <c r="C366" s="380" t="str">
        <f>IFERROR(__xludf.DUMMYFUNCTION("""COMPUTED_VALUE"""),"30000950")</f>
        <v>30000950</v>
      </c>
      <c r="D366" s="380" t="s">
        <v>767</v>
      </c>
      <c r="E366" s="380" t="s">
        <v>810</v>
      </c>
      <c r="F366" s="380" t="s">
        <v>1077</v>
      </c>
      <c r="G366" s="380" t="s">
        <v>1078</v>
      </c>
      <c r="H366" s="380" t="s">
        <v>771</v>
      </c>
      <c r="I366" s="380" t="s">
        <v>812</v>
      </c>
      <c r="J366" s="380" t="s">
        <v>773</v>
      </c>
      <c r="K366" s="381">
        <v>2901.0</v>
      </c>
      <c r="L366" s="382">
        <v>1.0</v>
      </c>
    </row>
    <row r="367">
      <c r="A367" s="380" t="s">
        <v>1190</v>
      </c>
      <c r="B367" s="380" t="str">
        <f>IFERROR(__xludf.DUMMYFUNCTION("""COMPUTED_VALUE"""),"Papel Higienico Blanco R/Peque")</f>
        <v>Papel Higienico Blanco R/Peque</v>
      </c>
      <c r="C367" s="380" t="str">
        <f>IFERROR(__xludf.DUMMYFUNCTION("""COMPUTED_VALUE"""),"10000381")</f>
        <v>10000381</v>
      </c>
      <c r="D367" s="380" t="s">
        <v>767</v>
      </c>
      <c r="E367" s="380" t="s">
        <v>768</v>
      </c>
      <c r="F367" s="380" t="s">
        <v>769</v>
      </c>
      <c r="G367" s="380" t="s">
        <v>1191</v>
      </c>
      <c r="H367" s="380" t="s">
        <v>771</v>
      </c>
      <c r="I367" s="380" t="s">
        <v>772</v>
      </c>
      <c r="J367" s="380" t="s">
        <v>773</v>
      </c>
      <c r="K367" s="381">
        <v>0.0</v>
      </c>
      <c r="L367" s="382">
        <v>1.0</v>
      </c>
    </row>
    <row r="368">
      <c r="A368" s="380" t="s">
        <v>1192</v>
      </c>
      <c r="B368" s="380" t="str">
        <f>IFERROR(__xludf.DUMMYFUNCTION("""COMPUTED_VALUE"""),"Hoja Membretead Copia Paq X250")</f>
        <v>Hoja Membretead Copia Paq X250</v>
      </c>
      <c r="C368" s="380" t="str">
        <f>IFERROR(__xludf.DUMMYFUNCTION("""COMPUTED_VALUE"""),"10000480")</f>
        <v>10000480</v>
      </c>
      <c r="D368" s="380" t="s">
        <v>767</v>
      </c>
      <c r="E368" s="380" t="s">
        <v>768</v>
      </c>
      <c r="F368" s="380" t="s">
        <v>797</v>
      </c>
      <c r="G368" s="380" t="s">
        <v>1191</v>
      </c>
      <c r="H368" s="380" t="s">
        <v>771</v>
      </c>
      <c r="I368" s="380" t="s">
        <v>799</v>
      </c>
      <c r="J368" s="380" t="s">
        <v>773</v>
      </c>
      <c r="K368" s="381">
        <v>23532.0</v>
      </c>
      <c r="L368" s="382">
        <v>1.0</v>
      </c>
    </row>
    <row r="369">
      <c r="A369" s="380" t="s">
        <v>1193</v>
      </c>
      <c r="B369" s="380" t="str">
        <f>IFERROR(__xludf.DUMMYFUNCTION("""COMPUTED_VALUE"""),"Hoja Membretea Origin Paqx250")</f>
        <v>Hoja Membretea Origin Paqx250</v>
      </c>
      <c r="C369" s="380" t="str">
        <f>IFERROR(__xludf.DUMMYFUNCTION("""COMPUTED_VALUE"""),"10000481")</f>
        <v>10000481</v>
      </c>
      <c r="D369" s="380" t="s">
        <v>767</v>
      </c>
      <c r="E369" s="380" t="s">
        <v>768</v>
      </c>
      <c r="F369" s="380" t="s">
        <v>797</v>
      </c>
      <c r="G369" s="380" t="s">
        <v>1191</v>
      </c>
      <c r="H369" s="380" t="s">
        <v>771</v>
      </c>
      <c r="I369" s="380" t="s">
        <v>799</v>
      </c>
      <c r="J369" s="380" t="s">
        <v>773</v>
      </c>
      <c r="K369" s="381">
        <v>25482.0</v>
      </c>
      <c r="L369" s="382">
        <v>1.0</v>
      </c>
    </row>
    <row r="370">
      <c r="A370" s="380" t="s">
        <v>1194</v>
      </c>
      <c r="B370" s="380" t="str">
        <f>IFERROR(__xludf.DUMMYFUNCTION("""COMPUTED_VALUE"""),"Instacrem Bolsa X 100 Sobres")</f>
        <v>Instacrem Bolsa X 100 Sobres</v>
      </c>
      <c r="C370" s="380" t="str">
        <f>IFERROR(__xludf.DUMMYFUNCTION("""COMPUTED_VALUE"""),"10000496")</f>
        <v>10000496</v>
      </c>
      <c r="D370" s="380" t="s">
        <v>767</v>
      </c>
      <c r="E370" s="380" t="s">
        <v>768</v>
      </c>
      <c r="F370" s="380" t="s">
        <v>803</v>
      </c>
      <c r="G370" s="380" t="s">
        <v>1191</v>
      </c>
      <c r="H370" s="380" t="s">
        <v>771</v>
      </c>
      <c r="I370" s="380" t="s">
        <v>772</v>
      </c>
      <c r="J370" s="380" t="s">
        <v>773</v>
      </c>
      <c r="K370" s="381">
        <v>20225.0</v>
      </c>
      <c r="L370" s="382">
        <v>1.0</v>
      </c>
    </row>
    <row r="371">
      <c r="A371" s="380" t="s">
        <v>1195</v>
      </c>
      <c r="B371" s="380" t="str">
        <f>IFERROR(__xludf.DUMMYFUNCTION("""COMPUTED_VALUE"""),"Palillo Mezclador Azucar X100")</f>
        <v>Palillo Mezclador Azucar X100</v>
      </c>
      <c r="C371" s="380" t="str">
        <f>IFERROR(__xludf.DUMMYFUNCTION("""COMPUTED_VALUE"""),"10000497")</f>
        <v>10000497</v>
      </c>
      <c r="D371" s="380" t="s">
        <v>767</v>
      </c>
      <c r="E371" s="380" t="s">
        <v>768</v>
      </c>
      <c r="F371" s="380" t="s">
        <v>803</v>
      </c>
      <c r="G371" s="380" t="s">
        <v>1191</v>
      </c>
      <c r="H371" s="380" t="s">
        <v>771</v>
      </c>
      <c r="I371" s="380" t="s">
        <v>772</v>
      </c>
      <c r="J371" s="380" t="s">
        <v>773</v>
      </c>
      <c r="K371" s="381">
        <v>4200.0</v>
      </c>
      <c r="L371" s="382">
        <v>1.0</v>
      </c>
    </row>
    <row r="372">
      <c r="A372" s="380" t="s">
        <v>1196</v>
      </c>
      <c r="B372" s="380" t="str">
        <f>IFERROR(__xludf.DUMMYFUNCTION("""COMPUTED_VALUE"""),"Esponja De Brillo")</f>
        <v>Esponja De Brillo</v>
      </c>
      <c r="C372" s="380" t="str">
        <f>IFERROR(__xludf.DUMMYFUNCTION("""COMPUTED_VALUE"""),"10000517")</f>
        <v>10000517</v>
      </c>
      <c r="D372" s="380" t="s">
        <v>767</v>
      </c>
      <c r="E372" s="380" t="s">
        <v>768</v>
      </c>
      <c r="F372" s="380" t="s">
        <v>769</v>
      </c>
      <c r="G372" s="380" t="s">
        <v>1191</v>
      </c>
      <c r="H372" s="380" t="s">
        <v>771</v>
      </c>
      <c r="I372" s="380" t="s">
        <v>772</v>
      </c>
      <c r="J372" s="380" t="s">
        <v>773</v>
      </c>
      <c r="K372" s="381">
        <v>833.0</v>
      </c>
      <c r="L372" s="382">
        <v>1.0</v>
      </c>
    </row>
    <row r="373">
      <c r="A373" s="380" t="s">
        <v>1197</v>
      </c>
      <c r="B373" s="380" t="str">
        <f>IFERROR(__xludf.DUMMYFUNCTION("""COMPUTED_VALUE"""),"Servilletas Paquete X 200")</f>
        <v>Servilletas Paquete X 200</v>
      </c>
      <c r="C373" s="380" t="str">
        <f>IFERROR(__xludf.DUMMYFUNCTION("""COMPUTED_VALUE"""),"10000792")</f>
        <v>10000792</v>
      </c>
      <c r="D373" s="380" t="s">
        <v>767</v>
      </c>
      <c r="E373" s="380" t="s">
        <v>768</v>
      </c>
      <c r="F373" s="380" t="s">
        <v>769</v>
      </c>
      <c r="G373" s="380" t="s">
        <v>1191</v>
      </c>
      <c r="H373" s="380" t="s">
        <v>771</v>
      </c>
      <c r="I373" s="380" t="s">
        <v>772</v>
      </c>
      <c r="J373" s="380" t="s">
        <v>773</v>
      </c>
      <c r="K373" s="381">
        <v>5209.0</v>
      </c>
      <c r="L373" s="382">
        <v>1.0</v>
      </c>
    </row>
    <row r="374">
      <c r="A374" s="380" t="s">
        <v>1198</v>
      </c>
      <c r="B374" s="380" t="str">
        <f>IFERROR(__xludf.DUMMYFUNCTION("""COMPUTED_VALUE"""),"Bolsa Azul 30 X 50 X 2 Paq X 100")</f>
        <v>Bolsa Azul 30 X 50 X 2 Paq X 100</v>
      </c>
      <c r="C374" s="380" t="str">
        <f>IFERROR(__xludf.DUMMYFUNCTION("""COMPUTED_VALUE"""),"60000175")</f>
        <v>60000175</v>
      </c>
      <c r="D374" s="380" t="s">
        <v>767</v>
      </c>
      <c r="E374" s="380" t="s">
        <v>875</v>
      </c>
      <c r="F374" s="380" t="s">
        <v>924</v>
      </c>
      <c r="G374" s="380" t="s">
        <v>1191</v>
      </c>
      <c r="H374" s="380" t="s">
        <v>771</v>
      </c>
      <c r="I374" s="380" t="s">
        <v>925</v>
      </c>
      <c r="J374" s="380" t="s">
        <v>773</v>
      </c>
      <c r="K374" s="381">
        <v>0.0</v>
      </c>
      <c r="L374" s="382">
        <v>1.0</v>
      </c>
    </row>
    <row r="375">
      <c r="A375" s="380" t="s">
        <v>1199</v>
      </c>
      <c r="B375" s="380" t="str">
        <f>IFERROR(__xludf.DUMMYFUNCTION("""COMPUTED_VALUE"""),"Bolsa Azul 50 X 60 X 2 Paq X 50")</f>
        <v>Bolsa Azul 50 X 60 X 2 Paq X 50</v>
      </c>
      <c r="C375" s="380" t="str">
        <f>IFERROR(__xludf.DUMMYFUNCTION("""COMPUTED_VALUE"""),"60000176")</f>
        <v>60000176</v>
      </c>
      <c r="D375" s="380" t="s">
        <v>767</v>
      </c>
      <c r="E375" s="380" t="s">
        <v>875</v>
      </c>
      <c r="F375" s="380" t="s">
        <v>924</v>
      </c>
      <c r="G375" s="380" t="s">
        <v>1191</v>
      </c>
      <c r="H375" s="380" t="s">
        <v>771</v>
      </c>
      <c r="I375" s="380" t="s">
        <v>925</v>
      </c>
      <c r="J375" s="380" t="s">
        <v>773</v>
      </c>
      <c r="K375" s="381">
        <v>0.0</v>
      </c>
      <c r="L375" s="382">
        <v>1.0</v>
      </c>
    </row>
    <row r="376">
      <c r="A376" s="380" t="s">
        <v>1200</v>
      </c>
      <c r="B376" s="380" t="str">
        <f>IFERROR(__xludf.DUMMYFUNCTION("""COMPUTED_VALUE"""),"Bolsa Azul 60 X 100 X 3 Paq X 50")</f>
        <v>Bolsa Azul 60 X 100 X 3 Paq X 50</v>
      </c>
      <c r="C376" s="380" t="str">
        <f>IFERROR(__xludf.DUMMYFUNCTION("""COMPUTED_VALUE"""),"60000177")</f>
        <v>60000177</v>
      </c>
      <c r="D376" s="380" t="s">
        <v>767</v>
      </c>
      <c r="E376" s="380" t="s">
        <v>875</v>
      </c>
      <c r="F376" s="380" t="s">
        <v>924</v>
      </c>
      <c r="G376" s="380" t="s">
        <v>1191</v>
      </c>
      <c r="H376" s="380" t="s">
        <v>771</v>
      </c>
      <c r="I376" s="380" t="s">
        <v>925</v>
      </c>
      <c r="J376" s="380" t="s">
        <v>773</v>
      </c>
      <c r="K376" s="381">
        <v>0.0</v>
      </c>
      <c r="L376" s="382">
        <v>1.0</v>
      </c>
    </row>
    <row r="377">
      <c r="A377" s="380" t="s">
        <v>1201</v>
      </c>
      <c r="B377" s="380" t="str">
        <f>IFERROR(__xludf.DUMMYFUNCTION("""COMPUTED_VALUE"""),"Caja De Paso 20X15X10 Tipo Int")</f>
        <v>Caja De Paso 20X15X10 Tipo Int</v>
      </c>
      <c r="C377" s="380" t="str">
        <f>IFERROR(__xludf.DUMMYFUNCTION("""COMPUTED_VALUE"""),"80000748")</f>
        <v>80000748</v>
      </c>
      <c r="D377" s="380" t="s">
        <v>767</v>
      </c>
      <c r="E377" s="380" t="s">
        <v>776</v>
      </c>
      <c r="F377" s="380" t="s">
        <v>777</v>
      </c>
      <c r="G377" s="380" t="s">
        <v>1191</v>
      </c>
      <c r="H377" s="380" t="s">
        <v>771</v>
      </c>
      <c r="I377" s="380" t="s">
        <v>778</v>
      </c>
      <c r="J377" s="380" t="s">
        <v>773</v>
      </c>
      <c r="K377" s="381">
        <v>0.0</v>
      </c>
      <c r="L377" s="382">
        <v>1.0</v>
      </c>
    </row>
    <row r="378">
      <c r="A378" s="380" t="s">
        <v>1202</v>
      </c>
      <c r="B378" s="380" t="str">
        <f>IFERROR(__xludf.DUMMYFUNCTION("""COMPUTED_VALUE"""),"Base Acondicionador Plasticos 90701001")</f>
        <v>Base Acondicionador Plasticos 90701001</v>
      </c>
      <c r="C378" s="380" t="str">
        <f>IFERROR(__xludf.DUMMYFUNCTION("""COMPUTED_VALUE"""),"50001560")</f>
        <v>50001560</v>
      </c>
      <c r="D378" s="380" t="s">
        <v>767</v>
      </c>
      <c r="E378" s="380" t="s">
        <v>781</v>
      </c>
      <c r="F378" s="380" t="s">
        <v>837</v>
      </c>
      <c r="G378" s="380" t="s">
        <v>1203</v>
      </c>
      <c r="H378" s="380" t="s">
        <v>771</v>
      </c>
      <c r="I378" s="380" t="s">
        <v>817</v>
      </c>
      <c r="J378" s="380" t="s">
        <v>773</v>
      </c>
      <c r="K378" s="381">
        <v>0.0</v>
      </c>
      <c r="L378" s="382">
        <v>1.0</v>
      </c>
    </row>
    <row r="379">
      <c r="A379" s="380" t="s">
        <v>1204</v>
      </c>
      <c r="B379" s="380" t="str">
        <f>IFERROR(__xludf.DUMMYFUNCTION("""COMPUTED_VALUE"""),"Compuesto Wash Primer 509 A Y B")</f>
        <v>Compuesto Wash Primer 509 A Y B</v>
      </c>
      <c r="C379" s="380" t="str">
        <f>IFERROR(__xludf.DUMMYFUNCTION("""COMPUTED_VALUE"""),"50001561")</f>
        <v>50001561</v>
      </c>
      <c r="D379" s="380" t="s">
        <v>767</v>
      </c>
      <c r="E379" s="380" t="s">
        <v>781</v>
      </c>
      <c r="F379" s="380" t="s">
        <v>837</v>
      </c>
      <c r="G379" s="380" t="s">
        <v>1203</v>
      </c>
      <c r="H379" s="380" t="s">
        <v>771</v>
      </c>
      <c r="I379" s="380" t="s">
        <v>817</v>
      </c>
      <c r="J379" s="380" t="s">
        <v>773</v>
      </c>
      <c r="K379" s="381">
        <v>0.0</v>
      </c>
      <c r="L379" s="382">
        <v>1.0</v>
      </c>
    </row>
    <row r="380">
      <c r="A380" s="380" t="s">
        <v>1205</v>
      </c>
      <c r="B380" s="380" t="str">
        <f>IFERROR(__xludf.DUMMYFUNCTION("""COMPUTED_VALUE"""),"Pintulaca Negro Mate 7549")</f>
        <v>Pintulaca Negro Mate 7549</v>
      </c>
      <c r="C380" s="380" t="str">
        <f>IFERROR(__xludf.DUMMYFUNCTION("""COMPUTED_VALUE"""),"50001569")</f>
        <v>50001569</v>
      </c>
      <c r="D380" s="380" t="s">
        <v>767</v>
      </c>
      <c r="E380" s="380" t="s">
        <v>781</v>
      </c>
      <c r="F380" s="380" t="s">
        <v>837</v>
      </c>
      <c r="G380" s="380" t="s">
        <v>1203</v>
      </c>
      <c r="H380" s="380" t="s">
        <v>771</v>
      </c>
      <c r="I380" s="380" t="s">
        <v>817</v>
      </c>
      <c r="J380" s="380" t="s">
        <v>773</v>
      </c>
      <c r="K380" s="381">
        <v>0.0</v>
      </c>
      <c r="L380" s="382">
        <v>1.0</v>
      </c>
    </row>
    <row r="381">
      <c r="A381" s="380" t="s">
        <v>1206</v>
      </c>
      <c r="B381" s="380" t="str">
        <f>IFERROR(__xludf.DUMMYFUNCTION("""COMPUTED_VALUE"""),"Barniz 70000 10067")</f>
        <v>Barniz 70000 10067</v>
      </c>
      <c r="C381" s="380" t="str">
        <f>IFERROR(__xludf.DUMMYFUNCTION("""COMPUTED_VALUE"""),"50001578")</f>
        <v>50001578</v>
      </c>
      <c r="D381" s="380" t="s">
        <v>767</v>
      </c>
      <c r="E381" s="380" t="s">
        <v>781</v>
      </c>
      <c r="F381" s="380" t="s">
        <v>837</v>
      </c>
      <c r="G381" s="380" t="s">
        <v>1203</v>
      </c>
      <c r="H381" s="380" t="s">
        <v>771</v>
      </c>
      <c r="I381" s="380" t="s">
        <v>817</v>
      </c>
      <c r="J381" s="380" t="s">
        <v>773</v>
      </c>
      <c r="K381" s="381">
        <v>55053.0</v>
      </c>
      <c r="L381" s="382">
        <v>1.0</v>
      </c>
    </row>
    <row r="382">
      <c r="A382" s="380" t="s">
        <v>1207</v>
      </c>
      <c r="B382" s="380" t="str">
        <f>IFERROR(__xludf.DUMMYFUNCTION("""COMPUTED_VALUE"""),"Masilla Duretan Dos Componente 119167")</f>
        <v>Masilla Duretan Dos Componente 119167</v>
      </c>
      <c r="C382" s="380" t="str">
        <f>IFERROR(__xludf.DUMMYFUNCTION("""COMPUTED_VALUE"""),"50001581")</f>
        <v>50001581</v>
      </c>
      <c r="D382" s="380" t="s">
        <v>767</v>
      </c>
      <c r="E382" s="380" t="s">
        <v>781</v>
      </c>
      <c r="F382" s="380" t="s">
        <v>837</v>
      </c>
      <c r="G382" s="380" t="s">
        <v>1203</v>
      </c>
      <c r="H382" s="380" t="s">
        <v>771</v>
      </c>
      <c r="I382" s="380" t="s">
        <v>817</v>
      </c>
      <c r="J382" s="380" t="s">
        <v>773</v>
      </c>
      <c r="K382" s="381">
        <v>57784.0</v>
      </c>
      <c r="L382" s="382">
        <v>1.0</v>
      </c>
    </row>
    <row r="383">
      <c r="A383" s="380" t="s">
        <v>1208</v>
      </c>
      <c r="B383" s="380" t="str">
        <f>IFERROR(__xludf.DUMMYFUNCTION("""COMPUTED_VALUE"""),"Masilla Roja Rapid Dure 11916 Duretan119")</f>
        <v>Masilla Roja Rapid Dure 11916 Duretan119</v>
      </c>
      <c r="C383" s="380" t="str">
        <f>IFERROR(__xludf.DUMMYFUNCTION("""COMPUTED_VALUE"""),"50001583")</f>
        <v>50001583</v>
      </c>
      <c r="D383" s="380" t="s">
        <v>767</v>
      </c>
      <c r="E383" s="380" t="s">
        <v>781</v>
      </c>
      <c r="F383" s="380" t="s">
        <v>837</v>
      </c>
      <c r="G383" s="380" t="s">
        <v>1203</v>
      </c>
      <c r="H383" s="380" t="s">
        <v>771</v>
      </c>
      <c r="I383" s="380" t="s">
        <v>817</v>
      </c>
      <c r="J383" s="380" t="s">
        <v>773</v>
      </c>
      <c r="K383" s="381">
        <v>0.0</v>
      </c>
      <c r="L383" s="382">
        <v>1.0</v>
      </c>
    </row>
    <row r="384">
      <c r="A384" s="380" t="s">
        <v>1209</v>
      </c>
      <c r="B384" s="380" t="str">
        <f>IFERROR(__xludf.DUMMYFUNCTION("""COMPUTED_VALUE"""),"Pasta Pulidora Copao Rojo 120017")</f>
        <v>Pasta Pulidora Copao Rojo 120017</v>
      </c>
      <c r="C384" s="380" t="str">
        <f>IFERROR(__xludf.DUMMYFUNCTION("""COMPUTED_VALUE"""),"50001587")</f>
        <v>50001587</v>
      </c>
      <c r="D384" s="380" t="s">
        <v>767</v>
      </c>
      <c r="E384" s="380" t="s">
        <v>781</v>
      </c>
      <c r="F384" s="380" t="s">
        <v>837</v>
      </c>
      <c r="G384" s="380" t="s">
        <v>1203</v>
      </c>
      <c r="H384" s="380" t="s">
        <v>771</v>
      </c>
      <c r="I384" s="380" t="s">
        <v>817</v>
      </c>
      <c r="J384" s="380" t="s">
        <v>773</v>
      </c>
      <c r="K384" s="381">
        <v>47900.0</v>
      </c>
      <c r="L384" s="382">
        <v>1.0</v>
      </c>
    </row>
    <row r="385">
      <c r="A385" s="380" t="s">
        <v>1210</v>
      </c>
      <c r="B385" s="380" t="str">
        <f>IFERROR(__xludf.DUMMYFUNCTION("""COMPUTED_VALUE"""),"Pintura Laca Roja 7213")</f>
        <v>Pintura Laca Roja 7213</v>
      </c>
      <c r="C385" s="380" t="str">
        <f>IFERROR(__xludf.DUMMYFUNCTION("""COMPUTED_VALUE"""),"50001593")</f>
        <v>50001593</v>
      </c>
      <c r="D385" s="380" t="s">
        <v>767</v>
      </c>
      <c r="E385" s="380" t="s">
        <v>781</v>
      </c>
      <c r="F385" s="380" t="s">
        <v>837</v>
      </c>
      <c r="G385" s="380" t="s">
        <v>1203</v>
      </c>
      <c r="H385" s="380" t="s">
        <v>771</v>
      </c>
      <c r="I385" s="380" t="s">
        <v>817</v>
      </c>
      <c r="J385" s="380" t="s">
        <v>773</v>
      </c>
      <c r="K385" s="381">
        <v>0.0</v>
      </c>
      <c r="L385" s="382">
        <v>1.0</v>
      </c>
    </row>
    <row r="386">
      <c r="A386" s="380" t="s">
        <v>1211</v>
      </c>
      <c r="B386" s="380" t="str">
        <f>IFERROR(__xludf.DUMMYFUNCTION("""COMPUTED_VALUE"""),"Pintura Blanco Arco Colpisa 1475")</f>
        <v>Pintura Blanco Arco Colpisa 1475</v>
      </c>
      <c r="C386" s="380" t="str">
        <f>IFERROR(__xludf.DUMMYFUNCTION("""COMPUTED_VALUE"""),"50001595")</f>
        <v>50001595</v>
      </c>
      <c r="D386" s="380" t="s">
        <v>767</v>
      </c>
      <c r="E386" s="380" t="s">
        <v>781</v>
      </c>
      <c r="F386" s="380" t="s">
        <v>837</v>
      </c>
      <c r="G386" s="380" t="s">
        <v>1203</v>
      </c>
      <c r="H386" s="380" t="s">
        <v>771</v>
      </c>
      <c r="I386" s="380" t="s">
        <v>817</v>
      </c>
      <c r="J386" s="380" t="s">
        <v>773</v>
      </c>
      <c r="K386" s="381">
        <v>0.0</v>
      </c>
      <c r="L386" s="382">
        <v>1.0</v>
      </c>
    </row>
    <row r="387">
      <c r="A387" s="380" t="s">
        <v>1212</v>
      </c>
      <c r="B387" s="380" t="str">
        <f>IFERROR(__xludf.DUMMYFUNCTION("""COMPUTED_VALUE"""),"Aceite 2 Tiempos Shell Adva")</f>
        <v>Aceite 2 Tiempos Shell Adva</v>
      </c>
      <c r="C387" s="380" t="str">
        <f>IFERROR(__xludf.DUMMYFUNCTION("""COMPUTED_VALUE"""),"50001620")</f>
        <v>50001620</v>
      </c>
      <c r="D387" s="380" t="s">
        <v>767</v>
      </c>
      <c r="E387" s="380" t="s">
        <v>781</v>
      </c>
      <c r="F387" s="380" t="s">
        <v>833</v>
      </c>
      <c r="G387" s="380" t="s">
        <v>1203</v>
      </c>
      <c r="H387" s="380" t="s">
        <v>771</v>
      </c>
      <c r="I387" s="380" t="s">
        <v>834</v>
      </c>
      <c r="J387" s="380" t="s">
        <v>773</v>
      </c>
      <c r="K387" s="381">
        <v>0.0</v>
      </c>
      <c r="L387" s="382">
        <v>1.0</v>
      </c>
    </row>
    <row r="388">
      <c r="A388" s="380" t="s">
        <v>1213</v>
      </c>
      <c r="B388" s="380" t="str">
        <f>IFERROR(__xludf.DUMMYFUNCTION("""COMPUTED_VALUE"""),"Liquido De Frenos Dot 4")</f>
        <v>Liquido De Frenos Dot 4</v>
      </c>
      <c r="C388" s="380" t="str">
        <f>IFERROR(__xludf.DUMMYFUNCTION("""COMPUTED_VALUE"""),"50001637")</f>
        <v>50001637</v>
      </c>
      <c r="D388" s="380" t="s">
        <v>767</v>
      </c>
      <c r="E388" s="380" t="s">
        <v>781</v>
      </c>
      <c r="F388" s="380" t="s">
        <v>833</v>
      </c>
      <c r="G388" s="380" t="s">
        <v>1203</v>
      </c>
      <c r="H388" s="380" t="s">
        <v>771</v>
      </c>
      <c r="I388" s="380" t="s">
        <v>834</v>
      </c>
      <c r="J388" s="380" t="s">
        <v>773</v>
      </c>
      <c r="K388" s="381">
        <v>36622.0</v>
      </c>
      <c r="L388" s="382">
        <v>1.0</v>
      </c>
    </row>
    <row r="389">
      <c r="A389" s="380" t="s">
        <v>1214</v>
      </c>
      <c r="B389" s="380" t="str">
        <f>IFERROR(__xludf.DUMMYFUNCTION("""COMPUTED_VALUE"""),"Lubrica Lubricante Herramienta Neumatica")</f>
        <v>Lubrica Lubricante Herramienta Neumatica</v>
      </c>
      <c r="C389" s="380" t="str">
        <f>IFERROR(__xludf.DUMMYFUNCTION("""COMPUTED_VALUE"""),"50001646")</f>
        <v>50001646</v>
      </c>
      <c r="D389" s="380" t="s">
        <v>767</v>
      </c>
      <c r="E389" s="380" t="s">
        <v>781</v>
      </c>
      <c r="F389" s="380" t="s">
        <v>833</v>
      </c>
      <c r="G389" s="380" t="s">
        <v>1203</v>
      </c>
      <c r="H389" s="380" t="s">
        <v>771</v>
      </c>
      <c r="I389" s="380" t="s">
        <v>834</v>
      </c>
      <c r="J389" s="380" t="s">
        <v>773</v>
      </c>
      <c r="K389" s="381">
        <v>0.0</v>
      </c>
      <c r="L389" s="382">
        <v>1.0</v>
      </c>
    </row>
    <row r="390">
      <c r="A390" s="380" t="s">
        <v>1215</v>
      </c>
      <c r="B390" s="380" t="str">
        <f>IFERROR(__xludf.DUMMYFUNCTION("""COMPUTED_VALUE"""),"Aceite Trans Montacarga Havoli Atf-Md3")</f>
        <v>Aceite Trans Montacarga Havoli Atf-Md3</v>
      </c>
      <c r="C390" s="380" t="str">
        <f>IFERROR(__xludf.DUMMYFUNCTION("""COMPUTED_VALUE"""),"50001668")</f>
        <v>50001668</v>
      </c>
      <c r="D390" s="380" t="s">
        <v>767</v>
      </c>
      <c r="E390" s="380" t="s">
        <v>781</v>
      </c>
      <c r="F390" s="380" t="s">
        <v>833</v>
      </c>
      <c r="G390" s="380" t="s">
        <v>1203</v>
      </c>
      <c r="H390" s="380" t="s">
        <v>771</v>
      </c>
      <c r="I390" s="380" t="s">
        <v>834</v>
      </c>
      <c r="J390" s="380" t="s">
        <v>773</v>
      </c>
      <c r="K390" s="381">
        <v>26455.0</v>
      </c>
      <c r="L390" s="382">
        <v>1.0</v>
      </c>
    </row>
    <row r="391">
      <c r="A391" s="380" t="s">
        <v>1216</v>
      </c>
      <c r="B391" s="380" t="str">
        <f>IFERROR(__xludf.DUMMYFUNCTION("""COMPUTED_VALUE"""),"Papel Aluminio")</f>
        <v>Papel Aluminio</v>
      </c>
      <c r="C391" s="380" t="str">
        <f>IFERROR(__xludf.DUMMYFUNCTION("""COMPUTED_VALUE"""),"10000378")</f>
        <v>10000378</v>
      </c>
      <c r="D391" s="380" t="s">
        <v>767</v>
      </c>
      <c r="E391" s="380" t="s">
        <v>768</v>
      </c>
      <c r="F391" s="380" t="s">
        <v>803</v>
      </c>
      <c r="G391" s="380" t="s">
        <v>1217</v>
      </c>
      <c r="H391" s="380" t="s">
        <v>771</v>
      </c>
      <c r="I391" s="380" t="s">
        <v>772</v>
      </c>
      <c r="J391" s="380" t="s">
        <v>773</v>
      </c>
      <c r="K391" s="381">
        <v>0.0</v>
      </c>
      <c r="L391" s="382">
        <v>1.0</v>
      </c>
    </row>
    <row r="392">
      <c r="A392" s="380" t="s">
        <v>1218</v>
      </c>
      <c r="B392" s="380" t="str">
        <f>IFERROR(__xludf.DUMMYFUNCTION("""COMPUTED_VALUE"""),"Rollo Adhesivo Termico 0x1 6.2")</f>
        <v>Rollo Adhesivo Termico 0x1 6.2</v>
      </c>
      <c r="C392" s="380" t="str">
        <f>IFERROR(__xludf.DUMMYFUNCTION("""COMPUTED_VALUE"""),"10000382")</f>
        <v>10000382</v>
      </c>
      <c r="D392" s="380" t="s">
        <v>767</v>
      </c>
      <c r="E392" s="380" t="s">
        <v>768</v>
      </c>
      <c r="F392" s="380" t="s">
        <v>797</v>
      </c>
      <c r="G392" s="380" t="s">
        <v>1217</v>
      </c>
      <c r="H392" s="380" t="s">
        <v>771</v>
      </c>
      <c r="I392" s="380" t="s">
        <v>799</v>
      </c>
      <c r="J392" s="380" t="s">
        <v>773</v>
      </c>
      <c r="K392" s="381">
        <v>6078.0</v>
      </c>
      <c r="L392" s="382">
        <v>1.0</v>
      </c>
    </row>
    <row r="393">
      <c r="A393" s="380" t="s">
        <v>1219</v>
      </c>
      <c r="B393" s="380" t="str">
        <f>IFERROR(__xludf.DUMMYFUNCTION("""COMPUTED_VALUE"""),"Papel Sumadora 57 X 40 Rollo")</f>
        <v>Papel Sumadora 57 X 40 Rollo</v>
      </c>
      <c r="C393" s="380" t="str">
        <f>IFERROR(__xludf.DUMMYFUNCTION("""COMPUTED_VALUE"""),"10000384")</f>
        <v>10000384</v>
      </c>
      <c r="D393" s="380" t="s">
        <v>767</v>
      </c>
      <c r="E393" s="380" t="s">
        <v>768</v>
      </c>
      <c r="F393" s="380" t="s">
        <v>797</v>
      </c>
      <c r="G393" s="380" t="s">
        <v>1217</v>
      </c>
      <c r="H393" s="380" t="s">
        <v>771</v>
      </c>
      <c r="I393" s="380" t="s">
        <v>799</v>
      </c>
      <c r="J393" s="380" t="s">
        <v>773</v>
      </c>
      <c r="K393" s="381">
        <v>1371.0</v>
      </c>
      <c r="L393" s="382">
        <v>1.0</v>
      </c>
    </row>
    <row r="394">
      <c r="A394" s="380" t="s">
        <v>1220</v>
      </c>
      <c r="B394" s="380" t="str">
        <f>IFERROR(__xludf.DUMMYFUNCTION("""COMPUTED_VALUE"""),"Papel Registradora 57mm X 15 M")</f>
        <v>Papel Registradora 57mm X 15 M</v>
      </c>
      <c r="C394" s="380" t="str">
        <f>IFERROR(__xludf.DUMMYFUNCTION("""COMPUTED_VALUE"""),"10000484")</f>
        <v>10000484</v>
      </c>
      <c r="D394" s="380" t="s">
        <v>767</v>
      </c>
      <c r="E394" s="380" t="s">
        <v>768</v>
      </c>
      <c r="F394" s="380" t="s">
        <v>797</v>
      </c>
      <c r="G394" s="380" t="s">
        <v>1217</v>
      </c>
      <c r="H394" s="380" t="s">
        <v>771</v>
      </c>
      <c r="I394" s="380" t="s">
        <v>799</v>
      </c>
      <c r="J394" s="380" t="s">
        <v>773</v>
      </c>
      <c r="K394" s="381">
        <v>1130.0</v>
      </c>
      <c r="L394" s="382">
        <v>1.0</v>
      </c>
    </row>
    <row r="395">
      <c r="A395" s="380" t="s">
        <v>1221</v>
      </c>
      <c r="B395" s="380" t="str">
        <f>IFERROR(__xludf.DUMMYFUNCTION("""COMPUTED_VALUE"""),"Cinta Transparente 12mm X 20m")</f>
        <v>Cinta Transparente 12mm X 20m</v>
      </c>
      <c r="C395" s="380" t="str">
        <f>IFERROR(__xludf.DUMMYFUNCTION("""COMPUTED_VALUE"""),"10000547")</f>
        <v>10000547</v>
      </c>
      <c r="D395" s="380" t="s">
        <v>767</v>
      </c>
      <c r="E395" s="380" t="s">
        <v>768</v>
      </c>
      <c r="F395" s="380" t="s">
        <v>797</v>
      </c>
      <c r="G395" s="380" t="s">
        <v>1217</v>
      </c>
      <c r="H395" s="380" t="s">
        <v>771</v>
      </c>
      <c r="I395" s="380" t="s">
        <v>799</v>
      </c>
      <c r="J395" s="380" t="s">
        <v>773</v>
      </c>
      <c r="K395" s="381">
        <v>0.0</v>
      </c>
      <c r="L395" s="382">
        <v>1.0</v>
      </c>
    </row>
    <row r="396">
      <c r="A396" s="380" t="s">
        <v>1222</v>
      </c>
      <c r="B396" s="380" t="str">
        <f>IFERROR(__xludf.DUMMYFUNCTION("""COMPUTED_VALUE"""),"Etiqueta 729 Rollo")</f>
        <v>Etiqueta 729 Rollo</v>
      </c>
      <c r="C396" s="380" t="str">
        <f>IFERROR(__xludf.DUMMYFUNCTION("""COMPUTED_VALUE"""),"10000608")</f>
        <v>10000608</v>
      </c>
      <c r="D396" s="380" t="s">
        <v>767</v>
      </c>
      <c r="E396" s="380" t="s">
        <v>768</v>
      </c>
      <c r="F396" s="380" t="s">
        <v>797</v>
      </c>
      <c r="G396" s="380" t="s">
        <v>1217</v>
      </c>
      <c r="H396" s="380" t="s">
        <v>771</v>
      </c>
      <c r="I396" s="380" t="s">
        <v>799</v>
      </c>
      <c r="J396" s="380" t="s">
        <v>773</v>
      </c>
      <c r="K396" s="381">
        <v>89059.0</v>
      </c>
      <c r="L396" s="382">
        <v>1.0</v>
      </c>
    </row>
    <row r="397">
      <c r="A397" s="380" t="s">
        <v>1223</v>
      </c>
      <c r="B397" s="380" t="str">
        <f>IFERROR(__xludf.DUMMYFUNCTION("""COMPUTED_VALUE"""),"Cabuya En Rollo")</f>
        <v>Cabuya En Rollo</v>
      </c>
      <c r="C397" s="380" t="str">
        <f>IFERROR(__xludf.DUMMYFUNCTION("""COMPUTED_VALUE"""),"10001296")</f>
        <v>10001296</v>
      </c>
      <c r="D397" s="380" t="s">
        <v>767</v>
      </c>
      <c r="E397" s="380" t="s">
        <v>768</v>
      </c>
      <c r="F397" s="380" t="s">
        <v>1224</v>
      </c>
      <c r="G397" s="380" t="s">
        <v>1217</v>
      </c>
      <c r="H397" s="380" t="s">
        <v>771</v>
      </c>
      <c r="I397" s="380" t="s">
        <v>1225</v>
      </c>
      <c r="J397" s="380" t="s">
        <v>773</v>
      </c>
      <c r="K397" s="381">
        <v>0.0</v>
      </c>
      <c r="L397" s="382">
        <v>1.0</v>
      </c>
    </row>
    <row r="398">
      <c r="A398" s="380" t="s">
        <v>1226</v>
      </c>
      <c r="B398" s="380" t="str">
        <f>IFERROR(__xludf.DUMMYFUNCTION("""COMPUTED_VALUE"""),"Venda De Gasa 4"" X 5"" Yardas")</f>
        <v>Venda De Gasa 4" X 5" Yardas</v>
      </c>
      <c r="C398" s="380" t="str">
        <f>IFERROR(__xludf.DUMMYFUNCTION("""COMPUTED_VALUE"""),"30000887")</f>
        <v>30000887</v>
      </c>
      <c r="D398" s="380" t="s">
        <v>767</v>
      </c>
      <c r="E398" s="380" t="s">
        <v>810</v>
      </c>
      <c r="F398" s="380" t="s">
        <v>811</v>
      </c>
      <c r="G398" s="380" t="s">
        <v>1217</v>
      </c>
      <c r="H398" s="380" t="s">
        <v>771</v>
      </c>
      <c r="I398" s="380" t="s">
        <v>812</v>
      </c>
      <c r="J398" s="380" t="s">
        <v>773</v>
      </c>
      <c r="K398" s="381">
        <v>0.0</v>
      </c>
      <c r="L398" s="382">
        <v>1.0</v>
      </c>
    </row>
    <row r="399">
      <c r="A399" s="380" t="s">
        <v>1227</v>
      </c>
      <c r="B399" s="380" t="str">
        <f>IFERROR(__xludf.DUMMYFUNCTION("""COMPUTED_VALUE"""),"Venda Elastica 4"" X 5"" Yardas")</f>
        <v>Venda Elastica 4" X 5" Yardas</v>
      </c>
      <c r="C399" s="380" t="str">
        <f>IFERROR(__xludf.DUMMYFUNCTION("""COMPUTED_VALUE"""),"30000888")</f>
        <v>30000888</v>
      </c>
      <c r="D399" s="380" t="s">
        <v>767</v>
      </c>
      <c r="E399" s="380" t="s">
        <v>810</v>
      </c>
      <c r="F399" s="380" t="s">
        <v>811</v>
      </c>
      <c r="G399" s="380" t="s">
        <v>1217</v>
      </c>
      <c r="H399" s="380" t="s">
        <v>771</v>
      </c>
      <c r="I399" s="380" t="s">
        <v>812</v>
      </c>
      <c r="J399" s="380" t="s">
        <v>773</v>
      </c>
      <c r="K399" s="381">
        <v>0.0</v>
      </c>
      <c r="L399" s="382">
        <v>1.0</v>
      </c>
    </row>
    <row r="400">
      <c r="A400" s="380" t="s">
        <v>1228</v>
      </c>
      <c r="B400" s="380" t="str">
        <f>IFERROR(__xludf.DUMMYFUNCTION("""COMPUTED_VALUE"""),"Cinta Reflectiva Peligro Advertencia")</f>
        <v>Cinta Reflectiva Peligro Advertencia</v>
      </c>
      <c r="C400" s="380" t="str">
        <f>IFERROR(__xludf.DUMMYFUNCTION("""COMPUTED_VALUE"""),"50000191")</f>
        <v>50000191</v>
      </c>
      <c r="D400" s="380" t="s">
        <v>767</v>
      </c>
      <c r="E400" s="380" t="s">
        <v>781</v>
      </c>
      <c r="F400" s="380" t="s">
        <v>830</v>
      </c>
      <c r="G400" s="380" t="s">
        <v>1217</v>
      </c>
      <c r="H400" s="380" t="s">
        <v>771</v>
      </c>
      <c r="I400" s="380" t="s">
        <v>817</v>
      </c>
      <c r="J400" s="380" t="s">
        <v>773</v>
      </c>
      <c r="K400" s="381">
        <v>0.0</v>
      </c>
      <c r="L400" s="382">
        <v>1.0</v>
      </c>
    </row>
    <row r="401">
      <c r="A401" s="380" t="s">
        <v>1229</v>
      </c>
      <c r="B401" s="380" t="str">
        <f>IFERROR(__xludf.DUMMYFUNCTION("""COMPUTED_VALUE"""),"Cinta Asfaltica Multiseal Sika")</f>
        <v>Cinta Asfaltica Multiseal Sika</v>
      </c>
      <c r="C401" s="380" t="str">
        <f>IFERROR(__xludf.DUMMYFUNCTION("""COMPUTED_VALUE"""),"50000254")</f>
        <v>50000254</v>
      </c>
      <c r="D401" s="380" t="s">
        <v>767</v>
      </c>
      <c r="E401" s="380" t="s">
        <v>781</v>
      </c>
      <c r="F401" s="380" t="s">
        <v>830</v>
      </c>
      <c r="G401" s="380" t="s">
        <v>1217</v>
      </c>
      <c r="H401" s="380" t="s">
        <v>771</v>
      </c>
      <c r="I401" s="380" t="s">
        <v>817</v>
      </c>
      <c r="J401" s="380" t="s">
        <v>773</v>
      </c>
      <c r="K401" s="381">
        <v>0.0</v>
      </c>
      <c r="L401" s="382">
        <v>1.0</v>
      </c>
    </row>
    <row r="402">
      <c r="A402" s="380" t="s">
        <v>1230</v>
      </c>
      <c r="B402" s="380" t="str">
        <f>IFERROR(__xludf.DUMMYFUNCTION("""COMPUTED_VALUE"""),"Transfer P' Adhesivos Adhpt166")</f>
        <v>Transfer P' Adhesivos Adhpt166</v>
      </c>
      <c r="C402" s="380" t="str">
        <f>IFERROR(__xludf.DUMMYFUNCTION("""COMPUTED_VALUE"""),"50000269")</f>
        <v>50000269</v>
      </c>
      <c r="D402" s="380" t="s">
        <v>767</v>
      </c>
      <c r="E402" s="380" t="s">
        <v>781</v>
      </c>
      <c r="F402" s="380" t="s">
        <v>830</v>
      </c>
      <c r="G402" s="380" t="s">
        <v>1217</v>
      </c>
      <c r="H402" s="380" t="s">
        <v>771</v>
      </c>
      <c r="I402" s="380" t="s">
        <v>817</v>
      </c>
      <c r="J402" s="380" t="s">
        <v>773</v>
      </c>
      <c r="K402" s="381">
        <v>344090.0</v>
      </c>
      <c r="L402" s="382">
        <v>1.0</v>
      </c>
    </row>
    <row r="403">
      <c r="A403" s="380" t="s">
        <v>1231</v>
      </c>
      <c r="B403" s="380" t="str">
        <f>IFERROR(__xludf.DUMMYFUNCTION("""COMPUTED_VALUE"""),"Cinta Enmascarar 1/2""")</f>
        <v>Cinta Enmascarar 1/2"</v>
      </c>
      <c r="C403" s="380" t="str">
        <f>IFERROR(__xludf.DUMMYFUNCTION("""COMPUTED_VALUE"""),"50000367")</f>
        <v>50000367</v>
      </c>
      <c r="D403" s="380" t="s">
        <v>767</v>
      </c>
      <c r="E403" s="380" t="s">
        <v>781</v>
      </c>
      <c r="F403" s="380" t="s">
        <v>830</v>
      </c>
      <c r="G403" s="380" t="s">
        <v>1217</v>
      </c>
      <c r="H403" s="380" t="s">
        <v>771</v>
      </c>
      <c r="I403" s="380" t="s">
        <v>817</v>
      </c>
      <c r="J403" s="380" t="s">
        <v>773</v>
      </c>
      <c r="K403" s="381">
        <v>0.0</v>
      </c>
      <c r="L403" s="382">
        <v>1.0</v>
      </c>
    </row>
    <row r="404">
      <c r="A404" s="380" t="s">
        <v>1232</v>
      </c>
      <c r="B404" s="380" t="str">
        <f>IFERROR(__xludf.DUMMYFUNCTION("""COMPUTED_VALUE"""),"Cinta Enmascarar 3/4"" 3m")</f>
        <v>Cinta Enmascarar 3/4" 3m</v>
      </c>
      <c r="C404" s="380" t="str">
        <f>IFERROR(__xludf.DUMMYFUNCTION("""COMPUTED_VALUE"""),"50000368")</f>
        <v>50000368</v>
      </c>
      <c r="D404" s="380" t="s">
        <v>767</v>
      </c>
      <c r="E404" s="380" t="s">
        <v>781</v>
      </c>
      <c r="F404" s="380" t="s">
        <v>830</v>
      </c>
      <c r="G404" s="380" t="s">
        <v>1217</v>
      </c>
      <c r="H404" s="380" t="s">
        <v>771</v>
      </c>
      <c r="I404" s="380" t="s">
        <v>817</v>
      </c>
      <c r="J404" s="380" t="s">
        <v>773</v>
      </c>
      <c r="K404" s="381">
        <v>8393.0</v>
      </c>
      <c r="L404" s="382">
        <v>1.0</v>
      </c>
    </row>
    <row r="405">
      <c r="A405" s="380" t="s">
        <v>1233</v>
      </c>
      <c r="B405" s="380" t="str">
        <f>IFERROR(__xludf.DUMMYFUNCTION("""COMPUTED_VALUE"""),"Cinta Aislante Super 33 3")</f>
        <v>Cinta Aislante Super 33 3</v>
      </c>
      <c r="C405" s="380" t="str">
        <f>IFERROR(__xludf.DUMMYFUNCTION("""COMPUTED_VALUE"""),"50000371")</f>
        <v>50000371</v>
      </c>
      <c r="D405" s="380" t="s">
        <v>767</v>
      </c>
      <c r="E405" s="380" t="s">
        <v>781</v>
      </c>
      <c r="F405" s="380" t="s">
        <v>830</v>
      </c>
      <c r="G405" s="380" t="s">
        <v>1217</v>
      </c>
      <c r="H405" s="380" t="s">
        <v>771</v>
      </c>
      <c r="I405" s="380" t="s">
        <v>817</v>
      </c>
      <c r="J405" s="380" t="s">
        <v>773</v>
      </c>
      <c r="K405" s="381">
        <v>5854.0</v>
      </c>
      <c r="L405" s="382">
        <v>1.0</v>
      </c>
    </row>
    <row r="406">
      <c r="A406" s="380" t="s">
        <v>1234</v>
      </c>
      <c r="B406" s="380" t="str">
        <f>IFERROR(__xludf.DUMMYFUNCTION("""COMPUTED_VALUE"""),"Cinta Enmascarar 1/4""")</f>
        <v>Cinta Enmascarar 1/4"</v>
      </c>
      <c r="C406" s="380" t="str">
        <f>IFERROR(__xludf.DUMMYFUNCTION("""COMPUTED_VALUE"""),"50000463")</f>
        <v>50000463</v>
      </c>
      <c r="D406" s="380" t="s">
        <v>767</v>
      </c>
      <c r="E406" s="380" t="s">
        <v>781</v>
      </c>
      <c r="F406" s="380" t="s">
        <v>830</v>
      </c>
      <c r="G406" s="380" t="s">
        <v>1217</v>
      </c>
      <c r="H406" s="380" t="s">
        <v>771</v>
      </c>
      <c r="I406" s="380" t="s">
        <v>817</v>
      </c>
      <c r="J406" s="380" t="s">
        <v>773</v>
      </c>
      <c r="K406" s="381">
        <v>5060.0</v>
      </c>
      <c r="L406" s="382">
        <v>1.0</v>
      </c>
    </row>
    <row r="407">
      <c r="A407" s="380" t="s">
        <v>1235</v>
      </c>
      <c r="B407" s="380" t="str">
        <f>IFERROR(__xludf.DUMMYFUNCTION("""COMPUTED_VALUE"""),"Lamina Galvanizada Techo Furgon C-16")</f>
        <v>Lamina Galvanizada Techo Furgon C-16</v>
      </c>
      <c r="C407" s="380" t="str">
        <f>IFERROR(__xludf.DUMMYFUNCTION("""COMPUTED_VALUE"""),"50000464")</f>
        <v>50000464</v>
      </c>
      <c r="D407" s="380" t="s">
        <v>767</v>
      </c>
      <c r="E407" s="380" t="s">
        <v>781</v>
      </c>
      <c r="F407" s="380" t="s">
        <v>830</v>
      </c>
      <c r="G407" s="380" t="s">
        <v>1217</v>
      </c>
      <c r="H407" s="380" t="s">
        <v>771</v>
      </c>
      <c r="I407" s="380" t="s">
        <v>817</v>
      </c>
      <c r="J407" s="380" t="s">
        <v>773</v>
      </c>
      <c r="K407" s="381">
        <v>0.0</v>
      </c>
      <c r="L407" s="382">
        <v>1.0</v>
      </c>
    </row>
    <row r="408">
      <c r="A408" s="380" t="s">
        <v>1236</v>
      </c>
      <c r="B408" s="380" t="str">
        <f>IFERROR(__xludf.DUMMYFUNCTION("""COMPUTED_VALUE"""),"Cinta Teflon De 3/4")</f>
        <v>Cinta Teflon De 3/4</v>
      </c>
      <c r="C408" s="380" t="str">
        <f>IFERROR(__xludf.DUMMYFUNCTION("""COMPUTED_VALUE"""),"50001708")</f>
        <v>50001708</v>
      </c>
      <c r="D408" s="380" t="s">
        <v>767</v>
      </c>
      <c r="E408" s="380" t="s">
        <v>781</v>
      </c>
      <c r="F408" s="380" t="s">
        <v>819</v>
      </c>
      <c r="G408" s="380" t="s">
        <v>1217</v>
      </c>
      <c r="H408" s="380" t="s">
        <v>771</v>
      </c>
      <c r="I408" s="380" t="s">
        <v>817</v>
      </c>
      <c r="J408" s="380" t="s">
        <v>773</v>
      </c>
      <c r="K408" s="381">
        <v>4677.0</v>
      </c>
      <c r="L408" s="382">
        <v>1.0</v>
      </c>
    </row>
    <row r="409">
      <c r="A409" s="380" t="s">
        <v>1237</v>
      </c>
      <c r="B409" s="380" t="str">
        <f>IFERROR(__xludf.DUMMYFUNCTION("""COMPUTED_VALUE"""),"MANG Toma Muestra Aceite 1/4 X 100mts")</f>
        <v>MANG Toma Muestra Aceite 1/4 X 100mts</v>
      </c>
      <c r="C409" s="380" t="str">
        <f>IFERROR(__xludf.DUMMYFUNCTION("""COMPUTED_VALUE"""),"50001781")</f>
        <v>50001781</v>
      </c>
      <c r="D409" s="380" t="s">
        <v>767</v>
      </c>
      <c r="E409" s="380" t="s">
        <v>781</v>
      </c>
      <c r="F409" s="380" t="s">
        <v>819</v>
      </c>
      <c r="G409" s="380" t="s">
        <v>1217</v>
      </c>
      <c r="H409" s="380" t="s">
        <v>771</v>
      </c>
      <c r="I409" s="380" t="s">
        <v>817</v>
      </c>
      <c r="J409" s="380" t="s">
        <v>773</v>
      </c>
      <c r="K409" s="381">
        <v>0.0</v>
      </c>
      <c r="L409" s="382">
        <v>1.0</v>
      </c>
    </row>
    <row r="410">
      <c r="A410" s="380" t="s">
        <v>1238</v>
      </c>
      <c r="B410" s="380" t="str">
        <f>IFERROR(__xludf.DUMMYFUNCTION("""COMPUTED_VALUE"""),"Cinta Doble Face Vhb 5952f 19mm X 33 Mt")</f>
        <v>Cinta Doble Face Vhb 5952f 19mm X 33 Mt</v>
      </c>
      <c r="C410" s="380" t="str">
        <f>IFERROR(__xludf.DUMMYFUNCTION("""COMPUTED_VALUE"""),"50001925")</f>
        <v>50001925</v>
      </c>
      <c r="D410" s="380" t="s">
        <v>767</v>
      </c>
      <c r="E410" s="380" t="s">
        <v>781</v>
      </c>
      <c r="F410" s="380" t="s">
        <v>830</v>
      </c>
      <c r="G410" s="380" t="s">
        <v>1217</v>
      </c>
      <c r="H410" s="380" t="s">
        <v>771</v>
      </c>
      <c r="I410" s="380" t="s">
        <v>817</v>
      </c>
      <c r="J410" s="380" t="s">
        <v>773</v>
      </c>
      <c r="K410" s="381">
        <v>0.0</v>
      </c>
      <c r="L410" s="382">
        <v>1.0</v>
      </c>
    </row>
    <row r="411">
      <c r="A411" s="380" t="s">
        <v>1239</v>
      </c>
      <c r="B411" s="380" t="str">
        <f>IFERROR(__xludf.DUMMYFUNCTION("""COMPUTED_VALUE"""),"Cinta Reempaque 36mm X 50m")</f>
        <v>Cinta Reempaque 36mm X 50m</v>
      </c>
      <c r="C411" s="380" t="str">
        <f>IFERROR(__xludf.DUMMYFUNCTION("""COMPUTED_VALUE"""),"60000179")</f>
        <v>60000179</v>
      </c>
      <c r="D411" s="380" t="s">
        <v>767</v>
      </c>
      <c r="E411" s="380" t="s">
        <v>875</v>
      </c>
      <c r="F411" s="380" t="s">
        <v>924</v>
      </c>
      <c r="G411" s="380" t="s">
        <v>1217</v>
      </c>
      <c r="H411" s="380" t="s">
        <v>771</v>
      </c>
      <c r="I411" s="380" t="s">
        <v>925</v>
      </c>
      <c r="J411" s="380" t="s">
        <v>773</v>
      </c>
      <c r="K411" s="381">
        <v>4578.0</v>
      </c>
      <c r="L411" s="382">
        <v>1.0</v>
      </c>
    </row>
    <row r="412">
      <c r="A412" s="380" t="s">
        <v>1240</v>
      </c>
      <c r="B412" s="380" t="str">
        <f>IFERROR(__xludf.DUMMYFUNCTION("""COMPUTED_VALUE"""),"Zuncho")</f>
        <v>Zuncho</v>
      </c>
      <c r="C412" s="380" t="str">
        <f>IFERROR(__xludf.DUMMYFUNCTION("""COMPUTED_VALUE"""),"60000194")</f>
        <v>60000194</v>
      </c>
      <c r="D412" s="380" t="s">
        <v>767</v>
      </c>
      <c r="E412" s="380" t="s">
        <v>875</v>
      </c>
      <c r="F412" s="380" t="s">
        <v>924</v>
      </c>
      <c r="G412" s="380" t="s">
        <v>1217</v>
      </c>
      <c r="H412" s="380" t="s">
        <v>771</v>
      </c>
      <c r="I412" s="380" t="s">
        <v>925</v>
      </c>
      <c r="J412" s="380" t="s">
        <v>773</v>
      </c>
      <c r="K412" s="381">
        <v>102340.0</v>
      </c>
      <c r="L412" s="382">
        <v>1.0</v>
      </c>
    </row>
    <row r="413">
      <c r="A413" s="380" t="s">
        <v>1241</v>
      </c>
      <c r="B413" s="380" t="str">
        <f>IFERROR(__xludf.DUMMYFUNCTION("""COMPUTED_VALUE"""),"Kit Regulador Y Portadiodo Npr Hi2019")</f>
        <v>Kit Regulador Y Portadiodo Npr Hi2019</v>
      </c>
      <c r="C413" s="380" t="str">
        <f>IFERROR(__xludf.DUMMYFUNCTION("""COMPUTED_VALUE"""),"70003183")</f>
        <v>70003183</v>
      </c>
      <c r="D413" s="380" t="s">
        <v>767</v>
      </c>
      <c r="E413" s="380" t="s">
        <v>786</v>
      </c>
      <c r="F413" s="380" t="s">
        <v>998</v>
      </c>
      <c r="G413" s="380" t="s">
        <v>1217</v>
      </c>
      <c r="H413" s="380" t="s">
        <v>771</v>
      </c>
      <c r="I413" s="380" t="s">
        <v>788</v>
      </c>
      <c r="J413" s="380" t="s">
        <v>773</v>
      </c>
      <c r="K413" s="381">
        <v>0.0</v>
      </c>
      <c r="L413" s="382">
        <v>1.0</v>
      </c>
    </row>
    <row r="414">
      <c r="A414" s="380" t="s">
        <v>1242</v>
      </c>
      <c r="B414" s="380" t="str">
        <f>IFERROR(__xludf.DUMMYFUNCTION("""COMPUTED_VALUE"""),"Cinta Led Rollo X 5 Metros 12 Voltios")</f>
        <v>Cinta Led Rollo X 5 Metros 12 Voltios</v>
      </c>
      <c r="C414" s="380" t="str">
        <f>IFERROR(__xludf.DUMMYFUNCTION("""COMPUTED_VALUE"""),"70003608")</f>
        <v>70003608</v>
      </c>
      <c r="D414" s="380" t="s">
        <v>767</v>
      </c>
      <c r="E414" s="380" t="s">
        <v>786</v>
      </c>
      <c r="F414" s="380" t="s">
        <v>998</v>
      </c>
      <c r="G414" s="380" t="s">
        <v>1217</v>
      </c>
      <c r="H414" s="380" t="s">
        <v>771</v>
      </c>
      <c r="I414" s="380" t="s">
        <v>788</v>
      </c>
      <c r="J414" s="380" t="s">
        <v>773</v>
      </c>
      <c r="K414" s="381">
        <v>0.0</v>
      </c>
      <c r="L414" s="382">
        <v>1.0</v>
      </c>
    </row>
    <row r="415">
      <c r="A415" s="380" t="s">
        <v>1243</v>
      </c>
      <c r="B415" s="380" t="str">
        <f>IFERROR(__xludf.DUMMYFUNCTION("""COMPUTED_VALUE"""),"Tensor Fijo Tensor Fijo Trailer 15. 1/2""")</f>
        <v>Tensor Fijo Tensor Fijo Trailer 15. 1/2"</v>
      </c>
      <c r="C415" s="380" t="str">
        <f>IFERROR(__xludf.DUMMYFUNCTION("""COMPUTED_VALUE"""),"70007429")</f>
        <v>70007429</v>
      </c>
      <c r="D415" s="380" t="s">
        <v>767</v>
      </c>
      <c r="E415" s="380" t="s">
        <v>786</v>
      </c>
      <c r="F415" s="380" t="s">
        <v>1039</v>
      </c>
      <c r="G415" s="380" t="s">
        <v>1217</v>
      </c>
      <c r="H415" s="380" t="s">
        <v>771</v>
      </c>
      <c r="I415" s="380" t="s">
        <v>788</v>
      </c>
      <c r="J415" s="380" t="s">
        <v>773</v>
      </c>
      <c r="K415" s="381">
        <v>0.0</v>
      </c>
      <c r="L415" s="382">
        <v>1.0</v>
      </c>
    </row>
    <row r="416">
      <c r="A416" s="380" t="s">
        <v>1244</v>
      </c>
      <c r="B416" s="380" t="str">
        <f>IFERROR(__xludf.DUMMYFUNCTION("""COMPUTED_VALUE"""),"Guaya Acelerador Wolkswagen 2vb721555")</f>
        <v>Guaya Acelerador Wolkswagen 2vb721555</v>
      </c>
      <c r="C416" s="380" t="str">
        <f>IFERROR(__xludf.DUMMYFUNCTION("""COMPUTED_VALUE"""),"70007498")</f>
        <v>70007498</v>
      </c>
      <c r="D416" s="380" t="s">
        <v>767</v>
      </c>
      <c r="E416" s="380" t="s">
        <v>786</v>
      </c>
      <c r="F416" s="380" t="s">
        <v>787</v>
      </c>
      <c r="G416" s="380" t="s">
        <v>1217</v>
      </c>
      <c r="H416" s="380" t="s">
        <v>771</v>
      </c>
      <c r="I416" s="380" t="s">
        <v>788</v>
      </c>
      <c r="J416" s="380" t="s">
        <v>773</v>
      </c>
      <c r="K416" s="381">
        <v>0.0</v>
      </c>
      <c r="L416" s="382">
        <v>1.0</v>
      </c>
    </row>
    <row r="417">
      <c r="A417" s="380" t="s">
        <v>1245</v>
      </c>
      <c r="B417" s="380" t="str">
        <f>IFERROR(__xludf.DUMMYFUNCTION("""COMPUTED_VALUE"""),"Empaque Vidrio Panoramico Nhr 8978902142")</f>
        <v>Empaque Vidrio Panoramico Nhr 8978902142</v>
      </c>
      <c r="C417" s="380" t="str">
        <f>IFERROR(__xludf.DUMMYFUNCTION("""COMPUTED_VALUE"""),"70007514")</f>
        <v>70007514</v>
      </c>
      <c r="D417" s="380" t="s">
        <v>767</v>
      </c>
      <c r="E417" s="380" t="s">
        <v>786</v>
      </c>
      <c r="F417" s="380" t="s">
        <v>792</v>
      </c>
      <c r="G417" s="380" t="s">
        <v>1217</v>
      </c>
      <c r="H417" s="380" t="s">
        <v>771</v>
      </c>
      <c r="I417" s="380" t="s">
        <v>788</v>
      </c>
      <c r="J417" s="380" t="s">
        <v>773</v>
      </c>
      <c r="K417" s="381">
        <v>0.0</v>
      </c>
      <c r="L417" s="382">
        <v>1.0</v>
      </c>
    </row>
    <row r="418">
      <c r="A418" s="380" t="s">
        <v>1246</v>
      </c>
      <c r="B418" s="380" t="str">
        <f>IFERROR(__xludf.DUMMYFUNCTION("""COMPUTED_VALUE"""),"Espejo Retrovisor KW T-800 Nuevo Md7165")</f>
        <v>Espejo Retrovisor KW T-800 Nuevo Md7165</v>
      </c>
      <c r="C418" s="380" t="str">
        <f>IFERROR(__xludf.DUMMYFUNCTION("""COMPUTED_VALUE"""),"70007515")</f>
        <v>70007515</v>
      </c>
      <c r="D418" s="380" t="s">
        <v>767</v>
      </c>
      <c r="E418" s="380" t="s">
        <v>786</v>
      </c>
      <c r="F418" s="380" t="s">
        <v>792</v>
      </c>
      <c r="G418" s="380" t="s">
        <v>1217</v>
      </c>
      <c r="H418" s="380" t="s">
        <v>771</v>
      </c>
      <c r="I418" s="380" t="s">
        <v>788</v>
      </c>
      <c r="J418" s="380" t="s">
        <v>773</v>
      </c>
      <c r="K418" s="381">
        <v>0.0</v>
      </c>
      <c r="L418" s="382">
        <v>1.0</v>
      </c>
    </row>
    <row r="419">
      <c r="A419" s="380" t="s">
        <v>1247</v>
      </c>
      <c r="B419" s="380" t="str">
        <f>IFERROR(__xludf.DUMMYFUNCTION("""COMPUTED_VALUE"""),"Cinta Doble Face De 1.1/2 Tesa")</f>
        <v>Cinta Doble Face De 1.1/2 Tesa</v>
      </c>
      <c r="C419" s="380" t="str">
        <f>IFERROR(__xludf.DUMMYFUNCTION("""COMPUTED_VALUE"""),"80000013")</f>
        <v>80000013</v>
      </c>
      <c r="D419" s="380" t="s">
        <v>767</v>
      </c>
      <c r="E419" s="380" t="s">
        <v>776</v>
      </c>
      <c r="F419" s="380" t="s">
        <v>777</v>
      </c>
      <c r="G419" s="380" t="s">
        <v>1217</v>
      </c>
      <c r="H419" s="380" t="s">
        <v>771</v>
      </c>
      <c r="I419" s="380" t="s">
        <v>778</v>
      </c>
      <c r="J419" s="380" t="s">
        <v>773</v>
      </c>
      <c r="K419" s="381">
        <v>44589.0</v>
      </c>
      <c r="L419" s="382">
        <v>1.0</v>
      </c>
    </row>
    <row r="420">
      <c r="A420" s="380" t="s">
        <v>1248</v>
      </c>
      <c r="B420" s="380" t="str">
        <f>IFERROR(__xludf.DUMMYFUNCTION("""COMPUTED_VALUE"""),"Cinta Vinilo Demarc Amaril 48m")</f>
        <v>Cinta Vinilo Demarc Amaril 48m</v>
      </c>
      <c r="C420" s="380" t="str">
        <f>IFERROR(__xludf.DUMMYFUNCTION("""COMPUTED_VALUE"""),"80000049")</f>
        <v>80000049</v>
      </c>
      <c r="D420" s="380" t="s">
        <v>767</v>
      </c>
      <c r="E420" s="380" t="s">
        <v>776</v>
      </c>
      <c r="F420" s="380" t="s">
        <v>777</v>
      </c>
      <c r="G420" s="380" t="s">
        <v>1217</v>
      </c>
      <c r="H420" s="380" t="s">
        <v>771</v>
      </c>
      <c r="I420" s="380" t="s">
        <v>778</v>
      </c>
      <c r="J420" s="380" t="s">
        <v>773</v>
      </c>
      <c r="K420" s="381">
        <v>0.0</v>
      </c>
      <c r="L420" s="382">
        <v>1.0</v>
      </c>
    </row>
    <row r="421">
      <c r="A421" s="380" t="s">
        <v>1249</v>
      </c>
      <c r="B421" s="380" t="str">
        <f>IFERROR(__xludf.DUMMYFUNCTION("""COMPUTED_VALUE"""),"Cinta Antideslizante Conformab 48X100")</f>
        <v>Cinta Antideslizante Conformab 48X100</v>
      </c>
      <c r="C421" s="380" t="str">
        <f>IFERROR(__xludf.DUMMYFUNCTION("""COMPUTED_VALUE"""),"80000076")</f>
        <v>80000076</v>
      </c>
      <c r="D421" s="380" t="s">
        <v>767</v>
      </c>
      <c r="E421" s="380" t="s">
        <v>776</v>
      </c>
      <c r="F421" s="380" t="s">
        <v>777</v>
      </c>
      <c r="G421" s="380" t="s">
        <v>1217</v>
      </c>
      <c r="H421" s="380" t="s">
        <v>771</v>
      </c>
      <c r="I421" s="380" t="s">
        <v>778</v>
      </c>
      <c r="J421" s="380" t="s">
        <v>773</v>
      </c>
      <c r="K421" s="381">
        <v>0.0</v>
      </c>
      <c r="L421" s="382">
        <v>1.0</v>
      </c>
    </row>
    <row r="422">
      <c r="A422" s="380" t="s">
        <v>1250</v>
      </c>
      <c r="B422" s="380" t="str">
        <f>IFERROR(__xludf.DUMMYFUNCTION("""COMPUTED_VALUE"""),"Kit Induccion Desarrollo Human")</f>
        <v>Kit Induccion Desarrollo Human</v>
      </c>
      <c r="C422" s="380" t="str">
        <f>IFERROR(__xludf.DUMMYFUNCTION("""COMPUTED_VALUE"""),"10000706")</f>
        <v>10000706</v>
      </c>
      <c r="D422" s="380" t="s">
        <v>767</v>
      </c>
      <c r="E422" s="380" t="s">
        <v>768</v>
      </c>
      <c r="F422" s="380" t="s">
        <v>797</v>
      </c>
      <c r="G422" s="380" t="s">
        <v>1251</v>
      </c>
      <c r="H422" s="380" t="s">
        <v>771</v>
      </c>
      <c r="I422" s="380" t="s">
        <v>799</v>
      </c>
      <c r="J422" s="380" t="s">
        <v>773</v>
      </c>
      <c r="K422" s="381">
        <v>9725.0</v>
      </c>
      <c r="L422" s="382">
        <v>1.0</v>
      </c>
    </row>
    <row r="423">
      <c r="A423" s="380" t="s">
        <v>1252</v>
      </c>
      <c r="B423" s="380" t="str">
        <f>IFERROR(__xludf.DUMMYFUNCTION("""COMPUTED_VALUE"""),"Juego Alicate Y Pinzas X 8 Pizas")</f>
        <v>Juego Alicate Y Pinzas X 8 Pizas</v>
      </c>
      <c r="C423" s="380" t="str">
        <f>IFERROR(__xludf.DUMMYFUNCTION("""COMPUTED_VALUE"""),"50001329")</f>
        <v>50001329</v>
      </c>
      <c r="D423" s="380" t="s">
        <v>767</v>
      </c>
      <c r="E423" s="380" t="s">
        <v>781</v>
      </c>
      <c r="F423" s="380" t="s">
        <v>782</v>
      </c>
      <c r="G423" s="380" t="s">
        <v>1251</v>
      </c>
      <c r="H423" s="380" t="s">
        <v>771</v>
      </c>
      <c r="I423" s="380" t="s">
        <v>784</v>
      </c>
      <c r="J423" s="380" t="s">
        <v>773</v>
      </c>
      <c r="K423" s="381">
        <v>0.0</v>
      </c>
      <c r="L423" s="382">
        <v>1.0</v>
      </c>
    </row>
    <row r="424">
      <c r="A424" s="380" t="s">
        <v>1253</v>
      </c>
      <c r="B424" s="380" t="str">
        <f>IFERROR(__xludf.DUMMYFUNCTION("""COMPUTED_VALUE"""),"Banderol Banderolas Triangulos Juego X 2")</f>
        <v>Banderol Banderolas Triangulos Juego X 2</v>
      </c>
      <c r="C424" s="380" t="str">
        <f>IFERROR(__xludf.DUMMYFUNCTION("""COMPUTED_VALUE"""),"50001332")</f>
        <v>50001332</v>
      </c>
      <c r="D424" s="380" t="s">
        <v>767</v>
      </c>
      <c r="E424" s="380" t="s">
        <v>781</v>
      </c>
      <c r="F424" s="380" t="s">
        <v>782</v>
      </c>
      <c r="G424" s="380" t="s">
        <v>1251</v>
      </c>
      <c r="H424" s="380" t="s">
        <v>771</v>
      </c>
      <c r="I424" s="380" t="s">
        <v>784</v>
      </c>
      <c r="J424" s="380" t="s">
        <v>773</v>
      </c>
      <c r="K424" s="381">
        <v>38760.0</v>
      </c>
      <c r="L424" s="382">
        <v>1.0</v>
      </c>
    </row>
    <row r="425">
      <c r="A425" s="380" t="s">
        <v>1254</v>
      </c>
      <c r="B425" s="380" t="str">
        <f>IFERROR(__xludf.DUMMYFUNCTION("""COMPUTED_VALUE"""),"Tacos Madera Jgo X 2")</f>
        <v>Tacos Madera Jgo X 2</v>
      </c>
      <c r="C425" s="380" t="str">
        <f>IFERROR(__xludf.DUMMYFUNCTION("""COMPUTED_VALUE"""),"50001333")</f>
        <v>50001333</v>
      </c>
      <c r="D425" s="380" t="s">
        <v>767</v>
      </c>
      <c r="E425" s="380" t="s">
        <v>781</v>
      </c>
      <c r="F425" s="380" t="s">
        <v>782</v>
      </c>
      <c r="G425" s="380" t="s">
        <v>1251</v>
      </c>
      <c r="H425" s="380" t="s">
        <v>771</v>
      </c>
      <c r="I425" s="380" t="s">
        <v>784</v>
      </c>
      <c r="J425" s="380" t="s">
        <v>773</v>
      </c>
      <c r="K425" s="381">
        <v>38475.0</v>
      </c>
      <c r="L425" s="382">
        <v>1.0</v>
      </c>
    </row>
    <row r="426">
      <c r="A426" s="380" t="s">
        <v>1255</v>
      </c>
      <c r="B426" s="380" t="str">
        <f>IFERROR(__xludf.DUMMYFUNCTION("""COMPUTED_VALUE"""),"Juego Destornilladores 6 Piezas")</f>
        <v>Juego Destornilladores 6 Piezas</v>
      </c>
      <c r="C426" s="380" t="str">
        <f>IFERROR(__xludf.DUMMYFUNCTION("""COMPUTED_VALUE"""),"50001372")</f>
        <v>50001372</v>
      </c>
      <c r="D426" s="380" t="s">
        <v>767</v>
      </c>
      <c r="E426" s="380" t="s">
        <v>781</v>
      </c>
      <c r="F426" s="380" t="s">
        <v>782</v>
      </c>
      <c r="G426" s="380" t="s">
        <v>1251</v>
      </c>
      <c r="H426" s="380" t="s">
        <v>771</v>
      </c>
      <c r="I426" s="380" t="s">
        <v>784</v>
      </c>
      <c r="J426" s="380" t="s">
        <v>773</v>
      </c>
      <c r="K426" s="381">
        <v>0.0</v>
      </c>
      <c r="L426" s="382">
        <v>1.0</v>
      </c>
    </row>
    <row r="427">
      <c r="A427" s="380" t="s">
        <v>1256</v>
      </c>
      <c r="B427" s="380" t="str">
        <f>IFERROR(__xludf.DUMMYFUNCTION("""COMPUTED_VALUE"""),"Juego Past Freno Del Foton BJ57705946204")</f>
        <v>Juego Past Freno Del Foton BJ57705946204</v>
      </c>
      <c r="C427" s="380" t="str">
        <f>IFERROR(__xludf.DUMMYFUNCTION("""COMPUTED_VALUE"""),"70002359")</f>
        <v>70002359</v>
      </c>
      <c r="D427" s="380" t="s">
        <v>767</v>
      </c>
      <c r="E427" s="380" t="s">
        <v>786</v>
      </c>
      <c r="F427" s="380" t="s">
        <v>1017</v>
      </c>
      <c r="G427" s="380" t="s">
        <v>1251</v>
      </c>
      <c r="H427" s="380" t="s">
        <v>771</v>
      </c>
      <c r="I427" s="380" t="s">
        <v>788</v>
      </c>
      <c r="J427" s="380" t="s">
        <v>773</v>
      </c>
      <c r="K427" s="381">
        <v>78800.0</v>
      </c>
      <c r="L427" s="382">
        <v>1.0</v>
      </c>
    </row>
    <row r="428">
      <c r="A428" s="380" t="s">
        <v>1257</v>
      </c>
      <c r="B428" s="380" t="str">
        <f>IFERROR(__xludf.DUMMYFUNCTION("""COMPUTED_VALUE"""),"Juego Pastillas Freno X 4 Daf 1982826")</f>
        <v>Juego Pastillas Freno X 4 Daf 1982826</v>
      </c>
      <c r="C428" s="380" t="str">
        <f>IFERROR(__xludf.DUMMYFUNCTION("""COMPUTED_VALUE"""),"70004630")</f>
        <v>70004630</v>
      </c>
      <c r="D428" s="380" t="s">
        <v>767</v>
      </c>
      <c r="E428" s="380" t="s">
        <v>786</v>
      </c>
      <c r="F428" s="380" t="s">
        <v>1017</v>
      </c>
      <c r="G428" s="380" t="s">
        <v>1251</v>
      </c>
      <c r="H428" s="380" t="s">
        <v>771</v>
      </c>
      <c r="I428" s="380" t="s">
        <v>788</v>
      </c>
      <c r="J428" s="380" t="s">
        <v>773</v>
      </c>
      <c r="K428" s="381">
        <v>565087.0</v>
      </c>
      <c r="L428" s="382">
        <v>1.0</v>
      </c>
    </row>
    <row r="429">
      <c r="A429" s="380" t="s">
        <v>1258</v>
      </c>
      <c r="B429" s="380" t="str">
        <f>IFERROR(__xludf.DUMMYFUNCTION("""COMPUTED_VALUE"""),"Juego Plumilla Limpiabrisas Daf Cf480 Ft")</f>
        <v>Juego Plumilla Limpiabrisas Daf Cf480 Ft</v>
      </c>
      <c r="C429" s="380" t="str">
        <f>IFERROR(__xludf.DUMMYFUNCTION("""COMPUTED_VALUE"""),"70005678")</f>
        <v>70005678</v>
      </c>
      <c r="D429" s="380" t="s">
        <v>767</v>
      </c>
      <c r="E429" s="380" t="s">
        <v>786</v>
      </c>
      <c r="F429" s="380" t="s">
        <v>792</v>
      </c>
      <c r="G429" s="380" t="s">
        <v>1251</v>
      </c>
      <c r="H429" s="380" t="s">
        <v>771</v>
      </c>
      <c r="I429" s="380" t="s">
        <v>788</v>
      </c>
      <c r="J429" s="380" t="s">
        <v>773</v>
      </c>
      <c r="K429" s="381">
        <v>299223.0</v>
      </c>
      <c r="L429" s="382">
        <v>1.0</v>
      </c>
    </row>
    <row r="430">
      <c r="A430" s="380" t="s">
        <v>1259</v>
      </c>
      <c r="B430" s="380" t="str">
        <f>IFERROR(__xludf.DUMMYFUNCTION("""COMPUTED_VALUE"""),"Kit Conectores Plasticos Unidad Gps Sp48")</f>
        <v>Kit Conectores Plasticos Unidad Gps Sp48</v>
      </c>
      <c r="C430" s="380" t="str">
        <f>IFERROR(__xludf.DUMMYFUNCTION("""COMPUTED_VALUE"""),"70005758")</f>
        <v>70005758</v>
      </c>
      <c r="D430" s="380" t="s">
        <v>767</v>
      </c>
      <c r="E430" s="380" t="s">
        <v>786</v>
      </c>
      <c r="F430" s="380" t="s">
        <v>998</v>
      </c>
      <c r="G430" s="380" t="s">
        <v>1251</v>
      </c>
      <c r="H430" s="380" t="s">
        <v>771</v>
      </c>
      <c r="I430" s="380" t="s">
        <v>788</v>
      </c>
      <c r="J430" s="380" t="s">
        <v>773</v>
      </c>
      <c r="K430" s="381">
        <v>34000.0</v>
      </c>
      <c r="L430" s="382">
        <v>1.0</v>
      </c>
    </row>
    <row r="431">
      <c r="A431" s="380" t="s">
        <v>1260</v>
      </c>
      <c r="B431" s="380" t="str">
        <f>IFERROR(__xludf.DUMMYFUNCTION("""COMPUTED_VALUE"""),"Juego Puntilla Banda Freno Todos")</f>
        <v>Juego Puntilla Banda Freno Todos</v>
      </c>
      <c r="C431" s="380" t="str">
        <f>IFERROR(__xludf.DUMMYFUNCTION("""COMPUTED_VALUE"""),"70007195")</f>
        <v>70007195</v>
      </c>
      <c r="D431" s="380" t="s">
        <v>767</v>
      </c>
      <c r="E431" s="380" t="s">
        <v>786</v>
      </c>
      <c r="F431" s="380" t="s">
        <v>1017</v>
      </c>
      <c r="G431" s="380" t="s">
        <v>1251</v>
      </c>
      <c r="H431" s="380" t="s">
        <v>771</v>
      </c>
      <c r="I431" s="380" t="s">
        <v>788</v>
      </c>
      <c r="J431" s="380" t="s">
        <v>773</v>
      </c>
      <c r="K431" s="381">
        <v>0.0</v>
      </c>
      <c r="L431" s="382">
        <v>1.0</v>
      </c>
    </row>
    <row r="432">
      <c r="A432" s="380" t="s">
        <v>1261</v>
      </c>
      <c r="B432" s="380" t="str">
        <f>IFERROR(__xludf.DUMMYFUNCTION("""COMPUTED_VALUE"""),"Juego Parlante X 2 Redondo 4""")</f>
        <v>Juego Parlante X 2 Redondo 4"</v>
      </c>
      <c r="C432" s="380" t="str">
        <f>IFERROR(__xludf.DUMMYFUNCTION("""COMPUTED_VALUE"""),"70007453")</f>
        <v>70007453</v>
      </c>
      <c r="D432" s="380" t="s">
        <v>767</v>
      </c>
      <c r="E432" s="380" t="s">
        <v>786</v>
      </c>
      <c r="F432" s="380" t="s">
        <v>1031</v>
      </c>
      <c r="G432" s="380" t="s">
        <v>1251</v>
      </c>
      <c r="H432" s="380" t="s">
        <v>771</v>
      </c>
      <c r="I432" s="380" t="s">
        <v>788</v>
      </c>
      <c r="J432" s="380" t="s">
        <v>773</v>
      </c>
      <c r="K432" s="381">
        <v>166600.0</v>
      </c>
      <c r="L432" s="382">
        <v>1.0</v>
      </c>
    </row>
    <row r="433">
      <c r="A433" s="380" t="s">
        <v>1262</v>
      </c>
      <c r="B433" s="380" t="str">
        <f>IFERROR(__xludf.DUMMYFUNCTION("""COMPUTED_VALUE"""),"Pastillas Freno Tras Jac Sunray 21010191")</f>
        <v>Pastillas Freno Tras Jac Sunray 21010191</v>
      </c>
      <c r="C433" s="380" t="str">
        <f>IFERROR(__xludf.DUMMYFUNCTION("""COMPUTED_VALUE"""),"70008638")</f>
        <v>70008638</v>
      </c>
      <c r="D433" s="380" t="s">
        <v>767</v>
      </c>
      <c r="E433" s="380" t="s">
        <v>786</v>
      </c>
      <c r="F433" s="380" t="s">
        <v>1017</v>
      </c>
      <c r="G433" s="380" t="s">
        <v>1251</v>
      </c>
      <c r="H433" s="380" t="s">
        <v>771</v>
      </c>
      <c r="I433" s="380" t="s">
        <v>788</v>
      </c>
      <c r="J433" s="380" t="s">
        <v>773</v>
      </c>
      <c r="K433" s="381">
        <v>0.0</v>
      </c>
      <c r="L433" s="382">
        <v>1.0</v>
      </c>
    </row>
    <row r="434">
      <c r="A434" s="380" t="s">
        <v>1263</v>
      </c>
      <c r="B434" s="380" t="str">
        <f>IFERROR(__xludf.DUMMYFUNCTION("""COMPUTED_VALUE"""),"Pastillas Freno Del Jac Sunray 21008526")</f>
        <v>Pastillas Freno Del Jac Sunray 21008526</v>
      </c>
      <c r="C434" s="380" t="str">
        <f>IFERROR(__xludf.DUMMYFUNCTION("""COMPUTED_VALUE"""),"70008665")</f>
        <v>70008665</v>
      </c>
      <c r="D434" s="380" t="s">
        <v>767</v>
      </c>
      <c r="E434" s="380" t="s">
        <v>786</v>
      </c>
      <c r="F434" s="380" t="s">
        <v>1017</v>
      </c>
      <c r="G434" s="380" t="s">
        <v>1251</v>
      </c>
      <c r="H434" s="380" t="s">
        <v>771</v>
      </c>
      <c r="I434" s="380" t="s">
        <v>788</v>
      </c>
      <c r="J434" s="380" t="s">
        <v>773</v>
      </c>
      <c r="K434" s="381">
        <v>0.0</v>
      </c>
      <c r="L434" s="382">
        <v>1.0</v>
      </c>
    </row>
    <row r="435">
      <c r="A435" s="380" t="s">
        <v>1264</v>
      </c>
      <c r="B435" s="380" t="str">
        <f>IFERROR(__xludf.DUMMYFUNCTION("""COMPUTED_VALUE"""),"Juego Sabana Y Funda Sencilla")</f>
        <v>Juego Sabana Y Funda Sencilla</v>
      </c>
      <c r="C435" s="380" t="str">
        <f>IFERROR(__xludf.DUMMYFUNCTION("""COMPUTED_VALUE"""),"80000836")</f>
        <v>80000836</v>
      </c>
      <c r="D435" s="380" t="s">
        <v>767</v>
      </c>
      <c r="E435" s="380" t="s">
        <v>776</v>
      </c>
      <c r="F435" s="380" t="s">
        <v>777</v>
      </c>
      <c r="G435" s="380" t="s">
        <v>1251</v>
      </c>
      <c r="H435" s="380" t="s">
        <v>771</v>
      </c>
      <c r="I435" s="380" t="s">
        <v>778</v>
      </c>
      <c r="J435" s="380" t="s">
        <v>773</v>
      </c>
      <c r="K435" s="381">
        <v>0.0</v>
      </c>
      <c r="L435" s="382">
        <v>1.0</v>
      </c>
    </row>
    <row r="436">
      <c r="A436" s="380" t="s">
        <v>1265</v>
      </c>
      <c r="B436" s="380" t="str">
        <f>IFERROR(__xludf.DUMMYFUNCTION("""COMPUTED_VALUE"""),"Servicio Calibración Termómetro")</f>
        <v>Servicio Calibración Termómetro</v>
      </c>
      <c r="C436" s="380" t="str">
        <f>IFERROR(__xludf.DUMMYFUNCTION("""COMPUTED_VALUE"""),"41000170")</f>
        <v>41000170</v>
      </c>
      <c r="D436" s="380" t="s">
        <v>767</v>
      </c>
      <c r="E436" s="380" t="s">
        <v>1266</v>
      </c>
      <c r="F436" s="380" t="s">
        <v>811</v>
      </c>
      <c r="G436" s="380" t="s">
        <v>1267</v>
      </c>
      <c r="H436" s="380"/>
      <c r="I436" s="380" t="s">
        <v>1268</v>
      </c>
      <c r="J436" s="380" t="s">
        <v>1269</v>
      </c>
      <c r="K436" s="381">
        <v>0.0</v>
      </c>
      <c r="L436" s="382">
        <v>1.0</v>
      </c>
    </row>
    <row r="437">
      <c r="A437" s="380" t="s">
        <v>1270</v>
      </c>
      <c r="B437" s="380" t="str">
        <f>IFERROR(__xludf.DUMMYFUNCTION("""COMPUTED_VALUE"""),"Servicio De Estampado")</f>
        <v>Servicio De Estampado</v>
      </c>
      <c r="C437" s="380" t="str">
        <f>IFERROR(__xludf.DUMMYFUNCTION("""COMPUTED_VALUE"""),"41000171")</f>
        <v>41000171</v>
      </c>
      <c r="D437" s="380" t="s">
        <v>767</v>
      </c>
      <c r="E437" s="380" t="s">
        <v>1266</v>
      </c>
      <c r="F437" s="380" t="s">
        <v>1271</v>
      </c>
      <c r="G437" s="380" t="s">
        <v>1267</v>
      </c>
      <c r="H437" s="380"/>
      <c r="I437" s="380" t="s">
        <v>1268</v>
      </c>
      <c r="J437" s="380" t="s">
        <v>1269</v>
      </c>
      <c r="K437" s="381">
        <v>0.0</v>
      </c>
      <c r="L437" s="382">
        <v>1.0</v>
      </c>
    </row>
    <row r="438">
      <c r="A438" s="380" t="s">
        <v>1272</v>
      </c>
      <c r="B438" s="380" t="str">
        <f>IFERROR(__xludf.DUMMYFUNCTION("""COMPUTED_VALUE"""),"Servicio Calibracion Tensiometro")</f>
        <v>Servicio Calibracion Tensiometro</v>
      </c>
      <c r="C438" s="380" t="str">
        <f>IFERROR(__xludf.DUMMYFUNCTION("""COMPUTED_VALUE"""),"41000172")</f>
        <v>41000172</v>
      </c>
      <c r="D438" s="380" t="s">
        <v>767</v>
      </c>
      <c r="E438" s="380" t="s">
        <v>1266</v>
      </c>
      <c r="F438" s="380" t="s">
        <v>811</v>
      </c>
      <c r="G438" s="380" t="s">
        <v>1267</v>
      </c>
      <c r="H438" s="380"/>
      <c r="I438" s="380" t="s">
        <v>1268</v>
      </c>
      <c r="J438" s="380" t="s">
        <v>1269</v>
      </c>
      <c r="K438" s="381">
        <v>0.0</v>
      </c>
      <c r="L438" s="382">
        <v>1.0</v>
      </c>
    </row>
    <row r="439">
      <c r="A439" s="380" t="s">
        <v>1273</v>
      </c>
      <c r="B439" s="380" t="str">
        <f>IFERROR(__xludf.DUMMYFUNCTION("""COMPUTED_VALUE"""),"Servicio Mantenimiento Tensiometro")</f>
        <v>Servicio Mantenimiento Tensiometro</v>
      </c>
      <c r="C439" s="380" t="str">
        <f>IFERROR(__xludf.DUMMYFUNCTION("""COMPUTED_VALUE"""),"41000173")</f>
        <v>41000173</v>
      </c>
      <c r="D439" s="380" t="s">
        <v>767</v>
      </c>
      <c r="E439" s="380" t="s">
        <v>1266</v>
      </c>
      <c r="F439" s="380" t="s">
        <v>811</v>
      </c>
      <c r="G439" s="380" t="s">
        <v>1267</v>
      </c>
      <c r="H439" s="380"/>
      <c r="I439" s="380" t="s">
        <v>1268</v>
      </c>
      <c r="J439" s="380" t="s">
        <v>1269</v>
      </c>
      <c r="K439" s="381">
        <v>0.0</v>
      </c>
      <c r="L439" s="382">
        <v>1.0</v>
      </c>
    </row>
    <row r="440">
      <c r="A440" s="380" t="s">
        <v>1274</v>
      </c>
      <c r="B440" s="380" t="str">
        <f>IFERROR(__xludf.DUMMYFUNCTION("""COMPUTED_VALUE"""),"Servicio Sacerdote")</f>
        <v>Servicio Sacerdote</v>
      </c>
      <c r="C440" s="380" t="str">
        <f>IFERROR(__xludf.DUMMYFUNCTION("""COMPUTED_VALUE"""),"41000174")</f>
        <v>41000174</v>
      </c>
      <c r="D440" s="380" t="s">
        <v>767</v>
      </c>
      <c r="E440" s="380" t="s">
        <v>1266</v>
      </c>
      <c r="F440" s="380" t="s">
        <v>1275</v>
      </c>
      <c r="G440" s="380" t="s">
        <v>1267</v>
      </c>
      <c r="H440" s="380"/>
      <c r="I440" s="380" t="s">
        <v>1276</v>
      </c>
      <c r="J440" s="380" t="s">
        <v>1269</v>
      </c>
      <c r="K440" s="381">
        <v>0.0</v>
      </c>
      <c r="L440" s="382">
        <v>1.0</v>
      </c>
    </row>
    <row r="441">
      <c r="A441" s="380" t="s">
        <v>1277</v>
      </c>
      <c r="B441" s="380" t="str">
        <f>IFERROR(__xludf.DUMMYFUNCTION("""COMPUTED_VALUE"""),"Servicio Mantenimiento Maquinaria Compre")</f>
        <v>Servicio Mantenimiento Maquinaria Compre</v>
      </c>
      <c r="C441" s="380" t="str">
        <f>IFERROR(__xludf.DUMMYFUNCTION("""COMPUTED_VALUE"""),"41000175")</f>
        <v>41000175</v>
      </c>
      <c r="D441" s="380" t="s">
        <v>767</v>
      </c>
      <c r="E441" s="380" t="s">
        <v>1266</v>
      </c>
      <c r="F441" s="380" t="s">
        <v>1278</v>
      </c>
      <c r="G441" s="380" t="s">
        <v>1267</v>
      </c>
      <c r="H441" s="380"/>
      <c r="I441" s="380" t="s">
        <v>1279</v>
      </c>
      <c r="J441" s="380" t="s">
        <v>1269</v>
      </c>
      <c r="K441" s="381">
        <v>0.0</v>
      </c>
      <c r="L441" s="382">
        <v>1.0</v>
      </c>
    </row>
    <row r="442">
      <c r="A442" s="380" t="s">
        <v>1280</v>
      </c>
      <c r="B442" s="380" t="str">
        <f>IFERROR(__xludf.DUMMYFUNCTION("""COMPUTED_VALUE"""),"Servicio De Vulcanizado Bandas Sorter")</f>
        <v>Servicio De Vulcanizado Bandas Sorter</v>
      </c>
      <c r="C442" s="380" t="str">
        <f>IFERROR(__xludf.DUMMYFUNCTION("""COMPUTED_VALUE"""),"41000176")</f>
        <v>41000176</v>
      </c>
      <c r="D442" s="380" t="s">
        <v>767</v>
      </c>
      <c r="E442" s="380" t="s">
        <v>1266</v>
      </c>
      <c r="F442" s="380" t="s">
        <v>976</v>
      </c>
      <c r="G442" s="380" t="s">
        <v>1267</v>
      </c>
      <c r="H442" s="380"/>
      <c r="I442" s="380" t="s">
        <v>1279</v>
      </c>
      <c r="J442" s="380" t="s">
        <v>1269</v>
      </c>
      <c r="K442" s="381">
        <v>0.0</v>
      </c>
      <c r="L442" s="382">
        <v>1.0</v>
      </c>
    </row>
    <row r="443">
      <c r="A443" s="380" t="s">
        <v>1281</v>
      </c>
      <c r="B443" s="380" t="str">
        <f>IFERROR(__xludf.DUMMYFUNCTION("""COMPUTED_VALUE"""),"Servicio De Reparacion Rodillo Sorter")</f>
        <v>Servicio De Reparacion Rodillo Sorter</v>
      </c>
      <c r="C443" s="380" t="str">
        <f>IFERROR(__xludf.DUMMYFUNCTION("""COMPUTED_VALUE"""),"41000177")</f>
        <v>41000177</v>
      </c>
      <c r="D443" s="380" t="s">
        <v>767</v>
      </c>
      <c r="E443" s="380" t="s">
        <v>1266</v>
      </c>
      <c r="F443" s="380" t="s">
        <v>976</v>
      </c>
      <c r="G443" s="380" t="s">
        <v>1267</v>
      </c>
      <c r="H443" s="380"/>
      <c r="I443" s="380" t="s">
        <v>1279</v>
      </c>
      <c r="J443" s="380" t="s">
        <v>1269</v>
      </c>
      <c r="K443" s="381">
        <v>0.0</v>
      </c>
      <c r="L443" s="382">
        <v>1.0</v>
      </c>
    </row>
    <row r="444">
      <c r="A444" s="380" t="s">
        <v>1282</v>
      </c>
      <c r="B444" s="380" t="str">
        <f>IFERROR(__xludf.DUMMYFUNCTION("""COMPUTED_VALUE"""),"Uniforme Ciclismo Hombre M")</f>
        <v>Uniforme Ciclismo Hombre M</v>
      </c>
      <c r="C444" s="380" t="str">
        <f>IFERROR(__xludf.DUMMYFUNCTION("""COMPUTED_VALUE"""),"10001238")</f>
        <v>10001238</v>
      </c>
      <c r="D444" s="380" t="s">
        <v>767</v>
      </c>
      <c r="E444" s="380" t="s">
        <v>768</v>
      </c>
      <c r="F444" s="380" t="s">
        <v>1283</v>
      </c>
      <c r="G444" s="380" t="s">
        <v>1267</v>
      </c>
      <c r="H444" s="380"/>
      <c r="I444" s="380" t="s">
        <v>1284</v>
      </c>
      <c r="J444" s="380" t="s">
        <v>773</v>
      </c>
      <c r="K444" s="381">
        <v>238077.0</v>
      </c>
      <c r="L444" s="382">
        <v>1.0</v>
      </c>
    </row>
    <row r="445">
      <c r="A445" s="380" t="s">
        <v>1285</v>
      </c>
      <c r="B445" s="380" t="str">
        <f>IFERROR(__xludf.DUMMYFUNCTION("""COMPUTED_VALUE"""),"Uniforme Ciclismo Hombre L")</f>
        <v>Uniforme Ciclismo Hombre L</v>
      </c>
      <c r="C445" s="380" t="str">
        <f>IFERROR(__xludf.DUMMYFUNCTION("""COMPUTED_VALUE"""),"10001239")</f>
        <v>10001239</v>
      </c>
      <c r="D445" s="380" t="s">
        <v>767</v>
      </c>
      <c r="E445" s="380" t="s">
        <v>768</v>
      </c>
      <c r="F445" s="380" t="s">
        <v>1283</v>
      </c>
      <c r="G445" s="380" t="s">
        <v>1267</v>
      </c>
      <c r="H445" s="380"/>
      <c r="I445" s="380" t="s">
        <v>1284</v>
      </c>
      <c r="J445" s="380" t="s">
        <v>773</v>
      </c>
      <c r="K445" s="381">
        <v>0.0</v>
      </c>
      <c r="L445" s="382">
        <v>1.0</v>
      </c>
    </row>
    <row r="446">
      <c r="A446" s="380" t="s">
        <v>1286</v>
      </c>
      <c r="B446" s="380" t="str">
        <f>IFERROR(__xludf.DUMMYFUNCTION("""COMPUTED_VALUE"""),"Uniforme Ciclismo Hombre XL")</f>
        <v>Uniforme Ciclismo Hombre XL</v>
      </c>
      <c r="C446" s="380" t="str">
        <f>IFERROR(__xludf.DUMMYFUNCTION("""COMPUTED_VALUE"""),"10001240")</f>
        <v>10001240</v>
      </c>
      <c r="D446" s="380" t="s">
        <v>767</v>
      </c>
      <c r="E446" s="380" t="s">
        <v>768</v>
      </c>
      <c r="F446" s="380" t="s">
        <v>1283</v>
      </c>
      <c r="G446" s="380" t="s">
        <v>1267</v>
      </c>
      <c r="H446" s="380"/>
      <c r="I446" s="380" t="s">
        <v>1284</v>
      </c>
      <c r="J446" s="380" t="s">
        <v>773</v>
      </c>
      <c r="K446" s="381">
        <v>238077.0</v>
      </c>
      <c r="L446" s="382">
        <v>1.0</v>
      </c>
    </row>
    <row r="447">
      <c r="A447" s="380" t="s">
        <v>1287</v>
      </c>
      <c r="B447" s="380" t="str">
        <f>IFERROR(__xludf.DUMMYFUNCTION("""COMPUTED_VALUE"""),"Uniforme Ciclismo Dama XS")</f>
        <v>Uniforme Ciclismo Dama XS</v>
      </c>
      <c r="C447" s="380" t="str">
        <f>IFERROR(__xludf.DUMMYFUNCTION("""COMPUTED_VALUE"""),"10001241")</f>
        <v>10001241</v>
      </c>
      <c r="D447" s="380" t="s">
        <v>767</v>
      </c>
      <c r="E447" s="380" t="s">
        <v>768</v>
      </c>
      <c r="F447" s="380" t="s">
        <v>1283</v>
      </c>
      <c r="G447" s="380" t="s">
        <v>1267</v>
      </c>
      <c r="H447" s="380"/>
      <c r="I447" s="380" t="s">
        <v>1284</v>
      </c>
      <c r="J447" s="380" t="s">
        <v>773</v>
      </c>
      <c r="K447" s="381">
        <v>231243.0</v>
      </c>
      <c r="L447" s="382">
        <v>1.0</v>
      </c>
    </row>
    <row r="448">
      <c r="A448" s="380" t="s">
        <v>1288</v>
      </c>
      <c r="B448" s="380" t="str">
        <f>IFERROR(__xludf.DUMMYFUNCTION("""COMPUTED_VALUE"""),"Uniforme Ciclismo Dama M")</f>
        <v>Uniforme Ciclismo Dama M</v>
      </c>
      <c r="C448" s="380" t="str">
        <f>IFERROR(__xludf.DUMMYFUNCTION("""COMPUTED_VALUE"""),"10001243")</f>
        <v>10001243</v>
      </c>
      <c r="D448" s="380" t="s">
        <v>767</v>
      </c>
      <c r="E448" s="380" t="s">
        <v>768</v>
      </c>
      <c r="F448" s="380" t="s">
        <v>1283</v>
      </c>
      <c r="G448" s="380" t="s">
        <v>1267</v>
      </c>
      <c r="H448" s="380"/>
      <c r="I448" s="380" t="s">
        <v>1284</v>
      </c>
      <c r="J448" s="380" t="s">
        <v>773</v>
      </c>
      <c r="K448" s="381">
        <v>231244.0</v>
      </c>
      <c r="L448" s="382">
        <v>1.0</v>
      </c>
    </row>
    <row r="449">
      <c r="A449" s="380" t="s">
        <v>1289</v>
      </c>
      <c r="B449" s="380" t="str">
        <f>IFERROR(__xludf.DUMMYFUNCTION("""COMPUTED_VALUE"""),"Uniforme Ciclismo Dama L")</f>
        <v>Uniforme Ciclismo Dama L</v>
      </c>
      <c r="C449" s="380" t="str">
        <f>IFERROR(__xludf.DUMMYFUNCTION("""COMPUTED_VALUE"""),"10001244")</f>
        <v>10001244</v>
      </c>
      <c r="D449" s="380" t="s">
        <v>767</v>
      </c>
      <c r="E449" s="380" t="s">
        <v>768</v>
      </c>
      <c r="F449" s="380" t="s">
        <v>1283</v>
      </c>
      <c r="G449" s="380" t="s">
        <v>1267</v>
      </c>
      <c r="H449" s="380"/>
      <c r="I449" s="380" t="s">
        <v>1284</v>
      </c>
      <c r="J449" s="380" t="s">
        <v>773</v>
      </c>
      <c r="K449" s="381">
        <v>231244.0</v>
      </c>
      <c r="L449" s="382">
        <v>1.0</v>
      </c>
    </row>
    <row r="450">
      <c r="A450" s="380" t="s">
        <v>1290</v>
      </c>
      <c r="B450" s="380" t="str">
        <f>IFERROR(__xludf.DUMMYFUNCTION("""COMPUTED_VALUE"""),"Uniforme Ciclismo Dama XL")</f>
        <v>Uniforme Ciclismo Dama XL</v>
      </c>
      <c r="C450" s="380" t="str">
        <f>IFERROR(__xludf.DUMMYFUNCTION("""COMPUTED_VALUE"""),"10001245")</f>
        <v>10001245</v>
      </c>
      <c r="D450" s="380" t="s">
        <v>767</v>
      </c>
      <c r="E450" s="380" t="s">
        <v>768</v>
      </c>
      <c r="F450" s="380" t="s">
        <v>1283</v>
      </c>
      <c r="G450" s="380" t="s">
        <v>1267</v>
      </c>
      <c r="H450" s="380"/>
      <c r="I450" s="380" t="s">
        <v>1284</v>
      </c>
      <c r="J450" s="380" t="s">
        <v>773</v>
      </c>
      <c r="K450" s="381">
        <v>231243.0</v>
      </c>
      <c r="L450" s="382">
        <v>1.0</v>
      </c>
    </row>
    <row r="451">
      <c r="A451" s="380" t="s">
        <v>1291</v>
      </c>
      <c r="B451" s="380" t="str">
        <f>IFERROR(__xludf.DUMMYFUNCTION("""COMPUTED_VALUE"""),"Camibuso Aliados Droop L")</f>
        <v>Camibuso Aliados Droop L</v>
      </c>
      <c r="C451" s="380" t="str">
        <f>IFERROR(__xludf.DUMMYFUNCTION("""COMPUTED_VALUE"""),"10001246")</f>
        <v>10001246</v>
      </c>
      <c r="D451" s="380" t="s">
        <v>767</v>
      </c>
      <c r="E451" s="380" t="s">
        <v>768</v>
      </c>
      <c r="F451" s="380" t="s">
        <v>1292</v>
      </c>
      <c r="G451" s="380" t="s">
        <v>1267</v>
      </c>
      <c r="H451" s="380"/>
      <c r="I451" s="380" t="s">
        <v>1284</v>
      </c>
      <c r="J451" s="380" t="s">
        <v>773</v>
      </c>
      <c r="K451" s="381">
        <v>39624.0</v>
      </c>
      <c r="L451" s="382">
        <v>1.0</v>
      </c>
    </row>
    <row r="452">
      <c r="A452" s="380" t="s">
        <v>1293</v>
      </c>
      <c r="B452" s="380" t="str">
        <f>IFERROR(__xludf.DUMMYFUNCTION("""COMPUTED_VALUE"""),"Camibuso Aliados Droop XL")</f>
        <v>Camibuso Aliados Droop XL</v>
      </c>
      <c r="C452" s="380" t="str">
        <f>IFERROR(__xludf.DUMMYFUNCTION("""COMPUTED_VALUE"""),"10001247")</f>
        <v>10001247</v>
      </c>
      <c r="D452" s="380" t="s">
        <v>767</v>
      </c>
      <c r="E452" s="380" t="s">
        <v>768</v>
      </c>
      <c r="F452" s="380" t="s">
        <v>1292</v>
      </c>
      <c r="G452" s="380" t="s">
        <v>1267</v>
      </c>
      <c r="H452" s="380"/>
      <c r="I452" s="380" t="s">
        <v>1284</v>
      </c>
      <c r="J452" s="380" t="s">
        <v>773</v>
      </c>
      <c r="K452" s="381">
        <v>39624.0</v>
      </c>
      <c r="L452" s="382">
        <v>1.0</v>
      </c>
    </row>
    <row r="453">
      <c r="A453" s="380" t="s">
        <v>1294</v>
      </c>
      <c r="B453" s="380" t="str">
        <f>IFERROR(__xludf.DUMMYFUNCTION("""COMPUTED_VALUE"""),"BROCA MANPOSTERIA 1/4""X4"" DE LARGO")</f>
        <v>BROCA MANPOSTERIA 1/4"X4" DE LARGO</v>
      </c>
      <c r="C453" s="380" t="str">
        <f>IFERROR(__xludf.DUMMYFUNCTION("""COMPUTED_VALUE"""),"50001942")</f>
        <v>50001942</v>
      </c>
      <c r="D453" s="380" t="s">
        <v>767</v>
      </c>
      <c r="E453" s="380" t="s">
        <v>781</v>
      </c>
      <c r="F453" s="380" t="s">
        <v>777</v>
      </c>
      <c r="G453" s="380" t="s">
        <v>1267</v>
      </c>
      <c r="H453" s="380"/>
      <c r="I453" s="380" t="s">
        <v>817</v>
      </c>
      <c r="J453" s="380" t="s">
        <v>773</v>
      </c>
      <c r="K453" s="381">
        <v>0.0</v>
      </c>
      <c r="L453" s="382">
        <v>1.0</v>
      </c>
    </row>
    <row r="454">
      <c r="A454" s="380" t="s">
        <v>1295</v>
      </c>
      <c r="B454" s="380" t="str">
        <f>IFERROR(__xludf.DUMMYFUNCTION("""COMPUTED_VALUE"""),"REFUER PARED FRONT FOT1045 7700149220859")</f>
        <v>REFUER PARED FRONT FOT1045 7700149220859</v>
      </c>
      <c r="C454" s="380" t="str">
        <f>IFERROR(__xludf.DUMMYFUNCTION("""COMPUTED_VALUE"""),"70007889")</f>
        <v>70007889</v>
      </c>
      <c r="D454" s="380" t="s">
        <v>767</v>
      </c>
      <c r="E454" s="380" t="s">
        <v>786</v>
      </c>
      <c r="F454" s="380" t="s">
        <v>792</v>
      </c>
      <c r="G454" s="380" t="s">
        <v>1267</v>
      </c>
      <c r="H454" s="380"/>
      <c r="I454" s="380" t="s">
        <v>788</v>
      </c>
      <c r="J454" s="380" t="s">
        <v>773</v>
      </c>
      <c r="K454" s="381">
        <v>0.0</v>
      </c>
      <c r="L454" s="382">
        <v>1.0</v>
      </c>
    </row>
    <row r="455">
      <c r="A455" s="380" t="s">
        <v>1296</v>
      </c>
      <c r="B455" s="380" t="str">
        <f>IFERROR(__xludf.DUMMYFUNCTION("""COMPUTED_VALUE"""),"PERSIANA FRONT FOT1045 EVI 7705946684552")</f>
        <v>PERSIANA FRONT FOT1045 EVI 7705946684552</v>
      </c>
      <c r="C455" s="380" t="str">
        <f>IFERROR(__xludf.DUMMYFUNCTION("""COMPUTED_VALUE"""),"70007890")</f>
        <v>70007890</v>
      </c>
      <c r="D455" s="380" t="s">
        <v>767</v>
      </c>
      <c r="E455" s="380" t="s">
        <v>786</v>
      </c>
      <c r="F455" s="380" t="s">
        <v>792</v>
      </c>
      <c r="G455" s="380" t="s">
        <v>1267</v>
      </c>
      <c r="H455" s="380"/>
      <c r="I455" s="380" t="s">
        <v>788</v>
      </c>
      <c r="J455" s="380" t="s">
        <v>773</v>
      </c>
      <c r="K455" s="381">
        <v>0.0</v>
      </c>
      <c r="L455" s="382">
        <v>1.0</v>
      </c>
    </row>
    <row r="456">
      <c r="A456" s="380" t="s">
        <v>1297</v>
      </c>
      <c r="B456" s="380" t="str">
        <f>IFERROR(__xludf.DUMMYFUNCTION("""COMPUTED_VALUE"""),"BLOQUE MOTOR 4JJ1 EURO 2 8982746620")</f>
        <v>BLOQUE MOTOR 4JJ1 EURO 2 8982746620</v>
      </c>
      <c r="C456" s="380" t="str">
        <f>IFERROR(__xludf.DUMMYFUNCTION("""COMPUTED_VALUE"""),"70007892")</f>
        <v>70007892</v>
      </c>
      <c r="D456" s="380" t="s">
        <v>767</v>
      </c>
      <c r="E456" s="380" t="s">
        <v>786</v>
      </c>
      <c r="F456" s="380" t="s">
        <v>787</v>
      </c>
      <c r="G456" s="380" t="s">
        <v>1267</v>
      </c>
      <c r="H456" s="380"/>
      <c r="I456" s="380" t="s">
        <v>788</v>
      </c>
      <c r="J456" s="380" t="s">
        <v>773</v>
      </c>
      <c r="K456" s="381">
        <v>0.0</v>
      </c>
      <c r="L456" s="382">
        <v>1.0</v>
      </c>
    </row>
    <row r="457">
      <c r="A457" s="380" t="s">
        <v>1298</v>
      </c>
      <c r="B457" s="380" t="str">
        <f>IFERROR(__xludf.DUMMYFUNCTION("""COMPUTED_VALUE"""),"Cabezote Compresor Aire Montallantas")</f>
        <v>Cabezote Compresor Aire Montallantas</v>
      </c>
      <c r="C457" s="380" t="str">
        <f>IFERROR(__xludf.DUMMYFUNCTION("""COMPUTED_VALUE"""),"10000222")</f>
        <v>10000222</v>
      </c>
      <c r="D457" s="380" t="s">
        <v>767</v>
      </c>
      <c r="E457" s="380" t="s">
        <v>768</v>
      </c>
      <c r="F457" s="380" t="s">
        <v>1278</v>
      </c>
      <c r="G457" s="380" t="s">
        <v>1267</v>
      </c>
      <c r="H457" s="380" t="s">
        <v>771</v>
      </c>
      <c r="I457" s="380" t="s">
        <v>817</v>
      </c>
      <c r="J457" s="380" t="s">
        <v>773</v>
      </c>
      <c r="K457" s="381">
        <v>0.0</v>
      </c>
      <c r="L457" s="382">
        <v>1.0</v>
      </c>
    </row>
    <row r="458">
      <c r="A458" s="380" t="s">
        <v>1299</v>
      </c>
      <c r="B458" s="380" t="str">
        <f>IFERROR(__xludf.DUMMYFUNCTION("""COMPUTED_VALUE"""),"Llanta Neumatica Maquina Lavadora 8x2")</f>
        <v>Llanta Neumatica Maquina Lavadora 8x2</v>
      </c>
      <c r="C458" s="380" t="str">
        <f>IFERROR(__xludf.DUMMYFUNCTION("""COMPUTED_VALUE"""),"10000223")</f>
        <v>10000223</v>
      </c>
      <c r="D458" s="380" t="s">
        <v>767</v>
      </c>
      <c r="E458" s="380" t="s">
        <v>768</v>
      </c>
      <c r="F458" s="380" t="s">
        <v>1278</v>
      </c>
      <c r="G458" s="380" t="s">
        <v>1267</v>
      </c>
      <c r="H458" s="380" t="s">
        <v>771</v>
      </c>
      <c r="I458" s="380" t="s">
        <v>817</v>
      </c>
      <c r="J458" s="380" t="s">
        <v>773</v>
      </c>
      <c r="K458" s="381">
        <v>25025.0</v>
      </c>
      <c r="L458" s="382">
        <v>1.0</v>
      </c>
    </row>
    <row r="459">
      <c r="A459" s="380" t="s">
        <v>1300</v>
      </c>
      <c r="B459" s="380" t="str">
        <f>IFERROR(__xludf.DUMMYFUNCTION("""COMPUTED_VALUE"""),"Filtro Sedimentos Dispensador Agua")</f>
        <v>Filtro Sedimentos Dispensador Agua</v>
      </c>
      <c r="C459" s="380" t="str">
        <f>IFERROR(__xludf.DUMMYFUNCTION("""COMPUTED_VALUE"""),"10000224")</f>
        <v>10000224</v>
      </c>
      <c r="D459" s="380" t="s">
        <v>767</v>
      </c>
      <c r="E459" s="380" t="s">
        <v>768</v>
      </c>
      <c r="F459" s="380" t="s">
        <v>1278</v>
      </c>
      <c r="G459" s="380" t="s">
        <v>1267</v>
      </c>
      <c r="H459" s="380" t="s">
        <v>771</v>
      </c>
      <c r="I459" s="380" t="s">
        <v>817</v>
      </c>
      <c r="J459" s="380" t="s">
        <v>773</v>
      </c>
      <c r="K459" s="381">
        <v>0.0</v>
      </c>
      <c r="L459" s="382">
        <v>1.0</v>
      </c>
    </row>
    <row r="460">
      <c r="A460" s="380" t="s">
        <v>1301</v>
      </c>
      <c r="B460" s="380" t="str">
        <f>IFERROR(__xludf.DUMMYFUNCTION("""COMPUTED_VALUE"""),"Rueda Traccion M. Lavado Fabricada")</f>
        <v>Rueda Traccion M. Lavado Fabricada</v>
      </c>
      <c r="C460" s="380" t="str">
        <f>IFERROR(__xludf.DUMMYFUNCTION("""COMPUTED_VALUE"""),"10000225")</f>
        <v>10000225</v>
      </c>
      <c r="D460" s="380" t="s">
        <v>767</v>
      </c>
      <c r="E460" s="380" t="s">
        <v>768</v>
      </c>
      <c r="F460" s="380" t="s">
        <v>1278</v>
      </c>
      <c r="G460" s="380" t="s">
        <v>1267</v>
      </c>
      <c r="H460" s="380" t="s">
        <v>771</v>
      </c>
      <c r="I460" s="380" t="s">
        <v>817</v>
      </c>
      <c r="J460" s="380" t="s">
        <v>773</v>
      </c>
      <c r="K460" s="381">
        <v>0.0</v>
      </c>
      <c r="L460" s="382">
        <v>1.0</v>
      </c>
    </row>
    <row r="461">
      <c r="A461" s="380" t="s">
        <v>1302</v>
      </c>
      <c r="B461" s="380" t="str">
        <f>IFERROR(__xludf.DUMMYFUNCTION("""COMPUTED_VALUE"""),"Filtro Aire Compresor")</f>
        <v>Filtro Aire Compresor</v>
      </c>
      <c r="C461" s="380" t="str">
        <f>IFERROR(__xludf.DUMMYFUNCTION("""COMPUTED_VALUE"""),"10000226")</f>
        <v>10000226</v>
      </c>
      <c r="D461" s="380" t="s">
        <v>767</v>
      </c>
      <c r="E461" s="380" t="s">
        <v>768</v>
      </c>
      <c r="F461" s="380" t="s">
        <v>1278</v>
      </c>
      <c r="G461" s="380" t="s">
        <v>1267</v>
      </c>
      <c r="H461" s="380" t="s">
        <v>771</v>
      </c>
      <c r="I461" s="380" t="s">
        <v>817</v>
      </c>
      <c r="J461" s="380" t="s">
        <v>773</v>
      </c>
      <c r="K461" s="381">
        <v>0.0</v>
      </c>
      <c r="L461" s="382">
        <v>1.0</v>
      </c>
    </row>
    <row r="462">
      <c r="A462" s="380" t="s">
        <v>1303</v>
      </c>
      <c r="B462" s="380" t="str">
        <f>IFERROR(__xludf.DUMMYFUNCTION("""COMPUTED_VALUE"""),"Filtro Aceite Wd950 Compresor")</f>
        <v>Filtro Aceite Wd950 Compresor</v>
      </c>
      <c r="C462" s="380" t="str">
        <f>IFERROR(__xludf.DUMMYFUNCTION("""COMPUTED_VALUE"""),"10000227")</f>
        <v>10000227</v>
      </c>
      <c r="D462" s="380" t="s">
        <v>767</v>
      </c>
      <c r="E462" s="380" t="s">
        <v>768</v>
      </c>
      <c r="F462" s="380" t="s">
        <v>1278</v>
      </c>
      <c r="G462" s="380" t="s">
        <v>1267</v>
      </c>
      <c r="H462" s="380" t="s">
        <v>771</v>
      </c>
      <c r="I462" s="380" t="s">
        <v>817</v>
      </c>
      <c r="J462" s="380" t="s">
        <v>773</v>
      </c>
      <c r="K462" s="381">
        <v>0.0</v>
      </c>
      <c r="L462" s="382">
        <v>1.0</v>
      </c>
    </row>
    <row r="463">
      <c r="A463" s="380" t="s">
        <v>1304</v>
      </c>
      <c r="B463" s="380" t="str">
        <f>IFERROR(__xludf.DUMMYFUNCTION("""COMPUTED_VALUE"""),"Filtro Separadaor Agua Compresor")</f>
        <v>Filtro Separadaor Agua Compresor</v>
      </c>
      <c r="C463" s="380" t="str">
        <f>IFERROR(__xludf.DUMMYFUNCTION("""COMPUTED_VALUE"""),"10000228")</f>
        <v>10000228</v>
      </c>
      <c r="D463" s="380" t="s">
        <v>767</v>
      </c>
      <c r="E463" s="380" t="s">
        <v>768</v>
      </c>
      <c r="F463" s="380" t="s">
        <v>1278</v>
      </c>
      <c r="G463" s="380" t="s">
        <v>1267</v>
      </c>
      <c r="H463" s="380" t="s">
        <v>771</v>
      </c>
      <c r="I463" s="380" t="s">
        <v>817</v>
      </c>
      <c r="J463" s="380" t="s">
        <v>773</v>
      </c>
      <c r="K463" s="381">
        <v>0.0</v>
      </c>
      <c r="L463" s="382">
        <v>1.0</v>
      </c>
    </row>
    <row r="464">
      <c r="A464" s="380" t="s">
        <v>1305</v>
      </c>
      <c r="B464" s="380" t="str">
        <f>IFERROR(__xludf.DUMMYFUNCTION("""COMPUTED_VALUE"""),"Motor Elect 110v-220vMonof Eje16MmCuñero")</f>
        <v>Motor Elect 110v-220vMonof Eje16MmCuñero</v>
      </c>
      <c r="C464" s="380" t="str">
        <f>IFERROR(__xludf.DUMMYFUNCTION("""COMPUTED_VALUE"""),"10000229")</f>
        <v>10000229</v>
      </c>
      <c r="D464" s="380" t="s">
        <v>767</v>
      </c>
      <c r="E464" s="380" t="s">
        <v>768</v>
      </c>
      <c r="F464" s="380" t="s">
        <v>1278</v>
      </c>
      <c r="G464" s="380" t="s">
        <v>1267</v>
      </c>
      <c r="H464" s="380" t="s">
        <v>771</v>
      </c>
      <c r="I464" s="380" t="s">
        <v>817</v>
      </c>
      <c r="J464" s="380" t="s">
        <v>773</v>
      </c>
      <c r="K464" s="381">
        <v>0.0</v>
      </c>
      <c r="L464" s="382">
        <v>1.0</v>
      </c>
    </row>
    <row r="465">
      <c r="A465" s="380" t="s">
        <v>1306</v>
      </c>
      <c r="B465" s="380" t="str">
        <f>IFERROR(__xludf.DUMMYFUNCTION("""COMPUTED_VALUE"""),"Silicona Liquida De 100ml")</f>
        <v>Silicona Liquida De 100ml</v>
      </c>
      <c r="C465" s="380" t="str">
        <f>IFERROR(__xludf.DUMMYFUNCTION("""COMPUTED_VALUE"""),"10000230")</f>
        <v>10000230</v>
      </c>
      <c r="D465" s="380" t="s">
        <v>767</v>
      </c>
      <c r="E465" s="380" t="s">
        <v>768</v>
      </c>
      <c r="F465" s="380" t="s">
        <v>797</v>
      </c>
      <c r="G465" s="380" t="s">
        <v>1267</v>
      </c>
      <c r="H465" s="380" t="s">
        <v>771</v>
      </c>
      <c r="I465" s="380" t="s">
        <v>799</v>
      </c>
      <c r="J465" s="380" t="s">
        <v>773</v>
      </c>
      <c r="K465" s="381">
        <v>0.0</v>
      </c>
      <c r="L465" s="382">
        <v>1.0</v>
      </c>
    </row>
    <row r="466">
      <c r="A466" s="380" t="s">
        <v>1307</v>
      </c>
      <c r="B466" s="380" t="str">
        <f>IFERROR(__xludf.DUMMYFUNCTION("""COMPUTED_VALUE"""),"Papelera Pedal 10 Litros")</f>
        <v>Papelera Pedal 10 Litros</v>
      </c>
      <c r="C466" s="380" t="str">
        <f>IFERROR(__xludf.DUMMYFUNCTION("""COMPUTED_VALUE"""),"10000231")</f>
        <v>10000231</v>
      </c>
      <c r="D466" s="380" t="s">
        <v>767</v>
      </c>
      <c r="E466" s="380" t="s">
        <v>768</v>
      </c>
      <c r="F466" s="380" t="s">
        <v>769</v>
      </c>
      <c r="G466" s="380" t="s">
        <v>1267</v>
      </c>
      <c r="H466" s="380" t="s">
        <v>771</v>
      </c>
      <c r="I466" s="380" t="s">
        <v>772</v>
      </c>
      <c r="J466" s="380" t="s">
        <v>773</v>
      </c>
      <c r="K466" s="381">
        <v>0.0</v>
      </c>
      <c r="L466" s="382">
        <v>1.0</v>
      </c>
    </row>
    <row r="467">
      <c r="A467" s="380" t="s">
        <v>1308</v>
      </c>
      <c r="B467" s="380" t="str">
        <f>IFERROR(__xludf.DUMMYFUNCTION("""COMPUTED_VALUE"""),"Etiquetas Activos Fijos")</f>
        <v>Etiquetas Activos Fijos</v>
      </c>
      <c r="C467" s="380" t="str">
        <f>IFERROR(__xludf.DUMMYFUNCTION("""COMPUTED_VALUE"""),"10000232")</f>
        <v>10000232</v>
      </c>
      <c r="D467" s="380" t="s">
        <v>767</v>
      </c>
      <c r="E467" s="380" t="s">
        <v>768</v>
      </c>
      <c r="F467" s="380" t="s">
        <v>797</v>
      </c>
      <c r="G467" s="380" t="s">
        <v>1267</v>
      </c>
      <c r="H467" s="380" t="s">
        <v>771</v>
      </c>
      <c r="I467" s="380" t="s">
        <v>799</v>
      </c>
      <c r="J467" s="380" t="s">
        <v>773</v>
      </c>
      <c r="K467" s="381">
        <v>0.0</v>
      </c>
      <c r="L467" s="382">
        <v>1.0</v>
      </c>
    </row>
    <row r="468">
      <c r="A468" s="380" t="s">
        <v>1309</v>
      </c>
      <c r="B468" s="380" t="str">
        <f>IFERROR(__xludf.DUMMYFUNCTION("""COMPUTED_VALUE"""),"Almohadilla Sello Numerad Auto")</f>
        <v>Almohadilla Sello Numerad Auto</v>
      </c>
      <c r="C468" s="380" t="str">
        <f>IFERROR(__xludf.DUMMYFUNCTION("""COMPUTED_VALUE"""),"10000233")</f>
        <v>10000233</v>
      </c>
      <c r="D468" s="380" t="s">
        <v>767</v>
      </c>
      <c r="E468" s="380" t="s">
        <v>768</v>
      </c>
      <c r="F468" s="380" t="s">
        <v>797</v>
      </c>
      <c r="G468" s="380" t="s">
        <v>1267</v>
      </c>
      <c r="H468" s="380" t="s">
        <v>771</v>
      </c>
      <c r="I468" s="380" t="s">
        <v>799</v>
      </c>
      <c r="J468" s="380" t="s">
        <v>773</v>
      </c>
      <c r="K468" s="381">
        <v>0.0</v>
      </c>
      <c r="L468" s="382">
        <v>1.0</v>
      </c>
    </row>
    <row r="469">
      <c r="A469" s="380" t="s">
        <v>1310</v>
      </c>
      <c r="B469" s="380" t="str">
        <f>IFERROR(__xludf.DUMMYFUNCTION("""COMPUTED_VALUE"""),"Modulo Para Droop")</f>
        <v>Modulo Para Droop</v>
      </c>
      <c r="C469" s="380" t="str">
        <f>IFERROR(__xludf.DUMMYFUNCTION("""COMPUTED_VALUE"""),"10000234")</f>
        <v>10000234</v>
      </c>
      <c r="D469" s="380" t="s">
        <v>767</v>
      </c>
      <c r="E469" s="380" t="s">
        <v>768</v>
      </c>
      <c r="F469" s="380" t="s">
        <v>797</v>
      </c>
      <c r="G469" s="380" t="s">
        <v>1267</v>
      </c>
      <c r="H469" s="380" t="s">
        <v>771</v>
      </c>
      <c r="I469" s="380" t="s">
        <v>799</v>
      </c>
      <c r="J469" s="380" t="s">
        <v>773</v>
      </c>
      <c r="K469" s="381">
        <v>4124148.0</v>
      </c>
      <c r="L469" s="382">
        <v>1.0</v>
      </c>
    </row>
    <row r="470">
      <c r="A470" s="380" t="s">
        <v>1311</v>
      </c>
      <c r="B470" s="380" t="str">
        <f>IFERROR(__xludf.DUMMYFUNCTION("""COMPUTED_VALUE"""),"Bolsa Papel Kraft Varias")</f>
        <v>Bolsa Papel Kraft Varias</v>
      </c>
      <c r="C470" s="380" t="str">
        <f>IFERROR(__xludf.DUMMYFUNCTION("""COMPUTED_VALUE"""),"10000235")</f>
        <v>10000235</v>
      </c>
      <c r="D470" s="380" t="s">
        <v>767</v>
      </c>
      <c r="E470" s="380" t="s">
        <v>768</v>
      </c>
      <c r="F470" s="380" t="s">
        <v>769</v>
      </c>
      <c r="G470" s="380" t="s">
        <v>1267</v>
      </c>
      <c r="H470" s="380" t="s">
        <v>771</v>
      </c>
      <c r="I470" s="380" t="s">
        <v>772</v>
      </c>
      <c r="J470" s="380" t="s">
        <v>773</v>
      </c>
      <c r="K470" s="381">
        <v>0.0</v>
      </c>
      <c r="L470" s="382">
        <v>1.0</v>
      </c>
    </row>
    <row r="471">
      <c r="A471" s="380" t="s">
        <v>1312</v>
      </c>
      <c r="B471" s="380" t="str">
        <f>IFERROR(__xludf.DUMMYFUNCTION("""COMPUTED_VALUE"""),"Aserrin Bulto")</f>
        <v>Aserrin Bulto</v>
      </c>
      <c r="C471" s="380" t="str">
        <f>IFERROR(__xludf.DUMMYFUNCTION("""COMPUTED_VALUE"""),"10000236")</f>
        <v>10000236</v>
      </c>
      <c r="D471" s="380" t="s">
        <v>767</v>
      </c>
      <c r="E471" s="380" t="s">
        <v>768</v>
      </c>
      <c r="F471" s="380" t="s">
        <v>769</v>
      </c>
      <c r="G471" s="380" t="s">
        <v>1267</v>
      </c>
      <c r="H471" s="380" t="s">
        <v>771</v>
      </c>
      <c r="I471" s="380" t="s">
        <v>772</v>
      </c>
      <c r="J471" s="380" t="s">
        <v>773</v>
      </c>
      <c r="K471" s="381">
        <v>0.0</v>
      </c>
      <c r="L471" s="382">
        <v>1.0</v>
      </c>
    </row>
    <row r="472">
      <c r="A472" s="380" t="s">
        <v>1313</v>
      </c>
      <c r="B472" s="380" t="str">
        <f>IFERROR(__xludf.DUMMYFUNCTION("""COMPUTED_VALUE"""),"Cosedora")</f>
        <v>Cosedora</v>
      </c>
      <c r="C472" s="380" t="str">
        <f>IFERROR(__xludf.DUMMYFUNCTION("""COMPUTED_VALUE"""),"10000237")</f>
        <v>10000237</v>
      </c>
      <c r="D472" s="380" t="s">
        <v>767</v>
      </c>
      <c r="E472" s="380" t="s">
        <v>768</v>
      </c>
      <c r="F472" s="380" t="s">
        <v>797</v>
      </c>
      <c r="G472" s="380" t="s">
        <v>1267</v>
      </c>
      <c r="H472" s="380" t="s">
        <v>771</v>
      </c>
      <c r="I472" s="380" t="s">
        <v>799</v>
      </c>
      <c r="J472" s="380" t="s">
        <v>773</v>
      </c>
      <c r="K472" s="381">
        <v>9501.0</v>
      </c>
      <c r="L472" s="382">
        <v>1.0</v>
      </c>
    </row>
    <row r="473">
      <c r="A473" s="380" t="s">
        <v>1314</v>
      </c>
      <c r="B473" s="380" t="str">
        <f>IFERROR(__xludf.DUMMYFUNCTION("""COMPUTED_VALUE"""),"Vaso Desechable Transp Eventos")</f>
        <v>Vaso Desechable Transp Eventos</v>
      </c>
      <c r="C473" s="380" t="str">
        <f>IFERROR(__xludf.DUMMYFUNCTION("""COMPUTED_VALUE"""),"10000238")</f>
        <v>10000238</v>
      </c>
      <c r="D473" s="380" t="s">
        <v>767</v>
      </c>
      <c r="E473" s="380" t="s">
        <v>768</v>
      </c>
      <c r="F473" s="380" t="s">
        <v>803</v>
      </c>
      <c r="G473" s="380" t="s">
        <v>1267</v>
      </c>
      <c r="H473" s="380" t="s">
        <v>771</v>
      </c>
      <c r="I473" s="380" t="s">
        <v>772</v>
      </c>
      <c r="J473" s="380" t="s">
        <v>773</v>
      </c>
      <c r="K473" s="381">
        <v>0.0</v>
      </c>
      <c r="L473" s="382">
        <v>1.0</v>
      </c>
    </row>
    <row r="474">
      <c r="A474" s="380" t="s">
        <v>1315</v>
      </c>
      <c r="B474" s="380" t="str">
        <f>IFERROR(__xludf.DUMMYFUNCTION("""COMPUTED_VALUE"""),"Recibo Caja Menor R-2002")</f>
        <v>Recibo Caja Menor R-2002</v>
      </c>
      <c r="C474" s="380" t="str">
        <f>IFERROR(__xludf.DUMMYFUNCTION("""COMPUTED_VALUE"""),"10000239")</f>
        <v>10000239</v>
      </c>
      <c r="D474" s="380" t="s">
        <v>767</v>
      </c>
      <c r="E474" s="380" t="s">
        <v>768</v>
      </c>
      <c r="F474" s="380" t="s">
        <v>797</v>
      </c>
      <c r="G474" s="380" t="s">
        <v>1267</v>
      </c>
      <c r="H474" s="380" t="s">
        <v>771</v>
      </c>
      <c r="I474" s="380" t="s">
        <v>799</v>
      </c>
      <c r="J474" s="380" t="s">
        <v>773</v>
      </c>
      <c r="K474" s="381">
        <v>2539.0</v>
      </c>
      <c r="L474" s="382">
        <v>1.0</v>
      </c>
    </row>
    <row r="475">
      <c r="A475" s="380" t="s">
        <v>1316</v>
      </c>
      <c r="B475" s="380" t="str">
        <f>IFERROR(__xludf.DUMMYFUNCTION("""COMPUTED_VALUE"""),"Recibo Caja Oficial R-2005")</f>
        <v>Recibo Caja Oficial R-2005</v>
      </c>
      <c r="C475" s="380" t="str">
        <f>IFERROR(__xludf.DUMMYFUNCTION("""COMPUTED_VALUE"""),"10000240")</f>
        <v>10000240</v>
      </c>
      <c r="D475" s="380" t="s">
        <v>767</v>
      </c>
      <c r="E475" s="380" t="s">
        <v>768</v>
      </c>
      <c r="F475" s="380" t="s">
        <v>797</v>
      </c>
      <c r="G475" s="380" t="s">
        <v>1267</v>
      </c>
      <c r="H475" s="380" t="s">
        <v>771</v>
      </c>
      <c r="I475" s="380" t="s">
        <v>799</v>
      </c>
      <c r="J475" s="380" t="s">
        <v>773</v>
      </c>
      <c r="K475" s="381">
        <v>0.0</v>
      </c>
      <c r="L475" s="382">
        <v>1.0</v>
      </c>
    </row>
    <row r="476">
      <c r="A476" s="380" t="s">
        <v>1317</v>
      </c>
      <c r="B476" s="380" t="str">
        <f>IFERROR(__xludf.DUMMYFUNCTION("""COMPUTED_VALUE"""),"Recogedor De Basura")</f>
        <v>Recogedor De Basura</v>
      </c>
      <c r="C476" s="380" t="str">
        <f>IFERROR(__xludf.DUMMYFUNCTION("""COMPUTED_VALUE"""),"10000241")</f>
        <v>10000241</v>
      </c>
      <c r="D476" s="380" t="s">
        <v>767</v>
      </c>
      <c r="E476" s="380" t="s">
        <v>768</v>
      </c>
      <c r="F476" s="380" t="s">
        <v>769</v>
      </c>
      <c r="G476" s="380" t="s">
        <v>1267</v>
      </c>
      <c r="H476" s="380" t="s">
        <v>771</v>
      </c>
      <c r="I476" s="380" t="s">
        <v>772</v>
      </c>
      <c r="J476" s="380" t="s">
        <v>773</v>
      </c>
      <c r="K476" s="381">
        <v>3326.0</v>
      </c>
      <c r="L476" s="382">
        <v>1.0</v>
      </c>
    </row>
    <row r="477">
      <c r="A477" s="380" t="s">
        <v>1318</v>
      </c>
      <c r="B477" s="380" t="str">
        <f>IFERROR(__xludf.DUMMYFUNCTION("""COMPUTED_VALUE"""),"Tijera Corta Dotacion 8-10 P")</f>
        <v>Tijera Corta Dotacion 8-10 P</v>
      </c>
      <c r="C477" s="380" t="str">
        <f>IFERROR(__xludf.DUMMYFUNCTION("""COMPUTED_VALUE"""),"10000242")</f>
        <v>10000242</v>
      </c>
      <c r="D477" s="380" t="s">
        <v>767</v>
      </c>
      <c r="E477" s="380" t="s">
        <v>768</v>
      </c>
      <c r="F477" s="380" t="s">
        <v>797</v>
      </c>
      <c r="G477" s="380" t="s">
        <v>1267</v>
      </c>
      <c r="H477" s="380" t="s">
        <v>771</v>
      </c>
      <c r="I477" s="380" t="s">
        <v>799</v>
      </c>
      <c r="J477" s="380" t="s">
        <v>773</v>
      </c>
      <c r="K477" s="381">
        <v>0.0</v>
      </c>
      <c r="L477" s="382">
        <v>1.0</v>
      </c>
    </row>
    <row r="478">
      <c r="A478" s="380" t="s">
        <v>1319</v>
      </c>
      <c r="B478" s="380" t="str">
        <f>IFERROR(__xludf.DUMMYFUNCTION("""COMPUTED_VALUE"""),"Bolsa Para Desecho Canin 10x14")</f>
        <v>Bolsa Para Desecho Canin 10x14</v>
      </c>
      <c r="C478" s="380" t="str">
        <f>IFERROR(__xludf.DUMMYFUNCTION("""COMPUTED_VALUE"""),"10000243")</f>
        <v>10000243</v>
      </c>
      <c r="D478" s="380" t="s">
        <v>767</v>
      </c>
      <c r="E478" s="380" t="s">
        <v>768</v>
      </c>
      <c r="F478" s="380" t="s">
        <v>769</v>
      </c>
      <c r="G478" s="380" t="s">
        <v>1267</v>
      </c>
      <c r="H478" s="380" t="s">
        <v>771</v>
      </c>
      <c r="I478" s="380" t="s">
        <v>772</v>
      </c>
      <c r="J478" s="380" t="s">
        <v>773</v>
      </c>
      <c r="K478" s="381">
        <v>0.0</v>
      </c>
      <c r="L478" s="382">
        <v>1.0</v>
      </c>
    </row>
    <row r="479">
      <c r="A479" s="380" t="s">
        <v>1320</v>
      </c>
      <c r="B479" s="380" t="str">
        <f>IFERROR(__xludf.DUMMYFUNCTION("""COMPUTED_VALUE"""),"Tinta Hp 664 Xl Negra")</f>
        <v>Tinta Hp 664 Xl Negra</v>
      </c>
      <c r="C479" s="380" t="str">
        <f>IFERROR(__xludf.DUMMYFUNCTION("""COMPUTED_VALUE"""),"10000244")</f>
        <v>10000244</v>
      </c>
      <c r="D479" s="380" t="s">
        <v>767</v>
      </c>
      <c r="E479" s="380" t="s">
        <v>768</v>
      </c>
      <c r="F479" s="380" t="s">
        <v>797</v>
      </c>
      <c r="G479" s="380" t="s">
        <v>1267</v>
      </c>
      <c r="H479" s="380" t="s">
        <v>771</v>
      </c>
      <c r="I479" s="380" t="s">
        <v>799</v>
      </c>
      <c r="J479" s="380" t="s">
        <v>773</v>
      </c>
      <c r="K479" s="381">
        <v>0.0</v>
      </c>
      <c r="L479" s="382">
        <v>1.0</v>
      </c>
    </row>
    <row r="480">
      <c r="A480" s="380" t="s">
        <v>1321</v>
      </c>
      <c r="B480" s="380" t="str">
        <f>IFERROR(__xludf.DUMMYFUNCTION("""COMPUTED_VALUE"""),"Tinta Hp 664 Xl Color")</f>
        <v>Tinta Hp 664 Xl Color</v>
      </c>
      <c r="C480" s="380" t="str">
        <f>IFERROR(__xludf.DUMMYFUNCTION("""COMPUTED_VALUE"""),"10000245")</f>
        <v>10000245</v>
      </c>
      <c r="D480" s="380" t="s">
        <v>767</v>
      </c>
      <c r="E480" s="380" t="s">
        <v>768</v>
      </c>
      <c r="F480" s="380" t="s">
        <v>797</v>
      </c>
      <c r="G480" s="380" t="s">
        <v>1267</v>
      </c>
      <c r="H480" s="380" t="s">
        <v>771</v>
      </c>
      <c r="I480" s="380" t="s">
        <v>799</v>
      </c>
      <c r="J480" s="380" t="s">
        <v>773</v>
      </c>
      <c r="K480" s="381">
        <v>0.0</v>
      </c>
      <c r="L480" s="382">
        <v>1.0</v>
      </c>
    </row>
    <row r="481">
      <c r="A481" s="380" t="s">
        <v>1322</v>
      </c>
      <c r="B481" s="380" t="str">
        <f>IFERROR(__xludf.DUMMYFUNCTION("""COMPUTED_VALUE"""),"Kit Escolar")</f>
        <v>Kit Escolar</v>
      </c>
      <c r="C481" s="380" t="str">
        <f>IFERROR(__xludf.DUMMYFUNCTION("""COMPUTED_VALUE"""),"10000246")</f>
        <v>10000246</v>
      </c>
      <c r="D481" s="380" t="s">
        <v>767</v>
      </c>
      <c r="E481" s="380" t="s">
        <v>768</v>
      </c>
      <c r="F481" s="380" t="s">
        <v>797</v>
      </c>
      <c r="G481" s="380" t="s">
        <v>1267</v>
      </c>
      <c r="H481" s="380" t="s">
        <v>771</v>
      </c>
      <c r="I481" s="380" t="s">
        <v>799</v>
      </c>
      <c r="J481" s="380" t="s">
        <v>773</v>
      </c>
      <c r="K481" s="381">
        <v>0.0</v>
      </c>
      <c r="L481" s="382">
        <v>1.0</v>
      </c>
    </row>
    <row r="482">
      <c r="A482" s="380" t="s">
        <v>1323</v>
      </c>
      <c r="B482" s="380" t="str">
        <f>IFERROR(__xludf.DUMMYFUNCTION("""COMPUTED_VALUE"""),"Paral Estanteria Gris Cali 16")</f>
        <v>Paral Estanteria Gris Cali 16</v>
      </c>
      <c r="C482" s="380" t="str">
        <f>IFERROR(__xludf.DUMMYFUNCTION("""COMPUTED_VALUE"""),"10000247")</f>
        <v>10000247</v>
      </c>
      <c r="D482" s="380" t="s">
        <v>767</v>
      </c>
      <c r="E482" s="380" t="s">
        <v>768</v>
      </c>
      <c r="F482" s="380" t="s">
        <v>797</v>
      </c>
      <c r="G482" s="380" t="s">
        <v>1267</v>
      </c>
      <c r="H482" s="380" t="s">
        <v>771</v>
      </c>
      <c r="I482" s="380" t="s">
        <v>799</v>
      </c>
      <c r="J482" s="380" t="s">
        <v>773</v>
      </c>
      <c r="K482" s="381">
        <v>0.0</v>
      </c>
      <c r="L482" s="382">
        <v>1.0</v>
      </c>
    </row>
    <row r="483">
      <c r="A483" s="380" t="s">
        <v>1324</v>
      </c>
      <c r="B483" s="380" t="str">
        <f>IFERROR(__xludf.DUMMYFUNCTION("""COMPUTED_VALUE"""),"Entrepaño De 30x90 Calibre 20")</f>
        <v>Entrepaño De 30x90 Calibre 20</v>
      </c>
      <c r="C483" s="380" t="str">
        <f>IFERROR(__xludf.DUMMYFUNCTION("""COMPUTED_VALUE"""),"10000248")</f>
        <v>10000248</v>
      </c>
      <c r="D483" s="380" t="s">
        <v>767</v>
      </c>
      <c r="E483" s="380" t="s">
        <v>768</v>
      </c>
      <c r="F483" s="380" t="s">
        <v>797</v>
      </c>
      <c r="G483" s="380" t="s">
        <v>1267</v>
      </c>
      <c r="H483" s="380" t="s">
        <v>771</v>
      </c>
      <c r="I483" s="380" t="s">
        <v>799</v>
      </c>
      <c r="J483" s="380" t="s">
        <v>773</v>
      </c>
      <c r="K483" s="381">
        <v>0.0</v>
      </c>
      <c r="L483" s="382">
        <v>1.0</v>
      </c>
    </row>
    <row r="484">
      <c r="A484" s="380" t="s">
        <v>1325</v>
      </c>
      <c r="B484" s="380" t="str">
        <f>IFERROR(__xludf.DUMMYFUNCTION("""COMPUTED_VALUE"""),"Escuadras Para Estanteria")</f>
        <v>Escuadras Para Estanteria</v>
      </c>
      <c r="C484" s="380" t="str">
        <f>IFERROR(__xludf.DUMMYFUNCTION("""COMPUTED_VALUE"""),"10000249")</f>
        <v>10000249</v>
      </c>
      <c r="D484" s="380" t="s">
        <v>767</v>
      </c>
      <c r="E484" s="380" t="s">
        <v>768</v>
      </c>
      <c r="F484" s="380" t="s">
        <v>797</v>
      </c>
      <c r="G484" s="380" t="s">
        <v>1267</v>
      </c>
      <c r="H484" s="380" t="s">
        <v>771</v>
      </c>
      <c r="I484" s="380" t="s">
        <v>799</v>
      </c>
      <c r="J484" s="380" t="s">
        <v>773</v>
      </c>
      <c r="K484" s="381">
        <v>0.0</v>
      </c>
      <c r="L484" s="382">
        <v>1.0</v>
      </c>
    </row>
    <row r="485">
      <c r="A485" s="380" t="s">
        <v>1326</v>
      </c>
      <c r="B485" s="380" t="str">
        <f>IFERROR(__xludf.DUMMYFUNCTION("""COMPUTED_VALUE"""),"Etiqueta Rectan Termica 100x50")</f>
        <v>Etiqueta Rectan Termica 100x50</v>
      </c>
      <c r="C485" s="380" t="str">
        <f>IFERROR(__xludf.DUMMYFUNCTION("""COMPUTED_VALUE"""),"10000250")</f>
        <v>10000250</v>
      </c>
      <c r="D485" s="380" t="s">
        <v>767</v>
      </c>
      <c r="E485" s="380" t="s">
        <v>768</v>
      </c>
      <c r="F485" s="380" t="s">
        <v>797</v>
      </c>
      <c r="G485" s="380" t="s">
        <v>1267</v>
      </c>
      <c r="H485" s="380" t="s">
        <v>771</v>
      </c>
      <c r="I485" s="380" t="s">
        <v>799</v>
      </c>
      <c r="J485" s="380" t="s">
        <v>773</v>
      </c>
      <c r="K485" s="381">
        <v>0.0</v>
      </c>
      <c r="L485" s="382">
        <v>1.0</v>
      </c>
    </row>
    <row r="486">
      <c r="A486" s="380" t="s">
        <v>1327</v>
      </c>
      <c r="B486" s="380" t="str">
        <f>IFERROR(__xludf.DUMMYFUNCTION("""COMPUTED_VALUE"""),"Tonner Kyocera Tk 3162")</f>
        <v>Tonner Kyocera Tk 3162</v>
      </c>
      <c r="C486" s="380" t="str">
        <f>IFERROR(__xludf.DUMMYFUNCTION("""COMPUTED_VALUE"""),"10000251")</f>
        <v>10000251</v>
      </c>
      <c r="D486" s="380" t="s">
        <v>767</v>
      </c>
      <c r="E486" s="380" t="s">
        <v>768</v>
      </c>
      <c r="F486" s="380" t="s">
        <v>797</v>
      </c>
      <c r="G486" s="380" t="s">
        <v>1267</v>
      </c>
      <c r="H486" s="380" t="s">
        <v>771</v>
      </c>
      <c r="I486" s="380" t="s">
        <v>799</v>
      </c>
      <c r="J486" s="380" t="s">
        <v>773</v>
      </c>
      <c r="K486" s="381">
        <v>0.0</v>
      </c>
      <c r="L486" s="382">
        <v>1.0</v>
      </c>
    </row>
    <row r="487">
      <c r="A487" s="380" t="s">
        <v>1328</v>
      </c>
      <c r="B487" s="380" t="str">
        <f>IFERROR(__xludf.DUMMYFUNCTION("""COMPUTED_VALUE"""),"Palo De Escoba Y Trapero")</f>
        <v>Palo De Escoba Y Trapero</v>
      </c>
      <c r="C487" s="380" t="str">
        <f>IFERROR(__xludf.DUMMYFUNCTION("""COMPUTED_VALUE"""),"10000252")</f>
        <v>10000252</v>
      </c>
      <c r="D487" s="380" t="s">
        <v>767</v>
      </c>
      <c r="E487" s="380" t="s">
        <v>768</v>
      </c>
      <c r="F487" s="380" t="s">
        <v>769</v>
      </c>
      <c r="G487" s="380" t="s">
        <v>1267</v>
      </c>
      <c r="H487" s="380" t="s">
        <v>771</v>
      </c>
      <c r="I487" s="380" t="s">
        <v>772</v>
      </c>
      <c r="J487" s="380" t="s">
        <v>773</v>
      </c>
      <c r="K487" s="381">
        <v>6086.0</v>
      </c>
      <c r="L487" s="382">
        <v>1.0</v>
      </c>
    </row>
    <row r="488">
      <c r="A488" s="380" t="s">
        <v>1329</v>
      </c>
      <c r="B488" s="380" t="str">
        <f>IFERROR(__xludf.DUMMYFUNCTION("""COMPUTED_VALUE"""),"Soda Caustica Liquida Planta D")</f>
        <v>Soda Caustica Liquida Planta D</v>
      </c>
      <c r="C488" s="380" t="str">
        <f>IFERROR(__xludf.DUMMYFUNCTION("""COMPUTED_VALUE"""),"10000253")</f>
        <v>10000253</v>
      </c>
      <c r="D488" s="380" t="s">
        <v>767</v>
      </c>
      <c r="E488" s="380" t="s">
        <v>768</v>
      </c>
      <c r="F488" s="380" t="s">
        <v>769</v>
      </c>
      <c r="G488" s="380" t="s">
        <v>1267</v>
      </c>
      <c r="H488" s="380" t="s">
        <v>771</v>
      </c>
      <c r="I488" s="380" t="s">
        <v>772</v>
      </c>
      <c r="J488" s="380" t="s">
        <v>773</v>
      </c>
      <c r="K488" s="381">
        <v>0.0</v>
      </c>
      <c r="L488" s="382">
        <v>1.0</v>
      </c>
    </row>
    <row r="489">
      <c r="A489" s="380" t="s">
        <v>1330</v>
      </c>
      <c r="B489" s="380" t="str">
        <f>IFERROR(__xludf.DUMMYFUNCTION("""COMPUTED_VALUE"""),"Base Rueda 6-044f00tz 1/2 Fija")</f>
        <v>Base Rueda 6-044f00tz 1/2 Fija</v>
      </c>
      <c r="C489" s="380" t="str">
        <f>IFERROR(__xludf.DUMMYFUNCTION("""COMPUTED_VALUE"""),"10000254")</f>
        <v>10000254</v>
      </c>
      <c r="D489" s="380" t="s">
        <v>767</v>
      </c>
      <c r="E489" s="380" t="s">
        <v>768</v>
      </c>
      <c r="F489" s="380" t="s">
        <v>797</v>
      </c>
      <c r="G489" s="380" t="s">
        <v>1267</v>
      </c>
      <c r="H489" s="380" t="s">
        <v>771</v>
      </c>
      <c r="I489" s="380" t="s">
        <v>799</v>
      </c>
      <c r="J489" s="380" t="s">
        <v>773</v>
      </c>
      <c r="K489" s="381">
        <v>0.0</v>
      </c>
      <c r="L489" s="382">
        <v>1.0</v>
      </c>
    </row>
    <row r="490">
      <c r="A490" s="380" t="s">
        <v>1331</v>
      </c>
      <c r="B490" s="380" t="str">
        <f>IFERROR(__xludf.DUMMYFUNCTION("""COMPUTED_VALUE"""),"Base Rueda 6-044f00tz 1/2 Loca")</f>
        <v>Base Rueda 6-044f00tz 1/2 Loca</v>
      </c>
      <c r="C490" s="380" t="str">
        <f>IFERROR(__xludf.DUMMYFUNCTION("""COMPUTED_VALUE"""),"10000255")</f>
        <v>10000255</v>
      </c>
      <c r="D490" s="380" t="s">
        <v>767</v>
      </c>
      <c r="E490" s="380" t="s">
        <v>768</v>
      </c>
      <c r="F490" s="380" t="s">
        <v>797</v>
      </c>
      <c r="G490" s="380" t="s">
        <v>1267</v>
      </c>
      <c r="H490" s="380" t="s">
        <v>771</v>
      </c>
      <c r="I490" s="380" t="s">
        <v>799</v>
      </c>
      <c r="J490" s="380" t="s">
        <v>773</v>
      </c>
      <c r="K490" s="381">
        <v>0.0</v>
      </c>
      <c r="L490" s="382">
        <v>1.0</v>
      </c>
    </row>
    <row r="491">
      <c r="A491" s="380" t="s">
        <v>1332</v>
      </c>
      <c r="B491" s="380" t="str">
        <f>IFERROR(__xludf.DUMMYFUNCTION("""COMPUTED_VALUE"""),"Black Out Medidas Varias")</f>
        <v>Black Out Medidas Varias</v>
      </c>
      <c r="C491" s="380" t="str">
        <f>IFERROR(__xludf.DUMMYFUNCTION("""COMPUTED_VALUE"""),"10000256")</f>
        <v>10000256</v>
      </c>
      <c r="D491" s="380" t="s">
        <v>767</v>
      </c>
      <c r="E491" s="380" t="s">
        <v>768</v>
      </c>
      <c r="F491" s="380" t="s">
        <v>797</v>
      </c>
      <c r="G491" s="380" t="s">
        <v>1267</v>
      </c>
      <c r="H491" s="380" t="s">
        <v>771</v>
      </c>
      <c r="I491" s="380" t="s">
        <v>799</v>
      </c>
      <c r="J491" s="380" t="s">
        <v>773</v>
      </c>
      <c r="K491" s="381">
        <v>0.0</v>
      </c>
      <c r="L491" s="382">
        <v>1.0</v>
      </c>
    </row>
    <row r="492">
      <c r="A492" s="380" t="s">
        <v>1333</v>
      </c>
      <c r="B492" s="380" t="str">
        <f>IFERROR(__xludf.DUMMYFUNCTION("""COMPUTED_VALUE"""),"Bolsillo Catalogo Carta")</f>
        <v>Bolsillo Catalogo Carta</v>
      </c>
      <c r="C492" s="380" t="str">
        <f>IFERROR(__xludf.DUMMYFUNCTION("""COMPUTED_VALUE"""),"10000257")</f>
        <v>10000257</v>
      </c>
      <c r="D492" s="380" t="s">
        <v>767</v>
      </c>
      <c r="E492" s="380" t="s">
        <v>768</v>
      </c>
      <c r="F492" s="380" t="s">
        <v>797</v>
      </c>
      <c r="G492" s="380" t="s">
        <v>1267</v>
      </c>
      <c r="H492" s="380" t="s">
        <v>771</v>
      </c>
      <c r="I492" s="380" t="s">
        <v>799</v>
      </c>
      <c r="J492" s="380" t="s">
        <v>773</v>
      </c>
      <c r="K492" s="381">
        <v>0.0</v>
      </c>
      <c r="L492" s="382">
        <v>1.0</v>
      </c>
    </row>
    <row r="493">
      <c r="A493" s="380" t="s">
        <v>1334</v>
      </c>
      <c r="B493" s="380" t="str">
        <f>IFERROR(__xludf.DUMMYFUNCTION("""COMPUTED_VALUE"""),"Sticker Circular Adhes Blan 2c")</f>
        <v>Sticker Circular Adhes Blan 2c</v>
      </c>
      <c r="C493" s="380" t="str">
        <f>IFERROR(__xludf.DUMMYFUNCTION("""COMPUTED_VALUE"""),"10000258")</f>
        <v>10000258</v>
      </c>
      <c r="D493" s="380" t="s">
        <v>767</v>
      </c>
      <c r="E493" s="380" t="s">
        <v>768</v>
      </c>
      <c r="F493" s="380" t="s">
        <v>797</v>
      </c>
      <c r="G493" s="380" t="s">
        <v>1267</v>
      </c>
      <c r="H493" s="380" t="s">
        <v>771</v>
      </c>
      <c r="I493" s="380" t="s">
        <v>799</v>
      </c>
      <c r="J493" s="380" t="s">
        <v>773</v>
      </c>
      <c r="K493" s="381">
        <v>0.0</v>
      </c>
      <c r="L493" s="382">
        <v>1.0</v>
      </c>
    </row>
    <row r="494">
      <c r="A494" s="380" t="s">
        <v>1335</v>
      </c>
      <c r="B494" s="380" t="str">
        <f>IFERROR(__xludf.DUMMYFUNCTION("""COMPUTED_VALUE"""),"Filtro Tela Cafetera Grande")</f>
        <v>Filtro Tela Cafetera Grande</v>
      </c>
      <c r="C494" s="380" t="str">
        <f>IFERROR(__xludf.DUMMYFUNCTION("""COMPUTED_VALUE"""),"10000259")</f>
        <v>10000259</v>
      </c>
      <c r="D494" s="380" t="s">
        <v>767</v>
      </c>
      <c r="E494" s="380" t="s">
        <v>768</v>
      </c>
      <c r="F494" s="380" t="s">
        <v>803</v>
      </c>
      <c r="G494" s="380" t="s">
        <v>1267</v>
      </c>
      <c r="H494" s="380" t="s">
        <v>771</v>
      </c>
      <c r="I494" s="380" t="s">
        <v>772</v>
      </c>
      <c r="J494" s="380" t="s">
        <v>773</v>
      </c>
      <c r="K494" s="381">
        <v>9044.0</v>
      </c>
      <c r="L494" s="382">
        <v>1.0</v>
      </c>
    </row>
    <row r="495">
      <c r="A495" s="380" t="s">
        <v>1336</v>
      </c>
      <c r="B495" s="380" t="str">
        <f>IFERROR(__xludf.DUMMYFUNCTION("""COMPUTED_VALUE"""),"Archivador Fuelle Maletin Cart")</f>
        <v>Archivador Fuelle Maletin Cart</v>
      </c>
      <c r="C495" s="380" t="str">
        <f>IFERROR(__xludf.DUMMYFUNCTION("""COMPUTED_VALUE"""),"10000260")</f>
        <v>10000260</v>
      </c>
      <c r="D495" s="380" t="s">
        <v>767</v>
      </c>
      <c r="E495" s="380" t="s">
        <v>768</v>
      </c>
      <c r="F495" s="380" t="s">
        <v>797</v>
      </c>
      <c r="G495" s="380" t="s">
        <v>1267</v>
      </c>
      <c r="H495" s="380" t="s">
        <v>771</v>
      </c>
      <c r="I495" s="380" t="s">
        <v>799</v>
      </c>
      <c r="J495" s="380" t="s">
        <v>773</v>
      </c>
      <c r="K495" s="381">
        <v>0.0</v>
      </c>
      <c r="L495" s="382">
        <v>1.0</v>
      </c>
    </row>
    <row r="496">
      <c r="A496" s="380" t="s">
        <v>1337</v>
      </c>
      <c r="B496" s="380" t="str">
        <f>IFERROR(__xludf.DUMMYFUNCTION("""COMPUTED_VALUE"""),"Mercado Gravado Con 19%")</f>
        <v>Mercado Gravado Con 19%</v>
      </c>
      <c r="C496" s="380" t="str">
        <f>IFERROR(__xludf.DUMMYFUNCTION("""COMPUTED_VALUE"""),"10000261")</f>
        <v>10000261</v>
      </c>
      <c r="D496" s="380" t="s">
        <v>767</v>
      </c>
      <c r="E496" s="380" t="s">
        <v>768</v>
      </c>
      <c r="F496" s="380" t="s">
        <v>803</v>
      </c>
      <c r="G496" s="380" t="s">
        <v>1267</v>
      </c>
      <c r="H496" s="380" t="s">
        <v>771</v>
      </c>
      <c r="I496" s="380" t="s">
        <v>772</v>
      </c>
      <c r="J496" s="380" t="s">
        <v>773</v>
      </c>
      <c r="K496" s="381">
        <v>0.0</v>
      </c>
      <c r="L496" s="382">
        <v>1.0</v>
      </c>
    </row>
    <row r="497">
      <c r="A497" s="380" t="s">
        <v>1338</v>
      </c>
      <c r="B497" s="380" t="str">
        <f>IFERROR(__xludf.DUMMYFUNCTION("""COMPUTED_VALUE"""),"Cuchillo Cocina")</f>
        <v>Cuchillo Cocina</v>
      </c>
      <c r="C497" s="380" t="str">
        <f>IFERROR(__xludf.DUMMYFUNCTION("""COMPUTED_VALUE"""),"10000262")</f>
        <v>10000262</v>
      </c>
      <c r="D497" s="380" t="s">
        <v>767</v>
      </c>
      <c r="E497" s="380" t="s">
        <v>768</v>
      </c>
      <c r="F497" s="380" t="s">
        <v>803</v>
      </c>
      <c r="G497" s="380" t="s">
        <v>1267</v>
      </c>
      <c r="H497" s="380" t="s">
        <v>771</v>
      </c>
      <c r="I497" s="380" t="s">
        <v>772</v>
      </c>
      <c r="J497" s="380" t="s">
        <v>773</v>
      </c>
      <c r="K497" s="381">
        <v>0.0</v>
      </c>
      <c r="L497" s="382">
        <v>1.0</v>
      </c>
    </row>
    <row r="498">
      <c r="A498" s="380" t="s">
        <v>1339</v>
      </c>
      <c r="B498" s="380" t="str">
        <f>IFERROR(__xludf.DUMMYFUNCTION("""COMPUTED_VALUE"""),"Pila Gp Alcalina")</f>
        <v>Pila Gp Alcalina</v>
      </c>
      <c r="C498" s="380" t="str">
        <f>IFERROR(__xludf.DUMMYFUNCTION("""COMPUTED_VALUE"""),"10000263")</f>
        <v>10000263</v>
      </c>
      <c r="D498" s="380" t="s">
        <v>767</v>
      </c>
      <c r="E498" s="380" t="s">
        <v>768</v>
      </c>
      <c r="F498" s="380" t="s">
        <v>797</v>
      </c>
      <c r="G498" s="380" t="s">
        <v>1267</v>
      </c>
      <c r="H498" s="380" t="s">
        <v>771</v>
      </c>
      <c r="I498" s="380" t="s">
        <v>799</v>
      </c>
      <c r="J498" s="380" t="s">
        <v>773</v>
      </c>
      <c r="K498" s="381">
        <v>0.0</v>
      </c>
      <c r="L498" s="382">
        <v>1.0</v>
      </c>
    </row>
    <row r="499">
      <c r="A499" s="380" t="s">
        <v>1340</v>
      </c>
      <c r="B499" s="380" t="str">
        <f>IFERROR(__xludf.DUMMYFUNCTION("""COMPUTED_VALUE"""),"Bolsa Plast Transp Archiv10x14")</f>
        <v>Bolsa Plast Transp Archiv10x14</v>
      </c>
      <c r="C499" s="380" t="str">
        <f>IFERROR(__xludf.DUMMYFUNCTION("""COMPUTED_VALUE"""),"10000264")</f>
        <v>10000264</v>
      </c>
      <c r="D499" s="380" t="s">
        <v>767</v>
      </c>
      <c r="E499" s="380" t="s">
        <v>768</v>
      </c>
      <c r="F499" s="380" t="s">
        <v>797</v>
      </c>
      <c r="G499" s="380" t="s">
        <v>1267</v>
      </c>
      <c r="H499" s="380" t="s">
        <v>771</v>
      </c>
      <c r="I499" s="380" t="s">
        <v>799</v>
      </c>
      <c r="J499" s="380" t="s">
        <v>773</v>
      </c>
      <c r="K499" s="381">
        <v>0.0</v>
      </c>
      <c r="L499" s="382">
        <v>1.0</v>
      </c>
    </row>
    <row r="500">
      <c r="A500" s="380" t="s">
        <v>1341</v>
      </c>
      <c r="B500" s="380" t="str">
        <f>IFERROR(__xludf.DUMMYFUNCTION("""COMPUTED_VALUE"""),"Bolsa Plast Transp Archiv14x20")</f>
        <v>Bolsa Plast Transp Archiv14x20</v>
      </c>
      <c r="C500" s="380" t="str">
        <f>IFERROR(__xludf.DUMMYFUNCTION("""COMPUTED_VALUE"""),"10000266")</f>
        <v>10000266</v>
      </c>
      <c r="D500" s="380" t="s">
        <v>767</v>
      </c>
      <c r="E500" s="380" t="s">
        <v>768</v>
      </c>
      <c r="F500" s="380" t="s">
        <v>797</v>
      </c>
      <c r="G500" s="380" t="s">
        <v>1267</v>
      </c>
      <c r="H500" s="380" t="s">
        <v>771</v>
      </c>
      <c r="I500" s="380" t="s">
        <v>799</v>
      </c>
      <c r="J500" s="380" t="s">
        <v>773</v>
      </c>
      <c r="K500" s="381">
        <v>0.0</v>
      </c>
      <c r="L500" s="382">
        <v>1.0</v>
      </c>
    </row>
    <row r="501">
      <c r="A501" s="380" t="s">
        <v>1342</v>
      </c>
      <c r="B501" s="380" t="str">
        <f>IFERROR(__xludf.DUMMYFUNCTION("""COMPUTED_VALUE"""),"Mercado No Gravado")</f>
        <v>Mercado No Gravado</v>
      </c>
      <c r="C501" s="380" t="str">
        <f>IFERROR(__xludf.DUMMYFUNCTION("""COMPUTED_VALUE"""),"10000267")</f>
        <v>10000267</v>
      </c>
      <c r="D501" s="380" t="s">
        <v>767</v>
      </c>
      <c r="E501" s="380" t="s">
        <v>768</v>
      </c>
      <c r="F501" s="380" t="s">
        <v>803</v>
      </c>
      <c r="G501" s="380" t="s">
        <v>1267</v>
      </c>
      <c r="H501" s="380" t="s">
        <v>771</v>
      </c>
      <c r="I501" s="380" t="s">
        <v>772</v>
      </c>
      <c r="J501" s="380" t="s">
        <v>773</v>
      </c>
      <c r="K501" s="381">
        <v>0.0</v>
      </c>
      <c r="L501" s="382">
        <v>1.0</v>
      </c>
    </row>
    <row r="502">
      <c r="A502" s="380" t="s">
        <v>1343</v>
      </c>
      <c r="B502" s="380" t="str">
        <f>IFERROR(__xludf.DUMMYFUNCTION("""COMPUTED_VALUE"""),"Cinta Impresora Zebra-Cera 110")</f>
        <v>Cinta Impresora Zebra-Cera 110</v>
      </c>
      <c r="C502" s="380" t="str">
        <f>IFERROR(__xludf.DUMMYFUNCTION("""COMPUTED_VALUE"""),"10000268")</f>
        <v>10000268</v>
      </c>
      <c r="D502" s="380" t="s">
        <v>767</v>
      </c>
      <c r="E502" s="380" t="s">
        <v>768</v>
      </c>
      <c r="F502" s="380" t="s">
        <v>797</v>
      </c>
      <c r="G502" s="380" t="s">
        <v>1267</v>
      </c>
      <c r="H502" s="380" t="s">
        <v>771</v>
      </c>
      <c r="I502" s="380" t="s">
        <v>799</v>
      </c>
      <c r="J502" s="380" t="s">
        <v>773</v>
      </c>
      <c r="K502" s="381">
        <v>0.0</v>
      </c>
      <c r="L502" s="382">
        <v>1.0</v>
      </c>
    </row>
    <row r="503">
      <c r="A503" s="380" t="s">
        <v>1344</v>
      </c>
      <c r="B503" s="380" t="str">
        <f>IFERROR(__xludf.DUMMYFUNCTION("""COMPUTED_VALUE"""),"Bascula Electronica Pequeña Re")</f>
        <v>Bascula Electronica Pequeña Re</v>
      </c>
      <c r="C503" s="380" t="str">
        <f>IFERROR(__xludf.DUMMYFUNCTION("""COMPUTED_VALUE"""),"10000269")</f>
        <v>10000269</v>
      </c>
      <c r="D503" s="380" t="s">
        <v>767</v>
      </c>
      <c r="E503" s="380" t="s">
        <v>768</v>
      </c>
      <c r="F503" s="380" t="s">
        <v>797</v>
      </c>
      <c r="G503" s="380" t="s">
        <v>1267</v>
      </c>
      <c r="H503" s="380" t="s">
        <v>771</v>
      </c>
      <c r="I503" s="380" t="s">
        <v>799</v>
      </c>
      <c r="J503" s="380" t="s">
        <v>773</v>
      </c>
      <c r="K503" s="381">
        <v>0.0</v>
      </c>
      <c r="L503" s="382">
        <v>1.0</v>
      </c>
    </row>
    <row r="504">
      <c r="A504" s="380" t="s">
        <v>1345</v>
      </c>
      <c r="B504" s="380" t="str">
        <f>IFERROR(__xludf.DUMMYFUNCTION("""COMPUTED_VALUE"""),"Oxilimpio 1 Galon")</f>
        <v>Oxilimpio 1 Galon</v>
      </c>
      <c r="C504" s="380" t="str">
        <f>IFERROR(__xludf.DUMMYFUNCTION("""COMPUTED_VALUE"""),"10000270")</f>
        <v>10000270</v>
      </c>
      <c r="D504" s="380" t="s">
        <v>767</v>
      </c>
      <c r="E504" s="380" t="s">
        <v>768</v>
      </c>
      <c r="F504" s="380" t="s">
        <v>769</v>
      </c>
      <c r="G504" s="380" t="s">
        <v>1267</v>
      </c>
      <c r="H504" s="380" t="s">
        <v>771</v>
      </c>
      <c r="I504" s="380" t="s">
        <v>772</v>
      </c>
      <c r="J504" s="380" t="s">
        <v>773</v>
      </c>
      <c r="K504" s="381">
        <v>0.0</v>
      </c>
      <c r="L504" s="382">
        <v>1.0</v>
      </c>
    </row>
    <row r="505">
      <c r="A505" s="380" t="s">
        <v>1346</v>
      </c>
      <c r="B505" s="380" t="str">
        <f>IFERROR(__xludf.DUMMYFUNCTION("""COMPUTED_VALUE"""),"Tinta Epson Stylus To63 Yellow")</f>
        <v>Tinta Epson Stylus To63 Yellow</v>
      </c>
      <c r="C505" s="380" t="str">
        <f>IFERROR(__xludf.DUMMYFUNCTION("""COMPUTED_VALUE"""),"10000271")</f>
        <v>10000271</v>
      </c>
      <c r="D505" s="380" t="s">
        <v>767</v>
      </c>
      <c r="E505" s="380" t="s">
        <v>768</v>
      </c>
      <c r="F505" s="380" t="s">
        <v>797</v>
      </c>
      <c r="G505" s="380" t="s">
        <v>1267</v>
      </c>
      <c r="H505" s="380" t="s">
        <v>771</v>
      </c>
      <c r="I505" s="380" t="s">
        <v>799</v>
      </c>
      <c r="J505" s="380" t="s">
        <v>773</v>
      </c>
      <c r="K505" s="381">
        <v>64419.0</v>
      </c>
      <c r="L505" s="382">
        <v>1.0</v>
      </c>
    </row>
    <row r="506">
      <c r="A506" s="380" t="s">
        <v>1347</v>
      </c>
      <c r="B506" s="380" t="str">
        <f>IFERROR(__xludf.DUMMYFUNCTION("""COMPUTED_VALUE"""),"Tinta Epson Stylus To63 Cyan")</f>
        <v>Tinta Epson Stylus To63 Cyan</v>
      </c>
      <c r="C506" s="380" t="str">
        <f>IFERROR(__xludf.DUMMYFUNCTION("""COMPUTED_VALUE"""),"10000272")</f>
        <v>10000272</v>
      </c>
      <c r="D506" s="380" t="s">
        <v>767</v>
      </c>
      <c r="E506" s="380" t="s">
        <v>768</v>
      </c>
      <c r="F506" s="380" t="s">
        <v>797</v>
      </c>
      <c r="G506" s="380" t="s">
        <v>1267</v>
      </c>
      <c r="H506" s="380" t="s">
        <v>771</v>
      </c>
      <c r="I506" s="380" t="s">
        <v>799</v>
      </c>
      <c r="J506" s="380" t="s">
        <v>773</v>
      </c>
      <c r="K506" s="381">
        <v>64419.0</v>
      </c>
      <c r="L506" s="382">
        <v>1.0</v>
      </c>
    </row>
    <row r="507">
      <c r="A507" s="380" t="s">
        <v>1348</v>
      </c>
      <c r="B507" s="380" t="str">
        <f>IFERROR(__xludf.DUMMYFUNCTION("""COMPUTED_VALUE"""),"Tinta Epson Stylus To63 Magenta")</f>
        <v>Tinta Epson Stylus To63 Magenta</v>
      </c>
      <c r="C507" s="380" t="str">
        <f>IFERROR(__xludf.DUMMYFUNCTION("""COMPUTED_VALUE"""),"10000273")</f>
        <v>10000273</v>
      </c>
      <c r="D507" s="380" t="s">
        <v>767</v>
      </c>
      <c r="E507" s="380" t="s">
        <v>768</v>
      </c>
      <c r="F507" s="380" t="s">
        <v>797</v>
      </c>
      <c r="G507" s="380" t="s">
        <v>1267</v>
      </c>
      <c r="H507" s="380" t="s">
        <v>771</v>
      </c>
      <c r="I507" s="380" t="s">
        <v>799</v>
      </c>
      <c r="J507" s="380" t="s">
        <v>773</v>
      </c>
      <c r="K507" s="381">
        <v>0.0</v>
      </c>
      <c r="L507" s="382">
        <v>1.0</v>
      </c>
    </row>
    <row r="508">
      <c r="A508" s="380" t="s">
        <v>1349</v>
      </c>
      <c r="B508" s="380" t="str">
        <f>IFERROR(__xludf.DUMMYFUNCTION("""COMPUTED_VALUE"""),"Sello Nombre Coordinadora Merc")</f>
        <v>Sello Nombre Coordinadora Merc</v>
      </c>
      <c r="C508" s="380" t="str">
        <f>IFERROR(__xludf.DUMMYFUNCTION("""COMPUTED_VALUE"""),"10000274")</f>
        <v>10000274</v>
      </c>
      <c r="D508" s="380" t="s">
        <v>767</v>
      </c>
      <c r="E508" s="380" t="s">
        <v>768</v>
      </c>
      <c r="F508" s="380" t="s">
        <v>797</v>
      </c>
      <c r="G508" s="380" t="s">
        <v>1267</v>
      </c>
      <c r="H508" s="380" t="s">
        <v>771</v>
      </c>
      <c r="I508" s="380" t="s">
        <v>799</v>
      </c>
      <c r="J508" s="380" t="s">
        <v>773</v>
      </c>
      <c r="K508" s="381">
        <v>0.0</v>
      </c>
      <c r="L508" s="382">
        <v>1.0</v>
      </c>
    </row>
    <row r="509">
      <c r="A509" s="380" t="s">
        <v>1350</v>
      </c>
      <c r="B509" s="380" t="str">
        <f>IFERROR(__xludf.DUMMYFUNCTION("""COMPUTED_VALUE"""),"Formato Respo Emple Sg-Sst Bond 90 Gr")</f>
        <v>Formato Respo Emple Sg-Sst Bond 90 Gr</v>
      </c>
      <c r="C509" s="380" t="str">
        <f>IFERROR(__xludf.DUMMYFUNCTION("""COMPUTED_VALUE"""),"10000275")</f>
        <v>10000275</v>
      </c>
      <c r="D509" s="380" t="s">
        <v>767</v>
      </c>
      <c r="E509" s="380" t="s">
        <v>768</v>
      </c>
      <c r="F509" s="380" t="s">
        <v>797</v>
      </c>
      <c r="G509" s="380" t="s">
        <v>1267</v>
      </c>
      <c r="H509" s="380" t="s">
        <v>771</v>
      </c>
      <c r="I509" s="380" t="s">
        <v>799</v>
      </c>
      <c r="J509" s="380" t="s">
        <v>773</v>
      </c>
      <c r="K509" s="381">
        <v>0.0</v>
      </c>
      <c r="L509" s="382">
        <v>1.0</v>
      </c>
    </row>
    <row r="510">
      <c r="A510" s="380" t="s">
        <v>1351</v>
      </c>
      <c r="B510" s="380" t="str">
        <f>IFERROR(__xludf.DUMMYFUNCTION("""COMPUTED_VALUE"""),"Porta Minas 0.5")</f>
        <v>Porta Minas 0.5</v>
      </c>
      <c r="C510" s="380" t="str">
        <f>IFERROR(__xludf.DUMMYFUNCTION("""COMPUTED_VALUE"""),"10000276")</f>
        <v>10000276</v>
      </c>
      <c r="D510" s="380" t="s">
        <v>767</v>
      </c>
      <c r="E510" s="380" t="s">
        <v>768</v>
      </c>
      <c r="F510" s="380" t="s">
        <v>797</v>
      </c>
      <c r="G510" s="380" t="s">
        <v>1267</v>
      </c>
      <c r="H510" s="380" t="s">
        <v>771</v>
      </c>
      <c r="I510" s="380" t="s">
        <v>799</v>
      </c>
      <c r="J510" s="380" t="s">
        <v>773</v>
      </c>
      <c r="K510" s="381">
        <v>1117.0</v>
      </c>
      <c r="L510" s="382">
        <v>1.0</v>
      </c>
    </row>
    <row r="511">
      <c r="A511" s="380" t="s">
        <v>1352</v>
      </c>
      <c r="B511" s="380" t="str">
        <f>IFERROR(__xludf.DUMMYFUNCTION("""COMPUTED_VALUE"""),"Tonner Kyocera Tk 3192")</f>
        <v>Tonner Kyocera Tk 3192</v>
      </c>
      <c r="C511" s="380" t="str">
        <f>IFERROR(__xludf.DUMMYFUNCTION("""COMPUTED_VALUE"""),"10000277")</f>
        <v>10000277</v>
      </c>
      <c r="D511" s="380" t="s">
        <v>767</v>
      </c>
      <c r="E511" s="380" t="s">
        <v>768</v>
      </c>
      <c r="F511" s="380" t="s">
        <v>797</v>
      </c>
      <c r="G511" s="380" t="s">
        <v>1267</v>
      </c>
      <c r="H511" s="380" t="s">
        <v>771</v>
      </c>
      <c r="I511" s="380" t="s">
        <v>799</v>
      </c>
      <c r="J511" s="380" t="s">
        <v>773</v>
      </c>
      <c r="K511" s="381">
        <v>0.0</v>
      </c>
      <c r="L511" s="382">
        <v>1.0</v>
      </c>
    </row>
    <row r="512">
      <c r="A512" s="380" t="s">
        <v>1353</v>
      </c>
      <c r="B512" s="380" t="str">
        <f>IFERROR(__xludf.DUMMYFUNCTION("""COMPUTED_VALUE"""),"Agua Botella Personal")</f>
        <v>Agua Botella Personal</v>
      </c>
      <c r="C512" s="380" t="str">
        <f>IFERROR(__xludf.DUMMYFUNCTION("""COMPUTED_VALUE"""),"10000278")</f>
        <v>10000278</v>
      </c>
      <c r="D512" s="380" t="s">
        <v>767</v>
      </c>
      <c r="E512" s="380" t="s">
        <v>768</v>
      </c>
      <c r="F512" s="380" t="s">
        <v>803</v>
      </c>
      <c r="G512" s="380" t="s">
        <v>1267</v>
      </c>
      <c r="H512" s="380" t="s">
        <v>771</v>
      </c>
      <c r="I512" s="380" t="s">
        <v>772</v>
      </c>
      <c r="J512" s="380" t="s">
        <v>773</v>
      </c>
      <c r="K512" s="381">
        <v>0.0</v>
      </c>
      <c r="L512" s="382">
        <v>1.0</v>
      </c>
    </row>
    <row r="513">
      <c r="A513" s="380" t="s">
        <v>1354</v>
      </c>
      <c r="B513" s="380" t="str">
        <f>IFERROR(__xludf.DUMMYFUNCTION("""COMPUTED_VALUE"""),"Rotulo Laser 3558 71.9x25.4")</f>
        <v>Rotulo Laser 3558 71.9x25.4</v>
      </c>
      <c r="C513" s="380" t="str">
        <f>IFERROR(__xludf.DUMMYFUNCTION("""COMPUTED_VALUE"""),"10000279")</f>
        <v>10000279</v>
      </c>
      <c r="D513" s="380" t="s">
        <v>767</v>
      </c>
      <c r="E513" s="380" t="s">
        <v>768</v>
      </c>
      <c r="F513" s="380" t="s">
        <v>797</v>
      </c>
      <c r="G513" s="380" t="s">
        <v>1267</v>
      </c>
      <c r="H513" s="380" t="s">
        <v>771</v>
      </c>
      <c r="I513" s="380" t="s">
        <v>799</v>
      </c>
      <c r="J513" s="380" t="s">
        <v>773</v>
      </c>
      <c r="K513" s="381">
        <v>0.0</v>
      </c>
      <c r="L513" s="382">
        <v>1.0</v>
      </c>
    </row>
    <row r="514">
      <c r="A514" s="380" t="s">
        <v>1355</v>
      </c>
      <c r="B514" s="380" t="str">
        <f>IFERROR(__xludf.DUMMYFUNCTION("""COMPUTED_VALUE"""),"Recipiente Plastic Azucar/Cafe")</f>
        <v>Recipiente Plastic Azucar/Cafe</v>
      </c>
      <c r="C514" s="380" t="str">
        <f>IFERROR(__xludf.DUMMYFUNCTION("""COMPUTED_VALUE"""),"10000281")</f>
        <v>10000281</v>
      </c>
      <c r="D514" s="380" t="s">
        <v>767</v>
      </c>
      <c r="E514" s="380" t="s">
        <v>768</v>
      </c>
      <c r="F514" s="380" t="s">
        <v>803</v>
      </c>
      <c r="G514" s="380" t="s">
        <v>1267</v>
      </c>
      <c r="H514" s="380" t="s">
        <v>771</v>
      </c>
      <c r="I514" s="380" t="s">
        <v>772</v>
      </c>
      <c r="J514" s="380" t="s">
        <v>773</v>
      </c>
      <c r="K514" s="381">
        <v>0.0</v>
      </c>
      <c r="L514" s="382">
        <v>1.0</v>
      </c>
    </row>
    <row r="515">
      <c r="A515" s="380" t="s">
        <v>1356</v>
      </c>
      <c r="B515" s="380" t="str">
        <f>IFERROR(__xludf.DUMMYFUNCTION("""COMPUTED_VALUE"""),"Cubeta De Hielo")</f>
        <v>Cubeta De Hielo</v>
      </c>
      <c r="C515" s="380" t="str">
        <f>IFERROR(__xludf.DUMMYFUNCTION("""COMPUTED_VALUE"""),"10000282")</f>
        <v>10000282</v>
      </c>
      <c r="D515" s="380" t="s">
        <v>767</v>
      </c>
      <c r="E515" s="380" t="s">
        <v>768</v>
      </c>
      <c r="F515" s="380" t="s">
        <v>803</v>
      </c>
      <c r="G515" s="380" t="s">
        <v>1267</v>
      </c>
      <c r="H515" s="380" t="s">
        <v>771</v>
      </c>
      <c r="I515" s="380" t="s">
        <v>772</v>
      </c>
      <c r="J515" s="380" t="s">
        <v>773</v>
      </c>
      <c r="K515" s="381">
        <v>0.0</v>
      </c>
      <c r="L515" s="382">
        <v>1.0</v>
      </c>
    </row>
    <row r="516">
      <c r="A516" s="380" t="s">
        <v>1357</v>
      </c>
      <c r="B516" s="380" t="str">
        <f>IFERROR(__xludf.DUMMYFUNCTION("""COMPUTED_VALUE"""),"Bolsillo Catalogo Carta C4")</f>
        <v>Bolsillo Catalogo Carta C4</v>
      </c>
      <c r="C516" s="380" t="str">
        <f>IFERROR(__xludf.DUMMYFUNCTION("""COMPUTED_VALUE"""),"10000283")</f>
        <v>10000283</v>
      </c>
      <c r="D516" s="380" t="s">
        <v>767</v>
      </c>
      <c r="E516" s="380" t="s">
        <v>768</v>
      </c>
      <c r="F516" s="380" t="s">
        <v>797</v>
      </c>
      <c r="G516" s="380" t="s">
        <v>1267</v>
      </c>
      <c r="H516" s="380" t="s">
        <v>771</v>
      </c>
      <c r="I516" s="380" t="s">
        <v>799</v>
      </c>
      <c r="J516" s="380" t="s">
        <v>773</v>
      </c>
      <c r="K516" s="381">
        <v>0.0</v>
      </c>
      <c r="L516" s="382">
        <v>1.0</v>
      </c>
    </row>
    <row r="517">
      <c r="A517" s="380" t="s">
        <v>1358</v>
      </c>
      <c r="B517" s="380" t="str">
        <f>IFERROR(__xludf.DUMMYFUNCTION("""COMPUTED_VALUE"""),"Cinta Rotul 4mx12mm Blanc Plas")</f>
        <v>Cinta Rotul 4mx12mm Blanc Plas</v>
      </c>
      <c r="C517" s="380" t="str">
        <f>IFERROR(__xludf.DUMMYFUNCTION("""COMPUTED_VALUE"""),"10000284")</f>
        <v>10000284</v>
      </c>
      <c r="D517" s="380" t="s">
        <v>767</v>
      </c>
      <c r="E517" s="380" t="s">
        <v>768</v>
      </c>
      <c r="F517" s="380" t="s">
        <v>797</v>
      </c>
      <c r="G517" s="380" t="s">
        <v>1267</v>
      </c>
      <c r="H517" s="380" t="s">
        <v>771</v>
      </c>
      <c r="I517" s="380" t="s">
        <v>799</v>
      </c>
      <c r="J517" s="380" t="s">
        <v>773</v>
      </c>
      <c r="K517" s="381">
        <v>0.0</v>
      </c>
      <c r="L517" s="382">
        <v>1.0</v>
      </c>
    </row>
    <row r="518">
      <c r="A518" s="380" t="s">
        <v>1359</v>
      </c>
      <c r="B518" s="380" t="str">
        <f>IFERROR(__xludf.DUMMYFUNCTION("""COMPUTED_VALUE"""),"Tonner Kyocera Tk 1175")</f>
        <v>Tonner Kyocera Tk 1175</v>
      </c>
      <c r="C518" s="380" t="str">
        <f>IFERROR(__xludf.DUMMYFUNCTION("""COMPUTED_VALUE"""),"10000285")</f>
        <v>10000285</v>
      </c>
      <c r="D518" s="380" t="s">
        <v>767</v>
      </c>
      <c r="E518" s="380" t="s">
        <v>768</v>
      </c>
      <c r="F518" s="380" t="s">
        <v>797</v>
      </c>
      <c r="G518" s="380" t="s">
        <v>1267</v>
      </c>
      <c r="H518" s="380" t="s">
        <v>771</v>
      </c>
      <c r="I518" s="380" t="s">
        <v>799</v>
      </c>
      <c r="J518" s="380" t="s">
        <v>773</v>
      </c>
      <c r="K518" s="381">
        <v>0.0</v>
      </c>
      <c r="L518" s="382">
        <v>1.0</v>
      </c>
    </row>
    <row r="519">
      <c r="A519" s="380" t="s">
        <v>1360</v>
      </c>
      <c r="B519" s="380" t="str">
        <f>IFERROR(__xludf.DUMMYFUNCTION("""COMPUTED_VALUE"""),"Tonner Hp C9351al N. 21 Negra")</f>
        <v>Tonner Hp C9351al N. 21 Negra</v>
      </c>
      <c r="C519" s="380" t="str">
        <f>IFERROR(__xludf.DUMMYFUNCTION("""COMPUTED_VALUE"""),"10000286")</f>
        <v>10000286</v>
      </c>
      <c r="D519" s="380" t="s">
        <v>767</v>
      </c>
      <c r="E519" s="380" t="s">
        <v>768</v>
      </c>
      <c r="F519" s="380" t="s">
        <v>797</v>
      </c>
      <c r="G519" s="380" t="s">
        <v>1267</v>
      </c>
      <c r="H519" s="380" t="s">
        <v>771</v>
      </c>
      <c r="I519" s="380" t="s">
        <v>799</v>
      </c>
      <c r="J519" s="380" t="s">
        <v>773</v>
      </c>
      <c r="K519" s="381">
        <v>142800.0</v>
      </c>
      <c r="L519" s="382">
        <v>1.0</v>
      </c>
    </row>
    <row r="520">
      <c r="A520" s="380" t="s">
        <v>1361</v>
      </c>
      <c r="B520" s="380" t="str">
        <f>IFERROR(__xludf.DUMMYFUNCTION("""COMPUTED_VALUE"""),"Tonner Hp C9352al N. 22 Color")</f>
        <v>Tonner Hp C9352al N. 22 Color</v>
      </c>
      <c r="C520" s="380" t="str">
        <f>IFERROR(__xludf.DUMMYFUNCTION("""COMPUTED_VALUE"""),"10000287")</f>
        <v>10000287</v>
      </c>
      <c r="D520" s="380" t="s">
        <v>767</v>
      </c>
      <c r="E520" s="380" t="s">
        <v>768</v>
      </c>
      <c r="F520" s="380" t="s">
        <v>797</v>
      </c>
      <c r="G520" s="380" t="s">
        <v>1267</v>
      </c>
      <c r="H520" s="380" t="s">
        <v>771</v>
      </c>
      <c r="I520" s="380" t="s">
        <v>799</v>
      </c>
      <c r="J520" s="380" t="s">
        <v>773</v>
      </c>
      <c r="K520" s="381">
        <v>155652.0</v>
      </c>
      <c r="L520" s="382">
        <v>1.0</v>
      </c>
    </row>
    <row r="521">
      <c r="A521" s="380" t="s">
        <v>1362</v>
      </c>
      <c r="B521" s="380" t="str">
        <f>IFERROR(__xludf.DUMMYFUNCTION("""COMPUTED_VALUE"""),"Credenciales De Seguridad Esco")</f>
        <v>Credenciales De Seguridad Esco</v>
      </c>
      <c r="C521" s="380" t="str">
        <f>IFERROR(__xludf.DUMMYFUNCTION("""COMPUTED_VALUE"""),"10000288")</f>
        <v>10000288</v>
      </c>
      <c r="D521" s="380" t="s">
        <v>767</v>
      </c>
      <c r="E521" s="380" t="s">
        <v>768</v>
      </c>
      <c r="F521" s="380" t="s">
        <v>797</v>
      </c>
      <c r="G521" s="380" t="s">
        <v>1267</v>
      </c>
      <c r="H521" s="380" t="s">
        <v>771</v>
      </c>
      <c r="I521" s="380" t="s">
        <v>799</v>
      </c>
      <c r="J521" s="380" t="s">
        <v>773</v>
      </c>
      <c r="K521" s="381">
        <v>0.0</v>
      </c>
      <c r="L521" s="382">
        <v>1.0</v>
      </c>
    </row>
    <row r="522">
      <c r="A522" s="380" t="s">
        <v>1363</v>
      </c>
      <c r="B522" s="380" t="str">
        <f>IFERROR(__xludf.DUMMYFUNCTION("""COMPUTED_VALUE"""),"Boligrafo Desechable Colores")</f>
        <v>Boligrafo Desechable Colores</v>
      </c>
      <c r="C522" s="380" t="str">
        <f>IFERROR(__xludf.DUMMYFUNCTION("""COMPUTED_VALUE"""),"10000289")</f>
        <v>10000289</v>
      </c>
      <c r="D522" s="380" t="s">
        <v>767</v>
      </c>
      <c r="E522" s="380" t="s">
        <v>768</v>
      </c>
      <c r="F522" s="380" t="s">
        <v>797</v>
      </c>
      <c r="G522" s="380" t="s">
        <v>1267</v>
      </c>
      <c r="H522" s="380" t="s">
        <v>771</v>
      </c>
      <c r="I522" s="380" t="s">
        <v>799</v>
      </c>
      <c r="J522" s="380" t="s">
        <v>773</v>
      </c>
      <c r="K522" s="381">
        <v>0.0</v>
      </c>
      <c r="L522" s="382">
        <v>1.0</v>
      </c>
    </row>
    <row r="523">
      <c r="A523" s="380" t="s">
        <v>1364</v>
      </c>
      <c r="B523" s="380" t="str">
        <f>IFERROR(__xludf.DUMMYFUNCTION("""COMPUTED_VALUE"""),"Cd R Spindle X25 Verbatim/Sony")</f>
        <v>Cd R Spindle X25 Verbatim/Sony</v>
      </c>
      <c r="C523" s="380" t="str">
        <f>IFERROR(__xludf.DUMMYFUNCTION("""COMPUTED_VALUE"""),"10000290")</f>
        <v>10000290</v>
      </c>
      <c r="D523" s="380" t="s">
        <v>767</v>
      </c>
      <c r="E523" s="380" t="s">
        <v>768</v>
      </c>
      <c r="F523" s="380" t="s">
        <v>797</v>
      </c>
      <c r="G523" s="380" t="s">
        <v>1267</v>
      </c>
      <c r="H523" s="380" t="s">
        <v>771</v>
      </c>
      <c r="I523" s="380" t="s">
        <v>799</v>
      </c>
      <c r="J523" s="380" t="s">
        <v>773</v>
      </c>
      <c r="K523" s="381">
        <v>0.0</v>
      </c>
      <c r="L523" s="382">
        <v>1.0</v>
      </c>
    </row>
    <row r="524">
      <c r="A524" s="380" t="s">
        <v>1365</v>
      </c>
      <c r="B524" s="380" t="str">
        <f>IFERROR(__xludf.DUMMYFUNCTION("""COMPUTED_VALUE"""),"Alcohol Isopropilico Gravado")</f>
        <v>Alcohol Isopropilico Gravado</v>
      </c>
      <c r="C524" s="380" t="str">
        <f>IFERROR(__xludf.DUMMYFUNCTION("""COMPUTED_VALUE"""),"10000291")</f>
        <v>10000291</v>
      </c>
      <c r="D524" s="380" t="s">
        <v>767</v>
      </c>
      <c r="E524" s="380" t="s">
        <v>768</v>
      </c>
      <c r="F524" s="380" t="s">
        <v>769</v>
      </c>
      <c r="G524" s="380" t="s">
        <v>1267</v>
      </c>
      <c r="H524" s="380" t="s">
        <v>771</v>
      </c>
      <c r="I524" s="380" t="s">
        <v>772</v>
      </c>
      <c r="J524" s="380" t="s">
        <v>773</v>
      </c>
      <c r="K524" s="381">
        <v>0.0</v>
      </c>
      <c r="L524" s="382">
        <v>1.0</v>
      </c>
    </row>
    <row r="525">
      <c r="A525" s="380" t="s">
        <v>1366</v>
      </c>
      <c r="B525" s="380" t="str">
        <f>IFERROR(__xludf.DUMMYFUNCTION("""COMPUTED_VALUE"""),"Sello Retractil 13 X 54 Mm")</f>
        <v>Sello Retractil 13 X 54 Mm</v>
      </c>
      <c r="C525" s="380" t="str">
        <f>IFERROR(__xludf.DUMMYFUNCTION("""COMPUTED_VALUE"""),"10000292")</f>
        <v>10000292</v>
      </c>
      <c r="D525" s="380" t="s">
        <v>767</v>
      </c>
      <c r="E525" s="380" t="s">
        <v>768</v>
      </c>
      <c r="F525" s="380" t="s">
        <v>797</v>
      </c>
      <c r="G525" s="380" t="s">
        <v>1267</v>
      </c>
      <c r="H525" s="380" t="s">
        <v>771</v>
      </c>
      <c r="I525" s="380" t="s">
        <v>799</v>
      </c>
      <c r="J525" s="380" t="s">
        <v>773</v>
      </c>
      <c r="K525" s="381">
        <v>0.0</v>
      </c>
      <c r="L525" s="382">
        <v>1.0</v>
      </c>
    </row>
    <row r="526">
      <c r="A526" s="380" t="s">
        <v>1367</v>
      </c>
      <c r="B526" s="380" t="str">
        <f>IFERROR(__xludf.DUMMYFUNCTION("""COMPUTED_VALUE"""),"Termo Para Cafe 1 Litro")</f>
        <v>Termo Para Cafe 1 Litro</v>
      </c>
      <c r="C526" s="380" t="str">
        <f>IFERROR(__xludf.DUMMYFUNCTION("""COMPUTED_VALUE"""),"10000293")</f>
        <v>10000293</v>
      </c>
      <c r="D526" s="380" t="s">
        <v>767</v>
      </c>
      <c r="E526" s="380" t="s">
        <v>768</v>
      </c>
      <c r="F526" s="380" t="s">
        <v>803</v>
      </c>
      <c r="G526" s="380" t="s">
        <v>1267</v>
      </c>
      <c r="H526" s="380" t="s">
        <v>771</v>
      </c>
      <c r="I526" s="380" t="s">
        <v>772</v>
      </c>
      <c r="J526" s="380" t="s">
        <v>773</v>
      </c>
      <c r="K526" s="381">
        <v>0.0</v>
      </c>
      <c r="L526" s="382">
        <v>1.0</v>
      </c>
    </row>
    <row r="527">
      <c r="A527" s="380" t="s">
        <v>1368</v>
      </c>
      <c r="B527" s="380" t="str">
        <f>IFERROR(__xludf.DUMMYFUNCTION("""COMPUTED_VALUE"""),"Recibos Caja Por Terminal X100 Yopal")</f>
        <v>Recibos Caja Por Terminal X100 Yopal</v>
      </c>
      <c r="C527" s="380" t="str">
        <f>IFERROR(__xludf.DUMMYFUNCTION("""COMPUTED_VALUE"""),"10000294")</f>
        <v>10000294</v>
      </c>
      <c r="D527" s="380" t="s">
        <v>767</v>
      </c>
      <c r="E527" s="380" t="s">
        <v>768</v>
      </c>
      <c r="F527" s="380" t="s">
        <v>797</v>
      </c>
      <c r="G527" s="380" t="s">
        <v>1267</v>
      </c>
      <c r="H527" s="380" t="s">
        <v>771</v>
      </c>
      <c r="I527" s="380" t="s">
        <v>799</v>
      </c>
      <c r="J527" s="380" t="s">
        <v>773</v>
      </c>
      <c r="K527" s="381">
        <v>0.0</v>
      </c>
      <c r="L527" s="382">
        <v>1.0</v>
      </c>
    </row>
    <row r="528">
      <c r="A528" s="380" t="s">
        <v>1369</v>
      </c>
      <c r="B528" s="380" t="str">
        <f>IFERROR(__xludf.DUMMYFUNCTION("""COMPUTED_VALUE"""),"Recibos Caja Por Terminal X100 Monteria")</f>
        <v>Recibos Caja Por Terminal X100 Monteria</v>
      </c>
      <c r="C528" s="380" t="str">
        <f>IFERROR(__xludf.DUMMYFUNCTION("""COMPUTED_VALUE"""),"10000295")</f>
        <v>10000295</v>
      </c>
      <c r="D528" s="380" t="s">
        <v>767</v>
      </c>
      <c r="E528" s="380" t="s">
        <v>768</v>
      </c>
      <c r="F528" s="380" t="s">
        <v>797</v>
      </c>
      <c r="G528" s="380" t="s">
        <v>1267</v>
      </c>
      <c r="H528" s="380" t="s">
        <v>771</v>
      </c>
      <c r="I528" s="380" t="s">
        <v>799</v>
      </c>
      <c r="J528" s="380" t="s">
        <v>773</v>
      </c>
      <c r="K528" s="381">
        <v>0.0</v>
      </c>
      <c r="L528" s="382">
        <v>1.0</v>
      </c>
    </row>
    <row r="529">
      <c r="A529" s="380" t="s">
        <v>1370</v>
      </c>
      <c r="B529" s="380" t="str">
        <f>IFERROR(__xludf.DUMMYFUNCTION("""COMPUTED_VALUE"""),"Recibos Caja Por Terminal X100 B/quilla")</f>
        <v>Recibos Caja Por Terminal X100 B/quilla</v>
      </c>
      <c r="C529" s="380" t="str">
        <f>IFERROR(__xludf.DUMMYFUNCTION("""COMPUTED_VALUE"""),"10000296")</f>
        <v>10000296</v>
      </c>
      <c r="D529" s="380" t="s">
        <v>767</v>
      </c>
      <c r="E529" s="380" t="s">
        <v>768</v>
      </c>
      <c r="F529" s="380" t="s">
        <v>797</v>
      </c>
      <c r="G529" s="380" t="s">
        <v>1267</v>
      </c>
      <c r="H529" s="380" t="s">
        <v>771</v>
      </c>
      <c r="I529" s="380" t="s">
        <v>799</v>
      </c>
      <c r="J529" s="380" t="s">
        <v>773</v>
      </c>
      <c r="K529" s="381">
        <v>0.0</v>
      </c>
      <c r="L529" s="382">
        <v>1.0</v>
      </c>
    </row>
    <row r="530">
      <c r="A530" s="380" t="s">
        <v>1371</v>
      </c>
      <c r="B530" s="380" t="str">
        <f>IFERROR(__xludf.DUMMYFUNCTION("""COMPUTED_VALUE"""),"Pastillero")</f>
        <v>Pastillero</v>
      </c>
      <c r="C530" s="380" t="str">
        <f>IFERROR(__xludf.DUMMYFUNCTION("""COMPUTED_VALUE"""),"10000297")</f>
        <v>10000297</v>
      </c>
      <c r="D530" s="380" t="s">
        <v>767</v>
      </c>
      <c r="E530" s="380" t="s">
        <v>768</v>
      </c>
      <c r="F530" s="380" t="s">
        <v>797</v>
      </c>
      <c r="G530" s="380" t="s">
        <v>1267</v>
      </c>
      <c r="H530" s="380" t="s">
        <v>771</v>
      </c>
      <c r="I530" s="380" t="s">
        <v>799</v>
      </c>
      <c r="J530" s="380" t="s">
        <v>773</v>
      </c>
      <c r="K530" s="381">
        <v>0.0</v>
      </c>
      <c r="L530" s="382">
        <v>1.0</v>
      </c>
    </row>
    <row r="531">
      <c r="A531" s="380" t="s">
        <v>1372</v>
      </c>
      <c r="B531" s="380" t="str">
        <f>IFERROR(__xludf.DUMMYFUNCTION("""COMPUTED_VALUE"""),"Papel Kraft 60g 70 X 100")</f>
        <v>Papel Kraft 60g 70 X 100</v>
      </c>
      <c r="C531" s="380" t="str">
        <f>IFERROR(__xludf.DUMMYFUNCTION("""COMPUTED_VALUE"""),"10000298")</f>
        <v>10000298</v>
      </c>
      <c r="D531" s="380" t="s">
        <v>767</v>
      </c>
      <c r="E531" s="380" t="s">
        <v>768</v>
      </c>
      <c r="F531" s="380" t="s">
        <v>797</v>
      </c>
      <c r="G531" s="380" t="s">
        <v>1267</v>
      </c>
      <c r="H531" s="380" t="s">
        <v>771</v>
      </c>
      <c r="I531" s="380" t="s">
        <v>799</v>
      </c>
      <c r="J531" s="380" t="s">
        <v>773</v>
      </c>
      <c r="K531" s="381">
        <v>0.0</v>
      </c>
      <c r="L531" s="382">
        <v>1.0</v>
      </c>
    </row>
    <row r="532">
      <c r="A532" s="380" t="s">
        <v>1373</v>
      </c>
      <c r="B532" s="380" t="str">
        <f>IFERROR(__xludf.DUMMYFUNCTION("""COMPUTED_VALUE"""),"Canela En Polvo X 453 Grs")</f>
        <v>Canela En Polvo X 453 Grs</v>
      </c>
      <c r="C532" s="380" t="str">
        <f>IFERROR(__xludf.DUMMYFUNCTION("""COMPUTED_VALUE"""),"10000299")</f>
        <v>10000299</v>
      </c>
      <c r="D532" s="380" t="s">
        <v>767</v>
      </c>
      <c r="E532" s="380" t="s">
        <v>768</v>
      </c>
      <c r="F532" s="380" t="s">
        <v>803</v>
      </c>
      <c r="G532" s="380" t="s">
        <v>1267</v>
      </c>
      <c r="H532" s="380" t="s">
        <v>771</v>
      </c>
      <c r="I532" s="380" t="s">
        <v>772</v>
      </c>
      <c r="J532" s="380" t="s">
        <v>773</v>
      </c>
      <c r="K532" s="381">
        <v>0.0</v>
      </c>
      <c r="L532" s="382">
        <v>1.0</v>
      </c>
    </row>
    <row r="533">
      <c r="A533" s="380" t="s">
        <v>1374</v>
      </c>
      <c r="B533" s="380" t="str">
        <f>IFERROR(__xludf.DUMMYFUNCTION("""COMPUTED_VALUE"""),"Pila Pequeña Triple AAA")</f>
        <v>Pila Pequeña Triple AAA</v>
      </c>
      <c r="C533" s="380" t="str">
        <f>IFERROR(__xludf.DUMMYFUNCTION("""COMPUTED_VALUE"""),"10000300")</f>
        <v>10000300</v>
      </c>
      <c r="D533" s="380" t="s">
        <v>767</v>
      </c>
      <c r="E533" s="380" t="s">
        <v>768</v>
      </c>
      <c r="F533" s="380" t="s">
        <v>797</v>
      </c>
      <c r="G533" s="380" t="s">
        <v>1267</v>
      </c>
      <c r="H533" s="380" t="s">
        <v>771</v>
      </c>
      <c r="I533" s="380" t="s">
        <v>799</v>
      </c>
      <c r="J533" s="380" t="s">
        <v>773</v>
      </c>
      <c r="K533" s="381">
        <v>1891.0</v>
      </c>
      <c r="L533" s="382">
        <v>1.0</v>
      </c>
    </row>
    <row r="534">
      <c r="A534" s="380" t="s">
        <v>1375</v>
      </c>
      <c r="B534" s="380" t="str">
        <f>IFERROR(__xludf.DUMMYFUNCTION("""COMPUTED_VALUE"""),"Sal Refisal")</f>
        <v>Sal Refisal</v>
      </c>
      <c r="C534" s="380" t="str">
        <f>IFERROR(__xludf.DUMMYFUNCTION("""COMPUTED_VALUE"""),"10000301")</f>
        <v>10000301</v>
      </c>
      <c r="D534" s="380" t="s">
        <v>767</v>
      </c>
      <c r="E534" s="380" t="s">
        <v>768</v>
      </c>
      <c r="F534" s="380" t="s">
        <v>803</v>
      </c>
      <c r="G534" s="380" t="s">
        <v>1267</v>
      </c>
      <c r="H534" s="380" t="s">
        <v>771</v>
      </c>
      <c r="I534" s="380" t="s">
        <v>772</v>
      </c>
      <c r="J534" s="380" t="s">
        <v>773</v>
      </c>
      <c r="K534" s="381">
        <v>0.0</v>
      </c>
      <c r="L534" s="382">
        <v>1.0</v>
      </c>
    </row>
    <row r="535">
      <c r="A535" s="380" t="s">
        <v>1376</v>
      </c>
      <c r="B535" s="380" t="str">
        <f>IFERROR(__xludf.DUMMYFUNCTION("""COMPUTED_VALUE"""),"Zumo De Limon X Litro")</f>
        <v>Zumo De Limon X Litro</v>
      </c>
      <c r="C535" s="380" t="str">
        <f>IFERROR(__xludf.DUMMYFUNCTION("""COMPUTED_VALUE"""),"10000302")</f>
        <v>10000302</v>
      </c>
      <c r="D535" s="380" t="s">
        <v>767</v>
      </c>
      <c r="E535" s="380" t="s">
        <v>768</v>
      </c>
      <c r="F535" s="380" t="s">
        <v>803</v>
      </c>
      <c r="G535" s="380" t="s">
        <v>1267</v>
      </c>
      <c r="H535" s="380" t="s">
        <v>771</v>
      </c>
      <c r="I535" s="380" t="s">
        <v>772</v>
      </c>
      <c r="J535" s="380" t="s">
        <v>773</v>
      </c>
      <c r="K535" s="381">
        <v>0.0</v>
      </c>
      <c r="L535" s="382">
        <v>1.0</v>
      </c>
    </row>
    <row r="536">
      <c r="A536" s="380" t="s">
        <v>1377</v>
      </c>
      <c r="B536" s="380" t="str">
        <f>IFERROR(__xludf.DUMMYFUNCTION("""COMPUTED_VALUE"""),"Pila Mediana Tipo C 1035")</f>
        <v>Pila Mediana Tipo C 1035</v>
      </c>
      <c r="C536" s="380" t="str">
        <f>IFERROR(__xludf.DUMMYFUNCTION("""COMPUTED_VALUE"""),"10000303")</f>
        <v>10000303</v>
      </c>
      <c r="D536" s="380" t="s">
        <v>767</v>
      </c>
      <c r="E536" s="380" t="s">
        <v>768</v>
      </c>
      <c r="F536" s="380" t="s">
        <v>797</v>
      </c>
      <c r="G536" s="380" t="s">
        <v>1267</v>
      </c>
      <c r="H536" s="380" t="s">
        <v>771</v>
      </c>
      <c r="I536" s="380" t="s">
        <v>799</v>
      </c>
      <c r="J536" s="380" t="s">
        <v>773</v>
      </c>
      <c r="K536" s="381">
        <v>14823.0</v>
      </c>
      <c r="L536" s="382">
        <v>1.0</v>
      </c>
    </row>
    <row r="537">
      <c r="A537" s="380" t="s">
        <v>1378</v>
      </c>
      <c r="B537" s="380" t="str">
        <f>IFERROR(__xludf.DUMMYFUNCTION("""COMPUTED_VALUE"""),"Pila Pequeña Doble AA")</f>
        <v>Pila Pequeña Doble AA</v>
      </c>
      <c r="C537" s="380" t="str">
        <f>IFERROR(__xludf.DUMMYFUNCTION("""COMPUTED_VALUE"""),"10000304")</f>
        <v>10000304</v>
      </c>
      <c r="D537" s="380" t="s">
        <v>767</v>
      </c>
      <c r="E537" s="380" t="s">
        <v>768</v>
      </c>
      <c r="F537" s="380" t="s">
        <v>797</v>
      </c>
      <c r="G537" s="380" t="s">
        <v>1267</v>
      </c>
      <c r="H537" s="380" t="s">
        <v>771</v>
      </c>
      <c r="I537" s="380" t="s">
        <v>799</v>
      </c>
      <c r="J537" s="380" t="s">
        <v>773</v>
      </c>
      <c r="K537" s="381">
        <v>1916.0</v>
      </c>
      <c r="L537" s="382">
        <v>1.0</v>
      </c>
    </row>
    <row r="538">
      <c r="A538" s="380" t="s">
        <v>1379</v>
      </c>
      <c r="B538" s="380" t="str">
        <f>IFERROR(__xludf.DUMMYFUNCTION("""COMPUTED_VALUE"""),"Pila Cuadrada 9 Voltios")</f>
        <v>Pila Cuadrada 9 Voltios</v>
      </c>
      <c r="C538" s="380" t="str">
        <f>IFERROR(__xludf.DUMMYFUNCTION("""COMPUTED_VALUE"""),"10000305")</f>
        <v>10000305</v>
      </c>
      <c r="D538" s="380" t="s">
        <v>767</v>
      </c>
      <c r="E538" s="380" t="s">
        <v>768</v>
      </c>
      <c r="F538" s="380" t="s">
        <v>797</v>
      </c>
      <c r="G538" s="380" t="s">
        <v>1267</v>
      </c>
      <c r="H538" s="380" t="s">
        <v>771</v>
      </c>
      <c r="I538" s="380" t="s">
        <v>799</v>
      </c>
      <c r="J538" s="380" t="s">
        <v>773</v>
      </c>
      <c r="K538" s="381">
        <v>10392.0</v>
      </c>
      <c r="L538" s="382">
        <v>1.0</v>
      </c>
    </row>
    <row r="539">
      <c r="A539" s="380" t="s">
        <v>1380</v>
      </c>
      <c r="B539" s="380" t="str">
        <f>IFERROR(__xludf.DUMMYFUNCTION("""COMPUTED_VALUE"""),"Tarjeta En Blanco Para Carnet")</f>
        <v>Tarjeta En Blanco Para Carnet</v>
      </c>
      <c r="C539" s="380" t="str">
        <f>IFERROR(__xludf.DUMMYFUNCTION("""COMPUTED_VALUE"""),"10000306")</f>
        <v>10000306</v>
      </c>
      <c r="D539" s="380" t="s">
        <v>767</v>
      </c>
      <c r="E539" s="380" t="s">
        <v>768</v>
      </c>
      <c r="F539" s="380" t="s">
        <v>797</v>
      </c>
      <c r="G539" s="380" t="s">
        <v>1267</v>
      </c>
      <c r="H539" s="380" t="s">
        <v>771</v>
      </c>
      <c r="I539" s="380" t="s">
        <v>799</v>
      </c>
      <c r="J539" s="380" t="s">
        <v>773</v>
      </c>
      <c r="K539" s="381">
        <v>0.0</v>
      </c>
      <c r="L539" s="382">
        <v>1.0</v>
      </c>
    </row>
    <row r="540">
      <c r="A540" s="380" t="s">
        <v>1381</v>
      </c>
      <c r="B540" s="380" t="str">
        <f>IFERROR(__xludf.DUMMYFUNCTION("""COMPUTED_VALUE"""),"Tonner Samsung Mlt-D205l/Xax")</f>
        <v>Tonner Samsung Mlt-D205l/Xax</v>
      </c>
      <c r="C540" s="380" t="str">
        <f>IFERROR(__xludf.DUMMYFUNCTION("""COMPUTED_VALUE"""),"10000307")</f>
        <v>10000307</v>
      </c>
      <c r="D540" s="380" t="s">
        <v>767</v>
      </c>
      <c r="E540" s="380" t="s">
        <v>768</v>
      </c>
      <c r="F540" s="380" t="s">
        <v>797</v>
      </c>
      <c r="G540" s="380" t="s">
        <v>1267</v>
      </c>
      <c r="H540" s="380" t="s">
        <v>771</v>
      </c>
      <c r="I540" s="380" t="s">
        <v>799</v>
      </c>
      <c r="J540" s="380" t="s">
        <v>773</v>
      </c>
      <c r="K540" s="381">
        <v>140420.0</v>
      </c>
      <c r="L540" s="382">
        <v>1.0</v>
      </c>
    </row>
    <row r="541">
      <c r="A541" s="380" t="s">
        <v>1382</v>
      </c>
      <c r="B541" s="380" t="str">
        <f>IFERROR(__xludf.DUMMYFUNCTION("""COMPUTED_VALUE"""),"Cinta Datacard Cp 40 Plus Colo")</f>
        <v>Cinta Datacard Cp 40 Plus Colo</v>
      </c>
      <c r="C541" s="380" t="str">
        <f>IFERROR(__xludf.DUMMYFUNCTION("""COMPUTED_VALUE"""),"10000308")</f>
        <v>10000308</v>
      </c>
      <c r="D541" s="380" t="s">
        <v>767</v>
      </c>
      <c r="E541" s="380" t="s">
        <v>768</v>
      </c>
      <c r="F541" s="380" t="s">
        <v>797</v>
      </c>
      <c r="G541" s="380" t="s">
        <v>1267</v>
      </c>
      <c r="H541" s="380" t="s">
        <v>771</v>
      </c>
      <c r="I541" s="380" t="s">
        <v>799</v>
      </c>
      <c r="J541" s="380" t="s">
        <v>773</v>
      </c>
      <c r="K541" s="381">
        <v>0.0</v>
      </c>
      <c r="L541" s="382">
        <v>1.0</v>
      </c>
    </row>
    <row r="542">
      <c r="A542" s="380" t="s">
        <v>1383</v>
      </c>
      <c r="B542" s="380" t="str">
        <f>IFERROR(__xludf.DUMMYFUNCTION("""COMPUTED_VALUE"""),"Calculadora Max Electr Mx D58")</f>
        <v>Calculadora Max Electr Mx D58</v>
      </c>
      <c r="C542" s="380" t="str">
        <f>IFERROR(__xludf.DUMMYFUNCTION("""COMPUTED_VALUE"""),"10000309")</f>
        <v>10000309</v>
      </c>
      <c r="D542" s="380" t="s">
        <v>767</v>
      </c>
      <c r="E542" s="380" t="s">
        <v>768</v>
      </c>
      <c r="F542" s="380" t="s">
        <v>797</v>
      </c>
      <c r="G542" s="380" t="s">
        <v>1267</v>
      </c>
      <c r="H542" s="380" t="s">
        <v>771</v>
      </c>
      <c r="I542" s="380" t="s">
        <v>799</v>
      </c>
      <c r="J542" s="380" t="s">
        <v>773</v>
      </c>
      <c r="K542" s="381">
        <v>0.0</v>
      </c>
      <c r="L542" s="382">
        <v>1.0</v>
      </c>
    </row>
    <row r="543">
      <c r="A543" s="380" t="s">
        <v>1384</v>
      </c>
      <c r="B543" s="380" t="str">
        <f>IFERROR(__xludf.DUMMYFUNCTION("""COMPUTED_VALUE"""),"Recibos Caja Por Terminal X100 Cucuta")</f>
        <v>Recibos Caja Por Terminal X100 Cucuta</v>
      </c>
      <c r="C543" s="380" t="str">
        <f>IFERROR(__xludf.DUMMYFUNCTION("""COMPUTED_VALUE"""),"10000310")</f>
        <v>10000310</v>
      </c>
      <c r="D543" s="380" t="s">
        <v>767</v>
      </c>
      <c r="E543" s="380" t="s">
        <v>768</v>
      </c>
      <c r="F543" s="380" t="s">
        <v>797</v>
      </c>
      <c r="G543" s="380" t="s">
        <v>1267</v>
      </c>
      <c r="H543" s="380" t="s">
        <v>771</v>
      </c>
      <c r="I543" s="380" t="s">
        <v>799</v>
      </c>
      <c r="J543" s="380" t="s">
        <v>773</v>
      </c>
      <c r="K543" s="381">
        <v>0.0</v>
      </c>
      <c r="L543" s="382">
        <v>1.0</v>
      </c>
    </row>
    <row r="544">
      <c r="A544" s="380" t="s">
        <v>1385</v>
      </c>
      <c r="B544" s="380" t="str">
        <f>IFERROR(__xludf.DUMMYFUNCTION("""COMPUTED_VALUE"""),"Recibos Caja Por Terminal X100 B/bermeja")</f>
        <v>Recibos Caja Por Terminal X100 B/bermeja</v>
      </c>
      <c r="C544" s="380" t="str">
        <f>IFERROR(__xludf.DUMMYFUNCTION("""COMPUTED_VALUE"""),"10000311")</f>
        <v>10000311</v>
      </c>
      <c r="D544" s="380" t="s">
        <v>767</v>
      </c>
      <c r="E544" s="380" t="s">
        <v>768</v>
      </c>
      <c r="F544" s="380" t="s">
        <v>797</v>
      </c>
      <c r="G544" s="380" t="s">
        <v>1267</v>
      </c>
      <c r="H544" s="380" t="s">
        <v>771</v>
      </c>
      <c r="I544" s="380" t="s">
        <v>799</v>
      </c>
      <c r="J544" s="380" t="s">
        <v>773</v>
      </c>
      <c r="K544" s="381">
        <v>0.0</v>
      </c>
      <c r="L544" s="382">
        <v>1.0</v>
      </c>
    </row>
    <row r="545">
      <c r="A545" s="380" t="s">
        <v>1386</v>
      </c>
      <c r="B545" s="380" t="str">
        <f>IFERROR(__xludf.DUMMYFUNCTION("""COMPUTED_VALUE"""),"Recibos Caja Por Terminal X100 Copacaban")</f>
        <v>Recibos Caja Por Terminal X100 Copacaban</v>
      </c>
      <c r="C545" s="380" t="str">
        <f>IFERROR(__xludf.DUMMYFUNCTION("""COMPUTED_VALUE"""),"10000312")</f>
        <v>10000312</v>
      </c>
      <c r="D545" s="380" t="s">
        <v>767</v>
      </c>
      <c r="E545" s="380" t="s">
        <v>768</v>
      </c>
      <c r="F545" s="380" t="s">
        <v>797</v>
      </c>
      <c r="G545" s="380" t="s">
        <v>1267</v>
      </c>
      <c r="H545" s="380" t="s">
        <v>771</v>
      </c>
      <c r="I545" s="380" t="s">
        <v>799</v>
      </c>
      <c r="J545" s="380" t="s">
        <v>773</v>
      </c>
      <c r="K545" s="381">
        <v>0.0</v>
      </c>
      <c r="L545" s="382">
        <v>1.0</v>
      </c>
    </row>
    <row r="546">
      <c r="A546" s="380" t="s">
        <v>1387</v>
      </c>
      <c r="B546" s="380" t="str">
        <f>IFERROR(__xludf.DUMMYFUNCTION("""COMPUTED_VALUE"""),"Recibos Caja Por Terminal X100 Pasto")</f>
        <v>Recibos Caja Por Terminal X100 Pasto</v>
      </c>
      <c r="C546" s="380" t="str">
        <f>IFERROR(__xludf.DUMMYFUNCTION("""COMPUTED_VALUE"""),"10000313")</f>
        <v>10000313</v>
      </c>
      <c r="D546" s="380" t="s">
        <v>767</v>
      </c>
      <c r="E546" s="380" t="s">
        <v>768</v>
      </c>
      <c r="F546" s="380" t="s">
        <v>797</v>
      </c>
      <c r="G546" s="380" t="s">
        <v>1267</v>
      </c>
      <c r="H546" s="380" t="s">
        <v>771</v>
      </c>
      <c r="I546" s="380" t="s">
        <v>799</v>
      </c>
      <c r="J546" s="380" t="s">
        <v>773</v>
      </c>
      <c r="K546" s="381">
        <v>0.0</v>
      </c>
      <c r="L546" s="382">
        <v>1.0</v>
      </c>
    </row>
    <row r="547">
      <c r="A547" s="380" t="s">
        <v>1388</v>
      </c>
      <c r="B547" s="380" t="str">
        <f>IFERROR(__xludf.DUMMYFUNCTION("""COMPUTED_VALUE"""),"Recibos Caja Por Terminal X100 Riohacha")</f>
        <v>Recibos Caja Por Terminal X100 Riohacha</v>
      </c>
      <c r="C547" s="380" t="str">
        <f>IFERROR(__xludf.DUMMYFUNCTION("""COMPUTED_VALUE"""),"10000314")</f>
        <v>10000314</v>
      </c>
      <c r="D547" s="380" t="s">
        <v>767</v>
      </c>
      <c r="E547" s="380" t="s">
        <v>768</v>
      </c>
      <c r="F547" s="380" t="s">
        <v>797</v>
      </c>
      <c r="G547" s="380" t="s">
        <v>1267</v>
      </c>
      <c r="H547" s="380" t="s">
        <v>771</v>
      </c>
      <c r="I547" s="380" t="s">
        <v>799</v>
      </c>
      <c r="J547" s="380" t="s">
        <v>773</v>
      </c>
      <c r="K547" s="381">
        <v>0.0</v>
      </c>
      <c r="L547" s="382">
        <v>1.0</v>
      </c>
    </row>
    <row r="548">
      <c r="A548" s="380" t="s">
        <v>1389</v>
      </c>
      <c r="B548" s="380" t="str">
        <f>IFERROR(__xludf.DUMMYFUNCTION("""COMPUTED_VALUE"""),"Recibos Caja Por Terminal X100 Pereira")</f>
        <v>Recibos Caja Por Terminal X100 Pereira</v>
      </c>
      <c r="C548" s="380" t="str">
        <f>IFERROR(__xludf.DUMMYFUNCTION("""COMPUTED_VALUE"""),"10000315")</f>
        <v>10000315</v>
      </c>
      <c r="D548" s="380" t="s">
        <v>767</v>
      </c>
      <c r="E548" s="380" t="s">
        <v>768</v>
      </c>
      <c r="F548" s="380" t="s">
        <v>797</v>
      </c>
      <c r="G548" s="380" t="s">
        <v>1267</v>
      </c>
      <c r="H548" s="380" t="s">
        <v>771</v>
      </c>
      <c r="I548" s="380" t="s">
        <v>799</v>
      </c>
      <c r="J548" s="380" t="s">
        <v>773</v>
      </c>
      <c r="K548" s="381">
        <v>0.0</v>
      </c>
      <c r="L548" s="382">
        <v>1.0</v>
      </c>
    </row>
    <row r="549">
      <c r="A549" s="380" t="s">
        <v>1390</v>
      </c>
      <c r="B549" s="380" t="str">
        <f>IFERROR(__xludf.DUMMYFUNCTION("""COMPUTED_VALUE"""),"Recibos Caja Por Terminal X100 Buenavent")</f>
        <v>Recibos Caja Por Terminal X100 Buenavent</v>
      </c>
      <c r="C549" s="380" t="str">
        <f>IFERROR(__xludf.DUMMYFUNCTION("""COMPUTED_VALUE"""),"10000316")</f>
        <v>10000316</v>
      </c>
      <c r="D549" s="380" t="s">
        <v>767</v>
      </c>
      <c r="E549" s="380" t="s">
        <v>768</v>
      </c>
      <c r="F549" s="380" t="s">
        <v>797</v>
      </c>
      <c r="G549" s="380" t="s">
        <v>1267</v>
      </c>
      <c r="H549" s="380" t="s">
        <v>771</v>
      </c>
      <c r="I549" s="380" t="s">
        <v>799</v>
      </c>
      <c r="J549" s="380" t="s">
        <v>773</v>
      </c>
      <c r="K549" s="381">
        <v>0.0</v>
      </c>
      <c r="L549" s="382">
        <v>1.0</v>
      </c>
    </row>
    <row r="550">
      <c r="A550" s="380" t="s">
        <v>1391</v>
      </c>
      <c r="B550" s="380" t="str">
        <f>IFERROR(__xludf.DUMMYFUNCTION("""COMPUTED_VALUE"""),"Recibos Caja Por Terminal X100 B/manga")</f>
        <v>Recibos Caja Por Terminal X100 B/manga</v>
      </c>
      <c r="C550" s="380" t="str">
        <f>IFERROR(__xludf.DUMMYFUNCTION("""COMPUTED_VALUE"""),"10000317")</f>
        <v>10000317</v>
      </c>
      <c r="D550" s="380" t="s">
        <v>767</v>
      </c>
      <c r="E550" s="380" t="s">
        <v>768</v>
      </c>
      <c r="F550" s="380" t="s">
        <v>797</v>
      </c>
      <c r="G550" s="380" t="s">
        <v>1267</v>
      </c>
      <c r="H550" s="380" t="s">
        <v>771</v>
      </c>
      <c r="I550" s="380" t="s">
        <v>799</v>
      </c>
      <c r="J550" s="380" t="s">
        <v>773</v>
      </c>
      <c r="K550" s="381">
        <v>0.0</v>
      </c>
      <c r="L550" s="382">
        <v>1.0</v>
      </c>
    </row>
    <row r="551">
      <c r="A551" s="380" t="s">
        <v>1392</v>
      </c>
      <c r="B551" s="380" t="str">
        <f>IFERROR(__xludf.DUMMYFUNCTION("""COMPUTED_VALUE"""),"Recibos Caja Por Terminal X100 Pitalito")</f>
        <v>Recibos Caja Por Terminal X100 Pitalito</v>
      </c>
      <c r="C551" s="380" t="str">
        <f>IFERROR(__xludf.DUMMYFUNCTION("""COMPUTED_VALUE"""),"10000318")</f>
        <v>10000318</v>
      </c>
      <c r="D551" s="380" t="s">
        <v>767</v>
      </c>
      <c r="E551" s="380" t="s">
        <v>768</v>
      </c>
      <c r="F551" s="380" t="s">
        <v>797</v>
      </c>
      <c r="G551" s="380" t="s">
        <v>1267</v>
      </c>
      <c r="H551" s="380" t="s">
        <v>771</v>
      </c>
      <c r="I551" s="380" t="s">
        <v>799</v>
      </c>
      <c r="J551" s="380" t="s">
        <v>773</v>
      </c>
      <c r="K551" s="381">
        <v>0.0</v>
      </c>
      <c r="L551" s="382">
        <v>1.0</v>
      </c>
    </row>
    <row r="552">
      <c r="A552" s="380" t="s">
        <v>1393</v>
      </c>
      <c r="B552" s="380" t="str">
        <f>IFERROR(__xludf.DUMMYFUNCTION("""COMPUTED_VALUE"""),"Recibos Caja Por Terminal X100 Rionegro")</f>
        <v>Recibos Caja Por Terminal X100 Rionegro</v>
      </c>
      <c r="C552" s="380" t="str">
        <f>IFERROR(__xludf.DUMMYFUNCTION("""COMPUTED_VALUE"""),"10000319")</f>
        <v>10000319</v>
      </c>
      <c r="D552" s="380" t="s">
        <v>767</v>
      </c>
      <c r="E552" s="380" t="s">
        <v>768</v>
      </c>
      <c r="F552" s="380" t="s">
        <v>797</v>
      </c>
      <c r="G552" s="380" t="s">
        <v>1267</v>
      </c>
      <c r="H552" s="380" t="s">
        <v>771</v>
      </c>
      <c r="I552" s="380" t="s">
        <v>799</v>
      </c>
      <c r="J552" s="380" t="s">
        <v>773</v>
      </c>
      <c r="K552" s="381">
        <v>0.0</v>
      </c>
      <c r="L552" s="382">
        <v>1.0</v>
      </c>
    </row>
    <row r="553">
      <c r="A553" s="380" t="s">
        <v>1394</v>
      </c>
      <c r="B553" s="380" t="str">
        <f>IFERROR(__xludf.DUMMYFUNCTION("""COMPUTED_VALUE"""),"Recibos Caja Por Terminal X100 Neiva")</f>
        <v>Recibos Caja Por Terminal X100 Neiva</v>
      </c>
      <c r="C553" s="380" t="str">
        <f>IFERROR(__xludf.DUMMYFUNCTION("""COMPUTED_VALUE"""),"10000320")</f>
        <v>10000320</v>
      </c>
      <c r="D553" s="380" t="s">
        <v>767</v>
      </c>
      <c r="E553" s="380" t="s">
        <v>768</v>
      </c>
      <c r="F553" s="380" t="s">
        <v>797</v>
      </c>
      <c r="G553" s="380" t="s">
        <v>1267</v>
      </c>
      <c r="H553" s="380" t="s">
        <v>771</v>
      </c>
      <c r="I553" s="380" t="s">
        <v>799</v>
      </c>
      <c r="J553" s="380" t="s">
        <v>773</v>
      </c>
      <c r="K553" s="381">
        <v>0.0</v>
      </c>
      <c r="L553" s="382">
        <v>1.0</v>
      </c>
    </row>
    <row r="554">
      <c r="A554" s="380" t="s">
        <v>1395</v>
      </c>
      <c r="B554" s="380" t="str">
        <f>IFERROR(__xludf.DUMMYFUNCTION("""COMPUTED_VALUE"""),"Recibos Caja Por Terminal X100 Fusagasug")</f>
        <v>Recibos Caja Por Terminal X100 Fusagasug</v>
      </c>
      <c r="C554" s="380" t="str">
        <f>IFERROR(__xludf.DUMMYFUNCTION("""COMPUTED_VALUE"""),"10000321")</f>
        <v>10000321</v>
      </c>
      <c r="D554" s="380" t="s">
        <v>767</v>
      </c>
      <c r="E554" s="380" t="s">
        <v>768</v>
      </c>
      <c r="F554" s="380" t="s">
        <v>797</v>
      </c>
      <c r="G554" s="380" t="s">
        <v>1267</v>
      </c>
      <c r="H554" s="380" t="s">
        <v>771</v>
      </c>
      <c r="I554" s="380" t="s">
        <v>799</v>
      </c>
      <c r="J554" s="380" t="s">
        <v>773</v>
      </c>
      <c r="K554" s="381">
        <v>0.0</v>
      </c>
      <c r="L554" s="382">
        <v>1.0</v>
      </c>
    </row>
    <row r="555">
      <c r="A555" s="380" t="s">
        <v>1396</v>
      </c>
      <c r="B555" s="380" t="str">
        <f>IFERROR(__xludf.DUMMYFUNCTION("""COMPUTED_VALUE"""),"Recibos Caja Por Terminal X100 Sincelejo")</f>
        <v>Recibos Caja Por Terminal X100 Sincelejo</v>
      </c>
      <c r="C555" s="380" t="str">
        <f>IFERROR(__xludf.DUMMYFUNCTION("""COMPUTED_VALUE"""),"10000322")</f>
        <v>10000322</v>
      </c>
      <c r="D555" s="380" t="s">
        <v>767</v>
      </c>
      <c r="E555" s="380" t="s">
        <v>768</v>
      </c>
      <c r="F555" s="380" t="s">
        <v>797</v>
      </c>
      <c r="G555" s="380" t="s">
        <v>1267</v>
      </c>
      <c r="H555" s="380" t="s">
        <v>771</v>
      </c>
      <c r="I555" s="380" t="s">
        <v>799</v>
      </c>
      <c r="J555" s="380" t="s">
        <v>773</v>
      </c>
      <c r="K555" s="381">
        <v>0.0</v>
      </c>
      <c r="L555" s="382">
        <v>1.0</v>
      </c>
    </row>
    <row r="556">
      <c r="A556" s="380" t="s">
        <v>1397</v>
      </c>
      <c r="B556" s="380" t="str">
        <f>IFERROR(__xludf.DUMMYFUNCTION("""COMPUTED_VALUE"""),"Recibos Caja Por Terminal X100 Cienaga")</f>
        <v>Recibos Caja Por Terminal X100 Cienaga</v>
      </c>
      <c r="C556" s="380" t="str">
        <f>IFERROR(__xludf.DUMMYFUNCTION("""COMPUTED_VALUE"""),"10000323")</f>
        <v>10000323</v>
      </c>
      <c r="D556" s="380" t="s">
        <v>767</v>
      </c>
      <c r="E556" s="380" t="s">
        <v>768</v>
      </c>
      <c r="F556" s="380" t="s">
        <v>797</v>
      </c>
      <c r="G556" s="380" t="s">
        <v>1267</v>
      </c>
      <c r="H556" s="380" t="s">
        <v>771</v>
      </c>
      <c r="I556" s="380" t="s">
        <v>799</v>
      </c>
      <c r="J556" s="380" t="s">
        <v>773</v>
      </c>
      <c r="K556" s="381">
        <v>0.0</v>
      </c>
      <c r="L556" s="382">
        <v>1.0</v>
      </c>
    </row>
    <row r="557">
      <c r="A557" s="380" t="s">
        <v>1398</v>
      </c>
      <c r="B557" s="380" t="str">
        <f>IFERROR(__xludf.DUMMYFUNCTION("""COMPUTED_VALUE"""),"Recibos Caja Por Terminal X100 DG")</f>
        <v>Recibos Caja Por Terminal X100 DG</v>
      </c>
      <c r="C557" s="380" t="str">
        <f>IFERROR(__xludf.DUMMYFUNCTION("""COMPUTED_VALUE"""),"10000324")</f>
        <v>10000324</v>
      </c>
      <c r="D557" s="380" t="s">
        <v>767</v>
      </c>
      <c r="E557" s="380" t="s">
        <v>768</v>
      </c>
      <c r="F557" s="380" t="s">
        <v>797</v>
      </c>
      <c r="G557" s="380" t="s">
        <v>1267</v>
      </c>
      <c r="H557" s="380" t="s">
        <v>771</v>
      </c>
      <c r="I557" s="380" t="s">
        <v>799</v>
      </c>
      <c r="J557" s="380" t="s">
        <v>773</v>
      </c>
      <c r="K557" s="381">
        <v>0.0</v>
      </c>
      <c r="L557" s="382">
        <v>1.0</v>
      </c>
    </row>
    <row r="558">
      <c r="A558" s="380" t="s">
        <v>1399</v>
      </c>
      <c r="B558" s="380" t="str">
        <f>IFERROR(__xludf.DUMMYFUNCTION("""COMPUTED_VALUE"""),"Recibos Caja Por Terminal X100 Tunja")</f>
        <v>Recibos Caja Por Terminal X100 Tunja</v>
      </c>
      <c r="C558" s="380" t="str">
        <f>IFERROR(__xludf.DUMMYFUNCTION("""COMPUTED_VALUE"""),"10000325")</f>
        <v>10000325</v>
      </c>
      <c r="D558" s="380" t="s">
        <v>767</v>
      </c>
      <c r="E558" s="380" t="s">
        <v>768</v>
      </c>
      <c r="F558" s="380" t="s">
        <v>797</v>
      </c>
      <c r="G558" s="380" t="s">
        <v>1267</v>
      </c>
      <c r="H558" s="380" t="s">
        <v>771</v>
      </c>
      <c r="I558" s="380" t="s">
        <v>799</v>
      </c>
      <c r="J558" s="380" t="s">
        <v>773</v>
      </c>
      <c r="K558" s="381">
        <v>0.0</v>
      </c>
      <c r="L558" s="382">
        <v>1.0</v>
      </c>
    </row>
    <row r="559">
      <c r="A559" s="380" t="s">
        <v>1400</v>
      </c>
      <c r="B559" s="380" t="str">
        <f>IFERROR(__xludf.DUMMYFUNCTION("""COMPUTED_VALUE"""),"Rotulo Las 3129 215.9x279.4x30")</f>
        <v>Rotulo Las 3129 215.9x279.4x30</v>
      </c>
      <c r="C559" s="380" t="str">
        <f>IFERROR(__xludf.DUMMYFUNCTION("""COMPUTED_VALUE"""),"10000326")</f>
        <v>10000326</v>
      </c>
      <c r="D559" s="380" t="s">
        <v>767</v>
      </c>
      <c r="E559" s="380" t="s">
        <v>768</v>
      </c>
      <c r="F559" s="380" t="s">
        <v>797</v>
      </c>
      <c r="G559" s="380" t="s">
        <v>1267</v>
      </c>
      <c r="H559" s="380" t="s">
        <v>771</v>
      </c>
      <c r="I559" s="380" t="s">
        <v>799</v>
      </c>
      <c r="J559" s="380" t="s">
        <v>773</v>
      </c>
      <c r="K559" s="381">
        <v>0.0</v>
      </c>
      <c r="L559" s="382">
        <v>1.0</v>
      </c>
    </row>
    <row r="560">
      <c r="A560" s="380" t="s">
        <v>1401</v>
      </c>
      <c r="B560" s="380" t="str">
        <f>IFERROR(__xludf.DUMMYFUNCTION("""COMPUTED_VALUE"""),"Recibos Caja Por Terminal X100 Medellin")</f>
        <v>Recibos Caja Por Terminal X100 Medellin</v>
      </c>
      <c r="C560" s="380" t="str">
        <f>IFERROR(__xludf.DUMMYFUNCTION("""COMPUTED_VALUE"""),"10000327")</f>
        <v>10000327</v>
      </c>
      <c r="D560" s="380" t="s">
        <v>767</v>
      </c>
      <c r="E560" s="380" t="s">
        <v>768</v>
      </c>
      <c r="F560" s="380" t="s">
        <v>797</v>
      </c>
      <c r="G560" s="380" t="s">
        <v>1267</v>
      </c>
      <c r="H560" s="380" t="s">
        <v>771</v>
      </c>
      <c r="I560" s="380" t="s">
        <v>799</v>
      </c>
      <c r="J560" s="380" t="s">
        <v>773</v>
      </c>
      <c r="K560" s="381">
        <v>0.0</v>
      </c>
      <c r="L560" s="382">
        <v>1.0</v>
      </c>
    </row>
    <row r="561">
      <c r="A561" s="380" t="s">
        <v>1402</v>
      </c>
      <c r="B561" s="380" t="str">
        <f>IFERROR(__xludf.DUMMYFUNCTION("""COMPUTED_VALUE"""),"Recibos Caja Por Terminal X100 Villavo")</f>
        <v>Recibos Caja Por Terminal X100 Villavo</v>
      </c>
      <c r="C561" s="380" t="str">
        <f>IFERROR(__xludf.DUMMYFUNCTION("""COMPUTED_VALUE"""),"10000328")</f>
        <v>10000328</v>
      </c>
      <c r="D561" s="380" t="s">
        <v>767</v>
      </c>
      <c r="E561" s="380" t="s">
        <v>768</v>
      </c>
      <c r="F561" s="380" t="s">
        <v>797</v>
      </c>
      <c r="G561" s="380" t="s">
        <v>1267</v>
      </c>
      <c r="H561" s="380" t="s">
        <v>771</v>
      </c>
      <c r="I561" s="380" t="s">
        <v>799</v>
      </c>
      <c r="J561" s="380" t="s">
        <v>773</v>
      </c>
      <c r="K561" s="381">
        <v>0.0</v>
      </c>
      <c r="L561" s="382">
        <v>1.0</v>
      </c>
    </row>
    <row r="562">
      <c r="A562" s="380" t="s">
        <v>1403</v>
      </c>
      <c r="B562" s="380" t="str">
        <f>IFERROR(__xludf.DUMMYFUNCTION("""COMPUTED_VALUE"""),"Recibos Caja Por Terminal X100 Florencia")</f>
        <v>Recibos Caja Por Terminal X100 Florencia</v>
      </c>
      <c r="C562" s="380" t="str">
        <f>IFERROR(__xludf.DUMMYFUNCTION("""COMPUTED_VALUE"""),"10000329")</f>
        <v>10000329</v>
      </c>
      <c r="D562" s="380" t="s">
        <v>767</v>
      </c>
      <c r="E562" s="380" t="s">
        <v>768</v>
      </c>
      <c r="F562" s="380" t="s">
        <v>797</v>
      </c>
      <c r="G562" s="380" t="s">
        <v>1267</v>
      </c>
      <c r="H562" s="380" t="s">
        <v>771</v>
      </c>
      <c r="I562" s="380" t="s">
        <v>799</v>
      </c>
      <c r="J562" s="380" t="s">
        <v>773</v>
      </c>
      <c r="K562" s="381">
        <v>0.0</v>
      </c>
      <c r="L562" s="382">
        <v>1.0</v>
      </c>
    </row>
    <row r="563">
      <c r="A563" s="380" t="s">
        <v>1404</v>
      </c>
      <c r="B563" s="380" t="str">
        <f>IFERROR(__xludf.DUMMYFUNCTION("""COMPUTED_VALUE"""),"Recibos Caja Por Terminal X100 Ibague")</f>
        <v>Recibos Caja Por Terminal X100 Ibague</v>
      </c>
      <c r="C563" s="380" t="str">
        <f>IFERROR(__xludf.DUMMYFUNCTION("""COMPUTED_VALUE"""),"10000330")</f>
        <v>10000330</v>
      </c>
      <c r="D563" s="380" t="s">
        <v>767</v>
      </c>
      <c r="E563" s="380" t="s">
        <v>768</v>
      </c>
      <c r="F563" s="380" t="s">
        <v>797</v>
      </c>
      <c r="G563" s="380" t="s">
        <v>1267</v>
      </c>
      <c r="H563" s="380" t="s">
        <v>771</v>
      </c>
      <c r="I563" s="380" t="s">
        <v>799</v>
      </c>
      <c r="J563" s="380" t="s">
        <v>773</v>
      </c>
      <c r="K563" s="381">
        <v>0.0</v>
      </c>
      <c r="L563" s="382">
        <v>1.0</v>
      </c>
    </row>
    <row r="564">
      <c r="A564" s="380" t="s">
        <v>1405</v>
      </c>
      <c r="B564" s="380" t="str">
        <f>IFERROR(__xludf.DUMMYFUNCTION("""COMPUTED_VALUE"""),"Recibos Caja Por Terminal X100 Manizales")</f>
        <v>Recibos Caja Por Terminal X100 Manizales</v>
      </c>
      <c r="C564" s="380" t="str">
        <f>IFERROR(__xludf.DUMMYFUNCTION("""COMPUTED_VALUE"""),"10000331")</f>
        <v>10000331</v>
      </c>
      <c r="D564" s="380" t="s">
        <v>767</v>
      </c>
      <c r="E564" s="380" t="s">
        <v>768</v>
      </c>
      <c r="F564" s="380" t="s">
        <v>797</v>
      </c>
      <c r="G564" s="380" t="s">
        <v>1267</v>
      </c>
      <c r="H564" s="380" t="s">
        <v>771</v>
      </c>
      <c r="I564" s="380" t="s">
        <v>799</v>
      </c>
      <c r="J564" s="380" t="s">
        <v>773</v>
      </c>
      <c r="K564" s="381">
        <v>0.0</v>
      </c>
      <c r="L564" s="382">
        <v>1.0</v>
      </c>
    </row>
    <row r="565">
      <c r="A565" s="380" t="s">
        <v>1406</v>
      </c>
      <c r="B565" s="380" t="str">
        <f>IFERROR(__xludf.DUMMYFUNCTION("""COMPUTED_VALUE"""),"Recibos Caja Por Terminal X100 Flandes")</f>
        <v>Recibos Caja Por Terminal X100 Flandes</v>
      </c>
      <c r="C565" s="380" t="str">
        <f>IFERROR(__xludf.DUMMYFUNCTION("""COMPUTED_VALUE"""),"10000332")</f>
        <v>10000332</v>
      </c>
      <c r="D565" s="380" t="s">
        <v>767</v>
      </c>
      <c r="E565" s="380" t="s">
        <v>768</v>
      </c>
      <c r="F565" s="380" t="s">
        <v>797</v>
      </c>
      <c r="G565" s="380" t="s">
        <v>1267</v>
      </c>
      <c r="H565" s="380" t="s">
        <v>771</v>
      </c>
      <c r="I565" s="380" t="s">
        <v>799</v>
      </c>
      <c r="J565" s="380" t="s">
        <v>773</v>
      </c>
      <c r="K565" s="381">
        <v>0.0</v>
      </c>
      <c r="L565" s="382">
        <v>1.0</v>
      </c>
    </row>
    <row r="566">
      <c r="A566" s="380" t="s">
        <v>1407</v>
      </c>
      <c r="B566" s="380" t="str">
        <f>IFERROR(__xludf.DUMMYFUNCTION("""COMPUTED_VALUE"""),"Recibos Caja Por Terminal X100 Bosconia")</f>
        <v>Recibos Caja Por Terminal X100 Bosconia</v>
      </c>
      <c r="C566" s="380" t="str">
        <f>IFERROR(__xludf.DUMMYFUNCTION("""COMPUTED_VALUE"""),"10000333")</f>
        <v>10000333</v>
      </c>
      <c r="D566" s="380" t="s">
        <v>767</v>
      </c>
      <c r="E566" s="380" t="s">
        <v>768</v>
      </c>
      <c r="F566" s="380" t="s">
        <v>797</v>
      </c>
      <c r="G566" s="380" t="s">
        <v>1267</v>
      </c>
      <c r="H566" s="380" t="s">
        <v>771</v>
      </c>
      <c r="I566" s="380" t="s">
        <v>799</v>
      </c>
      <c r="J566" s="380" t="s">
        <v>773</v>
      </c>
      <c r="K566" s="381">
        <v>0.0</v>
      </c>
      <c r="L566" s="382">
        <v>1.0</v>
      </c>
    </row>
    <row r="567">
      <c r="A567" s="380" t="s">
        <v>1408</v>
      </c>
      <c r="B567" s="380" t="str">
        <f>IFERROR(__xludf.DUMMYFUNCTION("""COMPUTED_VALUE"""),"Recibos Caja Por Terminal X100 Calarca")</f>
        <v>Recibos Caja Por Terminal X100 Calarca</v>
      </c>
      <c r="C567" s="380" t="str">
        <f>IFERROR(__xludf.DUMMYFUNCTION("""COMPUTED_VALUE"""),"10000334")</f>
        <v>10000334</v>
      </c>
      <c r="D567" s="380" t="s">
        <v>767</v>
      </c>
      <c r="E567" s="380" t="s">
        <v>768</v>
      </c>
      <c r="F567" s="380" t="s">
        <v>797</v>
      </c>
      <c r="G567" s="380" t="s">
        <v>1267</v>
      </c>
      <c r="H567" s="380" t="s">
        <v>771</v>
      </c>
      <c r="I567" s="380" t="s">
        <v>799</v>
      </c>
      <c r="J567" s="380" t="s">
        <v>773</v>
      </c>
      <c r="K567" s="381">
        <v>0.0</v>
      </c>
      <c r="L567" s="382">
        <v>1.0</v>
      </c>
    </row>
    <row r="568">
      <c r="A568" s="380" t="s">
        <v>1409</v>
      </c>
      <c r="B568" s="380" t="str">
        <f>IFERROR(__xludf.DUMMYFUNCTION("""COMPUTED_VALUE"""),"Recibos Caja Por Terminal X100 La Ceja")</f>
        <v>Recibos Caja Por Terminal X100 La Ceja</v>
      </c>
      <c r="C568" s="380" t="str">
        <f>IFERROR(__xludf.DUMMYFUNCTION("""COMPUTED_VALUE"""),"10000335")</f>
        <v>10000335</v>
      </c>
      <c r="D568" s="380" t="s">
        <v>767</v>
      </c>
      <c r="E568" s="380" t="s">
        <v>768</v>
      </c>
      <c r="F568" s="380" t="s">
        <v>797</v>
      </c>
      <c r="G568" s="380" t="s">
        <v>1267</v>
      </c>
      <c r="H568" s="380" t="s">
        <v>771</v>
      </c>
      <c r="I568" s="380" t="s">
        <v>799</v>
      </c>
      <c r="J568" s="380" t="s">
        <v>773</v>
      </c>
      <c r="K568" s="381">
        <v>0.0</v>
      </c>
      <c r="L568" s="382">
        <v>1.0</v>
      </c>
    </row>
    <row r="569">
      <c r="A569" s="380" t="s">
        <v>1410</v>
      </c>
      <c r="B569" s="380" t="str">
        <f>IFERROR(__xludf.DUMMYFUNCTION("""COMPUTED_VALUE"""),"Recibos Caja Por Terminal X100 Apartado")</f>
        <v>Recibos Caja Por Terminal X100 Apartado</v>
      </c>
      <c r="C569" s="380" t="str">
        <f>IFERROR(__xludf.DUMMYFUNCTION("""COMPUTED_VALUE"""),"10000336")</f>
        <v>10000336</v>
      </c>
      <c r="D569" s="380" t="s">
        <v>767</v>
      </c>
      <c r="E569" s="380" t="s">
        <v>768</v>
      </c>
      <c r="F569" s="380" t="s">
        <v>797</v>
      </c>
      <c r="G569" s="380" t="s">
        <v>1267</v>
      </c>
      <c r="H569" s="380" t="s">
        <v>771</v>
      </c>
      <c r="I569" s="380" t="s">
        <v>799</v>
      </c>
      <c r="J569" s="380" t="s">
        <v>773</v>
      </c>
      <c r="K569" s="381">
        <v>0.0</v>
      </c>
      <c r="L569" s="382">
        <v>1.0</v>
      </c>
    </row>
    <row r="570">
      <c r="A570" s="380" t="s">
        <v>1411</v>
      </c>
      <c r="B570" s="380" t="str">
        <f>IFERROR(__xludf.DUMMYFUNCTION("""COMPUTED_VALUE"""),"Recibos Caja Por Terminal X100 Popayan")</f>
        <v>Recibos Caja Por Terminal X100 Popayan</v>
      </c>
      <c r="C570" s="380" t="str">
        <f>IFERROR(__xludf.DUMMYFUNCTION("""COMPUTED_VALUE"""),"10000337")</f>
        <v>10000337</v>
      </c>
      <c r="D570" s="380" t="s">
        <v>767</v>
      </c>
      <c r="E570" s="380" t="s">
        <v>768</v>
      </c>
      <c r="F570" s="380" t="s">
        <v>797</v>
      </c>
      <c r="G570" s="380" t="s">
        <v>1267</v>
      </c>
      <c r="H570" s="380" t="s">
        <v>771</v>
      </c>
      <c r="I570" s="380" t="s">
        <v>799</v>
      </c>
      <c r="J570" s="380" t="s">
        <v>773</v>
      </c>
      <c r="K570" s="381">
        <v>0.0</v>
      </c>
      <c r="L570" s="382">
        <v>1.0</v>
      </c>
    </row>
    <row r="571">
      <c r="A571" s="380" t="s">
        <v>1412</v>
      </c>
      <c r="B571" s="380" t="str">
        <f>IFERROR(__xludf.DUMMYFUNCTION("""COMPUTED_VALUE"""),"Recibos Caja Por Terminal X100 Bogota")</f>
        <v>Recibos Caja Por Terminal X100 Bogota</v>
      </c>
      <c r="C571" s="380" t="str">
        <f>IFERROR(__xludf.DUMMYFUNCTION("""COMPUTED_VALUE"""),"10000338")</f>
        <v>10000338</v>
      </c>
      <c r="D571" s="380" t="s">
        <v>767</v>
      </c>
      <c r="E571" s="380" t="s">
        <v>768</v>
      </c>
      <c r="F571" s="380" t="s">
        <v>797</v>
      </c>
      <c r="G571" s="380" t="s">
        <v>1267</v>
      </c>
      <c r="H571" s="380" t="s">
        <v>771</v>
      </c>
      <c r="I571" s="380" t="s">
        <v>799</v>
      </c>
      <c r="J571" s="380" t="s">
        <v>773</v>
      </c>
      <c r="K571" s="381">
        <v>0.0</v>
      </c>
      <c r="L571" s="382">
        <v>1.0</v>
      </c>
    </row>
    <row r="572">
      <c r="A572" s="380" t="s">
        <v>1413</v>
      </c>
      <c r="B572" s="380" t="str">
        <f>IFERROR(__xludf.DUMMYFUNCTION("""COMPUTED_VALUE"""),"Recibos Caja Por Terminal X100 Cartagena")</f>
        <v>Recibos Caja Por Terminal X100 Cartagena</v>
      </c>
      <c r="C572" s="380" t="str">
        <f>IFERROR(__xludf.DUMMYFUNCTION("""COMPUTED_VALUE"""),"10000339")</f>
        <v>10000339</v>
      </c>
      <c r="D572" s="380" t="s">
        <v>767</v>
      </c>
      <c r="E572" s="380" t="s">
        <v>768</v>
      </c>
      <c r="F572" s="380" t="s">
        <v>797</v>
      </c>
      <c r="G572" s="380" t="s">
        <v>1267</v>
      </c>
      <c r="H572" s="380" t="s">
        <v>771</v>
      </c>
      <c r="I572" s="380" t="s">
        <v>799</v>
      </c>
      <c r="J572" s="380" t="s">
        <v>773</v>
      </c>
      <c r="K572" s="381">
        <v>0.0</v>
      </c>
      <c r="L572" s="382">
        <v>1.0</v>
      </c>
    </row>
    <row r="573">
      <c r="A573" s="380" t="s">
        <v>1414</v>
      </c>
      <c r="B573" s="380" t="str">
        <f>IFERROR(__xludf.DUMMYFUNCTION("""COMPUTED_VALUE"""),"Recibos Caja Por Terminal X100 Cali")</f>
        <v>Recibos Caja Por Terminal X100 Cali</v>
      </c>
      <c r="C573" s="380" t="str">
        <f>IFERROR(__xludf.DUMMYFUNCTION("""COMPUTED_VALUE"""),"10000340")</f>
        <v>10000340</v>
      </c>
      <c r="D573" s="380" t="s">
        <v>767</v>
      </c>
      <c r="E573" s="380" t="s">
        <v>768</v>
      </c>
      <c r="F573" s="380" t="s">
        <v>797</v>
      </c>
      <c r="G573" s="380" t="s">
        <v>1267</v>
      </c>
      <c r="H573" s="380" t="s">
        <v>771</v>
      </c>
      <c r="I573" s="380" t="s">
        <v>799</v>
      </c>
      <c r="J573" s="380" t="s">
        <v>773</v>
      </c>
      <c r="K573" s="381">
        <v>0.0</v>
      </c>
      <c r="L573" s="382">
        <v>1.0</v>
      </c>
    </row>
    <row r="574">
      <c r="A574" s="380" t="s">
        <v>1415</v>
      </c>
      <c r="B574" s="380" t="str">
        <f>IFERROR(__xludf.DUMMYFUNCTION("""COMPUTED_VALUE"""),"Recibos Caja Por Terminal X100 Aguachica")</f>
        <v>Recibos Caja Por Terminal X100 Aguachica</v>
      </c>
      <c r="C574" s="380" t="str">
        <f>IFERROR(__xludf.DUMMYFUNCTION("""COMPUTED_VALUE"""),"10000341")</f>
        <v>10000341</v>
      </c>
      <c r="D574" s="380" t="s">
        <v>767</v>
      </c>
      <c r="E574" s="380" t="s">
        <v>768</v>
      </c>
      <c r="F574" s="380" t="s">
        <v>797</v>
      </c>
      <c r="G574" s="380" t="s">
        <v>1267</v>
      </c>
      <c r="H574" s="380" t="s">
        <v>771</v>
      </c>
      <c r="I574" s="380" t="s">
        <v>799</v>
      </c>
      <c r="J574" s="380" t="s">
        <v>773</v>
      </c>
      <c r="K574" s="381">
        <v>0.0</v>
      </c>
      <c r="L574" s="382">
        <v>1.0</v>
      </c>
    </row>
    <row r="575">
      <c r="A575" s="380" t="s">
        <v>1416</v>
      </c>
      <c r="B575" s="380" t="str">
        <f>IFERROR(__xludf.DUMMYFUNCTION("""COMPUTED_VALUE"""),"Rueda Giratoria Con Freno 5 X 1x5/8")</f>
        <v>Rueda Giratoria Con Freno 5 X 1x5/8</v>
      </c>
      <c r="C575" s="380" t="str">
        <f>IFERROR(__xludf.DUMMYFUNCTION("""COMPUTED_VALUE"""),"10000342")</f>
        <v>10000342</v>
      </c>
      <c r="D575" s="380" t="s">
        <v>767</v>
      </c>
      <c r="E575" s="380" t="s">
        <v>768</v>
      </c>
      <c r="F575" s="380" t="s">
        <v>797</v>
      </c>
      <c r="G575" s="380" t="s">
        <v>1267</v>
      </c>
      <c r="H575" s="380" t="s">
        <v>771</v>
      </c>
      <c r="I575" s="380" t="s">
        <v>799</v>
      </c>
      <c r="J575" s="380" t="s">
        <v>773</v>
      </c>
      <c r="K575" s="381">
        <v>0.0</v>
      </c>
      <c r="L575" s="382">
        <v>1.0</v>
      </c>
    </row>
    <row r="576">
      <c r="A576" s="380" t="s">
        <v>1417</v>
      </c>
      <c r="B576" s="380" t="str">
        <f>IFERROR(__xludf.DUMMYFUNCTION("""COMPUTED_VALUE"""),"Aviso Prevencion Piso Mojado")</f>
        <v>Aviso Prevencion Piso Mojado</v>
      </c>
      <c r="C576" s="380" t="str">
        <f>IFERROR(__xludf.DUMMYFUNCTION("""COMPUTED_VALUE"""),"10000343")</f>
        <v>10000343</v>
      </c>
      <c r="D576" s="380" t="s">
        <v>767</v>
      </c>
      <c r="E576" s="380" t="s">
        <v>768</v>
      </c>
      <c r="F576" s="380" t="s">
        <v>769</v>
      </c>
      <c r="G576" s="380" t="s">
        <v>1267</v>
      </c>
      <c r="H576" s="380" t="s">
        <v>771</v>
      </c>
      <c r="I576" s="380" t="s">
        <v>772</v>
      </c>
      <c r="J576" s="380" t="s">
        <v>773</v>
      </c>
      <c r="K576" s="381">
        <v>0.0</v>
      </c>
      <c r="L576" s="382">
        <v>1.0</v>
      </c>
    </row>
    <row r="577">
      <c r="A577" s="380" t="s">
        <v>1418</v>
      </c>
      <c r="B577" s="380" t="str">
        <f>IFERROR(__xludf.DUMMYFUNCTION("""COMPUTED_VALUE"""),"Tonner Ce278a Generico")</f>
        <v>Tonner Ce278a Generico</v>
      </c>
      <c r="C577" s="380" t="str">
        <f>IFERROR(__xludf.DUMMYFUNCTION("""COMPUTED_VALUE"""),"10000344")</f>
        <v>10000344</v>
      </c>
      <c r="D577" s="380" t="s">
        <v>767</v>
      </c>
      <c r="E577" s="380" t="s">
        <v>768</v>
      </c>
      <c r="F577" s="380" t="s">
        <v>797</v>
      </c>
      <c r="G577" s="380" t="s">
        <v>1267</v>
      </c>
      <c r="H577" s="380" t="s">
        <v>771</v>
      </c>
      <c r="I577" s="380" t="s">
        <v>799</v>
      </c>
      <c r="J577" s="380" t="s">
        <v>773</v>
      </c>
      <c r="K577" s="381">
        <v>0.0</v>
      </c>
      <c r="L577" s="382">
        <v>1.0</v>
      </c>
    </row>
    <row r="578">
      <c r="A578" s="380" t="s">
        <v>1419</v>
      </c>
      <c r="B578" s="380" t="str">
        <f>IFERROR(__xludf.DUMMYFUNCTION("""COMPUTED_VALUE"""),"Pegastic En Barra")</f>
        <v>Pegastic En Barra</v>
      </c>
      <c r="C578" s="380" t="str">
        <f>IFERROR(__xludf.DUMMYFUNCTION("""COMPUTED_VALUE"""),"10000345")</f>
        <v>10000345</v>
      </c>
      <c r="D578" s="380" t="s">
        <v>767</v>
      </c>
      <c r="E578" s="380" t="s">
        <v>768</v>
      </c>
      <c r="F578" s="380" t="s">
        <v>797</v>
      </c>
      <c r="G578" s="380" t="s">
        <v>1267</v>
      </c>
      <c r="H578" s="380" t="s">
        <v>771</v>
      </c>
      <c r="I578" s="380" t="s">
        <v>799</v>
      </c>
      <c r="J578" s="380" t="s">
        <v>773</v>
      </c>
      <c r="K578" s="381">
        <v>2618.0</v>
      </c>
      <c r="L578" s="382">
        <v>1.0</v>
      </c>
    </row>
    <row r="579">
      <c r="A579" s="380" t="s">
        <v>1420</v>
      </c>
      <c r="B579" s="380" t="str">
        <f>IFERROR(__xludf.DUMMYFUNCTION("""COMPUTED_VALUE"""),"Sacagrapa Industrial Wingo")</f>
        <v>Sacagrapa Industrial Wingo</v>
      </c>
      <c r="C579" s="380" t="str">
        <f>IFERROR(__xludf.DUMMYFUNCTION("""COMPUTED_VALUE"""),"10000348")</f>
        <v>10000348</v>
      </c>
      <c r="D579" s="380" t="s">
        <v>767</v>
      </c>
      <c r="E579" s="380" t="s">
        <v>768</v>
      </c>
      <c r="F579" s="380" t="s">
        <v>797</v>
      </c>
      <c r="G579" s="380" t="s">
        <v>1267</v>
      </c>
      <c r="H579" s="380" t="s">
        <v>771</v>
      </c>
      <c r="I579" s="380" t="s">
        <v>799</v>
      </c>
      <c r="J579" s="380" t="s">
        <v>773</v>
      </c>
      <c r="K579" s="381">
        <v>0.0</v>
      </c>
      <c r="L579" s="382">
        <v>1.0</v>
      </c>
    </row>
    <row r="580">
      <c r="A580" s="380" t="s">
        <v>1421</v>
      </c>
      <c r="B580" s="380" t="str">
        <f>IFERROR(__xludf.DUMMYFUNCTION("""COMPUTED_VALUE"""),"Pinza Doble Clip 1 1/4 Cj X12")</f>
        <v>Pinza Doble Clip 1 1/4 Cj X12</v>
      </c>
      <c r="C580" s="380" t="str">
        <f>IFERROR(__xludf.DUMMYFUNCTION("""COMPUTED_VALUE"""),"10000349")</f>
        <v>10000349</v>
      </c>
      <c r="D580" s="380" t="s">
        <v>767</v>
      </c>
      <c r="E580" s="380" t="s">
        <v>768</v>
      </c>
      <c r="F580" s="380" t="s">
        <v>797</v>
      </c>
      <c r="G580" s="380" t="s">
        <v>1267</v>
      </c>
      <c r="H580" s="380" t="s">
        <v>771</v>
      </c>
      <c r="I580" s="380" t="s">
        <v>799</v>
      </c>
      <c r="J580" s="380" t="s">
        <v>773</v>
      </c>
      <c r="K580" s="381">
        <v>0.0</v>
      </c>
      <c r="L580" s="382">
        <v>1.0</v>
      </c>
    </row>
    <row r="581">
      <c r="A581" s="380" t="s">
        <v>1422</v>
      </c>
      <c r="B581" s="380" t="str">
        <f>IFERROR(__xludf.DUMMYFUNCTION("""COMPUTED_VALUE"""),"Cinta Doble Face Transpa 12x10")</f>
        <v>Cinta Doble Face Transpa 12x10</v>
      </c>
      <c r="C581" s="380" t="str">
        <f>IFERROR(__xludf.DUMMYFUNCTION("""COMPUTED_VALUE"""),"10000350")</f>
        <v>10000350</v>
      </c>
      <c r="D581" s="380" t="s">
        <v>767</v>
      </c>
      <c r="E581" s="380" t="s">
        <v>768</v>
      </c>
      <c r="F581" s="380" t="s">
        <v>797</v>
      </c>
      <c r="G581" s="380" t="s">
        <v>1267</v>
      </c>
      <c r="H581" s="380" t="s">
        <v>771</v>
      </c>
      <c r="I581" s="380" t="s">
        <v>799</v>
      </c>
      <c r="J581" s="380" t="s">
        <v>773</v>
      </c>
      <c r="K581" s="381">
        <v>0.0</v>
      </c>
      <c r="L581" s="382">
        <v>1.0</v>
      </c>
    </row>
    <row r="582">
      <c r="A582" s="380" t="s">
        <v>1423</v>
      </c>
      <c r="B582" s="380" t="str">
        <f>IFERROR(__xludf.DUMMYFUNCTION("""COMPUTED_VALUE"""),"Pos-It Pequeño 3.8 X 5")</f>
        <v>Pos-It Pequeño 3.8 X 5</v>
      </c>
      <c r="C582" s="380" t="str">
        <f>IFERROR(__xludf.DUMMYFUNCTION("""COMPUTED_VALUE"""),"10000351")</f>
        <v>10000351</v>
      </c>
      <c r="D582" s="380" t="s">
        <v>767</v>
      </c>
      <c r="E582" s="380" t="s">
        <v>768</v>
      </c>
      <c r="F582" s="380" t="s">
        <v>797</v>
      </c>
      <c r="G582" s="380" t="s">
        <v>1267</v>
      </c>
      <c r="H582" s="380" t="s">
        <v>771</v>
      </c>
      <c r="I582" s="380" t="s">
        <v>799</v>
      </c>
      <c r="J582" s="380" t="s">
        <v>773</v>
      </c>
      <c r="K582" s="381">
        <v>2484.0</v>
      </c>
      <c r="L582" s="382">
        <v>1.0</v>
      </c>
    </row>
    <row r="583">
      <c r="A583" s="380" t="s">
        <v>1424</v>
      </c>
      <c r="B583" s="380" t="str">
        <f>IFERROR(__xludf.DUMMYFUNCTION("""COMPUTED_VALUE"""),"Pos-It Mediano 7.6 X 7")</f>
        <v>Pos-It Mediano 7.6 X 7</v>
      </c>
      <c r="C583" s="380" t="str">
        <f>IFERROR(__xludf.DUMMYFUNCTION("""COMPUTED_VALUE"""),"10000352")</f>
        <v>10000352</v>
      </c>
      <c r="D583" s="380" t="s">
        <v>767</v>
      </c>
      <c r="E583" s="380" t="s">
        <v>768</v>
      </c>
      <c r="F583" s="380" t="s">
        <v>797</v>
      </c>
      <c r="G583" s="380" t="s">
        <v>1267</v>
      </c>
      <c r="H583" s="380" t="s">
        <v>771</v>
      </c>
      <c r="I583" s="380" t="s">
        <v>799</v>
      </c>
      <c r="J583" s="380" t="s">
        <v>773</v>
      </c>
      <c r="K583" s="381">
        <v>0.0</v>
      </c>
      <c r="L583" s="382">
        <v>1.0</v>
      </c>
    </row>
    <row r="584">
      <c r="A584" s="380" t="s">
        <v>1425</v>
      </c>
      <c r="B584" s="380" t="str">
        <f>IFERROR(__xludf.DUMMYFUNCTION("""COMPUTED_VALUE"""),"Borrador Para Tablero En Vidri")</f>
        <v>Borrador Para Tablero En Vidri</v>
      </c>
      <c r="C584" s="380" t="str">
        <f>IFERROR(__xludf.DUMMYFUNCTION("""COMPUTED_VALUE"""),"10000353")</f>
        <v>10000353</v>
      </c>
      <c r="D584" s="380" t="s">
        <v>767</v>
      </c>
      <c r="E584" s="380" t="s">
        <v>768</v>
      </c>
      <c r="F584" s="380" t="s">
        <v>797</v>
      </c>
      <c r="G584" s="380" t="s">
        <v>1267</v>
      </c>
      <c r="H584" s="380" t="s">
        <v>771</v>
      </c>
      <c r="I584" s="380" t="s">
        <v>799</v>
      </c>
      <c r="J584" s="380" t="s">
        <v>773</v>
      </c>
      <c r="K584" s="381">
        <v>0.0</v>
      </c>
      <c r="L584" s="382">
        <v>1.0</v>
      </c>
    </row>
    <row r="585">
      <c r="A585" s="380" t="s">
        <v>1426</v>
      </c>
      <c r="B585" s="380" t="str">
        <f>IFERROR(__xludf.DUMMYFUNCTION("""COMPUTED_VALUE"""),"Cartulina Opalina Carta X 500 Resma")</f>
        <v>Cartulina Opalina Carta X 500 Resma</v>
      </c>
      <c r="C585" s="380" t="str">
        <f>IFERROR(__xludf.DUMMYFUNCTION("""COMPUTED_VALUE"""),"10000354")</f>
        <v>10000354</v>
      </c>
      <c r="D585" s="380" t="s">
        <v>767</v>
      </c>
      <c r="E585" s="380" t="s">
        <v>768</v>
      </c>
      <c r="F585" s="380" t="s">
        <v>797</v>
      </c>
      <c r="G585" s="380" t="s">
        <v>1267</v>
      </c>
      <c r="H585" s="380" t="s">
        <v>771</v>
      </c>
      <c r="I585" s="380" t="s">
        <v>799</v>
      </c>
      <c r="J585" s="380" t="s">
        <v>773</v>
      </c>
      <c r="K585" s="381">
        <v>0.0</v>
      </c>
      <c r="L585" s="382">
        <v>1.0</v>
      </c>
    </row>
    <row r="586">
      <c r="A586" s="380" t="s">
        <v>1427</v>
      </c>
      <c r="B586" s="380" t="str">
        <f>IFERROR(__xludf.DUMMYFUNCTION("""COMPUTED_VALUE"""),"Perforadora 2 Huecos")</f>
        <v>Perforadora 2 Huecos</v>
      </c>
      <c r="C586" s="380" t="str">
        <f>IFERROR(__xludf.DUMMYFUNCTION("""COMPUTED_VALUE"""),"10000355")</f>
        <v>10000355</v>
      </c>
      <c r="D586" s="380" t="s">
        <v>767</v>
      </c>
      <c r="E586" s="380" t="s">
        <v>768</v>
      </c>
      <c r="F586" s="380" t="s">
        <v>797</v>
      </c>
      <c r="G586" s="380" t="s">
        <v>1267</v>
      </c>
      <c r="H586" s="380" t="s">
        <v>771</v>
      </c>
      <c r="I586" s="380" t="s">
        <v>799</v>
      </c>
      <c r="J586" s="380" t="s">
        <v>773</v>
      </c>
      <c r="K586" s="381">
        <v>0.0</v>
      </c>
      <c r="L586" s="382">
        <v>1.0</v>
      </c>
    </row>
    <row r="587">
      <c r="A587" s="380" t="s">
        <v>1428</v>
      </c>
      <c r="B587" s="380" t="str">
        <f>IFERROR(__xludf.DUMMYFUNCTION("""COMPUTED_VALUE"""),"Tinta Hp Cn045al # 950xl Negro")</f>
        <v>Tinta Hp Cn045al # 950xl Negro</v>
      </c>
      <c r="C587" s="380" t="str">
        <f>IFERROR(__xludf.DUMMYFUNCTION("""COMPUTED_VALUE"""),"10000356")</f>
        <v>10000356</v>
      </c>
      <c r="D587" s="380" t="s">
        <v>767</v>
      </c>
      <c r="E587" s="380" t="s">
        <v>768</v>
      </c>
      <c r="F587" s="380" t="s">
        <v>797</v>
      </c>
      <c r="G587" s="380" t="s">
        <v>1267</v>
      </c>
      <c r="H587" s="380" t="s">
        <v>771</v>
      </c>
      <c r="I587" s="380" t="s">
        <v>799</v>
      </c>
      <c r="J587" s="380" t="s">
        <v>773</v>
      </c>
      <c r="K587" s="381">
        <v>0.0</v>
      </c>
      <c r="L587" s="382">
        <v>1.0</v>
      </c>
    </row>
    <row r="588">
      <c r="A588" s="380" t="s">
        <v>1429</v>
      </c>
      <c r="B588" s="380" t="str">
        <f>IFERROR(__xludf.DUMMYFUNCTION("""COMPUTED_VALUE"""),"Tonner Hp Cf217a Negro")</f>
        <v>Tonner Hp Cf217a Negro</v>
      </c>
      <c r="C588" s="380" t="str">
        <f>IFERROR(__xludf.DUMMYFUNCTION("""COMPUTED_VALUE"""),"10000357")</f>
        <v>10000357</v>
      </c>
      <c r="D588" s="380" t="s">
        <v>767</v>
      </c>
      <c r="E588" s="380" t="s">
        <v>768</v>
      </c>
      <c r="F588" s="380" t="s">
        <v>797</v>
      </c>
      <c r="G588" s="380" t="s">
        <v>1267</v>
      </c>
      <c r="H588" s="380" t="s">
        <v>771</v>
      </c>
      <c r="I588" s="380" t="s">
        <v>799</v>
      </c>
      <c r="J588" s="380" t="s">
        <v>773</v>
      </c>
      <c r="K588" s="381">
        <v>0.0</v>
      </c>
      <c r="L588" s="382">
        <v>1.0</v>
      </c>
    </row>
    <row r="589">
      <c r="A589" s="380" t="s">
        <v>1430</v>
      </c>
      <c r="B589" s="380" t="str">
        <f>IFERROR(__xludf.DUMMYFUNCTION("""COMPUTED_VALUE"""),"Rueda Carreta 6 X 2 Fija Cc Co")</f>
        <v>Rueda Carreta 6 X 2 Fija Cc Co</v>
      </c>
      <c r="C589" s="380" t="str">
        <f>IFERROR(__xludf.DUMMYFUNCTION("""COMPUTED_VALUE"""),"10000358")</f>
        <v>10000358</v>
      </c>
      <c r="D589" s="380" t="s">
        <v>767</v>
      </c>
      <c r="E589" s="380" t="s">
        <v>768</v>
      </c>
      <c r="F589" s="380" t="s">
        <v>797</v>
      </c>
      <c r="G589" s="380" t="s">
        <v>1267</v>
      </c>
      <c r="H589" s="380" t="s">
        <v>771</v>
      </c>
      <c r="I589" s="380" t="s">
        <v>799</v>
      </c>
      <c r="J589" s="380" t="s">
        <v>773</v>
      </c>
      <c r="K589" s="381">
        <v>140060.0</v>
      </c>
      <c r="L589" s="382">
        <v>1.0</v>
      </c>
    </row>
    <row r="590">
      <c r="A590" s="380" t="s">
        <v>1431</v>
      </c>
      <c r="B590" s="380" t="str">
        <f>IFERROR(__xludf.DUMMYFUNCTION("""COMPUTED_VALUE"""),"Rueda Carreta 6 X 2 Giratoria")</f>
        <v>Rueda Carreta 6 X 2 Giratoria</v>
      </c>
      <c r="C590" s="380" t="str">
        <f>IFERROR(__xludf.DUMMYFUNCTION("""COMPUTED_VALUE"""),"10000359")</f>
        <v>10000359</v>
      </c>
      <c r="D590" s="380" t="s">
        <v>767</v>
      </c>
      <c r="E590" s="380" t="s">
        <v>768</v>
      </c>
      <c r="F590" s="380" t="s">
        <v>797</v>
      </c>
      <c r="G590" s="380" t="s">
        <v>1267</v>
      </c>
      <c r="H590" s="380" t="s">
        <v>771</v>
      </c>
      <c r="I590" s="380" t="s">
        <v>799</v>
      </c>
      <c r="J590" s="380" t="s">
        <v>773</v>
      </c>
      <c r="K590" s="381">
        <v>0.0</v>
      </c>
      <c r="L590" s="382">
        <v>1.0</v>
      </c>
    </row>
    <row r="591">
      <c r="A591" s="380" t="s">
        <v>1432</v>
      </c>
      <c r="B591" s="380" t="str">
        <f>IFERROR(__xludf.DUMMYFUNCTION("""COMPUTED_VALUE"""),"Bolsa Plastica Trans 4x6 Peaje Pq X 500")</f>
        <v>Bolsa Plastica Trans 4x6 Peaje Pq X 500</v>
      </c>
      <c r="C591" s="380" t="str">
        <f>IFERROR(__xludf.DUMMYFUNCTION("""COMPUTED_VALUE"""),"10000360")</f>
        <v>10000360</v>
      </c>
      <c r="D591" s="380" t="s">
        <v>767</v>
      </c>
      <c r="E591" s="380" t="s">
        <v>768</v>
      </c>
      <c r="F591" s="380" t="s">
        <v>797</v>
      </c>
      <c r="G591" s="380" t="s">
        <v>1267</v>
      </c>
      <c r="H591" s="380" t="s">
        <v>771</v>
      </c>
      <c r="I591" s="380" t="s">
        <v>799</v>
      </c>
      <c r="J591" s="380" t="s">
        <v>773</v>
      </c>
      <c r="K591" s="381">
        <v>0.0</v>
      </c>
      <c r="L591" s="382">
        <v>1.0</v>
      </c>
    </row>
    <row r="592">
      <c r="A592" s="380" t="s">
        <v>1433</v>
      </c>
      <c r="B592" s="380" t="str">
        <f>IFERROR(__xludf.DUMMYFUNCTION("""COMPUTED_VALUE"""),"Tinta Epson Stylus T133220 Yellow")</f>
        <v>Tinta Epson Stylus T133220 Yellow</v>
      </c>
      <c r="C592" s="380" t="str">
        <f>IFERROR(__xludf.DUMMYFUNCTION("""COMPUTED_VALUE"""),"10000361")</f>
        <v>10000361</v>
      </c>
      <c r="D592" s="380" t="s">
        <v>767</v>
      </c>
      <c r="E592" s="380" t="s">
        <v>768</v>
      </c>
      <c r="F592" s="380" t="s">
        <v>797</v>
      </c>
      <c r="G592" s="380" t="s">
        <v>1267</v>
      </c>
      <c r="H592" s="380" t="s">
        <v>771</v>
      </c>
      <c r="I592" s="380" t="s">
        <v>799</v>
      </c>
      <c r="J592" s="380" t="s">
        <v>773</v>
      </c>
      <c r="K592" s="381">
        <v>66552.0</v>
      </c>
      <c r="L592" s="382">
        <v>1.0</v>
      </c>
    </row>
    <row r="593">
      <c r="A593" s="380" t="s">
        <v>1434</v>
      </c>
      <c r="B593" s="380" t="str">
        <f>IFERROR(__xludf.DUMMYFUNCTION("""COMPUTED_VALUE"""),"Tinta Epson Stylus T133220 Cyan")</f>
        <v>Tinta Epson Stylus T133220 Cyan</v>
      </c>
      <c r="C593" s="380" t="str">
        <f>IFERROR(__xludf.DUMMYFUNCTION("""COMPUTED_VALUE"""),"10000362")</f>
        <v>10000362</v>
      </c>
      <c r="D593" s="380" t="s">
        <v>767</v>
      </c>
      <c r="E593" s="380" t="s">
        <v>768</v>
      </c>
      <c r="F593" s="380" t="s">
        <v>797</v>
      </c>
      <c r="G593" s="380" t="s">
        <v>1267</v>
      </c>
      <c r="H593" s="380" t="s">
        <v>771</v>
      </c>
      <c r="I593" s="380" t="s">
        <v>799</v>
      </c>
      <c r="J593" s="380" t="s">
        <v>773</v>
      </c>
      <c r="K593" s="381">
        <v>0.0</v>
      </c>
      <c r="L593" s="382">
        <v>1.0</v>
      </c>
    </row>
    <row r="594">
      <c r="A594" s="380" t="s">
        <v>1435</v>
      </c>
      <c r="B594" s="380" t="str">
        <f>IFERROR(__xludf.DUMMYFUNCTION("""COMPUTED_VALUE"""),"Tinta Epson Stylus T133220 Magenta")</f>
        <v>Tinta Epson Stylus T133220 Magenta</v>
      </c>
      <c r="C594" s="380" t="str">
        <f>IFERROR(__xludf.DUMMYFUNCTION("""COMPUTED_VALUE"""),"10000363")</f>
        <v>10000363</v>
      </c>
      <c r="D594" s="380" t="s">
        <v>767</v>
      </c>
      <c r="E594" s="380" t="s">
        <v>768</v>
      </c>
      <c r="F594" s="380" t="s">
        <v>797</v>
      </c>
      <c r="G594" s="380" t="s">
        <v>1267</v>
      </c>
      <c r="H594" s="380" t="s">
        <v>771</v>
      </c>
      <c r="I594" s="380" t="s">
        <v>799</v>
      </c>
      <c r="J594" s="380" t="s">
        <v>773</v>
      </c>
      <c r="K594" s="381">
        <v>0.0</v>
      </c>
      <c r="L594" s="382">
        <v>1.0</v>
      </c>
    </row>
    <row r="595">
      <c r="A595" s="380" t="s">
        <v>1436</v>
      </c>
      <c r="B595" s="380" t="str">
        <f>IFERROR(__xludf.DUMMYFUNCTION("""COMPUTED_VALUE"""),"Tinta Epson Botella T664 Yellow")</f>
        <v>Tinta Epson Botella T664 Yellow</v>
      </c>
      <c r="C595" s="380" t="str">
        <f>IFERROR(__xludf.DUMMYFUNCTION("""COMPUTED_VALUE"""),"10000364")</f>
        <v>10000364</v>
      </c>
      <c r="D595" s="380" t="s">
        <v>767</v>
      </c>
      <c r="E595" s="380" t="s">
        <v>768</v>
      </c>
      <c r="F595" s="380" t="s">
        <v>797</v>
      </c>
      <c r="G595" s="380" t="s">
        <v>1267</v>
      </c>
      <c r="H595" s="380" t="s">
        <v>771</v>
      </c>
      <c r="I595" s="380" t="s">
        <v>799</v>
      </c>
      <c r="J595" s="380" t="s">
        <v>773</v>
      </c>
      <c r="K595" s="381">
        <v>37695.0</v>
      </c>
      <c r="L595" s="382">
        <v>1.0</v>
      </c>
    </row>
    <row r="596">
      <c r="A596" s="380" t="s">
        <v>1437</v>
      </c>
      <c r="B596" s="380" t="str">
        <f>IFERROR(__xludf.DUMMYFUNCTION("""COMPUTED_VALUE"""),"Tinta Epson Botella T664 Cyan")</f>
        <v>Tinta Epson Botella T664 Cyan</v>
      </c>
      <c r="C596" s="380" t="str">
        <f>IFERROR(__xludf.DUMMYFUNCTION("""COMPUTED_VALUE"""),"10000365")</f>
        <v>10000365</v>
      </c>
      <c r="D596" s="380" t="s">
        <v>767</v>
      </c>
      <c r="E596" s="380" t="s">
        <v>768</v>
      </c>
      <c r="F596" s="380" t="s">
        <v>797</v>
      </c>
      <c r="G596" s="380" t="s">
        <v>1267</v>
      </c>
      <c r="H596" s="380" t="s">
        <v>771</v>
      </c>
      <c r="I596" s="380" t="s">
        <v>799</v>
      </c>
      <c r="J596" s="380" t="s">
        <v>773</v>
      </c>
      <c r="K596" s="381">
        <v>37695.0</v>
      </c>
      <c r="L596" s="382">
        <v>1.0</v>
      </c>
    </row>
    <row r="597">
      <c r="A597" s="380" t="s">
        <v>1438</v>
      </c>
      <c r="B597" s="380" t="str">
        <f>IFERROR(__xludf.DUMMYFUNCTION("""COMPUTED_VALUE"""),"Tinta Epson Botella T664 Magenta")</f>
        <v>Tinta Epson Botella T664 Magenta</v>
      </c>
      <c r="C597" s="380" t="str">
        <f>IFERROR(__xludf.DUMMYFUNCTION("""COMPUTED_VALUE"""),"10000366")</f>
        <v>10000366</v>
      </c>
      <c r="D597" s="380" t="s">
        <v>767</v>
      </c>
      <c r="E597" s="380" t="s">
        <v>768</v>
      </c>
      <c r="F597" s="380" t="s">
        <v>797</v>
      </c>
      <c r="G597" s="380" t="s">
        <v>1267</v>
      </c>
      <c r="H597" s="380" t="s">
        <v>771</v>
      </c>
      <c r="I597" s="380" t="s">
        <v>799</v>
      </c>
      <c r="J597" s="380" t="s">
        <v>773</v>
      </c>
      <c r="K597" s="381">
        <v>0.0</v>
      </c>
      <c r="L597" s="382">
        <v>1.0</v>
      </c>
    </row>
    <row r="598">
      <c r="A598" s="380" t="s">
        <v>1439</v>
      </c>
      <c r="B598" s="380" t="str">
        <f>IFERROR(__xludf.DUMMYFUNCTION("""COMPUTED_VALUE"""),"Tinta Hp 8600 951 Yellow")</f>
        <v>Tinta Hp 8600 951 Yellow</v>
      </c>
      <c r="C598" s="380" t="str">
        <f>IFERROR(__xludf.DUMMYFUNCTION("""COMPUTED_VALUE"""),"10000367")</f>
        <v>10000367</v>
      </c>
      <c r="D598" s="380" t="s">
        <v>767</v>
      </c>
      <c r="E598" s="380" t="s">
        <v>768</v>
      </c>
      <c r="F598" s="380" t="s">
        <v>797</v>
      </c>
      <c r="G598" s="380" t="s">
        <v>1267</v>
      </c>
      <c r="H598" s="380" t="s">
        <v>771</v>
      </c>
      <c r="I598" s="380" t="s">
        <v>799</v>
      </c>
      <c r="J598" s="380" t="s">
        <v>773</v>
      </c>
      <c r="K598" s="381">
        <v>0.0</v>
      </c>
      <c r="L598" s="382">
        <v>1.0</v>
      </c>
    </row>
    <row r="599">
      <c r="A599" s="380" t="s">
        <v>1440</v>
      </c>
      <c r="B599" s="380" t="str">
        <f>IFERROR(__xludf.DUMMYFUNCTION("""COMPUTED_VALUE"""),"Tinta Hp 8600 951 Cyan")</f>
        <v>Tinta Hp 8600 951 Cyan</v>
      </c>
      <c r="C599" s="380" t="str">
        <f>IFERROR(__xludf.DUMMYFUNCTION("""COMPUTED_VALUE"""),"10000368")</f>
        <v>10000368</v>
      </c>
      <c r="D599" s="380" t="s">
        <v>767</v>
      </c>
      <c r="E599" s="380" t="s">
        <v>768</v>
      </c>
      <c r="F599" s="380" t="s">
        <v>797</v>
      </c>
      <c r="G599" s="380" t="s">
        <v>1267</v>
      </c>
      <c r="H599" s="380" t="s">
        <v>771</v>
      </c>
      <c r="I599" s="380" t="s">
        <v>799</v>
      </c>
      <c r="J599" s="380" t="s">
        <v>773</v>
      </c>
      <c r="K599" s="381">
        <v>0.0</v>
      </c>
      <c r="L599" s="382">
        <v>1.0</v>
      </c>
    </row>
    <row r="600">
      <c r="A600" s="380" t="s">
        <v>1441</v>
      </c>
      <c r="B600" s="380" t="str">
        <f>IFERROR(__xludf.DUMMYFUNCTION("""COMPUTED_VALUE"""),"Tinta Hp 8600 951 Magenta")</f>
        <v>Tinta Hp 8600 951 Magenta</v>
      </c>
      <c r="C600" s="380" t="str">
        <f>IFERROR(__xludf.DUMMYFUNCTION("""COMPUTED_VALUE"""),"10000369")</f>
        <v>10000369</v>
      </c>
      <c r="D600" s="380" t="s">
        <v>767</v>
      </c>
      <c r="E600" s="380" t="s">
        <v>768</v>
      </c>
      <c r="F600" s="380" t="s">
        <v>797</v>
      </c>
      <c r="G600" s="380" t="s">
        <v>1267</v>
      </c>
      <c r="H600" s="380" t="s">
        <v>771</v>
      </c>
      <c r="I600" s="380" t="s">
        <v>799</v>
      </c>
      <c r="J600" s="380" t="s">
        <v>773</v>
      </c>
      <c r="K600" s="381">
        <v>0.0</v>
      </c>
      <c r="L600" s="382">
        <v>1.0</v>
      </c>
    </row>
    <row r="601">
      <c r="A601" s="380" t="s">
        <v>1442</v>
      </c>
      <c r="B601" s="380" t="str">
        <f>IFERROR(__xludf.DUMMYFUNCTION("""COMPUTED_VALUE"""),"Tonner Kyocera TK 322")</f>
        <v>Tonner Kyocera TK 322</v>
      </c>
      <c r="C601" s="380" t="str">
        <f>IFERROR(__xludf.DUMMYFUNCTION("""COMPUTED_VALUE"""),"10000370")</f>
        <v>10000370</v>
      </c>
      <c r="D601" s="380" t="s">
        <v>767</v>
      </c>
      <c r="E601" s="380" t="s">
        <v>768</v>
      </c>
      <c r="F601" s="380" t="s">
        <v>797</v>
      </c>
      <c r="G601" s="380" t="s">
        <v>1267</v>
      </c>
      <c r="H601" s="380" t="s">
        <v>771</v>
      </c>
      <c r="I601" s="380" t="s">
        <v>799</v>
      </c>
      <c r="J601" s="380" t="s">
        <v>773</v>
      </c>
      <c r="K601" s="381">
        <v>217988.0</v>
      </c>
      <c r="L601" s="382">
        <v>1.0</v>
      </c>
    </row>
    <row r="602">
      <c r="A602" s="380" t="s">
        <v>1443</v>
      </c>
      <c r="B602" s="380" t="str">
        <f>IFERROR(__xludf.DUMMYFUNCTION("""COMPUTED_VALUE"""),"Tonner Hp Cb435a Laser")</f>
        <v>Tonner Hp Cb435a Laser</v>
      </c>
      <c r="C602" s="380" t="str">
        <f>IFERROR(__xludf.DUMMYFUNCTION("""COMPUTED_VALUE"""),"10000371")</f>
        <v>10000371</v>
      </c>
      <c r="D602" s="380" t="s">
        <v>767</v>
      </c>
      <c r="E602" s="380" t="s">
        <v>768</v>
      </c>
      <c r="F602" s="380" t="s">
        <v>797</v>
      </c>
      <c r="G602" s="380" t="s">
        <v>1267</v>
      </c>
      <c r="H602" s="380" t="s">
        <v>771</v>
      </c>
      <c r="I602" s="380" t="s">
        <v>799</v>
      </c>
      <c r="J602" s="380" t="s">
        <v>773</v>
      </c>
      <c r="K602" s="381">
        <v>0.0</v>
      </c>
      <c r="L602" s="382">
        <v>1.0</v>
      </c>
    </row>
    <row r="603">
      <c r="A603" s="380" t="s">
        <v>1444</v>
      </c>
      <c r="B603" s="380" t="str">
        <f>IFERROR(__xludf.DUMMYFUNCTION("""COMPUTED_VALUE"""),"Tinta Hp Cz105al N662 Negra")</f>
        <v>Tinta Hp Cz105al N662 Negra</v>
      </c>
      <c r="C603" s="380" t="str">
        <f>IFERROR(__xludf.DUMMYFUNCTION("""COMPUTED_VALUE"""),"10000372")</f>
        <v>10000372</v>
      </c>
      <c r="D603" s="380" t="s">
        <v>767</v>
      </c>
      <c r="E603" s="380" t="s">
        <v>768</v>
      </c>
      <c r="F603" s="380" t="s">
        <v>797</v>
      </c>
      <c r="G603" s="380" t="s">
        <v>1267</v>
      </c>
      <c r="H603" s="380" t="s">
        <v>771</v>
      </c>
      <c r="I603" s="380" t="s">
        <v>799</v>
      </c>
      <c r="J603" s="380" t="s">
        <v>773</v>
      </c>
      <c r="K603" s="381">
        <v>0.0</v>
      </c>
      <c r="L603" s="382">
        <v>1.0</v>
      </c>
    </row>
    <row r="604">
      <c r="A604" s="380" t="s">
        <v>1445</v>
      </c>
      <c r="B604" s="380" t="str">
        <f>IFERROR(__xludf.DUMMYFUNCTION("""COMPUTED_VALUE"""),"Rueda Giratoria Sin Freno 5 X 1 X5/8")</f>
        <v>Rueda Giratoria Sin Freno 5 X 1 X5/8</v>
      </c>
      <c r="C604" s="380" t="str">
        <f>IFERROR(__xludf.DUMMYFUNCTION("""COMPUTED_VALUE"""),"10000373")</f>
        <v>10000373</v>
      </c>
      <c r="D604" s="380" t="s">
        <v>767</v>
      </c>
      <c r="E604" s="380" t="s">
        <v>768</v>
      </c>
      <c r="F604" s="380" t="s">
        <v>797</v>
      </c>
      <c r="G604" s="380" t="s">
        <v>1267</v>
      </c>
      <c r="H604" s="380" t="s">
        <v>771</v>
      </c>
      <c r="I604" s="380" t="s">
        <v>799</v>
      </c>
      <c r="J604" s="380" t="s">
        <v>773</v>
      </c>
      <c r="K604" s="381">
        <v>0.0</v>
      </c>
      <c r="L604" s="382">
        <v>1.0</v>
      </c>
    </row>
    <row r="605">
      <c r="A605" s="380" t="s">
        <v>1446</v>
      </c>
      <c r="B605" s="380" t="str">
        <f>IFERROR(__xludf.DUMMYFUNCTION("""COMPUTED_VALUE"""),"Tonner Hp Q2612a Laser")</f>
        <v>Tonner Hp Q2612a Laser</v>
      </c>
      <c r="C605" s="380" t="str">
        <f>IFERROR(__xludf.DUMMYFUNCTION("""COMPUTED_VALUE"""),"10000374")</f>
        <v>10000374</v>
      </c>
      <c r="D605" s="380" t="s">
        <v>767</v>
      </c>
      <c r="E605" s="380" t="s">
        <v>768</v>
      </c>
      <c r="F605" s="380" t="s">
        <v>797</v>
      </c>
      <c r="G605" s="380" t="s">
        <v>1267</v>
      </c>
      <c r="H605" s="380" t="s">
        <v>771</v>
      </c>
      <c r="I605" s="380" t="s">
        <v>799</v>
      </c>
      <c r="J605" s="380" t="s">
        <v>773</v>
      </c>
      <c r="K605" s="381">
        <v>44030.0</v>
      </c>
      <c r="L605" s="382">
        <v>1.0</v>
      </c>
    </row>
    <row r="606">
      <c r="A606" s="380" t="s">
        <v>1447</v>
      </c>
      <c r="B606" s="380" t="str">
        <f>IFERROR(__xludf.DUMMYFUNCTION("""COMPUTED_VALUE"""),"Carreta Carga Centro Comercial")</f>
        <v>Carreta Carga Centro Comercial</v>
      </c>
      <c r="C606" s="380" t="str">
        <f>IFERROR(__xludf.DUMMYFUNCTION("""COMPUTED_VALUE"""),"10000375")</f>
        <v>10000375</v>
      </c>
      <c r="D606" s="380" t="s">
        <v>767</v>
      </c>
      <c r="E606" s="380" t="s">
        <v>768</v>
      </c>
      <c r="F606" s="380" t="s">
        <v>797</v>
      </c>
      <c r="G606" s="380" t="s">
        <v>1267</v>
      </c>
      <c r="H606" s="380" t="s">
        <v>771</v>
      </c>
      <c r="I606" s="380" t="s">
        <v>799</v>
      </c>
      <c r="J606" s="380" t="s">
        <v>773</v>
      </c>
      <c r="K606" s="381">
        <v>0.0</v>
      </c>
      <c r="L606" s="382">
        <v>1.0</v>
      </c>
    </row>
    <row r="607">
      <c r="A607" s="380" t="s">
        <v>1448</v>
      </c>
      <c r="B607" s="380" t="str">
        <f>IFERROR(__xludf.DUMMYFUNCTION("""COMPUTED_VALUE"""),"Paños Scoth Brite")</f>
        <v>Paños Scoth Brite</v>
      </c>
      <c r="C607" s="380" t="str">
        <f>IFERROR(__xludf.DUMMYFUNCTION("""COMPUTED_VALUE"""),"10000376")</f>
        <v>10000376</v>
      </c>
      <c r="D607" s="380" t="s">
        <v>767</v>
      </c>
      <c r="E607" s="380" t="s">
        <v>768</v>
      </c>
      <c r="F607" s="380" t="s">
        <v>769</v>
      </c>
      <c r="G607" s="380" t="s">
        <v>1267</v>
      </c>
      <c r="H607" s="380" t="s">
        <v>771</v>
      </c>
      <c r="I607" s="380" t="s">
        <v>772</v>
      </c>
      <c r="J607" s="380" t="s">
        <v>773</v>
      </c>
      <c r="K607" s="381">
        <v>0.0</v>
      </c>
      <c r="L607" s="382">
        <v>1.0</v>
      </c>
    </row>
    <row r="608">
      <c r="A608" s="380" t="s">
        <v>1449</v>
      </c>
      <c r="B608" s="380" t="str">
        <f>IFERROR(__xludf.DUMMYFUNCTION("""COMPUTED_VALUE"""),"Rueda Carreta C.C. 6x2-Nn-D")</f>
        <v>Rueda Carreta C.C. 6x2-Nn-D</v>
      </c>
      <c r="C608" s="380" t="str">
        <f>IFERROR(__xludf.DUMMYFUNCTION("""COMPUTED_VALUE"""),"10000377")</f>
        <v>10000377</v>
      </c>
      <c r="D608" s="380" t="s">
        <v>767</v>
      </c>
      <c r="E608" s="380" t="s">
        <v>768</v>
      </c>
      <c r="F608" s="380" t="s">
        <v>797</v>
      </c>
      <c r="G608" s="380" t="s">
        <v>1267</v>
      </c>
      <c r="H608" s="380" t="s">
        <v>771</v>
      </c>
      <c r="I608" s="380" t="s">
        <v>799</v>
      </c>
      <c r="J608" s="380" t="s">
        <v>773</v>
      </c>
      <c r="K608" s="381">
        <v>0.0</v>
      </c>
      <c r="L608" s="382">
        <v>1.0</v>
      </c>
    </row>
    <row r="609">
      <c r="A609" s="380" t="s">
        <v>1450</v>
      </c>
      <c r="B609" s="380" t="str">
        <f>IFERROR(__xludf.DUMMYFUNCTION("""COMPUTED_VALUE"""),"Papel Fotocopia Carta")</f>
        <v>Papel Fotocopia Carta</v>
      </c>
      <c r="C609" s="380" t="str">
        <f>IFERROR(__xludf.DUMMYFUNCTION("""COMPUTED_VALUE"""),"10000379")</f>
        <v>10000379</v>
      </c>
      <c r="D609" s="380" t="s">
        <v>767</v>
      </c>
      <c r="E609" s="380" t="s">
        <v>768</v>
      </c>
      <c r="F609" s="380" t="s">
        <v>797</v>
      </c>
      <c r="G609" s="380" t="s">
        <v>1267</v>
      </c>
      <c r="H609" s="380" t="s">
        <v>771</v>
      </c>
      <c r="I609" s="380" t="s">
        <v>799</v>
      </c>
      <c r="J609" s="380" t="s">
        <v>773</v>
      </c>
      <c r="K609" s="381">
        <v>15264.0</v>
      </c>
      <c r="L609" s="382">
        <v>1.0</v>
      </c>
    </row>
    <row r="610">
      <c r="A610" s="380" t="s">
        <v>1451</v>
      </c>
      <c r="B610" s="380" t="str">
        <f>IFERROR(__xludf.DUMMYFUNCTION("""COMPUTED_VALUE"""),"Papel Fotocopia Oficio")</f>
        <v>Papel Fotocopia Oficio</v>
      </c>
      <c r="C610" s="380" t="str">
        <f>IFERROR(__xludf.DUMMYFUNCTION("""COMPUTED_VALUE"""),"10000380")</f>
        <v>10000380</v>
      </c>
      <c r="D610" s="380" t="s">
        <v>767</v>
      </c>
      <c r="E610" s="380" t="s">
        <v>768</v>
      </c>
      <c r="F610" s="380" t="s">
        <v>797</v>
      </c>
      <c r="G610" s="380" t="s">
        <v>1267</v>
      </c>
      <c r="H610" s="380" t="s">
        <v>771</v>
      </c>
      <c r="I610" s="380" t="s">
        <v>799</v>
      </c>
      <c r="J610" s="380" t="s">
        <v>773</v>
      </c>
      <c r="K610" s="381">
        <v>19984.0</v>
      </c>
      <c r="L610" s="382">
        <v>1.0</v>
      </c>
    </row>
    <row r="611">
      <c r="A611" s="380" t="s">
        <v>1452</v>
      </c>
      <c r="B611" s="380" t="str">
        <f>IFERROR(__xludf.DUMMYFUNCTION("""COMPUTED_VALUE"""),"Pocillo Y Plato Cafe Grande P")</f>
        <v>Pocillo Y Plato Cafe Grande P</v>
      </c>
      <c r="C611" s="380" t="str">
        <f>IFERROR(__xludf.DUMMYFUNCTION("""COMPUTED_VALUE"""),"10000383")</f>
        <v>10000383</v>
      </c>
      <c r="D611" s="380" t="s">
        <v>767</v>
      </c>
      <c r="E611" s="380" t="s">
        <v>768</v>
      </c>
      <c r="F611" s="380" t="s">
        <v>803</v>
      </c>
      <c r="G611" s="380" t="s">
        <v>1267</v>
      </c>
      <c r="H611" s="380" t="s">
        <v>771</v>
      </c>
      <c r="I611" s="380" t="s">
        <v>772</v>
      </c>
      <c r="J611" s="380" t="s">
        <v>773</v>
      </c>
      <c r="K611" s="381">
        <v>0.0</v>
      </c>
      <c r="L611" s="382">
        <v>1.0</v>
      </c>
    </row>
    <row r="612">
      <c r="A612" s="380" t="s">
        <v>1453</v>
      </c>
      <c r="B612" s="380" t="str">
        <f>IFERROR(__xludf.DUMMYFUNCTION("""COMPUTED_VALUE"""),"Cuchara Pequeña Para Tinto")</f>
        <v>Cuchara Pequeña Para Tinto</v>
      </c>
      <c r="C612" s="380" t="str">
        <f>IFERROR(__xludf.DUMMYFUNCTION("""COMPUTED_VALUE"""),"10000385")</f>
        <v>10000385</v>
      </c>
      <c r="D612" s="380" t="s">
        <v>767</v>
      </c>
      <c r="E612" s="380" t="s">
        <v>768</v>
      </c>
      <c r="F612" s="380" t="s">
        <v>803</v>
      </c>
      <c r="G612" s="380" t="s">
        <v>1267</v>
      </c>
      <c r="H612" s="380" t="s">
        <v>771</v>
      </c>
      <c r="I612" s="380" t="s">
        <v>772</v>
      </c>
      <c r="J612" s="380" t="s">
        <v>773</v>
      </c>
      <c r="K612" s="381">
        <v>0.0</v>
      </c>
      <c r="L612" s="382">
        <v>1.0</v>
      </c>
    </row>
    <row r="613">
      <c r="A613" s="380" t="s">
        <v>1454</v>
      </c>
      <c r="B613" s="380" t="str">
        <f>IFERROR(__xludf.DUMMYFUNCTION("""COMPUTED_VALUE"""),"Azucarera De Cristal")</f>
        <v>Azucarera De Cristal</v>
      </c>
      <c r="C613" s="380" t="str">
        <f>IFERROR(__xludf.DUMMYFUNCTION("""COMPUTED_VALUE"""),"10000386")</f>
        <v>10000386</v>
      </c>
      <c r="D613" s="380" t="s">
        <v>767</v>
      </c>
      <c r="E613" s="380" t="s">
        <v>768</v>
      </c>
      <c r="F613" s="380" t="s">
        <v>803</v>
      </c>
      <c r="G613" s="380" t="s">
        <v>1267</v>
      </c>
      <c r="H613" s="380" t="s">
        <v>771</v>
      </c>
      <c r="I613" s="380" t="s">
        <v>772</v>
      </c>
      <c r="J613" s="380" t="s">
        <v>773</v>
      </c>
      <c r="K613" s="381">
        <v>0.0</v>
      </c>
      <c r="L613" s="382">
        <v>1.0</v>
      </c>
    </row>
    <row r="614">
      <c r="A614" s="380" t="s">
        <v>1455</v>
      </c>
      <c r="B614" s="380" t="str">
        <f>IFERROR(__xludf.DUMMYFUNCTION("""COMPUTED_VALUE"""),"Rueda Carro Metalico 4 X 1.7/8")</f>
        <v>Rueda Carro Metalico 4 X 1.7/8</v>
      </c>
      <c r="C614" s="380" t="str">
        <f>IFERROR(__xludf.DUMMYFUNCTION("""COMPUTED_VALUE"""),"10000387")</f>
        <v>10000387</v>
      </c>
      <c r="D614" s="380" t="s">
        <v>767</v>
      </c>
      <c r="E614" s="380" t="s">
        <v>768</v>
      </c>
      <c r="F614" s="380" t="s">
        <v>797</v>
      </c>
      <c r="G614" s="380" t="s">
        <v>1267</v>
      </c>
      <c r="H614" s="380" t="s">
        <v>771</v>
      </c>
      <c r="I614" s="380" t="s">
        <v>799</v>
      </c>
      <c r="J614" s="380" t="s">
        <v>773</v>
      </c>
      <c r="K614" s="381">
        <v>0.0</v>
      </c>
      <c r="L614" s="382">
        <v>1.0</v>
      </c>
    </row>
    <row r="615">
      <c r="A615" s="380" t="s">
        <v>1456</v>
      </c>
      <c r="B615" s="380" t="str">
        <f>IFERROR(__xludf.DUMMYFUNCTION("""COMPUTED_VALUE"""),"Jarra Para Agua")</f>
        <v>Jarra Para Agua</v>
      </c>
      <c r="C615" s="380" t="str">
        <f>IFERROR(__xludf.DUMMYFUNCTION("""COMPUTED_VALUE"""),"10000388")</f>
        <v>10000388</v>
      </c>
      <c r="D615" s="380" t="s">
        <v>767</v>
      </c>
      <c r="E615" s="380" t="s">
        <v>768</v>
      </c>
      <c r="F615" s="380" t="s">
        <v>803</v>
      </c>
      <c r="G615" s="380" t="s">
        <v>1267</v>
      </c>
      <c r="H615" s="380" t="s">
        <v>771</v>
      </c>
      <c r="I615" s="380" t="s">
        <v>772</v>
      </c>
      <c r="J615" s="380" t="s">
        <v>773</v>
      </c>
      <c r="K615" s="381">
        <v>0.0</v>
      </c>
      <c r="L615" s="382">
        <v>1.0</v>
      </c>
    </row>
    <row r="616">
      <c r="A616" s="380" t="s">
        <v>1457</v>
      </c>
      <c r="B616" s="380" t="str">
        <f>IFERROR(__xludf.DUMMYFUNCTION("""COMPUTED_VALUE"""),"Pila Recargable Aa")</f>
        <v>Pila Recargable Aa</v>
      </c>
      <c r="C616" s="380" t="str">
        <f>IFERROR(__xludf.DUMMYFUNCTION("""COMPUTED_VALUE"""),"10000390")</f>
        <v>10000390</v>
      </c>
      <c r="D616" s="380" t="s">
        <v>767</v>
      </c>
      <c r="E616" s="380" t="s">
        <v>768</v>
      </c>
      <c r="F616" s="380" t="s">
        <v>797</v>
      </c>
      <c r="G616" s="380" t="s">
        <v>1267</v>
      </c>
      <c r="H616" s="380" t="s">
        <v>771</v>
      </c>
      <c r="I616" s="380" t="s">
        <v>799</v>
      </c>
      <c r="J616" s="380" t="s">
        <v>773</v>
      </c>
      <c r="K616" s="381">
        <v>0.0</v>
      </c>
      <c r="L616" s="382">
        <v>1.0</v>
      </c>
    </row>
    <row r="617">
      <c r="A617" s="380" t="s">
        <v>1458</v>
      </c>
      <c r="B617" s="380" t="str">
        <f>IFERROR(__xludf.DUMMYFUNCTION("""COMPUTED_VALUE"""),"Papel Term Registrador 80 X 70")</f>
        <v>Papel Term Registrador 80 X 70</v>
      </c>
      <c r="C617" s="380" t="str">
        <f>IFERROR(__xludf.DUMMYFUNCTION("""COMPUTED_VALUE"""),"10000391")</f>
        <v>10000391</v>
      </c>
      <c r="D617" s="380" t="s">
        <v>767</v>
      </c>
      <c r="E617" s="380" t="s">
        <v>768</v>
      </c>
      <c r="F617" s="380" t="s">
        <v>797</v>
      </c>
      <c r="G617" s="380" t="s">
        <v>1267</v>
      </c>
      <c r="H617" s="380" t="s">
        <v>771</v>
      </c>
      <c r="I617" s="380" t="s">
        <v>799</v>
      </c>
      <c r="J617" s="380" t="s">
        <v>773</v>
      </c>
      <c r="K617" s="381">
        <v>5325.0</v>
      </c>
      <c r="L617" s="382">
        <v>1.0</v>
      </c>
    </row>
    <row r="618">
      <c r="A618" s="380" t="s">
        <v>1459</v>
      </c>
      <c r="B618" s="380" t="str">
        <f>IFERROR(__xludf.DUMMYFUNCTION("""COMPUTED_VALUE"""),"Cordon Para Escarapela Visiran")</f>
        <v>Cordon Para Escarapela Visiran</v>
      </c>
      <c r="C618" s="380" t="str">
        <f>IFERROR(__xludf.DUMMYFUNCTION("""COMPUTED_VALUE"""),"10000392")</f>
        <v>10000392</v>
      </c>
      <c r="D618" s="380" t="s">
        <v>767</v>
      </c>
      <c r="E618" s="380" t="s">
        <v>768</v>
      </c>
      <c r="F618" s="380" t="s">
        <v>797</v>
      </c>
      <c r="G618" s="380" t="s">
        <v>1267</v>
      </c>
      <c r="H618" s="380" t="s">
        <v>771</v>
      </c>
      <c r="I618" s="380" t="s">
        <v>799</v>
      </c>
      <c r="J618" s="380" t="s">
        <v>773</v>
      </c>
      <c r="K618" s="381">
        <v>0.0</v>
      </c>
      <c r="L618" s="382">
        <v>1.0</v>
      </c>
    </row>
    <row r="619">
      <c r="A619" s="380" t="s">
        <v>1460</v>
      </c>
      <c r="B619" s="380" t="str">
        <f>IFERROR(__xludf.DUMMYFUNCTION("""COMPUTED_VALUE"""),"Kit Vasos-Mezcladores Cafex300")</f>
        <v>Kit Vasos-Mezcladores Cafex300</v>
      </c>
      <c r="C619" s="380" t="str">
        <f>IFERROR(__xludf.DUMMYFUNCTION("""COMPUTED_VALUE"""),"10000394")</f>
        <v>10000394</v>
      </c>
      <c r="D619" s="380" t="s">
        <v>767</v>
      </c>
      <c r="E619" s="380" t="s">
        <v>768</v>
      </c>
      <c r="F619" s="380" t="s">
        <v>803</v>
      </c>
      <c r="G619" s="380" t="s">
        <v>1267</v>
      </c>
      <c r="H619" s="380" t="s">
        <v>771</v>
      </c>
      <c r="I619" s="380" t="s">
        <v>772</v>
      </c>
      <c r="J619" s="380" t="s">
        <v>773</v>
      </c>
      <c r="K619" s="381">
        <v>0.0</v>
      </c>
      <c r="L619" s="382">
        <v>1.0</v>
      </c>
    </row>
    <row r="620">
      <c r="A620" s="380" t="s">
        <v>1461</v>
      </c>
      <c r="B620" s="380" t="str">
        <f>IFERROR(__xludf.DUMMYFUNCTION("""COMPUTED_VALUE"""),"Marcador Negro")</f>
        <v>Marcador Negro</v>
      </c>
      <c r="C620" s="380" t="str">
        <f>IFERROR(__xludf.DUMMYFUNCTION("""COMPUTED_VALUE"""),"10000396")</f>
        <v>10000396</v>
      </c>
      <c r="D620" s="380" t="s">
        <v>767</v>
      </c>
      <c r="E620" s="380" t="s">
        <v>768</v>
      </c>
      <c r="F620" s="380" t="s">
        <v>797</v>
      </c>
      <c r="G620" s="380" t="s">
        <v>1267</v>
      </c>
      <c r="H620" s="380" t="s">
        <v>771</v>
      </c>
      <c r="I620" s="380" t="s">
        <v>799</v>
      </c>
      <c r="J620" s="380" t="s">
        <v>773</v>
      </c>
      <c r="K620" s="381">
        <v>1175.0</v>
      </c>
      <c r="L620" s="382">
        <v>1.0</v>
      </c>
    </row>
    <row r="621">
      <c r="A621" s="380" t="s">
        <v>1462</v>
      </c>
      <c r="B621" s="380" t="str">
        <f>IFERROR(__xludf.DUMMYFUNCTION("""COMPUTED_VALUE"""),"Marcador Seco (Borrable)")</f>
        <v>Marcador Seco (Borrable)</v>
      </c>
      <c r="C621" s="380" t="str">
        <f>IFERROR(__xludf.DUMMYFUNCTION("""COMPUTED_VALUE"""),"10000397")</f>
        <v>10000397</v>
      </c>
      <c r="D621" s="380" t="s">
        <v>767</v>
      </c>
      <c r="E621" s="380" t="s">
        <v>768</v>
      </c>
      <c r="F621" s="380" t="s">
        <v>797</v>
      </c>
      <c r="G621" s="380" t="s">
        <v>1267</v>
      </c>
      <c r="H621" s="380" t="s">
        <v>771</v>
      </c>
      <c r="I621" s="380" t="s">
        <v>799</v>
      </c>
      <c r="J621" s="380" t="s">
        <v>773</v>
      </c>
      <c r="K621" s="381">
        <v>1583.0</v>
      </c>
      <c r="L621" s="382">
        <v>1.0</v>
      </c>
    </row>
    <row r="622">
      <c r="A622" s="380" t="s">
        <v>1463</v>
      </c>
      <c r="B622" s="380" t="str">
        <f>IFERROR(__xludf.DUMMYFUNCTION("""COMPUTED_VALUE"""),"Bascula Electronic Tip Pes Rep")</f>
        <v>Bascula Electronic Tip Pes Rep</v>
      </c>
      <c r="C622" s="380" t="str">
        <f>IFERROR(__xludf.DUMMYFUNCTION("""COMPUTED_VALUE"""),"10000398")</f>
        <v>10000398</v>
      </c>
      <c r="D622" s="380" t="s">
        <v>767</v>
      </c>
      <c r="E622" s="380" t="s">
        <v>768</v>
      </c>
      <c r="F622" s="380" t="s">
        <v>797</v>
      </c>
      <c r="G622" s="380" t="s">
        <v>1267</v>
      </c>
      <c r="H622" s="380" t="s">
        <v>771</v>
      </c>
      <c r="I622" s="380" t="s">
        <v>799</v>
      </c>
      <c r="J622" s="380" t="s">
        <v>773</v>
      </c>
      <c r="K622" s="381">
        <v>0.0</v>
      </c>
      <c r="L622" s="382">
        <v>1.0</v>
      </c>
    </row>
    <row r="623">
      <c r="A623" s="380" t="s">
        <v>1464</v>
      </c>
      <c r="B623" s="380" t="str">
        <f>IFERROR(__xludf.DUMMYFUNCTION("""COMPUTED_VALUE"""),"Ruta De Evacuación Hacia La De")</f>
        <v>Ruta De Evacuación Hacia La De</v>
      </c>
      <c r="C623" s="380" t="str">
        <f>IFERROR(__xludf.DUMMYFUNCTION("""COMPUTED_VALUE"""),"10000399")</f>
        <v>10000399</v>
      </c>
      <c r="D623" s="380" t="s">
        <v>767</v>
      </c>
      <c r="E623" s="380" t="s">
        <v>768</v>
      </c>
      <c r="F623" s="380" t="s">
        <v>797</v>
      </c>
      <c r="G623" s="380" t="s">
        <v>1267</v>
      </c>
      <c r="H623" s="380" t="s">
        <v>771</v>
      </c>
      <c r="I623" s="380" t="s">
        <v>799</v>
      </c>
      <c r="J623" s="380" t="s">
        <v>773</v>
      </c>
      <c r="K623" s="381">
        <v>0.0</v>
      </c>
      <c r="L623" s="382">
        <v>1.0</v>
      </c>
    </row>
    <row r="624">
      <c r="A624" s="380" t="s">
        <v>1465</v>
      </c>
      <c r="B624" s="380" t="str">
        <f>IFERROR(__xludf.DUMMYFUNCTION("""COMPUTED_VALUE"""),"Azucar Bolsa 5 Libras")</f>
        <v>Azucar Bolsa 5 Libras</v>
      </c>
      <c r="C624" s="380" t="str">
        <f>IFERROR(__xludf.DUMMYFUNCTION("""COMPUTED_VALUE"""),"10000400")</f>
        <v>10000400</v>
      </c>
      <c r="D624" s="380" t="s">
        <v>767</v>
      </c>
      <c r="E624" s="380" t="s">
        <v>768</v>
      </c>
      <c r="F624" s="380" t="s">
        <v>803</v>
      </c>
      <c r="G624" s="380" t="s">
        <v>1267</v>
      </c>
      <c r="H624" s="380" t="s">
        <v>771</v>
      </c>
      <c r="I624" s="380" t="s">
        <v>772</v>
      </c>
      <c r="J624" s="380" t="s">
        <v>773</v>
      </c>
      <c r="K624" s="381">
        <v>9600.0</v>
      </c>
      <c r="L624" s="382">
        <v>1.0</v>
      </c>
    </row>
    <row r="625">
      <c r="A625" s="380" t="s">
        <v>1466</v>
      </c>
      <c r="B625" s="380" t="str">
        <f>IFERROR(__xludf.DUMMYFUNCTION("""COMPUTED_VALUE"""),"Contrato Trabajo A Termino Fij")</f>
        <v>Contrato Trabajo A Termino Fij</v>
      </c>
      <c r="C625" s="380" t="str">
        <f>IFERROR(__xludf.DUMMYFUNCTION("""COMPUTED_VALUE"""),"10000401")</f>
        <v>10000401</v>
      </c>
      <c r="D625" s="380" t="s">
        <v>767</v>
      </c>
      <c r="E625" s="380" t="s">
        <v>768</v>
      </c>
      <c r="F625" s="380" t="s">
        <v>797</v>
      </c>
      <c r="G625" s="380" t="s">
        <v>1267</v>
      </c>
      <c r="H625" s="380" t="s">
        <v>771</v>
      </c>
      <c r="I625" s="380" t="s">
        <v>799</v>
      </c>
      <c r="J625" s="380" t="s">
        <v>773</v>
      </c>
      <c r="K625" s="381">
        <v>0.0</v>
      </c>
      <c r="L625" s="382">
        <v>1.0</v>
      </c>
    </row>
    <row r="626">
      <c r="A626" s="380" t="s">
        <v>1467</v>
      </c>
      <c r="B626" s="380" t="str">
        <f>IFERROR(__xludf.DUMMYFUNCTION("""COMPUTED_VALUE"""),"Tonner Hp Ce285a Laser")</f>
        <v>Tonner Hp Ce285a Laser</v>
      </c>
      <c r="C626" s="380" t="str">
        <f>IFERROR(__xludf.DUMMYFUNCTION("""COMPUTED_VALUE"""),"10000402")</f>
        <v>10000402</v>
      </c>
      <c r="D626" s="380" t="s">
        <v>767</v>
      </c>
      <c r="E626" s="380" t="s">
        <v>768</v>
      </c>
      <c r="F626" s="380" t="s">
        <v>797</v>
      </c>
      <c r="G626" s="380" t="s">
        <v>1267</v>
      </c>
      <c r="H626" s="380" t="s">
        <v>771</v>
      </c>
      <c r="I626" s="380" t="s">
        <v>799</v>
      </c>
      <c r="J626" s="380" t="s">
        <v>773</v>
      </c>
      <c r="K626" s="381">
        <v>0.0</v>
      </c>
      <c r="L626" s="382">
        <v>1.0</v>
      </c>
    </row>
    <row r="627">
      <c r="A627" s="380" t="s">
        <v>1468</v>
      </c>
      <c r="B627" s="380" t="str">
        <f>IFERROR(__xludf.DUMMYFUNCTION("""COMPUTED_VALUE"""),"Tonner Samsung Mlt-101s/Xaa")</f>
        <v>Tonner Samsung Mlt-101s/Xaa</v>
      </c>
      <c r="C627" s="380" t="str">
        <f>IFERROR(__xludf.DUMMYFUNCTION("""COMPUTED_VALUE"""),"10000403")</f>
        <v>10000403</v>
      </c>
      <c r="D627" s="380" t="s">
        <v>767</v>
      </c>
      <c r="E627" s="380" t="s">
        <v>768</v>
      </c>
      <c r="F627" s="380" t="s">
        <v>797</v>
      </c>
      <c r="G627" s="380" t="s">
        <v>1267</v>
      </c>
      <c r="H627" s="380" t="s">
        <v>771</v>
      </c>
      <c r="I627" s="380" t="s">
        <v>799</v>
      </c>
      <c r="J627" s="380" t="s">
        <v>773</v>
      </c>
      <c r="K627" s="381">
        <v>0.0</v>
      </c>
      <c r="L627" s="382">
        <v>1.0</v>
      </c>
    </row>
    <row r="628">
      <c r="A628" s="380" t="s">
        <v>1469</v>
      </c>
      <c r="B628" s="380" t="str">
        <f>IFERROR(__xludf.DUMMYFUNCTION("""COMPUTED_VALUE"""),"Tonner Samsung Mlt-D111s/Xaa")</f>
        <v>Tonner Samsung Mlt-D111s/Xaa</v>
      </c>
      <c r="C628" s="380" t="str">
        <f>IFERROR(__xludf.DUMMYFUNCTION("""COMPUTED_VALUE"""),"10000404")</f>
        <v>10000404</v>
      </c>
      <c r="D628" s="380" t="s">
        <v>767</v>
      </c>
      <c r="E628" s="380" t="s">
        <v>768</v>
      </c>
      <c r="F628" s="380" t="s">
        <v>797</v>
      </c>
      <c r="G628" s="380" t="s">
        <v>1267</v>
      </c>
      <c r="H628" s="380" t="s">
        <v>771</v>
      </c>
      <c r="I628" s="380" t="s">
        <v>799</v>
      </c>
      <c r="J628" s="380" t="s">
        <v>773</v>
      </c>
      <c r="K628" s="381">
        <v>0.0</v>
      </c>
      <c r="L628" s="382">
        <v>1.0</v>
      </c>
    </row>
    <row r="629">
      <c r="A629" s="380" t="s">
        <v>1470</v>
      </c>
      <c r="B629" s="380" t="str">
        <f>IFERROR(__xludf.DUMMYFUNCTION("""COMPUTED_VALUE"""),"Tinta Epson Botella T664120 Ne")</f>
        <v>Tinta Epson Botella T664120 Ne</v>
      </c>
      <c r="C629" s="380" t="str">
        <f>IFERROR(__xludf.DUMMYFUNCTION("""COMPUTED_VALUE"""),"10000405")</f>
        <v>10000405</v>
      </c>
      <c r="D629" s="380" t="s">
        <v>767</v>
      </c>
      <c r="E629" s="380" t="s">
        <v>768</v>
      </c>
      <c r="F629" s="380" t="s">
        <v>797</v>
      </c>
      <c r="G629" s="380" t="s">
        <v>1267</v>
      </c>
      <c r="H629" s="380" t="s">
        <v>771</v>
      </c>
      <c r="I629" s="380" t="s">
        <v>799</v>
      </c>
      <c r="J629" s="380" t="s">
        <v>773</v>
      </c>
      <c r="K629" s="381">
        <v>0.0</v>
      </c>
      <c r="L629" s="382">
        <v>1.0</v>
      </c>
    </row>
    <row r="630">
      <c r="A630" s="380" t="s">
        <v>1471</v>
      </c>
      <c r="B630" s="380" t="str">
        <f>IFERROR(__xludf.DUMMYFUNCTION("""COMPUTED_VALUE"""),"Lavaplatos 500 Gramos")</f>
        <v>Lavaplatos 500 Gramos</v>
      </c>
      <c r="C630" s="380" t="str">
        <f>IFERROR(__xludf.DUMMYFUNCTION("""COMPUTED_VALUE"""),"10000406")</f>
        <v>10000406</v>
      </c>
      <c r="D630" s="380" t="s">
        <v>767</v>
      </c>
      <c r="E630" s="380" t="s">
        <v>768</v>
      </c>
      <c r="F630" s="380" t="s">
        <v>769</v>
      </c>
      <c r="G630" s="380" t="s">
        <v>1267</v>
      </c>
      <c r="H630" s="380" t="s">
        <v>771</v>
      </c>
      <c r="I630" s="380" t="s">
        <v>772</v>
      </c>
      <c r="J630" s="380" t="s">
        <v>773</v>
      </c>
      <c r="K630" s="381">
        <v>4449.0</v>
      </c>
      <c r="L630" s="382">
        <v>1.0</v>
      </c>
    </row>
    <row r="631">
      <c r="A631" s="380" t="s">
        <v>1472</v>
      </c>
      <c r="B631" s="380" t="str">
        <f>IFERROR(__xludf.DUMMYFUNCTION("""COMPUTED_VALUE"""),"Locker Estra Con Tapa Transpar")</f>
        <v>Locker Estra Con Tapa Transpar</v>
      </c>
      <c r="C631" s="380" t="str">
        <f>IFERROR(__xludf.DUMMYFUNCTION("""COMPUTED_VALUE"""),"10000407")</f>
        <v>10000407</v>
      </c>
      <c r="D631" s="380" t="s">
        <v>767</v>
      </c>
      <c r="E631" s="380" t="s">
        <v>768</v>
      </c>
      <c r="F631" s="380" t="s">
        <v>797</v>
      </c>
      <c r="G631" s="380" t="s">
        <v>1267</v>
      </c>
      <c r="H631" s="380" t="s">
        <v>771</v>
      </c>
      <c r="I631" s="380" t="s">
        <v>799</v>
      </c>
      <c r="J631" s="380" t="s">
        <v>773</v>
      </c>
      <c r="K631" s="381">
        <v>0.0</v>
      </c>
      <c r="L631" s="382">
        <v>1.0</v>
      </c>
    </row>
    <row r="632">
      <c r="A632" s="380" t="s">
        <v>1473</v>
      </c>
      <c r="B632" s="380" t="str">
        <f>IFERROR(__xludf.DUMMYFUNCTION("""COMPUTED_VALUE"""),"Termo 1.9 Litros Administrativ")</f>
        <v>Termo 1.9 Litros Administrativ</v>
      </c>
      <c r="C632" s="380" t="str">
        <f>IFERROR(__xludf.DUMMYFUNCTION("""COMPUTED_VALUE"""),"10000408")</f>
        <v>10000408</v>
      </c>
      <c r="D632" s="380" t="s">
        <v>767</v>
      </c>
      <c r="E632" s="380" t="s">
        <v>768</v>
      </c>
      <c r="F632" s="380" t="s">
        <v>803</v>
      </c>
      <c r="G632" s="380" t="s">
        <v>1267</v>
      </c>
      <c r="H632" s="380" t="s">
        <v>771</v>
      </c>
      <c r="I632" s="380" t="s">
        <v>772</v>
      </c>
      <c r="J632" s="380" t="s">
        <v>773</v>
      </c>
      <c r="K632" s="381">
        <v>0.0</v>
      </c>
      <c r="L632" s="382">
        <v>1.0</v>
      </c>
    </row>
    <row r="633">
      <c r="A633" s="380" t="s">
        <v>1474</v>
      </c>
      <c r="B633" s="380" t="str">
        <f>IFERROR(__xludf.DUMMYFUNCTION("""COMPUTED_VALUE"""),"Acido Muriatico")</f>
        <v>Acido Muriatico</v>
      </c>
      <c r="C633" s="380" t="str">
        <f>IFERROR(__xludf.DUMMYFUNCTION("""COMPUTED_VALUE"""),"10000409")</f>
        <v>10000409</v>
      </c>
      <c r="D633" s="380" t="s">
        <v>767</v>
      </c>
      <c r="E633" s="380" t="s">
        <v>768</v>
      </c>
      <c r="F633" s="380" t="s">
        <v>769</v>
      </c>
      <c r="G633" s="380" t="s">
        <v>1267</v>
      </c>
      <c r="H633" s="380" t="s">
        <v>771</v>
      </c>
      <c r="I633" s="380" t="s">
        <v>772</v>
      </c>
      <c r="J633" s="380" t="s">
        <v>773</v>
      </c>
      <c r="K633" s="381">
        <v>0.0</v>
      </c>
      <c r="L633" s="382">
        <v>1.0</v>
      </c>
    </row>
    <row r="634">
      <c r="A634" s="380" t="s">
        <v>1475</v>
      </c>
      <c r="B634" s="380" t="str">
        <f>IFERROR(__xludf.DUMMYFUNCTION("""COMPUTED_VALUE"""),"Rueda Carreta Carga 8 Pb 2 1/4")</f>
        <v>Rueda Carreta Carga 8 Pb 2 1/4</v>
      </c>
      <c r="C634" s="380" t="str">
        <f>IFERROR(__xludf.DUMMYFUNCTION("""COMPUTED_VALUE"""),"10000410")</f>
        <v>10000410</v>
      </c>
      <c r="D634" s="380" t="s">
        <v>767</v>
      </c>
      <c r="E634" s="380" t="s">
        <v>768</v>
      </c>
      <c r="F634" s="380" t="s">
        <v>797</v>
      </c>
      <c r="G634" s="380" t="s">
        <v>1267</v>
      </c>
      <c r="H634" s="380" t="s">
        <v>771</v>
      </c>
      <c r="I634" s="380" t="s">
        <v>799</v>
      </c>
      <c r="J634" s="380" t="s">
        <v>773</v>
      </c>
      <c r="K634" s="381">
        <v>78064.0</v>
      </c>
      <c r="L634" s="382">
        <v>1.0</v>
      </c>
    </row>
    <row r="635">
      <c r="A635" s="380" t="s">
        <v>1476</v>
      </c>
      <c r="B635" s="380" t="str">
        <f>IFERROR(__xludf.DUMMYFUNCTION("""COMPUTED_VALUE"""),"Rueda 10"" Con Balin 22 Mm Vulc")</f>
        <v>Rueda 10" Con Balin 22 Mm Vulc</v>
      </c>
      <c r="C635" s="380" t="str">
        <f>IFERROR(__xludf.DUMMYFUNCTION("""COMPUTED_VALUE"""),"10000411")</f>
        <v>10000411</v>
      </c>
      <c r="D635" s="380" t="s">
        <v>767</v>
      </c>
      <c r="E635" s="380" t="s">
        <v>768</v>
      </c>
      <c r="F635" s="380" t="s">
        <v>797</v>
      </c>
      <c r="G635" s="380" t="s">
        <v>1267</v>
      </c>
      <c r="H635" s="380" t="s">
        <v>771</v>
      </c>
      <c r="I635" s="380" t="s">
        <v>799</v>
      </c>
      <c r="J635" s="380" t="s">
        <v>773</v>
      </c>
      <c r="K635" s="381">
        <v>119000.0</v>
      </c>
      <c r="L635" s="382">
        <v>1.0</v>
      </c>
    </row>
    <row r="636">
      <c r="A636" s="380" t="s">
        <v>1477</v>
      </c>
      <c r="B636" s="380" t="str">
        <f>IFERROR(__xludf.DUMMYFUNCTION("""COMPUTED_VALUE"""),"Carreta Carga Pesada 8"" Repara")</f>
        <v>Carreta Carga Pesada 8" Repara</v>
      </c>
      <c r="C636" s="380" t="str">
        <f>IFERROR(__xludf.DUMMYFUNCTION("""COMPUTED_VALUE"""),"10000412")</f>
        <v>10000412</v>
      </c>
      <c r="D636" s="380" t="s">
        <v>767</v>
      </c>
      <c r="E636" s="380" t="s">
        <v>768</v>
      </c>
      <c r="F636" s="380" t="s">
        <v>797</v>
      </c>
      <c r="G636" s="380" t="s">
        <v>1267</v>
      </c>
      <c r="H636" s="380" t="s">
        <v>771</v>
      </c>
      <c r="I636" s="380" t="s">
        <v>799</v>
      </c>
      <c r="J636" s="380" t="s">
        <v>773</v>
      </c>
      <c r="K636" s="381">
        <v>0.0</v>
      </c>
      <c r="L636" s="382">
        <v>1.0</v>
      </c>
    </row>
    <row r="637">
      <c r="A637" s="380" t="s">
        <v>1478</v>
      </c>
      <c r="B637" s="380" t="str">
        <f>IFERROR(__xludf.DUMMYFUNCTION("""COMPUTED_VALUE"""),"Butaco Rimax Azul")</f>
        <v>Butaco Rimax Azul</v>
      </c>
      <c r="C637" s="380" t="str">
        <f>IFERROR(__xludf.DUMMYFUNCTION("""COMPUTED_VALUE"""),"10000413")</f>
        <v>10000413</v>
      </c>
      <c r="D637" s="380" t="s">
        <v>767</v>
      </c>
      <c r="E637" s="380" t="s">
        <v>768</v>
      </c>
      <c r="F637" s="380" t="s">
        <v>797</v>
      </c>
      <c r="G637" s="380" t="s">
        <v>1267</v>
      </c>
      <c r="H637" s="380" t="s">
        <v>771</v>
      </c>
      <c r="I637" s="380" t="s">
        <v>799</v>
      </c>
      <c r="J637" s="380" t="s">
        <v>773</v>
      </c>
      <c r="K637" s="381">
        <v>65319.0</v>
      </c>
      <c r="L637" s="382">
        <v>1.0</v>
      </c>
    </row>
    <row r="638">
      <c r="A638" s="380" t="s">
        <v>1479</v>
      </c>
      <c r="B638" s="380" t="str">
        <f>IFERROR(__xludf.DUMMYFUNCTION("""COMPUTED_VALUE"""),"Archivador Az Azul Carta")</f>
        <v>Archivador Az Azul Carta</v>
      </c>
      <c r="C638" s="380" t="str">
        <f>IFERROR(__xludf.DUMMYFUNCTION("""COMPUTED_VALUE"""),"10000414")</f>
        <v>10000414</v>
      </c>
      <c r="D638" s="380" t="s">
        <v>767</v>
      </c>
      <c r="E638" s="380" t="s">
        <v>768</v>
      </c>
      <c r="F638" s="380" t="s">
        <v>797</v>
      </c>
      <c r="G638" s="380" t="s">
        <v>1267</v>
      </c>
      <c r="H638" s="380" t="s">
        <v>771</v>
      </c>
      <c r="I638" s="380" t="s">
        <v>799</v>
      </c>
      <c r="J638" s="380" t="s">
        <v>773</v>
      </c>
      <c r="K638" s="381">
        <v>4845.0</v>
      </c>
      <c r="L638" s="382">
        <v>1.0</v>
      </c>
    </row>
    <row r="639">
      <c r="A639" s="380" t="s">
        <v>1480</v>
      </c>
      <c r="B639" s="380" t="str">
        <f>IFERROR(__xludf.DUMMYFUNCTION("""COMPUTED_VALUE"""),"Bicarbonato De Sodio Al 99x25k")</f>
        <v>Bicarbonato De Sodio Al 99x25k</v>
      </c>
      <c r="C639" s="380" t="str">
        <f>IFERROR(__xludf.DUMMYFUNCTION("""COMPUTED_VALUE"""),"10000415")</f>
        <v>10000415</v>
      </c>
      <c r="D639" s="380" t="s">
        <v>767</v>
      </c>
      <c r="E639" s="380" t="s">
        <v>768</v>
      </c>
      <c r="F639" s="380" t="s">
        <v>769</v>
      </c>
      <c r="G639" s="380" t="s">
        <v>1267</v>
      </c>
      <c r="H639" s="380" t="s">
        <v>771</v>
      </c>
      <c r="I639" s="380" t="s">
        <v>772</v>
      </c>
      <c r="J639" s="380" t="s">
        <v>773</v>
      </c>
      <c r="K639" s="381">
        <v>0.0</v>
      </c>
      <c r="L639" s="382">
        <v>1.0</v>
      </c>
    </row>
    <row r="640">
      <c r="A640" s="380" t="s">
        <v>1481</v>
      </c>
      <c r="B640" s="380" t="str">
        <f>IFERROR(__xludf.DUMMYFUNCTION("""COMPUTED_VALUE"""),"Silicona Emulsio Al 60 Gal X3")</f>
        <v>Silicona Emulsio Al 60 Gal X3</v>
      </c>
      <c r="C640" s="380" t="str">
        <f>IFERROR(__xludf.DUMMYFUNCTION("""COMPUTED_VALUE"""),"10000416")</f>
        <v>10000416</v>
      </c>
      <c r="D640" s="380" t="s">
        <v>767</v>
      </c>
      <c r="E640" s="380" t="s">
        <v>768</v>
      </c>
      <c r="F640" s="380" t="s">
        <v>769</v>
      </c>
      <c r="G640" s="380" t="s">
        <v>1267</v>
      </c>
      <c r="H640" s="380" t="s">
        <v>771</v>
      </c>
      <c r="I640" s="380" t="s">
        <v>772</v>
      </c>
      <c r="J640" s="380" t="s">
        <v>773</v>
      </c>
      <c r="K640" s="381">
        <v>0.0</v>
      </c>
      <c r="L640" s="382">
        <v>1.0</v>
      </c>
    </row>
    <row r="641">
      <c r="A641" s="380" t="s">
        <v>1482</v>
      </c>
      <c r="B641" s="380" t="str">
        <f>IFERROR(__xludf.DUMMYFUNCTION("""COMPUTED_VALUE"""),"Archivador Az Azul Oficio")</f>
        <v>Archivador Az Azul Oficio</v>
      </c>
      <c r="C641" s="380" t="str">
        <f>IFERROR(__xludf.DUMMYFUNCTION("""COMPUTED_VALUE"""),"10000417")</f>
        <v>10000417</v>
      </c>
      <c r="D641" s="380" t="s">
        <v>767</v>
      </c>
      <c r="E641" s="380" t="s">
        <v>768</v>
      </c>
      <c r="F641" s="380" t="s">
        <v>797</v>
      </c>
      <c r="G641" s="380" t="s">
        <v>1267</v>
      </c>
      <c r="H641" s="380" t="s">
        <v>771</v>
      </c>
      <c r="I641" s="380" t="s">
        <v>799</v>
      </c>
      <c r="J641" s="380" t="s">
        <v>773</v>
      </c>
      <c r="K641" s="381">
        <v>0.0</v>
      </c>
      <c r="L641" s="382">
        <v>1.0</v>
      </c>
    </row>
    <row r="642">
      <c r="A642" s="380" t="s">
        <v>1483</v>
      </c>
      <c r="B642" s="380" t="str">
        <f>IFERROR(__xludf.DUMMYFUNCTION("""COMPUTED_VALUE"""),"Portadocumentos Vehiculo")</f>
        <v>Portadocumentos Vehiculo</v>
      </c>
      <c r="C642" s="380" t="str">
        <f>IFERROR(__xludf.DUMMYFUNCTION("""COMPUTED_VALUE"""),"10000418")</f>
        <v>10000418</v>
      </c>
      <c r="D642" s="380" t="s">
        <v>767</v>
      </c>
      <c r="E642" s="380" t="s">
        <v>768</v>
      </c>
      <c r="F642" s="380" t="s">
        <v>797</v>
      </c>
      <c r="G642" s="380" t="s">
        <v>1267</v>
      </c>
      <c r="H642" s="380" t="s">
        <v>771</v>
      </c>
      <c r="I642" s="380" t="s">
        <v>799</v>
      </c>
      <c r="J642" s="380" t="s">
        <v>773</v>
      </c>
      <c r="K642" s="381">
        <v>7140.0</v>
      </c>
      <c r="L642" s="382">
        <v>1.0</v>
      </c>
    </row>
    <row r="643">
      <c r="A643" s="380" t="s">
        <v>1484</v>
      </c>
      <c r="B643" s="380" t="str">
        <f>IFERROR(__xludf.DUMMYFUNCTION("""COMPUTED_VALUE"""),"Carnet Visitantes - Contratist")</f>
        <v>Carnet Visitantes - Contratist</v>
      </c>
      <c r="C643" s="380" t="str">
        <f>IFERROR(__xludf.DUMMYFUNCTION("""COMPUTED_VALUE"""),"10000420")</f>
        <v>10000420</v>
      </c>
      <c r="D643" s="380" t="s">
        <v>767</v>
      </c>
      <c r="E643" s="380" t="s">
        <v>768</v>
      </c>
      <c r="F643" s="380" t="s">
        <v>797</v>
      </c>
      <c r="G643" s="380" t="s">
        <v>1267</v>
      </c>
      <c r="H643" s="380" t="s">
        <v>771</v>
      </c>
      <c r="I643" s="380" t="s">
        <v>799</v>
      </c>
      <c r="J643" s="380" t="s">
        <v>773</v>
      </c>
      <c r="K643" s="381">
        <v>0.0</v>
      </c>
      <c r="L643" s="382">
        <v>1.0</v>
      </c>
    </row>
    <row r="644">
      <c r="A644" s="380" t="s">
        <v>1485</v>
      </c>
      <c r="B644" s="380" t="str">
        <f>IFERROR(__xludf.DUMMYFUNCTION("""COMPUTED_VALUE"""),"Porta Carnet Visistantes")</f>
        <v>Porta Carnet Visistantes</v>
      </c>
      <c r="C644" s="380" t="str">
        <f>IFERROR(__xludf.DUMMYFUNCTION("""COMPUTED_VALUE"""),"10000421")</f>
        <v>10000421</v>
      </c>
      <c r="D644" s="380" t="s">
        <v>767</v>
      </c>
      <c r="E644" s="380" t="s">
        <v>768</v>
      </c>
      <c r="F644" s="380" t="s">
        <v>797</v>
      </c>
      <c r="G644" s="380" t="s">
        <v>1267</v>
      </c>
      <c r="H644" s="380" t="s">
        <v>771</v>
      </c>
      <c r="I644" s="380" t="s">
        <v>799</v>
      </c>
      <c r="J644" s="380" t="s">
        <v>773</v>
      </c>
      <c r="K644" s="381">
        <v>0.0</v>
      </c>
      <c r="L644" s="382">
        <v>1.0</v>
      </c>
    </row>
    <row r="645">
      <c r="A645" s="380" t="s">
        <v>1486</v>
      </c>
      <c r="B645" s="380" t="str">
        <f>IFERROR(__xludf.DUMMYFUNCTION("""COMPUTED_VALUE"""),"Jabon Rey")</f>
        <v>Jabon Rey</v>
      </c>
      <c r="C645" s="380" t="str">
        <f>IFERROR(__xludf.DUMMYFUNCTION("""COMPUTED_VALUE"""),"10000422")</f>
        <v>10000422</v>
      </c>
      <c r="D645" s="380" t="s">
        <v>767</v>
      </c>
      <c r="E645" s="380" t="s">
        <v>768</v>
      </c>
      <c r="F645" s="380" t="s">
        <v>769</v>
      </c>
      <c r="G645" s="380" t="s">
        <v>1267</v>
      </c>
      <c r="H645" s="380" t="s">
        <v>771</v>
      </c>
      <c r="I645" s="380" t="s">
        <v>772</v>
      </c>
      <c r="J645" s="380" t="s">
        <v>773</v>
      </c>
      <c r="K645" s="381">
        <v>6181.0</v>
      </c>
      <c r="L645" s="382">
        <v>1.0</v>
      </c>
    </row>
    <row r="646">
      <c r="A646" s="380" t="s">
        <v>1487</v>
      </c>
      <c r="B646" s="380" t="str">
        <f>IFERROR(__xludf.DUMMYFUNCTION("""COMPUTED_VALUE"""),"Control Chequeo Gps Tal X 100")</f>
        <v>Control Chequeo Gps Tal X 100</v>
      </c>
      <c r="C646" s="380" t="str">
        <f>IFERROR(__xludf.DUMMYFUNCTION("""COMPUTED_VALUE"""),"10000423")</f>
        <v>10000423</v>
      </c>
      <c r="D646" s="380" t="s">
        <v>767</v>
      </c>
      <c r="E646" s="380" t="s">
        <v>768</v>
      </c>
      <c r="F646" s="380" t="s">
        <v>797</v>
      </c>
      <c r="G646" s="380" t="s">
        <v>1267</v>
      </c>
      <c r="H646" s="380" t="s">
        <v>771</v>
      </c>
      <c r="I646" s="380" t="s">
        <v>799</v>
      </c>
      <c r="J646" s="380" t="s">
        <v>773</v>
      </c>
      <c r="K646" s="381">
        <v>0.0</v>
      </c>
      <c r="L646" s="382">
        <v>1.0</v>
      </c>
    </row>
    <row r="647">
      <c r="A647" s="380" t="s">
        <v>1488</v>
      </c>
      <c r="B647" s="380" t="str">
        <f>IFERROR(__xludf.DUMMYFUNCTION("""COMPUTED_VALUE"""),"Revision Vehiculo Locales X100")</f>
        <v>Revision Vehiculo Locales X100</v>
      </c>
      <c r="C647" s="380" t="str">
        <f>IFERROR(__xludf.DUMMYFUNCTION("""COMPUTED_VALUE"""),"10000424")</f>
        <v>10000424</v>
      </c>
      <c r="D647" s="380" t="s">
        <v>767</v>
      </c>
      <c r="E647" s="380" t="s">
        <v>768</v>
      </c>
      <c r="F647" s="380" t="s">
        <v>797</v>
      </c>
      <c r="G647" s="380" t="s">
        <v>1267</v>
      </c>
      <c r="H647" s="380" t="s">
        <v>771</v>
      </c>
      <c r="I647" s="380" t="s">
        <v>799</v>
      </c>
      <c r="J647" s="380" t="s">
        <v>773</v>
      </c>
      <c r="K647" s="381">
        <v>6218.0</v>
      </c>
      <c r="L647" s="382">
        <v>1.0</v>
      </c>
    </row>
    <row r="648">
      <c r="A648" s="380" t="s">
        <v>1489</v>
      </c>
      <c r="B648" s="380" t="str">
        <f>IFERROR(__xludf.DUMMYFUNCTION("""COMPUTED_VALUE"""),"Planilla Seguim Veh. Ruta Nal")</f>
        <v>Planilla Seguim Veh. Ruta Nal</v>
      </c>
      <c r="C648" s="380" t="str">
        <f>IFERROR(__xludf.DUMMYFUNCTION("""COMPUTED_VALUE"""),"10000425")</f>
        <v>10000425</v>
      </c>
      <c r="D648" s="380" t="s">
        <v>767</v>
      </c>
      <c r="E648" s="380" t="s">
        <v>768</v>
      </c>
      <c r="F648" s="380" t="s">
        <v>797</v>
      </c>
      <c r="G648" s="380" t="s">
        <v>1267</v>
      </c>
      <c r="H648" s="380" t="s">
        <v>771</v>
      </c>
      <c r="I648" s="380" t="s">
        <v>799</v>
      </c>
      <c r="J648" s="380" t="s">
        <v>773</v>
      </c>
      <c r="K648" s="381">
        <v>8692.0</v>
      </c>
      <c r="L648" s="382">
        <v>1.0</v>
      </c>
    </row>
    <row r="649">
      <c r="A649" s="380" t="s">
        <v>1490</v>
      </c>
      <c r="B649" s="380" t="str">
        <f>IFERROR(__xludf.DUMMYFUNCTION("""COMPUTED_VALUE"""),"Entrada Y Salida De Vehiculos")</f>
        <v>Entrada Y Salida De Vehiculos</v>
      </c>
      <c r="C649" s="380" t="str">
        <f>IFERROR(__xludf.DUMMYFUNCTION("""COMPUTED_VALUE"""),"10000426")</f>
        <v>10000426</v>
      </c>
      <c r="D649" s="380" t="s">
        <v>767</v>
      </c>
      <c r="E649" s="380" t="s">
        <v>768</v>
      </c>
      <c r="F649" s="380" t="s">
        <v>797</v>
      </c>
      <c r="G649" s="380" t="s">
        <v>1267</v>
      </c>
      <c r="H649" s="380" t="s">
        <v>771</v>
      </c>
      <c r="I649" s="380" t="s">
        <v>799</v>
      </c>
      <c r="J649" s="380" t="s">
        <v>773</v>
      </c>
      <c r="K649" s="381">
        <v>9609.0</v>
      </c>
      <c r="L649" s="382">
        <v>1.0</v>
      </c>
    </row>
    <row r="650">
      <c r="A650" s="380" t="s">
        <v>1491</v>
      </c>
      <c r="B650" s="380" t="str">
        <f>IFERROR(__xludf.DUMMYFUNCTION("""COMPUTED_VALUE"""),"Control Descarg Y Cierr Plataf")</f>
        <v>Control Descarg Y Cierr Plataf</v>
      </c>
      <c r="C650" s="380" t="str">
        <f>IFERROR(__xludf.DUMMYFUNCTION("""COMPUTED_VALUE"""),"10000427")</f>
        <v>10000427</v>
      </c>
      <c r="D650" s="380" t="s">
        <v>767</v>
      </c>
      <c r="E650" s="380" t="s">
        <v>768</v>
      </c>
      <c r="F650" s="380" t="s">
        <v>797</v>
      </c>
      <c r="G650" s="380" t="s">
        <v>1267</v>
      </c>
      <c r="H650" s="380" t="s">
        <v>771</v>
      </c>
      <c r="I650" s="380" t="s">
        <v>799</v>
      </c>
      <c r="J650" s="380" t="s">
        <v>773</v>
      </c>
      <c r="K650" s="381">
        <v>6761.0</v>
      </c>
      <c r="L650" s="382">
        <v>1.0</v>
      </c>
    </row>
    <row r="651">
      <c r="A651" s="380" t="s">
        <v>1492</v>
      </c>
      <c r="B651" s="380" t="str">
        <f>IFERROR(__xludf.DUMMYFUNCTION("""COMPUTED_VALUE"""),"Papelera Vaiven De 121 Litros")</f>
        <v>Papelera Vaiven De 121 Litros</v>
      </c>
      <c r="C651" s="380" t="str">
        <f>IFERROR(__xludf.DUMMYFUNCTION("""COMPUTED_VALUE"""),"10000428")</f>
        <v>10000428</v>
      </c>
      <c r="D651" s="380" t="s">
        <v>767</v>
      </c>
      <c r="E651" s="380" t="s">
        <v>768</v>
      </c>
      <c r="F651" s="380" t="s">
        <v>769</v>
      </c>
      <c r="G651" s="380" t="s">
        <v>1267</v>
      </c>
      <c r="H651" s="380" t="s">
        <v>771</v>
      </c>
      <c r="I651" s="380" t="s">
        <v>772</v>
      </c>
      <c r="J651" s="380" t="s">
        <v>773</v>
      </c>
      <c r="K651" s="381">
        <v>158270.0</v>
      </c>
      <c r="L651" s="382">
        <v>1.0</v>
      </c>
    </row>
    <row r="652">
      <c r="A652" s="380" t="s">
        <v>1493</v>
      </c>
      <c r="B652" s="380" t="str">
        <f>IFERROR(__xludf.DUMMYFUNCTION("""COMPUTED_VALUE"""),"Papelera Vaiven De 53 Litros")</f>
        <v>Papelera Vaiven De 53 Litros</v>
      </c>
      <c r="C652" s="380" t="str">
        <f>IFERROR(__xludf.DUMMYFUNCTION("""COMPUTED_VALUE"""),"10000429")</f>
        <v>10000429</v>
      </c>
      <c r="D652" s="380" t="s">
        <v>767</v>
      </c>
      <c r="E652" s="380" t="s">
        <v>768</v>
      </c>
      <c r="F652" s="380" t="s">
        <v>769</v>
      </c>
      <c r="G652" s="380" t="s">
        <v>1267</v>
      </c>
      <c r="H652" s="380" t="s">
        <v>771</v>
      </c>
      <c r="I652" s="380" t="s">
        <v>772</v>
      </c>
      <c r="J652" s="380" t="s">
        <v>773</v>
      </c>
      <c r="K652" s="381">
        <v>0.0</v>
      </c>
      <c r="L652" s="382">
        <v>1.0</v>
      </c>
    </row>
    <row r="653">
      <c r="A653" s="380" t="s">
        <v>1494</v>
      </c>
      <c r="B653" s="380" t="str">
        <f>IFERROR(__xludf.DUMMYFUNCTION("""COMPUTED_VALUE"""),"Limpiavidrios Escualizable Mul")</f>
        <v>Limpiavidrios Escualizable Mul</v>
      </c>
      <c r="C653" s="380" t="str">
        <f>IFERROR(__xludf.DUMMYFUNCTION("""COMPUTED_VALUE"""),"10000430")</f>
        <v>10000430</v>
      </c>
      <c r="D653" s="380" t="s">
        <v>767</v>
      </c>
      <c r="E653" s="380" t="s">
        <v>768</v>
      </c>
      <c r="F653" s="380" t="s">
        <v>769</v>
      </c>
      <c r="G653" s="380" t="s">
        <v>1267</v>
      </c>
      <c r="H653" s="380" t="s">
        <v>771</v>
      </c>
      <c r="I653" s="380" t="s">
        <v>772</v>
      </c>
      <c r="J653" s="380" t="s">
        <v>773</v>
      </c>
      <c r="K653" s="381">
        <v>0.0</v>
      </c>
      <c r="L653" s="382">
        <v>1.0</v>
      </c>
    </row>
    <row r="654">
      <c r="A654" s="380" t="s">
        <v>1495</v>
      </c>
      <c r="B654" s="380" t="str">
        <f>IFERROR(__xludf.DUMMYFUNCTION("""COMPUTED_VALUE"""),"Cartulina Oficio X 100")</f>
        <v>Cartulina Oficio X 100</v>
      </c>
      <c r="C654" s="380" t="str">
        <f>IFERROR(__xludf.DUMMYFUNCTION("""COMPUTED_VALUE"""),"10000431")</f>
        <v>10000431</v>
      </c>
      <c r="D654" s="380" t="s">
        <v>767</v>
      </c>
      <c r="E654" s="380" t="s">
        <v>768</v>
      </c>
      <c r="F654" s="380" t="s">
        <v>797</v>
      </c>
      <c r="G654" s="380" t="s">
        <v>1267</v>
      </c>
      <c r="H654" s="380" t="s">
        <v>771</v>
      </c>
      <c r="I654" s="380" t="s">
        <v>799</v>
      </c>
      <c r="J654" s="380" t="s">
        <v>773</v>
      </c>
      <c r="K654" s="381">
        <v>0.0</v>
      </c>
      <c r="L654" s="382">
        <v>1.0</v>
      </c>
    </row>
    <row r="655">
      <c r="A655" s="380" t="s">
        <v>1496</v>
      </c>
      <c r="B655" s="380" t="str">
        <f>IFERROR(__xludf.DUMMYFUNCTION("""COMPUTED_VALUE"""),"Sobre Media Carta (Factura) Re")</f>
        <v>Sobre Media Carta (Factura) Re</v>
      </c>
      <c r="C655" s="380" t="str">
        <f>IFERROR(__xludf.DUMMYFUNCTION("""COMPUTED_VALUE"""),"10000432")</f>
        <v>10000432</v>
      </c>
      <c r="D655" s="380" t="s">
        <v>767</v>
      </c>
      <c r="E655" s="380" t="s">
        <v>768</v>
      </c>
      <c r="F655" s="380" t="s">
        <v>797</v>
      </c>
      <c r="G655" s="380" t="s">
        <v>1267</v>
      </c>
      <c r="H655" s="380" t="s">
        <v>771</v>
      </c>
      <c r="I655" s="380" t="s">
        <v>799</v>
      </c>
      <c r="J655" s="380" t="s">
        <v>773</v>
      </c>
      <c r="K655" s="381">
        <v>18.0</v>
      </c>
      <c r="L655" s="382">
        <v>1.0</v>
      </c>
    </row>
    <row r="656">
      <c r="A656" s="380" t="s">
        <v>1497</v>
      </c>
      <c r="B656" s="380" t="str">
        <f>IFERROR(__xludf.DUMMYFUNCTION("""COMPUTED_VALUE"""),"Sobre Carta Correspondencia I")</f>
        <v>Sobre Carta Correspondencia I</v>
      </c>
      <c r="C656" s="380" t="str">
        <f>IFERROR(__xludf.DUMMYFUNCTION("""COMPUTED_VALUE"""),"10000433")</f>
        <v>10000433</v>
      </c>
      <c r="D656" s="380" t="s">
        <v>767</v>
      </c>
      <c r="E656" s="380" t="s">
        <v>768</v>
      </c>
      <c r="F656" s="380" t="s">
        <v>797</v>
      </c>
      <c r="G656" s="380" t="s">
        <v>1267</v>
      </c>
      <c r="H656" s="380" t="s">
        <v>771</v>
      </c>
      <c r="I656" s="380" t="s">
        <v>799</v>
      </c>
      <c r="J656" s="380" t="s">
        <v>773</v>
      </c>
      <c r="K656" s="381">
        <v>366.0</v>
      </c>
      <c r="L656" s="382">
        <v>1.0</v>
      </c>
    </row>
    <row r="657">
      <c r="A657" s="380" t="s">
        <v>1498</v>
      </c>
      <c r="B657" s="380" t="str">
        <f>IFERROR(__xludf.DUMMYFUNCTION("""COMPUTED_VALUE"""),"Soporte Para Escobas Y Trapero")</f>
        <v>Soporte Para Escobas Y Trapero</v>
      </c>
      <c r="C657" s="380" t="str">
        <f>IFERROR(__xludf.DUMMYFUNCTION("""COMPUTED_VALUE"""),"10000434")</f>
        <v>10000434</v>
      </c>
      <c r="D657" s="380" t="s">
        <v>767</v>
      </c>
      <c r="E657" s="380" t="s">
        <v>768</v>
      </c>
      <c r="F657" s="380" t="s">
        <v>769</v>
      </c>
      <c r="G657" s="380" t="s">
        <v>1267</v>
      </c>
      <c r="H657" s="380" t="s">
        <v>771</v>
      </c>
      <c r="I657" s="380" t="s">
        <v>772</v>
      </c>
      <c r="J657" s="380" t="s">
        <v>773</v>
      </c>
      <c r="K657" s="381">
        <v>8989.0</v>
      </c>
      <c r="L657" s="382">
        <v>1.0</v>
      </c>
    </row>
    <row r="658">
      <c r="A658" s="380" t="s">
        <v>1499</v>
      </c>
      <c r="B658" s="380" t="str">
        <f>IFERROR(__xludf.DUMMYFUNCTION("""COMPUTED_VALUE"""),"Lapiz Negro")</f>
        <v>Lapiz Negro</v>
      </c>
      <c r="C658" s="380" t="str">
        <f>IFERROR(__xludf.DUMMYFUNCTION("""COMPUTED_VALUE"""),"10000435")</f>
        <v>10000435</v>
      </c>
      <c r="D658" s="380" t="s">
        <v>767</v>
      </c>
      <c r="E658" s="380" t="s">
        <v>768</v>
      </c>
      <c r="F658" s="380" t="s">
        <v>797</v>
      </c>
      <c r="G658" s="380" t="s">
        <v>1267</v>
      </c>
      <c r="H658" s="380" t="s">
        <v>771</v>
      </c>
      <c r="I658" s="380" t="s">
        <v>799</v>
      </c>
      <c r="J658" s="380" t="s">
        <v>773</v>
      </c>
      <c r="K658" s="381">
        <v>209.0</v>
      </c>
      <c r="L658" s="382">
        <v>1.0</v>
      </c>
    </row>
    <row r="659">
      <c r="A659" s="380" t="s">
        <v>1500</v>
      </c>
      <c r="B659" s="380" t="str">
        <f>IFERROR(__xludf.DUMMYFUNCTION("""COMPUTED_VALUE"""),"Lapiz Rojo")</f>
        <v>Lapiz Rojo</v>
      </c>
      <c r="C659" s="380" t="str">
        <f>IFERROR(__xludf.DUMMYFUNCTION("""COMPUTED_VALUE"""),"10000436")</f>
        <v>10000436</v>
      </c>
      <c r="D659" s="380" t="s">
        <v>767</v>
      </c>
      <c r="E659" s="380" t="s">
        <v>768</v>
      </c>
      <c r="F659" s="380" t="s">
        <v>797</v>
      </c>
      <c r="G659" s="380" t="s">
        <v>1267</v>
      </c>
      <c r="H659" s="380" t="s">
        <v>771</v>
      </c>
      <c r="I659" s="380" t="s">
        <v>799</v>
      </c>
      <c r="J659" s="380" t="s">
        <v>773</v>
      </c>
      <c r="K659" s="381">
        <v>0.0</v>
      </c>
      <c r="L659" s="382">
        <v>1.0</v>
      </c>
    </row>
    <row r="660">
      <c r="A660" s="380" t="s">
        <v>1501</v>
      </c>
      <c r="B660" s="380" t="str">
        <f>IFERROR(__xludf.DUMMYFUNCTION("""COMPUTED_VALUE"""),"Lavaplatos 1000 Gramos")</f>
        <v>Lavaplatos 1000 Gramos</v>
      </c>
      <c r="C660" s="380" t="str">
        <f>IFERROR(__xludf.DUMMYFUNCTION("""COMPUTED_VALUE"""),"10000437")</f>
        <v>10000437</v>
      </c>
      <c r="D660" s="380" t="s">
        <v>767</v>
      </c>
      <c r="E660" s="380" t="s">
        <v>768</v>
      </c>
      <c r="F660" s="380" t="s">
        <v>769</v>
      </c>
      <c r="G660" s="380" t="s">
        <v>1267</v>
      </c>
      <c r="H660" s="380" t="s">
        <v>771</v>
      </c>
      <c r="I660" s="380" t="s">
        <v>772</v>
      </c>
      <c r="J660" s="380" t="s">
        <v>773</v>
      </c>
      <c r="K660" s="381">
        <v>6398.0</v>
      </c>
      <c r="L660" s="382">
        <v>1.0</v>
      </c>
    </row>
    <row r="661">
      <c r="A661" s="380" t="s">
        <v>1502</v>
      </c>
      <c r="B661" s="380" t="str">
        <f>IFERROR(__xludf.DUMMYFUNCTION("""COMPUTED_VALUE"""),"Gato Estibador Reparado")</f>
        <v>Gato Estibador Reparado</v>
      </c>
      <c r="C661" s="380" t="str">
        <f>IFERROR(__xludf.DUMMYFUNCTION("""COMPUTED_VALUE"""),"10000439")</f>
        <v>10000439</v>
      </c>
      <c r="D661" s="380" t="s">
        <v>767</v>
      </c>
      <c r="E661" s="380" t="s">
        <v>768</v>
      </c>
      <c r="F661" s="380" t="s">
        <v>797</v>
      </c>
      <c r="G661" s="380" t="s">
        <v>1267</v>
      </c>
      <c r="H661" s="380" t="s">
        <v>771</v>
      </c>
      <c r="I661" s="380" t="s">
        <v>799</v>
      </c>
      <c r="J661" s="380" t="s">
        <v>773</v>
      </c>
      <c r="K661" s="381">
        <v>0.0</v>
      </c>
      <c r="L661" s="382">
        <v>1.0</v>
      </c>
    </row>
    <row r="662">
      <c r="A662" s="380" t="s">
        <v>1503</v>
      </c>
      <c r="B662" s="380" t="str">
        <f>IFERROR(__xludf.DUMMYFUNCTION("""COMPUTED_VALUE"""),"Puerta Locker Modular Transpar")</f>
        <v>Puerta Locker Modular Transpar</v>
      </c>
      <c r="C662" s="380" t="str">
        <f>IFERROR(__xludf.DUMMYFUNCTION("""COMPUTED_VALUE"""),"10000440")</f>
        <v>10000440</v>
      </c>
      <c r="D662" s="380" t="s">
        <v>767</v>
      </c>
      <c r="E662" s="380" t="s">
        <v>768</v>
      </c>
      <c r="F662" s="380" t="s">
        <v>797</v>
      </c>
      <c r="G662" s="380" t="s">
        <v>1267</v>
      </c>
      <c r="H662" s="380" t="s">
        <v>771</v>
      </c>
      <c r="I662" s="380" t="s">
        <v>799</v>
      </c>
      <c r="J662" s="380" t="s">
        <v>773</v>
      </c>
      <c r="K662" s="381">
        <v>0.0</v>
      </c>
      <c r="L662" s="382">
        <v>1.0</v>
      </c>
    </row>
    <row r="663">
      <c r="A663" s="380" t="s">
        <v>1504</v>
      </c>
      <c r="B663" s="380" t="str">
        <f>IFERROR(__xludf.DUMMYFUNCTION("""COMPUTED_VALUE"""),"Rueda Carreta 350 X 8")</f>
        <v>Rueda Carreta 350 X 8</v>
      </c>
      <c r="C663" s="380" t="str">
        <f>IFERROR(__xludf.DUMMYFUNCTION("""COMPUTED_VALUE"""),"10000441")</f>
        <v>10000441</v>
      </c>
      <c r="D663" s="380" t="s">
        <v>767</v>
      </c>
      <c r="E663" s="380" t="s">
        <v>768</v>
      </c>
      <c r="F663" s="380" t="s">
        <v>797</v>
      </c>
      <c r="G663" s="380" t="s">
        <v>1267</v>
      </c>
      <c r="H663" s="380" t="s">
        <v>771</v>
      </c>
      <c r="I663" s="380" t="s">
        <v>799</v>
      </c>
      <c r="J663" s="380" t="s">
        <v>773</v>
      </c>
      <c r="K663" s="381">
        <v>0.0</v>
      </c>
      <c r="L663" s="382">
        <v>1.0</v>
      </c>
    </row>
    <row r="664">
      <c r="A664" s="380" t="s">
        <v>1505</v>
      </c>
      <c r="B664" s="380" t="str">
        <f>IFERROR(__xludf.DUMMYFUNCTION("""COMPUTED_VALUE"""),"Cartulina Sencilla X Pliego")</f>
        <v>Cartulina Sencilla X Pliego</v>
      </c>
      <c r="C664" s="380" t="str">
        <f>IFERROR(__xludf.DUMMYFUNCTION("""COMPUTED_VALUE"""),"10000442")</f>
        <v>10000442</v>
      </c>
      <c r="D664" s="380" t="s">
        <v>767</v>
      </c>
      <c r="E664" s="380" t="s">
        <v>768</v>
      </c>
      <c r="F664" s="380" t="s">
        <v>797</v>
      </c>
      <c r="G664" s="380" t="s">
        <v>1267</v>
      </c>
      <c r="H664" s="380" t="s">
        <v>771</v>
      </c>
      <c r="I664" s="380" t="s">
        <v>799</v>
      </c>
      <c r="J664" s="380" t="s">
        <v>773</v>
      </c>
      <c r="K664" s="381">
        <v>0.0</v>
      </c>
      <c r="L664" s="382">
        <v>1.0</v>
      </c>
    </row>
    <row r="665">
      <c r="A665" s="380" t="s">
        <v>1506</v>
      </c>
      <c r="B665" s="380" t="str">
        <f>IFERROR(__xludf.DUMMYFUNCTION("""COMPUTED_VALUE"""),"Balde Escurridor Con Palanca 2")</f>
        <v>Balde Escurridor Con Palanca 2</v>
      </c>
      <c r="C665" s="380" t="str">
        <f>IFERROR(__xludf.DUMMYFUNCTION("""COMPUTED_VALUE"""),"10000443")</f>
        <v>10000443</v>
      </c>
      <c r="D665" s="380" t="s">
        <v>767</v>
      </c>
      <c r="E665" s="380" t="s">
        <v>768</v>
      </c>
      <c r="F665" s="380" t="s">
        <v>769</v>
      </c>
      <c r="G665" s="380" t="s">
        <v>1267</v>
      </c>
      <c r="H665" s="380" t="s">
        <v>771</v>
      </c>
      <c r="I665" s="380" t="s">
        <v>772</v>
      </c>
      <c r="J665" s="380" t="s">
        <v>773</v>
      </c>
      <c r="K665" s="381">
        <v>190400.0</v>
      </c>
      <c r="L665" s="382">
        <v>1.0</v>
      </c>
    </row>
    <row r="666">
      <c r="A666" s="380" t="s">
        <v>1507</v>
      </c>
      <c r="B666" s="380" t="str">
        <f>IFERROR(__xludf.DUMMYFUNCTION("""COMPUTED_VALUE"""),"Cloro Granulado Hth Al 90%")</f>
        <v>Cloro Granulado Hth Al 90%</v>
      </c>
      <c r="C666" s="380" t="str">
        <f>IFERROR(__xludf.DUMMYFUNCTION("""COMPUTED_VALUE"""),"10000444")</f>
        <v>10000444</v>
      </c>
      <c r="D666" s="380" t="s">
        <v>767</v>
      </c>
      <c r="E666" s="380" t="s">
        <v>768</v>
      </c>
      <c r="F666" s="380" t="s">
        <v>769</v>
      </c>
      <c r="G666" s="380" t="s">
        <v>1267</v>
      </c>
      <c r="H666" s="380" t="s">
        <v>771</v>
      </c>
      <c r="I666" s="380" t="s">
        <v>772</v>
      </c>
      <c r="J666" s="380" t="s">
        <v>773</v>
      </c>
      <c r="K666" s="381">
        <v>0.0</v>
      </c>
      <c r="L666" s="382">
        <v>1.0</v>
      </c>
    </row>
    <row r="667">
      <c r="A667" s="380" t="s">
        <v>1508</v>
      </c>
      <c r="B667" s="380" t="str">
        <f>IFERROR(__xludf.DUMMYFUNCTION("""COMPUTED_VALUE"""),"Perforadora 3 Huecos")</f>
        <v>Perforadora 3 Huecos</v>
      </c>
      <c r="C667" s="380" t="str">
        <f>IFERROR(__xludf.DUMMYFUNCTION("""COMPUTED_VALUE"""),"10000445")</f>
        <v>10000445</v>
      </c>
      <c r="D667" s="380" t="s">
        <v>767</v>
      </c>
      <c r="E667" s="380" t="s">
        <v>768</v>
      </c>
      <c r="F667" s="380" t="s">
        <v>797</v>
      </c>
      <c r="G667" s="380" t="s">
        <v>1267</v>
      </c>
      <c r="H667" s="380" t="s">
        <v>771</v>
      </c>
      <c r="I667" s="380" t="s">
        <v>799</v>
      </c>
      <c r="J667" s="380" t="s">
        <v>773</v>
      </c>
      <c r="K667" s="381">
        <v>0.0</v>
      </c>
      <c r="L667" s="382">
        <v>1.0</v>
      </c>
    </row>
    <row r="668">
      <c r="A668" s="380" t="s">
        <v>1509</v>
      </c>
      <c r="B668" s="380" t="str">
        <f>IFERROR(__xludf.DUMMYFUNCTION("""COMPUTED_VALUE"""),"Vaso Tinto Desechable 3.5 Onza")</f>
        <v>Vaso Tinto Desechable 3.5 Onza</v>
      </c>
      <c r="C668" s="380" t="str">
        <f>IFERROR(__xludf.DUMMYFUNCTION("""COMPUTED_VALUE"""),"10000446")</f>
        <v>10000446</v>
      </c>
      <c r="D668" s="380" t="s">
        <v>767</v>
      </c>
      <c r="E668" s="380" t="s">
        <v>768</v>
      </c>
      <c r="F668" s="380" t="s">
        <v>803</v>
      </c>
      <c r="G668" s="380" t="s">
        <v>1267</v>
      </c>
      <c r="H668" s="380" t="s">
        <v>771</v>
      </c>
      <c r="I668" s="380" t="s">
        <v>772</v>
      </c>
      <c r="J668" s="380" t="s">
        <v>773</v>
      </c>
      <c r="K668" s="381">
        <v>0.0</v>
      </c>
      <c r="L668" s="382">
        <v>1.0</v>
      </c>
    </row>
    <row r="669">
      <c r="A669" s="380" t="s">
        <v>1510</v>
      </c>
      <c r="B669" s="380" t="str">
        <f>IFERROR(__xludf.DUMMYFUNCTION("""COMPUTED_VALUE"""),"Borrador Tablero Felpa")</f>
        <v>Borrador Tablero Felpa</v>
      </c>
      <c r="C669" s="380" t="str">
        <f>IFERROR(__xludf.DUMMYFUNCTION("""COMPUTED_VALUE"""),"10000448")</f>
        <v>10000448</v>
      </c>
      <c r="D669" s="380" t="s">
        <v>767</v>
      </c>
      <c r="E669" s="380" t="s">
        <v>768</v>
      </c>
      <c r="F669" s="380" t="s">
        <v>797</v>
      </c>
      <c r="G669" s="380" t="s">
        <v>1267</v>
      </c>
      <c r="H669" s="380" t="s">
        <v>771</v>
      </c>
      <c r="I669" s="380" t="s">
        <v>799</v>
      </c>
      <c r="J669" s="380" t="s">
        <v>773</v>
      </c>
      <c r="K669" s="381">
        <v>0.0</v>
      </c>
      <c r="L669" s="382">
        <v>1.0</v>
      </c>
    </row>
    <row r="670">
      <c r="A670" s="380" t="s">
        <v>1511</v>
      </c>
      <c r="B670" s="380" t="str">
        <f>IFERROR(__xludf.DUMMYFUNCTION("""COMPUTED_VALUE"""),"Humedecedor Para Dedos")</f>
        <v>Humedecedor Para Dedos</v>
      </c>
      <c r="C670" s="380" t="str">
        <f>IFERROR(__xludf.DUMMYFUNCTION("""COMPUTED_VALUE"""),"10000449")</f>
        <v>10000449</v>
      </c>
      <c r="D670" s="380" t="s">
        <v>767</v>
      </c>
      <c r="E670" s="380" t="s">
        <v>768</v>
      </c>
      <c r="F670" s="380" t="s">
        <v>797</v>
      </c>
      <c r="G670" s="380" t="s">
        <v>1267</v>
      </c>
      <c r="H670" s="380" t="s">
        <v>771</v>
      </c>
      <c r="I670" s="380" t="s">
        <v>799</v>
      </c>
      <c r="J670" s="380" t="s">
        <v>773</v>
      </c>
      <c r="K670" s="381">
        <v>1399.0</v>
      </c>
      <c r="L670" s="382">
        <v>1.0</v>
      </c>
    </row>
    <row r="671">
      <c r="A671" s="380" t="s">
        <v>1512</v>
      </c>
      <c r="B671" s="380" t="str">
        <f>IFERROR(__xludf.DUMMYFUNCTION("""COMPUTED_VALUE"""),"Papel Higienico Disp. Bco 200m")</f>
        <v>Papel Higienico Disp. Bco 200m</v>
      </c>
      <c r="C671" s="380" t="str">
        <f>IFERROR(__xludf.DUMMYFUNCTION("""COMPUTED_VALUE"""),"10000450")</f>
        <v>10000450</v>
      </c>
      <c r="D671" s="380" t="s">
        <v>767</v>
      </c>
      <c r="E671" s="380" t="s">
        <v>768</v>
      </c>
      <c r="F671" s="380" t="s">
        <v>769</v>
      </c>
      <c r="G671" s="380" t="s">
        <v>1267</v>
      </c>
      <c r="H671" s="380" t="s">
        <v>771</v>
      </c>
      <c r="I671" s="380" t="s">
        <v>772</v>
      </c>
      <c r="J671" s="380" t="s">
        <v>773</v>
      </c>
      <c r="K671" s="381">
        <v>0.0</v>
      </c>
      <c r="L671" s="382">
        <v>1.0</v>
      </c>
    </row>
    <row r="672">
      <c r="A672" s="380" t="s">
        <v>1513</v>
      </c>
      <c r="B672" s="380" t="str">
        <f>IFERROR(__xludf.DUMMYFUNCTION("""COMPUTED_VALUE"""),"Jabon De Manos X Litro")</f>
        <v>Jabon De Manos X Litro</v>
      </c>
      <c r="C672" s="380" t="str">
        <f>IFERROR(__xludf.DUMMYFUNCTION("""COMPUTED_VALUE"""),"10000451")</f>
        <v>10000451</v>
      </c>
      <c r="D672" s="380" t="s">
        <v>767</v>
      </c>
      <c r="E672" s="380" t="s">
        <v>768</v>
      </c>
      <c r="F672" s="380" t="s">
        <v>769</v>
      </c>
      <c r="G672" s="380" t="s">
        <v>1267</v>
      </c>
      <c r="H672" s="380" t="s">
        <v>771</v>
      </c>
      <c r="I672" s="380" t="s">
        <v>772</v>
      </c>
      <c r="J672" s="380" t="s">
        <v>773</v>
      </c>
      <c r="K672" s="381">
        <v>0.0</v>
      </c>
      <c r="L672" s="382">
        <v>1.0</v>
      </c>
    </row>
    <row r="673">
      <c r="A673" s="380" t="s">
        <v>1514</v>
      </c>
      <c r="B673" s="380" t="str">
        <f>IFERROR(__xludf.DUMMYFUNCTION("""COMPUTED_VALUE"""),"Jabon Detergente Polvo X 20 Kg")</f>
        <v>Jabon Detergente Polvo X 20 Kg</v>
      </c>
      <c r="C673" s="380" t="str">
        <f>IFERROR(__xludf.DUMMYFUNCTION("""COMPUTED_VALUE"""),"10000452")</f>
        <v>10000452</v>
      </c>
      <c r="D673" s="380" t="s">
        <v>767</v>
      </c>
      <c r="E673" s="380" t="s">
        <v>768</v>
      </c>
      <c r="F673" s="380" t="s">
        <v>769</v>
      </c>
      <c r="G673" s="380" t="s">
        <v>1267</v>
      </c>
      <c r="H673" s="380" t="s">
        <v>771</v>
      </c>
      <c r="I673" s="380" t="s">
        <v>772</v>
      </c>
      <c r="J673" s="380" t="s">
        <v>773</v>
      </c>
      <c r="K673" s="381">
        <v>0.0</v>
      </c>
      <c r="L673" s="382">
        <v>1.0</v>
      </c>
    </row>
    <row r="674">
      <c r="A674" s="380" t="s">
        <v>1515</v>
      </c>
      <c r="B674" s="380" t="str">
        <f>IFERROR(__xludf.DUMMYFUNCTION("""COMPUTED_VALUE"""),"Jabon Liquido Mano X 800 Ml")</f>
        <v>Jabon Liquido Mano X 800 Ml</v>
      </c>
      <c r="C674" s="380" t="str">
        <f>IFERROR(__xludf.DUMMYFUNCTION("""COMPUTED_VALUE"""),"10000453")</f>
        <v>10000453</v>
      </c>
      <c r="D674" s="380" t="s">
        <v>767</v>
      </c>
      <c r="E674" s="380" t="s">
        <v>768</v>
      </c>
      <c r="F674" s="380" t="s">
        <v>769</v>
      </c>
      <c r="G674" s="380" t="s">
        <v>1267</v>
      </c>
      <c r="H674" s="380" t="s">
        <v>771</v>
      </c>
      <c r="I674" s="380" t="s">
        <v>772</v>
      </c>
      <c r="J674" s="380" t="s">
        <v>773</v>
      </c>
      <c r="K674" s="381">
        <v>0.0</v>
      </c>
      <c r="L674" s="382">
        <v>1.0</v>
      </c>
    </row>
    <row r="675">
      <c r="A675" s="380" t="s">
        <v>1516</v>
      </c>
      <c r="B675" s="380" t="str">
        <f>IFERROR(__xludf.DUMMYFUNCTION("""COMPUTED_VALUE"""),"Recibo Mercancía Talonar X100")</f>
        <v>Recibo Mercancía Talonar X100</v>
      </c>
      <c r="C675" s="380" t="str">
        <f>IFERROR(__xludf.DUMMYFUNCTION("""COMPUTED_VALUE"""),"10000454")</f>
        <v>10000454</v>
      </c>
      <c r="D675" s="380" t="s">
        <v>767</v>
      </c>
      <c r="E675" s="380" t="s">
        <v>768</v>
      </c>
      <c r="F675" s="380" t="s">
        <v>797</v>
      </c>
      <c r="G675" s="380" t="s">
        <v>1267</v>
      </c>
      <c r="H675" s="380" t="s">
        <v>771</v>
      </c>
      <c r="I675" s="380" t="s">
        <v>799</v>
      </c>
      <c r="J675" s="380" t="s">
        <v>773</v>
      </c>
      <c r="K675" s="381">
        <v>0.0</v>
      </c>
      <c r="L675" s="382">
        <v>1.0</v>
      </c>
    </row>
    <row r="676">
      <c r="A676" s="380" t="s">
        <v>1517</v>
      </c>
      <c r="B676" s="380" t="str">
        <f>IFERROR(__xludf.DUMMYFUNCTION("""COMPUTED_VALUE"""),"Reporte Trabajo Daño Veh X 100")</f>
        <v>Reporte Trabajo Daño Veh X 100</v>
      </c>
      <c r="C676" s="380" t="str">
        <f>IFERROR(__xludf.DUMMYFUNCTION("""COMPUTED_VALUE"""),"10000455")</f>
        <v>10000455</v>
      </c>
      <c r="D676" s="380" t="s">
        <v>767</v>
      </c>
      <c r="E676" s="380" t="s">
        <v>768</v>
      </c>
      <c r="F676" s="380" t="s">
        <v>797</v>
      </c>
      <c r="G676" s="380" t="s">
        <v>1267</v>
      </c>
      <c r="H676" s="380" t="s">
        <v>771</v>
      </c>
      <c r="I676" s="380" t="s">
        <v>799</v>
      </c>
      <c r="J676" s="380" t="s">
        <v>773</v>
      </c>
      <c r="K676" s="381">
        <v>11337.0</v>
      </c>
      <c r="L676" s="382">
        <v>1.0</v>
      </c>
    </row>
    <row r="677">
      <c r="A677" s="380" t="s">
        <v>1518</v>
      </c>
      <c r="B677" s="380" t="str">
        <f>IFERROR(__xludf.DUMMYFUNCTION("""COMPUTED_VALUE"""),"Sobre Blanco Membreteado Cm")</f>
        <v>Sobre Blanco Membreteado Cm</v>
      </c>
      <c r="C677" s="380" t="str">
        <f>IFERROR(__xludf.DUMMYFUNCTION("""COMPUTED_VALUE"""),"10000456")</f>
        <v>10000456</v>
      </c>
      <c r="D677" s="380" t="s">
        <v>767</v>
      </c>
      <c r="E677" s="380" t="s">
        <v>768</v>
      </c>
      <c r="F677" s="380" t="s">
        <v>797</v>
      </c>
      <c r="G677" s="380" t="s">
        <v>1267</v>
      </c>
      <c r="H677" s="380" t="s">
        <v>771</v>
      </c>
      <c r="I677" s="380" t="s">
        <v>799</v>
      </c>
      <c r="J677" s="380" t="s">
        <v>773</v>
      </c>
      <c r="K677" s="381">
        <v>314.0</v>
      </c>
      <c r="L677" s="382">
        <v>1.0</v>
      </c>
    </row>
    <row r="678">
      <c r="A678" s="380" t="s">
        <v>1519</v>
      </c>
      <c r="B678" s="380" t="str">
        <f>IFERROR(__xludf.DUMMYFUNCTION("""COMPUTED_VALUE"""),"Tarjeta Control Almacén")</f>
        <v>Tarjeta Control Almacén</v>
      </c>
      <c r="C678" s="380" t="str">
        <f>IFERROR(__xludf.DUMMYFUNCTION("""COMPUTED_VALUE"""),"10000457")</f>
        <v>10000457</v>
      </c>
      <c r="D678" s="380" t="s">
        <v>767</v>
      </c>
      <c r="E678" s="380" t="s">
        <v>768</v>
      </c>
      <c r="F678" s="380" t="s">
        <v>797</v>
      </c>
      <c r="G678" s="380" t="s">
        <v>1267</v>
      </c>
      <c r="H678" s="380" t="s">
        <v>771</v>
      </c>
      <c r="I678" s="380" t="s">
        <v>799</v>
      </c>
      <c r="J678" s="380" t="s">
        <v>773</v>
      </c>
      <c r="K678" s="381">
        <v>146.0</v>
      </c>
      <c r="L678" s="382">
        <v>1.0</v>
      </c>
    </row>
    <row r="679">
      <c r="A679" s="380" t="s">
        <v>1520</v>
      </c>
      <c r="B679" s="380" t="str">
        <f>IFERROR(__xludf.DUMMYFUNCTION("""COMPUTED_VALUE"""),"Le Ha Llegado Un Envio Tal X50")</f>
        <v>Le Ha Llegado Un Envio Tal X50</v>
      </c>
      <c r="C679" s="380" t="str">
        <f>IFERROR(__xludf.DUMMYFUNCTION("""COMPUTED_VALUE"""),"10000458")</f>
        <v>10000458</v>
      </c>
      <c r="D679" s="380" t="s">
        <v>767</v>
      </c>
      <c r="E679" s="380" t="s">
        <v>768</v>
      </c>
      <c r="F679" s="380" t="s">
        <v>797</v>
      </c>
      <c r="G679" s="380" t="s">
        <v>1267</v>
      </c>
      <c r="H679" s="380" t="s">
        <v>771</v>
      </c>
      <c r="I679" s="380" t="s">
        <v>799</v>
      </c>
      <c r="J679" s="380" t="s">
        <v>773</v>
      </c>
      <c r="K679" s="381">
        <v>0.0</v>
      </c>
      <c r="L679" s="382">
        <v>1.0</v>
      </c>
    </row>
    <row r="680">
      <c r="A680" s="380" t="s">
        <v>1521</v>
      </c>
      <c r="B680" s="380" t="str">
        <f>IFERROR(__xludf.DUMMYFUNCTION("""COMPUTED_VALUE"""),"Guia 3 Partes Automat Resm 500")</f>
        <v>Guia 3 Partes Automat Resm 500</v>
      </c>
      <c r="C680" s="380" t="str">
        <f>IFERROR(__xludf.DUMMYFUNCTION("""COMPUTED_VALUE"""),"10000459")</f>
        <v>10000459</v>
      </c>
      <c r="D680" s="380" t="s">
        <v>767</v>
      </c>
      <c r="E680" s="380" t="s">
        <v>768</v>
      </c>
      <c r="F680" s="380" t="s">
        <v>797</v>
      </c>
      <c r="G680" s="380" t="s">
        <v>1267</v>
      </c>
      <c r="H680" s="380" t="s">
        <v>771</v>
      </c>
      <c r="I680" s="380" t="s">
        <v>799</v>
      </c>
      <c r="J680" s="380" t="s">
        <v>773</v>
      </c>
      <c r="K680" s="381">
        <v>0.0</v>
      </c>
      <c r="L680" s="382">
        <v>1.0</v>
      </c>
    </row>
    <row r="681">
      <c r="A681" s="380" t="s">
        <v>1522</v>
      </c>
      <c r="B681" s="380" t="str">
        <f>IFERROR(__xludf.DUMMYFUNCTION("""COMPUTED_VALUE"""),"Guia 5 Partes Manual Caja X 2.500")</f>
        <v>Guia 5 Partes Manual Caja X 2.500</v>
      </c>
      <c r="C681" s="380" t="str">
        <f>IFERROR(__xludf.DUMMYFUNCTION("""COMPUTED_VALUE"""),"10000460")</f>
        <v>10000460</v>
      </c>
      <c r="D681" s="380" t="s">
        <v>767</v>
      </c>
      <c r="E681" s="380" t="s">
        <v>768</v>
      </c>
      <c r="F681" s="380" t="s">
        <v>797</v>
      </c>
      <c r="G681" s="380" t="s">
        <v>1267</v>
      </c>
      <c r="H681" s="380" t="s">
        <v>771</v>
      </c>
      <c r="I681" s="380" t="s">
        <v>799</v>
      </c>
      <c r="J681" s="380" t="s">
        <v>773</v>
      </c>
      <c r="K681" s="381">
        <v>0.0</v>
      </c>
      <c r="L681" s="382">
        <v>1.0</v>
      </c>
    </row>
    <row r="682">
      <c r="A682" s="380" t="s">
        <v>1523</v>
      </c>
      <c r="B682" s="380" t="str">
        <f>IFERROR(__xludf.DUMMYFUNCTION("""COMPUTED_VALUE"""),"Guia Mensajeria 5 Partes Resma")</f>
        <v>Guia Mensajeria 5 Partes Resma</v>
      </c>
      <c r="C682" s="380" t="str">
        <f>IFERROR(__xludf.DUMMYFUNCTION("""COMPUTED_VALUE"""),"10000461")</f>
        <v>10000461</v>
      </c>
      <c r="D682" s="380" t="s">
        <v>767</v>
      </c>
      <c r="E682" s="380" t="s">
        <v>768</v>
      </c>
      <c r="F682" s="380" t="s">
        <v>797</v>
      </c>
      <c r="G682" s="380" t="s">
        <v>1267</v>
      </c>
      <c r="H682" s="380" t="s">
        <v>771</v>
      </c>
      <c r="I682" s="380" t="s">
        <v>799</v>
      </c>
      <c r="J682" s="380" t="s">
        <v>773</v>
      </c>
      <c r="K682" s="381">
        <v>89250.0</v>
      </c>
      <c r="L682" s="382">
        <v>1.0</v>
      </c>
    </row>
    <row r="683">
      <c r="A683" s="380" t="s">
        <v>1524</v>
      </c>
      <c r="B683" s="380" t="str">
        <f>IFERROR(__xludf.DUMMYFUNCTION("""COMPUTED_VALUE"""),"Papel Troquelado 2 Partes Fact Resma")</f>
        <v>Papel Troquelado 2 Partes Fact Resma</v>
      </c>
      <c r="C683" s="380" t="str">
        <f>IFERROR(__xludf.DUMMYFUNCTION("""COMPUTED_VALUE"""),"10000462")</f>
        <v>10000462</v>
      </c>
      <c r="D683" s="380" t="s">
        <v>767</v>
      </c>
      <c r="E683" s="380" t="s">
        <v>768</v>
      </c>
      <c r="F683" s="380" t="s">
        <v>797</v>
      </c>
      <c r="G683" s="380" t="s">
        <v>1267</v>
      </c>
      <c r="H683" s="380" t="s">
        <v>771</v>
      </c>
      <c r="I683" s="380" t="s">
        <v>799</v>
      </c>
      <c r="J683" s="380" t="s">
        <v>773</v>
      </c>
      <c r="K683" s="381">
        <v>0.0</v>
      </c>
      <c r="L683" s="382">
        <v>1.0</v>
      </c>
    </row>
    <row r="684">
      <c r="A684" s="380" t="s">
        <v>1525</v>
      </c>
      <c r="B684" s="380" t="str">
        <f>IFERROR(__xludf.DUMMYFUNCTION("""COMPUTED_VALUE"""),"Marcador Borrable Grueso 24596")</f>
        <v>Marcador Borrable Grueso 24596</v>
      </c>
      <c r="C684" s="380" t="str">
        <f>IFERROR(__xludf.DUMMYFUNCTION("""COMPUTED_VALUE"""),"10000465")</f>
        <v>10000465</v>
      </c>
      <c r="D684" s="380" t="s">
        <v>767</v>
      </c>
      <c r="E684" s="380" t="s">
        <v>768</v>
      </c>
      <c r="F684" s="380" t="s">
        <v>797</v>
      </c>
      <c r="G684" s="380" t="s">
        <v>1267</v>
      </c>
      <c r="H684" s="380" t="s">
        <v>771</v>
      </c>
      <c r="I684" s="380" t="s">
        <v>799</v>
      </c>
      <c r="J684" s="380" t="s">
        <v>773</v>
      </c>
      <c r="K684" s="381">
        <v>35714.0</v>
      </c>
      <c r="L684" s="382">
        <v>1.0</v>
      </c>
    </row>
    <row r="685">
      <c r="A685" s="380" t="s">
        <v>1526</v>
      </c>
      <c r="B685" s="380" t="str">
        <f>IFERROR(__xludf.DUMMYFUNCTION("""COMPUTED_VALUE"""),"Reporte De Trabajo Daño Trayle")</f>
        <v>Reporte De Trabajo Daño Trayle</v>
      </c>
      <c r="C685" s="380" t="str">
        <f>IFERROR(__xludf.DUMMYFUNCTION("""COMPUTED_VALUE"""),"10000466")</f>
        <v>10000466</v>
      </c>
      <c r="D685" s="380" t="s">
        <v>767</v>
      </c>
      <c r="E685" s="380" t="s">
        <v>768</v>
      </c>
      <c r="F685" s="380" t="s">
        <v>797</v>
      </c>
      <c r="G685" s="380" t="s">
        <v>1267</v>
      </c>
      <c r="H685" s="380" t="s">
        <v>771</v>
      </c>
      <c r="I685" s="380" t="s">
        <v>799</v>
      </c>
      <c r="J685" s="380" t="s">
        <v>773</v>
      </c>
      <c r="K685" s="381">
        <v>11323.0</v>
      </c>
      <c r="L685" s="382">
        <v>1.0</v>
      </c>
    </row>
    <row r="686">
      <c r="A686" s="380" t="s">
        <v>1527</v>
      </c>
      <c r="B686" s="380" t="str">
        <f>IFERROR(__xludf.DUMMYFUNCTION("""COMPUTED_VALUE"""),"Rodachina 3pb 19e De 7/16 Bali")</f>
        <v>Rodachina 3pb 19e De 7/16 Bali</v>
      </c>
      <c r="C686" s="380" t="str">
        <f>IFERROR(__xludf.DUMMYFUNCTION("""COMPUTED_VALUE"""),"10000467")</f>
        <v>10000467</v>
      </c>
      <c r="D686" s="380" t="s">
        <v>767</v>
      </c>
      <c r="E686" s="380" t="s">
        <v>768</v>
      </c>
      <c r="F686" s="380" t="s">
        <v>797</v>
      </c>
      <c r="G686" s="380" t="s">
        <v>1267</v>
      </c>
      <c r="H686" s="380" t="s">
        <v>771</v>
      </c>
      <c r="I686" s="380" t="s">
        <v>799</v>
      </c>
      <c r="J686" s="380" t="s">
        <v>773</v>
      </c>
      <c r="K686" s="381">
        <v>0.0</v>
      </c>
      <c r="L686" s="382">
        <v>1.0</v>
      </c>
    </row>
    <row r="687">
      <c r="A687" s="380" t="s">
        <v>1528</v>
      </c>
      <c r="B687" s="380" t="str">
        <f>IFERROR(__xludf.DUMMYFUNCTION("""COMPUTED_VALUE"""),"Papel Fotocopia Media Carta Resma")</f>
        <v>Papel Fotocopia Media Carta Resma</v>
      </c>
      <c r="C687" s="380" t="str">
        <f>IFERROR(__xludf.DUMMYFUNCTION("""COMPUTED_VALUE"""),"10000468")</f>
        <v>10000468</v>
      </c>
      <c r="D687" s="380" t="s">
        <v>767</v>
      </c>
      <c r="E687" s="380" t="s">
        <v>768</v>
      </c>
      <c r="F687" s="380" t="s">
        <v>797</v>
      </c>
      <c r="G687" s="380" t="s">
        <v>1267</v>
      </c>
      <c r="H687" s="380" t="s">
        <v>771</v>
      </c>
      <c r="I687" s="380" t="s">
        <v>799</v>
      </c>
      <c r="J687" s="380" t="s">
        <v>773</v>
      </c>
      <c r="K687" s="381">
        <v>8213.0</v>
      </c>
      <c r="L687" s="382">
        <v>1.0</v>
      </c>
    </row>
    <row r="688">
      <c r="A688" s="380" t="s">
        <v>1529</v>
      </c>
      <c r="B688" s="380" t="str">
        <f>IFERROR(__xludf.DUMMYFUNCTION("""COMPUTED_VALUE"""),"Bolsa Transp T Kardex 12x25")</f>
        <v>Bolsa Transp T Kardex 12x25</v>
      </c>
      <c r="C688" s="380" t="str">
        <f>IFERROR(__xludf.DUMMYFUNCTION("""COMPUTED_VALUE"""),"10000469")</f>
        <v>10000469</v>
      </c>
      <c r="D688" s="380" t="s">
        <v>767</v>
      </c>
      <c r="E688" s="380" t="s">
        <v>768</v>
      </c>
      <c r="F688" s="380" t="s">
        <v>797</v>
      </c>
      <c r="G688" s="380" t="s">
        <v>1267</v>
      </c>
      <c r="H688" s="380" t="s">
        <v>771</v>
      </c>
      <c r="I688" s="380" t="s">
        <v>799</v>
      </c>
      <c r="J688" s="380" t="s">
        <v>773</v>
      </c>
      <c r="K688" s="381">
        <v>0.0</v>
      </c>
      <c r="L688" s="382">
        <v>1.0</v>
      </c>
    </row>
    <row r="689">
      <c r="A689" s="380" t="s">
        <v>1530</v>
      </c>
      <c r="B689" s="380" t="str">
        <f>IFERROR(__xludf.DUMMYFUNCTION("""COMPUTED_VALUE"""),"Cinta Impreso Epson 8075 Lx810")</f>
        <v>Cinta Impreso Epson 8075 Lx810</v>
      </c>
      <c r="C689" s="380" t="str">
        <f>IFERROR(__xludf.DUMMYFUNCTION("""COMPUTED_VALUE"""),"10000470")</f>
        <v>10000470</v>
      </c>
      <c r="D689" s="380" t="s">
        <v>767</v>
      </c>
      <c r="E689" s="380" t="s">
        <v>768</v>
      </c>
      <c r="F689" s="380" t="s">
        <v>797</v>
      </c>
      <c r="G689" s="380" t="s">
        <v>1267</v>
      </c>
      <c r="H689" s="380" t="s">
        <v>771</v>
      </c>
      <c r="I689" s="380" t="s">
        <v>799</v>
      </c>
      <c r="J689" s="380" t="s">
        <v>773</v>
      </c>
      <c r="K689" s="381">
        <v>23503.0</v>
      </c>
      <c r="L689" s="382">
        <v>1.0</v>
      </c>
    </row>
    <row r="690">
      <c r="A690" s="380" t="s">
        <v>1531</v>
      </c>
      <c r="B690" s="380" t="str">
        <f>IFERROR(__xludf.DUMMYFUNCTION("""COMPUTED_VALUE"""),"Cinta Impresora Erc 27 Epson")</f>
        <v>Cinta Impresora Erc 27 Epson</v>
      </c>
      <c r="C690" s="380" t="str">
        <f>IFERROR(__xludf.DUMMYFUNCTION("""COMPUTED_VALUE"""),"10000471")</f>
        <v>10000471</v>
      </c>
      <c r="D690" s="380" t="s">
        <v>767</v>
      </c>
      <c r="E690" s="380" t="s">
        <v>768</v>
      </c>
      <c r="F690" s="380" t="s">
        <v>797</v>
      </c>
      <c r="G690" s="380" t="s">
        <v>1267</v>
      </c>
      <c r="H690" s="380" t="s">
        <v>771</v>
      </c>
      <c r="I690" s="380" t="s">
        <v>799</v>
      </c>
      <c r="J690" s="380" t="s">
        <v>773</v>
      </c>
      <c r="K690" s="381">
        <v>44699.0</v>
      </c>
      <c r="L690" s="382">
        <v>1.0</v>
      </c>
    </row>
    <row r="691">
      <c r="A691" s="380" t="s">
        <v>1532</v>
      </c>
      <c r="B691" s="380" t="str">
        <f>IFERROR(__xludf.DUMMYFUNCTION("""COMPUTED_VALUE"""),"Frotex")</f>
        <v>Frotex</v>
      </c>
      <c r="C691" s="380" t="str">
        <f>IFERROR(__xludf.DUMMYFUNCTION("""COMPUTED_VALUE"""),"10000472")</f>
        <v>10000472</v>
      </c>
      <c r="D691" s="380" t="s">
        <v>767</v>
      </c>
      <c r="E691" s="380" t="s">
        <v>768</v>
      </c>
      <c r="F691" s="380" t="s">
        <v>769</v>
      </c>
      <c r="G691" s="380" t="s">
        <v>1267</v>
      </c>
      <c r="H691" s="380" t="s">
        <v>771</v>
      </c>
      <c r="I691" s="380" t="s">
        <v>772</v>
      </c>
      <c r="J691" s="380" t="s">
        <v>773</v>
      </c>
      <c r="K691" s="381">
        <v>6105.0</v>
      </c>
      <c r="L691" s="382">
        <v>1.0</v>
      </c>
    </row>
    <row r="692">
      <c r="A692" s="380" t="s">
        <v>1533</v>
      </c>
      <c r="B692" s="380" t="str">
        <f>IFERROR(__xludf.DUMMYFUNCTION("""COMPUTED_VALUE"""),"Detergente Lavadora")</f>
        <v>Detergente Lavadora</v>
      </c>
      <c r="C692" s="380" t="str">
        <f>IFERROR(__xludf.DUMMYFUNCTION("""COMPUTED_VALUE"""),"10000473")</f>
        <v>10000473</v>
      </c>
      <c r="D692" s="380" t="s">
        <v>767</v>
      </c>
      <c r="E692" s="380" t="s">
        <v>768</v>
      </c>
      <c r="F692" s="380" t="s">
        <v>769</v>
      </c>
      <c r="G692" s="380" t="s">
        <v>1267</v>
      </c>
      <c r="H692" s="380" t="s">
        <v>771</v>
      </c>
      <c r="I692" s="380" t="s">
        <v>772</v>
      </c>
      <c r="J692" s="380" t="s">
        <v>773</v>
      </c>
      <c r="K692" s="381">
        <v>21619.0</v>
      </c>
      <c r="L692" s="382">
        <v>1.0</v>
      </c>
    </row>
    <row r="693">
      <c r="A693" s="380" t="s">
        <v>1534</v>
      </c>
      <c r="B693" s="380" t="str">
        <f>IFERROR(__xludf.DUMMYFUNCTION("""COMPUTED_VALUE"""),"Vaso De Cristal")</f>
        <v>Vaso De Cristal</v>
      </c>
      <c r="C693" s="380" t="str">
        <f>IFERROR(__xludf.DUMMYFUNCTION("""COMPUTED_VALUE"""),"10000474")</f>
        <v>10000474</v>
      </c>
      <c r="D693" s="380" t="s">
        <v>767</v>
      </c>
      <c r="E693" s="380" t="s">
        <v>768</v>
      </c>
      <c r="F693" s="380" t="s">
        <v>803</v>
      </c>
      <c r="G693" s="380" t="s">
        <v>1267</v>
      </c>
      <c r="H693" s="380" t="s">
        <v>771</v>
      </c>
      <c r="I693" s="380" t="s">
        <v>772</v>
      </c>
      <c r="J693" s="380" t="s">
        <v>773</v>
      </c>
      <c r="K693" s="381">
        <v>0.0</v>
      </c>
      <c r="L693" s="382">
        <v>1.0</v>
      </c>
    </row>
    <row r="694">
      <c r="A694" s="380" t="s">
        <v>1535</v>
      </c>
      <c r="B694" s="380" t="str">
        <f>IFERROR(__xludf.DUMMYFUNCTION("""COMPUTED_VALUE"""),"Porta Vasos")</f>
        <v>Porta Vasos</v>
      </c>
      <c r="C694" s="380" t="str">
        <f>IFERROR(__xludf.DUMMYFUNCTION("""COMPUTED_VALUE"""),"10000475")</f>
        <v>10000475</v>
      </c>
      <c r="D694" s="380" t="s">
        <v>767</v>
      </c>
      <c r="E694" s="380" t="s">
        <v>768</v>
      </c>
      <c r="F694" s="380" t="s">
        <v>803</v>
      </c>
      <c r="G694" s="380" t="s">
        <v>1267</v>
      </c>
      <c r="H694" s="380" t="s">
        <v>771</v>
      </c>
      <c r="I694" s="380" t="s">
        <v>772</v>
      </c>
      <c r="J694" s="380" t="s">
        <v>773</v>
      </c>
      <c r="K694" s="381">
        <v>0.0</v>
      </c>
      <c r="L694" s="382">
        <v>1.0</v>
      </c>
    </row>
    <row r="695">
      <c r="A695" s="380" t="s">
        <v>1536</v>
      </c>
      <c r="B695" s="380" t="str">
        <f>IFERROR(__xludf.DUMMYFUNCTION("""COMPUTED_VALUE"""),"Azucar Ligth En Sobre X 100")</f>
        <v>Azucar Ligth En Sobre X 100</v>
      </c>
      <c r="C695" s="380" t="str">
        <f>IFERROR(__xludf.DUMMYFUNCTION("""COMPUTED_VALUE"""),"10000476")</f>
        <v>10000476</v>
      </c>
      <c r="D695" s="380" t="s">
        <v>767</v>
      </c>
      <c r="E695" s="380" t="s">
        <v>768</v>
      </c>
      <c r="F695" s="380" t="s">
        <v>803</v>
      </c>
      <c r="G695" s="380" t="s">
        <v>1267</v>
      </c>
      <c r="H695" s="380" t="s">
        <v>771</v>
      </c>
      <c r="I695" s="380" t="s">
        <v>772</v>
      </c>
      <c r="J695" s="380" t="s">
        <v>773</v>
      </c>
      <c r="K695" s="381">
        <v>0.0</v>
      </c>
      <c r="L695" s="382">
        <v>1.0</v>
      </c>
    </row>
    <row r="696">
      <c r="A696" s="380" t="s">
        <v>1537</v>
      </c>
      <c r="B696" s="380" t="str">
        <f>IFERROR(__xludf.DUMMYFUNCTION("""COMPUTED_VALUE"""),"Control Combust Talonar X 100")</f>
        <v>Control Combust Talonar X 100</v>
      </c>
      <c r="C696" s="380" t="str">
        <f>IFERROR(__xludf.DUMMYFUNCTION("""COMPUTED_VALUE"""),"10000477")</f>
        <v>10000477</v>
      </c>
      <c r="D696" s="380" t="s">
        <v>767</v>
      </c>
      <c r="E696" s="380" t="s">
        <v>768</v>
      </c>
      <c r="F696" s="380" t="s">
        <v>797</v>
      </c>
      <c r="G696" s="380" t="s">
        <v>1267</v>
      </c>
      <c r="H696" s="380" t="s">
        <v>771</v>
      </c>
      <c r="I696" s="380" t="s">
        <v>799</v>
      </c>
      <c r="J696" s="380" t="s">
        <v>773</v>
      </c>
      <c r="K696" s="381">
        <v>8590.0</v>
      </c>
      <c r="L696" s="382">
        <v>1.0</v>
      </c>
    </row>
    <row r="697">
      <c r="A697" s="380" t="s">
        <v>1538</v>
      </c>
      <c r="B697" s="380" t="str">
        <f>IFERROR(__xludf.DUMMYFUNCTION("""COMPUTED_VALUE"""),"Control Diario Port Talo X 100")</f>
        <v>Control Diario Port Talo X 100</v>
      </c>
      <c r="C697" s="380" t="str">
        <f>IFERROR(__xludf.DUMMYFUNCTION("""COMPUTED_VALUE"""),"10000478")</f>
        <v>10000478</v>
      </c>
      <c r="D697" s="380" t="s">
        <v>767</v>
      </c>
      <c r="E697" s="380" t="s">
        <v>768</v>
      </c>
      <c r="F697" s="380" t="s">
        <v>797</v>
      </c>
      <c r="G697" s="380" t="s">
        <v>1267</v>
      </c>
      <c r="H697" s="380" t="s">
        <v>771</v>
      </c>
      <c r="I697" s="380" t="s">
        <v>799</v>
      </c>
      <c r="J697" s="380" t="s">
        <v>773</v>
      </c>
      <c r="K697" s="381">
        <v>6307.0</v>
      </c>
      <c r="L697" s="382">
        <v>1.0</v>
      </c>
    </row>
    <row r="698">
      <c r="A698" s="380" t="s">
        <v>1539</v>
      </c>
      <c r="B698" s="380" t="str">
        <f>IFERROR(__xludf.DUMMYFUNCTION("""COMPUTED_VALUE"""),"Control Entrega Guias Tal X 50")</f>
        <v>Control Entrega Guias Tal X 50</v>
      </c>
      <c r="C698" s="380" t="str">
        <f>IFERROR(__xludf.DUMMYFUNCTION("""COMPUTED_VALUE"""),"10000479")</f>
        <v>10000479</v>
      </c>
      <c r="D698" s="380" t="s">
        <v>767</v>
      </c>
      <c r="E698" s="380" t="s">
        <v>768</v>
      </c>
      <c r="F698" s="380" t="s">
        <v>797</v>
      </c>
      <c r="G698" s="380" t="s">
        <v>1267</v>
      </c>
      <c r="H698" s="380" t="s">
        <v>771</v>
      </c>
      <c r="I698" s="380" t="s">
        <v>799</v>
      </c>
      <c r="J698" s="380" t="s">
        <v>773</v>
      </c>
      <c r="K698" s="381">
        <v>0.0</v>
      </c>
      <c r="L698" s="382">
        <v>1.0</v>
      </c>
    </row>
    <row r="699">
      <c r="A699" s="380" t="s">
        <v>1540</v>
      </c>
      <c r="B699" s="380" t="str">
        <f>IFERROR(__xludf.DUMMYFUNCTION("""COMPUTED_VALUE"""),"Nota Autoriza Salidas Alm X 50")</f>
        <v>Nota Autoriza Salidas Alm X 50</v>
      </c>
      <c r="C699" s="380" t="str">
        <f>IFERROR(__xludf.DUMMYFUNCTION("""COMPUTED_VALUE"""),"10000482")</f>
        <v>10000482</v>
      </c>
      <c r="D699" s="380" t="s">
        <v>767</v>
      </c>
      <c r="E699" s="380" t="s">
        <v>768</v>
      </c>
      <c r="F699" s="380" t="s">
        <v>797</v>
      </c>
      <c r="G699" s="380" t="s">
        <v>1267</v>
      </c>
      <c r="H699" s="380" t="s">
        <v>771</v>
      </c>
      <c r="I699" s="380" t="s">
        <v>799</v>
      </c>
      <c r="J699" s="380" t="s">
        <v>773</v>
      </c>
      <c r="K699" s="381">
        <v>17017.0</v>
      </c>
      <c r="L699" s="382">
        <v>1.0</v>
      </c>
    </row>
    <row r="700">
      <c r="A700" s="380" t="s">
        <v>1541</v>
      </c>
      <c r="B700" s="380" t="str">
        <f>IFERROR(__xludf.DUMMYFUNCTION("""COMPUTED_VALUE"""),"Orden De Cargue Talonario X100")</f>
        <v>Orden De Cargue Talonario X100</v>
      </c>
      <c r="C700" s="380" t="str">
        <f>IFERROR(__xludf.DUMMYFUNCTION("""COMPUTED_VALUE"""),"10000483")</f>
        <v>10000483</v>
      </c>
      <c r="D700" s="380" t="s">
        <v>767</v>
      </c>
      <c r="E700" s="380" t="s">
        <v>768</v>
      </c>
      <c r="F700" s="380" t="s">
        <v>797</v>
      </c>
      <c r="G700" s="380" t="s">
        <v>1267</v>
      </c>
      <c r="H700" s="380" t="s">
        <v>771</v>
      </c>
      <c r="I700" s="380" t="s">
        <v>799</v>
      </c>
      <c r="J700" s="380" t="s">
        <v>773</v>
      </c>
      <c r="K700" s="381">
        <v>5593.0</v>
      </c>
      <c r="L700" s="382">
        <v>1.0</v>
      </c>
    </row>
    <row r="701">
      <c r="A701" s="380" t="s">
        <v>1542</v>
      </c>
      <c r="B701" s="380" t="str">
        <f>IFERROR(__xludf.DUMMYFUNCTION("""COMPUTED_VALUE"""),"Planilla Recaudos Talon X 100")</f>
        <v>Planilla Recaudos Talon X 100</v>
      </c>
      <c r="C701" s="380" t="str">
        <f>IFERROR(__xludf.DUMMYFUNCTION("""COMPUTED_VALUE"""),"10000485")</f>
        <v>10000485</v>
      </c>
      <c r="D701" s="380" t="s">
        <v>767</v>
      </c>
      <c r="E701" s="380" t="s">
        <v>768</v>
      </c>
      <c r="F701" s="380" t="s">
        <v>797</v>
      </c>
      <c r="G701" s="380" t="s">
        <v>1267</v>
      </c>
      <c r="H701" s="380" t="s">
        <v>771</v>
      </c>
      <c r="I701" s="380" t="s">
        <v>799</v>
      </c>
      <c r="J701" s="380" t="s">
        <v>773</v>
      </c>
      <c r="K701" s="381">
        <v>7354.0</v>
      </c>
      <c r="L701" s="382">
        <v>1.0</v>
      </c>
    </row>
    <row r="702">
      <c r="A702" s="380" t="s">
        <v>1543</v>
      </c>
      <c r="B702" s="380" t="str">
        <f>IFERROR(__xludf.DUMMYFUNCTION("""COMPUTED_VALUE"""),"Esponja De Loza Suave")</f>
        <v>Esponja De Loza Suave</v>
      </c>
      <c r="C702" s="380" t="str">
        <f>IFERROR(__xludf.DUMMYFUNCTION("""COMPUTED_VALUE"""),"10000486")</f>
        <v>10000486</v>
      </c>
      <c r="D702" s="380" t="s">
        <v>767</v>
      </c>
      <c r="E702" s="380" t="s">
        <v>768</v>
      </c>
      <c r="F702" s="380" t="s">
        <v>769</v>
      </c>
      <c r="G702" s="380" t="s">
        <v>1267</v>
      </c>
      <c r="H702" s="380" t="s">
        <v>771</v>
      </c>
      <c r="I702" s="380" t="s">
        <v>772</v>
      </c>
      <c r="J702" s="380" t="s">
        <v>773</v>
      </c>
      <c r="K702" s="381">
        <v>1251.0</v>
      </c>
      <c r="L702" s="382">
        <v>1.0</v>
      </c>
    </row>
    <row r="703">
      <c r="A703" s="380" t="s">
        <v>1544</v>
      </c>
      <c r="B703" s="380" t="str">
        <f>IFERROR(__xludf.DUMMYFUNCTION("""COMPUTED_VALUE"""),"Desinfectante Con Olor Lavand")</f>
        <v>Desinfectante Con Olor Lavand</v>
      </c>
      <c r="C703" s="380" t="str">
        <f>IFERROR(__xludf.DUMMYFUNCTION("""COMPUTED_VALUE"""),"10000487")</f>
        <v>10000487</v>
      </c>
      <c r="D703" s="380" t="s">
        <v>767</v>
      </c>
      <c r="E703" s="380" t="s">
        <v>768</v>
      </c>
      <c r="F703" s="380" t="s">
        <v>769</v>
      </c>
      <c r="G703" s="380" t="s">
        <v>1267</v>
      </c>
      <c r="H703" s="380" t="s">
        <v>771</v>
      </c>
      <c r="I703" s="380" t="s">
        <v>772</v>
      </c>
      <c r="J703" s="380" t="s">
        <v>773</v>
      </c>
      <c r="K703" s="381">
        <v>6097.0</v>
      </c>
      <c r="L703" s="382">
        <v>1.0</v>
      </c>
    </row>
    <row r="704">
      <c r="A704" s="380" t="s">
        <v>1545</v>
      </c>
      <c r="B704" s="380" t="str">
        <f>IFERROR(__xludf.DUMMYFUNCTION("""COMPUTED_VALUE"""),"Ambientador Gel")</f>
        <v>Ambientador Gel</v>
      </c>
      <c r="C704" s="380" t="str">
        <f>IFERROR(__xludf.DUMMYFUNCTION("""COMPUTED_VALUE"""),"10000488")</f>
        <v>10000488</v>
      </c>
      <c r="D704" s="380" t="s">
        <v>767</v>
      </c>
      <c r="E704" s="380" t="s">
        <v>768</v>
      </c>
      <c r="F704" s="380" t="s">
        <v>769</v>
      </c>
      <c r="G704" s="380" t="s">
        <v>1267</v>
      </c>
      <c r="H704" s="380" t="s">
        <v>771</v>
      </c>
      <c r="I704" s="380" t="s">
        <v>772</v>
      </c>
      <c r="J704" s="380" t="s">
        <v>773</v>
      </c>
      <c r="K704" s="381">
        <v>1194.0</v>
      </c>
      <c r="L704" s="382">
        <v>1.0</v>
      </c>
    </row>
    <row r="705">
      <c r="A705" s="380" t="s">
        <v>1546</v>
      </c>
      <c r="B705" s="380" t="str">
        <f>IFERROR(__xludf.DUMMYFUNCTION("""COMPUTED_VALUE"""),"Ambientador Aerosol")</f>
        <v>Ambientador Aerosol</v>
      </c>
      <c r="C705" s="380" t="str">
        <f>IFERROR(__xludf.DUMMYFUNCTION("""COMPUTED_VALUE"""),"10000489")</f>
        <v>10000489</v>
      </c>
      <c r="D705" s="380" t="s">
        <v>767</v>
      </c>
      <c r="E705" s="380" t="s">
        <v>768</v>
      </c>
      <c r="F705" s="380" t="s">
        <v>769</v>
      </c>
      <c r="G705" s="380" t="s">
        <v>1267</v>
      </c>
      <c r="H705" s="380" t="s">
        <v>771</v>
      </c>
      <c r="I705" s="380" t="s">
        <v>772</v>
      </c>
      <c r="J705" s="380" t="s">
        <v>773</v>
      </c>
      <c r="K705" s="381">
        <v>9512.0</v>
      </c>
      <c r="L705" s="382">
        <v>1.0</v>
      </c>
    </row>
    <row r="706">
      <c r="A706" s="380" t="s">
        <v>1547</v>
      </c>
      <c r="B706" s="380" t="str">
        <f>IFERROR(__xludf.DUMMYFUNCTION("""COMPUTED_VALUE"""),"Cuchilla Bisturi L")</f>
        <v>Cuchilla Bisturi L</v>
      </c>
      <c r="C706" s="380" t="str">
        <f>IFERROR(__xludf.DUMMYFUNCTION("""COMPUTED_VALUE"""),"10000490")</f>
        <v>10000490</v>
      </c>
      <c r="D706" s="380" t="s">
        <v>767</v>
      </c>
      <c r="E706" s="380" t="s">
        <v>768</v>
      </c>
      <c r="F706" s="380" t="s">
        <v>797</v>
      </c>
      <c r="G706" s="380" t="s">
        <v>1267</v>
      </c>
      <c r="H706" s="380" t="s">
        <v>771</v>
      </c>
      <c r="I706" s="380" t="s">
        <v>799</v>
      </c>
      <c r="J706" s="380" t="s">
        <v>773</v>
      </c>
      <c r="K706" s="381">
        <v>1318.0</v>
      </c>
      <c r="L706" s="382">
        <v>1.0</v>
      </c>
    </row>
    <row r="707">
      <c r="A707" s="380" t="s">
        <v>1548</v>
      </c>
      <c r="B707" s="380" t="str">
        <f>IFERROR(__xludf.DUMMYFUNCTION("""COMPUTED_VALUE"""),"Bisturi L-200")</f>
        <v>Bisturi L-200</v>
      </c>
      <c r="C707" s="380" t="str">
        <f>IFERROR(__xludf.DUMMYFUNCTION("""COMPUTED_VALUE"""),"10000491")</f>
        <v>10000491</v>
      </c>
      <c r="D707" s="380" t="s">
        <v>767</v>
      </c>
      <c r="E707" s="380" t="s">
        <v>768</v>
      </c>
      <c r="F707" s="380" t="s">
        <v>797</v>
      </c>
      <c r="G707" s="380" t="s">
        <v>1267</v>
      </c>
      <c r="H707" s="380" t="s">
        <v>771</v>
      </c>
      <c r="I707" s="380" t="s">
        <v>799</v>
      </c>
      <c r="J707" s="380" t="s">
        <v>773</v>
      </c>
      <c r="K707" s="381">
        <v>0.0</v>
      </c>
      <c r="L707" s="382">
        <v>1.0</v>
      </c>
    </row>
    <row r="708">
      <c r="A708" s="380" t="s">
        <v>1549</v>
      </c>
      <c r="B708" s="380" t="str">
        <f>IFERROR(__xludf.DUMMYFUNCTION("""COMPUTED_VALUE"""),"Papel Papelografo 70x100")</f>
        <v>Papel Papelografo 70x100</v>
      </c>
      <c r="C708" s="380" t="str">
        <f>IFERROR(__xludf.DUMMYFUNCTION("""COMPUTED_VALUE"""),"10000492")</f>
        <v>10000492</v>
      </c>
      <c r="D708" s="380" t="s">
        <v>767</v>
      </c>
      <c r="E708" s="380" t="s">
        <v>768</v>
      </c>
      <c r="F708" s="380" t="s">
        <v>797</v>
      </c>
      <c r="G708" s="380" t="s">
        <v>1267</v>
      </c>
      <c r="H708" s="380" t="s">
        <v>771</v>
      </c>
      <c r="I708" s="380" t="s">
        <v>799</v>
      </c>
      <c r="J708" s="380" t="s">
        <v>773</v>
      </c>
      <c r="K708" s="381">
        <v>0.0</v>
      </c>
      <c r="L708" s="382">
        <v>1.0</v>
      </c>
    </row>
    <row r="709">
      <c r="A709" s="380" t="s">
        <v>1550</v>
      </c>
      <c r="B709" s="380" t="str">
        <f>IFERROR(__xludf.DUMMYFUNCTION("""COMPUTED_VALUE"""),"Pitillos Paquete X 100")</f>
        <v>Pitillos Paquete X 100</v>
      </c>
      <c r="C709" s="380" t="str">
        <f>IFERROR(__xludf.DUMMYFUNCTION("""COMPUTED_VALUE"""),"10000493")</f>
        <v>10000493</v>
      </c>
      <c r="D709" s="380" t="s">
        <v>767</v>
      </c>
      <c r="E709" s="380" t="s">
        <v>768</v>
      </c>
      <c r="F709" s="380" t="s">
        <v>803</v>
      </c>
      <c r="G709" s="380" t="s">
        <v>1267</v>
      </c>
      <c r="H709" s="380" t="s">
        <v>771</v>
      </c>
      <c r="I709" s="380" t="s">
        <v>772</v>
      </c>
      <c r="J709" s="380" t="s">
        <v>773</v>
      </c>
      <c r="K709" s="381">
        <v>0.0</v>
      </c>
      <c r="L709" s="382">
        <v>1.0</v>
      </c>
    </row>
    <row r="710">
      <c r="A710" s="380" t="s">
        <v>1551</v>
      </c>
      <c r="B710" s="380" t="str">
        <f>IFERROR(__xludf.DUMMYFUNCTION("""COMPUTED_VALUE"""),"Azucar En Sobre X 200 Uns")</f>
        <v>Azucar En Sobre X 200 Uns</v>
      </c>
      <c r="C710" s="380" t="str">
        <f>IFERROR(__xludf.DUMMYFUNCTION("""COMPUTED_VALUE"""),"10000494")</f>
        <v>10000494</v>
      </c>
      <c r="D710" s="380" t="s">
        <v>767</v>
      </c>
      <c r="E710" s="380" t="s">
        <v>768</v>
      </c>
      <c r="F710" s="380" t="s">
        <v>803</v>
      </c>
      <c r="G710" s="380" t="s">
        <v>1267</v>
      </c>
      <c r="H710" s="380" t="s">
        <v>771</v>
      </c>
      <c r="I710" s="380" t="s">
        <v>772</v>
      </c>
      <c r="J710" s="380" t="s">
        <v>773</v>
      </c>
      <c r="K710" s="381">
        <v>0.0</v>
      </c>
      <c r="L710" s="382">
        <v>1.0</v>
      </c>
    </row>
    <row r="711">
      <c r="A711" s="380" t="s">
        <v>1552</v>
      </c>
      <c r="B711" s="380" t="str">
        <f>IFERROR(__xludf.DUMMYFUNCTION("""COMPUTED_VALUE"""),"Talonario Verificacion Vehicul")</f>
        <v>Talonario Verificacion Vehicul</v>
      </c>
      <c r="C711" s="380" t="str">
        <f>IFERROR(__xludf.DUMMYFUNCTION("""COMPUTED_VALUE"""),"10000495")</f>
        <v>10000495</v>
      </c>
      <c r="D711" s="380" t="s">
        <v>767</v>
      </c>
      <c r="E711" s="380" t="s">
        <v>768</v>
      </c>
      <c r="F711" s="380" t="s">
        <v>797</v>
      </c>
      <c r="G711" s="380" t="s">
        <v>1267</v>
      </c>
      <c r="H711" s="380" t="s">
        <v>771</v>
      </c>
      <c r="I711" s="380" t="s">
        <v>799</v>
      </c>
      <c r="J711" s="380" t="s">
        <v>773</v>
      </c>
      <c r="K711" s="381">
        <v>6515.0</v>
      </c>
      <c r="L711" s="382">
        <v>1.0</v>
      </c>
    </row>
    <row r="712">
      <c r="A712" s="380" t="s">
        <v>1553</v>
      </c>
      <c r="B712" s="380" t="str">
        <f>IFERROR(__xludf.DUMMYFUNCTION("""COMPUTED_VALUE"""),"Mercado Gravado Con 5%")</f>
        <v>Mercado Gravado Con 5%</v>
      </c>
      <c r="C712" s="380" t="str">
        <f>IFERROR(__xludf.DUMMYFUNCTION("""COMPUTED_VALUE"""),"10000498")</f>
        <v>10000498</v>
      </c>
      <c r="D712" s="380" t="s">
        <v>767</v>
      </c>
      <c r="E712" s="380" t="s">
        <v>768</v>
      </c>
      <c r="F712" s="380" t="s">
        <v>803</v>
      </c>
      <c r="G712" s="380" t="s">
        <v>1267</v>
      </c>
      <c r="H712" s="380" t="s">
        <v>771</v>
      </c>
      <c r="I712" s="380" t="s">
        <v>772</v>
      </c>
      <c r="J712" s="380" t="s">
        <v>773</v>
      </c>
      <c r="K712" s="381">
        <v>0.0</v>
      </c>
      <c r="L712" s="382">
        <v>1.0</v>
      </c>
    </row>
    <row r="713">
      <c r="A713" s="380" t="s">
        <v>1554</v>
      </c>
      <c r="B713" s="380" t="str">
        <f>IFERROR(__xludf.DUMMYFUNCTION("""COMPUTED_VALUE"""),"Talonario Verificacion Trailer")</f>
        <v>Talonario Verificacion Trailer</v>
      </c>
      <c r="C713" s="380" t="str">
        <f>IFERROR(__xludf.DUMMYFUNCTION("""COMPUTED_VALUE"""),"10000500")</f>
        <v>10000500</v>
      </c>
      <c r="D713" s="380" t="s">
        <v>767</v>
      </c>
      <c r="E713" s="380" t="s">
        <v>768</v>
      </c>
      <c r="F713" s="380" t="s">
        <v>797</v>
      </c>
      <c r="G713" s="380" t="s">
        <v>1267</v>
      </c>
      <c r="H713" s="380" t="s">
        <v>771</v>
      </c>
      <c r="I713" s="380" t="s">
        <v>799</v>
      </c>
      <c r="J713" s="380" t="s">
        <v>773</v>
      </c>
      <c r="K713" s="381">
        <v>7041.0</v>
      </c>
      <c r="L713" s="382">
        <v>1.0</v>
      </c>
    </row>
    <row r="714">
      <c r="A714" s="380" t="s">
        <v>1555</v>
      </c>
      <c r="B714" s="380" t="str">
        <f>IFERROR(__xludf.DUMMYFUNCTION("""COMPUTED_VALUE"""),"Precintos De Seguridad Plastic")</f>
        <v>Precintos De Seguridad Plastic</v>
      </c>
      <c r="C714" s="380" t="str">
        <f>IFERROR(__xludf.DUMMYFUNCTION("""COMPUTED_VALUE"""),"10000501")</f>
        <v>10000501</v>
      </c>
      <c r="D714" s="380" t="s">
        <v>767</v>
      </c>
      <c r="E714" s="380" t="s">
        <v>768</v>
      </c>
      <c r="F714" s="380" t="s">
        <v>797</v>
      </c>
      <c r="G714" s="380" t="s">
        <v>1267</v>
      </c>
      <c r="H714" s="380" t="s">
        <v>771</v>
      </c>
      <c r="I714" s="380" t="s">
        <v>799</v>
      </c>
      <c r="J714" s="380" t="s">
        <v>773</v>
      </c>
      <c r="K714" s="381">
        <v>0.0</v>
      </c>
      <c r="L714" s="382">
        <v>1.0</v>
      </c>
    </row>
    <row r="715">
      <c r="A715" s="380" t="s">
        <v>1556</v>
      </c>
      <c r="B715" s="380" t="str">
        <f>IFERROR(__xludf.DUMMYFUNCTION("""COMPUTED_VALUE"""),"Dispensador Para Cinta Transp.")</f>
        <v>Dispensador Para Cinta Transp.</v>
      </c>
      <c r="C715" s="380" t="str">
        <f>IFERROR(__xludf.DUMMYFUNCTION("""COMPUTED_VALUE"""),"10000502")</f>
        <v>10000502</v>
      </c>
      <c r="D715" s="380" t="s">
        <v>767</v>
      </c>
      <c r="E715" s="380" t="s">
        <v>768</v>
      </c>
      <c r="F715" s="380" t="s">
        <v>797</v>
      </c>
      <c r="G715" s="380" t="s">
        <v>1267</v>
      </c>
      <c r="H715" s="380" t="s">
        <v>771</v>
      </c>
      <c r="I715" s="380" t="s">
        <v>799</v>
      </c>
      <c r="J715" s="380" t="s">
        <v>773</v>
      </c>
      <c r="K715" s="381">
        <v>0.0</v>
      </c>
      <c r="L715" s="382">
        <v>1.0</v>
      </c>
    </row>
    <row r="716">
      <c r="A716" s="380" t="s">
        <v>1557</v>
      </c>
      <c r="B716" s="380" t="str">
        <f>IFERROR(__xludf.DUMMYFUNCTION("""COMPUTED_VALUE"""),"Candado Clave A Digitos 36mm")</f>
        <v>Candado Clave A Digitos 36mm</v>
      </c>
      <c r="C716" s="380" t="str">
        <f>IFERROR(__xludf.DUMMYFUNCTION("""COMPUTED_VALUE"""),"10000507")</f>
        <v>10000507</v>
      </c>
      <c r="D716" s="380" t="s">
        <v>767</v>
      </c>
      <c r="E716" s="380" t="s">
        <v>768</v>
      </c>
      <c r="F716" s="380" t="s">
        <v>797</v>
      </c>
      <c r="G716" s="380" t="s">
        <v>1267</v>
      </c>
      <c r="H716" s="380" t="s">
        <v>771</v>
      </c>
      <c r="I716" s="380" t="s">
        <v>799</v>
      </c>
      <c r="J716" s="380" t="s">
        <v>773</v>
      </c>
      <c r="K716" s="381">
        <v>0.0</v>
      </c>
      <c r="L716" s="382">
        <v>1.0</v>
      </c>
    </row>
    <row r="717">
      <c r="A717" s="380" t="s">
        <v>1558</v>
      </c>
      <c r="B717" s="380" t="str">
        <f>IFERROR(__xludf.DUMMYFUNCTION("""COMPUTED_VALUE"""),"Ajax En Polvo 500 Gramos")</f>
        <v>Ajax En Polvo 500 Gramos</v>
      </c>
      <c r="C717" s="380" t="str">
        <f>IFERROR(__xludf.DUMMYFUNCTION("""COMPUTED_VALUE"""),"10000508")</f>
        <v>10000508</v>
      </c>
      <c r="D717" s="380" t="s">
        <v>767</v>
      </c>
      <c r="E717" s="380" t="s">
        <v>768</v>
      </c>
      <c r="F717" s="380" t="s">
        <v>769</v>
      </c>
      <c r="G717" s="380" t="s">
        <v>1267</v>
      </c>
      <c r="H717" s="380" t="s">
        <v>771</v>
      </c>
      <c r="I717" s="380" t="s">
        <v>772</v>
      </c>
      <c r="J717" s="380" t="s">
        <v>773</v>
      </c>
      <c r="K717" s="381">
        <v>3684.0</v>
      </c>
      <c r="L717" s="382">
        <v>1.0</v>
      </c>
    </row>
    <row r="718">
      <c r="A718" s="380" t="s">
        <v>1559</v>
      </c>
      <c r="B718" s="380" t="str">
        <f>IFERROR(__xludf.DUMMYFUNCTION("""COMPUTED_VALUE"""),"Cartuchera Economica")</f>
        <v>Cartuchera Economica</v>
      </c>
      <c r="C718" s="380" t="str">
        <f>IFERROR(__xludf.DUMMYFUNCTION("""COMPUTED_VALUE"""),"10000509")</f>
        <v>10000509</v>
      </c>
      <c r="D718" s="380" t="s">
        <v>767</v>
      </c>
      <c r="E718" s="380" t="s">
        <v>768</v>
      </c>
      <c r="F718" s="380" t="s">
        <v>797</v>
      </c>
      <c r="G718" s="380" t="s">
        <v>1267</v>
      </c>
      <c r="H718" s="380" t="s">
        <v>771</v>
      </c>
      <c r="I718" s="380" t="s">
        <v>799</v>
      </c>
      <c r="J718" s="380" t="s">
        <v>773</v>
      </c>
      <c r="K718" s="381">
        <v>2231.0</v>
      </c>
      <c r="L718" s="382">
        <v>1.0</v>
      </c>
    </row>
    <row r="719">
      <c r="A719" s="380" t="s">
        <v>1560</v>
      </c>
      <c r="B719" s="380" t="str">
        <f>IFERROR(__xludf.DUMMYFUNCTION("""COMPUTED_VALUE"""),"Almohadilla Para Sellos")</f>
        <v>Almohadilla Para Sellos</v>
      </c>
      <c r="C719" s="380" t="str">
        <f>IFERROR(__xludf.DUMMYFUNCTION("""COMPUTED_VALUE"""),"10000510")</f>
        <v>10000510</v>
      </c>
      <c r="D719" s="380" t="s">
        <v>767</v>
      </c>
      <c r="E719" s="380" t="s">
        <v>768</v>
      </c>
      <c r="F719" s="380" t="s">
        <v>797</v>
      </c>
      <c r="G719" s="380" t="s">
        <v>1267</v>
      </c>
      <c r="H719" s="380" t="s">
        <v>771</v>
      </c>
      <c r="I719" s="380" t="s">
        <v>799</v>
      </c>
      <c r="J719" s="380" t="s">
        <v>773</v>
      </c>
      <c r="K719" s="381">
        <v>0.0</v>
      </c>
      <c r="L719" s="382">
        <v>1.0</v>
      </c>
    </row>
    <row r="720">
      <c r="A720" s="380" t="s">
        <v>1561</v>
      </c>
      <c r="B720" s="380" t="str">
        <f>IFERROR(__xludf.DUMMYFUNCTION("""COMPUTED_VALUE"""),"Huellero Dactilar")</f>
        <v>Huellero Dactilar</v>
      </c>
      <c r="C720" s="380" t="str">
        <f>IFERROR(__xludf.DUMMYFUNCTION("""COMPUTED_VALUE"""),"10000511")</f>
        <v>10000511</v>
      </c>
      <c r="D720" s="380" t="s">
        <v>767</v>
      </c>
      <c r="E720" s="380" t="s">
        <v>768</v>
      </c>
      <c r="F720" s="380" t="s">
        <v>797</v>
      </c>
      <c r="G720" s="380" t="s">
        <v>1267</v>
      </c>
      <c r="H720" s="380" t="s">
        <v>771</v>
      </c>
      <c r="I720" s="380" t="s">
        <v>799</v>
      </c>
      <c r="J720" s="380" t="s">
        <v>773</v>
      </c>
      <c r="K720" s="381">
        <v>2009.0</v>
      </c>
      <c r="L720" s="382">
        <v>1.0</v>
      </c>
    </row>
    <row r="721">
      <c r="A721" s="380" t="s">
        <v>1562</v>
      </c>
      <c r="B721" s="380" t="str">
        <f>IFERROR(__xludf.DUMMYFUNCTION("""COMPUTED_VALUE"""),"Escoba Blanda Oficina")</f>
        <v>Escoba Blanda Oficina</v>
      </c>
      <c r="C721" s="380" t="str">
        <f>IFERROR(__xludf.DUMMYFUNCTION("""COMPUTED_VALUE"""),"10000513")</f>
        <v>10000513</v>
      </c>
      <c r="D721" s="380" t="s">
        <v>767</v>
      </c>
      <c r="E721" s="380" t="s">
        <v>768</v>
      </c>
      <c r="F721" s="380" t="s">
        <v>769</v>
      </c>
      <c r="G721" s="380" t="s">
        <v>1267</v>
      </c>
      <c r="H721" s="380" t="s">
        <v>771</v>
      </c>
      <c r="I721" s="380" t="s">
        <v>772</v>
      </c>
      <c r="J721" s="380" t="s">
        <v>773</v>
      </c>
      <c r="K721" s="381">
        <v>5706.0</v>
      </c>
      <c r="L721" s="382">
        <v>1.0</v>
      </c>
    </row>
    <row r="722">
      <c r="A722" s="380" t="s">
        <v>1563</v>
      </c>
      <c r="B722" s="380" t="str">
        <f>IFERROR(__xludf.DUMMYFUNCTION("""COMPUTED_VALUE"""),"Escoba De Paja")</f>
        <v>Escoba De Paja</v>
      </c>
      <c r="C722" s="380" t="str">
        <f>IFERROR(__xludf.DUMMYFUNCTION("""COMPUTED_VALUE"""),"10000514")</f>
        <v>10000514</v>
      </c>
      <c r="D722" s="380" t="s">
        <v>767</v>
      </c>
      <c r="E722" s="380" t="s">
        <v>768</v>
      </c>
      <c r="F722" s="380" t="s">
        <v>769</v>
      </c>
      <c r="G722" s="380" t="s">
        <v>1267</v>
      </c>
      <c r="H722" s="380" t="s">
        <v>771</v>
      </c>
      <c r="I722" s="380" t="s">
        <v>772</v>
      </c>
      <c r="J722" s="380" t="s">
        <v>773</v>
      </c>
      <c r="K722" s="381">
        <v>0.0</v>
      </c>
      <c r="L722" s="382">
        <v>1.0</v>
      </c>
    </row>
    <row r="723">
      <c r="A723" s="380" t="s">
        <v>1564</v>
      </c>
      <c r="B723" s="380" t="str">
        <f>IFERROR(__xludf.DUMMYFUNCTION("""COMPUTED_VALUE"""),"Escoba Para Barrer Trailer")</f>
        <v>Escoba Para Barrer Trailer</v>
      </c>
      <c r="C723" s="380" t="str">
        <f>IFERROR(__xludf.DUMMYFUNCTION("""COMPUTED_VALUE"""),"10000515")</f>
        <v>10000515</v>
      </c>
      <c r="D723" s="380" t="s">
        <v>767</v>
      </c>
      <c r="E723" s="380" t="s">
        <v>768</v>
      </c>
      <c r="F723" s="380" t="s">
        <v>769</v>
      </c>
      <c r="G723" s="380" t="s">
        <v>1267</v>
      </c>
      <c r="H723" s="380" t="s">
        <v>771</v>
      </c>
      <c r="I723" s="380" t="s">
        <v>772</v>
      </c>
      <c r="J723" s="380" t="s">
        <v>773</v>
      </c>
      <c r="K723" s="381">
        <v>0.0</v>
      </c>
      <c r="L723" s="382">
        <v>1.0</v>
      </c>
    </row>
    <row r="724">
      <c r="A724" s="380" t="s">
        <v>1565</v>
      </c>
      <c r="B724" s="380" t="str">
        <f>IFERROR(__xludf.DUMMYFUNCTION("""COMPUTED_VALUE"""),"Escobillon Para Baños")</f>
        <v>Escobillon Para Baños</v>
      </c>
      <c r="C724" s="380" t="str">
        <f>IFERROR(__xludf.DUMMYFUNCTION("""COMPUTED_VALUE"""),"10000516")</f>
        <v>10000516</v>
      </c>
      <c r="D724" s="380" t="s">
        <v>767</v>
      </c>
      <c r="E724" s="380" t="s">
        <v>768</v>
      </c>
      <c r="F724" s="380" t="s">
        <v>769</v>
      </c>
      <c r="G724" s="380" t="s">
        <v>1267</v>
      </c>
      <c r="H724" s="380" t="s">
        <v>771</v>
      </c>
      <c r="I724" s="380" t="s">
        <v>772</v>
      </c>
      <c r="J724" s="380" t="s">
        <v>773</v>
      </c>
      <c r="K724" s="381">
        <v>0.0</v>
      </c>
      <c r="L724" s="382">
        <v>1.0</v>
      </c>
    </row>
    <row r="725">
      <c r="A725" s="380" t="s">
        <v>1566</v>
      </c>
      <c r="B725" s="380" t="str">
        <f>IFERROR(__xludf.DUMMYFUNCTION("""COMPUTED_VALUE"""),"Clorox Garrafa")</f>
        <v>Clorox Garrafa</v>
      </c>
      <c r="C725" s="380" t="str">
        <f>IFERROR(__xludf.DUMMYFUNCTION("""COMPUTED_VALUE"""),"10000518")</f>
        <v>10000518</v>
      </c>
      <c r="D725" s="380" t="s">
        <v>767</v>
      </c>
      <c r="E725" s="380" t="s">
        <v>768</v>
      </c>
      <c r="F725" s="380" t="s">
        <v>769</v>
      </c>
      <c r="G725" s="380" t="s">
        <v>1267</v>
      </c>
      <c r="H725" s="380" t="s">
        <v>771</v>
      </c>
      <c r="I725" s="380" t="s">
        <v>772</v>
      </c>
      <c r="J725" s="380" t="s">
        <v>773</v>
      </c>
      <c r="K725" s="381">
        <v>7147.0</v>
      </c>
      <c r="L725" s="382">
        <v>1.0</v>
      </c>
    </row>
    <row r="726">
      <c r="A726" s="380" t="s">
        <v>1567</v>
      </c>
      <c r="B726" s="380" t="str">
        <f>IFERROR(__xludf.DUMMYFUNCTION("""COMPUTED_VALUE"""),"Toalla De Mano En Rollo X 100")</f>
        <v>Toalla De Mano En Rollo X 100</v>
      </c>
      <c r="C726" s="380" t="str">
        <f>IFERROR(__xludf.DUMMYFUNCTION("""COMPUTED_VALUE"""),"10000519")</f>
        <v>10000519</v>
      </c>
      <c r="D726" s="380" t="s">
        <v>767</v>
      </c>
      <c r="E726" s="380" t="s">
        <v>768</v>
      </c>
      <c r="F726" s="380" t="s">
        <v>769</v>
      </c>
      <c r="G726" s="380" t="s">
        <v>1267</v>
      </c>
      <c r="H726" s="380" t="s">
        <v>771</v>
      </c>
      <c r="I726" s="380" t="s">
        <v>772</v>
      </c>
      <c r="J726" s="380" t="s">
        <v>773</v>
      </c>
      <c r="K726" s="381">
        <v>0.0</v>
      </c>
      <c r="L726" s="382">
        <v>1.0</v>
      </c>
    </row>
    <row r="727">
      <c r="A727" s="380" t="s">
        <v>1568</v>
      </c>
      <c r="B727" s="380" t="str">
        <f>IFERROR(__xludf.DUMMYFUNCTION("""COMPUTED_VALUE"""),"Broche Pin Oo Coordinadora")</f>
        <v>Broche Pin Oo Coordinadora</v>
      </c>
      <c r="C727" s="380" t="str">
        <f>IFERROR(__xludf.DUMMYFUNCTION("""COMPUTED_VALUE"""),"10000520")</f>
        <v>10000520</v>
      </c>
      <c r="D727" s="380" t="s">
        <v>767</v>
      </c>
      <c r="E727" s="380" t="s">
        <v>768</v>
      </c>
      <c r="F727" s="380" t="s">
        <v>797</v>
      </c>
      <c r="G727" s="380" t="s">
        <v>1267</v>
      </c>
      <c r="H727" s="380" t="s">
        <v>771</v>
      </c>
      <c r="I727" s="380" t="s">
        <v>799</v>
      </c>
      <c r="J727" s="380" t="s">
        <v>773</v>
      </c>
      <c r="K727" s="381">
        <v>9519.0</v>
      </c>
      <c r="L727" s="382">
        <v>1.0</v>
      </c>
    </row>
    <row r="728">
      <c r="A728" s="380" t="s">
        <v>1569</v>
      </c>
      <c r="B728" s="380" t="str">
        <f>IFERROR(__xludf.DUMMYFUNCTION("""COMPUTED_VALUE"""),"Caja Menor Metalica")</f>
        <v>Caja Menor Metalica</v>
      </c>
      <c r="C728" s="380" t="str">
        <f>IFERROR(__xludf.DUMMYFUNCTION("""COMPUTED_VALUE"""),"10000521")</f>
        <v>10000521</v>
      </c>
      <c r="D728" s="380" t="s">
        <v>767</v>
      </c>
      <c r="E728" s="380" t="s">
        <v>768</v>
      </c>
      <c r="F728" s="380" t="s">
        <v>797</v>
      </c>
      <c r="G728" s="380" t="s">
        <v>1267</v>
      </c>
      <c r="H728" s="380" t="s">
        <v>771</v>
      </c>
      <c r="I728" s="380" t="s">
        <v>799</v>
      </c>
      <c r="J728" s="380" t="s">
        <v>773</v>
      </c>
      <c r="K728" s="381">
        <v>0.0</v>
      </c>
      <c r="L728" s="382">
        <v>1.0</v>
      </c>
    </row>
    <row r="729">
      <c r="A729" s="380" t="s">
        <v>1570</v>
      </c>
      <c r="B729" s="380" t="str">
        <f>IFERROR(__xludf.DUMMYFUNCTION("""COMPUTED_VALUE"""),"Bisturi Fino Con Repusto")</f>
        <v>Bisturi Fino Con Repusto</v>
      </c>
      <c r="C729" s="380" t="str">
        <f>IFERROR(__xludf.DUMMYFUNCTION("""COMPUTED_VALUE"""),"10000522")</f>
        <v>10000522</v>
      </c>
      <c r="D729" s="380" t="s">
        <v>767</v>
      </c>
      <c r="E729" s="380" t="s">
        <v>768</v>
      </c>
      <c r="F729" s="380" t="s">
        <v>797</v>
      </c>
      <c r="G729" s="380" t="s">
        <v>1267</v>
      </c>
      <c r="H729" s="380" t="s">
        <v>771</v>
      </c>
      <c r="I729" s="380" t="s">
        <v>799</v>
      </c>
      <c r="J729" s="380" t="s">
        <v>773</v>
      </c>
      <c r="K729" s="381">
        <v>2798.0</v>
      </c>
      <c r="L729" s="382">
        <v>1.0</v>
      </c>
    </row>
    <row r="730">
      <c r="A730" s="380" t="s">
        <v>1571</v>
      </c>
      <c r="B730" s="380" t="str">
        <f>IFERROR(__xludf.DUMMYFUNCTION("""COMPUTED_VALUE"""),"Escoba De Techo Aseo")</f>
        <v>Escoba De Techo Aseo</v>
      </c>
      <c r="C730" s="380" t="str">
        <f>IFERROR(__xludf.DUMMYFUNCTION("""COMPUTED_VALUE"""),"10000523")</f>
        <v>10000523</v>
      </c>
      <c r="D730" s="380" t="s">
        <v>767</v>
      </c>
      <c r="E730" s="380" t="s">
        <v>768</v>
      </c>
      <c r="F730" s="380" t="s">
        <v>769</v>
      </c>
      <c r="G730" s="380" t="s">
        <v>1267</v>
      </c>
      <c r="H730" s="380" t="s">
        <v>771</v>
      </c>
      <c r="I730" s="380" t="s">
        <v>772</v>
      </c>
      <c r="J730" s="380" t="s">
        <v>773</v>
      </c>
      <c r="K730" s="381">
        <v>0.0</v>
      </c>
      <c r="L730" s="382">
        <v>1.0</v>
      </c>
    </row>
    <row r="731">
      <c r="A731" s="380" t="s">
        <v>1572</v>
      </c>
      <c r="B731" s="380" t="str">
        <f>IFERROR(__xludf.DUMMYFUNCTION("""COMPUTED_VALUE"""),"Recipiente Plastico Atomizador")</f>
        <v>Recipiente Plastico Atomizador</v>
      </c>
      <c r="C731" s="380" t="str">
        <f>IFERROR(__xludf.DUMMYFUNCTION("""COMPUTED_VALUE"""),"10000524")</f>
        <v>10000524</v>
      </c>
      <c r="D731" s="380" t="s">
        <v>767</v>
      </c>
      <c r="E731" s="380" t="s">
        <v>768</v>
      </c>
      <c r="F731" s="380" t="s">
        <v>769</v>
      </c>
      <c r="G731" s="380" t="s">
        <v>1267</v>
      </c>
      <c r="H731" s="380" t="s">
        <v>771</v>
      </c>
      <c r="I731" s="380" t="s">
        <v>772</v>
      </c>
      <c r="J731" s="380" t="s">
        <v>773</v>
      </c>
      <c r="K731" s="381">
        <v>0.0</v>
      </c>
      <c r="L731" s="382">
        <v>1.0</v>
      </c>
    </row>
    <row r="732">
      <c r="A732" s="380" t="s">
        <v>1573</v>
      </c>
      <c r="B732" s="380" t="str">
        <f>IFERROR(__xludf.DUMMYFUNCTION("""COMPUTED_VALUE"""),"Grapa Industrial 5/16 Resisten")</f>
        <v>Grapa Industrial 5/16 Resisten</v>
      </c>
      <c r="C732" s="380" t="str">
        <f>IFERROR(__xludf.DUMMYFUNCTION("""COMPUTED_VALUE"""),"10000525")</f>
        <v>10000525</v>
      </c>
      <c r="D732" s="380" t="s">
        <v>767</v>
      </c>
      <c r="E732" s="380" t="s">
        <v>768</v>
      </c>
      <c r="F732" s="380" t="s">
        <v>797</v>
      </c>
      <c r="G732" s="380" t="s">
        <v>1267</v>
      </c>
      <c r="H732" s="380" t="s">
        <v>771</v>
      </c>
      <c r="I732" s="380" t="s">
        <v>799</v>
      </c>
      <c r="J732" s="380" t="s">
        <v>773</v>
      </c>
      <c r="K732" s="381">
        <v>0.0</v>
      </c>
      <c r="L732" s="382">
        <v>1.0</v>
      </c>
    </row>
    <row r="733">
      <c r="A733" s="380" t="s">
        <v>1574</v>
      </c>
      <c r="B733" s="380" t="str">
        <f>IFERROR(__xludf.DUMMYFUNCTION("""COMPUTED_VALUE"""),"Papelera Vaiven De 35 Litros")</f>
        <v>Papelera Vaiven De 35 Litros</v>
      </c>
      <c r="C733" s="380" t="str">
        <f>IFERROR(__xludf.DUMMYFUNCTION("""COMPUTED_VALUE"""),"10000526")</f>
        <v>10000526</v>
      </c>
      <c r="D733" s="380" t="s">
        <v>767</v>
      </c>
      <c r="E733" s="380" t="s">
        <v>768</v>
      </c>
      <c r="F733" s="380" t="s">
        <v>769</v>
      </c>
      <c r="G733" s="380" t="s">
        <v>1267</v>
      </c>
      <c r="H733" s="380" t="s">
        <v>771</v>
      </c>
      <c r="I733" s="380" t="s">
        <v>772</v>
      </c>
      <c r="J733" s="380" t="s">
        <v>773</v>
      </c>
      <c r="K733" s="381">
        <v>0.0</v>
      </c>
      <c r="L733" s="382">
        <v>1.0</v>
      </c>
    </row>
    <row r="734">
      <c r="A734" s="380" t="s">
        <v>1575</v>
      </c>
      <c r="B734" s="380" t="str">
        <f>IFERROR(__xludf.DUMMYFUNCTION("""COMPUTED_VALUE"""),"Bisturi Punta De Lanza Ref8311")</f>
        <v>Bisturi Punta De Lanza Ref8311</v>
      </c>
      <c r="C734" s="380" t="str">
        <f>IFERROR(__xludf.DUMMYFUNCTION("""COMPUTED_VALUE"""),"10000527")</f>
        <v>10000527</v>
      </c>
      <c r="D734" s="380" t="s">
        <v>767</v>
      </c>
      <c r="E734" s="380" t="s">
        <v>768</v>
      </c>
      <c r="F734" s="380" t="s">
        <v>797</v>
      </c>
      <c r="G734" s="380" t="s">
        <v>1267</v>
      </c>
      <c r="H734" s="380" t="s">
        <v>771</v>
      </c>
      <c r="I734" s="380" t="s">
        <v>799</v>
      </c>
      <c r="J734" s="380" t="s">
        <v>773</v>
      </c>
      <c r="K734" s="381">
        <v>0.0</v>
      </c>
      <c r="L734" s="382">
        <v>1.0</v>
      </c>
    </row>
    <row r="735">
      <c r="A735" s="380" t="s">
        <v>1576</v>
      </c>
      <c r="B735" s="380" t="str">
        <f>IFERROR(__xludf.DUMMYFUNCTION("""COMPUTED_VALUE"""),"Corrector Liquido")</f>
        <v>Corrector Liquido</v>
      </c>
      <c r="C735" s="380" t="str">
        <f>IFERROR(__xludf.DUMMYFUNCTION("""COMPUTED_VALUE"""),"10000528")</f>
        <v>10000528</v>
      </c>
      <c r="D735" s="380" t="s">
        <v>767</v>
      </c>
      <c r="E735" s="380" t="s">
        <v>768</v>
      </c>
      <c r="F735" s="380" t="s">
        <v>797</v>
      </c>
      <c r="G735" s="380" t="s">
        <v>1267</v>
      </c>
      <c r="H735" s="380" t="s">
        <v>771</v>
      </c>
      <c r="I735" s="380" t="s">
        <v>799</v>
      </c>
      <c r="J735" s="380" t="s">
        <v>773</v>
      </c>
      <c r="K735" s="381">
        <v>810.0</v>
      </c>
      <c r="L735" s="382">
        <v>1.0</v>
      </c>
    </row>
    <row r="736">
      <c r="A736" s="380" t="s">
        <v>1577</v>
      </c>
      <c r="B736" s="380" t="str">
        <f>IFERROR(__xludf.DUMMYFUNCTION("""COMPUTED_VALUE"""),"Cosedora Rank 340 Ergonom 550")</f>
        <v>Cosedora Rank 340 Ergonom 550</v>
      </c>
      <c r="C736" s="380" t="str">
        <f>IFERROR(__xludf.DUMMYFUNCTION("""COMPUTED_VALUE"""),"10000529")</f>
        <v>10000529</v>
      </c>
      <c r="D736" s="380" t="s">
        <v>767</v>
      </c>
      <c r="E736" s="380" t="s">
        <v>768</v>
      </c>
      <c r="F736" s="380" t="s">
        <v>797</v>
      </c>
      <c r="G736" s="380" t="s">
        <v>1267</v>
      </c>
      <c r="H736" s="380" t="s">
        <v>771</v>
      </c>
      <c r="I736" s="380" t="s">
        <v>799</v>
      </c>
      <c r="J736" s="380" t="s">
        <v>773</v>
      </c>
      <c r="K736" s="381">
        <v>0.0</v>
      </c>
      <c r="L736" s="382">
        <v>1.0</v>
      </c>
    </row>
    <row r="737">
      <c r="A737" s="380" t="s">
        <v>1578</v>
      </c>
      <c r="B737" s="380" t="str">
        <f>IFERROR(__xludf.DUMMYFUNCTION("""COMPUTED_VALUE"""),"Crayola Color Caja X 10")</f>
        <v>Crayola Color Caja X 10</v>
      </c>
      <c r="C737" s="380" t="str">
        <f>IFERROR(__xludf.DUMMYFUNCTION("""COMPUTED_VALUE"""),"10000530")</f>
        <v>10000530</v>
      </c>
      <c r="D737" s="380" t="s">
        <v>767</v>
      </c>
      <c r="E737" s="380" t="s">
        <v>768</v>
      </c>
      <c r="F737" s="380" t="s">
        <v>797</v>
      </c>
      <c r="G737" s="380" t="s">
        <v>1267</v>
      </c>
      <c r="H737" s="380" t="s">
        <v>771</v>
      </c>
      <c r="I737" s="380" t="s">
        <v>799</v>
      </c>
      <c r="J737" s="380" t="s">
        <v>773</v>
      </c>
      <c r="K737" s="381">
        <v>9499.0</v>
      </c>
      <c r="L737" s="382">
        <v>1.0</v>
      </c>
    </row>
    <row r="738">
      <c r="A738" s="380" t="s">
        <v>1579</v>
      </c>
      <c r="B738" s="380" t="str">
        <f>IFERROR(__xludf.DUMMYFUNCTION("""COMPUTED_VALUE"""),"Con-Tact")</f>
        <v>Con-Tact</v>
      </c>
      <c r="C738" s="380" t="str">
        <f>IFERROR(__xludf.DUMMYFUNCTION("""COMPUTED_VALUE"""),"10000531")</f>
        <v>10000531</v>
      </c>
      <c r="D738" s="380" t="s">
        <v>767</v>
      </c>
      <c r="E738" s="380" t="s">
        <v>768</v>
      </c>
      <c r="F738" s="380" t="s">
        <v>797</v>
      </c>
      <c r="G738" s="380" t="s">
        <v>1267</v>
      </c>
      <c r="H738" s="380" t="s">
        <v>771</v>
      </c>
      <c r="I738" s="380" t="s">
        <v>799</v>
      </c>
      <c r="J738" s="380" t="s">
        <v>773</v>
      </c>
      <c r="K738" s="381">
        <v>0.0</v>
      </c>
      <c r="L738" s="382">
        <v>1.0</v>
      </c>
    </row>
    <row r="739">
      <c r="A739" s="380" t="s">
        <v>1580</v>
      </c>
      <c r="B739" s="380" t="str">
        <f>IFERROR(__xludf.DUMMYFUNCTION("""COMPUTED_VALUE"""),"Cuaderno Sencillo 100 Hojas")</f>
        <v>Cuaderno Sencillo 100 Hojas</v>
      </c>
      <c r="C739" s="380" t="str">
        <f>IFERROR(__xludf.DUMMYFUNCTION("""COMPUTED_VALUE"""),"10000532")</f>
        <v>10000532</v>
      </c>
      <c r="D739" s="380" t="s">
        <v>767</v>
      </c>
      <c r="E739" s="380" t="s">
        <v>768</v>
      </c>
      <c r="F739" s="380" t="s">
        <v>797</v>
      </c>
      <c r="G739" s="380" t="s">
        <v>1267</v>
      </c>
      <c r="H739" s="380" t="s">
        <v>771</v>
      </c>
      <c r="I739" s="380" t="s">
        <v>799</v>
      </c>
      <c r="J739" s="380" t="s">
        <v>773</v>
      </c>
      <c r="K739" s="381">
        <v>0.0</v>
      </c>
      <c r="L739" s="382">
        <v>1.0</v>
      </c>
    </row>
    <row r="740">
      <c r="A740" s="380" t="s">
        <v>1581</v>
      </c>
      <c r="B740" s="380" t="str">
        <f>IFERROR(__xludf.DUMMYFUNCTION("""COMPUTED_VALUE"""),"Archivador Fuelle Oficio")</f>
        <v>Archivador Fuelle Oficio</v>
      </c>
      <c r="C740" s="380" t="str">
        <f>IFERROR(__xludf.DUMMYFUNCTION("""COMPUTED_VALUE"""),"10000533")</f>
        <v>10000533</v>
      </c>
      <c r="D740" s="380" t="s">
        <v>767</v>
      </c>
      <c r="E740" s="380" t="s">
        <v>768</v>
      </c>
      <c r="F740" s="380" t="s">
        <v>797</v>
      </c>
      <c r="G740" s="380" t="s">
        <v>1267</v>
      </c>
      <c r="H740" s="380" t="s">
        <v>771</v>
      </c>
      <c r="I740" s="380" t="s">
        <v>799</v>
      </c>
      <c r="J740" s="380" t="s">
        <v>773</v>
      </c>
      <c r="K740" s="381">
        <v>0.0</v>
      </c>
      <c r="L740" s="382">
        <v>1.0</v>
      </c>
    </row>
    <row r="741">
      <c r="A741" s="380" t="s">
        <v>1582</v>
      </c>
      <c r="B741" s="380" t="str">
        <f>IFERROR(__xludf.DUMMYFUNCTION("""COMPUTED_VALUE"""),"Folder Colgante Cafe")</f>
        <v>Folder Colgante Cafe</v>
      </c>
      <c r="C741" s="380" t="str">
        <f>IFERROR(__xludf.DUMMYFUNCTION("""COMPUTED_VALUE"""),"10000534")</f>
        <v>10000534</v>
      </c>
      <c r="D741" s="380" t="s">
        <v>767</v>
      </c>
      <c r="E741" s="380" t="s">
        <v>768</v>
      </c>
      <c r="F741" s="380" t="s">
        <v>797</v>
      </c>
      <c r="G741" s="380" t="s">
        <v>1267</v>
      </c>
      <c r="H741" s="380" t="s">
        <v>771</v>
      </c>
      <c r="I741" s="380" t="s">
        <v>799</v>
      </c>
      <c r="J741" s="380" t="s">
        <v>773</v>
      </c>
      <c r="K741" s="381">
        <v>0.0</v>
      </c>
      <c r="L741" s="382">
        <v>1.0</v>
      </c>
    </row>
    <row r="742">
      <c r="A742" s="380" t="s">
        <v>1583</v>
      </c>
      <c r="B742" s="380" t="str">
        <f>IFERROR(__xludf.DUMMYFUNCTION("""COMPUTED_VALUE"""),"Carpeta Legajadora")</f>
        <v>Carpeta Legajadora</v>
      </c>
      <c r="C742" s="380" t="str">
        <f>IFERROR(__xludf.DUMMYFUNCTION("""COMPUTED_VALUE"""),"10000535")</f>
        <v>10000535</v>
      </c>
      <c r="D742" s="380" t="s">
        <v>767</v>
      </c>
      <c r="E742" s="380" t="s">
        <v>768</v>
      </c>
      <c r="F742" s="380" t="s">
        <v>797</v>
      </c>
      <c r="G742" s="380" t="s">
        <v>1267</v>
      </c>
      <c r="H742" s="380" t="s">
        <v>771</v>
      </c>
      <c r="I742" s="380" t="s">
        <v>799</v>
      </c>
      <c r="J742" s="380" t="s">
        <v>773</v>
      </c>
      <c r="K742" s="381">
        <v>0.0</v>
      </c>
      <c r="L742" s="382">
        <v>1.0</v>
      </c>
    </row>
    <row r="743">
      <c r="A743" s="380" t="s">
        <v>1584</v>
      </c>
      <c r="B743" s="380" t="str">
        <f>IFERROR(__xludf.DUMMYFUNCTION("""COMPUTED_VALUE"""),"Haragan 24-18 Brillador")</f>
        <v>Haragan 24-18 Brillador</v>
      </c>
      <c r="C743" s="380" t="str">
        <f>IFERROR(__xludf.DUMMYFUNCTION("""COMPUTED_VALUE"""),"10000536")</f>
        <v>10000536</v>
      </c>
      <c r="D743" s="380" t="s">
        <v>767</v>
      </c>
      <c r="E743" s="380" t="s">
        <v>768</v>
      </c>
      <c r="F743" s="380" t="s">
        <v>769</v>
      </c>
      <c r="G743" s="380" t="s">
        <v>1267</v>
      </c>
      <c r="H743" s="380" t="s">
        <v>771</v>
      </c>
      <c r="I743" s="380" t="s">
        <v>772</v>
      </c>
      <c r="J743" s="380" t="s">
        <v>773</v>
      </c>
      <c r="K743" s="381">
        <v>0.0</v>
      </c>
      <c r="L743" s="382">
        <v>1.0</v>
      </c>
    </row>
    <row r="744">
      <c r="A744" s="380" t="s">
        <v>1585</v>
      </c>
      <c r="B744" s="380" t="str">
        <f>IFERROR(__xludf.DUMMYFUNCTION("""COMPUTED_VALUE"""),"Carreta Carga Pesada 8""")</f>
        <v>Carreta Carga Pesada 8"</v>
      </c>
      <c r="C744" s="380" t="str">
        <f>IFERROR(__xludf.DUMMYFUNCTION("""COMPUTED_VALUE"""),"10000537")</f>
        <v>10000537</v>
      </c>
      <c r="D744" s="380" t="s">
        <v>767</v>
      </c>
      <c r="E744" s="380" t="s">
        <v>768</v>
      </c>
      <c r="F744" s="380" t="s">
        <v>797</v>
      </c>
      <c r="G744" s="380" t="s">
        <v>1267</v>
      </c>
      <c r="H744" s="380" t="s">
        <v>771</v>
      </c>
      <c r="I744" s="380" t="s">
        <v>799</v>
      </c>
      <c r="J744" s="380" t="s">
        <v>773</v>
      </c>
      <c r="K744" s="381">
        <v>794537.0</v>
      </c>
      <c r="L744" s="382">
        <v>1.0</v>
      </c>
    </row>
    <row r="745">
      <c r="A745" s="380" t="s">
        <v>1586</v>
      </c>
      <c r="B745" s="380" t="str">
        <f>IFERROR(__xludf.DUMMYFUNCTION("""COMPUTED_VALUE"""),"Porta Candado Varios")</f>
        <v>Porta Candado Varios</v>
      </c>
      <c r="C745" s="380" t="str">
        <f>IFERROR(__xludf.DUMMYFUNCTION("""COMPUTED_VALUE"""),"10000538")</f>
        <v>10000538</v>
      </c>
      <c r="D745" s="380" t="s">
        <v>767</v>
      </c>
      <c r="E745" s="380" t="s">
        <v>768</v>
      </c>
      <c r="F745" s="380" t="s">
        <v>797</v>
      </c>
      <c r="G745" s="380" t="s">
        <v>1267</v>
      </c>
      <c r="H745" s="380" t="s">
        <v>771</v>
      </c>
      <c r="I745" s="380" t="s">
        <v>799</v>
      </c>
      <c r="J745" s="380" t="s">
        <v>773</v>
      </c>
      <c r="K745" s="381">
        <v>0.0</v>
      </c>
      <c r="L745" s="382">
        <v>1.0</v>
      </c>
    </row>
    <row r="746">
      <c r="A746" s="380" t="s">
        <v>1587</v>
      </c>
      <c r="B746" s="380" t="str">
        <f>IFERROR(__xludf.DUMMYFUNCTION("""COMPUTED_VALUE"""),"Bolsa Basura Paq. X 100 Baño")</f>
        <v>Bolsa Basura Paq. X 100 Baño</v>
      </c>
      <c r="C746" s="380" t="str">
        <f>IFERROR(__xludf.DUMMYFUNCTION("""COMPUTED_VALUE"""),"10000539")</f>
        <v>10000539</v>
      </c>
      <c r="D746" s="380" t="s">
        <v>767</v>
      </c>
      <c r="E746" s="380" t="s">
        <v>768</v>
      </c>
      <c r="F746" s="380" t="s">
        <v>769</v>
      </c>
      <c r="G746" s="380" t="s">
        <v>1267</v>
      </c>
      <c r="H746" s="380" t="s">
        <v>771</v>
      </c>
      <c r="I746" s="380" t="s">
        <v>772</v>
      </c>
      <c r="J746" s="380" t="s">
        <v>773</v>
      </c>
      <c r="K746" s="381">
        <v>0.0</v>
      </c>
      <c r="L746" s="382">
        <v>1.0</v>
      </c>
    </row>
    <row r="747">
      <c r="A747" s="380" t="s">
        <v>1588</v>
      </c>
      <c r="B747" s="380" t="str">
        <f>IFERROR(__xludf.DUMMYFUNCTION("""COMPUTED_VALUE"""),"Aragan Para Piso")</f>
        <v>Aragan Para Piso</v>
      </c>
      <c r="C747" s="380" t="str">
        <f>IFERROR(__xludf.DUMMYFUNCTION("""COMPUTED_VALUE"""),"10000540")</f>
        <v>10000540</v>
      </c>
      <c r="D747" s="380" t="s">
        <v>767</v>
      </c>
      <c r="E747" s="380" t="s">
        <v>768</v>
      </c>
      <c r="F747" s="380" t="s">
        <v>769</v>
      </c>
      <c r="G747" s="380" t="s">
        <v>1267</v>
      </c>
      <c r="H747" s="380" t="s">
        <v>771</v>
      </c>
      <c r="I747" s="380" t="s">
        <v>772</v>
      </c>
      <c r="J747" s="380" t="s">
        <v>773</v>
      </c>
      <c r="K747" s="381">
        <v>0.0</v>
      </c>
      <c r="L747" s="382">
        <v>1.0</v>
      </c>
    </row>
    <row r="748">
      <c r="A748" s="380" t="s">
        <v>1589</v>
      </c>
      <c r="B748" s="380" t="str">
        <f>IFERROR(__xludf.DUMMYFUNCTION("""COMPUTED_VALUE"""),"Cepillo De Mano")</f>
        <v>Cepillo De Mano</v>
      </c>
      <c r="C748" s="380" t="str">
        <f>IFERROR(__xludf.DUMMYFUNCTION("""COMPUTED_VALUE"""),"10000541")</f>
        <v>10000541</v>
      </c>
      <c r="D748" s="380" t="s">
        <v>767</v>
      </c>
      <c r="E748" s="380" t="s">
        <v>768</v>
      </c>
      <c r="F748" s="380" t="s">
        <v>769</v>
      </c>
      <c r="G748" s="380" t="s">
        <v>1267</v>
      </c>
      <c r="H748" s="380" t="s">
        <v>771</v>
      </c>
      <c r="I748" s="380" t="s">
        <v>772</v>
      </c>
      <c r="J748" s="380" t="s">
        <v>773</v>
      </c>
      <c r="K748" s="381">
        <v>1953.0</v>
      </c>
      <c r="L748" s="382">
        <v>1.0</v>
      </c>
    </row>
    <row r="749">
      <c r="A749" s="380" t="s">
        <v>1590</v>
      </c>
      <c r="B749" s="380" t="str">
        <f>IFERROR(__xludf.DUMMYFUNCTION("""COMPUTED_VALUE"""),"Cepillo Para Lavar Trailer")</f>
        <v>Cepillo Para Lavar Trailer</v>
      </c>
      <c r="C749" s="380" t="str">
        <f>IFERROR(__xludf.DUMMYFUNCTION("""COMPUTED_VALUE"""),"10000542")</f>
        <v>10000542</v>
      </c>
      <c r="D749" s="380" t="s">
        <v>767</v>
      </c>
      <c r="E749" s="380" t="s">
        <v>768</v>
      </c>
      <c r="F749" s="380" t="s">
        <v>803</v>
      </c>
      <c r="G749" s="380" t="s">
        <v>1267</v>
      </c>
      <c r="H749" s="380" t="s">
        <v>771</v>
      </c>
      <c r="I749" s="380" t="s">
        <v>772</v>
      </c>
      <c r="J749" s="380" t="s">
        <v>773</v>
      </c>
      <c r="K749" s="381">
        <v>0.0</v>
      </c>
      <c r="L749" s="382">
        <v>1.0</v>
      </c>
    </row>
    <row r="750">
      <c r="A750" s="380" t="s">
        <v>1591</v>
      </c>
      <c r="B750" s="380" t="str">
        <f>IFERROR(__xludf.DUMMYFUNCTION("""COMPUTED_VALUE"""),"Cera Liquida")</f>
        <v>Cera Liquida</v>
      </c>
      <c r="C750" s="380" t="str">
        <f>IFERROR(__xludf.DUMMYFUNCTION("""COMPUTED_VALUE"""),"10000543")</f>
        <v>10000543</v>
      </c>
      <c r="D750" s="380" t="s">
        <v>767</v>
      </c>
      <c r="E750" s="380" t="s">
        <v>768</v>
      </c>
      <c r="F750" s="380" t="s">
        <v>769</v>
      </c>
      <c r="G750" s="380" t="s">
        <v>1267</v>
      </c>
      <c r="H750" s="380" t="s">
        <v>771</v>
      </c>
      <c r="I750" s="380" t="s">
        <v>772</v>
      </c>
      <c r="J750" s="380" t="s">
        <v>773</v>
      </c>
      <c r="K750" s="381">
        <v>0.0</v>
      </c>
      <c r="L750" s="382">
        <v>1.0</v>
      </c>
    </row>
    <row r="751">
      <c r="A751" s="380" t="s">
        <v>1592</v>
      </c>
      <c r="B751" s="380" t="str">
        <f>IFERROR(__xludf.DUMMYFUNCTION("""COMPUTED_VALUE"""),"Cinta Nukote Calculador Grande")</f>
        <v>Cinta Nukote Calculador Grande</v>
      </c>
      <c r="C751" s="380" t="str">
        <f>IFERROR(__xludf.DUMMYFUNCTION("""COMPUTED_VALUE"""),"10000544")</f>
        <v>10000544</v>
      </c>
      <c r="D751" s="380" t="s">
        <v>767</v>
      </c>
      <c r="E751" s="380" t="s">
        <v>768</v>
      </c>
      <c r="F751" s="380" t="s">
        <v>797</v>
      </c>
      <c r="G751" s="380" t="s">
        <v>1267</v>
      </c>
      <c r="H751" s="380" t="s">
        <v>771</v>
      </c>
      <c r="I751" s="380" t="s">
        <v>799</v>
      </c>
      <c r="J751" s="380" t="s">
        <v>773</v>
      </c>
      <c r="K751" s="381">
        <v>2331.0</v>
      </c>
      <c r="L751" s="382">
        <v>1.0</v>
      </c>
    </row>
    <row r="752">
      <c r="A752" s="380" t="s">
        <v>1593</v>
      </c>
      <c r="B752" s="380" t="str">
        <f>IFERROR(__xludf.DUMMYFUNCTION("""COMPUTED_VALUE"""),"Cinta Nukote Calculado Pequeña")</f>
        <v>Cinta Nukote Calculado Pequeña</v>
      </c>
      <c r="C752" s="380" t="str">
        <f>IFERROR(__xludf.DUMMYFUNCTION("""COMPUTED_VALUE"""),"10000545")</f>
        <v>10000545</v>
      </c>
      <c r="D752" s="380" t="s">
        <v>767</v>
      </c>
      <c r="E752" s="380" t="s">
        <v>768</v>
      </c>
      <c r="F752" s="380" t="s">
        <v>797</v>
      </c>
      <c r="G752" s="380" t="s">
        <v>1267</v>
      </c>
      <c r="H752" s="380" t="s">
        <v>771</v>
      </c>
      <c r="I752" s="380" t="s">
        <v>799</v>
      </c>
      <c r="J752" s="380" t="s">
        <v>773</v>
      </c>
      <c r="K752" s="381">
        <v>0.0</v>
      </c>
      <c r="L752" s="382">
        <v>1.0</v>
      </c>
    </row>
    <row r="753">
      <c r="A753" s="380" t="s">
        <v>1594</v>
      </c>
      <c r="B753" s="380" t="str">
        <f>IFERROR(__xludf.DUMMYFUNCTION("""COMPUTED_VALUE"""),"Impresion Formato Sst")</f>
        <v>Impresion Formato Sst</v>
      </c>
      <c r="C753" s="380" t="str">
        <f>IFERROR(__xludf.DUMMYFUNCTION("""COMPUTED_VALUE"""),"10000546")</f>
        <v>10000546</v>
      </c>
      <c r="D753" s="380" t="s">
        <v>767</v>
      </c>
      <c r="E753" s="380" t="s">
        <v>768</v>
      </c>
      <c r="F753" s="380" t="s">
        <v>797</v>
      </c>
      <c r="G753" s="380" t="s">
        <v>1267</v>
      </c>
      <c r="H753" s="380" t="s">
        <v>771</v>
      </c>
      <c r="I753" s="380" t="s">
        <v>799</v>
      </c>
      <c r="J753" s="380" t="s">
        <v>773</v>
      </c>
      <c r="K753" s="381">
        <v>0.0</v>
      </c>
      <c r="L753" s="382">
        <v>1.0</v>
      </c>
    </row>
    <row r="754">
      <c r="A754" s="380" t="s">
        <v>1595</v>
      </c>
      <c r="B754" s="380" t="str">
        <f>IFERROR(__xludf.DUMMYFUNCTION("""COMPUTED_VALUE"""),"Clips Mariposa")</f>
        <v>Clips Mariposa</v>
      </c>
      <c r="C754" s="380" t="str">
        <f>IFERROR(__xludf.DUMMYFUNCTION("""COMPUTED_VALUE"""),"10000548")</f>
        <v>10000548</v>
      </c>
      <c r="D754" s="380" t="s">
        <v>767</v>
      </c>
      <c r="E754" s="380" t="s">
        <v>768</v>
      </c>
      <c r="F754" s="380" t="s">
        <v>797</v>
      </c>
      <c r="G754" s="380" t="s">
        <v>1267</v>
      </c>
      <c r="H754" s="380" t="s">
        <v>771</v>
      </c>
      <c r="I754" s="380" t="s">
        <v>799</v>
      </c>
      <c r="J754" s="380" t="s">
        <v>773</v>
      </c>
      <c r="K754" s="381">
        <v>2719.0</v>
      </c>
      <c r="L754" s="382">
        <v>1.0</v>
      </c>
    </row>
    <row r="755">
      <c r="A755" s="380" t="s">
        <v>1596</v>
      </c>
      <c r="B755" s="380" t="str">
        <f>IFERROR(__xludf.DUMMYFUNCTION("""COMPUTED_VALUE"""),"Neumatico Rueda Carreta 2.50x4")</f>
        <v>Neumatico Rueda Carreta 2.50x4</v>
      </c>
      <c r="C755" s="380" t="str">
        <f>IFERROR(__xludf.DUMMYFUNCTION("""COMPUTED_VALUE"""),"10000550")</f>
        <v>10000550</v>
      </c>
      <c r="D755" s="380" t="s">
        <v>767</v>
      </c>
      <c r="E755" s="380" t="s">
        <v>768</v>
      </c>
      <c r="F755" s="380" t="s">
        <v>797</v>
      </c>
      <c r="G755" s="380" t="s">
        <v>1267</v>
      </c>
      <c r="H755" s="380" t="s">
        <v>771</v>
      </c>
      <c r="I755" s="380" t="s">
        <v>799</v>
      </c>
      <c r="J755" s="380" t="s">
        <v>773</v>
      </c>
      <c r="K755" s="381">
        <v>0.0</v>
      </c>
      <c r="L755" s="382">
        <v>1.0</v>
      </c>
    </row>
    <row r="756">
      <c r="A756" s="380" t="s">
        <v>1597</v>
      </c>
      <c r="B756" s="380" t="str">
        <f>IFERROR(__xludf.DUMMYFUNCTION("""COMPUTED_VALUE"""),"Regla Plastica De 30 Cms")</f>
        <v>Regla Plastica De 30 Cms</v>
      </c>
      <c r="C756" s="380" t="str">
        <f>IFERROR(__xludf.DUMMYFUNCTION("""COMPUTED_VALUE"""),"10000551")</f>
        <v>10000551</v>
      </c>
      <c r="D756" s="380" t="s">
        <v>767</v>
      </c>
      <c r="E756" s="380" t="s">
        <v>768</v>
      </c>
      <c r="F756" s="380" t="s">
        <v>797</v>
      </c>
      <c r="G756" s="380" t="s">
        <v>1267</v>
      </c>
      <c r="H756" s="380" t="s">
        <v>771</v>
      </c>
      <c r="I756" s="380" t="s">
        <v>799</v>
      </c>
      <c r="J756" s="380" t="s">
        <v>773</v>
      </c>
      <c r="K756" s="381">
        <v>465.0</v>
      </c>
      <c r="L756" s="382">
        <v>1.0</v>
      </c>
    </row>
    <row r="757">
      <c r="A757" s="380" t="s">
        <v>1598</v>
      </c>
      <c r="B757" s="380" t="str">
        <f>IFERROR(__xludf.DUMMYFUNCTION("""COMPUTED_VALUE"""),"Palo Base Mojador Y Limpiavidr")</f>
        <v>Palo Base Mojador Y Limpiavidr</v>
      </c>
      <c r="C757" s="380" t="str">
        <f>IFERROR(__xludf.DUMMYFUNCTION("""COMPUTED_VALUE"""),"10000552")</f>
        <v>10000552</v>
      </c>
      <c r="D757" s="380" t="s">
        <v>767</v>
      </c>
      <c r="E757" s="380" t="s">
        <v>768</v>
      </c>
      <c r="F757" s="380" t="s">
        <v>769</v>
      </c>
      <c r="G757" s="380" t="s">
        <v>1267</v>
      </c>
      <c r="H757" s="380" t="s">
        <v>771</v>
      </c>
      <c r="I757" s="380" t="s">
        <v>772</v>
      </c>
      <c r="J757" s="380" t="s">
        <v>773</v>
      </c>
      <c r="K757" s="381">
        <v>0.0</v>
      </c>
      <c r="L757" s="382">
        <v>1.0</v>
      </c>
    </row>
    <row r="758">
      <c r="A758" s="380" t="s">
        <v>1599</v>
      </c>
      <c r="B758" s="380" t="str">
        <f>IFERROR(__xludf.DUMMYFUNCTION("""COMPUTED_VALUE"""),"Cepillo Telaraña")</f>
        <v>Cepillo Telaraña</v>
      </c>
      <c r="C758" s="380" t="str">
        <f>IFERROR(__xludf.DUMMYFUNCTION("""COMPUTED_VALUE"""),"10000553")</f>
        <v>10000553</v>
      </c>
      <c r="D758" s="380" t="s">
        <v>767</v>
      </c>
      <c r="E758" s="380" t="s">
        <v>768</v>
      </c>
      <c r="F758" s="380" t="s">
        <v>769</v>
      </c>
      <c r="G758" s="380" t="s">
        <v>1267</v>
      </c>
      <c r="H758" s="380" t="s">
        <v>771</v>
      </c>
      <c r="I758" s="380" t="s">
        <v>772</v>
      </c>
      <c r="J758" s="380" t="s">
        <v>773</v>
      </c>
      <c r="K758" s="381">
        <v>0.0</v>
      </c>
      <c r="L758" s="382">
        <v>1.0</v>
      </c>
    </row>
    <row r="759">
      <c r="A759" s="380" t="s">
        <v>1600</v>
      </c>
      <c r="B759" s="380" t="str">
        <f>IFERROR(__xludf.DUMMYFUNCTION("""COMPUTED_VALUE"""),"Cafe 5 Libras")</f>
        <v>Cafe 5 Libras</v>
      </c>
      <c r="C759" s="380" t="str">
        <f>IFERROR(__xludf.DUMMYFUNCTION("""COMPUTED_VALUE"""),"10000554")</f>
        <v>10000554</v>
      </c>
      <c r="D759" s="380" t="s">
        <v>767</v>
      </c>
      <c r="E759" s="380" t="s">
        <v>768</v>
      </c>
      <c r="F759" s="380" t="s">
        <v>803</v>
      </c>
      <c r="G759" s="380" t="s">
        <v>1267</v>
      </c>
      <c r="H759" s="380" t="s">
        <v>771</v>
      </c>
      <c r="I759" s="380" t="s">
        <v>772</v>
      </c>
      <c r="J759" s="380" t="s">
        <v>773</v>
      </c>
      <c r="K759" s="381">
        <v>99747.0</v>
      </c>
      <c r="L759" s="382">
        <v>1.0</v>
      </c>
    </row>
    <row r="760">
      <c r="A760" s="380" t="s">
        <v>1601</v>
      </c>
      <c r="B760" s="380" t="str">
        <f>IFERROR(__xludf.DUMMYFUNCTION("""COMPUTED_VALUE"""),"Calculadora 8 Digital Bolsillo Casio")</f>
        <v>Calculadora 8 Digital Bolsillo Casio</v>
      </c>
      <c r="C760" s="380" t="str">
        <f>IFERROR(__xludf.DUMMYFUNCTION("""COMPUTED_VALUE"""),"10000555")</f>
        <v>10000555</v>
      </c>
      <c r="D760" s="380" t="s">
        <v>767</v>
      </c>
      <c r="E760" s="380" t="s">
        <v>768</v>
      </c>
      <c r="F760" s="380" t="s">
        <v>797</v>
      </c>
      <c r="G760" s="380" t="s">
        <v>1267</v>
      </c>
      <c r="H760" s="380" t="s">
        <v>771</v>
      </c>
      <c r="I760" s="380" t="s">
        <v>799</v>
      </c>
      <c r="J760" s="380" t="s">
        <v>773</v>
      </c>
      <c r="K760" s="381">
        <v>5905.0</v>
      </c>
      <c r="L760" s="382">
        <v>1.0</v>
      </c>
    </row>
    <row r="761">
      <c r="A761" s="380" t="s">
        <v>1602</v>
      </c>
      <c r="B761" s="380" t="str">
        <f>IFERROR(__xludf.DUMMYFUNCTION("""COMPUTED_VALUE"""),"Cosedora Rapin Hd9 Industrial")</f>
        <v>Cosedora Rapin Hd9 Industrial</v>
      </c>
      <c r="C761" s="380" t="str">
        <f>IFERROR(__xludf.DUMMYFUNCTION("""COMPUTED_VALUE"""),"10000556")</f>
        <v>10000556</v>
      </c>
      <c r="D761" s="380" t="s">
        <v>767</v>
      </c>
      <c r="E761" s="380" t="s">
        <v>768</v>
      </c>
      <c r="F761" s="380" t="s">
        <v>797</v>
      </c>
      <c r="G761" s="380" t="s">
        <v>1267</v>
      </c>
      <c r="H761" s="380" t="s">
        <v>771</v>
      </c>
      <c r="I761" s="380" t="s">
        <v>799</v>
      </c>
      <c r="J761" s="380" t="s">
        <v>773</v>
      </c>
      <c r="K761" s="381">
        <v>0.0</v>
      </c>
      <c r="L761" s="382">
        <v>1.0</v>
      </c>
    </row>
    <row r="762">
      <c r="A762" s="380" t="s">
        <v>1603</v>
      </c>
      <c r="B762" s="380" t="str">
        <f>IFERROR(__xludf.DUMMYFUNCTION("""COMPUTED_VALUE"""),"Diablo Rojo")</f>
        <v>Diablo Rojo</v>
      </c>
      <c r="C762" s="380" t="str">
        <f>IFERROR(__xludf.DUMMYFUNCTION("""COMPUTED_VALUE"""),"10000557")</f>
        <v>10000557</v>
      </c>
      <c r="D762" s="380" t="s">
        <v>767</v>
      </c>
      <c r="E762" s="380" t="s">
        <v>768</v>
      </c>
      <c r="F762" s="380" t="s">
        <v>769</v>
      </c>
      <c r="G762" s="380" t="s">
        <v>1267</v>
      </c>
      <c r="H762" s="380" t="s">
        <v>771</v>
      </c>
      <c r="I762" s="380" t="s">
        <v>772</v>
      </c>
      <c r="J762" s="380" t="s">
        <v>773</v>
      </c>
      <c r="K762" s="381">
        <v>0.0</v>
      </c>
      <c r="L762" s="382">
        <v>1.0</v>
      </c>
    </row>
    <row r="763">
      <c r="A763" s="380" t="s">
        <v>1604</v>
      </c>
      <c r="B763" s="380" t="str">
        <f>IFERROR(__xludf.DUMMYFUNCTION("""COMPUTED_VALUE"""),"Plato Desechable Pequeño X Paq")</f>
        <v>Plato Desechable Pequeño X Paq</v>
      </c>
      <c r="C763" s="380" t="str">
        <f>IFERROR(__xludf.DUMMYFUNCTION("""COMPUTED_VALUE"""),"10000558")</f>
        <v>10000558</v>
      </c>
      <c r="D763" s="380" t="s">
        <v>767</v>
      </c>
      <c r="E763" s="380" t="s">
        <v>768</v>
      </c>
      <c r="F763" s="380" t="s">
        <v>803</v>
      </c>
      <c r="G763" s="380" t="s">
        <v>1267</v>
      </c>
      <c r="H763" s="380" t="s">
        <v>771</v>
      </c>
      <c r="I763" s="380" t="s">
        <v>772</v>
      </c>
      <c r="J763" s="380" t="s">
        <v>773</v>
      </c>
      <c r="K763" s="381">
        <v>0.0</v>
      </c>
      <c r="L763" s="382">
        <v>1.0</v>
      </c>
    </row>
    <row r="764">
      <c r="A764" s="380" t="s">
        <v>1605</v>
      </c>
      <c r="B764" s="380" t="str">
        <f>IFERROR(__xludf.DUMMYFUNCTION("""COMPUTED_VALUE"""),"Tenedor Y Cuchara Desechabl")</f>
        <v>Tenedor Y Cuchara Desechabl</v>
      </c>
      <c r="C764" s="380" t="str">
        <f>IFERROR(__xludf.DUMMYFUNCTION("""COMPUTED_VALUE"""),"10000559")</f>
        <v>10000559</v>
      </c>
      <c r="D764" s="380" t="s">
        <v>767</v>
      </c>
      <c r="E764" s="380" t="s">
        <v>768</v>
      </c>
      <c r="F764" s="380" t="s">
        <v>803</v>
      </c>
      <c r="G764" s="380" t="s">
        <v>1267</v>
      </c>
      <c r="H764" s="380" t="s">
        <v>771</v>
      </c>
      <c r="I764" s="380" t="s">
        <v>772</v>
      </c>
      <c r="J764" s="380" t="s">
        <v>773</v>
      </c>
      <c r="K764" s="381">
        <v>0.0</v>
      </c>
      <c r="L764" s="382">
        <v>1.0</v>
      </c>
    </row>
    <row r="765">
      <c r="A765" s="380" t="s">
        <v>1606</v>
      </c>
      <c r="B765" s="380" t="str">
        <f>IFERROR(__xludf.DUMMYFUNCTION("""COMPUTED_VALUE"""),"Kit Cafe-Azucar Por 300 Tintos")</f>
        <v>Kit Cafe-Azucar Por 300 Tintos</v>
      </c>
      <c r="C765" s="380" t="str">
        <f>IFERROR(__xludf.DUMMYFUNCTION("""COMPUTED_VALUE"""),"10000560")</f>
        <v>10000560</v>
      </c>
      <c r="D765" s="380" t="s">
        <v>767</v>
      </c>
      <c r="E765" s="380" t="s">
        <v>768</v>
      </c>
      <c r="F765" s="380" t="s">
        <v>803</v>
      </c>
      <c r="G765" s="380" t="s">
        <v>1267</v>
      </c>
      <c r="H765" s="380" t="s">
        <v>771</v>
      </c>
      <c r="I765" s="380" t="s">
        <v>772</v>
      </c>
      <c r="J765" s="380" t="s">
        <v>773</v>
      </c>
      <c r="K765" s="381">
        <v>0.0</v>
      </c>
      <c r="L765" s="382">
        <v>1.0</v>
      </c>
    </row>
    <row r="766">
      <c r="A766" s="380" t="s">
        <v>1607</v>
      </c>
      <c r="B766" s="380" t="str">
        <f>IFERROR(__xludf.DUMMYFUNCTION("""COMPUTED_VALUE"""),"Raid Mata Voladores-Sancudos")</f>
        <v>Raid Mata Voladores-Sancudos</v>
      </c>
      <c r="C766" s="380" t="str">
        <f>IFERROR(__xludf.DUMMYFUNCTION("""COMPUTED_VALUE"""),"10000561")</f>
        <v>10000561</v>
      </c>
      <c r="D766" s="380" t="s">
        <v>767</v>
      </c>
      <c r="E766" s="380" t="s">
        <v>768</v>
      </c>
      <c r="F766" s="380" t="s">
        <v>769</v>
      </c>
      <c r="G766" s="380" t="s">
        <v>1267</v>
      </c>
      <c r="H766" s="380" t="s">
        <v>771</v>
      </c>
      <c r="I766" s="380" t="s">
        <v>772</v>
      </c>
      <c r="J766" s="380" t="s">
        <v>773</v>
      </c>
      <c r="K766" s="381">
        <v>9341.0</v>
      </c>
      <c r="L766" s="382">
        <v>1.0</v>
      </c>
    </row>
    <row r="767">
      <c r="A767" s="380" t="s">
        <v>1608</v>
      </c>
      <c r="B767" s="380" t="str">
        <f>IFERROR(__xludf.DUMMYFUNCTION("""COMPUTED_VALUE"""),"Candado B30")</f>
        <v>Candado B30</v>
      </c>
      <c r="C767" s="380" t="str">
        <f>IFERROR(__xludf.DUMMYFUNCTION("""COMPUTED_VALUE"""),"10000563")</f>
        <v>10000563</v>
      </c>
      <c r="D767" s="380" t="s">
        <v>767</v>
      </c>
      <c r="E767" s="380" t="s">
        <v>768</v>
      </c>
      <c r="F767" s="380" t="s">
        <v>797</v>
      </c>
      <c r="G767" s="380" t="s">
        <v>1267</v>
      </c>
      <c r="H767" s="380" t="s">
        <v>771</v>
      </c>
      <c r="I767" s="380" t="s">
        <v>799</v>
      </c>
      <c r="J767" s="380" t="s">
        <v>773</v>
      </c>
      <c r="K767" s="381">
        <v>0.0</v>
      </c>
      <c r="L767" s="382">
        <v>1.0</v>
      </c>
    </row>
    <row r="768">
      <c r="A768" s="380" t="s">
        <v>1609</v>
      </c>
      <c r="B768" s="380" t="str">
        <f>IFERROR(__xludf.DUMMYFUNCTION("""COMPUTED_VALUE"""),"Cartelera Corcho 45 X 32")</f>
        <v>Cartelera Corcho 45 X 32</v>
      </c>
      <c r="C768" s="380" t="str">
        <f>IFERROR(__xludf.DUMMYFUNCTION("""COMPUTED_VALUE"""),"10000564")</f>
        <v>10000564</v>
      </c>
      <c r="D768" s="380" t="s">
        <v>767</v>
      </c>
      <c r="E768" s="380" t="s">
        <v>768</v>
      </c>
      <c r="F768" s="380" t="s">
        <v>797</v>
      </c>
      <c r="G768" s="380" t="s">
        <v>1267</v>
      </c>
      <c r="H768" s="380" t="s">
        <v>771</v>
      </c>
      <c r="I768" s="380" t="s">
        <v>799</v>
      </c>
      <c r="J768" s="380" t="s">
        <v>773</v>
      </c>
      <c r="K768" s="381">
        <v>0.0</v>
      </c>
      <c r="L768" s="382">
        <v>1.0</v>
      </c>
    </row>
    <row r="769">
      <c r="A769" s="380" t="s">
        <v>1610</v>
      </c>
      <c r="B769" s="380" t="str">
        <f>IFERROR(__xludf.DUMMYFUNCTION("""COMPUTED_VALUE"""),"Cinta Magica Tesa")</f>
        <v>Cinta Magica Tesa</v>
      </c>
      <c r="C769" s="380" t="str">
        <f>IFERROR(__xludf.DUMMYFUNCTION("""COMPUTED_VALUE"""),"10000565")</f>
        <v>10000565</v>
      </c>
      <c r="D769" s="380" t="s">
        <v>767</v>
      </c>
      <c r="E769" s="380" t="s">
        <v>768</v>
      </c>
      <c r="F769" s="380" t="s">
        <v>797</v>
      </c>
      <c r="G769" s="380" t="s">
        <v>1267</v>
      </c>
      <c r="H769" s="380" t="s">
        <v>771</v>
      </c>
      <c r="I769" s="380" t="s">
        <v>799</v>
      </c>
      <c r="J769" s="380" t="s">
        <v>773</v>
      </c>
      <c r="K769" s="381">
        <v>0.0</v>
      </c>
      <c r="L769" s="382">
        <v>1.0</v>
      </c>
    </row>
    <row r="770">
      <c r="A770" s="380" t="s">
        <v>1611</v>
      </c>
      <c r="B770" s="380" t="str">
        <f>IFERROR(__xludf.DUMMYFUNCTION("""COMPUTED_VALUE"""),"Vaso Desech 7 Onzas")</f>
        <v>Vaso Desech 7 Onzas</v>
      </c>
      <c r="C770" s="380" t="str">
        <f>IFERROR(__xludf.DUMMYFUNCTION("""COMPUTED_VALUE"""),"10000566")</f>
        <v>10000566</v>
      </c>
      <c r="D770" s="380" t="s">
        <v>767</v>
      </c>
      <c r="E770" s="380" t="s">
        <v>768</v>
      </c>
      <c r="F770" s="380" t="s">
        <v>803</v>
      </c>
      <c r="G770" s="380" t="s">
        <v>1267</v>
      </c>
      <c r="H770" s="380" t="s">
        <v>771</v>
      </c>
      <c r="I770" s="380" t="s">
        <v>772</v>
      </c>
      <c r="J770" s="380" t="s">
        <v>773</v>
      </c>
      <c r="K770" s="381">
        <v>38.0</v>
      </c>
      <c r="L770" s="382">
        <v>1.0</v>
      </c>
    </row>
    <row r="771">
      <c r="A771" s="380" t="s">
        <v>1612</v>
      </c>
      <c r="B771" s="380" t="str">
        <f>IFERROR(__xludf.DUMMYFUNCTION("""COMPUTED_VALUE"""),"Bomba Para Destaquear")</f>
        <v>Bomba Para Destaquear</v>
      </c>
      <c r="C771" s="380" t="str">
        <f>IFERROR(__xludf.DUMMYFUNCTION("""COMPUTED_VALUE"""),"10000567")</f>
        <v>10000567</v>
      </c>
      <c r="D771" s="380" t="s">
        <v>767</v>
      </c>
      <c r="E771" s="380" t="s">
        <v>768</v>
      </c>
      <c r="F771" s="380" t="s">
        <v>769</v>
      </c>
      <c r="G771" s="380" t="s">
        <v>1267</v>
      </c>
      <c r="H771" s="380" t="s">
        <v>771</v>
      </c>
      <c r="I771" s="380" t="s">
        <v>772</v>
      </c>
      <c r="J771" s="380" t="s">
        <v>773</v>
      </c>
      <c r="K771" s="381">
        <v>4228.0</v>
      </c>
      <c r="L771" s="382">
        <v>1.0</v>
      </c>
    </row>
    <row r="772">
      <c r="A772" s="380" t="s">
        <v>1613</v>
      </c>
      <c r="B772" s="380" t="str">
        <f>IFERROR(__xludf.DUMMYFUNCTION("""COMPUTED_VALUE"""),"Marcador Charpie")</f>
        <v>Marcador Charpie</v>
      </c>
      <c r="C772" s="380" t="str">
        <f>IFERROR(__xludf.DUMMYFUNCTION("""COMPUTED_VALUE"""),"10000568")</f>
        <v>10000568</v>
      </c>
      <c r="D772" s="380" t="s">
        <v>767</v>
      </c>
      <c r="E772" s="380" t="s">
        <v>768</v>
      </c>
      <c r="F772" s="380" t="s">
        <v>797</v>
      </c>
      <c r="G772" s="380" t="s">
        <v>1267</v>
      </c>
      <c r="H772" s="380" t="s">
        <v>771</v>
      </c>
      <c r="I772" s="380" t="s">
        <v>799</v>
      </c>
      <c r="J772" s="380" t="s">
        <v>773</v>
      </c>
      <c r="K772" s="381">
        <v>1028.0</v>
      </c>
      <c r="L772" s="382">
        <v>1.0</v>
      </c>
    </row>
    <row r="773">
      <c r="A773" s="380" t="s">
        <v>1614</v>
      </c>
      <c r="B773" s="380" t="str">
        <f>IFERROR(__xludf.DUMMYFUNCTION("""COMPUTED_VALUE"""),"Coca Multiuso Pequeña")</f>
        <v>Coca Multiuso Pequeña</v>
      </c>
      <c r="C773" s="380" t="str">
        <f>IFERROR(__xludf.DUMMYFUNCTION("""COMPUTED_VALUE"""),"10000569")</f>
        <v>10000569</v>
      </c>
      <c r="D773" s="380" t="s">
        <v>767</v>
      </c>
      <c r="E773" s="380" t="s">
        <v>768</v>
      </c>
      <c r="F773" s="380" t="s">
        <v>769</v>
      </c>
      <c r="G773" s="380" t="s">
        <v>1267</v>
      </c>
      <c r="H773" s="380" t="s">
        <v>771</v>
      </c>
      <c r="I773" s="380" t="s">
        <v>772</v>
      </c>
      <c r="J773" s="380" t="s">
        <v>773</v>
      </c>
      <c r="K773" s="381">
        <v>0.0</v>
      </c>
      <c r="L773" s="382">
        <v>1.0</v>
      </c>
    </row>
    <row r="774">
      <c r="A774" s="380" t="s">
        <v>1615</v>
      </c>
      <c r="B774" s="380" t="str">
        <f>IFERROR(__xludf.DUMMYFUNCTION("""COMPUTED_VALUE"""),"Limpiavidrios X Galon")</f>
        <v>Limpiavidrios X Galon</v>
      </c>
      <c r="C774" s="380" t="str">
        <f>IFERROR(__xludf.DUMMYFUNCTION("""COMPUTED_VALUE"""),"10000570")</f>
        <v>10000570</v>
      </c>
      <c r="D774" s="380" t="s">
        <v>767</v>
      </c>
      <c r="E774" s="380" t="s">
        <v>768</v>
      </c>
      <c r="F774" s="380" t="s">
        <v>769</v>
      </c>
      <c r="G774" s="380" t="s">
        <v>1267</v>
      </c>
      <c r="H774" s="380" t="s">
        <v>771</v>
      </c>
      <c r="I774" s="380" t="s">
        <v>772</v>
      </c>
      <c r="J774" s="380" t="s">
        <v>773</v>
      </c>
      <c r="K774" s="381">
        <v>11077.0</v>
      </c>
      <c r="L774" s="382">
        <v>1.0</v>
      </c>
    </row>
    <row r="775">
      <c r="A775" s="380" t="s">
        <v>1616</v>
      </c>
      <c r="B775" s="380" t="str">
        <f>IFERROR(__xludf.DUMMYFUNCTION("""COMPUTED_VALUE"""),"Balde Con Escurridor Amarillo")</f>
        <v>Balde Con Escurridor Amarillo</v>
      </c>
      <c r="C775" s="380" t="str">
        <f>IFERROR(__xludf.DUMMYFUNCTION("""COMPUTED_VALUE"""),"10000571")</f>
        <v>10000571</v>
      </c>
      <c r="D775" s="380" t="s">
        <v>767</v>
      </c>
      <c r="E775" s="380" t="s">
        <v>768</v>
      </c>
      <c r="F775" s="380" t="s">
        <v>769</v>
      </c>
      <c r="G775" s="380" t="s">
        <v>1267</v>
      </c>
      <c r="H775" s="380" t="s">
        <v>771</v>
      </c>
      <c r="I775" s="380" t="s">
        <v>772</v>
      </c>
      <c r="J775" s="380" t="s">
        <v>773</v>
      </c>
      <c r="K775" s="381">
        <v>0.0</v>
      </c>
      <c r="L775" s="382">
        <v>1.0</v>
      </c>
    </row>
    <row r="776">
      <c r="A776" s="380" t="s">
        <v>1617</v>
      </c>
      <c r="B776" s="380" t="str">
        <f>IFERROR(__xludf.DUMMYFUNCTION("""COMPUTED_VALUE"""),"Filtro Tela Cafetera 30 Tintos")</f>
        <v>Filtro Tela Cafetera 30 Tintos</v>
      </c>
      <c r="C776" s="380" t="str">
        <f>IFERROR(__xludf.DUMMYFUNCTION("""COMPUTED_VALUE"""),"10000572")</f>
        <v>10000572</v>
      </c>
      <c r="D776" s="380" t="s">
        <v>767</v>
      </c>
      <c r="E776" s="380" t="s">
        <v>768</v>
      </c>
      <c r="F776" s="380" t="s">
        <v>803</v>
      </c>
      <c r="G776" s="380" t="s">
        <v>1267</v>
      </c>
      <c r="H776" s="380" t="s">
        <v>771</v>
      </c>
      <c r="I776" s="380" t="s">
        <v>772</v>
      </c>
      <c r="J776" s="380" t="s">
        <v>773</v>
      </c>
      <c r="K776" s="381">
        <v>6902.0</v>
      </c>
      <c r="L776" s="382">
        <v>1.0</v>
      </c>
    </row>
    <row r="777">
      <c r="A777" s="380" t="s">
        <v>1618</v>
      </c>
      <c r="B777" s="380" t="str">
        <f>IFERROR(__xludf.DUMMYFUNCTION("""COMPUTED_VALUE"""),"Pocillo Y Plato Cafe Pequeño P")</f>
        <v>Pocillo Y Plato Cafe Pequeño P</v>
      </c>
      <c r="C777" s="380" t="str">
        <f>IFERROR(__xludf.DUMMYFUNCTION("""COMPUTED_VALUE"""),"10000573")</f>
        <v>10000573</v>
      </c>
      <c r="D777" s="380" t="s">
        <v>767</v>
      </c>
      <c r="E777" s="380" t="s">
        <v>768</v>
      </c>
      <c r="F777" s="380" t="s">
        <v>803</v>
      </c>
      <c r="G777" s="380" t="s">
        <v>1267</v>
      </c>
      <c r="H777" s="380" t="s">
        <v>771</v>
      </c>
      <c r="I777" s="380" t="s">
        <v>772</v>
      </c>
      <c r="J777" s="380" t="s">
        <v>773</v>
      </c>
      <c r="K777" s="381">
        <v>0.0</v>
      </c>
      <c r="L777" s="382">
        <v>1.0</v>
      </c>
    </row>
    <row r="778">
      <c r="A778" s="380" t="s">
        <v>1619</v>
      </c>
      <c r="B778" s="380" t="str">
        <f>IFERROR(__xludf.DUMMYFUNCTION("""COMPUTED_VALUE"""),"Colbon 125 Grs")</f>
        <v>Colbon 125 Grs</v>
      </c>
      <c r="C778" s="380" t="str">
        <f>IFERROR(__xludf.DUMMYFUNCTION("""COMPUTED_VALUE"""),"10000574")</f>
        <v>10000574</v>
      </c>
      <c r="D778" s="380" t="s">
        <v>767</v>
      </c>
      <c r="E778" s="380" t="s">
        <v>768</v>
      </c>
      <c r="F778" s="380" t="s">
        <v>797</v>
      </c>
      <c r="G778" s="380" t="s">
        <v>1267</v>
      </c>
      <c r="H778" s="380" t="s">
        <v>771</v>
      </c>
      <c r="I778" s="380" t="s">
        <v>799</v>
      </c>
      <c r="J778" s="380" t="s">
        <v>773</v>
      </c>
      <c r="K778" s="381">
        <v>0.0</v>
      </c>
      <c r="L778" s="382">
        <v>1.0</v>
      </c>
    </row>
    <row r="779">
      <c r="A779" s="380" t="s">
        <v>1620</v>
      </c>
      <c r="B779" s="380" t="str">
        <f>IFERROR(__xludf.DUMMYFUNCTION("""COMPUTED_VALUE"""),"Borrador De Nata")</f>
        <v>Borrador De Nata</v>
      </c>
      <c r="C779" s="380" t="str">
        <f>IFERROR(__xludf.DUMMYFUNCTION("""COMPUTED_VALUE"""),"10000575")</f>
        <v>10000575</v>
      </c>
      <c r="D779" s="380" t="s">
        <v>767</v>
      </c>
      <c r="E779" s="380" t="s">
        <v>768</v>
      </c>
      <c r="F779" s="380" t="s">
        <v>797</v>
      </c>
      <c r="G779" s="380" t="s">
        <v>1267</v>
      </c>
      <c r="H779" s="380" t="s">
        <v>771</v>
      </c>
      <c r="I779" s="380" t="s">
        <v>799</v>
      </c>
      <c r="J779" s="380" t="s">
        <v>773</v>
      </c>
      <c r="K779" s="381">
        <v>158.0</v>
      </c>
      <c r="L779" s="382">
        <v>1.0</v>
      </c>
    </row>
    <row r="780">
      <c r="A780" s="380" t="s">
        <v>1621</v>
      </c>
      <c r="B780" s="380" t="str">
        <f>IFERROR(__xludf.DUMMYFUNCTION("""COMPUTED_VALUE"""),"Mopa Aragan Trapera")</f>
        <v>Mopa Aragan Trapera</v>
      </c>
      <c r="C780" s="380" t="str">
        <f>IFERROR(__xludf.DUMMYFUNCTION("""COMPUTED_VALUE"""),"10000576")</f>
        <v>10000576</v>
      </c>
      <c r="D780" s="380" t="s">
        <v>767</v>
      </c>
      <c r="E780" s="380" t="s">
        <v>768</v>
      </c>
      <c r="F780" s="380" t="s">
        <v>769</v>
      </c>
      <c r="G780" s="380" t="s">
        <v>1267</v>
      </c>
      <c r="H780" s="380" t="s">
        <v>771</v>
      </c>
      <c r="I780" s="380" t="s">
        <v>772</v>
      </c>
      <c r="J780" s="380" t="s">
        <v>773</v>
      </c>
      <c r="K780" s="381">
        <v>0.0</v>
      </c>
      <c r="L780" s="382">
        <v>1.0</v>
      </c>
    </row>
    <row r="781">
      <c r="A781" s="380" t="s">
        <v>1622</v>
      </c>
      <c r="B781" s="380" t="str">
        <f>IFERROR(__xludf.DUMMYFUNCTION("""COMPUTED_VALUE"""),"Libro De 200 Folios Seguridad")</f>
        <v>Libro De 200 Folios Seguridad</v>
      </c>
      <c r="C781" s="380" t="str">
        <f>IFERROR(__xludf.DUMMYFUNCTION("""COMPUTED_VALUE"""),"10000577")</f>
        <v>10000577</v>
      </c>
      <c r="D781" s="380" t="s">
        <v>767</v>
      </c>
      <c r="E781" s="380" t="s">
        <v>768</v>
      </c>
      <c r="F781" s="380" t="s">
        <v>797</v>
      </c>
      <c r="G781" s="380" t="s">
        <v>1267</v>
      </c>
      <c r="H781" s="380" t="s">
        <v>771</v>
      </c>
      <c r="I781" s="380" t="s">
        <v>799</v>
      </c>
      <c r="J781" s="380" t="s">
        <v>773</v>
      </c>
      <c r="K781" s="381">
        <v>11290.0</v>
      </c>
      <c r="L781" s="382">
        <v>1.0</v>
      </c>
    </row>
    <row r="782">
      <c r="A782" s="380" t="s">
        <v>1623</v>
      </c>
      <c r="B782" s="380" t="str">
        <f>IFERROR(__xludf.DUMMYFUNCTION("""COMPUTED_VALUE"""),"Brillantina 600 Ml Super Blue")</f>
        <v>Brillantina 600 Ml Super Blue</v>
      </c>
      <c r="C782" s="380" t="str">
        <f>IFERROR(__xludf.DUMMYFUNCTION("""COMPUTED_VALUE"""),"10000578")</f>
        <v>10000578</v>
      </c>
      <c r="D782" s="380" t="s">
        <v>767</v>
      </c>
      <c r="E782" s="380" t="s">
        <v>768</v>
      </c>
      <c r="F782" s="380" t="s">
        <v>769</v>
      </c>
      <c r="G782" s="380" t="s">
        <v>1267</v>
      </c>
      <c r="H782" s="380" t="s">
        <v>771</v>
      </c>
      <c r="I782" s="380" t="s">
        <v>772</v>
      </c>
      <c r="J782" s="380" t="s">
        <v>773</v>
      </c>
      <c r="K782" s="381">
        <v>34172.0</v>
      </c>
      <c r="L782" s="382">
        <v>1.0</v>
      </c>
    </row>
    <row r="783">
      <c r="A783" s="380" t="s">
        <v>1624</v>
      </c>
      <c r="B783" s="380" t="str">
        <f>IFERROR(__xludf.DUMMYFUNCTION("""COMPUTED_VALUE"""),"Papelera Piso Artecma Negra")</f>
        <v>Papelera Piso Artecma Negra</v>
      </c>
      <c r="C783" s="380" t="str">
        <f>IFERROR(__xludf.DUMMYFUNCTION("""COMPUTED_VALUE"""),"10000579")</f>
        <v>10000579</v>
      </c>
      <c r="D783" s="380" t="s">
        <v>767</v>
      </c>
      <c r="E783" s="380" t="s">
        <v>768</v>
      </c>
      <c r="F783" s="380" t="s">
        <v>797</v>
      </c>
      <c r="G783" s="380" t="s">
        <v>1267</v>
      </c>
      <c r="H783" s="380" t="s">
        <v>771</v>
      </c>
      <c r="I783" s="380" t="s">
        <v>799</v>
      </c>
      <c r="J783" s="380" t="s">
        <v>773</v>
      </c>
      <c r="K783" s="381">
        <v>0.0</v>
      </c>
      <c r="L783" s="382">
        <v>1.0</v>
      </c>
    </row>
    <row r="784">
      <c r="A784" s="380" t="s">
        <v>1625</v>
      </c>
      <c r="B784" s="380" t="str">
        <f>IFERROR(__xludf.DUMMYFUNCTION("""COMPUTED_VALUE"""),"Tajalapiz Metalico Sencillo")</f>
        <v>Tajalapiz Metalico Sencillo</v>
      </c>
      <c r="C784" s="380" t="str">
        <f>IFERROR(__xludf.DUMMYFUNCTION("""COMPUTED_VALUE"""),"10000580")</f>
        <v>10000580</v>
      </c>
      <c r="D784" s="380" t="s">
        <v>767</v>
      </c>
      <c r="E784" s="380" t="s">
        <v>768</v>
      </c>
      <c r="F784" s="380" t="s">
        <v>797</v>
      </c>
      <c r="G784" s="380" t="s">
        <v>1267</v>
      </c>
      <c r="H784" s="380" t="s">
        <v>771</v>
      </c>
      <c r="I784" s="380" t="s">
        <v>799</v>
      </c>
      <c r="J784" s="380" t="s">
        <v>773</v>
      </c>
      <c r="K784" s="381">
        <v>271.0</v>
      </c>
      <c r="L784" s="382">
        <v>1.0</v>
      </c>
    </row>
    <row r="785">
      <c r="A785" s="380" t="s">
        <v>1626</v>
      </c>
      <c r="B785" s="380" t="str">
        <f>IFERROR(__xludf.DUMMYFUNCTION("""COMPUTED_VALUE"""),"Tubo Galv. 1/2 X 2.0mm X 6mts")</f>
        <v>Tubo Galv. 1/2 X 2.0mm X 6mts</v>
      </c>
      <c r="C785" s="380" t="str">
        <f>IFERROR(__xludf.DUMMYFUNCTION("""COMPUTED_VALUE"""),"10000581")</f>
        <v>10000581</v>
      </c>
      <c r="D785" s="380" t="s">
        <v>767</v>
      </c>
      <c r="E785" s="380" t="s">
        <v>768</v>
      </c>
      <c r="F785" s="380" t="s">
        <v>797</v>
      </c>
      <c r="G785" s="380" t="s">
        <v>1267</v>
      </c>
      <c r="H785" s="380" t="s">
        <v>771</v>
      </c>
      <c r="I785" s="380" t="s">
        <v>799</v>
      </c>
      <c r="J785" s="380" t="s">
        <v>773</v>
      </c>
      <c r="K785" s="381">
        <v>0.0</v>
      </c>
      <c r="L785" s="382">
        <v>1.0</v>
      </c>
    </row>
    <row r="786">
      <c r="A786" s="380" t="s">
        <v>1627</v>
      </c>
      <c r="B786" s="380" t="str">
        <f>IFERROR(__xludf.DUMMYFUNCTION("""COMPUTED_VALUE"""),"Trapero De Microfibra")</f>
        <v>Trapero De Microfibra</v>
      </c>
      <c r="C786" s="380" t="str">
        <f>IFERROR(__xludf.DUMMYFUNCTION("""COMPUTED_VALUE"""),"10000582")</f>
        <v>10000582</v>
      </c>
      <c r="D786" s="380" t="s">
        <v>767</v>
      </c>
      <c r="E786" s="380" t="s">
        <v>768</v>
      </c>
      <c r="F786" s="380" t="s">
        <v>769</v>
      </c>
      <c r="G786" s="380" t="s">
        <v>1267</v>
      </c>
      <c r="H786" s="380" t="s">
        <v>771</v>
      </c>
      <c r="I786" s="380" t="s">
        <v>772</v>
      </c>
      <c r="J786" s="380" t="s">
        <v>773</v>
      </c>
      <c r="K786" s="381">
        <v>29155.0</v>
      </c>
      <c r="L786" s="382">
        <v>1.0</v>
      </c>
    </row>
    <row r="787">
      <c r="A787" s="380" t="s">
        <v>1628</v>
      </c>
      <c r="B787" s="380" t="str">
        <f>IFERROR(__xludf.DUMMYFUNCTION("""COMPUTED_VALUE"""),"Bisturi Cuchilla En Ceramica")</f>
        <v>Bisturi Cuchilla En Ceramica</v>
      </c>
      <c r="C787" s="380" t="str">
        <f>IFERROR(__xludf.DUMMYFUNCTION("""COMPUTED_VALUE"""),"10000583")</f>
        <v>10000583</v>
      </c>
      <c r="D787" s="380" t="s">
        <v>767</v>
      </c>
      <c r="E787" s="380" t="s">
        <v>768</v>
      </c>
      <c r="F787" s="380" t="s">
        <v>797</v>
      </c>
      <c r="G787" s="380" t="s">
        <v>1267</v>
      </c>
      <c r="H787" s="380" t="s">
        <v>771</v>
      </c>
      <c r="I787" s="380" t="s">
        <v>799</v>
      </c>
      <c r="J787" s="380" t="s">
        <v>773</v>
      </c>
      <c r="K787" s="381">
        <v>9163.0</v>
      </c>
      <c r="L787" s="382">
        <v>1.0</v>
      </c>
    </row>
    <row r="788">
      <c r="A788" s="380" t="s">
        <v>1629</v>
      </c>
      <c r="B788" s="380" t="str">
        <f>IFERROR(__xludf.DUMMYFUNCTION("""COMPUTED_VALUE"""),"Contenedor Plastico De 360 Lt")</f>
        <v>Contenedor Plastico De 360 Lt</v>
      </c>
      <c r="C788" s="380" t="str">
        <f>IFERROR(__xludf.DUMMYFUNCTION("""COMPUTED_VALUE"""),"10000584")</f>
        <v>10000584</v>
      </c>
      <c r="D788" s="380" t="s">
        <v>767</v>
      </c>
      <c r="E788" s="380" t="s">
        <v>768</v>
      </c>
      <c r="F788" s="380" t="s">
        <v>797</v>
      </c>
      <c r="G788" s="380" t="s">
        <v>1267</v>
      </c>
      <c r="H788" s="380" t="s">
        <v>771</v>
      </c>
      <c r="I788" s="380" t="s">
        <v>799</v>
      </c>
      <c r="J788" s="380" t="s">
        <v>773</v>
      </c>
      <c r="K788" s="381">
        <v>0.0</v>
      </c>
      <c r="L788" s="382">
        <v>1.0</v>
      </c>
    </row>
    <row r="789">
      <c r="A789" s="380" t="s">
        <v>1630</v>
      </c>
      <c r="B789" s="380" t="str">
        <f>IFERROR(__xludf.DUMMYFUNCTION("""COMPUTED_VALUE"""),"Celular Campaña Aliados")</f>
        <v>Celular Campaña Aliados</v>
      </c>
      <c r="C789" s="380" t="str">
        <f>IFERROR(__xludf.DUMMYFUNCTION("""COMPUTED_VALUE"""),"10000585")</f>
        <v>10000585</v>
      </c>
      <c r="D789" s="380" t="s">
        <v>767</v>
      </c>
      <c r="E789" s="380" t="s">
        <v>768</v>
      </c>
      <c r="F789" s="380" t="s">
        <v>797</v>
      </c>
      <c r="G789" s="380" t="s">
        <v>1267</v>
      </c>
      <c r="H789" s="380" t="s">
        <v>771</v>
      </c>
      <c r="I789" s="380" t="s">
        <v>799</v>
      </c>
      <c r="J789" s="380" t="s">
        <v>773</v>
      </c>
      <c r="K789" s="381">
        <v>0.0</v>
      </c>
      <c r="L789" s="382">
        <v>1.0</v>
      </c>
    </row>
    <row r="790">
      <c r="A790" s="380" t="s">
        <v>1631</v>
      </c>
      <c r="B790" s="380" t="str">
        <f>IFERROR(__xludf.DUMMYFUNCTION("""COMPUTED_VALUE"""),"Capsulas De Cafe")</f>
        <v>Capsulas De Cafe</v>
      </c>
      <c r="C790" s="380" t="str">
        <f>IFERROR(__xludf.DUMMYFUNCTION("""COMPUTED_VALUE"""),"10000586")</f>
        <v>10000586</v>
      </c>
      <c r="D790" s="380" t="s">
        <v>767</v>
      </c>
      <c r="E790" s="380" t="s">
        <v>768</v>
      </c>
      <c r="F790" s="380" t="s">
        <v>803</v>
      </c>
      <c r="G790" s="380" t="s">
        <v>1267</v>
      </c>
      <c r="H790" s="380" t="s">
        <v>771</v>
      </c>
      <c r="I790" s="380" t="s">
        <v>772</v>
      </c>
      <c r="J790" s="380" t="s">
        <v>773</v>
      </c>
      <c r="K790" s="381">
        <v>0.0</v>
      </c>
      <c r="L790" s="382">
        <v>1.0</v>
      </c>
    </row>
    <row r="791">
      <c r="A791" s="380" t="s">
        <v>1632</v>
      </c>
      <c r="B791" s="380" t="str">
        <f>IFERROR(__xludf.DUMMYFUNCTION("""COMPUTED_VALUE"""),"Organizador De Cubiertos")</f>
        <v>Organizador De Cubiertos</v>
      </c>
      <c r="C791" s="380" t="str">
        <f>IFERROR(__xludf.DUMMYFUNCTION("""COMPUTED_VALUE"""),"10000587")</f>
        <v>10000587</v>
      </c>
      <c r="D791" s="380" t="s">
        <v>767</v>
      </c>
      <c r="E791" s="380" t="s">
        <v>768</v>
      </c>
      <c r="F791" s="380" t="s">
        <v>803</v>
      </c>
      <c r="G791" s="380" t="s">
        <v>1267</v>
      </c>
      <c r="H791" s="380" t="s">
        <v>771</v>
      </c>
      <c r="I791" s="380" t="s">
        <v>772</v>
      </c>
      <c r="J791" s="380" t="s">
        <v>773</v>
      </c>
      <c r="K791" s="381">
        <v>0.0</v>
      </c>
      <c r="L791" s="382">
        <v>1.0</v>
      </c>
    </row>
    <row r="792">
      <c r="A792" s="380" t="s">
        <v>1633</v>
      </c>
      <c r="B792" s="380" t="str">
        <f>IFERROR(__xludf.DUMMYFUNCTION("""COMPUTED_VALUE"""),"Jaula Paquetera Malacate 1.30")</f>
        <v>Jaula Paquetera Malacate 1.30</v>
      </c>
      <c r="C792" s="380" t="str">
        <f>IFERROR(__xludf.DUMMYFUNCTION("""COMPUTED_VALUE"""),"10000588")</f>
        <v>10000588</v>
      </c>
      <c r="D792" s="380" t="s">
        <v>767</v>
      </c>
      <c r="E792" s="380" t="s">
        <v>768</v>
      </c>
      <c r="F792" s="380" t="s">
        <v>797</v>
      </c>
      <c r="G792" s="380" t="s">
        <v>1267</v>
      </c>
      <c r="H792" s="380" t="s">
        <v>771</v>
      </c>
      <c r="I792" s="380" t="s">
        <v>799</v>
      </c>
      <c r="J792" s="380" t="s">
        <v>773</v>
      </c>
      <c r="K792" s="381">
        <v>0.0</v>
      </c>
      <c r="L792" s="382">
        <v>1.0</v>
      </c>
    </row>
    <row r="793">
      <c r="A793" s="380" t="s">
        <v>1634</v>
      </c>
      <c r="B793" s="380" t="str">
        <f>IFERROR(__xludf.DUMMYFUNCTION("""COMPUTED_VALUE"""),"Botellon Agua Vacio")</f>
        <v>Botellon Agua Vacio</v>
      </c>
      <c r="C793" s="380" t="str">
        <f>IFERROR(__xludf.DUMMYFUNCTION("""COMPUTED_VALUE"""),"10000589")</f>
        <v>10000589</v>
      </c>
      <c r="D793" s="380" t="s">
        <v>767</v>
      </c>
      <c r="E793" s="380" t="s">
        <v>768</v>
      </c>
      <c r="F793" s="380" t="s">
        <v>803</v>
      </c>
      <c r="G793" s="380" t="s">
        <v>1267</v>
      </c>
      <c r="H793" s="380" t="s">
        <v>771</v>
      </c>
      <c r="I793" s="380" t="s">
        <v>772</v>
      </c>
      <c r="J793" s="380" t="s">
        <v>773</v>
      </c>
      <c r="K793" s="381">
        <v>0.0</v>
      </c>
      <c r="L793" s="382">
        <v>1.0</v>
      </c>
    </row>
    <row r="794">
      <c r="A794" s="380" t="s">
        <v>1635</v>
      </c>
      <c r="B794" s="380" t="str">
        <f>IFERROR(__xludf.DUMMYFUNCTION("""COMPUTED_VALUE"""),"Resorte Brazo Transpaleta Hub")</f>
        <v>Resorte Brazo Transpaleta Hub</v>
      </c>
      <c r="C794" s="380" t="str">
        <f>IFERROR(__xludf.DUMMYFUNCTION("""COMPUTED_VALUE"""),"10000590")</f>
        <v>10000590</v>
      </c>
      <c r="D794" s="380" t="s">
        <v>767</v>
      </c>
      <c r="E794" s="380" t="s">
        <v>768</v>
      </c>
      <c r="F794" s="380" t="s">
        <v>797</v>
      </c>
      <c r="G794" s="380" t="s">
        <v>1267</v>
      </c>
      <c r="H794" s="380" t="s">
        <v>771</v>
      </c>
      <c r="I794" s="380" t="s">
        <v>799</v>
      </c>
      <c r="J794" s="380" t="s">
        <v>773</v>
      </c>
      <c r="K794" s="381">
        <v>0.0</v>
      </c>
      <c r="L794" s="382">
        <v>1.0</v>
      </c>
    </row>
    <row r="795">
      <c r="A795" s="380" t="s">
        <v>1636</v>
      </c>
      <c r="B795" s="380" t="str">
        <f>IFERROR(__xludf.DUMMYFUNCTION("""COMPUTED_VALUE"""),"Tenedor Grande Restaurante")</f>
        <v>Tenedor Grande Restaurante</v>
      </c>
      <c r="C795" s="380" t="str">
        <f>IFERROR(__xludf.DUMMYFUNCTION("""COMPUTED_VALUE"""),"10000591")</f>
        <v>10000591</v>
      </c>
      <c r="D795" s="380" t="s">
        <v>767</v>
      </c>
      <c r="E795" s="380" t="s">
        <v>768</v>
      </c>
      <c r="F795" s="380" t="s">
        <v>803</v>
      </c>
      <c r="G795" s="380" t="s">
        <v>1267</v>
      </c>
      <c r="H795" s="380" t="s">
        <v>771</v>
      </c>
      <c r="I795" s="380" t="s">
        <v>772</v>
      </c>
      <c r="J795" s="380" t="s">
        <v>773</v>
      </c>
      <c r="K795" s="381">
        <v>0.0</v>
      </c>
      <c r="L795" s="382">
        <v>1.0</v>
      </c>
    </row>
    <row r="796">
      <c r="A796" s="380" t="s">
        <v>1637</v>
      </c>
      <c r="B796" s="380" t="str">
        <f>IFERROR(__xludf.DUMMYFUNCTION("""COMPUTED_VALUE"""),"Cuchara Grande Restaurante")</f>
        <v>Cuchara Grande Restaurante</v>
      </c>
      <c r="C796" s="380" t="str">
        <f>IFERROR(__xludf.DUMMYFUNCTION("""COMPUTED_VALUE"""),"10000592")</f>
        <v>10000592</v>
      </c>
      <c r="D796" s="380" t="s">
        <v>767</v>
      </c>
      <c r="E796" s="380" t="s">
        <v>768</v>
      </c>
      <c r="F796" s="380" t="s">
        <v>803</v>
      </c>
      <c r="G796" s="380" t="s">
        <v>1267</v>
      </c>
      <c r="H796" s="380" t="s">
        <v>771</v>
      </c>
      <c r="I796" s="380" t="s">
        <v>772</v>
      </c>
      <c r="J796" s="380" t="s">
        <v>773</v>
      </c>
      <c r="K796" s="381">
        <v>0.0</v>
      </c>
      <c r="L796" s="382">
        <v>1.0</v>
      </c>
    </row>
    <row r="797">
      <c r="A797" s="380" t="s">
        <v>1638</v>
      </c>
      <c r="B797" s="380" t="str">
        <f>IFERROR(__xludf.DUMMYFUNCTION("""COMPUTED_VALUE"""),"Bandeja Plastica Autoservicio")</f>
        <v>Bandeja Plastica Autoservicio</v>
      </c>
      <c r="C797" s="380" t="str">
        <f>IFERROR(__xludf.DUMMYFUNCTION("""COMPUTED_VALUE"""),"10000593")</f>
        <v>10000593</v>
      </c>
      <c r="D797" s="380" t="s">
        <v>767</v>
      </c>
      <c r="E797" s="380" t="s">
        <v>768</v>
      </c>
      <c r="F797" s="380" t="s">
        <v>803</v>
      </c>
      <c r="G797" s="380" t="s">
        <v>1267</v>
      </c>
      <c r="H797" s="380" t="s">
        <v>771</v>
      </c>
      <c r="I797" s="380" t="s">
        <v>772</v>
      </c>
      <c r="J797" s="380" t="s">
        <v>773</v>
      </c>
      <c r="K797" s="381">
        <v>0.0</v>
      </c>
      <c r="L797" s="382">
        <v>1.0</v>
      </c>
    </row>
    <row r="798">
      <c r="A798" s="380" t="s">
        <v>1639</v>
      </c>
      <c r="B798" s="380" t="str">
        <f>IFERROR(__xludf.DUMMYFUNCTION("""COMPUTED_VALUE"""),"Plato Hondo Restaurante")</f>
        <v>Plato Hondo Restaurante</v>
      </c>
      <c r="C798" s="380" t="str">
        <f>IFERROR(__xludf.DUMMYFUNCTION("""COMPUTED_VALUE"""),"10000594")</f>
        <v>10000594</v>
      </c>
      <c r="D798" s="380" t="s">
        <v>767</v>
      </c>
      <c r="E798" s="380" t="s">
        <v>768</v>
      </c>
      <c r="F798" s="380" t="s">
        <v>803</v>
      </c>
      <c r="G798" s="380" t="s">
        <v>1267</v>
      </c>
      <c r="H798" s="380" t="s">
        <v>771</v>
      </c>
      <c r="I798" s="380" t="s">
        <v>772</v>
      </c>
      <c r="J798" s="380" t="s">
        <v>773</v>
      </c>
      <c r="K798" s="381">
        <v>0.0</v>
      </c>
      <c r="L798" s="382">
        <v>1.0</v>
      </c>
    </row>
    <row r="799">
      <c r="A799" s="380" t="s">
        <v>1640</v>
      </c>
      <c r="B799" s="380" t="str">
        <f>IFERROR(__xludf.DUMMYFUNCTION("""COMPUTED_VALUE"""),"Plato Pando Restaurante")</f>
        <v>Plato Pando Restaurante</v>
      </c>
      <c r="C799" s="380" t="str">
        <f>IFERROR(__xludf.DUMMYFUNCTION("""COMPUTED_VALUE"""),"10000595")</f>
        <v>10000595</v>
      </c>
      <c r="D799" s="380" t="s">
        <v>767</v>
      </c>
      <c r="E799" s="380" t="s">
        <v>768</v>
      </c>
      <c r="F799" s="380" t="s">
        <v>803</v>
      </c>
      <c r="G799" s="380" t="s">
        <v>1267</v>
      </c>
      <c r="H799" s="380" t="s">
        <v>771</v>
      </c>
      <c r="I799" s="380" t="s">
        <v>772</v>
      </c>
      <c r="J799" s="380" t="s">
        <v>773</v>
      </c>
      <c r="K799" s="381">
        <v>0.0</v>
      </c>
      <c r="L799" s="382">
        <v>1.0</v>
      </c>
    </row>
    <row r="800">
      <c r="A800" s="380" t="s">
        <v>1641</v>
      </c>
      <c r="B800" s="380" t="str">
        <f>IFERROR(__xludf.DUMMYFUNCTION("""COMPUTED_VALUE"""),"Servilletero Generico")</f>
        <v>Servilletero Generico</v>
      </c>
      <c r="C800" s="380" t="str">
        <f>IFERROR(__xludf.DUMMYFUNCTION("""COMPUTED_VALUE"""),"10000596")</f>
        <v>10000596</v>
      </c>
      <c r="D800" s="380" t="s">
        <v>767</v>
      </c>
      <c r="E800" s="380" t="s">
        <v>768</v>
      </c>
      <c r="F800" s="380" t="s">
        <v>803</v>
      </c>
      <c r="G800" s="380" t="s">
        <v>1267</v>
      </c>
      <c r="H800" s="380" t="s">
        <v>771</v>
      </c>
      <c r="I800" s="380" t="s">
        <v>772</v>
      </c>
      <c r="J800" s="380" t="s">
        <v>773</v>
      </c>
      <c r="K800" s="381">
        <v>0.0</v>
      </c>
      <c r="L800" s="382">
        <v>1.0</v>
      </c>
    </row>
    <row r="801">
      <c r="A801" s="380" t="s">
        <v>1642</v>
      </c>
      <c r="B801" s="380" t="str">
        <f>IFERROR(__xludf.DUMMYFUNCTION("""COMPUTED_VALUE"""),"Rueda Inflable Con Buje Carret 250-280-4")</f>
        <v>Rueda Inflable Con Buje Carret 250-280-4</v>
      </c>
      <c r="C801" s="380" t="str">
        <f>IFERROR(__xludf.DUMMYFUNCTION("""COMPUTED_VALUE"""),"10000597")</f>
        <v>10000597</v>
      </c>
      <c r="D801" s="380" t="s">
        <v>767</v>
      </c>
      <c r="E801" s="380" t="s">
        <v>768</v>
      </c>
      <c r="F801" s="380" t="s">
        <v>797</v>
      </c>
      <c r="G801" s="380" t="s">
        <v>1267</v>
      </c>
      <c r="H801" s="380" t="s">
        <v>771</v>
      </c>
      <c r="I801" s="380" t="s">
        <v>799</v>
      </c>
      <c r="J801" s="380" t="s">
        <v>773</v>
      </c>
      <c r="K801" s="381">
        <v>0.0</v>
      </c>
      <c r="L801" s="382">
        <v>1.0</v>
      </c>
    </row>
    <row r="802">
      <c r="A802" s="380" t="s">
        <v>1643</v>
      </c>
      <c r="B802" s="380" t="str">
        <f>IFERROR(__xludf.DUMMYFUNCTION("""COMPUTED_VALUE"""),"Modulo 1 Cuerpo Y 8 Canastas P")</f>
        <v>Modulo 1 Cuerpo Y 8 Canastas P</v>
      </c>
      <c r="C802" s="380" t="str">
        <f>IFERROR(__xludf.DUMMYFUNCTION("""COMPUTED_VALUE"""),"10000598")</f>
        <v>10000598</v>
      </c>
      <c r="D802" s="380" t="s">
        <v>767</v>
      </c>
      <c r="E802" s="380" t="s">
        <v>768</v>
      </c>
      <c r="F802" s="380" t="s">
        <v>797</v>
      </c>
      <c r="G802" s="380" t="s">
        <v>1267</v>
      </c>
      <c r="H802" s="380" t="s">
        <v>771</v>
      </c>
      <c r="I802" s="380" t="s">
        <v>799</v>
      </c>
      <c r="J802" s="380" t="s">
        <v>773</v>
      </c>
      <c r="K802" s="381">
        <v>0.0</v>
      </c>
      <c r="L802" s="382">
        <v>1.0</v>
      </c>
    </row>
    <row r="803">
      <c r="A803" s="380" t="s">
        <v>1644</v>
      </c>
      <c r="B803" s="380" t="str">
        <f>IFERROR(__xludf.DUMMYFUNCTION("""COMPUTED_VALUE"""),"Boligrafo Negro")</f>
        <v>Boligrafo Negro</v>
      </c>
      <c r="C803" s="380" t="str">
        <f>IFERROR(__xludf.DUMMYFUNCTION("""COMPUTED_VALUE"""),"10000599")</f>
        <v>10000599</v>
      </c>
      <c r="D803" s="380" t="s">
        <v>767</v>
      </c>
      <c r="E803" s="380" t="s">
        <v>768</v>
      </c>
      <c r="F803" s="380" t="s">
        <v>797</v>
      </c>
      <c r="G803" s="380" t="s">
        <v>1267</v>
      </c>
      <c r="H803" s="380" t="s">
        <v>771</v>
      </c>
      <c r="I803" s="380" t="s">
        <v>799</v>
      </c>
      <c r="J803" s="380" t="s">
        <v>773</v>
      </c>
      <c r="K803" s="381">
        <v>284.0</v>
      </c>
      <c r="L803" s="382">
        <v>1.0</v>
      </c>
    </row>
    <row r="804">
      <c r="A804" s="380" t="s">
        <v>1645</v>
      </c>
      <c r="B804" s="380" t="str">
        <f>IFERROR(__xludf.DUMMYFUNCTION("""COMPUTED_VALUE"""),"Contenedor Plástico De 600lt C")</f>
        <v>Contenedor Plástico De 600lt C</v>
      </c>
      <c r="C804" s="380" t="str">
        <f>IFERROR(__xludf.DUMMYFUNCTION("""COMPUTED_VALUE"""),"10000600")</f>
        <v>10000600</v>
      </c>
      <c r="D804" s="380" t="s">
        <v>767</v>
      </c>
      <c r="E804" s="380" t="s">
        <v>768</v>
      </c>
      <c r="F804" s="380" t="s">
        <v>797</v>
      </c>
      <c r="G804" s="380" t="s">
        <v>1267</v>
      </c>
      <c r="H804" s="380" t="s">
        <v>771</v>
      </c>
      <c r="I804" s="380" t="s">
        <v>799</v>
      </c>
      <c r="J804" s="380" t="s">
        <v>773</v>
      </c>
      <c r="K804" s="381">
        <v>0.0</v>
      </c>
      <c r="L804" s="382">
        <v>1.0</v>
      </c>
    </row>
    <row r="805">
      <c r="A805" s="380" t="s">
        <v>1646</v>
      </c>
      <c r="B805" s="380" t="str">
        <f>IFERROR(__xludf.DUMMYFUNCTION("""COMPUTED_VALUE"""),"Dispensador De Agua Recargable")</f>
        <v>Dispensador De Agua Recargable</v>
      </c>
      <c r="C805" s="380" t="str">
        <f>IFERROR(__xludf.DUMMYFUNCTION("""COMPUTED_VALUE"""),"10000601")</f>
        <v>10000601</v>
      </c>
      <c r="D805" s="380" t="s">
        <v>767</v>
      </c>
      <c r="E805" s="380" t="s">
        <v>768</v>
      </c>
      <c r="F805" s="380" t="s">
        <v>803</v>
      </c>
      <c r="G805" s="380" t="s">
        <v>1267</v>
      </c>
      <c r="H805" s="380" t="s">
        <v>771</v>
      </c>
      <c r="I805" s="380" t="s">
        <v>772</v>
      </c>
      <c r="J805" s="380" t="s">
        <v>773</v>
      </c>
      <c r="K805" s="381">
        <v>0.0</v>
      </c>
      <c r="L805" s="382">
        <v>1.0</v>
      </c>
    </row>
    <row r="806">
      <c r="A806" s="380" t="s">
        <v>1647</v>
      </c>
      <c r="B806" s="380" t="str">
        <f>IFERROR(__xludf.DUMMYFUNCTION("""COMPUTED_VALUE"""),"Hojas Casos Gestion Humana")</f>
        <v>Hojas Casos Gestion Humana</v>
      </c>
      <c r="C806" s="380" t="str">
        <f>IFERROR(__xludf.DUMMYFUNCTION("""COMPUTED_VALUE"""),"10000602")</f>
        <v>10000602</v>
      </c>
      <c r="D806" s="380" t="s">
        <v>767</v>
      </c>
      <c r="E806" s="380" t="s">
        <v>768</v>
      </c>
      <c r="F806" s="380" t="s">
        <v>797</v>
      </c>
      <c r="G806" s="380" t="s">
        <v>1267</v>
      </c>
      <c r="H806" s="380" t="s">
        <v>771</v>
      </c>
      <c r="I806" s="380" t="s">
        <v>799</v>
      </c>
      <c r="J806" s="380" t="s">
        <v>773</v>
      </c>
      <c r="K806" s="381">
        <v>0.0</v>
      </c>
      <c r="L806" s="382">
        <v>1.0</v>
      </c>
    </row>
    <row r="807">
      <c r="A807" s="380" t="s">
        <v>1648</v>
      </c>
      <c r="B807" s="380" t="str">
        <f>IFERROR(__xludf.DUMMYFUNCTION("""COMPUTED_VALUE"""),"Tablero Generico Impreso Gesti")</f>
        <v>Tablero Generico Impreso Gesti</v>
      </c>
      <c r="C807" s="380" t="str">
        <f>IFERROR(__xludf.DUMMYFUNCTION("""COMPUTED_VALUE"""),"10000603")</f>
        <v>10000603</v>
      </c>
      <c r="D807" s="380" t="s">
        <v>767</v>
      </c>
      <c r="E807" s="380" t="s">
        <v>768</v>
      </c>
      <c r="F807" s="380" t="s">
        <v>797</v>
      </c>
      <c r="G807" s="380" t="s">
        <v>1267</v>
      </c>
      <c r="H807" s="380" t="s">
        <v>771</v>
      </c>
      <c r="I807" s="380" t="s">
        <v>799</v>
      </c>
      <c r="J807" s="380" t="s">
        <v>773</v>
      </c>
      <c r="K807" s="381">
        <v>0.0</v>
      </c>
      <c r="L807" s="382">
        <v>1.0</v>
      </c>
    </row>
    <row r="808">
      <c r="A808" s="380" t="s">
        <v>1649</v>
      </c>
      <c r="B808" s="380" t="str">
        <f>IFERROR(__xludf.DUMMYFUNCTION("""COMPUTED_VALUE"""),"Tarjetas Genericas Gestion Hum")</f>
        <v>Tarjetas Genericas Gestion Hum</v>
      </c>
      <c r="C808" s="380" t="str">
        <f>IFERROR(__xludf.DUMMYFUNCTION("""COMPUTED_VALUE"""),"10000604")</f>
        <v>10000604</v>
      </c>
      <c r="D808" s="380" t="s">
        <v>767</v>
      </c>
      <c r="E808" s="380" t="s">
        <v>768</v>
      </c>
      <c r="F808" s="380" t="s">
        <v>797</v>
      </c>
      <c r="G808" s="380" t="s">
        <v>1267</v>
      </c>
      <c r="H808" s="380" t="s">
        <v>771</v>
      </c>
      <c r="I808" s="380" t="s">
        <v>799</v>
      </c>
      <c r="J808" s="380" t="s">
        <v>773</v>
      </c>
      <c r="K808" s="381">
        <v>0.0</v>
      </c>
      <c r="L808" s="382">
        <v>1.0</v>
      </c>
    </row>
    <row r="809">
      <c r="A809" s="380" t="s">
        <v>1650</v>
      </c>
      <c r="B809" s="380" t="str">
        <f>IFERROR(__xludf.DUMMYFUNCTION("""COMPUTED_VALUE"""),"Te Hatsu Dg")</f>
        <v>Te Hatsu Dg</v>
      </c>
      <c r="C809" s="380" t="str">
        <f>IFERROR(__xludf.DUMMYFUNCTION("""COMPUTED_VALUE"""),"10000605")</f>
        <v>10000605</v>
      </c>
      <c r="D809" s="380" t="s">
        <v>767</v>
      </c>
      <c r="E809" s="380" t="s">
        <v>768</v>
      </c>
      <c r="F809" s="380" t="s">
        <v>803</v>
      </c>
      <c r="G809" s="380" t="s">
        <v>1267</v>
      </c>
      <c r="H809" s="380" t="s">
        <v>771</v>
      </c>
      <c r="I809" s="380" t="s">
        <v>772</v>
      </c>
      <c r="J809" s="380" t="s">
        <v>773</v>
      </c>
      <c r="K809" s="381">
        <v>0.0</v>
      </c>
      <c r="L809" s="382">
        <v>1.0</v>
      </c>
    </row>
    <row r="810">
      <c r="A810" s="380" t="s">
        <v>1651</v>
      </c>
      <c r="B810" s="380" t="str">
        <f>IFERROR(__xludf.DUMMYFUNCTION("""COMPUTED_VALUE"""),"Soda Hatsu Dg Gravada")</f>
        <v>Soda Hatsu Dg Gravada</v>
      </c>
      <c r="C810" s="380" t="str">
        <f>IFERROR(__xludf.DUMMYFUNCTION("""COMPUTED_VALUE"""),"10000606")</f>
        <v>10000606</v>
      </c>
      <c r="D810" s="380" t="s">
        <v>767</v>
      </c>
      <c r="E810" s="380" t="s">
        <v>768</v>
      </c>
      <c r="F810" s="380" t="s">
        <v>769</v>
      </c>
      <c r="G810" s="380" t="s">
        <v>1267</v>
      </c>
      <c r="H810" s="380" t="s">
        <v>771</v>
      </c>
      <c r="I810" s="380" t="s">
        <v>772</v>
      </c>
      <c r="J810" s="380" t="s">
        <v>773</v>
      </c>
      <c r="K810" s="381">
        <v>0.0</v>
      </c>
      <c r="L810" s="382">
        <v>1.0</v>
      </c>
    </row>
    <row r="811">
      <c r="A811" s="380" t="s">
        <v>1652</v>
      </c>
      <c r="B811" s="380" t="str">
        <f>IFERROR(__xludf.DUMMYFUNCTION("""COMPUTED_VALUE"""),"Boligrafo Rojo")</f>
        <v>Boligrafo Rojo</v>
      </c>
      <c r="C811" s="380" t="str">
        <f>IFERROR(__xludf.DUMMYFUNCTION("""COMPUTED_VALUE"""),"10000607")</f>
        <v>10000607</v>
      </c>
      <c r="D811" s="380" t="s">
        <v>767</v>
      </c>
      <c r="E811" s="380" t="s">
        <v>768</v>
      </c>
      <c r="F811" s="380" t="s">
        <v>797</v>
      </c>
      <c r="G811" s="380" t="s">
        <v>1267</v>
      </c>
      <c r="H811" s="380" t="s">
        <v>771</v>
      </c>
      <c r="I811" s="380" t="s">
        <v>799</v>
      </c>
      <c r="J811" s="380" t="s">
        <v>773</v>
      </c>
      <c r="K811" s="381">
        <v>292.0</v>
      </c>
      <c r="L811" s="382">
        <v>1.0</v>
      </c>
    </row>
    <row r="812">
      <c r="A812" s="380" t="s">
        <v>1653</v>
      </c>
      <c r="B812" s="380" t="str">
        <f>IFERROR(__xludf.DUMMYFUNCTION("""COMPUTED_VALUE"""),"Pila Camara Digital 1950")</f>
        <v>Pila Camara Digital 1950</v>
      </c>
      <c r="C812" s="380" t="str">
        <f>IFERROR(__xludf.DUMMYFUNCTION("""COMPUTED_VALUE"""),"10000609")</f>
        <v>10000609</v>
      </c>
      <c r="D812" s="380" t="s">
        <v>767</v>
      </c>
      <c r="E812" s="380" t="s">
        <v>768</v>
      </c>
      <c r="F812" s="380" t="s">
        <v>797</v>
      </c>
      <c r="G812" s="380" t="s">
        <v>1267</v>
      </c>
      <c r="H812" s="380" t="s">
        <v>771</v>
      </c>
      <c r="I812" s="380" t="s">
        <v>799</v>
      </c>
      <c r="J812" s="380" t="s">
        <v>773</v>
      </c>
      <c r="K812" s="381">
        <v>0.0</v>
      </c>
      <c r="L812" s="382">
        <v>1.0</v>
      </c>
    </row>
    <row r="813">
      <c r="A813" s="380" t="s">
        <v>1654</v>
      </c>
      <c r="B813" s="380" t="str">
        <f>IFERROR(__xludf.DUMMYFUNCTION("""COMPUTED_VALUE"""),"Jabon Liquido Lavadora")</f>
        <v>Jabon Liquido Lavadora</v>
      </c>
      <c r="C813" s="380" t="str">
        <f>IFERROR(__xludf.DUMMYFUNCTION("""COMPUTED_VALUE"""),"10000610")</f>
        <v>10000610</v>
      </c>
      <c r="D813" s="380" t="s">
        <v>767</v>
      </c>
      <c r="E813" s="380" t="s">
        <v>768</v>
      </c>
      <c r="F813" s="380" t="s">
        <v>769</v>
      </c>
      <c r="G813" s="380" t="s">
        <v>1267</v>
      </c>
      <c r="H813" s="380" t="s">
        <v>771</v>
      </c>
      <c r="I813" s="380" t="s">
        <v>772</v>
      </c>
      <c r="J813" s="380" t="s">
        <v>773</v>
      </c>
      <c r="K813" s="381">
        <v>22871.0</v>
      </c>
      <c r="L813" s="382">
        <v>1.0</v>
      </c>
    </row>
    <row r="814">
      <c r="A814" s="380" t="s">
        <v>1655</v>
      </c>
      <c r="B814" s="380" t="str">
        <f>IFERROR(__xludf.DUMMYFUNCTION("""COMPUTED_VALUE"""),"Pila De Litio")</f>
        <v>Pila De Litio</v>
      </c>
      <c r="C814" s="380" t="str">
        <f>IFERROR(__xludf.DUMMYFUNCTION("""COMPUTED_VALUE"""),"10000611")</f>
        <v>10000611</v>
      </c>
      <c r="D814" s="380" t="s">
        <v>767</v>
      </c>
      <c r="E814" s="380" t="s">
        <v>768</v>
      </c>
      <c r="F814" s="380" t="s">
        <v>797</v>
      </c>
      <c r="G814" s="380" t="s">
        <v>1267</v>
      </c>
      <c r="H814" s="380" t="s">
        <v>771</v>
      </c>
      <c r="I814" s="380" t="s">
        <v>799</v>
      </c>
      <c r="J814" s="380" t="s">
        <v>773</v>
      </c>
      <c r="K814" s="381">
        <v>0.0</v>
      </c>
      <c r="L814" s="382">
        <v>1.0</v>
      </c>
    </row>
    <row r="815">
      <c r="A815" s="380" t="s">
        <v>1656</v>
      </c>
      <c r="B815" s="380" t="str">
        <f>IFERROR(__xludf.DUMMYFUNCTION("""COMPUTED_VALUE"""),"Oxido De Hierro Sintetico")</f>
        <v>Oxido De Hierro Sintetico</v>
      </c>
      <c r="C815" s="380" t="str">
        <f>IFERROR(__xludf.DUMMYFUNCTION("""COMPUTED_VALUE"""),"10000612")</f>
        <v>10000612</v>
      </c>
      <c r="D815" s="380" t="s">
        <v>767</v>
      </c>
      <c r="E815" s="380" t="s">
        <v>768</v>
      </c>
      <c r="F815" s="380" t="s">
        <v>769</v>
      </c>
      <c r="G815" s="380" t="s">
        <v>1267</v>
      </c>
      <c r="H815" s="380" t="s">
        <v>771</v>
      </c>
      <c r="I815" s="380" t="s">
        <v>772</v>
      </c>
      <c r="J815" s="380" t="s">
        <v>773</v>
      </c>
      <c r="K815" s="381">
        <v>0.0</v>
      </c>
      <c r="L815" s="382">
        <v>1.0</v>
      </c>
    </row>
    <row r="816">
      <c r="A816" s="380" t="s">
        <v>1657</v>
      </c>
      <c r="B816" s="380" t="str">
        <f>IFERROR(__xludf.DUMMYFUNCTION("""COMPUTED_VALUE"""),"Snaks Piso 8 Dg Gravado 19%")</f>
        <v>Snaks Piso 8 Dg Gravado 19%</v>
      </c>
      <c r="C816" s="380" t="str">
        <f>IFERROR(__xludf.DUMMYFUNCTION("""COMPUTED_VALUE"""),"10000613")</f>
        <v>10000613</v>
      </c>
      <c r="D816" s="380" t="s">
        <v>767</v>
      </c>
      <c r="E816" s="380" t="s">
        <v>768</v>
      </c>
      <c r="F816" s="380" t="s">
        <v>803</v>
      </c>
      <c r="G816" s="380" t="s">
        <v>1267</v>
      </c>
      <c r="H816" s="380" t="s">
        <v>771</v>
      </c>
      <c r="I816" s="380" t="s">
        <v>772</v>
      </c>
      <c r="J816" s="380" t="s">
        <v>773</v>
      </c>
      <c r="K816" s="381">
        <v>0.0</v>
      </c>
      <c r="L816" s="382">
        <v>1.0</v>
      </c>
    </row>
    <row r="817">
      <c r="A817" s="380" t="s">
        <v>1658</v>
      </c>
      <c r="B817" s="380" t="str">
        <f>IFERROR(__xludf.DUMMYFUNCTION("""COMPUTED_VALUE"""),"Balde Plastico")</f>
        <v>Balde Plastico</v>
      </c>
      <c r="C817" s="380" t="str">
        <f>IFERROR(__xludf.DUMMYFUNCTION("""COMPUTED_VALUE"""),"10000616")</f>
        <v>10000616</v>
      </c>
      <c r="D817" s="380" t="s">
        <v>767</v>
      </c>
      <c r="E817" s="380" t="s">
        <v>768</v>
      </c>
      <c r="F817" s="380" t="s">
        <v>769</v>
      </c>
      <c r="G817" s="380" t="s">
        <v>1267</v>
      </c>
      <c r="H817" s="380" t="s">
        <v>771</v>
      </c>
      <c r="I817" s="380" t="s">
        <v>772</v>
      </c>
      <c r="J817" s="380" t="s">
        <v>773</v>
      </c>
      <c r="K817" s="381">
        <v>6838.0</v>
      </c>
      <c r="L817" s="382">
        <v>1.0</v>
      </c>
    </row>
    <row r="818">
      <c r="A818" s="380" t="s">
        <v>1659</v>
      </c>
      <c r="B818" s="380" t="str">
        <f>IFERROR(__xludf.DUMMYFUNCTION("""COMPUTED_VALUE"""),"Cepillo Mango Largo")</f>
        <v>Cepillo Mango Largo</v>
      </c>
      <c r="C818" s="380" t="str">
        <f>IFERROR(__xludf.DUMMYFUNCTION("""COMPUTED_VALUE"""),"10000617")</f>
        <v>10000617</v>
      </c>
      <c r="D818" s="380" t="s">
        <v>767</v>
      </c>
      <c r="E818" s="380" t="s">
        <v>768</v>
      </c>
      <c r="F818" s="380" t="s">
        <v>769</v>
      </c>
      <c r="G818" s="380" t="s">
        <v>1267</v>
      </c>
      <c r="H818" s="380" t="s">
        <v>771</v>
      </c>
      <c r="I818" s="380" t="s">
        <v>772</v>
      </c>
      <c r="J818" s="380" t="s">
        <v>773</v>
      </c>
      <c r="K818" s="381">
        <v>4229.0</v>
      </c>
      <c r="L818" s="382">
        <v>1.0</v>
      </c>
    </row>
    <row r="819">
      <c r="A819" s="380" t="s">
        <v>1660</v>
      </c>
      <c r="B819" s="380" t="str">
        <f>IFERROR(__xludf.DUMMYFUNCTION("""COMPUTED_VALUE"""),"Gavetero Plastico 45 Cms")</f>
        <v>Gavetero Plastico 45 Cms</v>
      </c>
      <c r="C819" s="380" t="str">
        <f>IFERROR(__xludf.DUMMYFUNCTION("""COMPUTED_VALUE"""),"10000618")</f>
        <v>10000618</v>
      </c>
      <c r="D819" s="380" t="s">
        <v>767</v>
      </c>
      <c r="E819" s="380" t="s">
        <v>768</v>
      </c>
      <c r="F819" s="380" t="s">
        <v>797</v>
      </c>
      <c r="G819" s="380" t="s">
        <v>1267</v>
      </c>
      <c r="H819" s="380" t="s">
        <v>771</v>
      </c>
      <c r="I819" s="380" t="s">
        <v>799</v>
      </c>
      <c r="J819" s="380" t="s">
        <v>773</v>
      </c>
      <c r="K819" s="381">
        <v>0.0</v>
      </c>
      <c r="L819" s="382">
        <v>1.0</v>
      </c>
    </row>
    <row r="820">
      <c r="A820" s="380" t="s">
        <v>1661</v>
      </c>
      <c r="B820" s="380" t="str">
        <f>IFERROR(__xludf.DUMMYFUNCTION("""COMPUTED_VALUE"""),"Gavetero Plastico 35 Cms")</f>
        <v>Gavetero Plastico 35 Cms</v>
      </c>
      <c r="C820" s="380" t="str">
        <f>IFERROR(__xludf.DUMMYFUNCTION("""COMPUTED_VALUE"""),"10000619")</f>
        <v>10000619</v>
      </c>
      <c r="D820" s="380" t="s">
        <v>767</v>
      </c>
      <c r="E820" s="380" t="s">
        <v>768</v>
      </c>
      <c r="F820" s="380" t="s">
        <v>797</v>
      </c>
      <c r="G820" s="380" t="s">
        <v>1267</v>
      </c>
      <c r="H820" s="380" t="s">
        <v>771</v>
      </c>
      <c r="I820" s="380" t="s">
        <v>799</v>
      </c>
      <c r="J820" s="380" t="s">
        <v>773</v>
      </c>
      <c r="K820" s="381">
        <v>0.0</v>
      </c>
      <c r="L820" s="382">
        <v>1.0</v>
      </c>
    </row>
    <row r="821">
      <c r="A821" s="380" t="s">
        <v>1662</v>
      </c>
      <c r="B821" s="380" t="str">
        <f>IFERROR(__xludf.DUMMYFUNCTION("""COMPUTED_VALUE"""),"Envase Dispensador Jabon Y Gel")</f>
        <v>Envase Dispensador Jabon Y Gel</v>
      </c>
      <c r="C821" s="380" t="str">
        <f>IFERROR(__xludf.DUMMYFUNCTION("""COMPUTED_VALUE"""),"10000620")</f>
        <v>10000620</v>
      </c>
      <c r="D821" s="380" t="s">
        <v>767</v>
      </c>
      <c r="E821" s="380" t="s">
        <v>768</v>
      </c>
      <c r="F821" s="380" t="s">
        <v>769</v>
      </c>
      <c r="G821" s="380" t="s">
        <v>1267</v>
      </c>
      <c r="H821" s="380" t="s">
        <v>771</v>
      </c>
      <c r="I821" s="380" t="s">
        <v>772</v>
      </c>
      <c r="J821" s="380" t="s">
        <v>773</v>
      </c>
      <c r="K821" s="381">
        <v>2951.0</v>
      </c>
      <c r="L821" s="382">
        <v>1.0</v>
      </c>
    </row>
    <row r="822">
      <c r="A822" s="380" t="s">
        <v>1663</v>
      </c>
      <c r="B822" s="380" t="str">
        <f>IFERROR(__xludf.DUMMYFUNCTION("""COMPUTED_VALUE"""),"Concentrado Para Gatos")</f>
        <v>Concentrado Para Gatos</v>
      </c>
      <c r="C822" s="380" t="str">
        <f>IFERROR(__xludf.DUMMYFUNCTION("""COMPUTED_VALUE"""),"10000621")</f>
        <v>10000621</v>
      </c>
      <c r="D822" s="380" t="s">
        <v>767</v>
      </c>
      <c r="E822" s="380" t="s">
        <v>768</v>
      </c>
      <c r="F822" s="380" t="s">
        <v>803</v>
      </c>
      <c r="G822" s="380" t="s">
        <v>1267</v>
      </c>
      <c r="H822" s="380" t="s">
        <v>771</v>
      </c>
      <c r="I822" s="380" t="s">
        <v>772</v>
      </c>
      <c r="J822" s="380" t="s">
        <v>773</v>
      </c>
      <c r="K822" s="381">
        <v>0.0</v>
      </c>
      <c r="L822" s="382">
        <v>1.0</v>
      </c>
    </row>
    <row r="823">
      <c r="A823" s="380" t="s">
        <v>1664</v>
      </c>
      <c r="B823" s="380" t="str">
        <f>IFERROR(__xludf.DUMMYFUNCTION("""COMPUTED_VALUE"""),"Kit Ventiladores Transpaleta E")</f>
        <v>Kit Ventiladores Transpaleta E</v>
      </c>
      <c r="C823" s="380" t="str">
        <f>IFERROR(__xludf.DUMMYFUNCTION("""COMPUTED_VALUE"""),"10000622")</f>
        <v>10000622</v>
      </c>
      <c r="D823" s="380" t="s">
        <v>767</v>
      </c>
      <c r="E823" s="380" t="s">
        <v>768</v>
      </c>
      <c r="F823" s="380" t="s">
        <v>797</v>
      </c>
      <c r="G823" s="380" t="s">
        <v>1267</v>
      </c>
      <c r="H823" s="380" t="s">
        <v>771</v>
      </c>
      <c r="I823" s="380" t="s">
        <v>799</v>
      </c>
      <c r="J823" s="380" t="s">
        <v>773</v>
      </c>
      <c r="K823" s="381">
        <v>0.0</v>
      </c>
      <c r="L823" s="382">
        <v>1.0</v>
      </c>
    </row>
    <row r="824">
      <c r="A824" s="380" t="s">
        <v>1665</v>
      </c>
      <c r="B824" s="380" t="str">
        <f>IFERROR(__xludf.DUMMYFUNCTION("""COMPUTED_VALUE"""),"Insumos Varios Actividad Desar")</f>
        <v>Insumos Varios Actividad Desar</v>
      </c>
      <c r="C824" s="380" t="str">
        <f>IFERROR(__xludf.DUMMYFUNCTION("""COMPUTED_VALUE"""),"10000623")</f>
        <v>10000623</v>
      </c>
      <c r="D824" s="380" t="s">
        <v>767</v>
      </c>
      <c r="E824" s="380" t="s">
        <v>768</v>
      </c>
      <c r="F824" s="380" t="s">
        <v>797</v>
      </c>
      <c r="G824" s="380" t="s">
        <v>1267</v>
      </c>
      <c r="H824" s="380" t="s">
        <v>771</v>
      </c>
      <c r="I824" s="380" t="s">
        <v>799</v>
      </c>
      <c r="J824" s="380" t="s">
        <v>773</v>
      </c>
      <c r="K824" s="381">
        <v>0.0</v>
      </c>
      <c r="L824" s="382">
        <v>1.0</v>
      </c>
    </row>
    <row r="825">
      <c r="A825" s="380" t="s">
        <v>1666</v>
      </c>
      <c r="B825" s="380" t="str">
        <f>IFERROR(__xludf.DUMMYFUNCTION("""COMPUTED_VALUE"""),"Modulo De Estanteria Pesada En")</f>
        <v>Modulo De Estanteria Pesada En</v>
      </c>
      <c r="C825" s="380" t="str">
        <f>IFERROR(__xludf.DUMMYFUNCTION("""COMPUTED_VALUE"""),"10000625")</f>
        <v>10000625</v>
      </c>
      <c r="D825" s="380" t="s">
        <v>767</v>
      </c>
      <c r="E825" s="380" t="s">
        <v>768</v>
      </c>
      <c r="F825" s="380" t="s">
        <v>797</v>
      </c>
      <c r="G825" s="380" t="s">
        <v>1267</v>
      </c>
      <c r="H825" s="380" t="s">
        <v>771</v>
      </c>
      <c r="I825" s="380" t="s">
        <v>799</v>
      </c>
      <c r="J825" s="380" t="s">
        <v>773</v>
      </c>
      <c r="K825" s="381">
        <v>0.0</v>
      </c>
      <c r="L825" s="382">
        <v>1.0</v>
      </c>
    </row>
    <row r="826">
      <c r="A826" s="380" t="s">
        <v>1667</v>
      </c>
      <c r="B826" s="380" t="str">
        <f>IFERROR(__xludf.DUMMYFUNCTION("""COMPUTED_VALUE"""),"Termo 3.0 Litros Administrativ")</f>
        <v>Termo 3.0 Litros Administrativ</v>
      </c>
      <c r="C826" s="380" t="str">
        <f>IFERROR(__xludf.DUMMYFUNCTION("""COMPUTED_VALUE"""),"10000626")</f>
        <v>10000626</v>
      </c>
      <c r="D826" s="380" t="s">
        <v>767</v>
      </c>
      <c r="E826" s="380" t="s">
        <v>768</v>
      </c>
      <c r="F826" s="380" t="s">
        <v>803</v>
      </c>
      <c r="G826" s="380" t="s">
        <v>1267</v>
      </c>
      <c r="H826" s="380" t="s">
        <v>771</v>
      </c>
      <c r="I826" s="380" t="s">
        <v>772</v>
      </c>
      <c r="J826" s="380" t="s">
        <v>773</v>
      </c>
      <c r="K826" s="381">
        <v>0.0</v>
      </c>
      <c r="L826" s="382">
        <v>1.0</v>
      </c>
    </row>
    <row r="827">
      <c r="A827" s="380" t="s">
        <v>1668</v>
      </c>
      <c r="B827" s="380" t="str">
        <f>IFERROR(__xludf.DUMMYFUNCTION("""COMPUTED_VALUE"""),"Paral Estanteria Modular 1.94")</f>
        <v>Paral Estanteria Modular 1.94</v>
      </c>
      <c r="C827" s="380" t="str">
        <f>IFERROR(__xludf.DUMMYFUNCTION("""COMPUTED_VALUE"""),"10000627")</f>
        <v>10000627</v>
      </c>
      <c r="D827" s="380" t="s">
        <v>767</v>
      </c>
      <c r="E827" s="380" t="s">
        <v>768</v>
      </c>
      <c r="F827" s="380" t="s">
        <v>797</v>
      </c>
      <c r="G827" s="380" t="s">
        <v>1267</v>
      </c>
      <c r="H827" s="380" t="s">
        <v>771</v>
      </c>
      <c r="I827" s="380" t="s">
        <v>799</v>
      </c>
      <c r="J827" s="380" t="s">
        <v>773</v>
      </c>
      <c r="K827" s="381">
        <v>0.0</v>
      </c>
      <c r="L827" s="382">
        <v>1.0</v>
      </c>
    </row>
    <row r="828">
      <c r="A828" s="380" t="s">
        <v>1669</v>
      </c>
      <c r="B828" s="380" t="str">
        <f>IFERROR(__xludf.DUMMYFUNCTION("""COMPUTED_VALUE"""),"Papelera Vaiven De 9- 10 Litro")</f>
        <v>Papelera Vaiven De 9- 10 Litro</v>
      </c>
      <c r="C828" s="380" t="str">
        <f>IFERROR(__xludf.DUMMYFUNCTION("""COMPUTED_VALUE"""),"10000628")</f>
        <v>10000628</v>
      </c>
      <c r="D828" s="380" t="s">
        <v>767</v>
      </c>
      <c r="E828" s="380" t="s">
        <v>768</v>
      </c>
      <c r="F828" s="380" t="s">
        <v>769</v>
      </c>
      <c r="G828" s="380" t="s">
        <v>1267</v>
      </c>
      <c r="H828" s="380" t="s">
        <v>771</v>
      </c>
      <c r="I828" s="380" t="s">
        <v>772</v>
      </c>
      <c r="J828" s="380" t="s">
        <v>773</v>
      </c>
      <c r="K828" s="381">
        <v>21625.0</v>
      </c>
      <c r="L828" s="382">
        <v>1.0</v>
      </c>
    </row>
    <row r="829">
      <c r="A829" s="380" t="s">
        <v>1670</v>
      </c>
      <c r="B829" s="380" t="str">
        <f>IFERROR(__xludf.DUMMYFUNCTION("""COMPUTED_VALUE"""),"Jarra Vidrio Cafetera")</f>
        <v>Jarra Vidrio Cafetera</v>
      </c>
      <c r="C829" s="380" t="str">
        <f>IFERROR(__xludf.DUMMYFUNCTION("""COMPUTED_VALUE"""),"10000629")</f>
        <v>10000629</v>
      </c>
      <c r="D829" s="380" t="s">
        <v>767</v>
      </c>
      <c r="E829" s="380" t="s">
        <v>768</v>
      </c>
      <c r="F829" s="380" t="s">
        <v>803</v>
      </c>
      <c r="G829" s="380" t="s">
        <v>1267</v>
      </c>
      <c r="H829" s="380" t="s">
        <v>771</v>
      </c>
      <c r="I829" s="380" t="s">
        <v>772</v>
      </c>
      <c r="J829" s="380" t="s">
        <v>773</v>
      </c>
      <c r="K829" s="381">
        <v>0.0</v>
      </c>
      <c r="L829" s="382">
        <v>1.0</v>
      </c>
    </row>
    <row r="830">
      <c r="A830" s="380" t="s">
        <v>1671</v>
      </c>
      <c r="B830" s="380" t="str">
        <f>IFERROR(__xludf.DUMMYFUNCTION("""COMPUTED_VALUE"""),"Vasos De Cristal 9.8 Oz Gestió")</f>
        <v>Vasos De Cristal 9.8 Oz Gestió</v>
      </c>
      <c r="C830" s="380" t="str">
        <f>IFERROR(__xludf.DUMMYFUNCTION("""COMPUTED_VALUE"""),"10000630")</f>
        <v>10000630</v>
      </c>
      <c r="D830" s="380" t="s">
        <v>767</v>
      </c>
      <c r="E830" s="380" t="s">
        <v>768</v>
      </c>
      <c r="F830" s="380" t="s">
        <v>803</v>
      </c>
      <c r="G830" s="380" t="s">
        <v>1267</v>
      </c>
      <c r="H830" s="380" t="s">
        <v>771</v>
      </c>
      <c r="I830" s="380" t="s">
        <v>772</v>
      </c>
      <c r="J830" s="380" t="s">
        <v>773</v>
      </c>
      <c r="K830" s="381">
        <v>0.0</v>
      </c>
      <c r="L830" s="382">
        <v>1.0</v>
      </c>
    </row>
    <row r="831">
      <c r="A831" s="380" t="s">
        <v>1672</v>
      </c>
      <c r="B831" s="380" t="str">
        <f>IFERROR(__xludf.DUMMYFUNCTION("""COMPUTED_VALUE"""),"Papel Autoadhesivo Tamaño Cart")</f>
        <v>Papel Autoadhesivo Tamaño Cart</v>
      </c>
      <c r="C831" s="380" t="str">
        <f>IFERROR(__xludf.DUMMYFUNCTION("""COMPUTED_VALUE"""),"10000631")</f>
        <v>10000631</v>
      </c>
      <c r="D831" s="380" t="s">
        <v>767</v>
      </c>
      <c r="E831" s="380" t="s">
        <v>768</v>
      </c>
      <c r="F831" s="380" t="s">
        <v>797</v>
      </c>
      <c r="G831" s="380" t="s">
        <v>1267</v>
      </c>
      <c r="H831" s="380" t="s">
        <v>771</v>
      </c>
      <c r="I831" s="380" t="s">
        <v>799</v>
      </c>
      <c r="J831" s="380" t="s">
        <v>773</v>
      </c>
      <c r="K831" s="381">
        <v>0.0</v>
      </c>
      <c r="L831" s="382">
        <v>1.0</v>
      </c>
    </row>
    <row r="832">
      <c r="A832" s="380" t="s">
        <v>1673</v>
      </c>
      <c r="B832" s="380" t="str">
        <f>IFERROR(__xludf.DUMMYFUNCTION("""COMPUTED_VALUE"""),"Jugos Hit En Caja")</f>
        <v>Jugos Hit En Caja</v>
      </c>
      <c r="C832" s="380" t="str">
        <f>IFERROR(__xludf.DUMMYFUNCTION("""COMPUTED_VALUE"""),"10000632")</f>
        <v>10000632</v>
      </c>
      <c r="D832" s="380" t="s">
        <v>767</v>
      </c>
      <c r="E832" s="380" t="s">
        <v>768</v>
      </c>
      <c r="F832" s="380" t="s">
        <v>803</v>
      </c>
      <c r="G832" s="380" t="s">
        <v>1267</v>
      </c>
      <c r="H832" s="380" t="s">
        <v>771</v>
      </c>
      <c r="I832" s="380" t="s">
        <v>772</v>
      </c>
      <c r="J832" s="380" t="s">
        <v>773</v>
      </c>
      <c r="K832" s="381">
        <v>0.0</v>
      </c>
      <c r="L832" s="382">
        <v>1.0</v>
      </c>
    </row>
    <row r="833">
      <c r="A833" s="380" t="s">
        <v>1674</v>
      </c>
      <c r="B833" s="380" t="str">
        <f>IFERROR(__xludf.DUMMYFUNCTION("""COMPUTED_VALUE"""),"Gaseosa Caja X 30 De 250 Ml")</f>
        <v>Gaseosa Caja X 30 De 250 Ml</v>
      </c>
      <c r="C833" s="380" t="str">
        <f>IFERROR(__xludf.DUMMYFUNCTION("""COMPUTED_VALUE"""),"10000633")</f>
        <v>10000633</v>
      </c>
      <c r="D833" s="380" t="s">
        <v>767</v>
      </c>
      <c r="E833" s="380" t="s">
        <v>768</v>
      </c>
      <c r="F833" s="380" t="s">
        <v>803</v>
      </c>
      <c r="G833" s="380" t="s">
        <v>1267</v>
      </c>
      <c r="H833" s="380" t="s">
        <v>771</v>
      </c>
      <c r="I833" s="380" t="s">
        <v>772</v>
      </c>
      <c r="J833" s="380" t="s">
        <v>773</v>
      </c>
      <c r="K833" s="381">
        <v>0.0</v>
      </c>
      <c r="L833" s="382">
        <v>1.0</v>
      </c>
    </row>
    <row r="834">
      <c r="A834" s="380" t="s">
        <v>1675</v>
      </c>
      <c r="B834" s="380" t="str">
        <f>IFERROR(__xludf.DUMMYFUNCTION("""COMPUTED_VALUE"""),"Botellon Agua")</f>
        <v>Botellon Agua</v>
      </c>
      <c r="C834" s="380" t="str">
        <f>IFERROR(__xludf.DUMMYFUNCTION("""COMPUTED_VALUE"""),"10000634")</f>
        <v>10000634</v>
      </c>
      <c r="D834" s="380" t="s">
        <v>767</v>
      </c>
      <c r="E834" s="380" t="s">
        <v>768</v>
      </c>
      <c r="F834" s="380" t="s">
        <v>803</v>
      </c>
      <c r="G834" s="380" t="s">
        <v>1267</v>
      </c>
      <c r="H834" s="380" t="s">
        <v>771</v>
      </c>
      <c r="I834" s="380" t="s">
        <v>772</v>
      </c>
      <c r="J834" s="380" t="s">
        <v>773</v>
      </c>
      <c r="K834" s="381">
        <v>0.0</v>
      </c>
      <c r="L834" s="382">
        <v>1.0</v>
      </c>
    </row>
    <row r="835">
      <c r="A835" s="380" t="s">
        <v>1676</v>
      </c>
      <c r="B835" s="380" t="str">
        <f>IFERROR(__xludf.DUMMYFUNCTION("""COMPUTED_VALUE"""),"Grapadora Trabajo Pesado")</f>
        <v>Grapadora Trabajo Pesado</v>
      </c>
      <c r="C835" s="380" t="str">
        <f>IFERROR(__xludf.DUMMYFUNCTION("""COMPUTED_VALUE"""),"10000635")</f>
        <v>10000635</v>
      </c>
      <c r="D835" s="380" t="s">
        <v>767</v>
      </c>
      <c r="E835" s="380" t="s">
        <v>768</v>
      </c>
      <c r="F835" s="380" t="s">
        <v>797</v>
      </c>
      <c r="G835" s="380" t="s">
        <v>1267</v>
      </c>
      <c r="H835" s="380" t="s">
        <v>771</v>
      </c>
      <c r="I835" s="380" t="s">
        <v>799</v>
      </c>
      <c r="J835" s="380" t="s">
        <v>773</v>
      </c>
      <c r="K835" s="381">
        <v>0.0</v>
      </c>
      <c r="L835" s="382">
        <v>1.0</v>
      </c>
    </row>
    <row r="836">
      <c r="A836" s="380" t="s">
        <v>1677</v>
      </c>
      <c r="B836" s="380" t="str">
        <f>IFERROR(__xludf.DUMMYFUNCTION("""COMPUTED_VALUE"""),"Raid Mata Cucarachas")</f>
        <v>Raid Mata Cucarachas</v>
      </c>
      <c r="C836" s="380" t="str">
        <f>IFERROR(__xludf.DUMMYFUNCTION("""COMPUTED_VALUE"""),"10000636")</f>
        <v>10000636</v>
      </c>
      <c r="D836" s="380" t="s">
        <v>767</v>
      </c>
      <c r="E836" s="380" t="s">
        <v>768</v>
      </c>
      <c r="F836" s="380" t="s">
        <v>769</v>
      </c>
      <c r="G836" s="380" t="s">
        <v>1267</v>
      </c>
      <c r="H836" s="380" t="s">
        <v>771</v>
      </c>
      <c r="I836" s="380" t="s">
        <v>772</v>
      </c>
      <c r="J836" s="380" t="s">
        <v>773</v>
      </c>
      <c r="K836" s="381">
        <v>10317.0</v>
      </c>
      <c r="L836" s="382">
        <v>1.0</v>
      </c>
    </row>
    <row r="837">
      <c r="A837" s="380" t="s">
        <v>1678</v>
      </c>
      <c r="B837" s="380" t="str">
        <f>IFERROR(__xludf.DUMMYFUNCTION("""COMPUTED_VALUE"""),"Carros Paqueteros")</f>
        <v>Carros Paqueteros</v>
      </c>
      <c r="C837" s="380" t="str">
        <f>IFERROR(__xludf.DUMMYFUNCTION("""COMPUTED_VALUE"""),"10000637")</f>
        <v>10000637</v>
      </c>
      <c r="D837" s="380" t="s">
        <v>767</v>
      </c>
      <c r="E837" s="380" t="s">
        <v>768</v>
      </c>
      <c r="F837" s="380" t="s">
        <v>797</v>
      </c>
      <c r="G837" s="380" t="s">
        <v>1267</v>
      </c>
      <c r="H837" s="380" t="s">
        <v>771</v>
      </c>
      <c r="I837" s="380" t="s">
        <v>799</v>
      </c>
      <c r="J837" s="380" t="s">
        <v>773</v>
      </c>
      <c r="K837" s="381">
        <v>0.0</v>
      </c>
      <c r="L837" s="382">
        <v>1.0</v>
      </c>
    </row>
    <row r="838">
      <c r="A838" s="380" t="s">
        <v>1679</v>
      </c>
      <c r="B838" s="380" t="str">
        <f>IFERROR(__xludf.DUMMYFUNCTION("""COMPUTED_VALUE"""),"Rollo Adhesivo Transparente Co")</f>
        <v>Rollo Adhesivo Transparente Co</v>
      </c>
      <c r="C838" s="380" t="str">
        <f>IFERROR(__xludf.DUMMYFUNCTION("""COMPUTED_VALUE"""),"10000638")</f>
        <v>10000638</v>
      </c>
      <c r="D838" s="380" t="s">
        <v>767</v>
      </c>
      <c r="E838" s="380" t="s">
        <v>768</v>
      </c>
      <c r="F838" s="380" t="s">
        <v>797</v>
      </c>
      <c r="G838" s="380" t="s">
        <v>1267</v>
      </c>
      <c r="H838" s="380" t="s">
        <v>771</v>
      </c>
      <c r="I838" s="380" t="s">
        <v>799</v>
      </c>
      <c r="J838" s="380" t="s">
        <v>773</v>
      </c>
      <c r="K838" s="381">
        <v>0.0</v>
      </c>
      <c r="L838" s="382">
        <v>1.0</v>
      </c>
    </row>
    <row r="839">
      <c r="A839" s="380" t="s">
        <v>1680</v>
      </c>
      <c r="B839" s="380" t="str">
        <f>IFERROR(__xludf.DUMMYFUNCTION("""COMPUTED_VALUE"""),"Soporte Punto Ecologico Con Ca")</f>
        <v>Soporte Punto Ecologico Con Ca</v>
      </c>
      <c r="C839" s="380" t="str">
        <f>IFERROR(__xludf.DUMMYFUNCTION("""COMPUTED_VALUE"""),"10000639")</f>
        <v>10000639</v>
      </c>
      <c r="D839" s="380" t="s">
        <v>767</v>
      </c>
      <c r="E839" s="380" t="s">
        <v>768</v>
      </c>
      <c r="F839" s="380" t="s">
        <v>769</v>
      </c>
      <c r="G839" s="380" t="s">
        <v>1267</v>
      </c>
      <c r="H839" s="380" t="s">
        <v>771</v>
      </c>
      <c r="I839" s="380" t="s">
        <v>772</v>
      </c>
      <c r="J839" s="380" t="s">
        <v>773</v>
      </c>
      <c r="K839" s="381">
        <v>0.0</v>
      </c>
      <c r="L839" s="382">
        <v>1.0</v>
      </c>
    </row>
    <row r="840">
      <c r="A840" s="380" t="s">
        <v>1681</v>
      </c>
      <c r="B840" s="380" t="str">
        <f>IFERROR(__xludf.DUMMYFUNCTION("""COMPUTED_VALUE"""),"Isotanque Plastico 250 Galones")</f>
        <v>Isotanque Plastico 250 Galones</v>
      </c>
      <c r="C840" s="380" t="str">
        <f>IFERROR(__xludf.DUMMYFUNCTION("""COMPUTED_VALUE"""),"10000640")</f>
        <v>10000640</v>
      </c>
      <c r="D840" s="380" t="s">
        <v>767</v>
      </c>
      <c r="E840" s="380" t="s">
        <v>768</v>
      </c>
      <c r="F840" s="380" t="s">
        <v>797</v>
      </c>
      <c r="G840" s="380" t="s">
        <v>1267</v>
      </c>
      <c r="H840" s="380" t="s">
        <v>771</v>
      </c>
      <c r="I840" s="380" t="s">
        <v>799</v>
      </c>
      <c r="J840" s="380" t="s">
        <v>773</v>
      </c>
      <c r="K840" s="381">
        <v>0.0</v>
      </c>
      <c r="L840" s="382">
        <v>1.0</v>
      </c>
    </row>
    <row r="841">
      <c r="A841" s="380" t="s">
        <v>1682</v>
      </c>
      <c r="B841" s="380" t="str">
        <f>IFERROR(__xludf.DUMMYFUNCTION("""COMPUTED_VALUE"""),"Algodon Siliconado")</f>
        <v>Algodon Siliconado</v>
      </c>
      <c r="C841" s="380" t="str">
        <f>IFERROR(__xludf.DUMMYFUNCTION("""COMPUTED_VALUE"""),"10000641")</f>
        <v>10000641</v>
      </c>
      <c r="D841" s="380" t="s">
        <v>767</v>
      </c>
      <c r="E841" s="380" t="s">
        <v>768</v>
      </c>
      <c r="F841" s="380" t="s">
        <v>797</v>
      </c>
      <c r="G841" s="380" t="s">
        <v>1267</v>
      </c>
      <c r="H841" s="380" t="s">
        <v>771</v>
      </c>
      <c r="I841" s="380" t="s">
        <v>799</v>
      </c>
      <c r="J841" s="380" t="s">
        <v>773</v>
      </c>
      <c r="K841" s="381">
        <v>0.0</v>
      </c>
      <c r="L841" s="382">
        <v>1.0</v>
      </c>
    </row>
    <row r="842">
      <c r="A842" s="380" t="s">
        <v>1683</v>
      </c>
      <c r="B842" s="380" t="str">
        <f>IFERROR(__xludf.DUMMYFUNCTION("""COMPUTED_VALUE"""),"Mantenimiento Maquina Crispete")</f>
        <v>Mantenimiento Maquina Crispete</v>
      </c>
      <c r="C842" s="380" t="str">
        <f>IFERROR(__xludf.DUMMYFUNCTION("""COMPUTED_VALUE"""),"10000642")</f>
        <v>10000642</v>
      </c>
      <c r="D842" s="380" t="s">
        <v>767</v>
      </c>
      <c r="E842" s="380" t="s">
        <v>768</v>
      </c>
      <c r="F842" s="380" t="s">
        <v>797</v>
      </c>
      <c r="G842" s="380" t="s">
        <v>1267</v>
      </c>
      <c r="H842" s="380" t="s">
        <v>771</v>
      </c>
      <c r="I842" s="380" t="s">
        <v>799</v>
      </c>
      <c r="J842" s="380" t="s">
        <v>773</v>
      </c>
      <c r="K842" s="381">
        <v>0.0</v>
      </c>
      <c r="L842" s="382">
        <v>1.0</v>
      </c>
    </row>
    <row r="843">
      <c r="A843" s="380" t="s">
        <v>1684</v>
      </c>
      <c r="B843" s="380" t="str">
        <f>IFERROR(__xludf.DUMMYFUNCTION("""COMPUTED_VALUE"""),"Limpiador De Tablero Acrilico")</f>
        <v>Limpiador De Tablero Acrilico</v>
      </c>
      <c r="C843" s="380" t="str">
        <f>IFERROR(__xludf.DUMMYFUNCTION("""COMPUTED_VALUE"""),"10000643")</f>
        <v>10000643</v>
      </c>
      <c r="D843" s="380" t="s">
        <v>767</v>
      </c>
      <c r="E843" s="380" t="s">
        <v>768</v>
      </c>
      <c r="F843" s="380" t="s">
        <v>769</v>
      </c>
      <c r="G843" s="380" t="s">
        <v>1267</v>
      </c>
      <c r="H843" s="380" t="s">
        <v>771</v>
      </c>
      <c r="I843" s="380" t="s">
        <v>772</v>
      </c>
      <c r="J843" s="380" t="s">
        <v>773</v>
      </c>
      <c r="K843" s="381">
        <v>0.0</v>
      </c>
      <c r="L843" s="382">
        <v>1.0</v>
      </c>
    </row>
    <row r="844">
      <c r="A844" s="380" t="s">
        <v>1685</v>
      </c>
      <c r="B844" s="380" t="str">
        <f>IFERROR(__xludf.DUMMYFUNCTION("""COMPUTED_VALUE"""),"Caja Tipo Lonchera Desarrollo")</f>
        <v>Caja Tipo Lonchera Desarrollo</v>
      </c>
      <c r="C844" s="380" t="str">
        <f>IFERROR(__xludf.DUMMYFUNCTION("""COMPUTED_VALUE"""),"10000644")</f>
        <v>10000644</v>
      </c>
      <c r="D844" s="380" t="s">
        <v>767</v>
      </c>
      <c r="E844" s="380" t="s">
        <v>768</v>
      </c>
      <c r="F844" s="380" t="s">
        <v>797</v>
      </c>
      <c r="G844" s="380" t="s">
        <v>1267</v>
      </c>
      <c r="H844" s="380" t="s">
        <v>771</v>
      </c>
      <c r="I844" s="380" t="s">
        <v>799</v>
      </c>
      <c r="J844" s="380" t="s">
        <v>773</v>
      </c>
      <c r="K844" s="381">
        <v>0.0</v>
      </c>
      <c r="L844" s="382">
        <v>1.0</v>
      </c>
    </row>
    <row r="845">
      <c r="A845" s="380" t="s">
        <v>1686</v>
      </c>
      <c r="B845" s="380" t="str">
        <f>IFERROR(__xludf.DUMMYFUNCTION("""COMPUTED_VALUE"""),"Papel Celofan")</f>
        <v>Papel Celofan</v>
      </c>
      <c r="C845" s="380" t="str">
        <f>IFERROR(__xludf.DUMMYFUNCTION("""COMPUTED_VALUE"""),"10000645")</f>
        <v>10000645</v>
      </c>
      <c r="D845" s="380" t="s">
        <v>767</v>
      </c>
      <c r="E845" s="380" t="s">
        <v>768</v>
      </c>
      <c r="F845" s="380" t="s">
        <v>797</v>
      </c>
      <c r="G845" s="380" t="s">
        <v>1267</v>
      </c>
      <c r="H845" s="380" t="s">
        <v>771</v>
      </c>
      <c r="I845" s="380" t="s">
        <v>799</v>
      </c>
      <c r="J845" s="380" t="s">
        <v>773</v>
      </c>
      <c r="K845" s="381">
        <v>0.0</v>
      </c>
      <c r="L845" s="382">
        <v>1.0</v>
      </c>
    </row>
    <row r="846">
      <c r="A846" s="380" t="s">
        <v>1687</v>
      </c>
      <c r="B846" s="380" t="str">
        <f>IFERROR(__xludf.DUMMYFUNCTION("""COMPUTED_VALUE"""),"Plumigrafos Faber X 20")</f>
        <v>Plumigrafos Faber X 20</v>
      </c>
      <c r="C846" s="380" t="str">
        <f>IFERROR(__xludf.DUMMYFUNCTION("""COMPUTED_VALUE"""),"10000646")</f>
        <v>10000646</v>
      </c>
      <c r="D846" s="380" t="s">
        <v>767</v>
      </c>
      <c r="E846" s="380" t="s">
        <v>768</v>
      </c>
      <c r="F846" s="380" t="s">
        <v>797</v>
      </c>
      <c r="G846" s="380" t="s">
        <v>1267</v>
      </c>
      <c r="H846" s="380" t="s">
        <v>771</v>
      </c>
      <c r="I846" s="380" t="s">
        <v>799</v>
      </c>
      <c r="J846" s="380" t="s">
        <v>773</v>
      </c>
      <c r="K846" s="381">
        <v>0.0</v>
      </c>
      <c r="L846" s="382">
        <v>1.0</v>
      </c>
    </row>
    <row r="847">
      <c r="A847" s="380" t="s">
        <v>1688</v>
      </c>
      <c r="B847" s="380" t="str">
        <f>IFERROR(__xludf.DUMMYFUNCTION("""COMPUTED_VALUE"""),"Gaseosa Litron No Gravada")</f>
        <v>Gaseosa Litron No Gravada</v>
      </c>
      <c r="C847" s="380" t="str">
        <f>IFERROR(__xludf.DUMMYFUNCTION("""COMPUTED_VALUE"""),"10000647")</f>
        <v>10000647</v>
      </c>
      <c r="D847" s="380" t="s">
        <v>767</v>
      </c>
      <c r="E847" s="380" t="s">
        <v>768</v>
      </c>
      <c r="F847" s="380" t="s">
        <v>803</v>
      </c>
      <c r="G847" s="380" t="s">
        <v>1267</v>
      </c>
      <c r="H847" s="380" t="s">
        <v>771</v>
      </c>
      <c r="I847" s="380" t="s">
        <v>772</v>
      </c>
      <c r="J847" s="380" t="s">
        <v>773</v>
      </c>
      <c r="K847" s="381">
        <v>0.0</v>
      </c>
      <c r="L847" s="382">
        <v>1.0</v>
      </c>
    </row>
    <row r="848">
      <c r="A848" s="380" t="s">
        <v>1689</v>
      </c>
      <c r="B848" s="380" t="str">
        <f>IFERROR(__xludf.DUMMYFUNCTION("""COMPUTED_VALUE"""),"Tablero Acrilico Borrable 120x")</f>
        <v>Tablero Acrilico Borrable 120x</v>
      </c>
      <c r="C848" s="380" t="str">
        <f>IFERROR(__xludf.DUMMYFUNCTION("""COMPUTED_VALUE"""),"10000648")</f>
        <v>10000648</v>
      </c>
      <c r="D848" s="380" t="s">
        <v>767</v>
      </c>
      <c r="E848" s="380" t="s">
        <v>768</v>
      </c>
      <c r="F848" s="380" t="s">
        <v>797</v>
      </c>
      <c r="G848" s="380" t="s">
        <v>1267</v>
      </c>
      <c r="H848" s="380" t="s">
        <v>771</v>
      </c>
      <c r="I848" s="380" t="s">
        <v>799</v>
      </c>
      <c r="J848" s="380" t="s">
        <v>773</v>
      </c>
      <c r="K848" s="381">
        <v>0.0</v>
      </c>
      <c r="L848" s="382">
        <v>1.0</v>
      </c>
    </row>
    <row r="849">
      <c r="A849" s="380" t="s">
        <v>1690</v>
      </c>
      <c r="B849" s="380" t="str">
        <f>IFERROR(__xludf.DUMMYFUNCTION("""COMPUTED_VALUE"""),"Aro Cafeteras Electricas")</f>
        <v>Aro Cafeteras Electricas</v>
      </c>
      <c r="C849" s="380" t="str">
        <f>IFERROR(__xludf.DUMMYFUNCTION("""COMPUTED_VALUE"""),"10000650")</f>
        <v>10000650</v>
      </c>
      <c r="D849" s="380" t="s">
        <v>767</v>
      </c>
      <c r="E849" s="380" t="s">
        <v>768</v>
      </c>
      <c r="F849" s="380" t="s">
        <v>803</v>
      </c>
      <c r="G849" s="380" t="s">
        <v>1267</v>
      </c>
      <c r="H849" s="380" t="s">
        <v>771</v>
      </c>
      <c r="I849" s="380" t="s">
        <v>772</v>
      </c>
      <c r="J849" s="380" t="s">
        <v>773</v>
      </c>
      <c r="K849" s="381">
        <v>0.0</v>
      </c>
      <c r="L849" s="382">
        <v>1.0</v>
      </c>
    </row>
    <row r="850">
      <c r="A850" s="380" t="s">
        <v>1691</v>
      </c>
      <c r="B850" s="380" t="str">
        <f>IFERROR(__xludf.DUMMYFUNCTION("""COMPUTED_VALUE"""),"Tablero En Vidrio (Medidas Var")</f>
        <v>Tablero En Vidrio (Medidas Var</v>
      </c>
      <c r="C850" s="380" t="str">
        <f>IFERROR(__xludf.DUMMYFUNCTION("""COMPUTED_VALUE"""),"10000651")</f>
        <v>10000651</v>
      </c>
      <c r="D850" s="380" t="s">
        <v>767</v>
      </c>
      <c r="E850" s="380" t="s">
        <v>768</v>
      </c>
      <c r="F850" s="380" t="s">
        <v>797</v>
      </c>
      <c r="G850" s="380" t="s">
        <v>1267</v>
      </c>
      <c r="H850" s="380" t="s">
        <v>771</v>
      </c>
      <c r="I850" s="380" t="s">
        <v>799</v>
      </c>
      <c r="J850" s="380" t="s">
        <v>773</v>
      </c>
      <c r="K850" s="381">
        <v>0.0</v>
      </c>
      <c r="L850" s="382">
        <v>1.0</v>
      </c>
    </row>
    <row r="851">
      <c r="A851" s="380" t="s">
        <v>1692</v>
      </c>
      <c r="B851" s="380" t="str">
        <f>IFERROR(__xludf.DUMMYFUNCTION("""COMPUTED_VALUE"""),"Pita Por Rollo Para Dh")</f>
        <v>Pita Por Rollo Para Dh</v>
      </c>
      <c r="C851" s="380" t="str">
        <f>IFERROR(__xludf.DUMMYFUNCTION("""COMPUTED_VALUE"""),"10000652")</f>
        <v>10000652</v>
      </c>
      <c r="D851" s="380" t="s">
        <v>767</v>
      </c>
      <c r="E851" s="380" t="s">
        <v>768</v>
      </c>
      <c r="F851" s="380" t="s">
        <v>797</v>
      </c>
      <c r="G851" s="380" t="s">
        <v>1267</v>
      </c>
      <c r="H851" s="380" t="s">
        <v>771</v>
      </c>
      <c r="I851" s="380" t="s">
        <v>799</v>
      </c>
      <c r="J851" s="380" t="s">
        <v>773</v>
      </c>
      <c r="K851" s="381">
        <v>0.0</v>
      </c>
      <c r="L851" s="382">
        <v>1.0</v>
      </c>
    </row>
    <row r="852">
      <c r="A852" s="380" t="s">
        <v>1693</v>
      </c>
      <c r="B852" s="380" t="str">
        <f>IFERROR(__xludf.DUMMYFUNCTION("""COMPUTED_VALUE"""),"Panzer Herbicida 480")</f>
        <v>Panzer Herbicida 480</v>
      </c>
      <c r="C852" s="380" t="str">
        <f>IFERROR(__xludf.DUMMYFUNCTION("""COMPUTED_VALUE"""),"10000653")</f>
        <v>10000653</v>
      </c>
      <c r="D852" s="380" t="s">
        <v>767</v>
      </c>
      <c r="E852" s="380" t="s">
        <v>768</v>
      </c>
      <c r="F852" s="380" t="s">
        <v>769</v>
      </c>
      <c r="G852" s="380" t="s">
        <v>1267</v>
      </c>
      <c r="H852" s="380" t="s">
        <v>771</v>
      </c>
      <c r="I852" s="380" t="s">
        <v>772</v>
      </c>
      <c r="J852" s="380" t="s">
        <v>773</v>
      </c>
      <c r="K852" s="381">
        <v>0.0</v>
      </c>
      <c r="L852" s="382">
        <v>1.0</v>
      </c>
    </row>
    <row r="853">
      <c r="A853" s="380" t="s">
        <v>1694</v>
      </c>
      <c r="B853" s="380" t="str">
        <f>IFERROR(__xludf.DUMMYFUNCTION("""COMPUTED_VALUE"""),"Tarjetas Campaña Desarrollo Hu")</f>
        <v>Tarjetas Campaña Desarrollo Hu</v>
      </c>
      <c r="C853" s="380" t="str">
        <f>IFERROR(__xludf.DUMMYFUNCTION("""COMPUTED_VALUE"""),"10000654")</f>
        <v>10000654</v>
      </c>
      <c r="D853" s="380" t="s">
        <v>767</v>
      </c>
      <c r="E853" s="380" t="s">
        <v>768</v>
      </c>
      <c r="F853" s="380" t="s">
        <v>797</v>
      </c>
      <c r="G853" s="380" t="s">
        <v>1267</v>
      </c>
      <c r="H853" s="380" t="s">
        <v>771</v>
      </c>
      <c r="I853" s="380" t="s">
        <v>799</v>
      </c>
      <c r="J853" s="380" t="s">
        <v>773</v>
      </c>
      <c r="K853" s="381">
        <v>1102.0</v>
      </c>
      <c r="L853" s="382">
        <v>1.0</v>
      </c>
    </row>
    <row r="854">
      <c r="A854" s="380" t="s">
        <v>1695</v>
      </c>
      <c r="B854" s="380" t="str">
        <f>IFERROR(__xludf.DUMMYFUNCTION("""COMPUTED_VALUE"""),"Shampoo Para Autos Linea Insti")</f>
        <v>Shampoo Para Autos Linea Insti</v>
      </c>
      <c r="C854" s="380" t="str">
        <f>IFERROR(__xludf.DUMMYFUNCTION("""COMPUTED_VALUE"""),"10000656")</f>
        <v>10000656</v>
      </c>
      <c r="D854" s="380" t="s">
        <v>767</v>
      </c>
      <c r="E854" s="380" t="s">
        <v>768</v>
      </c>
      <c r="F854" s="380" t="s">
        <v>769</v>
      </c>
      <c r="G854" s="380" t="s">
        <v>1267</v>
      </c>
      <c r="H854" s="380" t="s">
        <v>771</v>
      </c>
      <c r="I854" s="380" t="s">
        <v>772</v>
      </c>
      <c r="J854" s="380" t="s">
        <v>773</v>
      </c>
      <c r="K854" s="381">
        <v>0.0</v>
      </c>
      <c r="L854" s="382">
        <v>1.0</v>
      </c>
    </row>
    <row r="855">
      <c r="A855" s="380" t="s">
        <v>1696</v>
      </c>
      <c r="B855" s="380" t="str">
        <f>IFERROR(__xludf.DUMMYFUNCTION("""COMPUTED_VALUE"""),"Contenedor Plastico 600 Litros")</f>
        <v>Contenedor Plastico 600 Litros</v>
      </c>
      <c r="C855" s="380" t="str">
        <f>IFERROR(__xludf.DUMMYFUNCTION("""COMPUTED_VALUE"""),"10000657")</f>
        <v>10000657</v>
      </c>
      <c r="D855" s="380" t="s">
        <v>767</v>
      </c>
      <c r="E855" s="380" t="s">
        <v>768</v>
      </c>
      <c r="F855" s="380" t="s">
        <v>797</v>
      </c>
      <c r="G855" s="380" t="s">
        <v>1267</v>
      </c>
      <c r="H855" s="380" t="s">
        <v>771</v>
      </c>
      <c r="I855" s="380" t="s">
        <v>799</v>
      </c>
      <c r="J855" s="380" t="s">
        <v>773</v>
      </c>
      <c r="K855" s="381">
        <v>0.0</v>
      </c>
      <c r="L855" s="382">
        <v>1.0</v>
      </c>
    </row>
    <row r="856">
      <c r="A856" s="380" t="s">
        <v>1697</v>
      </c>
      <c r="B856" s="380" t="str">
        <f>IFERROR(__xludf.DUMMYFUNCTION("""COMPUTED_VALUE"""),"Material Consurso Ventas")</f>
        <v>Material Consurso Ventas</v>
      </c>
      <c r="C856" s="380" t="str">
        <f>IFERROR(__xludf.DUMMYFUNCTION("""COMPUTED_VALUE"""),"10000658")</f>
        <v>10000658</v>
      </c>
      <c r="D856" s="380" t="s">
        <v>767</v>
      </c>
      <c r="E856" s="380" t="s">
        <v>768</v>
      </c>
      <c r="F856" s="380" t="s">
        <v>797</v>
      </c>
      <c r="G856" s="380" t="s">
        <v>1267</v>
      </c>
      <c r="H856" s="380" t="s">
        <v>771</v>
      </c>
      <c r="I856" s="380" t="s">
        <v>799</v>
      </c>
      <c r="J856" s="380" t="s">
        <v>773</v>
      </c>
      <c r="K856" s="381">
        <v>0.0</v>
      </c>
      <c r="L856" s="382">
        <v>1.0</v>
      </c>
    </row>
    <row r="857">
      <c r="A857" s="380" t="s">
        <v>1698</v>
      </c>
      <c r="B857" s="380" t="str">
        <f>IFERROR(__xludf.DUMMYFUNCTION("""COMPUTED_VALUE"""),"Rodamiento Rigido De Bolas")</f>
        <v>Rodamiento Rigido De Bolas</v>
      </c>
      <c r="C857" s="380" t="str">
        <f>IFERROR(__xludf.DUMMYFUNCTION("""COMPUTED_VALUE"""),"10000659")</f>
        <v>10000659</v>
      </c>
      <c r="D857" s="380" t="s">
        <v>767</v>
      </c>
      <c r="E857" s="380" t="s">
        <v>768</v>
      </c>
      <c r="F857" s="380" t="s">
        <v>797</v>
      </c>
      <c r="G857" s="380" t="s">
        <v>1267</v>
      </c>
      <c r="H857" s="380" t="s">
        <v>771</v>
      </c>
      <c r="I857" s="380" t="s">
        <v>799</v>
      </c>
      <c r="J857" s="380" t="s">
        <v>773</v>
      </c>
      <c r="K857" s="381">
        <v>0.0</v>
      </c>
      <c r="L857" s="382">
        <v>1.0</v>
      </c>
    </row>
    <row r="858">
      <c r="A858" s="380" t="s">
        <v>1699</v>
      </c>
      <c r="B858" s="380" t="str">
        <f>IFERROR(__xludf.DUMMYFUNCTION("""COMPUTED_VALUE"""),"Sello Personalizado Campaña De")</f>
        <v>Sello Personalizado Campaña De</v>
      </c>
      <c r="C858" s="380" t="str">
        <f>IFERROR(__xludf.DUMMYFUNCTION("""COMPUTED_VALUE"""),"10000660")</f>
        <v>10000660</v>
      </c>
      <c r="D858" s="380" t="s">
        <v>767</v>
      </c>
      <c r="E858" s="380" t="s">
        <v>768</v>
      </c>
      <c r="F858" s="380" t="s">
        <v>797</v>
      </c>
      <c r="G858" s="380" t="s">
        <v>1267</v>
      </c>
      <c r="H858" s="380" t="s">
        <v>771</v>
      </c>
      <c r="I858" s="380" t="s">
        <v>799</v>
      </c>
      <c r="J858" s="380" t="s">
        <v>773</v>
      </c>
      <c r="K858" s="381">
        <v>0.0</v>
      </c>
      <c r="L858" s="382">
        <v>1.0</v>
      </c>
    </row>
    <row r="859">
      <c r="A859" s="380" t="s">
        <v>1700</v>
      </c>
      <c r="B859" s="380" t="str">
        <f>IFERROR(__xludf.DUMMYFUNCTION("""COMPUTED_VALUE"""),"Mantel Blanco")</f>
        <v>Mantel Blanco</v>
      </c>
      <c r="C859" s="380" t="str">
        <f>IFERROR(__xludf.DUMMYFUNCTION("""COMPUTED_VALUE"""),"10000661")</f>
        <v>10000661</v>
      </c>
      <c r="D859" s="380" t="s">
        <v>767</v>
      </c>
      <c r="E859" s="380" t="s">
        <v>768</v>
      </c>
      <c r="F859" s="380" t="s">
        <v>803</v>
      </c>
      <c r="G859" s="380" t="s">
        <v>1267</v>
      </c>
      <c r="H859" s="380" t="s">
        <v>771</v>
      </c>
      <c r="I859" s="380" t="s">
        <v>772</v>
      </c>
      <c r="J859" s="380" t="s">
        <v>773</v>
      </c>
      <c r="K859" s="381">
        <v>0.0</v>
      </c>
      <c r="L859" s="382">
        <v>1.0</v>
      </c>
    </row>
    <row r="860">
      <c r="A860" s="380" t="s">
        <v>1701</v>
      </c>
      <c r="B860" s="380" t="str">
        <f>IFERROR(__xludf.DUMMYFUNCTION("""COMPUTED_VALUE"""),"Escobillon 24""")</f>
        <v>Escobillon 24"</v>
      </c>
      <c r="C860" s="380" t="str">
        <f>IFERROR(__xludf.DUMMYFUNCTION("""COMPUTED_VALUE"""),"10000662")</f>
        <v>10000662</v>
      </c>
      <c r="D860" s="380" t="s">
        <v>767</v>
      </c>
      <c r="E860" s="380" t="s">
        <v>768</v>
      </c>
      <c r="F860" s="380" t="s">
        <v>769</v>
      </c>
      <c r="G860" s="380" t="s">
        <v>1267</v>
      </c>
      <c r="H860" s="380" t="s">
        <v>771</v>
      </c>
      <c r="I860" s="380" t="s">
        <v>772</v>
      </c>
      <c r="J860" s="380" t="s">
        <v>773</v>
      </c>
      <c r="K860" s="381">
        <v>0.0</v>
      </c>
      <c r="L860" s="382">
        <v>1.0</v>
      </c>
    </row>
    <row r="861">
      <c r="A861" s="380" t="s">
        <v>1702</v>
      </c>
      <c r="B861" s="380" t="str">
        <f>IFERROR(__xludf.DUMMYFUNCTION("""COMPUTED_VALUE"""),"Folder Legajador Visor Largo O")</f>
        <v>Folder Legajador Visor Largo O</v>
      </c>
      <c r="C861" s="380" t="str">
        <f>IFERROR(__xludf.DUMMYFUNCTION("""COMPUTED_VALUE"""),"10000663")</f>
        <v>10000663</v>
      </c>
      <c r="D861" s="380" t="s">
        <v>767</v>
      </c>
      <c r="E861" s="380" t="s">
        <v>768</v>
      </c>
      <c r="F861" s="380" t="s">
        <v>797</v>
      </c>
      <c r="G861" s="380" t="s">
        <v>1267</v>
      </c>
      <c r="H861" s="380" t="s">
        <v>771</v>
      </c>
      <c r="I861" s="380" t="s">
        <v>799</v>
      </c>
      <c r="J861" s="380" t="s">
        <v>773</v>
      </c>
      <c r="K861" s="381">
        <v>0.0</v>
      </c>
      <c r="L861" s="382">
        <v>1.0</v>
      </c>
    </row>
    <row r="862">
      <c r="A862" s="380" t="s">
        <v>1703</v>
      </c>
      <c r="B862" s="380" t="str">
        <f>IFERROR(__xludf.DUMMYFUNCTION("""COMPUTED_VALUE"""),"Modulo De 9 Cuerpos Estanteria")</f>
        <v>Modulo De 9 Cuerpos Estanteria</v>
      </c>
      <c r="C862" s="380" t="str">
        <f>IFERROR(__xludf.DUMMYFUNCTION("""COMPUTED_VALUE"""),"10000664")</f>
        <v>10000664</v>
      </c>
      <c r="D862" s="380" t="s">
        <v>767</v>
      </c>
      <c r="E862" s="380" t="s">
        <v>768</v>
      </c>
      <c r="F862" s="380" t="s">
        <v>797</v>
      </c>
      <c r="G862" s="380" t="s">
        <v>1267</v>
      </c>
      <c r="H862" s="380" t="s">
        <v>771</v>
      </c>
      <c r="I862" s="380" t="s">
        <v>799</v>
      </c>
      <c r="J862" s="380" t="s">
        <v>773</v>
      </c>
      <c r="K862" s="381">
        <v>0.0</v>
      </c>
      <c r="L862" s="382">
        <v>1.0</v>
      </c>
    </row>
    <row r="863">
      <c r="A863" s="380" t="s">
        <v>1704</v>
      </c>
      <c r="B863" s="380" t="str">
        <f>IFERROR(__xludf.DUMMYFUNCTION("""COMPUTED_VALUE"""),"Rueda Motriz Transpaleta Eléct")</f>
        <v>Rueda Motriz Transpaleta Eléct</v>
      </c>
      <c r="C863" s="380" t="str">
        <f>IFERROR(__xludf.DUMMYFUNCTION("""COMPUTED_VALUE"""),"10000665")</f>
        <v>10000665</v>
      </c>
      <c r="D863" s="380" t="s">
        <v>767</v>
      </c>
      <c r="E863" s="380" t="s">
        <v>768</v>
      </c>
      <c r="F863" s="380" t="s">
        <v>797</v>
      </c>
      <c r="G863" s="380" t="s">
        <v>1267</v>
      </c>
      <c r="H863" s="380" t="s">
        <v>771</v>
      </c>
      <c r="I863" s="380" t="s">
        <v>799</v>
      </c>
      <c r="J863" s="380" t="s">
        <v>773</v>
      </c>
      <c r="K863" s="381">
        <v>0.0</v>
      </c>
      <c r="L863" s="382">
        <v>1.0</v>
      </c>
    </row>
    <row r="864">
      <c r="A864" s="380" t="s">
        <v>1705</v>
      </c>
      <c r="B864" s="380" t="str">
        <f>IFERROR(__xludf.DUMMYFUNCTION("""COMPUTED_VALUE"""),"Tuerca Rueda Transpaleta Eléct")</f>
        <v>Tuerca Rueda Transpaleta Eléct</v>
      </c>
      <c r="C864" s="380" t="str">
        <f>IFERROR(__xludf.DUMMYFUNCTION("""COMPUTED_VALUE"""),"10000666")</f>
        <v>10000666</v>
      </c>
      <c r="D864" s="380" t="s">
        <v>767</v>
      </c>
      <c r="E864" s="380" t="s">
        <v>768</v>
      </c>
      <c r="F864" s="380" t="s">
        <v>797</v>
      </c>
      <c r="G864" s="380" t="s">
        <v>1267</v>
      </c>
      <c r="H864" s="380" t="s">
        <v>771</v>
      </c>
      <c r="I864" s="380" t="s">
        <v>799</v>
      </c>
      <c r="J864" s="380" t="s">
        <v>773</v>
      </c>
      <c r="K864" s="381">
        <v>0.0</v>
      </c>
      <c r="L864" s="382">
        <v>1.0</v>
      </c>
    </row>
    <row r="865">
      <c r="A865" s="380" t="s">
        <v>1706</v>
      </c>
      <c r="B865" s="380" t="str">
        <f>IFERROR(__xludf.DUMMYFUNCTION("""COMPUTED_VALUE"""),"Swich De Llaves Transpaleta El")</f>
        <v>Swich De Llaves Transpaleta El</v>
      </c>
      <c r="C865" s="380" t="str">
        <f>IFERROR(__xludf.DUMMYFUNCTION("""COMPUTED_VALUE"""),"10000667")</f>
        <v>10000667</v>
      </c>
      <c r="D865" s="380" t="s">
        <v>767</v>
      </c>
      <c r="E865" s="380" t="s">
        <v>768</v>
      </c>
      <c r="F865" s="380" t="s">
        <v>797</v>
      </c>
      <c r="G865" s="380" t="s">
        <v>1267</v>
      </c>
      <c r="H865" s="380" t="s">
        <v>771</v>
      </c>
      <c r="I865" s="380" t="s">
        <v>799</v>
      </c>
      <c r="J865" s="380" t="s">
        <v>773</v>
      </c>
      <c r="K865" s="381">
        <v>0.0</v>
      </c>
      <c r="L865" s="382">
        <v>1.0</v>
      </c>
    </row>
    <row r="866">
      <c r="A866" s="380" t="s">
        <v>1707</v>
      </c>
      <c r="B866" s="380" t="str">
        <f>IFERROR(__xludf.DUMMYFUNCTION("""COMPUTED_VALUE"""),"Eje Rueda De Carga Transpaleta")</f>
        <v>Eje Rueda De Carga Transpaleta</v>
      </c>
      <c r="C866" s="380" t="str">
        <f>IFERROR(__xludf.DUMMYFUNCTION("""COMPUTED_VALUE"""),"10000668")</f>
        <v>10000668</v>
      </c>
      <c r="D866" s="380" t="s">
        <v>767</v>
      </c>
      <c r="E866" s="380" t="s">
        <v>768</v>
      </c>
      <c r="F866" s="380" t="s">
        <v>797</v>
      </c>
      <c r="G866" s="380" t="s">
        <v>1267</v>
      </c>
      <c r="H866" s="380" t="s">
        <v>771</v>
      </c>
      <c r="I866" s="380" t="s">
        <v>799</v>
      </c>
      <c r="J866" s="380" t="s">
        <v>773</v>
      </c>
      <c r="K866" s="381">
        <v>0.0</v>
      </c>
      <c r="L866" s="382">
        <v>1.0</v>
      </c>
    </row>
    <row r="867">
      <c r="A867" s="380" t="s">
        <v>1708</v>
      </c>
      <c r="B867" s="380" t="str">
        <f>IFERROR(__xludf.DUMMYFUNCTION("""COMPUTED_VALUE"""),"Rueda De Carga 85*100 Transpal")</f>
        <v>Rueda De Carga 85*100 Transpal</v>
      </c>
      <c r="C867" s="380" t="str">
        <f>IFERROR(__xludf.DUMMYFUNCTION("""COMPUTED_VALUE"""),"10000669")</f>
        <v>10000669</v>
      </c>
      <c r="D867" s="380" t="s">
        <v>767</v>
      </c>
      <c r="E867" s="380" t="s">
        <v>768</v>
      </c>
      <c r="F867" s="380" t="s">
        <v>797</v>
      </c>
      <c r="G867" s="380" t="s">
        <v>1267</v>
      </c>
      <c r="H867" s="380" t="s">
        <v>771</v>
      </c>
      <c r="I867" s="380" t="s">
        <v>799</v>
      </c>
      <c r="J867" s="380" t="s">
        <v>773</v>
      </c>
      <c r="K867" s="381">
        <v>0.0</v>
      </c>
      <c r="L867" s="382">
        <v>1.0</v>
      </c>
    </row>
    <row r="868">
      <c r="A868" s="380" t="s">
        <v>1709</v>
      </c>
      <c r="B868" s="380" t="str">
        <f>IFERROR(__xludf.DUMMYFUNCTION("""COMPUTED_VALUE"""),"Sensor Plataforma Transpaleta")</f>
        <v>Sensor Plataforma Transpaleta</v>
      </c>
      <c r="C868" s="380" t="str">
        <f>IFERROR(__xludf.DUMMYFUNCTION("""COMPUTED_VALUE"""),"10000670")</f>
        <v>10000670</v>
      </c>
      <c r="D868" s="380" t="s">
        <v>767</v>
      </c>
      <c r="E868" s="380" t="s">
        <v>768</v>
      </c>
      <c r="F868" s="380" t="s">
        <v>797</v>
      </c>
      <c r="G868" s="380" t="s">
        <v>1267</v>
      </c>
      <c r="H868" s="380" t="s">
        <v>771</v>
      </c>
      <c r="I868" s="380" t="s">
        <v>799</v>
      </c>
      <c r="J868" s="380" t="s">
        <v>773</v>
      </c>
      <c r="K868" s="381">
        <v>0.0</v>
      </c>
      <c r="L868" s="382">
        <v>1.0</v>
      </c>
    </row>
    <row r="869">
      <c r="A869" s="380" t="s">
        <v>1710</v>
      </c>
      <c r="B869" s="380" t="str">
        <f>IFERROR(__xludf.DUMMYFUNCTION("""COMPUTED_VALUE"""),"Contactor 24v Transpaleta Elec")</f>
        <v>Contactor 24v Transpaleta Elec</v>
      </c>
      <c r="C869" s="380" t="str">
        <f>IFERROR(__xludf.DUMMYFUNCTION("""COMPUTED_VALUE"""),"10000671")</f>
        <v>10000671</v>
      </c>
      <c r="D869" s="380" t="s">
        <v>767</v>
      </c>
      <c r="E869" s="380" t="s">
        <v>768</v>
      </c>
      <c r="F869" s="380" t="s">
        <v>797</v>
      </c>
      <c r="G869" s="380" t="s">
        <v>1267</v>
      </c>
      <c r="H869" s="380" t="s">
        <v>771</v>
      </c>
      <c r="I869" s="380" t="s">
        <v>799</v>
      </c>
      <c r="J869" s="380" t="s">
        <v>773</v>
      </c>
      <c r="K869" s="381">
        <v>0.0</v>
      </c>
      <c r="L869" s="382">
        <v>1.0</v>
      </c>
    </row>
    <row r="870">
      <c r="A870" s="380" t="s">
        <v>1711</v>
      </c>
      <c r="B870" s="380" t="str">
        <f>IFERROR(__xludf.DUMMYFUNCTION("""COMPUTED_VALUE"""),"Rueda De Apoyo Transpaleta Ele")</f>
        <v>Rueda De Apoyo Transpaleta Ele</v>
      </c>
      <c r="C870" s="380" t="str">
        <f>IFERROR(__xludf.DUMMYFUNCTION("""COMPUTED_VALUE"""),"10000672")</f>
        <v>10000672</v>
      </c>
      <c r="D870" s="380" t="s">
        <v>767</v>
      </c>
      <c r="E870" s="380" t="s">
        <v>768</v>
      </c>
      <c r="F870" s="380" t="s">
        <v>797</v>
      </c>
      <c r="G870" s="380" t="s">
        <v>1267</v>
      </c>
      <c r="H870" s="380" t="s">
        <v>771</v>
      </c>
      <c r="I870" s="380" t="s">
        <v>799</v>
      </c>
      <c r="J870" s="380" t="s">
        <v>773</v>
      </c>
      <c r="K870" s="381">
        <v>0.0</v>
      </c>
      <c r="L870" s="382">
        <v>1.0</v>
      </c>
    </row>
    <row r="871">
      <c r="A871" s="380" t="s">
        <v>1712</v>
      </c>
      <c r="B871" s="380" t="str">
        <f>IFERROR(__xludf.DUMMYFUNCTION("""COMPUTED_VALUE"""),"Cableado Sensores Transpaleta")</f>
        <v>Cableado Sensores Transpaleta</v>
      </c>
      <c r="C871" s="380" t="str">
        <f>IFERROR(__xludf.DUMMYFUNCTION("""COMPUTED_VALUE"""),"10000673")</f>
        <v>10000673</v>
      </c>
      <c r="D871" s="380" t="s">
        <v>767</v>
      </c>
      <c r="E871" s="380" t="s">
        <v>768</v>
      </c>
      <c r="F871" s="380" t="s">
        <v>797</v>
      </c>
      <c r="G871" s="380" t="s">
        <v>1267</v>
      </c>
      <c r="H871" s="380" t="s">
        <v>771</v>
      </c>
      <c r="I871" s="380" t="s">
        <v>799</v>
      </c>
      <c r="J871" s="380" t="s">
        <v>773</v>
      </c>
      <c r="K871" s="381">
        <v>0.0</v>
      </c>
      <c r="L871" s="382">
        <v>1.0</v>
      </c>
    </row>
    <row r="872">
      <c r="A872" s="380" t="s">
        <v>1713</v>
      </c>
      <c r="B872" s="380" t="str">
        <f>IFERROR(__xludf.DUMMYFUNCTION("""COMPUTED_VALUE"""),"Rodamiento Transpaleta Electri")</f>
        <v>Rodamiento Transpaleta Electri</v>
      </c>
      <c r="C872" s="380" t="str">
        <f>IFERROR(__xludf.DUMMYFUNCTION("""COMPUTED_VALUE"""),"10000674")</f>
        <v>10000674</v>
      </c>
      <c r="D872" s="380" t="s">
        <v>767</v>
      </c>
      <c r="E872" s="380" t="s">
        <v>768</v>
      </c>
      <c r="F872" s="380" t="s">
        <v>797</v>
      </c>
      <c r="G872" s="380" t="s">
        <v>1267</v>
      </c>
      <c r="H872" s="380" t="s">
        <v>771</v>
      </c>
      <c r="I872" s="380" t="s">
        <v>799</v>
      </c>
      <c r="J872" s="380" t="s">
        <v>773</v>
      </c>
      <c r="K872" s="381">
        <v>0.0</v>
      </c>
      <c r="L872" s="382">
        <v>1.0</v>
      </c>
    </row>
    <row r="873">
      <c r="A873" s="380" t="s">
        <v>1714</v>
      </c>
      <c r="B873" s="380" t="str">
        <f>IFERROR(__xludf.DUMMYFUNCTION("""COMPUTED_VALUE"""),"Amortigudor De Lanza Transpale")</f>
        <v>Amortigudor De Lanza Transpale</v>
      </c>
      <c r="C873" s="380" t="str">
        <f>IFERROR(__xludf.DUMMYFUNCTION("""COMPUTED_VALUE"""),"10000675")</f>
        <v>10000675</v>
      </c>
      <c r="D873" s="380" t="s">
        <v>767</v>
      </c>
      <c r="E873" s="380" t="s">
        <v>768</v>
      </c>
      <c r="F873" s="380" t="s">
        <v>797</v>
      </c>
      <c r="G873" s="380" t="s">
        <v>1267</v>
      </c>
      <c r="H873" s="380" t="s">
        <v>771</v>
      </c>
      <c r="I873" s="380" t="s">
        <v>799</v>
      </c>
      <c r="J873" s="380" t="s">
        <v>773</v>
      </c>
      <c r="K873" s="381">
        <v>0.0</v>
      </c>
      <c r="L873" s="382">
        <v>1.0</v>
      </c>
    </row>
    <row r="874">
      <c r="A874" s="380" t="s">
        <v>1715</v>
      </c>
      <c r="B874" s="380" t="str">
        <f>IFERROR(__xludf.DUMMYFUNCTION("""COMPUTED_VALUE"""),"Tubo Aspersor Acero Inox 3/4""")</f>
        <v>Tubo Aspersor Acero Inox 3/4"</v>
      </c>
      <c r="C874" s="380" t="str">
        <f>IFERROR(__xludf.DUMMYFUNCTION("""COMPUTED_VALUE"""),"10000676")</f>
        <v>10000676</v>
      </c>
      <c r="D874" s="380" t="s">
        <v>767</v>
      </c>
      <c r="E874" s="380" t="s">
        <v>768</v>
      </c>
      <c r="F874" s="380" t="s">
        <v>797</v>
      </c>
      <c r="G874" s="380" t="s">
        <v>1267</v>
      </c>
      <c r="H874" s="380" t="s">
        <v>771</v>
      </c>
      <c r="I874" s="380" t="s">
        <v>799</v>
      </c>
      <c r="J874" s="380" t="s">
        <v>773</v>
      </c>
      <c r="K874" s="381">
        <v>0.0</v>
      </c>
      <c r="L874" s="382">
        <v>1.0</v>
      </c>
    </row>
    <row r="875">
      <c r="A875" s="380" t="s">
        <v>1716</v>
      </c>
      <c r="B875" s="380" t="str">
        <f>IFERROR(__xludf.DUMMYFUNCTION("""COMPUTED_VALUE"""),"Rollo Etiquetas Impresora Brot")</f>
        <v>Rollo Etiquetas Impresora Brot</v>
      </c>
      <c r="C875" s="380" t="str">
        <f>IFERROR(__xludf.DUMMYFUNCTION("""COMPUTED_VALUE"""),"10000677")</f>
        <v>10000677</v>
      </c>
      <c r="D875" s="380" t="s">
        <v>767</v>
      </c>
      <c r="E875" s="380" t="s">
        <v>768</v>
      </c>
      <c r="F875" s="380" t="s">
        <v>797</v>
      </c>
      <c r="G875" s="380" t="s">
        <v>1267</v>
      </c>
      <c r="H875" s="380" t="s">
        <v>771</v>
      </c>
      <c r="I875" s="380" t="s">
        <v>799</v>
      </c>
      <c r="J875" s="380" t="s">
        <v>773</v>
      </c>
      <c r="K875" s="381">
        <v>0.0</v>
      </c>
      <c r="L875" s="382">
        <v>1.0</v>
      </c>
    </row>
    <row r="876">
      <c r="A876" s="380" t="s">
        <v>1717</v>
      </c>
      <c r="B876" s="380" t="str">
        <f>IFERROR(__xludf.DUMMYFUNCTION("""COMPUTED_VALUE"""),"Cinta Par Impresora Epson Erc")</f>
        <v>Cinta Par Impresora Epson Erc</v>
      </c>
      <c r="C876" s="380" t="str">
        <f>IFERROR(__xludf.DUMMYFUNCTION("""COMPUTED_VALUE"""),"10000678")</f>
        <v>10000678</v>
      </c>
      <c r="D876" s="380" t="s">
        <v>767</v>
      </c>
      <c r="E876" s="380" t="s">
        <v>768</v>
      </c>
      <c r="F876" s="380" t="s">
        <v>797</v>
      </c>
      <c r="G876" s="380" t="s">
        <v>1267</v>
      </c>
      <c r="H876" s="380" t="s">
        <v>771</v>
      </c>
      <c r="I876" s="380" t="s">
        <v>799</v>
      </c>
      <c r="J876" s="380" t="s">
        <v>773</v>
      </c>
      <c r="K876" s="381">
        <v>0.0</v>
      </c>
      <c r="L876" s="382">
        <v>1.0</v>
      </c>
    </row>
    <row r="877">
      <c r="A877" s="380" t="s">
        <v>1718</v>
      </c>
      <c r="B877" s="380" t="str">
        <f>IFERROR(__xludf.DUMMYFUNCTION("""COMPUTED_VALUE"""),"Perforadora Industrial Reparad")</f>
        <v>Perforadora Industrial Reparad</v>
      </c>
      <c r="C877" s="380" t="str">
        <f>IFERROR(__xludf.DUMMYFUNCTION("""COMPUTED_VALUE"""),"10000679")</f>
        <v>10000679</v>
      </c>
      <c r="D877" s="380" t="s">
        <v>767</v>
      </c>
      <c r="E877" s="380" t="s">
        <v>768</v>
      </c>
      <c r="F877" s="380" t="s">
        <v>797</v>
      </c>
      <c r="G877" s="380" t="s">
        <v>1267</v>
      </c>
      <c r="H877" s="380" t="s">
        <v>771</v>
      </c>
      <c r="I877" s="380" t="s">
        <v>799</v>
      </c>
      <c r="J877" s="380" t="s">
        <v>773</v>
      </c>
      <c r="K877" s="381">
        <v>0.0</v>
      </c>
      <c r="L877" s="382">
        <v>1.0</v>
      </c>
    </row>
    <row r="878">
      <c r="A878" s="380" t="s">
        <v>1719</v>
      </c>
      <c r="B878" s="380" t="str">
        <f>IFERROR(__xludf.DUMMYFUNCTION("""COMPUTED_VALUE"""),"Sobremantel Azul")</f>
        <v>Sobremantel Azul</v>
      </c>
      <c r="C878" s="380" t="str">
        <f>IFERROR(__xludf.DUMMYFUNCTION("""COMPUTED_VALUE"""),"10000680")</f>
        <v>10000680</v>
      </c>
      <c r="D878" s="380" t="s">
        <v>767</v>
      </c>
      <c r="E878" s="380" t="s">
        <v>768</v>
      </c>
      <c r="F878" s="380" t="s">
        <v>803</v>
      </c>
      <c r="G878" s="380" t="s">
        <v>1267</v>
      </c>
      <c r="H878" s="380" t="s">
        <v>771</v>
      </c>
      <c r="I878" s="380" t="s">
        <v>772</v>
      </c>
      <c r="J878" s="380" t="s">
        <v>773</v>
      </c>
      <c r="K878" s="381">
        <v>0.0</v>
      </c>
      <c r="L878" s="382">
        <v>1.0</v>
      </c>
    </row>
    <row r="879">
      <c r="A879" s="380" t="s">
        <v>1720</v>
      </c>
      <c r="B879" s="380" t="str">
        <f>IFERROR(__xludf.DUMMYFUNCTION("""COMPUTED_VALUE"""),"Rollo 1.000 Etiquetas Codigo D")</f>
        <v>Rollo 1.000 Etiquetas Codigo D</v>
      </c>
      <c r="C879" s="380" t="str">
        <f>IFERROR(__xludf.DUMMYFUNCTION("""COMPUTED_VALUE"""),"10000681")</f>
        <v>10000681</v>
      </c>
      <c r="D879" s="380" t="s">
        <v>767</v>
      </c>
      <c r="E879" s="380" t="s">
        <v>768</v>
      </c>
      <c r="F879" s="380" t="s">
        <v>797</v>
      </c>
      <c r="G879" s="380" t="s">
        <v>1267</v>
      </c>
      <c r="H879" s="380" t="s">
        <v>771</v>
      </c>
      <c r="I879" s="380" t="s">
        <v>799</v>
      </c>
      <c r="J879" s="380" t="s">
        <v>773</v>
      </c>
      <c r="K879" s="381">
        <v>0.0</v>
      </c>
      <c r="L879" s="382">
        <v>1.0</v>
      </c>
    </row>
    <row r="880">
      <c r="A880" s="380" t="s">
        <v>1721</v>
      </c>
      <c r="B880" s="380" t="str">
        <f>IFERROR(__xludf.DUMMYFUNCTION("""COMPUTED_VALUE"""),"Toner Hp Laser Jet Pro M102w")</f>
        <v>Toner Hp Laser Jet Pro M102w</v>
      </c>
      <c r="C880" s="380" t="str">
        <f>IFERROR(__xludf.DUMMYFUNCTION("""COMPUTED_VALUE"""),"10000682")</f>
        <v>10000682</v>
      </c>
      <c r="D880" s="380" t="s">
        <v>767</v>
      </c>
      <c r="E880" s="380" t="s">
        <v>768</v>
      </c>
      <c r="F880" s="380" t="s">
        <v>797</v>
      </c>
      <c r="G880" s="380" t="s">
        <v>1267</v>
      </c>
      <c r="H880" s="380" t="s">
        <v>771</v>
      </c>
      <c r="I880" s="380" t="s">
        <v>799</v>
      </c>
      <c r="J880" s="380" t="s">
        <v>773</v>
      </c>
      <c r="K880" s="381">
        <v>0.0</v>
      </c>
      <c r="L880" s="382">
        <v>1.0</v>
      </c>
    </row>
    <row r="881">
      <c r="A881" s="380" t="s">
        <v>1722</v>
      </c>
      <c r="B881" s="380" t="str">
        <f>IFERROR(__xludf.DUMMYFUNCTION("""COMPUTED_VALUE"""),"Sobre Carta Blanco Con Ventani")</f>
        <v>Sobre Carta Blanco Con Ventani</v>
      </c>
      <c r="C881" s="380" t="str">
        <f>IFERROR(__xludf.DUMMYFUNCTION("""COMPUTED_VALUE"""),"10000683")</f>
        <v>10000683</v>
      </c>
      <c r="D881" s="380" t="s">
        <v>767</v>
      </c>
      <c r="E881" s="380" t="s">
        <v>768</v>
      </c>
      <c r="F881" s="380" t="s">
        <v>797</v>
      </c>
      <c r="G881" s="380" t="s">
        <v>1267</v>
      </c>
      <c r="H881" s="380" t="s">
        <v>771</v>
      </c>
      <c r="I881" s="380" t="s">
        <v>799</v>
      </c>
      <c r="J881" s="380" t="s">
        <v>773</v>
      </c>
      <c r="K881" s="381">
        <v>0.0</v>
      </c>
      <c r="L881" s="382">
        <v>1.0</v>
      </c>
    </row>
    <row r="882">
      <c r="A882" s="380" t="s">
        <v>1723</v>
      </c>
      <c r="B882" s="380" t="str">
        <f>IFERROR(__xludf.DUMMYFUNCTION("""COMPUTED_VALUE"""),"Limpiapisos X Galon")</f>
        <v>Limpiapisos X Galon</v>
      </c>
      <c r="C882" s="380" t="str">
        <f>IFERROR(__xludf.DUMMYFUNCTION("""COMPUTED_VALUE"""),"10000684")</f>
        <v>10000684</v>
      </c>
      <c r="D882" s="380" t="s">
        <v>767</v>
      </c>
      <c r="E882" s="380" t="s">
        <v>768</v>
      </c>
      <c r="F882" s="380" t="s">
        <v>769</v>
      </c>
      <c r="G882" s="380" t="s">
        <v>1267</v>
      </c>
      <c r="H882" s="380" t="s">
        <v>771</v>
      </c>
      <c r="I882" s="380" t="s">
        <v>772</v>
      </c>
      <c r="J882" s="380" t="s">
        <v>773</v>
      </c>
      <c r="K882" s="381">
        <v>0.0</v>
      </c>
      <c r="L882" s="382">
        <v>1.0</v>
      </c>
    </row>
    <row r="883">
      <c r="A883" s="380" t="s">
        <v>1724</v>
      </c>
      <c r="B883" s="380" t="str">
        <f>IFERROR(__xludf.DUMMYFUNCTION("""COMPUTED_VALUE"""),"Mantenimiento Fuente De Agua")</f>
        <v>Mantenimiento Fuente De Agua</v>
      </c>
      <c r="C883" s="380" t="str">
        <f>IFERROR(__xludf.DUMMYFUNCTION("""COMPUTED_VALUE"""),"10000685")</f>
        <v>10000685</v>
      </c>
      <c r="D883" s="380" t="s">
        <v>767</v>
      </c>
      <c r="E883" s="380" t="s">
        <v>768</v>
      </c>
      <c r="F883" s="380" t="s">
        <v>797</v>
      </c>
      <c r="G883" s="380" t="s">
        <v>1267</v>
      </c>
      <c r="H883" s="380" t="s">
        <v>771</v>
      </c>
      <c r="I883" s="380" t="s">
        <v>799</v>
      </c>
      <c r="J883" s="380" t="s">
        <v>773</v>
      </c>
      <c r="K883" s="381">
        <v>0.0</v>
      </c>
      <c r="L883" s="382">
        <v>1.0</v>
      </c>
    </row>
    <row r="884">
      <c r="A884" s="380" t="s">
        <v>1725</v>
      </c>
      <c r="B884" s="380" t="str">
        <f>IFERROR(__xludf.DUMMYFUNCTION("""COMPUTED_VALUE"""),"Cinta Epson 8750 - 2")</f>
        <v>Cinta Epson 8750 - 2</v>
      </c>
      <c r="C884" s="380" t="str">
        <f>IFERROR(__xludf.DUMMYFUNCTION("""COMPUTED_VALUE"""),"10000686")</f>
        <v>10000686</v>
      </c>
      <c r="D884" s="380" t="s">
        <v>767</v>
      </c>
      <c r="E884" s="380" t="s">
        <v>768</v>
      </c>
      <c r="F884" s="380" t="s">
        <v>797</v>
      </c>
      <c r="G884" s="380" t="s">
        <v>1267</v>
      </c>
      <c r="H884" s="380" t="s">
        <v>771</v>
      </c>
      <c r="I884" s="380" t="s">
        <v>799</v>
      </c>
      <c r="J884" s="380" t="s">
        <v>773</v>
      </c>
      <c r="K884" s="381">
        <v>0.0</v>
      </c>
      <c r="L884" s="382">
        <v>1.0</v>
      </c>
    </row>
    <row r="885">
      <c r="A885" s="380" t="s">
        <v>1726</v>
      </c>
      <c r="B885" s="380" t="str">
        <f>IFERROR(__xludf.DUMMYFUNCTION("""COMPUTED_VALUE"""),"Soporte Punto Ecologico Caneca")</f>
        <v>Soporte Punto Ecologico Caneca</v>
      </c>
      <c r="C885" s="380" t="str">
        <f>IFERROR(__xludf.DUMMYFUNCTION("""COMPUTED_VALUE"""),"10000687")</f>
        <v>10000687</v>
      </c>
      <c r="D885" s="380" t="s">
        <v>767</v>
      </c>
      <c r="E885" s="380" t="s">
        <v>768</v>
      </c>
      <c r="F885" s="380" t="s">
        <v>769</v>
      </c>
      <c r="G885" s="380" t="s">
        <v>1267</v>
      </c>
      <c r="H885" s="380" t="s">
        <v>771</v>
      </c>
      <c r="I885" s="380" t="s">
        <v>772</v>
      </c>
      <c r="J885" s="380" t="s">
        <v>773</v>
      </c>
      <c r="K885" s="381">
        <v>0.0</v>
      </c>
      <c r="L885" s="382">
        <v>1.0</v>
      </c>
    </row>
    <row r="886">
      <c r="A886" s="380" t="s">
        <v>1727</v>
      </c>
      <c r="B886" s="380" t="str">
        <f>IFERROR(__xludf.DUMMYFUNCTION("""COMPUTED_VALUE"""),"Papel Para Laminar")</f>
        <v>Papel Para Laminar</v>
      </c>
      <c r="C886" s="380" t="str">
        <f>IFERROR(__xludf.DUMMYFUNCTION("""COMPUTED_VALUE"""),"10000688")</f>
        <v>10000688</v>
      </c>
      <c r="D886" s="380" t="s">
        <v>767</v>
      </c>
      <c r="E886" s="380" t="s">
        <v>768</v>
      </c>
      <c r="F886" s="380" t="s">
        <v>797</v>
      </c>
      <c r="G886" s="380" t="s">
        <v>1267</v>
      </c>
      <c r="H886" s="380" t="s">
        <v>771</v>
      </c>
      <c r="I886" s="380" t="s">
        <v>799</v>
      </c>
      <c r="J886" s="380" t="s">
        <v>773</v>
      </c>
      <c r="K886" s="381">
        <v>0.0</v>
      </c>
      <c r="L886" s="382">
        <v>1.0</v>
      </c>
    </row>
    <row r="887">
      <c r="A887" s="380" t="s">
        <v>1728</v>
      </c>
      <c r="B887" s="380" t="str">
        <f>IFERROR(__xludf.DUMMYFUNCTION("""COMPUTED_VALUE"""),"Caja Fuerte Reparada")</f>
        <v>Caja Fuerte Reparada</v>
      </c>
      <c r="C887" s="380" t="str">
        <f>IFERROR(__xludf.DUMMYFUNCTION("""COMPUTED_VALUE"""),"10000689")</f>
        <v>10000689</v>
      </c>
      <c r="D887" s="380" t="s">
        <v>767</v>
      </c>
      <c r="E887" s="380" t="s">
        <v>768</v>
      </c>
      <c r="F887" s="380" t="s">
        <v>797</v>
      </c>
      <c r="G887" s="380" t="s">
        <v>1267</v>
      </c>
      <c r="H887" s="380" t="s">
        <v>771</v>
      </c>
      <c r="I887" s="380" t="s">
        <v>799</v>
      </c>
      <c r="J887" s="380" t="s">
        <v>773</v>
      </c>
      <c r="K887" s="381">
        <v>0.0</v>
      </c>
      <c r="L887" s="382">
        <v>1.0</v>
      </c>
    </row>
    <row r="888">
      <c r="A888" s="380" t="s">
        <v>1729</v>
      </c>
      <c r="B888" s="380" t="str">
        <f>IFERROR(__xludf.DUMMYFUNCTION("""COMPUTED_VALUE"""),"Organizador Escarapela")</f>
        <v>Organizador Escarapela</v>
      </c>
      <c r="C888" s="380" t="str">
        <f>IFERROR(__xludf.DUMMYFUNCTION("""COMPUTED_VALUE"""),"10000690")</f>
        <v>10000690</v>
      </c>
      <c r="D888" s="380" t="s">
        <v>767</v>
      </c>
      <c r="E888" s="380" t="s">
        <v>768</v>
      </c>
      <c r="F888" s="380" t="s">
        <v>797</v>
      </c>
      <c r="G888" s="380" t="s">
        <v>1267</v>
      </c>
      <c r="H888" s="380" t="s">
        <v>771</v>
      </c>
      <c r="I888" s="380" t="s">
        <v>799</v>
      </c>
      <c r="J888" s="380" t="s">
        <v>773</v>
      </c>
      <c r="K888" s="381">
        <v>0.0</v>
      </c>
      <c r="L888" s="382">
        <v>1.0</v>
      </c>
    </row>
    <row r="889">
      <c r="A889" s="380" t="s">
        <v>1730</v>
      </c>
      <c r="B889" s="380" t="str">
        <f>IFERROR(__xludf.DUMMYFUNCTION("""COMPUTED_VALUE"""),"Cafe Pergamino")</f>
        <v>Cafe Pergamino</v>
      </c>
      <c r="C889" s="380" t="str">
        <f>IFERROR(__xludf.DUMMYFUNCTION("""COMPUTED_VALUE"""),"10000691")</f>
        <v>10000691</v>
      </c>
      <c r="D889" s="380" t="s">
        <v>767</v>
      </c>
      <c r="E889" s="380" t="s">
        <v>768</v>
      </c>
      <c r="F889" s="380" t="s">
        <v>803</v>
      </c>
      <c r="G889" s="380" t="s">
        <v>1267</v>
      </c>
      <c r="H889" s="380" t="s">
        <v>771</v>
      </c>
      <c r="I889" s="380" t="s">
        <v>772</v>
      </c>
      <c r="J889" s="380" t="s">
        <v>773</v>
      </c>
      <c r="K889" s="381">
        <v>0.0</v>
      </c>
      <c r="L889" s="382">
        <v>1.0</v>
      </c>
    </row>
    <row r="890">
      <c r="A890" s="380" t="s">
        <v>1731</v>
      </c>
      <c r="B890" s="380" t="str">
        <f>IFERROR(__xludf.DUMMYFUNCTION("""COMPUTED_VALUE"""),"Papelera Con Ruedas De 121 Lit")</f>
        <v>Papelera Con Ruedas De 121 Lit</v>
      </c>
      <c r="C890" s="380" t="str">
        <f>IFERROR(__xludf.DUMMYFUNCTION("""COMPUTED_VALUE"""),"10000692")</f>
        <v>10000692</v>
      </c>
      <c r="D890" s="380" t="s">
        <v>767</v>
      </c>
      <c r="E890" s="380" t="s">
        <v>768</v>
      </c>
      <c r="F890" s="380" t="s">
        <v>769</v>
      </c>
      <c r="G890" s="380" t="s">
        <v>1267</v>
      </c>
      <c r="H890" s="380" t="s">
        <v>771</v>
      </c>
      <c r="I890" s="380" t="s">
        <v>772</v>
      </c>
      <c r="J890" s="380" t="s">
        <v>773</v>
      </c>
      <c r="K890" s="381">
        <v>0.0</v>
      </c>
      <c r="L890" s="382">
        <v>1.0</v>
      </c>
    </row>
    <row r="891">
      <c r="A891" s="380" t="s">
        <v>1732</v>
      </c>
      <c r="B891" s="380" t="str">
        <f>IFERROR(__xludf.DUMMYFUNCTION("""COMPUTED_VALUE"""),"Armario Metalico 180x93x45 Gri")</f>
        <v>Armario Metalico 180x93x45 Gri</v>
      </c>
      <c r="C891" s="380" t="str">
        <f>IFERROR(__xludf.DUMMYFUNCTION("""COMPUTED_VALUE"""),"10000693")</f>
        <v>10000693</v>
      </c>
      <c r="D891" s="380" t="s">
        <v>767</v>
      </c>
      <c r="E891" s="380" t="s">
        <v>768</v>
      </c>
      <c r="F891" s="380" t="s">
        <v>797</v>
      </c>
      <c r="G891" s="380" t="s">
        <v>1267</v>
      </c>
      <c r="H891" s="380" t="s">
        <v>771</v>
      </c>
      <c r="I891" s="380" t="s">
        <v>799</v>
      </c>
      <c r="J891" s="380" t="s">
        <v>773</v>
      </c>
      <c r="K891" s="381">
        <v>0.0</v>
      </c>
      <c r="L891" s="382">
        <v>1.0</v>
      </c>
    </row>
    <row r="892">
      <c r="A892" s="380" t="s">
        <v>1733</v>
      </c>
      <c r="B892" s="380" t="str">
        <f>IFERROR(__xludf.DUMMYFUNCTION("""COMPUTED_VALUE"""),"Rotulo Laser 3129 (215.9x279.4")</f>
        <v>Rotulo Laser 3129 (215.9x279.4</v>
      </c>
      <c r="C892" s="380" t="str">
        <f>IFERROR(__xludf.DUMMYFUNCTION("""COMPUTED_VALUE"""),"10000694")</f>
        <v>10000694</v>
      </c>
      <c r="D892" s="380" t="s">
        <v>767</v>
      </c>
      <c r="E892" s="380" t="s">
        <v>768</v>
      </c>
      <c r="F892" s="380" t="s">
        <v>797</v>
      </c>
      <c r="G892" s="380" t="s">
        <v>1267</v>
      </c>
      <c r="H892" s="380" t="s">
        <v>771</v>
      </c>
      <c r="I892" s="380" t="s">
        <v>799</v>
      </c>
      <c r="J892" s="380" t="s">
        <v>773</v>
      </c>
      <c r="K892" s="381">
        <v>0.0</v>
      </c>
      <c r="L892" s="382">
        <v>1.0</v>
      </c>
    </row>
    <row r="893">
      <c r="A893" s="380" t="s">
        <v>1734</v>
      </c>
      <c r="B893" s="380" t="str">
        <f>IFERROR(__xludf.DUMMYFUNCTION("""COMPUTED_VALUE"""),"Empastada")</f>
        <v>Empastada</v>
      </c>
      <c r="C893" s="380" t="str">
        <f>IFERROR(__xludf.DUMMYFUNCTION("""COMPUTED_VALUE"""),"10000695")</f>
        <v>10000695</v>
      </c>
      <c r="D893" s="380" t="s">
        <v>767</v>
      </c>
      <c r="E893" s="380" t="s">
        <v>768</v>
      </c>
      <c r="F893" s="380" t="s">
        <v>797</v>
      </c>
      <c r="G893" s="380" t="s">
        <v>1267</v>
      </c>
      <c r="H893" s="380" t="s">
        <v>771</v>
      </c>
      <c r="I893" s="380" t="s">
        <v>799</v>
      </c>
      <c r="J893" s="380" t="s">
        <v>773</v>
      </c>
      <c r="K893" s="381">
        <v>0.0</v>
      </c>
      <c r="L893" s="382">
        <v>1.0</v>
      </c>
    </row>
    <row r="894">
      <c r="A894" s="380" t="s">
        <v>1735</v>
      </c>
      <c r="B894" s="380" t="str">
        <f>IFERROR(__xludf.DUMMYFUNCTION("""COMPUTED_VALUE"""),"Talonario Letras De Cambio")</f>
        <v>Talonario Letras De Cambio</v>
      </c>
      <c r="C894" s="380" t="str">
        <f>IFERROR(__xludf.DUMMYFUNCTION("""COMPUTED_VALUE"""),"10000696")</f>
        <v>10000696</v>
      </c>
      <c r="D894" s="380" t="s">
        <v>767</v>
      </c>
      <c r="E894" s="380" t="s">
        <v>768</v>
      </c>
      <c r="F894" s="380" t="s">
        <v>797</v>
      </c>
      <c r="G894" s="380" t="s">
        <v>1267</v>
      </c>
      <c r="H894" s="380" t="s">
        <v>771</v>
      </c>
      <c r="I894" s="380" t="s">
        <v>799</v>
      </c>
      <c r="J894" s="380" t="s">
        <v>773</v>
      </c>
      <c r="K894" s="381">
        <v>0.0</v>
      </c>
      <c r="L894" s="382">
        <v>1.0</v>
      </c>
    </row>
    <row r="895">
      <c r="A895" s="380" t="s">
        <v>1736</v>
      </c>
      <c r="B895" s="380" t="str">
        <f>IFERROR(__xludf.DUMMYFUNCTION("""COMPUTED_VALUE"""),"Soporte Botellon De Agua")</f>
        <v>Soporte Botellon De Agua</v>
      </c>
      <c r="C895" s="380" t="str">
        <f>IFERROR(__xludf.DUMMYFUNCTION("""COMPUTED_VALUE"""),"10000697")</f>
        <v>10000697</v>
      </c>
      <c r="D895" s="380" t="s">
        <v>767</v>
      </c>
      <c r="E895" s="380" t="s">
        <v>768</v>
      </c>
      <c r="F895" s="380" t="s">
        <v>803</v>
      </c>
      <c r="G895" s="380" t="s">
        <v>1267</v>
      </c>
      <c r="H895" s="380" t="s">
        <v>771</v>
      </c>
      <c r="I895" s="380" t="s">
        <v>772</v>
      </c>
      <c r="J895" s="380" t="s">
        <v>773</v>
      </c>
      <c r="K895" s="381">
        <v>0.0</v>
      </c>
      <c r="L895" s="382">
        <v>1.0</v>
      </c>
    </row>
    <row r="896">
      <c r="A896" s="380" t="s">
        <v>1737</v>
      </c>
      <c r="B896" s="380" t="str">
        <f>IFERROR(__xludf.DUMMYFUNCTION("""COMPUTED_VALUE"""),"Cinta Impresora De Marcación E")</f>
        <v>Cinta Impresora De Marcación E</v>
      </c>
      <c r="C896" s="380" t="str">
        <f>IFERROR(__xludf.DUMMYFUNCTION("""COMPUTED_VALUE"""),"10000698")</f>
        <v>10000698</v>
      </c>
      <c r="D896" s="380" t="s">
        <v>767</v>
      </c>
      <c r="E896" s="380" t="s">
        <v>768</v>
      </c>
      <c r="F896" s="380" t="s">
        <v>797</v>
      </c>
      <c r="G896" s="380" t="s">
        <v>1267</v>
      </c>
      <c r="H896" s="380" t="s">
        <v>771</v>
      </c>
      <c r="I896" s="380" t="s">
        <v>799</v>
      </c>
      <c r="J896" s="380" t="s">
        <v>773</v>
      </c>
      <c r="K896" s="381">
        <v>0.0</v>
      </c>
      <c r="L896" s="382">
        <v>1.0</v>
      </c>
    </row>
    <row r="897">
      <c r="A897" s="380" t="s">
        <v>1738</v>
      </c>
      <c r="B897" s="380" t="str">
        <f>IFERROR(__xludf.DUMMYFUNCTION("""COMPUTED_VALUE"""),"Elementos Hotel Hub Especial")</f>
        <v>Elementos Hotel Hub Especial</v>
      </c>
      <c r="C897" s="380" t="str">
        <f>IFERROR(__xludf.DUMMYFUNCTION("""COMPUTED_VALUE"""),"10000699")</f>
        <v>10000699</v>
      </c>
      <c r="D897" s="380" t="s">
        <v>767</v>
      </c>
      <c r="E897" s="380" t="s">
        <v>768</v>
      </c>
      <c r="F897" s="380" t="s">
        <v>769</v>
      </c>
      <c r="G897" s="380" t="s">
        <v>1267</v>
      </c>
      <c r="H897" s="380" t="s">
        <v>771</v>
      </c>
      <c r="I897" s="380" t="s">
        <v>772</v>
      </c>
      <c r="J897" s="380" t="s">
        <v>773</v>
      </c>
      <c r="K897" s="381">
        <v>0.0</v>
      </c>
      <c r="L897" s="382">
        <v>1.0</v>
      </c>
    </row>
    <row r="898">
      <c r="A898" s="380" t="s">
        <v>1739</v>
      </c>
      <c r="B898" s="380" t="str">
        <f>IFERROR(__xludf.DUMMYFUNCTION("""COMPUTED_VALUE"""),"Etiqueta Prioridad")</f>
        <v>Etiqueta Prioridad</v>
      </c>
      <c r="C898" s="380" t="str">
        <f>IFERROR(__xludf.DUMMYFUNCTION("""COMPUTED_VALUE"""),"10000700")</f>
        <v>10000700</v>
      </c>
      <c r="D898" s="380" t="s">
        <v>767</v>
      </c>
      <c r="E898" s="380" t="s">
        <v>768</v>
      </c>
      <c r="F898" s="380" t="s">
        <v>797</v>
      </c>
      <c r="G898" s="380" t="s">
        <v>1267</v>
      </c>
      <c r="H898" s="380" t="s">
        <v>771</v>
      </c>
      <c r="I898" s="380" t="s">
        <v>799</v>
      </c>
      <c r="J898" s="380" t="s">
        <v>773</v>
      </c>
      <c r="K898" s="381">
        <v>18.0</v>
      </c>
      <c r="L898" s="382">
        <v>1.0</v>
      </c>
    </row>
    <row r="899">
      <c r="A899" s="380" t="s">
        <v>1740</v>
      </c>
      <c r="B899" s="380" t="str">
        <f>IFERROR(__xludf.DUMMYFUNCTION("""COMPUTED_VALUE"""),"Ribbon Cinta Color Ymcko 200 I")</f>
        <v>Ribbon Cinta Color Ymcko 200 I</v>
      </c>
      <c r="C899" s="380" t="str">
        <f>IFERROR(__xludf.DUMMYFUNCTION("""COMPUTED_VALUE"""),"10000701")</f>
        <v>10000701</v>
      </c>
      <c r="D899" s="380" t="s">
        <v>767</v>
      </c>
      <c r="E899" s="380" t="s">
        <v>768</v>
      </c>
      <c r="F899" s="380" t="s">
        <v>797</v>
      </c>
      <c r="G899" s="380" t="s">
        <v>1267</v>
      </c>
      <c r="H899" s="380" t="s">
        <v>771</v>
      </c>
      <c r="I899" s="380" t="s">
        <v>799</v>
      </c>
      <c r="J899" s="380" t="s">
        <v>773</v>
      </c>
      <c r="K899" s="381">
        <v>0.0</v>
      </c>
      <c r="L899" s="382">
        <v>1.0</v>
      </c>
    </row>
    <row r="900">
      <c r="A900" s="380" t="s">
        <v>1741</v>
      </c>
      <c r="B900" s="380" t="str">
        <f>IFERROR(__xludf.DUMMYFUNCTION("""COMPUTED_VALUE"""),"Vinagre Blanco 3l")</f>
        <v>Vinagre Blanco 3l</v>
      </c>
      <c r="C900" s="380" t="str">
        <f>IFERROR(__xludf.DUMMYFUNCTION("""COMPUTED_VALUE"""),"10000702")</f>
        <v>10000702</v>
      </c>
      <c r="D900" s="380" t="s">
        <v>767</v>
      </c>
      <c r="E900" s="380" t="s">
        <v>768</v>
      </c>
      <c r="F900" s="380" t="s">
        <v>769</v>
      </c>
      <c r="G900" s="380" t="s">
        <v>1267</v>
      </c>
      <c r="H900" s="380" t="s">
        <v>771</v>
      </c>
      <c r="I900" s="380" t="s">
        <v>772</v>
      </c>
      <c r="J900" s="380" t="s">
        <v>773</v>
      </c>
      <c r="K900" s="381">
        <v>0.0</v>
      </c>
      <c r="L900" s="382">
        <v>1.0</v>
      </c>
    </row>
    <row r="901">
      <c r="A901" s="380" t="s">
        <v>1742</v>
      </c>
      <c r="B901" s="380" t="str">
        <f>IFERROR(__xludf.DUMMYFUNCTION("""COMPUTED_VALUE"""),"Tinta Para Improntas")</f>
        <v>Tinta Para Improntas</v>
      </c>
      <c r="C901" s="380" t="str">
        <f>IFERROR(__xludf.DUMMYFUNCTION("""COMPUTED_VALUE"""),"10000703")</f>
        <v>10000703</v>
      </c>
      <c r="D901" s="380" t="s">
        <v>767</v>
      </c>
      <c r="E901" s="380" t="s">
        <v>768</v>
      </c>
      <c r="F901" s="380" t="s">
        <v>797</v>
      </c>
      <c r="G901" s="380" t="s">
        <v>1267</v>
      </c>
      <c r="H901" s="380" t="s">
        <v>771</v>
      </c>
      <c r="I901" s="380" t="s">
        <v>799</v>
      </c>
      <c r="J901" s="380" t="s">
        <v>773</v>
      </c>
      <c r="K901" s="381">
        <v>0.0</v>
      </c>
      <c r="L901" s="382">
        <v>1.0</v>
      </c>
    </row>
    <row r="902">
      <c r="A902" s="380" t="s">
        <v>1743</v>
      </c>
      <c r="B902" s="380" t="str">
        <f>IFERROR(__xludf.DUMMYFUNCTION("""COMPUTED_VALUE"""),"Tinta Epson L5290")</f>
        <v>Tinta Epson L5290</v>
      </c>
      <c r="C902" s="380" t="str">
        <f>IFERROR(__xludf.DUMMYFUNCTION("""COMPUTED_VALUE"""),"10000705")</f>
        <v>10000705</v>
      </c>
      <c r="D902" s="380" t="s">
        <v>767</v>
      </c>
      <c r="E902" s="380" t="s">
        <v>768</v>
      </c>
      <c r="F902" s="380" t="s">
        <v>797</v>
      </c>
      <c r="G902" s="380" t="s">
        <v>1267</v>
      </c>
      <c r="H902" s="380" t="s">
        <v>771</v>
      </c>
      <c r="I902" s="380" t="s">
        <v>799</v>
      </c>
      <c r="J902" s="380" t="s">
        <v>773</v>
      </c>
      <c r="K902" s="381">
        <v>0.0</v>
      </c>
      <c r="L902" s="382">
        <v>1.0</v>
      </c>
    </row>
    <row r="903">
      <c r="A903" s="380" t="s">
        <v>1744</v>
      </c>
      <c r="B903" s="380" t="str">
        <f>IFERROR(__xludf.DUMMYFUNCTION("""COMPUTED_VALUE"""),"Shampoo Cuñete X 20 Litro")</f>
        <v>Shampoo Cuñete X 20 Litro</v>
      </c>
      <c r="C903" s="380" t="str">
        <f>IFERROR(__xludf.DUMMYFUNCTION("""COMPUTED_VALUE"""),"10000707")</f>
        <v>10000707</v>
      </c>
      <c r="D903" s="380" t="s">
        <v>767</v>
      </c>
      <c r="E903" s="380" t="s">
        <v>768</v>
      </c>
      <c r="F903" s="380" t="s">
        <v>769</v>
      </c>
      <c r="G903" s="380" t="s">
        <v>1267</v>
      </c>
      <c r="H903" s="380" t="s">
        <v>771</v>
      </c>
      <c r="I903" s="380" t="s">
        <v>772</v>
      </c>
      <c r="J903" s="380" t="s">
        <v>773</v>
      </c>
      <c r="K903" s="381">
        <v>0.0</v>
      </c>
      <c r="L903" s="382">
        <v>1.0</v>
      </c>
    </row>
    <row r="904">
      <c r="A904" s="380" t="s">
        <v>1745</v>
      </c>
      <c r="B904" s="380" t="str">
        <f>IFERROR(__xludf.DUMMYFUNCTION("""COMPUTED_VALUE"""),"Rueda Carreta Centro Comercial")</f>
        <v>Rueda Carreta Centro Comercial</v>
      </c>
      <c r="C904" s="380" t="str">
        <f>IFERROR(__xludf.DUMMYFUNCTION("""COMPUTED_VALUE"""),"10000708")</f>
        <v>10000708</v>
      </c>
      <c r="D904" s="380" t="s">
        <v>767</v>
      </c>
      <c r="E904" s="380" t="s">
        <v>768</v>
      </c>
      <c r="F904" s="380" t="s">
        <v>797</v>
      </c>
      <c r="G904" s="380" t="s">
        <v>1267</v>
      </c>
      <c r="H904" s="380" t="s">
        <v>771</v>
      </c>
      <c r="I904" s="380" t="s">
        <v>799</v>
      </c>
      <c r="J904" s="380" t="s">
        <v>773</v>
      </c>
      <c r="K904" s="381">
        <v>85680.0</v>
      </c>
      <c r="L904" s="382">
        <v>1.0</v>
      </c>
    </row>
    <row r="905">
      <c r="A905" s="380" t="s">
        <v>1746</v>
      </c>
      <c r="B905" s="380" t="str">
        <f>IFERROR(__xludf.DUMMYFUNCTION("""COMPUTED_VALUE"""),"Lapicero Con Logo Tim")</f>
        <v>Lapicero Con Logo Tim</v>
      </c>
      <c r="C905" s="380" t="str">
        <f>IFERROR(__xludf.DUMMYFUNCTION("""COMPUTED_VALUE"""),"10000709")</f>
        <v>10000709</v>
      </c>
      <c r="D905" s="380" t="s">
        <v>767</v>
      </c>
      <c r="E905" s="380" t="s">
        <v>768</v>
      </c>
      <c r="F905" s="380" t="s">
        <v>797</v>
      </c>
      <c r="G905" s="380" t="s">
        <v>1267</v>
      </c>
      <c r="H905" s="380" t="s">
        <v>771</v>
      </c>
      <c r="I905" s="380" t="s">
        <v>799</v>
      </c>
      <c r="J905" s="380" t="s">
        <v>773</v>
      </c>
      <c r="K905" s="381">
        <v>2368.0</v>
      </c>
      <c r="L905" s="382">
        <v>1.0</v>
      </c>
    </row>
    <row r="906">
      <c r="A906" s="380" t="s">
        <v>1747</v>
      </c>
      <c r="B906" s="380" t="str">
        <f>IFERROR(__xludf.DUMMYFUNCTION("""COMPUTED_VALUE"""),"Tinta Hp Gt52 Yellow")</f>
        <v>Tinta Hp Gt52 Yellow</v>
      </c>
      <c r="C906" s="380" t="str">
        <f>IFERROR(__xludf.DUMMYFUNCTION("""COMPUTED_VALUE"""),"10000710")</f>
        <v>10000710</v>
      </c>
      <c r="D906" s="380" t="s">
        <v>767</v>
      </c>
      <c r="E906" s="380" t="s">
        <v>768</v>
      </c>
      <c r="F906" s="380" t="s">
        <v>797</v>
      </c>
      <c r="G906" s="380" t="s">
        <v>1267</v>
      </c>
      <c r="H906" s="380" t="s">
        <v>771</v>
      </c>
      <c r="I906" s="380" t="s">
        <v>799</v>
      </c>
      <c r="J906" s="380" t="s">
        <v>773</v>
      </c>
      <c r="K906" s="381">
        <v>0.0</v>
      </c>
      <c r="L906" s="382">
        <v>1.0</v>
      </c>
    </row>
    <row r="907">
      <c r="A907" s="380" t="s">
        <v>1748</v>
      </c>
      <c r="B907" s="380" t="str">
        <f>IFERROR(__xludf.DUMMYFUNCTION("""COMPUTED_VALUE"""),"Tinta Hp Gt52 Cyan")</f>
        <v>Tinta Hp Gt52 Cyan</v>
      </c>
      <c r="C907" s="380" t="str">
        <f>IFERROR(__xludf.DUMMYFUNCTION("""COMPUTED_VALUE"""),"10000711")</f>
        <v>10000711</v>
      </c>
      <c r="D907" s="380" t="s">
        <v>767</v>
      </c>
      <c r="E907" s="380" t="s">
        <v>768</v>
      </c>
      <c r="F907" s="380" t="s">
        <v>797</v>
      </c>
      <c r="G907" s="380" t="s">
        <v>1267</v>
      </c>
      <c r="H907" s="380" t="s">
        <v>771</v>
      </c>
      <c r="I907" s="380" t="s">
        <v>799</v>
      </c>
      <c r="J907" s="380" t="s">
        <v>773</v>
      </c>
      <c r="K907" s="381">
        <v>0.0</v>
      </c>
      <c r="L907" s="382">
        <v>1.0</v>
      </c>
    </row>
    <row r="908">
      <c r="A908" s="380" t="s">
        <v>1749</v>
      </c>
      <c r="B908" s="380" t="str">
        <f>IFERROR(__xludf.DUMMYFUNCTION("""COMPUTED_VALUE"""),"Tinta Hp Gt52 Magenta")</f>
        <v>Tinta Hp Gt52 Magenta</v>
      </c>
      <c r="C908" s="380" t="str">
        <f>IFERROR(__xludf.DUMMYFUNCTION("""COMPUTED_VALUE"""),"10000712")</f>
        <v>10000712</v>
      </c>
      <c r="D908" s="380" t="s">
        <v>767</v>
      </c>
      <c r="E908" s="380" t="s">
        <v>768</v>
      </c>
      <c r="F908" s="380" t="s">
        <v>797</v>
      </c>
      <c r="G908" s="380" t="s">
        <v>1267</v>
      </c>
      <c r="H908" s="380" t="s">
        <v>771</v>
      </c>
      <c r="I908" s="380" t="s">
        <v>799</v>
      </c>
      <c r="J908" s="380" t="s">
        <v>773</v>
      </c>
      <c r="K908" s="381">
        <v>0.0</v>
      </c>
      <c r="L908" s="382">
        <v>1.0</v>
      </c>
    </row>
    <row r="909">
      <c r="A909" s="380" t="s">
        <v>1750</v>
      </c>
      <c r="B909" s="380" t="str">
        <f>IFERROR(__xludf.DUMMYFUNCTION("""COMPUTED_VALUE"""),"Contenedor Plastico 360 Litros")</f>
        <v>Contenedor Plastico 360 Litros</v>
      </c>
      <c r="C909" s="380" t="str">
        <f>IFERROR(__xludf.DUMMYFUNCTION("""COMPUTED_VALUE"""),"10000713")</f>
        <v>10000713</v>
      </c>
      <c r="D909" s="380" t="s">
        <v>767</v>
      </c>
      <c r="E909" s="380" t="s">
        <v>768</v>
      </c>
      <c r="F909" s="380" t="s">
        <v>797</v>
      </c>
      <c r="G909" s="380" t="s">
        <v>1267</v>
      </c>
      <c r="H909" s="380" t="s">
        <v>771</v>
      </c>
      <c r="I909" s="380" t="s">
        <v>799</v>
      </c>
      <c r="J909" s="380" t="s">
        <v>773</v>
      </c>
      <c r="K909" s="381">
        <v>0.0</v>
      </c>
      <c r="L909" s="382">
        <v>1.0</v>
      </c>
    </row>
    <row r="910">
      <c r="A910" s="380" t="s">
        <v>1751</v>
      </c>
      <c r="B910" s="380" t="str">
        <f>IFERROR(__xludf.DUMMYFUNCTION("""COMPUTED_VALUE"""),"Escalera De 2 Pasos Rimax")</f>
        <v>Escalera De 2 Pasos Rimax</v>
      </c>
      <c r="C910" s="380" t="str">
        <f>IFERROR(__xludf.DUMMYFUNCTION("""COMPUTED_VALUE"""),"10000714")</f>
        <v>10000714</v>
      </c>
      <c r="D910" s="380" t="s">
        <v>767</v>
      </c>
      <c r="E910" s="380" t="s">
        <v>768</v>
      </c>
      <c r="F910" s="380" t="s">
        <v>797</v>
      </c>
      <c r="G910" s="380" t="s">
        <v>1267</v>
      </c>
      <c r="H910" s="380" t="s">
        <v>771</v>
      </c>
      <c r="I910" s="380" t="s">
        <v>799</v>
      </c>
      <c r="J910" s="380" t="s">
        <v>773</v>
      </c>
      <c r="K910" s="381">
        <v>0.0</v>
      </c>
      <c r="L910" s="382">
        <v>1.0</v>
      </c>
    </row>
    <row r="911">
      <c r="A911" s="380" t="s">
        <v>1752</v>
      </c>
      <c r="B911" s="380" t="str">
        <f>IFERROR(__xludf.DUMMYFUNCTION("""COMPUTED_VALUE"""),"Modulo De 3 Cuerpos Estanteria")</f>
        <v>Modulo De 3 Cuerpos Estanteria</v>
      </c>
      <c r="C911" s="380" t="str">
        <f>IFERROR(__xludf.DUMMYFUNCTION("""COMPUTED_VALUE"""),"10000715")</f>
        <v>10000715</v>
      </c>
      <c r="D911" s="380" t="s">
        <v>767</v>
      </c>
      <c r="E911" s="380" t="s">
        <v>768</v>
      </c>
      <c r="F911" s="380" t="s">
        <v>797</v>
      </c>
      <c r="G911" s="380" t="s">
        <v>1267</v>
      </c>
      <c r="H911" s="380" t="s">
        <v>771</v>
      </c>
      <c r="I911" s="380" t="s">
        <v>799</v>
      </c>
      <c r="J911" s="380" t="s">
        <v>773</v>
      </c>
      <c r="K911" s="381">
        <v>0.0</v>
      </c>
      <c r="L911" s="382">
        <v>1.0</v>
      </c>
    </row>
    <row r="912">
      <c r="A912" s="380" t="s">
        <v>1753</v>
      </c>
      <c r="B912" s="380" t="str">
        <f>IFERROR(__xludf.DUMMYFUNCTION("""COMPUTED_VALUE"""),"Separador De Plastico Para A-Z (20) SST")</f>
        <v>Separador De Plastico Para A-Z (20) SST</v>
      </c>
      <c r="C912" s="380" t="str">
        <f>IFERROR(__xludf.DUMMYFUNCTION("""COMPUTED_VALUE"""),"20")</f>
        <v>20</v>
      </c>
      <c r="D912" s="380" t="s">
        <v>767</v>
      </c>
      <c r="E912" s="380" t="s">
        <v>768</v>
      </c>
      <c r="F912" s="380" t="s">
        <v>797</v>
      </c>
      <c r="G912" s="380" t="s">
        <v>1267</v>
      </c>
      <c r="H912" s="380" t="s">
        <v>771</v>
      </c>
      <c r="I912" s="380" t="s">
        <v>799</v>
      </c>
      <c r="J912" s="380" t="s">
        <v>773</v>
      </c>
      <c r="K912" s="381">
        <v>0.0</v>
      </c>
      <c r="L912" s="382">
        <v>1.0</v>
      </c>
    </row>
    <row r="913">
      <c r="A913" s="380" t="s">
        <v>1754</v>
      </c>
      <c r="B913" s="380" t="str">
        <f>IFERROR(__xludf.DUMMYFUNCTION("""COMPUTED_VALUE"""),"Portapapeles Revistero")</f>
        <v>Portapapeles Revistero</v>
      </c>
      <c r="C913" s="380" t="str">
        <f>IFERROR(__xludf.DUMMYFUNCTION("""COMPUTED_VALUE"""),"10000717")</f>
        <v>10000717</v>
      </c>
      <c r="D913" s="380" t="s">
        <v>767</v>
      </c>
      <c r="E913" s="380" t="s">
        <v>768</v>
      </c>
      <c r="F913" s="380" t="s">
        <v>797</v>
      </c>
      <c r="G913" s="380" t="s">
        <v>1267</v>
      </c>
      <c r="H913" s="380" t="s">
        <v>771</v>
      </c>
      <c r="I913" s="380" t="s">
        <v>799</v>
      </c>
      <c r="J913" s="380" t="s">
        <v>773</v>
      </c>
      <c r="K913" s="381">
        <v>0.0</v>
      </c>
      <c r="L913" s="382">
        <v>1.0</v>
      </c>
    </row>
    <row r="914">
      <c r="A914" s="380" t="s">
        <v>1755</v>
      </c>
      <c r="B914" s="380" t="str">
        <f>IFERROR(__xludf.DUMMYFUNCTION("""COMPUTED_VALUE"""),"Secador De Manos Electrico")</f>
        <v>Secador De Manos Electrico</v>
      </c>
      <c r="C914" s="380" t="str">
        <f>IFERROR(__xludf.DUMMYFUNCTION("""COMPUTED_VALUE"""),"10000718")</f>
        <v>10000718</v>
      </c>
      <c r="D914" s="380" t="s">
        <v>767</v>
      </c>
      <c r="E914" s="380" t="s">
        <v>768</v>
      </c>
      <c r="F914" s="380" t="s">
        <v>769</v>
      </c>
      <c r="G914" s="380" t="s">
        <v>1267</v>
      </c>
      <c r="H914" s="380" t="s">
        <v>771</v>
      </c>
      <c r="I914" s="380" t="s">
        <v>772</v>
      </c>
      <c r="J914" s="380" t="s">
        <v>773</v>
      </c>
      <c r="K914" s="381">
        <v>0.0</v>
      </c>
      <c r="L914" s="382">
        <v>1.0</v>
      </c>
    </row>
    <row r="915">
      <c r="A915" s="380" t="s">
        <v>1756</v>
      </c>
      <c r="B915" s="380" t="str">
        <f>IFERROR(__xludf.DUMMYFUNCTION("""COMPUTED_VALUE"""),"Escarapela Visitantes Verde")</f>
        <v>Escarapela Visitantes Verde</v>
      </c>
      <c r="C915" s="380" t="str">
        <f>IFERROR(__xludf.DUMMYFUNCTION("""COMPUTED_VALUE"""),"10000719")</f>
        <v>10000719</v>
      </c>
      <c r="D915" s="380" t="s">
        <v>767</v>
      </c>
      <c r="E915" s="380" t="s">
        <v>768</v>
      </c>
      <c r="F915" s="380" t="s">
        <v>797</v>
      </c>
      <c r="G915" s="380" t="s">
        <v>1267</v>
      </c>
      <c r="H915" s="380" t="s">
        <v>771</v>
      </c>
      <c r="I915" s="380" t="s">
        <v>799</v>
      </c>
      <c r="J915" s="380" t="s">
        <v>773</v>
      </c>
      <c r="K915" s="381">
        <v>0.0</v>
      </c>
      <c r="L915" s="382">
        <v>1.0</v>
      </c>
    </row>
    <row r="916">
      <c r="A916" s="380" t="s">
        <v>1757</v>
      </c>
      <c r="B916" s="380" t="str">
        <f>IFERROR(__xludf.DUMMYFUNCTION("""COMPUTED_VALUE"""),"Escarapela Visitantes Amarillo")</f>
        <v>Escarapela Visitantes Amarillo</v>
      </c>
      <c r="C916" s="380" t="str">
        <f>IFERROR(__xludf.DUMMYFUNCTION("""COMPUTED_VALUE"""),"10000720")</f>
        <v>10000720</v>
      </c>
      <c r="D916" s="380" t="s">
        <v>767</v>
      </c>
      <c r="E916" s="380" t="s">
        <v>768</v>
      </c>
      <c r="F916" s="380" t="s">
        <v>797</v>
      </c>
      <c r="G916" s="380" t="s">
        <v>1267</v>
      </c>
      <c r="H916" s="380" t="s">
        <v>771</v>
      </c>
      <c r="I916" s="380" t="s">
        <v>799</v>
      </c>
      <c r="J916" s="380" t="s">
        <v>773</v>
      </c>
      <c r="K916" s="381">
        <v>0.0</v>
      </c>
      <c r="L916" s="382">
        <v>1.0</v>
      </c>
    </row>
    <row r="917">
      <c r="A917" s="380" t="s">
        <v>1758</v>
      </c>
      <c r="B917" s="380" t="str">
        <f>IFERROR(__xludf.DUMMYFUNCTION("""COMPUTED_VALUE"""),"Escarapela Visitantes Negro")</f>
        <v>Escarapela Visitantes Negro</v>
      </c>
      <c r="C917" s="380" t="str">
        <f>IFERROR(__xludf.DUMMYFUNCTION("""COMPUTED_VALUE"""),"10000721")</f>
        <v>10000721</v>
      </c>
      <c r="D917" s="380" t="s">
        <v>767</v>
      </c>
      <c r="E917" s="380" t="s">
        <v>768</v>
      </c>
      <c r="F917" s="380" t="s">
        <v>797</v>
      </c>
      <c r="G917" s="380" t="s">
        <v>1267</v>
      </c>
      <c r="H917" s="380" t="s">
        <v>771</v>
      </c>
      <c r="I917" s="380" t="s">
        <v>799</v>
      </c>
      <c r="J917" s="380" t="s">
        <v>773</v>
      </c>
      <c r="K917" s="381">
        <v>0.0</v>
      </c>
      <c r="L917" s="382">
        <v>1.0</v>
      </c>
    </row>
    <row r="918">
      <c r="A918" s="380" t="s">
        <v>1759</v>
      </c>
      <c r="B918" s="380" t="str">
        <f>IFERROR(__xludf.DUMMYFUNCTION("""COMPUTED_VALUE"""),"Escarapela Visitantes Rojo")</f>
        <v>Escarapela Visitantes Rojo</v>
      </c>
      <c r="C918" s="380" t="str">
        <f>IFERROR(__xludf.DUMMYFUNCTION("""COMPUTED_VALUE"""),"10000722")</f>
        <v>10000722</v>
      </c>
      <c r="D918" s="380" t="s">
        <v>767</v>
      </c>
      <c r="E918" s="380" t="s">
        <v>768</v>
      </c>
      <c r="F918" s="380" t="s">
        <v>797</v>
      </c>
      <c r="G918" s="380" t="s">
        <v>1267</v>
      </c>
      <c r="H918" s="380" t="s">
        <v>771</v>
      </c>
      <c r="I918" s="380" t="s">
        <v>799</v>
      </c>
      <c r="J918" s="380" t="s">
        <v>773</v>
      </c>
      <c r="K918" s="381">
        <v>0.0</v>
      </c>
      <c r="L918" s="382">
        <v>1.0</v>
      </c>
    </row>
    <row r="919">
      <c r="A919" s="380" t="s">
        <v>1760</v>
      </c>
      <c r="B919" s="380" t="str">
        <f>IFERROR(__xludf.DUMMYFUNCTION("""COMPUTED_VALUE"""),"Escarapela Visitantes Azul")</f>
        <v>Escarapela Visitantes Azul</v>
      </c>
      <c r="C919" s="380" t="str">
        <f>IFERROR(__xludf.DUMMYFUNCTION("""COMPUTED_VALUE"""),"10000723")</f>
        <v>10000723</v>
      </c>
      <c r="D919" s="380" t="s">
        <v>767</v>
      </c>
      <c r="E919" s="380" t="s">
        <v>768</v>
      </c>
      <c r="F919" s="380" t="s">
        <v>797</v>
      </c>
      <c r="G919" s="380" t="s">
        <v>1267</v>
      </c>
      <c r="H919" s="380" t="s">
        <v>771</v>
      </c>
      <c r="I919" s="380" t="s">
        <v>799</v>
      </c>
      <c r="J919" s="380" t="s">
        <v>773</v>
      </c>
      <c r="K919" s="381">
        <v>0.0</v>
      </c>
      <c r="L919" s="382">
        <v>1.0</v>
      </c>
    </row>
    <row r="920">
      <c r="A920" s="380" t="s">
        <v>1761</v>
      </c>
      <c r="B920" s="380" t="str">
        <f>IFERROR(__xludf.DUMMYFUNCTION("""COMPUTED_VALUE"""),"Posit Banderitas 11.9mm X 43,2")</f>
        <v>Posit Banderitas 11.9mm X 43,2</v>
      </c>
      <c r="C920" s="380" t="str">
        <f>IFERROR(__xludf.DUMMYFUNCTION("""COMPUTED_VALUE"""),"10000724")</f>
        <v>10000724</v>
      </c>
      <c r="D920" s="380" t="s">
        <v>767</v>
      </c>
      <c r="E920" s="380" t="s">
        <v>768</v>
      </c>
      <c r="F920" s="380" t="s">
        <v>797</v>
      </c>
      <c r="G920" s="380" t="s">
        <v>1267</v>
      </c>
      <c r="H920" s="380" t="s">
        <v>771</v>
      </c>
      <c r="I920" s="380" t="s">
        <v>799</v>
      </c>
      <c r="J920" s="380" t="s">
        <v>773</v>
      </c>
      <c r="K920" s="381">
        <v>0.0</v>
      </c>
      <c r="L920" s="382">
        <v>1.0</v>
      </c>
    </row>
    <row r="921">
      <c r="A921" s="380" t="s">
        <v>1762</v>
      </c>
      <c r="B921" s="380" t="str">
        <f>IFERROR(__xludf.DUMMYFUNCTION("""COMPUTED_VALUE"""),"Rueda Traspaleta Pequeña")</f>
        <v>Rueda Traspaleta Pequeña</v>
      </c>
      <c r="C921" s="380" t="str">
        <f>IFERROR(__xludf.DUMMYFUNCTION("""COMPUTED_VALUE"""),"10000725")</f>
        <v>10000725</v>
      </c>
      <c r="D921" s="380" t="s">
        <v>767</v>
      </c>
      <c r="E921" s="380" t="s">
        <v>768</v>
      </c>
      <c r="F921" s="380" t="s">
        <v>797</v>
      </c>
      <c r="G921" s="380" t="s">
        <v>1267</v>
      </c>
      <c r="H921" s="380" t="s">
        <v>771</v>
      </c>
      <c r="I921" s="380" t="s">
        <v>799</v>
      </c>
      <c r="J921" s="380" t="s">
        <v>773</v>
      </c>
      <c r="K921" s="381">
        <v>0.0</v>
      </c>
      <c r="L921" s="382">
        <v>1.0</v>
      </c>
    </row>
    <row r="922">
      <c r="A922" s="380" t="s">
        <v>1763</v>
      </c>
      <c r="B922" s="380" t="str">
        <f>IFERROR(__xludf.DUMMYFUNCTION("""COMPUTED_VALUE"""),"Tonner Kyocera Tk 362")</f>
        <v>Tonner Kyocera Tk 362</v>
      </c>
      <c r="C922" s="380" t="str">
        <f>IFERROR(__xludf.DUMMYFUNCTION("""COMPUTED_VALUE"""),"10000726")</f>
        <v>10000726</v>
      </c>
      <c r="D922" s="380" t="s">
        <v>767</v>
      </c>
      <c r="E922" s="380" t="s">
        <v>768</v>
      </c>
      <c r="F922" s="380" t="s">
        <v>797</v>
      </c>
      <c r="G922" s="380" t="s">
        <v>1267</v>
      </c>
      <c r="H922" s="380" t="s">
        <v>771</v>
      </c>
      <c r="I922" s="380" t="s">
        <v>799</v>
      </c>
      <c r="J922" s="380" t="s">
        <v>773</v>
      </c>
      <c r="K922" s="381">
        <v>0.0</v>
      </c>
      <c r="L922" s="382">
        <v>1.0</v>
      </c>
    </row>
    <row r="923">
      <c r="A923" s="380" t="s">
        <v>1764</v>
      </c>
      <c r="B923" s="380" t="str">
        <f>IFERROR(__xludf.DUMMYFUNCTION("""COMPUTED_VALUE"""),"Tonner Kyocera Tk 3122")</f>
        <v>Tonner Kyocera Tk 3122</v>
      </c>
      <c r="C923" s="380" t="str">
        <f>IFERROR(__xludf.DUMMYFUNCTION("""COMPUTED_VALUE"""),"10000727")</f>
        <v>10000727</v>
      </c>
      <c r="D923" s="380" t="s">
        <v>767</v>
      </c>
      <c r="E923" s="380" t="s">
        <v>768</v>
      </c>
      <c r="F923" s="380" t="s">
        <v>797</v>
      </c>
      <c r="G923" s="380" t="s">
        <v>1267</v>
      </c>
      <c r="H923" s="380" t="s">
        <v>771</v>
      </c>
      <c r="I923" s="380" t="s">
        <v>799</v>
      </c>
      <c r="J923" s="380" t="s">
        <v>773</v>
      </c>
      <c r="K923" s="381">
        <v>0.0</v>
      </c>
      <c r="L923" s="382">
        <v>1.0</v>
      </c>
    </row>
    <row r="924">
      <c r="A924" s="380" t="s">
        <v>1765</v>
      </c>
      <c r="B924" s="380" t="str">
        <f>IFERROR(__xludf.DUMMYFUNCTION("""COMPUTED_VALUE"""),"Tonner Kyocera Tk 342")</f>
        <v>Tonner Kyocera Tk 342</v>
      </c>
      <c r="C924" s="380" t="str">
        <f>IFERROR(__xludf.DUMMYFUNCTION("""COMPUTED_VALUE"""),"10000728")</f>
        <v>10000728</v>
      </c>
      <c r="D924" s="380" t="s">
        <v>767</v>
      </c>
      <c r="E924" s="380" t="s">
        <v>768</v>
      </c>
      <c r="F924" s="380" t="s">
        <v>797</v>
      </c>
      <c r="G924" s="380" t="s">
        <v>1267</v>
      </c>
      <c r="H924" s="380" t="s">
        <v>771</v>
      </c>
      <c r="I924" s="380" t="s">
        <v>799</v>
      </c>
      <c r="J924" s="380" t="s">
        <v>773</v>
      </c>
      <c r="K924" s="381">
        <v>203615.0</v>
      </c>
      <c r="L924" s="382">
        <v>1.0</v>
      </c>
    </row>
    <row r="925">
      <c r="A925" s="380" t="s">
        <v>1766</v>
      </c>
      <c r="B925" s="380" t="str">
        <f>IFERROR(__xludf.DUMMYFUNCTION("""COMPUTED_VALUE"""),"Repuesto Trapera De Hilo")</f>
        <v>Repuesto Trapera De Hilo</v>
      </c>
      <c r="C925" s="380" t="str">
        <f>IFERROR(__xludf.DUMMYFUNCTION("""COMPUTED_VALUE"""),"10000729")</f>
        <v>10000729</v>
      </c>
      <c r="D925" s="380" t="s">
        <v>767</v>
      </c>
      <c r="E925" s="380" t="s">
        <v>768</v>
      </c>
      <c r="F925" s="380" t="s">
        <v>769</v>
      </c>
      <c r="G925" s="380" t="s">
        <v>1267</v>
      </c>
      <c r="H925" s="380" t="s">
        <v>771</v>
      </c>
      <c r="I925" s="380" t="s">
        <v>772</v>
      </c>
      <c r="J925" s="380" t="s">
        <v>773</v>
      </c>
      <c r="K925" s="381">
        <v>5257.0</v>
      </c>
      <c r="L925" s="382">
        <v>1.0</v>
      </c>
    </row>
    <row r="926">
      <c r="A926" s="380" t="s">
        <v>1767</v>
      </c>
      <c r="B926" s="380" t="str">
        <f>IFERROR(__xludf.DUMMYFUNCTION("""COMPUTED_VALUE"""),"Caja Fuerte Digital Pequeña")</f>
        <v>Caja Fuerte Digital Pequeña</v>
      </c>
      <c r="C926" s="380" t="str">
        <f>IFERROR(__xludf.DUMMYFUNCTION("""COMPUTED_VALUE"""),"10000730")</f>
        <v>10000730</v>
      </c>
      <c r="D926" s="380" t="s">
        <v>767</v>
      </c>
      <c r="E926" s="380" t="s">
        <v>768</v>
      </c>
      <c r="F926" s="380" t="s">
        <v>797</v>
      </c>
      <c r="G926" s="380" t="s">
        <v>1267</v>
      </c>
      <c r="H926" s="380" t="s">
        <v>771</v>
      </c>
      <c r="I926" s="380" t="s">
        <v>799</v>
      </c>
      <c r="J926" s="380" t="s">
        <v>773</v>
      </c>
      <c r="K926" s="381">
        <v>0.0</v>
      </c>
      <c r="L926" s="382">
        <v>1.0</v>
      </c>
    </row>
    <row r="927">
      <c r="A927" s="380" t="s">
        <v>1768</v>
      </c>
      <c r="B927" s="380" t="str">
        <f>IFERROR(__xludf.DUMMYFUNCTION("""COMPUTED_VALUE"""),"Insecticidas Jardines")</f>
        <v>Insecticidas Jardines</v>
      </c>
      <c r="C927" s="380" t="str">
        <f>IFERROR(__xludf.DUMMYFUNCTION("""COMPUTED_VALUE"""),"10000731")</f>
        <v>10000731</v>
      </c>
      <c r="D927" s="380" t="s">
        <v>767</v>
      </c>
      <c r="E927" s="380" t="s">
        <v>768</v>
      </c>
      <c r="F927" s="380" t="s">
        <v>769</v>
      </c>
      <c r="G927" s="380" t="s">
        <v>1267</v>
      </c>
      <c r="H927" s="380" t="s">
        <v>771</v>
      </c>
      <c r="I927" s="380" t="s">
        <v>772</v>
      </c>
      <c r="J927" s="380" t="s">
        <v>773</v>
      </c>
      <c r="K927" s="381">
        <v>0.0</v>
      </c>
      <c r="L927" s="382">
        <v>1.0</v>
      </c>
    </row>
    <row r="928">
      <c r="A928" s="380" t="s">
        <v>1769</v>
      </c>
      <c r="B928" s="380" t="str">
        <f>IFERROR(__xludf.DUMMYFUNCTION("""COMPUTED_VALUE"""),"Tonner Kyocera Tk 3202")</f>
        <v>Tonner Kyocera Tk 3202</v>
      </c>
      <c r="C928" s="380" t="str">
        <f>IFERROR(__xludf.DUMMYFUNCTION("""COMPUTED_VALUE"""),"10000732")</f>
        <v>10000732</v>
      </c>
      <c r="D928" s="380" t="s">
        <v>767</v>
      </c>
      <c r="E928" s="380" t="s">
        <v>768</v>
      </c>
      <c r="F928" s="380" t="s">
        <v>797</v>
      </c>
      <c r="G928" s="380" t="s">
        <v>1267</v>
      </c>
      <c r="H928" s="380" t="s">
        <v>771</v>
      </c>
      <c r="I928" s="380" t="s">
        <v>799</v>
      </c>
      <c r="J928" s="380" t="s">
        <v>773</v>
      </c>
      <c r="K928" s="381">
        <v>702100.0</v>
      </c>
      <c r="L928" s="382">
        <v>1.0</v>
      </c>
    </row>
    <row r="929">
      <c r="A929" s="380" t="s">
        <v>1770</v>
      </c>
      <c r="B929" s="380" t="str">
        <f>IFERROR(__xludf.DUMMYFUNCTION("""COMPUTED_VALUE"""),"Modulo Droop Reparado")</f>
        <v>Modulo Droop Reparado</v>
      </c>
      <c r="C929" s="380" t="str">
        <f>IFERROR(__xludf.DUMMYFUNCTION("""COMPUTED_VALUE"""),"10000733")</f>
        <v>10000733</v>
      </c>
      <c r="D929" s="380" t="s">
        <v>767</v>
      </c>
      <c r="E929" s="380" t="s">
        <v>768</v>
      </c>
      <c r="F929" s="380" t="s">
        <v>797</v>
      </c>
      <c r="G929" s="380" t="s">
        <v>1267</v>
      </c>
      <c r="H929" s="380" t="s">
        <v>771</v>
      </c>
      <c r="I929" s="380" t="s">
        <v>799</v>
      </c>
      <c r="J929" s="380" t="s">
        <v>773</v>
      </c>
      <c r="K929" s="381">
        <v>0.0</v>
      </c>
      <c r="L929" s="382">
        <v>1.0</v>
      </c>
    </row>
    <row r="930">
      <c r="A930" s="380" t="s">
        <v>1771</v>
      </c>
      <c r="B930" s="380" t="str">
        <f>IFERROR(__xludf.DUMMYFUNCTION("""COMPUTED_VALUE"""),"Modulo De 4 Cuerpos Estanteria")</f>
        <v>Modulo De 4 Cuerpos Estanteria</v>
      </c>
      <c r="C930" s="380" t="str">
        <f>IFERROR(__xludf.DUMMYFUNCTION("""COMPUTED_VALUE"""),"10000734")</f>
        <v>10000734</v>
      </c>
      <c r="D930" s="380" t="s">
        <v>767</v>
      </c>
      <c r="E930" s="380" t="s">
        <v>768</v>
      </c>
      <c r="F930" s="380" t="s">
        <v>797</v>
      </c>
      <c r="G930" s="380" t="s">
        <v>1267</v>
      </c>
      <c r="H930" s="380" t="s">
        <v>771</v>
      </c>
      <c r="I930" s="380" t="s">
        <v>799</v>
      </c>
      <c r="J930" s="380" t="s">
        <v>773</v>
      </c>
      <c r="K930" s="381">
        <v>0.0</v>
      </c>
      <c r="L930" s="382">
        <v>1.0</v>
      </c>
    </row>
    <row r="931">
      <c r="A931" s="380" t="s">
        <v>1772</v>
      </c>
      <c r="B931" s="380" t="str">
        <f>IFERROR(__xludf.DUMMYFUNCTION("""COMPUTED_VALUE"""),"Modulo De 2 Cuerpos Estanteria")</f>
        <v>Modulo De 2 Cuerpos Estanteria</v>
      </c>
      <c r="C931" s="380" t="str">
        <f>IFERROR(__xludf.DUMMYFUNCTION("""COMPUTED_VALUE"""),"10000735")</f>
        <v>10000735</v>
      </c>
      <c r="D931" s="380" t="s">
        <v>767</v>
      </c>
      <c r="E931" s="380" t="s">
        <v>768</v>
      </c>
      <c r="F931" s="380" t="s">
        <v>797</v>
      </c>
      <c r="G931" s="380" t="s">
        <v>1267</v>
      </c>
      <c r="H931" s="380" t="s">
        <v>771</v>
      </c>
      <c r="I931" s="380" t="s">
        <v>799</v>
      </c>
      <c r="J931" s="380" t="s">
        <v>773</v>
      </c>
      <c r="K931" s="381">
        <v>0.0</v>
      </c>
      <c r="L931" s="382">
        <v>1.0</v>
      </c>
    </row>
    <row r="932">
      <c r="A932" s="380" t="s">
        <v>1773</v>
      </c>
      <c r="B932" s="380" t="str">
        <f>IFERROR(__xludf.DUMMYFUNCTION("""COMPUTED_VALUE"""),"Modulo De 6 Cuerpos Estanteria")</f>
        <v>Modulo De 6 Cuerpos Estanteria</v>
      </c>
      <c r="C932" s="380" t="str">
        <f>IFERROR(__xludf.DUMMYFUNCTION("""COMPUTED_VALUE"""),"10000736")</f>
        <v>10000736</v>
      </c>
      <c r="D932" s="380" t="s">
        <v>767</v>
      </c>
      <c r="E932" s="380" t="s">
        <v>768</v>
      </c>
      <c r="F932" s="380" t="s">
        <v>797</v>
      </c>
      <c r="G932" s="380" t="s">
        <v>1267</v>
      </c>
      <c r="H932" s="380" t="s">
        <v>771</v>
      </c>
      <c r="I932" s="380" t="s">
        <v>799</v>
      </c>
      <c r="J932" s="380" t="s">
        <v>773</v>
      </c>
      <c r="K932" s="381">
        <v>0.0</v>
      </c>
      <c r="L932" s="382">
        <v>1.0</v>
      </c>
    </row>
    <row r="933">
      <c r="A933" s="380" t="s">
        <v>1774</v>
      </c>
      <c r="B933" s="380" t="str">
        <f>IFERROR(__xludf.DUMMYFUNCTION("""COMPUTED_VALUE"""),"Modulo De 5 Cuerpos Estanteria")</f>
        <v>Modulo De 5 Cuerpos Estanteria</v>
      </c>
      <c r="C933" s="380" t="str">
        <f>IFERROR(__xludf.DUMMYFUNCTION("""COMPUTED_VALUE"""),"10000737")</f>
        <v>10000737</v>
      </c>
      <c r="D933" s="380" t="s">
        <v>767</v>
      </c>
      <c r="E933" s="380" t="s">
        <v>768</v>
      </c>
      <c r="F933" s="380" t="s">
        <v>797</v>
      </c>
      <c r="G933" s="380" t="s">
        <v>1267</v>
      </c>
      <c r="H933" s="380" t="s">
        <v>771</v>
      </c>
      <c r="I933" s="380" t="s">
        <v>799</v>
      </c>
      <c r="J933" s="380" t="s">
        <v>773</v>
      </c>
      <c r="K933" s="381">
        <v>0.0</v>
      </c>
      <c r="L933" s="382">
        <v>1.0</v>
      </c>
    </row>
    <row r="934">
      <c r="A934" s="380" t="s">
        <v>1775</v>
      </c>
      <c r="B934" s="380" t="str">
        <f>IFERROR(__xludf.DUMMYFUNCTION("""COMPUTED_VALUE"""),"Mesa Rimax Varias Locativos")</f>
        <v>Mesa Rimax Varias Locativos</v>
      </c>
      <c r="C934" s="380" t="str">
        <f>IFERROR(__xludf.DUMMYFUNCTION("""COMPUTED_VALUE"""),"10000738")</f>
        <v>10000738</v>
      </c>
      <c r="D934" s="380" t="s">
        <v>767</v>
      </c>
      <c r="E934" s="380" t="s">
        <v>768</v>
      </c>
      <c r="F934" s="380" t="s">
        <v>797</v>
      </c>
      <c r="G934" s="380" t="s">
        <v>1267</v>
      </c>
      <c r="H934" s="380" t="s">
        <v>771</v>
      </c>
      <c r="I934" s="380" t="s">
        <v>799</v>
      </c>
      <c r="J934" s="380" t="s">
        <v>773</v>
      </c>
      <c r="K934" s="381">
        <v>0.0</v>
      </c>
      <c r="L934" s="382">
        <v>1.0</v>
      </c>
    </row>
    <row r="935">
      <c r="A935" s="380" t="s">
        <v>1776</v>
      </c>
      <c r="B935" s="380" t="str">
        <f>IFERROR(__xludf.DUMMYFUNCTION("""COMPUTED_VALUE"""),"Tarjeta Mifare (Rfid) Ref Acce")</f>
        <v>Tarjeta Mifare (Rfid) Ref Acce</v>
      </c>
      <c r="C935" s="380" t="str">
        <f>IFERROR(__xludf.DUMMYFUNCTION("""COMPUTED_VALUE"""),"10000739")</f>
        <v>10000739</v>
      </c>
      <c r="D935" s="380" t="s">
        <v>767</v>
      </c>
      <c r="E935" s="380" t="s">
        <v>768</v>
      </c>
      <c r="F935" s="380" t="s">
        <v>797</v>
      </c>
      <c r="G935" s="380" t="s">
        <v>1267</v>
      </c>
      <c r="H935" s="380" t="s">
        <v>771</v>
      </c>
      <c r="I935" s="380" t="s">
        <v>799</v>
      </c>
      <c r="J935" s="380" t="s">
        <v>773</v>
      </c>
      <c r="K935" s="381">
        <v>0.0</v>
      </c>
      <c r="L935" s="382">
        <v>1.0</v>
      </c>
    </row>
    <row r="936">
      <c r="A936" s="380" t="s">
        <v>1777</v>
      </c>
      <c r="B936" s="380" t="str">
        <f>IFERROR(__xludf.DUMMYFUNCTION("""COMPUTED_VALUE"""),"Tinta Canon Original 190 Negra")</f>
        <v>Tinta Canon Original 190 Negra</v>
      </c>
      <c r="C936" s="380" t="str">
        <f>IFERROR(__xludf.DUMMYFUNCTION("""COMPUTED_VALUE"""),"10000740")</f>
        <v>10000740</v>
      </c>
      <c r="D936" s="380" t="s">
        <v>767</v>
      </c>
      <c r="E936" s="380" t="s">
        <v>768</v>
      </c>
      <c r="F936" s="380" t="s">
        <v>797</v>
      </c>
      <c r="G936" s="380" t="s">
        <v>1267</v>
      </c>
      <c r="H936" s="380" t="s">
        <v>771</v>
      </c>
      <c r="I936" s="380" t="s">
        <v>799</v>
      </c>
      <c r="J936" s="380" t="s">
        <v>773</v>
      </c>
      <c r="K936" s="381">
        <v>0.0</v>
      </c>
      <c r="L936" s="382">
        <v>1.0</v>
      </c>
    </row>
    <row r="937">
      <c r="A937" s="380" t="s">
        <v>1778</v>
      </c>
      <c r="B937" s="380" t="str">
        <f>IFERROR(__xludf.DUMMYFUNCTION("""COMPUTED_VALUE"""),"Tinta Hp Gt53 Negro")</f>
        <v>Tinta Hp Gt53 Negro</v>
      </c>
      <c r="C937" s="380" t="str">
        <f>IFERROR(__xludf.DUMMYFUNCTION("""COMPUTED_VALUE"""),"10000741")</f>
        <v>10000741</v>
      </c>
      <c r="D937" s="380" t="s">
        <v>767</v>
      </c>
      <c r="E937" s="380" t="s">
        <v>768</v>
      </c>
      <c r="F937" s="380" t="s">
        <v>797</v>
      </c>
      <c r="G937" s="380" t="s">
        <v>1267</v>
      </c>
      <c r="H937" s="380" t="s">
        <v>771</v>
      </c>
      <c r="I937" s="380" t="s">
        <v>799</v>
      </c>
      <c r="J937" s="380" t="s">
        <v>773</v>
      </c>
      <c r="K937" s="381">
        <v>0.0</v>
      </c>
      <c r="L937" s="382">
        <v>1.0</v>
      </c>
    </row>
    <row r="938">
      <c r="A938" s="380" t="s">
        <v>1779</v>
      </c>
      <c r="B938" s="380" t="str">
        <f>IFERROR(__xludf.DUMMYFUNCTION("""COMPUTED_VALUE"""),"Bolsa Basura Papelera 35 Lts Negra")</f>
        <v>Bolsa Basura Papelera 35 Lts Negra</v>
      </c>
      <c r="C938" s="380" t="str">
        <f>IFERROR(__xludf.DUMMYFUNCTION("""COMPUTED_VALUE"""),"10000742")</f>
        <v>10000742</v>
      </c>
      <c r="D938" s="380" t="s">
        <v>767</v>
      </c>
      <c r="E938" s="380" t="s">
        <v>768</v>
      </c>
      <c r="F938" s="380" t="s">
        <v>769</v>
      </c>
      <c r="G938" s="380" t="s">
        <v>1267</v>
      </c>
      <c r="H938" s="380" t="s">
        <v>771</v>
      </c>
      <c r="I938" s="380" t="s">
        <v>772</v>
      </c>
      <c r="J938" s="380" t="s">
        <v>773</v>
      </c>
      <c r="K938" s="381">
        <v>263.0</v>
      </c>
      <c r="L938" s="382">
        <v>1.0</v>
      </c>
    </row>
    <row r="939">
      <c r="A939" s="380" t="s">
        <v>1780</v>
      </c>
      <c r="B939" s="380" t="str">
        <f>IFERROR(__xludf.DUMMYFUNCTION("""COMPUTED_VALUE"""),"Bolsa Basura Papelera 35 Lts Blanca")</f>
        <v>Bolsa Basura Papelera 35 Lts Blanca</v>
      </c>
      <c r="C939" s="380" t="str">
        <f>IFERROR(__xludf.DUMMYFUNCTION("""COMPUTED_VALUE"""),"10000743")</f>
        <v>10000743</v>
      </c>
      <c r="D939" s="380" t="s">
        <v>767</v>
      </c>
      <c r="E939" s="380" t="s">
        <v>768</v>
      </c>
      <c r="F939" s="380" t="s">
        <v>769</v>
      </c>
      <c r="G939" s="380" t="s">
        <v>1267</v>
      </c>
      <c r="H939" s="380" t="s">
        <v>771</v>
      </c>
      <c r="I939" s="380" t="s">
        <v>772</v>
      </c>
      <c r="J939" s="380" t="s">
        <v>773</v>
      </c>
      <c r="K939" s="381">
        <v>263.0</v>
      </c>
      <c r="L939" s="382">
        <v>1.0</v>
      </c>
    </row>
    <row r="940">
      <c r="A940" s="380" t="s">
        <v>1781</v>
      </c>
      <c r="B940" s="380" t="str">
        <f>IFERROR(__xludf.DUMMYFUNCTION("""COMPUTED_VALUE"""),"Bolsa Basura Papelera 35 Lts Verde")</f>
        <v>Bolsa Basura Papelera 35 Lts Verde</v>
      </c>
      <c r="C940" s="380" t="str">
        <f>IFERROR(__xludf.DUMMYFUNCTION("""COMPUTED_VALUE"""),"10000744")</f>
        <v>10000744</v>
      </c>
      <c r="D940" s="380" t="s">
        <v>767</v>
      </c>
      <c r="E940" s="380" t="s">
        <v>768</v>
      </c>
      <c r="F940" s="380" t="s">
        <v>769</v>
      </c>
      <c r="G940" s="380" t="s">
        <v>1267</v>
      </c>
      <c r="H940" s="380" t="s">
        <v>771</v>
      </c>
      <c r="I940" s="380" t="s">
        <v>772</v>
      </c>
      <c r="J940" s="380" t="s">
        <v>773</v>
      </c>
      <c r="K940" s="381">
        <v>263.0</v>
      </c>
      <c r="L940" s="382">
        <v>1.0</v>
      </c>
    </row>
    <row r="941">
      <c r="A941" s="380" t="s">
        <v>1782</v>
      </c>
      <c r="B941" s="380" t="str">
        <f>IFERROR(__xludf.DUMMYFUNCTION("""COMPUTED_VALUE"""),"Bolsa Basura Papelera 35 Lts Roja")</f>
        <v>Bolsa Basura Papelera 35 Lts Roja</v>
      </c>
      <c r="C941" s="380" t="str">
        <f>IFERROR(__xludf.DUMMYFUNCTION("""COMPUTED_VALUE"""),"10000745")</f>
        <v>10000745</v>
      </c>
      <c r="D941" s="380" t="s">
        <v>767</v>
      </c>
      <c r="E941" s="380" t="s">
        <v>768</v>
      </c>
      <c r="F941" s="380" t="s">
        <v>769</v>
      </c>
      <c r="G941" s="380" t="s">
        <v>1267</v>
      </c>
      <c r="H941" s="380" t="s">
        <v>771</v>
      </c>
      <c r="I941" s="380" t="s">
        <v>772</v>
      </c>
      <c r="J941" s="380" t="s">
        <v>773</v>
      </c>
      <c r="K941" s="381">
        <v>0.0</v>
      </c>
      <c r="L941" s="382">
        <v>1.0</v>
      </c>
    </row>
    <row r="942">
      <c r="A942" s="380" t="s">
        <v>1783</v>
      </c>
      <c r="B942" s="380" t="str">
        <f>IFERROR(__xludf.DUMMYFUNCTION("""COMPUTED_VALUE"""),"Bolsa Basura Papelera 121 Lts Verde")</f>
        <v>Bolsa Basura Papelera 121 Lts Verde</v>
      </c>
      <c r="C942" s="380" t="str">
        <f>IFERROR(__xludf.DUMMYFUNCTION("""COMPUTED_VALUE"""),"10000746")</f>
        <v>10000746</v>
      </c>
      <c r="D942" s="380" t="s">
        <v>767</v>
      </c>
      <c r="E942" s="380" t="s">
        <v>768</v>
      </c>
      <c r="F942" s="380" t="s">
        <v>769</v>
      </c>
      <c r="G942" s="380" t="s">
        <v>1267</v>
      </c>
      <c r="H942" s="380" t="s">
        <v>771</v>
      </c>
      <c r="I942" s="380" t="s">
        <v>772</v>
      </c>
      <c r="J942" s="380" t="s">
        <v>773</v>
      </c>
      <c r="K942" s="381">
        <v>1126.0</v>
      </c>
      <c r="L942" s="382">
        <v>1.0</v>
      </c>
    </row>
    <row r="943">
      <c r="A943" s="380" t="s">
        <v>1784</v>
      </c>
      <c r="B943" s="380" t="str">
        <f>IFERROR(__xludf.DUMMYFUNCTION("""COMPUTED_VALUE"""),"Bolsa Basura Papelera 121 Lts Negra")</f>
        <v>Bolsa Basura Papelera 121 Lts Negra</v>
      </c>
      <c r="C943" s="380" t="str">
        <f>IFERROR(__xludf.DUMMYFUNCTION("""COMPUTED_VALUE"""),"10000747")</f>
        <v>10000747</v>
      </c>
      <c r="D943" s="380" t="s">
        <v>767</v>
      </c>
      <c r="E943" s="380" t="s">
        <v>768</v>
      </c>
      <c r="F943" s="380" t="s">
        <v>769</v>
      </c>
      <c r="G943" s="380" t="s">
        <v>1267</v>
      </c>
      <c r="H943" s="380" t="s">
        <v>771</v>
      </c>
      <c r="I943" s="380" t="s">
        <v>772</v>
      </c>
      <c r="J943" s="380" t="s">
        <v>773</v>
      </c>
      <c r="K943" s="381">
        <v>1126.0</v>
      </c>
      <c r="L943" s="382">
        <v>1.0</v>
      </c>
    </row>
    <row r="944">
      <c r="A944" s="380" t="s">
        <v>1785</v>
      </c>
      <c r="B944" s="380" t="str">
        <f>IFERROR(__xludf.DUMMYFUNCTION("""COMPUTED_VALUE"""),"Bolsa Basura Papelera 121 Lts Blanca")</f>
        <v>Bolsa Basura Papelera 121 Lts Blanca</v>
      </c>
      <c r="C944" s="380" t="str">
        <f>IFERROR(__xludf.DUMMYFUNCTION("""COMPUTED_VALUE"""),"10000748")</f>
        <v>10000748</v>
      </c>
      <c r="D944" s="380" t="s">
        <v>767</v>
      </c>
      <c r="E944" s="380" t="s">
        <v>768</v>
      </c>
      <c r="F944" s="380" t="s">
        <v>769</v>
      </c>
      <c r="G944" s="380" t="s">
        <v>1267</v>
      </c>
      <c r="H944" s="380" t="s">
        <v>771</v>
      </c>
      <c r="I944" s="380" t="s">
        <v>772</v>
      </c>
      <c r="J944" s="380" t="s">
        <v>773</v>
      </c>
      <c r="K944" s="381">
        <v>1126.0</v>
      </c>
      <c r="L944" s="382">
        <v>1.0</v>
      </c>
    </row>
    <row r="945">
      <c r="A945" s="380" t="s">
        <v>1786</v>
      </c>
      <c r="B945" s="380" t="str">
        <f>IFERROR(__xludf.DUMMYFUNCTION("""COMPUTED_VALUE"""),"Tijera Oficina Generica")</f>
        <v>Tijera Oficina Generica</v>
      </c>
      <c r="C945" s="380" t="str">
        <f>IFERROR(__xludf.DUMMYFUNCTION("""COMPUTED_VALUE"""),"10000749")</f>
        <v>10000749</v>
      </c>
      <c r="D945" s="380" t="s">
        <v>767</v>
      </c>
      <c r="E945" s="380" t="s">
        <v>768</v>
      </c>
      <c r="F945" s="380" t="s">
        <v>797</v>
      </c>
      <c r="G945" s="380" t="s">
        <v>1267</v>
      </c>
      <c r="H945" s="380" t="s">
        <v>771</v>
      </c>
      <c r="I945" s="380" t="s">
        <v>799</v>
      </c>
      <c r="J945" s="380" t="s">
        <v>773</v>
      </c>
      <c r="K945" s="381">
        <v>2313.0</v>
      </c>
      <c r="L945" s="382">
        <v>1.0</v>
      </c>
    </row>
    <row r="946">
      <c r="A946" s="380" t="s">
        <v>1787</v>
      </c>
      <c r="B946" s="380" t="str">
        <f>IFERROR(__xludf.DUMMYFUNCTION("""COMPUTED_VALUE"""),"Contrato Trabajo A Termino Ind")</f>
        <v>Contrato Trabajo A Termino Ind</v>
      </c>
      <c r="C946" s="380" t="str">
        <f>IFERROR(__xludf.DUMMYFUNCTION("""COMPUTED_VALUE"""),"10000750")</f>
        <v>10000750</v>
      </c>
      <c r="D946" s="380" t="s">
        <v>767</v>
      </c>
      <c r="E946" s="380" t="s">
        <v>768</v>
      </c>
      <c r="F946" s="380" t="s">
        <v>797</v>
      </c>
      <c r="G946" s="380" t="s">
        <v>1267</v>
      </c>
      <c r="H946" s="380" t="s">
        <v>771</v>
      </c>
      <c r="I946" s="380" t="s">
        <v>799</v>
      </c>
      <c r="J946" s="380" t="s">
        <v>773</v>
      </c>
      <c r="K946" s="381">
        <v>0.0</v>
      </c>
      <c r="L946" s="382">
        <v>1.0</v>
      </c>
    </row>
    <row r="947">
      <c r="A947" s="380" t="s">
        <v>1788</v>
      </c>
      <c r="B947" s="380" t="str">
        <f>IFERROR(__xludf.DUMMYFUNCTION("""COMPUTED_VALUE"""),"Tinta Para Sello Pequeño")</f>
        <v>Tinta Para Sello Pequeño</v>
      </c>
      <c r="C947" s="380" t="str">
        <f>IFERROR(__xludf.DUMMYFUNCTION("""COMPUTED_VALUE"""),"10000751")</f>
        <v>10000751</v>
      </c>
      <c r="D947" s="380" t="s">
        <v>767</v>
      </c>
      <c r="E947" s="380" t="s">
        <v>768</v>
      </c>
      <c r="F947" s="380" t="s">
        <v>797</v>
      </c>
      <c r="G947" s="380" t="s">
        <v>1267</v>
      </c>
      <c r="H947" s="380" t="s">
        <v>771</v>
      </c>
      <c r="I947" s="380" t="s">
        <v>799</v>
      </c>
      <c r="J947" s="380" t="s">
        <v>773</v>
      </c>
      <c r="K947" s="381">
        <v>0.0</v>
      </c>
      <c r="L947" s="382">
        <v>1.0</v>
      </c>
    </row>
    <row r="948">
      <c r="A948" s="380" t="s">
        <v>1789</v>
      </c>
      <c r="B948" s="380" t="str">
        <f>IFERROR(__xludf.DUMMYFUNCTION("""COMPUTED_VALUE"""),"Tinta Sello Grande")</f>
        <v>Tinta Sello Grande</v>
      </c>
      <c r="C948" s="380" t="str">
        <f>IFERROR(__xludf.DUMMYFUNCTION("""COMPUTED_VALUE"""),"10000752")</f>
        <v>10000752</v>
      </c>
      <c r="D948" s="380" t="s">
        <v>767</v>
      </c>
      <c r="E948" s="380" t="s">
        <v>768</v>
      </c>
      <c r="F948" s="380" t="s">
        <v>797</v>
      </c>
      <c r="G948" s="380" t="s">
        <v>1267</v>
      </c>
      <c r="H948" s="380" t="s">
        <v>771</v>
      </c>
      <c r="I948" s="380" t="s">
        <v>799</v>
      </c>
      <c r="J948" s="380" t="s">
        <v>773</v>
      </c>
      <c r="K948" s="381">
        <v>0.0</v>
      </c>
      <c r="L948" s="382">
        <v>1.0</v>
      </c>
    </row>
    <row r="949">
      <c r="A949" s="380" t="s">
        <v>1790</v>
      </c>
      <c r="B949" s="380" t="str">
        <f>IFERROR(__xludf.DUMMYFUNCTION("""COMPUTED_VALUE"""),"Toallas De Mano")</f>
        <v>Toallas De Mano</v>
      </c>
      <c r="C949" s="380" t="str">
        <f>IFERROR(__xludf.DUMMYFUNCTION("""COMPUTED_VALUE"""),"10000753")</f>
        <v>10000753</v>
      </c>
      <c r="D949" s="380" t="s">
        <v>767</v>
      </c>
      <c r="E949" s="380" t="s">
        <v>768</v>
      </c>
      <c r="F949" s="380" t="s">
        <v>769</v>
      </c>
      <c r="G949" s="380" t="s">
        <v>1267</v>
      </c>
      <c r="H949" s="380" t="s">
        <v>771</v>
      </c>
      <c r="I949" s="380" t="s">
        <v>772</v>
      </c>
      <c r="J949" s="380" t="s">
        <v>773</v>
      </c>
      <c r="K949" s="381">
        <v>0.0</v>
      </c>
      <c r="L949" s="382">
        <v>1.0</v>
      </c>
    </row>
    <row r="950">
      <c r="A950" s="380" t="s">
        <v>1791</v>
      </c>
      <c r="B950" s="380" t="str">
        <f>IFERROR(__xludf.DUMMYFUNCTION("""COMPUTED_VALUE"""),"Tonner Kyocera Tk 1147")</f>
        <v>Tonner Kyocera Tk 1147</v>
      </c>
      <c r="C950" s="380" t="str">
        <f>IFERROR(__xludf.DUMMYFUNCTION("""COMPUTED_VALUE"""),"10000754")</f>
        <v>10000754</v>
      </c>
      <c r="D950" s="380" t="s">
        <v>767</v>
      </c>
      <c r="E950" s="380" t="s">
        <v>768</v>
      </c>
      <c r="F950" s="380" t="s">
        <v>797</v>
      </c>
      <c r="G950" s="380" t="s">
        <v>1267</v>
      </c>
      <c r="H950" s="380" t="s">
        <v>771</v>
      </c>
      <c r="I950" s="380" t="s">
        <v>799</v>
      </c>
      <c r="J950" s="380" t="s">
        <v>773</v>
      </c>
      <c r="K950" s="381">
        <v>225175.0</v>
      </c>
      <c r="L950" s="382">
        <v>1.0</v>
      </c>
    </row>
    <row r="951">
      <c r="A951" s="380" t="s">
        <v>1792</v>
      </c>
      <c r="B951" s="380" t="str">
        <f>IFERROR(__xludf.DUMMYFUNCTION("""COMPUTED_VALUE"""),"Tonner Kyocera Tk 3102")</f>
        <v>Tonner Kyocera Tk 3102</v>
      </c>
      <c r="C951" s="380" t="str">
        <f>IFERROR(__xludf.DUMMYFUNCTION("""COMPUTED_VALUE"""),"10000755")</f>
        <v>10000755</v>
      </c>
      <c r="D951" s="380" t="s">
        <v>767</v>
      </c>
      <c r="E951" s="380" t="s">
        <v>768</v>
      </c>
      <c r="F951" s="380" t="s">
        <v>797</v>
      </c>
      <c r="G951" s="380" t="s">
        <v>1267</v>
      </c>
      <c r="H951" s="380" t="s">
        <v>771</v>
      </c>
      <c r="I951" s="380" t="s">
        <v>799</v>
      </c>
      <c r="J951" s="380" t="s">
        <v>773</v>
      </c>
      <c r="K951" s="381">
        <v>303450.0</v>
      </c>
      <c r="L951" s="382">
        <v>1.0</v>
      </c>
    </row>
    <row r="952">
      <c r="A952" s="380" t="s">
        <v>1793</v>
      </c>
      <c r="B952" s="380" t="str">
        <f>IFERROR(__xludf.DUMMYFUNCTION("""COMPUTED_VALUE"""),"Tonner Kyocera Tk 172")</f>
        <v>Tonner Kyocera Tk 172</v>
      </c>
      <c r="C952" s="380" t="str">
        <f>IFERROR(__xludf.DUMMYFUNCTION("""COMPUTED_VALUE"""),"10000756")</f>
        <v>10000756</v>
      </c>
      <c r="D952" s="380" t="s">
        <v>767</v>
      </c>
      <c r="E952" s="380" t="s">
        <v>768</v>
      </c>
      <c r="F952" s="380" t="s">
        <v>797</v>
      </c>
      <c r="G952" s="380" t="s">
        <v>1267</v>
      </c>
      <c r="H952" s="380" t="s">
        <v>771</v>
      </c>
      <c r="I952" s="380" t="s">
        <v>799</v>
      </c>
      <c r="J952" s="380" t="s">
        <v>773</v>
      </c>
      <c r="K952" s="381">
        <v>266778.0</v>
      </c>
      <c r="L952" s="382">
        <v>1.0</v>
      </c>
    </row>
    <row r="953">
      <c r="A953" s="380" t="s">
        <v>1794</v>
      </c>
      <c r="B953" s="380" t="str">
        <f>IFERROR(__xludf.DUMMYFUNCTION("""COMPUTED_VALUE"""),"Tonner Kyocera Tk 3132 Original")</f>
        <v>Tonner Kyocera Tk 3132 Original</v>
      </c>
      <c r="C953" s="380" t="str">
        <f>IFERROR(__xludf.DUMMYFUNCTION("""COMPUTED_VALUE"""),"10000757")</f>
        <v>10000757</v>
      </c>
      <c r="D953" s="380" t="s">
        <v>767</v>
      </c>
      <c r="E953" s="380" t="s">
        <v>768</v>
      </c>
      <c r="F953" s="380" t="s">
        <v>797</v>
      </c>
      <c r="G953" s="380" t="s">
        <v>1267</v>
      </c>
      <c r="H953" s="380" t="s">
        <v>771</v>
      </c>
      <c r="I953" s="380" t="s">
        <v>799</v>
      </c>
      <c r="J953" s="380" t="s">
        <v>773</v>
      </c>
      <c r="K953" s="381">
        <v>282731.0</v>
      </c>
      <c r="L953" s="382">
        <v>1.0</v>
      </c>
    </row>
    <row r="954">
      <c r="A954" s="380" t="s">
        <v>1795</v>
      </c>
      <c r="B954" s="380" t="str">
        <f>IFERROR(__xludf.DUMMYFUNCTION("""COMPUTED_VALUE"""),"Cartelera Corcho Terminal")</f>
        <v>Cartelera Corcho Terminal</v>
      </c>
      <c r="C954" s="380" t="str">
        <f>IFERROR(__xludf.DUMMYFUNCTION("""COMPUTED_VALUE"""),"10000758")</f>
        <v>10000758</v>
      </c>
      <c r="D954" s="380" t="s">
        <v>767</v>
      </c>
      <c r="E954" s="380" t="s">
        <v>768</v>
      </c>
      <c r="F954" s="380" t="s">
        <v>797</v>
      </c>
      <c r="G954" s="380" t="s">
        <v>1267</v>
      </c>
      <c r="H954" s="380" t="s">
        <v>771</v>
      </c>
      <c r="I954" s="380" t="s">
        <v>799</v>
      </c>
      <c r="J954" s="380" t="s">
        <v>773</v>
      </c>
      <c r="K954" s="381">
        <v>0.0</v>
      </c>
      <c r="L954" s="382">
        <v>1.0</v>
      </c>
    </row>
    <row r="955">
      <c r="A955" s="380" t="s">
        <v>1796</v>
      </c>
      <c r="B955" s="380" t="str">
        <f>IFERROR(__xludf.DUMMYFUNCTION("""COMPUTED_VALUE"""),"Ganchos De Ropa En Madera Y/O")</f>
        <v>Ganchos De Ropa En Madera Y/O</v>
      </c>
      <c r="C955" s="380" t="str">
        <f>IFERROR(__xludf.DUMMYFUNCTION("""COMPUTED_VALUE"""),"10000760")</f>
        <v>10000760</v>
      </c>
      <c r="D955" s="380" t="s">
        <v>767</v>
      </c>
      <c r="E955" s="380" t="s">
        <v>768</v>
      </c>
      <c r="F955" s="380" t="s">
        <v>769</v>
      </c>
      <c r="G955" s="380" t="s">
        <v>1267</v>
      </c>
      <c r="H955" s="380" t="s">
        <v>771</v>
      </c>
      <c r="I955" s="380" t="s">
        <v>772</v>
      </c>
      <c r="J955" s="380" t="s">
        <v>773</v>
      </c>
      <c r="K955" s="381">
        <v>0.0</v>
      </c>
      <c r="L955" s="382">
        <v>1.0</v>
      </c>
    </row>
    <row r="956">
      <c r="A956" s="380" t="s">
        <v>1797</v>
      </c>
      <c r="B956" s="380" t="str">
        <f>IFERROR(__xludf.DUMMYFUNCTION("""COMPUTED_VALUE"""),"Tinta Hp 1105w")</f>
        <v>Tinta Hp 1105w</v>
      </c>
      <c r="C956" s="380" t="str">
        <f>IFERROR(__xludf.DUMMYFUNCTION("""COMPUTED_VALUE"""),"10000761")</f>
        <v>10000761</v>
      </c>
      <c r="D956" s="380" t="s">
        <v>767</v>
      </c>
      <c r="E956" s="380" t="s">
        <v>768</v>
      </c>
      <c r="F956" s="380" t="s">
        <v>797</v>
      </c>
      <c r="G956" s="380" t="s">
        <v>1267</v>
      </c>
      <c r="H956" s="380" t="s">
        <v>771</v>
      </c>
      <c r="I956" s="380" t="s">
        <v>799</v>
      </c>
      <c r="J956" s="380" t="s">
        <v>773</v>
      </c>
      <c r="K956" s="381">
        <v>0.0</v>
      </c>
      <c r="L956" s="382">
        <v>1.0</v>
      </c>
    </row>
    <row r="957">
      <c r="A957" s="380" t="s">
        <v>1798</v>
      </c>
      <c r="B957" s="380" t="str">
        <f>IFERROR(__xludf.DUMMYFUNCTION("""COMPUTED_VALUE"""),"Tabla De Clips Oficio")</f>
        <v>Tabla De Clips Oficio</v>
      </c>
      <c r="C957" s="380" t="str">
        <f>IFERROR(__xludf.DUMMYFUNCTION("""COMPUTED_VALUE"""),"10000762")</f>
        <v>10000762</v>
      </c>
      <c r="D957" s="380" t="s">
        <v>767</v>
      </c>
      <c r="E957" s="380" t="s">
        <v>768</v>
      </c>
      <c r="F957" s="380" t="s">
        <v>797</v>
      </c>
      <c r="G957" s="380" t="s">
        <v>1267</v>
      </c>
      <c r="H957" s="380" t="s">
        <v>771</v>
      </c>
      <c r="I957" s="380" t="s">
        <v>799</v>
      </c>
      <c r="J957" s="380" t="s">
        <v>773</v>
      </c>
      <c r="K957" s="381">
        <v>0.0</v>
      </c>
      <c r="L957" s="382">
        <v>1.0</v>
      </c>
    </row>
    <row r="958">
      <c r="A958" s="380" t="s">
        <v>1799</v>
      </c>
      <c r="B958" s="380" t="str">
        <f>IFERROR(__xludf.DUMMYFUNCTION("""COMPUTED_VALUE"""),"Endredon Cama Sencilla")</f>
        <v>Endredon Cama Sencilla</v>
      </c>
      <c r="C958" s="380" t="str">
        <f>IFERROR(__xludf.DUMMYFUNCTION("""COMPUTED_VALUE"""),"10000763")</f>
        <v>10000763</v>
      </c>
      <c r="D958" s="380" t="s">
        <v>767</v>
      </c>
      <c r="E958" s="380" t="s">
        <v>768</v>
      </c>
      <c r="F958" s="380" t="s">
        <v>769</v>
      </c>
      <c r="G958" s="380" t="s">
        <v>1267</v>
      </c>
      <c r="H958" s="380" t="s">
        <v>771</v>
      </c>
      <c r="I958" s="380" t="s">
        <v>772</v>
      </c>
      <c r="J958" s="380" t="s">
        <v>773</v>
      </c>
      <c r="K958" s="381">
        <v>0.0</v>
      </c>
      <c r="L958" s="382">
        <v>1.0</v>
      </c>
    </row>
    <row r="959">
      <c r="A959" s="380" t="s">
        <v>1800</v>
      </c>
      <c r="B959" s="380" t="str">
        <f>IFERROR(__xludf.DUMMYFUNCTION("""COMPUTED_VALUE"""),"Vajilla 6 Puestos Especial")</f>
        <v>Vajilla 6 Puestos Especial</v>
      </c>
      <c r="C959" s="380" t="str">
        <f>IFERROR(__xludf.DUMMYFUNCTION("""COMPUTED_VALUE"""),"10000764")</f>
        <v>10000764</v>
      </c>
      <c r="D959" s="380" t="s">
        <v>767</v>
      </c>
      <c r="E959" s="380" t="s">
        <v>768</v>
      </c>
      <c r="F959" s="380" t="s">
        <v>769</v>
      </c>
      <c r="G959" s="380" t="s">
        <v>1267</v>
      </c>
      <c r="H959" s="380" t="s">
        <v>771</v>
      </c>
      <c r="I959" s="380" t="s">
        <v>772</v>
      </c>
      <c r="J959" s="380" t="s">
        <v>773</v>
      </c>
      <c r="K959" s="381">
        <v>0.0</v>
      </c>
      <c r="L959" s="382">
        <v>1.0</v>
      </c>
    </row>
    <row r="960">
      <c r="A960" s="380" t="s">
        <v>1801</v>
      </c>
      <c r="B960" s="380" t="str">
        <f>IFERROR(__xludf.DUMMYFUNCTION("""COMPUTED_VALUE"""),"Cobija Termica Especial")</f>
        <v>Cobija Termica Especial</v>
      </c>
      <c r="C960" s="380" t="str">
        <f>IFERROR(__xludf.DUMMYFUNCTION("""COMPUTED_VALUE"""),"10000765")</f>
        <v>10000765</v>
      </c>
      <c r="D960" s="380" t="s">
        <v>767</v>
      </c>
      <c r="E960" s="380" t="s">
        <v>768</v>
      </c>
      <c r="F960" s="380" t="s">
        <v>769</v>
      </c>
      <c r="G960" s="380" t="s">
        <v>1267</v>
      </c>
      <c r="H960" s="380" t="s">
        <v>771</v>
      </c>
      <c r="I960" s="380" t="s">
        <v>772</v>
      </c>
      <c r="J960" s="380" t="s">
        <v>773</v>
      </c>
      <c r="K960" s="381">
        <v>0.0</v>
      </c>
      <c r="L960" s="382">
        <v>1.0</v>
      </c>
    </row>
    <row r="961">
      <c r="A961" s="380" t="s">
        <v>1802</v>
      </c>
      <c r="B961" s="380" t="str">
        <f>IFERROR(__xludf.DUMMYFUNCTION("""COMPUTED_VALUE"""),"Bolsa Basura Papelera 9 - 10 L Blanca")</f>
        <v>Bolsa Basura Papelera 9 - 10 L Blanca</v>
      </c>
      <c r="C961" s="380" t="str">
        <f>IFERROR(__xludf.DUMMYFUNCTION("""COMPUTED_VALUE"""),"10000766")</f>
        <v>10000766</v>
      </c>
      <c r="D961" s="380" t="s">
        <v>767</v>
      </c>
      <c r="E961" s="380" t="s">
        <v>768</v>
      </c>
      <c r="F961" s="380" t="s">
        <v>769</v>
      </c>
      <c r="G961" s="380" t="s">
        <v>1267</v>
      </c>
      <c r="H961" s="380" t="s">
        <v>771</v>
      </c>
      <c r="I961" s="380" t="s">
        <v>772</v>
      </c>
      <c r="J961" s="380" t="s">
        <v>773</v>
      </c>
      <c r="K961" s="381">
        <v>104.0</v>
      </c>
      <c r="L961" s="382">
        <v>1.0</v>
      </c>
    </row>
    <row r="962">
      <c r="A962" s="380" t="s">
        <v>1803</v>
      </c>
      <c r="B962" s="380" t="str">
        <f>IFERROR(__xludf.DUMMYFUNCTION("""COMPUTED_VALUE"""),"Bolsa Basura Papelera 9 - 10 L Negra")</f>
        <v>Bolsa Basura Papelera 9 - 10 L Negra</v>
      </c>
      <c r="C962" s="380" t="str">
        <f>IFERROR(__xludf.DUMMYFUNCTION("""COMPUTED_VALUE"""),"10000767")</f>
        <v>10000767</v>
      </c>
      <c r="D962" s="380" t="s">
        <v>767</v>
      </c>
      <c r="E962" s="380" t="s">
        <v>768</v>
      </c>
      <c r="F962" s="380" t="s">
        <v>769</v>
      </c>
      <c r="G962" s="380" t="s">
        <v>1267</v>
      </c>
      <c r="H962" s="380" t="s">
        <v>771</v>
      </c>
      <c r="I962" s="380" t="s">
        <v>772</v>
      </c>
      <c r="J962" s="380" t="s">
        <v>773</v>
      </c>
      <c r="K962" s="381">
        <v>104.0</v>
      </c>
      <c r="L962" s="382">
        <v>1.0</v>
      </c>
    </row>
    <row r="963">
      <c r="A963" s="380" t="s">
        <v>1804</v>
      </c>
      <c r="B963" s="380" t="str">
        <f>IFERROR(__xludf.DUMMYFUNCTION("""COMPUTED_VALUE"""),"Bolsa Basura Papelera 9 - 10 L Verde")</f>
        <v>Bolsa Basura Papelera 9 - 10 L Verde</v>
      </c>
      <c r="C963" s="380" t="str">
        <f>IFERROR(__xludf.DUMMYFUNCTION("""COMPUTED_VALUE"""),"10000768")</f>
        <v>10000768</v>
      </c>
      <c r="D963" s="380" t="s">
        <v>767</v>
      </c>
      <c r="E963" s="380" t="s">
        <v>768</v>
      </c>
      <c r="F963" s="380" t="s">
        <v>769</v>
      </c>
      <c r="G963" s="380" t="s">
        <v>1267</v>
      </c>
      <c r="H963" s="380" t="s">
        <v>771</v>
      </c>
      <c r="I963" s="380" t="s">
        <v>772</v>
      </c>
      <c r="J963" s="380" t="s">
        <v>773</v>
      </c>
      <c r="K963" s="381">
        <v>104.0</v>
      </c>
      <c r="L963" s="382">
        <v>1.0</v>
      </c>
    </row>
    <row r="964">
      <c r="A964" s="380" t="s">
        <v>1805</v>
      </c>
      <c r="B964" s="380" t="str">
        <f>IFERROR(__xludf.DUMMYFUNCTION("""COMPUTED_VALUE"""),"Bolsa Basura Papelera 9 - 10 L Roja")</f>
        <v>Bolsa Basura Papelera 9 - 10 L Roja</v>
      </c>
      <c r="C964" s="380" t="str">
        <f>IFERROR(__xludf.DUMMYFUNCTION("""COMPUTED_VALUE"""),"10000769")</f>
        <v>10000769</v>
      </c>
      <c r="D964" s="380" t="s">
        <v>767</v>
      </c>
      <c r="E964" s="380" t="s">
        <v>768</v>
      </c>
      <c r="F964" s="380" t="s">
        <v>769</v>
      </c>
      <c r="G964" s="380" t="s">
        <v>1267</v>
      </c>
      <c r="H964" s="380" t="s">
        <v>771</v>
      </c>
      <c r="I964" s="380" t="s">
        <v>772</v>
      </c>
      <c r="J964" s="380" t="s">
        <v>773</v>
      </c>
      <c r="K964" s="381">
        <v>0.0</v>
      </c>
      <c r="L964" s="382">
        <v>1.0</v>
      </c>
    </row>
    <row r="965">
      <c r="A965" s="380" t="s">
        <v>1806</v>
      </c>
      <c r="B965" s="380" t="str">
        <f>IFERROR(__xludf.DUMMYFUNCTION("""COMPUTED_VALUE"""),"Bolsa Basura Papelera 26 Lts Blanca")</f>
        <v>Bolsa Basura Papelera 26 Lts Blanca</v>
      </c>
      <c r="C965" s="380" t="str">
        <f>IFERROR(__xludf.DUMMYFUNCTION("""COMPUTED_VALUE"""),"10000770")</f>
        <v>10000770</v>
      </c>
      <c r="D965" s="380" t="s">
        <v>767</v>
      </c>
      <c r="E965" s="380" t="s">
        <v>768</v>
      </c>
      <c r="F965" s="380" t="s">
        <v>769</v>
      </c>
      <c r="G965" s="380" t="s">
        <v>1267</v>
      </c>
      <c r="H965" s="380" t="s">
        <v>771</v>
      </c>
      <c r="I965" s="380" t="s">
        <v>772</v>
      </c>
      <c r="J965" s="380" t="s">
        <v>773</v>
      </c>
      <c r="K965" s="381">
        <v>159.0</v>
      </c>
      <c r="L965" s="382">
        <v>1.0</v>
      </c>
    </row>
    <row r="966">
      <c r="A966" s="380" t="s">
        <v>1807</v>
      </c>
      <c r="B966" s="380" t="str">
        <f>IFERROR(__xludf.DUMMYFUNCTION("""COMPUTED_VALUE"""),"Bolsa Basura Papelera 26 Lts Roja")</f>
        <v>Bolsa Basura Papelera 26 Lts Roja</v>
      </c>
      <c r="C966" s="380" t="str">
        <f>IFERROR(__xludf.DUMMYFUNCTION("""COMPUTED_VALUE"""),"10000771")</f>
        <v>10000771</v>
      </c>
      <c r="D966" s="380" t="s">
        <v>767</v>
      </c>
      <c r="E966" s="380" t="s">
        <v>768</v>
      </c>
      <c r="F966" s="380" t="s">
        <v>769</v>
      </c>
      <c r="G966" s="380" t="s">
        <v>1267</v>
      </c>
      <c r="H966" s="380" t="s">
        <v>771</v>
      </c>
      <c r="I966" s="380" t="s">
        <v>772</v>
      </c>
      <c r="J966" s="380" t="s">
        <v>773</v>
      </c>
      <c r="K966" s="381">
        <v>0.0</v>
      </c>
      <c r="L966" s="382">
        <v>1.0</v>
      </c>
    </row>
    <row r="967">
      <c r="A967" s="380" t="s">
        <v>1808</v>
      </c>
      <c r="B967" s="380" t="str">
        <f>IFERROR(__xludf.DUMMYFUNCTION("""COMPUTED_VALUE"""),"Bolsa Basura Papelera 26 Lts Negra")</f>
        <v>Bolsa Basura Papelera 26 Lts Negra</v>
      </c>
      <c r="C967" s="380" t="str">
        <f>IFERROR(__xludf.DUMMYFUNCTION("""COMPUTED_VALUE"""),"10000772")</f>
        <v>10000772</v>
      </c>
      <c r="D967" s="380" t="s">
        <v>767</v>
      </c>
      <c r="E967" s="380" t="s">
        <v>768</v>
      </c>
      <c r="F967" s="380" t="s">
        <v>769</v>
      </c>
      <c r="G967" s="380" t="s">
        <v>1267</v>
      </c>
      <c r="H967" s="380" t="s">
        <v>771</v>
      </c>
      <c r="I967" s="380" t="s">
        <v>772</v>
      </c>
      <c r="J967" s="380" t="s">
        <v>773</v>
      </c>
      <c r="K967" s="381">
        <v>159.0</v>
      </c>
      <c r="L967" s="382">
        <v>1.0</v>
      </c>
    </row>
    <row r="968">
      <c r="A968" s="380" t="s">
        <v>1809</v>
      </c>
      <c r="B968" s="380" t="str">
        <f>IFERROR(__xludf.DUMMYFUNCTION("""COMPUTED_VALUE"""),"Bolsa Basura Papelera 26 Lts Verde")</f>
        <v>Bolsa Basura Papelera 26 Lts Verde</v>
      </c>
      <c r="C968" s="380" t="str">
        <f>IFERROR(__xludf.DUMMYFUNCTION("""COMPUTED_VALUE"""),"10000773")</f>
        <v>10000773</v>
      </c>
      <c r="D968" s="380" t="s">
        <v>767</v>
      </c>
      <c r="E968" s="380" t="s">
        <v>768</v>
      </c>
      <c r="F968" s="380" t="s">
        <v>769</v>
      </c>
      <c r="G968" s="380" t="s">
        <v>1267</v>
      </c>
      <c r="H968" s="380" t="s">
        <v>771</v>
      </c>
      <c r="I968" s="380" t="s">
        <v>772</v>
      </c>
      <c r="J968" s="380" t="s">
        <v>773</v>
      </c>
      <c r="K968" s="381">
        <v>159.0</v>
      </c>
      <c r="L968" s="382">
        <v>1.0</v>
      </c>
    </row>
    <row r="969">
      <c r="A969" s="380" t="s">
        <v>1810</v>
      </c>
      <c r="B969" s="380" t="str">
        <f>IFERROR(__xludf.DUMMYFUNCTION("""COMPUTED_VALUE"""),"Gel Antibacterial")</f>
        <v>Gel Antibacterial</v>
      </c>
      <c r="C969" s="380" t="str">
        <f>IFERROR(__xludf.DUMMYFUNCTION("""COMPUTED_VALUE"""),"10000774")</f>
        <v>10000774</v>
      </c>
      <c r="D969" s="380" t="s">
        <v>767</v>
      </c>
      <c r="E969" s="380" t="s">
        <v>768</v>
      </c>
      <c r="F969" s="380" t="s">
        <v>769</v>
      </c>
      <c r="G969" s="380" t="s">
        <v>1267</v>
      </c>
      <c r="H969" s="380" t="s">
        <v>771</v>
      </c>
      <c r="I969" s="380" t="s">
        <v>772</v>
      </c>
      <c r="J969" s="380" t="s">
        <v>773</v>
      </c>
      <c r="K969" s="381">
        <v>0.0</v>
      </c>
      <c r="L969" s="382">
        <v>1.0</v>
      </c>
    </row>
    <row r="970">
      <c r="A970" s="380" t="s">
        <v>1811</v>
      </c>
      <c r="B970" s="380" t="str">
        <f>IFERROR(__xludf.DUMMYFUNCTION("""COMPUTED_VALUE"""),"Cargador Baterias Aa Y Aaa")</f>
        <v>Cargador Baterias Aa Y Aaa</v>
      </c>
      <c r="C970" s="380" t="str">
        <f>IFERROR(__xludf.DUMMYFUNCTION("""COMPUTED_VALUE"""),"10000775")</f>
        <v>10000775</v>
      </c>
      <c r="D970" s="380" t="s">
        <v>767</v>
      </c>
      <c r="E970" s="380" t="s">
        <v>768</v>
      </c>
      <c r="F970" s="380" t="s">
        <v>797</v>
      </c>
      <c r="G970" s="380" t="s">
        <v>1267</v>
      </c>
      <c r="H970" s="380" t="s">
        <v>771</v>
      </c>
      <c r="I970" s="380" t="s">
        <v>799</v>
      </c>
      <c r="J970" s="380" t="s">
        <v>773</v>
      </c>
      <c r="K970" s="381">
        <v>0.0</v>
      </c>
      <c r="L970" s="382">
        <v>1.0</v>
      </c>
    </row>
    <row r="971">
      <c r="A971" s="380" t="s">
        <v>1812</v>
      </c>
      <c r="B971" s="380" t="str">
        <f>IFERROR(__xludf.DUMMYFUNCTION("""COMPUTED_VALUE"""),"Dispensador De Jabón / Antibac")</f>
        <v>Dispensador De Jabón / Antibac</v>
      </c>
      <c r="C971" s="380" t="str">
        <f>IFERROR(__xludf.DUMMYFUNCTION("""COMPUTED_VALUE"""),"10000776")</f>
        <v>10000776</v>
      </c>
      <c r="D971" s="380" t="s">
        <v>767</v>
      </c>
      <c r="E971" s="380" t="s">
        <v>768</v>
      </c>
      <c r="F971" s="380" t="s">
        <v>769</v>
      </c>
      <c r="G971" s="380" t="s">
        <v>1267</v>
      </c>
      <c r="H971" s="380" t="s">
        <v>771</v>
      </c>
      <c r="I971" s="380" t="s">
        <v>772</v>
      </c>
      <c r="J971" s="380" t="s">
        <v>773</v>
      </c>
      <c r="K971" s="381">
        <v>0.0</v>
      </c>
      <c r="L971" s="382">
        <v>1.0</v>
      </c>
    </row>
    <row r="972">
      <c r="A972" s="380" t="s">
        <v>1813</v>
      </c>
      <c r="B972" s="380" t="str">
        <f>IFERROR(__xludf.DUMMYFUNCTION("""COMPUTED_VALUE"""),"Credencial De Acceso")</f>
        <v>Credencial De Acceso</v>
      </c>
      <c r="C972" s="380" t="str">
        <f>IFERROR(__xludf.DUMMYFUNCTION("""COMPUTED_VALUE"""),"10000777")</f>
        <v>10000777</v>
      </c>
      <c r="D972" s="380" t="s">
        <v>767</v>
      </c>
      <c r="E972" s="380" t="s">
        <v>768</v>
      </c>
      <c r="F972" s="380" t="s">
        <v>797</v>
      </c>
      <c r="G972" s="380" t="s">
        <v>1267</v>
      </c>
      <c r="H972" s="380" t="s">
        <v>771</v>
      </c>
      <c r="I972" s="380" t="s">
        <v>799</v>
      </c>
      <c r="J972" s="380" t="s">
        <v>773</v>
      </c>
      <c r="K972" s="381">
        <v>0.0</v>
      </c>
      <c r="L972" s="382">
        <v>1.0</v>
      </c>
    </row>
    <row r="973">
      <c r="A973" s="380" t="s">
        <v>1814</v>
      </c>
      <c r="B973" s="380" t="str">
        <f>IFERROR(__xludf.DUMMYFUNCTION("""COMPUTED_VALUE"""),"Repuesto Balde Escurridor 36 L")</f>
        <v>Repuesto Balde Escurridor 36 L</v>
      </c>
      <c r="C973" s="380" t="str">
        <f>IFERROR(__xludf.DUMMYFUNCTION("""COMPUTED_VALUE"""),"10000778")</f>
        <v>10000778</v>
      </c>
      <c r="D973" s="380" t="s">
        <v>767</v>
      </c>
      <c r="E973" s="380" t="s">
        <v>768</v>
      </c>
      <c r="F973" s="380" t="s">
        <v>769</v>
      </c>
      <c r="G973" s="380" t="s">
        <v>1267</v>
      </c>
      <c r="H973" s="380" t="s">
        <v>771</v>
      </c>
      <c r="I973" s="380" t="s">
        <v>772</v>
      </c>
      <c r="J973" s="380" t="s">
        <v>773</v>
      </c>
      <c r="K973" s="381">
        <v>0.0</v>
      </c>
      <c r="L973" s="382">
        <v>1.0</v>
      </c>
    </row>
    <row r="974">
      <c r="A974" s="380" t="s">
        <v>1815</v>
      </c>
      <c r="B974" s="380" t="str">
        <f>IFERROR(__xludf.DUMMYFUNCTION("""COMPUTED_VALUE"""),"Intercomunicador Atención A Cl")</f>
        <v>Intercomunicador Atención A Cl</v>
      </c>
      <c r="C974" s="380" t="str">
        <f>IFERROR(__xludf.DUMMYFUNCTION("""COMPUTED_VALUE"""),"10000779")</f>
        <v>10000779</v>
      </c>
      <c r="D974" s="380" t="s">
        <v>767</v>
      </c>
      <c r="E974" s="380" t="s">
        <v>768</v>
      </c>
      <c r="F974" s="380" t="s">
        <v>797</v>
      </c>
      <c r="G974" s="380" t="s">
        <v>1267</v>
      </c>
      <c r="H974" s="380" t="s">
        <v>771</v>
      </c>
      <c r="I974" s="380" t="s">
        <v>799</v>
      </c>
      <c r="J974" s="380" t="s">
        <v>773</v>
      </c>
      <c r="K974" s="381">
        <v>0.0</v>
      </c>
      <c r="L974" s="382">
        <v>1.0</v>
      </c>
    </row>
    <row r="975">
      <c r="A975" s="380" t="s">
        <v>1816</v>
      </c>
      <c r="B975" s="380" t="str">
        <f>IFERROR(__xludf.DUMMYFUNCTION("""COMPUTED_VALUE"""),"Bateria Super Alcalina 23a 12v")</f>
        <v>Bateria Super Alcalina 23a 12v</v>
      </c>
      <c r="C975" s="380" t="str">
        <f>IFERROR(__xludf.DUMMYFUNCTION("""COMPUTED_VALUE"""),"10000780")</f>
        <v>10000780</v>
      </c>
      <c r="D975" s="380" t="s">
        <v>767</v>
      </c>
      <c r="E975" s="380" t="s">
        <v>768</v>
      </c>
      <c r="F975" s="380" t="s">
        <v>797</v>
      </c>
      <c r="G975" s="380" t="s">
        <v>1267</v>
      </c>
      <c r="H975" s="380" t="s">
        <v>771</v>
      </c>
      <c r="I975" s="380" t="s">
        <v>799</v>
      </c>
      <c r="J975" s="380" t="s">
        <v>773</v>
      </c>
      <c r="K975" s="381">
        <v>0.0</v>
      </c>
      <c r="L975" s="382">
        <v>1.0</v>
      </c>
    </row>
    <row r="976">
      <c r="A976" s="380" t="s">
        <v>1817</v>
      </c>
      <c r="B976" s="380" t="str">
        <f>IFERROR(__xludf.DUMMYFUNCTION("""COMPUTED_VALUE"""),"Tonner Kyocera Tk-3182")</f>
        <v>Tonner Kyocera Tk-3182</v>
      </c>
      <c r="C976" s="380" t="str">
        <f>IFERROR(__xludf.DUMMYFUNCTION("""COMPUTED_VALUE"""),"10000781")</f>
        <v>10000781</v>
      </c>
      <c r="D976" s="380" t="s">
        <v>767</v>
      </c>
      <c r="E976" s="380" t="s">
        <v>768</v>
      </c>
      <c r="F976" s="380" t="s">
        <v>797</v>
      </c>
      <c r="G976" s="380" t="s">
        <v>1267</v>
      </c>
      <c r="H976" s="380" t="s">
        <v>771</v>
      </c>
      <c r="I976" s="380" t="s">
        <v>799</v>
      </c>
      <c r="J976" s="380" t="s">
        <v>773</v>
      </c>
      <c r="K976" s="381">
        <v>333320.0</v>
      </c>
      <c r="L976" s="382">
        <v>1.0</v>
      </c>
    </row>
    <row r="977">
      <c r="A977" s="380" t="s">
        <v>1818</v>
      </c>
      <c r="B977" s="380" t="str">
        <f>IFERROR(__xludf.DUMMYFUNCTION("""COMPUTED_VALUE"""),"Fotocopias Mercadeo")</f>
        <v>Fotocopias Mercadeo</v>
      </c>
      <c r="C977" s="380" t="str">
        <f>IFERROR(__xludf.DUMMYFUNCTION("""COMPUTED_VALUE"""),"10000782")</f>
        <v>10000782</v>
      </c>
      <c r="D977" s="380" t="s">
        <v>767</v>
      </c>
      <c r="E977" s="380" t="s">
        <v>768</v>
      </c>
      <c r="F977" s="380" t="s">
        <v>797</v>
      </c>
      <c r="G977" s="380" t="s">
        <v>1267</v>
      </c>
      <c r="H977" s="380" t="s">
        <v>771</v>
      </c>
      <c r="I977" s="380" t="s">
        <v>799</v>
      </c>
      <c r="J977" s="380" t="s">
        <v>773</v>
      </c>
      <c r="K977" s="381">
        <v>0.0</v>
      </c>
      <c r="L977" s="382">
        <v>1.0</v>
      </c>
    </row>
    <row r="978">
      <c r="A978" s="380" t="s">
        <v>1819</v>
      </c>
      <c r="B978" s="380" t="str">
        <f>IFERROR(__xludf.DUMMYFUNCTION("""COMPUTED_VALUE"""),"Etiqueta Ban Hub")</f>
        <v>Etiqueta Ban Hub</v>
      </c>
      <c r="C978" s="380" t="str">
        <f>IFERROR(__xludf.DUMMYFUNCTION("""COMPUTED_VALUE"""),"10000783")</f>
        <v>10000783</v>
      </c>
      <c r="D978" s="380" t="s">
        <v>767</v>
      </c>
      <c r="E978" s="380" t="s">
        <v>768</v>
      </c>
      <c r="F978" s="380" t="s">
        <v>797</v>
      </c>
      <c r="G978" s="380" t="s">
        <v>1267</v>
      </c>
      <c r="H978" s="380" t="s">
        <v>771</v>
      </c>
      <c r="I978" s="380" t="s">
        <v>799</v>
      </c>
      <c r="J978" s="380" t="s">
        <v>773</v>
      </c>
      <c r="K978" s="381">
        <v>0.0</v>
      </c>
      <c r="L978" s="382">
        <v>1.0</v>
      </c>
    </row>
    <row r="979">
      <c r="A979" s="380" t="s">
        <v>1820</v>
      </c>
      <c r="B979" s="380" t="str">
        <f>IFERROR(__xludf.DUMMYFUNCTION("""COMPUTED_VALUE"""),"Alcohol Isopropilico No Gravad")</f>
        <v>Alcohol Isopropilico No Gravad</v>
      </c>
      <c r="C979" s="380" t="str">
        <f>IFERROR(__xludf.DUMMYFUNCTION("""COMPUTED_VALUE"""),"10000784")</f>
        <v>10000784</v>
      </c>
      <c r="D979" s="380" t="s">
        <v>767</v>
      </c>
      <c r="E979" s="380" t="s">
        <v>768</v>
      </c>
      <c r="F979" s="380" t="s">
        <v>769</v>
      </c>
      <c r="G979" s="380" t="s">
        <v>1267</v>
      </c>
      <c r="H979" s="380" t="s">
        <v>771</v>
      </c>
      <c r="I979" s="380" t="s">
        <v>772</v>
      </c>
      <c r="J979" s="380" t="s">
        <v>773</v>
      </c>
      <c r="K979" s="381">
        <v>0.0</v>
      </c>
      <c r="L979" s="382">
        <v>1.0</v>
      </c>
    </row>
    <row r="980">
      <c r="A980" s="380" t="s">
        <v>1821</v>
      </c>
      <c r="B980" s="380" t="str">
        <f>IFERROR(__xludf.DUMMYFUNCTION("""COMPUTED_VALUE"""),"Paño Microfibra")</f>
        <v>Paño Microfibra</v>
      </c>
      <c r="C980" s="380" t="str">
        <f>IFERROR(__xludf.DUMMYFUNCTION("""COMPUTED_VALUE"""),"10000785")</f>
        <v>10000785</v>
      </c>
      <c r="D980" s="380" t="s">
        <v>767</v>
      </c>
      <c r="E980" s="380" t="s">
        <v>768</v>
      </c>
      <c r="F980" s="380" t="s">
        <v>769</v>
      </c>
      <c r="G980" s="380" t="s">
        <v>1267</v>
      </c>
      <c r="H980" s="380" t="s">
        <v>771</v>
      </c>
      <c r="I980" s="380" t="s">
        <v>772</v>
      </c>
      <c r="J980" s="380" t="s">
        <v>773</v>
      </c>
      <c r="K980" s="381">
        <v>0.0</v>
      </c>
      <c r="L980" s="382">
        <v>1.0</v>
      </c>
    </row>
    <row r="981">
      <c r="A981" s="380" t="s">
        <v>1822</v>
      </c>
      <c r="B981" s="380" t="str">
        <f>IFERROR(__xludf.DUMMYFUNCTION("""COMPUTED_VALUE"""),"Canasta Ropa Sucia")</f>
        <v>Canasta Ropa Sucia</v>
      </c>
      <c r="C981" s="380" t="str">
        <f>IFERROR(__xludf.DUMMYFUNCTION("""COMPUTED_VALUE"""),"10000786")</f>
        <v>10000786</v>
      </c>
      <c r="D981" s="380" t="s">
        <v>767</v>
      </c>
      <c r="E981" s="380" t="s">
        <v>768</v>
      </c>
      <c r="F981" s="380" t="s">
        <v>769</v>
      </c>
      <c r="G981" s="380" t="s">
        <v>1267</v>
      </c>
      <c r="H981" s="380" t="s">
        <v>771</v>
      </c>
      <c r="I981" s="380" t="s">
        <v>772</v>
      </c>
      <c r="J981" s="380" t="s">
        <v>773</v>
      </c>
      <c r="K981" s="381">
        <v>0.0</v>
      </c>
      <c r="L981" s="382">
        <v>1.0</v>
      </c>
    </row>
    <row r="982">
      <c r="A982" s="380" t="s">
        <v>1823</v>
      </c>
      <c r="B982" s="380" t="str">
        <f>IFERROR(__xludf.DUMMYFUNCTION("""COMPUTED_VALUE"""),"Abono Para Matas")</f>
        <v>Abono Para Matas</v>
      </c>
      <c r="C982" s="380" t="str">
        <f>IFERROR(__xludf.DUMMYFUNCTION("""COMPUTED_VALUE"""),"10000787")</f>
        <v>10000787</v>
      </c>
      <c r="D982" s="380" t="s">
        <v>767</v>
      </c>
      <c r="E982" s="380" t="s">
        <v>768</v>
      </c>
      <c r="F982" s="380" t="s">
        <v>769</v>
      </c>
      <c r="G982" s="380" t="s">
        <v>1267</v>
      </c>
      <c r="H982" s="380" t="s">
        <v>771</v>
      </c>
      <c r="I982" s="380" t="s">
        <v>772</v>
      </c>
      <c r="J982" s="380" t="s">
        <v>773</v>
      </c>
      <c r="K982" s="381">
        <v>0.0</v>
      </c>
      <c r="L982" s="382">
        <v>1.0</v>
      </c>
    </row>
    <row r="983">
      <c r="A983" s="380" t="s">
        <v>1824</v>
      </c>
      <c r="B983" s="380" t="str">
        <f>IFERROR(__xludf.DUMMYFUNCTION("""COMPUTED_VALUE"""),"Fotocopias Desarrollo Humano")</f>
        <v>Fotocopias Desarrollo Humano</v>
      </c>
      <c r="C983" s="380" t="str">
        <f>IFERROR(__xludf.DUMMYFUNCTION("""COMPUTED_VALUE"""),"10000788")</f>
        <v>10000788</v>
      </c>
      <c r="D983" s="380" t="s">
        <v>767</v>
      </c>
      <c r="E983" s="380" t="s">
        <v>768</v>
      </c>
      <c r="F983" s="380" t="s">
        <v>797</v>
      </c>
      <c r="G983" s="380" t="s">
        <v>1267</v>
      </c>
      <c r="H983" s="380" t="s">
        <v>771</v>
      </c>
      <c r="I983" s="380" t="s">
        <v>799</v>
      </c>
      <c r="J983" s="380" t="s">
        <v>773</v>
      </c>
      <c r="K983" s="381">
        <v>0.0</v>
      </c>
      <c r="L983" s="382">
        <v>1.0</v>
      </c>
    </row>
    <row r="984">
      <c r="A984" s="380" t="s">
        <v>1825</v>
      </c>
      <c r="B984" s="380" t="str">
        <f>IFERROR(__xludf.DUMMYFUNCTION("""COMPUTED_VALUE"""),"Contenedor Plastico 120x114x86")</f>
        <v>Contenedor Plastico 120x114x86</v>
      </c>
      <c r="C984" s="380" t="str">
        <f>IFERROR(__xludf.DUMMYFUNCTION("""COMPUTED_VALUE"""),"10000789")</f>
        <v>10000789</v>
      </c>
      <c r="D984" s="380" t="s">
        <v>767</v>
      </c>
      <c r="E984" s="380" t="s">
        <v>768</v>
      </c>
      <c r="F984" s="380" t="s">
        <v>797</v>
      </c>
      <c r="G984" s="380" t="s">
        <v>1267</v>
      </c>
      <c r="H984" s="380" t="s">
        <v>771</v>
      </c>
      <c r="I984" s="380" t="s">
        <v>799</v>
      </c>
      <c r="J984" s="380" t="s">
        <v>773</v>
      </c>
      <c r="K984" s="381">
        <v>0.0</v>
      </c>
      <c r="L984" s="382">
        <v>1.0</v>
      </c>
    </row>
    <row r="985">
      <c r="A985" s="380" t="s">
        <v>1826</v>
      </c>
      <c r="B985" s="380" t="str">
        <f>IFERROR(__xludf.DUMMYFUNCTION("""COMPUTED_VALUE"""),"Jabon Liquido Manos Familia")</f>
        <v>Jabon Liquido Manos Familia</v>
      </c>
      <c r="C985" s="380" t="str">
        <f>IFERROR(__xludf.DUMMYFUNCTION("""COMPUTED_VALUE"""),"10000790")</f>
        <v>10000790</v>
      </c>
      <c r="D985" s="380" t="s">
        <v>767</v>
      </c>
      <c r="E985" s="380" t="s">
        <v>768</v>
      </c>
      <c r="F985" s="380" t="s">
        <v>769</v>
      </c>
      <c r="G985" s="380" t="s">
        <v>1267</v>
      </c>
      <c r="H985" s="380" t="s">
        <v>771</v>
      </c>
      <c r="I985" s="380" t="s">
        <v>772</v>
      </c>
      <c r="J985" s="380" t="s">
        <v>773</v>
      </c>
      <c r="K985" s="381">
        <v>32423.0</v>
      </c>
      <c r="L985" s="382">
        <v>1.0</v>
      </c>
    </row>
    <row r="986">
      <c r="A986" s="380" t="s">
        <v>1827</v>
      </c>
      <c r="B986" s="380" t="str">
        <f>IFERROR(__xludf.DUMMYFUNCTION("""COMPUTED_VALUE"""),"Papel Hig P/Dispensador Blanco")</f>
        <v>Papel Hig P/Dispensador Blanco</v>
      </c>
      <c r="C986" s="380" t="str">
        <f>IFERROR(__xludf.DUMMYFUNCTION("""COMPUTED_VALUE"""),"10000791")</f>
        <v>10000791</v>
      </c>
      <c r="D986" s="380" t="s">
        <v>767</v>
      </c>
      <c r="E986" s="380" t="s">
        <v>768</v>
      </c>
      <c r="F986" s="380" t="s">
        <v>769</v>
      </c>
      <c r="G986" s="380" t="s">
        <v>1267</v>
      </c>
      <c r="H986" s="380" t="s">
        <v>771</v>
      </c>
      <c r="I986" s="380" t="s">
        <v>772</v>
      </c>
      <c r="J986" s="380" t="s">
        <v>773</v>
      </c>
      <c r="K986" s="381">
        <v>13655.0</v>
      </c>
      <c r="L986" s="382">
        <v>1.0</v>
      </c>
    </row>
    <row r="987">
      <c r="A987" s="380" t="s">
        <v>1828</v>
      </c>
      <c r="B987" s="380" t="str">
        <f>IFERROR(__xludf.DUMMYFUNCTION("""COMPUTED_VALUE"""),"Hipoclorito De Sodio Por Litro")</f>
        <v>Hipoclorito De Sodio Por Litro</v>
      </c>
      <c r="C987" s="380" t="str">
        <f>IFERROR(__xludf.DUMMYFUNCTION("""COMPUTED_VALUE"""),"10000793")</f>
        <v>10000793</v>
      </c>
      <c r="D987" s="380" t="s">
        <v>767</v>
      </c>
      <c r="E987" s="380" t="s">
        <v>768</v>
      </c>
      <c r="F987" s="380" t="s">
        <v>769</v>
      </c>
      <c r="G987" s="380" t="s">
        <v>1267</v>
      </c>
      <c r="H987" s="380" t="s">
        <v>771</v>
      </c>
      <c r="I987" s="380" t="s">
        <v>772</v>
      </c>
      <c r="J987" s="380" t="s">
        <v>773</v>
      </c>
      <c r="K987" s="381">
        <v>0.0</v>
      </c>
      <c r="L987" s="382">
        <v>1.0</v>
      </c>
    </row>
    <row r="988">
      <c r="A988" s="380" t="s">
        <v>1829</v>
      </c>
      <c r="B988" s="380" t="str">
        <f>IFERROR(__xludf.DUMMYFUNCTION("""COMPUTED_VALUE"""),"Caneca 121 Litros Tapa Plana")</f>
        <v>Caneca 121 Litros Tapa Plana</v>
      </c>
      <c r="C988" s="380" t="str">
        <f>IFERROR(__xludf.DUMMYFUNCTION("""COMPUTED_VALUE"""),"10000795")</f>
        <v>10000795</v>
      </c>
      <c r="D988" s="380" t="s">
        <v>767</v>
      </c>
      <c r="E988" s="380" t="s">
        <v>768</v>
      </c>
      <c r="F988" s="380" t="s">
        <v>769</v>
      </c>
      <c r="G988" s="380" t="s">
        <v>1267</v>
      </c>
      <c r="H988" s="380" t="s">
        <v>771</v>
      </c>
      <c r="I988" s="380" t="s">
        <v>772</v>
      </c>
      <c r="J988" s="380" t="s">
        <v>773</v>
      </c>
      <c r="K988" s="381">
        <v>0.0</v>
      </c>
      <c r="L988" s="382">
        <v>1.0</v>
      </c>
    </row>
    <row r="989">
      <c r="A989" s="380" t="s">
        <v>1830</v>
      </c>
      <c r="B989" s="380" t="str">
        <f>IFERROR(__xludf.DUMMYFUNCTION("""COMPUTED_VALUE"""),"Archivador Fuelle Maletin Ofic")</f>
        <v>Archivador Fuelle Maletin Ofic</v>
      </c>
      <c r="C989" s="380" t="str">
        <f>IFERROR(__xludf.DUMMYFUNCTION("""COMPUTED_VALUE"""),"10000797")</f>
        <v>10000797</v>
      </c>
      <c r="D989" s="380" t="s">
        <v>767</v>
      </c>
      <c r="E989" s="380" t="s">
        <v>768</v>
      </c>
      <c r="F989" s="380" t="s">
        <v>797</v>
      </c>
      <c r="G989" s="380" t="s">
        <v>1267</v>
      </c>
      <c r="H989" s="380" t="s">
        <v>771</v>
      </c>
      <c r="I989" s="380" t="s">
        <v>799</v>
      </c>
      <c r="J989" s="380" t="s">
        <v>773</v>
      </c>
      <c r="K989" s="381">
        <v>0.0</v>
      </c>
      <c r="L989" s="382">
        <v>1.0</v>
      </c>
    </row>
    <row r="990">
      <c r="A990" s="380" t="s">
        <v>1831</v>
      </c>
      <c r="B990" s="380" t="str">
        <f>IFERROR(__xludf.DUMMYFUNCTION("""COMPUTED_VALUE"""),"Sobre Carabela Oficio Con Vent")</f>
        <v>Sobre Carabela Oficio Con Vent</v>
      </c>
      <c r="C990" s="380" t="str">
        <f>IFERROR(__xludf.DUMMYFUNCTION("""COMPUTED_VALUE"""),"10000798")</f>
        <v>10000798</v>
      </c>
      <c r="D990" s="380" t="s">
        <v>767</v>
      </c>
      <c r="E990" s="380" t="s">
        <v>768</v>
      </c>
      <c r="F990" s="380" t="s">
        <v>797</v>
      </c>
      <c r="G990" s="380" t="s">
        <v>1267</v>
      </c>
      <c r="H990" s="380" t="s">
        <v>771</v>
      </c>
      <c r="I990" s="380" t="s">
        <v>799</v>
      </c>
      <c r="J990" s="380" t="s">
        <v>773</v>
      </c>
      <c r="K990" s="381">
        <v>0.0</v>
      </c>
      <c r="L990" s="382">
        <v>1.0</v>
      </c>
    </row>
    <row r="991">
      <c r="A991" s="380" t="s">
        <v>1832</v>
      </c>
      <c r="B991" s="380" t="str">
        <f>IFERROR(__xludf.DUMMYFUNCTION("""COMPUTED_VALUE"""),"Sobre Manila 1/2 Carta")</f>
        <v>Sobre Manila 1/2 Carta</v>
      </c>
      <c r="C991" s="380" t="str">
        <f>IFERROR(__xludf.DUMMYFUNCTION("""COMPUTED_VALUE"""),"10000799")</f>
        <v>10000799</v>
      </c>
      <c r="D991" s="380" t="s">
        <v>767</v>
      </c>
      <c r="E991" s="380" t="s">
        <v>768</v>
      </c>
      <c r="F991" s="380" t="s">
        <v>797</v>
      </c>
      <c r="G991" s="380" t="s">
        <v>1267</v>
      </c>
      <c r="H991" s="380" t="s">
        <v>771</v>
      </c>
      <c r="I991" s="380" t="s">
        <v>799</v>
      </c>
      <c r="J991" s="380" t="s">
        <v>773</v>
      </c>
      <c r="K991" s="381">
        <v>88.0</v>
      </c>
      <c r="L991" s="382">
        <v>1.0</v>
      </c>
    </row>
    <row r="992">
      <c r="A992" s="380" t="s">
        <v>1833</v>
      </c>
      <c r="B992" s="380" t="str">
        <f>IFERROR(__xludf.DUMMYFUNCTION("""COMPUTED_VALUE"""),"Tetera Electrica")</f>
        <v>Tetera Electrica</v>
      </c>
      <c r="C992" s="380" t="str">
        <f>IFERROR(__xludf.DUMMYFUNCTION("""COMPUTED_VALUE"""),"10000800")</f>
        <v>10000800</v>
      </c>
      <c r="D992" s="380" t="s">
        <v>767</v>
      </c>
      <c r="E992" s="380" t="s">
        <v>768</v>
      </c>
      <c r="F992" s="380" t="s">
        <v>769</v>
      </c>
      <c r="G992" s="380" t="s">
        <v>1267</v>
      </c>
      <c r="H992" s="380" t="s">
        <v>771</v>
      </c>
      <c r="I992" s="380" t="s">
        <v>772</v>
      </c>
      <c r="J992" s="380" t="s">
        <v>773</v>
      </c>
      <c r="K992" s="381">
        <v>0.0</v>
      </c>
      <c r="L992" s="382">
        <v>1.0</v>
      </c>
    </row>
    <row r="993">
      <c r="A993" s="380" t="s">
        <v>1834</v>
      </c>
      <c r="B993" s="380" t="str">
        <f>IFERROR(__xludf.DUMMYFUNCTION("""COMPUTED_VALUE"""),"Sobre Manila Carta")</f>
        <v>Sobre Manila Carta</v>
      </c>
      <c r="C993" s="380" t="str">
        <f>IFERROR(__xludf.DUMMYFUNCTION("""COMPUTED_VALUE"""),"10000801")</f>
        <v>10000801</v>
      </c>
      <c r="D993" s="380" t="s">
        <v>767</v>
      </c>
      <c r="E993" s="380" t="s">
        <v>768</v>
      </c>
      <c r="F993" s="380" t="s">
        <v>797</v>
      </c>
      <c r="G993" s="380" t="s">
        <v>1267</v>
      </c>
      <c r="H993" s="380" t="s">
        <v>771</v>
      </c>
      <c r="I993" s="380" t="s">
        <v>799</v>
      </c>
      <c r="J993" s="380" t="s">
        <v>773</v>
      </c>
      <c r="K993" s="381">
        <v>113.0</v>
      </c>
      <c r="L993" s="382">
        <v>1.0</v>
      </c>
    </row>
    <row r="994">
      <c r="A994" s="380" t="s">
        <v>1835</v>
      </c>
      <c r="B994" s="380" t="str">
        <f>IFERROR(__xludf.DUMMYFUNCTION("""COMPUTED_VALUE"""),"Sobre Manila Oficio")</f>
        <v>Sobre Manila Oficio</v>
      </c>
      <c r="C994" s="380" t="str">
        <f>IFERROR(__xludf.DUMMYFUNCTION("""COMPUTED_VALUE"""),"10000802")</f>
        <v>10000802</v>
      </c>
      <c r="D994" s="380" t="s">
        <v>767</v>
      </c>
      <c r="E994" s="380" t="s">
        <v>768</v>
      </c>
      <c r="F994" s="380" t="s">
        <v>797</v>
      </c>
      <c r="G994" s="380" t="s">
        <v>1267</v>
      </c>
      <c r="H994" s="380" t="s">
        <v>771</v>
      </c>
      <c r="I994" s="380" t="s">
        <v>799</v>
      </c>
      <c r="J994" s="380" t="s">
        <v>773</v>
      </c>
      <c r="K994" s="381">
        <v>140.0</v>
      </c>
      <c r="L994" s="382">
        <v>1.0</v>
      </c>
    </row>
    <row r="995">
      <c r="A995" s="380" t="s">
        <v>1836</v>
      </c>
      <c r="B995" s="380" t="str">
        <f>IFERROR(__xludf.DUMMYFUNCTION("""COMPUTED_VALUE"""),"Sobre Manila Radiografia")</f>
        <v>Sobre Manila Radiografia</v>
      </c>
      <c r="C995" s="380" t="str">
        <f>IFERROR(__xludf.DUMMYFUNCTION("""COMPUTED_VALUE"""),"10000803")</f>
        <v>10000803</v>
      </c>
      <c r="D995" s="380" t="s">
        <v>767</v>
      </c>
      <c r="E995" s="380" t="s">
        <v>768</v>
      </c>
      <c r="F995" s="380" t="s">
        <v>797</v>
      </c>
      <c r="G995" s="380" t="s">
        <v>1267</v>
      </c>
      <c r="H995" s="380" t="s">
        <v>771</v>
      </c>
      <c r="I995" s="380" t="s">
        <v>799</v>
      </c>
      <c r="J995" s="380" t="s">
        <v>773</v>
      </c>
      <c r="K995" s="381">
        <v>274.0</v>
      </c>
      <c r="L995" s="382">
        <v>1.0</v>
      </c>
    </row>
    <row r="996">
      <c r="A996" s="380" t="s">
        <v>1837</v>
      </c>
      <c r="B996" s="380" t="str">
        <f>IFERROR(__xludf.DUMMYFUNCTION("""COMPUTED_VALUE"""),"Entrepaño 100 X 43 Cm Calib 16")</f>
        <v>Entrepaño 100 X 43 Cm Calib 16</v>
      </c>
      <c r="C996" s="380" t="str">
        <f>IFERROR(__xludf.DUMMYFUNCTION("""COMPUTED_VALUE"""),"10000804")</f>
        <v>10000804</v>
      </c>
      <c r="D996" s="380" t="s">
        <v>767</v>
      </c>
      <c r="E996" s="380" t="s">
        <v>768</v>
      </c>
      <c r="F996" s="380" t="s">
        <v>797</v>
      </c>
      <c r="G996" s="380" t="s">
        <v>1267</v>
      </c>
      <c r="H996" s="380" t="s">
        <v>771</v>
      </c>
      <c r="I996" s="380" t="s">
        <v>799</v>
      </c>
      <c r="J996" s="380" t="s">
        <v>773</v>
      </c>
      <c r="K996" s="381">
        <v>0.0</v>
      </c>
      <c r="L996" s="382">
        <v>1.0</v>
      </c>
    </row>
    <row r="997">
      <c r="A997" s="380" t="s">
        <v>1838</v>
      </c>
      <c r="B997" s="380" t="str">
        <f>IFERROR(__xludf.DUMMYFUNCTION("""COMPUTED_VALUE"""),"Papelera Pedal 2o Litros")</f>
        <v>Papelera Pedal 2o Litros</v>
      </c>
      <c r="C997" s="380" t="str">
        <f>IFERROR(__xludf.DUMMYFUNCTION("""COMPUTED_VALUE"""),"10000805")</f>
        <v>10000805</v>
      </c>
      <c r="D997" s="380" t="s">
        <v>767</v>
      </c>
      <c r="E997" s="380" t="s">
        <v>768</v>
      </c>
      <c r="F997" s="380" t="s">
        <v>769</v>
      </c>
      <c r="G997" s="380" t="s">
        <v>1267</v>
      </c>
      <c r="H997" s="380" t="s">
        <v>771</v>
      </c>
      <c r="I997" s="380" t="s">
        <v>772</v>
      </c>
      <c r="J997" s="380" t="s">
        <v>773</v>
      </c>
      <c r="K997" s="381">
        <v>64788.0</v>
      </c>
      <c r="L997" s="382">
        <v>1.0</v>
      </c>
    </row>
    <row r="998">
      <c r="A998" s="380" t="s">
        <v>1839</v>
      </c>
      <c r="B998" s="380" t="str">
        <f>IFERROR(__xludf.DUMMYFUNCTION("""COMPUTED_VALUE"""),"Dvd+R 4.7 Gb")</f>
        <v>Dvd+R 4.7 Gb</v>
      </c>
      <c r="C998" s="380" t="str">
        <f>IFERROR(__xludf.DUMMYFUNCTION("""COMPUTED_VALUE"""),"10000806")</f>
        <v>10000806</v>
      </c>
      <c r="D998" s="380" t="s">
        <v>767</v>
      </c>
      <c r="E998" s="380" t="s">
        <v>768</v>
      </c>
      <c r="F998" s="380" t="s">
        <v>797</v>
      </c>
      <c r="G998" s="380" t="s">
        <v>1267</v>
      </c>
      <c r="H998" s="380" t="s">
        <v>771</v>
      </c>
      <c r="I998" s="380" t="s">
        <v>799</v>
      </c>
      <c r="J998" s="380" t="s">
        <v>773</v>
      </c>
      <c r="K998" s="381">
        <v>0.0</v>
      </c>
      <c r="L998" s="382">
        <v>1.0</v>
      </c>
    </row>
    <row r="999">
      <c r="A999" s="380" t="s">
        <v>1840</v>
      </c>
      <c r="B999" s="380" t="str">
        <f>IFERROR(__xludf.DUMMYFUNCTION("""COMPUTED_VALUE"""),"Gancho Legajador Pplastico (Fr")</f>
        <v>Gancho Legajador Pplastico (Fr</v>
      </c>
      <c r="C999" s="380" t="str">
        <f>IFERROR(__xludf.DUMMYFUNCTION("""COMPUTED_VALUE"""),"10000807")</f>
        <v>10000807</v>
      </c>
      <c r="D999" s="380" t="s">
        <v>767</v>
      </c>
      <c r="E999" s="380" t="s">
        <v>768</v>
      </c>
      <c r="F999" s="380" t="s">
        <v>797</v>
      </c>
      <c r="G999" s="380" t="s">
        <v>1267</v>
      </c>
      <c r="H999" s="380" t="s">
        <v>771</v>
      </c>
      <c r="I999" s="380" t="s">
        <v>799</v>
      </c>
      <c r="J999" s="380" t="s">
        <v>773</v>
      </c>
      <c r="K999" s="381">
        <v>2262.0</v>
      </c>
      <c r="L999" s="382">
        <v>1.0</v>
      </c>
    </row>
    <row r="1000">
      <c r="A1000" s="380" t="s">
        <v>1841</v>
      </c>
      <c r="B1000" s="380" t="str">
        <f>IFERROR(__xludf.DUMMYFUNCTION("""COMPUTED_VALUE"""),"Sabras Para Cocina")</f>
        <v>Sabras Para Cocina</v>
      </c>
      <c r="C1000" s="380" t="str">
        <f>IFERROR(__xludf.DUMMYFUNCTION("""COMPUTED_VALUE"""),"10000808")</f>
        <v>10000808</v>
      </c>
      <c r="D1000" s="380" t="s">
        <v>767</v>
      </c>
      <c r="E1000" s="380" t="s">
        <v>768</v>
      </c>
      <c r="F1000" s="380" t="s">
        <v>769</v>
      </c>
      <c r="G1000" s="380" t="s">
        <v>1267</v>
      </c>
      <c r="H1000" s="380" t="s">
        <v>771</v>
      </c>
      <c r="I1000" s="380" t="s">
        <v>772</v>
      </c>
      <c r="J1000" s="380" t="s">
        <v>773</v>
      </c>
      <c r="K1000" s="381">
        <v>0.0</v>
      </c>
      <c r="L1000" s="382">
        <v>1.0</v>
      </c>
    </row>
    <row r="1001">
      <c r="A1001" s="380" t="s">
        <v>1842</v>
      </c>
      <c r="B1001" s="380" t="str">
        <f>IFERROR(__xludf.DUMMYFUNCTION("""COMPUTED_VALUE"""),"Sacagrapa")</f>
        <v>Sacagrapa</v>
      </c>
      <c r="C1001" s="380" t="str">
        <f>IFERROR(__xludf.DUMMYFUNCTION("""COMPUTED_VALUE"""),"10000809")</f>
        <v>10000809</v>
      </c>
      <c r="D1001" s="380" t="s">
        <v>767</v>
      </c>
      <c r="E1001" s="380" t="s">
        <v>768</v>
      </c>
      <c r="F1001" s="380" t="s">
        <v>797</v>
      </c>
      <c r="G1001" s="380" t="s">
        <v>1267</v>
      </c>
      <c r="H1001" s="380" t="s">
        <v>771</v>
      </c>
      <c r="I1001" s="380" t="s">
        <v>799</v>
      </c>
      <c r="J1001" s="380" t="s">
        <v>773</v>
      </c>
      <c r="K1001" s="381">
        <v>1705.0</v>
      </c>
      <c r="L1001" s="382">
        <v>1.0</v>
      </c>
    </row>
    <row r="1002">
      <c r="A1002" s="380" t="s">
        <v>1843</v>
      </c>
      <c r="B1002" s="380" t="str">
        <f>IFERROR(__xludf.DUMMYFUNCTION("""COMPUTED_VALUE"""),"Base Plastica Para Locker")</f>
        <v>Base Plastica Para Locker</v>
      </c>
      <c r="C1002" s="380" t="str">
        <f>IFERROR(__xludf.DUMMYFUNCTION("""COMPUTED_VALUE"""),"10000810")</f>
        <v>10000810</v>
      </c>
      <c r="D1002" s="380" t="s">
        <v>767</v>
      </c>
      <c r="E1002" s="380" t="s">
        <v>768</v>
      </c>
      <c r="F1002" s="380" t="s">
        <v>797</v>
      </c>
      <c r="G1002" s="380" t="s">
        <v>1267</v>
      </c>
      <c r="H1002" s="380" t="s">
        <v>771</v>
      </c>
      <c r="I1002" s="380" t="s">
        <v>799</v>
      </c>
      <c r="J1002" s="380" t="s">
        <v>773</v>
      </c>
      <c r="K1002" s="381">
        <v>0.0</v>
      </c>
      <c r="L1002" s="382">
        <v>1.0</v>
      </c>
    </row>
    <row r="1003">
      <c r="A1003" s="380" t="s">
        <v>1844</v>
      </c>
      <c r="B1003" s="380" t="str">
        <f>IFERROR(__xludf.DUMMYFUNCTION("""COMPUTED_VALUE"""),"Tornillo Ensamble Modular Lock")</f>
        <v>Tornillo Ensamble Modular Lock</v>
      </c>
      <c r="C1003" s="380" t="str">
        <f>IFERROR(__xludf.DUMMYFUNCTION("""COMPUTED_VALUE"""),"10000811")</f>
        <v>10000811</v>
      </c>
      <c r="D1003" s="380" t="s">
        <v>767</v>
      </c>
      <c r="E1003" s="380" t="s">
        <v>768</v>
      </c>
      <c r="F1003" s="380" t="s">
        <v>797</v>
      </c>
      <c r="G1003" s="380" t="s">
        <v>1267</v>
      </c>
      <c r="H1003" s="380" t="s">
        <v>771</v>
      </c>
      <c r="I1003" s="380" t="s">
        <v>799</v>
      </c>
      <c r="J1003" s="380" t="s">
        <v>773</v>
      </c>
      <c r="K1003" s="381">
        <v>0.0</v>
      </c>
      <c r="L1003" s="382">
        <v>1.0</v>
      </c>
    </row>
    <row r="1004">
      <c r="A1004" s="380" t="s">
        <v>1845</v>
      </c>
      <c r="B1004" s="380" t="str">
        <f>IFERROR(__xludf.DUMMYFUNCTION("""COMPUTED_VALUE"""),"Secador De Tela")</f>
        <v>Secador De Tela</v>
      </c>
      <c r="C1004" s="380" t="str">
        <f>IFERROR(__xludf.DUMMYFUNCTION("""COMPUTED_VALUE"""),"10000812")</f>
        <v>10000812</v>
      </c>
      <c r="D1004" s="380" t="s">
        <v>767</v>
      </c>
      <c r="E1004" s="380" t="s">
        <v>768</v>
      </c>
      <c r="F1004" s="380" t="s">
        <v>769</v>
      </c>
      <c r="G1004" s="380" t="s">
        <v>1267</v>
      </c>
      <c r="H1004" s="380" t="s">
        <v>771</v>
      </c>
      <c r="I1004" s="380" t="s">
        <v>772</v>
      </c>
      <c r="J1004" s="380" t="s">
        <v>773</v>
      </c>
      <c r="K1004" s="381">
        <v>4028.0</v>
      </c>
      <c r="L1004" s="382">
        <v>1.0</v>
      </c>
    </row>
    <row r="1005">
      <c r="A1005" s="380" t="s">
        <v>1846</v>
      </c>
      <c r="B1005" s="380" t="str">
        <f>IFERROR(__xludf.DUMMYFUNCTION("""COMPUTED_VALUE"""),"Sello Segurid Cinta Metalic Cm")</f>
        <v>Sello Segurid Cinta Metalic Cm</v>
      </c>
      <c r="C1005" s="380" t="str">
        <f>IFERROR(__xludf.DUMMYFUNCTION("""COMPUTED_VALUE"""),"10000813")</f>
        <v>10000813</v>
      </c>
      <c r="D1005" s="380" t="s">
        <v>767</v>
      </c>
      <c r="E1005" s="380" t="s">
        <v>768</v>
      </c>
      <c r="F1005" s="380" t="s">
        <v>797</v>
      </c>
      <c r="G1005" s="380" t="s">
        <v>1267</v>
      </c>
      <c r="H1005" s="380" t="s">
        <v>771</v>
      </c>
      <c r="I1005" s="380" t="s">
        <v>799</v>
      </c>
      <c r="J1005" s="380" t="s">
        <v>773</v>
      </c>
      <c r="K1005" s="381">
        <v>0.0</v>
      </c>
      <c r="L1005" s="382">
        <v>1.0</v>
      </c>
    </row>
    <row r="1006">
      <c r="A1006" s="380" t="s">
        <v>1847</v>
      </c>
      <c r="B1006" s="380" t="str">
        <f>IFERROR(__xludf.DUMMYFUNCTION("""COMPUTED_VALUE"""),"Sello Fechador")</f>
        <v>Sello Fechador</v>
      </c>
      <c r="C1006" s="380" t="str">
        <f>IFERROR(__xludf.DUMMYFUNCTION("""COMPUTED_VALUE"""),"10000814")</f>
        <v>10000814</v>
      </c>
      <c r="D1006" s="380" t="s">
        <v>767</v>
      </c>
      <c r="E1006" s="380" t="s">
        <v>768</v>
      </c>
      <c r="F1006" s="380" t="s">
        <v>797</v>
      </c>
      <c r="G1006" s="380" t="s">
        <v>1267</v>
      </c>
      <c r="H1006" s="380" t="s">
        <v>771</v>
      </c>
      <c r="I1006" s="380" t="s">
        <v>799</v>
      </c>
      <c r="J1006" s="380" t="s">
        <v>773</v>
      </c>
      <c r="K1006" s="381">
        <v>0.0</v>
      </c>
      <c r="L1006" s="382">
        <v>1.0</v>
      </c>
    </row>
    <row r="1007">
      <c r="A1007" s="380" t="s">
        <v>1848</v>
      </c>
      <c r="B1007" s="380" t="str">
        <f>IFERROR(__xludf.DUMMYFUNCTION("""COMPUTED_VALUE"""),"Tinta Epson Stylus T135120 Neg")</f>
        <v>Tinta Epson Stylus T135120 Neg</v>
      </c>
      <c r="C1007" s="380" t="str">
        <f>IFERROR(__xludf.DUMMYFUNCTION("""COMPUTED_VALUE"""),"10000815")</f>
        <v>10000815</v>
      </c>
      <c r="D1007" s="380" t="s">
        <v>767</v>
      </c>
      <c r="E1007" s="380" t="s">
        <v>768</v>
      </c>
      <c r="F1007" s="380" t="s">
        <v>797</v>
      </c>
      <c r="G1007" s="380" t="s">
        <v>1267</v>
      </c>
      <c r="H1007" s="380" t="s">
        <v>771</v>
      </c>
      <c r="I1007" s="380" t="s">
        <v>799</v>
      </c>
      <c r="J1007" s="380" t="s">
        <v>773</v>
      </c>
      <c r="K1007" s="381">
        <v>66640.0</v>
      </c>
      <c r="L1007" s="382">
        <v>1.0</v>
      </c>
    </row>
    <row r="1008">
      <c r="A1008" s="380" t="s">
        <v>1849</v>
      </c>
      <c r="B1008" s="380" t="str">
        <f>IFERROR(__xludf.DUMMYFUNCTION("""COMPUTED_VALUE"""),"Numerador Automático Nhitan")</f>
        <v>Numerador Automático Nhitan</v>
      </c>
      <c r="C1008" s="380" t="str">
        <f>IFERROR(__xludf.DUMMYFUNCTION("""COMPUTED_VALUE"""),"10000816")</f>
        <v>10000816</v>
      </c>
      <c r="D1008" s="380" t="s">
        <v>767</v>
      </c>
      <c r="E1008" s="380" t="s">
        <v>768</v>
      </c>
      <c r="F1008" s="380" t="s">
        <v>797</v>
      </c>
      <c r="G1008" s="380" t="s">
        <v>1267</v>
      </c>
      <c r="H1008" s="380" t="s">
        <v>771</v>
      </c>
      <c r="I1008" s="380" t="s">
        <v>799</v>
      </c>
      <c r="J1008" s="380" t="s">
        <v>773</v>
      </c>
      <c r="K1008" s="381">
        <v>0.0</v>
      </c>
      <c r="L1008" s="382">
        <v>1.0</v>
      </c>
    </row>
    <row r="1009">
      <c r="A1009" s="380" t="s">
        <v>1850</v>
      </c>
      <c r="B1009" s="380" t="str">
        <f>IFERROR(__xludf.DUMMYFUNCTION("""COMPUTED_VALUE"""),"Bolsa Basura 65x90 Azul Paq X100 Cal 0.8")</f>
        <v>Bolsa Basura 65x90 Azul Paq X100 Cal 0.8</v>
      </c>
      <c r="C1009" s="380" t="str">
        <f>IFERROR(__xludf.DUMMYFUNCTION("""COMPUTED_VALUE"""),"10000817")</f>
        <v>10000817</v>
      </c>
      <c r="D1009" s="380" t="s">
        <v>767</v>
      </c>
      <c r="E1009" s="380" t="s">
        <v>768</v>
      </c>
      <c r="F1009" s="380" t="s">
        <v>769</v>
      </c>
      <c r="G1009" s="380" t="s">
        <v>1267</v>
      </c>
      <c r="H1009" s="380" t="s">
        <v>771</v>
      </c>
      <c r="I1009" s="380" t="s">
        <v>772</v>
      </c>
      <c r="J1009" s="380" t="s">
        <v>773</v>
      </c>
      <c r="K1009" s="381">
        <v>0.0</v>
      </c>
      <c r="L1009" s="382">
        <v>1.0</v>
      </c>
    </row>
    <row r="1010">
      <c r="A1010" s="380" t="s">
        <v>1851</v>
      </c>
      <c r="B1010" s="380" t="str">
        <f>IFERROR(__xludf.DUMMYFUNCTION("""COMPUTED_VALUE"""),"Bolsa Basura 65x90 Crema PaqX100 Cal 0.8")</f>
        <v>Bolsa Basura 65x90 Crema PaqX100 Cal 0.8</v>
      </c>
      <c r="C1010" s="380" t="str">
        <f>IFERROR(__xludf.DUMMYFUNCTION("""COMPUTED_VALUE"""),"10000818")</f>
        <v>10000818</v>
      </c>
      <c r="D1010" s="380" t="s">
        <v>767</v>
      </c>
      <c r="E1010" s="380" t="s">
        <v>768</v>
      </c>
      <c r="F1010" s="380" t="s">
        <v>769</v>
      </c>
      <c r="G1010" s="380" t="s">
        <v>1267</v>
      </c>
      <c r="H1010" s="380" t="s">
        <v>771</v>
      </c>
      <c r="I1010" s="380" t="s">
        <v>772</v>
      </c>
      <c r="J1010" s="380" t="s">
        <v>773</v>
      </c>
      <c r="K1010" s="381">
        <v>0.0</v>
      </c>
      <c r="L1010" s="382">
        <v>1.0</v>
      </c>
    </row>
    <row r="1011">
      <c r="A1011" s="380" t="s">
        <v>1852</v>
      </c>
      <c r="B1011" s="380" t="str">
        <f>IFERROR(__xludf.DUMMYFUNCTION("""COMPUTED_VALUE"""),"Balanza Electronica Tipo Cocin")</f>
        <v>Balanza Electronica Tipo Cocin</v>
      </c>
      <c r="C1011" s="380" t="str">
        <f>IFERROR(__xludf.DUMMYFUNCTION("""COMPUTED_VALUE"""),"10000819")</f>
        <v>10000819</v>
      </c>
      <c r="D1011" s="380" t="s">
        <v>767</v>
      </c>
      <c r="E1011" s="380" t="s">
        <v>768</v>
      </c>
      <c r="F1011" s="380" t="s">
        <v>797</v>
      </c>
      <c r="G1011" s="380" t="s">
        <v>1267</v>
      </c>
      <c r="H1011" s="380" t="s">
        <v>771</v>
      </c>
      <c r="I1011" s="380" t="s">
        <v>799</v>
      </c>
      <c r="J1011" s="380" t="s">
        <v>773</v>
      </c>
      <c r="K1011" s="381">
        <v>0.0</v>
      </c>
      <c r="L1011" s="382">
        <v>1.0</v>
      </c>
    </row>
    <row r="1012">
      <c r="A1012" s="380" t="s">
        <v>1853</v>
      </c>
      <c r="B1012" s="380" t="str">
        <f>IFERROR(__xludf.DUMMYFUNCTION("""COMPUTED_VALUE"""),"Tonner Hp 280a")</f>
        <v>Tonner Hp 280a</v>
      </c>
      <c r="C1012" s="380" t="str">
        <f>IFERROR(__xludf.DUMMYFUNCTION("""COMPUTED_VALUE"""),"10000820")</f>
        <v>10000820</v>
      </c>
      <c r="D1012" s="380" t="s">
        <v>767</v>
      </c>
      <c r="E1012" s="380" t="s">
        <v>768</v>
      </c>
      <c r="F1012" s="380" t="s">
        <v>797</v>
      </c>
      <c r="G1012" s="380" t="s">
        <v>1267</v>
      </c>
      <c r="H1012" s="380" t="s">
        <v>771</v>
      </c>
      <c r="I1012" s="380" t="s">
        <v>799</v>
      </c>
      <c r="J1012" s="380" t="s">
        <v>773</v>
      </c>
      <c r="K1012" s="381">
        <v>0.0</v>
      </c>
      <c r="L1012" s="382">
        <v>1.0</v>
      </c>
    </row>
    <row r="1013">
      <c r="A1013" s="380" t="s">
        <v>1854</v>
      </c>
      <c r="B1013" s="380" t="str">
        <f>IFERROR(__xludf.DUMMYFUNCTION("""COMPUTED_VALUE"""),"Toalla De Mano En Rollo Famili")</f>
        <v>Toalla De Mano En Rollo Famili</v>
      </c>
      <c r="C1013" s="380" t="str">
        <f>IFERROR(__xludf.DUMMYFUNCTION("""COMPUTED_VALUE"""),"10000821")</f>
        <v>10000821</v>
      </c>
      <c r="D1013" s="380" t="s">
        <v>767</v>
      </c>
      <c r="E1013" s="380" t="s">
        <v>768</v>
      </c>
      <c r="F1013" s="380" t="s">
        <v>769</v>
      </c>
      <c r="G1013" s="380" t="s">
        <v>1267</v>
      </c>
      <c r="H1013" s="380" t="s">
        <v>771</v>
      </c>
      <c r="I1013" s="380" t="s">
        <v>772</v>
      </c>
      <c r="J1013" s="380" t="s">
        <v>773</v>
      </c>
      <c r="K1013" s="381">
        <v>20444.0</v>
      </c>
      <c r="L1013" s="382">
        <v>1.0</v>
      </c>
    </row>
    <row r="1014">
      <c r="A1014" s="380" t="s">
        <v>1855</v>
      </c>
      <c r="B1014" s="380" t="str">
        <f>IFERROR(__xludf.DUMMYFUNCTION("""COMPUTED_VALUE"""),"Etiqueta Dumy Ibague Ibague")</f>
        <v>Etiqueta Dumy Ibague Ibague</v>
      </c>
      <c r="C1014" s="380" t="str">
        <f>IFERROR(__xludf.DUMMYFUNCTION("""COMPUTED_VALUE"""),"10000822")</f>
        <v>10000822</v>
      </c>
      <c r="D1014" s="380" t="s">
        <v>767</v>
      </c>
      <c r="E1014" s="380" t="s">
        <v>768</v>
      </c>
      <c r="F1014" s="380" t="s">
        <v>797</v>
      </c>
      <c r="G1014" s="380" t="s">
        <v>1267</v>
      </c>
      <c r="H1014" s="380" t="s">
        <v>771</v>
      </c>
      <c r="I1014" s="380" t="s">
        <v>799</v>
      </c>
      <c r="J1014" s="380" t="s">
        <v>773</v>
      </c>
      <c r="K1014" s="381">
        <v>0.0</v>
      </c>
      <c r="L1014" s="382">
        <v>1.0</v>
      </c>
    </row>
    <row r="1015">
      <c r="A1015" s="380" t="s">
        <v>1856</v>
      </c>
      <c r="B1015" s="380" t="str">
        <f>IFERROR(__xludf.DUMMYFUNCTION("""COMPUTED_VALUE"""),"Etiqueta Dumy Ibague Barranquilla")</f>
        <v>Etiqueta Dumy Ibague Barranquilla</v>
      </c>
      <c r="C1015" s="380" t="str">
        <f>IFERROR(__xludf.DUMMYFUNCTION("""COMPUTED_VALUE"""),"10000823")</f>
        <v>10000823</v>
      </c>
      <c r="D1015" s="380" t="s">
        <v>767</v>
      </c>
      <c r="E1015" s="380" t="s">
        <v>768</v>
      </c>
      <c r="F1015" s="380" t="s">
        <v>797</v>
      </c>
      <c r="G1015" s="380" t="s">
        <v>1267</v>
      </c>
      <c r="H1015" s="380" t="s">
        <v>771</v>
      </c>
      <c r="I1015" s="380" t="s">
        <v>799</v>
      </c>
      <c r="J1015" s="380" t="s">
        <v>773</v>
      </c>
      <c r="K1015" s="381">
        <v>0.0</v>
      </c>
      <c r="L1015" s="382">
        <v>1.0</v>
      </c>
    </row>
    <row r="1016">
      <c r="A1016" s="380" t="s">
        <v>1857</v>
      </c>
      <c r="B1016" s="380" t="str">
        <f>IFERROR(__xludf.DUMMYFUNCTION("""COMPUTED_VALUE"""),"Etiqueta Dumy Ibague Pasto")</f>
        <v>Etiqueta Dumy Ibague Pasto</v>
      </c>
      <c r="C1016" s="380" t="str">
        <f>IFERROR(__xludf.DUMMYFUNCTION("""COMPUTED_VALUE"""),"10000824")</f>
        <v>10000824</v>
      </c>
      <c r="D1016" s="380" t="s">
        <v>767</v>
      </c>
      <c r="E1016" s="380" t="s">
        <v>768</v>
      </c>
      <c r="F1016" s="380" t="s">
        <v>797</v>
      </c>
      <c r="G1016" s="380" t="s">
        <v>1267</v>
      </c>
      <c r="H1016" s="380" t="s">
        <v>771</v>
      </c>
      <c r="I1016" s="380" t="s">
        <v>799</v>
      </c>
      <c r="J1016" s="380" t="s">
        <v>773</v>
      </c>
      <c r="K1016" s="381">
        <v>0.0</v>
      </c>
      <c r="L1016" s="382">
        <v>1.0</v>
      </c>
    </row>
    <row r="1017">
      <c r="A1017" s="380" t="s">
        <v>1858</v>
      </c>
      <c r="B1017" s="380" t="str">
        <f>IFERROR(__xludf.DUMMYFUNCTION("""COMPUTED_VALUE"""),"Etiqueta Dumy Ibague Pereira")</f>
        <v>Etiqueta Dumy Ibague Pereira</v>
      </c>
      <c r="C1017" s="380" t="str">
        <f>IFERROR(__xludf.DUMMYFUNCTION("""COMPUTED_VALUE"""),"10000825")</f>
        <v>10000825</v>
      </c>
      <c r="D1017" s="380" t="s">
        <v>767</v>
      </c>
      <c r="E1017" s="380" t="s">
        <v>768</v>
      </c>
      <c r="F1017" s="380" t="s">
        <v>797</v>
      </c>
      <c r="G1017" s="380" t="s">
        <v>1267</v>
      </c>
      <c r="H1017" s="380" t="s">
        <v>771</v>
      </c>
      <c r="I1017" s="380" t="s">
        <v>799</v>
      </c>
      <c r="J1017" s="380" t="s">
        <v>773</v>
      </c>
      <c r="K1017" s="381">
        <v>0.0</v>
      </c>
      <c r="L1017" s="382">
        <v>1.0</v>
      </c>
    </row>
    <row r="1018">
      <c r="A1018" s="380" t="s">
        <v>1859</v>
      </c>
      <c r="B1018" s="380" t="str">
        <f>IFERROR(__xludf.DUMMYFUNCTION("""COMPUTED_VALUE"""),"Etiqueta Dumy Ibague Neiva")</f>
        <v>Etiqueta Dumy Ibague Neiva</v>
      </c>
      <c r="C1018" s="380" t="str">
        <f>IFERROR(__xludf.DUMMYFUNCTION("""COMPUTED_VALUE"""),"10000826")</f>
        <v>10000826</v>
      </c>
      <c r="D1018" s="380" t="s">
        <v>767</v>
      </c>
      <c r="E1018" s="380" t="s">
        <v>768</v>
      </c>
      <c r="F1018" s="380" t="s">
        <v>797</v>
      </c>
      <c r="G1018" s="380" t="s">
        <v>1267</v>
      </c>
      <c r="H1018" s="380" t="s">
        <v>771</v>
      </c>
      <c r="I1018" s="380" t="s">
        <v>799</v>
      </c>
      <c r="J1018" s="380" t="s">
        <v>773</v>
      </c>
      <c r="K1018" s="381">
        <v>0.0</v>
      </c>
      <c r="L1018" s="382">
        <v>1.0</v>
      </c>
    </row>
    <row r="1019">
      <c r="A1019" s="380" t="s">
        <v>1860</v>
      </c>
      <c r="B1019" s="380" t="str">
        <f>IFERROR(__xludf.DUMMYFUNCTION("""COMPUTED_VALUE"""),"Etiqueta Dumy Ibague Bosconia")</f>
        <v>Etiqueta Dumy Ibague Bosconia</v>
      </c>
      <c r="C1019" s="380" t="str">
        <f>IFERROR(__xludf.DUMMYFUNCTION("""COMPUTED_VALUE"""),"10000827")</f>
        <v>10000827</v>
      </c>
      <c r="D1019" s="380" t="s">
        <v>767</v>
      </c>
      <c r="E1019" s="380" t="s">
        <v>768</v>
      </c>
      <c r="F1019" s="380" t="s">
        <v>797</v>
      </c>
      <c r="G1019" s="380" t="s">
        <v>1267</v>
      </c>
      <c r="H1019" s="380" t="s">
        <v>771</v>
      </c>
      <c r="I1019" s="380" t="s">
        <v>799</v>
      </c>
      <c r="J1019" s="380" t="s">
        <v>773</v>
      </c>
      <c r="K1019" s="381">
        <v>0.0</v>
      </c>
      <c r="L1019" s="382">
        <v>1.0</v>
      </c>
    </row>
    <row r="1020">
      <c r="A1020" s="380" t="s">
        <v>1861</v>
      </c>
      <c r="B1020" s="380" t="str">
        <f>IFERROR(__xludf.DUMMYFUNCTION("""COMPUTED_VALUE"""),"Etiqueta Dumy Ibague Cali")</f>
        <v>Etiqueta Dumy Ibague Cali</v>
      </c>
      <c r="C1020" s="380" t="str">
        <f>IFERROR(__xludf.DUMMYFUNCTION("""COMPUTED_VALUE"""),"10000828")</f>
        <v>10000828</v>
      </c>
      <c r="D1020" s="380" t="s">
        <v>767</v>
      </c>
      <c r="E1020" s="380" t="s">
        <v>768</v>
      </c>
      <c r="F1020" s="380" t="s">
        <v>797</v>
      </c>
      <c r="G1020" s="380" t="s">
        <v>1267</v>
      </c>
      <c r="H1020" s="380" t="s">
        <v>771</v>
      </c>
      <c r="I1020" s="380" t="s">
        <v>799</v>
      </c>
      <c r="J1020" s="380" t="s">
        <v>773</v>
      </c>
      <c r="K1020" s="381">
        <v>0.0</v>
      </c>
      <c r="L1020" s="382">
        <v>1.0</v>
      </c>
    </row>
    <row r="1021">
      <c r="A1021" s="380" t="s">
        <v>1862</v>
      </c>
      <c r="B1021" s="380" t="str">
        <f>IFERROR(__xludf.DUMMYFUNCTION("""COMPUTED_VALUE"""),"Etiqueta Dumy Ibague Sincelejo")</f>
        <v>Etiqueta Dumy Ibague Sincelejo</v>
      </c>
      <c r="C1021" s="380" t="str">
        <f>IFERROR(__xludf.DUMMYFUNCTION("""COMPUTED_VALUE"""),"10000829")</f>
        <v>10000829</v>
      </c>
      <c r="D1021" s="380" t="s">
        <v>767</v>
      </c>
      <c r="E1021" s="380" t="s">
        <v>768</v>
      </c>
      <c r="F1021" s="380" t="s">
        <v>797</v>
      </c>
      <c r="G1021" s="380" t="s">
        <v>1267</v>
      </c>
      <c r="H1021" s="380" t="s">
        <v>771</v>
      </c>
      <c r="I1021" s="380" t="s">
        <v>799</v>
      </c>
      <c r="J1021" s="380" t="s">
        <v>773</v>
      </c>
      <c r="K1021" s="381">
        <v>0.0</v>
      </c>
      <c r="L1021" s="382">
        <v>1.0</v>
      </c>
    </row>
    <row r="1022">
      <c r="A1022" s="380" t="s">
        <v>1863</v>
      </c>
      <c r="B1022" s="380" t="str">
        <f>IFERROR(__xludf.DUMMYFUNCTION("""COMPUTED_VALUE"""),"Etiqueta Dumy Ibague Manizales")</f>
        <v>Etiqueta Dumy Ibague Manizales</v>
      </c>
      <c r="C1022" s="380" t="str">
        <f>IFERROR(__xludf.DUMMYFUNCTION("""COMPUTED_VALUE"""),"10000830")</f>
        <v>10000830</v>
      </c>
      <c r="D1022" s="380" t="s">
        <v>767</v>
      </c>
      <c r="E1022" s="380" t="s">
        <v>768</v>
      </c>
      <c r="F1022" s="380" t="s">
        <v>797</v>
      </c>
      <c r="G1022" s="380" t="s">
        <v>1267</v>
      </c>
      <c r="H1022" s="380" t="s">
        <v>771</v>
      </c>
      <c r="I1022" s="380" t="s">
        <v>799</v>
      </c>
      <c r="J1022" s="380" t="s">
        <v>773</v>
      </c>
      <c r="K1022" s="381">
        <v>0.0</v>
      </c>
      <c r="L1022" s="382">
        <v>1.0</v>
      </c>
    </row>
    <row r="1023">
      <c r="A1023" s="380" t="s">
        <v>1864</v>
      </c>
      <c r="B1023" s="380" t="str">
        <f>IFERROR(__xludf.DUMMYFUNCTION("""COMPUTED_VALUE"""),"Etiqueta Dumy Ibague Rionegro")</f>
        <v>Etiqueta Dumy Ibague Rionegro</v>
      </c>
      <c r="C1023" s="380" t="str">
        <f>IFERROR(__xludf.DUMMYFUNCTION("""COMPUTED_VALUE"""),"10000831")</f>
        <v>10000831</v>
      </c>
      <c r="D1023" s="380" t="s">
        <v>767</v>
      </c>
      <c r="E1023" s="380" t="s">
        <v>768</v>
      </c>
      <c r="F1023" s="380" t="s">
        <v>797</v>
      </c>
      <c r="G1023" s="380" t="s">
        <v>1267</v>
      </c>
      <c r="H1023" s="380" t="s">
        <v>771</v>
      </c>
      <c r="I1023" s="380" t="s">
        <v>799</v>
      </c>
      <c r="J1023" s="380" t="s">
        <v>773</v>
      </c>
      <c r="K1023" s="381">
        <v>0.0</v>
      </c>
      <c r="L1023" s="382">
        <v>1.0</v>
      </c>
    </row>
    <row r="1024">
      <c r="A1024" s="380" t="s">
        <v>1865</v>
      </c>
      <c r="B1024" s="380" t="str">
        <f>IFERROR(__xludf.DUMMYFUNCTION("""COMPUTED_VALUE"""),"Etiqueta Dumy Ibague Cucuta")</f>
        <v>Etiqueta Dumy Ibague Cucuta</v>
      </c>
      <c r="C1024" s="380" t="str">
        <f>IFERROR(__xludf.DUMMYFUNCTION("""COMPUTED_VALUE"""),"10000832")</f>
        <v>10000832</v>
      </c>
      <c r="D1024" s="380" t="s">
        <v>767</v>
      </c>
      <c r="E1024" s="380" t="s">
        <v>768</v>
      </c>
      <c r="F1024" s="380" t="s">
        <v>797</v>
      </c>
      <c r="G1024" s="380" t="s">
        <v>1267</v>
      </c>
      <c r="H1024" s="380" t="s">
        <v>771</v>
      </c>
      <c r="I1024" s="380" t="s">
        <v>799</v>
      </c>
      <c r="J1024" s="380" t="s">
        <v>773</v>
      </c>
      <c r="K1024" s="381">
        <v>0.0</v>
      </c>
      <c r="L1024" s="382">
        <v>1.0</v>
      </c>
    </row>
    <row r="1025">
      <c r="A1025" s="380" t="s">
        <v>1866</v>
      </c>
      <c r="B1025" s="380" t="str">
        <f>IFERROR(__xludf.DUMMYFUNCTION("""COMPUTED_VALUE"""),"Etiqueta Dumy Ibague Cienaga")</f>
        <v>Etiqueta Dumy Ibague Cienaga</v>
      </c>
      <c r="C1025" s="380" t="str">
        <f>IFERROR(__xludf.DUMMYFUNCTION("""COMPUTED_VALUE"""),"10000833")</f>
        <v>10000833</v>
      </c>
      <c r="D1025" s="380" t="s">
        <v>767</v>
      </c>
      <c r="E1025" s="380" t="s">
        <v>768</v>
      </c>
      <c r="F1025" s="380" t="s">
        <v>797</v>
      </c>
      <c r="G1025" s="380" t="s">
        <v>1267</v>
      </c>
      <c r="H1025" s="380" t="s">
        <v>771</v>
      </c>
      <c r="I1025" s="380" t="s">
        <v>799</v>
      </c>
      <c r="J1025" s="380" t="s">
        <v>773</v>
      </c>
      <c r="K1025" s="381">
        <v>0.0</v>
      </c>
      <c r="L1025" s="382">
        <v>1.0</v>
      </c>
    </row>
    <row r="1026">
      <c r="A1026" s="380" t="s">
        <v>1867</v>
      </c>
      <c r="B1026" s="380" t="str">
        <f>IFERROR(__xludf.DUMMYFUNCTION("""COMPUTED_VALUE"""),"Etiqueta Dumy Ibague Bogota")</f>
        <v>Etiqueta Dumy Ibague Bogota</v>
      </c>
      <c r="C1026" s="380" t="str">
        <f>IFERROR(__xludf.DUMMYFUNCTION("""COMPUTED_VALUE"""),"10000834")</f>
        <v>10000834</v>
      </c>
      <c r="D1026" s="380" t="s">
        <v>767</v>
      </c>
      <c r="E1026" s="380" t="s">
        <v>768</v>
      </c>
      <c r="F1026" s="380" t="s">
        <v>797</v>
      </c>
      <c r="G1026" s="380" t="s">
        <v>1267</v>
      </c>
      <c r="H1026" s="380" t="s">
        <v>771</v>
      </c>
      <c r="I1026" s="380" t="s">
        <v>799</v>
      </c>
      <c r="J1026" s="380" t="s">
        <v>773</v>
      </c>
      <c r="K1026" s="381">
        <v>0.0</v>
      </c>
      <c r="L1026" s="382">
        <v>1.0</v>
      </c>
    </row>
    <row r="1027">
      <c r="A1027" s="380" t="s">
        <v>1868</v>
      </c>
      <c r="B1027" s="380" t="str">
        <f>IFERROR(__xludf.DUMMYFUNCTION("""COMPUTED_VALUE"""),"Formato Consentimiento Informa")</f>
        <v>Formato Consentimiento Informa</v>
      </c>
      <c r="C1027" s="380" t="str">
        <f>IFERROR(__xludf.DUMMYFUNCTION("""COMPUTED_VALUE"""),"10000835")</f>
        <v>10000835</v>
      </c>
      <c r="D1027" s="380" t="s">
        <v>767</v>
      </c>
      <c r="E1027" s="380" t="s">
        <v>768</v>
      </c>
      <c r="F1027" s="380" t="s">
        <v>797</v>
      </c>
      <c r="G1027" s="380" t="s">
        <v>1267</v>
      </c>
      <c r="H1027" s="380" t="s">
        <v>771</v>
      </c>
      <c r="I1027" s="380" t="s">
        <v>799</v>
      </c>
      <c r="J1027" s="380" t="s">
        <v>773</v>
      </c>
      <c r="K1027" s="381">
        <v>0.0</v>
      </c>
      <c r="L1027" s="382">
        <v>1.0</v>
      </c>
    </row>
    <row r="1028">
      <c r="A1028" s="380" t="s">
        <v>1869</v>
      </c>
      <c r="B1028" s="380" t="str">
        <f>IFERROR(__xludf.DUMMYFUNCTION("""COMPUTED_VALUE"""),"Escurridor De Platos")</f>
        <v>Escurridor De Platos</v>
      </c>
      <c r="C1028" s="380" t="str">
        <f>IFERROR(__xludf.DUMMYFUNCTION("""COMPUTED_VALUE"""),"10000836")</f>
        <v>10000836</v>
      </c>
      <c r="D1028" s="380" t="s">
        <v>767</v>
      </c>
      <c r="E1028" s="380" t="s">
        <v>768</v>
      </c>
      <c r="F1028" s="380" t="s">
        <v>803</v>
      </c>
      <c r="G1028" s="380" t="s">
        <v>1267</v>
      </c>
      <c r="H1028" s="380" t="s">
        <v>771</v>
      </c>
      <c r="I1028" s="380" t="s">
        <v>772</v>
      </c>
      <c r="J1028" s="380" t="s">
        <v>773</v>
      </c>
      <c r="K1028" s="381">
        <v>0.0</v>
      </c>
      <c r="L1028" s="382">
        <v>1.0</v>
      </c>
    </row>
    <row r="1029">
      <c r="A1029" s="380" t="s">
        <v>1870</v>
      </c>
      <c r="B1029" s="380" t="str">
        <f>IFERROR(__xludf.DUMMYFUNCTION("""COMPUTED_VALUE"""),"Papelera Vaiven De 26 Litros")</f>
        <v>Papelera Vaiven De 26 Litros</v>
      </c>
      <c r="C1029" s="380" t="str">
        <f>IFERROR(__xludf.DUMMYFUNCTION("""COMPUTED_VALUE"""),"10000837")</f>
        <v>10000837</v>
      </c>
      <c r="D1029" s="380" t="s">
        <v>767</v>
      </c>
      <c r="E1029" s="380" t="s">
        <v>768</v>
      </c>
      <c r="F1029" s="380" t="s">
        <v>769</v>
      </c>
      <c r="G1029" s="380" t="s">
        <v>1267</v>
      </c>
      <c r="H1029" s="380" t="s">
        <v>771</v>
      </c>
      <c r="I1029" s="380" t="s">
        <v>772</v>
      </c>
      <c r="J1029" s="380" t="s">
        <v>773</v>
      </c>
      <c r="K1029" s="381">
        <v>50932.0</v>
      </c>
      <c r="L1029" s="382">
        <v>1.0</v>
      </c>
    </row>
    <row r="1030">
      <c r="A1030" s="380" t="s">
        <v>1871</v>
      </c>
      <c r="B1030" s="380" t="str">
        <f>IFERROR(__xludf.DUMMYFUNCTION("""COMPUTED_VALUE"""),"Etiqueta Dumy Medellin Medellin")</f>
        <v>Etiqueta Dumy Medellin Medellin</v>
      </c>
      <c r="C1030" s="380" t="str">
        <f>IFERROR(__xludf.DUMMYFUNCTION("""COMPUTED_VALUE"""),"10000838")</f>
        <v>10000838</v>
      </c>
      <c r="D1030" s="380" t="s">
        <v>767</v>
      </c>
      <c r="E1030" s="380" t="s">
        <v>768</v>
      </c>
      <c r="F1030" s="380" t="s">
        <v>797</v>
      </c>
      <c r="G1030" s="380" t="s">
        <v>1267</v>
      </c>
      <c r="H1030" s="380" t="s">
        <v>771</v>
      </c>
      <c r="I1030" s="380" t="s">
        <v>799</v>
      </c>
      <c r="J1030" s="380" t="s">
        <v>773</v>
      </c>
      <c r="K1030" s="381">
        <v>0.0</v>
      </c>
      <c r="L1030" s="382">
        <v>1.0</v>
      </c>
    </row>
    <row r="1031">
      <c r="A1031" s="380" t="s">
        <v>1872</v>
      </c>
      <c r="B1031" s="380" t="str">
        <f>IFERROR(__xludf.DUMMYFUNCTION("""COMPUTED_VALUE"""),"Etiqueta Dumy Medellin Bucaramanga")</f>
        <v>Etiqueta Dumy Medellin Bucaramanga</v>
      </c>
      <c r="C1031" s="380" t="str">
        <f>IFERROR(__xludf.DUMMYFUNCTION("""COMPUTED_VALUE"""),"10000839")</f>
        <v>10000839</v>
      </c>
      <c r="D1031" s="380" t="s">
        <v>767</v>
      </c>
      <c r="E1031" s="380" t="s">
        <v>768</v>
      </c>
      <c r="F1031" s="380" t="s">
        <v>797</v>
      </c>
      <c r="G1031" s="380" t="s">
        <v>1267</v>
      </c>
      <c r="H1031" s="380" t="s">
        <v>771</v>
      </c>
      <c r="I1031" s="380" t="s">
        <v>799</v>
      </c>
      <c r="J1031" s="380" t="s">
        <v>773</v>
      </c>
      <c r="K1031" s="381">
        <v>0.0</v>
      </c>
      <c r="L1031" s="382">
        <v>1.0</v>
      </c>
    </row>
    <row r="1032">
      <c r="A1032" s="380" t="s">
        <v>1873</v>
      </c>
      <c r="B1032" s="380" t="str">
        <f>IFERROR(__xludf.DUMMYFUNCTION("""COMPUTED_VALUE"""),"Etiqueta Dumy Medellin Bogota")</f>
        <v>Etiqueta Dumy Medellin Bogota</v>
      </c>
      <c r="C1032" s="380" t="str">
        <f>IFERROR(__xludf.DUMMYFUNCTION("""COMPUTED_VALUE"""),"10000840")</f>
        <v>10000840</v>
      </c>
      <c r="D1032" s="380" t="s">
        <v>767</v>
      </c>
      <c r="E1032" s="380" t="s">
        <v>768</v>
      </c>
      <c r="F1032" s="380" t="s">
        <v>797</v>
      </c>
      <c r="G1032" s="380" t="s">
        <v>1267</v>
      </c>
      <c r="H1032" s="380" t="s">
        <v>771</v>
      </c>
      <c r="I1032" s="380" t="s">
        <v>799</v>
      </c>
      <c r="J1032" s="380" t="s">
        <v>773</v>
      </c>
      <c r="K1032" s="381">
        <v>8.0</v>
      </c>
      <c r="L1032" s="382">
        <v>1.0</v>
      </c>
    </row>
    <row r="1033">
      <c r="A1033" s="380" t="s">
        <v>1874</v>
      </c>
      <c r="B1033" s="380" t="str">
        <f>IFERROR(__xludf.DUMMYFUNCTION("""COMPUTED_VALUE"""),"Etiqueta Dumy Medellin Monteria")</f>
        <v>Etiqueta Dumy Medellin Monteria</v>
      </c>
      <c r="C1033" s="380" t="str">
        <f>IFERROR(__xludf.DUMMYFUNCTION("""COMPUTED_VALUE"""),"10000841")</f>
        <v>10000841</v>
      </c>
      <c r="D1033" s="380" t="s">
        <v>767</v>
      </c>
      <c r="E1033" s="380" t="s">
        <v>768</v>
      </c>
      <c r="F1033" s="380" t="s">
        <v>797</v>
      </c>
      <c r="G1033" s="380" t="s">
        <v>1267</v>
      </c>
      <c r="H1033" s="380" t="s">
        <v>771</v>
      </c>
      <c r="I1033" s="380" t="s">
        <v>799</v>
      </c>
      <c r="J1033" s="380" t="s">
        <v>773</v>
      </c>
      <c r="K1033" s="381">
        <v>0.0</v>
      </c>
      <c r="L1033" s="382">
        <v>1.0</v>
      </c>
    </row>
    <row r="1034">
      <c r="A1034" s="380" t="s">
        <v>1875</v>
      </c>
      <c r="B1034" s="380" t="str">
        <f>IFERROR(__xludf.DUMMYFUNCTION("""COMPUTED_VALUE"""),"Etiqueta Dumy Medellin Cienaga")</f>
        <v>Etiqueta Dumy Medellin Cienaga</v>
      </c>
      <c r="C1034" s="380" t="str">
        <f>IFERROR(__xludf.DUMMYFUNCTION("""COMPUTED_VALUE"""),"10000842")</f>
        <v>10000842</v>
      </c>
      <c r="D1034" s="380" t="s">
        <v>767</v>
      </c>
      <c r="E1034" s="380" t="s">
        <v>768</v>
      </c>
      <c r="F1034" s="380" t="s">
        <v>797</v>
      </c>
      <c r="G1034" s="380" t="s">
        <v>1267</v>
      </c>
      <c r="H1034" s="380" t="s">
        <v>771</v>
      </c>
      <c r="I1034" s="380" t="s">
        <v>799</v>
      </c>
      <c r="J1034" s="380" t="s">
        <v>773</v>
      </c>
      <c r="K1034" s="381">
        <v>0.0</v>
      </c>
      <c r="L1034" s="382">
        <v>1.0</v>
      </c>
    </row>
    <row r="1035">
      <c r="A1035" s="380" t="s">
        <v>1876</v>
      </c>
      <c r="B1035" s="380" t="str">
        <f>IFERROR(__xludf.DUMMYFUNCTION("""COMPUTED_VALUE"""),"Etiqueta Dumy Medellin Manizales")</f>
        <v>Etiqueta Dumy Medellin Manizales</v>
      </c>
      <c r="C1035" s="380" t="str">
        <f>IFERROR(__xludf.DUMMYFUNCTION("""COMPUTED_VALUE"""),"10000843")</f>
        <v>10000843</v>
      </c>
      <c r="D1035" s="380" t="s">
        <v>767</v>
      </c>
      <c r="E1035" s="380" t="s">
        <v>768</v>
      </c>
      <c r="F1035" s="380" t="s">
        <v>797</v>
      </c>
      <c r="G1035" s="380" t="s">
        <v>1267</v>
      </c>
      <c r="H1035" s="380" t="s">
        <v>771</v>
      </c>
      <c r="I1035" s="380" t="s">
        <v>799</v>
      </c>
      <c r="J1035" s="380" t="s">
        <v>773</v>
      </c>
      <c r="K1035" s="381">
        <v>0.0</v>
      </c>
      <c r="L1035" s="382">
        <v>1.0</v>
      </c>
    </row>
    <row r="1036">
      <c r="A1036" s="380" t="s">
        <v>1877</v>
      </c>
      <c r="B1036" s="380" t="str">
        <f>IFERROR(__xludf.DUMMYFUNCTION("""COMPUTED_VALUE"""),"Etiqueta Dumy Medellin Pereia")</f>
        <v>Etiqueta Dumy Medellin Pereia</v>
      </c>
      <c r="C1036" s="380" t="str">
        <f>IFERROR(__xludf.DUMMYFUNCTION("""COMPUTED_VALUE"""),"10000844")</f>
        <v>10000844</v>
      </c>
      <c r="D1036" s="380" t="s">
        <v>767</v>
      </c>
      <c r="E1036" s="380" t="s">
        <v>768</v>
      </c>
      <c r="F1036" s="380" t="s">
        <v>797</v>
      </c>
      <c r="G1036" s="380" t="s">
        <v>1267</v>
      </c>
      <c r="H1036" s="380" t="s">
        <v>771</v>
      </c>
      <c r="I1036" s="380" t="s">
        <v>799</v>
      </c>
      <c r="J1036" s="380" t="s">
        <v>773</v>
      </c>
      <c r="K1036" s="381">
        <v>8.0</v>
      </c>
      <c r="L1036" s="382">
        <v>1.0</v>
      </c>
    </row>
    <row r="1037">
      <c r="A1037" s="380" t="s">
        <v>1878</v>
      </c>
      <c r="B1037" s="380" t="str">
        <f>IFERROR(__xludf.DUMMYFUNCTION("""COMPUTED_VALUE"""),"Etiqueta Dumy Medellin Rionegro")</f>
        <v>Etiqueta Dumy Medellin Rionegro</v>
      </c>
      <c r="C1037" s="380" t="str">
        <f>IFERROR(__xludf.DUMMYFUNCTION("""COMPUTED_VALUE"""),"10000845")</f>
        <v>10000845</v>
      </c>
      <c r="D1037" s="380" t="s">
        <v>767</v>
      </c>
      <c r="E1037" s="380" t="s">
        <v>768</v>
      </c>
      <c r="F1037" s="380" t="s">
        <v>797</v>
      </c>
      <c r="G1037" s="380" t="s">
        <v>1267</v>
      </c>
      <c r="H1037" s="380" t="s">
        <v>771</v>
      </c>
      <c r="I1037" s="380" t="s">
        <v>799</v>
      </c>
      <c r="J1037" s="380" t="s">
        <v>773</v>
      </c>
      <c r="K1037" s="381">
        <v>0.0</v>
      </c>
      <c r="L1037" s="382">
        <v>1.0</v>
      </c>
    </row>
    <row r="1038">
      <c r="A1038" s="380" t="s">
        <v>1879</v>
      </c>
      <c r="B1038" s="380" t="str">
        <f>IFERROR(__xludf.DUMMYFUNCTION("""COMPUTED_VALUE"""),"Etiqueta Dumy Medellin Cali")</f>
        <v>Etiqueta Dumy Medellin Cali</v>
      </c>
      <c r="C1038" s="380" t="str">
        <f>IFERROR(__xludf.DUMMYFUNCTION("""COMPUTED_VALUE"""),"10000846")</f>
        <v>10000846</v>
      </c>
      <c r="D1038" s="380" t="s">
        <v>767</v>
      </c>
      <c r="E1038" s="380" t="s">
        <v>768</v>
      </c>
      <c r="F1038" s="380" t="s">
        <v>797</v>
      </c>
      <c r="G1038" s="380" t="s">
        <v>1267</v>
      </c>
      <c r="H1038" s="380" t="s">
        <v>771</v>
      </c>
      <c r="I1038" s="380" t="s">
        <v>799</v>
      </c>
      <c r="J1038" s="380" t="s">
        <v>773</v>
      </c>
      <c r="K1038" s="381">
        <v>8.0</v>
      </c>
      <c r="L1038" s="382">
        <v>1.0</v>
      </c>
    </row>
    <row r="1039">
      <c r="A1039" s="380" t="s">
        <v>1880</v>
      </c>
      <c r="B1039" s="380" t="str">
        <f>IFERROR(__xludf.DUMMYFUNCTION("""COMPUTED_VALUE"""),"Etiqueta Dumy Medellin Cartagena")</f>
        <v>Etiqueta Dumy Medellin Cartagena</v>
      </c>
      <c r="C1039" s="380" t="str">
        <f>IFERROR(__xludf.DUMMYFUNCTION("""COMPUTED_VALUE"""),"10000847")</f>
        <v>10000847</v>
      </c>
      <c r="D1039" s="380" t="s">
        <v>767</v>
      </c>
      <c r="E1039" s="380" t="s">
        <v>768</v>
      </c>
      <c r="F1039" s="380" t="s">
        <v>797</v>
      </c>
      <c r="G1039" s="380" t="s">
        <v>1267</v>
      </c>
      <c r="H1039" s="380" t="s">
        <v>771</v>
      </c>
      <c r="I1039" s="380" t="s">
        <v>799</v>
      </c>
      <c r="J1039" s="380" t="s">
        <v>773</v>
      </c>
      <c r="K1039" s="381">
        <v>0.0</v>
      </c>
      <c r="L1039" s="382">
        <v>1.0</v>
      </c>
    </row>
    <row r="1040">
      <c r="A1040" s="380" t="s">
        <v>1881</v>
      </c>
      <c r="B1040" s="380" t="str">
        <f>IFERROR(__xludf.DUMMYFUNCTION("""COMPUTED_VALUE"""),"Etiqueta Dumy Medellin Ibague")</f>
        <v>Etiqueta Dumy Medellin Ibague</v>
      </c>
      <c r="C1040" s="380" t="str">
        <f>IFERROR(__xludf.DUMMYFUNCTION("""COMPUTED_VALUE"""),"10000848")</f>
        <v>10000848</v>
      </c>
      <c r="D1040" s="380" t="s">
        <v>767</v>
      </c>
      <c r="E1040" s="380" t="s">
        <v>768</v>
      </c>
      <c r="F1040" s="380" t="s">
        <v>797</v>
      </c>
      <c r="G1040" s="380" t="s">
        <v>1267</v>
      </c>
      <c r="H1040" s="380" t="s">
        <v>771</v>
      </c>
      <c r="I1040" s="380" t="s">
        <v>799</v>
      </c>
      <c r="J1040" s="380" t="s">
        <v>773</v>
      </c>
      <c r="K1040" s="381">
        <v>0.0</v>
      </c>
      <c r="L1040" s="382">
        <v>1.0</v>
      </c>
    </row>
    <row r="1041">
      <c r="A1041" s="380" t="s">
        <v>1882</v>
      </c>
      <c r="B1041" s="380" t="str">
        <f>IFERROR(__xludf.DUMMYFUNCTION("""COMPUTED_VALUE"""),"Etiqueta Dumy Ibague Bucaramanga")</f>
        <v>Etiqueta Dumy Ibague Bucaramanga</v>
      </c>
      <c r="C1041" s="380" t="str">
        <f>IFERROR(__xludf.DUMMYFUNCTION("""COMPUTED_VALUE"""),"10000849")</f>
        <v>10000849</v>
      </c>
      <c r="D1041" s="380" t="s">
        <v>767</v>
      </c>
      <c r="E1041" s="380" t="s">
        <v>768</v>
      </c>
      <c r="F1041" s="380" t="s">
        <v>797</v>
      </c>
      <c r="G1041" s="380" t="s">
        <v>1267</v>
      </c>
      <c r="H1041" s="380" t="s">
        <v>771</v>
      </c>
      <c r="I1041" s="380" t="s">
        <v>799</v>
      </c>
      <c r="J1041" s="380" t="s">
        <v>773</v>
      </c>
      <c r="K1041" s="381">
        <v>0.0</v>
      </c>
      <c r="L1041" s="382">
        <v>1.0</v>
      </c>
    </row>
    <row r="1042">
      <c r="A1042" s="380" t="s">
        <v>1883</v>
      </c>
      <c r="B1042" s="380" t="str">
        <f>IFERROR(__xludf.DUMMYFUNCTION("""COMPUTED_VALUE"""),"Etiqueta Dumy Ibague Flandes")</f>
        <v>Etiqueta Dumy Ibague Flandes</v>
      </c>
      <c r="C1042" s="380" t="str">
        <f>IFERROR(__xludf.DUMMYFUNCTION("""COMPUTED_VALUE"""),"10000850")</f>
        <v>10000850</v>
      </c>
      <c r="D1042" s="380" t="s">
        <v>767</v>
      </c>
      <c r="E1042" s="380" t="s">
        <v>768</v>
      </c>
      <c r="F1042" s="380" t="s">
        <v>797</v>
      </c>
      <c r="G1042" s="380" t="s">
        <v>1267</v>
      </c>
      <c r="H1042" s="380" t="s">
        <v>771</v>
      </c>
      <c r="I1042" s="380" t="s">
        <v>799</v>
      </c>
      <c r="J1042" s="380" t="s">
        <v>773</v>
      </c>
      <c r="K1042" s="381">
        <v>0.0</v>
      </c>
      <c r="L1042" s="382">
        <v>1.0</v>
      </c>
    </row>
    <row r="1043">
      <c r="A1043" s="380" t="s">
        <v>1884</v>
      </c>
      <c r="B1043" s="380" t="str">
        <f>IFERROR(__xludf.DUMMYFUNCTION("""COMPUTED_VALUE"""),"Etiqueta Dumy Ibague Monteria")</f>
        <v>Etiqueta Dumy Ibague Monteria</v>
      </c>
      <c r="C1043" s="380" t="str">
        <f>IFERROR(__xludf.DUMMYFUNCTION("""COMPUTED_VALUE"""),"10000851")</f>
        <v>10000851</v>
      </c>
      <c r="D1043" s="380" t="s">
        <v>767</v>
      </c>
      <c r="E1043" s="380" t="s">
        <v>768</v>
      </c>
      <c r="F1043" s="380" t="s">
        <v>797</v>
      </c>
      <c r="G1043" s="380" t="s">
        <v>1267</v>
      </c>
      <c r="H1043" s="380" t="s">
        <v>771</v>
      </c>
      <c r="I1043" s="380" t="s">
        <v>799</v>
      </c>
      <c r="J1043" s="380" t="s">
        <v>773</v>
      </c>
      <c r="K1043" s="381">
        <v>0.0</v>
      </c>
      <c r="L1043" s="382">
        <v>1.0</v>
      </c>
    </row>
    <row r="1044">
      <c r="A1044" s="380" t="s">
        <v>1885</v>
      </c>
      <c r="B1044" s="380" t="str">
        <f>IFERROR(__xludf.DUMMYFUNCTION("""COMPUTED_VALUE"""),"Etiqueta Dumy Ibague Cartagena")</f>
        <v>Etiqueta Dumy Ibague Cartagena</v>
      </c>
      <c r="C1044" s="380" t="str">
        <f>IFERROR(__xludf.DUMMYFUNCTION("""COMPUTED_VALUE"""),"10000852")</f>
        <v>10000852</v>
      </c>
      <c r="D1044" s="380" t="s">
        <v>767</v>
      </c>
      <c r="E1044" s="380" t="s">
        <v>768</v>
      </c>
      <c r="F1044" s="380" t="s">
        <v>797</v>
      </c>
      <c r="G1044" s="380" t="s">
        <v>1267</v>
      </c>
      <c r="H1044" s="380" t="s">
        <v>771</v>
      </c>
      <c r="I1044" s="380" t="s">
        <v>799</v>
      </c>
      <c r="J1044" s="380" t="s">
        <v>773</v>
      </c>
      <c r="K1044" s="381">
        <v>0.0</v>
      </c>
      <c r="L1044" s="382">
        <v>1.0</v>
      </c>
    </row>
    <row r="1045">
      <c r="A1045" s="380" t="s">
        <v>1886</v>
      </c>
      <c r="B1045" s="380" t="str">
        <f>IFERROR(__xludf.DUMMYFUNCTION("""COMPUTED_VALUE"""),"Etiqueta Dumy Ibague Medellin")</f>
        <v>Etiqueta Dumy Ibague Medellin</v>
      </c>
      <c r="C1045" s="380" t="str">
        <f>IFERROR(__xludf.DUMMYFUNCTION("""COMPUTED_VALUE"""),"10000853")</f>
        <v>10000853</v>
      </c>
      <c r="D1045" s="380" t="s">
        <v>767</v>
      </c>
      <c r="E1045" s="380" t="s">
        <v>768</v>
      </c>
      <c r="F1045" s="380" t="s">
        <v>797</v>
      </c>
      <c r="G1045" s="380" t="s">
        <v>1267</v>
      </c>
      <c r="H1045" s="380" t="s">
        <v>771</v>
      </c>
      <c r="I1045" s="380" t="s">
        <v>799</v>
      </c>
      <c r="J1045" s="380" t="s">
        <v>773</v>
      </c>
      <c r="K1045" s="381">
        <v>0.0</v>
      </c>
      <c r="L1045" s="382">
        <v>1.0</v>
      </c>
    </row>
    <row r="1046">
      <c r="A1046" s="380" t="s">
        <v>1887</v>
      </c>
      <c r="B1046" s="380" t="str">
        <f>IFERROR(__xludf.DUMMYFUNCTION("""COMPUTED_VALUE"""),"Contenedor Plastico Cnt 60*40*")</f>
        <v>Contenedor Plastico Cnt 60*40*</v>
      </c>
      <c r="C1046" s="380" t="str">
        <f>IFERROR(__xludf.DUMMYFUNCTION("""COMPUTED_VALUE"""),"10000854")</f>
        <v>10000854</v>
      </c>
      <c r="D1046" s="380" t="s">
        <v>767</v>
      </c>
      <c r="E1046" s="380" t="s">
        <v>768</v>
      </c>
      <c r="F1046" s="380" t="s">
        <v>797</v>
      </c>
      <c r="G1046" s="380" t="s">
        <v>1267</v>
      </c>
      <c r="H1046" s="380" t="s">
        <v>771</v>
      </c>
      <c r="I1046" s="380" t="s">
        <v>799</v>
      </c>
      <c r="J1046" s="380" t="s">
        <v>773</v>
      </c>
      <c r="K1046" s="381">
        <v>0.0</v>
      </c>
      <c r="L1046" s="382">
        <v>1.0</v>
      </c>
    </row>
    <row r="1047">
      <c r="A1047" s="380" t="s">
        <v>1888</v>
      </c>
      <c r="B1047" s="380" t="str">
        <f>IFERROR(__xludf.DUMMYFUNCTION("""COMPUTED_VALUE"""),"Pastillas De Cloro Para Orinal")</f>
        <v>Pastillas De Cloro Para Orinal</v>
      </c>
      <c r="C1047" s="380" t="str">
        <f>IFERROR(__xludf.DUMMYFUNCTION("""COMPUTED_VALUE"""),"10000855")</f>
        <v>10000855</v>
      </c>
      <c r="D1047" s="380" t="s">
        <v>767</v>
      </c>
      <c r="E1047" s="380" t="s">
        <v>768</v>
      </c>
      <c r="F1047" s="380" t="s">
        <v>769</v>
      </c>
      <c r="G1047" s="380" t="s">
        <v>1267</v>
      </c>
      <c r="H1047" s="380" t="s">
        <v>771</v>
      </c>
      <c r="I1047" s="380" t="s">
        <v>772</v>
      </c>
      <c r="J1047" s="380" t="s">
        <v>773</v>
      </c>
      <c r="K1047" s="381">
        <v>0.0</v>
      </c>
      <c r="L1047" s="382">
        <v>1.0</v>
      </c>
    </row>
    <row r="1048">
      <c r="A1048" s="380" t="s">
        <v>1889</v>
      </c>
      <c r="B1048" s="380" t="str">
        <f>IFERROR(__xludf.DUMMYFUNCTION("""COMPUTED_VALUE"""),"Bandeja Para Reuniones")</f>
        <v>Bandeja Para Reuniones</v>
      </c>
      <c r="C1048" s="380" t="str">
        <f>IFERROR(__xludf.DUMMYFUNCTION("""COMPUTED_VALUE"""),"10000856")</f>
        <v>10000856</v>
      </c>
      <c r="D1048" s="380" t="s">
        <v>767</v>
      </c>
      <c r="E1048" s="380" t="s">
        <v>768</v>
      </c>
      <c r="F1048" s="380" t="s">
        <v>803</v>
      </c>
      <c r="G1048" s="380" t="s">
        <v>1267</v>
      </c>
      <c r="H1048" s="380" t="s">
        <v>771</v>
      </c>
      <c r="I1048" s="380" t="s">
        <v>772</v>
      </c>
      <c r="J1048" s="380" t="s">
        <v>773</v>
      </c>
      <c r="K1048" s="381">
        <v>0.0</v>
      </c>
      <c r="L1048" s="382">
        <v>1.0</v>
      </c>
    </row>
    <row r="1049">
      <c r="A1049" s="380" t="s">
        <v>1890</v>
      </c>
      <c r="B1049" s="380" t="str">
        <f>IFERROR(__xludf.DUMMYFUNCTION("""COMPUTED_VALUE"""),"Chupa Cafetera Mod 330,1100,31")</f>
        <v>Chupa Cafetera Mod 330,1100,31</v>
      </c>
      <c r="C1049" s="380" t="str">
        <f>IFERROR(__xludf.DUMMYFUNCTION("""COMPUTED_VALUE"""),"10000857")</f>
        <v>10000857</v>
      </c>
      <c r="D1049" s="380" t="s">
        <v>767</v>
      </c>
      <c r="E1049" s="380" t="s">
        <v>768</v>
      </c>
      <c r="F1049" s="380" t="s">
        <v>803</v>
      </c>
      <c r="G1049" s="380" t="s">
        <v>1267</v>
      </c>
      <c r="H1049" s="380" t="s">
        <v>771</v>
      </c>
      <c r="I1049" s="380" t="s">
        <v>772</v>
      </c>
      <c r="J1049" s="380" t="s">
        <v>773</v>
      </c>
      <c r="K1049" s="381">
        <v>0.0</v>
      </c>
      <c r="L1049" s="382">
        <v>1.0</v>
      </c>
    </row>
    <row r="1050">
      <c r="A1050" s="380" t="s">
        <v>1891</v>
      </c>
      <c r="B1050" s="380" t="str">
        <f>IFERROR(__xludf.DUMMYFUNCTION("""COMPUTED_VALUE"""),"Tinta Epson Botella T544 Magenta")</f>
        <v>Tinta Epson Botella T544 Magenta</v>
      </c>
      <c r="C1050" s="380" t="str">
        <f>IFERROR(__xludf.DUMMYFUNCTION("""COMPUTED_VALUE"""),"10000858")</f>
        <v>10000858</v>
      </c>
      <c r="D1050" s="380" t="s">
        <v>767</v>
      </c>
      <c r="E1050" s="380" t="s">
        <v>768</v>
      </c>
      <c r="F1050" s="380" t="s">
        <v>797</v>
      </c>
      <c r="G1050" s="380" t="s">
        <v>1267</v>
      </c>
      <c r="H1050" s="380" t="s">
        <v>771</v>
      </c>
      <c r="I1050" s="380" t="s">
        <v>799</v>
      </c>
      <c r="J1050" s="380" t="s">
        <v>773</v>
      </c>
      <c r="K1050" s="381">
        <v>0.0</v>
      </c>
      <c r="L1050" s="382">
        <v>1.0</v>
      </c>
    </row>
    <row r="1051">
      <c r="A1051" s="380" t="s">
        <v>1892</v>
      </c>
      <c r="B1051" s="380" t="str">
        <f>IFERROR(__xludf.DUMMYFUNCTION("""COMPUTED_VALUE"""),"Tinta Epson Botella T544 Negro")</f>
        <v>Tinta Epson Botella T544 Negro</v>
      </c>
      <c r="C1051" s="380" t="str">
        <f>IFERROR(__xludf.DUMMYFUNCTION("""COMPUTED_VALUE"""),"10000859")</f>
        <v>10000859</v>
      </c>
      <c r="D1051" s="380" t="s">
        <v>767</v>
      </c>
      <c r="E1051" s="380" t="s">
        <v>768</v>
      </c>
      <c r="F1051" s="380" t="s">
        <v>797</v>
      </c>
      <c r="G1051" s="380" t="s">
        <v>1267</v>
      </c>
      <c r="H1051" s="380" t="s">
        <v>771</v>
      </c>
      <c r="I1051" s="380" t="s">
        <v>799</v>
      </c>
      <c r="J1051" s="380" t="s">
        <v>773</v>
      </c>
      <c r="K1051" s="381">
        <v>0.0</v>
      </c>
      <c r="L1051" s="382">
        <v>1.0</v>
      </c>
    </row>
    <row r="1052">
      <c r="A1052" s="380" t="s">
        <v>1893</v>
      </c>
      <c r="B1052" s="380" t="str">
        <f>IFERROR(__xludf.DUMMYFUNCTION("""COMPUTED_VALUE"""),"Tinta Epson Botella T544 Cyan")</f>
        <v>Tinta Epson Botella T544 Cyan</v>
      </c>
      <c r="C1052" s="380" t="str">
        <f>IFERROR(__xludf.DUMMYFUNCTION("""COMPUTED_VALUE"""),"10000860")</f>
        <v>10000860</v>
      </c>
      <c r="D1052" s="380" t="s">
        <v>767</v>
      </c>
      <c r="E1052" s="380" t="s">
        <v>768</v>
      </c>
      <c r="F1052" s="380" t="s">
        <v>797</v>
      </c>
      <c r="G1052" s="380" t="s">
        <v>1267</v>
      </c>
      <c r="H1052" s="380" t="s">
        <v>771</v>
      </c>
      <c r="I1052" s="380" t="s">
        <v>799</v>
      </c>
      <c r="J1052" s="380" t="s">
        <v>773</v>
      </c>
      <c r="K1052" s="381">
        <v>0.0</v>
      </c>
      <c r="L1052" s="382">
        <v>1.0</v>
      </c>
    </row>
    <row r="1053">
      <c r="A1053" s="380" t="s">
        <v>1894</v>
      </c>
      <c r="B1053" s="380" t="str">
        <f>IFERROR(__xludf.DUMMYFUNCTION("""COMPUTED_VALUE"""),"Tinta Epson Botella T544 Yellow")</f>
        <v>Tinta Epson Botella T544 Yellow</v>
      </c>
      <c r="C1053" s="380" t="str">
        <f>IFERROR(__xludf.DUMMYFUNCTION("""COMPUTED_VALUE"""),"10000861")</f>
        <v>10000861</v>
      </c>
      <c r="D1053" s="380" t="s">
        <v>767</v>
      </c>
      <c r="E1053" s="380" t="s">
        <v>768</v>
      </c>
      <c r="F1053" s="380" t="s">
        <v>797</v>
      </c>
      <c r="G1053" s="380" t="s">
        <v>1267</v>
      </c>
      <c r="H1053" s="380" t="s">
        <v>771</v>
      </c>
      <c r="I1053" s="380" t="s">
        <v>799</v>
      </c>
      <c r="J1053" s="380" t="s">
        <v>773</v>
      </c>
      <c r="K1053" s="381">
        <v>0.0</v>
      </c>
      <c r="L1053" s="382">
        <v>1.0</v>
      </c>
    </row>
    <row r="1054">
      <c r="A1054" s="380" t="s">
        <v>1895</v>
      </c>
      <c r="B1054" s="380" t="str">
        <f>IFERROR(__xludf.DUMMYFUNCTION("""COMPUTED_VALUE"""),"Buje Rueda Carreta 40mm X 1"" X 8""")</f>
        <v>Buje Rueda Carreta 40mm X 1" X 8"</v>
      </c>
      <c r="C1054" s="380" t="str">
        <f>IFERROR(__xludf.DUMMYFUNCTION("""COMPUTED_VALUE"""),"10000862")</f>
        <v>10000862</v>
      </c>
      <c r="D1054" s="380" t="s">
        <v>767</v>
      </c>
      <c r="E1054" s="380" t="s">
        <v>768</v>
      </c>
      <c r="F1054" s="380" t="s">
        <v>797</v>
      </c>
      <c r="G1054" s="380" t="s">
        <v>1267</v>
      </c>
      <c r="H1054" s="380" t="s">
        <v>771</v>
      </c>
      <c r="I1054" s="380" t="s">
        <v>799</v>
      </c>
      <c r="J1054" s="380" t="s">
        <v>773</v>
      </c>
      <c r="K1054" s="381">
        <v>0.0</v>
      </c>
      <c r="L1054" s="382">
        <v>1.0</v>
      </c>
    </row>
    <row r="1055">
      <c r="A1055" s="380" t="s">
        <v>1896</v>
      </c>
      <c r="B1055" s="380" t="str">
        <f>IFERROR(__xludf.DUMMYFUNCTION("""COMPUTED_VALUE"""),"Etiqueta Dumy Medellin Flandes")</f>
        <v>Etiqueta Dumy Medellin Flandes</v>
      </c>
      <c r="C1055" s="380" t="str">
        <f>IFERROR(__xludf.DUMMYFUNCTION("""COMPUTED_VALUE"""),"10000863")</f>
        <v>10000863</v>
      </c>
      <c r="D1055" s="380" t="s">
        <v>767</v>
      </c>
      <c r="E1055" s="380" t="s">
        <v>768</v>
      </c>
      <c r="F1055" s="380" t="s">
        <v>797</v>
      </c>
      <c r="G1055" s="380" t="s">
        <v>1267</v>
      </c>
      <c r="H1055" s="380" t="s">
        <v>771</v>
      </c>
      <c r="I1055" s="380" t="s">
        <v>799</v>
      </c>
      <c r="J1055" s="380" t="s">
        <v>773</v>
      </c>
      <c r="K1055" s="381">
        <v>0.0</v>
      </c>
      <c r="L1055" s="382">
        <v>1.0</v>
      </c>
    </row>
    <row r="1056">
      <c r="A1056" s="380" t="s">
        <v>1897</v>
      </c>
      <c r="B1056" s="380" t="str">
        <f>IFERROR(__xludf.DUMMYFUNCTION("""COMPUTED_VALUE"""),"Etiqueta Dumy Medellin Sincelejo")</f>
        <v>Etiqueta Dumy Medellin Sincelejo</v>
      </c>
      <c r="C1056" s="380" t="str">
        <f>IFERROR(__xludf.DUMMYFUNCTION("""COMPUTED_VALUE"""),"10000864")</f>
        <v>10000864</v>
      </c>
      <c r="D1056" s="380" t="s">
        <v>767</v>
      </c>
      <c r="E1056" s="380" t="s">
        <v>768</v>
      </c>
      <c r="F1056" s="380" t="s">
        <v>797</v>
      </c>
      <c r="G1056" s="380" t="s">
        <v>1267</v>
      </c>
      <c r="H1056" s="380" t="s">
        <v>771</v>
      </c>
      <c r="I1056" s="380" t="s">
        <v>799</v>
      </c>
      <c r="J1056" s="380" t="s">
        <v>773</v>
      </c>
      <c r="K1056" s="381">
        <v>0.0</v>
      </c>
      <c r="L1056" s="382">
        <v>1.0</v>
      </c>
    </row>
    <row r="1057">
      <c r="A1057" s="380" t="s">
        <v>1898</v>
      </c>
      <c r="B1057" s="380" t="str">
        <f>IFERROR(__xludf.DUMMYFUNCTION("""COMPUTED_VALUE"""),"Etiqueta Dumy Medellin Bosconia")</f>
        <v>Etiqueta Dumy Medellin Bosconia</v>
      </c>
      <c r="C1057" s="380" t="str">
        <f>IFERROR(__xludf.DUMMYFUNCTION("""COMPUTED_VALUE"""),"10000865")</f>
        <v>10000865</v>
      </c>
      <c r="D1057" s="380" t="s">
        <v>767</v>
      </c>
      <c r="E1057" s="380" t="s">
        <v>768</v>
      </c>
      <c r="F1057" s="380" t="s">
        <v>797</v>
      </c>
      <c r="G1057" s="380" t="s">
        <v>1267</v>
      </c>
      <c r="H1057" s="380" t="s">
        <v>771</v>
      </c>
      <c r="I1057" s="380" t="s">
        <v>799</v>
      </c>
      <c r="J1057" s="380" t="s">
        <v>773</v>
      </c>
      <c r="K1057" s="381">
        <v>0.0</v>
      </c>
      <c r="L1057" s="382">
        <v>1.0</v>
      </c>
    </row>
    <row r="1058">
      <c r="A1058" s="380" t="s">
        <v>1899</v>
      </c>
      <c r="B1058" s="380" t="str">
        <f>IFERROR(__xludf.DUMMYFUNCTION("""COMPUTED_VALUE"""),"Etiqueta Dumy Medellin Barranquilla")</f>
        <v>Etiqueta Dumy Medellin Barranquilla</v>
      </c>
      <c r="C1058" s="380" t="str">
        <f>IFERROR(__xludf.DUMMYFUNCTION("""COMPUTED_VALUE"""),"10000866")</f>
        <v>10000866</v>
      </c>
      <c r="D1058" s="380" t="s">
        <v>767</v>
      </c>
      <c r="E1058" s="380" t="s">
        <v>768</v>
      </c>
      <c r="F1058" s="380" t="s">
        <v>797</v>
      </c>
      <c r="G1058" s="380" t="s">
        <v>1267</v>
      </c>
      <c r="H1058" s="380" t="s">
        <v>771</v>
      </c>
      <c r="I1058" s="380" t="s">
        <v>799</v>
      </c>
      <c r="J1058" s="380" t="s">
        <v>773</v>
      </c>
      <c r="K1058" s="381">
        <v>0.0</v>
      </c>
      <c r="L1058" s="382">
        <v>1.0</v>
      </c>
    </row>
    <row r="1059">
      <c r="A1059" s="380" t="s">
        <v>1900</v>
      </c>
      <c r="B1059" s="380" t="str">
        <f>IFERROR(__xludf.DUMMYFUNCTION("""COMPUTED_VALUE"""),"Etiqueta Dumy Medellin Cucuta")</f>
        <v>Etiqueta Dumy Medellin Cucuta</v>
      </c>
      <c r="C1059" s="380" t="str">
        <f>IFERROR(__xludf.DUMMYFUNCTION("""COMPUTED_VALUE"""),"10000867")</f>
        <v>10000867</v>
      </c>
      <c r="D1059" s="380" t="s">
        <v>767</v>
      </c>
      <c r="E1059" s="380" t="s">
        <v>768</v>
      </c>
      <c r="F1059" s="380" t="s">
        <v>797</v>
      </c>
      <c r="G1059" s="380" t="s">
        <v>1267</v>
      </c>
      <c r="H1059" s="380" t="s">
        <v>771</v>
      </c>
      <c r="I1059" s="380" t="s">
        <v>799</v>
      </c>
      <c r="J1059" s="380" t="s">
        <v>773</v>
      </c>
      <c r="K1059" s="381">
        <v>0.0</v>
      </c>
      <c r="L1059" s="382">
        <v>1.0</v>
      </c>
    </row>
    <row r="1060">
      <c r="A1060" s="380" t="s">
        <v>1901</v>
      </c>
      <c r="B1060" s="380" t="str">
        <f>IFERROR(__xludf.DUMMYFUNCTION("""COMPUTED_VALUE"""),"Etiqueta Dumy Medellin Pasto")</f>
        <v>Etiqueta Dumy Medellin Pasto</v>
      </c>
      <c r="C1060" s="380" t="str">
        <f>IFERROR(__xludf.DUMMYFUNCTION("""COMPUTED_VALUE"""),"10000868")</f>
        <v>10000868</v>
      </c>
      <c r="D1060" s="380" t="s">
        <v>767</v>
      </c>
      <c r="E1060" s="380" t="s">
        <v>768</v>
      </c>
      <c r="F1060" s="380" t="s">
        <v>797</v>
      </c>
      <c r="G1060" s="380" t="s">
        <v>1267</v>
      </c>
      <c r="H1060" s="380" t="s">
        <v>771</v>
      </c>
      <c r="I1060" s="380" t="s">
        <v>799</v>
      </c>
      <c r="J1060" s="380" t="s">
        <v>773</v>
      </c>
      <c r="K1060" s="381">
        <v>0.0</v>
      </c>
      <c r="L1060" s="382">
        <v>1.0</v>
      </c>
    </row>
    <row r="1061">
      <c r="A1061" s="380" t="s">
        <v>1902</v>
      </c>
      <c r="B1061" s="380" t="str">
        <f>IFERROR(__xludf.DUMMYFUNCTION("""COMPUTED_VALUE"""),"Etiqueta Dumy Medellin Neiva")</f>
        <v>Etiqueta Dumy Medellin Neiva</v>
      </c>
      <c r="C1061" s="380" t="str">
        <f>IFERROR(__xludf.DUMMYFUNCTION("""COMPUTED_VALUE"""),"10000869")</f>
        <v>10000869</v>
      </c>
      <c r="D1061" s="380" t="s">
        <v>767</v>
      </c>
      <c r="E1061" s="380" t="s">
        <v>768</v>
      </c>
      <c r="F1061" s="380" t="s">
        <v>797</v>
      </c>
      <c r="G1061" s="380" t="s">
        <v>1267</v>
      </c>
      <c r="H1061" s="380" t="s">
        <v>771</v>
      </c>
      <c r="I1061" s="380" t="s">
        <v>799</v>
      </c>
      <c r="J1061" s="380" t="s">
        <v>773</v>
      </c>
      <c r="K1061" s="381">
        <v>0.0</v>
      </c>
      <c r="L1061" s="382">
        <v>1.0</v>
      </c>
    </row>
    <row r="1062">
      <c r="A1062" s="380" t="s">
        <v>1903</v>
      </c>
      <c r="B1062" s="380" t="str">
        <f>IFERROR(__xludf.DUMMYFUNCTION("""COMPUTED_VALUE"""),"Pos-It 75mm X 75mm X 450 Hojas")</f>
        <v>Pos-It 75mm X 75mm X 450 Hojas</v>
      </c>
      <c r="C1062" s="380" t="str">
        <f>IFERROR(__xludf.DUMMYFUNCTION("""COMPUTED_VALUE"""),"10000871")</f>
        <v>10000871</v>
      </c>
      <c r="D1062" s="380" t="s">
        <v>767</v>
      </c>
      <c r="E1062" s="380" t="s">
        <v>768</v>
      </c>
      <c r="F1062" s="380" t="s">
        <v>797</v>
      </c>
      <c r="G1062" s="380" t="s">
        <v>1267</v>
      </c>
      <c r="H1062" s="380" t="s">
        <v>771</v>
      </c>
      <c r="I1062" s="380" t="s">
        <v>799</v>
      </c>
      <c r="J1062" s="380" t="s">
        <v>773</v>
      </c>
      <c r="K1062" s="381">
        <v>0.0</v>
      </c>
      <c r="L1062" s="382">
        <v>1.0</v>
      </c>
    </row>
    <row r="1063">
      <c r="A1063" s="380" t="s">
        <v>1904</v>
      </c>
      <c r="B1063" s="380" t="str">
        <f>IFERROR(__xludf.DUMMYFUNCTION("""COMPUTED_VALUE"""),"Articulos Decorativos Desarrol")</f>
        <v>Articulos Decorativos Desarrol</v>
      </c>
      <c r="C1063" s="380" t="str">
        <f>IFERROR(__xludf.DUMMYFUNCTION("""COMPUTED_VALUE"""),"10000872")</f>
        <v>10000872</v>
      </c>
      <c r="D1063" s="380" t="s">
        <v>767</v>
      </c>
      <c r="E1063" s="380" t="s">
        <v>768</v>
      </c>
      <c r="F1063" s="380" t="s">
        <v>797</v>
      </c>
      <c r="G1063" s="380" t="s">
        <v>1267</v>
      </c>
      <c r="H1063" s="380" t="s">
        <v>771</v>
      </c>
      <c r="I1063" s="380" t="s">
        <v>799</v>
      </c>
      <c r="J1063" s="380" t="s">
        <v>773</v>
      </c>
      <c r="K1063" s="381">
        <v>0.0</v>
      </c>
      <c r="L1063" s="382">
        <v>1.0</v>
      </c>
    </row>
    <row r="1064">
      <c r="A1064" s="380" t="s">
        <v>1905</v>
      </c>
      <c r="B1064" s="380" t="str">
        <f>IFERROR(__xludf.DUMMYFUNCTION("""COMPUTED_VALUE"""),"Formato Control De Asistencia")</f>
        <v>Formato Control De Asistencia</v>
      </c>
      <c r="C1064" s="380" t="str">
        <f>IFERROR(__xludf.DUMMYFUNCTION("""COMPUTED_VALUE"""),"10000874")</f>
        <v>10000874</v>
      </c>
      <c r="D1064" s="380" t="s">
        <v>767</v>
      </c>
      <c r="E1064" s="380" t="s">
        <v>768</v>
      </c>
      <c r="F1064" s="380" t="s">
        <v>797</v>
      </c>
      <c r="G1064" s="380" t="s">
        <v>1267</v>
      </c>
      <c r="H1064" s="380" t="s">
        <v>771</v>
      </c>
      <c r="I1064" s="380" t="s">
        <v>799</v>
      </c>
      <c r="J1064" s="380" t="s">
        <v>773</v>
      </c>
      <c r="K1064" s="381">
        <v>0.0</v>
      </c>
      <c r="L1064" s="382">
        <v>1.0</v>
      </c>
    </row>
    <row r="1065">
      <c r="A1065" s="380" t="s">
        <v>1906</v>
      </c>
      <c r="B1065" s="380" t="str">
        <f>IFERROR(__xludf.DUMMYFUNCTION("""COMPUTED_VALUE"""),"Pila Termometro Digital")</f>
        <v>Pila Termometro Digital</v>
      </c>
      <c r="C1065" s="380" t="str">
        <f>IFERROR(__xludf.DUMMYFUNCTION("""COMPUTED_VALUE"""),"10000875")</f>
        <v>10000875</v>
      </c>
      <c r="D1065" s="380" t="s">
        <v>767</v>
      </c>
      <c r="E1065" s="380" t="s">
        <v>768</v>
      </c>
      <c r="F1065" s="380" t="s">
        <v>797</v>
      </c>
      <c r="G1065" s="380" t="s">
        <v>1267</v>
      </c>
      <c r="H1065" s="380" t="s">
        <v>771</v>
      </c>
      <c r="I1065" s="380" t="s">
        <v>799</v>
      </c>
      <c r="J1065" s="380" t="s">
        <v>773</v>
      </c>
      <c r="K1065" s="381">
        <v>0.0</v>
      </c>
      <c r="L1065" s="382">
        <v>1.0</v>
      </c>
    </row>
    <row r="1066">
      <c r="A1066" s="380" t="s">
        <v>1907</v>
      </c>
      <c r="B1066" s="380" t="str">
        <f>IFERROR(__xludf.DUMMYFUNCTION("""COMPUTED_VALUE"""),"Gaseosa Litron")</f>
        <v>Gaseosa Litron</v>
      </c>
      <c r="C1066" s="380" t="str">
        <f>IFERROR(__xludf.DUMMYFUNCTION("""COMPUTED_VALUE"""),"10000876")</f>
        <v>10000876</v>
      </c>
      <c r="D1066" s="380" t="s">
        <v>767</v>
      </c>
      <c r="E1066" s="380" t="s">
        <v>768</v>
      </c>
      <c r="F1066" s="380" t="s">
        <v>803</v>
      </c>
      <c r="G1066" s="380" t="s">
        <v>1267</v>
      </c>
      <c r="H1066" s="380" t="s">
        <v>771</v>
      </c>
      <c r="I1066" s="380" t="s">
        <v>772</v>
      </c>
      <c r="J1066" s="380" t="s">
        <v>773</v>
      </c>
      <c r="K1066" s="381">
        <v>0.0</v>
      </c>
      <c r="L1066" s="382">
        <v>1.0</v>
      </c>
    </row>
    <row r="1067">
      <c r="A1067" s="380" t="s">
        <v>1908</v>
      </c>
      <c r="B1067" s="380" t="str">
        <f>IFERROR(__xludf.DUMMYFUNCTION("""COMPUTED_VALUE"""),"Pad Mouse")</f>
        <v>Pad Mouse</v>
      </c>
      <c r="C1067" s="380" t="str">
        <f>IFERROR(__xludf.DUMMYFUNCTION("""COMPUTED_VALUE"""),"10000877")</f>
        <v>10000877</v>
      </c>
      <c r="D1067" s="380" t="s">
        <v>767</v>
      </c>
      <c r="E1067" s="380" t="s">
        <v>768</v>
      </c>
      <c r="F1067" s="380" t="s">
        <v>797</v>
      </c>
      <c r="G1067" s="380" t="s">
        <v>1267</v>
      </c>
      <c r="H1067" s="380" t="s">
        <v>771</v>
      </c>
      <c r="I1067" s="380" t="s">
        <v>799</v>
      </c>
      <c r="J1067" s="380" t="s">
        <v>773</v>
      </c>
      <c r="K1067" s="381">
        <v>0.0</v>
      </c>
      <c r="L1067" s="382">
        <v>1.0</v>
      </c>
    </row>
    <row r="1068">
      <c r="A1068" s="380" t="s">
        <v>1909</v>
      </c>
      <c r="B1068" s="380" t="str">
        <f>IFERROR(__xludf.DUMMYFUNCTION("""COMPUTED_VALUE"""),"Portalapiceros")</f>
        <v>Portalapiceros</v>
      </c>
      <c r="C1068" s="380" t="str">
        <f>IFERROR(__xludf.DUMMYFUNCTION("""COMPUTED_VALUE"""),"10000878")</f>
        <v>10000878</v>
      </c>
      <c r="D1068" s="380" t="s">
        <v>767</v>
      </c>
      <c r="E1068" s="380" t="s">
        <v>768</v>
      </c>
      <c r="F1068" s="380" t="s">
        <v>797</v>
      </c>
      <c r="G1068" s="380" t="s">
        <v>1267</v>
      </c>
      <c r="H1068" s="380" t="s">
        <v>771</v>
      </c>
      <c r="I1068" s="380" t="s">
        <v>799</v>
      </c>
      <c r="J1068" s="380" t="s">
        <v>773</v>
      </c>
      <c r="K1068" s="381">
        <v>13606.0</v>
      </c>
      <c r="L1068" s="382">
        <v>1.0</v>
      </c>
    </row>
    <row r="1069">
      <c r="A1069" s="380" t="s">
        <v>1910</v>
      </c>
      <c r="B1069" s="380" t="str">
        <f>IFERROR(__xludf.DUMMYFUNCTION("""COMPUTED_VALUE"""),"Portapapeles")</f>
        <v>Portapapeles</v>
      </c>
      <c r="C1069" s="380" t="str">
        <f>IFERROR(__xludf.DUMMYFUNCTION("""COMPUTED_VALUE"""),"10000879")</f>
        <v>10000879</v>
      </c>
      <c r="D1069" s="380" t="s">
        <v>767</v>
      </c>
      <c r="E1069" s="380" t="s">
        <v>768</v>
      </c>
      <c r="F1069" s="380" t="s">
        <v>797</v>
      </c>
      <c r="G1069" s="380" t="s">
        <v>1267</v>
      </c>
      <c r="H1069" s="380" t="s">
        <v>771</v>
      </c>
      <c r="I1069" s="380" t="s">
        <v>799</v>
      </c>
      <c r="J1069" s="380" t="s">
        <v>773</v>
      </c>
      <c r="K1069" s="381">
        <v>0.0</v>
      </c>
      <c r="L1069" s="382">
        <v>1.0</v>
      </c>
    </row>
    <row r="1070">
      <c r="A1070" s="380" t="s">
        <v>1911</v>
      </c>
      <c r="B1070" s="380" t="str">
        <f>IFERROR(__xludf.DUMMYFUNCTION("""COMPUTED_VALUE"""),"Tornillo Con Tuerca Para Estan")</f>
        <v>Tornillo Con Tuerca Para Estan</v>
      </c>
      <c r="C1070" s="380" t="str">
        <f>IFERROR(__xludf.DUMMYFUNCTION("""COMPUTED_VALUE"""),"10000880")</f>
        <v>10000880</v>
      </c>
      <c r="D1070" s="380" t="s">
        <v>767</v>
      </c>
      <c r="E1070" s="380" t="s">
        <v>768</v>
      </c>
      <c r="F1070" s="380" t="s">
        <v>797</v>
      </c>
      <c r="G1070" s="380" t="s">
        <v>1267</v>
      </c>
      <c r="H1070" s="380" t="s">
        <v>771</v>
      </c>
      <c r="I1070" s="380" t="s">
        <v>799</v>
      </c>
      <c r="J1070" s="380" t="s">
        <v>773</v>
      </c>
      <c r="K1070" s="381">
        <v>0.0</v>
      </c>
      <c r="L1070" s="382">
        <v>1.0</v>
      </c>
    </row>
    <row r="1071">
      <c r="A1071" s="380" t="s">
        <v>1912</v>
      </c>
      <c r="B1071" s="380" t="str">
        <f>IFERROR(__xludf.DUMMYFUNCTION("""COMPUTED_VALUE"""),"Paral Estanteria Gris Cal 14")</f>
        <v>Paral Estanteria Gris Cal 14</v>
      </c>
      <c r="C1071" s="380" t="str">
        <f>IFERROR(__xludf.DUMMYFUNCTION("""COMPUTED_VALUE"""),"10000881")</f>
        <v>10000881</v>
      </c>
      <c r="D1071" s="380" t="s">
        <v>767</v>
      </c>
      <c r="E1071" s="380" t="s">
        <v>768</v>
      </c>
      <c r="F1071" s="380" t="s">
        <v>797</v>
      </c>
      <c r="G1071" s="380" t="s">
        <v>1267</v>
      </c>
      <c r="H1071" s="380" t="s">
        <v>771</v>
      </c>
      <c r="I1071" s="380" t="s">
        <v>799</v>
      </c>
      <c r="J1071" s="380" t="s">
        <v>773</v>
      </c>
      <c r="K1071" s="381">
        <v>0.0</v>
      </c>
      <c r="L1071" s="382">
        <v>1.0</v>
      </c>
    </row>
    <row r="1072">
      <c r="A1072" s="380" t="s">
        <v>1913</v>
      </c>
      <c r="B1072" s="380" t="str">
        <f>IFERROR(__xludf.DUMMYFUNCTION("""COMPUTED_VALUE"""),"Butaco Plastico Fijo Azul Repa")</f>
        <v>Butaco Plastico Fijo Azul Repa</v>
      </c>
      <c r="C1072" s="380" t="str">
        <f>IFERROR(__xludf.DUMMYFUNCTION("""COMPUTED_VALUE"""),"10000882")</f>
        <v>10000882</v>
      </c>
      <c r="D1072" s="380" t="s">
        <v>767</v>
      </c>
      <c r="E1072" s="380" t="s">
        <v>768</v>
      </c>
      <c r="F1072" s="380" t="s">
        <v>797</v>
      </c>
      <c r="G1072" s="380" t="s">
        <v>1267</v>
      </c>
      <c r="H1072" s="380" t="s">
        <v>771</v>
      </c>
      <c r="I1072" s="380" t="s">
        <v>799</v>
      </c>
      <c r="J1072" s="380" t="s">
        <v>773</v>
      </c>
      <c r="K1072" s="381">
        <v>0.0</v>
      </c>
      <c r="L1072" s="382">
        <v>1.0</v>
      </c>
    </row>
    <row r="1073">
      <c r="A1073" s="380" t="s">
        <v>1914</v>
      </c>
      <c r="B1073" s="380" t="str">
        <f>IFERROR(__xludf.DUMMYFUNCTION("""COMPUTED_VALUE"""),"Gaseosa X Unidad De 300 Ml")</f>
        <v>Gaseosa X Unidad De 300 Ml</v>
      </c>
      <c r="C1073" s="380" t="str">
        <f>IFERROR(__xludf.DUMMYFUNCTION("""COMPUTED_VALUE"""),"10000883")</f>
        <v>10000883</v>
      </c>
      <c r="D1073" s="380" t="s">
        <v>767</v>
      </c>
      <c r="E1073" s="380" t="s">
        <v>768</v>
      </c>
      <c r="F1073" s="380" t="s">
        <v>803</v>
      </c>
      <c r="G1073" s="380" t="s">
        <v>1267</v>
      </c>
      <c r="H1073" s="380" t="s">
        <v>771</v>
      </c>
      <c r="I1073" s="380" t="s">
        <v>772</v>
      </c>
      <c r="J1073" s="380" t="s">
        <v>773</v>
      </c>
      <c r="K1073" s="381">
        <v>0.0</v>
      </c>
      <c r="L1073" s="382">
        <v>1.0</v>
      </c>
    </row>
    <row r="1074">
      <c r="A1074" s="380" t="s">
        <v>1915</v>
      </c>
      <c r="B1074" s="380" t="str">
        <f>IFERROR(__xludf.DUMMYFUNCTION("""COMPUTED_VALUE"""),"Rollo 500 Etiqueta 10x10 Zd420")</f>
        <v>Rollo 500 Etiqueta 10x10 Zd420</v>
      </c>
      <c r="C1074" s="380" t="str">
        <f>IFERROR(__xludf.DUMMYFUNCTION("""COMPUTED_VALUE"""),"10000884")</f>
        <v>10000884</v>
      </c>
      <c r="D1074" s="380" t="s">
        <v>767</v>
      </c>
      <c r="E1074" s="380" t="s">
        <v>768</v>
      </c>
      <c r="F1074" s="380" t="s">
        <v>797</v>
      </c>
      <c r="G1074" s="380" t="s">
        <v>1267</v>
      </c>
      <c r="H1074" s="380" t="s">
        <v>771</v>
      </c>
      <c r="I1074" s="380" t="s">
        <v>799</v>
      </c>
      <c r="J1074" s="380" t="s">
        <v>773</v>
      </c>
      <c r="K1074" s="381">
        <v>35447.0</v>
      </c>
      <c r="L1074" s="382">
        <v>1.0</v>
      </c>
    </row>
    <row r="1075">
      <c r="A1075" s="380" t="s">
        <v>1916</v>
      </c>
      <c r="B1075" s="380" t="str">
        <f>IFERROR(__xludf.DUMMYFUNCTION("""COMPUTED_VALUE"""),"Formato Compromiso Seguridad V")</f>
        <v>Formato Compromiso Seguridad V</v>
      </c>
      <c r="C1075" s="380" t="str">
        <f>IFERROR(__xludf.DUMMYFUNCTION("""COMPUTED_VALUE"""),"10000885")</f>
        <v>10000885</v>
      </c>
      <c r="D1075" s="380" t="s">
        <v>767</v>
      </c>
      <c r="E1075" s="380" t="s">
        <v>768</v>
      </c>
      <c r="F1075" s="380" t="s">
        <v>797</v>
      </c>
      <c r="G1075" s="380" t="s">
        <v>1267</v>
      </c>
      <c r="H1075" s="380" t="s">
        <v>771</v>
      </c>
      <c r="I1075" s="380" t="s">
        <v>799</v>
      </c>
      <c r="J1075" s="380" t="s">
        <v>773</v>
      </c>
      <c r="K1075" s="381">
        <v>0.0</v>
      </c>
      <c r="L1075" s="382">
        <v>1.0</v>
      </c>
    </row>
    <row r="1076">
      <c r="A1076" s="380" t="s">
        <v>1917</v>
      </c>
      <c r="B1076" s="380" t="str">
        <f>IFERROR(__xludf.DUMMYFUNCTION("""COMPUTED_VALUE"""),"Guillotina Fla 45x38 Cm 10 Hoj")</f>
        <v>Guillotina Fla 45x38 Cm 10 Hoj</v>
      </c>
      <c r="C1076" s="380" t="str">
        <f>IFERROR(__xludf.DUMMYFUNCTION("""COMPUTED_VALUE"""),"10000886")</f>
        <v>10000886</v>
      </c>
      <c r="D1076" s="380" t="s">
        <v>767</v>
      </c>
      <c r="E1076" s="380" t="s">
        <v>768</v>
      </c>
      <c r="F1076" s="380" t="s">
        <v>797</v>
      </c>
      <c r="G1076" s="380" t="s">
        <v>1267</v>
      </c>
      <c r="H1076" s="380" t="s">
        <v>771</v>
      </c>
      <c r="I1076" s="380" t="s">
        <v>799</v>
      </c>
      <c r="J1076" s="380" t="s">
        <v>773</v>
      </c>
      <c r="K1076" s="381">
        <v>0.0</v>
      </c>
      <c r="L1076" s="382">
        <v>1.0</v>
      </c>
    </row>
    <row r="1077">
      <c r="A1077" s="380" t="s">
        <v>1918</v>
      </c>
      <c r="B1077" s="380" t="str">
        <f>IFERROR(__xludf.DUMMYFUNCTION("""COMPUTED_VALUE"""),"Bisagra Puerta Locker Paq X50")</f>
        <v>Bisagra Puerta Locker Paq X50</v>
      </c>
      <c r="C1077" s="380" t="str">
        <f>IFERROR(__xludf.DUMMYFUNCTION("""COMPUTED_VALUE"""),"10000887")</f>
        <v>10000887</v>
      </c>
      <c r="D1077" s="380" t="s">
        <v>767</v>
      </c>
      <c r="E1077" s="380" t="s">
        <v>768</v>
      </c>
      <c r="F1077" s="380" t="s">
        <v>797</v>
      </c>
      <c r="G1077" s="380" t="s">
        <v>1267</v>
      </c>
      <c r="H1077" s="380" t="s">
        <v>771</v>
      </c>
      <c r="I1077" s="380" t="s">
        <v>799</v>
      </c>
      <c r="J1077" s="380" t="s">
        <v>773</v>
      </c>
      <c r="K1077" s="381">
        <v>0.0</v>
      </c>
      <c r="L1077" s="382">
        <v>1.0</v>
      </c>
    </row>
    <row r="1078">
      <c r="A1078" s="380" t="s">
        <v>1919</v>
      </c>
      <c r="B1078" s="380" t="str">
        <f>IFERROR(__xludf.DUMMYFUNCTION("""COMPUTED_VALUE"""),"Silicona En Barra ( Para Pisto")</f>
        <v>Silicona En Barra ( Para Pisto</v>
      </c>
      <c r="C1078" s="380" t="str">
        <f>IFERROR(__xludf.DUMMYFUNCTION("""COMPUTED_VALUE"""),"10000888")</f>
        <v>10000888</v>
      </c>
      <c r="D1078" s="380" t="s">
        <v>767</v>
      </c>
      <c r="E1078" s="380" t="s">
        <v>768</v>
      </c>
      <c r="F1078" s="380" t="s">
        <v>797</v>
      </c>
      <c r="G1078" s="380" t="s">
        <v>1267</v>
      </c>
      <c r="H1078" s="380" t="s">
        <v>771</v>
      </c>
      <c r="I1078" s="380" t="s">
        <v>799</v>
      </c>
      <c r="J1078" s="380" t="s">
        <v>773</v>
      </c>
      <c r="K1078" s="381">
        <v>0.0</v>
      </c>
      <c r="L1078" s="382">
        <v>1.0</v>
      </c>
    </row>
    <row r="1079">
      <c r="A1079" s="380" t="s">
        <v>1920</v>
      </c>
      <c r="B1079" s="380" t="str">
        <f>IFERROR(__xludf.DUMMYFUNCTION("""COMPUTED_VALUE"""),"Repuesto Portaminas 0.5 HB")</f>
        <v>Repuesto Portaminas 0.5 HB</v>
      </c>
      <c r="C1079" s="380" t="str">
        <f>IFERROR(__xludf.DUMMYFUNCTION("""COMPUTED_VALUE"""),"10000889")</f>
        <v>10000889</v>
      </c>
      <c r="D1079" s="380" t="s">
        <v>767</v>
      </c>
      <c r="E1079" s="380" t="s">
        <v>768</v>
      </c>
      <c r="F1079" s="380" t="s">
        <v>797</v>
      </c>
      <c r="G1079" s="380" t="s">
        <v>1267</v>
      </c>
      <c r="H1079" s="380" t="s">
        <v>771</v>
      </c>
      <c r="I1079" s="380" t="s">
        <v>799</v>
      </c>
      <c r="J1079" s="380" t="s">
        <v>773</v>
      </c>
      <c r="K1079" s="381">
        <v>1435.0</v>
      </c>
      <c r="L1079" s="382">
        <v>1.0</v>
      </c>
    </row>
    <row r="1080">
      <c r="A1080" s="380" t="s">
        <v>1921</v>
      </c>
      <c r="B1080" s="380" t="str">
        <f>IFERROR(__xludf.DUMMYFUNCTION("""COMPUTED_VALUE"""),"Caja De Colores X 12")</f>
        <v>Caja De Colores X 12</v>
      </c>
      <c r="C1080" s="380" t="str">
        <f>IFERROR(__xludf.DUMMYFUNCTION("""COMPUTED_VALUE"""),"10000890")</f>
        <v>10000890</v>
      </c>
      <c r="D1080" s="380" t="s">
        <v>767</v>
      </c>
      <c r="E1080" s="380" t="s">
        <v>768</v>
      </c>
      <c r="F1080" s="380" t="s">
        <v>797</v>
      </c>
      <c r="G1080" s="380" t="s">
        <v>1267</v>
      </c>
      <c r="H1080" s="380" t="s">
        <v>771</v>
      </c>
      <c r="I1080" s="380" t="s">
        <v>799</v>
      </c>
      <c r="J1080" s="380" t="s">
        <v>773</v>
      </c>
      <c r="K1080" s="381">
        <v>0.0</v>
      </c>
      <c r="L1080" s="382">
        <v>1.0</v>
      </c>
    </row>
    <row r="1081">
      <c r="A1081" s="380" t="s">
        <v>1922</v>
      </c>
      <c r="B1081" s="380" t="str">
        <f>IFERROR(__xludf.DUMMYFUNCTION("""COMPUTED_VALUE"""),"Resaltador Color")</f>
        <v>Resaltador Color</v>
      </c>
      <c r="C1081" s="380" t="str">
        <f>IFERROR(__xludf.DUMMYFUNCTION("""COMPUTED_VALUE"""),"10000891")</f>
        <v>10000891</v>
      </c>
      <c r="D1081" s="380" t="s">
        <v>767</v>
      </c>
      <c r="E1081" s="380" t="s">
        <v>768</v>
      </c>
      <c r="F1081" s="380" t="s">
        <v>797</v>
      </c>
      <c r="G1081" s="380" t="s">
        <v>1267</v>
      </c>
      <c r="H1081" s="380" t="s">
        <v>771</v>
      </c>
      <c r="I1081" s="380" t="s">
        <v>799</v>
      </c>
      <c r="J1081" s="380" t="s">
        <v>773</v>
      </c>
      <c r="K1081" s="381">
        <v>1146.0</v>
      </c>
      <c r="L1081" s="382">
        <v>1.0</v>
      </c>
    </row>
    <row r="1082">
      <c r="A1082" s="380" t="s">
        <v>1923</v>
      </c>
      <c r="B1082" s="380" t="str">
        <f>IFERROR(__xludf.DUMMYFUNCTION("""COMPUTED_VALUE"""),"Productos Panaderia Gravado")</f>
        <v>Productos Panaderia Gravado</v>
      </c>
      <c r="C1082" s="380" t="str">
        <f>IFERROR(__xludf.DUMMYFUNCTION("""COMPUTED_VALUE"""),"10000892")</f>
        <v>10000892</v>
      </c>
      <c r="D1082" s="380" t="s">
        <v>767</v>
      </c>
      <c r="E1082" s="380" t="s">
        <v>768</v>
      </c>
      <c r="F1082" s="380" t="s">
        <v>803</v>
      </c>
      <c r="G1082" s="380" t="s">
        <v>1267</v>
      </c>
      <c r="H1082" s="380" t="s">
        <v>771</v>
      </c>
      <c r="I1082" s="380" t="s">
        <v>772</v>
      </c>
      <c r="J1082" s="380" t="s">
        <v>773</v>
      </c>
      <c r="K1082" s="381">
        <v>0.0</v>
      </c>
      <c r="L1082" s="382">
        <v>1.0</v>
      </c>
    </row>
    <row r="1083">
      <c r="A1083" s="380" t="s">
        <v>1924</v>
      </c>
      <c r="B1083" s="380" t="str">
        <f>IFERROR(__xludf.DUMMYFUNCTION("""COMPUTED_VALUE"""),"Productos Panaderia No Gravado")</f>
        <v>Productos Panaderia No Gravado</v>
      </c>
      <c r="C1083" s="380" t="str">
        <f>IFERROR(__xludf.DUMMYFUNCTION("""COMPUTED_VALUE"""),"10000893")</f>
        <v>10000893</v>
      </c>
      <c r="D1083" s="380" t="s">
        <v>767</v>
      </c>
      <c r="E1083" s="380" t="s">
        <v>768</v>
      </c>
      <c r="F1083" s="380" t="s">
        <v>803</v>
      </c>
      <c r="G1083" s="380" t="s">
        <v>1267</v>
      </c>
      <c r="H1083" s="380" t="s">
        <v>771</v>
      </c>
      <c r="I1083" s="380" t="s">
        <v>772</v>
      </c>
      <c r="J1083" s="380" t="s">
        <v>773</v>
      </c>
      <c r="K1083" s="381">
        <v>0.0</v>
      </c>
      <c r="L1083" s="382">
        <v>1.0</v>
      </c>
    </row>
    <row r="1084">
      <c r="A1084" s="380" t="s">
        <v>1925</v>
      </c>
      <c r="B1084" s="380" t="str">
        <f>IFERROR(__xludf.DUMMYFUNCTION("""COMPUTED_VALUE"""),"Tonner Kyocera Tk 1162")</f>
        <v>Tonner Kyocera Tk 1162</v>
      </c>
      <c r="C1084" s="380" t="str">
        <f>IFERROR(__xludf.DUMMYFUNCTION("""COMPUTED_VALUE"""),"10000894")</f>
        <v>10000894</v>
      </c>
      <c r="D1084" s="380" t="s">
        <v>767</v>
      </c>
      <c r="E1084" s="380" t="s">
        <v>768</v>
      </c>
      <c r="F1084" s="380" t="s">
        <v>797</v>
      </c>
      <c r="G1084" s="380" t="s">
        <v>1267</v>
      </c>
      <c r="H1084" s="380" t="s">
        <v>771</v>
      </c>
      <c r="I1084" s="380" t="s">
        <v>799</v>
      </c>
      <c r="J1084" s="380" t="s">
        <v>773</v>
      </c>
      <c r="K1084" s="381">
        <v>316540.0</v>
      </c>
      <c r="L1084" s="382">
        <v>1.0</v>
      </c>
    </row>
    <row r="1085">
      <c r="A1085" s="380" t="s">
        <v>1926</v>
      </c>
      <c r="B1085" s="380" t="str">
        <f>IFERROR(__xludf.DUMMYFUNCTION("""COMPUTED_VALUE"""),"Fotocopias Infraestructura")</f>
        <v>Fotocopias Infraestructura</v>
      </c>
      <c r="C1085" s="380" t="str">
        <f>IFERROR(__xludf.DUMMYFUNCTION("""COMPUTED_VALUE"""),"10000895")</f>
        <v>10000895</v>
      </c>
      <c r="D1085" s="380" t="s">
        <v>767</v>
      </c>
      <c r="E1085" s="380" t="s">
        <v>768</v>
      </c>
      <c r="F1085" s="380" t="s">
        <v>797</v>
      </c>
      <c r="G1085" s="380" t="s">
        <v>1267</v>
      </c>
      <c r="H1085" s="380" t="s">
        <v>771</v>
      </c>
      <c r="I1085" s="380" t="s">
        <v>799</v>
      </c>
      <c r="J1085" s="380" t="s">
        <v>773</v>
      </c>
      <c r="K1085" s="381">
        <v>0.0</v>
      </c>
      <c r="L1085" s="382">
        <v>1.0</v>
      </c>
    </row>
    <row r="1086">
      <c r="A1086" s="380" t="s">
        <v>1927</v>
      </c>
      <c r="B1086" s="380" t="str">
        <f>IFERROR(__xludf.DUMMYFUNCTION("""COMPUTED_VALUE"""),"Cortina De Baño")</f>
        <v>Cortina De Baño</v>
      </c>
      <c r="C1086" s="380" t="str">
        <f>IFERROR(__xludf.DUMMYFUNCTION("""COMPUTED_VALUE"""),"10000896")</f>
        <v>10000896</v>
      </c>
      <c r="D1086" s="380" t="s">
        <v>767</v>
      </c>
      <c r="E1086" s="380" t="s">
        <v>768</v>
      </c>
      <c r="F1086" s="380" t="s">
        <v>769</v>
      </c>
      <c r="G1086" s="380" t="s">
        <v>1267</v>
      </c>
      <c r="H1086" s="380" t="s">
        <v>771</v>
      </c>
      <c r="I1086" s="380" t="s">
        <v>772</v>
      </c>
      <c r="J1086" s="380" t="s">
        <v>773</v>
      </c>
      <c r="K1086" s="381">
        <v>0.0</v>
      </c>
      <c r="L1086" s="382">
        <v>1.0</v>
      </c>
    </row>
    <row r="1087">
      <c r="A1087" s="380" t="s">
        <v>1928</v>
      </c>
      <c r="B1087" s="380" t="str">
        <f>IFERROR(__xludf.DUMMYFUNCTION("""COMPUTED_VALUE"""),"Entrepaño De 44 X 90 Cm Cal 20")</f>
        <v>Entrepaño De 44 X 90 Cm Cal 20</v>
      </c>
      <c r="C1087" s="380" t="str">
        <f>IFERROR(__xludf.DUMMYFUNCTION("""COMPUTED_VALUE"""),"10000897")</f>
        <v>10000897</v>
      </c>
      <c r="D1087" s="380" t="s">
        <v>767</v>
      </c>
      <c r="E1087" s="380" t="s">
        <v>768</v>
      </c>
      <c r="F1087" s="380" t="s">
        <v>797</v>
      </c>
      <c r="G1087" s="380" t="s">
        <v>1267</v>
      </c>
      <c r="H1087" s="380" t="s">
        <v>771</v>
      </c>
      <c r="I1087" s="380" t="s">
        <v>799</v>
      </c>
      <c r="J1087" s="380" t="s">
        <v>773</v>
      </c>
      <c r="K1087" s="381">
        <v>0.0</v>
      </c>
      <c r="L1087" s="382">
        <v>1.0</v>
      </c>
    </row>
    <row r="1088">
      <c r="A1088" s="380" t="s">
        <v>1929</v>
      </c>
      <c r="B1088" s="380" t="str">
        <f>IFERROR(__xludf.DUMMYFUNCTION("""COMPUTED_VALUE"""),"Suavizante De Ropa 1000 Cc")</f>
        <v>Suavizante De Ropa 1000 Cc</v>
      </c>
      <c r="C1088" s="380" t="str">
        <f>IFERROR(__xludf.DUMMYFUNCTION("""COMPUTED_VALUE"""),"10000898")</f>
        <v>10000898</v>
      </c>
      <c r="D1088" s="380" t="s">
        <v>767</v>
      </c>
      <c r="E1088" s="380" t="s">
        <v>768</v>
      </c>
      <c r="F1088" s="380" t="s">
        <v>769</v>
      </c>
      <c r="G1088" s="380" t="s">
        <v>1267</v>
      </c>
      <c r="H1088" s="380" t="s">
        <v>771</v>
      </c>
      <c r="I1088" s="380" t="s">
        <v>772</v>
      </c>
      <c r="J1088" s="380" t="s">
        <v>773</v>
      </c>
      <c r="K1088" s="381">
        <v>0.0</v>
      </c>
      <c r="L1088" s="382">
        <v>1.0</v>
      </c>
    </row>
    <row r="1089">
      <c r="A1089" s="380" t="s">
        <v>1930</v>
      </c>
      <c r="B1089" s="380" t="str">
        <f>IFERROR(__xludf.DUMMYFUNCTION("""COMPUTED_VALUE"""),"Carpeta Desacificada 302grs Co")</f>
        <v>Carpeta Desacificada 302grs Co</v>
      </c>
      <c r="C1089" s="380" t="str">
        <f>IFERROR(__xludf.DUMMYFUNCTION("""COMPUTED_VALUE"""),"10000899")</f>
        <v>10000899</v>
      </c>
      <c r="D1089" s="380" t="s">
        <v>767</v>
      </c>
      <c r="E1089" s="380" t="s">
        <v>768</v>
      </c>
      <c r="F1089" s="380" t="s">
        <v>797</v>
      </c>
      <c r="G1089" s="380" t="s">
        <v>1267</v>
      </c>
      <c r="H1089" s="380" t="s">
        <v>771</v>
      </c>
      <c r="I1089" s="380" t="s">
        <v>799</v>
      </c>
      <c r="J1089" s="380" t="s">
        <v>773</v>
      </c>
      <c r="K1089" s="381">
        <v>0.0</v>
      </c>
      <c r="L1089" s="382">
        <v>1.0</v>
      </c>
    </row>
    <row r="1090">
      <c r="A1090" s="380" t="s">
        <v>1931</v>
      </c>
      <c r="B1090" s="380" t="str">
        <f>IFERROR(__xludf.DUMMYFUNCTION("""COMPUTED_VALUE"""),"Vinilo Colores Varios")</f>
        <v>Vinilo Colores Varios</v>
      </c>
      <c r="C1090" s="380" t="str">
        <f>IFERROR(__xludf.DUMMYFUNCTION("""COMPUTED_VALUE"""),"10000900")</f>
        <v>10000900</v>
      </c>
      <c r="D1090" s="380" t="s">
        <v>767</v>
      </c>
      <c r="E1090" s="380" t="s">
        <v>768</v>
      </c>
      <c r="F1090" s="380" t="s">
        <v>797</v>
      </c>
      <c r="G1090" s="380" t="s">
        <v>1267</v>
      </c>
      <c r="H1090" s="380" t="s">
        <v>771</v>
      </c>
      <c r="I1090" s="380" t="s">
        <v>799</v>
      </c>
      <c r="J1090" s="380" t="s">
        <v>773</v>
      </c>
      <c r="K1090" s="381">
        <v>0.0</v>
      </c>
      <c r="L1090" s="382">
        <v>1.0</v>
      </c>
    </row>
    <row r="1091">
      <c r="A1091" s="380" t="s">
        <v>1932</v>
      </c>
      <c r="B1091" s="380" t="str">
        <f>IFERROR(__xludf.DUMMYFUNCTION("""COMPUTED_VALUE"""),"Bateria Cr1220")</f>
        <v>Bateria Cr1220</v>
      </c>
      <c r="C1091" s="380" t="str">
        <f>IFERROR(__xludf.DUMMYFUNCTION("""COMPUTED_VALUE"""),"10000901")</f>
        <v>10000901</v>
      </c>
      <c r="D1091" s="380" t="s">
        <v>767</v>
      </c>
      <c r="E1091" s="380" t="s">
        <v>768</v>
      </c>
      <c r="F1091" s="380" t="s">
        <v>797</v>
      </c>
      <c r="G1091" s="380" t="s">
        <v>1267</v>
      </c>
      <c r="H1091" s="380" t="s">
        <v>771</v>
      </c>
      <c r="I1091" s="380" t="s">
        <v>799</v>
      </c>
      <c r="J1091" s="380" t="s">
        <v>773</v>
      </c>
      <c r="K1091" s="381">
        <v>0.0</v>
      </c>
      <c r="L1091" s="382">
        <v>1.0</v>
      </c>
    </row>
    <row r="1092">
      <c r="A1092" s="380" t="s">
        <v>1933</v>
      </c>
      <c r="B1092" s="380" t="str">
        <f>IFERROR(__xludf.DUMMYFUNCTION("""COMPUTED_VALUE"""),"Reloj De Pared Zona Ludica")</f>
        <v>Reloj De Pared Zona Ludica</v>
      </c>
      <c r="C1092" s="380" t="str">
        <f>IFERROR(__xludf.DUMMYFUNCTION("""COMPUTED_VALUE"""),"10000902")</f>
        <v>10000902</v>
      </c>
      <c r="D1092" s="380" t="s">
        <v>767</v>
      </c>
      <c r="E1092" s="380" t="s">
        <v>768</v>
      </c>
      <c r="F1092" s="380" t="s">
        <v>797</v>
      </c>
      <c r="G1092" s="380" t="s">
        <v>1267</v>
      </c>
      <c r="H1092" s="380" t="s">
        <v>771</v>
      </c>
      <c r="I1092" s="380" t="s">
        <v>799</v>
      </c>
      <c r="J1092" s="380" t="s">
        <v>773</v>
      </c>
      <c r="K1092" s="381">
        <v>0.0</v>
      </c>
      <c r="L1092" s="382">
        <v>1.0</v>
      </c>
    </row>
    <row r="1093">
      <c r="A1093" s="380" t="s">
        <v>1934</v>
      </c>
      <c r="B1093" s="380" t="str">
        <f>IFERROR(__xludf.DUMMYFUNCTION("""COMPUTED_VALUE"""),"Bomba Hidraulica Maq Lavado Trailer Rep")</f>
        <v>Bomba Hidraulica Maq Lavado Trailer Rep</v>
      </c>
      <c r="C1093" s="380" t="str">
        <f>IFERROR(__xludf.DUMMYFUNCTION("""COMPUTED_VALUE"""),"10000910")</f>
        <v>10000910</v>
      </c>
      <c r="D1093" s="380" t="s">
        <v>767</v>
      </c>
      <c r="E1093" s="380" t="s">
        <v>768</v>
      </c>
      <c r="F1093" s="380" t="s">
        <v>1278</v>
      </c>
      <c r="G1093" s="380" t="s">
        <v>1267</v>
      </c>
      <c r="H1093" s="380" t="s">
        <v>771</v>
      </c>
      <c r="I1093" s="380" t="s">
        <v>817</v>
      </c>
      <c r="J1093" s="380" t="s">
        <v>773</v>
      </c>
      <c r="K1093" s="381">
        <v>0.0</v>
      </c>
      <c r="L1093" s="382">
        <v>1.0</v>
      </c>
    </row>
    <row r="1094">
      <c r="A1094" s="380" t="s">
        <v>1935</v>
      </c>
      <c r="B1094" s="380" t="str">
        <f>IFERROR(__xludf.DUMMYFUNCTION("""COMPUTED_VALUE"""),"Motor Trif Elec Comp Weg 7.5 Hp 1800 Rpm")</f>
        <v>Motor Trif Elec Comp Weg 7.5 Hp 1800 Rpm</v>
      </c>
      <c r="C1094" s="380" t="str">
        <f>IFERROR(__xludf.DUMMYFUNCTION("""COMPUTED_VALUE"""),"10000911")</f>
        <v>10000911</v>
      </c>
      <c r="D1094" s="380" t="s">
        <v>767</v>
      </c>
      <c r="E1094" s="380" t="s">
        <v>768</v>
      </c>
      <c r="F1094" s="380" t="s">
        <v>1278</v>
      </c>
      <c r="G1094" s="380" t="s">
        <v>1267</v>
      </c>
      <c r="H1094" s="380" t="s">
        <v>771</v>
      </c>
      <c r="I1094" s="380" t="s">
        <v>817</v>
      </c>
      <c r="J1094" s="380" t="s">
        <v>773</v>
      </c>
      <c r="K1094" s="381">
        <v>0.0</v>
      </c>
      <c r="L1094" s="382">
        <v>1.0</v>
      </c>
    </row>
    <row r="1095">
      <c r="A1095" s="380" t="s">
        <v>1936</v>
      </c>
      <c r="B1095" s="380" t="str">
        <f>IFERROR(__xludf.DUMMYFUNCTION("""COMPUTED_VALUE"""),"Rueda Traccion M. Lavadora")</f>
        <v>Rueda Traccion M. Lavadora</v>
      </c>
      <c r="C1095" s="380" t="str">
        <f>IFERROR(__xludf.DUMMYFUNCTION("""COMPUTED_VALUE"""),"10000912")</f>
        <v>10000912</v>
      </c>
      <c r="D1095" s="380" t="s">
        <v>767</v>
      </c>
      <c r="E1095" s="380" t="s">
        <v>768</v>
      </c>
      <c r="F1095" s="380" t="s">
        <v>1278</v>
      </c>
      <c r="G1095" s="380" t="s">
        <v>1267</v>
      </c>
      <c r="H1095" s="380" t="s">
        <v>771</v>
      </c>
      <c r="I1095" s="380" t="s">
        <v>817</v>
      </c>
      <c r="J1095" s="380" t="s">
        <v>773</v>
      </c>
      <c r="K1095" s="381">
        <v>0.0</v>
      </c>
      <c r="L1095" s="382">
        <v>1.0</v>
      </c>
    </row>
    <row r="1096">
      <c r="A1096" s="380" t="s">
        <v>1937</v>
      </c>
      <c r="B1096" s="380" t="str">
        <f>IFERROR(__xludf.DUMMYFUNCTION("""COMPUTED_VALUE"""),"Porta Boquillas M. Lavadora")</f>
        <v>Porta Boquillas M. Lavadora</v>
      </c>
      <c r="C1096" s="380" t="str">
        <f>IFERROR(__xludf.DUMMYFUNCTION("""COMPUTED_VALUE"""),"10000913")</f>
        <v>10000913</v>
      </c>
      <c r="D1096" s="380" t="s">
        <v>767</v>
      </c>
      <c r="E1096" s="380" t="s">
        <v>768</v>
      </c>
      <c r="F1096" s="380" t="s">
        <v>1278</v>
      </c>
      <c r="G1096" s="380" t="s">
        <v>1267</v>
      </c>
      <c r="H1096" s="380" t="s">
        <v>771</v>
      </c>
      <c r="I1096" s="380" t="s">
        <v>817</v>
      </c>
      <c r="J1096" s="380" t="s">
        <v>773</v>
      </c>
      <c r="K1096" s="381">
        <v>9891.0</v>
      </c>
      <c r="L1096" s="382">
        <v>1.0</v>
      </c>
    </row>
    <row r="1097">
      <c r="A1097" s="380" t="s">
        <v>1938</v>
      </c>
      <c r="B1097" s="380" t="str">
        <f>IFERROR(__xludf.DUMMYFUNCTION("""COMPUTED_VALUE"""),"Boquilla Para Agua M. Lavadora")</f>
        <v>Boquilla Para Agua M. Lavadora</v>
      </c>
      <c r="C1097" s="380" t="str">
        <f>IFERROR(__xludf.DUMMYFUNCTION("""COMPUTED_VALUE"""),"10000914")</f>
        <v>10000914</v>
      </c>
      <c r="D1097" s="380" t="s">
        <v>767</v>
      </c>
      <c r="E1097" s="380" t="s">
        <v>768</v>
      </c>
      <c r="F1097" s="380" t="s">
        <v>1278</v>
      </c>
      <c r="G1097" s="380" t="s">
        <v>1267</v>
      </c>
      <c r="H1097" s="380" t="s">
        <v>771</v>
      </c>
      <c r="I1097" s="380" t="s">
        <v>817</v>
      </c>
      <c r="J1097" s="380" t="s">
        <v>773</v>
      </c>
      <c r="K1097" s="381">
        <v>0.0</v>
      </c>
      <c r="L1097" s="382">
        <v>1.0</v>
      </c>
    </row>
    <row r="1098">
      <c r="A1098" s="380" t="s">
        <v>1939</v>
      </c>
      <c r="B1098" s="380" t="str">
        <f>IFERROR(__xludf.DUMMYFUNCTION("""COMPUTED_VALUE"""),"Boquilla Para Jabon M. Lavadora")</f>
        <v>Boquilla Para Jabon M. Lavadora</v>
      </c>
      <c r="C1098" s="380" t="str">
        <f>IFERROR(__xludf.DUMMYFUNCTION("""COMPUTED_VALUE"""),"10000915")</f>
        <v>10000915</v>
      </c>
      <c r="D1098" s="380" t="s">
        <v>767</v>
      </c>
      <c r="E1098" s="380" t="s">
        <v>768</v>
      </c>
      <c r="F1098" s="380" t="s">
        <v>1278</v>
      </c>
      <c r="G1098" s="380" t="s">
        <v>1267</v>
      </c>
      <c r="H1098" s="380" t="s">
        <v>771</v>
      </c>
      <c r="I1098" s="380" t="s">
        <v>817</v>
      </c>
      <c r="J1098" s="380" t="s">
        <v>773</v>
      </c>
      <c r="K1098" s="381">
        <v>0.0</v>
      </c>
      <c r="L1098" s="382">
        <v>1.0</v>
      </c>
    </row>
    <row r="1099">
      <c r="A1099" s="380" t="s">
        <v>1940</v>
      </c>
      <c r="B1099" s="380" t="str">
        <f>IFERROR(__xludf.DUMMYFUNCTION("""COMPUTED_VALUE"""),"Filtro Acpm Lombardini M. Lavadora")</f>
        <v>Filtro Acpm Lombardini M. Lavadora</v>
      </c>
      <c r="C1099" s="380" t="str">
        <f>IFERROR(__xludf.DUMMYFUNCTION("""COMPUTED_VALUE"""),"10000916")</f>
        <v>10000916</v>
      </c>
      <c r="D1099" s="380" t="s">
        <v>767</v>
      </c>
      <c r="E1099" s="380" t="s">
        <v>768</v>
      </c>
      <c r="F1099" s="380" t="s">
        <v>1278</v>
      </c>
      <c r="G1099" s="380" t="s">
        <v>1267</v>
      </c>
      <c r="H1099" s="380" t="s">
        <v>771</v>
      </c>
      <c r="I1099" s="380" t="s">
        <v>817</v>
      </c>
      <c r="J1099" s="380" t="s">
        <v>773</v>
      </c>
      <c r="K1099" s="381">
        <v>142800.0</v>
      </c>
      <c r="L1099" s="382">
        <v>1.0</v>
      </c>
    </row>
    <row r="1100">
      <c r="A1100" s="380" t="s">
        <v>1941</v>
      </c>
      <c r="B1100" s="380" t="str">
        <f>IFERROR(__xludf.DUMMYFUNCTION("""COMPUTED_VALUE"""),"Rueda Sin Freno M. Lavadora")</f>
        <v>Rueda Sin Freno M. Lavadora</v>
      </c>
      <c r="C1100" s="380" t="str">
        <f>IFERROR(__xludf.DUMMYFUNCTION("""COMPUTED_VALUE"""),"10000917")</f>
        <v>10000917</v>
      </c>
      <c r="D1100" s="380" t="s">
        <v>767</v>
      </c>
      <c r="E1100" s="380" t="s">
        <v>768</v>
      </c>
      <c r="F1100" s="380" t="s">
        <v>1278</v>
      </c>
      <c r="G1100" s="380" t="s">
        <v>1267</v>
      </c>
      <c r="H1100" s="380" t="s">
        <v>771</v>
      </c>
      <c r="I1100" s="380" t="s">
        <v>817</v>
      </c>
      <c r="J1100" s="380" t="s">
        <v>773</v>
      </c>
      <c r="K1100" s="381">
        <v>0.0</v>
      </c>
      <c r="L1100" s="382">
        <v>1.0</v>
      </c>
    </row>
    <row r="1101">
      <c r="A1101" s="380" t="s">
        <v>1942</v>
      </c>
      <c r="B1101" s="380" t="str">
        <f>IFERROR(__xludf.DUMMYFUNCTION("""COMPUTED_VALUE"""),"Parada Emergencia Maquina Lavadora")</f>
        <v>Parada Emergencia Maquina Lavadora</v>
      </c>
      <c r="C1101" s="380" t="str">
        <f>IFERROR(__xludf.DUMMYFUNCTION("""COMPUTED_VALUE"""),"10000918")</f>
        <v>10000918</v>
      </c>
      <c r="D1101" s="380" t="s">
        <v>767</v>
      </c>
      <c r="E1101" s="380" t="s">
        <v>768</v>
      </c>
      <c r="F1101" s="380" t="s">
        <v>1278</v>
      </c>
      <c r="G1101" s="380" t="s">
        <v>1267</v>
      </c>
      <c r="H1101" s="380" t="s">
        <v>771</v>
      </c>
      <c r="I1101" s="380" t="s">
        <v>817</v>
      </c>
      <c r="J1101" s="380" t="s">
        <v>773</v>
      </c>
      <c r="K1101" s="381">
        <v>0.0</v>
      </c>
      <c r="L1101" s="382">
        <v>1.0</v>
      </c>
    </row>
    <row r="1102">
      <c r="A1102" s="380" t="s">
        <v>1943</v>
      </c>
      <c r="B1102" s="380" t="str">
        <f>IFERROR(__xludf.DUMMYFUNCTION("""COMPUTED_VALUE"""),"Filtro Aire Primario M. Lavadora Goby")</f>
        <v>Filtro Aire Primario M. Lavadora Goby</v>
      </c>
      <c r="C1102" s="380" t="str">
        <f>IFERROR(__xludf.DUMMYFUNCTION("""COMPUTED_VALUE"""),"10000919")</f>
        <v>10000919</v>
      </c>
      <c r="D1102" s="380" t="s">
        <v>767</v>
      </c>
      <c r="E1102" s="380" t="s">
        <v>768</v>
      </c>
      <c r="F1102" s="380" t="s">
        <v>1278</v>
      </c>
      <c r="G1102" s="380" t="s">
        <v>1267</v>
      </c>
      <c r="H1102" s="380" t="s">
        <v>771</v>
      </c>
      <c r="I1102" s="380" t="s">
        <v>817</v>
      </c>
      <c r="J1102" s="380" t="s">
        <v>773</v>
      </c>
      <c r="K1102" s="381">
        <v>71232.0</v>
      </c>
      <c r="L1102" s="382">
        <v>1.0</v>
      </c>
    </row>
    <row r="1103">
      <c r="A1103" s="380" t="s">
        <v>1944</v>
      </c>
      <c r="B1103" s="380" t="str">
        <f>IFERROR(__xludf.DUMMYFUNCTION("""COMPUTED_VALUE"""),"Sticker Coordihalloween")</f>
        <v>Sticker Coordihalloween</v>
      </c>
      <c r="C1103" s="380" t="str">
        <f>IFERROR(__xludf.DUMMYFUNCTION("""COMPUTED_VALUE"""),"10000920")</f>
        <v>10000920</v>
      </c>
      <c r="D1103" s="380" t="s">
        <v>767</v>
      </c>
      <c r="E1103" s="380" t="s">
        <v>768</v>
      </c>
      <c r="F1103" s="380" t="s">
        <v>1945</v>
      </c>
      <c r="G1103" s="380" t="s">
        <v>1267</v>
      </c>
      <c r="H1103" s="380" t="s">
        <v>771</v>
      </c>
      <c r="I1103" s="380" t="s">
        <v>1946</v>
      </c>
      <c r="J1103" s="380" t="s">
        <v>773</v>
      </c>
      <c r="K1103" s="381">
        <v>0.0</v>
      </c>
      <c r="L1103" s="382">
        <v>1.0</v>
      </c>
    </row>
    <row r="1104">
      <c r="A1104" s="380" t="s">
        <v>1947</v>
      </c>
      <c r="B1104" s="380" t="str">
        <f>IFERROR(__xludf.DUMMYFUNCTION("""COMPUTED_VALUE"""),"Cartelera Paño Terminal")</f>
        <v>Cartelera Paño Terminal</v>
      </c>
      <c r="C1104" s="380" t="str">
        <f>IFERROR(__xludf.DUMMYFUNCTION("""COMPUTED_VALUE"""),"10000921")</f>
        <v>10000921</v>
      </c>
      <c r="D1104" s="380" t="s">
        <v>767</v>
      </c>
      <c r="E1104" s="380" t="s">
        <v>768</v>
      </c>
      <c r="F1104" s="380" t="s">
        <v>1945</v>
      </c>
      <c r="G1104" s="380" t="s">
        <v>1267</v>
      </c>
      <c r="H1104" s="380" t="s">
        <v>771</v>
      </c>
      <c r="I1104" s="380" t="s">
        <v>1946</v>
      </c>
      <c r="J1104" s="380" t="s">
        <v>773</v>
      </c>
      <c r="K1104" s="381">
        <v>866503.0</v>
      </c>
      <c r="L1104" s="382">
        <v>1.0</v>
      </c>
    </row>
    <row r="1105">
      <c r="A1105" s="380" t="s">
        <v>1948</v>
      </c>
      <c r="B1105" s="380" t="str">
        <f>IFERROR(__xludf.DUMMYFUNCTION("""COMPUTED_VALUE"""),"Elementos Didácticos")</f>
        <v>Elementos Didácticos</v>
      </c>
      <c r="C1105" s="380" t="str">
        <f>IFERROR(__xludf.DUMMYFUNCTION("""COMPUTED_VALUE"""),"10000922")</f>
        <v>10000922</v>
      </c>
      <c r="D1105" s="380" t="s">
        <v>767</v>
      </c>
      <c r="E1105" s="380" t="s">
        <v>768</v>
      </c>
      <c r="F1105" s="380" t="s">
        <v>1945</v>
      </c>
      <c r="G1105" s="380" t="s">
        <v>1267</v>
      </c>
      <c r="H1105" s="380" t="s">
        <v>771</v>
      </c>
      <c r="I1105" s="380" t="s">
        <v>1946</v>
      </c>
      <c r="J1105" s="380" t="s">
        <v>773</v>
      </c>
      <c r="K1105" s="381">
        <v>0.0</v>
      </c>
      <c r="L1105" s="382">
        <v>1.0</v>
      </c>
    </row>
    <row r="1106">
      <c r="A1106" s="380" t="s">
        <v>1949</v>
      </c>
      <c r="B1106" s="380" t="str">
        <f>IFERROR(__xludf.DUMMYFUNCTION("""COMPUTED_VALUE"""),"Rompecabeza Poliest Desarrollo Humano")</f>
        <v>Rompecabeza Poliest Desarrollo Humano</v>
      </c>
      <c r="C1106" s="380" t="str">
        <f>IFERROR(__xludf.DUMMYFUNCTION("""COMPUTED_VALUE"""),"10000923")</f>
        <v>10000923</v>
      </c>
      <c r="D1106" s="380" t="s">
        <v>767</v>
      </c>
      <c r="E1106" s="380" t="s">
        <v>768</v>
      </c>
      <c r="F1106" s="380" t="s">
        <v>1945</v>
      </c>
      <c r="G1106" s="380" t="s">
        <v>1267</v>
      </c>
      <c r="H1106" s="380" t="s">
        <v>771</v>
      </c>
      <c r="I1106" s="380" t="s">
        <v>1946</v>
      </c>
      <c r="J1106" s="380" t="s">
        <v>773</v>
      </c>
      <c r="K1106" s="381">
        <v>0.0</v>
      </c>
      <c r="L1106" s="382">
        <v>1.0</v>
      </c>
    </row>
    <row r="1107">
      <c r="A1107" s="380" t="s">
        <v>1950</v>
      </c>
      <c r="B1107" s="380" t="str">
        <f>IFERROR(__xludf.DUMMYFUNCTION("""COMPUTED_VALUE"""),"Estantería Tienda De La Confianza")</f>
        <v>Estantería Tienda De La Confianza</v>
      </c>
      <c r="C1107" s="380" t="str">
        <f>IFERROR(__xludf.DUMMYFUNCTION("""COMPUTED_VALUE"""),"10000924")</f>
        <v>10000924</v>
      </c>
      <c r="D1107" s="380" t="s">
        <v>767</v>
      </c>
      <c r="E1107" s="380" t="s">
        <v>768</v>
      </c>
      <c r="F1107" s="380" t="s">
        <v>1945</v>
      </c>
      <c r="G1107" s="380" t="s">
        <v>1267</v>
      </c>
      <c r="H1107" s="380" t="s">
        <v>771</v>
      </c>
      <c r="I1107" s="380" t="s">
        <v>1946</v>
      </c>
      <c r="J1107" s="380" t="s">
        <v>773</v>
      </c>
      <c r="K1107" s="381">
        <v>0.0</v>
      </c>
      <c r="L1107" s="382">
        <v>1.0</v>
      </c>
    </row>
    <row r="1108">
      <c r="A1108" s="380" t="s">
        <v>1951</v>
      </c>
      <c r="B1108" s="380" t="str">
        <f>IFERROR(__xludf.DUMMYFUNCTION("""COMPUTED_VALUE"""),"Sticker Guardianes De Tu Corazón")</f>
        <v>Sticker Guardianes De Tu Corazón</v>
      </c>
      <c r="C1108" s="380" t="str">
        <f>IFERROR(__xludf.DUMMYFUNCTION("""COMPUTED_VALUE"""),"10000925")</f>
        <v>10000925</v>
      </c>
      <c r="D1108" s="380" t="s">
        <v>767</v>
      </c>
      <c r="E1108" s="380" t="s">
        <v>768</v>
      </c>
      <c r="F1108" s="380" t="s">
        <v>1945</v>
      </c>
      <c r="G1108" s="380" t="s">
        <v>1267</v>
      </c>
      <c r="H1108" s="380" t="s">
        <v>771</v>
      </c>
      <c r="I1108" s="380" t="s">
        <v>1946</v>
      </c>
      <c r="J1108" s="380" t="s">
        <v>773</v>
      </c>
      <c r="K1108" s="381">
        <v>0.0</v>
      </c>
      <c r="L1108" s="382">
        <v>1.0</v>
      </c>
    </row>
    <row r="1109">
      <c r="A1109" s="380" t="s">
        <v>1952</v>
      </c>
      <c r="B1109" s="380" t="str">
        <f>IFERROR(__xludf.DUMMYFUNCTION("""COMPUTED_VALUE"""),"Grafico Para Piso Desarrollo Humano")</f>
        <v>Grafico Para Piso Desarrollo Humano</v>
      </c>
      <c r="C1109" s="380" t="str">
        <f>IFERROR(__xludf.DUMMYFUNCTION("""COMPUTED_VALUE"""),"10000926")</f>
        <v>10000926</v>
      </c>
      <c r="D1109" s="380" t="s">
        <v>767</v>
      </c>
      <c r="E1109" s="380" t="s">
        <v>768</v>
      </c>
      <c r="F1109" s="380" t="s">
        <v>1945</v>
      </c>
      <c r="G1109" s="380" t="s">
        <v>1267</v>
      </c>
      <c r="H1109" s="380" t="s">
        <v>771</v>
      </c>
      <c r="I1109" s="380" t="s">
        <v>1946</v>
      </c>
      <c r="J1109" s="380" t="s">
        <v>773</v>
      </c>
      <c r="K1109" s="381">
        <v>0.0</v>
      </c>
      <c r="L1109" s="382">
        <v>1.0</v>
      </c>
    </row>
    <row r="1110">
      <c r="A1110" s="380" t="s">
        <v>1953</v>
      </c>
      <c r="B1110" s="380" t="str">
        <f>IFERROR(__xludf.DUMMYFUNCTION("""COMPUTED_VALUE"""),"Sticker Estrella Azul")</f>
        <v>Sticker Estrella Azul</v>
      </c>
      <c r="C1110" s="380" t="str">
        <f>IFERROR(__xludf.DUMMYFUNCTION("""COMPUTED_VALUE"""),"10000927")</f>
        <v>10000927</v>
      </c>
      <c r="D1110" s="380" t="s">
        <v>767</v>
      </c>
      <c r="E1110" s="380" t="s">
        <v>768</v>
      </c>
      <c r="F1110" s="380" t="s">
        <v>1945</v>
      </c>
      <c r="G1110" s="380" t="s">
        <v>1267</v>
      </c>
      <c r="H1110" s="380" t="s">
        <v>771</v>
      </c>
      <c r="I1110" s="380" t="s">
        <v>1946</v>
      </c>
      <c r="J1110" s="380" t="s">
        <v>773</v>
      </c>
      <c r="K1110" s="381">
        <v>0.0</v>
      </c>
      <c r="L1110" s="382">
        <v>1.0</v>
      </c>
    </row>
    <row r="1111">
      <c r="A1111" s="380" t="s">
        <v>1954</v>
      </c>
      <c r="B1111" s="380" t="str">
        <f>IFERROR(__xludf.DUMMYFUNCTION("""COMPUTED_VALUE"""),"Tabla De Imo De Segregacion")</f>
        <v>Tabla De Imo De Segregacion</v>
      </c>
      <c r="C1111" s="380" t="str">
        <f>IFERROR(__xludf.DUMMYFUNCTION("""COMPUTED_VALUE"""),"10000928")</f>
        <v>10000928</v>
      </c>
      <c r="D1111" s="380" t="s">
        <v>767</v>
      </c>
      <c r="E1111" s="380" t="s">
        <v>768</v>
      </c>
      <c r="F1111" s="380" t="s">
        <v>1945</v>
      </c>
      <c r="G1111" s="380" t="s">
        <v>1267</v>
      </c>
      <c r="H1111" s="380" t="s">
        <v>771</v>
      </c>
      <c r="I1111" s="380" t="s">
        <v>1946</v>
      </c>
      <c r="J1111" s="380" t="s">
        <v>773</v>
      </c>
      <c r="K1111" s="381">
        <v>0.0</v>
      </c>
      <c r="L1111" s="382">
        <v>1.0</v>
      </c>
    </row>
    <row r="1112">
      <c r="A1112" s="380" t="s">
        <v>1955</v>
      </c>
      <c r="B1112" s="380" t="str">
        <f>IFERROR(__xludf.DUMMYFUNCTION("""COMPUTED_VALUE"""),"Sticker Tarifas Puntos Droop")</f>
        <v>Sticker Tarifas Puntos Droop</v>
      </c>
      <c r="C1112" s="380" t="str">
        <f>IFERROR(__xludf.DUMMYFUNCTION("""COMPUTED_VALUE"""),"10000929")</f>
        <v>10000929</v>
      </c>
      <c r="D1112" s="380" t="s">
        <v>767</v>
      </c>
      <c r="E1112" s="380" t="s">
        <v>768</v>
      </c>
      <c r="F1112" s="380" t="s">
        <v>1945</v>
      </c>
      <c r="G1112" s="380" t="s">
        <v>1267</v>
      </c>
      <c r="H1112" s="380" t="s">
        <v>771</v>
      </c>
      <c r="I1112" s="380" t="s">
        <v>1946</v>
      </c>
      <c r="J1112" s="380" t="s">
        <v>773</v>
      </c>
      <c r="K1112" s="381">
        <v>2368.0</v>
      </c>
      <c r="L1112" s="382">
        <v>1.0</v>
      </c>
    </row>
    <row r="1113">
      <c r="A1113" s="380" t="s">
        <v>1956</v>
      </c>
      <c r="B1113" s="380" t="str">
        <f>IFERROR(__xludf.DUMMYFUNCTION("""COMPUTED_VALUE"""),"Chispa Consentido Animal")</f>
        <v>Chispa Consentido Animal</v>
      </c>
      <c r="C1113" s="380" t="str">
        <f>IFERROR(__xludf.DUMMYFUNCTION("""COMPUTED_VALUE"""),"10000930")</f>
        <v>10000930</v>
      </c>
      <c r="D1113" s="380" t="s">
        <v>767</v>
      </c>
      <c r="E1113" s="380" t="s">
        <v>768</v>
      </c>
      <c r="F1113" s="380" t="s">
        <v>1945</v>
      </c>
      <c r="G1113" s="380" t="s">
        <v>1267</v>
      </c>
      <c r="H1113" s="380" t="s">
        <v>771</v>
      </c>
      <c r="I1113" s="380" t="s">
        <v>1946</v>
      </c>
      <c r="J1113" s="380" t="s">
        <v>773</v>
      </c>
      <c r="K1113" s="381">
        <v>2083.0</v>
      </c>
      <c r="L1113" s="382">
        <v>1.0</v>
      </c>
    </row>
    <row r="1114">
      <c r="A1114" s="380" t="s">
        <v>1957</v>
      </c>
      <c r="B1114" s="380" t="str">
        <f>IFERROR(__xludf.DUMMYFUNCTION("""COMPUTED_VALUE"""),"Adhesivo Consentido Animal Tripulaciones")</f>
        <v>Adhesivo Consentido Animal Tripulaciones</v>
      </c>
      <c r="C1114" s="380" t="str">
        <f>IFERROR(__xludf.DUMMYFUNCTION("""COMPUTED_VALUE"""),"10000931")</f>
        <v>10000931</v>
      </c>
      <c r="D1114" s="380" t="s">
        <v>767</v>
      </c>
      <c r="E1114" s="380" t="s">
        <v>768</v>
      </c>
      <c r="F1114" s="380" t="s">
        <v>1945</v>
      </c>
      <c r="G1114" s="380" t="s">
        <v>1267</v>
      </c>
      <c r="H1114" s="380" t="s">
        <v>771</v>
      </c>
      <c r="I1114" s="380" t="s">
        <v>1946</v>
      </c>
      <c r="J1114" s="380" t="s">
        <v>773</v>
      </c>
      <c r="K1114" s="381">
        <v>0.0</v>
      </c>
      <c r="L1114" s="382">
        <v>1.0</v>
      </c>
    </row>
    <row r="1115">
      <c r="A1115" s="380" t="s">
        <v>1958</v>
      </c>
      <c r="B1115" s="380" t="str">
        <f>IFERROR(__xludf.DUMMYFUNCTION("""COMPUTED_VALUE"""),"Sticker Facturación Electrónica")</f>
        <v>Sticker Facturación Electrónica</v>
      </c>
      <c r="C1115" s="380" t="str">
        <f>IFERROR(__xludf.DUMMYFUNCTION("""COMPUTED_VALUE"""),"10000932")</f>
        <v>10000932</v>
      </c>
      <c r="D1115" s="380" t="s">
        <v>767</v>
      </c>
      <c r="E1115" s="380" t="s">
        <v>768</v>
      </c>
      <c r="F1115" s="380" t="s">
        <v>1945</v>
      </c>
      <c r="G1115" s="380" t="s">
        <v>1267</v>
      </c>
      <c r="H1115" s="380" t="s">
        <v>771</v>
      </c>
      <c r="I1115" s="380" t="s">
        <v>1946</v>
      </c>
      <c r="J1115" s="380" t="s">
        <v>773</v>
      </c>
      <c r="K1115" s="381">
        <v>3570.0</v>
      </c>
      <c r="L1115" s="382">
        <v>1.0</v>
      </c>
    </row>
    <row r="1116">
      <c r="A1116" s="380" t="s">
        <v>1959</v>
      </c>
      <c r="B1116" s="380" t="str">
        <f>IFERROR(__xludf.DUMMYFUNCTION("""COMPUTED_VALUE"""),"Ploter Valla")</f>
        <v>Ploter Valla</v>
      </c>
      <c r="C1116" s="380" t="str">
        <f>IFERROR(__xludf.DUMMYFUNCTION("""COMPUTED_VALUE"""),"10000933")</f>
        <v>10000933</v>
      </c>
      <c r="D1116" s="380" t="s">
        <v>767</v>
      </c>
      <c r="E1116" s="380" t="s">
        <v>768</v>
      </c>
      <c r="F1116" s="380" t="s">
        <v>1945</v>
      </c>
      <c r="G1116" s="380" t="s">
        <v>1267</v>
      </c>
      <c r="H1116" s="380" t="s">
        <v>771</v>
      </c>
      <c r="I1116" s="380" t="s">
        <v>1946</v>
      </c>
      <c r="J1116" s="380" t="s">
        <v>773</v>
      </c>
      <c r="K1116" s="381">
        <v>0.0</v>
      </c>
      <c r="L1116" s="382">
        <v>1.0</v>
      </c>
    </row>
    <row r="1117">
      <c r="A1117" s="380" t="s">
        <v>1960</v>
      </c>
      <c r="B1117" s="380" t="str">
        <f>IFERROR(__xludf.DUMMYFUNCTION("""COMPUTED_VALUE"""),"Etiqueta Numerica Codigo Qr")</f>
        <v>Etiqueta Numerica Codigo Qr</v>
      </c>
      <c r="C1117" s="380" t="str">
        <f>IFERROR(__xludf.DUMMYFUNCTION("""COMPUTED_VALUE"""),"10000934")</f>
        <v>10000934</v>
      </c>
      <c r="D1117" s="380" t="s">
        <v>767</v>
      </c>
      <c r="E1117" s="380" t="s">
        <v>768</v>
      </c>
      <c r="F1117" s="380" t="s">
        <v>1961</v>
      </c>
      <c r="G1117" s="380" t="s">
        <v>1267</v>
      </c>
      <c r="H1117" s="380" t="s">
        <v>771</v>
      </c>
      <c r="I1117" s="380" t="s">
        <v>778</v>
      </c>
      <c r="J1117" s="380" t="s">
        <v>773</v>
      </c>
      <c r="K1117" s="381">
        <v>0.0</v>
      </c>
      <c r="L1117" s="382">
        <v>1.0</v>
      </c>
    </row>
    <row r="1118">
      <c r="A1118" s="380" t="s">
        <v>1962</v>
      </c>
      <c r="B1118" s="380" t="str">
        <f>IFERROR(__xludf.DUMMYFUNCTION("""COMPUTED_VALUE"""),"Etiqueta Código Qr Tinas Ruta")</f>
        <v>Etiqueta Código Qr Tinas Ruta</v>
      </c>
      <c r="C1118" s="380" t="str">
        <f>IFERROR(__xludf.DUMMYFUNCTION("""COMPUTED_VALUE"""),"10000935")</f>
        <v>10000935</v>
      </c>
      <c r="D1118" s="380" t="s">
        <v>767</v>
      </c>
      <c r="E1118" s="380" t="s">
        <v>768</v>
      </c>
      <c r="F1118" s="380" t="s">
        <v>1961</v>
      </c>
      <c r="G1118" s="380" t="s">
        <v>1267</v>
      </c>
      <c r="H1118" s="380" t="s">
        <v>771</v>
      </c>
      <c r="I1118" s="380" t="s">
        <v>778</v>
      </c>
      <c r="J1118" s="380" t="s">
        <v>773</v>
      </c>
      <c r="K1118" s="381">
        <v>0.0</v>
      </c>
      <c r="L1118" s="382">
        <v>1.0</v>
      </c>
    </row>
    <row r="1119">
      <c r="A1119" s="380" t="s">
        <v>1963</v>
      </c>
      <c r="B1119" s="380" t="str">
        <f>IFERROR(__xludf.DUMMYFUNCTION("""COMPUTED_VALUE"""),"Plotter Varios Eds")</f>
        <v>Plotter Varios Eds</v>
      </c>
      <c r="C1119" s="380" t="str">
        <f>IFERROR(__xludf.DUMMYFUNCTION("""COMPUTED_VALUE"""),"10000936")</f>
        <v>10000936</v>
      </c>
      <c r="D1119" s="380" t="s">
        <v>767</v>
      </c>
      <c r="E1119" s="380" t="s">
        <v>768</v>
      </c>
      <c r="F1119" s="380" t="s">
        <v>1961</v>
      </c>
      <c r="G1119" s="380" t="s">
        <v>1267</v>
      </c>
      <c r="H1119" s="380" t="s">
        <v>771</v>
      </c>
      <c r="I1119" s="380" t="s">
        <v>778</v>
      </c>
      <c r="J1119" s="380" t="s">
        <v>773</v>
      </c>
      <c r="K1119" s="381">
        <v>0.0</v>
      </c>
      <c r="L1119" s="382">
        <v>1.0</v>
      </c>
    </row>
    <row r="1120">
      <c r="A1120" s="380" t="s">
        <v>1964</v>
      </c>
      <c r="B1120" s="380" t="str">
        <f>IFERROR(__xludf.DUMMYFUNCTION("""COMPUTED_VALUE"""),"Hablador Colgante 50X 20 Portico Octopus")</f>
        <v>Hablador Colgante 50X 20 Portico Octopus</v>
      </c>
      <c r="C1120" s="380" t="str">
        <f>IFERROR(__xludf.DUMMYFUNCTION("""COMPUTED_VALUE"""),"10000937")</f>
        <v>10000937</v>
      </c>
      <c r="D1120" s="380" t="s">
        <v>767</v>
      </c>
      <c r="E1120" s="380" t="s">
        <v>768</v>
      </c>
      <c r="F1120" s="380" t="s">
        <v>1961</v>
      </c>
      <c r="G1120" s="380" t="s">
        <v>1267</v>
      </c>
      <c r="H1120" s="380" t="s">
        <v>771</v>
      </c>
      <c r="I1120" s="380" t="s">
        <v>778</v>
      </c>
      <c r="J1120" s="380" t="s">
        <v>773</v>
      </c>
      <c r="K1120" s="381">
        <v>59114.0</v>
      </c>
      <c r="L1120" s="382">
        <v>1.0</v>
      </c>
    </row>
    <row r="1121">
      <c r="A1121" s="380" t="s">
        <v>1965</v>
      </c>
      <c r="B1121" s="380" t="str">
        <f>IFERROR(__xludf.DUMMYFUNCTION("""COMPUTED_VALUE"""),"Hablador 20 X 5 Canastillas Operaciones")</f>
        <v>Hablador 20 X 5 Canastillas Operaciones</v>
      </c>
      <c r="C1121" s="380" t="str">
        <f>IFERROR(__xludf.DUMMYFUNCTION("""COMPUTED_VALUE"""),"10000938")</f>
        <v>10000938</v>
      </c>
      <c r="D1121" s="380" t="s">
        <v>767</v>
      </c>
      <c r="E1121" s="380" t="s">
        <v>768</v>
      </c>
      <c r="F1121" s="380" t="s">
        <v>1961</v>
      </c>
      <c r="G1121" s="380" t="s">
        <v>1267</v>
      </c>
      <c r="H1121" s="380" t="s">
        <v>771</v>
      </c>
      <c r="I1121" s="380" t="s">
        <v>778</v>
      </c>
      <c r="J1121" s="380" t="s">
        <v>773</v>
      </c>
      <c r="K1121" s="381">
        <v>16978.0</v>
      </c>
      <c r="L1121" s="382">
        <v>1.0</v>
      </c>
    </row>
    <row r="1122">
      <c r="A1122" s="380" t="s">
        <v>1966</v>
      </c>
      <c r="B1122" s="380" t="str">
        <f>IFERROR(__xludf.DUMMYFUNCTION("""COMPUTED_VALUE"""),"Numeros Adhesivos Locker")</f>
        <v>Numeros Adhesivos Locker</v>
      </c>
      <c r="C1122" s="380" t="str">
        <f>IFERROR(__xludf.DUMMYFUNCTION("""COMPUTED_VALUE"""),"10000939")</f>
        <v>10000939</v>
      </c>
      <c r="D1122" s="380" t="s">
        <v>767</v>
      </c>
      <c r="E1122" s="380" t="s">
        <v>768</v>
      </c>
      <c r="F1122" s="380" t="s">
        <v>1961</v>
      </c>
      <c r="G1122" s="380" t="s">
        <v>1267</v>
      </c>
      <c r="H1122" s="380" t="s">
        <v>771</v>
      </c>
      <c r="I1122" s="380" t="s">
        <v>778</v>
      </c>
      <c r="J1122" s="380" t="s">
        <v>773</v>
      </c>
      <c r="K1122" s="381">
        <v>0.0</v>
      </c>
      <c r="L1122" s="382">
        <v>1.0</v>
      </c>
    </row>
    <row r="1123">
      <c r="A1123" s="380" t="s">
        <v>1967</v>
      </c>
      <c r="B1123" s="380" t="str">
        <f>IFERROR(__xludf.DUMMYFUNCTION("""COMPUTED_VALUE"""),"Porta Pendon Enrollabl Desarrollo Humano")</f>
        <v>Porta Pendon Enrollabl Desarrollo Humano</v>
      </c>
      <c r="C1123" s="380" t="str">
        <f>IFERROR(__xludf.DUMMYFUNCTION("""COMPUTED_VALUE"""),"10000940")</f>
        <v>10000940</v>
      </c>
      <c r="D1123" s="380" t="s">
        <v>767</v>
      </c>
      <c r="E1123" s="380" t="s">
        <v>768</v>
      </c>
      <c r="F1123" s="380" t="s">
        <v>1945</v>
      </c>
      <c r="G1123" s="380" t="s">
        <v>1267</v>
      </c>
      <c r="H1123" s="380" t="s">
        <v>771</v>
      </c>
      <c r="I1123" s="380" t="s">
        <v>1946</v>
      </c>
      <c r="J1123" s="380" t="s">
        <v>773</v>
      </c>
      <c r="K1123" s="381">
        <v>0.0</v>
      </c>
      <c r="L1123" s="382">
        <v>1.0</v>
      </c>
    </row>
    <row r="1124">
      <c r="A1124" s="380" t="s">
        <v>1968</v>
      </c>
      <c r="B1124" s="380" t="str">
        <f>IFERROR(__xludf.DUMMYFUNCTION("""COMPUTED_VALUE"""),"Pendon Con Ojalete Desarrollo")</f>
        <v>Pendon Con Ojalete Desarrollo</v>
      </c>
      <c r="C1124" s="380" t="str">
        <f>IFERROR(__xludf.DUMMYFUNCTION("""COMPUTED_VALUE"""),"10000941")</f>
        <v>10000941</v>
      </c>
      <c r="D1124" s="380" t="s">
        <v>767</v>
      </c>
      <c r="E1124" s="380" t="s">
        <v>768</v>
      </c>
      <c r="F1124" s="380" t="s">
        <v>1945</v>
      </c>
      <c r="G1124" s="380" t="s">
        <v>1267</v>
      </c>
      <c r="H1124" s="380" t="s">
        <v>771</v>
      </c>
      <c r="I1124" s="380" t="s">
        <v>1946</v>
      </c>
      <c r="J1124" s="380" t="s">
        <v>773</v>
      </c>
      <c r="K1124" s="381">
        <v>0.0</v>
      </c>
      <c r="L1124" s="382">
        <v>1.0</v>
      </c>
    </row>
    <row r="1125">
      <c r="A1125" s="380" t="s">
        <v>1969</v>
      </c>
      <c r="B1125" s="380" t="str">
        <f>IFERROR(__xludf.DUMMYFUNCTION("""COMPUTED_VALUE"""),"Pendon Con Tubo Cortinero")</f>
        <v>Pendon Con Tubo Cortinero</v>
      </c>
      <c r="C1125" s="380" t="str">
        <f>IFERROR(__xludf.DUMMYFUNCTION("""COMPUTED_VALUE"""),"10000942")</f>
        <v>10000942</v>
      </c>
      <c r="D1125" s="380" t="s">
        <v>767</v>
      </c>
      <c r="E1125" s="380" t="s">
        <v>768</v>
      </c>
      <c r="F1125" s="380" t="s">
        <v>1945</v>
      </c>
      <c r="G1125" s="380" t="s">
        <v>1267</v>
      </c>
      <c r="H1125" s="380" t="s">
        <v>771</v>
      </c>
      <c r="I1125" s="380" t="s">
        <v>1946</v>
      </c>
      <c r="J1125" s="380" t="s">
        <v>773</v>
      </c>
      <c r="K1125" s="381">
        <v>0.0</v>
      </c>
      <c r="L1125" s="382">
        <v>1.0</v>
      </c>
    </row>
    <row r="1126">
      <c r="A1126" s="380" t="s">
        <v>1970</v>
      </c>
      <c r="B1126" s="380" t="str">
        <f>IFERROR(__xludf.DUMMYFUNCTION("""COMPUTED_VALUE"""),"Volante Campaña Desarrollo Humano")</f>
        <v>Volante Campaña Desarrollo Humano</v>
      </c>
      <c r="C1126" s="380" t="str">
        <f>IFERROR(__xludf.DUMMYFUNCTION("""COMPUTED_VALUE"""),"10000943")</f>
        <v>10000943</v>
      </c>
      <c r="D1126" s="380" t="s">
        <v>767</v>
      </c>
      <c r="E1126" s="380" t="s">
        <v>768</v>
      </c>
      <c r="F1126" s="380" t="s">
        <v>1945</v>
      </c>
      <c r="G1126" s="380" t="s">
        <v>1267</v>
      </c>
      <c r="H1126" s="380" t="s">
        <v>771</v>
      </c>
      <c r="I1126" s="380" t="s">
        <v>1946</v>
      </c>
      <c r="J1126" s="380" t="s">
        <v>773</v>
      </c>
      <c r="K1126" s="381">
        <v>506.0</v>
      </c>
      <c r="L1126" s="382">
        <v>1.0</v>
      </c>
    </row>
    <row r="1127">
      <c r="A1127" s="380" t="s">
        <v>1971</v>
      </c>
      <c r="B1127" s="380" t="str">
        <f>IFERROR(__xludf.DUMMYFUNCTION("""COMPUTED_VALUE"""),"Rompetrafico En Mdf Desarrollo Humano")</f>
        <v>Rompetrafico En Mdf Desarrollo Humano</v>
      </c>
      <c r="C1127" s="380" t="str">
        <f>IFERROR(__xludf.DUMMYFUNCTION("""COMPUTED_VALUE"""),"10000944")</f>
        <v>10000944</v>
      </c>
      <c r="D1127" s="380" t="s">
        <v>767</v>
      </c>
      <c r="E1127" s="380" t="s">
        <v>768</v>
      </c>
      <c r="F1127" s="380" t="s">
        <v>1945</v>
      </c>
      <c r="G1127" s="380" t="s">
        <v>1267</v>
      </c>
      <c r="H1127" s="380" t="s">
        <v>771</v>
      </c>
      <c r="I1127" s="380" t="s">
        <v>1946</v>
      </c>
      <c r="J1127" s="380" t="s">
        <v>773</v>
      </c>
      <c r="K1127" s="381">
        <v>0.0</v>
      </c>
      <c r="L1127" s="382">
        <v>1.0</v>
      </c>
    </row>
    <row r="1128">
      <c r="A1128" s="380" t="s">
        <v>1972</v>
      </c>
      <c r="B1128" s="380" t="str">
        <f>IFERROR(__xludf.DUMMYFUNCTION("""COMPUTED_VALUE"""),"Plotter Confianza")</f>
        <v>Plotter Confianza</v>
      </c>
      <c r="C1128" s="380" t="str">
        <f>IFERROR(__xludf.DUMMYFUNCTION("""COMPUTED_VALUE"""),"10000945")</f>
        <v>10000945</v>
      </c>
      <c r="D1128" s="380" t="s">
        <v>767</v>
      </c>
      <c r="E1128" s="380" t="s">
        <v>768</v>
      </c>
      <c r="F1128" s="380" t="s">
        <v>1945</v>
      </c>
      <c r="G1128" s="380" t="s">
        <v>1267</v>
      </c>
      <c r="H1128" s="380" t="s">
        <v>771</v>
      </c>
      <c r="I1128" s="380" t="s">
        <v>1946</v>
      </c>
      <c r="J1128" s="380" t="s">
        <v>773</v>
      </c>
      <c r="K1128" s="381">
        <v>55335.0</v>
      </c>
      <c r="L1128" s="382">
        <v>1.0</v>
      </c>
    </row>
    <row r="1129">
      <c r="A1129" s="380" t="s">
        <v>1973</v>
      </c>
      <c r="B1129" s="380" t="str">
        <f>IFERROR(__xludf.DUMMYFUNCTION("""COMPUTED_VALUE"""),"Plotter Inspiremos")</f>
        <v>Plotter Inspiremos</v>
      </c>
      <c r="C1129" s="380" t="str">
        <f>IFERROR(__xludf.DUMMYFUNCTION("""COMPUTED_VALUE"""),"10000946")</f>
        <v>10000946</v>
      </c>
      <c r="D1129" s="380" t="s">
        <v>767</v>
      </c>
      <c r="E1129" s="380" t="s">
        <v>768</v>
      </c>
      <c r="F1129" s="380" t="s">
        <v>1945</v>
      </c>
      <c r="G1129" s="380" t="s">
        <v>1267</v>
      </c>
      <c r="H1129" s="380" t="s">
        <v>771</v>
      </c>
      <c r="I1129" s="380" t="s">
        <v>1946</v>
      </c>
      <c r="J1129" s="380" t="s">
        <v>773</v>
      </c>
      <c r="K1129" s="381">
        <v>52955.0</v>
      </c>
      <c r="L1129" s="382">
        <v>1.0</v>
      </c>
    </row>
    <row r="1130">
      <c r="A1130" s="380" t="s">
        <v>1974</v>
      </c>
      <c r="B1130" s="380" t="str">
        <f>IFERROR(__xludf.DUMMYFUNCTION("""COMPUTED_VALUE"""),"Cuadro Imagen Base 120 X 100")</f>
        <v>Cuadro Imagen Base 120 X 100</v>
      </c>
      <c r="C1130" s="380" t="str">
        <f>IFERROR(__xludf.DUMMYFUNCTION("""COMPUTED_VALUE"""),"10000947")</f>
        <v>10000947</v>
      </c>
      <c r="D1130" s="380" t="s">
        <v>767</v>
      </c>
      <c r="E1130" s="380" t="s">
        <v>768</v>
      </c>
      <c r="F1130" s="380" t="s">
        <v>1945</v>
      </c>
      <c r="G1130" s="380" t="s">
        <v>1267</v>
      </c>
      <c r="H1130" s="380" t="s">
        <v>771</v>
      </c>
      <c r="I1130" s="380" t="s">
        <v>1946</v>
      </c>
      <c r="J1130" s="380" t="s">
        <v>773</v>
      </c>
      <c r="K1130" s="381">
        <v>315945.0</v>
      </c>
      <c r="L1130" s="382">
        <v>1.0</v>
      </c>
    </row>
    <row r="1131">
      <c r="A1131" s="380" t="s">
        <v>1975</v>
      </c>
      <c r="B1131" s="380" t="str">
        <f>IFERROR(__xludf.DUMMYFUNCTION("""COMPUTED_VALUE"""),"Cuadro Imagen Base 100 X 60")</f>
        <v>Cuadro Imagen Base 100 X 60</v>
      </c>
      <c r="C1131" s="380" t="str">
        <f>IFERROR(__xludf.DUMMYFUNCTION("""COMPUTED_VALUE"""),"10000948")</f>
        <v>10000948</v>
      </c>
      <c r="D1131" s="380" t="s">
        <v>767</v>
      </c>
      <c r="E1131" s="380" t="s">
        <v>768</v>
      </c>
      <c r="F1131" s="380" t="s">
        <v>1945</v>
      </c>
      <c r="G1131" s="380" t="s">
        <v>1267</v>
      </c>
      <c r="H1131" s="380" t="s">
        <v>771</v>
      </c>
      <c r="I1131" s="380" t="s">
        <v>1946</v>
      </c>
      <c r="J1131" s="380" t="s">
        <v>773</v>
      </c>
      <c r="K1131" s="381">
        <v>95792.0</v>
      </c>
      <c r="L1131" s="382">
        <v>1.0</v>
      </c>
    </row>
    <row r="1132">
      <c r="A1132" s="380" t="s">
        <v>1976</v>
      </c>
      <c r="B1132" s="380" t="str">
        <f>IFERROR(__xludf.DUMMYFUNCTION("""COMPUTED_VALUE"""),"Flanger Envios Internacionales")</f>
        <v>Flanger Envios Internacionales</v>
      </c>
      <c r="C1132" s="380" t="str">
        <f>IFERROR(__xludf.DUMMYFUNCTION("""COMPUTED_VALUE"""),"10000949")</f>
        <v>10000949</v>
      </c>
      <c r="D1132" s="380" t="s">
        <v>767</v>
      </c>
      <c r="E1132" s="380" t="s">
        <v>768</v>
      </c>
      <c r="F1132" s="380" t="s">
        <v>1945</v>
      </c>
      <c r="G1132" s="380" t="s">
        <v>1267</v>
      </c>
      <c r="H1132" s="380" t="s">
        <v>771</v>
      </c>
      <c r="I1132" s="380" t="s">
        <v>1946</v>
      </c>
      <c r="J1132" s="380" t="s">
        <v>773</v>
      </c>
      <c r="K1132" s="381">
        <v>39992.0</v>
      </c>
      <c r="L1132" s="382">
        <v>1.0</v>
      </c>
    </row>
    <row r="1133">
      <c r="A1133" s="380" t="s">
        <v>1977</v>
      </c>
      <c r="B1133" s="380" t="str">
        <f>IFERROR(__xludf.DUMMYFUNCTION("""COMPUTED_VALUE"""),"Hablador Para Base En Acrilico Cristal")</f>
        <v>Hablador Para Base En Acrilico Cristal</v>
      </c>
      <c r="C1133" s="380" t="str">
        <f>IFERROR(__xludf.DUMMYFUNCTION("""COMPUTED_VALUE"""),"10000950")</f>
        <v>10000950</v>
      </c>
      <c r="D1133" s="380" t="s">
        <v>767</v>
      </c>
      <c r="E1133" s="380" t="s">
        <v>768</v>
      </c>
      <c r="F1133" s="380" t="s">
        <v>1945</v>
      </c>
      <c r="G1133" s="380" t="s">
        <v>1267</v>
      </c>
      <c r="H1133" s="380" t="s">
        <v>771</v>
      </c>
      <c r="I1133" s="380" t="s">
        <v>1946</v>
      </c>
      <c r="J1133" s="380" t="s">
        <v>773</v>
      </c>
      <c r="K1133" s="381">
        <v>69020.0</v>
      </c>
      <c r="L1133" s="382">
        <v>1.0</v>
      </c>
    </row>
    <row r="1134">
      <c r="A1134" s="380" t="s">
        <v>1978</v>
      </c>
      <c r="B1134" s="380" t="str">
        <f>IFERROR(__xludf.DUMMYFUNCTION("""COMPUTED_VALUE"""),"Totem Publicitario")</f>
        <v>Totem Publicitario</v>
      </c>
      <c r="C1134" s="380" t="str">
        <f>IFERROR(__xludf.DUMMYFUNCTION("""COMPUTED_VALUE"""),"10000951")</f>
        <v>10000951</v>
      </c>
      <c r="D1134" s="380" t="s">
        <v>767</v>
      </c>
      <c r="E1134" s="380" t="s">
        <v>768</v>
      </c>
      <c r="F1134" s="380" t="s">
        <v>1945</v>
      </c>
      <c r="G1134" s="380" t="s">
        <v>1267</v>
      </c>
      <c r="H1134" s="380" t="s">
        <v>771</v>
      </c>
      <c r="I1134" s="380" t="s">
        <v>1946</v>
      </c>
      <c r="J1134" s="380" t="s">
        <v>773</v>
      </c>
      <c r="K1134" s="381">
        <v>0.0</v>
      </c>
      <c r="L1134" s="382">
        <v>1.0</v>
      </c>
    </row>
    <row r="1135">
      <c r="A1135" s="380" t="s">
        <v>1979</v>
      </c>
      <c r="B1135" s="380" t="str">
        <f>IFERROR(__xludf.DUMMYFUNCTION("""COMPUTED_VALUE"""),"Pendon Tipo Enrollable")</f>
        <v>Pendon Tipo Enrollable</v>
      </c>
      <c r="C1135" s="380" t="str">
        <f>IFERROR(__xludf.DUMMYFUNCTION("""COMPUTED_VALUE"""),"10000952")</f>
        <v>10000952</v>
      </c>
      <c r="D1135" s="380" t="s">
        <v>767</v>
      </c>
      <c r="E1135" s="380" t="s">
        <v>768</v>
      </c>
      <c r="F1135" s="380" t="s">
        <v>1945</v>
      </c>
      <c r="G1135" s="380" t="s">
        <v>1267</v>
      </c>
      <c r="H1135" s="380" t="s">
        <v>771</v>
      </c>
      <c r="I1135" s="380" t="s">
        <v>1946</v>
      </c>
      <c r="J1135" s="380" t="s">
        <v>773</v>
      </c>
      <c r="K1135" s="381">
        <v>0.0</v>
      </c>
      <c r="L1135" s="382">
        <v>1.0</v>
      </c>
    </row>
    <row r="1136">
      <c r="A1136" s="380" t="s">
        <v>1980</v>
      </c>
      <c r="B1136" s="380" t="str">
        <f>IFERROR(__xludf.DUMMYFUNCTION("""COMPUTED_VALUE"""),"Aviso Led")</f>
        <v>Aviso Led</v>
      </c>
      <c r="C1136" s="380" t="str">
        <f>IFERROR(__xludf.DUMMYFUNCTION("""COMPUTED_VALUE"""),"10000953")</f>
        <v>10000953</v>
      </c>
      <c r="D1136" s="380" t="s">
        <v>767</v>
      </c>
      <c r="E1136" s="380" t="s">
        <v>768</v>
      </c>
      <c r="F1136" s="380" t="s">
        <v>1945</v>
      </c>
      <c r="G1136" s="380" t="s">
        <v>1267</v>
      </c>
      <c r="H1136" s="380" t="s">
        <v>771</v>
      </c>
      <c r="I1136" s="380" t="s">
        <v>1946</v>
      </c>
      <c r="J1136" s="380" t="s">
        <v>773</v>
      </c>
      <c r="K1136" s="381">
        <v>0.0</v>
      </c>
      <c r="L1136" s="382">
        <v>1.0</v>
      </c>
    </row>
    <row r="1137">
      <c r="A1137" s="380" t="s">
        <v>1981</v>
      </c>
      <c r="B1137" s="380" t="str">
        <f>IFERROR(__xludf.DUMMYFUNCTION("""COMPUTED_VALUE"""),"Plotter Linea Nacional Vehiculos")</f>
        <v>Plotter Linea Nacional Vehiculos</v>
      </c>
      <c r="C1137" s="380" t="str">
        <f>IFERROR(__xludf.DUMMYFUNCTION("""COMPUTED_VALUE"""),"10000954")</f>
        <v>10000954</v>
      </c>
      <c r="D1137" s="380" t="s">
        <v>767</v>
      </c>
      <c r="E1137" s="380" t="s">
        <v>768</v>
      </c>
      <c r="F1137" s="380" t="s">
        <v>1945</v>
      </c>
      <c r="G1137" s="380" t="s">
        <v>1267</v>
      </c>
      <c r="H1137" s="380" t="s">
        <v>771</v>
      </c>
      <c r="I1137" s="380" t="s">
        <v>1946</v>
      </c>
      <c r="J1137" s="380" t="s">
        <v>773</v>
      </c>
      <c r="K1137" s="381">
        <v>87531.0</v>
      </c>
      <c r="L1137" s="382">
        <v>1.0</v>
      </c>
    </row>
    <row r="1138">
      <c r="A1138" s="380" t="s">
        <v>1982</v>
      </c>
      <c r="B1138" s="380" t="str">
        <f>IFERROR(__xludf.DUMMYFUNCTION("""COMPUTED_VALUE"""),"Flanger Punto Droop")</f>
        <v>Flanger Punto Droop</v>
      </c>
      <c r="C1138" s="380" t="str">
        <f>IFERROR(__xludf.DUMMYFUNCTION("""COMPUTED_VALUE"""),"10000955")</f>
        <v>10000955</v>
      </c>
      <c r="D1138" s="380" t="s">
        <v>767</v>
      </c>
      <c r="E1138" s="380" t="s">
        <v>768</v>
      </c>
      <c r="F1138" s="380" t="s">
        <v>1945</v>
      </c>
      <c r="G1138" s="380" t="s">
        <v>1267</v>
      </c>
      <c r="H1138" s="380" t="s">
        <v>771</v>
      </c>
      <c r="I1138" s="380" t="s">
        <v>1946</v>
      </c>
      <c r="J1138" s="380" t="s">
        <v>773</v>
      </c>
      <c r="K1138" s="381">
        <v>0.0</v>
      </c>
      <c r="L1138" s="382">
        <v>1.0</v>
      </c>
    </row>
    <row r="1139">
      <c r="A1139" s="380" t="s">
        <v>1983</v>
      </c>
      <c r="B1139" s="380" t="str">
        <f>IFERROR(__xludf.DUMMYFUNCTION("""COMPUTED_VALUE"""),"Plotter Poliestileno")</f>
        <v>Plotter Poliestileno</v>
      </c>
      <c r="C1139" s="380" t="str">
        <f>IFERROR(__xludf.DUMMYFUNCTION("""COMPUTED_VALUE"""),"10000956")</f>
        <v>10000956</v>
      </c>
      <c r="D1139" s="380" t="s">
        <v>767</v>
      </c>
      <c r="E1139" s="380" t="s">
        <v>768</v>
      </c>
      <c r="F1139" s="380" t="s">
        <v>1945</v>
      </c>
      <c r="G1139" s="380" t="s">
        <v>1267</v>
      </c>
      <c r="H1139" s="380" t="s">
        <v>771</v>
      </c>
      <c r="I1139" s="380" t="s">
        <v>1946</v>
      </c>
      <c r="J1139" s="380" t="s">
        <v>773</v>
      </c>
      <c r="K1139" s="381">
        <v>0.0</v>
      </c>
      <c r="L1139" s="382">
        <v>1.0</v>
      </c>
    </row>
    <row r="1140">
      <c r="A1140" s="380" t="s">
        <v>1984</v>
      </c>
      <c r="B1140" s="380" t="str">
        <f>IFERROR(__xludf.DUMMYFUNCTION("""COMPUTED_VALUE"""),"Pendones Aliados Droop")</f>
        <v>Pendones Aliados Droop</v>
      </c>
      <c r="C1140" s="380" t="str">
        <f>IFERROR(__xludf.DUMMYFUNCTION("""COMPUTED_VALUE"""),"10000957")</f>
        <v>10000957</v>
      </c>
      <c r="D1140" s="380" t="s">
        <v>767</v>
      </c>
      <c r="E1140" s="380" t="s">
        <v>768</v>
      </c>
      <c r="F1140" s="380" t="s">
        <v>1945</v>
      </c>
      <c r="G1140" s="380" t="s">
        <v>1267</v>
      </c>
      <c r="H1140" s="380" t="s">
        <v>771</v>
      </c>
      <c r="I1140" s="380" t="s">
        <v>1946</v>
      </c>
      <c r="J1140" s="380" t="s">
        <v>773</v>
      </c>
      <c r="K1140" s="381">
        <v>46410.0</v>
      </c>
      <c r="L1140" s="382">
        <v>1.0</v>
      </c>
    </row>
    <row r="1141">
      <c r="A1141" s="380" t="s">
        <v>1985</v>
      </c>
      <c r="B1141" s="380" t="str">
        <f>IFERROR(__xludf.DUMMYFUNCTION("""COMPUTED_VALUE"""),"Flanger Aliados Droop (Autorizados)60*35")</f>
        <v>Flanger Aliados Droop (Autorizados)60*35</v>
      </c>
      <c r="C1141" s="380" t="str">
        <f>IFERROR(__xludf.DUMMYFUNCTION("""COMPUTED_VALUE"""),"10000958")</f>
        <v>10000958</v>
      </c>
      <c r="D1141" s="380" t="s">
        <v>767</v>
      </c>
      <c r="E1141" s="380" t="s">
        <v>768</v>
      </c>
      <c r="F1141" s="380" t="s">
        <v>1945</v>
      </c>
      <c r="G1141" s="380" t="s">
        <v>1267</v>
      </c>
      <c r="H1141" s="380" t="s">
        <v>771</v>
      </c>
      <c r="I1141" s="380" t="s">
        <v>1946</v>
      </c>
      <c r="J1141" s="380" t="s">
        <v>773</v>
      </c>
      <c r="K1141" s="381">
        <v>93675.0</v>
      </c>
      <c r="L1141" s="382">
        <v>1.0</v>
      </c>
    </row>
    <row r="1142">
      <c r="A1142" s="380" t="s">
        <v>1986</v>
      </c>
      <c r="B1142" s="380" t="str">
        <f>IFERROR(__xludf.DUMMYFUNCTION("""COMPUTED_VALUE"""),"Impresión Lona Banner")</f>
        <v>Impresión Lona Banner</v>
      </c>
      <c r="C1142" s="380" t="str">
        <f>IFERROR(__xludf.DUMMYFUNCTION("""COMPUTED_VALUE"""),"10000959")</f>
        <v>10000959</v>
      </c>
      <c r="D1142" s="380" t="s">
        <v>767</v>
      </c>
      <c r="E1142" s="380" t="s">
        <v>768</v>
      </c>
      <c r="F1142" s="380" t="s">
        <v>1945</v>
      </c>
      <c r="G1142" s="380" t="s">
        <v>1267</v>
      </c>
      <c r="H1142" s="380" t="s">
        <v>771</v>
      </c>
      <c r="I1142" s="380" t="s">
        <v>1946</v>
      </c>
      <c r="J1142" s="380" t="s">
        <v>773</v>
      </c>
      <c r="K1142" s="381">
        <v>0.0</v>
      </c>
      <c r="L1142" s="382">
        <v>1.0</v>
      </c>
    </row>
    <row r="1143">
      <c r="A1143" s="380" t="s">
        <v>1987</v>
      </c>
      <c r="B1143" s="380" t="str">
        <f>IFERROR(__xludf.DUMMYFUNCTION("""COMPUTED_VALUE"""),"Flanger Puntos Coordinadora")</f>
        <v>Flanger Puntos Coordinadora</v>
      </c>
      <c r="C1143" s="380" t="str">
        <f>IFERROR(__xludf.DUMMYFUNCTION("""COMPUTED_VALUE"""),"10000960")</f>
        <v>10000960</v>
      </c>
      <c r="D1143" s="380" t="s">
        <v>767</v>
      </c>
      <c r="E1143" s="380" t="s">
        <v>768</v>
      </c>
      <c r="F1143" s="380" t="s">
        <v>1945</v>
      </c>
      <c r="G1143" s="380" t="s">
        <v>1267</v>
      </c>
      <c r="H1143" s="380" t="s">
        <v>771</v>
      </c>
      <c r="I1143" s="380" t="s">
        <v>1946</v>
      </c>
      <c r="J1143" s="380" t="s">
        <v>773</v>
      </c>
      <c r="K1143" s="381">
        <v>0.0</v>
      </c>
      <c r="L1143" s="382">
        <v>1.0</v>
      </c>
    </row>
    <row r="1144">
      <c r="A1144" s="380" t="s">
        <v>1988</v>
      </c>
      <c r="B1144" s="380" t="str">
        <f>IFERROR(__xludf.DUMMYFUNCTION("""COMPUTED_VALUE"""),"Microperforado Mercadeo")</f>
        <v>Microperforado Mercadeo</v>
      </c>
      <c r="C1144" s="380" t="str">
        <f>IFERROR(__xludf.DUMMYFUNCTION("""COMPUTED_VALUE"""),"10000961")</f>
        <v>10000961</v>
      </c>
      <c r="D1144" s="380" t="s">
        <v>767</v>
      </c>
      <c r="E1144" s="380" t="s">
        <v>768</v>
      </c>
      <c r="F1144" s="380" t="s">
        <v>1945</v>
      </c>
      <c r="G1144" s="380" t="s">
        <v>1267</v>
      </c>
      <c r="H1144" s="380" t="s">
        <v>771</v>
      </c>
      <c r="I1144" s="380" t="s">
        <v>1946</v>
      </c>
      <c r="J1144" s="380" t="s">
        <v>773</v>
      </c>
      <c r="K1144" s="381">
        <v>0.0</v>
      </c>
      <c r="L1144" s="382">
        <v>1.0</v>
      </c>
    </row>
    <row r="1145">
      <c r="A1145" s="380" t="s">
        <v>1989</v>
      </c>
      <c r="B1145" s="380" t="str">
        <f>IFERROR(__xludf.DUMMYFUNCTION("""COMPUTED_VALUE"""),"Tarjeteros En Acrilico Para Bases")</f>
        <v>Tarjeteros En Acrilico Para Bases</v>
      </c>
      <c r="C1145" s="380" t="str">
        <f>IFERROR(__xludf.DUMMYFUNCTION("""COMPUTED_VALUE"""),"10000962")</f>
        <v>10000962</v>
      </c>
      <c r="D1145" s="380" t="s">
        <v>767</v>
      </c>
      <c r="E1145" s="380" t="s">
        <v>768</v>
      </c>
      <c r="F1145" s="380" t="s">
        <v>1945</v>
      </c>
      <c r="G1145" s="380" t="s">
        <v>1267</v>
      </c>
      <c r="H1145" s="380" t="s">
        <v>771</v>
      </c>
      <c r="I1145" s="380" t="s">
        <v>1946</v>
      </c>
      <c r="J1145" s="380" t="s">
        <v>773</v>
      </c>
      <c r="K1145" s="381">
        <v>19040.0</v>
      </c>
      <c r="L1145" s="382">
        <v>1.0</v>
      </c>
    </row>
    <row r="1146">
      <c r="A1146" s="380" t="s">
        <v>1990</v>
      </c>
      <c r="B1146" s="380" t="str">
        <f>IFERROR(__xludf.DUMMYFUNCTION("""COMPUTED_VALUE"""),"Hablador Audio Para Base Y Texto Braile")</f>
        <v>Hablador Audio Para Base Y Texto Braile</v>
      </c>
      <c r="C1146" s="380" t="str">
        <f>IFERROR(__xludf.DUMMYFUNCTION("""COMPUTED_VALUE"""),"10000963")</f>
        <v>10000963</v>
      </c>
      <c r="D1146" s="380" t="s">
        <v>767</v>
      </c>
      <c r="E1146" s="380" t="s">
        <v>768</v>
      </c>
      <c r="F1146" s="380" t="s">
        <v>1945</v>
      </c>
      <c r="G1146" s="380" t="s">
        <v>1267</v>
      </c>
      <c r="H1146" s="380" t="s">
        <v>771</v>
      </c>
      <c r="I1146" s="380" t="s">
        <v>1946</v>
      </c>
      <c r="J1146" s="380" t="s">
        <v>773</v>
      </c>
      <c r="K1146" s="381">
        <v>0.0</v>
      </c>
      <c r="L1146" s="382">
        <v>1.0</v>
      </c>
    </row>
    <row r="1147">
      <c r="A1147" s="380" t="s">
        <v>1991</v>
      </c>
      <c r="B1147" s="380" t="str">
        <f>IFERROR(__xludf.DUMMYFUNCTION("""COMPUTED_VALUE"""),"Plotter Mercadeo Chispa")</f>
        <v>Plotter Mercadeo Chispa</v>
      </c>
      <c r="C1147" s="380" t="str">
        <f>IFERROR(__xludf.DUMMYFUNCTION("""COMPUTED_VALUE"""),"10000964")</f>
        <v>10000964</v>
      </c>
      <c r="D1147" s="380" t="s">
        <v>767</v>
      </c>
      <c r="E1147" s="380" t="s">
        <v>768</v>
      </c>
      <c r="F1147" s="380" t="s">
        <v>1945</v>
      </c>
      <c r="G1147" s="380" t="s">
        <v>1267</v>
      </c>
      <c r="H1147" s="380" t="s">
        <v>771</v>
      </c>
      <c r="I1147" s="380" t="s">
        <v>1946</v>
      </c>
      <c r="J1147" s="380" t="s">
        <v>773</v>
      </c>
      <c r="K1147" s="381">
        <v>0.0</v>
      </c>
      <c r="L1147" s="382">
        <v>1.0</v>
      </c>
    </row>
    <row r="1148">
      <c r="A1148" s="380" t="s">
        <v>1992</v>
      </c>
      <c r="B1148" s="380" t="str">
        <f>IFERROR(__xludf.DUMMYFUNCTION("""COMPUTED_VALUE"""),"Tubo Con Carton De Tapitas")</f>
        <v>Tubo Con Carton De Tapitas</v>
      </c>
      <c r="C1148" s="380" t="str">
        <f>IFERROR(__xludf.DUMMYFUNCTION("""COMPUTED_VALUE"""),"10000965")</f>
        <v>10000965</v>
      </c>
      <c r="D1148" s="380" t="s">
        <v>767</v>
      </c>
      <c r="E1148" s="380" t="s">
        <v>768</v>
      </c>
      <c r="F1148" s="380" t="s">
        <v>1945</v>
      </c>
      <c r="G1148" s="380" t="s">
        <v>1267</v>
      </c>
      <c r="H1148" s="380" t="s">
        <v>771</v>
      </c>
      <c r="I1148" s="380" t="s">
        <v>1946</v>
      </c>
      <c r="J1148" s="380" t="s">
        <v>773</v>
      </c>
      <c r="K1148" s="381">
        <v>226100.0</v>
      </c>
      <c r="L1148" s="382">
        <v>1.0</v>
      </c>
    </row>
    <row r="1149">
      <c r="A1149" s="380" t="s">
        <v>1993</v>
      </c>
      <c r="B1149" s="380" t="str">
        <f>IFERROR(__xludf.DUMMYFUNCTION("""COMPUTED_VALUE"""),"Rompetrafico En Mdf Mercadeo")</f>
        <v>Rompetrafico En Mdf Mercadeo</v>
      </c>
      <c r="C1149" s="380" t="str">
        <f>IFERROR(__xludf.DUMMYFUNCTION("""COMPUTED_VALUE"""),"10000966")</f>
        <v>10000966</v>
      </c>
      <c r="D1149" s="380" t="s">
        <v>767</v>
      </c>
      <c r="E1149" s="380" t="s">
        <v>768</v>
      </c>
      <c r="F1149" s="380" t="s">
        <v>1945</v>
      </c>
      <c r="G1149" s="380" t="s">
        <v>1267</v>
      </c>
      <c r="H1149" s="380" t="s">
        <v>771</v>
      </c>
      <c r="I1149" s="380" t="s">
        <v>1946</v>
      </c>
      <c r="J1149" s="380" t="s">
        <v>773</v>
      </c>
      <c r="K1149" s="381">
        <v>451350.0</v>
      </c>
      <c r="L1149" s="382">
        <v>1.0</v>
      </c>
    </row>
    <row r="1150">
      <c r="A1150" s="380" t="s">
        <v>1994</v>
      </c>
      <c r="B1150" s="380" t="str">
        <f>IFERROR(__xludf.DUMMYFUNCTION("""COMPUTED_VALUE"""),"Sticker Indicadores")</f>
        <v>Sticker Indicadores</v>
      </c>
      <c r="C1150" s="380" t="str">
        <f>IFERROR(__xludf.DUMMYFUNCTION("""COMPUTED_VALUE"""),"10000967")</f>
        <v>10000967</v>
      </c>
      <c r="D1150" s="380" t="s">
        <v>767</v>
      </c>
      <c r="E1150" s="380" t="s">
        <v>768</v>
      </c>
      <c r="F1150" s="380" t="s">
        <v>1945</v>
      </c>
      <c r="G1150" s="380" t="s">
        <v>1267</v>
      </c>
      <c r="H1150" s="380" t="s">
        <v>771</v>
      </c>
      <c r="I1150" s="380" t="s">
        <v>1946</v>
      </c>
      <c r="J1150" s="380" t="s">
        <v>773</v>
      </c>
      <c r="K1150" s="381">
        <v>17002.0</v>
      </c>
      <c r="L1150" s="382">
        <v>1.0</v>
      </c>
    </row>
    <row r="1151">
      <c r="A1151" s="380" t="s">
        <v>1995</v>
      </c>
      <c r="B1151" s="380" t="str">
        <f>IFERROR(__xludf.DUMMYFUNCTION("""COMPUTED_VALUE"""),"Plotter Logo Coordinadora")</f>
        <v>Plotter Logo Coordinadora</v>
      </c>
      <c r="C1151" s="380" t="str">
        <f>IFERROR(__xludf.DUMMYFUNCTION("""COMPUTED_VALUE"""),"10000968")</f>
        <v>10000968</v>
      </c>
      <c r="D1151" s="380" t="s">
        <v>767</v>
      </c>
      <c r="E1151" s="380" t="s">
        <v>768</v>
      </c>
      <c r="F1151" s="380" t="s">
        <v>1945</v>
      </c>
      <c r="G1151" s="380" t="s">
        <v>1267</v>
      </c>
      <c r="H1151" s="380" t="s">
        <v>771</v>
      </c>
      <c r="I1151" s="380" t="s">
        <v>1946</v>
      </c>
      <c r="J1151" s="380" t="s">
        <v>773</v>
      </c>
      <c r="K1151" s="381">
        <v>13010.0</v>
      </c>
      <c r="L1151" s="382">
        <v>1.0</v>
      </c>
    </row>
    <row r="1152">
      <c r="A1152" s="380" t="s">
        <v>1996</v>
      </c>
      <c r="B1152" s="380" t="str">
        <f>IFERROR(__xludf.DUMMYFUNCTION("""COMPUTED_VALUE"""),"Horario Bases")</f>
        <v>Horario Bases</v>
      </c>
      <c r="C1152" s="380" t="str">
        <f>IFERROR(__xludf.DUMMYFUNCTION("""COMPUTED_VALUE"""),"10000969")</f>
        <v>10000969</v>
      </c>
      <c r="D1152" s="380" t="s">
        <v>767</v>
      </c>
      <c r="E1152" s="380" t="s">
        <v>768</v>
      </c>
      <c r="F1152" s="380" t="s">
        <v>1945</v>
      </c>
      <c r="G1152" s="380" t="s">
        <v>1267</v>
      </c>
      <c r="H1152" s="380" t="s">
        <v>771</v>
      </c>
      <c r="I1152" s="380" t="s">
        <v>1946</v>
      </c>
      <c r="J1152" s="380" t="s">
        <v>773</v>
      </c>
      <c r="K1152" s="381">
        <v>0.0</v>
      </c>
      <c r="L1152" s="382">
        <v>1.0</v>
      </c>
    </row>
    <row r="1153">
      <c r="A1153" s="380" t="s">
        <v>1997</v>
      </c>
      <c r="B1153" s="380" t="str">
        <f>IFERROR(__xludf.DUMMYFUNCTION("""COMPUTED_VALUE"""),"Plotter Mueble De Recibo")</f>
        <v>Plotter Mueble De Recibo</v>
      </c>
      <c r="C1153" s="380" t="str">
        <f>IFERROR(__xludf.DUMMYFUNCTION("""COMPUTED_VALUE"""),"10000970")</f>
        <v>10000970</v>
      </c>
      <c r="D1153" s="380" t="s">
        <v>767</v>
      </c>
      <c r="E1153" s="380" t="s">
        <v>768</v>
      </c>
      <c r="F1153" s="380" t="s">
        <v>1945</v>
      </c>
      <c r="G1153" s="380" t="s">
        <v>1267</v>
      </c>
      <c r="H1153" s="380" t="s">
        <v>771</v>
      </c>
      <c r="I1153" s="380" t="s">
        <v>1946</v>
      </c>
      <c r="J1153" s="380" t="s">
        <v>773</v>
      </c>
      <c r="K1153" s="381">
        <v>16654.0</v>
      </c>
      <c r="L1153" s="382">
        <v>1.0</v>
      </c>
    </row>
    <row r="1154">
      <c r="A1154" s="380" t="s">
        <v>1998</v>
      </c>
      <c r="B1154" s="380" t="str">
        <f>IFERROR(__xludf.DUMMYFUNCTION("""COMPUTED_VALUE"""),"Cartelera Base En Mdf")</f>
        <v>Cartelera Base En Mdf</v>
      </c>
      <c r="C1154" s="380" t="str">
        <f>IFERROR(__xludf.DUMMYFUNCTION("""COMPUTED_VALUE"""),"10000971")</f>
        <v>10000971</v>
      </c>
      <c r="D1154" s="380" t="s">
        <v>767</v>
      </c>
      <c r="E1154" s="380" t="s">
        <v>768</v>
      </c>
      <c r="F1154" s="380" t="s">
        <v>1945</v>
      </c>
      <c r="G1154" s="380" t="s">
        <v>1267</v>
      </c>
      <c r="H1154" s="380" t="s">
        <v>771</v>
      </c>
      <c r="I1154" s="380" t="s">
        <v>1946</v>
      </c>
      <c r="J1154" s="380" t="s">
        <v>773</v>
      </c>
      <c r="K1154" s="381">
        <v>434350.0</v>
      </c>
      <c r="L1154" s="382">
        <v>1.0</v>
      </c>
    </row>
    <row r="1155">
      <c r="A1155" s="380" t="s">
        <v>1999</v>
      </c>
      <c r="B1155" s="380" t="str">
        <f>IFERROR(__xludf.DUMMYFUNCTION("""COMPUTED_VALUE"""),"Rompetrafico En Carton Mercadeo")</f>
        <v>Rompetrafico En Carton Mercadeo</v>
      </c>
      <c r="C1155" s="380" t="str">
        <f>IFERROR(__xludf.DUMMYFUNCTION("""COMPUTED_VALUE"""),"10000972")</f>
        <v>10000972</v>
      </c>
      <c r="D1155" s="380" t="s">
        <v>767</v>
      </c>
      <c r="E1155" s="380" t="s">
        <v>768</v>
      </c>
      <c r="F1155" s="380" t="s">
        <v>1945</v>
      </c>
      <c r="G1155" s="380" t="s">
        <v>1267</v>
      </c>
      <c r="H1155" s="380" t="s">
        <v>771</v>
      </c>
      <c r="I1155" s="380" t="s">
        <v>1946</v>
      </c>
      <c r="J1155" s="380" t="s">
        <v>773</v>
      </c>
      <c r="K1155" s="381">
        <v>0.0</v>
      </c>
      <c r="L1155" s="382">
        <v>1.0</v>
      </c>
    </row>
    <row r="1156">
      <c r="A1156" s="380" t="s">
        <v>2000</v>
      </c>
      <c r="B1156" s="380" t="str">
        <f>IFERROR(__xludf.DUMMYFUNCTION("""COMPUTED_VALUE"""),"Lona Banner")</f>
        <v>Lona Banner</v>
      </c>
      <c r="C1156" s="380" t="str">
        <f>IFERROR(__xludf.DUMMYFUNCTION("""COMPUTED_VALUE"""),"10000973")</f>
        <v>10000973</v>
      </c>
      <c r="D1156" s="380" t="s">
        <v>767</v>
      </c>
      <c r="E1156" s="380" t="s">
        <v>768</v>
      </c>
      <c r="F1156" s="380" t="s">
        <v>1945</v>
      </c>
      <c r="G1156" s="380" t="s">
        <v>1267</v>
      </c>
      <c r="H1156" s="380" t="s">
        <v>771</v>
      </c>
      <c r="I1156" s="380" t="s">
        <v>1946</v>
      </c>
      <c r="J1156" s="380" t="s">
        <v>773</v>
      </c>
      <c r="K1156" s="381">
        <v>0.0</v>
      </c>
      <c r="L1156" s="382">
        <v>1.0</v>
      </c>
    </row>
    <row r="1157">
      <c r="A1157" s="380" t="s">
        <v>2001</v>
      </c>
      <c r="B1157" s="380" t="str">
        <f>IFERROR(__xludf.DUMMYFUNCTION("""COMPUTED_VALUE"""),"Letras Acrilicas Plata Para Bases")</f>
        <v>Letras Acrilicas Plata Para Bases</v>
      </c>
      <c r="C1157" s="380" t="str">
        <f>IFERROR(__xludf.DUMMYFUNCTION("""COMPUTED_VALUE"""),"10000974")</f>
        <v>10000974</v>
      </c>
      <c r="D1157" s="380" t="s">
        <v>767</v>
      </c>
      <c r="E1157" s="380" t="s">
        <v>768</v>
      </c>
      <c r="F1157" s="380" t="s">
        <v>1945</v>
      </c>
      <c r="G1157" s="380" t="s">
        <v>1267</v>
      </c>
      <c r="H1157" s="380" t="s">
        <v>771</v>
      </c>
      <c r="I1157" s="380" t="s">
        <v>1946</v>
      </c>
      <c r="J1157" s="380" t="s">
        <v>773</v>
      </c>
      <c r="K1157" s="381">
        <v>340925.0</v>
      </c>
      <c r="L1157" s="382">
        <v>1.0</v>
      </c>
    </row>
    <row r="1158">
      <c r="A1158" s="380" t="s">
        <v>2002</v>
      </c>
      <c r="B1158" s="380" t="str">
        <f>IFERROR(__xludf.DUMMYFUNCTION("""COMPUTED_VALUE"""),"Pendón Con Ojalete Mercadeo")</f>
        <v>Pendón Con Ojalete Mercadeo</v>
      </c>
      <c r="C1158" s="380" t="str">
        <f>IFERROR(__xludf.DUMMYFUNCTION("""COMPUTED_VALUE"""),"10000975")</f>
        <v>10000975</v>
      </c>
      <c r="D1158" s="380" t="s">
        <v>767</v>
      </c>
      <c r="E1158" s="380" t="s">
        <v>768</v>
      </c>
      <c r="F1158" s="380" t="s">
        <v>1945</v>
      </c>
      <c r="G1158" s="380" t="s">
        <v>1267</v>
      </c>
      <c r="H1158" s="380" t="s">
        <v>771</v>
      </c>
      <c r="I1158" s="380" t="s">
        <v>1946</v>
      </c>
      <c r="J1158" s="380" t="s">
        <v>773</v>
      </c>
      <c r="K1158" s="381">
        <v>0.0</v>
      </c>
      <c r="L1158" s="382">
        <v>1.0</v>
      </c>
    </row>
    <row r="1159">
      <c r="A1159" s="380" t="s">
        <v>2003</v>
      </c>
      <c r="B1159" s="380" t="str">
        <f>IFERROR(__xludf.DUMMYFUNCTION("""COMPUTED_VALUE"""),"Plotter Innovemos")</f>
        <v>Plotter Innovemos</v>
      </c>
      <c r="C1159" s="380" t="str">
        <f>IFERROR(__xludf.DUMMYFUNCTION("""COMPUTED_VALUE"""),"10000976")</f>
        <v>10000976</v>
      </c>
      <c r="D1159" s="380" t="s">
        <v>767</v>
      </c>
      <c r="E1159" s="380" t="s">
        <v>768</v>
      </c>
      <c r="F1159" s="380" t="s">
        <v>1945</v>
      </c>
      <c r="G1159" s="380" t="s">
        <v>1267</v>
      </c>
      <c r="H1159" s="380" t="s">
        <v>771</v>
      </c>
      <c r="I1159" s="380" t="s">
        <v>1946</v>
      </c>
      <c r="J1159" s="380" t="s">
        <v>773</v>
      </c>
      <c r="K1159" s="381">
        <v>52955.0</v>
      </c>
      <c r="L1159" s="382">
        <v>1.0</v>
      </c>
    </row>
    <row r="1160">
      <c r="A1160" s="380" t="s">
        <v>2004</v>
      </c>
      <c r="B1160" s="380" t="str">
        <f>IFERROR(__xludf.DUMMYFUNCTION("""COMPUTED_VALUE"""),"Señaletica Proh Pasar Sobre Banda Transp")</f>
        <v>Señaletica Proh Pasar Sobre Banda Transp</v>
      </c>
      <c r="C1160" s="380" t="str">
        <f>IFERROR(__xludf.DUMMYFUNCTION("""COMPUTED_VALUE"""),"10000977")</f>
        <v>10000977</v>
      </c>
      <c r="D1160" s="380" t="s">
        <v>767</v>
      </c>
      <c r="E1160" s="380" t="s">
        <v>768</v>
      </c>
      <c r="F1160" s="380" t="s">
        <v>2005</v>
      </c>
      <c r="G1160" s="380" t="s">
        <v>1267</v>
      </c>
      <c r="H1160" s="380" t="s">
        <v>771</v>
      </c>
      <c r="I1160" s="380" t="s">
        <v>812</v>
      </c>
      <c r="J1160" s="380" t="s">
        <v>773</v>
      </c>
      <c r="K1160" s="381">
        <v>0.0</v>
      </c>
      <c r="L1160" s="382">
        <v>1.0</v>
      </c>
    </row>
    <row r="1161">
      <c r="A1161" s="380" t="s">
        <v>2006</v>
      </c>
      <c r="B1161" s="380" t="str">
        <f>IFERROR(__xludf.DUMMYFUNCTION("""COMPUTED_VALUE"""),"Señaletica Acrilico Canastilla Octopus")</f>
        <v>Señaletica Acrilico Canastilla Octopus</v>
      </c>
      <c r="C1161" s="380" t="str">
        <f>IFERROR(__xludf.DUMMYFUNCTION("""COMPUTED_VALUE"""),"10000978")</f>
        <v>10000978</v>
      </c>
      <c r="D1161" s="380" t="s">
        <v>767</v>
      </c>
      <c r="E1161" s="380" t="s">
        <v>768</v>
      </c>
      <c r="F1161" s="380" t="s">
        <v>2005</v>
      </c>
      <c r="G1161" s="380" t="s">
        <v>1267</v>
      </c>
      <c r="H1161" s="380" t="s">
        <v>771</v>
      </c>
      <c r="I1161" s="380" t="s">
        <v>812</v>
      </c>
      <c r="J1161" s="380" t="s">
        <v>773</v>
      </c>
      <c r="K1161" s="381">
        <v>5303.0</v>
      </c>
      <c r="L1161" s="382">
        <v>1.0</v>
      </c>
    </row>
    <row r="1162">
      <c r="A1162" s="380" t="s">
        <v>2007</v>
      </c>
      <c r="B1162" s="380" t="str">
        <f>IFERROR(__xludf.DUMMYFUNCTION("""COMPUTED_VALUE"""),"Señaletica Utiles De Aseo")</f>
        <v>Señaletica Utiles De Aseo</v>
      </c>
      <c r="C1162" s="380" t="str">
        <f>IFERROR(__xludf.DUMMYFUNCTION("""COMPUTED_VALUE"""),"10000979")</f>
        <v>10000979</v>
      </c>
      <c r="D1162" s="380" t="s">
        <v>767</v>
      </c>
      <c r="E1162" s="380" t="s">
        <v>768</v>
      </c>
      <c r="F1162" s="380" t="s">
        <v>2005</v>
      </c>
      <c r="G1162" s="380" t="s">
        <v>1267</v>
      </c>
      <c r="H1162" s="380" t="s">
        <v>771</v>
      </c>
      <c r="I1162" s="380" t="s">
        <v>812</v>
      </c>
      <c r="J1162" s="380" t="s">
        <v>773</v>
      </c>
      <c r="K1162" s="381">
        <v>0.0</v>
      </c>
      <c r="L1162" s="382">
        <v>1.0</v>
      </c>
    </row>
    <row r="1163">
      <c r="A1163" s="380" t="s">
        <v>2008</v>
      </c>
      <c r="B1163" s="380" t="str">
        <f>IFERROR(__xludf.DUMMYFUNCTION("""COMPUTED_VALUE"""),"Señaletica No Apilar Mercancia")</f>
        <v>Señaletica No Apilar Mercancia</v>
      </c>
      <c r="C1163" s="380" t="str">
        <f>IFERROR(__xludf.DUMMYFUNCTION("""COMPUTED_VALUE"""),"10000980")</f>
        <v>10000980</v>
      </c>
      <c r="D1163" s="380" t="s">
        <v>767</v>
      </c>
      <c r="E1163" s="380" t="s">
        <v>768</v>
      </c>
      <c r="F1163" s="380" t="s">
        <v>2005</v>
      </c>
      <c r="G1163" s="380" t="s">
        <v>1267</v>
      </c>
      <c r="H1163" s="380" t="s">
        <v>771</v>
      </c>
      <c r="I1163" s="380" t="s">
        <v>812</v>
      </c>
      <c r="J1163" s="380" t="s">
        <v>773</v>
      </c>
      <c r="K1163" s="381">
        <v>0.0</v>
      </c>
      <c r="L1163" s="382">
        <v>1.0</v>
      </c>
    </row>
    <row r="1164">
      <c r="A1164" s="380" t="s">
        <v>2009</v>
      </c>
      <c r="B1164" s="380" t="str">
        <f>IFERROR(__xludf.DUMMYFUNCTION("""COMPUTED_VALUE"""),"Señaletica Baj Escalera Flec Izq23x33")</f>
        <v>Señaletica Baj Escalera Flec Izq23x33</v>
      </c>
      <c r="C1164" s="380" t="str">
        <f>IFERROR(__xludf.DUMMYFUNCTION("""COMPUTED_VALUE"""),"10000981")</f>
        <v>10000981</v>
      </c>
      <c r="D1164" s="380" t="s">
        <v>767</v>
      </c>
      <c r="E1164" s="380" t="s">
        <v>768</v>
      </c>
      <c r="F1164" s="380" t="s">
        <v>2005</v>
      </c>
      <c r="G1164" s="380" t="s">
        <v>1267</v>
      </c>
      <c r="H1164" s="380" t="s">
        <v>771</v>
      </c>
      <c r="I1164" s="380" t="s">
        <v>812</v>
      </c>
      <c r="J1164" s="380" t="s">
        <v>773</v>
      </c>
      <c r="K1164" s="381">
        <v>0.0</v>
      </c>
      <c r="L1164" s="382">
        <v>1.0</v>
      </c>
    </row>
    <row r="1165">
      <c r="A1165" s="380" t="s">
        <v>2010</v>
      </c>
      <c r="B1165" s="380" t="str">
        <f>IFERROR(__xludf.DUMMYFUNCTION("""COMPUTED_VALUE"""),"Señaletica Base Aten Prioritaria 14.5x20")</f>
        <v>Señaletica Base Aten Prioritaria 14.5x20</v>
      </c>
      <c r="C1165" s="380" t="str">
        <f>IFERROR(__xludf.DUMMYFUNCTION("""COMPUTED_VALUE"""),"10000982")</f>
        <v>10000982</v>
      </c>
      <c r="D1165" s="380" t="s">
        <v>767</v>
      </c>
      <c r="E1165" s="380" t="s">
        <v>768</v>
      </c>
      <c r="F1165" s="380" t="s">
        <v>2005</v>
      </c>
      <c r="G1165" s="380" t="s">
        <v>1267</v>
      </c>
      <c r="H1165" s="380" t="s">
        <v>771</v>
      </c>
      <c r="I1165" s="380" t="s">
        <v>812</v>
      </c>
      <c r="J1165" s="380" t="s">
        <v>773</v>
      </c>
      <c r="K1165" s="381">
        <v>8176.0</v>
      </c>
      <c r="L1165" s="382">
        <v>1.0</v>
      </c>
    </row>
    <row r="1166">
      <c r="A1166" s="380" t="s">
        <v>2011</v>
      </c>
      <c r="B1166" s="380" t="str">
        <f>IFERROR(__xludf.DUMMYFUNCTION("""COMPUTED_VALUE"""),"Señaletica Carreta Bases 14.5x20")</f>
        <v>Señaletica Carreta Bases 14.5x20</v>
      </c>
      <c r="C1166" s="380" t="str">
        <f>IFERROR(__xludf.DUMMYFUNCTION("""COMPUTED_VALUE"""),"10000983")</f>
        <v>10000983</v>
      </c>
      <c r="D1166" s="380" t="s">
        <v>767</v>
      </c>
      <c r="E1166" s="380" t="s">
        <v>768</v>
      </c>
      <c r="F1166" s="380" t="s">
        <v>2005</v>
      </c>
      <c r="G1166" s="380" t="s">
        <v>1267</v>
      </c>
      <c r="H1166" s="380" t="s">
        <v>771</v>
      </c>
      <c r="I1166" s="380" t="s">
        <v>812</v>
      </c>
      <c r="J1166" s="380" t="s">
        <v>773</v>
      </c>
      <c r="K1166" s="381">
        <v>8628.0</v>
      </c>
      <c r="L1166" s="382">
        <v>1.0</v>
      </c>
    </row>
    <row r="1167">
      <c r="A1167" s="380" t="s">
        <v>2012</v>
      </c>
      <c r="B1167" s="380" t="str">
        <f>IFERROR(__xludf.DUMMYFUNCTION("""COMPUTED_VALUE"""),"Señaletica Inflamable 23x33")</f>
        <v>Señaletica Inflamable 23x33</v>
      </c>
      <c r="C1167" s="380" t="str">
        <f>IFERROR(__xludf.DUMMYFUNCTION("""COMPUTED_VALUE"""),"10000984")</f>
        <v>10000984</v>
      </c>
      <c r="D1167" s="380" t="s">
        <v>767</v>
      </c>
      <c r="E1167" s="380" t="s">
        <v>768</v>
      </c>
      <c r="F1167" s="380" t="s">
        <v>2005</v>
      </c>
      <c r="G1167" s="380" t="s">
        <v>1267</v>
      </c>
      <c r="H1167" s="380" t="s">
        <v>771</v>
      </c>
      <c r="I1167" s="380" t="s">
        <v>812</v>
      </c>
      <c r="J1167" s="380" t="s">
        <v>773</v>
      </c>
      <c r="K1167" s="381">
        <v>0.0</v>
      </c>
      <c r="L1167" s="382">
        <v>1.0</v>
      </c>
    </row>
    <row r="1168">
      <c r="A1168" s="380" t="s">
        <v>2013</v>
      </c>
      <c r="B1168" s="380" t="str">
        <f>IFERROR(__xludf.DUMMYFUNCTION("""COMPUTED_VALUE"""),"Señaletica Camilla De Emergencia 23x33")</f>
        <v>Señaletica Camilla De Emergencia 23x33</v>
      </c>
      <c r="C1168" s="380" t="str">
        <f>IFERROR(__xludf.DUMMYFUNCTION("""COMPUTED_VALUE"""),"10000985")</f>
        <v>10000985</v>
      </c>
      <c r="D1168" s="380" t="s">
        <v>767</v>
      </c>
      <c r="E1168" s="380" t="s">
        <v>768</v>
      </c>
      <c r="F1168" s="380" t="s">
        <v>2005</v>
      </c>
      <c r="G1168" s="380" t="s">
        <v>1267</v>
      </c>
      <c r="H1168" s="380" t="s">
        <v>771</v>
      </c>
      <c r="I1168" s="380" t="s">
        <v>812</v>
      </c>
      <c r="J1168" s="380" t="s">
        <v>773</v>
      </c>
      <c r="K1168" s="381">
        <v>0.0</v>
      </c>
      <c r="L1168" s="382">
        <v>1.0</v>
      </c>
    </row>
    <row r="1169">
      <c r="A1169" s="380" t="s">
        <v>2014</v>
      </c>
      <c r="B1169" s="380" t="str">
        <f>IFERROR(__xludf.DUMMYFUNCTION("""COMPUTED_VALUE"""),"Señaletica Extintor Multiproposito Base")</f>
        <v>Señaletica Extintor Multiproposito Base</v>
      </c>
      <c r="C1169" s="380" t="str">
        <f>IFERROR(__xludf.DUMMYFUNCTION("""COMPUTED_VALUE"""),"10000986")</f>
        <v>10000986</v>
      </c>
      <c r="D1169" s="380" t="s">
        <v>767</v>
      </c>
      <c r="E1169" s="380" t="s">
        <v>768</v>
      </c>
      <c r="F1169" s="380" t="s">
        <v>2005</v>
      </c>
      <c r="G1169" s="380" t="s">
        <v>1267</v>
      </c>
      <c r="H1169" s="380" t="s">
        <v>771</v>
      </c>
      <c r="I1169" s="380" t="s">
        <v>812</v>
      </c>
      <c r="J1169" s="380" t="s">
        <v>773</v>
      </c>
      <c r="K1169" s="381">
        <v>21777.0</v>
      </c>
      <c r="L1169" s="382">
        <v>1.0</v>
      </c>
    </row>
    <row r="1170">
      <c r="A1170" s="380" t="s">
        <v>2015</v>
      </c>
      <c r="B1170" s="380" t="str">
        <f>IFERROR(__xludf.DUMMYFUNCTION("""COMPUTED_VALUE"""),"Cono Tipo Baliza Para Señalización")</f>
        <v>Cono Tipo Baliza Para Señalización</v>
      </c>
      <c r="C1170" s="380" t="str">
        <f>IFERROR(__xludf.DUMMYFUNCTION("""COMPUTED_VALUE"""),"10000987")</f>
        <v>10000987</v>
      </c>
      <c r="D1170" s="380" t="s">
        <v>767</v>
      </c>
      <c r="E1170" s="380" t="s">
        <v>768</v>
      </c>
      <c r="F1170" s="380" t="s">
        <v>2005</v>
      </c>
      <c r="G1170" s="380" t="s">
        <v>1267</v>
      </c>
      <c r="H1170" s="380" t="s">
        <v>771</v>
      </c>
      <c r="I1170" s="380" t="s">
        <v>812</v>
      </c>
      <c r="J1170" s="380" t="s">
        <v>773</v>
      </c>
      <c r="K1170" s="381">
        <v>0.0</v>
      </c>
      <c r="L1170" s="382">
        <v>1.0</v>
      </c>
    </row>
    <row r="1171">
      <c r="A1171" s="380" t="s">
        <v>2016</v>
      </c>
      <c r="B1171" s="380" t="str">
        <f>IFERROR(__xludf.DUMMYFUNCTION("""COMPUTED_VALUE"""),"Señaletica Capacidad Máxima 2 Beans")</f>
        <v>Señaletica Capacidad Máxima 2 Beans</v>
      </c>
      <c r="C1171" s="380" t="str">
        <f>IFERROR(__xludf.DUMMYFUNCTION("""COMPUTED_VALUE"""),"10000988")</f>
        <v>10000988</v>
      </c>
      <c r="D1171" s="380" t="s">
        <v>767</v>
      </c>
      <c r="E1171" s="380" t="s">
        <v>768</v>
      </c>
      <c r="F1171" s="380" t="s">
        <v>2005</v>
      </c>
      <c r="G1171" s="380" t="s">
        <v>1267</v>
      </c>
      <c r="H1171" s="380" t="s">
        <v>771</v>
      </c>
      <c r="I1171" s="380" t="s">
        <v>812</v>
      </c>
      <c r="J1171" s="380" t="s">
        <v>773</v>
      </c>
      <c r="K1171" s="381">
        <v>0.0</v>
      </c>
      <c r="L1171" s="382">
        <v>1.0</v>
      </c>
    </row>
    <row r="1172">
      <c r="A1172" s="380" t="s">
        <v>2017</v>
      </c>
      <c r="B1172" s="380" t="str">
        <f>IFERROR(__xludf.DUMMYFUNCTION("""COMPUTED_VALUE"""),"Señaletica Estándares Seg Octopus 50x70")</f>
        <v>Señaletica Estándares Seg Octopus 50x70</v>
      </c>
      <c r="C1172" s="380" t="str">
        <f>IFERROR(__xludf.DUMMYFUNCTION("""COMPUTED_VALUE"""),"10000989")</f>
        <v>10000989</v>
      </c>
      <c r="D1172" s="380" t="s">
        <v>767</v>
      </c>
      <c r="E1172" s="380" t="s">
        <v>768</v>
      </c>
      <c r="F1172" s="380" t="s">
        <v>2005</v>
      </c>
      <c r="G1172" s="380" t="s">
        <v>1267</v>
      </c>
      <c r="H1172" s="380" t="s">
        <v>771</v>
      </c>
      <c r="I1172" s="380" t="s">
        <v>812</v>
      </c>
      <c r="J1172" s="380" t="s">
        <v>773</v>
      </c>
      <c r="K1172" s="381">
        <v>0.0</v>
      </c>
      <c r="L1172" s="382">
        <v>1.0</v>
      </c>
    </row>
    <row r="1173">
      <c r="A1173" s="380" t="s">
        <v>2018</v>
      </c>
      <c r="B1173" s="380" t="str">
        <f>IFERROR(__xludf.DUMMYFUNCTION("""COMPUTED_VALUE"""),"Señaletica Almac Tramos De Rodillos32x22")</f>
        <v>Señaletica Almac Tramos De Rodillos32x22</v>
      </c>
      <c r="C1173" s="380" t="str">
        <f>IFERROR(__xludf.DUMMYFUNCTION("""COMPUTED_VALUE"""),"10000990")</f>
        <v>10000990</v>
      </c>
      <c r="D1173" s="380" t="s">
        <v>767</v>
      </c>
      <c r="E1173" s="380" t="s">
        <v>768</v>
      </c>
      <c r="F1173" s="380" t="s">
        <v>2005</v>
      </c>
      <c r="G1173" s="380" t="s">
        <v>1267</v>
      </c>
      <c r="H1173" s="380" t="s">
        <v>771</v>
      </c>
      <c r="I1173" s="380" t="s">
        <v>812</v>
      </c>
      <c r="J1173" s="380" t="s">
        <v>773</v>
      </c>
      <c r="K1173" s="381">
        <v>0.0</v>
      </c>
      <c r="L1173" s="382">
        <v>1.0</v>
      </c>
    </row>
    <row r="1174">
      <c r="A1174" s="380" t="s">
        <v>2019</v>
      </c>
      <c r="B1174" s="380" t="str">
        <f>IFERROR(__xludf.DUMMYFUNCTION("""COMPUTED_VALUE"""),"Señaletica Deposito De Chatarra 32x22")</f>
        <v>Señaletica Deposito De Chatarra 32x22</v>
      </c>
      <c r="C1174" s="380" t="str">
        <f>IFERROR(__xludf.DUMMYFUNCTION("""COMPUTED_VALUE"""),"10000991")</f>
        <v>10000991</v>
      </c>
      <c r="D1174" s="380" t="s">
        <v>767</v>
      </c>
      <c r="E1174" s="380" t="s">
        <v>768</v>
      </c>
      <c r="F1174" s="380" t="s">
        <v>2005</v>
      </c>
      <c r="G1174" s="380" t="s">
        <v>1267</v>
      </c>
      <c r="H1174" s="380" t="s">
        <v>771</v>
      </c>
      <c r="I1174" s="380" t="s">
        <v>812</v>
      </c>
      <c r="J1174" s="380" t="s">
        <v>773</v>
      </c>
      <c r="K1174" s="381">
        <v>0.0</v>
      </c>
      <c r="L1174" s="382">
        <v>1.0</v>
      </c>
    </row>
    <row r="1175">
      <c r="A1175" s="380" t="s">
        <v>2020</v>
      </c>
      <c r="B1175" s="380" t="str">
        <f>IFERROR(__xludf.DUMMYFUNCTION("""COMPUTED_VALUE"""),"Señaletica De Herramientas 32x22")</f>
        <v>Señaletica De Herramientas 32x22</v>
      </c>
      <c r="C1175" s="380" t="str">
        <f>IFERROR(__xludf.DUMMYFUNCTION("""COMPUTED_VALUE"""),"10000992")</f>
        <v>10000992</v>
      </c>
      <c r="D1175" s="380" t="s">
        <v>767</v>
      </c>
      <c r="E1175" s="380" t="s">
        <v>768</v>
      </c>
      <c r="F1175" s="380" t="s">
        <v>1945</v>
      </c>
      <c r="G1175" s="380" t="s">
        <v>1267</v>
      </c>
      <c r="H1175" s="380" t="s">
        <v>771</v>
      </c>
      <c r="I1175" s="380" t="s">
        <v>1946</v>
      </c>
      <c r="J1175" s="380" t="s">
        <v>773</v>
      </c>
      <c r="K1175" s="381">
        <v>0.0</v>
      </c>
      <c r="L1175" s="382">
        <v>1.0</v>
      </c>
    </row>
    <row r="1176">
      <c r="A1176" s="380" t="s">
        <v>2021</v>
      </c>
      <c r="B1176" s="380" t="str">
        <f>IFERROR(__xludf.DUMMYFUNCTION("""COMPUTED_VALUE"""),"Señaletica Extintor De Agua")</f>
        <v>Señaletica Extintor De Agua</v>
      </c>
      <c r="C1176" s="380" t="str">
        <f>IFERROR(__xludf.DUMMYFUNCTION("""COMPUTED_VALUE"""),"10000993")</f>
        <v>10000993</v>
      </c>
      <c r="D1176" s="380" t="s">
        <v>767</v>
      </c>
      <c r="E1176" s="380" t="s">
        <v>768</v>
      </c>
      <c r="F1176" s="380" t="s">
        <v>2005</v>
      </c>
      <c r="G1176" s="380" t="s">
        <v>1267</v>
      </c>
      <c r="H1176" s="380" t="s">
        <v>771</v>
      </c>
      <c r="I1176" s="380" t="s">
        <v>812</v>
      </c>
      <c r="J1176" s="380" t="s">
        <v>773</v>
      </c>
      <c r="K1176" s="381">
        <v>0.0</v>
      </c>
      <c r="L1176" s="382">
        <v>1.0</v>
      </c>
    </row>
    <row r="1177">
      <c r="A1177" s="380" t="s">
        <v>2022</v>
      </c>
      <c r="B1177" s="380" t="str">
        <f>IFERROR(__xludf.DUMMYFUNCTION("""COMPUTED_VALUE"""),"Señaletica Extintor De Litio")</f>
        <v>Señaletica Extintor De Litio</v>
      </c>
      <c r="C1177" s="380" t="str">
        <f>IFERROR(__xludf.DUMMYFUNCTION("""COMPUTED_VALUE"""),"10000994")</f>
        <v>10000994</v>
      </c>
      <c r="D1177" s="380" t="s">
        <v>767</v>
      </c>
      <c r="E1177" s="380" t="s">
        <v>768</v>
      </c>
      <c r="F1177" s="380" t="s">
        <v>2005</v>
      </c>
      <c r="G1177" s="380" t="s">
        <v>1267</v>
      </c>
      <c r="H1177" s="380" t="s">
        <v>771</v>
      </c>
      <c r="I1177" s="380" t="s">
        <v>812</v>
      </c>
      <c r="J1177" s="380" t="s">
        <v>773</v>
      </c>
      <c r="K1177" s="381">
        <v>0.0</v>
      </c>
      <c r="L1177" s="382">
        <v>1.0</v>
      </c>
    </row>
    <row r="1178">
      <c r="A1178" s="380" t="s">
        <v>2023</v>
      </c>
      <c r="B1178" s="380" t="str">
        <f>IFERROR(__xludf.DUMMYFUNCTION("""COMPUTED_VALUE"""),"Señaletica Riesgo De Atrapamiento")</f>
        <v>Señaletica Riesgo De Atrapamiento</v>
      </c>
      <c r="C1178" s="380" t="str">
        <f>IFERROR(__xludf.DUMMYFUNCTION("""COMPUTED_VALUE"""),"10000995")</f>
        <v>10000995</v>
      </c>
      <c r="D1178" s="380" t="s">
        <v>767</v>
      </c>
      <c r="E1178" s="380" t="s">
        <v>768</v>
      </c>
      <c r="F1178" s="380" t="s">
        <v>2005</v>
      </c>
      <c r="G1178" s="380" t="s">
        <v>1267</v>
      </c>
      <c r="H1178" s="380" t="s">
        <v>771</v>
      </c>
      <c r="I1178" s="380" t="s">
        <v>812</v>
      </c>
      <c r="J1178" s="380" t="s">
        <v>773</v>
      </c>
      <c r="K1178" s="381">
        <v>0.0</v>
      </c>
      <c r="L1178" s="382">
        <v>1.0</v>
      </c>
    </row>
    <row r="1179">
      <c r="A1179" s="380" t="s">
        <v>2024</v>
      </c>
      <c r="B1179" s="380" t="str">
        <f>IFERROR(__xludf.DUMMYFUNCTION("""COMPUTED_VALUE"""),"Señaletica Como Actuar En Un Derrame")</f>
        <v>Señaletica Como Actuar En Un Derrame</v>
      </c>
      <c r="C1179" s="380" t="str">
        <f>IFERROR(__xludf.DUMMYFUNCTION("""COMPUTED_VALUE"""),"10000996")</f>
        <v>10000996</v>
      </c>
      <c r="D1179" s="380" t="s">
        <v>767</v>
      </c>
      <c r="E1179" s="380" t="s">
        <v>768</v>
      </c>
      <c r="F1179" s="380" t="s">
        <v>2005</v>
      </c>
      <c r="G1179" s="380" t="s">
        <v>1267</v>
      </c>
      <c r="H1179" s="380" t="s">
        <v>771</v>
      </c>
      <c r="I1179" s="380" t="s">
        <v>812</v>
      </c>
      <c r="J1179" s="380" t="s">
        <v>773</v>
      </c>
      <c r="K1179" s="381">
        <v>0.0</v>
      </c>
      <c r="L1179" s="382">
        <v>1.0</v>
      </c>
    </row>
    <row r="1180">
      <c r="A1180" s="380" t="s">
        <v>2025</v>
      </c>
      <c r="B1180" s="380" t="str">
        <f>IFERROR(__xludf.DUMMYFUNCTION("""COMPUTED_VALUE"""),"Señaletica Op Segura De Montacargas")</f>
        <v>Señaletica Op Segura De Montacargas</v>
      </c>
      <c r="C1180" s="380" t="str">
        <f>IFERROR(__xludf.DUMMYFUNCTION("""COMPUTED_VALUE"""),"10000997")</f>
        <v>10000997</v>
      </c>
      <c r="D1180" s="380" t="s">
        <v>767</v>
      </c>
      <c r="E1180" s="380" t="s">
        <v>768</v>
      </c>
      <c r="F1180" s="380" t="s">
        <v>2005</v>
      </c>
      <c r="G1180" s="380" t="s">
        <v>1267</v>
      </c>
      <c r="H1180" s="380" t="s">
        <v>771</v>
      </c>
      <c r="I1180" s="380" t="s">
        <v>812</v>
      </c>
      <c r="J1180" s="380" t="s">
        <v>773</v>
      </c>
      <c r="K1180" s="381">
        <v>0.0</v>
      </c>
      <c r="L1180" s="382">
        <v>1.0</v>
      </c>
    </row>
    <row r="1181">
      <c r="A1181" s="380" t="s">
        <v>2026</v>
      </c>
      <c r="B1181" s="380" t="str">
        <f>IFERROR(__xludf.DUMMYFUNCTION("""COMPUTED_VALUE"""),"Señaletica Uso Seguro Bandas Transport")</f>
        <v>Señaletica Uso Seguro Bandas Transport</v>
      </c>
      <c r="C1181" s="380" t="str">
        <f>IFERROR(__xludf.DUMMYFUNCTION("""COMPUTED_VALUE"""),"10000998")</f>
        <v>10000998</v>
      </c>
      <c r="D1181" s="380" t="s">
        <v>767</v>
      </c>
      <c r="E1181" s="380" t="s">
        <v>768</v>
      </c>
      <c r="F1181" s="380" t="s">
        <v>2005</v>
      </c>
      <c r="G1181" s="380" t="s">
        <v>1267</v>
      </c>
      <c r="H1181" s="380" t="s">
        <v>771</v>
      </c>
      <c r="I1181" s="380" t="s">
        <v>812</v>
      </c>
      <c r="J1181" s="380" t="s">
        <v>773</v>
      </c>
      <c r="K1181" s="381">
        <v>0.0</v>
      </c>
      <c r="L1181" s="382">
        <v>1.0</v>
      </c>
    </row>
    <row r="1182">
      <c r="A1182" s="380" t="s">
        <v>2027</v>
      </c>
      <c r="B1182" s="380" t="str">
        <f>IFERROR(__xludf.DUMMYFUNCTION("""COMPUTED_VALUE"""),"Señaletica Peaton Circule Con Precaucion")</f>
        <v>Señaletica Peaton Circule Con Precaucion</v>
      </c>
      <c r="C1182" s="380" t="str">
        <f>IFERROR(__xludf.DUMMYFUNCTION("""COMPUTED_VALUE"""),"10000999")</f>
        <v>10000999</v>
      </c>
      <c r="D1182" s="380" t="s">
        <v>767</v>
      </c>
      <c r="E1182" s="380" t="s">
        <v>768</v>
      </c>
      <c r="F1182" s="380" t="s">
        <v>2005</v>
      </c>
      <c r="G1182" s="380" t="s">
        <v>1267</v>
      </c>
      <c r="H1182" s="380" t="s">
        <v>771</v>
      </c>
      <c r="I1182" s="380" t="s">
        <v>812</v>
      </c>
      <c r="J1182" s="380" t="s">
        <v>773</v>
      </c>
      <c r="K1182" s="381">
        <v>0.0</v>
      </c>
      <c r="L1182" s="382">
        <v>1.0</v>
      </c>
    </row>
    <row r="1183">
      <c r="A1183" s="380" t="s">
        <v>2028</v>
      </c>
      <c r="B1183" s="380" t="str">
        <f>IFERROR(__xludf.DUMMYFUNCTION("""COMPUTED_VALUE"""),"Señaletica Ries Mec Piezas En Movimiento")</f>
        <v>Señaletica Ries Mec Piezas En Movimiento</v>
      </c>
      <c r="C1183" s="380" t="str">
        <f>IFERROR(__xludf.DUMMYFUNCTION("""COMPUTED_VALUE"""),"10001000")</f>
        <v>10001000</v>
      </c>
      <c r="D1183" s="380" t="s">
        <v>767</v>
      </c>
      <c r="E1183" s="380" t="s">
        <v>768</v>
      </c>
      <c r="F1183" s="380" t="s">
        <v>2005</v>
      </c>
      <c r="G1183" s="380" t="s">
        <v>1267</v>
      </c>
      <c r="H1183" s="380" t="s">
        <v>771</v>
      </c>
      <c r="I1183" s="380" t="s">
        <v>812</v>
      </c>
      <c r="J1183" s="380" t="s">
        <v>773</v>
      </c>
      <c r="K1183" s="381">
        <v>0.0</v>
      </c>
      <c r="L1183" s="382">
        <v>1.0</v>
      </c>
    </row>
    <row r="1184">
      <c r="A1184" s="380" t="s">
        <v>2029</v>
      </c>
      <c r="B1184" s="380" t="str">
        <f>IFERROR(__xludf.DUMMYFUNCTION("""COMPUTED_VALUE"""),"Señaletica Llave De Emergencias")</f>
        <v>Señaletica Llave De Emergencias</v>
      </c>
      <c r="C1184" s="380" t="str">
        <f>IFERROR(__xludf.DUMMYFUNCTION("""COMPUTED_VALUE"""),"10001001")</f>
        <v>10001001</v>
      </c>
      <c r="D1184" s="380" t="s">
        <v>767</v>
      </c>
      <c r="E1184" s="380" t="s">
        <v>768</v>
      </c>
      <c r="F1184" s="380" t="s">
        <v>2005</v>
      </c>
      <c r="G1184" s="380" t="s">
        <v>1267</v>
      </c>
      <c r="H1184" s="380" t="s">
        <v>771</v>
      </c>
      <c r="I1184" s="380" t="s">
        <v>812</v>
      </c>
      <c r="J1184" s="380" t="s">
        <v>773</v>
      </c>
      <c r="K1184" s="381">
        <v>0.0</v>
      </c>
      <c r="L1184" s="382">
        <v>1.0</v>
      </c>
    </row>
    <row r="1185">
      <c r="A1185" s="380" t="s">
        <v>2030</v>
      </c>
      <c r="B1185" s="380" t="str">
        <f>IFERROR(__xludf.DUMMYFUNCTION("""COMPUTED_VALUE"""),"Señaletica Prohibido Apoyars En La Pared")</f>
        <v>Señaletica Prohibido Apoyars En La Pared</v>
      </c>
      <c r="C1185" s="380" t="str">
        <f>IFERROR(__xludf.DUMMYFUNCTION("""COMPUTED_VALUE"""),"10001002")</f>
        <v>10001002</v>
      </c>
      <c r="D1185" s="380" t="s">
        <v>767</v>
      </c>
      <c r="E1185" s="380" t="s">
        <v>768</v>
      </c>
      <c r="F1185" s="380" t="s">
        <v>2005</v>
      </c>
      <c r="G1185" s="380" t="s">
        <v>1267</v>
      </c>
      <c r="H1185" s="380" t="s">
        <v>771</v>
      </c>
      <c r="I1185" s="380" t="s">
        <v>812</v>
      </c>
      <c r="J1185" s="380" t="s">
        <v>773</v>
      </c>
      <c r="K1185" s="381">
        <v>0.0</v>
      </c>
      <c r="L1185" s="382">
        <v>1.0</v>
      </c>
    </row>
    <row r="1186">
      <c r="A1186" s="380" t="s">
        <v>2031</v>
      </c>
      <c r="B1186" s="380" t="str">
        <f>IFERROR(__xludf.DUMMYFUNCTION("""COMPUTED_VALUE"""),"Señaletica Retirar Casco")</f>
        <v>Señaletica Retirar Casco</v>
      </c>
      <c r="C1186" s="380" t="str">
        <f>IFERROR(__xludf.DUMMYFUNCTION("""COMPUTED_VALUE"""),"10001003")</f>
        <v>10001003</v>
      </c>
      <c r="D1186" s="380" t="s">
        <v>767</v>
      </c>
      <c r="E1186" s="380" t="s">
        <v>768</v>
      </c>
      <c r="F1186" s="380" t="s">
        <v>2005</v>
      </c>
      <c r="G1186" s="380" t="s">
        <v>1267</v>
      </c>
      <c r="H1186" s="380" t="s">
        <v>771</v>
      </c>
      <c r="I1186" s="380" t="s">
        <v>812</v>
      </c>
      <c r="J1186" s="380" t="s">
        <v>773</v>
      </c>
      <c r="K1186" s="381">
        <v>14518.0</v>
      </c>
      <c r="L1186" s="382">
        <v>1.0</v>
      </c>
    </row>
    <row r="1187">
      <c r="A1187" s="380" t="s">
        <v>2032</v>
      </c>
      <c r="B1187" s="380" t="str">
        <f>IFERROR(__xludf.DUMMYFUNCTION("""COMPUTED_VALUE"""),"Señaletica Hale Y Empuje")</f>
        <v>Señaletica Hale Y Empuje</v>
      </c>
      <c r="C1187" s="380" t="str">
        <f>IFERROR(__xludf.DUMMYFUNCTION("""COMPUTED_VALUE"""),"10001004")</f>
        <v>10001004</v>
      </c>
      <c r="D1187" s="380" t="s">
        <v>767</v>
      </c>
      <c r="E1187" s="380" t="s">
        <v>768</v>
      </c>
      <c r="F1187" s="380" t="s">
        <v>2005</v>
      </c>
      <c r="G1187" s="380" t="s">
        <v>1267</v>
      </c>
      <c r="H1187" s="380" t="s">
        <v>771</v>
      </c>
      <c r="I1187" s="380" t="s">
        <v>812</v>
      </c>
      <c r="J1187" s="380" t="s">
        <v>773</v>
      </c>
      <c r="K1187" s="381">
        <v>6545.0</v>
      </c>
      <c r="L1187" s="382">
        <v>1.0</v>
      </c>
    </row>
    <row r="1188">
      <c r="A1188" s="380" t="s">
        <v>2033</v>
      </c>
      <c r="B1188" s="380" t="str">
        <f>IFERROR(__xludf.DUMMYFUNCTION("""COMPUTED_VALUE"""),"Señaletica Proh Realizar Mant Vehiculos")</f>
        <v>Señaletica Proh Realizar Mant Vehiculos</v>
      </c>
      <c r="C1188" s="380" t="str">
        <f>IFERROR(__xludf.DUMMYFUNCTION("""COMPUTED_VALUE"""),"10001005")</f>
        <v>10001005</v>
      </c>
      <c r="D1188" s="380" t="s">
        <v>767</v>
      </c>
      <c r="E1188" s="380" t="s">
        <v>768</v>
      </c>
      <c r="F1188" s="380" t="s">
        <v>2005</v>
      </c>
      <c r="G1188" s="380" t="s">
        <v>1267</v>
      </c>
      <c r="H1188" s="380" t="s">
        <v>771</v>
      </c>
      <c r="I1188" s="380" t="s">
        <v>812</v>
      </c>
      <c r="J1188" s="380" t="s">
        <v>773</v>
      </c>
      <c r="K1188" s="381">
        <v>0.0</v>
      </c>
      <c r="L1188" s="382">
        <v>1.0</v>
      </c>
    </row>
    <row r="1189">
      <c r="A1189" s="380" t="s">
        <v>2034</v>
      </c>
      <c r="B1189" s="380" t="str">
        <f>IFERROR(__xludf.DUMMYFUNCTION("""COMPUTED_VALUE"""),"Señaletica Prohibido Botar Basura")</f>
        <v>Señaletica Prohibido Botar Basura</v>
      </c>
      <c r="C1189" s="380" t="str">
        <f>IFERROR(__xludf.DUMMYFUNCTION("""COMPUTED_VALUE"""),"10001006")</f>
        <v>10001006</v>
      </c>
      <c r="D1189" s="380" t="s">
        <v>767</v>
      </c>
      <c r="E1189" s="380" t="s">
        <v>768</v>
      </c>
      <c r="F1189" s="380" t="s">
        <v>2005</v>
      </c>
      <c r="G1189" s="380" t="s">
        <v>1267</v>
      </c>
      <c r="H1189" s="380" t="s">
        <v>771</v>
      </c>
      <c r="I1189" s="380" t="s">
        <v>812</v>
      </c>
      <c r="J1189" s="380" t="s">
        <v>773</v>
      </c>
      <c r="K1189" s="381">
        <v>0.0</v>
      </c>
      <c r="L1189" s="382">
        <v>1.0</v>
      </c>
    </row>
    <row r="1190">
      <c r="A1190" s="380" t="s">
        <v>2035</v>
      </c>
      <c r="B1190" s="380" t="str">
        <f>IFERROR(__xludf.DUMMYFUNCTION("""COMPUTED_VALUE"""),"Señaletica Gabinet Contra Incendio 23*33")</f>
        <v>Señaletica Gabinet Contra Incendio 23*33</v>
      </c>
      <c r="C1190" s="380" t="str">
        <f>IFERROR(__xludf.DUMMYFUNCTION("""COMPUTED_VALUE"""),"10001007")</f>
        <v>10001007</v>
      </c>
      <c r="D1190" s="380" t="s">
        <v>767</v>
      </c>
      <c r="E1190" s="380" t="s">
        <v>768</v>
      </c>
      <c r="F1190" s="380" t="s">
        <v>2005</v>
      </c>
      <c r="G1190" s="380" t="s">
        <v>1267</v>
      </c>
      <c r="H1190" s="380" t="s">
        <v>771</v>
      </c>
      <c r="I1190" s="380" t="s">
        <v>812</v>
      </c>
      <c r="J1190" s="380" t="s">
        <v>773</v>
      </c>
      <c r="K1190" s="381">
        <v>0.0</v>
      </c>
      <c r="L1190" s="382">
        <v>1.0</v>
      </c>
    </row>
    <row r="1191">
      <c r="A1191" s="380" t="s">
        <v>2036</v>
      </c>
      <c r="B1191" s="380" t="str">
        <f>IFERROR(__xludf.DUMMYFUNCTION("""COMPUTED_VALUE"""),"Señaletica Prohibido Uso De Celular23x33")</f>
        <v>Señaletica Prohibido Uso De Celular23x33</v>
      </c>
      <c r="C1191" s="380" t="str">
        <f>IFERROR(__xludf.DUMMYFUNCTION("""COMPUTED_VALUE"""),"10001008")</f>
        <v>10001008</v>
      </c>
      <c r="D1191" s="380" t="s">
        <v>767</v>
      </c>
      <c r="E1191" s="380" t="s">
        <v>768</v>
      </c>
      <c r="F1191" s="380" t="s">
        <v>2005</v>
      </c>
      <c r="G1191" s="380" t="s">
        <v>1267</v>
      </c>
      <c r="H1191" s="380" t="s">
        <v>771</v>
      </c>
      <c r="I1191" s="380" t="s">
        <v>812</v>
      </c>
      <c r="J1191" s="380" t="s">
        <v>773</v>
      </c>
      <c r="K1191" s="381">
        <v>0.0</v>
      </c>
      <c r="L1191" s="382">
        <v>1.0</v>
      </c>
    </row>
    <row r="1192">
      <c r="A1192" s="380" t="s">
        <v>2037</v>
      </c>
      <c r="B1192" s="380" t="str">
        <f>IFERROR(__xludf.DUMMYFUNCTION("""COMPUTED_VALUE"""),"Señaletica Vestier Hombres")</f>
        <v>Señaletica Vestier Hombres</v>
      </c>
      <c r="C1192" s="380" t="str">
        <f>IFERROR(__xludf.DUMMYFUNCTION("""COMPUTED_VALUE"""),"10001009")</f>
        <v>10001009</v>
      </c>
      <c r="D1192" s="380" t="s">
        <v>767</v>
      </c>
      <c r="E1192" s="380" t="s">
        <v>768</v>
      </c>
      <c r="F1192" s="380" t="s">
        <v>2005</v>
      </c>
      <c r="G1192" s="380" t="s">
        <v>1267</v>
      </c>
      <c r="H1192" s="380" t="s">
        <v>771</v>
      </c>
      <c r="I1192" s="380" t="s">
        <v>812</v>
      </c>
      <c r="J1192" s="380" t="s">
        <v>773</v>
      </c>
      <c r="K1192" s="381">
        <v>0.0</v>
      </c>
      <c r="L1192" s="382">
        <v>1.0</v>
      </c>
    </row>
    <row r="1193">
      <c r="A1193" s="380" t="s">
        <v>2038</v>
      </c>
      <c r="B1193" s="380" t="str">
        <f>IFERROR(__xludf.DUMMYFUNCTION("""COMPUTED_VALUE"""),"Señaletica Escaleras Cierre ValvulasRci")</f>
        <v>Señaletica Escaleras Cierre ValvulasRci</v>
      </c>
      <c r="C1193" s="380" t="str">
        <f>IFERROR(__xludf.DUMMYFUNCTION("""COMPUTED_VALUE"""),"10001010")</f>
        <v>10001010</v>
      </c>
      <c r="D1193" s="380" t="s">
        <v>767</v>
      </c>
      <c r="E1193" s="380" t="s">
        <v>768</v>
      </c>
      <c r="F1193" s="380" t="s">
        <v>2005</v>
      </c>
      <c r="G1193" s="380" t="s">
        <v>1267</v>
      </c>
      <c r="H1193" s="380" t="s">
        <v>771</v>
      </c>
      <c r="I1193" s="380" t="s">
        <v>812</v>
      </c>
      <c r="J1193" s="380" t="s">
        <v>773</v>
      </c>
      <c r="K1193" s="381">
        <v>0.0</v>
      </c>
      <c r="L1193" s="382">
        <v>1.0</v>
      </c>
    </row>
    <row r="1194">
      <c r="A1194" s="380" t="s">
        <v>2039</v>
      </c>
      <c r="B1194" s="380" t="str">
        <f>IFERROR(__xludf.DUMMYFUNCTION("""COMPUTED_VALUE"""),"Señaletica Cuarto Baja Tensión 208v")</f>
        <v>Señaletica Cuarto Baja Tensión 208v</v>
      </c>
      <c r="C1194" s="380" t="str">
        <f>IFERROR(__xludf.DUMMYFUNCTION("""COMPUTED_VALUE"""),"10001011")</f>
        <v>10001011</v>
      </c>
      <c r="D1194" s="380" t="s">
        <v>767</v>
      </c>
      <c r="E1194" s="380" t="s">
        <v>768</v>
      </c>
      <c r="F1194" s="380" t="s">
        <v>2005</v>
      </c>
      <c r="G1194" s="380" t="s">
        <v>1267</v>
      </c>
      <c r="H1194" s="380" t="s">
        <v>771</v>
      </c>
      <c r="I1194" s="380" t="s">
        <v>812</v>
      </c>
      <c r="J1194" s="380" t="s">
        <v>773</v>
      </c>
      <c r="K1194" s="381">
        <v>0.0</v>
      </c>
      <c r="L1194" s="382">
        <v>1.0</v>
      </c>
    </row>
    <row r="1195">
      <c r="A1195" s="380" t="s">
        <v>2040</v>
      </c>
      <c r="B1195" s="380" t="str">
        <f>IFERROR(__xludf.DUMMYFUNCTION("""COMPUTED_VALUE"""),"Señaletica Transformador 500 Kva")</f>
        <v>Señaletica Transformador 500 Kva</v>
      </c>
      <c r="C1195" s="380" t="str">
        <f>IFERROR(__xludf.DUMMYFUNCTION("""COMPUTED_VALUE"""),"10001012")</f>
        <v>10001012</v>
      </c>
      <c r="D1195" s="380" t="s">
        <v>767</v>
      </c>
      <c r="E1195" s="380" t="s">
        <v>768</v>
      </c>
      <c r="F1195" s="380" t="s">
        <v>2005</v>
      </c>
      <c r="G1195" s="380" t="s">
        <v>1267</v>
      </c>
      <c r="H1195" s="380" t="s">
        <v>771</v>
      </c>
      <c r="I1195" s="380" t="s">
        <v>812</v>
      </c>
      <c r="J1195" s="380" t="s">
        <v>773</v>
      </c>
      <c r="K1195" s="381">
        <v>0.0</v>
      </c>
      <c r="L1195" s="382">
        <v>1.0</v>
      </c>
    </row>
    <row r="1196">
      <c r="A1196" s="380" t="s">
        <v>2041</v>
      </c>
      <c r="B1196" s="380" t="str">
        <f>IFERROR(__xludf.DUMMYFUNCTION("""COMPUTED_VALUE"""),"Señaletica Valvulas Estación Control Rci")</f>
        <v>Señaletica Valvulas Estación Control Rci</v>
      </c>
      <c r="C1196" s="380" t="str">
        <f>IFERROR(__xludf.DUMMYFUNCTION("""COMPUTED_VALUE"""),"10001013")</f>
        <v>10001013</v>
      </c>
      <c r="D1196" s="380" t="s">
        <v>767</v>
      </c>
      <c r="E1196" s="380" t="s">
        <v>768</v>
      </c>
      <c r="F1196" s="380" t="s">
        <v>2005</v>
      </c>
      <c r="G1196" s="380" t="s">
        <v>1267</v>
      </c>
      <c r="H1196" s="380" t="s">
        <v>771</v>
      </c>
      <c r="I1196" s="380" t="s">
        <v>812</v>
      </c>
      <c r="J1196" s="380" t="s">
        <v>773</v>
      </c>
      <c r="K1196" s="381">
        <v>0.0</v>
      </c>
      <c r="L1196" s="382">
        <v>1.0</v>
      </c>
    </row>
    <row r="1197">
      <c r="A1197" s="380" t="s">
        <v>2042</v>
      </c>
      <c r="B1197" s="380" t="str">
        <f>IFERROR(__xludf.DUMMYFUNCTION("""COMPUTED_VALUE"""),"Señaletica Subestación Tensión 11.400 V")</f>
        <v>Señaletica Subestación Tensión 11.400 V</v>
      </c>
      <c r="C1197" s="380" t="str">
        <f>IFERROR(__xludf.DUMMYFUNCTION("""COMPUTED_VALUE"""),"10001014")</f>
        <v>10001014</v>
      </c>
      <c r="D1197" s="380" t="s">
        <v>767</v>
      </c>
      <c r="E1197" s="380" t="s">
        <v>768</v>
      </c>
      <c r="F1197" s="380" t="s">
        <v>2005</v>
      </c>
      <c r="G1197" s="380" t="s">
        <v>1267</v>
      </c>
      <c r="H1197" s="380" t="s">
        <v>771</v>
      </c>
      <c r="I1197" s="380" t="s">
        <v>812</v>
      </c>
      <c r="J1197" s="380" t="s">
        <v>773</v>
      </c>
      <c r="K1197" s="381">
        <v>0.0</v>
      </c>
      <c r="L1197" s="382">
        <v>1.0</v>
      </c>
    </row>
    <row r="1198">
      <c r="A1198" s="380" t="s">
        <v>2043</v>
      </c>
      <c r="B1198" s="380" t="str">
        <f>IFERROR(__xludf.DUMMYFUNCTION("""COMPUTED_VALUE"""),"Señaletica Planta Electrica De 135 Kva")</f>
        <v>Señaletica Planta Electrica De 135 Kva</v>
      </c>
      <c r="C1198" s="380" t="str">
        <f>IFERROR(__xludf.DUMMYFUNCTION("""COMPUTED_VALUE"""),"10001015")</f>
        <v>10001015</v>
      </c>
      <c r="D1198" s="380" t="s">
        <v>767</v>
      </c>
      <c r="E1198" s="380" t="s">
        <v>768</v>
      </c>
      <c r="F1198" s="380" t="s">
        <v>2005</v>
      </c>
      <c r="G1198" s="380" t="s">
        <v>1267</v>
      </c>
      <c r="H1198" s="380" t="s">
        <v>771</v>
      </c>
      <c r="I1198" s="380" t="s">
        <v>812</v>
      </c>
      <c r="J1198" s="380" t="s">
        <v>773</v>
      </c>
      <c r="K1198" s="381">
        <v>0.0</v>
      </c>
      <c r="L1198" s="382">
        <v>1.0</v>
      </c>
    </row>
    <row r="1199">
      <c r="A1199" s="380" t="s">
        <v>2044</v>
      </c>
      <c r="B1199" s="380" t="str">
        <f>IFERROR(__xludf.DUMMYFUNCTION("""COMPUTED_VALUE"""),"Señaletica Valvula De Gas")</f>
        <v>Señaletica Valvula De Gas</v>
      </c>
      <c r="C1199" s="380" t="str">
        <f>IFERROR(__xludf.DUMMYFUNCTION("""COMPUTED_VALUE"""),"10001016")</f>
        <v>10001016</v>
      </c>
      <c r="D1199" s="380" t="s">
        <v>767</v>
      </c>
      <c r="E1199" s="380" t="s">
        <v>768</v>
      </c>
      <c r="F1199" s="380" t="s">
        <v>2005</v>
      </c>
      <c r="G1199" s="380" t="s">
        <v>1267</v>
      </c>
      <c r="H1199" s="380" t="s">
        <v>771</v>
      </c>
      <c r="I1199" s="380" t="s">
        <v>812</v>
      </c>
      <c r="J1199" s="380" t="s">
        <v>773</v>
      </c>
      <c r="K1199" s="381">
        <v>0.0</v>
      </c>
      <c r="L1199" s="382">
        <v>1.0</v>
      </c>
    </row>
    <row r="1200">
      <c r="A1200" s="380" t="s">
        <v>2045</v>
      </c>
      <c r="B1200" s="380" t="str">
        <f>IFERROR(__xludf.DUMMYFUNCTION("""COMPUTED_VALUE"""),"Señaletica Ries Elec Plantas300- 400Kva")</f>
        <v>Señaletica Ries Elec Plantas300- 400Kva</v>
      </c>
      <c r="C1200" s="380" t="str">
        <f>IFERROR(__xludf.DUMMYFUNCTION("""COMPUTED_VALUE"""),"10001017")</f>
        <v>10001017</v>
      </c>
      <c r="D1200" s="380" t="s">
        <v>767</v>
      </c>
      <c r="E1200" s="380" t="s">
        <v>768</v>
      </c>
      <c r="F1200" s="380" t="s">
        <v>2005</v>
      </c>
      <c r="G1200" s="380" t="s">
        <v>1267</v>
      </c>
      <c r="H1200" s="380" t="s">
        <v>771</v>
      </c>
      <c r="I1200" s="380" t="s">
        <v>812</v>
      </c>
      <c r="J1200" s="380" t="s">
        <v>773</v>
      </c>
      <c r="K1200" s="381">
        <v>0.0</v>
      </c>
      <c r="L1200" s="382">
        <v>1.0</v>
      </c>
    </row>
    <row r="1201">
      <c r="A1201" s="380" t="s">
        <v>2046</v>
      </c>
      <c r="B1201" s="380" t="str">
        <f>IFERROR(__xludf.DUMMYFUNCTION("""COMPUTED_VALUE"""),"Señaletica Cuarto Bomba Rci")</f>
        <v>Señaletica Cuarto Bomba Rci</v>
      </c>
      <c r="C1201" s="380" t="str">
        <f>IFERROR(__xludf.DUMMYFUNCTION("""COMPUTED_VALUE"""),"10001018")</f>
        <v>10001018</v>
      </c>
      <c r="D1201" s="380" t="s">
        <v>767</v>
      </c>
      <c r="E1201" s="380" t="s">
        <v>768</v>
      </c>
      <c r="F1201" s="380" t="s">
        <v>2005</v>
      </c>
      <c r="G1201" s="380" t="s">
        <v>1267</v>
      </c>
      <c r="H1201" s="380" t="s">
        <v>771</v>
      </c>
      <c r="I1201" s="380" t="s">
        <v>812</v>
      </c>
      <c r="J1201" s="380" t="s">
        <v>773</v>
      </c>
      <c r="K1201" s="381">
        <v>0.0</v>
      </c>
      <c r="L1201" s="382">
        <v>1.0</v>
      </c>
    </row>
    <row r="1202">
      <c r="A1202" s="380" t="s">
        <v>2047</v>
      </c>
      <c r="B1202" s="380" t="str">
        <f>IFERROR(__xludf.DUMMYFUNCTION("""COMPUTED_VALUE"""),"Señaletica Vel Max5km/H 30*20 Reflectiva")</f>
        <v>Señaletica Vel Max5km/H 30*20 Reflectiva</v>
      </c>
      <c r="C1202" s="380" t="str">
        <f>IFERROR(__xludf.DUMMYFUNCTION("""COMPUTED_VALUE"""),"10001019")</f>
        <v>10001019</v>
      </c>
      <c r="D1202" s="380" t="s">
        <v>767</v>
      </c>
      <c r="E1202" s="380" t="s">
        <v>768</v>
      </c>
      <c r="F1202" s="380" t="s">
        <v>2005</v>
      </c>
      <c r="G1202" s="380" t="s">
        <v>1267</v>
      </c>
      <c r="H1202" s="380" t="s">
        <v>771</v>
      </c>
      <c r="I1202" s="380" t="s">
        <v>812</v>
      </c>
      <c r="J1202" s="380" t="s">
        <v>773</v>
      </c>
      <c r="K1202" s="381">
        <v>0.0</v>
      </c>
      <c r="L1202" s="382">
        <v>1.0</v>
      </c>
    </row>
    <row r="1203">
      <c r="A1203" s="380" t="s">
        <v>2048</v>
      </c>
      <c r="B1203" s="380" t="str">
        <f>IFERROR(__xludf.DUMMYFUNCTION("""COMPUTED_VALUE"""),"Señaletica Zona Quimicos Ptar 14.5 X 20")</f>
        <v>Señaletica Zona Quimicos Ptar 14.5 X 20</v>
      </c>
      <c r="C1203" s="380" t="str">
        <f>IFERROR(__xludf.DUMMYFUNCTION("""COMPUTED_VALUE"""),"10001020")</f>
        <v>10001020</v>
      </c>
      <c r="D1203" s="380" t="s">
        <v>767</v>
      </c>
      <c r="E1203" s="380" t="s">
        <v>768</v>
      </c>
      <c r="F1203" s="380" t="s">
        <v>2005</v>
      </c>
      <c r="G1203" s="380" t="s">
        <v>1267</v>
      </c>
      <c r="H1203" s="380" t="s">
        <v>771</v>
      </c>
      <c r="I1203" s="380" t="s">
        <v>812</v>
      </c>
      <c r="J1203" s="380" t="s">
        <v>773</v>
      </c>
      <c r="K1203" s="381">
        <v>0.0</v>
      </c>
      <c r="L1203" s="382">
        <v>1.0</v>
      </c>
    </row>
    <row r="1204">
      <c r="A1204" s="380" t="s">
        <v>2049</v>
      </c>
      <c r="B1204" s="380" t="str">
        <f>IFERROR(__xludf.DUMMYFUNCTION("""COMPUTED_VALUE"""),"Señaletica Agua No Potable 20 X 15")</f>
        <v>Señaletica Agua No Potable 20 X 15</v>
      </c>
      <c r="C1204" s="380" t="str">
        <f>IFERROR(__xludf.DUMMYFUNCTION("""COMPUTED_VALUE"""),"10001021")</f>
        <v>10001021</v>
      </c>
      <c r="D1204" s="380" t="s">
        <v>767</v>
      </c>
      <c r="E1204" s="380" t="s">
        <v>768</v>
      </c>
      <c r="F1204" s="380" t="s">
        <v>2005</v>
      </c>
      <c r="G1204" s="380" t="s">
        <v>1267</v>
      </c>
      <c r="H1204" s="380" t="s">
        <v>771</v>
      </c>
      <c r="I1204" s="380" t="s">
        <v>812</v>
      </c>
      <c r="J1204" s="380" t="s">
        <v>773</v>
      </c>
      <c r="K1204" s="381">
        <v>0.0</v>
      </c>
      <c r="L1204" s="382">
        <v>1.0</v>
      </c>
    </row>
    <row r="1205">
      <c r="A1205" s="380" t="s">
        <v>2050</v>
      </c>
      <c r="B1205" s="380" t="str">
        <f>IFERROR(__xludf.DUMMYFUNCTION("""COMPUTED_VALUE"""),"Señaletica Proced Carga Baterias Elect")</f>
        <v>Señaletica Proced Carga Baterias Elect</v>
      </c>
      <c r="C1205" s="380" t="str">
        <f>IFERROR(__xludf.DUMMYFUNCTION("""COMPUTED_VALUE"""),"10001022")</f>
        <v>10001022</v>
      </c>
      <c r="D1205" s="380" t="s">
        <v>767</v>
      </c>
      <c r="E1205" s="380" t="s">
        <v>768</v>
      </c>
      <c r="F1205" s="380" t="s">
        <v>2005</v>
      </c>
      <c r="G1205" s="380" t="s">
        <v>1267</v>
      </c>
      <c r="H1205" s="380" t="s">
        <v>771</v>
      </c>
      <c r="I1205" s="380" t="s">
        <v>812</v>
      </c>
      <c r="J1205" s="380" t="s">
        <v>773</v>
      </c>
      <c r="K1205" s="381">
        <v>0.0</v>
      </c>
      <c r="L1205" s="382">
        <v>1.0</v>
      </c>
    </row>
    <row r="1206">
      <c r="A1206" s="380" t="s">
        <v>2051</v>
      </c>
      <c r="B1206" s="380" t="str">
        <f>IFERROR(__xludf.DUMMYFUNCTION("""COMPUTED_VALUE"""),"Cartel Señalizacion Terminal Hub")</f>
        <v>Cartel Señalizacion Terminal Hub</v>
      </c>
      <c r="C1206" s="380" t="str">
        <f>IFERROR(__xludf.DUMMYFUNCTION("""COMPUTED_VALUE"""),"10001023")</f>
        <v>10001023</v>
      </c>
      <c r="D1206" s="380" t="s">
        <v>767</v>
      </c>
      <c r="E1206" s="380" t="s">
        <v>768</v>
      </c>
      <c r="F1206" s="380" t="s">
        <v>2005</v>
      </c>
      <c r="G1206" s="380" t="s">
        <v>1267</v>
      </c>
      <c r="H1206" s="380" t="s">
        <v>771</v>
      </c>
      <c r="I1206" s="380" t="s">
        <v>812</v>
      </c>
      <c r="J1206" s="380" t="s">
        <v>773</v>
      </c>
      <c r="K1206" s="381">
        <v>0.0</v>
      </c>
      <c r="L1206" s="382">
        <v>1.0</v>
      </c>
    </row>
    <row r="1207">
      <c r="A1207" s="380" t="s">
        <v>2052</v>
      </c>
      <c r="B1207" s="380" t="str">
        <f>IFERROR(__xludf.DUMMYFUNCTION("""COMPUTED_VALUE"""),"Rompetrafico 5 Claves")</f>
        <v>Rompetrafico 5 Claves</v>
      </c>
      <c r="C1207" s="380" t="str">
        <f>IFERROR(__xludf.DUMMYFUNCTION("""COMPUTED_VALUE"""),"10001024")</f>
        <v>10001024</v>
      </c>
      <c r="D1207" s="380" t="s">
        <v>767</v>
      </c>
      <c r="E1207" s="380" t="s">
        <v>768</v>
      </c>
      <c r="F1207" s="380" t="s">
        <v>2005</v>
      </c>
      <c r="G1207" s="380" t="s">
        <v>1267</v>
      </c>
      <c r="H1207" s="380" t="s">
        <v>771</v>
      </c>
      <c r="I1207" s="380" t="s">
        <v>812</v>
      </c>
      <c r="J1207" s="380" t="s">
        <v>773</v>
      </c>
      <c r="K1207" s="381">
        <v>0.0</v>
      </c>
      <c r="L1207" s="382">
        <v>1.0</v>
      </c>
    </row>
    <row r="1208">
      <c r="A1208" s="380" t="s">
        <v>2053</v>
      </c>
      <c r="B1208" s="380" t="str">
        <f>IFERROR(__xludf.DUMMYFUNCTION("""COMPUTED_VALUE"""),"Señaletica Cilindros De Gas Vacios")</f>
        <v>Señaletica Cilindros De Gas Vacios</v>
      </c>
      <c r="C1208" s="380" t="str">
        <f>IFERROR(__xludf.DUMMYFUNCTION("""COMPUTED_VALUE"""),"10001025")</f>
        <v>10001025</v>
      </c>
      <c r="D1208" s="380" t="s">
        <v>767</v>
      </c>
      <c r="E1208" s="380" t="s">
        <v>768</v>
      </c>
      <c r="F1208" s="380" t="s">
        <v>2005</v>
      </c>
      <c r="G1208" s="380" t="s">
        <v>1267</v>
      </c>
      <c r="H1208" s="380" t="s">
        <v>771</v>
      </c>
      <c r="I1208" s="380" t="s">
        <v>812</v>
      </c>
      <c r="J1208" s="380" t="s">
        <v>773</v>
      </c>
      <c r="K1208" s="381">
        <v>0.0</v>
      </c>
      <c r="L1208" s="382">
        <v>1.0</v>
      </c>
    </row>
    <row r="1209">
      <c r="A1209" s="380" t="s">
        <v>2054</v>
      </c>
      <c r="B1209" s="380" t="str">
        <f>IFERROR(__xludf.DUMMYFUNCTION("""COMPUTED_VALUE"""),"Señaletica Deslice Para Abrir 30*15")</f>
        <v>Señaletica Deslice Para Abrir 30*15</v>
      </c>
      <c r="C1209" s="380" t="str">
        <f>IFERROR(__xludf.DUMMYFUNCTION("""COMPUTED_VALUE"""),"10001026")</f>
        <v>10001026</v>
      </c>
      <c r="D1209" s="380" t="s">
        <v>767</v>
      </c>
      <c r="E1209" s="380" t="s">
        <v>768</v>
      </c>
      <c r="F1209" s="380" t="s">
        <v>2005</v>
      </c>
      <c r="G1209" s="380" t="s">
        <v>1267</v>
      </c>
      <c r="H1209" s="380" t="s">
        <v>771</v>
      </c>
      <c r="I1209" s="380" t="s">
        <v>812</v>
      </c>
      <c r="J1209" s="380" t="s">
        <v>773</v>
      </c>
      <c r="K1209" s="381">
        <v>0.0</v>
      </c>
      <c r="L1209" s="382">
        <v>1.0</v>
      </c>
    </row>
    <row r="1210">
      <c r="A1210" s="380" t="s">
        <v>2055</v>
      </c>
      <c r="B1210" s="380" t="str">
        <f>IFERROR(__xludf.DUMMYFUNCTION("""COMPUTED_VALUE"""),"Sticker Para Puerta Gire Y Empuje")</f>
        <v>Sticker Para Puerta Gire Y Empuje</v>
      </c>
      <c r="C1210" s="380" t="str">
        <f>IFERROR(__xludf.DUMMYFUNCTION("""COMPUTED_VALUE"""),"10001027")</f>
        <v>10001027</v>
      </c>
      <c r="D1210" s="380" t="s">
        <v>767</v>
      </c>
      <c r="E1210" s="380" t="s">
        <v>768</v>
      </c>
      <c r="F1210" s="380" t="s">
        <v>2005</v>
      </c>
      <c r="G1210" s="380" t="s">
        <v>1267</v>
      </c>
      <c r="H1210" s="380" t="s">
        <v>771</v>
      </c>
      <c r="I1210" s="380" t="s">
        <v>812</v>
      </c>
      <c r="J1210" s="380" t="s">
        <v>773</v>
      </c>
      <c r="K1210" s="381">
        <v>0.0</v>
      </c>
      <c r="L1210" s="382">
        <v>1.0</v>
      </c>
    </row>
    <row r="1211">
      <c r="A1211" s="380" t="s">
        <v>2056</v>
      </c>
      <c r="B1211" s="380" t="str">
        <f>IFERROR(__xludf.DUMMYFUNCTION("""COMPUTED_VALUE"""),"Sticker Para Puerta Empuje")</f>
        <v>Sticker Para Puerta Empuje</v>
      </c>
      <c r="C1211" s="380" t="str">
        <f>IFERROR(__xludf.DUMMYFUNCTION("""COMPUTED_VALUE"""),"10001028")</f>
        <v>10001028</v>
      </c>
      <c r="D1211" s="380" t="s">
        <v>767</v>
      </c>
      <c r="E1211" s="380" t="s">
        <v>768</v>
      </c>
      <c r="F1211" s="380" t="s">
        <v>2005</v>
      </c>
      <c r="G1211" s="380" t="s">
        <v>1267</v>
      </c>
      <c r="H1211" s="380" t="s">
        <v>771</v>
      </c>
      <c r="I1211" s="380" t="s">
        <v>812</v>
      </c>
      <c r="J1211" s="380" t="s">
        <v>773</v>
      </c>
      <c r="K1211" s="381">
        <v>0.0</v>
      </c>
      <c r="L1211" s="382">
        <v>1.0</v>
      </c>
    </row>
    <row r="1212">
      <c r="A1212" s="380" t="s">
        <v>2057</v>
      </c>
      <c r="B1212" s="380" t="str">
        <f>IFERROR(__xludf.DUMMYFUNCTION("""COMPUTED_VALUE"""),"Sticker Para Puerta Gire Y Hale")</f>
        <v>Sticker Para Puerta Gire Y Hale</v>
      </c>
      <c r="C1212" s="380" t="str">
        <f>IFERROR(__xludf.DUMMYFUNCTION("""COMPUTED_VALUE"""),"10001029")</f>
        <v>10001029</v>
      </c>
      <c r="D1212" s="380" t="s">
        <v>767</v>
      </c>
      <c r="E1212" s="380" t="s">
        <v>768</v>
      </c>
      <c r="F1212" s="380" t="s">
        <v>2005</v>
      </c>
      <c r="G1212" s="380" t="s">
        <v>1267</v>
      </c>
      <c r="H1212" s="380" t="s">
        <v>771</v>
      </c>
      <c r="I1212" s="380" t="s">
        <v>812</v>
      </c>
      <c r="J1212" s="380" t="s">
        <v>773</v>
      </c>
      <c r="K1212" s="381">
        <v>0.0</v>
      </c>
      <c r="L1212" s="382">
        <v>1.0</v>
      </c>
    </row>
    <row r="1213">
      <c r="A1213" s="380" t="s">
        <v>2058</v>
      </c>
      <c r="B1213" s="380" t="str">
        <f>IFERROR(__xludf.DUMMYFUNCTION("""COMPUTED_VALUE"""),"Sticker Para Puerta Hale")</f>
        <v>Sticker Para Puerta Hale</v>
      </c>
      <c r="C1213" s="380" t="str">
        <f>IFERROR(__xludf.DUMMYFUNCTION("""COMPUTED_VALUE"""),"10001030")</f>
        <v>10001030</v>
      </c>
      <c r="D1213" s="380" t="s">
        <v>767</v>
      </c>
      <c r="E1213" s="380" t="s">
        <v>768</v>
      </c>
      <c r="F1213" s="380" t="s">
        <v>2005</v>
      </c>
      <c r="G1213" s="380" t="s">
        <v>1267</v>
      </c>
      <c r="H1213" s="380" t="s">
        <v>771</v>
      </c>
      <c r="I1213" s="380" t="s">
        <v>812</v>
      </c>
      <c r="J1213" s="380" t="s">
        <v>773</v>
      </c>
      <c r="K1213" s="381">
        <v>0.0</v>
      </c>
      <c r="L1213" s="382">
        <v>1.0</v>
      </c>
    </row>
    <row r="1214">
      <c r="A1214" s="380" t="s">
        <v>2059</v>
      </c>
      <c r="B1214" s="380" t="str">
        <f>IFERROR(__xludf.DUMMYFUNCTION("""COMPUTED_VALUE"""),"Señaletica Use Pasamano En Las Escaleras")</f>
        <v>Señaletica Use Pasamano En Las Escaleras</v>
      </c>
      <c r="C1214" s="380" t="str">
        <f>IFERROR(__xludf.DUMMYFUNCTION("""COMPUTED_VALUE"""),"10001031")</f>
        <v>10001031</v>
      </c>
      <c r="D1214" s="380" t="s">
        <v>767</v>
      </c>
      <c r="E1214" s="380" t="s">
        <v>768</v>
      </c>
      <c r="F1214" s="380" t="s">
        <v>2005</v>
      </c>
      <c r="G1214" s="380" t="s">
        <v>1267</v>
      </c>
      <c r="H1214" s="380" t="s">
        <v>771</v>
      </c>
      <c r="I1214" s="380" t="s">
        <v>812</v>
      </c>
      <c r="J1214" s="380" t="s">
        <v>773</v>
      </c>
      <c r="K1214" s="381">
        <v>0.0</v>
      </c>
      <c r="L1214" s="382">
        <v>1.0</v>
      </c>
    </row>
    <row r="1215">
      <c r="A1215" s="380" t="s">
        <v>2060</v>
      </c>
      <c r="B1215" s="380" t="str">
        <f>IFERROR(__xludf.DUMMYFUNCTION("""COMPUTED_VALUE"""),"Señaletica Prec Al Bajar Las Escaleras")</f>
        <v>Señaletica Prec Al Bajar Las Escaleras</v>
      </c>
      <c r="C1215" s="380" t="str">
        <f>IFERROR(__xludf.DUMMYFUNCTION("""COMPUTED_VALUE"""),"10001032")</f>
        <v>10001032</v>
      </c>
      <c r="D1215" s="380" t="s">
        <v>767</v>
      </c>
      <c r="E1215" s="380" t="s">
        <v>768</v>
      </c>
      <c r="F1215" s="380" t="s">
        <v>2005</v>
      </c>
      <c r="G1215" s="380" t="s">
        <v>1267</v>
      </c>
      <c r="H1215" s="380" t="s">
        <v>771</v>
      </c>
      <c r="I1215" s="380" t="s">
        <v>812</v>
      </c>
      <c r="J1215" s="380" t="s">
        <v>773</v>
      </c>
      <c r="K1215" s="381">
        <v>0.0</v>
      </c>
      <c r="L1215" s="382">
        <v>1.0</v>
      </c>
    </row>
    <row r="1216">
      <c r="A1216" s="380" t="s">
        <v>2061</v>
      </c>
      <c r="B1216" s="380" t="str">
        <f>IFERROR(__xludf.DUMMYFUNCTION("""COMPUTED_VALUE"""),"Adhesivo Demarcación Taller")</f>
        <v>Adhesivo Demarcación Taller</v>
      </c>
      <c r="C1216" s="380" t="str">
        <f>IFERROR(__xludf.DUMMYFUNCTION("""COMPUTED_VALUE"""),"10001033")</f>
        <v>10001033</v>
      </c>
      <c r="D1216" s="380" t="s">
        <v>767</v>
      </c>
      <c r="E1216" s="380" t="s">
        <v>768</v>
      </c>
      <c r="F1216" s="380" t="s">
        <v>2005</v>
      </c>
      <c r="G1216" s="380" t="s">
        <v>1267</v>
      </c>
      <c r="H1216" s="380" t="s">
        <v>771</v>
      </c>
      <c r="I1216" s="380" t="s">
        <v>812</v>
      </c>
      <c r="J1216" s="380" t="s">
        <v>773</v>
      </c>
      <c r="K1216" s="381">
        <v>0.0</v>
      </c>
      <c r="L1216" s="382">
        <v>1.0</v>
      </c>
    </row>
    <row r="1217">
      <c r="A1217" s="380" t="s">
        <v>2062</v>
      </c>
      <c r="B1217" s="380" t="str">
        <f>IFERROR(__xludf.DUMMYFUNCTION("""COMPUTED_VALUE"""),"Señaletica Uso Obligatorio De Epp")</f>
        <v>Señaletica Uso Obligatorio De Epp</v>
      </c>
      <c r="C1217" s="380" t="str">
        <f>IFERROR(__xludf.DUMMYFUNCTION("""COMPUTED_VALUE"""),"10001034")</f>
        <v>10001034</v>
      </c>
      <c r="D1217" s="380" t="s">
        <v>767</v>
      </c>
      <c r="E1217" s="380" t="s">
        <v>768</v>
      </c>
      <c r="F1217" s="380" t="s">
        <v>2005</v>
      </c>
      <c r="G1217" s="380" t="s">
        <v>1267</v>
      </c>
      <c r="H1217" s="380" t="s">
        <v>771</v>
      </c>
      <c r="I1217" s="380" t="s">
        <v>812</v>
      </c>
      <c r="J1217" s="380" t="s">
        <v>773</v>
      </c>
      <c r="K1217" s="381">
        <v>0.0</v>
      </c>
      <c r="L1217" s="382">
        <v>1.0</v>
      </c>
    </row>
    <row r="1218">
      <c r="A1218" s="380" t="s">
        <v>2063</v>
      </c>
      <c r="B1218" s="380" t="str">
        <f>IFERROR(__xludf.DUMMYFUNCTION("""COMPUTED_VALUE"""),"Señaletica Zona De Carga De Baterias")</f>
        <v>Señaletica Zona De Carga De Baterias</v>
      </c>
      <c r="C1218" s="380" t="str">
        <f>IFERROR(__xludf.DUMMYFUNCTION("""COMPUTED_VALUE"""),"10001035")</f>
        <v>10001035</v>
      </c>
      <c r="D1218" s="380" t="s">
        <v>767</v>
      </c>
      <c r="E1218" s="380" t="s">
        <v>768</v>
      </c>
      <c r="F1218" s="380" t="s">
        <v>2005</v>
      </c>
      <c r="G1218" s="380" t="s">
        <v>1267</v>
      </c>
      <c r="H1218" s="380" t="s">
        <v>771</v>
      </c>
      <c r="I1218" s="380" t="s">
        <v>812</v>
      </c>
      <c r="J1218" s="380" t="s">
        <v>773</v>
      </c>
      <c r="K1218" s="381">
        <v>0.0</v>
      </c>
      <c r="L1218" s="382">
        <v>1.0</v>
      </c>
    </row>
    <row r="1219">
      <c r="A1219" s="380" t="s">
        <v>2064</v>
      </c>
      <c r="B1219" s="380" t="str">
        <f>IFERROR(__xludf.DUMMYFUNCTION("""COMPUTED_VALUE"""),"Señaletica Peligro Tablero Electrico")</f>
        <v>Señaletica Peligro Tablero Electrico</v>
      </c>
      <c r="C1219" s="380" t="str">
        <f>IFERROR(__xludf.DUMMYFUNCTION("""COMPUTED_VALUE"""),"10001036")</f>
        <v>10001036</v>
      </c>
      <c r="D1219" s="380" t="s">
        <v>767</v>
      </c>
      <c r="E1219" s="380" t="s">
        <v>768</v>
      </c>
      <c r="F1219" s="380" t="s">
        <v>2005</v>
      </c>
      <c r="G1219" s="380" t="s">
        <v>1267</v>
      </c>
      <c r="H1219" s="380" t="s">
        <v>771</v>
      </c>
      <c r="I1219" s="380" t="s">
        <v>812</v>
      </c>
      <c r="J1219" s="380" t="s">
        <v>773</v>
      </c>
      <c r="K1219" s="381">
        <v>0.0</v>
      </c>
      <c r="L1219" s="382">
        <v>1.0</v>
      </c>
    </row>
    <row r="1220">
      <c r="A1220" s="380" t="s">
        <v>2065</v>
      </c>
      <c r="B1220" s="380" t="str">
        <f>IFERROR(__xludf.DUMMYFUNCTION("""COMPUTED_VALUE"""),"Señaletica Solo Personal Autorizado")</f>
        <v>Señaletica Solo Personal Autorizado</v>
      </c>
      <c r="C1220" s="380" t="str">
        <f>IFERROR(__xludf.DUMMYFUNCTION("""COMPUTED_VALUE"""),"10001037")</f>
        <v>10001037</v>
      </c>
      <c r="D1220" s="380" t="s">
        <v>767</v>
      </c>
      <c r="E1220" s="380" t="s">
        <v>768</v>
      </c>
      <c r="F1220" s="380" t="s">
        <v>2005</v>
      </c>
      <c r="G1220" s="380" t="s">
        <v>1267</v>
      </c>
      <c r="H1220" s="380" t="s">
        <v>771</v>
      </c>
      <c r="I1220" s="380" t="s">
        <v>812</v>
      </c>
      <c r="J1220" s="380" t="s">
        <v>773</v>
      </c>
      <c r="K1220" s="381">
        <v>0.0</v>
      </c>
      <c r="L1220" s="382">
        <v>1.0</v>
      </c>
    </row>
    <row r="1221">
      <c r="A1221" s="380" t="s">
        <v>2066</v>
      </c>
      <c r="B1221" s="380" t="str">
        <f>IFERROR(__xludf.DUMMYFUNCTION("""COMPUTED_VALUE"""),"Señaletica Planta Elec De Emerg 500kva")</f>
        <v>Señaletica Planta Elec De Emerg 500kva</v>
      </c>
      <c r="C1221" s="380" t="str">
        <f>IFERROR(__xludf.DUMMYFUNCTION("""COMPUTED_VALUE"""),"10001038")</f>
        <v>10001038</v>
      </c>
      <c r="D1221" s="380" t="s">
        <v>767</v>
      </c>
      <c r="E1221" s="380" t="s">
        <v>768</v>
      </c>
      <c r="F1221" s="380" t="s">
        <v>2005</v>
      </c>
      <c r="G1221" s="380" t="s">
        <v>1267</v>
      </c>
      <c r="H1221" s="380" t="s">
        <v>771</v>
      </c>
      <c r="I1221" s="380" t="s">
        <v>812</v>
      </c>
      <c r="J1221" s="380" t="s">
        <v>773</v>
      </c>
      <c r="K1221" s="381">
        <v>0.0</v>
      </c>
      <c r="L1221" s="382">
        <v>1.0</v>
      </c>
    </row>
    <row r="1222">
      <c r="A1222" s="380" t="s">
        <v>2067</v>
      </c>
      <c r="B1222" s="380" t="str">
        <f>IFERROR(__xludf.DUMMYFUNCTION("""COMPUTED_VALUE"""),"Señaletica Cuarto Baja Tensión 400v")</f>
        <v>Señaletica Cuarto Baja Tensión 400v</v>
      </c>
      <c r="C1222" s="380" t="str">
        <f>IFERROR(__xludf.DUMMYFUNCTION("""COMPUTED_VALUE"""),"10001039")</f>
        <v>10001039</v>
      </c>
      <c r="D1222" s="380" t="s">
        <v>767</v>
      </c>
      <c r="E1222" s="380" t="s">
        <v>768</v>
      </c>
      <c r="F1222" s="380" t="s">
        <v>2005</v>
      </c>
      <c r="G1222" s="380" t="s">
        <v>1267</v>
      </c>
      <c r="H1222" s="380" t="s">
        <v>771</v>
      </c>
      <c r="I1222" s="380" t="s">
        <v>812</v>
      </c>
      <c r="J1222" s="380" t="s">
        <v>773</v>
      </c>
      <c r="K1222" s="381">
        <v>0.0</v>
      </c>
      <c r="L1222" s="382">
        <v>1.0</v>
      </c>
    </row>
    <row r="1223">
      <c r="A1223" s="380" t="s">
        <v>2068</v>
      </c>
      <c r="B1223" s="380" t="str">
        <f>IFERROR(__xludf.DUMMYFUNCTION("""COMPUTED_VALUE"""),"Señaletica Vestier Damas")</f>
        <v>Señaletica Vestier Damas</v>
      </c>
      <c r="C1223" s="380" t="str">
        <f>IFERROR(__xludf.DUMMYFUNCTION("""COMPUTED_VALUE"""),"10001040")</f>
        <v>10001040</v>
      </c>
      <c r="D1223" s="380" t="s">
        <v>767</v>
      </c>
      <c r="E1223" s="380" t="s">
        <v>768</v>
      </c>
      <c r="F1223" s="380" t="s">
        <v>2005</v>
      </c>
      <c r="G1223" s="380" t="s">
        <v>1267</v>
      </c>
      <c r="H1223" s="380" t="s">
        <v>771</v>
      </c>
      <c r="I1223" s="380" t="s">
        <v>812</v>
      </c>
      <c r="J1223" s="380" t="s">
        <v>773</v>
      </c>
      <c r="K1223" s="381">
        <v>0.0</v>
      </c>
      <c r="L1223" s="382">
        <v>1.0</v>
      </c>
    </row>
    <row r="1224">
      <c r="A1224" s="380" t="s">
        <v>2069</v>
      </c>
      <c r="B1224" s="380" t="str">
        <f>IFERROR(__xludf.DUMMYFUNCTION("""COMPUTED_VALUE"""),"Señalética Aceite Usado 40x20cm")</f>
        <v>Señalética Aceite Usado 40x20cm</v>
      </c>
      <c r="C1224" s="380" t="str">
        <f>IFERROR(__xludf.DUMMYFUNCTION("""COMPUTED_VALUE"""),"10001041")</f>
        <v>10001041</v>
      </c>
      <c r="D1224" s="380" t="s">
        <v>767</v>
      </c>
      <c r="E1224" s="380" t="s">
        <v>768</v>
      </c>
      <c r="F1224" s="380" t="s">
        <v>2005</v>
      </c>
      <c r="G1224" s="380" t="s">
        <v>1267</v>
      </c>
      <c r="H1224" s="380" t="s">
        <v>771</v>
      </c>
      <c r="I1224" s="380" t="s">
        <v>812</v>
      </c>
      <c r="J1224" s="380" t="s">
        <v>773</v>
      </c>
      <c r="K1224" s="381">
        <v>0.0</v>
      </c>
      <c r="L1224" s="382">
        <v>1.0</v>
      </c>
    </row>
    <row r="1225">
      <c r="A1225" s="380" t="s">
        <v>2070</v>
      </c>
      <c r="B1225" s="380" t="str">
        <f>IFERROR(__xludf.DUMMYFUNCTION("""COMPUTED_VALUE"""),"Señalética Filtros Usadoa 40x20cm")</f>
        <v>Señalética Filtros Usadoa 40x20cm</v>
      </c>
      <c r="C1225" s="380" t="str">
        <f>IFERROR(__xludf.DUMMYFUNCTION("""COMPUTED_VALUE"""),"10001042")</f>
        <v>10001042</v>
      </c>
      <c r="D1225" s="380" t="s">
        <v>767</v>
      </c>
      <c r="E1225" s="380" t="s">
        <v>768</v>
      </c>
      <c r="F1225" s="380" t="s">
        <v>2005</v>
      </c>
      <c r="G1225" s="380" t="s">
        <v>1267</v>
      </c>
      <c r="H1225" s="380" t="s">
        <v>771</v>
      </c>
      <c r="I1225" s="380" t="s">
        <v>812</v>
      </c>
      <c r="J1225" s="380" t="s">
        <v>773</v>
      </c>
      <c r="K1225" s="381">
        <v>0.0</v>
      </c>
      <c r="L1225" s="382">
        <v>1.0</v>
      </c>
    </row>
    <row r="1226">
      <c r="A1226" s="380" t="s">
        <v>2071</v>
      </c>
      <c r="B1226" s="380" t="str">
        <f>IFERROR(__xludf.DUMMYFUNCTION("""COMPUTED_VALUE"""),"Señalética Res Contaminados Aceite40x20")</f>
        <v>Señalética Res Contaminados Aceite40x20</v>
      </c>
      <c r="C1226" s="380" t="str">
        <f>IFERROR(__xludf.DUMMYFUNCTION("""COMPUTED_VALUE"""),"10001043")</f>
        <v>10001043</v>
      </c>
      <c r="D1226" s="380" t="s">
        <v>767</v>
      </c>
      <c r="E1226" s="380" t="s">
        <v>768</v>
      </c>
      <c r="F1226" s="380" t="s">
        <v>2005</v>
      </c>
      <c r="G1226" s="380" t="s">
        <v>1267</v>
      </c>
      <c r="H1226" s="380" t="s">
        <v>771</v>
      </c>
      <c r="I1226" s="380" t="s">
        <v>812</v>
      </c>
      <c r="J1226" s="380" t="s">
        <v>773</v>
      </c>
      <c r="K1226" s="381">
        <v>0.0</v>
      </c>
      <c r="L1226" s="382">
        <v>1.0</v>
      </c>
    </row>
    <row r="1227">
      <c r="A1227" s="380" t="s">
        <v>2072</v>
      </c>
      <c r="B1227" s="380" t="str">
        <f>IFERROR(__xludf.DUMMYFUNCTION("""COMPUTED_VALUE"""),"Señaletica Asdhesivo Acpm")</f>
        <v>Señaletica Asdhesivo Acpm</v>
      </c>
      <c r="C1227" s="380" t="str">
        <f>IFERROR(__xludf.DUMMYFUNCTION("""COMPUTED_VALUE"""),"10001044")</f>
        <v>10001044</v>
      </c>
      <c r="D1227" s="380" t="s">
        <v>767</v>
      </c>
      <c r="E1227" s="380" t="s">
        <v>768</v>
      </c>
      <c r="F1227" s="380" t="s">
        <v>2005</v>
      </c>
      <c r="G1227" s="380" t="s">
        <v>1267</v>
      </c>
      <c r="H1227" s="380" t="s">
        <v>771</v>
      </c>
      <c r="I1227" s="380" t="s">
        <v>812</v>
      </c>
      <c r="J1227" s="380" t="s">
        <v>773</v>
      </c>
      <c r="K1227" s="381">
        <v>0.0</v>
      </c>
      <c r="L1227" s="382">
        <v>1.0</v>
      </c>
    </row>
    <row r="1228">
      <c r="A1228" s="380" t="s">
        <v>2073</v>
      </c>
      <c r="B1228" s="380" t="str">
        <f>IFERROR(__xludf.DUMMYFUNCTION("""COMPUTED_VALUE"""),"Recomendaciones De Seguridad 50*125")</f>
        <v>Recomendaciones De Seguridad 50*125</v>
      </c>
      <c r="C1228" s="380" t="str">
        <f>IFERROR(__xludf.DUMMYFUNCTION("""COMPUTED_VALUE"""),"10001045")</f>
        <v>10001045</v>
      </c>
      <c r="D1228" s="380" t="s">
        <v>767</v>
      </c>
      <c r="E1228" s="380" t="s">
        <v>768</v>
      </c>
      <c r="F1228" s="380" t="s">
        <v>2005</v>
      </c>
      <c r="G1228" s="380" t="s">
        <v>1267</v>
      </c>
      <c r="H1228" s="380" t="s">
        <v>771</v>
      </c>
      <c r="I1228" s="380" t="s">
        <v>812</v>
      </c>
      <c r="J1228" s="380" t="s">
        <v>773</v>
      </c>
      <c r="K1228" s="381">
        <v>0.0</v>
      </c>
      <c r="L1228" s="382">
        <v>1.0</v>
      </c>
    </row>
    <row r="1229">
      <c r="A1229" s="380" t="s">
        <v>2074</v>
      </c>
      <c r="B1229" s="380" t="str">
        <f>IFERROR(__xludf.DUMMYFUNCTION("""COMPUTED_VALUE"""),"Señaletica Transporte De Alimentos 30x15")</f>
        <v>Señaletica Transporte De Alimentos 30x15</v>
      </c>
      <c r="C1229" s="380" t="str">
        <f>IFERROR(__xludf.DUMMYFUNCTION("""COMPUTED_VALUE"""),"10001046")</f>
        <v>10001046</v>
      </c>
      <c r="D1229" s="380" t="s">
        <v>767</v>
      </c>
      <c r="E1229" s="380" t="s">
        <v>768</v>
      </c>
      <c r="F1229" s="380" t="s">
        <v>2005</v>
      </c>
      <c r="G1229" s="380" t="s">
        <v>1267</v>
      </c>
      <c r="H1229" s="380" t="s">
        <v>771</v>
      </c>
      <c r="I1229" s="380" t="s">
        <v>812</v>
      </c>
      <c r="J1229" s="380" t="s">
        <v>773</v>
      </c>
      <c r="K1229" s="381">
        <v>0.0</v>
      </c>
      <c r="L1229" s="382">
        <v>1.0</v>
      </c>
    </row>
    <row r="1230">
      <c r="A1230" s="380" t="s">
        <v>2075</v>
      </c>
      <c r="B1230" s="380" t="str">
        <f>IFERROR(__xludf.DUMMYFUNCTION("""COMPUTED_VALUE"""),"Señaletica Pelig Entr Y Sal De Cam 60*50")</f>
        <v>Señaletica Pelig Entr Y Sal De Cam 60*50</v>
      </c>
      <c r="C1230" s="380" t="str">
        <f>IFERROR(__xludf.DUMMYFUNCTION("""COMPUTED_VALUE"""),"10001047")</f>
        <v>10001047</v>
      </c>
      <c r="D1230" s="380" t="s">
        <v>767</v>
      </c>
      <c r="E1230" s="380" t="s">
        <v>768</v>
      </c>
      <c r="F1230" s="380" t="s">
        <v>2005</v>
      </c>
      <c r="G1230" s="380" t="s">
        <v>1267</v>
      </c>
      <c r="H1230" s="380" t="s">
        <v>771</v>
      </c>
      <c r="I1230" s="380" t="s">
        <v>812</v>
      </c>
      <c r="J1230" s="380" t="s">
        <v>773</v>
      </c>
      <c r="K1230" s="381">
        <v>0.0</v>
      </c>
      <c r="L1230" s="382">
        <v>1.0</v>
      </c>
    </row>
    <row r="1231">
      <c r="A1231" s="380" t="s">
        <v>2076</v>
      </c>
      <c r="B1231" s="380" t="str">
        <f>IFERROR(__xludf.DUMMYFUNCTION("""COMPUTED_VALUE"""),"Señaletica Llave Hidrantes 14.5*20")</f>
        <v>Señaletica Llave Hidrantes 14.5*20</v>
      </c>
      <c r="C1231" s="380" t="str">
        <f>IFERROR(__xludf.DUMMYFUNCTION("""COMPUTED_VALUE"""),"10001048")</f>
        <v>10001048</v>
      </c>
      <c r="D1231" s="380" t="s">
        <v>767</v>
      </c>
      <c r="E1231" s="380" t="s">
        <v>768</v>
      </c>
      <c r="F1231" s="380" t="s">
        <v>2005</v>
      </c>
      <c r="G1231" s="380" t="s">
        <v>1267</v>
      </c>
      <c r="H1231" s="380" t="s">
        <v>771</v>
      </c>
      <c r="I1231" s="380" t="s">
        <v>812</v>
      </c>
      <c r="J1231" s="380" t="s">
        <v>773</v>
      </c>
      <c r="K1231" s="381">
        <v>0.0</v>
      </c>
      <c r="L1231" s="382">
        <v>1.0</v>
      </c>
    </row>
    <row r="1232">
      <c r="A1232" s="380" t="s">
        <v>2077</v>
      </c>
      <c r="B1232" s="380" t="str">
        <f>IFERROR(__xludf.DUMMYFUNCTION("""COMPUTED_VALUE"""),"Señaletica Kit Control De Derrames 33*23")</f>
        <v>Señaletica Kit Control De Derrames 33*23</v>
      </c>
      <c r="C1232" s="380" t="str">
        <f>IFERROR(__xludf.DUMMYFUNCTION("""COMPUTED_VALUE"""),"10001049")</f>
        <v>10001049</v>
      </c>
      <c r="D1232" s="380" t="s">
        <v>767</v>
      </c>
      <c r="E1232" s="380" t="s">
        <v>768</v>
      </c>
      <c r="F1232" s="380" t="s">
        <v>2005</v>
      </c>
      <c r="G1232" s="380" t="s">
        <v>1267</v>
      </c>
      <c r="H1232" s="380" t="s">
        <v>771</v>
      </c>
      <c r="I1232" s="380" t="s">
        <v>812</v>
      </c>
      <c r="J1232" s="380" t="s">
        <v>773</v>
      </c>
      <c r="K1232" s="381">
        <v>0.0</v>
      </c>
      <c r="L1232" s="382">
        <v>1.0</v>
      </c>
    </row>
    <row r="1233">
      <c r="A1233" s="380" t="s">
        <v>2078</v>
      </c>
      <c r="B1233" s="380" t="str">
        <f>IFERROR(__xludf.DUMMYFUNCTION("""COMPUTED_VALUE"""),"Etiquetas Productos Quimicos")</f>
        <v>Etiquetas Productos Quimicos</v>
      </c>
      <c r="C1233" s="380" t="str">
        <f>IFERROR(__xludf.DUMMYFUNCTION("""COMPUTED_VALUE"""),"10001050")</f>
        <v>10001050</v>
      </c>
      <c r="D1233" s="380" t="s">
        <v>767</v>
      </c>
      <c r="E1233" s="380" t="s">
        <v>768</v>
      </c>
      <c r="F1233" s="380" t="s">
        <v>2005</v>
      </c>
      <c r="G1233" s="380" t="s">
        <v>1267</v>
      </c>
      <c r="H1233" s="380" t="s">
        <v>771</v>
      </c>
      <c r="I1233" s="380" t="s">
        <v>812</v>
      </c>
      <c r="J1233" s="380" t="s">
        <v>773</v>
      </c>
      <c r="K1233" s="381">
        <v>0.0</v>
      </c>
      <c r="L1233" s="382">
        <v>1.0</v>
      </c>
    </row>
    <row r="1234">
      <c r="A1234" s="380" t="s">
        <v>2079</v>
      </c>
      <c r="B1234" s="380" t="str">
        <f>IFERROR(__xludf.DUMMYFUNCTION("""COMPUTED_VALUE"""),"Señaletica Estaciones Serv Adhesiva")</f>
        <v>Señaletica Estaciones Serv Adhesiva</v>
      </c>
      <c r="C1234" s="380" t="str">
        <f>IFERROR(__xludf.DUMMYFUNCTION("""COMPUTED_VALUE"""),"10001051")</f>
        <v>10001051</v>
      </c>
      <c r="D1234" s="380" t="s">
        <v>767</v>
      </c>
      <c r="E1234" s="380" t="s">
        <v>768</v>
      </c>
      <c r="F1234" s="380" t="s">
        <v>2005</v>
      </c>
      <c r="G1234" s="380" t="s">
        <v>1267</v>
      </c>
      <c r="H1234" s="380" t="s">
        <v>771</v>
      </c>
      <c r="I1234" s="380" t="s">
        <v>812</v>
      </c>
      <c r="J1234" s="380" t="s">
        <v>773</v>
      </c>
      <c r="K1234" s="381">
        <v>0.0</v>
      </c>
      <c r="L1234" s="382">
        <v>1.0</v>
      </c>
    </row>
    <row r="1235">
      <c r="A1235" s="380" t="s">
        <v>2080</v>
      </c>
      <c r="B1235" s="380" t="str">
        <f>IFERROR(__xludf.DUMMYFUNCTION("""COMPUTED_VALUE"""),"Señalética Parq Bicicletas Eléctric32*21")</f>
        <v>Señalética Parq Bicicletas Eléctric32*21</v>
      </c>
      <c r="C1235" s="380" t="str">
        <f>IFERROR(__xludf.DUMMYFUNCTION("""COMPUTED_VALUE"""),"10001052")</f>
        <v>10001052</v>
      </c>
      <c r="D1235" s="380" t="s">
        <v>767</v>
      </c>
      <c r="E1235" s="380" t="s">
        <v>768</v>
      </c>
      <c r="F1235" s="380" t="s">
        <v>2005</v>
      </c>
      <c r="G1235" s="380" t="s">
        <v>1267</v>
      </c>
      <c r="H1235" s="380" t="s">
        <v>771</v>
      </c>
      <c r="I1235" s="380" t="s">
        <v>812</v>
      </c>
      <c r="J1235" s="380" t="s">
        <v>773</v>
      </c>
      <c r="K1235" s="381">
        <v>0.0</v>
      </c>
      <c r="L1235" s="382">
        <v>1.0</v>
      </c>
    </row>
    <row r="1236">
      <c r="A1236" s="380" t="s">
        <v>2081</v>
      </c>
      <c r="B1236" s="380" t="str">
        <f>IFERROR(__xludf.DUMMYFUNCTION("""COMPUTED_VALUE"""),"Señalética Parq Motos Eléctricas 32*21")</f>
        <v>Señalética Parq Motos Eléctricas 32*21</v>
      </c>
      <c r="C1236" s="380" t="str">
        <f>IFERROR(__xludf.DUMMYFUNCTION("""COMPUTED_VALUE"""),"10001053")</f>
        <v>10001053</v>
      </c>
      <c r="D1236" s="380" t="s">
        <v>767</v>
      </c>
      <c r="E1236" s="380" t="s">
        <v>768</v>
      </c>
      <c r="F1236" s="380" t="s">
        <v>2005</v>
      </c>
      <c r="G1236" s="380" t="s">
        <v>1267</v>
      </c>
      <c r="H1236" s="380" t="s">
        <v>771</v>
      </c>
      <c r="I1236" s="380" t="s">
        <v>812</v>
      </c>
      <c r="J1236" s="380" t="s">
        <v>773</v>
      </c>
      <c r="K1236" s="381">
        <v>0.0</v>
      </c>
      <c r="L1236" s="382">
        <v>1.0</v>
      </c>
    </row>
    <row r="1237">
      <c r="A1237" s="380" t="s">
        <v>2082</v>
      </c>
      <c r="B1237" s="380" t="str">
        <f>IFERROR(__xludf.DUMMYFUNCTION("""COMPUTED_VALUE"""),"Señalética Llave Paso Gas 14.5 * 20")</f>
        <v>Señalética Llave Paso Gas 14.5 * 20</v>
      </c>
      <c r="C1237" s="380" t="str">
        <f>IFERROR(__xludf.DUMMYFUNCTION("""COMPUTED_VALUE"""),"10001054")</f>
        <v>10001054</v>
      </c>
      <c r="D1237" s="380" t="s">
        <v>767</v>
      </c>
      <c r="E1237" s="380" t="s">
        <v>768</v>
      </c>
      <c r="F1237" s="380" t="s">
        <v>2005</v>
      </c>
      <c r="G1237" s="380" t="s">
        <v>1267</v>
      </c>
      <c r="H1237" s="380" t="s">
        <v>771</v>
      </c>
      <c r="I1237" s="380" t="s">
        <v>812</v>
      </c>
      <c r="J1237" s="380" t="s">
        <v>773</v>
      </c>
      <c r="K1237" s="381">
        <v>0.0</v>
      </c>
      <c r="L1237" s="382">
        <v>1.0</v>
      </c>
    </row>
    <row r="1238">
      <c r="A1238" s="380" t="s">
        <v>2083</v>
      </c>
      <c r="B1238" s="380" t="str">
        <f>IFERROR(__xludf.DUMMYFUNCTION("""COMPUTED_VALUE"""),"Señaletica Lav Manos AntesDe Comer30*25")</f>
        <v>Señaletica Lav Manos AntesDe Comer30*25</v>
      </c>
      <c r="C1238" s="380" t="str">
        <f>IFERROR(__xludf.DUMMYFUNCTION("""COMPUTED_VALUE"""),"10001055")</f>
        <v>10001055</v>
      </c>
      <c r="D1238" s="380" t="s">
        <v>767</v>
      </c>
      <c r="E1238" s="380" t="s">
        <v>768</v>
      </c>
      <c r="F1238" s="380" t="s">
        <v>2005</v>
      </c>
      <c r="G1238" s="380" t="s">
        <v>1267</v>
      </c>
      <c r="H1238" s="380" t="s">
        <v>771</v>
      </c>
      <c r="I1238" s="380" t="s">
        <v>812</v>
      </c>
      <c r="J1238" s="380" t="s">
        <v>773</v>
      </c>
      <c r="K1238" s="381">
        <v>0.0</v>
      </c>
      <c r="L1238" s="382">
        <v>1.0</v>
      </c>
    </row>
    <row r="1239">
      <c r="A1239" s="380" t="s">
        <v>2084</v>
      </c>
      <c r="B1239" s="380" t="str">
        <f>IFERROR(__xludf.DUMMYFUNCTION("""COMPUTED_VALUE"""),"Señaletica Cilindros De Gas Llenos")</f>
        <v>Señaletica Cilindros De Gas Llenos</v>
      </c>
      <c r="C1239" s="380" t="str">
        <f>IFERROR(__xludf.DUMMYFUNCTION("""COMPUTED_VALUE"""),"10001056")</f>
        <v>10001056</v>
      </c>
      <c r="D1239" s="380" t="s">
        <v>767</v>
      </c>
      <c r="E1239" s="380" t="s">
        <v>768</v>
      </c>
      <c r="F1239" s="380" t="s">
        <v>2005</v>
      </c>
      <c r="G1239" s="380" t="s">
        <v>1267</v>
      </c>
      <c r="H1239" s="380" t="s">
        <v>771</v>
      </c>
      <c r="I1239" s="380" t="s">
        <v>812</v>
      </c>
      <c r="J1239" s="380" t="s">
        <v>773</v>
      </c>
      <c r="K1239" s="381">
        <v>0.0</v>
      </c>
      <c r="L1239" s="382">
        <v>1.0</v>
      </c>
    </row>
    <row r="1240">
      <c r="A1240" s="380" t="s">
        <v>2085</v>
      </c>
      <c r="B1240" s="380" t="str">
        <f>IFERROR(__xludf.DUMMYFUNCTION("""COMPUTED_VALUE"""),"Señaletica Azul Salida Parqueadero Pesv")</f>
        <v>Señaletica Azul Salida Parqueadero Pesv</v>
      </c>
      <c r="C1240" s="380" t="str">
        <f>IFERROR(__xludf.DUMMYFUNCTION("""COMPUTED_VALUE"""),"10001057")</f>
        <v>10001057</v>
      </c>
      <c r="D1240" s="380" t="s">
        <v>767</v>
      </c>
      <c r="E1240" s="380" t="s">
        <v>768</v>
      </c>
      <c r="F1240" s="380" t="s">
        <v>2005</v>
      </c>
      <c r="G1240" s="380" t="s">
        <v>1267</v>
      </c>
      <c r="H1240" s="380" t="s">
        <v>771</v>
      </c>
      <c r="I1240" s="380" t="s">
        <v>812</v>
      </c>
      <c r="J1240" s="380" t="s">
        <v>773</v>
      </c>
      <c r="K1240" s="381">
        <v>0.0</v>
      </c>
      <c r="L1240" s="382">
        <v>1.0</v>
      </c>
    </row>
    <row r="1241">
      <c r="A1241" s="380" t="s">
        <v>2086</v>
      </c>
      <c r="B1241" s="380" t="str">
        <f>IFERROR(__xludf.DUMMYFUNCTION("""COMPUTED_VALUE"""),"Señaletica Ext Acetato Pot - Tipo K23*33")</f>
        <v>Señaletica Ext Acetato Pot - Tipo K23*33</v>
      </c>
      <c r="C1241" s="380" t="str">
        <f>IFERROR(__xludf.DUMMYFUNCTION("""COMPUTED_VALUE"""),"10001058")</f>
        <v>10001058</v>
      </c>
      <c r="D1241" s="380" t="s">
        <v>767</v>
      </c>
      <c r="E1241" s="380" t="s">
        <v>768</v>
      </c>
      <c r="F1241" s="380" t="s">
        <v>2005</v>
      </c>
      <c r="G1241" s="380" t="s">
        <v>1267</v>
      </c>
      <c r="H1241" s="380" t="s">
        <v>771</v>
      </c>
      <c r="I1241" s="380" t="s">
        <v>812</v>
      </c>
      <c r="J1241" s="380" t="s">
        <v>773</v>
      </c>
      <c r="K1241" s="381">
        <v>0.0</v>
      </c>
      <c r="L1241" s="382">
        <v>1.0</v>
      </c>
    </row>
    <row r="1242">
      <c r="A1242" s="380" t="s">
        <v>2087</v>
      </c>
      <c r="B1242" s="380" t="str">
        <f>IFERROR(__xludf.DUMMYFUNCTION("""COMPUTED_VALUE"""),"Señaletica Azul Flecha Izq Pesv")</f>
        <v>Señaletica Azul Flecha Izq Pesv</v>
      </c>
      <c r="C1242" s="380" t="str">
        <f>IFERROR(__xludf.DUMMYFUNCTION("""COMPUTED_VALUE"""),"10001059")</f>
        <v>10001059</v>
      </c>
      <c r="D1242" s="380" t="s">
        <v>767</v>
      </c>
      <c r="E1242" s="380" t="s">
        <v>768</v>
      </c>
      <c r="F1242" s="380" t="s">
        <v>2005</v>
      </c>
      <c r="G1242" s="380" t="s">
        <v>1267</v>
      </c>
      <c r="H1242" s="380" t="s">
        <v>771</v>
      </c>
      <c r="I1242" s="380" t="s">
        <v>812</v>
      </c>
      <c r="J1242" s="380" t="s">
        <v>773</v>
      </c>
      <c r="K1242" s="381">
        <v>0.0</v>
      </c>
      <c r="L1242" s="382">
        <v>1.0</v>
      </c>
    </row>
    <row r="1243">
      <c r="A1243" s="380" t="s">
        <v>2088</v>
      </c>
      <c r="B1243" s="380" t="str">
        <f>IFERROR(__xludf.DUMMYFUNCTION("""COMPUTED_VALUE"""),"Señaletica Salida Emergencias Der 23*33")</f>
        <v>Señaletica Salida Emergencias Der 23*33</v>
      </c>
      <c r="C1243" s="380" t="str">
        <f>IFERROR(__xludf.DUMMYFUNCTION("""COMPUTED_VALUE"""),"10001060")</f>
        <v>10001060</v>
      </c>
      <c r="D1243" s="380" t="s">
        <v>767</v>
      </c>
      <c r="E1243" s="380" t="s">
        <v>768</v>
      </c>
      <c r="F1243" s="380" t="s">
        <v>2005</v>
      </c>
      <c r="G1243" s="380" t="s">
        <v>1267</v>
      </c>
      <c r="H1243" s="380" t="s">
        <v>771</v>
      </c>
      <c r="I1243" s="380" t="s">
        <v>812</v>
      </c>
      <c r="J1243" s="380" t="s">
        <v>773</v>
      </c>
      <c r="K1243" s="381">
        <v>0.0</v>
      </c>
      <c r="L1243" s="382">
        <v>1.0</v>
      </c>
    </row>
    <row r="1244">
      <c r="A1244" s="380" t="s">
        <v>2089</v>
      </c>
      <c r="B1244" s="380" t="str">
        <f>IFERROR(__xludf.DUMMYFUNCTION("""COMPUTED_VALUE"""),"Señaletica Kit De Desvare")</f>
        <v>Señaletica Kit De Desvare</v>
      </c>
      <c r="C1244" s="380" t="str">
        <f>IFERROR(__xludf.DUMMYFUNCTION("""COMPUTED_VALUE"""),"10001061")</f>
        <v>10001061</v>
      </c>
      <c r="D1244" s="380" t="s">
        <v>767</v>
      </c>
      <c r="E1244" s="380" t="s">
        <v>768</v>
      </c>
      <c r="F1244" s="380" t="s">
        <v>2005</v>
      </c>
      <c r="G1244" s="380" t="s">
        <v>1267</v>
      </c>
      <c r="H1244" s="380" t="s">
        <v>771</v>
      </c>
      <c r="I1244" s="380" t="s">
        <v>812</v>
      </c>
      <c r="J1244" s="380" t="s">
        <v>773</v>
      </c>
      <c r="K1244" s="381">
        <v>0.0</v>
      </c>
      <c r="L1244" s="382">
        <v>1.0</v>
      </c>
    </row>
    <row r="1245">
      <c r="A1245" s="380" t="s">
        <v>2090</v>
      </c>
      <c r="B1245" s="380" t="str">
        <f>IFERROR(__xludf.DUMMYFUNCTION("""COMPUTED_VALUE"""),"Señaletica Kit De Volcamiento")</f>
        <v>Señaletica Kit De Volcamiento</v>
      </c>
      <c r="C1245" s="380" t="str">
        <f>IFERROR(__xludf.DUMMYFUNCTION("""COMPUTED_VALUE"""),"10001062")</f>
        <v>10001062</v>
      </c>
      <c r="D1245" s="380" t="s">
        <v>767</v>
      </c>
      <c r="E1245" s="380" t="s">
        <v>768</v>
      </c>
      <c r="F1245" s="380" t="s">
        <v>2005</v>
      </c>
      <c r="G1245" s="380" t="s">
        <v>1267</v>
      </c>
      <c r="H1245" s="380" t="s">
        <v>771</v>
      </c>
      <c r="I1245" s="380" t="s">
        <v>812</v>
      </c>
      <c r="J1245" s="380" t="s">
        <v>773</v>
      </c>
      <c r="K1245" s="381">
        <v>0.0</v>
      </c>
      <c r="L1245" s="382">
        <v>1.0</v>
      </c>
    </row>
    <row r="1246">
      <c r="A1246" s="380" t="s">
        <v>2091</v>
      </c>
      <c r="B1246" s="380" t="str">
        <f>IFERROR(__xludf.DUMMYFUNCTION("""COMPUTED_VALUE"""),"Señaletica Parq Bicicletas 23*33")</f>
        <v>Señaletica Parq Bicicletas 23*33</v>
      </c>
      <c r="C1246" s="380" t="str">
        <f>IFERROR(__xludf.DUMMYFUNCTION("""COMPUTED_VALUE"""),"10001063")</f>
        <v>10001063</v>
      </c>
      <c r="D1246" s="380" t="s">
        <v>767</v>
      </c>
      <c r="E1246" s="380" t="s">
        <v>768</v>
      </c>
      <c r="F1246" s="380" t="s">
        <v>2005</v>
      </c>
      <c r="G1246" s="380" t="s">
        <v>1267</v>
      </c>
      <c r="H1246" s="380" t="s">
        <v>771</v>
      </c>
      <c r="I1246" s="380" t="s">
        <v>812</v>
      </c>
      <c r="J1246" s="380" t="s">
        <v>773</v>
      </c>
      <c r="K1246" s="381">
        <v>0.0</v>
      </c>
      <c r="L1246" s="382">
        <v>1.0</v>
      </c>
    </row>
    <row r="1247">
      <c r="A1247" s="380" t="s">
        <v>2092</v>
      </c>
      <c r="B1247" s="380" t="str">
        <f>IFERROR(__xludf.DUMMYFUNCTION("""COMPUTED_VALUE"""),"Señaletica Parq Aliados IndependintesGoo")</f>
        <v>Señaletica Parq Aliados IndependintesGoo</v>
      </c>
      <c r="C1247" s="380" t="str">
        <f>IFERROR(__xludf.DUMMYFUNCTION("""COMPUTED_VALUE"""),"10001064")</f>
        <v>10001064</v>
      </c>
      <c r="D1247" s="380" t="s">
        <v>767</v>
      </c>
      <c r="E1247" s="380" t="s">
        <v>768</v>
      </c>
      <c r="F1247" s="380" t="s">
        <v>2005</v>
      </c>
      <c r="G1247" s="380" t="s">
        <v>1267</v>
      </c>
      <c r="H1247" s="380" t="s">
        <v>771</v>
      </c>
      <c r="I1247" s="380" t="s">
        <v>812</v>
      </c>
      <c r="J1247" s="380" t="s">
        <v>773</v>
      </c>
      <c r="K1247" s="381">
        <v>0.0</v>
      </c>
      <c r="L1247" s="382">
        <v>1.0</v>
      </c>
    </row>
    <row r="1248">
      <c r="A1248" s="380" t="s">
        <v>2093</v>
      </c>
      <c r="B1248" s="380" t="str">
        <f>IFERROR(__xludf.DUMMYFUNCTION("""COMPUTED_VALUE"""),"Señaletica Sabanas Limpia Sabanas Sucia")</f>
        <v>Señaletica Sabanas Limpia Sabanas Sucia</v>
      </c>
      <c r="C1248" s="380" t="str">
        <f>IFERROR(__xludf.DUMMYFUNCTION("""COMPUTED_VALUE"""),"10001065")</f>
        <v>10001065</v>
      </c>
      <c r="D1248" s="380" t="s">
        <v>767</v>
      </c>
      <c r="E1248" s="380" t="s">
        <v>768</v>
      </c>
      <c r="F1248" s="380" t="s">
        <v>2005</v>
      </c>
      <c r="G1248" s="380" t="s">
        <v>1267</v>
      </c>
      <c r="H1248" s="380" t="s">
        <v>771</v>
      </c>
      <c r="I1248" s="380" t="s">
        <v>812</v>
      </c>
      <c r="J1248" s="380" t="s">
        <v>773</v>
      </c>
      <c r="K1248" s="381">
        <v>0.0</v>
      </c>
      <c r="L1248" s="382">
        <v>1.0</v>
      </c>
    </row>
    <row r="1249">
      <c r="A1249" s="380" t="s">
        <v>2094</v>
      </c>
      <c r="B1249" s="380" t="str">
        <f>IFERROR(__xludf.DUMMYFUNCTION("""COMPUTED_VALUE"""),"Señalética Res Peligrosos Terminal40x30")</f>
        <v>Señalética Res Peligrosos Terminal40x30</v>
      </c>
      <c r="C1249" s="380" t="str">
        <f>IFERROR(__xludf.DUMMYFUNCTION("""COMPUTED_VALUE"""),"10001066")</f>
        <v>10001066</v>
      </c>
      <c r="D1249" s="380" t="s">
        <v>767</v>
      </c>
      <c r="E1249" s="380" t="s">
        <v>768</v>
      </c>
      <c r="F1249" s="380" t="s">
        <v>2005</v>
      </c>
      <c r="G1249" s="380" t="s">
        <v>1267</v>
      </c>
      <c r="H1249" s="380" t="s">
        <v>771</v>
      </c>
      <c r="I1249" s="380" t="s">
        <v>812</v>
      </c>
      <c r="J1249" s="380" t="s">
        <v>773</v>
      </c>
      <c r="K1249" s="381">
        <v>0.0</v>
      </c>
      <c r="L1249" s="382">
        <v>1.0</v>
      </c>
    </row>
    <row r="1250">
      <c r="A1250" s="380" t="s">
        <v>2095</v>
      </c>
      <c r="B1250" s="380" t="str">
        <f>IFERROR(__xludf.DUMMYFUNCTION("""COMPUTED_VALUE"""),"Señalética Numeros De Emergencia 40x25cm")</f>
        <v>Señalética Numeros De Emergencia 40x25cm</v>
      </c>
      <c r="C1250" s="380" t="str">
        <f>IFERROR(__xludf.DUMMYFUNCTION("""COMPUTED_VALUE"""),"10001067")</f>
        <v>10001067</v>
      </c>
      <c r="D1250" s="380" t="s">
        <v>767</v>
      </c>
      <c r="E1250" s="380" t="s">
        <v>768</v>
      </c>
      <c r="F1250" s="380" t="s">
        <v>2005</v>
      </c>
      <c r="G1250" s="380" t="s">
        <v>1267</v>
      </c>
      <c r="H1250" s="380" t="s">
        <v>771</v>
      </c>
      <c r="I1250" s="380" t="s">
        <v>812</v>
      </c>
      <c r="J1250" s="380" t="s">
        <v>773</v>
      </c>
      <c r="K1250" s="381">
        <v>0.0</v>
      </c>
      <c r="L1250" s="382">
        <v>1.0</v>
      </c>
    </row>
    <row r="1251">
      <c r="A1251" s="380" t="s">
        <v>2096</v>
      </c>
      <c r="B1251" s="380" t="str">
        <f>IFERROR(__xludf.DUMMYFUNCTION("""COMPUTED_VALUE"""),"Señalética Aceite Motor 40x20cm")</f>
        <v>Señalética Aceite Motor 40x20cm</v>
      </c>
      <c r="C1251" s="380" t="str">
        <f>IFERROR(__xludf.DUMMYFUNCTION("""COMPUTED_VALUE"""),"10001068")</f>
        <v>10001068</v>
      </c>
      <c r="D1251" s="380" t="s">
        <v>767</v>
      </c>
      <c r="E1251" s="380" t="s">
        <v>768</v>
      </c>
      <c r="F1251" s="380" t="s">
        <v>2005</v>
      </c>
      <c r="G1251" s="380" t="s">
        <v>1267</v>
      </c>
      <c r="H1251" s="380" t="s">
        <v>771</v>
      </c>
      <c r="I1251" s="380" t="s">
        <v>812</v>
      </c>
      <c r="J1251" s="380" t="s">
        <v>773</v>
      </c>
      <c r="K1251" s="381">
        <v>0.0</v>
      </c>
      <c r="L1251" s="382">
        <v>1.0</v>
      </c>
    </row>
    <row r="1252">
      <c r="A1252" s="380" t="s">
        <v>2097</v>
      </c>
      <c r="B1252" s="380" t="str">
        <f>IFERROR(__xludf.DUMMYFUNCTION("""COMPUTED_VALUE"""),"Señalética Aceite Caja 40x20cm")</f>
        <v>Señalética Aceite Caja 40x20cm</v>
      </c>
      <c r="C1252" s="380" t="str">
        <f>IFERROR(__xludf.DUMMYFUNCTION("""COMPUTED_VALUE"""),"10001069")</f>
        <v>10001069</v>
      </c>
      <c r="D1252" s="380" t="s">
        <v>767</v>
      </c>
      <c r="E1252" s="380" t="s">
        <v>768</v>
      </c>
      <c r="F1252" s="380" t="s">
        <v>2005</v>
      </c>
      <c r="G1252" s="380" t="s">
        <v>1267</v>
      </c>
      <c r="H1252" s="380" t="s">
        <v>771</v>
      </c>
      <c r="I1252" s="380" t="s">
        <v>812</v>
      </c>
      <c r="J1252" s="380" t="s">
        <v>773</v>
      </c>
      <c r="K1252" s="381">
        <v>0.0</v>
      </c>
      <c r="L1252" s="382">
        <v>1.0</v>
      </c>
    </row>
    <row r="1253">
      <c r="A1253" s="380" t="s">
        <v>2098</v>
      </c>
      <c r="B1253" s="380" t="str">
        <f>IFERROR(__xludf.DUMMYFUNCTION("""COMPUTED_VALUE"""),"Señalética Aceite Diferencial 40x20cm")</f>
        <v>Señalética Aceite Diferencial 40x20cm</v>
      </c>
      <c r="C1253" s="380" t="str">
        <f>IFERROR(__xludf.DUMMYFUNCTION("""COMPUTED_VALUE"""),"10001070")</f>
        <v>10001070</v>
      </c>
      <c r="D1253" s="380" t="s">
        <v>767</v>
      </c>
      <c r="E1253" s="380" t="s">
        <v>768</v>
      </c>
      <c r="F1253" s="380" t="s">
        <v>2005</v>
      </c>
      <c r="G1253" s="380" t="s">
        <v>1267</v>
      </c>
      <c r="H1253" s="380" t="s">
        <v>771</v>
      </c>
      <c r="I1253" s="380" t="s">
        <v>812</v>
      </c>
      <c r="J1253" s="380" t="s">
        <v>773</v>
      </c>
      <c r="K1253" s="381">
        <v>0.0</v>
      </c>
      <c r="L1253" s="382">
        <v>1.0</v>
      </c>
    </row>
    <row r="1254">
      <c r="A1254" s="380" t="s">
        <v>2099</v>
      </c>
      <c r="B1254" s="380" t="str">
        <f>IFERROR(__xludf.DUMMYFUNCTION("""COMPUTED_VALUE"""),"Señalética Aceite Hidraulico 40x20cm")</f>
        <v>Señalética Aceite Hidraulico 40x20cm</v>
      </c>
      <c r="C1254" s="380" t="str">
        <f>IFERROR(__xludf.DUMMYFUNCTION("""COMPUTED_VALUE"""),"10001071")</f>
        <v>10001071</v>
      </c>
      <c r="D1254" s="380" t="s">
        <v>767</v>
      </c>
      <c r="E1254" s="380" t="s">
        <v>768</v>
      </c>
      <c r="F1254" s="380" t="s">
        <v>2005</v>
      </c>
      <c r="G1254" s="380" t="s">
        <v>1267</v>
      </c>
      <c r="H1254" s="380" t="s">
        <v>771</v>
      </c>
      <c r="I1254" s="380" t="s">
        <v>812</v>
      </c>
      <c r="J1254" s="380" t="s">
        <v>773</v>
      </c>
      <c r="K1254" s="381">
        <v>0.0</v>
      </c>
      <c r="L1254" s="382">
        <v>1.0</v>
      </c>
    </row>
    <row r="1255">
      <c r="A1255" s="380" t="s">
        <v>2100</v>
      </c>
      <c r="B1255" s="380" t="str">
        <f>IFERROR(__xludf.DUMMYFUNCTION("""COMPUTED_VALUE"""),"Señalética Grasa Multiproposito 40x20cm")</f>
        <v>Señalética Grasa Multiproposito 40x20cm</v>
      </c>
      <c r="C1255" s="380" t="str">
        <f>IFERROR(__xludf.DUMMYFUNCTION("""COMPUTED_VALUE"""),"10001072")</f>
        <v>10001072</v>
      </c>
      <c r="D1255" s="380" t="s">
        <v>767</v>
      </c>
      <c r="E1255" s="380" t="s">
        <v>768</v>
      </c>
      <c r="F1255" s="380" t="s">
        <v>2005</v>
      </c>
      <c r="G1255" s="380" t="s">
        <v>1267</v>
      </c>
      <c r="H1255" s="380" t="s">
        <v>771</v>
      </c>
      <c r="I1255" s="380" t="s">
        <v>812</v>
      </c>
      <c r="J1255" s="380" t="s">
        <v>773</v>
      </c>
      <c r="K1255" s="381">
        <v>0.0</v>
      </c>
      <c r="L1255" s="382">
        <v>1.0</v>
      </c>
    </row>
    <row r="1256">
      <c r="A1256" s="380" t="s">
        <v>2101</v>
      </c>
      <c r="B1256" s="380" t="str">
        <f>IFERROR(__xludf.DUMMYFUNCTION("""COMPUTED_VALUE"""),"Señalética Hablador Aten Pref Vent 14*20")</f>
        <v>Señalética Hablador Aten Pref Vent 14*20</v>
      </c>
      <c r="C1256" s="380" t="str">
        <f>IFERROR(__xludf.DUMMYFUNCTION("""COMPUTED_VALUE"""),"10001073")</f>
        <v>10001073</v>
      </c>
      <c r="D1256" s="380" t="s">
        <v>767</v>
      </c>
      <c r="E1256" s="380" t="s">
        <v>768</v>
      </c>
      <c r="F1256" s="380" t="s">
        <v>2005</v>
      </c>
      <c r="G1256" s="380" t="s">
        <v>1267</v>
      </c>
      <c r="H1256" s="380" t="s">
        <v>771</v>
      </c>
      <c r="I1256" s="380" t="s">
        <v>812</v>
      </c>
      <c r="J1256" s="380" t="s">
        <v>773</v>
      </c>
      <c r="K1256" s="381">
        <v>0.0</v>
      </c>
      <c r="L1256" s="382">
        <v>1.0</v>
      </c>
    </row>
    <row r="1257">
      <c r="A1257" s="380" t="s">
        <v>2102</v>
      </c>
      <c r="B1257" s="380" t="str">
        <f>IFERROR(__xludf.DUMMYFUNCTION("""COMPUTED_VALUE"""),"Señaletica Plano De Evacuación")</f>
        <v>Señaletica Plano De Evacuación</v>
      </c>
      <c r="C1257" s="380" t="str">
        <f>IFERROR(__xludf.DUMMYFUNCTION("""COMPUTED_VALUE"""),"10001074")</f>
        <v>10001074</v>
      </c>
      <c r="D1257" s="380" t="s">
        <v>767</v>
      </c>
      <c r="E1257" s="380" t="s">
        <v>768</v>
      </c>
      <c r="F1257" s="380" t="s">
        <v>2005</v>
      </c>
      <c r="G1257" s="380" t="s">
        <v>1267</v>
      </c>
      <c r="H1257" s="380" t="s">
        <v>771</v>
      </c>
      <c r="I1257" s="380" t="s">
        <v>812</v>
      </c>
      <c r="J1257" s="380" t="s">
        <v>773</v>
      </c>
      <c r="K1257" s="381">
        <v>0.0</v>
      </c>
      <c r="L1257" s="382">
        <v>1.0</v>
      </c>
    </row>
    <row r="1258">
      <c r="A1258" s="380" t="s">
        <v>2103</v>
      </c>
      <c r="B1258" s="380" t="str">
        <f>IFERROR(__xludf.DUMMYFUNCTION("""COMPUTED_VALUE"""),"Ft-Rh-020 Entrega Eq Protección Personal")</f>
        <v>Ft-Rh-020 Entrega Eq Protección Personal</v>
      </c>
      <c r="C1258" s="380" t="str">
        <f>IFERROR(__xludf.DUMMYFUNCTION("""COMPUTED_VALUE"""),"10001075")</f>
        <v>10001075</v>
      </c>
      <c r="D1258" s="380" t="s">
        <v>767</v>
      </c>
      <c r="E1258" s="380" t="s">
        <v>768</v>
      </c>
      <c r="F1258" s="380" t="s">
        <v>2005</v>
      </c>
      <c r="G1258" s="380" t="s">
        <v>1267</v>
      </c>
      <c r="H1258" s="380" t="s">
        <v>771</v>
      </c>
      <c r="I1258" s="380" t="s">
        <v>812</v>
      </c>
      <c r="J1258" s="380" t="s">
        <v>773</v>
      </c>
      <c r="K1258" s="381">
        <v>0.0</v>
      </c>
      <c r="L1258" s="382">
        <v>1.0</v>
      </c>
    </row>
    <row r="1259">
      <c r="A1259" s="380" t="s">
        <v>2104</v>
      </c>
      <c r="B1259" s="380" t="str">
        <f>IFERROR(__xludf.DUMMYFUNCTION("""COMPUTED_VALUE"""),"Formato Protocolo Bios Con Firma")</f>
        <v>Formato Protocolo Bios Con Firma</v>
      </c>
      <c r="C1259" s="380" t="str">
        <f>IFERROR(__xludf.DUMMYFUNCTION("""COMPUTED_VALUE"""),"10001076")</f>
        <v>10001076</v>
      </c>
      <c r="D1259" s="380" t="s">
        <v>767</v>
      </c>
      <c r="E1259" s="380" t="s">
        <v>768</v>
      </c>
      <c r="F1259" s="380" t="s">
        <v>2005</v>
      </c>
      <c r="G1259" s="380" t="s">
        <v>1267</v>
      </c>
      <c r="H1259" s="380" t="s">
        <v>771</v>
      </c>
      <c r="I1259" s="380" t="s">
        <v>812</v>
      </c>
      <c r="J1259" s="380" t="s">
        <v>773</v>
      </c>
      <c r="K1259" s="381">
        <v>0.0</v>
      </c>
      <c r="L1259" s="382">
        <v>1.0</v>
      </c>
    </row>
    <row r="1260">
      <c r="A1260" s="380" t="s">
        <v>2105</v>
      </c>
      <c r="B1260" s="380" t="str">
        <f>IFERROR(__xludf.DUMMYFUNCTION("""COMPUTED_VALUE"""),"Formato Ft-Rh-173 Resp Empleados Frente")</f>
        <v>Formato Ft-Rh-173 Resp Empleados Frente</v>
      </c>
      <c r="C1260" s="380" t="str">
        <f>IFERROR(__xludf.DUMMYFUNCTION("""COMPUTED_VALUE"""),"10001077")</f>
        <v>10001077</v>
      </c>
      <c r="D1260" s="380" t="s">
        <v>767</v>
      </c>
      <c r="E1260" s="380" t="s">
        <v>768</v>
      </c>
      <c r="F1260" s="380" t="s">
        <v>2005</v>
      </c>
      <c r="G1260" s="380" t="s">
        <v>1267</v>
      </c>
      <c r="H1260" s="380" t="s">
        <v>771</v>
      </c>
      <c r="I1260" s="380" t="s">
        <v>812</v>
      </c>
      <c r="J1260" s="380" t="s">
        <v>773</v>
      </c>
      <c r="K1260" s="381">
        <v>0.0</v>
      </c>
      <c r="L1260" s="382">
        <v>1.0</v>
      </c>
    </row>
    <row r="1261">
      <c r="A1261" s="380" t="s">
        <v>2106</v>
      </c>
      <c r="B1261" s="380" t="str">
        <f>IFERROR(__xludf.DUMMYFUNCTION("""COMPUTED_VALUE"""),"Formato FtRh026 Entre Pegl Est Pausas Ac")</f>
        <v>Formato FtRh026 Entre Pegl Est Pausas Ac</v>
      </c>
      <c r="C1261" s="380" t="str">
        <f>IFERROR(__xludf.DUMMYFUNCTION("""COMPUTED_VALUE"""),"10001078")</f>
        <v>10001078</v>
      </c>
      <c r="D1261" s="380" t="s">
        <v>767</v>
      </c>
      <c r="E1261" s="380" t="s">
        <v>768</v>
      </c>
      <c r="F1261" s="380" t="s">
        <v>2005</v>
      </c>
      <c r="G1261" s="380" t="s">
        <v>1267</v>
      </c>
      <c r="H1261" s="380" t="s">
        <v>771</v>
      </c>
      <c r="I1261" s="380" t="s">
        <v>812</v>
      </c>
      <c r="J1261" s="380" t="s">
        <v>773</v>
      </c>
      <c r="K1261" s="381">
        <v>0.0</v>
      </c>
      <c r="L1261" s="382">
        <v>1.0</v>
      </c>
    </row>
    <row r="1262">
      <c r="A1262" s="380" t="s">
        <v>2107</v>
      </c>
      <c r="B1262" s="380" t="str">
        <f>IFERROR(__xludf.DUMMYFUNCTION("""COMPUTED_VALUE"""),"Formato Protocolo BioseguridaD Sin Firma")</f>
        <v>Formato Protocolo BioseguridaD Sin Firma</v>
      </c>
      <c r="C1262" s="380" t="str">
        <f>IFERROR(__xludf.DUMMYFUNCTION("""COMPUTED_VALUE"""),"10001079")</f>
        <v>10001079</v>
      </c>
      <c r="D1262" s="380" t="s">
        <v>767</v>
      </c>
      <c r="E1262" s="380" t="s">
        <v>768</v>
      </c>
      <c r="F1262" s="380" t="s">
        <v>2005</v>
      </c>
      <c r="G1262" s="380" t="s">
        <v>1267</v>
      </c>
      <c r="H1262" s="380" t="s">
        <v>771</v>
      </c>
      <c r="I1262" s="380" t="s">
        <v>812</v>
      </c>
      <c r="J1262" s="380" t="s">
        <v>773</v>
      </c>
      <c r="K1262" s="381">
        <v>0.0</v>
      </c>
      <c r="L1262" s="382">
        <v>1.0</v>
      </c>
    </row>
    <row r="1263">
      <c r="A1263" s="380" t="s">
        <v>2108</v>
      </c>
      <c r="B1263" s="380" t="str">
        <f>IFERROR(__xludf.DUMMYFUNCTION("""COMPUTED_VALUE"""),"Formato Ft-Rh-10 Registro De Asistencia")</f>
        <v>Formato Ft-Rh-10 Registro De Asistencia</v>
      </c>
      <c r="C1263" s="380" t="str">
        <f>IFERROR(__xludf.DUMMYFUNCTION("""COMPUTED_VALUE"""),"10001080")</f>
        <v>10001080</v>
      </c>
      <c r="D1263" s="380" t="s">
        <v>767</v>
      </c>
      <c r="E1263" s="380" t="s">
        <v>768</v>
      </c>
      <c r="F1263" s="380" t="s">
        <v>2005</v>
      </c>
      <c r="G1263" s="380" t="s">
        <v>1267</v>
      </c>
      <c r="H1263" s="380" t="s">
        <v>771</v>
      </c>
      <c r="I1263" s="380" t="s">
        <v>812</v>
      </c>
      <c r="J1263" s="380" t="s">
        <v>773</v>
      </c>
      <c r="K1263" s="381">
        <v>0.0</v>
      </c>
      <c r="L1263" s="382">
        <v>1.0</v>
      </c>
    </row>
    <row r="1264">
      <c r="A1264" s="380" t="s">
        <v>2109</v>
      </c>
      <c r="B1264" s="380" t="str">
        <f>IFERROR(__xludf.DUMMYFUNCTION("""COMPUTED_VALUE"""),"Stiker Punto Ecologico")</f>
        <v>Stiker Punto Ecologico</v>
      </c>
      <c r="C1264" s="380" t="str">
        <f>IFERROR(__xludf.DUMMYFUNCTION("""COMPUTED_VALUE"""),"10001081")</f>
        <v>10001081</v>
      </c>
      <c r="D1264" s="380" t="s">
        <v>767</v>
      </c>
      <c r="E1264" s="380" t="s">
        <v>768</v>
      </c>
      <c r="F1264" s="380" t="s">
        <v>2005</v>
      </c>
      <c r="G1264" s="380" t="s">
        <v>1267</v>
      </c>
      <c r="H1264" s="380" t="s">
        <v>771</v>
      </c>
      <c r="I1264" s="380" t="s">
        <v>812</v>
      </c>
      <c r="J1264" s="380" t="s">
        <v>773</v>
      </c>
      <c r="K1264" s="381">
        <v>0.0</v>
      </c>
      <c r="L1264" s="382">
        <v>1.0</v>
      </c>
    </row>
    <row r="1265">
      <c r="A1265" s="380" t="s">
        <v>2110</v>
      </c>
      <c r="B1265" s="380" t="str">
        <f>IFERROR(__xludf.DUMMYFUNCTION("""COMPUTED_VALUE"""),"Señaletica Vel Max 5km/H 30*20 Reflec")</f>
        <v>Señaletica Vel Max 5km/H 30*20 Reflec</v>
      </c>
      <c r="C1265" s="380" t="str">
        <f>IFERROR(__xludf.DUMMYFUNCTION("""COMPUTED_VALUE"""),"10001082")</f>
        <v>10001082</v>
      </c>
      <c r="D1265" s="380" t="s">
        <v>767</v>
      </c>
      <c r="E1265" s="380" t="s">
        <v>768</v>
      </c>
      <c r="F1265" s="380" t="s">
        <v>2005</v>
      </c>
      <c r="G1265" s="380" t="s">
        <v>1267</v>
      </c>
      <c r="H1265" s="380" t="s">
        <v>771</v>
      </c>
      <c r="I1265" s="380" t="s">
        <v>812</v>
      </c>
      <c r="J1265" s="380" t="s">
        <v>773</v>
      </c>
      <c r="K1265" s="381">
        <v>0.0</v>
      </c>
      <c r="L1265" s="382">
        <v>1.0</v>
      </c>
    </row>
    <row r="1266">
      <c r="A1266" s="380" t="s">
        <v>2111</v>
      </c>
      <c r="B1266" s="380" t="str">
        <f>IFERROR(__xludf.DUMMYFUNCTION("""COMPUTED_VALUE"""),"Señaletica Extintor H2o 23 X 33")</f>
        <v>Señaletica Extintor H2o 23 X 33</v>
      </c>
      <c r="C1266" s="380" t="str">
        <f>IFERROR(__xludf.DUMMYFUNCTION("""COMPUTED_VALUE"""),"10001083")</f>
        <v>10001083</v>
      </c>
      <c r="D1266" s="380" t="s">
        <v>767</v>
      </c>
      <c r="E1266" s="380" t="s">
        <v>768</v>
      </c>
      <c r="F1266" s="380" t="s">
        <v>2005</v>
      </c>
      <c r="G1266" s="380" t="s">
        <v>1267</v>
      </c>
      <c r="H1266" s="380" t="s">
        <v>771</v>
      </c>
      <c r="I1266" s="380" t="s">
        <v>812</v>
      </c>
      <c r="J1266" s="380" t="s">
        <v>773</v>
      </c>
      <c r="K1266" s="381">
        <v>9520.0</v>
      </c>
      <c r="L1266" s="382">
        <v>1.0</v>
      </c>
    </row>
    <row r="1267">
      <c r="A1267" s="380" t="s">
        <v>2112</v>
      </c>
      <c r="B1267" s="380" t="str">
        <f>IFERROR(__xludf.DUMMYFUNCTION("""COMPUTED_VALUE"""),"Señaletica Alarma De Emergencias 23 X 33")</f>
        <v>Señaletica Alarma De Emergencias 23 X 33</v>
      </c>
      <c r="C1267" s="380" t="str">
        <f>IFERROR(__xludf.DUMMYFUNCTION("""COMPUTED_VALUE"""),"10001084")</f>
        <v>10001084</v>
      </c>
      <c r="D1267" s="380" t="s">
        <v>767</v>
      </c>
      <c r="E1267" s="380" t="s">
        <v>768</v>
      </c>
      <c r="F1267" s="380" t="s">
        <v>2005</v>
      </c>
      <c r="G1267" s="380" t="s">
        <v>1267</v>
      </c>
      <c r="H1267" s="380" t="s">
        <v>771</v>
      </c>
      <c r="I1267" s="380" t="s">
        <v>812</v>
      </c>
      <c r="J1267" s="380" t="s">
        <v>773</v>
      </c>
      <c r="K1267" s="381">
        <v>0.0</v>
      </c>
      <c r="L1267" s="382">
        <v>1.0</v>
      </c>
    </row>
    <row r="1268">
      <c r="A1268" s="380" t="s">
        <v>2113</v>
      </c>
      <c r="B1268" s="380" t="str">
        <f>IFERROR(__xludf.DUMMYFUNCTION("""COMPUTED_VALUE"""),"Señaletica Sala De Lactancia - 14*20")</f>
        <v>Señaletica Sala De Lactancia - 14*20</v>
      </c>
      <c r="C1268" s="380" t="str">
        <f>IFERROR(__xludf.DUMMYFUNCTION("""COMPUTED_VALUE"""),"10001085")</f>
        <v>10001085</v>
      </c>
      <c r="D1268" s="380" t="s">
        <v>767</v>
      </c>
      <c r="E1268" s="380" t="s">
        <v>768</v>
      </c>
      <c r="F1268" s="380" t="s">
        <v>2005</v>
      </c>
      <c r="G1268" s="380" t="s">
        <v>1267</v>
      </c>
      <c r="H1268" s="380" t="s">
        <v>771</v>
      </c>
      <c r="I1268" s="380" t="s">
        <v>812</v>
      </c>
      <c r="J1268" s="380" t="s">
        <v>773</v>
      </c>
      <c r="K1268" s="381">
        <v>0.0</v>
      </c>
      <c r="L1268" s="382">
        <v>1.0</v>
      </c>
    </row>
    <row r="1269">
      <c r="A1269" s="380" t="s">
        <v>2114</v>
      </c>
      <c r="B1269" s="380" t="str">
        <f>IFERROR(__xludf.DUMMYFUNCTION("""COMPUTED_VALUE"""),"Señaletica Arrojar Basura Caneca23*33")</f>
        <v>Señaletica Arrojar Basura Caneca23*33</v>
      </c>
      <c r="C1269" s="380" t="str">
        <f>IFERROR(__xludf.DUMMYFUNCTION("""COMPUTED_VALUE"""),"10001086")</f>
        <v>10001086</v>
      </c>
      <c r="D1269" s="380" t="s">
        <v>767</v>
      </c>
      <c r="E1269" s="380" t="s">
        <v>768</v>
      </c>
      <c r="F1269" s="380" t="s">
        <v>2005</v>
      </c>
      <c r="G1269" s="380" t="s">
        <v>1267</v>
      </c>
      <c r="H1269" s="380" t="s">
        <v>771</v>
      </c>
      <c r="I1269" s="380" t="s">
        <v>812</v>
      </c>
      <c r="J1269" s="380" t="s">
        <v>773</v>
      </c>
      <c r="K1269" s="381">
        <v>0.0</v>
      </c>
      <c r="L1269" s="382">
        <v>1.0</v>
      </c>
    </row>
    <row r="1270">
      <c r="A1270" s="380" t="s">
        <v>2115</v>
      </c>
      <c r="B1270" s="380" t="str">
        <f>IFERROR(__xludf.DUMMYFUNCTION("""COMPUTED_VALUE"""),"Señaletica Pautas Convive Ruta NaL 23*33")</f>
        <v>Señaletica Pautas Convive Ruta NaL 23*33</v>
      </c>
      <c r="C1270" s="380" t="str">
        <f>IFERROR(__xludf.DUMMYFUNCTION("""COMPUTED_VALUE"""),"10001087")</f>
        <v>10001087</v>
      </c>
      <c r="D1270" s="380" t="s">
        <v>767</v>
      </c>
      <c r="E1270" s="380" t="s">
        <v>768</v>
      </c>
      <c r="F1270" s="380" t="s">
        <v>2005</v>
      </c>
      <c r="G1270" s="380" t="s">
        <v>1267</v>
      </c>
      <c r="H1270" s="380" t="s">
        <v>771</v>
      </c>
      <c r="I1270" s="380" t="s">
        <v>812</v>
      </c>
      <c r="J1270" s="380" t="s">
        <v>773</v>
      </c>
      <c r="K1270" s="381">
        <v>0.0</v>
      </c>
      <c r="L1270" s="382">
        <v>1.0</v>
      </c>
    </row>
    <row r="1271">
      <c r="A1271" s="380" t="s">
        <v>2116</v>
      </c>
      <c r="B1271" s="380" t="str">
        <f>IFERROR(__xludf.DUMMYFUNCTION("""COMPUTED_VALUE"""),"Señaletica Salida Emergencias Horizont")</f>
        <v>Señaletica Salida Emergencias Horizont</v>
      </c>
      <c r="C1271" s="380" t="str">
        <f>IFERROR(__xludf.DUMMYFUNCTION("""COMPUTED_VALUE"""),"10001088")</f>
        <v>10001088</v>
      </c>
      <c r="D1271" s="380" t="s">
        <v>767</v>
      </c>
      <c r="E1271" s="380" t="s">
        <v>768</v>
      </c>
      <c r="F1271" s="380" t="s">
        <v>2005</v>
      </c>
      <c r="G1271" s="380" t="s">
        <v>1267</v>
      </c>
      <c r="H1271" s="380" t="s">
        <v>771</v>
      </c>
      <c r="I1271" s="380" t="s">
        <v>812</v>
      </c>
      <c r="J1271" s="380" t="s">
        <v>773</v>
      </c>
      <c r="K1271" s="381">
        <v>0.0</v>
      </c>
      <c r="L1271" s="382">
        <v>1.0</v>
      </c>
    </row>
    <row r="1272">
      <c r="A1272" s="380" t="s">
        <v>2117</v>
      </c>
      <c r="B1272" s="380" t="str">
        <f>IFERROR(__xludf.DUMMYFUNCTION("""COMPUTED_VALUE"""),"Señaletica Precaución Mont En Mov 40*40")</f>
        <v>Señaletica Precaución Mont En Mov 40*40</v>
      </c>
      <c r="C1272" s="380" t="str">
        <f>IFERROR(__xludf.DUMMYFUNCTION("""COMPUTED_VALUE"""),"10001089")</f>
        <v>10001089</v>
      </c>
      <c r="D1272" s="380" t="s">
        <v>767</v>
      </c>
      <c r="E1272" s="380" t="s">
        <v>768</v>
      </c>
      <c r="F1272" s="380" t="s">
        <v>2005</v>
      </c>
      <c r="G1272" s="380" t="s">
        <v>1267</v>
      </c>
      <c r="H1272" s="380" t="s">
        <v>771</v>
      </c>
      <c r="I1272" s="380" t="s">
        <v>812</v>
      </c>
      <c r="J1272" s="380" t="s">
        <v>773</v>
      </c>
      <c r="K1272" s="381">
        <v>0.0</v>
      </c>
      <c r="L1272" s="382">
        <v>1.0</v>
      </c>
    </row>
    <row r="1273">
      <c r="A1273" s="380" t="s">
        <v>2118</v>
      </c>
      <c r="B1273" s="380" t="str">
        <f>IFERROR(__xludf.DUMMYFUNCTION("""COMPUTED_VALUE"""),"Señaletica Área Restringida 23*33")</f>
        <v>Señaletica Área Restringida 23*33</v>
      </c>
      <c r="C1273" s="380" t="str">
        <f>IFERROR(__xludf.DUMMYFUNCTION("""COMPUTED_VALUE"""),"10001090")</f>
        <v>10001090</v>
      </c>
      <c r="D1273" s="380" t="s">
        <v>767</v>
      </c>
      <c r="E1273" s="380" t="s">
        <v>768</v>
      </c>
      <c r="F1273" s="380" t="s">
        <v>2005</v>
      </c>
      <c r="G1273" s="380" t="s">
        <v>1267</v>
      </c>
      <c r="H1273" s="380" t="s">
        <v>771</v>
      </c>
      <c r="I1273" s="380" t="s">
        <v>812</v>
      </c>
      <c r="J1273" s="380" t="s">
        <v>773</v>
      </c>
      <c r="K1273" s="381">
        <v>0.0</v>
      </c>
      <c r="L1273" s="382">
        <v>1.0</v>
      </c>
    </row>
    <row r="1274">
      <c r="A1274" s="380" t="s">
        <v>2119</v>
      </c>
      <c r="B1274" s="380" t="str">
        <f>IFERROR(__xludf.DUMMYFUNCTION("""COMPUTED_VALUE"""),"Señaletica Estibas Terminal 23*33")</f>
        <v>Señaletica Estibas Terminal 23*33</v>
      </c>
      <c r="C1274" s="380" t="str">
        <f>IFERROR(__xludf.DUMMYFUNCTION("""COMPUTED_VALUE"""),"10001091")</f>
        <v>10001091</v>
      </c>
      <c r="D1274" s="380" t="s">
        <v>767</v>
      </c>
      <c r="E1274" s="380" t="s">
        <v>768</v>
      </c>
      <c r="F1274" s="380" t="s">
        <v>2005</v>
      </c>
      <c r="G1274" s="380" t="s">
        <v>1267</v>
      </c>
      <c r="H1274" s="380" t="s">
        <v>771</v>
      </c>
      <c r="I1274" s="380" t="s">
        <v>812</v>
      </c>
      <c r="J1274" s="380" t="s">
        <v>773</v>
      </c>
      <c r="K1274" s="381">
        <v>0.0</v>
      </c>
      <c r="L1274" s="382">
        <v>1.0</v>
      </c>
    </row>
    <row r="1275">
      <c r="A1275" s="380" t="s">
        <v>2120</v>
      </c>
      <c r="B1275" s="380" t="str">
        <f>IFERROR(__xludf.DUMMYFUNCTION("""COMPUTED_VALUE"""),"Señaletica Zona Peatonal 23*33")</f>
        <v>Señaletica Zona Peatonal 23*33</v>
      </c>
      <c r="C1275" s="380" t="str">
        <f>IFERROR(__xludf.DUMMYFUNCTION("""COMPUTED_VALUE"""),"10001092")</f>
        <v>10001092</v>
      </c>
      <c r="D1275" s="380" t="s">
        <v>767</v>
      </c>
      <c r="E1275" s="380" t="s">
        <v>768</v>
      </c>
      <c r="F1275" s="380" t="s">
        <v>2005</v>
      </c>
      <c r="G1275" s="380" t="s">
        <v>1267</v>
      </c>
      <c r="H1275" s="380" t="s">
        <v>771</v>
      </c>
      <c r="I1275" s="380" t="s">
        <v>812</v>
      </c>
      <c r="J1275" s="380" t="s">
        <v>773</v>
      </c>
      <c r="K1275" s="381">
        <v>0.0</v>
      </c>
      <c r="L1275" s="382">
        <v>1.0</v>
      </c>
    </row>
    <row r="1276">
      <c r="A1276" s="380" t="s">
        <v>2121</v>
      </c>
      <c r="B1276" s="380" t="str">
        <f>IFERROR(__xludf.DUMMYFUNCTION("""COMPUTED_VALUE"""),"Señaletica Zona De Parqueo 40*30")</f>
        <v>Señaletica Zona De Parqueo 40*30</v>
      </c>
      <c r="C1276" s="380" t="str">
        <f>IFERROR(__xludf.DUMMYFUNCTION("""COMPUTED_VALUE"""),"10001093")</f>
        <v>10001093</v>
      </c>
      <c r="D1276" s="380" t="s">
        <v>767</v>
      </c>
      <c r="E1276" s="380" t="s">
        <v>768</v>
      </c>
      <c r="F1276" s="380" t="s">
        <v>2005</v>
      </c>
      <c r="G1276" s="380" t="s">
        <v>1267</v>
      </c>
      <c r="H1276" s="380" t="s">
        <v>771</v>
      </c>
      <c r="I1276" s="380" t="s">
        <v>812</v>
      </c>
      <c r="J1276" s="380" t="s">
        <v>773</v>
      </c>
      <c r="K1276" s="381">
        <v>0.0</v>
      </c>
      <c r="L1276" s="382">
        <v>1.0</v>
      </c>
    </row>
    <row r="1277">
      <c r="A1277" s="380" t="s">
        <v>2122</v>
      </c>
      <c r="B1277" s="380" t="str">
        <f>IFERROR(__xludf.DUMMYFUNCTION("""COMPUTED_VALUE"""),"Señaletica Parqueadero Motos 60*40")</f>
        <v>Señaletica Parqueadero Motos 60*40</v>
      </c>
      <c r="C1277" s="380" t="str">
        <f>IFERROR(__xludf.DUMMYFUNCTION("""COMPUTED_VALUE"""),"10001094")</f>
        <v>10001094</v>
      </c>
      <c r="D1277" s="380" t="s">
        <v>767</v>
      </c>
      <c r="E1277" s="380" t="s">
        <v>768</v>
      </c>
      <c r="F1277" s="380" t="s">
        <v>2005</v>
      </c>
      <c r="G1277" s="380" t="s">
        <v>1267</v>
      </c>
      <c r="H1277" s="380" t="s">
        <v>771</v>
      </c>
      <c r="I1277" s="380" t="s">
        <v>812</v>
      </c>
      <c r="J1277" s="380" t="s">
        <v>773</v>
      </c>
      <c r="K1277" s="381">
        <v>0.0</v>
      </c>
      <c r="L1277" s="382">
        <v>1.0</v>
      </c>
    </row>
    <row r="1278">
      <c r="A1278" s="380" t="s">
        <v>2123</v>
      </c>
      <c r="B1278" s="380" t="str">
        <f>IFERROR(__xludf.DUMMYFUNCTION("""COMPUTED_VALUE"""),"Señaletica Punto Encuentro 40-30 Largo")</f>
        <v>Señaletica Punto Encuentro 40-30 Largo</v>
      </c>
      <c r="C1278" s="380" t="str">
        <f>IFERROR(__xludf.DUMMYFUNCTION("""COMPUTED_VALUE"""),"10001095")</f>
        <v>10001095</v>
      </c>
      <c r="D1278" s="380" t="s">
        <v>767</v>
      </c>
      <c r="E1278" s="380" t="s">
        <v>768</v>
      </c>
      <c r="F1278" s="380" t="s">
        <v>2005</v>
      </c>
      <c r="G1278" s="380" t="s">
        <v>1267</v>
      </c>
      <c r="H1278" s="380" t="s">
        <v>771</v>
      </c>
      <c r="I1278" s="380" t="s">
        <v>812</v>
      </c>
      <c r="J1278" s="380" t="s">
        <v>773</v>
      </c>
      <c r="K1278" s="381">
        <v>0.0</v>
      </c>
      <c r="L1278" s="382">
        <v>1.0</v>
      </c>
    </row>
    <row r="1279">
      <c r="A1279" s="380" t="s">
        <v>2124</v>
      </c>
      <c r="B1279" s="380" t="str">
        <f>IFERROR(__xludf.DUMMYFUNCTION("""COMPUTED_VALUE"""),"Señaletica No Mover Vehiculo")</f>
        <v>Señaletica No Mover Vehiculo</v>
      </c>
      <c r="C1279" s="380" t="str">
        <f>IFERROR(__xludf.DUMMYFUNCTION("""COMPUTED_VALUE"""),"10001096")</f>
        <v>10001096</v>
      </c>
      <c r="D1279" s="380" t="s">
        <v>767</v>
      </c>
      <c r="E1279" s="380" t="s">
        <v>768</v>
      </c>
      <c r="F1279" s="380" t="s">
        <v>2005</v>
      </c>
      <c r="G1279" s="380" t="s">
        <v>1267</v>
      </c>
      <c r="H1279" s="380" t="s">
        <v>771</v>
      </c>
      <c r="I1279" s="380" t="s">
        <v>812</v>
      </c>
      <c r="J1279" s="380" t="s">
        <v>773</v>
      </c>
      <c r="K1279" s="381">
        <v>0.0</v>
      </c>
      <c r="L1279" s="382">
        <v>1.0</v>
      </c>
    </row>
    <row r="1280">
      <c r="A1280" s="380" t="s">
        <v>2125</v>
      </c>
      <c r="B1280" s="380" t="str">
        <f>IFERROR(__xludf.DUMMYFUNCTION("""COMPUTED_VALUE"""),"Señaletica Horizontal Zona De Quimicos")</f>
        <v>Señaletica Horizontal Zona De Quimicos</v>
      </c>
      <c r="C1280" s="380" t="str">
        <f>IFERROR(__xludf.DUMMYFUNCTION("""COMPUTED_VALUE"""),"10001097")</f>
        <v>10001097</v>
      </c>
      <c r="D1280" s="380" t="s">
        <v>767</v>
      </c>
      <c r="E1280" s="380" t="s">
        <v>768</v>
      </c>
      <c r="F1280" s="380" t="s">
        <v>2005</v>
      </c>
      <c r="G1280" s="380" t="s">
        <v>1267</v>
      </c>
      <c r="H1280" s="380" t="s">
        <v>771</v>
      </c>
      <c r="I1280" s="380" t="s">
        <v>812</v>
      </c>
      <c r="J1280" s="380" t="s">
        <v>773</v>
      </c>
      <c r="K1280" s="381">
        <v>0.0</v>
      </c>
      <c r="L1280" s="382">
        <v>1.0</v>
      </c>
    </row>
    <row r="1281">
      <c r="A1281" s="380" t="s">
        <v>2126</v>
      </c>
      <c r="B1281" s="380" t="str">
        <f>IFERROR(__xludf.DUMMYFUNCTION("""COMPUTED_VALUE"""),"Señaletica Caida Diferente Nivel 33* 23")</f>
        <v>Señaletica Caida Diferente Nivel 33* 23</v>
      </c>
      <c r="C1281" s="380" t="str">
        <f>IFERROR(__xludf.DUMMYFUNCTION("""COMPUTED_VALUE"""),"10001098")</f>
        <v>10001098</v>
      </c>
      <c r="D1281" s="380" t="s">
        <v>767</v>
      </c>
      <c r="E1281" s="380" t="s">
        <v>768</v>
      </c>
      <c r="F1281" s="380" t="s">
        <v>2005</v>
      </c>
      <c r="G1281" s="380" t="s">
        <v>1267</v>
      </c>
      <c r="H1281" s="380" t="s">
        <v>771</v>
      </c>
      <c r="I1281" s="380" t="s">
        <v>812</v>
      </c>
      <c r="J1281" s="380" t="s">
        <v>773</v>
      </c>
      <c r="K1281" s="381">
        <v>0.0</v>
      </c>
      <c r="L1281" s="382">
        <v>1.0</v>
      </c>
    </row>
    <row r="1282">
      <c r="A1282" s="380" t="s">
        <v>2127</v>
      </c>
      <c r="B1282" s="380" t="str">
        <f>IFERROR(__xludf.DUMMYFUNCTION("""COMPUTED_VALUE"""),"Señaletica Parada Emerg 33 X 23")</f>
        <v>Señaletica Parada Emerg 33 X 23</v>
      </c>
      <c r="C1282" s="380" t="str">
        <f>IFERROR(__xludf.DUMMYFUNCTION("""COMPUTED_VALUE"""),"10001099")</f>
        <v>10001099</v>
      </c>
      <c r="D1282" s="380" t="s">
        <v>767</v>
      </c>
      <c r="E1282" s="380" t="s">
        <v>768</v>
      </c>
      <c r="F1282" s="380" t="s">
        <v>2005</v>
      </c>
      <c r="G1282" s="380" t="s">
        <v>1267</v>
      </c>
      <c r="H1282" s="380" t="s">
        <v>771</v>
      </c>
      <c r="I1282" s="380" t="s">
        <v>812</v>
      </c>
      <c r="J1282" s="380" t="s">
        <v>773</v>
      </c>
      <c r="K1282" s="381">
        <v>0.0</v>
      </c>
      <c r="L1282" s="382">
        <v>1.0</v>
      </c>
    </row>
    <row r="1283">
      <c r="A1283" s="380" t="s">
        <v>2128</v>
      </c>
      <c r="B1283" s="380" t="str">
        <f>IFERROR(__xludf.DUMMYFUNCTION("""COMPUTED_VALUE"""),"Señaletica Lavado Manos 15 x 25")</f>
        <v>Señaletica Lavado Manos 15 x 25</v>
      </c>
      <c r="C1283" s="380" t="str">
        <f>IFERROR(__xludf.DUMMYFUNCTION("""COMPUTED_VALUE"""),"10001100")</f>
        <v>10001100</v>
      </c>
      <c r="D1283" s="380" t="s">
        <v>767</v>
      </c>
      <c r="E1283" s="380" t="s">
        <v>768</v>
      </c>
      <c r="F1283" s="380" t="s">
        <v>2005</v>
      </c>
      <c r="G1283" s="380" t="s">
        <v>1267</v>
      </c>
      <c r="H1283" s="380" t="s">
        <v>771</v>
      </c>
      <c r="I1283" s="380" t="s">
        <v>812</v>
      </c>
      <c r="J1283" s="380" t="s">
        <v>773</v>
      </c>
      <c r="K1283" s="381">
        <v>0.0</v>
      </c>
      <c r="L1283" s="382">
        <v>1.0</v>
      </c>
    </row>
    <row r="1284">
      <c r="A1284" s="380" t="s">
        <v>2129</v>
      </c>
      <c r="B1284" s="380" t="str">
        <f>IFERROR(__xludf.DUMMYFUNCTION("""COMPUTED_VALUE"""),"Normas SST Para Terminal 50 C")</f>
        <v>Normas SST Para Terminal 50 C</v>
      </c>
      <c r="C1284" s="380" t="str">
        <f>IFERROR(__xludf.DUMMYFUNCTION("""COMPUTED_VALUE"""),"10001101")</f>
        <v>10001101</v>
      </c>
      <c r="D1284" s="380" t="s">
        <v>767</v>
      </c>
      <c r="E1284" s="380" t="s">
        <v>768</v>
      </c>
      <c r="F1284" s="380" t="s">
        <v>2005</v>
      </c>
      <c r="G1284" s="380" t="s">
        <v>1267</v>
      </c>
      <c r="H1284" s="380" t="s">
        <v>771</v>
      </c>
      <c r="I1284" s="380" t="s">
        <v>812</v>
      </c>
      <c r="J1284" s="380" t="s">
        <v>773</v>
      </c>
      <c r="K1284" s="381">
        <v>0.0</v>
      </c>
      <c r="L1284" s="382">
        <v>1.0</v>
      </c>
    </row>
    <row r="1285">
      <c r="A1285" s="380" t="s">
        <v>2130</v>
      </c>
      <c r="B1285" s="380" t="str">
        <f>IFERROR(__xludf.DUMMYFUNCTION("""COMPUTED_VALUE"""),"Tablero Indicador Sst")</f>
        <v>Tablero Indicador Sst</v>
      </c>
      <c r="C1285" s="380" t="str">
        <f>IFERROR(__xludf.DUMMYFUNCTION("""COMPUTED_VALUE"""),"10001102")</f>
        <v>10001102</v>
      </c>
      <c r="D1285" s="380" t="s">
        <v>767</v>
      </c>
      <c r="E1285" s="380" t="s">
        <v>768</v>
      </c>
      <c r="F1285" s="380" t="s">
        <v>2005</v>
      </c>
      <c r="G1285" s="380" t="s">
        <v>1267</v>
      </c>
      <c r="H1285" s="380" t="s">
        <v>771</v>
      </c>
      <c r="I1285" s="380" t="s">
        <v>812</v>
      </c>
      <c r="J1285" s="380" t="s">
        <v>773</v>
      </c>
      <c r="K1285" s="381">
        <v>0.0</v>
      </c>
      <c r="L1285" s="382">
        <v>1.0</v>
      </c>
    </row>
    <row r="1286">
      <c r="A1286" s="380" t="s">
        <v>2131</v>
      </c>
      <c r="B1286" s="380" t="str">
        <f>IFERROR(__xludf.DUMMYFUNCTION("""COMPUTED_VALUE"""),"Señaletica Bebederos De Agua 14.5x20 Cm")</f>
        <v>Señaletica Bebederos De Agua 14.5x20 Cm</v>
      </c>
      <c r="C1286" s="380" t="str">
        <f>IFERROR(__xludf.DUMMYFUNCTION("""COMPUTED_VALUE"""),"10001103")</f>
        <v>10001103</v>
      </c>
      <c r="D1286" s="380" t="s">
        <v>767</v>
      </c>
      <c r="E1286" s="380" t="s">
        <v>768</v>
      </c>
      <c r="F1286" s="380" t="s">
        <v>2005</v>
      </c>
      <c r="G1286" s="380" t="s">
        <v>1267</v>
      </c>
      <c r="H1286" s="380" t="s">
        <v>771</v>
      </c>
      <c r="I1286" s="380" t="s">
        <v>812</v>
      </c>
      <c r="J1286" s="380" t="s">
        <v>773</v>
      </c>
      <c r="K1286" s="381">
        <v>0.0</v>
      </c>
      <c r="L1286" s="382">
        <v>1.0</v>
      </c>
    </row>
    <row r="1287">
      <c r="A1287" s="380" t="s">
        <v>2132</v>
      </c>
      <c r="B1287" s="380" t="str">
        <f>IFERROR(__xludf.DUMMYFUNCTION("""COMPUTED_VALUE"""),"Señaletica Punto Ecologico 50x40")</f>
        <v>Señaletica Punto Ecologico 50x40</v>
      </c>
      <c r="C1287" s="380" t="str">
        <f>IFERROR(__xludf.DUMMYFUNCTION("""COMPUTED_VALUE"""),"10001104")</f>
        <v>10001104</v>
      </c>
      <c r="D1287" s="380" t="s">
        <v>767</v>
      </c>
      <c r="E1287" s="380" t="s">
        <v>768</v>
      </c>
      <c r="F1287" s="380" t="s">
        <v>2005</v>
      </c>
      <c r="G1287" s="380" t="s">
        <v>1267</v>
      </c>
      <c r="H1287" s="380" t="s">
        <v>771</v>
      </c>
      <c r="I1287" s="380" t="s">
        <v>812</v>
      </c>
      <c r="J1287" s="380" t="s">
        <v>773</v>
      </c>
      <c r="K1287" s="381">
        <v>0.0</v>
      </c>
      <c r="L1287" s="382">
        <v>1.0</v>
      </c>
    </row>
    <row r="1288">
      <c r="A1288" s="380" t="s">
        <v>2133</v>
      </c>
      <c r="B1288" s="380" t="str">
        <f>IFERROR(__xludf.DUMMYFUNCTION("""COMPUTED_VALUE"""),"Señalización Punto Encuent Terminal23*33")</f>
        <v>Señalización Punto Encuent Terminal23*33</v>
      </c>
      <c r="C1288" s="380" t="str">
        <f>IFERROR(__xludf.DUMMYFUNCTION("""COMPUTED_VALUE"""),"10001105")</f>
        <v>10001105</v>
      </c>
      <c r="D1288" s="380" t="s">
        <v>767</v>
      </c>
      <c r="E1288" s="380" t="s">
        <v>768</v>
      </c>
      <c r="F1288" s="380" t="s">
        <v>2005</v>
      </c>
      <c r="G1288" s="380" t="s">
        <v>1267</v>
      </c>
      <c r="H1288" s="380" t="s">
        <v>771</v>
      </c>
      <c r="I1288" s="380" t="s">
        <v>812</v>
      </c>
      <c r="J1288" s="380" t="s">
        <v>773</v>
      </c>
      <c r="K1288" s="381">
        <v>0.0</v>
      </c>
      <c r="L1288" s="382">
        <v>1.0</v>
      </c>
    </row>
    <row r="1289">
      <c r="A1289" s="380" t="s">
        <v>2134</v>
      </c>
      <c r="B1289" s="380" t="str">
        <f>IFERROR(__xludf.DUMMYFUNCTION("""COMPUTED_VALUE"""),"Señaletica Velocidad Maxima 60 X 60 Cms")</f>
        <v>Señaletica Velocidad Maxima 60 X 60 Cms</v>
      </c>
      <c r="C1289" s="380" t="str">
        <f>IFERROR(__xludf.DUMMYFUNCTION("""COMPUTED_VALUE"""),"10001106")</f>
        <v>10001106</v>
      </c>
      <c r="D1289" s="380" t="s">
        <v>767</v>
      </c>
      <c r="E1289" s="380" t="s">
        <v>768</v>
      </c>
      <c r="F1289" s="380" t="s">
        <v>2005</v>
      </c>
      <c r="G1289" s="380" t="s">
        <v>1267</v>
      </c>
      <c r="H1289" s="380" t="s">
        <v>771</v>
      </c>
      <c r="I1289" s="380" t="s">
        <v>812</v>
      </c>
      <c r="J1289" s="380" t="s">
        <v>773</v>
      </c>
      <c r="K1289" s="381">
        <v>0.0</v>
      </c>
      <c r="L1289" s="382">
        <v>1.0</v>
      </c>
    </row>
    <row r="1290">
      <c r="A1290" s="380" t="s">
        <v>2135</v>
      </c>
      <c r="B1290" s="380" t="str">
        <f>IFERROR(__xludf.DUMMYFUNCTION("""COMPUTED_VALUE"""),"Señaletica Base 14.5 X 20")</f>
        <v>Señaletica Base 14.5 X 20</v>
      </c>
      <c r="C1290" s="380" t="str">
        <f>IFERROR(__xludf.DUMMYFUNCTION("""COMPUTED_VALUE"""),"10001107")</f>
        <v>10001107</v>
      </c>
      <c r="D1290" s="380" t="s">
        <v>767</v>
      </c>
      <c r="E1290" s="380" t="s">
        <v>768</v>
      </c>
      <c r="F1290" s="380" t="s">
        <v>2005</v>
      </c>
      <c r="G1290" s="380" t="s">
        <v>1267</v>
      </c>
      <c r="H1290" s="380" t="s">
        <v>771</v>
      </c>
      <c r="I1290" s="380" t="s">
        <v>812</v>
      </c>
      <c r="J1290" s="380" t="s">
        <v>773</v>
      </c>
      <c r="K1290" s="381">
        <v>0.0</v>
      </c>
      <c r="L1290" s="382">
        <v>1.0</v>
      </c>
    </row>
    <row r="1291">
      <c r="A1291" s="380" t="s">
        <v>2136</v>
      </c>
      <c r="B1291" s="380" t="str">
        <f>IFERROR(__xludf.DUMMYFUNCTION("""COMPUTED_VALUE"""),"Señaletica Baño Terminal 23 X 33")</f>
        <v>Señaletica Baño Terminal 23 X 33</v>
      </c>
      <c r="C1291" s="380" t="str">
        <f>IFERROR(__xludf.DUMMYFUNCTION("""COMPUTED_VALUE"""),"10001108")</f>
        <v>10001108</v>
      </c>
      <c r="D1291" s="380" t="s">
        <v>767</v>
      </c>
      <c r="E1291" s="380" t="s">
        <v>768</v>
      </c>
      <c r="F1291" s="380" t="s">
        <v>2005</v>
      </c>
      <c r="G1291" s="380" t="s">
        <v>1267</v>
      </c>
      <c r="H1291" s="380" t="s">
        <v>771</v>
      </c>
      <c r="I1291" s="380" t="s">
        <v>812</v>
      </c>
      <c r="J1291" s="380" t="s">
        <v>773</v>
      </c>
      <c r="K1291" s="381">
        <v>0.0</v>
      </c>
      <c r="L1291" s="382">
        <v>1.0</v>
      </c>
    </row>
    <row r="1292">
      <c r="A1292" s="380" t="s">
        <v>2137</v>
      </c>
      <c r="B1292" s="380" t="str">
        <f>IFERROR(__xludf.DUMMYFUNCTION("""COMPUTED_VALUE"""),"Señalética Espacio Libre Humo Base30X15")</f>
        <v>Señalética Espacio Libre Humo Base30X15</v>
      </c>
      <c r="C1292" s="380" t="str">
        <f>IFERROR(__xludf.DUMMYFUNCTION("""COMPUTED_VALUE"""),"10001109")</f>
        <v>10001109</v>
      </c>
      <c r="D1292" s="380" t="s">
        <v>767</v>
      </c>
      <c r="E1292" s="380" t="s">
        <v>768</v>
      </c>
      <c r="F1292" s="380" t="s">
        <v>2005</v>
      </c>
      <c r="G1292" s="380" t="s">
        <v>1267</v>
      </c>
      <c r="H1292" s="380" t="s">
        <v>771</v>
      </c>
      <c r="I1292" s="380" t="s">
        <v>812</v>
      </c>
      <c r="J1292" s="380" t="s">
        <v>773</v>
      </c>
      <c r="K1292" s="381">
        <v>13487.0</v>
      </c>
      <c r="L1292" s="382">
        <v>1.0</v>
      </c>
    </row>
    <row r="1293">
      <c r="A1293" s="380" t="s">
        <v>2138</v>
      </c>
      <c r="B1293" s="380" t="str">
        <f>IFERROR(__xludf.DUMMYFUNCTION("""COMPUTED_VALUE"""),"Señaletica No Mover Vehiculo 23 X 33")</f>
        <v>Señaletica No Mover Vehiculo 23 X 33</v>
      </c>
      <c r="C1293" s="380" t="str">
        <f>IFERROR(__xludf.DUMMYFUNCTION("""COMPUTED_VALUE"""),"10001110")</f>
        <v>10001110</v>
      </c>
      <c r="D1293" s="380" t="s">
        <v>767</v>
      </c>
      <c r="E1293" s="380" t="s">
        <v>768</v>
      </c>
      <c r="F1293" s="380" t="s">
        <v>2005</v>
      </c>
      <c r="G1293" s="380" t="s">
        <v>1267</v>
      </c>
      <c r="H1293" s="380" t="s">
        <v>771</v>
      </c>
      <c r="I1293" s="380" t="s">
        <v>812</v>
      </c>
      <c r="J1293" s="380" t="s">
        <v>773</v>
      </c>
      <c r="K1293" s="381">
        <v>0.0</v>
      </c>
      <c r="L1293" s="382">
        <v>1.0</v>
      </c>
    </row>
    <row r="1294">
      <c r="A1294" s="380" t="s">
        <v>2139</v>
      </c>
      <c r="B1294" s="380" t="str">
        <f>IFERROR(__xludf.DUMMYFUNCTION("""COMPUTED_VALUE"""),"Volante Protocolo De Bioseguridad")</f>
        <v>Volante Protocolo De Bioseguridad</v>
      </c>
      <c r="C1294" s="380" t="str">
        <f>IFERROR(__xludf.DUMMYFUNCTION("""COMPUTED_VALUE"""),"10001111")</f>
        <v>10001111</v>
      </c>
      <c r="D1294" s="380" t="s">
        <v>767</v>
      </c>
      <c r="E1294" s="380" t="s">
        <v>768</v>
      </c>
      <c r="F1294" s="380" t="s">
        <v>2005</v>
      </c>
      <c r="G1294" s="380" t="s">
        <v>1267</v>
      </c>
      <c r="H1294" s="380" t="s">
        <v>771</v>
      </c>
      <c r="I1294" s="380" t="s">
        <v>812</v>
      </c>
      <c r="J1294" s="380" t="s">
        <v>773</v>
      </c>
      <c r="K1294" s="381">
        <v>0.0</v>
      </c>
      <c r="L1294" s="382">
        <v>1.0</v>
      </c>
    </row>
    <row r="1295">
      <c r="A1295" s="380" t="s">
        <v>2140</v>
      </c>
      <c r="B1295" s="380" t="str">
        <f>IFERROR(__xludf.DUMMYFUNCTION("""COMPUTED_VALUE"""),"Adhesivo Riesgo Electrico")</f>
        <v>Adhesivo Riesgo Electrico</v>
      </c>
      <c r="C1295" s="380" t="str">
        <f>IFERROR(__xludf.DUMMYFUNCTION("""COMPUTED_VALUE"""),"10001112")</f>
        <v>10001112</v>
      </c>
      <c r="D1295" s="380" t="s">
        <v>767</v>
      </c>
      <c r="E1295" s="380" t="s">
        <v>768</v>
      </c>
      <c r="F1295" s="380" t="s">
        <v>2005</v>
      </c>
      <c r="G1295" s="380" t="s">
        <v>1267</v>
      </c>
      <c r="H1295" s="380" t="s">
        <v>771</v>
      </c>
      <c r="I1295" s="380" t="s">
        <v>812</v>
      </c>
      <c r="J1295" s="380" t="s">
        <v>773</v>
      </c>
      <c r="K1295" s="381">
        <v>0.0</v>
      </c>
      <c r="L1295" s="382">
        <v>1.0</v>
      </c>
    </row>
    <row r="1296">
      <c r="A1296" s="380" t="s">
        <v>2141</v>
      </c>
      <c r="B1296" s="380" t="str">
        <f>IFERROR(__xludf.DUMMYFUNCTION("""COMPUTED_VALUE"""),"Señaletica Via Ev Der Terminal 23x33")</f>
        <v>Señaletica Via Ev Der Terminal 23x33</v>
      </c>
      <c r="C1296" s="380" t="str">
        <f>IFERROR(__xludf.DUMMYFUNCTION("""COMPUTED_VALUE"""),"10001113")</f>
        <v>10001113</v>
      </c>
      <c r="D1296" s="380" t="s">
        <v>767</v>
      </c>
      <c r="E1296" s="380" t="s">
        <v>768</v>
      </c>
      <c r="F1296" s="380" t="s">
        <v>2005</v>
      </c>
      <c r="G1296" s="380" t="s">
        <v>1267</v>
      </c>
      <c r="H1296" s="380" t="s">
        <v>771</v>
      </c>
      <c r="I1296" s="380" t="s">
        <v>812</v>
      </c>
      <c r="J1296" s="380" t="s">
        <v>773</v>
      </c>
      <c r="K1296" s="381">
        <v>0.0</v>
      </c>
      <c r="L1296" s="382">
        <v>1.0</v>
      </c>
    </row>
    <row r="1297">
      <c r="A1297" s="380" t="s">
        <v>2142</v>
      </c>
      <c r="B1297" s="380" t="str">
        <f>IFERROR(__xludf.DUMMYFUNCTION("""COMPUTED_VALUE"""),"Señaletica Uso Proteccion Facial 23x33")</f>
        <v>Señaletica Uso Proteccion Facial 23x33</v>
      </c>
      <c r="C1297" s="380" t="str">
        <f>IFERROR(__xludf.DUMMYFUNCTION("""COMPUTED_VALUE"""),"10001114")</f>
        <v>10001114</v>
      </c>
      <c r="D1297" s="380" t="s">
        <v>767</v>
      </c>
      <c r="E1297" s="380" t="s">
        <v>768</v>
      </c>
      <c r="F1297" s="380" t="s">
        <v>2005</v>
      </c>
      <c r="G1297" s="380" t="s">
        <v>1267</v>
      </c>
      <c r="H1297" s="380" t="s">
        <v>771</v>
      </c>
      <c r="I1297" s="380" t="s">
        <v>812</v>
      </c>
      <c r="J1297" s="380" t="s">
        <v>773</v>
      </c>
      <c r="K1297" s="381">
        <v>0.0</v>
      </c>
      <c r="L1297" s="382">
        <v>1.0</v>
      </c>
    </row>
    <row r="1298">
      <c r="A1298" s="380" t="s">
        <v>2143</v>
      </c>
      <c r="B1298" s="380" t="str">
        <f>IFERROR(__xludf.DUMMYFUNCTION("""COMPUTED_VALUE"""),"Señaletica Uso Proteccion Oidos 23x33")</f>
        <v>Señaletica Uso Proteccion Oidos 23x33</v>
      </c>
      <c r="C1298" s="380" t="str">
        <f>IFERROR(__xludf.DUMMYFUNCTION("""COMPUTED_VALUE"""),"10001115")</f>
        <v>10001115</v>
      </c>
      <c r="D1298" s="380" t="s">
        <v>767</v>
      </c>
      <c r="E1298" s="380" t="s">
        <v>768</v>
      </c>
      <c r="F1298" s="380" t="s">
        <v>2005</v>
      </c>
      <c r="G1298" s="380" t="s">
        <v>1267</v>
      </c>
      <c r="H1298" s="380" t="s">
        <v>771</v>
      </c>
      <c r="I1298" s="380" t="s">
        <v>812</v>
      </c>
      <c r="J1298" s="380" t="s">
        <v>773</v>
      </c>
      <c r="K1298" s="381">
        <v>0.0</v>
      </c>
      <c r="L1298" s="382">
        <v>1.0</v>
      </c>
    </row>
    <row r="1299">
      <c r="A1299" s="380" t="s">
        <v>2144</v>
      </c>
      <c r="B1299" s="380" t="str">
        <f>IFERROR(__xludf.DUMMYFUNCTION("""COMPUTED_VALUE"""),"Señaletica Extintor Solkaflam 23x33")</f>
        <v>Señaletica Extintor Solkaflam 23x33</v>
      </c>
      <c r="C1299" s="380" t="str">
        <f>IFERROR(__xludf.DUMMYFUNCTION("""COMPUTED_VALUE"""),"10001116")</f>
        <v>10001116</v>
      </c>
      <c r="D1299" s="380" t="s">
        <v>767</v>
      </c>
      <c r="E1299" s="380" t="s">
        <v>768</v>
      </c>
      <c r="F1299" s="380" t="s">
        <v>2005</v>
      </c>
      <c r="G1299" s="380" t="s">
        <v>1267</v>
      </c>
      <c r="H1299" s="380" t="s">
        <v>771</v>
      </c>
      <c r="I1299" s="380" t="s">
        <v>812</v>
      </c>
      <c r="J1299" s="380" t="s">
        <v>773</v>
      </c>
      <c r="K1299" s="381">
        <v>0.0</v>
      </c>
      <c r="L1299" s="382">
        <v>1.0</v>
      </c>
    </row>
    <row r="1300">
      <c r="A1300" s="380" t="s">
        <v>2145</v>
      </c>
      <c r="B1300" s="380" t="str">
        <f>IFERROR(__xludf.DUMMYFUNCTION("""COMPUTED_VALUE"""),"Señaletica Proh Parquear-Largo 70* 40")</f>
        <v>Señaletica Proh Parquear-Largo 70* 40</v>
      </c>
      <c r="C1300" s="380" t="str">
        <f>IFERROR(__xludf.DUMMYFUNCTION("""COMPUTED_VALUE"""),"10001117")</f>
        <v>10001117</v>
      </c>
      <c r="D1300" s="380" t="s">
        <v>767</v>
      </c>
      <c r="E1300" s="380" t="s">
        <v>768</v>
      </c>
      <c r="F1300" s="380" t="s">
        <v>2005</v>
      </c>
      <c r="G1300" s="380" t="s">
        <v>1267</v>
      </c>
      <c r="H1300" s="380" t="s">
        <v>771</v>
      </c>
      <c r="I1300" s="380" t="s">
        <v>812</v>
      </c>
      <c r="J1300" s="380" t="s">
        <v>773</v>
      </c>
      <c r="K1300" s="381">
        <v>0.0</v>
      </c>
      <c r="L1300" s="382">
        <v>1.0</v>
      </c>
    </row>
    <row r="1301">
      <c r="A1301" s="380" t="s">
        <v>2146</v>
      </c>
      <c r="B1301" s="380" t="str">
        <f>IFERROR(__xludf.DUMMYFUNCTION("""COMPUTED_VALUE"""),"Señaletica 10/Vel Max10km/H Pared 70*40")</f>
        <v>Señaletica 10/Vel Max10km/H Pared 70*40</v>
      </c>
      <c r="C1301" s="380" t="str">
        <f>IFERROR(__xludf.DUMMYFUNCTION("""COMPUTED_VALUE"""),"10001118")</f>
        <v>10001118</v>
      </c>
      <c r="D1301" s="380" t="s">
        <v>767</v>
      </c>
      <c r="E1301" s="380" t="s">
        <v>768</v>
      </c>
      <c r="F1301" s="380" t="s">
        <v>2005</v>
      </c>
      <c r="G1301" s="380" t="s">
        <v>1267</v>
      </c>
      <c r="H1301" s="380" t="s">
        <v>771</v>
      </c>
      <c r="I1301" s="380" t="s">
        <v>812</v>
      </c>
      <c r="J1301" s="380" t="s">
        <v>773</v>
      </c>
      <c r="K1301" s="381">
        <v>0.0</v>
      </c>
      <c r="L1301" s="382">
        <v>1.0</v>
      </c>
    </row>
    <row r="1302">
      <c r="A1302" s="380" t="s">
        <v>2147</v>
      </c>
      <c r="B1302" s="380" t="str">
        <f>IFERROR(__xludf.DUMMYFUNCTION("""COMPUTED_VALUE"""),"Señaletica Primeros Auxilios 23* 33")</f>
        <v>Señaletica Primeros Auxilios 23* 33</v>
      </c>
      <c r="C1302" s="380" t="str">
        <f>IFERROR(__xludf.DUMMYFUNCTION("""COMPUTED_VALUE"""),"10001119")</f>
        <v>10001119</v>
      </c>
      <c r="D1302" s="380" t="s">
        <v>767</v>
      </c>
      <c r="E1302" s="380" t="s">
        <v>768</v>
      </c>
      <c r="F1302" s="380" t="s">
        <v>2005</v>
      </c>
      <c r="G1302" s="380" t="s">
        <v>1267</v>
      </c>
      <c r="H1302" s="380" t="s">
        <v>771</v>
      </c>
      <c r="I1302" s="380" t="s">
        <v>812</v>
      </c>
      <c r="J1302" s="380" t="s">
        <v>773</v>
      </c>
      <c r="K1302" s="381">
        <v>0.0</v>
      </c>
      <c r="L1302" s="382">
        <v>1.0</v>
      </c>
    </row>
    <row r="1303">
      <c r="A1303" s="380" t="s">
        <v>2148</v>
      </c>
      <c r="B1303" s="380" t="str">
        <f>IFERROR(__xludf.DUMMYFUNCTION("""COMPUTED_VALUE"""),"Señaletica Ducha Lava Ojos Emerg40*50")</f>
        <v>Señaletica Ducha Lava Ojos Emerg40*50</v>
      </c>
      <c r="C1303" s="380" t="str">
        <f>IFERROR(__xludf.DUMMYFUNCTION("""COMPUTED_VALUE"""),"10001120")</f>
        <v>10001120</v>
      </c>
      <c r="D1303" s="380" t="s">
        <v>767</v>
      </c>
      <c r="E1303" s="380" t="s">
        <v>768</v>
      </c>
      <c r="F1303" s="380" t="s">
        <v>2005</v>
      </c>
      <c r="G1303" s="380" t="s">
        <v>1267</v>
      </c>
      <c r="H1303" s="380" t="s">
        <v>771</v>
      </c>
      <c r="I1303" s="380" t="s">
        <v>812</v>
      </c>
      <c r="J1303" s="380" t="s">
        <v>773</v>
      </c>
      <c r="K1303" s="381">
        <v>0.0</v>
      </c>
      <c r="L1303" s="382">
        <v>1.0</v>
      </c>
    </row>
    <row r="1304">
      <c r="A1304" s="380" t="s">
        <v>2149</v>
      </c>
      <c r="B1304" s="380" t="str">
        <f>IFERROR(__xludf.DUMMYFUNCTION("""COMPUTED_VALUE"""),"Señaletica Ruta Ev Izq Base 14.5 X 20")</f>
        <v>Señaletica Ruta Ev Izq Base 14.5 X 20</v>
      </c>
      <c r="C1304" s="380" t="str">
        <f>IFERROR(__xludf.DUMMYFUNCTION("""COMPUTED_VALUE"""),"10001121")</f>
        <v>10001121</v>
      </c>
      <c r="D1304" s="380" t="s">
        <v>767</v>
      </c>
      <c r="E1304" s="380" t="s">
        <v>768</v>
      </c>
      <c r="F1304" s="380" t="s">
        <v>2005</v>
      </c>
      <c r="G1304" s="380" t="s">
        <v>1267</v>
      </c>
      <c r="H1304" s="380" t="s">
        <v>771</v>
      </c>
      <c r="I1304" s="380" t="s">
        <v>812</v>
      </c>
      <c r="J1304" s="380" t="s">
        <v>773</v>
      </c>
      <c r="K1304" s="381">
        <v>9472.0</v>
      </c>
      <c r="L1304" s="382">
        <v>1.0</v>
      </c>
    </row>
    <row r="1305">
      <c r="A1305" s="380" t="s">
        <v>2150</v>
      </c>
      <c r="B1305" s="380" t="str">
        <f>IFERROR(__xludf.DUMMYFUNCTION("""COMPUTED_VALUE"""),"Señaletica Ruta Ev Der Base 14.5 X 20")</f>
        <v>Señaletica Ruta Ev Der Base 14.5 X 20</v>
      </c>
      <c r="C1305" s="380" t="str">
        <f>IFERROR(__xludf.DUMMYFUNCTION("""COMPUTED_VALUE"""),"10001122")</f>
        <v>10001122</v>
      </c>
      <c r="D1305" s="380" t="s">
        <v>767</v>
      </c>
      <c r="E1305" s="380" t="s">
        <v>768</v>
      </c>
      <c r="F1305" s="380" t="s">
        <v>2005</v>
      </c>
      <c r="G1305" s="380" t="s">
        <v>1267</v>
      </c>
      <c r="H1305" s="380" t="s">
        <v>771</v>
      </c>
      <c r="I1305" s="380" t="s">
        <v>812</v>
      </c>
      <c r="J1305" s="380" t="s">
        <v>773</v>
      </c>
      <c r="K1305" s="381">
        <v>9520.0</v>
      </c>
      <c r="L1305" s="382">
        <v>1.0</v>
      </c>
    </row>
    <row r="1306">
      <c r="A1306" s="380" t="s">
        <v>2151</v>
      </c>
      <c r="B1306" s="380" t="str">
        <f>IFERROR(__xludf.DUMMYFUNCTION("""COMPUTED_VALUE"""),"Señaletica Salida Emerg Izq Base 14.5X20")</f>
        <v>Señaletica Salida Emerg Izq Base 14.5X20</v>
      </c>
      <c r="C1306" s="380" t="str">
        <f>IFERROR(__xludf.DUMMYFUNCTION("""COMPUTED_VALUE"""),"10001123")</f>
        <v>10001123</v>
      </c>
      <c r="D1306" s="380" t="s">
        <v>767</v>
      </c>
      <c r="E1306" s="380" t="s">
        <v>768</v>
      </c>
      <c r="F1306" s="380" t="s">
        <v>2005</v>
      </c>
      <c r="G1306" s="380" t="s">
        <v>1267</v>
      </c>
      <c r="H1306" s="380" t="s">
        <v>771</v>
      </c>
      <c r="I1306" s="380" t="s">
        <v>812</v>
      </c>
      <c r="J1306" s="380" t="s">
        <v>773</v>
      </c>
      <c r="K1306" s="381">
        <v>12416.0</v>
      </c>
      <c r="L1306" s="382">
        <v>1.0</v>
      </c>
    </row>
    <row r="1307">
      <c r="A1307" s="380" t="s">
        <v>2152</v>
      </c>
      <c r="B1307" s="380" t="str">
        <f>IFERROR(__xludf.DUMMYFUNCTION("""COMPUTED_VALUE"""),"Señaletica Salida Emerg Der Base 14.5X20")</f>
        <v>Señaletica Salida Emerg Der Base 14.5X20</v>
      </c>
      <c r="C1307" s="380" t="str">
        <f>IFERROR(__xludf.DUMMYFUNCTION("""COMPUTED_VALUE"""),"10001124")</f>
        <v>10001124</v>
      </c>
      <c r="D1307" s="380" t="s">
        <v>767</v>
      </c>
      <c r="E1307" s="380" t="s">
        <v>768</v>
      </c>
      <c r="F1307" s="380" t="s">
        <v>2005</v>
      </c>
      <c r="G1307" s="380" t="s">
        <v>1267</v>
      </c>
      <c r="H1307" s="380" t="s">
        <v>771</v>
      </c>
      <c r="I1307" s="380" t="s">
        <v>812</v>
      </c>
      <c r="J1307" s="380" t="s">
        <v>773</v>
      </c>
      <c r="K1307" s="381">
        <v>30345.0</v>
      </c>
      <c r="L1307" s="382">
        <v>1.0</v>
      </c>
    </row>
    <row r="1308">
      <c r="A1308" s="380" t="s">
        <v>2153</v>
      </c>
      <c r="B1308" s="380" t="str">
        <f>IFERROR(__xludf.DUMMYFUNCTION("""COMPUTED_VALUE"""),"Señalética Uso Guantes Terminal 23 X 33")</f>
        <v>Señalética Uso Guantes Terminal 23 X 33</v>
      </c>
      <c r="C1308" s="380" t="str">
        <f>IFERROR(__xludf.DUMMYFUNCTION("""COMPUTED_VALUE"""),"10001125")</f>
        <v>10001125</v>
      </c>
      <c r="D1308" s="380" t="s">
        <v>767</v>
      </c>
      <c r="E1308" s="380" t="s">
        <v>768</v>
      </c>
      <c r="F1308" s="380" t="s">
        <v>2005</v>
      </c>
      <c r="G1308" s="380" t="s">
        <v>1267</v>
      </c>
      <c r="H1308" s="380" t="s">
        <v>771</v>
      </c>
      <c r="I1308" s="380" t="s">
        <v>812</v>
      </c>
      <c r="J1308" s="380" t="s">
        <v>773</v>
      </c>
      <c r="K1308" s="381">
        <v>0.0</v>
      </c>
      <c r="L1308" s="382">
        <v>1.0</v>
      </c>
    </row>
    <row r="1309">
      <c r="A1309" s="380" t="s">
        <v>2154</v>
      </c>
      <c r="B1309" s="380" t="str">
        <f>IFERROR(__xludf.DUMMYFUNCTION("""COMPUTED_VALUE"""),"Señalética Via Evac Izq Terminal 23 X 33")</f>
        <v>Señalética Via Evac Izq Terminal 23 X 33</v>
      </c>
      <c r="C1309" s="380" t="str">
        <f>IFERROR(__xludf.DUMMYFUNCTION("""COMPUTED_VALUE"""),"10001126")</f>
        <v>10001126</v>
      </c>
      <c r="D1309" s="380" t="s">
        <v>767</v>
      </c>
      <c r="E1309" s="380" t="s">
        <v>768</v>
      </c>
      <c r="F1309" s="380" t="s">
        <v>2005</v>
      </c>
      <c r="G1309" s="380" t="s">
        <v>1267</v>
      </c>
      <c r="H1309" s="380" t="s">
        <v>771</v>
      </c>
      <c r="I1309" s="380" t="s">
        <v>812</v>
      </c>
      <c r="J1309" s="380" t="s">
        <v>773</v>
      </c>
      <c r="K1309" s="381">
        <v>0.0</v>
      </c>
      <c r="L1309" s="382">
        <v>1.0</v>
      </c>
    </row>
    <row r="1310">
      <c r="A1310" s="380" t="s">
        <v>2155</v>
      </c>
      <c r="B1310" s="380" t="str">
        <f>IFERROR(__xludf.DUMMYFUNCTION("""COMPUTED_VALUE"""),"Señalética Libre Humo Terminal 23 X 33")</f>
        <v>Señalética Libre Humo Terminal 23 X 33</v>
      </c>
      <c r="C1310" s="380" t="str">
        <f>IFERROR(__xludf.DUMMYFUNCTION("""COMPUTED_VALUE"""),"10001127")</f>
        <v>10001127</v>
      </c>
      <c r="D1310" s="380" t="s">
        <v>767</v>
      </c>
      <c r="E1310" s="380" t="s">
        <v>768</v>
      </c>
      <c r="F1310" s="380" t="s">
        <v>2005</v>
      </c>
      <c r="G1310" s="380" t="s">
        <v>1267</v>
      </c>
      <c r="H1310" s="380" t="s">
        <v>771</v>
      </c>
      <c r="I1310" s="380" t="s">
        <v>812</v>
      </c>
      <c r="J1310" s="380" t="s">
        <v>773</v>
      </c>
      <c r="K1310" s="381">
        <v>43084.0</v>
      </c>
      <c r="L1310" s="382">
        <v>1.0</v>
      </c>
    </row>
    <row r="1311">
      <c r="A1311" s="380" t="s">
        <v>2156</v>
      </c>
      <c r="B1311" s="380" t="str">
        <f>IFERROR(__xludf.DUMMYFUNCTION("""COMPUTED_VALUE"""),"Señalética Exti Multipro Terminal 23X33")</f>
        <v>Señalética Exti Multipro Terminal 23X33</v>
      </c>
      <c r="C1311" s="380" t="str">
        <f>IFERROR(__xludf.DUMMYFUNCTION("""COMPUTED_VALUE"""),"10001128")</f>
        <v>10001128</v>
      </c>
      <c r="D1311" s="380" t="s">
        <v>767</v>
      </c>
      <c r="E1311" s="380" t="s">
        <v>768</v>
      </c>
      <c r="F1311" s="380" t="s">
        <v>2005</v>
      </c>
      <c r="G1311" s="380" t="s">
        <v>1267</v>
      </c>
      <c r="H1311" s="380" t="s">
        <v>771</v>
      </c>
      <c r="I1311" s="380" t="s">
        <v>812</v>
      </c>
      <c r="J1311" s="380" t="s">
        <v>773</v>
      </c>
      <c r="K1311" s="381">
        <v>9520.0</v>
      </c>
      <c r="L1311" s="382">
        <v>1.0</v>
      </c>
    </row>
    <row r="1312">
      <c r="A1312" s="380" t="s">
        <v>2157</v>
      </c>
      <c r="B1312" s="380" t="str">
        <f>IFERROR(__xludf.DUMMYFUNCTION("""COMPUTED_VALUE"""),"Señalética Caída Obj Terminal 23 X 33")</f>
        <v>Señalética Caída Obj Terminal 23 X 33</v>
      </c>
      <c r="C1312" s="380" t="str">
        <f>IFERROR(__xludf.DUMMYFUNCTION("""COMPUTED_VALUE"""),"10001129")</f>
        <v>10001129</v>
      </c>
      <c r="D1312" s="380" t="s">
        <v>767</v>
      </c>
      <c r="E1312" s="380" t="s">
        <v>768</v>
      </c>
      <c r="F1312" s="380" t="s">
        <v>2005</v>
      </c>
      <c r="G1312" s="380" t="s">
        <v>1267</v>
      </c>
      <c r="H1312" s="380" t="s">
        <v>771</v>
      </c>
      <c r="I1312" s="380" t="s">
        <v>812</v>
      </c>
      <c r="J1312" s="380" t="s">
        <v>773</v>
      </c>
      <c r="K1312" s="381">
        <v>0.0</v>
      </c>
      <c r="L1312" s="382">
        <v>1.0</v>
      </c>
    </row>
    <row r="1313">
      <c r="A1313" s="380" t="s">
        <v>2158</v>
      </c>
      <c r="B1313" s="380" t="str">
        <f>IFERROR(__xludf.DUMMYFUNCTION("""COMPUTED_VALUE"""),"Señalética Riesgo Eléc Terminal 23 X 33")</f>
        <v>Señalética Riesgo Eléc Terminal 23 X 33</v>
      </c>
      <c r="C1313" s="380" t="str">
        <f>IFERROR(__xludf.DUMMYFUNCTION("""COMPUTED_VALUE"""),"10001130")</f>
        <v>10001130</v>
      </c>
      <c r="D1313" s="380" t="s">
        <v>767</v>
      </c>
      <c r="E1313" s="380" t="s">
        <v>768</v>
      </c>
      <c r="F1313" s="380" t="s">
        <v>2005</v>
      </c>
      <c r="G1313" s="380" t="s">
        <v>1267</v>
      </c>
      <c r="H1313" s="380" t="s">
        <v>771</v>
      </c>
      <c r="I1313" s="380" t="s">
        <v>812</v>
      </c>
      <c r="J1313" s="380" t="s">
        <v>773</v>
      </c>
      <c r="K1313" s="381">
        <v>0.0</v>
      </c>
      <c r="L1313" s="382">
        <v>1.0</v>
      </c>
    </row>
    <row r="1314">
      <c r="A1314" s="380" t="s">
        <v>2159</v>
      </c>
      <c r="B1314" s="380" t="str">
        <f>IFERROR(__xludf.DUMMYFUNCTION("""COMPUTED_VALUE"""),"Señalética Res Peligrosos Terminal 23X33")</f>
        <v>Señalética Res Peligrosos Terminal 23X33</v>
      </c>
      <c r="C1314" s="380" t="str">
        <f>IFERROR(__xludf.DUMMYFUNCTION("""COMPUTED_VALUE"""),"10001131")</f>
        <v>10001131</v>
      </c>
      <c r="D1314" s="380" t="s">
        <v>767</v>
      </c>
      <c r="E1314" s="380" t="s">
        <v>768</v>
      </c>
      <c r="F1314" s="380" t="s">
        <v>2005</v>
      </c>
      <c r="G1314" s="380" t="s">
        <v>1267</v>
      </c>
      <c r="H1314" s="380" t="s">
        <v>771</v>
      </c>
      <c r="I1314" s="380" t="s">
        <v>812</v>
      </c>
      <c r="J1314" s="380" t="s">
        <v>773</v>
      </c>
      <c r="K1314" s="381">
        <v>0.0</v>
      </c>
      <c r="L1314" s="382">
        <v>1.0</v>
      </c>
    </row>
    <row r="1315">
      <c r="A1315" s="380" t="s">
        <v>2160</v>
      </c>
      <c r="B1315" s="380" t="str">
        <f>IFERROR(__xludf.DUMMYFUNCTION("""COMPUTED_VALUE"""),"Señalética Timbre Terminal 23 X 33")</f>
        <v>Señalética Timbre Terminal 23 X 33</v>
      </c>
      <c r="C1315" s="380" t="str">
        <f>IFERROR(__xludf.DUMMYFUNCTION("""COMPUTED_VALUE"""),"10001132")</f>
        <v>10001132</v>
      </c>
      <c r="D1315" s="380" t="s">
        <v>767</v>
      </c>
      <c r="E1315" s="380" t="s">
        <v>768</v>
      </c>
      <c r="F1315" s="380" t="s">
        <v>2005</v>
      </c>
      <c r="G1315" s="380" t="s">
        <v>1267</v>
      </c>
      <c r="H1315" s="380" t="s">
        <v>771</v>
      </c>
      <c r="I1315" s="380" t="s">
        <v>812</v>
      </c>
      <c r="J1315" s="380" t="s">
        <v>773</v>
      </c>
      <c r="K1315" s="381">
        <v>0.0</v>
      </c>
      <c r="L1315" s="382">
        <v>1.0</v>
      </c>
    </row>
    <row r="1316">
      <c r="A1316" s="380" t="s">
        <v>2161</v>
      </c>
      <c r="B1316" s="380" t="str">
        <f>IFERROR(__xludf.DUMMYFUNCTION("""COMPUTED_VALUE"""),"Señalética Normas Seguridad Visitantes")</f>
        <v>Señalética Normas Seguridad Visitantes</v>
      </c>
      <c r="C1316" s="380" t="str">
        <f>IFERROR(__xludf.DUMMYFUNCTION("""COMPUTED_VALUE"""),"10001133")</f>
        <v>10001133</v>
      </c>
      <c r="D1316" s="380" t="s">
        <v>767</v>
      </c>
      <c r="E1316" s="380" t="s">
        <v>768</v>
      </c>
      <c r="F1316" s="380" t="s">
        <v>2005</v>
      </c>
      <c r="G1316" s="380" t="s">
        <v>1267</v>
      </c>
      <c r="H1316" s="380" t="s">
        <v>771</v>
      </c>
      <c r="I1316" s="380" t="s">
        <v>812</v>
      </c>
      <c r="J1316" s="380" t="s">
        <v>773</v>
      </c>
      <c r="K1316" s="381">
        <v>0.0</v>
      </c>
      <c r="L1316" s="382">
        <v>1.0</v>
      </c>
    </row>
    <row r="1317">
      <c r="A1317" s="380" t="s">
        <v>2162</v>
      </c>
      <c r="B1317" s="380" t="str">
        <f>IFERROR(__xludf.DUMMYFUNCTION("""COMPUTED_VALUE"""),"Plegable Estándares De Seguridad Hub")</f>
        <v>Plegable Estándares De Seguridad Hub</v>
      </c>
      <c r="C1317" s="380" t="str">
        <f>IFERROR(__xludf.DUMMYFUNCTION("""COMPUTED_VALUE"""),"10001134")</f>
        <v>10001134</v>
      </c>
      <c r="D1317" s="380" t="s">
        <v>767</v>
      </c>
      <c r="E1317" s="380" t="s">
        <v>768</v>
      </c>
      <c r="F1317" s="380" t="s">
        <v>2005</v>
      </c>
      <c r="G1317" s="380" t="s">
        <v>1267</v>
      </c>
      <c r="H1317" s="380" t="s">
        <v>771</v>
      </c>
      <c r="I1317" s="380" t="s">
        <v>812</v>
      </c>
      <c r="J1317" s="380" t="s">
        <v>773</v>
      </c>
      <c r="K1317" s="381">
        <v>0.0</v>
      </c>
      <c r="L1317" s="382">
        <v>1.0</v>
      </c>
    </row>
    <row r="1318">
      <c r="A1318" s="380" t="s">
        <v>2163</v>
      </c>
      <c r="B1318" s="380" t="str">
        <f>IFERROR(__xludf.DUMMYFUNCTION("""COMPUTED_VALUE"""),"Señaletica Proh Subir Bajar Plat T 23X33")</f>
        <v>Señaletica Proh Subir Bajar Plat T 23X33</v>
      </c>
      <c r="C1318" s="380" t="str">
        <f>IFERROR(__xludf.DUMMYFUNCTION("""COMPUTED_VALUE"""),"10001135")</f>
        <v>10001135</v>
      </c>
      <c r="D1318" s="380" t="s">
        <v>767</v>
      </c>
      <c r="E1318" s="380" t="s">
        <v>768</v>
      </c>
      <c r="F1318" s="380" t="s">
        <v>2005</v>
      </c>
      <c r="G1318" s="380" t="s">
        <v>1267</v>
      </c>
      <c r="H1318" s="380" t="s">
        <v>771</v>
      </c>
      <c r="I1318" s="380" t="s">
        <v>812</v>
      </c>
      <c r="J1318" s="380" t="s">
        <v>773</v>
      </c>
      <c r="K1318" s="381">
        <v>0.0</v>
      </c>
      <c r="L1318" s="382">
        <v>1.0</v>
      </c>
    </row>
    <row r="1319">
      <c r="A1319" s="380" t="s">
        <v>2164</v>
      </c>
      <c r="B1319" s="380" t="str">
        <f>IFERROR(__xludf.DUMMYFUNCTION("""COMPUTED_VALUE"""),"Señaletica Prohibido Paso Terminal 23X 3")</f>
        <v>Señaletica Prohibido Paso Terminal 23X 3</v>
      </c>
      <c r="C1319" s="380" t="str">
        <f>IFERROR(__xludf.DUMMYFUNCTION("""COMPUTED_VALUE"""),"10001136")</f>
        <v>10001136</v>
      </c>
      <c r="D1319" s="380" t="s">
        <v>767</v>
      </c>
      <c r="E1319" s="380" t="s">
        <v>768</v>
      </c>
      <c r="F1319" s="380" t="s">
        <v>2005</v>
      </c>
      <c r="G1319" s="380" t="s">
        <v>1267</v>
      </c>
      <c r="H1319" s="380" t="s">
        <v>771</v>
      </c>
      <c r="I1319" s="380" t="s">
        <v>812</v>
      </c>
      <c r="J1319" s="380" t="s">
        <v>773</v>
      </c>
      <c r="K1319" s="381">
        <v>0.0</v>
      </c>
      <c r="L1319" s="382">
        <v>1.0</v>
      </c>
    </row>
    <row r="1320">
      <c r="A1320" s="380" t="s">
        <v>2165</v>
      </c>
      <c r="B1320" s="380" t="str">
        <f>IFERROR(__xludf.DUMMYFUNCTION("""COMPUTED_VALUE"""),"Señaletica Solido Reactivo Al Agua 4.3")</f>
        <v>Señaletica Solido Reactivo Al Agua 4.3</v>
      </c>
      <c r="C1320" s="380" t="str">
        <f>IFERROR(__xludf.DUMMYFUNCTION("""COMPUTED_VALUE"""),"10001137")</f>
        <v>10001137</v>
      </c>
      <c r="D1320" s="380" t="s">
        <v>767</v>
      </c>
      <c r="E1320" s="380" t="s">
        <v>768</v>
      </c>
      <c r="F1320" s="380" t="s">
        <v>2005</v>
      </c>
      <c r="G1320" s="380" t="s">
        <v>1267</v>
      </c>
      <c r="H1320" s="380" t="s">
        <v>771</v>
      </c>
      <c r="I1320" s="380" t="s">
        <v>812</v>
      </c>
      <c r="J1320" s="380" t="s">
        <v>773</v>
      </c>
      <c r="K1320" s="381">
        <v>0.0</v>
      </c>
      <c r="L1320" s="382">
        <v>1.0</v>
      </c>
    </row>
    <row r="1321">
      <c r="A1321" s="380" t="s">
        <v>2166</v>
      </c>
      <c r="B1321" s="380" t="str">
        <f>IFERROR(__xludf.DUMMYFUNCTION("""COMPUTED_VALUE"""),"Señaletica Oxidante 5.1")</f>
        <v>Señaletica Oxidante 5.1</v>
      </c>
      <c r="C1321" s="380" t="str">
        <f>IFERROR(__xludf.DUMMYFUNCTION("""COMPUTED_VALUE"""),"10001138")</f>
        <v>10001138</v>
      </c>
      <c r="D1321" s="380" t="s">
        <v>767</v>
      </c>
      <c r="E1321" s="380" t="s">
        <v>768</v>
      </c>
      <c r="F1321" s="380" t="s">
        <v>2005</v>
      </c>
      <c r="G1321" s="380" t="s">
        <v>1267</v>
      </c>
      <c r="H1321" s="380" t="s">
        <v>771</v>
      </c>
      <c r="I1321" s="380" t="s">
        <v>812</v>
      </c>
      <c r="J1321" s="380" t="s">
        <v>773</v>
      </c>
      <c r="K1321" s="381">
        <v>0.0</v>
      </c>
      <c r="L1321" s="382">
        <v>1.0</v>
      </c>
    </row>
    <row r="1322">
      <c r="A1322" s="380" t="s">
        <v>2167</v>
      </c>
      <c r="B1322" s="380" t="str">
        <f>IFERROR(__xludf.DUMMYFUNCTION("""COMPUTED_VALUE"""),"Señaletica Peroxido Organico 5.2")</f>
        <v>Señaletica Peroxido Organico 5.2</v>
      </c>
      <c r="C1322" s="380" t="str">
        <f>IFERROR(__xludf.DUMMYFUNCTION("""COMPUTED_VALUE"""),"10001139")</f>
        <v>10001139</v>
      </c>
      <c r="D1322" s="380" t="s">
        <v>767</v>
      </c>
      <c r="E1322" s="380" t="s">
        <v>768</v>
      </c>
      <c r="F1322" s="380" t="s">
        <v>2005</v>
      </c>
      <c r="G1322" s="380" t="s">
        <v>1267</v>
      </c>
      <c r="H1322" s="380" t="s">
        <v>771</v>
      </c>
      <c r="I1322" s="380" t="s">
        <v>812</v>
      </c>
      <c r="J1322" s="380" t="s">
        <v>773</v>
      </c>
      <c r="K1322" s="381">
        <v>0.0</v>
      </c>
      <c r="L1322" s="382">
        <v>1.0</v>
      </c>
    </row>
    <row r="1323">
      <c r="A1323" s="380" t="s">
        <v>2168</v>
      </c>
      <c r="B1323" s="380" t="str">
        <f>IFERROR(__xludf.DUMMYFUNCTION("""COMPUTED_VALUE"""),"Señaletica Gas Inflamable 2.1")</f>
        <v>Señaletica Gas Inflamable 2.1</v>
      </c>
      <c r="C1323" s="380" t="str">
        <f>IFERROR(__xludf.DUMMYFUNCTION("""COMPUTED_VALUE"""),"10001140")</f>
        <v>10001140</v>
      </c>
      <c r="D1323" s="380" t="s">
        <v>767</v>
      </c>
      <c r="E1323" s="380" t="s">
        <v>768</v>
      </c>
      <c r="F1323" s="380" t="s">
        <v>2005</v>
      </c>
      <c r="G1323" s="380" t="s">
        <v>1267</v>
      </c>
      <c r="H1323" s="380" t="s">
        <v>771</v>
      </c>
      <c r="I1323" s="380" t="s">
        <v>812</v>
      </c>
      <c r="J1323" s="380" t="s">
        <v>773</v>
      </c>
      <c r="K1323" s="381">
        <v>0.0</v>
      </c>
      <c r="L1323" s="382">
        <v>1.0</v>
      </c>
    </row>
    <row r="1324">
      <c r="A1324" s="380" t="s">
        <v>2169</v>
      </c>
      <c r="B1324" s="380" t="str">
        <f>IFERROR(__xludf.DUMMYFUNCTION("""COMPUTED_VALUE"""),"Señaletica Solido Inflamable 4.1")</f>
        <v>Señaletica Solido Inflamable 4.1</v>
      </c>
      <c r="C1324" s="380" t="str">
        <f>IFERROR(__xludf.DUMMYFUNCTION("""COMPUTED_VALUE"""),"10001141")</f>
        <v>10001141</v>
      </c>
      <c r="D1324" s="380" t="s">
        <v>767</v>
      </c>
      <c r="E1324" s="380" t="s">
        <v>768</v>
      </c>
      <c r="F1324" s="380" t="s">
        <v>2005</v>
      </c>
      <c r="G1324" s="380" t="s">
        <v>1267</v>
      </c>
      <c r="H1324" s="380" t="s">
        <v>771</v>
      </c>
      <c r="I1324" s="380" t="s">
        <v>812</v>
      </c>
      <c r="J1324" s="380" t="s">
        <v>773</v>
      </c>
      <c r="K1324" s="381">
        <v>0.0</v>
      </c>
      <c r="L1324" s="382">
        <v>1.0</v>
      </c>
    </row>
    <row r="1325">
      <c r="A1325" s="380" t="s">
        <v>2170</v>
      </c>
      <c r="B1325" s="380" t="str">
        <f>IFERROR(__xludf.DUMMYFUNCTION("""COMPUTED_VALUE"""),"Señaletica Toxico 6.1")</f>
        <v>Señaletica Toxico 6.1</v>
      </c>
      <c r="C1325" s="380" t="str">
        <f>IFERROR(__xludf.DUMMYFUNCTION("""COMPUTED_VALUE"""),"10001142")</f>
        <v>10001142</v>
      </c>
      <c r="D1325" s="380" t="s">
        <v>767</v>
      </c>
      <c r="E1325" s="380" t="s">
        <v>768</v>
      </c>
      <c r="F1325" s="380" t="s">
        <v>2005</v>
      </c>
      <c r="G1325" s="380" t="s">
        <v>1267</v>
      </c>
      <c r="H1325" s="380" t="s">
        <v>771</v>
      </c>
      <c r="I1325" s="380" t="s">
        <v>812</v>
      </c>
      <c r="J1325" s="380" t="s">
        <v>773</v>
      </c>
      <c r="K1325" s="381">
        <v>0.0</v>
      </c>
      <c r="L1325" s="382">
        <v>1.0</v>
      </c>
    </row>
    <row r="1326">
      <c r="A1326" s="380" t="s">
        <v>2171</v>
      </c>
      <c r="B1326" s="380" t="str">
        <f>IFERROR(__xludf.DUMMYFUNCTION("""COMPUTED_VALUE"""),"Señaletica Corrosivos 8")</f>
        <v>Señaletica Corrosivos 8</v>
      </c>
      <c r="C1326" s="380" t="str">
        <f>IFERROR(__xludf.DUMMYFUNCTION("""COMPUTED_VALUE"""),"10001143")</f>
        <v>10001143</v>
      </c>
      <c r="D1326" s="380" t="s">
        <v>767</v>
      </c>
      <c r="E1326" s="380" t="s">
        <v>768</v>
      </c>
      <c r="F1326" s="380" t="s">
        <v>2005</v>
      </c>
      <c r="G1326" s="380" t="s">
        <v>1267</v>
      </c>
      <c r="H1326" s="380" t="s">
        <v>771</v>
      </c>
      <c r="I1326" s="380" t="s">
        <v>812</v>
      </c>
      <c r="J1326" s="380" t="s">
        <v>773</v>
      </c>
      <c r="K1326" s="381">
        <v>0.0</v>
      </c>
      <c r="L1326" s="382">
        <v>1.0</v>
      </c>
    </row>
    <row r="1327">
      <c r="A1327" s="380" t="s">
        <v>2172</v>
      </c>
      <c r="B1327" s="380" t="str">
        <f>IFERROR(__xludf.DUMMYFUNCTION("""COMPUTED_VALUE"""),"Señaletica Mercancia Peligrosa Varia 9")</f>
        <v>Señaletica Mercancia Peligrosa Varia 9</v>
      </c>
      <c r="C1327" s="380" t="str">
        <f>IFERROR(__xludf.DUMMYFUNCTION("""COMPUTED_VALUE"""),"10001144")</f>
        <v>10001144</v>
      </c>
      <c r="D1327" s="380" t="s">
        <v>767</v>
      </c>
      <c r="E1327" s="380" t="s">
        <v>768</v>
      </c>
      <c r="F1327" s="380" t="s">
        <v>2005</v>
      </c>
      <c r="G1327" s="380" t="s">
        <v>1267</v>
      </c>
      <c r="H1327" s="380" t="s">
        <v>771</v>
      </c>
      <c r="I1327" s="380" t="s">
        <v>812</v>
      </c>
      <c r="J1327" s="380" t="s">
        <v>773</v>
      </c>
      <c r="K1327" s="381">
        <v>0.0</v>
      </c>
      <c r="L1327" s="382">
        <v>1.0</v>
      </c>
    </row>
    <row r="1328">
      <c r="A1328" s="380" t="s">
        <v>2173</v>
      </c>
      <c r="B1328" s="380" t="str">
        <f>IFERROR(__xludf.DUMMYFUNCTION("""COMPUTED_VALUE"""),"Señaleticas Varias")</f>
        <v>Señaleticas Varias</v>
      </c>
      <c r="C1328" s="380" t="str">
        <f>IFERROR(__xludf.DUMMYFUNCTION("""COMPUTED_VALUE"""),"10001145")</f>
        <v>10001145</v>
      </c>
      <c r="D1328" s="380" t="s">
        <v>767</v>
      </c>
      <c r="E1328" s="380" t="s">
        <v>768</v>
      </c>
      <c r="F1328" s="380" t="s">
        <v>2005</v>
      </c>
      <c r="G1328" s="380" t="s">
        <v>1267</v>
      </c>
      <c r="H1328" s="380" t="s">
        <v>771</v>
      </c>
      <c r="I1328" s="380" t="s">
        <v>812</v>
      </c>
      <c r="J1328" s="380" t="s">
        <v>773</v>
      </c>
      <c r="K1328" s="381">
        <v>0.0</v>
      </c>
      <c r="L1328" s="382">
        <v>1.0</v>
      </c>
    </row>
    <row r="1329">
      <c r="A1329" s="380" t="s">
        <v>2174</v>
      </c>
      <c r="B1329" s="380" t="str">
        <f>IFERROR(__xludf.DUMMYFUNCTION("""COMPUTED_VALUE"""),"Señaletica Camara Base 14.5 X 20""")</f>
        <v>Señaletica Camara Base 14.5 X 20"</v>
      </c>
      <c r="C1329" s="380" t="str">
        <f>IFERROR(__xludf.DUMMYFUNCTION("""COMPUTED_VALUE"""),"10001146")</f>
        <v>10001146</v>
      </c>
      <c r="D1329" s="380" t="s">
        <v>767</v>
      </c>
      <c r="E1329" s="380" t="s">
        <v>768</v>
      </c>
      <c r="F1329" s="380" t="s">
        <v>2005</v>
      </c>
      <c r="G1329" s="380" t="s">
        <v>1267</v>
      </c>
      <c r="H1329" s="380" t="s">
        <v>771</v>
      </c>
      <c r="I1329" s="380" t="s">
        <v>812</v>
      </c>
      <c r="J1329" s="380" t="s">
        <v>773</v>
      </c>
      <c r="K1329" s="381">
        <v>2920.0</v>
      </c>
      <c r="L1329" s="382">
        <v>1.0</v>
      </c>
    </row>
    <row r="1330">
      <c r="A1330" s="380" t="s">
        <v>2175</v>
      </c>
      <c r="B1330" s="380" t="str">
        <f>IFERROR(__xludf.DUMMYFUNCTION("""COMPUTED_VALUE"""),"Señaletica Muelle 25 X 35 Cms")</f>
        <v>Señaletica Muelle 25 X 35 Cms</v>
      </c>
      <c r="C1330" s="380" t="str">
        <f>IFERROR(__xludf.DUMMYFUNCTION("""COMPUTED_VALUE"""),"10001147")</f>
        <v>10001147</v>
      </c>
      <c r="D1330" s="380" t="s">
        <v>767</v>
      </c>
      <c r="E1330" s="380" t="s">
        <v>768</v>
      </c>
      <c r="F1330" s="380" t="s">
        <v>2005</v>
      </c>
      <c r="G1330" s="380" t="s">
        <v>1267</v>
      </c>
      <c r="H1330" s="380" t="s">
        <v>771</v>
      </c>
      <c r="I1330" s="380" t="s">
        <v>812</v>
      </c>
      <c r="J1330" s="380" t="s">
        <v>773</v>
      </c>
      <c r="K1330" s="381">
        <v>0.0</v>
      </c>
      <c r="L1330" s="382">
        <v>1.0</v>
      </c>
    </row>
    <row r="1331">
      <c r="A1331" s="380" t="s">
        <v>2176</v>
      </c>
      <c r="B1331" s="380" t="str">
        <f>IFERROR(__xludf.DUMMYFUNCTION("""COMPUTED_VALUE"""),"Señalética Baño Base - Dg 14.5 X 20")</f>
        <v>Señalética Baño Base - Dg 14.5 X 20</v>
      </c>
      <c r="C1331" s="380" t="str">
        <f>IFERROR(__xludf.DUMMYFUNCTION("""COMPUTED_VALUE"""),"10001148")</f>
        <v>10001148</v>
      </c>
      <c r="D1331" s="380" t="s">
        <v>767</v>
      </c>
      <c r="E1331" s="380" t="s">
        <v>768</v>
      </c>
      <c r="F1331" s="380" t="s">
        <v>2005</v>
      </c>
      <c r="G1331" s="380" t="s">
        <v>1267</v>
      </c>
      <c r="H1331" s="380" t="s">
        <v>771</v>
      </c>
      <c r="I1331" s="380" t="s">
        <v>812</v>
      </c>
      <c r="J1331" s="380" t="s">
        <v>773</v>
      </c>
      <c r="K1331" s="381">
        <v>10074.0</v>
      </c>
      <c r="L1331" s="382">
        <v>1.0</v>
      </c>
    </row>
    <row r="1332">
      <c r="A1332" s="380" t="s">
        <v>2177</v>
      </c>
      <c r="B1332" s="380" t="str">
        <f>IFERROR(__xludf.DUMMYFUNCTION("""COMPUTED_VALUE"""),"Señalética Estanteria Base 14.5 X 20")</f>
        <v>Señalética Estanteria Base 14.5 X 20</v>
      </c>
      <c r="C1332" s="380" t="str">
        <f>IFERROR(__xludf.DUMMYFUNCTION("""COMPUTED_VALUE"""),"10001149")</f>
        <v>10001149</v>
      </c>
      <c r="D1332" s="380" t="s">
        <v>767</v>
      </c>
      <c r="E1332" s="380" t="s">
        <v>768</v>
      </c>
      <c r="F1332" s="380" t="s">
        <v>2005</v>
      </c>
      <c r="G1332" s="380" t="s">
        <v>1267</v>
      </c>
      <c r="H1332" s="380" t="s">
        <v>771</v>
      </c>
      <c r="I1332" s="380" t="s">
        <v>812</v>
      </c>
      <c r="J1332" s="380" t="s">
        <v>773</v>
      </c>
      <c r="K1332" s="381">
        <v>8191.0</v>
      </c>
      <c r="L1332" s="382">
        <v>1.0</v>
      </c>
    </row>
    <row r="1333">
      <c r="A1333" s="380" t="s">
        <v>2178</v>
      </c>
      <c r="B1333" s="380" t="str">
        <f>IFERROR(__xludf.DUMMYFUNCTION("""COMPUTED_VALUE"""),"Señaletica Zona Botiquin Base 14.5 X 20")</f>
        <v>Señaletica Zona Botiquin Base 14.5 X 20</v>
      </c>
      <c r="C1333" s="380" t="str">
        <f>IFERROR(__xludf.DUMMYFUNCTION("""COMPUTED_VALUE"""),"10001150")</f>
        <v>10001150</v>
      </c>
      <c r="D1333" s="380" t="s">
        <v>767</v>
      </c>
      <c r="E1333" s="380" t="s">
        <v>768</v>
      </c>
      <c r="F1333" s="380" t="s">
        <v>2005</v>
      </c>
      <c r="G1333" s="380" t="s">
        <v>1267</v>
      </c>
      <c r="H1333" s="380" t="s">
        <v>771</v>
      </c>
      <c r="I1333" s="380" t="s">
        <v>812</v>
      </c>
      <c r="J1333" s="380" t="s">
        <v>773</v>
      </c>
      <c r="K1333" s="381">
        <v>8925.0</v>
      </c>
      <c r="L1333" s="382">
        <v>1.0</v>
      </c>
    </row>
    <row r="1334">
      <c r="A1334" s="380" t="s">
        <v>2179</v>
      </c>
      <c r="B1334" s="380" t="str">
        <f>IFERROR(__xludf.DUMMYFUNCTION("""COMPUTED_VALUE"""),"Señaletica Prohibido Paso Base14.5 X 20")</f>
        <v>Señaletica Prohibido Paso Base14.5 X 20</v>
      </c>
      <c r="C1334" s="380" t="str">
        <f>IFERROR(__xludf.DUMMYFUNCTION("""COMPUTED_VALUE"""),"10001151")</f>
        <v>10001151</v>
      </c>
      <c r="D1334" s="380" t="s">
        <v>767</v>
      </c>
      <c r="E1334" s="380" t="s">
        <v>768</v>
      </c>
      <c r="F1334" s="380" t="s">
        <v>2005</v>
      </c>
      <c r="G1334" s="380" t="s">
        <v>1267</v>
      </c>
      <c r="H1334" s="380" t="s">
        <v>771</v>
      </c>
      <c r="I1334" s="380" t="s">
        <v>812</v>
      </c>
      <c r="J1334" s="380" t="s">
        <v>773</v>
      </c>
      <c r="K1334" s="381">
        <v>9520.0</v>
      </c>
      <c r="L1334" s="382">
        <v>1.0</v>
      </c>
    </row>
    <row r="1335">
      <c r="A1335" s="380" t="s">
        <v>2180</v>
      </c>
      <c r="B1335" s="380" t="str">
        <f>IFERROR(__xludf.DUMMYFUNCTION("""COMPUTED_VALUE"""),"Señaletica Riesgo Electri Base 14.5 X 20")</f>
        <v>Señaletica Riesgo Electri Base 14.5 X 20</v>
      </c>
      <c r="C1335" s="380" t="str">
        <f>IFERROR(__xludf.DUMMYFUNCTION("""COMPUTED_VALUE"""),"10001152")</f>
        <v>10001152</v>
      </c>
      <c r="D1335" s="380" t="s">
        <v>767</v>
      </c>
      <c r="E1335" s="380" t="s">
        <v>768</v>
      </c>
      <c r="F1335" s="380" t="s">
        <v>2005</v>
      </c>
      <c r="G1335" s="380" t="s">
        <v>1267</v>
      </c>
      <c r="H1335" s="380" t="s">
        <v>771</v>
      </c>
      <c r="I1335" s="380" t="s">
        <v>812</v>
      </c>
      <c r="J1335" s="380" t="s">
        <v>773</v>
      </c>
      <c r="K1335" s="381">
        <v>8925.0</v>
      </c>
      <c r="L1335" s="382">
        <v>1.0</v>
      </c>
    </row>
    <row r="1336">
      <c r="A1336" s="380" t="s">
        <v>2181</v>
      </c>
      <c r="B1336" s="380" t="str">
        <f>IFERROR(__xludf.DUMMYFUNCTION("""COMPUTED_VALUE"""),"Señaletica Salida Emerg Izquierda 23x33")</f>
        <v>Señaletica Salida Emerg Izquierda 23x33</v>
      </c>
      <c r="C1336" s="380" t="str">
        <f>IFERROR(__xludf.DUMMYFUNCTION("""COMPUTED_VALUE"""),"10001153")</f>
        <v>10001153</v>
      </c>
      <c r="D1336" s="380" t="s">
        <v>767</v>
      </c>
      <c r="E1336" s="380" t="s">
        <v>768</v>
      </c>
      <c r="F1336" s="380" t="s">
        <v>2005</v>
      </c>
      <c r="G1336" s="380" t="s">
        <v>1267</v>
      </c>
      <c r="H1336" s="380" t="s">
        <v>771</v>
      </c>
      <c r="I1336" s="380" t="s">
        <v>812</v>
      </c>
      <c r="J1336" s="380" t="s">
        <v>773</v>
      </c>
      <c r="K1336" s="381">
        <v>0.0</v>
      </c>
      <c r="L1336" s="382">
        <v>1.0</v>
      </c>
    </row>
    <row r="1337">
      <c r="A1337" s="380" t="s">
        <v>2182</v>
      </c>
      <c r="B1337" s="380" t="str">
        <f>IFERROR(__xludf.DUMMYFUNCTION("""COMPUTED_VALUE"""),"Señaletica Extintor Co2 14.5x20")</f>
        <v>Señaletica Extintor Co2 14.5x20</v>
      </c>
      <c r="C1337" s="380" t="str">
        <f>IFERROR(__xludf.DUMMYFUNCTION("""COMPUTED_VALUE"""),"10001154")</f>
        <v>10001154</v>
      </c>
      <c r="D1337" s="380" t="s">
        <v>767</v>
      </c>
      <c r="E1337" s="380" t="s">
        <v>768</v>
      </c>
      <c r="F1337" s="380" t="s">
        <v>2005</v>
      </c>
      <c r="G1337" s="380" t="s">
        <v>1267</v>
      </c>
      <c r="H1337" s="380" t="s">
        <v>771</v>
      </c>
      <c r="I1337" s="380" t="s">
        <v>812</v>
      </c>
      <c r="J1337" s="380" t="s">
        <v>773</v>
      </c>
      <c r="K1337" s="381">
        <v>0.0</v>
      </c>
      <c r="L1337" s="382">
        <v>1.0</v>
      </c>
    </row>
    <row r="1338">
      <c r="A1338" s="380" t="s">
        <v>2183</v>
      </c>
      <c r="B1338" s="380" t="str">
        <f>IFERROR(__xludf.DUMMYFUNCTION("""COMPUTED_VALUE"""),"Señaletica Bajando Esc Flecha Dere 23x33")</f>
        <v>Señaletica Bajando Esc Flecha Dere 23x33</v>
      </c>
      <c r="C1338" s="380" t="str">
        <f>IFERROR(__xludf.DUMMYFUNCTION("""COMPUTED_VALUE"""),"10001155")</f>
        <v>10001155</v>
      </c>
      <c r="D1338" s="380" t="s">
        <v>767</v>
      </c>
      <c r="E1338" s="380" t="s">
        <v>768</v>
      </c>
      <c r="F1338" s="380" t="s">
        <v>2005</v>
      </c>
      <c r="G1338" s="380" t="s">
        <v>1267</v>
      </c>
      <c r="H1338" s="380" t="s">
        <v>771</v>
      </c>
      <c r="I1338" s="380" t="s">
        <v>812</v>
      </c>
      <c r="J1338" s="380" t="s">
        <v>773</v>
      </c>
      <c r="K1338" s="381">
        <v>0.0</v>
      </c>
      <c r="L1338" s="382">
        <v>1.0</v>
      </c>
    </row>
    <row r="1339">
      <c r="A1339" s="380" t="s">
        <v>2184</v>
      </c>
      <c r="B1339" s="380" t="str">
        <f>IFERROR(__xludf.DUMMYFUNCTION("""COMPUTED_VALUE"""),"Señaletica Zona Botiquin Terminal 23x33")</f>
        <v>Señaletica Zona Botiquin Terminal 23x33</v>
      </c>
      <c r="C1339" s="380" t="str">
        <f>IFERROR(__xludf.DUMMYFUNCTION("""COMPUTED_VALUE"""),"10001156")</f>
        <v>10001156</v>
      </c>
      <c r="D1339" s="380" t="s">
        <v>767</v>
      </c>
      <c r="E1339" s="380" t="s">
        <v>768</v>
      </c>
      <c r="F1339" s="380" t="s">
        <v>2005</v>
      </c>
      <c r="G1339" s="380" t="s">
        <v>1267</v>
      </c>
      <c r="H1339" s="380" t="s">
        <v>771</v>
      </c>
      <c r="I1339" s="380" t="s">
        <v>812</v>
      </c>
      <c r="J1339" s="380" t="s">
        <v>773</v>
      </c>
      <c r="K1339" s="381">
        <v>0.0</v>
      </c>
      <c r="L1339" s="382">
        <v>1.0</v>
      </c>
    </row>
    <row r="1340">
      <c r="A1340" s="380" t="s">
        <v>2185</v>
      </c>
      <c r="B1340" s="380" t="str">
        <f>IFERROR(__xludf.DUMMYFUNCTION("""COMPUTED_VALUE"""),"Señaletica Cctv Bases 14.5 X 20")</f>
        <v>Señaletica Cctv Bases 14.5 X 20</v>
      </c>
      <c r="C1340" s="380" t="str">
        <f>IFERROR(__xludf.DUMMYFUNCTION("""COMPUTED_VALUE"""),"10001157")</f>
        <v>10001157</v>
      </c>
      <c r="D1340" s="380" t="s">
        <v>767</v>
      </c>
      <c r="E1340" s="380" t="s">
        <v>768</v>
      </c>
      <c r="F1340" s="380" t="s">
        <v>2005</v>
      </c>
      <c r="G1340" s="380" t="s">
        <v>1267</v>
      </c>
      <c r="H1340" s="380" t="s">
        <v>771</v>
      </c>
      <c r="I1340" s="380" t="s">
        <v>812</v>
      </c>
      <c r="J1340" s="380" t="s">
        <v>773</v>
      </c>
      <c r="K1340" s="381">
        <v>8330.0</v>
      </c>
      <c r="L1340" s="382">
        <v>1.0</v>
      </c>
    </row>
    <row r="1341">
      <c r="A1341" s="380" t="s">
        <v>2186</v>
      </c>
      <c r="B1341" s="380" t="str">
        <f>IFERROR(__xludf.DUMMYFUNCTION("""COMPUTED_VALUE"""),"Plegable Estándares De Seguridad")</f>
        <v>Plegable Estándares De Seguridad</v>
      </c>
      <c r="C1341" s="380" t="str">
        <f>IFERROR(__xludf.DUMMYFUNCTION("""COMPUTED_VALUE"""),"10001158")</f>
        <v>10001158</v>
      </c>
      <c r="D1341" s="380" t="s">
        <v>767</v>
      </c>
      <c r="E1341" s="380" t="s">
        <v>768</v>
      </c>
      <c r="F1341" s="380" t="s">
        <v>2005</v>
      </c>
      <c r="G1341" s="380" t="s">
        <v>1267</v>
      </c>
      <c r="H1341" s="380" t="s">
        <v>771</v>
      </c>
      <c r="I1341" s="380" t="s">
        <v>812</v>
      </c>
      <c r="J1341" s="380" t="s">
        <v>773</v>
      </c>
      <c r="K1341" s="381">
        <v>0.0</v>
      </c>
      <c r="L1341" s="382">
        <v>1.0</v>
      </c>
    </row>
    <row r="1342">
      <c r="A1342" s="380" t="s">
        <v>2187</v>
      </c>
      <c r="B1342" s="380" t="str">
        <f>IFERROR(__xludf.DUMMYFUNCTION("""COMPUTED_VALUE"""),"Placas Codigo Un Acrilico")</f>
        <v>Placas Codigo Un Acrilico</v>
      </c>
      <c r="C1342" s="380" t="str">
        <f>IFERROR(__xludf.DUMMYFUNCTION("""COMPUTED_VALUE"""),"10001159")</f>
        <v>10001159</v>
      </c>
      <c r="D1342" s="380" t="s">
        <v>767</v>
      </c>
      <c r="E1342" s="380" t="s">
        <v>768</v>
      </c>
      <c r="F1342" s="380" t="s">
        <v>2005</v>
      </c>
      <c r="G1342" s="380" t="s">
        <v>1267</v>
      </c>
      <c r="H1342" s="380" t="s">
        <v>771</v>
      </c>
      <c r="I1342" s="380" t="s">
        <v>812</v>
      </c>
      <c r="J1342" s="380" t="s">
        <v>773</v>
      </c>
      <c r="K1342" s="381">
        <v>0.0</v>
      </c>
      <c r="L1342" s="382">
        <v>1.0</v>
      </c>
    </row>
    <row r="1343">
      <c r="A1343" s="380" t="s">
        <v>2188</v>
      </c>
      <c r="B1343" s="380" t="str">
        <f>IFERROR(__xludf.DUMMYFUNCTION("""COMPUTED_VALUE"""),"Plegables Calentamiento Y Pausas Activas")</f>
        <v>Plegables Calentamiento Y Pausas Activas</v>
      </c>
      <c r="C1343" s="380" t="str">
        <f>IFERROR(__xludf.DUMMYFUNCTION("""COMPUTED_VALUE"""),"10001160")</f>
        <v>10001160</v>
      </c>
      <c r="D1343" s="380" t="s">
        <v>767</v>
      </c>
      <c r="E1343" s="380" t="s">
        <v>768</v>
      </c>
      <c r="F1343" s="380" t="s">
        <v>2005</v>
      </c>
      <c r="G1343" s="380" t="s">
        <v>1267</v>
      </c>
      <c r="H1343" s="380" t="s">
        <v>771</v>
      </c>
      <c r="I1343" s="380" t="s">
        <v>812</v>
      </c>
      <c r="J1343" s="380" t="s">
        <v>773</v>
      </c>
      <c r="K1343" s="381">
        <v>0.0</v>
      </c>
      <c r="L1343" s="382">
        <v>1.0</v>
      </c>
    </row>
    <row r="1344">
      <c r="A1344" s="380" t="s">
        <v>2189</v>
      </c>
      <c r="B1344" s="380" t="str">
        <f>IFERROR(__xludf.DUMMYFUNCTION("""COMPUTED_VALUE"""),"Señaletica No Fumar Terminal 23 X 33")</f>
        <v>Señaletica No Fumar Terminal 23 X 33</v>
      </c>
      <c r="C1344" s="380" t="str">
        <f>IFERROR(__xludf.DUMMYFUNCTION("""COMPUTED_VALUE"""),"10001161")</f>
        <v>10001161</v>
      </c>
      <c r="D1344" s="380" t="s">
        <v>767</v>
      </c>
      <c r="E1344" s="380" t="s">
        <v>768</v>
      </c>
      <c r="F1344" s="380" t="s">
        <v>2005</v>
      </c>
      <c r="G1344" s="380" t="s">
        <v>1267</v>
      </c>
      <c r="H1344" s="380" t="s">
        <v>771</v>
      </c>
      <c r="I1344" s="380" t="s">
        <v>812</v>
      </c>
      <c r="J1344" s="380" t="s">
        <v>773</v>
      </c>
      <c r="K1344" s="381">
        <v>0.0</v>
      </c>
      <c r="L1344" s="382">
        <v>1.0</v>
      </c>
    </row>
    <row r="1345">
      <c r="A1345" s="380" t="s">
        <v>2190</v>
      </c>
      <c r="B1345" s="380" t="str">
        <f>IFERROR(__xludf.DUMMYFUNCTION("""COMPUTED_VALUE"""),"Señaletica No Comer Terminal 23 X 33")</f>
        <v>Señaletica No Comer Terminal 23 X 33</v>
      </c>
      <c r="C1345" s="380" t="str">
        <f>IFERROR(__xludf.DUMMYFUNCTION("""COMPUTED_VALUE"""),"10001162")</f>
        <v>10001162</v>
      </c>
      <c r="D1345" s="380" t="s">
        <v>767</v>
      </c>
      <c r="E1345" s="380" t="s">
        <v>768</v>
      </c>
      <c r="F1345" s="380" t="s">
        <v>2005</v>
      </c>
      <c r="G1345" s="380" t="s">
        <v>1267</v>
      </c>
      <c r="H1345" s="380" t="s">
        <v>771</v>
      </c>
      <c r="I1345" s="380" t="s">
        <v>812</v>
      </c>
      <c r="J1345" s="380" t="s">
        <v>773</v>
      </c>
      <c r="K1345" s="381">
        <v>0.0</v>
      </c>
      <c r="L1345" s="382">
        <v>1.0</v>
      </c>
    </row>
    <row r="1346">
      <c r="A1346" s="380" t="s">
        <v>2191</v>
      </c>
      <c r="B1346" s="380" t="str">
        <f>IFERROR(__xludf.DUMMYFUNCTION("""COMPUTED_VALUE"""),"Señalizacion No Celular 23 X 33")</f>
        <v>Señalizacion No Celular 23 X 33</v>
      </c>
      <c r="C1346" s="380" t="str">
        <f>IFERROR(__xludf.DUMMYFUNCTION("""COMPUTED_VALUE"""),"10001163")</f>
        <v>10001163</v>
      </c>
      <c r="D1346" s="380" t="s">
        <v>767</v>
      </c>
      <c r="E1346" s="380" t="s">
        <v>768</v>
      </c>
      <c r="F1346" s="380" t="s">
        <v>2005</v>
      </c>
      <c r="G1346" s="380" t="s">
        <v>1267</v>
      </c>
      <c r="H1346" s="380" t="s">
        <v>771</v>
      </c>
      <c r="I1346" s="380" t="s">
        <v>812</v>
      </c>
      <c r="J1346" s="380" t="s">
        <v>773</v>
      </c>
      <c r="K1346" s="381">
        <v>0.0</v>
      </c>
      <c r="L1346" s="382">
        <v>1.0</v>
      </c>
    </row>
    <row r="1347">
      <c r="A1347" s="380" t="s">
        <v>2192</v>
      </c>
      <c r="B1347" s="380" t="str">
        <f>IFERROR(__xludf.DUMMYFUNCTION("""COMPUTED_VALUE"""),"Señaletica No Soldar Terminal 23 X 33")</f>
        <v>Señaletica No Soldar Terminal 23 X 33</v>
      </c>
      <c r="C1347" s="380" t="str">
        <f>IFERROR(__xludf.DUMMYFUNCTION("""COMPUTED_VALUE"""),"10001164")</f>
        <v>10001164</v>
      </c>
      <c r="D1347" s="380" t="s">
        <v>767</v>
      </c>
      <c r="E1347" s="380" t="s">
        <v>768</v>
      </c>
      <c r="F1347" s="380" t="s">
        <v>2005</v>
      </c>
      <c r="G1347" s="380" t="s">
        <v>1267</v>
      </c>
      <c r="H1347" s="380" t="s">
        <v>771</v>
      </c>
      <c r="I1347" s="380" t="s">
        <v>812</v>
      </c>
      <c r="J1347" s="380" t="s">
        <v>773</v>
      </c>
      <c r="K1347" s="381">
        <v>0.0</v>
      </c>
      <c r="L1347" s="382">
        <v>1.0</v>
      </c>
    </row>
    <row r="1348">
      <c r="A1348" s="380" t="s">
        <v>2193</v>
      </c>
      <c r="B1348" s="380" t="str">
        <f>IFERROR(__xludf.DUMMYFUNCTION("""COMPUTED_VALUE"""),"Señaletica Boton Emerg Terminal 23 X 33")</f>
        <v>Señaletica Boton Emerg Terminal 23 X 33</v>
      </c>
      <c r="C1348" s="380" t="str">
        <f>IFERROR(__xludf.DUMMYFUNCTION("""COMPUTED_VALUE"""),"10001165")</f>
        <v>10001165</v>
      </c>
      <c r="D1348" s="380" t="s">
        <v>767</v>
      </c>
      <c r="E1348" s="380" t="s">
        <v>768</v>
      </c>
      <c r="F1348" s="380" t="s">
        <v>2005</v>
      </c>
      <c r="G1348" s="380" t="s">
        <v>1267</v>
      </c>
      <c r="H1348" s="380" t="s">
        <v>771</v>
      </c>
      <c r="I1348" s="380" t="s">
        <v>812</v>
      </c>
      <c r="J1348" s="380" t="s">
        <v>773</v>
      </c>
      <c r="K1348" s="381">
        <v>0.0</v>
      </c>
      <c r="L1348" s="382">
        <v>1.0</v>
      </c>
    </row>
    <row r="1349">
      <c r="A1349" s="380" t="s">
        <v>2194</v>
      </c>
      <c r="B1349" s="380" t="str">
        <f>IFERROR(__xludf.DUMMYFUNCTION("""COMPUTED_VALUE"""),"Señaletica Gas Inerte 2.2")</f>
        <v>Señaletica Gas Inerte 2.2</v>
      </c>
      <c r="C1349" s="380" t="str">
        <f>IFERROR(__xludf.DUMMYFUNCTION("""COMPUTED_VALUE"""),"10001166")</f>
        <v>10001166</v>
      </c>
      <c r="D1349" s="380" t="s">
        <v>767</v>
      </c>
      <c r="E1349" s="380" t="s">
        <v>768</v>
      </c>
      <c r="F1349" s="380" t="s">
        <v>2005</v>
      </c>
      <c r="G1349" s="380" t="s">
        <v>1267</v>
      </c>
      <c r="H1349" s="380" t="s">
        <v>771</v>
      </c>
      <c r="I1349" s="380" t="s">
        <v>812</v>
      </c>
      <c r="J1349" s="380" t="s">
        <v>773</v>
      </c>
      <c r="K1349" s="381">
        <v>0.0</v>
      </c>
      <c r="L1349" s="382">
        <v>1.0</v>
      </c>
    </row>
    <row r="1350">
      <c r="A1350" s="380" t="s">
        <v>2195</v>
      </c>
      <c r="B1350" s="380" t="str">
        <f>IFERROR(__xludf.DUMMYFUNCTION("""COMPUTED_VALUE"""),"Señaletica Liquido Inflamable 3")</f>
        <v>Señaletica Liquido Inflamable 3</v>
      </c>
      <c r="C1350" s="380" t="str">
        <f>IFERROR(__xludf.DUMMYFUNCTION("""COMPUTED_VALUE"""),"10001167")</f>
        <v>10001167</v>
      </c>
      <c r="D1350" s="380" t="s">
        <v>767</v>
      </c>
      <c r="E1350" s="380" t="s">
        <v>768</v>
      </c>
      <c r="F1350" s="380" t="s">
        <v>2005</v>
      </c>
      <c r="G1350" s="380" t="s">
        <v>1267</v>
      </c>
      <c r="H1350" s="380" t="s">
        <v>771</v>
      </c>
      <c r="I1350" s="380" t="s">
        <v>812</v>
      </c>
      <c r="J1350" s="380" t="s">
        <v>773</v>
      </c>
      <c r="K1350" s="381">
        <v>0.0</v>
      </c>
      <c r="L1350" s="382">
        <v>1.0</v>
      </c>
    </row>
    <row r="1351">
      <c r="A1351" s="380" t="s">
        <v>2196</v>
      </c>
      <c r="B1351" s="380" t="str">
        <f>IFERROR(__xludf.DUMMYFUNCTION("""COMPUTED_VALUE"""),"Señaletica Sol Comb Esponta-Autoinfl4.2")</f>
        <v>Señaletica Sol Comb Esponta-Autoinfl4.2</v>
      </c>
      <c r="C1351" s="380" t="str">
        <f>IFERROR(__xludf.DUMMYFUNCTION("""COMPUTED_VALUE"""),"10001168")</f>
        <v>10001168</v>
      </c>
      <c r="D1351" s="380" t="s">
        <v>767</v>
      </c>
      <c r="E1351" s="380" t="s">
        <v>768</v>
      </c>
      <c r="F1351" s="380" t="s">
        <v>2005</v>
      </c>
      <c r="G1351" s="380" t="s">
        <v>1267</v>
      </c>
      <c r="H1351" s="380" t="s">
        <v>771</v>
      </c>
      <c r="I1351" s="380" t="s">
        <v>812</v>
      </c>
      <c r="J1351" s="380" t="s">
        <v>773</v>
      </c>
      <c r="K1351" s="381">
        <v>0.0</v>
      </c>
      <c r="L1351" s="382">
        <v>1.0</v>
      </c>
    </row>
    <row r="1352">
      <c r="A1352" s="380" t="s">
        <v>2197</v>
      </c>
      <c r="B1352" s="380" t="str">
        <f>IFERROR(__xludf.DUMMYFUNCTION("""COMPUTED_VALUE"""),"Señalética Estibas Bases 14.5 X 20")</f>
        <v>Señalética Estibas Bases 14.5 X 20</v>
      </c>
      <c r="C1352" s="380" t="str">
        <f>IFERROR(__xludf.DUMMYFUNCTION("""COMPUTED_VALUE"""),"10001169")</f>
        <v>10001169</v>
      </c>
      <c r="D1352" s="380" t="s">
        <v>767</v>
      </c>
      <c r="E1352" s="380" t="s">
        <v>768</v>
      </c>
      <c r="F1352" s="380" t="s">
        <v>2005</v>
      </c>
      <c r="G1352" s="380" t="s">
        <v>1267</v>
      </c>
      <c r="H1352" s="380" t="s">
        <v>771</v>
      </c>
      <c r="I1352" s="380" t="s">
        <v>812</v>
      </c>
      <c r="J1352" s="380" t="s">
        <v>773</v>
      </c>
      <c r="K1352" s="381">
        <v>9520.0</v>
      </c>
      <c r="L1352" s="382">
        <v>1.0</v>
      </c>
    </row>
    <row r="1353">
      <c r="A1353" s="380" t="s">
        <v>2198</v>
      </c>
      <c r="B1353" s="380" t="str">
        <f>IFERROR(__xludf.DUMMYFUNCTION("""COMPUTED_VALUE"""),"Pasador Electrom.Control Apert")</f>
        <v>Pasador Electrom.Control Apert</v>
      </c>
      <c r="C1353" s="380" t="str">
        <f>IFERROR(__xludf.DUMMYFUNCTION("""COMPUTED_VALUE"""),"10001173")</f>
        <v>10001173</v>
      </c>
      <c r="D1353" s="380" t="s">
        <v>767</v>
      </c>
      <c r="E1353" s="380" t="s">
        <v>768</v>
      </c>
      <c r="F1353" s="380" t="s">
        <v>797</v>
      </c>
      <c r="G1353" s="380" t="s">
        <v>1267</v>
      </c>
      <c r="H1353" s="380" t="s">
        <v>771</v>
      </c>
      <c r="I1353" s="380" t="s">
        <v>799</v>
      </c>
      <c r="J1353" s="380" t="s">
        <v>773</v>
      </c>
      <c r="K1353" s="381">
        <v>436760.0</v>
      </c>
      <c r="L1353" s="382">
        <v>1.0</v>
      </c>
    </row>
    <row r="1354">
      <c r="A1354" s="380" t="s">
        <v>2199</v>
      </c>
      <c r="B1354" s="380" t="str">
        <f>IFERROR(__xludf.DUMMYFUNCTION("""COMPUTED_VALUE"""),"Modulo Bloqueo Gps S-8/M8")</f>
        <v>Modulo Bloqueo Gps S-8/M8</v>
      </c>
      <c r="C1354" s="380" t="str">
        <f>IFERROR(__xludf.DUMMYFUNCTION("""COMPUTED_VALUE"""),"10001174")</f>
        <v>10001174</v>
      </c>
      <c r="D1354" s="380" t="s">
        <v>767</v>
      </c>
      <c r="E1354" s="380" t="s">
        <v>768</v>
      </c>
      <c r="F1354" s="380" t="s">
        <v>797</v>
      </c>
      <c r="G1354" s="380" t="s">
        <v>1267</v>
      </c>
      <c r="H1354" s="380" t="s">
        <v>771</v>
      </c>
      <c r="I1354" s="380" t="s">
        <v>799</v>
      </c>
      <c r="J1354" s="380" t="s">
        <v>773</v>
      </c>
      <c r="K1354" s="381">
        <v>78524.0</v>
      </c>
      <c r="L1354" s="382">
        <v>1.0</v>
      </c>
    </row>
    <row r="1355">
      <c r="A1355" s="380" t="s">
        <v>2200</v>
      </c>
      <c r="B1355" s="380" t="str">
        <f>IFERROR(__xludf.DUMMYFUNCTION("""COMPUTED_VALUE"""),"Cable De Audio 2x1")</f>
        <v>Cable De Audio 2x1</v>
      </c>
      <c r="C1355" s="380" t="str">
        <f>IFERROR(__xludf.DUMMYFUNCTION("""COMPUTED_VALUE"""),"10001175")</f>
        <v>10001175</v>
      </c>
      <c r="D1355" s="380" t="s">
        <v>767</v>
      </c>
      <c r="E1355" s="380" t="s">
        <v>768</v>
      </c>
      <c r="F1355" s="380" t="s">
        <v>797</v>
      </c>
      <c r="G1355" s="380" t="s">
        <v>1267</v>
      </c>
      <c r="H1355" s="380" t="s">
        <v>771</v>
      </c>
      <c r="I1355" s="380" t="s">
        <v>799</v>
      </c>
      <c r="J1355" s="380" t="s">
        <v>773</v>
      </c>
      <c r="K1355" s="381">
        <v>0.0</v>
      </c>
      <c r="L1355" s="382">
        <v>1.0</v>
      </c>
    </row>
    <row r="1356">
      <c r="A1356" s="380" t="s">
        <v>2201</v>
      </c>
      <c r="B1356" s="380" t="str">
        <f>IFERROR(__xludf.DUMMYFUNCTION("""COMPUTED_VALUE"""),"Rollo Etiquetas 10x10 Impresor")</f>
        <v>Rollo Etiquetas 10x10 Impresor</v>
      </c>
      <c r="C1356" s="380" t="str">
        <f>IFERROR(__xludf.DUMMYFUNCTION("""COMPUTED_VALUE"""),"10001176")</f>
        <v>10001176</v>
      </c>
      <c r="D1356" s="380" t="s">
        <v>767</v>
      </c>
      <c r="E1356" s="380" t="s">
        <v>768</v>
      </c>
      <c r="F1356" s="380" t="s">
        <v>797</v>
      </c>
      <c r="G1356" s="380" t="s">
        <v>1267</v>
      </c>
      <c r="H1356" s="380" t="s">
        <v>771</v>
      </c>
      <c r="I1356" s="380" t="s">
        <v>799</v>
      </c>
      <c r="J1356" s="380" t="s">
        <v>773</v>
      </c>
      <c r="K1356" s="381">
        <v>25585.0</v>
      </c>
      <c r="L1356" s="382">
        <v>1.0</v>
      </c>
    </row>
    <row r="1357">
      <c r="A1357" s="380" t="s">
        <v>2202</v>
      </c>
      <c r="B1357" s="380" t="str">
        <f>IFERROR(__xludf.DUMMYFUNCTION("""COMPUTED_VALUE"""),"Hablador Con Audio Para Base Y")</f>
        <v>Hablador Con Audio Para Base Y</v>
      </c>
      <c r="C1357" s="380" t="str">
        <f>IFERROR(__xludf.DUMMYFUNCTION("""COMPUTED_VALUE"""),"10001177")</f>
        <v>10001177</v>
      </c>
      <c r="D1357" s="380" t="s">
        <v>767</v>
      </c>
      <c r="E1357" s="380" t="s">
        <v>768</v>
      </c>
      <c r="F1357" s="380" t="s">
        <v>1945</v>
      </c>
      <c r="G1357" s="380" t="s">
        <v>1267</v>
      </c>
      <c r="H1357" s="380" t="s">
        <v>771</v>
      </c>
      <c r="I1357" s="380" t="s">
        <v>1946</v>
      </c>
      <c r="J1357" s="380" t="s">
        <v>773</v>
      </c>
      <c r="K1357" s="381">
        <v>239000.0</v>
      </c>
      <c r="L1357" s="382">
        <v>1.0</v>
      </c>
    </row>
    <row r="1358">
      <c r="A1358" s="380" t="s">
        <v>2203</v>
      </c>
      <c r="B1358" s="380" t="str">
        <f>IFERROR(__xludf.DUMMYFUNCTION("""COMPUTED_VALUE"""),"Rollo Papel Kraft 30""")</f>
        <v>Rollo Papel Kraft 30"</v>
      </c>
      <c r="C1358" s="380" t="str">
        <f>IFERROR(__xludf.DUMMYFUNCTION("""COMPUTED_VALUE"""),"10001178")</f>
        <v>10001178</v>
      </c>
      <c r="D1358" s="380" t="s">
        <v>767</v>
      </c>
      <c r="E1358" s="380" t="s">
        <v>768</v>
      </c>
      <c r="F1358" s="380" t="s">
        <v>797</v>
      </c>
      <c r="G1358" s="380" t="s">
        <v>1267</v>
      </c>
      <c r="H1358" s="380" t="s">
        <v>771</v>
      </c>
      <c r="I1358" s="380" t="s">
        <v>799</v>
      </c>
      <c r="J1358" s="380" t="s">
        <v>773</v>
      </c>
      <c r="K1358" s="381">
        <v>0.0</v>
      </c>
      <c r="L1358" s="382">
        <v>1.0</v>
      </c>
    </row>
    <row r="1359">
      <c r="A1359" s="380" t="s">
        <v>2204</v>
      </c>
      <c r="B1359" s="380" t="str">
        <f>IFERROR(__xludf.DUMMYFUNCTION("""COMPUTED_VALUE"""),"Bases Para Aps Aruba")</f>
        <v>Bases Para Aps Aruba</v>
      </c>
      <c r="C1359" s="380" t="str">
        <f>IFERROR(__xludf.DUMMYFUNCTION("""COMPUTED_VALUE"""),"10001179")</f>
        <v>10001179</v>
      </c>
      <c r="D1359" s="380" t="s">
        <v>767</v>
      </c>
      <c r="E1359" s="380" t="s">
        <v>768</v>
      </c>
      <c r="F1359" s="380" t="s">
        <v>797</v>
      </c>
      <c r="G1359" s="380" t="s">
        <v>1267</v>
      </c>
      <c r="H1359" s="380" t="s">
        <v>771</v>
      </c>
      <c r="I1359" s="380" t="s">
        <v>799</v>
      </c>
      <c r="J1359" s="380" t="s">
        <v>773</v>
      </c>
      <c r="K1359" s="381">
        <v>0.0</v>
      </c>
      <c r="L1359" s="382">
        <v>1.0</v>
      </c>
    </row>
    <row r="1360">
      <c r="A1360" s="380" t="s">
        <v>2205</v>
      </c>
      <c r="B1360" s="380" t="str">
        <f>IFERROR(__xludf.DUMMYFUNCTION("""COMPUTED_VALUE"""),"Vaso Kug - Mercadeo")</f>
        <v>Vaso Kug - Mercadeo</v>
      </c>
      <c r="C1360" s="380" t="str">
        <f>IFERROR(__xludf.DUMMYFUNCTION("""COMPUTED_VALUE"""),"10001190")</f>
        <v>10001190</v>
      </c>
      <c r="D1360" s="380" t="s">
        <v>767</v>
      </c>
      <c r="E1360" s="380" t="s">
        <v>768</v>
      </c>
      <c r="F1360" s="380" t="s">
        <v>1292</v>
      </c>
      <c r="G1360" s="380" t="s">
        <v>1267</v>
      </c>
      <c r="H1360" s="380" t="s">
        <v>771</v>
      </c>
      <c r="I1360" s="380" t="s">
        <v>1284</v>
      </c>
      <c r="J1360" s="380" t="s">
        <v>773</v>
      </c>
      <c r="K1360" s="381">
        <v>2440.0</v>
      </c>
      <c r="L1360" s="382">
        <v>1.0</v>
      </c>
    </row>
    <row r="1361">
      <c r="A1361" s="380" t="s">
        <v>2206</v>
      </c>
      <c r="B1361" s="380" t="str">
        <f>IFERROR(__xludf.DUMMYFUNCTION("""COMPUTED_VALUE"""),"Sticker Aliados Droop")</f>
        <v>Sticker Aliados Droop</v>
      </c>
      <c r="C1361" s="380" t="str">
        <f>IFERROR(__xludf.DUMMYFUNCTION("""COMPUTED_VALUE"""),"10001191")</f>
        <v>10001191</v>
      </c>
      <c r="D1361" s="380" t="s">
        <v>767</v>
      </c>
      <c r="E1361" s="380" t="s">
        <v>768</v>
      </c>
      <c r="F1361" s="380" t="s">
        <v>1292</v>
      </c>
      <c r="G1361" s="380" t="s">
        <v>1267</v>
      </c>
      <c r="H1361" s="380" t="s">
        <v>771</v>
      </c>
      <c r="I1361" s="380" t="s">
        <v>1284</v>
      </c>
      <c r="J1361" s="380" t="s">
        <v>773</v>
      </c>
      <c r="K1361" s="381">
        <v>5548.0</v>
      </c>
      <c r="L1361" s="382">
        <v>1.0</v>
      </c>
    </row>
    <row r="1362">
      <c r="A1362" s="380" t="s">
        <v>2207</v>
      </c>
      <c r="B1362" s="380" t="str">
        <f>IFERROR(__xludf.DUMMYFUNCTION("""COMPUTED_VALUE"""),"Agenda Mercadeo")</f>
        <v>Agenda Mercadeo</v>
      </c>
      <c r="C1362" s="380" t="str">
        <f>IFERROR(__xludf.DUMMYFUNCTION("""COMPUTED_VALUE"""),"10001192")</f>
        <v>10001192</v>
      </c>
      <c r="D1362" s="380" t="s">
        <v>767</v>
      </c>
      <c r="E1362" s="380" t="s">
        <v>768</v>
      </c>
      <c r="F1362" s="380" t="s">
        <v>1292</v>
      </c>
      <c r="G1362" s="380" t="s">
        <v>1267</v>
      </c>
      <c r="H1362" s="380" t="s">
        <v>771</v>
      </c>
      <c r="I1362" s="380" t="s">
        <v>1284</v>
      </c>
      <c r="J1362" s="380" t="s">
        <v>773</v>
      </c>
      <c r="K1362" s="381">
        <v>10011.0</v>
      </c>
      <c r="L1362" s="382">
        <v>1.0</v>
      </c>
    </row>
    <row r="1363">
      <c r="A1363" s="380" t="s">
        <v>2208</v>
      </c>
      <c r="B1363" s="380" t="str">
        <f>IFERROR(__xludf.DUMMYFUNCTION("""COMPUTED_VALUE"""),"Memoria Ram Ddr5 Para Portatil")</f>
        <v>Memoria Ram Ddr5 Para Portatil</v>
      </c>
      <c r="C1363" s="380" t="str">
        <f>IFERROR(__xludf.DUMMYFUNCTION("""COMPUTED_VALUE"""),"10001193")</f>
        <v>10001193</v>
      </c>
      <c r="D1363" s="380" t="s">
        <v>767</v>
      </c>
      <c r="E1363" s="380" t="s">
        <v>768</v>
      </c>
      <c r="F1363" s="380" t="s">
        <v>797</v>
      </c>
      <c r="G1363" s="380" t="s">
        <v>1267</v>
      </c>
      <c r="H1363" s="380" t="s">
        <v>771</v>
      </c>
      <c r="I1363" s="380" t="s">
        <v>799</v>
      </c>
      <c r="J1363" s="380" t="s">
        <v>773</v>
      </c>
      <c r="K1363" s="381">
        <v>0.0</v>
      </c>
      <c r="L1363" s="382">
        <v>1.0</v>
      </c>
    </row>
    <row r="1364">
      <c r="A1364" s="380" t="s">
        <v>2209</v>
      </c>
      <c r="B1364" s="380" t="str">
        <f>IFERROR(__xludf.DUMMYFUNCTION("""COMPUTED_VALUE"""),"Tarjeta Adhesiva Aliados")</f>
        <v>Tarjeta Adhesiva Aliados</v>
      </c>
      <c r="C1364" s="380" t="str">
        <f>IFERROR(__xludf.DUMMYFUNCTION("""COMPUTED_VALUE"""),"10001194")</f>
        <v>10001194</v>
      </c>
      <c r="D1364" s="380" t="s">
        <v>767</v>
      </c>
      <c r="E1364" s="380" t="s">
        <v>768</v>
      </c>
      <c r="F1364" s="380" t="s">
        <v>1292</v>
      </c>
      <c r="G1364" s="380" t="s">
        <v>1267</v>
      </c>
      <c r="H1364" s="380" t="s">
        <v>771</v>
      </c>
      <c r="I1364" s="380" t="s">
        <v>1284</v>
      </c>
      <c r="J1364" s="380" t="s">
        <v>773</v>
      </c>
      <c r="K1364" s="381">
        <v>305.0</v>
      </c>
      <c r="L1364" s="382">
        <v>1.0</v>
      </c>
    </row>
    <row r="1365">
      <c r="A1365" s="380" t="s">
        <v>2210</v>
      </c>
      <c r="B1365" s="380" t="str">
        <f>IFERROR(__xludf.DUMMYFUNCTION("""COMPUTED_VALUE"""),"Afiche Hablador Acrilico Aliad")</f>
        <v>Afiche Hablador Acrilico Aliad</v>
      </c>
      <c r="C1365" s="380" t="str">
        <f>IFERROR(__xludf.DUMMYFUNCTION("""COMPUTED_VALUE"""),"10001195")</f>
        <v>10001195</v>
      </c>
      <c r="D1365" s="380" t="s">
        <v>767</v>
      </c>
      <c r="E1365" s="380" t="s">
        <v>768</v>
      </c>
      <c r="F1365" s="380" t="s">
        <v>1292</v>
      </c>
      <c r="G1365" s="380" t="s">
        <v>1267</v>
      </c>
      <c r="H1365" s="380" t="s">
        <v>771</v>
      </c>
      <c r="I1365" s="380" t="s">
        <v>1284</v>
      </c>
      <c r="J1365" s="380" t="s">
        <v>773</v>
      </c>
      <c r="K1365" s="381">
        <v>599.0</v>
      </c>
      <c r="L1365" s="382">
        <v>1.0</v>
      </c>
    </row>
    <row r="1366">
      <c r="A1366" s="380" t="s">
        <v>2211</v>
      </c>
      <c r="B1366" s="380" t="str">
        <f>IFERROR(__xludf.DUMMYFUNCTION("""COMPUTED_VALUE"""),"Contenedor Merchandising")</f>
        <v>Contenedor Merchandising</v>
      </c>
      <c r="C1366" s="380" t="str">
        <f>IFERROR(__xludf.DUMMYFUNCTION("""COMPUTED_VALUE"""),"10001196")</f>
        <v>10001196</v>
      </c>
      <c r="D1366" s="380" t="s">
        <v>767</v>
      </c>
      <c r="E1366" s="380" t="s">
        <v>768</v>
      </c>
      <c r="F1366" s="380" t="s">
        <v>1292</v>
      </c>
      <c r="G1366" s="380" t="s">
        <v>1267</v>
      </c>
      <c r="H1366" s="380" t="s">
        <v>771</v>
      </c>
      <c r="I1366" s="380" t="s">
        <v>1284</v>
      </c>
      <c r="J1366" s="380" t="s">
        <v>773</v>
      </c>
      <c r="K1366" s="381">
        <v>7200.0</v>
      </c>
      <c r="L1366" s="382">
        <v>1.0</v>
      </c>
    </row>
    <row r="1367">
      <c r="A1367" s="380" t="s">
        <v>2212</v>
      </c>
      <c r="B1367" s="380" t="str">
        <f>IFERROR(__xludf.DUMMYFUNCTION("""COMPUTED_VALUE"""),"Memoria Ram Ddr4 32gb Para Por")</f>
        <v>Memoria Ram Ddr4 32gb Para Por</v>
      </c>
      <c r="C1367" s="380" t="str">
        <f>IFERROR(__xludf.DUMMYFUNCTION("""COMPUTED_VALUE"""),"10001197")</f>
        <v>10001197</v>
      </c>
      <c r="D1367" s="380" t="s">
        <v>767</v>
      </c>
      <c r="E1367" s="380" t="s">
        <v>768</v>
      </c>
      <c r="F1367" s="380" t="s">
        <v>797</v>
      </c>
      <c r="G1367" s="380" t="s">
        <v>1267</v>
      </c>
      <c r="H1367" s="380" t="s">
        <v>771</v>
      </c>
      <c r="I1367" s="380" t="s">
        <v>799</v>
      </c>
      <c r="J1367" s="380" t="s">
        <v>773</v>
      </c>
      <c r="K1367" s="381">
        <v>0.0</v>
      </c>
      <c r="L1367" s="382">
        <v>1.0</v>
      </c>
    </row>
    <row r="1368">
      <c r="A1368" s="380" t="s">
        <v>2213</v>
      </c>
      <c r="B1368" s="380" t="str">
        <f>IFERROR(__xludf.DUMMYFUNCTION("""COMPUTED_VALUE"""),"Camibuso Aliados Droop M")</f>
        <v>Camibuso Aliados Droop M</v>
      </c>
      <c r="C1368" s="380" t="str">
        <f>IFERROR(__xludf.DUMMYFUNCTION("""COMPUTED_VALUE"""),"10001198")</f>
        <v>10001198</v>
      </c>
      <c r="D1368" s="380" t="s">
        <v>767</v>
      </c>
      <c r="E1368" s="380" t="s">
        <v>768</v>
      </c>
      <c r="F1368" s="380" t="s">
        <v>1292</v>
      </c>
      <c r="G1368" s="380" t="s">
        <v>1267</v>
      </c>
      <c r="H1368" s="380" t="s">
        <v>771</v>
      </c>
      <c r="I1368" s="380" t="s">
        <v>1284</v>
      </c>
      <c r="J1368" s="380" t="s">
        <v>773</v>
      </c>
      <c r="K1368" s="381">
        <v>39624.0</v>
      </c>
      <c r="L1368" s="382">
        <v>1.0</v>
      </c>
    </row>
    <row r="1369">
      <c r="A1369" s="380" t="s">
        <v>2214</v>
      </c>
      <c r="B1369" s="380" t="str">
        <f>IFERROR(__xludf.DUMMYFUNCTION("""COMPUTED_VALUE"""),"Gorra Aliados Droop")</f>
        <v>Gorra Aliados Droop</v>
      </c>
      <c r="C1369" s="380" t="str">
        <f>IFERROR(__xludf.DUMMYFUNCTION("""COMPUTED_VALUE"""),"10001199")</f>
        <v>10001199</v>
      </c>
      <c r="D1369" s="380" t="s">
        <v>767</v>
      </c>
      <c r="E1369" s="380" t="s">
        <v>768</v>
      </c>
      <c r="F1369" s="380" t="s">
        <v>1292</v>
      </c>
      <c r="G1369" s="380" t="s">
        <v>1267</v>
      </c>
      <c r="H1369" s="380" t="s">
        <v>771</v>
      </c>
      <c r="I1369" s="380" t="s">
        <v>1284</v>
      </c>
      <c r="J1369" s="380" t="s">
        <v>773</v>
      </c>
      <c r="K1369" s="381">
        <v>30147.0</v>
      </c>
      <c r="L1369" s="382">
        <v>1.0</v>
      </c>
    </row>
    <row r="1370">
      <c r="A1370" s="380" t="s">
        <v>2215</v>
      </c>
      <c r="B1370" s="380" t="str">
        <f>IFERROR(__xludf.DUMMYFUNCTION("""COMPUTED_VALUE"""),"Bolsa No Tejida Beige - Disfru")</f>
        <v>Bolsa No Tejida Beige - Disfru</v>
      </c>
      <c r="C1370" s="380" t="str">
        <f>IFERROR(__xludf.DUMMYFUNCTION("""COMPUTED_VALUE"""),"10001200")</f>
        <v>10001200</v>
      </c>
      <c r="D1370" s="380" t="s">
        <v>767</v>
      </c>
      <c r="E1370" s="380" t="s">
        <v>768</v>
      </c>
      <c r="F1370" s="380" t="s">
        <v>1292</v>
      </c>
      <c r="G1370" s="380" t="s">
        <v>1267</v>
      </c>
      <c r="H1370" s="380" t="s">
        <v>771</v>
      </c>
      <c r="I1370" s="380" t="s">
        <v>1284</v>
      </c>
      <c r="J1370" s="380" t="s">
        <v>773</v>
      </c>
      <c r="K1370" s="381">
        <v>0.0</v>
      </c>
      <c r="L1370" s="382">
        <v>1.0</v>
      </c>
    </row>
    <row r="1371">
      <c r="A1371" s="380" t="s">
        <v>2216</v>
      </c>
      <c r="B1371" s="380" t="str">
        <f>IFERROR(__xludf.DUMMYFUNCTION("""COMPUTED_VALUE"""),"Adaptador Carga Celular")</f>
        <v>Adaptador Carga Celular</v>
      </c>
      <c r="C1371" s="380" t="str">
        <f>IFERROR(__xludf.DUMMYFUNCTION("""COMPUTED_VALUE"""),"10001201")</f>
        <v>10001201</v>
      </c>
      <c r="D1371" s="380" t="s">
        <v>767</v>
      </c>
      <c r="E1371" s="380" t="s">
        <v>768</v>
      </c>
      <c r="F1371" s="380" t="s">
        <v>797</v>
      </c>
      <c r="G1371" s="380" t="s">
        <v>1267</v>
      </c>
      <c r="H1371" s="380" t="s">
        <v>771</v>
      </c>
      <c r="I1371" s="380" t="s">
        <v>799</v>
      </c>
      <c r="J1371" s="380" t="s">
        <v>773</v>
      </c>
      <c r="K1371" s="381">
        <v>22553.0</v>
      </c>
      <c r="L1371" s="382">
        <v>1.0</v>
      </c>
    </row>
    <row r="1372">
      <c r="A1372" s="380" t="s">
        <v>2217</v>
      </c>
      <c r="B1372" s="380" t="str">
        <f>IFERROR(__xludf.DUMMYFUNCTION("""COMPUTED_VALUE"""),"Bandas Elasticas Padel Tour")</f>
        <v>Bandas Elasticas Padel Tour</v>
      </c>
      <c r="C1372" s="380" t="str">
        <f>IFERROR(__xludf.DUMMYFUNCTION("""COMPUTED_VALUE"""),"10001202")</f>
        <v>10001202</v>
      </c>
      <c r="D1372" s="380" t="s">
        <v>767</v>
      </c>
      <c r="E1372" s="380" t="s">
        <v>768</v>
      </c>
      <c r="F1372" s="380" t="s">
        <v>1292</v>
      </c>
      <c r="G1372" s="380" t="s">
        <v>1267</v>
      </c>
      <c r="H1372" s="380" t="s">
        <v>771</v>
      </c>
      <c r="I1372" s="380" t="s">
        <v>1284</v>
      </c>
      <c r="J1372" s="380" t="s">
        <v>773</v>
      </c>
      <c r="K1372" s="381">
        <v>14835.0</v>
      </c>
      <c r="L1372" s="382">
        <v>1.0</v>
      </c>
    </row>
    <row r="1373">
      <c r="A1373" s="380" t="s">
        <v>2218</v>
      </c>
      <c r="B1373" s="380" t="str">
        <f>IFERROR(__xludf.DUMMYFUNCTION("""COMPUTED_VALUE"""),"Canguro Mercadeo")</f>
        <v>Canguro Mercadeo</v>
      </c>
      <c r="C1373" s="380" t="str">
        <f>IFERROR(__xludf.DUMMYFUNCTION("""COMPUTED_VALUE"""),"10001203")</f>
        <v>10001203</v>
      </c>
      <c r="D1373" s="380" t="s">
        <v>767</v>
      </c>
      <c r="E1373" s="380" t="s">
        <v>768</v>
      </c>
      <c r="F1373" s="380" t="s">
        <v>1292</v>
      </c>
      <c r="G1373" s="380" t="s">
        <v>1267</v>
      </c>
      <c r="H1373" s="380" t="s">
        <v>771</v>
      </c>
      <c r="I1373" s="380" t="s">
        <v>1284</v>
      </c>
      <c r="J1373" s="380" t="s">
        <v>773</v>
      </c>
      <c r="K1373" s="381">
        <v>0.0</v>
      </c>
      <c r="L1373" s="382">
        <v>1.0</v>
      </c>
    </row>
    <row r="1374">
      <c r="A1374" s="380" t="s">
        <v>2219</v>
      </c>
      <c r="B1374" s="380" t="str">
        <f>IFERROR(__xludf.DUMMYFUNCTION("""COMPUTED_VALUE"""),"Actuador Lineal Micromotores 2")</f>
        <v>Actuador Lineal Micromotores 2</v>
      </c>
      <c r="C1374" s="380" t="str">
        <f>IFERROR(__xludf.DUMMYFUNCTION("""COMPUTED_VALUE"""),"10001204")</f>
        <v>10001204</v>
      </c>
      <c r="D1374" s="380" t="s">
        <v>767</v>
      </c>
      <c r="E1374" s="380" t="s">
        <v>768</v>
      </c>
      <c r="F1374" s="380" t="s">
        <v>797</v>
      </c>
      <c r="G1374" s="380" t="s">
        <v>1267</v>
      </c>
      <c r="H1374" s="380" t="s">
        <v>771</v>
      </c>
      <c r="I1374" s="380" t="s">
        <v>799</v>
      </c>
      <c r="J1374" s="380" t="s">
        <v>773</v>
      </c>
      <c r="K1374" s="381">
        <v>474810.0</v>
      </c>
      <c r="L1374" s="382">
        <v>1.0</v>
      </c>
    </row>
    <row r="1375">
      <c r="A1375" s="380" t="s">
        <v>2220</v>
      </c>
      <c r="B1375" s="380" t="str">
        <f>IFERROR(__xludf.DUMMYFUNCTION("""COMPUTED_VALUE"""),"Bolsa No Tejida")</f>
        <v>Bolsa No Tejida</v>
      </c>
      <c r="C1375" s="380" t="str">
        <f>IFERROR(__xludf.DUMMYFUNCTION("""COMPUTED_VALUE"""),"10001205")</f>
        <v>10001205</v>
      </c>
      <c r="D1375" s="380" t="s">
        <v>767</v>
      </c>
      <c r="E1375" s="380" t="s">
        <v>768</v>
      </c>
      <c r="F1375" s="380" t="s">
        <v>1292</v>
      </c>
      <c r="G1375" s="380" t="s">
        <v>1267</v>
      </c>
      <c r="H1375" s="380" t="s">
        <v>771</v>
      </c>
      <c r="I1375" s="380" t="s">
        <v>1284</v>
      </c>
      <c r="J1375" s="380" t="s">
        <v>773</v>
      </c>
      <c r="K1375" s="381">
        <v>2916.0</v>
      </c>
      <c r="L1375" s="382">
        <v>1.0</v>
      </c>
    </row>
    <row r="1376">
      <c r="A1376" s="380" t="s">
        <v>2221</v>
      </c>
      <c r="B1376" s="380" t="str">
        <f>IFERROR(__xludf.DUMMYFUNCTION("""COMPUTED_VALUE"""),"Bloqueo Actuador Micromotores")</f>
        <v>Bloqueo Actuador Micromotores</v>
      </c>
      <c r="C1376" s="380" t="str">
        <f>IFERROR(__xludf.DUMMYFUNCTION("""COMPUTED_VALUE"""),"10001206")</f>
        <v>10001206</v>
      </c>
      <c r="D1376" s="380" t="s">
        <v>767</v>
      </c>
      <c r="E1376" s="380" t="s">
        <v>768</v>
      </c>
      <c r="F1376" s="380" t="s">
        <v>797</v>
      </c>
      <c r="G1376" s="380" t="s">
        <v>1267</v>
      </c>
      <c r="H1376" s="380" t="s">
        <v>771</v>
      </c>
      <c r="I1376" s="380" t="s">
        <v>799</v>
      </c>
      <c r="J1376" s="380" t="s">
        <v>773</v>
      </c>
      <c r="K1376" s="381">
        <v>451224.0</v>
      </c>
      <c r="L1376" s="382">
        <v>1.0</v>
      </c>
    </row>
    <row r="1377">
      <c r="A1377" s="380" t="s">
        <v>2222</v>
      </c>
      <c r="B1377" s="380" t="str">
        <f>IFERROR(__xludf.DUMMYFUNCTION("""COMPUTED_VALUE"""),"Celular Nokia 110")</f>
        <v>Celular Nokia 110</v>
      </c>
      <c r="C1377" s="380" t="str">
        <f>IFERROR(__xludf.DUMMYFUNCTION("""COMPUTED_VALUE"""),"10001207")</f>
        <v>10001207</v>
      </c>
      <c r="D1377" s="380" t="s">
        <v>767</v>
      </c>
      <c r="E1377" s="380" t="s">
        <v>768</v>
      </c>
      <c r="F1377" s="380" t="s">
        <v>797</v>
      </c>
      <c r="G1377" s="380" t="s">
        <v>1267</v>
      </c>
      <c r="H1377" s="380" t="s">
        <v>771</v>
      </c>
      <c r="I1377" s="380" t="s">
        <v>799</v>
      </c>
      <c r="J1377" s="380" t="s">
        <v>773</v>
      </c>
      <c r="K1377" s="381">
        <v>216420.0</v>
      </c>
      <c r="L1377" s="382">
        <v>1.0</v>
      </c>
    </row>
    <row r="1378">
      <c r="A1378" s="380" t="s">
        <v>2223</v>
      </c>
      <c r="B1378" s="380" t="str">
        <f>IFERROR(__xludf.DUMMYFUNCTION("""COMPUTED_VALUE"""),"Disco Ssd Para Portatil M2 De")</f>
        <v>Disco Ssd Para Portatil M2 De</v>
      </c>
      <c r="C1378" s="380" t="str">
        <f>IFERROR(__xludf.DUMMYFUNCTION("""COMPUTED_VALUE"""),"10001208")</f>
        <v>10001208</v>
      </c>
      <c r="D1378" s="380" t="s">
        <v>767</v>
      </c>
      <c r="E1378" s="380" t="s">
        <v>768</v>
      </c>
      <c r="F1378" s="380" t="s">
        <v>797</v>
      </c>
      <c r="G1378" s="380" t="s">
        <v>1267</v>
      </c>
      <c r="H1378" s="380" t="s">
        <v>771</v>
      </c>
      <c r="I1378" s="380" t="s">
        <v>799</v>
      </c>
      <c r="J1378" s="380" t="s">
        <v>773</v>
      </c>
      <c r="K1378" s="381">
        <v>0.0</v>
      </c>
      <c r="L1378" s="382">
        <v>1.0</v>
      </c>
    </row>
    <row r="1379">
      <c r="A1379" s="380" t="s">
        <v>2224</v>
      </c>
      <c r="B1379" s="380" t="str">
        <f>IFERROR(__xludf.DUMMYFUNCTION("""COMPUTED_VALUE"""),"Adaptador Multipuerto 8 En 1 H")</f>
        <v>Adaptador Multipuerto 8 En 1 H</v>
      </c>
      <c r="C1379" s="380" t="str">
        <f>IFERROR(__xludf.DUMMYFUNCTION("""COMPUTED_VALUE"""),"10001209")</f>
        <v>10001209</v>
      </c>
      <c r="D1379" s="380" t="s">
        <v>767</v>
      </c>
      <c r="E1379" s="380" t="s">
        <v>768</v>
      </c>
      <c r="F1379" s="380" t="s">
        <v>797</v>
      </c>
      <c r="G1379" s="380" t="s">
        <v>1267</v>
      </c>
      <c r="H1379" s="380" t="s">
        <v>771</v>
      </c>
      <c r="I1379" s="380" t="s">
        <v>799</v>
      </c>
      <c r="J1379" s="380" t="s">
        <v>773</v>
      </c>
      <c r="K1379" s="381">
        <v>0.0</v>
      </c>
      <c r="L1379" s="382">
        <v>1.0</v>
      </c>
    </row>
    <row r="1380">
      <c r="A1380" s="380" t="s">
        <v>2225</v>
      </c>
      <c r="B1380" s="380" t="str">
        <f>IFERROR(__xludf.DUMMYFUNCTION("""COMPUTED_VALUE"""),"Flexometro Publicitario")</f>
        <v>Flexometro Publicitario</v>
      </c>
      <c r="C1380" s="380" t="str">
        <f>IFERROR(__xludf.DUMMYFUNCTION("""COMPUTED_VALUE"""),"10001210")</f>
        <v>10001210</v>
      </c>
      <c r="D1380" s="380" t="s">
        <v>767</v>
      </c>
      <c r="E1380" s="380" t="s">
        <v>768</v>
      </c>
      <c r="F1380" s="380" t="s">
        <v>1292</v>
      </c>
      <c r="G1380" s="380" t="s">
        <v>1267</v>
      </c>
      <c r="H1380" s="380" t="s">
        <v>771</v>
      </c>
      <c r="I1380" s="380" t="s">
        <v>1284</v>
      </c>
      <c r="J1380" s="380" t="s">
        <v>773</v>
      </c>
      <c r="K1380" s="381">
        <v>4130.0</v>
      </c>
      <c r="L1380" s="382">
        <v>1.0</v>
      </c>
    </row>
    <row r="1381">
      <c r="A1381" s="380" t="s">
        <v>2226</v>
      </c>
      <c r="B1381" s="380" t="str">
        <f>IFERROR(__xludf.DUMMYFUNCTION("""COMPUTED_VALUE"""),"Parlante Cabina Gps")</f>
        <v>Parlante Cabina Gps</v>
      </c>
      <c r="C1381" s="380" t="str">
        <f>IFERROR(__xludf.DUMMYFUNCTION("""COMPUTED_VALUE"""),"10001211")</f>
        <v>10001211</v>
      </c>
      <c r="D1381" s="380" t="s">
        <v>767</v>
      </c>
      <c r="E1381" s="380" t="s">
        <v>768</v>
      </c>
      <c r="F1381" s="380" t="s">
        <v>797</v>
      </c>
      <c r="G1381" s="380" t="s">
        <v>1267</v>
      </c>
      <c r="H1381" s="380" t="s">
        <v>771</v>
      </c>
      <c r="I1381" s="380" t="s">
        <v>799</v>
      </c>
      <c r="J1381" s="380" t="s">
        <v>773</v>
      </c>
      <c r="K1381" s="381">
        <v>18742.0</v>
      </c>
      <c r="L1381" s="382">
        <v>1.0</v>
      </c>
    </row>
    <row r="1382">
      <c r="A1382" s="380" t="s">
        <v>2227</v>
      </c>
      <c r="B1382" s="380" t="str">
        <f>IFERROR(__xludf.DUMMYFUNCTION("""COMPUTED_VALUE"""),"Estuche Regalo Especial")</f>
        <v>Estuche Regalo Especial</v>
      </c>
      <c r="C1382" s="380" t="str">
        <f>IFERROR(__xludf.DUMMYFUNCTION("""COMPUTED_VALUE"""),"10001212")</f>
        <v>10001212</v>
      </c>
      <c r="D1382" s="380" t="s">
        <v>767</v>
      </c>
      <c r="E1382" s="380" t="s">
        <v>768</v>
      </c>
      <c r="F1382" s="380" t="s">
        <v>1292</v>
      </c>
      <c r="G1382" s="380" t="s">
        <v>1267</v>
      </c>
      <c r="H1382" s="380" t="s">
        <v>771</v>
      </c>
      <c r="I1382" s="380" t="s">
        <v>1284</v>
      </c>
      <c r="J1382" s="380" t="s">
        <v>773</v>
      </c>
      <c r="K1382" s="381">
        <v>5772.0</v>
      </c>
      <c r="L1382" s="382">
        <v>1.0</v>
      </c>
    </row>
    <row r="1383">
      <c r="A1383" s="380" t="s">
        <v>2228</v>
      </c>
      <c r="B1383" s="380" t="str">
        <f>IFERROR(__xludf.DUMMYFUNCTION("""COMPUTED_VALUE"""),"Afiche Tienda Virtual")</f>
        <v>Afiche Tienda Virtual</v>
      </c>
      <c r="C1383" s="380" t="str">
        <f>IFERROR(__xludf.DUMMYFUNCTION("""COMPUTED_VALUE"""),"10001213")</f>
        <v>10001213</v>
      </c>
      <c r="D1383" s="380" t="s">
        <v>767</v>
      </c>
      <c r="E1383" s="380" t="s">
        <v>768</v>
      </c>
      <c r="F1383" s="380" t="s">
        <v>1292</v>
      </c>
      <c r="G1383" s="380" t="s">
        <v>1267</v>
      </c>
      <c r="H1383" s="380" t="s">
        <v>771</v>
      </c>
      <c r="I1383" s="380" t="s">
        <v>1284</v>
      </c>
      <c r="J1383" s="380" t="s">
        <v>773</v>
      </c>
      <c r="K1383" s="381">
        <v>1620.0</v>
      </c>
      <c r="L1383" s="382">
        <v>1.0</v>
      </c>
    </row>
    <row r="1384">
      <c r="A1384" s="380" t="s">
        <v>2229</v>
      </c>
      <c r="B1384" s="380" t="str">
        <f>IFERROR(__xludf.DUMMYFUNCTION("""COMPUTED_VALUE"""),"Memoria Ram Ddr4 De 16 Gb Para")</f>
        <v>Memoria Ram Ddr4 De 16 Gb Para</v>
      </c>
      <c r="C1384" s="380" t="str">
        <f>IFERROR(__xludf.DUMMYFUNCTION("""COMPUTED_VALUE"""),"10001214")</f>
        <v>10001214</v>
      </c>
      <c r="D1384" s="380" t="s">
        <v>767</v>
      </c>
      <c r="E1384" s="380" t="s">
        <v>768</v>
      </c>
      <c r="F1384" s="380" t="s">
        <v>797</v>
      </c>
      <c r="G1384" s="380" t="s">
        <v>1267</v>
      </c>
      <c r="H1384" s="380" t="s">
        <v>771</v>
      </c>
      <c r="I1384" s="380" t="s">
        <v>799</v>
      </c>
      <c r="J1384" s="380" t="s">
        <v>773</v>
      </c>
      <c r="K1384" s="381">
        <v>0.0</v>
      </c>
      <c r="L1384" s="382">
        <v>1.0</v>
      </c>
    </row>
    <row r="1385">
      <c r="A1385" s="380" t="s">
        <v>2230</v>
      </c>
      <c r="B1385" s="380" t="str">
        <f>IFERROR(__xludf.DUMMYFUNCTION("""COMPUTED_VALUE"""),"Unidad Gps Skypatrol Sp4824")</f>
        <v>Unidad Gps Skypatrol Sp4824</v>
      </c>
      <c r="C1385" s="380" t="str">
        <f>IFERROR(__xludf.DUMMYFUNCTION("""COMPUTED_VALUE"""),"10001215")</f>
        <v>10001215</v>
      </c>
      <c r="D1385" s="380" t="s">
        <v>767</v>
      </c>
      <c r="E1385" s="380" t="s">
        <v>768</v>
      </c>
      <c r="F1385" s="380" t="s">
        <v>797</v>
      </c>
      <c r="G1385" s="380" t="s">
        <v>1267</v>
      </c>
      <c r="H1385" s="380" t="s">
        <v>771</v>
      </c>
      <c r="I1385" s="380" t="s">
        <v>799</v>
      </c>
      <c r="J1385" s="380" t="s">
        <v>773</v>
      </c>
      <c r="K1385" s="381">
        <v>359321.0</v>
      </c>
      <c r="L1385" s="382">
        <v>1.0</v>
      </c>
    </row>
    <row r="1386">
      <c r="A1386" s="380" t="s">
        <v>2231</v>
      </c>
      <c r="B1386" s="380" t="str">
        <f>IFERROR(__xludf.DUMMYFUNCTION("""COMPUTED_VALUE"""),"Flexometro Aliados Droop")</f>
        <v>Flexometro Aliados Droop</v>
      </c>
      <c r="C1386" s="380" t="str">
        <f>IFERROR(__xludf.DUMMYFUNCTION("""COMPUTED_VALUE"""),"10001216")</f>
        <v>10001216</v>
      </c>
      <c r="D1386" s="380" t="s">
        <v>767</v>
      </c>
      <c r="E1386" s="380" t="s">
        <v>768</v>
      </c>
      <c r="F1386" s="380" t="s">
        <v>1292</v>
      </c>
      <c r="G1386" s="380" t="s">
        <v>1267</v>
      </c>
      <c r="H1386" s="380" t="s">
        <v>771</v>
      </c>
      <c r="I1386" s="380" t="s">
        <v>1284</v>
      </c>
      <c r="J1386" s="380" t="s">
        <v>773</v>
      </c>
      <c r="K1386" s="381">
        <v>6943.0</v>
      </c>
      <c r="L1386" s="382">
        <v>1.0</v>
      </c>
    </row>
    <row r="1387">
      <c r="A1387" s="380" t="s">
        <v>2232</v>
      </c>
      <c r="B1387" s="380" t="str">
        <f>IFERROR(__xludf.DUMMYFUNCTION("""COMPUTED_VALUE"""),"Pasta Térmica Refrigerante Jer")</f>
        <v>Pasta Térmica Refrigerante Jer</v>
      </c>
      <c r="C1387" s="380" t="str">
        <f>IFERROR(__xludf.DUMMYFUNCTION("""COMPUTED_VALUE"""),"10001217")</f>
        <v>10001217</v>
      </c>
      <c r="D1387" s="380" t="s">
        <v>767</v>
      </c>
      <c r="E1387" s="380" t="s">
        <v>768</v>
      </c>
      <c r="F1387" s="380" t="s">
        <v>797</v>
      </c>
      <c r="G1387" s="380" t="s">
        <v>1267</v>
      </c>
      <c r="H1387" s="380" t="s">
        <v>771</v>
      </c>
      <c r="I1387" s="380" t="s">
        <v>799</v>
      </c>
      <c r="J1387" s="380" t="s">
        <v>773</v>
      </c>
      <c r="K1387" s="381">
        <v>0.0</v>
      </c>
      <c r="L1387" s="382">
        <v>1.0</v>
      </c>
    </row>
    <row r="1388">
      <c r="A1388" s="380" t="s">
        <v>2233</v>
      </c>
      <c r="B1388" s="380" t="str">
        <f>IFERROR(__xludf.DUMMYFUNCTION("""COMPUTED_VALUE"""),"Disco Duro De Estado Solido De")</f>
        <v>Disco Duro De Estado Solido De</v>
      </c>
      <c r="C1388" s="380" t="str">
        <f>IFERROR(__xludf.DUMMYFUNCTION("""COMPUTED_VALUE"""),"10001218")</f>
        <v>10001218</v>
      </c>
      <c r="D1388" s="380" t="s">
        <v>767</v>
      </c>
      <c r="E1388" s="380" t="s">
        <v>768</v>
      </c>
      <c r="F1388" s="380" t="s">
        <v>797</v>
      </c>
      <c r="G1388" s="380" t="s">
        <v>1267</v>
      </c>
      <c r="H1388" s="380" t="s">
        <v>771</v>
      </c>
      <c r="I1388" s="380" t="s">
        <v>799</v>
      </c>
      <c r="J1388" s="380" t="s">
        <v>773</v>
      </c>
      <c r="K1388" s="381">
        <v>0.0</v>
      </c>
      <c r="L1388" s="382">
        <v>1.0</v>
      </c>
    </row>
    <row r="1389">
      <c r="A1389" s="380" t="s">
        <v>2234</v>
      </c>
      <c r="B1389" s="380" t="str">
        <f>IFERROR(__xludf.DUMMYFUNCTION("""COMPUTED_VALUE"""),"Micrófonos De Ensamble Accesor")</f>
        <v>Micrófonos De Ensamble Accesor</v>
      </c>
      <c r="C1389" s="380" t="str">
        <f>IFERROR(__xludf.DUMMYFUNCTION("""COMPUTED_VALUE"""),"10001219")</f>
        <v>10001219</v>
      </c>
      <c r="D1389" s="380" t="s">
        <v>767</v>
      </c>
      <c r="E1389" s="380" t="s">
        <v>768</v>
      </c>
      <c r="F1389" s="380" t="s">
        <v>797</v>
      </c>
      <c r="G1389" s="380" t="s">
        <v>1267</v>
      </c>
      <c r="H1389" s="380" t="s">
        <v>771</v>
      </c>
      <c r="I1389" s="380" t="s">
        <v>799</v>
      </c>
      <c r="J1389" s="380" t="s">
        <v>773</v>
      </c>
      <c r="K1389" s="381">
        <v>2001.0</v>
      </c>
      <c r="L1389" s="382">
        <v>1.0</v>
      </c>
    </row>
    <row r="1390">
      <c r="A1390" s="380" t="s">
        <v>2235</v>
      </c>
      <c r="B1390" s="380" t="str">
        <f>IFERROR(__xludf.DUMMYFUNCTION("""COMPUTED_VALUE"""),"Set Cuchillos X 5 Especiales")</f>
        <v>Set Cuchillos X 5 Especiales</v>
      </c>
      <c r="C1390" s="380" t="str">
        <f>IFERROR(__xludf.DUMMYFUNCTION("""COMPUTED_VALUE"""),"10001220")</f>
        <v>10001220</v>
      </c>
      <c r="D1390" s="380" t="s">
        <v>767</v>
      </c>
      <c r="E1390" s="380" t="s">
        <v>768</v>
      </c>
      <c r="F1390" s="380" t="s">
        <v>769</v>
      </c>
      <c r="G1390" s="380" t="s">
        <v>1267</v>
      </c>
      <c r="H1390" s="380" t="s">
        <v>771</v>
      </c>
      <c r="I1390" s="380" t="s">
        <v>772</v>
      </c>
      <c r="J1390" s="380" t="s">
        <v>773</v>
      </c>
      <c r="K1390" s="381">
        <v>0.0</v>
      </c>
      <c r="L1390" s="382">
        <v>1.0</v>
      </c>
    </row>
    <row r="1391">
      <c r="A1391" s="380" t="s">
        <v>2236</v>
      </c>
      <c r="B1391" s="380" t="str">
        <f>IFERROR(__xludf.DUMMYFUNCTION("""COMPUTED_VALUE"""),"Bateria Computador Portatil")</f>
        <v>Bateria Computador Portatil</v>
      </c>
      <c r="C1391" s="380" t="str">
        <f>IFERROR(__xludf.DUMMYFUNCTION("""COMPUTED_VALUE"""),"10001221")</f>
        <v>10001221</v>
      </c>
      <c r="D1391" s="380" t="s">
        <v>767</v>
      </c>
      <c r="E1391" s="380" t="s">
        <v>768</v>
      </c>
      <c r="F1391" s="380" t="s">
        <v>797</v>
      </c>
      <c r="G1391" s="380" t="s">
        <v>1267</v>
      </c>
      <c r="H1391" s="380" t="s">
        <v>771</v>
      </c>
      <c r="I1391" s="380" t="s">
        <v>799</v>
      </c>
      <c r="J1391" s="380" t="s">
        <v>773</v>
      </c>
      <c r="K1391" s="381">
        <v>0.0</v>
      </c>
      <c r="L1391" s="382">
        <v>1.0</v>
      </c>
    </row>
    <row r="1392">
      <c r="A1392" s="380" t="s">
        <v>2237</v>
      </c>
      <c r="B1392" s="380" t="str">
        <f>IFERROR(__xludf.DUMMYFUNCTION("""COMPUTED_VALUE"""),"Cargador Computador Portatil")</f>
        <v>Cargador Computador Portatil</v>
      </c>
      <c r="C1392" s="380" t="str">
        <f>IFERROR(__xludf.DUMMYFUNCTION("""COMPUTED_VALUE"""),"10001222")</f>
        <v>10001222</v>
      </c>
      <c r="D1392" s="380" t="s">
        <v>767</v>
      </c>
      <c r="E1392" s="380" t="s">
        <v>768</v>
      </c>
      <c r="F1392" s="380" t="s">
        <v>797</v>
      </c>
      <c r="G1392" s="380" t="s">
        <v>1267</v>
      </c>
      <c r="H1392" s="380" t="s">
        <v>771</v>
      </c>
      <c r="I1392" s="380" t="s">
        <v>799</v>
      </c>
      <c r="J1392" s="380" t="s">
        <v>773</v>
      </c>
      <c r="K1392" s="381">
        <v>0.0</v>
      </c>
      <c r="L1392" s="382">
        <v>1.0</v>
      </c>
    </row>
    <row r="1393">
      <c r="A1393" s="380" t="s">
        <v>2238</v>
      </c>
      <c r="B1393" s="380" t="str">
        <f>IFERROR(__xludf.DUMMYFUNCTION("""COMPUTED_VALUE"""),"Teclado Para Portatil General")</f>
        <v>Teclado Para Portatil General</v>
      </c>
      <c r="C1393" s="380" t="str">
        <f>IFERROR(__xludf.DUMMYFUNCTION("""COMPUTED_VALUE"""),"10001223")</f>
        <v>10001223</v>
      </c>
      <c r="D1393" s="380" t="s">
        <v>767</v>
      </c>
      <c r="E1393" s="380" t="s">
        <v>768</v>
      </c>
      <c r="F1393" s="380" t="s">
        <v>797</v>
      </c>
      <c r="G1393" s="380" t="s">
        <v>1267</v>
      </c>
      <c r="H1393" s="380" t="s">
        <v>771</v>
      </c>
      <c r="I1393" s="380" t="s">
        <v>799</v>
      </c>
      <c r="J1393" s="380" t="s">
        <v>773</v>
      </c>
      <c r="K1393" s="381">
        <v>0.0</v>
      </c>
      <c r="L1393" s="382">
        <v>1.0</v>
      </c>
    </row>
    <row r="1394">
      <c r="A1394" s="380" t="s">
        <v>2239</v>
      </c>
      <c r="B1394" s="380" t="str">
        <f>IFERROR(__xludf.DUMMYFUNCTION("""COMPUTED_VALUE"""),"Bono De Pesame")</f>
        <v>Bono De Pesame</v>
      </c>
      <c r="C1394" s="380" t="str">
        <f>IFERROR(__xludf.DUMMYFUNCTION("""COMPUTED_VALUE"""),"10001224")</f>
        <v>10001224</v>
      </c>
      <c r="D1394" s="380" t="s">
        <v>767</v>
      </c>
      <c r="E1394" s="380" t="s">
        <v>768</v>
      </c>
      <c r="F1394" s="380" t="s">
        <v>1292</v>
      </c>
      <c r="G1394" s="380" t="s">
        <v>1267</v>
      </c>
      <c r="H1394" s="380" t="s">
        <v>771</v>
      </c>
      <c r="I1394" s="380" t="s">
        <v>1284</v>
      </c>
      <c r="J1394" s="380" t="s">
        <v>773</v>
      </c>
      <c r="K1394" s="381">
        <v>0.0</v>
      </c>
      <c r="L1394" s="382">
        <v>1.0</v>
      </c>
    </row>
    <row r="1395">
      <c r="A1395" s="380" t="s">
        <v>2240</v>
      </c>
      <c r="B1395" s="380" t="str">
        <f>IFERROR(__xludf.DUMMYFUNCTION("""COMPUTED_VALUE"""),"Cable Hdmi De 3mts Kamyl")</f>
        <v>Cable Hdmi De 3mts Kamyl</v>
      </c>
      <c r="C1395" s="380" t="str">
        <f>IFERROR(__xludf.DUMMYFUNCTION("""COMPUTED_VALUE"""),"10001225")</f>
        <v>10001225</v>
      </c>
      <c r="D1395" s="380" t="s">
        <v>767</v>
      </c>
      <c r="E1395" s="380" t="s">
        <v>768</v>
      </c>
      <c r="F1395" s="380" t="s">
        <v>797</v>
      </c>
      <c r="G1395" s="380" t="s">
        <v>1267</v>
      </c>
      <c r="H1395" s="380" t="s">
        <v>771</v>
      </c>
      <c r="I1395" s="380" t="s">
        <v>799</v>
      </c>
      <c r="J1395" s="380" t="s">
        <v>773</v>
      </c>
      <c r="K1395" s="381">
        <v>0.0</v>
      </c>
      <c r="L1395" s="382">
        <v>1.0</v>
      </c>
    </row>
    <row r="1396">
      <c r="A1396" s="380" t="s">
        <v>2241</v>
      </c>
      <c r="B1396" s="380" t="str">
        <f>IFERROR(__xludf.DUMMYFUNCTION("""COMPUTED_VALUE"""),"Base Portatil Con Extract Plas")</f>
        <v>Base Portatil Con Extract Plas</v>
      </c>
      <c r="C1396" s="380" t="str">
        <f>IFERROR(__xludf.DUMMYFUNCTION("""COMPUTED_VALUE"""),"10001226")</f>
        <v>10001226</v>
      </c>
      <c r="D1396" s="380" t="s">
        <v>767</v>
      </c>
      <c r="E1396" s="380" t="s">
        <v>768</v>
      </c>
      <c r="F1396" s="380" t="s">
        <v>797</v>
      </c>
      <c r="G1396" s="380" t="s">
        <v>1267</v>
      </c>
      <c r="H1396" s="380" t="s">
        <v>771</v>
      </c>
      <c r="I1396" s="380" t="s">
        <v>799</v>
      </c>
      <c r="J1396" s="380" t="s">
        <v>773</v>
      </c>
      <c r="K1396" s="381">
        <v>0.0</v>
      </c>
      <c r="L1396" s="382">
        <v>1.0</v>
      </c>
    </row>
    <row r="1397">
      <c r="A1397" s="380" t="s">
        <v>2242</v>
      </c>
      <c r="B1397" s="380" t="str">
        <f>IFERROR(__xludf.DUMMYFUNCTION("""COMPUTED_VALUE"""),"Hub Usb")</f>
        <v>Hub Usb</v>
      </c>
      <c r="C1397" s="380" t="str">
        <f>IFERROR(__xludf.DUMMYFUNCTION("""COMPUTED_VALUE"""),"10001227")</f>
        <v>10001227</v>
      </c>
      <c r="D1397" s="380" t="s">
        <v>767</v>
      </c>
      <c r="E1397" s="380" t="s">
        <v>768</v>
      </c>
      <c r="F1397" s="380" t="s">
        <v>797</v>
      </c>
      <c r="G1397" s="380" t="s">
        <v>1267</v>
      </c>
      <c r="H1397" s="380" t="s">
        <v>771</v>
      </c>
      <c r="I1397" s="380" t="s">
        <v>799</v>
      </c>
      <c r="J1397" s="380" t="s">
        <v>773</v>
      </c>
      <c r="K1397" s="381">
        <v>0.0</v>
      </c>
      <c r="L1397" s="382">
        <v>1.0</v>
      </c>
    </row>
    <row r="1398">
      <c r="A1398" s="380" t="s">
        <v>2243</v>
      </c>
      <c r="B1398" s="380" t="str">
        <f>IFERROR(__xludf.DUMMYFUNCTION("""COMPUTED_VALUE"""),"Convertidor De Hdmi A Vga")</f>
        <v>Convertidor De Hdmi A Vga</v>
      </c>
      <c r="C1398" s="380" t="str">
        <f>IFERROR(__xludf.DUMMYFUNCTION("""COMPUTED_VALUE"""),"10001228")</f>
        <v>10001228</v>
      </c>
      <c r="D1398" s="380" t="s">
        <v>767</v>
      </c>
      <c r="E1398" s="380" t="s">
        <v>768</v>
      </c>
      <c r="F1398" s="380" t="s">
        <v>797</v>
      </c>
      <c r="G1398" s="380" t="s">
        <v>1267</v>
      </c>
      <c r="H1398" s="380" t="s">
        <v>771</v>
      </c>
      <c r="I1398" s="380" t="s">
        <v>799</v>
      </c>
      <c r="J1398" s="380" t="s">
        <v>773</v>
      </c>
      <c r="K1398" s="381">
        <v>0.0</v>
      </c>
      <c r="L1398" s="382">
        <v>1.0</v>
      </c>
    </row>
    <row r="1399">
      <c r="A1399" s="380" t="s">
        <v>2244</v>
      </c>
      <c r="B1399" s="380" t="str">
        <f>IFERROR(__xludf.DUMMYFUNCTION("""COMPUTED_VALUE"""),"Kit De Teclado Y Mouse Inalamb")</f>
        <v>Kit De Teclado Y Mouse Inalamb</v>
      </c>
      <c r="C1399" s="380" t="str">
        <f>IFERROR(__xludf.DUMMYFUNCTION("""COMPUTED_VALUE"""),"10001229")</f>
        <v>10001229</v>
      </c>
      <c r="D1399" s="380" t="s">
        <v>767</v>
      </c>
      <c r="E1399" s="380" t="s">
        <v>768</v>
      </c>
      <c r="F1399" s="380" t="s">
        <v>797</v>
      </c>
      <c r="G1399" s="380" t="s">
        <v>1267</v>
      </c>
      <c r="H1399" s="380" t="s">
        <v>771</v>
      </c>
      <c r="I1399" s="380" t="s">
        <v>799</v>
      </c>
      <c r="J1399" s="380" t="s">
        <v>773</v>
      </c>
      <c r="K1399" s="381">
        <v>0.0</v>
      </c>
      <c r="L1399" s="382">
        <v>1.0</v>
      </c>
    </row>
    <row r="1400">
      <c r="A1400" s="380" t="s">
        <v>2245</v>
      </c>
      <c r="B1400" s="380" t="str">
        <f>IFERROR(__xludf.DUMMYFUNCTION("""COMPUTED_VALUE"""),"Hablador En Poliestireno")</f>
        <v>Hablador En Poliestireno</v>
      </c>
      <c r="C1400" s="380" t="str">
        <f>IFERROR(__xludf.DUMMYFUNCTION("""COMPUTED_VALUE"""),"10001230")</f>
        <v>10001230</v>
      </c>
      <c r="D1400" s="380" t="s">
        <v>767</v>
      </c>
      <c r="E1400" s="380" t="s">
        <v>768</v>
      </c>
      <c r="F1400" s="380" t="s">
        <v>1292</v>
      </c>
      <c r="G1400" s="380" t="s">
        <v>1267</v>
      </c>
      <c r="H1400" s="380" t="s">
        <v>771</v>
      </c>
      <c r="I1400" s="380" t="s">
        <v>1284</v>
      </c>
      <c r="J1400" s="380" t="s">
        <v>773</v>
      </c>
      <c r="K1400" s="381">
        <v>0.0</v>
      </c>
      <c r="L1400" s="382">
        <v>1.0</v>
      </c>
    </row>
    <row r="1401">
      <c r="A1401" s="380" t="s">
        <v>2246</v>
      </c>
      <c r="B1401" s="380" t="str">
        <f>IFERROR(__xludf.DUMMYFUNCTION("""COMPUTED_VALUE"""),"Llave Dallas Ibutton")</f>
        <v>Llave Dallas Ibutton</v>
      </c>
      <c r="C1401" s="380" t="str">
        <f>IFERROR(__xludf.DUMMYFUNCTION("""COMPUTED_VALUE"""),"10001231")</f>
        <v>10001231</v>
      </c>
      <c r="D1401" s="380" t="s">
        <v>767</v>
      </c>
      <c r="E1401" s="380" t="s">
        <v>768</v>
      </c>
      <c r="F1401" s="380" t="s">
        <v>797</v>
      </c>
      <c r="G1401" s="380" t="s">
        <v>1267</v>
      </c>
      <c r="H1401" s="380" t="s">
        <v>771</v>
      </c>
      <c r="I1401" s="380" t="s">
        <v>799</v>
      </c>
      <c r="J1401" s="380" t="s">
        <v>773</v>
      </c>
      <c r="K1401" s="381">
        <v>5950.0</v>
      </c>
      <c r="L1401" s="382">
        <v>1.0</v>
      </c>
    </row>
    <row r="1402">
      <c r="A1402" s="380" t="s">
        <v>2247</v>
      </c>
      <c r="B1402" s="380" t="str">
        <f>IFERROR(__xludf.DUMMYFUNCTION("""COMPUTED_VALUE"""),"Sensor Dallas Ibutton")</f>
        <v>Sensor Dallas Ibutton</v>
      </c>
      <c r="C1402" s="380" t="str">
        <f>IFERROR(__xludf.DUMMYFUNCTION("""COMPUTED_VALUE"""),"10001232")</f>
        <v>10001232</v>
      </c>
      <c r="D1402" s="380" t="s">
        <v>767</v>
      </c>
      <c r="E1402" s="380" t="s">
        <v>768</v>
      </c>
      <c r="F1402" s="380" t="s">
        <v>797</v>
      </c>
      <c r="G1402" s="380" t="s">
        <v>1267</v>
      </c>
      <c r="H1402" s="380" t="s">
        <v>771</v>
      </c>
      <c r="I1402" s="380" t="s">
        <v>799</v>
      </c>
      <c r="J1402" s="380" t="s">
        <v>773</v>
      </c>
      <c r="K1402" s="381">
        <v>20230.0</v>
      </c>
      <c r="L1402" s="382">
        <v>1.0</v>
      </c>
    </row>
    <row r="1403">
      <c r="A1403" s="380" t="s">
        <v>2248</v>
      </c>
      <c r="B1403" s="380" t="str">
        <f>IFERROR(__xludf.DUMMYFUNCTION("""COMPUTED_VALUE"""),"Recibo Caja 2005a")</f>
        <v>Recibo Caja 2005a</v>
      </c>
      <c r="C1403" s="380" t="str">
        <f>IFERROR(__xludf.DUMMYFUNCTION("""COMPUTED_VALUE"""),"10001233")</f>
        <v>10001233</v>
      </c>
      <c r="D1403" s="380" t="s">
        <v>767</v>
      </c>
      <c r="E1403" s="380" t="s">
        <v>768</v>
      </c>
      <c r="F1403" s="380" t="s">
        <v>797</v>
      </c>
      <c r="G1403" s="380" t="s">
        <v>1267</v>
      </c>
      <c r="H1403" s="380" t="s">
        <v>771</v>
      </c>
      <c r="I1403" s="380" t="s">
        <v>799</v>
      </c>
      <c r="J1403" s="380" t="s">
        <v>773</v>
      </c>
      <c r="K1403" s="381">
        <v>0.0</v>
      </c>
      <c r="L1403" s="382">
        <v>1.0</v>
      </c>
    </row>
    <row r="1404">
      <c r="A1404" s="380" t="s">
        <v>2249</v>
      </c>
      <c r="B1404" s="380" t="str">
        <f>IFERROR(__xludf.DUMMYFUNCTION("""COMPUTED_VALUE"""),"Lapicero Tinta Humeda")</f>
        <v>Lapicero Tinta Humeda</v>
      </c>
      <c r="C1404" s="380" t="str">
        <f>IFERROR(__xludf.DUMMYFUNCTION("""COMPUTED_VALUE"""),"10001234")</f>
        <v>10001234</v>
      </c>
      <c r="D1404" s="380" t="s">
        <v>767</v>
      </c>
      <c r="E1404" s="380" t="s">
        <v>768</v>
      </c>
      <c r="F1404" s="380" t="s">
        <v>1292</v>
      </c>
      <c r="G1404" s="380" t="s">
        <v>1267</v>
      </c>
      <c r="H1404" s="380" t="s">
        <v>771</v>
      </c>
      <c r="I1404" s="380" t="s">
        <v>1284</v>
      </c>
      <c r="J1404" s="380" t="s">
        <v>773</v>
      </c>
      <c r="K1404" s="381">
        <v>1916.0</v>
      </c>
      <c r="L1404" s="382">
        <v>1.0</v>
      </c>
    </row>
    <row r="1405">
      <c r="A1405" s="380" t="s">
        <v>2250</v>
      </c>
      <c r="B1405" s="380" t="str">
        <f>IFERROR(__xludf.DUMMYFUNCTION("""COMPUTED_VALUE"""),"Mouse Usb Genius")</f>
        <v>Mouse Usb Genius</v>
      </c>
      <c r="C1405" s="380" t="str">
        <f>IFERROR(__xludf.DUMMYFUNCTION("""COMPUTED_VALUE"""),"10001235")</f>
        <v>10001235</v>
      </c>
      <c r="D1405" s="380" t="s">
        <v>767</v>
      </c>
      <c r="E1405" s="380" t="s">
        <v>768</v>
      </c>
      <c r="F1405" s="380" t="s">
        <v>797</v>
      </c>
      <c r="G1405" s="380" t="s">
        <v>1267</v>
      </c>
      <c r="H1405" s="380" t="s">
        <v>771</v>
      </c>
      <c r="I1405" s="380" t="s">
        <v>799</v>
      </c>
      <c r="J1405" s="380" t="s">
        <v>773</v>
      </c>
      <c r="K1405" s="381">
        <v>0.0</v>
      </c>
      <c r="L1405" s="382">
        <v>1.0</v>
      </c>
    </row>
    <row r="1406">
      <c r="A1406" s="380" t="s">
        <v>2251</v>
      </c>
      <c r="B1406" s="380" t="str">
        <f>IFERROR(__xludf.DUMMYFUNCTION("""COMPUTED_VALUE"""),"Teclado Usb Genius")</f>
        <v>Teclado Usb Genius</v>
      </c>
      <c r="C1406" s="380" t="str">
        <f>IFERROR(__xludf.DUMMYFUNCTION("""COMPUTED_VALUE"""),"10001236")</f>
        <v>10001236</v>
      </c>
      <c r="D1406" s="380" t="s">
        <v>767</v>
      </c>
      <c r="E1406" s="380" t="s">
        <v>768</v>
      </c>
      <c r="F1406" s="380" t="s">
        <v>797</v>
      </c>
      <c r="G1406" s="380" t="s">
        <v>1267</v>
      </c>
      <c r="H1406" s="380" t="s">
        <v>771</v>
      </c>
      <c r="I1406" s="380" t="s">
        <v>799</v>
      </c>
      <c r="J1406" s="380" t="s">
        <v>773</v>
      </c>
      <c r="K1406" s="381">
        <v>0.0</v>
      </c>
      <c r="L1406" s="382">
        <v>1.0</v>
      </c>
    </row>
    <row r="1407">
      <c r="A1407" s="380" t="s">
        <v>2252</v>
      </c>
      <c r="B1407" s="380" t="str">
        <f>IFERROR(__xludf.DUMMYFUNCTION("""COMPUTED_VALUE"""),"Tarjeta De Presentación")</f>
        <v>Tarjeta De Presentación</v>
      </c>
      <c r="C1407" s="380" t="str">
        <f>IFERROR(__xludf.DUMMYFUNCTION("""COMPUTED_VALUE"""),"10001237")</f>
        <v>10001237</v>
      </c>
      <c r="D1407" s="380" t="s">
        <v>767</v>
      </c>
      <c r="E1407" s="380" t="s">
        <v>768</v>
      </c>
      <c r="F1407" s="380" t="s">
        <v>1292</v>
      </c>
      <c r="G1407" s="380" t="s">
        <v>1267</v>
      </c>
      <c r="H1407" s="380" t="s">
        <v>771</v>
      </c>
      <c r="I1407" s="380" t="s">
        <v>1284</v>
      </c>
      <c r="J1407" s="380" t="s">
        <v>773</v>
      </c>
      <c r="K1407" s="381">
        <v>214.0</v>
      </c>
      <c r="L1407" s="382">
        <v>1.0</v>
      </c>
    </row>
    <row r="1408">
      <c r="A1408" s="380" t="s">
        <v>2253</v>
      </c>
      <c r="B1408" s="380" t="str">
        <f>IFERROR(__xludf.DUMMYFUNCTION("""COMPUTED_VALUE"""),"Estrellas Leyendas Coordinador")</f>
        <v>Estrellas Leyendas Coordinador</v>
      </c>
      <c r="C1408" s="380" t="str">
        <f>IFERROR(__xludf.DUMMYFUNCTION("""COMPUTED_VALUE"""),"10001260")</f>
        <v>10001260</v>
      </c>
      <c r="D1408" s="380" t="s">
        <v>767</v>
      </c>
      <c r="E1408" s="380" t="s">
        <v>768</v>
      </c>
      <c r="F1408" s="380" t="s">
        <v>2254</v>
      </c>
      <c r="G1408" s="380" t="s">
        <v>1267</v>
      </c>
      <c r="H1408" s="380" t="s">
        <v>771</v>
      </c>
      <c r="I1408" s="380" t="s">
        <v>1946</v>
      </c>
      <c r="J1408" s="380" t="s">
        <v>773</v>
      </c>
      <c r="K1408" s="381">
        <v>0.0</v>
      </c>
      <c r="L1408" s="382">
        <v>1.0</v>
      </c>
    </row>
    <row r="1409">
      <c r="A1409" s="380" t="s">
        <v>2255</v>
      </c>
      <c r="B1409" s="380" t="str">
        <f>IFERROR(__xludf.DUMMYFUNCTION("""COMPUTED_VALUE"""),"Snaks Y Frutas Piso 8 No Grava")</f>
        <v>Snaks Y Frutas Piso 8 No Grava</v>
      </c>
      <c r="C1409" s="380" t="str">
        <f>IFERROR(__xludf.DUMMYFUNCTION("""COMPUTED_VALUE"""),"10001261")</f>
        <v>10001261</v>
      </c>
      <c r="D1409" s="380" t="s">
        <v>767</v>
      </c>
      <c r="E1409" s="380" t="s">
        <v>768</v>
      </c>
      <c r="F1409" s="380" t="s">
        <v>803</v>
      </c>
      <c r="G1409" s="380" t="s">
        <v>1267</v>
      </c>
      <c r="H1409" s="380" t="s">
        <v>771</v>
      </c>
      <c r="I1409" s="380" t="s">
        <v>772</v>
      </c>
      <c r="J1409" s="380" t="s">
        <v>773</v>
      </c>
      <c r="K1409" s="381">
        <v>0.0</v>
      </c>
      <c r="L1409" s="382">
        <v>1.0</v>
      </c>
    </row>
    <row r="1410">
      <c r="A1410" s="380" t="s">
        <v>2256</v>
      </c>
      <c r="B1410" s="380" t="str">
        <f>IFERROR(__xludf.DUMMYFUNCTION("""COMPUTED_VALUE"""),"Vaso De Carton Con Tapa Paquet")</f>
        <v>Vaso De Carton Con Tapa Paquet</v>
      </c>
      <c r="C1410" s="380" t="str">
        <f>IFERROR(__xludf.DUMMYFUNCTION("""COMPUTED_VALUE"""),"10001262")</f>
        <v>10001262</v>
      </c>
      <c r="D1410" s="380" t="s">
        <v>767</v>
      </c>
      <c r="E1410" s="380" t="s">
        <v>768</v>
      </c>
      <c r="F1410" s="380" t="s">
        <v>803</v>
      </c>
      <c r="G1410" s="380" t="s">
        <v>1267</v>
      </c>
      <c r="H1410" s="380" t="s">
        <v>771</v>
      </c>
      <c r="I1410" s="380" t="s">
        <v>772</v>
      </c>
      <c r="J1410" s="380" t="s">
        <v>773</v>
      </c>
      <c r="K1410" s="381">
        <v>0.0</v>
      </c>
      <c r="L1410" s="382">
        <v>1.0</v>
      </c>
    </row>
    <row r="1411">
      <c r="A1411" s="380" t="s">
        <v>2257</v>
      </c>
      <c r="B1411" s="380" t="str">
        <f>IFERROR(__xludf.DUMMYFUNCTION("""COMPUTED_VALUE"""),"Volantes Aliados")</f>
        <v>Volantes Aliados</v>
      </c>
      <c r="C1411" s="380" t="str">
        <f>IFERROR(__xludf.DUMMYFUNCTION("""COMPUTED_VALUE"""),"10001263")</f>
        <v>10001263</v>
      </c>
      <c r="D1411" s="380" t="s">
        <v>767</v>
      </c>
      <c r="E1411" s="380" t="s">
        <v>768</v>
      </c>
      <c r="F1411" s="380" t="s">
        <v>1283</v>
      </c>
      <c r="G1411" s="380" t="s">
        <v>1267</v>
      </c>
      <c r="H1411" s="380" t="s">
        <v>771</v>
      </c>
      <c r="I1411" s="380" t="s">
        <v>1284</v>
      </c>
      <c r="J1411" s="380" t="s">
        <v>773</v>
      </c>
      <c r="K1411" s="381">
        <v>126.0</v>
      </c>
      <c r="L1411" s="382">
        <v>1.0</v>
      </c>
    </row>
    <row r="1412">
      <c r="A1412" s="380" t="s">
        <v>2258</v>
      </c>
      <c r="B1412" s="380" t="str">
        <f>IFERROR(__xludf.DUMMYFUNCTION("""COMPUTED_VALUE"""),"Camiseta Agua Marina Guardiane")</f>
        <v>Camiseta Agua Marina Guardiane</v>
      </c>
      <c r="C1412" s="380" t="str">
        <f>IFERROR(__xludf.DUMMYFUNCTION("""COMPUTED_VALUE"""),"10001264")</f>
        <v>10001264</v>
      </c>
      <c r="D1412" s="380" t="s">
        <v>767</v>
      </c>
      <c r="E1412" s="380" t="s">
        <v>768</v>
      </c>
      <c r="F1412" s="380" t="s">
        <v>1283</v>
      </c>
      <c r="G1412" s="380" t="s">
        <v>1267</v>
      </c>
      <c r="H1412" s="380" t="s">
        <v>771</v>
      </c>
      <c r="I1412" s="380" t="s">
        <v>1284</v>
      </c>
      <c r="J1412" s="380" t="s">
        <v>773</v>
      </c>
      <c r="K1412" s="381">
        <v>0.0</v>
      </c>
      <c r="L1412" s="382">
        <v>1.0</v>
      </c>
    </row>
    <row r="1413">
      <c r="A1413" s="380" t="s">
        <v>2259</v>
      </c>
      <c r="B1413" s="380" t="str">
        <f>IFERROR(__xludf.DUMMYFUNCTION("""COMPUTED_VALUE"""),"Gorra Generica")</f>
        <v>Gorra Generica</v>
      </c>
      <c r="C1413" s="380" t="str">
        <f>IFERROR(__xludf.DUMMYFUNCTION("""COMPUTED_VALUE"""),"10001265")</f>
        <v>10001265</v>
      </c>
      <c r="D1413" s="380" t="s">
        <v>767</v>
      </c>
      <c r="E1413" s="380" t="s">
        <v>768</v>
      </c>
      <c r="F1413" s="380" t="s">
        <v>1283</v>
      </c>
      <c r="G1413" s="380" t="s">
        <v>1267</v>
      </c>
      <c r="H1413" s="380" t="s">
        <v>771</v>
      </c>
      <c r="I1413" s="380" t="s">
        <v>1284</v>
      </c>
      <c r="J1413" s="380" t="s">
        <v>773</v>
      </c>
      <c r="K1413" s="381">
        <v>32130.0</v>
      </c>
      <c r="L1413" s="382">
        <v>1.0</v>
      </c>
    </row>
    <row r="1414">
      <c r="A1414" s="380" t="s">
        <v>2260</v>
      </c>
      <c r="B1414" s="380" t="str">
        <f>IFERROR(__xludf.DUMMYFUNCTION("""COMPUTED_VALUE"""),"Calendario Mercadeo")</f>
        <v>Calendario Mercadeo</v>
      </c>
      <c r="C1414" s="380" t="str">
        <f>IFERROR(__xludf.DUMMYFUNCTION("""COMPUTED_VALUE"""),"10001266")</f>
        <v>10001266</v>
      </c>
      <c r="D1414" s="380" t="s">
        <v>767</v>
      </c>
      <c r="E1414" s="380" t="s">
        <v>768</v>
      </c>
      <c r="F1414" s="380" t="s">
        <v>1283</v>
      </c>
      <c r="G1414" s="380" t="s">
        <v>1267</v>
      </c>
      <c r="H1414" s="380" t="s">
        <v>771</v>
      </c>
      <c r="I1414" s="380" t="s">
        <v>1284</v>
      </c>
      <c r="J1414" s="380" t="s">
        <v>773</v>
      </c>
      <c r="K1414" s="381">
        <v>0.0</v>
      </c>
      <c r="L1414" s="382">
        <v>1.0</v>
      </c>
    </row>
    <row r="1415">
      <c r="A1415" s="380" t="s">
        <v>2261</v>
      </c>
      <c r="B1415" s="380" t="str">
        <f>IFERROR(__xludf.DUMMYFUNCTION("""COMPUTED_VALUE"""),"Volante Kit Aliados Uso Camise")</f>
        <v>Volante Kit Aliados Uso Camise</v>
      </c>
      <c r="C1415" s="380" t="str">
        <f>IFERROR(__xludf.DUMMYFUNCTION("""COMPUTED_VALUE"""),"10001267")</f>
        <v>10001267</v>
      </c>
      <c r="D1415" s="380" t="s">
        <v>767</v>
      </c>
      <c r="E1415" s="380" t="s">
        <v>768</v>
      </c>
      <c r="F1415" s="380" t="s">
        <v>1283</v>
      </c>
      <c r="G1415" s="380" t="s">
        <v>1267</v>
      </c>
      <c r="H1415" s="380" t="s">
        <v>771</v>
      </c>
      <c r="I1415" s="380" t="s">
        <v>1284</v>
      </c>
      <c r="J1415" s="380" t="s">
        <v>773</v>
      </c>
      <c r="K1415" s="381">
        <v>571.0</v>
      </c>
      <c r="L1415" s="382">
        <v>1.0</v>
      </c>
    </row>
    <row r="1416">
      <c r="A1416" s="380" t="s">
        <v>2262</v>
      </c>
      <c r="B1416" s="380" t="str">
        <f>IFERROR(__xludf.DUMMYFUNCTION("""COMPUTED_VALUE"""),"Tarjeta Fidelizacion Aliados C")</f>
        <v>Tarjeta Fidelizacion Aliados C</v>
      </c>
      <c r="C1416" s="380" t="str">
        <f>IFERROR(__xludf.DUMMYFUNCTION("""COMPUTED_VALUE"""),"10001268")</f>
        <v>10001268</v>
      </c>
      <c r="D1416" s="380" t="s">
        <v>767</v>
      </c>
      <c r="E1416" s="380" t="s">
        <v>768</v>
      </c>
      <c r="F1416" s="380" t="s">
        <v>1283</v>
      </c>
      <c r="G1416" s="380" t="s">
        <v>1267</v>
      </c>
      <c r="H1416" s="380" t="s">
        <v>771</v>
      </c>
      <c r="I1416" s="380" t="s">
        <v>1284</v>
      </c>
      <c r="J1416" s="380" t="s">
        <v>773</v>
      </c>
      <c r="K1416" s="381">
        <v>417.0</v>
      </c>
      <c r="L1416" s="382">
        <v>1.0</v>
      </c>
    </row>
    <row r="1417">
      <c r="A1417" s="380" t="s">
        <v>2263</v>
      </c>
      <c r="B1417" s="380" t="str">
        <f>IFERROR(__xludf.DUMMYFUNCTION("""COMPUTED_VALUE"""),"Cartuchera Transparente Mercad")</f>
        <v>Cartuchera Transparente Mercad</v>
      </c>
      <c r="C1417" s="380" t="str">
        <f>IFERROR(__xludf.DUMMYFUNCTION("""COMPUTED_VALUE"""),"10001269")</f>
        <v>10001269</v>
      </c>
      <c r="D1417" s="380" t="s">
        <v>767</v>
      </c>
      <c r="E1417" s="380" t="s">
        <v>768</v>
      </c>
      <c r="F1417" s="380" t="s">
        <v>1283</v>
      </c>
      <c r="G1417" s="380" t="s">
        <v>1267</v>
      </c>
      <c r="H1417" s="380" t="s">
        <v>771</v>
      </c>
      <c r="I1417" s="380" t="s">
        <v>1284</v>
      </c>
      <c r="J1417" s="380" t="s">
        <v>773</v>
      </c>
      <c r="K1417" s="381">
        <v>0.0</v>
      </c>
      <c r="L1417" s="382">
        <v>1.0</v>
      </c>
    </row>
    <row r="1418">
      <c r="A1418" s="380" t="s">
        <v>2264</v>
      </c>
      <c r="B1418" s="380" t="str">
        <f>IFERROR(__xludf.DUMMYFUNCTION("""COMPUTED_VALUE"""),"Estuche Rhode Obsequio Padel T")</f>
        <v>Estuche Rhode Obsequio Padel T</v>
      </c>
      <c r="C1418" s="380" t="str">
        <f>IFERROR(__xludf.DUMMYFUNCTION("""COMPUTED_VALUE"""),"10001270")</f>
        <v>10001270</v>
      </c>
      <c r="D1418" s="380" t="s">
        <v>767</v>
      </c>
      <c r="E1418" s="380" t="s">
        <v>768</v>
      </c>
      <c r="F1418" s="380" t="s">
        <v>1283</v>
      </c>
      <c r="G1418" s="380" t="s">
        <v>1267</v>
      </c>
      <c r="H1418" s="380" t="s">
        <v>771</v>
      </c>
      <c r="I1418" s="380" t="s">
        <v>1284</v>
      </c>
      <c r="J1418" s="380" t="s">
        <v>773</v>
      </c>
      <c r="K1418" s="381">
        <v>23741.0</v>
      </c>
      <c r="L1418" s="382">
        <v>1.0</v>
      </c>
    </row>
    <row r="1419">
      <c r="A1419" s="380" t="s">
        <v>2265</v>
      </c>
      <c r="B1419" s="380" t="str">
        <f>IFERROR(__xludf.DUMMYFUNCTION("""COMPUTED_VALUE"""),"Obsequio Aliados Droop No Grav")</f>
        <v>Obsequio Aliados Droop No Grav</v>
      </c>
      <c r="C1419" s="380" t="str">
        <f>IFERROR(__xludf.DUMMYFUNCTION("""COMPUTED_VALUE"""),"10001271")</f>
        <v>10001271</v>
      </c>
      <c r="D1419" s="380" t="s">
        <v>767</v>
      </c>
      <c r="E1419" s="380" t="s">
        <v>768</v>
      </c>
      <c r="F1419" s="380" t="s">
        <v>1224</v>
      </c>
      <c r="G1419" s="380" t="s">
        <v>1267</v>
      </c>
      <c r="H1419" s="380" t="s">
        <v>771</v>
      </c>
      <c r="I1419" s="380" t="s">
        <v>1225</v>
      </c>
      <c r="J1419" s="380" t="s">
        <v>773</v>
      </c>
      <c r="K1419" s="381">
        <v>455000.0</v>
      </c>
      <c r="L1419" s="382">
        <v>1.0</v>
      </c>
    </row>
    <row r="1420">
      <c r="A1420" s="380" t="s">
        <v>2266</v>
      </c>
      <c r="B1420" s="380" t="str">
        <f>IFERROR(__xludf.DUMMYFUNCTION("""COMPUTED_VALUE"""),"Camisa Tipo Polo Aliados Droop")</f>
        <v>Camisa Tipo Polo Aliados Droop</v>
      </c>
      <c r="C1420" s="380" t="str">
        <f>IFERROR(__xludf.DUMMYFUNCTION("""COMPUTED_VALUE"""),"10001272")</f>
        <v>10001272</v>
      </c>
      <c r="D1420" s="380" t="s">
        <v>767</v>
      </c>
      <c r="E1420" s="380" t="s">
        <v>768</v>
      </c>
      <c r="F1420" s="380" t="s">
        <v>1283</v>
      </c>
      <c r="G1420" s="380" t="s">
        <v>1267</v>
      </c>
      <c r="H1420" s="380" t="s">
        <v>771</v>
      </c>
      <c r="I1420" s="380" t="s">
        <v>1284</v>
      </c>
      <c r="J1420" s="380" t="s">
        <v>773</v>
      </c>
      <c r="K1420" s="381">
        <v>0.0</v>
      </c>
      <c r="L1420" s="382">
        <v>1.0</v>
      </c>
    </row>
    <row r="1421">
      <c r="A1421" s="380" t="s">
        <v>2267</v>
      </c>
      <c r="B1421" s="380" t="str">
        <f>IFERROR(__xludf.DUMMYFUNCTION("""COMPUTED_VALUE"""),"Obsequio Aliados Droop")</f>
        <v>Obsequio Aliados Droop</v>
      </c>
      <c r="C1421" s="380" t="str">
        <f>IFERROR(__xludf.DUMMYFUNCTION("""COMPUTED_VALUE"""),"10001273")</f>
        <v>10001273</v>
      </c>
      <c r="D1421" s="380" t="s">
        <v>767</v>
      </c>
      <c r="E1421" s="380" t="s">
        <v>768</v>
      </c>
      <c r="F1421" s="380" t="s">
        <v>1224</v>
      </c>
      <c r="G1421" s="380" t="s">
        <v>1267</v>
      </c>
      <c r="H1421" s="380" t="s">
        <v>771</v>
      </c>
      <c r="I1421" s="380" t="s">
        <v>1225</v>
      </c>
      <c r="J1421" s="380" t="s">
        <v>773</v>
      </c>
      <c r="K1421" s="381">
        <v>450217.0</v>
      </c>
      <c r="L1421" s="382">
        <v>1.0</v>
      </c>
    </row>
    <row r="1422">
      <c r="A1422" s="380" t="s">
        <v>2268</v>
      </c>
      <c r="B1422" s="380" t="str">
        <f>IFERROR(__xludf.DUMMYFUNCTION("""COMPUTED_VALUE"""),"Veleta Publicitaria")</f>
        <v>Veleta Publicitaria</v>
      </c>
      <c r="C1422" s="380" t="str">
        <f>IFERROR(__xludf.DUMMYFUNCTION("""COMPUTED_VALUE"""),"10001274")</f>
        <v>10001274</v>
      </c>
      <c r="D1422" s="380" t="s">
        <v>767</v>
      </c>
      <c r="E1422" s="380" t="s">
        <v>768</v>
      </c>
      <c r="F1422" s="380" t="s">
        <v>1283</v>
      </c>
      <c r="G1422" s="380" t="s">
        <v>1267</v>
      </c>
      <c r="H1422" s="380" t="s">
        <v>771</v>
      </c>
      <c r="I1422" s="380" t="s">
        <v>1284</v>
      </c>
      <c r="J1422" s="380" t="s">
        <v>773</v>
      </c>
      <c r="K1422" s="381">
        <v>0.0</v>
      </c>
      <c r="L1422" s="382">
        <v>1.0</v>
      </c>
    </row>
    <row r="1423">
      <c r="A1423" s="380" t="s">
        <v>2269</v>
      </c>
      <c r="B1423" s="380" t="str">
        <f>IFERROR(__xludf.DUMMYFUNCTION("""COMPUTED_VALUE"""),"Adhesivo Garantia De Calidad Y")</f>
        <v>Adhesivo Garantia De Calidad Y</v>
      </c>
      <c r="C1423" s="380" t="str">
        <f>IFERROR(__xludf.DUMMYFUNCTION("""COMPUTED_VALUE"""),"10001275")</f>
        <v>10001275</v>
      </c>
      <c r="D1423" s="380" t="s">
        <v>767</v>
      </c>
      <c r="E1423" s="380" t="s">
        <v>768</v>
      </c>
      <c r="F1423" s="380" t="s">
        <v>1283</v>
      </c>
      <c r="G1423" s="380" t="s">
        <v>1267</v>
      </c>
      <c r="H1423" s="380" t="s">
        <v>771</v>
      </c>
      <c r="I1423" s="380" t="s">
        <v>1284</v>
      </c>
      <c r="J1423" s="380" t="s">
        <v>773</v>
      </c>
      <c r="K1423" s="381">
        <v>88.0</v>
      </c>
      <c r="L1423" s="382">
        <v>1.0</v>
      </c>
    </row>
    <row r="1424">
      <c r="A1424" s="380" t="s">
        <v>2270</v>
      </c>
      <c r="B1424" s="380" t="str">
        <f>IFERROR(__xludf.DUMMYFUNCTION("""COMPUTED_VALUE"""),"Mini Mug Fulfillment Mercadeo")</f>
        <v>Mini Mug Fulfillment Mercadeo</v>
      </c>
      <c r="C1424" s="380" t="str">
        <f>IFERROR(__xludf.DUMMYFUNCTION("""COMPUTED_VALUE"""),"10001276")</f>
        <v>10001276</v>
      </c>
      <c r="D1424" s="380" t="s">
        <v>767</v>
      </c>
      <c r="E1424" s="380" t="s">
        <v>768</v>
      </c>
      <c r="F1424" s="380" t="s">
        <v>1283</v>
      </c>
      <c r="G1424" s="380" t="s">
        <v>1267</v>
      </c>
      <c r="H1424" s="380" t="s">
        <v>771</v>
      </c>
      <c r="I1424" s="380" t="s">
        <v>1284</v>
      </c>
      <c r="J1424" s="380" t="s">
        <v>773</v>
      </c>
      <c r="K1424" s="381">
        <v>0.0</v>
      </c>
      <c r="L1424" s="382">
        <v>1.0</v>
      </c>
    </row>
    <row r="1425">
      <c r="A1425" s="380" t="s">
        <v>2271</v>
      </c>
      <c r="B1425" s="380" t="str">
        <f>IFERROR(__xludf.DUMMYFUNCTION("""COMPUTED_VALUE"""),"Pr Bono Compra De $ 20.000")</f>
        <v>Pr Bono Compra De $ 20.000</v>
      </c>
      <c r="C1425" s="380" t="str">
        <f>IFERROR(__xludf.DUMMYFUNCTION("""COMPUTED_VALUE"""),"10001277")</f>
        <v>10001277</v>
      </c>
      <c r="D1425" s="380" t="s">
        <v>767</v>
      </c>
      <c r="E1425" s="380" t="s">
        <v>768</v>
      </c>
      <c r="F1425" s="380" t="s">
        <v>1224</v>
      </c>
      <c r="G1425" s="380" t="s">
        <v>1267</v>
      </c>
      <c r="H1425" s="380" t="s">
        <v>771</v>
      </c>
      <c r="I1425" s="380" t="s">
        <v>1225</v>
      </c>
      <c r="J1425" s="380" t="s">
        <v>773</v>
      </c>
      <c r="K1425" s="381">
        <v>20000.0</v>
      </c>
      <c r="L1425" s="382">
        <v>1.0</v>
      </c>
    </row>
    <row r="1426">
      <c r="A1426" s="380" t="s">
        <v>2272</v>
      </c>
      <c r="B1426" s="380" t="str">
        <f>IFERROR(__xludf.DUMMYFUNCTION("""COMPUTED_VALUE"""),"Pr Bono Compra De $ 40.000")</f>
        <v>Pr Bono Compra De $ 40.000</v>
      </c>
      <c r="C1426" s="380" t="str">
        <f>IFERROR(__xludf.DUMMYFUNCTION("""COMPUTED_VALUE"""),"10001278")</f>
        <v>10001278</v>
      </c>
      <c r="D1426" s="380" t="s">
        <v>767</v>
      </c>
      <c r="E1426" s="380" t="s">
        <v>768</v>
      </c>
      <c r="F1426" s="380" t="s">
        <v>1224</v>
      </c>
      <c r="G1426" s="380" t="s">
        <v>1267</v>
      </c>
      <c r="H1426" s="380" t="s">
        <v>771</v>
      </c>
      <c r="I1426" s="380" t="s">
        <v>1225</v>
      </c>
      <c r="J1426" s="380" t="s">
        <v>773</v>
      </c>
      <c r="K1426" s="381">
        <v>40000.0</v>
      </c>
      <c r="L1426" s="382">
        <v>1.0</v>
      </c>
    </row>
    <row r="1427">
      <c r="A1427" s="380" t="s">
        <v>2273</v>
      </c>
      <c r="B1427" s="380" t="str">
        <f>IFERROR(__xludf.DUMMYFUNCTION("""COMPUTED_VALUE"""),"Pr Bono Compra De $ 140.000")</f>
        <v>Pr Bono Compra De $ 140.000</v>
      </c>
      <c r="C1427" s="380" t="str">
        <f>IFERROR(__xludf.DUMMYFUNCTION("""COMPUTED_VALUE"""),"10001279")</f>
        <v>10001279</v>
      </c>
      <c r="D1427" s="380" t="s">
        <v>767</v>
      </c>
      <c r="E1427" s="380" t="s">
        <v>768</v>
      </c>
      <c r="F1427" s="380" t="s">
        <v>1224</v>
      </c>
      <c r="G1427" s="380" t="s">
        <v>1267</v>
      </c>
      <c r="H1427" s="380" t="s">
        <v>771</v>
      </c>
      <c r="I1427" s="380" t="s">
        <v>1225</v>
      </c>
      <c r="J1427" s="380" t="s">
        <v>773</v>
      </c>
      <c r="K1427" s="381">
        <v>140000.0</v>
      </c>
      <c r="L1427" s="382">
        <v>1.0</v>
      </c>
    </row>
    <row r="1428">
      <c r="A1428" s="380" t="s">
        <v>2274</v>
      </c>
      <c r="B1428" s="380" t="str">
        <f>IFERROR(__xludf.DUMMYFUNCTION("""COMPUTED_VALUE"""),"Separadores Publicitarios")</f>
        <v>Separadores Publicitarios</v>
      </c>
      <c r="C1428" s="380" t="str">
        <f>IFERROR(__xludf.DUMMYFUNCTION("""COMPUTED_VALUE"""),"10001280")</f>
        <v>10001280</v>
      </c>
      <c r="D1428" s="380" t="s">
        <v>767</v>
      </c>
      <c r="E1428" s="380" t="s">
        <v>768</v>
      </c>
      <c r="F1428" s="380" t="s">
        <v>1283</v>
      </c>
      <c r="G1428" s="380" t="s">
        <v>1267</v>
      </c>
      <c r="H1428" s="380" t="s">
        <v>771</v>
      </c>
      <c r="I1428" s="380" t="s">
        <v>1284</v>
      </c>
      <c r="J1428" s="380" t="s">
        <v>773</v>
      </c>
      <c r="K1428" s="381">
        <v>565.0</v>
      </c>
      <c r="L1428" s="382">
        <v>1.0</v>
      </c>
    </row>
    <row r="1429">
      <c r="A1429" s="380" t="s">
        <v>2275</v>
      </c>
      <c r="B1429" s="380" t="str">
        <f>IFERROR(__xludf.DUMMYFUNCTION("""COMPUTED_VALUE"""),"Obsequio Niño Cliente")</f>
        <v>Obsequio Niño Cliente</v>
      </c>
      <c r="C1429" s="380" t="str">
        <f>IFERROR(__xludf.DUMMYFUNCTION("""COMPUTED_VALUE"""),"10001281")</f>
        <v>10001281</v>
      </c>
      <c r="D1429" s="380" t="s">
        <v>767</v>
      </c>
      <c r="E1429" s="380" t="s">
        <v>768</v>
      </c>
      <c r="F1429" s="380" t="s">
        <v>1283</v>
      </c>
      <c r="G1429" s="380" t="s">
        <v>1267</v>
      </c>
      <c r="H1429" s="380" t="s">
        <v>771</v>
      </c>
      <c r="I1429" s="380" t="s">
        <v>1284</v>
      </c>
      <c r="J1429" s="380" t="s">
        <v>773</v>
      </c>
      <c r="K1429" s="381">
        <v>0.0</v>
      </c>
      <c r="L1429" s="382">
        <v>1.0</v>
      </c>
    </row>
    <row r="1430">
      <c r="A1430" s="380" t="s">
        <v>2276</v>
      </c>
      <c r="B1430" s="380" t="str">
        <f>IFERROR(__xludf.DUMMYFUNCTION("""COMPUTED_VALUE"""),"Malla")</f>
        <v>Malla</v>
      </c>
      <c r="C1430" s="380" t="str">
        <f>IFERROR(__xludf.DUMMYFUNCTION("""COMPUTED_VALUE"""),"10001282")</f>
        <v>10001282</v>
      </c>
      <c r="D1430" s="380" t="s">
        <v>767</v>
      </c>
      <c r="E1430" s="380" t="s">
        <v>768</v>
      </c>
      <c r="F1430" s="380" t="s">
        <v>1224</v>
      </c>
      <c r="G1430" s="380" t="s">
        <v>1267</v>
      </c>
      <c r="H1430" s="380" t="s">
        <v>771</v>
      </c>
      <c r="I1430" s="380" t="s">
        <v>1225</v>
      </c>
      <c r="J1430" s="380" t="s">
        <v>773</v>
      </c>
      <c r="K1430" s="381">
        <v>0.0</v>
      </c>
      <c r="L1430" s="382">
        <v>1.0</v>
      </c>
    </row>
    <row r="1431">
      <c r="A1431" s="380" t="s">
        <v>2277</v>
      </c>
      <c r="B1431" s="380" t="str">
        <f>IFERROR(__xludf.DUMMYFUNCTION("""COMPUTED_VALUE"""),"Obsequio Cliente")</f>
        <v>Obsequio Cliente</v>
      </c>
      <c r="C1431" s="380" t="str">
        <f>IFERROR(__xludf.DUMMYFUNCTION("""COMPUTED_VALUE"""),"10001283")</f>
        <v>10001283</v>
      </c>
      <c r="D1431" s="380" t="s">
        <v>767</v>
      </c>
      <c r="E1431" s="380" t="s">
        <v>768</v>
      </c>
      <c r="F1431" s="380" t="s">
        <v>1283</v>
      </c>
      <c r="G1431" s="380" t="s">
        <v>1267</v>
      </c>
      <c r="H1431" s="380" t="s">
        <v>771</v>
      </c>
      <c r="I1431" s="380" t="s">
        <v>1284</v>
      </c>
      <c r="J1431" s="380" t="s">
        <v>773</v>
      </c>
      <c r="K1431" s="381">
        <v>44205.0</v>
      </c>
      <c r="L1431" s="382">
        <v>1.0</v>
      </c>
    </row>
    <row r="1432">
      <c r="A1432" s="380" t="s">
        <v>2278</v>
      </c>
      <c r="B1432" s="380" t="str">
        <f>IFERROR(__xludf.DUMMYFUNCTION("""COMPUTED_VALUE"""),"Sobre Media Carta Mercadeo")</f>
        <v>Sobre Media Carta Mercadeo</v>
      </c>
      <c r="C1432" s="380" t="str">
        <f>IFERROR(__xludf.DUMMYFUNCTION("""COMPUTED_VALUE"""),"10001284")</f>
        <v>10001284</v>
      </c>
      <c r="D1432" s="380" t="s">
        <v>767</v>
      </c>
      <c r="E1432" s="380" t="s">
        <v>768</v>
      </c>
      <c r="F1432" s="380" t="s">
        <v>1224</v>
      </c>
      <c r="G1432" s="380" t="s">
        <v>1267</v>
      </c>
      <c r="H1432" s="380" t="s">
        <v>771</v>
      </c>
      <c r="I1432" s="380" t="s">
        <v>1225</v>
      </c>
      <c r="J1432" s="380" t="s">
        <v>773</v>
      </c>
      <c r="K1432" s="381">
        <v>3559.0</v>
      </c>
      <c r="L1432" s="382">
        <v>1.0</v>
      </c>
    </row>
    <row r="1433">
      <c r="A1433" s="380" t="s">
        <v>2279</v>
      </c>
      <c r="B1433" s="380" t="str">
        <f>IFERROR(__xludf.DUMMYFUNCTION("""COMPUTED_VALUE"""),"Afiche Tabloide")</f>
        <v>Afiche Tabloide</v>
      </c>
      <c r="C1433" s="380" t="str">
        <f>IFERROR(__xludf.DUMMYFUNCTION("""COMPUTED_VALUE"""),"10001285")</f>
        <v>10001285</v>
      </c>
      <c r="D1433" s="380" t="s">
        <v>767</v>
      </c>
      <c r="E1433" s="380" t="s">
        <v>768</v>
      </c>
      <c r="F1433" s="380" t="s">
        <v>1283</v>
      </c>
      <c r="G1433" s="380" t="s">
        <v>1267</v>
      </c>
      <c r="H1433" s="380" t="s">
        <v>771</v>
      </c>
      <c r="I1433" s="380" t="s">
        <v>1284</v>
      </c>
      <c r="J1433" s="380" t="s">
        <v>773</v>
      </c>
      <c r="K1433" s="381">
        <v>1321.0</v>
      </c>
      <c r="L1433" s="382">
        <v>1.0</v>
      </c>
    </row>
    <row r="1434">
      <c r="A1434" s="380" t="s">
        <v>2280</v>
      </c>
      <c r="B1434" s="380" t="str">
        <f>IFERROR(__xludf.DUMMYFUNCTION("""COMPUTED_VALUE"""),"Pr Bono Compra De $ 100.000")</f>
        <v>Pr Bono Compra De $ 100.000</v>
      </c>
      <c r="C1434" s="380" t="str">
        <f>IFERROR(__xludf.DUMMYFUNCTION("""COMPUTED_VALUE"""),"10001286")</f>
        <v>10001286</v>
      </c>
      <c r="D1434" s="380" t="s">
        <v>767</v>
      </c>
      <c r="E1434" s="380" t="s">
        <v>768</v>
      </c>
      <c r="F1434" s="380" t="s">
        <v>1224</v>
      </c>
      <c r="G1434" s="380" t="s">
        <v>1267</v>
      </c>
      <c r="H1434" s="380" t="s">
        <v>771</v>
      </c>
      <c r="I1434" s="380" t="s">
        <v>1225</v>
      </c>
      <c r="J1434" s="380" t="s">
        <v>773</v>
      </c>
      <c r="K1434" s="381">
        <v>77452.0</v>
      </c>
      <c r="L1434" s="382">
        <v>1.0</v>
      </c>
    </row>
    <row r="1435">
      <c r="A1435" s="380" t="s">
        <v>2281</v>
      </c>
      <c r="B1435" s="380" t="str">
        <f>IFERROR(__xludf.DUMMYFUNCTION("""COMPUTED_VALUE"""),"Sobre Correspondencia Interna")</f>
        <v>Sobre Correspondencia Interna</v>
      </c>
      <c r="C1435" s="380" t="str">
        <f>IFERROR(__xludf.DUMMYFUNCTION("""COMPUTED_VALUE"""),"10001287")</f>
        <v>10001287</v>
      </c>
      <c r="D1435" s="380" t="s">
        <v>767</v>
      </c>
      <c r="E1435" s="380" t="s">
        <v>768</v>
      </c>
      <c r="F1435" s="380" t="s">
        <v>797</v>
      </c>
      <c r="G1435" s="380" t="s">
        <v>1267</v>
      </c>
      <c r="H1435" s="380" t="s">
        <v>771</v>
      </c>
      <c r="I1435" s="380" t="s">
        <v>799</v>
      </c>
      <c r="J1435" s="380" t="s">
        <v>773</v>
      </c>
      <c r="K1435" s="381">
        <v>0.0</v>
      </c>
      <c r="L1435" s="382">
        <v>1.0</v>
      </c>
    </row>
    <row r="1436">
      <c r="A1436" s="380" t="s">
        <v>2282</v>
      </c>
      <c r="B1436" s="380" t="str">
        <f>IFERROR(__xludf.DUMMYFUNCTION("""COMPUTED_VALUE"""),"Lona Banner Con Barilla 2X1")</f>
        <v>Lona Banner Con Barilla 2X1</v>
      </c>
      <c r="C1436" s="380" t="str">
        <f>IFERROR(__xludf.DUMMYFUNCTION("""COMPUTED_VALUE"""),"10001288")</f>
        <v>10001288</v>
      </c>
      <c r="D1436" s="380" t="s">
        <v>767</v>
      </c>
      <c r="E1436" s="380" t="s">
        <v>768</v>
      </c>
      <c r="F1436" s="380" t="s">
        <v>2254</v>
      </c>
      <c r="G1436" s="380" t="s">
        <v>1267</v>
      </c>
      <c r="H1436" s="380" t="s">
        <v>771</v>
      </c>
      <c r="I1436" s="380" t="s">
        <v>1946</v>
      </c>
      <c r="J1436" s="380" t="s">
        <v>773</v>
      </c>
      <c r="K1436" s="381">
        <v>0.0</v>
      </c>
      <c r="L1436" s="382">
        <v>1.0</v>
      </c>
    </row>
    <row r="1437">
      <c r="A1437" s="380" t="s">
        <v>2283</v>
      </c>
      <c r="B1437" s="380" t="str">
        <f>IFERROR(__xludf.DUMMYFUNCTION("""COMPUTED_VALUE"""),"Mug En Plastico Para Cafe")</f>
        <v>Mug En Plastico Para Cafe</v>
      </c>
      <c r="C1437" s="380" t="str">
        <f>IFERROR(__xludf.DUMMYFUNCTION("""COMPUTED_VALUE"""),"10001289")</f>
        <v>10001289</v>
      </c>
      <c r="D1437" s="380" t="s">
        <v>767</v>
      </c>
      <c r="E1437" s="380" t="s">
        <v>768</v>
      </c>
      <c r="F1437" s="380" t="s">
        <v>1283</v>
      </c>
      <c r="G1437" s="380" t="s">
        <v>1267</v>
      </c>
      <c r="H1437" s="380" t="s">
        <v>771</v>
      </c>
      <c r="I1437" s="380" t="s">
        <v>1284</v>
      </c>
      <c r="J1437" s="380" t="s">
        <v>773</v>
      </c>
      <c r="K1437" s="381">
        <v>0.0</v>
      </c>
      <c r="L1437" s="382">
        <v>1.0</v>
      </c>
    </row>
    <row r="1438">
      <c r="A1438" s="380" t="s">
        <v>2284</v>
      </c>
      <c r="B1438" s="380" t="str">
        <f>IFERROR(__xludf.DUMMYFUNCTION("""COMPUTED_VALUE"""),"Impresión De Plotter")</f>
        <v>Impresión De Plotter</v>
      </c>
      <c r="C1438" s="380" t="str">
        <f>IFERROR(__xludf.DUMMYFUNCTION("""COMPUTED_VALUE"""),"10001290")</f>
        <v>10001290</v>
      </c>
      <c r="D1438" s="380" t="s">
        <v>767</v>
      </c>
      <c r="E1438" s="380" t="s">
        <v>768</v>
      </c>
      <c r="F1438" s="380" t="s">
        <v>1283</v>
      </c>
      <c r="G1438" s="380" t="s">
        <v>1267</v>
      </c>
      <c r="H1438" s="380" t="s">
        <v>771</v>
      </c>
      <c r="I1438" s="380" t="s">
        <v>1284</v>
      </c>
      <c r="J1438" s="380" t="s">
        <v>773</v>
      </c>
      <c r="K1438" s="381">
        <v>22593.0</v>
      </c>
      <c r="L1438" s="382">
        <v>1.0</v>
      </c>
    </row>
    <row r="1439">
      <c r="A1439" s="380" t="s">
        <v>2285</v>
      </c>
      <c r="B1439" s="380" t="str">
        <f>IFERROR(__xludf.DUMMYFUNCTION("""COMPUTED_VALUE"""),"Botella De Vino")</f>
        <v>Botella De Vino</v>
      </c>
      <c r="C1439" s="380" t="str">
        <f>IFERROR(__xludf.DUMMYFUNCTION("""COMPUTED_VALUE"""),"10001291")</f>
        <v>10001291</v>
      </c>
      <c r="D1439" s="380" t="s">
        <v>767</v>
      </c>
      <c r="E1439" s="380" t="s">
        <v>768</v>
      </c>
      <c r="F1439" s="380" t="s">
        <v>1224</v>
      </c>
      <c r="G1439" s="380" t="s">
        <v>1267</v>
      </c>
      <c r="H1439" s="380" t="s">
        <v>771</v>
      </c>
      <c r="I1439" s="380" t="s">
        <v>1225</v>
      </c>
      <c r="J1439" s="380" t="s">
        <v>773</v>
      </c>
      <c r="K1439" s="381">
        <v>66851.0</v>
      </c>
      <c r="L1439" s="382">
        <v>1.0</v>
      </c>
    </row>
    <row r="1440">
      <c r="A1440" s="380" t="s">
        <v>2286</v>
      </c>
      <c r="B1440" s="380" t="str">
        <f>IFERROR(__xludf.DUMMYFUNCTION("""COMPUTED_VALUE"""),"Camiseta Estampada Eventos")</f>
        <v>Camiseta Estampada Eventos</v>
      </c>
      <c r="C1440" s="380" t="str">
        <f>IFERROR(__xludf.DUMMYFUNCTION("""COMPUTED_VALUE"""),"10001292")</f>
        <v>10001292</v>
      </c>
      <c r="D1440" s="380" t="s">
        <v>767</v>
      </c>
      <c r="E1440" s="380" t="s">
        <v>768</v>
      </c>
      <c r="F1440" s="380" t="s">
        <v>1224</v>
      </c>
      <c r="G1440" s="380" t="s">
        <v>1267</v>
      </c>
      <c r="H1440" s="380" t="s">
        <v>771</v>
      </c>
      <c r="I1440" s="380" t="s">
        <v>1225</v>
      </c>
      <c r="J1440" s="380" t="s">
        <v>773</v>
      </c>
      <c r="K1440" s="381">
        <v>61273.0</v>
      </c>
      <c r="L1440" s="382">
        <v>1.0</v>
      </c>
    </row>
    <row r="1441">
      <c r="A1441" s="380" t="s">
        <v>2287</v>
      </c>
      <c r="B1441" s="380" t="str">
        <f>IFERROR(__xludf.DUMMYFUNCTION("""COMPUTED_VALUE"""),"Dulce Con Logo De Coordinadora")</f>
        <v>Dulce Con Logo De Coordinadora</v>
      </c>
      <c r="C1441" s="380" t="str">
        <f>IFERROR(__xludf.DUMMYFUNCTION("""COMPUTED_VALUE"""),"10001293")</f>
        <v>10001293</v>
      </c>
      <c r="D1441" s="380" t="s">
        <v>767</v>
      </c>
      <c r="E1441" s="380" t="s">
        <v>768</v>
      </c>
      <c r="F1441" s="380" t="s">
        <v>1283</v>
      </c>
      <c r="G1441" s="380" t="s">
        <v>1267</v>
      </c>
      <c r="H1441" s="380" t="s">
        <v>771</v>
      </c>
      <c r="I1441" s="380" t="s">
        <v>1284</v>
      </c>
      <c r="J1441" s="380" t="s">
        <v>773</v>
      </c>
      <c r="K1441" s="381">
        <v>0.0</v>
      </c>
      <c r="L1441" s="382">
        <v>1.0</v>
      </c>
    </row>
    <row r="1442">
      <c r="A1442" s="380" t="s">
        <v>2288</v>
      </c>
      <c r="B1442" s="380" t="str">
        <f>IFERROR(__xludf.DUMMYFUNCTION("""COMPUTED_VALUE"""),"Tarjeta Personalizadas Adhesivo")</f>
        <v>Tarjeta Personalizadas Adhesivo</v>
      </c>
      <c r="C1442" s="380" t="str">
        <f>IFERROR(__xludf.DUMMYFUNCTION("""COMPUTED_VALUE"""),"10001294")</f>
        <v>10001294</v>
      </c>
      <c r="D1442" s="380" t="s">
        <v>767</v>
      </c>
      <c r="E1442" s="380" t="s">
        <v>768</v>
      </c>
      <c r="F1442" s="380" t="s">
        <v>1283</v>
      </c>
      <c r="G1442" s="380" t="s">
        <v>1267</v>
      </c>
      <c r="H1442" s="380" t="s">
        <v>771</v>
      </c>
      <c r="I1442" s="380" t="s">
        <v>1284</v>
      </c>
      <c r="J1442" s="380" t="s">
        <v>773</v>
      </c>
      <c r="K1442" s="381">
        <v>0.0</v>
      </c>
      <c r="L1442" s="382">
        <v>1.0</v>
      </c>
    </row>
    <row r="1443">
      <c r="A1443" s="380" t="s">
        <v>2289</v>
      </c>
      <c r="B1443" s="380" t="str">
        <f>IFERROR(__xludf.DUMMYFUNCTION("""COMPUTED_VALUE"""),"Talonario Facturas")</f>
        <v>Talonario Facturas</v>
      </c>
      <c r="C1443" s="380" t="str">
        <f>IFERROR(__xludf.DUMMYFUNCTION("""COMPUTED_VALUE"""),"10001295")</f>
        <v>10001295</v>
      </c>
      <c r="D1443" s="380" t="s">
        <v>767</v>
      </c>
      <c r="E1443" s="380" t="s">
        <v>768</v>
      </c>
      <c r="F1443" s="380" t="s">
        <v>797</v>
      </c>
      <c r="G1443" s="380" t="s">
        <v>1267</v>
      </c>
      <c r="H1443" s="380" t="s">
        <v>771</v>
      </c>
      <c r="I1443" s="380" t="s">
        <v>799</v>
      </c>
      <c r="J1443" s="380" t="s">
        <v>773</v>
      </c>
      <c r="K1443" s="381">
        <v>0.0</v>
      </c>
      <c r="L1443" s="382">
        <v>1.0</v>
      </c>
    </row>
    <row r="1444">
      <c r="A1444" s="380" t="s">
        <v>2290</v>
      </c>
      <c r="B1444" s="380" t="str">
        <f>IFERROR(__xludf.DUMMYFUNCTION("""COMPUTED_VALUE"""),"Articulos Decorativos Varios M")</f>
        <v>Articulos Decorativos Varios M</v>
      </c>
      <c r="C1444" s="380" t="str">
        <f>IFERROR(__xludf.DUMMYFUNCTION("""COMPUTED_VALUE"""),"10001297")</f>
        <v>10001297</v>
      </c>
      <c r="D1444" s="380" t="s">
        <v>767</v>
      </c>
      <c r="E1444" s="380" t="s">
        <v>768</v>
      </c>
      <c r="F1444" s="380" t="s">
        <v>1224</v>
      </c>
      <c r="G1444" s="380" t="s">
        <v>1267</v>
      </c>
      <c r="H1444" s="380" t="s">
        <v>771</v>
      </c>
      <c r="I1444" s="380" t="s">
        <v>1225</v>
      </c>
      <c r="J1444" s="380" t="s">
        <v>773</v>
      </c>
      <c r="K1444" s="381">
        <v>100751.0</v>
      </c>
      <c r="L1444" s="382">
        <v>1.0</v>
      </c>
    </row>
    <row r="1445">
      <c r="A1445" s="380" t="s">
        <v>2291</v>
      </c>
      <c r="B1445" s="380" t="str">
        <f>IFERROR(__xludf.DUMMYFUNCTION("""COMPUTED_VALUE"""),"Gorra Con Logo Cm Tp Camionera")</f>
        <v>Gorra Con Logo Cm Tp Camionera</v>
      </c>
      <c r="C1445" s="380" t="str">
        <f>IFERROR(__xludf.DUMMYFUNCTION("""COMPUTED_VALUE"""),"10001298")</f>
        <v>10001298</v>
      </c>
      <c r="D1445" s="380" t="s">
        <v>767</v>
      </c>
      <c r="E1445" s="380" t="s">
        <v>768</v>
      </c>
      <c r="F1445" s="380" t="s">
        <v>1283</v>
      </c>
      <c r="G1445" s="380" t="s">
        <v>1267</v>
      </c>
      <c r="H1445" s="380" t="s">
        <v>771</v>
      </c>
      <c r="I1445" s="380" t="s">
        <v>1284</v>
      </c>
      <c r="J1445" s="380" t="s">
        <v>773</v>
      </c>
      <c r="K1445" s="381">
        <v>25642.0</v>
      </c>
      <c r="L1445" s="382">
        <v>1.0</v>
      </c>
    </row>
    <row r="1446">
      <c r="A1446" s="380" t="s">
        <v>2292</v>
      </c>
      <c r="B1446" s="380" t="str">
        <f>IFERROR(__xludf.DUMMYFUNCTION("""COMPUTED_VALUE"""),"Pr Bbq Grill")</f>
        <v>Pr Bbq Grill</v>
      </c>
      <c r="C1446" s="380" t="str">
        <f>IFERROR(__xludf.DUMMYFUNCTION("""COMPUTED_VALUE"""),"10001299")</f>
        <v>10001299</v>
      </c>
      <c r="D1446" s="380" t="s">
        <v>767</v>
      </c>
      <c r="E1446" s="380" t="s">
        <v>768</v>
      </c>
      <c r="F1446" s="380" t="s">
        <v>1224</v>
      </c>
      <c r="G1446" s="380" t="s">
        <v>1267</v>
      </c>
      <c r="H1446" s="380" t="s">
        <v>771</v>
      </c>
      <c r="I1446" s="380" t="s">
        <v>1225</v>
      </c>
      <c r="J1446" s="380" t="s">
        <v>773</v>
      </c>
      <c r="K1446" s="381">
        <v>78754.0</v>
      </c>
      <c r="L1446" s="382">
        <v>1.0</v>
      </c>
    </row>
    <row r="1447">
      <c r="A1447" s="380" t="s">
        <v>2293</v>
      </c>
      <c r="B1447" s="380" t="str">
        <f>IFERROR(__xludf.DUMMYFUNCTION("""COMPUTED_VALUE"""),"Volantes Ferias")</f>
        <v>Volantes Ferias</v>
      </c>
      <c r="C1447" s="380" t="str">
        <f>IFERROR(__xludf.DUMMYFUNCTION("""COMPUTED_VALUE"""),"10001300")</f>
        <v>10001300</v>
      </c>
      <c r="D1447" s="380" t="s">
        <v>767</v>
      </c>
      <c r="E1447" s="380" t="s">
        <v>768</v>
      </c>
      <c r="F1447" s="380" t="s">
        <v>1283</v>
      </c>
      <c r="G1447" s="380" t="s">
        <v>1267</v>
      </c>
      <c r="H1447" s="380" t="s">
        <v>771</v>
      </c>
      <c r="I1447" s="380" t="s">
        <v>1284</v>
      </c>
      <c r="J1447" s="380" t="s">
        <v>773</v>
      </c>
      <c r="K1447" s="381">
        <v>0.0</v>
      </c>
      <c r="L1447" s="382">
        <v>1.0</v>
      </c>
    </row>
    <row r="1448">
      <c r="A1448" s="380" t="s">
        <v>2294</v>
      </c>
      <c r="B1448" s="380" t="str">
        <f>IFERROR(__xludf.DUMMYFUNCTION("""COMPUTED_VALUE"""),"Sticker Logo Coordi 5Cmx0,8Cm")</f>
        <v>Sticker Logo Coordi 5Cmx0,8Cm</v>
      </c>
      <c r="C1448" s="380" t="str">
        <f>IFERROR(__xludf.DUMMYFUNCTION("""COMPUTED_VALUE"""),"10001301")</f>
        <v>10001301</v>
      </c>
      <c r="D1448" s="380" t="s">
        <v>767</v>
      </c>
      <c r="E1448" s="380" t="s">
        <v>768</v>
      </c>
      <c r="F1448" s="380" t="s">
        <v>1283</v>
      </c>
      <c r="G1448" s="380" t="s">
        <v>1267</v>
      </c>
      <c r="H1448" s="380" t="s">
        <v>771</v>
      </c>
      <c r="I1448" s="380" t="s">
        <v>1284</v>
      </c>
      <c r="J1448" s="380" t="s">
        <v>773</v>
      </c>
      <c r="K1448" s="381">
        <v>0.0</v>
      </c>
      <c r="L1448" s="382">
        <v>1.0</v>
      </c>
    </row>
    <row r="1449">
      <c r="A1449" s="380" t="s">
        <v>2295</v>
      </c>
      <c r="B1449" s="380" t="str">
        <f>IFERROR(__xludf.DUMMYFUNCTION("""COMPUTED_VALUE"""),"Portamin Mates 1.3 Color Log")</f>
        <v>Portamin Mates 1.3 Color Log</v>
      </c>
      <c r="C1449" s="380" t="str">
        <f>IFERROR(__xludf.DUMMYFUNCTION("""COMPUTED_VALUE"""),"10001302")</f>
        <v>10001302</v>
      </c>
      <c r="D1449" s="380" t="s">
        <v>767</v>
      </c>
      <c r="E1449" s="380" t="s">
        <v>768</v>
      </c>
      <c r="F1449" s="380" t="s">
        <v>1283</v>
      </c>
      <c r="G1449" s="380" t="s">
        <v>1267</v>
      </c>
      <c r="H1449" s="380" t="s">
        <v>771</v>
      </c>
      <c r="I1449" s="380" t="s">
        <v>1284</v>
      </c>
      <c r="J1449" s="380" t="s">
        <v>773</v>
      </c>
      <c r="K1449" s="381">
        <v>833.0</v>
      </c>
      <c r="L1449" s="382">
        <v>1.0</v>
      </c>
    </row>
    <row r="1450">
      <c r="A1450" s="380" t="s">
        <v>2296</v>
      </c>
      <c r="B1450" s="380" t="str">
        <f>IFERROR(__xludf.DUMMYFUNCTION("""COMPUTED_VALUE"""),"Tarjeta Iman Aliados Droop")</f>
        <v>Tarjeta Iman Aliados Droop</v>
      </c>
      <c r="C1450" s="380" t="str">
        <f>IFERROR(__xludf.DUMMYFUNCTION("""COMPUTED_VALUE"""),"10001303")</f>
        <v>10001303</v>
      </c>
      <c r="D1450" s="380" t="s">
        <v>767</v>
      </c>
      <c r="E1450" s="380" t="s">
        <v>768</v>
      </c>
      <c r="F1450" s="380" t="s">
        <v>1283</v>
      </c>
      <c r="G1450" s="380" t="s">
        <v>1267</v>
      </c>
      <c r="H1450" s="380" t="s">
        <v>771</v>
      </c>
      <c r="I1450" s="380" t="s">
        <v>1284</v>
      </c>
      <c r="J1450" s="380" t="s">
        <v>773</v>
      </c>
      <c r="K1450" s="381">
        <v>0.0</v>
      </c>
      <c r="L1450" s="382">
        <v>1.0</v>
      </c>
    </row>
    <row r="1451">
      <c r="A1451" s="380" t="s">
        <v>2297</v>
      </c>
      <c r="B1451" s="380" t="str">
        <f>IFERROR(__xludf.DUMMYFUNCTION("""COMPUTED_VALUE"""),"Uniforme Ciclismo Hombre S")</f>
        <v>Uniforme Ciclismo Hombre S</v>
      </c>
      <c r="C1451" s="380" t="str">
        <f>IFERROR(__xludf.DUMMYFUNCTION("""COMPUTED_VALUE"""),"10001304")</f>
        <v>10001304</v>
      </c>
      <c r="D1451" s="380" t="s">
        <v>767</v>
      </c>
      <c r="E1451" s="380" t="s">
        <v>768</v>
      </c>
      <c r="F1451" s="380" t="s">
        <v>1283</v>
      </c>
      <c r="G1451" s="380" t="s">
        <v>1267</v>
      </c>
      <c r="H1451" s="380" t="s">
        <v>771</v>
      </c>
      <c r="I1451" s="380" t="s">
        <v>1284</v>
      </c>
      <c r="J1451" s="380" t="s">
        <v>773</v>
      </c>
      <c r="K1451" s="381">
        <v>238077.0</v>
      </c>
      <c r="L1451" s="382">
        <v>1.0</v>
      </c>
    </row>
    <row r="1452">
      <c r="A1452" s="380" t="s">
        <v>2298</v>
      </c>
      <c r="B1452" s="380" t="str">
        <f>IFERROR(__xludf.DUMMYFUNCTION("""COMPUTED_VALUE"""),"Uniforme Ciclismo Dama S")</f>
        <v>Uniforme Ciclismo Dama S</v>
      </c>
      <c r="C1452" s="380" t="str">
        <f>IFERROR(__xludf.DUMMYFUNCTION("""COMPUTED_VALUE"""),"10001305")</f>
        <v>10001305</v>
      </c>
      <c r="D1452" s="380" t="s">
        <v>767</v>
      </c>
      <c r="E1452" s="380" t="s">
        <v>768</v>
      </c>
      <c r="F1452" s="380" t="s">
        <v>1283</v>
      </c>
      <c r="G1452" s="380" t="s">
        <v>1267</v>
      </c>
      <c r="H1452" s="380" t="s">
        <v>771</v>
      </c>
      <c r="I1452" s="380" t="s">
        <v>1284</v>
      </c>
      <c r="J1452" s="380" t="s">
        <v>773</v>
      </c>
      <c r="K1452" s="381">
        <v>231243.0</v>
      </c>
      <c r="L1452" s="382">
        <v>1.0</v>
      </c>
    </row>
    <row r="1453">
      <c r="A1453" s="380" t="s">
        <v>2299</v>
      </c>
      <c r="B1453" s="380" t="str">
        <f>IFERROR(__xludf.DUMMYFUNCTION("""COMPUTED_VALUE"""),"Pr Televisor Led 32""")</f>
        <v>Pr Televisor Led 32"</v>
      </c>
      <c r="C1453" s="380" t="str">
        <f>IFERROR(__xludf.DUMMYFUNCTION("""COMPUTED_VALUE"""),"10001306")</f>
        <v>10001306</v>
      </c>
      <c r="D1453" s="380" t="s">
        <v>767</v>
      </c>
      <c r="E1453" s="380" t="s">
        <v>768</v>
      </c>
      <c r="F1453" s="380" t="s">
        <v>1224</v>
      </c>
      <c r="G1453" s="380" t="s">
        <v>1267</v>
      </c>
      <c r="H1453" s="380" t="s">
        <v>771</v>
      </c>
      <c r="I1453" s="380" t="s">
        <v>1225</v>
      </c>
      <c r="J1453" s="380" t="s">
        <v>773</v>
      </c>
      <c r="K1453" s="381">
        <v>517980.0</v>
      </c>
      <c r="L1453" s="382">
        <v>1.0</v>
      </c>
    </row>
    <row r="1454">
      <c r="A1454" s="380" t="s">
        <v>2300</v>
      </c>
      <c r="B1454" s="380" t="str">
        <f>IFERROR(__xludf.DUMMYFUNCTION("""COMPUTED_VALUE"""),"Tarjetas Adhesivas Termin Carg Cali")</f>
        <v>Tarjetas Adhesivas Termin Carg Cali</v>
      </c>
      <c r="C1454" s="380" t="str">
        <f>IFERROR(__xludf.DUMMYFUNCTION("""COMPUTED_VALUE"""),"10001307")</f>
        <v>10001307</v>
      </c>
      <c r="D1454" s="380" t="s">
        <v>767</v>
      </c>
      <c r="E1454" s="380" t="s">
        <v>768</v>
      </c>
      <c r="F1454" s="380" t="s">
        <v>1283</v>
      </c>
      <c r="G1454" s="380" t="s">
        <v>1267</v>
      </c>
      <c r="H1454" s="380" t="s">
        <v>771</v>
      </c>
      <c r="I1454" s="380" t="s">
        <v>1284</v>
      </c>
      <c r="J1454" s="380" t="s">
        <v>773</v>
      </c>
      <c r="K1454" s="381">
        <v>0.0</v>
      </c>
      <c r="L1454" s="382">
        <v>1.0</v>
      </c>
    </row>
    <row r="1455">
      <c r="A1455" s="380" t="s">
        <v>2301</v>
      </c>
      <c r="B1455" s="380" t="str">
        <f>IFERROR(__xludf.DUMMYFUNCTION("""COMPUTED_VALUE"""),"Adhesivo Removible Carro-Ganch")</f>
        <v>Adhesivo Removible Carro-Ganch</v>
      </c>
      <c r="C1455" s="380" t="str">
        <f>IFERROR(__xludf.DUMMYFUNCTION("""COMPUTED_VALUE"""),"10001308")</f>
        <v>10001308</v>
      </c>
      <c r="D1455" s="380" t="s">
        <v>767</v>
      </c>
      <c r="E1455" s="380" t="s">
        <v>768</v>
      </c>
      <c r="F1455" s="380" t="s">
        <v>1283</v>
      </c>
      <c r="G1455" s="380" t="s">
        <v>1267</v>
      </c>
      <c r="H1455" s="380" t="s">
        <v>771</v>
      </c>
      <c r="I1455" s="380" t="s">
        <v>1284</v>
      </c>
      <c r="J1455" s="380" t="s">
        <v>773</v>
      </c>
      <c r="K1455" s="381">
        <v>176.0</v>
      </c>
      <c r="L1455" s="382">
        <v>1.0</v>
      </c>
    </row>
    <row r="1456">
      <c r="A1456" s="380" t="s">
        <v>2302</v>
      </c>
      <c r="B1456" s="380" t="str">
        <f>IFERROR(__xludf.DUMMYFUNCTION("""COMPUTED_VALUE"""),"Afiche Tabloide-Carta Pqr")</f>
        <v>Afiche Tabloide-Carta Pqr</v>
      </c>
      <c r="C1456" s="380" t="str">
        <f>IFERROR(__xludf.DUMMYFUNCTION("""COMPUTED_VALUE"""),"10001309")</f>
        <v>10001309</v>
      </c>
      <c r="D1456" s="380" t="s">
        <v>767</v>
      </c>
      <c r="E1456" s="380" t="s">
        <v>768</v>
      </c>
      <c r="F1456" s="380" t="s">
        <v>1283</v>
      </c>
      <c r="G1456" s="380" t="s">
        <v>1267</v>
      </c>
      <c r="H1456" s="380" t="s">
        <v>771</v>
      </c>
      <c r="I1456" s="380" t="s">
        <v>1284</v>
      </c>
      <c r="J1456" s="380" t="s">
        <v>773</v>
      </c>
      <c r="K1456" s="381">
        <v>1078.0</v>
      </c>
      <c r="L1456" s="382">
        <v>1.0</v>
      </c>
    </row>
    <row r="1457">
      <c r="A1457" s="380" t="s">
        <v>2303</v>
      </c>
      <c r="B1457" s="380" t="str">
        <f>IFERROR(__xludf.DUMMYFUNCTION("""COMPUTED_VALUE"""),"Vaso Pitillo")</f>
        <v>Vaso Pitillo</v>
      </c>
      <c r="C1457" s="380" t="str">
        <f>IFERROR(__xludf.DUMMYFUNCTION("""COMPUTED_VALUE"""),"10001310")</f>
        <v>10001310</v>
      </c>
      <c r="D1457" s="380" t="s">
        <v>767</v>
      </c>
      <c r="E1457" s="380" t="s">
        <v>768</v>
      </c>
      <c r="F1457" s="380" t="s">
        <v>1283</v>
      </c>
      <c r="G1457" s="380" t="s">
        <v>1267</v>
      </c>
      <c r="H1457" s="380" t="s">
        <v>771</v>
      </c>
      <c r="I1457" s="380" t="s">
        <v>1284</v>
      </c>
      <c r="J1457" s="380" t="s">
        <v>773</v>
      </c>
      <c r="K1457" s="381">
        <v>0.0</v>
      </c>
      <c r="L1457" s="382">
        <v>1.0</v>
      </c>
    </row>
    <row r="1458">
      <c r="A1458" s="380" t="s">
        <v>2304</v>
      </c>
      <c r="B1458" s="380" t="str">
        <f>IFERROR(__xludf.DUMMYFUNCTION("""COMPUTED_VALUE"""),"Televisor 50"" - 55""")</f>
        <v>Televisor 50" - 55"</v>
      </c>
      <c r="C1458" s="380" t="str">
        <f>IFERROR(__xludf.DUMMYFUNCTION("""COMPUTED_VALUE"""),"11000120")</f>
        <v>11000120</v>
      </c>
      <c r="D1458" s="380" t="s">
        <v>767</v>
      </c>
      <c r="E1458" s="380" t="s">
        <v>2305</v>
      </c>
      <c r="F1458" s="380" t="s">
        <v>2306</v>
      </c>
      <c r="G1458" s="380" t="s">
        <v>1267</v>
      </c>
      <c r="H1458" s="380" t="s">
        <v>771</v>
      </c>
      <c r="I1458" s="380" t="s">
        <v>2307</v>
      </c>
      <c r="J1458" s="380" t="s">
        <v>773</v>
      </c>
      <c r="K1458" s="381">
        <v>0.0</v>
      </c>
      <c r="L1458" s="382">
        <v>1.0</v>
      </c>
    </row>
    <row r="1459">
      <c r="A1459" s="380" t="s">
        <v>2308</v>
      </c>
      <c r="B1459" s="380" t="str">
        <f>IFERROR(__xludf.DUMMYFUNCTION("""COMPUTED_VALUE"""),"Bafle Profl Blue 15"" 2800WPmpoBaf-1545bt")</f>
        <v>Bafle Profl Blue 15" 2800WPmpoBaf-1545bt</v>
      </c>
      <c r="C1459" s="380" t="str">
        <f>IFERROR(__xludf.DUMMYFUNCTION("""COMPUTED_VALUE"""),"11000121")</f>
        <v>11000121</v>
      </c>
      <c r="D1459" s="380" t="s">
        <v>767</v>
      </c>
      <c r="E1459" s="380" t="s">
        <v>2305</v>
      </c>
      <c r="F1459" s="380" t="s">
        <v>2306</v>
      </c>
      <c r="G1459" s="380" t="s">
        <v>1267</v>
      </c>
      <c r="H1459" s="380" t="s">
        <v>771</v>
      </c>
      <c r="I1459" s="380" t="s">
        <v>2307</v>
      </c>
      <c r="J1459" s="380" t="s">
        <v>773</v>
      </c>
      <c r="K1459" s="381">
        <v>0.0</v>
      </c>
      <c r="L1459" s="382">
        <v>1.0</v>
      </c>
    </row>
    <row r="1460">
      <c r="A1460" s="380" t="s">
        <v>2309</v>
      </c>
      <c r="B1460" s="380" t="str">
        <f>IFERROR(__xludf.DUMMYFUNCTION("""COMPUTED_VALUE"""),"Gabinete A Pared 50*55 Cm 9rms")</f>
        <v>Gabinete A Pared 50*55 Cm 9rms</v>
      </c>
      <c r="C1460" s="380" t="str">
        <f>IFERROR(__xludf.DUMMYFUNCTION("""COMPUTED_VALUE"""),"11000122")</f>
        <v>11000122</v>
      </c>
      <c r="D1460" s="380" t="s">
        <v>767</v>
      </c>
      <c r="E1460" s="380" t="s">
        <v>2305</v>
      </c>
      <c r="F1460" s="380" t="s">
        <v>2306</v>
      </c>
      <c r="G1460" s="380" t="s">
        <v>1267</v>
      </c>
      <c r="H1460" s="380" t="s">
        <v>771</v>
      </c>
      <c r="I1460" s="380" t="s">
        <v>2307</v>
      </c>
      <c r="J1460" s="380" t="s">
        <v>773</v>
      </c>
      <c r="K1460" s="381">
        <v>0.0</v>
      </c>
      <c r="L1460" s="382">
        <v>1.0</v>
      </c>
    </row>
    <row r="1461">
      <c r="A1461" s="380" t="s">
        <v>2310</v>
      </c>
      <c r="B1461" s="380" t="str">
        <f>IFERROR(__xludf.DUMMYFUNCTION("""COMPUTED_VALUE"""),"Gabinete A Pared 50*55 Cm 7rms")</f>
        <v>Gabinete A Pared 50*55 Cm 7rms</v>
      </c>
      <c r="C1461" s="380" t="str">
        <f>IFERROR(__xludf.DUMMYFUNCTION("""COMPUTED_VALUE"""),"11000123")</f>
        <v>11000123</v>
      </c>
      <c r="D1461" s="380" t="s">
        <v>767</v>
      </c>
      <c r="E1461" s="380" t="s">
        <v>2305</v>
      </c>
      <c r="F1461" s="380" t="s">
        <v>2306</v>
      </c>
      <c r="G1461" s="380" t="s">
        <v>1267</v>
      </c>
      <c r="H1461" s="380" t="s">
        <v>771</v>
      </c>
      <c r="I1461" s="380" t="s">
        <v>2307</v>
      </c>
      <c r="J1461" s="380" t="s">
        <v>773</v>
      </c>
      <c r="K1461" s="381">
        <v>0.0</v>
      </c>
      <c r="L1461" s="382">
        <v>1.0</v>
      </c>
    </row>
    <row r="1462">
      <c r="A1462" s="380" t="s">
        <v>2311</v>
      </c>
      <c r="B1462" s="380" t="str">
        <f>IFERROR(__xludf.DUMMYFUNCTION("""COMPUTED_VALUE"""),"Contadora De Billetes Accubanker")</f>
        <v>Contadora De Billetes Accubanker</v>
      </c>
      <c r="C1462" s="380" t="str">
        <f>IFERROR(__xludf.DUMMYFUNCTION("""COMPUTED_VALUE"""),"11000124")</f>
        <v>11000124</v>
      </c>
      <c r="D1462" s="380" t="s">
        <v>767</v>
      </c>
      <c r="E1462" s="380" t="s">
        <v>2305</v>
      </c>
      <c r="F1462" s="380" t="s">
        <v>2306</v>
      </c>
      <c r="G1462" s="380" t="s">
        <v>1267</v>
      </c>
      <c r="H1462" s="380" t="s">
        <v>771</v>
      </c>
      <c r="I1462" s="380" t="s">
        <v>2307</v>
      </c>
      <c r="J1462" s="380" t="s">
        <v>773</v>
      </c>
      <c r="K1462" s="381">
        <v>0.0</v>
      </c>
      <c r="L1462" s="382">
        <v>1.0</v>
      </c>
    </row>
    <row r="1463">
      <c r="A1463" s="380" t="s">
        <v>2312</v>
      </c>
      <c r="B1463" s="380" t="str">
        <f>IFERROR(__xludf.DUMMYFUNCTION("""COMPUTED_VALUE"""),"Rack Hp De 42ru")</f>
        <v>Rack Hp De 42ru</v>
      </c>
      <c r="C1463" s="380" t="str">
        <f>IFERROR(__xludf.DUMMYFUNCTION("""COMPUTED_VALUE"""),"11000125")</f>
        <v>11000125</v>
      </c>
      <c r="D1463" s="380" t="s">
        <v>767</v>
      </c>
      <c r="E1463" s="380" t="s">
        <v>2305</v>
      </c>
      <c r="F1463" s="380" t="s">
        <v>2306</v>
      </c>
      <c r="G1463" s="380" t="s">
        <v>1267</v>
      </c>
      <c r="H1463" s="380" t="s">
        <v>771</v>
      </c>
      <c r="I1463" s="380" t="s">
        <v>2307</v>
      </c>
      <c r="J1463" s="380" t="s">
        <v>773</v>
      </c>
      <c r="K1463" s="381">
        <v>0.0</v>
      </c>
      <c r="L1463" s="382">
        <v>1.0</v>
      </c>
    </row>
    <row r="1464">
      <c r="A1464" s="380" t="s">
        <v>2313</v>
      </c>
      <c r="B1464" s="380" t="str">
        <f>IFERROR(__xludf.DUMMYFUNCTION("""COMPUTED_VALUE"""),"Televisor 65""")</f>
        <v>Televisor 65"</v>
      </c>
      <c r="C1464" s="380" t="str">
        <f>IFERROR(__xludf.DUMMYFUNCTION("""COMPUTED_VALUE"""),"11000126")</f>
        <v>11000126</v>
      </c>
      <c r="D1464" s="380" t="s">
        <v>767</v>
      </c>
      <c r="E1464" s="380" t="s">
        <v>2305</v>
      </c>
      <c r="F1464" s="380" t="s">
        <v>2306</v>
      </c>
      <c r="G1464" s="380" t="s">
        <v>1267</v>
      </c>
      <c r="H1464" s="380" t="s">
        <v>771</v>
      </c>
      <c r="I1464" s="380" t="s">
        <v>2307</v>
      </c>
      <c r="J1464" s="380" t="s">
        <v>773</v>
      </c>
      <c r="K1464" s="381">
        <v>0.0</v>
      </c>
      <c r="L1464" s="382">
        <v>1.0</v>
      </c>
    </row>
    <row r="1465">
      <c r="A1465" s="380" t="s">
        <v>2314</v>
      </c>
      <c r="B1465" s="380" t="str">
        <f>IFERROR(__xludf.DUMMYFUNCTION("""COMPUTED_VALUE"""),"Bafle 8"" 1,800 W Pmpo BlueBaf0845bt Ste")</f>
        <v>Bafle 8" 1,800 W Pmpo BlueBaf0845bt Ste</v>
      </c>
      <c r="C1465" s="380" t="str">
        <f>IFERROR(__xludf.DUMMYFUNCTION("""COMPUTED_VALUE"""),"11000127")</f>
        <v>11000127</v>
      </c>
      <c r="D1465" s="380" t="s">
        <v>767</v>
      </c>
      <c r="E1465" s="380" t="s">
        <v>2305</v>
      </c>
      <c r="F1465" s="380" t="s">
        <v>2306</v>
      </c>
      <c r="G1465" s="380" t="s">
        <v>1267</v>
      </c>
      <c r="H1465" s="380" t="s">
        <v>771</v>
      </c>
      <c r="I1465" s="380" t="s">
        <v>2307</v>
      </c>
      <c r="J1465" s="380" t="s">
        <v>773</v>
      </c>
      <c r="K1465" s="381">
        <v>0.0</v>
      </c>
      <c r="L1465" s="382">
        <v>1.0</v>
      </c>
    </row>
    <row r="1466">
      <c r="A1466" s="380" t="s">
        <v>2315</v>
      </c>
      <c r="B1466" s="380" t="str">
        <f>IFERROR(__xludf.DUMMYFUNCTION("""COMPUTED_VALUE"""),"Play Station 4")</f>
        <v>Play Station 4</v>
      </c>
      <c r="C1466" s="380" t="str">
        <f>IFERROR(__xludf.DUMMYFUNCTION("""COMPUTED_VALUE"""),"11000128")</f>
        <v>11000128</v>
      </c>
      <c r="D1466" s="380" t="s">
        <v>767</v>
      </c>
      <c r="E1466" s="380" t="s">
        <v>2305</v>
      </c>
      <c r="F1466" s="380" t="s">
        <v>2306</v>
      </c>
      <c r="G1466" s="380" t="s">
        <v>1267</v>
      </c>
      <c r="H1466" s="380" t="s">
        <v>771</v>
      </c>
      <c r="I1466" s="380" t="s">
        <v>2307</v>
      </c>
      <c r="J1466" s="380" t="s">
        <v>773</v>
      </c>
      <c r="K1466" s="381">
        <v>0.0</v>
      </c>
      <c r="L1466" s="382">
        <v>1.0</v>
      </c>
    </row>
    <row r="1467">
      <c r="A1467" s="380" t="s">
        <v>2316</v>
      </c>
      <c r="B1467" s="380" t="str">
        <f>IFERROR(__xludf.DUMMYFUNCTION("""COMPUTED_VALUE"""),"Perforadora Ind 2Hue 100 Hojas Aprox")</f>
        <v>Perforadora Ind 2Hue 100 Hojas Aprox</v>
      </c>
      <c r="C1467" s="380" t="str">
        <f>IFERROR(__xludf.DUMMYFUNCTION("""COMPUTED_VALUE"""),"11000129")</f>
        <v>11000129</v>
      </c>
      <c r="D1467" s="380" t="s">
        <v>767</v>
      </c>
      <c r="E1467" s="380" t="s">
        <v>2305</v>
      </c>
      <c r="F1467" s="380" t="s">
        <v>2306</v>
      </c>
      <c r="G1467" s="380" t="s">
        <v>1267</v>
      </c>
      <c r="H1467" s="380" t="s">
        <v>771</v>
      </c>
      <c r="I1467" s="380" t="s">
        <v>2307</v>
      </c>
      <c r="J1467" s="380" t="s">
        <v>773</v>
      </c>
      <c r="K1467" s="381">
        <v>0.0</v>
      </c>
      <c r="L1467" s="382">
        <v>1.0</v>
      </c>
    </row>
    <row r="1468">
      <c r="A1468" s="380" t="s">
        <v>2317</v>
      </c>
      <c r="B1468" s="380" t="str">
        <f>IFERROR(__xludf.DUMMYFUNCTION("""COMPUTED_VALUE"""),"Sistema De Audio De Auditorio")</f>
        <v>Sistema De Audio De Auditorio</v>
      </c>
      <c r="C1468" s="380" t="str">
        <f>IFERROR(__xludf.DUMMYFUNCTION("""COMPUTED_VALUE"""),"11000130")</f>
        <v>11000130</v>
      </c>
      <c r="D1468" s="380" t="s">
        <v>767</v>
      </c>
      <c r="E1468" s="380" t="s">
        <v>2305</v>
      </c>
      <c r="F1468" s="380" t="s">
        <v>2306</v>
      </c>
      <c r="G1468" s="380" t="s">
        <v>1267</v>
      </c>
      <c r="H1468" s="380" t="s">
        <v>771</v>
      </c>
      <c r="I1468" s="380" t="s">
        <v>2307</v>
      </c>
      <c r="J1468" s="380" t="s">
        <v>773</v>
      </c>
      <c r="K1468" s="381">
        <v>0.0</v>
      </c>
      <c r="L1468" s="382">
        <v>1.0</v>
      </c>
    </row>
    <row r="1469">
      <c r="A1469" s="380" t="s">
        <v>2318</v>
      </c>
      <c r="B1469" s="380" t="str">
        <f>IFERROR(__xludf.DUMMYFUNCTION("""COMPUTED_VALUE"""),"Aspiradora Eléct Port 12 Galones–6Hp– 10")</f>
        <v>Aspiradora Eléct Port 12 Galones–6Hp– 10</v>
      </c>
      <c r="C1469" s="380" t="str">
        <f>IFERROR(__xludf.DUMMYFUNCTION("""COMPUTED_VALUE"""),"11000131")</f>
        <v>11000131</v>
      </c>
      <c r="D1469" s="380" t="s">
        <v>767</v>
      </c>
      <c r="E1469" s="380" t="s">
        <v>2305</v>
      </c>
      <c r="F1469" s="380" t="s">
        <v>2306</v>
      </c>
      <c r="G1469" s="380" t="s">
        <v>1267</v>
      </c>
      <c r="H1469" s="380" t="s">
        <v>771</v>
      </c>
      <c r="I1469" s="380" t="s">
        <v>2307</v>
      </c>
      <c r="J1469" s="380" t="s">
        <v>773</v>
      </c>
      <c r="K1469" s="381">
        <v>0.0</v>
      </c>
      <c r="L1469" s="382">
        <v>1.0</v>
      </c>
    </row>
    <row r="1470">
      <c r="A1470" s="380" t="s">
        <v>2319</v>
      </c>
      <c r="B1470" s="380" t="str">
        <f>IFERROR(__xludf.DUMMYFUNCTION("""COMPUTED_VALUE"""),"Televisor 98""-100""")</f>
        <v>Televisor 98"-100"</v>
      </c>
      <c r="C1470" s="380" t="str">
        <f>IFERROR(__xludf.DUMMYFUNCTION("""COMPUTED_VALUE"""),"11000132")</f>
        <v>11000132</v>
      </c>
      <c r="D1470" s="380" t="s">
        <v>767</v>
      </c>
      <c r="E1470" s="380" t="s">
        <v>2305</v>
      </c>
      <c r="F1470" s="380" t="s">
        <v>2306</v>
      </c>
      <c r="G1470" s="380" t="s">
        <v>1267</v>
      </c>
      <c r="H1470" s="380" t="s">
        <v>771</v>
      </c>
      <c r="I1470" s="380" t="s">
        <v>2307</v>
      </c>
      <c r="J1470" s="380" t="s">
        <v>773</v>
      </c>
      <c r="K1470" s="381">
        <v>0.0</v>
      </c>
      <c r="L1470" s="382">
        <v>1.0</v>
      </c>
    </row>
    <row r="1471">
      <c r="A1471" s="380" t="s">
        <v>2320</v>
      </c>
      <c r="B1471" s="380" t="str">
        <f>IFERROR(__xludf.DUMMYFUNCTION("""COMPUTED_VALUE"""),"Aspiradora De Mano Inalambrica")</f>
        <v>Aspiradora De Mano Inalambrica</v>
      </c>
      <c r="C1471" s="380" t="str">
        <f>IFERROR(__xludf.DUMMYFUNCTION("""COMPUTED_VALUE"""),"11000133")</f>
        <v>11000133</v>
      </c>
      <c r="D1471" s="380" t="s">
        <v>767</v>
      </c>
      <c r="E1471" s="380" t="s">
        <v>2305</v>
      </c>
      <c r="F1471" s="380" t="s">
        <v>2306</v>
      </c>
      <c r="G1471" s="380" t="s">
        <v>1267</v>
      </c>
      <c r="H1471" s="380" t="s">
        <v>771</v>
      </c>
      <c r="I1471" s="380" t="s">
        <v>2307</v>
      </c>
      <c r="J1471" s="380" t="s">
        <v>773</v>
      </c>
      <c r="K1471" s="381">
        <v>0.0</v>
      </c>
      <c r="L1471" s="382">
        <v>1.0</v>
      </c>
    </row>
    <row r="1472">
      <c r="A1472" s="380" t="s">
        <v>2321</v>
      </c>
      <c r="B1472" s="380" t="str">
        <f>IFERROR(__xludf.DUMMYFUNCTION("""COMPUTED_VALUE"""),"Pit Tipo Bar 3 Bandejas Hub")</f>
        <v>Pit Tipo Bar 3 Bandejas Hub</v>
      </c>
      <c r="C1472" s="380" t="str">
        <f>IFERROR(__xludf.DUMMYFUNCTION("""COMPUTED_VALUE"""),"11000134")</f>
        <v>11000134</v>
      </c>
      <c r="D1472" s="380" t="s">
        <v>767</v>
      </c>
      <c r="E1472" s="380" t="s">
        <v>2305</v>
      </c>
      <c r="F1472" s="380" t="s">
        <v>2306</v>
      </c>
      <c r="G1472" s="380" t="s">
        <v>1267</v>
      </c>
      <c r="H1472" s="380" t="s">
        <v>771</v>
      </c>
      <c r="I1472" s="380" t="s">
        <v>2307</v>
      </c>
      <c r="J1472" s="380" t="s">
        <v>773</v>
      </c>
      <c r="K1472" s="381">
        <v>0.0</v>
      </c>
      <c r="L1472" s="382">
        <v>1.0</v>
      </c>
    </row>
    <row r="1473">
      <c r="A1473" s="380" t="s">
        <v>2322</v>
      </c>
      <c r="B1473" s="380" t="str">
        <f>IFERROR(__xludf.DUMMYFUNCTION("""COMPUTED_VALUE"""),"Pit Tipo Bar 2 Bandejas")</f>
        <v>Pit Tipo Bar 2 Bandejas</v>
      </c>
      <c r="C1473" s="380" t="str">
        <f>IFERROR(__xludf.DUMMYFUNCTION("""COMPUTED_VALUE"""),"11000135")</f>
        <v>11000135</v>
      </c>
      <c r="D1473" s="380" t="s">
        <v>767</v>
      </c>
      <c r="E1473" s="380" t="s">
        <v>2305</v>
      </c>
      <c r="F1473" s="380" t="s">
        <v>2306</v>
      </c>
      <c r="G1473" s="380" t="s">
        <v>1267</v>
      </c>
      <c r="H1473" s="380" t="s">
        <v>771</v>
      </c>
      <c r="I1473" s="380" t="s">
        <v>2307</v>
      </c>
      <c r="J1473" s="380" t="s">
        <v>773</v>
      </c>
      <c r="K1473" s="381">
        <v>0.0</v>
      </c>
      <c r="L1473" s="382">
        <v>1.0</v>
      </c>
    </row>
    <row r="1474">
      <c r="A1474" s="380" t="s">
        <v>2323</v>
      </c>
      <c r="B1474" s="380" t="str">
        <f>IFERROR(__xludf.DUMMYFUNCTION("""COMPUTED_VALUE"""),"Panel Solar")</f>
        <v>Panel Solar</v>
      </c>
      <c r="C1474" s="380" t="str">
        <f>IFERROR(__xludf.DUMMYFUNCTION("""COMPUTED_VALUE"""),"11000136")</f>
        <v>11000136</v>
      </c>
      <c r="D1474" s="380" t="s">
        <v>767</v>
      </c>
      <c r="E1474" s="380" t="s">
        <v>2305</v>
      </c>
      <c r="F1474" s="380" t="s">
        <v>2324</v>
      </c>
      <c r="G1474" s="380" t="s">
        <v>1267</v>
      </c>
      <c r="H1474" s="380" t="s">
        <v>771</v>
      </c>
      <c r="I1474" s="380" t="s">
        <v>2325</v>
      </c>
      <c r="J1474" s="380" t="s">
        <v>773</v>
      </c>
      <c r="K1474" s="381">
        <v>0.0</v>
      </c>
      <c r="L1474" s="382">
        <v>1.0</v>
      </c>
    </row>
    <row r="1475">
      <c r="A1475" s="380" t="s">
        <v>2326</v>
      </c>
      <c r="B1475" s="380" t="str">
        <f>IFERROR(__xludf.DUMMYFUNCTION("""COMPUTED_VALUE"""),"Repuestos Varios Servidor Fisico")</f>
        <v>Repuestos Varios Servidor Fisico</v>
      </c>
      <c r="C1475" s="380" t="str">
        <f>IFERROR(__xludf.DUMMYFUNCTION("""COMPUTED_VALUE"""),"11000137")</f>
        <v>11000137</v>
      </c>
      <c r="D1475" s="380" t="s">
        <v>767</v>
      </c>
      <c r="E1475" s="380" t="s">
        <v>2305</v>
      </c>
      <c r="F1475" s="380" t="s">
        <v>2324</v>
      </c>
      <c r="G1475" s="380" t="s">
        <v>1267</v>
      </c>
      <c r="H1475" s="380" t="s">
        <v>771</v>
      </c>
      <c r="I1475" s="380" t="s">
        <v>2325</v>
      </c>
      <c r="J1475" s="380" t="s">
        <v>773</v>
      </c>
      <c r="K1475" s="381">
        <v>0.0</v>
      </c>
      <c r="L1475" s="382">
        <v>1.0</v>
      </c>
    </row>
    <row r="1476">
      <c r="A1476" s="380" t="s">
        <v>2327</v>
      </c>
      <c r="B1476" s="380" t="str">
        <f>IFERROR(__xludf.DUMMYFUNCTION("""COMPUTED_VALUE"""),"Lente Camara Fotografica")</f>
        <v>Lente Camara Fotografica</v>
      </c>
      <c r="C1476" s="380" t="str">
        <f>IFERROR(__xludf.DUMMYFUNCTION("""COMPUTED_VALUE"""),"11000138")</f>
        <v>11000138</v>
      </c>
      <c r="D1476" s="380" t="s">
        <v>767</v>
      </c>
      <c r="E1476" s="380" t="s">
        <v>2305</v>
      </c>
      <c r="F1476" s="380" t="s">
        <v>2324</v>
      </c>
      <c r="G1476" s="380" t="s">
        <v>1267</v>
      </c>
      <c r="H1476" s="380" t="s">
        <v>771</v>
      </c>
      <c r="I1476" s="380" t="s">
        <v>2325</v>
      </c>
      <c r="J1476" s="380" t="s">
        <v>773</v>
      </c>
      <c r="K1476" s="381">
        <v>0.0</v>
      </c>
      <c r="L1476" s="382">
        <v>1.0</v>
      </c>
    </row>
    <row r="1477">
      <c r="A1477" s="380" t="s">
        <v>2328</v>
      </c>
      <c r="B1477" s="380" t="str">
        <f>IFERROR(__xludf.DUMMYFUNCTION("""COMPUTED_VALUE"""),"Tablet En General No Grav")</f>
        <v>Tablet En General No Grav</v>
      </c>
      <c r="C1477" s="380" t="str">
        <f>IFERROR(__xludf.DUMMYFUNCTION("""COMPUTED_VALUE"""),"11000139")</f>
        <v>11000139</v>
      </c>
      <c r="D1477" s="380" t="s">
        <v>767</v>
      </c>
      <c r="E1477" s="380" t="s">
        <v>2305</v>
      </c>
      <c r="F1477" s="380" t="s">
        <v>2324</v>
      </c>
      <c r="G1477" s="380" t="s">
        <v>1267</v>
      </c>
      <c r="H1477" s="380" t="s">
        <v>771</v>
      </c>
      <c r="I1477" s="380" t="s">
        <v>2325</v>
      </c>
      <c r="J1477" s="380" t="s">
        <v>773</v>
      </c>
      <c r="K1477" s="381">
        <v>0.0</v>
      </c>
      <c r="L1477" s="382">
        <v>1.0</v>
      </c>
    </row>
    <row r="1478">
      <c r="A1478" s="380" t="s">
        <v>2329</v>
      </c>
      <c r="B1478" s="380" t="str">
        <f>IFERROR(__xludf.DUMMYFUNCTION("""COMPUTED_VALUE"""),"Candado Electronic Satelital Thunderlock")</f>
        <v>Candado Electronic Satelital Thunderlock</v>
      </c>
      <c r="C1478" s="380" t="str">
        <f>IFERROR(__xludf.DUMMYFUNCTION("""COMPUTED_VALUE"""),"11000140")</f>
        <v>11000140</v>
      </c>
      <c r="D1478" s="380" t="s">
        <v>767</v>
      </c>
      <c r="E1478" s="380" t="s">
        <v>2305</v>
      </c>
      <c r="F1478" s="380" t="s">
        <v>2324</v>
      </c>
      <c r="G1478" s="380" t="s">
        <v>1267</v>
      </c>
      <c r="H1478" s="380" t="s">
        <v>771</v>
      </c>
      <c r="I1478" s="380" t="s">
        <v>2325</v>
      </c>
      <c r="J1478" s="380" t="s">
        <v>773</v>
      </c>
      <c r="K1478" s="381">
        <v>0.0</v>
      </c>
      <c r="L1478" s="382">
        <v>1.0</v>
      </c>
    </row>
    <row r="1479">
      <c r="A1479" s="380" t="s">
        <v>2330</v>
      </c>
      <c r="B1479" s="380" t="str">
        <f>IFERROR(__xludf.DUMMYFUNCTION("""COMPUTED_VALUE"""),"Maquina Urovo Dt66 No Grav")</f>
        <v>Maquina Urovo Dt66 No Grav</v>
      </c>
      <c r="C1479" s="380" t="str">
        <f>IFERROR(__xludf.DUMMYFUNCTION("""COMPUTED_VALUE"""),"11000141")</f>
        <v>11000141</v>
      </c>
      <c r="D1479" s="380" t="s">
        <v>767</v>
      </c>
      <c r="E1479" s="380" t="s">
        <v>2305</v>
      </c>
      <c r="F1479" s="380" t="s">
        <v>2324</v>
      </c>
      <c r="G1479" s="380" t="s">
        <v>1267</v>
      </c>
      <c r="H1479" s="380" t="s">
        <v>771</v>
      </c>
      <c r="I1479" s="380" t="s">
        <v>2325</v>
      </c>
      <c r="J1479" s="380" t="s">
        <v>773</v>
      </c>
      <c r="K1479" s="381">
        <v>0.0</v>
      </c>
      <c r="L1479" s="382">
        <v>1.0</v>
      </c>
    </row>
    <row r="1480">
      <c r="A1480" s="380" t="s">
        <v>2331</v>
      </c>
      <c r="B1480" s="380" t="str">
        <f>IFERROR(__xludf.DUMMYFUNCTION("""COMPUTED_VALUE"""),"Computador Imac En General")</f>
        <v>Computador Imac En General</v>
      </c>
      <c r="C1480" s="380" t="str">
        <f>IFERROR(__xludf.DUMMYFUNCTION("""COMPUTED_VALUE"""),"11000142")</f>
        <v>11000142</v>
      </c>
      <c r="D1480" s="380" t="s">
        <v>767</v>
      </c>
      <c r="E1480" s="380" t="s">
        <v>2305</v>
      </c>
      <c r="F1480" s="380" t="s">
        <v>2324</v>
      </c>
      <c r="G1480" s="380" t="s">
        <v>1267</v>
      </c>
      <c r="H1480" s="380" t="s">
        <v>771</v>
      </c>
      <c r="I1480" s="380" t="s">
        <v>2325</v>
      </c>
      <c r="J1480" s="380" t="s">
        <v>773</v>
      </c>
      <c r="K1480" s="381">
        <v>0.0</v>
      </c>
      <c r="L1480" s="382">
        <v>1.0</v>
      </c>
    </row>
    <row r="1481">
      <c r="A1481" s="380" t="s">
        <v>2332</v>
      </c>
      <c r="B1481" s="380" t="str">
        <f>IFERROR(__xludf.DUMMYFUNCTION("""COMPUTED_VALUE"""),"Camara Instantanea")</f>
        <v>Camara Instantanea</v>
      </c>
      <c r="C1481" s="380" t="str">
        <f>IFERROR(__xludf.DUMMYFUNCTION("""COMPUTED_VALUE"""),"11000143")</f>
        <v>11000143</v>
      </c>
      <c r="D1481" s="380" t="s">
        <v>767</v>
      </c>
      <c r="E1481" s="380" t="s">
        <v>2305</v>
      </c>
      <c r="F1481" s="380" t="s">
        <v>2324</v>
      </c>
      <c r="G1481" s="380" t="s">
        <v>1267</v>
      </c>
      <c r="H1481" s="380" t="s">
        <v>771</v>
      </c>
      <c r="I1481" s="380" t="s">
        <v>2325</v>
      </c>
      <c r="J1481" s="380" t="s">
        <v>773</v>
      </c>
      <c r="K1481" s="381">
        <v>0.0</v>
      </c>
      <c r="L1481" s="382">
        <v>1.0</v>
      </c>
    </row>
    <row r="1482">
      <c r="A1482" s="380" t="s">
        <v>2333</v>
      </c>
      <c r="B1482" s="380" t="str">
        <f>IFERROR(__xludf.DUMMYFUNCTION("""COMPUTED_VALUE"""),"Alcoholimetro Alco")</f>
        <v>Alcoholimetro Alco</v>
      </c>
      <c r="C1482" s="380" t="str">
        <f>IFERROR(__xludf.DUMMYFUNCTION("""COMPUTED_VALUE"""),"11000144")</f>
        <v>11000144</v>
      </c>
      <c r="D1482" s="380" t="s">
        <v>767</v>
      </c>
      <c r="E1482" s="380" t="s">
        <v>2305</v>
      </c>
      <c r="F1482" s="380" t="s">
        <v>2306</v>
      </c>
      <c r="G1482" s="380" t="s">
        <v>1267</v>
      </c>
      <c r="H1482" s="380" t="s">
        <v>771</v>
      </c>
      <c r="I1482" s="380" t="s">
        <v>2307</v>
      </c>
      <c r="J1482" s="380" t="s">
        <v>773</v>
      </c>
      <c r="K1482" s="381">
        <v>0.0</v>
      </c>
      <c r="L1482" s="382">
        <v>1.0</v>
      </c>
    </row>
    <row r="1483">
      <c r="A1483" s="380" t="s">
        <v>2334</v>
      </c>
      <c r="B1483" s="380" t="str">
        <f>IFERROR(__xludf.DUMMYFUNCTION("""COMPUTED_VALUE"""),"Hielera Ice Maker As - 9 Kgr")</f>
        <v>Hielera Ice Maker As - 9 Kgr</v>
      </c>
      <c r="C1483" s="380" t="str">
        <f>IFERROR(__xludf.DUMMYFUNCTION("""COMPUTED_VALUE"""),"11000145")</f>
        <v>11000145</v>
      </c>
      <c r="D1483" s="380" t="s">
        <v>767</v>
      </c>
      <c r="E1483" s="380" t="s">
        <v>2305</v>
      </c>
      <c r="F1483" s="380" t="s">
        <v>2306</v>
      </c>
      <c r="G1483" s="380" t="s">
        <v>1267</v>
      </c>
      <c r="H1483" s="380" t="s">
        <v>771</v>
      </c>
      <c r="I1483" s="380" t="s">
        <v>2307</v>
      </c>
      <c r="J1483" s="380" t="s">
        <v>773</v>
      </c>
      <c r="K1483" s="381">
        <v>0.0</v>
      </c>
      <c r="L1483" s="382">
        <v>1.0</v>
      </c>
    </row>
    <row r="1484">
      <c r="A1484" s="380" t="s">
        <v>2335</v>
      </c>
      <c r="B1484" s="380" t="str">
        <f>IFERROR(__xludf.DUMMYFUNCTION("""COMPUTED_VALUE"""),"Dispensador Fuente De Agua Bag 80 - Ibbl")</f>
        <v>Dispensador Fuente De Agua Bag 80 - Ibbl</v>
      </c>
      <c r="C1484" s="380" t="str">
        <f>IFERROR(__xludf.DUMMYFUNCTION("""COMPUTED_VALUE"""),"11000146")</f>
        <v>11000146</v>
      </c>
      <c r="D1484" s="380" t="s">
        <v>767</v>
      </c>
      <c r="E1484" s="380" t="s">
        <v>2305</v>
      </c>
      <c r="F1484" s="380" t="s">
        <v>2306</v>
      </c>
      <c r="G1484" s="380" t="s">
        <v>1267</v>
      </c>
      <c r="H1484" s="380" t="s">
        <v>771</v>
      </c>
      <c r="I1484" s="380" t="s">
        <v>2307</v>
      </c>
      <c r="J1484" s="380" t="s">
        <v>773</v>
      </c>
      <c r="K1484" s="381">
        <v>0.0</v>
      </c>
      <c r="L1484" s="382">
        <v>1.0</v>
      </c>
    </row>
    <row r="1485">
      <c r="A1485" s="380" t="s">
        <v>2336</v>
      </c>
      <c r="B1485" s="380" t="str">
        <f>IFERROR(__xludf.DUMMYFUNCTION("""COMPUTED_VALUE"""),"Aspiradora Elite 6 Hp - 12 Galones")</f>
        <v>Aspiradora Elite 6 Hp - 12 Galones</v>
      </c>
      <c r="C1485" s="380" t="str">
        <f>IFERROR(__xludf.DUMMYFUNCTION("""COMPUTED_VALUE"""),"11000147")</f>
        <v>11000147</v>
      </c>
      <c r="D1485" s="380" t="s">
        <v>767</v>
      </c>
      <c r="E1485" s="380" t="s">
        <v>2305</v>
      </c>
      <c r="F1485" s="380" t="s">
        <v>2306</v>
      </c>
      <c r="G1485" s="380" t="s">
        <v>1267</v>
      </c>
      <c r="H1485" s="380" t="s">
        <v>771</v>
      </c>
      <c r="I1485" s="380" t="s">
        <v>2307</v>
      </c>
      <c r="J1485" s="380" t="s">
        <v>773</v>
      </c>
      <c r="K1485" s="381">
        <v>0.0</v>
      </c>
      <c r="L1485" s="382">
        <v>1.0</v>
      </c>
    </row>
    <row r="1486">
      <c r="A1486" s="380" t="s">
        <v>2337</v>
      </c>
      <c r="B1486" s="380" t="str">
        <f>IFERROR(__xludf.DUMMYFUNCTION("""COMPUTED_VALUE"""),"Televisor 42"" - 43""")</f>
        <v>Televisor 42" - 43"</v>
      </c>
      <c r="C1486" s="380" t="str">
        <f>IFERROR(__xludf.DUMMYFUNCTION("""COMPUTED_VALUE"""),"11000148")</f>
        <v>11000148</v>
      </c>
      <c r="D1486" s="380" t="s">
        <v>767</v>
      </c>
      <c r="E1486" s="380" t="s">
        <v>2305</v>
      </c>
      <c r="F1486" s="380" t="s">
        <v>2306</v>
      </c>
      <c r="G1486" s="380" t="s">
        <v>1267</v>
      </c>
      <c r="H1486" s="380" t="s">
        <v>771</v>
      </c>
      <c r="I1486" s="380" t="s">
        <v>2307</v>
      </c>
      <c r="J1486" s="380" t="s">
        <v>773</v>
      </c>
      <c r="K1486" s="381">
        <v>0.0</v>
      </c>
      <c r="L1486" s="382">
        <v>1.0</v>
      </c>
    </row>
    <row r="1487">
      <c r="A1487" s="380" t="s">
        <v>2338</v>
      </c>
      <c r="B1487" s="380" t="str">
        <f>IFERROR(__xludf.DUMMYFUNCTION("""COMPUTED_VALUE"""),"Xbox One 500gb")</f>
        <v>Xbox One 500gb</v>
      </c>
      <c r="C1487" s="380" t="str">
        <f>IFERROR(__xludf.DUMMYFUNCTION("""COMPUTED_VALUE"""),"11000149")</f>
        <v>11000149</v>
      </c>
      <c r="D1487" s="380" t="s">
        <v>767</v>
      </c>
      <c r="E1487" s="380" t="s">
        <v>2305</v>
      </c>
      <c r="F1487" s="380" t="s">
        <v>2306</v>
      </c>
      <c r="G1487" s="380" t="s">
        <v>1267</v>
      </c>
      <c r="H1487" s="380" t="s">
        <v>771</v>
      </c>
      <c r="I1487" s="380" t="s">
        <v>2307</v>
      </c>
      <c r="J1487" s="380" t="s">
        <v>773</v>
      </c>
      <c r="K1487" s="381">
        <v>0.0</v>
      </c>
      <c r="L1487" s="382">
        <v>1.0</v>
      </c>
    </row>
    <row r="1488">
      <c r="A1488" s="380" t="s">
        <v>2339</v>
      </c>
      <c r="B1488" s="380" t="str">
        <f>IFERROR(__xludf.DUMMYFUNCTION("""COMPUTED_VALUE"""),"Video Proye Epson Powerlite S39Svga3lcd")</f>
        <v>Video Proye Epson Powerlite S39Svga3lcd</v>
      </c>
      <c r="C1488" s="380" t="str">
        <f>IFERROR(__xludf.DUMMYFUNCTION("""COMPUTED_VALUE"""),"11000150")</f>
        <v>11000150</v>
      </c>
      <c r="D1488" s="380" t="s">
        <v>767</v>
      </c>
      <c r="E1488" s="380" t="s">
        <v>2305</v>
      </c>
      <c r="F1488" s="380" t="s">
        <v>2306</v>
      </c>
      <c r="G1488" s="380" t="s">
        <v>1267</v>
      </c>
      <c r="H1488" s="380" t="s">
        <v>771</v>
      </c>
      <c r="I1488" s="380" t="s">
        <v>2307</v>
      </c>
      <c r="J1488" s="380" t="s">
        <v>773</v>
      </c>
      <c r="K1488" s="381">
        <v>0.0</v>
      </c>
      <c r="L1488" s="382">
        <v>1.0</v>
      </c>
    </row>
    <row r="1489">
      <c r="A1489" s="380" t="s">
        <v>2340</v>
      </c>
      <c r="B1489" s="380" t="str">
        <f>IFERROR(__xludf.DUMMYFUNCTION("""COMPUTED_VALUE"""),"Video Proyector Epson Powerlite W42+")</f>
        <v>Video Proyector Epson Powerlite W42+</v>
      </c>
      <c r="C1489" s="380" t="str">
        <f>IFERROR(__xludf.DUMMYFUNCTION("""COMPUTED_VALUE"""),"11000151")</f>
        <v>11000151</v>
      </c>
      <c r="D1489" s="380" t="s">
        <v>767</v>
      </c>
      <c r="E1489" s="380" t="s">
        <v>2305</v>
      </c>
      <c r="F1489" s="380" t="s">
        <v>2306</v>
      </c>
      <c r="G1489" s="380" t="s">
        <v>1267</v>
      </c>
      <c r="H1489" s="380" t="s">
        <v>771</v>
      </c>
      <c r="I1489" s="380" t="s">
        <v>2307</v>
      </c>
      <c r="J1489" s="380" t="s">
        <v>773</v>
      </c>
      <c r="K1489" s="381">
        <v>0.0</v>
      </c>
      <c r="L1489" s="382">
        <v>1.0</v>
      </c>
    </row>
    <row r="1490">
      <c r="A1490" s="380" t="s">
        <v>2341</v>
      </c>
      <c r="B1490" s="380" t="str">
        <f>IFERROR(__xludf.DUMMYFUNCTION("""COMPUTED_VALUE"""),"Dispositivo De Biometría Zktco")</f>
        <v>Dispositivo De Biometría Zktco</v>
      </c>
      <c r="C1490" s="380" t="str">
        <f>IFERROR(__xludf.DUMMYFUNCTION("""COMPUTED_VALUE"""),"11000152")</f>
        <v>11000152</v>
      </c>
      <c r="D1490" s="380" t="s">
        <v>767</v>
      </c>
      <c r="E1490" s="380" t="s">
        <v>2305</v>
      </c>
      <c r="F1490" s="380" t="s">
        <v>2324</v>
      </c>
      <c r="G1490" s="380" t="s">
        <v>1267</v>
      </c>
      <c r="H1490" s="380" t="s">
        <v>771</v>
      </c>
      <c r="I1490" s="380" t="s">
        <v>2325</v>
      </c>
      <c r="J1490" s="380" t="s">
        <v>773</v>
      </c>
      <c r="K1490" s="381">
        <v>0.0</v>
      </c>
      <c r="L1490" s="382">
        <v>1.0</v>
      </c>
    </row>
    <row r="1491">
      <c r="A1491" s="380" t="s">
        <v>2342</v>
      </c>
      <c r="B1491" s="380" t="str">
        <f>IFERROR(__xludf.DUMMYFUNCTION("""COMPUTED_VALUE"""),"Pantalla Interactiva Led")</f>
        <v>Pantalla Interactiva Led</v>
      </c>
      <c r="C1491" s="380" t="str">
        <f>IFERROR(__xludf.DUMMYFUNCTION("""COMPUTED_VALUE"""),"11000153")</f>
        <v>11000153</v>
      </c>
      <c r="D1491" s="380" t="s">
        <v>767</v>
      </c>
      <c r="E1491" s="380" t="s">
        <v>2305</v>
      </c>
      <c r="F1491" s="380" t="s">
        <v>2324</v>
      </c>
      <c r="G1491" s="380" t="s">
        <v>1267</v>
      </c>
      <c r="H1491" s="380" t="s">
        <v>771</v>
      </c>
      <c r="I1491" s="380" t="s">
        <v>2325</v>
      </c>
      <c r="J1491" s="380" t="s">
        <v>773</v>
      </c>
      <c r="K1491" s="381">
        <v>0.0</v>
      </c>
      <c r="L1491" s="382">
        <v>1.0</v>
      </c>
    </row>
    <row r="1492">
      <c r="A1492" s="380" t="s">
        <v>2343</v>
      </c>
      <c r="B1492" s="380" t="str">
        <f>IFERROR(__xludf.DUMMYFUNCTION("""COMPUTED_VALUE"""),"Camara Web One Screen")</f>
        <v>Camara Web One Screen</v>
      </c>
      <c r="C1492" s="380" t="str">
        <f>IFERROR(__xludf.DUMMYFUNCTION("""COMPUTED_VALUE"""),"11000154")</f>
        <v>11000154</v>
      </c>
      <c r="D1492" s="380" t="s">
        <v>767</v>
      </c>
      <c r="E1492" s="380" t="s">
        <v>2305</v>
      </c>
      <c r="F1492" s="380" t="s">
        <v>2324</v>
      </c>
      <c r="G1492" s="380" t="s">
        <v>1267</v>
      </c>
      <c r="H1492" s="380" t="s">
        <v>771</v>
      </c>
      <c r="I1492" s="380" t="s">
        <v>2325</v>
      </c>
      <c r="J1492" s="380" t="s">
        <v>773</v>
      </c>
      <c r="K1492" s="381">
        <v>0.0</v>
      </c>
      <c r="L1492" s="382">
        <v>1.0</v>
      </c>
    </row>
    <row r="1493">
      <c r="A1493" s="380" t="s">
        <v>2344</v>
      </c>
      <c r="B1493" s="380" t="str">
        <f>IFERROR(__xludf.DUMMYFUNCTION("""COMPUTED_VALUE"""),"Rotuladora O Marcadora Electronica Dymo")</f>
        <v>Rotuladora O Marcadora Electronica Dymo</v>
      </c>
      <c r="C1493" s="380" t="str">
        <f>IFERROR(__xludf.DUMMYFUNCTION("""COMPUTED_VALUE"""),"11000155")</f>
        <v>11000155</v>
      </c>
      <c r="D1493" s="380" t="s">
        <v>767</v>
      </c>
      <c r="E1493" s="380" t="s">
        <v>2305</v>
      </c>
      <c r="F1493" s="380" t="s">
        <v>2324</v>
      </c>
      <c r="G1493" s="380" t="s">
        <v>1267</v>
      </c>
      <c r="H1493" s="380" t="s">
        <v>771</v>
      </c>
      <c r="I1493" s="380" t="s">
        <v>2325</v>
      </c>
      <c r="J1493" s="380" t="s">
        <v>773</v>
      </c>
      <c r="K1493" s="381">
        <v>0.0</v>
      </c>
      <c r="L1493" s="382">
        <v>1.0</v>
      </c>
    </row>
    <row r="1494">
      <c r="A1494" s="380" t="s">
        <v>2345</v>
      </c>
      <c r="B1494" s="380" t="str">
        <f>IFERROR(__xludf.DUMMYFUNCTION("""COMPUTED_VALUE"""),"Teclado Apple Magic Keyboard")</f>
        <v>Teclado Apple Magic Keyboard</v>
      </c>
      <c r="C1494" s="380" t="str">
        <f>IFERROR(__xludf.DUMMYFUNCTION("""COMPUTED_VALUE"""),"11000156")</f>
        <v>11000156</v>
      </c>
      <c r="D1494" s="380" t="s">
        <v>767</v>
      </c>
      <c r="E1494" s="380" t="s">
        <v>2305</v>
      </c>
      <c r="F1494" s="380" t="s">
        <v>2324</v>
      </c>
      <c r="G1494" s="380" t="s">
        <v>1267</v>
      </c>
      <c r="H1494" s="380" t="s">
        <v>771</v>
      </c>
      <c r="I1494" s="380" t="s">
        <v>2325</v>
      </c>
      <c r="J1494" s="380" t="s">
        <v>773</v>
      </c>
      <c r="K1494" s="381">
        <v>0.0</v>
      </c>
      <c r="L1494" s="382">
        <v>1.0</v>
      </c>
    </row>
    <row r="1495">
      <c r="A1495" s="380" t="s">
        <v>2346</v>
      </c>
      <c r="B1495" s="380" t="str">
        <f>IFERROR(__xludf.DUMMYFUNCTION("""COMPUTED_VALUE"""),"Switch 24 Puertos Poe Ruijie")</f>
        <v>Switch 24 Puertos Poe Ruijie</v>
      </c>
      <c r="C1495" s="380" t="str">
        <f>IFERROR(__xludf.DUMMYFUNCTION("""COMPUTED_VALUE"""),"11000157")</f>
        <v>11000157</v>
      </c>
      <c r="D1495" s="380" t="s">
        <v>767</v>
      </c>
      <c r="E1495" s="380" t="s">
        <v>2305</v>
      </c>
      <c r="F1495" s="380" t="s">
        <v>2324</v>
      </c>
      <c r="G1495" s="380" t="s">
        <v>1267</v>
      </c>
      <c r="H1495" s="380" t="s">
        <v>771</v>
      </c>
      <c r="I1495" s="380" t="s">
        <v>2325</v>
      </c>
      <c r="J1495" s="380" t="s">
        <v>773</v>
      </c>
      <c r="K1495" s="381">
        <v>0.0</v>
      </c>
      <c r="L1495" s="382">
        <v>1.0</v>
      </c>
    </row>
    <row r="1496">
      <c r="A1496" s="380" t="s">
        <v>2347</v>
      </c>
      <c r="B1496" s="380" t="str">
        <f>IFERROR(__xludf.DUMMYFUNCTION("""COMPUTED_VALUE"""),"Nvr Hikvision 64 Canales")</f>
        <v>Nvr Hikvision 64 Canales</v>
      </c>
      <c r="C1496" s="380" t="str">
        <f>IFERROR(__xludf.DUMMYFUNCTION("""COMPUTED_VALUE"""),"11000158")</f>
        <v>11000158</v>
      </c>
      <c r="D1496" s="380" t="s">
        <v>767</v>
      </c>
      <c r="E1496" s="380" t="s">
        <v>2305</v>
      </c>
      <c r="F1496" s="380" t="s">
        <v>2324</v>
      </c>
      <c r="G1496" s="380" t="s">
        <v>1267</v>
      </c>
      <c r="H1496" s="380" t="s">
        <v>771</v>
      </c>
      <c r="I1496" s="380" t="s">
        <v>2325</v>
      </c>
      <c r="J1496" s="380" t="s">
        <v>773</v>
      </c>
      <c r="K1496" s="381">
        <v>0.0</v>
      </c>
      <c r="L1496" s="382">
        <v>1.0</v>
      </c>
    </row>
    <row r="1497">
      <c r="A1497" s="380" t="s">
        <v>2348</v>
      </c>
      <c r="B1497" s="380" t="str">
        <f>IFERROR(__xludf.DUMMYFUNCTION("""COMPUTED_VALUE"""),"Monitor Portatil Tripe Para Laptop")</f>
        <v>Monitor Portatil Tripe Para Laptop</v>
      </c>
      <c r="C1497" s="380" t="str">
        <f>IFERROR(__xludf.DUMMYFUNCTION("""COMPUTED_VALUE"""),"11000159")</f>
        <v>11000159</v>
      </c>
      <c r="D1497" s="380" t="s">
        <v>767</v>
      </c>
      <c r="E1497" s="380" t="s">
        <v>2305</v>
      </c>
      <c r="F1497" s="380" t="s">
        <v>2324</v>
      </c>
      <c r="G1497" s="380" t="s">
        <v>1267</v>
      </c>
      <c r="H1497" s="380" t="s">
        <v>771</v>
      </c>
      <c r="I1497" s="380" t="s">
        <v>2325</v>
      </c>
      <c r="J1497" s="380" t="s">
        <v>773</v>
      </c>
      <c r="K1497" s="381">
        <v>0.0</v>
      </c>
      <c r="L1497" s="382">
        <v>1.0</v>
      </c>
    </row>
    <row r="1498">
      <c r="A1498" s="380" t="s">
        <v>2349</v>
      </c>
      <c r="B1498" s="380" t="str">
        <f>IFERROR(__xludf.DUMMYFUNCTION("""COMPUTED_VALUE"""),"Maquina Zebra Tc27")</f>
        <v>Maquina Zebra Tc27</v>
      </c>
      <c r="C1498" s="380" t="str">
        <f>IFERROR(__xludf.DUMMYFUNCTION("""COMPUTED_VALUE"""),"11000160")</f>
        <v>11000160</v>
      </c>
      <c r="D1498" s="380" t="s">
        <v>767</v>
      </c>
      <c r="E1498" s="380" t="s">
        <v>2305</v>
      </c>
      <c r="F1498" s="380" t="s">
        <v>2324</v>
      </c>
      <c r="G1498" s="380" t="s">
        <v>1267</v>
      </c>
      <c r="H1498" s="380" t="s">
        <v>771</v>
      </c>
      <c r="I1498" s="380" t="s">
        <v>2325</v>
      </c>
      <c r="J1498" s="380" t="s">
        <v>773</v>
      </c>
      <c r="K1498" s="381">
        <v>0.0</v>
      </c>
      <c r="L1498" s="382">
        <v>1.0</v>
      </c>
    </row>
    <row r="1499">
      <c r="A1499" s="380" t="s">
        <v>2350</v>
      </c>
      <c r="B1499" s="380" t="str">
        <f>IFERROR(__xludf.DUMMYFUNCTION("""COMPUTED_VALUE"""),"Radio Telefono Seguridad Kenwood")</f>
        <v>Radio Telefono Seguridad Kenwood</v>
      </c>
      <c r="C1499" s="380" t="str">
        <f>IFERROR(__xludf.DUMMYFUNCTION("""COMPUTED_VALUE"""),"11000161")</f>
        <v>11000161</v>
      </c>
      <c r="D1499" s="380" t="s">
        <v>767</v>
      </c>
      <c r="E1499" s="380" t="s">
        <v>2305</v>
      </c>
      <c r="F1499" s="380" t="s">
        <v>2324</v>
      </c>
      <c r="G1499" s="380" t="s">
        <v>1267</v>
      </c>
      <c r="H1499" s="380" t="s">
        <v>771</v>
      </c>
      <c r="I1499" s="380" t="s">
        <v>2325</v>
      </c>
      <c r="J1499" s="380" t="s">
        <v>773</v>
      </c>
      <c r="K1499" s="381">
        <v>0.0</v>
      </c>
      <c r="L1499" s="382">
        <v>1.0</v>
      </c>
    </row>
    <row r="1500">
      <c r="A1500" s="380" t="s">
        <v>2351</v>
      </c>
      <c r="B1500" s="380" t="str">
        <f>IFERROR(__xludf.DUMMYFUNCTION("""COMPUTED_VALUE"""),"Parlante Portatil Conf Klip Xtreme")</f>
        <v>Parlante Portatil Conf Klip Xtreme</v>
      </c>
      <c r="C1500" s="380" t="str">
        <f>IFERROR(__xludf.DUMMYFUNCTION("""COMPUTED_VALUE"""),"11000162")</f>
        <v>11000162</v>
      </c>
      <c r="D1500" s="380" t="s">
        <v>767</v>
      </c>
      <c r="E1500" s="380" t="s">
        <v>2305</v>
      </c>
      <c r="F1500" s="380" t="s">
        <v>2324</v>
      </c>
      <c r="G1500" s="380" t="s">
        <v>1267</v>
      </c>
      <c r="H1500" s="380" t="s">
        <v>771</v>
      </c>
      <c r="I1500" s="380" t="s">
        <v>2325</v>
      </c>
      <c r="J1500" s="380" t="s">
        <v>773</v>
      </c>
      <c r="K1500" s="381">
        <v>0.0</v>
      </c>
      <c r="L1500" s="382">
        <v>1.0</v>
      </c>
    </row>
    <row r="1501">
      <c r="A1501" s="380" t="s">
        <v>2352</v>
      </c>
      <c r="B1501" s="380" t="str">
        <f>IFERROR(__xludf.DUMMYFUNCTION("""COMPUTED_VALUE"""),"Estabilizador Dji Rs 4pro")</f>
        <v>Estabilizador Dji Rs 4pro</v>
      </c>
      <c r="C1501" s="380" t="str">
        <f>IFERROR(__xludf.DUMMYFUNCTION("""COMPUTED_VALUE"""),"11000163")</f>
        <v>11000163</v>
      </c>
      <c r="D1501" s="380" t="s">
        <v>767</v>
      </c>
      <c r="E1501" s="380" t="s">
        <v>2305</v>
      </c>
      <c r="F1501" s="380" t="s">
        <v>2324</v>
      </c>
      <c r="G1501" s="380" t="s">
        <v>1267</v>
      </c>
      <c r="H1501" s="380" t="s">
        <v>771</v>
      </c>
      <c r="I1501" s="380" t="s">
        <v>2325</v>
      </c>
      <c r="J1501" s="380" t="s">
        <v>773</v>
      </c>
      <c r="K1501" s="381">
        <v>0.0</v>
      </c>
      <c r="L1501" s="382">
        <v>1.0</v>
      </c>
    </row>
    <row r="1502">
      <c r="A1502" s="380" t="s">
        <v>2353</v>
      </c>
      <c r="B1502" s="380" t="str">
        <f>IFERROR(__xludf.DUMMYFUNCTION("""COMPUTED_VALUE"""),"Dji 2t +1rx+ Charging Case")</f>
        <v>Dji 2t +1rx+ Charging Case</v>
      </c>
      <c r="C1502" s="380" t="str">
        <f>IFERROR(__xludf.DUMMYFUNCTION("""COMPUTED_VALUE"""),"11000164")</f>
        <v>11000164</v>
      </c>
      <c r="D1502" s="380" t="s">
        <v>767</v>
      </c>
      <c r="E1502" s="380" t="s">
        <v>2305</v>
      </c>
      <c r="F1502" s="380" t="s">
        <v>2324</v>
      </c>
      <c r="G1502" s="380" t="s">
        <v>1267</v>
      </c>
      <c r="H1502" s="380" t="s">
        <v>771</v>
      </c>
      <c r="I1502" s="380" t="s">
        <v>2325</v>
      </c>
      <c r="J1502" s="380" t="s">
        <v>773</v>
      </c>
      <c r="K1502" s="381">
        <v>0.0</v>
      </c>
      <c r="L1502" s="382">
        <v>1.0</v>
      </c>
    </row>
    <row r="1503">
      <c r="A1503" s="380" t="s">
        <v>2354</v>
      </c>
      <c r="B1503" s="380" t="str">
        <f>IFERROR(__xludf.DUMMYFUNCTION("""COMPUTED_VALUE"""),"Kit Camara Nikonz6iii Mas Lente 24/70f4")</f>
        <v>Kit Camara Nikonz6iii Mas Lente 24/70f4</v>
      </c>
      <c r="C1503" s="380" t="str">
        <f>IFERROR(__xludf.DUMMYFUNCTION("""COMPUTED_VALUE"""),"11000165")</f>
        <v>11000165</v>
      </c>
      <c r="D1503" s="380" t="s">
        <v>767</v>
      </c>
      <c r="E1503" s="380" t="s">
        <v>2305</v>
      </c>
      <c r="F1503" s="380" t="s">
        <v>2324</v>
      </c>
      <c r="G1503" s="380" t="s">
        <v>1267</v>
      </c>
      <c r="H1503" s="380" t="s">
        <v>771</v>
      </c>
      <c r="I1503" s="380" t="s">
        <v>2325</v>
      </c>
      <c r="J1503" s="380" t="s">
        <v>773</v>
      </c>
      <c r="K1503" s="381">
        <v>0.0</v>
      </c>
      <c r="L1503" s="382">
        <v>1.0</v>
      </c>
    </row>
    <row r="1504">
      <c r="A1504" s="380" t="s">
        <v>2355</v>
      </c>
      <c r="B1504" s="380" t="str">
        <f>IFERROR(__xludf.DUMMYFUNCTION("""COMPUTED_VALUE"""),"Tablet En General Gravado")</f>
        <v>Tablet En General Gravado</v>
      </c>
      <c r="C1504" s="380" t="str">
        <f>IFERROR(__xludf.DUMMYFUNCTION("""COMPUTED_VALUE"""),"11000166")</f>
        <v>11000166</v>
      </c>
      <c r="D1504" s="380" t="s">
        <v>767</v>
      </c>
      <c r="E1504" s="380" t="s">
        <v>2305</v>
      </c>
      <c r="F1504" s="380" t="s">
        <v>2324</v>
      </c>
      <c r="G1504" s="380" t="s">
        <v>1267</v>
      </c>
      <c r="H1504" s="380" t="s">
        <v>771</v>
      </c>
      <c r="I1504" s="380" t="s">
        <v>2325</v>
      </c>
      <c r="J1504" s="380" t="s">
        <v>773</v>
      </c>
      <c r="K1504" s="381">
        <v>0.0</v>
      </c>
      <c r="L1504" s="382">
        <v>1.0</v>
      </c>
    </row>
    <row r="1505">
      <c r="A1505" s="380" t="s">
        <v>2356</v>
      </c>
      <c r="B1505" s="380" t="str">
        <f>IFERROR(__xludf.DUMMYFUNCTION("""COMPUTED_VALUE"""),"Nvr Hikvision 32ch")</f>
        <v>Nvr Hikvision 32ch</v>
      </c>
      <c r="C1505" s="380" t="str">
        <f>IFERROR(__xludf.DUMMYFUNCTION("""COMPUTED_VALUE"""),"11000167")</f>
        <v>11000167</v>
      </c>
      <c r="D1505" s="380" t="s">
        <v>767</v>
      </c>
      <c r="E1505" s="380" t="s">
        <v>2305</v>
      </c>
      <c r="F1505" s="380" t="s">
        <v>2324</v>
      </c>
      <c r="G1505" s="380" t="s">
        <v>1267</v>
      </c>
      <c r="H1505" s="380" t="s">
        <v>771</v>
      </c>
      <c r="I1505" s="380" t="s">
        <v>2325</v>
      </c>
      <c r="J1505" s="380" t="s">
        <v>773</v>
      </c>
      <c r="K1505" s="381">
        <v>0.0</v>
      </c>
      <c r="L1505" s="382">
        <v>1.0</v>
      </c>
    </row>
    <row r="1506">
      <c r="A1506" s="380" t="s">
        <v>2357</v>
      </c>
      <c r="B1506" s="380" t="str">
        <f>IFERROR(__xludf.DUMMYFUNCTION("""COMPUTED_VALUE"""),"Ups De 6 Kva")</f>
        <v>Ups De 6 Kva</v>
      </c>
      <c r="C1506" s="380" t="str">
        <f>IFERROR(__xludf.DUMMYFUNCTION("""COMPUTED_VALUE"""),"11000168")</f>
        <v>11000168</v>
      </c>
      <c r="D1506" s="380" t="s">
        <v>767</v>
      </c>
      <c r="E1506" s="380" t="s">
        <v>2305</v>
      </c>
      <c r="F1506" s="380" t="s">
        <v>2324</v>
      </c>
      <c r="G1506" s="380" t="s">
        <v>1267</v>
      </c>
      <c r="H1506" s="380" t="s">
        <v>771</v>
      </c>
      <c r="I1506" s="380" t="s">
        <v>2325</v>
      </c>
      <c r="J1506" s="380" t="s">
        <v>773</v>
      </c>
      <c r="K1506" s="381">
        <v>0.0</v>
      </c>
      <c r="L1506" s="382">
        <v>1.0</v>
      </c>
    </row>
    <row r="1507">
      <c r="A1507" s="380" t="s">
        <v>2358</v>
      </c>
      <c r="B1507" s="380" t="str">
        <f>IFERROR(__xludf.DUMMYFUNCTION("""COMPUTED_VALUE"""),"Camara Perime Hikvision Ds-2cd2626g2-Izs")</f>
        <v>Camara Perime Hikvision Ds-2cd2626g2-Izs</v>
      </c>
      <c r="C1507" s="380" t="str">
        <f>IFERROR(__xludf.DUMMYFUNCTION("""COMPUTED_VALUE"""),"11000169")</f>
        <v>11000169</v>
      </c>
      <c r="D1507" s="380" t="s">
        <v>767</v>
      </c>
      <c r="E1507" s="380" t="s">
        <v>2305</v>
      </c>
      <c r="F1507" s="380" t="s">
        <v>2324</v>
      </c>
      <c r="G1507" s="380" t="s">
        <v>1267</v>
      </c>
      <c r="H1507" s="380" t="s">
        <v>771</v>
      </c>
      <c r="I1507" s="380" t="s">
        <v>2325</v>
      </c>
      <c r="J1507" s="380" t="s">
        <v>773</v>
      </c>
      <c r="K1507" s="381">
        <v>0.0</v>
      </c>
      <c r="L1507" s="382">
        <v>1.0</v>
      </c>
    </row>
    <row r="1508">
      <c r="A1508" s="380" t="s">
        <v>2359</v>
      </c>
      <c r="B1508" s="380" t="str">
        <f>IFERROR(__xludf.DUMMYFUNCTION("""COMPUTED_VALUE"""),"Impresora Para Carnet")</f>
        <v>Impresora Para Carnet</v>
      </c>
      <c r="C1508" s="380" t="str">
        <f>IFERROR(__xludf.DUMMYFUNCTION("""COMPUTED_VALUE"""),"11000170")</f>
        <v>11000170</v>
      </c>
      <c r="D1508" s="380" t="s">
        <v>767</v>
      </c>
      <c r="E1508" s="380" t="s">
        <v>2305</v>
      </c>
      <c r="F1508" s="380" t="s">
        <v>2324</v>
      </c>
      <c r="G1508" s="380" t="s">
        <v>1267</v>
      </c>
      <c r="H1508" s="380" t="s">
        <v>771</v>
      </c>
      <c r="I1508" s="380" t="s">
        <v>2325</v>
      </c>
      <c r="J1508" s="380" t="s">
        <v>773</v>
      </c>
      <c r="K1508" s="381">
        <v>0.0</v>
      </c>
      <c r="L1508" s="382">
        <v>1.0</v>
      </c>
    </row>
    <row r="1509">
      <c r="A1509" s="380" t="s">
        <v>2360</v>
      </c>
      <c r="B1509" s="380" t="str">
        <f>IFERROR(__xludf.DUMMYFUNCTION("""COMPUTED_VALUE"""),"Ups De 1 Kva")</f>
        <v>Ups De 1 Kva</v>
      </c>
      <c r="C1509" s="380" t="str">
        <f>IFERROR(__xludf.DUMMYFUNCTION("""COMPUTED_VALUE"""),"11000171")</f>
        <v>11000171</v>
      </c>
      <c r="D1509" s="380" t="s">
        <v>767</v>
      </c>
      <c r="E1509" s="380" t="s">
        <v>2305</v>
      </c>
      <c r="F1509" s="380" t="s">
        <v>2324</v>
      </c>
      <c r="G1509" s="380" t="s">
        <v>1267</v>
      </c>
      <c r="H1509" s="380" t="s">
        <v>771</v>
      </c>
      <c r="I1509" s="380" t="s">
        <v>2325</v>
      </c>
      <c r="J1509" s="380" t="s">
        <v>773</v>
      </c>
      <c r="K1509" s="381">
        <v>0.0</v>
      </c>
      <c r="L1509" s="382">
        <v>1.0</v>
      </c>
    </row>
    <row r="1510">
      <c r="A1510" s="380" t="s">
        <v>2361</v>
      </c>
      <c r="B1510" s="380" t="str">
        <f>IFERROR(__xludf.DUMMYFUNCTION("""COMPUTED_VALUE"""),"Ups 700w")</f>
        <v>Ups 700w</v>
      </c>
      <c r="C1510" s="380" t="str">
        <f>IFERROR(__xludf.DUMMYFUNCTION("""COMPUTED_VALUE"""),"11000172")</f>
        <v>11000172</v>
      </c>
      <c r="D1510" s="380" t="s">
        <v>767</v>
      </c>
      <c r="E1510" s="380" t="s">
        <v>2305</v>
      </c>
      <c r="F1510" s="380" t="s">
        <v>2324</v>
      </c>
      <c r="G1510" s="380" t="s">
        <v>1267</v>
      </c>
      <c r="H1510" s="380" t="s">
        <v>771</v>
      </c>
      <c r="I1510" s="380" t="s">
        <v>2325</v>
      </c>
      <c r="J1510" s="380" t="s">
        <v>773</v>
      </c>
      <c r="K1510" s="381">
        <v>0.0</v>
      </c>
      <c r="L1510" s="382">
        <v>1.0</v>
      </c>
    </row>
    <row r="1511">
      <c r="A1511" s="380" t="s">
        <v>2362</v>
      </c>
      <c r="B1511" s="380" t="str">
        <f>IFERROR(__xludf.DUMMYFUNCTION("""COMPUTED_VALUE"""),"Computador Portátil En General No Grav")</f>
        <v>Computador Portátil En General No Grav</v>
      </c>
      <c r="C1511" s="380" t="str">
        <f>IFERROR(__xludf.DUMMYFUNCTION("""COMPUTED_VALUE"""),"11000173")</f>
        <v>11000173</v>
      </c>
      <c r="D1511" s="380" t="s">
        <v>767</v>
      </c>
      <c r="E1511" s="380" t="s">
        <v>2305</v>
      </c>
      <c r="F1511" s="380" t="s">
        <v>2324</v>
      </c>
      <c r="G1511" s="380" t="s">
        <v>1267</v>
      </c>
      <c r="H1511" s="380" t="s">
        <v>771</v>
      </c>
      <c r="I1511" s="380" t="s">
        <v>2325</v>
      </c>
      <c r="J1511" s="380" t="s">
        <v>773</v>
      </c>
      <c r="K1511" s="381">
        <v>0.0</v>
      </c>
      <c r="L1511" s="382">
        <v>1.0</v>
      </c>
    </row>
    <row r="1512">
      <c r="A1512" s="380" t="s">
        <v>2363</v>
      </c>
      <c r="B1512" s="380" t="str">
        <f>IFERROR(__xludf.DUMMYFUNCTION("""COMPUTED_VALUE"""),"Camara Fotografica Nikon")</f>
        <v>Camara Fotografica Nikon</v>
      </c>
      <c r="C1512" s="380" t="str">
        <f>IFERROR(__xludf.DUMMYFUNCTION("""COMPUTED_VALUE"""),"11000174")</f>
        <v>11000174</v>
      </c>
      <c r="D1512" s="380" t="s">
        <v>767</v>
      </c>
      <c r="E1512" s="380" t="s">
        <v>2305</v>
      </c>
      <c r="F1512" s="380" t="s">
        <v>2324</v>
      </c>
      <c r="G1512" s="380" t="s">
        <v>1267</v>
      </c>
      <c r="H1512" s="380" t="s">
        <v>771</v>
      </c>
      <c r="I1512" s="380" t="s">
        <v>2325</v>
      </c>
      <c r="J1512" s="380" t="s">
        <v>773</v>
      </c>
      <c r="K1512" s="381">
        <v>0.0</v>
      </c>
      <c r="L1512" s="382">
        <v>1.0</v>
      </c>
    </row>
    <row r="1513">
      <c r="A1513" s="380" t="s">
        <v>2364</v>
      </c>
      <c r="B1513" s="380" t="str">
        <f>IFERROR(__xludf.DUMMYFUNCTION("""COMPUTED_VALUE"""),"Servidor General")</f>
        <v>Servidor General</v>
      </c>
      <c r="C1513" s="380" t="str">
        <f>IFERROR(__xludf.DUMMYFUNCTION("""COMPUTED_VALUE"""),"11000175")</f>
        <v>11000175</v>
      </c>
      <c r="D1513" s="380" t="s">
        <v>767</v>
      </c>
      <c r="E1513" s="380" t="s">
        <v>2305</v>
      </c>
      <c r="F1513" s="380" t="s">
        <v>2324</v>
      </c>
      <c r="G1513" s="380" t="s">
        <v>1267</v>
      </c>
      <c r="H1513" s="380" t="s">
        <v>771</v>
      </c>
      <c r="I1513" s="380" t="s">
        <v>2325</v>
      </c>
      <c r="J1513" s="380" t="s">
        <v>773</v>
      </c>
      <c r="K1513" s="381">
        <v>0.0</v>
      </c>
      <c r="L1513" s="382">
        <v>1.0</v>
      </c>
    </row>
    <row r="1514">
      <c r="A1514" s="380" t="s">
        <v>2365</v>
      </c>
      <c r="B1514" s="380" t="str">
        <f>IFERROR(__xludf.DUMMYFUNCTION("""COMPUTED_VALUE"""),"Computador Portatil General Gravado")</f>
        <v>Computador Portatil General Gravado</v>
      </c>
      <c r="C1514" s="380" t="str">
        <f>IFERROR(__xludf.DUMMYFUNCTION("""COMPUTED_VALUE"""),"11000176")</f>
        <v>11000176</v>
      </c>
      <c r="D1514" s="380" t="s">
        <v>767</v>
      </c>
      <c r="E1514" s="380" t="s">
        <v>2305</v>
      </c>
      <c r="F1514" s="380" t="s">
        <v>2324</v>
      </c>
      <c r="G1514" s="380" t="s">
        <v>1267</v>
      </c>
      <c r="H1514" s="380" t="s">
        <v>771</v>
      </c>
      <c r="I1514" s="380" t="s">
        <v>2325</v>
      </c>
      <c r="J1514" s="380" t="s">
        <v>773</v>
      </c>
      <c r="K1514" s="381">
        <v>0.0</v>
      </c>
      <c r="L1514" s="382">
        <v>1.0</v>
      </c>
    </row>
    <row r="1515">
      <c r="A1515" s="380" t="s">
        <v>2366</v>
      </c>
      <c r="B1515" s="380" t="str">
        <f>IFERROR(__xludf.DUMMYFUNCTION("""COMPUTED_VALUE"""),"Cloud Core Router Cpu 16 Núcleos")</f>
        <v>Cloud Core Router Cpu 16 Núcleos</v>
      </c>
      <c r="C1515" s="380" t="str">
        <f>IFERROR(__xludf.DUMMYFUNCTION("""COMPUTED_VALUE"""),"11000177")</f>
        <v>11000177</v>
      </c>
      <c r="D1515" s="380" t="s">
        <v>767</v>
      </c>
      <c r="E1515" s="380" t="s">
        <v>2305</v>
      </c>
      <c r="F1515" s="380" t="s">
        <v>2324</v>
      </c>
      <c r="G1515" s="380" t="s">
        <v>1267</v>
      </c>
      <c r="H1515" s="380" t="s">
        <v>771</v>
      </c>
      <c r="I1515" s="380" t="s">
        <v>2325</v>
      </c>
      <c r="J1515" s="380" t="s">
        <v>773</v>
      </c>
      <c r="K1515" s="381">
        <v>0.0</v>
      </c>
      <c r="L1515" s="382">
        <v>1.0</v>
      </c>
    </row>
    <row r="1516">
      <c r="A1516" s="380" t="s">
        <v>2367</v>
      </c>
      <c r="B1516" s="380" t="str">
        <f>IFERROR(__xludf.DUMMYFUNCTION("""COMPUTED_VALUE"""),"Camara Reconocimiento Fac Domo Hikvision")</f>
        <v>Camara Reconocimiento Fac Domo Hikvision</v>
      </c>
      <c r="C1516" s="380" t="str">
        <f>IFERROR(__xludf.DUMMYFUNCTION("""COMPUTED_VALUE"""),"11000178")</f>
        <v>11000178</v>
      </c>
      <c r="D1516" s="380" t="s">
        <v>767</v>
      </c>
      <c r="E1516" s="380" t="s">
        <v>2305</v>
      </c>
      <c r="F1516" s="380" t="s">
        <v>2324</v>
      </c>
      <c r="G1516" s="380" t="s">
        <v>1267</v>
      </c>
      <c r="H1516" s="380" t="s">
        <v>771</v>
      </c>
      <c r="I1516" s="380" t="s">
        <v>2325</v>
      </c>
      <c r="J1516" s="380" t="s">
        <v>773</v>
      </c>
      <c r="K1516" s="381">
        <v>0.0</v>
      </c>
      <c r="L1516" s="382">
        <v>1.0</v>
      </c>
    </row>
    <row r="1517">
      <c r="A1517" s="380" t="s">
        <v>2368</v>
      </c>
      <c r="B1517" s="380" t="str">
        <f>IFERROR(__xludf.DUMMYFUNCTION("""COMPUTED_VALUE"""),"Bocina Ip Hikvision")</f>
        <v>Bocina Ip Hikvision</v>
      </c>
      <c r="C1517" s="380" t="str">
        <f>IFERROR(__xludf.DUMMYFUNCTION("""COMPUTED_VALUE"""),"11000179")</f>
        <v>11000179</v>
      </c>
      <c r="D1517" s="380" t="s">
        <v>767</v>
      </c>
      <c r="E1517" s="380" t="s">
        <v>2305</v>
      </c>
      <c r="F1517" s="380" t="s">
        <v>2324</v>
      </c>
      <c r="G1517" s="380" t="s">
        <v>1267</v>
      </c>
      <c r="H1517" s="380" t="s">
        <v>771</v>
      </c>
      <c r="I1517" s="380" t="s">
        <v>2325</v>
      </c>
      <c r="J1517" s="380" t="s">
        <v>773</v>
      </c>
      <c r="K1517" s="381">
        <v>0.0</v>
      </c>
      <c r="L1517" s="382">
        <v>1.0</v>
      </c>
    </row>
    <row r="1518">
      <c r="A1518" s="380" t="s">
        <v>2369</v>
      </c>
      <c r="B1518" s="380" t="str">
        <f>IFERROR(__xludf.DUMMYFUNCTION("""COMPUTED_VALUE"""),"Monitor Hikvision")</f>
        <v>Monitor Hikvision</v>
      </c>
      <c r="C1518" s="380" t="str">
        <f>IFERROR(__xludf.DUMMYFUNCTION("""COMPUTED_VALUE"""),"11000180")</f>
        <v>11000180</v>
      </c>
      <c r="D1518" s="380" t="s">
        <v>767</v>
      </c>
      <c r="E1518" s="380" t="s">
        <v>2305</v>
      </c>
      <c r="F1518" s="380" t="s">
        <v>2324</v>
      </c>
      <c r="G1518" s="380" t="s">
        <v>1267</v>
      </c>
      <c r="H1518" s="380" t="s">
        <v>771</v>
      </c>
      <c r="I1518" s="380" t="s">
        <v>2325</v>
      </c>
      <c r="J1518" s="380" t="s">
        <v>773</v>
      </c>
      <c r="K1518" s="381">
        <v>0.0</v>
      </c>
      <c r="L1518" s="382">
        <v>1.0</v>
      </c>
    </row>
    <row r="1519">
      <c r="A1519" s="380" t="s">
        <v>2370</v>
      </c>
      <c r="B1519" s="380" t="str">
        <f>IFERROR(__xludf.DUMMYFUNCTION("""COMPUTED_VALUE"""),"Micorfono De Escrotorio Para Computador")</f>
        <v>Micorfono De Escrotorio Para Computador</v>
      </c>
      <c r="C1519" s="380" t="str">
        <f>IFERROR(__xludf.DUMMYFUNCTION("""COMPUTED_VALUE"""),"11000181")</f>
        <v>11000181</v>
      </c>
      <c r="D1519" s="380" t="s">
        <v>767</v>
      </c>
      <c r="E1519" s="380" t="s">
        <v>2305</v>
      </c>
      <c r="F1519" s="380" t="s">
        <v>2324</v>
      </c>
      <c r="G1519" s="380" t="s">
        <v>1267</v>
      </c>
      <c r="H1519" s="380" t="s">
        <v>771</v>
      </c>
      <c r="I1519" s="380" t="s">
        <v>2325</v>
      </c>
      <c r="J1519" s="380" t="s">
        <v>773</v>
      </c>
      <c r="K1519" s="381">
        <v>0.0</v>
      </c>
      <c r="L1519" s="382">
        <v>1.0</v>
      </c>
    </row>
    <row r="1520">
      <c r="A1520" s="380" t="s">
        <v>2371</v>
      </c>
      <c r="B1520" s="380" t="str">
        <f>IFERROR(__xludf.DUMMYFUNCTION("""COMPUTED_VALUE"""),"Decodificador Videowall")</f>
        <v>Decodificador Videowall</v>
      </c>
      <c r="C1520" s="380" t="str">
        <f>IFERROR(__xludf.DUMMYFUNCTION("""COMPUTED_VALUE"""),"11000182")</f>
        <v>11000182</v>
      </c>
      <c r="D1520" s="380" t="s">
        <v>767</v>
      </c>
      <c r="E1520" s="380" t="s">
        <v>2305</v>
      </c>
      <c r="F1520" s="380" t="s">
        <v>2324</v>
      </c>
      <c r="G1520" s="380" t="s">
        <v>1267</v>
      </c>
      <c r="H1520" s="380" t="s">
        <v>771</v>
      </c>
      <c r="I1520" s="380" t="s">
        <v>2325</v>
      </c>
      <c r="J1520" s="380" t="s">
        <v>773</v>
      </c>
      <c r="K1520" s="381">
        <v>0.0</v>
      </c>
      <c r="L1520" s="382">
        <v>1.0</v>
      </c>
    </row>
    <row r="1521">
      <c r="A1521" s="380" t="s">
        <v>2372</v>
      </c>
      <c r="B1521" s="380" t="str">
        <f>IFERROR(__xludf.DUMMYFUNCTION("""COMPUTED_VALUE"""),"Base Soporte Para Videowall")</f>
        <v>Base Soporte Para Videowall</v>
      </c>
      <c r="C1521" s="380" t="str">
        <f>IFERROR(__xludf.DUMMYFUNCTION("""COMPUTED_VALUE"""),"11000183")</f>
        <v>11000183</v>
      </c>
      <c r="D1521" s="380" t="s">
        <v>767</v>
      </c>
      <c r="E1521" s="380" t="s">
        <v>2305</v>
      </c>
      <c r="F1521" s="380" t="s">
        <v>2324</v>
      </c>
      <c r="G1521" s="380" t="s">
        <v>1267</v>
      </c>
      <c r="H1521" s="380" t="s">
        <v>771</v>
      </c>
      <c r="I1521" s="380" t="s">
        <v>2325</v>
      </c>
      <c r="J1521" s="380" t="s">
        <v>773</v>
      </c>
      <c r="K1521" s="381">
        <v>0.0</v>
      </c>
      <c r="L1521" s="382">
        <v>1.0</v>
      </c>
    </row>
    <row r="1522">
      <c r="A1522" s="380" t="s">
        <v>2373</v>
      </c>
      <c r="B1522" s="380" t="str">
        <f>IFERROR(__xludf.DUMMYFUNCTION("""COMPUTED_VALUE"""),"Impresora Mfp Epson Ecotank L5190")</f>
        <v>Impresora Mfp Epson Ecotank L5190</v>
      </c>
      <c r="C1522" s="380" t="str">
        <f>IFERROR(__xludf.DUMMYFUNCTION("""COMPUTED_VALUE"""),"11000184")</f>
        <v>11000184</v>
      </c>
      <c r="D1522" s="380" t="s">
        <v>767</v>
      </c>
      <c r="E1522" s="380" t="s">
        <v>2305</v>
      </c>
      <c r="F1522" s="380" t="s">
        <v>2324</v>
      </c>
      <c r="G1522" s="380" t="s">
        <v>1267</v>
      </c>
      <c r="H1522" s="380" t="s">
        <v>771</v>
      </c>
      <c r="I1522" s="380" t="s">
        <v>2325</v>
      </c>
      <c r="J1522" s="380" t="s">
        <v>773</v>
      </c>
      <c r="K1522" s="381">
        <v>0.0</v>
      </c>
      <c r="L1522" s="382">
        <v>1.0</v>
      </c>
    </row>
    <row r="1523">
      <c r="A1523" s="380" t="s">
        <v>2374</v>
      </c>
      <c r="B1523" s="380" t="str">
        <f>IFERROR(__xludf.DUMMYFUNCTION("""COMPUTED_VALUE"""),"Ups True Online Doble Conv Monof 2kva")</f>
        <v>Ups True Online Doble Conv Monof 2kva</v>
      </c>
      <c r="C1523" s="380" t="str">
        <f>IFERROR(__xludf.DUMMYFUNCTION("""COMPUTED_VALUE"""),"11000185")</f>
        <v>11000185</v>
      </c>
      <c r="D1523" s="380" t="s">
        <v>767</v>
      </c>
      <c r="E1523" s="380" t="s">
        <v>2305</v>
      </c>
      <c r="F1523" s="380" t="s">
        <v>2324</v>
      </c>
      <c r="G1523" s="380" t="s">
        <v>1267</v>
      </c>
      <c r="H1523" s="380" t="s">
        <v>771</v>
      </c>
      <c r="I1523" s="380" t="s">
        <v>2325</v>
      </c>
      <c r="J1523" s="380" t="s">
        <v>773</v>
      </c>
      <c r="K1523" s="381">
        <v>0.0</v>
      </c>
      <c r="L1523" s="382">
        <v>1.0</v>
      </c>
    </row>
    <row r="1524">
      <c r="A1524" s="380" t="s">
        <v>2375</v>
      </c>
      <c r="B1524" s="380" t="str">
        <f>IFERROR(__xludf.DUMMYFUNCTION("""COMPUTED_VALUE"""),"Camara Ip Domo Hikvision Ds 2cd1123g0e")</f>
        <v>Camara Ip Domo Hikvision Ds 2cd1123g0e</v>
      </c>
      <c r="C1524" s="380" t="str">
        <f>IFERROR(__xludf.DUMMYFUNCTION("""COMPUTED_VALUE"""),"11000186")</f>
        <v>11000186</v>
      </c>
      <c r="D1524" s="380" t="s">
        <v>767</v>
      </c>
      <c r="E1524" s="380" t="s">
        <v>2305</v>
      </c>
      <c r="F1524" s="380" t="s">
        <v>2324</v>
      </c>
      <c r="G1524" s="380" t="s">
        <v>1267</v>
      </c>
      <c r="H1524" s="380" t="s">
        <v>771</v>
      </c>
      <c r="I1524" s="380" t="s">
        <v>2325</v>
      </c>
      <c r="J1524" s="380" t="s">
        <v>773</v>
      </c>
      <c r="K1524" s="381">
        <v>0.0</v>
      </c>
      <c r="L1524" s="382">
        <v>1.0</v>
      </c>
    </row>
    <row r="1525">
      <c r="A1525" s="380" t="s">
        <v>2376</v>
      </c>
      <c r="B1525" s="380" t="str">
        <f>IFERROR(__xludf.DUMMYFUNCTION("""COMPUTED_VALUE"""),"Grabador Nvr Hikvision Ds-7616ni-Q2/16p")</f>
        <v>Grabador Nvr Hikvision Ds-7616ni-Q2/16p</v>
      </c>
      <c r="C1525" s="380" t="str">
        <f>IFERROR(__xludf.DUMMYFUNCTION("""COMPUTED_VALUE"""),"11000187")</f>
        <v>11000187</v>
      </c>
      <c r="D1525" s="380" t="s">
        <v>767</v>
      </c>
      <c r="E1525" s="380" t="s">
        <v>2305</v>
      </c>
      <c r="F1525" s="380" t="s">
        <v>2324</v>
      </c>
      <c r="G1525" s="380" t="s">
        <v>1267</v>
      </c>
      <c r="H1525" s="380" t="s">
        <v>771</v>
      </c>
      <c r="I1525" s="380" t="s">
        <v>2325</v>
      </c>
      <c r="J1525" s="380" t="s">
        <v>773</v>
      </c>
      <c r="K1525" s="381">
        <v>0.0</v>
      </c>
      <c r="L1525" s="382">
        <v>1.0</v>
      </c>
    </row>
    <row r="1526">
      <c r="A1526" s="380" t="s">
        <v>2377</v>
      </c>
      <c r="B1526" s="380" t="str">
        <f>IFERROR(__xludf.DUMMYFUNCTION("""COMPUTED_VALUE"""),"Camara Bala Hikvision R Ds2cd2021g1i(W)")</f>
        <v>Camara Bala Hikvision R Ds2cd2021g1i(W)</v>
      </c>
      <c r="C1526" s="380" t="str">
        <f>IFERROR(__xludf.DUMMYFUNCTION("""COMPUTED_VALUE"""),"11000188")</f>
        <v>11000188</v>
      </c>
      <c r="D1526" s="380" t="s">
        <v>767</v>
      </c>
      <c r="E1526" s="380" t="s">
        <v>2305</v>
      </c>
      <c r="F1526" s="380" t="s">
        <v>2324</v>
      </c>
      <c r="G1526" s="380" t="s">
        <v>1267</v>
      </c>
      <c r="H1526" s="380" t="s">
        <v>771</v>
      </c>
      <c r="I1526" s="380" t="s">
        <v>2325</v>
      </c>
      <c r="J1526" s="380" t="s">
        <v>773</v>
      </c>
      <c r="K1526" s="381">
        <v>0.0</v>
      </c>
      <c r="L1526" s="382">
        <v>1.0</v>
      </c>
    </row>
    <row r="1527">
      <c r="A1527" s="380" t="s">
        <v>2378</v>
      </c>
      <c r="B1527" s="380" t="str">
        <f>IFERROR(__xludf.DUMMYFUNCTION("""COMPUTED_VALUE"""),"Camara Mini Domo AuHikvision Ds2cd2123g0")</f>
        <v>Camara Mini Domo AuHikvision Ds2cd2123g0</v>
      </c>
      <c r="C1527" s="380" t="str">
        <f>IFERROR(__xludf.DUMMYFUNCTION("""COMPUTED_VALUE"""),"11000189")</f>
        <v>11000189</v>
      </c>
      <c r="D1527" s="380" t="s">
        <v>767</v>
      </c>
      <c r="E1527" s="380" t="s">
        <v>2305</v>
      </c>
      <c r="F1527" s="380" t="s">
        <v>2324</v>
      </c>
      <c r="G1527" s="380" t="s">
        <v>1267</v>
      </c>
      <c r="H1527" s="380" t="s">
        <v>771</v>
      </c>
      <c r="I1527" s="380" t="s">
        <v>2325</v>
      </c>
      <c r="J1527" s="380" t="s">
        <v>773</v>
      </c>
      <c r="K1527" s="381">
        <v>0.0</v>
      </c>
      <c r="L1527" s="382">
        <v>1.0</v>
      </c>
    </row>
    <row r="1528">
      <c r="A1528" s="380" t="s">
        <v>2379</v>
      </c>
      <c r="B1528" s="380" t="str">
        <f>IFERROR(__xludf.DUMMYFUNCTION("""COMPUTED_VALUE"""),"Sistema Microfono Inalambrico Uhf")</f>
        <v>Sistema Microfono Inalambrico Uhf</v>
      </c>
      <c r="C1528" s="380" t="str">
        <f>IFERROR(__xludf.DUMMYFUNCTION("""COMPUTED_VALUE"""),"11000190")</f>
        <v>11000190</v>
      </c>
      <c r="D1528" s="380" t="s">
        <v>767</v>
      </c>
      <c r="E1528" s="380" t="s">
        <v>2305</v>
      </c>
      <c r="F1528" s="380" t="s">
        <v>2324</v>
      </c>
      <c r="G1528" s="380" t="s">
        <v>1267</v>
      </c>
      <c r="H1528" s="380" t="s">
        <v>771</v>
      </c>
      <c r="I1528" s="380" t="s">
        <v>2325</v>
      </c>
      <c r="J1528" s="380" t="s">
        <v>773</v>
      </c>
      <c r="K1528" s="381">
        <v>0.0</v>
      </c>
      <c r="L1528" s="382">
        <v>1.0</v>
      </c>
    </row>
    <row r="1529">
      <c r="A1529" s="380" t="s">
        <v>2380</v>
      </c>
      <c r="B1529" s="380" t="str">
        <f>IFERROR(__xludf.DUMMYFUNCTION("""COMPUTED_VALUE"""),"Pc Portatil Windows Gama Alta")</f>
        <v>Pc Portatil Windows Gama Alta</v>
      </c>
      <c r="C1529" s="380" t="str">
        <f>IFERROR(__xludf.DUMMYFUNCTION("""COMPUTED_VALUE"""),"11000191")</f>
        <v>11000191</v>
      </c>
      <c r="D1529" s="380" t="s">
        <v>767</v>
      </c>
      <c r="E1529" s="380" t="s">
        <v>2305</v>
      </c>
      <c r="F1529" s="380" t="s">
        <v>2324</v>
      </c>
      <c r="G1529" s="380" t="s">
        <v>1267</v>
      </c>
      <c r="H1529" s="380" t="s">
        <v>771</v>
      </c>
      <c r="I1529" s="380" t="s">
        <v>2325</v>
      </c>
      <c r="J1529" s="380" t="s">
        <v>773</v>
      </c>
      <c r="K1529" s="381">
        <v>0.0</v>
      </c>
      <c r="L1529" s="382">
        <v>1.0</v>
      </c>
    </row>
    <row r="1530">
      <c r="A1530" s="380" t="s">
        <v>2381</v>
      </c>
      <c r="B1530" s="380" t="str">
        <f>IFERROR(__xludf.DUMMYFUNCTION("""COMPUTED_VALUE"""),"Grabador Nvr Hikvision 16p")</f>
        <v>Grabador Nvr Hikvision 16p</v>
      </c>
      <c r="C1530" s="380" t="str">
        <f>IFERROR(__xludf.DUMMYFUNCTION("""COMPUTED_VALUE"""),"11000192")</f>
        <v>11000192</v>
      </c>
      <c r="D1530" s="380" t="s">
        <v>767</v>
      </c>
      <c r="E1530" s="380" t="s">
        <v>2305</v>
      </c>
      <c r="F1530" s="380" t="s">
        <v>2324</v>
      </c>
      <c r="G1530" s="380" t="s">
        <v>1267</v>
      </c>
      <c r="H1530" s="380" t="s">
        <v>771</v>
      </c>
      <c r="I1530" s="380" t="s">
        <v>2325</v>
      </c>
      <c r="J1530" s="380" t="s">
        <v>773</v>
      </c>
      <c r="K1530" s="381">
        <v>0.0</v>
      </c>
      <c r="L1530" s="382">
        <v>1.0</v>
      </c>
    </row>
    <row r="1531">
      <c r="A1531" s="380" t="s">
        <v>2382</v>
      </c>
      <c r="B1531" s="380" t="str">
        <f>IFERROR(__xludf.DUMMYFUNCTION("""COMPUTED_VALUE"""),"Impresora Epson Tm-U675")</f>
        <v>Impresora Epson Tm-U675</v>
      </c>
      <c r="C1531" s="380" t="str">
        <f>IFERROR(__xludf.DUMMYFUNCTION("""COMPUTED_VALUE"""),"11000193")</f>
        <v>11000193</v>
      </c>
      <c r="D1531" s="380" t="s">
        <v>767</v>
      </c>
      <c r="E1531" s="380" t="s">
        <v>2305</v>
      </c>
      <c r="F1531" s="380" t="s">
        <v>2324</v>
      </c>
      <c r="G1531" s="380" t="s">
        <v>1267</v>
      </c>
      <c r="H1531" s="380" t="s">
        <v>771</v>
      </c>
      <c r="I1531" s="380" t="s">
        <v>2325</v>
      </c>
      <c r="J1531" s="380" t="s">
        <v>773</v>
      </c>
      <c r="K1531" s="381">
        <v>0.0</v>
      </c>
      <c r="L1531" s="382">
        <v>1.0</v>
      </c>
    </row>
    <row r="1532">
      <c r="A1532" s="380" t="s">
        <v>2383</v>
      </c>
      <c r="B1532" s="380" t="str">
        <f>IFERROR(__xludf.DUMMYFUNCTION("""COMPUTED_VALUE"""),"Camara TipoBala Hikvision Ds2cd1023goe-1")</f>
        <v>Camara TipoBala Hikvision Ds2cd1023goe-1</v>
      </c>
      <c r="C1532" s="380" t="str">
        <f>IFERROR(__xludf.DUMMYFUNCTION("""COMPUTED_VALUE"""),"11000194")</f>
        <v>11000194</v>
      </c>
      <c r="D1532" s="380" t="s">
        <v>767</v>
      </c>
      <c r="E1532" s="380" t="s">
        <v>2305</v>
      </c>
      <c r="F1532" s="380" t="s">
        <v>2324</v>
      </c>
      <c r="G1532" s="380" t="s">
        <v>1267</v>
      </c>
      <c r="H1532" s="380" t="s">
        <v>771</v>
      </c>
      <c r="I1532" s="380" t="s">
        <v>2325</v>
      </c>
      <c r="J1532" s="380" t="s">
        <v>773</v>
      </c>
      <c r="K1532" s="381">
        <v>0.0</v>
      </c>
      <c r="L1532" s="382">
        <v>1.0</v>
      </c>
    </row>
    <row r="1533">
      <c r="A1533" s="380" t="s">
        <v>2384</v>
      </c>
      <c r="B1533" s="380" t="str">
        <f>IFERROR(__xludf.DUMMYFUNCTION("""COMPUTED_VALUE"""),"Disco Duro Externo Usb 3.0")</f>
        <v>Disco Duro Externo Usb 3.0</v>
      </c>
      <c r="C1533" s="380" t="str">
        <f>IFERROR(__xludf.DUMMYFUNCTION("""COMPUTED_VALUE"""),"11000195")</f>
        <v>11000195</v>
      </c>
      <c r="D1533" s="380" t="s">
        <v>767</v>
      </c>
      <c r="E1533" s="380" t="s">
        <v>2305</v>
      </c>
      <c r="F1533" s="380" t="s">
        <v>2324</v>
      </c>
      <c r="G1533" s="380" t="s">
        <v>1267</v>
      </c>
      <c r="H1533" s="380" t="s">
        <v>771</v>
      </c>
      <c r="I1533" s="380" t="s">
        <v>2325</v>
      </c>
      <c r="J1533" s="380" t="s">
        <v>773</v>
      </c>
      <c r="K1533" s="381">
        <v>0.0</v>
      </c>
      <c r="L1533" s="382">
        <v>1.0</v>
      </c>
    </row>
    <row r="1534">
      <c r="A1534" s="380" t="s">
        <v>2385</v>
      </c>
      <c r="B1534" s="380" t="str">
        <f>IFERROR(__xludf.DUMMYFUNCTION("""COMPUTED_VALUE"""),"Monitor De 27"" Con Puertos Hdmi")</f>
        <v>Monitor De 27" Con Puertos Hdmi</v>
      </c>
      <c r="C1534" s="380" t="str">
        <f>IFERROR(__xludf.DUMMYFUNCTION("""COMPUTED_VALUE"""),"11000196")</f>
        <v>11000196</v>
      </c>
      <c r="D1534" s="380" t="s">
        <v>767</v>
      </c>
      <c r="E1534" s="380" t="s">
        <v>2305</v>
      </c>
      <c r="F1534" s="380" t="s">
        <v>2324</v>
      </c>
      <c r="G1534" s="380" t="s">
        <v>1267</v>
      </c>
      <c r="H1534" s="380" t="s">
        <v>771</v>
      </c>
      <c r="I1534" s="380" t="s">
        <v>2325</v>
      </c>
      <c r="J1534" s="380" t="s">
        <v>773</v>
      </c>
      <c r="K1534" s="381">
        <v>0.0</v>
      </c>
      <c r="L1534" s="382">
        <v>1.0</v>
      </c>
    </row>
    <row r="1535">
      <c r="A1535" s="380" t="s">
        <v>2386</v>
      </c>
      <c r="B1535" s="380" t="str">
        <f>IFERROR(__xludf.DUMMYFUNCTION("""COMPUTED_VALUE"""),"Terminal Reconocimiento Facial Hikvision")</f>
        <v>Terminal Reconocimiento Facial Hikvision</v>
      </c>
      <c r="C1535" s="380" t="str">
        <f>IFERROR(__xludf.DUMMYFUNCTION("""COMPUTED_VALUE"""),"11000197")</f>
        <v>11000197</v>
      </c>
      <c r="D1535" s="380" t="s">
        <v>767</v>
      </c>
      <c r="E1535" s="380" t="s">
        <v>2305</v>
      </c>
      <c r="F1535" s="380" t="s">
        <v>2324</v>
      </c>
      <c r="G1535" s="380" t="s">
        <v>1267</v>
      </c>
      <c r="H1535" s="380" t="s">
        <v>771</v>
      </c>
      <c r="I1535" s="380" t="s">
        <v>2325</v>
      </c>
      <c r="J1535" s="380" t="s">
        <v>773</v>
      </c>
      <c r="K1535" s="381">
        <v>0.0</v>
      </c>
      <c r="L1535" s="382">
        <v>1.0</v>
      </c>
    </row>
    <row r="1536">
      <c r="A1536" s="380" t="s">
        <v>2387</v>
      </c>
      <c r="B1536" s="380" t="str">
        <f>IFERROR(__xludf.DUMMYFUNCTION("""COMPUTED_VALUE"""),"Cpu Características Especiales")</f>
        <v>Cpu Características Especiales</v>
      </c>
      <c r="C1536" s="380" t="str">
        <f>IFERROR(__xludf.DUMMYFUNCTION("""COMPUTED_VALUE"""),"11000198")</f>
        <v>11000198</v>
      </c>
      <c r="D1536" s="380" t="s">
        <v>767</v>
      </c>
      <c r="E1536" s="380" t="s">
        <v>2305</v>
      </c>
      <c r="F1536" s="380" t="s">
        <v>2324</v>
      </c>
      <c r="G1536" s="380" t="s">
        <v>1267</v>
      </c>
      <c r="H1536" s="380" t="s">
        <v>771</v>
      </c>
      <c r="I1536" s="380" t="s">
        <v>2325</v>
      </c>
      <c r="J1536" s="380" t="s">
        <v>773</v>
      </c>
      <c r="K1536" s="381">
        <v>0.0</v>
      </c>
      <c r="L1536" s="382">
        <v>1.0</v>
      </c>
    </row>
    <row r="1537">
      <c r="A1537" s="380" t="s">
        <v>2388</v>
      </c>
      <c r="B1537" s="380" t="str">
        <f>IFERROR(__xludf.DUMMYFUNCTION("""COMPUTED_VALUE"""),"Servidor Nas De 16 Tb")</f>
        <v>Servidor Nas De 16 Tb</v>
      </c>
      <c r="C1537" s="380" t="str">
        <f>IFERROR(__xludf.DUMMYFUNCTION("""COMPUTED_VALUE"""),"11000199")</f>
        <v>11000199</v>
      </c>
      <c r="D1537" s="380" t="s">
        <v>767</v>
      </c>
      <c r="E1537" s="380" t="s">
        <v>2305</v>
      </c>
      <c r="F1537" s="380" t="s">
        <v>2324</v>
      </c>
      <c r="G1537" s="380" t="s">
        <v>1267</v>
      </c>
      <c r="H1537" s="380" t="s">
        <v>771</v>
      </c>
      <c r="I1537" s="380" t="s">
        <v>2325</v>
      </c>
      <c r="J1537" s="380" t="s">
        <v>773</v>
      </c>
      <c r="K1537" s="381">
        <v>0.0</v>
      </c>
      <c r="L1537" s="382">
        <v>1.0</v>
      </c>
    </row>
    <row r="1538">
      <c r="A1538" s="380" t="s">
        <v>2389</v>
      </c>
      <c r="B1538" s="380" t="str">
        <f>IFERROR(__xludf.DUMMYFUNCTION("""COMPUTED_VALUE"""),"Monitor Con Ptos Vga Y Hdmi 19.5""")</f>
        <v>Monitor Con Ptos Vga Y Hdmi 19.5"</v>
      </c>
      <c r="C1538" s="380" t="str">
        <f>IFERROR(__xludf.DUMMYFUNCTION("""COMPUTED_VALUE"""),"11000200")</f>
        <v>11000200</v>
      </c>
      <c r="D1538" s="380" t="s">
        <v>767</v>
      </c>
      <c r="E1538" s="380" t="s">
        <v>2305</v>
      </c>
      <c r="F1538" s="380" t="s">
        <v>2324</v>
      </c>
      <c r="G1538" s="380" t="s">
        <v>1267</v>
      </c>
      <c r="H1538" s="380" t="s">
        <v>771</v>
      </c>
      <c r="I1538" s="380" t="s">
        <v>2325</v>
      </c>
      <c r="J1538" s="380" t="s">
        <v>773</v>
      </c>
      <c r="K1538" s="381">
        <v>0.0</v>
      </c>
      <c r="L1538" s="382">
        <v>1.0</v>
      </c>
    </row>
    <row r="1539">
      <c r="A1539" s="380" t="s">
        <v>2390</v>
      </c>
      <c r="B1539" s="380" t="str">
        <f>IFERROR(__xludf.DUMMYFUNCTION("""COMPUTED_VALUE"""),"Ups Trifasica De 10 Kva")</f>
        <v>Ups Trifasica De 10 Kva</v>
      </c>
      <c r="C1539" s="380" t="str">
        <f>IFERROR(__xludf.DUMMYFUNCTION("""COMPUTED_VALUE"""),"11000201")</f>
        <v>11000201</v>
      </c>
      <c r="D1539" s="380" t="s">
        <v>767</v>
      </c>
      <c r="E1539" s="380" t="s">
        <v>2305</v>
      </c>
      <c r="F1539" s="380" t="s">
        <v>2324</v>
      </c>
      <c r="G1539" s="380" t="s">
        <v>1267</v>
      </c>
      <c r="H1539" s="380" t="s">
        <v>771</v>
      </c>
      <c r="I1539" s="380" t="s">
        <v>2325</v>
      </c>
      <c r="J1539" s="380" t="s">
        <v>773</v>
      </c>
      <c r="K1539" s="381">
        <v>0.0</v>
      </c>
      <c r="L1539" s="382">
        <v>1.0</v>
      </c>
    </row>
    <row r="1540">
      <c r="A1540" s="380" t="s">
        <v>2391</v>
      </c>
      <c r="B1540" s="380" t="str">
        <f>IFERROR(__xludf.DUMMYFUNCTION("""COMPUTED_VALUE"""),"Aruba 2530 24g Switch")</f>
        <v>Aruba 2530 24g Switch</v>
      </c>
      <c r="C1540" s="380" t="str">
        <f>IFERROR(__xludf.DUMMYFUNCTION("""COMPUTED_VALUE"""),"11000202")</f>
        <v>11000202</v>
      </c>
      <c r="D1540" s="380" t="s">
        <v>767</v>
      </c>
      <c r="E1540" s="380" t="s">
        <v>2305</v>
      </c>
      <c r="F1540" s="380" t="s">
        <v>2324</v>
      </c>
      <c r="G1540" s="380" t="s">
        <v>1267</v>
      </c>
      <c r="H1540" s="380" t="s">
        <v>771</v>
      </c>
      <c r="I1540" s="380" t="s">
        <v>2325</v>
      </c>
      <c r="J1540" s="380" t="s">
        <v>773</v>
      </c>
      <c r="K1540" s="381">
        <v>0.0</v>
      </c>
      <c r="L1540" s="382">
        <v>1.0</v>
      </c>
    </row>
    <row r="1541">
      <c r="A1541" s="380" t="s">
        <v>2392</v>
      </c>
      <c r="B1541" s="380" t="str">
        <f>IFERROR(__xludf.DUMMYFUNCTION("""COMPUTED_VALUE"""),"Pc Lenovo Thinkcentre M720q Tiny")</f>
        <v>Pc Lenovo Thinkcentre M720q Tiny</v>
      </c>
      <c r="C1541" s="380" t="str">
        <f>IFERROR(__xludf.DUMMYFUNCTION("""COMPUTED_VALUE"""),"11000203")</f>
        <v>11000203</v>
      </c>
      <c r="D1541" s="380" t="s">
        <v>767</v>
      </c>
      <c r="E1541" s="380" t="s">
        <v>2305</v>
      </c>
      <c r="F1541" s="380" t="s">
        <v>2324</v>
      </c>
      <c r="G1541" s="380" t="s">
        <v>1267</v>
      </c>
      <c r="H1541" s="380" t="s">
        <v>771</v>
      </c>
      <c r="I1541" s="380" t="s">
        <v>2325</v>
      </c>
      <c r="J1541" s="380" t="s">
        <v>773</v>
      </c>
      <c r="K1541" s="381">
        <v>0.0</v>
      </c>
      <c r="L1541" s="382">
        <v>1.0</v>
      </c>
    </row>
    <row r="1542">
      <c r="A1542" s="380" t="s">
        <v>2393</v>
      </c>
      <c r="B1542" s="380" t="str">
        <f>IFERROR(__xludf.DUMMYFUNCTION("""COMPUTED_VALUE"""),"Nvr 768mbps 256Ch IpVideoDs-96256niI2424")</f>
        <v>Nvr 768mbps 256Ch IpVideoDs-96256niI2424</v>
      </c>
      <c r="C1542" s="380" t="str">
        <f>IFERROR(__xludf.DUMMYFUNCTION("""COMPUTED_VALUE"""),"11000204")</f>
        <v>11000204</v>
      </c>
      <c r="D1542" s="380" t="s">
        <v>767</v>
      </c>
      <c r="E1542" s="380" t="s">
        <v>2305</v>
      </c>
      <c r="F1542" s="380" t="s">
        <v>2324</v>
      </c>
      <c r="G1542" s="380" t="s">
        <v>1267</v>
      </c>
      <c r="H1542" s="380" t="s">
        <v>771</v>
      </c>
      <c r="I1542" s="380" t="s">
        <v>2325</v>
      </c>
      <c r="J1542" s="380" t="s">
        <v>773</v>
      </c>
      <c r="K1542" s="381">
        <v>0.0</v>
      </c>
      <c r="L1542" s="382">
        <v>1.0</v>
      </c>
    </row>
    <row r="1543">
      <c r="A1543" s="380" t="s">
        <v>2394</v>
      </c>
      <c r="B1543" s="380" t="str">
        <f>IFERROR(__xludf.DUMMYFUNCTION("""COMPUTED_VALUE"""),"Telefono Analogo Panasonic Ts500 Negro")</f>
        <v>Telefono Analogo Panasonic Ts500 Negro</v>
      </c>
      <c r="C1543" s="380" t="str">
        <f>IFERROR(__xludf.DUMMYFUNCTION("""COMPUTED_VALUE"""),"11000205")</f>
        <v>11000205</v>
      </c>
      <c r="D1543" s="380" t="s">
        <v>767</v>
      </c>
      <c r="E1543" s="380" t="s">
        <v>2305</v>
      </c>
      <c r="F1543" s="380" t="s">
        <v>2324</v>
      </c>
      <c r="G1543" s="380" t="s">
        <v>1267</v>
      </c>
      <c r="H1543" s="380" t="s">
        <v>771</v>
      </c>
      <c r="I1543" s="380" t="s">
        <v>2325</v>
      </c>
      <c r="J1543" s="380" t="s">
        <v>773</v>
      </c>
      <c r="K1543" s="381">
        <v>0.0</v>
      </c>
      <c r="L1543" s="382">
        <v>1.0</v>
      </c>
    </row>
    <row r="1544">
      <c r="A1544" s="380" t="s">
        <v>2395</v>
      </c>
      <c r="B1544" s="380" t="str">
        <f>IFERROR(__xludf.DUMMYFUNCTION("""COMPUTED_VALUE"""),"Aruba Ap 345")</f>
        <v>Aruba Ap 345</v>
      </c>
      <c r="C1544" s="380" t="str">
        <f>IFERROR(__xludf.DUMMYFUNCTION("""COMPUTED_VALUE"""),"11000206")</f>
        <v>11000206</v>
      </c>
      <c r="D1544" s="380" t="s">
        <v>767</v>
      </c>
      <c r="E1544" s="380" t="s">
        <v>2305</v>
      </c>
      <c r="F1544" s="380" t="s">
        <v>2324</v>
      </c>
      <c r="G1544" s="380" t="s">
        <v>1267</v>
      </c>
      <c r="H1544" s="380" t="s">
        <v>771</v>
      </c>
      <c r="I1544" s="380" t="s">
        <v>2325</v>
      </c>
      <c r="J1544" s="380" t="s">
        <v>773</v>
      </c>
      <c r="K1544" s="381">
        <v>0.0</v>
      </c>
      <c r="L1544" s="382">
        <v>1.0</v>
      </c>
    </row>
    <row r="1545">
      <c r="A1545" s="380" t="s">
        <v>2396</v>
      </c>
      <c r="B1545" s="380" t="str">
        <f>IFERROR(__xludf.DUMMYFUNCTION("""COMPUTED_VALUE"""),"Parlante Jabra Speak 510")</f>
        <v>Parlante Jabra Speak 510</v>
      </c>
      <c r="C1545" s="380" t="str">
        <f>IFERROR(__xludf.DUMMYFUNCTION("""COMPUTED_VALUE"""),"11000207")</f>
        <v>11000207</v>
      </c>
      <c r="D1545" s="380" t="s">
        <v>767</v>
      </c>
      <c r="E1545" s="380" t="s">
        <v>2305</v>
      </c>
      <c r="F1545" s="380" t="s">
        <v>2324</v>
      </c>
      <c r="G1545" s="380" t="s">
        <v>1267</v>
      </c>
      <c r="H1545" s="380" t="s">
        <v>771</v>
      </c>
      <c r="I1545" s="380" t="s">
        <v>2325</v>
      </c>
      <c r="J1545" s="380" t="s">
        <v>773</v>
      </c>
      <c r="K1545" s="381">
        <v>0.0</v>
      </c>
      <c r="L1545" s="382">
        <v>1.0</v>
      </c>
    </row>
    <row r="1546">
      <c r="A1546" s="380" t="s">
        <v>2397</v>
      </c>
      <c r="B1546" s="380" t="str">
        <f>IFERROR(__xludf.DUMMYFUNCTION("""COMPUTED_VALUE"""),"Impresora Kyocera M2640idw")</f>
        <v>Impresora Kyocera M2640idw</v>
      </c>
      <c r="C1546" s="380" t="str">
        <f>IFERROR(__xludf.DUMMYFUNCTION("""COMPUTED_VALUE"""),"11000208")</f>
        <v>11000208</v>
      </c>
      <c r="D1546" s="380" t="s">
        <v>767</v>
      </c>
      <c r="E1546" s="380" t="s">
        <v>2305</v>
      </c>
      <c r="F1546" s="380" t="s">
        <v>2324</v>
      </c>
      <c r="G1546" s="380" t="s">
        <v>1267</v>
      </c>
      <c r="H1546" s="380" t="s">
        <v>771</v>
      </c>
      <c r="I1546" s="380" t="s">
        <v>2325</v>
      </c>
      <c r="J1546" s="380" t="s">
        <v>773</v>
      </c>
      <c r="K1546" s="381">
        <v>0.0</v>
      </c>
      <c r="L1546" s="382">
        <v>1.0</v>
      </c>
    </row>
    <row r="1547">
      <c r="A1547" s="380" t="s">
        <v>2398</v>
      </c>
      <c r="B1547" s="380" t="str">
        <f>IFERROR(__xludf.DUMMYFUNCTION("""COMPUTED_VALUE"""),"Tablet Lenovo Za5g0097co 8""")</f>
        <v>Tablet Lenovo Za5g0097co 8"</v>
      </c>
      <c r="C1547" s="380" t="str">
        <f>IFERROR(__xludf.DUMMYFUNCTION("""COMPUTED_VALUE"""),"11000209")</f>
        <v>11000209</v>
      </c>
      <c r="D1547" s="380" t="s">
        <v>767</v>
      </c>
      <c r="E1547" s="380" t="s">
        <v>2305</v>
      </c>
      <c r="F1547" s="380" t="s">
        <v>2324</v>
      </c>
      <c r="G1547" s="380" t="s">
        <v>1267</v>
      </c>
      <c r="H1547" s="380" t="s">
        <v>771</v>
      </c>
      <c r="I1547" s="380" t="s">
        <v>2325</v>
      </c>
      <c r="J1547" s="380" t="s">
        <v>773</v>
      </c>
      <c r="K1547" s="381">
        <v>0.0</v>
      </c>
      <c r="L1547" s="382">
        <v>1.0</v>
      </c>
    </row>
    <row r="1548">
      <c r="A1548" s="380" t="s">
        <v>2399</v>
      </c>
      <c r="B1548" s="380" t="str">
        <f>IFERROR(__xludf.DUMMYFUNCTION("""COMPUTED_VALUE"""),"Impresora Kyocera Ecosys P3260dn")</f>
        <v>Impresora Kyocera Ecosys P3260dn</v>
      </c>
      <c r="C1548" s="380" t="str">
        <f>IFERROR(__xludf.DUMMYFUNCTION("""COMPUTED_VALUE"""),"11000210")</f>
        <v>11000210</v>
      </c>
      <c r="D1548" s="380" t="s">
        <v>767</v>
      </c>
      <c r="E1548" s="380" t="s">
        <v>2305</v>
      </c>
      <c r="F1548" s="380" t="s">
        <v>2324</v>
      </c>
      <c r="G1548" s="380" t="s">
        <v>1267</v>
      </c>
      <c r="H1548" s="380" t="s">
        <v>771</v>
      </c>
      <c r="I1548" s="380" t="s">
        <v>2325</v>
      </c>
      <c r="J1548" s="380" t="s">
        <v>773</v>
      </c>
      <c r="K1548" s="381">
        <v>0.0</v>
      </c>
      <c r="L1548" s="382">
        <v>1.0</v>
      </c>
    </row>
    <row r="1549">
      <c r="A1549" s="380" t="s">
        <v>2400</v>
      </c>
      <c r="B1549" s="380" t="str">
        <f>IFERROR(__xludf.DUMMYFUNCTION("""COMPUTED_VALUE"""),"Computador Imac 21.5"" Ci716 GbRamDd 1tb")</f>
        <v>Computador Imac 21.5" Ci716 GbRamDd 1tb</v>
      </c>
      <c r="C1549" s="380" t="str">
        <f>IFERROR(__xludf.DUMMYFUNCTION("""COMPUTED_VALUE"""),"11000211")</f>
        <v>11000211</v>
      </c>
      <c r="D1549" s="380" t="s">
        <v>767</v>
      </c>
      <c r="E1549" s="380" t="s">
        <v>2305</v>
      </c>
      <c r="F1549" s="380" t="s">
        <v>2324</v>
      </c>
      <c r="G1549" s="380" t="s">
        <v>1267</v>
      </c>
      <c r="H1549" s="380" t="s">
        <v>771</v>
      </c>
      <c r="I1549" s="380" t="s">
        <v>2325</v>
      </c>
      <c r="J1549" s="380" t="s">
        <v>773</v>
      </c>
      <c r="K1549" s="381">
        <v>0.0</v>
      </c>
      <c r="L1549" s="382">
        <v>1.0</v>
      </c>
    </row>
    <row r="1550">
      <c r="A1550" s="380" t="s">
        <v>2401</v>
      </c>
      <c r="B1550" s="380" t="str">
        <f>IFERROR(__xludf.DUMMYFUNCTION("""COMPUTED_VALUE"""),"Ups Apc Bv 1000")</f>
        <v>Ups Apc Bv 1000</v>
      </c>
      <c r="C1550" s="380" t="str">
        <f>IFERROR(__xludf.DUMMYFUNCTION("""COMPUTED_VALUE"""),"11000212")</f>
        <v>11000212</v>
      </c>
      <c r="D1550" s="380" t="s">
        <v>767</v>
      </c>
      <c r="E1550" s="380" t="s">
        <v>2305</v>
      </c>
      <c r="F1550" s="380" t="s">
        <v>2324</v>
      </c>
      <c r="G1550" s="380" t="s">
        <v>1267</v>
      </c>
      <c r="H1550" s="380" t="s">
        <v>771</v>
      </c>
      <c r="I1550" s="380" t="s">
        <v>2325</v>
      </c>
      <c r="J1550" s="380" t="s">
        <v>773</v>
      </c>
      <c r="K1550" s="381">
        <v>0.0</v>
      </c>
      <c r="L1550" s="382">
        <v>1.0</v>
      </c>
    </row>
    <row r="1551">
      <c r="A1551" s="380" t="s">
        <v>2402</v>
      </c>
      <c r="B1551" s="380" t="str">
        <f>IFERROR(__xludf.DUMMYFUNCTION("""COMPUTED_VALUE"""),"Portatil Hp 245 Gravado")</f>
        <v>Portatil Hp 245 Gravado</v>
      </c>
      <c r="C1551" s="380" t="str">
        <f>IFERROR(__xludf.DUMMYFUNCTION("""COMPUTED_VALUE"""),"11000213")</f>
        <v>11000213</v>
      </c>
      <c r="D1551" s="380" t="s">
        <v>767</v>
      </c>
      <c r="E1551" s="380" t="s">
        <v>2305</v>
      </c>
      <c r="F1551" s="380" t="s">
        <v>2324</v>
      </c>
      <c r="G1551" s="380" t="s">
        <v>1267</v>
      </c>
      <c r="H1551" s="380" t="s">
        <v>771</v>
      </c>
      <c r="I1551" s="380" t="s">
        <v>2325</v>
      </c>
      <c r="J1551" s="380" t="s">
        <v>773</v>
      </c>
      <c r="K1551" s="381">
        <v>0.0</v>
      </c>
      <c r="L1551" s="382">
        <v>1.0</v>
      </c>
    </row>
    <row r="1552">
      <c r="A1552" s="380" t="s">
        <v>2403</v>
      </c>
      <c r="B1552" s="380" t="str">
        <f>IFERROR(__xludf.DUMMYFUNCTION("""COMPUTED_VALUE"""),"Router Lte D-Link")</f>
        <v>Router Lte D-Link</v>
      </c>
      <c r="C1552" s="380" t="str">
        <f>IFERROR(__xludf.DUMMYFUNCTION("""COMPUTED_VALUE"""),"11000214")</f>
        <v>11000214</v>
      </c>
      <c r="D1552" s="380" t="s">
        <v>767</v>
      </c>
      <c r="E1552" s="380" t="s">
        <v>2305</v>
      </c>
      <c r="F1552" s="380" t="s">
        <v>2324</v>
      </c>
      <c r="G1552" s="380" t="s">
        <v>1267</v>
      </c>
      <c r="H1552" s="380" t="s">
        <v>771</v>
      </c>
      <c r="I1552" s="380" t="s">
        <v>2325</v>
      </c>
      <c r="J1552" s="380" t="s">
        <v>773</v>
      </c>
      <c r="K1552" s="381">
        <v>0.0</v>
      </c>
      <c r="L1552" s="382">
        <v>1.0</v>
      </c>
    </row>
    <row r="1553">
      <c r="A1553" s="380" t="s">
        <v>2404</v>
      </c>
      <c r="B1553" s="380" t="str">
        <f>IFERROR(__xludf.DUMMYFUNCTION("""COMPUTED_VALUE"""),"Switch Poe De 8 Puertos")</f>
        <v>Switch Poe De 8 Puertos</v>
      </c>
      <c r="C1553" s="380" t="str">
        <f>IFERROR(__xludf.DUMMYFUNCTION("""COMPUTED_VALUE"""),"11000215")</f>
        <v>11000215</v>
      </c>
      <c r="D1553" s="380" t="s">
        <v>767</v>
      </c>
      <c r="E1553" s="380" t="s">
        <v>2305</v>
      </c>
      <c r="F1553" s="380" t="s">
        <v>2324</v>
      </c>
      <c r="G1553" s="380" t="s">
        <v>1267</v>
      </c>
      <c r="H1553" s="380" t="s">
        <v>771</v>
      </c>
      <c r="I1553" s="380" t="s">
        <v>2325</v>
      </c>
      <c r="J1553" s="380" t="s">
        <v>773</v>
      </c>
      <c r="K1553" s="381">
        <v>0.0</v>
      </c>
      <c r="L1553" s="382">
        <v>1.0</v>
      </c>
    </row>
    <row r="1554">
      <c r="A1554" s="380" t="s">
        <v>2405</v>
      </c>
      <c r="B1554" s="380" t="str">
        <f>IFERROR(__xludf.DUMMYFUNCTION("""COMPUTED_VALUE"""),"Ups De 3kva A 110v Marca Eaton O Cdp")</f>
        <v>Ups De 3kva A 110v Marca Eaton O Cdp</v>
      </c>
      <c r="C1554" s="380" t="str">
        <f>IFERROR(__xludf.DUMMYFUNCTION("""COMPUTED_VALUE"""),"11000216")</f>
        <v>11000216</v>
      </c>
      <c r="D1554" s="380" t="s">
        <v>767</v>
      </c>
      <c r="E1554" s="380" t="s">
        <v>2305</v>
      </c>
      <c r="F1554" s="380" t="s">
        <v>2324</v>
      </c>
      <c r="G1554" s="380" t="s">
        <v>1267</v>
      </c>
      <c r="H1554" s="380" t="s">
        <v>771</v>
      </c>
      <c r="I1554" s="380" t="s">
        <v>2325</v>
      </c>
      <c r="J1554" s="380" t="s">
        <v>773</v>
      </c>
      <c r="K1554" s="381">
        <v>0.0</v>
      </c>
      <c r="L1554" s="382">
        <v>1.0</v>
      </c>
    </row>
    <row r="1555">
      <c r="A1555" s="380" t="s">
        <v>2406</v>
      </c>
      <c r="B1555" s="380" t="str">
        <f>IFERROR(__xludf.DUMMYFUNCTION("""COMPUTED_VALUE"""),"Web Cam Logitech")</f>
        <v>Web Cam Logitech</v>
      </c>
      <c r="C1555" s="380" t="str">
        <f>IFERROR(__xludf.DUMMYFUNCTION("""COMPUTED_VALUE"""),"11000217")</f>
        <v>11000217</v>
      </c>
      <c r="D1555" s="380" t="s">
        <v>767</v>
      </c>
      <c r="E1555" s="380" t="s">
        <v>2305</v>
      </c>
      <c r="F1555" s="380" t="s">
        <v>2324</v>
      </c>
      <c r="G1555" s="380" t="s">
        <v>1267</v>
      </c>
      <c r="H1555" s="380" t="s">
        <v>771</v>
      </c>
      <c r="I1555" s="380" t="s">
        <v>2325</v>
      </c>
      <c r="J1555" s="380" t="s">
        <v>773</v>
      </c>
      <c r="K1555" s="381">
        <v>0.0</v>
      </c>
      <c r="L1555" s="382">
        <v>1.0</v>
      </c>
    </row>
    <row r="1556">
      <c r="A1556" s="380" t="s">
        <v>2407</v>
      </c>
      <c r="B1556" s="380" t="str">
        <f>IFERROR(__xludf.DUMMYFUNCTION("""COMPUTED_VALUE"""),"Grabador NvrHikvision 4Can Ds7604niQ1/4p")</f>
        <v>Grabador NvrHikvision 4Can Ds7604niQ1/4p</v>
      </c>
      <c r="C1556" s="380" t="str">
        <f>IFERROR(__xludf.DUMMYFUNCTION("""COMPUTED_VALUE"""),"11000218")</f>
        <v>11000218</v>
      </c>
      <c r="D1556" s="380" t="s">
        <v>767</v>
      </c>
      <c r="E1556" s="380" t="s">
        <v>2305</v>
      </c>
      <c r="F1556" s="380" t="s">
        <v>2324</v>
      </c>
      <c r="G1556" s="380" t="s">
        <v>1267</v>
      </c>
      <c r="H1556" s="380" t="s">
        <v>771</v>
      </c>
      <c r="I1556" s="380" t="s">
        <v>2325</v>
      </c>
      <c r="J1556" s="380" t="s">
        <v>773</v>
      </c>
      <c r="K1556" s="381">
        <v>0.0</v>
      </c>
      <c r="L1556" s="382">
        <v>1.0</v>
      </c>
    </row>
    <row r="1557">
      <c r="A1557" s="380" t="s">
        <v>2408</v>
      </c>
      <c r="B1557" s="380" t="str">
        <f>IFERROR(__xludf.DUMMYFUNCTION("""COMPUTED_VALUE"""),"Disco Duro Externo 4 Tb")</f>
        <v>Disco Duro Externo 4 Tb</v>
      </c>
      <c r="C1557" s="380" t="str">
        <f>IFERROR(__xludf.DUMMYFUNCTION("""COMPUTED_VALUE"""),"11000219")</f>
        <v>11000219</v>
      </c>
      <c r="D1557" s="380" t="s">
        <v>767</v>
      </c>
      <c r="E1557" s="380" t="s">
        <v>2305</v>
      </c>
      <c r="F1557" s="380" t="s">
        <v>2324</v>
      </c>
      <c r="G1557" s="380" t="s">
        <v>1267</v>
      </c>
      <c r="H1557" s="380" t="s">
        <v>771</v>
      </c>
      <c r="I1557" s="380" t="s">
        <v>2325</v>
      </c>
      <c r="J1557" s="380" t="s">
        <v>773</v>
      </c>
      <c r="K1557" s="381">
        <v>0.0</v>
      </c>
      <c r="L1557" s="382">
        <v>1.0</v>
      </c>
    </row>
    <row r="1558">
      <c r="A1558" s="380" t="s">
        <v>2409</v>
      </c>
      <c r="B1558" s="380" t="str">
        <f>IFERROR(__xludf.DUMMYFUNCTION("""COMPUTED_VALUE"""),"Portatil Hp Probook 450 Ultima Gen")</f>
        <v>Portatil Hp Probook 450 Ultima Gen</v>
      </c>
      <c r="C1558" s="380" t="str">
        <f>IFERROR(__xludf.DUMMYFUNCTION("""COMPUTED_VALUE"""),"11000220")</f>
        <v>11000220</v>
      </c>
      <c r="D1558" s="380" t="s">
        <v>767</v>
      </c>
      <c r="E1558" s="380" t="s">
        <v>2305</v>
      </c>
      <c r="F1558" s="380" t="s">
        <v>2324</v>
      </c>
      <c r="G1558" s="380" t="s">
        <v>1267</v>
      </c>
      <c r="H1558" s="380" t="s">
        <v>771</v>
      </c>
      <c r="I1558" s="380" t="s">
        <v>2325</v>
      </c>
      <c r="J1558" s="380" t="s">
        <v>773</v>
      </c>
      <c r="K1558" s="381">
        <v>0.0</v>
      </c>
      <c r="L1558" s="382">
        <v>1.0</v>
      </c>
    </row>
    <row r="1559">
      <c r="A1559" s="380" t="s">
        <v>2410</v>
      </c>
      <c r="B1559" s="380" t="str">
        <f>IFERROR(__xludf.DUMMYFUNCTION("""COMPUTED_VALUE"""),"Camara Mini Domo Hikvision Ds2cd1121i")</f>
        <v>Camara Mini Domo Hikvision Ds2cd1121i</v>
      </c>
      <c r="C1559" s="380" t="str">
        <f>IFERROR(__xludf.DUMMYFUNCTION("""COMPUTED_VALUE"""),"11000221")</f>
        <v>11000221</v>
      </c>
      <c r="D1559" s="380" t="s">
        <v>767</v>
      </c>
      <c r="E1559" s="380" t="s">
        <v>2305</v>
      </c>
      <c r="F1559" s="380" t="s">
        <v>2324</v>
      </c>
      <c r="G1559" s="380" t="s">
        <v>1267</v>
      </c>
      <c r="H1559" s="380" t="s">
        <v>771</v>
      </c>
      <c r="I1559" s="380" t="s">
        <v>2325</v>
      </c>
      <c r="J1559" s="380" t="s">
        <v>773</v>
      </c>
      <c r="K1559" s="381">
        <v>0.0</v>
      </c>
      <c r="L1559" s="382">
        <v>1.0</v>
      </c>
    </row>
    <row r="1560">
      <c r="A1560" s="380" t="s">
        <v>2411</v>
      </c>
      <c r="B1560" s="380" t="str">
        <f>IFERROR(__xludf.DUMMYFUNCTION("""COMPUTED_VALUE"""),"Monitor Samsung 22'' Led Ls22f355fhlxzl")</f>
        <v>Monitor Samsung 22'' Led Ls22f355fhlxzl</v>
      </c>
      <c r="C1560" s="380" t="str">
        <f>IFERROR(__xludf.DUMMYFUNCTION("""COMPUTED_VALUE"""),"11000222")</f>
        <v>11000222</v>
      </c>
      <c r="D1560" s="380" t="s">
        <v>767</v>
      </c>
      <c r="E1560" s="380" t="s">
        <v>2305</v>
      </c>
      <c r="F1560" s="380" t="s">
        <v>2324</v>
      </c>
      <c r="G1560" s="380" t="s">
        <v>1267</v>
      </c>
      <c r="H1560" s="380" t="s">
        <v>771</v>
      </c>
      <c r="I1560" s="380" t="s">
        <v>2325</v>
      </c>
      <c r="J1560" s="380" t="s">
        <v>773</v>
      </c>
      <c r="K1560" s="381">
        <v>0.0</v>
      </c>
      <c r="L1560" s="382">
        <v>1.0</v>
      </c>
    </row>
    <row r="1561">
      <c r="A1561" s="380" t="s">
        <v>2412</v>
      </c>
      <c r="B1561" s="380" t="str">
        <f>IFERROR(__xludf.DUMMYFUNCTION("""COMPUTED_VALUE"""),"Mac Book Pro De 13"" Ci5 7g512Ssd16gbRam")</f>
        <v>Mac Book Pro De 13" Ci5 7g512Ssd16gbRam</v>
      </c>
      <c r="C1561" s="380" t="str">
        <f>IFERROR(__xludf.DUMMYFUNCTION("""COMPUTED_VALUE"""),"11000223")</f>
        <v>11000223</v>
      </c>
      <c r="D1561" s="380" t="s">
        <v>767</v>
      </c>
      <c r="E1561" s="380" t="s">
        <v>2305</v>
      </c>
      <c r="F1561" s="380" t="s">
        <v>2324</v>
      </c>
      <c r="G1561" s="380" t="s">
        <v>1267</v>
      </c>
      <c r="H1561" s="380" t="s">
        <v>771</v>
      </c>
      <c r="I1561" s="380" t="s">
        <v>2325</v>
      </c>
      <c r="J1561" s="380" t="s">
        <v>773</v>
      </c>
      <c r="K1561" s="381">
        <v>0.0</v>
      </c>
      <c r="L1561" s="382">
        <v>1.0</v>
      </c>
    </row>
    <row r="1562">
      <c r="A1562" s="380" t="s">
        <v>2413</v>
      </c>
      <c r="B1562" s="380" t="str">
        <f>IFERROR(__xludf.DUMMYFUNCTION("""COMPUTED_VALUE"""),"Juego Par Usb Pc Log S150(2.0) 1.2 VRms2")</f>
        <v>Juego Par Usb Pc Log S150(2.0) 1.2 VRms2</v>
      </c>
      <c r="C1562" s="380" t="str">
        <f>IFERROR(__xludf.DUMMYFUNCTION("""COMPUTED_VALUE"""),"11000224")</f>
        <v>11000224</v>
      </c>
      <c r="D1562" s="380" t="s">
        <v>767</v>
      </c>
      <c r="E1562" s="380" t="s">
        <v>2305</v>
      </c>
      <c r="F1562" s="380" t="s">
        <v>2324</v>
      </c>
      <c r="G1562" s="380" t="s">
        <v>1267</v>
      </c>
      <c r="H1562" s="380" t="s">
        <v>771</v>
      </c>
      <c r="I1562" s="380" t="s">
        <v>2325</v>
      </c>
      <c r="J1562" s="380" t="s">
        <v>773</v>
      </c>
      <c r="K1562" s="381">
        <v>0.0</v>
      </c>
      <c r="L1562" s="382">
        <v>1.0</v>
      </c>
    </row>
    <row r="1563">
      <c r="A1563" s="380" t="s">
        <v>2414</v>
      </c>
      <c r="B1563" s="380" t="str">
        <f>IFERROR(__xludf.DUMMYFUNCTION("""COMPUTED_VALUE"""),"Impresora Kyocera Fs-P2040dw")</f>
        <v>Impresora Kyocera Fs-P2040dw</v>
      </c>
      <c r="C1563" s="380" t="str">
        <f>IFERROR(__xludf.DUMMYFUNCTION("""COMPUTED_VALUE"""),"11000225")</f>
        <v>11000225</v>
      </c>
      <c r="D1563" s="380" t="s">
        <v>767</v>
      </c>
      <c r="E1563" s="380" t="s">
        <v>2305</v>
      </c>
      <c r="F1563" s="380" t="s">
        <v>2324</v>
      </c>
      <c r="G1563" s="380" t="s">
        <v>1267</v>
      </c>
      <c r="H1563" s="380" t="s">
        <v>771</v>
      </c>
      <c r="I1563" s="380" t="s">
        <v>2325</v>
      </c>
      <c r="J1563" s="380" t="s">
        <v>773</v>
      </c>
      <c r="K1563" s="381">
        <v>0.0</v>
      </c>
      <c r="L1563" s="382">
        <v>1.0</v>
      </c>
    </row>
    <row r="1564">
      <c r="A1564" s="380" t="s">
        <v>2415</v>
      </c>
      <c r="B1564" s="380" t="str">
        <f>IFERROR(__xludf.DUMMYFUNCTION("""COMPUTED_VALUE"""),"Impresora Zd420")</f>
        <v>Impresora Zd420</v>
      </c>
      <c r="C1564" s="380" t="str">
        <f>IFERROR(__xludf.DUMMYFUNCTION("""COMPUTED_VALUE"""),"11000226")</f>
        <v>11000226</v>
      </c>
      <c r="D1564" s="380" t="s">
        <v>767</v>
      </c>
      <c r="E1564" s="380" t="s">
        <v>2305</v>
      </c>
      <c r="F1564" s="380" t="s">
        <v>2324</v>
      </c>
      <c r="G1564" s="380" t="s">
        <v>1267</v>
      </c>
      <c r="H1564" s="380" t="s">
        <v>771</v>
      </c>
      <c r="I1564" s="380" t="s">
        <v>2325</v>
      </c>
      <c r="J1564" s="380" t="s">
        <v>773</v>
      </c>
      <c r="K1564" s="381">
        <v>0.0</v>
      </c>
      <c r="L1564" s="382">
        <v>1.0</v>
      </c>
    </row>
    <row r="1565">
      <c r="A1565" s="380" t="s">
        <v>2416</v>
      </c>
      <c r="B1565" s="380" t="str">
        <f>IFERROR(__xludf.DUMMYFUNCTION("""COMPUTED_VALUE"""),"Impresora Fs-P3145dn (Impresora Sen)")</f>
        <v>Impresora Fs-P3145dn (Impresora Sen)</v>
      </c>
      <c r="C1565" s="380" t="str">
        <f>IFERROR(__xludf.DUMMYFUNCTION("""COMPUTED_VALUE"""),"11000227")</f>
        <v>11000227</v>
      </c>
      <c r="D1565" s="380" t="s">
        <v>767</v>
      </c>
      <c r="E1565" s="380" t="s">
        <v>2305</v>
      </c>
      <c r="F1565" s="380" t="s">
        <v>2324</v>
      </c>
      <c r="G1565" s="380" t="s">
        <v>1267</v>
      </c>
      <c r="H1565" s="380" t="s">
        <v>771</v>
      </c>
      <c r="I1565" s="380" t="s">
        <v>2325</v>
      </c>
      <c r="J1565" s="380" t="s">
        <v>773</v>
      </c>
      <c r="K1565" s="381">
        <v>0.0</v>
      </c>
      <c r="L1565" s="382">
        <v>1.0</v>
      </c>
    </row>
    <row r="1566">
      <c r="A1566" s="380" t="s">
        <v>2417</v>
      </c>
      <c r="B1566" s="380" t="str">
        <f>IFERROR(__xludf.DUMMYFUNCTION("""COMPUTED_VALUE"""),"Fortigate-200e Bdl-900-36")</f>
        <v>Fortigate-200e Bdl-900-36</v>
      </c>
      <c r="C1566" s="380" t="str">
        <f>IFERROR(__xludf.DUMMYFUNCTION("""COMPUTED_VALUE"""),"11000228")</f>
        <v>11000228</v>
      </c>
      <c r="D1566" s="380" t="s">
        <v>767</v>
      </c>
      <c r="E1566" s="380" t="s">
        <v>2305</v>
      </c>
      <c r="F1566" s="380" t="s">
        <v>2324</v>
      </c>
      <c r="G1566" s="380" t="s">
        <v>1267</v>
      </c>
      <c r="H1566" s="380" t="s">
        <v>771</v>
      </c>
      <c r="I1566" s="380" t="s">
        <v>2325</v>
      </c>
      <c r="J1566" s="380" t="s">
        <v>773</v>
      </c>
      <c r="K1566" s="381">
        <v>0.0</v>
      </c>
      <c r="L1566" s="382">
        <v>1.0</v>
      </c>
    </row>
    <row r="1567">
      <c r="A1567" s="380" t="s">
        <v>2418</v>
      </c>
      <c r="B1567" s="380" t="str">
        <f>IFERROR(__xludf.DUMMYFUNCTION("""COMPUTED_VALUE"""),"Camara Reconocimi Fac Bala Hikvision")</f>
        <v>Camara Reconocimi Fac Bala Hikvision</v>
      </c>
      <c r="C1567" s="380" t="str">
        <f>IFERROR(__xludf.DUMMYFUNCTION("""COMPUTED_VALUE"""),"11000229")</f>
        <v>11000229</v>
      </c>
      <c r="D1567" s="380" t="s">
        <v>767</v>
      </c>
      <c r="E1567" s="380" t="s">
        <v>2305</v>
      </c>
      <c r="F1567" s="380" t="s">
        <v>2324</v>
      </c>
      <c r="G1567" s="380" t="s">
        <v>1267</v>
      </c>
      <c r="H1567" s="380" t="s">
        <v>771</v>
      </c>
      <c r="I1567" s="380" t="s">
        <v>2325</v>
      </c>
      <c r="J1567" s="380" t="s">
        <v>773</v>
      </c>
      <c r="K1567" s="381">
        <v>0.0</v>
      </c>
      <c r="L1567" s="382">
        <v>1.0</v>
      </c>
    </row>
    <row r="1568">
      <c r="A1568" s="380" t="s">
        <v>2419</v>
      </c>
      <c r="B1568" s="380" t="str">
        <f>IFERROR(__xludf.DUMMYFUNCTION("""COMPUTED_VALUE"""),"Zebra Tc20")</f>
        <v>Zebra Tc20</v>
      </c>
      <c r="C1568" s="380" t="str">
        <f>IFERROR(__xludf.DUMMYFUNCTION("""COMPUTED_VALUE"""),"11000230")</f>
        <v>11000230</v>
      </c>
      <c r="D1568" s="380" t="s">
        <v>767</v>
      </c>
      <c r="E1568" s="380" t="s">
        <v>2305</v>
      </c>
      <c r="F1568" s="380" t="s">
        <v>2324</v>
      </c>
      <c r="G1568" s="380" t="s">
        <v>1267</v>
      </c>
      <c r="H1568" s="380" t="s">
        <v>771</v>
      </c>
      <c r="I1568" s="380" t="s">
        <v>2325</v>
      </c>
      <c r="J1568" s="380" t="s">
        <v>773</v>
      </c>
      <c r="K1568" s="381">
        <v>0.0</v>
      </c>
      <c r="L1568" s="382">
        <v>1.0</v>
      </c>
    </row>
    <row r="1569">
      <c r="A1569" s="380" t="s">
        <v>2420</v>
      </c>
      <c r="B1569" s="380" t="str">
        <f>IFERROR(__xludf.DUMMYFUNCTION("""COMPUTED_VALUE"""),"Interface De Conexión Nexiq")</f>
        <v>Interface De Conexión Nexiq</v>
      </c>
      <c r="C1569" s="380" t="str">
        <f>IFERROR(__xludf.DUMMYFUNCTION("""COMPUTED_VALUE"""),"11000231")</f>
        <v>11000231</v>
      </c>
      <c r="D1569" s="380" t="s">
        <v>767</v>
      </c>
      <c r="E1569" s="380" t="s">
        <v>2305</v>
      </c>
      <c r="F1569" s="380" t="s">
        <v>2324</v>
      </c>
      <c r="G1569" s="380" t="s">
        <v>1267</v>
      </c>
      <c r="H1569" s="380" t="s">
        <v>771</v>
      </c>
      <c r="I1569" s="380" t="s">
        <v>2325</v>
      </c>
      <c r="J1569" s="380" t="s">
        <v>773</v>
      </c>
      <c r="K1569" s="381">
        <v>0.0</v>
      </c>
      <c r="L1569" s="382">
        <v>1.0</v>
      </c>
    </row>
    <row r="1570">
      <c r="A1570" s="380" t="s">
        <v>2421</v>
      </c>
      <c r="B1570" s="380" t="str">
        <f>IFERROR(__xludf.DUMMYFUNCTION("""COMPUTED_VALUE"""),"Tractocamion Daf")</f>
        <v>Tractocamion Daf</v>
      </c>
      <c r="C1570" s="380" t="str">
        <f>IFERROR(__xludf.DUMMYFUNCTION("""COMPUTED_VALUE"""),"11000232")</f>
        <v>11000232</v>
      </c>
      <c r="D1570" s="380" t="s">
        <v>767</v>
      </c>
      <c r="E1570" s="380" t="s">
        <v>2305</v>
      </c>
      <c r="F1570" s="380" t="s">
        <v>2422</v>
      </c>
      <c r="G1570" s="380" t="s">
        <v>1267</v>
      </c>
      <c r="H1570" s="380" t="s">
        <v>771</v>
      </c>
      <c r="I1570" s="380" t="s">
        <v>2423</v>
      </c>
      <c r="J1570" s="380" t="s">
        <v>773</v>
      </c>
      <c r="K1570" s="381">
        <v>0.0</v>
      </c>
      <c r="L1570" s="382">
        <v>1.0</v>
      </c>
    </row>
    <row r="1571">
      <c r="A1571" s="380" t="s">
        <v>2424</v>
      </c>
      <c r="B1571" s="380" t="str">
        <f>IFERROR(__xludf.DUMMYFUNCTION("""COMPUTED_VALUE"""),"Van Electrica Jac Sunray")</f>
        <v>Van Electrica Jac Sunray</v>
      </c>
      <c r="C1571" s="380" t="str">
        <f>IFERROR(__xludf.DUMMYFUNCTION("""COMPUTED_VALUE"""),"11000233")</f>
        <v>11000233</v>
      </c>
      <c r="D1571" s="380" t="s">
        <v>767</v>
      </c>
      <c r="E1571" s="380" t="s">
        <v>2305</v>
      </c>
      <c r="F1571" s="380" t="s">
        <v>2422</v>
      </c>
      <c r="G1571" s="380" t="s">
        <v>1267</v>
      </c>
      <c r="H1571" s="380" t="s">
        <v>771</v>
      </c>
      <c r="I1571" s="380" t="s">
        <v>2423</v>
      </c>
      <c r="J1571" s="380" t="s">
        <v>773</v>
      </c>
      <c r="K1571" s="381">
        <v>0.0</v>
      </c>
      <c r="L1571" s="382">
        <v>1.0</v>
      </c>
    </row>
    <row r="1572">
      <c r="A1572" s="380" t="s">
        <v>2425</v>
      </c>
      <c r="B1572" s="380" t="str">
        <f>IFERROR(__xludf.DUMMYFUNCTION("""COMPUTED_VALUE"""),"Remolque Tipo Furgon Tiro Arrastre Moto")</f>
        <v>Remolque Tipo Furgon Tiro Arrastre Moto</v>
      </c>
      <c r="C1572" s="380" t="str">
        <f>IFERROR(__xludf.DUMMYFUNCTION("""COMPUTED_VALUE"""),"11000234")</f>
        <v>11000234</v>
      </c>
      <c r="D1572" s="380" t="s">
        <v>767</v>
      </c>
      <c r="E1572" s="380" t="s">
        <v>2305</v>
      </c>
      <c r="F1572" s="380" t="s">
        <v>2422</v>
      </c>
      <c r="G1572" s="380" t="s">
        <v>1267</v>
      </c>
      <c r="H1572" s="380" t="s">
        <v>771</v>
      </c>
      <c r="I1572" s="380" t="s">
        <v>2423</v>
      </c>
      <c r="J1572" s="380" t="s">
        <v>773</v>
      </c>
      <c r="K1572" s="381">
        <v>0.0</v>
      </c>
      <c r="L1572" s="382">
        <v>1.0</v>
      </c>
    </row>
    <row r="1573">
      <c r="A1573" s="380" t="s">
        <v>2426</v>
      </c>
      <c r="B1573" s="380" t="str">
        <f>IFERROR(__xludf.DUMMYFUNCTION("""COMPUTED_VALUE"""),"Caja Seg Para Almacenar Armamento Inssat")</f>
        <v>Caja Seg Para Almacenar Armamento Inssat</v>
      </c>
      <c r="C1573" s="380" t="str">
        <f>IFERROR(__xludf.DUMMYFUNCTION("""COMPUTED_VALUE"""),"11000235")</f>
        <v>11000235</v>
      </c>
      <c r="D1573" s="380" t="s">
        <v>767</v>
      </c>
      <c r="E1573" s="380" t="s">
        <v>2305</v>
      </c>
      <c r="F1573" s="380" t="s">
        <v>2427</v>
      </c>
      <c r="G1573" s="380" t="s">
        <v>1267</v>
      </c>
      <c r="H1573" s="380" t="s">
        <v>771</v>
      </c>
      <c r="I1573" s="380" t="s">
        <v>2428</v>
      </c>
      <c r="J1573" s="380" t="s">
        <v>773</v>
      </c>
      <c r="K1573" s="381">
        <v>0.0</v>
      </c>
      <c r="L1573" s="382">
        <v>1.0</v>
      </c>
    </row>
    <row r="1574">
      <c r="A1574" s="380" t="s">
        <v>2429</v>
      </c>
      <c r="B1574" s="380" t="str">
        <f>IFERROR(__xludf.DUMMYFUNCTION("""COMPUTED_VALUE"""),"Radio Motorola Rva50 Vhf Antena Larga")</f>
        <v>Radio Motorola Rva50 Vhf Antena Larga</v>
      </c>
      <c r="C1574" s="380" t="str">
        <f>IFERROR(__xludf.DUMMYFUNCTION("""COMPUTED_VALUE"""),"11000236")</f>
        <v>11000236</v>
      </c>
      <c r="D1574" s="380" t="s">
        <v>767</v>
      </c>
      <c r="E1574" s="380" t="s">
        <v>2305</v>
      </c>
      <c r="F1574" s="380" t="s">
        <v>2324</v>
      </c>
      <c r="G1574" s="380" t="s">
        <v>1267</v>
      </c>
      <c r="H1574" s="380" t="s">
        <v>771</v>
      </c>
      <c r="I1574" s="380" t="s">
        <v>2325</v>
      </c>
      <c r="J1574" s="380" t="s">
        <v>773</v>
      </c>
      <c r="K1574" s="381">
        <v>0.0</v>
      </c>
      <c r="L1574" s="382">
        <v>1.0</v>
      </c>
    </row>
    <row r="1575">
      <c r="A1575" s="380" t="s">
        <v>2430</v>
      </c>
      <c r="B1575" s="380" t="str">
        <f>IFERROR(__xludf.DUMMYFUNCTION("""COMPUTED_VALUE"""),"Impresora Kyocera M-2040 Multifuncional")</f>
        <v>Impresora Kyocera M-2040 Multifuncional</v>
      </c>
      <c r="C1575" s="380" t="str">
        <f>IFERROR(__xludf.DUMMYFUNCTION("""COMPUTED_VALUE"""),"11000237")</f>
        <v>11000237</v>
      </c>
      <c r="D1575" s="380" t="s">
        <v>767</v>
      </c>
      <c r="E1575" s="380" t="s">
        <v>2305</v>
      </c>
      <c r="F1575" s="380" t="s">
        <v>2324</v>
      </c>
      <c r="G1575" s="380" t="s">
        <v>1267</v>
      </c>
      <c r="H1575" s="380" t="s">
        <v>771</v>
      </c>
      <c r="I1575" s="380" t="s">
        <v>2325</v>
      </c>
      <c r="J1575" s="380" t="s">
        <v>773</v>
      </c>
      <c r="K1575" s="381">
        <v>0.0</v>
      </c>
      <c r="L1575" s="382">
        <v>1.0</v>
      </c>
    </row>
    <row r="1576">
      <c r="A1576" s="380" t="s">
        <v>2431</v>
      </c>
      <c r="B1576" s="380" t="str">
        <f>IFERROR(__xludf.DUMMYFUNCTION("""COMPUTED_VALUE"""),"Access Point Ubiquiti Ac Pro")</f>
        <v>Access Point Ubiquiti Ac Pro</v>
      </c>
      <c r="C1576" s="380" t="str">
        <f>IFERROR(__xludf.DUMMYFUNCTION("""COMPUTED_VALUE"""),"11000238")</f>
        <v>11000238</v>
      </c>
      <c r="D1576" s="380" t="s">
        <v>767</v>
      </c>
      <c r="E1576" s="380" t="s">
        <v>2305</v>
      </c>
      <c r="F1576" s="380" t="s">
        <v>2324</v>
      </c>
      <c r="G1576" s="380" t="s">
        <v>1267</v>
      </c>
      <c r="H1576" s="380" t="s">
        <v>771</v>
      </c>
      <c r="I1576" s="380" t="s">
        <v>2325</v>
      </c>
      <c r="J1576" s="380" t="s">
        <v>773</v>
      </c>
      <c r="K1576" s="381">
        <v>0.0</v>
      </c>
      <c r="L1576" s="382">
        <v>1.0</v>
      </c>
    </row>
    <row r="1577">
      <c r="A1577" s="380" t="s">
        <v>2432</v>
      </c>
      <c r="B1577" s="380" t="str">
        <f>IFERROR(__xludf.DUMMYFUNCTION("""COMPUTED_VALUE"""),"Escaner Fujitsu Fi-7160 (Usb 3.0)")</f>
        <v>Escaner Fujitsu Fi-7160 (Usb 3.0)</v>
      </c>
      <c r="C1577" s="380" t="str">
        <f>IFERROR(__xludf.DUMMYFUNCTION("""COMPUTED_VALUE"""),"11000239")</f>
        <v>11000239</v>
      </c>
      <c r="D1577" s="380" t="s">
        <v>767</v>
      </c>
      <c r="E1577" s="380" t="s">
        <v>2305</v>
      </c>
      <c r="F1577" s="380" t="s">
        <v>2324</v>
      </c>
      <c r="G1577" s="380" t="s">
        <v>1267</v>
      </c>
      <c r="H1577" s="380" t="s">
        <v>771</v>
      </c>
      <c r="I1577" s="380" t="s">
        <v>2325</v>
      </c>
      <c r="J1577" s="380" t="s">
        <v>773</v>
      </c>
      <c r="K1577" s="381">
        <v>0.0</v>
      </c>
      <c r="L1577" s="382">
        <v>1.0</v>
      </c>
    </row>
    <row r="1578">
      <c r="A1578" s="380" t="s">
        <v>2433</v>
      </c>
      <c r="B1578" s="380" t="str">
        <f>IFERROR(__xludf.DUMMYFUNCTION("""COMPUTED_VALUE"""),"Portatil De 13"" Hp 430")</f>
        <v>Portatil De 13" Hp 430</v>
      </c>
      <c r="C1578" s="380" t="str">
        <f>IFERROR(__xludf.DUMMYFUNCTION("""COMPUTED_VALUE"""),"11000240")</f>
        <v>11000240</v>
      </c>
      <c r="D1578" s="380" t="s">
        <v>767</v>
      </c>
      <c r="E1578" s="380" t="s">
        <v>2305</v>
      </c>
      <c r="F1578" s="380" t="s">
        <v>2324</v>
      </c>
      <c r="G1578" s="380" t="s">
        <v>1267</v>
      </c>
      <c r="H1578" s="380" t="s">
        <v>771</v>
      </c>
      <c r="I1578" s="380" t="s">
        <v>2325</v>
      </c>
      <c r="J1578" s="380" t="s">
        <v>773</v>
      </c>
      <c r="K1578" s="381">
        <v>0.0</v>
      </c>
      <c r="L1578" s="382">
        <v>1.0</v>
      </c>
    </row>
    <row r="1579">
      <c r="A1579" s="380" t="s">
        <v>2434</v>
      </c>
      <c r="B1579" s="380" t="str">
        <f>IFERROR(__xludf.DUMMYFUNCTION("""COMPUTED_VALUE"""),"Mikrotik Mod: Rb951ui")</f>
        <v>Mikrotik Mod: Rb951ui</v>
      </c>
      <c r="C1579" s="380" t="str">
        <f>IFERROR(__xludf.DUMMYFUNCTION("""COMPUTED_VALUE"""),"11000241")</f>
        <v>11000241</v>
      </c>
      <c r="D1579" s="380" t="s">
        <v>767</v>
      </c>
      <c r="E1579" s="380" t="s">
        <v>2305</v>
      </c>
      <c r="F1579" s="380" t="s">
        <v>2324</v>
      </c>
      <c r="G1579" s="380" t="s">
        <v>1267</v>
      </c>
      <c r="H1579" s="380" t="s">
        <v>771</v>
      </c>
      <c r="I1579" s="380" t="s">
        <v>2325</v>
      </c>
      <c r="J1579" s="380" t="s">
        <v>773</v>
      </c>
      <c r="K1579" s="381">
        <v>0.0</v>
      </c>
      <c r="L1579" s="382">
        <v>1.0</v>
      </c>
    </row>
    <row r="1580">
      <c r="A1580" s="380" t="s">
        <v>2435</v>
      </c>
      <c r="B1580" s="380" t="str">
        <f>IFERROR(__xludf.DUMMYFUNCTION("""COMPUTED_VALUE"""),"Switch Tp-Link De 8ptos De Giga")</f>
        <v>Switch Tp-Link De 8ptos De Giga</v>
      </c>
      <c r="C1580" s="380" t="str">
        <f>IFERROR(__xludf.DUMMYFUNCTION("""COMPUTED_VALUE"""),"11000242")</f>
        <v>11000242</v>
      </c>
      <c r="D1580" s="380" t="s">
        <v>767</v>
      </c>
      <c r="E1580" s="380" t="s">
        <v>2305</v>
      </c>
      <c r="F1580" s="380" t="s">
        <v>2324</v>
      </c>
      <c r="G1580" s="380" t="s">
        <v>1267</v>
      </c>
      <c r="H1580" s="380" t="s">
        <v>771</v>
      </c>
      <c r="I1580" s="380" t="s">
        <v>2325</v>
      </c>
      <c r="J1580" s="380" t="s">
        <v>773</v>
      </c>
      <c r="K1580" s="381">
        <v>0.0</v>
      </c>
      <c r="L1580" s="382">
        <v>1.0</v>
      </c>
    </row>
    <row r="1581">
      <c r="A1581" s="380" t="s">
        <v>2436</v>
      </c>
      <c r="B1581" s="380" t="str">
        <f>IFERROR(__xludf.DUMMYFUNCTION("""COMPUTED_VALUE"""),"Gateway De Voz Iag804 Openvox (4 Fxo)")</f>
        <v>Gateway De Voz Iag804 Openvox (4 Fxo)</v>
      </c>
      <c r="C1581" s="380" t="str">
        <f>IFERROR(__xludf.DUMMYFUNCTION("""COMPUTED_VALUE"""),"11000243")</f>
        <v>11000243</v>
      </c>
      <c r="D1581" s="380" t="s">
        <v>767</v>
      </c>
      <c r="E1581" s="380" t="s">
        <v>2305</v>
      </c>
      <c r="F1581" s="380" t="s">
        <v>2324</v>
      </c>
      <c r="G1581" s="380" t="s">
        <v>1267</v>
      </c>
      <c r="H1581" s="380" t="s">
        <v>771</v>
      </c>
      <c r="I1581" s="380" t="s">
        <v>2325</v>
      </c>
      <c r="J1581" s="380" t="s">
        <v>773</v>
      </c>
      <c r="K1581" s="381">
        <v>0.0</v>
      </c>
      <c r="L1581" s="382">
        <v>1.0</v>
      </c>
    </row>
    <row r="1582">
      <c r="A1582" s="380" t="s">
        <v>2437</v>
      </c>
      <c r="B1582" s="380" t="str">
        <f>IFERROR(__xludf.DUMMYFUNCTION("""COMPUTED_VALUE"""),"Switch Poe De 24 Ptos 10/100/1000")</f>
        <v>Switch Poe De 24 Ptos 10/100/1000</v>
      </c>
      <c r="C1582" s="380" t="str">
        <f>IFERROR(__xludf.DUMMYFUNCTION("""COMPUTED_VALUE"""),"11000244")</f>
        <v>11000244</v>
      </c>
      <c r="D1582" s="380" t="s">
        <v>767</v>
      </c>
      <c r="E1582" s="380" t="s">
        <v>2305</v>
      </c>
      <c r="F1582" s="380" t="s">
        <v>2324</v>
      </c>
      <c r="G1582" s="380" t="s">
        <v>1267</v>
      </c>
      <c r="H1582" s="380" t="s">
        <v>771</v>
      </c>
      <c r="I1582" s="380" t="s">
        <v>2325</v>
      </c>
      <c r="J1582" s="380" t="s">
        <v>773</v>
      </c>
      <c r="K1582" s="381">
        <v>0.0</v>
      </c>
      <c r="L1582" s="382">
        <v>1.0</v>
      </c>
    </row>
    <row r="1583">
      <c r="A1583" s="380" t="s">
        <v>2438</v>
      </c>
      <c r="B1583" s="380" t="str">
        <f>IFERROR(__xludf.DUMMYFUNCTION("""COMPUTED_VALUE"""),"Lector Codigo De Barras Symbol Ls 2208")</f>
        <v>Lector Codigo De Barras Symbol Ls 2208</v>
      </c>
      <c r="C1583" s="380" t="str">
        <f>IFERROR(__xludf.DUMMYFUNCTION("""COMPUTED_VALUE"""),"11000245")</f>
        <v>11000245</v>
      </c>
      <c r="D1583" s="380" t="s">
        <v>767</v>
      </c>
      <c r="E1583" s="380" t="s">
        <v>2305</v>
      </c>
      <c r="F1583" s="380" t="s">
        <v>2324</v>
      </c>
      <c r="G1583" s="380" t="s">
        <v>1267</v>
      </c>
      <c r="H1583" s="380" t="s">
        <v>771</v>
      </c>
      <c r="I1583" s="380" t="s">
        <v>2325</v>
      </c>
      <c r="J1583" s="380" t="s">
        <v>773</v>
      </c>
      <c r="K1583" s="381">
        <v>0.0</v>
      </c>
      <c r="L1583" s="382">
        <v>1.0</v>
      </c>
    </row>
    <row r="1584">
      <c r="A1584" s="380" t="s">
        <v>2439</v>
      </c>
      <c r="B1584" s="380" t="str">
        <f>IFERROR(__xludf.DUMMYFUNCTION("""COMPUTED_VALUE"""),"Camara Fot Sony Cyber-Shot Dsc-W800")</f>
        <v>Camara Fot Sony Cyber-Shot Dsc-W800</v>
      </c>
      <c r="C1584" s="380" t="str">
        <f>IFERROR(__xludf.DUMMYFUNCTION("""COMPUTED_VALUE"""),"11000246")</f>
        <v>11000246</v>
      </c>
      <c r="D1584" s="380" t="s">
        <v>767</v>
      </c>
      <c r="E1584" s="380" t="s">
        <v>2305</v>
      </c>
      <c r="F1584" s="380" t="s">
        <v>2324</v>
      </c>
      <c r="G1584" s="380" t="s">
        <v>1267</v>
      </c>
      <c r="H1584" s="380" t="s">
        <v>771</v>
      </c>
      <c r="I1584" s="380" t="s">
        <v>2325</v>
      </c>
      <c r="J1584" s="380" t="s">
        <v>773</v>
      </c>
      <c r="K1584" s="381">
        <v>0.0</v>
      </c>
      <c r="L1584" s="382">
        <v>1.0</v>
      </c>
    </row>
    <row r="1585">
      <c r="A1585" s="380" t="s">
        <v>2440</v>
      </c>
      <c r="B1585" s="380" t="str">
        <f>IFERROR(__xludf.DUMMYFUNCTION("""COMPUTED_VALUE"""),"Radio Motorola Walkie Talkie T400")</f>
        <v>Radio Motorola Walkie Talkie T400</v>
      </c>
      <c r="C1585" s="380" t="str">
        <f>IFERROR(__xludf.DUMMYFUNCTION("""COMPUTED_VALUE"""),"11000247")</f>
        <v>11000247</v>
      </c>
      <c r="D1585" s="380" t="s">
        <v>767</v>
      </c>
      <c r="E1585" s="380" t="s">
        <v>2305</v>
      </c>
      <c r="F1585" s="380" t="s">
        <v>2324</v>
      </c>
      <c r="G1585" s="380" t="s">
        <v>1267</v>
      </c>
      <c r="H1585" s="380" t="s">
        <v>771</v>
      </c>
      <c r="I1585" s="380" t="s">
        <v>2325</v>
      </c>
      <c r="J1585" s="380" t="s">
        <v>773</v>
      </c>
      <c r="K1585" s="381">
        <v>0.0</v>
      </c>
      <c r="L1585" s="382">
        <v>1.0</v>
      </c>
    </row>
    <row r="1586">
      <c r="A1586" s="380" t="s">
        <v>2441</v>
      </c>
      <c r="B1586" s="380" t="str">
        <f>IFERROR(__xludf.DUMMYFUNCTION("""COMPUTED_VALUE"""),"Contenedor 40 Pies")</f>
        <v>Contenedor 40 Pies</v>
      </c>
      <c r="C1586" s="380" t="str">
        <f>IFERROR(__xludf.DUMMYFUNCTION("""COMPUTED_VALUE"""),"11000248")</f>
        <v>11000248</v>
      </c>
      <c r="D1586" s="380" t="s">
        <v>767</v>
      </c>
      <c r="E1586" s="380" t="s">
        <v>2305</v>
      </c>
      <c r="F1586" s="380" t="s">
        <v>2422</v>
      </c>
      <c r="G1586" s="380" t="s">
        <v>1267</v>
      </c>
      <c r="H1586" s="380" t="s">
        <v>771</v>
      </c>
      <c r="I1586" s="380" t="s">
        <v>2423</v>
      </c>
      <c r="J1586" s="380" t="s">
        <v>773</v>
      </c>
      <c r="K1586" s="381">
        <v>0.0</v>
      </c>
      <c r="L1586" s="382">
        <v>1.0</v>
      </c>
    </row>
    <row r="1587">
      <c r="A1587" s="380" t="s">
        <v>2442</v>
      </c>
      <c r="B1587" s="380" t="str">
        <f>IFERROR(__xludf.DUMMYFUNCTION("""COMPUTED_VALUE"""),"Furgon Camion Generico")</f>
        <v>Furgon Camion Generico</v>
      </c>
      <c r="C1587" s="380" t="str">
        <f>IFERROR(__xludf.DUMMYFUNCTION("""COMPUTED_VALUE"""),"11000249")</f>
        <v>11000249</v>
      </c>
      <c r="D1587" s="380" t="s">
        <v>767</v>
      </c>
      <c r="E1587" s="380" t="s">
        <v>2305</v>
      </c>
      <c r="F1587" s="380" t="s">
        <v>2422</v>
      </c>
      <c r="G1587" s="380" t="s">
        <v>1267</v>
      </c>
      <c r="H1587" s="380" t="s">
        <v>771</v>
      </c>
      <c r="I1587" s="380" t="s">
        <v>2423</v>
      </c>
      <c r="J1587" s="380" t="s">
        <v>773</v>
      </c>
      <c r="K1587" s="381">
        <v>0.0</v>
      </c>
      <c r="L1587" s="382">
        <v>1.0</v>
      </c>
    </row>
    <row r="1588">
      <c r="A1588" s="380" t="s">
        <v>2443</v>
      </c>
      <c r="B1588" s="380" t="str">
        <f>IFERROR(__xludf.DUMMYFUNCTION("""COMPUTED_VALUE"""),"Vehiculo Foton Frr Bj1128")</f>
        <v>Vehiculo Foton Frr Bj1128</v>
      </c>
      <c r="C1588" s="380" t="str">
        <f>IFERROR(__xludf.DUMMYFUNCTION("""COMPUTED_VALUE"""),"11000250")</f>
        <v>11000250</v>
      </c>
      <c r="D1588" s="380" t="s">
        <v>767</v>
      </c>
      <c r="E1588" s="380" t="s">
        <v>2305</v>
      </c>
      <c r="F1588" s="380" t="s">
        <v>2422</v>
      </c>
      <c r="G1588" s="380" t="s">
        <v>1267</v>
      </c>
      <c r="H1588" s="380" t="s">
        <v>771</v>
      </c>
      <c r="I1588" s="380" t="s">
        <v>2423</v>
      </c>
      <c r="J1588" s="380" t="s">
        <v>773</v>
      </c>
      <c r="K1588" s="381">
        <v>0.0</v>
      </c>
      <c r="L1588" s="382">
        <v>1.0</v>
      </c>
    </row>
    <row r="1589">
      <c r="A1589" s="380" t="s">
        <v>2444</v>
      </c>
      <c r="B1589" s="380" t="str">
        <f>IFERROR(__xludf.DUMMYFUNCTION("""COMPUTED_VALUE"""),"Furgon Foton Frr Bj 1128")</f>
        <v>Furgon Foton Frr Bj 1128</v>
      </c>
      <c r="C1589" s="380" t="str">
        <f>IFERROR(__xludf.DUMMYFUNCTION("""COMPUTED_VALUE"""),"11000251")</f>
        <v>11000251</v>
      </c>
      <c r="D1589" s="380" t="s">
        <v>767</v>
      </c>
      <c r="E1589" s="380" t="s">
        <v>2305</v>
      </c>
      <c r="F1589" s="380" t="s">
        <v>2422</v>
      </c>
      <c r="G1589" s="380" t="s">
        <v>1267</v>
      </c>
      <c r="H1589" s="380" t="s">
        <v>771</v>
      </c>
      <c r="I1589" s="380" t="s">
        <v>2423</v>
      </c>
      <c r="J1589" s="380" t="s">
        <v>773</v>
      </c>
      <c r="K1589" s="381">
        <v>0.0</v>
      </c>
      <c r="L1589" s="382">
        <v>1.0</v>
      </c>
    </row>
    <row r="1590">
      <c r="A1590" s="380" t="s">
        <v>2445</v>
      </c>
      <c r="B1590" s="380" t="str">
        <f>IFERROR(__xludf.DUMMYFUNCTION("""COMPUTED_VALUE"""),"Furgon Foton Fkr Bj1065 E")</f>
        <v>Furgon Foton Fkr Bj1065 E</v>
      </c>
      <c r="C1590" s="380" t="str">
        <f>IFERROR(__xludf.DUMMYFUNCTION("""COMPUTED_VALUE"""),"11000252")</f>
        <v>11000252</v>
      </c>
      <c r="D1590" s="380" t="s">
        <v>767</v>
      </c>
      <c r="E1590" s="380" t="s">
        <v>2305</v>
      </c>
      <c r="F1590" s="380" t="s">
        <v>2422</v>
      </c>
      <c r="G1590" s="380" t="s">
        <v>1267</v>
      </c>
      <c r="H1590" s="380" t="s">
        <v>771</v>
      </c>
      <c r="I1590" s="380" t="s">
        <v>2423</v>
      </c>
      <c r="J1590" s="380" t="s">
        <v>773</v>
      </c>
      <c r="K1590" s="381">
        <v>0.0</v>
      </c>
      <c r="L1590" s="382">
        <v>1.0</v>
      </c>
    </row>
    <row r="1591">
      <c r="A1591" s="380" t="s">
        <v>2446</v>
      </c>
      <c r="B1591" s="380" t="str">
        <f>IFERROR(__xludf.DUMMYFUNCTION("""COMPUTED_VALUE"""),"Tractomula Prostar Internacional")</f>
        <v>Tractomula Prostar Internacional</v>
      </c>
      <c r="C1591" s="380" t="str">
        <f>IFERROR(__xludf.DUMMYFUNCTION("""COMPUTED_VALUE"""),"11000253")</f>
        <v>11000253</v>
      </c>
      <c r="D1591" s="380" t="s">
        <v>767</v>
      </c>
      <c r="E1591" s="380" t="s">
        <v>2305</v>
      </c>
      <c r="F1591" s="380" t="s">
        <v>2422</v>
      </c>
      <c r="G1591" s="380" t="s">
        <v>1267</v>
      </c>
      <c r="H1591" s="380" t="s">
        <v>771</v>
      </c>
      <c r="I1591" s="380" t="s">
        <v>2423</v>
      </c>
      <c r="J1591" s="380" t="s">
        <v>773</v>
      </c>
      <c r="K1591" s="381">
        <v>0.0</v>
      </c>
      <c r="L1591" s="382">
        <v>1.0</v>
      </c>
    </row>
    <row r="1592">
      <c r="A1592" s="380" t="s">
        <v>2447</v>
      </c>
      <c r="B1592" s="380" t="str">
        <f>IFERROR(__xludf.DUMMYFUNCTION("""COMPUTED_VALUE"""),"Vehiculo Toyota Prado Gasolina")</f>
        <v>Vehiculo Toyota Prado Gasolina</v>
      </c>
      <c r="C1592" s="380" t="str">
        <f>IFERROR(__xludf.DUMMYFUNCTION("""COMPUTED_VALUE"""),"11000254")</f>
        <v>11000254</v>
      </c>
      <c r="D1592" s="380" t="s">
        <v>767</v>
      </c>
      <c r="E1592" s="380" t="s">
        <v>2305</v>
      </c>
      <c r="F1592" s="380" t="s">
        <v>2422</v>
      </c>
      <c r="G1592" s="380" t="s">
        <v>1267</v>
      </c>
      <c r="H1592" s="380" t="s">
        <v>771</v>
      </c>
      <c r="I1592" s="380" t="s">
        <v>2423</v>
      </c>
      <c r="J1592" s="380" t="s">
        <v>773</v>
      </c>
      <c r="K1592" s="381">
        <v>0.0</v>
      </c>
      <c r="L1592" s="382">
        <v>1.0</v>
      </c>
    </row>
    <row r="1593">
      <c r="A1593" s="380" t="s">
        <v>2448</v>
      </c>
      <c r="B1593" s="380" t="str">
        <f>IFERROR(__xludf.DUMMYFUNCTION("""COMPUTED_VALUE"""),"Contenedor 45 Pies")</f>
        <v>Contenedor 45 Pies</v>
      </c>
      <c r="C1593" s="380" t="str">
        <f>IFERROR(__xludf.DUMMYFUNCTION("""COMPUTED_VALUE"""),"11000255")</f>
        <v>11000255</v>
      </c>
      <c r="D1593" s="380" t="s">
        <v>767</v>
      </c>
      <c r="E1593" s="380" t="s">
        <v>2305</v>
      </c>
      <c r="F1593" s="380" t="s">
        <v>2422</v>
      </c>
      <c r="G1593" s="380" t="s">
        <v>1267</v>
      </c>
      <c r="H1593" s="380" t="s">
        <v>771</v>
      </c>
      <c r="I1593" s="380" t="s">
        <v>2423</v>
      </c>
      <c r="J1593" s="380" t="s">
        <v>773</v>
      </c>
      <c r="K1593" s="381">
        <v>0.0</v>
      </c>
      <c r="L1593" s="382">
        <v>1.0</v>
      </c>
    </row>
    <row r="1594">
      <c r="A1594" s="380" t="s">
        <v>2449</v>
      </c>
      <c r="B1594" s="380" t="str">
        <f>IFERROR(__xludf.DUMMYFUNCTION("""COMPUTED_VALUE"""),"Vehiculo Foton Fkre 3.6ton Bj1065 Euro V")</f>
        <v>Vehiculo Foton Fkre 3.6ton Bj1065 Euro V</v>
      </c>
      <c r="C1594" s="380" t="str">
        <f>IFERROR(__xludf.DUMMYFUNCTION("""COMPUTED_VALUE"""),"11000256")</f>
        <v>11000256</v>
      </c>
      <c r="D1594" s="380" t="s">
        <v>767</v>
      </c>
      <c r="E1594" s="380" t="s">
        <v>2305</v>
      </c>
      <c r="F1594" s="380" t="s">
        <v>2422</v>
      </c>
      <c r="G1594" s="380" t="s">
        <v>1267</v>
      </c>
      <c r="H1594" s="380" t="s">
        <v>771</v>
      </c>
      <c r="I1594" s="380" t="s">
        <v>2423</v>
      </c>
      <c r="J1594" s="380" t="s">
        <v>773</v>
      </c>
      <c r="K1594" s="381">
        <v>0.0</v>
      </c>
      <c r="L1594" s="382">
        <v>1.0</v>
      </c>
    </row>
    <row r="1595">
      <c r="A1595" s="380" t="s">
        <v>2450</v>
      </c>
      <c r="B1595" s="380" t="str">
        <f>IFERROR(__xludf.DUMMYFUNCTION("""COMPUTED_VALUE"""),"Furgon Foton Fhr Bj1045")</f>
        <v>Furgon Foton Fhr Bj1045</v>
      </c>
      <c r="C1595" s="380" t="str">
        <f>IFERROR(__xludf.DUMMYFUNCTION("""COMPUTED_VALUE"""),"11000257")</f>
        <v>11000257</v>
      </c>
      <c r="D1595" s="380" t="s">
        <v>767</v>
      </c>
      <c r="E1595" s="380" t="s">
        <v>2305</v>
      </c>
      <c r="F1595" s="380" t="s">
        <v>2422</v>
      </c>
      <c r="G1595" s="380" t="s">
        <v>1267</v>
      </c>
      <c r="H1595" s="380" t="s">
        <v>771</v>
      </c>
      <c r="I1595" s="380" t="s">
        <v>2423</v>
      </c>
      <c r="J1595" s="380" t="s">
        <v>773</v>
      </c>
      <c r="K1595" s="381">
        <v>0.0</v>
      </c>
      <c r="L1595" s="382">
        <v>1.0</v>
      </c>
    </row>
    <row r="1596">
      <c r="A1596" s="380" t="s">
        <v>2451</v>
      </c>
      <c r="B1596" s="380" t="str">
        <f>IFERROR(__xludf.DUMMYFUNCTION("""COMPUTED_VALUE"""),"Furgon Foton Minitruck Bj1030")</f>
        <v>Furgon Foton Minitruck Bj1030</v>
      </c>
      <c r="C1596" s="380" t="str">
        <f>IFERROR(__xludf.DUMMYFUNCTION("""COMPUTED_VALUE"""),"11000258")</f>
        <v>11000258</v>
      </c>
      <c r="D1596" s="380" t="s">
        <v>767</v>
      </c>
      <c r="E1596" s="380" t="s">
        <v>2305</v>
      </c>
      <c r="F1596" s="380" t="s">
        <v>2422</v>
      </c>
      <c r="G1596" s="380" t="s">
        <v>1267</v>
      </c>
      <c r="H1596" s="380" t="s">
        <v>771</v>
      </c>
      <c r="I1596" s="380" t="s">
        <v>2423</v>
      </c>
      <c r="J1596" s="380" t="s">
        <v>773</v>
      </c>
      <c r="K1596" s="381">
        <v>0.0</v>
      </c>
      <c r="L1596" s="382">
        <v>1.0</v>
      </c>
    </row>
    <row r="1597">
      <c r="A1597" s="380" t="s">
        <v>2452</v>
      </c>
      <c r="B1597" s="380" t="str">
        <f>IFERROR(__xludf.DUMMYFUNCTION("""COMPUTED_VALUE"""),"Vehiculo Jmc Ckr")</f>
        <v>Vehiculo Jmc Ckr</v>
      </c>
      <c r="C1597" s="380" t="str">
        <f>IFERROR(__xludf.DUMMYFUNCTION("""COMPUTED_VALUE"""),"11000259")</f>
        <v>11000259</v>
      </c>
      <c r="D1597" s="380" t="s">
        <v>767</v>
      </c>
      <c r="E1597" s="380" t="s">
        <v>2305</v>
      </c>
      <c r="F1597" s="380" t="s">
        <v>2422</v>
      </c>
      <c r="G1597" s="380" t="s">
        <v>1267</v>
      </c>
      <c r="H1597" s="380" t="s">
        <v>771</v>
      </c>
      <c r="I1597" s="380" t="s">
        <v>2423</v>
      </c>
      <c r="J1597" s="380" t="s">
        <v>773</v>
      </c>
      <c r="K1597" s="381">
        <v>0.0</v>
      </c>
      <c r="L1597" s="382">
        <v>1.0</v>
      </c>
    </row>
    <row r="1598">
      <c r="A1598" s="380" t="s">
        <v>2453</v>
      </c>
      <c r="B1598" s="380" t="str">
        <f>IFERROR(__xludf.DUMMYFUNCTION("""COMPUTED_VALUE"""),"Furgon Jmc Ckr")</f>
        <v>Furgon Jmc Ckr</v>
      </c>
      <c r="C1598" s="380" t="str">
        <f>IFERROR(__xludf.DUMMYFUNCTION("""COMPUTED_VALUE"""),"11000260")</f>
        <v>11000260</v>
      </c>
      <c r="D1598" s="380" t="s">
        <v>767</v>
      </c>
      <c r="E1598" s="380" t="s">
        <v>2305</v>
      </c>
      <c r="F1598" s="380" t="s">
        <v>2422</v>
      </c>
      <c r="G1598" s="380" t="s">
        <v>1267</v>
      </c>
      <c r="H1598" s="380" t="s">
        <v>771</v>
      </c>
      <c r="I1598" s="380" t="s">
        <v>2423</v>
      </c>
      <c r="J1598" s="380" t="s">
        <v>773</v>
      </c>
      <c r="K1598" s="381">
        <v>0.0</v>
      </c>
      <c r="L1598" s="382">
        <v>1.0</v>
      </c>
    </row>
    <row r="1599">
      <c r="A1599" s="380" t="s">
        <v>2454</v>
      </c>
      <c r="B1599" s="380" t="str">
        <f>IFERROR(__xludf.DUMMYFUNCTION("""COMPUTED_VALUE"""),"Semirremolque Portacontenedor")</f>
        <v>Semirremolque Portacontenedor</v>
      </c>
      <c r="C1599" s="380" t="str">
        <f>IFERROR(__xludf.DUMMYFUNCTION("""COMPUTED_VALUE"""),"11000261")</f>
        <v>11000261</v>
      </c>
      <c r="D1599" s="380" t="s">
        <v>767</v>
      </c>
      <c r="E1599" s="380" t="s">
        <v>2305</v>
      </c>
      <c r="F1599" s="380" t="s">
        <v>2422</v>
      </c>
      <c r="G1599" s="380" t="s">
        <v>1267</v>
      </c>
      <c r="H1599" s="380" t="s">
        <v>771</v>
      </c>
      <c r="I1599" s="380" t="s">
        <v>2423</v>
      </c>
      <c r="J1599" s="380" t="s">
        <v>773</v>
      </c>
      <c r="K1599" s="381">
        <v>0.0</v>
      </c>
      <c r="L1599" s="382">
        <v>1.0</v>
      </c>
    </row>
    <row r="1600">
      <c r="A1600" s="380" t="s">
        <v>2455</v>
      </c>
      <c r="B1600" s="380" t="str">
        <f>IFERROR(__xludf.DUMMYFUNCTION("""COMPUTED_VALUE"""),"Tractocamion Foton")</f>
        <v>Tractocamion Foton</v>
      </c>
      <c r="C1600" s="380" t="str">
        <f>IFERROR(__xludf.DUMMYFUNCTION("""COMPUTED_VALUE"""),"11000262")</f>
        <v>11000262</v>
      </c>
      <c r="D1600" s="380" t="s">
        <v>767</v>
      </c>
      <c r="E1600" s="380" t="s">
        <v>2305</v>
      </c>
      <c r="F1600" s="380" t="s">
        <v>2422</v>
      </c>
      <c r="G1600" s="380" t="s">
        <v>1267</v>
      </c>
      <c r="H1600" s="380" t="s">
        <v>771</v>
      </c>
      <c r="I1600" s="380" t="s">
        <v>2423</v>
      </c>
      <c r="J1600" s="380" t="s">
        <v>773</v>
      </c>
      <c r="K1600" s="381">
        <v>0.0</v>
      </c>
      <c r="L1600" s="382">
        <v>1.0</v>
      </c>
    </row>
    <row r="1601">
      <c r="A1601" s="380" t="s">
        <v>2456</v>
      </c>
      <c r="B1601" s="380" t="str">
        <f>IFERROR(__xludf.DUMMYFUNCTION("""COMPUTED_VALUE"""),"Vehiculo Foton Minitruck Tm Bj1030 Euro5")</f>
        <v>Vehiculo Foton Minitruck Tm Bj1030 Euro5</v>
      </c>
      <c r="C1601" s="380" t="str">
        <f>IFERROR(__xludf.DUMMYFUNCTION("""COMPUTED_VALUE"""),"11000263")</f>
        <v>11000263</v>
      </c>
      <c r="D1601" s="380" t="s">
        <v>767</v>
      </c>
      <c r="E1601" s="380" t="s">
        <v>2305</v>
      </c>
      <c r="F1601" s="380" t="s">
        <v>2422</v>
      </c>
      <c r="G1601" s="380" t="s">
        <v>1267</v>
      </c>
      <c r="H1601" s="380" t="s">
        <v>771</v>
      </c>
      <c r="I1601" s="380" t="s">
        <v>2423</v>
      </c>
      <c r="J1601" s="380" t="s">
        <v>773</v>
      </c>
      <c r="K1601" s="381">
        <v>0.0</v>
      </c>
      <c r="L1601" s="382">
        <v>1.0</v>
      </c>
    </row>
    <row r="1602">
      <c r="A1602" s="380" t="s">
        <v>2457</v>
      </c>
      <c r="B1602" s="380" t="str">
        <f>IFERROR(__xludf.DUMMYFUNCTION("""COMPUTED_VALUE"""),"Pistola Neumatic Imp C-1/2 Ingersol Rand")</f>
        <v>Pistola Neumatic Imp C-1/2 Ingersol Rand</v>
      </c>
      <c r="C1602" s="380" t="str">
        <f>IFERROR(__xludf.DUMMYFUNCTION("""COMPUTED_VALUE"""),"11000264")</f>
        <v>11000264</v>
      </c>
      <c r="D1602" s="380" t="s">
        <v>767</v>
      </c>
      <c r="E1602" s="380" t="s">
        <v>2305</v>
      </c>
      <c r="F1602" s="380" t="s">
        <v>2458</v>
      </c>
      <c r="G1602" s="380" t="s">
        <v>1267</v>
      </c>
      <c r="H1602" s="380" t="s">
        <v>771</v>
      </c>
      <c r="I1602" s="380" t="s">
        <v>2459</v>
      </c>
      <c r="J1602" s="380" t="s">
        <v>773</v>
      </c>
      <c r="K1602" s="381">
        <v>0.0</v>
      </c>
      <c r="L1602" s="382">
        <v>1.0</v>
      </c>
    </row>
    <row r="1603">
      <c r="A1603" s="380" t="s">
        <v>2460</v>
      </c>
      <c r="B1603" s="380" t="str">
        <f>IFERROR(__xludf.DUMMYFUNCTION("""COMPUTED_VALUE"""),"Pulidora Electrica 4"" / 6""")</f>
        <v>Pulidora Electrica 4" / 6"</v>
      </c>
      <c r="C1603" s="380" t="str">
        <f>IFERROR(__xludf.DUMMYFUNCTION("""COMPUTED_VALUE"""),"11000265")</f>
        <v>11000265</v>
      </c>
      <c r="D1603" s="380" t="s">
        <v>767</v>
      </c>
      <c r="E1603" s="380" t="s">
        <v>2305</v>
      </c>
      <c r="F1603" s="380" t="s">
        <v>2458</v>
      </c>
      <c r="G1603" s="380" t="s">
        <v>1267</v>
      </c>
      <c r="H1603" s="380" t="s">
        <v>771</v>
      </c>
      <c r="I1603" s="380" t="s">
        <v>2459</v>
      </c>
      <c r="J1603" s="380" t="s">
        <v>773</v>
      </c>
      <c r="K1603" s="381">
        <v>0.0</v>
      </c>
      <c r="L1603" s="382">
        <v>1.0</v>
      </c>
    </row>
    <row r="1604">
      <c r="A1604" s="380" t="s">
        <v>2461</v>
      </c>
      <c r="B1604" s="380" t="str">
        <f>IFERROR(__xludf.DUMMYFUNCTION("""COMPUTED_VALUE"""),"Circular Bosch Gks65")</f>
        <v>Circular Bosch Gks65</v>
      </c>
      <c r="C1604" s="380" t="str">
        <f>IFERROR(__xludf.DUMMYFUNCTION("""COMPUTED_VALUE"""),"11000266")</f>
        <v>11000266</v>
      </c>
      <c r="D1604" s="380" t="s">
        <v>767</v>
      </c>
      <c r="E1604" s="380" t="s">
        <v>2305</v>
      </c>
      <c r="F1604" s="380" t="s">
        <v>2458</v>
      </c>
      <c r="G1604" s="380" t="s">
        <v>1267</v>
      </c>
      <c r="H1604" s="380" t="s">
        <v>771</v>
      </c>
      <c r="I1604" s="380" t="s">
        <v>2459</v>
      </c>
      <c r="J1604" s="380" t="s">
        <v>773</v>
      </c>
      <c r="K1604" s="381">
        <v>0.0</v>
      </c>
      <c r="L1604" s="382">
        <v>1.0</v>
      </c>
    </row>
    <row r="1605">
      <c r="A1605" s="380" t="s">
        <v>2462</v>
      </c>
      <c r="B1605" s="380" t="str">
        <f>IFERROR(__xludf.DUMMYFUNCTION("""COMPUTED_VALUE"""),"Pistola Neumatica ImpCuad3/4 Ingersolram")</f>
        <v>Pistola Neumatica ImpCuad3/4 Ingersolram</v>
      </c>
      <c r="C1605" s="380" t="str">
        <f>IFERROR(__xludf.DUMMYFUNCTION("""COMPUTED_VALUE"""),"11000267")</f>
        <v>11000267</v>
      </c>
      <c r="D1605" s="380" t="s">
        <v>767</v>
      </c>
      <c r="E1605" s="380" t="s">
        <v>2305</v>
      </c>
      <c r="F1605" s="380" t="s">
        <v>2458</v>
      </c>
      <c r="G1605" s="380" t="s">
        <v>1267</v>
      </c>
      <c r="H1605" s="380" t="s">
        <v>771</v>
      </c>
      <c r="I1605" s="380" t="s">
        <v>2459</v>
      </c>
      <c r="J1605" s="380" t="s">
        <v>773</v>
      </c>
      <c r="K1605" s="381">
        <v>0.0</v>
      </c>
      <c r="L1605" s="382">
        <v>1.0</v>
      </c>
    </row>
    <row r="1606">
      <c r="A1606" s="380" t="s">
        <v>2463</v>
      </c>
      <c r="B1606" s="380" t="str">
        <f>IFERROR(__xludf.DUMMYFUNCTION("""COMPUTED_VALUE"""),"Taladro Inalambrico 3/8 2-Baterias")</f>
        <v>Taladro Inalambrico 3/8 2-Baterias</v>
      </c>
      <c r="C1606" s="380" t="str">
        <f>IFERROR(__xludf.DUMMYFUNCTION("""COMPUTED_VALUE"""),"11000268")</f>
        <v>11000268</v>
      </c>
      <c r="D1606" s="380" t="s">
        <v>767</v>
      </c>
      <c r="E1606" s="380" t="s">
        <v>2305</v>
      </c>
      <c r="F1606" s="380" t="s">
        <v>2458</v>
      </c>
      <c r="G1606" s="380" t="s">
        <v>1267</v>
      </c>
      <c r="H1606" s="380" t="s">
        <v>771</v>
      </c>
      <c r="I1606" s="380" t="s">
        <v>2459</v>
      </c>
      <c r="J1606" s="380" t="s">
        <v>773</v>
      </c>
      <c r="K1606" s="381">
        <v>0.0</v>
      </c>
      <c r="L1606" s="382">
        <v>1.0</v>
      </c>
    </row>
    <row r="1607">
      <c r="A1607" s="380" t="s">
        <v>2464</v>
      </c>
      <c r="B1607" s="380" t="str">
        <f>IFERROR(__xludf.DUMMYFUNCTION("""COMPUTED_VALUE"""),"Gato Estibador Nike E 685")</f>
        <v>Gato Estibador Nike E 685</v>
      </c>
      <c r="C1607" s="380" t="str">
        <f>IFERROR(__xludf.DUMMYFUNCTION("""COMPUTED_VALUE"""),"11000269")</f>
        <v>11000269</v>
      </c>
      <c r="D1607" s="380" t="s">
        <v>767</v>
      </c>
      <c r="E1607" s="380" t="s">
        <v>2305</v>
      </c>
      <c r="F1607" s="380" t="s">
        <v>2458</v>
      </c>
      <c r="G1607" s="380" t="s">
        <v>1267</v>
      </c>
      <c r="H1607" s="380" t="s">
        <v>771</v>
      </c>
      <c r="I1607" s="380" t="s">
        <v>2459</v>
      </c>
      <c r="J1607" s="380" t="s">
        <v>773</v>
      </c>
      <c r="K1607" s="381">
        <v>0.0</v>
      </c>
      <c r="L1607" s="382">
        <v>1.0</v>
      </c>
    </row>
    <row r="1608">
      <c r="A1608" s="380" t="s">
        <v>2465</v>
      </c>
      <c r="B1608" s="380" t="str">
        <f>IFERROR(__xludf.DUMMYFUNCTION("""COMPUTED_VALUE"""),"Pistola Neumatica Cuadrante 1/2")</f>
        <v>Pistola Neumatica Cuadrante 1/2</v>
      </c>
      <c r="C1608" s="380" t="str">
        <f>IFERROR(__xludf.DUMMYFUNCTION("""COMPUTED_VALUE"""),"11000270")</f>
        <v>11000270</v>
      </c>
      <c r="D1608" s="380" t="s">
        <v>767</v>
      </c>
      <c r="E1608" s="380" t="s">
        <v>2305</v>
      </c>
      <c r="F1608" s="380" t="s">
        <v>2458</v>
      </c>
      <c r="G1608" s="380" t="s">
        <v>1267</v>
      </c>
      <c r="H1608" s="380" t="s">
        <v>771</v>
      </c>
      <c r="I1608" s="380" t="s">
        <v>2459</v>
      </c>
      <c r="J1608" s="380" t="s">
        <v>773</v>
      </c>
      <c r="K1608" s="381">
        <v>0.0</v>
      </c>
      <c r="L1608" s="382">
        <v>1.0</v>
      </c>
    </row>
    <row r="1609">
      <c r="A1609" s="380" t="s">
        <v>2466</v>
      </c>
      <c r="B1609" s="380" t="str">
        <f>IFERROR(__xludf.DUMMYFUNCTION("""COMPUTED_VALUE"""),"Taladro Con Mandril De 1/2 Industrial")</f>
        <v>Taladro Con Mandril De 1/2 Industrial</v>
      </c>
      <c r="C1609" s="380" t="str">
        <f>IFERROR(__xludf.DUMMYFUNCTION("""COMPUTED_VALUE"""),"11000271")</f>
        <v>11000271</v>
      </c>
      <c r="D1609" s="380" t="s">
        <v>767</v>
      </c>
      <c r="E1609" s="380" t="s">
        <v>2305</v>
      </c>
      <c r="F1609" s="380" t="s">
        <v>2458</v>
      </c>
      <c r="G1609" s="380" t="s">
        <v>1267</v>
      </c>
      <c r="H1609" s="380" t="s">
        <v>771</v>
      </c>
      <c r="I1609" s="380" t="s">
        <v>2459</v>
      </c>
      <c r="J1609" s="380" t="s">
        <v>773</v>
      </c>
      <c r="K1609" s="381">
        <v>0.0</v>
      </c>
      <c r="L1609" s="382">
        <v>1.0</v>
      </c>
    </row>
    <row r="1610">
      <c r="A1610" s="380" t="s">
        <v>2467</v>
      </c>
      <c r="B1610" s="380" t="str">
        <f>IFERROR(__xludf.DUMMYFUNCTION("""COMPUTED_VALUE"""),"Pistola Pintar Sagola 4001")</f>
        <v>Pistola Pintar Sagola 4001</v>
      </c>
      <c r="C1610" s="380" t="str">
        <f>IFERROR(__xludf.DUMMYFUNCTION("""COMPUTED_VALUE"""),"11000272")</f>
        <v>11000272</v>
      </c>
      <c r="D1610" s="380" t="s">
        <v>767</v>
      </c>
      <c r="E1610" s="380" t="s">
        <v>2305</v>
      </c>
      <c r="F1610" s="380" t="s">
        <v>2458</v>
      </c>
      <c r="G1610" s="380" t="s">
        <v>1267</v>
      </c>
      <c r="H1610" s="380" t="s">
        <v>771</v>
      </c>
      <c r="I1610" s="380" t="s">
        <v>2459</v>
      </c>
      <c r="J1610" s="380" t="s">
        <v>773</v>
      </c>
      <c r="K1610" s="381">
        <v>0.0</v>
      </c>
      <c r="L1610" s="382">
        <v>1.0</v>
      </c>
    </row>
    <row r="1611">
      <c r="A1611" s="380" t="s">
        <v>2468</v>
      </c>
      <c r="B1611" s="380" t="str">
        <f>IFERROR(__xludf.DUMMYFUNCTION("""COMPUTED_VALUE"""),"Electrobomba Modelo Me618 Barnes")</f>
        <v>Electrobomba Modelo Me618 Barnes</v>
      </c>
      <c r="C1611" s="380" t="str">
        <f>IFERROR(__xludf.DUMMYFUNCTION("""COMPUTED_VALUE"""),"11000273")</f>
        <v>11000273</v>
      </c>
      <c r="D1611" s="380" t="s">
        <v>767</v>
      </c>
      <c r="E1611" s="380" t="s">
        <v>2305</v>
      </c>
      <c r="F1611" s="380" t="s">
        <v>2458</v>
      </c>
      <c r="G1611" s="380" t="s">
        <v>1267</v>
      </c>
      <c r="H1611" s="380" t="s">
        <v>771</v>
      </c>
      <c r="I1611" s="380" t="s">
        <v>2459</v>
      </c>
      <c r="J1611" s="380" t="s">
        <v>773</v>
      </c>
      <c r="K1611" s="381">
        <v>0.0</v>
      </c>
      <c r="L1611" s="382">
        <v>1.0</v>
      </c>
    </row>
    <row r="1612">
      <c r="A1612" s="380" t="s">
        <v>2469</v>
      </c>
      <c r="B1612" s="380" t="str">
        <f>IFERROR(__xludf.DUMMYFUNCTION("""COMPUTED_VALUE"""),"Banda Rodillos Moviles")</f>
        <v>Banda Rodillos Moviles</v>
      </c>
      <c r="C1612" s="380" t="str">
        <f>IFERROR(__xludf.DUMMYFUNCTION("""COMPUTED_VALUE"""),"11000274")</f>
        <v>11000274</v>
      </c>
      <c r="D1612" s="380" t="s">
        <v>767</v>
      </c>
      <c r="E1612" s="380" t="s">
        <v>2305</v>
      </c>
      <c r="F1612" s="380" t="s">
        <v>2458</v>
      </c>
      <c r="G1612" s="380" t="s">
        <v>1267</v>
      </c>
      <c r="H1612" s="380" t="s">
        <v>771</v>
      </c>
      <c r="I1612" s="380" t="s">
        <v>2459</v>
      </c>
      <c r="J1612" s="380" t="s">
        <v>773</v>
      </c>
      <c r="K1612" s="381">
        <v>0.0</v>
      </c>
      <c r="L1612" s="382">
        <v>1.0</v>
      </c>
    </row>
    <row r="1613">
      <c r="A1613" s="380" t="s">
        <v>2470</v>
      </c>
      <c r="B1613" s="380" t="str">
        <f>IFERROR(__xludf.DUMMYFUNCTION("""COMPUTED_VALUE"""),"Unidad Condensadora Vrf 250000 Btu")</f>
        <v>Unidad Condensadora Vrf 250000 Btu</v>
      </c>
      <c r="C1613" s="380" t="str">
        <f>IFERROR(__xludf.DUMMYFUNCTION("""COMPUTED_VALUE"""),"11000275")</f>
        <v>11000275</v>
      </c>
      <c r="D1613" s="380" t="s">
        <v>767</v>
      </c>
      <c r="E1613" s="380" t="s">
        <v>2305</v>
      </c>
      <c r="F1613" s="380" t="s">
        <v>2458</v>
      </c>
      <c r="G1613" s="380" t="s">
        <v>1267</v>
      </c>
      <c r="H1613" s="380" t="s">
        <v>771</v>
      </c>
      <c r="I1613" s="380" t="s">
        <v>2459</v>
      </c>
      <c r="J1613" s="380" t="s">
        <v>773</v>
      </c>
      <c r="K1613" s="381">
        <v>0.0</v>
      </c>
      <c r="L1613" s="382">
        <v>1.0</v>
      </c>
    </row>
    <row r="1614">
      <c r="A1614" s="380" t="s">
        <v>2471</v>
      </c>
      <c r="B1614" s="380" t="str">
        <f>IFERROR(__xludf.DUMMYFUNCTION("""COMPUTED_VALUE"""),"Unidad Condensadora Vrf 115000 Btu")</f>
        <v>Unidad Condensadora Vrf 115000 Btu</v>
      </c>
      <c r="C1614" s="380" t="str">
        <f>IFERROR(__xludf.DUMMYFUNCTION("""COMPUTED_VALUE"""),"11000276")</f>
        <v>11000276</v>
      </c>
      <c r="D1614" s="380" t="s">
        <v>767</v>
      </c>
      <c r="E1614" s="380" t="s">
        <v>2305</v>
      </c>
      <c r="F1614" s="380" t="s">
        <v>2458</v>
      </c>
      <c r="G1614" s="380" t="s">
        <v>1267</v>
      </c>
      <c r="H1614" s="380" t="s">
        <v>771</v>
      </c>
      <c r="I1614" s="380" t="s">
        <v>2459</v>
      </c>
      <c r="J1614" s="380" t="s">
        <v>773</v>
      </c>
      <c r="K1614" s="381">
        <v>0.0</v>
      </c>
      <c r="L1614" s="382">
        <v>1.0</v>
      </c>
    </row>
    <row r="1615">
      <c r="A1615" s="380" t="s">
        <v>2472</v>
      </c>
      <c r="B1615" s="380" t="str">
        <f>IFERROR(__xludf.DUMMYFUNCTION("""COMPUTED_VALUE"""),"Gato Estibador 2.5 Toneladas")</f>
        <v>Gato Estibador 2.5 Toneladas</v>
      </c>
      <c r="C1615" s="380" t="str">
        <f>IFERROR(__xludf.DUMMYFUNCTION("""COMPUTED_VALUE"""),"11000277")</f>
        <v>11000277</v>
      </c>
      <c r="D1615" s="380" t="s">
        <v>767</v>
      </c>
      <c r="E1615" s="380" t="s">
        <v>2305</v>
      </c>
      <c r="F1615" s="380" t="s">
        <v>2458</v>
      </c>
      <c r="G1615" s="380" t="s">
        <v>1267</v>
      </c>
      <c r="H1615" s="380" t="s">
        <v>771</v>
      </c>
      <c r="I1615" s="380" t="s">
        <v>2459</v>
      </c>
      <c r="J1615" s="380" t="s">
        <v>773</v>
      </c>
      <c r="K1615" s="381">
        <v>0.0</v>
      </c>
      <c r="L1615" s="382">
        <v>1.0</v>
      </c>
    </row>
    <row r="1616">
      <c r="A1616" s="380" t="s">
        <v>2473</v>
      </c>
      <c r="B1616" s="380" t="str">
        <f>IFERROR(__xludf.DUMMYFUNCTION("""COMPUTED_VALUE"""),"Apilador Electrico 1.2 Toneladas")</f>
        <v>Apilador Electrico 1.2 Toneladas</v>
      </c>
      <c r="C1616" s="380" t="str">
        <f>IFERROR(__xludf.DUMMYFUNCTION("""COMPUTED_VALUE"""),"11000278")</f>
        <v>11000278</v>
      </c>
      <c r="D1616" s="380" t="s">
        <v>767</v>
      </c>
      <c r="E1616" s="380" t="s">
        <v>2305</v>
      </c>
      <c r="F1616" s="380" t="s">
        <v>2458</v>
      </c>
      <c r="G1616" s="380" t="s">
        <v>1267</v>
      </c>
      <c r="H1616" s="380" t="s">
        <v>771</v>
      </c>
      <c r="I1616" s="380" t="s">
        <v>2459</v>
      </c>
      <c r="J1616" s="380" t="s">
        <v>773</v>
      </c>
      <c r="K1616" s="381">
        <v>0.0</v>
      </c>
      <c r="L1616" s="382">
        <v>1.0</v>
      </c>
    </row>
    <row r="1617">
      <c r="A1617" s="380" t="s">
        <v>2474</v>
      </c>
      <c r="B1617" s="380" t="str">
        <f>IFERROR(__xludf.DUMMYFUNCTION("""COMPUTED_VALUE"""),"Torque Cuadrante 3/8 X 80 Lbs Proto")</f>
        <v>Torque Cuadrante 3/8 X 80 Lbs Proto</v>
      </c>
      <c r="C1617" s="380" t="str">
        <f>IFERROR(__xludf.DUMMYFUNCTION("""COMPUTED_VALUE"""),"11000279")</f>
        <v>11000279</v>
      </c>
      <c r="D1617" s="380" t="s">
        <v>767</v>
      </c>
      <c r="E1617" s="380" t="s">
        <v>2305</v>
      </c>
      <c r="F1617" s="380" t="s">
        <v>2458</v>
      </c>
      <c r="G1617" s="380" t="s">
        <v>1267</v>
      </c>
      <c r="H1617" s="380" t="s">
        <v>771</v>
      </c>
      <c r="I1617" s="380" t="s">
        <v>2459</v>
      </c>
      <c r="J1617" s="380" t="s">
        <v>773</v>
      </c>
      <c r="K1617" s="381">
        <v>0.0</v>
      </c>
      <c r="L1617" s="382">
        <v>1.0</v>
      </c>
    </row>
    <row r="1618">
      <c r="A1618" s="380" t="s">
        <v>2475</v>
      </c>
      <c r="B1618" s="380" t="str">
        <f>IFERROR(__xludf.DUMMYFUNCTION("""COMPUTED_VALUE"""),"Pistola De Impacto De 3/4")</f>
        <v>Pistola De Impacto De 3/4</v>
      </c>
      <c r="C1618" s="380" t="str">
        <f>IFERROR(__xludf.DUMMYFUNCTION("""COMPUTED_VALUE"""),"11000280")</f>
        <v>11000280</v>
      </c>
      <c r="D1618" s="380" t="s">
        <v>767</v>
      </c>
      <c r="E1618" s="380" t="s">
        <v>2305</v>
      </c>
      <c r="F1618" s="380" t="s">
        <v>2458</v>
      </c>
      <c r="G1618" s="380" t="s">
        <v>1267</v>
      </c>
      <c r="H1618" s="380" t="s">
        <v>771</v>
      </c>
      <c r="I1618" s="380" t="s">
        <v>2459</v>
      </c>
      <c r="J1618" s="380" t="s">
        <v>773</v>
      </c>
      <c r="K1618" s="381">
        <v>0.0</v>
      </c>
      <c r="L1618" s="382">
        <v>1.0</v>
      </c>
    </row>
    <row r="1619">
      <c r="A1619" s="380" t="s">
        <v>2476</v>
      </c>
      <c r="B1619" s="380" t="str">
        <f>IFERROR(__xludf.DUMMYFUNCTION("""COMPUTED_VALUE"""),"Taladro De 1/2 Dewalt - Bosch")</f>
        <v>Taladro De 1/2 Dewalt - Bosch</v>
      </c>
      <c r="C1619" s="380" t="str">
        <f>IFERROR(__xludf.DUMMYFUNCTION("""COMPUTED_VALUE"""),"11000281")</f>
        <v>11000281</v>
      </c>
      <c r="D1619" s="380" t="s">
        <v>767</v>
      </c>
      <c r="E1619" s="380" t="s">
        <v>2305</v>
      </c>
      <c r="F1619" s="380" t="s">
        <v>2458</v>
      </c>
      <c r="G1619" s="380" t="s">
        <v>1267</v>
      </c>
      <c r="H1619" s="380" t="s">
        <v>771</v>
      </c>
      <c r="I1619" s="380" t="s">
        <v>2459</v>
      </c>
      <c r="J1619" s="380" t="s">
        <v>773</v>
      </c>
      <c r="K1619" s="381">
        <v>0.0</v>
      </c>
      <c r="L1619" s="382">
        <v>1.0</v>
      </c>
    </row>
    <row r="1620">
      <c r="A1620" s="380" t="s">
        <v>2477</v>
      </c>
      <c r="B1620" s="380" t="str">
        <f>IFERROR(__xludf.DUMMYFUNCTION("""COMPUTED_VALUE"""),"Lijadora Neumatica 6"" 90 Psi")</f>
        <v>Lijadora Neumatica 6" 90 Psi</v>
      </c>
      <c r="C1620" s="380" t="str">
        <f>IFERROR(__xludf.DUMMYFUNCTION("""COMPUTED_VALUE"""),"11000282")</f>
        <v>11000282</v>
      </c>
      <c r="D1620" s="380" t="s">
        <v>767</v>
      </c>
      <c r="E1620" s="380" t="s">
        <v>2305</v>
      </c>
      <c r="F1620" s="380" t="s">
        <v>2458</v>
      </c>
      <c r="G1620" s="380" t="s">
        <v>1267</v>
      </c>
      <c r="H1620" s="380" t="s">
        <v>771</v>
      </c>
      <c r="I1620" s="380" t="s">
        <v>2459</v>
      </c>
      <c r="J1620" s="380" t="s">
        <v>773</v>
      </c>
      <c r="K1620" s="381">
        <v>0.0</v>
      </c>
      <c r="L1620" s="382">
        <v>1.0</v>
      </c>
    </row>
    <row r="1621">
      <c r="A1621" s="380" t="s">
        <v>2478</v>
      </c>
      <c r="B1621" s="380" t="str">
        <f>IFERROR(__xludf.DUMMYFUNCTION("""COMPUTED_VALUE"""),"Torque Cuadrante 1/2 X 250 Lbs Proto")</f>
        <v>Torque Cuadrante 1/2 X 250 Lbs Proto</v>
      </c>
      <c r="C1621" s="380" t="str">
        <f>IFERROR(__xludf.DUMMYFUNCTION("""COMPUTED_VALUE"""),"11000283")</f>
        <v>11000283</v>
      </c>
      <c r="D1621" s="380" t="s">
        <v>767</v>
      </c>
      <c r="E1621" s="380" t="s">
        <v>2305</v>
      </c>
      <c r="F1621" s="380" t="s">
        <v>2458</v>
      </c>
      <c r="G1621" s="380" t="s">
        <v>1267</v>
      </c>
      <c r="H1621" s="380" t="s">
        <v>771</v>
      </c>
      <c r="I1621" s="380" t="s">
        <v>2459</v>
      </c>
      <c r="J1621" s="380" t="s">
        <v>773</v>
      </c>
      <c r="K1621" s="381">
        <v>0.0</v>
      </c>
      <c r="L1621" s="382">
        <v>1.0</v>
      </c>
    </row>
    <row r="1622">
      <c r="A1622" s="380" t="s">
        <v>2479</v>
      </c>
      <c r="B1622" s="380" t="str">
        <f>IFERROR(__xludf.DUMMYFUNCTION("""COMPUTED_VALUE"""),"Extractor Electrico Con Rejilla")</f>
        <v>Extractor Electrico Con Rejilla</v>
      </c>
      <c r="C1622" s="380" t="str">
        <f>IFERROR(__xludf.DUMMYFUNCTION("""COMPUTED_VALUE"""),"11000284")</f>
        <v>11000284</v>
      </c>
      <c r="D1622" s="380" t="s">
        <v>767</v>
      </c>
      <c r="E1622" s="380" t="s">
        <v>2305</v>
      </c>
      <c r="F1622" s="380" t="s">
        <v>2458</v>
      </c>
      <c r="G1622" s="380" t="s">
        <v>1267</v>
      </c>
      <c r="H1622" s="380" t="s">
        <v>771</v>
      </c>
      <c r="I1622" s="380" t="s">
        <v>2459</v>
      </c>
      <c r="J1622" s="380" t="s">
        <v>773</v>
      </c>
      <c r="K1622" s="381">
        <v>0.0</v>
      </c>
      <c r="L1622" s="382">
        <v>1.0</v>
      </c>
    </row>
    <row r="1623">
      <c r="A1623" s="380" t="s">
        <v>2480</v>
      </c>
      <c r="B1623" s="380" t="str">
        <f>IFERROR(__xludf.DUMMYFUNCTION("""COMPUTED_VALUE"""),"Trozadora Para Metal De 14""")</f>
        <v>Trozadora Para Metal De 14"</v>
      </c>
      <c r="C1623" s="380" t="str">
        <f>IFERROR(__xludf.DUMMYFUNCTION("""COMPUTED_VALUE"""),"11000285")</f>
        <v>11000285</v>
      </c>
      <c r="D1623" s="380" t="s">
        <v>767</v>
      </c>
      <c r="E1623" s="380" t="s">
        <v>2305</v>
      </c>
      <c r="F1623" s="380" t="s">
        <v>2458</v>
      </c>
      <c r="G1623" s="380" t="s">
        <v>1267</v>
      </c>
      <c r="H1623" s="380" t="s">
        <v>771</v>
      </c>
      <c r="I1623" s="380" t="s">
        <v>2459</v>
      </c>
      <c r="J1623" s="380" t="s">
        <v>773</v>
      </c>
      <c r="K1623" s="381">
        <v>0.0</v>
      </c>
      <c r="L1623" s="382">
        <v>1.0</v>
      </c>
    </row>
    <row r="1624">
      <c r="A1624" s="380" t="s">
        <v>2481</v>
      </c>
      <c r="B1624" s="380" t="str">
        <f>IFERROR(__xludf.DUMMYFUNCTION("""COMPUTED_VALUE"""),"Taladro Percutor De 1/2 Dw 515k")</f>
        <v>Taladro Percutor De 1/2 Dw 515k</v>
      </c>
      <c r="C1624" s="380" t="str">
        <f>IFERROR(__xludf.DUMMYFUNCTION("""COMPUTED_VALUE"""),"11000286")</f>
        <v>11000286</v>
      </c>
      <c r="D1624" s="380" t="s">
        <v>767</v>
      </c>
      <c r="E1624" s="380" t="s">
        <v>2305</v>
      </c>
      <c r="F1624" s="380" t="s">
        <v>2458</v>
      </c>
      <c r="G1624" s="380" t="s">
        <v>1267</v>
      </c>
      <c r="H1624" s="380" t="s">
        <v>771</v>
      </c>
      <c r="I1624" s="380" t="s">
        <v>2459</v>
      </c>
      <c r="J1624" s="380" t="s">
        <v>773</v>
      </c>
      <c r="K1624" s="381">
        <v>0.0</v>
      </c>
      <c r="L1624" s="382">
        <v>1.0</v>
      </c>
    </row>
    <row r="1625">
      <c r="A1625" s="380" t="s">
        <v>2482</v>
      </c>
      <c r="B1625" s="380" t="str">
        <f>IFERROR(__xludf.DUMMYFUNCTION("""COMPUTED_VALUE"""),"Pistola De Impacto 1"" Ir285a-6")</f>
        <v>Pistola De Impacto 1" Ir285a-6</v>
      </c>
      <c r="C1625" s="380" t="str">
        <f>IFERROR(__xludf.DUMMYFUNCTION("""COMPUTED_VALUE"""),"11000287")</f>
        <v>11000287</v>
      </c>
      <c r="D1625" s="380" t="s">
        <v>767</v>
      </c>
      <c r="E1625" s="380" t="s">
        <v>2305</v>
      </c>
      <c r="F1625" s="380" t="s">
        <v>2458</v>
      </c>
      <c r="G1625" s="380" t="s">
        <v>1267</v>
      </c>
      <c r="H1625" s="380" t="s">
        <v>771</v>
      </c>
      <c r="I1625" s="380" t="s">
        <v>2459</v>
      </c>
      <c r="J1625" s="380" t="s">
        <v>773</v>
      </c>
      <c r="K1625" s="381">
        <v>0.0</v>
      </c>
      <c r="L1625" s="382">
        <v>1.0</v>
      </c>
    </row>
    <row r="1626">
      <c r="A1626" s="380" t="s">
        <v>2483</v>
      </c>
      <c r="B1626" s="380" t="str">
        <f>IFERROR(__xludf.DUMMYFUNCTION("""COMPUTED_VALUE"""),"Engrasadora Neumatica 400 Lbs Y Pistola")</f>
        <v>Engrasadora Neumatica 400 Lbs Y Pistola</v>
      </c>
      <c r="C1626" s="380" t="str">
        <f>IFERROR(__xludf.DUMMYFUNCTION("""COMPUTED_VALUE"""),"11000288")</f>
        <v>11000288</v>
      </c>
      <c r="D1626" s="380" t="s">
        <v>767</v>
      </c>
      <c r="E1626" s="380" t="s">
        <v>2305</v>
      </c>
      <c r="F1626" s="380" t="s">
        <v>2458</v>
      </c>
      <c r="G1626" s="380" t="s">
        <v>1267</v>
      </c>
      <c r="H1626" s="380" t="s">
        <v>771</v>
      </c>
      <c r="I1626" s="380" t="s">
        <v>2459</v>
      </c>
      <c r="J1626" s="380" t="s">
        <v>773</v>
      </c>
      <c r="K1626" s="381">
        <v>0.0</v>
      </c>
      <c r="L1626" s="382">
        <v>1.0</v>
      </c>
    </row>
    <row r="1627">
      <c r="A1627" s="380" t="s">
        <v>2484</v>
      </c>
      <c r="B1627" s="380" t="str">
        <f>IFERROR(__xludf.DUMMYFUNCTION("""COMPUTED_VALUE"""),"Gato Tipo Caiman 10 Toneladas Nike")</f>
        <v>Gato Tipo Caiman 10 Toneladas Nike</v>
      </c>
      <c r="C1627" s="380" t="str">
        <f>IFERROR(__xludf.DUMMYFUNCTION("""COMPUTED_VALUE"""),"11000289")</f>
        <v>11000289</v>
      </c>
      <c r="D1627" s="380" t="s">
        <v>767</v>
      </c>
      <c r="E1627" s="380" t="s">
        <v>2305</v>
      </c>
      <c r="F1627" s="380" t="s">
        <v>2458</v>
      </c>
      <c r="G1627" s="380" t="s">
        <v>1267</v>
      </c>
      <c r="H1627" s="380" t="s">
        <v>771</v>
      </c>
      <c r="I1627" s="380" t="s">
        <v>2459</v>
      </c>
      <c r="J1627" s="380" t="s">
        <v>773</v>
      </c>
      <c r="K1627" s="381">
        <v>0.0</v>
      </c>
      <c r="L1627" s="382">
        <v>1.0</v>
      </c>
    </row>
    <row r="1628">
      <c r="A1628" s="380" t="s">
        <v>2485</v>
      </c>
      <c r="B1628" s="380" t="str">
        <f>IFERROR(__xludf.DUMMYFUNCTION("""COMPUTED_VALUE"""),"Cargador De Bateria 1-5-31-1100")</f>
        <v>Cargador De Bateria 1-5-31-1100</v>
      </c>
      <c r="C1628" s="380" t="str">
        <f>IFERROR(__xludf.DUMMYFUNCTION("""COMPUTED_VALUE"""),"11000290")</f>
        <v>11000290</v>
      </c>
      <c r="D1628" s="380" t="s">
        <v>767</v>
      </c>
      <c r="E1628" s="380" t="s">
        <v>2305</v>
      </c>
      <c r="F1628" s="380" t="s">
        <v>2458</v>
      </c>
      <c r="G1628" s="380" t="s">
        <v>1267</v>
      </c>
      <c r="H1628" s="380" t="s">
        <v>771</v>
      </c>
      <c r="I1628" s="380" t="s">
        <v>2459</v>
      </c>
      <c r="J1628" s="380" t="s">
        <v>773</v>
      </c>
      <c r="K1628" s="381">
        <v>0.0</v>
      </c>
      <c r="L1628" s="382">
        <v>1.0</v>
      </c>
    </row>
    <row r="1629">
      <c r="A1629" s="380" t="s">
        <v>2486</v>
      </c>
      <c r="B1629" s="380" t="str">
        <f>IFERROR(__xludf.DUMMYFUNCTION("""COMPUTED_VALUE"""),"Calibrador De Inyector Bosh")</f>
        <v>Calibrador De Inyector Bosh</v>
      </c>
      <c r="C1629" s="380" t="str">
        <f>IFERROR(__xludf.DUMMYFUNCTION("""COMPUTED_VALUE"""),"11000291")</f>
        <v>11000291</v>
      </c>
      <c r="D1629" s="380" t="s">
        <v>767</v>
      </c>
      <c r="E1629" s="380" t="s">
        <v>2305</v>
      </c>
      <c r="F1629" s="380" t="s">
        <v>2458</v>
      </c>
      <c r="G1629" s="380" t="s">
        <v>1267</v>
      </c>
      <c r="H1629" s="380" t="s">
        <v>771</v>
      </c>
      <c r="I1629" s="380" t="s">
        <v>2459</v>
      </c>
      <c r="J1629" s="380" t="s">
        <v>773</v>
      </c>
      <c r="K1629" s="381">
        <v>0.0</v>
      </c>
      <c r="L1629" s="382">
        <v>1.0</v>
      </c>
    </row>
    <row r="1630">
      <c r="A1630" s="380" t="s">
        <v>2487</v>
      </c>
      <c r="B1630" s="380" t="str">
        <f>IFERROR(__xludf.DUMMYFUNCTION("""COMPUTED_VALUE"""),"Torque Cuadrante 3/4 X 500 Lbs Proto")</f>
        <v>Torque Cuadrante 3/4 X 500 Lbs Proto</v>
      </c>
      <c r="C1630" s="380" t="str">
        <f>IFERROR(__xludf.DUMMYFUNCTION("""COMPUTED_VALUE"""),"11000292")</f>
        <v>11000292</v>
      </c>
      <c r="D1630" s="380" t="s">
        <v>767</v>
      </c>
      <c r="E1630" s="380" t="s">
        <v>2305</v>
      </c>
      <c r="F1630" s="380" t="s">
        <v>2458</v>
      </c>
      <c r="G1630" s="380" t="s">
        <v>1267</v>
      </c>
      <c r="H1630" s="380" t="s">
        <v>771</v>
      </c>
      <c r="I1630" s="380" t="s">
        <v>2459</v>
      </c>
      <c r="J1630" s="380" t="s">
        <v>773</v>
      </c>
      <c r="K1630" s="381">
        <v>0.0</v>
      </c>
      <c r="L1630" s="382">
        <v>1.0</v>
      </c>
    </row>
    <row r="1631">
      <c r="A1631" s="380" t="s">
        <v>2488</v>
      </c>
      <c r="B1631" s="380" t="str">
        <f>IFERROR(__xludf.DUMMYFUNCTION("""COMPUTED_VALUE"""),"Bomba Vacio 2 3 Aire Acondicionado")</f>
        <v>Bomba Vacio 2 3 Aire Acondicionado</v>
      </c>
      <c r="C1631" s="380" t="str">
        <f>IFERROR(__xludf.DUMMYFUNCTION("""COMPUTED_VALUE"""),"11000293")</f>
        <v>11000293</v>
      </c>
      <c r="D1631" s="380" t="s">
        <v>767</v>
      </c>
      <c r="E1631" s="380" t="s">
        <v>2305</v>
      </c>
      <c r="F1631" s="380" t="s">
        <v>2458</v>
      </c>
      <c r="G1631" s="380" t="s">
        <v>1267</v>
      </c>
      <c r="H1631" s="380" t="s">
        <v>771</v>
      </c>
      <c r="I1631" s="380" t="s">
        <v>2459</v>
      </c>
      <c r="J1631" s="380" t="s">
        <v>773</v>
      </c>
      <c r="K1631" s="381">
        <v>0.0</v>
      </c>
      <c r="L1631" s="382">
        <v>1.0</v>
      </c>
    </row>
    <row r="1632">
      <c r="A1632" s="380" t="s">
        <v>2489</v>
      </c>
      <c r="B1632" s="380" t="str">
        <f>IFERROR(__xludf.DUMMYFUNCTION("""COMPUTED_VALUE"""),"Regrabadora De Llantas")</f>
        <v>Regrabadora De Llantas</v>
      </c>
      <c r="C1632" s="380" t="str">
        <f>IFERROR(__xludf.DUMMYFUNCTION("""COMPUTED_VALUE"""),"11000294")</f>
        <v>11000294</v>
      </c>
      <c r="D1632" s="380" t="s">
        <v>767</v>
      </c>
      <c r="E1632" s="380" t="s">
        <v>2305</v>
      </c>
      <c r="F1632" s="380" t="s">
        <v>2458</v>
      </c>
      <c r="G1632" s="380" t="s">
        <v>1267</v>
      </c>
      <c r="H1632" s="380" t="s">
        <v>771</v>
      </c>
      <c r="I1632" s="380" t="s">
        <v>2459</v>
      </c>
      <c r="J1632" s="380" t="s">
        <v>773</v>
      </c>
      <c r="K1632" s="381">
        <v>0.0</v>
      </c>
      <c r="L1632" s="382">
        <v>1.0</v>
      </c>
    </row>
    <row r="1633">
      <c r="A1633" s="380" t="s">
        <v>2490</v>
      </c>
      <c r="B1633" s="380" t="str">
        <f>IFERROR(__xludf.DUMMYFUNCTION("""COMPUTED_VALUE"""),"Guadañadora Accesorios X 4 Unds")</f>
        <v>Guadañadora Accesorios X 4 Unds</v>
      </c>
      <c r="C1633" s="380" t="str">
        <f>IFERROR(__xludf.DUMMYFUNCTION("""COMPUTED_VALUE"""),"11000295")</f>
        <v>11000295</v>
      </c>
      <c r="D1633" s="380" t="s">
        <v>767</v>
      </c>
      <c r="E1633" s="380" t="s">
        <v>2305</v>
      </c>
      <c r="F1633" s="380" t="s">
        <v>2458</v>
      </c>
      <c r="G1633" s="380" t="s">
        <v>1267</v>
      </c>
      <c r="H1633" s="380" t="s">
        <v>771</v>
      </c>
      <c r="I1633" s="380" t="s">
        <v>2459</v>
      </c>
      <c r="J1633" s="380" t="s">
        <v>773</v>
      </c>
      <c r="K1633" s="381">
        <v>0.0</v>
      </c>
      <c r="L1633" s="382">
        <v>1.0</v>
      </c>
    </row>
    <row r="1634">
      <c r="A1634" s="380" t="s">
        <v>2491</v>
      </c>
      <c r="B1634" s="380" t="str">
        <f>IFERROR(__xludf.DUMMYFUNCTION("""COMPUTED_VALUE"""),"Banda Transpotadora Extensible")</f>
        <v>Banda Transpotadora Extensible</v>
      </c>
      <c r="C1634" s="380" t="str">
        <f>IFERROR(__xludf.DUMMYFUNCTION("""COMPUTED_VALUE"""),"11000296")</f>
        <v>11000296</v>
      </c>
      <c r="D1634" s="380" t="s">
        <v>767</v>
      </c>
      <c r="E1634" s="380" t="s">
        <v>2305</v>
      </c>
      <c r="F1634" s="380" t="s">
        <v>2458</v>
      </c>
      <c r="G1634" s="380" t="s">
        <v>1267</v>
      </c>
      <c r="H1634" s="380" t="s">
        <v>771</v>
      </c>
      <c r="I1634" s="380" t="s">
        <v>2459</v>
      </c>
      <c r="J1634" s="380" t="s">
        <v>773</v>
      </c>
      <c r="K1634" s="381">
        <v>0.0</v>
      </c>
      <c r="L1634" s="382">
        <v>1.0</v>
      </c>
    </row>
    <row r="1635">
      <c r="A1635" s="380" t="s">
        <v>2492</v>
      </c>
      <c r="B1635" s="380" t="str">
        <f>IFERROR(__xludf.DUMMYFUNCTION("""COMPUTED_VALUE"""),"Bomba Sume DrenAguasLlu 0.5Hp TrabLivian")</f>
        <v>Bomba Sume DrenAguasLlu 0.5Hp TrabLivian</v>
      </c>
      <c r="C1635" s="380" t="str">
        <f>IFERROR(__xludf.DUMMYFUNCTION("""COMPUTED_VALUE"""),"11000297")</f>
        <v>11000297</v>
      </c>
      <c r="D1635" s="380" t="s">
        <v>767</v>
      </c>
      <c r="E1635" s="380" t="s">
        <v>2305</v>
      </c>
      <c r="F1635" s="380" t="s">
        <v>2458</v>
      </c>
      <c r="G1635" s="380" t="s">
        <v>1267</v>
      </c>
      <c r="H1635" s="380" t="s">
        <v>771</v>
      </c>
      <c r="I1635" s="380" t="s">
        <v>2459</v>
      </c>
      <c r="J1635" s="380" t="s">
        <v>773</v>
      </c>
      <c r="K1635" s="381">
        <v>0.0</v>
      </c>
      <c r="L1635" s="382">
        <v>1.0</v>
      </c>
    </row>
    <row r="1636">
      <c r="A1636" s="380" t="s">
        <v>2493</v>
      </c>
      <c r="B1636" s="380" t="str">
        <f>IFERROR(__xludf.DUMMYFUNCTION("""COMPUTED_VALUE"""),"Aire Acondicionado TipoCasete 48.000 Btu")</f>
        <v>Aire Acondicionado TipoCasete 48.000 Btu</v>
      </c>
      <c r="C1636" s="380" t="str">
        <f>IFERROR(__xludf.DUMMYFUNCTION("""COMPUTED_VALUE"""),"11000298")</f>
        <v>11000298</v>
      </c>
      <c r="D1636" s="380" t="s">
        <v>767</v>
      </c>
      <c r="E1636" s="380" t="s">
        <v>2305</v>
      </c>
      <c r="F1636" s="380" t="s">
        <v>2458</v>
      </c>
      <c r="G1636" s="380" t="s">
        <v>1267</v>
      </c>
      <c r="H1636" s="380" t="s">
        <v>771</v>
      </c>
      <c r="I1636" s="380" t="s">
        <v>2459</v>
      </c>
      <c r="J1636" s="380" t="s">
        <v>773</v>
      </c>
      <c r="K1636" s="381">
        <v>0.0</v>
      </c>
      <c r="L1636" s="382">
        <v>1.0</v>
      </c>
    </row>
    <row r="1637">
      <c r="A1637" s="380" t="s">
        <v>2494</v>
      </c>
      <c r="B1637" s="380" t="str">
        <f>IFERROR(__xludf.DUMMYFUNCTION("""COMPUTED_VALUE"""),"Tanque Floculador Plant Trat Fabricado")</f>
        <v>Tanque Floculador Plant Trat Fabricado</v>
      </c>
      <c r="C1637" s="380" t="str">
        <f>IFERROR(__xludf.DUMMYFUNCTION("""COMPUTED_VALUE"""),"11000299")</f>
        <v>11000299</v>
      </c>
      <c r="D1637" s="380" t="s">
        <v>767</v>
      </c>
      <c r="E1637" s="380" t="s">
        <v>2305</v>
      </c>
      <c r="F1637" s="380" t="s">
        <v>2458</v>
      </c>
      <c r="G1637" s="380" t="s">
        <v>1267</v>
      </c>
      <c r="H1637" s="380" t="s">
        <v>771</v>
      </c>
      <c r="I1637" s="380" t="s">
        <v>2459</v>
      </c>
      <c r="J1637" s="380" t="s">
        <v>773</v>
      </c>
      <c r="K1637" s="381">
        <v>0.0</v>
      </c>
      <c r="L1637" s="382">
        <v>1.0</v>
      </c>
    </row>
    <row r="1638">
      <c r="A1638" s="380" t="s">
        <v>2495</v>
      </c>
      <c r="B1638" s="380" t="str">
        <f>IFERROR(__xludf.DUMMYFUNCTION("""COMPUTED_VALUE"""),"Bascula Portátil Pesa Caja 70kg Arrow")</f>
        <v>Bascula Portátil Pesa Caja 70kg Arrow</v>
      </c>
      <c r="C1638" s="380" t="str">
        <f>IFERROR(__xludf.DUMMYFUNCTION("""COMPUTED_VALUE"""),"11000300")</f>
        <v>11000300</v>
      </c>
      <c r="D1638" s="380" t="s">
        <v>767</v>
      </c>
      <c r="E1638" s="380" t="s">
        <v>2305</v>
      </c>
      <c r="F1638" s="380" t="s">
        <v>2458</v>
      </c>
      <c r="G1638" s="380" t="s">
        <v>1267</v>
      </c>
      <c r="H1638" s="380" t="s">
        <v>771</v>
      </c>
      <c r="I1638" s="380" t="s">
        <v>2459</v>
      </c>
      <c r="J1638" s="380" t="s">
        <v>773</v>
      </c>
      <c r="K1638" s="381">
        <v>0.0</v>
      </c>
      <c r="L1638" s="382">
        <v>1.0</v>
      </c>
    </row>
    <row r="1639">
      <c r="A1639" s="380" t="s">
        <v>2496</v>
      </c>
      <c r="B1639" s="380" t="str">
        <f>IFERROR(__xludf.DUMMYFUNCTION("""COMPUTED_VALUE"""),"Bomba Sum Trif Ihm 2Hp 2Pulg H20mWqk15-1")</f>
        <v>Bomba Sum Trif Ihm 2Hp 2Pulg H20mWqk15-1</v>
      </c>
      <c r="C1639" s="380" t="str">
        <f>IFERROR(__xludf.DUMMYFUNCTION("""COMPUTED_VALUE"""),"11000301")</f>
        <v>11000301</v>
      </c>
      <c r="D1639" s="380" t="s">
        <v>767</v>
      </c>
      <c r="E1639" s="380" t="s">
        <v>2305</v>
      </c>
      <c r="F1639" s="380" t="s">
        <v>2458</v>
      </c>
      <c r="G1639" s="380" t="s">
        <v>1267</v>
      </c>
      <c r="H1639" s="380" t="s">
        <v>771</v>
      </c>
      <c r="I1639" s="380" t="s">
        <v>2459</v>
      </c>
      <c r="J1639" s="380" t="s">
        <v>773</v>
      </c>
      <c r="K1639" s="381">
        <v>0.0</v>
      </c>
      <c r="L1639" s="382">
        <v>1.0</v>
      </c>
    </row>
    <row r="1640">
      <c r="A1640" s="380" t="s">
        <v>2497</v>
      </c>
      <c r="B1640" s="380" t="str">
        <f>IFERROR(__xludf.DUMMYFUNCTION("""COMPUTED_VALUE"""),"Tanque Hidroneumatico 100 L Diafragma")</f>
        <v>Tanque Hidroneumatico 100 L Diafragma</v>
      </c>
      <c r="C1640" s="380" t="str">
        <f>IFERROR(__xludf.DUMMYFUNCTION("""COMPUTED_VALUE"""),"11000302")</f>
        <v>11000302</v>
      </c>
      <c r="D1640" s="380" t="s">
        <v>767</v>
      </c>
      <c r="E1640" s="380" t="s">
        <v>2305</v>
      </c>
      <c r="F1640" s="380" t="s">
        <v>2458</v>
      </c>
      <c r="G1640" s="380" t="s">
        <v>1267</v>
      </c>
      <c r="H1640" s="380" t="s">
        <v>771</v>
      </c>
      <c r="I1640" s="380" t="s">
        <v>2459</v>
      </c>
      <c r="J1640" s="380" t="s">
        <v>773</v>
      </c>
      <c r="K1640" s="381">
        <v>0.0</v>
      </c>
      <c r="L1640" s="382">
        <v>1.0</v>
      </c>
    </row>
    <row r="1641">
      <c r="A1641" s="380" t="s">
        <v>2498</v>
      </c>
      <c r="B1641" s="380" t="str">
        <f>IFERROR(__xludf.DUMMYFUNCTION("""COMPUTED_VALUE"""),"Estibador De Altura Hidraulico Manual")</f>
        <v>Estibador De Altura Hidraulico Manual</v>
      </c>
      <c r="C1641" s="380" t="str">
        <f>IFERROR(__xludf.DUMMYFUNCTION("""COMPUTED_VALUE"""),"11000303")</f>
        <v>11000303</v>
      </c>
      <c r="D1641" s="380" t="s">
        <v>767</v>
      </c>
      <c r="E1641" s="380" t="s">
        <v>2305</v>
      </c>
      <c r="F1641" s="380" t="s">
        <v>2458</v>
      </c>
      <c r="G1641" s="380" t="s">
        <v>1267</v>
      </c>
      <c r="H1641" s="380" t="s">
        <v>771</v>
      </c>
      <c r="I1641" s="380" t="s">
        <v>2459</v>
      </c>
      <c r="J1641" s="380" t="s">
        <v>773</v>
      </c>
      <c r="K1641" s="381">
        <v>0.0</v>
      </c>
      <c r="L1641" s="382">
        <v>1.0</v>
      </c>
    </row>
    <row r="1642">
      <c r="A1642" s="380" t="s">
        <v>2499</v>
      </c>
      <c r="B1642" s="380" t="str">
        <f>IFERROR(__xludf.DUMMYFUNCTION("""COMPUTED_VALUE"""),"Prensa Hidraulica Industrial 30 Ton")</f>
        <v>Prensa Hidraulica Industrial 30 Ton</v>
      </c>
      <c r="C1642" s="380" t="str">
        <f>IFERROR(__xludf.DUMMYFUNCTION("""COMPUTED_VALUE"""),"11000304")</f>
        <v>11000304</v>
      </c>
      <c r="D1642" s="380" t="s">
        <v>767</v>
      </c>
      <c r="E1642" s="380" t="s">
        <v>2305</v>
      </c>
      <c r="F1642" s="380" t="s">
        <v>2458</v>
      </c>
      <c r="G1642" s="380" t="s">
        <v>1267</v>
      </c>
      <c r="H1642" s="380" t="s">
        <v>771</v>
      </c>
      <c r="I1642" s="380" t="s">
        <v>2459</v>
      </c>
      <c r="J1642" s="380" t="s">
        <v>773</v>
      </c>
      <c r="K1642" s="381">
        <v>0.0</v>
      </c>
      <c r="L1642" s="382">
        <v>1.0</v>
      </c>
    </row>
    <row r="1643">
      <c r="A1643" s="380" t="s">
        <v>2500</v>
      </c>
      <c r="B1643" s="380" t="str">
        <f>IFERROR(__xludf.DUMMYFUNCTION("""COMPUTED_VALUE"""),"Bomba Sum 5hpIhm220V SucDes 3"" Ihm 5 Hp")</f>
        <v>Bomba Sum 5hpIhm220V SucDes 3" Ihm 5 Hp</v>
      </c>
      <c r="C1643" s="380" t="str">
        <f>IFERROR(__xludf.DUMMYFUNCTION("""COMPUTED_VALUE"""),"11000305")</f>
        <v>11000305</v>
      </c>
      <c r="D1643" s="380" t="s">
        <v>767</v>
      </c>
      <c r="E1643" s="380" t="s">
        <v>2305</v>
      </c>
      <c r="F1643" s="380" t="s">
        <v>2458</v>
      </c>
      <c r="G1643" s="380" t="s">
        <v>1267</v>
      </c>
      <c r="H1643" s="380" t="s">
        <v>771</v>
      </c>
      <c r="I1643" s="380" t="s">
        <v>2459</v>
      </c>
      <c r="J1643" s="380" t="s">
        <v>773</v>
      </c>
      <c r="K1643" s="381">
        <v>0.0</v>
      </c>
      <c r="L1643" s="382">
        <v>1.0</v>
      </c>
    </row>
    <row r="1644">
      <c r="A1644" s="380" t="s">
        <v>2501</v>
      </c>
      <c r="B1644" s="380" t="str">
        <f>IFERROR(__xludf.DUMMYFUNCTION("""COMPUTED_VALUE"""),"Bomba Sum 1hpAceroInox Pearl110v Sd1 1/2")</f>
        <v>Bomba Sum 1hpAceroInox Pearl110v Sd1 1/2</v>
      </c>
      <c r="C1644" s="380" t="str">
        <f>IFERROR(__xludf.DUMMYFUNCTION("""COMPUTED_VALUE"""),"11000306")</f>
        <v>11000306</v>
      </c>
      <c r="D1644" s="380" t="s">
        <v>767</v>
      </c>
      <c r="E1644" s="380" t="s">
        <v>2305</v>
      </c>
      <c r="F1644" s="380" t="s">
        <v>2458</v>
      </c>
      <c r="G1644" s="380" t="s">
        <v>1267</v>
      </c>
      <c r="H1644" s="380" t="s">
        <v>771</v>
      </c>
      <c r="I1644" s="380" t="s">
        <v>2459</v>
      </c>
      <c r="J1644" s="380" t="s">
        <v>773</v>
      </c>
      <c r="K1644" s="381">
        <v>0.0</v>
      </c>
      <c r="L1644" s="382">
        <v>1.0</v>
      </c>
    </row>
    <row r="1645">
      <c r="A1645" s="380" t="s">
        <v>2502</v>
      </c>
      <c r="B1645" s="380" t="str">
        <f>IFERROR(__xludf.DUMMYFUNCTION("""COMPUTED_VALUE"""),"Equipo Soldadura Autogena X 9 Piezas")</f>
        <v>Equipo Soldadura Autogena X 9 Piezas</v>
      </c>
      <c r="C1645" s="380" t="str">
        <f>IFERROR(__xludf.DUMMYFUNCTION("""COMPUTED_VALUE"""),"11000307")</f>
        <v>11000307</v>
      </c>
      <c r="D1645" s="380" t="s">
        <v>767</v>
      </c>
      <c r="E1645" s="380" t="s">
        <v>2305</v>
      </c>
      <c r="F1645" s="380" t="s">
        <v>2458</v>
      </c>
      <c r="G1645" s="380" t="s">
        <v>1267</v>
      </c>
      <c r="H1645" s="380" t="s">
        <v>771</v>
      </c>
      <c r="I1645" s="380" t="s">
        <v>2459</v>
      </c>
      <c r="J1645" s="380" t="s">
        <v>773</v>
      </c>
      <c r="K1645" s="381">
        <v>0.0</v>
      </c>
      <c r="L1645" s="382">
        <v>1.0</v>
      </c>
    </row>
    <row r="1646">
      <c r="A1646" s="380" t="s">
        <v>2503</v>
      </c>
      <c r="B1646" s="380" t="str">
        <f>IFERROR(__xludf.DUMMYFUNCTION("""COMPUTED_VALUE"""),"Pistola Pintar Sagola-Devilbis")</f>
        <v>Pistola Pintar Sagola-Devilbis</v>
      </c>
      <c r="C1646" s="380" t="str">
        <f>IFERROR(__xludf.DUMMYFUNCTION("""COMPUTED_VALUE"""),"11000308")</f>
        <v>11000308</v>
      </c>
      <c r="D1646" s="380" t="s">
        <v>767</v>
      </c>
      <c r="E1646" s="380" t="s">
        <v>2305</v>
      </c>
      <c r="F1646" s="380" t="s">
        <v>2458</v>
      </c>
      <c r="G1646" s="380" t="s">
        <v>1267</v>
      </c>
      <c r="H1646" s="380" t="s">
        <v>771</v>
      </c>
      <c r="I1646" s="380" t="s">
        <v>2459</v>
      </c>
      <c r="J1646" s="380" t="s">
        <v>773</v>
      </c>
      <c r="K1646" s="381">
        <v>0.0</v>
      </c>
      <c r="L1646" s="382">
        <v>1.0</v>
      </c>
    </row>
    <row r="1647">
      <c r="A1647" s="380" t="s">
        <v>2504</v>
      </c>
      <c r="B1647" s="380" t="str">
        <f>IFERROR(__xludf.DUMMYFUNCTION("""COMPUTED_VALUE"""),"Pistola De Calor 1500w 50-600c° 250-500")</f>
        <v>Pistola De Calor 1500w 50-600c° 250-500</v>
      </c>
      <c r="C1647" s="380" t="str">
        <f>IFERROR(__xludf.DUMMYFUNCTION("""COMPUTED_VALUE"""),"11000309")</f>
        <v>11000309</v>
      </c>
      <c r="D1647" s="380" t="s">
        <v>767</v>
      </c>
      <c r="E1647" s="380" t="s">
        <v>2305</v>
      </c>
      <c r="F1647" s="380" t="s">
        <v>2458</v>
      </c>
      <c r="G1647" s="380" t="s">
        <v>1267</v>
      </c>
      <c r="H1647" s="380" t="s">
        <v>771</v>
      </c>
      <c r="I1647" s="380" t="s">
        <v>2459</v>
      </c>
      <c r="J1647" s="380" t="s">
        <v>773</v>
      </c>
      <c r="K1647" s="381">
        <v>0.0</v>
      </c>
      <c r="L1647" s="382">
        <v>1.0</v>
      </c>
    </row>
    <row r="1648">
      <c r="A1648" s="380" t="s">
        <v>2505</v>
      </c>
      <c r="B1648" s="380" t="str">
        <f>IFERROR(__xludf.DUMMYFUNCTION("""COMPUTED_VALUE"""),"Lijadora O 1/4-Pulg240w16000opmStanley")</f>
        <v>Lijadora O 1/4-Pulg240w16000opmStanley</v>
      </c>
      <c r="C1648" s="380" t="str">
        <f>IFERROR(__xludf.DUMMYFUNCTION("""COMPUTED_VALUE"""),"11000310")</f>
        <v>11000310</v>
      </c>
      <c r="D1648" s="380" t="s">
        <v>767</v>
      </c>
      <c r="E1648" s="380" t="s">
        <v>2305</v>
      </c>
      <c r="F1648" s="380" t="s">
        <v>2458</v>
      </c>
      <c r="G1648" s="380" t="s">
        <v>1267</v>
      </c>
      <c r="H1648" s="380" t="s">
        <v>771</v>
      </c>
      <c r="I1648" s="380" t="s">
        <v>2459</v>
      </c>
      <c r="J1648" s="380" t="s">
        <v>773</v>
      </c>
      <c r="K1648" s="381">
        <v>0.0</v>
      </c>
      <c r="L1648" s="382">
        <v>1.0</v>
      </c>
    </row>
    <row r="1649">
      <c r="A1649" s="380" t="s">
        <v>2506</v>
      </c>
      <c r="B1649" s="380" t="str">
        <f>IFERROR(__xludf.DUMMYFUNCTION("""COMPUTED_VALUE"""),"Sistema Almacenamiento Loc Craftman")</f>
        <v>Sistema Almacenamiento Loc Craftman</v>
      </c>
      <c r="C1649" s="380" t="str">
        <f>IFERROR(__xludf.DUMMYFUNCTION("""COMPUTED_VALUE"""),"11000311")</f>
        <v>11000311</v>
      </c>
      <c r="D1649" s="380" t="s">
        <v>767</v>
      </c>
      <c r="E1649" s="380" t="s">
        <v>2305</v>
      </c>
      <c r="F1649" s="380" t="s">
        <v>2458</v>
      </c>
      <c r="G1649" s="380" t="s">
        <v>1267</v>
      </c>
      <c r="H1649" s="380" t="s">
        <v>771</v>
      </c>
      <c r="I1649" s="380" t="s">
        <v>2459</v>
      </c>
      <c r="J1649" s="380" t="s">
        <v>773</v>
      </c>
      <c r="K1649" s="381">
        <v>0.0</v>
      </c>
      <c r="L1649" s="382">
        <v>1.0</v>
      </c>
    </row>
    <row r="1650">
      <c r="A1650" s="380" t="s">
        <v>2507</v>
      </c>
      <c r="B1650" s="380" t="str">
        <f>IFERROR(__xludf.DUMMYFUNCTION("""COMPUTED_VALUE"""),"Pulidora Ang 4-1/2 Stanley 900w12'000rpm")</f>
        <v>Pulidora Ang 4-1/2 Stanley 900w12'000rpm</v>
      </c>
      <c r="C1650" s="380" t="str">
        <f>IFERROR(__xludf.DUMMYFUNCTION("""COMPUTED_VALUE"""),"11000312")</f>
        <v>11000312</v>
      </c>
      <c r="D1650" s="380" t="s">
        <v>767</v>
      </c>
      <c r="E1650" s="380" t="s">
        <v>2305</v>
      </c>
      <c r="F1650" s="380" t="s">
        <v>2458</v>
      </c>
      <c r="G1650" s="380" t="s">
        <v>1267</v>
      </c>
      <c r="H1650" s="380" t="s">
        <v>771</v>
      </c>
      <c r="I1650" s="380" t="s">
        <v>2459</v>
      </c>
      <c r="J1650" s="380" t="s">
        <v>773</v>
      </c>
      <c r="K1650" s="381">
        <v>0.0</v>
      </c>
      <c r="L1650" s="382">
        <v>1.0</v>
      </c>
    </row>
    <row r="1651">
      <c r="A1651" s="380" t="s">
        <v>2508</v>
      </c>
      <c r="B1651" s="380" t="str">
        <f>IFERROR(__xludf.DUMMYFUNCTION("""COMPUTED_VALUE"""),"Compresor Aire 20Ltr Mang Pistola Elite")</f>
        <v>Compresor Aire 20Ltr Mang Pistola Elite</v>
      </c>
      <c r="C1651" s="380" t="str">
        <f>IFERROR(__xludf.DUMMYFUNCTION("""COMPUTED_VALUE"""),"11000313")</f>
        <v>11000313</v>
      </c>
      <c r="D1651" s="380" t="s">
        <v>767</v>
      </c>
      <c r="E1651" s="380" t="s">
        <v>2305</v>
      </c>
      <c r="F1651" s="380" t="s">
        <v>2458</v>
      </c>
      <c r="G1651" s="380" t="s">
        <v>1267</v>
      </c>
      <c r="H1651" s="380" t="s">
        <v>771</v>
      </c>
      <c r="I1651" s="380" t="s">
        <v>2459</v>
      </c>
      <c r="J1651" s="380" t="s">
        <v>773</v>
      </c>
      <c r="K1651" s="381">
        <v>0.0</v>
      </c>
      <c r="L1651" s="382">
        <v>1.0</v>
      </c>
    </row>
    <row r="1652">
      <c r="A1652" s="380" t="s">
        <v>2509</v>
      </c>
      <c r="B1652" s="380" t="str">
        <f>IFERROR(__xludf.DUMMYFUNCTION("""COMPUTED_VALUE"""),"Escalera Multip Aluminio 3.55mt 12 Pasos")</f>
        <v>Escalera Multip Aluminio 3.55mt 12 Pasos</v>
      </c>
      <c r="C1652" s="380" t="str">
        <f>IFERROR(__xludf.DUMMYFUNCTION("""COMPUTED_VALUE"""),"11000314")</f>
        <v>11000314</v>
      </c>
      <c r="D1652" s="380" t="s">
        <v>767</v>
      </c>
      <c r="E1652" s="380" t="s">
        <v>2305</v>
      </c>
      <c r="F1652" s="380" t="s">
        <v>2458</v>
      </c>
      <c r="G1652" s="380" t="s">
        <v>1267</v>
      </c>
      <c r="H1652" s="380" t="s">
        <v>771</v>
      </c>
      <c r="I1652" s="380" t="s">
        <v>2459</v>
      </c>
      <c r="J1652" s="380" t="s">
        <v>773</v>
      </c>
      <c r="K1652" s="381">
        <v>0.0</v>
      </c>
      <c r="L1652" s="382">
        <v>1.0</v>
      </c>
    </row>
    <row r="1653">
      <c r="A1653" s="380" t="s">
        <v>2510</v>
      </c>
      <c r="B1653" s="380" t="str">
        <f>IFERROR(__xludf.DUMMYFUNCTION("""COMPUTED_VALUE"""),"Planta Eléctrica 18 Kw / 22 Kva")</f>
        <v>Planta Eléctrica 18 Kw / 22 Kva</v>
      </c>
      <c r="C1653" s="380" t="str">
        <f>IFERROR(__xludf.DUMMYFUNCTION("""COMPUTED_VALUE"""),"11000315")</f>
        <v>11000315</v>
      </c>
      <c r="D1653" s="380" t="s">
        <v>767</v>
      </c>
      <c r="E1653" s="380" t="s">
        <v>2305</v>
      </c>
      <c r="F1653" s="380" t="s">
        <v>2458</v>
      </c>
      <c r="G1653" s="380" t="s">
        <v>1267</v>
      </c>
      <c r="H1653" s="380" t="s">
        <v>771</v>
      </c>
      <c r="I1653" s="380" t="s">
        <v>2459</v>
      </c>
      <c r="J1653" s="380" t="s">
        <v>773</v>
      </c>
      <c r="K1653" s="381">
        <v>0.0</v>
      </c>
      <c r="L1653" s="382">
        <v>1.0</v>
      </c>
    </row>
    <row r="1654">
      <c r="A1654" s="380" t="s">
        <v>2511</v>
      </c>
      <c r="B1654" s="380" t="str">
        <f>IFERROR(__xludf.DUMMYFUNCTION("""COMPUTED_VALUE"""),"Maquina Para Hacer Crispetas")</f>
        <v>Maquina Para Hacer Crispetas</v>
      </c>
      <c r="C1654" s="380" t="str">
        <f>IFERROR(__xludf.DUMMYFUNCTION("""COMPUTED_VALUE"""),"11000316")</f>
        <v>11000316</v>
      </c>
      <c r="D1654" s="380" t="s">
        <v>767</v>
      </c>
      <c r="E1654" s="380" t="s">
        <v>2305</v>
      </c>
      <c r="F1654" s="380" t="s">
        <v>2458</v>
      </c>
      <c r="G1654" s="380" t="s">
        <v>1267</v>
      </c>
      <c r="H1654" s="380" t="s">
        <v>771</v>
      </c>
      <c r="I1654" s="380" t="s">
        <v>2459</v>
      </c>
      <c r="J1654" s="380" t="s">
        <v>773</v>
      </c>
      <c r="K1654" s="381">
        <v>0.0</v>
      </c>
      <c r="L1654" s="382">
        <v>1.0</v>
      </c>
    </row>
    <row r="1655">
      <c r="A1655" s="380" t="s">
        <v>2512</v>
      </c>
      <c r="B1655" s="380" t="str">
        <f>IFERROR(__xludf.DUMMYFUNCTION("""COMPUTED_VALUE"""),"Maquina Lavado Remolques Bitimec Elect")</f>
        <v>Maquina Lavado Remolques Bitimec Elect</v>
      </c>
      <c r="C1655" s="380" t="str">
        <f>IFERROR(__xludf.DUMMYFUNCTION("""COMPUTED_VALUE"""),"11000317")</f>
        <v>11000317</v>
      </c>
      <c r="D1655" s="380" t="s">
        <v>767</v>
      </c>
      <c r="E1655" s="380" t="s">
        <v>2305</v>
      </c>
      <c r="F1655" s="380" t="s">
        <v>2458</v>
      </c>
      <c r="G1655" s="380" t="s">
        <v>1267</v>
      </c>
      <c r="H1655" s="380" t="s">
        <v>771</v>
      </c>
      <c r="I1655" s="380" t="s">
        <v>2459</v>
      </c>
      <c r="J1655" s="380" t="s">
        <v>773</v>
      </c>
      <c r="K1655" s="381">
        <v>0.0</v>
      </c>
      <c r="L1655" s="382">
        <v>1.0</v>
      </c>
    </row>
    <row r="1656">
      <c r="A1656" s="380" t="s">
        <v>2513</v>
      </c>
      <c r="B1656" s="380" t="str">
        <f>IFERROR(__xludf.DUMMYFUNCTION("""COMPUTED_VALUE"""),"Soldador Inversor 15-120amp 110v/220v")</f>
        <v>Soldador Inversor 15-120amp 110v/220v</v>
      </c>
      <c r="C1656" s="380" t="str">
        <f>IFERROR(__xludf.DUMMYFUNCTION("""COMPUTED_VALUE"""),"11000318")</f>
        <v>11000318</v>
      </c>
      <c r="D1656" s="380" t="s">
        <v>767</v>
      </c>
      <c r="E1656" s="380" t="s">
        <v>2305</v>
      </c>
      <c r="F1656" s="380" t="s">
        <v>2458</v>
      </c>
      <c r="G1656" s="380" t="s">
        <v>1267</v>
      </c>
      <c r="H1656" s="380" t="s">
        <v>771</v>
      </c>
      <c r="I1656" s="380" t="s">
        <v>2459</v>
      </c>
      <c r="J1656" s="380" t="s">
        <v>773</v>
      </c>
      <c r="K1656" s="381">
        <v>0.0</v>
      </c>
      <c r="L1656" s="382">
        <v>1.0</v>
      </c>
    </row>
    <row r="1657">
      <c r="A1657" s="380" t="s">
        <v>2514</v>
      </c>
      <c r="B1657" s="380" t="str">
        <f>IFERROR(__xludf.DUMMYFUNCTION("""COMPUTED_VALUE"""),"Dispensador Urea Speeddispenser1m1p10gpm")</f>
        <v>Dispensador Urea Speeddispenser1m1p10gpm</v>
      </c>
      <c r="C1657" s="380" t="str">
        <f>IFERROR(__xludf.DUMMYFUNCTION("""COMPUTED_VALUE"""),"11000319")</f>
        <v>11000319</v>
      </c>
      <c r="D1657" s="380" t="s">
        <v>767</v>
      </c>
      <c r="E1657" s="380" t="s">
        <v>2305</v>
      </c>
      <c r="F1657" s="380" t="s">
        <v>2458</v>
      </c>
      <c r="G1657" s="380" t="s">
        <v>1267</v>
      </c>
      <c r="H1657" s="380" t="s">
        <v>771</v>
      </c>
      <c r="I1657" s="380" t="s">
        <v>2459</v>
      </c>
      <c r="J1657" s="380" t="s">
        <v>773</v>
      </c>
      <c r="K1657" s="381">
        <v>0.0</v>
      </c>
      <c r="L1657" s="382">
        <v>1.0</v>
      </c>
    </row>
    <row r="1658">
      <c r="A1658" s="380" t="s">
        <v>2515</v>
      </c>
      <c r="B1658" s="380" t="str">
        <f>IFERROR(__xludf.DUMMYFUNCTION("""COMPUTED_VALUE"""),"Regulador Vol Kenzor- ModeloKt-E 30Vol")</f>
        <v>Regulador Vol Kenzor- ModeloKt-E 30Vol</v>
      </c>
      <c r="C1658" s="380" t="str">
        <f>IFERROR(__xludf.DUMMYFUNCTION("""COMPUTED_VALUE"""),"11000320")</f>
        <v>11000320</v>
      </c>
      <c r="D1658" s="380" t="s">
        <v>767</v>
      </c>
      <c r="E1658" s="380" t="s">
        <v>2305</v>
      </c>
      <c r="F1658" s="380" t="s">
        <v>2458</v>
      </c>
      <c r="G1658" s="380" t="s">
        <v>1267</v>
      </c>
      <c r="H1658" s="380" t="s">
        <v>771</v>
      </c>
      <c r="I1658" s="380" t="s">
        <v>2459</v>
      </c>
      <c r="J1658" s="380" t="s">
        <v>773</v>
      </c>
      <c r="K1658" s="381">
        <v>0.0</v>
      </c>
      <c r="L1658" s="382">
        <v>1.0</v>
      </c>
    </row>
    <row r="1659">
      <c r="A1659" s="380" t="s">
        <v>2516</v>
      </c>
      <c r="B1659" s="380" t="str">
        <f>IFERROR(__xludf.DUMMYFUNCTION("""COMPUTED_VALUE"""),"Llave Impacto 1/2pulg Lxt18vBlxpt 330n.M")</f>
        <v>Llave Impacto 1/2pulg Lxt18vBlxpt 330n.M</v>
      </c>
      <c r="C1659" s="380" t="str">
        <f>IFERROR(__xludf.DUMMYFUNCTION("""COMPUTED_VALUE"""),"11000321")</f>
        <v>11000321</v>
      </c>
      <c r="D1659" s="380" t="s">
        <v>767</v>
      </c>
      <c r="E1659" s="380" t="s">
        <v>2305</v>
      </c>
      <c r="F1659" s="380" t="s">
        <v>2458</v>
      </c>
      <c r="G1659" s="380" t="s">
        <v>1267</v>
      </c>
      <c r="H1659" s="380" t="s">
        <v>771</v>
      </c>
      <c r="I1659" s="380" t="s">
        <v>2459</v>
      </c>
      <c r="J1659" s="380" t="s">
        <v>773</v>
      </c>
      <c r="K1659" s="381">
        <v>0.0</v>
      </c>
      <c r="L1659" s="382">
        <v>1.0</v>
      </c>
    </row>
    <row r="1660">
      <c r="A1660" s="380" t="s">
        <v>2517</v>
      </c>
      <c r="B1660" s="380" t="str">
        <f>IFERROR(__xludf.DUMMYFUNCTION("""COMPUTED_VALUE"""),"Gato Tipo Caiman 5 Toneladas")</f>
        <v>Gato Tipo Caiman 5 Toneladas</v>
      </c>
      <c r="C1660" s="380" t="str">
        <f>IFERROR(__xludf.DUMMYFUNCTION("""COMPUTED_VALUE"""),"11000322")</f>
        <v>11000322</v>
      </c>
      <c r="D1660" s="380" t="s">
        <v>767</v>
      </c>
      <c r="E1660" s="380" t="s">
        <v>2305</v>
      </c>
      <c r="F1660" s="380" t="s">
        <v>2458</v>
      </c>
      <c r="G1660" s="380" t="s">
        <v>1267</v>
      </c>
      <c r="H1660" s="380" t="s">
        <v>771</v>
      </c>
      <c r="I1660" s="380" t="s">
        <v>2459</v>
      </c>
      <c r="J1660" s="380" t="s">
        <v>773</v>
      </c>
      <c r="K1660" s="381">
        <v>0.0</v>
      </c>
      <c r="L1660" s="382">
        <v>1.0</v>
      </c>
    </row>
    <row r="1661">
      <c r="A1661" s="380" t="s">
        <v>2518</v>
      </c>
      <c r="B1661" s="380" t="str">
        <f>IFERROR(__xludf.DUMMYFUNCTION("""COMPUTED_VALUE"""),"Escalera Cert Ext FibVidrio24 Peldaño")</f>
        <v>Escalera Cert Ext FibVidrio24 Peldaño</v>
      </c>
      <c r="C1661" s="380" t="str">
        <f>IFERROR(__xludf.DUMMYFUNCTION("""COMPUTED_VALUE"""),"11000323")</f>
        <v>11000323</v>
      </c>
      <c r="D1661" s="380" t="s">
        <v>767</v>
      </c>
      <c r="E1661" s="380" t="s">
        <v>2305</v>
      </c>
      <c r="F1661" s="380" t="s">
        <v>2458</v>
      </c>
      <c r="G1661" s="380" t="s">
        <v>1267</v>
      </c>
      <c r="H1661" s="380" t="s">
        <v>771</v>
      </c>
      <c r="I1661" s="380" t="s">
        <v>2459</v>
      </c>
      <c r="J1661" s="380" t="s">
        <v>773</v>
      </c>
      <c r="K1661" s="381">
        <v>0.0</v>
      </c>
      <c r="L1661" s="382">
        <v>1.0</v>
      </c>
    </row>
    <row r="1662">
      <c r="A1662" s="380" t="s">
        <v>2519</v>
      </c>
      <c r="B1662" s="380" t="str">
        <f>IFERROR(__xludf.DUMMYFUNCTION("""COMPUTED_VALUE"""),"Maquina De Drenaje Destapa Tuberias")</f>
        <v>Maquina De Drenaje Destapa Tuberias</v>
      </c>
      <c r="C1662" s="380" t="str">
        <f>IFERROR(__xludf.DUMMYFUNCTION("""COMPUTED_VALUE"""),"11000324")</f>
        <v>11000324</v>
      </c>
      <c r="D1662" s="380" t="s">
        <v>767</v>
      </c>
      <c r="E1662" s="380" t="s">
        <v>2305</v>
      </c>
      <c r="F1662" s="380" t="s">
        <v>2458</v>
      </c>
      <c r="G1662" s="380" t="s">
        <v>1267</v>
      </c>
      <c r="H1662" s="380" t="s">
        <v>771</v>
      </c>
      <c r="I1662" s="380" t="s">
        <v>2459</v>
      </c>
      <c r="J1662" s="380" t="s">
        <v>773</v>
      </c>
      <c r="K1662" s="381">
        <v>0.0</v>
      </c>
      <c r="L1662" s="382">
        <v>1.0</v>
      </c>
    </row>
    <row r="1663">
      <c r="A1663" s="380" t="s">
        <v>2520</v>
      </c>
      <c r="B1663" s="380" t="str">
        <f>IFERROR(__xludf.DUMMYFUNCTION("""COMPUTED_VALUE"""),"Trotadora Electrica Gimnasio Ruta Nal")</f>
        <v>Trotadora Electrica Gimnasio Ruta Nal</v>
      </c>
      <c r="C1663" s="380" t="str">
        <f>IFERROR(__xludf.DUMMYFUNCTION("""COMPUTED_VALUE"""),"11000325")</f>
        <v>11000325</v>
      </c>
      <c r="D1663" s="380" t="s">
        <v>767</v>
      </c>
      <c r="E1663" s="380" t="s">
        <v>2305</v>
      </c>
      <c r="F1663" s="380" t="s">
        <v>2458</v>
      </c>
      <c r="G1663" s="380" t="s">
        <v>1267</v>
      </c>
      <c r="H1663" s="380" t="s">
        <v>771</v>
      </c>
      <c r="I1663" s="380" t="s">
        <v>2459</v>
      </c>
      <c r="J1663" s="380" t="s">
        <v>773</v>
      </c>
      <c r="K1663" s="381">
        <v>0.0</v>
      </c>
      <c r="L1663" s="382">
        <v>1.0</v>
      </c>
    </row>
    <row r="1664">
      <c r="A1664" s="380" t="s">
        <v>2521</v>
      </c>
      <c r="B1664" s="380" t="str">
        <f>IFERROR(__xludf.DUMMYFUNCTION("""COMPUTED_VALUE"""),"Planta Electrica Diesel 50 Kva Trifasica")</f>
        <v>Planta Electrica Diesel 50 Kva Trifasica</v>
      </c>
      <c r="C1664" s="380" t="str">
        <f>IFERROR(__xludf.DUMMYFUNCTION("""COMPUTED_VALUE"""),"11000326")</f>
        <v>11000326</v>
      </c>
      <c r="D1664" s="380" t="s">
        <v>767</v>
      </c>
      <c r="E1664" s="380" t="s">
        <v>2305</v>
      </c>
      <c r="F1664" s="380" t="s">
        <v>2458</v>
      </c>
      <c r="G1664" s="380" t="s">
        <v>1267</v>
      </c>
      <c r="H1664" s="380" t="s">
        <v>771</v>
      </c>
      <c r="I1664" s="380" t="s">
        <v>2459</v>
      </c>
      <c r="J1664" s="380" t="s">
        <v>773</v>
      </c>
      <c r="K1664" s="381">
        <v>0.0</v>
      </c>
      <c r="L1664" s="382">
        <v>1.0</v>
      </c>
    </row>
    <row r="1665">
      <c r="A1665" s="380" t="s">
        <v>2522</v>
      </c>
      <c r="B1665" s="380" t="str">
        <f>IFERROR(__xludf.DUMMYFUNCTION("""COMPUTED_VALUE"""),"Equipo Soldador Tig 250 Ac/Dc")</f>
        <v>Equipo Soldador Tig 250 Ac/Dc</v>
      </c>
      <c r="C1665" s="380" t="str">
        <f>IFERROR(__xludf.DUMMYFUNCTION("""COMPUTED_VALUE"""),"11000327")</f>
        <v>11000327</v>
      </c>
      <c r="D1665" s="380" t="s">
        <v>767</v>
      </c>
      <c r="E1665" s="380" t="s">
        <v>2305</v>
      </c>
      <c r="F1665" s="380" t="s">
        <v>2458</v>
      </c>
      <c r="G1665" s="380" t="s">
        <v>1267</v>
      </c>
      <c r="H1665" s="380" t="s">
        <v>771</v>
      </c>
      <c r="I1665" s="380" t="s">
        <v>2459</v>
      </c>
      <c r="J1665" s="380" t="s">
        <v>773</v>
      </c>
      <c r="K1665" s="381">
        <v>0.0</v>
      </c>
      <c r="L1665" s="382">
        <v>1.0</v>
      </c>
    </row>
    <row r="1666">
      <c r="A1666" s="380" t="s">
        <v>2523</v>
      </c>
      <c r="B1666" s="380" t="str">
        <f>IFERROR(__xludf.DUMMYFUNCTION("""COMPUTED_VALUE"""),"Herramienta Ajuste Bloq Quinta R Holland")</f>
        <v>Herramienta Ajuste Bloq Quinta R Holland</v>
      </c>
      <c r="C1666" s="380" t="str">
        <f>IFERROR(__xludf.DUMMYFUNCTION("""COMPUTED_VALUE"""),"11000328")</f>
        <v>11000328</v>
      </c>
      <c r="D1666" s="380" t="s">
        <v>767</v>
      </c>
      <c r="E1666" s="380" t="s">
        <v>2305</v>
      </c>
      <c r="F1666" s="380" t="s">
        <v>2458</v>
      </c>
      <c r="G1666" s="380" t="s">
        <v>1267</v>
      </c>
      <c r="H1666" s="380" t="s">
        <v>771</v>
      </c>
      <c r="I1666" s="380" t="s">
        <v>2459</v>
      </c>
      <c r="J1666" s="380" t="s">
        <v>773</v>
      </c>
      <c r="K1666" s="381">
        <v>0.0</v>
      </c>
      <c r="L1666" s="382">
        <v>1.0</v>
      </c>
    </row>
    <row r="1667">
      <c r="A1667" s="380" t="s">
        <v>2524</v>
      </c>
      <c r="B1667" s="380" t="str">
        <f>IFERROR(__xludf.DUMMYFUNCTION("""COMPUTED_VALUE"""),"Sistema Acc Andamios Mant 0.75m X3m")</f>
        <v>Sistema Acc Andamios Mant 0.75m X3m</v>
      </c>
      <c r="C1667" s="380" t="str">
        <f>IFERROR(__xludf.DUMMYFUNCTION("""COMPUTED_VALUE"""),"11000329")</f>
        <v>11000329</v>
      </c>
      <c r="D1667" s="380" t="s">
        <v>767</v>
      </c>
      <c r="E1667" s="380" t="s">
        <v>2305</v>
      </c>
      <c r="F1667" s="380" t="s">
        <v>2458</v>
      </c>
      <c r="G1667" s="380" t="s">
        <v>1267</v>
      </c>
      <c r="H1667" s="380" t="s">
        <v>771</v>
      </c>
      <c r="I1667" s="380" t="s">
        <v>2459</v>
      </c>
      <c r="J1667" s="380" t="s">
        <v>773</v>
      </c>
      <c r="K1667" s="381">
        <v>0.0</v>
      </c>
      <c r="L1667" s="382">
        <v>1.0</v>
      </c>
    </row>
    <row r="1668">
      <c r="A1668" s="380" t="s">
        <v>2525</v>
      </c>
      <c r="B1668" s="380" t="str">
        <f>IFERROR(__xludf.DUMMYFUNCTION("""COMPUTED_VALUE"""),"Sistema Acceso Andamio Infra 2.10mx2.10")</f>
        <v>Sistema Acceso Andamio Infra 2.10mx2.10</v>
      </c>
      <c r="C1668" s="380" t="str">
        <f>IFERROR(__xludf.DUMMYFUNCTION("""COMPUTED_VALUE"""),"11000330")</f>
        <v>11000330</v>
      </c>
      <c r="D1668" s="380" t="s">
        <v>767</v>
      </c>
      <c r="E1668" s="380" t="s">
        <v>2305</v>
      </c>
      <c r="F1668" s="380" t="s">
        <v>2458</v>
      </c>
      <c r="G1668" s="380" t="s">
        <v>1267</v>
      </c>
      <c r="H1668" s="380" t="s">
        <v>771</v>
      </c>
      <c r="I1668" s="380" t="s">
        <v>2459</v>
      </c>
      <c r="J1668" s="380" t="s">
        <v>773</v>
      </c>
      <c r="K1668" s="381">
        <v>0.0</v>
      </c>
      <c r="L1668" s="382">
        <v>1.0</v>
      </c>
    </row>
    <row r="1669">
      <c r="A1669" s="380" t="s">
        <v>2526</v>
      </c>
      <c r="B1669" s="380" t="str">
        <f>IFERROR(__xludf.DUMMYFUNCTION("""COMPUTED_VALUE"""),"Mancuernas De 2x2 Kg")</f>
        <v>Mancuernas De 2x2 Kg</v>
      </c>
      <c r="C1669" s="380" t="str">
        <f>IFERROR(__xludf.DUMMYFUNCTION("""COMPUTED_VALUE"""),"11000331")</f>
        <v>11000331</v>
      </c>
      <c r="D1669" s="380" t="s">
        <v>767</v>
      </c>
      <c r="E1669" s="380" t="s">
        <v>2305</v>
      </c>
      <c r="F1669" s="380" t="s">
        <v>2458</v>
      </c>
      <c r="G1669" s="380" t="s">
        <v>1267</v>
      </c>
      <c r="H1669" s="380" t="s">
        <v>771</v>
      </c>
      <c r="I1669" s="380" t="s">
        <v>2459</v>
      </c>
      <c r="J1669" s="380" t="s">
        <v>773</v>
      </c>
      <c r="K1669" s="381">
        <v>0.0</v>
      </c>
      <c r="L1669" s="382">
        <v>1.0</v>
      </c>
    </row>
    <row r="1670">
      <c r="A1670" s="380" t="s">
        <v>2527</v>
      </c>
      <c r="B1670" s="380" t="str">
        <f>IFERROR(__xludf.DUMMYFUNCTION("""COMPUTED_VALUE"""),"Disco Pesa 20 Kg")</f>
        <v>Disco Pesa 20 Kg</v>
      </c>
      <c r="C1670" s="380" t="str">
        <f>IFERROR(__xludf.DUMMYFUNCTION("""COMPUTED_VALUE"""),"11000332")</f>
        <v>11000332</v>
      </c>
      <c r="D1670" s="380" t="s">
        <v>767</v>
      </c>
      <c r="E1670" s="380" t="s">
        <v>2305</v>
      </c>
      <c r="F1670" s="380" t="s">
        <v>2458</v>
      </c>
      <c r="G1670" s="380" t="s">
        <v>1267</v>
      </c>
      <c r="H1670" s="380" t="s">
        <v>771</v>
      </c>
      <c r="I1670" s="380" t="s">
        <v>2459</v>
      </c>
      <c r="J1670" s="380" t="s">
        <v>773</v>
      </c>
      <c r="K1670" s="381">
        <v>0.0</v>
      </c>
      <c r="L1670" s="382">
        <v>1.0</v>
      </c>
    </row>
    <row r="1671">
      <c r="A1671" s="380" t="s">
        <v>2528</v>
      </c>
      <c r="B1671" s="380" t="str">
        <f>IFERROR(__xludf.DUMMYFUNCTION("""COMPUTED_VALUE"""),"Tijera Plataforma Escualizable Tipo Ia")</f>
        <v>Tijera Plataforma Escualizable Tipo Ia</v>
      </c>
      <c r="C1671" s="380" t="str">
        <f>IFERROR(__xludf.DUMMYFUNCTION("""COMPUTED_VALUE"""),"11000333")</f>
        <v>11000333</v>
      </c>
      <c r="D1671" s="380" t="s">
        <v>767</v>
      </c>
      <c r="E1671" s="380" t="s">
        <v>2305</v>
      </c>
      <c r="F1671" s="380" t="s">
        <v>2458</v>
      </c>
      <c r="G1671" s="380" t="s">
        <v>1267</v>
      </c>
      <c r="H1671" s="380" t="s">
        <v>771</v>
      </c>
      <c r="I1671" s="380" t="s">
        <v>2459</v>
      </c>
      <c r="J1671" s="380" t="s">
        <v>773</v>
      </c>
      <c r="K1671" s="381">
        <v>0.0</v>
      </c>
      <c r="L1671" s="382">
        <v>1.0</v>
      </c>
    </row>
    <row r="1672">
      <c r="A1672" s="380" t="s">
        <v>2529</v>
      </c>
      <c r="B1672" s="380" t="str">
        <f>IFERROR(__xludf.DUMMYFUNCTION("""COMPUTED_VALUE"""),"Tanque Agua 2000 Litros")</f>
        <v>Tanque Agua 2000 Litros</v>
      </c>
      <c r="C1672" s="380" t="str">
        <f>IFERROR(__xludf.DUMMYFUNCTION("""COMPUTED_VALUE"""),"11000334")</f>
        <v>11000334</v>
      </c>
      <c r="D1672" s="380" t="s">
        <v>767</v>
      </c>
      <c r="E1672" s="380" t="s">
        <v>2305</v>
      </c>
      <c r="F1672" s="380" t="s">
        <v>2458</v>
      </c>
      <c r="G1672" s="380" t="s">
        <v>1267</v>
      </c>
      <c r="H1672" s="380" t="s">
        <v>771</v>
      </c>
      <c r="I1672" s="380" t="s">
        <v>2459</v>
      </c>
      <c r="J1672" s="380" t="s">
        <v>773</v>
      </c>
      <c r="K1672" s="381">
        <v>0.0</v>
      </c>
      <c r="L1672" s="382">
        <v>1.0</v>
      </c>
    </row>
    <row r="1673">
      <c r="A1673" s="380" t="s">
        <v>2530</v>
      </c>
      <c r="B1673" s="380" t="str">
        <f>IFERROR(__xludf.DUMMYFUNCTION("""COMPUTED_VALUE"""),"Escalera Plat Escualizable De 14 Pasos")</f>
        <v>Escalera Plat Escualizable De 14 Pasos</v>
      </c>
      <c r="C1673" s="380" t="str">
        <f>IFERROR(__xludf.DUMMYFUNCTION("""COMPUTED_VALUE"""),"11000335")</f>
        <v>11000335</v>
      </c>
      <c r="D1673" s="380" t="s">
        <v>767</v>
      </c>
      <c r="E1673" s="380" t="s">
        <v>2305</v>
      </c>
      <c r="F1673" s="380" t="s">
        <v>2458</v>
      </c>
      <c r="G1673" s="380" t="s">
        <v>1267</v>
      </c>
      <c r="H1673" s="380" t="s">
        <v>771</v>
      </c>
      <c r="I1673" s="380" t="s">
        <v>2459</v>
      </c>
      <c r="J1673" s="380" t="s">
        <v>773</v>
      </c>
      <c r="K1673" s="381">
        <v>0.0</v>
      </c>
      <c r="L1673" s="382">
        <v>1.0</v>
      </c>
    </row>
    <row r="1674">
      <c r="A1674" s="380" t="s">
        <v>2531</v>
      </c>
      <c r="B1674" s="380" t="str">
        <f>IFERROR(__xludf.DUMMYFUNCTION("""COMPUTED_VALUE"""),"Serpentin 12000btu")</f>
        <v>Serpentin 12000btu</v>
      </c>
      <c r="C1674" s="380" t="str">
        <f>IFERROR(__xludf.DUMMYFUNCTION("""COMPUTED_VALUE"""),"11000336")</f>
        <v>11000336</v>
      </c>
      <c r="D1674" s="380" t="s">
        <v>767</v>
      </c>
      <c r="E1674" s="380" t="s">
        <v>2305</v>
      </c>
      <c r="F1674" s="380" t="s">
        <v>2458</v>
      </c>
      <c r="G1674" s="380" t="s">
        <v>1267</v>
      </c>
      <c r="H1674" s="380" t="s">
        <v>771</v>
      </c>
      <c r="I1674" s="380" t="s">
        <v>2459</v>
      </c>
      <c r="J1674" s="380" t="s">
        <v>773</v>
      </c>
      <c r="K1674" s="381">
        <v>0.0</v>
      </c>
      <c r="L1674" s="382">
        <v>1.0</v>
      </c>
    </row>
    <row r="1675">
      <c r="A1675" s="380" t="s">
        <v>2532</v>
      </c>
      <c r="B1675" s="380" t="str">
        <f>IFERROR(__xludf.DUMMYFUNCTION("""COMPUTED_VALUE"""),"Pulmon 80 Galones Vertical")</f>
        <v>Pulmon 80 Galones Vertical</v>
      </c>
      <c r="C1675" s="380" t="str">
        <f>IFERROR(__xludf.DUMMYFUNCTION("""COMPUTED_VALUE"""),"11000337")</f>
        <v>11000337</v>
      </c>
      <c r="D1675" s="380" t="s">
        <v>767</v>
      </c>
      <c r="E1675" s="380" t="s">
        <v>2305</v>
      </c>
      <c r="F1675" s="380" t="s">
        <v>2458</v>
      </c>
      <c r="G1675" s="380" t="s">
        <v>1267</v>
      </c>
      <c r="H1675" s="380" t="s">
        <v>771</v>
      </c>
      <c r="I1675" s="380" t="s">
        <v>2459</v>
      </c>
      <c r="J1675" s="380" t="s">
        <v>773</v>
      </c>
      <c r="K1675" s="381">
        <v>0.0</v>
      </c>
      <c r="L1675" s="382">
        <v>1.0</v>
      </c>
    </row>
    <row r="1676">
      <c r="A1676" s="380" t="s">
        <v>2533</v>
      </c>
      <c r="B1676" s="380" t="str">
        <f>IFERROR(__xludf.DUMMYFUNCTION("""COMPUTED_VALUE"""),"Compresor 9000 Btu A 220v")</f>
        <v>Compresor 9000 Btu A 220v</v>
      </c>
      <c r="C1676" s="380" t="str">
        <f>IFERROR(__xludf.DUMMYFUNCTION("""COMPUTED_VALUE"""),"11000338")</f>
        <v>11000338</v>
      </c>
      <c r="D1676" s="380" t="s">
        <v>767</v>
      </c>
      <c r="E1676" s="380" t="s">
        <v>2305</v>
      </c>
      <c r="F1676" s="380" t="s">
        <v>2458</v>
      </c>
      <c r="G1676" s="380" t="s">
        <v>1267</v>
      </c>
      <c r="H1676" s="380" t="s">
        <v>771</v>
      </c>
      <c r="I1676" s="380" t="s">
        <v>2459</v>
      </c>
      <c r="J1676" s="380" t="s">
        <v>773</v>
      </c>
      <c r="K1676" s="381">
        <v>0.0</v>
      </c>
      <c r="L1676" s="382">
        <v>1.0</v>
      </c>
    </row>
    <row r="1677">
      <c r="A1677" s="380" t="s">
        <v>2534</v>
      </c>
      <c r="B1677" s="380" t="str">
        <f>IFERROR(__xludf.DUMMYFUNCTION("""COMPUTED_VALUE"""),"Planta Electrica 14kw/18kva")</f>
        <v>Planta Electrica 14kw/18kva</v>
      </c>
      <c r="C1677" s="380" t="str">
        <f>IFERROR(__xludf.DUMMYFUNCTION("""COMPUTED_VALUE"""),"11000339")</f>
        <v>11000339</v>
      </c>
      <c r="D1677" s="380" t="s">
        <v>767</v>
      </c>
      <c r="E1677" s="380" t="s">
        <v>2305</v>
      </c>
      <c r="F1677" s="380" t="s">
        <v>2458</v>
      </c>
      <c r="G1677" s="380" t="s">
        <v>1267</v>
      </c>
      <c r="H1677" s="380" t="s">
        <v>771</v>
      </c>
      <c r="I1677" s="380" t="s">
        <v>2459</v>
      </c>
      <c r="J1677" s="380" t="s">
        <v>773</v>
      </c>
      <c r="K1677" s="381">
        <v>0.0</v>
      </c>
      <c r="L1677" s="382">
        <v>1.0</v>
      </c>
    </row>
    <row r="1678">
      <c r="A1678" s="380" t="s">
        <v>2535</v>
      </c>
      <c r="B1678" s="380" t="str">
        <f>IFERROR(__xludf.DUMMYFUNCTION("""COMPUTED_VALUE"""),"Eliptica Magnetica Manual")</f>
        <v>Eliptica Magnetica Manual</v>
      </c>
      <c r="C1678" s="380" t="str">
        <f>IFERROR(__xludf.DUMMYFUNCTION("""COMPUTED_VALUE"""),"11000340")</f>
        <v>11000340</v>
      </c>
      <c r="D1678" s="380" t="s">
        <v>767</v>
      </c>
      <c r="E1678" s="380" t="s">
        <v>2305</v>
      </c>
      <c r="F1678" s="380" t="s">
        <v>2458</v>
      </c>
      <c r="G1678" s="380" t="s">
        <v>1267</v>
      </c>
      <c r="H1678" s="380" t="s">
        <v>771</v>
      </c>
      <c r="I1678" s="380" t="s">
        <v>2459</v>
      </c>
      <c r="J1678" s="380" t="s">
        <v>773</v>
      </c>
      <c r="K1678" s="381">
        <v>0.0</v>
      </c>
      <c r="L1678" s="382">
        <v>1.0</v>
      </c>
    </row>
    <row r="1679">
      <c r="A1679" s="380" t="s">
        <v>2536</v>
      </c>
      <c r="B1679" s="380" t="str">
        <f>IFERROR(__xludf.DUMMYFUNCTION("""COMPUTED_VALUE"""),"Bicicleta Spinning Estructura En Hierro")</f>
        <v>Bicicleta Spinning Estructura En Hierro</v>
      </c>
      <c r="C1679" s="380" t="str">
        <f>IFERROR(__xludf.DUMMYFUNCTION("""COMPUTED_VALUE"""),"11000341")</f>
        <v>11000341</v>
      </c>
      <c r="D1679" s="380" t="s">
        <v>767</v>
      </c>
      <c r="E1679" s="380" t="s">
        <v>2305</v>
      </c>
      <c r="F1679" s="380" t="s">
        <v>2458</v>
      </c>
      <c r="G1679" s="380" t="s">
        <v>1267</v>
      </c>
      <c r="H1679" s="380" t="s">
        <v>771</v>
      </c>
      <c r="I1679" s="380" t="s">
        <v>2459</v>
      </c>
      <c r="J1679" s="380" t="s">
        <v>773</v>
      </c>
      <c r="K1679" s="381">
        <v>0.0</v>
      </c>
      <c r="L1679" s="382">
        <v>1.0</v>
      </c>
    </row>
    <row r="1680">
      <c r="A1680" s="380" t="s">
        <v>2537</v>
      </c>
      <c r="B1680" s="380" t="str">
        <f>IFERROR(__xludf.DUMMYFUNCTION("""COMPUTED_VALUE"""),"Taladro Perc Recar DewaltDcd7781d/776")</f>
        <v>Taladro Perc Recar DewaltDcd7781d/776</v>
      </c>
      <c r="C1680" s="380" t="str">
        <f>IFERROR(__xludf.DUMMYFUNCTION("""COMPUTED_VALUE"""),"11000342")</f>
        <v>11000342</v>
      </c>
      <c r="D1680" s="380" t="s">
        <v>767</v>
      </c>
      <c r="E1680" s="380" t="s">
        <v>2305</v>
      </c>
      <c r="F1680" s="380" t="s">
        <v>2458</v>
      </c>
      <c r="G1680" s="380" t="s">
        <v>1267</v>
      </c>
      <c r="H1680" s="380" t="s">
        <v>771</v>
      </c>
      <c r="I1680" s="380" t="s">
        <v>2459</v>
      </c>
      <c r="J1680" s="380" t="s">
        <v>773</v>
      </c>
      <c r="K1680" s="381">
        <v>0.0</v>
      </c>
      <c r="L1680" s="382">
        <v>1.0</v>
      </c>
    </row>
    <row r="1681">
      <c r="A1681" s="380" t="s">
        <v>2538</v>
      </c>
      <c r="B1681" s="380" t="str">
        <f>IFERROR(__xludf.DUMMYFUNCTION("""COMPUTED_VALUE"""),"Rotomartillo Sds-Plus 1500w 5j 800rpm")</f>
        <v>Rotomartillo Sds-Plus 1500w 5j 800rpm</v>
      </c>
      <c r="C1681" s="380" t="str">
        <f>IFERROR(__xludf.DUMMYFUNCTION("""COMPUTED_VALUE"""),"11000343")</f>
        <v>11000343</v>
      </c>
      <c r="D1681" s="380" t="s">
        <v>767</v>
      </c>
      <c r="E1681" s="380" t="s">
        <v>2305</v>
      </c>
      <c r="F1681" s="380" t="s">
        <v>2458</v>
      </c>
      <c r="G1681" s="380" t="s">
        <v>1267</v>
      </c>
      <c r="H1681" s="380" t="s">
        <v>771</v>
      </c>
      <c r="I1681" s="380" t="s">
        <v>2459</v>
      </c>
      <c r="J1681" s="380" t="s">
        <v>773</v>
      </c>
      <c r="K1681" s="381">
        <v>0.0</v>
      </c>
      <c r="L1681" s="382">
        <v>1.0</v>
      </c>
    </row>
    <row r="1682">
      <c r="A1682" s="380" t="s">
        <v>2539</v>
      </c>
      <c r="B1682" s="380" t="str">
        <f>IFERROR(__xludf.DUMMYFUNCTION("""COMPUTED_VALUE"""),"Compresor Tornillo 25 Hp Emax")</f>
        <v>Compresor Tornillo 25 Hp Emax</v>
      </c>
      <c r="C1682" s="380" t="str">
        <f>IFERROR(__xludf.DUMMYFUNCTION("""COMPUTED_VALUE"""),"11000344")</f>
        <v>11000344</v>
      </c>
      <c r="D1682" s="380" t="s">
        <v>767</v>
      </c>
      <c r="E1682" s="380" t="s">
        <v>2305</v>
      </c>
      <c r="F1682" s="380" t="s">
        <v>2458</v>
      </c>
      <c r="G1682" s="380" t="s">
        <v>1267</v>
      </c>
      <c r="H1682" s="380" t="s">
        <v>771</v>
      </c>
      <c r="I1682" s="380" t="s">
        <v>2459</v>
      </c>
      <c r="J1682" s="380" t="s">
        <v>773</v>
      </c>
      <c r="K1682" s="381">
        <v>0.0</v>
      </c>
      <c r="L1682" s="382">
        <v>1.0</v>
      </c>
    </row>
    <row r="1683">
      <c r="A1683" s="380" t="s">
        <v>2540</v>
      </c>
      <c r="B1683" s="380" t="str">
        <f>IFERROR(__xludf.DUMMYFUNCTION("""COMPUTED_VALUE"""),"Extractor Eolico De 24""")</f>
        <v>Extractor Eolico De 24"</v>
      </c>
      <c r="C1683" s="380" t="str">
        <f>IFERROR(__xludf.DUMMYFUNCTION("""COMPUTED_VALUE"""),"11000345")</f>
        <v>11000345</v>
      </c>
      <c r="D1683" s="380" t="s">
        <v>767</v>
      </c>
      <c r="E1683" s="380" t="s">
        <v>2305</v>
      </c>
      <c r="F1683" s="380" t="s">
        <v>2458</v>
      </c>
      <c r="G1683" s="380" t="s">
        <v>1267</v>
      </c>
      <c r="H1683" s="380" t="s">
        <v>771</v>
      </c>
      <c r="I1683" s="380" t="s">
        <v>2459</v>
      </c>
      <c r="J1683" s="380" t="s">
        <v>773</v>
      </c>
      <c r="K1683" s="381">
        <v>0.0</v>
      </c>
      <c r="L1683" s="382">
        <v>1.0</v>
      </c>
    </row>
    <row r="1684">
      <c r="A1684" s="380" t="s">
        <v>2541</v>
      </c>
      <c r="B1684" s="380" t="str">
        <f>IFERROR(__xludf.DUMMYFUNCTION("""COMPUTED_VALUE"""),"Compresor Port2.5 Hp(25 Litros) 110 Vol")</f>
        <v>Compresor Port2.5 Hp(25 Litros) 110 Vol</v>
      </c>
      <c r="C1684" s="380" t="str">
        <f>IFERROR(__xludf.DUMMYFUNCTION("""COMPUTED_VALUE"""),"11000346")</f>
        <v>11000346</v>
      </c>
      <c r="D1684" s="380" t="s">
        <v>767</v>
      </c>
      <c r="E1684" s="380" t="s">
        <v>2305</v>
      </c>
      <c r="F1684" s="380" t="s">
        <v>2458</v>
      </c>
      <c r="G1684" s="380" t="s">
        <v>1267</v>
      </c>
      <c r="H1684" s="380" t="s">
        <v>771</v>
      </c>
      <c r="I1684" s="380" t="s">
        <v>2459</v>
      </c>
      <c r="J1684" s="380" t="s">
        <v>773</v>
      </c>
      <c r="K1684" s="381">
        <v>0.0</v>
      </c>
      <c r="L1684" s="382">
        <v>1.0</v>
      </c>
    </row>
    <row r="1685">
      <c r="A1685" s="380" t="s">
        <v>2542</v>
      </c>
      <c r="B1685" s="380" t="str">
        <f>IFERROR(__xludf.DUMMYFUNCTION("""COMPUTED_VALUE"""),"Plataformas Y Pasarelas")</f>
        <v>Plataformas Y Pasarelas</v>
      </c>
      <c r="C1685" s="380" t="str">
        <f>IFERROR(__xludf.DUMMYFUNCTION("""COMPUTED_VALUE"""),"11000347")</f>
        <v>11000347</v>
      </c>
      <c r="D1685" s="380" t="s">
        <v>767</v>
      </c>
      <c r="E1685" s="380" t="s">
        <v>2305</v>
      </c>
      <c r="F1685" s="380" t="s">
        <v>2458</v>
      </c>
      <c r="G1685" s="380" t="s">
        <v>1267</v>
      </c>
      <c r="H1685" s="380" t="s">
        <v>771</v>
      </c>
      <c r="I1685" s="380" t="s">
        <v>2459</v>
      </c>
      <c r="J1685" s="380" t="s">
        <v>773</v>
      </c>
      <c r="K1685" s="381">
        <v>0.0</v>
      </c>
      <c r="L1685" s="382">
        <v>1.0</v>
      </c>
    </row>
    <row r="1686">
      <c r="A1686" s="380" t="s">
        <v>2543</v>
      </c>
      <c r="B1686" s="380" t="str">
        <f>IFERROR(__xludf.DUMMYFUNCTION("""COMPUTED_VALUE"""),"Indicador Para Bascula Lp 7510")</f>
        <v>Indicador Para Bascula Lp 7510</v>
      </c>
      <c r="C1686" s="380" t="str">
        <f>IFERROR(__xludf.DUMMYFUNCTION("""COMPUTED_VALUE"""),"11000348")</f>
        <v>11000348</v>
      </c>
      <c r="D1686" s="380" t="s">
        <v>767</v>
      </c>
      <c r="E1686" s="380" t="s">
        <v>2305</v>
      </c>
      <c r="F1686" s="380" t="s">
        <v>2458</v>
      </c>
      <c r="G1686" s="380" t="s">
        <v>1267</v>
      </c>
      <c r="H1686" s="380" t="s">
        <v>771</v>
      </c>
      <c r="I1686" s="380" t="s">
        <v>2459</v>
      </c>
      <c r="J1686" s="380" t="s">
        <v>773</v>
      </c>
      <c r="K1686" s="381">
        <v>0.0</v>
      </c>
      <c r="L1686" s="382">
        <v>1.0</v>
      </c>
    </row>
    <row r="1687">
      <c r="A1687" s="380" t="s">
        <v>2544</v>
      </c>
      <c r="B1687" s="380" t="str">
        <f>IFERROR(__xludf.DUMMYFUNCTION("""COMPUTED_VALUE"""),"Tanque Llenado Agua 2000 Galones")</f>
        <v>Tanque Llenado Agua 2000 Galones</v>
      </c>
      <c r="C1687" s="380" t="str">
        <f>IFERROR(__xludf.DUMMYFUNCTION("""COMPUTED_VALUE"""),"11000349")</f>
        <v>11000349</v>
      </c>
      <c r="D1687" s="380" t="s">
        <v>767</v>
      </c>
      <c r="E1687" s="380" t="s">
        <v>2305</v>
      </c>
      <c r="F1687" s="380" t="s">
        <v>2458</v>
      </c>
      <c r="G1687" s="380" t="s">
        <v>1267</v>
      </c>
      <c r="H1687" s="380" t="s">
        <v>771</v>
      </c>
      <c r="I1687" s="380" t="s">
        <v>2459</v>
      </c>
      <c r="J1687" s="380" t="s">
        <v>773</v>
      </c>
      <c r="K1687" s="381">
        <v>0.0</v>
      </c>
      <c r="L1687" s="382">
        <v>1.0</v>
      </c>
    </row>
    <row r="1688">
      <c r="A1688" s="380" t="s">
        <v>2545</v>
      </c>
      <c r="B1688" s="380" t="str">
        <f>IFERROR(__xludf.DUMMYFUNCTION("""COMPUTED_VALUE"""),"Prensa Hidraulica Tx Ty20003")</f>
        <v>Prensa Hidraulica Tx Ty20003</v>
      </c>
      <c r="C1688" s="380" t="str">
        <f>IFERROR(__xludf.DUMMYFUNCTION("""COMPUTED_VALUE"""),"11000350")</f>
        <v>11000350</v>
      </c>
      <c r="D1688" s="380" t="s">
        <v>767</v>
      </c>
      <c r="E1688" s="380" t="s">
        <v>2305</v>
      </c>
      <c r="F1688" s="380" t="s">
        <v>2458</v>
      </c>
      <c r="G1688" s="380" t="s">
        <v>1267</v>
      </c>
      <c r="H1688" s="380" t="s">
        <v>771</v>
      </c>
      <c r="I1688" s="380" t="s">
        <v>2459</v>
      </c>
      <c r="J1688" s="380" t="s">
        <v>773</v>
      </c>
      <c r="K1688" s="381">
        <v>0.0</v>
      </c>
      <c r="L1688" s="382">
        <v>1.0</v>
      </c>
    </row>
    <row r="1689">
      <c r="A1689" s="380" t="s">
        <v>2546</v>
      </c>
      <c r="B1689" s="380" t="str">
        <f>IFERROR(__xludf.DUMMYFUNCTION("""COMPUTED_VALUE"""),"Bascula Portátil Cas Oiml 35 X 43 Cm")</f>
        <v>Bascula Portátil Cas Oiml 35 X 43 Cm</v>
      </c>
      <c r="C1689" s="380" t="str">
        <f>IFERROR(__xludf.DUMMYFUNCTION("""COMPUTED_VALUE"""),"11000351")</f>
        <v>11000351</v>
      </c>
      <c r="D1689" s="380" t="s">
        <v>767</v>
      </c>
      <c r="E1689" s="380" t="s">
        <v>2305</v>
      </c>
      <c r="F1689" s="380" t="s">
        <v>2458</v>
      </c>
      <c r="G1689" s="380" t="s">
        <v>1267</v>
      </c>
      <c r="H1689" s="380" t="s">
        <v>771</v>
      </c>
      <c r="I1689" s="380" t="s">
        <v>2459</v>
      </c>
      <c r="J1689" s="380" t="s">
        <v>773</v>
      </c>
      <c r="K1689" s="381">
        <v>0.0</v>
      </c>
      <c r="L1689" s="382">
        <v>1.0</v>
      </c>
    </row>
    <row r="1690">
      <c r="A1690" s="380" t="s">
        <v>2547</v>
      </c>
      <c r="B1690" s="380" t="str">
        <f>IFERROR(__xludf.DUMMYFUNCTION("""COMPUTED_VALUE"""),"Ducha Mixta De Emergencia Portátil")</f>
        <v>Ducha Mixta De Emergencia Portátil</v>
      </c>
      <c r="C1690" s="380" t="str">
        <f>IFERROR(__xludf.DUMMYFUNCTION("""COMPUTED_VALUE"""),"11000352")</f>
        <v>11000352</v>
      </c>
      <c r="D1690" s="380" t="s">
        <v>767</v>
      </c>
      <c r="E1690" s="380" t="s">
        <v>2305</v>
      </c>
      <c r="F1690" s="380" t="s">
        <v>2458</v>
      </c>
      <c r="G1690" s="380" t="s">
        <v>1267</v>
      </c>
      <c r="H1690" s="380" t="s">
        <v>771</v>
      </c>
      <c r="I1690" s="380" t="s">
        <v>2459</v>
      </c>
      <c r="J1690" s="380" t="s">
        <v>773</v>
      </c>
      <c r="K1690" s="381">
        <v>0.0</v>
      </c>
      <c r="L1690" s="382">
        <v>1.0</v>
      </c>
    </row>
    <row r="1691">
      <c r="A1691" s="380" t="s">
        <v>2548</v>
      </c>
      <c r="B1691" s="380" t="str">
        <f>IFERROR(__xludf.DUMMYFUNCTION("""COMPUTED_VALUE"""),"Balanceadora Con Elevador Ref Cb460-B")</f>
        <v>Balanceadora Con Elevador Ref Cb460-B</v>
      </c>
      <c r="C1691" s="380" t="str">
        <f>IFERROR(__xludf.DUMMYFUNCTION("""COMPUTED_VALUE"""),"11000353")</f>
        <v>11000353</v>
      </c>
      <c r="D1691" s="380" t="s">
        <v>767</v>
      </c>
      <c r="E1691" s="380" t="s">
        <v>2305</v>
      </c>
      <c r="F1691" s="380" t="s">
        <v>2458</v>
      </c>
      <c r="G1691" s="380" t="s">
        <v>1267</v>
      </c>
      <c r="H1691" s="380" t="s">
        <v>771</v>
      </c>
      <c r="I1691" s="380" t="s">
        <v>2459</v>
      </c>
      <c r="J1691" s="380" t="s">
        <v>773</v>
      </c>
      <c r="K1691" s="381">
        <v>0.0</v>
      </c>
      <c r="L1691" s="382">
        <v>1.0</v>
      </c>
    </row>
    <row r="1692">
      <c r="A1692" s="380" t="s">
        <v>2549</v>
      </c>
      <c r="B1692" s="380" t="str">
        <f>IFERROR(__xludf.DUMMYFUNCTION("""COMPUTED_VALUE"""),"Compresor 150G Cabezote 3Pistones 10H")</f>
        <v>Compresor 150G Cabezote 3Pistones 10H</v>
      </c>
      <c r="C1692" s="380" t="str">
        <f>IFERROR(__xludf.DUMMYFUNCTION("""COMPUTED_VALUE"""),"11000354")</f>
        <v>11000354</v>
      </c>
      <c r="D1692" s="380" t="s">
        <v>767</v>
      </c>
      <c r="E1692" s="380" t="s">
        <v>2305</v>
      </c>
      <c r="F1692" s="380" t="s">
        <v>2458</v>
      </c>
      <c r="G1692" s="380" t="s">
        <v>1267</v>
      </c>
      <c r="H1692" s="380" t="s">
        <v>771</v>
      </c>
      <c r="I1692" s="380" t="s">
        <v>2459</v>
      </c>
      <c r="J1692" s="380" t="s">
        <v>773</v>
      </c>
      <c r="K1692" s="381">
        <v>0.0</v>
      </c>
      <c r="L1692" s="382">
        <v>1.0</v>
      </c>
    </row>
    <row r="1693">
      <c r="A1693" s="380" t="s">
        <v>2550</v>
      </c>
      <c r="B1693" s="380" t="str">
        <f>IFERROR(__xludf.DUMMYFUNCTION("""COMPUTED_VALUE"""),"Compresor 60G -2 Pistones Trifasico 220V")</f>
        <v>Compresor 60G -2 Pistones Trifasico 220V</v>
      </c>
      <c r="C1693" s="380" t="str">
        <f>IFERROR(__xludf.DUMMYFUNCTION("""COMPUTED_VALUE"""),"11000355")</f>
        <v>11000355</v>
      </c>
      <c r="D1693" s="380" t="s">
        <v>767</v>
      </c>
      <c r="E1693" s="380" t="s">
        <v>2305</v>
      </c>
      <c r="F1693" s="380" t="s">
        <v>2458</v>
      </c>
      <c r="G1693" s="380" t="s">
        <v>1267</v>
      </c>
      <c r="H1693" s="380" t="s">
        <v>771</v>
      </c>
      <c r="I1693" s="380" t="s">
        <v>2459</v>
      </c>
      <c r="J1693" s="380" t="s">
        <v>773</v>
      </c>
      <c r="K1693" s="381">
        <v>0.0</v>
      </c>
      <c r="L1693" s="382">
        <v>1.0</v>
      </c>
    </row>
    <row r="1694">
      <c r="A1694" s="380" t="s">
        <v>2551</v>
      </c>
      <c r="B1694" s="380" t="str">
        <f>IFERROR(__xludf.DUMMYFUNCTION("""COMPUTED_VALUE"""),"Equipo Sold Port Megaforce225 Lincoln")</f>
        <v>Equipo Sold Port Megaforce225 Lincoln</v>
      </c>
      <c r="C1694" s="380" t="str">
        <f>IFERROR(__xludf.DUMMYFUNCTION("""COMPUTED_VALUE"""),"11000356")</f>
        <v>11000356</v>
      </c>
      <c r="D1694" s="380" t="s">
        <v>767</v>
      </c>
      <c r="E1694" s="380" t="s">
        <v>2305</v>
      </c>
      <c r="F1694" s="380" t="s">
        <v>2458</v>
      </c>
      <c r="G1694" s="380" t="s">
        <v>1267</v>
      </c>
      <c r="H1694" s="380" t="s">
        <v>771</v>
      </c>
      <c r="I1694" s="380" t="s">
        <v>2459</v>
      </c>
      <c r="J1694" s="380" t="s">
        <v>773</v>
      </c>
      <c r="K1694" s="381">
        <v>0.0</v>
      </c>
      <c r="L1694" s="382">
        <v>1.0</v>
      </c>
    </row>
    <row r="1695">
      <c r="A1695" s="380" t="s">
        <v>2552</v>
      </c>
      <c r="B1695" s="380" t="str">
        <f>IFERROR(__xludf.DUMMYFUNCTION("""COMPUTED_VALUE"""),"Bascula Electronica Paqueteo")</f>
        <v>Bascula Electronica Paqueteo</v>
      </c>
      <c r="C1695" s="380" t="str">
        <f>IFERROR(__xludf.DUMMYFUNCTION("""COMPUTED_VALUE"""),"11000357")</f>
        <v>11000357</v>
      </c>
      <c r="D1695" s="380" t="s">
        <v>767</v>
      </c>
      <c r="E1695" s="380" t="s">
        <v>2305</v>
      </c>
      <c r="F1695" s="380" t="s">
        <v>2458</v>
      </c>
      <c r="G1695" s="380" t="s">
        <v>1267</v>
      </c>
      <c r="H1695" s="380" t="s">
        <v>771</v>
      </c>
      <c r="I1695" s="380" t="s">
        <v>2459</v>
      </c>
      <c r="J1695" s="380" t="s">
        <v>773</v>
      </c>
      <c r="K1695" s="381">
        <v>0.0</v>
      </c>
      <c r="L1695" s="382">
        <v>1.0</v>
      </c>
    </row>
    <row r="1696">
      <c r="A1696" s="380" t="s">
        <v>2553</v>
      </c>
      <c r="B1696" s="380" t="str">
        <f>IFERROR(__xludf.DUMMYFUNCTION("""COMPUTED_VALUE"""),"Electrobomba Sumer Drenaje0.5hp Pedrollo")</f>
        <v>Electrobomba Sumer Drenaje0.5hp Pedrollo</v>
      </c>
      <c r="C1696" s="380" t="str">
        <f>IFERROR(__xludf.DUMMYFUNCTION("""COMPUTED_VALUE"""),"11000358")</f>
        <v>11000358</v>
      </c>
      <c r="D1696" s="380" t="s">
        <v>767</v>
      </c>
      <c r="E1696" s="380" t="s">
        <v>2305</v>
      </c>
      <c r="F1696" s="380" t="s">
        <v>2458</v>
      </c>
      <c r="G1696" s="380" t="s">
        <v>1267</v>
      </c>
      <c r="H1696" s="380" t="s">
        <v>771</v>
      </c>
      <c r="I1696" s="380" t="s">
        <v>2459</v>
      </c>
      <c r="J1696" s="380" t="s">
        <v>773</v>
      </c>
      <c r="K1696" s="381">
        <v>0.0</v>
      </c>
      <c r="L1696" s="382">
        <v>1.0</v>
      </c>
    </row>
    <row r="1697">
      <c r="A1697" s="380" t="s">
        <v>2554</v>
      </c>
      <c r="B1697" s="380" t="str">
        <f>IFERROR(__xludf.DUMMYFUNCTION("""COMPUTED_VALUE"""),"Bomba Disif Vco 502 Fp115 Vac Plant Trat")</f>
        <v>Bomba Disif Vco 502 Fp115 Vac Plant Trat</v>
      </c>
      <c r="C1697" s="380" t="str">
        <f>IFERROR(__xludf.DUMMYFUNCTION("""COMPUTED_VALUE"""),"11000359")</f>
        <v>11000359</v>
      </c>
      <c r="D1697" s="380" t="s">
        <v>767</v>
      </c>
      <c r="E1697" s="380" t="s">
        <v>2305</v>
      </c>
      <c r="F1697" s="380" t="s">
        <v>2458</v>
      </c>
      <c r="G1697" s="380" t="s">
        <v>1267</v>
      </c>
      <c r="H1697" s="380" t="s">
        <v>771</v>
      </c>
      <c r="I1697" s="380" t="s">
        <v>2459</v>
      </c>
      <c r="J1697" s="380" t="s">
        <v>773</v>
      </c>
      <c r="K1697" s="381">
        <v>0.0</v>
      </c>
      <c r="L1697" s="382">
        <v>1.0</v>
      </c>
    </row>
    <row r="1698">
      <c r="A1698" s="380" t="s">
        <v>2555</v>
      </c>
      <c r="B1698" s="380" t="str">
        <f>IFERROR(__xludf.DUMMYFUNCTION("""COMPUTED_VALUE"""),"Desfibrilador Salud Ocupacional")</f>
        <v>Desfibrilador Salud Ocupacional</v>
      </c>
      <c r="C1698" s="380" t="str">
        <f>IFERROR(__xludf.DUMMYFUNCTION("""COMPUTED_VALUE"""),"11000360")</f>
        <v>11000360</v>
      </c>
      <c r="D1698" s="380" t="s">
        <v>767</v>
      </c>
      <c r="E1698" s="380" t="s">
        <v>2305</v>
      </c>
      <c r="F1698" s="380" t="s">
        <v>2556</v>
      </c>
      <c r="G1698" s="380" t="s">
        <v>1267</v>
      </c>
      <c r="H1698" s="380" t="s">
        <v>771</v>
      </c>
      <c r="I1698" s="380" t="s">
        <v>2307</v>
      </c>
      <c r="J1698" s="380" t="s">
        <v>773</v>
      </c>
      <c r="K1698" s="381">
        <v>0.0</v>
      </c>
      <c r="L1698" s="382">
        <v>1.0</v>
      </c>
    </row>
    <row r="1699">
      <c r="A1699" s="380" t="s">
        <v>2557</v>
      </c>
      <c r="B1699" s="380" t="str">
        <f>IFERROR(__xludf.DUMMYFUNCTION("""COMPUTED_VALUE"""),"Unidad Cond Vrf 61,800 220v/60hz/1ph")</f>
        <v>Unidad Cond Vrf 61,800 220v/60hz/1ph</v>
      </c>
      <c r="C1699" s="380" t="str">
        <f>IFERROR(__xludf.DUMMYFUNCTION("""COMPUTED_VALUE"""),"11000361")</f>
        <v>11000361</v>
      </c>
      <c r="D1699" s="380" t="s">
        <v>767</v>
      </c>
      <c r="E1699" s="380" t="s">
        <v>2305</v>
      </c>
      <c r="F1699" s="380" t="s">
        <v>2556</v>
      </c>
      <c r="G1699" s="380" t="s">
        <v>1267</v>
      </c>
      <c r="H1699" s="380" t="s">
        <v>771</v>
      </c>
      <c r="I1699" s="380" t="s">
        <v>2307</v>
      </c>
      <c r="J1699" s="380" t="s">
        <v>773</v>
      </c>
      <c r="K1699" s="381">
        <v>0.0</v>
      </c>
      <c r="L1699" s="382">
        <v>1.0</v>
      </c>
    </row>
    <row r="1700">
      <c r="A1700" s="380" t="s">
        <v>2558</v>
      </c>
      <c r="B1700" s="380" t="str">
        <f>IFERROR(__xludf.DUMMYFUNCTION("""COMPUTED_VALUE"""),"Unidad Evaporadora Vrf 9.600 Btu Hisense")</f>
        <v>Unidad Evaporadora Vrf 9.600 Btu Hisense</v>
      </c>
      <c r="C1700" s="380" t="str">
        <f>IFERROR(__xludf.DUMMYFUNCTION("""COMPUTED_VALUE"""),"11000362")</f>
        <v>11000362</v>
      </c>
      <c r="D1700" s="380" t="s">
        <v>767</v>
      </c>
      <c r="E1700" s="380" t="s">
        <v>2305</v>
      </c>
      <c r="F1700" s="380" t="s">
        <v>2556</v>
      </c>
      <c r="G1700" s="380" t="s">
        <v>1267</v>
      </c>
      <c r="H1700" s="380" t="s">
        <v>771</v>
      </c>
      <c r="I1700" s="380" t="s">
        <v>2307</v>
      </c>
      <c r="J1700" s="380" t="s">
        <v>773</v>
      </c>
      <c r="K1700" s="381">
        <v>0.0</v>
      </c>
      <c r="L1700" s="382">
        <v>1.0</v>
      </c>
    </row>
    <row r="1701">
      <c r="A1701" s="380" t="s">
        <v>2559</v>
      </c>
      <c r="B1701" s="380" t="str">
        <f>IFERROR(__xludf.DUMMYFUNCTION("""COMPUTED_VALUE"""),"Unidad Evaporadora Vrf 15.400Btu Hisense")</f>
        <v>Unidad Evaporadora Vrf 15.400Btu Hisense</v>
      </c>
      <c r="C1701" s="380" t="str">
        <f>IFERROR(__xludf.DUMMYFUNCTION("""COMPUTED_VALUE"""),"11000363")</f>
        <v>11000363</v>
      </c>
      <c r="D1701" s="380" t="s">
        <v>767</v>
      </c>
      <c r="E1701" s="380" t="s">
        <v>2305</v>
      </c>
      <c r="F1701" s="380" t="s">
        <v>2556</v>
      </c>
      <c r="G1701" s="380" t="s">
        <v>1267</v>
      </c>
      <c r="H1701" s="380" t="s">
        <v>771</v>
      </c>
      <c r="I1701" s="380" t="s">
        <v>2307</v>
      </c>
      <c r="J1701" s="380" t="s">
        <v>773</v>
      </c>
      <c r="K1701" s="381">
        <v>0.0</v>
      </c>
      <c r="L1701" s="382">
        <v>1.0</v>
      </c>
    </row>
    <row r="1702">
      <c r="A1702" s="380" t="s">
        <v>2560</v>
      </c>
      <c r="B1702" s="380" t="str">
        <f>IFERROR(__xludf.DUMMYFUNCTION("""COMPUTED_VALUE"""),"Ventilador Pequeño Garita")</f>
        <v>Ventilador Pequeño Garita</v>
      </c>
      <c r="C1702" s="380" t="str">
        <f>IFERROR(__xludf.DUMMYFUNCTION("""COMPUTED_VALUE"""),"11000364")</f>
        <v>11000364</v>
      </c>
      <c r="D1702" s="380" t="s">
        <v>767</v>
      </c>
      <c r="E1702" s="380" t="s">
        <v>2305</v>
      </c>
      <c r="F1702" s="380" t="s">
        <v>2556</v>
      </c>
      <c r="G1702" s="380" t="s">
        <v>1267</v>
      </c>
      <c r="H1702" s="380" t="s">
        <v>771</v>
      </c>
      <c r="I1702" s="380" t="s">
        <v>2307</v>
      </c>
      <c r="J1702" s="380" t="s">
        <v>773</v>
      </c>
      <c r="K1702" s="381">
        <v>0.0</v>
      </c>
      <c r="L1702" s="382">
        <v>1.0</v>
      </c>
    </row>
    <row r="1703">
      <c r="A1703" s="380" t="s">
        <v>2561</v>
      </c>
      <c r="B1703" s="380" t="str">
        <f>IFERROR(__xludf.DUMMYFUNCTION("""COMPUTED_VALUE"""),"Equipo Soldadura Electrica Lincon Comp")</f>
        <v>Equipo Soldadura Electrica Lincon Comp</v>
      </c>
      <c r="C1703" s="380" t="str">
        <f>IFERROR(__xludf.DUMMYFUNCTION("""COMPUTED_VALUE"""),"11000365")</f>
        <v>11000365</v>
      </c>
      <c r="D1703" s="380" t="s">
        <v>767</v>
      </c>
      <c r="E1703" s="380" t="s">
        <v>2305</v>
      </c>
      <c r="F1703" s="380" t="s">
        <v>2556</v>
      </c>
      <c r="G1703" s="380" t="s">
        <v>1267</v>
      </c>
      <c r="H1703" s="380" t="s">
        <v>771</v>
      </c>
      <c r="I1703" s="380" t="s">
        <v>2307</v>
      </c>
      <c r="J1703" s="380" t="s">
        <v>773</v>
      </c>
      <c r="K1703" s="381">
        <v>0.0</v>
      </c>
      <c r="L1703" s="382">
        <v>1.0</v>
      </c>
    </row>
    <row r="1704">
      <c r="A1704" s="380" t="s">
        <v>2562</v>
      </c>
      <c r="B1704" s="380" t="str">
        <f>IFERROR(__xludf.DUMMYFUNCTION("""COMPUTED_VALUE"""),"Hidrolavadora")</f>
        <v>Hidrolavadora</v>
      </c>
      <c r="C1704" s="380" t="str">
        <f>IFERROR(__xludf.DUMMYFUNCTION("""COMPUTED_VALUE"""),"11000366")</f>
        <v>11000366</v>
      </c>
      <c r="D1704" s="380" t="s">
        <v>767</v>
      </c>
      <c r="E1704" s="380" t="s">
        <v>2305</v>
      </c>
      <c r="F1704" s="380" t="s">
        <v>2556</v>
      </c>
      <c r="G1704" s="380" t="s">
        <v>1267</v>
      </c>
      <c r="H1704" s="380" t="s">
        <v>771</v>
      </c>
      <c r="I1704" s="380" t="s">
        <v>2307</v>
      </c>
      <c r="J1704" s="380" t="s">
        <v>773</v>
      </c>
      <c r="K1704" s="381">
        <v>0.0</v>
      </c>
      <c r="L1704" s="382">
        <v>1.0</v>
      </c>
    </row>
    <row r="1705">
      <c r="A1705" s="380" t="s">
        <v>2563</v>
      </c>
      <c r="B1705" s="380" t="str">
        <f>IFERROR(__xludf.DUMMYFUNCTION("""COMPUTED_VALUE"""),"Estufa Cub Vitro Especial")</f>
        <v>Estufa Cub Vitro Especial</v>
      </c>
      <c r="C1705" s="380" t="str">
        <f>IFERROR(__xludf.DUMMYFUNCTION("""COMPUTED_VALUE"""),"11000367")</f>
        <v>11000367</v>
      </c>
      <c r="D1705" s="380" t="s">
        <v>767</v>
      </c>
      <c r="E1705" s="380" t="s">
        <v>2305</v>
      </c>
      <c r="F1705" s="380" t="s">
        <v>2556</v>
      </c>
      <c r="G1705" s="380" t="s">
        <v>1267</v>
      </c>
      <c r="H1705" s="380" t="s">
        <v>771</v>
      </c>
      <c r="I1705" s="380" t="s">
        <v>2307</v>
      </c>
      <c r="J1705" s="380" t="s">
        <v>773</v>
      </c>
      <c r="K1705" s="381">
        <v>0.0</v>
      </c>
      <c r="L1705" s="382">
        <v>1.0</v>
      </c>
    </row>
    <row r="1706">
      <c r="A1706" s="380" t="s">
        <v>2564</v>
      </c>
      <c r="B1706" s="380" t="str">
        <f>IFERROR(__xludf.DUMMYFUNCTION("""COMPUTED_VALUE"""),"Mesa Noche Cubiculos Ruta Nal Color Negr")</f>
        <v>Mesa Noche Cubiculos Ruta Nal Color Negr</v>
      </c>
      <c r="C1706" s="380" t="str">
        <f>IFERROR(__xludf.DUMMYFUNCTION("""COMPUTED_VALUE"""),"11000368")</f>
        <v>11000368</v>
      </c>
      <c r="D1706" s="380" t="s">
        <v>767</v>
      </c>
      <c r="E1706" s="380" t="s">
        <v>2305</v>
      </c>
      <c r="F1706" s="380" t="s">
        <v>2556</v>
      </c>
      <c r="G1706" s="380" t="s">
        <v>1267</v>
      </c>
      <c r="H1706" s="380" t="s">
        <v>771</v>
      </c>
      <c r="I1706" s="380" t="s">
        <v>2307</v>
      </c>
      <c r="J1706" s="380" t="s">
        <v>773</v>
      </c>
      <c r="K1706" s="381">
        <v>0.0</v>
      </c>
      <c r="L1706" s="382">
        <v>1.0</v>
      </c>
    </row>
    <row r="1707">
      <c r="A1707" s="380" t="s">
        <v>2565</v>
      </c>
      <c r="B1707" s="380" t="str">
        <f>IFERROR(__xludf.DUMMYFUNCTION("""COMPUTED_VALUE"""),"Lijadora Orbital Neumatica 6""")</f>
        <v>Lijadora Orbital Neumatica 6"</v>
      </c>
      <c r="C1707" s="380" t="str">
        <f>IFERROR(__xludf.DUMMYFUNCTION("""COMPUTED_VALUE"""),"11000369")</f>
        <v>11000369</v>
      </c>
      <c r="D1707" s="380" t="s">
        <v>767</v>
      </c>
      <c r="E1707" s="380" t="s">
        <v>2305</v>
      </c>
      <c r="F1707" s="380" t="s">
        <v>2458</v>
      </c>
      <c r="G1707" s="380" t="s">
        <v>1267</v>
      </c>
      <c r="H1707" s="380" t="s">
        <v>771</v>
      </c>
      <c r="I1707" s="380" t="s">
        <v>2459</v>
      </c>
      <c r="J1707" s="380" t="s">
        <v>773</v>
      </c>
      <c r="K1707" s="381">
        <v>0.0</v>
      </c>
      <c r="L1707" s="382">
        <v>1.0</v>
      </c>
    </row>
    <row r="1708">
      <c r="A1708" s="380" t="s">
        <v>2566</v>
      </c>
      <c r="B1708" s="380" t="str">
        <f>IFERROR(__xludf.DUMMYFUNCTION("""COMPUTED_VALUE"""),"Pistola Automática Surtidor De Acpm3/4")</f>
        <v>Pistola Automática Surtidor De Acpm3/4</v>
      </c>
      <c r="C1708" s="380" t="str">
        <f>IFERROR(__xludf.DUMMYFUNCTION("""COMPUTED_VALUE"""),"11000370")</f>
        <v>11000370</v>
      </c>
      <c r="D1708" s="380" t="s">
        <v>767</v>
      </c>
      <c r="E1708" s="380" t="s">
        <v>2305</v>
      </c>
      <c r="F1708" s="380" t="s">
        <v>2458</v>
      </c>
      <c r="G1708" s="380" t="s">
        <v>1267</v>
      </c>
      <c r="H1708" s="380" t="s">
        <v>771</v>
      </c>
      <c r="I1708" s="380" t="s">
        <v>2459</v>
      </c>
      <c r="J1708" s="380" t="s">
        <v>773</v>
      </c>
      <c r="K1708" s="381">
        <v>0.0</v>
      </c>
      <c r="L1708" s="382">
        <v>1.0</v>
      </c>
    </row>
    <row r="1709">
      <c r="A1709" s="380" t="s">
        <v>2567</v>
      </c>
      <c r="B1709" s="380" t="str">
        <f>IFERROR(__xludf.DUMMYFUNCTION("""COMPUTED_VALUE"""),"Bascula Electronica Tipo Pesado")</f>
        <v>Bascula Electronica Tipo Pesado</v>
      </c>
      <c r="C1709" s="380" t="str">
        <f>IFERROR(__xludf.DUMMYFUNCTION("""COMPUTED_VALUE"""),"11000371")</f>
        <v>11000371</v>
      </c>
      <c r="D1709" s="380" t="s">
        <v>767</v>
      </c>
      <c r="E1709" s="380" t="s">
        <v>2305</v>
      </c>
      <c r="F1709" s="380" t="s">
        <v>2458</v>
      </c>
      <c r="G1709" s="380" t="s">
        <v>1267</v>
      </c>
      <c r="H1709" s="380" t="s">
        <v>771</v>
      </c>
      <c r="I1709" s="380" t="s">
        <v>2459</v>
      </c>
      <c r="J1709" s="380" t="s">
        <v>773</v>
      </c>
      <c r="K1709" s="381">
        <v>0.0</v>
      </c>
      <c r="L1709" s="382">
        <v>1.0</v>
      </c>
    </row>
    <row r="1710">
      <c r="A1710" s="380" t="s">
        <v>2568</v>
      </c>
      <c r="B1710" s="380" t="str">
        <f>IFERROR(__xludf.DUMMYFUNCTION("""COMPUTED_VALUE"""),"Pistola Termica 1500w Hg6020")</f>
        <v>Pistola Termica 1500w Hg6020</v>
      </c>
      <c r="C1710" s="380" t="str">
        <f>IFERROR(__xludf.DUMMYFUNCTION("""COMPUTED_VALUE"""),"11000372")</f>
        <v>11000372</v>
      </c>
      <c r="D1710" s="380" t="s">
        <v>767</v>
      </c>
      <c r="E1710" s="380" t="s">
        <v>2305</v>
      </c>
      <c r="F1710" s="380" t="s">
        <v>2458</v>
      </c>
      <c r="G1710" s="380" t="s">
        <v>1267</v>
      </c>
      <c r="H1710" s="380" t="s">
        <v>771</v>
      </c>
      <c r="I1710" s="380" t="s">
        <v>2459</v>
      </c>
      <c r="J1710" s="380" t="s">
        <v>773</v>
      </c>
      <c r="K1710" s="381">
        <v>0.0</v>
      </c>
      <c r="L1710" s="382">
        <v>1.0</v>
      </c>
    </row>
    <row r="1711">
      <c r="A1711" s="380" t="s">
        <v>2569</v>
      </c>
      <c r="B1711" s="380" t="str">
        <f>IFERROR(__xludf.DUMMYFUNCTION("""COMPUTED_VALUE"""),"Moto Bomba De Agua")</f>
        <v>Moto Bomba De Agua</v>
      </c>
      <c r="C1711" s="380" t="str">
        <f>IFERROR(__xludf.DUMMYFUNCTION("""COMPUTED_VALUE"""),"11000373")</f>
        <v>11000373</v>
      </c>
      <c r="D1711" s="380" t="s">
        <v>767</v>
      </c>
      <c r="E1711" s="380" t="s">
        <v>2305</v>
      </c>
      <c r="F1711" s="380" t="s">
        <v>2458</v>
      </c>
      <c r="G1711" s="380" t="s">
        <v>1267</v>
      </c>
      <c r="H1711" s="380" t="s">
        <v>771</v>
      </c>
      <c r="I1711" s="380" t="s">
        <v>2459</v>
      </c>
      <c r="J1711" s="380" t="s">
        <v>773</v>
      </c>
      <c r="K1711" s="381">
        <v>0.0</v>
      </c>
      <c r="L1711" s="382">
        <v>1.0</v>
      </c>
    </row>
    <row r="1712">
      <c r="A1712" s="380" t="s">
        <v>2570</v>
      </c>
      <c r="B1712" s="380" t="str">
        <f>IFERROR(__xludf.DUMMYFUNCTION("""COMPUTED_VALUE"""),"Pistola Pintura Gravedad Pop-700")</f>
        <v>Pistola Pintura Gravedad Pop-700</v>
      </c>
      <c r="C1712" s="380" t="str">
        <f>IFERROR(__xludf.DUMMYFUNCTION("""COMPUTED_VALUE"""),"11000374")</f>
        <v>11000374</v>
      </c>
      <c r="D1712" s="380" t="s">
        <v>767</v>
      </c>
      <c r="E1712" s="380" t="s">
        <v>2305</v>
      </c>
      <c r="F1712" s="380" t="s">
        <v>2458</v>
      </c>
      <c r="G1712" s="380" t="s">
        <v>1267</v>
      </c>
      <c r="H1712" s="380" t="s">
        <v>771</v>
      </c>
      <c r="I1712" s="380" t="s">
        <v>2459</v>
      </c>
      <c r="J1712" s="380" t="s">
        <v>773</v>
      </c>
      <c r="K1712" s="381">
        <v>0.0</v>
      </c>
      <c r="L1712" s="382">
        <v>1.0</v>
      </c>
    </row>
    <row r="1713">
      <c r="A1713" s="380" t="s">
        <v>2571</v>
      </c>
      <c r="B1713" s="380" t="str">
        <f>IFERROR(__xludf.DUMMYFUNCTION("""COMPUTED_VALUE"""),"Pulidora Electrica 7""/ 9"" Dewalt")</f>
        <v>Pulidora Electrica 7"/ 9" Dewalt</v>
      </c>
      <c r="C1713" s="380" t="str">
        <f>IFERROR(__xludf.DUMMYFUNCTION("""COMPUTED_VALUE"""),"11000375")</f>
        <v>11000375</v>
      </c>
      <c r="D1713" s="380" t="s">
        <v>767</v>
      </c>
      <c r="E1713" s="380" t="s">
        <v>2305</v>
      </c>
      <c r="F1713" s="380" t="s">
        <v>2458</v>
      </c>
      <c r="G1713" s="380" t="s">
        <v>1267</v>
      </c>
      <c r="H1713" s="380" t="s">
        <v>771</v>
      </c>
      <c r="I1713" s="380" t="s">
        <v>2459</v>
      </c>
      <c r="J1713" s="380" t="s">
        <v>773</v>
      </c>
      <c r="K1713" s="381">
        <v>0.0</v>
      </c>
      <c r="L1713" s="382">
        <v>1.0</v>
      </c>
    </row>
    <row r="1714">
      <c r="A1714" s="380" t="s">
        <v>2572</v>
      </c>
      <c r="B1714" s="380" t="str">
        <f>IFERROR(__xludf.DUMMYFUNCTION("""COMPUTED_VALUE"""),"Mesa Auxiliar Zona Multiple")</f>
        <v>Mesa Auxiliar Zona Multiple</v>
      </c>
      <c r="C1714" s="380" t="str">
        <f>IFERROR(__xludf.DUMMYFUNCTION("""COMPUTED_VALUE"""),"11000376")</f>
        <v>11000376</v>
      </c>
      <c r="D1714" s="380" t="s">
        <v>767</v>
      </c>
      <c r="E1714" s="380" t="s">
        <v>2305</v>
      </c>
      <c r="F1714" s="380" t="s">
        <v>2556</v>
      </c>
      <c r="G1714" s="380" t="s">
        <v>1267</v>
      </c>
      <c r="H1714" s="380" t="s">
        <v>771</v>
      </c>
      <c r="I1714" s="380" t="s">
        <v>2307</v>
      </c>
      <c r="J1714" s="380" t="s">
        <v>773</v>
      </c>
      <c r="K1714" s="381">
        <v>0.0</v>
      </c>
      <c r="L1714" s="382">
        <v>1.0</v>
      </c>
    </row>
    <row r="1715">
      <c r="A1715" s="380" t="s">
        <v>2573</v>
      </c>
      <c r="B1715" s="380" t="str">
        <f>IFERROR(__xludf.DUMMYFUNCTION("""COMPUTED_VALUE"""),"Silla Base 4 Patas Uniconcha Z Multiple")</f>
        <v>Silla Base 4 Patas Uniconcha Z Multiple</v>
      </c>
      <c r="C1715" s="380" t="str">
        <f>IFERROR(__xludf.DUMMYFUNCTION("""COMPUTED_VALUE"""),"11000377")</f>
        <v>11000377</v>
      </c>
      <c r="D1715" s="380" t="s">
        <v>767</v>
      </c>
      <c r="E1715" s="380" t="s">
        <v>2305</v>
      </c>
      <c r="F1715" s="380" t="s">
        <v>2556</v>
      </c>
      <c r="G1715" s="380" t="s">
        <v>1267</v>
      </c>
      <c r="H1715" s="380" t="s">
        <v>771</v>
      </c>
      <c r="I1715" s="380" t="s">
        <v>2307</v>
      </c>
      <c r="J1715" s="380" t="s">
        <v>773</v>
      </c>
      <c r="K1715" s="381">
        <v>0.0</v>
      </c>
      <c r="L1715" s="382">
        <v>1.0</v>
      </c>
    </row>
    <row r="1716">
      <c r="A1716" s="380" t="s">
        <v>2574</v>
      </c>
      <c r="B1716" s="380" t="str">
        <f>IFERROR(__xludf.DUMMYFUNCTION("""COMPUTED_VALUE"""),"Mesa Novel Ping Pong Zona Multiple")</f>
        <v>Mesa Novel Ping Pong Zona Multiple</v>
      </c>
      <c r="C1716" s="380" t="str">
        <f>IFERROR(__xludf.DUMMYFUNCTION("""COMPUTED_VALUE"""),"11000378")</f>
        <v>11000378</v>
      </c>
      <c r="D1716" s="380" t="s">
        <v>767</v>
      </c>
      <c r="E1716" s="380" t="s">
        <v>2305</v>
      </c>
      <c r="F1716" s="380" t="s">
        <v>2556</v>
      </c>
      <c r="G1716" s="380" t="s">
        <v>1267</v>
      </c>
      <c r="H1716" s="380" t="s">
        <v>771</v>
      </c>
      <c r="I1716" s="380" t="s">
        <v>2307</v>
      </c>
      <c r="J1716" s="380" t="s">
        <v>773</v>
      </c>
      <c r="K1716" s="381">
        <v>0.0</v>
      </c>
      <c r="L1716" s="382">
        <v>1.0</v>
      </c>
    </row>
    <row r="1717">
      <c r="A1717" s="380" t="s">
        <v>2575</v>
      </c>
      <c r="B1717" s="380" t="str">
        <f>IFERROR(__xludf.DUMMYFUNCTION("""COMPUTED_VALUE"""),"Mesa Cbp V2Redonda Formica Zona Multiple")</f>
        <v>Mesa Cbp V2Redonda Formica Zona Multiple</v>
      </c>
      <c r="C1717" s="380" t="str">
        <f>IFERROR(__xludf.DUMMYFUNCTION("""COMPUTED_VALUE"""),"11000379")</f>
        <v>11000379</v>
      </c>
      <c r="D1717" s="380" t="s">
        <v>767</v>
      </c>
      <c r="E1717" s="380" t="s">
        <v>2305</v>
      </c>
      <c r="F1717" s="380" t="s">
        <v>2556</v>
      </c>
      <c r="G1717" s="380" t="s">
        <v>1267</v>
      </c>
      <c r="H1717" s="380" t="s">
        <v>771</v>
      </c>
      <c r="I1717" s="380" t="s">
        <v>2307</v>
      </c>
      <c r="J1717" s="380" t="s">
        <v>773</v>
      </c>
      <c r="K1717" s="381">
        <v>0.0</v>
      </c>
      <c r="L1717" s="382">
        <v>1.0</v>
      </c>
    </row>
    <row r="1718">
      <c r="A1718" s="380" t="s">
        <v>2576</v>
      </c>
      <c r="B1718" s="380" t="str">
        <f>IFERROR(__xludf.DUMMYFUNCTION("""COMPUTED_VALUE"""),"Mesa Cuadrada Formica Zona Multiple")</f>
        <v>Mesa Cuadrada Formica Zona Multiple</v>
      </c>
      <c r="C1718" s="380" t="str">
        <f>IFERROR(__xludf.DUMMYFUNCTION("""COMPUTED_VALUE"""),"11000380")</f>
        <v>11000380</v>
      </c>
      <c r="D1718" s="380" t="s">
        <v>767</v>
      </c>
      <c r="E1718" s="380" t="s">
        <v>2305</v>
      </c>
      <c r="F1718" s="380" t="s">
        <v>2556</v>
      </c>
      <c r="G1718" s="380" t="s">
        <v>1267</v>
      </c>
      <c r="H1718" s="380" t="s">
        <v>771</v>
      </c>
      <c r="I1718" s="380" t="s">
        <v>2307</v>
      </c>
      <c r="J1718" s="380" t="s">
        <v>773</v>
      </c>
      <c r="K1718" s="381">
        <v>0.0</v>
      </c>
      <c r="L1718" s="382">
        <v>1.0</v>
      </c>
    </row>
    <row r="1719">
      <c r="A1719" s="380" t="s">
        <v>2577</v>
      </c>
      <c r="B1719" s="380" t="str">
        <f>IFERROR(__xludf.DUMMYFUNCTION("""COMPUTED_VALUE"""),"Puff Tipo Pera Lona Zona Multiple")</f>
        <v>Puff Tipo Pera Lona Zona Multiple</v>
      </c>
      <c r="C1719" s="380" t="str">
        <f>IFERROR(__xludf.DUMMYFUNCTION("""COMPUTED_VALUE"""),"11000381")</f>
        <v>11000381</v>
      </c>
      <c r="D1719" s="380" t="s">
        <v>767</v>
      </c>
      <c r="E1719" s="380" t="s">
        <v>2305</v>
      </c>
      <c r="F1719" s="380" t="s">
        <v>2556</v>
      </c>
      <c r="G1719" s="380" t="s">
        <v>1267</v>
      </c>
      <c r="H1719" s="380" t="s">
        <v>771</v>
      </c>
      <c r="I1719" s="380" t="s">
        <v>2307</v>
      </c>
      <c r="J1719" s="380" t="s">
        <v>773</v>
      </c>
      <c r="K1719" s="381">
        <v>0.0</v>
      </c>
      <c r="L1719" s="382">
        <v>1.0</v>
      </c>
    </row>
    <row r="1720">
      <c r="A1720" s="380" t="s">
        <v>2578</v>
      </c>
      <c r="B1720" s="380" t="str">
        <f>IFERROR(__xludf.DUMMYFUNCTION("""COMPUTED_VALUE"""),"Silla Poltrona Oliver Zona Multiple")</f>
        <v>Silla Poltrona Oliver Zona Multiple</v>
      </c>
      <c r="C1720" s="380" t="str">
        <f>IFERROR(__xludf.DUMMYFUNCTION("""COMPUTED_VALUE"""),"11000382")</f>
        <v>11000382</v>
      </c>
      <c r="D1720" s="380" t="s">
        <v>767</v>
      </c>
      <c r="E1720" s="380" t="s">
        <v>2305</v>
      </c>
      <c r="F1720" s="380" t="s">
        <v>2556</v>
      </c>
      <c r="G1720" s="380" t="s">
        <v>1267</v>
      </c>
      <c r="H1720" s="380" t="s">
        <v>771</v>
      </c>
      <c r="I1720" s="380" t="s">
        <v>2307</v>
      </c>
      <c r="J1720" s="380" t="s">
        <v>773</v>
      </c>
      <c r="K1720" s="381">
        <v>0.0</v>
      </c>
      <c r="L1720" s="382">
        <v>1.0</v>
      </c>
    </row>
    <row r="1721">
      <c r="A1721" s="380" t="s">
        <v>2579</v>
      </c>
      <c r="B1721" s="380" t="str">
        <f>IFERROR(__xludf.DUMMYFUNCTION("""COMPUTED_VALUE"""),"Mesa Trabajo Formica75x45x45 Z Multiple")</f>
        <v>Mesa Trabajo Formica75x45x45 Z Multiple</v>
      </c>
      <c r="C1721" s="380" t="str">
        <f>IFERROR(__xludf.DUMMYFUNCTION("""COMPUTED_VALUE"""),"11000383")</f>
        <v>11000383</v>
      </c>
      <c r="D1721" s="380" t="s">
        <v>767</v>
      </c>
      <c r="E1721" s="380" t="s">
        <v>2305</v>
      </c>
      <c r="F1721" s="380" t="s">
        <v>2556</v>
      </c>
      <c r="G1721" s="380" t="s">
        <v>1267</v>
      </c>
      <c r="H1721" s="380" t="s">
        <v>771</v>
      </c>
      <c r="I1721" s="380" t="s">
        <v>2307</v>
      </c>
      <c r="J1721" s="380" t="s">
        <v>773</v>
      </c>
      <c r="K1721" s="381">
        <v>0.0</v>
      </c>
      <c r="L1721" s="382">
        <v>1.0</v>
      </c>
    </row>
    <row r="1722">
      <c r="A1722" s="380" t="s">
        <v>2580</v>
      </c>
      <c r="B1722" s="380" t="str">
        <f>IFERROR(__xludf.DUMMYFUNCTION("""COMPUTED_VALUE"""),"Mesa Centro Sup Form 50x45x45 Z Multiple")</f>
        <v>Mesa Centro Sup Form 50x45x45 Z Multiple</v>
      </c>
      <c r="C1722" s="380" t="str">
        <f>IFERROR(__xludf.DUMMYFUNCTION("""COMPUTED_VALUE"""),"11000384")</f>
        <v>11000384</v>
      </c>
      <c r="D1722" s="380" t="s">
        <v>767</v>
      </c>
      <c r="E1722" s="380" t="s">
        <v>2305</v>
      </c>
      <c r="F1722" s="380" t="s">
        <v>2556</v>
      </c>
      <c r="G1722" s="380" t="s">
        <v>1267</v>
      </c>
      <c r="H1722" s="380" t="s">
        <v>771</v>
      </c>
      <c r="I1722" s="380" t="s">
        <v>2307</v>
      </c>
      <c r="J1722" s="380" t="s">
        <v>773</v>
      </c>
      <c r="K1722" s="381">
        <v>0.0</v>
      </c>
      <c r="L1722" s="382">
        <v>1.0</v>
      </c>
    </row>
    <row r="1723">
      <c r="A1723" s="380" t="s">
        <v>2581</v>
      </c>
      <c r="B1723" s="380" t="str">
        <f>IFERROR(__xludf.DUMMYFUNCTION("""COMPUTED_VALUE"""),"Poltrona Queen Base Trineo Zona Multiple")</f>
        <v>Poltrona Queen Base Trineo Zona Multiple</v>
      </c>
      <c r="C1723" s="380" t="str">
        <f>IFERROR(__xludf.DUMMYFUNCTION("""COMPUTED_VALUE"""),"11000385")</f>
        <v>11000385</v>
      </c>
      <c r="D1723" s="380" t="s">
        <v>767</v>
      </c>
      <c r="E1723" s="380" t="s">
        <v>2305</v>
      </c>
      <c r="F1723" s="380" t="s">
        <v>2556</v>
      </c>
      <c r="G1723" s="380" t="s">
        <v>1267</v>
      </c>
      <c r="H1723" s="380" t="s">
        <v>771</v>
      </c>
      <c r="I1723" s="380" t="s">
        <v>2307</v>
      </c>
      <c r="J1723" s="380" t="s">
        <v>773</v>
      </c>
      <c r="K1723" s="381">
        <v>0.0</v>
      </c>
      <c r="L1723" s="382">
        <v>1.0</v>
      </c>
    </row>
    <row r="1724">
      <c r="A1724" s="380" t="s">
        <v>2582</v>
      </c>
      <c r="B1724" s="380" t="str">
        <f>IFERROR(__xludf.DUMMYFUNCTION("""COMPUTED_VALUE"""),"Puff Tipo Cama Zona Mutiple")</f>
        <v>Puff Tipo Cama Zona Mutiple</v>
      </c>
      <c r="C1724" s="380" t="str">
        <f>IFERROR(__xludf.DUMMYFUNCTION("""COMPUTED_VALUE"""),"11000386")</f>
        <v>11000386</v>
      </c>
      <c r="D1724" s="380" t="s">
        <v>767</v>
      </c>
      <c r="E1724" s="380" t="s">
        <v>2305</v>
      </c>
      <c r="F1724" s="380" t="s">
        <v>2556</v>
      </c>
      <c r="G1724" s="380" t="s">
        <v>1267</v>
      </c>
      <c r="H1724" s="380" t="s">
        <v>771</v>
      </c>
      <c r="I1724" s="380" t="s">
        <v>2307</v>
      </c>
      <c r="J1724" s="380" t="s">
        <v>773</v>
      </c>
      <c r="K1724" s="381">
        <v>0.0</v>
      </c>
      <c r="L1724" s="382">
        <v>1.0</v>
      </c>
    </row>
    <row r="1725">
      <c r="A1725" s="380" t="s">
        <v>2583</v>
      </c>
      <c r="B1725" s="380" t="str">
        <f>IFERROR(__xludf.DUMMYFUNCTION("""COMPUTED_VALUE"""),"Nevera Vertical Refrigeracion")</f>
        <v>Nevera Vertical Refrigeracion</v>
      </c>
      <c r="C1725" s="380" t="str">
        <f>IFERROR(__xludf.DUMMYFUNCTION("""COMPUTED_VALUE"""),"11000387")</f>
        <v>11000387</v>
      </c>
      <c r="D1725" s="380" t="s">
        <v>767</v>
      </c>
      <c r="E1725" s="380" t="s">
        <v>2305</v>
      </c>
      <c r="F1725" s="380" t="s">
        <v>2556</v>
      </c>
      <c r="G1725" s="380" t="s">
        <v>1267</v>
      </c>
      <c r="H1725" s="380" t="s">
        <v>771</v>
      </c>
      <c r="I1725" s="380" t="s">
        <v>2307</v>
      </c>
      <c r="J1725" s="380" t="s">
        <v>773</v>
      </c>
      <c r="K1725" s="381">
        <v>0.0</v>
      </c>
      <c r="L1725" s="382">
        <v>1.0</v>
      </c>
    </row>
    <row r="1726">
      <c r="A1726" s="380" t="s">
        <v>2584</v>
      </c>
      <c r="B1726" s="380" t="str">
        <f>IFERROR(__xludf.DUMMYFUNCTION("""COMPUTED_VALUE"""),"Cafetera Espresso Perfect Brew15 Bares")</f>
        <v>Cafetera Espresso Perfect Brew15 Bares</v>
      </c>
      <c r="C1726" s="380" t="str">
        <f>IFERROR(__xludf.DUMMYFUNCTION("""COMPUTED_VALUE"""),"11000388")</f>
        <v>11000388</v>
      </c>
      <c r="D1726" s="380" t="s">
        <v>767</v>
      </c>
      <c r="E1726" s="380" t="s">
        <v>2305</v>
      </c>
      <c r="F1726" s="380" t="s">
        <v>2556</v>
      </c>
      <c r="G1726" s="380" t="s">
        <v>1267</v>
      </c>
      <c r="H1726" s="380" t="s">
        <v>771</v>
      </c>
      <c r="I1726" s="380" t="s">
        <v>2307</v>
      </c>
      <c r="J1726" s="380" t="s">
        <v>773</v>
      </c>
      <c r="K1726" s="381">
        <v>0.0</v>
      </c>
      <c r="L1726" s="382">
        <v>1.0</v>
      </c>
    </row>
    <row r="1727">
      <c r="A1727" s="380" t="s">
        <v>2585</v>
      </c>
      <c r="B1727" s="380" t="str">
        <f>IFERROR(__xludf.DUMMYFUNCTION("""COMPUTED_VALUE"""),"Freidora Aire Oster7.5lts Dig Z Multiple")</f>
        <v>Freidora Aire Oster7.5lts Dig Z Multiple</v>
      </c>
      <c r="C1727" s="380" t="str">
        <f>IFERROR(__xludf.DUMMYFUNCTION("""COMPUTED_VALUE"""),"11000389")</f>
        <v>11000389</v>
      </c>
      <c r="D1727" s="380" t="s">
        <v>767</v>
      </c>
      <c r="E1727" s="380" t="s">
        <v>2305</v>
      </c>
      <c r="F1727" s="380" t="s">
        <v>2556</v>
      </c>
      <c r="G1727" s="380" t="s">
        <v>1267</v>
      </c>
      <c r="H1727" s="380" t="s">
        <v>771</v>
      </c>
      <c r="I1727" s="380" t="s">
        <v>2307</v>
      </c>
      <c r="J1727" s="380" t="s">
        <v>773</v>
      </c>
      <c r="K1727" s="381">
        <v>0.0</v>
      </c>
      <c r="L1727" s="382">
        <v>1.0</v>
      </c>
    </row>
    <row r="1728">
      <c r="A1728" s="380" t="s">
        <v>2586</v>
      </c>
      <c r="B1728" s="380" t="str">
        <f>IFERROR(__xludf.DUMMYFUNCTION("""COMPUTED_VALUE"""),"Carpa Kiosco Primeros Auxilios")</f>
        <v>Carpa Kiosco Primeros Auxilios</v>
      </c>
      <c r="C1728" s="380" t="str">
        <f>IFERROR(__xludf.DUMMYFUNCTION("""COMPUTED_VALUE"""),"11000390")</f>
        <v>11000390</v>
      </c>
      <c r="D1728" s="380" t="s">
        <v>767</v>
      </c>
      <c r="E1728" s="380" t="s">
        <v>2305</v>
      </c>
      <c r="F1728" s="380" t="s">
        <v>2556</v>
      </c>
      <c r="G1728" s="380" t="s">
        <v>1267</v>
      </c>
      <c r="H1728" s="380" t="s">
        <v>771</v>
      </c>
      <c r="I1728" s="380" t="s">
        <v>2307</v>
      </c>
      <c r="J1728" s="380" t="s">
        <v>773</v>
      </c>
      <c r="K1728" s="381">
        <v>0.0</v>
      </c>
      <c r="L1728" s="382">
        <v>1.0</v>
      </c>
    </row>
    <row r="1729">
      <c r="A1729" s="380" t="s">
        <v>2587</v>
      </c>
      <c r="B1729" s="380" t="str">
        <f>IFERROR(__xludf.DUMMYFUNCTION("""COMPUTED_VALUE"""),"Mesa Aliados Goo 2.00X0.80X1.00")</f>
        <v>Mesa Aliados Goo 2.00X0.80X1.00</v>
      </c>
      <c r="C1729" s="380" t="str">
        <f>IFERROR(__xludf.DUMMYFUNCTION("""COMPUTED_VALUE"""),"11000391")</f>
        <v>11000391</v>
      </c>
      <c r="D1729" s="380" t="s">
        <v>767</v>
      </c>
      <c r="E1729" s="380" t="s">
        <v>2305</v>
      </c>
      <c r="F1729" s="380" t="s">
        <v>2556</v>
      </c>
      <c r="G1729" s="380" t="s">
        <v>1267</v>
      </c>
      <c r="H1729" s="380" t="s">
        <v>771</v>
      </c>
      <c r="I1729" s="380" t="s">
        <v>2307</v>
      </c>
      <c r="J1729" s="380" t="s">
        <v>773</v>
      </c>
      <c r="K1729" s="381">
        <v>0.0</v>
      </c>
      <c r="L1729" s="382">
        <v>1.0</v>
      </c>
    </row>
    <row r="1730">
      <c r="A1730" s="380" t="s">
        <v>2588</v>
      </c>
      <c r="B1730" s="380" t="str">
        <f>IFERROR(__xludf.DUMMYFUNCTION("""COMPUTED_VALUE"""),"Silla Plastica Rimax")</f>
        <v>Silla Plastica Rimax</v>
      </c>
      <c r="C1730" s="380" t="str">
        <f>IFERROR(__xludf.DUMMYFUNCTION("""COMPUTED_VALUE"""),"11000392")</f>
        <v>11000392</v>
      </c>
      <c r="D1730" s="380" t="s">
        <v>767</v>
      </c>
      <c r="E1730" s="380" t="s">
        <v>2305</v>
      </c>
      <c r="F1730" s="380" t="s">
        <v>2556</v>
      </c>
      <c r="G1730" s="380" t="s">
        <v>1267</v>
      </c>
      <c r="H1730" s="380" t="s">
        <v>771</v>
      </c>
      <c r="I1730" s="380" t="s">
        <v>2307</v>
      </c>
      <c r="J1730" s="380" t="s">
        <v>773</v>
      </c>
      <c r="K1730" s="381">
        <v>0.0</v>
      </c>
      <c r="L1730" s="382">
        <v>1.0</v>
      </c>
    </row>
    <row r="1731">
      <c r="A1731" s="380" t="s">
        <v>2589</v>
      </c>
      <c r="B1731" s="380" t="str">
        <f>IFERROR(__xludf.DUMMYFUNCTION("""COMPUTED_VALUE"""),"Estufa Gas Acero Inoxidable")</f>
        <v>Estufa Gas Acero Inoxidable</v>
      </c>
      <c r="C1731" s="380" t="str">
        <f>IFERROR(__xludf.DUMMYFUNCTION("""COMPUTED_VALUE"""),"11000393")</f>
        <v>11000393</v>
      </c>
      <c r="D1731" s="380" t="s">
        <v>767</v>
      </c>
      <c r="E1731" s="380" t="s">
        <v>2305</v>
      </c>
      <c r="F1731" s="380" t="s">
        <v>2556</v>
      </c>
      <c r="G1731" s="380" t="s">
        <v>1267</v>
      </c>
      <c r="H1731" s="380" t="s">
        <v>771</v>
      </c>
      <c r="I1731" s="380" t="s">
        <v>2307</v>
      </c>
      <c r="J1731" s="380" t="s">
        <v>773</v>
      </c>
      <c r="K1731" s="381">
        <v>0.0</v>
      </c>
      <c r="L1731" s="382">
        <v>1.0</v>
      </c>
    </row>
    <row r="1732">
      <c r="A1732" s="380" t="s">
        <v>2590</v>
      </c>
      <c r="B1732" s="380" t="str">
        <f>IFERROR(__xludf.DUMMYFUNCTION("""COMPUTED_VALUE"""),"Silla Para Stand Mercadeo")</f>
        <v>Silla Para Stand Mercadeo</v>
      </c>
      <c r="C1732" s="380" t="str">
        <f>IFERROR(__xludf.DUMMYFUNCTION("""COMPUTED_VALUE"""),"11000394")</f>
        <v>11000394</v>
      </c>
      <c r="D1732" s="380" t="s">
        <v>767</v>
      </c>
      <c r="E1732" s="380" t="s">
        <v>2305</v>
      </c>
      <c r="F1732" s="380" t="s">
        <v>2556</v>
      </c>
      <c r="G1732" s="380" t="s">
        <v>1267</v>
      </c>
      <c r="H1732" s="380" t="s">
        <v>771</v>
      </c>
      <c r="I1732" s="380" t="s">
        <v>2307</v>
      </c>
      <c r="J1732" s="380" t="s">
        <v>773</v>
      </c>
      <c r="K1732" s="381">
        <v>0.0</v>
      </c>
      <c r="L1732" s="382">
        <v>1.0</v>
      </c>
    </row>
    <row r="1733">
      <c r="A1733" s="380" t="s">
        <v>2591</v>
      </c>
      <c r="B1733" s="380" t="str">
        <f>IFERROR(__xludf.DUMMYFUNCTION("""COMPUTED_VALUE"""),"Espumadora Lavado Vehiculos 70gl-Nueva")</f>
        <v>Espumadora Lavado Vehiculos 70gl-Nueva</v>
      </c>
      <c r="C1733" s="380" t="str">
        <f>IFERROR(__xludf.DUMMYFUNCTION("""COMPUTED_VALUE"""),"11000395")</f>
        <v>11000395</v>
      </c>
      <c r="D1733" s="380" t="s">
        <v>767</v>
      </c>
      <c r="E1733" s="380" t="s">
        <v>2305</v>
      </c>
      <c r="F1733" s="380" t="s">
        <v>2556</v>
      </c>
      <c r="G1733" s="380" t="s">
        <v>1267</v>
      </c>
      <c r="H1733" s="380" t="s">
        <v>771</v>
      </c>
      <c r="I1733" s="380" t="s">
        <v>2307</v>
      </c>
      <c r="J1733" s="380" t="s">
        <v>773</v>
      </c>
      <c r="K1733" s="381">
        <v>0.0</v>
      </c>
      <c r="L1733" s="382">
        <v>1.0</v>
      </c>
    </row>
    <row r="1734">
      <c r="A1734" s="380" t="s">
        <v>2592</v>
      </c>
      <c r="B1734" s="380" t="str">
        <f>IFERROR(__xludf.DUMMYFUNCTION("""COMPUTED_VALUE"""),"Aire Acondicionado Port12000 Btu 110V")</f>
        <v>Aire Acondicionado Port12000 Btu 110V</v>
      </c>
      <c r="C1734" s="380" t="str">
        <f>IFERROR(__xludf.DUMMYFUNCTION("""COMPUTED_VALUE"""),"11000396")</f>
        <v>11000396</v>
      </c>
      <c r="D1734" s="380" t="s">
        <v>767</v>
      </c>
      <c r="E1734" s="380" t="s">
        <v>2305</v>
      </c>
      <c r="F1734" s="380" t="s">
        <v>2556</v>
      </c>
      <c r="G1734" s="380" t="s">
        <v>1267</v>
      </c>
      <c r="H1734" s="380" t="s">
        <v>771</v>
      </c>
      <c r="I1734" s="380" t="s">
        <v>2307</v>
      </c>
      <c r="J1734" s="380" t="s">
        <v>773</v>
      </c>
      <c r="K1734" s="381">
        <v>0.0</v>
      </c>
      <c r="L1734" s="382">
        <v>1.0</v>
      </c>
    </row>
    <row r="1735">
      <c r="A1735" s="380" t="s">
        <v>2593</v>
      </c>
      <c r="B1735" s="380" t="str">
        <f>IFERROR(__xludf.DUMMYFUNCTION("""COMPUTED_VALUE"""),"Ventilador Tipo Torre")</f>
        <v>Ventilador Tipo Torre</v>
      </c>
      <c r="C1735" s="380" t="str">
        <f>IFERROR(__xludf.DUMMYFUNCTION("""COMPUTED_VALUE"""),"11000397")</f>
        <v>11000397</v>
      </c>
      <c r="D1735" s="380" t="s">
        <v>767</v>
      </c>
      <c r="E1735" s="380" t="s">
        <v>2305</v>
      </c>
      <c r="F1735" s="380" t="s">
        <v>2556</v>
      </c>
      <c r="G1735" s="380" t="s">
        <v>1267</v>
      </c>
      <c r="H1735" s="380" t="s">
        <v>771</v>
      </c>
      <c r="I1735" s="380" t="s">
        <v>2307</v>
      </c>
      <c r="J1735" s="380" t="s">
        <v>773</v>
      </c>
      <c r="K1735" s="381">
        <v>0.0</v>
      </c>
      <c r="L1735" s="382">
        <v>1.0</v>
      </c>
    </row>
    <row r="1736">
      <c r="A1736" s="380" t="s">
        <v>2594</v>
      </c>
      <c r="B1736" s="380" t="str">
        <f>IFERROR(__xludf.DUMMYFUNCTION("""COMPUTED_VALUE"""),"Mesa Picnic De 150cm X 150cm")</f>
        <v>Mesa Picnic De 150cm X 150cm</v>
      </c>
      <c r="C1736" s="380" t="str">
        <f>IFERROR(__xludf.DUMMYFUNCTION("""COMPUTED_VALUE"""),"11000398")</f>
        <v>11000398</v>
      </c>
      <c r="D1736" s="380" t="s">
        <v>767</v>
      </c>
      <c r="E1736" s="380" t="s">
        <v>2305</v>
      </c>
      <c r="F1736" s="380" t="s">
        <v>2556</v>
      </c>
      <c r="G1736" s="380" t="s">
        <v>1267</v>
      </c>
      <c r="H1736" s="380" t="s">
        <v>771</v>
      </c>
      <c r="I1736" s="380" t="s">
        <v>2307</v>
      </c>
      <c r="J1736" s="380" t="s">
        <v>773</v>
      </c>
      <c r="K1736" s="381">
        <v>0.0</v>
      </c>
      <c r="L1736" s="382">
        <v>1.0</v>
      </c>
    </row>
    <row r="1737">
      <c r="A1737" s="380" t="s">
        <v>2595</v>
      </c>
      <c r="B1737" s="380" t="str">
        <f>IFERROR(__xludf.DUMMYFUNCTION("""COMPUTED_VALUE"""),"Mesa Mad Zona Lud 0.60 X 0.45")</f>
        <v>Mesa Mad Zona Lud 0.60 X 0.45</v>
      </c>
      <c r="C1737" s="380" t="str">
        <f>IFERROR(__xludf.DUMMYFUNCTION("""COMPUTED_VALUE"""),"11000399")</f>
        <v>11000399</v>
      </c>
      <c r="D1737" s="380" t="s">
        <v>767</v>
      </c>
      <c r="E1737" s="380" t="s">
        <v>2305</v>
      </c>
      <c r="F1737" s="380" t="s">
        <v>2556</v>
      </c>
      <c r="G1737" s="380" t="s">
        <v>1267</v>
      </c>
      <c r="H1737" s="380" t="s">
        <v>771</v>
      </c>
      <c r="I1737" s="380" t="s">
        <v>2307</v>
      </c>
      <c r="J1737" s="380" t="s">
        <v>773</v>
      </c>
      <c r="K1737" s="381">
        <v>0.0</v>
      </c>
      <c r="L1737" s="382">
        <v>1.0</v>
      </c>
    </row>
    <row r="1738">
      <c r="A1738" s="380" t="s">
        <v>2596</v>
      </c>
      <c r="B1738" s="380" t="str">
        <f>IFERROR(__xludf.DUMMYFUNCTION("""COMPUTED_VALUE"""),"Mesa De Planchar")</f>
        <v>Mesa De Planchar</v>
      </c>
      <c r="C1738" s="380" t="str">
        <f>IFERROR(__xludf.DUMMYFUNCTION("""COMPUTED_VALUE"""),"11000400")</f>
        <v>11000400</v>
      </c>
      <c r="D1738" s="380" t="s">
        <v>767</v>
      </c>
      <c r="E1738" s="380" t="s">
        <v>2305</v>
      </c>
      <c r="F1738" s="380" t="s">
        <v>2556</v>
      </c>
      <c r="G1738" s="380" t="s">
        <v>1267</v>
      </c>
      <c r="H1738" s="380" t="s">
        <v>771</v>
      </c>
      <c r="I1738" s="380" t="s">
        <v>2307</v>
      </c>
      <c r="J1738" s="380" t="s">
        <v>773</v>
      </c>
      <c r="K1738" s="381">
        <v>0.0</v>
      </c>
      <c r="L1738" s="382">
        <v>1.0</v>
      </c>
    </row>
    <row r="1739">
      <c r="A1739" s="380" t="s">
        <v>2597</v>
      </c>
      <c r="B1739" s="380" t="str">
        <f>IFERROR(__xludf.DUMMYFUNCTION("""COMPUTED_VALUE"""),"Mueble Auxiliar De Aseo 181*51*36.8cm")</f>
        <v>Mueble Auxiliar De Aseo 181*51*36.8cm</v>
      </c>
      <c r="C1739" s="380" t="str">
        <f>IFERROR(__xludf.DUMMYFUNCTION("""COMPUTED_VALUE"""),"11000401")</f>
        <v>11000401</v>
      </c>
      <c r="D1739" s="380" t="s">
        <v>767</v>
      </c>
      <c r="E1739" s="380" t="s">
        <v>2305</v>
      </c>
      <c r="F1739" s="380" t="s">
        <v>2556</v>
      </c>
      <c r="G1739" s="380" t="s">
        <v>1267</v>
      </c>
      <c r="H1739" s="380" t="s">
        <v>771</v>
      </c>
      <c r="I1739" s="380" t="s">
        <v>2307</v>
      </c>
      <c r="J1739" s="380" t="s">
        <v>773</v>
      </c>
      <c r="K1739" s="381">
        <v>0.0</v>
      </c>
      <c r="L1739" s="382">
        <v>1.0</v>
      </c>
    </row>
    <row r="1740">
      <c r="A1740" s="380" t="s">
        <v>2598</v>
      </c>
      <c r="B1740" s="380" t="str">
        <f>IFERROR(__xludf.DUMMYFUNCTION("""COMPUTED_VALUE"""),"Poltrona Luna Giratoria Base Zona Multi")</f>
        <v>Poltrona Luna Giratoria Base Zona Multi</v>
      </c>
      <c r="C1740" s="380" t="str">
        <f>IFERROR(__xludf.DUMMYFUNCTION("""COMPUTED_VALUE"""),"11000402")</f>
        <v>11000402</v>
      </c>
      <c r="D1740" s="380" t="s">
        <v>767</v>
      </c>
      <c r="E1740" s="380" t="s">
        <v>2305</v>
      </c>
      <c r="F1740" s="380" t="s">
        <v>2556</v>
      </c>
      <c r="G1740" s="380" t="s">
        <v>1267</v>
      </c>
      <c r="H1740" s="380" t="s">
        <v>771</v>
      </c>
      <c r="I1740" s="380" t="s">
        <v>2307</v>
      </c>
      <c r="J1740" s="380" t="s">
        <v>773</v>
      </c>
      <c r="K1740" s="381">
        <v>0.0</v>
      </c>
      <c r="L1740" s="382">
        <v>1.0</v>
      </c>
    </row>
    <row r="1741">
      <c r="A1741" s="380" t="s">
        <v>2599</v>
      </c>
      <c r="B1741" s="380" t="str">
        <f>IFERROR(__xludf.DUMMYFUNCTION("""COMPUTED_VALUE"""),"Banco Base Madera Asiento Esp ZM")</f>
        <v>Banco Base Madera Asiento Esp ZM</v>
      </c>
      <c r="C1741" s="380" t="str">
        <f>IFERROR(__xludf.DUMMYFUNCTION("""COMPUTED_VALUE"""),"11000403")</f>
        <v>11000403</v>
      </c>
      <c r="D1741" s="380" t="s">
        <v>767</v>
      </c>
      <c r="E1741" s="380" t="s">
        <v>2305</v>
      </c>
      <c r="F1741" s="380" t="s">
        <v>2556</v>
      </c>
      <c r="G1741" s="380" t="s">
        <v>1267</v>
      </c>
      <c r="H1741" s="380" t="s">
        <v>771</v>
      </c>
      <c r="I1741" s="380" t="s">
        <v>2307</v>
      </c>
      <c r="J1741" s="380" t="s">
        <v>773</v>
      </c>
      <c r="K1741" s="381">
        <v>0.0</v>
      </c>
      <c r="L1741" s="382">
        <v>1.0</v>
      </c>
    </row>
    <row r="1742">
      <c r="A1742" s="380" t="s">
        <v>2600</v>
      </c>
      <c r="B1742" s="380" t="str">
        <f>IFERROR(__xludf.DUMMYFUNCTION("""COMPUTED_VALUE"""),"Pouf Doppio Diametro 0.5m Zona Multiple")</f>
        <v>Pouf Doppio Diametro 0.5m Zona Multiple</v>
      </c>
      <c r="C1742" s="380" t="str">
        <f>IFERROR(__xludf.DUMMYFUNCTION("""COMPUTED_VALUE"""),"11000404")</f>
        <v>11000404</v>
      </c>
      <c r="D1742" s="380" t="s">
        <v>767</v>
      </c>
      <c r="E1742" s="380" t="s">
        <v>2305</v>
      </c>
      <c r="F1742" s="380" t="s">
        <v>2556</v>
      </c>
      <c r="G1742" s="380" t="s">
        <v>1267</v>
      </c>
      <c r="H1742" s="380" t="s">
        <v>771</v>
      </c>
      <c r="I1742" s="380" t="s">
        <v>2307</v>
      </c>
      <c r="J1742" s="380" t="s">
        <v>773</v>
      </c>
      <c r="K1742" s="381">
        <v>0.0</v>
      </c>
      <c r="L1742" s="382">
        <v>1.0</v>
      </c>
    </row>
    <row r="1743">
      <c r="A1743" s="380" t="s">
        <v>2601</v>
      </c>
      <c r="B1743" s="380" t="str">
        <f>IFERROR(__xludf.DUMMYFUNCTION("""COMPUTED_VALUE"""),"Silla Multiproposito Zona Multiple")</f>
        <v>Silla Multiproposito Zona Multiple</v>
      </c>
      <c r="C1743" s="380" t="str">
        <f>IFERROR(__xludf.DUMMYFUNCTION("""COMPUTED_VALUE"""),"11000405")</f>
        <v>11000405</v>
      </c>
      <c r="D1743" s="380" t="s">
        <v>767</v>
      </c>
      <c r="E1743" s="380" t="s">
        <v>2305</v>
      </c>
      <c r="F1743" s="380" t="s">
        <v>2556</v>
      </c>
      <c r="G1743" s="380" t="s">
        <v>1267</v>
      </c>
      <c r="H1743" s="380" t="s">
        <v>771</v>
      </c>
      <c r="I1743" s="380" t="s">
        <v>2307</v>
      </c>
      <c r="J1743" s="380" t="s">
        <v>773</v>
      </c>
      <c r="K1743" s="381">
        <v>0.0</v>
      </c>
      <c r="L1743" s="382">
        <v>1.0</v>
      </c>
    </row>
    <row r="1744">
      <c r="A1744" s="380" t="s">
        <v>2602</v>
      </c>
      <c r="B1744" s="380" t="str">
        <f>IFERROR(__xludf.DUMMYFUNCTION("""COMPUTED_VALUE"""),"Banco Carcasa Plastica Zona Multiple")</f>
        <v>Banco Carcasa Plastica Zona Multiple</v>
      </c>
      <c r="C1744" s="380" t="str">
        <f>IFERROR(__xludf.DUMMYFUNCTION("""COMPUTED_VALUE"""),"11000406")</f>
        <v>11000406</v>
      </c>
      <c r="D1744" s="380" t="s">
        <v>767</v>
      </c>
      <c r="E1744" s="380" t="s">
        <v>2305</v>
      </c>
      <c r="F1744" s="380" t="s">
        <v>2556</v>
      </c>
      <c r="G1744" s="380" t="s">
        <v>1267</v>
      </c>
      <c r="H1744" s="380" t="s">
        <v>771</v>
      </c>
      <c r="I1744" s="380" t="s">
        <v>2307</v>
      </c>
      <c r="J1744" s="380" t="s">
        <v>773</v>
      </c>
      <c r="K1744" s="381">
        <v>0.0</v>
      </c>
      <c r="L1744" s="382">
        <v>1.0</v>
      </c>
    </row>
    <row r="1745">
      <c r="A1745" s="380" t="s">
        <v>2603</v>
      </c>
      <c r="B1745" s="380" t="str">
        <f>IFERROR(__xludf.DUMMYFUNCTION("""COMPUTED_VALUE"""),"Banco Base Metálica Tap Zona Multiple")</f>
        <v>Banco Base Metálica Tap Zona Multiple</v>
      </c>
      <c r="C1745" s="380" t="str">
        <f>IFERROR(__xludf.DUMMYFUNCTION("""COMPUTED_VALUE"""),"11000407")</f>
        <v>11000407</v>
      </c>
      <c r="D1745" s="380" t="s">
        <v>767</v>
      </c>
      <c r="E1745" s="380" t="s">
        <v>2305</v>
      </c>
      <c r="F1745" s="380" t="s">
        <v>2556</v>
      </c>
      <c r="G1745" s="380" t="s">
        <v>1267</v>
      </c>
      <c r="H1745" s="380" t="s">
        <v>771</v>
      </c>
      <c r="I1745" s="380" t="s">
        <v>2307</v>
      </c>
      <c r="J1745" s="380" t="s">
        <v>773</v>
      </c>
      <c r="K1745" s="381">
        <v>0.0</v>
      </c>
      <c r="L1745" s="382">
        <v>1.0</v>
      </c>
    </row>
    <row r="1746">
      <c r="A1746" s="380" t="s">
        <v>2604</v>
      </c>
      <c r="B1746" s="380" t="str">
        <f>IFERROR(__xludf.DUMMYFUNCTION("""COMPUTED_VALUE"""),"Sofa Para Sala")</f>
        <v>Sofa Para Sala</v>
      </c>
      <c r="C1746" s="380" t="str">
        <f>IFERROR(__xludf.DUMMYFUNCTION("""COMPUTED_VALUE"""),"11000408")</f>
        <v>11000408</v>
      </c>
      <c r="D1746" s="380" t="s">
        <v>767</v>
      </c>
      <c r="E1746" s="380" t="s">
        <v>2305</v>
      </c>
      <c r="F1746" s="380" t="s">
        <v>2556</v>
      </c>
      <c r="G1746" s="380" t="s">
        <v>1267</v>
      </c>
      <c r="H1746" s="380" t="s">
        <v>771</v>
      </c>
      <c r="I1746" s="380" t="s">
        <v>2307</v>
      </c>
      <c r="J1746" s="380" t="s">
        <v>773</v>
      </c>
      <c r="K1746" s="381">
        <v>0.0</v>
      </c>
      <c r="L1746" s="382">
        <v>1.0</v>
      </c>
    </row>
    <row r="1747">
      <c r="A1747" s="380" t="s">
        <v>2605</v>
      </c>
      <c r="B1747" s="380" t="str">
        <f>IFERROR(__xludf.DUMMYFUNCTION("""COMPUTED_VALUE"""),"Sillón Para Sala")</f>
        <v>Sillón Para Sala</v>
      </c>
      <c r="C1747" s="380" t="str">
        <f>IFERROR(__xludf.DUMMYFUNCTION("""COMPUTED_VALUE"""),"11000409")</f>
        <v>11000409</v>
      </c>
      <c r="D1747" s="380" t="s">
        <v>767</v>
      </c>
      <c r="E1747" s="380" t="s">
        <v>2305</v>
      </c>
      <c r="F1747" s="380" t="s">
        <v>2556</v>
      </c>
      <c r="G1747" s="380" t="s">
        <v>1267</v>
      </c>
      <c r="H1747" s="380" t="s">
        <v>771</v>
      </c>
      <c r="I1747" s="380" t="s">
        <v>2307</v>
      </c>
      <c r="J1747" s="380" t="s">
        <v>773</v>
      </c>
      <c r="K1747" s="381">
        <v>0.0</v>
      </c>
      <c r="L1747" s="382">
        <v>1.0</v>
      </c>
    </row>
    <row r="1748">
      <c r="A1748" s="380" t="s">
        <v>2606</v>
      </c>
      <c r="B1748" s="380" t="str">
        <f>IFERROR(__xludf.DUMMYFUNCTION("""COMPUTED_VALUE"""),"Base Cama Sencilla")</f>
        <v>Base Cama Sencilla</v>
      </c>
      <c r="C1748" s="380" t="str">
        <f>IFERROR(__xludf.DUMMYFUNCTION("""COMPUTED_VALUE"""),"11000410")</f>
        <v>11000410</v>
      </c>
      <c r="D1748" s="380" t="s">
        <v>767</v>
      </c>
      <c r="E1748" s="380" t="s">
        <v>2305</v>
      </c>
      <c r="F1748" s="380" t="s">
        <v>2556</v>
      </c>
      <c r="G1748" s="380" t="s">
        <v>1267</v>
      </c>
      <c r="H1748" s="380" t="s">
        <v>771</v>
      </c>
      <c r="I1748" s="380" t="s">
        <v>2307</v>
      </c>
      <c r="J1748" s="380" t="s">
        <v>773</v>
      </c>
      <c r="K1748" s="381">
        <v>0.0</v>
      </c>
      <c r="L1748" s="382">
        <v>1.0</v>
      </c>
    </row>
    <row r="1749">
      <c r="A1749" s="380" t="s">
        <v>2607</v>
      </c>
      <c r="B1749" s="380" t="str">
        <f>IFERROR(__xludf.DUMMYFUNCTION("""COMPUTED_VALUE"""),"Licuadora Especial")</f>
        <v>Licuadora Especial</v>
      </c>
      <c r="C1749" s="380" t="str">
        <f>IFERROR(__xludf.DUMMYFUNCTION("""COMPUTED_VALUE"""),"11000411")</f>
        <v>11000411</v>
      </c>
      <c r="D1749" s="380" t="s">
        <v>767</v>
      </c>
      <c r="E1749" s="380" t="s">
        <v>2305</v>
      </c>
      <c r="F1749" s="380" t="s">
        <v>2556</v>
      </c>
      <c r="G1749" s="380" t="s">
        <v>1267</v>
      </c>
      <c r="H1749" s="380" t="s">
        <v>771</v>
      </c>
      <c r="I1749" s="380" t="s">
        <v>2307</v>
      </c>
      <c r="J1749" s="380" t="s">
        <v>773</v>
      </c>
      <c r="K1749" s="381">
        <v>0.0</v>
      </c>
      <c r="L1749" s="382">
        <v>1.0</v>
      </c>
    </row>
    <row r="1750">
      <c r="A1750" s="380" t="s">
        <v>2608</v>
      </c>
      <c r="B1750" s="380" t="str">
        <f>IFERROR(__xludf.DUMMYFUNCTION("""COMPUTED_VALUE"""),"Cafetera Especial")</f>
        <v>Cafetera Especial</v>
      </c>
      <c r="C1750" s="380" t="str">
        <f>IFERROR(__xludf.DUMMYFUNCTION("""COMPUTED_VALUE"""),"11000412")</f>
        <v>11000412</v>
      </c>
      <c r="D1750" s="380" t="s">
        <v>767</v>
      </c>
      <c r="E1750" s="380" t="s">
        <v>2305</v>
      </c>
      <c r="F1750" s="380" t="s">
        <v>2556</v>
      </c>
      <c r="G1750" s="380" t="s">
        <v>1267</v>
      </c>
      <c r="H1750" s="380" t="s">
        <v>771</v>
      </c>
      <c r="I1750" s="380" t="s">
        <v>2307</v>
      </c>
      <c r="J1750" s="380" t="s">
        <v>773</v>
      </c>
      <c r="K1750" s="381">
        <v>0.0</v>
      </c>
      <c r="L1750" s="382">
        <v>1.0</v>
      </c>
    </row>
    <row r="1751">
      <c r="A1751" s="380" t="s">
        <v>2609</v>
      </c>
      <c r="B1751" s="380" t="str">
        <f>IFERROR(__xludf.DUMMYFUNCTION("""COMPUTED_VALUE"""),"Mesa Plastica Plegable")</f>
        <v>Mesa Plastica Plegable</v>
      </c>
      <c r="C1751" s="380" t="str">
        <f>IFERROR(__xludf.DUMMYFUNCTION("""COMPUTED_VALUE"""),"11000413")</f>
        <v>11000413</v>
      </c>
      <c r="D1751" s="380" t="s">
        <v>767</v>
      </c>
      <c r="E1751" s="380" t="s">
        <v>2305</v>
      </c>
      <c r="F1751" s="380" t="s">
        <v>2556</v>
      </c>
      <c r="G1751" s="380" t="s">
        <v>1267</v>
      </c>
      <c r="H1751" s="380" t="s">
        <v>771</v>
      </c>
      <c r="I1751" s="380" t="s">
        <v>2307</v>
      </c>
      <c r="J1751" s="380" t="s">
        <v>773</v>
      </c>
      <c r="K1751" s="381">
        <v>0.0</v>
      </c>
      <c r="L1751" s="382">
        <v>1.0</v>
      </c>
    </row>
    <row r="1752">
      <c r="A1752" s="380" t="s">
        <v>2610</v>
      </c>
      <c r="B1752" s="380" t="str">
        <f>IFERROR(__xludf.DUMMYFUNCTION("""COMPUTED_VALUE"""),"Aire Acondicionado Tipo Casete 36.000Btu")</f>
        <v>Aire Acondicionado Tipo Casete 36.000Btu</v>
      </c>
      <c r="C1752" s="380" t="str">
        <f>IFERROR(__xludf.DUMMYFUNCTION("""COMPUTED_VALUE"""),"11000414")</f>
        <v>11000414</v>
      </c>
      <c r="D1752" s="380" t="s">
        <v>767</v>
      </c>
      <c r="E1752" s="380" t="s">
        <v>2305</v>
      </c>
      <c r="F1752" s="380" t="s">
        <v>2556</v>
      </c>
      <c r="G1752" s="380" t="s">
        <v>1267</v>
      </c>
      <c r="H1752" s="380" t="s">
        <v>771</v>
      </c>
      <c r="I1752" s="380" t="s">
        <v>2307</v>
      </c>
      <c r="J1752" s="380" t="s">
        <v>773</v>
      </c>
      <c r="K1752" s="381">
        <v>0.0</v>
      </c>
      <c r="L1752" s="382">
        <v>1.0</v>
      </c>
    </row>
    <row r="1753">
      <c r="A1753" s="380" t="s">
        <v>2611</v>
      </c>
      <c r="B1753" s="380" t="str">
        <f>IFERROR(__xludf.DUMMYFUNCTION("""COMPUTED_VALUE"""),"Aire Acondicionado 36000 Btu")</f>
        <v>Aire Acondicionado 36000 Btu</v>
      </c>
      <c r="C1753" s="380" t="str">
        <f>IFERROR(__xludf.DUMMYFUNCTION("""COMPUTED_VALUE"""),"11000415")</f>
        <v>11000415</v>
      </c>
      <c r="D1753" s="380" t="s">
        <v>767</v>
      </c>
      <c r="E1753" s="380" t="s">
        <v>2305</v>
      </c>
      <c r="F1753" s="380" t="s">
        <v>2556</v>
      </c>
      <c r="G1753" s="380" t="s">
        <v>1267</v>
      </c>
      <c r="H1753" s="380" t="s">
        <v>771</v>
      </c>
      <c r="I1753" s="380" t="s">
        <v>2307</v>
      </c>
      <c r="J1753" s="380" t="s">
        <v>773</v>
      </c>
      <c r="K1753" s="381">
        <v>0.0</v>
      </c>
      <c r="L1753" s="382">
        <v>1.0</v>
      </c>
    </row>
    <row r="1754">
      <c r="A1754" s="380" t="s">
        <v>2612</v>
      </c>
      <c r="B1754" s="380" t="str">
        <f>IFERROR(__xludf.DUMMYFUNCTION("""COMPUTED_VALUE"""),"Silla Tandem 3 Puestos")</f>
        <v>Silla Tandem 3 Puestos</v>
      </c>
      <c r="C1754" s="380" t="str">
        <f>IFERROR(__xludf.DUMMYFUNCTION("""COMPUTED_VALUE"""),"11000416")</f>
        <v>11000416</v>
      </c>
      <c r="D1754" s="380" t="s">
        <v>767</v>
      </c>
      <c r="E1754" s="380" t="s">
        <v>2305</v>
      </c>
      <c r="F1754" s="380" t="s">
        <v>2556</v>
      </c>
      <c r="G1754" s="380" t="s">
        <v>1267</v>
      </c>
      <c r="H1754" s="380" t="s">
        <v>771</v>
      </c>
      <c r="I1754" s="380" t="s">
        <v>2307</v>
      </c>
      <c r="J1754" s="380" t="s">
        <v>773</v>
      </c>
      <c r="K1754" s="381">
        <v>0.0</v>
      </c>
      <c r="L1754" s="382">
        <v>1.0</v>
      </c>
    </row>
    <row r="1755">
      <c r="A1755" s="380" t="s">
        <v>2613</v>
      </c>
      <c r="B1755" s="380" t="str">
        <f>IFERROR(__xludf.DUMMYFUNCTION("""COMPUTED_VALUE"""),"Silla Escritorio Malla Brazos Negros")</f>
        <v>Silla Escritorio Malla Brazos Negros</v>
      </c>
      <c r="C1755" s="380" t="str">
        <f>IFERROR(__xludf.DUMMYFUNCTION("""COMPUTED_VALUE"""),"11000417")</f>
        <v>11000417</v>
      </c>
      <c r="D1755" s="380" t="s">
        <v>767</v>
      </c>
      <c r="E1755" s="380" t="s">
        <v>2305</v>
      </c>
      <c r="F1755" s="380" t="s">
        <v>2556</v>
      </c>
      <c r="G1755" s="380" t="s">
        <v>1267</v>
      </c>
      <c r="H1755" s="380" t="s">
        <v>771</v>
      </c>
      <c r="I1755" s="380" t="s">
        <v>2307</v>
      </c>
      <c r="J1755" s="380" t="s">
        <v>773</v>
      </c>
      <c r="K1755" s="381">
        <v>0.0</v>
      </c>
      <c r="L1755" s="382">
        <v>1.0</v>
      </c>
    </row>
    <row r="1756">
      <c r="A1756" s="380" t="s">
        <v>2614</v>
      </c>
      <c r="B1756" s="380" t="str">
        <f>IFERROR(__xludf.DUMMYFUNCTION("""COMPUTED_VALUE"""),"Butaco Mitra Especiales")</f>
        <v>Butaco Mitra Especiales</v>
      </c>
      <c r="C1756" s="380" t="str">
        <f>IFERROR(__xludf.DUMMYFUNCTION("""COMPUTED_VALUE"""),"11000418")</f>
        <v>11000418</v>
      </c>
      <c r="D1756" s="380" t="s">
        <v>767</v>
      </c>
      <c r="E1756" s="380" t="s">
        <v>2305</v>
      </c>
      <c r="F1756" s="380" t="s">
        <v>2556</v>
      </c>
      <c r="G1756" s="380" t="s">
        <v>1267</v>
      </c>
      <c r="H1756" s="380" t="s">
        <v>771</v>
      </c>
      <c r="I1756" s="380" t="s">
        <v>2307</v>
      </c>
      <c r="J1756" s="380" t="s">
        <v>773</v>
      </c>
      <c r="K1756" s="381">
        <v>0.0</v>
      </c>
      <c r="L1756" s="382">
        <v>1.0</v>
      </c>
    </row>
    <row r="1757">
      <c r="A1757" s="380" t="s">
        <v>2615</v>
      </c>
      <c r="B1757" s="380" t="str">
        <f>IFERROR(__xludf.DUMMYFUNCTION("""COMPUTED_VALUE"""),"Mesa Para Sala Stand Mercadeo")</f>
        <v>Mesa Para Sala Stand Mercadeo</v>
      </c>
      <c r="C1757" s="380" t="str">
        <f>IFERROR(__xludf.DUMMYFUNCTION("""COMPUTED_VALUE"""),"11000419")</f>
        <v>11000419</v>
      </c>
      <c r="D1757" s="380" t="s">
        <v>767</v>
      </c>
      <c r="E1757" s="380" t="s">
        <v>2305</v>
      </c>
      <c r="F1757" s="380" t="s">
        <v>2556</v>
      </c>
      <c r="G1757" s="380" t="s">
        <v>1267</v>
      </c>
      <c r="H1757" s="380" t="s">
        <v>771</v>
      </c>
      <c r="I1757" s="380" t="s">
        <v>2307</v>
      </c>
      <c r="J1757" s="380" t="s">
        <v>773</v>
      </c>
      <c r="K1757" s="381">
        <v>0.0</v>
      </c>
      <c r="L1757" s="382">
        <v>1.0</v>
      </c>
    </row>
    <row r="1758">
      <c r="A1758" s="380" t="s">
        <v>2616</v>
      </c>
      <c r="B1758" s="380" t="str">
        <f>IFERROR(__xludf.DUMMYFUNCTION("""COMPUTED_VALUE"""),"Maceta Para Planta")</f>
        <v>Maceta Para Planta</v>
      </c>
      <c r="C1758" s="380" t="str">
        <f>IFERROR(__xludf.DUMMYFUNCTION("""COMPUTED_VALUE"""),"11000420")</f>
        <v>11000420</v>
      </c>
      <c r="D1758" s="380" t="s">
        <v>767</v>
      </c>
      <c r="E1758" s="380" t="s">
        <v>2305</v>
      </c>
      <c r="F1758" s="380" t="s">
        <v>2556</v>
      </c>
      <c r="G1758" s="380" t="s">
        <v>1267</v>
      </c>
      <c r="H1758" s="380" t="s">
        <v>771</v>
      </c>
      <c r="I1758" s="380" t="s">
        <v>2307</v>
      </c>
      <c r="J1758" s="380" t="s">
        <v>773</v>
      </c>
      <c r="K1758" s="381">
        <v>0.0</v>
      </c>
      <c r="L1758" s="382">
        <v>1.0</v>
      </c>
    </row>
    <row r="1759">
      <c r="A1759" s="380" t="s">
        <v>2617</v>
      </c>
      <c r="B1759" s="380" t="str">
        <f>IFERROR(__xludf.DUMMYFUNCTION("""COMPUTED_VALUE"""),"Silla Restaurante Negra")</f>
        <v>Silla Restaurante Negra</v>
      </c>
      <c r="C1759" s="380" t="str">
        <f>IFERROR(__xludf.DUMMYFUNCTION("""COMPUTED_VALUE"""),"11000421")</f>
        <v>11000421</v>
      </c>
      <c r="D1759" s="380" t="s">
        <v>767</v>
      </c>
      <c r="E1759" s="380" t="s">
        <v>2305</v>
      </c>
      <c r="F1759" s="380" t="s">
        <v>2556</v>
      </c>
      <c r="G1759" s="380" t="s">
        <v>1267</v>
      </c>
      <c r="H1759" s="380" t="s">
        <v>771</v>
      </c>
      <c r="I1759" s="380" t="s">
        <v>2307</v>
      </c>
      <c r="J1759" s="380" t="s">
        <v>773</v>
      </c>
      <c r="K1759" s="381">
        <v>0.0</v>
      </c>
      <c r="L1759" s="382">
        <v>1.0</v>
      </c>
    </row>
    <row r="1760">
      <c r="A1760" s="380" t="s">
        <v>2618</v>
      </c>
      <c r="B1760" s="380" t="str">
        <f>IFERROR(__xludf.DUMMYFUNCTION("""COMPUTED_VALUE"""),"Meson En Acero Inoxidable")</f>
        <v>Meson En Acero Inoxidable</v>
      </c>
      <c r="C1760" s="380" t="str">
        <f>IFERROR(__xludf.DUMMYFUNCTION("""COMPUTED_VALUE"""),"11000422")</f>
        <v>11000422</v>
      </c>
      <c r="D1760" s="380" t="s">
        <v>767</v>
      </c>
      <c r="E1760" s="380" t="s">
        <v>2305</v>
      </c>
      <c r="F1760" s="380" t="s">
        <v>2556</v>
      </c>
      <c r="G1760" s="380" t="s">
        <v>1267</v>
      </c>
      <c r="H1760" s="380" t="s">
        <v>771</v>
      </c>
      <c r="I1760" s="380" t="s">
        <v>2307</v>
      </c>
      <c r="J1760" s="380" t="s">
        <v>773</v>
      </c>
      <c r="K1760" s="381">
        <v>0.0</v>
      </c>
      <c r="L1760" s="382">
        <v>1.0</v>
      </c>
    </row>
    <row r="1761">
      <c r="A1761" s="380" t="s">
        <v>2619</v>
      </c>
      <c r="B1761" s="380" t="str">
        <f>IFERROR(__xludf.DUMMYFUNCTION("""COMPUTED_VALUE"""),"Baúl Multiusos")</f>
        <v>Baúl Multiusos</v>
      </c>
      <c r="C1761" s="380" t="str">
        <f>IFERROR(__xludf.DUMMYFUNCTION("""COMPUTED_VALUE"""),"11000423")</f>
        <v>11000423</v>
      </c>
      <c r="D1761" s="380" t="s">
        <v>767</v>
      </c>
      <c r="E1761" s="380" t="s">
        <v>2305</v>
      </c>
      <c r="F1761" s="380" t="s">
        <v>2556</v>
      </c>
      <c r="G1761" s="380" t="s">
        <v>1267</v>
      </c>
      <c r="H1761" s="380" t="s">
        <v>771</v>
      </c>
      <c r="I1761" s="380" t="s">
        <v>2307</v>
      </c>
      <c r="J1761" s="380" t="s">
        <v>773</v>
      </c>
      <c r="K1761" s="381">
        <v>0.0</v>
      </c>
      <c r="L1761" s="382">
        <v>1.0</v>
      </c>
    </row>
    <row r="1762">
      <c r="A1762" s="380" t="s">
        <v>2620</v>
      </c>
      <c r="B1762" s="380" t="str">
        <f>IFERROR(__xludf.DUMMYFUNCTION("""COMPUTED_VALUE"""),"Archivador Metalico 3 Gavetas")</f>
        <v>Archivador Metalico 3 Gavetas</v>
      </c>
      <c r="C1762" s="380" t="str">
        <f>IFERROR(__xludf.DUMMYFUNCTION("""COMPUTED_VALUE"""),"11000424")</f>
        <v>11000424</v>
      </c>
      <c r="D1762" s="380" t="s">
        <v>767</v>
      </c>
      <c r="E1762" s="380" t="s">
        <v>2305</v>
      </c>
      <c r="F1762" s="380" t="s">
        <v>2556</v>
      </c>
      <c r="G1762" s="380" t="s">
        <v>1267</v>
      </c>
      <c r="H1762" s="380" t="s">
        <v>771</v>
      </c>
      <c r="I1762" s="380" t="s">
        <v>2307</v>
      </c>
      <c r="J1762" s="380" t="s">
        <v>773</v>
      </c>
      <c r="K1762" s="381">
        <v>0.0</v>
      </c>
      <c r="L1762" s="382">
        <v>1.0</v>
      </c>
    </row>
    <row r="1763">
      <c r="A1763" s="380" t="s">
        <v>2621</v>
      </c>
      <c r="B1763" s="380" t="str">
        <f>IFERROR(__xludf.DUMMYFUNCTION("""COMPUTED_VALUE"""),"Cafetera Electrica Ref 1100")</f>
        <v>Cafetera Electrica Ref 1100</v>
      </c>
      <c r="C1763" s="380" t="str">
        <f>IFERROR(__xludf.DUMMYFUNCTION("""COMPUTED_VALUE"""),"11000425")</f>
        <v>11000425</v>
      </c>
      <c r="D1763" s="380" t="s">
        <v>767</v>
      </c>
      <c r="E1763" s="380" t="s">
        <v>2305</v>
      </c>
      <c r="F1763" s="380" t="s">
        <v>2556</v>
      </c>
      <c r="G1763" s="380" t="s">
        <v>1267</v>
      </c>
      <c r="H1763" s="380" t="s">
        <v>771</v>
      </c>
      <c r="I1763" s="380" t="s">
        <v>2307</v>
      </c>
      <c r="J1763" s="380" t="s">
        <v>773</v>
      </c>
      <c r="K1763" s="381">
        <v>0.0</v>
      </c>
      <c r="L1763" s="382">
        <v>1.0</v>
      </c>
    </row>
    <row r="1764">
      <c r="A1764" s="380" t="s">
        <v>2622</v>
      </c>
      <c r="B1764" s="380" t="str">
        <f>IFERROR(__xludf.DUMMYFUNCTION("""COMPUTED_VALUE"""),"Calefactor Cerámico De Torre")</f>
        <v>Calefactor Cerámico De Torre</v>
      </c>
      <c r="C1764" s="380" t="str">
        <f>IFERROR(__xludf.DUMMYFUNCTION("""COMPUTED_VALUE"""),"11000426")</f>
        <v>11000426</v>
      </c>
      <c r="D1764" s="380" t="s">
        <v>767</v>
      </c>
      <c r="E1764" s="380" t="s">
        <v>2305</v>
      </c>
      <c r="F1764" s="380" t="s">
        <v>2556</v>
      </c>
      <c r="G1764" s="380" t="s">
        <v>1267</v>
      </c>
      <c r="H1764" s="380" t="s">
        <v>771</v>
      </c>
      <c r="I1764" s="380" t="s">
        <v>2307</v>
      </c>
      <c r="J1764" s="380" t="s">
        <v>773</v>
      </c>
      <c r="K1764" s="381">
        <v>0.0</v>
      </c>
      <c r="L1764" s="382">
        <v>1.0</v>
      </c>
    </row>
    <row r="1765">
      <c r="A1765" s="380" t="s">
        <v>2623</v>
      </c>
      <c r="B1765" s="380" t="str">
        <f>IFERROR(__xludf.DUMMYFUNCTION("""COMPUTED_VALUE"""),"Caja Fuerte Mod 4500 Cerradura Mecanica")</f>
        <v>Caja Fuerte Mod 4500 Cerradura Mecanica</v>
      </c>
      <c r="C1765" s="380" t="str">
        <f>IFERROR(__xludf.DUMMYFUNCTION("""COMPUTED_VALUE"""),"11000427")</f>
        <v>11000427</v>
      </c>
      <c r="D1765" s="380" t="s">
        <v>767</v>
      </c>
      <c r="E1765" s="380" t="s">
        <v>2305</v>
      </c>
      <c r="F1765" s="380" t="s">
        <v>2556</v>
      </c>
      <c r="G1765" s="380" t="s">
        <v>1267</v>
      </c>
      <c r="H1765" s="380" t="s">
        <v>771</v>
      </c>
      <c r="I1765" s="380" t="s">
        <v>2307</v>
      </c>
      <c r="J1765" s="380" t="s">
        <v>773</v>
      </c>
      <c r="K1765" s="381">
        <v>0.0</v>
      </c>
      <c r="L1765" s="382">
        <v>1.0</v>
      </c>
    </row>
    <row r="1766">
      <c r="A1766" s="380" t="s">
        <v>2624</v>
      </c>
      <c r="B1766" s="380" t="str">
        <f>IFERROR(__xludf.DUMMYFUNCTION("""COMPUTED_VALUE"""),"Dispensador De Agua Con Botellón 5 Gal")</f>
        <v>Dispensador De Agua Con Botellón 5 Gal</v>
      </c>
      <c r="C1766" s="380" t="str">
        <f>IFERROR(__xludf.DUMMYFUNCTION("""COMPUTED_VALUE"""),"11000428")</f>
        <v>11000428</v>
      </c>
      <c r="D1766" s="380" t="s">
        <v>767</v>
      </c>
      <c r="E1766" s="380" t="s">
        <v>2305</v>
      </c>
      <c r="F1766" s="380" t="s">
        <v>2556</v>
      </c>
      <c r="G1766" s="380" t="s">
        <v>1267</v>
      </c>
      <c r="H1766" s="380" t="s">
        <v>771</v>
      </c>
      <c r="I1766" s="380" t="s">
        <v>2307</v>
      </c>
      <c r="J1766" s="380" t="s">
        <v>773</v>
      </c>
      <c r="K1766" s="381">
        <v>0.0</v>
      </c>
      <c r="L1766" s="382">
        <v>1.0</v>
      </c>
    </row>
    <row r="1767">
      <c r="A1767" s="380" t="s">
        <v>2625</v>
      </c>
      <c r="B1767" s="380" t="str">
        <f>IFERROR(__xludf.DUMMYFUNCTION("""COMPUTED_VALUE"""),"Extractor De Aire Siemens 16"" - 220 V")</f>
        <v>Extractor De Aire Siemens 16" - 220 V</v>
      </c>
      <c r="C1767" s="380" t="str">
        <f>IFERROR(__xludf.DUMMYFUNCTION("""COMPUTED_VALUE"""),"11000429")</f>
        <v>11000429</v>
      </c>
      <c r="D1767" s="380" t="s">
        <v>767</v>
      </c>
      <c r="E1767" s="380" t="s">
        <v>2305</v>
      </c>
      <c r="F1767" s="380" t="s">
        <v>2556</v>
      </c>
      <c r="G1767" s="380" t="s">
        <v>1267</v>
      </c>
      <c r="H1767" s="380" t="s">
        <v>771</v>
      </c>
      <c r="I1767" s="380" t="s">
        <v>2307</v>
      </c>
      <c r="J1767" s="380" t="s">
        <v>773</v>
      </c>
      <c r="K1767" s="381">
        <v>0.0</v>
      </c>
      <c r="L1767" s="382">
        <v>1.0</v>
      </c>
    </row>
    <row r="1768">
      <c r="A1768" s="380" t="s">
        <v>2626</v>
      </c>
      <c r="B1768" s="380" t="str">
        <f>IFERROR(__xludf.DUMMYFUNCTION("""COMPUTED_VALUE"""),"Extractor De Aire Siemens 16"" - 110 V")</f>
        <v>Extractor De Aire Siemens 16" - 110 V</v>
      </c>
      <c r="C1768" s="380" t="str">
        <f>IFERROR(__xludf.DUMMYFUNCTION("""COMPUTED_VALUE"""),"11000430")</f>
        <v>11000430</v>
      </c>
      <c r="D1768" s="380" t="s">
        <v>767</v>
      </c>
      <c r="E1768" s="380" t="s">
        <v>2305</v>
      </c>
      <c r="F1768" s="380" t="s">
        <v>2556</v>
      </c>
      <c r="G1768" s="380" t="s">
        <v>1267</v>
      </c>
      <c r="H1768" s="380" t="s">
        <v>771</v>
      </c>
      <c r="I1768" s="380" t="s">
        <v>2307</v>
      </c>
      <c r="J1768" s="380" t="s">
        <v>773</v>
      </c>
      <c r="K1768" s="381">
        <v>0.0</v>
      </c>
      <c r="L1768" s="382">
        <v>1.0</v>
      </c>
    </row>
    <row r="1769">
      <c r="A1769" s="380" t="s">
        <v>2627</v>
      </c>
      <c r="B1769" s="380" t="str">
        <f>IFERROR(__xludf.DUMMYFUNCTION("""COMPUTED_VALUE"""),"Sanduchera")</f>
        <v>Sanduchera</v>
      </c>
      <c r="C1769" s="380" t="str">
        <f>IFERROR(__xludf.DUMMYFUNCTION("""COMPUTED_VALUE"""),"11000431")</f>
        <v>11000431</v>
      </c>
      <c r="D1769" s="380" t="s">
        <v>767</v>
      </c>
      <c r="E1769" s="380" t="s">
        <v>2305</v>
      </c>
      <c r="F1769" s="380" t="s">
        <v>2556</v>
      </c>
      <c r="G1769" s="380" t="s">
        <v>1267</v>
      </c>
      <c r="H1769" s="380" t="s">
        <v>771</v>
      </c>
      <c r="I1769" s="380" t="s">
        <v>2307</v>
      </c>
      <c r="J1769" s="380" t="s">
        <v>773</v>
      </c>
      <c r="K1769" s="381">
        <v>0.0</v>
      </c>
      <c r="L1769" s="382">
        <v>1.0</v>
      </c>
    </row>
    <row r="1770">
      <c r="A1770" s="380" t="s">
        <v>2628</v>
      </c>
      <c r="B1770" s="380" t="str">
        <f>IFERROR(__xludf.DUMMYFUNCTION("""COMPUTED_VALUE"""),"Ventilador Industrial De Piso 20 Pulg")</f>
        <v>Ventilador Industrial De Piso 20 Pulg</v>
      </c>
      <c r="C1770" s="380" t="str">
        <f>IFERROR(__xludf.DUMMYFUNCTION("""COMPUTED_VALUE"""),"11000432")</f>
        <v>11000432</v>
      </c>
      <c r="D1770" s="380" t="s">
        <v>767</v>
      </c>
      <c r="E1770" s="380" t="s">
        <v>2305</v>
      </c>
      <c r="F1770" s="380" t="s">
        <v>2556</v>
      </c>
      <c r="G1770" s="380" t="s">
        <v>1267</v>
      </c>
      <c r="H1770" s="380" t="s">
        <v>771</v>
      </c>
      <c r="I1770" s="380" t="s">
        <v>2307</v>
      </c>
      <c r="J1770" s="380" t="s">
        <v>773</v>
      </c>
      <c r="K1770" s="381">
        <v>0.0</v>
      </c>
      <c r="L1770" s="382">
        <v>1.0</v>
      </c>
    </row>
    <row r="1771">
      <c r="A1771" s="380" t="s">
        <v>2629</v>
      </c>
      <c r="B1771" s="380" t="str">
        <f>IFERROR(__xludf.DUMMYFUNCTION("""COMPUTED_VALUE"""),"Nevera De 9 - 46 Lt Con Congelador")</f>
        <v>Nevera De 9 - 46 Lt Con Congelador</v>
      </c>
      <c r="C1771" s="380" t="str">
        <f>IFERROR(__xludf.DUMMYFUNCTION("""COMPUTED_VALUE"""),"11000433")</f>
        <v>11000433</v>
      </c>
      <c r="D1771" s="380" t="s">
        <v>767</v>
      </c>
      <c r="E1771" s="380" t="s">
        <v>2305</v>
      </c>
      <c r="F1771" s="380" t="s">
        <v>2556</v>
      </c>
      <c r="G1771" s="380" t="s">
        <v>1267</v>
      </c>
      <c r="H1771" s="380" t="s">
        <v>771</v>
      </c>
      <c r="I1771" s="380" t="s">
        <v>2307</v>
      </c>
      <c r="J1771" s="380" t="s">
        <v>773</v>
      </c>
      <c r="K1771" s="381">
        <v>0.0</v>
      </c>
      <c r="L1771" s="382">
        <v>1.0</v>
      </c>
    </row>
    <row r="1772">
      <c r="A1772" s="380" t="s">
        <v>2630</v>
      </c>
      <c r="B1772" s="380" t="str">
        <f>IFERROR(__xludf.DUMMYFUNCTION("""COMPUTED_VALUE"""),"Carpa Blanca 4x4")</f>
        <v>Carpa Blanca 4x4</v>
      </c>
      <c r="C1772" s="380" t="str">
        <f>IFERROR(__xludf.DUMMYFUNCTION("""COMPUTED_VALUE"""),"11000434")</f>
        <v>11000434</v>
      </c>
      <c r="D1772" s="380" t="s">
        <v>767</v>
      </c>
      <c r="E1772" s="380" t="s">
        <v>2305</v>
      </c>
      <c r="F1772" s="380" t="s">
        <v>2556</v>
      </c>
      <c r="G1772" s="380" t="s">
        <v>1267</v>
      </c>
      <c r="H1772" s="380" t="s">
        <v>771</v>
      </c>
      <c r="I1772" s="380" t="s">
        <v>2307</v>
      </c>
      <c r="J1772" s="380" t="s">
        <v>773</v>
      </c>
      <c r="K1772" s="381">
        <v>0.0</v>
      </c>
      <c r="L1772" s="382">
        <v>1.0</v>
      </c>
    </row>
    <row r="1773">
      <c r="A1773" s="380" t="s">
        <v>2631</v>
      </c>
      <c r="B1773" s="380" t="str">
        <f>IFERROR(__xludf.DUMMYFUNCTION("""COMPUTED_VALUE"""),"Sofa Cuarto De Conductores")</f>
        <v>Sofa Cuarto De Conductores</v>
      </c>
      <c r="C1773" s="380" t="str">
        <f>IFERROR(__xludf.DUMMYFUNCTION("""COMPUTED_VALUE"""),"11000435")</f>
        <v>11000435</v>
      </c>
      <c r="D1773" s="380" t="s">
        <v>767</v>
      </c>
      <c r="E1773" s="380" t="s">
        <v>2305</v>
      </c>
      <c r="F1773" s="380" t="s">
        <v>2556</v>
      </c>
      <c r="G1773" s="380" t="s">
        <v>1267</v>
      </c>
      <c r="H1773" s="380" t="s">
        <v>771</v>
      </c>
      <c r="I1773" s="380" t="s">
        <v>2307</v>
      </c>
      <c r="J1773" s="380" t="s">
        <v>773</v>
      </c>
      <c r="K1773" s="381">
        <v>0.0</v>
      </c>
      <c r="L1773" s="382">
        <v>1.0</v>
      </c>
    </row>
    <row r="1774">
      <c r="A1774" s="380" t="s">
        <v>2632</v>
      </c>
      <c r="B1774" s="380" t="str">
        <f>IFERROR(__xludf.DUMMYFUNCTION("""COMPUTED_VALUE"""),"Lavadora Secadora")</f>
        <v>Lavadora Secadora</v>
      </c>
      <c r="C1774" s="380" t="str">
        <f>IFERROR(__xludf.DUMMYFUNCTION("""COMPUTED_VALUE"""),"11000436")</f>
        <v>11000436</v>
      </c>
      <c r="D1774" s="380" t="s">
        <v>767</v>
      </c>
      <c r="E1774" s="380" t="s">
        <v>2305</v>
      </c>
      <c r="F1774" s="380" t="s">
        <v>2556</v>
      </c>
      <c r="G1774" s="380" t="s">
        <v>1267</v>
      </c>
      <c r="H1774" s="380" t="s">
        <v>771</v>
      </c>
      <c r="I1774" s="380" t="s">
        <v>2307</v>
      </c>
      <c r="J1774" s="380" t="s">
        <v>773</v>
      </c>
      <c r="K1774" s="381">
        <v>0.0</v>
      </c>
      <c r="L1774" s="382">
        <v>1.0</v>
      </c>
    </row>
    <row r="1775">
      <c r="A1775" s="380" t="s">
        <v>2633</v>
      </c>
      <c r="B1775" s="380" t="str">
        <f>IFERROR(__xludf.DUMMYFUNCTION("""COMPUTED_VALUE"""),"Cafetera Eléctrica Ref 3100 (120 Tintos)")</f>
        <v>Cafetera Eléctrica Ref 3100 (120 Tintos)</v>
      </c>
      <c r="C1775" s="380" t="str">
        <f>IFERROR(__xludf.DUMMYFUNCTION("""COMPUTED_VALUE"""),"11000437")</f>
        <v>11000437</v>
      </c>
      <c r="D1775" s="380" t="s">
        <v>767</v>
      </c>
      <c r="E1775" s="380" t="s">
        <v>2305</v>
      </c>
      <c r="F1775" s="380" t="s">
        <v>2556</v>
      </c>
      <c r="G1775" s="380" t="s">
        <v>1267</v>
      </c>
      <c r="H1775" s="380" t="s">
        <v>771</v>
      </c>
      <c r="I1775" s="380" t="s">
        <v>2307</v>
      </c>
      <c r="J1775" s="380" t="s">
        <v>773</v>
      </c>
      <c r="K1775" s="381">
        <v>0.0</v>
      </c>
      <c r="L1775" s="382">
        <v>1.0</v>
      </c>
    </row>
    <row r="1776">
      <c r="A1776" s="380" t="s">
        <v>2634</v>
      </c>
      <c r="B1776" s="380" t="str">
        <f>IFERROR(__xludf.DUMMYFUNCTION("""COMPUTED_VALUE"""),"Ventilador Industrial De Pared De 26""")</f>
        <v>Ventilador Industrial De Pared De 26"</v>
      </c>
      <c r="C1776" s="380" t="str">
        <f>IFERROR(__xludf.DUMMYFUNCTION("""COMPUTED_VALUE"""),"11000438")</f>
        <v>11000438</v>
      </c>
      <c r="D1776" s="380" t="s">
        <v>767</v>
      </c>
      <c r="E1776" s="380" t="s">
        <v>2305</v>
      </c>
      <c r="F1776" s="380" t="s">
        <v>2556</v>
      </c>
      <c r="G1776" s="380" t="s">
        <v>1267</v>
      </c>
      <c r="H1776" s="380" t="s">
        <v>771</v>
      </c>
      <c r="I1776" s="380" t="s">
        <v>2307</v>
      </c>
      <c r="J1776" s="380" t="s">
        <v>773</v>
      </c>
      <c r="K1776" s="381">
        <v>0.0</v>
      </c>
      <c r="L1776" s="382">
        <v>1.0</v>
      </c>
    </row>
    <row r="1777">
      <c r="A1777" s="380" t="s">
        <v>2635</v>
      </c>
      <c r="B1777" s="380" t="str">
        <f>IFERROR(__xludf.DUMMYFUNCTION("""COMPUTED_VALUE"""),"Carpa Blanca 6x4")</f>
        <v>Carpa Blanca 6x4</v>
      </c>
      <c r="C1777" s="380" t="str">
        <f>IFERROR(__xludf.DUMMYFUNCTION("""COMPUTED_VALUE"""),"11000439")</f>
        <v>11000439</v>
      </c>
      <c r="D1777" s="380" t="s">
        <v>767</v>
      </c>
      <c r="E1777" s="380" t="s">
        <v>2305</v>
      </c>
      <c r="F1777" s="380" t="s">
        <v>2556</v>
      </c>
      <c r="G1777" s="380" t="s">
        <v>1267</v>
      </c>
      <c r="H1777" s="380" t="s">
        <v>771</v>
      </c>
      <c r="I1777" s="380" t="s">
        <v>2307</v>
      </c>
      <c r="J1777" s="380" t="s">
        <v>773</v>
      </c>
      <c r="K1777" s="381">
        <v>0.0</v>
      </c>
      <c r="L1777" s="382">
        <v>1.0</v>
      </c>
    </row>
    <row r="1778">
      <c r="A1778" s="380" t="s">
        <v>2636</v>
      </c>
      <c r="B1778" s="380" t="str">
        <f>IFERROR(__xludf.DUMMYFUNCTION("""COMPUTED_VALUE"""),"Silla Giratoria Paño Gris Oscuro Senc")</f>
        <v>Silla Giratoria Paño Gris Oscuro Senc</v>
      </c>
      <c r="C1778" s="380" t="str">
        <f>IFERROR(__xludf.DUMMYFUNCTION("""COMPUTED_VALUE"""),"11000440")</f>
        <v>11000440</v>
      </c>
      <c r="D1778" s="380" t="s">
        <v>767</v>
      </c>
      <c r="E1778" s="380" t="s">
        <v>2305</v>
      </c>
      <c r="F1778" s="380" t="s">
        <v>2556</v>
      </c>
      <c r="G1778" s="380" t="s">
        <v>1267</v>
      </c>
      <c r="H1778" s="380" t="s">
        <v>771</v>
      </c>
      <c r="I1778" s="380" t="s">
        <v>2307</v>
      </c>
      <c r="J1778" s="380" t="s">
        <v>773</v>
      </c>
      <c r="K1778" s="381">
        <v>0.0</v>
      </c>
      <c r="L1778" s="382">
        <v>1.0</v>
      </c>
    </row>
    <row r="1779">
      <c r="A1779" s="380" t="s">
        <v>2637</v>
      </c>
      <c r="B1779" s="380" t="str">
        <f>IFERROR(__xludf.DUMMYFUNCTION("""COMPUTED_VALUE"""),"Archivador Metálico 4 Gavetas Gris Nopal")</f>
        <v>Archivador Metálico 4 Gavetas Gris Nopal</v>
      </c>
      <c r="C1779" s="380" t="str">
        <f>IFERROR(__xludf.DUMMYFUNCTION("""COMPUTED_VALUE"""),"11000441")</f>
        <v>11000441</v>
      </c>
      <c r="D1779" s="380" t="s">
        <v>767</v>
      </c>
      <c r="E1779" s="380" t="s">
        <v>2305</v>
      </c>
      <c r="F1779" s="380" t="s">
        <v>2556</v>
      </c>
      <c r="G1779" s="380" t="s">
        <v>1267</v>
      </c>
      <c r="H1779" s="380" t="s">
        <v>771</v>
      </c>
      <c r="I1779" s="380" t="s">
        <v>2307</v>
      </c>
      <c r="J1779" s="380" t="s">
        <v>773</v>
      </c>
      <c r="K1779" s="381">
        <v>0.0</v>
      </c>
      <c r="L1779" s="382">
        <v>1.0</v>
      </c>
    </row>
    <row r="1780">
      <c r="A1780" s="380" t="s">
        <v>2638</v>
      </c>
      <c r="B1780" s="380" t="str">
        <f>IFERROR(__xludf.DUMMYFUNCTION("""COMPUTED_VALUE"""),"Butaco Mov Concha Azul75 Tuberia Redonda")</f>
        <v>Butaco Mov Concha Azul75 Tuberia Redonda</v>
      </c>
      <c r="C1780" s="380" t="str">
        <f>IFERROR(__xludf.DUMMYFUNCTION("""COMPUTED_VALUE"""),"11000442")</f>
        <v>11000442</v>
      </c>
      <c r="D1780" s="380" t="s">
        <v>767</v>
      </c>
      <c r="E1780" s="380" t="s">
        <v>2305</v>
      </c>
      <c r="F1780" s="380" t="s">
        <v>2556</v>
      </c>
      <c r="G1780" s="380" t="s">
        <v>1267</v>
      </c>
      <c r="H1780" s="380" t="s">
        <v>771</v>
      </c>
      <c r="I1780" s="380" t="s">
        <v>2307</v>
      </c>
      <c r="J1780" s="380" t="s">
        <v>773</v>
      </c>
      <c r="K1780" s="381">
        <v>0.0</v>
      </c>
      <c r="L1780" s="382">
        <v>1.0</v>
      </c>
    </row>
    <row r="1781">
      <c r="A1781" s="380" t="s">
        <v>2639</v>
      </c>
      <c r="B1781" s="380" t="str">
        <f>IFERROR(__xludf.DUMMYFUNCTION("""COMPUTED_VALUE"""),"Modulo 2X1 Manija Metalica (Archivador)")</f>
        <v>Modulo 2X1 Manija Metalica (Archivador)</v>
      </c>
      <c r="C1781" s="380" t="str">
        <f>IFERROR(__xludf.DUMMYFUNCTION("""COMPUTED_VALUE"""),"11000443")</f>
        <v>11000443</v>
      </c>
      <c r="D1781" s="380" t="s">
        <v>767</v>
      </c>
      <c r="E1781" s="380" t="s">
        <v>2305</v>
      </c>
      <c r="F1781" s="380" t="s">
        <v>2556</v>
      </c>
      <c r="G1781" s="380" t="s">
        <v>1267</v>
      </c>
      <c r="H1781" s="380" t="s">
        <v>771</v>
      </c>
      <c r="I1781" s="380" t="s">
        <v>2307</v>
      </c>
      <c r="J1781" s="380" t="s">
        <v>773</v>
      </c>
      <c r="K1781" s="381">
        <v>0.0</v>
      </c>
      <c r="L1781" s="382">
        <v>1.0</v>
      </c>
    </row>
    <row r="1782">
      <c r="A1782" s="380" t="s">
        <v>2640</v>
      </c>
      <c r="B1782" s="380" t="str">
        <f>IFERROR(__xludf.DUMMYFUNCTION("""COMPUTED_VALUE"""),"Silla Interlocutora Negra")</f>
        <v>Silla Interlocutora Negra</v>
      </c>
      <c r="C1782" s="380" t="str">
        <f>IFERROR(__xludf.DUMMYFUNCTION("""COMPUTED_VALUE"""),"11000444")</f>
        <v>11000444</v>
      </c>
      <c r="D1782" s="380" t="s">
        <v>767</v>
      </c>
      <c r="E1782" s="380" t="s">
        <v>2305</v>
      </c>
      <c r="F1782" s="380" t="s">
        <v>2556</v>
      </c>
      <c r="G1782" s="380" t="s">
        <v>1267</v>
      </c>
      <c r="H1782" s="380" t="s">
        <v>771</v>
      </c>
      <c r="I1782" s="380" t="s">
        <v>2307</v>
      </c>
      <c r="J1782" s="380" t="s">
        <v>773</v>
      </c>
      <c r="K1782" s="381">
        <v>0.0</v>
      </c>
      <c r="L1782" s="382">
        <v>1.0</v>
      </c>
    </row>
    <row r="1783">
      <c r="A1783" s="380" t="s">
        <v>2641</v>
      </c>
      <c r="B1783" s="380" t="str">
        <f>IFERROR(__xludf.DUMMYFUNCTION("""COMPUTED_VALUE"""),"Gabinete Met 0.90Formica Crem A Pared")</f>
        <v>Gabinete Met 0.90Formica Crem A Pared</v>
      </c>
      <c r="C1783" s="380" t="str">
        <f>IFERROR(__xludf.DUMMYFUNCTION("""COMPUTED_VALUE"""),"11000445")</f>
        <v>11000445</v>
      </c>
      <c r="D1783" s="380" t="s">
        <v>767</v>
      </c>
      <c r="E1783" s="380" t="s">
        <v>2305</v>
      </c>
      <c r="F1783" s="380" t="s">
        <v>2556</v>
      </c>
      <c r="G1783" s="380" t="s">
        <v>1267</v>
      </c>
      <c r="H1783" s="380" t="s">
        <v>771</v>
      </c>
      <c r="I1783" s="380" t="s">
        <v>2307</v>
      </c>
      <c r="J1783" s="380" t="s">
        <v>773</v>
      </c>
      <c r="K1783" s="381">
        <v>0.0</v>
      </c>
      <c r="L1783" s="382">
        <v>1.0</v>
      </c>
    </row>
    <row r="1784">
      <c r="A1784" s="380" t="s">
        <v>2642</v>
      </c>
      <c r="B1784" s="380" t="str">
        <f>IFERROR(__xludf.DUMMYFUNCTION("""COMPUTED_VALUE"""),"Carpa Lona Blan Agua Est Met Elect Neg")</f>
        <v>Carpa Lona Blan Agua Est Met Elect Neg</v>
      </c>
      <c r="C1784" s="380" t="str">
        <f>IFERROR(__xludf.DUMMYFUNCTION("""COMPUTED_VALUE"""),"11000446")</f>
        <v>11000446</v>
      </c>
      <c r="D1784" s="380" t="s">
        <v>767</v>
      </c>
      <c r="E1784" s="380" t="s">
        <v>2305</v>
      </c>
      <c r="F1784" s="380" t="s">
        <v>2556</v>
      </c>
      <c r="G1784" s="380" t="s">
        <v>1267</v>
      </c>
      <c r="H1784" s="380" t="s">
        <v>771</v>
      </c>
      <c r="I1784" s="380" t="s">
        <v>2307</v>
      </c>
      <c r="J1784" s="380" t="s">
        <v>773</v>
      </c>
      <c r="K1784" s="381">
        <v>0.0</v>
      </c>
      <c r="L1784" s="382">
        <v>1.0</v>
      </c>
    </row>
    <row r="1785">
      <c r="A1785" s="380" t="s">
        <v>2643</v>
      </c>
      <c r="B1785" s="380" t="str">
        <f>IFERROR(__xludf.DUMMYFUNCTION("""COMPUTED_VALUE"""),"Horno Microondas Kmw07n 700w - 7ft3")</f>
        <v>Horno Microondas Kmw07n 700w - 7ft3</v>
      </c>
      <c r="C1785" s="380" t="str">
        <f>IFERROR(__xludf.DUMMYFUNCTION("""COMPUTED_VALUE"""),"11000447")</f>
        <v>11000447</v>
      </c>
      <c r="D1785" s="380" t="s">
        <v>767</v>
      </c>
      <c r="E1785" s="380" t="s">
        <v>2305</v>
      </c>
      <c r="F1785" s="380" t="s">
        <v>2556</v>
      </c>
      <c r="G1785" s="380" t="s">
        <v>1267</v>
      </c>
      <c r="H1785" s="380" t="s">
        <v>771</v>
      </c>
      <c r="I1785" s="380" t="s">
        <v>2307</v>
      </c>
      <c r="J1785" s="380" t="s">
        <v>773</v>
      </c>
      <c r="K1785" s="381">
        <v>0.0</v>
      </c>
      <c r="L1785" s="382">
        <v>1.0</v>
      </c>
    </row>
    <row r="1786">
      <c r="A1786" s="380" t="s">
        <v>2644</v>
      </c>
      <c r="B1786" s="380" t="str">
        <f>IFERROR(__xludf.DUMMYFUNCTION("""COMPUTED_VALUE"""),"Puff Tipo Pera Cuero Sintetico")</f>
        <v>Puff Tipo Pera Cuero Sintetico</v>
      </c>
      <c r="C1786" s="380" t="str">
        <f>IFERROR(__xludf.DUMMYFUNCTION("""COMPUTED_VALUE"""),"11000448")</f>
        <v>11000448</v>
      </c>
      <c r="D1786" s="380" t="s">
        <v>767</v>
      </c>
      <c r="E1786" s="380" t="s">
        <v>2305</v>
      </c>
      <c r="F1786" s="380" t="s">
        <v>2556</v>
      </c>
      <c r="G1786" s="380" t="s">
        <v>1267</v>
      </c>
      <c r="H1786" s="380" t="s">
        <v>771</v>
      </c>
      <c r="I1786" s="380" t="s">
        <v>2307</v>
      </c>
      <c r="J1786" s="380" t="s">
        <v>773</v>
      </c>
      <c r="K1786" s="381">
        <v>0.0</v>
      </c>
      <c r="L1786" s="382">
        <v>1.0</v>
      </c>
    </row>
    <row r="1787">
      <c r="A1787" s="380" t="s">
        <v>2645</v>
      </c>
      <c r="B1787" s="380" t="str">
        <f>IFERROR(__xludf.DUMMYFUNCTION("""COMPUTED_VALUE"""),"Aire Acondicionado 9.000 Btu 220 V")</f>
        <v>Aire Acondicionado 9.000 Btu 220 V</v>
      </c>
      <c r="C1787" s="380" t="str">
        <f>IFERROR(__xludf.DUMMYFUNCTION("""COMPUTED_VALUE"""),"11000449")</f>
        <v>11000449</v>
      </c>
      <c r="D1787" s="380" t="s">
        <v>767</v>
      </c>
      <c r="E1787" s="380" t="s">
        <v>2305</v>
      </c>
      <c r="F1787" s="380" t="s">
        <v>2556</v>
      </c>
      <c r="G1787" s="380" t="s">
        <v>1267</v>
      </c>
      <c r="H1787" s="380" t="s">
        <v>771</v>
      </c>
      <c r="I1787" s="380" t="s">
        <v>2307</v>
      </c>
      <c r="J1787" s="380" t="s">
        <v>773</v>
      </c>
      <c r="K1787" s="381">
        <v>0.0</v>
      </c>
      <c r="L1787" s="382">
        <v>1.0</v>
      </c>
    </row>
    <row r="1788">
      <c r="A1788" s="380" t="s">
        <v>2646</v>
      </c>
      <c r="B1788" s="380" t="str">
        <f>IFERROR(__xludf.DUMMYFUNCTION("""COMPUTED_VALUE"""),"Cafetera Eléctrica 30 - 60 Tintos")</f>
        <v>Cafetera Eléctrica 30 - 60 Tintos</v>
      </c>
      <c r="C1788" s="380" t="str">
        <f>IFERROR(__xludf.DUMMYFUNCTION("""COMPUTED_VALUE"""),"11000450")</f>
        <v>11000450</v>
      </c>
      <c r="D1788" s="380" t="s">
        <v>767</v>
      </c>
      <c r="E1788" s="380" t="s">
        <v>2305</v>
      </c>
      <c r="F1788" s="380" t="s">
        <v>2556</v>
      </c>
      <c r="G1788" s="380" t="s">
        <v>1267</v>
      </c>
      <c r="H1788" s="380" t="s">
        <v>771</v>
      </c>
      <c r="I1788" s="380" t="s">
        <v>2307</v>
      </c>
      <c r="J1788" s="380" t="s">
        <v>773</v>
      </c>
      <c r="K1788" s="381">
        <v>0.0</v>
      </c>
      <c r="L1788" s="382">
        <v>1.0</v>
      </c>
    </row>
    <row r="1789">
      <c r="A1789" s="380" t="s">
        <v>2647</v>
      </c>
      <c r="B1789" s="380" t="str">
        <f>IFERROR(__xludf.DUMMYFUNCTION("""COMPUTED_VALUE"""),"Aire Acondicionado 24.000 Btu 220v")</f>
        <v>Aire Acondicionado 24.000 Btu 220v</v>
      </c>
      <c r="C1789" s="380" t="str">
        <f>IFERROR(__xludf.DUMMYFUNCTION("""COMPUTED_VALUE"""),"11000451")</f>
        <v>11000451</v>
      </c>
      <c r="D1789" s="380" t="s">
        <v>767</v>
      </c>
      <c r="E1789" s="380" t="s">
        <v>2305</v>
      </c>
      <c r="F1789" s="380" t="s">
        <v>2556</v>
      </c>
      <c r="G1789" s="380" t="s">
        <v>1267</v>
      </c>
      <c r="H1789" s="380" t="s">
        <v>771</v>
      </c>
      <c r="I1789" s="380" t="s">
        <v>2307</v>
      </c>
      <c r="J1789" s="380" t="s">
        <v>773</v>
      </c>
      <c r="K1789" s="381">
        <v>0.0</v>
      </c>
      <c r="L1789" s="382">
        <v>1.0</v>
      </c>
    </row>
    <row r="1790">
      <c r="A1790" s="380" t="s">
        <v>2648</v>
      </c>
      <c r="B1790" s="380" t="str">
        <f>IFERROR(__xludf.DUMMYFUNCTION("""COMPUTED_VALUE"""),"Aire Acondicionado 18.000 Btu 220 V")</f>
        <v>Aire Acondicionado 18.000 Btu 220 V</v>
      </c>
      <c r="C1790" s="380" t="str">
        <f>IFERROR(__xludf.DUMMYFUNCTION("""COMPUTED_VALUE"""),"11000452")</f>
        <v>11000452</v>
      </c>
      <c r="D1790" s="380" t="s">
        <v>767</v>
      </c>
      <c r="E1790" s="380" t="s">
        <v>2305</v>
      </c>
      <c r="F1790" s="380" t="s">
        <v>2556</v>
      </c>
      <c r="G1790" s="380" t="s">
        <v>1267</v>
      </c>
      <c r="H1790" s="380" t="s">
        <v>771</v>
      </c>
      <c r="I1790" s="380" t="s">
        <v>2307</v>
      </c>
      <c r="J1790" s="380" t="s">
        <v>773</v>
      </c>
      <c r="K1790" s="381">
        <v>0.0</v>
      </c>
      <c r="L1790" s="382">
        <v>1.0</v>
      </c>
    </row>
    <row r="1791">
      <c r="A1791" s="380" t="s">
        <v>2649</v>
      </c>
      <c r="B1791" s="380" t="str">
        <f>IFERROR(__xludf.DUMMYFUNCTION("""COMPUTED_VALUE"""),"Camilla Najo Soporte Cuello Extr Arnes")</f>
        <v>Camilla Najo Soporte Cuello Extr Arnes</v>
      </c>
      <c r="C1791" s="380" t="str">
        <f>IFERROR(__xludf.DUMMYFUNCTION("""COMPUTED_VALUE"""),"11000453")</f>
        <v>11000453</v>
      </c>
      <c r="D1791" s="380" t="s">
        <v>767</v>
      </c>
      <c r="E1791" s="380" t="s">
        <v>2305</v>
      </c>
      <c r="F1791" s="380" t="s">
        <v>2556</v>
      </c>
      <c r="G1791" s="380" t="s">
        <v>1267</v>
      </c>
      <c r="H1791" s="380" t="s">
        <v>771</v>
      </c>
      <c r="I1791" s="380" t="s">
        <v>2307</v>
      </c>
      <c r="J1791" s="380" t="s">
        <v>773</v>
      </c>
      <c r="K1791" s="381">
        <v>0.0</v>
      </c>
      <c r="L1791" s="382">
        <v>1.0</v>
      </c>
    </row>
    <row r="1792">
      <c r="A1792" s="380" t="s">
        <v>2650</v>
      </c>
      <c r="B1792" s="380" t="str">
        <f>IFERROR(__xludf.DUMMYFUNCTION("""COMPUTED_VALUE"""),"Aire Acondicionado 12.000 Btu 220v")</f>
        <v>Aire Acondicionado 12.000 Btu 220v</v>
      </c>
      <c r="C1792" s="380" t="str">
        <f>IFERROR(__xludf.DUMMYFUNCTION("""COMPUTED_VALUE"""),"11000454")</f>
        <v>11000454</v>
      </c>
      <c r="D1792" s="380" t="s">
        <v>767</v>
      </c>
      <c r="E1792" s="380" t="s">
        <v>2305</v>
      </c>
      <c r="F1792" s="380" t="s">
        <v>2556</v>
      </c>
      <c r="G1792" s="380" t="s">
        <v>1267</v>
      </c>
      <c r="H1792" s="380" t="s">
        <v>771</v>
      </c>
      <c r="I1792" s="380" t="s">
        <v>2307</v>
      </c>
      <c r="J1792" s="380" t="s">
        <v>773</v>
      </c>
      <c r="K1792" s="381">
        <v>0.0</v>
      </c>
      <c r="L1792" s="382">
        <v>1.0</v>
      </c>
    </row>
    <row r="1793">
      <c r="A1793" s="380" t="s">
        <v>2651</v>
      </c>
      <c r="B1793" s="380" t="str">
        <f>IFERROR(__xludf.DUMMYFUNCTION("""COMPUTED_VALUE"""),"Ventilador Ind De Pared 30"" Ref 30wl20")</f>
        <v>Ventilador Ind De Pared 30" Ref 30wl20</v>
      </c>
      <c r="C1793" s="380" t="str">
        <f>IFERROR(__xludf.DUMMYFUNCTION("""COMPUTED_VALUE"""),"11000455")</f>
        <v>11000455</v>
      </c>
      <c r="D1793" s="380" t="s">
        <v>767</v>
      </c>
      <c r="E1793" s="380" t="s">
        <v>2305</v>
      </c>
      <c r="F1793" s="380" t="s">
        <v>2556</v>
      </c>
      <c r="G1793" s="380" t="s">
        <v>1267</v>
      </c>
      <c r="H1793" s="380" t="s">
        <v>771</v>
      </c>
      <c r="I1793" s="380" t="s">
        <v>2307</v>
      </c>
      <c r="J1793" s="380" t="s">
        <v>773</v>
      </c>
      <c r="K1793" s="381">
        <v>0.0</v>
      </c>
      <c r="L1793" s="382">
        <v>1.0</v>
      </c>
    </row>
    <row r="1794">
      <c r="A1794" s="380" t="s">
        <v>2652</v>
      </c>
      <c r="B1794" s="380" t="str">
        <f>IFERROR(__xludf.DUMMYFUNCTION("""COMPUTED_VALUE"""),"Cama Sencilla Madera 1.0 X 1.90 Mt")</f>
        <v>Cama Sencilla Madera 1.0 X 1.90 Mt</v>
      </c>
      <c r="C1794" s="380" t="str">
        <f>IFERROR(__xludf.DUMMYFUNCTION("""COMPUTED_VALUE"""),"11000456")</f>
        <v>11000456</v>
      </c>
      <c r="D1794" s="380" t="s">
        <v>767</v>
      </c>
      <c r="E1794" s="380" t="s">
        <v>2305</v>
      </c>
      <c r="F1794" s="380" t="s">
        <v>2556</v>
      </c>
      <c r="G1794" s="380" t="s">
        <v>1267</v>
      </c>
      <c r="H1794" s="380" t="s">
        <v>771</v>
      </c>
      <c r="I1794" s="380" t="s">
        <v>2307</v>
      </c>
      <c r="J1794" s="380" t="s">
        <v>773</v>
      </c>
      <c r="K1794" s="381">
        <v>0.0</v>
      </c>
      <c r="L1794" s="382">
        <v>1.0</v>
      </c>
    </row>
    <row r="1795">
      <c r="A1795" s="380" t="s">
        <v>2653</v>
      </c>
      <c r="B1795" s="380" t="str">
        <f>IFERROR(__xludf.DUMMYFUNCTION("""COMPUTED_VALUE"""),"Ventilador De Pie")</f>
        <v>Ventilador De Pie</v>
      </c>
      <c r="C1795" s="380" t="str">
        <f>IFERROR(__xludf.DUMMYFUNCTION("""COMPUTED_VALUE"""),"11000457")</f>
        <v>11000457</v>
      </c>
      <c r="D1795" s="380" t="s">
        <v>767</v>
      </c>
      <c r="E1795" s="380" t="s">
        <v>2305</v>
      </c>
      <c r="F1795" s="380" t="s">
        <v>2556</v>
      </c>
      <c r="G1795" s="380" t="s">
        <v>1267</v>
      </c>
      <c r="H1795" s="380" t="s">
        <v>771</v>
      </c>
      <c r="I1795" s="380" t="s">
        <v>2307</v>
      </c>
      <c r="J1795" s="380" t="s">
        <v>773</v>
      </c>
      <c r="K1795" s="381">
        <v>0.0</v>
      </c>
      <c r="L1795" s="382">
        <v>1.0</v>
      </c>
    </row>
    <row r="1796">
      <c r="A1796" s="380" t="s">
        <v>2654</v>
      </c>
      <c r="B1796" s="380" t="str">
        <f>IFERROR(__xludf.DUMMYFUNCTION("""COMPUTED_VALUE"""),"Ventilador De Techo")</f>
        <v>Ventilador De Techo</v>
      </c>
      <c r="C1796" s="380" t="str">
        <f>IFERROR(__xludf.DUMMYFUNCTION("""COMPUTED_VALUE"""),"11000458")</f>
        <v>11000458</v>
      </c>
      <c r="D1796" s="380" t="s">
        <v>767</v>
      </c>
      <c r="E1796" s="380" t="s">
        <v>2305</v>
      </c>
      <c r="F1796" s="380" t="s">
        <v>2556</v>
      </c>
      <c r="G1796" s="380" t="s">
        <v>1267</v>
      </c>
      <c r="H1796" s="380" t="s">
        <v>771</v>
      </c>
      <c r="I1796" s="380" t="s">
        <v>2307</v>
      </c>
      <c r="J1796" s="380" t="s">
        <v>773</v>
      </c>
      <c r="K1796" s="381">
        <v>0.0</v>
      </c>
      <c r="L1796" s="382">
        <v>1.0</v>
      </c>
    </row>
    <row r="1797">
      <c r="A1797" s="380" t="s">
        <v>2655</v>
      </c>
      <c r="B1797" s="380" t="str">
        <f>IFERROR(__xludf.DUMMYFUNCTION("""COMPUTED_VALUE"""),"Mesa Comedor En T 1.80x0.90")</f>
        <v>Mesa Comedor En T 1.80x0.90</v>
      </c>
      <c r="C1797" s="380" t="str">
        <f>IFERROR(__xludf.DUMMYFUNCTION("""COMPUTED_VALUE"""),"11000459")</f>
        <v>11000459</v>
      </c>
      <c r="D1797" s="380" t="s">
        <v>767</v>
      </c>
      <c r="E1797" s="380" t="s">
        <v>2305</v>
      </c>
      <c r="F1797" s="380" t="s">
        <v>2556</v>
      </c>
      <c r="G1797" s="380" t="s">
        <v>1267</v>
      </c>
      <c r="H1797" s="380" t="s">
        <v>771</v>
      </c>
      <c r="I1797" s="380" t="s">
        <v>2307</v>
      </c>
      <c r="J1797" s="380" t="s">
        <v>773</v>
      </c>
      <c r="K1797" s="381">
        <v>0.0</v>
      </c>
      <c r="L1797" s="382">
        <v>1.0</v>
      </c>
    </row>
    <row r="1798">
      <c r="A1798" s="380" t="s">
        <v>2656</v>
      </c>
      <c r="B1798" s="380" t="str">
        <f>IFERROR(__xludf.DUMMYFUNCTION("""COMPUTED_VALUE"""),"Cajon Metalico Gris 60x70x1.00 Cal 22")</f>
        <v>Cajon Metalico Gris 60x70x1.00 Cal 22</v>
      </c>
      <c r="C1798" s="380" t="str">
        <f>IFERROR(__xludf.DUMMYFUNCTION("""COMPUTED_VALUE"""),"11000460")</f>
        <v>11000460</v>
      </c>
      <c r="D1798" s="380" t="s">
        <v>767</v>
      </c>
      <c r="E1798" s="380" t="s">
        <v>2305</v>
      </c>
      <c r="F1798" s="380" t="s">
        <v>2556</v>
      </c>
      <c r="G1798" s="380" t="s">
        <v>1267</v>
      </c>
      <c r="H1798" s="380" t="s">
        <v>771</v>
      </c>
      <c r="I1798" s="380" t="s">
        <v>2307</v>
      </c>
      <c r="J1798" s="380" t="s">
        <v>773</v>
      </c>
      <c r="K1798" s="381">
        <v>0.0</v>
      </c>
      <c r="L1798" s="382">
        <v>1.0</v>
      </c>
    </row>
    <row r="1799">
      <c r="A1799" s="380" t="s">
        <v>2657</v>
      </c>
      <c r="B1799" s="380" t="str">
        <f>IFERROR(__xludf.DUMMYFUNCTION("""COMPUTED_VALUE"""),"Mesa Sala Juntas Con Estructura")</f>
        <v>Mesa Sala Juntas Con Estructura</v>
      </c>
      <c r="C1799" s="380" t="str">
        <f>IFERROR(__xludf.DUMMYFUNCTION("""COMPUTED_VALUE"""),"11000461")</f>
        <v>11000461</v>
      </c>
      <c r="D1799" s="380" t="s">
        <v>767</v>
      </c>
      <c r="E1799" s="380" t="s">
        <v>2305</v>
      </c>
      <c r="F1799" s="380" t="s">
        <v>2556</v>
      </c>
      <c r="G1799" s="380" t="s">
        <v>1267</v>
      </c>
      <c r="H1799" s="380" t="s">
        <v>771</v>
      </c>
      <c r="I1799" s="380" t="s">
        <v>2307</v>
      </c>
      <c r="J1799" s="380" t="s">
        <v>773</v>
      </c>
      <c r="K1799" s="381">
        <v>0.0</v>
      </c>
      <c r="L1799" s="382">
        <v>1.0</v>
      </c>
    </row>
    <row r="1800">
      <c r="A1800" s="380" t="s">
        <v>2658</v>
      </c>
      <c r="B1800" s="380" t="str">
        <f>IFERROR(__xludf.DUMMYFUNCTION("""COMPUTED_VALUE"""),"Tablero En Fórmica (Medidas Varias)")</f>
        <v>Tablero En Fórmica (Medidas Varias)</v>
      </c>
      <c r="C1800" s="380" t="str">
        <f>IFERROR(__xludf.DUMMYFUNCTION("""COMPUTED_VALUE"""),"11000462")</f>
        <v>11000462</v>
      </c>
      <c r="D1800" s="380" t="s">
        <v>767</v>
      </c>
      <c r="E1800" s="380" t="s">
        <v>2305</v>
      </c>
      <c r="F1800" s="380" t="s">
        <v>2556</v>
      </c>
      <c r="G1800" s="380" t="s">
        <v>1267</v>
      </c>
      <c r="H1800" s="380" t="s">
        <v>771</v>
      </c>
      <c r="I1800" s="380" t="s">
        <v>2307</v>
      </c>
      <c r="J1800" s="380" t="s">
        <v>773</v>
      </c>
      <c r="K1800" s="381">
        <v>0.0</v>
      </c>
      <c r="L1800" s="382">
        <v>1.0</v>
      </c>
    </row>
    <row r="1801">
      <c r="A1801" s="380" t="s">
        <v>2659</v>
      </c>
      <c r="B1801" s="380" t="str">
        <f>IFERROR(__xludf.DUMMYFUNCTION("""COMPUTED_VALUE"""),"Antorcha Para Mig Equipo Cebora")</f>
        <v>Antorcha Para Mig Equipo Cebora</v>
      </c>
      <c r="C1801" s="380" t="str">
        <f>IFERROR(__xludf.DUMMYFUNCTION("""COMPUTED_VALUE"""),"11000468")</f>
        <v>11000468</v>
      </c>
      <c r="D1801" s="380" t="s">
        <v>767</v>
      </c>
      <c r="E1801" s="380" t="s">
        <v>2305</v>
      </c>
      <c r="F1801" s="380" t="s">
        <v>2458</v>
      </c>
      <c r="G1801" s="380" t="s">
        <v>1267</v>
      </c>
      <c r="H1801" s="380" t="s">
        <v>771</v>
      </c>
      <c r="I1801" s="380" t="s">
        <v>2459</v>
      </c>
      <c r="J1801" s="380" t="s">
        <v>773</v>
      </c>
      <c r="K1801" s="381">
        <v>0.0</v>
      </c>
      <c r="L1801" s="382">
        <v>1.0</v>
      </c>
    </row>
    <row r="1802">
      <c r="A1802" s="380" t="s">
        <v>2660</v>
      </c>
      <c r="B1802" s="380" t="str">
        <f>IFERROR(__xludf.DUMMYFUNCTION("""COMPUTED_VALUE"""),"Gabinete De Piso 1.80 X 0.58")</f>
        <v>Gabinete De Piso 1.80 X 0.58</v>
      </c>
      <c r="C1802" s="380" t="str">
        <f>IFERROR(__xludf.DUMMYFUNCTION("""COMPUTED_VALUE"""),"11000470")</f>
        <v>11000470</v>
      </c>
      <c r="D1802" s="380" t="s">
        <v>767</v>
      </c>
      <c r="E1802" s="380" t="s">
        <v>2305</v>
      </c>
      <c r="F1802" s="380" t="s">
        <v>2556</v>
      </c>
      <c r="G1802" s="380" t="s">
        <v>1267</v>
      </c>
      <c r="H1802" s="380" t="s">
        <v>771</v>
      </c>
      <c r="I1802" s="380" t="s">
        <v>2307</v>
      </c>
      <c r="J1802" s="380" t="s">
        <v>773</v>
      </c>
      <c r="K1802" s="381">
        <v>0.0</v>
      </c>
      <c r="L1802" s="382">
        <v>1.0</v>
      </c>
    </row>
    <row r="1803">
      <c r="A1803" s="380" t="s">
        <v>2661</v>
      </c>
      <c r="B1803" s="380" t="str">
        <f>IFERROR(__xludf.DUMMYFUNCTION("""COMPUTED_VALUE"""),"Silla Giratoria Reparada")</f>
        <v>Silla Giratoria Reparada</v>
      </c>
      <c r="C1803" s="380" t="str">
        <f>IFERROR(__xludf.DUMMYFUNCTION("""COMPUTED_VALUE"""),"11000471")</f>
        <v>11000471</v>
      </c>
      <c r="D1803" s="380" t="s">
        <v>767</v>
      </c>
      <c r="E1803" s="380" t="s">
        <v>2305</v>
      </c>
      <c r="F1803" s="380" t="s">
        <v>2556</v>
      </c>
      <c r="G1803" s="380" t="s">
        <v>1267</v>
      </c>
      <c r="H1803" s="380" t="s">
        <v>771</v>
      </c>
      <c r="I1803" s="380" t="s">
        <v>2307</v>
      </c>
      <c r="J1803" s="380" t="s">
        <v>773</v>
      </c>
      <c r="K1803" s="381">
        <v>0.0</v>
      </c>
      <c r="L1803" s="382">
        <v>1.0</v>
      </c>
    </row>
    <row r="1804">
      <c r="A1804" s="380" t="s">
        <v>2662</v>
      </c>
      <c r="B1804" s="380" t="str">
        <f>IFERROR(__xludf.DUMMYFUNCTION("""COMPUTED_VALUE"""),"Rifa Din De Año Asador Carbon")</f>
        <v>Rifa Din De Año Asador Carbon</v>
      </c>
      <c r="C1804" s="380" t="str">
        <f>IFERROR(__xludf.DUMMYFUNCTION("""COMPUTED_VALUE"""),"20000020")</f>
        <v>20000020</v>
      </c>
      <c r="D1804" s="380" t="s">
        <v>767</v>
      </c>
      <c r="E1804" s="380" t="s">
        <v>2663</v>
      </c>
      <c r="F1804" s="380" t="s">
        <v>1275</v>
      </c>
      <c r="G1804" s="380" t="s">
        <v>1267</v>
      </c>
      <c r="H1804" s="380" t="s">
        <v>771</v>
      </c>
      <c r="I1804" s="380" t="s">
        <v>2664</v>
      </c>
      <c r="J1804" s="380" t="s">
        <v>773</v>
      </c>
      <c r="K1804" s="381">
        <v>0.0</v>
      </c>
      <c r="L1804" s="382">
        <v>1.0</v>
      </c>
    </row>
    <row r="1805">
      <c r="A1805" s="380" t="s">
        <v>2665</v>
      </c>
      <c r="B1805" s="380" t="str">
        <f>IFERROR(__xludf.DUMMYFUNCTION("""COMPUTED_VALUE"""),"Rifa Fin De Año Grill Asador")</f>
        <v>Rifa Fin De Año Grill Asador</v>
      </c>
      <c r="C1805" s="380" t="str">
        <f>IFERROR(__xludf.DUMMYFUNCTION("""COMPUTED_VALUE"""),"20000021")</f>
        <v>20000021</v>
      </c>
      <c r="D1805" s="380" t="s">
        <v>767</v>
      </c>
      <c r="E1805" s="380" t="s">
        <v>2663</v>
      </c>
      <c r="F1805" s="380" t="s">
        <v>1275</v>
      </c>
      <c r="G1805" s="380" t="s">
        <v>1267</v>
      </c>
      <c r="H1805" s="380" t="s">
        <v>771</v>
      </c>
      <c r="I1805" s="380" t="s">
        <v>2664</v>
      </c>
      <c r="J1805" s="380" t="s">
        <v>773</v>
      </c>
      <c r="K1805" s="381">
        <v>0.0</v>
      </c>
      <c r="L1805" s="382">
        <v>1.0</v>
      </c>
    </row>
    <row r="1806">
      <c r="A1806" s="380" t="s">
        <v>2666</v>
      </c>
      <c r="B1806" s="380" t="str">
        <f>IFERROR(__xludf.DUMMYFUNCTION("""COMPUTED_VALUE"""),"Dulces Evento Desarrollo Humano Gravado")</f>
        <v>Dulces Evento Desarrollo Humano Gravado</v>
      </c>
      <c r="C1806" s="380" t="str">
        <f>IFERROR(__xludf.DUMMYFUNCTION("""COMPUTED_VALUE"""),"20000022")</f>
        <v>20000022</v>
      </c>
      <c r="D1806" s="380" t="s">
        <v>767</v>
      </c>
      <c r="E1806" s="380" t="s">
        <v>2663</v>
      </c>
      <c r="F1806" s="380" t="s">
        <v>1275</v>
      </c>
      <c r="G1806" s="380" t="s">
        <v>1267</v>
      </c>
      <c r="H1806" s="380" t="s">
        <v>771</v>
      </c>
      <c r="I1806" s="380" t="s">
        <v>2664</v>
      </c>
      <c r="J1806" s="380" t="s">
        <v>773</v>
      </c>
      <c r="K1806" s="381">
        <v>0.0</v>
      </c>
      <c r="L1806" s="382">
        <v>1.0</v>
      </c>
    </row>
    <row r="1807">
      <c r="A1807" s="380" t="s">
        <v>2667</v>
      </c>
      <c r="B1807" s="380" t="str">
        <f>IFERROR(__xludf.DUMMYFUNCTION("""COMPUTED_VALUE"""),"Album Y Sticker Coordinadora En Familia")</f>
        <v>Album Y Sticker Coordinadora En Familia</v>
      </c>
      <c r="C1807" s="380" t="str">
        <f>IFERROR(__xludf.DUMMYFUNCTION("""COMPUTED_VALUE"""),"20000023")</f>
        <v>20000023</v>
      </c>
      <c r="D1807" s="380" t="s">
        <v>767</v>
      </c>
      <c r="E1807" s="380" t="s">
        <v>2663</v>
      </c>
      <c r="F1807" s="380" t="s">
        <v>1275</v>
      </c>
      <c r="G1807" s="380" t="s">
        <v>1267</v>
      </c>
      <c r="H1807" s="380" t="s">
        <v>771</v>
      </c>
      <c r="I1807" s="380" t="s">
        <v>2664</v>
      </c>
      <c r="J1807" s="380" t="s">
        <v>773</v>
      </c>
      <c r="K1807" s="381">
        <v>0.0</v>
      </c>
      <c r="L1807" s="382">
        <v>1.0</v>
      </c>
    </row>
    <row r="1808">
      <c r="A1808" s="380" t="s">
        <v>2668</v>
      </c>
      <c r="B1808" s="380" t="str">
        <f>IFERROR(__xludf.DUMMYFUNCTION("""COMPUTED_VALUE"""),"Aym Estufa A Gas")</f>
        <v>Aym Estufa A Gas</v>
      </c>
      <c r="C1808" s="380" t="str">
        <f>IFERROR(__xludf.DUMMYFUNCTION("""COMPUTED_VALUE"""),"20000024")</f>
        <v>20000024</v>
      </c>
      <c r="D1808" s="380" t="s">
        <v>767</v>
      </c>
      <c r="E1808" s="380" t="s">
        <v>2663</v>
      </c>
      <c r="F1808" s="380" t="s">
        <v>2669</v>
      </c>
      <c r="G1808" s="380" t="s">
        <v>1267</v>
      </c>
      <c r="H1808" s="380" t="s">
        <v>771</v>
      </c>
      <c r="I1808" s="380" t="s">
        <v>2670</v>
      </c>
      <c r="J1808" s="380" t="s">
        <v>773</v>
      </c>
      <c r="K1808" s="381">
        <v>0.0</v>
      </c>
      <c r="L1808" s="382">
        <v>1.0</v>
      </c>
    </row>
    <row r="1809">
      <c r="A1809" s="380" t="s">
        <v>2671</v>
      </c>
      <c r="B1809" s="380" t="str">
        <f>IFERROR(__xludf.DUMMYFUNCTION("""COMPUTED_VALUE"""),"Aym Lavadora")</f>
        <v>Aym Lavadora</v>
      </c>
      <c r="C1809" s="380" t="str">
        <f>IFERROR(__xludf.DUMMYFUNCTION("""COMPUTED_VALUE"""),"20000025")</f>
        <v>20000025</v>
      </c>
      <c r="D1809" s="380" t="s">
        <v>767</v>
      </c>
      <c r="E1809" s="380" t="s">
        <v>2663</v>
      </c>
      <c r="F1809" s="380" t="s">
        <v>2669</v>
      </c>
      <c r="G1809" s="380" t="s">
        <v>1267</v>
      </c>
      <c r="H1809" s="380" t="s">
        <v>771</v>
      </c>
      <c r="I1809" s="380" t="s">
        <v>2670</v>
      </c>
      <c r="J1809" s="380" t="s">
        <v>773</v>
      </c>
      <c r="K1809" s="381">
        <v>0.0</v>
      </c>
      <c r="L1809" s="382">
        <v>1.0</v>
      </c>
    </row>
    <row r="1810">
      <c r="A1810" s="380" t="s">
        <v>2672</v>
      </c>
      <c r="B1810" s="380" t="str">
        <f>IFERROR(__xludf.DUMMYFUNCTION("""COMPUTED_VALUE"""),"Aym Nevera")</f>
        <v>Aym Nevera</v>
      </c>
      <c r="C1810" s="380" t="str">
        <f>IFERROR(__xludf.DUMMYFUNCTION("""COMPUTED_VALUE"""),"20000026")</f>
        <v>20000026</v>
      </c>
      <c r="D1810" s="380" t="s">
        <v>767</v>
      </c>
      <c r="E1810" s="380" t="s">
        <v>2663</v>
      </c>
      <c r="F1810" s="380" t="s">
        <v>2669</v>
      </c>
      <c r="G1810" s="380" t="s">
        <v>1267</v>
      </c>
      <c r="H1810" s="380" t="s">
        <v>771</v>
      </c>
      <c r="I1810" s="380" t="s">
        <v>2670</v>
      </c>
      <c r="J1810" s="380" t="s">
        <v>773</v>
      </c>
      <c r="K1810" s="381">
        <v>0.0</v>
      </c>
      <c r="L1810" s="382">
        <v>1.0</v>
      </c>
    </row>
    <row r="1811">
      <c r="A1811" s="380" t="s">
        <v>2673</v>
      </c>
      <c r="B1811" s="380" t="str">
        <f>IFERROR(__xludf.DUMMYFUNCTION("""COMPUTED_VALUE"""),"Aym Ventilador De Torre")</f>
        <v>Aym Ventilador De Torre</v>
      </c>
      <c r="C1811" s="380" t="str">
        <f>IFERROR(__xludf.DUMMYFUNCTION("""COMPUTED_VALUE"""),"20000027")</f>
        <v>20000027</v>
      </c>
      <c r="D1811" s="380" t="s">
        <v>767</v>
      </c>
      <c r="E1811" s="380" t="s">
        <v>2663</v>
      </c>
      <c r="F1811" s="380" t="s">
        <v>2669</v>
      </c>
      <c r="G1811" s="380" t="s">
        <v>1267</v>
      </c>
      <c r="H1811" s="380" t="s">
        <v>771</v>
      </c>
      <c r="I1811" s="380" t="s">
        <v>2670</v>
      </c>
      <c r="J1811" s="380" t="s">
        <v>773</v>
      </c>
      <c r="K1811" s="381">
        <v>0.0</v>
      </c>
      <c r="L1811" s="382">
        <v>1.0</v>
      </c>
    </row>
    <row r="1812">
      <c r="A1812" s="380" t="s">
        <v>2674</v>
      </c>
      <c r="B1812" s="380" t="str">
        <f>IFERROR(__xludf.DUMMYFUNCTION("""COMPUTED_VALUE"""),"Aym Freidora Electrica")</f>
        <v>Aym Freidora Electrica</v>
      </c>
      <c r="C1812" s="380" t="str">
        <f>IFERROR(__xludf.DUMMYFUNCTION("""COMPUTED_VALUE"""),"20000028")</f>
        <v>20000028</v>
      </c>
      <c r="D1812" s="380" t="s">
        <v>767</v>
      </c>
      <c r="E1812" s="380" t="s">
        <v>2663</v>
      </c>
      <c r="F1812" s="380" t="s">
        <v>2669</v>
      </c>
      <c r="G1812" s="380" t="s">
        <v>1267</v>
      </c>
      <c r="H1812" s="380" t="s">
        <v>771</v>
      </c>
      <c r="I1812" s="380" t="s">
        <v>2670</v>
      </c>
      <c r="J1812" s="380" t="s">
        <v>773</v>
      </c>
      <c r="K1812" s="381">
        <v>0.0</v>
      </c>
      <c r="L1812" s="382">
        <v>1.0</v>
      </c>
    </row>
    <row r="1813">
      <c r="A1813" s="380" t="s">
        <v>2675</v>
      </c>
      <c r="B1813" s="380" t="str">
        <f>IFERROR(__xludf.DUMMYFUNCTION("""COMPUTED_VALUE"""),"Horno Tostador Campaña ayuda mutua")</f>
        <v>Horno Tostador Campaña ayuda mutua</v>
      </c>
      <c r="C1813" s="380" t="str">
        <f>IFERROR(__xludf.DUMMYFUNCTION("""COMPUTED_VALUE"""),"20000029")</f>
        <v>20000029</v>
      </c>
      <c r="D1813" s="380" t="s">
        <v>767</v>
      </c>
      <c r="E1813" s="380" t="s">
        <v>2663</v>
      </c>
      <c r="F1813" s="380" t="s">
        <v>2669</v>
      </c>
      <c r="G1813" s="380" t="s">
        <v>1267</v>
      </c>
      <c r="H1813" s="380" t="s">
        <v>771</v>
      </c>
      <c r="I1813" s="380" t="s">
        <v>2670</v>
      </c>
      <c r="J1813" s="380" t="s">
        <v>773</v>
      </c>
      <c r="K1813" s="381">
        <v>0.0</v>
      </c>
      <c r="L1813" s="382">
        <v>1.0</v>
      </c>
    </row>
    <row r="1814">
      <c r="A1814" s="380" t="s">
        <v>2676</v>
      </c>
      <c r="B1814" s="380" t="str">
        <f>IFERROR(__xludf.DUMMYFUNCTION("""COMPUTED_VALUE"""),"Aym Horno Microondas")</f>
        <v>Aym Horno Microondas</v>
      </c>
      <c r="C1814" s="380" t="str">
        <f>IFERROR(__xludf.DUMMYFUNCTION("""COMPUTED_VALUE"""),"20000030")</f>
        <v>20000030</v>
      </c>
      <c r="D1814" s="380" t="s">
        <v>767</v>
      </c>
      <c r="E1814" s="380" t="s">
        <v>2663</v>
      </c>
      <c r="F1814" s="380" t="s">
        <v>2669</v>
      </c>
      <c r="G1814" s="380" t="s">
        <v>1267</v>
      </c>
      <c r="H1814" s="380" t="s">
        <v>771</v>
      </c>
      <c r="I1814" s="380" t="s">
        <v>2670</v>
      </c>
      <c r="J1814" s="380" t="s">
        <v>773</v>
      </c>
      <c r="K1814" s="381">
        <v>0.0</v>
      </c>
      <c r="L1814" s="382">
        <v>1.0</v>
      </c>
    </row>
    <row r="1815">
      <c r="A1815" s="380" t="s">
        <v>2677</v>
      </c>
      <c r="B1815" s="380" t="str">
        <f>IFERROR(__xludf.DUMMYFUNCTION("""COMPUTED_VALUE"""),"Olla Multifuncional Aym")</f>
        <v>Olla Multifuncional Aym</v>
      </c>
      <c r="C1815" s="380" t="str">
        <f>IFERROR(__xludf.DUMMYFUNCTION("""COMPUTED_VALUE"""),"20000031")</f>
        <v>20000031</v>
      </c>
      <c r="D1815" s="380" t="s">
        <v>767</v>
      </c>
      <c r="E1815" s="380" t="s">
        <v>2663</v>
      </c>
      <c r="F1815" s="380" t="s">
        <v>2669</v>
      </c>
      <c r="G1815" s="380" t="s">
        <v>1267</v>
      </c>
      <c r="H1815" s="380" t="s">
        <v>771</v>
      </c>
      <c r="I1815" s="380" t="s">
        <v>2670</v>
      </c>
      <c r="J1815" s="380" t="s">
        <v>773</v>
      </c>
      <c r="K1815" s="381">
        <v>0.0</v>
      </c>
      <c r="L1815" s="382">
        <v>1.0</v>
      </c>
    </row>
    <row r="1816">
      <c r="A1816" s="380" t="s">
        <v>2678</v>
      </c>
      <c r="B1816" s="380" t="str">
        <f>IFERROR(__xludf.DUMMYFUNCTION("""COMPUTED_VALUE"""),"Enfriador De Aire Aym")</f>
        <v>Enfriador De Aire Aym</v>
      </c>
      <c r="C1816" s="380" t="str">
        <f>IFERROR(__xludf.DUMMYFUNCTION("""COMPUTED_VALUE"""),"20000032")</f>
        <v>20000032</v>
      </c>
      <c r="D1816" s="380" t="s">
        <v>767</v>
      </c>
      <c r="E1816" s="380" t="s">
        <v>2663</v>
      </c>
      <c r="F1816" s="380" t="s">
        <v>2669</v>
      </c>
      <c r="G1816" s="380" t="s">
        <v>1267</v>
      </c>
      <c r="H1816" s="380" t="s">
        <v>771</v>
      </c>
      <c r="I1816" s="380" t="s">
        <v>2670</v>
      </c>
      <c r="J1816" s="380" t="s">
        <v>773</v>
      </c>
      <c r="K1816" s="381">
        <v>0.0</v>
      </c>
      <c r="L1816" s="382">
        <v>1.0</v>
      </c>
    </row>
    <row r="1817">
      <c r="A1817" s="380" t="s">
        <v>2679</v>
      </c>
      <c r="B1817" s="380" t="str">
        <f>IFERROR(__xludf.DUMMYFUNCTION("""COMPUTED_VALUE"""),"Aym Colchon")</f>
        <v>Aym Colchon</v>
      </c>
      <c r="C1817" s="380" t="str">
        <f>IFERROR(__xludf.DUMMYFUNCTION("""COMPUTED_VALUE"""),"20000033")</f>
        <v>20000033</v>
      </c>
      <c r="D1817" s="380" t="s">
        <v>767</v>
      </c>
      <c r="E1817" s="380" t="s">
        <v>2663</v>
      </c>
      <c r="F1817" s="380" t="s">
        <v>2669</v>
      </c>
      <c r="G1817" s="380" t="s">
        <v>1267</v>
      </c>
      <c r="H1817" s="380" t="s">
        <v>771</v>
      </c>
      <c r="I1817" s="380" t="s">
        <v>2670</v>
      </c>
      <c r="J1817" s="380" t="s">
        <v>773</v>
      </c>
      <c r="K1817" s="381">
        <v>0.0</v>
      </c>
      <c r="L1817" s="382">
        <v>1.0</v>
      </c>
    </row>
    <row r="1818">
      <c r="A1818" s="380" t="s">
        <v>2680</v>
      </c>
      <c r="B1818" s="380" t="str">
        <f>IFERROR(__xludf.DUMMYFUNCTION("""COMPUTED_VALUE"""),"Aym Televisor")</f>
        <v>Aym Televisor</v>
      </c>
      <c r="C1818" s="380" t="str">
        <f>IFERROR(__xludf.DUMMYFUNCTION("""COMPUTED_VALUE"""),"20000034")</f>
        <v>20000034</v>
      </c>
      <c r="D1818" s="380" t="s">
        <v>767</v>
      </c>
      <c r="E1818" s="380" t="s">
        <v>2663</v>
      </c>
      <c r="F1818" s="380" t="s">
        <v>2669</v>
      </c>
      <c r="G1818" s="380" t="s">
        <v>1267</v>
      </c>
      <c r="H1818" s="380" t="s">
        <v>771</v>
      </c>
      <c r="I1818" s="380" t="s">
        <v>2670</v>
      </c>
      <c r="J1818" s="380" t="s">
        <v>773</v>
      </c>
      <c r="K1818" s="381">
        <v>0.0</v>
      </c>
      <c r="L1818" s="382">
        <v>1.0</v>
      </c>
    </row>
    <row r="1819">
      <c r="A1819" s="380" t="s">
        <v>2681</v>
      </c>
      <c r="B1819" s="380" t="str">
        <f>IFERROR(__xludf.DUMMYFUNCTION("""COMPUTED_VALUE"""),"Aym Portatil")</f>
        <v>Aym Portatil</v>
      </c>
      <c r="C1819" s="380" t="str">
        <f>IFERROR(__xludf.DUMMYFUNCTION("""COMPUTED_VALUE"""),"20000035")</f>
        <v>20000035</v>
      </c>
      <c r="D1819" s="380" t="s">
        <v>767</v>
      </c>
      <c r="E1819" s="380" t="s">
        <v>2663</v>
      </c>
      <c r="F1819" s="380" t="s">
        <v>2669</v>
      </c>
      <c r="G1819" s="380" t="s">
        <v>1267</v>
      </c>
      <c r="H1819" s="380" t="s">
        <v>771</v>
      </c>
      <c r="I1819" s="380" t="s">
        <v>2670</v>
      </c>
      <c r="J1819" s="380" t="s">
        <v>773</v>
      </c>
      <c r="K1819" s="381">
        <v>0.0</v>
      </c>
      <c r="L1819" s="382">
        <v>1.0</v>
      </c>
    </row>
    <row r="1820">
      <c r="A1820" s="380" t="s">
        <v>2682</v>
      </c>
      <c r="B1820" s="380" t="str">
        <f>IFERROR(__xludf.DUMMYFUNCTION("""COMPUTED_VALUE"""),"Set Accesorios Bbq Regalos Empleados")</f>
        <v>Set Accesorios Bbq Regalos Empleados</v>
      </c>
      <c r="C1820" s="380" t="str">
        <f>IFERROR(__xludf.DUMMYFUNCTION("""COMPUTED_VALUE"""),"20000036")</f>
        <v>20000036</v>
      </c>
      <c r="D1820" s="380" t="s">
        <v>767</v>
      </c>
      <c r="E1820" s="380" t="s">
        <v>2663</v>
      </c>
      <c r="F1820" s="380" t="s">
        <v>1275</v>
      </c>
      <c r="G1820" s="380" t="s">
        <v>1267</v>
      </c>
      <c r="H1820" s="380" t="s">
        <v>771</v>
      </c>
      <c r="I1820" s="380" t="s">
        <v>2664</v>
      </c>
      <c r="J1820" s="380" t="s">
        <v>773</v>
      </c>
      <c r="K1820" s="381">
        <v>0.0</v>
      </c>
      <c r="L1820" s="382">
        <v>1.0</v>
      </c>
    </row>
    <row r="1821">
      <c r="A1821" s="380" t="s">
        <v>2683</v>
      </c>
      <c r="B1821" s="380" t="str">
        <f>IFERROR(__xludf.DUMMYFUNCTION("""COMPUTED_VALUE"""),"Sartén Eléctrico Regalos Empleados")</f>
        <v>Sartén Eléctrico Regalos Empleados</v>
      </c>
      <c r="C1821" s="380" t="str">
        <f>IFERROR(__xludf.DUMMYFUNCTION("""COMPUTED_VALUE"""),"20000037")</f>
        <v>20000037</v>
      </c>
      <c r="D1821" s="380" t="s">
        <v>767</v>
      </c>
      <c r="E1821" s="380" t="s">
        <v>2663</v>
      </c>
      <c r="F1821" s="380" t="s">
        <v>1275</v>
      </c>
      <c r="G1821" s="380" t="s">
        <v>1267</v>
      </c>
      <c r="H1821" s="380" t="s">
        <v>771</v>
      </c>
      <c r="I1821" s="380" t="s">
        <v>2664</v>
      </c>
      <c r="J1821" s="380" t="s">
        <v>773</v>
      </c>
      <c r="K1821" s="381">
        <v>0.0</v>
      </c>
      <c r="L1821" s="382">
        <v>1.0</v>
      </c>
    </row>
    <row r="1822">
      <c r="A1822" s="380" t="s">
        <v>2684</v>
      </c>
      <c r="B1822" s="380" t="str">
        <f>IFERROR(__xludf.DUMMYFUNCTION("""COMPUTED_VALUE"""),"Plancha Grill Regalos Empleados")</f>
        <v>Plancha Grill Regalos Empleados</v>
      </c>
      <c r="C1822" s="380" t="str">
        <f>IFERROR(__xludf.DUMMYFUNCTION("""COMPUTED_VALUE"""),"20000038")</f>
        <v>20000038</v>
      </c>
      <c r="D1822" s="380" t="s">
        <v>767</v>
      </c>
      <c r="E1822" s="380" t="s">
        <v>2663</v>
      </c>
      <c r="F1822" s="380" t="s">
        <v>1275</v>
      </c>
      <c r="G1822" s="380" t="s">
        <v>1267</v>
      </c>
      <c r="H1822" s="380" t="s">
        <v>771</v>
      </c>
      <c r="I1822" s="380" t="s">
        <v>2664</v>
      </c>
      <c r="J1822" s="380" t="s">
        <v>773</v>
      </c>
      <c r="K1822" s="381">
        <v>0.0</v>
      </c>
      <c r="L1822" s="382">
        <v>1.0</v>
      </c>
    </row>
    <row r="1823">
      <c r="A1823" s="380" t="s">
        <v>2685</v>
      </c>
      <c r="B1823" s="380" t="str">
        <f>IFERROR(__xludf.DUMMYFUNCTION("""COMPUTED_VALUE"""),"Prensa Francesa")</f>
        <v>Prensa Francesa</v>
      </c>
      <c r="C1823" s="380" t="str">
        <f>IFERROR(__xludf.DUMMYFUNCTION("""COMPUTED_VALUE"""),"20000039")</f>
        <v>20000039</v>
      </c>
      <c r="D1823" s="380" t="s">
        <v>767</v>
      </c>
      <c r="E1823" s="380" t="s">
        <v>2663</v>
      </c>
      <c r="F1823" s="380" t="s">
        <v>1275</v>
      </c>
      <c r="G1823" s="380" t="s">
        <v>1267</v>
      </c>
      <c r="H1823" s="380" t="s">
        <v>771</v>
      </c>
      <c r="I1823" s="380" t="s">
        <v>2664</v>
      </c>
      <c r="J1823" s="380" t="s">
        <v>773</v>
      </c>
      <c r="K1823" s="381">
        <v>0.0</v>
      </c>
      <c r="L1823" s="382">
        <v>1.0</v>
      </c>
    </row>
    <row r="1824">
      <c r="A1824" s="380" t="s">
        <v>2686</v>
      </c>
      <c r="B1824" s="380" t="str">
        <f>IFERROR(__xludf.DUMMYFUNCTION("""COMPUTED_VALUE"""),"Libreta Generica")</f>
        <v>Libreta Generica</v>
      </c>
      <c r="C1824" s="380" t="str">
        <f>IFERROR(__xludf.DUMMYFUNCTION("""COMPUTED_VALUE"""),"20000040")</f>
        <v>20000040</v>
      </c>
      <c r="D1824" s="380" t="s">
        <v>767</v>
      </c>
      <c r="E1824" s="380" t="s">
        <v>2663</v>
      </c>
      <c r="F1824" s="380" t="s">
        <v>1275</v>
      </c>
      <c r="G1824" s="380" t="s">
        <v>1267</v>
      </c>
      <c r="H1824" s="380" t="s">
        <v>771</v>
      </c>
      <c r="I1824" s="380" t="s">
        <v>2664</v>
      </c>
      <c r="J1824" s="380" t="s">
        <v>773</v>
      </c>
      <c r="K1824" s="381">
        <v>15955.0</v>
      </c>
      <c r="L1824" s="382">
        <v>1.0</v>
      </c>
    </row>
    <row r="1825">
      <c r="A1825" s="380" t="s">
        <v>2687</v>
      </c>
      <c r="B1825" s="380" t="str">
        <f>IFERROR(__xludf.DUMMYFUNCTION("""COMPUTED_VALUE"""),"Obsequio Rifas Fin De Año Set Cubiertos")</f>
        <v>Obsequio Rifas Fin De Año Set Cubiertos</v>
      </c>
      <c r="C1825" s="380" t="str">
        <f>IFERROR(__xludf.DUMMYFUNCTION("""COMPUTED_VALUE"""),"20000041")</f>
        <v>20000041</v>
      </c>
      <c r="D1825" s="380" t="s">
        <v>767</v>
      </c>
      <c r="E1825" s="380" t="s">
        <v>2663</v>
      </c>
      <c r="F1825" s="380" t="s">
        <v>1275</v>
      </c>
      <c r="G1825" s="380" t="s">
        <v>1267</v>
      </c>
      <c r="H1825" s="380" t="s">
        <v>771</v>
      </c>
      <c r="I1825" s="380" t="s">
        <v>2664</v>
      </c>
      <c r="J1825" s="380" t="s">
        <v>773</v>
      </c>
      <c r="K1825" s="381">
        <v>0.0</v>
      </c>
      <c r="L1825" s="382">
        <v>1.0</v>
      </c>
    </row>
    <row r="1826">
      <c r="A1826" s="380" t="s">
        <v>2688</v>
      </c>
      <c r="B1826" s="380" t="str">
        <f>IFERROR(__xludf.DUMMYFUNCTION("""COMPUTED_VALUE"""),"Obsequio Rifas Fin De Año Olla Arrocera")</f>
        <v>Obsequio Rifas Fin De Año Olla Arrocera</v>
      </c>
      <c r="C1826" s="380" t="str">
        <f>IFERROR(__xludf.DUMMYFUNCTION("""COMPUTED_VALUE"""),"20000042")</f>
        <v>20000042</v>
      </c>
      <c r="D1826" s="380" t="s">
        <v>767</v>
      </c>
      <c r="E1826" s="380" t="s">
        <v>2663</v>
      </c>
      <c r="F1826" s="380" t="s">
        <v>1275</v>
      </c>
      <c r="G1826" s="380" t="s">
        <v>1267</v>
      </c>
      <c r="H1826" s="380" t="s">
        <v>771</v>
      </c>
      <c r="I1826" s="380" t="s">
        <v>2664</v>
      </c>
      <c r="J1826" s="380" t="s">
        <v>773</v>
      </c>
      <c r="K1826" s="381">
        <v>0.0</v>
      </c>
      <c r="L1826" s="382">
        <v>1.0</v>
      </c>
    </row>
    <row r="1827">
      <c r="A1827" s="380" t="s">
        <v>2689</v>
      </c>
      <c r="B1827" s="380" t="str">
        <f>IFERROR(__xludf.DUMMYFUNCTION("""COMPUTED_VALUE"""),"Obsequio Rif Fin De Año Sarten Electrico")</f>
        <v>Obsequio Rif Fin De Año Sarten Electrico</v>
      </c>
      <c r="C1827" s="380" t="str">
        <f>IFERROR(__xludf.DUMMYFUNCTION("""COMPUTED_VALUE"""),"20000043")</f>
        <v>20000043</v>
      </c>
      <c r="D1827" s="380" t="s">
        <v>767</v>
      </c>
      <c r="E1827" s="380" t="s">
        <v>2663</v>
      </c>
      <c r="F1827" s="380" t="s">
        <v>1275</v>
      </c>
      <c r="G1827" s="380" t="s">
        <v>1267</v>
      </c>
      <c r="H1827" s="380" t="s">
        <v>771</v>
      </c>
      <c r="I1827" s="380" t="s">
        <v>2664</v>
      </c>
      <c r="J1827" s="380" t="s">
        <v>773</v>
      </c>
      <c r="K1827" s="381">
        <v>0.0</v>
      </c>
      <c r="L1827" s="382">
        <v>1.0</v>
      </c>
    </row>
    <row r="1828">
      <c r="A1828" s="380" t="s">
        <v>2690</v>
      </c>
      <c r="B1828" s="380" t="str">
        <f>IFERROR(__xludf.DUMMYFUNCTION("""COMPUTED_VALUE"""),"Obsequio Rifas Fin De Año Licuadora")</f>
        <v>Obsequio Rifas Fin De Año Licuadora</v>
      </c>
      <c r="C1828" s="380" t="str">
        <f>IFERROR(__xludf.DUMMYFUNCTION("""COMPUTED_VALUE"""),"20000044")</f>
        <v>20000044</v>
      </c>
      <c r="D1828" s="380" t="s">
        <v>767</v>
      </c>
      <c r="E1828" s="380" t="s">
        <v>2663</v>
      </c>
      <c r="F1828" s="380" t="s">
        <v>1275</v>
      </c>
      <c r="G1828" s="380" t="s">
        <v>1267</v>
      </c>
      <c r="H1828" s="380" t="s">
        <v>771</v>
      </c>
      <c r="I1828" s="380" t="s">
        <v>2664</v>
      </c>
      <c r="J1828" s="380" t="s">
        <v>773</v>
      </c>
      <c r="K1828" s="381">
        <v>0.0</v>
      </c>
      <c r="L1828" s="382">
        <v>1.0</v>
      </c>
    </row>
    <row r="1829">
      <c r="A1829" s="380" t="s">
        <v>2691</v>
      </c>
      <c r="B1829" s="380" t="str">
        <f>IFERROR(__xludf.DUMMYFUNCTION("""COMPUTED_VALUE"""),"Obsequio Rifas Fin De Año Feidora")</f>
        <v>Obsequio Rifas Fin De Año Feidora</v>
      </c>
      <c r="C1829" s="380" t="str">
        <f>IFERROR(__xludf.DUMMYFUNCTION("""COMPUTED_VALUE"""),"20000045")</f>
        <v>20000045</v>
      </c>
      <c r="D1829" s="380" t="s">
        <v>767</v>
      </c>
      <c r="E1829" s="380" t="s">
        <v>2663</v>
      </c>
      <c r="F1829" s="380" t="s">
        <v>1275</v>
      </c>
      <c r="G1829" s="380" t="s">
        <v>1267</v>
      </c>
      <c r="H1829" s="380" t="s">
        <v>771</v>
      </c>
      <c r="I1829" s="380" t="s">
        <v>2664</v>
      </c>
      <c r="J1829" s="380" t="s">
        <v>773</v>
      </c>
      <c r="K1829" s="381">
        <v>0.0</v>
      </c>
      <c r="L1829" s="382">
        <v>1.0</v>
      </c>
    </row>
    <row r="1830">
      <c r="A1830" s="380" t="s">
        <v>2692</v>
      </c>
      <c r="B1830" s="380" t="str">
        <f>IFERROR(__xludf.DUMMYFUNCTION("""COMPUTED_VALUE"""),"Obsequio Rifas Fin De Año Cafetera")</f>
        <v>Obsequio Rifas Fin De Año Cafetera</v>
      </c>
      <c r="C1830" s="380" t="str">
        <f>IFERROR(__xludf.DUMMYFUNCTION("""COMPUTED_VALUE"""),"20000046")</f>
        <v>20000046</v>
      </c>
      <c r="D1830" s="380" t="s">
        <v>767</v>
      </c>
      <c r="E1830" s="380" t="s">
        <v>2663</v>
      </c>
      <c r="F1830" s="380" t="s">
        <v>1275</v>
      </c>
      <c r="G1830" s="380" t="s">
        <v>1267</v>
      </c>
      <c r="H1830" s="380" t="s">
        <v>771</v>
      </c>
      <c r="I1830" s="380" t="s">
        <v>2664</v>
      </c>
      <c r="J1830" s="380" t="s">
        <v>773</v>
      </c>
      <c r="K1830" s="381">
        <v>0.0</v>
      </c>
      <c r="L1830" s="382">
        <v>1.0</v>
      </c>
    </row>
    <row r="1831">
      <c r="A1831" s="380" t="s">
        <v>2693</v>
      </c>
      <c r="B1831" s="380" t="str">
        <f>IFERROR(__xludf.DUMMYFUNCTION("""COMPUTED_VALUE"""),"Obsequio Rifas Fin De Año Vajilla")</f>
        <v>Obsequio Rifas Fin De Año Vajilla</v>
      </c>
      <c r="C1831" s="380" t="str">
        <f>IFERROR(__xludf.DUMMYFUNCTION("""COMPUTED_VALUE"""),"20000047")</f>
        <v>20000047</v>
      </c>
      <c r="D1831" s="380" t="s">
        <v>767</v>
      </c>
      <c r="E1831" s="380" t="s">
        <v>2663</v>
      </c>
      <c r="F1831" s="380" t="s">
        <v>1275</v>
      </c>
      <c r="G1831" s="380" t="s">
        <v>1267</v>
      </c>
      <c r="H1831" s="380" t="s">
        <v>771</v>
      </c>
      <c r="I1831" s="380" t="s">
        <v>2664</v>
      </c>
      <c r="J1831" s="380" t="s">
        <v>773</v>
      </c>
      <c r="K1831" s="381">
        <v>0.0</v>
      </c>
      <c r="L1831" s="382">
        <v>1.0</v>
      </c>
    </row>
    <row r="1832">
      <c r="A1832" s="380" t="s">
        <v>2694</v>
      </c>
      <c r="B1832" s="380" t="str">
        <f>IFERROR(__xludf.DUMMYFUNCTION("""COMPUTED_VALUE"""),"Obsequio Rifas Fin De Año Olla Presion")</f>
        <v>Obsequio Rifas Fin De Año Olla Presion</v>
      </c>
      <c r="C1832" s="380" t="str">
        <f>IFERROR(__xludf.DUMMYFUNCTION("""COMPUTED_VALUE"""),"20000048")</f>
        <v>20000048</v>
      </c>
      <c r="D1832" s="380" t="s">
        <v>767</v>
      </c>
      <c r="E1832" s="380" t="s">
        <v>2663</v>
      </c>
      <c r="F1832" s="380" t="s">
        <v>1275</v>
      </c>
      <c r="G1832" s="380" t="s">
        <v>1267</v>
      </c>
      <c r="H1832" s="380" t="s">
        <v>771</v>
      </c>
      <c r="I1832" s="380" t="s">
        <v>2664</v>
      </c>
      <c r="J1832" s="380" t="s">
        <v>773</v>
      </c>
      <c r="K1832" s="381">
        <v>0.0</v>
      </c>
      <c r="L1832" s="382">
        <v>1.0</v>
      </c>
    </row>
    <row r="1833">
      <c r="A1833" s="380" t="s">
        <v>2695</v>
      </c>
      <c r="B1833" s="380" t="str">
        <f>IFERROR(__xludf.DUMMYFUNCTION("""COMPUTED_VALUE"""),"Obsequio Rifas Fin De Año Picatodo")</f>
        <v>Obsequio Rifas Fin De Año Picatodo</v>
      </c>
      <c r="C1833" s="380" t="str">
        <f>IFERROR(__xludf.DUMMYFUNCTION("""COMPUTED_VALUE"""),"20000049")</f>
        <v>20000049</v>
      </c>
      <c r="D1833" s="380" t="s">
        <v>767</v>
      </c>
      <c r="E1833" s="380" t="s">
        <v>2663</v>
      </c>
      <c r="F1833" s="380" t="s">
        <v>1275</v>
      </c>
      <c r="G1833" s="380" t="s">
        <v>1267</v>
      </c>
      <c r="H1833" s="380" t="s">
        <v>771</v>
      </c>
      <c r="I1833" s="380" t="s">
        <v>2664</v>
      </c>
      <c r="J1833" s="380" t="s">
        <v>773</v>
      </c>
      <c r="K1833" s="381">
        <v>0.0</v>
      </c>
      <c r="L1833" s="382">
        <v>1.0</v>
      </c>
    </row>
    <row r="1834">
      <c r="A1834" s="380" t="s">
        <v>2696</v>
      </c>
      <c r="B1834" s="380" t="str">
        <f>IFERROR(__xludf.DUMMYFUNCTION("""COMPUTED_VALUE"""),"Obsequio Rifas Fin De Año Ventilador")</f>
        <v>Obsequio Rifas Fin De Año Ventilador</v>
      </c>
      <c r="C1834" s="380" t="str">
        <f>IFERROR(__xludf.DUMMYFUNCTION("""COMPUTED_VALUE"""),"20000050")</f>
        <v>20000050</v>
      </c>
      <c r="D1834" s="380" t="s">
        <v>767</v>
      </c>
      <c r="E1834" s="380" t="s">
        <v>2663</v>
      </c>
      <c r="F1834" s="380" t="s">
        <v>1275</v>
      </c>
      <c r="G1834" s="380" t="s">
        <v>1267</v>
      </c>
      <c r="H1834" s="380" t="s">
        <v>771</v>
      </c>
      <c r="I1834" s="380" t="s">
        <v>2664</v>
      </c>
      <c r="J1834" s="380" t="s">
        <v>773</v>
      </c>
      <c r="K1834" s="381">
        <v>0.0</v>
      </c>
      <c r="L1834" s="382">
        <v>1.0</v>
      </c>
    </row>
    <row r="1835">
      <c r="A1835" s="380" t="s">
        <v>2697</v>
      </c>
      <c r="B1835" s="380" t="str">
        <f>IFERROR(__xludf.DUMMYFUNCTION("""COMPUTED_VALUE"""),"Obsequio Rifas Fin De Año Set Sarten")</f>
        <v>Obsequio Rifas Fin De Año Set Sarten</v>
      </c>
      <c r="C1835" s="380" t="str">
        <f>IFERROR(__xludf.DUMMYFUNCTION("""COMPUTED_VALUE"""),"20000051")</f>
        <v>20000051</v>
      </c>
      <c r="D1835" s="380" t="s">
        <v>767</v>
      </c>
      <c r="E1835" s="380" t="s">
        <v>2663</v>
      </c>
      <c r="F1835" s="380" t="s">
        <v>1275</v>
      </c>
      <c r="G1835" s="380" t="s">
        <v>1267</v>
      </c>
      <c r="H1835" s="380" t="s">
        <v>771</v>
      </c>
      <c r="I1835" s="380" t="s">
        <v>2664</v>
      </c>
      <c r="J1835" s="380" t="s">
        <v>773</v>
      </c>
      <c r="K1835" s="381">
        <v>0.0</v>
      </c>
      <c r="L1835" s="382">
        <v>1.0</v>
      </c>
    </row>
    <row r="1836">
      <c r="A1836" s="380" t="s">
        <v>2698</v>
      </c>
      <c r="B1836" s="380" t="str">
        <f>IFERROR(__xludf.DUMMYFUNCTION("""COMPUTED_VALUE"""),"Arbol Navideño")</f>
        <v>Arbol Navideño</v>
      </c>
      <c r="C1836" s="380" t="str">
        <f>IFERROR(__xludf.DUMMYFUNCTION("""COMPUTED_VALUE"""),"20000052")</f>
        <v>20000052</v>
      </c>
      <c r="D1836" s="380" t="s">
        <v>767</v>
      </c>
      <c r="E1836" s="380" t="s">
        <v>2663</v>
      </c>
      <c r="F1836" s="380" t="s">
        <v>1275</v>
      </c>
      <c r="G1836" s="380" t="s">
        <v>1267</v>
      </c>
      <c r="H1836" s="380" t="s">
        <v>771</v>
      </c>
      <c r="I1836" s="380" t="s">
        <v>2664</v>
      </c>
      <c r="J1836" s="380" t="s">
        <v>773</v>
      </c>
      <c r="K1836" s="381">
        <v>0.0</v>
      </c>
      <c r="L1836" s="382">
        <v>1.0</v>
      </c>
    </row>
    <row r="1837">
      <c r="A1837" s="380" t="s">
        <v>2699</v>
      </c>
      <c r="B1837" s="380" t="str">
        <f>IFERROR(__xludf.DUMMYFUNCTION("""COMPUTED_VALUE"""),"Obsequio Aliado Goo")</f>
        <v>Obsequio Aliado Goo</v>
      </c>
      <c r="C1837" s="380" t="str">
        <f>IFERROR(__xludf.DUMMYFUNCTION("""COMPUTED_VALUE"""),"20000053")</f>
        <v>20000053</v>
      </c>
      <c r="D1837" s="380" t="s">
        <v>767</v>
      </c>
      <c r="E1837" s="380" t="s">
        <v>2663</v>
      </c>
      <c r="F1837" s="380" t="s">
        <v>1275</v>
      </c>
      <c r="G1837" s="380" t="s">
        <v>1267</v>
      </c>
      <c r="H1837" s="380" t="s">
        <v>771</v>
      </c>
      <c r="I1837" s="380" t="s">
        <v>2664</v>
      </c>
      <c r="J1837" s="380" t="s">
        <v>773</v>
      </c>
      <c r="K1837" s="381">
        <v>18087.0</v>
      </c>
      <c r="L1837" s="382">
        <v>1.0</v>
      </c>
    </row>
    <row r="1838">
      <c r="A1838" s="380" t="s">
        <v>2700</v>
      </c>
      <c r="B1838" s="380" t="str">
        <f>IFERROR(__xludf.DUMMYFUNCTION("""COMPUTED_VALUE"""),"Juego De Cuchillos")</f>
        <v>Juego De Cuchillos</v>
      </c>
      <c r="C1838" s="380" t="str">
        <f>IFERROR(__xludf.DUMMYFUNCTION("""COMPUTED_VALUE"""),"20000054")</f>
        <v>20000054</v>
      </c>
      <c r="D1838" s="380" t="s">
        <v>767</v>
      </c>
      <c r="E1838" s="380" t="s">
        <v>2663</v>
      </c>
      <c r="F1838" s="380" t="s">
        <v>1275</v>
      </c>
      <c r="G1838" s="380" t="s">
        <v>1267</v>
      </c>
      <c r="H1838" s="380" t="s">
        <v>771</v>
      </c>
      <c r="I1838" s="380" t="s">
        <v>2664</v>
      </c>
      <c r="J1838" s="380" t="s">
        <v>773</v>
      </c>
      <c r="K1838" s="381">
        <v>0.0</v>
      </c>
      <c r="L1838" s="382">
        <v>1.0</v>
      </c>
    </row>
    <row r="1839">
      <c r="A1839" s="380" t="s">
        <v>2701</v>
      </c>
      <c r="B1839" s="380" t="str">
        <f>IFERROR(__xludf.DUMMYFUNCTION("""COMPUTED_VALUE"""),"Obsequio Especial Dh")</f>
        <v>Obsequio Especial Dh</v>
      </c>
      <c r="C1839" s="380" t="str">
        <f>IFERROR(__xludf.DUMMYFUNCTION("""COMPUTED_VALUE"""),"20000055")</f>
        <v>20000055</v>
      </c>
      <c r="D1839" s="380" t="s">
        <v>767</v>
      </c>
      <c r="E1839" s="380" t="s">
        <v>2663</v>
      </c>
      <c r="F1839" s="380" t="s">
        <v>1275</v>
      </c>
      <c r="G1839" s="380" t="s">
        <v>1267</v>
      </c>
      <c r="H1839" s="380" t="s">
        <v>771</v>
      </c>
      <c r="I1839" s="380" t="s">
        <v>2664</v>
      </c>
      <c r="J1839" s="380" t="s">
        <v>773</v>
      </c>
      <c r="K1839" s="381">
        <v>1452.0</v>
      </c>
      <c r="L1839" s="382">
        <v>1.0</v>
      </c>
    </row>
    <row r="1840">
      <c r="A1840" s="380" t="s">
        <v>2702</v>
      </c>
      <c r="B1840" s="380" t="str">
        <f>IFERROR(__xludf.DUMMYFUNCTION("""COMPUTED_VALUE"""),"Reloj Smart - Estrategia Vive +")</f>
        <v>Reloj Smart - Estrategia Vive +</v>
      </c>
      <c r="C1840" s="380" t="str">
        <f>IFERROR(__xludf.DUMMYFUNCTION("""COMPUTED_VALUE"""),"20000056")</f>
        <v>20000056</v>
      </c>
      <c r="D1840" s="380" t="s">
        <v>767</v>
      </c>
      <c r="E1840" s="380" t="s">
        <v>2663</v>
      </c>
      <c r="F1840" s="380" t="s">
        <v>1275</v>
      </c>
      <c r="G1840" s="380" t="s">
        <v>1267</v>
      </c>
      <c r="H1840" s="380" t="s">
        <v>771</v>
      </c>
      <c r="I1840" s="380" t="s">
        <v>2664</v>
      </c>
      <c r="J1840" s="380" t="s">
        <v>773</v>
      </c>
      <c r="K1840" s="381">
        <v>0.0</v>
      </c>
      <c r="L1840" s="382">
        <v>1.0</v>
      </c>
    </row>
    <row r="1841">
      <c r="A1841" s="380" t="s">
        <v>2703</v>
      </c>
      <c r="B1841" s="380" t="str">
        <f>IFERROR(__xludf.DUMMYFUNCTION("""COMPUTED_VALUE"""),"Papel Para Pesebre")</f>
        <v>Papel Para Pesebre</v>
      </c>
      <c r="C1841" s="380" t="str">
        <f>IFERROR(__xludf.DUMMYFUNCTION("""COMPUTED_VALUE"""),"20000057")</f>
        <v>20000057</v>
      </c>
      <c r="D1841" s="380" t="s">
        <v>767</v>
      </c>
      <c r="E1841" s="380" t="s">
        <v>2663</v>
      </c>
      <c r="F1841" s="380" t="s">
        <v>1275</v>
      </c>
      <c r="G1841" s="380" t="s">
        <v>1267</v>
      </c>
      <c r="H1841" s="380" t="s">
        <v>771</v>
      </c>
      <c r="I1841" s="380" t="s">
        <v>2664</v>
      </c>
      <c r="J1841" s="380" t="s">
        <v>773</v>
      </c>
      <c r="K1841" s="381">
        <v>0.0</v>
      </c>
      <c r="L1841" s="382">
        <v>1.0</v>
      </c>
    </row>
    <row r="1842">
      <c r="A1842" s="380" t="s">
        <v>2704</v>
      </c>
      <c r="B1842" s="380" t="str">
        <f>IFERROR(__xludf.DUMMYFUNCTION("""COMPUTED_VALUE"""),"Pesebre")</f>
        <v>Pesebre</v>
      </c>
      <c r="C1842" s="380" t="str">
        <f>IFERROR(__xludf.DUMMYFUNCTION("""COMPUTED_VALUE"""),"20000058")</f>
        <v>20000058</v>
      </c>
      <c r="D1842" s="380" t="s">
        <v>767</v>
      </c>
      <c r="E1842" s="380" t="s">
        <v>2663</v>
      </c>
      <c r="F1842" s="380" t="s">
        <v>1275</v>
      </c>
      <c r="G1842" s="380" t="s">
        <v>1267</v>
      </c>
      <c r="H1842" s="380" t="s">
        <v>771</v>
      </c>
      <c r="I1842" s="380" t="s">
        <v>2664</v>
      </c>
      <c r="J1842" s="380" t="s">
        <v>773</v>
      </c>
      <c r="K1842" s="381">
        <v>0.0</v>
      </c>
      <c r="L1842" s="382">
        <v>1.0</v>
      </c>
    </row>
    <row r="1843">
      <c r="A1843" s="380" t="s">
        <v>2705</v>
      </c>
      <c r="B1843" s="380" t="str">
        <f>IFERROR(__xludf.DUMMYFUNCTION("""COMPUTED_VALUE"""),"Guirnalda Navideña")</f>
        <v>Guirnalda Navideña</v>
      </c>
      <c r="C1843" s="380" t="str">
        <f>IFERROR(__xludf.DUMMYFUNCTION("""COMPUTED_VALUE"""),"20000059")</f>
        <v>20000059</v>
      </c>
      <c r="D1843" s="380" t="s">
        <v>767</v>
      </c>
      <c r="E1843" s="380" t="s">
        <v>2663</v>
      </c>
      <c r="F1843" s="380" t="s">
        <v>1275</v>
      </c>
      <c r="G1843" s="380" t="s">
        <v>1267</v>
      </c>
      <c r="H1843" s="380" t="s">
        <v>771</v>
      </c>
      <c r="I1843" s="380" t="s">
        <v>2664</v>
      </c>
      <c r="J1843" s="380" t="s">
        <v>773</v>
      </c>
      <c r="K1843" s="381">
        <v>0.0</v>
      </c>
      <c r="L1843" s="382">
        <v>1.0</v>
      </c>
    </row>
    <row r="1844">
      <c r="A1844" s="380" t="s">
        <v>2706</v>
      </c>
      <c r="B1844" s="380" t="str">
        <f>IFERROR(__xludf.DUMMYFUNCTION("""COMPUTED_VALUE"""),"Inflador De Bomba Manual")</f>
        <v>Inflador De Bomba Manual</v>
      </c>
      <c r="C1844" s="380" t="str">
        <f>IFERROR(__xludf.DUMMYFUNCTION("""COMPUTED_VALUE"""),"20000060")</f>
        <v>20000060</v>
      </c>
      <c r="D1844" s="380" t="s">
        <v>767</v>
      </c>
      <c r="E1844" s="380" t="s">
        <v>2663</v>
      </c>
      <c r="F1844" s="380" t="s">
        <v>1275</v>
      </c>
      <c r="G1844" s="380" t="s">
        <v>1267</v>
      </c>
      <c r="H1844" s="380" t="s">
        <v>771</v>
      </c>
      <c r="I1844" s="380" t="s">
        <v>2664</v>
      </c>
      <c r="J1844" s="380" t="s">
        <v>773</v>
      </c>
      <c r="K1844" s="381">
        <v>0.0</v>
      </c>
      <c r="L1844" s="382">
        <v>1.0</v>
      </c>
    </row>
    <row r="1845">
      <c r="A1845" s="380" t="s">
        <v>2707</v>
      </c>
      <c r="B1845" s="380" t="str">
        <f>IFERROR(__xludf.DUMMYFUNCTION("""COMPUTED_VALUE"""),"Fomi Por Pliego")</f>
        <v>Fomi Por Pliego</v>
      </c>
      <c r="C1845" s="380" t="str">
        <f>IFERROR(__xludf.DUMMYFUNCTION("""COMPUTED_VALUE"""),"20000061")</f>
        <v>20000061</v>
      </c>
      <c r="D1845" s="380" t="s">
        <v>767</v>
      </c>
      <c r="E1845" s="380" t="s">
        <v>2663</v>
      </c>
      <c r="F1845" s="380" t="s">
        <v>1275</v>
      </c>
      <c r="G1845" s="380" t="s">
        <v>1267</v>
      </c>
      <c r="H1845" s="380" t="s">
        <v>771</v>
      </c>
      <c r="I1845" s="380" t="s">
        <v>2664</v>
      </c>
      <c r="J1845" s="380" t="s">
        <v>773</v>
      </c>
      <c r="K1845" s="381">
        <v>0.0</v>
      </c>
      <c r="L1845" s="382">
        <v>1.0</v>
      </c>
    </row>
    <row r="1846">
      <c r="A1846" s="380" t="s">
        <v>2708</v>
      </c>
      <c r="B1846" s="380" t="str">
        <f>IFERROR(__xludf.DUMMYFUNCTION("""COMPUTED_VALUE"""),"Cinta Doble Faz 3/4""")</f>
        <v>Cinta Doble Faz 3/4"</v>
      </c>
      <c r="C1846" s="380" t="str">
        <f>IFERROR(__xludf.DUMMYFUNCTION("""COMPUTED_VALUE"""),"20000062")</f>
        <v>20000062</v>
      </c>
      <c r="D1846" s="380" t="s">
        <v>767</v>
      </c>
      <c r="E1846" s="380" t="s">
        <v>2663</v>
      </c>
      <c r="F1846" s="380" t="s">
        <v>1275</v>
      </c>
      <c r="G1846" s="380" t="s">
        <v>1267</v>
      </c>
      <c r="H1846" s="380" t="s">
        <v>771</v>
      </c>
      <c r="I1846" s="380" t="s">
        <v>2664</v>
      </c>
      <c r="J1846" s="380" t="s">
        <v>773</v>
      </c>
      <c r="K1846" s="381">
        <v>0.0</v>
      </c>
      <c r="L1846" s="382">
        <v>1.0</v>
      </c>
    </row>
    <row r="1847">
      <c r="A1847" s="380" t="s">
        <v>2709</v>
      </c>
      <c r="B1847" s="380" t="str">
        <f>IFERROR(__xludf.DUMMYFUNCTION("""COMPUTED_VALUE"""),"Decoracion Navideña")</f>
        <v>Decoracion Navideña</v>
      </c>
      <c r="C1847" s="380" t="str">
        <f>IFERROR(__xludf.DUMMYFUNCTION("""COMPUTED_VALUE"""),"20000063")</f>
        <v>20000063</v>
      </c>
      <c r="D1847" s="380" t="s">
        <v>767</v>
      </c>
      <c r="E1847" s="380" t="s">
        <v>2663</v>
      </c>
      <c r="F1847" s="380" t="s">
        <v>1275</v>
      </c>
      <c r="G1847" s="380" t="s">
        <v>1267</v>
      </c>
      <c r="H1847" s="380" t="s">
        <v>771</v>
      </c>
      <c r="I1847" s="380" t="s">
        <v>2664</v>
      </c>
      <c r="J1847" s="380" t="s">
        <v>773</v>
      </c>
      <c r="K1847" s="381">
        <v>0.0</v>
      </c>
      <c r="L1847" s="382">
        <v>1.0</v>
      </c>
    </row>
    <row r="1848">
      <c r="A1848" s="380" t="s">
        <v>2710</v>
      </c>
      <c r="B1848" s="380" t="str">
        <f>IFERROR(__xludf.DUMMYFUNCTION("""COMPUTED_VALUE"""),"Papel Decorativo")</f>
        <v>Papel Decorativo</v>
      </c>
      <c r="C1848" s="380" t="str">
        <f>IFERROR(__xludf.DUMMYFUNCTION("""COMPUTED_VALUE"""),"20000064")</f>
        <v>20000064</v>
      </c>
      <c r="D1848" s="380" t="s">
        <v>767</v>
      </c>
      <c r="E1848" s="380" t="s">
        <v>2663</v>
      </c>
      <c r="F1848" s="380" t="s">
        <v>1275</v>
      </c>
      <c r="G1848" s="380" t="s">
        <v>1267</v>
      </c>
      <c r="H1848" s="380" t="s">
        <v>771</v>
      </c>
      <c r="I1848" s="380" t="s">
        <v>2664</v>
      </c>
      <c r="J1848" s="380" t="s">
        <v>773</v>
      </c>
      <c r="K1848" s="381">
        <v>0.0</v>
      </c>
      <c r="L1848" s="382">
        <v>1.0</v>
      </c>
    </row>
    <row r="1849">
      <c r="A1849" s="380" t="s">
        <v>2711</v>
      </c>
      <c r="B1849" s="380" t="str">
        <f>IFERROR(__xludf.DUMMYFUNCTION("""COMPUTED_VALUE"""),"Velas Navideñas")</f>
        <v>Velas Navideñas</v>
      </c>
      <c r="C1849" s="380" t="str">
        <f>IFERROR(__xludf.DUMMYFUNCTION("""COMPUTED_VALUE"""),"20000065")</f>
        <v>20000065</v>
      </c>
      <c r="D1849" s="380" t="s">
        <v>767</v>
      </c>
      <c r="E1849" s="380" t="s">
        <v>2663</v>
      </c>
      <c r="F1849" s="380" t="s">
        <v>1275</v>
      </c>
      <c r="G1849" s="380" t="s">
        <v>1267</v>
      </c>
      <c r="H1849" s="380" t="s">
        <v>771</v>
      </c>
      <c r="I1849" s="380" t="s">
        <v>2664</v>
      </c>
      <c r="J1849" s="380" t="s">
        <v>773</v>
      </c>
      <c r="K1849" s="381">
        <v>0.0</v>
      </c>
      <c r="L1849" s="382">
        <v>1.0</v>
      </c>
    </row>
    <row r="1850">
      <c r="A1850" s="380" t="s">
        <v>2712</v>
      </c>
      <c r="B1850" s="380" t="str">
        <f>IFERROR(__xludf.DUMMYFUNCTION("""COMPUTED_VALUE"""),"Pelicula Fifa Play 5")</f>
        <v>Pelicula Fifa Play 5</v>
      </c>
      <c r="C1850" s="380" t="str">
        <f>IFERROR(__xludf.DUMMYFUNCTION("""COMPUTED_VALUE"""),"20000066")</f>
        <v>20000066</v>
      </c>
      <c r="D1850" s="380" t="s">
        <v>767</v>
      </c>
      <c r="E1850" s="380" t="s">
        <v>2663</v>
      </c>
      <c r="F1850" s="380" t="s">
        <v>1275</v>
      </c>
      <c r="G1850" s="380" t="s">
        <v>1267</v>
      </c>
      <c r="H1850" s="380" t="s">
        <v>771</v>
      </c>
      <c r="I1850" s="380" t="s">
        <v>2664</v>
      </c>
      <c r="J1850" s="380" t="s">
        <v>773</v>
      </c>
      <c r="K1850" s="381">
        <v>0.0</v>
      </c>
      <c r="L1850" s="382">
        <v>1.0</v>
      </c>
    </row>
    <row r="1851">
      <c r="A1851" s="380" t="s">
        <v>2713</v>
      </c>
      <c r="B1851" s="380" t="str">
        <f>IFERROR(__xludf.DUMMYFUNCTION("""COMPUTED_VALUE"""),"Soda Hatsu")</f>
        <v>Soda Hatsu</v>
      </c>
      <c r="C1851" s="380" t="str">
        <f>IFERROR(__xludf.DUMMYFUNCTION("""COMPUTED_VALUE"""),"20000067")</f>
        <v>20000067</v>
      </c>
      <c r="D1851" s="380" t="s">
        <v>767</v>
      </c>
      <c r="E1851" s="380" t="s">
        <v>2663</v>
      </c>
      <c r="F1851" s="380" t="s">
        <v>1275</v>
      </c>
      <c r="G1851" s="380" t="s">
        <v>1267</v>
      </c>
      <c r="H1851" s="380" t="s">
        <v>771</v>
      </c>
      <c r="I1851" s="380" t="s">
        <v>2664</v>
      </c>
      <c r="J1851" s="380" t="s">
        <v>773</v>
      </c>
      <c r="K1851" s="381">
        <v>0.0</v>
      </c>
      <c r="L1851" s="382">
        <v>1.0</v>
      </c>
    </row>
    <row r="1852">
      <c r="A1852" s="380" t="s">
        <v>2714</v>
      </c>
      <c r="B1852" s="380" t="str">
        <f>IFERROR(__xludf.DUMMYFUNCTION("""COMPUTED_VALUE"""),"Cafetera Electrica")</f>
        <v>Cafetera Electrica</v>
      </c>
      <c r="C1852" s="380" t="str">
        <f>IFERROR(__xludf.DUMMYFUNCTION("""COMPUTED_VALUE"""),"20000068")</f>
        <v>20000068</v>
      </c>
      <c r="D1852" s="380" t="s">
        <v>767</v>
      </c>
      <c r="E1852" s="380" t="s">
        <v>2663</v>
      </c>
      <c r="F1852" s="380" t="s">
        <v>1275</v>
      </c>
      <c r="G1852" s="380" t="s">
        <v>1267</v>
      </c>
      <c r="H1852" s="380" t="s">
        <v>771</v>
      </c>
      <c r="I1852" s="380" t="s">
        <v>2664</v>
      </c>
      <c r="J1852" s="380" t="s">
        <v>773</v>
      </c>
      <c r="K1852" s="381">
        <v>0.0</v>
      </c>
      <c r="L1852" s="382">
        <v>1.0</v>
      </c>
    </row>
    <row r="1853">
      <c r="A1853" s="380" t="s">
        <v>2715</v>
      </c>
      <c r="B1853" s="380" t="str">
        <f>IFERROR(__xludf.DUMMYFUNCTION("""COMPUTED_VALUE"""),"Bicicleta Electrica")</f>
        <v>Bicicleta Electrica</v>
      </c>
      <c r="C1853" s="380" t="str">
        <f>IFERROR(__xludf.DUMMYFUNCTION("""COMPUTED_VALUE"""),"20000069")</f>
        <v>20000069</v>
      </c>
      <c r="D1853" s="380" t="s">
        <v>767</v>
      </c>
      <c r="E1853" s="380" t="s">
        <v>2663</v>
      </c>
      <c r="F1853" s="380" t="s">
        <v>1275</v>
      </c>
      <c r="G1853" s="380" t="s">
        <v>1267</v>
      </c>
      <c r="H1853" s="380" t="s">
        <v>771</v>
      </c>
      <c r="I1853" s="380" t="s">
        <v>2664</v>
      </c>
      <c r="J1853" s="380" t="s">
        <v>773</v>
      </c>
      <c r="K1853" s="381">
        <v>0.0</v>
      </c>
      <c r="L1853" s="382">
        <v>1.0</v>
      </c>
    </row>
    <row r="1854">
      <c r="A1854" s="380" t="s">
        <v>2716</v>
      </c>
      <c r="B1854" s="380" t="str">
        <f>IFERROR(__xludf.DUMMYFUNCTION("""COMPUTED_VALUE"""),"Bono Producto")</f>
        <v>Bono Producto</v>
      </c>
      <c r="C1854" s="380" t="str">
        <f>IFERROR(__xludf.DUMMYFUNCTION("""COMPUTED_VALUE"""),"20000070")</f>
        <v>20000070</v>
      </c>
      <c r="D1854" s="380" t="s">
        <v>767</v>
      </c>
      <c r="E1854" s="380" t="s">
        <v>2663</v>
      </c>
      <c r="F1854" s="380" t="s">
        <v>1275</v>
      </c>
      <c r="G1854" s="380" t="s">
        <v>1267</v>
      </c>
      <c r="H1854" s="380" t="s">
        <v>771</v>
      </c>
      <c r="I1854" s="380" t="s">
        <v>2664</v>
      </c>
      <c r="J1854" s="380" t="s">
        <v>773</v>
      </c>
      <c r="K1854" s="381">
        <v>269974.0</v>
      </c>
      <c r="L1854" s="382">
        <v>1.0</v>
      </c>
    </row>
    <row r="1855">
      <c r="A1855" s="380" t="s">
        <v>2717</v>
      </c>
      <c r="B1855" s="380" t="str">
        <f>IFERROR(__xludf.DUMMYFUNCTION("""COMPUTED_VALUE"""),"Botella Licor Dh")</f>
        <v>Botella Licor Dh</v>
      </c>
      <c r="C1855" s="380" t="str">
        <f>IFERROR(__xludf.DUMMYFUNCTION("""COMPUTED_VALUE"""),"20000071")</f>
        <v>20000071</v>
      </c>
      <c r="D1855" s="380" t="s">
        <v>767</v>
      </c>
      <c r="E1855" s="380" t="s">
        <v>2663</v>
      </c>
      <c r="F1855" s="380" t="s">
        <v>1275</v>
      </c>
      <c r="G1855" s="380" t="s">
        <v>1267</v>
      </c>
      <c r="H1855" s="380" t="s">
        <v>771</v>
      </c>
      <c r="I1855" s="380" t="s">
        <v>2664</v>
      </c>
      <c r="J1855" s="380" t="s">
        <v>773</v>
      </c>
      <c r="K1855" s="381">
        <v>0.0</v>
      </c>
      <c r="L1855" s="382">
        <v>1.0</v>
      </c>
    </row>
    <row r="1856">
      <c r="A1856" s="380" t="s">
        <v>2718</v>
      </c>
      <c r="B1856" s="380" t="str">
        <f>IFERROR(__xludf.DUMMYFUNCTION("""COMPUTED_VALUE"""),"Guacal Licor")</f>
        <v>Guacal Licor</v>
      </c>
      <c r="C1856" s="380" t="str">
        <f>IFERROR(__xludf.DUMMYFUNCTION("""COMPUTED_VALUE"""),"20000072")</f>
        <v>20000072</v>
      </c>
      <c r="D1856" s="380" t="s">
        <v>767</v>
      </c>
      <c r="E1856" s="380" t="s">
        <v>2663</v>
      </c>
      <c r="F1856" s="380" t="s">
        <v>1275</v>
      </c>
      <c r="G1856" s="380" t="s">
        <v>1267</v>
      </c>
      <c r="H1856" s="380" t="s">
        <v>771</v>
      </c>
      <c r="I1856" s="380" t="s">
        <v>2664</v>
      </c>
      <c r="J1856" s="380" t="s">
        <v>773</v>
      </c>
      <c r="K1856" s="381">
        <v>0.0</v>
      </c>
      <c r="L1856" s="382">
        <v>1.0</v>
      </c>
    </row>
    <row r="1857">
      <c r="A1857" s="380" t="s">
        <v>2719</v>
      </c>
      <c r="B1857" s="380" t="str">
        <f>IFERROR(__xludf.DUMMYFUNCTION("""COMPUTED_VALUE"""),"Medalla De Reconocimiento")</f>
        <v>Medalla De Reconocimiento</v>
      </c>
      <c r="C1857" s="380" t="str">
        <f>IFERROR(__xludf.DUMMYFUNCTION("""COMPUTED_VALUE"""),"20000073")</f>
        <v>20000073</v>
      </c>
      <c r="D1857" s="380" t="s">
        <v>767</v>
      </c>
      <c r="E1857" s="380" t="s">
        <v>2663</v>
      </c>
      <c r="F1857" s="380" t="s">
        <v>1275</v>
      </c>
      <c r="G1857" s="380" t="s">
        <v>1267</v>
      </c>
      <c r="H1857" s="380" t="s">
        <v>771</v>
      </c>
      <c r="I1857" s="380" t="s">
        <v>2664</v>
      </c>
      <c r="J1857" s="380" t="s">
        <v>773</v>
      </c>
      <c r="K1857" s="381">
        <v>105677.0</v>
      </c>
      <c r="L1857" s="382">
        <v>1.0</v>
      </c>
    </row>
    <row r="1858">
      <c r="A1858" s="380" t="s">
        <v>2720</v>
      </c>
      <c r="B1858" s="380" t="str">
        <f>IFERROR(__xludf.DUMMYFUNCTION("""COMPUTED_VALUE"""),"Batidora Electrica")</f>
        <v>Batidora Electrica</v>
      </c>
      <c r="C1858" s="380" t="str">
        <f>IFERROR(__xludf.DUMMYFUNCTION("""COMPUTED_VALUE"""),"20000074")</f>
        <v>20000074</v>
      </c>
      <c r="D1858" s="380" t="s">
        <v>767</v>
      </c>
      <c r="E1858" s="380" t="s">
        <v>2663</v>
      </c>
      <c r="F1858" s="380" t="s">
        <v>1275</v>
      </c>
      <c r="G1858" s="380" t="s">
        <v>1267</v>
      </c>
      <c r="H1858" s="380" t="s">
        <v>771</v>
      </c>
      <c r="I1858" s="380" t="s">
        <v>2664</v>
      </c>
      <c r="J1858" s="380" t="s">
        <v>773</v>
      </c>
      <c r="K1858" s="381">
        <v>0.0</v>
      </c>
      <c r="L1858" s="382">
        <v>1.0</v>
      </c>
    </row>
    <row r="1859">
      <c r="A1859" s="380" t="s">
        <v>2721</v>
      </c>
      <c r="B1859" s="380" t="str">
        <f>IFERROR(__xludf.DUMMYFUNCTION("""COMPUTED_VALUE"""),"Ventilador Obsequio Empleado")</f>
        <v>Ventilador Obsequio Empleado</v>
      </c>
      <c r="C1859" s="380" t="str">
        <f>IFERROR(__xludf.DUMMYFUNCTION("""COMPUTED_VALUE"""),"20000075")</f>
        <v>20000075</v>
      </c>
      <c r="D1859" s="380" t="s">
        <v>767</v>
      </c>
      <c r="E1859" s="380" t="s">
        <v>2663</v>
      </c>
      <c r="F1859" s="380" t="s">
        <v>1275</v>
      </c>
      <c r="G1859" s="380" t="s">
        <v>1267</v>
      </c>
      <c r="H1859" s="380" t="s">
        <v>771</v>
      </c>
      <c r="I1859" s="380" t="s">
        <v>2664</v>
      </c>
      <c r="J1859" s="380" t="s">
        <v>773</v>
      </c>
      <c r="K1859" s="381">
        <v>0.0</v>
      </c>
      <c r="L1859" s="382">
        <v>1.0</v>
      </c>
    </row>
    <row r="1860">
      <c r="A1860" s="380" t="s">
        <v>2722</v>
      </c>
      <c r="B1860" s="380" t="str">
        <f>IFERROR(__xludf.DUMMYFUNCTION("""COMPUTED_VALUE"""),"Celular Excento")</f>
        <v>Celular Excento</v>
      </c>
      <c r="C1860" s="380" t="str">
        <f>IFERROR(__xludf.DUMMYFUNCTION("""COMPUTED_VALUE"""),"20000076")</f>
        <v>20000076</v>
      </c>
      <c r="D1860" s="380" t="s">
        <v>767</v>
      </c>
      <c r="E1860" s="380" t="s">
        <v>2663</v>
      </c>
      <c r="F1860" s="380" t="s">
        <v>1275</v>
      </c>
      <c r="G1860" s="380" t="s">
        <v>1267</v>
      </c>
      <c r="H1860" s="380" t="s">
        <v>771</v>
      </c>
      <c r="I1860" s="380" t="s">
        <v>2664</v>
      </c>
      <c r="J1860" s="380" t="s">
        <v>773</v>
      </c>
      <c r="K1860" s="381">
        <v>0.0</v>
      </c>
      <c r="L1860" s="382">
        <v>1.0</v>
      </c>
    </row>
    <row r="1861">
      <c r="A1861" s="380" t="s">
        <v>2723</v>
      </c>
      <c r="B1861" s="380" t="str">
        <f>IFERROR(__xludf.DUMMYFUNCTION("""COMPUTED_VALUE"""),"Olla Presión Corona L22400")</f>
        <v>Olla Presión Corona L22400</v>
      </c>
      <c r="C1861" s="380" t="str">
        <f>IFERROR(__xludf.DUMMYFUNCTION("""COMPUTED_VALUE"""),"20000077")</f>
        <v>20000077</v>
      </c>
      <c r="D1861" s="380" t="s">
        <v>767</v>
      </c>
      <c r="E1861" s="380" t="s">
        <v>2663</v>
      </c>
      <c r="F1861" s="380" t="s">
        <v>1275</v>
      </c>
      <c r="G1861" s="380" t="s">
        <v>1267</v>
      </c>
      <c r="H1861" s="380" t="s">
        <v>771</v>
      </c>
      <c r="I1861" s="380" t="s">
        <v>2664</v>
      </c>
      <c r="J1861" s="380" t="s">
        <v>773</v>
      </c>
      <c r="K1861" s="381">
        <v>0.0</v>
      </c>
      <c r="L1861" s="382">
        <v>1.0</v>
      </c>
    </row>
    <row r="1862">
      <c r="A1862" s="380" t="s">
        <v>2724</v>
      </c>
      <c r="B1862" s="380" t="str">
        <f>IFERROR(__xludf.DUMMYFUNCTION("""COMPUTED_VALUE"""),"Freidora Electrica")</f>
        <v>Freidora Electrica</v>
      </c>
      <c r="C1862" s="380" t="str">
        <f>IFERROR(__xludf.DUMMYFUNCTION("""COMPUTED_VALUE"""),"20000078")</f>
        <v>20000078</v>
      </c>
      <c r="D1862" s="380" t="s">
        <v>767</v>
      </c>
      <c r="E1862" s="380" t="s">
        <v>2663</v>
      </c>
      <c r="F1862" s="380" t="s">
        <v>1275</v>
      </c>
      <c r="G1862" s="380" t="s">
        <v>1267</v>
      </c>
      <c r="H1862" s="380" t="s">
        <v>771</v>
      </c>
      <c r="I1862" s="380" t="s">
        <v>2664</v>
      </c>
      <c r="J1862" s="380" t="s">
        <v>773</v>
      </c>
      <c r="K1862" s="381">
        <v>0.0</v>
      </c>
      <c r="L1862" s="382">
        <v>1.0</v>
      </c>
    </row>
    <row r="1863">
      <c r="A1863" s="380" t="s">
        <v>2725</v>
      </c>
      <c r="B1863" s="380" t="str">
        <f>IFERROR(__xludf.DUMMYFUNCTION("""COMPUTED_VALUE"""),"Copa De Vino")</f>
        <v>Copa De Vino</v>
      </c>
      <c r="C1863" s="380" t="str">
        <f>IFERROR(__xludf.DUMMYFUNCTION("""COMPUTED_VALUE"""),"20000079")</f>
        <v>20000079</v>
      </c>
      <c r="D1863" s="380" t="s">
        <v>767</v>
      </c>
      <c r="E1863" s="380" t="s">
        <v>2663</v>
      </c>
      <c r="F1863" s="380" t="s">
        <v>1275</v>
      </c>
      <c r="G1863" s="380" t="s">
        <v>1267</v>
      </c>
      <c r="H1863" s="380" t="s">
        <v>771</v>
      </c>
      <c r="I1863" s="380" t="s">
        <v>2664</v>
      </c>
      <c r="J1863" s="380" t="s">
        <v>773</v>
      </c>
      <c r="K1863" s="381">
        <v>9775.0</v>
      </c>
      <c r="L1863" s="382">
        <v>1.0</v>
      </c>
    </row>
    <row r="1864">
      <c r="A1864" s="380" t="s">
        <v>2726</v>
      </c>
      <c r="B1864" s="380" t="str">
        <f>IFERROR(__xludf.DUMMYFUNCTION("""COMPUTED_VALUE"""),"Juego De Ollas Especial")</f>
        <v>Juego De Ollas Especial</v>
      </c>
      <c r="C1864" s="380" t="str">
        <f>IFERROR(__xludf.DUMMYFUNCTION("""COMPUTED_VALUE"""),"20000080")</f>
        <v>20000080</v>
      </c>
      <c r="D1864" s="380" t="s">
        <v>767</v>
      </c>
      <c r="E1864" s="380" t="s">
        <v>2663</v>
      </c>
      <c r="F1864" s="380" t="s">
        <v>1275</v>
      </c>
      <c r="G1864" s="380" t="s">
        <v>1267</v>
      </c>
      <c r="H1864" s="380" t="s">
        <v>771</v>
      </c>
      <c r="I1864" s="380" t="s">
        <v>2664</v>
      </c>
      <c r="J1864" s="380" t="s">
        <v>773</v>
      </c>
      <c r="K1864" s="381">
        <v>0.0</v>
      </c>
      <c r="L1864" s="382">
        <v>1.0</v>
      </c>
    </row>
    <row r="1865">
      <c r="A1865" s="380" t="s">
        <v>2727</v>
      </c>
      <c r="B1865" s="380" t="str">
        <f>IFERROR(__xludf.DUMMYFUNCTION("""COMPUTED_VALUE"""),"Bono Valor")</f>
        <v>Bono Valor</v>
      </c>
      <c r="C1865" s="380" t="str">
        <f>IFERROR(__xludf.DUMMYFUNCTION("""COMPUTED_VALUE"""),"20000081")</f>
        <v>20000081</v>
      </c>
      <c r="D1865" s="380" t="s">
        <v>767</v>
      </c>
      <c r="E1865" s="380" t="s">
        <v>2663</v>
      </c>
      <c r="F1865" s="380" t="s">
        <v>1275</v>
      </c>
      <c r="G1865" s="380" t="s">
        <v>1267</v>
      </c>
      <c r="H1865" s="380" t="s">
        <v>771</v>
      </c>
      <c r="I1865" s="380" t="s">
        <v>2664</v>
      </c>
      <c r="J1865" s="380" t="s">
        <v>773</v>
      </c>
      <c r="K1865" s="381">
        <v>0.0</v>
      </c>
      <c r="L1865" s="382">
        <v>1.0</v>
      </c>
    </row>
    <row r="1866">
      <c r="A1866" s="380" t="s">
        <v>2728</v>
      </c>
      <c r="B1866" s="380" t="str">
        <f>IFERROR(__xludf.DUMMYFUNCTION("""COMPUTED_VALUE"""),"Virola Con Casillo Billar")</f>
        <v>Virola Con Casillo Billar</v>
      </c>
      <c r="C1866" s="380" t="str">
        <f>IFERROR(__xludf.DUMMYFUNCTION("""COMPUTED_VALUE"""),"20000082")</f>
        <v>20000082</v>
      </c>
      <c r="D1866" s="380" t="s">
        <v>767</v>
      </c>
      <c r="E1866" s="380" t="s">
        <v>2663</v>
      </c>
      <c r="F1866" s="380" t="s">
        <v>1275</v>
      </c>
      <c r="G1866" s="380" t="s">
        <v>1267</v>
      </c>
      <c r="H1866" s="380" t="s">
        <v>771</v>
      </c>
      <c r="I1866" s="380" t="s">
        <v>2664</v>
      </c>
      <c r="J1866" s="380" t="s">
        <v>773</v>
      </c>
      <c r="K1866" s="381">
        <v>0.0</v>
      </c>
      <c r="L1866" s="382">
        <v>1.0</v>
      </c>
    </row>
    <row r="1867">
      <c r="A1867" s="380" t="s">
        <v>2729</v>
      </c>
      <c r="B1867" s="380" t="str">
        <f>IFERROR(__xludf.DUMMYFUNCTION("""COMPUTED_VALUE"""),"Obsequio Jubilado")</f>
        <v>Obsequio Jubilado</v>
      </c>
      <c r="C1867" s="380" t="str">
        <f>IFERROR(__xludf.DUMMYFUNCTION("""COMPUTED_VALUE"""),"20000083")</f>
        <v>20000083</v>
      </c>
      <c r="D1867" s="380" t="s">
        <v>767</v>
      </c>
      <c r="E1867" s="380" t="s">
        <v>2663</v>
      </c>
      <c r="F1867" s="380" t="s">
        <v>1275</v>
      </c>
      <c r="G1867" s="380" t="s">
        <v>1267</v>
      </c>
      <c r="H1867" s="380" t="s">
        <v>771</v>
      </c>
      <c r="I1867" s="380" t="s">
        <v>2664</v>
      </c>
      <c r="J1867" s="380" t="s">
        <v>773</v>
      </c>
      <c r="K1867" s="381">
        <v>0.0</v>
      </c>
      <c r="L1867" s="382">
        <v>1.0</v>
      </c>
    </row>
    <row r="1868">
      <c r="A1868" s="380" t="s">
        <v>2730</v>
      </c>
      <c r="B1868" s="380" t="str">
        <f>IFERROR(__xludf.DUMMYFUNCTION("""COMPUTED_VALUE"""),"Audifonos Manos Libres")</f>
        <v>Audifonos Manos Libres</v>
      </c>
      <c r="C1868" s="380" t="str">
        <f>IFERROR(__xludf.DUMMYFUNCTION("""COMPUTED_VALUE"""),"20000084")</f>
        <v>20000084</v>
      </c>
      <c r="D1868" s="380" t="s">
        <v>767</v>
      </c>
      <c r="E1868" s="380" t="s">
        <v>2663</v>
      </c>
      <c r="F1868" s="380" t="s">
        <v>1275</v>
      </c>
      <c r="G1868" s="380" t="s">
        <v>1267</v>
      </c>
      <c r="H1868" s="380" t="s">
        <v>771</v>
      </c>
      <c r="I1868" s="380" t="s">
        <v>2664</v>
      </c>
      <c r="J1868" s="380" t="s">
        <v>773</v>
      </c>
      <c r="K1868" s="381">
        <v>0.0</v>
      </c>
      <c r="L1868" s="382">
        <v>1.0</v>
      </c>
    </row>
    <row r="1869">
      <c r="A1869" s="380" t="s">
        <v>2731</v>
      </c>
      <c r="B1869" s="380" t="str">
        <f>IFERROR(__xludf.DUMMYFUNCTION("""COMPUTED_VALUE"""),"Adhesivo Removible Gancho Campañas DH")</f>
        <v>Adhesivo Removible Gancho Campañas DH</v>
      </c>
      <c r="C1869" s="380" t="str">
        <f>IFERROR(__xludf.DUMMYFUNCTION("""COMPUTED_VALUE"""),"20000085")</f>
        <v>20000085</v>
      </c>
      <c r="D1869" s="380" t="s">
        <v>767</v>
      </c>
      <c r="E1869" s="380" t="s">
        <v>2663</v>
      </c>
      <c r="F1869" s="380" t="s">
        <v>1275</v>
      </c>
      <c r="G1869" s="380" t="s">
        <v>1267</v>
      </c>
      <c r="H1869" s="380" t="s">
        <v>771</v>
      </c>
      <c r="I1869" s="380" t="s">
        <v>2664</v>
      </c>
      <c r="J1869" s="380" t="s">
        <v>773</v>
      </c>
      <c r="K1869" s="381">
        <v>0.0</v>
      </c>
      <c r="L1869" s="382">
        <v>1.0</v>
      </c>
    </row>
    <row r="1870">
      <c r="A1870" s="380" t="s">
        <v>2732</v>
      </c>
      <c r="B1870" s="380" t="str">
        <f>IFERROR(__xludf.DUMMYFUNCTION("""COMPUTED_VALUE"""),"Gorro Fiesta Personalizado")</f>
        <v>Gorro Fiesta Personalizado</v>
      </c>
      <c r="C1870" s="380" t="str">
        <f>IFERROR(__xludf.DUMMYFUNCTION("""COMPUTED_VALUE"""),"20000086")</f>
        <v>20000086</v>
      </c>
      <c r="D1870" s="380" t="s">
        <v>767</v>
      </c>
      <c r="E1870" s="380" t="s">
        <v>2663</v>
      </c>
      <c r="F1870" s="380" t="s">
        <v>1275</v>
      </c>
      <c r="G1870" s="380" t="s">
        <v>1267</v>
      </c>
      <c r="H1870" s="380" t="s">
        <v>771</v>
      </c>
      <c r="I1870" s="380" t="s">
        <v>2664</v>
      </c>
      <c r="J1870" s="380" t="s">
        <v>773</v>
      </c>
      <c r="K1870" s="381">
        <v>0.0</v>
      </c>
      <c r="L1870" s="382">
        <v>1.0</v>
      </c>
    </row>
    <row r="1871">
      <c r="A1871" s="380" t="s">
        <v>2733</v>
      </c>
      <c r="B1871" s="380" t="str">
        <f>IFERROR(__xludf.DUMMYFUNCTION("""COMPUTED_VALUE"""),"Caja Dulces Coordinadora En Familia")</f>
        <v>Caja Dulces Coordinadora En Familia</v>
      </c>
      <c r="C1871" s="380" t="str">
        <f>IFERROR(__xludf.DUMMYFUNCTION("""COMPUTED_VALUE"""),"20000087")</f>
        <v>20000087</v>
      </c>
      <c r="D1871" s="380" t="s">
        <v>767</v>
      </c>
      <c r="E1871" s="380" t="s">
        <v>2663</v>
      </c>
      <c r="F1871" s="380" t="s">
        <v>1275</v>
      </c>
      <c r="G1871" s="380" t="s">
        <v>1267</v>
      </c>
      <c r="H1871" s="380" t="s">
        <v>771</v>
      </c>
      <c r="I1871" s="380" t="s">
        <v>2664</v>
      </c>
      <c r="J1871" s="380" t="s">
        <v>773</v>
      </c>
      <c r="K1871" s="381">
        <v>0.0</v>
      </c>
      <c r="L1871" s="382">
        <v>1.0</v>
      </c>
    </row>
    <row r="1872">
      <c r="A1872" s="380" t="s">
        <v>2734</v>
      </c>
      <c r="B1872" s="380" t="str">
        <f>IFERROR(__xludf.DUMMYFUNCTION("""COMPUTED_VALUE"""),"Adhesivo Piso Campañas DH")</f>
        <v>Adhesivo Piso Campañas DH</v>
      </c>
      <c r="C1872" s="380" t="str">
        <f>IFERROR(__xludf.DUMMYFUNCTION("""COMPUTED_VALUE"""),"20000088")</f>
        <v>20000088</v>
      </c>
      <c r="D1872" s="380" t="s">
        <v>767</v>
      </c>
      <c r="E1872" s="380" t="s">
        <v>2663</v>
      </c>
      <c r="F1872" s="380" t="s">
        <v>1275</v>
      </c>
      <c r="G1872" s="380" t="s">
        <v>1267</v>
      </c>
      <c r="H1872" s="380" t="s">
        <v>771</v>
      </c>
      <c r="I1872" s="380" t="s">
        <v>2664</v>
      </c>
      <c r="J1872" s="380" t="s">
        <v>773</v>
      </c>
      <c r="K1872" s="381">
        <v>0.0</v>
      </c>
      <c r="L1872" s="382">
        <v>1.0</v>
      </c>
    </row>
    <row r="1873">
      <c r="A1873" s="380" t="s">
        <v>2735</v>
      </c>
      <c r="B1873" s="380" t="str">
        <f>IFERROR(__xludf.DUMMYFUNCTION("""COMPUTED_VALUE"""),"Obsequio Dia Del Conductor")</f>
        <v>Obsequio Dia Del Conductor</v>
      </c>
      <c r="C1873" s="380" t="str">
        <f>IFERROR(__xludf.DUMMYFUNCTION("""COMPUTED_VALUE"""),"20000089")</f>
        <v>20000089</v>
      </c>
      <c r="D1873" s="380" t="s">
        <v>767</v>
      </c>
      <c r="E1873" s="380" t="s">
        <v>2663</v>
      </c>
      <c r="F1873" s="380" t="s">
        <v>1275</v>
      </c>
      <c r="G1873" s="380" t="s">
        <v>1267</v>
      </c>
      <c r="H1873" s="380" t="s">
        <v>771</v>
      </c>
      <c r="I1873" s="380" t="s">
        <v>2664</v>
      </c>
      <c r="J1873" s="380" t="s">
        <v>773</v>
      </c>
      <c r="K1873" s="381">
        <v>0.0</v>
      </c>
      <c r="L1873" s="382">
        <v>1.0</v>
      </c>
    </row>
    <row r="1874">
      <c r="A1874" s="380" t="s">
        <v>2736</v>
      </c>
      <c r="B1874" s="380" t="str">
        <f>IFERROR(__xludf.DUMMYFUNCTION("""COMPUTED_VALUE"""),"Tarjeta Fechas Especiales")</f>
        <v>Tarjeta Fechas Especiales</v>
      </c>
      <c r="C1874" s="380" t="str">
        <f>IFERROR(__xludf.DUMMYFUNCTION("""COMPUTED_VALUE"""),"20000090")</f>
        <v>20000090</v>
      </c>
      <c r="D1874" s="380" t="s">
        <v>767</v>
      </c>
      <c r="E1874" s="380" t="s">
        <v>2663</v>
      </c>
      <c r="F1874" s="380" t="s">
        <v>1275</v>
      </c>
      <c r="G1874" s="380" t="s">
        <v>1267</v>
      </c>
      <c r="H1874" s="380" t="s">
        <v>771</v>
      </c>
      <c r="I1874" s="380" t="s">
        <v>2664</v>
      </c>
      <c r="J1874" s="380" t="s">
        <v>773</v>
      </c>
      <c r="K1874" s="381">
        <v>0.0</v>
      </c>
      <c r="L1874" s="382">
        <v>1.0</v>
      </c>
    </row>
    <row r="1875">
      <c r="A1875" s="380" t="s">
        <v>2737</v>
      </c>
      <c r="B1875" s="380" t="str">
        <f>IFERROR(__xludf.DUMMYFUNCTION("""COMPUTED_VALUE"""),"Obsequio Dia Del Vendedor")</f>
        <v>Obsequio Dia Del Vendedor</v>
      </c>
      <c r="C1875" s="380" t="str">
        <f>IFERROR(__xludf.DUMMYFUNCTION("""COMPUTED_VALUE"""),"20000091")</f>
        <v>20000091</v>
      </c>
      <c r="D1875" s="380" t="s">
        <v>767</v>
      </c>
      <c r="E1875" s="380" t="s">
        <v>2663</v>
      </c>
      <c r="F1875" s="380" t="s">
        <v>1275</v>
      </c>
      <c r="G1875" s="380" t="s">
        <v>1267</v>
      </c>
      <c r="H1875" s="380" t="s">
        <v>771</v>
      </c>
      <c r="I1875" s="380" t="s">
        <v>2664</v>
      </c>
      <c r="J1875" s="380" t="s">
        <v>773</v>
      </c>
      <c r="K1875" s="381">
        <v>0.0</v>
      </c>
      <c r="L1875" s="382">
        <v>1.0</v>
      </c>
    </row>
    <row r="1876">
      <c r="A1876" s="380" t="s">
        <v>2738</v>
      </c>
      <c r="B1876" s="380" t="str">
        <f>IFERROR(__xludf.DUMMYFUNCTION("""COMPUTED_VALUE"""),"Caja Obsequio Coordinadora En Familia")</f>
        <v>Caja Obsequio Coordinadora En Familia</v>
      </c>
      <c r="C1876" s="380" t="str">
        <f>IFERROR(__xludf.DUMMYFUNCTION("""COMPUTED_VALUE"""),"20000092")</f>
        <v>20000092</v>
      </c>
      <c r="D1876" s="380" t="s">
        <v>767</v>
      </c>
      <c r="E1876" s="380" t="s">
        <v>2663</v>
      </c>
      <c r="F1876" s="380" t="s">
        <v>1275</v>
      </c>
      <c r="G1876" s="380" t="s">
        <v>1267</v>
      </c>
      <c r="H1876" s="380" t="s">
        <v>771</v>
      </c>
      <c r="I1876" s="380" t="s">
        <v>2664</v>
      </c>
      <c r="J1876" s="380" t="s">
        <v>773</v>
      </c>
      <c r="K1876" s="381">
        <v>0.0</v>
      </c>
      <c r="L1876" s="382">
        <v>1.0</v>
      </c>
    </row>
    <row r="1877">
      <c r="A1877" s="380" t="s">
        <v>2739</v>
      </c>
      <c r="B1877" s="380" t="str">
        <f>IFERROR(__xludf.DUMMYFUNCTION("""COMPUTED_VALUE"""),"Dulces Evento Desarrollo Humano")</f>
        <v>Dulces Evento Desarrollo Humano</v>
      </c>
      <c r="C1877" s="380" t="str">
        <f>IFERROR(__xludf.DUMMYFUNCTION("""COMPUTED_VALUE"""),"20000093")</f>
        <v>20000093</v>
      </c>
      <c r="D1877" s="380" t="s">
        <v>767</v>
      </c>
      <c r="E1877" s="380" t="s">
        <v>2663</v>
      </c>
      <c r="F1877" s="380" t="s">
        <v>1275</v>
      </c>
      <c r="G1877" s="380" t="s">
        <v>1267</v>
      </c>
      <c r="H1877" s="380" t="s">
        <v>771</v>
      </c>
      <c r="I1877" s="380" t="s">
        <v>2664</v>
      </c>
      <c r="J1877" s="380" t="s">
        <v>773</v>
      </c>
      <c r="K1877" s="381">
        <v>0.0</v>
      </c>
      <c r="L1877" s="382">
        <v>1.0</v>
      </c>
    </row>
    <row r="1878">
      <c r="A1878" s="380" t="s">
        <v>2740</v>
      </c>
      <c r="B1878" s="380" t="str">
        <f>IFERROR(__xludf.DUMMYFUNCTION("""COMPUTED_VALUE"""),"Sanduchera")</f>
        <v>Sanduchera</v>
      </c>
      <c r="C1878" s="380" t="str">
        <f>IFERROR(__xludf.DUMMYFUNCTION("""COMPUTED_VALUE"""),"20000094")</f>
        <v>20000094</v>
      </c>
      <c r="D1878" s="380" t="s">
        <v>767</v>
      </c>
      <c r="E1878" s="380" t="s">
        <v>2663</v>
      </c>
      <c r="F1878" s="380" t="s">
        <v>1275</v>
      </c>
      <c r="G1878" s="380" t="s">
        <v>1267</v>
      </c>
      <c r="H1878" s="380" t="s">
        <v>771</v>
      </c>
      <c r="I1878" s="380" t="s">
        <v>2664</v>
      </c>
      <c r="J1878" s="380" t="s">
        <v>773</v>
      </c>
      <c r="K1878" s="381">
        <v>0.0</v>
      </c>
      <c r="L1878" s="382">
        <v>1.0</v>
      </c>
    </row>
    <row r="1879">
      <c r="A1879" s="380" t="s">
        <v>2741</v>
      </c>
      <c r="B1879" s="380" t="str">
        <f>IFERROR(__xludf.DUMMYFUNCTION("""COMPUTED_VALUE"""),"Juego De Cubiertos")</f>
        <v>Juego De Cubiertos</v>
      </c>
      <c r="C1879" s="380" t="str">
        <f>IFERROR(__xludf.DUMMYFUNCTION("""COMPUTED_VALUE"""),"20000095")</f>
        <v>20000095</v>
      </c>
      <c r="D1879" s="380" t="s">
        <v>767</v>
      </c>
      <c r="E1879" s="380" t="s">
        <v>2663</v>
      </c>
      <c r="F1879" s="380" t="s">
        <v>1275</v>
      </c>
      <c r="G1879" s="380" t="s">
        <v>1267</v>
      </c>
      <c r="H1879" s="380" t="s">
        <v>771</v>
      </c>
      <c r="I1879" s="380" t="s">
        <v>2664</v>
      </c>
      <c r="J1879" s="380" t="s">
        <v>773</v>
      </c>
      <c r="K1879" s="381">
        <v>0.0</v>
      </c>
      <c r="L1879" s="382">
        <v>1.0</v>
      </c>
    </row>
    <row r="1880">
      <c r="A1880" s="380" t="s">
        <v>2742</v>
      </c>
      <c r="B1880" s="380" t="str">
        <f>IFERROR(__xludf.DUMMYFUNCTION("""COMPUTED_VALUE"""),"Picatodo")</f>
        <v>Picatodo</v>
      </c>
      <c r="C1880" s="380" t="str">
        <f>IFERROR(__xludf.DUMMYFUNCTION("""COMPUTED_VALUE"""),"20000096")</f>
        <v>20000096</v>
      </c>
      <c r="D1880" s="380" t="s">
        <v>767</v>
      </c>
      <c r="E1880" s="380" t="s">
        <v>2663</v>
      </c>
      <c r="F1880" s="380" t="s">
        <v>1275</v>
      </c>
      <c r="G1880" s="380" t="s">
        <v>1267</v>
      </c>
      <c r="H1880" s="380" t="s">
        <v>771</v>
      </c>
      <c r="I1880" s="380" t="s">
        <v>2664</v>
      </c>
      <c r="J1880" s="380" t="s">
        <v>773</v>
      </c>
      <c r="K1880" s="381">
        <v>0.0</v>
      </c>
      <c r="L1880" s="382">
        <v>1.0</v>
      </c>
    </row>
    <row r="1881">
      <c r="A1881" s="380" t="s">
        <v>2743</v>
      </c>
      <c r="B1881" s="380" t="str">
        <f>IFERROR(__xludf.DUMMYFUNCTION("""COMPUTED_VALUE"""),"Horno Tostador Rifas empleado")</f>
        <v>Horno Tostador Rifas empleado</v>
      </c>
      <c r="C1881" s="380" t="str">
        <f>IFERROR(__xludf.DUMMYFUNCTION("""COMPUTED_VALUE"""),"20000097")</f>
        <v>20000097</v>
      </c>
      <c r="D1881" s="380" t="s">
        <v>767</v>
      </c>
      <c r="E1881" s="380" t="s">
        <v>2663</v>
      </c>
      <c r="F1881" s="380" t="s">
        <v>1275</v>
      </c>
      <c r="G1881" s="380" t="s">
        <v>1267</v>
      </c>
      <c r="H1881" s="380" t="s">
        <v>771</v>
      </c>
      <c r="I1881" s="380" t="s">
        <v>2664</v>
      </c>
      <c r="J1881" s="380" t="s">
        <v>773</v>
      </c>
      <c r="K1881" s="381">
        <v>0.0</v>
      </c>
      <c r="L1881" s="382">
        <v>1.0</v>
      </c>
    </row>
    <row r="1882">
      <c r="A1882" s="380" t="s">
        <v>2744</v>
      </c>
      <c r="B1882" s="380" t="str">
        <f>IFERROR(__xludf.DUMMYFUNCTION("""COMPUTED_VALUE"""),"Asador De Carbon Bbq")</f>
        <v>Asador De Carbon Bbq</v>
      </c>
      <c r="C1882" s="380" t="str">
        <f>IFERROR(__xludf.DUMMYFUNCTION("""COMPUTED_VALUE"""),"20000098")</f>
        <v>20000098</v>
      </c>
      <c r="D1882" s="380" t="s">
        <v>767</v>
      </c>
      <c r="E1882" s="380" t="s">
        <v>2663</v>
      </c>
      <c r="F1882" s="380" t="s">
        <v>1275</v>
      </c>
      <c r="G1882" s="380" t="s">
        <v>1267</v>
      </c>
      <c r="H1882" s="380" t="s">
        <v>771</v>
      </c>
      <c r="I1882" s="380" t="s">
        <v>2664</v>
      </c>
      <c r="J1882" s="380" t="s">
        <v>773</v>
      </c>
      <c r="K1882" s="381">
        <v>0.0</v>
      </c>
      <c r="L1882" s="382">
        <v>1.0</v>
      </c>
    </row>
    <row r="1883">
      <c r="A1883" s="380" t="s">
        <v>2745</v>
      </c>
      <c r="B1883" s="380" t="str">
        <f>IFERROR(__xludf.DUMMYFUNCTION("""COMPUTED_VALUE"""),"Vajilla X 4 Puestos Regalos Empleados")</f>
        <v>Vajilla X 4 Puestos Regalos Empleados</v>
      </c>
      <c r="C1883" s="380" t="str">
        <f>IFERROR(__xludf.DUMMYFUNCTION("""COMPUTED_VALUE"""),"20000099")</f>
        <v>20000099</v>
      </c>
      <c r="D1883" s="380" t="s">
        <v>767</v>
      </c>
      <c r="E1883" s="380" t="s">
        <v>2663</v>
      </c>
      <c r="F1883" s="380" t="s">
        <v>1275</v>
      </c>
      <c r="G1883" s="380" t="s">
        <v>1267</v>
      </c>
      <c r="H1883" s="380" t="s">
        <v>771</v>
      </c>
      <c r="I1883" s="380" t="s">
        <v>2664</v>
      </c>
      <c r="J1883" s="380" t="s">
        <v>773</v>
      </c>
      <c r="K1883" s="381">
        <v>0.0</v>
      </c>
      <c r="L1883" s="382">
        <v>1.0</v>
      </c>
    </row>
    <row r="1884">
      <c r="A1884" s="380" t="s">
        <v>2746</v>
      </c>
      <c r="B1884" s="380" t="str">
        <f>IFERROR(__xludf.DUMMYFUNCTION("""COMPUTED_VALUE"""),"Globo Coordinadora En Familia")</f>
        <v>Globo Coordinadora En Familia</v>
      </c>
      <c r="C1884" s="380" t="str">
        <f>IFERROR(__xludf.DUMMYFUNCTION("""COMPUTED_VALUE"""),"20000100")</f>
        <v>20000100</v>
      </c>
      <c r="D1884" s="380" t="s">
        <v>767</v>
      </c>
      <c r="E1884" s="380" t="s">
        <v>2663</v>
      </c>
      <c r="F1884" s="380" t="s">
        <v>1275</v>
      </c>
      <c r="G1884" s="380" t="s">
        <v>1267</v>
      </c>
      <c r="H1884" s="380" t="s">
        <v>771</v>
      </c>
      <c r="I1884" s="380" t="s">
        <v>2664</v>
      </c>
      <c r="J1884" s="380" t="s">
        <v>773</v>
      </c>
      <c r="K1884" s="381">
        <v>0.0</v>
      </c>
      <c r="L1884" s="382">
        <v>1.0</v>
      </c>
    </row>
    <row r="1885">
      <c r="A1885" s="380" t="s">
        <v>2747</v>
      </c>
      <c r="B1885" s="380" t="str">
        <f>IFERROR(__xludf.DUMMYFUNCTION("""COMPUTED_VALUE"""),"Raquetas Tennis De Mesa")</f>
        <v>Raquetas Tennis De Mesa</v>
      </c>
      <c r="C1885" s="380" t="str">
        <f>IFERROR(__xludf.DUMMYFUNCTION("""COMPUTED_VALUE"""),"20000101")</f>
        <v>20000101</v>
      </c>
      <c r="D1885" s="380" t="s">
        <v>767</v>
      </c>
      <c r="E1885" s="380" t="s">
        <v>2663</v>
      </c>
      <c r="F1885" s="380" t="s">
        <v>1275</v>
      </c>
      <c r="G1885" s="380" t="s">
        <v>1267</v>
      </c>
      <c r="H1885" s="380" t="s">
        <v>771</v>
      </c>
      <c r="I1885" s="380" t="s">
        <v>2664</v>
      </c>
      <c r="J1885" s="380" t="s">
        <v>773</v>
      </c>
      <c r="K1885" s="381">
        <v>0.0</v>
      </c>
      <c r="L1885" s="382">
        <v>1.0</v>
      </c>
    </row>
    <row r="1886">
      <c r="A1886" s="380" t="s">
        <v>2748</v>
      </c>
      <c r="B1886" s="380" t="str">
        <f>IFERROR(__xludf.DUMMYFUNCTION("""COMPUTED_VALUE"""),"Disco Mesa Hockey")</f>
        <v>Disco Mesa Hockey</v>
      </c>
      <c r="C1886" s="380" t="str">
        <f>IFERROR(__xludf.DUMMYFUNCTION("""COMPUTED_VALUE"""),"20000102")</f>
        <v>20000102</v>
      </c>
      <c r="D1886" s="380" t="s">
        <v>767</v>
      </c>
      <c r="E1886" s="380" t="s">
        <v>2663</v>
      </c>
      <c r="F1886" s="380" t="s">
        <v>1275</v>
      </c>
      <c r="G1886" s="380" t="s">
        <v>1267</v>
      </c>
      <c r="H1886" s="380" t="s">
        <v>771</v>
      </c>
      <c r="I1886" s="380" t="s">
        <v>2664</v>
      </c>
      <c r="J1886" s="380" t="s">
        <v>773</v>
      </c>
      <c r="K1886" s="381">
        <v>0.0</v>
      </c>
      <c r="L1886" s="382">
        <v>1.0</v>
      </c>
    </row>
    <row r="1887">
      <c r="A1887" s="380" t="s">
        <v>2749</v>
      </c>
      <c r="B1887" s="380" t="str">
        <f>IFERROR(__xludf.DUMMYFUNCTION("""COMPUTED_VALUE"""),"Juego De Mesa")</f>
        <v>Juego De Mesa</v>
      </c>
      <c r="C1887" s="380" t="str">
        <f>IFERROR(__xludf.DUMMYFUNCTION("""COMPUTED_VALUE"""),"20000103")</f>
        <v>20000103</v>
      </c>
      <c r="D1887" s="380" t="s">
        <v>767</v>
      </c>
      <c r="E1887" s="380" t="s">
        <v>2663</v>
      </c>
      <c r="F1887" s="380" t="s">
        <v>1275</v>
      </c>
      <c r="G1887" s="380" t="s">
        <v>1267</v>
      </c>
      <c r="H1887" s="380" t="s">
        <v>771</v>
      </c>
      <c r="I1887" s="380" t="s">
        <v>2664</v>
      </c>
      <c r="J1887" s="380" t="s">
        <v>773</v>
      </c>
      <c r="K1887" s="381">
        <v>0.0</v>
      </c>
      <c r="L1887" s="382">
        <v>1.0</v>
      </c>
    </row>
    <row r="1888">
      <c r="A1888" s="380" t="s">
        <v>2750</v>
      </c>
      <c r="B1888" s="380" t="str">
        <f>IFERROR(__xludf.DUMMYFUNCTION("""COMPUTED_VALUE"""),"Licuadora")</f>
        <v>Licuadora</v>
      </c>
      <c r="C1888" s="380" t="str">
        <f>IFERROR(__xludf.DUMMYFUNCTION("""COMPUTED_VALUE"""),"20000104")</f>
        <v>20000104</v>
      </c>
      <c r="D1888" s="380" t="s">
        <v>767</v>
      </c>
      <c r="E1888" s="380" t="s">
        <v>2663</v>
      </c>
      <c r="F1888" s="380" t="s">
        <v>1275</v>
      </c>
      <c r="G1888" s="380" t="s">
        <v>1267</v>
      </c>
      <c r="H1888" s="380" t="s">
        <v>771</v>
      </c>
      <c r="I1888" s="380" t="s">
        <v>2664</v>
      </c>
      <c r="J1888" s="380" t="s">
        <v>773</v>
      </c>
      <c r="K1888" s="381">
        <v>0.0</v>
      </c>
      <c r="L1888" s="382">
        <v>1.0</v>
      </c>
    </row>
    <row r="1889">
      <c r="A1889" s="380" t="s">
        <v>2751</v>
      </c>
      <c r="B1889" s="380" t="str">
        <f>IFERROR(__xludf.DUMMYFUNCTION("""COMPUTED_VALUE"""),"Plancha A Vapor")</f>
        <v>Plancha A Vapor</v>
      </c>
      <c r="C1889" s="380" t="str">
        <f>IFERROR(__xludf.DUMMYFUNCTION("""COMPUTED_VALUE"""),"20000105")</f>
        <v>20000105</v>
      </c>
      <c r="D1889" s="380" t="s">
        <v>767</v>
      </c>
      <c r="E1889" s="380" t="s">
        <v>2663</v>
      </c>
      <c r="F1889" s="380" t="s">
        <v>1275</v>
      </c>
      <c r="G1889" s="380" t="s">
        <v>1267</v>
      </c>
      <c r="H1889" s="380" t="s">
        <v>771</v>
      </c>
      <c r="I1889" s="380" t="s">
        <v>2664</v>
      </c>
      <c r="J1889" s="380" t="s">
        <v>773</v>
      </c>
      <c r="K1889" s="381">
        <v>0.0</v>
      </c>
      <c r="L1889" s="382">
        <v>1.0</v>
      </c>
    </row>
    <row r="1890">
      <c r="A1890" s="380" t="s">
        <v>2752</v>
      </c>
      <c r="B1890" s="380" t="str">
        <f>IFERROR(__xludf.DUMMYFUNCTION("""COMPUTED_VALUE"""),"Pelota Tennis De Mesa")</f>
        <v>Pelota Tennis De Mesa</v>
      </c>
      <c r="C1890" s="380" t="str">
        <f>IFERROR(__xludf.DUMMYFUNCTION("""COMPUTED_VALUE"""),"20000106")</f>
        <v>20000106</v>
      </c>
      <c r="D1890" s="380" t="s">
        <v>767</v>
      </c>
      <c r="E1890" s="380" t="s">
        <v>2663</v>
      </c>
      <c r="F1890" s="380" t="s">
        <v>1275</v>
      </c>
      <c r="G1890" s="380" t="s">
        <v>1267</v>
      </c>
      <c r="H1890" s="380" t="s">
        <v>771</v>
      </c>
      <c r="I1890" s="380" t="s">
        <v>2664</v>
      </c>
      <c r="J1890" s="380" t="s">
        <v>773</v>
      </c>
      <c r="K1890" s="381">
        <v>0.0</v>
      </c>
      <c r="L1890" s="382">
        <v>1.0</v>
      </c>
    </row>
    <row r="1891">
      <c r="A1891" s="380" t="s">
        <v>2753</v>
      </c>
      <c r="B1891" s="380" t="str">
        <f>IFERROR(__xludf.DUMMYFUNCTION("""COMPUTED_VALUE"""),"Juego De Baterias")</f>
        <v>Juego De Baterias</v>
      </c>
      <c r="C1891" s="380" t="str">
        <f>IFERROR(__xludf.DUMMYFUNCTION("""COMPUTED_VALUE"""),"20000107")</f>
        <v>20000107</v>
      </c>
      <c r="D1891" s="380" t="s">
        <v>767</v>
      </c>
      <c r="E1891" s="380" t="s">
        <v>2663</v>
      </c>
      <c r="F1891" s="380" t="s">
        <v>1275</v>
      </c>
      <c r="G1891" s="380" t="s">
        <v>1267</v>
      </c>
      <c r="H1891" s="380" t="s">
        <v>771</v>
      </c>
      <c r="I1891" s="380" t="s">
        <v>2664</v>
      </c>
      <c r="J1891" s="380" t="s">
        <v>773</v>
      </c>
      <c r="K1891" s="381">
        <v>0.0</v>
      </c>
      <c r="L1891" s="382">
        <v>1.0</v>
      </c>
    </row>
    <row r="1892">
      <c r="A1892" s="380" t="s">
        <v>2754</v>
      </c>
      <c r="B1892" s="380" t="str">
        <f>IFERROR(__xludf.DUMMYFUNCTION("""COMPUTED_VALUE"""),"Set Disparadores Mesa Hockey")</f>
        <v>Set Disparadores Mesa Hockey</v>
      </c>
      <c r="C1892" s="380" t="str">
        <f>IFERROR(__xludf.DUMMYFUNCTION("""COMPUTED_VALUE"""),"20000108")</f>
        <v>20000108</v>
      </c>
      <c r="D1892" s="380" t="s">
        <v>767</v>
      </c>
      <c r="E1892" s="380" t="s">
        <v>2663</v>
      </c>
      <c r="F1892" s="380" t="s">
        <v>1275</v>
      </c>
      <c r="G1892" s="380" t="s">
        <v>1267</v>
      </c>
      <c r="H1892" s="380" t="s">
        <v>771</v>
      </c>
      <c r="I1892" s="380" t="s">
        <v>2664</v>
      </c>
      <c r="J1892" s="380" t="s">
        <v>773</v>
      </c>
      <c r="K1892" s="381">
        <v>0.0</v>
      </c>
      <c r="L1892" s="382">
        <v>1.0</v>
      </c>
    </row>
    <row r="1893">
      <c r="A1893" s="380" t="s">
        <v>2755</v>
      </c>
      <c r="B1893" s="380" t="str">
        <f>IFERROR(__xludf.DUMMYFUNCTION("""COMPUTED_VALUE"""),"Tiza Mesa Billar Caja X 12")</f>
        <v>Tiza Mesa Billar Caja X 12</v>
      </c>
      <c r="C1893" s="380" t="str">
        <f>IFERROR(__xludf.DUMMYFUNCTION("""COMPUTED_VALUE"""),"20000109")</f>
        <v>20000109</v>
      </c>
      <c r="D1893" s="380" t="s">
        <v>767</v>
      </c>
      <c r="E1893" s="380" t="s">
        <v>2663</v>
      </c>
      <c r="F1893" s="380" t="s">
        <v>1275</v>
      </c>
      <c r="G1893" s="380" t="s">
        <v>1267</v>
      </c>
      <c r="H1893" s="380" t="s">
        <v>771</v>
      </c>
      <c r="I1893" s="380" t="s">
        <v>2664</v>
      </c>
      <c r="J1893" s="380" t="s">
        <v>773</v>
      </c>
      <c r="K1893" s="381">
        <v>0.0</v>
      </c>
      <c r="L1893" s="382">
        <v>1.0</v>
      </c>
    </row>
    <row r="1894">
      <c r="A1894" s="380" t="s">
        <v>2756</v>
      </c>
      <c r="B1894" s="380" t="str">
        <f>IFERROR(__xludf.DUMMYFUNCTION("""COMPUTED_VALUE"""),"Obsequio Evento Empresa Fin Año")</f>
        <v>Obsequio Evento Empresa Fin Año</v>
      </c>
      <c r="C1894" s="380" t="str">
        <f>IFERROR(__xludf.DUMMYFUNCTION("""COMPUTED_VALUE"""),"20000110")</f>
        <v>20000110</v>
      </c>
      <c r="D1894" s="380" t="s">
        <v>767</v>
      </c>
      <c r="E1894" s="380" t="s">
        <v>2663</v>
      </c>
      <c r="F1894" s="380" t="s">
        <v>1275</v>
      </c>
      <c r="G1894" s="380" t="s">
        <v>1267</v>
      </c>
      <c r="H1894" s="380" t="s">
        <v>771</v>
      </c>
      <c r="I1894" s="380" t="s">
        <v>2664</v>
      </c>
      <c r="J1894" s="380" t="s">
        <v>773</v>
      </c>
      <c r="K1894" s="381">
        <v>34335.0</v>
      </c>
      <c r="L1894" s="382">
        <v>1.0</v>
      </c>
    </row>
    <row r="1895">
      <c r="A1895" s="380" t="s">
        <v>2757</v>
      </c>
      <c r="B1895" s="380" t="str">
        <f>IFERROR(__xludf.DUMMYFUNCTION("""COMPUTED_VALUE"""),"Bicicleta Todo Terreno")</f>
        <v>Bicicleta Todo Terreno</v>
      </c>
      <c r="C1895" s="380" t="str">
        <f>IFERROR(__xludf.DUMMYFUNCTION("""COMPUTED_VALUE"""),"20000111")</f>
        <v>20000111</v>
      </c>
      <c r="D1895" s="380" t="s">
        <v>767</v>
      </c>
      <c r="E1895" s="380" t="s">
        <v>2663</v>
      </c>
      <c r="F1895" s="380" t="s">
        <v>1275</v>
      </c>
      <c r="G1895" s="380" t="s">
        <v>1267</v>
      </c>
      <c r="H1895" s="380" t="s">
        <v>771</v>
      </c>
      <c r="I1895" s="380" t="s">
        <v>2664</v>
      </c>
      <c r="J1895" s="380" t="s">
        <v>773</v>
      </c>
      <c r="K1895" s="381">
        <v>0.0</v>
      </c>
      <c r="L1895" s="382">
        <v>1.0</v>
      </c>
    </row>
    <row r="1896">
      <c r="A1896" s="380" t="s">
        <v>2758</v>
      </c>
      <c r="B1896" s="380" t="str">
        <f>IFERROR(__xludf.DUMMYFUNCTION("""COMPUTED_VALUE"""),"Bolsa Para Regalo")</f>
        <v>Bolsa Para Regalo</v>
      </c>
      <c r="C1896" s="380" t="str">
        <f>IFERROR(__xludf.DUMMYFUNCTION("""COMPUTED_VALUE"""),"20000112")</f>
        <v>20000112</v>
      </c>
      <c r="D1896" s="380" t="s">
        <v>767</v>
      </c>
      <c r="E1896" s="380" t="s">
        <v>2663</v>
      </c>
      <c r="F1896" s="380" t="s">
        <v>1275</v>
      </c>
      <c r="G1896" s="380" t="s">
        <v>1267</v>
      </c>
      <c r="H1896" s="380" t="s">
        <v>771</v>
      </c>
      <c r="I1896" s="380" t="s">
        <v>2664</v>
      </c>
      <c r="J1896" s="380" t="s">
        <v>773</v>
      </c>
      <c r="K1896" s="381">
        <v>0.0</v>
      </c>
      <c r="L1896" s="382">
        <v>1.0</v>
      </c>
    </row>
    <row r="1897">
      <c r="A1897" s="380" t="s">
        <v>2759</v>
      </c>
      <c r="B1897" s="380" t="str">
        <f>IFERROR(__xludf.DUMMYFUNCTION("""COMPUTED_VALUE"""),"Malla Tennis De Mesa")</f>
        <v>Malla Tennis De Mesa</v>
      </c>
      <c r="C1897" s="380" t="str">
        <f>IFERROR(__xludf.DUMMYFUNCTION("""COMPUTED_VALUE"""),"20000113")</f>
        <v>20000113</v>
      </c>
      <c r="D1897" s="380" t="s">
        <v>767</v>
      </c>
      <c r="E1897" s="380" t="s">
        <v>2663</v>
      </c>
      <c r="F1897" s="380" t="s">
        <v>1275</v>
      </c>
      <c r="G1897" s="380" t="s">
        <v>1267</v>
      </c>
      <c r="H1897" s="380" t="s">
        <v>771</v>
      </c>
      <c r="I1897" s="380" t="s">
        <v>2664</v>
      </c>
      <c r="J1897" s="380" t="s">
        <v>773</v>
      </c>
      <c r="K1897" s="381">
        <v>0.0</v>
      </c>
      <c r="L1897" s="382">
        <v>1.0</v>
      </c>
    </row>
    <row r="1898">
      <c r="A1898" s="380" t="s">
        <v>2760</v>
      </c>
      <c r="B1898" s="380" t="str">
        <f>IFERROR(__xludf.DUMMYFUNCTION("""COMPUTED_VALUE"""),"Papel Regalo")</f>
        <v>Papel Regalo</v>
      </c>
      <c r="C1898" s="380" t="str">
        <f>IFERROR(__xludf.DUMMYFUNCTION("""COMPUTED_VALUE"""),"20000114")</f>
        <v>20000114</v>
      </c>
      <c r="D1898" s="380" t="s">
        <v>767</v>
      </c>
      <c r="E1898" s="380" t="s">
        <v>2663</v>
      </c>
      <c r="F1898" s="380" t="s">
        <v>1275</v>
      </c>
      <c r="G1898" s="380" t="s">
        <v>1267</v>
      </c>
      <c r="H1898" s="380" t="s">
        <v>771</v>
      </c>
      <c r="I1898" s="380" t="s">
        <v>2664</v>
      </c>
      <c r="J1898" s="380" t="s">
        <v>773</v>
      </c>
      <c r="K1898" s="381">
        <v>0.0</v>
      </c>
      <c r="L1898" s="382">
        <v>1.0</v>
      </c>
    </row>
    <row r="1899">
      <c r="A1899" s="380" t="s">
        <v>2761</v>
      </c>
      <c r="B1899" s="380" t="str">
        <f>IFERROR(__xludf.DUMMYFUNCTION("""COMPUTED_VALUE"""),"Fomi Esc.4/Cartas 2 Mm.(43.2x5)")</f>
        <v>Fomi Esc.4/Cartas 2 Mm.(43.2x5)</v>
      </c>
      <c r="C1899" s="380" t="str">
        <f>IFERROR(__xludf.DUMMYFUNCTION("""COMPUTED_VALUE"""),"20000115")</f>
        <v>20000115</v>
      </c>
      <c r="D1899" s="380" t="s">
        <v>767</v>
      </c>
      <c r="E1899" s="380" t="s">
        <v>2663</v>
      </c>
      <c r="F1899" s="380" t="s">
        <v>1275</v>
      </c>
      <c r="G1899" s="380" t="s">
        <v>1267</v>
      </c>
      <c r="H1899" s="380" t="s">
        <v>771</v>
      </c>
      <c r="I1899" s="380" t="s">
        <v>2664</v>
      </c>
      <c r="J1899" s="380" t="s">
        <v>773</v>
      </c>
      <c r="K1899" s="381">
        <v>0.0</v>
      </c>
      <c r="L1899" s="382">
        <v>1.0</v>
      </c>
    </row>
    <row r="1900">
      <c r="A1900" s="380" t="s">
        <v>2762</v>
      </c>
      <c r="B1900" s="380" t="str">
        <f>IFERROR(__xludf.DUMMYFUNCTION("""COMPUTED_VALUE"""),"Cinta Doble Face 1/2")</f>
        <v>Cinta Doble Face 1/2</v>
      </c>
      <c r="C1900" s="380" t="str">
        <f>IFERROR(__xludf.DUMMYFUNCTION("""COMPUTED_VALUE"""),"20000116")</f>
        <v>20000116</v>
      </c>
      <c r="D1900" s="380" t="s">
        <v>767</v>
      </c>
      <c r="E1900" s="380" t="s">
        <v>2663</v>
      </c>
      <c r="F1900" s="380" t="s">
        <v>1275</v>
      </c>
      <c r="G1900" s="380" t="s">
        <v>1267</v>
      </c>
      <c r="H1900" s="380" t="s">
        <v>771</v>
      </c>
      <c r="I1900" s="380" t="s">
        <v>2664</v>
      </c>
      <c r="J1900" s="380" t="s">
        <v>773</v>
      </c>
      <c r="K1900" s="381">
        <v>0.0</v>
      </c>
      <c r="L1900" s="382">
        <v>1.0</v>
      </c>
    </row>
    <row r="1901">
      <c r="A1901" s="380" t="s">
        <v>2763</v>
      </c>
      <c r="B1901" s="380" t="str">
        <f>IFERROR(__xludf.DUMMYFUNCTION("""COMPUTED_VALUE"""),"Trofeo De Reconocimiento")</f>
        <v>Trofeo De Reconocimiento</v>
      </c>
      <c r="C1901" s="380" t="str">
        <f>IFERROR(__xludf.DUMMYFUNCTION("""COMPUTED_VALUE"""),"20000117")</f>
        <v>20000117</v>
      </c>
      <c r="D1901" s="380" t="s">
        <v>767</v>
      </c>
      <c r="E1901" s="380" t="s">
        <v>2663</v>
      </c>
      <c r="F1901" s="380" t="s">
        <v>1275</v>
      </c>
      <c r="G1901" s="380" t="s">
        <v>1267</v>
      </c>
      <c r="H1901" s="380" t="s">
        <v>771</v>
      </c>
      <c r="I1901" s="380" t="s">
        <v>2664</v>
      </c>
      <c r="J1901" s="380" t="s">
        <v>773</v>
      </c>
      <c r="K1901" s="381">
        <v>0.0</v>
      </c>
      <c r="L1901" s="382">
        <v>1.0</v>
      </c>
    </row>
    <row r="1902">
      <c r="A1902" s="380" t="s">
        <v>2764</v>
      </c>
      <c r="B1902" s="380" t="str">
        <f>IFERROR(__xludf.DUMMYFUNCTION("""COMPUTED_VALUE"""),"Cinta Dorativa")</f>
        <v>Cinta Dorativa</v>
      </c>
      <c r="C1902" s="380" t="str">
        <f>IFERROR(__xludf.DUMMYFUNCTION("""COMPUTED_VALUE"""),"20000118")</f>
        <v>20000118</v>
      </c>
      <c r="D1902" s="380" t="s">
        <v>767</v>
      </c>
      <c r="E1902" s="380" t="s">
        <v>2663</v>
      </c>
      <c r="F1902" s="380" t="s">
        <v>1275</v>
      </c>
      <c r="G1902" s="380" t="s">
        <v>1267</v>
      </c>
      <c r="H1902" s="380" t="s">
        <v>771</v>
      </c>
      <c r="I1902" s="380" t="s">
        <v>2664</v>
      </c>
      <c r="J1902" s="380" t="s">
        <v>773</v>
      </c>
      <c r="K1902" s="381">
        <v>0.0</v>
      </c>
      <c r="L1902" s="382">
        <v>1.0</v>
      </c>
    </row>
    <row r="1903">
      <c r="A1903" s="380" t="s">
        <v>2765</v>
      </c>
      <c r="B1903" s="380" t="str">
        <f>IFERROR(__xludf.DUMMYFUNCTION("""COMPUTED_VALUE"""),"Exprimidor De Jugo")</f>
        <v>Exprimidor De Jugo</v>
      </c>
      <c r="C1903" s="380" t="str">
        <f>IFERROR(__xludf.DUMMYFUNCTION("""COMPUTED_VALUE"""),"20000119")</f>
        <v>20000119</v>
      </c>
      <c r="D1903" s="380" t="s">
        <v>767</v>
      </c>
      <c r="E1903" s="380" t="s">
        <v>2663</v>
      </c>
      <c r="F1903" s="380" t="s">
        <v>1275</v>
      </c>
      <c r="G1903" s="380" t="s">
        <v>1267</v>
      </c>
      <c r="H1903" s="380" t="s">
        <v>771</v>
      </c>
      <c r="I1903" s="380" t="s">
        <v>2664</v>
      </c>
      <c r="J1903" s="380" t="s">
        <v>773</v>
      </c>
      <c r="K1903" s="381">
        <v>0.0</v>
      </c>
      <c r="L1903" s="382">
        <v>1.0</v>
      </c>
    </row>
    <row r="1904">
      <c r="A1904" s="380" t="s">
        <v>2766</v>
      </c>
      <c r="B1904" s="380" t="str">
        <f>IFERROR(__xludf.DUMMYFUNCTION("""COMPUTED_VALUE"""),"Cobija")</f>
        <v>Cobija</v>
      </c>
      <c r="C1904" s="380" t="str">
        <f>IFERROR(__xludf.DUMMYFUNCTION("""COMPUTED_VALUE"""),"20000120")</f>
        <v>20000120</v>
      </c>
      <c r="D1904" s="380" t="s">
        <v>767</v>
      </c>
      <c r="E1904" s="380" t="s">
        <v>2663</v>
      </c>
      <c r="F1904" s="380" t="s">
        <v>1275</v>
      </c>
      <c r="G1904" s="380" t="s">
        <v>1267</v>
      </c>
      <c r="H1904" s="380" t="s">
        <v>771</v>
      </c>
      <c r="I1904" s="380" t="s">
        <v>2664</v>
      </c>
      <c r="J1904" s="380" t="s">
        <v>773</v>
      </c>
      <c r="K1904" s="381">
        <v>0.0</v>
      </c>
      <c r="L1904" s="382">
        <v>1.0</v>
      </c>
    </row>
    <row r="1905">
      <c r="A1905" s="380" t="s">
        <v>2767</v>
      </c>
      <c r="B1905" s="380" t="str">
        <f>IFERROR(__xludf.DUMMYFUNCTION("""COMPUTED_VALUE"""),"Obsequio Brigadista")</f>
        <v>Obsequio Brigadista</v>
      </c>
      <c r="C1905" s="380" t="str">
        <f>IFERROR(__xludf.DUMMYFUNCTION("""COMPUTED_VALUE"""),"20000121")</f>
        <v>20000121</v>
      </c>
      <c r="D1905" s="380" t="s">
        <v>767</v>
      </c>
      <c r="E1905" s="380" t="s">
        <v>2663</v>
      </c>
      <c r="F1905" s="380" t="s">
        <v>1275</v>
      </c>
      <c r="G1905" s="380" t="s">
        <v>1267</v>
      </c>
      <c r="H1905" s="380" t="s">
        <v>771</v>
      </c>
      <c r="I1905" s="380" t="s">
        <v>2664</v>
      </c>
      <c r="J1905" s="380" t="s">
        <v>773</v>
      </c>
      <c r="K1905" s="381">
        <v>0.0</v>
      </c>
      <c r="L1905" s="382">
        <v>1.0</v>
      </c>
    </row>
    <row r="1906">
      <c r="A1906" s="380" t="s">
        <v>2768</v>
      </c>
      <c r="B1906" s="380" t="str">
        <f>IFERROR(__xludf.DUMMYFUNCTION("""COMPUTED_VALUE"""),"Tractomula A Escala")</f>
        <v>Tractomula A Escala</v>
      </c>
      <c r="C1906" s="380" t="str">
        <f>IFERROR(__xludf.DUMMYFUNCTION("""COMPUTED_VALUE"""),"20000122")</f>
        <v>20000122</v>
      </c>
      <c r="D1906" s="380" t="s">
        <v>767</v>
      </c>
      <c r="E1906" s="380" t="s">
        <v>2663</v>
      </c>
      <c r="F1906" s="380" t="s">
        <v>1275</v>
      </c>
      <c r="G1906" s="380" t="s">
        <v>1267</v>
      </c>
      <c r="H1906" s="380" t="s">
        <v>771</v>
      </c>
      <c r="I1906" s="380" t="s">
        <v>2664</v>
      </c>
      <c r="J1906" s="380" t="s">
        <v>773</v>
      </c>
      <c r="K1906" s="381">
        <v>0.0</v>
      </c>
      <c r="L1906" s="382">
        <v>1.0</v>
      </c>
    </row>
    <row r="1907">
      <c r="A1907" s="380" t="s">
        <v>2769</v>
      </c>
      <c r="B1907" s="380" t="str">
        <f>IFERROR(__xludf.DUMMYFUNCTION("""COMPUTED_VALUE"""),"Instalaciones Navideñas")</f>
        <v>Instalaciones Navideñas</v>
      </c>
      <c r="C1907" s="380" t="str">
        <f>IFERROR(__xludf.DUMMYFUNCTION("""COMPUTED_VALUE"""),"20000123")</f>
        <v>20000123</v>
      </c>
      <c r="D1907" s="380" t="s">
        <v>767</v>
      </c>
      <c r="E1907" s="380" t="s">
        <v>2663</v>
      </c>
      <c r="F1907" s="380" t="s">
        <v>1275</v>
      </c>
      <c r="G1907" s="380" t="s">
        <v>1267</v>
      </c>
      <c r="H1907" s="380" t="s">
        <v>771</v>
      </c>
      <c r="I1907" s="380" t="s">
        <v>2664</v>
      </c>
      <c r="J1907" s="380" t="s">
        <v>773</v>
      </c>
      <c r="K1907" s="381">
        <v>0.0</v>
      </c>
      <c r="L1907" s="382">
        <v>1.0</v>
      </c>
    </row>
    <row r="1908">
      <c r="A1908" s="380" t="s">
        <v>2770</v>
      </c>
      <c r="B1908" s="380" t="str">
        <f>IFERROR(__xludf.DUMMYFUNCTION("""COMPUTED_VALUE"""),"Plegable Inducción Coorporativa")</f>
        <v>Plegable Inducción Coorporativa</v>
      </c>
      <c r="C1908" s="380" t="str">
        <f>IFERROR(__xludf.DUMMYFUNCTION("""COMPUTED_VALUE"""),"20000124")</f>
        <v>20000124</v>
      </c>
      <c r="D1908" s="380" t="s">
        <v>767</v>
      </c>
      <c r="E1908" s="380" t="s">
        <v>2663</v>
      </c>
      <c r="F1908" s="380" t="s">
        <v>1275</v>
      </c>
      <c r="G1908" s="380" t="s">
        <v>1267</v>
      </c>
      <c r="H1908" s="380" t="s">
        <v>771</v>
      </c>
      <c r="I1908" s="380" t="s">
        <v>2664</v>
      </c>
      <c r="J1908" s="380" t="s">
        <v>773</v>
      </c>
      <c r="K1908" s="381">
        <v>0.0</v>
      </c>
      <c r="L1908" s="382">
        <v>1.0</v>
      </c>
    </row>
    <row r="1909">
      <c r="A1909" s="380" t="s">
        <v>2771</v>
      </c>
      <c r="B1909" s="380" t="str">
        <f>IFERROR(__xludf.DUMMYFUNCTION("""COMPUTED_VALUE"""),"Boton Publicitario")</f>
        <v>Boton Publicitario</v>
      </c>
      <c r="C1909" s="380" t="str">
        <f>IFERROR(__xludf.DUMMYFUNCTION("""COMPUTED_VALUE"""),"20000125")</f>
        <v>20000125</v>
      </c>
      <c r="D1909" s="380" t="s">
        <v>767</v>
      </c>
      <c r="E1909" s="380" t="s">
        <v>2663</v>
      </c>
      <c r="F1909" s="380" t="s">
        <v>1275</v>
      </c>
      <c r="G1909" s="380" t="s">
        <v>1267</v>
      </c>
      <c r="H1909" s="380" t="s">
        <v>771</v>
      </c>
      <c r="I1909" s="380" t="s">
        <v>2664</v>
      </c>
      <c r="J1909" s="380" t="s">
        <v>773</v>
      </c>
      <c r="K1909" s="381">
        <v>0.0</v>
      </c>
      <c r="L1909" s="382">
        <v>1.0</v>
      </c>
    </row>
    <row r="1910">
      <c r="A1910" s="380" t="s">
        <v>2772</v>
      </c>
      <c r="B1910" s="380" t="str">
        <f>IFERROR(__xludf.DUMMYFUNCTION("""COMPUTED_VALUE"""),"Torta")</f>
        <v>Torta</v>
      </c>
      <c r="C1910" s="380" t="str">
        <f>IFERROR(__xludf.DUMMYFUNCTION("""COMPUTED_VALUE"""),"20000126")</f>
        <v>20000126</v>
      </c>
      <c r="D1910" s="380" t="s">
        <v>767</v>
      </c>
      <c r="E1910" s="380" t="s">
        <v>2663</v>
      </c>
      <c r="F1910" s="380" t="s">
        <v>1275</v>
      </c>
      <c r="G1910" s="380" t="s">
        <v>1267</v>
      </c>
      <c r="H1910" s="380" t="s">
        <v>771</v>
      </c>
      <c r="I1910" s="380" t="s">
        <v>2664</v>
      </c>
      <c r="J1910" s="380" t="s">
        <v>773</v>
      </c>
      <c r="K1910" s="381">
        <v>0.0</v>
      </c>
      <c r="L1910" s="382">
        <v>1.0</v>
      </c>
    </row>
    <row r="1911">
      <c r="A1911" s="380" t="s">
        <v>2773</v>
      </c>
      <c r="B1911" s="380" t="str">
        <f>IFERROR(__xludf.DUMMYFUNCTION("""COMPUTED_VALUE"""),"Pelicula Fifa 2023 Xbox")</f>
        <v>Pelicula Fifa 2023 Xbox</v>
      </c>
      <c r="C1911" s="380" t="str">
        <f>IFERROR(__xludf.DUMMYFUNCTION("""COMPUTED_VALUE"""),"20000127")</f>
        <v>20000127</v>
      </c>
      <c r="D1911" s="380" t="s">
        <v>767</v>
      </c>
      <c r="E1911" s="380" t="s">
        <v>2663</v>
      </c>
      <c r="F1911" s="380" t="s">
        <v>1275</v>
      </c>
      <c r="G1911" s="380" t="s">
        <v>1267</v>
      </c>
      <c r="H1911" s="380" t="s">
        <v>771</v>
      </c>
      <c r="I1911" s="380" t="s">
        <v>2664</v>
      </c>
      <c r="J1911" s="380" t="s">
        <v>773</v>
      </c>
      <c r="K1911" s="381">
        <v>0.0</v>
      </c>
      <c r="L1911" s="382">
        <v>1.0</v>
      </c>
    </row>
    <row r="1912">
      <c r="A1912" s="380" t="s">
        <v>2774</v>
      </c>
      <c r="B1912" s="380" t="str">
        <f>IFERROR(__xludf.DUMMYFUNCTION("""COMPUTED_VALUE"""),"Obsequio Día De La Madre")</f>
        <v>Obsequio Día De La Madre</v>
      </c>
      <c r="C1912" s="380" t="str">
        <f>IFERROR(__xludf.DUMMYFUNCTION("""COMPUTED_VALUE"""),"20000128")</f>
        <v>20000128</v>
      </c>
      <c r="D1912" s="380" t="s">
        <v>767</v>
      </c>
      <c r="E1912" s="380" t="s">
        <v>2663</v>
      </c>
      <c r="F1912" s="380" t="s">
        <v>1275</v>
      </c>
      <c r="G1912" s="380" t="s">
        <v>1267</v>
      </c>
      <c r="H1912" s="380" t="s">
        <v>771</v>
      </c>
      <c r="I1912" s="380" t="s">
        <v>2664</v>
      </c>
      <c r="J1912" s="380" t="s">
        <v>773</v>
      </c>
      <c r="K1912" s="381">
        <v>0.0</v>
      </c>
      <c r="L1912" s="382">
        <v>1.0</v>
      </c>
    </row>
    <row r="1913">
      <c r="A1913" s="380" t="s">
        <v>2775</v>
      </c>
      <c r="B1913" s="380" t="str">
        <f>IFERROR(__xludf.DUMMYFUNCTION("""COMPUTED_VALUE"""),"Helado")</f>
        <v>Helado</v>
      </c>
      <c r="C1913" s="380" t="str">
        <f>IFERROR(__xludf.DUMMYFUNCTION("""COMPUTED_VALUE"""),"20000129")</f>
        <v>20000129</v>
      </c>
      <c r="D1913" s="380" t="s">
        <v>767</v>
      </c>
      <c r="E1913" s="380" t="s">
        <v>2663</v>
      </c>
      <c r="F1913" s="380" t="s">
        <v>1275</v>
      </c>
      <c r="G1913" s="380" t="s">
        <v>1267</v>
      </c>
      <c r="H1913" s="380" t="s">
        <v>771</v>
      </c>
      <c r="I1913" s="380" t="s">
        <v>2664</v>
      </c>
      <c r="J1913" s="380" t="s">
        <v>773</v>
      </c>
      <c r="K1913" s="381">
        <v>0.0</v>
      </c>
      <c r="L1913" s="382">
        <v>1.0</v>
      </c>
    </row>
    <row r="1914">
      <c r="A1914" s="380" t="s">
        <v>2776</v>
      </c>
      <c r="B1914" s="380" t="str">
        <f>IFERROR(__xludf.DUMMYFUNCTION("""COMPUTED_VALUE"""),"Olla De Arroz")</f>
        <v>Olla De Arroz</v>
      </c>
      <c r="C1914" s="380" t="str">
        <f>IFERROR(__xludf.DUMMYFUNCTION("""COMPUTED_VALUE"""),"20000130")</f>
        <v>20000130</v>
      </c>
      <c r="D1914" s="380" t="s">
        <v>767</v>
      </c>
      <c r="E1914" s="380" t="s">
        <v>2663</v>
      </c>
      <c r="F1914" s="380" t="s">
        <v>1275</v>
      </c>
      <c r="G1914" s="380" t="s">
        <v>1267</v>
      </c>
      <c r="H1914" s="380" t="s">
        <v>771</v>
      </c>
      <c r="I1914" s="380" t="s">
        <v>2664</v>
      </c>
      <c r="J1914" s="380" t="s">
        <v>773</v>
      </c>
      <c r="K1914" s="381">
        <v>0.0</v>
      </c>
      <c r="L1914" s="382">
        <v>1.0</v>
      </c>
    </row>
    <row r="1915">
      <c r="A1915" s="380" t="s">
        <v>2777</v>
      </c>
      <c r="B1915" s="380" t="str">
        <f>IFERROR(__xludf.DUMMYFUNCTION("""COMPUTED_VALUE"""),"Cinta Metrica")</f>
        <v>Cinta Metrica</v>
      </c>
      <c r="C1915" s="380" t="str">
        <f>IFERROR(__xludf.DUMMYFUNCTION("""COMPUTED_VALUE"""),"20000131")</f>
        <v>20000131</v>
      </c>
      <c r="D1915" s="380" t="s">
        <v>767</v>
      </c>
      <c r="E1915" s="380" t="s">
        <v>2663</v>
      </c>
      <c r="F1915" s="380" t="s">
        <v>1275</v>
      </c>
      <c r="G1915" s="380" t="s">
        <v>1267</v>
      </c>
      <c r="H1915" s="380" t="s">
        <v>771</v>
      </c>
      <c r="I1915" s="380" t="s">
        <v>2664</v>
      </c>
      <c r="J1915" s="380" t="s">
        <v>773</v>
      </c>
      <c r="K1915" s="381">
        <v>0.0</v>
      </c>
      <c r="L1915" s="382">
        <v>1.0</v>
      </c>
    </row>
    <row r="1916">
      <c r="A1916" s="380" t="s">
        <v>2778</v>
      </c>
      <c r="B1916" s="380" t="str">
        <f>IFERROR(__xludf.DUMMYFUNCTION("""COMPUTED_VALUE"""),"Obsequio Fin De Año Waflera")</f>
        <v>Obsequio Fin De Año Waflera</v>
      </c>
      <c r="C1916" s="380" t="str">
        <f>IFERROR(__xludf.DUMMYFUNCTION("""COMPUTED_VALUE"""),"20000140")</f>
        <v>20000140</v>
      </c>
      <c r="D1916" s="380" t="s">
        <v>767</v>
      </c>
      <c r="E1916" s="380" t="s">
        <v>2663</v>
      </c>
      <c r="F1916" s="380" t="s">
        <v>1275</v>
      </c>
      <c r="G1916" s="380" t="s">
        <v>1267</v>
      </c>
      <c r="H1916" s="380" t="s">
        <v>771</v>
      </c>
      <c r="I1916" s="380" t="s">
        <v>2664</v>
      </c>
      <c r="J1916" s="380" t="s">
        <v>773</v>
      </c>
      <c r="K1916" s="381">
        <v>34533.0</v>
      </c>
      <c r="L1916" s="382">
        <v>1.0</v>
      </c>
    </row>
    <row r="1917">
      <c r="A1917" s="380" t="s">
        <v>2779</v>
      </c>
      <c r="B1917" s="380" t="str">
        <f>IFERROR(__xludf.DUMMYFUNCTION("""COMPUTED_VALUE"""),"Cafeteras 12 Tazas")</f>
        <v>Cafeteras 12 Tazas</v>
      </c>
      <c r="C1917" s="380" t="str">
        <f>IFERROR(__xludf.DUMMYFUNCTION("""COMPUTED_VALUE"""),"20000141")</f>
        <v>20000141</v>
      </c>
      <c r="D1917" s="380" t="s">
        <v>767</v>
      </c>
      <c r="E1917" s="380" t="s">
        <v>2663</v>
      </c>
      <c r="F1917" s="380" t="s">
        <v>2780</v>
      </c>
      <c r="G1917" s="380" t="s">
        <v>1267</v>
      </c>
      <c r="H1917" s="380" t="s">
        <v>771</v>
      </c>
      <c r="I1917" s="380" t="s">
        <v>788</v>
      </c>
      <c r="J1917" s="380" t="s">
        <v>773</v>
      </c>
      <c r="K1917" s="381">
        <v>289899.0</v>
      </c>
      <c r="L1917" s="382">
        <v>1.0</v>
      </c>
    </row>
    <row r="1918">
      <c r="A1918" s="380" t="s">
        <v>2781</v>
      </c>
      <c r="B1918" s="380" t="str">
        <f>IFERROR(__xludf.DUMMYFUNCTION("""COMPUTED_VALUE"""),"Chaqueta Institucional Con Logo 38")</f>
        <v>Chaqueta Institucional Con Logo 38</v>
      </c>
      <c r="C1918" s="380" t="str">
        <f>IFERROR(__xludf.DUMMYFUNCTION("""COMPUTED_VALUE"""),"30000160")</f>
        <v>30000160</v>
      </c>
      <c r="D1918" s="380" t="s">
        <v>767</v>
      </c>
      <c r="E1918" s="380" t="s">
        <v>810</v>
      </c>
      <c r="F1918" s="380" t="s">
        <v>1089</v>
      </c>
      <c r="G1918" s="380" t="s">
        <v>1267</v>
      </c>
      <c r="H1918" s="380" t="s">
        <v>771</v>
      </c>
      <c r="I1918" s="380" t="s">
        <v>1084</v>
      </c>
      <c r="J1918" s="380" t="s">
        <v>773</v>
      </c>
      <c r="K1918" s="381">
        <v>0.0</v>
      </c>
      <c r="L1918" s="382">
        <v>1.0</v>
      </c>
    </row>
    <row r="1919">
      <c r="A1919" s="380" t="s">
        <v>2782</v>
      </c>
      <c r="B1919" s="380" t="str">
        <f>IFERROR(__xludf.DUMMYFUNCTION("""COMPUTED_VALUE"""),"Chaqueta Institucional Con Logo L")</f>
        <v>Chaqueta Institucional Con Logo L</v>
      </c>
      <c r="C1919" s="380" t="str">
        <f>IFERROR(__xludf.DUMMYFUNCTION("""COMPUTED_VALUE"""),"30000161")</f>
        <v>30000161</v>
      </c>
      <c r="D1919" s="380" t="s">
        <v>767</v>
      </c>
      <c r="E1919" s="380" t="s">
        <v>810</v>
      </c>
      <c r="F1919" s="380" t="s">
        <v>1089</v>
      </c>
      <c r="G1919" s="380" t="s">
        <v>1267</v>
      </c>
      <c r="H1919" s="380" t="s">
        <v>771</v>
      </c>
      <c r="I1919" s="380" t="s">
        <v>1084</v>
      </c>
      <c r="J1919" s="380" t="s">
        <v>773</v>
      </c>
      <c r="K1919" s="381">
        <v>0.0</v>
      </c>
      <c r="L1919" s="382">
        <v>1.0</v>
      </c>
    </row>
    <row r="1920">
      <c r="A1920" s="380" t="s">
        <v>2783</v>
      </c>
      <c r="B1920" s="380" t="str">
        <f>IFERROR(__xludf.DUMMYFUNCTION("""COMPUTED_VALUE"""),"Guantes Lavador G80 Verde 13""")</f>
        <v>Guantes Lavador G80 Verde 13"</v>
      </c>
      <c r="C1920" s="380" t="str">
        <f>IFERROR(__xludf.DUMMYFUNCTION("""COMPUTED_VALUE"""),"30000162")</f>
        <v>30000162</v>
      </c>
      <c r="D1920" s="380" t="s">
        <v>767</v>
      </c>
      <c r="E1920" s="380" t="s">
        <v>810</v>
      </c>
      <c r="F1920" s="380" t="s">
        <v>1083</v>
      </c>
      <c r="G1920" s="380" t="s">
        <v>1267</v>
      </c>
      <c r="H1920" s="380" t="s">
        <v>771</v>
      </c>
      <c r="I1920" s="380" t="s">
        <v>1084</v>
      </c>
      <c r="J1920" s="380" t="s">
        <v>773</v>
      </c>
      <c r="K1920" s="381">
        <v>0.0</v>
      </c>
      <c r="L1920" s="382">
        <v>1.0</v>
      </c>
    </row>
    <row r="1921">
      <c r="A1921" s="380" t="s">
        <v>2784</v>
      </c>
      <c r="B1921" s="380" t="str">
        <f>IFERROR(__xludf.DUMMYFUNCTION("""COMPUTED_VALUE"""),"Guantes Mecanico Pintor Elec 11980075")</f>
        <v>Guantes Mecanico Pintor Elec 11980075</v>
      </c>
      <c r="C1921" s="380" t="str">
        <f>IFERROR(__xludf.DUMMYFUNCTION("""COMPUTED_VALUE"""),"30000163")</f>
        <v>30000163</v>
      </c>
      <c r="D1921" s="380" t="s">
        <v>767</v>
      </c>
      <c r="E1921" s="380" t="s">
        <v>810</v>
      </c>
      <c r="F1921" s="380" t="s">
        <v>1083</v>
      </c>
      <c r="G1921" s="380" t="s">
        <v>1267</v>
      </c>
      <c r="H1921" s="380" t="s">
        <v>771</v>
      </c>
      <c r="I1921" s="380" t="s">
        <v>1084</v>
      </c>
      <c r="J1921" s="380" t="s">
        <v>773</v>
      </c>
      <c r="K1921" s="381">
        <v>0.0</v>
      </c>
      <c r="L1921" s="382">
        <v>1.0</v>
      </c>
    </row>
    <row r="1922">
      <c r="A1922" s="380" t="s">
        <v>2785</v>
      </c>
      <c r="B1922" s="380" t="str">
        <f>IFERROR(__xludf.DUMMYFUNCTION("""COMPUTED_VALUE"""),"Guantes Mecanico Ajuste Piez G40 Poliur")</f>
        <v>Guantes Mecanico Ajuste Piez G40 Poliur</v>
      </c>
      <c r="C1922" s="380" t="str">
        <f>IFERROR(__xludf.DUMMYFUNCTION("""COMPUTED_VALUE"""),"30000164")</f>
        <v>30000164</v>
      </c>
      <c r="D1922" s="380" t="s">
        <v>767</v>
      </c>
      <c r="E1922" s="380" t="s">
        <v>810</v>
      </c>
      <c r="F1922" s="380" t="s">
        <v>1083</v>
      </c>
      <c r="G1922" s="380" t="s">
        <v>1267</v>
      </c>
      <c r="H1922" s="380" t="s">
        <v>771</v>
      </c>
      <c r="I1922" s="380" t="s">
        <v>1084</v>
      </c>
      <c r="J1922" s="380" t="s">
        <v>773</v>
      </c>
      <c r="K1922" s="381">
        <v>0.0</v>
      </c>
      <c r="L1922" s="382">
        <v>1.0</v>
      </c>
    </row>
    <row r="1923">
      <c r="A1923" s="380" t="s">
        <v>2786</v>
      </c>
      <c r="B1923" s="380" t="str">
        <f>IFERROR(__xludf.DUMMYFUNCTION("""COMPUTED_VALUE"""),"Pantalon Lino Prenses 30")</f>
        <v>Pantalon Lino Prenses 30</v>
      </c>
      <c r="C1923" s="380" t="str">
        <f>IFERROR(__xludf.DUMMYFUNCTION("""COMPUTED_VALUE"""),"30000165")</f>
        <v>30000165</v>
      </c>
      <c r="D1923" s="380" t="s">
        <v>767</v>
      </c>
      <c r="E1923" s="380" t="s">
        <v>810</v>
      </c>
      <c r="F1923" s="380" t="s">
        <v>1089</v>
      </c>
      <c r="G1923" s="380" t="s">
        <v>1267</v>
      </c>
      <c r="H1923" s="380" t="s">
        <v>771</v>
      </c>
      <c r="I1923" s="380" t="s">
        <v>1084</v>
      </c>
      <c r="J1923" s="380" t="s">
        <v>773</v>
      </c>
      <c r="K1923" s="381">
        <v>39966.0</v>
      </c>
      <c r="L1923" s="382">
        <v>1.0</v>
      </c>
    </row>
    <row r="1924">
      <c r="A1924" s="380" t="s">
        <v>2787</v>
      </c>
      <c r="B1924" s="380" t="str">
        <f>IFERROR(__xludf.DUMMYFUNCTION("""COMPUTED_VALUE"""),"Guantes G40 Latex Latonero")</f>
        <v>Guantes G40 Latex Latonero</v>
      </c>
      <c r="C1924" s="380" t="str">
        <f>IFERROR(__xludf.DUMMYFUNCTION("""COMPUTED_VALUE"""),"30000166")</f>
        <v>30000166</v>
      </c>
      <c r="D1924" s="380" t="s">
        <v>767</v>
      </c>
      <c r="E1924" s="380" t="s">
        <v>810</v>
      </c>
      <c r="F1924" s="380" t="s">
        <v>1083</v>
      </c>
      <c r="G1924" s="380" t="s">
        <v>1267</v>
      </c>
      <c r="H1924" s="380" t="s">
        <v>771</v>
      </c>
      <c r="I1924" s="380" t="s">
        <v>1084</v>
      </c>
      <c r="J1924" s="380" t="s">
        <v>773</v>
      </c>
      <c r="K1924" s="381">
        <v>0.0</v>
      </c>
      <c r="L1924" s="382">
        <v>1.0</v>
      </c>
    </row>
    <row r="1925">
      <c r="A1925" s="380" t="s">
        <v>2788</v>
      </c>
      <c r="B1925" s="380" t="str">
        <f>IFERROR(__xludf.DUMMYFUNCTION("""COMPUTED_VALUE"""),"Mascarilla Desechable Con Respiradero")</f>
        <v>Mascarilla Desechable Con Respiradero</v>
      </c>
      <c r="C1925" s="380" t="str">
        <f>IFERROR(__xludf.DUMMYFUNCTION("""COMPUTED_VALUE"""),"30000167")</f>
        <v>30000167</v>
      </c>
      <c r="D1925" s="380" t="s">
        <v>767</v>
      </c>
      <c r="E1925" s="380" t="s">
        <v>810</v>
      </c>
      <c r="F1925" s="380" t="s">
        <v>1083</v>
      </c>
      <c r="G1925" s="380" t="s">
        <v>1267</v>
      </c>
      <c r="H1925" s="380" t="s">
        <v>771</v>
      </c>
      <c r="I1925" s="380" t="s">
        <v>1084</v>
      </c>
      <c r="J1925" s="380" t="s">
        <v>773</v>
      </c>
      <c r="K1925" s="381">
        <v>7570.0</v>
      </c>
      <c r="L1925" s="382">
        <v>1.0</v>
      </c>
    </row>
    <row r="1926">
      <c r="A1926" s="380" t="s">
        <v>2789</v>
      </c>
      <c r="B1926" s="380" t="str">
        <f>IFERROR(__xludf.DUMMYFUNCTION("""COMPUTED_VALUE"""),"Gorro En Jean Soldador 8611056")</f>
        <v>Gorro En Jean Soldador 8611056</v>
      </c>
      <c r="C1926" s="380" t="str">
        <f>IFERROR(__xludf.DUMMYFUNCTION("""COMPUTED_VALUE"""),"30000168")</f>
        <v>30000168</v>
      </c>
      <c r="D1926" s="380" t="s">
        <v>767</v>
      </c>
      <c r="E1926" s="380" t="s">
        <v>810</v>
      </c>
      <c r="F1926" s="380" t="s">
        <v>1083</v>
      </c>
      <c r="G1926" s="380" t="s">
        <v>1267</v>
      </c>
      <c r="H1926" s="380" t="s">
        <v>771</v>
      </c>
      <c r="I1926" s="380" t="s">
        <v>1084</v>
      </c>
      <c r="J1926" s="380" t="s">
        <v>773</v>
      </c>
      <c r="K1926" s="381">
        <v>16008.0</v>
      </c>
      <c r="L1926" s="382">
        <v>1.0</v>
      </c>
    </row>
    <row r="1927">
      <c r="A1927" s="380" t="s">
        <v>2790</v>
      </c>
      <c r="B1927" s="380" t="str">
        <f>IFERROR(__xludf.DUMMYFUNCTION("""COMPUTED_VALUE"""),"Camiseta Brigadista 40")</f>
        <v>Camiseta Brigadista 40</v>
      </c>
      <c r="C1927" s="380" t="str">
        <f>IFERROR(__xludf.DUMMYFUNCTION("""COMPUTED_VALUE"""),"30000169")</f>
        <v>30000169</v>
      </c>
      <c r="D1927" s="380" t="s">
        <v>767</v>
      </c>
      <c r="E1927" s="380" t="s">
        <v>810</v>
      </c>
      <c r="F1927" s="380" t="s">
        <v>1089</v>
      </c>
      <c r="G1927" s="380" t="s">
        <v>1267</v>
      </c>
      <c r="H1927" s="380" t="s">
        <v>771</v>
      </c>
      <c r="I1927" s="380" t="s">
        <v>1084</v>
      </c>
      <c r="J1927" s="380" t="s">
        <v>773</v>
      </c>
      <c r="K1927" s="381">
        <v>0.0</v>
      </c>
      <c r="L1927" s="382">
        <v>1.0</v>
      </c>
    </row>
    <row r="1928">
      <c r="A1928" s="380" t="s">
        <v>2791</v>
      </c>
      <c r="B1928" s="380" t="str">
        <f>IFERROR(__xludf.DUMMYFUNCTION("""COMPUTED_VALUE"""),"Camiseta Brigadista 38")</f>
        <v>Camiseta Brigadista 38</v>
      </c>
      <c r="C1928" s="380" t="str">
        <f>IFERROR(__xludf.DUMMYFUNCTION("""COMPUTED_VALUE"""),"30000170")</f>
        <v>30000170</v>
      </c>
      <c r="D1928" s="380" t="s">
        <v>767</v>
      </c>
      <c r="E1928" s="380" t="s">
        <v>810</v>
      </c>
      <c r="F1928" s="380" t="s">
        <v>1089</v>
      </c>
      <c r="G1928" s="380" t="s">
        <v>1267</v>
      </c>
      <c r="H1928" s="380" t="s">
        <v>771</v>
      </c>
      <c r="I1928" s="380" t="s">
        <v>1084</v>
      </c>
      <c r="J1928" s="380" t="s">
        <v>773</v>
      </c>
      <c r="K1928" s="381">
        <v>0.0</v>
      </c>
      <c r="L1928" s="382">
        <v>1.0</v>
      </c>
    </row>
    <row r="1929">
      <c r="A1929" s="380" t="s">
        <v>2792</v>
      </c>
      <c r="B1929" s="380" t="str">
        <f>IFERROR(__xludf.DUMMYFUNCTION("""COMPUTED_VALUE"""),"Camiseta Brigadista 42")</f>
        <v>Camiseta Brigadista 42</v>
      </c>
      <c r="C1929" s="380" t="str">
        <f>IFERROR(__xludf.DUMMYFUNCTION("""COMPUTED_VALUE"""),"30000171")</f>
        <v>30000171</v>
      </c>
      <c r="D1929" s="380" t="s">
        <v>767</v>
      </c>
      <c r="E1929" s="380" t="s">
        <v>810</v>
      </c>
      <c r="F1929" s="380" t="s">
        <v>1089</v>
      </c>
      <c r="G1929" s="380" t="s">
        <v>1267</v>
      </c>
      <c r="H1929" s="380" t="s">
        <v>771</v>
      </c>
      <c r="I1929" s="380" t="s">
        <v>1084</v>
      </c>
      <c r="J1929" s="380" t="s">
        <v>773</v>
      </c>
      <c r="K1929" s="381">
        <v>0.0</v>
      </c>
      <c r="L1929" s="382">
        <v>1.0</v>
      </c>
    </row>
    <row r="1930">
      <c r="A1930" s="380" t="s">
        <v>2793</v>
      </c>
      <c r="B1930" s="380" t="str">
        <f>IFERROR(__xludf.DUMMYFUNCTION("""COMPUTED_VALUE"""),"Camiseta Brigadista 36")</f>
        <v>Camiseta Brigadista 36</v>
      </c>
      <c r="C1930" s="380" t="str">
        <f>IFERROR(__xludf.DUMMYFUNCTION("""COMPUTED_VALUE"""),"30000172")</f>
        <v>30000172</v>
      </c>
      <c r="D1930" s="380" t="s">
        <v>767</v>
      </c>
      <c r="E1930" s="380" t="s">
        <v>810</v>
      </c>
      <c r="F1930" s="380" t="s">
        <v>1089</v>
      </c>
      <c r="G1930" s="380" t="s">
        <v>1267</v>
      </c>
      <c r="H1930" s="380" t="s">
        <v>771</v>
      </c>
      <c r="I1930" s="380" t="s">
        <v>1084</v>
      </c>
      <c r="J1930" s="380" t="s">
        <v>773</v>
      </c>
      <c r="K1930" s="381">
        <v>0.0</v>
      </c>
      <c r="L1930" s="382">
        <v>1.0</v>
      </c>
    </row>
    <row r="1931">
      <c r="A1931" s="380" t="s">
        <v>2794</v>
      </c>
      <c r="B1931" s="380" t="str">
        <f>IFERROR(__xludf.DUMMYFUNCTION("""COMPUTED_VALUE"""),"Camiseta Brigadista 44")</f>
        <v>Camiseta Brigadista 44</v>
      </c>
      <c r="C1931" s="380" t="str">
        <f>IFERROR(__xludf.DUMMYFUNCTION("""COMPUTED_VALUE"""),"30000173")</f>
        <v>30000173</v>
      </c>
      <c r="D1931" s="380" t="s">
        <v>767</v>
      </c>
      <c r="E1931" s="380" t="s">
        <v>810</v>
      </c>
      <c r="F1931" s="380" t="s">
        <v>1089</v>
      </c>
      <c r="G1931" s="380" t="s">
        <v>1267</v>
      </c>
      <c r="H1931" s="380" t="s">
        <v>771</v>
      </c>
      <c r="I1931" s="380" t="s">
        <v>1084</v>
      </c>
      <c r="J1931" s="380" t="s">
        <v>773</v>
      </c>
      <c r="K1931" s="381">
        <v>0.0</v>
      </c>
      <c r="L1931" s="382">
        <v>1.0</v>
      </c>
    </row>
    <row r="1932">
      <c r="A1932" s="380" t="s">
        <v>2795</v>
      </c>
      <c r="B1932" s="380" t="str">
        <f>IFERROR(__xludf.DUMMYFUNCTION("""COMPUTED_VALUE"""),"Felpa Filtro Careta Pintor P100 - 2091")</f>
        <v>Felpa Filtro Careta Pintor P100 - 2091</v>
      </c>
      <c r="C1932" s="380" t="str">
        <f>IFERROR(__xludf.DUMMYFUNCTION("""COMPUTED_VALUE"""),"30000174")</f>
        <v>30000174</v>
      </c>
      <c r="D1932" s="380" t="s">
        <v>767</v>
      </c>
      <c r="E1932" s="380" t="s">
        <v>810</v>
      </c>
      <c r="F1932" s="380" t="s">
        <v>1083</v>
      </c>
      <c r="G1932" s="380" t="s">
        <v>1267</v>
      </c>
      <c r="H1932" s="380" t="s">
        <v>771</v>
      </c>
      <c r="I1932" s="380" t="s">
        <v>1084</v>
      </c>
      <c r="J1932" s="380" t="s">
        <v>773</v>
      </c>
      <c r="K1932" s="381">
        <v>20375.0</v>
      </c>
      <c r="L1932" s="382">
        <v>1.0</v>
      </c>
    </row>
    <row r="1933">
      <c r="A1933" s="380" t="s">
        <v>2796</v>
      </c>
      <c r="B1933" s="380" t="str">
        <f>IFERROR(__xludf.DUMMYFUNCTION("""COMPUTED_VALUE"""),"Retenedor Filtro Careta Pintura 502")</f>
        <v>Retenedor Filtro Careta Pintura 502</v>
      </c>
      <c r="C1933" s="380" t="str">
        <f>IFERROR(__xludf.DUMMYFUNCTION("""COMPUTED_VALUE"""),"30000175")</f>
        <v>30000175</v>
      </c>
      <c r="D1933" s="380" t="s">
        <v>767</v>
      </c>
      <c r="E1933" s="380" t="s">
        <v>810</v>
      </c>
      <c r="F1933" s="380" t="s">
        <v>1083</v>
      </c>
      <c r="G1933" s="380" t="s">
        <v>1267</v>
      </c>
      <c r="H1933" s="380" t="s">
        <v>771</v>
      </c>
      <c r="I1933" s="380" t="s">
        <v>1084</v>
      </c>
      <c r="J1933" s="380" t="s">
        <v>773</v>
      </c>
      <c r="K1933" s="381">
        <v>15269.0</v>
      </c>
      <c r="L1933" s="382">
        <v>1.0</v>
      </c>
    </row>
    <row r="1934">
      <c r="A1934" s="380" t="s">
        <v>2797</v>
      </c>
      <c r="B1934" s="380" t="str">
        <f>IFERROR(__xludf.DUMMYFUNCTION("""COMPUTED_VALUE"""),"Camiseta Descargador Azul 36")</f>
        <v>Camiseta Descargador Azul 36</v>
      </c>
      <c r="C1934" s="380" t="str">
        <f>IFERROR(__xludf.DUMMYFUNCTION("""COMPUTED_VALUE"""),"30000176")</f>
        <v>30000176</v>
      </c>
      <c r="D1934" s="380" t="s">
        <v>767</v>
      </c>
      <c r="E1934" s="380" t="s">
        <v>810</v>
      </c>
      <c r="F1934" s="380" t="s">
        <v>1089</v>
      </c>
      <c r="G1934" s="380" t="s">
        <v>1267</v>
      </c>
      <c r="H1934" s="380" t="s">
        <v>771</v>
      </c>
      <c r="I1934" s="380" t="s">
        <v>1084</v>
      </c>
      <c r="J1934" s="380" t="s">
        <v>773</v>
      </c>
      <c r="K1934" s="381">
        <v>17652.0</v>
      </c>
      <c r="L1934" s="382">
        <v>1.0</v>
      </c>
    </row>
    <row r="1935">
      <c r="A1935" s="380" t="s">
        <v>2798</v>
      </c>
      <c r="B1935" s="380" t="str">
        <f>IFERROR(__xludf.DUMMYFUNCTION("""COMPUTED_VALUE"""),"Chaqueta Institucional Con Logo 44")</f>
        <v>Chaqueta Institucional Con Logo 44</v>
      </c>
      <c r="C1935" s="380" t="str">
        <f>IFERROR(__xludf.DUMMYFUNCTION("""COMPUTED_VALUE"""),"30000177")</f>
        <v>30000177</v>
      </c>
      <c r="D1935" s="380" t="s">
        <v>767</v>
      </c>
      <c r="E1935" s="380" t="s">
        <v>810</v>
      </c>
      <c r="F1935" s="380" t="s">
        <v>1089</v>
      </c>
      <c r="G1935" s="380" t="s">
        <v>1267</v>
      </c>
      <c r="H1935" s="380" t="s">
        <v>771</v>
      </c>
      <c r="I1935" s="380" t="s">
        <v>1084</v>
      </c>
      <c r="J1935" s="380" t="s">
        <v>773</v>
      </c>
      <c r="K1935" s="381">
        <v>61896.0</v>
      </c>
      <c r="L1935" s="382">
        <v>1.0</v>
      </c>
    </row>
    <row r="1936">
      <c r="A1936" s="380" t="s">
        <v>2799</v>
      </c>
      <c r="B1936" s="380" t="str">
        <f>IFERROR(__xludf.DUMMYFUNCTION("""COMPUTED_VALUE"""),"Camiseta Descargador Azul 30")</f>
        <v>Camiseta Descargador Azul 30</v>
      </c>
      <c r="C1936" s="380" t="str">
        <f>IFERROR(__xludf.DUMMYFUNCTION("""COMPUTED_VALUE"""),"30000178")</f>
        <v>30000178</v>
      </c>
      <c r="D1936" s="380" t="s">
        <v>767</v>
      </c>
      <c r="E1936" s="380" t="s">
        <v>810</v>
      </c>
      <c r="F1936" s="380" t="s">
        <v>1089</v>
      </c>
      <c r="G1936" s="380" t="s">
        <v>1267</v>
      </c>
      <c r="H1936" s="380" t="s">
        <v>771</v>
      </c>
      <c r="I1936" s="380" t="s">
        <v>1084</v>
      </c>
      <c r="J1936" s="380" t="s">
        <v>773</v>
      </c>
      <c r="K1936" s="381">
        <v>0.0</v>
      </c>
      <c r="L1936" s="382">
        <v>1.0</v>
      </c>
    </row>
    <row r="1937">
      <c r="A1937" s="380" t="s">
        <v>2800</v>
      </c>
      <c r="B1937" s="380" t="str">
        <f>IFERROR(__xludf.DUMMYFUNCTION("""COMPUTED_VALUE"""),"Camiseta Descargador Azul 40")</f>
        <v>Camiseta Descargador Azul 40</v>
      </c>
      <c r="C1937" s="380" t="str">
        <f>IFERROR(__xludf.DUMMYFUNCTION("""COMPUTED_VALUE"""),"30000179")</f>
        <v>30000179</v>
      </c>
      <c r="D1937" s="380" t="s">
        <v>767</v>
      </c>
      <c r="E1937" s="380" t="s">
        <v>810</v>
      </c>
      <c r="F1937" s="380" t="s">
        <v>1089</v>
      </c>
      <c r="G1937" s="380" t="s">
        <v>1267</v>
      </c>
      <c r="H1937" s="380" t="s">
        <v>771</v>
      </c>
      <c r="I1937" s="380" t="s">
        <v>1084</v>
      </c>
      <c r="J1937" s="380" t="s">
        <v>773</v>
      </c>
      <c r="K1937" s="381">
        <v>17652.0</v>
      </c>
      <c r="L1937" s="382">
        <v>1.0</v>
      </c>
    </row>
    <row r="1938">
      <c r="A1938" s="380" t="s">
        <v>2801</v>
      </c>
      <c r="B1938" s="380" t="str">
        <f>IFERROR(__xludf.DUMMYFUNCTION("""COMPUTED_VALUE"""),"Guantes Quirurgico Nitrilo Caja X 100")</f>
        <v>Guantes Quirurgico Nitrilo Caja X 100</v>
      </c>
      <c r="C1938" s="380" t="str">
        <f>IFERROR(__xludf.DUMMYFUNCTION("""COMPUTED_VALUE"""),"30000180")</f>
        <v>30000180</v>
      </c>
      <c r="D1938" s="380" t="s">
        <v>767</v>
      </c>
      <c r="E1938" s="380" t="s">
        <v>810</v>
      </c>
      <c r="F1938" s="380" t="s">
        <v>1083</v>
      </c>
      <c r="G1938" s="380" t="s">
        <v>1267</v>
      </c>
      <c r="H1938" s="380" t="s">
        <v>771</v>
      </c>
      <c r="I1938" s="380" t="s">
        <v>1084</v>
      </c>
      <c r="J1938" s="380" t="s">
        <v>773</v>
      </c>
      <c r="K1938" s="381">
        <v>0.0</v>
      </c>
      <c r="L1938" s="382">
        <v>1.0</v>
      </c>
    </row>
    <row r="1939">
      <c r="A1939" s="380" t="s">
        <v>2802</v>
      </c>
      <c r="B1939" s="380" t="str">
        <f>IFERROR(__xludf.DUMMYFUNCTION("""COMPUTED_VALUE"""),"Riñonera")</f>
        <v>Riñonera</v>
      </c>
      <c r="C1939" s="380" t="str">
        <f>IFERROR(__xludf.DUMMYFUNCTION("""COMPUTED_VALUE"""),"30000183")</f>
        <v>30000183</v>
      </c>
      <c r="D1939" s="380" t="s">
        <v>767</v>
      </c>
      <c r="E1939" s="380" t="s">
        <v>810</v>
      </c>
      <c r="F1939" s="380" t="s">
        <v>811</v>
      </c>
      <c r="G1939" s="380" t="s">
        <v>1267</v>
      </c>
      <c r="H1939" s="380" t="s">
        <v>771</v>
      </c>
      <c r="I1939" s="380" t="s">
        <v>812</v>
      </c>
      <c r="J1939" s="380" t="s">
        <v>773</v>
      </c>
      <c r="K1939" s="381">
        <v>42318.0</v>
      </c>
      <c r="L1939" s="382">
        <v>1.0</v>
      </c>
    </row>
    <row r="1940">
      <c r="A1940" s="380" t="s">
        <v>2803</v>
      </c>
      <c r="B1940" s="380" t="str">
        <f>IFERROR(__xludf.DUMMYFUNCTION("""COMPUTED_VALUE"""),"Chaqueta Institucional Con Logo 36")</f>
        <v>Chaqueta Institucional Con Logo 36</v>
      </c>
      <c r="C1940" s="380" t="str">
        <f>IFERROR(__xludf.DUMMYFUNCTION("""COMPUTED_VALUE"""),"30000184")</f>
        <v>30000184</v>
      </c>
      <c r="D1940" s="380" t="s">
        <v>767</v>
      </c>
      <c r="E1940" s="380" t="s">
        <v>810</v>
      </c>
      <c r="F1940" s="380" t="s">
        <v>1089</v>
      </c>
      <c r="G1940" s="380" t="s">
        <v>1267</v>
      </c>
      <c r="H1940" s="380" t="s">
        <v>771</v>
      </c>
      <c r="I1940" s="380" t="s">
        <v>1084</v>
      </c>
      <c r="J1940" s="380" t="s">
        <v>773</v>
      </c>
      <c r="K1940" s="381">
        <v>61896.0</v>
      </c>
      <c r="L1940" s="382">
        <v>1.0</v>
      </c>
    </row>
    <row r="1941">
      <c r="A1941" s="380" t="s">
        <v>2804</v>
      </c>
      <c r="B1941" s="380" t="str">
        <f>IFERROR(__xludf.DUMMYFUNCTION("""COMPUTED_VALUE"""),"Chaqueta Institucional Con Logo Xl")</f>
        <v>Chaqueta Institucional Con Logo Xl</v>
      </c>
      <c r="C1941" s="380" t="str">
        <f>IFERROR(__xludf.DUMMYFUNCTION("""COMPUTED_VALUE"""),"30000185")</f>
        <v>30000185</v>
      </c>
      <c r="D1941" s="380" t="s">
        <v>767</v>
      </c>
      <c r="E1941" s="380" t="s">
        <v>810</v>
      </c>
      <c r="F1941" s="380" t="s">
        <v>1089</v>
      </c>
      <c r="G1941" s="380" t="s">
        <v>1267</v>
      </c>
      <c r="H1941" s="380" t="s">
        <v>771</v>
      </c>
      <c r="I1941" s="380" t="s">
        <v>1084</v>
      </c>
      <c r="J1941" s="380" t="s">
        <v>773</v>
      </c>
      <c r="K1941" s="381">
        <v>0.0</v>
      </c>
      <c r="L1941" s="382">
        <v>1.0</v>
      </c>
    </row>
    <row r="1942">
      <c r="A1942" s="380" t="s">
        <v>2805</v>
      </c>
      <c r="B1942" s="380" t="str">
        <f>IFERROR(__xludf.DUMMYFUNCTION("""COMPUTED_VALUE"""),"Pantalon Lino Prenses 40")</f>
        <v>Pantalon Lino Prenses 40</v>
      </c>
      <c r="C1942" s="380" t="str">
        <f>IFERROR(__xludf.DUMMYFUNCTION("""COMPUTED_VALUE"""),"30000186")</f>
        <v>30000186</v>
      </c>
      <c r="D1942" s="380" t="s">
        <v>767</v>
      </c>
      <c r="E1942" s="380" t="s">
        <v>810</v>
      </c>
      <c r="F1942" s="380" t="s">
        <v>1089</v>
      </c>
      <c r="G1942" s="380" t="s">
        <v>1267</v>
      </c>
      <c r="H1942" s="380" t="s">
        <v>771</v>
      </c>
      <c r="I1942" s="380" t="s">
        <v>1084</v>
      </c>
      <c r="J1942" s="380" t="s">
        <v>773</v>
      </c>
      <c r="K1942" s="381">
        <v>39966.0</v>
      </c>
      <c r="L1942" s="382">
        <v>1.0</v>
      </c>
    </row>
    <row r="1943">
      <c r="A1943" s="380" t="s">
        <v>2806</v>
      </c>
      <c r="B1943" s="380" t="str">
        <f>IFERROR(__xludf.DUMMYFUNCTION("""COMPUTED_VALUE"""),"Chaqueta Institucional Con Logo Xxl")</f>
        <v>Chaqueta Institucional Con Logo Xxl</v>
      </c>
      <c r="C1943" s="380" t="str">
        <f>IFERROR(__xludf.DUMMYFUNCTION("""COMPUTED_VALUE"""),"30000187")</f>
        <v>30000187</v>
      </c>
      <c r="D1943" s="380" t="s">
        <v>767</v>
      </c>
      <c r="E1943" s="380" t="s">
        <v>810</v>
      </c>
      <c r="F1943" s="380" t="s">
        <v>1089</v>
      </c>
      <c r="G1943" s="380" t="s">
        <v>1267</v>
      </c>
      <c r="H1943" s="380" t="s">
        <v>771</v>
      </c>
      <c r="I1943" s="380" t="s">
        <v>1084</v>
      </c>
      <c r="J1943" s="380" t="s">
        <v>773</v>
      </c>
      <c r="K1943" s="381">
        <v>0.0</v>
      </c>
      <c r="L1943" s="382">
        <v>1.0</v>
      </c>
    </row>
    <row r="1944">
      <c r="A1944" s="380" t="s">
        <v>2807</v>
      </c>
      <c r="B1944" s="380" t="str">
        <f>IFERROR(__xludf.DUMMYFUNCTION("""COMPUTED_VALUE"""),"Chaqueta Institucional Con Logo M")</f>
        <v>Chaqueta Institucional Con Logo M</v>
      </c>
      <c r="C1944" s="380" t="str">
        <f>IFERROR(__xludf.DUMMYFUNCTION("""COMPUTED_VALUE"""),"30000188")</f>
        <v>30000188</v>
      </c>
      <c r="D1944" s="380" t="s">
        <v>767</v>
      </c>
      <c r="E1944" s="380" t="s">
        <v>810</v>
      </c>
      <c r="F1944" s="380" t="s">
        <v>1089</v>
      </c>
      <c r="G1944" s="380" t="s">
        <v>1267</v>
      </c>
      <c r="H1944" s="380" t="s">
        <v>771</v>
      </c>
      <c r="I1944" s="380" t="s">
        <v>1084</v>
      </c>
      <c r="J1944" s="380" t="s">
        <v>773</v>
      </c>
      <c r="K1944" s="381">
        <v>0.0</v>
      </c>
      <c r="L1944" s="382">
        <v>1.0</v>
      </c>
    </row>
    <row r="1945">
      <c r="A1945" s="380" t="s">
        <v>2808</v>
      </c>
      <c r="B1945" s="380" t="str">
        <f>IFERROR(__xludf.DUMMYFUNCTION("""COMPUTED_VALUE"""),"Chaqueta Institucional Con Logo 40")</f>
        <v>Chaqueta Institucional Con Logo 40</v>
      </c>
      <c r="C1945" s="380" t="str">
        <f>IFERROR(__xludf.DUMMYFUNCTION("""COMPUTED_VALUE"""),"30000189")</f>
        <v>30000189</v>
      </c>
      <c r="D1945" s="380" t="s">
        <v>767</v>
      </c>
      <c r="E1945" s="380" t="s">
        <v>810</v>
      </c>
      <c r="F1945" s="380" t="s">
        <v>1089</v>
      </c>
      <c r="G1945" s="380" t="s">
        <v>1267</v>
      </c>
      <c r="H1945" s="380" t="s">
        <v>771</v>
      </c>
      <c r="I1945" s="380" t="s">
        <v>1084</v>
      </c>
      <c r="J1945" s="380" t="s">
        <v>773</v>
      </c>
      <c r="K1945" s="381">
        <v>0.0</v>
      </c>
      <c r="L1945" s="382">
        <v>1.0</v>
      </c>
    </row>
    <row r="1946">
      <c r="A1946" s="380" t="s">
        <v>2809</v>
      </c>
      <c r="B1946" s="380" t="str">
        <f>IFERROR(__xludf.DUMMYFUNCTION("""COMPUTED_VALUE"""),"Chaqueta Institucional Con Logo S")</f>
        <v>Chaqueta Institucional Con Logo S</v>
      </c>
      <c r="C1946" s="380" t="str">
        <f>IFERROR(__xludf.DUMMYFUNCTION("""COMPUTED_VALUE"""),"30000190")</f>
        <v>30000190</v>
      </c>
      <c r="D1946" s="380" t="s">
        <v>767</v>
      </c>
      <c r="E1946" s="380" t="s">
        <v>810</v>
      </c>
      <c r="F1946" s="380" t="s">
        <v>1089</v>
      </c>
      <c r="G1946" s="380" t="s">
        <v>1267</v>
      </c>
      <c r="H1946" s="380" t="s">
        <v>771</v>
      </c>
      <c r="I1946" s="380" t="s">
        <v>1084</v>
      </c>
      <c r="J1946" s="380" t="s">
        <v>773</v>
      </c>
      <c r="K1946" s="381">
        <v>0.0</v>
      </c>
      <c r="L1946" s="382">
        <v>1.0</v>
      </c>
    </row>
    <row r="1947">
      <c r="A1947" s="380" t="s">
        <v>2810</v>
      </c>
      <c r="B1947" s="380" t="str">
        <f>IFERROR(__xludf.DUMMYFUNCTION("""COMPUTED_VALUE"""),"Chaqueta Institucional Con Logo 42")</f>
        <v>Chaqueta Institucional Con Logo 42</v>
      </c>
      <c r="C1947" s="380" t="str">
        <f>IFERROR(__xludf.DUMMYFUNCTION("""COMPUTED_VALUE"""),"30000191")</f>
        <v>30000191</v>
      </c>
      <c r="D1947" s="380" t="s">
        <v>767</v>
      </c>
      <c r="E1947" s="380" t="s">
        <v>810</v>
      </c>
      <c r="F1947" s="380" t="s">
        <v>1089</v>
      </c>
      <c r="G1947" s="380" t="s">
        <v>1267</v>
      </c>
      <c r="H1947" s="380" t="s">
        <v>771</v>
      </c>
      <c r="I1947" s="380" t="s">
        <v>1084</v>
      </c>
      <c r="J1947" s="380" t="s">
        <v>773</v>
      </c>
      <c r="K1947" s="381">
        <v>61896.0</v>
      </c>
      <c r="L1947" s="382">
        <v>1.0</v>
      </c>
    </row>
    <row r="1948">
      <c r="A1948" s="380" t="s">
        <v>2811</v>
      </c>
      <c r="B1948" s="380" t="str">
        <f>IFERROR(__xludf.DUMMYFUNCTION("""COMPUTED_VALUE"""),"Extintor Tipo K 20 Libras Recargado")</f>
        <v>Extintor Tipo K 20 Libras Recargado</v>
      </c>
      <c r="C1948" s="380" t="str">
        <f>IFERROR(__xludf.DUMMYFUNCTION("""COMPUTED_VALUE"""),"30000192")</f>
        <v>30000192</v>
      </c>
      <c r="D1948" s="380" t="s">
        <v>767</v>
      </c>
      <c r="E1948" s="380" t="s">
        <v>810</v>
      </c>
      <c r="F1948" s="380" t="s">
        <v>811</v>
      </c>
      <c r="G1948" s="380" t="s">
        <v>1267</v>
      </c>
      <c r="H1948" s="380" t="s">
        <v>771</v>
      </c>
      <c r="I1948" s="380" t="s">
        <v>812</v>
      </c>
      <c r="J1948" s="380" t="s">
        <v>773</v>
      </c>
      <c r="K1948" s="381">
        <v>0.0</v>
      </c>
      <c r="L1948" s="382">
        <v>1.0</v>
      </c>
    </row>
    <row r="1949">
      <c r="A1949" s="380" t="s">
        <v>2812</v>
      </c>
      <c r="B1949" s="380" t="str">
        <f>IFERROR(__xludf.DUMMYFUNCTION("""COMPUTED_VALUE"""),"Morral Mensajero Sin Logo")</f>
        <v>Morral Mensajero Sin Logo</v>
      </c>
      <c r="C1949" s="380" t="str">
        <f>IFERROR(__xludf.DUMMYFUNCTION("""COMPUTED_VALUE"""),"30000193")</f>
        <v>30000193</v>
      </c>
      <c r="D1949" s="380" t="s">
        <v>767</v>
      </c>
      <c r="E1949" s="380" t="s">
        <v>810</v>
      </c>
      <c r="F1949" s="380" t="s">
        <v>1271</v>
      </c>
      <c r="G1949" s="380" t="s">
        <v>1267</v>
      </c>
      <c r="H1949" s="380" t="s">
        <v>771</v>
      </c>
      <c r="I1949" s="380" t="s">
        <v>1084</v>
      </c>
      <c r="J1949" s="380" t="s">
        <v>773</v>
      </c>
      <c r="K1949" s="381">
        <v>0.0</v>
      </c>
      <c r="L1949" s="382">
        <v>1.0</v>
      </c>
    </row>
    <row r="1950">
      <c r="A1950" s="380" t="s">
        <v>2813</v>
      </c>
      <c r="B1950" s="380" t="str">
        <f>IFERROR(__xludf.DUMMYFUNCTION("""COMPUTED_VALUE"""),"Cartucho Gases Careta 6001")</f>
        <v>Cartucho Gases Careta 6001</v>
      </c>
      <c r="C1950" s="380" t="str">
        <f>IFERROR(__xludf.DUMMYFUNCTION("""COMPUTED_VALUE"""),"30000194")</f>
        <v>30000194</v>
      </c>
      <c r="D1950" s="380" t="s">
        <v>767</v>
      </c>
      <c r="E1950" s="380" t="s">
        <v>810</v>
      </c>
      <c r="F1950" s="380" t="s">
        <v>1083</v>
      </c>
      <c r="G1950" s="380" t="s">
        <v>1267</v>
      </c>
      <c r="H1950" s="380" t="s">
        <v>771</v>
      </c>
      <c r="I1950" s="380" t="s">
        <v>1084</v>
      </c>
      <c r="J1950" s="380" t="s">
        <v>773</v>
      </c>
      <c r="K1950" s="381">
        <v>29388.0</v>
      </c>
      <c r="L1950" s="382">
        <v>1.0</v>
      </c>
    </row>
    <row r="1951">
      <c r="A1951" s="380" t="s">
        <v>2814</v>
      </c>
      <c r="B1951" s="380" t="str">
        <f>IFERROR(__xludf.DUMMYFUNCTION("""COMPUTED_VALUE"""),"Guantes Nitrilo redador11925010 Talla 10")</f>
        <v>Guantes Nitrilo redador11925010 Talla 10</v>
      </c>
      <c r="C1951" s="380" t="str">
        <f>IFERROR(__xludf.DUMMYFUNCTION("""COMPUTED_VALUE"""),"30000195")</f>
        <v>30000195</v>
      </c>
      <c r="D1951" s="380" t="s">
        <v>767</v>
      </c>
      <c r="E1951" s="380" t="s">
        <v>810</v>
      </c>
      <c r="F1951" s="380" t="s">
        <v>1083</v>
      </c>
      <c r="G1951" s="380" t="s">
        <v>1267</v>
      </c>
      <c r="H1951" s="380" t="s">
        <v>771</v>
      </c>
      <c r="I1951" s="380" t="s">
        <v>1084</v>
      </c>
      <c r="J1951" s="380" t="s">
        <v>773</v>
      </c>
      <c r="K1951" s="381">
        <v>16602.0</v>
      </c>
      <c r="L1951" s="382">
        <v>1.0</v>
      </c>
    </row>
    <row r="1952">
      <c r="A1952" s="380" t="s">
        <v>2815</v>
      </c>
      <c r="B1952" s="380" t="str">
        <f>IFERROR(__xludf.DUMMYFUNCTION("""COMPUTED_VALUE"""),"Gafas Blancas Transparentes")</f>
        <v>Gafas Blancas Transparentes</v>
      </c>
      <c r="C1952" s="380" t="str">
        <f>IFERROR(__xludf.DUMMYFUNCTION("""COMPUTED_VALUE"""),"30000196")</f>
        <v>30000196</v>
      </c>
      <c r="D1952" s="380" t="s">
        <v>767</v>
      </c>
      <c r="E1952" s="380" t="s">
        <v>810</v>
      </c>
      <c r="F1952" s="380" t="s">
        <v>1083</v>
      </c>
      <c r="G1952" s="380" t="s">
        <v>1267</v>
      </c>
      <c r="H1952" s="380" t="s">
        <v>771</v>
      </c>
      <c r="I1952" s="380" t="s">
        <v>1084</v>
      </c>
      <c r="J1952" s="380" t="s">
        <v>773</v>
      </c>
      <c r="K1952" s="381">
        <v>5434.0</v>
      </c>
      <c r="L1952" s="382">
        <v>1.0</v>
      </c>
    </row>
    <row r="1953">
      <c r="A1953" s="380" t="s">
        <v>2816</v>
      </c>
      <c r="B1953" s="380" t="str">
        <f>IFERROR(__xludf.DUMMYFUNCTION("""COMPUTED_VALUE"""),"Extintor Solkaflan 10 Libras Recargado")</f>
        <v>Extintor Solkaflan 10 Libras Recargado</v>
      </c>
      <c r="C1953" s="380" t="str">
        <f>IFERROR(__xludf.DUMMYFUNCTION("""COMPUTED_VALUE"""),"30000197")</f>
        <v>30000197</v>
      </c>
      <c r="D1953" s="380" t="s">
        <v>767</v>
      </c>
      <c r="E1953" s="380" t="s">
        <v>810</v>
      </c>
      <c r="F1953" s="380" t="s">
        <v>811</v>
      </c>
      <c r="G1953" s="380" t="s">
        <v>1267</v>
      </c>
      <c r="H1953" s="380" t="s">
        <v>771</v>
      </c>
      <c r="I1953" s="380" t="s">
        <v>812</v>
      </c>
      <c r="J1953" s="380" t="s">
        <v>773</v>
      </c>
      <c r="K1953" s="381">
        <v>0.0</v>
      </c>
      <c r="L1953" s="382">
        <v>1.0</v>
      </c>
    </row>
    <row r="1954">
      <c r="A1954" s="380" t="s">
        <v>2817</v>
      </c>
      <c r="B1954" s="380" t="str">
        <f>IFERROR(__xludf.DUMMYFUNCTION("""COMPUTED_VALUE"""),"Camiseta Descargador Azul 28")</f>
        <v>Camiseta Descargador Azul 28</v>
      </c>
      <c r="C1954" s="380" t="str">
        <f>IFERROR(__xludf.DUMMYFUNCTION("""COMPUTED_VALUE"""),"30000199")</f>
        <v>30000199</v>
      </c>
      <c r="D1954" s="380" t="s">
        <v>767</v>
      </c>
      <c r="E1954" s="380" t="s">
        <v>810</v>
      </c>
      <c r="F1954" s="380" t="s">
        <v>1089</v>
      </c>
      <c r="G1954" s="380" t="s">
        <v>1267</v>
      </c>
      <c r="H1954" s="380" t="s">
        <v>771</v>
      </c>
      <c r="I1954" s="380" t="s">
        <v>1084</v>
      </c>
      <c r="J1954" s="380" t="s">
        <v>773</v>
      </c>
      <c r="K1954" s="381">
        <v>0.0</v>
      </c>
      <c r="L1954" s="382">
        <v>1.0</v>
      </c>
    </row>
    <row r="1955">
      <c r="A1955" s="380" t="s">
        <v>2818</v>
      </c>
      <c r="B1955" s="380" t="str">
        <f>IFERROR(__xludf.DUMMYFUNCTION("""COMPUTED_VALUE"""),"Camiseta Descargador Azul 50")</f>
        <v>Camiseta Descargador Azul 50</v>
      </c>
      <c r="C1955" s="380" t="str">
        <f>IFERROR(__xludf.DUMMYFUNCTION("""COMPUTED_VALUE"""),"30000200")</f>
        <v>30000200</v>
      </c>
      <c r="D1955" s="380" t="s">
        <v>767</v>
      </c>
      <c r="E1955" s="380" t="s">
        <v>810</v>
      </c>
      <c r="F1955" s="380" t="s">
        <v>1089</v>
      </c>
      <c r="G1955" s="380" t="s">
        <v>1267</v>
      </c>
      <c r="H1955" s="380" t="s">
        <v>771</v>
      </c>
      <c r="I1955" s="380" t="s">
        <v>1084</v>
      </c>
      <c r="J1955" s="380" t="s">
        <v>773</v>
      </c>
      <c r="K1955" s="381">
        <v>17652.0</v>
      </c>
      <c r="L1955" s="382">
        <v>1.0</v>
      </c>
    </row>
    <row r="1956">
      <c r="A1956" s="380" t="s">
        <v>2819</v>
      </c>
      <c r="B1956" s="380" t="str">
        <f>IFERROR(__xludf.DUMMYFUNCTION("""COMPUTED_VALUE"""),"Camiseta Descargador Azul 44")</f>
        <v>Camiseta Descargador Azul 44</v>
      </c>
      <c r="C1956" s="380" t="str">
        <f>IFERROR(__xludf.DUMMYFUNCTION("""COMPUTED_VALUE"""),"30000201")</f>
        <v>30000201</v>
      </c>
      <c r="D1956" s="380" t="s">
        <v>767</v>
      </c>
      <c r="E1956" s="380" t="s">
        <v>810</v>
      </c>
      <c r="F1956" s="380" t="s">
        <v>1089</v>
      </c>
      <c r="G1956" s="380" t="s">
        <v>1267</v>
      </c>
      <c r="H1956" s="380" t="s">
        <v>771</v>
      </c>
      <c r="I1956" s="380" t="s">
        <v>1084</v>
      </c>
      <c r="J1956" s="380" t="s">
        <v>773</v>
      </c>
      <c r="K1956" s="381">
        <v>17652.0</v>
      </c>
      <c r="L1956" s="382">
        <v>1.0</v>
      </c>
    </row>
    <row r="1957">
      <c r="A1957" s="380" t="s">
        <v>2820</v>
      </c>
      <c r="B1957" s="380" t="str">
        <f>IFERROR(__xludf.DUMMYFUNCTION("""COMPUTED_VALUE"""),"Camiseta Descargador Azul 48")</f>
        <v>Camiseta Descargador Azul 48</v>
      </c>
      <c r="C1957" s="380" t="str">
        <f>IFERROR(__xludf.DUMMYFUNCTION("""COMPUTED_VALUE"""),"30000202")</f>
        <v>30000202</v>
      </c>
      <c r="D1957" s="380" t="s">
        <v>767</v>
      </c>
      <c r="E1957" s="380" t="s">
        <v>810</v>
      </c>
      <c r="F1957" s="380" t="s">
        <v>1089</v>
      </c>
      <c r="G1957" s="380" t="s">
        <v>1267</v>
      </c>
      <c r="H1957" s="380" t="s">
        <v>771</v>
      </c>
      <c r="I1957" s="380" t="s">
        <v>1084</v>
      </c>
      <c r="J1957" s="380" t="s">
        <v>773</v>
      </c>
      <c r="K1957" s="381">
        <v>17652.0</v>
      </c>
      <c r="L1957" s="382">
        <v>1.0</v>
      </c>
    </row>
    <row r="1958">
      <c r="A1958" s="380" t="s">
        <v>2821</v>
      </c>
      <c r="B1958" s="380" t="str">
        <f>IFERROR(__xludf.DUMMYFUNCTION("""COMPUTED_VALUE"""),"Camiseta Descargador Azul 34")</f>
        <v>Camiseta Descargador Azul 34</v>
      </c>
      <c r="C1958" s="380" t="str">
        <f>IFERROR(__xludf.DUMMYFUNCTION("""COMPUTED_VALUE"""),"30000203")</f>
        <v>30000203</v>
      </c>
      <c r="D1958" s="380" t="s">
        <v>767</v>
      </c>
      <c r="E1958" s="380" t="s">
        <v>810</v>
      </c>
      <c r="F1958" s="380" t="s">
        <v>1089</v>
      </c>
      <c r="G1958" s="380" t="s">
        <v>1267</v>
      </c>
      <c r="H1958" s="380" t="s">
        <v>771</v>
      </c>
      <c r="I1958" s="380" t="s">
        <v>1084</v>
      </c>
      <c r="J1958" s="380" t="s">
        <v>773</v>
      </c>
      <c r="K1958" s="381">
        <v>17652.0</v>
      </c>
      <c r="L1958" s="382">
        <v>1.0</v>
      </c>
    </row>
    <row r="1959">
      <c r="A1959" s="380" t="s">
        <v>2822</v>
      </c>
      <c r="B1959" s="380" t="str">
        <f>IFERROR(__xludf.DUMMYFUNCTION("""COMPUTED_VALUE"""),"Camiseta Descargador Azul 38")</f>
        <v>Camiseta Descargador Azul 38</v>
      </c>
      <c r="C1959" s="380" t="str">
        <f>IFERROR(__xludf.DUMMYFUNCTION("""COMPUTED_VALUE"""),"30000204")</f>
        <v>30000204</v>
      </c>
      <c r="D1959" s="380" t="s">
        <v>767</v>
      </c>
      <c r="E1959" s="380" t="s">
        <v>810</v>
      </c>
      <c r="F1959" s="380" t="s">
        <v>1089</v>
      </c>
      <c r="G1959" s="380" t="s">
        <v>1267</v>
      </c>
      <c r="H1959" s="380" t="s">
        <v>771</v>
      </c>
      <c r="I1959" s="380" t="s">
        <v>1084</v>
      </c>
      <c r="J1959" s="380" t="s">
        <v>773</v>
      </c>
      <c r="K1959" s="381">
        <v>17652.0</v>
      </c>
      <c r="L1959" s="382">
        <v>1.0</v>
      </c>
    </row>
    <row r="1960">
      <c r="A1960" s="380" t="s">
        <v>2823</v>
      </c>
      <c r="B1960" s="380" t="str">
        <f>IFERROR(__xludf.DUMMYFUNCTION("""COMPUTED_VALUE"""),"Camiseta Descargador Azul 42")</f>
        <v>Camiseta Descargador Azul 42</v>
      </c>
      <c r="C1960" s="380" t="str">
        <f>IFERROR(__xludf.DUMMYFUNCTION("""COMPUTED_VALUE"""),"30000205")</f>
        <v>30000205</v>
      </c>
      <c r="D1960" s="380" t="s">
        <v>767</v>
      </c>
      <c r="E1960" s="380" t="s">
        <v>810</v>
      </c>
      <c r="F1960" s="380" t="s">
        <v>1089</v>
      </c>
      <c r="G1960" s="380" t="s">
        <v>1267</v>
      </c>
      <c r="H1960" s="380" t="s">
        <v>771</v>
      </c>
      <c r="I1960" s="380" t="s">
        <v>1084</v>
      </c>
      <c r="J1960" s="380" t="s">
        <v>773</v>
      </c>
      <c r="K1960" s="381">
        <v>17652.0</v>
      </c>
      <c r="L1960" s="382">
        <v>1.0</v>
      </c>
    </row>
    <row r="1961">
      <c r="A1961" s="380" t="s">
        <v>2824</v>
      </c>
      <c r="B1961" s="380" t="str">
        <f>IFERROR(__xludf.DUMMYFUNCTION("""COMPUTED_VALUE"""),"Camiseta Descargador Azul 46")</f>
        <v>Camiseta Descargador Azul 46</v>
      </c>
      <c r="C1961" s="380" t="str">
        <f>IFERROR(__xludf.DUMMYFUNCTION("""COMPUTED_VALUE"""),"30000206")</f>
        <v>30000206</v>
      </c>
      <c r="D1961" s="380" t="s">
        <v>767</v>
      </c>
      <c r="E1961" s="380" t="s">
        <v>810</v>
      </c>
      <c r="F1961" s="380" t="s">
        <v>1089</v>
      </c>
      <c r="G1961" s="380" t="s">
        <v>1267</v>
      </c>
      <c r="H1961" s="380" t="s">
        <v>771</v>
      </c>
      <c r="I1961" s="380" t="s">
        <v>1084</v>
      </c>
      <c r="J1961" s="380" t="s">
        <v>773</v>
      </c>
      <c r="K1961" s="381">
        <v>17652.0</v>
      </c>
      <c r="L1961" s="382">
        <v>1.0</v>
      </c>
    </row>
    <row r="1962">
      <c r="A1962" s="380" t="s">
        <v>2825</v>
      </c>
      <c r="B1962" s="380" t="str">
        <f>IFERROR(__xludf.DUMMYFUNCTION("""COMPUTED_VALUE"""),"Camiseta Descargador Azul 32")</f>
        <v>Camiseta Descargador Azul 32</v>
      </c>
      <c r="C1962" s="380" t="str">
        <f>IFERROR(__xludf.DUMMYFUNCTION("""COMPUTED_VALUE"""),"30000207")</f>
        <v>30000207</v>
      </c>
      <c r="D1962" s="380" t="s">
        <v>767</v>
      </c>
      <c r="E1962" s="380" t="s">
        <v>810</v>
      </c>
      <c r="F1962" s="380" t="s">
        <v>1089</v>
      </c>
      <c r="G1962" s="380" t="s">
        <v>1267</v>
      </c>
      <c r="H1962" s="380" t="s">
        <v>771</v>
      </c>
      <c r="I1962" s="380" t="s">
        <v>1084</v>
      </c>
      <c r="J1962" s="380" t="s">
        <v>773</v>
      </c>
      <c r="K1962" s="381">
        <v>0.0</v>
      </c>
      <c r="L1962" s="382">
        <v>1.0</v>
      </c>
    </row>
    <row r="1963">
      <c r="A1963" s="380" t="s">
        <v>2826</v>
      </c>
      <c r="B1963" s="380" t="str">
        <f>IFERROR(__xludf.DUMMYFUNCTION("""COMPUTED_VALUE"""),"Gafas Oscuras Seguridad")</f>
        <v>Gafas Oscuras Seguridad</v>
      </c>
      <c r="C1963" s="380" t="str">
        <f>IFERROR(__xludf.DUMMYFUNCTION("""COMPUTED_VALUE"""),"30000208")</f>
        <v>30000208</v>
      </c>
      <c r="D1963" s="380" t="s">
        <v>767</v>
      </c>
      <c r="E1963" s="380" t="s">
        <v>810</v>
      </c>
      <c r="F1963" s="380" t="s">
        <v>1083</v>
      </c>
      <c r="G1963" s="380" t="s">
        <v>1267</v>
      </c>
      <c r="H1963" s="380" t="s">
        <v>771</v>
      </c>
      <c r="I1963" s="380" t="s">
        <v>1084</v>
      </c>
      <c r="J1963" s="380" t="s">
        <v>773</v>
      </c>
      <c r="K1963" s="381">
        <v>5472.0</v>
      </c>
      <c r="L1963" s="382">
        <v>1.0</v>
      </c>
    </row>
    <row r="1964">
      <c r="A1964" s="380" t="s">
        <v>2827</v>
      </c>
      <c r="B1964" s="380" t="str">
        <f>IFERROR(__xludf.DUMMYFUNCTION("""COMPUTED_VALUE"""),"Camiseta Blanca Base Recibo 40")</f>
        <v>Camiseta Blanca Base Recibo 40</v>
      </c>
      <c r="C1964" s="380" t="str">
        <f>IFERROR(__xludf.DUMMYFUNCTION("""COMPUTED_VALUE"""),"30000209")</f>
        <v>30000209</v>
      </c>
      <c r="D1964" s="380" t="s">
        <v>767</v>
      </c>
      <c r="E1964" s="380" t="s">
        <v>810</v>
      </c>
      <c r="F1964" s="380" t="s">
        <v>1089</v>
      </c>
      <c r="G1964" s="380" t="s">
        <v>1267</v>
      </c>
      <c r="H1964" s="380" t="s">
        <v>771</v>
      </c>
      <c r="I1964" s="380" t="s">
        <v>1084</v>
      </c>
      <c r="J1964" s="380" t="s">
        <v>773</v>
      </c>
      <c r="K1964" s="381">
        <v>25624.0</v>
      </c>
      <c r="L1964" s="382">
        <v>1.0</v>
      </c>
    </row>
    <row r="1965">
      <c r="A1965" s="380" t="s">
        <v>2828</v>
      </c>
      <c r="B1965" s="380" t="str">
        <f>IFERROR(__xludf.DUMMYFUNCTION("""COMPUTED_VALUE"""),"Camiseta Blanca Base Recibo 42")</f>
        <v>Camiseta Blanca Base Recibo 42</v>
      </c>
      <c r="C1965" s="380" t="str">
        <f>IFERROR(__xludf.DUMMYFUNCTION("""COMPUTED_VALUE"""),"30000210")</f>
        <v>30000210</v>
      </c>
      <c r="D1965" s="380" t="s">
        <v>767</v>
      </c>
      <c r="E1965" s="380" t="s">
        <v>810</v>
      </c>
      <c r="F1965" s="380" t="s">
        <v>1089</v>
      </c>
      <c r="G1965" s="380" t="s">
        <v>1267</v>
      </c>
      <c r="H1965" s="380" t="s">
        <v>771</v>
      </c>
      <c r="I1965" s="380" t="s">
        <v>1084</v>
      </c>
      <c r="J1965" s="380" t="s">
        <v>773</v>
      </c>
      <c r="K1965" s="381">
        <v>25624.0</v>
      </c>
      <c r="L1965" s="382">
        <v>1.0</v>
      </c>
    </row>
    <row r="1966">
      <c r="A1966" s="380" t="s">
        <v>2829</v>
      </c>
      <c r="B1966" s="380" t="str">
        <f>IFERROR(__xludf.DUMMYFUNCTION("""COMPUTED_VALUE"""),"Camiseta Blanca Base Recibo 38")</f>
        <v>Camiseta Blanca Base Recibo 38</v>
      </c>
      <c r="C1966" s="380" t="str">
        <f>IFERROR(__xludf.DUMMYFUNCTION("""COMPUTED_VALUE"""),"30000211")</f>
        <v>30000211</v>
      </c>
      <c r="D1966" s="380" t="s">
        <v>767</v>
      </c>
      <c r="E1966" s="380" t="s">
        <v>810</v>
      </c>
      <c r="F1966" s="380" t="s">
        <v>1089</v>
      </c>
      <c r="G1966" s="380" t="s">
        <v>1267</v>
      </c>
      <c r="H1966" s="380" t="s">
        <v>771</v>
      </c>
      <c r="I1966" s="380" t="s">
        <v>1084</v>
      </c>
      <c r="J1966" s="380" t="s">
        <v>773</v>
      </c>
      <c r="K1966" s="381">
        <v>25624.0</v>
      </c>
      <c r="L1966" s="382">
        <v>1.0</v>
      </c>
    </row>
    <row r="1967">
      <c r="A1967" s="380" t="s">
        <v>2830</v>
      </c>
      <c r="B1967" s="380" t="str">
        <f>IFERROR(__xludf.DUMMYFUNCTION("""COMPUTED_VALUE"""),"Camiseta Blanca Base Recibo M")</f>
        <v>Camiseta Blanca Base Recibo M</v>
      </c>
      <c r="C1967" s="380" t="str">
        <f>IFERROR(__xludf.DUMMYFUNCTION("""COMPUTED_VALUE"""),"30000212")</f>
        <v>30000212</v>
      </c>
      <c r="D1967" s="380" t="s">
        <v>767</v>
      </c>
      <c r="E1967" s="380" t="s">
        <v>810</v>
      </c>
      <c r="F1967" s="380" t="s">
        <v>1089</v>
      </c>
      <c r="G1967" s="380" t="s">
        <v>1267</v>
      </c>
      <c r="H1967" s="380" t="s">
        <v>771</v>
      </c>
      <c r="I1967" s="380" t="s">
        <v>1084</v>
      </c>
      <c r="J1967" s="380" t="s">
        <v>773</v>
      </c>
      <c r="K1967" s="381">
        <v>0.0</v>
      </c>
      <c r="L1967" s="382">
        <v>1.0</v>
      </c>
    </row>
    <row r="1968">
      <c r="A1968" s="380" t="s">
        <v>2831</v>
      </c>
      <c r="B1968" s="380" t="str">
        <f>IFERROR(__xludf.DUMMYFUNCTION("""COMPUTED_VALUE"""),"Camiseta Blanca Base Recibo 50")</f>
        <v>Camiseta Blanca Base Recibo 50</v>
      </c>
      <c r="C1968" s="380" t="str">
        <f>IFERROR(__xludf.DUMMYFUNCTION("""COMPUTED_VALUE"""),"30000213")</f>
        <v>30000213</v>
      </c>
      <c r="D1968" s="380" t="s">
        <v>767</v>
      </c>
      <c r="E1968" s="380" t="s">
        <v>810</v>
      </c>
      <c r="F1968" s="380" t="s">
        <v>1089</v>
      </c>
      <c r="G1968" s="380" t="s">
        <v>1267</v>
      </c>
      <c r="H1968" s="380" t="s">
        <v>771</v>
      </c>
      <c r="I1968" s="380" t="s">
        <v>1084</v>
      </c>
      <c r="J1968" s="380" t="s">
        <v>773</v>
      </c>
      <c r="K1968" s="381">
        <v>0.0</v>
      </c>
      <c r="L1968" s="382">
        <v>1.0</v>
      </c>
    </row>
    <row r="1969">
      <c r="A1969" s="380" t="s">
        <v>2832</v>
      </c>
      <c r="B1969" s="380" t="str">
        <f>IFERROR(__xludf.DUMMYFUNCTION("""COMPUTED_VALUE"""),"Camiseta Blanca Base Recibo L")</f>
        <v>Camiseta Blanca Base Recibo L</v>
      </c>
      <c r="C1969" s="380" t="str">
        <f>IFERROR(__xludf.DUMMYFUNCTION("""COMPUTED_VALUE"""),"30000214")</f>
        <v>30000214</v>
      </c>
      <c r="D1969" s="380" t="s">
        <v>767</v>
      </c>
      <c r="E1969" s="380" t="s">
        <v>810</v>
      </c>
      <c r="F1969" s="380" t="s">
        <v>1089</v>
      </c>
      <c r="G1969" s="380" t="s">
        <v>1267</v>
      </c>
      <c r="H1969" s="380" t="s">
        <v>771</v>
      </c>
      <c r="I1969" s="380" t="s">
        <v>1084</v>
      </c>
      <c r="J1969" s="380" t="s">
        <v>773</v>
      </c>
      <c r="K1969" s="381">
        <v>0.0</v>
      </c>
      <c r="L1969" s="382">
        <v>1.0</v>
      </c>
    </row>
    <row r="1970">
      <c r="A1970" s="380" t="s">
        <v>2833</v>
      </c>
      <c r="B1970" s="380" t="str">
        <f>IFERROR(__xludf.DUMMYFUNCTION("""COMPUTED_VALUE"""),"Impermeable Moto Courrier L")</f>
        <v>Impermeable Moto Courrier L</v>
      </c>
      <c r="C1970" s="380" t="str">
        <f>IFERROR(__xludf.DUMMYFUNCTION("""COMPUTED_VALUE"""),"30000215")</f>
        <v>30000215</v>
      </c>
      <c r="D1970" s="380" t="s">
        <v>767</v>
      </c>
      <c r="E1970" s="380" t="s">
        <v>810</v>
      </c>
      <c r="F1970" s="380" t="s">
        <v>1089</v>
      </c>
      <c r="G1970" s="380" t="s">
        <v>1267</v>
      </c>
      <c r="H1970" s="380" t="s">
        <v>771</v>
      </c>
      <c r="I1970" s="380" t="s">
        <v>1084</v>
      </c>
      <c r="J1970" s="380" t="s">
        <v>773</v>
      </c>
      <c r="K1970" s="381">
        <v>0.0</v>
      </c>
      <c r="L1970" s="382">
        <v>1.0</v>
      </c>
    </row>
    <row r="1971">
      <c r="A1971" s="380" t="s">
        <v>2834</v>
      </c>
      <c r="B1971" s="380" t="str">
        <f>IFERROR(__xludf.DUMMYFUNCTION("""COMPUTED_VALUE"""),"Impermeable Moto Courrier 42")</f>
        <v>Impermeable Moto Courrier 42</v>
      </c>
      <c r="C1971" s="380" t="str">
        <f>IFERROR(__xludf.DUMMYFUNCTION("""COMPUTED_VALUE"""),"30000216")</f>
        <v>30000216</v>
      </c>
      <c r="D1971" s="380" t="s">
        <v>767</v>
      </c>
      <c r="E1971" s="380" t="s">
        <v>810</v>
      </c>
      <c r="F1971" s="380" t="s">
        <v>1089</v>
      </c>
      <c r="G1971" s="380" t="s">
        <v>1267</v>
      </c>
      <c r="H1971" s="380" t="s">
        <v>771</v>
      </c>
      <c r="I1971" s="380" t="s">
        <v>1084</v>
      </c>
      <c r="J1971" s="380" t="s">
        <v>773</v>
      </c>
      <c r="K1971" s="381">
        <v>0.0</v>
      </c>
      <c r="L1971" s="382">
        <v>1.0</v>
      </c>
    </row>
    <row r="1972">
      <c r="A1972" s="380" t="s">
        <v>2835</v>
      </c>
      <c r="B1972" s="380" t="str">
        <f>IFERROR(__xludf.DUMMYFUNCTION("""COMPUTED_VALUE"""),"Impermeable Moto Courrier 44")</f>
        <v>Impermeable Moto Courrier 44</v>
      </c>
      <c r="C1972" s="380" t="str">
        <f>IFERROR(__xludf.DUMMYFUNCTION("""COMPUTED_VALUE"""),"30000217")</f>
        <v>30000217</v>
      </c>
      <c r="D1972" s="380" t="s">
        <v>767</v>
      </c>
      <c r="E1972" s="380" t="s">
        <v>810</v>
      </c>
      <c r="F1972" s="380" t="s">
        <v>1089</v>
      </c>
      <c r="G1972" s="380" t="s">
        <v>1267</v>
      </c>
      <c r="H1972" s="380" t="s">
        <v>771</v>
      </c>
      <c r="I1972" s="380" t="s">
        <v>1084</v>
      </c>
      <c r="J1972" s="380" t="s">
        <v>773</v>
      </c>
      <c r="K1972" s="381">
        <v>85260.0</v>
      </c>
      <c r="L1972" s="382">
        <v>1.0</v>
      </c>
    </row>
    <row r="1973">
      <c r="A1973" s="380" t="s">
        <v>2836</v>
      </c>
      <c r="B1973" s="380" t="str">
        <f>IFERROR(__xludf.DUMMYFUNCTION("""COMPUTED_VALUE"""),"Impermeable Moto Courrier Xl")</f>
        <v>Impermeable Moto Courrier Xl</v>
      </c>
      <c r="C1973" s="380" t="str">
        <f>IFERROR(__xludf.DUMMYFUNCTION("""COMPUTED_VALUE"""),"30000218")</f>
        <v>30000218</v>
      </c>
      <c r="D1973" s="380" t="s">
        <v>767</v>
      </c>
      <c r="E1973" s="380" t="s">
        <v>810</v>
      </c>
      <c r="F1973" s="380" t="s">
        <v>1089</v>
      </c>
      <c r="G1973" s="380" t="s">
        <v>1267</v>
      </c>
      <c r="H1973" s="380" t="s">
        <v>771</v>
      </c>
      <c r="I1973" s="380" t="s">
        <v>1084</v>
      </c>
      <c r="J1973" s="380" t="s">
        <v>773</v>
      </c>
      <c r="K1973" s="381">
        <v>0.0</v>
      </c>
      <c r="L1973" s="382">
        <v>1.0</v>
      </c>
    </row>
    <row r="1974">
      <c r="A1974" s="380" t="s">
        <v>2837</v>
      </c>
      <c r="B1974" s="380" t="str">
        <f>IFERROR(__xludf.DUMMYFUNCTION("""COMPUTED_VALUE"""),"Impermeable Moto Courrier 38")</f>
        <v>Impermeable Moto Courrier 38</v>
      </c>
      <c r="C1974" s="380" t="str">
        <f>IFERROR(__xludf.DUMMYFUNCTION("""COMPUTED_VALUE"""),"30000220")</f>
        <v>30000220</v>
      </c>
      <c r="D1974" s="380" t="s">
        <v>767</v>
      </c>
      <c r="E1974" s="380" t="s">
        <v>810</v>
      </c>
      <c r="F1974" s="380" t="s">
        <v>1089</v>
      </c>
      <c r="G1974" s="380" t="s">
        <v>1267</v>
      </c>
      <c r="H1974" s="380" t="s">
        <v>771</v>
      </c>
      <c r="I1974" s="380" t="s">
        <v>1084</v>
      </c>
      <c r="J1974" s="380" t="s">
        <v>773</v>
      </c>
      <c r="K1974" s="381">
        <v>85259.0</v>
      </c>
      <c r="L1974" s="382">
        <v>1.0</v>
      </c>
    </row>
    <row r="1975">
      <c r="A1975" s="380" t="s">
        <v>2838</v>
      </c>
      <c r="B1975" s="380" t="str">
        <f>IFERROR(__xludf.DUMMYFUNCTION("""COMPUTED_VALUE"""),"Impermeable Moto Courrier 40")</f>
        <v>Impermeable Moto Courrier 40</v>
      </c>
      <c r="C1975" s="380" t="str">
        <f>IFERROR(__xludf.DUMMYFUNCTION("""COMPUTED_VALUE"""),"30000221")</f>
        <v>30000221</v>
      </c>
      <c r="D1975" s="380" t="s">
        <v>767</v>
      </c>
      <c r="E1975" s="380" t="s">
        <v>810</v>
      </c>
      <c r="F1975" s="380" t="s">
        <v>1089</v>
      </c>
      <c r="G1975" s="380" t="s">
        <v>1267</v>
      </c>
      <c r="H1975" s="380" t="s">
        <v>771</v>
      </c>
      <c r="I1975" s="380" t="s">
        <v>1084</v>
      </c>
      <c r="J1975" s="380" t="s">
        <v>773</v>
      </c>
      <c r="K1975" s="381">
        <v>85259.0</v>
      </c>
      <c r="L1975" s="382">
        <v>1.0</v>
      </c>
    </row>
    <row r="1976">
      <c r="A1976" s="380" t="s">
        <v>2839</v>
      </c>
      <c r="B1976" s="380" t="str">
        <f>IFERROR(__xludf.DUMMYFUNCTION("""COMPUTED_VALUE"""),"Impermeable Moto Courrier M")</f>
        <v>Impermeable Moto Courrier M</v>
      </c>
      <c r="C1976" s="380" t="str">
        <f>IFERROR(__xludf.DUMMYFUNCTION("""COMPUTED_VALUE"""),"30000222")</f>
        <v>30000222</v>
      </c>
      <c r="D1976" s="380" t="s">
        <v>767</v>
      </c>
      <c r="E1976" s="380" t="s">
        <v>810</v>
      </c>
      <c r="F1976" s="380" t="s">
        <v>1089</v>
      </c>
      <c r="G1976" s="380" t="s">
        <v>1267</v>
      </c>
      <c r="H1976" s="380" t="s">
        <v>771</v>
      </c>
      <c r="I1976" s="380" t="s">
        <v>1084</v>
      </c>
      <c r="J1976" s="380" t="s">
        <v>773</v>
      </c>
      <c r="K1976" s="381">
        <v>0.0</v>
      </c>
      <c r="L1976" s="382">
        <v>1.0</v>
      </c>
    </row>
    <row r="1977">
      <c r="A1977" s="380" t="s">
        <v>2840</v>
      </c>
      <c r="B1977" s="380" t="str">
        <f>IFERROR(__xludf.DUMMYFUNCTION("""COMPUTED_VALUE"""),"Extintor Satelite Tipo Robot 150 Libras")</f>
        <v>Extintor Satelite Tipo Robot 150 Libras</v>
      </c>
      <c r="C1977" s="380" t="str">
        <f>IFERROR(__xludf.DUMMYFUNCTION("""COMPUTED_VALUE"""),"30000223")</f>
        <v>30000223</v>
      </c>
      <c r="D1977" s="380" t="s">
        <v>767</v>
      </c>
      <c r="E1977" s="380" t="s">
        <v>810</v>
      </c>
      <c r="F1977" s="380" t="s">
        <v>811</v>
      </c>
      <c r="G1977" s="380" t="s">
        <v>1267</v>
      </c>
      <c r="H1977" s="380" t="s">
        <v>771</v>
      </c>
      <c r="I1977" s="380" t="s">
        <v>812</v>
      </c>
      <c r="J1977" s="380" t="s">
        <v>773</v>
      </c>
      <c r="K1977" s="381">
        <v>0.0</v>
      </c>
      <c r="L1977" s="382">
        <v>1.0</v>
      </c>
    </row>
    <row r="1978">
      <c r="A1978" s="380" t="s">
        <v>2841</v>
      </c>
      <c r="B1978" s="380" t="str">
        <f>IFERROR(__xludf.DUMMYFUNCTION("""COMPUTED_VALUE"""),"Camiseta Distribucion Ml 34")</f>
        <v>Camiseta Distribucion Ml 34</v>
      </c>
      <c r="C1978" s="380" t="str">
        <f>IFERROR(__xludf.DUMMYFUNCTION("""COMPUTED_VALUE"""),"30000224")</f>
        <v>30000224</v>
      </c>
      <c r="D1978" s="380" t="s">
        <v>767</v>
      </c>
      <c r="E1978" s="380" t="s">
        <v>810</v>
      </c>
      <c r="F1978" s="380" t="s">
        <v>1089</v>
      </c>
      <c r="G1978" s="380" t="s">
        <v>1267</v>
      </c>
      <c r="H1978" s="380" t="s">
        <v>771</v>
      </c>
      <c r="I1978" s="380" t="s">
        <v>1084</v>
      </c>
      <c r="J1978" s="380" t="s">
        <v>773</v>
      </c>
      <c r="K1978" s="381">
        <v>35491.0</v>
      </c>
      <c r="L1978" s="382">
        <v>1.0</v>
      </c>
    </row>
    <row r="1979">
      <c r="A1979" s="380" t="s">
        <v>2842</v>
      </c>
      <c r="B1979" s="380" t="str">
        <f>IFERROR(__xludf.DUMMYFUNCTION("""COMPUTED_VALUE"""),"Camiseta Distribucion Ml 40")</f>
        <v>Camiseta Distribucion Ml 40</v>
      </c>
      <c r="C1979" s="380" t="str">
        <f>IFERROR(__xludf.DUMMYFUNCTION("""COMPUTED_VALUE"""),"30000225")</f>
        <v>30000225</v>
      </c>
      <c r="D1979" s="380" t="s">
        <v>767</v>
      </c>
      <c r="E1979" s="380" t="s">
        <v>810</v>
      </c>
      <c r="F1979" s="380" t="s">
        <v>1089</v>
      </c>
      <c r="G1979" s="380" t="s">
        <v>1267</v>
      </c>
      <c r="H1979" s="380" t="s">
        <v>771</v>
      </c>
      <c r="I1979" s="380" t="s">
        <v>1084</v>
      </c>
      <c r="J1979" s="380" t="s">
        <v>773</v>
      </c>
      <c r="K1979" s="381">
        <v>35491.0</v>
      </c>
      <c r="L1979" s="382">
        <v>1.0</v>
      </c>
    </row>
    <row r="1980">
      <c r="A1980" s="380" t="s">
        <v>2843</v>
      </c>
      <c r="B1980" s="380" t="str">
        <f>IFERROR(__xludf.DUMMYFUNCTION("""COMPUTED_VALUE"""),"Camiseta Distribucion Ml 46")</f>
        <v>Camiseta Distribucion Ml 46</v>
      </c>
      <c r="C1980" s="380" t="str">
        <f>IFERROR(__xludf.DUMMYFUNCTION("""COMPUTED_VALUE"""),"30000226")</f>
        <v>30000226</v>
      </c>
      <c r="D1980" s="380" t="s">
        <v>767</v>
      </c>
      <c r="E1980" s="380" t="s">
        <v>810</v>
      </c>
      <c r="F1980" s="380" t="s">
        <v>1089</v>
      </c>
      <c r="G1980" s="380" t="s">
        <v>1267</v>
      </c>
      <c r="H1980" s="380" t="s">
        <v>771</v>
      </c>
      <c r="I1980" s="380" t="s">
        <v>1084</v>
      </c>
      <c r="J1980" s="380" t="s">
        <v>773</v>
      </c>
      <c r="K1980" s="381">
        <v>35491.0</v>
      </c>
      <c r="L1980" s="382">
        <v>1.0</v>
      </c>
    </row>
    <row r="1981">
      <c r="A1981" s="380" t="s">
        <v>2844</v>
      </c>
      <c r="B1981" s="380" t="str">
        <f>IFERROR(__xludf.DUMMYFUNCTION("""COMPUTED_VALUE"""),"Camiseta Distribucion Ml 48")</f>
        <v>Camiseta Distribucion Ml 48</v>
      </c>
      <c r="C1981" s="380" t="str">
        <f>IFERROR(__xludf.DUMMYFUNCTION("""COMPUTED_VALUE"""),"30000227")</f>
        <v>30000227</v>
      </c>
      <c r="D1981" s="380" t="s">
        <v>767</v>
      </c>
      <c r="E1981" s="380" t="s">
        <v>810</v>
      </c>
      <c r="F1981" s="380" t="s">
        <v>1089</v>
      </c>
      <c r="G1981" s="380" t="s">
        <v>1267</v>
      </c>
      <c r="H1981" s="380" t="s">
        <v>771</v>
      </c>
      <c r="I1981" s="380" t="s">
        <v>1084</v>
      </c>
      <c r="J1981" s="380" t="s">
        <v>773</v>
      </c>
      <c r="K1981" s="381">
        <v>35491.0</v>
      </c>
      <c r="L1981" s="382">
        <v>1.0</v>
      </c>
    </row>
    <row r="1982">
      <c r="A1982" s="380" t="s">
        <v>2845</v>
      </c>
      <c r="B1982" s="380" t="str">
        <f>IFERROR(__xludf.DUMMYFUNCTION("""COMPUTED_VALUE"""),"Camiseta Distribucion Ml 36")</f>
        <v>Camiseta Distribucion Ml 36</v>
      </c>
      <c r="C1982" s="380" t="str">
        <f>IFERROR(__xludf.DUMMYFUNCTION("""COMPUTED_VALUE"""),"30000228")</f>
        <v>30000228</v>
      </c>
      <c r="D1982" s="380" t="s">
        <v>767</v>
      </c>
      <c r="E1982" s="380" t="s">
        <v>810</v>
      </c>
      <c r="F1982" s="380" t="s">
        <v>1089</v>
      </c>
      <c r="G1982" s="380" t="s">
        <v>1267</v>
      </c>
      <c r="H1982" s="380" t="s">
        <v>771</v>
      </c>
      <c r="I1982" s="380" t="s">
        <v>1084</v>
      </c>
      <c r="J1982" s="380" t="s">
        <v>773</v>
      </c>
      <c r="K1982" s="381">
        <v>35491.0</v>
      </c>
      <c r="L1982" s="382">
        <v>1.0</v>
      </c>
    </row>
    <row r="1983">
      <c r="A1983" s="380" t="s">
        <v>2846</v>
      </c>
      <c r="B1983" s="380" t="str">
        <f>IFERROR(__xludf.DUMMYFUNCTION("""COMPUTED_VALUE"""),"Boquillas Alcoholismo")</f>
        <v>Boquillas Alcoholismo</v>
      </c>
      <c r="C1983" s="380" t="str">
        <f>IFERROR(__xludf.DUMMYFUNCTION("""COMPUTED_VALUE"""),"30000229")</f>
        <v>30000229</v>
      </c>
      <c r="D1983" s="380" t="s">
        <v>767</v>
      </c>
      <c r="E1983" s="380" t="s">
        <v>810</v>
      </c>
      <c r="F1983" s="380" t="s">
        <v>1083</v>
      </c>
      <c r="G1983" s="380" t="s">
        <v>1267</v>
      </c>
      <c r="H1983" s="380" t="s">
        <v>771</v>
      </c>
      <c r="I1983" s="380" t="s">
        <v>1084</v>
      </c>
      <c r="J1983" s="380" t="s">
        <v>773</v>
      </c>
      <c r="K1983" s="381">
        <v>3732.0</v>
      </c>
      <c r="L1983" s="382">
        <v>1.0</v>
      </c>
    </row>
    <row r="1984">
      <c r="A1984" s="380" t="s">
        <v>2847</v>
      </c>
      <c r="B1984" s="380" t="str">
        <f>IFERROR(__xludf.DUMMYFUNCTION("""COMPUTED_VALUE"""),"Camiseta Distribucion Ml 44")</f>
        <v>Camiseta Distribucion Ml 44</v>
      </c>
      <c r="C1984" s="380" t="str">
        <f>IFERROR(__xludf.DUMMYFUNCTION("""COMPUTED_VALUE"""),"30000230")</f>
        <v>30000230</v>
      </c>
      <c r="D1984" s="380" t="s">
        <v>767</v>
      </c>
      <c r="E1984" s="380" t="s">
        <v>810</v>
      </c>
      <c r="F1984" s="380" t="s">
        <v>1089</v>
      </c>
      <c r="G1984" s="380" t="s">
        <v>1267</v>
      </c>
      <c r="H1984" s="380" t="s">
        <v>771</v>
      </c>
      <c r="I1984" s="380" t="s">
        <v>1084</v>
      </c>
      <c r="J1984" s="380" t="s">
        <v>773</v>
      </c>
      <c r="K1984" s="381">
        <v>35491.0</v>
      </c>
      <c r="L1984" s="382">
        <v>1.0</v>
      </c>
    </row>
    <row r="1985">
      <c r="A1985" s="380" t="s">
        <v>2848</v>
      </c>
      <c r="B1985" s="380" t="str">
        <f>IFERROR(__xludf.DUMMYFUNCTION("""COMPUTED_VALUE"""),"Camiseta Blanca Base Recibo 34")</f>
        <v>Camiseta Blanca Base Recibo 34</v>
      </c>
      <c r="C1985" s="380" t="str">
        <f>IFERROR(__xludf.DUMMYFUNCTION("""COMPUTED_VALUE"""),"30000231")</f>
        <v>30000231</v>
      </c>
      <c r="D1985" s="380" t="s">
        <v>767</v>
      </c>
      <c r="E1985" s="380" t="s">
        <v>810</v>
      </c>
      <c r="F1985" s="380" t="s">
        <v>1089</v>
      </c>
      <c r="G1985" s="380" t="s">
        <v>1267</v>
      </c>
      <c r="H1985" s="380" t="s">
        <v>771</v>
      </c>
      <c r="I1985" s="380" t="s">
        <v>1084</v>
      </c>
      <c r="J1985" s="380" t="s">
        <v>773</v>
      </c>
      <c r="K1985" s="381">
        <v>25624.0</v>
      </c>
      <c r="L1985" s="382">
        <v>1.0</v>
      </c>
    </row>
    <row r="1986">
      <c r="A1986" s="380" t="s">
        <v>2849</v>
      </c>
      <c r="B1986" s="380" t="str">
        <f>IFERROR(__xludf.DUMMYFUNCTION("""COMPUTED_VALUE"""),"Camiseta Blanca Base Recibo 30")</f>
        <v>Camiseta Blanca Base Recibo 30</v>
      </c>
      <c r="C1986" s="380" t="str">
        <f>IFERROR(__xludf.DUMMYFUNCTION("""COMPUTED_VALUE"""),"30000232")</f>
        <v>30000232</v>
      </c>
      <c r="D1986" s="380" t="s">
        <v>767</v>
      </c>
      <c r="E1986" s="380" t="s">
        <v>810</v>
      </c>
      <c r="F1986" s="380" t="s">
        <v>1089</v>
      </c>
      <c r="G1986" s="380" t="s">
        <v>1267</v>
      </c>
      <c r="H1986" s="380" t="s">
        <v>771</v>
      </c>
      <c r="I1986" s="380" t="s">
        <v>1084</v>
      </c>
      <c r="J1986" s="380" t="s">
        <v>773</v>
      </c>
      <c r="K1986" s="381">
        <v>25624.0</v>
      </c>
      <c r="L1986" s="382">
        <v>1.0</v>
      </c>
    </row>
    <row r="1987">
      <c r="A1987" s="380" t="s">
        <v>2850</v>
      </c>
      <c r="B1987" s="380" t="str">
        <f>IFERROR(__xludf.DUMMYFUNCTION("""COMPUTED_VALUE"""),"Camiseta Blanca Base Recibo 32")</f>
        <v>Camiseta Blanca Base Recibo 32</v>
      </c>
      <c r="C1987" s="380" t="str">
        <f>IFERROR(__xludf.DUMMYFUNCTION("""COMPUTED_VALUE"""),"30000233")</f>
        <v>30000233</v>
      </c>
      <c r="D1987" s="380" t="s">
        <v>767</v>
      </c>
      <c r="E1987" s="380" t="s">
        <v>810</v>
      </c>
      <c r="F1987" s="380" t="s">
        <v>1089</v>
      </c>
      <c r="G1987" s="380" t="s">
        <v>1267</v>
      </c>
      <c r="H1987" s="380" t="s">
        <v>771</v>
      </c>
      <c r="I1987" s="380" t="s">
        <v>1084</v>
      </c>
      <c r="J1987" s="380" t="s">
        <v>773</v>
      </c>
      <c r="K1987" s="381">
        <v>25624.0</v>
      </c>
      <c r="L1987" s="382">
        <v>1.0</v>
      </c>
    </row>
    <row r="1988">
      <c r="A1988" s="380" t="s">
        <v>2851</v>
      </c>
      <c r="B1988" s="380" t="str">
        <f>IFERROR(__xludf.DUMMYFUNCTION("""COMPUTED_VALUE"""),"Camiseta Blanca Base Recibo Xl")</f>
        <v>Camiseta Blanca Base Recibo Xl</v>
      </c>
      <c r="C1988" s="380" t="str">
        <f>IFERROR(__xludf.DUMMYFUNCTION("""COMPUTED_VALUE"""),"30000234")</f>
        <v>30000234</v>
      </c>
      <c r="D1988" s="380" t="s">
        <v>767</v>
      </c>
      <c r="E1988" s="380" t="s">
        <v>810</v>
      </c>
      <c r="F1988" s="380" t="s">
        <v>1089</v>
      </c>
      <c r="G1988" s="380" t="s">
        <v>1267</v>
      </c>
      <c r="H1988" s="380" t="s">
        <v>771</v>
      </c>
      <c r="I1988" s="380" t="s">
        <v>1084</v>
      </c>
      <c r="J1988" s="380" t="s">
        <v>773</v>
      </c>
      <c r="K1988" s="381">
        <v>0.0</v>
      </c>
      <c r="L1988" s="382">
        <v>1.0</v>
      </c>
    </row>
    <row r="1989">
      <c r="A1989" s="380" t="s">
        <v>2852</v>
      </c>
      <c r="B1989" s="380" t="str">
        <f>IFERROR(__xludf.DUMMYFUNCTION("""COMPUTED_VALUE"""),"Camiseta Blanca Base Recibo 36")</f>
        <v>Camiseta Blanca Base Recibo 36</v>
      </c>
      <c r="C1989" s="380" t="str">
        <f>IFERROR(__xludf.DUMMYFUNCTION("""COMPUTED_VALUE"""),"30000235")</f>
        <v>30000235</v>
      </c>
      <c r="D1989" s="380" t="s">
        <v>767</v>
      </c>
      <c r="E1989" s="380" t="s">
        <v>810</v>
      </c>
      <c r="F1989" s="380" t="s">
        <v>1089</v>
      </c>
      <c r="G1989" s="380" t="s">
        <v>1267</v>
      </c>
      <c r="H1989" s="380" t="s">
        <v>771</v>
      </c>
      <c r="I1989" s="380" t="s">
        <v>1084</v>
      </c>
      <c r="J1989" s="380" t="s">
        <v>773</v>
      </c>
      <c r="K1989" s="381">
        <v>25624.0</v>
      </c>
      <c r="L1989" s="382">
        <v>1.0</v>
      </c>
    </row>
    <row r="1990">
      <c r="A1990" s="380" t="s">
        <v>2853</v>
      </c>
      <c r="B1990" s="380" t="str">
        <f>IFERROR(__xludf.DUMMYFUNCTION("""COMPUTED_VALUE"""),"Camiseta Blanca Base Recibo 44")</f>
        <v>Camiseta Blanca Base Recibo 44</v>
      </c>
      <c r="C1990" s="380" t="str">
        <f>IFERROR(__xludf.DUMMYFUNCTION("""COMPUTED_VALUE"""),"30000236")</f>
        <v>30000236</v>
      </c>
      <c r="D1990" s="380" t="s">
        <v>767</v>
      </c>
      <c r="E1990" s="380" t="s">
        <v>810</v>
      </c>
      <c r="F1990" s="380" t="s">
        <v>1089</v>
      </c>
      <c r="G1990" s="380" t="s">
        <v>1267</v>
      </c>
      <c r="H1990" s="380" t="s">
        <v>771</v>
      </c>
      <c r="I1990" s="380" t="s">
        <v>1084</v>
      </c>
      <c r="J1990" s="380" t="s">
        <v>773</v>
      </c>
      <c r="K1990" s="381">
        <v>25624.0</v>
      </c>
      <c r="L1990" s="382">
        <v>1.0</v>
      </c>
    </row>
    <row r="1991">
      <c r="A1991" s="380" t="s">
        <v>2854</v>
      </c>
      <c r="B1991" s="380" t="str">
        <f>IFERROR(__xludf.DUMMYFUNCTION("""COMPUTED_VALUE"""),"Camiseta Blanca Base Recibo 6")</f>
        <v>Camiseta Blanca Base Recibo 6</v>
      </c>
      <c r="C1991" s="380" t="str">
        <f>IFERROR(__xludf.DUMMYFUNCTION("""COMPUTED_VALUE"""),"30000237")</f>
        <v>30000237</v>
      </c>
      <c r="D1991" s="380" t="s">
        <v>767</v>
      </c>
      <c r="E1991" s="380" t="s">
        <v>810</v>
      </c>
      <c r="F1991" s="380" t="s">
        <v>1089</v>
      </c>
      <c r="G1991" s="380" t="s">
        <v>1267</v>
      </c>
      <c r="H1991" s="380" t="s">
        <v>771</v>
      </c>
      <c r="I1991" s="380" t="s">
        <v>1084</v>
      </c>
      <c r="J1991" s="380" t="s">
        <v>773</v>
      </c>
      <c r="K1991" s="381">
        <v>0.0</v>
      </c>
      <c r="L1991" s="382">
        <v>1.0</v>
      </c>
    </row>
    <row r="1992">
      <c r="A1992" s="380" t="s">
        <v>2855</v>
      </c>
      <c r="B1992" s="380" t="str">
        <f>IFERROR(__xludf.DUMMYFUNCTION("""COMPUTED_VALUE"""),"Camiseta Blanca Base Recibo S")</f>
        <v>Camiseta Blanca Base Recibo S</v>
      </c>
      <c r="C1992" s="380" t="str">
        <f>IFERROR(__xludf.DUMMYFUNCTION("""COMPUTED_VALUE"""),"30000238")</f>
        <v>30000238</v>
      </c>
      <c r="D1992" s="380" t="s">
        <v>767</v>
      </c>
      <c r="E1992" s="380" t="s">
        <v>810</v>
      </c>
      <c r="F1992" s="380" t="s">
        <v>1089</v>
      </c>
      <c r="G1992" s="380" t="s">
        <v>1267</v>
      </c>
      <c r="H1992" s="380" t="s">
        <v>771</v>
      </c>
      <c r="I1992" s="380" t="s">
        <v>1084</v>
      </c>
      <c r="J1992" s="380" t="s">
        <v>773</v>
      </c>
      <c r="K1992" s="381">
        <v>0.0</v>
      </c>
      <c r="L1992" s="382">
        <v>1.0</v>
      </c>
    </row>
    <row r="1993">
      <c r="A1993" s="380" t="s">
        <v>2856</v>
      </c>
      <c r="B1993" s="380" t="str">
        <f>IFERROR(__xludf.DUMMYFUNCTION("""COMPUTED_VALUE"""),"Camiseta Blanca Base Recibo 46")</f>
        <v>Camiseta Blanca Base Recibo 46</v>
      </c>
      <c r="C1993" s="380" t="str">
        <f>IFERROR(__xludf.DUMMYFUNCTION("""COMPUTED_VALUE"""),"30000239")</f>
        <v>30000239</v>
      </c>
      <c r="D1993" s="380" t="s">
        <v>767</v>
      </c>
      <c r="E1993" s="380" t="s">
        <v>810</v>
      </c>
      <c r="F1993" s="380" t="s">
        <v>1089</v>
      </c>
      <c r="G1993" s="380" t="s">
        <v>1267</v>
      </c>
      <c r="H1993" s="380" t="s">
        <v>771</v>
      </c>
      <c r="I1993" s="380" t="s">
        <v>1084</v>
      </c>
      <c r="J1993" s="380" t="s">
        <v>773</v>
      </c>
      <c r="K1993" s="381">
        <v>25624.0</v>
      </c>
      <c r="L1993" s="382">
        <v>1.0</v>
      </c>
    </row>
    <row r="1994">
      <c r="A1994" s="380" t="s">
        <v>2857</v>
      </c>
      <c r="B1994" s="380" t="str">
        <f>IFERROR(__xludf.DUMMYFUNCTION("""COMPUTED_VALUE"""),"Blusa Antifluido Mc Combinada Aseo 20")</f>
        <v>Blusa Antifluido Mc Combinada Aseo 20</v>
      </c>
      <c r="C1994" s="380" t="str">
        <f>IFERROR(__xludf.DUMMYFUNCTION("""COMPUTED_VALUE"""),"30000240")</f>
        <v>30000240</v>
      </c>
      <c r="D1994" s="380" t="s">
        <v>767</v>
      </c>
      <c r="E1994" s="380" t="s">
        <v>810</v>
      </c>
      <c r="F1994" s="380" t="s">
        <v>1089</v>
      </c>
      <c r="G1994" s="380" t="s">
        <v>1267</v>
      </c>
      <c r="H1994" s="380" t="s">
        <v>771</v>
      </c>
      <c r="I1994" s="380" t="s">
        <v>1084</v>
      </c>
      <c r="J1994" s="380" t="s">
        <v>773</v>
      </c>
      <c r="K1994" s="381">
        <v>48330.0</v>
      </c>
      <c r="L1994" s="382">
        <v>1.0</v>
      </c>
    </row>
    <row r="1995">
      <c r="A1995" s="380" t="s">
        <v>2858</v>
      </c>
      <c r="B1995" s="380" t="str">
        <f>IFERROR(__xludf.DUMMYFUNCTION("""COMPUTED_VALUE"""),"Blusa Antifluido Mc Combinada Aseo 10")</f>
        <v>Blusa Antifluido Mc Combinada Aseo 10</v>
      </c>
      <c r="C1995" s="380" t="str">
        <f>IFERROR(__xludf.DUMMYFUNCTION("""COMPUTED_VALUE"""),"30000241")</f>
        <v>30000241</v>
      </c>
      <c r="D1995" s="380" t="s">
        <v>767</v>
      </c>
      <c r="E1995" s="380" t="s">
        <v>810</v>
      </c>
      <c r="F1995" s="380" t="s">
        <v>1089</v>
      </c>
      <c r="G1995" s="380" t="s">
        <v>1267</v>
      </c>
      <c r="H1995" s="380" t="s">
        <v>771</v>
      </c>
      <c r="I1995" s="380" t="s">
        <v>1084</v>
      </c>
      <c r="J1995" s="380" t="s">
        <v>773</v>
      </c>
      <c r="K1995" s="381">
        <v>48330.0</v>
      </c>
      <c r="L1995" s="382">
        <v>1.0</v>
      </c>
    </row>
    <row r="1996">
      <c r="A1996" s="380" t="s">
        <v>2859</v>
      </c>
      <c r="B1996" s="380" t="str">
        <f>IFERROR(__xludf.DUMMYFUNCTION("""COMPUTED_VALUE"""),"Blusa Antifluido Mc Combinada Aseo 42")</f>
        <v>Blusa Antifluido Mc Combinada Aseo 42</v>
      </c>
      <c r="C1996" s="380" t="str">
        <f>IFERROR(__xludf.DUMMYFUNCTION("""COMPUTED_VALUE"""),"30000242")</f>
        <v>30000242</v>
      </c>
      <c r="D1996" s="380" t="s">
        <v>767</v>
      </c>
      <c r="E1996" s="380" t="s">
        <v>810</v>
      </c>
      <c r="F1996" s="380" t="s">
        <v>1089</v>
      </c>
      <c r="G1996" s="380" t="s">
        <v>1267</v>
      </c>
      <c r="H1996" s="380" t="s">
        <v>771</v>
      </c>
      <c r="I1996" s="380" t="s">
        <v>1084</v>
      </c>
      <c r="J1996" s="380" t="s">
        <v>773</v>
      </c>
      <c r="K1996" s="381">
        <v>0.0</v>
      </c>
      <c r="L1996" s="382">
        <v>1.0</v>
      </c>
    </row>
    <row r="1997">
      <c r="A1997" s="380" t="s">
        <v>2860</v>
      </c>
      <c r="B1997" s="380" t="str">
        <f>IFERROR(__xludf.DUMMYFUNCTION("""COMPUTED_VALUE"""),"Blusa Antifluido Mc Combinada Aseo 8")</f>
        <v>Blusa Antifluido Mc Combinada Aseo 8</v>
      </c>
      <c r="C1997" s="380" t="str">
        <f>IFERROR(__xludf.DUMMYFUNCTION("""COMPUTED_VALUE"""),"30000243")</f>
        <v>30000243</v>
      </c>
      <c r="D1997" s="380" t="s">
        <v>767</v>
      </c>
      <c r="E1997" s="380" t="s">
        <v>810</v>
      </c>
      <c r="F1997" s="380" t="s">
        <v>1089</v>
      </c>
      <c r="G1997" s="380" t="s">
        <v>1267</v>
      </c>
      <c r="H1997" s="380" t="s">
        <v>771</v>
      </c>
      <c r="I1997" s="380" t="s">
        <v>1084</v>
      </c>
      <c r="J1997" s="380" t="s">
        <v>773</v>
      </c>
      <c r="K1997" s="381">
        <v>0.0</v>
      </c>
      <c r="L1997" s="382">
        <v>1.0</v>
      </c>
    </row>
    <row r="1998">
      <c r="A1998" s="380" t="s">
        <v>2861</v>
      </c>
      <c r="B1998" s="380" t="str">
        <f>IFERROR(__xludf.DUMMYFUNCTION("""COMPUTED_VALUE"""),"Blusa Antifluido Mc Combinada Aseo 44")</f>
        <v>Blusa Antifluido Mc Combinada Aseo 44</v>
      </c>
      <c r="C1998" s="380" t="str">
        <f>IFERROR(__xludf.DUMMYFUNCTION("""COMPUTED_VALUE"""),"30000244")</f>
        <v>30000244</v>
      </c>
      <c r="D1998" s="380" t="s">
        <v>767</v>
      </c>
      <c r="E1998" s="380" t="s">
        <v>810</v>
      </c>
      <c r="F1998" s="380" t="s">
        <v>1089</v>
      </c>
      <c r="G1998" s="380" t="s">
        <v>1267</v>
      </c>
      <c r="H1998" s="380" t="s">
        <v>771</v>
      </c>
      <c r="I1998" s="380" t="s">
        <v>1084</v>
      </c>
      <c r="J1998" s="380" t="s">
        <v>773</v>
      </c>
      <c r="K1998" s="381">
        <v>0.0</v>
      </c>
      <c r="L1998" s="382">
        <v>1.0</v>
      </c>
    </row>
    <row r="1999">
      <c r="A1999" s="380" t="s">
        <v>2862</v>
      </c>
      <c r="B1999" s="380" t="str">
        <f>IFERROR(__xludf.DUMMYFUNCTION("""COMPUTED_VALUE"""),"Blusa Antifluido Mc Combinada Aseo Xl")</f>
        <v>Blusa Antifluido Mc Combinada Aseo Xl</v>
      </c>
      <c r="C1999" s="380" t="str">
        <f>IFERROR(__xludf.DUMMYFUNCTION("""COMPUTED_VALUE"""),"30000245")</f>
        <v>30000245</v>
      </c>
      <c r="D1999" s="380" t="s">
        <v>767</v>
      </c>
      <c r="E1999" s="380" t="s">
        <v>810</v>
      </c>
      <c r="F1999" s="380" t="s">
        <v>1089</v>
      </c>
      <c r="G1999" s="380" t="s">
        <v>1267</v>
      </c>
      <c r="H1999" s="380" t="s">
        <v>771</v>
      </c>
      <c r="I1999" s="380" t="s">
        <v>1084</v>
      </c>
      <c r="J1999" s="380" t="s">
        <v>773</v>
      </c>
      <c r="K1999" s="381">
        <v>0.0</v>
      </c>
      <c r="L1999" s="382">
        <v>1.0</v>
      </c>
    </row>
    <row r="2000">
      <c r="A2000" s="380" t="s">
        <v>2863</v>
      </c>
      <c r="B2000" s="380" t="str">
        <f>IFERROR(__xludf.DUMMYFUNCTION("""COMPUTED_VALUE"""),"Blusa Antifluido Mc Combinada Aseo 38")</f>
        <v>Blusa Antifluido Mc Combinada Aseo 38</v>
      </c>
      <c r="C2000" s="380" t="str">
        <f>IFERROR(__xludf.DUMMYFUNCTION("""COMPUTED_VALUE"""),"30000246")</f>
        <v>30000246</v>
      </c>
      <c r="D2000" s="380" t="s">
        <v>767</v>
      </c>
      <c r="E2000" s="380" t="s">
        <v>810</v>
      </c>
      <c r="F2000" s="380" t="s">
        <v>1089</v>
      </c>
      <c r="G2000" s="380" t="s">
        <v>1267</v>
      </c>
      <c r="H2000" s="380" t="s">
        <v>771</v>
      </c>
      <c r="I2000" s="380" t="s">
        <v>1084</v>
      </c>
      <c r="J2000" s="380" t="s">
        <v>773</v>
      </c>
      <c r="K2000" s="381">
        <v>0.0</v>
      </c>
      <c r="L2000" s="382">
        <v>1.0</v>
      </c>
    </row>
    <row r="2001">
      <c r="A2001" s="380" t="s">
        <v>2864</v>
      </c>
      <c r="B2001" s="380" t="str">
        <f>IFERROR(__xludf.DUMMYFUNCTION("""COMPUTED_VALUE"""),"Blusa Antifluido Mc Combinada Aseo 16")</f>
        <v>Blusa Antifluido Mc Combinada Aseo 16</v>
      </c>
      <c r="C2001" s="380" t="str">
        <f>IFERROR(__xludf.DUMMYFUNCTION("""COMPUTED_VALUE"""),"30000247")</f>
        <v>30000247</v>
      </c>
      <c r="D2001" s="380" t="s">
        <v>767</v>
      </c>
      <c r="E2001" s="380" t="s">
        <v>810</v>
      </c>
      <c r="F2001" s="380" t="s">
        <v>1089</v>
      </c>
      <c r="G2001" s="380" t="s">
        <v>1267</v>
      </c>
      <c r="H2001" s="380" t="s">
        <v>771</v>
      </c>
      <c r="I2001" s="380" t="s">
        <v>1084</v>
      </c>
      <c r="J2001" s="380" t="s">
        <v>773</v>
      </c>
      <c r="K2001" s="381">
        <v>48330.0</v>
      </c>
      <c r="L2001" s="382">
        <v>1.0</v>
      </c>
    </row>
    <row r="2002">
      <c r="A2002" s="380" t="s">
        <v>2865</v>
      </c>
      <c r="B2002" s="380" t="str">
        <f>IFERROR(__xludf.DUMMYFUNCTION("""COMPUTED_VALUE"""),"Blusa Antifluido Mc Combinada Aseo M")</f>
        <v>Blusa Antifluido Mc Combinada Aseo M</v>
      </c>
      <c r="C2002" s="380" t="str">
        <f>IFERROR(__xludf.DUMMYFUNCTION("""COMPUTED_VALUE"""),"30000248")</f>
        <v>30000248</v>
      </c>
      <c r="D2002" s="380" t="s">
        <v>767</v>
      </c>
      <c r="E2002" s="380" t="s">
        <v>810</v>
      </c>
      <c r="F2002" s="380" t="s">
        <v>1089</v>
      </c>
      <c r="G2002" s="380" t="s">
        <v>1267</v>
      </c>
      <c r="H2002" s="380" t="s">
        <v>771</v>
      </c>
      <c r="I2002" s="380" t="s">
        <v>1084</v>
      </c>
      <c r="J2002" s="380" t="s">
        <v>773</v>
      </c>
      <c r="K2002" s="381">
        <v>0.0</v>
      </c>
      <c r="L2002" s="382">
        <v>1.0</v>
      </c>
    </row>
    <row r="2003">
      <c r="A2003" s="380" t="s">
        <v>2866</v>
      </c>
      <c r="B2003" s="380" t="str">
        <f>IFERROR(__xludf.DUMMYFUNCTION("""COMPUTED_VALUE"""),"Camiseta Distribucion Ml 30")</f>
        <v>Camiseta Distribucion Ml 30</v>
      </c>
      <c r="C2003" s="380" t="str">
        <f>IFERROR(__xludf.DUMMYFUNCTION("""COMPUTED_VALUE"""),"30000249")</f>
        <v>30000249</v>
      </c>
      <c r="D2003" s="380" t="s">
        <v>767</v>
      </c>
      <c r="E2003" s="380" t="s">
        <v>810</v>
      </c>
      <c r="F2003" s="380" t="s">
        <v>1089</v>
      </c>
      <c r="G2003" s="380" t="s">
        <v>1267</v>
      </c>
      <c r="H2003" s="380" t="s">
        <v>771</v>
      </c>
      <c r="I2003" s="380" t="s">
        <v>1084</v>
      </c>
      <c r="J2003" s="380" t="s">
        <v>773</v>
      </c>
      <c r="K2003" s="381">
        <v>35491.0</v>
      </c>
      <c r="L2003" s="382">
        <v>1.0</v>
      </c>
    </row>
    <row r="2004">
      <c r="A2004" s="380" t="s">
        <v>2867</v>
      </c>
      <c r="B2004" s="380" t="str">
        <f>IFERROR(__xludf.DUMMYFUNCTION("""COMPUTED_VALUE"""),"Contenedor Kit Derrame 55 Gln Negro")</f>
        <v>Contenedor Kit Derrame 55 Gln Negro</v>
      </c>
      <c r="C2004" s="380" t="str">
        <f>IFERROR(__xludf.DUMMYFUNCTION("""COMPUTED_VALUE"""),"30000250")</f>
        <v>30000250</v>
      </c>
      <c r="D2004" s="380" t="s">
        <v>767</v>
      </c>
      <c r="E2004" s="380" t="s">
        <v>810</v>
      </c>
      <c r="F2004" s="380" t="s">
        <v>811</v>
      </c>
      <c r="G2004" s="380" t="s">
        <v>1267</v>
      </c>
      <c r="H2004" s="380" t="s">
        <v>771</v>
      </c>
      <c r="I2004" s="380" t="s">
        <v>812</v>
      </c>
      <c r="J2004" s="380" t="s">
        <v>773</v>
      </c>
      <c r="K2004" s="381">
        <v>0.0</v>
      </c>
      <c r="L2004" s="382">
        <v>1.0</v>
      </c>
    </row>
    <row r="2005">
      <c r="A2005" s="380" t="s">
        <v>2868</v>
      </c>
      <c r="B2005" s="380" t="str">
        <f>IFERROR(__xludf.DUMMYFUNCTION("""COMPUTED_VALUE"""),"Camiseta Distribucion Ml 50")</f>
        <v>Camiseta Distribucion Ml 50</v>
      </c>
      <c r="C2005" s="380" t="str">
        <f>IFERROR(__xludf.DUMMYFUNCTION("""COMPUTED_VALUE"""),"30000251")</f>
        <v>30000251</v>
      </c>
      <c r="D2005" s="380" t="s">
        <v>767</v>
      </c>
      <c r="E2005" s="380" t="s">
        <v>810</v>
      </c>
      <c r="F2005" s="380" t="s">
        <v>1089</v>
      </c>
      <c r="G2005" s="380" t="s">
        <v>1267</v>
      </c>
      <c r="H2005" s="380" t="s">
        <v>771</v>
      </c>
      <c r="I2005" s="380" t="s">
        <v>1084</v>
      </c>
      <c r="J2005" s="380" t="s">
        <v>773</v>
      </c>
      <c r="K2005" s="381">
        <v>35491.0</v>
      </c>
      <c r="L2005" s="382">
        <v>1.0</v>
      </c>
    </row>
    <row r="2006">
      <c r="A2006" s="380" t="s">
        <v>2869</v>
      </c>
      <c r="B2006" s="380" t="str">
        <f>IFERROR(__xludf.DUMMYFUNCTION("""COMPUTED_VALUE"""),"Camiseta Distribucion Ml 38")</f>
        <v>Camiseta Distribucion Ml 38</v>
      </c>
      <c r="C2006" s="380" t="str">
        <f>IFERROR(__xludf.DUMMYFUNCTION("""COMPUTED_VALUE"""),"30000252")</f>
        <v>30000252</v>
      </c>
      <c r="D2006" s="380" t="s">
        <v>767</v>
      </c>
      <c r="E2006" s="380" t="s">
        <v>810</v>
      </c>
      <c r="F2006" s="380" t="s">
        <v>1089</v>
      </c>
      <c r="G2006" s="380" t="s">
        <v>1267</v>
      </c>
      <c r="H2006" s="380" t="s">
        <v>771</v>
      </c>
      <c r="I2006" s="380" t="s">
        <v>1084</v>
      </c>
      <c r="J2006" s="380" t="s">
        <v>773</v>
      </c>
      <c r="K2006" s="381">
        <v>35491.0</v>
      </c>
      <c r="L2006" s="382">
        <v>1.0</v>
      </c>
    </row>
    <row r="2007">
      <c r="A2007" s="380" t="s">
        <v>2870</v>
      </c>
      <c r="B2007" s="380" t="str">
        <f>IFERROR(__xludf.DUMMYFUNCTION("""COMPUTED_VALUE"""),"Camiseta Distribucion Ml 42")</f>
        <v>Camiseta Distribucion Ml 42</v>
      </c>
      <c r="C2007" s="380" t="str">
        <f>IFERROR(__xludf.DUMMYFUNCTION("""COMPUTED_VALUE"""),"30000253")</f>
        <v>30000253</v>
      </c>
      <c r="D2007" s="380" t="s">
        <v>767</v>
      </c>
      <c r="E2007" s="380" t="s">
        <v>810</v>
      </c>
      <c r="F2007" s="380" t="s">
        <v>1089</v>
      </c>
      <c r="G2007" s="380" t="s">
        <v>1267</v>
      </c>
      <c r="H2007" s="380" t="s">
        <v>771</v>
      </c>
      <c r="I2007" s="380" t="s">
        <v>1084</v>
      </c>
      <c r="J2007" s="380" t="s">
        <v>773</v>
      </c>
      <c r="K2007" s="381">
        <v>35491.0</v>
      </c>
      <c r="L2007" s="382">
        <v>1.0</v>
      </c>
    </row>
    <row r="2008">
      <c r="A2008" s="380" t="s">
        <v>2871</v>
      </c>
      <c r="B2008" s="380" t="str">
        <f>IFERROR(__xludf.DUMMYFUNCTION("""COMPUTED_VALUE"""),"Camiseta Distribucion Ml 32")</f>
        <v>Camiseta Distribucion Ml 32</v>
      </c>
      <c r="C2008" s="380" t="str">
        <f>IFERROR(__xludf.DUMMYFUNCTION("""COMPUTED_VALUE"""),"30000254")</f>
        <v>30000254</v>
      </c>
      <c r="D2008" s="380" t="s">
        <v>767</v>
      </c>
      <c r="E2008" s="380" t="s">
        <v>810</v>
      </c>
      <c r="F2008" s="380" t="s">
        <v>1089</v>
      </c>
      <c r="G2008" s="380" t="s">
        <v>1267</v>
      </c>
      <c r="H2008" s="380" t="s">
        <v>771</v>
      </c>
      <c r="I2008" s="380" t="s">
        <v>1084</v>
      </c>
      <c r="J2008" s="380" t="s">
        <v>773</v>
      </c>
      <c r="K2008" s="381">
        <v>35491.0</v>
      </c>
      <c r="L2008" s="382">
        <v>1.0</v>
      </c>
    </row>
    <row r="2009">
      <c r="A2009" s="380" t="s">
        <v>2872</v>
      </c>
      <c r="B2009" s="380" t="str">
        <f>IFERROR(__xludf.DUMMYFUNCTION("""COMPUTED_VALUE"""),"Camiseta Distribucion Ml 28")</f>
        <v>Camiseta Distribucion Ml 28</v>
      </c>
      <c r="C2009" s="380" t="str">
        <f>IFERROR(__xludf.DUMMYFUNCTION("""COMPUTED_VALUE"""),"30000255")</f>
        <v>30000255</v>
      </c>
      <c r="D2009" s="380" t="s">
        <v>767</v>
      </c>
      <c r="E2009" s="380" t="s">
        <v>810</v>
      </c>
      <c r="F2009" s="380" t="s">
        <v>1089</v>
      </c>
      <c r="G2009" s="380" t="s">
        <v>1267</v>
      </c>
      <c r="H2009" s="380" t="s">
        <v>771</v>
      </c>
      <c r="I2009" s="380" t="s">
        <v>1084</v>
      </c>
      <c r="J2009" s="380" t="s">
        <v>773</v>
      </c>
      <c r="K2009" s="381">
        <v>0.0</v>
      </c>
      <c r="L2009" s="382">
        <v>1.0</v>
      </c>
    </row>
    <row r="2010">
      <c r="A2010" s="380" t="s">
        <v>2873</v>
      </c>
      <c r="B2010" s="380" t="str">
        <f>IFERROR(__xludf.DUMMYFUNCTION("""COMPUTED_VALUE"""),"Pantalon Antifluidos Dama Aseo 34")</f>
        <v>Pantalon Antifluidos Dama Aseo 34</v>
      </c>
      <c r="C2010" s="380" t="str">
        <f>IFERROR(__xludf.DUMMYFUNCTION("""COMPUTED_VALUE"""),"30000256")</f>
        <v>30000256</v>
      </c>
      <c r="D2010" s="380" t="s">
        <v>767</v>
      </c>
      <c r="E2010" s="380" t="s">
        <v>810</v>
      </c>
      <c r="F2010" s="380" t="s">
        <v>1089</v>
      </c>
      <c r="G2010" s="380" t="s">
        <v>1267</v>
      </c>
      <c r="H2010" s="380" t="s">
        <v>771</v>
      </c>
      <c r="I2010" s="380" t="s">
        <v>1084</v>
      </c>
      <c r="J2010" s="380" t="s">
        <v>773</v>
      </c>
      <c r="K2010" s="381">
        <v>0.0</v>
      </c>
      <c r="L2010" s="382">
        <v>1.0</v>
      </c>
    </row>
    <row r="2011">
      <c r="A2011" s="380" t="s">
        <v>2874</v>
      </c>
      <c r="B2011" s="380" t="str">
        <f>IFERROR(__xludf.DUMMYFUNCTION("""COMPUTED_VALUE"""),"Pantalon Antifluidos Dama Aseo 20")</f>
        <v>Pantalon Antifluidos Dama Aseo 20</v>
      </c>
      <c r="C2011" s="380" t="str">
        <f>IFERROR(__xludf.DUMMYFUNCTION("""COMPUTED_VALUE"""),"30000257")</f>
        <v>30000257</v>
      </c>
      <c r="D2011" s="380" t="s">
        <v>767</v>
      </c>
      <c r="E2011" s="380" t="s">
        <v>810</v>
      </c>
      <c r="F2011" s="380" t="s">
        <v>1089</v>
      </c>
      <c r="G2011" s="380" t="s">
        <v>1267</v>
      </c>
      <c r="H2011" s="380" t="s">
        <v>771</v>
      </c>
      <c r="I2011" s="380" t="s">
        <v>1084</v>
      </c>
      <c r="J2011" s="380" t="s">
        <v>773</v>
      </c>
      <c r="K2011" s="381">
        <v>54889.0</v>
      </c>
      <c r="L2011" s="382">
        <v>1.0</v>
      </c>
    </row>
    <row r="2012">
      <c r="A2012" s="380" t="s">
        <v>2875</v>
      </c>
      <c r="B2012" s="380" t="str">
        <f>IFERROR(__xludf.DUMMYFUNCTION("""COMPUTED_VALUE"""),"Pantalon Antifluidos Dama Aseo 8")</f>
        <v>Pantalon Antifluidos Dama Aseo 8</v>
      </c>
      <c r="C2012" s="380" t="str">
        <f>IFERROR(__xludf.DUMMYFUNCTION("""COMPUTED_VALUE"""),"30000258")</f>
        <v>30000258</v>
      </c>
      <c r="D2012" s="380" t="s">
        <v>767</v>
      </c>
      <c r="E2012" s="380" t="s">
        <v>810</v>
      </c>
      <c r="F2012" s="380" t="s">
        <v>1089</v>
      </c>
      <c r="G2012" s="380" t="s">
        <v>1267</v>
      </c>
      <c r="H2012" s="380" t="s">
        <v>771</v>
      </c>
      <c r="I2012" s="380" t="s">
        <v>1084</v>
      </c>
      <c r="J2012" s="380" t="s">
        <v>773</v>
      </c>
      <c r="K2012" s="381">
        <v>54889.0</v>
      </c>
      <c r="L2012" s="382">
        <v>1.0</v>
      </c>
    </row>
    <row r="2013">
      <c r="A2013" s="380" t="s">
        <v>2876</v>
      </c>
      <c r="B2013" s="380" t="str">
        <f>IFERROR(__xludf.DUMMYFUNCTION("""COMPUTED_VALUE"""),"Pantalon Lino Prenses 38")</f>
        <v>Pantalon Lino Prenses 38</v>
      </c>
      <c r="C2013" s="380" t="str">
        <f>IFERROR(__xludf.DUMMYFUNCTION("""COMPUTED_VALUE"""),"30000259")</f>
        <v>30000259</v>
      </c>
      <c r="D2013" s="380" t="s">
        <v>767</v>
      </c>
      <c r="E2013" s="380" t="s">
        <v>810</v>
      </c>
      <c r="F2013" s="380" t="s">
        <v>1089</v>
      </c>
      <c r="G2013" s="380" t="s">
        <v>1267</v>
      </c>
      <c r="H2013" s="380" t="s">
        <v>771</v>
      </c>
      <c r="I2013" s="380" t="s">
        <v>1084</v>
      </c>
      <c r="J2013" s="380" t="s">
        <v>773</v>
      </c>
      <c r="K2013" s="381">
        <v>39966.0</v>
      </c>
      <c r="L2013" s="382">
        <v>1.0</v>
      </c>
    </row>
    <row r="2014">
      <c r="A2014" s="380" t="s">
        <v>2877</v>
      </c>
      <c r="B2014" s="380" t="str">
        <f>IFERROR(__xludf.DUMMYFUNCTION("""COMPUTED_VALUE"""),"Camisa Dacron Vigilan Dama Ml Logo 30")</f>
        <v>Camisa Dacron Vigilan Dama Ml Logo 30</v>
      </c>
      <c r="C2014" s="380" t="str">
        <f>IFERROR(__xludf.DUMMYFUNCTION("""COMPUTED_VALUE"""),"30000260")</f>
        <v>30000260</v>
      </c>
      <c r="D2014" s="380" t="s">
        <v>767</v>
      </c>
      <c r="E2014" s="380" t="s">
        <v>810</v>
      </c>
      <c r="F2014" s="380" t="s">
        <v>1089</v>
      </c>
      <c r="G2014" s="380" t="s">
        <v>1267</v>
      </c>
      <c r="H2014" s="380" t="s">
        <v>771</v>
      </c>
      <c r="I2014" s="380" t="s">
        <v>1084</v>
      </c>
      <c r="J2014" s="380" t="s">
        <v>773</v>
      </c>
      <c r="K2014" s="381">
        <v>0.0</v>
      </c>
      <c r="L2014" s="382">
        <v>1.0</v>
      </c>
    </row>
    <row r="2015">
      <c r="A2015" s="380" t="s">
        <v>2878</v>
      </c>
      <c r="B2015" s="380" t="str">
        <f>IFERROR(__xludf.DUMMYFUNCTION("""COMPUTED_VALUE"""),"Pantalon Antifluidos Dama Aseo 12")</f>
        <v>Pantalon Antifluidos Dama Aseo 12</v>
      </c>
      <c r="C2015" s="380" t="str">
        <f>IFERROR(__xludf.DUMMYFUNCTION("""COMPUTED_VALUE"""),"30000261")</f>
        <v>30000261</v>
      </c>
      <c r="D2015" s="380" t="s">
        <v>767</v>
      </c>
      <c r="E2015" s="380" t="s">
        <v>810</v>
      </c>
      <c r="F2015" s="380" t="s">
        <v>1089</v>
      </c>
      <c r="G2015" s="380" t="s">
        <v>1267</v>
      </c>
      <c r="H2015" s="380" t="s">
        <v>771</v>
      </c>
      <c r="I2015" s="380" t="s">
        <v>1084</v>
      </c>
      <c r="J2015" s="380" t="s">
        <v>773</v>
      </c>
      <c r="K2015" s="381">
        <v>0.0</v>
      </c>
      <c r="L2015" s="382">
        <v>1.0</v>
      </c>
    </row>
    <row r="2016">
      <c r="A2016" s="380" t="s">
        <v>2879</v>
      </c>
      <c r="B2016" s="380" t="str">
        <f>IFERROR(__xludf.DUMMYFUNCTION("""COMPUTED_VALUE"""),"Pantalon Antifluidos Dama Aseo 14")</f>
        <v>Pantalon Antifluidos Dama Aseo 14</v>
      </c>
      <c r="C2016" s="380" t="str">
        <f>IFERROR(__xludf.DUMMYFUNCTION("""COMPUTED_VALUE"""),"30000262")</f>
        <v>30000262</v>
      </c>
      <c r="D2016" s="380" t="s">
        <v>767</v>
      </c>
      <c r="E2016" s="380" t="s">
        <v>810</v>
      </c>
      <c r="F2016" s="380" t="s">
        <v>1089</v>
      </c>
      <c r="G2016" s="380" t="s">
        <v>1267</v>
      </c>
      <c r="H2016" s="380" t="s">
        <v>771</v>
      </c>
      <c r="I2016" s="380" t="s">
        <v>1084</v>
      </c>
      <c r="J2016" s="380" t="s">
        <v>773</v>
      </c>
      <c r="K2016" s="381">
        <v>54889.0</v>
      </c>
      <c r="L2016" s="382">
        <v>1.0</v>
      </c>
    </row>
    <row r="2017">
      <c r="A2017" s="380" t="s">
        <v>2880</v>
      </c>
      <c r="B2017" s="380" t="str">
        <f>IFERROR(__xludf.DUMMYFUNCTION("""COMPUTED_VALUE"""),"Blusa Antifluido Mc Combinada Aseo 36")</f>
        <v>Blusa Antifluido Mc Combinada Aseo 36</v>
      </c>
      <c r="C2017" s="380" t="str">
        <f>IFERROR(__xludf.DUMMYFUNCTION("""COMPUTED_VALUE"""),"30000263")</f>
        <v>30000263</v>
      </c>
      <c r="D2017" s="380" t="s">
        <v>767</v>
      </c>
      <c r="E2017" s="380" t="s">
        <v>810</v>
      </c>
      <c r="F2017" s="380" t="s">
        <v>1089</v>
      </c>
      <c r="G2017" s="380" t="s">
        <v>1267</v>
      </c>
      <c r="H2017" s="380" t="s">
        <v>771</v>
      </c>
      <c r="I2017" s="380" t="s">
        <v>1084</v>
      </c>
      <c r="J2017" s="380" t="s">
        <v>773</v>
      </c>
      <c r="K2017" s="381">
        <v>0.0</v>
      </c>
      <c r="L2017" s="382">
        <v>1.0</v>
      </c>
    </row>
    <row r="2018">
      <c r="A2018" s="380" t="s">
        <v>2881</v>
      </c>
      <c r="B2018" s="380" t="str">
        <f>IFERROR(__xludf.DUMMYFUNCTION("""COMPUTED_VALUE"""),"Blusa Antifluido Mc Combinada Aseo 40")</f>
        <v>Blusa Antifluido Mc Combinada Aseo 40</v>
      </c>
      <c r="C2018" s="380" t="str">
        <f>IFERROR(__xludf.DUMMYFUNCTION("""COMPUTED_VALUE"""),"30000264")</f>
        <v>30000264</v>
      </c>
      <c r="D2018" s="380" t="s">
        <v>767</v>
      </c>
      <c r="E2018" s="380" t="s">
        <v>810</v>
      </c>
      <c r="F2018" s="380" t="s">
        <v>1089</v>
      </c>
      <c r="G2018" s="380" t="s">
        <v>1267</v>
      </c>
      <c r="H2018" s="380" t="s">
        <v>771</v>
      </c>
      <c r="I2018" s="380" t="s">
        <v>1084</v>
      </c>
      <c r="J2018" s="380" t="s">
        <v>773</v>
      </c>
      <c r="K2018" s="381">
        <v>0.0</v>
      </c>
      <c r="L2018" s="382">
        <v>1.0</v>
      </c>
    </row>
    <row r="2019">
      <c r="A2019" s="380" t="s">
        <v>2882</v>
      </c>
      <c r="B2019" s="380" t="str">
        <f>IFERROR(__xludf.DUMMYFUNCTION("""COMPUTED_VALUE"""),"Blusa Antifluido Mc Combinada Aseo S")</f>
        <v>Blusa Antifluido Mc Combinada Aseo S</v>
      </c>
      <c r="C2019" s="380" t="str">
        <f>IFERROR(__xludf.DUMMYFUNCTION("""COMPUTED_VALUE"""),"30000265")</f>
        <v>30000265</v>
      </c>
      <c r="D2019" s="380" t="s">
        <v>767</v>
      </c>
      <c r="E2019" s="380" t="s">
        <v>810</v>
      </c>
      <c r="F2019" s="380" t="s">
        <v>1089</v>
      </c>
      <c r="G2019" s="380" t="s">
        <v>1267</v>
      </c>
      <c r="H2019" s="380" t="s">
        <v>771</v>
      </c>
      <c r="I2019" s="380" t="s">
        <v>1084</v>
      </c>
      <c r="J2019" s="380" t="s">
        <v>773</v>
      </c>
      <c r="K2019" s="381">
        <v>0.0</v>
      </c>
      <c r="L2019" s="382">
        <v>1.0</v>
      </c>
    </row>
    <row r="2020">
      <c r="A2020" s="380" t="s">
        <v>2883</v>
      </c>
      <c r="B2020" s="380" t="str">
        <f>IFERROR(__xludf.DUMMYFUNCTION("""COMPUTED_VALUE"""),"Blusa Antifluido Mc Combinada Aseo L")</f>
        <v>Blusa Antifluido Mc Combinada Aseo L</v>
      </c>
      <c r="C2020" s="380" t="str">
        <f>IFERROR(__xludf.DUMMYFUNCTION("""COMPUTED_VALUE"""),"30000266")</f>
        <v>30000266</v>
      </c>
      <c r="D2020" s="380" t="s">
        <v>767</v>
      </c>
      <c r="E2020" s="380" t="s">
        <v>810</v>
      </c>
      <c r="F2020" s="380" t="s">
        <v>1089</v>
      </c>
      <c r="G2020" s="380" t="s">
        <v>1267</v>
      </c>
      <c r="H2020" s="380" t="s">
        <v>771</v>
      </c>
      <c r="I2020" s="380" t="s">
        <v>1084</v>
      </c>
      <c r="J2020" s="380" t="s">
        <v>773</v>
      </c>
      <c r="K2020" s="381">
        <v>0.0</v>
      </c>
      <c r="L2020" s="382">
        <v>1.0</v>
      </c>
    </row>
    <row r="2021">
      <c r="A2021" s="380" t="s">
        <v>2884</v>
      </c>
      <c r="B2021" s="380" t="str">
        <f>IFERROR(__xludf.DUMMYFUNCTION("""COMPUTED_VALUE"""),"Blusa Antifluido Mc Combinada Aseo 14")</f>
        <v>Blusa Antifluido Mc Combinada Aseo 14</v>
      </c>
      <c r="C2021" s="380" t="str">
        <f>IFERROR(__xludf.DUMMYFUNCTION("""COMPUTED_VALUE"""),"30000267")</f>
        <v>30000267</v>
      </c>
      <c r="D2021" s="380" t="s">
        <v>767</v>
      </c>
      <c r="E2021" s="380" t="s">
        <v>810</v>
      </c>
      <c r="F2021" s="380" t="s">
        <v>1089</v>
      </c>
      <c r="G2021" s="380" t="s">
        <v>1267</v>
      </c>
      <c r="H2021" s="380" t="s">
        <v>771</v>
      </c>
      <c r="I2021" s="380" t="s">
        <v>1084</v>
      </c>
      <c r="J2021" s="380" t="s">
        <v>773</v>
      </c>
      <c r="K2021" s="381">
        <v>48330.0</v>
      </c>
      <c r="L2021" s="382">
        <v>1.0</v>
      </c>
    </row>
    <row r="2022">
      <c r="A2022" s="380" t="s">
        <v>2885</v>
      </c>
      <c r="B2022" s="380" t="str">
        <f>IFERROR(__xludf.DUMMYFUNCTION("""COMPUTED_VALUE"""),"Blusa Antifluido Mc Combinada Aseo 12")</f>
        <v>Blusa Antifluido Mc Combinada Aseo 12</v>
      </c>
      <c r="C2022" s="380" t="str">
        <f>IFERROR(__xludf.DUMMYFUNCTION("""COMPUTED_VALUE"""),"30000268")</f>
        <v>30000268</v>
      </c>
      <c r="D2022" s="380" t="s">
        <v>767</v>
      </c>
      <c r="E2022" s="380" t="s">
        <v>810</v>
      </c>
      <c r="F2022" s="380" t="s">
        <v>1089</v>
      </c>
      <c r="G2022" s="380" t="s">
        <v>1267</v>
      </c>
      <c r="H2022" s="380" t="s">
        <v>771</v>
      </c>
      <c r="I2022" s="380" t="s">
        <v>1084</v>
      </c>
      <c r="J2022" s="380" t="s">
        <v>773</v>
      </c>
      <c r="K2022" s="381">
        <v>48330.0</v>
      </c>
      <c r="L2022" s="382">
        <v>1.0</v>
      </c>
    </row>
    <row r="2023">
      <c r="A2023" s="380" t="s">
        <v>2886</v>
      </c>
      <c r="B2023" s="380" t="str">
        <f>IFERROR(__xludf.DUMMYFUNCTION("""COMPUTED_VALUE"""),"Blusa Antifluido Mc Combinada Aseo 18")</f>
        <v>Blusa Antifluido Mc Combinada Aseo 18</v>
      </c>
      <c r="C2023" s="380" t="str">
        <f>IFERROR(__xludf.DUMMYFUNCTION("""COMPUTED_VALUE"""),"30000269")</f>
        <v>30000269</v>
      </c>
      <c r="D2023" s="380" t="s">
        <v>767</v>
      </c>
      <c r="E2023" s="380" t="s">
        <v>810</v>
      </c>
      <c r="F2023" s="380" t="s">
        <v>1089</v>
      </c>
      <c r="G2023" s="380" t="s">
        <v>1267</v>
      </c>
      <c r="H2023" s="380" t="s">
        <v>771</v>
      </c>
      <c r="I2023" s="380" t="s">
        <v>1084</v>
      </c>
      <c r="J2023" s="380" t="s">
        <v>773</v>
      </c>
      <c r="K2023" s="381">
        <v>0.0</v>
      </c>
      <c r="L2023" s="382">
        <v>1.0</v>
      </c>
    </row>
    <row r="2024">
      <c r="A2024" s="380" t="s">
        <v>2887</v>
      </c>
      <c r="B2024" s="380" t="str">
        <f>IFERROR(__xludf.DUMMYFUNCTION("""COMPUTED_VALUE"""),"Blusa Antifluido Mc Combinada Aseo 22")</f>
        <v>Blusa Antifluido Mc Combinada Aseo 22</v>
      </c>
      <c r="C2024" s="380" t="str">
        <f>IFERROR(__xludf.DUMMYFUNCTION("""COMPUTED_VALUE"""),"30000270")</f>
        <v>30000270</v>
      </c>
      <c r="D2024" s="380" t="s">
        <v>767</v>
      </c>
      <c r="E2024" s="380" t="s">
        <v>810</v>
      </c>
      <c r="F2024" s="380" t="s">
        <v>1089</v>
      </c>
      <c r="G2024" s="380" t="s">
        <v>1267</v>
      </c>
      <c r="H2024" s="380" t="s">
        <v>771</v>
      </c>
      <c r="I2024" s="380" t="s">
        <v>1084</v>
      </c>
      <c r="J2024" s="380" t="s">
        <v>773</v>
      </c>
      <c r="K2024" s="381">
        <v>0.0</v>
      </c>
      <c r="L2024" s="382">
        <v>1.0</v>
      </c>
    </row>
    <row r="2025">
      <c r="A2025" s="380" t="s">
        <v>2888</v>
      </c>
      <c r="B2025" s="380" t="str">
        <f>IFERROR(__xludf.DUMMYFUNCTION("""COMPUTED_VALUE"""),"Camisa Dacron Vigilan Dama Ml Logo 10")</f>
        <v>Camisa Dacron Vigilan Dama Ml Logo 10</v>
      </c>
      <c r="C2025" s="380" t="str">
        <f>IFERROR(__xludf.DUMMYFUNCTION("""COMPUTED_VALUE"""),"30000271")</f>
        <v>30000271</v>
      </c>
      <c r="D2025" s="380" t="s">
        <v>767</v>
      </c>
      <c r="E2025" s="380" t="s">
        <v>810</v>
      </c>
      <c r="F2025" s="380" t="s">
        <v>1089</v>
      </c>
      <c r="G2025" s="380" t="s">
        <v>1267</v>
      </c>
      <c r="H2025" s="380" t="s">
        <v>771</v>
      </c>
      <c r="I2025" s="380" t="s">
        <v>1084</v>
      </c>
      <c r="J2025" s="380" t="s">
        <v>773</v>
      </c>
      <c r="K2025" s="381">
        <v>0.0</v>
      </c>
      <c r="L2025" s="382">
        <v>1.0</v>
      </c>
    </row>
    <row r="2026">
      <c r="A2026" s="380" t="s">
        <v>2889</v>
      </c>
      <c r="B2026" s="380" t="str">
        <f>IFERROR(__xludf.DUMMYFUNCTION("""COMPUTED_VALUE"""),"Pantalon Dryl Gris 46")</f>
        <v>Pantalon Dryl Gris 46</v>
      </c>
      <c r="C2026" s="380" t="str">
        <f>IFERROR(__xludf.DUMMYFUNCTION("""COMPUTED_VALUE"""),"30000272")</f>
        <v>30000272</v>
      </c>
      <c r="D2026" s="380" t="s">
        <v>767</v>
      </c>
      <c r="E2026" s="380" t="s">
        <v>810</v>
      </c>
      <c r="F2026" s="380" t="s">
        <v>1089</v>
      </c>
      <c r="G2026" s="380" t="s">
        <v>1267</v>
      </c>
      <c r="H2026" s="380" t="s">
        <v>771</v>
      </c>
      <c r="I2026" s="380" t="s">
        <v>1084</v>
      </c>
      <c r="J2026" s="380" t="s">
        <v>773</v>
      </c>
      <c r="K2026" s="381">
        <v>45096.0</v>
      </c>
      <c r="L2026" s="382">
        <v>1.0</v>
      </c>
    </row>
    <row r="2027">
      <c r="A2027" s="380" t="s">
        <v>2890</v>
      </c>
      <c r="B2027" s="380" t="str">
        <f>IFERROR(__xludf.DUMMYFUNCTION("""COMPUTED_VALUE"""),"Pantalon Dryl Gris 32")</f>
        <v>Pantalon Dryl Gris 32</v>
      </c>
      <c r="C2027" s="380" t="str">
        <f>IFERROR(__xludf.DUMMYFUNCTION("""COMPUTED_VALUE"""),"30000273")</f>
        <v>30000273</v>
      </c>
      <c r="D2027" s="380" t="s">
        <v>767</v>
      </c>
      <c r="E2027" s="380" t="s">
        <v>810</v>
      </c>
      <c r="F2027" s="380" t="s">
        <v>1089</v>
      </c>
      <c r="G2027" s="380" t="s">
        <v>1267</v>
      </c>
      <c r="H2027" s="380" t="s">
        <v>771</v>
      </c>
      <c r="I2027" s="380" t="s">
        <v>1084</v>
      </c>
      <c r="J2027" s="380" t="s">
        <v>773</v>
      </c>
      <c r="K2027" s="381">
        <v>45096.0</v>
      </c>
      <c r="L2027" s="382">
        <v>1.0</v>
      </c>
    </row>
    <row r="2028">
      <c r="A2028" s="380" t="s">
        <v>2891</v>
      </c>
      <c r="B2028" s="380" t="str">
        <f>IFERROR(__xludf.DUMMYFUNCTION("""COMPUTED_VALUE"""),"Pantalon Dryl Gris 30")</f>
        <v>Pantalon Dryl Gris 30</v>
      </c>
      <c r="C2028" s="380" t="str">
        <f>IFERROR(__xludf.DUMMYFUNCTION("""COMPUTED_VALUE"""),"30000274")</f>
        <v>30000274</v>
      </c>
      <c r="D2028" s="380" t="s">
        <v>767</v>
      </c>
      <c r="E2028" s="380" t="s">
        <v>810</v>
      </c>
      <c r="F2028" s="380" t="s">
        <v>1089</v>
      </c>
      <c r="G2028" s="380" t="s">
        <v>1267</v>
      </c>
      <c r="H2028" s="380" t="s">
        <v>771</v>
      </c>
      <c r="I2028" s="380" t="s">
        <v>1084</v>
      </c>
      <c r="J2028" s="380" t="s">
        <v>773</v>
      </c>
      <c r="K2028" s="381">
        <v>45096.0</v>
      </c>
      <c r="L2028" s="382">
        <v>1.0</v>
      </c>
    </row>
    <row r="2029">
      <c r="A2029" s="380" t="s">
        <v>2892</v>
      </c>
      <c r="B2029" s="380" t="str">
        <f>IFERROR(__xludf.DUMMYFUNCTION("""COMPUTED_VALUE"""),"Pantalon Dryl Gris 36")</f>
        <v>Pantalon Dryl Gris 36</v>
      </c>
      <c r="C2029" s="380" t="str">
        <f>IFERROR(__xludf.DUMMYFUNCTION("""COMPUTED_VALUE"""),"30000275")</f>
        <v>30000275</v>
      </c>
      <c r="D2029" s="380" t="s">
        <v>767</v>
      </c>
      <c r="E2029" s="380" t="s">
        <v>810</v>
      </c>
      <c r="F2029" s="380" t="s">
        <v>1089</v>
      </c>
      <c r="G2029" s="380" t="s">
        <v>1267</v>
      </c>
      <c r="H2029" s="380" t="s">
        <v>771</v>
      </c>
      <c r="I2029" s="380" t="s">
        <v>1084</v>
      </c>
      <c r="J2029" s="380" t="s">
        <v>773</v>
      </c>
      <c r="K2029" s="381">
        <v>45096.0</v>
      </c>
      <c r="L2029" s="382">
        <v>1.0</v>
      </c>
    </row>
    <row r="2030">
      <c r="A2030" s="380" t="s">
        <v>2893</v>
      </c>
      <c r="B2030" s="380" t="str">
        <f>IFERROR(__xludf.DUMMYFUNCTION("""COMPUTED_VALUE"""),"Buso Reforzado Ml Nocturno Con Logo 46")</f>
        <v>Buso Reforzado Ml Nocturno Con Logo 46</v>
      </c>
      <c r="C2030" s="380" t="str">
        <f>IFERROR(__xludf.DUMMYFUNCTION("""COMPUTED_VALUE"""),"30000276")</f>
        <v>30000276</v>
      </c>
      <c r="D2030" s="380" t="s">
        <v>767</v>
      </c>
      <c r="E2030" s="380" t="s">
        <v>810</v>
      </c>
      <c r="F2030" s="380" t="s">
        <v>1089</v>
      </c>
      <c r="G2030" s="380" t="s">
        <v>1267</v>
      </c>
      <c r="H2030" s="380" t="s">
        <v>771</v>
      </c>
      <c r="I2030" s="380" t="s">
        <v>1084</v>
      </c>
      <c r="J2030" s="380" t="s">
        <v>773</v>
      </c>
      <c r="K2030" s="381">
        <v>0.0</v>
      </c>
      <c r="L2030" s="382">
        <v>1.0</v>
      </c>
    </row>
    <row r="2031">
      <c r="A2031" s="380" t="s">
        <v>2894</v>
      </c>
      <c r="B2031" s="380" t="str">
        <f>IFERROR(__xludf.DUMMYFUNCTION("""COMPUTED_VALUE"""),"Buso Reforzado Ml Nocturno Con Logo 40")</f>
        <v>Buso Reforzado Ml Nocturno Con Logo 40</v>
      </c>
      <c r="C2031" s="380" t="str">
        <f>IFERROR(__xludf.DUMMYFUNCTION("""COMPUTED_VALUE"""),"30000277")</f>
        <v>30000277</v>
      </c>
      <c r="D2031" s="380" t="s">
        <v>767</v>
      </c>
      <c r="E2031" s="380" t="s">
        <v>810</v>
      </c>
      <c r="F2031" s="380" t="s">
        <v>1089</v>
      </c>
      <c r="G2031" s="380" t="s">
        <v>1267</v>
      </c>
      <c r="H2031" s="380" t="s">
        <v>771</v>
      </c>
      <c r="I2031" s="380" t="s">
        <v>1084</v>
      </c>
      <c r="J2031" s="380" t="s">
        <v>773</v>
      </c>
      <c r="K2031" s="381">
        <v>0.0</v>
      </c>
      <c r="L2031" s="382">
        <v>1.0</v>
      </c>
    </row>
    <row r="2032">
      <c r="A2032" s="380" t="s">
        <v>2895</v>
      </c>
      <c r="B2032" s="380" t="str">
        <f>IFERROR(__xludf.DUMMYFUNCTION("""COMPUTED_VALUE"""),"Buso Reforzado Ml Nocturno Con Logo 44")</f>
        <v>Buso Reforzado Ml Nocturno Con Logo 44</v>
      </c>
      <c r="C2032" s="380" t="str">
        <f>IFERROR(__xludf.DUMMYFUNCTION("""COMPUTED_VALUE"""),"30000278")</f>
        <v>30000278</v>
      </c>
      <c r="D2032" s="380" t="s">
        <v>767</v>
      </c>
      <c r="E2032" s="380" t="s">
        <v>810</v>
      </c>
      <c r="F2032" s="380" t="s">
        <v>1089</v>
      </c>
      <c r="G2032" s="380" t="s">
        <v>1267</v>
      </c>
      <c r="H2032" s="380" t="s">
        <v>771</v>
      </c>
      <c r="I2032" s="380" t="s">
        <v>1084</v>
      </c>
      <c r="J2032" s="380" t="s">
        <v>773</v>
      </c>
      <c r="K2032" s="381">
        <v>0.0</v>
      </c>
      <c r="L2032" s="382">
        <v>1.0</v>
      </c>
    </row>
    <row r="2033">
      <c r="A2033" s="380" t="s">
        <v>2896</v>
      </c>
      <c r="B2033" s="380" t="str">
        <f>IFERROR(__xludf.DUMMYFUNCTION("""COMPUTED_VALUE"""),"Buso Reforzado Ml Nocturno Con Logo 36")</f>
        <v>Buso Reforzado Ml Nocturno Con Logo 36</v>
      </c>
      <c r="C2033" s="380" t="str">
        <f>IFERROR(__xludf.DUMMYFUNCTION("""COMPUTED_VALUE"""),"30000279")</f>
        <v>30000279</v>
      </c>
      <c r="D2033" s="380" t="s">
        <v>767</v>
      </c>
      <c r="E2033" s="380" t="s">
        <v>810</v>
      </c>
      <c r="F2033" s="380" t="s">
        <v>1089</v>
      </c>
      <c r="G2033" s="380" t="s">
        <v>1267</v>
      </c>
      <c r="H2033" s="380" t="s">
        <v>771</v>
      </c>
      <c r="I2033" s="380" t="s">
        <v>1084</v>
      </c>
      <c r="J2033" s="380" t="s">
        <v>773</v>
      </c>
      <c r="K2033" s="381">
        <v>0.0</v>
      </c>
      <c r="L2033" s="382">
        <v>1.0</v>
      </c>
    </row>
    <row r="2034">
      <c r="A2034" s="380" t="s">
        <v>2897</v>
      </c>
      <c r="B2034" s="380" t="str">
        <f>IFERROR(__xludf.DUMMYFUNCTION("""COMPUTED_VALUE"""),"Camisa Dacron Vigilan Dama Ml Logo 18")</f>
        <v>Camisa Dacron Vigilan Dama Ml Logo 18</v>
      </c>
      <c r="C2034" s="380" t="str">
        <f>IFERROR(__xludf.DUMMYFUNCTION("""COMPUTED_VALUE"""),"30000280")</f>
        <v>30000280</v>
      </c>
      <c r="D2034" s="380" t="s">
        <v>767</v>
      </c>
      <c r="E2034" s="380" t="s">
        <v>810</v>
      </c>
      <c r="F2034" s="380" t="s">
        <v>1089</v>
      </c>
      <c r="G2034" s="380" t="s">
        <v>1267</v>
      </c>
      <c r="H2034" s="380" t="s">
        <v>771</v>
      </c>
      <c r="I2034" s="380" t="s">
        <v>1084</v>
      </c>
      <c r="J2034" s="380" t="s">
        <v>773</v>
      </c>
      <c r="K2034" s="381">
        <v>0.0</v>
      </c>
      <c r="L2034" s="382">
        <v>1.0</v>
      </c>
    </row>
    <row r="2035">
      <c r="A2035" s="380" t="s">
        <v>2898</v>
      </c>
      <c r="B2035" s="380" t="str">
        <f>IFERROR(__xludf.DUMMYFUNCTION("""COMPUTED_VALUE"""),"Buso Reforzado Ml Nocturno Con Logo 38")</f>
        <v>Buso Reforzado Ml Nocturno Con Logo 38</v>
      </c>
      <c r="C2035" s="380" t="str">
        <f>IFERROR(__xludf.DUMMYFUNCTION("""COMPUTED_VALUE"""),"30000281")</f>
        <v>30000281</v>
      </c>
      <c r="D2035" s="380" t="s">
        <v>767</v>
      </c>
      <c r="E2035" s="380" t="s">
        <v>810</v>
      </c>
      <c r="F2035" s="380" t="s">
        <v>1089</v>
      </c>
      <c r="G2035" s="380" t="s">
        <v>1267</v>
      </c>
      <c r="H2035" s="380" t="s">
        <v>771</v>
      </c>
      <c r="I2035" s="380" t="s">
        <v>1084</v>
      </c>
      <c r="J2035" s="380" t="s">
        <v>773</v>
      </c>
      <c r="K2035" s="381">
        <v>0.0</v>
      </c>
      <c r="L2035" s="382">
        <v>1.0</v>
      </c>
    </row>
    <row r="2036">
      <c r="A2036" s="380" t="s">
        <v>2899</v>
      </c>
      <c r="B2036" s="380" t="str">
        <f>IFERROR(__xludf.DUMMYFUNCTION("""COMPUTED_VALUE"""),"Buso Reforzado Ml Nocturno Con Logo 42")</f>
        <v>Buso Reforzado Ml Nocturno Con Logo 42</v>
      </c>
      <c r="C2036" s="380" t="str">
        <f>IFERROR(__xludf.DUMMYFUNCTION("""COMPUTED_VALUE"""),"30000282")</f>
        <v>30000282</v>
      </c>
      <c r="D2036" s="380" t="s">
        <v>767</v>
      </c>
      <c r="E2036" s="380" t="s">
        <v>810</v>
      </c>
      <c r="F2036" s="380" t="s">
        <v>1089</v>
      </c>
      <c r="G2036" s="380" t="s">
        <v>1267</v>
      </c>
      <c r="H2036" s="380" t="s">
        <v>771</v>
      </c>
      <c r="I2036" s="380" t="s">
        <v>1084</v>
      </c>
      <c r="J2036" s="380" t="s">
        <v>773</v>
      </c>
      <c r="K2036" s="381">
        <v>0.0</v>
      </c>
      <c r="L2036" s="382">
        <v>1.0</v>
      </c>
    </row>
    <row r="2037">
      <c r="A2037" s="380" t="s">
        <v>2900</v>
      </c>
      <c r="B2037" s="380" t="str">
        <f>IFERROR(__xludf.DUMMYFUNCTION("""COMPUTED_VALUE"""),"Pantalon Antifluidos Dama Aseo 16")</f>
        <v>Pantalon Antifluidos Dama Aseo 16</v>
      </c>
      <c r="C2037" s="380" t="str">
        <f>IFERROR(__xludf.DUMMYFUNCTION("""COMPUTED_VALUE"""),"30000283")</f>
        <v>30000283</v>
      </c>
      <c r="D2037" s="380" t="s">
        <v>767</v>
      </c>
      <c r="E2037" s="380" t="s">
        <v>810</v>
      </c>
      <c r="F2037" s="380" t="s">
        <v>1089</v>
      </c>
      <c r="G2037" s="380" t="s">
        <v>1267</v>
      </c>
      <c r="H2037" s="380" t="s">
        <v>771</v>
      </c>
      <c r="I2037" s="380" t="s">
        <v>1084</v>
      </c>
      <c r="J2037" s="380" t="s">
        <v>773</v>
      </c>
      <c r="K2037" s="381">
        <v>54889.0</v>
      </c>
      <c r="L2037" s="382">
        <v>1.0</v>
      </c>
    </row>
    <row r="2038">
      <c r="A2038" s="380" t="s">
        <v>2901</v>
      </c>
      <c r="B2038" s="380" t="str">
        <f>IFERROR(__xludf.DUMMYFUNCTION("""COMPUTED_VALUE"""),"Pantalon Antifluidos Dama Aseo 22")</f>
        <v>Pantalon Antifluidos Dama Aseo 22</v>
      </c>
      <c r="C2038" s="380" t="str">
        <f>IFERROR(__xludf.DUMMYFUNCTION("""COMPUTED_VALUE"""),"30000284")</f>
        <v>30000284</v>
      </c>
      <c r="D2038" s="380" t="s">
        <v>767</v>
      </c>
      <c r="E2038" s="380" t="s">
        <v>810</v>
      </c>
      <c r="F2038" s="380" t="s">
        <v>1089</v>
      </c>
      <c r="G2038" s="380" t="s">
        <v>1267</v>
      </c>
      <c r="H2038" s="380" t="s">
        <v>771</v>
      </c>
      <c r="I2038" s="380" t="s">
        <v>1084</v>
      </c>
      <c r="J2038" s="380" t="s">
        <v>773</v>
      </c>
      <c r="K2038" s="381">
        <v>54889.0</v>
      </c>
      <c r="L2038" s="382">
        <v>1.0</v>
      </c>
    </row>
    <row r="2039">
      <c r="A2039" s="380" t="s">
        <v>2902</v>
      </c>
      <c r="B2039" s="380" t="str">
        <f>IFERROR(__xludf.DUMMYFUNCTION("""COMPUTED_VALUE"""),"Pantalon Antifluidos Dama Aseo 6")</f>
        <v>Pantalon Antifluidos Dama Aseo 6</v>
      </c>
      <c r="C2039" s="380" t="str">
        <f>IFERROR(__xludf.DUMMYFUNCTION("""COMPUTED_VALUE"""),"30000285")</f>
        <v>30000285</v>
      </c>
      <c r="D2039" s="380" t="s">
        <v>767</v>
      </c>
      <c r="E2039" s="380" t="s">
        <v>810</v>
      </c>
      <c r="F2039" s="380" t="s">
        <v>1089</v>
      </c>
      <c r="G2039" s="380" t="s">
        <v>1267</v>
      </c>
      <c r="H2039" s="380" t="s">
        <v>771</v>
      </c>
      <c r="I2039" s="380" t="s">
        <v>1084</v>
      </c>
      <c r="J2039" s="380" t="s">
        <v>773</v>
      </c>
      <c r="K2039" s="381">
        <v>54889.0</v>
      </c>
      <c r="L2039" s="382">
        <v>1.0</v>
      </c>
    </row>
    <row r="2040">
      <c r="A2040" s="380" t="s">
        <v>2903</v>
      </c>
      <c r="B2040" s="380" t="str">
        <f>IFERROR(__xludf.DUMMYFUNCTION("""COMPUTED_VALUE"""),"Pantalon Antifluidos Dama Aseo 10")</f>
        <v>Pantalon Antifluidos Dama Aseo 10</v>
      </c>
      <c r="C2040" s="380" t="str">
        <f>IFERROR(__xludf.DUMMYFUNCTION("""COMPUTED_VALUE"""),"30000286")</f>
        <v>30000286</v>
      </c>
      <c r="D2040" s="380" t="s">
        <v>767</v>
      </c>
      <c r="E2040" s="380" t="s">
        <v>810</v>
      </c>
      <c r="F2040" s="380" t="s">
        <v>1089</v>
      </c>
      <c r="G2040" s="380" t="s">
        <v>1267</v>
      </c>
      <c r="H2040" s="380" t="s">
        <v>771</v>
      </c>
      <c r="I2040" s="380" t="s">
        <v>1084</v>
      </c>
      <c r="J2040" s="380" t="s">
        <v>773</v>
      </c>
      <c r="K2040" s="381">
        <v>54889.0</v>
      </c>
      <c r="L2040" s="382">
        <v>1.0</v>
      </c>
    </row>
    <row r="2041">
      <c r="A2041" s="380" t="s">
        <v>2904</v>
      </c>
      <c r="B2041" s="380" t="str">
        <f>IFERROR(__xludf.DUMMYFUNCTION("""COMPUTED_VALUE"""),"Pantalon Antifluidos Dama Aseo 18")</f>
        <v>Pantalon Antifluidos Dama Aseo 18</v>
      </c>
      <c r="C2041" s="380" t="str">
        <f>IFERROR(__xludf.DUMMYFUNCTION("""COMPUTED_VALUE"""),"30000287")</f>
        <v>30000287</v>
      </c>
      <c r="D2041" s="380" t="s">
        <v>767</v>
      </c>
      <c r="E2041" s="380" t="s">
        <v>810</v>
      </c>
      <c r="F2041" s="380" t="s">
        <v>1089</v>
      </c>
      <c r="G2041" s="380" t="s">
        <v>1267</v>
      </c>
      <c r="H2041" s="380" t="s">
        <v>771</v>
      </c>
      <c r="I2041" s="380" t="s">
        <v>1084</v>
      </c>
      <c r="J2041" s="380" t="s">
        <v>773</v>
      </c>
      <c r="K2041" s="381">
        <v>54889.0</v>
      </c>
      <c r="L2041" s="382">
        <v>1.0</v>
      </c>
    </row>
    <row r="2042">
      <c r="A2042" s="380" t="s">
        <v>2905</v>
      </c>
      <c r="B2042" s="380" t="str">
        <f>IFERROR(__xludf.DUMMYFUNCTION("""COMPUTED_VALUE"""),"Camisa Dacron Vigilan Dama Ml Logo 16")</f>
        <v>Camisa Dacron Vigilan Dama Ml Logo 16</v>
      </c>
      <c r="C2042" s="380" t="str">
        <f>IFERROR(__xludf.DUMMYFUNCTION("""COMPUTED_VALUE"""),"30000290")</f>
        <v>30000290</v>
      </c>
      <c r="D2042" s="380" t="s">
        <v>767</v>
      </c>
      <c r="E2042" s="380" t="s">
        <v>810</v>
      </c>
      <c r="F2042" s="380" t="s">
        <v>1089</v>
      </c>
      <c r="G2042" s="380" t="s">
        <v>1267</v>
      </c>
      <c r="H2042" s="380" t="s">
        <v>771</v>
      </c>
      <c r="I2042" s="380" t="s">
        <v>1084</v>
      </c>
      <c r="J2042" s="380" t="s">
        <v>773</v>
      </c>
      <c r="K2042" s="381">
        <v>0.0</v>
      </c>
      <c r="L2042" s="382">
        <v>1.0</v>
      </c>
    </row>
    <row r="2043">
      <c r="A2043" s="380" t="s">
        <v>2906</v>
      </c>
      <c r="B2043" s="380" t="str">
        <f>IFERROR(__xludf.DUMMYFUNCTION("""COMPUTED_VALUE"""),"Pantalon Dryl Gris 38")</f>
        <v>Pantalon Dryl Gris 38</v>
      </c>
      <c r="C2043" s="380" t="str">
        <f>IFERROR(__xludf.DUMMYFUNCTION("""COMPUTED_VALUE"""),"30000295")</f>
        <v>30000295</v>
      </c>
      <c r="D2043" s="380" t="s">
        <v>767</v>
      </c>
      <c r="E2043" s="380" t="s">
        <v>810</v>
      </c>
      <c r="F2043" s="380" t="s">
        <v>1089</v>
      </c>
      <c r="G2043" s="380" t="s">
        <v>1267</v>
      </c>
      <c r="H2043" s="380" t="s">
        <v>771</v>
      </c>
      <c r="I2043" s="380" t="s">
        <v>1084</v>
      </c>
      <c r="J2043" s="380" t="s">
        <v>773</v>
      </c>
      <c r="K2043" s="381">
        <v>45096.0</v>
      </c>
      <c r="L2043" s="382">
        <v>1.0</v>
      </c>
    </row>
    <row r="2044">
      <c r="A2044" s="380" t="s">
        <v>2907</v>
      </c>
      <c r="B2044" s="380" t="str">
        <f>IFERROR(__xludf.DUMMYFUNCTION("""COMPUTED_VALUE"""),"Pantalon Dryl Gris 42")</f>
        <v>Pantalon Dryl Gris 42</v>
      </c>
      <c r="C2044" s="380" t="str">
        <f>IFERROR(__xludf.DUMMYFUNCTION("""COMPUTED_VALUE"""),"30000296")</f>
        <v>30000296</v>
      </c>
      <c r="D2044" s="380" t="s">
        <v>767</v>
      </c>
      <c r="E2044" s="380" t="s">
        <v>810</v>
      </c>
      <c r="F2044" s="380" t="s">
        <v>1089</v>
      </c>
      <c r="G2044" s="380" t="s">
        <v>1267</v>
      </c>
      <c r="H2044" s="380" t="s">
        <v>771</v>
      </c>
      <c r="I2044" s="380" t="s">
        <v>1084</v>
      </c>
      <c r="J2044" s="380" t="s">
        <v>773</v>
      </c>
      <c r="K2044" s="381">
        <v>45096.0</v>
      </c>
      <c r="L2044" s="382">
        <v>1.0</v>
      </c>
    </row>
    <row r="2045">
      <c r="A2045" s="380" t="s">
        <v>2908</v>
      </c>
      <c r="B2045" s="380" t="str">
        <f>IFERROR(__xludf.DUMMYFUNCTION("""COMPUTED_VALUE"""),"Pantalon Dryl Gris 44")</f>
        <v>Pantalon Dryl Gris 44</v>
      </c>
      <c r="C2045" s="380" t="str">
        <f>IFERROR(__xludf.DUMMYFUNCTION("""COMPUTED_VALUE"""),"30000297")</f>
        <v>30000297</v>
      </c>
      <c r="D2045" s="380" t="s">
        <v>767</v>
      </c>
      <c r="E2045" s="380" t="s">
        <v>810</v>
      </c>
      <c r="F2045" s="380" t="s">
        <v>1089</v>
      </c>
      <c r="G2045" s="380" t="s">
        <v>1267</v>
      </c>
      <c r="H2045" s="380" t="s">
        <v>771</v>
      </c>
      <c r="I2045" s="380" t="s">
        <v>1084</v>
      </c>
      <c r="J2045" s="380" t="s">
        <v>773</v>
      </c>
      <c r="K2045" s="381">
        <v>45096.0</v>
      </c>
      <c r="L2045" s="382">
        <v>1.0</v>
      </c>
    </row>
    <row r="2046">
      <c r="A2046" s="380" t="s">
        <v>2909</v>
      </c>
      <c r="B2046" s="380" t="str">
        <f>IFERROR(__xludf.DUMMYFUNCTION("""COMPUTED_VALUE"""),"Pantalon Dryl Gris 34")</f>
        <v>Pantalon Dryl Gris 34</v>
      </c>
      <c r="C2046" s="380" t="str">
        <f>IFERROR(__xludf.DUMMYFUNCTION("""COMPUTED_VALUE"""),"30000298")</f>
        <v>30000298</v>
      </c>
      <c r="D2046" s="380" t="s">
        <v>767</v>
      </c>
      <c r="E2046" s="380" t="s">
        <v>810</v>
      </c>
      <c r="F2046" s="380" t="s">
        <v>1089</v>
      </c>
      <c r="G2046" s="380" t="s">
        <v>1267</v>
      </c>
      <c r="H2046" s="380" t="s">
        <v>771</v>
      </c>
      <c r="I2046" s="380" t="s">
        <v>1084</v>
      </c>
      <c r="J2046" s="380" t="s">
        <v>773</v>
      </c>
      <c r="K2046" s="381">
        <v>45096.0</v>
      </c>
      <c r="L2046" s="382">
        <v>1.0</v>
      </c>
    </row>
    <row r="2047">
      <c r="A2047" s="380" t="s">
        <v>2910</v>
      </c>
      <c r="B2047" s="380" t="str">
        <f>IFERROR(__xludf.DUMMYFUNCTION("""COMPUTED_VALUE"""),"Pantalon Dryl Gris 28")</f>
        <v>Pantalon Dryl Gris 28</v>
      </c>
      <c r="C2047" s="380" t="str">
        <f>IFERROR(__xludf.DUMMYFUNCTION("""COMPUTED_VALUE"""),"30000299")</f>
        <v>30000299</v>
      </c>
      <c r="D2047" s="380" t="s">
        <v>767</v>
      </c>
      <c r="E2047" s="380" t="s">
        <v>810</v>
      </c>
      <c r="F2047" s="380" t="s">
        <v>1089</v>
      </c>
      <c r="G2047" s="380" t="s">
        <v>1267</v>
      </c>
      <c r="H2047" s="380" t="s">
        <v>771</v>
      </c>
      <c r="I2047" s="380" t="s">
        <v>1084</v>
      </c>
      <c r="J2047" s="380" t="s">
        <v>773</v>
      </c>
      <c r="K2047" s="381">
        <v>45096.0</v>
      </c>
      <c r="L2047" s="382">
        <v>1.0</v>
      </c>
    </row>
    <row r="2048">
      <c r="A2048" s="380" t="s">
        <v>2911</v>
      </c>
      <c r="B2048" s="380" t="str">
        <f>IFERROR(__xludf.DUMMYFUNCTION("""COMPUTED_VALUE"""),"Pantalon Dryl Gris 26")</f>
        <v>Pantalon Dryl Gris 26</v>
      </c>
      <c r="C2048" s="380" t="str">
        <f>IFERROR(__xludf.DUMMYFUNCTION("""COMPUTED_VALUE"""),"30000300")</f>
        <v>30000300</v>
      </c>
      <c r="D2048" s="380" t="s">
        <v>767</v>
      </c>
      <c r="E2048" s="380" t="s">
        <v>810</v>
      </c>
      <c r="F2048" s="380" t="s">
        <v>1089</v>
      </c>
      <c r="G2048" s="380" t="s">
        <v>1267</v>
      </c>
      <c r="H2048" s="380" t="s">
        <v>771</v>
      </c>
      <c r="I2048" s="380" t="s">
        <v>1084</v>
      </c>
      <c r="J2048" s="380" t="s">
        <v>773</v>
      </c>
      <c r="K2048" s="381">
        <v>0.0</v>
      </c>
      <c r="L2048" s="382">
        <v>1.0</v>
      </c>
    </row>
    <row r="2049">
      <c r="A2049" s="380" t="s">
        <v>2912</v>
      </c>
      <c r="B2049" s="380" t="str">
        <f>IFERROR(__xludf.DUMMYFUNCTION("""COMPUTED_VALUE"""),"Camisa Dacron Vigilan Dama Ml Logo 20")</f>
        <v>Camisa Dacron Vigilan Dama Ml Logo 20</v>
      </c>
      <c r="C2049" s="380" t="str">
        <f>IFERROR(__xludf.DUMMYFUNCTION("""COMPUTED_VALUE"""),"30000301")</f>
        <v>30000301</v>
      </c>
      <c r="D2049" s="380" t="s">
        <v>767</v>
      </c>
      <c r="E2049" s="380" t="s">
        <v>810</v>
      </c>
      <c r="F2049" s="380" t="s">
        <v>1089</v>
      </c>
      <c r="G2049" s="380" t="s">
        <v>1267</v>
      </c>
      <c r="H2049" s="380" t="s">
        <v>771</v>
      </c>
      <c r="I2049" s="380" t="s">
        <v>1084</v>
      </c>
      <c r="J2049" s="380" t="s">
        <v>773</v>
      </c>
      <c r="K2049" s="381">
        <v>0.0</v>
      </c>
      <c r="L2049" s="382">
        <v>1.0</v>
      </c>
    </row>
    <row r="2050">
      <c r="A2050" s="380" t="s">
        <v>2913</v>
      </c>
      <c r="B2050" s="380" t="str">
        <f>IFERROR(__xludf.DUMMYFUNCTION("""COMPUTED_VALUE"""),"Pantalon Dryl Gris 48")</f>
        <v>Pantalon Dryl Gris 48</v>
      </c>
      <c r="C2050" s="380" t="str">
        <f>IFERROR(__xludf.DUMMYFUNCTION("""COMPUTED_VALUE"""),"30000302")</f>
        <v>30000302</v>
      </c>
      <c r="D2050" s="380" t="s">
        <v>767</v>
      </c>
      <c r="E2050" s="380" t="s">
        <v>810</v>
      </c>
      <c r="F2050" s="380" t="s">
        <v>1089</v>
      </c>
      <c r="G2050" s="380" t="s">
        <v>1267</v>
      </c>
      <c r="H2050" s="380" t="s">
        <v>771</v>
      </c>
      <c r="I2050" s="380" t="s">
        <v>1084</v>
      </c>
      <c r="J2050" s="380" t="s">
        <v>773</v>
      </c>
      <c r="K2050" s="381">
        <v>45096.0</v>
      </c>
      <c r="L2050" s="382">
        <v>1.0</v>
      </c>
    </row>
    <row r="2051">
      <c r="A2051" s="380" t="s">
        <v>2914</v>
      </c>
      <c r="B2051" s="380" t="str">
        <f>IFERROR(__xludf.DUMMYFUNCTION("""COMPUTED_VALUE"""),"Pantalon Dryl Gris 40")</f>
        <v>Pantalon Dryl Gris 40</v>
      </c>
      <c r="C2051" s="380" t="str">
        <f>IFERROR(__xludf.DUMMYFUNCTION("""COMPUTED_VALUE"""),"30000303")</f>
        <v>30000303</v>
      </c>
      <c r="D2051" s="380" t="s">
        <v>767</v>
      </c>
      <c r="E2051" s="380" t="s">
        <v>810</v>
      </c>
      <c r="F2051" s="380" t="s">
        <v>1089</v>
      </c>
      <c r="G2051" s="380" t="s">
        <v>1267</v>
      </c>
      <c r="H2051" s="380" t="s">
        <v>771</v>
      </c>
      <c r="I2051" s="380" t="s">
        <v>1084</v>
      </c>
      <c r="J2051" s="380" t="s">
        <v>773</v>
      </c>
      <c r="K2051" s="381">
        <v>45096.0</v>
      </c>
      <c r="L2051" s="382">
        <v>1.0</v>
      </c>
    </row>
    <row r="2052">
      <c r="A2052" s="380" t="s">
        <v>2915</v>
      </c>
      <c r="B2052" s="380" t="str">
        <f>IFERROR(__xludf.DUMMYFUNCTION("""COMPUTED_VALUE"""),"Impermeable Poncho Con Capucha 44")</f>
        <v>Impermeable Poncho Con Capucha 44</v>
      </c>
      <c r="C2052" s="380" t="str">
        <f>IFERROR(__xludf.DUMMYFUNCTION("""COMPUTED_VALUE"""),"30000304")</f>
        <v>30000304</v>
      </c>
      <c r="D2052" s="380" t="s">
        <v>767</v>
      </c>
      <c r="E2052" s="380" t="s">
        <v>810</v>
      </c>
      <c r="F2052" s="380" t="s">
        <v>1089</v>
      </c>
      <c r="G2052" s="380" t="s">
        <v>1267</v>
      </c>
      <c r="H2052" s="380" t="s">
        <v>771</v>
      </c>
      <c r="I2052" s="380" t="s">
        <v>1084</v>
      </c>
      <c r="J2052" s="380" t="s">
        <v>773</v>
      </c>
      <c r="K2052" s="381">
        <v>40958.0</v>
      </c>
      <c r="L2052" s="382">
        <v>1.0</v>
      </c>
    </row>
    <row r="2053">
      <c r="A2053" s="380" t="s">
        <v>2916</v>
      </c>
      <c r="B2053" s="380" t="str">
        <f>IFERROR(__xludf.DUMMYFUNCTION("""COMPUTED_VALUE"""),"Impermeable Poncho Con Capucha 38")</f>
        <v>Impermeable Poncho Con Capucha 38</v>
      </c>
      <c r="C2053" s="380" t="str">
        <f>IFERROR(__xludf.DUMMYFUNCTION("""COMPUTED_VALUE"""),"30000305")</f>
        <v>30000305</v>
      </c>
      <c r="D2053" s="380" t="s">
        <v>767</v>
      </c>
      <c r="E2053" s="380" t="s">
        <v>810</v>
      </c>
      <c r="F2053" s="380" t="s">
        <v>1089</v>
      </c>
      <c r="G2053" s="380" t="s">
        <v>1267</v>
      </c>
      <c r="H2053" s="380" t="s">
        <v>771</v>
      </c>
      <c r="I2053" s="380" t="s">
        <v>1084</v>
      </c>
      <c r="J2053" s="380" t="s">
        <v>773</v>
      </c>
      <c r="K2053" s="381">
        <v>0.0</v>
      </c>
      <c r="L2053" s="382">
        <v>1.0</v>
      </c>
    </row>
    <row r="2054">
      <c r="A2054" s="380" t="s">
        <v>2917</v>
      </c>
      <c r="B2054" s="380" t="str">
        <f>IFERROR(__xludf.DUMMYFUNCTION("""COMPUTED_VALUE"""),"Impermeable Poncho Con Capucha L")</f>
        <v>Impermeable Poncho Con Capucha L</v>
      </c>
      <c r="C2054" s="380" t="str">
        <f>IFERROR(__xludf.DUMMYFUNCTION("""COMPUTED_VALUE"""),"30000306")</f>
        <v>30000306</v>
      </c>
      <c r="D2054" s="380" t="s">
        <v>767</v>
      </c>
      <c r="E2054" s="380" t="s">
        <v>810</v>
      </c>
      <c r="F2054" s="380" t="s">
        <v>1089</v>
      </c>
      <c r="G2054" s="380" t="s">
        <v>1267</v>
      </c>
      <c r="H2054" s="380" t="s">
        <v>771</v>
      </c>
      <c r="I2054" s="380" t="s">
        <v>1084</v>
      </c>
      <c r="J2054" s="380" t="s">
        <v>773</v>
      </c>
      <c r="K2054" s="381">
        <v>0.0</v>
      </c>
      <c r="L2054" s="382">
        <v>1.0</v>
      </c>
    </row>
    <row r="2055">
      <c r="A2055" s="380" t="s">
        <v>2918</v>
      </c>
      <c r="B2055" s="380" t="str">
        <f>IFERROR(__xludf.DUMMYFUNCTION("""COMPUTED_VALUE"""),"Impermeable Poncho Con Capucha 42")</f>
        <v>Impermeable Poncho Con Capucha 42</v>
      </c>
      <c r="C2055" s="380" t="str">
        <f>IFERROR(__xludf.DUMMYFUNCTION("""COMPUTED_VALUE"""),"30000307")</f>
        <v>30000307</v>
      </c>
      <c r="D2055" s="380" t="s">
        <v>767</v>
      </c>
      <c r="E2055" s="380" t="s">
        <v>810</v>
      </c>
      <c r="F2055" s="380" t="s">
        <v>1089</v>
      </c>
      <c r="G2055" s="380" t="s">
        <v>1267</v>
      </c>
      <c r="H2055" s="380" t="s">
        <v>771</v>
      </c>
      <c r="I2055" s="380" t="s">
        <v>1084</v>
      </c>
      <c r="J2055" s="380" t="s">
        <v>773</v>
      </c>
      <c r="K2055" s="381">
        <v>0.0</v>
      </c>
      <c r="L2055" s="382">
        <v>1.0</v>
      </c>
    </row>
    <row r="2056">
      <c r="A2056" s="380" t="s">
        <v>2919</v>
      </c>
      <c r="B2056" s="380" t="str">
        <f>IFERROR(__xludf.DUMMYFUNCTION("""COMPUTED_VALUE"""),"Corbata Vigilante")</f>
        <v>Corbata Vigilante</v>
      </c>
      <c r="C2056" s="380" t="str">
        <f>IFERROR(__xludf.DUMMYFUNCTION("""COMPUTED_VALUE"""),"30000308")</f>
        <v>30000308</v>
      </c>
      <c r="D2056" s="380" t="s">
        <v>767</v>
      </c>
      <c r="E2056" s="380" t="s">
        <v>810</v>
      </c>
      <c r="F2056" s="380" t="s">
        <v>1089</v>
      </c>
      <c r="G2056" s="380" t="s">
        <v>1267</v>
      </c>
      <c r="H2056" s="380" t="s">
        <v>771</v>
      </c>
      <c r="I2056" s="380" t="s">
        <v>1084</v>
      </c>
      <c r="J2056" s="380" t="s">
        <v>773</v>
      </c>
      <c r="K2056" s="381">
        <v>21913.0</v>
      </c>
      <c r="L2056" s="382">
        <v>1.0</v>
      </c>
    </row>
    <row r="2057">
      <c r="A2057" s="380" t="s">
        <v>2920</v>
      </c>
      <c r="B2057" s="380" t="str">
        <f>IFERROR(__xludf.DUMMYFUNCTION("""COMPUTED_VALUE"""),"Careta Para Soldar Arseg 9011")</f>
        <v>Careta Para Soldar Arseg 9011</v>
      </c>
      <c r="C2057" s="380" t="str">
        <f>IFERROR(__xludf.DUMMYFUNCTION("""COMPUTED_VALUE"""),"30000309")</f>
        <v>30000309</v>
      </c>
      <c r="D2057" s="380" t="s">
        <v>767</v>
      </c>
      <c r="E2057" s="380" t="s">
        <v>810</v>
      </c>
      <c r="F2057" s="380" t="s">
        <v>1083</v>
      </c>
      <c r="G2057" s="380" t="s">
        <v>1267</v>
      </c>
      <c r="H2057" s="380" t="s">
        <v>771</v>
      </c>
      <c r="I2057" s="380" t="s">
        <v>1084</v>
      </c>
      <c r="J2057" s="380" t="s">
        <v>773</v>
      </c>
      <c r="K2057" s="381">
        <v>0.0</v>
      </c>
      <c r="L2057" s="382">
        <v>1.0</v>
      </c>
    </row>
    <row r="2058">
      <c r="A2058" s="380" t="s">
        <v>2921</v>
      </c>
      <c r="B2058" s="380" t="str">
        <f>IFERROR(__xludf.DUMMYFUNCTION("""COMPUTED_VALUE"""),"Cachucha Dril Azul Oscuro Con Logo")</f>
        <v>Cachucha Dril Azul Oscuro Con Logo</v>
      </c>
      <c r="C2058" s="380" t="str">
        <f>IFERROR(__xludf.DUMMYFUNCTION("""COMPUTED_VALUE"""),"30000310")</f>
        <v>30000310</v>
      </c>
      <c r="D2058" s="380" t="s">
        <v>767</v>
      </c>
      <c r="E2058" s="380" t="s">
        <v>810</v>
      </c>
      <c r="F2058" s="380" t="s">
        <v>1083</v>
      </c>
      <c r="G2058" s="380" t="s">
        <v>1267</v>
      </c>
      <c r="H2058" s="380" t="s">
        <v>771</v>
      </c>
      <c r="I2058" s="380" t="s">
        <v>1084</v>
      </c>
      <c r="J2058" s="380" t="s">
        <v>773</v>
      </c>
      <c r="K2058" s="381">
        <v>15310.0</v>
      </c>
      <c r="L2058" s="382">
        <v>1.0</v>
      </c>
    </row>
    <row r="2059">
      <c r="A2059" s="380" t="s">
        <v>2922</v>
      </c>
      <c r="B2059" s="380" t="str">
        <f>IFERROR(__xludf.DUMMYFUNCTION("""COMPUTED_VALUE"""),"Camisa Dacron Vigilan Dama Ml Logo 14")</f>
        <v>Camisa Dacron Vigilan Dama Ml Logo 14</v>
      </c>
      <c r="C2059" s="380" t="str">
        <f>IFERROR(__xludf.DUMMYFUNCTION("""COMPUTED_VALUE"""),"30000311")</f>
        <v>30000311</v>
      </c>
      <c r="D2059" s="380" t="s">
        <v>767</v>
      </c>
      <c r="E2059" s="380" t="s">
        <v>810</v>
      </c>
      <c r="F2059" s="380" t="s">
        <v>1089</v>
      </c>
      <c r="G2059" s="380" t="s">
        <v>1267</v>
      </c>
      <c r="H2059" s="380" t="s">
        <v>771</v>
      </c>
      <c r="I2059" s="380" t="s">
        <v>1084</v>
      </c>
      <c r="J2059" s="380" t="s">
        <v>773</v>
      </c>
      <c r="K2059" s="381">
        <v>0.0</v>
      </c>
      <c r="L2059" s="382">
        <v>1.0</v>
      </c>
    </row>
    <row r="2060">
      <c r="A2060" s="380" t="s">
        <v>2923</v>
      </c>
      <c r="B2060" s="380" t="str">
        <f>IFERROR(__xludf.DUMMYFUNCTION("""COMPUTED_VALUE"""),"Delantal Carnaza")</f>
        <v>Delantal Carnaza</v>
      </c>
      <c r="C2060" s="380" t="str">
        <f>IFERROR(__xludf.DUMMYFUNCTION("""COMPUTED_VALUE"""),"30000312")</f>
        <v>30000312</v>
      </c>
      <c r="D2060" s="380" t="s">
        <v>767</v>
      </c>
      <c r="E2060" s="380" t="s">
        <v>810</v>
      </c>
      <c r="F2060" s="380" t="s">
        <v>1083</v>
      </c>
      <c r="G2060" s="380" t="s">
        <v>1267</v>
      </c>
      <c r="H2060" s="380" t="s">
        <v>771</v>
      </c>
      <c r="I2060" s="380" t="s">
        <v>1084</v>
      </c>
      <c r="J2060" s="380" t="s">
        <v>773</v>
      </c>
      <c r="K2060" s="381">
        <v>21892.0</v>
      </c>
      <c r="L2060" s="382">
        <v>1.0</v>
      </c>
    </row>
    <row r="2061">
      <c r="A2061" s="380" t="s">
        <v>2924</v>
      </c>
      <c r="B2061" s="380" t="str">
        <f>IFERROR(__xludf.DUMMYFUNCTION("""COMPUTED_VALUE"""),"Adaptador De Anclaje Arseg 2170052")</f>
        <v>Adaptador De Anclaje Arseg 2170052</v>
      </c>
      <c r="C2061" s="380" t="str">
        <f>IFERROR(__xludf.DUMMYFUNCTION("""COMPUTED_VALUE"""),"30000320")</f>
        <v>30000320</v>
      </c>
      <c r="D2061" s="380" t="s">
        <v>767</v>
      </c>
      <c r="E2061" s="380" t="s">
        <v>810</v>
      </c>
      <c r="F2061" s="380" t="s">
        <v>1083</v>
      </c>
      <c r="G2061" s="380" t="s">
        <v>1267</v>
      </c>
      <c r="H2061" s="380" t="s">
        <v>771</v>
      </c>
      <c r="I2061" s="380" t="s">
        <v>1084</v>
      </c>
      <c r="J2061" s="380" t="s">
        <v>773</v>
      </c>
      <c r="K2061" s="381">
        <v>0.0</v>
      </c>
      <c r="L2061" s="382">
        <v>1.0</v>
      </c>
    </row>
    <row r="2062">
      <c r="A2062" s="380" t="s">
        <v>2925</v>
      </c>
      <c r="B2062" s="380" t="str">
        <f>IFERROR(__xludf.DUMMYFUNCTION("""COMPUTED_VALUE"""),"Camisa Dacron Vigilan Dama Ml Logo 8")</f>
        <v>Camisa Dacron Vigilan Dama Ml Logo 8</v>
      </c>
      <c r="C2062" s="380" t="str">
        <f>IFERROR(__xludf.DUMMYFUNCTION("""COMPUTED_VALUE"""),"30000321")</f>
        <v>30000321</v>
      </c>
      <c r="D2062" s="380" t="s">
        <v>767</v>
      </c>
      <c r="E2062" s="380" t="s">
        <v>810</v>
      </c>
      <c r="F2062" s="380" t="s">
        <v>1089</v>
      </c>
      <c r="G2062" s="380" t="s">
        <v>1267</v>
      </c>
      <c r="H2062" s="380" t="s">
        <v>771</v>
      </c>
      <c r="I2062" s="380" t="s">
        <v>1084</v>
      </c>
      <c r="J2062" s="380" t="s">
        <v>773</v>
      </c>
      <c r="K2062" s="381">
        <v>0.0</v>
      </c>
      <c r="L2062" s="382">
        <v>1.0</v>
      </c>
    </row>
    <row r="2063">
      <c r="A2063" s="380" t="s">
        <v>2926</v>
      </c>
      <c r="B2063" s="380" t="str">
        <f>IFERROR(__xludf.DUMMYFUNCTION("""COMPUTED_VALUE"""),"Chaqueta Vigilancia Larga Bogota 44")</f>
        <v>Chaqueta Vigilancia Larga Bogota 44</v>
      </c>
      <c r="C2063" s="380" t="str">
        <f>IFERROR(__xludf.DUMMYFUNCTION("""COMPUTED_VALUE"""),"30000322")</f>
        <v>30000322</v>
      </c>
      <c r="D2063" s="380" t="s">
        <v>767</v>
      </c>
      <c r="E2063" s="380" t="s">
        <v>810</v>
      </c>
      <c r="F2063" s="380" t="s">
        <v>1089</v>
      </c>
      <c r="G2063" s="380" t="s">
        <v>1267</v>
      </c>
      <c r="H2063" s="380" t="s">
        <v>771</v>
      </c>
      <c r="I2063" s="380" t="s">
        <v>1084</v>
      </c>
      <c r="J2063" s="380" t="s">
        <v>773</v>
      </c>
      <c r="K2063" s="381">
        <v>0.0</v>
      </c>
      <c r="L2063" s="382">
        <v>1.0</v>
      </c>
    </row>
    <row r="2064">
      <c r="A2064" s="380" t="s">
        <v>2927</v>
      </c>
      <c r="B2064" s="380" t="str">
        <f>IFERROR(__xludf.DUMMYFUNCTION("""COMPUTED_VALUE"""),"Chaqueta Vigilancia Larga Bogota M")</f>
        <v>Chaqueta Vigilancia Larga Bogota M</v>
      </c>
      <c r="C2064" s="380" t="str">
        <f>IFERROR(__xludf.DUMMYFUNCTION("""COMPUTED_VALUE"""),"30000323")</f>
        <v>30000323</v>
      </c>
      <c r="D2064" s="380" t="s">
        <v>767</v>
      </c>
      <c r="E2064" s="380" t="s">
        <v>810</v>
      </c>
      <c r="F2064" s="380" t="s">
        <v>1089</v>
      </c>
      <c r="G2064" s="380" t="s">
        <v>1267</v>
      </c>
      <c r="H2064" s="380" t="s">
        <v>771</v>
      </c>
      <c r="I2064" s="380" t="s">
        <v>1084</v>
      </c>
      <c r="J2064" s="380" t="s">
        <v>773</v>
      </c>
      <c r="K2064" s="381">
        <v>0.0</v>
      </c>
      <c r="L2064" s="382">
        <v>1.0</v>
      </c>
    </row>
    <row r="2065">
      <c r="A2065" s="380" t="s">
        <v>2928</v>
      </c>
      <c r="B2065" s="380" t="str">
        <f>IFERROR(__xludf.DUMMYFUNCTION("""COMPUTED_VALUE"""),"Chaqueta Vigilancia Larga Bogota Xl")</f>
        <v>Chaqueta Vigilancia Larga Bogota Xl</v>
      </c>
      <c r="C2065" s="380" t="str">
        <f>IFERROR(__xludf.DUMMYFUNCTION("""COMPUTED_VALUE"""),"30000324")</f>
        <v>30000324</v>
      </c>
      <c r="D2065" s="380" t="s">
        <v>767</v>
      </c>
      <c r="E2065" s="380" t="s">
        <v>810</v>
      </c>
      <c r="F2065" s="380" t="s">
        <v>1089</v>
      </c>
      <c r="G2065" s="380" t="s">
        <v>1267</v>
      </c>
      <c r="H2065" s="380" t="s">
        <v>771</v>
      </c>
      <c r="I2065" s="380" t="s">
        <v>1084</v>
      </c>
      <c r="J2065" s="380" t="s">
        <v>773</v>
      </c>
      <c r="K2065" s="381">
        <v>0.0</v>
      </c>
      <c r="L2065" s="382">
        <v>1.0</v>
      </c>
    </row>
    <row r="2066">
      <c r="A2066" s="380" t="s">
        <v>2929</v>
      </c>
      <c r="B2066" s="380" t="str">
        <f>IFERROR(__xludf.DUMMYFUNCTION("""COMPUTED_VALUE"""),"Chaqueta Vigilancia Larga Bogota S")</f>
        <v>Chaqueta Vigilancia Larga Bogota S</v>
      </c>
      <c r="C2066" s="380" t="str">
        <f>IFERROR(__xludf.DUMMYFUNCTION("""COMPUTED_VALUE"""),"30000325")</f>
        <v>30000325</v>
      </c>
      <c r="D2066" s="380" t="s">
        <v>767</v>
      </c>
      <c r="E2066" s="380" t="s">
        <v>810</v>
      </c>
      <c r="F2066" s="380" t="s">
        <v>1089</v>
      </c>
      <c r="G2066" s="380" t="s">
        <v>1267</v>
      </c>
      <c r="H2066" s="380" t="s">
        <v>771</v>
      </c>
      <c r="I2066" s="380" t="s">
        <v>1084</v>
      </c>
      <c r="J2066" s="380" t="s">
        <v>773</v>
      </c>
      <c r="K2066" s="381">
        <v>0.0</v>
      </c>
      <c r="L2066" s="382">
        <v>1.0</v>
      </c>
    </row>
    <row r="2067">
      <c r="A2067" s="380" t="s">
        <v>2930</v>
      </c>
      <c r="B2067" s="380" t="str">
        <f>IFERROR(__xludf.DUMMYFUNCTION("""COMPUTED_VALUE"""),"Chaqueta Vigilancia Larga Bogota 36")</f>
        <v>Chaqueta Vigilancia Larga Bogota 36</v>
      </c>
      <c r="C2067" s="380" t="str">
        <f>IFERROR(__xludf.DUMMYFUNCTION("""COMPUTED_VALUE"""),"30000326")</f>
        <v>30000326</v>
      </c>
      <c r="D2067" s="380" t="s">
        <v>767</v>
      </c>
      <c r="E2067" s="380" t="s">
        <v>810</v>
      </c>
      <c r="F2067" s="380" t="s">
        <v>1089</v>
      </c>
      <c r="G2067" s="380" t="s">
        <v>1267</v>
      </c>
      <c r="H2067" s="380" t="s">
        <v>771</v>
      </c>
      <c r="I2067" s="380" t="s">
        <v>1084</v>
      </c>
      <c r="J2067" s="380" t="s">
        <v>773</v>
      </c>
      <c r="K2067" s="381">
        <v>0.0</v>
      </c>
      <c r="L2067" s="382">
        <v>1.0</v>
      </c>
    </row>
    <row r="2068">
      <c r="A2068" s="380" t="s">
        <v>2931</v>
      </c>
      <c r="B2068" s="380" t="str">
        <f>IFERROR(__xludf.DUMMYFUNCTION("""COMPUTED_VALUE"""),"Chaqueta Vigilancia Larga Bogota 42")</f>
        <v>Chaqueta Vigilancia Larga Bogota 42</v>
      </c>
      <c r="C2068" s="380" t="str">
        <f>IFERROR(__xludf.DUMMYFUNCTION("""COMPUTED_VALUE"""),"30000327")</f>
        <v>30000327</v>
      </c>
      <c r="D2068" s="380" t="s">
        <v>767</v>
      </c>
      <c r="E2068" s="380" t="s">
        <v>810</v>
      </c>
      <c r="F2068" s="380" t="s">
        <v>1089</v>
      </c>
      <c r="G2068" s="380" t="s">
        <v>1267</v>
      </c>
      <c r="H2068" s="380" t="s">
        <v>771</v>
      </c>
      <c r="I2068" s="380" t="s">
        <v>1084</v>
      </c>
      <c r="J2068" s="380" t="s">
        <v>773</v>
      </c>
      <c r="K2068" s="381">
        <v>0.0</v>
      </c>
      <c r="L2068" s="382">
        <v>1.0</v>
      </c>
    </row>
    <row r="2069">
      <c r="A2069" s="380" t="s">
        <v>2932</v>
      </c>
      <c r="B2069" s="380" t="str">
        <f>IFERROR(__xludf.DUMMYFUNCTION("""COMPUTED_VALUE"""),"Chaqueta Vigilancia Larga Bogota 40")</f>
        <v>Chaqueta Vigilancia Larga Bogota 40</v>
      </c>
      <c r="C2069" s="380" t="str">
        <f>IFERROR(__xludf.DUMMYFUNCTION("""COMPUTED_VALUE"""),"30000328")</f>
        <v>30000328</v>
      </c>
      <c r="D2069" s="380" t="s">
        <v>767</v>
      </c>
      <c r="E2069" s="380" t="s">
        <v>810</v>
      </c>
      <c r="F2069" s="380" t="s">
        <v>1089</v>
      </c>
      <c r="G2069" s="380" t="s">
        <v>1267</v>
      </c>
      <c r="H2069" s="380" t="s">
        <v>771</v>
      </c>
      <c r="I2069" s="380" t="s">
        <v>1084</v>
      </c>
      <c r="J2069" s="380" t="s">
        <v>773</v>
      </c>
      <c r="K2069" s="381">
        <v>0.0</v>
      </c>
      <c r="L2069" s="382">
        <v>1.0</v>
      </c>
    </row>
    <row r="2070">
      <c r="A2070" s="380" t="s">
        <v>2933</v>
      </c>
      <c r="B2070" s="380" t="str">
        <f>IFERROR(__xludf.DUMMYFUNCTION("""COMPUTED_VALUE"""),"Chaqueta Vigilancia Larga Bogota 38")</f>
        <v>Chaqueta Vigilancia Larga Bogota 38</v>
      </c>
      <c r="C2070" s="380" t="str">
        <f>IFERROR(__xludf.DUMMYFUNCTION("""COMPUTED_VALUE"""),"30000329")</f>
        <v>30000329</v>
      </c>
      <c r="D2070" s="380" t="s">
        <v>767</v>
      </c>
      <c r="E2070" s="380" t="s">
        <v>810</v>
      </c>
      <c r="F2070" s="380" t="s">
        <v>1089</v>
      </c>
      <c r="G2070" s="380" t="s">
        <v>1267</v>
      </c>
      <c r="H2070" s="380" t="s">
        <v>771</v>
      </c>
      <c r="I2070" s="380" t="s">
        <v>1084</v>
      </c>
      <c r="J2070" s="380" t="s">
        <v>773</v>
      </c>
      <c r="K2070" s="381">
        <v>0.0</v>
      </c>
      <c r="L2070" s="382">
        <v>1.0</v>
      </c>
    </row>
    <row r="2071">
      <c r="A2071" s="380" t="s">
        <v>2934</v>
      </c>
      <c r="B2071" s="380" t="str">
        <f>IFERROR(__xludf.DUMMYFUNCTION("""COMPUTED_VALUE"""),"Chaqueta Vigilancia Larga Bogota L")</f>
        <v>Chaqueta Vigilancia Larga Bogota L</v>
      </c>
      <c r="C2071" s="380" t="str">
        <f>IFERROR(__xludf.DUMMYFUNCTION("""COMPUTED_VALUE"""),"30000330")</f>
        <v>30000330</v>
      </c>
      <c r="D2071" s="380" t="s">
        <v>767</v>
      </c>
      <c r="E2071" s="380" t="s">
        <v>810</v>
      </c>
      <c r="F2071" s="380" t="s">
        <v>1089</v>
      </c>
      <c r="G2071" s="380" t="s">
        <v>1267</v>
      </c>
      <c r="H2071" s="380" t="s">
        <v>771</v>
      </c>
      <c r="I2071" s="380" t="s">
        <v>1084</v>
      </c>
      <c r="J2071" s="380" t="s">
        <v>773</v>
      </c>
      <c r="K2071" s="381">
        <v>0.0</v>
      </c>
      <c r="L2071" s="382">
        <v>1.0</v>
      </c>
    </row>
    <row r="2072">
      <c r="A2072" s="380" t="s">
        <v>2935</v>
      </c>
      <c r="B2072" s="380" t="str">
        <f>IFERROR(__xludf.DUMMYFUNCTION("""COMPUTED_VALUE"""),"Casco Protector Con Barbuquejo")</f>
        <v>Casco Protector Con Barbuquejo</v>
      </c>
      <c r="C2072" s="380" t="str">
        <f>IFERROR(__xludf.DUMMYFUNCTION("""COMPUTED_VALUE"""),"30000331")</f>
        <v>30000331</v>
      </c>
      <c r="D2072" s="380" t="s">
        <v>767</v>
      </c>
      <c r="E2072" s="380" t="s">
        <v>810</v>
      </c>
      <c r="F2072" s="380" t="s">
        <v>1083</v>
      </c>
      <c r="G2072" s="380" t="s">
        <v>1267</v>
      </c>
      <c r="H2072" s="380" t="s">
        <v>771</v>
      </c>
      <c r="I2072" s="380" t="s">
        <v>1084</v>
      </c>
      <c r="J2072" s="380" t="s">
        <v>773</v>
      </c>
      <c r="K2072" s="381">
        <v>28778.0</v>
      </c>
      <c r="L2072" s="382">
        <v>1.0</v>
      </c>
    </row>
    <row r="2073">
      <c r="A2073" s="380" t="s">
        <v>2936</v>
      </c>
      <c r="B2073" s="380" t="str">
        <f>IFERROR(__xludf.DUMMYFUNCTION("""COMPUTED_VALUE"""),"Camisa Dacron Vigilan Dama Ml Logo 12")</f>
        <v>Camisa Dacron Vigilan Dama Ml Logo 12</v>
      </c>
      <c r="C2073" s="380" t="str">
        <f>IFERROR(__xludf.DUMMYFUNCTION("""COMPUTED_VALUE"""),"30000332")</f>
        <v>30000332</v>
      </c>
      <c r="D2073" s="380" t="s">
        <v>767</v>
      </c>
      <c r="E2073" s="380" t="s">
        <v>810</v>
      </c>
      <c r="F2073" s="380" t="s">
        <v>1089</v>
      </c>
      <c r="G2073" s="380" t="s">
        <v>1267</v>
      </c>
      <c r="H2073" s="380" t="s">
        <v>771</v>
      </c>
      <c r="I2073" s="380" t="s">
        <v>1084</v>
      </c>
      <c r="J2073" s="380" t="s">
        <v>773</v>
      </c>
      <c r="K2073" s="381">
        <v>0.0</v>
      </c>
      <c r="L2073" s="382">
        <v>1.0</v>
      </c>
    </row>
    <row r="2074">
      <c r="A2074" s="380" t="s">
        <v>2937</v>
      </c>
      <c r="B2074" s="380" t="str">
        <f>IFERROR(__xludf.DUMMYFUNCTION("""COMPUTED_VALUE"""),"Impermeable Poncho Con Capucha M")</f>
        <v>Impermeable Poncho Con Capucha M</v>
      </c>
      <c r="C2074" s="380" t="str">
        <f>IFERROR(__xludf.DUMMYFUNCTION("""COMPUTED_VALUE"""),"30000333")</f>
        <v>30000333</v>
      </c>
      <c r="D2074" s="380" t="s">
        <v>767</v>
      </c>
      <c r="E2074" s="380" t="s">
        <v>810</v>
      </c>
      <c r="F2074" s="380" t="s">
        <v>1089</v>
      </c>
      <c r="G2074" s="380" t="s">
        <v>1267</v>
      </c>
      <c r="H2074" s="380" t="s">
        <v>771</v>
      </c>
      <c r="I2074" s="380" t="s">
        <v>1084</v>
      </c>
      <c r="J2074" s="380" t="s">
        <v>773</v>
      </c>
      <c r="K2074" s="381">
        <v>0.0</v>
      </c>
      <c r="L2074" s="382">
        <v>1.0</v>
      </c>
    </row>
    <row r="2075">
      <c r="A2075" s="380" t="s">
        <v>2938</v>
      </c>
      <c r="B2075" s="380" t="str">
        <f>IFERROR(__xludf.DUMMYFUNCTION("""COMPUTED_VALUE"""),"Impermeable Poncho Con Capucha Xl")</f>
        <v>Impermeable Poncho Con Capucha Xl</v>
      </c>
      <c r="C2075" s="380" t="str">
        <f>IFERROR(__xludf.DUMMYFUNCTION("""COMPUTED_VALUE"""),"30000334")</f>
        <v>30000334</v>
      </c>
      <c r="D2075" s="380" t="s">
        <v>767</v>
      </c>
      <c r="E2075" s="380" t="s">
        <v>810</v>
      </c>
      <c r="F2075" s="380" t="s">
        <v>1089</v>
      </c>
      <c r="G2075" s="380" t="s">
        <v>1267</v>
      </c>
      <c r="H2075" s="380" t="s">
        <v>771</v>
      </c>
      <c r="I2075" s="380" t="s">
        <v>1084</v>
      </c>
      <c r="J2075" s="380" t="s">
        <v>773</v>
      </c>
      <c r="K2075" s="381">
        <v>0.0</v>
      </c>
      <c r="L2075" s="382">
        <v>1.0</v>
      </c>
    </row>
    <row r="2076">
      <c r="A2076" s="380" t="s">
        <v>2939</v>
      </c>
      <c r="B2076" s="380" t="str">
        <f>IFERROR(__xludf.DUMMYFUNCTION("""COMPUTED_VALUE"""),"Impermeable Poncho Con Capucha 40")</f>
        <v>Impermeable Poncho Con Capucha 40</v>
      </c>
      <c r="C2076" s="380" t="str">
        <f>IFERROR(__xludf.DUMMYFUNCTION("""COMPUTED_VALUE"""),"30000335")</f>
        <v>30000335</v>
      </c>
      <c r="D2076" s="380" t="s">
        <v>767</v>
      </c>
      <c r="E2076" s="380" t="s">
        <v>810</v>
      </c>
      <c r="F2076" s="380" t="s">
        <v>1089</v>
      </c>
      <c r="G2076" s="380" t="s">
        <v>1267</v>
      </c>
      <c r="H2076" s="380" t="s">
        <v>771</v>
      </c>
      <c r="I2076" s="380" t="s">
        <v>1084</v>
      </c>
      <c r="J2076" s="380" t="s">
        <v>773</v>
      </c>
      <c r="K2076" s="381">
        <v>0.0</v>
      </c>
      <c r="L2076" s="382">
        <v>1.0</v>
      </c>
    </row>
    <row r="2077">
      <c r="A2077" s="380" t="s">
        <v>2940</v>
      </c>
      <c r="B2077" s="380" t="str">
        <f>IFERROR(__xludf.DUMMYFUNCTION("""COMPUTED_VALUE"""),"Camiseta Descargador Gris 32")</f>
        <v>Camiseta Descargador Gris 32</v>
      </c>
      <c r="C2077" s="380" t="str">
        <f>IFERROR(__xludf.DUMMYFUNCTION("""COMPUTED_VALUE"""),"30000336")</f>
        <v>30000336</v>
      </c>
      <c r="D2077" s="380" t="s">
        <v>767</v>
      </c>
      <c r="E2077" s="380" t="s">
        <v>810</v>
      </c>
      <c r="F2077" s="380" t="s">
        <v>1089</v>
      </c>
      <c r="G2077" s="380" t="s">
        <v>1267</v>
      </c>
      <c r="H2077" s="380" t="s">
        <v>771</v>
      </c>
      <c r="I2077" s="380" t="s">
        <v>1084</v>
      </c>
      <c r="J2077" s="380" t="s">
        <v>773</v>
      </c>
      <c r="K2077" s="381">
        <v>0.0</v>
      </c>
      <c r="L2077" s="382">
        <v>1.0</v>
      </c>
    </row>
    <row r="2078">
      <c r="A2078" s="380" t="s">
        <v>2941</v>
      </c>
      <c r="B2078" s="380" t="str">
        <f>IFERROR(__xludf.DUMMYFUNCTION("""COMPUTED_VALUE"""),"Camiseta Descargador Gris L")</f>
        <v>Camiseta Descargador Gris L</v>
      </c>
      <c r="C2078" s="380" t="str">
        <f>IFERROR(__xludf.DUMMYFUNCTION("""COMPUTED_VALUE"""),"30000337")</f>
        <v>30000337</v>
      </c>
      <c r="D2078" s="380" t="s">
        <v>767</v>
      </c>
      <c r="E2078" s="380" t="s">
        <v>810</v>
      </c>
      <c r="F2078" s="380" t="s">
        <v>1089</v>
      </c>
      <c r="G2078" s="380" t="s">
        <v>1267</v>
      </c>
      <c r="H2078" s="380" t="s">
        <v>771</v>
      </c>
      <c r="I2078" s="380" t="s">
        <v>1084</v>
      </c>
      <c r="J2078" s="380" t="s">
        <v>773</v>
      </c>
      <c r="K2078" s="381">
        <v>0.0</v>
      </c>
      <c r="L2078" s="382">
        <v>1.0</v>
      </c>
    </row>
    <row r="2079">
      <c r="A2079" s="380" t="s">
        <v>2942</v>
      </c>
      <c r="B2079" s="380" t="str">
        <f>IFERROR(__xludf.DUMMYFUNCTION("""COMPUTED_VALUE"""),"Camiseta Descargador Gris 42")</f>
        <v>Camiseta Descargador Gris 42</v>
      </c>
      <c r="C2079" s="380" t="str">
        <f>IFERROR(__xludf.DUMMYFUNCTION("""COMPUTED_VALUE"""),"30000338")</f>
        <v>30000338</v>
      </c>
      <c r="D2079" s="380" t="s">
        <v>767</v>
      </c>
      <c r="E2079" s="380" t="s">
        <v>810</v>
      </c>
      <c r="F2079" s="380" t="s">
        <v>1089</v>
      </c>
      <c r="G2079" s="380" t="s">
        <v>1267</v>
      </c>
      <c r="H2079" s="380" t="s">
        <v>771</v>
      </c>
      <c r="I2079" s="380" t="s">
        <v>1084</v>
      </c>
      <c r="J2079" s="380" t="s">
        <v>773</v>
      </c>
      <c r="K2079" s="381">
        <v>17449.0</v>
      </c>
      <c r="L2079" s="382">
        <v>1.0</v>
      </c>
    </row>
    <row r="2080">
      <c r="A2080" s="380" t="s">
        <v>2943</v>
      </c>
      <c r="B2080" s="380" t="str">
        <f>IFERROR(__xludf.DUMMYFUNCTION("""COMPUTED_VALUE"""),"Pantalon Dryl Gris Dama U")</f>
        <v>Pantalon Dryl Gris Dama U</v>
      </c>
      <c r="C2080" s="380" t="str">
        <f>IFERROR(__xludf.DUMMYFUNCTION("""COMPUTED_VALUE"""),"30000339")</f>
        <v>30000339</v>
      </c>
      <c r="D2080" s="380" t="s">
        <v>767</v>
      </c>
      <c r="E2080" s="380" t="s">
        <v>810</v>
      </c>
      <c r="F2080" s="380" t="s">
        <v>1089</v>
      </c>
      <c r="G2080" s="380" t="s">
        <v>1267</v>
      </c>
      <c r="H2080" s="380" t="s">
        <v>771</v>
      </c>
      <c r="I2080" s="380" t="s">
        <v>1084</v>
      </c>
      <c r="J2080" s="380" t="s">
        <v>773</v>
      </c>
      <c r="K2080" s="381">
        <v>0.0</v>
      </c>
      <c r="L2080" s="382">
        <v>1.0</v>
      </c>
    </row>
    <row r="2081">
      <c r="A2081" s="380" t="s">
        <v>2944</v>
      </c>
      <c r="B2081" s="380" t="str">
        <f>IFERROR(__xludf.DUMMYFUNCTION("""COMPUTED_VALUE"""),"Pantalon Dryl Gris Dama 28")</f>
        <v>Pantalon Dryl Gris Dama 28</v>
      </c>
      <c r="C2081" s="380" t="str">
        <f>IFERROR(__xludf.DUMMYFUNCTION("""COMPUTED_VALUE"""),"30000340")</f>
        <v>30000340</v>
      </c>
      <c r="D2081" s="380" t="s">
        <v>767</v>
      </c>
      <c r="E2081" s="380" t="s">
        <v>810</v>
      </c>
      <c r="F2081" s="380" t="s">
        <v>1089</v>
      </c>
      <c r="G2081" s="380" t="s">
        <v>1267</v>
      </c>
      <c r="H2081" s="380" t="s">
        <v>771</v>
      </c>
      <c r="I2081" s="380" t="s">
        <v>1084</v>
      </c>
      <c r="J2081" s="380" t="s">
        <v>773</v>
      </c>
      <c r="K2081" s="381">
        <v>0.0</v>
      </c>
      <c r="L2081" s="382">
        <v>1.0</v>
      </c>
    </row>
    <row r="2082">
      <c r="A2082" s="380" t="s">
        <v>2945</v>
      </c>
      <c r="B2082" s="380" t="str">
        <f>IFERROR(__xludf.DUMMYFUNCTION("""COMPUTED_VALUE"""),"Pantalon Dryl Gris Dama 16")</f>
        <v>Pantalon Dryl Gris Dama 16</v>
      </c>
      <c r="C2082" s="380" t="str">
        <f>IFERROR(__xludf.DUMMYFUNCTION("""COMPUTED_VALUE"""),"30000341")</f>
        <v>30000341</v>
      </c>
      <c r="D2082" s="380" t="s">
        <v>767</v>
      </c>
      <c r="E2082" s="380" t="s">
        <v>810</v>
      </c>
      <c r="F2082" s="380" t="s">
        <v>1089</v>
      </c>
      <c r="G2082" s="380" t="s">
        <v>1267</v>
      </c>
      <c r="H2082" s="380" t="s">
        <v>771</v>
      </c>
      <c r="I2082" s="380" t="s">
        <v>1084</v>
      </c>
      <c r="J2082" s="380" t="s">
        <v>773</v>
      </c>
      <c r="K2082" s="381">
        <v>45263.0</v>
      </c>
      <c r="L2082" s="382">
        <v>1.0</v>
      </c>
    </row>
    <row r="2083">
      <c r="A2083" s="380" t="s">
        <v>2946</v>
      </c>
      <c r="B2083" s="380" t="str">
        <f>IFERROR(__xludf.DUMMYFUNCTION("""COMPUTED_VALUE"""),"Pantalon Vigilante Dama 16")</f>
        <v>Pantalon Vigilante Dama 16</v>
      </c>
      <c r="C2083" s="380" t="str">
        <f>IFERROR(__xludf.DUMMYFUNCTION("""COMPUTED_VALUE"""),"30000342")</f>
        <v>30000342</v>
      </c>
      <c r="D2083" s="380" t="s">
        <v>767</v>
      </c>
      <c r="E2083" s="380" t="s">
        <v>810</v>
      </c>
      <c r="F2083" s="380" t="s">
        <v>1089</v>
      </c>
      <c r="G2083" s="380" t="s">
        <v>1267</v>
      </c>
      <c r="H2083" s="380" t="s">
        <v>771</v>
      </c>
      <c r="I2083" s="380" t="s">
        <v>1084</v>
      </c>
      <c r="J2083" s="380" t="s">
        <v>773</v>
      </c>
      <c r="K2083" s="381">
        <v>0.0</v>
      </c>
      <c r="L2083" s="382">
        <v>1.0</v>
      </c>
    </row>
    <row r="2084">
      <c r="A2084" s="380" t="s">
        <v>2947</v>
      </c>
      <c r="B2084" s="380" t="str">
        <f>IFERROR(__xludf.DUMMYFUNCTION("""COMPUTED_VALUE"""),"Pantalon Dryl Gris Dama 10")</f>
        <v>Pantalon Dryl Gris Dama 10</v>
      </c>
      <c r="C2084" s="380" t="str">
        <f>IFERROR(__xludf.DUMMYFUNCTION("""COMPUTED_VALUE"""),"30000343")</f>
        <v>30000343</v>
      </c>
      <c r="D2084" s="380" t="s">
        <v>767</v>
      </c>
      <c r="E2084" s="380" t="s">
        <v>810</v>
      </c>
      <c r="F2084" s="380" t="s">
        <v>1089</v>
      </c>
      <c r="G2084" s="380" t="s">
        <v>1267</v>
      </c>
      <c r="H2084" s="380" t="s">
        <v>771</v>
      </c>
      <c r="I2084" s="380" t="s">
        <v>1084</v>
      </c>
      <c r="J2084" s="380" t="s">
        <v>773</v>
      </c>
      <c r="K2084" s="381">
        <v>45263.0</v>
      </c>
      <c r="L2084" s="382">
        <v>1.0</v>
      </c>
    </row>
    <row r="2085">
      <c r="A2085" s="380" t="s">
        <v>2948</v>
      </c>
      <c r="B2085" s="380" t="str">
        <f>IFERROR(__xludf.DUMMYFUNCTION("""COMPUTED_VALUE"""),"Pantalon Dryl Gris Dama 20")</f>
        <v>Pantalon Dryl Gris Dama 20</v>
      </c>
      <c r="C2085" s="380" t="str">
        <f>IFERROR(__xludf.DUMMYFUNCTION("""COMPUTED_VALUE"""),"30000344")</f>
        <v>30000344</v>
      </c>
      <c r="D2085" s="380" t="s">
        <v>767</v>
      </c>
      <c r="E2085" s="380" t="s">
        <v>810</v>
      </c>
      <c r="F2085" s="380" t="s">
        <v>1089</v>
      </c>
      <c r="G2085" s="380" t="s">
        <v>1267</v>
      </c>
      <c r="H2085" s="380" t="s">
        <v>771</v>
      </c>
      <c r="I2085" s="380" t="s">
        <v>1084</v>
      </c>
      <c r="J2085" s="380" t="s">
        <v>773</v>
      </c>
      <c r="K2085" s="381">
        <v>45263.0</v>
      </c>
      <c r="L2085" s="382">
        <v>1.0</v>
      </c>
    </row>
    <row r="2086">
      <c r="A2086" s="380" t="s">
        <v>2949</v>
      </c>
      <c r="B2086" s="380" t="str">
        <f>IFERROR(__xludf.DUMMYFUNCTION("""COMPUTED_VALUE"""),"Pantalon Dryl Gris Dama 8")</f>
        <v>Pantalon Dryl Gris Dama 8</v>
      </c>
      <c r="C2086" s="380" t="str">
        <f>IFERROR(__xludf.DUMMYFUNCTION("""COMPUTED_VALUE"""),"30000345")</f>
        <v>30000345</v>
      </c>
      <c r="D2086" s="380" t="s">
        <v>767</v>
      </c>
      <c r="E2086" s="380" t="s">
        <v>810</v>
      </c>
      <c r="F2086" s="380" t="s">
        <v>1089</v>
      </c>
      <c r="G2086" s="380" t="s">
        <v>1267</v>
      </c>
      <c r="H2086" s="380" t="s">
        <v>771</v>
      </c>
      <c r="I2086" s="380" t="s">
        <v>1084</v>
      </c>
      <c r="J2086" s="380" t="s">
        <v>773</v>
      </c>
      <c r="K2086" s="381">
        <v>45263.0</v>
      </c>
      <c r="L2086" s="382">
        <v>1.0</v>
      </c>
    </row>
    <row r="2087">
      <c r="A2087" s="380" t="s">
        <v>2950</v>
      </c>
      <c r="B2087" s="380" t="str">
        <f>IFERROR(__xludf.DUMMYFUNCTION("""COMPUTED_VALUE"""),"Pantalon Dryl Gris Dama 6")</f>
        <v>Pantalon Dryl Gris Dama 6</v>
      </c>
      <c r="C2087" s="380" t="str">
        <f>IFERROR(__xludf.DUMMYFUNCTION("""COMPUTED_VALUE"""),"30000346")</f>
        <v>30000346</v>
      </c>
      <c r="D2087" s="380" t="s">
        <v>767</v>
      </c>
      <c r="E2087" s="380" t="s">
        <v>810</v>
      </c>
      <c r="F2087" s="380" t="s">
        <v>1089</v>
      </c>
      <c r="G2087" s="380" t="s">
        <v>1267</v>
      </c>
      <c r="H2087" s="380" t="s">
        <v>771</v>
      </c>
      <c r="I2087" s="380" t="s">
        <v>1084</v>
      </c>
      <c r="J2087" s="380" t="s">
        <v>773</v>
      </c>
      <c r="K2087" s="381">
        <v>45263.0</v>
      </c>
      <c r="L2087" s="382">
        <v>1.0</v>
      </c>
    </row>
    <row r="2088">
      <c r="A2088" s="380" t="s">
        <v>2951</v>
      </c>
      <c r="B2088" s="380" t="str">
        <f>IFERROR(__xludf.DUMMYFUNCTION("""COMPUTED_VALUE"""),"Pantalon Dryl Gris Dama 36")</f>
        <v>Pantalon Dryl Gris Dama 36</v>
      </c>
      <c r="C2088" s="380" t="str">
        <f>IFERROR(__xludf.DUMMYFUNCTION("""COMPUTED_VALUE"""),"30000347")</f>
        <v>30000347</v>
      </c>
      <c r="D2088" s="380" t="s">
        <v>767</v>
      </c>
      <c r="E2088" s="380" t="s">
        <v>810</v>
      </c>
      <c r="F2088" s="380" t="s">
        <v>1089</v>
      </c>
      <c r="G2088" s="380" t="s">
        <v>1267</v>
      </c>
      <c r="H2088" s="380" t="s">
        <v>771</v>
      </c>
      <c r="I2088" s="380" t="s">
        <v>1084</v>
      </c>
      <c r="J2088" s="380" t="s">
        <v>773</v>
      </c>
      <c r="K2088" s="381">
        <v>0.0</v>
      </c>
      <c r="L2088" s="382">
        <v>1.0</v>
      </c>
    </row>
    <row r="2089">
      <c r="A2089" s="380" t="s">
        <v>2952</v>
      </c>
      <c r="B2089" s="380" t="str">
        <f>IFERROR(__xludf.DUMMYFUNCTION("""COMPUTED_VALUE"""),"Pantalon Dryl Gris Dama 12")</f>
        <v>Pantalon Dryl Gris Dama 12</v>
      </c>
      <c r="C2089" s="380" t="str">
        <f>IFERROR(__xludf.DUMMYFUNCTION("""COMPUTED_VALUE"""),"30000348")</f>
        <v>30000348</v>
      </c>
      <c r="D2089" s="380" t="s">
        <v>767</v>
      </c>
      <c r="E2089" s="380" t="s">
        <v>810</v>
      </c>
      <c r="F2089" s="380" t="s">
        <v>1089</v>
      </c>
      <c r="G2089" s="380" t="s">
        <v>1267</v>
      </c>
      <c r="H2089" s="380" t="s">
        <v>771</v>
      </c>
      <c r="I2089" s="380" t="s">
        <v>1084</v>
      </c>
      <c r="J2089" s="380" t="s">
        <v>773</v>
      </c>
      <c r="K2089" s="381">
        <v>45263.0</v>
      </c>
      <c r="L2089" s="382">
        <v>1.0</v>
      </c>
    </row>
    <row r="2090">
      <c r="A2090" s="380" t="s">
        <v>2953</v>
      </c>
      <c r="B2090" s="380" t="str">
        <f>IFERROR(__xludf.DUMMYFUNCTION("""COMPUTED_VALUE"""),"Pantalon Dryl Gris Dama 14")</f>
        <v>Pantalon Dryl Gris Dama 14</v>
      </c>
      <c r="C2090" s="380" t="str">
        <f>IFERROR(__xludf.DUMMYFUNCTION("""COMPUTED_VALUE"""),"30000349")</f>
        <v>30000349</v>
      </c>
      <c r="D2090" s="380" t="s">
        <v>767</v>
      </c>
      <c r="E2090" s="380" t="s">
        <v>810</v>
      </c>
      <c r="F2090" s="380" t="s">
        <v>1089</v>
      </c>
      <c r="G2090" s="380" t="s">
        <v>1267</v>
      </c>
      <c r="H2090" s="380" t="s">
        <v>771</v>
      </c>
      <c r="I2090" s="380" t="s">
        <v>1084</v>
      </c>
      <c r="J2090" s="380" t="s">
        <v>773</v>
      </c>
      <c r="K2090" s="381">
        <v>45263.0</v>
      </c>
      <c r="L2090" s="382">
        <v>1.0</v>
      </c>
    </row>
    <row r="2091">
      <c r="A2091" s="380" t="s">
        <v>2954</v>
      </c>
      <c r="B2091" s="380" t="str">
        <f>IFERROR(__xludf.DUMMYFUNCTION("""COMPUTED_VALUE"""),"Media Mascara Ref 6200m Pintor")</f>
        <v>Media Mascara Ref 6200m Pintor</v>
      </c>
      <c r="C2091" s="380" t="str">
        <f>IFERROR(__xludf.DUMMYFUNCTION("""COMPUTED_VALUE"""),"30000350")</f>
        <v>30000350</v>
      </c>
      <c r="D2091" s="380" t="s">
        <v>767</v>
      </c>
      <c r="E2091" s="380" t="s">
        <v>810</v>
      </c>
      <c r="F2091" s="380" t="s">
        <v>1083</v>
      </c>
      <c r="G2091" s="380" t="s">
        <v>1267</v>
      </c>
      <c r="H2091" s="380" t="s">
        <v>771</v>
      </c>
      <c r="I2091" s="380" t="s">
        <v>1084</v>
      </c>
      <c r="J2091" s="380" t="s">
        <v>773</v>
      </c>
      <c r="K2091" s="381">
        <v>56896.0</v>
      </c>
      <c r="L2091" s="382">
        <v>1.0</v>
      </c>
    </row>
    <row r="2092">
      <c r="A2092" s="380" t="s">
        <v>2955</v>
      </c>
      <c r="B2092" s="380" t="str">
        <f>IFERROR(__xludf.DUMMYFUNCTION("""COMPUTED_VALUE"""),"Morral Tipo Courrier Con Logo")</f>
        <v>Morral Tipo Courrier Con Logo</v>
      </c>
      <c r="C2092" s="380" t="str">
        <f>IFERROR(__xludf.DUMMYFUNCTION("""COMPUTED_VALUE"""),"30000351")</f>
        <v>30000351</v>
      </c>
      <c r="D2092" s="380" t="s">
        <v>767</v>
      </c>
      <c r="E2092" s="380" t="s">
        <v>810</v>
      </c>
      <c r="F2092" s="380" t="s">
        <v>1271</v>
      </c>
      <c r="G2092" s="380" t="s">
        <v>1267</v>
      </c>
      <c r="H2092" s="380" t="s">
        <v>771</v>
      </c>
      <c r="I2092" s="380" t="s">
        <v>1084</v>
      </c>
      <c r="J2092" s="380" t="s">
        <v>773</v>
      </c>
      <c r="K2092" s="381">
        <v>143171.0</v>
      </c>
      <c r="L2092" s="382">
        <v>1.0</v>
      </c>
    </row>
    <row r="2093">
      <c r="A2093" s="380" t="s">
        <v>2956</v>
      </c>
      <c r="B2093" s="380" t="str">
        <f>IFERROR(__xludf.DUMMYFUNCTION("""COMPUTED_VALUE"""),"Pantalon Vigilante Dama 12")</f>
        <v>Pantalon Vigilante Dama 12</v>
      </c>
      <c r="C2093" s="380" t="str">
        <f>IFERROR(__xludf.DUMMYFUNCTION("""COMPUTED_VALUE"""),"30000352")</f>
        <v>30000352</v>
      </c>
      <c r="D2093" s="380" t="s">
        <v>767</v>
      </c>
      <c r="E2093" s="380" t="s">
        <v>810</v>
      </c>
      <c r="F2093" s="380" t="s">
        <v>1089</v>
      </c>
      <c r="G2093" s="380" t="s">
        <v>1267</v>
      </c>
      <c r="H2093" s="380" t="s">
        <v>771</v>
      </c>
      <c r="I2093" s="380" t="s">
        <v>1084</v>
      </c>
      <c r="J2093" s="380" t="s">
        <v>773</v>
      </c>
      <c r="K2093" s="381">
        <v>0.0</v>
      </c>
      <c r="L2093" s="382">
        <v>1.0</v>
      </c>
    </row>
    <row r="2094">
      <c r="A2094" s="380" t="s">
        <v>2957</v>
      </c>
      <c r="B2094" s="380" t="str">
        <f>IFERROR(__xludf.DUMMYFUNCTION("""COMPUTED_VALUE"""),"Pantalon Vigilante 32")</f>
        <v>Pantalon Vigilante 32</v>
      </c>
      <c r="C2094" s="380" t="str">
        <f>IFERROR(__xludf.DUMMYFUNCTION("""COMPUTED_VALUE"""),"30000353")</f>
        <v>30000353</v>
      </c>
      <c r="D2094" s="380" t="s">
        <v>767</v>
      </c>
      <c r="E2094" s="380" t="s">
        <v>810</v>
      </c>
      <c r="F2094" s="380" t="s">
        <v>1089</v>
      </c>
      <c r="G2094" s="380" t="s">
        <v>1267</v>
      </c>
      <c r="H2094" s="380" t="s">
        <v>771</v>
      </c>
      <c r="I2094" s="380" t="s">
        <v>1084</v>
      </c>
      <c r="J2094" s="380" t="s">
        <v>773</v>
      </c>
      <c r="K2094" s="381">
        <v>41668.0</v>
      </c>
      <c r="L2094" s="382">
        <v>1.0</v>
      </c>
    </row>
    <row r="2095">
      <c r="A2095" s="380" t="s">
        <v>2958</v>
      </c>
      <c r="B2095" s="380" t="str">
        <f>IFERROR(__xludf.DUMMYFUNCTION("""COMPUTED_VALUE"""),"Camiseta Descargador Gris 30")</f>
        <v>Camiseta Descargador Gris 30</v>
      </c>
      <c r="C2095" s="380" t="str">
        <f>IFERROR(__xludf.DUMMYFUNCTION("""COMPUTED_VALUE"""),"30000354")</f>
        <v>30000354</v>
      </c>
      <c r="D2095" s="380" t="s">
        <v>767</v>
      </c>
      <c r="E2095" s="380" t="s">
        <v>810</v>
      </c>
      <c r="F2095" s="380" t="s">
        <v>1089</v>
      </c>
      <c r="G2095" s="380" t="s">
        <v>1267</v>
      </c>
      <c r="H2095" s="380" t="s">
        <v>771</v>
      </c>
      <c r="I2095" s="380" t="s">
        <v>1084</v>
      </c>
      <c r="J2095" s="380" t="s">
        <v>773</v>
      </c>
      <c r="K2095" s="381">
        <v>17449.0</v>
      </c>
      <c r="L2095" s="382">
        <v>1.0</v>
      </c>
    </row>
    <row r="2096">
      <c r="A2096" s="380" t="s">
        <v>2959</v>
      </c>
      <c r="B2096" s="380" t="str">
        <f>IFERROR(__xludf.DUMMYFUNCTION("""COMPUTED_VALUE"""),"Camiseta Descargador Gris 50")</f>
        <v>Camiseta Descargador Gris 50</v>
      </c>
      <c r="C2096" s="380" t="str">
        <f>IFERROR(__xludf.DUMMYFUNCTION("""COMPUTED_VALUE"""),"30000355")</f>
        <v>30000355</v>
      </c>
      <c r="D2096" s="380" t="s">
        <v>767</v>
      </c>
      <c r="E2096" s="380" t="s">
        <v>810</v>
      </c>
      <c r="F2096" s="380" t="s">
        <v>1089</v>
      </c>
      <c r="G2096" s="380" t="s">
        <v>1267</v>
      </c>
      <c r="H2096" s="380" t="s">
        <v>771</v>
      </c>
      <c r="I2096" s="380" t="s">
        <v>1084</v>
      </c>
      <c r="J2096" s="380" t="s">
        <v>773</v>
      </c>
      <c r="K2096" s="381">
        <v>0.0</v>
      </c>
      <c r="L2096" s="382">
        <v>1.0</v>
      </c>
    </row>
    <row r="2097">
      <c r="A2097" s="380" t="s">
        <v>2960</v>
      </c>
      <c r="B2097" s="380" t="str">
        <f>IFERROR(__xludf.DUMMYFUNCTION("""COMPUTED_VALUE"""),"Camiseta Descargador Gris 36")</f>
        <v>Camiseta Descargador Gris 36</v>
      </c>
      <c r="C2097" s="380" t="str">
        <f>IFERROR(__xludf.DUMMYFUNCTION("""COMPUTED_VALUE"""),"30000356")</f>
        <v>30000356</v>
      </c>
      <c r="D2097" s="380" t="s">
        <v>767</v>
      </c>
      <c r="E2097" s="380" t="s">
        <v>810</v>
      </c>
      <c r="F2097" s="380" t="s">
        <v>1089</v>
      </c>
      <c r="G2097" s="380" t="s">
        <v>1267</v>
      </c>
      <c r="H2097" s="380" t="s">
        <v>771</v>
      </c>
      <c r="I2097" s="380" t="s">
        <v>1084</v>
      </c>
      <c r="J2097" s="380" t="s">
        <v>773</v>
      </c>
      <c r="K2097" s="381">
        <v>17449.0</v>
      </c>
      <c r="L2097" s="382">
        <v>1.0</v>
      </c>
    </row>
    <row r="2098">
      <c r="A2098" s="380" t="s">
        <v>2961</v>
      </c>
      <c r="B2098" s="380" t="str">
        <f>IFERROR(__xludf.DUMMYFUNCTION("""COMPUTED_VALUE"""),"Camiseta Descargador Gris Xl")</f>
        <v>Camiseta Descargador Gris Xl</v>
      </c>
      <c r="C2098" s="380" t="str">
        <f>IFERROR(__xludf.DUMMYFUNCTION("""COMPUTED_VALUE"""),"30000357")</f>
        <v>30000357</v>
      </c>
      <c r="D2098" s="380" t="s">
        <v>767</v>
      </c>
      <c r="E2098" s="380" t="s">
        <v>810</v>
      </c>
      <c r="F2098" s="380" t="s">
        <v>1089</v>
      </c>
      <c r="G2098" s="380" t="s">
        <v>1267</v>
      </c>
      <c r="H2098" s="380" t="s">
        <v>771</v>
      </c>
      <c r="I2098" s="380" t="s">
        <v>1084</v>
      </c>
      <c r="J2098" s="380" t="s">
        <v>773</v>
      </c>
      <c r="K2098" s="381">
        <v>0.0</v>
      </c>
      <c r="L2098" s="382">
        <v>1.0</v>
      </c>
    </row>
    <row r="2099">
      <c r="A2099" s="380" t="s">
        <v>2962</v>
      </c>
      <c r="B2099" s="380" t="str">
        <f>IFERROR(__xludf.DUMMYFUNCTION("""COMPUTED_VALUE"""),"Camiseta Descargador Gris 40")</f>
        <v>Camiseta Descargador Gris 40</v>
      </c>
      <c r="C2099" s="380" t="str">
        <f>IFERROR(__xludf.DUMMYFUNCTION("""COMPUTED_VALUE"""),"30000358")</f>
        <v>30000358</v>
      </c>
      <c r="D2099" s="380" t="s">
        <v>767</v>
      </c>
      <c r="E2099" s="380" t="s">
        <v>810</v>
      </c>
      <c r="F2099" s="380" t="s">
        <v>1089</v>
      </c>
      <c r="G2099" s="380" t="s">
        <v>1267</v>
      </c>
      <c r="H2099" s="380" t="s">
        <v>771</v>
      </c>
      <c r="I2099" s="380" t="s">
        <v>1084</v>
      </c>
      <c r="J2099" s="380" t="s">
        <v>773</v>
      </c>
      <c r="K2099" s="381">
        <v>17449.0</v>
      </c>
      <c r="L2099" s="382">
        <v>1.0</v>
      </c>
    </row>
    <row r="2100">
      <c r="A2100" s="380" t="s">
        <v>2963</v>
      </c>
      <c r="B2100" s="380" t="str">
        <f>IFERROR(__xludf.DUMMYFUNCTION("""COMPUTED_VALUE"""),"Camiseta Descargador Gris 28")</f>
        <v>Camiseta Descargador Gris 28</v>
      </c>
      <c r="C2100" s="380" t="str">
        <f>IFERROR(__xludf.DUMMYFUNCTION("""COMPUTED_VALUE"""),"30000359")</f>
        <v>30000359</v>
      </c>
      <c r="D2100" s="380" t="s">
        <v>767</v>
      </c>
      <c r="E2100" s="380" t="s">
        <v>810</v>
      </c>
      <c r="F2100" s="380" t="s">
        <v>1089</v>
      </c>
      <c r="G2100" s="380" t="s">
        <v>1267</v>
      </c>
      <c r="H2100" s="380" t="s">
        <v>771</v>
      </c>
      <c r="I2100" s="380" t="s">
        <v>1084</v>
      </c>
      <c r="J2100" s="380" t="s">
        <v>773</v>
      </c>
      <c r="K2100" s="381">
        <v>0.0</v>
      </c>
      <c r="L2100" s="382">
        <v>1.0</v>
      </c>
    </row>
    <row r="2101">
      <c r="A2101" s="380" t="s">
        <v>2964</v>
      </c>
      <c r="B2101" s="380" t="str">
        <f>IFERROR(__xludf.DUMMYFUNCTION("""COMPUTED_VALUE"""),"Camiseta Descargador Gris 44")</f>
        <v>Camiseta Descargador Gris 44</v>
      </c>
      <c r="C2101" s="380" t="str">
        <f>IFERROR(__xludf.DUMMYFUNCTION("""COMPUTED_VALUE"""),"30000360")</f>
        <v>30000360</v>
      </c>
      <c r="D2101" s="380" t="s">
        <v>767</v>
      </c>
      <c r="E2101" s="380" t="s">
        <v>810</v>
      </c>
      <c r="F2101" s="380" t="s">
        <v>1089</v>
      </c>
      <c r="G2101" s="380" t="s">
        <v>1267</v>
      </c>
      <c r="H2101" s="380" t="s">
        <v>771</v>
      </c>
      <c r="I2101" s="380" t="s">
        <v>1084</v>
      </c>
      <c r="J2101" s="380" t="s">
        <v>773</v>
      </c>
      <c r="K2101" s="381">
        <v>17449.0</v>
      </c>
      <c r="L2101" s="382">
        <v>1.0</v>
      </c>
    </row>
    <row r="2102">
      <c r="A2102" s="380" t="s">
        <v>2965</v>
      </c>
      <c r="B2102" s="380" t="str">
        <f>IFERROR(__xludf.DUMMYFUNCTION("""COMPUTED_VALUE"""),"Camiseta Descargador Gris M")</f>
        <v>Camiseta Descargador Gris M</v>
      </c>
      <c r="C2102" s="380" t="str">
        <f>IFERROR(__xludf.DUMMYFUNCTION("""COMPUTED_VALUE"""),"30000361")</f>
        <v>30000361</v>
      </c>
      <c r="D2102" s="380" t="s">
        <v>767</v>
      </c>
      <c r="E2102" s="380" t="s">
        <v>810</v>
      </c>
      <c r="F2102" s="380" t="s">
        <v>1089</v>
      </c>
      <c r="G2102" s="380" t="s">
        <v>1267</v>
      </c>
      <c r="H2102" s="380" t="s">
        <v>771</v>
      </c>
      <c r="I2102" s="380" t="s">
        <v>1084</v>
      </c>
      <c r="J2102" s="380" t="s">
        <v>773</v>
      </c>
      <c r="K2102" s="381">
        <v>0.0</v>
      </c>
      <c r="L2102" s="382">
        <v>1.0</v>
      </c>
    </row>
    <row r="2103">
      <c r="A2103" s="380" t="s">
        <v>2966</v>
      </c>
      <c r="B2103" s="380" t="str">
        <f>IFERROR(__xludf.DUMMYFUNCTION("""COMPUTED_VALUE"""),"Camiseta Descargador Gris 46")</f>
        <v>Camiseta Descargador Gris 46</v>
      </c>
      <c r="C2103" s="380" t="str">
        <f>IFERROR(__xludf.DUMMYFUNCTION("""COMPUTED_VALUE"""),"30000362")</f>
        <v>30000362</v>
      </c>
      <c r="D2103" s="380" t="s">
        <v>767</v>
      </c>
      <c r="E2103" s="380" t="s">
        <v>810</v>
      </c>
      <c r="F2103" s="380" t="s">
        <v>1089</v>
      </c>
      <c r="G2103" s="380" t="s">
        <v>1267</v>
      </c>
      <c r="H2103" s="380" t="s">
        <v>771</v>
      </c>
      <c r="I2103" s="380" t="s">
        <v>1084</v>
      </c>
      <c r="J2103" s="380" t="s">
        <v>773</v>
      </c>
      <c r="K2103" s="381">
        <v>17449.0</v>
      </c>
      <c r="L2103" s="382">
        <v>1.0</v>
      </c>
    </row>
    <row r="2104">
      <c r="A2104" s="380" t="s">
        <v>2967</v>
      </c>
      <c r="B2104" s="380" t="str">
        <f>IFERROR(__xludf.DUMMYFUNCTION("""COMPUTED_VALUE"""),"Pantalon Vigilante Dama 18")</f>
        <v>Pantalon Vigilante Dama 18</v>
      </c>
      <c r="C2104" s="380" t="str">
        <f>IFERROR(__xludf.DUMMYFUNCTION("""COMPUTED_VALUE"""),"30000363")</f>
        <v>30000363</v>
      </c>
      <c r="D2104" s="380" t="s">
        <v>767</v>
      </c>
      <c r="E2104" s="380" t="s">
        <v>810</v>
      </c>
      <c r="F2104" s="380" t="s">
        <v>1089</v>
      </c>
      <c r="G2104" s="380" t="s">
        <v>1267</v>
      </c>
      <c r="H2104" s="380" t="s">
        <v>771</v>
      </c>
      <c r="I2104" s="380" t="s">
        <v>1084</v>
      </c>
      <c r="J2104" s="380" t="s">
        <v>773</v>
      </c>
      <c r="K2104" s="381">
        <v>0.0</v>
      </c>
      <c r="L2104" s="382">
        <v>1.0</v>
      </c>
    </row>
    <row r="2105">
      <c r="A2105" s="380" t="s">
        <v>2968</v>
      </c>
      <c r="B2105" s="380" t="str">
        <f>IFERROR(__xludf.DUMMYFUNCTION("""COMPUTED_VALUE"""),"Camiseta Descargador Gris 34")</f>
        <v>Camiseta Descargador Gris 34</v>
      </c>
      <c r="C2105" s="380" t="str">
        <f>IFERROR(__xludf.DUMMYFUNCTION("""COMPUTED_VALUE"""),"30000364")</f>
        <v>30000364</v>
      </c>
      <c r="D2105" s="380" t="s">
        <v>767</v>
      </c>
      <c r="E2105" s="380" t="s">
        <v>810</v>
      </c>
      <c r="F2105" s="380" t="s">
        <v>1089</v>
      </c>
      <c r="G2105" s="380" t="s">
        <v>1267</v>
      </c>
      <c r="H2105" s="380" t="s">
        <v>771</v>
      </c>
      <c r="I2105" s="380" t="s">
        <v>1084</v>
      </c>
      <c r="J2105" s="380" t="s">
        <v>773</v>
      </c>
      <c r="K2105" s="381">
        <v>17449.0</v>
      </c>
      <c r="L2105" s="382">
        <v>1.0</v>
      </c>
    </row>
    <row r="2106">
      <c r="A2106" s="380" t="s">
        <v>2969</v>
      </c>
      <c r="B2106" s="380" t="str">
        <f>IFERROR(__xludf.DUMMYFUNCTION("""COMPUTED_VALUE"""),"Camiseta Descargador Gris 48")</f>
        <v>Camiseta Descargador Gris 48</v>
      </c>
      <c r="C2106" s="380" t="str">
        <f>IFERROR(__xludf.DUMMYFUNCTION("""COMPUTED_VALUE"""),"30000365")</f>
        <v>30000365</v>
      </c>
      <c r="D2106" s="380" t="s">
        <v>767</v>
      </c>
      <c r="E2106" s="380" t="s">
        <v>810</v>
      </c>
      <c r="F2106" s="380" t="s">
        <v>1089</v>
      </c>
      <c r="G2106" s="380" t="s">
        <v>1267</v>
      </c>
      <c r="H2106" s="380" t="s">
        <v>771</v>
      </c>
      <c r="I2106" s="380" t="s">
        <v>1084</v>
      </c>
      <c r="J2106" s="380" t="s">
        <v>773</v>
      </c>
      <c r="K2106" s="381">
        <v>17449.0</v>
      </c>
      <c r="L2106" s="382">
        <v>1.0</v>
      </c>
    </row>
    <row r="2107">
      <c r="A2107" s="380" t="s">
        <v>2970</v>
      </c>
      <c r="B2107" s="380" t="str">
        <f>IFERROR(__xludf.DUMMYFUNCTION("""COMPUTED_VALUE"""),"Camiseta Descargador Gris S")</f>
        <v>Camiseta Descargador Gris S</v>
      </c>
      <c r="C2107" s="380" t="str">
        <f>IFERROR(__xludf.DUMMYFUNCTION("""COMPUTED_VALUE"""),"30000366")</f>
        <v>30000366</v>
      </c>
      <c r="D2107" s="380" t="s">
        <v>767</v>
      </c>
      <c r="E2107" s="380" t="s">
        <v>810</v>
      </c>
      <c r="F2107" s="380" t="s">
        <v>1089</v>
      </c>
      <c r="G2107" s="380" t="s">
        <v>1267</v>
      </c>
      <c r="H2107" s="380" t="s">
        <v>771</v>
      </c>
      <c r="I2107" s="380" t="s">
        <v>1084</v>
      </c>
      <c r="J2107" s="380" t="s">
        <v>773</v>
      </c>
      <c r="K2107" s="381">
        <v>0.0</v>
      </c>
      <c r="L2107" s="382">
        <v>1.0</v>
      </c>
    </row>
    <row r="2108">
      <c r="A2108" s="380" t="s">
        <v>2971</v>
      </c>
      <c r="B2108" s="380" t="str">
        <f>IFERROR(__xludf.DUMMYFUNCTION("""COMPUTED_VALUE"""),"Camiseta Descargador Gris 38")</f>
        <v>Camiseta Descargador Gris 38</v>
      </c>
      <c r="C2108" s="380" t="str">
        <f>IFERROR(__xludf.DUMMYFUNCTION("""COMPUTED_VALUE"""),"30000367")</f>
        <v>30000367</v>
      </c>
      <c r="D2108" s="380" t="s">
        <v>767</v>
      </c>
      <c r="E2108" s="380" t="s">
        <v>810</v>
      </c>
      <c r="F2108" s="380" t="s">
        <v>1089</v>
      </c>
      <c r="G2108" s="380" t="s">
        <v>1267</v>
      </c>
      <c r="H2108" s="380" t="s">
        <v>771</v>
      </c>
      <c r="I2108" s="380" t="s">
        <v>1084</v>
      </c>
      <c r="J2108" s="380" t="s">
        <v>773</v>
      </c>
      <c r="K2108" s="381">
        <v>17449.0</v>
      </c>
      <c r="L2108" s="382">
        <v>1.0</v>
      </c>
    </row>
    <row r="2109">
      <c r="A2109" s="380" t="s">
        <v>2972</v>
      </c>
      <c r="B2109" s="380" t="str">
        <f>IFERROR(__xludf.DUMMYFUNCTION("""COMPUTED_VALUE"""),"Vidrio Redondo Claro Autogena")</f>
        <v>Vidrio Redondo Claro Autogena</v>
      </c>
      <c r="C2109" s="380" t="str">
        <f>IFERROR(__xludf.DUMMYFUNCTION("""COMPUTED_VALUE"""),"30000368")</f>
        <v>30000368</v>
      </c>
      <c r="D2109" s="380" t="s">
        <v>767</v>
      </c>
      <c r="E2109" s="380" t="s">
        <v>810</v>
      </c>
      <c r="F2109" s="380" t="s">
        <v>1083</v>
      </c>
      <c r="G2109" s="380" t="s">
        <v>1267</v>
      </c>
      <c r="H2109" s="380" t="s">
        <v>771</v>
      </c>
      <c r="I2109" s="380" t="s">
        <v>1084</v>
      </c>
      <c r="J2109" s="380" t="s">
        <v>773</v>
      </c>
      <c r="K2109" s="381">
        <v>0.0</v>
      </c>
      <c r="L2109" s="382">
        <v>1.0</v>
      </c>
    </row>
    <row r="2110">
      <c r="A2110" s="380" t="s">
        <v>2973</v>
      </c>
      <c r="B2110" s="380" t="str">
        <f>IFERROR(__xludf.DUMMYFUNCTION("""COMPUTED_VALUE"""),"Arnes Cuerpo Entero 90594")</f>
        <v>Arnes Cuerpo Entero 90594</v>
      </c>
      <c r="C2110" s="380" t="str">
        <f>IFERROR(__xludf.DUMMYFUNCTION("""COMPUTED_VALUE"""),"30000369")</f>
        <v>30000369</v>
      </c>
      <c r="D2110" s="380" t="s">
        <v>767</v>
      </c>
      <c r="E2110" s="380" t="s">
        <v>810</v>
      </c>
      <c r="F2110" s="380" t="s">
        <v>1083</v>
      </c>
      <c r="G2110" s="380" t="s">
        <v>1267</v>
      </c>
      <c r="H2110" s="380" t="s">
        <v>771</v>
      </c>
      <c r="I2110" s="380" t="s">
        <v>1084</v>
      </c>
      <c r="J2110" s="380" t="s">
        <v>773</v>
      </c>
      <c r="K2110" s="381">
        <v>0.0</v>
      </c>
      <c r="L2110" s="382">
        <v>1.0</v>
      </c>
    </row>
    <row r="2111">
      <c r="A2111" s="380" t="s">
        <v>2974</v>
      </c>
      <c r="B2111" s="380" t="str">
        <f>IFERROR(__xludf.DUMMYFUNCTION("""COMPUTED_VALUE"""),"Extintor Tipo Robot 100-150 Libras Recar")</f>
        <v>Extintor Tipo Robot 100-150 Libras Recar</v>
      </c>
      <c r="C2111" s="380" t="str">
        <f>IFERROR(__xludf.DUMMYFUNCTION("""COMPUTED_VALUE"""),"30000370")</f>
        <v>30000370</v>
      </c>
      <c r="D2111" s="380" t="s">
        <v>767</v>
      </c>
      <c r="E2111" s="380" t="s">
        <v>810</v>
      </c>
      <c r="F2111" s="380" t="s">
        <v>811</v>
      </c>
      <c r="G2111" s="380" t="s">
        <v>1267</v>
      </c>
      <c r="H2111" s="380" t="s">
        <v>771</v>
      </c>
      <c r="I2111" s="380" t="s">
        <v>812</v>
      </c>
      <c r="J2111" s="380" t="s">
        <v>773</v>
      </c>
      <c r="K2111" s="381">
        <v>0.0</v>
      </c>
      <c r="L2111" s="382">
        <v>1.0</v>
      </c>
    </row>
    <row r="2112">
      <c r="A2112" s="380" t="s">
        <v>2975</v>
      </c>
      <c r="B2112" s="380" t="str">
        <f>IFERROR(__xludf.DUMMYFUNCTION("""COMPUTED_VALUE"""),"Protector Auditivo Tipo Copa")</f>
        <v>Protector Auditivo Tipo Copa</v>
      </c>
      <c r="C2112" s="380" t="str">
        <f>IFERROR(__xludf.DUMMYFUNCTION("""COMPUTED_VALUE"""),"30000371")</f>
        <v>30000371</v>
      </c>
      <c r="D2112" s="380" t="s">
        <v>767</v>
      </c>
      <c r="E2112" s="380" t="s">
        <v>810</v>
      </c>
      <c r="F2112" s="380" t="s">
        <v>1083</v>
      </c>
      <c r="G2112" s="380" t="s">
        <v>1267</v>
      </c>
      <c r="H2112" s="380" t="s">
        <v>771</v>
      </c>
      <c r="I2112" s="380" t="s">
        <v>1084</v>
      </c>
      <c r="J2112" s="380" t="s">
        <v>773</v>
      </c>
      <c r="K2112" s="381">
        <v>30192.0</v>
      </c>
      <c r="L2112" s="382">
        <v>1.0</v>
      </c>
    </row>
    <row r="2113">
      <c r="A2113" s="380" t="s">
        <v>2976</v>
      </c>
      <c r="B2113" s="380" t="str">
        <f>IFERROR(__xludf.DUMMYFUNCTION("""COMPUTED_VALUE"""),"Pantalon Lino Prenses 34")</f>
        <v>Pantalon Lino Prenses 34</v>
      </c>
      <c r="C2113" s="380" t="str">
        <f>IFERROR(__xludf.DUMMYFUNCTION("""COMPUTED_VALUE"""),"30000372")</f>
        <v>30000372</v>
      </c>
      <c r="D2113" s="380" t="s">
        <v>767</v>
      </c>
      <c r="E2113" s="380" t="s">
        <v>810</v>
      </c>
      <c r="F2113" s="380" t="s">
        <v>1089</v>
      </c>
      <c r="G2113" s="380" t="s">
        <v>1267</v>
      </c>
      <c r="H2113" s="380" t="s">
        <v>771</v>
      </c>
      <c r="I2113" s="380" t="s">
        <v>1084</v>
      </c>
      <c r="J2113" s="380" t="s">
        <v>773</v>
      </c>
      <c r="K2113" s="381">
        <v>39966.0</v>
      </c>
      <c r="L2113" s="382">
        <v>1.0</v>
      </c>
    </row>
    <row r="2114">
      <c r="A2114" s="380" t="s">
        <v>2977</v>
      </c>
      <c r="B2114" s="380" t="str">
        <f>IFERROR(__xludf.DUMMYFUNCTION("""COMPUTED_VALUE"""),"Pantalon Vigilante Dama 14")</f>
        <v>Pantalon Vigilante Dama 14</v>
      </c>
      <c r="C2114" s="380" t="str">
        <f>IFERROR(__xludf.DUMMYFUNCTION("""COMPUTED_VALUE"""),"30000373")</f>
        <v>30000373</v>
      </c>
      <c r="D2114" s="380" t="s">
        <v>767</v>
      </c>
      <c r="E2114" s="380" t="s">
        <v>810</v>
      </c>
      <c r="F2114" s="380" t="s">
        <v>1089</v>
      </c>
      <c r="G2114" s="380" t="s">
        <v>1267</v>
      </c>
      <c r="H2114" s="380" t="s">
        <v>771</v>
      </c>
      <c r="I2114" s="380" t="s">
        <v>1084</v>
      </c>
      <c r="J2114" s="380" t="s">
        <v>773</v>
      </c>
      <c r="K2114" s="381">
        <v>0.0</v>
      </c>
      <c r="L2114" s="382">
        <v>1.0</v>
      </c>
    </row>
    <row r="2115">
      <c r="A2115" s="380" t="s">
        <v>2978</v>
      </c>
      <c r="B2115" s="380" t="str">
        <f>IFERROR(__xludf.DUMMYFUNCTION("""COMPUTED_VALUE"""),"Gorra Tipo Zafari")</f>
        <v>Gorra Tipo Zafari</v>
      </c>
      <c r="C2115" s="380" t="str">
        <f>IFERROR(__xludf.DUMMYFUNCTION("""COMPUTED_VALUE"""),"30000374")</f>
        <v>30000374</v>
      </c>
      <c r="D2115" s="380" t="s">
        <v>767</v>
      </c>
      <c r="E2115" s="380" t="s">
        <v>810</v>
      </c>
      <c r="F2115" s="380" t="s">
        <v>1083</v>
      </c>
      <c r="G2115" s="380" t="s">
        <v>1267</v>
      </c>
      <c r="H2115" s="380" t="s">
        <v>771</v>
      </c>
      <c r="I2115" s="380" t="s">
        <v>1084</v>
      </c>
      <c r="J2115" s="380" t="s">
        <v>773</v>
      </c>
      <c r="K2115" s="381">
        <v>15718.0</v>
      </c>
      <c r="L2115" s="382">
        <v>1.0</v>
      </c>
    </row>
    <row r="2116">
      <c r="A2116" s="380" t="s">
        <v>2979</v>
      </c>
      <c r="B2116" s="380" t="str">
        <f>IFERROR(__xludf.DUMMYFUNCTION("""COMPUTED_VALUE"""),"Casco Para Motociclista")</f>
        <v>Casco Para Motociclista</v>
      </c>
      <c r="C2116" s="380" t="str">
        <f>IFERROR(__xludf.DUMMYFUNCTION("""COMPUTED_VALUE"""),"30000375")</f>
        <v>30000375</v>
      </c>
      <c r="D2116" s="380" t="s">
        <v>767</v>
      </c>
      <c r="E2116" s="380" t="s">
        <v>810</v>
      </c>
      <c r="F2116" s="380" t="s">
        <v>1083</v>
      </c>
      <c r="G2116" s="380" t="s">
        <v>1267</v>
      </c>
      <c r="H2116" s="380" t="s">
        <v>771</v>
      </c>
      <c r="I2116" s="380" t="s">
        <v>1084</v>
      </c>
      <c r="J2116" s="380" t="s">
        <v>773</v>
      </c>
      <c r="K2116" s="381">
        <v>0.0</v>
      </c>
      <c r="L2116" s="382">
        <v>1.0</v>
      </c>
    </row>
    <row r="2117">
      <c r="A2117" s="380" t="s">
        <v>2980</v>
      </c>
      <c r="B2117" s="380" t="str">
        <f>IFERROR(__xludf.DUMMYFUNCTION("""COMPUTED_VALUE"""),"Pantalon Vigilante 28")</f>
        <v>Pantalon Vigilante 28</v>
      </c>
      <c r="C2117" s="380" t="str">
        <f>IFERROR(__xludf.DUMMYFUNCTION("""COMPUTED_VALUE"""),"30000376")</f>
        <v>30000376</v>
      </c>
      <c r="D2117" s="380" t="s">
        <v>767</v>
      </c>
      <c r="E2117" s="380" t="s">
        <v>810</v>
      </c>
      <c r="F2117" s="380" t="s">
        <v>1089</v>
      </c>
      <c r="G2117" s="380" t="s">
        <v>1267</v>
      </c>
      <c r="H2117" s="380" t="s">
        <v>771</v>
      </c>
      <c r="I2117" s="380" t="s">
        <v>1084</v>
      </c>
      <c r="J2117" s="380" t="s">
        <v>773</v>
      </c>
      <c r="K2117" s="381">
        <v>41668.0</v>
      </c>
      <c r="L2117" s="382">
        <v>1.0</v>
      </c>
    </row>
    <row r="2118">
      <c r="A2118" s="380" t="s">
        <v>2981</v>
      </c>
      <c r="B2118" s="380" t="str">
        <f>IFERROR(__xludf.DUMMYFUNCTION("""COMPUTED_VALUE"""),"Pantalon Vigilante 36")</f>
        <v>Pantalon Vigilante 36</v>
      </c>
      <c r="C2118" s="380" t="str">
        <f>IFERROR(__xludf.DUMMYFUNCTION("""COMPUTED_VALUE"""),"30000377")</f>
        <v>30000377</v>
      </c>
      <c r="D2118" s="380" t="s">
        <v>767</v>
      </c>
      <c r="E2118" s="380" t="s">
        <v>810</v>
      </c>
      <c r="F2118" s="380" t="s">
        <v>1089</v>
      </c>
      <c r="G2118" s="380" t="s">
        <v>1267</v>
      </c>
      <c r="H2118" s="380" t="s">
        <v>771</v>
      </c>
      <c r="I2118" s="380" t="s">
        <v>1084</v>
      </c>
      <c r="J2118" s="380" t="s">
        <v>773</v>
      </c>
      <c r="K2118" s="381">
        <v>41668.0</v>
      </c>
      <c r="L2118" s="382">
        <v>1.0</v>
      </c>
    </row>
    <row r="2119">
      <c r="A2119" s="380" t="s">
        <v>2982</v>
      </c>
      <c r="B2119" s="380" t="str">
        <f>IFERROR(__xludf.DUMMYFUNCTION("""COMPUTED_VALUE"""),"Pantalon Vigilante 38")</f>
        <v>Pantalon Vigilante 38</v>
      </c>
      <c r="C2119" s="380" t="str">
        <f>IFERROR(__xludf.DUMMYFUNCTION("""COMPUTED_VALUE"""),"30000378")</f>
        <v>30000378</v>
      </c>
      <c r="D2119" s="380" t="s">
        <v>767</v>
      </c>
      <c r="E2119" s="380" t="s">
        <v>810</v>
      </c>
      <c r="F2119" s="380" t="s">
        <v>1089</v>
      </c>
      <c r="G2119" s="380" t="s">
        <v>1267</v>
      </c>
      <c r="H2119" s="380" t="s">
        <v>771</v>
      </c>
      <c r="I2119" s="380" t="s">
        <v>1084</v>
      </c>
      <c r="J2119" s="380" t="s">
        <v>773</v>
      </c>
      <c r="K2119" s="381">
        <v>41668.0</v>
      </c>
      <c r="L2119" s="382">
        <v>1.0</v>
      </c>
    </row>
    <row r="2120">
      <c r="A2120" s="380" t="s">
        <v>2983</v>
      </c>
      <c r="B2120" s="380" t="str">
        <f>IFERROR(__xludf.DUMMYFUNCTION("""COMPUTED_VALUE"""),"Pantalon Vigilante 34")</f>
        <v>Pantalon Vigilante 34</v>
      </c>
      <c r="C2120" s="380" t="str">
        <f>IFERROR(__xludf.DUMMYFUNCTION("""COMPUTED_VALUE"""),"30000379")</f>
        <v>30000379</v>
      </c>
      <c r="D2120" s="380" t="s">
        <v>767</v>
      </c>
      <c r="E2120" s="380" t="s">
        <v>810</v>
      </c>
      <c r="F2120" s="380" t="s">
        <v>1089</v>
      </c>
      <c r="G2120" s="380" t="s">
        <v>1267</v>
      </c>
      <c r="H2120" s="380" t="s">
        <v>771</v>
      </c>
      <c r="I2120" s="380" t="s">
        <v>1084</v>
      </c>
      <c r="J2120" s="380" t="s">
        <v>773</v>
      </c>
      <c r="K2120" s="381">
        <v>41668.0</v>
      </c>
      <c r="L2120" s="382">
        <v>1.0</v>
      </c>
    </row>
    <row r="2121">
      <c r="A2121" s="380" t="s">
        <v>2984</v>
      </c>
      <c r="B2121" s="380" t="str">
        <f>IFERROR(__xludf.DUMMYFUNCTION("""COMPUTED_VALUE"""),"Pantalon Vigilante 42")</f>
        <v>Pantalon Vigilante 42</v>
      </c>
      <c r="C2121" s="380" t="str">
        <f>IFERROR(__xludf.DUMMYFUNCTION("""COMPUTED_VALUE"""),"30000380")</f>
        <v>30000380</v>
      </c>
      <c r="D2121" s="380" t="s">
        <v>767</v>
      </c>
      <c r="E2121" s="380" t="s">
        <v>810</v>
      </c>
      <c r="F2121" s="380" t="s">
        <v>1089</v>
      </c>
      <c r="G2121" s="380" t="s">
        <v>1267</v>
      </c>
      <c r="H2121" s="380" t="s">
        <v>771</v>
      </c>
      <c r="I2121" s="380" t="s">
        <v>1084</v>
      </c>
      <c r="J2121" s="380" t="s">
        <v>773</v>
      </c>
      <c r="K2121" s="381">
        <v>41668.0</v>
      </c>
      <c r="L2121" s="382">
        <v>1.0</v>
      </c>
    </row>
    <row r="2122">
      <c r="A2122" s="380" t="s">
        <v>2985</v>
      </c>
      <c r="B2122" s="380" t="str">
        <f>IFERROR(__xludf.DUMMYFUNCTION("""COMPUTED_VALUE"""),"Pantalon Vigilante 30")</f>
        <v>Pantalon Vigilante 30</v>
      </c>
      <c r="C2122" s="380" t="str">
        <f>IFERROR(__xludf.DUMMYFUNCTION("""COMPUTED_VALUE"""),"30000381")</f>
        <v>30000381</v>
      </c>
      <c r="D2122" s="380" t="s">
        <v>767</v>
      </c>
      <c r="E2122" s="380" t="s">
        <v>810</v>
      </c>
      <c r="F2122" s="380" t="s">
        <v>1089</v>
      </c>
      <c r="G2122" s="380" t="s">
        <v>1267</v>
      </c>
      <c r="H2122" s="380" t="s">
        <v>771</v>
      </c>
      <c r="I2122" s="380" t="s">
        <v>1084</v>
      </c>
      <c r="J2122" s="380" t="s">
        <v>773</v>
      </c>
      <c r="K2122" s="381">
        <v>41668.0</v>
      </c>
      <c r="L2122" s="382">
        <v>1.0</v>
      </c>
    </row>
    <row r="2123">
      <c r="A2123" s="380" t="s">
        <v>2986</v>
      </c>
      <c r="B2123" s="380" t="str">
        <f>IFERROR(__xludf.DUMMYFUNCTION("""COMPUTED_VALUE"""),"Pantalon Vigilante 40")</f>
        <v>Pantalon Vigilante 40</v>
      </c>
      <c r="C2123" s="380" t="str">
        <f>IFERROR(__xludf.DUMMYFUNCTION("""COMPUTED_VALUE"""),"30000382")</f>
        <v>30000382</v>
      </c>
      <c r="D2123" s="380" t="s">
        <v>767</v>
      </c>
      <c r="E2123" s="380" t="s">
        <v>810</v>
      </c>
      <c r="F2123" s="380" t="s">
        <v>1089</v>
      </c>
      <c r="G2123" s="380" t="s">
        <v>1267</v>
      </c>
      <c r="H2123" s="380" t="s">
        <v>771</v>
      </c>
      <c r="I2123" s="380" t="s">
        <v>1084</v>
      </c>
      <c r="J2123" s="380" t="s">
        <v>773</v>
      </c>
      <c r="K2123" s="381">
        <v>41668.0</v>
      </c>
      <c r="L2123" s="382">
        <v>1.0</v>
      </c>
    </row>
    <row r="2124">
      <c r="A2124" s="380" t="s">
        <v>2987</v>
      </c>
      <c r="B2124" s="380" t="str">
        <f>IFERROR(__xludf.DUMMYFUNCTION("""COMPUTED_VALUE"""),"Pantalon Vigilante 44")</f>
        <v>Pantalon Vigilante 44</v>
      </c>
      <c r="C2124" s="380" t="str">
        <f>IFERROR(__xludf.DUMMYFUNCTION("""COMPUTED_VALUE"""),"30000383")</f>
        <v>30000383</v>
      </c>
      <c r="D2124" s="380" t="s">
        <v>767</v>
      </c>
      <c r="E2124" s="380" t="s">
        <v>810</v>
      </c>
      <c r="F2124" s="380" t="s">
        <v>1089</v>
      </c>
      <c r="G2124" s="380" t="s">
        <v>1267</v>
      </c>
      <c r="H2124" s="380" t="s">
        <v>771</v>
      </c>
      <c r="I2124" s="380" t="s">
        <v>1084</v>
      </c>
      <c r="J2124" s="380" t="s">
        <v>773</v>
      </c>
      <c r="K2124" s="381">
        <v>41668.0</v>
      </c>
      <c r="L2124" s="382">
        <v>1.0</v>
      </c>
    </row>
    <row r="2125">
      <c r="A2125" s="380" t="s">
        <v>2988</v>
      </c>
      <c r="B2125" s="380" t="str">
        <f>IFERROR(__xludf.DUMMYFUNCTION("""COMPUTED_VALUE"""),"Camisa Para Mensajero Mc 36")</f>
        <v>Camisa Para Mensajero Mc 36</v>
      </c>
      <c r="C2125" s="380" t="str">
        <f>IFERROR(__xludf.DUMMYFUNCTION("""COMPUTED_VALUE"""),"30000384")</f>
        <v>30000384</v>
      </c>
      <c r="D2125" s="380" t="s">
        <v>767</v>
      </c>
      <c r="E2125" s="380" t="s">
        <v>810</v>
      </c>
      <c r="F2125" s="380" t="s">
        <v>1089</v>
      </c>
      <c r="G2125" s="380" t="s">
        <v>1267</v>
      </c>
      <c r="H2125" s="380" t="s">
        <v>771</v>
      </c>
      <c r="I2125" s="380" t="s">
        <v>1084</v>
      </c>
      <c r="J2125" s="380" t="s">
        <v>773</v>
      </c>
      <c r="K2125" s="381">
        <v>36811.0</v>
      </c>
      <c r="L2125" s="382">
        <v>1.0</v>
      </c>
    </row>
    <row r="2126">
      <c r="A2126" s="380" t="s">
        <v>2989</v>
      </c>
      <c r="B2126" s="380" t="str">
        <f>IFERROR(__xludf.DUMMYFUNCTION("""COMPUTED_VALUE"""),"Camisa Para Mensajero Mc 44")</f>
        <v>Camisa Para Mensajero Mc 44</v>
      </c>
      <c r="C2126" s="380" t="str">
        <f>IFERROR(__xludf.DUMMYFUNCTION("""COMPUTED_VALUE"""),"30000385")</f>
        <v>30000385</v>
      </c>
      <c r="D2126" s="380" t="s">
        <v>767</v>
      </c>
      <c r="E2126" s="380" t="s">
        <v>810</v>
      </c>
      <c r="F2126" s="380" t="s">
        <v>1089</v>
      </c>
      <c r="G2126" s="380" t="s">
        <v>1267</v>
      </c>
      <c r="H2126" s="380" t="s">
        <v>771</v>
      </c>
      <c r="I2126" s="380" t="s">
        <v>1084</v>
      </c>
      <c r="J2126" s="380" t="s">
        <v>773</v>
      </c>
      <c r="K2126" s="381">
        <v>36811.0</v>
      </c>
      <c r="L2126" s="382">
        <v>1.0</v>
      </c>
    </row>
    <row r="2127">
      <c r="A2127" s="380" t="s">
        <v>2990</v>
      </c>
      <c r="B2127" s="380" t="str">
        <f>IFERROR(__xludf.DUMMYFUNCTION("""COMPUTED_VALUE"""),"Careta Esmeril")</f>
        <v>Careta Esmeril</v>
      </c>
      <c r="C2127" s="380" t="str">
        <f>IFERROR(__xludf.DUMMYFUNCTION("""COMPUTED_VALUE"""),"30000386")</f>
        <v>30000386</v>
      </c>
      <c r="D2127" s="380" t="s">
        <v>767</v>
      </c>
      <c r="E2127" s="380" t="s">
        <v>810</v>
      </c>
      <c r="F2127" s="380" t="s">
        <v>1083</v>
      </c>
      <c r="G2127" s="380" t="s">
        <v>1267</v>
      </c>
      <c r="H2127" s="380" t="s">
        <v>771</v>
      </c>
      <c r="I2127" s="380" t="s">
        <v>1084</v>
      </c>
      <c r="J2127" s="380" t="s">
        <v>773</v>
      </c>
      <c r="K2127" s="381">
        <v>25910.0</v>
      </c>
      <c r="L2127" s="382">
        <v>1.0</v>
      </c>
    </row>
    <row r="2128">
      <c r="A2128" s="380" t="s">
        <v>2991</v>
      </c>
      <c r="B2128" s="380" t="str">
        <f>IFERROR(__xludf.DUMMYFUNCTION("""COMPUTED_VALUE"""),"Soporte Base Extintor 10 Lbs")</f>
        <v>Soporte Base Extintor 10 Lbs</v>
      </c>
      <c r="C2128" s="380" t="str">
        <f>IFERROR(__xludf.DUMMYFUNCTION("""COMPUTED_VALUE"""),"30000387")</f>
        <v>30000387</v>
      </c>
      <c r="D2128" s="380" t="s">
        <v>767</v>
      </c>
      <c r="E2128" s="380" t="s">
        <v>810</v>
      </c>
      <c r="F2128" s="380" t="s">
        <v>811</v>
      </c>
      <c r="G2128" s="380" t="s">
        <v>1267</v>
      </c>
      <c r="H2128" s="380" t="s">
        <v>771</v>
      </c>
      <c r="I2128" s="380" t="s">
        <v>812</v>
      </c>
      <c r="J2128" s="380" t="s">
        <v>773</v>
      </c>
      <c r="K2128" s="381">
        <v>30940.0</v>
      </c>
      <c r="L2128" s="382">
        <v>1.0</v>
      </c>
    </row>
    <row r="2129">
      <c r="A2129" s="380" t="s">
        <v>2992</v>
      </c>
      <c r="B2129" s="380" t="str">
        <f>IFERROR(__xludf.DUMMYFUNCTION("""COMPUTED_VALUE"""),"Barbuquejo Para Cascos 9021-4")</f>
        <v>Barbuquejo Para Cascos 9021-4</v>
      </c>
      <c r="C2129" s="380" t="str">
        <f>IFERROR(__xludf.DUMMYFUNCTION("""COMPUTED_VALUE"""),"30000388")</f>
        <v>30000388</v>
      </c>
      <c r="D2129" s="380" t="s">
        <v>767</v>
      </c>
      <c r="E2129" s="380" t="s">
        <v>810</v>
      </c>
      <c r="F2129" s="380" t="s">
        <v>1083</v>
      </c>
      <c r="G2129" s="380" t="s">
        <v>1267</v>
      </c>
      <c r="H2129" s="380" t="s">
        <v>771</v>
      </c>
      <c r="I2129" s="380" t="s">
        <v>1084</v>
      </c>
      <c r="J2129" s="380" t="s">
        <v>773</v>
      </c>
      <c r="K2129" s="381">
        <v>0.0</v>
      </c>
      <c r="L2129" s="382">
        <v>1.0</v>
      </c>
    </row>
    <row r="2130">
      <c r="A2130" s="380" t="s">
        <v>2993</v>
      </c>
      <c r="B2130" s="380" t="str">
        <f>IFERROR(__xludf.DUMMYFUNCTION("""COMPUTED_VALUE"""),"Forro Para Chaleco Blindado")</f>
        <v>Forro Para Chaleco Blindado</v>
      </c>
      <c r="C2130" s="380" t="str">
        <f>IFERROR(__xludf.DUMMYFUNCTION("""COMPUTED_VALUE"""),"30000389")</f>
        <v>30000389</v>
      </c>
      <c r="D2130" s="380" t="s">
        <v>767</v>
      </c>
      <c r="E2130" s="380" t="s">
        <v>810</v>
      </c>
      <c r="F2130" s="380" t="s">
        <v>1083</v>
      </c>
      <c r="G2130" s="380" t="s">
        <v>1267</v>
      </c>
      <c r="H2130" s="380" t="s">
        <v>771</v>
      </c>
      <c r="I2130" s="380" t="s">
        <v>1084</v>
      </c>
      <c r="J2130" s="380" t="s">
        <v>773</v>
      </c>
      <c r="K2130" s="381">
        <v>0.0</v>
      </c>
      <c r="L2130" s="382">
        <v>1.0</v>
      </c>
    </row>
    <row r="2131">
      <c r="A2131" s="380" t="s">
        <v>2994</v>
      </c>
      <c r="B2131" s="380" t="str">
        <f>IFERROR(__xludf.DUMMYFUNCTION("""COMPUTED_VALUE"""),"Implementos Botiquin Base")</f>
        <v>Implementos Botiquin Base</v>
      </c>
      <c r="C2131" s="380" t="str">
        <f>IFERROR(__xludf.DUMMYFUNCTION("""COMPUTED_VALUE"""),"30000390")</f>
        <v>30000390</v>
      </c>
      <c r="D2131" s="380" t="s">
        <v>767</v>
      </c>
      <c r="E2131" s="380" t="s">
        <v>810</v>
      </c>
      <c r="F2131" s="380" t="s">
        <v>811</v>
      </c>
      <c r="G2131" s="380" t="s">
        <v>1267</v>
      </c>
      <c r="H2131" s="380" t="s">
        <v>771</v>
      </c>
      <c r="I2131" s="380" t="s">
        <v>812</v>
      </c>
      <c r="J2131" s="380" t="s">
        <v>773</v>
      </c>
      <c r="K2131" s="381">
        <v>0.0</v>
      </c>
      <c r="L2131" s="382">
        <v>1.0</v>
      </c>
    </row>
    <row r="2132">
      <c r="A2132" s="380" t="s">
        <v>2995</v>
      </c>
      <c r="B2132" s="380" t="str">
        <f>IFERROR(__xludf.DUMMYFUNCTION("""COMPUTED_VALUE"""),"Buso Con Logo 44")</f>
        <v>Buso Con Logo 44</v>
      </c>
      <c r="C2132" s="380" t="str">
        <f>IFERROR(__xludf.DUMMYFUNCTION("""COMPUTED_VALUE"""),"30000391")</f>
        <v>30000391</v>
      </c>
      <c r="D2132" s="380" t="s">
        <v>767</v>
      </c>
      <c r="E2132" s="380" t="s">
        <v>810</v>
      </c>
      <c r="F2132" s="380" t="s">
        <v>1089</v>
      </c>
      <c r="G2132" s="380" t="s">
        <v>1267</v>
      </c>
      <c r="H2132" s="380" t="s">
        <v>771</v>
      </c>
      <c r="I2132" s="380" t="s">
        <v>1084</v>
      </c>
      <c r="J2132" s="380" t="s">
        <v>773</v>
      </c>
      <c r="K2132" s="381">
        <v>35374.0</v>
      </c>
      <c r="L2132" s="382">
        <v>1.0</v>
      </c>
    </row>
    <row r="2133">
      <c r="A2133" s="380" t="s">
        <v>2996</v>
      </c>
      <c r="B2133" s="380" t="str">
        <f>IFERROR(__xludf.DUMMYFUNCTION("""COMPUTED_VALUE"""),"Buso Con Logo 36")</f>
        <v>Buso Con Logo 36</v>
      </c>
      <c r="C2133" s="380" t="str">
        <f>IFERROR(__xludf.DUMMYFUNCTION("""COMPUTED_VALUE"""),"30000392")</f>
        <v>30000392</v>
      </c>
      <c r="D2133" s="380" t="s">
        <v>767</v>
      </c>
      <c r="E2133" s="380" t="s">
        <v>810</v>
      </c>
      <c r="F2133" s="380" t="s">
        <v>1089</v>
      </c>
      <c r="G2133" s="380" t="s">
        <v>1267</v>
      </c>
      <c r="H2133" s="380" t="s">
        <v>771</v>
      </c>
      <c r="I2133" s="380" t="s">
        <v>1084</v>
      </c>
      <c r="J2133" s="380" t="s">
        <v>773</v>
      </c>
      <c r="K2133" s="381">
        <v>35374.0</v>
      </c>
      <c r="L2133" s="382">
        <v>1.0</v>
      </c>
    </row>
    <row r="2134">
      <c r="A2134" s="380" t="s">
        <v>2997</v>
      </c>
      <c r="B2134" s="380" t="str">
        <f>IFERROR(__xludf.DUMMYFUNCTION("""COMPUTED_VALUE"""),"Pantalon Vigilante Dama 10")</f>
        <v>Pantalon Vigilante Dama 10</v>
      </c>
      <c r="C2134" s="380" t="str">
        <f>IFERROR(__xludf.DUMMYFUNCTION("""COMPUTED_VALUE"""),"30000393")</f>
        <v>30000393</v>
      </c>
      <c r="D2134" s="380" t="s">
        <v>767</v>
      </c>
      <c r="E2134" s="380" t="s">
        <v>810</v>
      </c>
      <c r="F2134" s="380" t="s">
        <v>1089</v>
      </c>
      <c r="G2134" s="380" t="s">
        <v>1267</v>
      </c>
      <c r="H2134" s="380" t="s">
        <v>771</v>
      </c>
      <c r="I2134" s="380" t="s">
        <v>1084</v>
      </c>
      <c r="J2134" s="380" t="s">
        <v>773</v>
      </c>
      <c r="K2134" s="381">
        <v>42427.0</v>
      </c>
      <c r="L2134" s="382">
        <v>1.0</v>
      </c>
    </row>
    <row r="2135">
      <c r="A2135" s="380" t="s">
        <v>2998</v>
      </c>
      <c r="B2135" s="380" t="str">
        <f>IFERROR(__xludf.DUMMYFUNCTION("""COMPUTED_VALUE"""),"Buso Con Logo 38")</f>
        <v>Buso Con Logo 38</v>
      </c>
      <c r="C2135" s="380" t="str">
        <f>IFERROR(__xludf.DUMMYFUNCTION("""COMPUTED_VALUE"""),"30000394")</f>
        <v>30000394</v>
      </c>
      <c r="D2135" s="380" t="s">
        <v>767</v>
      </c>
      <c r="E2135" s="380" t="s">
        <v>810</v>
      </c>
      <c r="F2135" s="380" t="s">
        <v>1089</v>
      </c>
      <c r="G2135" s="380" t="s">
        <v>1267</v>
      </c>
      <c r="H2135" s="380" t="s">
        <v>771</v>
      </c>
      <c r="I2135" s="380" t="s">
        <v>1084</v>
      </c>
      <c r="J2135" s="380" t="s">
        <v>773</v>
      </c>
      <c r="K2135" s="381">
        <v>35374.0</v>
      </c>
      <c r="L2135" s="382">
        <v>1.0</v>
      </c>
    </row>
    <row r="2136">
      <c r="A2136" s="380" t="s">
        <v>2999</v>
      </c>
      <c r="B2136" s="380" t="str">
        <f>IFERROR(__xludf.DUMMYFUNCTION("""COMPUTED_VALUE"""),"Buso Con Logo 42")</f>
        <v>Buso Con Logo 42</v>
      </c>
      <c r="C2136" s="380" t="str">
        <f>IFERROR(__xludf.DUMMYFUNCTION("""COMPUTED_VALUE"""),"30000395")</f>
        <v>30000395</v>
      </c>
      <c r="D2136" s="380" t="s">
        <v>767</v>
      </c>
      <c r="E2136" s="380" t="s">
        <v>810</v>
      </c>
      <c r="F2136" s="380" t="s">
        <v>1089</v>
      </c>
      <c r="G2136" s="380" t="s">
        <v>1267</v>
      </c>
      <c r="H2136" s="380" t="s">
        <v>771</v>
      </c>
      <c r="I2136" s="380" t="s">
        <v>1084</v>
      </c>
      <c r="J2136" s="380" t="s">
        <v>773</v>
      </c>
      <c r="K2136" s="381">
        <v>35374.0</v>
      </c>
      <c r="L2136" s="382">
        <v>1.0</v>
      </c>
    </row>
    <row r="2137">
      <c r="A2137" s="380" t="s">
        <v>3000</v>
      </c>
      <c r="B2137" s="380" t="str">
        <f>IFERROR(__xludf.DUMMYFUNCTION("""COMPUTED_VALUE"""),"Buso Con Logo 48")</f>
        <v>Buso Con Logo 48</v>
      </c>
      <c r="C2137" s="380" t="str">
        <f>IFERROR(__xludf.DUMMYFUNCTION("""COMPUTED_VALUE"""),"30000396")</f>
        <v>30000396</v>
      </c>
      <c r="D2137" s="380" t="s">
        <v>767</v>
      </c>
      <c r="E2137" s="380" t="s">
        <v>810</v>
      </c>
      <c r="F2137" s="380" t="s">
        <v>1089</v>
      </c>
      <c r="G2137" s="380" t="s">
        <v>1267</v>
      </c>
      <c r="H2137" s="380" t="s">
        <v>771</v>
      </c>
      <c r="I2137" s="380" t="s">
        <v>1084</v>
      </c>
      <c r="J2137" s="380" t="s">
        <v>773</v>
      </c>
      <c r="K2137" s="381">
        <v>0.0</v>
      </c>
      <c r="L2137" s="382">
        <v>1.0</v>
      </c>
    </row>
    <row r="2138">
      <c r="A2138" s="380" t="s">
        <v>3001</v>
      </c>
      <c r="B2138" s="380" t="str">
        <f>IFERROR(__xludf.DUMMYFUNCTION("""COMPUTED_VALUE"""),"Buso Con Logo 46")</f>
        <v>Buso Con Logo 46</v>
      </c>
      <c r="C2138" s="380" t="str">
        <f>IFERROR(__xludf.DUMMYFUNCTION("""COMPUTED_VALUE"""),"30000397")</f>
        <v>30000397</v>
      </c>
      <c r="D2138" s="380" t="s">
        <v>767</v>
      </c>
      <c r="E2138" s="380" t="s">
        <v>810</v>
      </c>
      <c r="F2138" s="380" t="s">
        <v>1089</v>
      </c>
      <c r="G2138" s="380" t="s">
        <v>1267</v>
      </c>
      <c r="H2138" s="380" t="s">
        <v>771</v>
      </c>
      <c r="I2138" s="380" t="s">
        <v>1084</v>
      </c>
      <c r="J2138" s="380" t="s">
        <v>773</v>
      </c>
      <c r="K2138" s="381">
        <v>0.0</v>
      </c>
      <c r="L2138" s="382">
        <v>1.0</v>
      </c>
    </row>
    <row r="2139">
      <c r="A2139" s="380" t="s">
        <v>3002</v>
      </c>
      <c r="B2139" s="380" t="str">
        <f>IFERROR(__xludf.DUMMYFUNCTION("""COMPUTED_VALUE"""),"Buso Con Logo 40")</f>
        <v>Buso Con Logo 40</v>
      </c>
      <c r="C2139" s="380" t="str">
        <f>IFERROR(__xludf.DUMMYFUNCTION("""COMPUTED_VALUE"""),"30000398")</f>
        <v>30000398</v>
      </c>
      <c r="D2139" s="380" t="s">
        <v>767</v>
      </c>
      <c r="E2139" s="380" t="s">
        <v>810</v>
      </c>
      <c r="F2139" s="380" t="s">
        <v>1089</v>
      </c>
      <c r="G2139" s="380" t="s">
        <v>1267</v>
      </c>
      <c r="H2139" s="380" t="s">
        <v>771</v>
      </c>
      <c r="I2139" s="380" t="s">
        <v>1084</v>
      </c>
      <c r="J2139" s="380" t="s">
        <v>773</v>
      </c>
      <c r="K2139" s="381">
        <v>35374.0</v>
      </c>
      <c r="L2139" s="382">
        <v>1.0</v>
      </c>
    </row>
    <row r="2140">
      <c r="A2140" s="380" t="s">
        <v>3003</v>
      </c>
      <c r="B2140" s="380" t="str">
        <f>IFERROR(__xludf.DUMMYFUNCTION("""COMPUTED_VALUE"""),"Vidrio Redondo Oscuro Autogena")</f>
        <v>Vidrio Redondo Oscuro Autogena</v>
      </c>
      <c r="C2140" s="380" t="str">
        <f>IFERROR(__xludf.DUMMYFUNCTION("""COMPUTED_VALUE"""),"30000399")</f>
        <v>30000399</v>
      </c>
      <c r="D2140" s="380" t="s">
        <v>767</v>
      </c>
      <c r="E2140" s="380" t="s">
        <v>810</v>
      </c>
      <c r="F2140" s="380" t="s">
        <v>1083</v>
      </c>
      <c r="G2140" s="380" t="s">
        <v>1267</v>
      </c>
      <c r="H2140" s="380" t="s">
        <v>771</v>
      </c>
      <c r="I2140" s="380" t="s">
        <v>1084</v>
      </c>
      <c r="J2140" s="380" t="s">
        <v>773</v>
      </c>
      <c r="K2140" s="381">
        <v>0.0</v>
      </c>
      <c r="L2140" s="382">
        <v>1.0</v>
      </c>
    </row>
    <row r="2141">
      <c r="A2141" s="380" t="s">
        <v>3004</v>
      </c>
      <c r="B2141" s="380" t="str">
        <f>IFERROR(__xludf.DUMMYFUNCTION("""COMPUTED_VALUE"""),"Batola Dryl Azul Ml 48")</f>
        <v>Batola Dryl Azul Ml 48</v>
      </c>
      <c r="C2141" s="380" t="str">
        <f>IFERROR(__xludf.DUMMYFUNCTION("""COMPUTED_VALUE"""),"30000400")</f>
        <v>30000400</v>
      </c>
      <c r="D2141" s="380" t="s">
        <v>767</v>
      </c>
      <c r="E2141" s="380" t="s">
        <v>810</v>
      </c>
      <c r="F2141" s="380" t="s">
        <v>1089</v>
      </c>
      <c r="G2141" s="380" t="s">
        <v>1267</v>
      </c>
      <c r="H2141" s="380" t="s">
        <v>771</v>
      </c>
      <c r="I2141" s="380" t="s">
        <v>1084</v>
      </c>
      <c r="J2141" s="380" t="s">
        <v>773</v>
      </c>
      <c r="K2141" s="381">
        <v>0.0</v>
      </c>
      <c r="L2141" s="382">
        <v>1.0</v>
      </c>
    </row>
    <row r="2142">
      <c r="A2142" s="380" t="s">
        <v>3005</v>
      </c>
      <c r="B2142" s="380" t="str">
        <f>IFERROR(__xludf.DUMMYFUNCTION("""COMPUTED_VALUE"""),"Batola Dryl Azul Ml 42")</f>
        <v>Batola Dryl Azul Ml 42</v>
      </c>
      <c r="C2142" s="380" t="str">
        <f>IFERROR(__xludf.DUMMYFUNCTION("""COMPUTED_VALUE"""),"30000401")</f>
        <v>30000401</v>
      </c>
      <c r="D2142" s="380" t="s">
        <v>767</v>
      </c>
      <c r="E2142" s="380" t="s">
        <v>810</v>
      </c>
      <c r="F2142" s="380" t="s">
        <v>1089</v>
      </c>
      <c r="G2142" s="380" t="s">
        <v>1267</v>
      </c>
      <c r="H2142" s="380" t="s">
        <v>771</v>
      </c>
      <c r="I2142" s="380" t="s">
        <v>1084</v>
      </c>
      <c r="J2142" s="380" t="s">
        <v>773</v>
      </c>
      <c r="K2142" s="381">
        <v>51222.0</v>
      </c>
      <c r="L2142" s="382">
        <v>1.0</v>
      </c>
    </row>
    <row r="2143">
      <c r="A2143" s="380" t="s">
        <v>3006</v>
      </c>
      <c r="B2143" s="380" t="str">
        <f>IFERROR(__xludf.DUMMYFUNCTION("""COMPUTED_VALUE"""),"Fumigadora Manual 2 Litros")</f>
        <v>Fumigadora Manual 2 Litros</v>
      </c>
      <c r="C2143" s="380" t="str">
        <f>IFERROR(__xludf.DUMMYFUNCTION("""COMPUTED_VALUE"""),"30000402")</f>
        <v>30000402</v>
      </c>
      <c r="D2143" s="380" t="s">
        <v>767</v>
      </c>
      <c r="E2143" s="380" t="s">
        <v>810</v>
      </c>
      <c r="F2143" s="380" t="s">
        <v>1271</v>
      </c>
      <c r="G2143" s="380" t="s">
        <v>1267</v>
      </c>
      <c r="H2143" s="380" t="s">
        <v>771</v>
      </c>
      <c r="I2143" s="380" t="s">
        <v>1084</v>
      </c>
      <c r="J2143" s="380" t="s">
        <v>773</v>
      </c>
      <c r="K2143" s="381">
        <v>0.0</v>
      </c>
      <c r="L2143" s="382">
        <v>1.0</v>
      </c>
    </row>
    <row r="2144">
      <c r="A2144" s="380" t="s">
        <v>3007</v>
      </c>
      <c r="B2144" s="380" t="str">
        <f>IFERROR(__xludf.DUMMYFUNCTION("""COMPUTED_VALUE"""),"Apellidos Bordados")</f>
        <v>Apellidos Bordados</v>
      </c>
      <c r="C2144" s="380" t="str">
        <f>IFERROR(__xludf.DUMMYFUNCTION("""COMPUTED_VALUE"""),"30000403")</f>
        <v>30000403</v>
      </c>
      <c r="D2144" s="380" t="s">
        <v>767</v>
      </c>
      <c r="E2144" s="380" t="s">
        <v>810</v>
      </c>
      <c r="F2144" s="380" t="s">
        <v>1089</v>
      </c>
      <c r="G2144" s="380" t="s">
        <v>1267</v>
      </c>
      <c r="H2144" s="380" t="s">
        <v>771</v>
      </c>
      <c r="I2144" s="380" t="s">
        <v>1084</v>
      </c>
      <c r="J2144" s="380" t="s">
        <v>773</v>
      </c>
      <c r="K2144" s="381">
        <v>0.0</v>
      </c>
      <c r="L2144" s="382">
        <v>1.0</v>
      </c>
    </row>
    <row r="2145">
      <c r="A2145" s="380" t="s">
        <v>3008</v>
      </c>
      <c r="B2145" s="380" t="str">
        <f>IFERROR(__xludf.DUMMYFUNCTION("""COMPUTED_VALUE"""),"Estuche Protector Unidad Tim Urovo")</f>
        <v>Estuche Protector Unidad Tim Urovo</v>
      </c>
      <c r="C2145" s="380" t="str">
        <f>IFERROR(__xludf.DUMMYFUNCTION("""COMPUTED_VALUE"""),"30000404")</f>
        <v>30000404</v>
      </c>
      <c r="D2145" s="380" t="s">
        <v>767</v>
      </c>
      <c r="E2145" s="380" t="s">
        <v>810</v>
      </c>
      <c r="F2145" s="380" t="s">
        <v>1271</v>
      </c>
      <c r="G2145" s="380" t="s">
        <v>1267</v>
      </c>
      <c r="H2145" s="380" t="s">
        <v>771</v>
      </c>
      <c r="I2145" s="380" t="s">
        <v>1084</v>
      </c>
      <c r="J2145" s="380" t="s">
        <v>773</v>
      </c>
      <c r="K2145" s="381">
        <v>35105.0</v>
      </c>
      <c r="L2145" s="382">
        <v>1.0</v>
      </c>
    </row>
    <row r="2146">
      <c r="A2146" s="380" t="s">
        <v>3009</v>
      </c>
      <c r="B2146" s="380" t="str">
        <f>IFERROR(__xludf.DUMMYFUNCTION("""COMPUTED_VALUE"""),"Matamoscas Electrico Led Uv")</f>
        <v>Matamoscas Electrico Led Uv</v>
      </c>
      <c r="C2146" s="380" t="str">
        <f>IFERROR(__xludf.DUMMYFUNCTION("""COMPUTED_VALUE"""),"30000405")</f>
        <v>30000405</v>
      </c>
      <c r="D2146" s="380" t="s">
        <v>767</v>
      </c>
      <c r="E2146" s="380" t="s">
        <v>810</v>
      </c>
      <c r="F2146" s="380" t="s">
        <v>1271</v>
      </c>
      <c r="G2146" s="380" t="s">
        <v>1267</v>
      </c>
      <c r="H2146" s="380" t="s">
        <v>771</v>
      </c>
      <c r="I2146" s="380" t="s">
        <v>1084</v>
      </c>
      <c r="J2146" s="380" t="s">
        <v>773</v>
      </c>
      <c r="K2146" s="381">
        <v>0.0</v>
      </c>
      <c r="L2146" s="382">
        <v>1.0</v>
      </c>
    </row>
    <row r="2147">
      <c r="A2147" s="380" t="s">
        <v>3010</v>
      </c>
      <c r="B2147" s="380" t="str">
        <f>IFERROR(__xludf.DUMMYFUNCTION("""COMPUTED_VALUE"""),"Guante Lavador Verde G40 13"" Nitrilo T9")</f>
        <v>Guante Lavador Verde G40 13" Nitrilo T9</v>
      </c>
      <c r="C2147" s="380" t="str">
        <f>IFERROR(__xludf.DUMMYFUNCTION("""COMPUTED_VALUE"""),"30000406")</f>
        <v>30000406</v>
      </c>
      <c r="D2147" s="380" t="s">
        <v>767</v>
      </c>
      <c r="E2147" s="380" t="s">
        <v>810</v>
      </c>
      <c r="F2147" s="380" t="s">
        <v>1271</v>
      </c>
      <c r="G2147" s="380" t="s">
        <v>1267</v>
      </c>
      <c r="H2147" s="380" t="s">
        <v>771</v>
      </c>
      <c r="I2147" s="380" t="s">
        <v>1084</v>
      </c>
      <c r="J2147" s="380" t="s">
        <v>773</v>
      </c>
      <c r="K2147" s="381">
        <v>10965.0</v>
      </c>
      <c r="L2147" s="382">
        <v>1.0</v>
      </c>
    </row>
    <row r="2148">
      <c r="A2148" s="380" t="s">
        <v>3011</v>
      </c>
      <c r="B2148" s="380" t="str">
        <f>IFERROR(__xludf.DUMMYFUNCTION("""COMPUTED_VALUE"""),"Guante Lavador Verde G40 13"" Nitrilo T10")</f>
        <v>Guante Lavador Verde G40 13" Nitrilo T10</v>
      </c>
      <c r="C2148" s="380" t="str">
        <f>IFERROR(__xludf.DUMMYFUNCTION("""COMPUTED_VALUE"""),"30000407")</f>
        <v>30000407</v>
      </c>
      <c r="D2148" s="380" t="s">
        <v>767</v>
      </c>
      <c r="E2148" s="380" t="s">
        <v>810</v>
      </c>
      <c r="F2148" s="380" t="s">
        <v>1271</v>
      </c>
      <c r="G2148" s="380" t="s">
        <v>1267</v>
      </c>
      <c r="H2148" s="380" t="s">
        <v>771</v>
      </c>
      <c r="I2148" s="380" t="s">
        <v>1084</v>
      </c>
      <c r="J2148" s="380" t="s">
        <v>773</v>
      </c>
      <c r="K2148" s="381">
        <v>10965.0</v>
      </c>
      <c r="L2148" s="382">
        <v>1.0</v>
      </c>
    </row>
    <row r="2149">
      <c r="A2149" s="380" t="s">
        <v>3012</v>
      </c>
      <c r="B2149" s="380" t="str">
        <f>IFERROR(__xludf.DUMMYFUNCTION("""COMPUTED_VALUE"""),"Guante Lavador Verde G40 13"" Nitrilo T8")</f>
        <v>Guante Lavador Verde G40 13" Nitrilo T8</v>
      </c>
      <c r="C2149" s="380" t="str">
        <f>IFERROR(__xludf.DUMMYFUNCTION("""COMPUTED_VALUE"""),"30000408")</f>
        <v>30000408</v>
      </c>
      <c r="D2149" s="380" t="s">
        <v>767</v>
      </c>
      <c r="E2149" s="380" t="s">
        <v>810</v>
      </c>
      <c r="F2149" s="380" t="s">
        <v>1271</v>
      </c>
      <c r="G2149" s="380" t="s">
        <v>1267</v>
      </c>
      <c r="H2149" s="380" t="s">
        <v>771</v>
      </c>
      <c r="I2149" s="380" t="s">
        <v>1084</v>
      </c>
      <c r="J2149" s="380" t="s">
        <v>773</v>
      </c>
      <c r="K2149" s="381">
        <v>10965.0</v>
      </c>
      <c r="L2149" s="382">
        <v>1.0</v>
      </c>
    </row>
    <row r="2150">
      <c r="A2150" s="380" t="s">
        <v>3013</v>
      </c>
      <c r="B2150" s="380" t="str">
        <f>IFERROR(__xludf.DUMMYFUNCTION("""COMPUTED_VALUE"""),"Pito Brigada")</f>
        <v>Pito Brigada</v>
      </c>
      <c r="C2150" s="380" t="str">
        <f>IFERROR(__xludf.DUMMYFUNCTION("""COMPUTED_VALUE"""),"30000409")</f>
        <v>30000409</v>
      </c>
      <c r="D2150" s="380" t="s">
        <v>767</v>
      </c>
      <c r="E2150" s="380" t="s">
        <v>810</v>
      </c>
      <c r="F2150" s="380" t="s">
        <v>811</v>
      </c>
      <c r="G2150" s="380" t="s">
        <v>1267</v>
      </c>
      <c r="H2150" s="380" t="s">
        <v>771</v>
      </c>
      <c r="I2150" s="380" t="s">
        <v>812</v>
      </c>
      <c r="J2150" s="380" t="s">
        <v>773</v>
      </c>
      <c r="K2150" s="381">
        <v>0.0</v>
      </c>
      <c r="L2150" s="382">
        <v>1.0</v>
      </c>
    </row>
    <row r="2151">
      <c r="A2151" s="380" t="s">
        <v>3014</v>
      </c>
      <c r="B2151" s="380" t="str">
        <f>IFERROR(__xludf.DUMMYFUNCTION("""COMPUTED_VALUE"""),"Camisa Para Mensajero Mc 34")</f>
        <v>Camisa Para Mensajero Mc 34</v>
      </c>
      <c r="C2151" s="380" t="str">
        <f>IFERROR(__xludf.DUMMYFUNCTION("""COMPUTED_VALUE"""),"30000411")</f>
        <v>30000411</v>
      </c>
      <c r="D2151" s="380" t="s">
        <v>767</v>
      </c>
      <c r="E2151" s="380" t="s">
        <v>810</v>
      </c>
      <c r="F2151" s="380" t="s">
        <v>1089</v>
      </c>
      <c r="G2151" s="380" t="s">
        <v>1267</v>
      </c>
      <c r="H2151" s="380" t="s">
        <v>771</v>
      </c>
      <c r="I2151" s="380" t="s">
        <v>1084</v>
      </c>
      <c r="J2151" s="380" t="s">
        <v>773</v>
      </c>
      <c r="K2151" s="381">
        <v>36811.0</v>
      </c>
      <c r="L2151" s="382">
        <v>1.0</v>
      </c>
    </row>
    <row r="2152">
      <c r="A2152" s="380" t="s">
        <v>3015</v>
      </c>
      <c r="B2152" s="380" t="str">
        <f>IFERROR(__xludf.DUMMYFUNCTION("""COMPUTED_VALUE"""),"Camisa Para Mensajero Mc 38")</f>
        <v>Camisa Para Mensajero Mc 38</v>
      </c>
      <c r="C2152" s="380" t="str">
        <f>IFERROR(__xludf.DUMMYFUNCTION("""COMPUTED_VALUE"""),"30000412")</f>
        <v>30000412</v>
      </c>
      <c r="D2152" s="380" t="s">
        <v>767</v>
      </c>
      <c r="E2152" s="380" t="s">
        <v>810</v>
      </c>
      <c r="F2152" s="380" t="s">
        <v>1089</v>
      </c>
      <c r="G2152" s="380" t="s">
        <v>1267</v>
      </c>
      <c r="H2152" s="380" t="s">
        <v>771</v>
      </c>
      <c r="I2152" s="380" t="s">
        <v>1084</v>
      </c>
      <c r="J2152" s="380" t="s">
        <v>773</v>
      </c>
      <c r="K2152" s="381">
        <v>36811.0</v>
      </c>
      <c r="L2152" s="382">
        <v>1.0</v>
      </c>
    </row>
    <row r="2153">
      <c r="A2153" s="380" t="s">
        <v>3016</v>
      </c>
      <c r="B2153" s="380" t="str">
        <f>IFERROR(__xludf.DUMMYFUNCTION("""COMPUTED_VALUE"""),"Camisa Para Mensajero Mc 42")</f>
        <v>Camisa Para Mensajero Mc 42</v>
      </c>
      <c r="C2153" s="380" t="str">
        <f>IFERROR(__xludf.DUMMYFUNCTION("""COMPUTED_VALUE"""),"30000413")</f>
        <v>30000413</v>
      </c>
      <c r="D2153" s="380" t="s">
        <v>767</v>
      </c>
      <c r="E2153" s="380" t="s">
        <v>810</v>
      </c>
      <c r="F2153" s="380" t="s">
        <v>1089</v>
      </c>
      <c r="G2153" s="380" t="s">
        <v>1267</v>
      </c>
      <c r="H2153" s="380" t="s">
        <v>771</v>
      </c>
      <c r="I2153" s="380" t="s">
        <v>1084</v>
      </c>
      <c r="J2153" s="380" t="s">
        <v>773</v>
      </c>
      <c r="K2153" s="381">
        <v>36811.0</v>
      </c>
      <c r="L2153" s="382">
        <v>1.0</v>
      </c>
    </row>
    <row r="2154">
      <c r="A2154" s="380" t="s">
        <v>3017</v>
      </c>
      <c r="B2154" s="380" t="str">
        <f>IFERROR(__xludf.DUMMYFUNCTION("""COMPUTED_VALUE"""),"Pantalon Vigilante Dama 20")</f>
        <v>Pantalon Vigilante Dama 20</v>
      </c>
      <c r="C2154" s="380" t="str">
        <f>IFERROR(__xludf.DUMMYFUNCTION("""COMPUTED_VALUE"""),"30000414")</f>
        <v>30000414</v>
      </c>
      <c r="D2154" s="380" t="s">
        <v>767</v>
      </c>
      <c r="E2154" s="380" t="s">
        <v>810</v>
      </c>
      <c r="F2154" s="380" t="s">
        <v>1089</v>
      </c>
      <c r="G2154" s="380" t="s">
        <v>1267</v>
      </c>
      <c r="H2154" s="380" t="s">
        <v>771</v>
      </c>
      <c r="I2154" s="380" t="s">
        <v>1084</v>
      </c>
      <c r="J2154" s="380" t="s">
        <v>773</v>
      </c>
      <c r="K2154" s="381">
        <v>0.0</v>
      </c>
      <c r="L2154" s="382">
        <v>1.0</v>
      </c>
    </row>
    <row r="2155">
      <c r="A2155" s="380" t="s">
        <v>3018</v>
      </c>
      <c r="B2155" s="380" t="str">
        <f>IFERROR(__xludf.DUMMYFUNCTION("""COMPUTED_VALUE"""),"Camisa Para Mensajero Mc 40")</f>
        <v>Camisa Para Mensajero Mc 40</v>
      </c>
      <c r="C2155" s="380" t="str">
        <f>IFERROR(__xludf.DUMMYFUNCTION("""COMPUTED_VALUE"""),"30000415")</f>
        <v>30000415</v>
      </c>
      <c r="D2155" s="380" t="s">
        <v>767</v>
      </c>
      <c r="E2155" s="380" t="s">
        <v>810</v>
      </c>
      <c r="F2155" s="380" t="s">
        <v>1089</v>
      </c>
      <c r="G2155" s="380" t="s">
        <v>1267</v>
      </c>
      <c r="H2155" s="380" t="s">
        <v>771</v>
      </c>
      <c r="I2155" s="380" t="s">
        <v>1084</v>
      </c>
      <c r="J2155" s="380" t="s">
        <v>773</v>
      </c>
      <c r="K2155" s="381">
        <v>36811.0</v>
      </c>
      <c r="L2155" s="382">
        <v>1.0</v>
      </c>
    </row>
    <row r="2156">
      <c r="A2156" s="380" t="s">
        <v>3019</v>
      </c>
      <c r="B2156" s="380" t="str">
        <f>IFERROR(__xludf.DUMMYFUNCTION("""COMPUTED_VALUE"""),"Maletín Aliados Goo Nuevo")</f>
        <v>Maletín Aliados Goo Nuevo</v>
      </c>
      <c r="C2156" s="380" t="str">
        <f>IFERROR(__xludf.DUMMYFUNCTION("""COMPUTED_VALUE"""),"30000418")</f>
        <v>30000418</v>
      </c>
      <c r="D2156" s="380" t="s">
        <v>767</v>
      </c>
      <c r="E2156" s="380" t="s">
        <v>810</v>
      </c>
      <c r="F2156" s="380" t="s">
        <v>1271</v>
      </c>
      <c r="G2156" s="380" t="s">
        <v>1267</v>
      </c>
      <c r="H2156" s="380" t="s">
        <v>771</v>
      </c>
      <c r="I2156" s="380" t="s">
        <v>1084</v>
      </c>
      <c r="J2156" s="380" t="s">
        <v>773</v>
      </c>
      <c r="K2156" s="381">
        <v>0.0</v>
      </c>
      <c r="L2156" s="382">
        <v>1.0</v>
      </c>
    </row>
    <row r="2157">
      <c r="A2157" s="380" t="s">
        <v>3020</v>
      </c>
      <c r="B2157" s="380" t="str">
        <f>IFERROR(__xludf.DUMMYFUNCTION("""COMPUTED_VALUE"""),"Mascara De Respiracion Rcp")</f>
        <v>Mascara De Respiracion Rcp</v>
      </c>
      <c r="C2157" s="380" t="str">
        <f>IFERROR(__xludf.DUMMYFUNCTION("""COMPUTED_VALUE"""),"30000419")</f>
        <v>30000419</v>
      </c>
      <c r="D2157" s="380" t="s">
        <v>767</v>
      </c>
      <c r="E2157" s="380" t="s">
        <v>810</v>
      </c>
      <c r="F2157" s="380" t="s">
        <v>811</v>
      </c>
      <c r="G2157" s="380" t="s">
        <v>1267</v>
      </c>
      <c r="H2157" s="380" t="s">
        <v>771</v>
      </c>
      <c r="I2157" s="380" t="s">
        <v>812</v>
      </c>
      <c r="J2157" s="380" t="s">
        <v>773</v>
      </c>
      <c r="K2157" s="381">
        <v>0.0</v>
      </c>
      <c r="L2157" s="382">
        <v>1.0</v>
      </c>
    </row>
    <row r="2158">
      <c r="A2158" s="380" t="s">
        <v>3021</v>
      </c>
      <c r="B2158" s="380" t="str">
        <f>IFERROR(__xludf.DUMMYFUNCTION("""COMPUTED_VALUE"""),"Mocasin Dama Negro 34")</f>
        <v>Mocasin Dama Negro 34</v>
      </c>
      <c r="C2158" s="380" t="str">
        <f>IFERROR(__xludf.DUMMYFUNCTION("""COMPUTED_VALUE"""),"30000424")</f>
        <v>30000424</v>
      </c>
      <c r="D2158" s="380" t="s">
        <v>767</v>
      </c>
      <c r="E2158" s="380" t="s">
        <v>810</v>
      </c>
      <c r="F2158" s="380" t="s">
        <v>1089</v>
      </c>
      <c r="G2158" s="380" t="s">
        <v>1267</v>
      </c>
      <c r="H2158" s="380" t="s">
        <v>771</v>
      </c>
      <c r="I2158" s="380" t="s">
        <v>1084</v>
      </c>
      <c r="J2158" s="380" t="s">
        <v>773</v>
      </c>
      <c r="K2158" s="381">
        <v>65660.0</v>
      </c>
      <c r="L2158" s="382">
        <v>1.0</v>
      </c>
    </row>
    <row r="2159">
      <c r="A2159" s="380" t="s">
        <v>3022</v>
      </c>
      <c r="B2159" s="380" t="str">
        <f>IFERROR(__xludf.DUMMYFUNCTION("""COMPUTED_VALUE"""),"Batola Dryl Azul Ml 44")</f>
        <v>Batola Dryl Azul Ml 44</v>
      </c>
      <c r="C2159" s="380" t="str">
        <f>IFERROR(__xludf.DUMMYFUNCTION("""COMPUTED_VALUE"""),"30000425")</f>
        <v>30000425</v>
      </c>
      <c r="D2159" s="380" t="s">
        <v>767</v>
      </c>
      <c r="E2159" s="380" t="s">
        <v>810</v>
      </c>
      <c r="F2159" s="380" t="s">
        <v>1089</v>
      </c>
      <c r="G2159" s="380" t="s">
        <v>1267</v>
      </c>
      <c r="H2159" s="380" t="s">
        <v>771</v>
      </c>
      <c r="I2159" s="380" t="s">
        <v>1084</v>
      </c>
      <c r="J2159" s="380" t="s">
        <v>773</v>
      </c>
      <c r="K2159" s="381">
        <v>51222.0</v>
      </c>
      <c r="L2159" s="382">
        <v>1.0</v>
      </c>
    </row>
    <row r="2160">
      <c r="A2160" s="380" t="s">
        <v>3023</v>
      </c>
      <c r="B2160" s="380" t="str">
        <f>IFERROR(__xludf.DUMMYFUNCTION("""COMPUTED_VALUE"""),"Batola Dryl Azul Ml 34")</f>
        <v>Batola Dryl Azul Ml 34</v>
      </c>
      <c r="C2160" s="380" t="str">
        <f>IFERROR(__xludf.DUMMYFUNCTION("""COMPUTED_VALUE"""),"30000426")</f>
        <v>30000426</v>
      </c>
      <c r="D2160" s="380" t="s">
        <v>767</v>
      </c>
      <c r="E2160" s="380" t="s">
        <v>810</v>
      </c>
      <c r="F2160" s="380" t="s">
        <v>1089</v>
      </c>
      <c r="G2160" s="380" t="s">
        <v>1267</v>
      </c>
      <c r="H2160" s="380" t="s">
        <v>771</v>
      </c>
      <c r="I2160" s="380" t="s">
        <v>1084</v>
      </c>
      <c r="J2160" s="380" t="s">
        <v>773</v>
      </c>
      <c r="K2160" s="381">
        <v>0.0</v>
      </c>
      <c r="L2160" s="382">
        <v>1.0</v>
      </c>
    </row>
    <row r="2161">
      <c r="A2161" s="380" t="s">
        <v>3024</v>
      </c>
      <c r="B2161" s="380" t="str">
        <f>IFERROR(__xludf.DUMMYFUNCTION("""COMPUTED_VALUE"""),"Batola Dryl Azul Ml 38")</f>
        <v>Batola Dryl Azul Ml 38</v>
      </c>
      <c r="C2161" s="380" t="str">
        <f>IFERROR(__xludf.DUMMYFUNCTION("""COMPUTED_VALUE"""),"30000427")</f>
        <v>30000427</v>
      </c>
      <c r="D2161" s="380" t="s">
        <v>767</v>
      </c>
      <c r="E2161" s="380" t="s">
        <v>810</v>
      </c>
      <c r="F2161" s="380" t="s">
        <v>1089</v>
      </c>
      <c r="G2161" s="380" t="s">
        <v>1267</v>
      </c>
      <c r="H2161" s="380" t="s">
        <v>771</v>
      </c>
      <c r="I2161" s="380" t="s">
        <v>1084</v>
      </c>
      <c r="J2161" s="380" t="s">
        <v>773</v>
      </c>
      <c r="K2161" s="381">
        <v>51222.0</v>
      </c>
      <c r="L2161" s="382">
        <v>1.0</v>
      </c>
    </row>
    <row r="2162">
      <c r="A2162" s="380" t="s">
        <v>3025</v>
      </c>
      <c r="B2162" s="380" t="str">
        <f>IFERROR(__xludf.DUMMYFUNCTION("""COMPUTED_VALUE"""),"Batola Dryl Azul Ml 46")</f>
        <v>Batola Dryl Azul Ml 46</v>
      </c>
      <c r="C2162" s="380" t="str">
        <f>IFERROR(__xludf.DUMMYFUNCTION("""COMPUTED_VALUE"""),"30000428")</f>
        <v>30000428</v>
      </c>
      <c r="D2162" s="380" t="s">
        <v>767</v>
      </c>
      <c r="E2162" s="380" t="s">
        <v>810</v>
      </c>
      <c r="F2162" s="380" t="s">
        <v>1089</v>
      </c>
      <c r="G2162" s="380" t="s">
        <v>1267</v>
      </c>
      <c r="H2162" s="380" t="s">
        <v>771</v>
      </c>
      <c r="I2162" s="380" t="s">
        <v>1084</v>
      </c>
      <c r="J2162" s="380" t="s">
        <v>773</v>
      </c>
      <c r="K2162" s="381">
        <v>0.0</v>
      </c>
      <c r="L2162" s="382">
        <v>1.0</v>
      </c>
    </row>
    <row r="2163">
      <c r="A2163" s="380" t="s">
        <v>3026</v>
      </c>
      <c r="B2163" s="380" t="str">
        <f>IFERROR(__xludf.DUMMYFUNCTION("""COMPUTED_VALUE"""),"Batola Dryl Azul Ml 36")</f>
        <v>Batola Dryl Azul Ml 36</v>
      </c>
      <c r="C2163" s="380" t="str">
        <f>IFERROR(__xludf.DUMMYFUNCTION("""COMPUTED_VALUE"""),"30000429")</f>
        <v>30000429</v>
      </c>
      <c r="D2163" s="380" t="s">
        <v>767</v>
      </c>
      <c r="E2163" s="380" t="s">
        <v>810</v>
      </c>
      <c r="F2163" s="380" t="s">
        <v>1089</v>
      </c>
      <c r="G2163" s="380" t="s">
        <v>1267</v>
      </c>
      <c r="H2163" s="380" t="s">
        <v>771</v>
      </c>
      <c r="I2163" s="380" t="s">
        <v>1084</v>
      </c>
      <c r="J2163" s="380" t="s">
        <v>773</v>
      </c>
      <c r="K2163" s="381">
        <v>0.0</v>
      </c>
      <c r="L2163" s="382">
        <v>1.0</v>
      </c>
    </row>
    <row r="2164">
      <c r="A2164" s="380" t="s">
        <v>3027</v>
      </c>
      <c r="B2164" s="380" t="str">
        <f>IFERROR(__xludf.DUMMYFUNCTION("""COMPUTED_VALUE"""),"Batola Dryl Azul Ml 40")</f>
        <v>Batola Dryl Azul Ml 40</v>
      </c>
      <c r="C2164" s="380" t="str">
        <f>IFERROR(__xludf.DUMMYFUNCTION("""COMPUTED_VALUE"""),"30000430")</f>
        <v>30000430</v>
      </c>
      <c r="D2164" s="380" t="s">
        <v>767</v>
      </c>
      <c r="E2164" s="380" t="s">
        <v>810</v>
      </c>
      <c r="F2164" s="380" t="s">
        <v>1089</v>
      </c>
      <c r="G2164" s="380" t="s">
        <v>1267</v>
      </c>
      <c r="H2164" s="380" t="s">
        <v>771</v>
      </c>
      <c r="I2164" s="380" t="s">
        <v>1084</v>
      </c>
      <c r="J2164" s="380" t="s">
        <v>773</v>
      </c>
      <c r="K2164" s="381">
        <v>51222.0</v>
      </c>
      <c r="L2164" s="382">
        <v>1.0</v>
      </c>
    </row>
    <row r="2165">
      <c r="A2165" s="380" t="s">
        <v>3028</v>
      </c>
      <c r="B2165" s="380" t="str">
        <f>IFERROR(__xludf.DUMMYFUNCTION("""COMPUTED_VALUE"""),"Batola Dryl Azul Ml 52")</f>
        <v>Batola Dryl Azul Ml 52</v>
      </c>
      <c r="C2165" s="380" t="str">
        <f>IFERROR(__xludf.DUMMYFUNCTION("""COMPUTED_VALUE"""),"30000431")</f>
        <v>30000431</v>
      </c>
      <c r="D2165" s="380" t="s">
        <v>767</v>
      </c>
      <c r="E2165" s="380" t="s">
        <v>810</v>
      </c>
      <c r="F2165" s="380" t="s">
        <v>1089</v>
      </c>
      <c r="G2165" s="380" t="s">
        <v>1267</v>
      </c>
      <c r="H2165" s="380" t="s">
        <v>771</v>
      </c>
      <c r="I2165" s="380" t="s">
        <v>1084</v>
      </c>
      <c r="J2165" s="380" t="s">
        <v>773</v>
      </c>
      <c r="K2165" s="381">
        <v>0.0</v>
      </c>
      <c r="L2165" s="382">
        <v>1.0</v>
      </c>
    </row>
    <row r="2166">
      <c r="A2166" s="380" t="s">
        <v>3029</v>
      </c>
      <c r="B2166" s="380" t="str">
        <f>IFERROR(__xludf.DUMMYFUNCTION("""COMPUTED_VALUE"""),"Baul Para Distribución En Motocicleta")</f>
        <v>Baul Para Distribución En Motocicleta</v>
      </c>
      <c r="C2166" s="380" t="str">
        <f>IFERROR(__xludf.DUMMYFUNCTION("""COMPUTED_VALUE"""),"30000432")</f>
        <v>30000432</v>
      </c>
      <c r="D2166" s="380" t="s">
        <v>767</v>
      </c>
      <c r="E2166" s="380" t="s">
        <v>810</v>
      </c>
      <c r="F2166" s="380" t="s">
        <v>1271</v>
      </c>
      <c r="G2166" s="380" t="s">
        <v>1267</v>
      </c>
      <c r="H2166" s="380" t="s">
        <v>771</v>
      </c>
      <c r="I2166" s="380" t="s">
        <v>1084</v>
      </c>
      <c r="J2166" s="380" t="s">
        <v>773</v>
      </c>
      <c r="K2166" s="381">
        <v>0.0</v>
      </c>
      <c r="L2166" s="382">
        <v>1.0</v>
      </c>
    </row>
    <row r="2167">
      <c r="A2167" s="380" t="s">
        <v>3030</v>
      </c>
      <c r="B2167" s="380" t="str">
        <f>IFERROR(__xludf.DUMMYFUNCTION("""COMPUTED_VALUE"""),"Cartucho Gases Careta 6003")</f>
        <v>Cartucho Gases Careta 6003</v>
      </c>
      <c r="C2167" s="380" t="str">
        <f>IFERROR(__xludf.DUMMYFUNCTION("""COMPUTED_VALUE"""),"30000433")</f>
        <v>30000433</v>
      </c>
      <c r="D2167" s="380" t="s">
        <v>767</v>
      </c>
      <c r="E2167" s="380" t="s">
        <v>810</v>
      </c>
      <c r="F2167" s="380" t="s">
        <v>1083</v>
      </c>
      <c r="G2167" s="380" t="s">
        <v>1267</v>
      </c>
      <c r="H2167" s="380" t="s">
        <v>771</v>
      </c>
      <c r="I2167" s="380" t="s">
        <v>1084</v>
      </c>
      <c r="J2167" s="380" t="s">
        <v>773</v>
      </c>
      <c r="K2167" s="381">
        <v>0.0</v>
      </c>
      <c r="L2167" s="382">
        <v>1.0</v>
      </c>
    </row>
    <row r="2168">
      <c r="A2168" s="380" t="s">
        <v>3031</v>
      </c>
      <c r="B2168" s="380" t="str">
        <f>IFERROR(__xludf.DUMMYFUNCTION("""COMPUTED_VALUE"""),"Mocasin Dama Negro 39")</f>
        <v>Mocasin Dama Negro 39</v>
      </c>
      <c r="C2168" s="380" t="str">
        <f>IFERROR(__xludf.DUMMYFUNCTION("""COMPUTED_VALUE"""),"30000434")</f>
        <v>30000434</v>
      </c>
      <c r="D2168" s="380" t="s">
        <v>767</v>
      </c>
      <c r="E2168" s="380" t="s">
        <v>810</v>
      </c>
      <c r="F2168" s="380" t="s">
        <v>1089</v>
      </c>
      <c r="G2168" s="380" t="s">
        <v>1267</v>
      </c>
      <c r="H2168" s="380" t="s">
        <v>771</v>
      </c>
      <c r="I2168" s="380" t="s">
        <v>1084</v>
      </c>
      <c r="J2168" s="380" t="s">
        <v>773</v>
      </c>
      <c r="K2168" s="381">
        <v>65660.0</v>
      </c>
      <c r="L2168" s="382">
        <v>1.0</v>
      </c>
    </row>
    <row r="2169">
      <c r="A2169" s="380" t="s">
        <v>3032</v>
      </c>
      <c r="B2169" s="380" t="str">
        <f>IFERROR(__xludf.DUMMYFUNCTION("""COMPUTED_VALUE"""),"Extintor Bc 5 Libras Recargado")</f>
        <v>Extintor Bc 5 Libras Recargado</v>
      </c>
      <c r="C2169" s="380" t="str">
        <f>IFERROR(__xludf.DUMMYFUNCTION("""COMPUTED_VALUE"""),"30000435")</f>
        <v>30000435</v>
      </c>
      <c r="D2169" s="380" t="s">
        <v>767</v>
      </c>
      <c r="E2169" s="380" t="s">
        <v>810</v>
      </c>
      <c r="F2169" s="380" t="s">
        <v>811</v>
      </c>
      <c r="G2169" s="380" t="s">
        <v>1267</v>
      </c>
      <c r="H2169" s="380" t="s">
        <v>771</v>
      </c>
      <c r="I2169" s="380" t="s">
        <v>812</v>
      </c>
      <c r="J2169" s="380" t="s">
        <v>773</v>
      </c>
      <c r="K2169" s="381">
        <v>0.0</v>
      </c>
      <c r="L2169" s="382">
        <v>1.0</v>
      </c>
    </row>
    <row r="2170">
      <c r="A2170" s="380" t="s">
        <v>3033</v>
      </c>
      <c r="B2170" s="380" t="str">
        <f>IFERROR(__xludf.DUMMYFUNCTION("""COMPUTED_VALUE"""),"Extintor Bc 20 Libras Recargado")</f>
        <v>Extintor Bc 20 Libras Recargado</v>
      </c>
      <c r="C2170" s="380" t="str">
        <f>IFERROR(__xludf.DUMMYFUNCTION("""COMPUTED_VALUE"""),"30000436")</f>
        <v>30000436</v>
      </c>
      <c r="D2170" s="380" t="s">
        <v>767</v>
      </c>
      <c r="E2170" s="380" t="s">
        <v>810</v>
      </c>
      <c r="F2170" s="380" t="s">
        <v>811</v>
      </c>
      <c r="G2170" s="380" t="s">
        <v>1267</v>
      </c>
      <c r="H2170" s="380" t="s">
        <v>771</v>
      </c>
      <c r="I2170" s="380" t="s">
        <v>812</v>
      </c>
      <c r="J2170" s="380" t="s">
        <v>773</v>
      </c>
      <c r="K2170" s="381">
        <v>0.0</v>
      </c>
      <c r="L2170" s="382">
        <v>1.0</v>
      </c>
    </row>
    <row r="2171">
      <c r="A2171" s="380" t="s">
        <v>3034</v>
      </c>
      <c r="B2171" s="380" t="str">
        <f>IFERROR(__xludf.DUMMYFUNCTION("""COMPUTED_VALUE"""),"Extintor Co2 15 Libras Nuevo")</f>
        <v>Extintor Co2 15 Libras Nuevo</v>
      </c>
      <c r="C2171" s="380" t="str">
        <f>IFERROR(__xludf.DUMMYFUNCTION("""COMPUTED_VALUE"""),"30000437")</f>
        <v>30000437</v>
      </c>
      <c r="D2171" s="380" t="s">
        <v>767</v>
      </c>
      <c r="E2171" s="380" t="s">
        <v>810</v>
      </c>
      <c r="F2171" s="380" t="s">
        <v>811</v>
      </c>
      <c r="G2171" s="380" t="s">
        <v>1267</v>
      </c>
      <c r="H2171" s="380" t="s">
        <v>771</v>
      </c>
      <c r="I2171" s="380" t="s">
        <v>812</v>
      </c>
      <c r="J2171" s="380" t="s">
        <v>773</v>
      </c>
      <c r="K2171" s="381">
        <v>0.0</v>
      </c>
      <c r="L2171" s="382">
        <v>1.0</v>
      </c>
    </row>
    <row r="2172">
      <c r="A2172" s="380" t="s">
        <v>3035</v>
      </c>
      <c r="B2172" s="380" t="str">
        <f>IFERROR(__xludf.DUMMYFUNCTION("""COMPUTED_VALUE"""),"Extintor Co2 20 Libras Recargado")</f>
        <v>Extintor Co2 20 Libras Recargado</v>
      </c>
      <c r="C2172" s="380" t="str">
        <f>IFERROR(__xludf.DUMMYFUNCTION("""COMPUTED_VALUE"""),"30000438")</f>
        <v>30000438</v>
      </c>
      <c r="D2172" s="380" t="s">
        <v>767</v>
      </c>
      <c r="E2172" s="380" t="s">
        <v>810</v>
      </c>
      <c r="F2172" s="380" t="s">
        <v>811</v>
      </c>
      <c r="G2172" s="380" t="s">
        <v>1267</v>
      </c>
      <c r="H2172" s="380" t="s">
        <v>771</v>
      </c>
      <c r="I2172" s="380" t="s">
        <v>812</v>
      </c>
      <c r="J2172" s="380" t="s">
        <v>773</v>
      </c>
      <c r="K2172" s="381">
        <v>0.0</v>
      </c>
      <c r="L2172" s="382">
        <v>1.0</v>
      </c>
    </row>
    <row r="2173">
      <c r="A2173" s="380" t="s">
        <v>3036</v>
      </c>
      <c r="B2173" s="380" t="str">
        <f>IFERROR(__xludf.DUMMYFUNCTION("""COMPUTED_VALUE"""),"Mocasin Dama Negro 41")</f>
        <v>Mocasin Dama Negro 41</v>
      </c>
      <c r="C2173" s="380" t="str">
        <f>IFERROR(__xludf.DUMMYFUNCTION("""COMPUTED_VALUE"""),"30000445")</f>
        <v>30000445</v>
      </c>
      <c r="D2173" s="380" t="s">
        <v>767</v>
      </c>
      <c r="E2173" s="380" t="s">
        <v>810</v>
      </c>
      <c r="F2173" s="380" t="s">
        <v>1089</v>
      </c>
      <c r="G2173" s="380" t="s">
        <v>1267</v>
      </c>
      <c r="H2173" s="380" t="s">
        <v>771</v>
      </c>
      <c r="I2173" s="380" t="s">
        <v>1084</v>
      </c>
      <c r="J2173" s="380" t="s">
        <v>773</v>
      </c>
      <c r="K2173" s="381">
        <v>65660.0</v>
      </c>
      <c r="L2173" s="382">
        <v>1.0</v>
      </c>
    </row>
    <row r="2174">
      <c r="A2174" s="380" t="s">
        <v>3037</v>
      </c>
      <c r="B2174" s="380" t="str">
        <f>IFERROR(__xludf.DUMMYFUNCTION("""COMPUTED_VALUE"""),"Filtro Careta 2096 Ptar")</f>
        <v>Filtro Careta 2096 Ptar</v>
      </c>
      <c r="C2174" s="380" t="str">
        <f>IFERROR(__xludf.DUMMYFUNCTION("""COMPUTED_VALUE"""),"30000452")</f>
        <v>30000452</v>
      </c>
      <c r="D2174" s="380" t="s">
        <v>767</v>
      </c>
      <c r="E2174" s="380" t="s">
        <v>810</v>
      </c>
      <c r="F2174" s="380" t="s">
        <v>1083</v>
      </c>
      <c r="G2174" s="380" t="s">
        <v>1267</v>
      </c>
      <c r="H2174" s="380" t="s">
        <v>771</v>
      </c>
      <c r="I2174" s="380" t="s">
        <v>1084</v>
      </c>
      <c r="J2174" s="380" t="s">
        <v>773</v>
      </c>
      <c r="K2174" s="381">
        <v>0.0</v>
      </c>
      <c r="L2174" s="382">
        <v>1.0</v>
      </c>
    </row>
    <row r="2175">
      <c r="A2175" s="380" t="s">
        <v>3038</v>
      </c>
      <c r="B2175" s="380" t="str">
        <f>IFERROR(__xludf.DUMMYFUNCTION("""COMPUTED_VALUE"""),"Mangas Protectoras De Sol")</f>
        <v>Mangas Protectoras De Sol</v>
      </c>
      <c r="C2175" s="380" t="str">
        <f>IFERROR(__xludf.DUMMYFUNCTION("""COMPUTED_VALUE"""),"30000453")</f>
        <v>30000453</v>
      </c>
      <c r="D2175" s="380" t="s">
        <v>767</v>
      </c>
      <c r="E2175" s="380" t="s">
        <v>810</v>
      </c>
      <c r="F2175" s="380" t="s">
        <v>1083</v>
      </c>
      <c r="G2175" s="380" t="s">
        <v>1267</v>
      </c>
      <c r="H2175" s="380" t="s">
        <v>771</v>
      </c>
      <c r="I2175" s="380" t="s">
        <v>1084</v>
      </c>
      <c r="J2175" s="380" t="s">
        <v>773</v>
      </c>
      <c r="K2175" s="381">
        <v>0.0</v>
      </c>
      <c r="L2175" s="382">
        <v>1.0</v>
      </c>
    </row>
    <row r="2176">
      <c r="A2176" s="380" t="s">
        <v>3039</v>
      </c>
      <c r="B2176" s="380" t="str">
        <f>IFERROR(__xludf.DUMMYFUNCTION("""COMPUTED_VALUE"""),"Extintor C02 15 Libras Recargado")</f>
        <v>Extintor C02 15 Libras Recargado</v>
      </c>
      <c r="C2176" s="380" t="str">
        <f>IFERROR(__xludf.DUMMYFUNCTION("""COMPUTED_VALUE"""),"30000454")</f>
        <v>30000454</v>
      </c>
      <c r="D2176" s="380" t="s">
        <v>767</v>
      </c>
      <c r="E2176" s="380" t="s">
        <v>810</v>
      </c>
      <c r="F2176" s="380" t="s">
        <v>811</v>
      </c>
      <c r="G2176" s="380" t="s">
        <v>1267</v>
      </c>
      <c r="H2176" s="380" t="s">
        <v>771</v>
      </c>
      <c r="I2176" s="380" t="s">
        <v>812</v>
      </c>
      <c r="J2176" s="380" t="s">
        <v>773</v>
      </c>
      <c r="K2176" s="381">
        <v>0.0</v>
      </c>
      <c r="L2176" s="382">
        <v>1.0</v>
      </c>
    </row>
    <row r="2177">
      <c r="A2177" s="380" t="s">
        <v>3040</v>
      </c>
      <c r="B2177" s="380" t="str">
        <f>IFERROR(__xludf.DUMMYFUNCTION("""COMPUTED_VALUE"""),"Mocasin Dama Negro 37")</f>
        <v>Mocasin Dama Negro 37</v>
      </c>
      <c r="C2177" s="380" t="str">
        <f>IFERROR(__xludf.DUMMYFUNCTION("""COMPUTED_VALUE"""),"30000455")</f>
        <v>30000455</v>
      </c>
      <c r="D2177" s="380" t="s">
        <v>767</v>
      </c>
      <c r="E2177" s="380" t="s">
        <v>810</v>
      </c>
      <c r="F2177" s="380" t="s">
        <v>1089</v>
      </c>
      <c r="G2177" s="380" t="s">
        <v>1267</v>
      </c>
      <c r="H2177" s="380" t="s">
        <v>771</v>
      </c>
      <c r="I2177" s="380" t="s">
        <v>1084</v>
      </c>
      <c r="J2177" s="380" t="s">
        <v>773</v>
      </c>
      <c r="K2177" s="381">
        <v>65660.0</v>
      </c>
      <c r="L2177" s="382">
        <v>1.0</v>
      </c>
    </row>
    <row r="2178">
      <c r="A2178" s="380" t="s">
        <v>3041</v>
      </c>
      <c r="B2178" s="380" t="str">
        <f>IFERROR(__xludf.DUMMYFUNCTION("""COMPUTED_VALUE"""),"Extintor C02 50 Lb Tipo Carretilla Recar")</f>
        <v>Extintor C02 50 Lb Tipo Carretilla Recar</v>
      </c>
      <c r="C2178" s="380" t="str">
        <f>IFERROR(__xludf.DUMMYFUNCTION("""COMPUTED_VALUE"""),"30000456")</f>
        <v>30000456</v>
      </c>
      <c r="D2178" s="380" t="s">
        <v>767</v>
      </c>
      <c r="E2178" s="380" t="s">
        <v>810</v>
      </c>
      <c r="F2178" s="380" t="s">
        <v>811</v>
      </c>
      <c r="G2178" s="380" t="s">
        <v>1267</v>
      </c>
      <c r="H2178" s="380" t="s">
        <v>771</v>
      </c>
      <c r="I2178" s="380" t="s">
        <v>812</v>
      </c>
      <c r="J2178" s="380" t="s">
        <v>773</v>
      </c>
      <c r="K2178" s="381">
        <v>0.0</v>
      </c>
      <c r="L2178" s="382">
        <v>1.0</v>
      </c>
    </row>
    <row r="2179">
      <c r="A2179" s="380" t="s">
        <v>3042</v>
      </c>
      <c r="B2179" s="380" t="str">
        <f>IFERROR(__xludf.DUMMYFUNCTION("""COMPUTED_VALUE"""),"Tula Transporte De Paquetes 20-00")</f>
        <v>Tula Transporte De Paquetes 20-00</v>
      </c>
      <c r="C2179" s="380" t="str">
        <f>IFERROR(__xludf.DUMMYFUNCTION("""COMPUTED_VALUE"""),"30000463")</f>
        <v>30000463</v>
      </c>
      <c r="D2179" s="380" t="s">
        <v>767</v>
      </c>
      <c r="E2179" s="380" t="s">
        <v>810</v>
      </c>
      <c r="F2179" s="380" t="s">
        <v>1271</v>
      </c>
      <c r="G2179" s="380" t="s">
        <v>1267</v>
      </c>
      <c r="H2179" s="380" t="s">
        <v>771</v>
      </c>
      <c r="I2179" s="380" t="s">
        <v>1084</v>
      </c>
      <c r="J2179" s="380" t="s">
        <v>773</v>
      </c>
      <c r="K2179" s="381">
        <v>0.0</v>
      </c>
      <c r="L2179" s="382">
        <v>1.0</v>
      </c>
    </row>
    <row r="2180">
      <c r="A2180" s="380" t="s">
        <v>3043</v>
      </c>
      <c r="B2180" s="380" t="str">
        <f>IFERROR(__xludf.DUMMYFUNCTION("""COMPUTED_VALUE"""),"Mocasin Dama Negro 35")</f>
        <v>Mocasin Dama Negro 35</v>
      </c>
      <c r="C2180" s="380" t="str">
        <f>IFERROR(__xludf.DUMMYFUNCTION("""COMPUTED_VALUE"""),"30000465")</f>
        <v>30000465</v>
      </c>
      <c r="D2180" s="380" t="s">
        <v>767</v>
      </c>
      <c r="E2180" s="380" t="s">
        <v>810</v>
      </c>
      <c r="F2180" s="380" t="s">
        <v>1089</v>
      </c>
      <c r="G2180" s="380" t="s">
        <v>1267</v>
      </c>
      <c r="H2180" s="380" t="s">
        <v>771</v>
      </c>
      <c r="I2180" s="380" t="s">
        <v>1084</v>
      </c>
      <c r="J2180" s="380" t="s">
        <v>773</v>
      </c>
      <c r="K2180" s="381">
        <v>65660.0</v>
      </c>
      <c r="L2180" s="382">
        <v>1.0</v>
      </c>
    </row>
    <row r="2181">
      <c r="A2181" s="380" t="s">
        <v>3044</v>
      </c>
      <c r="B2181" s="380" t="str">
        <f>IFERROR(__xludf.DUMMYFUNCTION("""COMPUTED_VALUE"""),"Mocasin Dama Negro 38")</f>
        <v>Mocasin Dama Negro 38</v>
      </c>
      <c r="C2181" s="380" t="str">
        <f>IFERROR(__xludf.DUMMYFUNCTION("""COMPUTED_VALUE"""),"30000476")</f>
        <v>30000476</v>
      </c>
      <c r="D2181" s="380" t="s">
        <v>767</v>
      </c>
      <c r="E2181" s="380" t="s">
        <v>810</v>
      </c>
      <c r="F2181" s="380" t="s">
        <v>1089</v>
      </c>
      <c r="G2181" s="380" t="s">
        <v>1267</v>
      </c>
      <c r="H2181" s="380" t="s">
        <v>771</v>
      </c>
      <c r="I2181" s="380" t="s">
        <v>1084</v>
      </c>
      <c r="J2181" s="380" t="s">
        <v>773</v>
      </c>
      <c r="K2181" s="381">
        <v>65660.0</v>
      </c>
      <c r="L2181" s="382">
        <v>1.0</v>
      </c>
    </row>
    <row r="2182">
      <c r="A2182" s="380" t="s">
        <v>3045</v>
      </c>
      <c r="B2182" s="380" t="str">
        <f>IFERROR(__xludf.DUMMYFUNCTION("""COMPUTED_VALUE"""),"Chaqueta Observador De Ruta Sin Logo Xl")</f>
        <v>Chaqueta Observador De Ruta Sin Logo Xl</v>
      </c>
      <c r="C2182" s="380" t="str">
        <f>IFERROR(__xludf.DUMMYFUNCTION("""COMPUTED_VALUE"""),"30000480")</f>
        <v>30000480</v>
      </c>
      <c r="D2182" s="380" t="s">
        <v>767</v>
      </c>
      <c r="E2182" s="380" t="s">
        <v>810</v>
      </c>
      <c r="F2182" s="380" t="s">
        <v>1089</v>
      </c>
      <c r="G2182" s="380" t="s">
        <v>1267</v>
      </c>
      <c r="H2182" s="380" t="s">
        <v>771</v>
      </c>
      <c r="I2182" s="380" t="s">
        <v>1084</v>
      </c>
      <c r="J2182" s="380" t="s">
        <v>773</v>
      </c>
      <c r="K2182" s="381">
        <v>0.0</v>
      </c>
      <c r="L2182" s="382">
        <v>1.0</v>
      </c>
    </row>
    <row r="2183">
      <c r="A2183" s="380" t="s">
        <v>3046</v>
      </c>
      <c r="B2183" s="380" t="str">
        <f>IFERROR(__xludf.DUMMYFUNCTION("""COMPUTED_VALUE"""),"Chaqueta Observador De Ruta Sin Logo M")</f>
        <v>Chaqueta Observador De Ruta Sin Logo M</v>
      </c>
      <c r="C2183" s="380" t="str">
        <f>IFERROR(__xludf.DUMMYFUNCTION("""COMPUTED_VALUE"""),"30000481")</f>
        <v>30000481</v>
      </c>
      <c r="D2183" s="380" t="s">
        <v>767</v>
      </c>
      <c r="E2183" s="380" t="s">
        <v>810</v>
      </c>
      <c r="F2183" s="380" t="s">
        <v>1089</v>
      </c>
      <c r="G2183" s="380" t="s">
        <v>1267</v>
      </c>
      <c r="H2183" s="380" t="s">
        <v>771</v>
      </c>
      <c r="I2183" s="380" t="s">
        <v>1084</v>
      </c>
      <c r="J2183" s="380" t="s">
        <v>773</v>
      </c>
      <c r="K2183" s="381">
        <v>0.0</v>
      </c>
      <c r="L2183" s="382">
        <v>1.0</v>
      </c>
    </row>
    <row r="2184">
      <c r="A2184" s="380" t="s">
        <v>3047</v>
      </c>
      <c r="B2184" s="380" t="str">
        <f>IFERROR(__xludf.DUMMYFUNCTION("""COMPUTED_VALUE"""),"Chaqueta Observador De Ruta Sin Logo 40")</f>
        <v>Chaqueta Observador De Ruta Sin Logo 40</v>
      </c>
      <c r="C2184" s="380" t="str">
        <f>IFERROR(__xludf.DUMMYFUNCTION("""COMPUTED_VALUE"""),"30000482")</f>
        <v>30000482</v>
      </c>
      <c r="D2184" s="380" t="s">
        <v>767</v>
      </c>
      <c r="E2184" s="380" t="s">
        <v>810</v>
      </c>
      <c r="F2184" s="380" t="s">
        <v>1089</v>
      </c>
      <c r="G2184" s="380" t="s">
        <v>1267</v>
      </c>
      <c r="H2184" s="380" t="s">
        <v>771</v>
      </c>
      <c r="I2184" s="380" t="s">
        <v>1084</v>
      </c>
      <c r="J2184" s="380" t="s">
        <v>773</v>
      </c>
      <c r="K2184" s="381">
        <v>0.0</v>
      </c>
      <c r="L2184" s="382">
        <v>1.0</v>
      </c>
    </row>
    <row r="2185">
      <c r="A2185" s="380" t="s">
        <v>3048</v>
      </c>
      <c r="B2185" s="380" t="str">
        <f>IFERROR(__xludf.DUMMYFUNCTION("""COMPUTED_VALUE"""),"Chaqueta Observador Ruta Sin Logo L")</f>
        <v>Chaqueta Observador Ruta Sin Logo L</v>
      </c>
      <c r="C2185" s="380" t="str">
        <f>IFERROR(__xludf.DUMMYFUNCTION("""COMPUTED_VALUE"""),"30000483")</f>
        <v>30000483</v>
      </c>
      <c r="D2185" s="380" t="s">
        <v>767</v>
      </c>
      <c r="E2185" s="380" t="s">
        <v>810</v>
      </c>
      <c r="F2185" s="380" t="s">
        <v>1089</v>
      </c>
      <c r="G2185" s="380" t="s">
        <v>1267</v>
      </c>
      <c r="H2185" s="380" t="s">
        <v>771</v>
      </c>
      <c r="I2185" s="380" t="s">
        <v>1084</v>
      </c>
      <c r="J2185" s="380" t="s">
        <v>773</v>
      </c>
      <c r="K2185" s="381">
        <v>0.0</v>
      </c>
      <c r="L2185" s="382">
        <v>1.0</v>
      </c>
    </row>
    <row r="2186">
      <c r="A2186" s="380" t="s">
        <v>3049</v>
      </c>
      <c r="B2186" s="380" t="str">
        <f>IFERROR(__xludf.DUMMYFUNCTION("""COMPUTED_VALUE"""),"Chaqueta Observador Ruta Sin Logo S")</f>
        <v>Chaqueta Observador Ruta Sin Logo S</v>
      </c>
      <c r="C2186" s="380" t="str">
        <f>IFERROR(__xludf.DUMMYFUNCTION("""COMPUTED_VALUE"""),"30000484")</f>
        <v>30000484</v>
      </c>
      <c r="D2186" s="380" t="s">
        <v>767</v>
      </c>
      <c r="E2186" s="380" t="s">
        <v>810</v>
      </c>
      <c r="F2186" s="380" t="s">
        <v>1089</v>
      </c>
      <c r="G2186" s="380" t="s">
        <v>1267</v>
      </c>
      <c r="H2186" s="380" t="s">
        <v>771</v>
      </c>
      <c r="I2186" s="380" t="s">
        <v>1084</v>
      </c>
      <c r="J2186" s="380" t="s">
        <v>773</v>
      </c>
      <c r="K2186" s="381">
        <v>0.0</v>
      </c>
      <c r="L2186" s="382">
        <v>1.0</v>
      </c>
    </row>
    <row r="2187">
      <c r="A2187" s="380" t="s">
        <v>3050</v>
      </c>
      <c r="B2187" s="380" t="str">
        <f>IFERROR(__xludf.DUMMYFUNCTION("""COMPUTED_VALUE"""),"Pantalon Lino Prenses 36")</f>
        <v>Pantalon Lino Prenses 36</v>
      </c>
      <c r="C2187" s="380" t="str">
        <f>IFERROR(__xludf.DUMMYFUNCTION("""COMPUTED_VALUE"""),"30000485")</f>
        <v>30000485</v>
      </c>
      <c r="D2187" s="380" t="s">
        <v>767</v>
      </c>
      <c r="E2187" s="380" t="s">
        <v>810</v>
      </c>
      <c r="F2187" s="380" t="s">
        <v>1089</v>
      </c>
      <c r="G2187" s="380" t="s">
        <v>1267</v>
      </c>
      <c r="H2187" s="380" t="s">
        <v>771</v>
      </c>
      <c r="I2187" s="380" t="s">
        <v>1084</v>
      </c>
      <c r="J2187" s="380" t="s">
        <v>773</v>
      </c>
      <c r="K2187" s="381">
        <v>39966.0</v>
      </c>
      <c r="L2187" s="382">
        <v>1.0</v>
      </c>
    </row>
    <row r="2188">
      <c r="A2188" s="380" t="s">
        <v>3051</v>
      </c>
      <c r="B2188" s="380" t="str">
        <f>IFERROR(__xludf.DUMMYFUNCTION("""COMPUTED_VALUE"""),"Mocasin Dama Negro 40")</f>
        <v>Mocasin Dama Negro 40</v>
      </c>
      <c r="C2188" s="380" t="str">
        <f>IFERROR(__xludf.DUMMYFUNCTION("""COMPUTED_VALUE"""),"30000486")</f>
        <v>30000486</v>
      </c>
      <c r="D2188" s="380" t="s">
        <v>767</v>
      </c>
      <c r="E2188" s="380" t="s">
        <v>810</v>
      </c>
      <c r="F2188" s="380" t="s">
        <v>1089</v>
      </c>
      <c r="G2188" s="380" t="s">
        <v>1267</v>
      </c>
      <c r="H2188" s="380" t="s">
        <v>771</v>
      </c>
      <c r="I2188" s="380" t="s">
        <v>1084</v>
      </c>
      <c r="J2188" s="380" t="s">
        <v>773</v>
      </c>
      <c r="K2188" s="381">
        <v>65660.0</v>
      </c>
      <c r="L2188" s="382">
        <v>1.0</v>
      </c>
    </row>
    <row r="2189">
      <c r="A2189" s="380" t="s">
        <v>3052</v>
      </c>
      <c r="B2189" s="380" t="str">
        <f>IFERROR(__xludf.DUMMYFUNCTION("""COMPUTED_VALUE"""),"Chaqueta Observador Ruta Sin Logo 38")</f>
        <v>Chaqueta Observador Ruta Sin Logo 38</v>
      </c>
      <c r="C2189" s="380" t="str">
        <f>IFERROR(__xludf.DUMMYFUNCTION("""COMPUTED_VALUE"""),"30000487")</f>
        <v>30000487</v>
      </c>
      <c r="D2189" s="380" t="s">
        <v>767</v>
      </c>
      <c r="E2189" s="380" t="s">
        <v>810</v>
      </c>
      <c r="F2189" s="380" t="s">
        <v>1089</v>
      </c>
      <c r="G2189" s="380" t="s">
        <v>1267</v>
      </c>
      <c r="H2189" s="380" t="s">
        <v>771</v>
      </c>
      <c r="I2189" s="380" t="s">
        <v>1084</v>
      </c>
      <c r="J2189" s="380" t="s">
        <v>773</v>
      </c>
      <c r="K2189" s="381">
        <v>0.0</v>
      </c>
      <c r="L2189" s="382">
        <v>1.0</v>
      </c>
    </row>
    <row r="2190">
      <c r="A2190" s="380" t="s">
        <v>3053</v>
      </c>
      <c r="B2190" s="380" t="str">
        <f>IFERROR(__xludf.DUMMYFUNCTION("""COMPUTED_VALUE"""),"Chaqueta Observador Ruta Sin Logo 36")</f>
        <v>Chaqueta Observador Ruta Sin Logo 36</v>
      </c>
      <c r="C2190" s="380" t="str">
        <f>IFERROR(__xludf.DUMMYFUNCTION("""COMPUTED_VALUE"""),"30000488")</f>
        <v>30000488</v>
      </c>
      <c r="D2190" s="380" t="s">
        <v>767</v>
      </c>
      <c r="E2190" s="380" t="s">
        <v>810</v>
      </c>
      <c r="F2190" s="380" t="s">
        <v>1089</v>
      </c>
      <c r="G2190" s="380" t="s">
        <v>1267</v>
      </c>
      <c r="H2190" s="380" t="s">
        <v>771</v>
      </c>
      <c r="I2190" s="380" t="s">
        <v>1084</v>
      </c>
      <c r="J2190" s="380" t="s">
        <v>773</v>
      </c>
      <c r="K2190" s="381">
        <v>0.0</v>
      </c>
      <c r="L2190" s="382">
        <v>1.0</v>
      </c>
    </row>
    <row r="2191">
      <c r="A2191" s="380" t="s">
        <v>3054</v>
      </c>
      <c r="B2191" s="380" t="str">
        <f>IFERROR(__xludf.DUMMYFUNCTION("""COMPUTED_VALUE"""),"Chaqueta Observador Ruta Sin Logo 44")</f>
        <v>Chaqueta Observador Ruta Sin Logo 44</v>
      </c>
      <c r="C2191" s="380" t="str">
        <f>IFERROR(__xludf.DUMMYFUNCTION("""COMPUTED_VALUE"""),"30000489")</f>
        <v>30000489</v>
      </c>
      <c r="D2191" s="380" t="s">
        <v>767</v>
      </c>
      <c r="E2191" s="380" t="s">
        <v>810</v>
      </c>
      <c r="F2191" s="380" t="s">
        <v>1089</v>
      </c>
      <c r="G2191" s="380" t="s">
        <v>1267</v>
      </c>
      <c r="H2191" s="380" t="s">
        <v>771</v>
      </c>
      <c r="I2191" s="380" t="s">
        <v>1084</v>
      </c>
      <c r="J2191" s="380" t="s">
        <v>773</v>
      </c>
      <c r="K2191" s="381">
        <v>0.0</v>
      </c>
      <c r="L2191" s="382">
        <v>1.0</v>
      </c>
    </row>
    <row r="2192">
      <c r="A2192" s="380" t="s">
        <v>3055</v>
      </c>
      <c r="B2192" s="380" t="str">
        <f>IFERROR(__xludf.DUMMYFUNCTION("""COMPUTED_VALUE"""),"Chaqueta Observador Ruta Sin Logo 42")</f>
        <v>Chaqueta Observador Ruta Sin Logo 42</v>
      </c>
      <c r="C2192" s="380" t="str">
        <f>IFERROR(__xludf.DUMMYFUNCTION("""COMPUTED_VALUE"""),"30000490")</f>
        <v>30000490</v>
      </c>
      <c r="D2192" s="380" t="s">
        <v>767</v>
      </c>
      <c r="E2192" s="380" t="s">
        <v>810</v>
      </c>
      <c r="F2192" s="380" t="s">
        <v>1089</v>
      </c>
      <c r="G2192" s="380" t="s">
        <v>1267</v>
      </c>
      <c r="H2192" s="380" t="s">
        <v>771</v>
      </c>
      <c r="I2192" s="380" t="s">
        <v>1084</v>
      </c>
      <c r="J2192" s="380" t="s">
        <v>773</v>
      </c>
      <c r="K2192" s="381">
        <v>0.0</v>
      </c>
      <c r="L2192" s="382">
        <v>1.0</v>
      </c>
    </row>
    <row r="2193">
      <c r="A2193" s="380" t="s">
        <v>3056</v>
      </c>
      <c r="B2193" s="380" t="str">
        <f>IFERROR(__xludf.DUMMYFUNCTION("""COMPUTED_VALUE"""),"Careta De Soldar Para Casco")</f>
        <v>Careta De Soldar Para Casco</v>
      </c>
      <c r="C2193" s="380" t="str">
        <f>IFERROR(__xludf.DUMMYFUNCTION("""COMPUTED_VALUE"""),"30000491")</f>
        <v>30000491</v>
      </c>
      <c r="D2193" s="380" t="s">
        <v>767</v>
      </c>
      <c r="E2193" s="380" t="s">
        <v>810</v>
      </c>
      <c r="F2193" s="380" t="s">
        <v>1083</v>
      </c>
      <c r="G2193" s="380" t="s">
        <v>1267</v>
      </c>
      <c r="H2193" s="380" t="s">
        <v>771</v>
      </c>
      <c r="I2193" s="380" t="s">
        <v>1084</v>
      </c>
      <c r="J2193" s="380" t="s">
        <v>773</v>
      </c>
      <c r="K2193" s="381">
        <v>0.0</v>
      </c>
      <c r="L2193" s="382">
        <v>1.0</v>
      </c>
    </row>
    <row r="2194">
      <c r="A2194" s="380" t="s">
        <v>3057</v>
      </c>
      <c r="B2194" s="380" t="str">
        <f>IFERROR(__xludf.DUMMYFUNCTION("""COMPUTED_VALUE"""),"Soporte Base Extintor 15 Lb")</f>
        <v>Soporte Base Extintor 15 Lb</v>
      </c>
      <c r="C2194" s="380" t="str">
        <f>IFERROR(__xludf.DUMMYFUNCTION("""COMPUTED_VALUE"""),"30000496")</f>
        <v>30000496</v>
      </c>
      <c r="D2194" s="380" t="s">
        <v>767</v>
      </c>
      <c r="E2194" s="380" t="s">
        <v>810</v>
      </c>
      <c r="F2194" s="380" t="s">
        <v>811</v>
      </c>
      <c r="G2194" s="380" t="s">
        <v>1267</v>
      </c>
      <c r="H2194" s="380" t="s">
        <v>771</v>
      </c>
      <c r="I2194" s="380" t="s">
        <v>812</v>
      </c>
      <c r="J2194" s="380" t="s">
        <v>773</v>
      </c>
      <c r="K2194" s="381">
        <v>0.0</v>
      </c>
      <c r="L2194" s="382">
        <v>1.0</v>
      </c>
    </row>
    <row r="2195">
      <c r="A2195" s="380" t="s">
        <v>3058</v>
      </c>
      <c r="B2195" s="380" t="str">
        <f>IFERROR(__xludf.DUMMYFUNCTION("""COMPUTED_VALUE"""),"Chaleco Blindado")</f>
        <v>Chaleco Blindado</v>
      </c>
      <c r="C2195" s="380" t="str">
        <f>IFERROR(__xludf.DUMMYFUNCTION("""COMPUTED_VALUE"""),"30000497")</f>
        <v>30000497</v>
      </c>
      <c r="D2195" s="380" t="s">
        <v>767</v>
      </c>
      <c r="E2195" s="380" t="s">
        <v>810</v>
      </c>
      <c r="F2195" s="380" t="s">
        <v>1083</v>
      </c>
      <c r="G2195" s="380" t="s">
        <v>1267</v>
      </c>
      <c r="H2195" s="380" t="s">
        <v>771</v>
      </c>
      <c r="I2195" s="380" t="s">
        <v>1084</v>
      </c>
      <c r="J2195" s="380" t="s">
        <v>773</v>
      </c>
      <c r="K2195" s="381">
        <v>0.0</v>
      </c>
      <c r="L2195" s="382">
        <v>1.0</v>
      </c>
    </row>
    <row r="2196">
      <c r="A2196" s="380" t="s">
        <v>3059</v>
      </c>
      <c r="B2196" s="380" t="str">
        <f>IFERROR(__xludf.DUMMYFUNCTION("""COMPUTED_VALUE"""),"Arrestador De Alturas")</f>
        <v>Arrestador De Alturas</v>
      </c>
      <c r="C2196" s="380" t="str">
        <f>IFERROR(__xludf.DUMMYFUNCTION("""COMPUTED_VALUE"""),"30000498")</f>
        <v>30000498</v>
      </c>
      <c r="D2196" s="380" t="s">
        <v>767</v>
      </c>
      <c r="E2196" s="380" t="s">
        <v>810</v>
      </c>
      <c r="F2196" s="380" t="s">
        <v>811</v>
      </c>
      <c r="G2196" s="380" t="s">
        <v>1267</v>
      </c>
      <c r="H2196" s="380" t="s">
        <v>771</v>
      </c>
      <c r="I2196" s="380" t="s">
        <v>812</v>
      </c>
      <c r="J2196" s="380" t="s">
        <v>773</v>
      </c>
      <c r="K2196" s="381">
        <v>0.0</v>
      </c>
      <c r="L2196" s="382">
        <v>1.0</v>
      </c>
    </row>
    <row r="2197">
      <c r="A2197" s="380" t="s">
        <v>3060</v>
      </c>
      <c r="B2197" s="380" t="str">
        <f>IFERROR(__xludf.DUMMYFUNCTION("""COMPUTED_VALUE"""),"Certificación Equipos Protección Alturas")</f>
        <v>Certificación Equipos Protección Alturas</v>
      </c>
      <c r="C2197" s="380" t="str">
        <f>IFERROR(__xludf.DUMMYFUNCTION("""COMPUTED_VALUE"""),"30000499")</f>
        <v>30000499</v>
      </c>
      <c r="D2197" s="380" t="s">
        <v>767</v>
      </c>
      <c r="E2197" s="380" t="s">
        <v>810</v>
      </c>
      <c r="F2197" s="380" t="s">
        <v>1083</v>
      </c>
      <c r="G2197" s="380" t="s">
        <v>1267</v>
      </c>
      <c r="H2197" s="380" t="s">
        <v>771</v>
      </c>
      <c r="I2197" s="380" t="s">
        <v>1084</v>
      </c>
      <c r="J2197" s="380" t="s">
        <v>773</v>
      </c>
      <c r="K2197" s="381">
        <v>0.0</v>
      </c>
      <c r="L2197" s="382">
        <v>1.0</v>
      </c>
    </row>
    <row r="2198">
      <c r="A2198" s="380" t="s">
        <v>3061</v>
      </c>
      <c r="B2198" s="380" t="str">
        <f>IFERROR(__xludf.DUMMYFUNCTION("""COMPUTED_VALUE"""),"Jean Con Reflectivos")</f>
        <v>Jean Con Reflectivos</v>
      </c>
      <c r="C2198" s="380" t="str">
        <f>IFERROR(__xludf.DUMMYFUNCTION("""COMPUTED_VALUE"""),"30000500")</f>
        <v>30000500</v>
      </c>
      <c r="D2198" s="380" t="s">
        <v>767</v>
      </c>
      <c r="E2198" s="380" t="s">
        <v>810</v>
      </c>
      <c r="F2198" s="380" t="s">
        <v>1089</v>
      </c>
      <c r="G2198" s="380" t="s">
        <v>1267</v>
      </c>
      <c r="H2198" s="380" t="s">
        <v>771</v>
      </c>
      <c r="I2198" s="380" t="s">
        <v>1084</v>
      </c>
      <c r="J2198" s="380" t="s">
        <v>773</v>
      </c>
      <c r="K2198" s="381">
        <v>0.0</v>
      </c>
      <c r="L2198" s="382">
        <v>1.0</v>
      </c>
    </row>
    <row r="2199">
      <c r="A2199" s="380" t="s">
        <v>3062</v>
      </c>
      <c r="B2199" s="380" t="str">
        <f>IFERROR(__xludf.DUMMYFUNCTION("""COMPUTED_VALUE"""),"Eslinga Dielectrica")</f>
        <v>Eslinga Dielectrica</v>
      </c>
      <c r="C2199" s="380" t="str">
        <f>IFERROR(__xludf.DUMMYFUNCTION("""COMPUTED_VALUE"""),"30000501")</f>
        <v>30000501</v>
      </c>
      <c r="D2199" s="380" t="s">
        <v>767</v>
      </c>
      <c r="E2199" s="380" t="s">
        <v>810</v>
      </c>
      <c r="F2199" s="380" t="s">
        <v>1083</v>
      </c>
      <c r="G2199" s="380" t="s">
        <v>1267</v>
      </c>
      <c r="H2199" s="380" t="s">
        <v>771</v>
      </c>
      <c r="I2199" s="380" t="s">
        <v>1084</v>
      </c>
      <c r="J2199" s="380" t="s">
        <v>773</v>
      </c>
      <c r="K2199" s="381">
        <v>0.0</v>
      </c>
      <c r="L2199" s="382">
        <v>1.0</v>
      </c>
    </row>
    <row r="2200">
      <c r="A2200" s="380" t="s">
        <v>3063</v>
      </c>
      <c r="B2200" s="380" t="str">
        <f>IFERROR(__xludf.DUMMYFUNCTION("""COMPUTED_VALUE"""),"Extintor Bc 10 Libras Recargado")</f>
        <v>Extintor Bc 10 Libras Recargado</v>
      </c>
      <c r="C2200" s="380" t="str">
        <f>IFERROR(__xludf.DUMMYFUNCTION("""COMPUTED_VALUE"""),"30000502")</f>
        <v>30000502</v>
      </c>
      <c r="D2200" s="380" t="s">
        <v>767</v>
      </c>
      <c r="E2200" s="380" t="s">
        <v>810</v>
      </c>
      <c r="F2200" s="380" t="s">
        <v>811</v>
      </c>
      <c r="G2200" s="380" t="s">
        <v>1267</v>
      </c>
      <c r="H2200" s="380" t="s">
        <v>771</v>
      </c>
      <c r="I2200" s="380" t="s">
        <v>812</v>
      </c>
      <c r="J2200" s="380" t="s">
        <v>773</v>
      </c>
      <c r="K2200" s="381">
        <v>0.0</v>
      </c>
      <c r="L2200" s="382">
        <v>1.0</v>
      </c>
    </row>
    <row r="2201">
      <c r="A2201" s="380" t="s">
        <v>3064</v>
      </c>
      <c r="B2201" s="380" t="str">
        <f>IFERROR(__xludf.DUMMYFUNCTION("""COMPUTED_VALUE"""),"Mantenimiento Fonendoscopio")</f>
        <v>Mantenimiento Fonendoscopio</v>
      </c>
      <c r="C2201" s="380" t="str">
        <f>IFERROR(__xludf.DUMMYFUNCTION("""COMPUTED_VALUE"""),"30000503")</f>
        <v>30000503</v>
      </c>
      <c r="D2201" s="380" t="s">
        <v>767</v>
      </c>
      <c r="E2201" s="380" t="s">
        <v>810</v>
      </c>
      <c r="F2201" s="380" t="s">
        <v>811</v>
      </c>
      <c r="G2201" s="380" t="s">
        <v>1267</v>
      </c>
      <c r="H2201" s="380" t="s">
        <v>771</v>
      </c>
      <c r="I2201" s="380" t="s">
        <v>812</v>
      </c>
      <c r="J2201" s="380" t="s">
        <v>773</v>
      </c>
      <c r="K2201" s="381">
        <v>0.0</v>
      </c>
      <c r="L2201" s="382">
        <v>1.0</v>
      </c>
    </row>
    <row r="2202">
      <c r="A2202" s="380" t="s">
        <v>3065</v>
      </c>
      <c r="B2202" s="380" t="str">
        <f>IFERROR(__xludf.DUMMYFUNCTION("""COMPUTED_VALUE"""),"Estuche Protector Combo Tim Zebra Tc27")</f>
        <v>Estuche Protector Combo Tim Zebra Tc27</v>
      </c>
      <c r="C2202" s="380" t="str">
        <f>IFERROR(__xludf.DUMMYFUNCTION("""COMPUTED_VALUE"""),"30000504")</f>
        <v>30000504</v>
      </c>
      <c r="D2202" s="380" t="s">
        <v>767</v>
      </c>
      <c r="E2202" s="380" t="s">
        <v>810</v>
      </c>
      <c r="F2202" s="380" t="s">
        <v>1271</v>
      </c>
      <c r="G2202" s="380" t="s">
        <v>1267</v>
      </c>
      <c r="H2202" s="380" t="s">
        <v>771</v>
      </c>
      <c r="I2202" s="380" t="s">
        <v>1084</v>
      </c>
      <c r="J2202" s="380" t="s">
        <v>773</v>
      </c>
      <c r="K2202" s="381">
        <v>0.0</v>
      </c>
      <c r="L2202" s="382">
        <v>1.0</v>
      </c>
    </row>
    <row r="2203">
      <c r="A2203" s="380" t="s">
        <v>3066</v>
      </c>
      <c r="B2203" s="380" t="str">
        <f>IFERROR(__xludf.DUMMYFUNCTION("""COMPUTED_VALUE"""),"Extintor Avd Iones De Litio 6 Lts Nuevo")</f>
        <v>Extintor Avd Iones De Litio 6 Lts Nuevo</v>
      </c>
      <c r="C2203" s="380" t="str">
        <f>IFERROR(__xludf.DUMMYFUNCTION("""COMPUTED_VALUE"""),"30000505")</f>
        <v>30000505</v>
      </c>
      <c r="D2203" s="380" t="s">
        <v>767</v>
      </c>
      <c r="E2203" s="380" t="s">
        <v>810</v>
      </c>
      <c r="F2203" s="380" t="s">
        <v>811</v>
      </c>
      <c r="G2203" s="380" t="s">
        <v>1267</v>
      </c>
      <c r="H2203" s="380" t="s">
        <v>771</v>
      </c>
      <c r="I2203" s="380" t="s">
        <v>812</v>
      </c>
      <c r="J2203" s="380" t="s">
        <v>773</v>
      </c>
      <c r="K2203" s="381">
        <v>0.0</v>
      </c>
      <c r="L2203" s="382">
        <v>1.0</v>
      </c>
    </row>
    <row r="2204">
      <c r="A2204" s="380" t="s">
        <v>3067</v>
      </c>
      <c r="B2204" s="380" t="str">
        <f>IFERROR(__xludf.DUMMYFUNCTION("""COMPUTED_VALUE"""),"Mocasin Dama Negro 36")</f>
        <v>Mocasin Dama Negro 36</v>
      </c>
      <c r="C2204" s="380" t="str">
        <f>IFERROR(__xludf.DUMMYFUNCTION("""COMPUTED_VALUE"""),"30000506")</f>
        <v>30000506</v>
      </c>
      <c r="D2204" s="380" t="s">
        <v>767</v>
      </c>
      <c r="E2204" s="380" t="s">
        <v>810</v>
      </c>
      <c r="F2204" s="380" t="s">
        <v>1089</v>
      </c>
      <c r="G2204" s="380" t="s">
        <v>1267</v>
      </c>
      <c r="H2204" s="380" t="s">
        <v>771</v>
      </c>
      <c r="I2204" s="380" t="s">
        <v>1084</v>
      </c>
      <c r="J2204" s="380" t="s">
        <v>773</v>
      </c>
      <c r="K2204" s="381">
        <v>65660.0</v>
      </c>
      <c r="L2204" s="382">
        <v>1.0</v>
      </c>
    </row>
    <row r="2205">
      <c r="A2205" s="380" t="s">
        <v>3068</v>
      </c>
      <c r="B2205" s="380" t="str">
        <f>IFERROR(__xludf.DUMMYFUNCTION("""COMPUTED_VALUE"""),"Adaptador De Careta Para Cascos")</f>
        <v>Adaptador De Careta Para Cascos</v>
      </c>
      <c r="C2205" s="380" t="str">
        <f>IFERROR(__xludf.DUMMYFUNCTION("""COMPUTED_VALUE"""),"30000507")</f>
        <v>30000507</v>
      </c>
      <c r="D2205" s="380" t="s">
        <v>767</v>
      </c>
      <c r="E2205" s="380" t="s">
        <v>810</v>
      </c>
      <c r="F2205" s="380" t="s">
        <v>1083</v>
      </c>
      <c r="G2205" s="380" t="s">
        <v>1267</v>
      </c>
      <c r="H2205" s="380" t="s">
        <v>771</v>
      </c>
      <c r="I2205" s="380" t="s">
        <v>1084</v>
      </c>
      <c r="J2205" s="380" t="s">
        <v>773</v>
      </c>
      <c r="K2205" s="381">
        <v>0.0</v>
      </c>
      <c r="L2205" s="382">
        <v>1.0</v>
      </c>
    </row>
    <row r="2206">
      <c r="A2206" s="380" t="s">
        <v>3069</v>
      </c>
      <c r="B2206" s="380" t="str">
        <f>IFERROR(__xludf.DUMMYFUNCTION("""COMPUTED_VALUE"""),"Protector Auditivo Tipo Copa Para Casco")</f>
        <v>Protector Auditivo Tipo Copa Para Casco</v>
      </c>
      <c r="C2206" s="380" t="str">
        <f>IFERROR(__xludf.DUMMYFUNCTION("""COMPUTED_VALUE"""),"30000508")</f>
        <v>30000508</v>
      </c>
      <c r="D2206" s="380" t="s">
        <v>767</v>
      </c>
      <c r="E2206" s="380" t="s">
        <v>810</v>
      </c>
      <c r="F2206" s="380" t="s">
        <v>1083</v>
      </c>
      <c r="G2206" s="380" t="s">
        <v>1267</v>
      </c>
      <c r="H2206" s="380" t="s">
        <v>771</v>
      </c>
      <c r="I2206" s="380" t="s">
        <v>1084</v>
      </c>
      <c r="J2206" s="380" t="s">
        <v>773</v>
      </c>
      <c r="K2206" s="381">
        <v>0.0</v>
      </c>
      <c r="L2206" s="382">
        <v>1.0</v>
      </c>
    </row>
    <row r="2207">
      <c r="A2207" s="380" t="s">
        <v>3070</v>
      </c>
      <c r="B2207" s="380" t="str">
        <f>IFERROR(__xludf.DUMMYFUNCTION("""COMPUTED_VALUE"""),"Careta Esmeril Para Casco")</f>
        <v>Careta Esmeril Para Casco</v>
      </c>
      <c r="C2207" s="380" t="str">
        <f>IFERROR(__xludf.DUMMYFUNCTION("""COMPUTED_VALUE"""),"30000509")</f>
        <v>30000509</v>
      </c>
      <c r="D2207" s="380" t="s">
        <v>767</v>
      </c>
      <c r="E2207" s="380" t="s">
        <v>810</v>
      </c>
      <c r="F2207" s="380" t="s">
        <v>1083</v>
      </c>
      <c r="G2207" s="380" t="s">
        <v>1267</v>
      </c>
      <c r="H2207" s="380" t="s">
        <v>771</v>
      </c>
      <c r="I2207" s="380" t="s">
        <v>1084</v>
      </c>
      <c r="J2207" s="380" t="s">
        <v>773</v>
      </c>
      <c r="K2207" s="381">
        <v>0.0</v>
      </c>
      <c r="L2207" s="382">
        <v>1.0</v>
      </c>
    </row>
    <row r="2208">
      <c r="A2208" s="380" t="s">
        <v>3071</v>
      </c>
      <c r="B2208" s="380" t="str">
        <f>IFERROR(__xludf.DUMMYFUNCTION("""COMPUTED_VALUE"""),"Arnes Para Trabajos Con Soldadura")</f>
        <v>Arnes Para Trabajos Con Soldadura</v>
      </c>
      <c r="C2208" s="380" t="str">
        <f>IFERROR(__xludf.DUMMYFUNCTION("""COMPUTED_VALUE"""),"30000510")</f>
        <v>30000510</v>
      </c>
      <c r="D2208" s="380" t="s">
        <v>767</v>
      </c>
      <c r="E2208" s="380" t="s">
        <v>810</v>
      </c>
      <c r="F2208" s="380" t="s">
        <v>1083</v>
      </c>
      <c r="G2208" s="380" t="s">
        <v>1267</v>
      </c>
      <c r="H2208" s="380" t="s">
        <v>771</v>
      </c>
      <c r="I2208" s="380" t="s">
        <v>1084</v>
      </c>
      <c r="J2208" s="380" t="s">
        <v>773</v>
      </c>
      <c r="K2208" s="381">
        <v>0.0</v>
      </c>
      <c r="L2208" s="382">
        <v>1.0</v>
      </c>
    </row>
    <row r="2209">
      <c r="A2209" s="380" t="s">
        <v>3072</v>
      </c>
      <c r="B2209" s="380" t="str">
        <f>IFERROR(__xludf.DUMMYFUNCTION("""COMPUTED_VALUE"""),"Eslinga Para Trabajos Con Soldadura")</f>
        <v>Eslinga Para Trabajos Con Soldadura</v>
      </c>
      <c r="C2209" s="380" t="str">
        <f>IFERROR(__xludf.DUMMYFUNCTION("""COMPUTED_VALUE"""),"30000511")</f>
        <v>30000511</v>
      </c>
      <c r="D2209" s="380" t="s">
        <v>767</v>
      </c>
      <c r="E2209" s="380" t="s">
        <v>810</v>
      </c>
      <c r="F2209" s="380" t="s">
        <v>1083</v>
      </c>
      <c r="G2209" s="380" t="s">
        <v>1267</v>
      </c>
      <c r="H2209" s="380" t="s">
        <v>771</v>
      </c>
      <c r="I2209" s="380" t="s">
        <v>1084</v>
      </c>
      <c r="J2209" s="380" t="s">
        <v>773</v>
      </c>
      <c r="K2209" s="381">
        <v>0.0</v>
      </c>
      <c r="L2209" s="382">
        <v>1.0</v>
      </c>
    </row>
    <row r="2210">
      <c r="A2210" s="380" t="s">
        <v>3073</v>
      </c>
      <c r="B2210" s="380" t="str">
        <f>IFERROR(__xludf.DUMMYFUNCTION("""COMPUTED_VALUE"""),"Estuche Protector Unidad Tim Tc 21")</f>
        <v>Estuche Protector Unidad Tim Tc 21</v>
      </c>
      <c r="C2210" s="380" t="str">
        <f>IFERROR(__xludf.DUMMYFUNCTION("""COMPUTED_VALUE"""),"30000512")</f>
        <v>30000512</v>
      </c>
      <c r="D2210" s="380" t="s">
        <v>767</v>
      </c>
      <c r="E2210" s="380" t="s">
        <v>810</v>
      </c>
      <c r="F2210" s="380" t="s">
        <v>1271</v>
      </c>
      <c r="G2210" s="380" t="s">
        <v>1267</v>
      </c>
      <c r="H2210" s="380" t="s">
        <v>771</v>
      </c>
      <c r="I2210" s="380" t="s">
        <v>1084</v>
      </c>
      <c r="J2210" s="380" t="s">
        <v>773</v>
      </c>
      <c r="K2210" s="381">
        <v>0.0</v>
      </c>
      <c r="L2210" s="382">
        <v>1.0</v>
      </c>
    </row>
    <row r="2211">
      <c r="A2211" s="380" t="s">
        <v>3074</v>
      </c>
      <c r="B2211" s="380" t="str">
        <f>IFERROR(__xludf.DUMMYFUNCTION("""COMPUTED_VALUE"""),"Acetato Transparente Careta Esmeril")</f>
        <v>Acetato Transparente Careta Esmeril</v>
      </c>
      <c r="C2211" s="380" t="str">
        <f>IFERROR(__xludf.DUMMYFUNCTION("""COMPUTED_VALUE"""),"30000513")</f>
        <v>30000513</v>
      </c>
      <c r="D2211" s="380" t="s">
        <v>767</v>
      </c>
      <c r="E2211" s="380" t="s">
        <v>810</v>
      </c>
      <c r="F2211" s="380" t="s">
        <v>1083</v>
      </c>
      <c r="G2211" s="380" t="s">
        <v>1267</v>
      </c>
      <c r="H2211" s="380" t="s">
        <v>771</v>
      </c>
      <c r="I2211" s="380" t="s">
        <v>1084</v>
      </c>
      <c r="J2211" s="380" t="s">
        <v>773</v>
      </c>
      <c r="K2211" s="381">
        <v>11080.0</v>
      </c>
      <c r="L2211" s="382">
        <v>1.0</v>
      </c>
    </row>
    <row r="2212">
      <c r="A2212" s="380" t="s">
        <v>3075</v>
      </c>
      <c r="B2212" s="380" t="str">
        <f>IFERROR(__xludf.DUMMYFUNCTION("""COMPUTED_VALUE"""),"Extintor Polvo Seco Certif 10 Lb Recar")</f>
        <v>Extintor Polvo Seco Certif 10 Lb Recar</v>
      </c>
      <c r="C2212" s="380" t="str">
        <f>IFERROR(__xludf.DUMMYFUNCTION("""COMPUTED_VALUE"""),"30000514")</f>
        <v>30000514</v>
      </c>
      <c r="D2212" s="380" t="s">
        <v>767</v>
      </c>
      <c r="E2212" s="380" t="s">
        <v>810</v>
      </c>
      <c r="F2212" s="380" t="s">
        <v>811</v>
      </c>
      <c r="G2212" s="380" t="s">
        <v>1267</v>
      </c>
      <c r="H2212" s="380" t="s">
        <v>771</v>
      </c>
      <c r="I2212" s="380" t="s">
        <v>812</v>
      </c>
      <c r="J2212" s="380" t="s">
        <v>773</v>
      </c>
      <c r="K2212" s="381">
        <v>0.0</v>
      </c>
      <c r="L2212" s="382">
        <v>1.0</v>
      </c>
    </row>
    <row r="2213">
      <c r="A2213" s="380" t="s">
        <v>3076</v>
      </c>
      <c r="B2213" s="380" t="str">
        <f>IFERROR(__xludf.DUMMYFUNCTION("""COMPUTED_VALUE"""),"Inmovilizador Cervical Ajustable")</f>
        <v>Inmovilizador Cervical Ajustable</v>
      </c>
      <c r="C2213" s="380" t="str">
        <f>IFERROR(__xludf.DUMMYFUNCTION("""COMPUTED_VALUE"""),"30000515")</f>
        <v>30000515</v>
      </c>
      <c r="D2213" s="380" t="s">
        <v>767</v>
      </c>
      <c r="E2213" s="380" t="s">
        <v>810</v>
      </c>
      <c r="F2213" s="380" t="s">
        <v>1083</v>
      </c>
      <c r="G2213" s="380" t="s">
        <v>1267</v>
      </c>
      <c r="H2213" s="380" t="s">
        <v>771</v>
      </c>
      <c r="I2213" s="380" t="s">
        <v>1084</v>
      </c>
      <c r="J2213" s="380" t="s">
        <v>773</v>
      </c>
      <c r="K2213" s="381">
        <v>0.0</v>
      </c>
      <c r="L2213" s="382">
        <v>1.0</v>
      </c>
    </row>
    <row r="2214">
      <c r="A2214" s="380" t="s">
        <v>3077</v>
      </c>
      <c r="B2214" s="380" t="str">
        <f>IFERROR(__xludf.DUMMYFUNCTION("""COMPUTED_VALUE"""),"Blusa Oxfor Dama Mc Con Logo 10")</f>
        <v>Blusa Oxfor Dama Mc Con Logo 10</v>
      </c>
      <c r="C2214" s="380" t="str">
        <f>IFERROR(__xludf.DUMMYFUNCTION("""COMPUTED_VALUE"""),"30000516")</f>
        <v>30000516</v>
      </c>
      <c r="D2214" s="380" t="s">
        <v>767</v>
      </c>
      <c r="E2214" s="380" t="s">
        <v>810</v>
      </c>
      <c r="F2214" s="380" t="s">
        <v>1089</v>
      </c>
      <c r="G2214" s="380" t="s">
        <v>1267</v>
      </c>
      <c r="H2214" s="380" t="s">
        <v>771</v>
      </c>
      <c r="I2214" s="380" t="s">
        <v>1084</v>
      </c>
      <c r="J2214" s="380" t="s">
        <v>773</v>
      </c>
      <c r="K2214" s="381">
        <v>32275.0</v>
      </c>
      <c r="L2214" s="382">
        <v>1.0</v>
      </c>
    </row>
    <row r="2215">
      <c r="A2215" s="380" t="s">
        <v>3078</v>
      </c>
      <c r="B2215" s="380" t="str">
        <f>IFERROR(__xludf.DUMMYFUNCTION("""COMPUTED_VALUE"""),"Bata Quirúrgica")</f>
        <v>Bata Quirúrgica</v>
      </c>
      <c r="C2215" s="380" t="str">
        <f>IFERROR(__xludf.DUMMYFUNCTION("""COMPUTED_VALUE"""),"30000517")</f>
        <v>30000517</v>
      </c>
      <c r="D2215" s="380" t="s">
        <v>767</v>
      </c>
      <c r="E2215" s="380" t="s">
        <v>810</v>
      </c>
      <c r="F2215" s="380" t="s">
        <v>811</v>
      </c>
      <c r="G2215" s="380" t="s">
        <v>1267</v>
      </c>
      <c r="H2215" s="380" t="s">
        <v>771</v>
      </c>
      <c r="I2215" s="380" t="s">
        <v>812</v>
      </c>
      <c r="J2215" s="380" t="s">
        <v>773</v>
      </c>
      <c r="K2215" s="381">
        <v>0.0</v>
      </c>
      <c r="L2215" s="382">
        <v>1.0</v>
      </c>
    </row>
    <row r="2216">
      <c r="A2216" s="380" t="s">
        <v>3079</v>
      </c>
      <c r="B2216" s="380" t="str">
        <f>IFERROR(__xludf.DUMMYFUNCTION("""COMPUTED_VALUE"""),"Adaptador De Cuerda Ref Ac202d/0")</f>
        <v>Adaptador De Cuerda Ref Ac202d/0</v>
      </c>
      <c r="C2216" s="380" t="str">
        <f>IFERROR(__xludf.DUMMYFUNCTION("""COMPUTED_VALUE"""),"30000518")</f>
        <v>30000518</v>
      </c>
      <c r="D2216" s="380" t="s">
        <v>767</v>
      </c>
      <c r="E2216" s="380" t="s">
        <v>810</v>
      </c>
      <c r="F2216" s="380" t="s">
        <v>1083</v>
      </c>
      <c r="G2216" s="380" t="s">
        <v>1267</v>
      </c>
      <c r="H2216" s="380" t="s">
        <v>771</v>
      </c>
      <c r="I2216" s="380" t="s">
        <v>1084</v>
      </c>
      <c r="J2216" s="380" t="s">
        <v>773</v>
      </c>
      <c r="K2216" s="381">
        <v>0.0</v>
      </c>
      <c r="L2216" s="382">
        <v>1.0</v>
      </c>
    </row>
    <row r="2217">
      <c r="A2217" s="380" t="s">
        <v>3080</v>
      </c>
      <c r="B2217" s="380" t="str">
        <f>IFERROR(__xludf.DUMMYFUNCTION("""COMPUTED_VALUE"""),"Mosqueton 45 Kn Ref 2000112")</f>
        <v>Mosqueton 45 Kn Ref 2000112</v>
      </c>
      <c r="C2217" s="380" t="str">
        <f>IFERROR(__xludf.DUMMYFUNCTION("""COMPUTED_VALUE"""),"30000519")</f>
        <v>30000519</v>
      </c>
      <c r="D2217" s="380" t="s">
        <v>767</v>
      </c>
      <c r="E2217" s="380" t="s">
        <v>810</v>
      </c>
      <c r="F2217" s="380" t="s">
        <v>1083</v>
      </c>
      <c r="G2217" s="380" t="s">
        <v>1267</v>
      </c>
      <c r="H2217" s="380" t="s">
        <v>771</v>
      </c>
      <c r="I2217" s="380" t="s">
        <v>1084</v>
      </c>
      <c r="J2217" s="380" t="s">
        <v>773</v>
      </c>
      <c r="K2217" s="381">
        <v>0.0</v>
      </c>
      <c r="L2217" s="382">
        <v>1.0</v>
      </c>
    </row>
    <row r="2218">
      <c r="A2218" s="380" t="s">
        <v>3081</v>
      </c>
      <c r="B2218" s="380" t="str">
        <f>IFERROR(__xludf.DUMMYFUNCTION("""COMPUTED_VALUE"""),"Cinta De Anclaje Ref 217052")</f>
        <v>Cinta De Anclaje Ref 217052</v>
      </c>
      <c r="C2218" s="380" t="str">
        <f>IFERROR(__xludf.DUMMYFUNCTION("""COMPUTED_VALUE"""),"30000520")</f>
        <v>30000520</v>
      </c>
      <c r="D2218" s="380" t="s">
        <v>767</v>
      </c>
      <c r="E2218" s="380" t="s">
        <v>810</v>
      </c>
      <c r="F2218" s="380" t="s">
        <v>1083</v>
      </c>
      <c r="G2218" s="380" t="s">
        <v>1267</v>
      </c>
      <c r="H2218" s="380" t="s">
        <v>771</v>
      </c>
      <c r="I2218" s="380" t="s">
        <v>1084</v>
      </c>
      <c r="J2218" s="380" t="s">
        <v>773</v>
      </c>
      <c r="K2218" s="381">
        <v>0.0</v>
      </c>
      <c r="L2218" s="382">
        <v>1.0</v>
      </c>
    </row>
    <row r="2219">
      <c r="A2219" s="380" t="s">
        <v>3082</v>
      </c>
      <c r="B2219" s="380" t="str">
        <f>IFERROR(__xludf.DUMMYFUNCTION("""COMPUTED_VALUE"""),"Inmovilizador Cervical Para Camilla")</f>
        <v>Inmovilizador Cervical Para Camilla</v>
      </c>
      <c r="C2219" s="380" t="str">
        <f>IFERROR(__xludf.DUMMYFUNCTION("""COMPUTED_VALUE"""),"30000521")</f>
        <v>30000521</v>
      </c>
      <c r="D2219" s="380" t="s">
        <v>767</v>
      </c>
      <c r="E2219" s="380" t="s">
        <v>810</v>
      </c>
      <c r="F2219" s="380" t="s">
        <v>1083</v>
      </c>
      <c r="G2219" s="380" t="s">
        <v>1267</v>
      </c>
      <c r="H2219" s="380" t="s">
        <v>771</v>
      </c>
      <c r="I2219" s="380" t="s">
        <v>1084</v>
      </c>
      <c r="J2219" s="380" t="s">
        <v>773</v>
      </c>
      <c r="K2219" s="381">
        <v>0.0</v>
      </c>
      <c r="L2219" s="382">
        <v>1.0</v>
      </c>
    </row>
    <row r="2220">
      <c r="A2220" s="380" t="s">
        <v>3083</v>
      </c>
      <c r="B2220" s="380" t="str">
        <f>IFERROR(__xludf.DUMMYFUNCTION("""COMPUTED_VALUE"""),"Tafilete Rep Casco 6 Pun Apoyo 11880005")</f>
        <v>Tafilete Rep Casco 6 Pun Apoyo 11880005</v>
      </c>
      <c r="C2220" s="380" t="str">
        <f>IFERROR(__xludf.DUMMYFUNCTION("""COMPUTED_VALUE"""),"30000522")</f>
        <v>30000522</v>
      </c>
      <c r="D2220" s="380" t="s">
        <v>767</v>
      </c>
      <c r="E2220" s="380" t="s">
        <v>810</v>
      </c>
      <c r="F2220" s="380" t="s">
        <v>1083</v>
      </c>
      <c r="G2220" s="380" t="s">
        <v>1267</v>
      </c>
      <c r="H2220" s="380" t="s">
        <v>771</v>
      </c>
      <c r="I2220" s="380" t="s">
        <v>1084</v>
      </c>
      <c r="J2220" s="380" t="s">
        <v>773</v>
      </c>
      <c r="K2220" s="381">
        <v>0.0</v>
      </c>
      <c r="L2220" s="382">
        <v>1.0</v>
      </c>
    </row>
    <row r="2221">
      <c r="A2221" s="380" t="s">
        <v>3084</v>
      </c>
      <c r="B2221" s="380" t="str">
        <f>IFERROR(__xludf.DUMMYFUNCTION("""COMPUTED_VALUE"""),"Prueba Hidrostatica Extintor")</f>
        <v>Prueba Hidrostatica Extintor</v>
      </c>
      <c r="C2221" s="380" t="str">
        <f>IFERROR(__xludf.DUMMYFUNCTION("""COMPUTED_VALUE"""),"30000523")</f>
        <v>30000523</v>
      </c>
      <c r="D2221" s="380" t="s">
        <v>767</v>
      </c>
      <c r="E2221" s="380" t="s">
        <v>810</v>
      </c>
      <c r="F2221" s="380" t="s">
        <v>811</v>
      </c>
      <c r="G2221" s="380" t="s">
        <v>1267</v>
      </c>
      <c r="H2221" s="380" t="s">
        <v>771</v>
      </c>
      <c r="I2221" s="380" t="s">
        <v>812</v>
      </c>
      <c r="J2221" s="380" t="s">
        <v>773</v>
      </c>
      <c r="K2221" s="381">
        <v>0.0</v>
      </c>
      <c r="L2221" s="382">
        <v>1.0</v>
      </c>
    </row>
    <row r="2222">
      <c r="A2222" s="380" t="s">
        <v>3085</v>
      </c>
      <c r="B2222" s="380" t="str">
        <f>IFERROR(__xludf.DUMMYFUNCTION("""COMPUTED_VALUE"""),"Araña Para Casco")</f>
        <v>Araña Para Casco</v>
      </c>
      <c r="C2222" s="380" t="str">
        <f>IFERROR(__xludf.DUMMYFUNCTION("""COMPUTED_VALUE"""),"30000525")</f>
        <v>30000525</v>
      </c>
      <c r="D2222" s="380" t="s">
        <v>767</v>
      </c>
      <c r="E2222" s="380" t="s">
        <v>810</v>
      </c>
      <c r="F2222" s="380" t="s">
        <v>1083</v>
      </c>
      <c r="G2222" s="380" t="s">
        <v>1267</v>
      </c>
      <c r="H2222" s="380" t="s">
        <v>771</v>
      </c>
      <c r="I2222" s="380" t="s">
        <v>1084</v>
      </c>
      <c r="J2222" s="380" t="s">
        <v>773</v>
      </c>
      <c r="K2222" s="381">
        <v>0.0</v>
      </c>
      <c r="L2222" s="382">
        <v>1.0</v>
      </c>
    </row>
    <row r="2223">
      <c r="A2223" s="380" t="s">
        <v>3086</v>
      </c>
      <c r="B2223" s="380" t="str">
        <f>IFERROR(__xludf.DUMMYFUNCTION("""COMPUTED_VALUE"""),"Mocasin Dama Negro 33")</f>
        <v>Mocasin Dama Negro 33</v>
      </c>
      <c r="C2223" s="380" t="str">
        <f>IFERROR(__xludf.DUMMYFUNCTION("""COMPUTED_VALUE"""),"30000526")</f>
        <v>30000526</v>
      </c>
      <c r="D2223" s="380" t="s">
        <v>767</v>
      </c>
      <c r="E2223" s="380" t="s">
        <v>810</v>
      </c>
      <c r="F2223" s="380" t="s">
        <v>1089</v>
      </c>
      <c r="G2223" s="380" t="s">
        <v>1267</v>
      </c>
      <c r="H2223" s="380" t="s">
        <v>771</v>
      </c>
      <c r="I2223" s="380" t="s">
        <v>1084</v>
      </c>
      <c r="J2223" s="380" t="s">
        <v>773</v>
      </c>
      <c r="K2223" s="381">
        <v>0.0</v>
      </c>
      <c r="L2223" s="382">
        <v>1.0</v>
      </c>
    </row>
    <row r="2224">
      <c r="A2224" s="380" t="s">
        <v>3087</v>
      </c>
      <c r="B2224" s="380" t="str">
        <f>IFERROR(__xludf.DUMMYFUNCTION("""COMPUTED_VALUE"""),"Chaqueta Vigilancia Con Logo 42")</f>
        <v>Chaqueta Vigilancia Con Logo 42</v>
      </c>
      <c r="C2224" s="380" t="str">
        <f>IFERROR(__xludf.DUMMYFUNCTION("""COMPUTED_VALUE"""),"30000527")</f>
        <v>30000527</v>
      </c>
      <c r="D2224" s="380" t="s">
        <v>767</v>
      </c>
      <c r="E2224" s="380" t="s">
        <v>810</v>
      </c>
      <c r="F2224" s="380" t="s">
        <v>1089</v>
      </c>
      <c r="G2224" s="380" t="s">
        <v>1267</v>
      </c>
      <c r="H2224" s="380" t="s">
        <v>771</v>
      </c>
      <c r="I2224" s="380" t="s">
        <v>1084</v>
      </c>
      <c r="J2224" s="380" t="s">
        <v>773</v>
      </c>
      <c r="K2224" s="381">
        <v>0.0</v>
      </c>
      <c r="L2224" s="382">
        <v>1.0</v>
      </c>
    </row>
    <row r="2225">
      <c r="A2225" s="380" t="s">
        <v>3088</v>
      </c>
      <c r="B2225" s="380" t="str">
        <f>IFERROR(__xludf.DUMMYFUNCTION("""COMPUTED_VALUE"""),"Chaqueta Vigilancia Con Logo Xxl")</f>
        <v>Chaqueta Vigilancia Con Logo Xxl</v>
      </c>
      <c r="C2225" s="380" t="str">
        <f>IFERROR(__xludf.DUMMYFUNCTION("""COMPUTED_VALUE"""),"30000528")</f>
        <v>30000528</v>
      </c>
      <c r="D2225" s="380" t="s">
        <v>767</v>
      </c>
      <c r="E2225" s="380" t="s">
        <v>810</v>
      </c>
      <c r="F2225" s="380" t="s">
        <v>1089</v>
      </c>
      <c r="G2225" s="380" t="s">
        <v>1267</v>
      </c>
      <c r="H2225" s="380" t="s">
        <v>771</v>
      </c>
      <c r="I2225" s="380" t="s">
        <v>1084</v>
      </c>
      <c r="J2225" s="380" t="s">
        <v>773</v>
      </c>
      <c r="K2225" s="381">
        <v>0.0</v>
      </c>
      <c r="L2225" s="382">
        <v>1.0</v>
      </c>
    </row>
    <row r="2226">
      <c r="A2226" s="380" t="s">
        <v>3089</v>
      </c>
      <c r="B2226" s="380" t="str">
        <f>IFERROR(__xludf.DUMMYFUNCTION("""COMPUTED_VALUE"""),"Chaqueta Vigilancia Con Logo 40")</f>
        <v>Chaqueta Vigilancia Con Logo 40</v>
      </c>
      <c r="C2226" s="380" t="str">
        <f>IFERROR(__xludf.DUMMYFUNCTION("""COMPUTED_VALUE"""),"30000529")</f>
        <v>30000529</v>
      </c>
      <c r="D2226" s="380" t="s">
        <v>767</v>
      </c>
      <c r="E2226" s="380" t="s">
        <v>810</v>
      </c>
      <c r="F2226" s="380" t="s">
        <v>1089</v>
      </c>
      <c r="G2226" s="380" t="s">
        <v>1267</v>
      </c>
      <c r="H2226" s="380" t="s">
        <v>771</v>
      </c>
      <c r="I2226" s="380" t="s">
        <v>1084</v>
      </c>
      <c r="J2226" s="380" t="s">
        <v>773</v>
      </c>
      <c r="K2226" s="381">
        <v>0.0</v>
      </c>
      <c r="L2226" s="382">
        <v>1.0</v>
      </c>
    </row>
    <row r="2227">
      <c r="A2227" s="380" t="s">
        <v>3090</v>
      </c>
      <c r="B2227" s="380" t="str">
        <f>IFERROR(__xludf.DUMMYFUNCTION("""COMPUTED_VALUE"""),"Impermeable Moto Bota Latex Sin Logo 44")</f>
        <v>Impermeable Moto Bota Latex Sin Logo 44</v>
      </c>
      <c r="C2227" s="380" t="str">
        <f>IFERROR(__xludf.DUMMYFUNCTION("""COMPUTED_VALUE"""),"30000530")</f>
        <v>30000530</v>
      </c>
      <c r="D2227" s="380" t="s">
        <v>767</v>
      </c>
      <c r="E2227" s="380" t="s">
        <v>810</v>
      </c>
      <c r="F2227" s="380" t="s">
        <v>1089</v>
      </c>
      <c r="G2227" s="380" t="s">
        <v>1267</v>
      </c>
      <c r="H2227" s="380" t="s">
        <v>771</v>
      </c>
      <c r="I2227" s="380" t="s">
        <v>1084</v>
      </c>
      <c r="J2227" s="380" t="s">
        <v>773</v>
      </c>
      <c r="K2227" s="381">
        <v>85206.0</v>
      </c>
      <c r="L2227" s="382">
        <v>1.0</v>
      </c>
    </row>
    <row r="2228">
      <c r="A2228" s="380" t="s">
        <v>3091</v>
      </c>
      <c r="B2228" s="380" t="str">
        <f>IFERROR(__xludf.DUMMYFUNCTION("""COMPUTED_VALUE"""),"Impermeable Moto Bota Latex Sin Logo 38")</f>
        <v>Impermeable Moto Bota Latex Sin Logo 38</v>
      </c>
      <c r="C2228" s="380" t="str">
        <f>IFERROR(__xludf.DUMMYFUNCTION("""COMPUTED_VALUE"""),"30000531")</f>
        <v>30000531</v>
      </c>
      <c r="D2228" s="380" t="s">
        <v>767</v>
      </c>
      <c r="E2228" s="380" t="s">
        <v>810</v>
      </c>
      <c r="F2228" s="380" t="s">
        <v>1089</v>
      </c>
      <c r="G2228" s="380" t="s">
        <v>1267</v>
      </c>
      <c r="H2228" s="380" t="s">
        <v>771</v>
      </c>
      <c r="I2228" s="380" t="s">
        <v>1084</v>
      </c>
      <c r="J2228" s="380" t="s">
        <v>773</v>
      </c>
      <c r="K2228" s="381">
        <v>0.0</v>
      </c>
      <c r="L2228" s="382">
        <v>1.0</v>
      </c>
    </row>
    <row r="2229">
      <c r="A2229" s="380" t="s">
        <v>3092</v>
      </c>
      <c r="B2229" s="380" t="str">
        <f>IFERROR(__xludf.DUMMYFUNCTION("""COMPUTED_VALUE"""),"Impermeable Moto Bota Latex Sin Logo U")</f>
        <v>Impermeable Moto Bota Latex Sin Logo U</v>
      </c>
      <c r="C2229" s="380" t="str">
        <f>IFERROR(__xludf.DUMMYFUNCTION("""COMPUTED_VALUE"""),"30000532")</f>
        <v>30000532</v>
      </c>
      <c r="D2229" s="380" t="s">
        <v>767</v>
      </c>
      <c r="E2229" s="380" t="s">
        <v>810</v>
      </c>
      <c r="F2229" s="380" t="s">
        <v>1089</v>
      </c>
      <c r="G2229" s="380" t="s">
        <v>1267</v>
      </c>
      <c r="H2229" s="380" t="s">
        <v>771</v>
      </c>
      <c r="I2229" s="380" t="s">
        <v>1084</v>
      </c>
      <c r="J2229" s="380" t="s">
        <v>773</v>
      </c>
      <c r="K2229" s="381">
        <v>0.0</v>
      </c>
      <c r="L2229" s="382">
        <v>1.0</v>
      </c>
    </row>
    <row r="2230">
      <c r="A2230" s="380" t="s">
        <v>3093</v>
      </c>
      <c r="B2230" s="380" t="str">
        <f>IFERROR(__xludf.DUMMYFUNCTION("""COMPUTED_VALUE"""),"Impermeable Moto Bota Latex Sin Logo 40")</f>
        <v>Impermeable Moto Bota Latex Sin Logo 40</v>
      </c>
      <c r="C2230" s="380" t="str">
        <f>IFERROR(__xludf.DUMMYFUNCTION("""COMPUTED_VALUE"""),"30000533")</f>
        <v>30000533</v>
      </c>
      <c r="D2230" s="380" t="s">
        <v>767</v>
      </c>
      <c r="E2230" s="380" t="s">
        <v>810</v>
      </c>
      <c r="F2230" s="380" t="s">
        <v>1089</v>
      </c>
      <c r="G2230" s="380" t="s">
        <v>1267</v>
      </c>
      <c r="H2230" s="380" t="s">
        <v>771</v>
      </c>
      <c r="I2230" s="380" t="s">
        <v>1084</v>
      </c>
      <c r="J2230" s="380" t="s">
        <v>773</v>
      </c>
      <c r="K2230" s="381">
        <v>0.0</v>
      </c>
      <c r="L2230" s="382">
        <v>1.0</v>
      </c>
    </row>
    <row r="2231">
      <c r="A2231" s="380" t="s">
        <v>3094</v>
      </c>
      <c r="B2231" s="380" t="str">
        <f>IFERROR(__xludf.DUMMYFUNCTION("""COMPUTED_VALUE"""),"Impermeable Moto Bota Latex Sin Logo 42")</f>
        <v>Impermeable Moto Bota Latex Sin Logo 42</v>
      </c>
      <c r="C2231" s="380" t="str">
        <f>IFERROR(__xludf.DUMMYFUNCTION("""COMPUTED_VALUE"""),"30000534")</f>
        <v>30000534</v>
      </c>
      <c r="D2231" s="380" t="s">
        <v>767</v>
      </c>
      <c r="E2231" s="380" t="s">
        <v>810</v>
      </c>
      <c r="F2231" s="380" t="s">
        <v>1089</v>
      </c>
      <c r="G2231" s="380" t="s">
        <v>1267</v>
      </c>
      <c r="H2231" s="380" t="s">
        <v>771</v>
      </c>
      <c r="I2231" s="380" t="s">
        <v>1084</v>
      </c>
      <c r="J2231" s="380" t="s">
        <v>773</v>
      </c>
      <c r="K2231" s="381">
        <v>85206.0</v>
      </c>
      <c r="L2231" s="382">
        <v>1.0</v>
      </c>
    </row>
    <row r="2232">
      <c r="A2232" s="380" t="s">
        <v>3095</v>
      </c>
      <c r="B2232" s="380" t="str">
        <f>IFERROR(__xludf.DUMMYFUNCTION("""COMPUTED_VALUE"""),"Mosquetón Con Cumpuerta 11/16 In")</f>
        <v>Mosquetón Con Cumpuerta 11/16 In</v>
      </c>
      <c r="C2232" s="380" t="str">
        <f>IFERROR(__xludf.DUMMYFUNCTION("""COMPUTED_VALUE"""),"30000535")</f>
        <v>30000535</v>
      </c>
      <c r="D2232" s="380" t="s">
        <v>767</v>
      </c>
      <c r="E2232" s="380" t="s">
        <v>810</v>
      </c>
      <c r="F2232" s="380" t="s">
        <v>1083</v>
      </c>
      <c r="G2232" s="380" t="s">
        <v>1267</v>
      </c>
      <c r="H2232" s="380" t="s">
        <v>771</v>
      </c>
      <c r="I2232" s="380" t="s">
        <v>1084</v>
      </c>
      <c r="J2232" s="380" t="s">
        <v>773</v>
      </c>
      <c r="K2232" s="381">
        <v>0.0</v>
      </c>
      <c r="L2232" s="382">
        <v>1.0</v>
      </c>
    </row>
    <row r="2233">
      <c r="A2233" s="380" t="s">
        <v>3096</v>
      </c>
      <c r="B2233" s="380" t="str">
        <f>IFERROR(__xludf.DUMMYFUNCTION("""COMPUTED_VALUE"""),"Blusa Oxfor Dama Mc Con Logo 36")</f>
        <v>Blusa Oxfor Dama Mc Con Logo 36</v>
      </c>
      <c r="C2233" s="380" t="str">
        <f>IFERROR(__xludf.DUMMYFUNCTION("""COMPUTED_VALUE"""),"30000536")</f>
        <v>30000536</v>
      </c>
      <c r="D2233" s="380" t="s">
        <v>767</v>
      </c>
      <c r="E2233" s="380" t="s">
        <v>810</v>
      </c>
      <c r="F2233" s="380" t="s">
        <v>1089</v>
      </c>
      <c r="G2233" s="380" t="s">
        <v>1267</v>
      </c>
      <c r="H2233" s="380" t="s">
        <v>771</v>
      </c>
      <c r="I2233" s="380" t="s">
        <v>1084</v>
      </c>
      <c r="J2233" s="380" t="s">
        <v>773</v>
      </c>
      <c r="K2233" s="381">
        <v>0.0</v>
      </c>
      <c r="L2233" s="382">
        <v>1.0</v>
      </c>
    </row>
    <row r="2234">
      <c r="A2234" s="380" t="s">
        <v>3097</v>
      </c>
      <c r="B2234" s="380" t="str">
        <f>IFERROR(__xludf.DUMMYFUNCTION("""COMPUTED_VALUE"""),"Eslinga Arseg 1228287")</f>
        <v>Eslinga Arseg 1228287</v>
      </c>
      <c r="C2234" s="380" t="str">
        <f>IFERROR(__xludf.DUMMYFUNCTION("""COMPUTED_VALUE"""),"30000537")</f>
        <v>30000537</v>
      </c>
      <c r="D2234" s="380" t="s">
        <v>767</v>
      </c>
      <c r="E2234" s="380" t="s">
        <v>810</v>
      </c>
      <c r="F2234" s="380" t="s">
        <v>1083</v>
      </c>
      <c r="G2234" s="380" t="s">
        <v>1267</v>
      </c>
      <c r="H2234" s="380" t="s">
        <v>771</v>
      </c>
      <c r="I2234" s="380" t="s">
        <v>1084</v>
      </c>
      <c r="J2234" s="380" t="s">
        <v>773</v>
      </c>
      <c r="K2234" s="381">
        <v>0.0</v>
      </c>
      <c r="L2234" s="382">
        <v>1.0</v>
      </c>
    </row>
    <row r="2235">
      <c r="A2235" s="380" t="s">
        <v>3098</v>
      </c>
      <c r="B2235" s="380" t="str">
        <f>IFERROR(__xludf.DUMMYFUNCTION("""COMPUTED_VALUE"""),"Fonendoscopio")</f>
        <v>Fonendoscopio</v>
      </c>
      <c r="C2235" s="380" t="str">
        <f>IFERROR(__xludf.DUMMYFUNCTION("""COMPUTED_VALUE"""),"30000538")</f>
        <v>30000538</v>
      </c>
      <c r="D2235" s="380" t="s">
        <v>767</v>
      </c>
      <c r="E2235" s="380" t="s">
        <v>810</v>
      </c>
      <c r="F2235" s="380" t="s">
        <v>811</v>
      </c>
      <c r="G2235" s="380" t="s">
        <v>1267</v>
      </c>
      <c r="H2235" s="380" t="s">
        <v>771</v>
      </c>
      <c r="I2235" s="380" t="s">
        <v>812</v>
      </c>
      <c r="J2235" s="380" t="s">
        <v>773</v>
      </c>
      <c r="K2235" s="381">
        <v>0.0</v>
      </c>
      <c r="L2235" s="382">
        <v>1.0</v>
      </c>
    </row>
    <row r="2236">
      <c r="A2236" s="380" t="s">
        <v>3099</v>
      </c>
      <c r="B2236" s="380" t="str">
        <f>IFERROR(__xludf.DUMMYFUNCTION("""COMPUTED_VALUE"""),"Correa Estuche Unidad Tim Tc25")</f>
        <v>Correa Estuche Unidad Tim Tc25</v>
      </c>
      <c r="C2236" s="380" t="str">
        <f>IFERROR(__xludf.DUMMYFUNCTION("""COMPUTED_VALUE"""),"30000539")</f>
        <v>30000539</v>
      </c>
      <c r="D2236" s="380" t="s">
        <v>767</v>
      </c>
      <c r="E2236" s="380" t="s">
        <v>810</v>
      </c>
      <c r="F2236" s="380" t="s">
        <v>1271</v>
      </c>
      <c r="G2236" s="380" t="s">
        <v>1267</v>
      </c>
      <c r="H2236" s="380" t="s">
        <v>771</v>
      </c>
      <c r="I2236" s="380" t="s">
        <v>1084</v>
      </c>
      <c r="J2236" s="380" t="s">
        <v>773</v>
      </c>
      <c r="K2236" s="381">
        <v>0.0</v>
      </c>
      <c r="L2236" s="382">
        <v>1.0</v>
      </c>
    </row>
    <row r="2237">
      <c r="A2237" s="380" t="s">
        <v>3100</v>
      </c>
      <c r="B2237" s="380" t="str">
        <f>IFERROR(__xludf.DUMMYFUNCTION("""COMPUTED_VALUE"""),"Correa Estuche Unidad Tim Eda51")</f>
        <v>Correa Estuche Unidad Tim Eda51</v>
      </c>
      <c r="C2237" s="380" t="str">
        <f>IFERROR(__xludf.DUMMYFUNCTION("""COMPUTED_VALUE"""),"30000540")</f>
        <v>30000540</v>
      </c>
      <c r="D2237" s="380" t="s">
        <v>767</v>
      </c>
      <c r="E2237" s="380" t="s">
        <v>810</v>
      </c>
      <c r="F2237" s="380" t="s">
        <v>1271</v>
      </c>
      <c r="G2237" s="380" t="s">
        <v>1267</v>
      </c>
      <c r="H2237" s="380" t="s">
        <v>771</v>
      </c>
      <c r="I2237" s="380" t="s">
        <v>1084</v>
      </c>
      <c r="J2237" s="380" t="s">
        <v>773</v>
      </c>
      <c r="K2237" s="381">
        <v>0.0</v>
      </c>
      <c r="L2237" s="382">
        <v>1.0</v>
      </c>
    </row>
    <row r="2238">
      <c r="A2238" s="380" t="s">
        <v>3101</v>
      </c>
      <c r="B2238" s="380" t="str">
        <f>IFERROR(__xludf.DUMMYFUNCTION("""COMPUTED_VALUE"""),"Anclaje Estuche Unidad Tim Tc 21")</f>
        <v>Anclaje Estuche Unidad Tim Tc 21</v>
      </c>
      <c r="C2238" s="380" t="str">
        <f>IFERROR(__xludf.DUMMYFUNCTION("""COMPUTED_VALUE"""),"30000541")</f>
        <v>30000541</v>
      </c>
      <c r="D2238" s="380" t="s">
        <v>767</v>
      </c>
      <c r="E2238" s="380" t="s">
        <v>810</v>
      </c>
      <c r="F2238" s="380" t="s">
        <v>1271</v>
      </c>
      <c r="G2238" s="380" t="s">
        <v>1267</v>
      </c>
      <c r="H2238" s="380" t="s">
        <v>771</v>
      </c>
      <c r="I2238" s="380" t="s">
        <v>1084</v>
      </c>
      <c r="J2238" s="380" t="s">
        <v>773</v>
      </c>
      <c r="K2238" s="381">
        <v>0.0</v>
      </c>
      <c r="L2238" s="382">
        <v>1.0</v>
      </c>
    </row>
    <row r="2239">
      <c r="A2239" s="380" t="s">
        <v>3102</v>
      </c>
      <c r="B2239" s="380" t="str">
        <f>IFERROR(__xludf.DUMMYFUNCTION("""COMPUTED_VALUE"""),"Correa Estuche Unidad Tim Tc 21")</f>
        <v>Correa Estuche Unidad Tim Tc 21</v>
      </c>
      <c r="C2239" s="380" t="str">
        <f>IFERROR(__xludf.DUMMYFUNCTION("""COMPUTED_VALUE"""),"30000542")</f>
        <v>30000542</v>
      </c>
      <c r="D2239" s="380" t="s">
        <v>767</v>
      </c>
      <c r="E2239" s="380" t="s">
        <v>810</v>
      </c>
      <c r="F2239" s="380" t="s">
        <v>1271</v>
      </c>
      <c r="G2239" s="380" t="s">
        <v>1267</v>
      </c>
      <c r="H2239" s="380" t="s">
        <v>771</v>
      </c>
      <c r="I2239" s="380" t="s">
        <v>1084</v>
      </c>
      <c r="J2239" s="380" t="s">
        <v>773</v>
      </c>
      <c r="K2239" s="381">
        <v>0.0</v>
      </c>
      <c r="L2239" s="382">
        <v>1.0</v>
      </c>
    </row>
    <row r="2240">
      <c r="A2240" s="380" t="s">
        <v>3103</v>
      </c>
      <c r="B2240" s="380" t="str">
        <f>IFERROR(__xludf.DUMMYFUNCTION("""COMPUTED_VALUE"""),"Batola En Indigo Cerrajero 54")</f>
        <v>Batola En Indigo Cerrajero 54</v>
      </c>
      <c r="C2240" s="380" t="str">
        <f>IFERROR(__xludf.DUMMYFUNCTION("""COMPUTED_VALUE"""),"30000543")</f>
        <v>30000543</v>
      </c>
      <c r="D2240" s="380" t="s">
        <v>767</v>
      </c>
      <c r="E2240" s="380" t="s">
        <v>810</v>
      </c>
      <c r="F2240" s="380" t="s">
        <v>1089</v>
      </c>
      <c r="G2240" s="380" t="s">
        <v>1267</v>
      </c>
      <c r="H2240" s="380" t="s">
        <v>771</v>
      </c>
      <c r="I2240" s="380" t="s">
        <v>1084</v>
      </c>
      <c r="J2240" s="380" t="s">
        <v>773</v>
      </c>
      <c r="K2240" s="381">
        <v>0.0</v>
      </c>
      <c r="L2240" s="382">
        <v>1.0</v>
      </c>
    </row>
    <row r="2241">
      <c r="A2241" s="380" t="s">
        <v>3104</v>
      </c>
      <c r="B2241" s="380" t="str">
        <f>IFERROR(__xludf.DUMMYFUNCTION("""COMPUTED_VALUE"""),"Batola En Indigo Cerrajero 34")</f>
        <v>Batola En Indigo Cerrajero 34</v>
      </c>
      <c r="C2241" s="380" t="str">
        <f>IFERROR(__xludf.DUMMYFUNCTION("""COMPUTED_VALUE"""),"30000544")</f>
        <v>30000544</v>
      </c>
      <c r="D2241" s="380" t="s">
        <v>767</v>
      </c>
      <c r="E2241" s="380" t="s">
        <v>810</v>
      </c>
      <c r="F2241" s="380" t="s">
        <v>1089</v>
      </c>
      <c r="G2241" s="380" t="s">
        <v>1267</v>
      </c>
      <c r="H2241" s="380" t="s">
        <v>771</v>
      </c>
      <c r="I2241" s="380" t="s">
        <v>1084</v>
      </c>
      <c r="J2241" s="380" t="s">
        <v>773</v>
      </c>
      <c r="K2241" s="381">
        <v>0.0</v>
      </c>
      <c r="L2241" s="382">
        <v>1.0</v>
      </c>
    </row>
    <row r="2242">
      <c r="A2242" s="380" t="s">
        <v>3105</v>
      </c>
      <c r="B2242" s="380" t="str">
        <f>IFERROR(__xludf.DUMMYFUNCTION("""COMPUTED_VALUE"""),"Batola En Indigo Cerrajero 42")</f>
        <v>Batola En Indigo Cerrajero 42</v>
      </c>
      <c r="C2242" s="380" t="str">
        <f>IFERROR(__xludf.DUMMYFUNCTION("""COMPUTED_VALUE"""),"30000545")</f>
        <v>30000545</v>
      </c>
      <c r="D2242" s="380" t="s">
        <v>767</v>
      </c>
      <c r="E2242" s="380" t="s">
        <v>810</v>
      </c>
      <c r="F2242" s="380" t="s">
        <v>1089</v>
      </c>
      <c r="G2242" s="380" t="s">
        <v>1267</v>
      </c>
      <c r="H2242" s="380" t="s">
        <v>771</v>
      </c>
      <c r="I2242" s="380" t="s">
        <v>1084</v>
      </c>
      <c r="J2242" s="380" t="s">
        <v>773</v>
      </c>
      <c r="K2242" s="381">
        <v>50383.0</v>
      </c>
      <c r="L2242" s="382">
        <v>1.0</v>
      </c>
    </row>
    <row r="2243">
      <c r="A2243" s="380" t="s">
        <v>3106</v>
      </c>
      <c r="B2243" s="380" t="str">
        <f>IFERROR(__xludf.DUMMYFUNCTION("""COMPUTED_VALUE"""),"Blusa Oxfor Dama Mc Con Logo 22")</f>
        <v>Blusa Oxfor Dama Mc Con Logo 22</v>
      </c>
      <c r="C2243" s="380" t="str">
        <f>IFERROR(__xludf.DUMMYFUNCTION("""COMPUTED_VALUE"""),"30000546")</f>
        <v>30000546</v>
      </c>
      <c r="D2243" s="380" t="s">
        <v>767</v>
      </c>
      <c r="E2243" s="380" t="s">
        <v>810</v>
      </c>
      <c r="F2243" s="380" t="s">
        <v>1089</v>
      </c>
      <c r="G2243" s="380" t="s">
        <v>1267</v>
      </c>
      <c r="H2243" s="380" t="s">
        <v>771</v>
      </c>
      <c r="I2243" s="380" t="s">
        <v>1084</v>
      </c>
      <c r="J2243" s="380" t="s">
        <v>773</v>
      </c>
      <c r="K2243" s="381">
        <v>32275.0</v>
      </c>
      <c r="L2243" s="382">
        <v>1.0</v>
      </c>
    </row>
    <row r="2244">
      <c r="A2244" s="380" t="s">
        <v>3107</v>
      </c>
      <c r="B2244" s="380" t="str">
        <f>IFERROR(__xludf.DUMMYFUNCTION("""COMPUTED_VALUE"""),"Batola En Indigo Cerrajero 44")</f>
        <v>Batola En Indigo Cerrajero 44</v>
      </c>
      <c r="C2244" s="380" t="str">
        <f>IFERROR(__xludf.DUMMYFUNCTION("""COMPUTED_VALUE"""),"30000547")</f>
        <v>30000547</v>
      </c>
      <c r="D2244" s="380" t="s">
        <v>767</v>
      </c>
      <c r="E2244" s="380" t="s">
        <v>810</v>
      </c>
      <c r="F2244" s="380" t="s">
        <v>1089</v>
      </c>
      <c r="G2244" s="380" t="s">
        <v>1267</v>
      </c>
      <c r="H2244" s="380" t="s">
        <v>771</v>
      </c>
      <c r="I2244" s="380" t="s">
        <v>1084</v>
      </c>
      <c r="J2244" s="380" t="s">
        <v>773</v>
      </c>
      <c r="K2244" s="381">
        <v>50383.0</v>
      </c>
      <c r="L2244" s="382">
        <v>1.0</v>
      </c>
    </row>
    <row r="2245">
      <c r="A2245" s="380" t="s">
        <v>3108</v>
      </c>
      <c r="B2245" s="380" t="str">
        <f>IFERROR(__xludf.DUMMYFUNCTION("""COMPUTED_VALUE"""),"Batola En Indigo Cerrajero 38")</f>
        <v>Batola En Indigo Cerrajero 38</v>
      </c>
      <c r="C2245" s="380" t="str">
        <f>IFERROR(__xludf.DUMMYFUNCTION("""COMPUTED_VALUE"""),"30000548")</f>
        <v>30000548</v>
      </c>
      <c r="D2245" s="380" t="s">
        <v>767</v>
      </c>
      <c r="E2245" s="380" t="s">
        <v>810</v>
      </c>
      <c r="F2245" s="380" t="s">
        <v>1089</v>
      </c>
      <c r="G2245" s="380" t="s">
        <v>1267</v>
      </c>
      <c r="H2245" s="380" t="s">
        <v>771</v>
      </c>
      <c r="I2245" s="380" t="s">
        <v>1084</v>
      </c>
      <c r="J2245" s="380" t="s">
        <v>773</v>
      </c>
      <c r="K2245" s="381">
        <v>50383.0</v>
      </c>
      <c r="L2245" s="382">
        <v>1.0</v>
      </c>
    </row>
    <row r="2246">
      <c r="A2246" s="380" t="s">
        <v>3109</v>
      </c>
      <c r="B2246" s="380" t="str">
        <f>IFERROR(__xludf.DUMMYFUNCTION("""COMPUTED_VALUE"""),"Chaqueta Vigilancia Con Logo 36")</f>
        <v>Chaqueta Vigilancia Con Logo 36</v>
      </c>
      <c r="C2246" s="380" t="str">
        <f>IFERROR(__xludf.DUMMYFUNCTION("""COMPUTED_VALUE"""),"30000549")</f>
        <v>30000549</v>
      </c>
      <c r="D2246" s="380" t="s">
        <v>767</v>
      </c>
      <c r="E2246" s="380" t="s">
        <v>810</v>
      </c>
      <c r="F2246" s="380" t="s">
        <v>1089</v>
      </c>
      <c r="G2246" s="380" t="s">
        <v>1267</v>
      </c>
      <c r="H2246" s="380" t="s">
        <v>771</v>
      </c>
      <c r="I2246" s="380" t="s">
        <v>1084</v>
      </c>
      <c r="J2246" s="380" t="s">
        <v>773</v>
      </c>
      <c r="K2246" s="381">
        <v>0.0</v>
      </c>
      <c r="L2246" s="382">
        <v>1.0</v>
      </c>
    </row>
    <row r="2247">
      <c r="A2247" s="380" t="s">
        <v>3110</v>
      </c>
      <c r="B2247" s="380" t="str">
        <f>IFERROR(__xludf.DUMMYFUNCTION("""COMPUTED_VALUE"""),"Chaqueta Vigilancia Con Logo Xl")</f>
        <v>Chaqueta Vigilancia Con Logo Xl</v>
      </c>
      <c r="C2247" s="380" t="str">
        <f>IFERROR(__xludf.DUMMYFUNCTION("""COMPUTED_VALUE"""),"30000550")</f>
        <v>30000550</v>
      </c>
      <c r="D2247" s="380" t="s">
        <v>767</v>
      </c>
      <c r="E2247" s="380" t="s">
        <v>810</v>
      </c>
      <c r="F2247" s="380" t="s">
        <v>1089</v>
      </c>
      <c r="G2247" s="380" t="s">
        <v>1267</v>
      </c>
      <c r="H2247" s="380" t="s">
        <v>771</v>
      </c>
      <c r="I2247" s="380" t="s">
        <v>1084</v>
      </c>
      <c r="J2247" s="380" t="s">
        <v>773</v>
      </c>
      <c r="K2247" s="381">
        <v>0.0</v>
      </c>
      <c r="L2247" s="382">
        <v>1.0</v>
      </c>
    </row>
    <row r="2248">
      <c r="A2248" s="380" t="s">
        <v>3111</v>
      </c>
      <c r="B2248" s="380" t="str">
        <f>IFERROR(__xludf.DUMMYFUNCTION("""COMPUTED_VALUE"""),"Chaqueta Vigilancia Con Logo 44")</f>
        <v>Chaqueta Vigilancia Con Logo 44</v>
      </c>
      <c r="C2248" s="380" t="str">
        <f>IFERROR(__xludf.DUMMYFUNCTION("""COMPUTED_VALUE"""),"30000551")</f>
        <v>30000551</v>
      </c>
      <c r="D2248" s="380" t="s">
        <v>767</v>
      </c>
      <c r="E2248" s="380" t="s">
        <v>810</v>
      </c>
      <c r="F2248" s="380" t="s">
        <v>1089</v>
      </c>
      <c r="G2248" s="380" t="s">
        <v>1267</v>
      </c>
      <c r="H2248" s="380" t="s">
        <v>771</v>
      </c>
      <c r="I2248" s="380" t="s">
        <v>1084</v>
      </c>
      <c r="J2248" s="380" t="s">
        <v>773</v>
      </c>
      <c r="K2248" s="381">
        <v>0.0</v>
      </c>
      <c r="L2248" s="382">
        <v>1.0</v>
      </c>
    </row>
    <row r="2249">
      <c r="A2249" s="380" t="s">
        <v>3112</v>
      </c>
      <c r="B2249" s="380" t="str">
        <f>IFERROR(__xludf.DUMMYFUNCTION("""COMPUTED_VALUE"""),"Chaqueta Vigilancia Con Logo 38")</f>
        <v>Chaqueta Vigilancia Con Logo 38</v>
      </c>
      <c r="C2249" s="380" t="str">
        <f>IFERROR(__xludf.DUMMYFUNCTION("""COMPUTED_VALUE"""),"30000552")</f>
        <v>30000552</v>
      </c>
      <c r="D2249" s="380" t="s">
        <v>767</v>
      </c>
      <c r="E2249" s="380" t="s">
        <v>810</v>
      </c>
      <c r="F2249" s="380" t="s">
        <v>1089</v>
      </c>
      <c r="G2249" s="380" t="s">
        <v>1267</v>
      </c>
      <c r="H2249" s="380" t="s">
        <v>771</v>
      </c>
      <c r="I2249" s="380" t="s">
        <v>1084</v>
      </c>
      <c r="J2249" s="380" t="s">
        <v>773</v>
      </c>
      <c r="K2249" s="381">
        <v>0.0</v>
      </c>
      <c r="L2249" s="382">
        <v>1.0</v>
      </c>
    </row>
    <row r="2250">
      <c r="A2250" s="380" t="s">
        <v>3113</v>
      </c>
      <c r="B2250" s="380" t="str">
        <f>IFERROR(__xludf.DUMMYFUNCTION("""COMPUTED_VALUE"""),"Chaqueta Vigilancia Con Logo S")</f>
        <v>Chaqueta Vigilancia Con Logo S</v>
      </c>
      <c r="C2250" s="380" t="str">
        <f>IFERROR(__xludf.DUMMYFUNCTION("""COMPUTED_VALUE"""),"30000553")</f>
        <v>30000553</v>
      </c>
      <c r="D2250" s="380" t="s">
        <v>767</v>
      </c>
      <c r="E2250" s="380" t="s">
        <v>810</v>
      </c>
      <c r="F2250" s="380" t="s">
        <v>1089</v>
      </c>
      <c r="G2250" s="380" t="s">
        <v>1267</v>
      </c>
      <c r="H2250" s="380" t="s">
        <v>771</v>
      </c>
      <c r="I2250" s="380" t="s">
        <v>1084</v>
      </c>
      <c r="J2250" s="380" t="s">
        <v>773</v>
      </c>
      <c r="K2250" s="381">
        <v>0.0</v>
      </c>
      <c r="L2250" s="382">
        <v>1.0</v>
      </c>
    </row>
    <row r="2251">
      <c r="A2251" s="380" t="s">
        <v>3114</v>
      </c>
      <c r="B2251" s="380" t="str">
        <f>IFERROR(__xludf.DUMMYFUNCTION("""COMPUTED_VALUE"""),"Chaqueta Vigilancia Con Logo M")</f>
        <v>Chaqueta Vigilancia Con Logo M</v>
      </c>
      <c r="C2251" s="380" t="str">
        <f>IFERROR(__xludf.DUMMYFUNCTION("""COMPUTED_VALUE"""),"30000554")</f>
        <v>30000554</v>
      </c>
      <c r="D2251" s="380" t="s">
        <v>767</v>
      </c>
      <c r="E2251" s="380" t="s">
        <v>810</v>
      </c>
      <c r="F2251" s="380" t="s">
        <v>1089</v>
      </c>
      <c r="G2251" s="380" t="s">
        <v>1267</v>
      </c>
      <c r="H2251" s="380" t="s">
        <v>771</v>
      </c>
      <c r="I2251" s="380" t="s">
        <v>1084</v>
      </c>
      <c r="J2251" s="380" t="s">
        <v>773</v>
      </c>
      <c r="K2251" s="381">
        <v>0.0</v>
      </c>
      <c r="L2251" s="382">
        <v>1.0</v>
      </c>
    </row>
    <row r="2252">
      <c r="A2252" s="380" t="s">
        <v>3115</v>
      </c>
      <c r="B2252" s="380" t="str">
        <f>IFERROR(__xludf.DUMMYFUNCTION("""COMPUTED_VALUE"""),"Chaqueta Vigilancia Con Logo L")</f>
        <v>Chaqueta Vigilancia Con Logo L</v>
      </c>
      <c r="C2252" s="380" t="str">
        <f>IFERROR(__xludf.DUMMYFUNCTION("""COMPUTED_VALUE"""),"30000555")</f>
        <v>30000555</v>
      </c>
      <c r="D2252" s="380" t="s">
        <v>767</v>
      </c>
      <c r="E2252" s="380" t="s">
        <v>810</v>
      </c>
      <c r="F2252" s="380" t="s">
        <v>1089</v>
      </c>
      <c r="G2252" s="380" t="s">
        <v>1267</v>
      </c>
      <c r="H2252" s="380" t="s">
        <v>771</v>
      </c>
      <c r="I2252" s="380" t="s">
        <v>1084</v>
      </c>
      <c r="J2252" s="380" t="s">
        <v>773</v>
      </c>
      <c r="K2252" s="381">
        <v>0.0</v>
      </c>
      <c r="L2252" s="382">
        <v>1.0</v>
      </c>
    </row>
    <row r="2253">
      <c r="A2253" s="380" t="s">
        <v>3116</v>
      </c>
      <c r="B2253" s="380" t="str">
        <f>IFERROR(__xludf.DUMMYFUNCTION("""COMPUTED_VALUE"""),"Chaqueta Vigilancia Con Logo 50")</f>
        <v>Chaqueta Vigilancia Con Logo 50</v>
      </c>
      <c r="C2253" s="380" t="str">
        <f>IFERROR(__xludf.DUMMYFUNCTION("""COMPUTED_VALUE"""),"30000556")</f>
        <v>30000556</v>
      </c>
      <c r="D2253" s="380" t="s">
        <v>767</v>
      </c>
      <c r="E2253" s="380" t="s">
        <v>810</v>
      </c>
      <c r="F2253" s="380" t="s">
        <v>1089</v>
      </c>
      <c r="G2253" s="380" t="s">
        <v>1267</v>
      </c>
      <c r="H2253" s="380" t="s">
        <v>771</v>
      </c>
      <c r="I2253" s="380" t="s">
        <v>1084</v>
      </c>
      <c r="J2253" s="380" t="s">
        <v>773</v>
      </c>
      <c r="K2253" s="381">
        <v>0.0</v>
      </c>
      <c r="L2253" s="382">
        <v>1.0</v>
      </c>
    </row>
    <row r="2254">
      <c r="A2254" s="380" t="s">
        <v>3117</v>
      </c>
      <c r="B2254" s="380" t="str">
        <f>IFERROR(__xludf.DUMMYFUNCTION("""COMPUTED_VALUE"""),"Blusa Oxfor Dama Mc Con Logo 26")</f>
        <v>Blusa Oxfor Dama Mc Con Logo 26</v>
      </c>
      <c r="C2254" s="380" t="str">
        <f>IFERROR(__xludf.DUMMYFUNCTION("""COMPUTED_VALUE"""),"30000557")</f>
        <v>30000557</v>
      </c>
      <c r="D2254" s="380" t="s">
        <v>767</v>
      </c>
      <c r="E2254" s="380" t="s">
        <v>810</v>
      </c>
      <c r="F2254" s="380" t="s">
        <v>1089</v>
      </c>
      <c r="G2254" s="380" t="s">
        <v>1267</v>
      </c>
      <c r="H2254" s="380" t="s">
        <v>771</v>
      </c>
      <c r="I2254" s="380" t="s">
        <v>1084</v>
      </c>
      <c r="J2254" s="380" t="s">
        <v>773</v>
      </c>
      <c r="K2254" s="381">
        <v>0.0</v>
      </c>
      <c r="L2254" s="382">
        <v>1.0</v>
      </c>
    </row>
    <row r="2255">
      <c r="A2255" s="380" t="s">
        <v>3118</v>
      </c>
      <c r="B2255" s="380" t="str">
        <f>IFERROR(__xludf.DUMMYFUNCTION("""COMPUTED_VALUE"""),"Chaqueta Vigilancia Con Logo 48")</f>
        <v>Chaqueta Vigilancia Con Logo 48</v>
      </c>
      <c r="C2255" s="380" t="str">
        <f>IFERROR(__xludf.DUMMYFUNCTION("""COMPUTED_VALUE"""),"30000558")</f>
        <v>30000558</v>
      </c>
      <c r="D2255" s="380" t="s">
        <v>767</v>
      </c>
      <c r="E2255" s="380" t="s">
        <v>810</v>
      </c>
      <c r="F2255" s="380" t="s">
        <v>1089</v>
      </c>
      <c r="G2255" s="380" t="s">
        <v>1267</v>
      </c>
      <c r="H2255" s="380" t="s">
        <v>771</v>
      </c>
      <c r="I2255" s="380" t="s">
        <v>1084</v>
      </c>
      <c r="J2255" s="380" t="s">
        <v>773</v>
      </c>
      <c r="K2255" s="381">
        <v>0.0</v>
      </c>
      <c r="L2255" s="382">
        <v>1.0</v>
      </c>
    </row>
    <row r="2256">
      <c r="A2256" s="380" t="s">
        <v>3119</v>
      </c>
      <c r="B2256" s="380" t="str">
        <f>IFERROR(__xludf.DUMMYFUNCTION("""COMPUTED_VALUE"""),"Batola Dril Gris 3/4 Ml 38")</f>
        <v>Batola Dril Gris 3/4 Ml 38</v>
      </c>
      <c r="C2256" s="380" t="str">
        <f>IFERROR(__xludf.DUMMYFUNCTION("""COMPUTED_VALUE"""),"30000559")</f>
        <v>30000559</v>
      </c>
      <c r="D2256" s="380" t="s">
        <v>767</v>
      </c>
      <c r="E2256" s="380" t="s">
        <v>810</v>
      </c>
      <c r="F2256" s="380" t="s">
        <v>1089</v>
      </c>
      <c r="G2256" s="380" t="s">
        <v>1267</v>
      </c>
      <c r="H2256" s="380" t="s">
        <v>771</v>
      </c>
      <c r="I2256" s="380" t="s">
        <v>1084</v>
      </c>
      <c r="J2256" s="380" t="s">
        <v>773</v>
      </c>
      <c r="K2256" s="381">
        <v>0.0</v>
      </c>
      <c r="L2256" s="382">
        <v>1.0</v>
      </c>
    </row>
    <row r="2257">
      <c r="A2257" s="380" t="s">
        <v>3120</v>
      </c>
      <c r="B2257" s="380" t="str">
        <f>IFERROR(__xludf.DUMMYFUNCTION("""COMPUTED_VALUE"""),"Batola Dril Gris 3/4 Ml 36")</f>
        <v>Batola Dril Gris 3/4 Ml 36</v>
      </c>
      <c r="C2257" s="380" t="str">
        <f>IFERROR(__xludf.DUMMYFUNCTION("""COMPUTED_VALUE"""),"30000560")</f>
        <v>30000560</v>
      </c>
      <c r="D2257" s="380" t="s">
        <v>767</v>
      </c>
      <c r="E2257" s="380" t="s">
        <v>810</v>
      </c>
      <c r="F2257" s="380" t="s">
        <v>1089</v>
      </c>
      <c r="G2257" s="380" t="s">
        <v>1267</v>
      </c>
      <c r="H2257" s="380" t="s">
        <v>771</v>
      </c>
      <c r="I2257" s="380" t="s">
        <v>1084</v>
      </c>
      <c r="J2257" s="380" t="s">
        <v>773</v>
      </c>
      <c r="K2257" s="381">
        <v>0.0</v>
      </c>
      <c r="L2257" s="382">
        <v>1.0</v>
      </c>
    </row>
    <row r="2258">
      <c r="A2258" s="380" t="s">
        <v>3121</v>
      </c>
      <c r="B2258" s="380" t="str">
        <f>IFERROR(__xludf.DUMMYFUNCTION("""COMPUTED_VALUE"""),"Batola Dacron Azul 3/4 Mc 54")</f>
        <v>Batola Dacron Azul 3/4 Mc 54</v>
      </c>
      <c r="C2258" s="380" t="str">
        <f>IFERROR(__xludf.DUMMYFUNCTION("""COMPUTED_VALUE"""),"30000561")</f>
        <v>30000561</v>
      </c>
      <c r="D2258" s="380" t="s">
        <v>767</v>
      </c>
      <c r="E2258" s="380" t="s">
        <v>810</v>
      </c>
      <c r="F2258" s="380" t="s">
        <v>1089</v>
      </c>
      <c r="G2258" s="380" t="s">
        <v>1267</v>
      </c>
      <c r="H2258" s="380" t="s">
        <v>771</v>
      </c>
      <c r="I2258" s="380" t="s">
        <v>1084</v>
      </c>
      <c r="J2258" s="380" t="s">
        <v>773</v>
      </c>
      <c r="K2258" s="381">
        <v>25597.0</v>
      </c>
      <c r="L2258" s="382">
        <v>1.0</v>
      </c>
    </row>
    <row r="2259">
      <c r="A2259" s="380" t="s">
        <v>3122</v>
      </c>
      <c r="B2259" s="380" t="str">
        <f>IFERROR(__xludf.DUMMYFUNCTION("""COMPUTED_VALUE"""),"Batola Dacron Azul 3/4 Mc 34")</f>
        <v>Batola Dacron Azul 3/4 Mc 34</v>
      </c>
      <c r="C2259" s="380" t="str">
        <f>IFERROR(__xludf.DUMMYFUNCTION("""COMPUTED_VALUE"""),"30000562")</f>
        <v>30000562</v>
      </c>
      <c r="D2259" s="380" t="s">
        <v>767</v>
      </c>
      <c r="E2259" s="380" t="s">
        <v>810</v>
      </c>
      <c r="F2259" s="380" t="s">
        <v>1089</v>
      </c>
      <c r="G2259" s="380" t="s">
        <v>1267</v>
      </c>
      <c r="H2259" s="380" t="s">
        <v>771</v>
      </c>
      <c r="I2259" s="380" t="s">
        <v>1084</v>
      </c>
      <c r="J2259" s="380" t="s">
        <v>773</v>
      </c>
      <c r="K2259" s="381">
        <v>0.0</v>
      </c>
      <c r="L2259" s="382">
        <v>1.0</v>
      </c>
    </row>
    <row r="2260">
      <c r="A2260" s="380" t="s">
        <v>3123</v>
      </c>
      <c r="B2260" s="380" t="str">
        <f>IFERROR(__xludf.DUMMYFUNCTION("""COMPUTED_VALUE"""),"Batola Dacron Azul 3/4 Mc 36")</f>
        <v>Batola Dacron Azul 3/4 Mc 36</v>
      </c>
      <c r="C2260" s="380" t="str">
        <f>IFERROR(__xludf.DUMMYFUNCTION("""COMPUTED_VALUE"""),"30000563")</f>
        <v>30000563</v>
      </c>
      <c r="D2260" s="380" t="s">
        <v>767</v>
      </c>
      <c r="E2260" s="380" t="s">
        <v>810</v>
      </c>
      <c r="F2260" s="380" t="s">
        <v>1089</v>
      </c>
      <c r="G2260" s="380" t="s">
        <v>1267</v>
      </c>
      <c r="H2260" s="380" t="s">
        <v>771</v>
      </c>
      <c r="I2260" s="380" t="s">
        <v>1084</v>
      </c>
      <c r="J2260" s="380" t="s">
        <v>773</v>
      </c>
      <c r="K2260" s="381">
        <v>25597.0</v>
      </c>
      <c r="L2260" s="382">
        <v>1.0</v>
      </c>
    </row>
    <row r="2261">
      <c r="A2261" s="380" t="s">
        <v>3124</v>
      </c>
      <c r="B2261" s="380" t="str">
        <f>IFERROR(__xludf.DUMMYFUNCTION("""COMPUTED_VALUE"""),"Batola Dacron Azul 3/4 Mc 46")</f>
        <v>Batola Dacron Azul 3/4 Mc 46</v>
      </c>
      <c r="C2261" s="380" t="str">
        <f>IFERROR(__xludf.DUMMYFUNCTION("""COMPUTED_VALUE"""),"30000564")</f>
        <v>30000564</v>
      </c>
      <c r="D2261" s="380" t="s">
        <v>767</v>
      </c>
      <c r="E2261" s="380" t="s">
        <v>810</v>
      </c>
      <c r="F2261" s="380" t="s">
        <v>1089</v>
      </c>
      <c r="G2261" s="380" t="s">
        <v>1267</v>
      </c>
      <c r="H2261" s="380" t="s">
        <v>771</v>
      </c>
      <c r="I2261" s="380" t="s">
        <v>1084</v>
      </c>
      <c r="J2261" s="380" t="s">
        <v>773</v>
      </c>
      <c r="K2261" s="381">
        <v>25597.0</v>
      </c>
      <c r="L2261" s="382">
        <v>1.0</v>
      </c>
    </row>
    <row r="2262">
      <c r="A2262" s="380" t="s">
        <v>3125</v>
      </c>
      <c r="B2262" s="380" t="str">
        <f>IFERROR(__xludf.DUMMYFUNCTION("""COMPUTED_VALUE"""),"Batola Dacron Azul 3/4 Mc 42")</f>
        <v>Batola Dacron Azul 3/4 Mc 42</v>
      </c>
      <c r="C2262" s="380" t="str">
        <f>IFERROR(__xludf.DUMMYFUNCTION("""COMPUTED_VALUE"""),"30000565")</f>
        <v>30000565</v>
      </c>
      <c r="D2262" s="380" t="s">
        <v>767</v>
      </c>
      <c r="E2262" s="380" t="s">
        <v>810</v>
      </c>
      <c r="F2262" s="380" t="s">
        <v>1089</v>
      </c>
      <c r="G2262" s="380" t="s">
        <v>1267</v>
      </c>
      <c r="H2262" s="380" t="s">
        <v>771</v>
      </c>
      <c r="I2262" s="380" t="s">
        <v>1084</v>
      </c>
      <c r="J2262" s="380" t="s">
        <v>773</v>
      </c>
      <c r="K2262" s="381">
        <v>25597.0</v>
      </c>
      <c r="L2262" s="382">
        <v>1.0</v>
      </c>
    </row>
    <row r="2263">
      <c r="A2263" s="380" t="s">
        <v>3126</v>
      </c>
      <c r="B2263" s="380" t="str">
        <f>IFERROR(__xludf.DUMMYFUNCTION("""COMPUTED_VALUE"""),"Batola Dacron Azul 3/4 Mc 38")</f>
        <v>Batola Dacron Azul 3/4 Mc 38</v>
      </c>
      <c r="C2263" s="380" t="str">
        <f>IFERROR(__xludf.DUMMYFUNCTION("""COMPUTED_VALUE"""),"30000566")</f>
        <v>30000566</v>
      </c>
      <c r="D2263" s="380" t="s">
        <v>767</v>
      </c>
      <c r="E2263" s="380" t="s">
        <v>810</v>
      </c>
      <c r="F2263" s="380" t="s">
        <v>1089</v>
      </c>
      <c r="G2263" s="380" t="s">
        <v>1267</v>
      </c>
      <c r="H2263" s="380" t="s">
        <v>771</v>
      </c>
      <c r="I2263" s="380" t="s">
        <v>1084</v>
      </c>
      <c r="J2263" s="380" t="s">
        <v>773</v>
      </c>
      <c r="K2263" s="381">
        <v>25597.0</v>
      </c>
      <c r="L2263" s="382">
        <v>1.0</v>
      </c>
    </row>
    <row r="2264">
      <c r="A2264" s="380" t="s">
        <v>3127</v>
      </c>
      <c r="B2264" s="380" t="str">
        <f>IFERROR(__xludf.DUMMYFUNCTION("""COMPUTED_VALUE"""),"Blusa Oxfor Dama Mc Con Logo 18")</f>
        <v>Blusa Oxfor Dama Mc Con Logo 18</v>
      </c>
      <c r="C2264" s="380" t="str">
        <f>IFERROR(__xludf.DUMMYFUNCTION("""COMPUTED_VALUE"""),"30000567")</f>
        <v>30000567</v>
      </c>
      <c r="D2264" s="380" t="s">
        <v>767</v>
      </c>
      <c r="E2264" s="380" t="s">
        <v>810</v>
      </c>
      <c r="F2264" s="380" t="s">
        <v>1089</v>
      </c>
      <c r="G2264" s="380" t="s">
        <v>1267</v>
      </c>
      <c r="H2264" s="380" t="s">
        <v>771</v>
      </c>
      <c r="I2264" s="380" t="s">
        <v>1084</v>
      </c>
      <c r="J2264" s="380" t="s">
        <v>773</v>
      </c>
      <c r="K2264" s="381">
        <v>32275.0</v>
      </c>
      <c r="L2264" s="382">
        <v>1.0</v>
      </c>
    </row>
    <row r="2265">
      <c r="A2265" s="380" t="s">
        <v>3128</v>
      </c>
      <c r="B2265" s="380" t="str">
        <f>IFERROR(__xludf.DUMMYFUNCTION("""COMPUTED_VALUE"""),"Batola Dacron Azul 3/4 Mc 52")</f>
        <v>Batola Dacron Azul 3/4 Mc 52</v>
      </c>
      <c r="C2265" s="380" t="str">
        <f>IFERROR(__xludf.DUMMYFUNCTION("""COMPUTED_VALUE"""),"30000568")</f>
        <v>30000568</v>
      </c>
      <c r="D2265" s="380" t="s">
        <v>767</v>
      </c>
      <c r="E2265" s="380" t="s">
        <v>810</v>
      </c>
      <c r="F2265" s="380" t="s">
        <v>1089</v>
      </c>
      <c r="G2265" s="380" t="s">
        <v>1267</v>
      </c>
      <c r="H2265" s="380" t="s">
        <v>771</v>
      </c>
      <c r="I2265" s="380" t="s">
        <v>1084</v>
      </c>
      <c r="J2265" s="380" t="s">
        <v>773</v>
      </c>
      <c r="K2265" s="381">
        <v>0.0</v>
      </c>
      <c r="L2265" s="382">
        <v>1.0</v>
      </c>
    </row>
    <row r="2266">
      <c r="A2266" s="380" t="s">
        <v>3129</v>
      </c>
      <c r="B2266" s="380" t="str">
        <f>IFERROR(__xludf.DUMMYFUNCTION("""COMPUTED_VALUE"""),"Batola Dacron Azul 3/4 Mc 44")</f>
        <v>Batola Dacron Azul 3/4 Mc 44</v>
      </c>
      <c r="C2266" s="380" t="str">
        <f>IFERROR(__xludf.DUMMYFUNCTION("""COMPUTED_VALUE"""),"30000569")</f>
        <v>30000569</v>
      </c>
      <c r="D2266" s="380" t="s">
        <v>767</v>
      </c>
      <c r="E2266" s="380" t="s">
        <v>810</v>
      </c>
      <c r="F2266" s="380" t="s">
        <v>1089</v>
      </c>
      <c r="G2266" s="380" t="s">
        <v>1267</v>
      </c>
      <c r="H2266" s="380" t="s">
        <v>771</v>
      </c>
      <c r="I2266" s="380" t="s">
        <v>1084</v>
      </c>
      <c r="J2266" s="380" t="s">
        <v>773</v>
      </c>
      <c r="K2266" s="381">
        <v>25597.0</v>
      </c>
      <c r="L2266" s="382">
        <v>1.0</v>
      </c>
    </row>
    <row r="2267">
      <c r="A2267" s="380" t="s">
        <v>3130</v>
      </c>
      <c r="B2267" s="380" t="str">
        <f>IFERROR(__xludf.DUMMYFUNCTION("""COMPUTED_VALUE"""),"Batola Dacron Azul 3/4 Mc 40")</f>
        <v>Batola Dacron Azul 3/4 Mc 40</v>
      </c>
      <c r="C2267" s="380" t="str">
        <f>IFERROR(__xludf.DUMMYFUNCTION("""COMPUTED_VALUE"""),"30000570")</f>
        <v>30000570</v>
      </c>
      <c r="D2267" s="380" t="s">
        <v>767</v>
      </c>
      <c r="E2267" s="380" t="s">
        <v>810</v>
      </c>
      <c r="F2267" s="380" t="s">
        <v>1089</v>
      </c>
      <c r="G2267" s="380" t="s">
        <v>1267</v>
      </c>
      <c r="H2267" s="380" t="s">
        <v>771</v>
      </c>
      <c r="I2267" s="380" t="s">
        <v>1084</v>
      </c>
      <c r="J2267" s="380" t="s">
        <v>773</v>
      </c>
      <c r="K2267" s="381">
        <v>25597.0</v>
      </c>
      <c r="L2267" s="382">
        <v>1.0</v>
      </c>
    </row>
    <row r="2268">
      <c r="A2268" s="380" t="s">
        <v>3131</v>
      </c>
      <c r="B2268" s="380" t="str">
        <f>IFERROR(__xludf.DUMMYFUNCTION("""COMPUTED_VALUE"""),"Batola En Indigo Cerrajero 56")</f>
        <v>Batola En Indigo Cerrajero 56</v>
      </c>
      <c r="C2268" s="380" t="str">
        <f>IFERROR(__xludf.DUMMYFUNCTION("""COMPUTED_VALUE"""),"30000571")</f>
        <v>30000571</v>
      </c>
      <c r="D2268" s="380" t="s">
        <v>767</v>
      </c>
      <c r="E2268" s="380" t="s">
        <v>810</v>
      </c>
      <c r="F2268" s="380" t="s">
        <v>1089</v>
      </c>
      <c r="G2268" s="380" t="s">
        <v>1267</v>
      </c>
      <c r="H2268" s="380" t="s">
        <v>771</v>
      </c>
      <c r="I2268" s="380" t="s">
        <v>1084</v>
      </c>
      <c r="J2268" s="380" t="s">
        <v>773</v>
      </c>
      <c r="K2268" s="381">
        <v>0.0</v>
      </c>
      <c r="L2268" s="382">
        <v>1.0</v>
      </c>
    </row>
    <row r="2269">
      <c r="A2269" s="380" t="s">
        <v>3132</v>
      </c>
      <c r="B2269" s="380" t="str">
        <f>IFERROR(__xludf.DUMMYFUNCTION("""COMPUTED_VALUE"""),"Batola En Indigo Cerrajero 52")</f>
        <v>Batola En Indigo Cerrajero 52</v>
      </c>
      <c r="C2269" s="380" t="str">
        <f>IFERROR(__xludf.DUMMYFUNCTION("""COMPUTED_VALUE"""),"30000572")</f>
        <v>30000572</v>
      </c>
      <c r="D2269" s="380" t="s">
        <v>767</v>
      </c>
      <c r="E2269" s="380" t="s">
        <v>810</v>
      </c>
      <c r="F2269" s="380" t="s">
        <v>1089</v>
      </c>
      <c r="G2269" s="380" t="s">
        <v>1267</v>
      </c>
      <c r="H2269" s="380" t="s">
        <v>771</v>
      </c>
      <c r="I2269" s="380" t="s">
        <v>1084</v>
      </c>
      <c r="J2269" s="380" t="s">
        <v>773</v>
      </c>
      <c r="K2269" s="381">
        <v>0.0</v>
      </c>
      <c r="L2269" s="382">
        <v>1.0</v>
      </c>
    </row>
    <row r="2270">
      <c r="A2270" s="380" t="s">
        <v>3133</v>
      </c>
      <c r="B2270" s="380" t="str">
        <f>IFERROR(__xludf.DUMMYFUNCTION("""COMPUTED_VALUE"""),"Batola En Indigo Cerrajero 40")</f>
        <v>Batola En Indigo Cerrajero 40</v>
      </c>
      <c r="C2270" s="380" t="str">
        <f>IFERROR(__xludf.DUMMYFUNCTION("""COMPUTED_VALUE"""),"30000573")</f>
        <v>30000573</v>
      </c>
      <c r="D2270" s="380" t="s">
        <v>767</v>
      </c>
      <c r="E2270" s="380" t="s">
        <v>810</v>
      </c>
      <c r="F2270" s="380" t="s">
        <v>1089</v>
      </c>
      <c r="G2270" s="380" t="s">
        <v>1267</v>
      </c>
      <c r="H2270" s="380" t="s">
        <v>771</v>
      </c>
      <c r="I2270" s="380" t="s">
        <v>1084</v>
      </c>
      <c r="J2270" s="380" t="s">
        <v>773</v>
      </c>
      <c r="K2270" s="381">
        <v>50383.0</v>
      </c>
      <c r="L2270" s="382">
        <v>1.0</v>
      </c>
    </row>
    <row r="2271">
      <c r="A2271" s="380" t="s">
        <v>3134</v>
      </c>
      <c r="B2271" s="380" t="str">
        <f>IFERROR(__xludf.DUMMYFUNCTION("""COMPUTED_VALUE"""),"Batola En Indigo Cerrajero 36")</f>
        <v>Batola En Indigo Cerrajero 36</v>
      </c>
      <c r="C2271" s="380" t="str">
        <f>IFERROR(__xludf.DUMMYFUNCTION("""COMPUTED_VALUE"""),"30000574")</f>
        <v>30000574</v>
      </c>
      <c r="D2271" s="380" t="s">
        <v>767</v>
      </c>
      <c r="E2271" s="380" t="s">
        <v>810</v>
      </c>
      <c r="F2271" s="380" t="s">
        <v>1089</v>
      </c>
      <c r="G2271" s="380" t="s">
        <v>1267</v>
      </c>
      <c r="H2271" s="380" t="s">
        <v>771</v>
      </c>
      <c r="I2271" s="380" t="s">
        <v>1084</v>
      </c>
      <c r="J2271" s="380" t="s">
        <v>773</v>
      </c>
      <c r="K2271" s="381">
        <v>50383.0</v>
      </c>
      <c r="L2271" s="382">
        <v>1.0</v>
      </c>
    </row>
    <row r="2272">
      <c r="A2272" s="380" t="s">
        <v>3135</v>
      </c>
      <c r="B2272" s="380" t="str">
        <f>IFERROR(__xludf.DUMMYFUNCTION("""COMPUTED_VALUE"""),"Overol Azul Mc 50")</f>
        <v>Overol Azul Mc 50</v>
      </c>
      <c r="C2272" s="380" t="str">
        <f>IFERROR(__xludf.DUMMYFUNCTION("""COMPUTED_VALUE"""),"30000575")</f>
        <v>30000575</v>
      </c>
      <c r="D2272" s="380" t="s">
        <v>767</v>
      </c>
      <c r="E2272" s="380" t="s">
        <v>810</v>
      </c>
      <c r="F2272" s="380" t="s">
        <v>1089</v>
      </c>
      <c r="G2272" s="380" t="s">
        <v>1267</v>
      </c>
      <c r="H2272" s="380" t="s">
        <v>771</v>
      </c>
      <c r="I2272" s="380" t="s">
        <v>1084</v>
      </c>
      <c r="J2272" s="380" t="s">
        <v>773</v>
      </c>
      <c r="K2272" s="381">
        <v>0.0</v>
      </c>
      <c r="L2272" s="382">
        <v>1.0</v>
      </c>
    </row>
    <row r="2273">
      <c r="A2273" s="380" t="s">
        <v>3136</v>
      </c>
      <c r="B2273" s="380" t="str">
        <f>IFERROR(__xludf.DUMMYFUNCTION("""COMPUTED_VALUE"""),"Overol Azul Mc 32")</f>
        <v>Overol Azul Mc 32</v>
      </c>
      <c r="C2273" s="380" t="str">
        <f>IFERROR(__xludf.DUMMYFUNCTION("""COMPUTED_VALUE"""),"30000576")</f>
        <v>30000576</v>
      </c>
      <c r="D2273" s="380" t="s">
        <v>767</v>
      </c>
      <c r="E2273" s="380" t="s">
        <v>810</v>
      </c>
      <c r="F2273" s="380" t="s">
        <v>1089</v>
      </c>
      <c r="G2273" s="380" t="s">
        <v>1267</v>
      </c>
      <c r="H2273" s="380" t="s">
        <v>771</v>
      </c>
      <c r="I2273" s="380" t="s">
        <v>1084</v>
      </c>
      <c r="J2273" s="380" t="s">
        <v>773</v>
      </c>
      <c r="K2273" s="381">
        <v>0.0</v>
      </c>
      <c r="L2273" s="382">
        <v>1.0</v>
      </c>
    </row>
    <row r="2274">
      <c r="A2274" s="380" t="s">
        <v>3137</v>
      </c>
      <c r="B2274" s="380" t="str">
        <f>IFERROR(__xludf.DUMMYFUNCTION("""COMPUTED_VALUE"""),"Blusa Oxfor Dama Mc Con Logo 8")</f>
        <v>Blusa Oxfor Dama Mc Con Logo 8</v>
      </c>
      <c r="C2274" s="380" t="str">
        <f>IFERROR(__xludf.DUMMYFUNCTION("""COMPUTED_VALUE"""),"30000577")</f>
        <v>30000577</v>
      </c>
      <c r="D2274" s="380" t="s">
        <v>767</v>
      </c>
      <c r="E2274" s="380" t="s">
        <v>810</v>
      </c>
      <c r="F2274" s="380" t="s">
        <v>1089</v>
      </c>
      <c r="G2274" s="380" t="s">
        <v>1267</v>
      </c>
      <c r="H2274" s="380" t="s">
        <v>771</v>
      </c>
      <c r="I2274" s="380" t="s">
        <v>1084</v>
      </c>
      <c r="J2274" s="380" t="s">
        <v>773</v>
      </c>
      <c r="K2274" s="381">
        <v>32275.0</v>
      </c>
      <c r="L2274" s="382">
        <v>1.0</v>
      </c>
    </row>
    <row r="2275">
      <c r="A2275" s="380" t="s">
        <v>3138</v>
      </c>
      <c r="B2275" s="380" t="str">
        <f>IFERROR(__xludf.DUMMYFUNCTION("""COMPUTED_VALUE"""),"Eslinga Restric Y Sin Absorbedor Gen")</f>
        <v>Eslinga Restric Y Sin Absorbedor Gen</v>
      </c>
      <c r="C2275" s="380" t="str">
        <f>IFERROR(__xludf.DUMMYFUNCTION("""COMPUTED_VALUE"""),"30000578")</f>
        <v>30000578</v>
      </c>
      <c r="D2275" s="380" t="s">
        <v>767</v>
      </c>
      <c r="E2275" s="380" t="s">
        <v>810</v>
      </c>
      <c r="F2275" s="380" t="s">
        <v>1083</v>
      </c>
      <c r="G2275" s="380" t="s">
        <v>1267</v>
      </c>
      <c r="H2275" s="380" t="s">
        <v>771</v>
      </c>
      <c r="I2275" s="380" t="s">
        <v>1084</v>
      </c>
      <c r="J2275" s="380" t="s">
        <v>773</v>
      </c>
      <c r="K2275" s="381">
        <v>0.0</v>
      </c>
      <c r="L2275" s="382">
        <v>1.0</v>
      </c>
    </row>
    <row r="2276">
      <c r="A2276" s="380" t="s">
        <v>3139</v>
      </c>
      <c r="B2276" s="380" t="str">
        <f>IFERROR(__xludf.DUMMYFUNCTION("""COMPUTED_VALUE"""),"Batola Dacron Gris 3/4 Mc 42")</f>
        <v>Batola Dacron Gris 3/4 Mc 42</v>
      </c>
      <c r="C2276" s="380" t="str">
        <f>IFERROR(__xludf.DUMMYFUNCTION("""COMPUTED_VALUE"""),"30000579")</f>
        <v>30000579</v>
      </c>
      <c r="D2276" s="380" t="s">
        <v>767</v>
      </c>
      <c r="E2276" s="380" t="s">
        <v>810</v>
      </c>
      <c r="F2276" s="380" t="s">
        <v>1089</v>
      </c>
      <c r="G2276" s="380" t="s">
        <v>1267</v>
      </c>
      <c r="H2276" s="380" t="s">
        <v>771</v>
      </c>
      <c r="I2276" s="380" t="s">
        <v>1084</v>
      </c>
      <c r="J2276" s="380" t="s">
        <v>773</v>
      </c>
      <c r="K2276" s="381">
        <v>0.0</v>
      </c>
      <c r="L2276" s="382">
        <v>1.0</v>
      </c>
    </row>
    <row r="2277">
      <c r="A2277" s="380" t="s">
        <v>3140</v>
      </c>
      <c r="B2277" s="380" t="str">
        <f>IFERROR(__xludf.DUMMYFUNCTION("""COMPUTED_VALUE"""),"Batola Dacron Gris 3/4 Mc 46")</f>
        <v>Batola Dacron Gris 3/4 Mc 46</v>
      </c>
      <c r="C2277" s="380" t="str">
        <f>IFERROR(__xludf.DUMMYFUNCTION("""COMPUTED_VALUE"""),"30000580")</f>
        <v>30000580</v>
      </c>
      <c r="D2277" s="380" t="s">
        <v>767</v>
      </c>
      <c r="E2277" s="380" t="s">
        <v>810</v>
      </c>
      <c r="F2277" s="380" t="s">
        <v>1089</v>
      </c>
      <c r="G2277" s="380" t="s">
        <v>1267</v>
      </c>
      <c r="H2277" s="380" t="s">
        <v>771</v>
      </c>
      <c r="I2277" s="380" t="s">
        <v>1084</v>
      </c>
      <c r="J2277" s="380" t="s">
        <v>773</v>
      </c>
      <c r="K2277" s="381">
        <v>21364.0</v>
      </c>
      <c r="L2277" s="382">
        <v>1.0</v>
      </c>
    </row>
    <row r="2278">
      <c r="A2278" s="380" t="s">
        <v>3141</v>
      </c>
      <c r="B2278" s="380" t="str">
        <f>IFERROR(__xludf.DUMMYFUNCTION("""COMPUTED_VALUE"""),"Batola Dacron Gris 3/4 Mc 44")</f>
        <v>Batola Dacron Gris 3/4 Mc 44</v>
      </c>
      <c r="C2278" s="380" t="str">
        <f>IFERROR(__xludf.DUMMYFUNCTION("""COMPUTED_VALUE"""),"30000581")</f>
        <v>30000581</v>
      </c>
      <c r="D2278" s="380" t="s">
        <v>767</v>
      </c>
      <c r="E2278" s="380" t="s">
        <v>810</v>
      </c>
      <c r="F2278" s="380" t="s">
        <v>1089</v>
      </c>
      <c r="G2278" s="380" t="s">
        <v>1267</v>
      </c>
      <c r="H2278" s="380" t="s">
        <v>771</v>
      </c>
      <c r="I2278" s="380" t="s">
        <v>1084</v>
      </c>
      <c r="J2278" s="380" t="s">
        <v>773</v>
      </c>
      <c r="K2278" s="381">
        <v>21364.0</v>
      </c>
      <c r="L2278" s="382">
        <v>1.0</v>
      </c>
    </row>
    <row r="2279">
      <c r="A2279" s="380" t="s">
        <v>3142</v>
      </c>
      <c r="B2279" s="380" t="str">
        <f>IFERROR(__xludf.DUMMYFUNCTION("""COMPUTED_VALUE"""),"Batola Dacron Gris 3/4 Mc 40")</f>
        <v>Batola Dacron Gris 3/4 Mc 40</v>
      </c>
      <c r="C2279" s="380" t="str">
        <f>IFERROR(__xludf.DUMMYFUNCTION("""COMPUTED_VALUE"""),"30000582")</f>
        <v>30000582</v>
      </c>
      <c r="D2279" s="380" t="s">
        <v>767</v>
      </c>
      <c r="E2279" s="380" t="s">
        <v>810</v>
      </c>
      <c r="F2279" s="380" t="s">
        <v>1089</v>
      </c>
      <c r="G2279" s="380" t="s">
        <v>1267</v>
      </c>
      <c r="H2279" s="380" t="s">
        <v>771</v>
      </c>
      <c r="I2279" s="380" t="s">
        <v>1084</v>
      </c>
      <c r="J2279" s="380" t="s">
        <v>773</v>
      </c>
      <c r="K2279" s="381">
        <v>0.0</v>
      </c>
      <c r="L2279" s="382">
        <v>1.0</v>
      </c>
    </row>
    <row r="2280">
      <c r="A2280" s="380" t="s">
        <v>3143</v>
      </c>
      <c r="B2280" s="380" t="str">
        <f>IFERROR(__xludf.DUMMYFUNCTION("""COMPUTED_VALUE"""),"Batola Dacron Gris 3/4 Mc 38")</f>
        <v>Batola Dacron Gris 3/4 Mc 38</v>
      </c>
      <c r="C2280" s="380" t="str">
        <f>IFERROR(__xludf.DUMMYFUNCTION("""COMPUTED_VALUE"""),"30000583")</f>
        <v>30000583</v>
      </c>
      <c r="D2280" s="380" t="s">
        <v>767</v>
      </c>
      <c r="E2280" s="380" t="s">
        <v>810</v>
      </c>
      <c r="F2280" s="380" t="s">
        <v>1089</v>
      </c>
      <c r="G2280" s="380" t="s">
        <v>1267</v>
      </c>
      <c r="H2280" s="380" t="s">
        <v>771</v>
      </c>
      <c r="I2280" s="380" t="s">
        <v>1084</v>
      </c>
      <c r="J2280" s="380" t="s">
        <v>773</v>
      </c>
      <c r="K2280" s="381">
        <v>21364.0</v>
      </c>
      <c r="L2280" s="382">
        <v>1.0</v>
      </c>
    </row>
    <row r="2281">
      <c r="A2281" s="380" t="s">
        <v>3144</v>
      </c>
      <c r="B2281" s="380" t="str">
        <f>IFERROR(__xludf.DUMMYFUNCTION("""COMPUTED_VALUE"""),"Batola Dacron Gris 3/4 Mc 34")</f>
        <v>Batola Dacron Gris 3/4 Mc 34</v>
      </c>
      <c r="C2281" s="380" t="str">
        <f>IFERROR(__xludf.DUMMYFUNCTION("""COMPUTED_VALUE"""),"30000584")</f>
        <v>30000584</v>
      </c>
      <c r="D2281" s="380" t="s">
        <v>767</v>
      </c>
      <c r="E2281" s="380" t="s">
        <v>810</v>
      </c>
      <c r="F2281" s="380" t="s">
        <v>1089</v>
      </c>
      <c r="G2281" s="380" t="s">
        <v>1267</v>
      </c>
      <c r="H2281" s="380" t="s">
        <v>771</v>
      </c>
      <c r="I2281" s="380" t="s">
        <v>1084</v>
      </c>
      <c r="J2281" s="380" t="s">
        <v>773</v>
      </c>
      <c r="K2281" s="381">
        <v>21364.0</v>
      </c>
      <c r="L2281" s="382">
        <v>1.0</v>
      </c>
    </row>
    <row r="2282">
      <c r="A2282" s="380" t="s">
        <v>3145</v>
      </c>
      <c r="B2282" s="380" t="str">
        <f>IFERROR(__xludf.DUMMYFUNCTION("""COMPUTED_VALUE"""),"Batola Dacron Gris 3/4 Mc 36")</f>
        <v>Batola Dacron Gris 3/4 Mc 36</v>
      </c>
      <c r="C2282" s="380" t="str">
        <f>IFERROR(__xludf.DUMMYFUNCTION("""COMPUTED_VALUE"""),"30000585")</f>
        <v>30000585</v>
      </c>
      <c r="D2282" s="380" t="s">
        <v>767</v>
      </c>
      <c r="E2282" s="380" t="s">
        <v>810</v>
      </c>
      <c r="F2282" s="380" t="s">
        <v>1089</v>
      </c>
      <c r="G2282" s="380" t="s">
        <v>1267</v>
      </c>
      <c r="H2282" s="380" t="s">
        <v>771</v>
      </c>
      <c r="I2282" s="380" t="s">
        <v>1084</v>
      </c>
      <c r="J2282" s="380" t="s">
        <v>773</v>
      </c>
      <c r="K2282" s="381">
        <v>21364.0</v>
      </c>
      <c r="L2282" s="382">
        <v>1.0</v>
      </c>
    </row>
    <row r="2283">
      <c r="A2283" s="380" t="s">
        <v>3146</v>
      </c>
      <c r="B2283" s="380" t="str">
        <f>IFERROR(__xludf.DUMMYFUNCTION("""COMPUTED_VALUE"""),"Batola Dril Gris 3/4 Ml 34")</f>
        <v>Batola Dril Gris 3/4 Ml 34</v>
      </c>
      <c r="C2283" s="380" t="str">
        <f>IFERROR(__xludf.DUMMYFUNCTION("""COMPUTED_VALUE"""),"30000586")</f>
        <v>30000586</v>
      </c>
      <c r="D2283" s="380" t="s">
        <v>767</v>
      </c>
      <c r="E2283" s="380" t="s">
        <v>810</v>
      </c>
      <c r="F2283" s="380" t="s">
        <v>1089</v>
      </c>
      <c r="G2283" s="380" t="s">
        <v>1267</v>
      </c>
      <c r="H2283" s="380" t="s">
        <v>771</v>
      </c>
      <c r="I2283" s="380" t="s">
        <v>1084</v>
      </c>
      <c r="J2283" s="380" t="s">
        <v>773</v>
      </c>
      <c r="K2283" s="381">
        <v>0.0</v>
      </c>
      <c r="L2283" s="382">
        <v>1.0</v>
      </c>
    </row>
    <row r="2284">
      <c r="A2284" s="380" t="s">
        <v>3147</v>
      </c>
      <c r="B2284" s="380" t="str">
        <f>IFERROR(__xludf.DUMMYFUNCTION("""COMPUTED_VALUE"""),"Batola Dril Gris 3/4 Ml 40")</f>
        <v>Batola Dril Gris 3/4 Ml 40</v>
      </c>
      <c r="C2284" s="380" t="str">
        <f>IFERROR(__xludf.DUMMYFUNCTION("""COMPUTED_VALUE"""),"30000587")</f>
        <v>30000587</v>
      </c>
      <c r="D2284" s="380" t="s">
        <v>767</v>
      </c>
      <c r="E2284" s="380" t="s">
        <v>810</v>
      </c>
      <c r="F2284" s="380" t="s">
        <v>1089</v>
      </c>
      <c r="G2284" s="380" t="s">
        <v>1267</v>
      </c>
      <c r="H2284" s="380" t="s">
        <v>771</v>
      </c>
      <c r="I2284" s="380" t="s">
        <v>1084</v>
      </c>
      <c r="J2284" s="380" t="s">
        <v>773</v>
      </c>
      <c r="K2284" s="381">
        <v>0.0</v>
      </c>
      <c r="L2284" s="382">
        <v>1.0</v>
      </c>
    </row>
    <row r="2285">
      <c r="A2285" s="380" t="s">
        <v>3148</v>
      </c>
      <c r="B2285" s="380" t="str">
        <f>IFERROR(__xludf.DUMMYFUNCTION("""COMPUTED_VALUE"""),"Blusa Oxfor Dama Mc Con Logo 16")</f>
        <v>Blusa Oxfor Dama Mc Con Logo 16</v>
      </c>
      <c r="C2285" s="380" t="str">
        <f>IFERROR(__xludf.DUMMYFUNCTION("""COMPUTED_VALUE"""),"30000588")</f>
        <v>30000588</v>
      </c>
      <c r="D2285" s="380" t="s">
        <v>767</v>
      </c>
      <c r="E2285" s="380" t="s">
        <v>810</v>
      </c>
      <c r="F2285" s="380" t="s">
        <v>1089</v>
      </c>
      <c r="G2285" s="380" t="s">
        <v>1267</v>
      </c>
      <c r="H2285" s="380" t="s">
        <v>771</v>
      </c>
      <c r="I2285" s="380" t="s">
        <v>1084</v>
      </c>
      <c r="J2285" s="380" t="s">
        <v>773</v>
      </c>
      <c r="K2285" s="381">
        <v>32275.0</v>
      </c>
      <c r="L2285" s="382">
        <v>1.0</v>
      </c>
    </row>
    <row r="2286">
      <c r="A2286" s="380" t="s">
        <v>3149</v>
      </c>
      <c r="B2286" s="380" t="str">
        <f>IFERROR(__xludf.DUMMYFUNCTION("""COMPUTED_VALUE"""),"Batola Dril Gris 3/4 Ml 44")</f>
        <v>Batola Dril Gris 3/4 Ml 44</v>
      </c>
      <c r="C2286" s="380" t="str">
        <f>IFERROR(__xludf.DUMMYFUNCTION("""COMPUTED_VALUE"""),"30000589")</f>
        <v>30000589</v>
      </c>
      <c r="D2286" s="380" t="s">
        <v>767</v>
      </c>
      <c r="E2286" s="380" t="s">
        <v>810</v>
      </c>
      <c r="F2286" s="380" t="s">
        <v>1089</v>
      </c>
      <c r="G2286" s="380" t="s">
        <v>1267</v>
      </c>
      <c r="H2286" s="380" t="s">
        <v>771</v>
      </c>
      <c r="I2286" s="380" t="s">
        <v>1084</v>
      </c>
      <c r="J2286" s="380" t="s">
        <v>773</v>
      </c>
      <c r="K2286" s="381">
        <v>0.0</v>
      </c>
      <c r="L2286" s="382">
        <v>1.0</v>
      </c>
    </row>
    <row r="2287">
      <c r="A2287" s="380" t="s">
        <v>3150</v>
      </c>
      <c r="B2287" s="380" t="str">
        <f>IFERROR(__xludf.DUMMYFUNCTION("""COMPUTED_VALUE"""),"Batola Dril Gris 3/4 Ml 42")</f>
        <v>Batola Dril Gris 3/4 Ml 42</v>
      </c>
      <c r="C2287" s="380" t="str">
        <f>IFERROR(__xludf.DUMMYFUNCTION("""COMPUTED_VALUE"""),"30000590")</f>
        <v>30000590</v>
      </c>
      <c r="D2287" s="380" t="s">
        <v>767</v>
      </c>
      <c r="E2287" s="380" t="s">
        <v>810</v>
      </c>
      <c r="F2287" s="380" t="s">
        <v>1089</v>
      </c>
      <c r="G2287" s="380" t="s">
        <v>1267</v>
      </c>
      <c r="H2287" s="380" t="s">
        <v>771</v>
      </c>
      <c r="I2287" s="380" t="s">
        <v>1084</v>
      </c>
      <c r="J2287" s="380" t="s">
        <v>773</v>
      </c>
      <c r="K2287" s="381">
        <v>0.0</v>
      </c>
      <c r="L2287" s="382">
        <v>1.0</v>
      </c>
    </row>
    <row r="2288">
      <c r="A2288" s="380" t="s">
        <v>3151</v>
      </c>
      <c r="B2288" s="380" t="str">
        <f>IFERROR(__xludf.DUMMYFUNCTION("""COMPUTED_VALUE"""),"Overol Azul Ml 48")</f>
        <v>Overol Azul Ml 48</v>
      </c>
      <c r="C2288" s="380" t="str">
        <f>IFERROR(__xludf.DUMMYFUNCTION("""COMPUTED_VALUE"""),"30000591")</f>
        <v>30000591</v>
      </c>
      <c r="D2288" s="380" t="s">
        <v>767</v>
      </c>
      <c r="E2288" s="380" t="s">
        <v>810</v>
      </c>
      <c r="F2288" s="380" t="s">
        <v>1089</v>
      </c>
      <c r="G2288" s="380" t="s">
        <v>1267</v>
      </c>
      <c r="H2288" s="380" t="s">
        <v>771</v>
      </c>
      <c r="I2288" s="380" t="s">
        <v>1084</v>
      </c>
      <c r="J2288" s="380" t="s">
        <v>773</v>
      </c>
      <c r="K2288" s="381">
        <v>77822.0</v>
      </c>
      <c r="L2288" s="382">
        <v>1.0</v>
      </c>
    </row>
    <row r="2289">
      <c r="A2289" s="380" t="s">
        <v>3152</v>
      </c>
      <c r="B2289" s="380" t="str">
        <f>IFERROR(__xludf.DUMMYFUNCTION("""COMPUTED_VALUE"""),"Overol Azul Ml 36")</f>
        <v>Overol Azul Ml 36</v>
      </c>
      <c r="C2289" s="380" t="str">
        <f>IFERROR(__xludf.DUMMYFUNCTION("""COMPUTED_VALUE"""),"30000592")</f>
        <v>30000592</v>
      </c>
      <c r="D2289" s="380" t="s">
        <v>767</v>
      </c>
      <c r="E2289" s="380" t="s">
        <v>810</v>
      </c>
      <c r="F2289" s="380" t="s">
        <v>1089</v>
      </c>
      <c r="G2289" s="380" t="s">
        <v>1267</v>
      </c>
      <c r="H2289" s="380" t="s">
        <v>771</v>
      </c>
      <c r="I2289" s="380" t="s">
        <v>1084</v>
      </c>
      <c r="J2289" s="380" t="s">
        <v>773</v>
      </c>
      <c r="K2289" s="381">
        <v>77822.0</v>
      </c>
      <c r="L2289" s="382">
        <v>1.0</v>
      </c>
    </row>
    <row r="2290">
      <c r="A2290" s="380" t="s">
        <v>3153</v>
      </c>
      <c r="B2290" s="380" t="str">
        <f>IFERROR(__xludf.DUMMYFUNCTION("""COMPUTED_VALUE"""),"Overol Azul Ml 46")</f>
        <v>Overol Azul Ml 46</v>
      </c>
      <c r="C2290" s="380" t="str">
        <f>IFERROR(__xludf.DUMMYFUNCTION("""COMPUTED_VALUE"""),"30000593")</f>
        <v>30000593</v>
      </c>
      <c r="D2290" s="380" t="s">
        <v>767</v>
      </c>
      <c r="E2290" s="380" t="s">
        <v>810</v>
      </c>
      <c r="F2290" s="380" t="s">
        <v>1089</v>
      </c>
      <c r="G2290" s="380" t="s">
        <v>1267</v>
      </c>
      <c r="H2290" s="380" t="s">
        <v>771</v>
      </c>
      <c r="I2290" s="380" t="s">
        <v>1084</v>
      </c>
      <c r="J2290" s="380" t="s">
        <v>773</v>
      </c>
      <c r="K2290" s="381">
        <v>77822.0</v>
      </c>
      <c r="L2290" s="382">
        <v>1.0</v>
      </c>
    </row>
    <row r="2291">
      <c r="A2291" s="380" t="s">
        <v>3154</v>
      </c>
      <c r="B2291" s="380" t="str">
        <f>IFERROR(__xludf.DUMMYFUNCTION("""COMPUTED_VALUE"""),"Overol Azul Ml 40")</f>
        <v>Overol Azul Ml 40</v>
      </c>
      <c r="C2291" s="380" t="str">
        <f>IFERROR(__xludf.DUMMYFUNCTION("""COMPUTED_VALUE"""),"30000594")</f>
        <v>30000594</v>
      </c>
      <c r="D2291" s="380" t="s">
        <v>767</v>
      </c>
      <c r="E2291" s="380" t="s">
        <v>810</v>
      </c>
      <c r="F2291" s="380" t="s">
        <v>1089</v>
      </c>
      <c r="G2291" s="380" t="s">
        <v>1267</v>
      </c>
      <c r="H2291" s="380" t="s">
        <v>771</v>
      </c>
      <c r="I2291" s="380" t="s">
        <v>1084</v>
      </c>
      <c r="J2291" s="380" t="s">
        <v>773</v>
      </c>
      <c r="K2291" s="381">
        <v>77822.0</v>
      </c>
      <c r="L2291" s="382">
        <v>1.0</v>
      </c>
    </row>
    <row r="2292">
      <c r="A2292" s="380" t="s">
        <v>3155</v>
      </c>
      <c r="B2292" s="380" t="str">
        <f>IFERROR(__xludf.DUMMYFUNCTION("""COMPUTED_VALUE"""),"Overol Azul Mc 46")</f>
        <v>Overol Azul Mc 46</v>
      </c>
      <c r="C2292" s="380" t="str">
        <f>IFERROR(__xludf.DUMMYFUNCTION("""COMPUTED_VALUE"""),"30000595")</f>
        <v>30000595</v>
      </c>
      <c r="D2292" s="380" t="s">
        <v>767</v>
      </c>
      <c r="E2292" s="380" t="s">
        <v>810</v>
      </c>
      <c r="F2292" s="380" t="s">
        <v>1089</v>
      </c>
      <c r="G2292" s="380" t="s">
        <v>1267</v>
      </c>
      <c r="H2292" s="380" t="s">
        <v>771</v>
      </c>
      <c r="I2292" s="380" t="s">
        <v>1084</v>
      </c>
      <c r="J2292" s="380" t="s">
        <v>773</v>
      </c>
      <c r="K2292" s="381">
        <v>0.0</v>
      </c>
      <c r="L2292" s="382">
        <v>1.0</v>
      </c>
    </row>
    <row r="2293">
      <c r="A2293" s="380" t="s">
        <v>3156</v>
      </c>
      <c r="B2293" s="380" t="str">
        <f>IFERROR(__xludf.DUMMYFUNCTION("""COMPUTED_VALUE"""),"Overol Azul Mc 52")</f>
        <v>Overol Azul Mc 52</v>
      </c>
      <c r="C2293" s="380" t="str">
        <f>IFERROR(__xludf.DUMMYFUNCTION("""COMPUTED_VALUE"""),"30000596")</f>
        <v>30000596</v>
      </c>
      <c r="D2293" s="380" t="s">
        <v>767</v>
      </c>
      <c r="E2293" s="380" t="s">
        <v>810</v>
      </c>
      <c r="F2293" s="380" t="s">
        <v>1089</v>
      </c>
      <c r="G2293" s="380" t="s">
        <v>1267</v>
      </c>
      <c r="H2293" s="380" t="s">
        <v>771</v>
      </c>
      <c r="I2293" s="380" t="s">
        <v>1084</v>
      </c>
      <c r="J2293" s="380" t="s">
        <v>773</v>
      </c>
      <c r="K2293" s="381">
        <v>0.0</v>
      </c>
      <c r="L2293" s="382">
        <v>1.0</v>
      </c>
    </row>
    <row r="2294">
      <c r="A2294" s="380" t="s">
        <v>3157</v>
      </c>
      <c r="B2294" s="380" t="str">
        <f>IFERROR(__xludf.DUMMYFUNCTION("""COMPUTED_VALUE"""),"Pantalon Lino Prenses 28")</f>
        <v>Pantalon Lino Prenses 28</v>
      </c>
      <c r="C2294" s="380" t="str">
        <f>IFERROR(__xludf.DUMMYFUNCTION("""COMPUTED_VALUE"""),"30000597")</f>
        <v>30000597</v>
      </c>
      <c r="D2294" s="380" t="s">
        <v>767</v>
      </c>
      <c r="E2294" s="380" t="s">
        <v>810</v>
      </c>
      <c r="F2294" s="380" t="s">
        <v>1089</v>
      </c>
      <c r="G2294" s="380" t="s">
        <v>1267</v>
      </c>
      <c r="H2294" s="380" t="s">
        <v>771</v>
      </c>
      <c r="I2294" s="380" t="s">
        <v>1084</v>
      </c>
      <c r="J2294" s="380" t="s">
        <v>773</v>
      </c>
      <c r="K2294" s="381">
        <v>39966.0</v>
      </c>
      <c r="L2294" s="382">
        <v>1.0</v>
      </c>
    </row>
    <row r="2295">
      <c r="A2295" s="380" t="s">
        <v>3158</v>
      </c>
      <c r="B2295" s="380" t="str">
        <f>IFERROR(__xludf.DUMMYFUNCTION("""COMPUTED_VALUE"""),"Blusa Oxfor Dama Mc Con Logo 38")</f>
        <v>Blusa Oxfor Dama Mc Con Logo 38</v>
      </c>
      <c r="C2295" s="380" t="str">
        <f>IFERROR(__xludf.DUMMYFUNCTION("""COMPUTED_VALUE"""),"30000598")</f>
        <v>30000598</v>
      </c>
      <c r="D2295" s="380" t="s">
        <v>767</v>
      </c>
      <c r="E2295" s="380" t="s">
        <v>810</v>
      </c>
      <c r="F2295" s="380" t="s">
        <v>1089</v>
      </c>
      <c r="G2295" s="380" t="s">
        <v>1267</v>
      </c>
      <c r="H2295" s="380" t="s">
        <v>771</v>
      </c>
      <c r="I2295" s="380" t="s">
        <v>1084</v>
      </c>
      <c r="J2295" s="380" t="s">
        <v>773</v>
      </c>
      <c r="K2295" s="381">
        <v>0.0</v>
      </c>
      <c r="L2295" s="382">
        <v>1.0</v>
      </c>
    </row>
    <row r="2296">
      <c r="A2296" s="380" t="s">
        <v>3159</v>
      </c>
      <c r="B2296" s="380" t="str">
        <f>IFERROR(__xludf.DUMMYFUNCTION("""COMPUTED_VALUE"""),"Overol Azul Mc 36")</f>
        <v>Overol Azul Mc 36</v>
      </c>
      <c r="C2296" s="380" t="str">
        <f>IFERROR(__xludf.DUMMYFUNCTION("""COMPUTED_VALUE"""),"30000599")</f>
        <v>30000599</v>
      </c>
      <c r="D2296" s="380" t="s">
        <v>767</v>
      </c>
      <c r="E2296" s="380" t="s">
        <v>810</v>
      </c>
      <c r="F2296" s="380" t="s">
        <v>1089</v>
      </c>
      <c r="G2296" s="380" t="s">
        <v>1267</v>
      </c>
      <c r="H2296" s="380" t="s">
        <v>771</v>
      </c>
      <c r="I2296" s="380" t="s">
        <v>1084</v>
      </c>
      <c r="J2296" s="380" t="s">
        <v>773</v>
      </c>
      <c r="K2296" s="381">
        <v>0.0</v>
      </c>
      <c r="L2296" s="382">
        <v>1.0</v>
      </c>
    </row>
    <row r="2297">
      <c r="A2297" s="380" t="s">
        <v>3160</v>
      </c>
      <c r="B2297" s="380" t="str">
        <f>IFERROR(__xludf.DUMMYFUNCTION("""COMPUTED_VALUE"""),"Overol Azul Mc 44")</f>
        <v>Overol Azul Mc 44</v>
      </c>
      <c r="C2297" s="380" t="str">
        <f>IFERROR(__xludf.DUMMYFUNCTION("""COMPUTED_VALUE"""),"30000600")</f>
        <v>30000600</v>
      </c>
      <c r="D2297" s="380" t="s">
        <v>767</v>
      </c>
      <c r="E2297" s="380" t="s">
        <v>810</v>
      </c>
      <c r="F2297" s="380" t="s">
        <v>1089</v>
      </c>
      <c r="G2297" s="380" t="s">
        <v>1267</v>
      </c>
      <c r="H2297" s="380" t="s">
        <v>771</v>
      </c>
      <c r="I2297" s="380" t="s">
        <v>1084</v>
      </c>
      <c r="J2297" s="380" t="s">
        <v>773</v>
      </c>
      <c r="K2297" s="381">
        <v>0.0</v>
      </c>
      <c r="L2297" s="382">
        <v>1.0</v>
      </c>
    </row>
    <row r="2298">
      <c r="A2298" s="380" t="s">
        <v>3161</v>
      </c>
      <c r="B2298" s="380" t="str">
        <f>IFERROR(__xludf.DUMMYFUNCTION("""COMPUTED_VALUE"""),"Overol Azul Mc 42")</f>
        <v>Overol Azul Mc 42</v>
      </c>
      <c r="C2298" s="380" t="str">
        <f>IFERROR(__xludf.DUMMYFUNCTION("""COMPUTED_VALUE"""),"30000601")</f>
        <v>30000601</v>
      </c>
      <c r="D2298" s="380" t="s">
        <v>767</v>
      </c>
      <c r="E2298" s="380" t="s">
        <v>810</v>
      </c>
      <c r="F2298" s="380" t="s">
        <v>1089</v>
      </c>
      <c r="G2298" s="380" t="s">
        <v>1267</v>
      </c>
      <c r="H2298" s="380" t="s">
        <v>771</v>
      </c>
      <c r="I2298" s="380" t="s">
        <v>1084</v>
      </c>
      <c r="J2298" s="380" t="s">
        <v>773</v>
      </c>
      <c r="K2298" s="381">
        <v>0.0</v>
      </c>
      <c r="L2298" s="382">
        <v>1.0</v>
      </c>
    </row>
    <row r="2299">
      <c r="A2299" s="380" t="s">
        <v>3162</v>
      </c>
      <c r="B2299" s="380" t="str">
        <f>IFERROR(__xludf.DUMMYFUNCTION("""COMPUTED_VALUE"""),"Overol Azul Mc 54")</f>
        <v>Overol Azul Mc 54</v>
      </c>
      <c r="C2299" s="380" t="str">
        <f>IFERROR(__xludf.DUMMYFUNCTION("""COMPUTED_VALUE"""),"30000602")</f>
        <v>30000602</v>
      </c>
      <c r="D2299" s="380" t="s">
        <v>767</v>
      </c>
      <c r="E2299" s="380" t="s">
        <v>810</v>
      </c>
      <c r="F2299" s="380" t="s">
        <v>1089</v>
      </c>
      <c r="G2299" s="380" t="s">
        <v>1267</v>
      </c>
      <c r="H2299" s="380" t="s">
        <v>771</v>
      </c>
      <c r="I2299" s="380" t="s">
        <v>1084</v>
      </c>
      <c r="J2299" s="380" t="s">
        <v>773</v>
      </c>
      <c r="K2299" s="381">
        <v>0.0</v>
      </c>
      <c r="L2299" s="382">
        <v>1.0</v>
      </c>
    </row>
    <row r="2300">
      <c r="A2300" s="380" t="s">
        <v>3163</v>
      </c>
      <c r="B2300" s="380" t="str">
        <f>IFERROR(__xludf.DUMMYFUNCTION("""COMPUTED_VALUE"""),"Overol Azul Mc 34")</f>
        <v>Overol Azul Mc 34</v>
      </c>
      <c r="C2300" s="380" t="str">
        <f>IFERROR(__xludf.DUMMYFUNCTION("""COMPUTED_VALUE"""),"30000603")</f>
        <v>30000603</v>
      </c>
      <c r="D2300" s="380" t="s">
        <v>767</v>
      </c>
      <c r="E2300" s="380" t="s">
        <v>810</v>
      </c>
      <c r="F2300" s="380" t="s">
        <v>1089</v>
      </c>
      <c r="G2300" s="380" t="s">
        <v>1267</v>
      </c>
      <c r="H2300" s="380" t="s">
        <v>771</v>
      </c>
      <c r="I2300" s="380" t="s">
        <v>1084</v>
      </c>
      <c r="J2300" s="380" t="s">
        <v>773</v>
      </c>
      <c r="K2300" s="381">
        <v>0.0</v>
      </c>
      <c r="L2300" s="382">
        <v>1.0</v>
      </c>
    </row>
    <row r="2301">
      <c r="A2301" s="380" t="s">
        <v>3164</v>
      </c>
      <c r="B2301" s="380" t="str">
        <f>IFERROR(__xludf.DUMMYFUNCTION("""COMPUTED_VALUE"""),"Overol Azul Mc 48")</f>
        <v>Overol Azul Mc 48</v>
      </c>
      <c r="C2301" s="380" t="str">
        <f>IFERROR(__xludf.DUMMYFUNCTION("""COMPUTED_VALUE"""),"30000604")</f>
        <v>30000604</v>
      </c>
      <c r="D2301" s="380" t="s">
        <v>767</v>
      </c>
      <c r="E2301" s="380" t="s">
        <v>810</v>
      </c>
      <c r="F2301" s="380" t="s">
        <v>1089</v>
      </c>
      <c r="G2301" s="380" t="s">
        <v>1267</v>
      </c>
      <c r="H2301" s="380" t="s">
        <v>771</v>
      </c>
      <c r="I2301" s="380" t="s">
        <v>1084</v>
      </c>
      <c r="J2301" s="380" t="s">
        <v>773</v>
      </c>
      <c r="K2301" s="381">
        <v>0.0</v>
      </c>
      <c r="L2301" s="382">
        <v>1.0</v>
      </c>
    </row>
    <row r="2302">
      <c r="A2302" s="380" t="s">
        <v>3165</v>
      </c>
      <c r="B2302" s="380" t="str">
        <f>IFERROR(__xludf.DUMMYFUNCTION("""COMPUTED_VALUE"""),"Overol Azul Mc 38")</f>
        <v>Overol Azul Mc 38</v>
      </c>
      <c r="C2302" s="380" t="str">
        <f>IFERROR(__xludf.DUMMYFUNCTION("""COMPUTED_VALUE"""),"30000605")</f>
        <v>30000605</v>
      </c>
      <c r="D2302" s="380" t="s">
        <v>767</v>
      </c>
      <c r="E2302" s="380" t="s">
        <v>810</v>
      </c>
      <c r="F2302" s="380" t="s">
        <v>1089</v>
      </c>
      <c r="G2302" s="380" t="s">
        <v>1267</v>
      </c>
      <c r="H2302" s="380" t="s">
        <v>771</v>
      </c>
      <c r="I2302" s="380" t="s">
        <v>1084</v>
      </c>
      <c r="J2302" s="380" t="s">
        <v>773</v>
      </c>
      <c r="K2302" s="381">
        <v>0.0</v>
      </c>
      <c r="L2302" s="382">
        <v>1.0</v>
      </c>
    </row>
    <row r="2303">
      <c r="A2303" s="380" t="s">
        <v>3166</v>
      </c>
      <c r="B2303" s="380" t="str">
        <f>IFERROR(__xludf.DUMMYFUNCTION("""COMPUTED_VALUE"""),"Overol Azul Mc 40")</f>
        <v>Overol Azul Mc 40</v>
      </c>
      <c r="C2303" s="380" t="str">
        <f>IFERROR(__xludf.DUMMYFUNCTION("""COMPUTED_VALUE"""),"30000606")</f>
        <v>30000606</v>
      </c>
      <c r="D2303" s="380" t="s">
        <v>767</v>
      </c>
      <c r="E2303" s="380" t="s">
        <v>810</v>
      </c>
      <c r="F2303" s="380" t="s">
        <v>1089</v>
      </c>
      <c r="G2303" s="380" t="s">
        <v>1267</v>
      </c>
      <c r="H2303" s="380" t="s">
        <v>771</v>
      </c>
      <c r="I2303" s="380" t="s">
        <v>1084</v>
      </c>
      <c r="J2303" s="380" t="s">
        <v>773</v>
      </c>
      <c r="K2303" s="381">
        <v>0.0</v>
      </c>
      <c r="L2303" s="382">
        <v>1.0</v>
      </c>
    </row>
    <row r="2304">
      <c r="A2304" s="380" t="s">
        <v>3167</v>
      </c>
      <c r="B2304" s="380" t="str">
        <f>IFERROR(__xludf.DUMMYFUNCTION("""COMPUTED_VALUE"""),"Blusa Oxfor Dama Mc Con Logo 20")</f>
        <v>Blusa Oxfor Dama Mc Con Logo 20</v>
      </c>
      <c r="C2304" s="380" t="str">
        <f>IFERROR(__xludf.DUMMYFUNCTION("""COMPUTED_VALUE"""),"30000607")</f>
        <v>30000607</v>
      </c>
      <c r="D2304" s="380" t="s">
        <v>767</v>
      </c>
      <c r="E2304" s="380" t="s">
        <v>810</v>
      </c>
      <c r="F2304" s="380" t="s">
        <v>1089</v>
      </c>
      <c r="G2304" s="380" t="s">
        <v>1267</v>
      </c>
      <c r="H2304" s="380" t="s">
        <v>771</v>
      </c>
      <c r="I2304" s="380" t="s">
        <v>1084</v>
      </c>
      <c r="J2304" s="380" t="s">
        <v>773</v>
      </c>
      <c r="K2304" s="381">
        <v>32275.0</v>
      </c>
      <c r="L2304" s="382">
        <v>1.0</v>
      </c>
    </row>
    <row r="2305">
      <c r="A2305" s="380" t="s">
        <v>3168</v>
      </c>
      <c r="B2305" s="380" t="str">
        <f>IFERROR(__xludf.DUMMYFUNCTION("""COMPUTED_VALUE"""),"Chaleco Brigadista Rojo 44")</f>
        <v>Chaleco Brigadista Rojo 44</v>
      </c>
      <c r="C2305" s="380" t="str">
        <f>IFERROR(__xludf.DUMMYFUNCTION("""COMPUTED_VALUE"""),"30000612")</f>
        <v>30000612</v>
      </c>
      <c r="D2305" s="380" t="s">
        <v>767</v>
      </c>
      <c r="E2305" s="380" t="s">
        <v>810</v>
      </c>
      <c r="F2305" s="380" t="s">
        <v>1089</v>
      </c>
      <c r="G2305" s="380" t="s">
        <v>1267</v>
      </c>
      <c r="H2305" s="380" t="s">
        <v>771</v>
      </c>
      <c r="I2305" s="380" t="s">
        <v>1084</v>
      </c>
      <c r="J2305" s="380" t="s">
        <v>773</v>
      </c>
      <c r="K2305" s="381">
        <v>0.0</v>
      </c>
      <c r="L2305" s="382">
        <v>1.0</v>
      </c>
    </row>
    <row r="2306">
      <c r="A2306" s="380" t="s">
        <v>3169</v>
      </c>
      <c r="B2306" s="380" t="str">
        <f>IFERROR(__xludf.DUMMYFUNCTION("""COMPUTED_VALUE"""),"Chaleco Brigadista Rojo 36")</f>
        <v>Chaleco Brigadista Rojo 36</v>
      </c>
      <c r="C2306" s="380" t="str">
        <f>IFERROR(__xludf.DUMMYFUNCTION("""COMPUTED_VALUE"""),"30000613")</f>
        <v>30000613</v>
      </c>
      <c r="D2306" s="380" t="s">
        <v>767</v>
      </c>
      <c r="E2306" s="380" t="s">
        <v>810</v>
      </c>
      <c r="F2306" s="380" t="s">
        <v>1089</v>
      </c>
      <c r="G2306" s="380" t="s">
        <v>1267</v>
      </c>
      <c r="H2306" s="380" t="s">
        <v>771</v>
      </c>
      <c r="I2306" s="380" t="s">
        <v>1084</v>
      </c>
      <c r="J2306" s="380" t="s">
        <v>773</v>
      </c>
      <c r="K2306" s="381">
        <v>0.0</v>
      </c>
      <c r="L2306" s="382">
        <v>1.0</v>
      </c>
    </row>
    <row r="2307">
      <c r="A2307" s="380" t="s">
        <v>3170</v>
      </c>
      <c r="B2307" s="380" t="str">
        <f>IFERROR(__xludf.DUMMYFUNCTION("""COMPUTED_VALUE"""),"Chaleco Brigadista Rojo 42")</f>
        <v>Chaleco Brigadista Rojo 42</v>
      </c>
      <c r="C2307" s="380" t="str">
        <f>IFERROR(__xludf.DUMMYFUNCTION("""COMPUTED_VALUE"""),"30000614")</f>
        <v>30000614</v>
      </c>
      <c r="D2307" s="380" t="s">
        <v>767</v>
      </c>
      <c r="E2307" s="380" t="s">
        <v>810</v>
      </c>
      <c r="F2307" s="380" t="s">
        <v>1089</v>
      </c>
      <c r="G2307" s="380" t="s">
        <v>1267</v>
      </c>
      <c r="H2307" s="380" t="s">
        <v>771</v>
      </c>
      <c r="I2307" s="380" t="s">
        <v>1084</v>
      </c>
      <c r="J2307" s="380" t="s">
        <v>773</v>
      </c>
      <c r="K2307" s="381">
        <v>0.0</v>
      </c>
      <c r="L2307" s="382">
        <v>1.0</v>
      </c>
    </row>
    <row r="2308">
      <c r="A2308" s="380" t="s">
        <v>3171</v>
      </c>
      <c r="B2308" s="380" t="str">
        <f>IFERROR(__xludf.DUMMYFUNCTION("""COMPUTED_VALUE"""),"Chaleco Brigadista Rojo 38")</f>
        <v>Chaleco Brigadista Rojo 38</v>
      </c>
      <c r="C2308" s="380" t="str">
        <f>IFERROR(__xludf.DUMMYFUNCTION("""COMPUTED_VALUE"""),"30000615")</f>
        <v>30000615</v>
      </c>
      <c r="D2308" s="380" t="s">
        <v>767</v>
      </c>
      <c r="E2308" s="380" t="s">
        <v>810</v>
      </c>
      <c r="F2308" s="380" t="s">
        <v>1089</v>
      </c>
      <c r="G2308" s="380" t="s">
        <v>1267</v>
      </c>
      <c r="H2308" s="380" t="s">
        <v>771</v>
      </c>
      <c r="I2308" s="380" t="s">
        <v>1084</v>
      </c>
      <c r="J2308" s="380" t="s">
        <v>773</v>
      </c>
      <c r="K2308" s="381">
        <v>26781.0</v>
      </c>
      <c r="L2308" s="382">
        <v>1.0</v>
      </c>
    </row>
    <row r="2309">
      <c r="A2309" s="380" t="s">
        <v>3172</v>
      </c>
      <c r="B2309" s="380" t="str">
        <f>IFERROR(__xludf.DUMMYFUNCTION("""COMPUTED_VALUE"""),"Chaleco Brigadista Rojo 40")</f>
        <v>Chaleco Brigadista Rojo 40</v>
      </c>
      <c r="C2309" s="380" t="str">
        <f>IFERROR(__xludf.DUMMYFUNCTION("""COMPUTED_VALUE"""),"30000616")</f>
        <v>30000616</v>
      </c>
      <c r="D2309" s="380" t="s">
        <v>767</v>
      </c>
      <c r="E2309" s="380" t="s">
        <v>810</v>
      </c>
      <c r="F2309" s="380" t="s">
        <v>1089</v>
      </c>
      <c r="G2309" s="380" t="s">
        <v>1267</v>
      </c>
      <c r="H2309" s="380" t="s">
        <v>771</v>
      </c>
      <c r="I2309" s="380" t="s">
        <v>1084</v>
      </c>
      <c r="J2309" s="380" t="s">
        <v>773</v>
      </c>
      <c r="K2309" s="381">
        <v>0.0</v>
      </c>
      <c r="L2309" s="382">
        <v>1.0</v>
      </c>
    </row>
    <row r="2310">
      <c r="A2310" s="380" t="s">
        <v>3173</v>
      </c>
      <c r="B2310" s="380" t="str">
        <f>IFERROR(__xludf.DUMMYFUNCTION("""COMPUTED_VALUE"""),"Overol Azul Ml 50")</f>
        <v>Overol Azul Ml 50</v>
      </c>
      <c r="C2310" s="380" t="str">
        <f>IFERROR(__xludf.DUMMYFUNCTION("""COMPUTED_VALUE"""),"30000617")</f>
        <v>30000617</v>
      </c>
      <c r="D2310" s="380" t="s">
        <v>767</v>
      </c>
      <c r="E2310" s="380" t="s">
        <v>810</v>
      </c>
      <c r="F2310" s="380" t="s">
        <v>1089</v>
      </c>
      <c r="G2310" s="380" t="s">
        <v>1267</v>
      </c>
      <c r="H2310" s="380" t="s">
        <v>771</v>
      </c>
      <c r="I2310" s="380" t="s">
        <v>1084</v>
      </c>
      <c r="J2310" s="380" t="s">
        <v>773</v>
      </c>
      <c r="K2310" s="381">
        <v>77822.0</v>
      </c>
      <c r="L2310" s="382">
        <v>1.0</v>
      </c>
    </row>
    <row r="2311">
      <c r="A2311" s="380" t="s">
        <v>3174</v>
      </c>
      <c r="B2311" s="380" t="str">
        <f>IFERROR(__xludf.DUMMYFUNCTION("""COMPUTED_VALUE"""),"Blusa Oxfor Dama Mc Con Logo 6")</f>
        <v>Blusa Oxfor Dama Mc Con Logo 6</v>
      </c>
      <c r="C2311" s="380" t="str">
        <f>IFERROR(__xludf.DUMMYFUNCTION("""COMPUTED_VALUE"""),"30000618")</f>
        <v>30000618</v>
      </c>
      <c r="D2311" s="380" t="s">
        <v>767</v>
      </c>
      <c r="E2311" s="380" t="s">
        <v>810</v>
      </c>
      <c r="F2311" s="380" t="s">
        <v>1089</v>
      </c>
      <c r="G2311" s="380" t="s">
        <v>1267</v>
      </c>
      <c r="H2311" s="380" t="s">
        <v>771</v>
      </c>
      <c r="I2311" s="380" t="s">
        <v>1084</v>
      </c>
      <c r="J2311" s="380" t="s">
        <v>773</v>
      </c>
      <c r="K2311" s="381">
        <v>32275.0</v>
      </c>
      <c r="L2311" s="382">
        <v>1.0</v>
      </c>
    </row>
    <row r="2312">
      <c r="A2312" s="380" t="s">
        <v>3175</v>
      </c>
      <c r="B2312" s="380" t="str">
        <f>IFERROR(__xludf.DUMMYFUNCTION("""COMPUTED_VALUE"""),"Overol Azul Ml 54")</f>
        <v>Overol Azul Ml 54</v>
      </c>
      <c r="C2312" s="380" t="str">
        <f>IFERROR(__xludf.DUMMYFUNCTION("""COMPUTED_VALUE"""),"30000619")</f>
        <v>30000619</v>
      </c>
      <c r="D2312" s="380" t="s">
        <v>767</v>
      </c>
      <c r="E2312" s="380" t="s">
        <v>810</v>
      </c>
      <c r="F2312" s="380" t="s">
        <v>1089</v>
      </c>
      <c r="G2312" s="380" t="s">
        <v>1267</v>
      </c>
      <c r="H2312" s="380" t="s">
        <v>771</v>
      </c>
      <c r="I2312" s="380" t="s">
        <v>1084</v>
      </c>
      <c r="J2312" s="380" t="s">
        <v>773</v>
      </c>
      <c r="K2312" s="381">
        <v>77822.0</v>
      </c>
      <c r="L2312" s="382">
        <v>1.0</v>
      </c>
    </row>
    <row r="2313">
      <c r="A2313" s="380" t="s">
        <v>3176</v>
      </c>
      <c r="B2313" s="380" t="str">
        <f>IFERROR(__xludf.DUMMYFUNCTION("""COMPUTED_VALUE"""),"Overol Azul Ml 44")</f>
        <v>Overol Azul Ml 44</v>
      </c>
      <c r="C2313" s="380" t="str">
        <f>IFERROR(__xludf.DUMMYFUNCTION("""COMPUTED_VALUE"""),"30000620")</f>
        <v>30000620</v>
      </c>
      <c r="D2313" s="380" t="s">
        <v>767</v>
      </c>
      <c r="E2313" s="380" t="s">
        <v>810</v>
      </c>
      <c r="F2313" s="380" t="s">
        <v>1089</v>
      </c>
      <c r="G2313" s="380" t="s">
        <v>1267</v>
      </c>
      <c r="H2313" s="380" t="s">
        <v>771</v>
      </c>
      <c r="I2313" s="380" t="s">
        <v>1084</v>
      </c>
      <c r="J2313" s="380" t="s">
        <v>773</v>
      </c>
      <c r="K2313" s="381">
        <v>77822.0</v>
      </c>
      <c r="L2313" s="382">
        <v>1.0</v>
      </c>
    </row>
    <row r="2314">
      <c r="A2314" s="380" t="s">
        <v>3177</v>
      </c>
      <c r="B2314" s="380" t="str">
        <f>IFERROR(__xludf.DUMMYFUNCTION("""COMPUTED_VALUE"""),"Overol Azul Ml 38")</f>
        <v>Overol Azul Ml 38</v>
      </c>
      <c r="C2314" s="380" t="str">
        <f>IFERROR(__xludf.DUMMYFUNCTION("""COMPUTED_VALUE"""),"30000621")</f>
        <v>30000621</v>
      </c>
      <c r="D2314" s="380" t="s">
        <v>767</v>
      </c>
      <c r="E2314" s="380" t="s">
        <v>810</v>
      </c>
      <c r="F2314" s="380" t="s">
        <v>1089</v>
      </c>
      <c r="G2314" s="380" t="s">
        <v>1267</v>
      </c>
      <c r="H2314" s="380" t="s">
        <v>771</v>
      </c>
      <c r="I2314" s="380" t="s">
        <v>1084</v>
      </c>
      <c r="J2314" s="380" t="s">
        <v>773</v>
      </c>
      <c r="K2314" s="381">
        <v>77822.0</v>
      </c>
      <c r="L2314" s="382">
        <v>1.0</v>
      </c>
    </row>
    <row r="2315">
      <c r="A2315" s="380" t="s">
        <v>3178</v>
      </c>
      <c r="B2315" s="380" t="str">
        <f>IFERROR(__xludf.DUMMYFUNCTION("""COMPUTED_VALUE"""),"Overol Azul Ml 42")</f>
        <v>Overol Azul Ml 42</v>
      </c>
      <c r="C2315" s="380" t="str">
        <f>IFERROR(__xludf.DUMMYFUNCTION("""COMPUTED_VALUE"""),"30000622")</f>
        <v>30000622</v>
      </c>
      <c r="D2315" s="380" t="s">
        <v>767</v>
      </c>
      <c r="E2315" s="380" t="s">
        <v>810</v>
      </c>
      <c r="F2315" s="380" t="s">
        <v>1089</v>
      </c>
      <c r="G2315" s="380" t="s">
        <v>1267</v>
      </c>
      <c r="H2315" s="380" t="s">
        <v>771</v>
      </c>
      <c r="I2315" s="380" t="s">
        <v>1084</v>
      </c>
      <c r="J2315" s="380" t="s">
        <v>773</v>
      </c>
      <c r="K2315" s="381">
        <v>77822.0</v>
      </c>
      <c r="L2315" s="382">
        <v>1.0</v>
      </c>
    </row>
    <row r="2316">
      <c r="A2316" s="380" t="s">
        <v>3179</v>
      </c>
      <c r="B2316" s="380" t="str">
        <f>IFERROR(__xludf.DUMMYFUNCTION("""COMPUTED_VALUE"""),"Blusa Oxfor Dama Mc Con Logo 14")</f>
        <v>Blusa Oxfor Dama Mc Con Logo 14</v>
      </c>
      <c r="C2316" s="380" t="str">
        <f>IFERROR(__xludf.DUMMYFUNCTION("""COMPUTED_VALUE"""),"30000628")</f>
        <v>30000628</v>
      </c>
      <c r="D2316" s="380" t="s">
        <v>767</v>
      </c>
      <c r="E2316" s="380" t="s">
        <v>810</v>
      </c>
      <c r="F2316" s="380" t="s">
        <v>1089</v>
      </c>
      <c r="G2316" s="380" t="s">
        <v>1267</v>
      </c>
      <c r="H2316" s="380" t="s">
        <v>771</v>
      </c>
      <c r="I2316" s="380" t="s">
        <v>1084</v>
      </c>
      <c r="J2316" s="380" t="s">
        <v>773</v>
      </c>
      <c r="K2316" s="381">
        <v>32275.0</v>
      </c>
      <c r="L2316" s="382">
        <v>1.0</v>
      </c>
    </row>
    <row r="2317">
      <c r="A2317" s="380" t="s">
        <v>3180</v>
      </c>
      <c r="B2317" s="380" t="str">
        <f>IFERROR(__xludf.DUMMYFUNCTION("""COMPUTED_VALUE"""),"Chaleco Tipo Arnes Verde")</f>
        <v>Chaleco Tipo Arnes Verde</v>
      </c>
      <c r="C2317" s="380" t="str">
        <f>IFERROR(__xludf.DUMMYFUNCTION("""COMPUTED_VALUE"""),"30000629")</f>
        <v>30000629</v>
      </c>
      <c r="D2317" s="380" t="s">
        <v>767</v>
      </c>
      <c r="E2317" s="380" t="s">
        <v>810</v>
      </c>
      <c r="F2317" s="380" t="s">
        <v>1083</v>
      </c>
      <c r="G2317" s="380" t="s">
        <v>1267</v>
      </c>
      <c r="H2317" s="380" t="s">
        <v>771</v>
      </c>
      <c r="I2317" s="380" t="s">
        <v>1084</v>
      </c>
      <c r="J2317" s="380" t="s">
        <v>773</v>
      </c>
      <c r="K2317" s="381">
        <v>0.0</v>
      </c>
      <c r="L2317" s="382">
        <v>1.0</v>
      </c>
    </row>
    <row r="2318">
      <c r="A2318" s="380" t="s">
        <v>3181</v>
      </c>
      <c r="B2318" s="380" t="str">
        <f>IFERROR(__xludf.DUMMYFUNCTION("""COMPUTED_VALUE"""),"Brazalete Coordinador De Evacuacion")</f>
        <v>Brazalete Coordinador De Evacuacion</v>
      </c>
      <c r="C2318" s="380" t="str">
        <f>IFERROR(__xludf.DUMMYFUNCTION("""COMPUTED_VALUE"""),"30000630")</f>
        <v>30000630</v>
      </c>
      <c r="D2318" s="380" t="s">
        <v>767</v>
      </c>
      <c r="E2318" s="380" t="s">
        <v>810</v>
      </c>
      <c r="F2318" s="380" t="s">
        <v>1083</v>
      </c>
      <c r="G2318" s="380" t="s">
        <v>1267</v>
      </c>
      <c r="H2318" s="380" t="s">
        <v>771</v>
      </c>
      <c r="I2318" s="380" t="s">
        <v>1084</v>
      </c>
      <c r="J2318" s="380" t="s">
        <v>773</v>
      </c>
      <c r="K2318" s="381">
        <v>27013.0</v>
      </c>
      <c r="L2318" s="382">
        <v>1.0</v>
      </c>
    </row>
    <row r="2319">
      <c r="A2319" s="380" t="s">
        <v>3182</v>
      </c>
      <c r="B2319" s="380" t="str">
        <f>IFERROR(__xludf.DUMMYFUNCTION("""COMPUTED_VALUE"""),"Brazalete Comite De Emergencias")</f>
        <v>Brazalete Comite De Emergencias</v>
      </c>
      <c r="C2319" s="380" t="str">
        <f>IFERROR(__xludf.DUMMYFUNCTION("""COMPUTED_VALUE"""),"30000631")</f>
        <v>30000631</v>
      </c>
      <c r="D2319" s="380" t="s">
        <v>767</v>
      </c>
      <c r="E2319" s="380" t="s">
        <v>810</v>
      </c>
      <c r="F2319" s="380" t="s">
        <v>1083</v>
      </c>
      <c r="G2319" s="380" t="s">
        <v>1267</v>
      </c>
      <c r="H2319" s="380" t="s">
        <v>771</v>
      </c>
      <c r="I2319" s="380" t="s">
        <v>1084</v>
      </c>
      <c r="J2319" s="380" t="s">
        <v>773</v>
      </c>
      <c r="K2319" s="381">
        <v>24038.0</v>
      </c>
      <c r="L2319" s="382">
        <v>1.0</v>
      </c>
    </row>
    <row r="2320">
      <c r="A2320" s="380" t="s">
        <v>3183</v>
      </c>
      <c r="B2320" s="380" t="str">
        <f>IFERROR(__xludf.DUMMYFUNCTION("""COMPUTED_VALUE"""),"Blusa Oxfor Dama Mc Con Logo 12")</f>
        <v>Blusa Oxfor Dama Mc Con Logo 12</v>
      </c>
      <c r="C2320" s="380" t="str">
        <f>IFERROR(__xludf.DUMMYFUNCTION("""COMPUTED_VALUE"""),"30000649")</f>
        <v>30000649</v>
      </c>
      <c r="D2320" s="380" t="s">
        <v>767</v>
      </c>
      <c r="E2320" s="380" t="s">
        <v>810</v>
      </c>
      <c r="F2320" s="380" t="s">
        <v>1089</v>
      </c>
      <c r="G2320" s="380" t="s">
        <v>1267</v>
      </c>
      <c r="H2320" s="380" t="s">
        <v>771</v>
      </c>
      <c r="I2320" s="380" t="s">
        <v>1084</v>
      </c>
      <c r="J2320" s="380" t="s">
        <v>773</v>
      </c>
      <c r="K2320" s="381">
        <v>32275.0</v>
      </c>
      <c r="L2320" s="382">
        <v>1.0</v>
      </c>
    </row>
    <row r="2321">
      <c r="A2321" s="380" t="s">
        <v>3184</v>
      </c>
      <c r="B2321" s="380" t="str">
        <f>IFERROR(__xludf.DUMMYFUNCTION("""COMPUTED_VALUE"""),"Blue Jeans 30")</f>
        <v>Blue Jeans 30</v>
      </c>
      <c r="C2321" s="380" t="str">
        <f>IFERROR(__xludf.DUMMYFUNCTION("""COMPUTED_VALUE"""),"30000655")</f>
        <v>30000655</v>
      </c>
      <c r="D2321" s="380" t="s">
        <v>767</v>
      </c>
      <c r="E2321" s="380" t="s">
        <v>810</v>
      </c>
      <c r="F2321" s="380" t="s">
        <v>1089</v>
      </c>
      <c r="G2321" s="380" t="s">
        <v>1267</v>
      </c>
      <c r="H2321" s="380" t="s">
        <v>771</v>
      </c>
      <c r="I2321" s="380" t="s">
        <v>1084</v>
      </c>
      <c r="J2321" s="380" t="s">
        <v>773</v>
      </c>
      <c r="K2321" s="381">
        <v>41129.0</v>
      </c>
      <c r="L2321" s="382">
        <v>1.0</v>
      </c>
    </row>
    <row r="2322">
      <c r="A2322" s="380" t="s">
        <v>3185</v>
      </c>
      <c r="B2322" s="380" t="str">
        <f>IFERROR(__xludf.DUMMYFUNCTION("""COMPUTED_VALUE"""),"Blue Jeans 34")</f>
        <v>Blue Jeans 34</v>
      </c>
      <c r="C2322" s="380" t="str">
        <f>IFERROR(__xludf.DUMMYFUNCTION("""COMPUTED_VALUE"""),"30000656")</f>
        <v>30000656</v>
      </c>
      <c r="D2322" s="380" t="s">
        <v>767</v>
      </c>
      <c r="E2322" s="380" t="s">
        <v>810</v>
      </c>
      <c r="F2322" s="380" t="s">
        <v>1089</v>
      </c>
      <c r="G2322" s="380" t="s">
        <v>1267</v>
      </c>
      <c r="H2322" s="380" t="s">
        <v>771</v>
      </c>
      <c r="I2322" s="380" t="s">
        <v>1084</v>
      </c>
      <c r="J2322" s="380" t="s">
        <v>773</v>
      </c>
      <c r="K2322" s="381">
        <v>41129.0</v>
      </c>
      <c r="L2322" s="382">
        <v>1.0</v>
      </c>
    </row>
    <row r="2323">
      <c r="A2323" s="380" t="s">
        <v>3186</v>
      </c>
      <c r="B2323" s="380" t="str">
        <f>IFERROR(__xludf.DUMMYFUNCTION("""COMPUTED_VALUE"""),"Pantalon Lino Dama Azul 22")</f>
        <v>Pantalon Lino Dama Azul 22</v>
      </c>
      <c r="C2323" s="380" t="str">
        <f>IFERROR(__xludf.DUMMYFUNCTION("""COMPUTED_VALUE"""),"30000659")</f>
        <v>30000659</v>
      </c>
      <c r="D2323" s="380" t="s">
        <v>767</v>
      </c>
      <c r="E2323" s="380" t="s">
        <v>810</v>
      </c>
      <c r="F2323" s="380" t="s">
        <v>1089</v>
      </c>
      <c r="G2323" s="380" t="s">
        <v>1267</v>
      </c>
      <c r="H2323" s="380" t="s">
        <v>771</v>
      </c>
      <c r="I2323" s="380" t="s">
        <v>1084</v>
      </c>
      <c r="J2323" s="380" t="s">
        <v>773</v>
      </c>
      <c r="K2323" s="381">
        <v>38685.0</v>
      </c>
      <c r="L2323" s="382">
        <v>1.0</v>
      </c>
    </row>
    <row r="2324">
      <c r="A2324" s="380" t="s">
        <v>3187</v>
      </c>
      <c r="B2324" s="380" t="str">
        <f>IFERROR(__xludf.DUMMYFUNCTION("""COMPUTED_VALUE"""),"Pantalon Lino Dama Azul 10")</f>
        <v>Pantalon Lino Dama Azul 10</v>
      </c>
      <c r="C2324" s="380" t="str">
        <f>IFERROR(__xludf.DUMMYFUNCTION("""COMPUTED_VALUE"""),"30000670")</f>
        <v>30000670</v>
      </c>
      <c r="D2324" s="380" t="s">
        <v>767</v>
      </c>
      <c r="E2324" s="380" t="s">
        <v>810</v>
      </c>
      <c r="F2324" s="380" t="s">
        <v>1089</v>
      </c>
      <c r="G2324" s="380" t="s">
        <v>1267</v>
      </c>
      <c r="H2324" s="380" t="s">
        <v>771</v>
      </c>
      <c r="I2324" s="380" t="s">
        <v>1084</v>
      </c>
      <c r="J2324" s="380" t="s">
        <v>773</v>
      </c>
      <c r="K2324" s="381">
        <v>38685.0</v>
      </c>
      <c r="L2324" s="382">
        <v>1.0</v>
      </c>
    </row>
    <row r="2325">
      <c r="A2325" s="380" t="s">
        <v>3188</v>
      </c>
      <c r="B2325" s="380" t="str">
        <f>IFERROR(__xludf.DUMMYFUNCTION("""COMPUTED_VALUE"""),"Pantalon Conductor 38")</f>
        <v>Pantalon Conductor 38</v>
      </c>
      <c r="C2325" s="380" t="str">
        <f>IFERROR(__xludf.DUMMYFUNCTION("""COMPUTED_VALUE"""),"30000671")</f>
        <v>30000671</v>
      </c>
      <c r="D2325" s="380" t="s">
        <v>767</v>
      </c>
      <c r="E2325" s="380" t="s">
        <v>810</v>
      </c>
      <c r="F2325" s="380" t="s">
        <v>1089</v>
      </c>
      <c r="G2325" s="380" t="s">
        <v>1267</v>
      </c>
      <c r="H2325" s="380" t="s">
        <v>771</v>
      </c>
      <c r="I2325" s="380" t="s">
        <v>1084</v>
      </c>
      <c r="J2325" s="380" t="s">
        <v>773</v>
      </c>
      <c r="K2325" s="381">
        <v>37854.0</v>
      </c>
      <c r="L2325" s="382">
        <v>1.0</v>
      </c>
    </row>
    <row r="2326">
      <c r="A2326" s="380" t="s">
        <v>3189</v>
      </c>
      <c r="B2326" s="380" t="str">
        <f>IFERROR(__xludf.DUMMYFUNCTION("""COMPUTED_VALUE"""),"Pantalon Conductor 34")</f>
        <v>Pantalon Conductor 34</v>
      </c>
      <c r="C2326" s="380" t="str">
        <f>IFERROR(__xludf.DUMMYFUNCTION("""COMPUTED_VALUE"""),"30000672")</f>
        <v>30000672</v>
      </c>
      <c r="D2326" s="380" t="s">
        <v>767</v>
      </c>
      <c r="E2326" s="380" t="s">
        <v>810</v>
      </c>
      <c r="F2326" s="380" t="s">
        <v>1089</v>
      </c>
      <c r="G2326" s="380" t="s">
        <v>1267</v>
      </c>
      <c r="H2326" s="380" t="s">
        <v>771</v>
      </c>
      <c r="I2326" s="380" t="s">
        <v>1084</v>
      </c>
      <c r="J2326" s="380" t="s">
        <v>773</v>
      </c>
      <c r="K2326" s="381">
        <v>37854.0</v>
      </c>
      <c r="L2326" s="382">
        <v>1.0</v>
      </c>
    </row>
    <row r="2327">
      <c r="A2327" s="380" t="s">
        <v>3190</v>
      </c>
      <c r="B2327" s="380" t="str">
        <f>IFERROR(__xludf.DUMMYFUNCTION("""COMPUTED_VALUE"""),"Pantalon Conductor 44")</f>
        <v>Pantalon Conductor 44</v>
      </c>
      <c r="C2327" s="380" t="str">
        <f>IFERROR(__xludf.DUMMYFUNCTION("""COMPUTED_VALUE"""),"30000673")</f>
        <v>30000673</v>
      </c>
      <c r="D2327" s="380" t="s">
        <v>767</v>
      </c>
      <c r="E2327" s="380" t="s">
        <v>810</v>
      </c>
      <c r="F2327" s="380" t="s">
        <v>1089</v>
      </c>
      <c r="G2327" s="380" t="s">
        <v>1267</v>
      </c>
      <c r="H2327" s="380" t="s">
        <v>771</v>
      </c>
      <c r="I2327" s="380" t="s">
        <v>1084</v>
      </c>
      <c r="J2327" s="380" t="s">
        <v>773</v>
      </c>
      <c r="K2327" s="381">
        <v>37854.0</v>
      </c>
      <c r="L2327" s="382">
        <v>1.0</v>
      </c>
    </row>
    <row r="2328">
      <c r="A2328" s="380" t="s">
        <v>3191</v>
      </c>
      <c r="B2328" s="380" t="str">
        <f>IFERROR(__xludf.DUMMYFUNCTION("""COMPUTED_VALUE"""),"Pantalon Conductor 28")</f>
        <v>Pantalon Conductor 28</v>
      </c>
      <c r="C2328" s="380" t="str">
        <f>IFERROR(__xludf.DUMMYFUNCTION("""COMPUTED_VALUE"""),"30000674")</f>
        <v>30000674</v>
      </c>
      <c r="D2328" s="380" t="s">
        <v>767</v>
      </c>
      <c r="E2328" s="380" t="s">
        <v>810</v>
      </c>
      <c r="F2328" s="380" t="s">
        <v>1089</v>
      </c>
      <c r="G2328" s="380" t="s">
        <v>1267</v>
      </c>
      <c r="H2328" s="380" t="s">
        <v>771</v>
      </c>
      <c r="I2328" s="380" t="s">
        <v>1084</v>
      </c>
      <c r="J2328" s="380" t="s">
        <v>773</v>
      </c>
      <c r="K2328" s="381">
        <v>37854.0</v>
      </c>
      <c r="L2328" s="382">
        <v>1.0</v>
      </c>
    </row>
    <row r="2329">
      <c r="A2329" s="380" t="s">
        <v>3192</v>
      </c>
      <c r="B2329" s="380" t="str">
        <f>IFERROR(__xludf.DUMMYFUNCTION("""COMPUTED_VALUE"""),"Pantalon Conductor 42")</f>
        <v>Pantalon Conductor 42</v>
      </c>
      <c r="C2329" s="380" t="str">
        <f>IFERROR(__xludf.DUMMYFUNCTION("""COMPUTED_VALUE"""),"30000675")</f>
        <v>30000675</v>
      </c>
      <c r="D2329" s="380" t="s">
        <v>767</v>
      </c>
      <c r="E2329" s="380" t="s">
        <v>810</v>
      </c>
      <c r="F2329" s="380" t="s">
        <v>1089</v>
      </c>
      <c r="G2329" s="380" t="s">
        <v>1267</v>
      </c>
      <c r="H2329" s="380" t="s">
        <v>771</v>
      </c>
      <c r="I2329" s="380" t="s">
        <v>1084</v>
      </c>
      <c r="J2329" s="380" t="s">
        <v>773</v>
      </c>
      <c r="K2329" s="381">
        <v>37854.0</v>
      </c>
      <c r="L2329" s="382">
        <v>1.0</v>
      </c>
    </row>
    <row r="2330">
      <c r="A2330" s="380" t="s">
        <v>3193</v>
      </c>
      <c r="B2330" s="380" t="str">
        <f>IFERROR(__xludf.DUMMYFUNCTION("""COMPUTED_VALUE"""),"Pantalon Conductor 50")</f>
        <v>Pantalon Conductor 50</v>
      </c>
      <c r="C2330" s="380" t="str">
        <f>IFERROR(__xludf.DUMMYFUNCTION("""COMPUTED_VALUE"""),"30000676")</f>
        <v>30000676</v>
      </c>
      <c r="D2330" s="380" t="s">
        <v>767</v>
      </c>
      <c r="E2330" s="380" t="s">
        <v>810</v>
      </c>
      <c r="F2330" s="380" t="s">
        <v>1089</v>
      </c>
      <c r="G2330" s="380" t="s">
        <v>1267</v>
      </c>
      <c r="H2330" s="380" t="s">
        <v>771</v>
      </c>
      <c r="I2330" s="380" t="s">
        <v>1084</v>
      </c>
      <c r="J2330" s="380" t="s">
        <v>773</v>
      </c>
      <c r="K2330" s="381">
        <v>0.0</v>
      </c>
      <c r="L2330" s="382">
        <v>1.0</v>
      </c>
    </row>
    <row r="2331">
      <c r="A2331" s="380" t="s">
        <v>3194</v>
      </c>
      <c r="B2331" s="380" t="str">
        <f>IFERROR(__xludf.DUMMYFUNCTION("""COMPUTED_VALUE"""),"Pantalon Conductor 36")</f>
        <v>Pantalon Conductor 36</v>
      </c>
      <c r="C2331" s="380" t="str">
        <f>IFERROR(__xludf.DUMMYFUNCTION("""COMPUTED_VALUE"""),"30000677")</f>
        <v>30000677</v>
      </c>
      <c r="D2331" s="380" t="s">
        <v>767</v>
      </c>
      <c r="E2331" s="380" t="s">
        <v>810</v>
      </c>
      <c r="F2331" s="380" t="s">
        <v>1089</v>
      </c>
      <c r="G2331" s="380" t="s">
        <v>1267</v>
      </c>
      <c r="H2331" s="380" t="s">
        <v>771</v>
      </c>
      <c r="I2331" s="380" t="s">
        <v>1084</v>
      </c>
      <c r="J2331" s="380" t="s">
        <v>773</v>
      </c>
      <c r="K2331" s="381">
        <v>37854.0</v>
      </c>
      <c r="L2331" s="382">
        <v>1.0</v>
      </c>
    </row>
    <row r="2332">
      <c r="A2332" s="380" t="s">
        <v>3195</v>
      </c>
      <c r="B2332" s="380" t="str">
        <f>IFERROR(__xludf.DUMMYFUNCTION("""COMPUTED_VALUE"""),"Blue Jeans 42")</f>
        <v>Blue Jeans 42</v>
      </c>
      <c r="C2332" s="380" t="str">
        <f>IFERROR(__xludf.DUMMYFUNCTION("""COMPUTED_VALUE"""),"30000678")</f>
        <v>30000678</v>
      </c>
      <c r="D2332" s="380" t="s">
        <v>767</v>
      </c>
      <c r="E2332" s="380" t="s">
        <v>810</v>
      </c>
      <c r="F2332" s="380" t="s">
        <v>1089</v>
      </c>
      <c r="G2332" s="380" t="s">
        <v>1267</v>
      </c>
      <c r="H2332" s="380" t="s">
        <v>771</v>
      </c>
      <c r="I2332" s="380" t="s">
        <v>1084</v>
      </c>
      <c r="J2332" s="380" t="s">
        <v>773</v>
      </c>
      <c r="K2332" s="381">
        <v>41129.0</v>
      </c>
      <c r="L2332" s="382">
        <v>1.0</v>
      </c>
    </row>
    <row r="2333">
      <c r="A2333" s="380" t="s">
        <v>3196</v>
      </c>
      <c r="B2333" s="380" t="str">
        <f>IFERROR(__xludf.DUMMYFUNCTION("""COMPUTED_VALUE"""),"Blue Jeans 28")</f>
        <v>Blue Jeans 28</v>
      </c>
      <c r="C2333" s="380" t="str">
        <f>IFERROR(__xludf.DUMMYFUNCTION("""COMPUTED_VALUE"""),"30000679")</f>
        <v>30000679</v>
      </c>
      <c r="D2333" s="380" t="s">
        <v>767</v>
      </c>
      <c r="E2333" s="380" t="s">
        <v>810</v>
      </c>
      <c r="F2333" s="380" t="s">
        <v>1089</v>
      </c>
      <c r="G2333" s="380" t="s">
        <v>1267</v>
      </c>
      <c r="H2333" s="380" t="s">
        <v>771</v>
      </c>
      <c r="I2333" s="380" t="s">
        <v>1084</v>
      </c>
      <c r="J2333" s="380" t="s">
        <v>773</v>
      </c>
      <c r="K2333" s="381">
        <v>41129.0</v>
      </c>
      <c r="L2333" s="382">
        <v>1.0</v>
      </c>
    </row>
    <row r="2334">
      <c r="A2334" s="380" t="s">
        <v>3197</v>
      </c>
      <c r="B2334" s="380" t="str">
        <f>IFERROR(__xludf.DUMMYFUNCTION("""COMPUTED_VALUE"""),"Pantalon Lino Dama Azul 16")</f>
        <v>Pantalon Lino Dama Azul 16</v>
      </c>
      <c r="C2334" s="380" t="str">
        <f>IFERROR(__xludf.DUMMYFUNCTION("""COMPUTED_VALUE"""),"30000680")</f>
        <v>30000680</v>
      </c>
      <c r="D2334" s="380" t="s">
        <v>767</v>
      </c>
      <c r="E2334" s="380" t="s">
        <v>810</v>
      </c>
      <c r="F2334" s="380" t="s">
        <v>1089</v>
      </c>
      <c r="G2334" s="380" t="s">
        <v>1267</v>
      </c>
      <c r="H2334" s="380" t="s">
        <v>771</v>
      </c>
      <c r="I2334" s="380" t="s">
        <v>1084</v>
      </c>
      <c r="J2334" s="380" t="s">
        <v>773</v>
      </c>
      <c r="K2334" s="381">
        <v>38685.0</v>
      </c>
      <c r="L2334" s="382">
        <v>1.0</v>
      </c>
    </row>
    <row r="2335">
      <c r="A2335" s="380" t="s">
        <v>3198</v>
      </c>
      <c r="B2335" s="380" t="str">
        <f>IFERROR(__xludf.DUMMYFUNCTION("""COMPUTED_VALUE"""),"Blue Jeans 46")</f>
        <v>Blue Jeans 46</v>
      </c>
      <c r="C2335" s="380" t="str">
        <f>IFERROR(__xludf.DUMMYFUNCTION("""COMPUTED_VALUE"""),"30000681")</f>
        <v>30000681</v>
      </c>
      <c r="D2335" s="380" t="s">
        <v>767</v>
      </c>
      <c r="E2335" s="380" t="s">
        <v>810</v>
      </c>
      <c r="F2335" s="380" t="s">
        <v>1089</v>
      </c>
      <c r="G2335" s="380" t="s">
        <v>1267</v>
      </c>
      <c r="H2335" s="380" t="s">
        <v>771</v>
      </c>
      <c r="I2335" s="380" t="s">
        <v>1084</v>
      </c>
      <c r="J2335" s="380" t="s">
        <v>773</v>
      </c>
      <c r="K2335" s="381">
        <v>41129.0</v>
      </c>
      <c r="L2335" s="382">
        <v>1.0</v>
      </c>
    </row>
    <row r="2336">
      <c r="A2336" s="380" t="s">
        <v>3199</v>
      </c>
      <c r="B2336" s="380" t="str">
        <f>IFERROR(__xludf.DUMMYFUNCTION("""COMPUTED_VALUE"""),"Blue Jeans 40")</f>
        <v>Blue Jeans 40</v>
      </c>
      <c r="C2336" s="380" t="str">
        <f>IFERROR(__xludf.DUMMYFUNCTION("""COMPUTED_VALUE"""),"30000682")</f>
        <v>30000682</v>
      </c>
      <c r="D2336" s="380" t="s">
        <v>767</v>
      </c>
      <c r="E2336" s="380" t="s">
        <v>810</v>
      </c>
      <c r="F2336" s="380" t="s">
        <v>1089</v>
      </c>
      <c r="G2336" s="380" t="s">
        <v>1267</v>
      </c>
      <c r="H2336" s="380" t="s">
        <v>771</v>
      </c>
      <c r="I2336" s="380" t="s">
        <v>1084</v>
      </c>
      <c r="J2336" s="380" t="s">
        <v>773</v>
      </c>
      <c r="K2336" s="381">
        <v>41129.0</v>
      </c>
      <c r="L2336" s="382">
        <v>1.0</v>
      </c>
    </row>
    <row r="2337">
      <c r="A2337" s="380" t="s">
        <v>3200</v>
      </c>
      <c r="B2337" s="380" t="str">
        <f>IFERROR(__xludf.DUMMYFUNCTION("""COMPUTED_VALUE"""),"Blue Jeans 36")</f>
        <v>Blue Jeans 36</v>
      </c>
      <c r="C2337" s="380" t="str">
        <f>IFERROR(__xludf.DUMMYFUNCTION("""COMPUTED_VALUE"""),"30000683")</f>
        <v>30000683</v>
      </c>
      <c r="D2337" s="380" t="s">
        <v>767</v>
      </c>
      <c r="E2337" s="380" t="s">
        <v>810</v>
      </c>
      <c r="F2337" s="380" t="s">
        <v>1089</v>
      </c>
      <c r="G2337" s="380" t="s">
        <v>1267</v>
      </c>
      <c r="H2337" s="380" t="s">
        <v>771</v>
      </c>
      <c r="I2337" s="380" t="s">
        <v>1084</v>
      </c>
      <c r="J2337" s="380" t="s">
        <v>773</v>
      </c>
      <c r="K2337" s="381">
        <v>41129.0</v>
      </c>
      <c r="L2337" s="382">
        <v>1.0</v>
      </c>
    </row>
    <row r="2338">
      <c r="A2338" s="380" t="s">
        <v>3201</v>
      </c>
      <c r="B2338" s="380" t="str">
        <f>IFERROR(__xludf.DUMMYFUNCTION("""COMPUTED_VALUE"""),"Blue Jeans 38")</f>
        <v>Blue Jeans 38</v>
      </c>
      <c r="C2338" s="380" t="str">
        <f>IFERROR(__xludf.DUMMYFUNCTION("""COMPUTED_VALUE"""),"30000684")</f>
        <v>30000684</v>
      </c>
      <c r="D2338" s="380" t="s">
        <v>767</v>
      </c>
      <c r="E2338" s="380" t="s">
        <v>810</v>
      </c>
      <c r="F2338" s="380" t="s">
        <v>1089</v>
      </c>
      <c r="G2338" s="380" t="s">
        <v>1267</v>
      </c>
      <c r="H2338" s="380" t="s">
        <v>771</v>
      </c>
      <c r="I2338" s="380" t="s">
        <v>1084</v>
      </c>
      <c r="J2338" s="380" t="s">
        <v>773</v>
      </c>
      <c r="K2338" s="381">
        <v>41129.0</v>
      </c>
      <c r="L2338" s="382">
        <v>1.0</v>
      </c>
    </row>
    <row r="2339">
      <c r="A2339" s="380" t="s">
        <v>3202</v>
      </c>
      <c r="B2339" s="380" t="str">
        <f>IFERROR(__xludf.DUMMYFUNCTION("""COMPUTED_VALUE"""),"Blue Jeans 44")</f>
        <v>Blue Jeans 44</v>
      </c>
      <c r="C2339" s="380" t="str">
        <f>IFERROR(__xludf.DUMMYFUNCTION("""COMPUTED_VALUE"""),"30000685")</f>
        <v>30000685</v>
      </c>
      <c r="D2339" s="380" t="s">
        <v>767</v>
      </c>
      <c r="E2339" s="380" t="s">
        <v>810</v>
      </c>
      <c r="F2339" s="380" t="s">
        <v>1089</v>
      </c>
      <c r="G2339" s="380" t="s">
        <v>1267</v>
      </c>
      <c r="H2339" s="380" t="s">
        <v>771</v>
      </c>
      <c r="I2339" s="380" t="s">
        <v>1084</v>
      </c>
      <c r="J2339" s="380" t="s">
        <v>773</v>
      </c>
      <c r="K2339" s="381">
        <v>41129.0</v>
      </c>
      <c r="L2339" s="382">
        <v>1.0</v>
      </c>
    </row>
    <row r="2340">
      <c r="A2340" s="380" t="s">
        <v>3203</v>
      </c>
      <c r="B2340" s="380" t="str">
        <f>IFERROR(__xludf.DUMMYFUNCTION("""COMPUTED_VALUE"""),"Blue Jeans 32")</f>
        <v>Blue Jeans 32</v>
      </c>
      <c r="C2340" s="380" t="str">
        <f>IFERROR(__xludf.DUMMYFUNCTION("""COMPUTED_VALUE"""),"30000686")</f>
        <v>30000686</v>
      </c>
      <c r="D2340" s="380" t="s">
        <v>767</v>
      </c>
      <c r="E2340" s="380" t="s">
        <v>810</v>
      </c>
      <c r="F2340" s="380" t="s">
        <v>1089</v>
      </c>
      <c r="G2340" s="380" t="s">
        <v>1267</v>
      </c>
      <c r="H2340" s="380" t="s">
        <v>771</v>
      </c>
      <c r="I2340" s="380" t="s">
        <v>1084</v>
      </c>
      <c r="J2340" s="380" t="s">
        <v>773</v>
      </c>
      <c r="K2340" s="381">
        <v>41129.0</v>
      </c>
      <c r="L2340" s="382">
        <v>1.0</v>
      </c>
    </row>
    <row r="2341">
      <c r="A2341" s="380" t="s">
        <v>3204</v>
      </c>
      <c r="B2341" s="380" t="str">
        <f>IFERROR(__xludf.DUMMYFUNCTION("""COMPUTED_VALUE"""),"Camisa Dacron Vigilancia Mc Con Logo 52")</f>
        <v>Camisa Dacron Vigilancia Mc Con Logo 52</v>
      </c>
      <c r="C2341" s="380" t="str">
        <f>IFERROR(__xludf.DUMMYFUNCTION("""COMPUTED_VALUE"""),"30000687")</f>
        <v>30000687</v>
      </c>
      <c r="D2341" s="380" t="s">
        <v>767</v>
      </c>
      <c r="E2341" s="380" t="s">
        <v>810</v>
      </c>
      <c r="F2341" s="380" t="s">
        <v>1089</v>
      </c>
      <c r="G2341" s="380" t="s">
        <v>1267</v>
      </c>
      <c r="H2341" s="380" t="s">
        <v>771</v>
      </c>
      <c r="I2341" s="380" t="s">
        <v>1084</v>
      </c>
      <c r="J2341" s="380" t="s">
        <v>773</v>
      </c>
      <c r="K2341" s="381">
        <v>0.0</v>
      </c>
      <c r="L2341" s="382">
        <v>1.0</v>
      </c>
    </row>
    <row r="2342">
      <c r="A2342" s="380" t="s">
        <v>3205</v>
      </c>
      <c r="B2342" s="380" t="str">
        <f>IFERROR(__xludf.DUMMYFUNCTION("""COMPUTED_VALUE"""),"Camisa Dacron Vigilancia Mc Con Logo 48")</f>
        <v>Camisa Dacron Vigilancia Mc Con Logo 48</v>
      </c>
      <c r="C2342" s="380" t="str">
        <f>IFERROR(__xludf.DUMMYFUNCTION("""COMPUTED_VALUE"""),"30000688")</f>
        <v>30000688</v>
      </c>
      <c r="D2342" s="380" t="s">
        <v>767</v>
      </c>
      <c r="E2342" s="380" t="s">
        <v>810</v>
      </c>
      <c r="F2342" s="380" t="s">
        <v>1089</v>
      </c>
      <c r="G2342" s="380" t="s">
        <v>1267</v>
      </c>
      <c r="H2342" s="380" t="s">
        <v>771</v>
      </c>
      <c r="I2342" s="380" t="s">
        <v>1084</v>
      </c>
      <c r="J2342" s="380" t="s">
        <v>773</v>
      </c>
      <c r="K2342" s="381">
        <v>0.0</v>
      </c>
      <c r="L2342" s="382">
        <v>1.0</v>
      </c>
    </row>
    <row r="2343">
      <c r="A2343" s="380" t="s">
        <v>3206</v>
      </c>
      <c r="B2343" s="380" t="str">
        <f>IFERROR(__xludf.DUMMYFUNCTION("""COMPUTED_VALUE"""),"Camisa Dacron Vigilancia Mc Con Logo 36")</f>
        <v>Camisa Dacron Vigilancia Mc Con Logo 36</v>
      </c>
      <c r="C2343" s="380" t="str">
        <f>IFERROR(__xludf.DUMMYFUNCTION("""COMPUTED_VALUE"""),"30000689")</f>
        <v>30000689</v>
      </c>
      <c r="D2343" s="380" t="s">
        <v>767</v>
      </c>
      <c r="E2343" s="380" t="s">
        <v>810</v>
      </c>
      <c r="F2343" s="380" t="s">
        <v>1089</v>
      </c>
      <c r="G2343" s="380" t="s">
        <v>1267</v>
      </c>
      <c r="H2343" s="380" t="s">
        <v>771</v>
      </c>
      <c r="I2343" s="380" t="s">
        <v>1084</v>
      </c>
      <c r="J2343" s="380" t="s">
        <v>773</v>
      </c>
      <c r="K2343" s="381">
        <v>0.0</v>
      </c>
      <c r="L2343" s="382">
        <v>1.0</v>
      </c>
    </row>
    <row r="2344">
      <c r="A2344" s="380" t="s">
        <v>3207</v>
      </c>
      <c r="B2344" s="380" t="str">
        <f>IFERROR(__xludf.DUMMYFUNCTION("""COMPUTED_VALUE"""),"Pantalon Lino Dama Azul 6")</f>
        <v>Pantalon Lino Dama Azul 6</v>
      </c>
      <c r="C2344" s="380" t="str">
        <f>IFERROR(__xludf.DUMMYFUNCTION("""COMPUTED_VALUE"""),"30000690")</f>
        <v>30000690</v>
      </c>
      <c r="D2344" s="380" t="s">
        <v>767</v>
      </c>
      <c r="E2344" s="380" t="s">
        <v>810</v>
      </c>
      <c r="F2344" s="380" t="s">
        <v>1089</v>
      </c>
      <c r="G2344" s="380" t="s">
        <v>1267</v>
      </c>
      <c r="H2344" s="380" t="s">
        <v>771</v>
      </c>
      <c r="I2344" s="380" t="s">
        <v>1084</v>
      </c>
      <c r="J2344" s="380" t="s">
        <v>773</v>
      </c>
      <c r="K2344" s="381">
        <v>38685.0</v>
      </c>
      <c r="L2344" s="382">
        <v>1.0</v>
      </c>
    </row>
    <row r="2345">
      <c r="A2345" s="380" t="s">
        <v>3208</v>
      </c>
      <c r="B2345" s="380" t="str">
        <f>IFERROR(__xludf.DUMMYFUNCTION("""COMPUTED_VALUE"""),"Camisa Dacron Vigilancia Mc Con Logo 42")</f>
        <v>Camisa Dacron Vigilancia Mc Con Logo 42</v>
      </c>
      <c r="C2345" s="380" t="str">
        <f>IFERROR(__xludf.DUMMYFUNCTION("""COMPUTED_VALUE"""),"30000691")</f>
        <v>30000691</v>
      </c>
      <c r="D2345" s="380" t="s">
        <v>767</v>
      </c>
      <c r="E2345" s="380" t="s">
        <v>810</v>
      </c>
      <c r="F2345" s="380" t="s">
        <v>1089</v>
      </c>
      <c r="G2345" s="380" t="s">
        <v>1267</v>
      </c>
      <c r="H2345" s="380" t="s">
        <v>771</v>
      </c>
      <c r="I2345" s="380" t="s">
        <v>1084</v>
      </c>
      <c r="J2345" s="380" t="s">
        <v>773</v>
      </c>
      <c r="K2345" s="381">
        <v>0.0</v>
      </c>
      <c r="L2345" s="382">
        <v>1.0</v>
      </c>
    </row>
    <row r="2346">
      <c r="A2346" s="380" t="s">
        <v>3209</v>
      </c>
      <c r="B2346" s="380" t="str">
        <f>IFERROR(__xludf.DUMMYFUNCTION("""COMPUTED_VALUE"""),"Camisa Dacron Vigilancia Mc Con Logo 38")</f>
        <v>Camisa Dacron Vigilancia Mc Con Logo 38</v>
      </c>
      <c r="C2346" s="380" t="str">
        <f>IFERROR(__xludf.DUMMYFUNCTION("""COMPUTED_VALUE"""),"30000692")</f>
        <v>30000692</v>
      </c>
      <c r="D2346" s="380" t="s">
        <v>767</v>
      </c>
      <c r="E2346" s="380" t="s">
        <v>810</v>
      </c>
      <c r="F2346" s="380" t="s">
        <v>1089</v>
      </c>
      <c r="G2346" s="380" t="s">
        <v>1267</v>
      </c>
      <c r="H2346" s="380" t="s">
        <v>771</v>
      </c>
      <c r="I2346" s="380" t="s">
        <v>1084</v>
      </c>
      <c r="J2346" s="380" t="s">
        <v>773</v>
      </c>
      <c r="K2346" s="381">
        <v>0.0</v>
      </c>
      <c r="L2346" s="382">
        <v>1.0</v>
      </c>
    </row>
    <row r="2347">
      <c r="A2347" s="380" t="s">
        <v>3210</v>
      </c>
      <c r="B2347" s="380" t="str">
        <f>IFERROR(__xludf.DUMMYFUNCTION("""COMPUTED_VALUE"""),"Camisa Dacron Vigilancia Mc Con Logo 50")</f>
        <v>Camisa Dacron Vigilancia Mc Con Logo 50</v>
      </c>
      <c r="C2347" s="380" t="str">
        <f>IFERROR(__xludf.DUMMYFUNCTION("""COMPUTED_VALUE"""),"30000693")</f>
        <v>30000693</v>
      </c>
      <c r="D2347" s="380" t="s">
        <v>767</v>
      </c>
      <c r="E2347" s="380" t="s">
        <v>810</v>
      </c>
      <c r="F2347" s="380" t="s">
        <v>1089</v>
      </c>
      <c r="G2347" s="380" t="s">
        <v>1267</v>
      </c>
      <c r="H2347" s="380" t="s">
        <v>771</v>
      </c>
      <c r="I2347" s="380" t="s">
        <v>1084</v>
      </c>
      <c r="J2347" s="380" t="s">
        <v>773</v>
      </c>
      <c r="K2347" s="381">
        <v>0.0</v>
      </c>
      <c r="L2347" s="382">
        <v>1.0</v>
      </c>
    </row>
    <row r="2348">
      <c r="A2348" s="380" t="s">
        <v>3211</v>
      </c>
      <c r="B2348" s="380" t="str">
        <f>IFERROR(__xludf.DUMMYFUNCTION("""COMPUTED_VALUE"""),"Camisa Dacron Vigilancia Mc Con Logo 40")</f>
        <v>Camisa Dacron Vigilancia Mc Con Logo 40</v>
      </c>
      <c r="C2348" s="380" t="str">
        <f>IFERROR(__xludf.DUMMYFUNCTION("""COMPUTED_VALUE"""),"30000694")</f>
        <v>30000694</v>
      </c>
      <c r="D2348" s="380" t="s">
        <v>767</v>
      </c>
      <c r="E2348" s="380" t="s">
        <v>810</v>
      </c>
      <c r="F2348" s="380" t="s">
        <v>1089</v>
      </c>
      <c r="G2348" s="380" t="s">
        <v>1267</v>
      </c>
      <c r="H2348" s="380" t="s">
        <v>771</v>
      </c>
      <c r="I2348" s="380" t="s">
        <v>1084</v>
      </c>
      <c r="J2348" s="380" t="s">
        <v>773</v>
      </c>
      <c r="K2348" s="381">
        <v>0.0</v>
      </c>
      <c r="L2348" s="382">
        <v>1.0</v>
      </c>
    </row>
    <row r="2349">
      <c r="A2349" s="380" t="s">
        <v>3212</v>
      </c>
      <c r="B2349" s="380" t="str">
        <f>IFERROR(__xludf.DUMMYFUNCTION("""COMPUTED_VALUE"""),"Camisa Dacron Vigilancia Mc Con Logo 34")</f>
        <v>Camisa Dacron Vigilancia Mc Con Logo 34</v>
      </c>
      <c r="C2349" s="380" t="str">
        <f>IFERROR(__xludf.DUMMYFUNCTION("""COMPUTED_VALUE"""),"30000695")</f>
        <v>30000695</v>
      </c>
      <c r="D2349" s="380" t="s">
        <v>767</v>
      </c>
      <c r="E2349" s="380" t="s">
        <v>810</v>
      </c>
      <c r="F2349" s="380" t="s">
        <v>1089</v>
      </c>
      <c r="G2349" s="380" t="s">
        <v>1267</v>
      </c>
      <c r="H2349" s="380" t="s">
        <v>771</v>
      </c>
      <c r="I2349" s="380" t="s">
        <v>1084</v>
      </c>
      <c r="J2349" s="380" t="s">
        <v>773</v>
      </c>
      <c r="K2349" s="381">
        <v>0.0</v>
      </c>
      <c r="L2349" s="382">
        <v>1.0</v>
      </c>
    </row>
    <row r="2350">
      <c r="A2350" s="380" t="s">
        <v>3213</v>
      </c>
      <c r="B2350" s="380" t="str">
        <f>IFERROR(__xludf.DUMMYFUNCTION("""COMPUTED_VALUE"""),"Camisa Dacron Vigilancia Mc Con Logo")</f>
        <v>Camisa Dacron Vigilancia Mc Con Logo</v>
      </c>
      <c r="C2350" s="380" t="str">
        <f>IFERROR(__xludf.DUMMYFUNCTION("""COMPUTED_VALUE"""),"30000696")</f>
        <v>30000696</v>
      </c>
      <c r="D2350" s="380" t="s">
        <v>767</v>
      </c>
      <c r="E2350" s="380" t="s">
        <v>810</v>
      </c>
      <c r="F2350" s="380" t="s">
        <v>1089</v>
      </c>
      <c r="G2350" s="380" t="s">
        <v>1267</v>
      </c>
      <c r="H2350" s="380" t="s">
        <v>771</v>
      </c>
      <c r="I2350" s="380" t="s">
        <v>1084</v>
      </c>
      <c r="J2350" s="380" t="s">
        <v>773</v>
      </c>
      <c r="K2350" s="381">
        <v>0.0</v>
      </c>
      <c r="L2350" s="382">
        <v>1.0</v>
      </c>
    </row>
    <row r="2351">
      <c r="A2351" s="380" t="s">
        <v>3214</v>
      </c>
      <c r="B2351" s="380" t="str">
        <f>IFERROR(__xludf.DUMMYFUNCTION("""COMPUTED_VALUE"""),"Camisa Dacron Vigilancia Mc Con Logo 44")</f>
        <v>Camisa Dacron Vigilancia Mc Con Logo 44</v>
      </c>
      <c r="C2351" s="380" t="str">
        <f>IFERROR(__xludf.DUMMYFUNCTION("""COMPUTED_VALUE"""),"30000697")</f>
        <v>30000697</v>
      </c>
      <c r="D2351" s="380" t="s">
        <v>767</v>
      </c>
      <c r="E2351" s="380" t="s">
        <v>810</v>
      </c>
      <c r="F2351" s="380" t="s">
        <v>1089</v>
      </c>
      <c r="G2351" s="380" t="s">
        <v>1267</v>
      </c>
      <c r="H2351" s="380" t="s">
        <v>771</v>
      </c>
      <c r="I2351" s="380" t="s">
        <v>1084</v>
      </c>
      <c r="J2351" s="380" t="s">
        <v>773</v>
      </c>
      <c r="K2351" s="381">
        <v>0.0</v>
      </c>
      <c r="L2351" s="382">
        <v>1.0</v>
      </c>
    </row>
    <row r="2352">
      <c r="A2352" s="380" t="s">
        <v>3215</v>
      </c>
      <c r="B2352" s="380" t="str">
        <f>IFERROR(__xludf.DUMMYFUNCTION("""COMPUTED_VALUE"""),"Camisa Dacron Vigilancia Mc Con Logo 46")</f>
        <v>Camisa Dacron Vigilancia Mc Con Logo 46</v>
      </c>
      <c r="C2352" s="380" t="str">
        <f>IFERROR(__xludf.DUMMYFUNCTION("""COMPUTED_VALUE"""),"30000698")</f>
        <v>30000698</v>
      </c>
      <c r="D2352" s="380" t="s">
        <v>767</v>
      </c>
      <c r="E2352" s="380" t="s">
        <v>810</v>
      </c>
      <c r="F2352" s="380" t="s">
        <v>1089</v>
      </c>
      <c r="G2352" s="380" t="s">
        <v>1267</v>
      </c>
      <c r="H2352" s="380" t="s">
        <v>771</v>
      </c>
      <c r="I2352" s="380" t="s">
        <v>1084</v>
      </c>
      <c r="J2352" s="380" t="s">
        <v>773</v>
      </c>
      <c r="K2352" s="381">
        <v>0.0</v>
      </c>
      <c r="L2352" s="382">
        <v>1.0</v>
      </c>
    </row>
    <row r="2353">
      <c r="A2353" s="380" t="s">
        <v>3216</v>
      </c>
      <c r="B2353" s="380" t="str">
        <f>IFERROR(__xludf.DUMMYFUNCTION("""COMPUTED_VALUE"""),"Pantalon Conductor 32")</f>
        <v>Pantalon Conductor 32</v>
      </c>
      <c r="C2353" s="380" t="str">
        <f>IFERROR(__xludf.DUMMYFUNCTION("""COMPUTED_VALUE"""),"30000699")</f>
        <v>30000699</v>
      </c>
      <c r="D2353" s="380" t="s">
        <v>767</v>
      </c>
      <c r="E2353" s="380" t="s">
        <v>810</v>
      </c>
      <c r="F2353" s="380" t="s">
        <v>1089</v>
      </c>
      <c r="G2353" s="380" t="s">
        <v>1267</v>
      </c>
      <c r="H2353" s="380" t="s">
        <v>771</v>
      </c>
      <c r="I2353" s="380" t="s">
        <v>1084</v>
      </c>
      <c r="J2353" s="380" t="s">
        <v>773</v>
      </c>
      <c r="K2353" s="381">
        <v>37854.0</v>
      </c>
      <c r="L2353" s="382">
        <v>1.0</v>
      </c>
    </row>
    <row r="2354">
      <c r="A2354" s="380" t="s">
        <v>3217</v>
      </c>
      <c r="B2354" s="380" t="str">
        <f>IFERROR(__xludf.DUMMYFUNCTION("""COMPUTED_VALUE"""),"Pantalon Conductor 40")</f>
        <v>Pantalon Conductor 40</v>
      </c>
      <c r="C2354" s="380" t="str">
        <f>IFERROR(__xludf.DUMMYFUNCTION("""COMPUTED_VALUE"""),"30000700")</f>
        <v>30000700</v>
      </c>
      <c r="D2354" s="380" t="s">
        <v>767</v>
      </c>
      <c r="E2354" s="380" t="s">
        <v>810</v>
      </c>
      <c r="F2354" s="380" t="s">
        <v>1089</v>
      </c>
      <c r="G2354" s="380" t="s">
        <v>1267</v>
      </c>
      <c r="H2354" s="380" t="s">
        <v>771</v>
      </c>
      <c r="I2354" s="380" t="s">
        <v>1084</v>
      </c>
      <c r="J2354" s="380" t="s">
        <v>773</v>
      </c>
      <c r="K2354" s="381">
        <v>37854.0</v>
      </c>
      <c r="L2354" s="382">
        <v>1.0</v>
      </c>
    </row>
    <row r="2355">
      <c r="A2355" s="380" t="s">
        <v>3218</v>
      </c>
      <c r="B2355" s="380" t="str">
        <f>IFERROR(__xludf.DUMMYFUNCTION("""COMPUTED_VALUE"""),"Pantalon Lino Dama Azul 8")</f>
        <v>Pantalon Lino Dama Azul 8</v>
      </c>
      <c r="C2355" s="380" t="str">
        <f>IFERROR(__xludf.DUMMYFUNCTION("""COMPUTED_VALUE"""),"30000701")</f>
        <v>30000701</v>
      </c>
      <c r="D2355" s="380" t="s">
        <v>767</v>
      </c>
      <c r="E2355" s="380" t="s">
        <v>810</v>
      </c>
      <c r="F2355" s="380" t="s">
        <v>1089</v>
      </c>
      <c r="G2355" s="380" t="s">
        <v>1267</v>
      </c>
      <c r="H2355" s="380" t="s">
        <v>771</v>
      </c>
      <c r="I2355" s="380" t="s">
        <v>1084</v>
      </c>
      <c r="J2355" s="380" t="s">
        <v>773</v>
      </c>
      <c r="K2355" s="381">
        <v>38685.0</v>
      </c>
      <c r="L2355" s="382">
        <v>1.0</v>
      </c>
    </row>
    <row r="2356">
      <c r="A2356" s="380" t="s">
        <v>3219</v>
      </c>
      <c r="B2356" s="380" t="str">
        <f>IFERROR(__xludf.DUMMYFUNCTION("""COMPUTED_VALUE"""),"Pantalon Conductor 30")</f>
        <v>Pantalon Conductor 30</v>
      </c>
      <c r="C2356" s="380" t="str">
        <f>IFERROR(__xludf.DUMMYFUNCTION("""COMPUTED_VALUE"""),"30000702")</f>
        <v>30000702</v>
      </c>
      <c r="D2356" s="380" t="s">
        <v>767</v>
      </c>
      <c r="E2356" s="380" t="s">
        <v>810</v>
      </c>
      <c r="F2356" s="380" t="s">
        <v>1089</v>
      </c>
      <c r="G2356" s="380" t="s">
        <v>1267</v>
      </c>
      <c r="H2356" s="380" t="s">
        <v>771</v>
      </c>
      <c r="I2356" s="380" t="s">
        <v>1084</v>
      </c>
      <c r="J2356" s="380" t="s">
        <v>773</v>
      </c>
      <c r="K2356" s="381">
        <v>37854.0</v>
      </c>
      <c r="L2356" s="382">
        <v>1.0</v>
      </c>
    </row>
    <row r="2357">
      <c r="A2357" s="380" t="s">
        <v>3220</v>
      </c>
      <c r="B2357" s="380" t="str">
        <f>IFERROR(__xludf.DUMMYFUNCTION("""COMPUTED_VALUE"""),"Camisa Dacron Conductor Con Logo 34")</f>
        <v>Camisa Dacron Conductor Con Logo 34</v>
      </c>
      <c r="C2357" s="380" t="str">
        <f>IFERROR(__xludf.DUMMYFUNCTION("""COMPUTED_VALUE"""),"30000703")</f>
        <v>30000703</v>
      </c>
      <c r="D2357" s="380" t="s">
        <v>767</v>
      </c>
      <c r="E2357" s="380" t="s">
        <v>810</v>
      </c>
      <c r="F2357" s="380" t="s">
        <v>1089</v>
      </c>
      <c r="G2357" s="380" t="s">
        <v>1267</v>
      </c>
      <c r="H2357" s="380" t="s">
        <v>771</v>
      </c>
      <c r="I2357" s="380" t="s">
        <v>1084</v>
      </c>
      <c r="J2357" s="380" t="s">
        <v>773</v>
      </c>
      <c r="K2357" s="381">
        <v>27885.0</v>
      </c>
      <c r="L2357" s="382">
        <v>1.0</v>
      </c>
    </row>
    <row r="2358">
      <c r="A2358" s="380" t="s">
        <v>3221</v>
      </c>
      <c r="B2358" s="380" t="str">
        <f>IFERROR(__xludf.DUMMYFUNCTION("""COMPUTED_VALUE"""),"Camisa Dacron Conductor Con Logo 42")</f>
        <v>Camisa Dacron Conductor Con Logo 42</v>
      </c>
      <c r="C2358" s="380" t="str">
        <f>IFERROR(__xludf.DUMMYFUNCTION("""COMPUTED_VALUE"""),"30000704")</f>
        <v>30000704</v>
      </c>
      <c r="D2358" s="380" t="s">
        <v>767</v>
      </c>
      <c r="E2358" s="380" t="s">
        <v>810</v>
      </c>
      <c r="F2358" s="380" t="s">
        <v>1089</v>
      </c>
      <c r="G2358" s="380" t="s">
        <v>1267</v>
      </c>
      <c r="H2358" s="380" t="s">
        <v>771</v>
      </c>
      <c r="I2358" s="380" t="s">
        <v>1084</v>
      </c>
      <c r="J2358" s="380" t="s">
        <v>773</v>
      </c>
      <c r="K2358" s="381">
        <v>27884.0</v>
      </c>
      <c r="L2358" s="382">
        <v>1.0</v>
      </c>
    </row>
    <row r="2359">
      <c r="A2359" s="380" t="s">
        <v>3222</v>
      </c>
      <c r="B2359" s="380" t="str">
        <f>IFERROR(__xludf.DUMMYFUNCTION("""COMPUTED_VALUE"""),"Camisa Dacron Conductor Con Logo 36")</f>
        <v>Camisa Dacron Conductor Con Logo 36</v>
      </c>
      <c r="C2359" s="380" t="str">
        <f>IFERROR(__xludf.DUMMYFUNCTION("""COMPUTED_VALUE"""),"30000705")</f>
        <v>30000705</v>
      </c>
      <c r="D2359" s="380" t="s">
        <v>767</v>
      </c>
      <c r="E2359" s="380" t="s">
        <v>810</v>
      </c>
      <c r="F2359" s="380" t="s">
        <v>1089</v>
      </c>
      <c r="G2359" s="380" t="s">
        <v>1267</v>
      </c>
      <c r="H2359" s="380" t="s">
        <v>771</v>
      </c>
      <c r="I2359" s="380" t="s">
        <v>1084</v>
      </c>
      <c r="J2359" s="380" t="s">
        <v>773</v>
      </c>
      <c r="K2359" s="381">
        <v>27885.0</v>
      </c>
      <c r="L2359" s="382">
        <v>1.0</v>
      </c>
    </row>
    <row r="2360">
      <c r="A2360" s="380" t="s">
        <v>3223</v>
      </c>
      <c r="B2360" s="380" t="str">
        <f>IFERROR(__xludf.DUMMYFUNCTION("""COMPUTED_VALUE"""),"Camisa Dacron Conductor Con Logo 50")</f>
        <v>Camisa Dacron Conductor Con Logo 50</v>
      </c>
      <c r="C2360" s="380" t="str">
        <f>IFERROR(__xludf.DUMMYFUNCTION("""COMPUTED_VALUE"""),"30000706")</f>
        <v>30000706</v>
      </c>
      <c r="D2360" s="380" t="s">
        <v>767</v>
      </c>
      <c r="E2360" s="380" t="s">
        <v>810</v>
      </c>
      <c r="F2360" s="380" t="s">
        <v>1089</v>
      </c>
      <c r="G2360" s="380" t="s">
        <v>1267</v>
      </c>
      <c r="H2360" s="380" t="s">
        <v>771</v>
      </c>
      <c r="I2360" s="380" t="s">
        <v>1084</v>
      </c>
      <c r="J2360" s="380" t="s">
        <v>773</v>
      </c>
      <c r="K2360" s="381">
        <v>27885.0</v>
      </c>
      <c r="L2360" s="382">
        <v>1.0</v>
      </c>
    </row>
    <row r="2361">
      <c r="A2361" s="380" t="s">
        <v>3224</v>
      </c>
      <c r="B2361" s="380" t="str">
        <f>IFERROR(__xludf.DUMMYFUNCTION("""COMPUTED_VALUE"""),"Camisa Dacron Conductor Con Logo 46")</f>
        <v>Camisa Dacron Conductor Con Logo 46</v>
      </c>
      <c r="C2361" s="380" t="str">
        <f>IFERROR(__xludf.DUMMYFUNCTION("""COMPUTED_VALUE"""),"30000707")</f>
        <v>30000707</v>
      </c>
      <c r="D2361" s="380" t="s">
        <v>767</v>
      </c>
      <c r="E2361" s="380" t="s">
        <v>810</v>
      </c>
      <c r="F2361" s="380" t="s">
        <v>1089</v>
      </c>
      <c r="G2361" s="380" t="s">
        <v>1267</v>
      </c>
      <c r="H2361" s="380" t="s">
        <v>771</v>
      </c>
      <c r="I2361" s="380" t="s">
        <v>1084</v>
      </c>
      <c r="J2361" s="380" t="s">
        <v>773</v>
      </c>
      <c r="K2361" s="381">
        <v>27885.0</v>
      </c>
      <c r="L2361" s="382">
        <v>1.0</v>
      </c>
    </row>
    <row r="2362">
      <c r="A2362" s="380" t="s">
        <v>3225</v>
      </c>
      <c r="B2362" s="380" t="str">
        <f>IFERROR(__xludf.DUMMYFUNCTION("""COMPUTED_VALUE"""),"Camisa Dacron Conductor Con Logo 40")</f>
        <v>Camisa Dacron Conductor Con Logo 40</v>
      </c>
      <c r="C2362" s="380" t="str">
        <f>IFERROR(__xludf.DUMMYFUNCTION("""COMPUTED_VALUE"""),"30000708")</f>
        <v>30000708</v>
      </c>
      <c r="D2362" s="380" t="s">
        <v>767</v>
      </c>
      <c r="E2362" s="380" t="s">
        <v>810</v>
      </c>
      <c r="F2362" s="380" t="s">
        <v>1089</v>
      </c>
      <c r="G2362" s="380" t="s">
        <v>1267</v>
      </c>
      <c r="H2362" s="380" t="s">
        <v>771</v>
      </c>
      <c r="I2362" s="380" t="s">
        <v>1084</v>
      </c>
      <c r="J2362" s="380" t="s">
        <v>773</v>
      </c>
      <c r="K2362" s="381">
        <v>27884.0</v>
      </c>
      <c r="L2362" s="382">
        <v>1.0</v>
      </c>
    </row>
    <row r="2363">
      <c r="A2363" s="380" t="s">
        <v>3226</v>
      </c>
      <c r="B2363" s="380" t="str">
        <f>IFERROR(__xludf.DUMMYFUNCTION("""COMPUTED_VALUE"""),"Camisa Dacron Conductor Con Logo 48")</f>
        <v>Camisa Dacron Conductor Con Logo 48</v>
      </c>
      <c r="C2363" s="380" t="str">
        <f>IFERROR(__xludf.DUMMYFUNCTION("""COMPUTED_VALUE"""),"30000709")</f>
        <v>30000709</v>
      </c>
      <c r="D2363" s="380" t="s">
        <v>767</v>
      </c>
      <c r="E2363" s="380" t="s">
        <v>810</v>
      </c>
      <c r="F2363" s="380" t="s">
        <v>1089</v>
      </c>
      <c r="G2363" s="380" t="s">
        <v>1267</v>
      </c>
      <c r="H2363" s="380" t="s">
        <v>771</v>
      </c>
      <c r="I2363" s="380" t="s">
        <v>1084</v>
      </c>
      <c r="J2363" s="380" t="s">
        <v>773</v>
      </c>
      <c r="K2363" s="381">
        <v>0.0</v>
      </c>
      <c r="L2363" s="382">
        <v>1.0</v>
      </c>
    </row>
    <row r="2364">
      <c r="A2364" s="380" t="s">
        <v>3227</v>
      </c>
      <c r="B2364" s="380" t="str">
        <f>IFERROR(__xludf.DUMMYFUNCTION("""COMPUTED_VALUE"""),"Pantalon Lino Prenses 32")</f>
        <v>Pantalon Lino Prenses 32</v>
      </c>
      <c r="C2364" s="380" t="str">
        <f>IFERROR(__xludf.DUMMYFUNCTION("""COMPUTED_VALUE"""),"30000710")</f>
        <v>30000710</v>
      </c>
      <c r="D2364" s="380" t="s">
        <v>767</v>
      </c>
      <c r="E2364" s="380" t="s">
        <v>810</v>
      </c>
      <c r="F2364" s="380" t="s">
        <v>1089</v>
      </c>
      <c r="G2364" s="380" t="s">
        <v>1267</v>
      </c>
      <c r="H2364" s="380" t="s">
        <v>771</v>
      </c>
      <c r="I2364" s="380" t="s">
        <v>1084</v>
      </c>
      <c r="J2364" s="380" t="s">
        <v>773</v>
      </c>
      <c r="K2364" s="381">
        <v>39966.0</v>
      </c>
      <c r="L2364" s="382">
        <v>1.0</v>
      </c>
    </row>
    <row r="2365">
      <c r="A2365" s="380" t="s">
        <v>3228</v>
      </c>
      <c r="B2365" s="380" t="str">
        <f>IFERROR(__xludf.DUMMYFUNCTION("""COMPUTED_VALUE"""),"Pantalon Lino Dama Azul 4")</f>
        <v>Pantalon Lino Dama Azul 4</v>
      </c>
      <c r="C2365" s="380" t="str">
        <f>IFERROR(__xludf.DUMMYFUNCTION("""COMPUTED_VALUE"""),"30000711")</f>
        <v>30000711</v>
      </c>
      <c r="D2365" s="380" t="s">
        <v>767</v>
      </c>
      <c r="E2365" s="380" t="s">
        <v>810</v>
      </c>
      <c r="F2365" s="380" t="s">
        <v>1089</v>
      </c>
      <c r="G2365" s="380" t="s">
        <v>1267</v>
      </c>
      <c r="H2365" s="380" t="s">
        <v>771</v>
      </c>
      <c r="I2365" s="380" t="s">
        <v>1084</v>
      </c>
      <c r="J2365" s="380" t="s">
        <v>773</v>
      </c>
      <c r="K2365" s="381">
        <v>0.0</v>
      </c>
      <c r="L2365" s="382">
        <v>1.0</v>
      </c>
    </row>
    <row r="2366">
      <c r="A2366" s="380" t="s">
        <v>3229</v>
      </c>
      <c r="B2366" s="380" t="str">
        <f>IFERROR(__xludf.DUMMYFUNCTION("""COMPUTED_VALUE"""),"Camisa Dril Vigilancia Ml Con Logo 46")</f>
        <v>Camisa Dril Vigilancia Ml Con Logo 46</v>
      </c>
      <c r="C2366" s="380" t="str">
        <f>IFERROR(__xludf.DUMMYFUNCTION("""COMPUTED_VALUE"""),"30000712")</f>
        <v>30000712</v>
      </c>
      <c r="D2366" s="380" t="s">
        <v>767</v>
      </c>
      <c r="E2366" s="380" t="s">
        <v>810</v>
      </c>
      <c r="F2366" s="380" t="s">
        <v>1089</v>
      </c>
      <c r="G2366" s="380" t="s">
        <v>1267</v>
      </c>
      <c r="H2366" s="380" t="s">
        <v>771</v>
      </c>
      <c r="I2366" s="380" t="s">
        <v>1084</v>
      </c>
      <c r="J2366" s="380" t="s">
        <v>773</v>
      </c>
      <c r="K2366" s="381">
        <v>44400.0</v>
      </c>
      <c r="L2366" s="382">
        <v>1.0</v>
      </c>
    </row>
    <row r="2367">
      <c r="A2367" s="380" t="s">
        <v>3230</v>
      </c>
      <c r="B2367" s="380" t="str">
        <f>IFERROR(__xludf.DUMMYFUNCTION("""COMPUTED_VALUE"""),"Camisa Dril Vigilancia Ml Con Logo 44")</f>
        <v>Camisa Dril Vigilancia Ml Con Logo 44</v>
      </c>
      <c r="C2367" s="380" t="str">
        <f>IFERROR(__xludf.DUMMYFUNCTION("""COMPUTED_VALUE"""),"30000713")</f>
        <v>30000713</v>
      </c>
      <c r="D2367" s="380" t="s">
        <v>767</v>
      </c>
      <c r="E2367" s="380" t="s">
        <v>810</v>
      </c>
      <c r="F2367" s="380" t="s">
        <v>1089</v>
      </c>
      <c r="G2367" s="380" t="s">
        <v>1267</v>
      </c>
      <c r="H2367" s="380" t="s">
        <v>771</v>
      </c>
      <c r="I2367" s="380" t="s">
        <v>1084</v>
      </c>
      <c r="J2367" s="380" t="s">
        <v>773</v>
      </c>
      <c r="K2367" s="381">
        <v>44400.0</v>
      </c>
      <c r="L2367" s="382">
        <v>1.0</v>
      </c>
    </row>
    <row r="2368">
      <c r="A2368" s="380" t="s">
        <v>3231</v>
      </c>
      <c r="B2368" s="380" t="str">
        <f>IFERROR(__xludf.DUMMYFUNCTION("""COMPUTED_VALUE"""),"Camisa Dril Vigilancia Ml Con Logo 40")</f>
        <v>Camisa Dril Vigilancia Ml Con Logo 40</v>
      </c>
      <c r="C2368" s="380" t="str">
        <f>IFERROR(__xludf.DUMMYFUNCTION("""COMPUTED_VALUE"""),"30000714")</f>
        <v>30000714</v>
      </c>
      <c r="D2368" s="380" t="s">
        <v>767</v>
      </c>
      <c r="E2368" s="380" t="s">
        <v>810</v>
      </c>
      <c r="F2368" s="380" t="s">
        <v>1089</v>
      </c>
      <c r="G2368" s="380" t="s">
        <v>1267</v>
      </c>
      <c r="H2368" s="380" t="s">
        <v>771</v>
      </c>
      <c r="I2368" s="380" t="s">
        <v>1084</v>
      </c>
      <c r="J2368" s="380" t="s">
        <v>773</v>
      </c>
      <c r="K2368" s="381">
        <v>44400.0</v>
      </c>
      <c r="L2368" s="382">
        <v>1.0</v>
      </c>
    </row>
    <row r="2369">
      <c r="A2369" s="380" t="s">
        <v>3232</v>
      </c>
      <c r="B2369" s="380" t="str">
        <f>IFERROR(__xludf.DUMMYFUNCTION("""COMPUTED_VALUE"""),"Camisa Dril Vigilancia Ml Con Logo 42")</f>
        <v>Camisa Dril Vigilancia Ml Con Logo 42</v>
      </c>
      <c r="C2369" s="380" t="str">
        <f>IFERROR(__xludf.DUMMYFUNCTION("""COMPUTED_VALUE"""),"30000715")</f>
        <v>30000715</v>
      </c>
      <c r="D2369" s="380" t="s">
        <v>767</v>
      </c>
      <c r="E2369" s="380" t="s">
        <v>810</v>
      </c>
      <c r="F2369" s="380" t="s">
        <v>1089</v>
      </c>
      <c r="G2369" s="380" t="s">
        <v>1267</v>
      </c>
      <c r="H2369" s="380" t="s">
        <v>771</v>
      </c>
      <c r="I2369" s="380" t="s">
        <v>1084</v>
      </c>
      <c r="J2369" s="380" t="s">
        <v>773</v>
      </c>
      <c r="K2369" s="381">
        <v>44400.0</v>
      </c>
      <c r="L2369" s="382">
        <v>1.0</v>
      </c>
    </row>
    <row r="2370">
      <c r="A2370" s="380" t="s">
        <v>3233</v>
      </c>
      <c r="B2370" s="380" t="str">
        <f>IFERROR(__xludf.DUMMYFUNCTION("""COMPUTED_VALUE"""),"Camisa Dril Vigilancia Ml Con Logo 36")</f>
        <v>Camisa Dril Vigilancia Ml Con Logo 36</v>
      </c>
      <c r="C2370" s="380" t="str">
        <f>IFERROR(__xludf.DUMMYFUNCTION("""COMPUTED_VALUE"""),"30000716")</f>
        <v>30000716</v>
      </c>
      <c r="D2370" s="380" t="s">
        <v>767</v>
      </c>
      <c r="E2370" s="380" t="s">
        <v>810</v>
      </c>
      <c r="F2370" s="380" t="s">
        <v>1089</v>
      </c>
      <c r="G2370" s="380" t="s">
        <v>1267</v>
      </c>
      <c r="H2370" s="380" t="s">
        <v>771</v>
      </c>
      <c r="I2370" s="380" t="s">
        <v>1084</v>
      </c>
      <c r="J2370" s="380" t="s">
        <v>773</v>
      </c>
      <c r="K2370" s="381">
        <v>44400.0</v>
      </c>
      <c r="L2370" s="382">
        <v>1.0</v>
      </c>
    </row>
    <row r="2371">
      <c r="A2371" s="380" t="s">
        <v>3234</v>
      </c>
      <c r="B2371" s="380" t="str">
        <f>IFERROR(__xludf.DUMMYFUNCTION("""COMPUTED_VALUE"""),"Camisa Dril Vigilancia Ml Con Logo 38")</f>
        <v>Camisa Dril Vigilancia Ml Con Logo 38</v>
      </c>
      <c r="C2371" s="380" t="str">
        <f>IFERROR(__xludf.DUMMYFUNCTION("""COMPUTED_VALUE"""),"30000717")</f>
        <v>30000717</v>
      </c>
      <c r="D2371" s="380" t="s">
        <v>767</v>
      </c>
      <c r="E2371" s="380" t="s">
        <v>810</v>
      </c>
      <c r="F2371" s="380" t="s">
        <v>1089</v>
      </c>
      <c r="G2371" s="380" t="s">
        <v>1267</v>
      </c>
      <c r="H2371" s="380" t="s">
        <v>771</v>
      </c>
      <c r="I2371" s="380" t="s">
        <v>1084</v>
      </c>
      <c r="J2371" s="380" t="s">
        <v>773</v>
      </c>
      <c r="K2371" s="381">
        <v>44400.0</v>
      </c>
      <c r="L2371" s="382">
        <v>1.0</v>
      </c>
    </row>
    <row r="2372">
      <c r="A2372" s="380" t="s">
        <v>3235</v>
      </c>
      <c r="B2372" s="380" t="str">
        <f>IFERROR(__xludf.DUMMYFUNCTION("""COMPUTED_VALUE"""),"Camisa Dril Vigilancia Ml Con Logo 34")</f>
        <v>Camisa Dril Vigilancia Ml Con Logo 34</v>
      </c>
      <c r="C2372" s="380" t="str">
        <f>IFERROR(__xludf.DUMMYFUNCTION("""COMPUTED_VALUE"""),"30000718")</f>
        <v>30000718</v>
      </c>
      <c r="D2372" s="380" t="s">
        <v>767</v>
      </c>
      <c r="E2372" s="380" t="s">
        <v>810</v>
      </c>
      <c r="F2372" s="380" t="s">
        <v>1089</v>
      </c>
      <c r="G2372" s="380" t="s">
        <v>1267</v>
      </c>
      <c r="H2372" s="380" t="s">
        <v>771</v>
      </c>
      <c r="I2372" s="380" t="s">
        <v>1084</v>
      </c>
      <c r="J2372" s="380" t="s">
        <v>773</v>
      </c>
      <c r="K2372" s="381">
        <v>44400.0</v>
      </c>
      <c r="L2372" s="382">
        <v>1.0</v>
      </c>
    </row>
    <row r="2373">
      <c r="A2373" s="380" t="s">
        <v>3236</v>
      </c>
      <c r="B2373" s="380" t="str">
        <f>IFERROR(__xludf.DUMMYFUNCTION("""COMPUTED_VALUE"""),"Chaleco Administrativo Negro 36")</f>
        <v>Chaleco Administrativo Negro 36</v>
      </c>
      <c r="C2373" s="380" t="str">
        <f>IFERROR(__xludf.DUMMYFUNCTION("""COMPUTED_VALUE"""),"30000719")</f>
        <v>30000719</v>
      </c>
      <c r="D2373" s="380" t="s">
        <v>767</v>
      </c>
      <c r="E2373" s="380" t="s">
        <v>810</v>
      </c>
      <c r="F2373" s="380" t="s">
        <v>1089</v>
      </c>
      <c r="G2373" s="380" t="s">
        <v>1267</v>
      </c>
      <c r="H2373" s="380" t="s">
        <v>771</v>
      </c>
      <c r="I2373" s="380" t="s">
        <v>1084</v>
      </c>
      <c r="J2373" s="380" t="s">
        <v>773</v>
      </c>
      <c r="K2373" s="381">
        <v>0.0</v>
      </c>
      <c r="L2373" s="382">
        <v>1.0</v>
      </c>
    </row>
    <row r="2374">
      <c r="A2374" s="380" t="s">
        <v>3237</v>
      </c>
      <c r="B2374" s="380" t="str">
        <f>IFERROR(__xludf.DUMMYFUNCTION("""COMPUTED_VALUE"""),"Pantalon Lino Dama Azul 20")</f>
        <v>Pantalon Lino Dama Azul 20</v>
      </c>
      <c r="C2374" s="380" t="str">
        <f>IFERROR(__xludf.DUMMYFUNCTION("""COMPUTED_VALUE"""),"30000720")</f>
        <v>30000720</v>
      </c>
      <c r="D2374" s="380" t="s">
        <v>767</v>
      </c>
      <c r="E2374" s="380" t="s">
        <v>810</v>
      </c>
      <c r="F2374" s="380" t="s">
        <v>1089</v>
      </c>
      <c r="G2374" s="380" t="s">
        <v>1267</v>
      </c>
      <c r="H2374" s="380" t="s">
        <v>771</v>
      </c>
      <c r="I2374" s="380" t="s">
        <v>1084</v>
      </c>
      <c r="J2374" s="380" t="s">
        <v>773</v>
      </c>
      <c r="K2374" s="381">
        <v>38685.0</v>
      </c>
      <c r="L2374" s="382">
        <v>1.0</v>
      </c>
    </row>
    <row r="2375">
      <c r="A2375" s="380" t="s">
        <v>3238</v>
      </c>
      <c r="B2375" s="380" t="str">
        <f>IFERROR(__xludf.DUMMYFUNCTION("""COMPUTED_VALUE"""),"Chaleco Administrativo Negro 44")</f>
        <v>Chaleco Administrativo Negro 44</v>
      </c>
      <c r="C2375" s="380" t="str">
        <f>IFERROR(__xludf.DUMMYFUNCTION("""COMPUTED_VALUE"""),"30000721")</f>
        <v>30000721</v>
      </c>
      <c r="D2375" s="380" t="s">
        <v>767</v>
      </c>
      <c r="E2375" s="380" t="s">
        <v>810</v>
      </c>
      <c r="F2375" s="380" t="s">
        <v>1089</v>
      </c>
      <c r="G2375" s="380" t="s">
        <v>1267</v>
      </c>
      <c r="H2375" s="380" t="s">
        <v>771</v>
      </c>
      <c r="I2375" s="380" t="s">
        <v>1084</v>
      </c>
      <c r="J2375" s="380" t="s">
        <v>773</v>
      </c>
      <c r="K2375" s="381">
        <v>0.0</v>
      </c>
      <c r="L2375" s="382">
        <v>1.0</v>
      </c>
    </row>
    <row r="2376">
      <c r="A2376" s="380" t="s">
        <v>3239</v>
      </c>
      <c r="B2376" s="380" t="str">
        <f>IFERROR(__xludf.DUMMYFUNCTION("""COMPUTED_VALUE"""),"Chaleco Administrativo Negro 38")</f>
        <v>Chaleco Administrativo Negro 38</v>
      </c>
      <c r="C2376" s="380" t="str">
        <f>IFERROR(__xludf.DUMMYFUNCTION("""COMPUTED_VALUE"""),"30000722")</f>
        <v>30000722</v>
      </c>
      <c r="D2376" s="380" t="s">
        <v>767</v>
      </c>
      <c r="E2376" s="380" t="s">
        <v>810</v>
      </c>
      <c r="F2376" s="380" t="s">
        <v>1089</v>
      </c>
      <c r="G2376" s="380" t="s">
        <v>1267</v>
      </c>
      <c r="H2376" s="380" t="s">
        <v>771</v>
      </c>
      <c r="I2376" s="380" t="s">
        <v>1084</v>
      </c>
      <c r="J2376" s="380" t="s">
        <v>773</v>
      </c>
      <c r="K2376" s="381">
        <v>0.0</v>
      </c>
      <c r="L2376" s="382">
        <v>1.0</v>
      </c>
    </row>
    <row r="2377">
      <c r="A2377" s="380" t="s">
        <v>3240</v>
      </c>
      <c r="B2377" s="380" t="str">
        <f>IFERROR(__xludf.DUMMYFUNCTION("""COMPUTED_VALUE"""),"Chaleco Administrativo Negro 46")</f>
        <v>Chaleco Administrativo Negro 46</v>
      </c>
      <c r="C2377" s="380" t="str">
        <f>IFERROR(__xludf.DUMMYFUNCTION("""COMPUTED_VALUE"""),"30000723")</f>
        <v>30000723</v>
      </c>
      <c r="D2377" s="380" t="s">
        <v>767</v>
      </c>
      <c r="E2377" s="380" t="s">
        <v>810</v>
      </c>
      <c r="F2377" s="380" t="s">
        <v>1089</v>
      </c>
      <c r="G2377" s="380" t="s">
        <v>1267</v>
      </c>
      <c r="H2377" s="380" t="s">
        <v>771</v>
      </c>
      <c r="I2377" s="380" t="s">
        <v>1084</v>
      </c>
      <c r="J2377" s="380" t="s">
        <v>773</v>
      </c>
      <c r="K2377" s="381">
        <v>0.0</v>
      </c>
      <c r="L2377" s="382">
        <v>1.0</v>
      </c>
    </row>
    <row r="2378">
      <c r="A2378" s="380" t="s">
        <v>3241</v>
      </c>
      <c r="B2378" s="380" t="str">
        <f>IFERROR(__xludf.DUMMYFUNCTION("""COMPUTED_VALUE"""),"Chaleco Administrativo Negro 40")</f>
        <v>Chaleco Administrativo Negro 40</v>
      </c>
      <c r="C2378" s="380" t="str">
        <f>IFERROR(__xludf.DUMMYFUNCTION("""COMPUTED_VALUE"""),"30000724")</f>
        <v>30000724</v>
      </c>
      <c r="D2378" s="380" t="s">
        <v>767</v>
      </c>
      <c r="E2378" s="380" t="s">
        <v>810</v>
      </c>
      <c r="F2378" s="380" t="s">
        <v>1089</v>
      </c>
      <c r="G2378" s="380" t="s">
        <v>1267</v>
      </c>
      <c r="H2378" s="380" t="s">
        <v>771</v>
      </c>
      <c r="I2378" s="380" t="s">
        <v>1084</v>
      </c>
      <c r="J2378" s="380" t="s">
        <v>773</v>
      </c>
      <c r="K2378" s="381">
        <v>0.0</v>
      </c>
      <c r="L2378" s="382">
        <v>1.0</v>
      </c>
    </row>
    <row r="2379">
      <c r="A2379" s="380" t="s">
        <v>3242</v>
      </c>
      <c r="B2379" s="380" t="str">
        <f>IFERROR(__xludf.DUMMYFUNCTION("""COMPUTED_VALUE"""),"Chaleco Administrativo Negro 42")</f>
        <v>Chaleco Administrativo Negro 42</v>
      </c>
      <c r="C2379" s="380" t="str">
        <f>IFERROR(__xludf.DUMMYFUNCTION("""COMPUTED_VALUE"""),"30000725")</f>
        <v>30000725</v>
      </c>
      <c r="D2379" s="380" t="s">
        <v>767</v>
      </c>
      <c r="E2379" s="380" t="s">
        <v>810</v>
      </c>
      <c r="F2379" s="380" t="s">
        <v>1089</v>
      </c>
      <c r="G2379" s="380" t="s">
        <v>1267</v>
      </c>
      <c r="H2379" s="380" t="s">
        <v>771</v>
      </c>
      <c r="I2379" s="380" t="s">
        <v>1084</v>
      </c>
      <c r="J2379" s="380" t="s">
        <v>773</v>
      </c>
      <c r="K2379" s="381">
        <v>0.0</v>
      </c>
      <c r="L2379" s="382">
        <v>1.0</v>
      </c>
    </row>
    <row r="2380">
      <c r="A2380" s="380" t="s">
        <v>3243</v>
      </c>
      <c r="B2380" s="380" t="str">
        <f>IFERROR(__xludf.DUMMYFUNCTION("""COMPUTED_VALUE"""),"Vidrio Careta Claro Rectangular")</f>
        <v>Vidrio Careta Claro Rectangular</v>
      </c>
      <c r="C2380" s="380" t="str">
        <f>IFERROR(__xludf.DUMMYFUNCTION("""COMPUTED_VALUE"""),"30000726")</f>
        <v>30000726</v>
      </c>
      <c r="D2380" s="380" t="s">
        <v>767</v>
      </c>
      <c r="E2380" s="380" t="s">
        <v>810</v>
      </c>
      <c r="F2380" s="380" t="s">
        <v>1083</v>
      </c>
      <c r="G2380" s="380" t="s">
        <v>1267</v>
      </c>
      <c r="H2380" s="380" t="s">
        <v>771</v>
      </c>
      <c r="I2380" s="380" t="s">
        <v>1084</v>
      </c>
      <c r="J2380" s="380" t="s">
        <v>773</v>
      </c>
      <c r="K2380" s="381">
        <v>0.0</v>
      </c>
      <c r="L2380" s="382">
        <v>1.0</v>
      </c>
    </row>
    <row r="2381">
      <c r="A2381" s="380" t="s">
        <v>3244</v>
      </c>
      <c r="B2381" s="380" t="str">
        <f>IFERROR(__xludf.DUMMYFUNCTION("""COMPUTED_VALUE"""),"Vidrio Careta Oscuro Rectangular N.11")</f>
        <v>Vidrio Careta Oscuro Rectangular N.11</v>
      </c>
      <c r="C2381" s="380" t="str">
        <f>IFERROR(__xludf.DUMMYFUNCTION("""COMPUTED_VALUE"""),"30000727")</f>
        <v>30000727</v>
      </c>
      <c r="D2381" s="380" t="s">
        <v>767</v>
      </c>
      <c r="E2381" s="380" t="s">
        <v>810</v>
      </c>
      <c r="F2381" s="380" t="s">
        <v>1083</v>
      </c>
      <c r="G2381" s="380" t="s">
        <v>1267</v>
      </c>
      <c r="H2381" s="380" t="s">
        <v>771</v>
      </c>
      <c r="I2381" s="380" t="s">
        <v>1084</v>
      </c>
      <c r="J2381" s="380" t="s">
        <v>773</v>
      </c>
      <c r="K2381" s="381">
        <v>0.0</v>
      </c>
      <c r="L2381" s="382">
        <v>1.0</v>
      </c>
    </row>
    <row r="2382">
      <c r="A2382" s="380" t="s">
        <v>3245</v>
      </c>
      <c r="B2382" s="380" t="str">
        <f>IFERROR(__xludf.DUMMYFUNCTION("""COMPUTED_VALUE"""),"Pera Para Tensiometro")</f>
        <v>Pera Para Tensiometro</v>
      </c>
      <c r="C2382" s="380" t="str">
        <f>IFERROR(__xludf.DUMMYFUNCTION("""COMPUTED_VALUE"""),"30000728")</f>
        <v>30000728</v>
      </c>
      <c r="D2382" s="380" t="s">
        <v>767</v>
      </c>
      <c r="E2382" s="380" t="s">
        <v>810</v>
      </c>
      <c r="F2382" s="380" t="s">
        <v>811</v>
      </c>
      <c r="G2382" s="380" t="s">
        <v>1267</v>
      </c>
      <c r="H2382" s="380" t="s">
        <v>771</v>
      </c>
      <c r="I2382" s="380" t="s">
        <v>812</v>
      </c>
      <c r="J2382" s="380" t="s">
        <v>773</v>
      </c>
      <c r="K2382" s="381">
        <v>0.0</v>
      </c>
      <c r="L2382" s="382">
        <v>1.0</v>
      </c>
    </row>
    <row r="2383">
      <c r="A2383" s="380" t="s">
        <v>3246</v>
      </c>
      <c r="B2383" s="380" t="str">
        <f>IFERROR(__xludf.DUMMYFUNCTION("""COMPUTED_VALUE"""),"Traje A20 Fibra De Vidrio")</f>
        <v>Traje A20 Fibra De Vidrio</v>
      </c>
      <c r="C2383" s="380" t="str">
        <f>IFERROR(__xludf.DUMMYFUNCTION("""COMPUTED_VALUE"""),"30000729")</f>
        <v>30000729</v>
      </c>
      <c r="D2383" s="380" t="s">
        <v>767</v>
      </c>
      <c r="E2383" s="380" t="s">
        <v>810</v>
      </c>
      <c r="F2383" s="380" t="s">
        <v>1083</v>
      </c>
      <c r="G2383" s="380" t="s">
        <v>1267</v>
      </c>
      <c r="H2383" s="380" t="s">
        <v>771</v>
      </c>
      <c r="I2383" s="380" t="s">
        <v>1084</v>
      </c>
      <c r="J2383" s="380" t="s">
        <v>773</v>
      </c>
      <c r="K2383" s="381">
        <v>0.0</v>
      </c>
      <c r="L2383" s="382">
        <v>1.0</v>
      </c>
    </row>
    <row r="2384">
      <c r="A2384" s="380" t="s">
        <v>3247</v>
      </c>
      <c r="B2384" s="380" t="str">
        <f>IFERROR(__xludf.DUMMYFUNCTION("""COMPUTED_VALUE"""),"Traje A40 Pintor")</f>
        <v>Traje A40 Pintor</v>
      </c>
      <c r="C2384" s="380" t="str">
        <f>IFERROR(__xludf.DUMMYFUNCTION("""COMPUTED_VALUE"""),"30000730")</f>
        <v>30000730</v>
      </c>
      <c r="D2384" s="380" t="s">
        <v>767</v>
      </c>
      <c r="E2384" s="380" t="s">
        <v>810</v>
      </c>
      <c r="F2384" s="380" t="s">
        <v>1083</v>
      </c>
      <c r="G2384" s="380" t="s">
        <v>1267</v>
      </c>
      <c r="H2384" s="380" t="s">
        <v>771</v>
      </c>
      <c r="I2384" s="380" t="s">
        <v>1084</v>
      </c>
      <c r="J2384" s="380" t="s">
        <v>773</v>
      </c>
      <c r="K2384" s="381">
        <v>0.0</v>
      </c>
      <c r="L2384" s="382">
        <v>1.0</v>
      </c>
    </row>
    <row r="2385">
      <c r="A2385" s="380" t="s">
        <v>3248</v>
      </c>
      <c r="B2385" s="380" t="str">
        <f>IFERROR(__xludf.DUMMYFUNCTION("""COMPUTED_VALUE"""),"Pantalon Lino Dama Azul 26")</f>
        <v>Pantalon Lino Dama Azul 26</v>
      </c>
      <c r="C2385" s="380" t="str">
        <f>IFERROR(__xludf.DUMMYFUNCTION("""COMPUTED_VALUE"""),"30000731")</f>
        <v>30000731</v>
      </c>
      <c r="D2385" s="380" t="s">
        <v>767</v>
      </c>
      <c r="E2385" s="380" t="s">
        <v>810</v>
      </c>
      <c r="F2385" s="380" t="s">
        <v>1089</v>
      </c>
      <c r="G2385" s="380" t="s">
        <v>1267</v>
      </c>
      <c r="H2385" s="380" t="s">
        <v>771</v>
      </c>
      <c r="I2385" s="380" t="s">
        <v>1084</v>
      </c>
      <c r="J2385" s="380" t="s">
        <v>773</v>
      </c>
      <c r="K2385" s="381">
        <v>38685.0</v>
      </c>
      <c r="L2385" s="382">
        <v>1.0</v>
      </c>
    </row>
    <row r="2386">
      <c r="A2386" s="380" t="s">
        <v>3249</v>
      </c>
      <c r="B2386" s="380" t="str">
        <f>IFERROR(__xludf.DUMMYFUNCTION("""COMPUTED_VALUE"""),"Reata Para Carga Con Rache 2""")</f>
        <v>Reata Para Carga Con Rache 2"</v>
      </c>
      <c r="C2386" s="380" t="str">
        <f>IFERROR(__xludf.DUMMYFUNCTION("""COMPUTED_VALUE"""),"30000732")</f>
        <v>30000732</v>
      </c>
      <c r="D2386" s="380" t="s">
        <v>767</v>
      </c>
      <c r="E2386" s="380" t="s">
        <v>810</v>
      </c>
      <c r="F2386" s="380" t="s">
        <v>811</v>
      </c>
      <c r="G2386" s="380" t="s">
        <v>1267</v>
      </c>
      <c r="H2386" s="380" t="s">
        <v>771</v>
      </c>
      <c r="I2386" s="380" t="s">
        <v>812</v>
      </c>
      <c r="J2386" s="380" t="s">
        <v>773</v>
      </c>
      <c r="K2386" s="381">
        <v>0.0</v>
      </c>
      <c r="L2386" s="382">
        <v>1.0</v>
      </c>
    </row>
    <row r="2387">
      <c r="A2387" s="380" t="s">
        <v>3250</v>
      </c>
      <c r="B2387" s="380" t="str">
        <f>IFERROR(__xludf.DUMMYFUNCTION("""COMPUTED_VALUE"""),"Camisa Dacron Conductor Con Logo 44")</f>
        <v>Camisa Dacron Conductor Con Logo 44</v>
      </c>
      <c r="C2387" s="380" t="str">
        <f>IFERROR(__xludf.DUMMYFUNCTION("""COMPUTED_VALUE"""),"30000733")</f>
        <v>30000733</v>
      </c>
      <c r="D2387" s="380" t="s">
        <v>767</v>
      </c>
      <c r="E2387" s="380" t="s">
        <v>810</v>
      </c>
      <c r="F2387" s="380" t="s">
        <v>1089</v>
      </c>
      <c r="G2387" s="380" t="s">
        <v>1267</v>
      </c>
      <c r="H2387" s="380" t="s">
        <v>771</v>
      </c>
      <c r="I2387" s="380" t="s">
        <v>1084</v>
      </c>
      <c r="J2387" s="380" t="s">
        <v>773</v>
      </c>
      <c r="K2387" s="381">
        <v>27884.0</v>
      </c>
      <c r="L2387" s="382">
        <v>1.0</v>
      </c>
    </row>
    <row r="2388">
      <c r="A2388" s="380" t="s">
        <v>3251</v>
      </c>
      <c r="B2388" s="380" t="str">
        <f>IFERROR(__xludf.DUMMYFUNCTION("""COMPUTED_VALUE"""),"Camisa Dacron Conductor Con Logo 38")</f>
        <v>Camisa Dacron Conductor Con Logo 38</v>
      </c>
      <c r="C2388" s="380" t="str">
        <f>IFERROR(__xludf.DUMMYFUNCTION("""COMPUTED_VALUE"""),"30000734")</f>
        <v>30000734</v>
      </c>
      <c r="D2388" s="380" t="s">
        <v>767</v>
      </c>
      <c r="E2388" s="380" t="s">
        <v>810</v>
      </c>
      <c r="F2388" s="380" t="s">
        <v>1089</v>
      </c>
      <c r="G2388" s="380" t="s">
        <v>1267</v>
      </c>
      <c r="H2388" s="380" t="s">
        <v>771</v>
      </c>
      <c r="I2388" s="380" t="s">
        <v>1084</v>
      </c>
      <c r="J2388" s="380" t="s">
        <v>773</v>
      </c>
      <c r="K2388" s="381">
        <v>27884.0</v>
      </c>
      <c r="L2388" s="382">
        <v>1.0</v>
      </c>
    </row>
    <row r="2389">
      <c r="A2389" s="380" t="s">
        <v>3252</v>
      </c>
      <c r="B2389" s="380" t="str">
        <f>IFERROR(__xludf.DUMMYFUNCTION("""COMPUTED_VALUE"""),"Chaleco Operaciones Verde 38")</f>
        <v>Chaleco Operaciones Verde 38</v>
      </c>
      <c r="C2389" s="380" t="str">
        <f>IFERROR(__xludf.DUMMYFUNCTION("""COMPUTED_VALUE"""),"30000735")</f>
        <v>30000735</v>
      </c>
      <c r="D2389" s="380" t="s">
        <v>767</v>
      </c>
      <c r="E2389" s="380" t="s">
        <v>810</v>
      </c>
      <c r="F2389" s="380" t="s">
        <v>1089</v>
      </c>
      <c r="G2389" s="380" t="s">
        <v>1267</v>
      </c>
      <c r="H2389" s="380" t="s">
        <v>771</v>
      </c>
      <c r="I2389" s="380" t="s">
        <v>1084</v>
      </c>
      <c r="J2389" s="380" t="s">
        <v>773</v>
      </c>
      <c r="K2389" s="381">
        <v>0.0</v>
      </c>
      <c r="L2389" s="382">
        <v>1.0</v>
      </c>
    </row>
    <row r="2390">
      <c r="A2390" s="380" t="s">
        <v>3253</v>
      </c>
      <c r="B2390" s="380" t="str">
        <f>IFERROR(__xludf.DUMMYFUNCTION("""COMPUTED_VALUE"""),"Chaleco Operaciones Verde 44")</f>
        <v>Chaleco Operaciones Verde 44</v>
      </c>
      <c r="C2390" s="380" t="str">
        <f>IFERROR(__xludf.DUMMYFUNCTION("""COMPUTED_VALUE"""),"30000736")</f>
        <v>30000736</v>
      </c>
      <c r="D2390" s="380" t="s">
        <v>767</v>
      </c>
      <c r="E2390" s="380" t="s">
        <v>810</v>
      </c>
      <c r="F2390" s="380" t="s">
        <v>1089</v>
      </c>
      <c r="G2390" s="380" t="s">
        <v>1267</v>
      </c>
      <c r="H2390" s="380" t="s">
        <v>771</v>
      </c>
      <c r="I2390" s="380" t="s">
        <v>1084</v>
      </c>
      <c r="J2390" s="380" t="s">
        <v>773</v>
      </c>
      <c r="K2390" s="381">
        <v>26737.0</v>
      </c>
      <c r="L2390" s="382">
        <v>1.0</v>
      </c>
    </row>
    <row r="2391">
      <c r="A2391" s="380" t="s">
        <v>3254</v>
      </c>
      <c r="B2391" s="380" t="str">
        <f>IFERROR(__xludf.DUMMYFUNCTION("""COMPUTED_VALUE"""),"Chaleco Operaciones Verde 36")</f>
        <v>Chaleco Operaciones Verde 36</v>
      </c>
      <c r="C2391" s="380" t="str">
        <f>IFERROR(__xludf.DUMMYFUNCTION("""COMPUTED_VALUE"""),"30000737")</f>
        <v>30000737</v>
      </c>
      <c r="D2391" s="380" t="s">
        <v>767</v>
      </c>
      <c r="E2391" s="380" t="s">
        <v>810</v>
      </c>
      <c r="F2391" s="380" t="s">
        <v>1089</v>
      </c>
      <c r="G2391" s="380" t="s">
        <v>1267</v>
      </c>
      <c r="H2391" s="380" t="s">
        <v>771</v>
      </c>
      <c r="I2391" s="380" t="s">
        <v>1084</v>
      </c>
      <c r="J2391" s="380" t="s">
        <v>773</v>
      </c>
      <c r="K2391" s="381">
        <v>0.0</v>
      </c>
      <c r="L2391" s="382">
        <v>1.0</v>
      </c>
    </row>
    <row r="2392">
      <c r="A2392" s="380" t="s">
        <v>3255</v>
      </c>
      <c r="B2392" s="380" t="str">
        <f>IFERROR(__xludf.DUMMYFUNCTION("""COMPUTED_VALUE"""),"Chaleco Operaciones Gris 44")</f>
        <v>Chaleco Operaciones Gris 44</v>
      </c>
      <c r="C2392" s="380" t="str">
        <f>IFERROR(__xludf.DUMMYFUNCTION("""COMPUTED_VALUE"""),"30000738")</f>
        <v>30000738</v>
      </c>
      <c r="D2392" s="380" t="s">
        <v>767</v>
      </c>
      <c r="E2392" s="380" t="s">
        <v>810</v>
      </c>
      <c r="F2392" s="380" t="s">
        <v>1089</v>
      </c>
      <c r="G2392" s="380" t="s">
        <v>1267</v>
      </c>
      <c r="H2392" s="380" t="s">
        <v>771</v>
      </c>
      <c r="I2392" s="380" t="s">
        <v>1084</v>
      </c>
      <c r="J2392" s="380" t="s">
        <v>773</v>
      </c>
      <c r="K2392" s="381">
        <v>28634.0</v>
      </c>
      <c r="L2392" s="382">
        <v>1.0</v>
      </c>
    </row>
    <row r="2393">
      <c r="A2393" s="380" t="s">
        <v>3256</v>
      </c>
      <c r="B2393" s="380" t="str">
        <f>IFERROR(__xludf.DUMMYFUNCTION("""COMPUTED_VALUE"""),"Chaleco Operaciones Gris 38")</f>
        <v>Chaleco Operaciones Gris 38</v>
      </c>
      <c r="C2393" s="380" t="str">
        <f>IFERROR(__xludf.DUMMYFUNCTION("""COMPUTED_VALUE"""),"30000739")</f>
        <v>30000739</v>
      </c>
      <c r="D2393" s="380" t="s">
        <v>767</v>
      </c>
      <c r="E2393" s="380" t="s">
        <v>810</v>
      </c>
      <c r="F2393" s="380" t="s">
        <v>1089</v>
      </c>
      <c r="G2393" s="380" t="s">
        <v>1267</v>
      </c>
      <c r="H2393" s="380" t="s">
        <v>771</v>
      </c>
      <c r="I2393" s="380" t="s">
        <v>1084</v>
      </c>
      <c r="J2393" s="380" t="s">
        <v>773</v>
      </c>
      <c r="K2393" s="381">
        <v>28634.0</v>
      </c>
      <c r="L2393" s="382">
        <v>1.0</v>
      </c>
    </row>
    <row r="2394">
      <c r="A2394" s="380" t="s">
        <v>3257</v>
      </c>
      <c r="B2394" s="380" t="str">
        <f>IFERROR(__xludf.DUMMYFUNCTION("""COMPUTED_VALUE"""),"Chaleco Operaciones Gris 36")</f>
        <v>Chaleco Operaciones Gris 36</v>
      </c>
      <c r="C2394" s="380" t="str">
        <f>IFERROR(__xludf.DUMMYFUNCTION("""COMPUTED_VALUE"""),"30000740")</f>
        <v>30000740</v>
      </c>
      <c r="D2394" s="380" t="s">
        <v>767</v>
      </c>
      <c r="E2394" s="380" t="s">
        <v>810</v>
      </c>
      <c r="F2394" s="380" t="s">
        <v>1089</v>
      </c>
      <c r="G2394" s="380" t="s">
        <v>1267</v>
      </c>
      <c r="H2394" s="380" t="s">
        <v>771</v>
      </c>
      <c r="I2394" s="380" t="s">
        <v>1084</v>
      </c>
      <c r="J2394" s="380" t="s">
        <v>773</v>
      </c>
      <c r="K2394" s="381">
        <v>28634.0</v>
      </c>
      <c r="L2394" s="382">
        <v>1.0</v>
      </c>
    </row>
    <row r="2395">
      <c r="A2395" s="380" t="s">
        <v>3258</v>
      </c>
      <c r="B2395" s="380" t="str">
        <f>IFERROR(__xludf.DUMMYFUNCTION("""COMPUTED_VALUE"""),"Pantalon Lino Dama Azul 18")</f>
        <v>Pantalon Lino Dama Azul 18</v>
      </c>
      <c r="C2395" s="380" t="str">
        <f>IFERROR(__xludf.DUMMYFUNCTION("""COMPUTED_VALUE"""),"30000741")</f>
        <v>30000741</v>
      </c>
      <c r="D2395" s="380" t="s">
        <v>767</v>
      </c>
      <c r="E2395" s="380" t="s">
        <v>810</v>
      </c>
      <c r="F2395" s="380" t="s">
        <v>1089</v>
      </c>
      <c r="G2395" s="380" t="s">
        <v>1267</v>
      </c>
      <c r="H2395" s="380" t="s">
        <v>771</v>
      </c>
      <c r="I2395" s="380" t="s">
        <v>1084</v>
      </c>
      <c r="J2395" s="380" t="s">
        <v>773</v>
      </c>
      <c r="K2395" s="381">
        <v>38685.0</v>
      </c>
      <c r="L2395" s="382">
        <v>1.0</v>
      </c>
    </row>
    <row r="2396">
      <c r="A2396" s="380" t="s">
        <v>3259</v>
      </c>
      <c r="B2396" s="380" t="str">
        <f>IFERROR(__xludf.DUMMYFUNCTION("""COMPUTED_VALUE"""),"Chaleco Operaciones Gris 46")</f>
        <v>Chaleco Operaciones Gris 46</v>
      </c>
      <c r="C2396" s="380" t="str">
        <f>IFERROR(__xludf.DUMMYFUNCTION("""COMPUTED_VALUE"""),"30000742")</f>
        <v>30000742</v>
      </c>
      <c r="D2396" s="380" t="s">
        <v>767</v>
      </c>
      <c r="E2396" s="380" t="s">
        <v>810</v>
      </c>
      <c r="F2396" s="380" t="s">
        <v>1089</v>
      </c>
      <c r="G2396" s="380" t="s">
        <v>1267</v>
      </c>
      <c r="H2396" s="380" t="s">
        <v>771</v>
      </c>
      <c r="I2396" s="380" t="s">
        <v>1084</v>
      </c>
      <c r="J2396" s="380" t="s">
        <v>773</v>
      </c>
      <c r="K2396" s="381">
        <v>28634.0</v>
      </c>
      <c r="L2396" s="382">
        <v>1.0</v>
      </c>
    </row>
    <row r="2397">
      <c r="A2397" s="380" t="s">
        <v>3260</v>
      </c>
      <c r="B2397" s="380" t="str">
        <f>IFERROR(__xludf.DUMMYFUNCTION("""COMPUTED_VALUE"""),"Chaleco Operaciones Gris 42")</f>
        <v>Chaleco Operaciones Gris 42</v>
      </c>
      <c r="C2397" s="380" t="str">
        <f>IFERROR(__xludf.DUMMYFUNCTION("""COMPUTED_VALUE"""),"30000743")</f>
        <v>30000743</v>
      </c>
      <c r="D2397" s="380" t="s">
        <v>767</v>
      </c>
      <c r="E2397" s="380" t="s">
        <v>810</v>
      </c>
      <c r="F2397" s="380" t="s">
        <v>1089</v>
      </c>
      <c r="G2397" s="380" t="s">
        <v>1267</v>
      </c>
      <c r="H2397" s="380" t="s">
        <v>771</v>
      </c>
      <c r="I2397" s="380" t="s">
        <v>1084</v>
      </c>
      <c r="J2397" s="380" t="s">
        <v>773</v>
      </c>
      <c r="K2397" s="381">
        <v>28634.0</v>
      </c>
      <c r="L2397" s="382">
        <v>1.0</v>
      </c>
    </row>
    <row r="2398">
      <c r="A2398" s="380" t="s">
        <v>3261</v>
      </c>
      <c r="B2398" s="380" t="str">
        <f>IFERROR(__xludf.DUMMYFUNCTION("""COMPUTED_VALUE"""),"Chaleco Operaciones Gris 40")</f>
        <v>Chaleco Operaciones Gris 40</v>
      </c>
      <c r="C2398" s="380" t="str">
        <f>IFERROR(__xludf.DUMMYFUNCTION("""COMPUTED_VALUE"""),"30000744")</f>
        <v>30000744</v>
      </c>
      <c r="D2398" s="380" t="s">
        <v>767</v>
      </c>
      <c r="E2398" s="380" t="s">
        <v>810</v>
      </c>
      <c r="F2398" s="380" t="s">
        <v>1089</v>
      </c>
      <c r="G2398" s="380" t="s">
        <v>1267</v>
      </c>
      <c r="H2398" s="380" t="s">
        <v>771</v>
      </c>
      <c r="I2398" s="380" t="s">
        <v>1084</v>
      </c>
      <c r="J2398" s="380" t="s">
        <v>773</v>
      </c>
      <c r="K2398" s="381">
        <v>28634.0</v>
      </c>
      <c r="L2398" s="382">
        <v>1.0</v>
      </c>
    </row>
    <row r="2399">
      <c r="A2399" s="380" t="s">
        <v>3262</v>
      </c>
      <c r="B2399" s="380" t="str">
        <f>IFERROR(__xludf.DUMMYFUNCTION("""COMPUTED_VALUE"""),"Chaleco Operaciones Azul Claro 46")</f>
        <v>Chaleco Operaciones Azul Claro 46</v>
      </c>
      <c r="C2399" s="380" t="str">
        <f>IFERROR(__xludf.DUMMYFUNCTION("""COMPUTED_VALUE"""),"30000745")</f>
        <v>30000745</v>
      </c>
      <c r="D2399" s="380" t="s">
        <v>767</v>
      </c>
      <c r="E2399" s="380" t="s">
        <v>810</v>
      </c>
      <c r="F2399" s="380" t="s">
        <v>1089</v>
      </c>
      <c r="G2399" s="380" t="s">
        <v>1267</v>
      </c>
      <c r="H2399" s="380" t="s">
        <v>771</v>
      </c>
      <c r="I2399" s="380" t="s">
        <v>1084</v>
      </c>
      <c r="J2399" s="380" t="s">
        <v>773</v>
      </c>
      <c r="K2399" s="381">
        <v>0.0</v>
      </c>
      <c r="L2399" s="382">
        <v>1.0</v>
      </c>
    </row>
    <row r="2400">
      <c r="A2400" s="380" t="s">
        <v>3263</v>
      </c>
      <c r="B2400" s="380" t="str">
        <f>IFERROR(__xludf.DUMMYFUNCTION("""COMPUTED_VALUE"""),"Chaleco Operaciones Azul Claro 40")</f>
        <v>Chaleco Operaciones Azul Claro 40</v>
      </c>
      <c r="C2400" s="380" t="str">
        <f>IFERROR(__xludf.DUMMYFUNCTION("""COMPUTED_VALUE"""),"30000746")</f>
        <v>30000746</v>
      </c>
      <c r="D2400" s="380" t="s">
        <v>767</v>
      </c>
      <c r="E2400" s="380" t="s">
        <v>810</v>
      </c>
      <c r="F2400" s="380" t="s">
        <v>1089</v>
      </c>
      <c r="G2400" s="380" t="s">
        <v>1267</v>
      </c>
      <c r="H2400" s="380" t="s">
        <v>771</v>
      </c>
      <c r="I2400" s="380" t="s">
        <v>1084</v>
      </c>
      <c r="J2400" s="380" t="s">
        <v>773</v>
      </c>
      <c r="K2400" s="381">
        <v>29183.0</v>
      </c>
      <c r="L2400" s="382">
        <v>1.0</v>
      </c>
    </row>
    <row r="2401">
      <c r="A2401" s="380" t="s">
        <v>3264</v>
      </c>
      <c r="B2401" s="380" t="str">
        <f>IFERROR(__xludf.DUMMYFUNCTION("""COMPUTED_VALUE"""),"Chaleco Operaciones Azul Claro 36")</f>
        <v>Chaleco Operaciones Azul Claro 36</v>
      </c>
      <c r="C2401" s="380" t="str">
        <f>IFERROR(__xludf.DUMMYFUNCTION("""COMPUTED_VALUE"""),"30000747")</f>
        <v>30000747</v>
      </c>
      <c r="D2401" s="380" t="s">
        <v>767</v>
      </c>
      <c r="E2401" s="380" t="s">
        <v>810</v>
      </c>
      <c r="F2401" s="380" t="s">
        <v>1089</v>
      </c>
      <c r="G2401" s="380" t="s">
        <v>1267</v>
      </c>
      <c r="H2401" s="380" t="s">
        <v>771</v>
      </c>
      <c r="I2401" s="380" t="s">
        <v>1084</v>
      </c>
      <c r="J2401" s="380" t="s">
        <v>773</v>
      </c>
      <c r="K2401" s="381">
        <v>0.0</v>
      </c>
      <c r="L2401" s="382">
        <v>1.0</v>
      </c>
    </row>
    <row r="2402">
      <c r="A2402" s="380" t="s">
        <v>3265</v>
      </c>
      <c r="B2402" s="380" t="str">
        <f>IFERROR(__xludf.DUMMYFUNCTION("""COMPUTED_VALUE"""),"Chaleco Operaciones Azul Claro 42")</f>
        <v>Chaleco Operaciones Azul Claro 42</v>
      </c>
      <c r="C2402" s="380" t="str">
        <f>IFERROR(__xludf.DUMMYFUNCTION("""COMPUTED_VALUE"""),"30000748")</f>
        <v>30000748</v>
      </c>
      <c r="D2402" s="380" t="s">
        <v>767</v>
      </c>
      <c r="E2402" s="380" t="s">
        <v>810</v>
      </c>
      <c r="F2402" s="380" t="s">
        <v>1089</v>
      </c>
      <c r="G2402" s="380" t="s">
        <v>1267</v>
      </c>
      <c r="H2402" s="380" t="s">
        <v>771</v>
      </c>
      <c r="I2402" s="380" t="s">
        <v>1084</v>
      </c>
      <c r="J2402" s="380" t="s">
        <v>773</v>
      </c>
      <c r="K2402" s="381">
        <v>29183.0</v>
      </c>
      <c r="L2402" s="382">
        <v>1.0</v>
      </c>
    </row>
    <row r="2403">
      <c r="A2403" s="380" t="s">
        <v>3266</v>
      </c>
      <c r="B2403" s="380" t="str">
        <f>IFERROR(__xludf.DUMMYFUNCTION("""COMPUTED_VALUE"""),"Chaleco Operaciones Azul Claro 44")</f>
        <v>Chaleco Operaciones Azul Claro 44</v>
      </c>
      <c r="C2403" s="380" t="str">
        <f>IFERROR(__xludf.DUMMYFUNCTION("""COMPUTED_VALUE"""),"30000749")</f>
        <v>30000749</v>
      </c>
      <c r="D2403" s="380" t="s">
        <v>767</v>
      </c>
      <c r="E2403" s="380" t="s">
        <v>810</v>
      </c>
      <c r="F2403" s="380" t="s">
        <v>1089</v>
      </c>
      <c r="G2403" s="380" t="s">
        <v>1267</v>
      </c>
      <c r="H2403" s="380" t="s">
        <v>771</v>
      </c>
      <c r="I2403" s="380" t="s">
        <v>1084</v>
      </c>
      <c r="J2403" s="380" t="s">
        <v>773</v>
      </c>
      <c r="K2403" s="381">
        <v>29183.0</v>
      </c>
      <c r="L2403" s="382">
        <v>1.0</v>
      </c>
    </row>
    <row r="2404">
      <c r="A2404" s="380" t="s">
        <v>3267</v>
      </c>
      <c r="B2404" s="380" t="str">
        <f>IFERROR(__xludf.DUMMYFUNCTION("""COMPUTED_VALUE"""),"Chaleco Operaciones Azul Claro 38")</f>
        <v>Chaleco Operaciones Azul Claro 38</v>
      </c>
      <c r="C2404" s="380" t="str">
        <f>IFERROR(__xludf.DUMMYFUNCTION("""COMPUTED_VALUE"""),"30000750")</f>
        <v>30000750</v>
      </c>
      <c r="D2404" s="380" t="s">
        <v>767</v>
      </c>
      <c r="E2404" s="380" t="s">
        <v>810</v>
      </c>
      <c r="F2404" s="380" t="s">
        <v>1089</v>
      </c>
      <c r="G2404" s="380" t="s">
        <v>1267</v>
      </c>
      <c r="H2404" s="380" t="s">
        <v>771</v>
      </c>
      <c r="I2404" s="380" t="s">
        <v>1084</v>
      </c>
      <c r="J2404" s="380" t="s">
        <v>773</v>
      </c>
      <c r="K2404" s="381">
        <v>29183.0</v>
      </c>
      <c r="L2404" s="382">
        <v>1.0</v>
      </c>
    </row>
    <row r="2405">
      <c r="A2405" s="380" t="s">
        <v>3268</v>
      </c>
      <c r="B2405" s="380" t="str">
        <f>IFERROR(__xludf.DUMMYFUNCTION("""COMPUTED_VALUE"""),"Pantalon Lino Dama Azul 12")</f>
        <v>Pantalon Lino Dama Azul 12</v>
      </c>
      <c r="C2405" s="380" t="str">
        <f>IFERROR(__xludf.DUMMYFUNCTION("""COMPUTED_VALUE"""),"30000751")</f>
        <v>30000751</v>
      </c>
      <c r="D2405" s="380" t="s">
        <v>767</v>
      </c>
      <c r="E2405" s="380" t="s">
        <v>810</v>
      </c>
      <c r="F2405" s="380" t="s">
        <v>1089</v>
      </c>
      <c r="G2405" s="380" t="s">
        <v>1267</v>
      </c>
      <c r="H2405" s="380" t="s">
        <v>771</v>
      </c>
      <c r="I2405" s="380" t="s">
        <v>1084</v>
      </c>
      <c r="J2405" s="380" t="s">
        <v>773</v>
      </c>
      <c r="K2405" s="381">
        <v>38685.0</v>
      </c>
      <c r="L2405" s="382">
        <v>1.0</v>
      </c>
    </row>
    <row r="2406">
      <c r="A2406" s="380" t="s">
        <v>3269</v>
      </c>
      <c r="B2406" s="380" t="str">
        <f>IFERROR(__xludf.DUMMYFUNCTION("""COMPUTED_VALUE"""),"Correa Al Hombro Tim Tc20")</f>
        <v>Correa Al Hombro Tim Tc20</v>
      </c>
      <c r="C2406" s="380" t="str">
        <f>IFERROR(__xludf.DUMMYFUNCTION("""COMPUTED_VALUE"""),"30000752")</f>
        <v>30000752</v>
      </c>
      <c r="D2406" s="380" t="s">
        <v>767</v>
      </c>
      <c r="E2406" s="380" t="s">
        <v>810</v>
      </c>
      <c r="F2406" s="380" t="s">
        <v>1271</v>
      </c>
      <c r="G2406" s="380" t="s">
        <v>1267</v>
      </c>
      <c r="H2406" s="380" t="s">
        <v>771</v>
      </c>
      <c r="I2406" s="380" t="s">
        <v>1084</v>
      </c>
      <c r="J2406" s="380" t="s">
        <v>773</v>
      </c>
      <c r="K2406" s="381">
        <v>5500.0</v>
      </c>
      <c r="L2406" s="382">
        <v>1.0</v>
      </c>
    </row>
    <row r="2407">
      <c r="A2407" s="380" t="s">
        <v>3270</v>
      </c>
      <c r="B2407" s="380" t="str">
        <f>IFERROR(__xludf.DUMMYFUNCTION("""COMPUTED_VALUE"""),"Eslinga Arseg 1228178")</f>
        <v>Eslinga Arseg 1228178</v>
      </c>
      <c r="C2407" s="380" t="str">
        <f>IFERROR(__xludf.DUMMYFUNCTION("""COMPUTED_VALUE"""),"30000753")</f>
        <v>30000753</v>
      </c>
      <c r="D2407" s="380" t="s">
        <v>767</v>
      </c>
      <c r="E2407" s="380" t="s">
        <v>810</v>
      </c>
      <c r="F2407" s="380" t="s">
        <v>1083</v>
      </c>
      <c r="G2407" s="380" t="s">
        <v>1267</v>
      </c>
      <c r="H2407" s="380" t="s">
        <v>771</v>
      </c>
      <c r="I2407" s="380" t="s">
        <v>1084</v>
      </c>
      <c r="J2407" s="380" t="s">
        <v>773</v>
      </c>
      <c r="K2407" s="381">
        <v>0.0</v>
      </c>
      <c r="L2407" s="382">
        <v>1.0</v>
      </c>
    </row>
    <row r="2408">
      <c r="A2408" s="380" t="s">
        <v>3271</v>
      </c>
      <c r="B2408" s="380" t="str">
        <f>IFERROR(__xludf.DUMMYFUNCTION("""COMPUTED_VALUE"""),"Arnes Arseg 1170210")</f>
        <v>Arnes Arseg 1170210</v>
      </c>
      <c r="C2408" s="380" t="str">
        <f>IFERROR(__xludf.DUMMYFUNCTION("""COMPUTED_VALUE"""),"30000754")</f>
        <v>30000754</v>
      </c>
      <c r="D2408" s="380" t="s">
        <v>767</v>
      </c>
      <c r="E2408" s="380" t="s">
        <v>810</v>
      </c>
      <c r="F2408" s="380" t="s">
        <v>1083</v>
      </c>
      <c r="G2408" s="380" t="s">
        <v>1267</v>
      </c>
      <c r="H2408" s="380" t="s">
        <v>771</v>
      </c>
      <c r="I2408" s="380" t="s">
        <v>1084</v>
      </c>
      <c r="J2408" s="380" t="s">
        <v>773</v>
      </c>
      <c r="K2408" s="381">
        <v>0.0</v>
      </c>
      <c r="L2408" s="382">
        <v>1.0</v>
      </c>
    </row>
    <row r="2409">
      <c r="A2409" s="380" t="s">
        <v>3272</v>
      </c>
      <c r="B2409" s="380" t="str">
        <f>IFERROR(__xludf.DUMMYFUNCTION("""COMPUTED_VALUE"""),"Extintor Multiproposito 10lb - Ntc 2885")</f>
        <v>Extintor Multiproposito 10lb - Ntc 2885</v>
      </c>
      <c r="C2409" s="380" t="str">
        <f>IFERROR(__xludf.DUMMYFUNCTION("""COMPUTED_VALUE"""),"30000755")</f>
        <v>30000755</v>
      </c>
      <c r="D2409" s="380" t="s">
        <v>767</v>
      </c>
      <c r="E2409" s="380" t="s">
        <v>810</v>
      </c>
      <c r="F2409" s="380" t="s">
        <v>811</v>
      </c>
      <c r="G2409" s="380" t="s">
        <v>1267</v>
      </c>
      <c r="H2409" s="380" t="s">
        <v>771</v>
      </c>
      <c r="I2409" s="380" t="s">
        <v>812</v>
      </c>
      <c r="J2409" s="380" t="s">
        <v>773</v>
      </c>
      <c r="K2409" s="381">
        <v>0.0</v>
      </c>
      <c r="L2409" s="382">
        <v>1.0</v>
      </c>
    </row>
    <row r="2410">
      <c r="A2410" s="380" t="s">
        <v>3273</v>
      </c>
      <c r="B2410" s="380" t="str">
        <f>IFERROR(__xludf.DUMMYFUNCTION("""COMPUTED_VALUE"""),"Termómetro Dig Sonda De -40 A 70 °c")</f>
        <v>Termómetro Dig Sonda De -40 A 70 °c</v>
      </c>
      <c r="C2410" s="380" t="str">
        <f>IFERROR(__xludf.DUMMYFUNCTION("""COMPUTED_VALUE"""),"30000756")</f>
        <v>30000756</v>
      </c>
      <c r="D2410" s="380" t="s">
        <v>767</v>
      </c>
      <c r="E2410" s="380" t="s">
        <v>810</v>
      </c>
      <c r="F2410" s="380" t="s">
        <v>811</v>
      </c>
      <c r="G2410" s="380" t="s">
        <v>1267</v>
      </c>
      <c r="H2410" s="380" t="s">
        <v>771</v>
      </c>
      <c r="I2410" s="380" t="s">
        <v>812</v>
      </c>
      <c r="J2410" s="380" t="s">
        <v>773</v>
      </c>
      <c r="K2410" s="381">
        <v>0.0</v>
      </c>
      <c r="L2410" s="382">
        <v>1.0</v>
      </c>
    </row>
    <row r="2411">
      <c r="A2411" s="380" t="s">
        <v>3274</v>
      </c>
      <c r="B2411" s="380" t="str">
        <f>IFERROR(__xludf.DUMMYFUNCTION("""COMPUTED_VALUE"""),"Chaleco Operaciones Naranja 42")</f>
        <v>Chaleco Operaciones Naranja 42</v>
      </c>
      <c r="C2411" s="380" t="str">
        <f>IFERROR(__xludf.DUMMYFUNCTION("""COMPUTED_VALUE"""),"30000757")</f>
        <v>30000757</v>
      </c>
      <c r="D2411" s="380" t="s">
        <v>767</v>
      </c>
      <c r="E2411" s="380" t="s">
        <v>810</v>
      </c>
      <c r="F2411" s="380" t="s">
        <v>1089</v>
      </c>
      <c r="G2411" s="380" t="s">
        <v>1267</v>
      </c>
      <c r="H2411" s="380" t="s">
        <v>771</v>
      </c>
      <c r="I2411" s="380" t="s">
        <v>1084</v>
      </c>
      <c r="J2411" s="380" t="s">
        <v>773</v>
      </c>
      <c r="K2411" s="381">
        <v>27550.0</v>
      </c>
      <c r="L2411" s="382">
        <v>1.0</v>
      </c>
    </row>
    <row r="2412">
      <c r="A2412" s="380" t="s">
        <v>3275</v>
      </c>
      <c r="B2412" s="380" t="str">
        <f>IFERROR(__xludf.DUMMYFUNCTION("""COMPUTED_VALUE"""),"Chaleco Operaciones Naranja 36")</f>
        <v>Chaleco Operaciones Naranja 36</v>
      </c>
      <c r="C2412" s="380" t="str">
        <f>IFERROR(__xludf.DUMMYFUNCTION("""COMPUTED_VALUE"""),"30000758")</f>
        <v>30000758</v>
      </c>
      <c r="D2412" s="380" t="s">
        <v>767</v>
      </c>
      <c r="E2412" s="380" t="s">
        <v>810</v>
      </c>
      <c r="F2412" s="380" t="s">
        <v>1089</v>
      </c>
      <c r="G2412" s="380" t="s">
        <v>1267</v>
      </c>
      <c r="H2412" s="380" t="s">
        <v>771</v>
      </c>
      <c r="I2412" s="380" t="s">
        <v>1084</v>
      </c>
      <c r="J2412" s="380" t="s">
        <v>773</v>
      </c>
      <c r="K2412" s="381">
        <v>27550.0</v>
      </c>
      <c r="L2412" s="382">
        <v>1.0</v>
      </c>
    </row>
    <row r="2413">
      <c r="A2413" s="380" t="s">
        <v>3276</v>
      </c>
      <c r="B2413" s="380" t="str">
        <f>IFERROR(__xludf.DUMMYFUNCTION("""COMPUTED_VALUE"""),"Chaleco Operaciones Naranja 44")</f>
        <v>Chaleco Operaciones Naranja 44</v>
      </c>
      <c r="C2413" s="380" t="str">
        <f>IFERROR(__xludf.DUMMYFUNCTION("""COMPUTED_VALUE"""),"30000759")</f>
        <v>30000759</v>
      </c>
      <c r="D2413" s="380" t="s">
        <v>767</v>
      </c>
      <c r="E2413" s="380" t="s">
        <v>810</v>
      </c>
      <c r="F2413" s="380" t="s">
        <v>1089</v>
      </c>
      <c r="G2413" s="380" t="s">
        <v>1267</v>
      </c>
      <c r="H2413" s="380" t="s">
        <v>771</v>
      </c>
      <c r="I2413" s="380" t="s">
        <v>1084</v>
      </c>
      <c r="J2413" s="380" t="s">
        <v>773</v>
      </c>
      <c r="K2413" s="381">
        <v>0.0</v>
      </c>
      <c r="L2413" s="382">
        <v>1.0</v>
      </c>
    </row>
    <row r="2414">
      <c r="A2414" s="380" t="s">
        <v>3277</v>
      </c>
      <c r="B2414" s="380" t="str">
        <f>IFERROR(__xludf.DUMMYFUNCTION("""COMPUTED_VALUE"""),"Chaleco Operaciones Naranja 38")</f>
        <v>Chaleco Operaciones Naranja 38</v>
      </c>
      <c r="C2414" s="380" t="str">
        <f>IFERROR(__xludf.DUMMYFUNCTION("""COMPUTED_VALUE"""),"30000760")</f>
        <v>30000760</v>
      </c>
      <c r="D2414" s="380" t="s">
        <v>767</v>
      </c>
      <c r="E2414" s="380" t="s">
        <v>810</v>
      </c>
      <c r="F2414" s="380" t="s">
        <v>1089</v>
      </c>
      <c r="G2414" s="380" t="s">
        <v>1267</v>
      </c>
      <c r="H2414" s="380" t="s">
        <v>771</v>
      </c>
      <c r="I2414" s="380" t="s">
        <v>1084</v>
      </c>
      <c r="J2414" s="380" t="s">
        <v>773</v>
      </c>
      <c r="K2414" s="381">
        <v>27550.0</v>
      </c>
      <c r="L2414" s="382">
        <v>1.0</v>
      </c>
    </row>
    <row r="2415">
      <c r="A2415" s="380" t="s">
        <v>3278</v>
      </c>
      <c r="B2415" s="380" t="str">
        <f>IFERROR(__xludf.DUMMYFUNCTION("""COMPUTED_VALUE"""),"Chaleco Operaciones Naranja 46")</f>
        <v>Chaleco Operaciones Naranja 46</v>
      </c>
      <c r="C2415" s="380" t="str">
        <f>IFERROR(__xludf.DUMMYFUNCTION("""COMPUTED_VALUE"""),"30000761")</f>
        <v>30000761</v>
      </c>
      <c r="D2415" s="380" t="s">
        <v>767</v>
      </c>
      <c r="E2415" s="380" t="s">
        <v>810</v>
      </c>
      <c r="F2415" s="380" t="s">
        <v>1089</v>
      </c>
      <c r="G2415" s="380" t="s">
        <v>1267</v>
      </c>
      <c r="H2415" s="380" t="s">
        <v>771</v>
      </c>
      <c r="I2415" s="380" t="s">
        <v>1084</v>
      </c>
      <c r="J2415" s="380" t="s">
        <v>773</v>
      </c>
      <c r="K2415" s="381">
        <v>0.0</v>
      </c>
      <c r="L2415" s="382">
        <v>1.0</v>
      </c>
    </row>
    <row r="2416">
      <c r="A2416" s="380" t="s">
        <v>3279</v>
      </c>
      <c r="B2416" s="380" t="str">
        <f>IFERROR(__xludf.DUMMYFUNCTION("""COMPUTED_VALUE"""),"Pantalon Lino Dama Azul 14")</f>
        <v>Pantalon Lino Dama Azul 14</v>
      </c>
      <c r="C2416" s="380" t="str">
        <f>IFERROR(__xludf.DUMMYFUNCTION("""COMPUTED_VALUE"""),"30000762")</f>
        <v>30000762</v>
      </c>
      <c r="D2416" s="380" t="s">
        <v>767</v>
      </c>
      <c r="E2416" s="380" t="s">
        <v>810</v>
      </c>
      <c r="F2416" s="380" t="s">
        <v>1089</v>
      </c>
      <c r="G2416" s="380" t="s">
        <v>1267</v>
      </c>
      <c r="H2416" s="380" t="s">
        <v>771</v>
      </c>
      <c r="I2416" s="380" t="s">
        <v>1084</v>
      </c>
      <c r="J2416" s="380" t="s">
        <v>773</v>
      </c>
      <c r="K2416" s="381">
        <v>38685.0</v>
      </c>
      <c r="L2416" s="382">
        <v>1.0</v>
      </c>
    </row>
    <row r="2417">
      <c r="A2417" s="380" t="s">
        <v>3280</v>
      </c>
      <c r="B2417" s="380" t="str">
        <f>IFERROR(__xludf.DUMMYFUNCTION("""COMPUTED_VALUE"""),"Chaleco Operaciones Naranja 40")</f>
        <v>Chaleco Operaciones Naranja 40</v>
      </c>
      <c r="C2417" s="380" t="str">
        <f>IFERROR(__xludf.DUMMYFUNCTION("""COMPUTED_VALUE"""),"30000763")</f>
        <v>30000763</v>
      </c>
      <c r="D2417" s="380" t="s">
        <v>767</v>
      </c>
      <c r="E2417" s="380" t="s">
        <v>810</v>
      </c>
      <c r="F2417" s="380" t="s">
        <v>1089</v>
      </c>
      <c r="G2417" s="380" t="s">
        <v>1267</v>
      </c>
      <c r="H2417" s="380" t="s">
        <v>771</v>
      </c>
      <c r="I2417" s="380" t="s">
        <v>1084</v>
      </c>
      <c r="J2417" s="380" t="s">
        <v>773</v>
      </c>
      <c r="K2417" s="381">
        <v>27550.0</v>
      </c>
      <c r="L2417" s="382">
        <v>1.0</v>
      </c>
    </row>
    <row r="2418">
      <c r="A2418" s="380" t="s">
        <v>3281</v>
      </c>
      <c r="B2418" s="380" t="str">
        <f>IFERROR(__xludf.DUMMYFUNCTION("""COMPUTED_VALUE"""),"Chaleco Operaciones Verde 42")</f>
        <v>Chaleco Operaciones Verde 42</v>
      </c>
      <c r="C2418" s="380" t="str">
        <f>IFERROR(__xludf.DUMMYFUNCTION("""COMPUTED_VALUE"""),"30000764")</f>
        <v>30000764</v>
      </c>
      <c r="D2418" s="380" t="s">
        <v>767</v>
      </c>
      <c r="E2418" s="380" t="s">
        <v>810</v>
      </c>
      <c r="F2418" s="380" t="s">
        <v>1089</v>
      </c>
      <c r="G2418" s="380" t="s">
        <v>1267</v>
      </c>
      <c r="H2418" s="380" t="s">
        <v>771</v>
      </c>
      <c r="I2418" s="380" t="s">
        <v>1084</v>
      </c>
      <c r="J2418" s="380" t="s">
        <v>773</v>
      </c>
      <c r="K2418" s="381">
        <v>26737.0</v>
      </c>
      <c r="L2418" s="382">
        <v>1.0</v>
      </c>
    </row>
    <row r="2419">
      <c r="A2419" s="380" t="s">
        <v>3282</v>
      </c>
      <c r="B2419" s="380" t="str">
        <f>IFERROR(__xludf.DUMMYFUNCTION("""COMPUTED_VALUE"""),"Chaleco Operaciones Verde 40")</f>
        <v>Chaleco Operaciones Verde 40</v>
      </c>
      <c r="C2419" s="380" t="str">
        <f>IFERROR(__xludf.DUMMYFUNCTION("""COMPUTED_VALUE"""),"30000765")</f>
        <v>30000765</v>
      </c>
      <c r="D2419" s="380" t="s">
        <v>767</v>
      </c>
      <c r="E2419" s="380" t="s">
        <v>810</v>
      </c>
      <c r="F2419" s="380" t="s">
        <v>1089</v>
      </c>
      <c r="G2419" s="380" t="s">
        <v>1267</v>
      </c>
      <c r="H2419" s="380" t="s">
        <v>771</v>
      </c>
      <c r="I2419" s="380" t="s">
        <v>1084</v>
      </c>
      <c r="J2419" s="380" t="s">
        <v>773</v>
      </c>
      <c r="K2419" s="381">
        <v>0.0</v>
      </c>
      <c r="L2419" s="382">
        <v>1.0</v>
      </c>
    </row>
    <row r="2420">
      <c r="A2420" s="380" t="s">
        <v>3283</v>
      </c>
      <c r="B2420" s="380" t="str">
        <f>IFERROR(__xludf.DUMMYFUNCTION("""COMPUTED_VALUE"""),"Chaleco Operaciones Verde 46")</f>
        <v>Chaleco Operaciones Verde 46</v>
      </c>
      <c r="C2420" s="380" t="str">
        <f>IFERROR(__xludf.DUMMYFUNCTION("""COMPUTED_VALUE"""),"30000766")</f>
        <v>30000766</v>
      </c>
      <c r="D2420" s="380" t="s">
        <v>767</v>
      </c>
      <c r="E2420" s="380" t="s">
        <v>810</v>
      </c>
      <c r="F2420" s="380" t="s">
        <v>1089</v>
      </c>
      <c r="G2420" s="380" t="s">
        <v>1267</v>
      </c>
      <c r="H2420" s="380" t="s">
        <v>771</v>
      </c>
      <c r="I2420" s="380" t="s">
        <v>1084</v>
      </c>
      <c r="J2420" s="380" t="s">
        <v>773</v>
      </c>
      <c r="K2420" s="381">
        <v>0.0</v>
      </c>
      <c r="L2420" s="382">
        <v>1.0</v>
      </c>
    </row>
    <row r="2421">
      <c r="A2421" s="380" t="s">
        <v>3284</v>
      </c>
      <c r="B2421" s="380" t="str">
        <f>IFERROR(__xludf.DUMMYFUNCTION("""COMPUTED_VALUE"""),"Manta Termica")</f>
        <v>Manta Termica</v>
      </c>
      <c r="C2421" s="380" t="str">
        <f>IFERROR(__xludf.DUMMYFUNCTION("""COMPUTED_VALUE"""),"30000767")</f>
        <v>30000767</v>
      </c>
      <c r="D2421" s="380" t="s">
        <v>767</v>
      </c>
      <c r="E2421" s="380" t="s">
        <v>810</v>
      </c>
      <c r="F2421" s="380" t="s">
        <v>811</v>
      </c>
      <c r="G2421" s="380" t="s">
        <v>1267</v>
      </c>
      <c r="H2421" s="380" t="s">
        <v>771</v>
      </c>
      <c r="I2421" s="380" t="s">
        <v>812</v>
      </c>
      <c r="J2421" s="380" t="s">
        <v>773</v>
      </c>
      <c r="K2421" s="381">
        <v>0.0</v>
      </c>
      <c r="L2421" s="382">
        <v>1.0</v>
      </c>
    </row>
    <row r="2422">
      <c r="A2422" s="380" t="s">
        <v>3285</v>
      </c>
      <c r="B2422" s="380" t="str">
        <f>IFERROR(__xludf.DUMMYFUNCTION("""COMPUTED_VALUE"""),"Forro Para Extintor")</f>
        <v>Forro Para Extintor</v>
      </c>
      <c r="C2422" s="380" t="str">
        <f>IFERROR(__xludf.DUMMYFUNCTION("""COMPUTED_VALUE"""),"30000768")</f>
        <v>30000768</v>
      </c>
      <c r="D2422" s="380" t="s">
        <v>767</v>
      </c>
      <c r="E2422" s="380" t="s">
        <v>810</v>
      </c>
      <c r="F2422" s="380" t="s">
        <v>811</v>
      </c>
      <c r="G2422" s="380" t="s">
        <v>1267</v>
      </c>
      <c r="H2422" s="380" t="s">
        <v>771</v>
      </c>
      <c r="I2422" s="380" t="s">
        <v>812</v>
      </c>
      <c r="J2422" s="380" t="s">
        <v>773</v>
      </c>
      <c r="K2422" s="381">
        <v>0.0</v>
      </c>
      <c r="L2422" s="382">
        <v>1.0</v>
      </c>
    </row>
    <row r="2423">
      <c r="A2423" s="380" t="s">
        <v>3286</v>
      </c>
      <c r="B2423" s="380" t="str">
        <f>IFERROR(__xludf.DUMMYFUNCTION("""COMPUTED_VALUE"""),"Gasa Esteril 7.5*7.5 Cm 2 Unid")</f>
        <v>Gasa Esteril 7.5*7.5 Cm 2 Unid</v>
      </c>
      <c r="C2423" s="380" t="str">
        <f>IFERROR(__xludf.DUMMYFUNCTION("""COMPUTED_VALUE"""),"30000769")</f>
        <v>30000769</v>
      </c>
      <c r="D2423" s="380" t="s">
        <v>767</v>
      </c>
      <c r="E2423" s="380" t="s">
        <v>810</v>
      </c>
      <c r="F2423" s="380" t="s">
        <v>811</v>
      </c>
      <c r="G2423" s="380" t="s">
        <v>1267</v>
      </c>
      <c r="H2423" s="380" t="s">
        <v>771</v>
      </c>
      <c r="I2423" s="380" t="s">
        <v>812</v>
      </c>
      <c r="J2423" s="380" t="s">
        <v>773</v>
      </c>
      <c r="K2423" s="381">
        <v>0.0</v>
      </c>
      <c r="L2423" s="382">
        <v>1.0</v>
      </c>
    </row>
    <row r="2424">
      <c r="A2424" s="380" t="s">
        <v>3287</v>
      </c>
      <c r="B2424" s="380" t="str">
        <f>IFERROR(__xludf.DUMMYFUNCTION("""COMPUTED_VALUE"""),"Camisa Dacron Vigilancia Ml Logo 40")</f>
        <v>Camisa Dacron Vigilancia Ml Logo 40</v>
      </c>
      <c r="C2424" s="380" t="str">
        <f>IFERROR(__xludf.DUMMYFUNCTION("""COMPUTED_VALUE"""),"30000770")</f>
        <v>30000770</v>
      </c>
      <c r="D2424" s="380" t="s">
        <v>767</v>
      </c>
      <c r="E2424" s="380" t="s">
        <v>810</v>
      </c>
      <c r="F2424" s="380" t="s">
        <v>1089</v>
      </c>
      <c r="G2424" s="380" t="s">
        <v>1267</v>
      </c>
      <c r="H2424" s="380" t="s">
        <v>771</v>
      </c>
      <c r="I2424" s="380" t="s">
        <v>1084</v>
      </c>
      <c r="J2424" s="380" t="s">
        <v>773</v>
      </c>
      <c r="K2424" s="381">
        <v>35303.0</v>
      </c>
      <c r="L2424" s="382">
        <v>1.0</v>
      </c>
    </row>
    <row r="2425">
      <c r="A2425" s="380" t="s">
        <v>3288</v>
      </c>
      <c r="B2425" s="380" t="str">
        <f>IFERROR(__xludf.DUMMYFUNCTION("""COMPUTED_VALUE"""),"Camisa Dacron Vigilancia Ml Logo 44")</f>
        <v>Camisa Dacron Vigilancia Ml Logo 44</v>
      </c>
      <c r="C2425" s="380" t="str">
        <f>IFERROR(__xludf.DUMMYFUNCTION("""COMPUTED_VALUE"""),"30000771")</f>
        <v>30000771</v>
      </c>
      <c r="D2425" s="380" t="s">
        <v>767</v>
      </c>
      <c r="E2425" s="380" t="s">
        <v>810</v>
      </c>
      <c r="F2425" s="380" t="s">
        <v>1089</v>
      </c>
      <c r="G2425" s="380" t="s">
        <v>1267</v>
      </c>
      <c r="H2425" s="380" t="s">
        <v>771</v>
      </c>
      <c r="I2425" s="380" t="s">
        <v>1084</v>
      </c>
      <c r="J2425" s="380" t="s">
        <v>773</v>
      </c>
      <c r="K2425" s="381">
        <v>35303.0</v>
      </c>
      <c r="L2425" s="382">
        <v>1.0</v>
      </c>
    </row>
    <row r="2426">
      <c r="A2426" s="380" t="s">
        <v>3289</v>
      </c>
      <c r="B2426" s="380" t="str">
        <f>IFERROR(__xludf.DUMMYFUNCTION("""COMPUTED_VALUE"""),"Guantes Tipo Ingeniero Reforzado")</f>
        <v>Guantes Tipo Ingeniero Reforzado</v>
      </c>
      <c r="C2426" s="380" t="str">
        <f>IFERROR(__xludf.DUMMYFUNCTION("""COMPUTED_VALUE"""),"30000772")</f>
        <v>30000772</v>
      </c>
      <c r="D2426" s="380" t="s">
        <v>767</v>
      </c>
      <c r="E2426" s="380" t="s">
        <v>810</v>
      </c>
      <c r="F2426" s="380" t="s">
        <v>1083</v>
      </c>
      <c r="G2426" s="380" t="s">
        <v>1267</v>
      </c>
      <c r="H2426" s="380" t="s">
        <v>771</v>
      </c>
      <c r="I2426" s="380" t="s">
        <v>1084</v>
      </c>
      <c r="J2426" s="380" t="s">
        <v>773</v>
      </c>
      <c r="K2426" s="381">
        <v>7123.0</v>
      </c>
      <c r="L2426" s="382">
        <v>1.0</v>
      </c>
    </row>
    <row r="2427">
      <c r="A2427" s="380" t="s">
        <v>3290</v>
      </c>
      <c r="B2427" s="380" t="str">
        <f>IFERROR(__xludf.DUMMYFUNCTION("""COMPUTED_VALUE"""),"Camisa Dacron Vigilancia Ml Logo 48")</f>
        <v>Camisa Dacron Vigilancia Ml Logo 48</v>
      </c>
      <c r="C2427" s="380" t="str">
        <f>IFERROR(__xludf.DUMMYFUNCTION("""COMPUTED_VALUE"""),"30000773")</f>
        <v>30000773</v>
      </c>
      <c r="D2427" s="380" t="s">
        <v>767</v>
      </c>
      <c r="E2427" s="380" t="s">
        <v>810</v>
      </c>
      <c r="F2427" s="380" t="s">
        <v>1089</v>
      </c>
      <c r="G2427" s="380" t="s">
        <v>1267</v>
      </c>
      <c r="H2427" s="380" t="s">
        <v>771</v>
      </c>
      <c r="I2427" s="380" t="s">
        <v>1084</v>
      </c>
      <c r="J2427" s="380" t="s">
        <v>773</v>
      </c>
      <c r="K2427" s="381">
        <v>0.0</v>
      </c>
      <c r="L2427" s="382">
        <v>1.0</v>
      </c>
    </row>
    <row r="2428">
      <c r="A2428" s="380" t="s">
        <v>3291</v>
      </c>
      <c r="B2428" s="380" t="str">
        <f>IFERROR(__xludf.DUMMYFUNCTION("""COMPUTED_VALUE"""),"Camisa Dacron Vigilancia Ml Logo 52")</f>
        <v>Camisa Dacron Vigilancia Ml Logo 52</v>
      </c>
      <c r="C2428" s="380" t="str">
        <f>IFERROR(__xludf.DUMMYFUNCTION("""COMPUTED_VALUE"""),"30000774")</f>
        <v>30000774</v>
      </c>
      <c r="D2428" s="380" t="s">
        <v>767</v>
      </c>
      <c r="E2428" s="380" t="s">
        <v>810</v>
      </c>
      <c r="F2428" s="380" t="s">
        <v>1089</v>
      </c>
      <c r="G2428" s="380" t="s">
        <v>1267</v>
      </c>
      <c r="H2428" s="380" t="s">
        <v>771</v>
      </c>
      <c r="I2428" s="380" t="s">
        <v>1084</v>
      </c>
      <c r="J2428" s="380" t="s">
        <v>773</v>
      </c>
      <c r="K2428" s="381">
        <v>35303.0</v>
      </c>
      <c r="L2428" s="382">
        <v>1.0</v>
      </c>
    </row>
    <row r="2429">
      <c r="A2429" s="380" t="s">
        <v>3292</v>
      </c>
      <c r="B2429" s="380" t="str">
        <f>IFERROR(__xludf.DUMMYFUNCTION("""COMPUTED_VALUE"""),"Camisa Dacron Vigilancia Ml Logo 36")</f>
        <v>Camisa Dacron Vigilancia Ml Logo 36</v>
      </c>
      <c r="C2429" s="380" t="str">
        <f>IFERROR(__xludf.DUMMYFUNCTION("""COMPUTED_VALUE"""),"30000775")</f>
        <v>30000775</v>
      </c>
      <c r="D2429" s="380" t="s">
        <v>767</v>
      </c>
      <c r="E2429" s="380" t="s">
        <v>810</v>
      </c>
      <c r="F2429" s="380" t="s">
        <v>1089</v>
      </c>
      <c r="G2429" s="380" t="s">
        <v>1267</v>
      </c>
      <c r="H2429" s="380" t="s">
        <v>771</v>
      </c>
      <c r="I2429" s="380" t="s">
        <v>1084</v>
      </c>
      <c r="J2429" s="380" t="s">
        <v>773</v>
      </c>
      <c r="K2429" s="381">
        <v>0.0</v>
      </c>
      <c r="L2429" s="382">
        <v>1.0</v>
      </c>
    </row>
    <row r="2430">
      <c r="A2430" s="380" t="s">
        <v>3293</v>
      </c>
      <c r="B2430" s="380" t="str">
        <f>IFERROR(__xludf.DUMMYFUNCTION("""COMPUTED_VALUE"""),"Camisa Dacron Vigilancia Ml Logo 42")</f>
        <v>Camisa Dacron Vigilancia Ml Logo 42</v>
      </c>
      <c r="C2430" s="380" t="str">
        <f>IFERROR(__xludf.DUMMYFUNCTION("""COMPUTED_VALUE"""),"30000776")</f>
        <v>30000776</v>
      </c>
      <c r="D2430" s="380" t="s">
        <v>767</v>
      </c>
      <c r="E2430" s="380" t="s">
        <v>810</v>
      </c>
      <c r="F2430" s="380" t="s">
        <v>1089</v>
      </c>
      <c r="G2430" s="380" t="s">
        <v>1267</v>
      </c>
      <c r="H2430" s="380" t="s">
        <v>771</v>
      </c>
      <c r="I2430" s="380" t="s">
        <v>1084</v>
      </c>
      <c r="J2430" s="380" t="s">
        <v>773</v>
      </c>
      <c r="K2430" s="381">
        <v>35303.0</v>
      </c>
      <c r="L2430" s="382">
        <v>1.0</v>
      </c>
    </row>
    <row r="2431">
      <c r="A2431" s="380" t="s">
        <v>3294</v>
      </c>
      <c r="B2431" s="380" t="str">
        <f>IFERROR(__xludf.DUMMYFUNCTION("""COMPUTED_VALUE"""),"Camisa Dacron Vigilancia Ml Logo 46")</f>
        <v>Camisa Dacron Vigilancia Ml Logo 46</v>
      </c>
      <c r="C2431" s="380" t="str">
        <f>IFERROR(__xludf.DUMMYFUNCTION("""COMPUTED_VALUE"""),"30000777")</f>
        <v>30000777</v>
      </c>
      <c r="D2431" s="380" t="s">
        <v>767</v>
      </c>
      <c r="E2431" s="380" t="s">
        <v>810</v>
      </c>
      <c r="F2431" s="380" t="s">
        <v>1089</v>
      </c>
      <c r="G2431" s="380" t="s">
        <v>1267</v>
      </c>
      <c r="H2431" s="380" t="s">
        <v>771</v>
      </c>
      <c r="I2431" s="380" t="s">
        <v>1084</v>
      </c>
      <c r="J2431" s="380" t="s">
        <v>773</v>
      </c>
      <c r="K2431" s="381">
        <v>35303.0</v>
      </c>
      <c r="L2431" s="382">
        <v>1.0</v>
      </c>
    </row>
    <row r="2432">
      <c r="A2432" s="380" t="s">
        <v>3295</v>
      </c>
      <c r="B2432" s="380" t="str">
        <f>IFERROR(__xludf.DUMMYFUNCTION("""COMPUTED_VALUE"""),"Camisa Dacron Vigilancia Ml Logo 34")</f>
        <v>Camisa Dacron Vigilancia Ml Logo 34</v>
      </c>
      <c r="C2432" s="380" t="str">
        <f>IFERROR(__xludf.DUMMYFUNCTION("""COMPUTED_VALUE"""),"30000778")</f>
        <v>30000778</v>
      </c>
      <c r="D2432" s="380" t="s">
        <v>767</v>
      </c>
      <c r="E2432" s="380" t="s">
        <v>810</v>
      </c>
      <c r="F2432" s="380" t="s">
        <v>1089</v>
      </c>
      <c r="G2432" s="380" t="s">
        <v>1267</v>
      </c>
      <c r="H2432" s="380" t="s">
        <v>771</v>
      </c>
      <c r="I2432" s="380" t="s">
        <v>1084</v>
      </c>
      <c r="J2432" s="380" t="s">
        <v>773</v>
      </c>
      <c r="K2432" s="381">
        <v>35303.0</v>
      </c>
      <c r="L2432" s="382">
        <v>1.0</v>
      </c>
    </row>
    <row r="2433">
      <c r="A2433" s="380" t="s">
        <v>3296</v>
      </c>
      <c r="B2433" s="380" t="str">
        <f>IFERROR(__xludf.DUMMYFUNCTION("""COMPUTED_VALUE"""),"Camisa Dacron Vigilancia Ml Logo 38")</f>
        <v>Camisa Dacron Vigilancia Ml Logo 38</v>
      </c>
      <c r="C2433" s="380" t="str">
        <f>IFERROR(__xludf.DUMMYFUNCTION("""COMPUTED_VALUE"""),"30000779")</f>
        <v>30000779</v>
      </c>
      <c r="D2433" s="380" t="s">
        <v>767</v>
      </c>
      <c r="E2433" s="380" t="s">
        <v>810</v>
      </c>
      <c r="F2433" s="380" t="s">
        <v>1089</v>
      </c>
      <c r="G2433" s="380" t="s">
        <v>1267</v>
      </c>
      <c r="H2433" s="380" t="s">
        <v>771</v>
      </c>
      <c r="I2433" s="380" t="s">
        <v>1084</v>
      </c>
      <c r="J2433" s="380" t="s">
        <v>773</v>
      </c>
      <c r="K2433" s="381">
        <v>35303.0</v>
      </c>
      <c r="L2433" s="382">
        <v>1.0</v>
      </c>
    </row>
    <row r="2434">
      <c r="A2434" s="380" t="s">
        <v>3297</v>
      </c>
      <c r="B2434" s="380" t="str">
        <f>IFERROR(__xludf.DUMMYFUNCTION("""COMPUTED_VALUE"""),"Camisa Dacron Vigilancia Ml Logo 50")</f>
        <v>Camisa Dacron Vigilancia Ml Logo 50</v>
      </c>
      <c r="C2434" s="380" t="str">
        <f>IFERROR(__xludf.DUMMYFUNCTION("""COMPUTED_VALUE"""),"30000780")</f>
        <v>30000780</v>
      </c>
      <c r="D2434" s="380" t="s">
        <v>767</v>
      </c>
      <c r="E2434" s="380" t="s">
        <v>810</v>
      </c>
      <c r="F2434" s="380" t="s">
        <v>1089</v>
      </c>
      <c r="G2434" s="380" t="s">
        <v>1267</v>
      </c>
      <c r="H2434" s="380" t="s">
        <v>771</v>
      </c>
      <c r="I2434" s="380" t="s">
        <v>1084</v>
      </c>
      <c r="J2434" s="380" t="s">
        <v>773</v>
      </c>
      <c r="K2434" s="381">
        <v>0.0</v>
      </c>
      <c r="L2434" s="382">
        <v>1.0</v>
      </c>
    </row>
    <row r="2435">
      <c r="A2435" s="380" t="s">
        <v>3298</v>
      </c>
      <c r="B2435" s="380" t="str">
        <f>IFERROR(__xludf.DUMMYFUNCTION("""COMPUTED_VALUE"""),"Implementos Botiquin Terminal")</f>
        <v>Implementos Botiquin Terminal</v>
      </c>
      <c r="C2435" s="380" t="str">
        <f>IFERROR(__xludf.DUMMYFUNCTION("""COMPUTED_VALUE"""),"30000781")</f>
        <v>30000781</v>
      </c>
      <c r="D2435" s="380" t="s">
        <v>767</v>
      </c>
      <c r="E2435" s="380" t="s">
        <v>810</v>
      </c>
      <c r="F2435" s="380" t="s">
        <v>811</v>
      </c>
      <c r="G2435" s="380" t="s">
        <v>1267</v>
      </c>
      <c r="H2435" s="380" t="s">
        <v>771</v>
      </c>
      <c r="I2435" s="380" t="s">
        <v>812</v>
      </c>
      <c r="J2435" s="380" t="s">
        <v>773</v>
      </c>
      <c r="K2435" s="381">
        <v>0.0</v>
      </c>
      <c r="L2435" s="382">
        <v>1.0</v>
      </c>
    </row>
    <row r="2436">
      <c r="A2436" s="380" t="s">
        <v>3299</v>
      </c>
      <c r="B2436" s="380" t="str">
        <f>IFERROR(__xludf.DUMMYFUNCTION("""COMPUTED_VALUE"""),"Tapon Auditivo 1515 De Cordon")</f>
        <v>Tapon Auditivo 1515 De Cordon</v>
      </c>
      <c r="C2436" s="380" t="str">
        <f>IFERROR(__xludf.DUMMYFUNCTION("""COMPUTED_VALUE"""),"30000782")</f>
        <v>30000782</v>
      </c>
      <c r="D2436" s="380" t="s">
        <v>767</v>
      </c>
      <c r="E2436" s="380" t="s">
        <v>810</v>
      </c>
      <c r="F2436" s="380" t="s">
        <v>1083</v>
      </c>
      <c r="G2436" s="380" t="s">
        <v>1267</v>
      </c>
      <c r="H2436" s="380" t="s">
        <v>771</v>
      </c>
      <c r="I2436" s="380" t="s">
        <v>1084</v>
      </c>
      <c r="J2436" s="380" t="s">
        <v>773</v>
      </c>
      <c r="K2436" s="381">
        <v>1713.0</v>
      </c>
      <c r="L2436" s="382">
        <v>1.0</v>
      </c>
    </row>
    <row r="2437">
      <c r="A2437" s="380" t="s">
        <v>3300</v>
      </c>
      <c r="B2437" s="380" t="str">
        <f>IFERROR(__xludf.DUMMYFUNCTION("""COMPUTED_VALUE"""),"Cordon Porta Carnets Abrazadera Metalica")</f>
        <v>Cordon Porta Carnets Abrazadera Metalica</v>
      </c>
      <c r="C2437" s="380" t="str">
        <f>IFERROR(__xludf.DUMMYFUNCTION("""COMPUTED_VALUE"""),"30000783")</f>
        <v>30000783</v>
      </c>
      <c r="D2437" s="380" t="s">
        <v>767</v>
      </c>
      <c r="E2437" s="380" t="s">
        <v>810</v>
      </c>
      <c r="F2437" s="380" t="s">
        <v>1089</v>
      </c>
      <c r="G2437" s="380" t="s">
        <v>1267</v>
      </c>
      <c r="H2437" s="380" t="s">
        <v>771</v>
      </c>
      <c r="I2437" s="380" t="s">
        <v>1084</v>
      </c>
      <c r="J2437" s="380" t="s">
        <v>773</v>
      </c>
      <c r="K2437" s="381">
        <v>952.0</v>
      </c>
      <c r="L2437" s="382">
        <v>1.0</v>
      </c>
    </row>
    <row r="2438">
      <c r="A2438" s="380" t="s">
        <v>3301</v>
      </c>
      <c r="B2438" s="380" t="str">
        <f>IFERROR(__xludf.DUMMYFUNCTION("""COMPUTED_VALUE"""),"Gafas Solda Autogen Lentes Correc Visual")</f>
        <v>Gafas Solda Autogen Lentes Correc Visual</v>
      </c>
      <c r="C2438" s="380" t="str">
        <f>IFERROR(__xludf.DUMMYFUNCTION("""COMPUTED_VALUE"""),"30000784")</f>
        <v>30000784</v>
      </c>
      <c r="D2438" s="380" t="s">
        <v>767</v>
      </c>
      <c r="E2438" s="380" t="s">
        <v>810</v>
      </c>
      <c r="F2438" s="380" t="s">
        <v>1083</v>
      </c>
      <c r="G2438" s="380" t="s">
        <v>1267</v>
      </c>
      <c r="H2438" s="380" t="s">
        <v>771</v>
      </c>
      <c r="I2438" s="380" t="s">
        <v>1084</v>
      </c>
      <c r="J2438" s="380" t="s">
        <v>773</v>
      </c>
      <c r="K2438" s="381">
        <v>29433.0</v>
      </c>
      <c r="L2438" s="382">
        <v>1.0</v>
      </c>
    </row>
    <row r="2439">
      <c r="A2439" s="380" t="s">
        <v>3302</v>
      </c>
      <c r="B2439" s="380" t="str">
        <f>IFERROR(__xludf.DUMMYFUNCTION("""COMPUTED_VALUE"""),"Visor Acetato Careta Electronica")</f>
        <v>Visor Acetato Careta Electronica</v>
      </c>
      <c r="C2439" s="380" t="str">
        <f>IFERROR(__xludf.DUMMYFUNCTION("""COMPUTED_VALUE"""),"30000785")</f>
        <v>30000785</v>
      </c>
      <c r="D2439" s="380" t="s">
        <v>767</v>
      </c>
      <c r="E2439" s="380" t="s">
        <v>810</v>
      </c>
      <c r="F2439" s="380" t="s">
        <v>1083</v>
      </c>
      <c r="G2439" s="380" t="s">
        <v>1267</v>
      </c>
      <c r="H2439" s="380" t="s">
        <v>771</v>
      </c>
      <c r="I2439" s="380" t="s">
        <v>1084</v>
      </c>
      <c r="J2439" s="380" t="s">
        <v>773</v>
      </c>
      <c r="K2439" s="381">
        <v>0.0</v>
      </c>
      <c r="L2439" s="382">
        <v>1.0</v>
      </c>
    </row>
    <row r="2440">
      <c r="A2440" s="380" t="s">
        <v>3303</v>
      </c>
      <c r="B2440" s="380" t="str">
        <f>IFERROR(__xludf.DUMMYFUNCTION("""COMPUTED_VALUE"""),"Arnes Cuerpo Completo En X 1171253 Arseg")</f>
        <v>Arnes Cuerpo Completo En X 1171253 Arseg</v>
      </c>
      <c r="C2440" s="380" t="str">
        <f>IFERROR(__xludf.DUMMYFUNCTION("""COMPUTED_VALUE"""),"30000786")</f>
        <v>30000786</v>
      </c>
      <c r="D2440" s="380" t="s">
        <v>767</v>
      </c>
      <c r="E2440" s="380" t="s">
        <v>810</v>
      </c>
      <c r="F2440" s="380" t="s">
        <v>1083</v>
      </c>
      <c r="G2440" s="380" t="s">
        <v>1267</v>
      </c>
      <c r="H2440" s="380" t="s">
        <v>771</v>
      </c>
      <c r="I2440" s="380" t="s">
        <v>1084</v>
      </c>
      <c r="J2440" s="380" t="s">
        <v>773</v>
      </c>
      <c r="K2440" s="381">
        <v>0.0</v>
      </c>
      <c r="L2440" s="382">
        <v>1.0</v>
      </c>
    </row>
    <row r="2441">
      <c r="A2441" s="380" t="s">
        <v>3304</v>
      </c>
      <c r="B2441" s="380" t="str">
        <f>IFERROR(__xludf.DUMMYFUNCTION("""COMPUTED_VALUE"""),"Eslinga Absorvedor Gradu 1228037 Arseg")</f>
        <v>Eslinga Absorvedor Gradu 1228037 Arseg</v>
      </c>
      <c r="C2441" s="380" t="str">
        <f>IFERROR(__xludf.DUMMYFUNCTION("""COMPUTED_VALUE"""),"30000787")</f>
        <v>30000787</v>
      </c>
      <c r="D2441" s="380" t="s">
        <v>767</v>
      </c>
      <c r="E2441" s="380" t="s">
        <v>810</v>
      </c>
      <c r="F2441" s="380" t="s">
        <v>1083</v>
      </c>
      <c r="G2441" s="380" t="s">
        <v>1267</v>
      </c>
      <c r="H2441" s="380" t="s">
        <v>771</v>
      </c>
      <c r="I2441" s="380" t="s">
        <v>1084</v>
      </c>
      <c r="J2441" s="380" t="s">
        <v>773</v>
      </c>
      <c r="K2441" s="381">
        <v>0.0</v>
      </c>
      <c r="L2441" s="382">
        <v>1.0</v>
      </c>
    </row>
    <row r="2442">
      <c r="A2442" s="380" t="s">
        <v>3305</v>
      </c>
      <c r="B2442" s="380" t="str">
        <f>IFERROR(__xludf.DUMMYFUNCTION("""COMPUTED_VALUE"""),"Eslinga De Posicionamiento 1231016 Arseg")</f>
        <v>Eslinga De Posicionamiento 1231016 Arseg</v>
      </c>
      <c r="C2442" s="380" t="str">
        <f>IFERROR(__xludf.DUMMYFUNCTION("""COMPUTED_VALUE"""),"30000788")</f>
        <v>30000788</v>
      </c>
      <c r="D2442" s="380" t="s">
        <v>767</v>
      </c>
      <c r="E2442" s="380" t="s">
        <v>810</v>
      </c>
      <c r="F2442" s="380" t="s">
        <v>1083</v>
      </c>
      <c r="G2442" s="380" t="s">
        <v>1267</v>
      </c>
      <c r="H2442" s="380" t="s">
        <v>771</v>
      </c>
      <c r="I2442" s="380" t="s">
        <v>1084</v>
      </c>
      <c r="J2442" s="380" t="s">
        <v>773</v>
      </c>
      <c r="K2442" s="381">
        <v>0.0</v>
      </c>
      <c r="L2442" s="382">
        <v>1.0</v>
      </c>
    </row>
    <row r="2443">
      <c r="A2443" s="380" t="s">
        <v>3306</v>
      </c>
      <c r="B2443" s="380" t="str">
        <f>IFERROR(__xludf.DUMMYFUNCTION("""COMPUTED_VALUE"""),"Alcohol Antiseptico 70% X1000cc")</f>
        <v>Alcohol Antiseptico 70% X1000cc</v>
      </c>
      <c r="C2443" s="380" t="str">
        <f>IFERROR(__xludf.DUMMYFUNCTION("""COMPUTED_VALUE"""),"30000789")</f>
        <v>30000789</v>
      </c>
      <c r="D2443" s="380" t="s">
        <v>767</v>
      </c>
      <c r="E2443" s="380" t="s">
        <v>810</v>
      </c>
      <c r="F2443" s="380" t="s">
        <v>1083</v>
      </c>
      <c r="G2443" s="380" t="s">
        <v>1267</v>
      </c>
      <c r="H2443" s="380" t="s">
        <v>771</v>
      </c>
      <c r="I2443" s="380" t="s">
        <v>1084</v>
      </c>
      <c r="J2443" s="380" t="s">
        <v>773</v>
      </c>
      <c r="K2443" s="381">
        <v>0.0</v>
      </c>
      <c r="L2443" s="382">
        <v>1.0</v>
      </c>
    </row>
    <row r="2444">
      <c r="A2444" s="380" t="s">
        <v>3307</v>
      </c>
      <c r="B2444" s="380" t="str">
        <f>IFERROR(__xludf.DUMMYFUNCTION("""COMPUTED_VALUE"""),"Careta Antifluidos")</f>
        <v>Careta Antifluidos</v>
      </c>
      <c r="C2444" s="380" t="str">
        <f>IFERROR(__xludf.DUMMYFUNCTION("""COMPUTED_VALUE"""),"30000790")</f>
        <v>30000790</v>
      </c>
      <c r="D2444" s="380" t="s">
        <v>767</v>
      </c>
      <c r="E2444" s="380" t="s">
        <v>810</v>
      </c>
      <c r="F2444" s="380" t="s">
        <v>1083</v>
      </c>
      <c r="G2444" s="380" t="s">
        <v>1267</v>
      </c>
      <c r="H2444" s="380" t="s">
        <v>771</v>
      </c>
      <c r="I2444" s="380" t="s">
        <v>1084</v>
      </c>
      <c r="J2444" s="380" t="s">
        <v>773</v>
      </c>
      <c r="K2444" s="381">
        <v>8423.0</v>
      </c>
      <c r="L2444" s="382">
        <v>1.0</v>
      </c>
    </row>
    <row r="2445">
      <c r="A2445" s="380" t="s">
        <v>3308</v>
      </c>
      <c r="B2445" s="380" t="str">
        <f>IFERROR(__xludf.DUMMYFUNCTION("""COMPUTED_VALUE"""),"Chaleco Red De Aliados Coordinadora T40")</f>
        <v>Chaleco Red De Aliados Coordinadora T40</v>
      </c>
      <c r="C2445" s="380" t="str">
        <f>IFERROR(__xludf.DUMMYFUNCTION("""COMPUTED_VALUE"""),"30000791")</f>
        <v>30000791</v>
      </c>
      <c r="D2445" s="380" t="s">
        <v>767</v>
      </c>
      <c r="E2445" s="380" t="s">
        <v>810</v>
      </c>
      <c r="F2445" s="380" t="s">
        <v>1271</v>
      </c>
      <c r="G2445" s="380" t="s">
        <v>1267</v>
      </c>
      <c r="H2445" s="380" t="s">
        <v>771</v>
      </c>
      <c r="I2445" s="380" t="s">
        <v>1084</v>
      </c>
      <c r="J2445" s="380" t="s">
        <v>773</v>
      </c>
      <c r="K2445" s="381">
        <v>30481.0</v>
      </c>
      <c r="L2445" s="382">
        <v>1.0</v>
      </c>
    </row>
    <row r="2446">
      <c r="A2446" s="380" t="s">
        <v>3309</v>
      </c>
      <c r="B2446" s="380" t="str">
        <f>IFERROR(__xludf.DUMMYFUNCTION("""COMPUTED_VALUE"""),"Chaleco Red De Aliados Coordinadora T42")</f>
        <v>Chaleco Red De Aliados Coordinadora T42</v>
      </c>
      <c r="C2446" s="380" t="str">
        <f>IFERROR(__xludf.DUMMYFUNCTION("""COMPUTED_VALUE"""),"30000792")</f>
        <v>30000792</v>
      </c>
      <c r="D2446" s="380" t="s">
        <v>767</v>
      </c>
      <c r="E2446" s="380" t="s">
        <v>810</v>
      </c>
      <c r="F2446" s="380" t="s">
        <v>1271</v>
      </c>
      <c r="G2446" s="380" t="s">
        <v>1267</v>
      </c>
      <c r="H2446" s="380" t="s">
        <v>771</v>
      </c>
      <c r="I2446" s="380" t="s">
        <v>1084</v>
      </c>
      <c r="J2446" s="380" t="s">
        <v>773</v>
      </c>
      <c r="K2446" s="381">
        <v>30481.0</v>
      </c>
      <c r="L2446" s="382">
        <v>1.0</v>
      </c>
    </row>
    <row r="2447">
      <c r="A2447" s="380" t="s">
        <v>3310</v>
      </c>
      <c r="B2447" s="380" t="str">
        <f>IFERROR(__xludf.DUMMYFUNCTION("""COMPUTED_VALUE"""),"Estuche Botiquin Base 21x26")</f>
        <v>Estuche Botiquin Base 21x26</v>
      </c>
      <c r="C2447" s="380" t="str">
        <f>IFERROR(__xludf.DUMMYFUNCTION("""COMPUTED_VALUE"""),"30000793")</f>
        <v>30000793</v>
      </c>
      <c r="D2447" s="380" t="s">
        <v>767</v>
      </c>
      <c r="E2447" s="380" t="s">
        <v>810</v>
      </c>
      <c r="F2447" s="380" t="s">
        <v>811</v>
      </c>
      <c r="G2447" s="380" t="s">
        <v>1267</v>
      </c>
      <c r="H2447" s="380" t="s">
        <v>771</v>
      </c>
      <c r="I2447" s="380" t="s">
        <v>812</v>
      </c>
      <c r="J2447" s="380" t="s">
        <v>773</v>
      </c>
      <c r="K2447" s="381">
        <v>29764.0</v>
      </c>
      <c r="L2447" s="382">
        <v>1.0</v>
      </c>
    </row>
    <row r="2448">
      <c r="A2448" s="380" t="s">
        <v>3311</v>
      </c>
      <c r="B2448" s="380" t="str">
        <f>IFERROR(__xludf.DUMMYFUNCTION("""COMPUTED_VALUE"""),"Chaleco Red De Aliados Coordinadora T44")</f>
        <v>Chaleco Red De Aliados Coordinadora T44</v>
      </c>
      <c r="C2448" s="380" t="str">
        <f>IFERROR(__xludf.DUMMYFUNCTION("""COMPUTED_VALUE"""),"30000794")</f>
        <v>30000794</v>
      </c>
      <c r="D2448" s="380" t="s">
        <v>767</v>
      </c>
      <c r="E2448" s="380" t="s">
        <v>810</v>
      </c>
      <c r="F2448" s="380" t="s">
        <v>1271</v>
      </c>
      <c r="G2448" s="380" t="s">
        <v>1267</v>
      </c>
      <c r="H2448" s="380" t="s">
        <v>771</v>
      </c>
      <c r="I2448" s="380" t="s">
        <v>1084</v>
      </c>
      <c r="J2448" s="380" t="s">
        <v>773</v>
      </c>
      <c r="K2448" s="381">
        <v>0.0</v>
      </c>
      <c r="L2448" s="382">
        <v>1.0</v>
      </c>
    </row>
    <row r="2449">
      <c r="A2449" s="380" t="s">
        <v>3312</v>
      </c>
      <c r="B2449" s="380" t="str">
        <f>IFERROR(__xludf.DUMMYFUNCTION("""COMPUTED_VALUE"""),"Traje Antifluidos Covid - 19 T40")</f>
        <v>Traje Antifluidos Covid - 19 T40</v>
      </c>
      <c r="C2449" s="380" t="str">
        <f>IFERROR(__xludf.DUMMYFUNCTION("""COMPUTED_VALUE"""),"30000795")</f>
        <v>30000795</v>
      </c>
      <c r="D2449" s="380" t="s">
        <v>767</v>
      </c>
      <c r="E2449" s="380" t="s">
        <v>810</v>
      </c>
      <c r="F2449" s="380" t="s">
        <v>811</v>
      </c>
      <c r="G2449" s="380" t="s">
        <v>1267</v>
      </c>
      <c r="H2449" s="380" t="s">
        <v>771</v>
      </c>
      <c r="I2449" s="380" t="s">
        <v>812</v>
      </c>
      <c r="J2449" s="380" t="s">
        <v>773</v>
      </c>
      <c r="K2449" s="381">
        <v>0.0</v>
      </c>
      <c r="L2449" s="382">
        <v>1.0</v>
      </c>
    </row>
    <row r="2450">
      <c r="A2450" s="380" t="s">
        <v>3313</v>
      </c>
      <c r="B2450" s="380" t="str">
        <f>IFERROR(__xludf.DUMMYFUNCTION("""COMPUTED_VALUE"""),"Traje Antifluidos Covid - 19 T38")</f>
        <v>Traje Antifluidos Covid - 19 T38</v>
      </c>
      <c r="C2450" s="380" t="str">
        <f>IFERROR(__xludf.DUMMYFUNCTION("""COMPUTED_VALUE"""),"30000796")</f>
        <v>30000796</v>
      </c>
      <c r="D2450" s="380" t="s">
        <v>767</v>
      </c>
      <c r="E2450" s="380" t="s">
        <v>810</v>
      </c>
      <c r="F2450" s="380" t="s">
        <v>811</v>
      </c>
      <c r="G2450" s="380" t="s">
        <v>1267</v>
      </c>
      <c r="H2450" s="380" t="s">
        <v>771</v>
      </c>
      <c r="I2450" s="380" t="s">
        <v>812</v>
      </c>
      <c r="J2450" s="380" t="s">
        <v>773</v>
      </c>
      <c r="K2450" s="381">
        <v>0.0</v>
      </c>
      <c r="L2450" s="382">
        <v>1.0</v>
      </c>
    </row>
    <row r="2451">
      <c r="A2451" s="380" t="s">
        <v>3314</v>
      </c>
      <c r="B2451" s="380" t="str">
        <f>IFERROR(__xludf.DUMMYFUNCTION("""COMPUTED_VALUE"""),"Traje Antifluidos Covid - 19 T44")</f>
        <v>Traje Antifluidos Covid - 19 T44</v>
      </c>
      <c r="C2451" s="380" t="str">
        <f>IFERROR(__xludf.DUMMYFUNCTION("""COMPUTED_VALUE"""),"30000797")</f>
        <v>30000797</v>
      </c>
      <c r="D2451" s="380" t="s">
        <v>767</v>
      </c>
      <c r="E2451" s="380" t="s">
        <v>810</v>
      </c>
      <c r="F2451" s="380" t="s">
        <v>811</v>
      </c>
      <c r="G2451" s="380" t="s">
        <v>1267</v>
      </c>
      <c r="H2451" s="380" t="s">
        <v>771</v>
      </c>
      <c r="I2451" s="380" t="s">
        <v>812</v>
      </c>
      <c r="J2451" s="380" t="s">
        <v>773</v>
      </c>
      <c r="K2451" s="381">
        <v>0.0</v>
      </c>
      <c r="L2451" s="382">
        <v>1.0</v>
      </c>
    </row>
    <row r="2452">
      <c r="A2452" s="380" t="s">
        <v>3315</v>
      </c>
      <c r="B2452" s="380" t="str">
        <f>IFERROR(__xludf.DUMMYFUNCTION("""COMPUTED_VALUE"""),"Traje Antifluidos Covid - 19 T42")</f>
        <v>Traje Antifluidos Covid - 19 T42</v>
      </c>
      <c r="C2452" s="380" t="str">
        <f>IFERROR(__xludf.DUMMYFUNCTION("""COMPUTED_VALUE"""),"30000798")</f>
        <v>30000798</v>
      </c>
      <c r="D2452" s="380" t="s">
        <v>767</v>
      </c>
      <c r="E2452" s="380" t="s">
        <v>810</v>
      </c>
      <c r="F2452" s="380" t="s">
        <v>811</v>
      </c>
      <c r="G2452" s="380" t="s">
        <v>1267</v>
      </c>
      <c r="H2452" s="380" t="s">
        <v>771</v>
      </c>
      <c r="I2452" s="380" t="s">
        <v>812</v>
      </c>
      <c r="J2452" s="380" t="s">
        <v>773</v>
      </c>
      <c r="K2452" s="381">
        <v>0.0</v>
      </c>
      <c r="L2452" s="382">
        <v>1.0</v>
      </c>
    </row>
    <row r="2453">
      <c r="A2453" s="380" t="s">
        <v>3316</v>
      </c>
      <c r="B2453" s="380" t="str">
        <f>IFERROR(__xludf.DUMMYFUNCTION("""COMPUTED_VALUE"""),"Extintor Co2 5 Libras Recargado")</f>
        <v>Extintor Co2 5 Libras Recargado</v>
      </c>
      <c r="C2453" s="380" t="str">
        <f>IFERROR(__xludf.DUMMYFUNCTION("""COMPUTED_VALUE"""),"30000799")</f>
        <v>30000799</v>
      </c>
      <c r="D2453" s="380" t="s">
        <v>767</v>
      </c>
      <c r="E2453" s="380" t="s">
        <v>810</v>
      </c>
      <c r="F2453" s="380" t="s">
        <v>811</v>
      </c>
      <c r="G2453" s="380" t="s">
        <v>1267</v>
      </c>
      <c r="H2453" s="380" t="s">
        <v>771</v>
      </c>
      <c r="I2453" s="380" t="s">
        <v>812</v>
      </c>
      <c r="J2453" s="380" t="s">
        <v>773</v>
      </c>
      <c r="K2453" s="381">
        <v>0.0</v>
      </c>
      <c r="L2453" s="382">
        <v>1.0</v>
      </c>
    </row>
    <row r="2454">
      <c r="A2454" s="380" t="s">
        <v>3317</v>
      </c>
      <c r="B2454" s="380" t="str">
        <f>IFERROR(__xludf.DUMMYFUNCTION("""COMPUTED_VALUE"""),"Barbuquejo Tres Puntos Reata 5011580")</f>
        <v>Barbuquejo Tres Puntos Reata 5011580</v>
      </c>
      <c r="C2454" s="380" t="str">
        <f>IFERROR(__xludf.DUMMYFUNCTION("""COMPUTED_VALUE"""),"30000800")</f>
        <v>30000800</v>
      </c>
      <c r="D2454" s="380" t="s">
        <v>767</v>
      </c>
      <c r="E2454" s="380" t="s">
        <v>810</v>
      </c>
      <c r="F2454" s="380" t="s">
        <v>1083</v>
      </c>
      <c r="G2454" s="380" t="s">
        <v>1267</v>
      </c>
      <c r="H2454" s="380" t="s">
        <v>771</v>
      </c>
      <c r="I2454" s="380" t="s">
        <v>1084</v>
      </c>
      <c r="J2454" s="380" t="s">
        <v>773</v>
      </c>
      <c r="K2454" s="381">
        <v>0.0</v>
      </c>
      <c r="L2454" s="382">
        <v>1.0</v>
      </c>
    </row>
    <row r="2455">
      <c r="A2455" s="380" t="s">
        <v>3318</v>
      </c>
      <c r="B2455" s="380" t="str">
        <f>IFERROR(__xludf.DUMMYFUNCTION("""COMPUTED_VALUE"""),"Arnes Arseg 1170209")</f>
        <v>Arnes Arseg 1170209</v>
      </c>
      <c r="C2455" s="380" t="str">
        <f>IFERROR(__xludf.DUMMYFUNCTION("""COMPUTED_VALUE"""),"30000801")</f>
        <v>30000801</v>
      </c>
      <c r="D2455" s="380" t="s">
        <v>767</v>
      </c>
      <c r="E2455" s="380" t="s">
        <v>810</v>
      </c>
      <c r="F2455" s="380" t="s">
        <v>1083</v>
      </c>
      <c r="G2455" s="380" t="s">
        <v>1267</v>
      </c>
      <c r="H2455" s="380" t="s">
        <v>771</v>
      </c>
      <c r="I2455" s="380" t="s">
        <v>1084</v>
      </c>
      <c r="J2455" s="380" t="s">
        <v>773</v>
      </c>
      <c r="K2455" s="381">
        <v>0.0</v>
      </c>
      <c r="L2455" s="382">
        <v>1.0</v>
      </c>
    </row>
    <row r="2456">
      <c r="A2456" s="380" t="s">
        <v>3319</v>
      </c>
      <c r="B2456" s="380" t="str">
        <f>IFERROR(__xludf.DUMMYFUNCTION("""COMPUTED_VALUE"""),"Estuche Protector Tim Honeywell Eda51")</f>
        <v>Estuche Protector Tim Honeywell Eda51</v>
      </c>
      <c r="C2456" s="380" t="str">
        <f>IFERROR(__xludf.DUMMYFUNCTION("""COMPUTED_VALUE"""),"30000802")</f>
        <v>30000802</v>
      </c>
      <c r="D2456" s="380" t="s">
        <v>767</v>
      </c>
      <c r="E2456" s="380" t="s">
        <v>810</v>
      </c>
      <c r="F2456" s="380" t="s">
        <v>1271</v>
      </c>
      <c r="G2456" s="380" t="s">
        <v>1267</v>
      </c>
      <c r="H2456" s="380" t="s">
        <v>771</v>
      </c>
      <c r="I2456" s="380" t="s">
        <v>1084</v>
      </c>
      <c r="J2456" s="380" t="s">
        <v>773</v>
      </c>
      <c r="K2456" s="381">
        <v>0.0</v>
      </c>
      <c r="L2456" s="382">
        <v>1.0</v>
      </c>
    </row>
    <row r="2457">
      <c r="A2457" s="380" t="s">
        <v>3320</v>
      </c>
      <c r="B2457" s="380" t="str">
        <f>IFERROR(__xludf.DUMMYFUNCTION("""COMPUTED_VALUE"""),"Camisa Oxford A Raya MC 38")</f>
        <v>Camisa Oxford A Raya MC 38</v>
      </c>
      <c r="C2457" s="380" t="str">
        <f>IFERROR(__xludf.DUMMYFUNCTION("""COMPUTED_VALUE"""),"30000803")</f>
        <v>30000803</v>
      </c>
      <c r="D2457" s="380" t="s">
        <v>767</v>
      </c>
      <c r="E2457" s="380" t="s">
        <v>810</v>
      </c>
      <c r="F2457" s="380" t="s">
        <v>1089</v>
      </c>
      <c r="G2457" s="380" t="s">
        <v>1267</v>
      </c>
      <c r="H2457" s="380" t="s">
        <v>771</v>
      </c>
      <c r="I2457" s="380" t="s">
        <v>1084</v>
      </c>
      <c r="J2457" s="380" t="s">
        <v>773</v>
      </c>
      <c r="K2457" s="381">
        <v>39861.0</v>
      </c>
      <c r="L2457" s="382">
        <v>1.0</v>
      </c>
    </row>
    <row r="2458">
      <c r="A2458" s="380" t="s">
        <v>3321</v>
      </c>
      <c r="B2458" s="380" t="str">
        <f>IFERROR(__xludf.DUMMYFUNCTION("""COMPUTED_VALUE"""),"Gel Frio Calor En Bolsa 12 X 18")</f>
        <v>Gel Frio Calor En Bolsa 12 X 18</v>
      </c>
      <c r="C2458" s="380" t="str">
        <f>IFERROR(__xludf.DUMMYFUNCTION("""COMPUTED_VALUE"""),"30000804")</f>
        <v>30000804</v>
      </c>
      <c r="D2458" s="380" t="s">
        <v>767</v>
      </c>
      <c r="E2458" s="380" t="s">
        <v>810</v>
      </c>
      <c r="F2458" s="380" t="s">
        <v>811</v>
      </c>
      <c r="G2458" s="380" t="s">
        <v>1267</v>
      </c>
      <c r="H2458" s="380" t="s">
        <v>771</v>
      </c>
      <c r="I2458" s="380" t="s">
        <v>812</v>
      </c>
      <c r="J2458" s="380" t="s">
        <v>773</v>
      </c>
      <c r="K2458" s="381">
        <v>0.0</v>
      </c>
      <c r="L2458" s="382">
        <v>1.0</v>
      </c>
    </row>
    <row r="2459">
      <c r="A2459" s="380" t="s">
        <v>3322</v>
      </c>
      <c r="B2459" s="380" t="str">
        <f>IFERROR(__xludf.DUMMYFUNCTION("""COMPUTED_VALUE"""),"Forro Impresora Zebra Zd420")</f>
        <v>Forro Impresora Zebra Zd420</v>
      </c>
      <c r="C2459" s="380" t="str">
        <f>IFERROR(__xludf.DUMMYFUNCTION("""COMPUTED_VALUE"""),"30000805")</f>
        <v>30000805</v>
      </c>
      <c r="D2459" s="380" t="s">
        <v>767</v>
      </c>
      <c r="E2459" s="380" t="s">
        <v>810</v>
      </c>
      <c r="F2459" s="380" t="s">
        <v>1271</v>
      </c>
      <c r="G2459" s="380" t="s">
        <v>1267</v>
      </c>
      <c r="H2459" s="380" t="s">
        <v>771</v>
      </c>
      <c r="I2459" s="380" t="s">
        <v>1084</v>
      </c>
      <c r="J2459" s="380" t="s">
        <v>773</v>
      </c>
      <c r="K2459" s="381">
        <v>6500.0</v>
      </c>
      <c r="L2459" s="382">
        <v>1.0</v>
      </c>
    </row>
    <row r="2460">
      <c r="A2460" s="380" t="s">
        <v>3323</v>
      </c>
      <c r="B2460" s="380" t="str">
        <f>IFERROR(__xludf.DUMMYFUNCTION("""COMPUTED_VALUE"""),"Bolsa De Agua Caliente O Fria")</f>
        <v>Bolsa De Agua Caliente O Fria</v>
      </c>
      <c r="C2460" s="380" t="str">
        <f>IFERROR(__xludf.DUMMYFUNCTION("""COMPUTED_VALUE"""),"30000806")</f>
        <v>30000806</v>
      </c>
      <c r="D2460" s="380" t="s">
        <v>767</v>
      </c>
      <c r="E2460" s="380" t="s">
        <v>810</v>
      </c>
      <c r="F2460" s="380" t="s">
        <v>811</v>
      </c>
      <c r="G2460" s="380" t="s">
        <v>1267</v>
      </c>
      <c r="H2460" s="380" t="s">
        <v>771</v>
      </c>
      <c r="I2460" s="380" t="s">
        <v>812</v>
      </c>
      <c r="J2460" s="380" t="s">
        <v>773</v>
      </c>
      <c r="K2460" s="381">
        <v>0.0</v>
      </c>
      <c r="L2460" s="382">
        <v>1.0</v>
      </c>
    </row>
    <row r="2461">
      <c r="A2461" s="380" t="s">
        <v>3324</v>
      </c>
      <c r="B2461" s="380" t="str">
        <f>IFERROR(__xludf.DUMMYFUNCTION("""COMPUTED_VALUE"""),"Implementos Botiquin Brigadista")</f>
        <v>Implementos Botiquin Brigadista</v>
      </c>
      <c r="C2461" s="380" t="str">
        <f>IFERROR(__xludf.DUMMYFUNCTION("""COMPUTED_VALUE"""),"30000807")</f>
        <v>30000807</v>
      </c>
      <c r="D2461" s="380" t="s">
        <v>767</v>
      </c>
      <c r="E2461" s="380" t="s">
        <v>810</v>
      </c>
      <c r="F2461" s="380" t="s">
        <v>811</v>
      </c>
      <c r="G2461" s="380" t="s">
        <v>1267</v>
      </c>
      <c r="H2461" s="380" t="s">
        <v>771</v>
      </c>
      <c r="I2461" s="380" t="s">
        <v>812</v>
      </c>
      <c r="J2461" s="380" t="s">
        <v>773</v>
      </c>
      <c r="K2461" s="381">
        <v>0.0</v>
      </c>
      <c r="L2461" s="382">
        <v>1.0</v>
      </c>
    </row>
    <row r="2462">
      <c r="A2462" s="380" t="s">
        <v>3325</v>
      </c>
      <c r="B2462" s="380" t="str">
        <f>IFERROR(__xludf.DUMMYFUNCTION("""COMPUTED_VALUE"""),"Rollo De Tela Azul Para Camilla")</f>
        <v>Rollo De Tela Azul Para Camilla</v>
      </c>
      <c r="C2462" s="380" t="str">
        <f>IFERROR(__xludf.DUMMYFUNCTION("""COMPUTED_VALUE"""),"30000808")</f>
        <v>30000808</v>
      </c>
      <c r="D2462" s="380" t="s">
        <v>767</v>
      </c>
      <c r="E2462" s="380" t="s">
        <v>810</v>
      </c>
      <c r="F2462" s="380" t="s">
        <v>811</v>
      </c>
      <c r="G2462" s="380" t="s">
        <v>1267</v>
      </c>
      <c r="H2462" s="380" t="s">
        <v>771</v>
      </c>
      <c r="I2462" s="380" t="s">
        <v>812</v>
      </c>
      <c r="J2462" s="380" t="s">
        <v>773</v>
      </c>
      <c r="K2462" s="381">
        <v>0.0</v>
      </c>
      <c r="L2462" s="382">
        <v>1.0</v>
      </c>
    </row>
    <row r="2463">
      <c r="A2463" s="380" t="s">
        <v>3326</v>
      </c>
      <c r="B2463" s="380" t="str">
        <f>IFERROR(__xludf.DUMMYFUNCTION("""COMPUTED_VALUE"""),"Venda De Gasa 3"" X 5"" Yardas")</f>
        <v>Venda De Gasa 3" X 5" Yardas</v>
      </c>
      <c r="C2463" s="380" t="str">
        <f>IFERROR(__xludf.DUMMYFUNCTION("""COMPUTED_VALUE"""),"30000809")</f>
        <v>30000809</v>
      </c>
      <c r="D2463" s="380" t="s">
        <v>767</v>
      </c>
      <c r="E2463" s="380" t="s">
        <v>810</v>
      </c>
      <c r="F2463" s="380" t="s">
        <v>811</v>
      </c>
      <c r="G2463" s="380" t="s">
        <v>1267</v>
      </c>
      <c r="H2463" s="380" t="s">
        <v>771</v>
      </c>
      <c r="I2463" s="380" t="s">
        <v>812</v>
      </c>
      <c r="J2463" s="380" t="s">
        <v>773</v>
      </c>
      <c r="K2463" s="381">
        <v>0.0</v>
      </c>
      <c r="L2463" s="382">
        <v>1.0</v>
      </c>
    </row>
    <row r="2464">
      <c r="A2464" s="380" t="s">
        <v>3327</v>
      </c>
      <c r="B2464" s="380" t="str">
        <f>IFERROR(__xludf.DUMMYFUNCTION("""COMPUTED_VALUE"""),"Solucion Salina 0.9% De 100 Ml")</f>
        <v>Solucion Salina 0.9% De 100 Ml</v>
      </c>
      <c r="C2464" s="380" t="str">
        <f>IFERROR(__xludf.DUMMYFUNCTION("""COMPUTED_VALUE"""),"30000810")</f>
        <v>30000810</v>
      </c>
      <c r="D2464" s="380" t="s">
        <v>767</v>
      </c>
      <c r="E2464" s="380" t="s">
        <v>810</v>
      </c>
      <c r="F2464" s="380" t="s">
        <v>811</v>
      </c>
      <c r="G2464" s="380" t="s">
        <v>1267</v>
      </c>
      <c r="H2464" s="380" t="s">
        <v>771</v>
      </c>
      <c r="I2464" s="380" t="s">
        <v>812</v>
      </c>
      <c r="J2464" s="380" t="s">
        <v>773</v>
      </c>
      <c r="K2464" s="381">
        <v>0.0</v>
      </c>
      <c r="L2464" s="382">
        <v>1.0</v>
      </c>
    </row>
    <row r="2465">
      <c r="A2465" s="380" t="s">
        <v>3328</v>
      </c>
      <c r="B2465" s="380" t="str">
        <f>IFERROR(__xludf.DUMMYFUNCTION("""COMPUTED_VALUE"""),"Felpa Filtro Careta Soldador P100 - 2097")</f>
        <v>Felpa Filtro Careta Soldador P100 - 2097</v>
      </c>
      <c r="C2465" s="380" t="str">
        <f>IFERROR(__xludf.DUMMYFUNCTION("""COMPUTED_VALUE"""),"30000811")</f>
        <v>30000811</v>
      </c>
      <c r="D2465" s="380" t="s">
        <v>767</v>
      </c>
      <c r="E2465" s="380" t="s">
        <v>810</v>
      </c>
      <c r="F2465" s="380" t="s">
        <v>1083</v>
      </c>
      <c r="G2465" s="380" t="s">
        <v>1267</v>
      </c>
      <c r="H2465" s="380" t="s">
        <v>771</v>
      </c>
      <c r="I2465" s="380" t="s">
        <v>1084</v>
      </c>
      <c r="J2465" s="380" t="s">
        <v>773</v>
      </c>
      <c r="K2465" s="381">
        <v>23910.0</v>
      </c>
      <c r="L2465" s="382">
        <v>1.0</v>
      </c>
    </row>
    <row r="2466">
      <c r="A2466" s="380" t="s">
        <v>3329</v>
      </c>
      <c r="B2466" s="380" t="str">
        <f>IFERROR(__xludf.DUMMYFUNCTION("""COMPUTED_VALUE"""),"Implementos Botiquin Conductor Bogota")</f>
        <v>Implementos Botiquin Conductor Bogota</v>
      </c>
      <c r="C2466" s="380" t="str">
        <f>IFERROR(__xludf.DUMMYFUNCTION("""COMPUTED_VALUE"""),"30000812")</f>
        <v>30000812</v>
      </c>
      <c r="D2466" s="380" t="s">
        <v>767</v>
      </c>
      <c r="E2466" s="380" t="s">
        <v>810</v>
      </c>
      <c r="F2466" s="380" t="s">
        <v>811</v>
      </c>
      <c r="G2466" s="380" t="s">
        <v>1267</v>
      </c>
      <c r="H2466" s="380" t="s">
        <v>771</v>
      </c>
      <c r="I2466" s="380" t="s">
        <v>812</v>
      </c>
      <c r="J2466" s="380" t="s">
        <v>773</v>
      </c>
      <c r="K2466" s="381">
        <v>0.0</v>
      </c>
      <c r="L2466" s="382">
        <v>1.0</v>
      </c>
    </row>
    <row r="2467">
      <c r="A2467" s="380" t="s">
        <v>3330</v>
      </c>
      <c r="B2467" s="380" t="str">
        <f>IFERROR(__xludf.DUMMYFUNCTION("""COMPUTED_VALUE"""),"Camisa Oxford A Raya MC 44")</f>
        <v>Camisa Oxford A Raya MC 44</v>
      </c>
      <c r="C2467" s="380" t="str">
        <f>IFERROR(__xludf.DUMMYFUNCTION("""COMPUTED_VALUE"""),"30000813")</f>
        <v>30000813</v>
      </c>
      <c r="D2467" s="380" t="s">
        <v>767</v>
      </c>
      <c r="E2467" s="380" t="s">
        <v>810</v>
      </c>
      <c r="F2467" s="380" t="s">
        <v>1089</v>
      </c>
      <c r="G2467" s="380" t="s">
        <v>1267</v>
      </c>
      <c r="H2467" s="380" t="s">
        <v>771</v>
      </c>
      <c r="I2467" s="380" t="s">
        <v>1084</v>
      </c>
      <c r="J2467" s="380" t="s">
        <v>773</v>
      </c>
      <c r="K2467" s="381">
        <v>0.0</v>
      </c>
      <c r="L2467" s="382">
        <v>1.0</v>
      </c>
    </row>
    <row r="2468">
      <c r="A2468" s="380" t="s">
        <v>3331</v>
      </c>
      <c r="B2468" s="380" t="str">
        <f>IFERROR(__xludf.DUMMYFUNCTION("""COMPUTED_VALUE"""),"Estuche Botiquin Terminal 23x28")</f>
        <v>Estuche Botiquin Terminal 23x28</v>
      </c>
      <c r="C2468" s="380" t="str">
        <f>IFERROR(__xludf.DUMMYFUNCTION("""COMPUTED_VALUE"""),"30000814")</f>
        <v>30000814</v>
      </c>
      <c r="D2468" s="380" t="s">
        <v>767</v>
      </c>
      <c r="E2468" s="380" t="s">
        <v>810</v>
      </c>
      <c r="F2468" s="380" t="s">
        <v>811</v>
      </c>
      <c r="G2468" s="380" t="s">
        <v>1267</v>
      </c>
      <c r="H2468" s="380" t="s">
        <v>771</v>
      </c>
      <c r="I2468" s="380" t="s">
        <v>812</v>
      </c>
      <c r="J2468" s="380" t="s">
        <v>773</v>
      </c>
      <c r="K2468" s="381">
        <v>0.0</v>
      </c>
      <c r="L2468" s="382">
        <v>1.0</v>
      </c>
    </row>
    <row r="2469">
      <c r="A2469" s="380" t="s">
        <v>3332</v>
      </c>
      <c r="B2469" s="380" t="str">
        <f>IFERROR(__xludf.DUMMYFUNCTION("""COMPUTED_VALUE"""),"Extintor Co2 10 Libras Nuevo")</f>
        <v>Extintor Co2 10 Libras Nuevo</v>
      </c>
      <c r="C2469" s="380" t="str">
        <f>IFERROR(__xludf.DUMMYFUNCTION("""COMPUTED_VALUE"""),"30000815")</f>
        <v>30000815</v>
      </c>
      <c r="D2469" s="380" t="s">
        <v>767</v>
      </c>
      <c r="E2469" s="380" t="s">
        <v>810</v>
      </c>
      <c r="F2469" s="380" t="s">
        <v>811</v>
      </c>
      <c r="G2469" s="380" t="s">
        <v>1267</v>
      </c>
      <c r="H2469" s="380" t="s">
        <v>771</v>
      </c>
      <c r="I2469" s="380" t="s">
        <v>812</v>
      </c>
      <c r="J2469" s="380" t="s">
        <v>773</v>
      </c>
      <c r="K2469" s="381">
        <v>0.0</v>
      </c>
      <c r="L2469" s="382">
        <v>1.0</v>
      </c>
    </row>
    <row r="2470">
      <c r="A2470" s="380" t="s">
        <v>3333</v>
      </c>
      <c r="B2470" s="380" t="str">
        <f>IFERROR(__xludf.DUMMYFUNCTION("""COMPUTED_VALUE"""),"Implementos Botiquin Centro Operativo")</f>
        <v>Implementos Botiquin Centro Operativo</v>
      </c>
      <c r="C2470" s="380" t="str">
        <f>IFERROR(__xludf.DUMMYFUNCTION("""COMPUTED_VALUE"""),"30000816")</f>
        <v>30000816</v>
      </c>
      <c r="D2470" s="380" t="s">
        <v>767</v>
      </c>
      <c r="E2470" s="380" t="s">
        <v>810</v>
      </c>
      <c r="F2470" s="380" t="s">
        <v>811</v>
      </c>
      <c r="G2470" s="380" t="s">
        <v>1267</v>
      </c>
      <c r="H2470" s="380" t="s">
        <v>771</v>
      </c>
      <c r="I2470" s="380" t="s">
        <v>812</v>
      </c>
      <c r="J2470" s="380" t="s">
        <v>773</v>
      </c>
      <c r="K2470" s="381">
        <v>0.0</v>
      </c>
      <c r="L2470" s="382">
        <v>1.0</v>
      </c>
    </row>
    <row r="2471">
      <c r="A2471" s="380" t="s">
        <v>3334</v>
      </c>
      <c r="B2471" s="380" t="str">
        <f>IFERROR(__xludf.DUMMYFUNCTION("""COMPUTED_VALUE"""),"Implementos Botiquin Conductor")</f>
        <v>Implementos Botiquin Conductor</v>
      </c>
      <c r="C2471" s="380" t="str">
        <f>IFERROR(__xludf.DUMMYFUNCTION("""COMPUTED_VALUE"""),"30000817")</f>
        <v>30000817</v>
      </c>
      <c r="D2471" s="380" t="s">
        <v>767</v>
      </c>
      <c r="E2471" s="380" t="s">
        <v>810</v>
      </c>
      <c r="F2471" s="380" t="s">
        <v>811</v>
      </c>
      <c r="G2471" s="380" t="s">
        <v>1267</v>
      </c>
      <c r="H2471" s="380" t="s">
        <v>771</v>
      </c>
      <c r="I2471" s="380" t="s">
        <v>812</v>
      </c>
      <c r="J2471" s="380" t="s">
        <v>773</v>
      </c>
      <c r="K2471" s="381">
        <v>0.0</v>
      </c>
      <c r="L2471" s="382">
        <v>1.0</v>
      </c>
    </row>
    <row r="2472">
      <c r="A2472" s="380" t="s">
        <v>3335</v>
      </c>
      <c r="B2472" s="380" t="str">
        <f>IFERROR(__xludf.DUMMYFUNCTION("""COMPUTED_VALUE"""),"Forro Para Camilla Najo")</f>
        <v>Forro Para Camilla Najo</v>
      </c>
      <c r="C2472" s="380" t="str">
        <f>IFERROR(__xludf.DUMMYFUNCTION("""COMPUTED_VALUE"""),"30000818")</f>
        <v>30000818</v>
      </c>
      <c r="D2472" s="380" t="s">
        <v>767</v>
      </c>
      <c r="E2472" s="380" t="s">
        <v>810</v>
      </c>
      <c r="F2472" s="380" t="s">
        <v>1083</v>
      </c>
      <c r="G2472" s="380" t="s">
        <v>1267</v>
      </c>
      <c r="H2472" s="380" t="s">
        <v>771</v>
      </c>
      <c r="I2472" s="380" t="s">
        <v>1084</v>
      </c>
      <c r="J2472" s="380" t="s">
        <v>773</v>
      </c>
      <c r="K2472" s="381">
        <v>45220.0</v>
      </c>
      <c r="L2472" s="382">
        <v>1.0</v>
      </c>
    </row>
    <row r="2473">
      <c r="A2473" s="380" t="s">
        <v>3336</v>
      </c>
      <c r="B2473" s="380" t="str">
        <f>IFERROR(__xludf.DUMMYFUNCTION("""COMPUTED_VALUE"""),"Extintor Abc 20 Libras Nuevo")</f>
        <v>Extintor Abc 20 Libras Nuevo</v>
      </c>
      <c r="C2473" s="380" t="str">
        <f>IFERROR(__xludf.DUMMYFUNCTION("""COMPUTED_VALUE"""),"30000819")</f>
        <v>30000819</v>
      </c>
      <c r="D2473" s="380" t="s">
        <v>767</v>
      </c>
      <c r="E2473" s="380" t="s">
        <v>810</v>
      </c>
      <c r="F2473" s="380" t="s">
        <v>811</v>
      </c>
      <c r="G2473" s="380" t="s">
        <v>1267</v>
      </c>
      <c r="H2473" s="380" t="s">
        <v>771</v>
      </c>
      <c r="I2473" s="380" t="s">
        <v>812</v>
      </c>
      <c r="J2473" s="380" t="s">
        <v>773</v>
      </c>
      <c r="K2473" s="381">
        <v>0.0</v>
      </c>
      <c r="L2473" s="382">
        <v>1.0</v>
      </c>
    </row>
    <row r="2474">
      <c r="A2474" s="380" t="s">
        <v>3337</v>
      </c>
      <c r="B2474" s="380" t="str">
        <f>IFERROR(__xludf.DUMMYFUNCTION("""COMPUTED_VALUE"""),"Estuche Protector Unidad Tim Ct 60")</f>
        <v>Estuche Protector Unidad Tim Ct 60</v>
      </c>
      <c r="C2474" s="380" t="str">
        <f>IFERROR(__xludf.DUMMYFUNCTION("""COMPUTED_VALUE"""),"30000820")</f>
        <v>30000820</v>
      </c>
      <c r="D2474" s="380" t="s">
        <v>767</v>
      </c>
      <c r="E2474" s="380" t="s">
        <v>810</v>
      </c>
      <c r="F2474" s="380" t="s">
        <v>1271</v>
      </c>
      <c r="G2474" s="380" t="s">
        <v>1267</v>
      </c>
      <c r="H2474" s="380" t="s">
        <v>771</v>
      </c>
      <c r="I2474" s="380" t="s">
        <v>1084</v>
      </c>
      <c r="J2474" s="380" t="s">
        <v>773</v>
      </c>
      <c r="K2474" s="381">
        <v>0.0</v>
      </c>
      <c r="L2474" s="382">
        <v>1.0</v>
      </c>
    </row>
    <row r="2475">
      <c r="A2475" s="380" t="s">
        <v>3338</v>
      </c>
      <c r="B2475" s="380" t="str">
        <f>IFERROR(__xludf.DUMMYFUNCTION("""COMPUTED_VALUE"""),"Correa Estuche Unidad Tim Ct 60")</f>
        <v>Correa Estuche Unidad Tim Ct 60</v>
      </c>
      <c r="C2475" s="380" t="str">
        <f>IFERROR(__xludf.DUMMYFUNCTION("""COMPUTED_VALUE"""),"30000821")</f>
        <v>30000821</v>
      </c>
      <c r="D2475" s="380" t="s">
        <v>767</v>
      </c>
      <c r="E2475" s="380" t="s">
        <v>810</v>
      </c>
      <c r="F2475" s="380" t="s">
        <v>1271</v>
      </c>
      <c r="G2475" s="380" t="s">
        <v>1267</v>
      </c>
      <c r="H2475" s="380" t="s">
        <v>771</v>
      </c>
      <c r="I2475" s="380" t="s">
        <v>1084</v>
      </c>
      <c r="J2475" s="380" t="s">
        <v>773</v>
      </c>
      <c r="K2475" s="381">
        <v>5123.0</v>
      </c>
      <c r="L2475" s="382">
        <v>1.0</v>
      </c>
    </row>
    <row r="2476">
      <c r="A2476" s="380" t="s">
        <v>3339</v>
      </c>
      <c r="B2476" s="380" t="str">
        <f>IFERROR(__xludf.DUMMYFUNCTION("""COMPUTED_VALUE"""),"Pantalon Lino Prenses 42")</f>
        <v>Pantalon Lino Prenses 42</v>
      </c>
      <c r="C2476" s="380" t="str">
        <f>IFERROR(__xludf.DUMMYFUNCTION("""COMPUTED_VALUE"""),"30000822")</f>
        <v>30000822</v>
      </c>
      <c r="D2476" s="380" t="s">
        <v>767</v>
      </c>
      <c r="E2476" s="380" t="s">
        <v>810</v>
      </c>
      <c r="F2476" s="380" t="s">
        <v>1089</v>
      </c>
      <c r="G2476" s="380" t="s">
        <v>1267</v>
      </c>
      <c r="H2476" s="380" t="s">
        <v>771</v>
      </c>
      <c r="I2476" s="380" t="s">
        <v>1084</v>
      </c>
      <c r="J2476" s="380" t="s">
        <v>773</v>
      </c>
      <c r="K2476" s="381">
        <v>0.0</v>
      </c>
      <c r="L2476" s="382">
        <v>1.0</v>
      </c>
    </row>
    <row r="2477">
      <c r="A2477" s="380" t="s">
        <v>3340</v>
      </c>
      <c r="B2477" s="380" t="str">
        <f>IFERROR(__xludf.DUMMYFUNCTION("""COMPUTED_VALUE"""),"Camisa Oxford A Raya MC 36")</f>
        <v>Camisa Oxford A Raya MC 36</v>
      </c>
      <c r="C2477" s="380" t="str">
        <f>IFERROR(__xludf.DUMMYFUNCTION("""COMPUTED_VALUE"""),"30000823")</f>
        <v>30000823</v>
      </c>
      <c r="D2477" s="380" t="s">
        <v>767</v>
      </c>
      <c r="E2477" s="380" t="s">
        <v>810</v>
      </c>
      <c r="F2477" s="380" t="s">
        <v>1089</v>
      </c>
      <c r="G2477" s="380" t="s">
        <v>1267</v>
      </c>
      <c r="H2477" s="380" t="s">
        <v>771</v>
      </c>
      <c r="I2477" s="380" t="s">
        <v>1084</v>
      </c>
      <c r="J2477" s="380" t="s">
        <v>773</v>
      </c>
      <c r="K2477" s="381">
        <v>39861.0</v>
      </c>
      <c r="L2477" s="382">
        <v>1.0</v>
      </c>
    </row>
    <row r="2478">
      <c r="A2478" s="380" t="s">
        <v>3341</v>
      </c>
      <c r="B2478" s="380" t="str">
        <f>IFERROR(__xludf.DUMMYFUNCTION("""COMPUTED_VALUE"""),"Extintor Multi Abc 30 Libras Recargado")</f>
        <v>Extintor Multi Abc 30 Libras Recargado</v>
      </c>
      <c r="C2478" s="380" t="str">
        <f>IFERROR(__xludf.DUMMYFUNCTION("""COMPUTED_VALUE"""),"30000824")</f>
        <v>30000824</v>
      </c>
      <c r="D2478" s="380" t="s">
        <v>767</v>
      </c>
      <c r="E2478" s="380" t="s">
        <v>810</v>
      </c>
      <c r="F2478" s="380" t="s">
        <v>811</v>
      </c>
      <c r="G2478" s="380" t="s">
        <v>1267</v>
      </c>
      <c r="H2478" s="380" t="s">
        <v>771</v>
      </c>
      <c r="I2478" s="380" t="s">
        <v>812</v>
      </c>
      <c r="J2478" s="380" t="s">
        <v>773</v>
      </c>
      <c r="K2478" s="381">
        <v>0.0</v>
      </c>
      <c r="L2478" s="382">
        <v>1.0</v>
      </c>
    </row>
    <row r="2479">
      <c r="A2479" s="380" t="s">
        <v>3342</v>
      </c>
      <c r="B2479" s="380" t="str">
        <f>IFERROR(__xludf.DUMMYFUNCTION("""COMPUTED_VALUE"""),"Kit Derrame")</f>
        <v>Kit Derrame</v>
      </c>
      <c r="C2479" s="380" t="str">
        <f>IFERROR(__xludf.DUMMYFUNCTION("""COMPUTED_VALUE"""),"30000825")</f>
        <v>30000825</v>
      </c>
      <c r="D2479" s="380" t="s">
        <v>767</v>
      </c>
      <c r="E2479" s="380" t="s">
        <v>810</v>
      </c>
      <c r="F2479" s="380" t="s">
        <v>1271</v>
      </c>
      <c r="G2479" s="380" t="s">
        <v>1267</v>
      </c>
      <c r="H2479" s="380" t="s">
        <v>771</v>
      </c>
      <c r="I2479" s="380" t="s">
        <v>1084</v>
      </c>
      <c r="J2479" s="380" t="s">
        <v>773</v>
      </c>
      <c r="K2479" s="381">
        <v>0.0</v>
      </c>
      <c r="L2479" s="382">
        <v>1.0</v>
      </c>
    </row>
    <row r="2480">
      <c r="A2480" s="380" t="s">
        <v>3343</v>
      </c>
      <c r="B2480" s="380" t="str">
        <f>IFERROR(__xludf.DUMMYFUNCTION("""COMPUTED_VALUE"""),"Puntera De Seguridad Visitante")</f>
        <v>Puntera De Seguridad Visitante</v>
      </c>
      <c r="C2480" s="380" t="str">
        <f>IFERROR(__xludf.DUMMYFUNCTION("""COMPUTED_VALUE"""),"30000826")</f>
        <v>30000826</v>
      </c>
      <c r="D2480" s="380" t="s">
        <v>767</v>
      </c>
      <c r="E2480" s="380" t="s">
        <v>810</v>
      </c>
      <c r="F2480" s="380" t="s">
        <v>811</v>
      </c>
      <c r="G2480" s="380" t="s">
        <v>1267</v>
      </c>
      <c r="H2480" s="380" t="s">
        <v>771</v>
      </c>
      <c r="I2480" s="380" t="s">
        <v>812</v>
      </c>
      <c r="J2480" s="380" t="s">
        <v>773</v>
      </c>
      <c r="K2480" s="381">
        <v>0.0</v>
      </c>
      <c r="L2480" s="382">
        <v>1.0</v>
      </c>
    </row>
    <row r="2481">
      <c r="A2481" s="380" t="s">
        <v>3344</v>
      </c>
      <c r="B2481" s="380" t="str">
        <f>IFERROR(__xludf.DUMMYFUNCTION("""COMPUTED_VALUE"""),"Rodilleras")</f>
        <v>Rodilleras</v>
      </c>
      <c r="C2481" s="380" t="str">
        <f>IFERROR(__xludf.DUMMYFUNCTION("""COMPUTED_VALUE"""),"30000827")</f>
        <v>30000827</v>
      </c>
      <c r="D2481" s="380" t="s">
        <v>767</v>
      </c>
      <c r="E2481" s="380" t="s">
        <v>810</v>
      </c>
      <c r="F2481" s="380" t="s">
        <v>1083</v>
      </c>
      <c r="G2481" s="380" t="s">
        <v>1267</v>
      </c>
      <c r="H2481" s="380" t="s">
        <v>771</v>
      </c>
      <c r="I2481" s="380" t="s">
        <v>1084</v>
      </c>
      <c r="J2481" s="380" t="s">
        <v>773</v>
      </c>
      <c r="K2481" s="381">
        <v>59360.0</v>
      </c>
      <c r="L2481" s="382">
        <v>1.0</v>
      </c>
    </row>
    <row r="2482">
      <c r="A2482" s="380" t="s">
        <v>3345</v>
      </c>
      <c r="B2482" s="380" t="str">
        <f>IFERROR(__xludf.DUMMYFUNCTION("""COMPUTED_VALUE"""),"Cuña De Madera Para Filtracion")</f>
        <v>Cuña De Madera Para Filtracion</v>
      </c>
      <c r="C2482" s="380" t="str">
        <f>IFERROR(__xludf.DUMMYFUNCTION("""COMPUTED_VALUE"""),"30000828")</f>
        <v>30000828</v>
      </c>
      <c r="D2482" s="380" t="s">
        <v>767</v>
      </c>
      <c r="E2482" s="380" t="s">
        <v>810</v>
      </c>
      <c r="F2482" s="380" t="s">
        <v>811</v>
      </c>
      <c r="G2482" s="380" t="s">
        <v>1267</v>
      </c>
      <c r="H2482" s="380" t="s">
        <v>771</v>
      </c>
      <c r="I2482" s="380" t="s">
        <v>812</v>
      </c>
      <c r="J2482" s="380" t="s">
        <v>773</v>
      </c>
      <c r="K2482" s="381">
        <v>0.0</v>
      </c>
      <c r="L2482" s="382">
        <v>1.0</v>
      </c>
    </row>
    <row r="2483">
      <c r="A2483" s="380" t="s">
        <v>3346</v>
      </c>
      <c r="B2483" s="380" t="str">
        <f>IFERROR(__xludf.DUMMYFUNCTION("""COMPUTED_VALUE"""),"Estuche Protector Unidad Tim Tc 25")</f>
        <v>Estuche Protector Unidad Tim Tc 25</v>
      </c>
      <c r="C2483" s="380" t="str">
        <f>IFERROR(__xludf.DUMMYFUNCTION("""COMPUTED_VALUE"""),"30000829")</f>
        <v>30000829</v>
      </c>
      <c r="D2483" s="380" t="s">
        <v>767</v>
      </c>
      <c r="E2483" s="380" t="s">
        <v>810</v>
      </c>
      <c r="F2483" s="380" t="s">
        <v>1271</v>
      </c>
      <c r="G2483" s="380" t="s">
        <v>1267</v>
      </c>
      <c r="H2483" s="380" t="s">
        <v>771</v>
      </c>
      <c r="I2483" s="380" t="s">
        <v>1084</v>
      </c>
      <c r="J2483" s="380" t="s">
        <v>773</v>
      </c>
      <c r="K2483" s="381">
        <v>0.0</v>
      </c>
      <c r="L2483" s="382">
        <v>1.0</v>
      </c>
    </row>
    <row r="2484">
      <c r="A2484" s="380" t="s">
        <v>3347</v>
      </c>
      <c r="B2484" s="380" t="str">
        <f>IFERROR(__xludf.DUMMYFUNCTION("""COMPUTED_VALUE"""),"Tula Correspondencia Interna")</f>
        <v>Tula Correspondencia Interna</v>
      </c>
      <c r="C2484" s="380" t="str">
        <f>IFERROR(__xludf.DUMMYFUNCTION("""COMPUTED_VALUE"""),"30000830")</f>
        <v>30000830</v>
      </c>
      <c r="D2484" s="380" t="s">
        <v>767</v>
      </c>
      <c r="E2484" s="380" t="s">
        <v>810</v>
      </c>
      <c r="F2484" s="380" t="s">
        <v>1271</v>
      </c>
      <c r="G2484" s="380" t="s">
        <v>1267</v>
      </c>
      <c r="H2484" s="380" t="s">
        <v>771</v>
      </c>
      <c r="I2484" s="380" t="s">
        <v>1084</v>
      </c>
      <c r="J2484" s="380" t="s">
        <v>773</v>
      </c>
      <c r="K2484" s="381">
        <v>0.0</v>
      </c>
      <c r="L2484" s="382">
        <v>1.0</v>
      </c>
    </row>
    <row r="2485">
      <c r="A2485" s="380" t="s">
        <v>3348</v>
      </c>
      <c r="B2485" s="380" t="str">
        <f>IFERROR(__xludf.DUMMYFUNCTION("""COMPUTED_VALUE"""),"Tensiometro Analogo")</f>
        <v>Tensiometro Analogo</v>
      </c>
      <c r="C2485" s="380" t="str">
        <f>IFERROR(__xludf.DUMMYFUNCTION("""COMPUTED_VALUE"""),"30000831")</f>
        <v>30000831</v>
      </c>
      <c r="D2485" s="380" t="s">
        <v>767</v>
      </c>
      <c r="E2485" s="380" t="s">
        <v>810</v>
      </c>
      <c r="F2485" s="380" t="s">
        <v>811</v>
      </c>
      <c r="G2485" s="380" t="s">
        <v>1267</v>
      </c>
      <c r="H2485" s="380" t="s">
        <v>771</v>
      </c>
      <c r="I2485" s="380" t="s">
        <v>812</v>
      </c>
      <c r="J2485" s="380" t="s">
        <v>773</v>
      </c>
      <c r="K2485" s="381">
        <v>0.0</v>
      </c>
      <c r="L2485" s="382">
        <v>1.0</v>
      </c>
    </row>
    <row r="2486">
      <c r="A2486" s="380" t="s">
        <v>3349</v>
      </c>
      <c r="B2486" s="380" t="str">
        <f>IFERROR(__xludf.DUMMYFUNCTION("""COMPUTED_VALUE"""),"Camisa Oxford A Raya MC 40")</f>
        <v>Camisa Oxford A Raya MC 40</v>
      </c>
      <c r="C2486" s="380" t="str">
        <f>IFERROR(__xludf.DUMMYFUNCTION("""COMPUTED_VALUE"""),"30000832")</f>
        <v>30000832</v>
      </c>
      <c r="D2486" s="380" t="s">
        <v>767</v>
      </c>
      <c r="E2486" s="380" t="s">
        <v>810</v>
      </c>
      <c r="F2486" s="380" t="s">
        <v>1089</v>
      </c>
      <c r="G2486" s="380" t="s">
        <v>1267</v>
      </c>
      <c r="H2486" s="380" t="s">
        <v>771</v>
      </c>
      <c r="I2486" s="380" t="s">
        <v>1084</v>
      </c>
      <c r="J2486" s="380" t="s">
        <v>773</v>
      </c>
      <c r="K2486" s="381">
        <v>39861.0</v>
      </c>
      <c r="L2486" s="382">
        <v>1.0</v>
      </c>
    </row>
    <row r="2487">
      <c r="A2487" s="380" t="s">
        <v>3350</v>
      </c>
      <c r="B2487" s="380" t="str">
        <f>IFERROR(__xludf.DUMMYFUNCTION("""COMPUTED_VALUE"""),"Soporte De Pared Extintor 5 A 30 Lbs")</f>
        <v>Soporte De Pared Extintor 5 A 30 Lbs</v>
      </c>
      <c r="C2487" s="380" t="str">
        <f>IFERROR(__xludf.DUMMYFUNCTION("""COMPUTED_VALUE"""),"30000833")</f>
        <v>30000833</v>
      </c>
      <c r="D2487" s="380" t="s">
        <v>767</v>
      </c>
      <c r="E2487" s="380" t="s">
        <v>810</v>
      </c>
      <c r="F2487" s="380" t="s">
        <v>811</v>
      </c>
      <c r="G2487" s="380" t="s">
        <v>1267</v>
      </c>
      <c r="H2487" s="380" t="s">
        <v>771</v>
      </c>
      <c r="I2487" s="380" t="s">
        <v>812</v>
      </c>
      <c r="J2487" s="380" t="s">
        <v>773</v>
      </c>
      <c r="K2487" s="381">
        <v>0.0</v>
      </c>
      <c r="L2487" s="382">
        <v>1.0</v>
      </c>
    </row>
    <row r="2488">
      <c r="A2488" s="380" t="s">
        <v>3351</v>
      </c>
      <c r="B2488" s="380" t="str">
        <f>IFERROR(__xludf.DUMMYFUNCTION("""COMPUTED_VALUE"""),"Extintor Tipo K 20 Libras Nuevo")</f>
        <v>Extintor Tipo K 20 Libras Nuevo</v>
      </c>
      <c r="C2488" s="380" t="str">
        <f>IFERROR(__xludf.DUMMYFUNCTION("""COMPUTED_VALUE"""),"30000834")</f>
        <v>30000834</v>
      </c>
      <c r="D2488" s="380" t="s">
        <v>767</v>
      </c>
      <c r="E2488" s="380" t="s">
        <v>810</v>
      </c>
      <c r="F2488" s="380" t="s">
        <v>811</v>
      </c>
      <c r="G2488" s="380" t="s">
        <v>1267</v>
      </c>
      <c r="H2488" s="380" t="s">
        <v>771</v>
      </c>
      <c r="I2488" s="380" t="s">
        <v>812</v>
      </c>
      <c r="J2488" s="380" t="s">
        <v>773</v>
      </c>
      <c r="K2488" s="381">
        <v>0.0</v>
      </c>
      <c r="L2488" s="382">
        <v>1.0</v>
      </c>
    </row>
    <row r="2489">
      <c r="A2489" s="380" t="s">
        <v>3352</v>
      </c>
      <c r="B2489" s="380" t="str">
        <f>IFERROR(__xludf.DUMMYFUNCTION("""COMPUTED_VALUE"""),"Estuche Protector Unidad Tim Tc 56")</f>
        <v>Estuche Protector Unidad Tim Tc 56</v>
      </c>
      <c r="C2489" s="380" t="str">
        <f>IFERROR(__xludf.DUMMYFUNCTION("""COMPUTED_VALUE"""),"30000835")</f>
        <v>30000835</v>
      </c>
      <c r="D2489" s="380" t="s">
        <v>767</v>
      </c>
      <c r="E2489" s="380" t="s">
        <v>810</v>
      </c>
      <c r="F2489" s="380" t="s">
        <v>1271</v>
      </c>
      <c r="G2489" s="380" t="s">
        <v>1267</v>
      </c>
      <c r="H2489" s="380" t="s">
        <v>771</v>
      </c>
      <c r="I2489" s="380" t="s">
        <v>1084</v>
      </c>
      <c r="J2489" s="380" t="s">
        <v>773</v>
      </c>
      <c r="K2489" s="381">
        <v>0.0</v>
      </c>
      <c r="L2489" s="382">
        <v>1.0</v>
      </c>
    </row>
    <row r="2490">
      <c r="A2490" s="380" t="s">
        <v>3353</v>
      </c>
      <c r="B2490" s="380" t="str">
        <f>IFERROR(__xludf.DUMMYFUNCTION("""COMPUTED_VALUE"""),"Carnet Brigadista")</f>
        <v>Carnet Brigadista</v>
      </c>
      <c r="C2490" s="380" t="str">
        <f>IFERROR(__xludf.DUMMYFUNCTION("""COMPUTED_VALUE"""),"30000836")</f>
        <v>30000836</v>
      </c>
      <c r="D2490" s="380" t="s">
        <v>767</v>
      </c>
      <c r="E2490" s="380" t="s">
        <v>810</v>
      </c>
      <c r="F2490" s="380" t="s">
        <v>1083</v>
      </c>
      <c r="G2490" s="380" t="s">
        <v>1267</v>
      </c>
      <c r="H2490" s="380" t="s">
        <v>771</v>
      </c>
      <c r="I2490" s="380" t="s">
        <v>1084</v>
      </c>
      <c r="J2490" s="380" t="s">
        <v>773</v>
      </c>
      <c r="K2490" s="381">
        <v>0.0</v>
      </c>
      <c r="L2490" s="382">
        <v>1.0</v>
      </c>
    </row>
    <row r="2491">
      <c r="A2491" s="380" t="s">
        <v>3354</v>
      </c>
      <c r="B2491" s="380" t="str">
        <f>IFERROR(__xludf.DUMMYFUNCTION("""COMPUTED_VALUE"""),"Overol Manejador Canino Ml 34")</f>
        <v>Overol Manejador Canino Ml 34</v>
      </c>
      <c r="C2491" s="380" t="str">
        <f>IFERROR(__xludf.DUMMYFUNCTION("""COMPUTED_VALUE"""),"30000837")</f>
        <v>30000837</v>
      </c>
      <c r="D2491" s="380" t="s">
        <v>767</v>
      </c>
      <c r="E2491" s="380" t="s">
        <v>810</v>
      </c>
      <c r="F2491" s="380" t="s">
        <v>1089</v>
      </c>
      <c r="G2491" s="380" t="s">
        <v>1267</v>
      </c>
      <c r="H2491" s="380" t="s">
        <v>771</v>
      </c>
      <c r="I2491" s="380" t="s">
        <v>1084</v>
      </c>
      <c r="J2491" s="380" t="s">
        <v>773</v>
      </c>
      <c r="K2491" s="381">
        <v>0.0</v>
      </c>
      <c r="L2491" s="382">
        <v>1.0</v>
      </c>
    </row>
    <row r="2492">
      <c r="A2492" s="380" t="s">
        <v>3355</v>
      </c>
      <c r="B2492" s="380" t="str">
        <f>IFERROR(__xludf.DUMMYFUNCTION("""COMPUTED_VALUE"""),"Overol Manejador Canino Ml 44")</f>
        <v>Overol Manejador Canino Ml 44</v>
      </c>
      <c r="C2492" s="380" t="str">
        <f>IFERROR(__xludf.DUMMYFUNCTION("""COMPUTED_VALUE"""),"30000838")</f>
        <v>30000838</v>
      </c>
      <c r="D2492" s="380" t="s">
        <v>767</v>
      </c>
      <c r="E2492" s="380" t="s">
        <v>810</v>
      </c>
      <c r="F2492" s="380" t="s">
        <v>1089</v>
      </c>
      <c r="G2492" s="380" t="s">
        <v>1267</v>
      </c>
      <c r="H2492" s="380" t="s">
        <v>771</v>
      </c>
      <c r="I2492" s="380" t="s">
        <v>1084</v>
      </c>
      <c r="J2492" s="380" t="s">
        <v>773</v>
      </c>
      <c r="K2492" s="381">
        <v>0.0</v>
      </c>
      <c r="L2492" s="382">
        <v>1.0</v>
      </c>
    </row>
    <row r="2493">
      <c r="A2493" s="380" t="s">
        <v>3356</v>
      </c>
      <c r="B2493" s="380" t="str">
        <f>IFERROR(__xludf.DUMMYFUNCTION("""COMPUTED_VALUE"""),"Overol Manejador Canino Ml 40")</f>
        <v>Overol Manejador Canino Ml 40</v>
      </c>
      <c r="C2493" s="380" t="str">
        <f>IFERROR(__xludf.DUMMYFUNCTION("""COMPUTED_VALUE"""),"30000839")</f>
        <v>30000839</v>
      </c>
      <c r="D2493" s="380" t="s">
        <v>767</v>
      </c>
      <c r="E2493" s="380" t="s">
        <v>810</v>
      </c>
      <c r="F2493" s="380" t="s">
        <v>1089</v>
      </c>
      <c r="G2493" s="380" t="s">
        <v>1267</v>
      </c>
      <c r="H2493" s="380" t="s">
        <v>771</v>
      </c>
      <c r="I2493" s="380" t="s">
        <v>1084</v>
      </c>
      <c r="J2493" s="380" t="s">
        <v>773</v>
      </c>
      <c r="K2493" s="381">
        <v>0.0</v>
      </c>
      <c r="L2493" s="382">
        <v>1.0</v>
      </c>
    </row>
    <row r="2494">
      <c r="A2494" s="380" t="s">
        <v>3357</v>
      </c>
      <c r="B2494" s="380" t="str">
        <f>IFERROR(__xludf.DUMMYFUNCTION("""COMPUTED_VALUE"""),"Overol Manejador Canino Ml 38")</f>
        <v>Overol Manejador Canino Ml 38</v>
      </c>
      <c r="C2494" s="380" t="str">
        <f>IFERROR(__xludf.DUMMYFUNCTION("""COMPUTED_VALUE"""),"30000840")</f>
        <v>30000840</v>
      </c>
      <c r="D2494" s="380" t="s">
        <v>767</v>
      </c>
      <c r="E2494" s="380" t="s">
        <v>810</v>
      </c>
      <c r="F2494" s="380" t="s">
        <v>1089</v>
      </c>
      <c r="G2494" s="380" t="s">
        <v>1267</v>
      </c>
      <c r="H2494" s="380" t="s">
        <v>771</v>
      </c>
      <c r="I2494" s="380" t="s">
        <v>1084</v>
      </c>
      <c r="J2494" s="380" t="s">
        <v>773</v>
      </c>
      <c r="K2494" s="381">
        <v>0.0</v>
      </c>
      <c r="L2494" s="382">
        <v>1.0</v>
      </c>
    </row>
    <row r="2495">
      <c r="A2495" s="380" t="s">
        <v>3358</v>
      </c>
      <c r="B2495" s="380" t="str">
        <f>IFERROR(__xludf.DUMMYFUNCTION("""COMPUTED_VALUE"""),"Overol Manejador Canino Ml 36")</f>
        <v>Overol Manejador Canino Ml 36</v>
      </c>
      <c r="C2495" s="380" t="str">
        <f>IFERROR(__xludf.DUMMYFUNCTION("""COMPUTED_VALUE"""),"30000841")</f>
        <v>30000841</v>
      </c>
      <c r="D2495" s="380" t="s">
        <v>767</v>
      </c>
      <c r="E2495" s="380" t="s">
        <v>810</v>
      </c>
      <c r="F2495" s="380" t="s">
        <v>1089</v>
      </c>
      <c r="G2495" s="380" t="s">
        <v>1267</v>
      </c>
      <c r="H2495" s="380" t="s">
        <v>771</v>
      </c>
      <c r="I2495" s="380" t="s">
        <v>1084</v>
      </c>
      <c r="J2495" s="380" t="s">
        <v>773</v>
      </c>
      <c r="K2495" s="381">
        <v>0.0</v>
      </c>
      <c r="L2495" s="382">
        <v>1.0</v>
      </c>
    </row>
    <row r="2496">
      <c r="A2496" s="380" t="s">
        <v>3359</v>
      </c>
      <c r="B2496" s="380" t="str">
        <f>IFERROR(__xludf.DUMMYFUNCTION("""COMPUTED_VALUE"""),"Overol Manejador Canino Ml 42")</f>
        <v>Overol Manejador Canino Ml 42</v>
      </c>
      <c r="C2496" s="380" t="str">
        <f>IFERROR(__xludf.DUMMYFUNCTION("""COMPUTED_VALUE"""),"30000842")</f>
        <v>30000842</v>
      </c>
      <c r="D2496" s="380" t="s">
        <v>767</v>
      </c>
      <c r="E2496" s="380" t="s">
        <v>810</v>
      </c>
      <c r="F2496" s="380" t="s">
        <v>1089</v>
      </c>
      <c r="G2496" s="380" t="s">
        <v>1267</v>
      </c>
      <c r="H2496" s="380" t="s">
        <v>771</v>
      </c>
      <c r="I2496" s="380" t="s">
        <v>1084</v>
      </c>
      <c r="J2496" s="380" t="s">
        <v>773</v>
      </c>
      <c r="K2496" s="381">
        <v>0.0</v>
      </c>
      <c r="L2496" s="382">
        <v>1.0</v>
      </c>
    </row>
    <row r="2497">
      <c r="A2497" s="380" t="s">
        <v>3360</v>
      </c>
      <c r="B2497" s="380" t="str">
        <f>IFERROR(__xludf.DUMMYFUNCTION("""COMPUTED_VALUE"""),"Camisa Oxford A Raya MC 42")</f>
        <v>Camisa Oxford A Raya MC 42</v>
      </c>
      <c r="C2497" s="380" t="str">
        <f>IFERROR(__xludf.DUMMYFUNCTION("""COMPUTED_VALUE"""),"30000843")</f>
        <v>30000843</v>
      </c>
      <c r="D2497" s="380" t="s">
        <v>767</v>
      </c>
      <c r="E2497" s="380" t="s">
        <v>810</v>
      </c>
      <c r="F2497" s="380" t="s">
        <v>1089</v>
      </c>
      <c r="G2497" s="380" t="s">
        <v>1267</v>
      </c>
      <c r="H2497" s="380" t="s">
        <v>771</v>
      </c>
      <c r="I2497" s="380" t="s">
        <v>1084</v>
      </c>
      <c r="J2497" s="380" t="s">
        <v>773</v>
      </c>
      <c r="K2497" s="381">
        <v>0.0</v>
      </c>
      <c r="L2497" s="382">
        <v>1.0</v>
      </c>
    </row>
    <row r="2498">
      <c r="A2498" s="380" t="s">
        <v>3361</v>
      </c>
      <c r="B2498" s="380" t="str">
        <f>IFERROR(__xludf.DUMMYFUNCTION("""COMPUTED_VALUE"""),"Termometro Digital Botiquin")</f>
        <v>Termometro Digital Botiquin</v>
      </c>
      <c r="C2498" s="380" t="str">
        <f>IFERROR(__xludf.DUMMYFUNCTION("""COMPUTED_VALUE"""),"30000844")</f>
        <v>30000844</v>
      </c>
      <c r="D2498" s="380" t="s">
        <v>767</v>
      </c>
      <c r="E2498" s="380" t="s">
        <v>810</v>
      </c>
      <c r="F2498" s="380" t="s">
        <v>811</v>
      </c>
      <c r="G2498" s="380" t="s">
        <v>1267</v>
      </c>
      <c r="H2498" s="380" t="s">
        <v>771</v>
      </c>
      <c r="I2498" s="380" t="s">
        <v>812</v>
      </c>
      <c r="J2498" s="380" t="s">
        <v>773</v>
      </c>
      <c r="K2498" s="381">
        <v>0.0</v>
      </c>
      <c r="L2498" s="382">
        <v>1.0</v>
      </c>
    </row>
    <row r="2499">
      <c r="A2499" s="380" t="s">
        <v>3362</v>
      </c>
      <c r="B2499" s="380" t="str">
        <f>IFERROR(__xludf.DUMMYFUNCTION("""COMPUTED_VALUE"""),"Arnes Media Cara L 6200")</f>
        <v>Arnes Media Cara L 6200</v>
      </c>
      <c r="C2499" s="380" t="str">
        <f>IFERROR(__xludf.DUMMYFUNCTION("""COMPUTED_VALUE"""),"30000845")</f>
        <v>30000845</v>
      </c>
      <c r="D2499" s="380" t="s">
        <v>767</v>
      </c>
      <c r="E2499" s="380" t="s">
        <v>810</v>
      </c>
      <c r="F2499" s="380" t="s">
        <v>1083</v>
      </c>
      <c r="G2499" s="380" t="s">
        <v>1267</v>
      </c>
      <c r="H2499" s="380" t="s">
        <v>771</v>
      </c>
      <c r="I2499" s="380" t="s">
        <v>1084</v>
      </c>
      <c r="J2499" s="380" t="s">
        <v>773</v>
      </c>
      <c r="K2499" s="381">
        <v>31116.0</v>
      </c>
      <c r="L2499" s="382">
        <v>1.0</v>
      </c>
    </row>
    <row r="2500">
      <c r="A2500" s="380" t="s">
        <v>3363</v>
      </c>
      <c r="B2500" s="380" t="str">
        <f>IFERROR(__xludf.DUMMYFUNCTION("""COMPUTED_VALUE"""),"Chaleco Reflectivo Verde Naranja")</f>
        <v>Chaleco Reflectivo Verde Naranja</v>
      </c>
      <c r="C2500" s="380" t="str">
        <f>IFERROR(__xludf.DUMMYFUNCTION("""COMPUTED_VALUE"""),"30000846")</f>
        <v>30000846</v>
      </c>
      <c r="D2500" s="380" t="s">
        <v>767</v>
      </c>
      <c r="E2500" s="380" t="s">
        <v>810</v>
      </c>
      <c r="F2500" s="380" t="s">
        <v>1083</v>
      </c>
      <c r="G2500" s="380" t="s">
        <v>1267</v>
      </c>
      <c r="H2500" s="380" t="s">
        <v>771</v>
      </c>
      <c r="I2500" s="380" t="s">
        <v>1084</v>
      </c>
      <c r="J2500" s="380" t="s">
        <v>773</v>
      </c>
      <c r="K2500" s="381">
        <v>0.0</v>
      </c>
      <c r="L2500" s="382">
        <v>1.0</v>
      </c>
    </row>
    <row r="2501">
      <c r="A2501" s="380" t="s">
        <v>3364</v>
      </c>
      <c r="B2501" s="380" t="str">
        <f>IFERROR(__xludf.DUMMYFUNCTION("""COMPUTED_VALUE"""),"Casco Mountain Trabajo Alturas")</f>
        <v>Casco Mountain Trabajo Alturas</v>
      </c>
      <c r="C2501" s="380" t="str">
        <f>IFERROR(__xludf.DUMMYFUNCTION("""COMPUTED_VALUE"""),"30000847")</f>
        <v>30000847</v>
      </c>
      <c r="D2501" s="380" t="s">
        <v>767</v>
      </c>
      <c r="E2501" s="380" t="s">
        <v>810</v>
      </c>
      <c r="F2501" s="380" t="s">
        <v>1083</v>
      </c>
      <c r="G2501" s="380" t="s">
        <v>1267</v>
      </c>
      <c r="H2501" s="380" t="s">
        <v>771</v>
      </c>
      <c r="I2501" s="380" t="s">
        <v>1084</v>
      </c>
      <c r="J2501" s="380" t="s">
        <v>773</v>
      </c>
      <c r="K2501" s="381">
        <v>0.0</v>
      </c>
      <c r="L2501" s="382">
        <v>1.0</v>
      </c>
    </row>
    <row r="2502">
      <c r="A2502" s="380" t="s">
        <v>3365</v>
      </c>
      <c r="B2502" s="380" t="str">
        <f>IFERROR(__xludf.DUMMYFUNCTION("""COMPUTED_VALUE"""),"Sensor Alcoholimetro 7000-6000-3100")</f>
        <v>Sensor Alcoholimetro 7000-6000-3100</v>
      </c>
      <c r="C2502" s="380" t="str">
        <f>IFERROR(__xludf.DUMMYFUNCTION("""COMPUTED_VALUE"""),"30000848")</f>
        <v>30000848</v>
      </c>
      <c r="D2502" s="380" t="s">
        <v>767</v>
      </c>
      <c r="E2502" s="380" t="s">
        <v>810</v>
      </c>
      <c r="F2502" s="380" t="s">
        <v>1083</v>
      </c>
      <c r="G2502" s="380" t="s">
        <v>1267</v>
      </c>
      <c r="H2502" s="380" t="s">
        <v>771</v>
      </c>
      <c r="I2502" s="380" t="s">
        <v>1084</v>
      </c>
      <c r="J2502" s="380" t="s">
        <v>773</v>
      </c>
      <c r="K2502" s="381">
        <v>0.0</v>
      </c>
      <c r="L2502" s="382">
        <v>1.0</v>
      </c>
    </row>
    <row r="2503">
      <c r="A2503" s="380" t="s">
        <v>3366</v>
      </c>
      <c r="B2503" s="380" t="str">
        <f>IFERROR(__xludf.DUMMYFUNCTION("""COMPUTED_VALUE"""),"Morral Targus Cvr600 Groove PC 15,4""")</f>
        <v>Morral Targus Cvr600 Groove PC 15,4"</v>
      </c>
      <c r="C2503" s="380" t="str">
        <f>IFERROR(__xludf.DUMMYFUNCTION("""COMPUTED_VALUE"""),"30000849")</f>
        <v>30000849</v>
      </c>
      <c r="D2503" s="380" t="s">
        <v>767</v>
      </c>
      <c r="E2503" s="380" t="s">
        <v>810</v>
      </c>
      <c r="F2503" s="380" t="s">
        <v>1271</v>
      </c>
      <c r="G2503" s="380" t="s">
        <v>1267</v>
      </c>
      <c r="H2503" s="380" t="s">
        <v>771</v>
      </c>
      <c r="I2503" s="380" t="s">
        <v>1084</v>
      </c>
      <c r="J2503" s="380" t="s">
        <v>773</v>
      </c>
      <c r="K2503" s="381">
        <v>0.0</v>
      </c>
      <c r="L2503" s="382">
        <v>1.0</v>
      </c>
    </row>
    <row r="2504">
      <c r="A2504" s="380" t="s">
        <v>3367</v>
      </c>
      <c r="B2504" s="380" t="str">
        <f>IFERROR(__xludf.DUMMYFUNCTION("""COMPUTED_VALUE"""),"Casco Protect Dielectrico Sin Barbuquejo")</f>
        <v>Casco Protect Dielectrico Sin Barbuquejo</v>
      </c>
      <c r="C2504" s="380" t="str">
        <f>IFERROR(__xludf.DUMMYFUNCTION("""COMPUTED_VALUE"""),"30000850")</f>
        <v>30000850</v>
      </c>
      <c r="D2504" s="380" t="s">
        <v>767</v>
      </c>
      <c r="E2504" s="380" t="s">
        <v>810</v>
      </c>
      <c r="F2504" s="380" t="s">
        <v>1083</v>
      </c>
      <c r="G2504" s="380" t="s">
        <v>1267</v>
      </c>
      <c r="H2504" s="380" t="s">
        <v>771</v>
      </c>
      <c r="I2504" s="380" t="s">
        <v>1084</v>
      </c>
      <c r="J2504" s="380" t="s">
        <v>773</v>
      </c>
      <c r="K2504" s="381">
        <v>0.0</v>
      </c>
      <c r="L2504" s="382">
        <v>1.0</v>
      </c>
    </row>
    <row r="2505">
      <c r="A2505" s="380" t="s">
        <v>3368</v>
      </c>
      <c r="B2505" s="380" t="str">
        <f>IFERROR(__xludf.DUMMYFUNCTION("""COMPUTED_VALUE"""),"Extintor Agua Penetrante Recar 2.5 Gal")</f>
        <v>Extintor Agua Penetrante Recar 2.5 Gal</v>
      </c>
      <c r="C2505" s="380" t="str">
        <f>IFERROR(__xludf.DUMMYFUNCTION("""COMPUTED_VALUE"""),"30000851")</f>
        <v>30000851</v>
      </c>
      <c r="D2505" s="380" t="s">
        <v>767</v>
      </c>
      <c r="E2505" s="380" t="s">
        <v>810</v>
      </c>
      <c r="F2505" s="380" t="s">
        <v>811</v>
      </c>
      <c r="G2505" s="380" t="s">
        <v>1267</v>
      </c>
      <c r="H2505" s="380" t="s">
        <v>771</v>
      </c>
      <c r="I2505" s="380" t="s">
        <v>812</v>
      </c>
      <c r="J2505" s="380" t="s">
        <v>773</v>
      </c>
      <c r="K2505" s="381">
        <v>0.0</v>
      </c>
      <c r="L2505" s="382">
        <v>1.0</v>
      </c>
    </row>
    <row r="2506">
      <c r="A2506" s="380" t="s">
        <v>3369</v>
      </c>
      <c r="B2506" s="380" t="str">
        <f>IFERROR(__xludf.DUMMYFUNCTION("""COMPUTED_VALUE"""),"Extintor Abc 5 Libras Recargado")</f>
        <v>Extintor Abc 5 Libras Recargado</v>
      </c>
      <c r="C2506" s="380" t="str">
        <f>IFERROR(__xludf.DUMMYFUNCTION("""COMPUTED_VALUE"""),"30000852")</f>
        <v>30000852</v>
      </c>
      <c r="D2506" s="380" t="s">
        <v>767</v>
      </c>
      <c r="E2506" s="380" t="s">
        <v>810</v>
      </c>
      <c r="F2506" s="380" t="s">
        <v>811</v>
      </c>
      <c r="G2506" s="380" t="s">
        <v>1267</v>
      </c>
      <c r="H2506" s="380" t="s">
        <v>771</v>
      </c>
      <c r="I2506" s="380" t="s">
        <v>812</v>
      </c>
      <c r="J2506" s="380" t="s">
        <v>773</v>
      </c>
      <c r="K2506" s="381">
        <v>17850.0</v>
      </c>
      <c r="L2506" s="382">
        <v>1.0</v>
      </c>
    </row>
    <row r="2507">
      <c r="A2507" s="380" t="s">
        <v>3370</v>
      </c>
      <c r="B2507" s="380" t="str">
        <f>IFERROR(__xludf.DUMMYFUNCTION("""COMPUTED_VALUE"""),"Camisa Oxford A Raya MC 34")</f>
        <v>Camisa Oxford A Raya MC 34</v>
      </c>
      <c r="C2507" s="380" t="str">
        <f>IFERROR(__xludf.DUMMYFUNCTION("""COMPUTED_VALUE"""),"30000853")</f>
        <v>30000853</v>
      </c>
      <c r="D2507" s="380" t="s">
        <v>767</v>
      </c>
      <c r="E2507" s="380" t="s">
        <v>810</v>
      </c>
      <c r="F2507" s="380" t="s">
        <v>1089</v>
      </c>
      <c r="G2507" s="380" t="s">
        <v>1267</v>
      </c>
      <c r="H2507" s="380" t="s">
        <v>771</v>
      </c>
      <c r="I2507" s="380" t="s">
        <v>1084</v>
      </c>
      <c r="J2507" s="380" t="s">
        <v>773</v>
      </c>
      <c r="K2507" s="381">
        <v>0.0</v>
      </c>
      <c r="L2507" s="382">
        <v>1.0</v>
      </c>
    </row>
    <row r="2508">
      <c r="A2508" s="380" t="s">
        <v>3371</v>
      </c>
      <c r="B2508" s="380" t="str">
        <f>IFERROR(__xludf.DUMMYFUNCTION("""COMPUTED_VALUE"""),"Extintor Abc 10 Libras Recargado")</f>
        <v>Extintor Abc 10 Libras Recargado</v>
      </c>
      <c r="C2508" s="380" t="str">
        <f>IFERROR(__xludf.DUMMYFUNCTION("""COMPUTED_VALUE"""),"30000854")</f>
        <v>30000854</v>
      </c>
      <c r="D2508" s="380" t="s">
        <v>767</v>
      </c>
      <c r="E2508" s="380" t="s">
        <v>810</v>
      </c>
      <c r="F2508" s="380" t="s">
        <v>811</v>
      </c>
      <c r="G2508" s="380" t="s">
        <v>1267</v>
      </c>
      <c r="H2508" s="380" t="s">
        <v>771</v>
      </c>
      <c r="I2508" s="380" t="s">
        <v>812</v>
      </c>
      <c r="J2508" s="380" t="s">
        <v>773</v>
      </c>
      <c r="K2508" s="381">
        <v>38444.0</v>
      </c>
      <c r="L2508" s="382">
        <v>1.0</v>
      </c>
    </row>
    <row r="2509">
      <c r="A2509" s="380" t="s">
        <v>3372</v>
      </c>
      <c r="B2509" s="380" t="str">
        <f>IFERROR(__xludf.DUMMYFUNCTION("""COMPUTED_VALUE"""),"Extintor Abc 20 Libras Recargado")</f>
        <v>Extintor Abc 20 Libras Recargado</v>
      </c>
      <c r="C2509" s="380" t="str">
        <f>IFERROR(__xludf.DUMMYFUNCTION("""COMPUTED_VALUE"""),"30000855")</f>
        <v>30000855</v>
      </c>
      <c r="D2509" s="380" t="s">
        <v>767</v>
      </c>
      <c r="E2509" s="380" t="s">
        <v>810</v>
      </c>
      <c r="F2509" s="380" t="s">
        <v>811</v>
      </c>
      <c r="G2509" s="380" t="s">
        <v>1267</v>
      </c>
      <c r="H2509" s="380" t="s">
        <v>771</v>
      </c>
      <c r="I2509" s="380" t="s">
        <v>812</v>
      </c>
      <c r="J2509" s="380" t="s">
        <v>773</v>
      </c>
      <c r="K2509" s="381">
        <v>0.0</v>
      </c>
      <c r="L2509" s="382">
        <v>1.0</v>
      </c>
    </row>
    <row r="2510">
      <c r="A2510" s="380" t="s">
        <v>3373</v>
      </c>
      <c r="B2510" s="380" t="str">
        <f>IFERROR(__xludf.DUMMYFUNCTION("""COMPUTED_VALUE"""),"Extintor Abc 10 Libras Nuevo")</f>
        <v>Extintor Abc 10 Libras Nuevo</v>
      </c>
      <c r="C2510" s="380" t="str">
        <f>IFERROR(__xludf.DUMMYFUNCTION("""COMPUTED_VALUE"""),"30000856")</f>
        <v>30000856</v>
      </c>
      <c r="D2510" s="380" t="s">
        <v>767</v>
      </c>
      <c r="E2510" s="380" t="s">
        <v>810</v>
      </c>
      <c r="F2510" s="380" t="s">
        <v>811</v>
      </c>
      <c r="G2510" s="380" t="s">
        <v>1267</v>
      </c>
      <c r="H2510" s="380" t="s">
        <v>771</v>
      </c>
      <c r="I2510" s="380" t="s">
        <v>812</v>
      </c>
      <c r="J2510" s="380" t="s">
        <v>773</v>
      </c>
      <c r="K2510" s="381">
        <v>65450.0</v>
      </c>
      <c r="L2510" s="382">
        <v>1.0</v>
      </c>
    </row>
    <row r="2511">
      <c r="A2511" s="380" t="s">
        <v>3374</v>
      </c>
      <c r="B2511" s="380" t="str">
        <f>IFERROR(__xludf.DUMMYFUNCTION("""COMPUTED_VALUE"""),"Tapabocas Individual Desechable")</f>
        <v>Tapabocas Individual Desechable</v>
      </c>
      <c r="C2511" s="380" t="str">
        <f>IFERROR(__xludf.DUMMYFUNCTION("""COMPUTED_VALUE"""),"30000857")</f>
        <v>30000857</v>
      </c>
      <c r="D2511" s="380" t="s">
        <v>767</v>
      </c>
      <c r="E2511" s="380" t="s">
        <v>810</v>
      </c>
      <c r="F2511" s="380" t="s">
        <v>1083</v>
      </c>
      <c r="G2511" s="380" t="s">
        <v>1267</v>
      </c>
      <c r="H2511" s="380" t="s">
        <v>771</v>
      </c>
      <c r="I2511" s="380" t="s">
        <v>1084</v>
      </c>
      <c r="J2511" s="380" t="s">
        <v>773</v>
      </c>
      <c r="K2511" s="381">
        <v>0.0</v>
      </c>
      <c r="L2511" s="382">
        <v>1.0</v>
      </c>
    </row>
    <row r="2512">
      <c r="A2512" s="380" t="s">
        <v>3375</v>
      </c>
      <c r="B2512" s="380" t="str">
        <f>IFERROR(__xludf.DUMMYFUNCTION("""COMPUTED_VALUE"""),"Solucion Yodada 30cc")</f>
        <v>Solucion Yodada 30cc</v>
      </c>
      <c r="C2512" s="380" t="str">
        <f>IFERROR(__xludf.DUMMYFUNCTION("""COMPUTED_VALUE"""),"30000858")</f>
        <v>30000858</v>
      </c>
      <c r="D2512" s="380" t="s">
        <v>767</v>
      </c>
      <c r="E2512" s="380" t="s">
        <v>810</v>
      </c>
      <c r="F2512" s="380" t="s">
        <v>811</v>
      </c>
      <c r="G2512" s="380" t="s">
        <v>1267</v>
      </c>
      <c r="H2512" s="380" t="s">
        <v>771</v>
      </c>
      <c r="I2512" s="380" t="s">
        <v>812</v>
      </c>
      <c r="J2512" s="380" t="s">
        <v>773</v>
      </c>
      <c r="K2512" s="381">
        <v>0.0</v>
      </c>
      <c r="L2512" s="382">
        <v>1.0</v>
      </c>
    </row>
    <row r="2513">
      <c r="A2513" s="380" t="s">
        <v>3376</v>
      </c>
      <c r="B2513" s="380" t="str">
        <f>IFERROR(__xludf.DUMMYFUNCTION("""COMPUTED_VALUE"""),"Extintor Abc 5 Libras Nuevo")</f>
        <v>Extintor Abc 5 Libras Nuevo</v>
      </c>
      <c r="C2513" s="380" t="str">
        <f>IFERROR(__xludf.DUMMYFUNCTION("""COMPUTED_VALUE"""),"30000859")</f>
        <v>30000859</v>
      </c>
      <c r="D2513" s="380" t="s">
        <v>767</v>
      </c>
      <c r="E2513" s="380" t="s">
        <v>810</v>
      </c>
      <c r="F2513" s="380" t="s">
        <v>811</v>
      </c>
      <c r="G2513" s="380" t="s">
        <v>1267</v>
      </c>
      <c r="H2513" s="380" t="s">
        <v>771</v>
      </c>
      <c r="I2513" s="380" t="s">
        <v>812</v>
      </c>
      <c r="J2513" s="380" t="s">
        <v>773</v>
      </c>
      <c r="K2513" s="381">
        <v>0.0</v>
      </c>
      <c r="L2513" s="382">
        <v>1.0</v>
      </c>
    </row>
    <row r="2514">
      <c r="A2514" s="380" t="s">
        <v>3377</v>
      </c>
      <c r="B2514" s="380" t="str">
        <f>IFERROR(__xludf.DUMMYFUNCTION("""COMPUTED_VALUE"""),"Soporte Base Extintor 20 Lbs")</f>
        <v>Soporte Base Extintor 20 Lbs</v>
      </c>
      <c r="C2514" s="380" t="str">
        <f>IFERROR(__xludf.DUMMYFUNCTION("""COMPUTED_VALUE"""),"30000860")</f>
        <v>30000860</v>
      </c>
      <c r="D2514" s="380" t="s">
        <v>767</v>
      </c>
      <c r="E2514" s="380" t="s">
        <v>810</v>
      </c>
      <c r="F2514" s="380" t="s">
        <v>811</v>
      </c>
      <c r="G2514" s="380" t="s">
        <v>1267</v>
      </c>
      <c r="H2514" s="380" t="s">
        <v>771</v>
      </c>
      <c r="I2514" s="380" t="s">
        <v>812</v>
      </c>
      <c r="J2514" s="380" t="s">
        <v>773</v>
      </c>
      <c r="K2514" s="381">
        <v>0.0</v>
      </c>
      <c r="L2514" s="382">
        <v>1.0</v>
      </c>
    </row>
    <row r="2515">
      <c r="A2515" s="380" t="s">
        <v>3378</v>
      </c>
      <c r="B2515" s="380" t="str">
        <f>IFERROR(__xludf.DUMMYFUNCTION("""COMPUTED_VALUE"""),"Extintor Co2 10 Libras Recargado")</f>
        <v>Extintor Co2 10 Libras Recargado</v>
      </c>
      <c r="C2515" s="380" t="str">
        <f>IFERROR(__xludf.DUMMYFUNCTION("""COMPUTED_VALUE"""),"30000861")</f>
        <v>30000861</v>
      </c>
      <c r="D2515" s="380" t="s">
        <v>767</v>
      </c>
      <c r="E2515" s="380" t="s">
        <v>810</v>
      </c>
      <c r="F2515" s="380" t="s">
        <v>811</v>
      </c>
      <c r="G2515" s="380" t="s">
        <v>1267</v>
      </c>
      <c r="H2515" s="380" t="s">
        <v>771</v>
      </c>
      <c r="I2515" s="380" t="s">
        <v>812</v>
      </c>
      <c r="J2515" s="380" t="s">
        <v>773</v>
      </c>
      <c r="K2515" s="381">
        <v>0.0</v>
      </c>
      <c r="L2515" s="382">
        <v>1.0</v>
      </c>
    </row>
    <row r="2516">
      <c r="A2516" s="380" t="s">
        <v>3379</v>
      </c>
      <c r="B2516" s="380" t="str">
        <f>IFERROR(__xludf.DUMMYFUNCTION("""COMPUTED_VALUE"""),"Botas Soldador Rh245 Negra 40")</f>
        <v>Botas Soldador Rh245 Negra 40</v>
      </c>
      <c r="C2516" s="380" t="str">
        <f>IFERROR(__xludf.DUMMYFUNCTION("""COMPUTED_VALUE"""),"30000862")</f>
        <v>30000862</v>
      </c>
      <c r="D2516" s="380" t="s">
        <v>767</v>
      </c>
      <c r="E2516" s="380" t="s">
        <v>810</v>
      </c>
      <c r="F2516" s="380" t="s">
        <v>1083</v>
      </c>
      <c r="G2516" s="380" t="s">
        <v>1267</v>
      </c>
      <c r="H2516" s="380" t="s">
        <v>771</v>
      </c>
      <c r="I2516" s="380" t="s">
        <v>1084</v>
      </c>
      <c r="J2516" s="380" t="s">
        <v>773</v>
      </c>
      <c r="K2516" s="381">
        <v>0.0</v>
      </c>
      <c r="L2516" s="382">
        <v>1.0</v>
      </c>
    </row>
    <row r="2517">
      <c r="A2517" s="380" t="s">
        <v>3380</v>
      </c>
      <c r="B2517" s="380" t="str">
        <f>IFERROR(__xludf.DUMMYFUNCTION("""COMPUTED_VALUE"""),"Botas Soldador Rh245 Negra 45")</f>
        <v>Botas Soldador Rh245 Negra 45</v>
      </c>
      <c r="C2517" s="380" t="str">
        <f>IFERROR(__xludf.DUMMYFUNCTION("""COMPUTED_VALUE"""),"30000863")</f>
        <v>30000863</v>
      </c>
      <c r="D2517" s="380" t="s">
        <v>767</v>
      </c>
      <c r="E2517" s="380" t="s">
        <v>810</v>
      </c>
      <c r="F2517" s="380" t="s">
        <v>1083</v>
      </c>
      <c r="G2517" s="380" t="s">
        <v>1267</v>
      </c>
      <c r="H2517" s="380" t="s">
        <v>771</v>
      </c>
      <c r="I2517" s="380" t="s">
        <v>1084</v>
      </c>
      <c r="J2517" s="380" t="s">
        <v>773</v>
      </c>
      <c r="K2517" s="381">
        <v>0.0</v>
      </c>
      <c r="L2517" s="382">
        <v>1.0</v>
      </c>
    </row>
    <row r="2518">
      <c r="A2518" s="380" t="s">
        <v>3381</v>
      </c>
      <c r="B2518" s="380" t="str">
        <f>IFERROR(__xludf.DUMMYFUNCTION("""COMPUTED_VALUE"""),"Botas Soldador Rh245 Negra 42")</f>
        <v>Botas Soldador Rh245 Negra 42</v>
      </c>
      <c r="C2518" s="380" t="str">
        <f>IFERROR(__xludf.DUMMYFUNCTION("""COMPUTED_VALUE"""),"30000864")</f>
        <v>30000864</v>
      </c>
      <c r="D2518" s="380" t="s">
        <v>767</v>
      </c>
      <c r="E2518" s="380" t="s">
        <v>810</v>
      </c>
      <c r="F2518" s="380" t="s">
        <v>1083</v>
      </c>
      <c r="G2518" s="380" t="s">
        <v>1267</v>
      </c>
      <c r="H2518" s="380" t="s">
        <v>771</v>
      </c>
      <c r="I2518" s="380" t="s">
        <v>1084</v>
      </c>
      <c r="J2518" s="380" t="s">
        <v>773</v>
      </c>
      <c r="K2518" s="381">
        <v>0.0</v>
      </c>
      <c r="L2518" s="382">
        <v>1.0</v>
      </c>
    </row>
    <row r="2519">
      <c r="A2519" s="380" t="s">
        <v>3382</v>
      </c>
      <c r="B2519" s="380" t="str">
        <f>IFERROR(__xludf.DUMMYFUNCTION("""COMPUTED_VALUE"""),"Botas Soldador Rh245 Negra 41")</f>
        <v>Botas Soldador Rh245 Negra 41</v>
      </c>
      <c r="C2519" s="380" t="str">
        <f>IFERROR(__xludf.DUMMYFUNCTION("""COMPUTED_VALUE"""),"30000865")</f>
        <v>30000865</v>
      </c>
      <c r="D2519" s="380" t="s">
        <v>767</v>
      </c>
      <c r="E2519" s="380" t="s">
        <v>810</v>
      </c>
      <c r="F2519" s="380" t="s">
        <v>1083</v>
      </c>
      <c r="G2519" s="380" t="s">
        <v>1267</v>
      </c>
      <c r="H2519" s="380" t="s">
        <v>771</v>
      </c>
      <c r="I2519" s="380" t="s">
        <v>1084</v>
      </c>
      <c r="J2519" s="380" t="s">
        <v>773</v>
      </c>
      <c r="K2519" s="381">
        <v>0.0</v>
      </c>
      <c r="L2519" s="382">
        <v>1.0</v>
      </c>
    </row>
    <row r="2520">
      <c r="A2520" s="380" t="s">
        <v>3383</v>
      </c>
      <c r="B2520" s="380" t="str">
        <f>IFERROR(__xludf.DUMMYFUNCTION("""COMPUTED_VALUE"""),"Botas Soldador Rh245 Negra 44")</f>
        <v>Botas Soldador Rh245 Negra 44</v>
      </c>
      <c r="C2520" s="380" t="str">
        <f>IFERROR(__xludf.DUMMYFUNCTION("""COMPUTED_VALUE"""),"30000866")</f>
        <v>30000866</v>
      </c>
      <c r="D2520" s="380" t="s">
        <v>767</v>
      </c>
      <c r="E2520" s="380" t="s">
        <v>810</v>
      </c>
      <c r="F2520" s="380" t="s">
        <v>1083</v>
      </c>
      <c r="G2520" s="380" t="s">
        <v>1267</v>
      </c>
      <c r="H2520" s="380" t="s">
        <v>771</v>
      </c>
      <c r="I2520" s="380" t="s">
        <v>1084</v>
      </c>
      <c r="J2520" s="380" t="s">
        <v>773</v>
      </c>
      <c r="K2520" s="381">
        <v>0.0</v>
      </c>
      <c r="L2520" s="382">
        <v>1.0</v>
      </c>
    </row>
    <row r="2521">
      <c r="A2521" s="380" t="s">
        <v>3384</v>
      </c>
      <c r="B2521" s="380" t="str">
        <f>IFERROR(__xludf.DUMMYFUNCTION("""COMPUTED_VALUE"""),"Botas Soldador Rh245 Negra 43")</f>
        <v>Botas Soldador Rh245 Negra 43</v>
      </c>
      <c r="C2521" s="380" t="str">
        <f>IFERROR(__xludf.DUMMYFUNCTION("""COMPUTED_VALUE"""),"30000867")</f>
        <v>30000867</v>
      </c>
      <c r="D2521" s="380" t="s">
        <v>767</v>
      </c>
      <c r="E2521" s="380" t="s">
        <v>810</v>
      </c>
      <c r="F2521" s="380" t="s">
        <v>1083</v>
      </c>
      <c r="G2521" s="380" t="s">
        <v>1267</v>
      </c>
      <c r="H2521" s="380" t="s">
        <v>771</v>
      </c>
      <c r="I2521" s="380" t="s">
        <v>1084</v>
      </c>
      <c r="J2521" s="380" t="s">
        <v>773</v>
      </c>
      <c r="K2521" s="381">
        <v>0.0</v>
      </c>
      <c r="L2521" s="382">
        <v>1.0</v>
      </c>
    </row>
    <row r="2522">
      <c r="A2522" s="380" t="s">
        <v>3385</v>
      </c>
      <c r="B2522" s="380" t="str">
        <f>IFERROR(__xludf.DUMMYFUNCTION("""COMPUTED_VALUE"""),"Botas Soldador Rh245 Negra 38")</f>
        <v>Botas Soldador Rh245 Negra 38</v>
      </c>
      <c r="C2522" s="380" t="str">
        <f>IFERROR(__xludf.DUMMYFUNCTION("""COMPUTED_VALUE"""),"30000868")</f>
        <v>30000868</v>
      </c>
      <c r="D2522" s="380" t="s">
        <v>767</v>
      </c>
      <c r="E2522" s="380" t="s">
        <v>810</v>
      </c>
      <c r="F2522" s="380" t="s">
        <v>1083</v>
      </c>
      <c r="G2522" s="380" t="s">
        <v>1267</v>
      </c>
      <c r="H2522" s="380" t="s">
        <v>771</v>
      </c>
      <c r="I2522" s="380" t="s">
        <v>1084</v>
      </c>
      <c r="J2522" s="380" t="s">
        <v>773</v>
      </c>
      <c r="K2522" s="381">
        <v>0.0</v>
      </c>
      <c r="L2522" s="382">
        <v>1.0</v>
      </c>
    </row>
    <row r="2523">
      <c r="A2523" s="380" t="s">
        <v>3386</v>
      </c>
      <c r="B2523" s="380" t="str">
        <f>IFERROR(__xludf.DUMMYFUNCTION("""COMPUTED_VALUE"""),"Botas Soldador Rh245 Negra 39")</f>
        <v>Botas Soldador Rh245 Negra 39</v>
      </c>
      <c r="C2523" s="380" t="str">
        <f>IFERROR(__xludf.DUMMYFUNCTION("""COMPUTED_VALUE"""),"30000869")</f>
        <v>30000869</v>
      </c>
      <c r="D2523" s="380" t="s">
        <v>767</v>
      </c>
      <c r="E2523" s="380" t="s">
        <v>810</v>
      </c>
      <c r="F2523" s="380" t="s">
        <v>1083</v>
      </c>
      <c r="G2523" s="380" t="s">
        <v>1267</v>
      </c>
      <c r="H2523" s="380" t="s">
        <v>771</v>
      </c>
      <c r="I2523" s="380" t="s">
        <v>1084</v>
      </c>
      <c r="J2523" s="380" t="s">
        <v>773</v>
      </c>
      <c r="K2523" s="381">
        <v>0.0</v>
      </c>
      <c r="L2523" s="382">
        <v>1.0</v>
      </c>
    </row>
    <row r="2524">
      <c r="A2524" s="380" t="s">
        <v>3387</v>
      </c>
      <c r="B2524" s="380" t="str">
        <f>IFERROR(__xludf.DUMMYFUNCTION("""COMPUTED_VALUE"""),"Botas Soldador Rh245 Negra 37")</f>
        <v>Botas Soldador Rh245 Negra 37</v>
      </c>
      <c r="C2524" s="380" t="str">
        <f>IFERROR(__xludf.DUMMYFUNCTION("""COMPUTED_VALUE"""),"30000870")</f>
        <v>30000870</v>
      </c>
      <c r="D2524" s="380" t="s">
        <v>767</v>
      </c>
      <c r="E2524" s="380" t="s">
        <v>810</v>
      </c>
      <c r="F2524" s="380" t="s">
        <v>1083</v>
      </c>
      <c r="G2524" s="380" t="s">
        <v>1267</v>
      </c>
      <c r="H2524" s="380" t="s">
        <v>771</v>
      </c>
      <c r="I2524" s="380" t="s">
        <v>1084</v>
      </c>
      <c r="J2524" s="380" t="s">
        <v>773</v>
      </c>
      <c r="K2524" s="381">
        <v>0.0</v>
      </c>
      <c r="L2524" s="382">
        <v>1.0</v>
      </c>
    </row>
    <row r="2525">
      <c r="A2525" s="380" t="s">
        <v>3388</v>
      </c>
      <c r="B2525" s="380" t="str">
        <f>IFERROR(__xludf.DUMMYFUNCTION("""COMPUTED_VALUE"""),"Eslinga Detencion Caida Graduable")</f>
        <v>Eslinga Detencion Caida Graduable</v>
      </c>
      <c r="C2525" s="380" t="str">
        <f>IFERROR(__xludf.DUMMYFUNCTION("""COMPUTED_VALUE"""),"30000871")</f>
        <v>30000871</v>
      </c>
      <c r="D2525" s="380" t="s">
        <v>767</v>
      </c>
      <c r="E2525" s="380" t="s">
        <v>810</v>
      </c>
      <c r="F2525" s="380" t="s">
        <v>1083</v>
      </c>
      <c r="G2525" s="380" t="s">
        <v>1267</v>
      </c>
      <c r="H2525" s="380" t="s">
        <v>771</v>
      </c>
      <c r="I2525" s="380" t="s">
        <v>1084</v>
      </c>
      <c r="J2525" s="380" t="s">
        <v>773</v>
      </c>
      <c r="K2525" s="381">
        <v>0.0</v>
      </c>
      <c r="L2525" s="382">
        <v>1.0</v>
      </c>
    </row>
    <row r="2526">
      <c r="A2526" s="380" t="s">
        <v>3389</v>
      </c>
      <c r="B2526" s="380" t="str">
        <f>IFERROR(__xludf.DUMMYFUNCTION("""COMPUTED_VALUE"""),"Extintor Solkaflam 10 Libras Nuevo")</f>
        <v>Extintor Solkaflam 10 Libras Nuevo</v>
      </c>
      <c r="C2526" s="380" t="str">
        <f>IFERROR(__xludf.DUMMYFUNCTION("""COMPUTED_VALUE"""),"30000872")</f>
        <v>30000872</v>
      </c>
      <c r="D2526" s="380" t="s">
        <v>767</v>
      </c>
      <c r="E2526" s="380" t="s">
        <v>810</v>
      </c>
      <c r="F2526" s="380" t="s">
        <v>811</v>
      </c>
      <c r="G2526" s="380" t="s">
        <v>1267</v>
      </c>
      <c r="H2526" s="380" t="s">
        <v>771</v>
      </c>
      <c r="I2526" s="380" t="s">
        <v>812</v>
      </c>
      <c r="J2526" s="380" t="s">
        <v>773</v>
      </c>
      <c r="K2526" s="381">
        <v>0.0</v>
      </c>
      <c r="L2526" s="382">
        <v>1.0</v>
      </c>
    </row>
    <row r="2527">
      <c r="A2527" s="380" t="s">
        <v>3390</v>
      </c>
      <c r="B2527" s="380" t="str">
        <f>IFERROR(__xludf.DUMMYFUNCTION("""COMPUTED_VALUE"""),"Vaso Prueba De Drogas Drugsmart")</f>
        <v>Vaso Prueba De Drogas Drugsmart</v>
      </c>
      <c r="C2527" s="380" t="str">
        <f>IFERROR(__xludf.DUMMYFUNCTION("""COMPUTED_VALUE"""),"30000873")</f>
        <v>30000873</v>
      </c>
      <c r="D2527" s="380" t="s">
        <v>767</v>
      </c>
      <c r="E2527" s="380" t="s">
        <v>810</v>
      </c>
      <c r="F2527" s="380" t="s">
        <v>1083</v>
      </c>
      <c r="G2527" s="380" t="s">
        <v>1267</v>
      </c>
      <c r="H2527" s="380" t="s">
        <v>771</v>
      </c>
      <c r="I2527" s="380" t="s">
        <v>1084</v>
      </c>
      <c r="J2527" s="380" t="s">
        <v>773</v>
      </c>
      <c r="K2527" s="381">
        <v>39270.0</v>
      </c>
      <c r="L2527" s="382">
        <v>1.0</v>
      </c>
    </row>
    <row r="2528">
      <c r="A2528" s="380" t="s">
        <v>3391</v>
      </c>
      <c r="B2528" s="380" t="str">
        <f>IFERROR(__xludf.DUMMYFUNCTION("""COMPUTED_VALUE"""),"Estuche Lona Botiquin Conductor")</f>
        <v>Estuche Lona Botiquin Conductor</v>
      </c>
      <c r="C2528" s="380" t="str">
        <f>IFERROR(__xludf.DUMMYFUNCTION("""COMPUTED_VALUE"""),"30000874")</f>
        <v>30000874</v>
      </c>
      <c r="D2528" s="380" t="s">
        <v>767</v>
      </c>
      <c r="E2528" s="380" t="s">
        <v>810</v>
      </c>
      <c r="F2528" s="380" t="s">
        <v>811</v>
      </c>
      <c r="G2528" s="380" t="s">
        <v>1267</v>
      </c>
      <c r="H2528" s="380" t="s">
        <v>771</v>
      </c>
      <c r="I2528" s="380" t="s">
        <v>812</v>
      </c>
      <c r="J2528" s="380" t="s">
        <v>773</v>
      </c>
      <c r="K2528" s="381">
        <v>34652.0</v>
      </c>
      <c r="L2528" s="382">
        <v>1.0</v>
      </c>
    </row>
    <row r="2529">
      <c r="A2529" s="380" t="s">
        <v>3392</v>
      </c>
      <c r="B2529" s="380" t="str">
        <f>IFERROR(__xludf.DUMMYFUNCTION("""COMPUTED_VALUE"""),"Jeringa Desechable")</f>
        <v>Jeringa Desechable</v>
      </c>
      <c r="C2529" s="380" t="str">
        <f>IFERROR(__xludf.DUMMYFUNCTION("""COMPUTED_VALUE"""),"30000875")</f>
        <v>30000875</v>
      </c>
      <c r="D2529" s="380" t="s">
        <v>767</v>
      </c>
      <c r="E2529" s="380" t="s">
        <v>810</v>
      </c>
      <c r="F2529" s="380" t="s">
        <v>811</v>
      </c>
      <c r="G2529" s="380" t="s">
        <v>1267</v>
      </c>
      <c r="H2529" s="380" t="s">
        <v>771</v>
      </c>
      <c r="I2529" s="380" t="s">
        <v>812</v>
      </c>
      <c r="J2529" s="380" t="s">
        <v>773</v>
      </c>
      <c r="K2529" s="381">
        <v>0.0</v>
      </c>
      <c r="L2529" s="382">
        <v>1.0</v>
      </c>
    </row>
    <row r="2530">
      <c r="A2530" s="380" t="s">
        <v>3393</v>
      </c>
      <c r="B2530" s="380" t="str">
        <f>IFERROR(__xludf.DUMMYFUNCTION("""COMPUTED_VALUE"""),"Baja Lenguas X 20")</f>
        <v>Baja Lenguas X 20</v>
      </c>
      <c r="C2530" s="380" t="str">
        <f>IFERROR(__xludf.DUMMYFUNCTION("""COMPUTED_VALUE"""),"30000876")</f>
        <v>30000876</v>
      </c>
      <c r="D2530" s="380" t="s">
        <v>767</v>
      </c>
      <c r="E2530" s="380" t="s">
        <v>810</v>
      </c>
      <c r="F2530" s="380" t="s">
        <v>811</v>
      </c>
      <c r="G2530" s="380" t="s">
        <v>1267</v>
      </c>
      <c r="H2530" s="380" t="s">
        <v>771</v>
      </c>
      <c r="I2530" s="380" t="s">
        <v>812</v>
      </c>
      <c r="J2530" s="380" t="s">
        <v>773</v>
      </c>
      <c r="K2530" s="381">
        <v>0.0</v>
      </c>
      <c r="L2530" s="382">
        <v>1.0</v>
      </c>
    </row>
    <row r="2531">
      <c r="A2531" s="380" t="s">
        <v>3394</v>
      </c>
      <c r="B2531" s="380" t="str">
        <f>IFERROR(__xludf.DUMMYFUNCTION("""COMPUTED_VALUE"""),"Diclofenalco Gel Al 1%")</f>
        <v>Diclofenalco Gel Al 1%</v>
      </c>
      <c r="C2531" s="380" t="str">
        <f>IFERROR(__xludf.DUMMYFUNCTION("""COMPUTED_VALUE"""),"30000878")</f>
        <v>30000878</v>
      </c>
      <c r="D2531" s="380" t="s">
        <v>767</v>
      </c>
      <c r="E2531" s="380" t="s">
        <v>810</v>
      </c>
      <c r="F2531" s="380" t="s">
        <v>811</v>
      </c>
      <c r="G2531" s="380" t="s">
        <v>1267</v>
      </c>
      <c r="H2531" s="380" t="s">
        <v>771</v>
      </c>
      <c r="I2531" s="380" t="s">
        <v>812</v>
      </c>
      <c r="J2531" s="380" t="s">
        <v>773</v>
      </c>
      <c r="K2531" s="381">
        <v>0.0</v>
      </c>
      <c r="L2531" s="382">
        <v>1.0</v>
      </c>
    </row>
    <row r="2532">
      <c r="A2532" s="380" t="s">
        <v>3395</v>
      </c>
      <c r="B2532" s="380" t="str">
        <f>IFERROR(__xludf.DUMMYFUNCTION("""COMPUTED_VALUE"""),"Gasa Aseptica Sobre X 5 3""X3""")</f>
        <v>Gasa Aseptica Sobre X 5 3"X3"</v>
      </c>
      <c r="C2532" s="380" t="str">
        <f>IFERROR(__xludf.DUMMYFUNCTION("""COMPUTED_VALUE"""),"30000879")</f>
        <v>30000879</v>
      </c>
      <c r="D2532" s="380" t="s">
        <v>767</v>
      </c>
      <c r="E2532" s="380" t="s">
        <v>810</v>
      </c>
      <c r="F2532" s="380" t="s">
        <v>811</v>
      </c>
      <c r="G2532" s="380" t="s">
        <v>1267</v>
      </c>
      <c r="H2532" s="380" t="s">
        <v>771</v>
      </c>
      <c r="I2532" s="380" t="s">
        <v>812</v>
      </c>
      <c r="J2532" s="380" t="s">
        <v>773</v>
      </c>
      <c r="K2532" s="381">
        <v>0.0</v>
      </c>
      <c r="L2532" s="382">
        <v>1.0</v>
      </c>
    </row>
    <row r="2533">
      <c r="A2533" s="380" t="s">
        <v>3396</v>
      </c>
      <c r="B2533" s="380" t="str">
        <f>IFERROR(__xludf.DUMMYFUNCTION("""COMPUTED_VALUE"""),"Micropore Piel De 1""")</f>
        <v>Micropore Piel De 1"</v>
      </c>
      <c r="C2533" s="380" t="str">
        <f>IFERROR(__xludf.DUMMYFUNCTION("""COMPUTED_VALUE"""),"30000880")</f>
        <v>30000880</v>
      </c>
      <c r="D2533" s="380" t="s">
        <v>767</v>
      </c>
      <c r="E2533" s="380" t="s">
        <v>810</v>
      </c>
      <c r="F2533" s="380" t="s">
        <v>811</v>
      </c>
      <c r="G2533" s="380" t="s">
        <v>1267</v>
      </c>
      <c r="H2533" s="380" t="s">
        <v>771</v>
      </c>
      <c r="I2533" s="380" t="s">
        <v>812</v>
      </c>
      <c r="J2533" s="380" t="s">
        <v>773</v>
      </c>
      <c r="K2533" s="381">
        <v>0.0</v>
      </c>
      <c r="L2533" s="382">
        <v>1.0</v>
      </c>
    </row>
    <row r="2534">
      <c r="A2534" s="380" t="s">
        <v>3397</v>
      </c>
      <c r="B2534" s="380" t="str">
        <f>IFERROR(__xludf.DUMMYFUNCTION("""COMPUTED_VALUE"""),"Yodopovidona De 30ml")</f>
        <v>Yodopovidona De 30ml</v>
      </c>
      <c r="C2534" s="380" t="str">
        <f>IFERROR(__xludf.DUMMYFUNCTION("""COMPUTED_VALUE"""),"30000881")</f>
        <v>30000881</v>
      </c>
      <c r="D2534" s="380" t="s">
        <v>767</v>
      </c>
      <c r="E2534" s="380" t="s">
        <v>810</v>
      </c>
      <c r="F2534" s="380" t="s">
        <v>811</v>
      </c>
      <c r="G2534" s="380" t="s">
        <v>1267</v>
      </c>
      <c r="H2534" s="380" t="s">
        <v>771</v>
      </c>
      <c r="I2534" s="380" t="s">
        <v>812</v>
      </c>
      <c r="J2534" s="380" t="s">
        <v>773</v>
      </c>
      <c r="K2534" s="381">
        <v>0.0</v>
      </c>
      <c r="L2534" s="382">
        <v>1.0</v>
      </c>
    </row>
    <row r="2535">
      <c r="A2535" s="380" t="s">
        <v>3398</v>
      </c>
      <c r="B2535" s="380" t="str">
        <f>IFERROR(__xludf.DUMMYFUNCTION("""COMPUTED_VALUE"""),"Camisa Cuello Corbata Azul Oxford ML 34")</f>
        <v>Camisa Cuello Corbata Azul Oxford ML 34</v>
      </c>
      <c r="C2535" s="380" t="str">
        <f>IFERROR(__xludf.DUMMYFUNCTION("""COMPUTED_VALUE"""),"30000882")</f>
        <v>30000882</v>
      </c>
      <c r="D2535" s="380" t="s">
        <v>767</v>
      </c>
      <c r="E2535" s="380" t="s">
        <v>810</v>
      </c>
      <c r="F2535" s="380" t="s">
        <v>1089</v>
      </c>
      <c r="G2535" s="380" t="s">
        <v>1267</v>
      </c>
      <c r="H2535" s="380" t="s">
        <v>771</v>
      </c>
      <c r="I2535" s="380" t="s">
        <v>1084</v>
      </c>
      <c r="J2535" s="380" t="s">
        <v>773</v>
      </c>
      <c r="K2535" s="381">
        <v>44626.0</v>
      </c>
      <c r="L2535" s="382">
        <v>1.0</v>
      </c>
    </row>
    <row r="2536">
      <c r="A2536" s="380" t="s">
        <v>3399</v>
      </c>
      <c r="B2536" s="380" t="str">
        <f>IFERROR(__xludf.DUMMYFUNCTION("""COMPUTED_VALUE"""),"Suero Oral En Sobre")</f>
        <v>Suero Oral En Sobre</v>
      </c>
      <c r="C2536" s="380" t="str">
        <f>IFERROR(__xludf.DUMMYFUNCTION("""COMPUTED_VALUE"""),"30000883")</f>
        <v>30000883</v>
      </c>
      <c r="D2536" s="380" t="s">
        <v>767</v>
      </c>
      <c r="E2536" s="380" t="s">
        <v>810</v>
      </c>
      <c r="F2536" s="380" t="s">
        <v>811</v>
      </c>
      <c r="G2536" s="380" t="s">
        <v>1267</v>
      </c>
      <c r="H2536" s="380" t="s">
        <v>771</v>
      </c>
      <c r="I2536" s="380" t="s">
        <v>812</v>
      </c>
      <c r="J2536" s="380" t="s">
        <v>773</v>
      </c>
      <c r="K2536" s="381">
        <v>0.0</v>
      </c>
      <c r="L2536" s="382">
        <v>1.0</v>
      </c>
    </row>
    <row r="2537">
      <c r="A2537" s="380" t="s">
        <v>3400</v>
      </c>
      <c r="B2537" s="380" t="str">
        <f>IFERROR(__xludf.DUMMYFUNCTION("""COMPUTED_VALUE"""),"Sulfaplata 30g")</f>
        <v>Sulfaplata 30g</v>
      </c>
      <c r="C2537" s="380" t="str">
        <f>IFERROR(__xludf.DUMMYFUNCTION("""COMPUTED_VALUE"""),"30000884")</f>
        <v>30000884</v>
      </c>
      <c r="D2537" s="380" t="s">
        <v>767</v>
      </c>
      <c r="E2537" s="380" t="s">
        <v>810</v>
      </c>
      <c r="F2537" s="380" t="s">
        <v>811</v>
      </c>
      <c r="G2537" s="380" t="s">
        <v>1267</v>
      </c>
      <c r="H2537" s="380" t="s">
        <v>771</v>
      </c>
      <c r="I2537" s="380" t="s">
        <v>812</v>
      </c>
      <c r="J2537" s="380" t="s">
        <v>773</v>
      </c>
      <c r="K2537" s="381">
        <v>0.0</v>
      </c>
      <c r="L2537" s="382">
        <v>1.0</v>
      </c>
    </row>
    <row r="2538">
      <c r="A2538" s="380" t="s">
        <v>3401</v>
      </c>
      <c r="B2538" s="380" t="str">
        <f>IFERROR(__xludf.DUMMYFUNCTION("""COMPUTED_VALUE"""),"Tijera Corta Todo Botiquin")</f>
        <v>Tijera Corta Todo Botiquin</v>
      </c>
      <c r="C2538" s="380" t="str">
        <f>IFERROR(__xludf.DUMMYFUNCTION("""COMPUTED_VALUE"""),"30000886")</f>
        <v>30000886</v>
      </c>
      <c r="D2538" s="380" t="s">
        <v>767</v>
      </c>
      <c r="E2538" s="380" t="s">
        <v>810</v>
      </c>
      <c r="F2538" s="380" t="s">
        <v>811</v>
      </c>
      <c r="G2538" s="380" t="s">
        <v>1267</v>
      </c>
      <c r="H2538" s="380" t="s">
        <v>771</v>
      </c>
      <c r="I2538" s="380" t="s">
        <v>812</v>
      </c>
      <c r="J2538" s="380" t="s">
        <v>773</v>
      </c>
      <c r="K2538" s="381">
        <v>0.0</v>
      </c>
      <c r="L2538" s="382">
        <v>1.0</v>
      </c>
    </row>
    <row r="2539">
      <c r="A2539" s="380" t="s">
        <v>3402</v>
      </c>
      <c r="B2539" s="380" t="str">
        <f>IFERROR(__xludf.DUMMYFUNCTION("""COMPUTED_VALUE"""),"Venda Triangular 90x90x150")</f>
        <v>Venda Triangular 90x90x150</v>
      </c>
      <c r="C2539" s="380" t="str">
        <f>IFERROR(__xludf.DUMMYFUNCTION("""COMPUTED_VALUE"""),"30000889")</f>
        <v>30000889</v>
      </c>
      <c r="D2539" s="380" t="s">
        <v>767</v>
      </c>
      <c r="E2539" s="380" t="s">
        <v>810</v>
      </c>
      <c r="F2539" s="380" t="s">
        <v>811</v>
      </c>
      <c r="G2539" s="380" t="s">
        <v>1267</v>
      </c>
      <c r="H2539" s="380" t="s">
        <v>771</v>
      </c>
      <c r="I2539" s="380" t="s">
        <v>812</v>
      </c>
      <c r="J2539" s="380" t="s">
        <v>773</v>
      </c>
      <c r="K2539" s="381">
        <v>0.0</v>
      </c>
      <c r="L2539" s="382">
        <v>1.0</v>
      </c>
    </row>
    <row r="2540">
      <c r="A2540" s="380" t="s">
        <v>3403</v>
      </c>
      <c r="B2540" s="380" t="str">
        <f>IFERROR(__xludf.DUMMYFUNCTION("""COMPUTED_VALUE"""),"Aguja Hipodermica 20 38ml")</f>
        <v>Aguja Hipodermica 20 38ml</v>
      </c>
      <c r="C2540" s="380" t="str">
        <f>IFERROR(__xludf.DUMMYFUNCTION("""COMPUTED_VALUE"""),"30000890")</f>
        <v>30000890</v>
      </c>
      <c r="D2540" s="380" t="s">
        <v>767</v>
      </c>
      <c r="E2540" s="380" t="s">
        <v>810</v>
      </c>
      <c r="F2540" s="380" t="s">
        <v>811</v>
      </c>
      <c r="G2540" s="380" t="s">
        <v>1267</v>
      </c>
      <c r="H2540" s="380" t="s">
        <v>771</v>
      </c>
      <c r="I2540" s="380" t="s">
        <v>812</v>
      </c>
      <c r="J2540" s="380" t="s">
        <v>773</v>
      </c>
      <c r="K2540" s="381">
        <v>0.0</v>
      </c>
      <c r="L2540" s="382">
        <v>1.0</v>
      </c>
    </row>
    <row r="2541">
      <c r="A2541" s="380" t="s">
        <v>3404</v>
      </c>
      <c r="B2541" s="380" t="str">
        <f>IFERROR(__xludf.DUMMYFUNCTION("""COMPUTED_VALUE"""),"Alcohol X 120 Cc Plastico")</f>
        <v>Alcohol X 120 Cc Plastico</v>
      </c>
      <c r="C2541" s="380" t="str">
        <f>IFERROR(__xludf.DUMMYFUNCTION("""COMPUTED_VALUE"""),"30000891")</f>
        <v>30000891</v>
      </c>
      <c r="D2541" s="380" t="s">
        <v>767</v>
      </c>
      <c r="E2541" s="380" t="s">
        <v>810</v>
      </c>
      <c r="F2541" s="380" t="s">
        <v>811</v>
      </c>
      <c r="G2541" s="380" t="s">
        <v>1267</v>
      </c>
      <c r="H2541" s="380" t="s">
        <v>771</v>
      </c>
      <c r="I2541" s="380" t="s">
        <v>812</v>
      </c>
      <c r="J2541" s="380" t="s">
        <v>773</v>
      </c>
      <c r="K2541" s="381">
        <v>0.0</v>
      </c>
      <c r="L2541" s="382">
        <v>1.0</v>
      </c>
    </row>
    <row r="2542">
      <c r="A2542" s="380" t="s">
        <v>3405</v>
      </c>
      <c r="B2542" s="380" t="str">
        <f>IFERROR(__xludf.DUMMYFUNCTION("""COMPUTED_VALUE"""),"Camisa Cuello Corbata Azul Oxford ML 38")</f>
        <v>Camisa Cuello Corbata Azul Oxford ML 38</v>
      </c>
      <c r="C2542" s="380" t="str">
        <f>IFERROR(__xludf.DUMMYFUNCTION("""COMPUTED_VALUE"""),"30000892")</f>
        <v>30000892</v>
      </c>
      <c r="D2542" s="380" t="s">
        <v>767</v>
      </c>
      <c r="E2542" s="380" t="s">
        <v>810</v>
      </c>
      <c r="F2542" s="380" t="s">
        <v>1089</v>
      </c>
      <c r="G2542" s="380" t="s">
        <v>1267</v>
      </c>
      <c r="H2542" s="380" t="s">
        <v>771</v>
      </c>
      <c r="I2542" s="380" t="s">
        <v>1084</v>
      </c>
      <c r="J2542" s="380" t="s">
        <v>773</v>
      </c>
      <c r="K2542" s="381">
        <v>44627.0</v>
      </c>
      <c r="L2542" s="382">
        <v>1.0</v>
      </c>
    </row>
    <row r="2543">
      <c r="A2543" s="380" t="s">
        <v>3406</v>
      </c>
      <c r="B2543" s="380" t="str">
        <f>IFERROR(__xludf.DUMMYFUNCTION("""COMPUTED_VALUE"""),"Extintor Co2 5 Libras Nuevo")</f>
        <v>Extintor Co2 5 Libras Nuevo</v>
      </c>
      <c r="C2543" s="380" t="str">
        <f>IFERROR(__xludf.DUMMYFUNCTION("""COMPUTED_VALUE"""),"30000893")</f>
        <v>30000893</v>
      </c>
      <c r="D2543" s="380" t="s">
        <v>767</v>
      </c>
      <c r="E2543" s="380" t="s">
        <v>810</v>
      </c>
      <c r="F2543" s="380" t="s">
        <v>811</v>
      </c>
      <c r="G2543" s="380" t="s">
        <v>1267</v>
      </c>
      <c r="H2543" s="380" t="s">
        <v>771</v>
      </c>
      <c r="I2543" s="380" t="s">
        <v>812</v>
      </c>
      <c r="J2543" s="380" t="s">
        <v>773</v>
      </c>
      <c r="K2543" s="381">
        <v>0.0</v>
      </c>
      <c r="L2543" s="382">
        <v>1.0</v>
      </c>
    </row>
    <row r="2544">
      <c r="A2544" s="380" t="s">
        <v>3407</v>
      </c>
      <c r="B2544" s="380" t="str">
        <f>IFERROR(__xludf.DUMMYFUNCTION("""COMPUTED_VALUE"""),"Reata Para Carga Con Rache 1""")</f>
        <v>Reata Para Carga Con Rache 1"</v>
      </c>
      <c r="C2544" s="380" t="str">
        <f>IFERROR(__xludf.DUMMYFUNCTION("""COMPUTED_VALUE"""),"30000894")</f>
        <v>30000894</v>
      </c>
      <c r="D2544" s="380" t="s">
        <v>767</v>
      </c>
      <c r="E2544" s="380" t="s">
        <v>810</v>
      </c>
      <c r="F2544" s="380" t="s">
        <v>1083</v>
      </c>
      <c r="G2544" s="380" t="s">
        <v>1267</v>
      </c>
      <c r="H2544" s="380" t="s">
        <v>771</v>
      </c>
      <c r="I2544" s="380" t="s">
        <v>1084</v>
      </c>
      <c r="J2544" s="380" t="s">
        <v>773</v>
      </c>
      <c r="K2544" s="381">
        <v>0.0</v>
      </c>
      <c r="L2544" s="382">
        <v>1.0</v>
      </c>
    </row>
    <row r="2545">
      <c r="A2545" s="380" t="s">
        <v>3408</v>
      </c>
      <c r="B2545" s="380" t="str">
        <f>IFERROR(__xludf.DUMMYFUNCTION("""COMPUTED_VALUE"""),"Delantal Industrial Lavador Amarillo")</f>
        <v>Delantal Industrial Lavador Amarillo</v>
      </c>
      <c r="C2545" s="380" t="str">
        <f>IFERROR(__xludf.DUMMYFUNCTION("""COMPUTED_VALUE"""),"30000895")</f>
        <v>30000895</v>
      </c>
      <c r="D2545" s="380" t="s">
        <v>767</v>
      </c>
      <c r="E2545" s="380" t="s">
        <v>810</v>
      </c>
      <c r="F2545" s="380" t="s">
        <v>1089</v>
      </c>
      <c r="G2545" s="380" t="s">
        <v>1267</v>
      </c>
      <c r="H2545" s="380" t="s">
        <v>771</v>
      </c>
      <c r="I2545" s="380" t="s">
        <v>1084</v>
      </c>
      <c r="J2545" s="380" t="s">
        <v>773</v>
      </c>
      <c r="K2545" s="381">
        <v>18564.0</v>
      </c>
      <c r="L2545" s="382">
        <v>1.0</v>
      </c>
    </row>
    <row r="2546">
      <c r="A2546" s="380" t="s">
        <v>3409</v>
      </c>
      <c r="B2546" s="380" t="str">
        <f>IFERROR(__xludf.DUMMYFUNCTION("""COMPUTED_VALUE"""),"Estuche Protector Unidad Tc 55")</f>
        <v>Estuche Protector Unidad Tc 55</v>
      </c>
      <c r="C2546" s="380" t="str">
        <f>IFERROR(__xludf.DUMMYFUNCTION("""COMPUTED_VALUE"""),"30000896")</f>
        <v>30000896</v>
      </c>
      <c r="D2546" s="380" t="s">
        <v>767</v>
      </c>
      <c r="E2546" s="380" t="s">
        <v>810</v>
      </c>
      <c r="F2546" s="380" t="s">
        <v>1271</v>
      </c>
      <c r="G2546" s="380" t="s">
        <v>1267</v>
      </c>
      <c r="H2546" s="380" t="s">
        <v>771</v>
      </c>
      <c r="I2546" s="380" t="s">
        <v>1084</v>
      </c>
      <c r="J2546" s="380" t="s">
        <v>773</v>
      </c>
      <c r="K2546" s="381">
        <v>16250.0</v>
      </c>
      <c r="L2546" s="382">
        <v>1.0</v>
      </c>
    </row>
    <row r="2547">
      <c r="A2547" s="380" t="s">
        <v>3410</v>
      </c>
      <c r="B2547" s="380" t="str">
        <f>IFERROR(__xludf.DUMMYFUNCTION("""COMPUTED_VALUE"""),"Correa Estuche Unidad Tim Ct 55 - 56")</f>
        <v>Correa Estuche Unidad Tim Ct 55 - 56</v>
      </c>
      <c r="C2547" s="380" t="str">
        <f>IFERROR(__xludf.DUMMYFUNCTION("""COMPUTED_VALUE"""),"30000897")</f>
        <v>30000897</v>
      </c>
      <c r="D2547" s="380" t="s">
        <v>767</v>
      </c>
      <c r="E2547" s="380" t="s">
        <v>810</v>
      </c>
      <c r="F2547" s="380" t="s">
        <v>1271</v>
      </c>
      <c r="G2547" s="380" t="s">
        <v>1267</v>
      </c>
      <c r="H2547" s="380" t="s">
        <v>771</v>
      </c>
      <c r="I2547" s="380" t="s">
        <v>1084</v>
      </c>
      <c r="J2547" s="380" t="s">
        <v>773</v>
      </c>
      <c r="K2547" s="381">
        <v>0.0</v>
      </c>
      <c r="L2547" s="382">
        <v>1.0</v>
      </c>
    </row>
    <row r="2548">
      <c r="A2548" s="380" t="s">
        <v>3411</v>
      </c>
      <c r="B2548" s="380" t="str">
        <f>IFERROR(__xludf.DUMMYFUNCTION("""COMPUTED_VALUE"""),"Anclaje De Seguridad Estuche Tim")</f>
        <v>Anclaje De Seguridad Estuche Tim</v>
      </c>
      <c r="C2548" s="380" t="str">
        <f>IFERROR(__xludf.DUMMYFUNCTION("""COMPUTED_VALUE"""),"30000898")</f>
        <v>30000898</v>
      </c>
      <c r="D2548" s="380" t="s">
        <v>767</v>
      </c>
      <c r="E2548" s="380" t="s">
        <v>810</v>
      </c>
      <c r="F2548" s="380" t="s">
        <v>1271</v>
      </c>
      <c r="G2548" s="380" t="s">
        <v>1267</v>
      </c>
      <c r="H2548" s="380" t="s">
        <v>771</v>
      </c>
      <c r="I2548" s="380" t="s">
        <v>1084</v>
      </c>
      <c r="J2548" s="380" t="s">
        <v>773</v>
      </c>
      <c r="K2548" s="381">
        <v>0.0</v>
      </c>
      <c r="L2548" s="382">
        <v>1.0</v>
      </c>
    </row>
    <row r="2549">
      <c r="A2549" s="380" t="s">
        <v>3412</v>
      </c>
      <c r="B2549" s="380" t="str">
        <f>IFERROR(__xludf.DUMMYFUNCTION("""COMPUTED_VALUE"""),"Arnes Sujecion Camilla Najo")</f>
        <v>Arnes Sujecion Camilla Najo</v>
      </c>
      <c r="C2549" s="380" t="str">
        <f>IFERROR(__xludf.DUMMYFUNCTION("""COMPUTED_VALUE"""),"30000899")</f>
        <v>30000899</v>
      </c>
      <c r="D2549" s="380" t="s">
        <v>767</v>
      </c>
      <c r="E2549" s="380" t="s">
        <v>810</v>
      </c>
      <c r="F2549" s="380" t="s">
        <v>1083</v>
      </c>
      <c r="G2549" s="380" t="s">
        <v>1267</v>
      </c>
      <c r="H2549" s="380" t="s">
        <v>771</v>
      </c>
      <c r="I2549" s="380" t="s">
        <v>1084</v>
      </c>
      <c r="J2549" s="380" t="s">
        <v>773</v>
      </c>
      <c r="K2549" s="381">
        <v>0.0</v>
      </c>
      <c r="L2549" s="382">
        <v>1.0</v>
      </c>
    </row>
    <row r="2550">
      <c r="A2550" s="380" t="s">
        <v>3413</v>
      </c>
      <c r="B2550" s="380" t="str">
        <f>IFERROR(__xludf.DUMMYFUNCTION("""COMPUTED_VALUE"""),"Cabezal Para Careta Soldar")</f>
        <v>Cabezal Para Careta Soldar</v>
      </c>
      <c r="C2550" s="380" t="str">
        <f>IFERROR(__xludf.DUMMYFUNCTION("""COMPUTED_VALUE"""),"30000900")</f>
        <v>30000900</v>
      </c>
      <c r="D2550" s="380" t="s">
        <v>767</v>
      </c>
      <c r="E2550" s="380" t="s">
        <v>810</v>
      </c>
      <c r="F2550" s="380" t="s">
        <v>1083</v>
      </c>
      <c r="G2550" s="380" t="s">
        <v>1267</v>
      </c>
      <c r="H2550" s="380" t="s">
        <v>771</v>
      </c>
      <c r="I2550" s="380" t="s">
        <v>1084</v>
      </c>
      <c r="J2550" s="380" t="s">
        <v>773</v>
      </c>
      <c r="K2550" s="381">
        <v>23709.0</v>
      </c>
      <c r="L2550" s="382">
        <v>1.0</v>
      </c>
    </row>
    <row r="2551">
      <c r="A2551" s="380" t="s">
        <v>3414</v>
      </c>
      <c r="B2551" s="380" t="str">
        <f>IFERROR(__xludf.DUMMYFUNCTION("""COMPUTED_VALUE"""),"Chaleco Reflectivo Naranjado Sst")</f>
        <v>Chaleco Reflectivo Naranjado Sst</v>
      </c>
      <c r="C2551" s="380" t="str">
        <f>IFERROR(__xludf.DUMMYFUNCTION("""COMPUTED_VALUE"""),"30000901")</f>
        <v>30000901</v>
      </c>
      <c r="D2551" s="380" t="s">
        <v>767</v>
      </c>
      <c r="E2551" s="380" t="s">
        <v>810</v>
      </c>
      <c r="F2551" s="380" t="s">
        <v>1083</v>
      </c>
      <c r="G2551" s="380" t="s">
        <v>1267</v>
      </c>
      <c r="H2551" s="380" t="s">
        <v>771</v>
      </c>
      <c r="I2551" s="380" t="s">
        <v>1084</v>
      </c>
      <c r="J2551" s="380" t="s">
        <v>773</v>
      </c>
      <c r="K2551" s="381">
        <v>22465.0</v>
      </c>
      <c r="L2551" s="382">
        <v>1.0</v>
      </c>
    </row>
    <row r="2552">
      <c r="A2552" s="380" t="s">
        <v>3415</v>
      </c>
      <c r="B2552" s="380" t="str">
        <f>IFERROR(__xludf.DUMMYFUNCTION("""COMPUTED_VALUE"""),"Extintor Agua Penetrante Nuevo")</f>
        <v>Extintor Agua Penetrante Nuevo</v>
      </c>
      <c r="C2552" s="380" t="str">
        <f>IFERROR(__xludf.DUMMYFUNCTION("""COMPUTED_VALUE"""),"30000902")</f>
        <v>30000902</v>
      </c>
      <c r="D2552" s="380" t="s">
        <v>767</v>
      </c>
      <c r="E2552" s="380" t="s">
        <v>810</v>
      </c>
      <c r="F2552" s="380" t="s">
        <v>811</v>
      </c>
      <c r="G2552" s="380" t="s">
        <v>1267</v>
      </c>
      <c r="H2552" s="380" t="s">
        <v>771</v>
      </c>
      <c r="I2552" s="380" t="s">
        <v>812</v>
      </c>
      <c r="J2552" s="380" t="s">
        <v>773</v>
      </c>
      <c r="K2552" s="381">
        <v>0.0</v>
      </c>
      <c r="L2552" s="382">
        <v>1.0</v>
      </c>
    </row>
    <row r="2553">
      <c r="A2553" s="380" t="s">
        <v>3416</v>
      </c>
      <c r="B2553" s="380" t="str">
        <f>IFERROR(__xludf.DUMMYFUNCTION("""COMPUTED_VALUE"""),"Camisa Cuello Corbata Azul Oxford ML 36")</f>
        <v>Camisa Cuello Corbata Azul Oxford ML 36</v>
      </c>
      <c r="C2553" s="380" t="str">
        <f>IFERROR(__xludf.DUMMYFUNCTION("""COMPUTED_VALUE"""),"30000903")</f>
        <v>30000903</v>
      </c>
      <c r="D2553" s="380" t="s">
        <v>767</v>
      </c>
      <c r="E2553" s="380" t="s">
        <v>810</v>
      </c>
      <c r="F2553" s="380" t="s">
        <v>1089</v>
      </c>
      <c r="G2553" s="380" t="s">
        <v>1267</v>
      </c>
      <c r="H2553" s="380" t="s">
        <v>771</v>
      </c>
      <c r="I2553" s="380" t="s">
        <v>1084</v>
      </c>
      <c r="J2553" s="380" t="s">
        <v>773</v>
      </c>
      <c r="K2553" s="381">
        <v>44626.0</v>
      </c>
      <c r="L2553" s="382">
        <v>1.0</v>
      </c>
    </row>
    <row r="2554">
      <c r="A2554" s="380" t="s">
        <v>3417</v>
      </c>
      <c r="B2554" s="380" t="str">
        <f>IFERROR(__xludf.DUMMYFUNCTION("""COMPUTED_VALUE"""),"Agua Destilada 500 Ml")</f>
        <v>Agua Destilada 500 Ml</v>
      </c>
      <c r="C2554" s="380" t="str">
        <f>IFERROR(__xludf.DUMMYFUNCTION("""COMPUTED_VALUE"""),"30000904")</f>
        <v>30000904</v>
      </c>
      <c r="D2554" s="380" t="s">
        <v>767</v>
      </c>
      <c r="E2554" s="380" t="s">
        <v>810</v>
      </c>
      <c r="F2554" s="380" t="s">
        <v>811</v>
      </c>
      <c r="G2554" s="380" t="s">
        <v>1267</v>
      </c>
      <c r="H2554" s="380" t="s">
        <v>771</v>
      </c>
      <c r="I2554" s="380" t="s">
        <v>812</v>
      </c>
      <c r="J2554" s="380" t="s">
        <v>773</v>
      </c>
      <c r="K2554" s="381">
        <v>0.0</v>
      </c>
      <c r="L2554" s="382">
        <v>1.0</v>
      </c>
    </row>
    <row r="2555">
      <c r="A2555" s="380" t="s">
        <v>3418</v>
      </c>
      <c r="B2555" s="380" t="str">
        <f>IFERROR(__xludf.DUMMYFUNCTION("""COMPUTED_VALUE"""),"Algodon Bolsa Pequeña En Motas Blanco")</f>
        <v>Algodon Bolsa Pequeña En Motas Blanco</v>
      </c>
      <c r="C2555" s="380" t="str">
        <f>IFERROR(__xludf.DUMMYFUNCTION("""COMPUTED_VALUE"""),"30000905")</f>
        <v>30000905</v>
      </c>
      <c r="D2555" s="380" t="s">
        <v>767</v>
      </c>
      <c r="E2555" s="380" t="s">
        <v>810</v>
      </c>
      <c r="F2555" s="380" t="s">
        <v>811</v>
      </c>
      <c r="G2555" s="380" t="s">
        <v>1267</v>
      </c>
      <c r="H2555" s="380" t="s">
        <v>771</v>
      </c>
      <c r="I2555" s="380" t="s">
        <v>812</v>
      </c>
      <c r="J2555" s="380" t="s">
        <v>773</v>
      </c>
      <c r="K2555" s="381">
        <v>0.0</v>
      </c>
      <c r="L2555" s="382">
        <v>1.0</v>
      </c>
    </row>
    <row r="2556">
      <c r="A2556" s="380" t="s">
        <v>3419</v>
      </c>
      <c r="B2556" s="380" t="str">
        <f>IFERROR(__xludf.DUMMYFUNCTION("""COMPUTED_VALUE"""),"Aposito Ocular X 20")</f>
        <v>Aposito Ocular X 20</v>
      </c>
      <c r="C2556" s="380" t="str">
        <f>IFERROR(__xludf.DUMMYFUNCTION("""COMPUTED_VALUE"""),"30000906")</f>
        <v>30000906</v>
      </c>
      <c r="D2556" s="380" t="s">
        <v>767</v>
      </c>
      <c r="E2556" s="380" t="s">
        <v>810</v>
      </c>
      <c r="F2556" s="380" t="s">
        <v>811</v>
      </c>
      <c r="G2556" s="380" t="s">
        <v>1267</v>
      </c>
      <c r="H2556" s="380" t="s">
        <v>771</v>
      </c>
      <c r="I2556" s="380" t="s">
        <v>812</v>
      </c>
      <c r="J2556" s="380" t="s">
        <v>773</v>
      </c>
      <c r="K2556" s="381">
        <v>0.0</v>
      </c>
      <c r="L2556" s="382">
        <v>1.0</v>
      </c>
    </row>
    <row r="2557">
      <c r="A2557" s="380" t="s">
        <v>3420</v>
      </c>
      <c r="B2557" s="380" t="str">
        <f>IFERROR(__xludf.DUMMYFUNCTION("""COMPUTED_VALUE"""),"Eslinga Arseg 1228099")</f>
        <v>Eslinga Arseg 1228099</v>
      </c>
      <c r="C2557" s="380" t="str">
        <f>IFERROR(__xludf.DUMMYFUNCTION("""COMPUTED_VALUE"""),"30000908")</f>
        <v>30000908</v>
      </c>
      <c r="D2557" s="380" t="s">
        <v>767</v>
      </c>
      <c r="E2557" s="380" t="s">
        <v>810</v>
      </c>
      <c r="F2557" s="380" t="s">
        <v>1083</v>
      </c>
      <c r="G2557" s="380" t="s">
        <v>1267</v>
      </c>
      <c r="H2557" s="380" t="s">
        <v>771</v>
      </c>
      <c r="I2557" s="380" t="s">
        <v>1084</v>
      </c>
      <c r="J2557" s="380" t="s">
        <v>773</v>
      </c>
      <c r="K2557" s="381">
        <v>0.0</v>
      </c>
      <c r="L2557" s="382">
        <v>1.0</v>
      </c>
    </row>
    <row r="2558">
      <c r="A2558" s="380" t="s">
        <v>3421</v>
      </c>
      <c r="B2558" s="380" t="str">
        <f>IFERROR(__xludf.DUMMYFUNCTION("""COMPUTED_VALUE"""),"Inmovilizador Extremidades Carton")</f>
        <v>Inmovilizador Extremidades Carton</v>
      </c>
      <c r="C2558" s="380" t="str">
        <f>IFERROR(__xludf.DUMMYFUNCTION("""COMPUTED_VALUE"""),"30000909")</f>
        <v>30000909</v>
      </c>
      <c r="D2558" s="380" t="s">
        <v>767</v>
      </c>
      <c r="E2558" s="380" t="s">
        <v>810</v>
      </c>
      <c r="F2558" s="380" t="s">
        <v>1083</v>
      </c>
      <c r="G2558" s="380" t="s">
        <v>1267</v>
      </c>
      <c r="H2558" s="380" t="s">
        <v>771</v>
      </c>
      <c r="I2558" s="380" t="s">
        <v>1084</v>
      </c>
      <c r="J2558" s="380" t="s">
        <v>773</v>
      </c>
      <c r="K2558" s="381">
        <v>0.0</v>
      </c>
      <c r="L2558" s="382">
        <v>1.0</v>
      </c>
    </row>
    <row r="2559">
      <c r="A2559" s="380" t="s">
        <v>3422</v>
      </c>
      <c r="B2559" s="380" t="str">
        <f>IFERROR(__xludf.DUMMYFUNCTION("""COMPUTED_VALUE"""),"Maletin Con Logo Operaciones Nuevo")</f>
        <v>Maletin Con Logo Operaciones Nuevo</v>
      </c>
      <c r="C2559" s="380" t="str">
        <f>IFERROR(__xludf.DUMMYFUNCTION("""COMPUTED_VALUE"""),"30000910")</f>
        <v>30000910</v>
      </c>
      <c r="D2559" s="380" t="s">
        <v>767</v>
      </c>
      <c r="E2559" s="380" t="s">
        <v>810</v>
      </c>
      <c r="F2559" s="380" t="s">
        <v>1271</v>
      </c>
      <c r="G2559" s="380" t="s">
        <v>1267</v>
      </c>
      <c r="H2559" s="380" t="s">
        <v>771</v>
      </c>
      <c r="I2559" s="380" t="s">
        <v>1084</v>
      </c>
      <c r="J2559" s="380" t="s">
        <v>773</v>
      </c>
      <c r="K2559" s="381">
        <v>58571.0</v>
      </c>
      <c r="L2559" s="382">
        <v>1.0</v>
      </c>
    </row>
    <row r="2560">
      <c r="A2560" s="380" t="s">
        <v>3423</v>
      </c>
      <c r="B2560" s="380" t="str">
        <f>IFERROR(__xludf.DUMMYFUNCTION("""COMPUTED_VALUE"""),"Collar Ajustable Ambu F2034")</f>
        <v>Collar Ajustable Ambu F2034</v>
      </c>
      <c r="C2560" s="380" t="str">
        <f>IFERROR(__xludf.DUMMYFUNCTION("""COMPUTED_VALUE"""),"30000911")</f>
        <v>30000911</v>
      </c>
      <c r="D2560" s="380" t="s">
        <v>767</v>
      </c>
      <c r="E2560" s="380" t="s">
        <v>810</v>
      </c>
      <c r="F2560" s="380" t="s">
        <v>1083</v>
      </c>
      <c r="G2560" s="380" t="s">
        <v>1267</v>
      </c>
      <c r="H2560" s="380" t="s">
        <v>771</v>
      </c>
      <c r="I2560" s="380" t="s">
        <v>1084</v>
      </c>
      <c r="J2560" s="380" t="s">
        <v>773</v>
      </c>
      <c r="K2560" s="381">
        <v>0.0</v>
      </c>
      <c r="L2560" s="382">
        <v>1.0</v>
      </c>
    </row>
    <row r="2561">
      <c r="A2561" s="380" t="s">
        <v>3424</v>
      </c>
      <c r="B2561" s="380" t="str">
        <f>IFERROR(__xludf.DUMMYFUNCTION("""COMPUTED_VALUE"""),"Mochila Multiuso")</f>
        <v>Mochila Multiuso</v>
      </c>
      <c r="C2561" s="380" t="str">
        <f>IFERROR(__xludf.DUMMYFUNCTION("""COMPUTED_VALUE"""),"30000912")</f>
        <v>30000912</v>
      </c>
      <c r="D2561" s="380" t="s">
        <v>767</v>
      </c>
      <c r="E2561" s="380" t="s">
        <v>810</v>
      </c>
      <c r="F2561" s="380" t="s">
        <v>1271</v>
      </c>
      <c r="G2561" s="380" t="s">
        <v>1267</v>
      </c>
      <c r="H2561" s="380" t="s">
        <v>771</v>
      </c>
      <c r="I2561" s="380" t="s">
        <v>1084</v>
      </c>
      <c r="J2561" s="380" t="s">
        <v>773</v>
      </c>
      <c r="K2561" s="381">
        <v>4988.0</v>
      </c>
      <c r="L2561" s="382">
        <v>1.0</v>
      </c>
    </row>
    <row r="2562">
      <c r="A2562" s="380" t="s">
        <v>3425</v>
      </c>
      <c r="B2562" s="380" t="str">
        <f>IFERROR(__xludf.DUMMYFUNCTION("""COMPUTED_VALUE"""),"Camisa Cuello Corbata Azul Oxford ML 42")</f>
        <v>Camisa Cuello Corbata Azul Oxford ML 42</v>
      </c>
      <c r="C2562" s="380" t="str">
        <f>IFERROR(__xludf.DUMMYFUNCTION("""COMPUTED_VALUE"""),"30000913")</f>
        <v>30000913</v>
      </c>
      <c r="D2562" s="380" t="s">
        <v>767</v>
      </c>
      <c r="E2562" s="380" t="s">
        <v>810</v>
      </c>
      <c r="F2562" s="380" t="s">
        <v>1089</v>
      </c>
      <c r="G2562" s="380" t="s">
        <v>1267</v>
      </c>
      <c r="H2562" s="380" t="s">
        <v>771</v>
      </c>
      <c r="I2562" s="380" t="s">
        <v>1084</v>
      </c>
      <c r="J2562" s="380" t="s">
        <v>773</v>
      </c>
      <c r="K2562" s="381">
        <v>44626.0</v>
      </c>
      <c r="L2562" s="382">
        <v>1.0</v>
      </c>
    </row>
    <row r="2563">
      <c r="A2563" s="380" t="s">
        <v>3426</v>
      </c>
      <c r="B2563" s="380" t="str">
        <f>IFERROR(__xludf.DUMMYFUNCTION("""COMPUTED_VALUE"""),"Chaqueta Conductor Patio Local M")</f>
        <v>Chaqueta Conductor Patio Local M</v>
      </c>
      <c r="C2563" s="380" t="str">
        <f>IFERROR(__xludf.DUMMYFUNCTION("""COMPUTED_VALUE"""),"30000914")</f>
        <v>30000914</v>
      </c>
      <c r="D2563" s="380" t="s">
        <v>767</v>
      </c>
      <c r="E2563" s="380" t="s">
        <v>810</v>
      </c>
      <c r="F2563" s="380" t="s">
        <v>1089</v>
      </c>
      <c r="G2563" s="380" t="s">
        <v>1267</v>
      </c>
      <c r="H2563" s="380" t="s">
        <v>771</v>
      </c>
      <c r="I2563" s="380" t="s">
        <v>1084</v>
      </c>
      <c r="J2563" s="380" t="s">
        <v>773</v>
      </c>
      <c r="K2563" s="381">
        <v>0.0</v>
      </c>
      <c r="L2563" s="382">
        <v>1.0</v>
      </c>
    </row>
    <row r="2564">
      <c r="A2564" s="380" t="s">
        <v>3427</v>
      </c>
      <c r="B2564" s="380" t="str">
        <f>IFERROR(__xludf.DUMMYFUNCTION("""COMPUTED_VALUE"""),"Chaqueta Conductor Patio Local S")</f>
        <v>Chaqueta Conductor Patio Local S</v>
      </c>
      <c r="C2564" s="380" t="str">
        <f>IFERROR(__xludf.DUMMYFUNCTION("""COMPUTED_VALUE"""),"30000915")</f>
        <v>30000915</v>
      </c>
      <c r="D2564" s="380" t="s">
        <v>767</v>
      </c>
      <c r="E2564" s="380" t="s">
        <v>810</v>
      </c>
      <c r="F2564" s="380" t="s">
        <v>1089</v>
      </c>
      <c r="G2564" s="380" t="s">
        <v>1267</v>
      </c>
      <c r="H2564" s="380" t="s">
        <v>771</v>
      </c>
      <c r="I2564" s="380" t="s">
        <v>1084</v>
      </c>
      <c r="J2564" s="380" t="s">
        <v>773</v>
      </c>
      <c r="K2564" s="381">
        <v>0.0</v>
      </c>
      <c r="L2564" s="382">
        <v>1.0</v>
      </c>
    </row>
    <row r="2565">
      <c r="A2565" s="380" t="s">
        <v>3428</v>
      </c>
      <c r="B2565" s="380" t="str">
        <f>IFERROR(__xludf.DUMMYFUNCTION("""COMPUTED_VALUE"""),"Chaqueta Conductor Patio Local 40")</f>
        <v>Chaqueta Conductor Patio Local 40</v>
      </c>
      <c r="C2565" s="380" t="str">
        <f>IFERROR(__xludf.DUMMYFUNCTION("""COMPUTED_VALUE"""),"30000916")</f>
        <v>30000916</v>
      </c>
      <c r="D2565" s="380" t="s">
        <v>767</v>
      </c>
      <c r="E2565" s="380" t="s">
        <v>810</v>
      </c>
      <c r="F2565" s="380" t="s">
        <v>1089</v>
      </c>
      <c r="G2565" s="380" t="s">
        <v>1267</v>
      </c>
      <c r="H2565" s="380" t="s">
        <v>771</v>
      </c>
      <c r="I2565" s="380" t="s">
        <v>1084</v>
      </c>
      <c r="J2565" s="380" t="s">
        <v>773</v>
      </c>
      <c r="K2565" s="381">
        <v>0.0</v>
      </c>
      <c r="L2565" s="382">
        <v>1.0</v>
      </c>
    </row>
    <row r="2566">
      <c r="A2566" s="380" t="s">
        <v>3429</v>
      </c>
      <c r="B2566" s="380" t="str">
        <f>IFERROR(__xludf.DUMMYFUNCTION("""COMPUTED_VALUE"""),"Chaqueta Conductor Patio Local XXL")</f>
        <v>Chaqueta Conductor Patio Local XXL</v>
      </c>
      <c r="C2566" s="380" t="str">
        <f>IFERROR(__xludf.DUMMYFUNCTION("""COMPUTED_VALUE"""),"30000917")</f>
        <v>30000917</v>
      </c>
      <c r="D2566" s="380" t="s">
        <v>767</v>
      </c>
      <c r="E2566" s="380" t="s">
        <v>810</v>
      </c>
      <c r="F2566" s="380" t="s">
        <v>1089</v>
      </c>
      <c r="G2566" s="380" t="s">
        <v>1267</v>
      </c>
      <c r="H2566" s="380" t="s">
        <v>771</v>
      </c>
      <c r="I2566" s="380" t="s">
        <v>1084</v>
      </c>
      <c r="J2566" s="380" t="s">
        <v>773</v>
      </c>
      <c r="K2566" s="381">
        <v>0.0</v>
      </c>
      <c r="L2566" s="382">
        <v>1.0</v>
      </c>
    </row>
    <row r="2567">
      <c r="A2567" s="380" t="s">
        <v>3430</v>
      </c>
      <c r="B2567" s="380" t="str">
        <f>IFERROR(__xludf.DUMMYFUNCTION("""COMPUTED_VALUE"""),"Chaqueta Conductor Patio Local L")</f>
        <v>Chaqueta Conductor Patio Local L</v>
      </c>
      <c r="C2567" s="380" t="str">
        <f>IFERROR(__xludf.DUMMYFUNCTION("""COMPUTED_VALUE"""),"30000918")</f>
        <v>30000918</v>
      </c>
      <c r="D2567" s="380" t="s">
        <v>767</v>
      </c>
      <c r="E2567" s="380" t="s">
        <v>810</v>
      </c>
      <c r="F2567" s="380" t="s">
        <v>1089</v>
      </c>
      <c r="G2567" s="380" t="s">
        <v>1267</v>
      </c>
      <c r="H2567" s="380" t="s">
        <v>771</v>
      </c>
      <c r="I2567" s="380" t="s">
        <v>1084</v>
      </c>
      <c r="J2567" s="380" t="s">
        <v>773</v>
      </c>
      <c r="K2567" s="381">
        <v>0.0</v>
      </c>
      <c r="L2567" s="382">
        <v>1.0</v>
      </c>
    </row>
    <row r="2568">
      <c r="A2568" s="380" t="s">
        <v>3431</v>
      </c>
      <c r="B2568" s="380" t="str">
        <f>IFERROR(__xludf.DUMMYFUNCTION("""COMPUTED_VALUE"""),"Chaqueta Conductor Patio Local 36")</f>
        <v>Chaqueta Conductor Patio Local 36</v>
      </c>
      <c r="C2568" s="380" t="str">
        <f>IFERROR(__xludf.DUMMYFUNCTION("""COMPUTED_VALUE"""),"30000919")</f>
        <v>30000919</v>
      </c>
      <c r="D2568" s="380" t="s">
        <v>767</v>
      </c>
      <c r="E2568" s="380" t="s">
        <v>810</v>
      </c>
      <c r="F2568" s="380" t="s">
        <v>1089</v>
      </c>
      <c r="G2568" s="380" t="s">
        <v>1267</v>
      </c>
      <c r="H2568" s="380" t="s">
        <v>771</v>
      </c>
      <c r="I2568" s="380" t="s">
        <v>1084</v>
      </c>
      <c r="J2568" s="380" t="s">
        <v>773</v>
      </c>
      <c r="K2568" s="381">
        <v>0.0</v>
      </c>
      <c r="L2568" s="382">
        <v>1.0</v>
      </c>
    </row>
    <row r="2569">
      <c r="A2569" s="380" t="s">
        <v>3432</v>
      </c>
      <c r="B2569" s="380" t="str">
        <f>IFERROR(__xludf.DUMMYFUNCTION("""COMPUTED_VALUE"""),"Chaqueta Conductor Patio Local 38")</f>
        <v>Chaqueta Conductor Patio Local 38</v>
      </c>
      <c r="C2569" s="380" t="str">
        <f>IFERROR(__xludf.DUMMYFUNCTION("""COMPUTED_VALUE"""),"30000920")</f>
        <v>30000920</v>
      </c>
      <c r="D2569" s="380" t="s">
        <v>767</v>
      </c>
      <c r="E2569" s="380" t="s">
        <v>810</v>
      </c>
      <c r="F2569" s="380" t="s">
        <v>1089</v>
      </c>
      <c r="G2569" s="380" t="s">
        <v>1267</v>
      </c>
      <c r="H2569" s="380" t="s">
        <v>771</v>
      </c>
      <c r="I2569" s="380" t="s">
        <v>1084</v>
      </c>
      <c r="J2569" s="380" t="s">
        <v>773</v>
      </c>
      <c r="K2569" s="381">
        <v>0.0</v>
      </c>
      <c r="L2569" s="382">
        <v>1.0</v>
      </c>
    </row>
    <row r="2570">
      <c r="A2570" s="380" t="s">
        <v>3433</v>
      </c>
      <c r="B2570" s="380" t="str">
        <f>IFERROR(__xludf.DUMMYFUNCTION("""COMPUTED_VALUE"""),"Chaqueta Conductor Patio Local 44")</f>
        <v>Chaqueta Conductor Patio Local 44</v>
      </c>
      <c r="C2570" s="380" t="str">
        <f>IFERROR(__xludf.DUMMYFUNCTION("""COMPUTED_VALUE"""),"30000921")</f>
        <v>30000921</v>
      </c>
      <c r="D2570" s="380" t="s">
        <v>767</v>
      </c>
      <c r="E2570" s="380" t="s">
        <v>810</v>
      </c>
      <c r="F2570" s="380" t="s">
        <v>1089</v>
      </c>
      <c r="G2570" s="380" t="s">
        <v>1267</v>
      </c>
      <c r="H2570" s="380" t="s">
        <v>771</v>
      </c>
      <c r="I2570" s="380" t="s">
        <v>1084</v>
      </c>
      <c r="J2570" s="380" t="s">
        <v>773</v>
      </c>
      <c r="K2570" s="381">
        <v>0.0</v>
      </c>
      <c r="L2570" s="382">
        <v>1.0</v>
      </c>
    </row>
    <row r="2571">
      <c r="A2571" s="380" t="s">
        <v>3434</v>
      </c>
      <c r="B2571" s="380" t="str">
        <f>IFERROR(__xludf.DUMMYFUNCTION("""COMPUTED_VALUE"""),"Chaqueta Conductor Patio Local 42")</f>
        <v>Chaqueta Conductor Patio Local 42</v>
      </c>
      <c r="C2571" s="380" t="str">
        <f>IFERROR(__xludf.DUMMYFUNCTION("""COMPUTED_VALUE"""),"30000922")</f>
        <v>30000922</v>
      </c>
      <c r="D2571" s="380" t="s">
        <v>767</v>
      </c>
      <c r="E2571" s="380" t="s">
        <v>810</v>
      </c>
      <c r="F2571" s="380" t="s">
        <v>1089</v>
      </c>
      <c r="G2571" s="380" t="s">
        <v>1267</v>
      </c>
      <c r="H2571" s="380" t="s">
        <v>771</v>
      </c>
      <c r="I2571" s="380" t="s">
        <v>1084</v>
      </c>
      <c r="J2571" s="380" t="s">
        <v>773</v>
      </c>
      <c r="K2571" s="381">
        <v>0.0</v>
      </c>
      <c r="L2571" s="382">
        <v>1.0</v>
      </c>
    </row>
    <row r="2572">
      <c r="A2572" s="380" t="s">
        <v>3435</v>
      </c>
      <c r="B2572" s="380" t="str">
        <f>IFERROR(__xludf.DUMMYFUNCTION("""COMPUTED_VALUE"""),"Chaqueta Conductor Patio Local Xl")</f>
        <v>Chaqueta Conductor Patio Local Xl</v>
      </c>
      <c r="C2572" s="380" t="str">
        <f>IFERROR(__xludf.DUMMYFUNCTION("""COMPUTED_VALUE"""),"30000923")</f>
        <v>30000923</v>
      </c>
      <c r="D2572" s="380" t="s">
        <v>767</v>
      </c>
      <c r="E2572" s="380" t="s">
        <v>810</v>
      </c>
      <c r="F2572" s="380" t="s">
        <v>1089</v>
      </c>
      <c r="G2572" s="380" t="s">
        <v>1267</v>
      </c>
      <c r="H2572" s="380" t="s">
        <v>771</v>
      </c>
      <c r="I2572" s="380" t="s">
        <v>1084</v>
      </c>
      <c r="J2572" s="380" t="s">
        <v>773</v>
      </c>
      <c r="K2572" s="381">
        <v>0.0</v>
      </c>
      <c r="L2572" s="382">
        <v>1.0</v>
      </c>
    </row>
    <row r="2573">
      <c r="A2573" s="380" t="s">
        <v>3436</v>
      </c>
      <c r="B2573" s="380" t="str">
        <f>IFERROR(__xludf.DUMMYFUNCTION("""COMPUTED_VALUE"""),"Oximetro De Pulso")</f>
        <v>Oximetro De Pulso</v>
      </c>
      <c r="C2573" s="380" t="str">
        <f>IFERROR(__xludf.DUMMYFUNCTION("""COMPUTED_VALUE"""),"30000924")</f>
        <v>30000924</v>
      </c>
      <c r="D2573" s="380" t="s">
        <v>767</v>
      </c>
      <c r="E2573" s="380" t="s">
        <v>810</v>
      </c>
      <c r="F2573" s="380" t="s">
        <v>811</v>
      </c>
      <c r="G2573" s="380" t="s">
        <v>1267</v>
      </c>
      <c r="H2573" s="380" t="s">
        <v>771</v>
      </c>
      <c r="I2573" s="380" t="s">
        <v>812</v>
      </c>
      <c r="J2573" s="380" t="s">
        <v>773</v>
      </c>
      <c r="K2573" s="381">
        <v>0.0</v>
      </c>
      <c r="L2573" s="382">
        <v>1.0</v>
      </c>
    </row>
    <row r="2574">
      <c r="A2574" s="380" t="s">
        <v>3437</v>
      </c>
      <c r="B2574" s="380" t="str">
        <f>IFERROR(__xludf.DUMMYFUNCTION("""COMPUTED_VALUE"""),"Camisa Cuello Corbata Azul Oxford ML 40")</f>
        <v>Camisa Cuello Corbata Azul Oxford ML 40</v>
      </c>
      <c r="C2574" s="380" t="str">
        <f>IFERROR(__xludf.DUMMYFUNCTION("""COMPUTED_VALUE"""),"30000925")</f>
        <v>30000925</v>
      </c>
      <c r="D2574" s="380" t="s">
        <v>767</v>
      </c>
      <c r="E2574" s="380" t="s">
        <v>810</v>
      </c>
      <c r="F2574" s="380" t="s">
        <v>1089</v>
      </c>
      <c r="G2574" s="380" t="s">
        <v>1267</v>
      </c>
      <c r="H2574" s="380" t="s">
        <v>771</v>
      </c>
      <c r="I2574" s="380" t="s">
        <v>1084</v>
      </c>
      <c r="J2574" s="380" t="s">
        <v>773</v>
      </c>
      <c r="K2574" s="381">
        <v>44626.0</v>
      </c>
      <c r="L2574" s="382">
        <v>1.0</v>
      </c>
    </row>
    <row r="2575">
      <c r="A2575" s="380" t="s">
        <v>3438</v>
      </c>
      <c r="B2575" s="380" t="str">
        <f>IFERROR(__xludf.DUMMYFUNCTION("""COMPUTED_VALUE"""),"Maletin Con Logo Quimicos")</f>
        <v>Maletin Con Logo Quimicos</v>
      </c>
      <c r="C2575" s="380" t="str">
        <f>IFERROR(__xludf.DUMMYFUNCTION("""COMPUTED_VALUE"""),"30000926")</f>
        <v>30000926</v>
      </c>
      <c r="D2575" s="380" t="s">
        <v>767</v>
      </c>
      <c r="E2575" s="380" t="s">
        <v>810</v>
      </c>
      <c r="F2575" s="380" t="s">
        <v>1271</v>
      </c>
      <c r="G2575" s="380" t="s">
        <v>1267</v>
      </c>
      <c r="H2575" s="380" t="s">
        <v>771</v>
      </c>
      <c r="I2575" s="380" t="s">
        <v>1084</v>
      </c>
      <c r="J2575" s="380" t="s">
        <v>773</v>
      </c>
      <c r="K2575" s="381">
        <v>88541.0</v>
      </c>
      <c r="L2575" s="382">
        <v>1.0</v>
      </c>
    </row>
    <row r="2576">
      <c r="A2576" s="380" t="s">
        <v>3439</v>
      </c>
      <c r="B2576" s="380" t="str">
        <f>IFERROR(__xludf.DUMMYFUNCTION("""COMPUTED_VALUE"""),"Eslinga Absorvefor Doble En Y Arseg")</f>
        <v>Eslinga Absorvefor Doble En Y Arseg</v>
      </c>
      <c r="C2576" s="380" t="str">
        <f>IFERROR(__xludf.DUMMYFUNCTION("""COMPUTED_VALUE"""),"30000927")</f>
        <v>30000927</v>
      </c>
      <c r="D2576" s="380" t="s">
        <v>767</v>
      </c>
      <c r="E2576" s="380" t="s">
        <v>810</v>
      </c>
      <c r="F2576" s="380" t="s">
        <v>1083</v>
      </c>
      <c r="G2576" s="380" t="s">
        <v>1267</v>
      </c>
      <c r="H2576" s="380" t="s">
        <v>771</v>
      </c>
      <c r="I2576" s="380" t="s">
        <v>1084</v>
      </c>
      <c r="J2576" s="380" t="s">
        <v>773</v>
      </c>
      <c r="K2576" s="381">
        <v>0.0</v>
      </c>
      <c r="L2576" s="382">
        <v>1.0</v>
      </c>
    </row>
    <row r="2577">
      <c r="A2577" s="380" t="s">
        <v>3440</v>
      </c>
      <c r="B2577" s="380" t="str">
        <f>IFERROR(__xludf.DUMMYFUNCTION("""COMPUTED_VALUE"""),"Brazalete Verti Transparente Carnet")</f>
        <v>Brazalete Verti Transparente Carnet</v>
      </c>
      <c r="C2577" s="380" t="str">
        <f>IFERROR(__xludf.DUMMYFUNCTION("""COMPUTED_VALUE"""),"30000928")</f>
        <v>30000928</v>
      </c>
      <c r="D2577" s="380" t="s">
        <v>767</v>
      </c>
      <c r="E2577" s="380" t="s">
        <v>810</v>
      </c>
      <c r="F2577" s="380" t="s">
        <v>1089</v>
      </c>
      <c r="G2577" s="380" t="s">
        <v>1267</v>
      </c>
      <c r="H2577" s="380" t="s">
        <v>771</v>
      </c>
      <c r="I2577" s="380" t="s">
        <v>1084</v>
      </c>
      <c r="J2577" s="380" t="s">
        <v>773</v>
      </c>
      <c r="K2577" s="381">
        <v>2043.0</v>
      </c>
      <c r="L2577" s="382">
        <v>1.0</v>
      </c>
    </row>
    <row r="2578">
      <c r="A2578" s="380" t="s">
        <v>3441</v>
      </c>
      <c r="B2578" s="380" t="str">
        <f>IFERROR(__xludf.DUMMYFUNCTION("""COMPUTED_VALUE"""),"Porta Carnet Vertical Azul Dotacion")</f>
        <v>Porta Carnet Vertical Azul Dotacion</v>
      </c>
      <c r="C2578" s="380" t="str">
        <f>IFERROR(__xludf.DUMMYFUNCTION("""COMPUTED_VALUE"""),"30000929")</f>
        <v>30000929</v>
      </c>
      <c r="D2578" s="380" t="s">
        <v>767</v>
      </c>
      <c r="E2578" s="380" t="s">
        <v>810</v>
      </c>
      <c r="F2578" s="380" t="s">
        <v>1089</v>
      </c>
      <c r="G2578" s="380" t="s">
        <v>1267</v>
      </c>
      <c r="H2578" s="380" t="s">
        <v>771</v>
      </c>
      <c r="I2578" s="380" t="s">
        <v>1084</v>
      </c>
      <c r="J2578" s="380" t="s">
        <v>773</v>
      </c>
      <c r="K2578" s="381">
        <v>342.0</v>
      </c>
      <c r="L2578" s="382">
        <v>1.0</v>
      </c>
    </row>
    <row r="2579">
      <c r="A2579" s="380" t="s">
        <v>3442</v>
      </c>
      <c r="B2579" s="380" t="str">
        <f>IFERROR(__xludf.DUMMYFUNCTION("""COMPUTED_VALUE"""),"Yoyo Retractil Azul")</f>
        <v>Yoyo Retractil Azul</v>
      </c>
      <c r="C2579" s="380" t="str">
        <f>IFERROR(__xludf.DUMMYFUNCTION("""COMPUTED_VALUE"""),"30000930")</f>
        <v>30000930</v>
      </c>
      <c r="D2579" s="380" t="s">
        <v>767</v>
      </c>
      <c r="E2579" s="380" t="s">
        <v>810</v>
      </c>
      <c r="F2579" s="380" t="s">
        <v>1089</v>
      </c>
      <c r="G2579" s="380" t="s">
        <v>1267</v>
      </c>
      <c r="H2579" s="380" t="s">
        <v>771</v>
      </c>
      <c r="I2579" s="380" t="s">
        <v>1084</v>
      </c>
      <c r="J2579" s="380" t="s">
        <v>773</v>
      </c>
      <c r="K2579" s="381">
        <v>1460.0</v>
      </c>
      <c r="L2579" s="382">
        <v>1.0</v>
      </c>
    </row>
    <row r="2580">
      <c r="A2580" s="380" t="s">
        <v>3443</v>
      </c>
      <c r="B2580" s="380" t="str">
        <f>IFERROR(__xludf.DUMMYFUNCTION("""COMPUTED_VALUE"""),"Camiseta Distribucion Ml Mater 12")</f>
        <v>Camiseta Distribucion Ml Mater 12</v>
      </c>
      <c r="C2580" s="380" t="str">
        <f>IFERROR(__xludf.DUMMYFUNCTION("""COMPUTED_VALUE"""),"30000960")</f>
        <v>30000960</v>
      </c>
      <c r="D2580" s="380" t="s">
        <v>767</v>
      </c>
      <c r="E2580" s="380" t="s">
        <v>810</v>
      </c>
      <c r="F2580" s="380" t="s">
        <v>1089</v>
      </c>
      <c r="G2580" s="380" t="s">
        <v>1267</v>
      </c>
      <c r="H2580" s="380" t="s">
        <v>771</v>
      </c>
      <c r="I2580" s="380" t="s">
        <v>1084</v>
      </c>
      <c r="J2580" s="380" t="s">
        <v>773</v>
      </c>
      <c r="K2580" s="381">
        <v>0.0</v>
      </c>
      <c r="L2580" s="382">
        <v>1.0</v>
      </c>
    </row>
    <row r="2581">
      <c r="A2581" s="380" t="s">
        <v>3444</v>
      </c>
      <c r="B2581" s="380" t="str">
        <f>IFERROR(__xludf.DUMMYFUNCTION("""COMPUTED_VALUE"""),"Pantalon Dryl Gris Materno 14")</f>
        <v>Pantalon Dryl Gris Materno 14</v>
      </c>
      <c r="C2581" s="380" t="str">
        <f>IFERROR(__xludf.DUMMYFUNCTION("""COMPUTED_VALUE"""),"30000961")</f>
        <v>30000961</v>
      </c>
      <c r="D2581" s="380" t="s">
        <v>767</v>
      </c>
      <c r="E2581" s="380" t="s">
        <v>810</v>
      </c>
      <c r="F2581" s="380" t="s">
        <v>1089</v>
      </c>
      <c r="G2581" s="380" t="s">
        <v>1267</v>
      </c>
      <c r="H2581" s="380" t="s">
        <v>771</v>
      </c>
      <c r="I2581" s="380" t="s">
        <v>1084</v>
      </c>
      <c r="J2581" s="380" t="s">
        <v>773</v>
      </c>
      <c r="K2581" s="381">
        <v>0.0</v>
      </c>
      <c r="L2581" s="382">
        <v>1.0</v>
      </c>
    </row>
    <row r="2582">
      <c r="A2582" s="380" t="s">
        <v>3445</v>
      </c>
      <c r="B2582" s="380" t="str">
        <f>IFERROR(__xludf.DUMMYFUNCTION("""COMPUTED_VALUE"""),"Estuche Protector Impresor Tim")</f>
        <v>Estuche Protector Impresor Tim</v>
      </c>
      <c r="C2582" s="380" t="str">
        <f>IFERROR(__xludf.DUMMYFUNCTION("""COMPUTED_VALUE"""),"30000962")</f>
        <v>30000962</v>
      </c>
      <c r="D2582" s="380" t="s">
        <v>767</v>
      </c>
      <c r="E2582" s="380" t="s">
        <v>810</v>
      </c>
      <c r="F2582" s="380" t="s">
        <v>1271</v>
      </c>
      <c r="G2582" s="380" t="s">
        <v>1267</v>
      </c>
      <c r="H2582" s="380" t="s">
        <v>771</v>
      </c>
      <c r="I2582" s="380" t="s">
        <v>1084</v>
      </c>
      <c r="J2582" s="380" t="s">
        <v>773</v>
      </c>
      <c r="K2582" s="381">
        <v>17457.0</v>
      </c>
      <c r="L2582" s="382">
        <v>1.0</v>
      </c>
    </row>
    <row r="2583">
      <c r="A2583" s="380" t="s">
        <v>3446</v>
      </c>
      <c r="B2583" s="380" t="str">
        <f>IFERROR(__xludf.DUMMYFUNCTION("""COMPUTED_VALUE"""),"Adhesivo Deflector Aire Pequeño")</f>
        <v>Adhesivo Deflector Aire Pequeño</v>
      </c>
      <c r="C2583" s="380" t="str">
        <f>IFERROR(__xludf.DUMMYFUNCTION("""COMPUTED_VALUE"""),"50000171")</f>
        <v>50000171</v>
      </c>
      <c r="D2583" s="380" t="s">
        <v>767</v>
      </c>
      <c r="E2583" s="380" t="s">
        <v>781</v>
      </c>
      <c r="F2583" s="380" t="s">
        <v>819</v>
      </c>
      <c r="G2583" s="380" t="s">
        <v>1267</v>
      </c>
      <c r="H2583" s="380" t="s">
        <v>771</v>
      </c>
      <c r="I2583" s="380" t="s">
        <v>817</v>
      </c>
      <c r="J2583" s="380" t="s">
        <v>773</v>
      </c>
      <c r="K2583" s="381">
        <v>0.0</v>
      </c>
      <c r="L2583" s="382">
        <v>1.0</v>
      </c>
    </row>
    <row r="2584">
      <c r="A2584" s="380" t="s">
        <v>3447</v>
      </c>
      <c r="B2584" s="380" t="str">
        <f>IFERROR(__xludf.DUMMYFUNCTION("""COMPUTED_VALUE"""),"Llavero Para Vehículos")</f>
        <v>Llavero Para Vehículos</v>
      </c>
      <c r="C2584" s="380" t="str">
        <f>IFERROR(__xludf.DUMMYFUNCTION("""COMPUTED_VALUE"""),"50000172")</f>
        <v>50000172</v>
      </c>
      <c r="D2584" s="380" t="s">
        <v>767</v>
      </c>
      <c r="E2584" s="380" t="s">
        <v>781</v>
      </c>
      <c r="F2584" s="380" t="s">
        <v>830</v>
      </c>
      <c r="G2584" s="380" t="s">
        <v>1267</v>
      </c>
      <c r="H2584" s="380" t="s">
        <v>771</v>
      </c>
      <c r="I2584" s="380" t="s">
        <v>817</v>
      </c>
      <c r="J2584" s="380" t="s">
        <v>773</v>
      </c>
      <c r="K2584" s="381">
        <v>0.0</v>
      </c>
      <c r="L2584" s="382">
        <v>1.0</v>
      </c>
    </row>
    <row r="2585">
      <c r="A2585" s="380" t="s">
        <v>3448</v>
      </c>
      <c r="B2585" s="380" t="str">
        <f>IFERROR(__xludf.DUMMYFUNCTION("""COMPUTED_VALUE"""),"Calcomania Como Conduzco #767")</f>
        <v>Calcomania Como Conduzco #767</v>
      </c>
      <c r="C2585" s="380" t="str">
        <f>IFERROR(__xludf.DUMMYFUNCTION("""COMPUTED_VALUE"""),"50000173")</f>
        <v>50000173</v>
      </c>
      <c r="D2585" s="380" t="s">
        <v>767</v>
      </c>
      <c r="E2585" s="380" t="s">
        <v>781</v>
      </c>
      <c r="F2585" s="380" t="s">
        <v>819</v>
      </c>
      <c r="G2585" s="380" t="s">
        <v>1267</v>
      </c>
      <c r="H2585" s="380" t="s">
        <v>771</v>
      </c>
      <c r="I2585" s="380" t="s">
        <v>817</v>
      </c>
      <c r="J2585" s="380" t="s">
        <v>773</v>
      </c>
      <c r="K2585" s="381">
        <v>14722.0</v>
      </c>
      <c r="L2585" s="382">
        <v>1.0</v>
      </c>
    </row>
    <row r="2586">
      <c r="A2586" s="380" t="s">
        <v>3449</v>
      </c>
      <c r="B2586" s="380" t="str">
        <f>IFERROR(__xludf.DUMMYFUNCTION("""COMPUTED_VALUE"""),"Tornillo Goloso 10x 3/4")</f>
        <v>Tornillo Goloso 10x 3/4</v>
      </c>
      <c r="C2586" s="380" t="str">
        <f>IFERROR(__xludf.DUMMYFUNCTION("""COMPUTED_VALUE"""),"50000174")</f>
        <v>50000174</v>
      </c>
      <c r="D2586" s="380" t="s">
        <v>767</v>
      </c>
      <c r="E2586" s="380" t="s">
        <v>781</v>
      </c>
      <c r="F2586" s="380" t="s">
        <v>830</v>
      </c>
      <c r="G2586" s="380" t="s">
        <v>1267</v>
      </c>
      <c r="H2586" s="380" t="s">
        <v>771</v>
      </c>
      <c r="I2586" s="380" t="s">
        <v>817</v>
      </c>
      <c r="J2586" s="380" t="s">
        <v>773</v>
      </c>
      <c r="K2586" s="381">
        <v>0.0</v>
      </c>
      <c r="L2586" s="382">
        <v>1.0</v>
      </c>
    </row>
    <row r="2587">
      <c r="A2587" s="380" t="s">
        <v>3450</v>
      </c>
      <c r="B2587" s="380" t="str">
        <f>IFERROR(__xludf.DUMMYFUNCTION("""COMPUTED_VALUE"""),"Calcomania Placa Techo Cabina")</f>
        <v>Calcomania Placa Techo Cabina</v>
      </c>
      <c r="C2587" s="380" t="str">
        <f>IFERROR(__xludf.DUMMYFUNCTION("""COMPUTED_VALUE"""),"50000175")</f>
        <v>50000175</v>
      </c>
      <c r="D2587" s="380" t="s">
        <v>767</v>
      </c>
      <c r="E2587" s="380" t="s">
        <v>781</v>
      </c>
      <c r="F2587" s="380" t="s">
        <v>819</v>
      </c>
      <c r="G2587" s="380" t="s">
        <v>1267</v>
      </c>
      <c r="H2587" s="380" t="s">
        <v>771</v>
      </c>
      <c r="I2587" s="380" t="s">
        <v>817</v>
      </c>
      <c r="J2587" s="380" t="s">
        <v>773</v>
      </c>
      <c r="K2587" s="381">
        <v>0.0</v>
      </c>
      <c r="L2587" s="382">
        <v>1.0</v>
      </c>
    </row>
    <row r="2588">
      <c r="A2588" s="380" t="s">
        <v>3451</v>
      </c>
      <c r="B2588" s="380" t="str">
        <f>IFERROR(__xludf.DUMMYFUNCTION("""COMPUTED_VALUE"""),"Angulo Hierro 3/8 X 3"" X 6 Mts")</f>
        <v>Angulo Hierro 3/8 X 3" X 6 Mts</v>
      </c>
      <c r="C2588" s="380" t="str">
        <f>IFERROR(__xludf.DUMMYFUNCTION("""COMPUTED_VALUE"""),"50000176")</f>
        <v>50000176</v>
      </c>
      <c r="D2588" s="380" t="s">
        <v>767</v>
      </c>
      <c r="E2588" s="380" t="s">
        <v>781</v>
      </c>
      <c r="F2588" s="380" t="s">
        <v>830</v>
      </c>
      <c r="G2588" s="380" t="s">
        <v>1267</v>
      </c>
      <c r="H2588" s="380" t="s">
        <v>771</v>
      </c>
      <c r="I2588" s="380" t="s">
        <v>817</v>
      </c>
      <c r="J2588" s="380" t="s">
        <v>773</v>
      </c>
      <c r="K2588" s="381">
        <v>0.0</v>
      </c>
      <c r="L2588" s="382">
        <v>1.0</v>
      </c>
    </row>
    <row r="2589">
      <c r="A2589" s="380" t="s">
        <v>3452</v>
      </c>
      <c r="B2589" s="380" t="str">
        <f>IFERROR(__xludf.DUMMYFUNCTION("""COMPUTED_VALUE"""),"Adhesivo Para Furgon Nkr - Npr")</f>
        <v>Adhesivo Para Furgon Nkr - Npr</v>
      </c>
      <c r="C2589" s="380" t="str">
        <f>IFERROR(__xludf.DUMMYFUNCTION("""COMPUTED_VALUE"""),"50000177")</f>
        <v>50000177</v>
      </c>
      <c r="D2589" s="380" t="s">
        <v>767</v>
      </c>
      <c r="E2589" s="380" t="s">
        <v>781</v>
      </c>
      <c r="F2589" s="380" t="s">
        <v>819</v>
      </c>
      <c r="G2589" s="380" t="s">
        <v>1267</v>
      </c>
      <c r="H2589" s="380" t="s">
        <v>771</v>
      </c>
      <c r="I2589" s="380" t="s">
        <v>817</v>
      </c>
      <c r="J2589" s="380" t="s">
        <v>773</v>
      </c>
      <c r="K2589" s="381">
        <v>0.0</v>
      </c>
      <c r="L2589" s="382">
        <v>1.0</v>
      </c>
    </row>
    <row r="2590">
      <c r="A2590" s="380" t="s">
        <v>3453</v>
      </c>
      <c r="B2590" s="380" t="str">
        <f>IFERROR(__xludf.DUMMYFUNCTION("""COMPUTED_VALUE"""),"Adhesivo N 200")</f>
        <v>Adhesivo N 200</v>
      </c>
      <c r="C2590" s="380" t="str">
        <f>IFERROR(__xludf.DUMMYFUNCTION("""COMPUTED_VALUE"""),"50000178")</f>
        <v>50000178</v>
      </c>
      <c r="D2590" s="380" t="s">
        <v>767</v>
      </c>
      <c r="E2590" s="380" t="s">
        <v>781</v>
      </c>
      <c r="F2590" s="380" t="s">
        <v>819</v>
      </c>
      <c r="G2590" s="380" t="s">
        <v>1267</v>
      </c>
      <c r="H2590" s="380" t="s">
        <v>771</v>
      </c>
      <c r="I2590" s="380" t="s">
        <v>817</v>
      </c>
      <c r="J2590" s="380" t="s">
        <v>773</v>
      </c>
      <c r="K2590" s="381">
        <v>0.0</v>
      </c>
      <c r="L2590" s="382">
        <v>1.0</v>
      </c>
    </row>
    <row r="2591">
      <c r="A2591" s="380" t="s">
        <v>3454</v>
      </c>
      <c r="B2591" s="380" t="str">
        <f>IFERROR(__xludf.DUMMYFUNCTION("""COMPUTED_VALUE"""),"Canal En U Varios X 6 Metros")</f>
        <v>Canal En U Varios X 6 Metros</v>
      </c>
      <c r="C2591" s="380" t="str">
        <f>IFERROR(__xludf.DUMMYFUNCTION("""COMPUTED_VALUE"""),"50000180")</f>
        <v>50000180</v>
      </c>
      <c r="D2591" s="380" t="s">
        <v>767</v>
      </c>
      <c r="E2591" s="380" t="s">
        <v>781</v>
      </c>
      <c r="F2591" s="380" t="s">
        <v>830</v>
      </c>
      <c r="G2591" s="380" t="s">
        <v>1267</v>
      </c>
      <c r="H2591" s="380" t="s">
        <v>771</v>
      </c>
      <c r="I2591" s="380" t="s">
        <v>817</v>
      </c>
      <c r="J2591" s="380" t="s">
        <v>773</v>
      </c>
      <c r="K2591" s="381">
        <v>0.0</v>
      </c>
      <c r="L2591" s="382">
        <v>1.0</v>
      </c>
    </row>
    <row r="2592">
      <c r="A2592" s="380" t="s">
        <v>3455</v>
      </c>
      <c r="B2592" s="380" t="str">
        <f>IFERROR(__xludf.DUMMYFUNCTION("""COMPUTED_VALUE"""),"Adhesivo Para Contenedores")</f>
        <v>Adhesivo Para Contenedores</v>
      </c>
      <c r="C2592" s="380" t="str">
        <f>IFERROR(__xludf.DUMMYFUNCTION("""COMPUTED_VALUE"""),"50000181")</f>
        <v>50000181</v>
      </c>
      <c r="D2592" s="380" t="s">
        <v>767</v>
      </c>
      <c r="E2592" s="380" t="s">
        <v>781</v>
      </c>
      <c r="F2592" s="380" t="s">
        <v>819</v>
      </c>
      <c r="G2592" s="380" t="s">
        <v>1267</v>
      </c>
      <c r="H2592" s="380" t="s">
        <v>771</v>
      </c>
      <c r="I2592" s="380" t="s">
        <v>817</v>
      </c>
      <c r="J2592" s="380" t="s">
        <v>773</v>
      </c>
      <c r="K2592" s="381">
        <v>2774814.0</v>
      </c>
      <c r="L2592" s="382">
        <v>1.0</v>
      </c>
    </row>
    <row r="2593">
      <c r="A2593" s="380" t="s">
        <v>3456</v>
      </c>
      <c r="B2593" s="380" t="str">
        <f>IFERROR(__xludf.DUMMYFUNCTION("""COMPUTED_VALUE"""),"Platina Hierro 1/4 X 3"" X 6 Mts")</f>
        <v>Platina Hierro 1/4 X 3" X 6 Mts</v>
      </c>
      <c r="C2593" s="380" t="str">
        <f>IFERROR(__xludf.DUMMYFUNCTION("""COMPUTED_VALUE"""),"50000182")</f>
        <v>50000182</v>
      </c>
      <c r="D2593" s="380" t="s">
        <v>767</v>
      </c>
      <c r="E2593" s="380" t="s">
        <v>781</v>
      </c>
      <c r="F2593" s="380" t="s">
        <v>830</v>
      </c>
      <c r="G2593" s="380" t="s">
        <v>1267</v>
      </c>
      <c r="H2593" s="380" t="s">
        <v>771</v>
      </c>
      <c r="I2593" s="380" t="s">
        <v>817</v>
      </c>
      <c r="J2593" s="380" t="s">
        <v>773</v>
      </c>
      <c r="K2593" s="381">
        <v>0.0</v>
      </c>
      <c r="L2593" s="382">
        <v>1.0</v>
      </c>
    </row>
    <row r="2594">
      <c r="A2594" s="380" t="s">
        <v>3457</v>
      </c>
      <c r="B2594" s="380" t="str">
        <f>IFERROR(__xludf.DUMMYFUNCTION("""COMPUTED_VALUE"""),"Platina Hierro 1/4 X 1 1/2 X 6mts")</f>
        <v>Platina Hierro 1/4 X 1 1/2 X 6mts</v>
      </c>
      <c r="C2594" s="380" t="str">
        <f>IFERROR(__xludf.DUMMYFUNCTION("""COMPUTED_VALUE"""),"50000183")</f>
        <v>50000183</v>
      </c>
      <c r="D2594" s="380" t="s">
        <v>767</v>
      </c>
      <c r="E2594" s="380" t="s">
        <v>781</v>
      </c>
      <c r="F2594" s="380" t="s">
        <v>830</v>
      </c>
      <c r="G2594" s="380" t="s">
        <v>1267</v>
      </c>
      <c r="H2594" s="380" t="s">
        <v>771</v>
      </c>
      <c r="I2594" s="380" t="s">
        <v>817</v>
      </c>
      <c r="J2594" s="380" t="s">
        <v>773</v>
      </c>
      <c r="K2594" s="381">
        <v>0.0</v>
      </c>
      <c r="L2594" s="382">
        <v>1.0</v>
      </c>
    </row>
    <row r="2595">
      <c r="A2595" s="380" t="s">
        <v>3458</v>
      </c>
      <c r="B2595" s="380" t="str">
        <f>IFERROR(__xludf.DUMMYFUNCTION("""COMPUTED_VALUE"""),"Adhesivo Para Camion Hi - FRR")</f>
        <v>Adhesivo Para Camion Hi - FRR</v>
      </c>
      <c r="C2595" s="380" t="str">
        <f>IFERROR(__xludf.DUMMYFUNCTION("""COMPUTED_VALUE"""),"50000184")</f>
        <v>50000184</v>
      </c>
      <c r="D2595" s="380" t="s">
        <v>767</v>
      </c>
      <c r="E2595" s="380" t="s">
        <v>781</v>
      </c>
      <c r="F2595" s="380" t="s">
        <v>819</v>
      </c>
      <c r="G2595" s="380" t="s">
        <v>1267</v>
      </c>
      <c r="H2595" s="380" t="s">
        <v>771</v>
      </c>
      <c r="I2595" s="380" t="s">
        <v>817</v>
      </c>
      <c r="J2595" s="380" t="s">
        <v>773</v>
      </c>
      <c r="K2595" s="381">
        <v>1842120.0</v>
      </c>
      <c r="L2595" s="382">
        <v>1.0</v>
      </c>
    </row>
    <row r="2596">
      <c r="A2596" s="380" t="s">
        <v>3459</v>
      </c>
      <c r="B2596" s="380" t="str">
        <f>IFERROR(__xludf.DUMMYFUNCTION("""COMPUTED_VALUE"""),"Adhesivo Furgon Para Nhr")</f>
        <v>Adhesivo Furgon Para Nhr</v>
      </c>
      <c r="C2596" s="380" t="str">
        <f>IFERROR(__xludf.DUMMYFUNCTION("""COMPUTED_VALUE"""),"50000185")</f>
        <v>50000185</v>
      </c>
      <c r="D2596" s="380" t="s">
        <v>767</v>
      </c>
      <c r="E2596" s="380" t="s">
        <v>781</v>
      </c>
      <c r="F2596" s="380" t="s">
        <v>819</v>
      </c>
      <c r="G2596" s="380" t="s">
        <v>1267</v>
      </c>
      <c r="H2596" s="380" t="s">
        <v>771</v>
      </c>
      <c r="I2596" s="380" t="s">
        <v>817</v>
      </c>
      <c r="J2596" s="380" t="s">
        <v>773</v>
      </c>
      <c r="K2596" s="381">
        <v>0.0</v>
      </c>
      <c r="L2596" s="382">
        <v>1.0</v>
      </c>
    </row>
    <row r="2597">
      <c r="A2597" s="380" t="s">
        <v>3460</v>
      </c>
      <c r="B2597" s="380" t="str">
        <f>IFERROR(__xludf.DUMMYFUNCTION("""COMPUTED_VALUE"""),"Adhesivo ""Peligro Carga Larga")</f>
        <v>Adhesivo "Peligro Carga Larga</v>
      </c>
      <c r="C2597" s="380" t="str">
        <f>IFERROR(__xludf.DUMMYFUNCTION("""COMPUTED_VALUE"""),"50000186")</f>
        <v>50000186</v>
      </c>
      <c r="D2597" s="380" t="s">
        <v>767</v>
      </c>
      <c r="E2597" s="380" t="s">
        <v>781</v>
      </c>
      <c r="F2597" s="380" t="s">
        <v>819</v>
      </c>
      <c r="G2597" s="380" t="s">
        <v>1267</v>
      </c>
      <c r="H2597" s="380" t="s">
        <v>771</v>
      </c>
      <c r="I2597" s="380" t="s">
        <v>817</v>
      </c>
      <c r="J2597" s="380" t="s">
        <v>773</v>
      </c>
      <c r="K2597" s="381">
        <v>119000.0</v>
      </c>
      <c r="L2597" s="382">
        <v>1.0</v>
      </c>
    </row>
    <row r="2598">
      <c r="A2598" s="380" t="s">
        <v>3461</v>
      </c>
      <c r="B2598" s="380" t="str">
        <f>IFERROR(__xludf.DUMMYFUNCTION("""COMPUTED_VALUE"""),"Adhesivo Para Furgon Hino")</f>
        <v>Adhesivo Para Furgon Hino</v>
      </c>
      <c r="C2598" s="380" t="str">
        <f>IFERROR(__xludf.DUMMYFUNCTION("""COMPUTED_VALUE"""),"50000190")</f>
        <v>50000190</v>
      </c>
      <c r="D2598" s="380" t="s">
        <v>767</v>
      </c>
      <c r="E2598" s="380" t="s">
        <v>781</v>
      </c>
      <c r="F2598" s="380" t="s">
        <v>819</v>
      </c>
      <c r="G2598" s="380" t="s">
        <v>1267</v>
      </c>
      <c r="H2598" s="380" t="s">
        <v>771</v>
      </c>
      <c r="I2598" s="380" t="s">
        <v>817</v>
      </c>
      <c r="J2598" s="380" t="s">
        <v>773</v>
      </c>
      <c r="K2598" s="381">
        <v>450095.0</v>
      </c>
      <c r="L2598" s="382">
        <v>1.0</v>
      </c>
    </row>
    <row r="2599">
      <c r="A2599" s="380" t="s">
        <v>3462</v>
      </c>
      <c r="B2599" s="380" t="str">
        <f>IFERROR(__xludf.DUMMYFUNCTION("""COMPUTED_VALUE"""),"Perfil Estructural Cuadrado 30x30x2 5 mm")</f>
        <v>Perfil Estructural Cuadrado 30x30x2 5 mm</v>
      </c>
      <c r="C2599" s="380" t="str">
        <f>IFERROR(__xludf.DUMMYFUNCTION("""COMPUTED_VALUE"""),"50000192")</f>
        <v>50000192</v>
      </c>
      <c r="D2599" s="380" t="s">
        <v>767</v>
      </c>
      <c r="E2599" s="380" t="s">
        <v>781</v>
      </c>
      <c r="F2599" s="380" t="s">
        <v>830</v>
      </c>
      <c r="G2599" s="380" t="s">
        <v>1267</v>
      </c>
      <c r="H2599" s="380" t="s">
        <v>771</v>
      </c>
      <c r="I2599" s="380" t="s">
        <v>817</v>
      </c>
      <c r="J2599" s="380" t="s">
        <v>773</v>
      </c>
      <c r="K2599" s="381">
        <v>0.0</v>
      </c>
      <c r="L2599" s="382">
        <v>1.0</v>
      </c>
    </row>
    <row r="2600">
      <c r="A2600" s="380" t="s">
        <v>3463</v>
      </c>
      <c r="B2600" s="380" t="str">
        <f>IFERROR(__xludf.DUMMYFUNCTION("""COMPUTED_VALUE"""),"Tubo Redondo Negro C 0 128 2 1/2x6mts")</f>
        <v>Tubo Redondo Negro C 0 128 2 1/2x6mts</v>
      </c>
      <c r="C2600" s="380" t="str">
        <f>IFERROR(__xludf.DUMMYFUNCTION("""COMPUTED_VALUE"""),"50000193")</f>
        <v>50000193</v>
      </c>
      <c r="D2600" s="380" t="s">
        <v>767</v>
      </c>
      <c r="E2600" s="380" t="s">
        <v>781</v>
      </c>
      <c r="F2600" s="380" t="s">
        <v>830</v>
      </c>
      <c r="G2600" s="380" t="s">
        <v>1267</v>
      </c>
      <c r="H2600" s="380" t="s">
        <v>771</v>
      </c>
      <c r="I2600" s="380" t="s">
        <v>817</v>
      </c>
      <c r="J2600" s="380" t="s">
        <v>773</v>
      </c>
      <c r="K2600" s="381">
        <v>0.0</v>
      </c>
      <c r="L2600" s="382">
        <v>1.0</v>
      </c>
    </row>
    <row r="2601">
      <c r="A2601" s="380" t="s">
        <v>3464</v>
      </c>
      <c r="B2601" s="380" t="str">
        <f>IFERROR(__xludf.DUMMYFUNCTION("""COMPUTED_VALUE"""),"Lamina Negra Calibre 18")</f>
        <v>Lamina Negra Calibre 18</v>
      </c>
      <c r="C2601" s="380" t="str">
        <f>IFERROR(__xludf.DUMMYFUNCTION("""COMPUTED_VALUE"""),"50000194")</f>
        <v>50000194</v>
      </c>
      <c r="D2601" s="380" t="s">
        <v>767</v>
      </c>
      <c r="E2601" s="380" t="s">
        <v>781</v>
      </c>
      <c r="F2601" s="380" t="s">
        <v>830</v>
      </c>
      <c r="G2601" s="380" t="s">
        <v>1267</v>
      </c>
      <c r="H2601" s="380" t="s">
        <v>771</v>
      </c>
      <c r="I2601" s="380" t="s">
        <v>817</v>
      </c>
      <c r="J2601" s="380" t="s">
        <v>773</v>
      </c>
      <c r="K2601" s="381">
        <v>0.0</v>
      </c>
      <c r="L2601" s="382">
        <v>1.0</v>
      </c>
    </row>
    <row r="2602">
      <c r="A2602" s="380" t="s">
        <v>3465</v>
      </c>
      <c r="B2602" s="380" t="str">
        <f>IFERROR(__xludf.DUMMYFUNCTION("""COMPUTED_VALUE"""),"Barra Aluminio Stdar Ajustable FE8066-3")</f>
        <v>Barra Aluminio Stdar Ajustable FE8066-3</v>
      </c>
      <c r="C2602" s="380" t="str">
        <f>IFERROR(__xludf.DUMMYFUNCTION("""COMPUTED_VALUE"""),"50000195")</f>
        <v>50000195</v>
      </c>
      <c r="D2602" s="380" t="s">
        <v>767</v>
      </c>
      <c r="E2602" s="380" t="s">
        <v>781</v>
      </c>
      <c r="F2602" s="380" t="s">
        <v>830</v>
      </c>
      <c r="G2602" s="380" t="s">
        <v>1267</v>
      </c>
      <c r="H2602" s="380" t="s">
        <v>771</v>
      </c>
      <c r="I2602" s="380" t="s">
        <v>817</v>
      </c>
      <c r="J2602" s="380" t="s">
        <v>773</v>
      </c>
      <c r="K2602" s="381">
        <v>0.0</v>
      </c>
      <c r="L2602" s="382">
        <v>1.0</v>
      </c>
    </row>
    <row r="2603">
      <c r="A2603" s="380" t="s">
        <v>3466</v>
      </c>
      <c r="B2603" s="380" t="str">
        <f>IFERROR(__xludf.DUMMYFUNCTION("""COMPUTED_VALUE"""),"Riel Horizontal Serie E 10 FEET 43001")</f>
        <v>Riel Horizontal Serie E 10 FEET 43001</v>
      </c>
      <c r="C2603" s="380" t="str">
        <f>IFERROR(__xludf.DUMMYFUNCTION("""COMPUTED_VALUE"""),"50000196")</f>
        <v>50000196</v>
      </c>
      <c r="D2603" s="380" t="s">
        <v>767</v>
      </c>
      <c r="E2603" s="380" t="s">
        <v>781</v>
      </c>
      <c r="F2603" s="380" t="s">
        <v>830</v>
      </c>
      <c r="G2603" s="380" t="s">
        <v>1267</v>
      </c>
      <c r="H2603" s="380" t="s">
        <v>771</v>
      </c>
      <c r="I2603" s="380" t="s">
        <v>817</v>
      </c>
      <c r="J2603" s="380" t="s">
        <v>773</v>
      </c>
      <c r="K2603" s="381">
        <v>0.0</v>
      </c>
      <c r="L2603" s="382">
        <v>1.0</v>
      </c>
    </row>
    <row r="2604">
      <c r="A2604" s="380" t="s">
        <v>3467</v>
      </c>
      <c r="B2604" s="380" t="str">
        <f>IFERROR(__xludf.DUMMYFUNCTION("""COMPUTED_VALUE"""),"Calcomania ""Nkr"" En Frontal 98/2006")</f>
        <v>Calcomania "Nkr" En Frontal 98/2006</v>
      </c>
      <c r="C2604" s="380" t="str">
        <f>IFERROR(__xludf.DUMMYFUNCTION("""COMPUTED_VALUE"""),"50000197")</f>
        <v>50000197</v>
      </c>
      <c r="D2604" s="380" t="s">
        <v>767</v>
      </c>
      <c r="E2604" s="380" t="s">
        <v>781</v>
      </c>
      <c r="F2604" s="380" t="s">
        <v>819</v>
      </c>
      <c r="G2604" s="380" t="s">
        <v>1267</v>
      </c>
      <c r="H2604" s="380" t="s">
        <v>771</v>
      </c>
      <c r="I2604" s="380" t="s">
        <v>817</v>
      </c>
      <c r="J2604" s="380" t="s">
        <v>773</v>
      </c>
      <c r="K2604" s="381">
        <v>0.0</v>
      </c>
      <c r="L2604" s="382">
        <v>1.0</v>
      </c>
    </row>
    <row r="2605">
      <c r="A2605" s="380" t="s">
        <v>3468</v>
      </c>
      <c r="B2605" s="380" t="str">
        <f>IFERROR(__xludf.DUMMYFUNCTION("""COMPUTED_VALUE"""),"Adhesivo Deflector Aire Grande")</f>
        <v>Adhesivo Deflector Aire Grande</v>
      </c>
      <c r="C2605" s="380" t="str">
        <f>IFERROR(__xludf.DUMMYFUNCTION("""COMPUTED_VALUE"""),"50000198")</f>
        <v>50000198</v>
      </c>
      <c r="D2605" s="380" t="s">
        <v>767</v>
      </c>
      <c r="E2605" s="380" t="s">
        <v>781</v>
      </c>
      <c r="F2605" s="380" t="s">
        <v>819</v>
      </c>
      <c r="G2605" s="380" t="s">
        <v>1267</v>
      </c>
      <c r="H2605" s="380" t="s">
        <v>771</v>
      </c>
      <c r="I2605" s="380" t="s">
        <v>817</v>
      </c>
      <c r="J2605" s="380" t="s">
        <v>773</v>
      </c>
      <c r="K2605" s="381">
        <v>27469.0</v>
      </c>
      <c r="L2605" s="382">
        <v>1.0</v>
      </c>
    </row>
    <row r="2606">
      <c r="A2606" s="380" t="s">
        <v>3469</v>
      </c>
      <c r="B2606" s="380" t="str">
        <f>IFERROR(__xludf.DUMMYFUNCTION("""COMPUTED_VALUE"""),"Lamina Steeliner Exterior Lateral Mts")</f>
        <v>Lamina Steeliner Exterior Lateral Mts</v>
      </c>
      <c r="C2606" s="380" t="str">
        <f>IFERROR(__xludf.DUMMYFUNCTION("""COMPUTED_VALUE"""),"50000199")</f>
        <v>50000199</v>
      </c>
      <c r="D2606" s="380" t="s">
        <v>767</v>
      </c>
      <c r="E2606" s="380" t="s">
        <v>781</v>
      </c>
      <c r="F2606" s="380" t="s">
        <v>830</v>
      </c>
      <c r="G2606" s="380" t="s">
        <v>1267</v>
      </c>
      <c r="H2606" s="380" t="s">
        <v>771</v>
      </c>
      <c r="I2606" s="380" t="s">
        <v>817</v>
      </c>
      <c r="J2606" s="380" t="s">
        <v>773</v>
      </c>
      <c r="K2606" s="381">
        <v>0.0</v>
      </c>
      <c r="L2606" s="382">
        <v>1.0</v>
      </c>
    </row>
    <row r="2607">
      <c r="A2607" s="380" t="s">
        <v>3470</v>
      </c>
      <c r="B2607" s="380" t="str">
        <f>IFERROR(__xludf.DUMMYFUNCTION("""COMPUTED_VALUE"""),"Lamina Steeliner Exterior Frente Mts")</f>
        <v>Lamina Steeliner Exterior Frente Mts</v>
      </c>
      <c r="C2607" s="380" t="str">
        <f>IFERROR(__xludf.DUMMYFUNCTION("""COMPUTED_VALUE"""),"50000200")</f>
        <v>50000200</v>
      </c>
      <c r="D2607" s="380" t="s">
        <v>767</v>
      </c>
      <c r="E2607" s="380" t="s">
        <v>781</v>
      </c>
      <c r="F2607" s="380" t="s">
        <v>830</v>
      </c>
      <c r="G2607" s="380" t="s">
        <v>1267</v>
      </c>
      <c r="H2607" s="380" t="s">
        <v>771</v>
      </c>
      <c r="I2607" s="380" t="s">
        <v>817</v>
      </c>
      <c r="J2607" s="380" t="s">
        <v>773</v>
      </c>
      <c r="K2607" s="381">
        <v>0.0</v>
      </c>
      <c r="L2607" s="382">
        <v>1.0</v>
      </c>
    </row>
    <row r="2608">
      <c r="A2608" s="380" t="s">
        <v>3471</v>
      </c>
      <c r="B2608" s="380" t="str">
        <f>IFERROR(__xludf.DUMMYFUNCTION("""COMPUTED_VALUE"""),"Duplicado Llave Candado Vehiculo")</f>
        <v>Duplicado Llave Candado Vehiculo</v>
      </c>
      <c r="C2608" s="380" t="str">
        <f>IFERROR(__xludf.DUMMYFUNCTION("""COMPUTED_VALUE"""),"50000201")</f>
        <v>50000201</v>
      </c>
      <c r="D2608" s="380" t="s">
        <v>767</v>
      </c>
      <c r="E2608" s="380" t="s">
        <v>781</v>
      </c>
      <c r="F2608" s="380" t="s">
        <v>830</v>
      </c>
      <c r="G2608" s="380" t="s">
        <v>1267</v>
      </c>
      <c r="H2608" s="380" t="s">
        <v>771</v>
      </c>
      <c r="I2608" s="380" t="s">
        <v>817</v>
      </c>
      <c r="J2608" s="380" t="s">
        <v>773</v>
      </c>
      <c r="K2608" s="381">
        <v>0.0</v>
      </c>
      <c r="L2608" s="382">
        <v>1.0</v>
      </c>
    </row>
    <row r="2609">
      <c r="A2609" s="380" t="s">
        <v>3472</v>
      </c>
      <c r="B2609" s="380" t="str">
        <f>IFERROR(__xludf.DUMMYFUNCTION("""COMPUTED_VALUE"""),"Tuerca 3/4 Artillera 3/4""")</f>
        <v>Tuerca 3/4 Artillera 3/4"</v>
      </c>
      <c r="C2609" s="380" t="str">
        <f>IFERROR(__xludf.DUMMYFUNCTION("""COMPUTED_VALUE"""),"50000202")</f>
        <v>50000202</v>
      </c>
      <c r="D2609" s="380" t="s">
        <v>767</v>
      </c>
      <c r="E2609" s="380" t="s">
        <v>781</v>
      </c>
      <c r="F2609" s="380" t="s">
        <v>830</v>
      </c>
      <c r="G2609" s="380" t="s">
        <v>1267</v>
      </c>
      <c r="H2609" s="380" t="s">
        <v>771</v>
      </c>
      <c r="I2609" s="380" t="s">
        <v>817</v>
      </c>
      <c r="J2609" s="380" t="s">
        <v>773</v>
      </c>
      <c r="K2609" s="381">
        <v>3026.0</v>
      </c>
      <c r="L2609" s="382">
        <v>1.0</v>
      </c>
    </row>
    <row r="2610">
      <c r="A2610" s="380" t="s">
        <v>3473</v>
      </c>
      <c r="B2610" s="380" t="str">
        <f>IFERROR(__xludf.DUMMYFUNCTION("""COMPUTED_VALUE"""),"Tuerca Alta Rosca Fina 7/8""")</f>
        <v>Tuerca Alta Rosca Fina 7/8"</v>
      </c>
      <c r="C2610" s="380" t="str">
        <f>IFERROR(__xludf.DUMMYFUNCTION("""COMPUTED_VALUE"""),"50000203")</f>
        <v>50000203</v>
      </c>
      <c r="D2610" s="380" t="s">
        <v>767</v>
      </c>
      <c r="E2610" s="380" t="s">
        <v>781</v>
      </c>
      <c r="F2610" s="380" t="s">
        <v>830</v>
      </c>
      <c r="G2610" s="380" t="s">
        <v>1267</v>
      </c>
      <c r="H2610" s="380" t="s">
        <v>771</v>
      </c>
      <c r="I2610" s="380" t="s">
        <v>817</v>
      </c>
      <c r="J2610" s="380" t="s">
        <v>773</v>
      </c>
      <c r="K2610" s="381">
        <v>0.0</v>
      </c>
      <c r="L2610" s="382">
        <v>1.0</v>
      </c>
    </row>
    <row r="2611">
      <c r="A2611" s="380" t="s">
        <v>3474</v>
      </c>
      <c r="B2611" s="380" t="str">
        <f>IFERROR(__xludf.DUMMYFUNCTION("""COMPUTED_VALUE"""),"Racor 3/4 X 7/8")</f>
        <v>Racor 3/4 X 7/8</v>
      </c>
      <c r="C2611" s="380" t="str">
        <f>IFERROR(__xludf.DUMMYFUNCTION("""COMPUTED_VALUE"""),"50000205")</f>
        <v>50000205</v>
      </c>
      <c r="D2611" s="380" t="s">
        <v>767</v>
      </c>
      <c r="E2611" s="380" t="s">
        <v>781</v>
      </c>
      <c r="F2611" s="380" t="s">
        <v>830</v>
      </c>
      <c r="G2611" s="380" t="s">
        <v>1267</v>
      </c>
      <c r="H2611" s="380" t="s">
        <v>771</v>
      </c>
      <c r="I2611" s="380" t="s">
        <v>817</v>
      </c>
      <c r="J2611" s="380" t="s">
        <v>773</v>
      </c>
      <c r="K2611" s="381">
        <v>0.0</v>
      </c>
      <c r="L2611" s="382">
        <v>1.0</v>
      </c>
    </row>
    <row r="2612">
      <c r="A2612" s="380" t="s">
        <v>3475</v>
      </c>
      <c r="B2612" s="380" t="str">
        <f>IFERROR(__xludf.DUMMYFUNCTION("""COMPUTED_VALUE"""),"Sellante Gasoila Para Tuberia")</f>
        <v>Sellante Gasoila Para Tuberia</v>
      </c>
      <c r="C2612" s="380" t="str">
        <f>IFERROR(__xludf.DUMMYFUNCTION("""COMPUTED_VALUE"""),"50000206")</f>
        <v>50000206</v>
      </c>
      <c r="D2612" s="380" t="s">
        <v>767</v>
      </c>
      <c r="E2612" s="380" t="s">
        <v>781</v>
      </c>
      <c r="F2612" s="380" t="s">
        <v>830</v>
      </c>
      <c r="G2612" s="380" t="s">
        <v>1267</v>
      </c>
      <c r="H2612" s="380" t="s">
        <v>771</v>
      </c>
      <c r="I2612" s="380" t="s">
        <v>817</v>
      </c>
      <c r="J2612" s="380" t="s">
        <v>773</v>
      </c>
      <c r="K2612" s="381">
        <v>0.0</v>
      </c>
      <c r="L2612" s="382">
        <v>1.0</v>
      </c>
    </row>
    <row r="2613">
      <c r="A2613" s="380" t="s">
        <v>3476</v>
      </c>
      <c r="B2613" s="380" t="str">
        <f>IFERROR(__xludf.DUMMYFUNCTION("""COMPUTED_VALUE"""),"Platina Hierro 1/8 X 1 1/4 X 6mts")</f>
        <v>Platina Hierro 1/8 X 1 1/4 X 6mts</v>
      </c>
      <c r="C2613" s="380" t="str">
        <f>IFERROR(__xludf.DUMMYFUNCTION("""COMPUTED_VALUE"""),"50000207")</f>
        <v>50000207</v>
      </c>
      <c r="D2613" s="380" t="s">
        <v>767</v>
      </c>
      <c r="E2613" s="380" t="s">
        <v>781</v>
      </c>
      <c r="F2613" s="380" t="s">
        <v>830</v>
      </c>
      <c r="G2613" s="380" t="s">
        <v>1267</v>
      </c>
      <c r="H2613" s="380" t="s">
        <v>771</v>
      </c>
      <c r="I2613" s="380" t="s">
        <v>817</v>
      </c>
      <c r="J2613" s="380" t="s">
        <v>773</v>
      </c>
      <c r="K2613" s="381">
        <v>0.0</v>
      </c>
      <c r="L2613" s="382">
        <v>1.0</v>
      </c>
    </row>
    <row r="2614">
      <c r="A2614" s="380" t="s">
        <v>3477</v>
      </c>
      <c r="B2614" s="380" t="str">
        <f>IFERROR(__xludf.DUMMYFUNCTION("""COMPUTED_VALUE"""),"Angulo Hierro De 1/4 X 1 1/2 X 6 Mts")</f>
        <v>Angulo Hierro De 1/4 X 1 1/2 X 6 Mts</v>
      </c>
      <c r="C2614" s="380" t="str">
        <f>IFERROR(__xludf.DUMMYFUNCTION("""COMPUTED_VALUE"""),"50000208")</f>
        <v>50000208</v>
      </c>
      <c r="D2614" s="380" t="s">
        <v>767</v>
      </c>
      <c r="E2614" s="380" t="s">
        <v>781</v>
      </c>
      <c r="F2614" s="380" t="s">
        <v>830</v>
      </c>
      <c r="G2614" s="380" t="s">
        <v>1267</v>
      </c>
      <c r="H2614" s="380" t="s">
        <v>771</v>
      </c>
      <c r="I2614" s="380" t="s">
        <v>817</v>
      </c>
      <c r="J2614" s="380" t="s">
        <v>773</v>
      </c>
      <c r="K2614" s="381">
        <v>0.0</v>
      </c>
      <c r="L2614" s="382">
        <v>1.0</v>
      </c>
    </row>
    <row r="2615">
      <c r="A2615" s="380" t="s">
        <v>3478</v>
      </c>
      <c r="B2615" s="380" t="str">
        <f>IFERROR(__xludf.DUMMYFUNCTION("""COMPUTED_VALUE"""),"Angulo Hierro 1/4 X 3"" X 6mts")</f>
        <v>Angulo Hierro 1/4 X 3" X 6mts</v>
      </c>
      <c r="C2615" s="380" t="str">
        <f>IFERROR(__xludf.DUMMYFUNCTION("""COMPUTED_VALUE"""),"50000209")</f>
        <v>50000209</v>
      </c>
      <c r="D2615" s="380" t="s">
        <v>767</v>
      </c>
      <c r="E2615" s="380" t="s">
        <v>781</v>
      </c>
      <c r="F2615" s="380" t="s">
        <v>830</v>
      </c>
      <c r="G2615" s="380" t="s">
        <v>1267</v>
      </c>
      <c r="H2615" s="380" t="s">
        <v>771</v>
      </c>
      <c r="I2615" s="380" t="s">
        <v>817</v>
      </c>
      <c r="J2615" s="380" t="s">
        <v>773</v>
      </c>
      <c r="K2615" s="381">
        <v>0.0</v>
      </c>
      <c r="L2615" s="382">
        <v>1.0</v>
      </c>
    </row>
    <row r="2616">
      <c r="A2616" s="380" t="s">
        <v>3479</v>
      </c>
      <c r="B2616" s="380" t="str">
        <f>IFERROR(__xludf.DUMMYFUNCTION("""COMPUTED_VALUE"""),"Tornillo G8 Ro 3/8"" X 2 1/2""")</f>
        <v>Tornillo G8 Ro 3/8" X 2 1/2"</v>
      </c>
      <c r="C2616" s="380" t="str">
        <f>IFERROR(__xludf.DUMMYFUNCTION("""COMPUTED_VALUE"""),"50000210")</f>
        <v>50000210</v>
      </c>
      <c r="D2616" s="380" t="s">
        <v>767</v>
      </c>
      <c r="E2616" s="380" t="s">
        <v>781</v>
      </c>
      <c r="F2616" s="380" t="s">
        <v>830</v>
      </c>
      <c r="G2616" s="380" t="s">
        <v>1267</v>
      </c>
      <c r="H2616" s="380" t="s">
        <v>771</v>
      </c>
      <c r="I2616" s="380" t="s">
        <v>817</v>
      </c>
      <c r="J2616" s="380" t="s">
        <v>773</v>
      </c>
      <c r="K2616" s="381">
        <v>0.0</v>
      </c>
      <c r="L2616" s="382">
        <v>1.0</v>
      </c>
    </row>
    <row r="2617">
      <c r="A2617" s="380" t="s">
        <v>3480</v>
      </c>
      <c r="B2617" s="380" t="str">
        <f>IFERROR(__xludf.DUMMYFUNCTION("""COMPUTED_VALUE"""),"Tornillo G8 Ro 3/8"" X 3 T A")</f>
        <v>Tornillo G8 Ro 3/8" X 3 T A</v>
      </c>
      <c r="C2617" s="380" t="str">
        <f>IFERROR(__xludf.DUMMYFUNCTION("""COMPUTED_VALUE"""),"50000211")</f>
        <v>50000211</v>
      </c>
      <c r="D2617" s="380" t="s">
        <v>767</v>
      </c>
      <c r="E2617" s="380" t="s">
        <v>781</v>
      </c>
      <c r="F2617" s="380" t="s">
        <v>830</v>
      </c>
      <c r="G2617" s="380" t="s">
        <v>1267</v>
      </c>
      <c r="H2617" s="380" t="s">
        <v>771</v>
      </c>
      <c r="I2617" s="380" t="s">
        <v>817</v>
      </c>
      <c r="J2617" s="380" t="s">
        <v>773</v>
      </c>
      <c r="K2617" s="381">
        <v>0.0</v>
      </c>
      <c r="L2617" s="382">
        <v>1.0</v>
      </c>
    </row>
    <row r="2618">
      <c r="A2618" s="380" t="s">
        <v>3481</v>
      </c>
      <c r="B2618" s="380" t="str">
        <f>IFERROR(__xludf.DUMMYFUNCTION("""COMPUTED_VALUE"""),"Tornillo R O Galvaniz 5/16 X 1.1/2 T Y A")</f>
        <v>Tornillo R O Galvaniz 5/16 X 1.1/2 T Y A</v>
      </c>
      <c r="C2618" s="380" t="str">
        <f>IFERROR(__xludf.DUMMYFUNCTION("""COMPUTED_VALUE"""),"50000212")</f>
        <v>50000212</v>
      </c>
      <c r="D2618" s="380" t="s">
        <v>767</v>
      </c>
      <c r="E2618" s="380" t="s">
        <v>781</v>
      </c>
      <c r="F2618" s="380" t="s">
        <v>830</v>
      </c>
      <c r="G2618" s="380" t="s">
        <v>1267</v>
      </c>
      <c r="H2618" s="380" t="s">
        <v>771</v>
      </c>
      <c r="I2618" s="380" t="s">
        <v>817</v>
      </c>
      <c r="J2618" s="380" t="s">
        <v>773</v>
      </c>
      <c r="K2618" s="381">
        <v>0.0</v>
      </c>
      <c r="L2618" s="382">
        <v>1.0</v>
      </c>
    </row>
    <row r="2619">
      <c r="A2619" s="380" t="s">
        <v>3482</v>
      </c>
      <c r="B2619" s="380" t="str">
        <f>IFERROR(__xludf.DUMMYFUNCTION("""COMPUTED_VALUE"""),"Tornillo G5 Ro 1/2 X 4 1/2""")</f>
        <v>Tornillo G5 Ro 1/2 X 4 1/2"</v>
      </c>
      <c r="C2619" s="380" t="str">
        <f>IFERROR(__xludf.DUMMYFUNCTION("""COMPUTED_VALUE"""),"50000213")</f>
        <v>50000213</v>
      </c>
      <c r="D2619" s="380" t="s">
        <v>767</v>
      </c>
      <c r="E2619" s="380" t="s">
        <v>781</v>
      </c>
      <c r="F2619" s="380" t="s">
        <v>830</v>
      </c>
      <c r="G2619" s="380" t="s">
        <v>1267</v>
      </c>
      <c r="H2619" s="380" t="s">
        <v>771</v>
      </c>
      <c r="I2619" s="380" t="s">
        <v>817</v>
      </c>
      <c r="J2619" s="380" t="s">
        <v>773</v>
      </c>
      <c r="K2619" s="381">
        <v>0.0</v>
      </c>
      <c r="L2619" s="382">
        <v>1.0</v>
      </c>
    </row>
    <row r="2620">
      <c r="A2620" s="380" t="s">
        <v>3483</v>
      </c>
      <c r="B2620" s="380" t="str">
        <f>IFERROR(__xludf.DUMMYFUNCTION("""COMPUTED_VALUE"""),"Wasa De 3/8")</f>
        <v>Wasa De 3/8</v>
      </c>
      <c r="C2620" s="380" t="str">
        <f>IFERROR(__xludf.DUMMYFUNCTION("""COMPUTED_VALUE"""),"50000214")</f>
        <v>50000214</v>
      </c>
      <c r="D2620" s="380" t="s">
        <v>767</v>
      </c>
      <c r="E2620" s="380" t="s">
        <v>781</v>
      </c>
      <c r="F2620" s="380" t="s">
        <v>830</v>
      </c>
      <c r="G2620" s="380" t="s">
        <v>1267</v>
      </c>
      <c r="H2620" s="380" t="s">
        <v>771</v>
      </c>
      <c r="I2620" s="380" t="s">
        <v>817</v>
      </c>
      <c r="J2620" s="380" t="s">
        <v>773</v>
      </c>
      <c r="K2620" s="381">
        <v>0.0</v>
      </c>
      <c r="L2620" s="382">
        <v>1.0</v>
      </c>
    </row>
    <row r="2621">
      <c r="A2621" s="380" t="s">
        <v>3484</v>
      </c>
      <c r="B2621" s="380" t="str">
        <f>IFERROR(__xludf.DUMMYFUNCTION("""COMPUTED_VALUE"""),"Wasa De 5/8")</f>
        <v>Wasa De 5/8</v>
      </c>
      <c r="C2621" s="380" t="str">
        <f>IFERROR(__xludf.DUMMYFUNCTION("""COMPUTED_VALUE"""),"50000215")</f>
        <v>50000215</v>
      </c>
      <c r="D2621" s="380" t="s">
        <v>767</v>
      </c>
      <c r="E2621" s="380" t="s">
        <v>781</v>
      </c>
      <c r="F2621" s="380" t="s">
        <v>830</v>
      </c>
      <c r="G2621" s="380" t="s">
        <v>1267</v>
      </c>
      <c r="H2621" s="380" t="s">
        <v>771</v>
      </c>
      <c r="I2621" s="380" t="s">
        <v>817</v>
      </c>
      <c r="J2621" s="380" t="s">
        <v>773</v>
      </c>
      <c r="K2621" s="381">
        <v>0.0</v>
      </c>
      <c r="L2621" s="382">
        <v>1.0</v>
      </c>
    </row>
    <row r="2622">
      <c r="A2622" s="380" t="s">
        <v>3485</v>
      </c>
      <c r="B2622" s="380" t="str">
        <f>IFERROR(__xludf.DUMMYFUNCTION("""COMPUTED_VALUE"""),"Tuerca G5 Ro 3/8")</f>
        <v>Tuerca G5 Ro 3/8</v>
      </c>
      <c r="C2622" s="380" t="str">
        <f>IFERROR(__xludf.DUMMYFUNCTION("""COMPUTED_VALUE"""),"50000216")</f>
        <v>50000216</v>
      </c>
      <c r="D2622" s="380" t="s">
        <v>767</v>
      </c>
      <c r="E2622" s="380" t="s">
        <v>781</v>
      </c>
      <c r="F2622" s="380" t="s">
        <v>830</v>
      </c>
      <c r="G2622" s="380" t="s">
        <v>1267</v>
      </c>
      <c r="H2622" s="380" t="s">
        <v>771</v>
      </c>
      <c r="I2622" s="380" t="s">
        <v>817</v>
      </c>
      <c r="J2622" s="380" t="s">
        <v>773</v>
      </c>
      <c r="K2622" s="381">
        <v>0.0</v>
      </c>
      <c r="L2622" s="382">
        <v>1.0</v>
      </c>
    </row>
    <row r="2623">
      <c r="A2623" s="380" t="s">
        <v>3486</v>
      </c>
      <c r="B2623" s="380" t="str">
        <f>IFERROR(__xludf.DUMMYFUNCTION("""COMPUTED_VALUE"""),"Tornillo Avellanado Piso R0 5/16 X 2""")</f>
        <v>Tornillo Avellanado Piso R0 5/16 X 2"</v>
      </c>
      <c r="C2623" s="380" t="str">
        <f>IFERROR(__xludf.DUMMYFUNCTION("""COMPUTED_VALUE"""),"50000217")</f>
        <v>50000217</v>
      </c>
      <c r="D2623" s="380" t="s">
        <v>767</v>
      </c>
      <c r="E2623" s="380" t="s">
        <v>781</v>
      </c>
      <c r="F2623" s="380" t="s">
        <v>830</v>
      </c>
      <c r="G2623" s="380" t="s">
        <v>1267</v>
      </c>
      <c r="H2623" s="380" t="s">
        <v>771</v>
      </c>
      <c r="I2623" s="380" t="s">
        <v>817</v>
      </c>
      <c r="J2623" s="380" t="s">
        <v>773</v>
      </c>
      <c r="K2623" s="381">
        <v>0.0</v>
      </c>
      <c r="L2623" s="382">
        <v>1.0</v>
      </c>
    </row>
    <row r="2624">
      <c r="A2624" s="380" t="s">
        <v>3487</v>
      </c>
      <c r="B2624" s="380" t="str">
        <f>IFERROR(__xludf.DUMMYFUNCTION("""COMPUTED_VALUE"""),"Numero Movil")</f>
        <v>Numero Movil</v>
      </c>
      <c r="C2624" s="380" t="str">
        <f>IFERROR(__xludf.DUMMYFUNCTION("""COMPUTED_VALUE"""),"50000218")</f>
        <v>50000218</v>
      </c>
      <c r="D2624" s="380" t="s">
        <v>767</v>
      </c>
      <c r="E2624" s="380" t="s">
        <v>781</v>
      </c>
      <c r="F2624" s="380" t="s">
        <v>819</v>
      </c>
      <c r="G2624" s="380" t="s">
        <v>1267</v>
      </c>
      <c r="H2624" s="380" t="s">
        <v>771</v>
      </c>
      <c r="I2624" s="380" t="s">
        <v>817</v>
      </c>
      <c r="J2624" s="380" t="s">
        <v>773</v>
      </c>
      <c r="K2624" s="381">
        <v>0.0</v>
      </c>
      <c r="L2624" s="382">
        <v>1.0</v>
      </c>
    </row>
    <row r="2625">
      <c r="A2625" s="380" t="s">
        <v>3488</v>
      </c>
      <c r="B2625" s="380" t="str">
        <f>IFERROR(__xludf.DUMMYFUNCTION("""COMPUTED_VALUE"""),"Adhesivo Furgon Jac Grande")</f>
        <v>Adhesivo Furgon Jac Grande</v>
      </c>
      <c r="C2625" s="380" t="str">
        <f>IFERROR(__xludf.DUMMYFUNCTION("""COMPUTED_VALUE"""),"50000219")</f>
        <v>50000219</v>
      </c>
      <c r="D2625" s="380" t="s">
        <v>767</v>
      </c>
      <c r="E2625" s="380" t="s">
        <v>781</v>
      </c>
      <c r="F2625" s="380" t="s">
        <v>819</v>
      </c>
      <c r="G2625" s="380" t="s">
        <v>1267</v>
      </c>
      <c r="H2625" s="380" t="s">
        <v>771</v>
      </c>
      <c r="I2625" s="380" t="s">
        <v>817</v>
      </c>
      <c r="J2625" s="380" t="s">
        <v>773</v>
      </c>
      <c r="K2625" s="381">
        <v>0.0</v>
      </c>
      <c r="L2625" s="382">
        <v>1.0</v>
      </c>
    </row>
    <row r="2626">
      <c r="A2626" s="380" t="s">
        <v>3489</v>
      </c>
      <c r="B2626" s="380" t="str">
        <f>IFERROR(__xludf.DUMMYFUNCTION("""COMPUTED_VALUE"""),"Adhesivo Furgon Jac Pequeño")</f>
        <v>Adhesivo Furgon Jac Pequeño</v>
      </c>
      <c r="C2626" s="380" t="str">
        <f>IFERROR(__xludf.DUMMYFUNCTION("""COMPUTED_VALUE"""),"50000220")</f>
        <v>50000220</v>
      </c>
      <c r="D2626" s="380" t="s">
        <v>767</v>
      </c>
      <c r="E2626" s="380" t="s">
        <v>781</v>
      </c>
      <c r="F2626" s="380" t="s">
        <v>819</v>
      </c>
      <c r="G2626" s="380" t="s">
        <v>1267</v>
      </c>
      <c r="H2626" s="380" t="s">
        <v>771</v>
      </c>
      <c r="I2626" s="380" t="s">
        <v>817</v>
      </c>
      <c r="J2626" s="380" t="s">
        <v>773</v>
      </c>
      <c r="K2626" s="381">
        <v>0.0</v>
      </c>
      <c r="L2626" s="382">
        <v>1.0</v>
      </c>
    </row>
    <row r="2627">
      <c r="A2627" s="380" t="s">
        <v>3490</v>
      </c>
      <c r="B2627" s="380" t="str">
        <f>IFERROR(__xludf.DUMMYFUNCTION("""COMPUTED_VALUE"""),"Adhesivo MT 300")</f>
        <v>Adhesivo MT 300</v>
      </c>
      <c r="C2627" s="380" t="str">
        <f>IFERROR(__xludf.DUMMYFUNCTION("""COMPUTED_VALUE"""),"50000221")</f>
        <v>50000221</v>
      </c>
      <c r="D2627" s="380" t="s">
        <v>767</v>
      </c>
      <c r="E2627" s="380" t="s">
        <v>781</v>
      </c>
      <c r="F2627" s="380" t="s">
        <v>819</v>
      </c>
      <c r="G2627" s="380" t="s">
        <v>1267</v>
      </c>
      <c r="H2627" s="380" t="s">
        <v>771</v>
      </c>
      <c r="I2627" s="380" t="s">
        <v>817</v>
      </c>
      <c r="J2627" s="380" t="s">
        <v>773</v>
      </c>
      <c r="K2627" s="381">
        <v>373065.0</v>
      </c>
      <c r="L2627" s="382">
        <v>1.0</v>
      </c>
    </row>
    <row r="2628">
      <c r="A2628" s="380" t="s">
        <v>3491</v>
      </c>
      <c r="B2628" s="380" t="str">
        <f>IFERROR(__xludf.DUMMYFUNCTION("""COMPUTED_VALUE"""),"Arandela 1/4"" Galvanizada")</f>
        <v>Arandela 1/4" Galvanizada</v>
      </c>
      <c r="C2628" s="380" t="str">
        <f>IFERROR(__xludf.DUMMYFUNCTION("""COMPUTED_VALUE"""),"50000222")</f>
        <v>50000222</v>
      </c>
      <c r="D2628" s="380" t="s">
        <v>767</v>
      </c>
      <c r="E2628" s="380" t="s">
        <v>781</v>
      </c>
      <c r="F2628" s="380" t="s">
        <v>830</v>
      </c>
      <c r="G2628" s="380" t="s">
        <v>1267</v>
      </c>
      <c r="H2628" s="380" t="s">
        <v>771</v>
      </c>
      <c r="I2628" s="380" t="s">
        <v>817</v>
      </c>
      <c r="J2628" s="380" t="s">
        <v>773</v>
      </c>
      <c r="K2628" s="381">
        <v>0.0</v>
      </c>
      <c r="L2628" s="382">
        <v>1.0</v>
      </c>
    </row>
    <row r="2629">
      <c r="A2629" s="380" t="s">
        <v>3492</v>
      </c>
      <c r="B2629" s="380" t="str">
        <f>IFERROR(__xludf.DUMMYFUNCTION("""COMPUTED_VALUE"""),"Arandela 3/8"" Galvanizada")</f>
        <v>Arandela 3/8" Galvanizada</v>
      </c>
      <c r="C2629" s="380" t="str">
        <f>IFERROR(__xludf.DUMMYFUNCTION("""COMPUTED_VALUE"""),"50000223")</f>
        <v>50000223</v>
      </c>
      <c r="D2629" s="380" t="s">
        <v>767</v>
      </c>
      <c r="E2629" s="380" t="s">
        <v>781</v>
      </c>
      <c r="F2629" s="380" t="s">
        <v>830</v>
      </c>
      <c r="G2629" s="380" t="s">
        <v>1267</v>
      </c>
      <c r="H2629" s="380" t="s">
        <v>771</v>
      </c>
      <c r="I2629" s="380" t="s">
        <v>817</v>
      </c>
      <c r="J2629" s="380" t="s">
        <v>773</v>
      </c>
      <c r="K2629" s="381">
        <v>0.0</v>
      </c>
      <c r="L2629" s="382">
        <v>1.0</v>
      </c>
    </row>
    <row r="2630">
      <c r="A2630" s="380" t="s">
        <v>3493</v>
      </c>
      <c r="B2630" s="380" t="str">
        <f>IFERROR(__xludf.DUMMYFUNCTION("""COMPUTED_VALUE"""),"Tuerca Seguridad R O 1/2""")</f>
        <v>Tuerca Seguridad R O 1/2"</v>
      </c>
      <c r="C2630" s="380" t="str">
        <f>IFERROR(__xludf.DUMMYFUNCTION("""COMPUTED_VALUE"""),"50000224")</f>
        <v>50000224</v>
      </c>
      <c r="D2630" s="380" t="s">
        <v>767</v>
      </c>
      <c r="E2630" s="380" t="s">
        <v>781</v>
      </c>
      <c r="F2630" s="380" t="s">
        <v>830</v>
      </c>
      <c r="G2630" s="380" t="s">
        <v>1267</v>
      </c>
      <c r="H2630" s="380" t="s">
        <v>771</v>
      </c>
      <c r="I2630" s="380" t="s">
        <v>817</v>
      </c>
      <c r="J2630" s="380" t="s">
        <v>773</v>
      </c>
      <c r="K2630" s="381">
        <v>0.0</v>
      </c>
      <c r="L2630" s="382">
        <v>1.0</v>
      </c>
    </row>
    <row r="2631">
      <c r="A2631" s="380" t="s">
        <v>3494</v>
      </c>
      <c r="B2631" s="380" t="str">
        <f>IFERROR(__xludf.DUMMYFUNCTION("""COMPUTED_VALUE"""),"Tuerca Seguridad R O 5/8""")</f>
        <v>Tuerca Seguridad R O 5/8"</v>
      </c>
      <c r="C2631" s="380" t="str">
        <f>IFERROR(__xludf.DUMMYFUNCTION("""COMPUTED_VALUE"""),"50000225")</f>
        <v>50000225</v>
      </c>
      <c r="D2631" s="380" t="s">
        <v>767</v>
      </c>
      <c r="E2631" s="380" t="s">
        <v>781</v>
      </c>
      <c r="F2631" s="380" t="s">
        <v>830</v>
      </c>
      <c r="G2631" s="380" t="s">
        <v>1267</v>
      </c>
      <c r="H2631" s="380" t="s">
        <v>771</v>
      </c>
      <c r="I2631" s="380" t="s">
        <v>817</v>
      </c>
      <c r="J2631" s="380" t="s">
        <v>773</v>
      </c>
      <c r="K2631" s="381">
        <v>0.0</v>
      </c>
      <c r="L2631" s="382">
        <v>1.0</v>
      </c>
    </row>
    <row r="2632">
      <c r="A2632" s="380" t="s">
        <v>3495</v>
      </c>
      <c r="B2632" s="380" t="str">
        <f>IFERROR(__xludf.DUMMYFUNCTION("""COMPUTED_VALUE"""),"Plastigate")</f>
        <v>Plastigate</v>
      </c>
      <c r="C2632" s="380" t="str">
        <f>IFERROR(__xludf.DUMMYFUNCTION("""COMPUTED_VALUE"""),"50000226")</f>
        <v>50000226</v>
      </c>
      <c r="D2632" s="380" t="s">
        <v>767</v>
      </c>
      <c r="E2632" s="380" t="s">
        <v>781</v>
      </c>
      <c r="F2632" s="380" t="s">
        <v>830</v>
      </c>
      <c r="G2632" s="380" t="s">
        <v>1267</v>
      </c>
      <c r="H2632" s="380" t="s">
        <v>771</v>
      </c>
      <c r="I2632" s="380" t="s">
        <v>817</v>
      </c>
      <c r="J2632" s="380" t="s">
        <v>773</v>
      </c>
      <c r="K2632" s="381">
        <v>0.0</v>
      </c>
      <c r="L2632" s="382">
        <v>1.0</v>
      </c>
    </row>
    <row r="2633">
      <c r="A2633" s="380" t="s">
        <v>3496</v>
      </c>
      <c r="B2633" s="380" t="str">
        <f>IFERROR(__xludf.DUMMYFUNCTION("""COMPUTED_VALUE"""),"Viga En I De 6"" X 6 Mts")</f>
        <v>Viga En I De 6" X 6 Mts</v>
      </c>
      <c r="C2633" s="380" t="str">
        <f>IFERROR(__xludf.DUMMYFUNCTION("""COMPUTED_VALUE"""),"50000227")</f>
        <v>50000227</v>
      </c>
      <c r="D2633" s="380" t="s">
        <v>767</v>
      </c>
      <c r="E2633" s="380" t="s">
        <v>781</v>
      </c>
      <c r="F2633" s="380" t="s">
        <v>830</v>
      </c>
      <c r="G2633" s="380" t="s">
        <v>1267</v>
      </c>
      <c r="H2633" s="380" t="s">
        <v>771</v>
      </c>
      <c r="I2633" s="380" t="s">
        <v>817</v>
      </c>
      <c r="J2633" s="380" t="s">
        <v>773</v>
      </c>
      <c r="K2633" s="381">
        <v>0.0</v>
      </c>
      <c r="L2633" s="382">
        <v>1.0</v>
      </c>
    </row>
    <row r="2634">
      <c r="A2634" s="380" t="s">
        <v>3497</v>
      </c>
      <c r="B2634" s="380" t="str">
        <f>IFERROR(__xludf.DUMMYFUNCTION("""COMPUTED_VALUE"""),"Varilla Calibrada 3/4 X 3 Mt X 19mm")</f>
        <v>Varilla Calibrada 3/4 X 3 Mt X 19mm</v>
      </c>
      <c r="C2634" s="380" t="str">
        <f>IFERROR(__xludf.DUMMYFUNCTION("""COMPUTED_VALUE"""),"50000228")</f>
        <v>50000228</v>
      </c>
      <c r="D2634" s="380" t="s">
        <v>767</v>
      </c>
      <c r="E2634" s="380" t="s">
        <v>781</v>
      </c>
      <c r="F2634" s="380" t="s">
        <v>830</v>
      </c>
      <c r="G2634" s="380" t="s">
        <v>1267</v>
      </c>
      <c r="H2634" s="380" t="s">
        <v>771</v>
      </c>
      <c r="I2634" s="380" t="s">
        <v>817</v>
      </c>
      <c r="J2634" s="380" t="s">
        <v>773</v>
      </c>
      <c r="K2634" s="381">
        <v>0.0</v>
      </c>
      <c r="L2634" s="382">
        <v>1.0</v>
      </c>
    </row>
    <row r="2635">
      <c r="A2635" s="380" t="s">
        <v>3498</v>
      </c>
      <c r="B2635" s="380" t="str">
        <f>IFERROR(__xludf.DUMMYFUNCTION("""COMPUTED_VALUE"""),"Tubo Negro Red 4"" X 3 Mm X 6")</f>
        <v>Tubo Negro Red 4" X 3 Mm X 6</v>
      </c>
      <c r="C2635" s="380" t="str">
        <f>IFERROR(__xludf.DUMMYFUNCTION("""COMPUTED_VALUE"""),"50000229")</f>
        <v>50000229</v>
      </c>
      <c r="D2635" s="380" t="s">
        <v>767</v>
      </c>
      <c r="E2635" s="380" t="s">
        <v>781</v>
      </c>
      <c r="F2635" s="380" t="s">
        <v>830</v>
      </c>
      <c r="G2635" s="380" t="s">
        <v>1267</v>
      </c>
      <c r="H2635" s="380" t="s">
        <v>771</v>
      </c>
      <c r="I2635" s="380" t="s">
        <v>817</v>
      </c>
      <c r="J2635" s="380" t="s">
        <v>773</v>
      </c>
      <c r="K2635" s="381">
        <v>0.0</v>
      </c>
      <c r="L2635" s="382">
        <v>1.0</v>
      </c>
    </row>
    <row r="2636">
      <c r="A2636" s="380" t="s">
        <v>3499</v>
      </c>
      <c r="B2636" s="380" t="str">
        <f>IFERROR(__xludf.DUMMYFUNCTION("""COMPUTED_VALUE"""),"Tuerca Seguridad R O 1/4""")</f>
        <v>Tuerca Seguridad R O 1/4"</v>
      </c>
      <c r="C2636" s="380" t="str">
        <f>IFERROR(__xludf.DUMMYFUNCTION("""COMPUTED_VALUE"""),"50000230")</f>
        <v>50000230</v>
      </c>
      <c r="D2636" s="380" t="s">
        <v>767</v>
      </c>
      <c r="E2636" s="380" t="s">
        <v>781</v>
      </c>
      <c r="F2636" s="380" t="s">
        <v>830</v>
      </c>
      <c r="G2636" s="380" t="s">
        <v>1267</v>
      </c>
      <c r="H2636" s="380" t="s">
        <v>771</v>
      </c>
      <c r="I2636" s="380" t="s">
        <v>817</v>
      </c>
      <c r="J2636" s="380" t="s">
        <v>773</v>
      </c>
      <c r="K2636" s="381">
        <v>0.0</v>
      </c>
      <c r="L2636" s="382">
        <v>1.0</v>
      </c>
    </row>
    <row r="2637">
      <c r="A2637" s="380" t="s">
        <v>3500</v>
      </c>
      <c r="B2637" s="380" t="str">
        <f>IFERROR(__xludf.DUMMYFUNCTION("""COMPUTED_VALUE"""),"Tuerca Seguridad R O 3/4""")</f>
        <v>Tuerca Seguridad R O 3/4"</v>
      </c>
      <c r="C2637" s="380" t="str">
        <f>IFERROR(__xludf.DUMMYFUNCTION("""COMPUTED_VALUE"""),"50000231")</f>
        <v>50000231</v>
      </c>
      <c r="D2637" s="380" t="s">
        <v>767</v>
      </c>
      <c r="E2637" s="380" t="s">
        <v>781</v>
      </c>
      <c r="F2637" s="380" t="s">
        <v>830</v>
      </c>
      <c r="G2637" s="380" t="s">
        <v>1267</v>
      </c>
      <c r="H2637" s="380" t="s">
        <v>771</v>
      </c>
      <c r="I2637" s="380" t="s">
        <v>817</v>
      </c>
      <c r="J2637" s="380" t="s">
        <v>773</v>
      </c>
      <c r="K2637" s="381">
        <v>0.0</v>
      </c>
      <c r="L2637" s="382">
        <v>1.0</v>
      </c>
    </row>
    <row r="2638">
      <c r="A2638" s="380" t="s">
        <v>3501</v>
      </c>
      <c r="B2638" s="380" t="str">
        <f>IFERROR(__xludf.DUMMYFUNCTION("""COMPUTED_VALUE"""),"Pomos Lana Para Brillar 5701-7"" 3")</f>
        <v>Pomos Lana Para Brillar 5701-7" 3</v>
      </c>
      <c r="C2638" s="380" t="str">
        <f>IFERROR(__xludf.DUMMYFUNCTION("""COMPUTED_VALUE"""),"50000232")</f>
        <v>50000232</v>
      </c>
      <c r="D2638" s="380" t="s">
        <v>767</v>
      </c>
      <c r="E2638" s="380" t="s">
        <v>781</v>
      </c>
      <c r="F2638" s="380" t="s">
        <v>830</v>
      </c>
      <c r="G2638" s="380" t="s">
        <v>1267</v>
      </c>
      <c r="H2638" s="380" t="s">
        <v>771</v>
      </c>
      <c r="I2638" s="380" t="s">
        <v>817</v>
      </c>
      <c r="J2638" s="380" t="s">
        <v>773</v>
      </c>
      <c r="K2638" s="381">
        <v>0.0</v>
      </c>
      <c r="L2638" s="382">
        <v>1.0</v>
      </c>
    </row>
    <row r="2639">
      <c r="A2639" s="380" t="s">
        <v>3502</v>
      </c>
      <c r="B2639" s="380" t="str">
        <f>IFERROR(__xludf.DUMMYFUNCTION("""COMPUTED_VALUE"""),"Arandela 3/4"" Galvanizada")</f>
        <v>Arandela 3/4" Galvanizada</v>
      </c>
      <c r="C2639" s="380" t="str">
        <f>IFERROR(__xludf.DUMMYFUNCTION("""COMPUTED_VALUE"""),"50000233")</f>
        <v>50000233</v>
      </c>
      <c r="D2639" s="380" t="s">
        <v>767</v>
      </c>
      <c r="E2639" s="380" t="s">
        <v>781</v>
      </c>
      <c r="F2639" s="380" t="s">
        <v>830</v>
      </c>
      <c r="G2639" s="380" t="s">
        <v>1267</v>
      </c>
      <c r="H2639" s="380" t="s">
        <v>771</v>
      </c>
      <c r="I2639" s="380" t="s">
        <v>817</v>
      </c>
      <c r="J2639" s="380" t="s">
        <v>773</v>
      </c>
      <c r="K2639" s="381">
        <v>0.0</v>
      </c>
      <c r="L2639" s="382">
        <v>1.0</v>
      </c>
    </row>
    <row r="2640">
      <c r="A2640" s="380" t="s">
        <v>3503</v>
      </c>
      <c r="B2640" s="380" t="str">
        <f>IFERROR(__xludf.DUMMYFUNCTION("""COMPUTED_VALUE"""),"Platina Hierro De 3/8 X 5"" X 6 Mt")</f>
        <v>Platina Hierro De 3/8 X 5" X 6 Mt</v>
      </c>
      <c r="C2640" s="380" t="str">
        <f>IFERROR(__xludf.DUMMYFUNCTION("""COMPUTED_VALUE"""),"50000234")</f>
        <v>50000234</v>
      </c>
      <c r="D2640" s="380" t="s">
        <v>767</v>
      </c>
      <c r="E2640" s="380" t="s">
        <v>781</v>
      </c>
      <c r="F2640" s="380" t="s">
        <v>830</v>
      </c>
      <c r="G2640" s="380" t="s">
        <v>1267</v>
      </c>
      <c r="H2640" s="380" t="s">
        <v>771</v>
      </c>
      <c r="I2640" s="380" t="s">
        <v>817</v>
      </c>
      <c r="J2640" s="380" t="s">
        <v>773</v>
      </c>
      <c r="K2640" s="381">
        <v>0.0</v>
      </c>
      <c r="L2640" s="382">
        <v>1.0</v>
      </c>
    </row>
    <row r="2641">
      <c r="A2641" s="380" t="s">
        <v>3504</v>
      </c>
      <c r="B2641" s="380" t="str">
        <f>IFERROR(__xludf.DUMMYFUNCTION("""COMPUTED_VALUE"""),"Tubo Negro Redondo 1.1/2X1 9Mm Calibre14")</f>
        <v>Tubo Negro Redondo 1.1/2X1 9Mm Calibre14</v>
      </c>
      <c r="C2641" s="380" t="str">
        <f>IFERROR(__xludf.DUMMYFUNCTION("""COMPUTED_VALUE"""),"50000235")</f>
        <v>50000235</v>
      </c>
      <c r="D2641" s="380" t="s">
        <v>767</v>
      </c>
      <c r="E2641" s="380" t="s">
        <v>781</v>
      </c>
      <c r="F2641" s="380" t="s">
        <v>830</v>
      </c>
      <c r="G2641" s="380" t="s">
        <v>1267</v>
      </c>
      <c r="H2641" s="380" t="s">
        <v>771</v>
      </c>
      <c r="I2641" s="380" t="s">
        <v>817</v>
      </c>
      <c r="J2641" s="380" t="s">
        <v>773</v>
      </c>
      <c r="K2641" s="381">
        <v>0.0</v>
      </c>
      <c r="L2641" s="382">
        <v>1.0</v>
      </c>
    </row>
    <row r="2642">
      <c r="A2642" s="380" t="s">
        <v>3505</v>
      </c>
      <c r="B2642" s="380" t="str">
        <f>IFERROR(__xludf.DUMMYFUNCTION("""COMPUTED_VALUE"""),"Reata 2"" Polipropileno Metros Montacarga")</f>
        <v>Reata 2" Polipropileno Metros Montacarga</v>
      </c>
      <c r="C2642" s="380" t="str">
        <f>IFERROR(__xludf.DUMMYFUNCTION("""COMPUTED_VALUE"""),"50000236")</f>
        <v>50000236</v>
      </c>
      <c r="D2642" s="380" t="s">
        <v>767</v>
      </c>
      <c r="E2642" s="380" t="s">
        <v>781</v>
      </c>
      <c r="F2642" s="380" t="s">
        <v>830</v>
      </c>
      <c r="G2642" s="380" t="s">
        <v>1267</v>
      </c>
      <c r="H2642" s="380" t="s">
        <v>771</v>
      </c>
      <c r="I2642" s="380" t="s">
        <v>817</v>
      </c>
      <c r="J2642" s="380" t="s">
        <v>773</v>
      </c>
      <c r="K2642" s="381">
        <v>0.0</v>
      </c>
      <c r="L2642" s="382">
        <v>1.0</v>
      </c>
    </row>
    <row r="2643">
      <c r="A2643" s="380" t="s">
        <v>3506</v>
      </c>
      <c r="B2643" s="380" t="str">
        <f>IFERROR(__xludf.DUMMYFUNCTION("""COMPUTED_VALUE"""),"Tornillo Galva 6mm X 25mm Tuerca Y Arand")</f>
        <v>Tornillo Galva 6mm X 25mm Tuerca Y Arand</v>
      </c>
      <c r="C2643" s="380" t="str">
        <f>IFERROR(__xludf.DUMMYFUNCTION("""COMPUTED_VALUE"""),"50000237")</f>
        <v>50000237</v>
      </c>
      <c r="D2643" s="380" t="s">
        <v>767</v>
      </c>
      <c r="E2643" s="380" t="s">
        <v>781</v>
      </c>
      <c r="F2643" s="380" t="s">
        <v>830</v>
      </c>
      <c r="G2643" s="380" t="s">
        <v>1267</v>
      </c>
      <c r="H2643" s="380" t="s">
        <v>771</v>
      </c>
      <c r="I2643" s="380" t="s">
        <v>817</v>
      </c>
      <c r="J2643" s="380" t="s">
        <v>773</v>
      </c>
      <c r="K2643" s="381">
        <v>0.0</v>
      </c>
      <c r="L2643" s="382">
        <v>1.0</v>
      </c>
    </row>
    <row r="2644">
      <c r="A2644" s="380" t="s">
        <v>3507</v>
      </c>
      <c r="B2644" s="380" t="str">
        <f>IFERROR(__xludf.DUMMYFUNCTION("""COMPUTED_VALUE"""),"Tuerca G5 Ro 5/8")</f>
        <v>Tuerca G5 Ro 5/8</v>
      </c>
      <c r="C2644" s="380" t="str">
        <f>IFERROR(__xludf.DUMMYFUNCTION("""COMPUTED_VALUE"""),"50000238")</f>
        <v>50000238</v>
      </c>
      <c r="D2644" s="380" t="s">
        <v>767</v>
      </c>
      <c r="E2644" s="380" t="s">
        <v>781</v>
      </c>
      <c r="F2644" s="380" t="s">
        <v>830</v>
      </c>
      <c r="G2644" s="380" t="s">
        <v>1267</v>
      </c>
      <c r="H2644" s="380" t="s">
        <v>771</v>
      </c>
      <c r="I2644" s="380" t="s">
        <v>817</v>
      </c>
      <c r="J2644" s="380" t="s">
        <v>773</v>
      </c>
      <c r="K2644" s="381">
        <v>0.0</v>
      </c>
      <c r="L2644" s="382">
        <v>1.0</v>
      </c>
    </row>
    <row r="2645">
      <c r="A2645" s="380" t="s">
        <v>3508</v>
      </c>
      <c r="B2645" s="380" t="str">
        <f>IFERROR(__xludf.DUMMYFUNCTION("""COMPUTED_VALUE"""),"Tornillo G8 Ro1/2 X 2"" Tuerca Y Arandela")</f>
        <v>Tornillo G8 Ro1/2 X 2" Tuerca Y Arandela</v>
      </c>
      <c r="C2645" s="380" t="str">
        <f>IFERROR(__xludf.DUMMYFUNCTION("""COMPUTED_VALUE"""),"50000239")</f>
        <v>50000239</v>
      </c>
      <c r="D2645" s="380" t="s">
        <v>767</v>
      </c>
      <c r="E2645" s="380" t="s">
        <v>781</v>
      </c>
      <c r="F2645" s="380" t="s">
        <v>830</v>
      </c>
      <c r="G2645" s="380" t="s">
        <v>1267</v>
      </c>
      <c r="H2645" s="380" t="s">
        <v>771</v>
      </c>
      <c r="I2645" s="380" t="s">
        <v>817</v>
      </c>
      <c r="J2645" s="380" t="s">
        <v>773</v>
      </c>
      <c r="K2645" s="381">
        <v>0.0</v>
      </c>
      <c r="L2645" s="382">
        <v>1.0</v>
      </c>
    </row>
    <row r="2646">
      <c r="A2646" s="380" t="s">
        <v>3509</v>
      </c>
      <c r="B2646" s="380" t="str">
        <f>IFERROR(__xludf.DUMMYFUNCTION("""COMPUTED_VALUE"""),"Tornillo G8 Ro 1/2X 2 1/2 Tuerca Y Arand")</f>
        <v>Tornillo G8 Ro 1/2X 2 1/2 Tuerca Y Arand</v>
      </c>
      <c r="C2646" s="380" t="str">
        <f>IFERROR(__xludf.DUMMYFUNCTION("""COMPUTED_VALUE"""),"50000240")</f>
        <v>50000240</v>
      </c>
      <c r="D2646" s="380" t="s">
        <v>767</v>
      </c>
      <c r="E2646" s="380" t="s">
        <v>781</v>
      </c>
      <c r="F2646" s="380" t="s">
        <v>830</v>
      </c>
      <c r="G2646" s="380" t="s">
        <v>1267</v>
      </c>
      <c r="H2646" s="380" t="s">
        <v>771</v>
      </c>
      <c r="I2646" s="380" t="s">
        <v>817</v>
      </c>
      <c r="J2646" s="380" t="s">
        <v>773</v>
      </c>
      <c r="K2646" s="381">
        <v>0.0</v>
      </c>
      <c r="L2646" s="382">
        <v>1.0</v>
      </c>
    </row>
    <row r="2647">
      <c r="A2647" s="380" t="s">
        <v>3510</v>
      </c>
      <c r="B2647" s="380" t="str">
        <f>IFERROR(__xludf.DUMMYFUNCTION("""COMPUTED_VALUE"""),"Tornillo G8 Ro 1/2 X 3"" Tuerca Y Arand")</f>
        <v>Tornillo G8 Ro 1/2 X 3" Tuerca Y Arand</v>
      </c>
      <c r="C2647" s="380" t="str">
        <f>IFERROR(__xludf.DUMMYFUNCTION("""COMPUTED_VALUE"""),"50000241")</f>
        <v>50000241</v>
      </c>
      <c r="D2647" s="380" t="s">
        <v>767</v>
      </c>
      <c r="E2647" s="380" t="s">
        <v>781</v>
      </c>
      <c r="F2647" s="380" t="s">
        <v>830</v>
      </c>
      <c r="G2647" s="380" t="s">
        <v>1267</v>
      </c>
      <c r="H2647" s="380" t="s">
        <v>771</v>
      </c>
      <c r="I2647" s="380" t="s">
        <v>817</v>
      </c>
      <c r="J2647" s="380" t="s">
        <v>773</v>
      </c>
      <c r="K2647" s="381">
        <v>0.0</v>
      </c>
      <c r="L2647" s="382">
        <v>1.0</v>
      </c>
    </row>
    <row r="2648">
      <c r="A2648" s="380" t="s">
        <v>3511</v>
      </c>
      <c r="B2648" s="380" t="str">
        <f>IFERROR(__xludf.DUMMYFUNCTION("""COMPUTED_VALUE"""),"Tornillo G8 Ro De 5/16 X 2"" T A")</f>
        <v>Tornillo G8 Ro De 5/16 X 2" T A</v>
      </c>
      <c r="C2648" s="380" t="str">
        <f>IFERROR(__xludf.DUMMYFUNCTION("""COMPUTED_VALUE"""),"50000242")</f>
        <v>50000242</v>
      </c>
      <c r="D2648" s="380" t="s">
        <v>767</v>
      </c>
      <c r="E2648" s="380" t="s">
        <v>781</v>
      </c>
      <c r="F2648" s="380" t="s">
        <v>830</v>
      </c>
      <c r="G2648" s="380" t="s">
        <v>1267</v>
      </c>
      <c r="H2648" s="380" t="s">
        <v>771</v>
      </c>
      <c r="I2648" s="380" t="s">
        <v>817</v>
      </c>
      <c r="J2648" s="380" t="s">
        <v>773</v>
      </c>
      <c r="K2648" s="381">
        <v>0.0</v>
      </c>
      <c r="L2648" s="382">
        <v>1.0</v>
      </c>
    </row>
    <row r="2649">
      <c r="A2649" s="380" t="s">
        <v>3512</v>
      </c>
      <c r="B2649" s="380" t="str">
        <f>IFERROR(__xludf.DUMMYFUNCTION("""COMPUTED_VALUE"""),"Tornillo G8 Ro De 1/4 X 1""")</f>
        <v>Tornillo G8 Ro De 1/4 X 1"</v>
      </c>
      <c r="C2649" s="380" t="str">
        <f>IFERROR(__xludf.DUMMYFUNCTION("""COMPUTED_VALUE"""),"50000243")</f>
        <v>50000243</v>
      </c>
      <c r="D2649" s="380" t="s">
        <v>767</v>
      </c>
      <c r="E2649" s="380" t="s">
        <v>781</v>
      </c>
      <c r="F2649" s="380" t="s">
        <v>830</v>
      </c>
      <c r="G2649" s="380" t="s">
        <v>1267</v>
      </c>
      <c r="H2649" s="380" t="s">
        <v>771</v>
      </c>
      <c r="I2649" s="380" t="s">
        <v>817</v>
      </c>
      <c r="J2649" s="380" t="s">
        <v>773</v>
      </c>
      <c r="K2649" s="381">
        <v>0.0</v>
      </c>
      <c r="L2649" s="382">
        <v>1.0</v>
      </c>
    </row>
    <row r="2650">
      <c r="A2650" s="380" t="s">
        <v>3513</v>
      </c>
      <c r="B2650" s="380" t="str">
        <f>IFERROR(__xludf.DUMMYFUNCTION("""COMPUTED_VALUE"""),"Tornillo G8 Rf 3/8 X 1""")</f>
        <v>Tornillo G8 Rf 3/8 X 1"</v>
      </c>
      <c r="C2650" s="380" t="str">
        <f>IFERROR(__xludf.DUMMYFUNCTION("""COMPUTED_VALUE"""),"50000244")</f>
        <v>50000244</v>
      </c>
      <c r="D2650" s="380" t="s">
        <v>767</v>
      </c>
      <c r="E2650" s="380" t="s">
        <v>781</v>
      </c>
      <c r="F2650" s="380" t="s">
        <v>830</v>
      </c>
      <c r="G2650" s="380" t="s">
        <v>1267</v>
      </c>
      <c r="H2650" s="380" t="s">
        <v>771</v>
      </c>
      <c r="I2650" s="380" t="s">
        <v>817</v>
      </c>
      <c r="J2650" s="380" t="s">
        <v>773</v>
      </c>
      <c r="K2650" s="381">
        <v>0.0</v>
      </c>
      <c r="L2650" s="382">
        <v>1.0</v>
      </c>
    </row>
    <row r="2651">
      <c r="A2651" s="380" t="s">
        <v>3514</v>
      </c>
      <c r="B2651" s="380" t="str">
        <f>IFERROR(__xludf.DUMMYFUNCTION("""COMPUTED_VALUE"""),"Tornillo G8 Rf 1/2 X 2""")</f>
        <v>Tornillo G8 Rf 1/2 X 2"</v>
      </c>
      <c r="C2651" s="380" t="str">
        <f>IFERROR(__xludf.DUMMYFUNCTION("""COMPUTED_VALUE"""),"50000245")</f>
        <v>50000245</v>
      </c>
      <c r="D2651" s="380" t="s">
        <v>767</v>
      </c>
      <c r="E2651" s="380" t="s">
        <v>781</v>
      </c>
      <c r="F2651" s="380" t="s">
        <v>830</v>
      </c>
      <c r="G2651" s="380" t="s">
        <v>1267</v>
      </c>
      <c r="H2651" s="380" t="s">
        <v>771</v>
      </c>
      <c r="I2651" s="380" t="s">
        <v>817</v>
      </c>
      <c r="J2651" s="380" t="s">
        <v>773</v>
      </c>
      <c r="K2651" s="381">
        <v>0.0</v>
      </c>
      <c r="L2651" s="382">
        <v>1.0</v>
      </c>
    </row>
    <row r="2652">
      <c r="A2652" s="380" t="s">
        <v>3515</v>
      </c>
      <c r="B2652" s="380" t="str">
        <f>IFERROR(__xludf.DUMMYFUNCTION("""COMPUTED_VALUE"""),"Tuerca G5 Ro De 5/16")</f>
        <v>Tuerca G5 Ro De 5/16</v>
      </c>
      <c r="C2652" s="380" t="str">
        <f>IFERROR(__xludf.DUMMYFUNCTION("""COMPUTED_VALUE"""),"50000246")</f>
        <v>50000246</v>
      </c>
      <c r="D2652" s="380" t="s">
        <v>767</v>
      </c>
      <c r="E2652" s="380" t="s">
        <v>781</v>
      </c>
      <c r="F2652" s="380" t="s">
        <v>830</v>
      </c>
      <c r="G2652" s="380" t="s">
        <v>1267</v>
      </c>
      <c r="H2652" s="380" t="s">
        <v>771</v>
      </c>
      <c r="I2652" s="380" t="s">
        <v>817</v>
      </c>
      <c r="J2652" s="380" t="s">
        <v>773</v>
      </c>
      <c r="K2652" s="381">
        <v>0.0</v>
      </c>
      <c r="L2652" s="382">
        <v>1.0</v>
      </c>
    </row>
    <row r="2653">
      <c r="A2653" s="380" t="s">
        <v>3516</v>
      </c>
      <c r="B2653" s="380" t="str">
        <f>IFERROR(__xludf.DUMMYFUNCTION("""COMPUTED_VALUE"""),"Tuerca G5 Ro 1/4")</f>
        <v>Tuerca G5 Ro 1/4</v>
      </c>
      <c r="C2653" s="380" t="str">
        <f>IFERROR(__xludf.DUMMYFUNCTION("""COMPUTED_VALUE"""),"50000247")</f>
        <v>50000247</v>
      </c>
      <c r="D2653" s="380" t="s">
        <v>767</v>
      </c>
      <c r="E2653" s="380" t="s">
        <v>781</v>
      </c>
      <c r="F2653" s="380" t="s">
        <v>830</v>
      </c>
      <c r="G2653" s="380" t="s">
        <v>1267</v>
      </c>
      <c r="H2653" s="380" t="s">
        <v>771</v>
      </c>
      <c r="I2653" s="380" t="s">
        <v>817</v>
      </c>
      <c r="J2653" s="380" t="s">
        <v>773</v>
      </c>
      <c r="K2653" s="381">
        <v>0.0</v>
      </c>
      <c r="L2653" s="382">
        <v>1.0</v>
      </c>
    </row>
    <row r="2654">
      <c r="A2654" s="380" t="s">
        <v>3517</v>
      </c>
      <c r="B2654" s="380" t="str">
        <f>IFERROR(__xludf.DUMMYFUNCTION("""COMPUTED_VALUE"""),"Tuerca G5 Rf 3/8""")</f>
        <v>Tuerca G5 Rf 3/8"</v>
      </c>
      <c r="C2654" s="380" t="str">
        <f>IFERROR(__xludf.DUMMYFUNCTION("""COMPUTED_VALUE"""),"50000248")</f>
        <v>50000248</v>
      </c>
      <c r="D2654" s="380" t="s">
        <v>767</v>
      </c>
      <c r="E2654" s="380" t="s">
        <v>781</v>
      </c>
      <c r="F2654" s="380" t="s">
        <v>830</v>
      </c>
      <c r="G2654" s="380" t="s">
        <v>1267</v>
      </c>
      <c r="H2654" s="380" t="s">
        <v>771</v>
      </c>
      <c r="I2654" s="380" t="s">
        <v>817</v>
      </c>
      <c r="J2654" s="380" t="s">
        <v>773</v>
      </c>
      <c r="K2654" s="381">
        <v>0.0</v>
      </c>
      <c r="L2654" s="382">
        <v>1.0</v>
      </c>
    </row>
    <row r="2655">
      <c r="A2655" s="380" t="s">
        <v>3518</v>
      </c>
      <c r="B2655" s="380" t="str">
        <f>IFERROR(__xludf.DUMMYFUNCTION("""COMPUTED_VALUE"""),"Tuerca Rf 1/2"" Seguridad Galvanizada")</f>
        <v>Tuerca Rf 1/2" Seguridad Galvanizada</v>
      </c>
      <c r="C2655" s="380" t="str">
        <f>IFERROR(__xludf.DUMMYFUNCTION("""COMPUTED_VALUE"""),"50000249")</f>
        <v>50000249</v>
      </c>
      <c r="D2655" s="380" t="s">
        <v>767</v>
      </c>
      <c r="E2655" s="380" t="s">
        <v>781</v>
      </c>
      <c r="F2655" s="380" t="s">
        <v>830</v>
      </c>
      <c r="G2655" s="380" t="s">
        <v>1267</v>
      </c>
      <c r="H2655" s="380" t="s">
        <v>771</v>
      </c>
      <c r="I2655" s="380" t="s">
        <v>817</v>
      </c>
      <c r="J2655" s="380" t="s">
        <v>773</v>
      </c>
      <c r="K2655" s="381">
        <v>0.0</v>
      </c>
      <c r="L2655" s="382">
        <v>1.0</v>
      </c>
    </row>
    <row r="2656">
      <c r="A2656" s="380" t="s">
        <v>3519</v>
      </c>
      <c r="B2656" s="380" t="str">
        <f>IFERROR(__xludf.DUMMYFUNCTION("""COMPUTED_VALUE"""),"Tornillo 10 X 3/4"" Lamina")</f>
        <v>Tornillo 10 X 3/4" Lamina</v>
      </c>
      <c r="C2656" s="380" t="str">
        <f>IFERROR(__xludf.DUMMYFUNCTION("""COMPUTED_VALUE"""),"50000250")</f>
        <v>50000250</v>
      </c>
      <c r="D2656" s="380" t="s">
        <v>767</v>
      </c>
      <c r="E2656" s="380" t="s">
        <v>781</v>
      </c>
      <c r="F2656" s="380" t="s">
        <v>830</v>
      </c>
      <c r="G2656" s="380" t="s">
        <v>1267</v>
      </c>
      <c r="H2656" s="380" t="s">
        <v>771</v>
      </c>
      <c r="I2656" s="380" t="s">
        <v>817</v>
      </c>
      <c r="J2656" s="380" t="s">
        <v>773</v>
      </c>
      <c r="K2656" s="381">
        <v>0.0</v>
      </c>
      <c r="L2656" s="382">
        <v>1.0</v>
      </c>
    </row>
    <row r="2657">
      <c r="A2657" s="380" t="s">
        <v>3520</v>
      </c>
      <c r="B2657" s="380" t="str">
        <f>IFERROR(__xludf.DUMMYFUNCTION("""COMPUTED_VALUE"""),"Arandela 3/16"" Galvanizada")</f>
        <v>Arandela 3/16" Galvanizada</v>
      </c>
      <c r="C2657" s="380" t="str">
        <f>IFERROR(__xludf.DUMMYFUNCTION("""COMPUTED_VALUE"""),"50000251")</f>
        <v>50000251</v>
      </c>
      <c r="D2657" s="380" t="s">
        <v>767</v>
      </c>
      <c r="E2657" s="380" t="s">
        <v>781</v>
      </c>
      <c r="F2657" s="380" t="s">
        <v>830</v>
      </c>
      <c r="G2657" s="380" t="s">
        <v>1267</v>
      </c>
      <c r="H2657" s="380" t="s">
        <v>771</v>
      </c>
      <c r="I2657" s="380" t="s">
        <v>817</v>
      </c>
      <c r="J2657" s="380" t="s">
        <v>773</v>
      </c>
      <c r="K2657" s="381">
        <v>0.0</v>
      </c>
      <c r="L2657" s="382">
        <v>1.0</v>
      </c>
    </row>
    <row r="2658">
      <c r="A2658" s="380" t="s">
        <v>3521</v>
      </c>
      <c r="B2658" s="380" t="str">
        <f>IFERROR(__xludf.DUMMYFUNCTION("""COMPUTED_VALUE"""),"Arandela 1/2"" Galvanizada")</f>
        <v>Arandela 1/2" Galvanizada</v>
      </c>
      <c r="C2658" s="380" t="str">
        <f>IFERROR(__xludf.DUMMYFUNCTION("""COMPUTED_VALUE"""),"50000252")</f>
        <v>50000252</v>
      </c>
      <c r="D2658" s="380" t="s">
        <v>767</v>
      </c>
      <c r="E2658" s="380" t="s">
        <v>781</v>
      </c>
      <c r="F2658" s="380" t="s">
        <v>830</v>
      </c>
      <c r="G2658" s="380" t="s">
        <v>1267</v>
      </c>
      <c r="H2658" s="380" t="s">
        <v>771</v>
      </c>
      <c r="I2658" s="380" t="s">
        <v>817</v>
      </c>
      <c r="J2658" s="380" t="s">
        <v>773</v>
      </c>
      <c r="K2658" s="381">
        <v>0.0</v>
      </c>
      <c r="L2658" s="382">
        <v>1.0</v>
      </c>
    </row>
    <row r="2659">
      <c r="A2659" s="380" t="s">
        <v>3522</v>
      </c>
      <c r="B2659" s="380" t="str">
        <f>IFERROR(__xludf.DUMMYFUNCTION("""COMPUTED_VALUE"""),"Arandela 5/16"" Galvanizada")</f>
        <v>Arandela 5/16" Galvanizada</v>
      </c>
      <c r="C2659" s="380" t="str">
        <f>IFERROR(__xludf.DUMMYFUNCTION("""COMPUTED_VALUE"""),"50000253")</f>
        <v>50000253</v>
      </c>
      <c r="D2659" s="380" t="s">
        <v>767</v>
      </c>
      <c r="E2659" s="380" t="s">
        <v>781</v>
      </c>
      <c r="F2659" s="380" t="s">
        <v>830</v>
      </c>
      <c r="G2659" s="380" t="s">
        <v>1267</v>
      </c>
      <c r="H2659" s="380" t="s">
        <v>771</v>
      </c>
      <c r="I2659" s="380" t="s">
        <v>817</v>
      </c>
      <c r="J2659" s="380" t="s">
        <v>773</v>
      </c>
      <c r="K2659" s="381">
        <v>0.0</v>
      </c>
      <c r="L2659" s="382">
        <v>1.0</v>
      </c>
    </row>
    <row r="2660">
      <c r="A2660" s="380" t="s">
        <v>3523</v>
      </c>
      <c r="B2660" s="380" t="str">
        <f>IFERROR(__xludf.DUMMYFUNCTION("""COMPUTED_VALUE"""),"Tornillo G8 Ro 1/4 X 3 1/2")</f>
        <v>Tornillo G8 Ro 1/4 X 3 1/2</v>
      </c>
      <c r="C2660" s="380" t="str">
        <f>IFERROR(__xludf.DUMMYFUNCTION("""COMPUTED_VALUE"""),"50000255")</f>
        <v>50000255</v>
      </c>
      <c r="D2660" s="380" t="s">
        <v>767</v>
      </c>
      <c r="E2660" s="380" t="s">
        <v>781</v>
      </c>
      <c r="F2660" s="380" t="s">
        <v>830</v>
      </c>
      <c r="G2660" s="380" t="s">
        <v>1267</v>
      </c>
      <c r="H2660" s="380" t="s">
        <v>771</v>
      </c>
      <c r="I2660" s="380" t="s">
        <v>817</v>
      </c>
      <c r="J2660" s="380" t="s">
        <v>773</v>
      </c>
      <c r="K2660" s="381">
        <v>0.0</v>
      </c>
      <c r="L2660" s="382">
        <v>1.0</v>
      </c>
    </row>
    <row r="2661">
      <c r="A2661" s="380" t="s">
        <v>3524</v>
      </c>
      <c r="B2661" s="380" t="str">
        <f>IFERROR(__xludf.DUMMYFUNCTION("""COMPUTED_VALUE"""),"Tornillo G8 Ro 5/16 X 3 1/2")</f>
        <v>Tornillo G8 Ro 5/16 X 3 1/2</v>
      </c>
      <c r="C2661" s="380" t="str">
        <f>IFERROR(__xludf.DUMMYFUNCTION("""COMPUTED_VALUE"""),"50000256")</f>
        <v>50000256</v>
      </c>
      <c r="D2661" s="380" t="s">
        <v>767</v>
      </c>
      <c r="E2661" s="380" t="s">
        <v>781</v>
      </c>
      <c r="F2661" s="380" t="s">
        <v>830</v>
      </c>
      <c r="G2661" s="380" t="s">
        <v>1267</v>
      </c>
      <c r="H2661" s="380" t="s">
        <v>771</v>
      </c>
      <c r="I2661" s="380" t="s">
        <v>817</v>
      </c>
      <c r="J2661" s="380" t="s">
        <v>773</v>
      </c>
      <c r="K2661" s="381">
        <v>0.0</v>
      </c>
      <c r="L2661" s="382">
        <v>1.0</v>
      </c>
    </row>
    <row r="2662">
      <c r="A2662" s="380" t="s">
        <v>3525</v>
      </c>
      <c r="B2662" s="380" t="str">
        <f>IFERROR(__xludf.DUMMYFUNCTION("""COMPUTED_VALUE"""),"Tuerca Seguridad R O 3/8""")</f>
        <v>Tuerca Seguridad R O 3/8"</v>
      </c>
      <c r="C2662" s="380" t="str">
        <f>IFERROR(__xludf.DUMMYFUNCTION("""COMPUTED_VALUE"""),"50000257")</f>
        <v>50000257</v>
      </c>
      <c r="D2662" s="380" t="s">
        <v>767</v>
      </c>
      <c r="E2662" s="380" t="s">
        <v>781</v>
      </c>
      <c r="F2662" s="380" t="s">
        <v>830</v>
      </c>
      <c r="G2662" s="380" t="s">
        <v>1267</v>
      </c>
      <c r="H2662" s="380" t="s">
        <v>771</v>
      </c>
      <c r="I2662" s="380" t="s">
        <v>817</v>
      </c>
      <c r="J2662" s="380" t="s">
        <v>773</v>
      </c>
      <c r="K2662" s="381">
        <v>0.0</v>
      </c>
      <c r="L2662" s="382">
        <v>1.0</v>
      </c>
    </row>
    <row r="2663">
      <c r="A2663" s="380" t="s">
        <v>3526</v>
      </c>
      <c r="B2663" s="380" t="str">
        <f>IFERROR(__xludf.DUMMYFUNCTION("""COMPUTED_VALUE"""),"Pila Grande Linterna 1050")</f>
        <v>Pila Grande Linterna 1050</v>
      </c>
      <c r="C2663" s="380" t="str">
        <f>IFERROR(__xludf.DUMMYFUNCTION("""COMPUTED_VALUE"""),"50000258")</f>
        <v>50000258</v>
      </c>
      <c r="D2663" s="380" t="s">
        <v>767</v>
      </c>
      <c r="E2663" s="380" t="s">
        <v>781</v>
      </c>
      <c r="F2663" s="380" t="s">
        <v>830</v>
      </c>
      <c r="G2663" s="380" t="s">
        <v>1267</v>
      </c>
      <c r="H2663" s="380" t="s">
        <v>771</v>
      </c>
      <c r="I2663" s="380" t="s">
        <v>817</v>
      </c>
      <c r="J2663" s="380" t="s">
        <v>773</v>
      </c>
      <c r="K2663" s="381">
        <v>2900.0</v>
      </c>
      <c r="L2663" s="382">
        <v>1.0</v>
      </c>
    </row>
    <row r="2664">
      <c r="A2664" s="380" t="s">
        <v>3527</v>
      </c>
      <c r="B2664" s="380" t="str">
        <f>IFERROR(__xludf.DUMMYFUNCTION("""COMPUTED_VALUE"""),"Perfiles Varios Furgon Fabricados")</f>
        <v>Perfiles Varios Furgon Fabricados</v>
      </c>
      <c r="C2664" s="380" t="str">
        <f>IFERROR(__xludf.DUMMYFUNCTION("""COMPUTED_VALUE"""),"50000259")</f>
        <v>50000259</v>
      </c>
      <c r="D2664" s="380" t="s">
        <v>767</v>
      </c>
      <c r="E2664" s="380" t="s">
        <v>781</v>
      </c>
      <c r="F2664" s="380" t="s">
        <v>830</v>
      </c>
      <c r="G2664" s="380" t="s">
        <v>1267</v>
      </c>
      <c r="H2664" s="380" t="s">
        <v>771</v>
      </c>
      <c r="I2664" s="380" t="s">
        <v>817</v>
      </c>
      <c r="J2664" s="380" t="s">
        <v>773</v>
      </c>
      <c r="K2664" s="381">
        <v>0.0</v>
      </c>
      <c r="L2664" s="382">
        <v>1.0</v>
      </c>
    </row>
    <row r="2665">
      <c r="A2665" s="380" t="s">
        <v>3528</v>
      </c>
      <c r="B2665" s="380" t="str">
        <f>IFERROR(__xludf.DUMMYFUNCTION("""COMPUTED_VALUE"""),"Platina Hierro 1/8 X 3"" X 6mts")</f>
        <v>Platina Hierro 1/8 X 3" X 6mts</v>
      </c>
      <c r="C2665" s="380" t="str">
        <f>IFERROR(__xludf.DUMMYFUNCTION("""COMPUTED_VALUE"""),"50000260")</f>
        <v>50000260</v>
      </c>
      <c r="D2665" s="380" t="s">
        <v>767</v>
      </c>
      <c r="E2665" s="380" t="s">
        <v>781</v>
      </c>
      <c r="F2665" s="380" t="s">
        <v>830</v>
      </c>
      <c r="G2665" s="380" t="s">
        <v>1267</v>
      </c>
      <c r="H2665" s="380" t="s">
        <v>771</v>
      </c>
      <c r="I2665" s="380" t="s">
        <v>817</v>
      </c>
      <c r="J2665" s="380" t="s">
        <v>773</v>
      </c>
      <c r="K2665" s="381">
        <v>0.0</v>
      </c>
      <c r="L2665" s="382">
        <v>1.0</v>
      </c>
    </row>
    <row r="2666">
      <c r="A2666" s="380" t="s">
        <v>3529</v>
      </c>
      <c r="B2666" s="380" t="str">
        <f>IFERROR(__xludf.DUMMYFUNCTION("""COMPUTED_VALUE"""),"Pin Chaveta 1/4 X 2""")</f>
        <v>Pin Chaveta 1/4 X 2"</v>
      </c>
      <c r="C2666" s="380" t="str">
        <f>IFERROR(__xludf.DUMMYFUNCTION("""COMPUTED_VALUE"""),"50000261")</f>
        <v>50000261</v>
      </c>
      <c r="D2666" s="380" t="s">
        <v>767</v>
      </c>
      <c r="E2666" s="380" t="s">
        <v>781</v>
      </c>
      <c r="F2666" s="380" t="s">
        <v>830</v>
      </c>
      <c r="G2666" s="380" t="s">
        <v>1267</v>
      </c>
      <c r="H2666" s="380" t="s">
        <v>771</v>
      </c>
      <c r="I2666" s="380" t="s">
        <v>817</v>
      </c>
      <c r="J2666" s="380" t="s">
        <v>773</v>
      </c>
      <c r="K2666" s="381">
        <v>0.0</v>
      </c>
      <c r="L2666" s="382">
        <v>1.0</v>
      </c>
    </row>
    <row r="2667">
      <c r="A2667" s="380" t="s">
        <v>3530</v>
      </c>
      <c r="B2667" s="380" t="str">
        <f>IFERROR(__xludf.DUMMYFUNCTION("""COMPUTED_VALUE"""),"Pin Chaveta 1/4 X 4""")</f>
        <v>Pin Chaveta 1/4 X 4"</v>
      </c>
      <c r="C2667" s="380" t="str">
        <f>IFERROR(__xludf.DUMMYFUNCTION("""COMPUTED_VALUE"""),"50000262")</f>
        <v>50000262</v>
      </c>
      <c r="D2667" s="380" t="s">
        <v>767</v>
      </c>
      <c r="E2667" s="380" t="s">
        <v>781</v>
      </c>
      <c r="F2667" s="380" t="s">
        <v>830</v>
      </c>
      <c r="G2667" s="380" t="s">
        <v>1267</v>
      </c>
      <c r="H2667" s="380" t="s">
        <v>771</v>
      </c>
      <c r="I2667" s="380" t="s">
        <v>817</v>
      </c>
      <c r="J2667" s="380" t="s">
        <v>773</v>
      </c>
      <c r="K2667" s="381">
        <v>0.0</v>
      </c>
      <c r="L2667" s="382">
        <v>1.0</v>
      </c>
    </row>
    <row r="2668">
      <c r="A2668" s="380" t="s">
        <v>3531</v>
      </c>
      <c r="B2668" s="380" t="str">
        <f>IFERROR(__xludf.DUMMYFUNCTION("""COMPUTED_VALUE"""),"Tubo Cuadrado 1"" C-20 X 6mts")</f>
        <v>Tubo Cuadrado 1" C-20 X 6mts</v>
      </c>
      <c r="C2668" s="380" t="str">
        <f>IFERROR(__xludf.DUMMYFUNCTION("""COMPUTED_VALUE"""),"50000263")</f>
        <v>50000263</v>
      </c>
      <c r="D2668" s="380" t="s">
        <v>767</v>
      </c>
      <c r="E2668" s="380" t="s">
        <v>781</v>
      </c>
      <c r="F2668" s="380" t="s">
        <v>830</v>
      </c>
      <c r="G2668" s="380" t="s">
        <v>1267</v>
      </c>
      <c r="H2668" s="380" t="s">
        <v>771</v>
      </c>
      <c r="I2668" s="380" t="s">
        <v>817</v>
      </c>
      <c r="J2668" s="380" t="s">
        <v>773</v>
      </c>
      <c r="K2668" s="381">
        <v>0.0</v>
      </c>
      <c r="L2668" s="382">
        <v>1.0</v>
      </c>
    </row>
    <row r="2669">
      <c r="A2669" s="380" t="s">
        <v>3532</v>
      </c>
      <c r="B2669" s="380" t="str">
        <f>IFERROR(__xludf.DUMMYFUNCTION("""COMPUTED_VALUE"""),"Pin Chaveta Trailer 1/4 X 3 1/2")</f>
        <v>Pin Chaveta Trailer 1/4 X 3 1/2</v>
      </c>
      <c r="C2669" s="380" t="str">
        <f>IFERROR(__xludf.DUMMYFUNCTION("""COMPUTED_VALUE"""),"50000264")</f>
        <v>50000264</v>
      </c>
      <c r="D2669" s="380" t="s">
        <v>767</v>
      </c>
      <c r="E2669" s="380" t="s">
        <v>781</v>
      </c>
      <c r="F2669" s="380" t="s">
        <v>830</v>
      </c>
      <c r="G2669" s="380" t="s">
        <v>1267</v>
      </c>
      <c r="H2669" s="380" t="s">
        <v>771</v>
      </c>
      <c r="I2669" s="380" t="s">
        <v>817</v>
      </c>
      <c r="J2669" s="380" t="s">
        <v>773</v>
      </c>
      <c r="K2669" s="381">
        <v>0.0</v>
      </c>
      <c r="L2669" s="382">
        <v>1.0</v>
      </c>
    </row>
    <row r="2670">
      <c r="A2670" s="380" t="s">
        <v>3533</v>
      </c>
      <c r="B2670" s="380" t="str">
        <f>IFERROR(__xludf.DUMMYFUNCTION("""COMPUTED_VALUE"""),"Tornillo G5 Ro 5/16 X 1 1/2")</f>
        <v>Tornillo G5 Ro 5/16 X 1 1/2</v>
      </c>
      <c r="C2670" s="380" t="str">
        <f>IFERROR(__xludf.DUMMYFUNCTION("""COMPUTED_VALUE"""),"50000265")</f>
        <v>50000265</v>
      </c>
      <c r="D2670" s="380" t="s">
        <v>767</v>
      </c>
      <c r="E2670" s="380" t="s">
        <v>781</v>
      </c>
      <c r="F2670" s="380" t="s">
        <v>830</v>
      </c>
      <c r="G2670" s="380" t="s">
        <v>1267</v>
      </c>
      <c r="H2670" s="380" t="s">
        <v>771</v>
      </c>
      <c r="I2670" s="380" t="s">
        <v>817</v>
      </c>
      <c r="J2670" s="380" t="s">
        <v>773</v>
      </c>
      <c r="K2670" s="381">
        <v>0.0</v>
      </c>
      <c r="L2670" s="382">
        <v>1.0</v>
      </c>
    </row>
    <row r="2671">
      <c r="A2671" s="380" t="s">
        <v>3534</v>
      </c>
      <c r="B2671" s="380" t="str">
        <f>IFERROR(__xludf.DUMMYFUNCTION("""COMPUTED_VALUE"""),"Tuerca G5 Ro 5/16 Hexagonal")</f>
        <v>Tuerca G5 Ro 5/16 Hexagonal</v>
      </c>
      <c r="C2671" s="380" t="str">
        <f>IFERROR(__xludf.DUMMYFUNCTION("""COMPUTED_VALUE"""),"50000266")</f>
        <v>50000266</v>
      </c>
      <c r="D2671" s="380" t="s">
        <v>767</v>
      </c>
      <c r="E2671" s="380" t="s">
        <v>781</v>
      </c>
      <c r="F2671" s="380" t="s">
        <v>830</v>
      </c>
      <c r="G2671" s="380" t="s">
        <v>1267</v>
      </c>
      <c r="H2671" s="380" t="s">
        <v>771</v>
      </c>
      <c r="I2671" s="380" t="s">
        <v>817</v>
      </c>
      <c r="J2671" s="380" t="s">
        <v>773</v>
      </c>
      <c r="K2671" s="381">
        <v>0.0</v>
      </c>
      <c r="L2671" s="382">
        <v>1.0</v>
      </c>
    </row>
    <row r="2672">
      <c r="A2672" s="380" t="s">
        <v>3535</v>
      </c>
      <c r="B2672" s="380" t="str">
        <f>IFERROR(__xludf.DUMMYFUNCTION("""COMPUTED_VALUE"""),"Arandela 5/8"" Galvanizada")</f>
        <v>Arandela 5/8" Galvanizada</v>
      </c>
      <c r="C2672" s="380" t="str">
        <f>IFERROR(__xludf.DUMMYFUNCTION("""COMPUTED_VALUE"""),"50000267")</f>
        <v>50000267</v>
      </c>
      <c r="D2672" s="380" t="s">
        <v>767</v>
      </c>
      <c r="E2672" s="380" t="s">
        <v>781</v>
      </c>
      <c r="F2672" s="380" t="s">
        <v>830</v>
      </c>
      <c r="G2672" s="380" t="s">
        <v>1267</v>
      </c>
      <c r="H2672" s="380" t="s">
        <v>771</v>
      </c>
      <c r="I2672" s="380" t="s">
        <v>817</v>
      </c>
      <c r="J2672" s="380" t="s">
        <v>773</v>
      </c>
      <c r="K2672" s="381">
        <v>0.0</v>
      </c>
      <c r="L2672" s="382">
        <v>1.0</v>
      </c>
    </row>
    <row r="2673">
      <c r="A2673" s="380" t="s">
        <v>3536</v>
      </c>
      <c r="B2673" s="380" t="str">
        <f>IFERROR(__xludf.DUMMYFUNCTION("""COMPUTED_VALUE"""),"Tornillo G5 Ro 5/16 X 1""")</f>
        <v>Tornillo G5 Ro 5/16 X 1"</v>
      </c>
      <c r="C2673" s="380" t="str">
        <f>IFERROR(__xludf.DUMMYFUNCTION("""COMPUTED_VALUE"""),"50000268")</f>
        <v>50000268</v>
      </c>
      <c r="D2673" s="380" t="s">
        <v>767</v>
      </c>
      <c r="E2673" s="380" t="s">
        <v>781</v>
      </c>
      <c r="F2673" s="380" t="s">
        <v>830</v>
      </c>
      <c r="G2673" s="380" t="s">
        <v>1267</v>
      </c>
      <c r="H2673" s="380" t="s">
        <v>771</v>
      </c>
      <c r="I2673" s="380" t="s">
        <v>817</v>
      </c>
      <c r="J2673" s="380" t="s">
        <v>773</v>
      </c>
      <c r="K2673" s="381">
        <v>0.0</v>
      </c>
      <c r="L2673" s="382">
        <v>1.0</v>
      </c>
    </row>
    <row r="2674">
      <c r="A2674" s="380" t="s">
        <v>3537</v>
      </c>
      <c r="B2674" s="380" t="str">
        <f>IFERROR(__xludf.DUMMYFUNCTION("""COMPUTED_VALUE"""),"Tuerca Seguridad R O 5/16""")</f>
        <v>Tuerca Seguridad R O 5/16"</v>
      </c>
      <c r="C2674" s="380" t="str">
        <f>IFERROR(__xludf.DUMMYFUNCTION("""COMPUTED_VALUE"""),"50000270")</f>
        <v>50000270</v>
      </c>
      <c r="D2674" s="380" t="s">
        <v>767</v>
      </c>
      <c r="E2674" s="380" t="s">
        <v>781</v>
      </c>
      <c r="F2674" s="380" t="s">
        <v>830</v>
      </c>
      <c r="G2674" s="380" t="s">
        <v>1267</v>
      </c>
      <c r="H2674" s="380" t="s">
        <v>771</v>
      </c>
      <c r="I2674" s="380" t="s">
        <v>817</v>
      </c>
      <c r="J2674" s="380" t="s">
        <v>773</v>
      </c>
      <c r="K2674" s="381">
        <v>0.0</v>
      </c>
      <c r="L2674" s="382">
        <v>1.0</v>
      </c>
    </row>
    <row r="2675">
      <c r="A2675" s="380" t="s">
        <v>3538</v>
      </c>
      <c r="B2675" s="380" t="str">
        <f>IFERROR(__xludf.DUMMYFUNCTION("""COMPUTED_VALUE"""),"Varilla G40 1/2 X 6 Mts Redonda 1/2x6mt")</f>
        <v>Varilla G40 1/2 X 6 Mts Redonda 1/2x6mt</v>
      </c>
      <c r="C2675" s="380" t="str">
        <f>IFERROR(__xludf.DUMMYFUNCTION("""COMPUTED_VALUE"""),"50000271")</f>
        <v>50000271</v>
      </c>
      <c r="D2675" s="380" t="s">
        <v>767</v>
      </c>
      <c r="E2675" s="380" t="s">
        <v>781</v>
      </c>
      <c r="F2675" s="380" t="s">
        <v>830</v>
      </c>
      <c r="G2675" s="380" t="s">
        <v>1267</v>
      </c>
      <c r="H2675" s="380" t="s">
        <v>771</v>
      </c>
      <c r="I2675" s="380" t="s">
        <v>817</v>
      </c>
      <c r="J2675" s="380" t="s">
        <v>773</v>
      </c>
      <c r="K2675" s="381">
        <v>0.0</v>
      </c>
      <c r="L2675" s="382">
        <v>1.0</v>
      </c>
    </row>
    <row r="2676">
      <c r="A2676" s="380" t="s">
        <v>3539</v>
      </c>
      <c r="B2676" s="380" t="str">
        <f>IFERROR(__xludf.DUMMYFUNCTION("""COMPUTED_VALUE"""),"Calcomania Coordinadora Puerta Lateral")</f>
        <v>Calcomania Coordinadora Puerta Lateral</v>
      </c>
      <c r="C2676" s="380" t="str">
        <f>IFERROR(__xludf.DUMMYFUNCTION("""COMPUTED_VALUE"""),"50000272")</f>
        <v>50000272</v>
      </c>
      <c r="D2676" s="380" t="s">
        <v>767</v>
      </c>
      <c r="E2676" s="380" t="s">
        <v>781</v>
      </c>
      <c r="F2676" s="380" t="s">
        <v>819</v>
      </c>
      <c r="G2676" s="380" t="s">
        <v>1267</v>
      </c>
      <c r="H2676" s="380" t="s">
        <v>771</v>
      </c>
      <c r="I2676" s="380" t="s">
        <v>817</v>
      </c>
      <c r="J2676" s="380" t="s">
        <v>773</v>
      </c>
      <c r="K2676" s="381">
        <v>5592.0</v>
      </c>
      <c r="L2676" s="382">
        <v>1.0</v>
      </c>
    </row>
    <row r="2677">
      <c r="A2677" s="380" t="s">
        <v>3540</v>
      </c>
      <c r="B2677" s="380" t="str">
        <f>IFERROR(__xludf.DUMMYFUNCTION("""COMPUTED_VALUE"""),"Platina Hierro 3/16 X 2 X 6 M 3/16x2x6mt")</f>
        <v>Platina Hierro 3/16 X 2 X 6 M 3/16x2x6mt</v>
      </c>
      <c r="C2677" s="380" t="str">
        <f>IFERROR(__xludf.DUMMYFUNCTION("""COMPUTED_VALUE"""),"50000273")</f>
        <v>50000273</v>
      </c>
      <c r="D2677" s="380" t="s">
        <v>767</v>
      </c>
      <c r="E2677" s="380" t="s">
        <v>781</v>
      </c>
      <c r="F2677" s="380" t="s">
        <v>830</v>
      </c>
      <c r="G2677" s="380" t="s">
        <v>1267</v>
      </c>
      <c r="H2677" s="380" t="s">
        <v>771</v>
      </c>
      <c r="I2677" s="380" t="s">
        <v>817</v>
      </c>
      <c r="J2677" s="380" t="s">
        <v>773</v>
      </c>
      <c r="K2677" s="381">
        <v>0.0</v>
      </c>
      <c r="L2677" s="382">
        <v>1.0</v>
      </c>
    </row>
    <row r="2678">
      <c r="A2678" s="380" t="s">
        <v>3541</v>
      </c>
      <c r="B2678" s="380" t="str">
        <f>IFERROR(__xludf.DUMMYFUNCTION("""COMPUTED_VALUE"""),"Tornillo G8 Ro 9/16 X 4 1/2 9/16x4 1/2")</f>
        <v>Tornillo G8 Ro 9/16 X 4 1/2 9/16x4 1/2</v>
      </c>
      <c r="C2678" s="380" t="str">
        <f>IFERROR(__xludf.DUMMYFUNCTION("""COMPUTED_VALUE"""),"50000274")</f>
        <v>50000274</v>
      </c>
      <c r="D2678" s="380" t="s">
        <v>767</v>
      </c>
      <c r="E2678" s="380" t="s">
        <v>781</v>
      </c>
      <c r="F2678" s="380" t="s">
        <v>830</v>
      </c>
      <c r="G2678" s="380" t="s">
        <v>1267</v>
      </c>
      <c r="H2678" s="380" t="s">
        <v>771</v>
      </c>
      <c r="I2678" s="380" t="s">
        <v>817</v>
      </c>
      <c r="J2678" s="380" t="s">
        <v>773</v>
      </c>
      <c r="K2678" s="381">
        <v>0.0</v>
      </c>
      <c r="L2678" s="382">
        <v>1.0</v>
      </c>
    </row>
    <row r="2679">
      <c r="A2679" s="380" t="s">
        <v>3542</v>
      </c>
      <c r="B2679" s="380" t="str">
        <f>IFERROR(__xludf.DUMMYFUNCTION("""COMPUTED_VALUE"""),"Tornillo G5 Ro 1/2 X 4"" 1/2x4""")</f>
        <v>Tornillo G5 Ro 1/2 X 4" 1/2x4"</v>
      </c>
      <c r="C2679" s="380" t="str">
        <f>IFERROR(__xludf.DUMMYFUNCTION("""COMPUTED_VALUE"""),"50000275")</f>
        <v>50000275</v>
      </c>
      <c r="D2679" s="380" t="s">
        <v>767</v>
      </c>
      <c r="E2679" s="380" t="s">
        <v>781</v>
      </c>
      <c r="F2679" s="380" t="s">
        <v>830</v>
      </c>
      <c r="G2679" s="380" t="s">
        <v>1267</v>
      </c>
      <c r="H2679" s="380" t="s">
        <v>771</v>
      </c>
      <c r="I2679" s="380" t="s">
        <v>817</v>
      </c>
      <c r="J2679" s="380" t="s">
        <v>773</v>
      </c>
      <c r="K2679" s="381">
        <v>0.0</v>
      </c>
      <c r="L2679" s="382">
        <v>1.0</v>
      </c>
    </row>
    <row r="2680">
      <c r="A2680" s="380" t="s">
        <v>3543</v>
      </c>
      <c r="B2680" s="380" t="str">
        <f>IFERROR(__xludf.DUMMYFUNCTION("""COMPUTED_VALUE"""),"Malla De Carga 120x180cm")</f>
        <v>Malla De Carga 120x180cm</v>
      </c>
      <c r="C2680" s="380" t="str">
        <f>IFERROR(__xludf.DUMMYFUNCTION("""COMPUTED_VALUE"""),"50000276")</f>
        <v>50000276</v>
      </c>
      <c r="D2680" s="380" t="s">
        <v>767</v>
      </c>
      <c r="E2680" s="380" t="s">
        <v>781</v>
      </c>
      <c r="F2680" s="380" t="s">
        <v>830</v>
      </c>
      <c r="G2680" s="380" t="s">
        <v>1267</v>
      </c>
      <c r="H2680" s="380" t="s">
        <v>771</v>
      </c>
      <c r="I2680" s="380" t="s">
        <v>817</v>
      </c>
      <c r="J2680" s="380" t="s">
        <v>773</v>
      </c>
      <c r="K2680" s="381">
        <v>0.0</v>
      </c>
      <c r="L2680" s="382">
        <v>1.0</v>
      </c>
    </row>
    <row r="2681">
      <c r="A2681" s="380" t="s">
        <v>3544</v>
      </c>
      <c r="B2681" s="380" t="str">
        <f>IFERROR(__xludf.DUMMYFUNCTION("""COMPUTED_VALUE"""),"Lamina Super T Formaleta 18 Mm 1.22x2.44")</f>
        <v>Lamina Super T Formaleta 18 Mm 1.22x2.44</v>
      </c>
      <c r="C2681" s="380" t="str">
        <f>IFERROR(__xludf.DUMMYFUNCTION("""COMPUTED_VALUE"""),"50000277")</f>
        <v>50000277</v>
      </c>
      <c r="D2681" s="380" t="s">
        <v>767</v>
      </c>
      <c r="E2681" s="380" t="s">
        <v>781</v>
      </c>
      <c r="F2681" s="380" t="s">
        <v>830</v>
      </c>
      <c r="G2681" s="380" t="s">
        <v>1267</v>
      </c>
      <c r="H2681" s="380" t="s">
        <v>771</v>
      </c>
      <c r="I2681" s="380" t="s">
        <v>817</v>
      </c>
      <c r="J2681" s="380" t="s">
        <v>773</v>
      </c>
      <c r="K2681" s="381">
        <v>0.0</v>
      </c>
      <c r="L2681" s="382">
        <v>1.0</v>
      </c>
    </row>
    <row r="2682">
      <c r="A2682" s="380" t="s">
        <v>3545</v>
      </c>
      <c r="B2682" s="380" t="str">
        <f>IFERROR(__xludf.DUMMYFUNCTION("""COMPUTED_VALUE"""),"Tornillo G8 12 Mm X 40 Mmm Con Tuerca Y")</f>
        <v>Tornillo G8 12 Mm X 40 Mmm Con Tuerca Y</v>
      </c>
      <c r="C2682" s="380" t="str">
        <f>IFERROR(__xludf.DUMMYFUNCTION("""COMPUTED_VALUE"""),"50000278")</f>
        <v>50000278</v>
      </c>
      <c r="D2682" s="380" t="s">
        <v>767</v>
      </c>
      <c r="E2682" s="380" t="s">
        <v>781</v>
      </c>
      <c r="F2682" s="380" t="s">
        <v>830</v>
      </c>
      <c r="G2682" s="380" t="s">
        <v>1267</v>
      </c>
      <c r="H2682" s="380" t="s">
        <v>771</v>
      </c>
      <c r="I2682" s="380" t="s">
        <v>817</v>
      </c>
      <c r="J2682" s="380" t="s">
        <v>773</v>
      </c>
      <c r="K2682" s="381">
        <v>0.0</v>
      </c>
      <c r="L2682" s="382">
        <v>1.0</v>
      </c>
    </row>
    <row r="2683">
      <c r="A2683" s="380" t="s">
        <v>3546</v>
      </c>
      <c r="B2683" s="380" t="str">
        <f>IFERROR(__xludf.DUMMYFUNCTION("""COMPUTED_VALUE"""),"Limpiador De Conductos Aire Acondicionad")</f>
        <v>Limpiador De Conductos Aire Acondicionad</v>
      </c>
      <c r="C2683" s="380" t="str">
        <f>IFERROR(__xludf.DUMMYFUNCTION("""COMPUTED_VALUE"""),"50000279")</f>
        <v>50000279</v>
      </c>
      <c r="D2683" s="380" t="s">
        <v>767</v>
      </c>
      <c r="E2683" s="380" t="s">
        <v>781</v>
      </c>
      <c r="F2683" s="380" t="s">
        <v>830</v>
      </c>
      <c r="G2683" s="380" t="s">
        <v>1267</v>
      </c>
      <c r="H2683" s="380" t="s">
        <v>771</v>
      </c>
      <c r="I2683" s="380" t="s">
        <v>817</v>
      </c>
      <c r="J2683" s="380" t="s">
        <v>773</v>
      </c>
      <c r="K2683" s="381">
        <v>39400.0</v>
      </c>
      <c r="L2683" s="382">
        <v>1.0</v>
      </c>
    </row>
    <row r="2684">
      <c r="A2684" s="380" t="s">
        <v>3547</v>
      </c>
      <c r="B2684" s="380" t="str">
        <f>IFERROR(__xludf.DUMMYFUNCTION("""COMPUTED_VALUE"""),"Conector Plastico Varios")</f>
        <v>Conector Plastico Varios</v>
      </c>
      <c r="C2684" s="380" t="str">
        <f>IFERROR(__xludf.DUMMYFUNCTION("""COMPUTED_VALUE"""),"50000280")</f>
        <v>50000280</v>
      </c>
      <c r="D2684" s="380" t="s">
        <v>767</v>
      </c>
      <c r="E2684" s="380" t="s">
        <v>781</v>
      </c>
      <c r="F2684" s="380" t="s">
        <v>830</v>
      </c>
      <c r="G2684" s="380" t="s">
        <v>1267</v>
      </c>
      <c r="H2684" s="380" t="s">
        <v>771</v>
      </c>
      <c r="I2684" s="380" t="s">
        <v>817</v>
      </c>
      <c r="J2684" s="380" t="s">
        <v>773</v>
      </c>
      <c r="K2684" s="381">
        <v>0.0</v>
      </c>
      <c r="L2684" s="382">
        <v>1.0</v>
      </c>
    </row>
    <row r="2685">
      <c r="A2685" s="380" t="s">
        <v>3548</v>
      </c>
      <c r="B2685" s="380" t="str">
        <f>IFERROR(__xludf.DUMMYFUNCTION("""COMPUTED_VALUE"""),"Tornillo Cat 1/2 X 2 Tuerca Se")</f>
        <v>Tornillo Cat 1/2 X 2 Tuerca Se</v>
      </c>
      <c r="C2685" s="380" t="str">
        <f>IFERROR(__xludf.DUMMYFUNCTION("""COMPUTED_VALUE"""),"50000281")</f>
        <v>50000281</v>
      </c>
      <c r="D2685" s="380" t="s">
        <v>767</v>
      </c>
      <c r="E2685" s="380" t="s">
        <v>781</v>
      </c>
      <c r="F2685" s="380" t="s">
        <v>830</v>
      </c>
      <c r="G2685" s="380" t="s">
        <v>1267</v>
      </c>
      <c r="H2685" s="380" t="s">
        <v>771</v>
      </c>
      <c r="I2685" s="380" t="s">
        <v>817</v>
      </c>
      <c r="J2685" s="380" t="s">
        <v>773</v>
      </c>
      <c r="K2685" s="381">
        <v>0.0</v>
      </c>
      <c r="L2685" s="382">
        <v>1.0</v>
      </c>
    </row>
    <row r="2686">
      <c r="A2686" s="380" t="s">
        <v>3549</v>
      </c>
      <c r="B2686" s="380" t="str">
        <f>IFERROR(__xludf.DUMMYFUNCTION("""COMPUTED_VALUE"""),"Tornillo G8 Rf 3/4 X 2""")</f>
        <v>Tornillo G8 Rf 3/4 X 2"</v>
      </c>
      <c r="C2686" s="380" t="str">
        <f>IFERROR(__xludf.DUMMYFUNCTION("""COMPUTED_VALUE"""),"50000282")</f>
        <v>50000282</v>
      </c>
      <c r="D2686" s="380" t="s">
        <v>767</v>
      </c>
      <c r="E2686" s="380" t="s">
        <v>781</v>
      </c>
      <c r="F2686" s="380" t="s">
        <v>830</v>
      </c>
      <c r="G2686" s="380" t="s">
        <v>1267</v>
      </c>
      <c r="H2686" s="380" t="s">
        <v>771</v>
      </c>
      <c r="I2686" s="380" t="s">
        <v>817</v>
      </c>
      <c r="J2686" s="380" t="s">
        <v>773</v>
      </c>
      <c r="K2686" s="381">
        <v>0.0</v>
      </c>
      <c r="L2686" s="382">
        <v>1.0</v>
      </c>
    </row>
    <row r="2687">
      <c r="A2687" s="380" t="s">
        <v>3550</v>
      </c>
      <c r="B2687" s="380" t="str">
        <f>IFERROR(__xludf.DUMMYFUNCTION("""COMPUTED_VALUE"""),"Tornillo G8 Ro 5/8X 3"" Tuerca Y Arandela")</f>
        <v>Tornillo G8 Ro 5/8X 3" Tuerca Y Arandela</v>
      </c>
      <c r="C2687" s="380" t="str">
        <f>IFERROR(__xludf.DUMMYFUNCTION("""COMPUTED_VALUE"""),"50000283")</f>
        <v>50000283</v>
      </c>
      <c r="D2687" s="380" t="s">
        <v>767</v>
      </c>
      <c r="E2687" s="380" t="s">
        <v>781</v>
      </c>
      <c r="F2687" s="380" t="s">
        <v>830</v>
      </c>
      <c r="G2687" s="380" t="s">
        <v>1267</v>
      </c>
      <c r="H2687" s="380" t="s">
        <v>771</v>
      </c>
      <c r="I2687" s="380" t="s">
        <v>817</v>
      </c>
      <c r="J2687" s="380" t="s">
        <v>773</v>
      </c>
      <c r="K2687" s="381">
        <v>0.0</v>
      </c>
      <c r="L2687" s="382">
        <v>1.0</v>
      </c>
    </row>
    <row r="2688">
      <c r="A2688" s="380" t="s">
        <v>3551</v>
      </c>
      <c r="B2688" s="380" t="str">
        <f>IFERROR(__xludf.DUMMYFUNCTION("""COMPUTED_VALUE"""),"Tornillo G8 Rf 5/8 X 3 1/2")</f>
        <v>Tornillo G8 Rf 5/8 X 3 1/2</v>
      </c>
      <c r="C2688" s="380" t="str">
        <f>IFERROR(__xludf.DUMMYFUNCTION("""COMPUTED_VALUE"""),"50000284")</f>
        <v>50000284</v>
      </c>
      <c r="D2688" s="380" t="s">
        <v>767</v>
      </c>
      <c r="E2688" s="380" t="s">
        <v>781</v>
      </c>
      <c r="F2688" s="380" t="s">
        <v>830</v>
      </c>
      <c r="G2688" s="380" t="s">
        <v>1267</v>
      </c>
      <c r="H2688" s="380" t="s">
        <v>771</v>
      </c>
      <c r="I2688" s="380" t="s">
        <v>817</v>
      </c>
      <c r="J2688" s="380" t="s">
        <v>773</v>
      </c>
      <c r="K2688" s="381">
        <v>0.0</v>
      </c>
      <c r="L2688" s="382">
        <v>1.0</v>
      </c>
    </row>
    <row r="2689">
      <c r="A2689" s="380" t="s">
        <v>3552</v>
      </c>
      <c r="B2689" s="380" t="str">
        <f>IFERROR(__xludf.DUMMYFUNCTION("""COMPUTED_VALUE"""),"Tornillo G8 Rf 5/8 X 4""")</f>
        <v>Tornillo G8 Rf 5/8 X 4"</v>
      </c>
      <c r="C2689" s="380" t="str">
        <f>IFERROR(__xludf.DUMMYFUNCTION("""COMPUTED_VALUE"""),"50000285")</f>
        <v>50000285</v>
      </c>
      <c r="D2689" s="380" t="s">
        <v>767</v>
      </c>
      <c r="E2689" s="380" t="s">
        <v>781</v>
      </c>
      <c r="F2689" s="380" t="s">
        <v>830</v>
      </c>
      <c r="G2689" s="380" t="s">
        <v>1267</v>
      </c>
      <c r="H2689" s="380" t="s">
        <v>771</v>
      </c>
      <c r="I2689" s="380" t="s">
        <v>817</v>
      </c>
      <c r="J2689" s="380" t="s">
        <v>773</v>
      </c>
      <c r="K2689" s="381">
        <v>0.0</v>
      </c>
      <c r="L2689" s="382">
        <v>1.0</v>
      </c>
    </row>
    <row r="2690">
      <c r="A2690" s="380" t="s">
        <v>3553</v>
      </c>
      <c r="B2690" s="380" t="str">
        <f>IFERROR(__xludf.DUMMYFUNCTION("""COMPUTED_VALUE"""),"Tornillo G8 Rf 5/8 X 4 1/2")</f>
        <v>Tornillo G8 Rf 5/8 X 4 1/2</v>
      </c>
      <c r="C2690" s="380" t="str">
        <f>IFERROR(__xludf.DUMMYFUNCTION("""COMPUTED_VALUE"""),"50000286")</f>
        <v>50000286</v>
      </c>
      <c r="D2690" s="380" t="s">
        <v>767</v>
      </c>
      <c r="E2690" s="380" t="s">
        <v>781</v>
      </c>
      <c r="F2690" s="380" t="s">
        <v>830</v>
      </c>
      <c r="G2690" s="380" t="s">
        <v>1267</v>
      </c>
      <c r="H2690" s="380" t="s">
        <v>771</v>
      </c>
      <c r="I2690" s="380" t="s">
        <v>817</v>
      </c>
      <c r="J2690" s="380" t="s">
        <v>773</v>
      </c>
      <c r="K2690" s="381">
        <v>0.0</v>
      </c>
      <c r="L2690" s="382">
        <v>1.0</v>
      </c>
    </row>
    <row r="2691">
      <c r="A2691" s="380" t="s">
        <v>3554</v>
      </c>
      <c r="B2691" s="380" t="str">
        <f>IFERROR(__xludf.DUMMYFUNCTION("""COMPUTED_VALUE"""),"Tornillo G8 Ro 1/2 X6"" Tuerca Y Arandela")</f>
        <v>Tornillo G8 Ro 1/2 X6" Tuerca Y Arandela</v>
      </c>
      <c r="C2691" s="380" t="str">
        <f>IFERROR(__xludf.DUMMYFUNCTION("""COMPUTED_VALUE"""),"50000287")</f>
        <v>50000287</v>
      </c>
      <c r="D2691" s="380" t="s">
        <v>767</v>
      </c>
      <c r="E2691" s="380" t="s">
        <v>781</v>
      </c>
      <c r="F2691" s="380" t="s">
        <v>830</v>
      </c>
      <c r="G2691" s="380" t="s">
        <v>1267</v>
      </c>
      <c r="H2691" s="380" t="s">
        <v>771</v>
      </c>
      <c r="I2691" s="380" t="s">
        <v>817</v>
      </c>
      <c r="J2691" s="380" t="s">
        <v>773</v>
      </c>
      <c r="K2691" s="381">
        <v>0.0</v>
      </c>
      <c r="L2691" s="382">
        <v>1.0</v>
      </c>
    </row>
    <row r="2692">
      <c r="A2692" s="380" t="s">
        <v>3555</v>
      </c>
      <c r="B2692" s="380" t="str">
        <f>IFERROR(__xludf.DUMMYFUNCTION("""COMPUTED_VALUE"""),"Tornillo G8 Ro 3/4 X2"" Tuerca Y Arandela")</f>
        <v>Tornillo G8 Ro 3/4 X2" Tuerca Y Arandela</v>
      </c>
      <c r="C2692" s="380" t="str">
        <f>IFERROR(__xludf.DUMMYFUNCTION("""COMPUTED_VALUE"""),"50000288")</f>
        <v>50000288</v>
      </c>
      <c r="D2692" s="380" t="s">
        <v>767</v>
      </c>
      <c r="E2692" s="380" t="s">
        <v>781</v>
      </c>
      <c r="F2692" s="380" t="s">
        <v>830</v>
      </c>
      <c r="G2692" s="380" t="s">
        <v>1267</v>
      </c>
      <c r="H2692" s="380" t="s">
        <v>771</v>
      </c>
      <c r="I2692" s="380" t="s">
        <v>817</v>
      </c>
      <c r="J2692" s="380" t="s">
        <v>773</v>
      </c>
      <c r="K2692" s="381">
        <v>0.0</v>
      </c>
      <c r="L2692" s="382">
        <v>1.0</v>
      </c>
    </row>
    <row r="2693">
      <c r="A2693" s="380" t="s">
        <v>3556</v>
      </c>
      <c r="B2693" s="380" t="str">
        <f>IFERROR(__xludf.DUMMYFUNCTION("""COMPUTED_VALUE"""),"Tornillo G8 Ro 3/4 X 2 1/2 Tca Y Arandel")</f>
        <v>Tornillo G8 Ro 3/4 X 2 1/2 Tca Y Arandel</v>
      </c>
      <c r="C2693" s="380" t="str">
        <f>IFERROR(__xludf.DUMMYFUNCTION("""COMPUTED_VALUE"""),"50000289")</f>
        <v>50000289</v>
      </c>
      <c r="D2693" s="380" t="s">
        <v>767</v>
      </c>
      <c r="E2693" s="380" t="s">
        <v>781</v>
      </c>
      <c r="F2693" s="380" t="s">
        <v>830</v>
      </c>
      <c r="G2693" s="380" t="s">
        <v>1267</v>
      </c>
      <c r="H2693" s="380" t="s">
        <v>771</v>
      </c>
      <c r="I2693" s="380" t="s">
        <v>817</v>
      </c>
      <c r="J2693" s="380" t="s">
        <v>773</v>
      </c>
      <c r="K2693" s="381">
        <v>0.0</v>
      </c>
      <c r="L2693" s="382">
        <v>1.0</v>
      </c>
    </row>
    <row r="2694">
      <c r="A2694" s="380" t="s">
        <v>3557</v>
      </c>
      <c r="B2694" s="380" t="str">
        <f>IFERROR(__xludf.DUMMYFUNCTION("""COMPUTED_VALUE"""),"Tornillo G8 Ro 5/8 X4"" Tuerca Y Arandela")</f>
        <v>Tornillo G8 Ro 5/8 X4" Tuerca Y Arandela</v>
      </c>
      <c r="C2694" s="380" t="str">
        <f>IFERROR(__xludf.DUMMYFUNCTION("""COMPUTED_VALUE"""),"50000290")</f>
        <v>50000290</v>
      </c>
      <c r="D2694" s="380" t="s">
        <v>767</v>
      </c>
      <c r="E2694" s="380" t="s">
        <v>781</v>
      </c>
      <c r="F2694" s="380" t="s">
        <v>830</v>
      </c>
      <c r="G2694" s="380" t="s">
        <v>1267</v>
      </c>
      <c r="H2694" s="380" t="s">
        <v>771</v>
      </c>
      <c r="I2694" s="380" t="s">
        <v>817</v>
      </c>
      <c r="J2694" s="380" t="s">
        <v>773</v>
      </c>
      <c r="K2694" s="381">
        <v>0.0</v>
      </c>
      <c r="L2694" s="382">
        <v>1.0</v>
      </c>
    </row>
    <row r="2695">
      <c r="A2695" s="380" t="s">
        <v>3558</v>
      </c>
      <c r="B2695" s="380" t="str">
        <f>IFERROR(__xludf.DUMMYFUNCTION("""COMPUTED_VALUE"""),"Tornillo G8 Ro 5/8 X 1 1/2")</f>
        <v>Tornillo G8 Ro 5/8 X 1 1/2</v>
      </c>
      <c r="C2695" s="380" t="str">
        <f>IFERROR(__xludf.DUMMYFUNCTION("""COMPUTED_VALUE"""),"50000291")</f>
        <v>50000291</v>
      </c>
      <c r="D2695" s="380" t="s">
        <v>767</v>
      </c>
      <c r="E2695" s="380" t="s">
        <v>781</v>
      </c>
      <c r="F2695" s="380" t="s">
        <v>830</v>
      </c>
      <c r="G2695" s="380" t="s">
        <v>1267</v>
      </c>
      <c r="H2695" s="380" t="s">
        <v>771</v>
      </c>
      <c r="I2695" s="380" t="s">
        <v>817</v>
      </c>
      <c r="J2695" s="380" t="s">
        <v>773</v>
      </c>
      <c r="K2695" s="381">
        <v>0.0</v>
      </c>
      <c r="L2695" s="382">
        <v>1.0</v>
      </c>
    </row>
    <row r="2696">
      <c r="A2696" s="380" t="s">
        <v>3559</v>
      </c>
      <c r="B2696" s="380" t="str">
        <f>IFERROR(__xludf.DUMMYFUNCTION("""COMPUTED_VALUE"""),"Tornillo G8 Ro 5/8 X 2 1/2 Tca Y Arandel")</f>
        <v>Tornillo G8 Ro 5/8 X 2 1/2 Tca Y Arandel</v>
      </c>
      <c r="C2696" s="380" t="str">
        <f>IFERROR(__xludf.DUMMYFUNCTION("""COMPUTED_VALUE"""),"50000292")</f>
        <v>50000292</v>
      </c>
      <c r="D2696" s="380" t="s">
        <v>767</v>
      </c>
      <c r="E2696" s="380" t="s">
        <v>781</v>
      </c>
      <c r="F2696" s="380" t="s">
        <v>830</v>
      </c>
      <c r="G2696" s="380" t="s">
        <v>1267</v>
      </c>
      <c r="H2696" s="380" t="s">
        <v>771</v>
      </c>
      <c r="I2696" s="380" t="s">
        <v>817</v>
      </c>
      <c r="J2696" s="380" t="s">
        <v>773</v>
      </c>
      <c r="K2696" s="381">
        <v>0.0</v>
      </c>
      <c r="L2696" s="382">
        <v>1.0</v>
      </c>
    </row>
    <row r="2697">
      <c r="A2697" s="380" t="s">
        <v>3560</v>
      </c>
      <c r="B2697" s="380" t="str">
        <f>IFERROR(__xludf.DUMMYFUNCTION("""COMPUTED_VALUE"""),"Tornillo G8 Ro 5/8 X 3 1/2 Tca Y Arandel")</f>
        <v>Tornillo G8 Ro 5/8 X 3 1/2 Tca Y Arandel</v>
      </c>
      <c r="C2697" s="380" t="str">
        <f>IFERROR(__xludf.DUMMYFUNCTION("""COMPUTED_VALUE"""),"50000293")</f>
        <v>50000293</v>
      </c>
      <c r="D2697" s="380" t="s">
        <v>767</v>
      </c>
      <c r="E2697" s="380" t="s">
        <v>781</v>
      </c>
      <c r="F2697" s="380" t="s">
        <v>830</v>
      </c>
      <c r="G2697" s="380" t="s">
        <v>1267</v>
      </c>
      <c r="H2697" s="380" t="s">
        <v>771</v>
      </c>
      <c r="I2697" s="380" t="s">
        <v>817</v>
      </c>
      <c r="J2697" s="380" t="s">
        <v>773</v>
      </c>
      <c r="K2697" s="381">
        <v>0.0</v>
      </c>
      <c r="L2697" s="382">
        <v>1.0</v>
      </c>
    </row>
    <row r="2698">
      <c r="A2698" s="380" t="s">
        <v>3561</v>
      </c>
      <c r="B2698" s="380" t="str">
        <f>IFERROR(__xludf.DUMMYFUNCTION("""COMPUTED_VALUE"""),"Tornillo G8 Ro 5/8 X6"" Tuerca Y Arandela")</f>
        <v>Tornillo G8 Ro 5/8 X6" Tuerca Y Arandela</v>
      </c>
      <c r="C2698" s="380" t="str">
        <f>IFERROR(__xludf.DUMMYFUNCTION("""COMPUTED_VALUE"""),"50000294")</f>
        <v>50000294</v>
      </c>
      <c r="D2698" s="380" t="s">
        <v>767</v>
      </c>
      <c r="E2698" s="380" t="s">
        <v>781</v>
      </c>
      <c r="F2698" s="380" t="s">
        <v>830</v>
      </c>
      <c r="G2698" s="380" t="s">
        <v>1267</v>
      </c>
      <c r="H2698" s="380" t="s">
        <v>771</v>
      </c>
      <c r="I2698" s="380" t="s">
        <v>817</v>
      </c>
      <c r="J2698" s="380" t="s">
        <v>773</v>
      </c>
      <c r="K2698" s="381">
        <v>0.0</v>
      </c>
      <c r="L2698" s="382">
        <v>1.0</v>
      </c>
    </row>
    <row r="2699">
      <c r="A2699" s="380" t="s">
        <v>3562</v>
      </c>
      <c r="B2699" s="380" t="str">
        <f>IFERROR(__xludf.DUMMYFUNCTION("""COMPUTED_VALUE"""),"Tornillo G8 Ro 1/2 X7"" Tuerca Y Arandela")</f>
        <v>Tornillo G8 Ro 1/2 X7" Tuerca Y Arandela</v>
      </c>
      <c r="C2699" s="380" t="str">
        <f>IFERROR(__xludf.DUMMYFUNCTION("""COMPUTED_VALUE"""),"50000295")</f>
        <v>50000295</v>
      </c>
      <c r="D2699" s="380" t="s">
        <v>767</v>
      </c>
      <c r="E2699" s="380" t="s">
        <v>781</v>
      </c>
      <c r="F2699" s="380" t="s">
        <v>830</v>
      </c>
      <c r="G2699" s="380" t="s">
        <v>1267</v>
      </c>
      <c r="H2699" s="380" t="s">
        <v>771</v>
      </c>
      <c r="I2699" s="380" t="s">
        <v>817</v>
      </c>
      <c r="J2699" s="380" t="s">
        <v>773</v>
      </c>
      <c r="K2699" s="381">
        <v>0.0</v>
      </c>
      <c r="L2699" s="382">
        <v>1.0</v>
      </c>
    </row>
    <row r="2700">
      <c r="A2700" s="380" t="s">
        <v>3563</v>
      </c>
      <c r="B2700" s="380" t="str">
        <f>IFERROR(__xludf.DUMMYFUNCTION("""COMPUTED_VALUE"""),"Wasa De 5/16")</f>
        <v>Wasa De 5/16</v>
      </c>
      <c r="C2700" s="380" t="str">
        <f>IFERROR(__xludf.DUMMYFUNCTION("""COMPUTED_VALUE"""),"50000296")</f>
        <v>50000296</v>
      </c>
      <c r="D2700" s="380" t="s">
        <v>767</v>
      </c>
      <c r="E2700" s="380" t="s">
        <v>781</v>
      </c>
      <c r="F2700" s="380" t="s">
        <v>830</v>
      </c>
      <c r="G2700" s="380" t="s">
        <v>1267</v>
      </c>
      <c r="H2700" s="380" t="s">
        <v>771</v>
      </c>
      <c r="I2700" s="380" t="s">
        <v>817</v>
      </c>
      <c r="J2700" s="380" t="s">
        <v>773</v>
      </c>
      <c r="K2700" s="381">
        <v>0.0</v>
      </c>
      <c r="L2700" s="382">
        <v>1.0</v>
      </c>
    </row>
    <row r="2701">
      <c r="A2701" s="380" t="s">
        <v>3564</v>
      </c>
      <c r="B2701" s="380" t="str">
        <f>IFERROR(__xludf.DUMMYFUNCTION("""COMPUTED_VALUE"""),"Tuerca Rf De 5/8")</f>
        <v>Tuerca Rf De 5/8</v>
      </c>
      <c r="C2701" s="380" t="str">
        <f>IFERROR(__xludf.DUMMYFUNCTION("""COMPUTED_VALUE"""),"50000297")</f>
        <v>50000297</v>
      </c>
      <c r="D2701" s="380" t="s">
        <v>767</v>
      </c>
      <c r="E2701" s="380" t="s">
        <v>781</v>
      </c>
      <c r="F2701" s="380" t="s">
        <v>830</v>
      </c>
      <c r="G2701" s="380" t="s">
        <v>1267</v>
      </c>
      <c r="H2701" s="380" t="s">
        <v>771</v>
      </c>
      <c r="I2701" s="380" t="s">
        <v>817</v>
      </c>
      <c r="J2701" s="380" t="s">
        <v>773</v>
      </c>
      <c r="K2701" s="381">
        <v>0.0</v>
      </c>
      <c r="L2701" s="382">
        <v>1.0</v>
      </c>
    </row>
    <row r="2702">
      <c r="A2702" s="380" t="s">
        <v>3565</v>
      </c>
      <c r="B2702" s="380" t="str">
        <f>IFERROR(__xludf.DUMMYFUNCTION("""COMPUTED_VALUE"""),"Tornillo G8 Rf De 5/8 X 3")</f>
        <v>Tornillo G8 Rf De 5/8 X 3</v>
      </c>
      <c r="C2702" s="380" t="str">
        <f>IFERROR(__xludf.DUMMYFUNCTION("""COMPUTED_VALUE"""),"50000298")</f>
        <v>50000298</v>
      </c>
      <c r="D2702" s="380" t="s">
        <v>767</v>
      </c>
      <c r="E2702" s="380" t="s">
        <v>781</v>
      </c>
      <c r="F2702" s="380" t="s">
        <v>830</v>
      </c>
      <c r="G2702" s="380" t="s">
        <v>1267</v>
      </c>
      <c r="H2702" s="380" t="s">
        <v>771</v>
      </c>
      <c r="I2702" s="380" t="s">
        <v>817</v>
      </c>
      <c r="J2702" s="380" t="s">
        <v>773</v>
      </c>
      <c r="K2702" s="381">
        <v>0.0</v>
      </c>
      <c r="L2702" s="382">
        <v>1.0</v>
      </c>
    </row>
    <row r="2703">
      <c r="A2703" s="380" t="s">
        <v>3566</v>
      </c>
      <c r="B2703" s="380" t="str">
        <f>IFERROR(__xludf.DUMMYFUNCTION("""COMPUTED_VALUE"""),"Tuerca Rf De 1/2")</f>
        <v>Tuerca Rf De 1/2</v>
      </c>
      <c r="C2703" s="380" t="str">
        <f>IFERROR(__xludf.DUMMYFUNCTION("""COMPUTED_VALUE"""),"50000299")</f>
        <v>50000299</v>
      </c>
      <c r="D2703" s="380" t="s">
        <v>767</v>
      </c>
      <c r="E2703" s="380" t="s">
        <v>781</v>
      </c>
      <c r="F2703" s="380" t="s">
        <v>830</v>
      </c>
      <c r="G2703" s="380" t="s">
        <v>1267</v>
      </c>
      <c r="H2703" s="380" t="s">
        <v>771</v>
      </c>
      <c r="I2703" s="380" t="s">
        <v>817</v>
      </c>
      <c r="J2703" s="380" t="s">
        <v>773</v>
      </c>
      <c r="K2703" s="381">
        <v>0.0</v>
      </c>
      <c r="L2703" s="382">
        <v>1.0</v>
      </c>
    </row>
    <row r="2704">
      <c r="A2704" s="380" t="s">
        <v>3567</v>
      </c>
      <c r="B2704" s="380" t="str">
        <f>IFERROR(__xludf.DUMMYFUNCTION("""COMPUTED_VALUE"""),"Tornillo G8 Rf De 1/2 X 3")</f>
        <v>Tornillo G8 Rf De 1/2 X 3</v>
      </c>
      <c r="C2704" s="380" t="str">
        <f>IFERROR(__xludf.DUMMYFUNCTION("""COMPUTED_VALUE"""),"50000300")</f>
        <v>50000300</v>
      </c>
      <c r="D2704" s="380" t="s">
        <v>767</v>
      </c>
      <c r="E2704" s="380" t="s">
        <v>781</v>
      </c>
      <c r="F2704" s="380" t="s">
        <v>830</v>
      </c>
      <c r="G2704" s="380" t="s">
        <v>1267</v>
      </c>
      <c r="H2704" s="380" t="s">
        <v>771</v>
      </c>
      <c r="I2704" s="380" t="s">
        <v>817</v>
      </c>
      <c r="J2704" s="380" t="s">
        <v>773</v>
      </c>
      <c r="K2704" s="381">
        <v>0.0</v>
      </c>
      <c r="L2704" s="382">
        <v>1.0</v>
      </c>
    </row>
    <row r="2705">
      <c r="A2705" s="380" t="s">
        <v>3568</v>
      </c>
      <c r="B2705" s="380" t="str">
        <f>IFERROR(__xludf.DUMMYFUNCTION("""COMPUTED_VALUE"""),"Tuerca Rf De 7/16")</f>
        <v>Tuerca Rf De 7/16</v>
      </c>
      <c r="C2705" s="380" t="str">
        <f>IFERROR(__xludf.DUMMYFUNCTION("""COMPUTED_VALUE"""),"50000301")</f>
        <v>50000301</v>
      </c>
      <c r="D2705" s="380" t="s">
        <v>767</v>
      </c>
      <c r="E2705" s="380" t="s">
        <v>781</v>
      </c>
      <c r="F2705" s="380" t="s">
        <v>830</v>
      </c>
      <c r="G2705" s="380" t="s">
        <v>1267</v>
      </c>
      <c r="H2705" s="380" t="s">
        <v>771</v>
      </c>
      <c r="I2705" s="380" t="s">
        <v>817</v>
      </c>
      <c r="J2705" s="380" t="s">
        <v>773</v>
      </c>
      <c r="K2705" s="381">
        <v>0.0</v>
      </c>
      <c r="L2705" s="382">
        <v>1.0</v>
      </c>
    </row>
    <row r="2706">
      <c r="A2706" s="380" t="s">
        <v>3569</v>
      </c>
      <c r="B2706" s="380" t="str">
        <f>IFERROR(__xludf.DUMMYFUNCTION("""COMPUTED_VALUE"""),"Tornillo G8 Rf De 7/16 X 3")</f>
        <v>Tornillo G8 Rf De 7/16 X 3</v>
      </c>
      <c r="C2706" s="380" t="str">
        <f>IFERROR(__xludf.DUMMYFUNCTION("""COMPUTED_VALUE"""),"50000302")</f>
        <v>50000302</v>
      </c>
      <c r="D2706" s="380" t="s">
        <v>767</v>
      </c>
      <c r="E2706" s="380" t="s">
        <v>781</v>
      </c>
      <c r="F2706" s="380" t="s">
        <v>830</v>
      </c>
      <c r="G2706" s="380" t="s">
        <v>1267</v>
      </c>
      <c r="H2706" s="380" t="s">
        <v>771</v>
      </c>
      <c r="I2706" s="380" t="s">
        <v>817</v>
      </c>
      <c r="J2706" s="380" t="s">
        <v>773</v>
      </c>
      <c r="K2706" s="381">
        <v>0.0</v>
      </c>
      <c r="L2706" s="382">
        <v>1.0</v>
      </c>
    </row>
    <row r="2707">
      <c r="A2707" s="380" t="s">
        <v>3570</v>
      </c>
      <c r="B2707" s="380" t="str">
        <f>IFERROR(__xludf.DUMMYFUNCTION("""COMPUTED_VALUE"""),"Arandela 5/8 Industrial")</f>
        <v>Arandela 5/8 Industrial</v>
      </c>
      <c r="C2707" s="380" t="str">
        <f>IFERROR(__xludf.DUMMYFUNCTION("""COMPUTED_VALUE"""),"50000303")</f>
        <v>50000303</v>
      </c>
      <c r="D2707" s="380" t="s">
        <v>767</v>
      </c>
      <c r="E2707" s="380" t="s">
        <v>781</v>
      </c>
      <c r="F2707" s="380" t="s">
        <v>830</v>
      </c>
      <c r="G2707" s="380" t="s">
        <v>1267</v>
      </c>
      <c r="H2707" s="380" t="s">
        <v>771</v>
      </c>
      <c r="I2707" s="380" t="s">
        <v>817</v>
      </c>
      <c r="J2707" s="380" t="s">
        <v>773</v>
      </c>
      <c r="K2707" s="381">
        <v>0.0</v>
      </c>
      <c r="L2707" s="382">
        <v>1.0</v>
      </c>
    </row>
    <row r="2708">
      <c r="A2708" s="380" t="s">
        <v>3571</v>
      </c>
      <c r="B2708" s="380" t="str">
        <f>IFERROR(__xludf.DUMMYFUNCTION("""COMPUTED_VALUE"""),"Tornillo G8 Ro 5/8 X 9")</f>
        <v>Tornillo G8 Ro 5/8 X 9</v>
      </c>
      <c r="C2708" s="380" t="str">
        <f>IFERROR(__xludf.DUMMYFUNCTION("""COMPUTED_VALUE"""),"50000304")</f>
        <v>50000304</v>
      </c>
      <c r="D2708" s="380" t="s">
        <v>767</v>
      </c>
      <c r="E2708" s="380" t="s">
        <v>781</v>
      </c>
      <c r="F2708" s="380" t="s">
        <v>830</v>
      </c>
      <c r="G2708" s="380" t="s">
        <v>1267</v>
      </c>
      <c r="H2708" s="380" t="s">
        <v>771</v>
      </c>
      <c r="I2708" s="380" t="s">
        <v>817</v>
      </c>
      <c r="J2708" s="380" t="s">
        <v>773</v>
      </c>
      <c r="K2708" s="381">
        <v>0.0</v>
      </c>
      <c r="L2708" s="382">
        <v>1.0</v>
      </c>
    </row>
    <row r="2709">
      <c r="A2709" s="380" t="s">
        <v>3572</v>
      </c>
      <c r="B2709" s="380" t="str">
        <f>IFERROR(__xludf.DUMMYFUNCTION("""COMPUTED_VALUE"""),"Tornillo G8 Ro 7/16 X 1' T A")</f>
        <v>Tornillo G8 Ro 7/16 X 1' T A</v>
      </c>
      <c r="C2709" s="380" t="str">
        <f>IFERROR(__xludf.DUMMYFUNCTION("""COMPUTED_VALUE"""),"50000305")</f>
        <v>50000305</v>
      </c>
      <c r="D2709" s="380" t="s">
        <v>767</v>
      </c>
      <c r="E2709" s="380" t="s">
        <v>781</v>
      </c>
      <c r="F2709" s="380" t="s">
        <v>830</v>
      </c>
      <c r="G2709" s="380" t="s">
        <v>1267</v>
      </c>
      <c r="H2709" s="380" t="s">
        <v>771</v>
      </c>
      <c r="I2709" s="380" t="s">
        <v>817</v>
      </c>
      <c r="J2709" s="380" t="s">
        <v>773</v>
      </c>
      <c r="K2709" s="381">
        <v>0.0</v>
      </c>
      <c r="L2709" s="382">
        <v>1.0</v>
      </c>
    </row>
    <row r="2710">
      <c r="A2710" s="380" t="s">
        <v>3573</v>
      </c>
      <c r="B2710" s="380" t="str">
        <f>IFERROR(__xludf.DUMMYFUNCTION("""COMPUTED_VALUE"""),"Repuestos Varios")</f>
        <v>Repuestos Varios</v>
      </c>
      <c r="C2710" s="380" t="str">
        <f>IFERROR(__xludf.DUMMYFUNCTION("""COMPUTED_VALUE"""),"50000306")</f>
        <v>50000306</v>
      </c>
      <c r="D2710" s="380" t="s">
        <v>767</v>
      </c>
      <c r="E2710" s="380" t="s">
        <v>781</v>
      </c>
      <c r="F2710" s="380" t="s">
        <v>830</v>
      </c>
      <c r="G2710" s="380" t="s">
        <v>1267</v>
      </c>
      <c r="H2710" s="380" t="s">
        <v>771</v>
      </c>
      <c r="I2710" s="380" t="s">
        <v>817</v>
      </c>
      <c r="J2710" s="380" t="s">
        <v>773</v>
      </c>
      <c r="K2710" s="381">
        <v>0.0</v>
      </c>
      <c r="L2710" s="382">
        <v>1.0</v>
      </c>
    </row>
    <row r="2711">
      <c r="A2711" s="380" t="s">
        <v>3574</v>
      </c>
      <c r="B2711" s="380" t="str">
        <f>IFERROR(__xludf.DUMMYFUNCTION("""COMPUTED_VALUE"""),"Tornillo Hexag 8X30 Mm Galvan Completo")</f>
        <v>Tornillo Hexag 8X30 Mm Galvan Completo</v>
      </c>
      <c r="C2711" s="380" t="str">
        <f>IFERROR(__xludf.DUMMYFUNCTION("""COMPUTED_VALUE"""),"50000307")</f>
        <v>50000307</v>
      </c>
      <c r="D2711" s="380" t="s">
        <v>767</v>
      </c>
      <c r="E2711" s="380" t="s">
        <v>781</v>
      </c>
      <c r="F2711" s="380" t="s">
        <v>830</v>
      </c>
      <c r="G2711" s="380" t="s">
        <v>1267</v>
      </c>
      <c r="H2711" s="380" t="s">
        <v>771</v>
      </c>
      <c r="I2711" s="380" t="s">
        <v>817</v>
      </c>
      <c r="J2711" s="380" t="s">
        <v>773</v>
      </c>
      <c r="K2711" s="381">
        <v>0.0</v>
      </c>
      <c r="L2711" s="382">
        <v>1.0</v>
      </c>
    </row>
    <row r="2712">
      <c r="A2712" s="380" t="s">
        <v>3575</v>
      </c>
      <c r="B2712" s="380" t="str">
        <f>IFERROR(__xludf.DUMMYFUNCTION("""COMPUTED_VALUE"""),"Arandela 1"" Galvanizada")</f>
        <v>Arandela 1" Galvanizada</v>
      </c>
      <c r="C2712" s="380" t="str">
        <f>IFERROR(__xludf.DUMMYFUNCTION("""COMPUTED_VALUE"""),"50000308")</f>
        <v>50000308</v>
      </c>
      <c r="D2712" s="380" t="s">
        <v>767</v>
      </c>
      <c r="E2712" s="380" t="s">
        <v>781</v>
      </c>
      <c r="F2712" s="380" t="s">
        <v>830</v>
      </c>
      <c r="G2712" s="380" t="s">
        <v>1267</v>
      </c>
      <c r="H2712" s="380" t="s">
        <v>771</v>
      </c>
      <c r="I2712" s="380" t="s">
        <v>817</v>
      </c>
      <c r="J2712" s="380" t="s">
        <v>773</v>
      </c>
      <c r="K2712" s="381">
        <v>0.0</v>
      </c>
      <c r="L2712" s="382">
        <v>1.0</v>
      </c>
    </row>
    <row r="2713">
      <c r="A2713" s="380" t="s">
        <v>3576</v>
      </c>
      <c r="B2713" s="380" t="str">
        <f>IFERROR(__xludf.DUMMYFUNCTION("""COMPUTED_VALUE"""),"Tornillo G8 Ro 3/4 X 6 Tuerca Y Arandela")</f>
        <v>Tornillo G8 Ro 3/4 X 6 Tuerca Y Arandela</v>
      </c>
      <c r="C2713" s="380" t="str">
        <f>IFERROR(__xludf.DUMMYFUNCTION("""COMPUTED_VALUE"""),"50000309")</f>
        <v>50000309</v>
      </c>
      <c r="D2713" s="380" t="s">
        <v>767</v>
      </c>
      <c r="E2713" s="380" t="s">
        <v>781</v>
      </c>
      <c r="F2713" s="380" t="s">
        <v>830</v>
      </c>
      <c r="G2713" s="380" t="s">
        <v>1267</v>
      </c>
      <c r="H2713" s="380" t="s">
        <v>771</v>
      </c>
      <c r="I2713" s="380" t="s">
        <v>817</v>
      </c>
      <c r="J2713" s="380" t="s">
        <v>773</v>
      </c>
      <c r="K2713" s="381">
        <v>0.0</v>
      </c>
      <c r="L2713" s="382">
        <v>1.0</v>
      </c>
    </row>
    <row r="2714">
      <c r="A2714" s="380" t="s">
        <v>3577</v>
      </c>
      <c r="B2714" s="380" t="str">
        <f>IFERROR(__xludf.DUMMYFUNCTION("""COMPUTED_VALUE"""),"Tornillo G5 Ro De 1/4 X 1 1/2")</f>
        <v>Tornillo G5 Ro De 1/4 X 1 1/2</v>
      </c>
      <c r="C2714" s="380" t="str">
        <f>IFERROR(__xludf.DUMMYFUNCTION("""COMPUTED_VALUE"""),"50000312")</f>
        <v>50000312</v>
      </c>
      <c r="D2714" s="380" t="s">
        <v>767</v>
      </c>
      <c r="E2714" s="380" t="s">
        <v>781</v>
      </c>
      <c r="F2714" s="380" t="s">
        <v>830</v>
      </c>
      <c r="G2714" s="380" t="s">
        <v>1267</v>
      </c>
      <c r="H2714" s="380" t="s">
        <v>771</v>
      </c>
      <c r="I2714" s="380" t="s">
        <v>817</v>
      </c>
      <c r="J2714" s="380" t="s">
        <v>773</v>
      </c>
      <c r="K2714" s="381">
        <v>0.0</v>
      </c>
      <c r="L2714" s="382">
        <v>1.0</v>
      </c>
    </row>
    <row r="2715">
      <c r="A2715" s="380" t="s">
        <v>3578</v>
      </c>
      <c r="B2715" s="380" t="str">
        <f>IFERROR(__xludf.DUMMYFUNCTION("""COMPUTED_VALUE"""),"Tornillo G5 Ro De 1/4 X 2 1/2")</f>
        <v>Tornillo G5 Ro De 1/4 X 2 1/2</v>
      </c>
      <c r="C2715" s="380" t="str">
        <f>IFERROR(__xludf.DUMMYFUNCTION("""COMPUTED_VALUE"""),"50000313")</f>
        <v>50000313</v>
      </c>
      <c r="D2715" s="380" t="s">
        <v>767</v>
      </c>
      <c r="E2715" s="380" t="s">
        <v>781</v>
      </c>
      <c r="F2715" s="380" t="s">
        <v>830</v>
      </c>
      <c r="G2715" s="380" t="s">
        <v>1267</v>
      </c>
      <c r="H2715" s="380" t="s">
        <v>771</v>
      </c>
      <c r="I2715" s="380" t="s">
        <v>817</v>
      </c>
      <c r="J2715" s="380" t="s">
        <v>773</v>
      </c>
      <c r="K2715" s="381">
        <v>0.0</v>
      </c>
      <c r="L2715" s="382">
        <v>1.0</v>
      </c>
    </row>
    <row r="2716">
      <c r="A2716" s="380" t="s">
        <v>3579</v>
      </c>
      <c r="B2716" s="380" t="str">
        <f>IFERROR(__xludf.DUMMYFUNCTION("""COMPUTED_VALUE"""),"Tornillo G5 Ro De 1/4 X 2")</f>
        <v>Tornillo G5 Ro De 1/4 X 2</v>
      </c>
      <c r="C2716" s="380" t="str">
        <f>IFERROR(__xludf.DUMMYFUNCTION("""COMPUTED_VALUE"""),"50000314")</f>
        <v>50000314</v>
      </c>
      <c r="D2716" s="380" t="s">
        <v>767</v>
      </c>
      <c r="E2716" s="380" t="s">
        <v>781</v>
      </c>
      <c r="F2716" s="380" t="s">
        <v>830</v>
      </c>
      <c r="G2716" s="380" t="s">
        <v>1267</v>
      </c>
      <c r="H2716" s="380" t="s">
        <v>771</v>
      </c>
      <c r="I2716" s="380" t="s">
        <v>817</v>
      </c>
      <c r="J2716" s="380" t="s">
        <v>773</v>
      </c>
      <c r="K2716" s="381">
        <v>0.0</v>
      </c>
      <c r="L2716" s="382">
        <v>1.0</v>
      </c>
    </row>
    <row r="2717">
      <c r="A2717" s="380" t="s">
        <v>3580</v>
      </c>
      <c r="B2717" s="380" t="str">
        <f>IFERROR(__xludf.DUMMYFUNCTION("""COMPUTED_VALUE"""),"Tornillo G5 Ro De 1/4 X 3")</f>
        <v>Tornillo G5 Ro De 1/4 X 3</v>
      </c>
      <c r="C2717" s="380" t="str">
        <f>IFERROR(__xludf.DUMMYFUNCTION("""COMPUTED_VALUE"""),"50000315")</f>
        <v>50000315</v>
      </c>
      <c r="D2717" s="380" t="s">
        <v>767</v>
      </c>
      <c r="E2717" s="380" t="s">
        <v>781</v>
      </c>
      <c r="F2717" s="380" t="s">
        <v>830</v>
      </c>
      <c r="G2717" s="380" t="s">
        <v>1267</v>
      </c>
      <c r="H2717" s="380" t="s">
        <v>771</v>
      </c>
      <c r="I2717" s="380" t="s">
        <v>817</v>
      </c>
      <c r="J2717" s="380" t="s">
        <v>773</v>
      </c>
      <c r="K2717" s="381">
        <v>0.0</v>
      </c>
      <c r="L2717" s="382">
        <v>1.0</v>
      </c>
    </row>
    <row r="2718">
      <c r="A2718" s="380" t="s">
        <v>3581</v>
      </c>
      <c r="B2718" s="380" t="str">
        <f>IFERROR(__xludf.DUMMYFUNCTION("""COMPUTED_VALUE"""),"Tornillo G5 Ro De 3/8 X 1")</f>
        <v>Tornillo G5 Ro De 3/8 X 1</v>
      </c>
      <c r="C2718" s="380" t="str">
        <f>IFERROR(__xludf.DUMMYFUNCTION("""COMPUTED_VALUE"""),"50000316")</f>
        <v>50000316</v>
      </c>
      <c r="D2718" s="380" t="s">
        <v>767</v>
      </c>
      <c r="E2718" s="380" t="s">
        <v>781</v>
      </c>
      <c r="F2718" s="380" t="s">
        <v>830</v>
      </c>
      <c r="G2718" s="380" t="s">
        <v>1267</v>
      </c>
      <c r="H2718" s="380" t="s">
        <v>771</v>
      </c>
      <c r="I2718" s="380" t="s">
        <v>817</v>
      </c>
      <c r="J2718" s="380" t="s">
        <v>773</v>
      </c>
      <c r="K2718" s="381">
        <v>0.0</v>
      </c>
      <c r="L2718" s="382">
        <v>1.0</v>
      </c>
    </row>
    <row r="2719">
      <c r="A2719" s="380" t="s">
        <v>3582</v>
      </c>
      <c r="B2719" s="380" t="str">
        <f>IFERROR(__xludf.DUMMYFUNCTION("""COMPUTED_VALUE"""),"Tornillo G5 Ro De 3/8 X 1 1/2")</f>
        <v>Tornillo G5 Ro De 3/8 X 1 1/2</v>
      </c>
      <c r="C2719" s="380" t="str">
        <f>IFERROR(__xludf.DUMMYFUNCTION("""COMPUTED_VALUE"""),"50000317")</f>
        <v>50000317</v>
      </c>
      <c r="D2719" s="380" t="s">
        <v>767</v>
      </c>
      <c r="E2719" s="380" t="s">
        <v>781</v>
      </c>
      <c r="F2719" s="380" t="s">
        <v>830</v>
      </c>
      <c r="G2719" s="380" t="s">
        <v>1267</v>
      </c>
      <c r="H2719" s="380" t="s">
        <v>771</v>
      </c>
      <c r="I2719" s="380" t="s">
        <v>817</v>
      </c>
      <c r="J2719" s="380" t="s">
        <v>773</v>
      </c>
      <c r="K2719" s="381">
        <v>0.0</v>
      </c>
      <c r="L2719" s="382">
        <v>1.0</v>
      </c>
    </row>
    <row r="2720">
      <c r="A2720" s="380" t="s">
        <v>3583</v>
      </c>
      <c r="B2720" s="380" t="str">
        <f>IFERROR(__xludf.DUMMYFUNCTION("""COMPUTED_VALUE"""),"Tornillo G5 Ro De 3/8 X 2")</f>
        <v>Tornillo G5 Ro De 3/8 X 2</v>
      </c>
      <c r="C2720" s="380" t="str">
        <f>IFERROR(__xludf.DUMMYFUNCTION("""COMPUTED_VALUE"""),"50000318")</f>
        <v>50000318</v>
      </c>
      <c r="D2720" s="380" t="s">
        <v>767</v>
      </c>
      <c r="E2720" s="380" t="s">
        <v>781</v>
      </c>
      <c r="F2720" s="380" t="s">
        <v>830</v>
      </c>
      <c r="G2720" s="380" t="s">
        <v>1267</v>
      </c>
      <c r="H2720" s="380" t="s">
        <v>771</v>
      </c>
      <c r="I2720" s="380" t="s">
        <v>817</v>
      </c>
      <c r="J2720" s="380" t="s">
        <v>773</v>
      </c>
      <c r="K2720" s="381">
        <v>0.0</v>
      </c>
      <c r="L2720" s="382">
        <v>1.0</v>
      </c>
    </row>
    <row r="2721">
      <c r="A2721" s="380" t="s">
        <v>3584</v>
      </c>
      <c r="B2721" s="380" t="str">
        <f>IFERROR(__xludf.DUMMYFUNCTION("""COMPUTED_VALUE"""),"Tonillo G5 Ro De 3/8 X 3 1/2")</f>
        <v>Tonillo G5 Ro De 3/8 X 3 1/2</v>
      </c>
      <c r="C2721" s="380" t="str">
        <f>IFERROR(__xludf.DUMMYFUNCTION("""COMPUTED_VALUE"""),"50000319")</f>
        <v>50000319</v>
      </c>
      <c r="D2721" s="380" t="s">
        <v>767</v>
      </c>
      <c r="E2721" s="380" t="s">
        <v>781</v>
      </c>
      <c r="F2721" s="380" t="s">
        <v>830</v>
      </c>
      <c r="G2721" s="380" t="s">
        <v>1267</v>
      </c>
      <c r="H2721" s="380" t="s">
        <v>771</v>
      </c>
      <c r="I2721" s="380" t="s">
        <v>817</v>
      </c>
      <c r="J2721" s="380" t="s">
        <v>773</v>
      </c>
      <c r="K2721" s="381">
        <v>0.0</v>
      </c>
      <c r="L2721" s="382">
        <v>1.0</v>
      </c>
    </row>
    <row r="2722">
      <c r="A2722" s="380" t="s">
        <v>3585</v>
      </c>
      <c r="B2722" s="380" t="str">
        <f>IFERROR(__xludf.DUMMYFUNCTION("""COMPUTED_VALUE"""),"Tornillo G5 Ro De 3/4 X 3")</f>
        <v>Tornillo G5 Ro De 3/4 X 3</v>
      </c>
      <c r="C2722" s="380" t="str">
        <f>IFERROR(__xludf.DUMMYFUNCTION("""COMPUTED_VALUE"""),"50000320")</f>
        <v>50000320</v>
      </c>
      <c r="D2722" s="380" t="s">
        <v>767</v>
      </c>
      <c r="E2722" s="380" t="s">
        <v>781</v>
      </c>
      <c r="F2722" s="380" t="s">
        <v>830</v>
      </c>
      <c r="G2722" s="380" t="s">
        <v>1267</v>
      </c>
      <c r="H2722" s="380" t="s">
        <v>771</v>
      </c>
      <c r="I2722" s="380" t="s">
        <v>817</v>
      </c>
      <c r="J2722" s="380" t="s">
        <v>773</v>
      </c>
      <c r="K2722" s="381">
        <v>0.0</v>
      </c>
      <c r="L2722" s="382">
        <v>1.0</v>
      </c>
    </row>
    <row r="2723">
      <c r="A2723" s="380" t="s">
        <v>3586</v>
      </c>
      <c r="B2723" s="380" t="str">
        <f>IFERROR(__xludf.DUMMYFUNCTION("""COMPUTED_VALUE"""),"Wasa De 3/4")</f>
        <v>Wasa De 3/4</v>
      </c>
      <c r="C2723" s="380" t="str">
        <f>IFERROR(__xludf.DUMMYFUNCTION("""COMPUTED_VALUE"""),"50000321")</f>
        <v>50000321</v>
      </c>
      <c r="D2723" s="380" t="s">
        <v>767</v>
      </c>
      <c r="E2723" s="380" t="s">
        <v>781</v>
      </c>
      <c r="F2723" s="380" t="s">
        <v>830</v>
      </c>
      <c r="G2723" s="380" t="s">
        <v>1267</v>
      </c>
      <c r="H2723" s="380" t="s">
        <v>771</v>
      </c>
      <c r="I2723" s="380" t="s">
        <v>817</v>
      </c>
      <c r="J2723" s="380" t="s">
        <v>773</v>
      </c>
      <c r="K2723" s="381">
        <v>0.0</v>
      </c>
      <c r="L2723" s="382">
        <v>1.0</v>
      </c>
    </row>
    <row r="2724">
      <c r="A2724" s="380" t="s">
        <v>3587</v>
      </c>
      <c r="B2724" s="380" t="str">
        <f>IFERROR(__xludf.DUMMYFUNCTION("""COMPUTED_VALUE"""),"Tornillo G5 Ro 1/2 X 1 1/2""")</f>
        <v>Tornillo G5 Ro 1/2 X 1 1/2"</v>
      </c>
      <c r="C2724" s="380" t="str">
        <f>IFERROR(__xludf.DUMMYFUNCTION("""COMPUTED_VALUE"""),"50000322")</f>
        <v>50000322</v>
      </c>
      <c r="D2724" s="380" t="s">
        <v>767</v>
      </c>
      <c r="E2724" s="380" t="s">
        <v>781</v>
      </c>
      <c r="F2724" s="380" t="s">
        <v>830</v>
      </c>
      <c r="G2724" s="380" t="s">
        <v>1267</v>
      </c>
      <c r="H2724" s="380" t="s">
        <v>771</v>
      </c>
      <c r="I2724" s="380" t="s">
        <v>817</v>
      </c>
      <c r="J2724" s="380" t="s">
        <v>773</v>
      </c>
      <c r="K2724" s="381">
        <v>0.0</v>
      </c>
      <c r="L2724" s="382">
        <v>1.0</v>
      </c>
    </row>
    <row r="2725">
      <c r="A2725" s="380" t="s">
        <v>3588</v>
      </c>
      <c r="B2725" s="380" t="str">
        <f>IFERROR(__xludf.DUMMYFUNCTION("""COMPUTED_VALUE"""),"Tuerca G5 Ro 1/2")</f>
        <v>Tuerca G5 Ro 1/2</v>
      </c>
      <c r="C2725" s="380" t="str">
        <f>IFERROR(__xludf.DUMMYFUNCTION("""COMPUTED_VALUE"""),"50000323")</f>
        <v>50000323</v>
      </c>
      <c r="D2725" s="380" t="s">
        <v>767</v>
      </c>
      <c r="E2725" s="380" t="s">
        <v>781</v>
      </c>
      <c r="F2725" s="380" t="s">
        <v>830</v>
      </c>
      <c r="G2725" s="380" t="s">
        <v>1267</v>
      </c>
      <c r="H2725" s="380" t="s">
        <v>771</v>
      </c>
      <c r="I2725" s="380" t="s">
        <v>817</v>
      </c>
      <c r="J2725" s="380" t="s">
        <v>773</v>
      </c>
      <c r="K2725" s="381">
        <v>0.0</v>
      </c>
      <c r="L2725" s="382">
        <v>1.0</v>
      </c>
    </row>
    <row r="2726">
      <c r="A2726" s="380" t="s">
        <v>3589</v>
      </c>
      <c r="B2726" s="380" t="str">
        <f>IFERROR(__xludf.DUMMYFUNCTION("""COMPUTED_VALUE"""),"Tuerca G5 Ro 3/4")</f>
        <v>Tuerca G5 Ro 3/4</v>
      </c>
      <c r="C2726" s="380" t="str">
        <f>IFERROR(__xludf.DUMMYFUNCTION("""COMPUTED_VALUE"""),"50000324")</f>
        <v>50000324</v>
      </c>
      <c r="D2726" s="380" t="s">
        <v>767</v>
      </c>
      <c r="E2726" s="380" t="s">
        <v>781</v>
      </c>
      <c r="F2726" s="380" t="s">
        <v>830</v>
      </c>
      <c r="G2726" s="380" t="s">
        <v>1267</v>
      </c>
      <c r="H2726" s="380" t="s">
        <v>771</v>
      </c>
      <c r="I2726" s="380" t="s">
        <v>817</v>
      </c>
      <c r="J2726" s="380" t="s">
        <v>773</v>
      </c>
      <c r="K2726" s="381">
        <v>0.0</v>
      </c>
      <c r="L2726" s="382">
        <v>1.0</v>
      </c>
    </row>
    <row r="2727">
      <c r="A2727" s="380" t="s">
        <v>3590</v>
      </c>
      <c r="B2727" s="380" t="str">
        <f>IFERROR(__xludf.DUMMYFUNCTION("""COMPUTED_VALUE"""),"Tornillo G5 Ro De 3/8 X 2 1/2")</f>
        <v>Tornillo G5 Ro De 3/8 X 2 1/2</v>
      </c>
      <c r="C2727" s="380" t="str">
        <f>IFERROR(__xludf.DUMMYFUNCTION("""COMPUTED_VALUE"""),"50000325")</f>
        <v>50000325</v>
      </c>
      <c r="D2727" s="380" t="s">
        <v>767</v>
      </c>
      <c r="E2727" s="380" t="s">
        <v>781</v>
      </c>
      <c r="F2727" s="380" t="s">
        <v>830</v>
      </c>
      <c r="G2727" s="380" t="s">
        <v>1267</v>
      </c>
      <c r="H2727" s="380" t="s">
        <v>771</v>
      </c>
      <c r="I2727" s="380" t="s">
        <v>817</v>
      </c>
      <c r="J2727" s="380" t="s">
        <v>773</v>
      </c>
      <c r="K2727" s="381">
        <v>0.0</v>
      </c>
      <c r="L2727" s="382">
        <v>1.0</v>
      </c>
    </row>
    <row r="2728">
      <c r="A2728" s="380" t="s">
        <v>3591</v>
      </c>
      <c r="B2728" s="380" t="str">
        <f>IFERROR(__xludf.DUMMYFUNCTION("""COMPUTED_VALUE"""),"Wasa De 1/4")</f>
        <v>Wasa De 1/4</v>
      </c>
      <c r="C2728" s="380" t="str">
        <f>IFERROR(__xludf.DUMMYFUNCTION("""COMPUTED_VALUE"""),"50000326")</f>
        <v>50000326</v>
      </c>
      <c r="D2728" s="380" t="s">
        <v>767</v>
      </c>
      <c r="E2728" s="380" t="s">
        <v>781</v>
      </c>
      <c r="F2728" s="380" t="s">
        <v>830</v>
      </c>
      <c r="G2728" s="380" t="s">
        <v>1267</v>
      </c>
      <c r="H2728" s="380" t="s">
        <v>771</v>
      </c>
      <c r="I2728" s="380" t="s">
        <v>817</v>
      </c>
      <c r="J2728" s="380" t="s">
        <v>773</v>
      </c>
      <c r="K2728" s="381">
        <v>0.0</v>
      </c>
      <c r="L2728" s="382">
        <v>1.0</v>
      </c>
    </row>
    <row r="2729">
      <c r="A2729" s="380" t="s">
        <v>3592</v>
      </c>
      <c r="B2729" s="380" t="str">
        <f>IFERROR(__xludf.DUMMYFUNCTION("""COMPUTED_VALUE"""),"Tornillo G8 Ro 7/16 X 1"" 1/2")</f>
        <v>Tornillo G8 Ro 7/16 X 1" 1/2</v>
      </c>
      <c r="C2729" s="380" t="str">
        <f>IFERROR(__xludf.DUMMYFUNCTION("""COMPUTED_VALUE"""),"50000327")</f>
        <v>50000327</v>
      </c>
      <c r="D2729" s="380" t="s">
        <v>767</v>
      </c>
      <c r="E2729" s="380" t="s">
        <v>781</v>
      </c>
      <c r="F2729" s="380" t="s">
        <v>830</v>
      </c>
      <c r="G2729" s="380" t="s">
        <v>1267</v>
      </c>
      <c r="H2729" s="380" t="s">
        <v>771</v>
      </c>
      <c r="I2729" s="380" t="s">
        <v>817</v>
      </c>
      <c r="J2729" s="380" t="s">
        <v>773</v>
      </c>
      <c r="K2729" s="381">
        <v>0.0</v>
      </c>
      <c r="L2729" s="382">
        <v>1.0</v>
      </c>
    </row>
    <row r="2730">
      <c r="A2730" s="380" t="s">
        <v>3593</v>
      </c>
      <c r="B2730" s="380" t="str">
        <f>IFERROR(__xludf.DUMMYFUNCTION("""COMPUTED_VALUE"""),"Resorte Puerta Cortina Metálica 330x47x5")</f>
        <v>Resorte Puerta Cortina Metálica 330x47x5</v>
      </c>
      <c r="C2730" s="380" t="str">
        <f>IFERROR(__xludf.DUMMYFUNCTION("""COMPUTED_VALUE"""),"50000328")</f>
        <v>50000328</v>
      </c>
      <c r="D2730" s="380" t="s">
        <v>767</v>
      </c>
      <c r="E2730" s="380" t="s">
        <v>781</v>
      </c>
      <c r="F2730" s="380" t="s">
        <v>830</v>
      </c>
      <c r="G2730" s="380" t="s">
        <v>1267</v>
      </c>
      <c r="H2730" s="380" t="s">
        <v>771</v>
      </c>
      <c r="I2730" s="380" t="s">
        <v>817</v>
      </c>
      <c r="J2730" s="380" t="s">
        <v>773</v>
      </c>
      <c r="K2730" s="381">
        <v>0.0</v>
      </c>
      <c r="L2730" s="382">
        <v>1.0</v>
      </c>
    </row>
    <row r="2731">
      <c r="A2731" s="380" t="s">
        <v>3594</v>
      </c>
      <c r="B2731" s="380" t="str">
        <f>IFERROR(__xludf.DUMMYFUNCTION("""COMPUTED_VALUE"""),"Bisagra Capsula 3/8 3-Cuerpos 3/8""")</f>
        <v>Bisagra Capsula 3/8 3-Cuerpos 3/8"</v>
      </c>
      <c r="C2731" s="380" t="str">
        <f>IFERROR(__xludf.DUMMYFUNCTION("""COMPUTED_VALUE"""),"50000329")</f>
        <v>50000329</v>
      </c>
      <c r="D2731" s="380" t="s">
        <v>767</v>
      </c>
      <c r="E2731" s="380" t="s">
        <v>781</v>
      </c>
      <c r="F2731" s="380" t="s">
        <v>830</v>
      </c>
      <c r="G2731" s="380" t="s">
        <v>1267</v>
      </c>
      <c r="H2731" s="380" t="s">
        <v>771</v>
      </c>
      <c r="I2731" s="380" t="s">
        <v>817</v>
      </c>
      <c r="J2731" s="380" t="s">
        <v>773</v>
      </c>
      <c r="K2731" s="381">
        <v>3316.0</v>
      </c>
      <c r="L2731" s="382">
        <v>1.0</v>
      </c>
    </row>
    <row r="2732">
      <c r="A2732" s="380" t="s">
        <v>3595</v>
      </c>
      <c r="B2732" s="380" t="str">
        <f>IFERROR(__xludf.DUMMYFUNCTION("""COMPUTED_VALUE"""),"Bisagra Capsula 1""- 3 Cuer")</f>
        <v>Bisagra Capsula 1"- 3 Cuer</v>
      </c>
      <c r="C2732" s="380" t="str">
        <f>IFERROR(__xludf.DUMMYFUNCTION("""COMPUTED_VALUE"""),"50000330")</f>
        <v>50000330</v>
      </c>
      <c r="D2732" s="380" t="s">
        <v>767</v>
      </c>
      <c r="E2732" s="380" t="s">
        <v>781</v>
      </c>
      <c r="F2732" s="380" t="s">
        <v>830</v>
      </c>
      <c r="G2732" s="380" t="s">
        <v>1267</v>
      </c>
      <c r="H2732" s="380" t="s">
        <v>771</v>
      </c>
      <c r="I2732" s="380" t="s">
        <v>817</v>
      </c>
      <c r="J2732" s="380" t="s">
        <v>773</v>
      </c>
      <c r="K2732" s="381">
        <v>43602.0</v>
      </c>
      <c r="L2732" s="382">
        <v>1.0</v>
      </c>
    </row>
    <row r="2733">
      <c r="A2733" s="380" t="s">
        <v>3596</v>
      </c>
      <c r="B2733" s="380" t="str">
        <f>IFERROR(__xludf.DUMMYFUNCTION("""COMPUTED_VALUE"""),"Bisagra Capsula 1/2 -3 Cue")</f>
        <v>Bisagra Capsula 1/2 -3 Cue</v>
      </c>
      <c r="C2733" s="380" t="str">
        <f>IFERROR(__xludf.DUMMYFUNCTION("""COMPUTED_VALUE"""),"50000331")</f>
        <v>50000331</v>
      </c>
      <c r="D2733" s="380" t="s">
        <v>767</v>
      </c>
      <c r="E2733" s="380" t="s">
        <v>781</v>
      </c>
      <c r="F2733" s="380" t="s">
        <v>830</v>
      </c>
      <c r="G2733" s="380" t="s">
        <v>1267</v>
      </c>
      <c r="H2733" s="380" t="s">
        <v>771</v>
      </c>
      <c r="I2733" s="380" t="s">
        <v>817</v>
      </c>
      <c r="J2733" s="380" t="s">
        <v>773</v>
      </c>
      <c r="K2733" s="381">
        <v>4501.0</v>
      </c>
      <c r="L2733" s="382">
        <v>1.0</v>
      </c>
    </row>
    <row r="2734">
      <c r="A2734" s="380" t="s">
        <v>3597</v>
      </c>
      <c r="B2734" s="380" t="str">
        <f>IFERROR(__xludf.DUMMYFUNCTION("""COMPUTED_VALUE"""),"Breakeway 3/4"" Ul")</f>
        <v>Breakeway 3/4" Ul</v>
      </c>
      <c r="C2734" s="380" t="str">
        <f>IFERROR(__xludf.DUMMYFUNCTION("""COMPUTED_VALUE"""),"50000332")</f>
        <v>50000332</v>
      </c>
      <c r="D2734" s="380" t="s">
        <v>767</v>
      </c>
      <c r="E2734" s="380" t="s">
        <v>781</v>
      </c>
      <c r="F2734" s="380" t="s">
        <v>830</v>
      </c>
      <c r="G2734" s="380" t="s">
        <v>1267</v>
      </c>
      <c r="H2734" s="380" t="s">
        <v>771</v>
      </c>
      <c r="I2734" s="380" t="s">
        <v>817</v>
      </c>
      <c r="J2734" s="380" t="s">
        <v>773</v>
      </c>
      <c r="K2734" s="381">
        <v>0.0</v>
      </c>
      <c r="L2734" s="382">
        <v>1.0</v>
      </c>
    </row>
    <row r="2735">
      <c r="A2735" s="380" t="s">
        <v>3598</v>
      </c>
      <c r="B2735" s="380" t="str">
        <f>IFERROR(__xludf.DUMMYFUNCTION("""COMPUTED_VALUE"""),"Tornillo G8 Ro 9/16 X 4""")</f>
        <v>Tornillo G8 Ro 9/16 X 4"</v>
      </c>
      <c r="C2735" s="380" t="str">
        <f>IFERROR(__xludf.DUMMYFUNCTION("""COMPUTED_VALUE"""),"50000333")</f>
        <v>50000333</v>
      </c>
      <c r="D2735" s="380" t="s">
        <v>767</v>
      </c>
      <c r="E2735" s="380" t="s">
        <v>781</v>
      </c>
      <c r="F2735" s="380" t="s">
        <v>830</v>
      </c>
      <c r="G2735" s="380" t="s">
        <v>1267</v>
      </c>
      <c r="H2735" s="380" t="s">
        <v>771</v>
      </c>
      <c r="I2735" s="380" t="s">
        <v>817</v>
      </c>
      <c r="J2735" s="380" t="s">
        <v>773</v>
      </c>
      <c r="K2735" s="381">
        <v>0.0</v>
      </c>
      <c r="L2735" s="382">
        <v>1.0</v>
      </c>
    </row>
    <row r="2736">
      <c r="A2736" s="380" t="s">
        <v>3599</v>
      </c>
      <c r="B2736" s="380" t="str">
        <f>IFERROR(__xludf.DUMMYFUNCTION("""COMPUTED_VALUE"""),"Numeracion Parqueo Muelle")</f>
        <v>Numeracion Parqueo Muelle</v>
      </c>
      <c r="C2736" s="380" t="str">
        <f>IFERROR(__xludf.DUMMYFUNCTION("""COMPUTED_VALUE"""),"50000334")</f>
        <v>50000334</v>
      </c>
      <c r="D2736" s="380" t="s">
        <v>767</v>
      </c>
      <c r="E2736" s="380" t="s">
        <v>781</v>
      </c>
      <c r="F2736" s="380" t="s">
        <v>819</v>
      </c>
      <c r="G2736" s="380" t="s">
        <v>1267</v>
      </c>
      <c r="H2736" s="380" t="s">
        <v>771</v>
      </c>
      <c r="I2736" s="380" t="s">
        <v>817</v>
      </c>
      <c r="J2736" s="380" t="s">
        <v>773</v>
      </c>
      <c r="K2736" s="381">
        <v>0.0</v>
      </c>
      <c r="L2736" s="382">
        <v>1.0</v>
      </c>
    </row>
    <row r="2737">
      <c r="A2737" s="380" t="s">
        <v>3600</v>
      </c>
      <c r="B2737" s="380" t="str">
        <f>IFERROR(__xludf.DUMMYFUNCTION("""COMPUTED_VALUE"""),"Resortes Conicos Varios")</f>
        <v>Resortes Conicos Varios</v>
      </c>
      <c r="C2737" s="380" t="str">
        <f>IFERROR(__xludf.DUMMYFUNCTION("""COMPUTED_VALUE"""),"50000335")</f>
        <v>50000335</v>
      </c>
      <c r="D2737" s="380" t="s">
        <v>767</v>
      </c>
      <c r="E2737" s="380" t="s">
        <v>781</v>
      </c>
      <c r="F2737" s="380" t="s">
        <v>830</v>
      </c>
      <c r="G2737" s="380" t="s">
        <v>1267</v>
      </c>
      <c r="H2737" s="380" t="s">
        <v>771</v>
      </c>
      <c r="I2737" s="380" t="s">
        <v>817</v>
      </c>
      <c r="J2737" s="380" t="s">
        <v>773</v>
      </c>
      <c r="K2737" s="381">
        <v>0.0</v>
      </c>
      <c r="L2737" s="382">
        <v>1.0</v>
      </c>
    </row>
    <row r="2738">
      <c r="A2738" s="380" t="s">
        <v>3601</v>
      </c>
      <c r="B2738" s="380" t="str">
        <f>IFERROR(__xludf.DUMMYFUNCTION("""COMPUTED_VALUE"""),"Cinta Para Marcion Dimo")</f>
        <v>Cinta Para Marcion Dimo</v>
      </c>
      <c r="C2738" s="380" t="str">
        <f>IFERROR(__xludf.DUMMYFUNCTION("""COMPUTED_VALUE"""),"50000336")</f>
        <v>50000336</v>
      </c>
      <c r="D2738" s="380" t="s">
        <v>767</v>
      </c>
      <c r="E2738" s="380" t="s">
        <v>781</v>
      </c>
      <c r="F2738" s="380" t="s">
        <v>830</v>
      </c>
      <c r="G2738" s="380" t="s">
        <v>1267</v>
      </c>
      <c r="H2738" s="380" t="s">
        <v>771</v>
      </c>
      <c r="I2738" s="380" t="s">
        <v>817</v>
      </c>
      <c r="J2738" s="380" t="s">
        <v>773</v>
      </c>
      <c r="K2738" s="381">
        <v>0.0</v>
      </c>
      <c r="L2738" s="382">
        <v>1.0</v>
      </c>
    </row>
    <row r="2739">
      <c r="A2739" s="380" t="s">
        <v>3602</v>
      </c>
      <c r="B2739" s="380" t="str">
        <f>IFERROR(__xludf.DUMMYFUNCTION("""COMPUTED_VALUE"""),"Tornillo G8 Ro 1/2 X 5""")</f>
        <v>Tornillo G8 Ro 1/2 X 5"</v>
      </c>
      <c r="C2739" s="380" t="str">
        <f>IFERROR(__xludf.DUMMYFUNCTION("""COMPUTED_VALUE"""),"50000337")</f>
        <v>50000337</v>
      </c>
      <c r="D2739" s="380" t="s">
        <v>767</v>
      </c>
      <c r="E2739" s="380" t="s">
        <v>781</v>
      </c>
      <c r="F2739" s="380" t="s">
        <v>830</v>
      </c>
      <c r="G2739" s="380" t="s">
        <v>1267</v>
      </c>
      <c r="H2739" s="380" t="s">
        <v>771</v>
      </c>
      <c r="I2739" s="380" t="s">
        <v>817</v>
      </c>
      <c r="J2739" s="380" t="s">
        <v>773</v>
      </c>
      <c r="K2739" s="381">
        <v>0.0</v>
      </c>
      <c r="L2739" s="382">
        <v>1.0</v>
      </c>
    </row>
    <row r="2740">
      <c r="A2740" s="380" t="s">
        <v>3603</v>
      </c>
      <c r="B2740" s="380" t="str">
        <f>IFERROR(__xludf.DUMMYFUNCTION("""COMPUTED_VALUE"""),"Varilla Calibrada 19 Mm X 6mts")</f>
        <v>Varilla Calibrada 19 Mm X 6mts</v>
      </c>
      <c r="C2740" s="380" t="str">
        <f>IFERROR(__xludf.DUMMYFUNCTION("""COMPUTED_VALUE"""),"50000338")</f>
        <v>50000338</v>
      </c>
      <c r="D2740" s="380" t="s">
        <v>767</v>
      </c>
      <c r="E2740" s="380" t="s">
        <v>781</v>
      </c>
      <c r="F2740" s="380" t="s">
        <v>830</v>
      </c>
      <c r="G2740" s="380" t="s">
        <v>1267</v>
      </c>
      <c r="H2740" s="380" t="s">
        <v>771</v>
      </c>
      <c r="I2740" s="380" t="s">
        <v>817</v>
      </c>
      <c r="J2740" s="380" t="s">
        <v>773</v>
      </c>
      <c r="K2740" s="381">
        <v>0.0</v>
      </c>
      <c r="L2740" s="382">
        <v>1.0</v>
      </c>
    </row>
    <row r="2741">
      <c r="A2741" s="380" t="s">
        <v>3604</v>
      </c>
      <c r="B2741" s="380" t="str">
        <f>IFERROR(__xludf.DUMMYFUNCTION("""COMPUTED_VALUE"""),"Canal Canal En U A36 3""X36x4.3x4.1lb/Pie")</f>
        <v>Canal Canal En U A36 3"X36x4.3x4.1lb/Pie</v>
      </c>
      <c r="C2741" s="380" t="str">
        <f>IFERROR(__xludf.DUMMYFUNCTION("""COMPUTED_VALUE"""),"50000339")</f>
        <v>50000339</v>
      </c>
      <c r="D2741" s="380" t="s">
        <v>767</v>
      </c>
      <c r="E2741" s="380" t="s">
        <v>781</v>
      </c>
      <c r="F2741" s="380" t="s">
        <v>830</v>
      </c>
      <c r="G2741" s="380" t="s">
        <v>1267</v>
      </c>
      <c r="H2741" s="380" t="s">
        <v>771</v>
      </c>
      <c r="I2741" s="380" t="s">
        <v>817</v>
      </c>
      <c r="J2741" s="380" t="s">
        <v>773</v>
      </c>
      <c r="K2741" s="381">
        <v>0.0</v>
      </c>
      <c r="L2741" s="382">
        <v>1.0</v>
      </c>
    </row>
    <row r="2742">
      <c r="A2742" s="380" t="s">
        <v>3605</v>
      </c>
      <c r="B2742" s="380" t="str">
        <f>IFERROR(__xludf.DUMMYFUNCTION("""COMPUTED_VALUE"""),"Racor En T 504 3/8""")</f>
        <v>Racor En T 504 3/8"</v>
      </c>
      <c r="C2742" s="380" t="str">
        <f>IFERROR(__xludf.DUMMYFUNCTION("""COMPUTED_VALUE"""),"50000340")</f>
        <v>50000340</v>
      </c>
      <c r="D2742" s="380" t="s">
        <v>767</v>
      </c>
      <c r="E2742" s="380" t="s">
        <v>781</v>
      </c>
      <c r="F2742" s="380" t="s">
        <v>830</v>
      </c>
      <c r="G2742" s="380" t="s">
        <v>1267</v>
      </c>
      <c r="H2742" s="380" t="s">
        <v>771</v>
      </c>
      <c r="I2742" s="380" t="s">
        <v>817</v>
      </c>
      <c r="J2742" s="380" t="s">
        <v>773</v>
      </c>
      <c r="K2742" s="381">
        <v>0.0</v>
      </c>
      <c r="L2742" s="382">
        <v>1.0</v>
      </c>
    </row>
    <row r="2743">
      <c r="A2743" s="380" t="s">
        <v>3606</v>
      </c>
      <c r="B2743" s="380" t="str">
        <f>IFERROR(__xludf.DUMMYFUNCTION("""COMPUTED_VALUE"""),"Terminal Macho 7641")</f>
        <v>Terminal Macho 7641</v>
      </c>
      <c r="C2743" s="380" t="str">
        <f>IFERROR(__xludf.DUMMYFUNCTION("""COMPUTED_VALUE"""),"50000341")</f>
        <v>50000341</v>
      </c>
      <c r="D2743" s="380" t="s">
        <v>767</v>
      </c>
      <c r="E2743" s="380" t="s">
        <v>781</v>
      </c>
      <c r="F2743" s="380" t="s">
        <v>830</v>
      </c>
      <c r="G2743" s="380" t="s">
        <v>1267</v>
      </c>
      <c r="H2743" s="380" t="s">
        <v>771</v>
      </c>
      <c r="I2743" s="380" t="s">
        <v>817</v>
      </c>
      <c r="J2743" s="380" t="s">
        <v>773</v>
      </c>
      <c r="K2743" s="381">
        <v>0.0</v>
      </c>
      <c r="L2743" s="382">
        <v>1.0</v>
      </c>
    </row>
    <row r="2744">
      <c r="A2744" s="380" t="s">
        <v>3607</v>
      </c>
      <c r="B2744" s="380" t="str">
        <f>IFERROR(__xludf.DUMMYFUNCTION("""COMPUTED_VALUE"""),"Tornillo Varios Consumo Vehiculos")</f>
        <v>Tornillo Varios Consumo Vehiculos</v>
      </c>
      <c r="C2744" s="380" t="str">
        <f>IFERROR(__xludf.DUMMYFUNCTION("""COMPUTED_VALUE"""),"50000342")</f>
        <v>50000342</v>
      </c>
      <c r="D2744" s="380" t="s">
        <v>767</v>
      </c>
      <c r="E2744" s="380" t="s">
        <v>781</v>
      </c>
      <c r="F2744" s="380" t="s">
        <v>830</v>
      </c>
      <c r="G2744" s="380" t="s">
        <v>1267</v>
      </c>
      <c r="H2744" s="380" t="s">
        <v>771</v>
      </c>
      <c r="I2744" s="380" t="s">
        <v>817</v>
      </c>
      <c r="J2744" s="380" t="s">
        <v>773</v>
      </c>
      <c r="K2744" s="381">
        <v>0.0</v>
      </c>
      <c r="L2744" s="382">
        <v>1.0</v>
      </c>
    </row>
    <row r="2745">
      <c r="A2745" s="380" t="s">
        <v>3608</v>
      </c>
      <c r="B2745" s="380" t="str">
        <f>IFERROR(__xludf.DUMMYFUNCTION("""COMPUTED_VALUE"""),"Cable Vehiculo N-8 En Metros")</f>
        <v>Cable Vehiculo N-8 En Metros</v>
      </c>
      <c r="C2745" s="380" t="str">
        <f>IFERROR(__xludf.DUMMYFUNCTION("""COMPUTED_VALUE"""),"50000343")</f>
        <v>50000343</v>
      </c>
      <c r="D2745" s="380" t="s">
        <v>767</v>
      </c>
      <c r="E2745" s="380" t="s">
        <v>781</v>
      </c>
      <c r="F2745" s="380" t="s">
        <v>830</v>
      </c>
      <c r="G2745" s="380" t="s">
        <v>1267</v>
      </c>
      <c r="H2745" s="380" t="s">
        <v>771</v>
      </c>
      <c r="I2745" s="380" t="s">
        <v>817</v>
      </c>
      <c r="J2745" s="380" t="s">
        <v>773</v>
      </c>
      <c r="K2745" s="381">
        <v>0.0</v>
      </c>
      <c r="L2745" s="382">
        <v>1.0</v>
      </c>
    </row>
    <row r="2746">
      <c r="A2746" s="380" t="s">
        <v>3609</v>
      </c>
      <c r="B2746" s="380" t="str">
        <f>IFERROR(__xludf.DUMMYFUNCTION("""COMPUTED_VALUE"""),"Cable Vehiculo #12 No12")</f>
        <v>Cable Vehiculo #12 No12</v>
      </c>
      <c r="C2746" s="380" t="str">
        <f>IFERROR(__xludf.DUMMYFUNCTION("""COMPUTED_VALUE"""),"50000344")</f>
        <v>50000344</v>
      </c>
      <c r="D2746" s="380" t="s">
        <v>767</v>
      </c>
      <c r="E2746" s="380" t="s">
        <v>781</v>
      </c>
      <c r="F2746" s="380" t="s">
        <v>830</v>
      </c>
      <c r="G2746" s="380" t="s">
        <v>1267</v>
      </c>
      <c r="H2746" s="380" t="s">
        <v>771</v>
      </c>
      <c r="I2746" s="380" t="s">
        <v>817</v>
      </c>
      <c r="J2746" s="380" t="s">
        <v>773</v>
      </c>
      <c r="K2746" s="381">
        <v>0.0</v>
      </c>
      <c r="L2746" s="382">
        <v>1.0</v>
      </c>
    </row>
    <row r="2747">
      <c r="A2747" s="380" t="s">
        <v>3610</v>
      </c>
      <c r="B2747" s="380" t="str">
        <f>IFERROR(__xludf.DUMMYFUNCTION("""COMPUTED_VALUE"""),"Pin Chaveta 3/16 X 3""")</f>
        <v>Pin Chaveta 3/16 X 3"</v>
      </c>
      <c r="C2747" s="380" t="str">
        <f>IFERROR(__xludf.DUMMYFUNCTION("""COMPUTED_VALUE"""),"50000345")</f>
        <v>50000345</v>
      </c>
      <c r="D2747" s="380" t="s">
        <v>767</v>
      </c>
      <c r="E2747" s="380" t="s">
        <v>781</v>
      </c>
      <c r="F2747" s="380" t="s">
        <v>830</v>
      </c>
      <c r="G2747" s="380" t="s">
        <v>1267</v>
      </c>
      <c r="H2747" s="380" t="s">
        <v>771</v>
      </c>
      <c r="I2747" s="380" t="s">
        <v>817</v>
      </c>
      <c r="J2747" s="380" t="s">
        <v>773</v>
      </c>
      <c r="K2747" s="381">
        <v>0.0</v>
      </c>
      <c r="L2747" s="382">
        <v>1.0</v>
      </c>
    </row>
    <row r="2748">
      <c r="A2748" s="380" t="s">
        <v>3611</v>
      </c>
      <c r="B2748" s="380" t="str">
        <f>IFERROR(__xludf.DUMMYFUNCTION("""COMPUTED_VALUE"""),"Adhesivo Permiso Especial Pico Y Placa A")</f>
        <v>Adhesivo Permiso Especial Pico Y Placa A</v>
      </c>
      <c r="C2748" s="380" t="str">
        <f>IFERROR(__xludf.DUMMYFUNCTION("""COMPUTED_VALUE"""),"50000346")</f>
        <v>50000346</v>
      </c>
      <c r="D2748" s="380" t="s">
        <v>767</v>
      </c>
      <c r="E2748" s="380" t="s">
        <v>781</v>
      </c>
      <c r="F2748" s="380" t="s">
        <v>819</v>
      </c>
      <c r="G2748" s="380" t="s">
        <v>1267</v>
      </c>
      <c r="H2748" s="380" t="s">
        <v>771</v>
      </c>
      <c r="I2748" s="380" t="s">
        <v>817</v>
      </c>
      <c r="J2748" s="380" t="s">
        <v>773</v>
      </c>
      <c r="K2748" s="381">
        <v>0.0</v>
      </c>
      <c r="L2748" s="382">
        <v>1.0</v>
      </c>
    </row>
    <row r="2749">
      <c r="A2749" s="380" t="s">
        <v>3612</v>
      </c>
      <c r="B2749" s="380" t="str">
        <f>IFERROR(__xludf.DUMMYFUNCTION("""COMPUTED_VALUE"""),"Bombillo N-57 12 Vol.")</f>
        <v>Bombillo N-57 12 Vol.</v>
      </c>
      <c r="C2749" s="380" t="str">
        <f>IFERROR(__xludf.DUMMYFUNCTION("""COMPUTED_VALUE"""),"50000347")</f>
        <v>50000347</v>
      </c>
      <c r="D2749" s="380" t="s">
        <v>767</v>
      </c>
      <c r="E2749" s="380" t="s">
        <v>781</v>
      </c>
      <c r="F2749" s="380" t="s">
        <v>830</v>
      </c>
      <c r="G2749" s="380" t="s">
        <v>1267</v>
      </c>
      <c r="H2749" s="380" t="s">
        <v>771</v>
      </c>
      <c r="I2749" s="380" t="s">
        <v>817</v>
      </c>
      <c r="J2749" s="380" t="s">
        <v>773</v>
      </c>
      <c r="K2749" s="381">
        <v>0.0</v>
      </c>
      <c r="L2749" s="382">
        <v>1.0</v>
      </c>
    </row>
    <row r="2750">
      <c r="A2750" s="380" t="s">
        <v>3613</v>
      </c>
      <c r="B2750" s="380" t="str">
        <f>IFERROR(__xludf.DUMMYFUNCTION("""COMPUTED_VALUE"""),"Tornillo Ro 3/4 X 4"" Tuerca Y Arandela")</f>
        <v>Tornillo Ro 3/4 X 4" Tuerca Y Arandela</v>
      </c>
      <c r="C2750" s="380" t="str">
        <f>IFERROR(__xludf.DUMMYFUNCTION("""COMPUTED_VALUE"""),"50000348")</f>
        <v>50000348</v>
      </c>
      <c r="D2750" s="380" t="s">
        <v>767</v>
      </c>
      <c r="E2750" s="380" t="s">
        <v>781</v>
      </c>
      <c r="F2750" s="380" t="s">
        <v>830</v>
      </c>
      <c r="G2750" s="380" t="s">
        <v>1267</v>
      </c>
      <c r="H2750" s="380" t="s">
        <v>771</v>
      </c>
      <c r="I2750" s="380" t="s">
        <v>817</v>
      </c>
      <c r="J2750" s="380" t="s">
        <v>773</v>
      </c>
      <c r="K2750" s="381">
        <v>0.0</v>
      </c>
      <c r="L2750" s="382">
        <v>1.0</v>
      </c>
    </row>
    <row r="2751">
      <c r="A2751" s="380" t="s">
        <v>3614</v>
      </c>
      <c r="B2751" s="380" t="str">
        <f>IFERROR(__xludf.DUMMYFUNCTION("""COMPUTED_VALUE"""),"Tornillo Ro 3/4 X 3 1/2 Tuerca Y Arandel")</f>
        <v>Tornillo Ro 3/4 X 3 1/2 Tuerca Y Arandel</v>
      </c>
      <c r="C2751" s="380" t="str">
        <f>IFERROR(__xludf.DUMMYFUNCTION("""COMPUTED_VALUE"""),"50000349")</f>
        <v>50000349</v>
      </c>
      <c r="D2751" s="380" t="s">
        <v>767</v>
      </c>
      <c r="E2751" s="380" t="s">
        <v>781</v>
      </c>
      <c r="F2751" s="380" t="s">
        <v>830</v>
      </c>
      <c r="G2751" s="380" t="s">
        <v>1267</v>
      </c>
      <c r="H2751" s="380" t="s">
        <v>771</v>
      </c>
      <c r="I2751" s="380" t="s">
        <v>817</v>
      </c>
      <c r="J2751" s="380" t="s">
        <v>773</v>
      </c>
      <c r="K2751" s="381">
        <v>0.0</v>
      </c>
      <c r="L2751" s="382">
        <v>1.0</v>
      </c>
    </row>
    <row r="2752">
      <c r="A2752" s="380" t="s">
        <v>3615</v>
      </c>
      <c r="B2752" s="380" t="str">
        <f>IFERROR(__xludf.DUMMYFUNCTION("""COMPUTED_VALUE"""),"Lamina Negra 1/4"" Hr 4 X 8")</f>
        <v>Lamina Negra 1/4" Hr 4 X 8</v>
      </c>
      <c r="C2752" s="380" t="str">
        <f>IFERROR(__xludf.DUMMYFUNCTION("""COMPUTED_VALUE"""),"50000350")</f>
        <v>50000350</v>
      </c>
      <c r="D2752" s="380" t="s">
        <v>767</v>
      </c>
      <c r="E2752" s="380" t="s">
        <v>781</v>
      </c>
      <c r="F2752" s="380" t="s">
        <v>830</v>
      </c>
      <c r="G2752" s="380" t="s">
        <v>1267</v>
      </c>
      <c r="H2752" s="380" t="s">
        <v>771</v>
      </c>
      <c r="I2752" s="380" t="s">
        <v>817</v>
      </c>
      <c r="J2752" s="380" t="s">
        <v>773</v>
      </c>
      <c r="K2752" s="381">
        <v>0.0</v>
      </c>
      <c r="L2752" s="382">
        <v>1.0</v>
      </c>
    </row>
    <row r="2753">
      <c r="A2753" s="380" t="s">
        <v>3616</v>
      </c>
      <c r="B2753" s="380" t="str">
        <f>IFERROR(__xludf.DUMMYFUNCTION("""COMPUTED_VALUE"""),"Balinera Bomba Agua 6205 2rs")</f>
        <v>Balinera Bomba Agua 6205 2rs</v>
      </c>
      <c r="C2753" s="380" t="str">
        <f>IFERROR(__xludf.DUMMYFUNCTION("""COMPUTED_VALUE"""),"50000352")</f>
        <v>50000352</v>
      </c>
      <c r="D2753" s="380" t="s">
        <v>767</v>
      </c>
      <c r="E2753" s="380" t="s">
        <v>781</v>
      </c>
      <c r="F2753" s="380" t="s">
        <v>830</v>
      </c>
      <c r="G2753" s="380" t="s">
        <v>1267</v>
      </c>
      <c r="H2753" s="380" t="s">
        <v>771</v>
      </c>
      <c r="I2753" s="380" t="s">
        <v>817</v>
      </c>
      <c r="J2753" s="380" t="s">
        <v>773</v>
      </c>
      <c r="K2753" s="381">
        <v>0.0</v>
      </c>
      <c r="L2753" s="382">
        <v>1.0</v>
      </c>
    </row>
    <row r="2754">
      <c r="A2754" s="380" t="s">
        <v>3617</v>
      </c>
      <c r="B2754" s="380" t="str">
        <f>IFERROR(__xludf.DUMMYFUNCTION("""COMPUTED_VALUE"""),"Malla Malla Zaranda Prot. Radiador 14x4")</f>
        <v>Malla Malla Zaranda Prot. Radiador 14x4</v>
      </c>
      <c r="C2754" s="380" t="str">
        <f>IFERROR(__xludf.DUMMYFUNCTION("""COMPUTED_VALUE"""),"50000353")</f>
        <v>50000353</v>
      </c>
      <c r="D2754" s="380" t="s">
        <v>767</v>
      </c>
      <c r="E2754" s="380" t="s">
        <v>781</v>
      </c>
      <c r="F2754" s="380" t="s">
        <v>830</v>
      </c>
      <c r="G2754" s="380" t="s">
        <v>1267</v>
      </c>
      <c r="H2754" s="380" t="s">
        <v>771</v>
      </c>
      <c r="I2754" s="380" t="s">
        <v>817</v>
      </c>
      <c r="J2754" s="380" t="s">
        <v>773</v>
      </c>
      <c r="K2754" s="381">
        <v>0.0</v>
      </c>
      <c r="L2754" s="382">
        <v>1.0</v>
      </c>
    </row>
    <row r="2755">
      <c r="A2755" s="380" t="s">
        <v>3618</v>
      </c>
      <c r="B2755" s="380" t="str">
        <f>IFERROR(__xludf.DUMMYFUNCTION("""COMPUTED_VALUE"""),"Laminas Y Hierros Varios Vehículos")</f>
        <v>Laminas Y Hierros Varios Vehículos</v>
      </c>
      <c r="C2755" s="380" t="str">
        <f>IFERROR(__xludf.DUMMYFUNCTION("""COMPUTED_VALUE"""),"50000354")</f>
        <v>50000354</v>
      </c>
      <c r="D2755" s="380" t="s">
        <v>767</v>
      </c>
      <c r="E2755" s="380" t="s">
        <v>781</v>
      </c>
      <c r="F2755" s="380" t="s">
        <v>830</v>
      </c>
      <c r="G2755" s="380" t="s">
        <v>1267</v>
      </c>
      <c r="H2755" s="380" t="s">
        <v>771</v>
      </c>
      <c r="I2755" s="380" t="s">
        <v>817</v>
      </c>
      <c r="J2755" s="380" t="s">
        <v>773</v>
      </c>
      <c r="K2755" s="381">
        <v>0.0</v>
      </c>
      <c r="L2755" s="382">
        <v>1.0</v>
      </c>
    </row>
    <row r="2756">
      <c r="A2756" s="380" t="s">
        <v>3619</v>
      </c>
      <c r="B2756" s="380" t="str">
        <f>IFERROR(__xludf.DUMMYFUNCTION("""COMPUTED_VALUE"""),"Perfil En U De 3/8 X 12 X 12 Fabricado")</f>
        <v>Perfil En U De 3/8 X 12 X 12 Fabricado</v>
      </c>
      <c r="C2756" s="380" t="str">
        <f>IFERROR(__xludf.DUMMYFUNCTION("""COMPUTED_VALUE"""),"50000355")</f>
        <v>50000355</v>
      </c>
      <c r="D2756" s="380" t="s">
        <v>767</v>
      </c>
      <c r="E2756" s="380" t="s">
        <v>781</v>
      </c>
      <c r="F2756" s="380" t="s">
        <v>830</v>
      </c>
      <c r="G2756" s="380" t="s">
        <v>1267</v>
      </c>
      <c r="H2756" s="380" t="s">
        <v>771</v>
      </c>
      <c r="I2756" s="380" t="s">
        <v>817</v>
      </c>
      <c r="J2756" s="380" t="s">
        <v>773</v>
      </c>
      <c r="K2756" s="381">
        <v>0.0</v>
      </c>
      <c r="L2756" s="382">
        <v>1.0</v>
      </c>
    </row>
    <row r="2757">
      <c r="A2757" s="380" t="s">
        <v>3620</v>
      </c>
      <c r="B2757" s="380" t="str">
        <f>IFERROR(__xludf.DUMMYFUNCTION("""COMPUTED_VALUE"""),"Lamina Lamina Negra 3/16 De 1.20 X 2.40")</f>
        <v>Lamina Lamina Negra 3/16 De 1.20 X 2.40</v>
      </c>
      <c r="C2757" s="380" t="str">
        <f>IFERROR(__xludf.DUMMYFUNCTION("""COMPUTED_VALUE"""),"50000356")</f>
        <v>50000356</v>
      </c>
      <c r="D2757" s="380" t="s">
        <v>767</v>
      </c>
      <c r="E2757" s="380" t="s">
        <v>781</v>
      </c>
      <c r="F2757" s="380" t="s">
        <v>830</v>
      </c>
      <c r="G2757" s="380" t="s">
        <v>1267</v>
      </c>
      <c r="H2757" s="380" t="s">
        <v>771</v>
      </c>
      <c r="I2757" s="380" t="s">
        <v>817</v>
      </c>
      <c r="J2757" s="380" t="s">
        <v>773</v>
      </c>
      <c r="K2757" s="381">
        <v>0.0</v>
      </c>
      <c r="L2757" s="382">
        <v>1.0</v>
      </c>
    </row>
    <row r="2758">
      <c r="A2758" s="380" t="s">
        <v>3621</v>
      </c>
      <c r="B2758" s="380" t="str">
        <f>IFERROR(__xludf.DUMMYFUNCTION("""COMPUTED_VALUE"""),"Viga En I De 3/16x3""X2 1/2x6m")</f>
        <v>Viga En I De 3/16x3"X2 1/2x6m</v>
      </c>
      <c r="C2758" s="380" t="str">
        <f>IFERROR(__xludf.DUMMYFUNCTION("""COMPUTED_VALUE"""),"50000357")</f>
        <v>50000357</v>
      </c>
      <c r="D2758" s="380" t="s">
        <v>767</v>
      </c>
      <c r="E2758" s="380" t="s">
        <v>781</v>
      </c>
      <c r="F2758" s="380" t="s">
        <v>830</v>
      </c>
      <c r="G2758" s="380" t="s">
        <v>1267</v>
      </c>
      <c r="H2758" s="380" t="s">
        <v>771</v>
      </c>
      <c r="I2758" s="380" t="s">
        <v>817</v>
      </c>
      <c r="J2758" s="380" t="s">
        <v>773</v>
      </c>
      <c r="K2758" s="381">
        <v>0.0</v>
      </c>
      <c r="L2758" s="382">
        <v>1.0</v>
      </c>
    </row>
    <row r="2759">
      <c r="A2759" s="380" t="s">
        <v>3622</v>
      </c>
      <c r="B2759" s="380" t="str">
        <f>IFERROR(__xludf.DUMMYFUNCTION("""COMPUTED_VALUE"""),"Riel S Riel Superior Furgon Trailer 3/16")</f>
        <v>Riel S Riel Superior Furgon Trailer 3/16</v>
      </c>
      <c r="C2759" s="380" t="str">
        <f>IFERROR(__xludf.DUMMYFUNCTION("""COMPUTED_VALUE"""),"50000358")</f>
        <v>50000358</v>
      </c>
      <c r="D2759" s="380" t="s">
        <v>767</v>
      </c>
      <c r="E2759" s="380" t="s">
        <v>781</v>
      </c>
      <c r="F2759" s="380" t="s">
        <v>830</v>
      </c>
      <c r="G2759" s="380" t="s">
        <v>1267</v>
      </c>
      <c r="H2759" s="380" t="s">
        <v>771</v>
      </c>
      <c r="I2759" s="380" t="s">
        <v>817</v>
      </c>
      <c r="J2759" s="380" t="s">
        <v>773</v>
      </c>
      <c r="K2759" s="381">
        <v>0.0</v>
      </c>
      <c r="L2759" s="382">
        <v>1.0</v>
      </c>
    </row>
    <row r="2760">
      <c r="A2760" s="380" t="s">
        <v>3623</v>
      </c>
      <c r="B2760" s="380" t="str">
        <f>IFERROR(__xludf.DUMMYFUNCTION("""COMPUTED_VALUE"""),"Lamina Galvanizada Cal-22 1.22x2.44")</f>
        <v>Lamina Galvanizada Cal-22 1.22x2.44</v>
      </c>
      <c r="C2760" s="380" t="str">
        <f>IFERROR(__xludf.DUMMYFUNCTION("""COMPUTED_VALUE"""),"50000359")</f>
        <v>50000359</v>
      </c>
      <c r="D2760" s="380" t="s">
        <v>767</v>
      </c>
      <c r="E2760" s="380" t="s">
        <v>781</v>
      </c>
      <c r="F2760" s="380" t="s">
        <v>830</v>
      </c>
      <c r="G2760" s="380" t="s">
        <v>1267</v>
      </c>
      <c r="H2760" s="380" t="s">
        <v>771</v>
      </c>
      <c r="I2760" s="380" t="s">
        <v>817</v>
      </c>
      <c r="J2760" s="380" t="s">
        <v>773</v>
      </c>
      <c r="K2760" s="381">
        <v>0.0</v>
      </c>
      <c r="L2760" s="382">
        <v>1.0</v>
      </c>
    </row>
    <row r="2761">
      <c r="A2761" s="380" t="s">
        <v>3624</v>
      </c>
      <c r="B2761" s="380" t="str">
        <f>IFERROR(__xludf.DUMMYFUNCTION("""COMPUTED_VALUE"""),"Inserto 3/8 Consumo")</f>
        <v>Inserto 3/8 Consumo</v>
      </c>
      <c r="C2761" s="380" t="str">
        <f>IFERROR(__xludf.DUMMYFUNCTION("""COMPUTED_VALUE"""),"50000361")</f>
        <v>50000361</v>
      </c>
      <c r="D2761" s="380" t="s">
        <v>767</v>
      </c>
      <c r="E2761" s="380" t="s">
        <v>781</v>
      </c>
      <c r="F2761" s="380" t="s">
        <v>830</v>
      </c>
      <c r="G2761" s="380" t="s">
        <v>1267</v>
      </c>
      <c r="H2761" s="380" t="s">
        <v>771</v>
      </c>
      <c r="I2761" s="380" t="s">
        <v>817</v>
      </c>
      <c r="J2761" s="380" t="s">
        <v>773</v>
      </c>
      <c r="K2761" s="381">
        <v>0.0</v>
      </c>
      <c r="L2761" s="382">
        <v>1.0</v>
      </c>
    </row>
    <row r="2762">
      <c r="A2762" s="380" t="s">
        <v>3625</v>
      </c>
      <c r="B2762" s="380" t="str">
        <f>IFERROR(__xludf.DUMMYFUNCTION("""COMPUTED_VALUE"""),"Inserto 1/2 Consumo")</f>
        <v>Inserto 1/2 Consumo</v>
      </c>
      <c r="C2762" s="380" t="str">
        <f>IFERROR(__xludf.DUMMYFUNCTION("""COMPUTED_VALUE"""),"50000362")</f>
        <v>50000362</v>
      </c>
      <c r="D2762" s="380" t="s">
        <v>767</v>
      </c>
      <c r="E2762" s="380" t="s">
        <v>781</v>
      </c>
      <c r="F2762" s="380" t="s">
        <v>830</v>
      </c>
      <c r="G2762" s="380" t="s">
        <v>1267</v>
      </c>
      <c r="H2762" s="380" t="s">
        <v>771</v>
      </c>
      <c r="I2762" s="380" t="s">
        <v>817</v>
      </c>
      <c r="J2762" s="380" t="s">
        <v>773</v>
      </c>
      <c r="K2762" s="381">
        <v>0.0</v>
      </c>
      <c r="L2762" s="382">
        <v>1.0</v>
      </c>
    </row>
    <row r="2763">
      <c r="A2763" s="380" t="s">
        <v>3626</v>
      </c>
      <c r="B2763" s="380" t="str">
        <f>IFERROR(__xludf.DUMMYFUNCTION("""COMPUTED_VALUE"""),"Resortes Varios Vehiculo")</f>
        <v>Resortes Varios Vehiculo</v>
      </c>
      <c r="C2763" s="380" t="str">
        <f>IFERROR(__xludf.DUMMYFUNCTION("""COMPUTED_VALUE"""),"50000363")</f>
        <v>50000363</v>
      </c>
      <c r="D2763" s="380" t="s">
        <v>767</v>
      </c>
      <c r="E2763" s="380" t="s">
        <v>781</v>
      </c>
      <c r="F2763" s="380" t="s">
        <v>830</v>
      </c>
      <c r="G2763" s="380" t="s">
        <v>1267</v>
      </c>
      <c r="H2763" s="380" t="s">
        <v>771</v>
      </c>
      <c r="I2763" s="380" t="s">
        <v>817</v>
      </c>
      <c r="J2763" s="380" t="s">
        <v>773</v>
      </c>
      <c r="K2763" s="381">
        <v>0.0</v>
      </c>
      <c r="L2763" s="382">
        <v>1.0</v>
      </c>
    </row>
    <row r="2764">
      <c r="A2764" s="380" t="s">
        <v>3627</v>
      </c>
      <c r="B2764" s="380" t="str">
        <f>IFERROR(__xludf.DUMMYFUNCTION("""COMPUTED_VALUE"""),"Balinera Sello Metalico 6202 Zz")</f>
        <v>Balinera Sello Metalico 6202 Zz</v>
      </c>
      <c r="C2764" s="380" t="str">
        <f>IFERROR(__xludf.DUMMYFUNCTION("""COMPUTED_VALUE"""),"50000364")</f>
        <v>50000364</v>
      </c>
      <c r="D2764" s="380" t="s">
        <v>767</v>
      </c>
      <c r="E2764" s="380" t="s">
        <v>781</v>
      </c>
      <c r="F2764" s="380" t="s">
        <v>830</v>
      </c>
      <c r="G2764" s="380" t="s">
        <v>1267</v>
      </c>
      <c r="H2764" s="380" t="s">
        <v>771</v>
      </c>
      <c r="I2764" s="380" t="s">
        <v>817</v>
      </c>
      <c r="J2764" s="380" t="s">
        <v>773</v>
      </c>
      <c r="K2764" s="381">
        <v>0.0</v>
      </c>
      <c r="L2764" s="382">
        <v>1.0</v>
      </c>
    </row>
    <row r="2765">
      <c r="A2765" s="380" t="s">
        <v>3628</v>
      </c>
      <c r="B2765" s="380" t="str">
        <f>IFERROR(__xludf.DUMMYFUNCTION("""COMPUTED_VALUE"""),"Varilla Calibrada 13 Mm X 6mts")</f>
        <v>Varilla Calibrada 13 Mm X 6mts</v>
      </c>
      <c r="C2765" s="380" t="str">
        <f>IFERROR(__xludf.DUMMYFUNCTION("""COMPUTED_VALUE"""),"50000365")</f>
        <v>50000365</v>
      </c>
      <c r="D2765" s="380" t="s">
        <v>767</v>
      </c>
      <c r="E2765" s="380" t="s">
        <v>781</v>
      </c>
      <c r="F2765" s="380" t="s">
        <v>830</v>
      </c>
      <c r="G2765" s="380" t="s">
        <v>1267</v>
      </c>
      <c r="H2765" s="380" t="s">
        <v>771</v>
      </c>
      <c r="I2765" s="380" t="s">
        <v>817</v>
      </c>
      <c r="J2765" s="380" t="s">
        <v>773</v>
      </c>
      <c r="K2765" s="381">
        <v>0.0</v>
      </c>
      <c r="L2765" s="382">
        <v>1.0</v>
      </c>
    </row>
    <row r="2766">
      <c r="A2766" s="380" t="s">
        <v>3629</v>
      </c>
      <c r="B2766" s="380" t="str">
        <f>IFERROR(__xludf.DUMMYFUNCTION("""COMPUTED_VALUE"""),"L Lamina Negra Calibre 14 De 1.22 X 2.60")</f>
        <v>L Lamina Negra Calibre 14 De 1.22 X 2.60</v>
      </c>
      <c r="C2766" s="380" t="str">
        <f>IFERROR(__xludf.DUMMYFUNCTION("""COMPUTED_VALUE"""),"50000366")</f>
        <v>50000366</v>
      </c>
      <c r="D2766" s="380" t="s">
        <v>767</v>
      </c>
      <c r="E2766" s="380" t="s">
        <v>781</v>
      </c>
      <c r="F2766" s="380" t="s">
        <v>830</v>
      </c>
      <c r="G2766" s="380" t="s">
        <v>1267</v>
      </c>
      <c r="H2766" s="380" t="s">
        <v>771</v>
      </c>
      <c r="I2766" s="380" t="s">
        <v>817</v>
      </c>
      <c r="J2766" s="380" t="s">
        <v>773</v>
      </c>
      <c r="K2766" s="381">
        <v>0.0</v>
      </c>
      <c r="L2766" s="382">
        <v>1.0</v>
      </c>
    </row>
    <row r="2767">
      <c r="A2767" s="380" t="s">
        <v>3630</v>
      </c>
      <c r="B2767" s="380" t="str">
        <f>IFERROR(__xludf.DUMMYFUNCTION("""COMPUTED_VALUE"""),"Lamina Galvanizada C-16 X 120")</f>
        <v>Lamina Galvanizada C-16 X 120</v>
      </c>
      <c r="C2767" s="380" t="str">
        <f>IFERROR(__xludf.DUMMYFUNCTION("""COMPUTED_VALUE"""),"50000369")</f>
        <v>50000369</v>
      </c>
      <c r="D2767" s="380" t="s">
        <v>767</v>
      </c>
      <c r="E2767" s="380" t="s">
        <v>781</v>
      </c>
      <c r="F2767" s="380" t="s">
        <v>830</v>
      </c>
      <c r="G2767" s="380" t="s">
        <v>1267</v>
      </c>
      <c r="H2767" s="380" t="s">
        <v>771</v>
      </c>
      <c r="I2767" s="380" t="s">
        <v>817</v>
      </c>
      <c r="J2767" s="380" t="s">
        <v>773</v>
      </c>
      <c r="K2767" s="381">
        <v>0.0</v>
      </c>
      <c r="L2767" s="382">
        <v>1.0</v>
      </c>
    </row>
    <row r="2768">
      <c r="A2768" s="380" t="s">
        <v>3631</v>
      </c>
      <c r="B2768" s="380" t="str">
        <f>IFERROR(__xludf.DUMMYFUNCTION("""COMPUTED_VALUE"""),"Platin Platina Hierro 1/8 X 1.1/2 X 6mts")</f>
        <v>Platin Platina Hierro 1/8 X 1.1/2 X 6mts</v>
      </c>
      <c r="C2768" s="380" t="str">
        <f>IFERROR(__xludf.DUMMYFUNCTION("""COMPUTED_VALUE"""),"50000372")</f>
        <v>50000372</v>
      </c>
      <c r="D2768" s="380" t="s">
        <v>767</v>
      </c>
      <c r="E2768" s="380" t="s">
        <v>781</v>
      </c>
      <c r="F2768" s="380" t="s">
        <v>830</v>
      </c>
      <c r="G2768" s="380" t="s">
        <v>1267</v>
      </c>
      <c r="H2768" s="380" t="s">
        <v>771</v>
      </c>
      <c r="I2768" s="380" t="s">
        <v>817</v>
      </c>
      <c r="J2768" s="380" t="s">
        <v>773</v>
      </c>
      <c r="K2768" s="381">
        <v>0.0</v>
      </c>
      <c r="L2768" s="382">
        <v>1.0</v>
      </c>
    </row>
    <row r="2769">
      <c r="A2769" s="380" t="s">
        <v>3632</v>
      </c>
      <c r="B2769" s="380" t="str">
        <f>IFERROR(__xludf.DUMMYFUNCTION("""COMPUTED_VALUE"""),"Cinta Autofundente 18mm X 9.1")</f>
        <v>Cinta Autofundente 18mm X 9.1</v>
      </c>
      <c r="C2769" s="380" t="str">
        <f>IFERROR(__xludf.DUMMYFUNCTION("""COMPUTED_VALUE"""),"50000373")</f>
        <v>50000373</v>
      </c>
      <c r="D2769" s="380" t="s">
        <v>767</v>
      </c>
      <c r="E2769" s="380" t="s">
        <v>781</v>
      </c>
      <c r="F2769" s="380" t="s">
        <v>830</v>
      </c>
      <c r="G2769" s="380" t="s">
        <v>1267</v>
      </c>
      <c r="H2769" s="380" t="s">
        <v>771</v>
      </c>
      <c r="I2769" s="380" t="s">
        <v>817</v>
      </c>
      <c r="J2769" s="380" t="s">
        <v>773</v>
      </c>
      <c r="K2769" s="381">
        <v>0.0</v>
      </c>
      <c r="L2769" s="382">
        <v>1.0</v>
      </c>
    </row>
    <row r="2770">
      <c r="A2770" s="380" t="s">
        <v>3633</v>
      </c>
      <c r="B2770" s="380" t="str">
        <f>IFERROR(__xludf.DUMMYFUNCTION("""COMPUTED_VALUE"""),"Lamina Neg Lamina Negra 9.00mm 1.20x2.40")</f>
        <v>Lamina Neg Lamina Negra 9.00mm 1.20x2.40</v>
      </c>
      <c r="C2770" s="380" t="str">
        <f>IFERROR(__xludf.DUMMYFUNCTION("""COMPUTED_VALUE"""),"50000374")</f>
        <v>50000374</v>
      </c>
      <c r="D2770" s="380" t="s">
        <v>767</v>
      </c>
      <c r="E2770" s="380" t="s">
        <v>781</v>
      </c>
      <c r="F2770" s="380" t="s">
        <v>830</v>
      </c>
      <c r="G2770" s="380" t="s">
        <v>1267</v>
      </c>
      <c r="H2770" s="380" t="s">
        <v>771</v>
      </c>
      <c r="I2770" s="380" t="s">
        <v>817</v>
      </c>
      <c r="J2770" s="380" t="s">
        <v>773</v>
      </c>
      <c r="K2770" s="381">
        <v>0.0</v>
      </c>
      <c r="L2770" s="382">
        <v>1.0</v>
      </c>
    </row>
    <row r="2771">
      <c r="A2771" s="380" t="s">
        <v>3634</v>
      </c>
      <c r="B2771" s="380" t="str">
        <f>IFERROR(__xludf.DUMMYFUNCTION("""COMPUTED_VALUE"""),"Tubo Negr Tubo Negro Red 1.1/2"" 2.5mm 6m")</f>
        <v>Tubo Negr Tubo Negro Red 1.1/2" 2.5mm 6m</v>
      </c>
      <c r="C2771" s="380" t="str">
        <f>IFERROR(__xludf.DUMMYFUNCTION("""COMPUTED_VALUE"""),"50000375")</f>
        <v>50000375</v>
      </c>
      <c r="D2771" s="380" t="s">
        <v>767</v>
      </c>
      <c r="E2771" s="380" t="s">
        <v>781</v>
      </c>
      <c r="F2771" s="380" t="s">
        <v>830</v>
      </c>
      <c r="G2771" s="380" t="s">
        <v>1267</v>
      </c>
      <c r="H2771" s="380" t="s">
        <v>771</v>
      </c>
      <c r="I2771" s="380" t="s">
        <v>817</v>
      </c>
      <c r="J2771" s="380" t="s">
        <v>773</v>
      </c>
      <c r="K2771" s="381">
        <v>0.0</v>
      </c>
      <c r="L2771" s="382">
        <v>1.0</v>
      </c>
    </row>
    <row r="2772">
      <c r="A2772" s="380" t="s">
        <v>3635</v>
      </c>
      <c r="B2772" s="380" t="str">
        <f>IFERROR(__xludf.DUMMYFUNCTION("""COMPUTED_VALUE"""),"Racor Recto 1/4 X 1/8 B-66")</f>
        <v>Racor Recto 1/4 X 1/8 B-66</v>
      </c>
      <c r="C2772" s="380" t="str">
        <f>IFERROR(__xludf.DUMMYFUNCTION("""COMPUTED_VALUE"""),"50000376")</f>
        <v>50000376</v>
      </c>
      <c r="D2772" s="380" t="s">
        <v>767</v>
      </c>
      <c r="E2772" s="380" t="s">
        <v>781</v>
      </c>
      <c r="F2772" s="380" t="s">
        <v>830</v>
      </c>
      <c r="G2772" s="380" t="s">
        <v>1267</v>
      </c>
      <c r="H2772" s="380" t="s">
        <v>771</v>
      </c>
      <c r="I2772" s="380" t="s">
        <v>817</v>
      </c>
      <c r="J2772" s="380" t="s">
        <v>773</v>
      </c>
      <c r="K2772" s="381">
        <v>0.0</v>
      </c>
      <c r="L2772" s="382">
        <v>1.0</v>
      </c>
    </row>
    <row r="2773">
      <c r="A2773" s="380" t="s">
        <v>3636</v>
      </c>
      <c r="B2773" s="380" t="str">
        <f>IFERROR(__xludf.DUMMYFUNCTION("""COMPUTED_VALUE"""),"Candado Flexible 666002")</f>
        <v>Candado Flexible 666002</v>
      </c>
      <c r="C2773" s="380" t="str">
        <f>IFERROR(__xludf.DUMMYFUNCTION("""COMPUTED_VALUE"""),"50000377")</f>
        <v>50000377</v>
      </c>
      <c r="D2773" s="380" t="s">
        <v>767</v>
      </c>
      <c r="E2773" s="380" t="s">
        <v>781</v>
      </c>
      <c r="F2773" s="380" t="s">
        <v>830</v>
      </c>
      <c r="G2773" s="380" t="s">
        <v>1267</v>
      </c>
      <c r="H2773" s="380" t="s">
        <v>771</v>
      </c>
      <c r="I2773" s="380" t="s">
        <v>817</v>
      </c>
      <c r="J2773" s="380" t="s">
        <v>773</v>
      </c>
      <c r="K2773" s="381">
        <v>0.0</v>
      </c>
      <c r="L2773" s="382">
        <v>1.0</v>
      </c>
    </row>
    <row r="2774">
      <c r="A2774" s="380" t="s">
        <v>3637</v>
      </c>
      <c r="B2774" s="380" t="str">
        <f>IFERROR(__xludf.DUMMYFUNCTION("""COMPUTED_VALUE"""),"Pegantes Varios")</f>
        <v>Pegantes Varios</v>
      </c>
      <c r="C2774" s="380" t="str">
        <f>IFERROR(__xludf.DUMMYFUNCTION("""COMPUTED_VALUE"""),"50000378")</f>
        <v>50000378</v>
      </c>
      <c r="D2774" s="380" t="s">
        <v>767</v>
      </c>
      <c r="E2774" s="380" t="s">
        <v>781</v>
      </c>
      <c r="F2774" s="380" t="s">
        <v>830</v>
      </c>
      <c r="G2774" s="380" t="s">
        <v>1267</v>
      </c>
      <c r="H2774" s="380" t="s">
        <v>771</v>
      </c>
      <c r="I2774" s="380" t="s">
        <v>817</v>
      </c>
      <c r="J2774" s="380" t="s">
        <v>773</v>
      </c>
      <c r="K2774" s="381">
        <v>0.0</v>
      </c>
      <c r="L2774" s="382">
        <v>1.0</v>
      </c>
    </row>
    <row r="2775">
      <c r="A2775" s="380" t="s">
        <v>3638</v>
      </c>
      <c r="B2775" s="380" t="str">
        <f>IFERROR(__xludf.DUMMYFUNCTION("""COMPUTED_VALUE"""),"Angulo Hierro 3/16"" X 2"" X 6 Mts")</f>
        <v>Angulo Hierro 3/16" X 2" X 6 Mts</v>
      </c>
      <c r="C2775" s="380" t="str">
        <f>IFERROR(__xludf.DUMMYFUNCTION("""COMPUTED_VALUE"""),"50000379")</f>
        <v>50000379</v>
      </c>
      <c r="D2775" s="380" t="s">
        <v>767</v>
      </c>
      <c r="E2775" s="380" t="s">
        <v>781</v>
      </c>
      <c r="F2775" s="380" t="s">
        <v>830</v>
      </c>
      <c r="G2775" s="380" t="s">
        <v>1267</v>
      </c>
      <c r="H2775" s="380" t="s">
        <v>771</v>
      </c>
      <c r="I2775" s="380" t="s">
        <v>817</v>
      </c>
      <c r="J2775" s="380" t="s">
        <v>773</v>
      </c>
      <c r="K2775" s="381">
        <v>0.0</v>
      </c>
      <c r="L2775" s="382">
        <v>1.0</v>
      </c>
    </row>
    <row r="2776">
      <c r="A2776" s="380" t="s">
        <v>3639</v>
      </c>
      <c r="B2776" s="380" t="str">
        <f>IFERROR(__xludf.DUMMYFUNCTION("""COMPUTED_VALUE"""),"Cana Canal En U 4 X 3/16 X 1.1/2 X 6 Mts")</f>
        <v>Cana Canal En U 4 X 3/16 X 1.1/2 X 6 Mts</v>
      </c>
      <c r="C2776" s="380" t="str">
        <f>IFERROR(__xludf.DUMMYFUNCTION("""COMPUTED_VALUE"""),"50000380")</f>
        <v>50000380</v>
      </c>
      <c r="D2776" s="380" t="s">
        <v>767</v>
      </c>
      <c r="E2776" s="380" t="s">
        <v>781</v>
      </c>
      <c r="F2776" s="380" t="s">
        <v>830</v>
      </c>
      <c r="G2776" s="380" t="s">
        <v>1267</v>
      </c>
      <c r="H2776" s="380" t="s">
        <v>771</v>
      </c>
      <c r="I2776" s="380" t="s">
        <v>817</v>
      </c>
      <c r="J2776" s="380" t="s">
        <v>773</v>
      </c>
      <c r="K2776" s="381">
        <v>0.0</v>
      </c>
      <c r="L2776" s="382">
        <v>1.0</v>
      </c>
    </row>
    <row r="2777">
      <c r="A2777" s="380" t="s">
        <v>3640</v>
      </c>
      <c r="B2777" s="380" t="str">
        <f>IFERROR(__xludf.DUMMYFUNCTION("""COMPUTED_VALUE"""),"Viga En I De 4"" X 3/16 X 2 X 6mts")</f>
        <v>Viga En I De 4" X 3/16 X 2 X 6mts</v>
      </c>
      <c r="C2777" s="380" t="str">
        <f>IFERROR(__xludf.DUMMYFUNCTION("""COMPUTED_VALUE"""),"50000381")</f>
        <v>50000381</v>
      </c>
      <c r="D2777" s="380" t="s">
        <v>767</v>
      </c>
      <c r="E2777" s="380" t="s">
        <v>781</v>
      </c>
      <c r="F2777" s="380" t="s">
        <v>830</v>
      </c>
      <c r="G2777" s="380" t="s">
        <v>1267</v>
      </c>
      <c r="H2777" s="380" t="s">
        <v>771</v>
      </c>
      <c r="I2777" s="380" t="s">
        <v>817</v>
      </c>
      <c r="J2777" s="380" t="s">
        <v>773</v>
      </c>
      <c r="K2777" s="381">
        <v>0.0</v>
      </c>
      <c r="L2777" s="382">
        <v>1.0</v>
      </c>
    </row>
    <row r="2778">
      <c r="A2778" s="380" t="s">
        <v>3641</v>
      </c>
      <c r="B2778" s="380" t="str">
        <f>IFERROR(__xludf.DUMMYFUNCTION("""COMPUTED_VALUE"""),"Cinta Doble Face Roja De 12mm")</f>
        <v>Cinta Doble Face Roja De 12mm</v>
      </c>
      <c r="C2778" s="380" t="str">
        <f>IFERROR(__xludf.DUMMYFUNCTION("""COMPUTED_VALUE"""),"50000382")</f>
        <v>50000382</v>
      </c>
      <c r="D2778" s="380" t="s">
        <v>767</v>
      </c>
      <c r="E2778" s="380" t="s">
        <v>781</v>
      </c>
      <c r="F2778" s="380" t="s">
        <v>830</v>
      </c>
      <c r="G2778" s="380" t="s">
        <v>1267</v>
      </c>
      <c r="H2778" s="380" t="s">
        <v>771</v>
      </c>
      <c r="I2778" s="380" t="s">
        <v>817</v>
      </c>
      <c r="J2778" s="380" t="s">
        <v>773</v>
      </c>
      <c r="K2778" s="381">
        <v>0.0</v>
      </c>
      <c r="L2778" s="382">
        <v>1.0</v>
      </c>
    </row>
    <row r="2779">
      <c r="A2779" s="380" t="s">
        <v>3642</v>
      </c>
      <c r="B2779" s="380" t="str">
        <f>IFERROR(__xludf.DUMMYFUNCTION("""COMPUTED_VALUE"""),"Lamina De Lamina De Piso Gav. C-14 X 120")</f>
        <v>Lamina De Lamina De Piso Gav. C-14 X 120</v>
      </c>
      <c r="C2779" s="380" t="str">
        <f>IFERROR(__xludf.DUMMYFUNCTION("""COMPUTED_VALUE"""),"50000383")</f>
        <v>50000383</v>
      </c>
      <c r="D2779" s="380" t="s">
        <v>767</v>
      </c>
      <c r="E2779" s="380" t="s">
        <v>781</v>
      </c>
      <c r="F2779" s="380" t="s">
        <v>830</v>
      </c>
      <c r="G2779" s="380" t="s">
        <v>1267</v>
      </c>
      <c r="H2779" s="380" t="s">
        <v>771</v>
      </c>
      <c r="I2779" s="380" t="s">
        <v>817</v>
      </c>
      <c r="J2779" s="380" t="s">
        <v>773</v>
      </c>
      <c r="K2779" s="381">
        <v>0.0</v>
      </c>
      <c r="L2779" s="382">
        <v>1.0</v>
      </c>
    </row>
    <row r="2780">
      <c r="A2780" s="380" t="s">
        <v>3643</v>
      </c>
      <c r="B2780" s="380" t="str">
        <f>IFERROR(__xludf.DUMMYFUNCTION("""COMPUTED_VALUE"""),"Tubo Cuadrado 1/2 C-16 X 6mts")</f>
        <v>Tubo Cuadrado 1/2 C-16 X 6mts</v>
      </c>
      <c r="C2780" s="380" t="str">
        <f>IFERROR(__xludf.DUMMYFUNCTION("""COMPUTED_VALUE"""),"50000385")</f>
        <v>50000385</v>
      </c>
      <c r="D2780" s="380" t="s">
        <v>767</v>
      </c>
      <c r="E2780" s="380" t="s">
        <v>781</v>
      </c>
      <c r="F2780" s="380" t="s">
        <v>830</v>
      </c>
      <c r="G2780" s="380" t="s">
        <v>1267</v>
      </c>
      <c r="H2780" s="380" t="s">
        <v>771</v>
      </c>
      <c r="I2780" s="380" t="s">
        <v>817</v>
      </c>
      <c r="J2780" s="380" t="s">
        <v>773</v>
      </c>
      <c r="K2780" s="381">
        <v>0.0</v>
      </c>
      <c r="L2780" s="382">
        <v>1.0</v>
      </c>
    </row>
    <row r="2781">
      <c r="A2781" s="380" t="s">
        <v>3644</v>
      </c>
      <c r="B2781" s="380" t="str">
        <f>IFERROR(__xludf.DUMMYFUNCTION("""COMPUTED_VALUE"""),"Cable Coaxial Varios Rg 58")</f>
        <v>Cable Coaxial Varios Rg 58</v>
      </c>
      <c r="C2781" s="380" t="str">
        <f>IFERROR(__xludf.DUMMYFUNCTION("""COMPUTED_VALUE"""),"50000387")</f>
        <v>50000387</v>
      </c>
      <c r="D2781" s="380" t="s">
        <v>767</v>
      </c>
      <c r="E2781" s="380" t="s">
        <v>781</v>
      </c>
      <c r="F2781" s="380" t="s">
        <v>830</v>
      </c>
      <c r="G2781" s="380" t="s">
        <v>1267</v>
      </c>
      <c r="H2781" s="380" t="s">
        <v>771</v>
      </c>
      <c r="I2781" s="380" t="s">
        <v>817</v>
      </c>
      <c r="J2781" s="380" t="s">
        <v>773</v>
      </c>
      <c r="K2781" s="381">
        <v>0.0</v>
      </c>
      <c r="L2781" s="382">
        <v>1.0</v>
      </c>
    </row>
    <row r="2782">
      <c r="A2782" s="380" t="s">
        <v>3645</v>
      </c>
      <c r="B2782" s="380" t="str">
        <f>IFERROR(__xludf.DUMMYFUNCTION("""COMPUTED_VALUE"""),"Tubo Negro Tubo Negro Red 2"" 1.5mm X 6mt")</f>
        <v>Tubo Negro Tubo Negro Red 2" 1.5mm X 6mt</v>
      </c>
      <c r="C2782" s="380" t="str">
        <f>IFERROR(__xludf.DUMMYFUNCTION("""COMPUTED_VALUE"""),"50000388")</f>
        <v>50000388</v>
      </c>
      <c r="D2782" s="380" t="s">
        <v>767</v>
      </c>
      <c r="E2782" s="380" t="s">
        <v>781</v>
      </c>
      <c r="F2782" s="380" t="s">
        <v>830</v>
      </c>
      <c r="G2782" s="380" t="s">
        <v>1267</v>
      </c>
      <c r="H2782" s="380" t="s">
        <v>771</v>
      </c>
      <c r="I2782" s="380" t="s">
        <v>817</v>
      </c>
      <c r="J2782" s="380" t="s">
        <v>773</v>
      </c>
      <c r="K2782" s="381">
        <v>0.0</v>
      </c>
      <c r="L2782" s="382">
        <v>1.0</v>
      </c>
    </row>
    <row r="2783">
      <c r="A2783" s="380" t="s">
        <v>3646</v>
      </c>
      <c r="B2783" s="380" t="str">
        <f>IFERROR(__xludf.DUMMYFUNCTION("""COMPUTED_VALUE"""),"Tornillo G8 Ro 5/8"" X 2""")</f>
        <v>Tornillo G8 Ro 5/8" X 2"</v>
      </c>
      <c r="C2783" s="380" t="str">
        <f>IFERROR(__xludf.DUMMYFUNCTION("""COMPUTED_VALUE"""),"50000389")</f>
        <v>50000389</v>
      </c>
      <c r="D2783" s="380" t="s">
        <v>767</v>
      </c>
      <c r="E2783" s="380" t="s">
        <v>781</v>
      </c>
      <c r="F2783" s="380" t="s">
        <v>830</v>
      </c>
      <c r="G2783" s="380" t="s">
        <v>1267</v>
      </c>
      <c r="H2783" s="380" t="s">
        <v>771</v>
      </c>
      <c r="I2783" s="380" t="s">
        <v>817</v>
      </c>
      <c r="J2783" s="380" t="s">
        <v>773</v>
      </c>
      <c r="K2783" s="381">
        <v>0.0</v>
      </c>
      <c r="L2783" s="382">
        <v>1.0</v>
      </c>
    </row>
    <row r="2784">
      <c r="A2784" s="380" t="s">
        <v>3647</v>
      </c>
      <c r="B2784" s="380" t="str">
        <f>IFERROR(__xludf.DUMMYFUNCTION("""COMPUTED_VALUE"""),"Calcomania Placa Puerta Latera")</f>
        <v>Calcomania Placa Puerta Latera</v>
      </c>
      <c r="C2784" s="380" t="str">
        <f>IFERROR(__xludf.DUMMYFUNCTION("""COMPUTED_VALUE"""),"50000390")</f>
        <v>50000390</v>
      </c>
      <c r="D2784" s="380" t="s">
        <v>767</v>
      </c>
      <c r="E2784" s="380" t="s">
        <v>781</v>
      </c>
      <c r="F2784" s="380" t="s">
        <v>819</v>
      </c>
      <c r="G2784" s="380" t="s">
        <v>1267</v>
      </c>
      <c r="H2784" s="380" t="s">
        <v>771</v>
      </c>
      <c r="I2784" s="380" t="s">
        <v>817</v>
      </c>
      <c r="J2784" s="380" t="s">
        <v>773</v>
      </c>
      <c r="K2784" s="381">
        <v>0.0</v>
      </c>
      <c r="L2784" s="382">
        <v>1.0</v>
      </c>
    </row>
    <row r="2785">
      <c r="A2785" s="380" t="s">
        <v>3648</v>
      </c>
      <c r="B2785" s="380" t="str">
        <f>IFERROR(__xludf.DUMMYFUNCTION("""COMPUTED_VALUE"""),"Punteras Surtidas Para Mangueras De Aire")</f>
        <v>Punteras Surtidas Para Mangueras De Aire</v>
      </c>
      <c r="C2785" s="380" t="str">
        <f>IFERROR(__xludf.DUMMYFUNCTION("""COMPUTED_VALUE"""),"50000391")</f>
        <v>50000391</v>
      </c>
      <c r="D2785" s="380" t="s">
        <v>767</v>
      </c>
      <c r="E2785" s="380" t="s">
        <v>781</v>
      </c>
      <c r="F2785" s="380" t="s">
        <v>830</v>
      </c>
      <c r="G2785" s="380" t="s">
        <v>1267</v>
      </c>
      <c r="H2785" s="380" t="s">
        <v>771</v>
      </c>
      <c r="I2785" s="380" t="s">
        <v>817</v>
      </c>
      <c r="J2785" s="380" t="s">
        <v>773</v>
      </c>
      <c r="K2785" s="381">
        <v>0.0</v>
      </c>
      <c r="L2785" s="382">
        <v>1.0</v>
      </c>
    </row>
    <row r="2786">
      <c r="A2786" s="380" t="s">
        <v>3649</v>
      </c>
      <c r="B2786" s="380" t="str">
        <f>IFERROR(__xludf.DUMMYFUNCTION("""COMPUTED_VALUE"""),"Garbanzos Para Mangueras De Aire")</f>
        <v>Garbanzos Para Mangueras De Aire</v>
      </c>
      <c r="C2786" s="380" t="str">
        <f>IFERROR(__xludf.DUMMYFUNCTION("""COMPUTED_VALUE"""),"50000392")</f>
        <v>50000392</v>
      </c>
      <c r="D2786" s="380" t="s">
        <v>767</v>
      </c>
      <c r="E2786" s="380" t="s">
        <v>781</v>
      </c>
      <c r="F2786" s="380" t="s">
        <v>830</v>
      </c>
      <c r="G2786" s="380" t="s">
        <v>1267</v>
      </c>
      <c r="H2786" s="380" t="s">
        <v>771</v>
      </c>
      <c r="I2786" s="380" t="s">
        <v>817</v>
      </c>
      <c r="J2786" s="380" t="s">
        <v>773</v>
      </c>
      <c r="K2786" s="381">
        <v>0.0</v>
      </c>
      <c r="L2786" s="382">
        <v>1.0</v>
      </c>
    </row>
    <row r="2787">
      <c r="A2787" s="380" t="s">
        <v>3650</v>
      </c>
      <c r="B2787" s="380" t="str">
        <f>IFERROR(__xludf.DUMMYFUNCTION("""COMPUTED_VALUE"""),"Lamina De Aluminio 1mm X 1mt")</f>
        <v>Lamina De Aluminio 1mm X 1mt</v>
      </c>
      <c r="C2787" s="380" t="str">
        <f>IFERROR(__xludf.DUMMYFUNCTION("""COMPUTED_VALUE"""),"50000393")</f>
        <v>50000393</v>
      </c>
      <c r="D2787" s="380" t="s">
        <v>767</v>
      </c>
      <c r="E2787" s="380" t="s">
        <v>781</v>
      </c>
      <c r="F2787" s="380" t="s">
        <v>830</v>
      </c>
      <c r="G2787" s="380" t="s">
        <v>1267</v>
      </c>
      <c r="H2787" s="380" t="s">
        <v>771</v>
      </c>
      <c r="I2787" s="380" t="s">
        <v>817</v>
      </c>
      <c r="J2787" s="380" t="s">
        <v>773</v>
      </c>
      <c r="K2787" s="381">
        <v>0.0</v>
      </c>
      <c r="L2787" s="382">
        <v>1.0</v>
      </c>
    </row>
    <row r="2788">
      <c r="A2788" s="380" t="s">
        <v>3651</v>
      </c>
      <c r="B2788" s="380" t="str">
        <f>IFERROR(__xludf.DUMMYFUNCTION("""COMPUTED_VALUE"""),"Tubo Negr Tubo Negro Red 1"" 2.5mm X 6mts")</f>
        <v>Tubo Negr Tubo Negro Red 1" 2.5mm X 6mts</v>
      </c>
      <c r="C2788" s="380" t="str">
        <f>IFERROR(__xludf.DUMMYFUNCTION("""COMPUTED_VALUE"""),"50000394")</f>
        <v>50000394</v>
      </c>
      <c r="D2788" s="380" t="s">
        <v>767</v>
      </c>
      <c r="E2788" s="380" t="s">
        <v>781</v>
      </c>
      <c r="F2788" s="380" t="s">
        <v>830</v>
      </c>
      <c r="G2788" s="380" t="s">
        <v>1267</v>
      </c>
      <c r="H2788" s="380" t="s">
        <v>771</v>
      </c>
      <c r="I2788" s="380" t="s">
        <v>817</v>
      </c>
      <c r="J2788" s="380" t="s">
        <v>773</v>
      </c>
      <c r="K2788" s="381">
        <v>0.0</v>
      </c>
      <c r="L2788" s="382">
        <v>1.0</v>
      </c>
    </row>
    <row r="2789">
      <c r="A2789" s="380" t="s">
        <v>3652</v>
      </c>
      <c r="B2789" s="380" t="str">
        <f>IFERROR(__xludf.DUMMYFUNCTION("""COMPUTED_VALUE"""),"Tubo Negr Tubo Negro Red 3/4 1.9mm X 6mt")</f>
        <v>Tubo Negr Tubo Negro Red 3/4 1.9mm X 6mt</v>
      </c>
      <c r="C2789" s="380" t="str">
        <f>IFERROR(__xludf.DUMMYFUNCTION("""COMPUTED_VALUE"""),"50000395")</f>
        <v>50000395</v>
      </c>
      <c r="D2789" s="380" t="s">
        <v>767</v>
      </c>
      <c r="E2789" s="380" t="s">
        <v>781</v>
      </c>
      <c r="F2789" s="380" t="s">
        <v>830</v>
      </c>
      <c r="G2789" s="380" t="s">
        <v>1267</v>
      </c>
      <c r="H2789" s="380" t="s">
        <v>771</v>
      </c>
      <c r="I2789" s="380" t="s">
        <v>817</v>
      </c>
      <c r="J2789" s="380" t="s">
        <v>773</v>
      </c>
      <c r="K2789" s="381">
        <v>0.0</v>
      </c>
      <c r="L2789" s="382">
        <v>1.0</v>
      </c>
    </row>
    <row r="2790">
      <c r="A2790" s="380" t="s">
        <v>3653</v>
      </c>
      <c r="B2790" s="380" t="str">
        <f>IFERROR(__xludf.DUMMYFUNCTION("""COMPUTED_VALUE"""),"Tubo Cuadrado 1"" C-18 X 6mts")</f>
        <v>Tubo Cuadrado 1" C-18 X 6mts</v>
      </c>
      <c r="C2790" s="380" t="str">
        <f>IFERROR(__xludf.DUMMYFUNCTION("""COMPUTED_VALUE"""),"50000396")</f>
        <v>50000396</v>
      </c>
      <c r="D2790" s="380" t="s">
        <v>767</v>
      </c>
      <c r="E2790" s="380" t="s">
        <v>781</v>
      </c>
      <c r="F2790" s="380" t="s">
        <v>830</v>
      </c>
      <c r="G2790" s="380" t="s">
        <v>1267</v>
      </c>
      <c r="H2790" s="380" t="s">
        <v>771</v>
      </c>
      <c r="I2790" s="380" t="s">
        <v>817</v>
      </c>
      <c r="J2790" s="380" t="s">
        <v>773</v>
      </c>
      <c r="K2790" s="381">
        <v>0.0</v>
      </c>
      <c r="L2790" s="382">
        <v>1.0</v>
      </c>
    </row>
    <row r="2791">
      <c r="A2791" s="380" t="s">
        <v>3654</v>
      </c>
      <c r="B2791" s="380" t="str">
        <f>IFERROR(__xludf.DUMMYFUNCTION("""COMPUTED_VALUE"""),"Perfiles Varios")</f>
        <v>Perfiles Varios</v>
      </c>
      <c r="C2791" s="380" t="str">
        <f>IFERROR(__xludf.DUMMYFUNCTION("""COMPUTED_VALUE"""),"50000397")</f>
        <v>50000397</v>
      </c>
      <c r="D2791" s="380" t="s">
        <v>767</v>
      </c>
      <c r="E2791" s="380" t="s">
        <v>781</v>
      </c>
      <c r="F2791" s="380" t="s">
        <v>830</v>
      </c>
      <c r="G2791" s="380" t="s">
        <v>1267</v>
      </c>
      <c r="H2791" s="380" t="s">
        <v>771</v>
      </c>
      <c r="I2791" s="380" t="s">
        <v>817</v>
      </c>
      <c r="J2791" s="380" t="s">
        <v>773</v>
      </c>
      <c r="K2791" s="381">
        <v>0.0</v>
      </c>
      <c r="L2791" s="382">
        <v>1.0</v>
      </c>
    </row>
    <row r="2792">
      <c r="A2792" s="380" t="s">
        <v>3655</v>
      </c>
      <c r="B2792" s="380" t="str">
        <f>IFERROR(__xludf.DUMMYFUNCTION("""COMPUTED_VALUE"""),"Tubo Rectangular De 1"" X 2""")</f>
        <v>Tubo Rectangular De 1" X 2"</v>
      </c>
      <c r="C2792" s="380" t="str">
        <f>IFERROR(__xludf.DUMMYFUNCTION("""COMPUTED_VALUE"""),"50000398")</f>
        <v>50000398</v>
      </c>
      <c r="D2792" s="380" t="s">
        <v>767</v>
      </c>
      <c r="E2792" s="380" t="s">
        <v>781</v>
      </c>
      <c r="F2792" s="380" t="s">
        <v>830</v>
      </c>
      <c r="G2792" s="380" t="s">
        <v>1267</v>
      </c>
      <c r="H2792" s="380" t="s">
        <v>771</v>
      </c>
      <c r="I2792" s="380" t="s">
        <v>817</v>
      </c>
      <c r="J2792" s="380" t="s">
        <v>773</v>
      </c>
      <c r="K2792" s="381">
        <v>0.0</v>
      </c>
      <c r="L2792" s="382">
        <v>1.0</v>
      </c>
    </row>
    <row r="2793">
      <c r="A2793" s="380" t="s">
        <v>3656</v>
      </c>
      <c r="B2793" s="380" t="str">
        <f>IFERROR(__xludf.DUMMYFUNCTION("""COMPUTED_VALUE"""),"Platina Hierro 1/4 X 2"" X 6mt")</f>
        <v>Platina Hierro 1/4 X 2" X 6mt</v>
      </c>
      <c r="C2793" s="380" t="str">
        <f>IFERROR(__xludf.DUMMYFUNCTION("""COMPUTED_VALUE"""),"50000401")</f>
        <v>50000401</v>
      </c>
      <c r="D2793" s="380" t="s">
        <v>767</v>
      </c>
      <c r="E2793" s="380" t="s">
        <v>781</v>
      </c>
      <c r="F2793" s="380" t="s">
        <v>830</v>
      </c>
      <c r="G2793" s="380" t="s">
        <v>1267</v>
      </c>
      <c r="H2793" s="380" t="s">
        <v>771</v>
      </c>
      <c r="I2793" s="380" t="s">
        <v>817</v>
      </c>
      <c r="J2793" s="380" t="s">
        <v>773</v>
      </c>
      <c r="K2793" s="381">
        <v>0.0</v>
      </c>
      <c r="L2793" s="382">
        <v>1.0</v>
      </c>
    </row>
    <row r="2794">
      <c r="A2794" s="380" t="s">
        <v>3657</v>
      </c>
      <c r="B2794" s="380" t="str">
        <f>IFERROR(__xludf.DUMMYFUNCTION("""COMPUTED_VALUE"""),"C Canal En U 3 X 1.1/2 X 3/16 X 6 Metros")</f>
        <v>C Canal En U 3 X 1.1/2 X 3/16 X 6 Metros</v>
      </c>
      <c r="C2794" s="380" t="str">
        <f>IFERROR(__xludf.DUMMYFUNCTION("""COMPUTED_VALUE"""),"50000402")</f>
        <v>50000402</v>
      </c>
      <c r="D2794" s="380" t="s">
        <v>767</v>
      </c>
      <c r="E2794" s="380" t="s">
        <v>781</v>
      </c>
      <c r="F2794" s="380" t="s">
        <v>830</v>
      </c>
      <c r="G2794" s="380" t="s">
        <v>1267</v>
      </c>
      <c r="H2794" s="380" t="s">
        <v>771</v>
      </c>
      <c r="I2794" s="380" t="s">
        <v>817</v>
      </c>
      <c r="J2794" s="380" t="s">
        <v>773</v>
      </c>
      <c r="K2794" s="381">
        <v>0.0</v>
      </c>
      <c r="L2794" s="382">
        <v>1.0</v>
      </c>
    </row>
    <row r="2795">
      <c r="A2795" s="380" t="s">
        <v>3658</v>
      </c>
      <c r="B2795" s="380" t="str">
        <f>IFERROR(__xludf.DUMMYFUNCTION("""COMPUTED_VALUE"""),"Cinta Doble Face De 1""")</f>
        <v>Cinta Doble Face De 1"</v>
      </c>
      <c r="C2795" s="380" t="str">
        <f>IFERROR(__xludf.DUMMYFUNCTION("""COMPUTED_VALUE"""),"50000403")</f>
        <v>50000403</v>
      </c>
      <c r="D2795" s="380" t="s">
        <v>767</v>
      </c>
      <c r="E2795" s="380" t="s">
        <v>781</v>
      </c>
      <c r="F2795" s="380" t="s">
        <v>830</v>
      </c>
      <c r="G2795" s="380" t="s">
        <v>1267</v>
      </c>
      <c r="H2795" s="380" t="s">
        <v>771</v>
      </c>
      <c r="I2795" s="380" t="s">
        <v>817</v>
      </c>
      <c r="J2795" s="380" t="s">
        <v>773</v>
      </c>
      <c r="K2795" s="381">
        <v>0.0</v>
      </c>
      <c r="L2795" s="382">
        <v>1.0</v>
      </c>
    </row>
    <row r="2796">
      <c r="A2796" s="380" t="s">
        <v>3659</v>
      </c>
      <c r="B2796" s="380" t="str">
        <f>IFERROR(__xludf.DUMMYFUNCTION("""COMPUTED_VALUE"""),"Lamina Hierro 1/2"" 4 X 8")</f>
        <v>Lamina Hierro 1/2" 4 X 8</v>
      </c>
      <c r="C2796" s="380" t="str">
        <f>IFERROR(__xludf.DUMMYFUNCTION("""COMPUTED_VALUE"""),"50000404")</f>
        <v>50000404</v>
      </c>
      <c r="D2796" s="380" t="s">
        <v>767</v>
      </c>
      <c r="E2796" s="380" t="s">
        <v>781</v>
      </c>
      <c r="F2796" s="380" t="s">
        <v>830</v>
      </c>
      <c r="G2796" s="380" t="s">
        <v>1267</v>
      </c>
      <c r="H2796" s="380" t="s">
        <v>771</v>
      </c>
      <c r="I2796" s="380" t="s">
        <v>817</v>
      </c>
      <c r="J2796" s="380" t="s">
        <v>773</v>
      </c>
      <c r="K2796" s="381">
        <v>0.0</v>
      </c>
      <c r="L2796" s="382">
        <v>1.0</v>
      </c>
    </row>
    <row r="2797">
      <c r="A2797" s="380" t="s">
        <v>3660</v>
      </c>
      <c r="B2797" s="380" t="str">
        <f>IFERROR(__xludf.DUMMYFUNCTION("""COMPUTED_VALUE"""),"Pin Chavetas Varios")</f>
        <v>Pin Chavetas Varios</v>
      </c>
      <c r="C2797" s="380" t="str">
        <f>IFERROR(__xludf.DUMMYFUNCTION("""COMPUTED_VALUE"""),"50000405")</f>
        <v>50000405</v>
      </c>
      <c r="D2797" s="380" t="s">
        <v>767</v>
      </c>
      <c r="E2797" s="380" t="s">
        <v>781</v>
      </c>
      <c r="F2797" s="380" t="s">
        <v>830</v>
      </c>
      <c r="G2797" s="380" t="s">
        <v>1267</v>
      </c>
      <c r="H2797" s="380" t="s">
        <v>771</v>
      </c>
      <c r="I2797" s="380" t="s">
        <v>817</v>
      </c>
      <c r="J2797" s="380" t="s">
        <v>773</v>
      </c>
      <c r="K2797" s="381">
        <v>0.0</v>
      </c>
      <c r="L2797" s="382">
        <v>1.0</v>
      </c>
    </row>
    <row r="2798">
      <c r="A2798" s="380" t="s">
        <v>3661</v>
      </c>
      <c r="B2798" s="380" t="str">
        <f>IFERROR(__xludf.DUMMYFUNCTION("""COMPUTED_VALUE"""),"Lamina Galvanizada Cal 20 X Kilo")</f>
        <v>Lamina Galvanizada Cal 20 X Kilo</v>
      </c>
      <c r="C2798" s="380" t="str">
        <f>IFERROR(__xludf.DUMMYFUNCTION("""COMPUTED_VALUE"""),"50000406")</f>
        <v>50000406</v>
      </c>
      <c r="D2798" s="380" t="s">
        <v>767</v>
      </c>
      <c r="E2798" s="380" t="s">
        <v>781</v>
      </c>
      <c r="F2798" s="380" t="s">
        <v>830</v>
      </c>
      <c r="G2798" s="380" t="s">
        <v>1267</v>
      </c>
      <c r="H2798" s="380" t="s">
        <v>771</v>
      </c>
      <c r="I2798" s="380" t="s">
        <v>817</v>
      </c>
      <c r="J2798" s="380" t="s">
        <v>773</v>
      </c>
      <c r="K2798" s="381">
        <v>0.0</v>
      </c>
      <c r="L2798" s="382">
        <v>1.0</v>
      </c>
    </row>
    <row r="2799">
      <c r="A2799" s="380" t="s">
        <v>3662</v>
      </c>
      <c r="B2799" s="380" t="str">
        <f>IFERROR(__xludf.DUMMYFUNCTION("""COMPUTED_VALUE"""),"Angulo Hierro 1/8 X 2"" X 6mts")</f>
        <v>Angulo Hierro 1/8 X 2" X 6mts</v>
      </c>
      <c r="C2799" s="380" t="str">
        <f>IFERROR(__xludf.DUMMYFUNCTION("""COMPUTED_VALUE"""),"50000407")</f>
        <v>50000407</v>
      </c>
      <c r="D2799" s="380" t="s">
        <v>767</v>
      </c>
      <c r="E2799" s="380" t="s">
        <v>781</v>
      </c>
      <c r="F2799" s="380" t="s">
        <v>830</v>
      </c>
      <c r="G2799" s="380" t="s">
        <v>1267</v>
      </c>
      <c r="H2799" s="380" t="s">
        <v>771</v>
      </c>
      <c r="I2799" s="380" t="s">
        <v>817</v>
      </c>
      <c r="J2799" s="380" t="s">
        <v>773</v>
      </c>
      <c r="K2799" s="381">
        <v>0.0</v>
      </c>
      <c r="L2799" s="382">
        <v>1.0</v>
      </c>
    </row>
    <row r="2800">
      <c r="A2800" s="380" t="s">
        <v>3663</v>
      </c>
      <c r="B2800" s="380" t="str">
        <f>IFERROR(__xludf.DUMMYFUNCTION("""COMPUTED_VALUE"""),"Angulo Hierro 3/16 X 1"" X 6 Mts")</f>
        <v>Angulo Hierro 3/16 X 1" X 6 Mts</v>
      </c>
      <c r="C2800" s="380" t="str">
        <f>IFERROR(__xludf.DUMMYFUNCTION("""COMPUTED_VALUE"""),"50000408")</f>
        <v>50000408</v>
      </c>
      <c r="D2800" s="380" t="s">
        <v>767</v>
      </c>
      <c r="E2800" s="380" t="s">
        <v>781</v>
      </c>
      <c r="F2800" s="380" t="s">
        <v>830</v>
      </c>
      <c r="G2800" s="380" t="s">
        <v>1267</v>
      </c>
      <c r="H2800" s="380" t="s">
        <v>771</v>
      </c>
      <c r="I2800" s="380" t="s">
        <v>817</v>
      </c>
      <c r="J2800" s="380" t="s">
        <v>773</v>
      </c>
      <c r="K2800" s="381">
        <v>0.0</v>
      </c>
      <c r="L2800" s="382">
        <v>1.0</v>
      </c>
    </row>
    <row r="2801">
      <c r="A2801" s="380" t="s">
        <v>3664</v>
      </c>
      <c r="B2801" s="380" t="str">
        <f>IFERROR(__xludf.DUMMYFUNCTION("""COMPUTED_VALUE"""),"Angulo Hierro 1/8"" X 3/4"" X 6 Mts")</f>
        <v>Angulo Hierro 1/8" X 3/4" X 6 Mts</v>
      </c>
      <c r="C2801" s="380" t="str">
        <f>IFERROR(__xludf.DUMMYFUNCTION("""COMPUTED_VALUE"""),"50000409")</f>
        <v>50000409</v>
      </c>
      <c r="D2801" s="380" t="s">
        <v>767</v>
      </c>
      <c r="E2801" s="380" t="s">
        <v>781</v>
      </c>
      <c r="F2801" s="380" t="s">
        <v>830</v>
      </c>
      <c r="G2801" s="380" t="s">
        <v>1267</v>
      </c>
      <c r="H2801" s="380" t="s">
        <v>771</v>
      </c>
      <c r="I2801" s="380" t="s">
        <v>817</v>
      </c>
      <c r="J2801" s="380" t="s">
        <v>773</v>
      </c>
      <c r="K2801" s="381">
        <v>0.0</v>
      </c>
      <c r="L2801" s="382">
        <v>1.0</v>
      </c>
    </row>
    <row r="2802">
      <c r="A2802" s="380" t="s">
        <v>3665</v>
      </c>
      <c r="B2802" s="380" t="str">
        <f>IFERROR(__xludf.DUMMYFUNCTION("""COMPUTED_VALUE"""),"Angulo Hierro 3/16 X 2 1/2 X 6 Mts")</f>
        <v>Angulo Hierro 3/16 X 2 1/2 X 6 Mts</v>
      </c>
      <c r="C2802" s="380" t="str">
        <f>IFERROR(__xludf.DUMMYFUNCTION("""COMPUTED_VALUE"""),"50000410")</f>
        <v>50000410</v>
      </c>
      <c r="D2802" s="380" t="s">
        <v>767</v>
      </c>
      <c r="E2802" s="380" t="s">
        <v>781</v>
      </c>
      <c r="F2802" s="380" t="s">
        <v>830</v>
      </c>
      <c r="G2802" s="380" t="s">
        <v>1267</v>
      </c>
      <c r="H2802" s="380" t="s">
        <v>771</v>
      </c>
      <c r="I2802" s="380" t="s">
        <v>817</v>
      </c>
      <c r="J2802" s="380" t="s">
        <v>773</v>
      </c>
      <c r="K2802" s="381">
        <v>0.0</v>
      </c>
      <c r="L2802" s="382">
        <v>1.0</v>
      </c>
    </row>
    <row r="2803">
      <c r="A2803" s="380" t="s">
        <v>3666</v>
      </c>
      <c r="B2803" s="380" t="str">
        <f>IFERROR(__xludf.DUMMYFUNCTION("""COMPUTED_VALUE"""),"Racores Varios")</f>
        <v>Racores Varios</v>
      </c>
      <c r="C2803" s="380" t="str">
        <f>IFERROR(__xludf.DUMMYFUNCTION("""COMPUTED_VALUE"""),"50000411")</f>
        <v>50000411</v>
      </c>
      <c r="D2803" s="380" t="s">
        <v>767</v>
      </c>
      <c r="E2803" s="380" t="s">
        <v>781</v>
      </c>
      <c r="F2803" s="380" t="s">
        <v>830</v>
      </c>
      <c r="G2803" s="380" t="s">
        <v>1267</v>
      </c>
      <c r="H2803" s="380" t="s">
        <v>771</v>
      </c>
      <c r="I2803" s="380" t="s">
        <v>817</v>
      </c>
      <c r="J2803" s="380" t="s">
        <v>773</v>
      </c>
      <c r="K2803" s="381">
        <v>0.0</v>
      </c>
      <c r="L2803" s="382">
        <v>1.0</v>
      </c>
    </row>
    <row r="2804">
      <c r="A2804" s="380" t="s">
        <v>3667</v>
      </c>
      <c r="B2804" s="380" t="str">
        <f>IFERROR(__xludf.DUMMYFUNCTION("""COMPUTED_VALUE"""),"Socket Lente Guia")</f>
        <v>Socket Lente Guia</v>
      </c>
      <c r="C2804" s="380" t="str">
        <f>IFERROR(__xludf.DUMMYFUNCTION("""COMPUTED_VALUE"""),"50000412")</f>
        <v>50000412</v>
      </c>
      <c r="D2804" s="380" t="s">
        <v>767</v>
      </c>
      <c r="E2804" s="380" t="s">
        <v>781</v>
      </c>
      <c r="F2804" s="380" t="s">
        <v>830</v>
      </c>
      <c r="G2804" s="380" t="s">
        <v>1267</v>
      </c>
      <c r="H2804" s="380" t="s">
        <v>771</v>
      </c>
      <c r="I2804" s="380" t="s">
        <v>817</v>
      </c>
      <c r="J2804" s="380" t="s">
        <v>773</v>
      </c>
      <c r="K2804" s="381">
        <v>0.0</v>
      </c>
      <c r="L2804" s="382">
        <v>1.0</v>
      </c>
    </row>
    <row r="2805">
      <c r="A2805" s="380" t="s">
        <v>3668</v>
      </c>
      <c r="B2805" s="380" t="str">
        <f>IFERROR(__xludf.DUMMYFUNCTION("""COMPUTED_VALUE"""),"Coraza Pl Coraza Plastica De 1.1/4 - 32m")</f>
        <v>Coraza Pl Coraza Plastica De 1.1/4 - 32m</v>
      </c>
      <c r="C2805" s="380" t="str">
        <f>IFERROR(__xludf.DUMMYFUNCTION("""COMPUTED_VALUE"""),"50000413")</f>
        <v>50000413</v>
      </c>
      <c r="D2805" s="380" t="s">
        <v>767</v>
      </c>
      <c r="E2805" s="380" t="s">
        <v>781</v>
      </c>
      <c r="F2805" s="380" t="s">
        <v>830</v>
      </c>
      <c r="G2805" s="380" t="s">
        <v>1267</v>
      </c>
      <c r="H2805" s="380" t="s">
        <v>771</v>
      </c>
      <c r="I2805" s="380" t="s">
        <v>817</v>
      </c>
      <c r="J2805" s="380" t="s">
        <v>773</v>
      </c>
      <c r="K2805" s="381">
        <v>0.0</v>
      </c>
      <c r="L2805" s="382">
        <v>1.0</v>
      </c>
    </row>
    <row r="2806">
      <c r="A2806" s="380" t="s">
        <v>3669</v>
      </c>
      <c r="B2806" s="380" t="str">
        <f>IFERROR(__xludf.DUMMYFUNCTION("""COMPUTED_VALUE"""),"Platinas Varias Vehiculos")</f>
        <v>Platinas Varias Vehiculos</v>
      </c>
      <c r="C2806" s="380" t="str">
        <f>IFERROR(__xludf.DUMMYFUNCTION("""COMPUTED_VALUE"""),"50000414")</f>
        <v>50000414</v>
      </c>
      <c r="D2806" s="380" t="s">
        <v>767</v>
      </c>
      <c r="E2806" s="380" t="s">
        <v>781</v>
      </c>
      <c r="F2806" s="380" t="s">
        <v>830</v>
      </c>
      <c r="G2806" s="380" t="s">
        <v>1267</v>
      </c>
      <c r="H2806" s="380" t="s">
        <v>771</v>
      </c>
      <c r="I2806" s="380" t="s">
        <v>817</v>
      </c>
      <c r="J2806" s="380" t="s">
        <v>773</v>
      </c>
      <c r="K2806" s="381">
        <v>0.0</v>
      </c>
      <c r="L2806" s="382">
        <v>1.0</v>
      </c>
    </row>
    <row r="2807">
      <c r="A2807" s="380" t="s">
        <v>3670</v>
      </c>
      <c r="B2807" s="380" t="str">
        <f>IFERROR(__xludf.DUMMYFUNCTION("""COMPUTED_VALUE"""),"Arandelas Varias De Consumo")</f>
        <v>Arandelas Varias De Consumo</v>
      </c>
      <c r="C2807" s="380" t="str">
        <f>IFERROR(__xludf.DUMMYFUNCTION("""COMPUTED_VALUE"""),"50000415")</f>
        <v>50000415</v>
      </c>
      <c r="D2807" s="380" t="s">
        <v>767</v>
      </c>
      <c r="E2807" s="380" t="s">
        <v>781</v>
      </c>
      <c r="F2807" s="380" t="s">
        <v>830</v>
      </c>
      <c r="G2807" s="380" t="s">
        <v>1267</v>
      </c>
      <c r="H2807" s="380" t="s">
        <v>771</v>
      </c>
      <c r="I2807" s="380" t="s">
        <v>817</v>
      </c>
      <c r="J2807" s="380" t="s">
        <v>773</v>
      </c>
      <c r="K2807" s="381">
        <v>0.0</v>
      </c>
      <c r="L2807" s="382">
        <v>1.0</v>
      </c>
    </row>
    <row r="2808">
      <c r="A2808" s="380" t="s">
        <v>3671</v>
      </c>
      <c r="B2808" s="380" t="str">
        <f>IFERROR(__xludf.DUMMYFUNCTION("""COMPUTED_VALUE"""),"Tuercas Varias De Consumo")</f>
        <v>Tuercas Varias De Consumo</v>
      </c>
      <c r="C2808" s="380" t="str">
        <f>IFERROR(__xludf.DUMMYFUNCTION("""COMPUTED_VALUE"""),"50000416")</f>
        <v>50000416</v>
      </c>
      <c r="D2808" s="380" t="s">
        <v>767</v>
      </c>
      <c r="E2808" s="380" t="s">
        <v>781</v>
      </c>
      <c r="F2808" s="380" t="s">
        <v>830</v>
      </c>
      <c r="G2808" s="380" t="s">
        <v>1267</v>
      </c>
      <c r="H2808" s="380" t="s">
        <v>771</v>
      </c>
      <c r="I2808" s="380" t="s">
        <v>817</v>
      </c>
      <c r="J2808" s="380" t="s">
        <v>773</v>
      </c>
      <c r="K2808" s="381">
        <v>0.0</v>
      </c>
      <c r="L2808" s="382">
        <v>1.0</v>
      </c>
    </row>
    <row r="2809">
      <c r="A2809" s="380" t="s">
        <v>3672</v>
      </c>
      <c r="B2809" s="380" t="str">
        <f>IFERROR(__xludf.DUMMYFUNCTION("""COMPUTED_VALUE"""),"Oring Varios Consumo")</f>
        <v>Oring Varios Consumo</v>
      </c>
      <c r="C2809" s="380" t="str">
        <f>IFERROR(__xludf.DUMMYFUNCTION("""COMPUTED_VALUE"""),"50000417")</f>
        <v>50000417</v>
      </c>
      <c r="D2809" s="380" t="s">
        <v>767</v>
      </c>
      <c r="E2809" s="380" t="s">
        <v>781</v>
      </c>
      <c r="F2809" s="380" t="s">
        <v>830</v>
      </c>
      <c r="G2809" s="380" t="s">
        <v>1267</v>
      </c>
      <c r="H2809" s="380" t="s">
        <v>771</v>
      </c>
      <c r="I2809" s="380" t="s">
        <v>817</v>
      </c>
      <c r="J2809" s="380" t="s">
        <v>773</v>
      </c>
      <c r="K2809" s="381">
        <v>0.0</v>
      </c>
      <c r="L2809" s="382">
        <v>1.0</v>
      </c>
    </row>
    <row r="2810">
      <c r="A2810" s="380" t="s">
        <v>3673</v>
      </c>
      <c r="B2810" s="380" t="str">
        <f>IFERROR(__xludf.DUMMYFUNCTION("""COMPUTED_VALUE"""),"Tornillo 7/16 X 2 1/2 G8 Ro")</f>
        <v>Tornillo 7/16 X 2 1/2 G8 Ro</v>
      </c>
      <c r="C2810" s="380" t="str">
        <f>IFERROR(__xludf.DUMMYFUNCTION("""COMPUTED_VALUE"""),"50000418")</f>
        <v>50000418</v>
      </c>
      <c r="D2810" s="380" t="s">
        <v>767</v>
      </c>
      <c r="E2810" s="380" t="s">
        <v>781</v>
      </c>
      <c r="F2810" s="380" t="s">
        <v>830</v>
      </c>
      <c r="G2810" s="380" t="s">
        <v>1267</v>
      </c>
      <c r="H2810" s="380" t="s">
        <v>771</v>
      </c>
      <c r="I2810" s="380" t="s">
        <v>817</v>
      </c>
      <c r="J2810" s="380" t="s">
        <v>773</v>
      </c>
      <c r="K2810" s="381">
        <v>0.0</v>
      </c>
      <c r="L2810" s="382">
        <v>1.0</v>
      </c>
    </row>
    <row r="2811">
      <c r="A2811" s="380" t="s">
        <v>3674</v>
      </c>
      <c r="B2811" s="380" t="str">
        <f>IFERROR(__xludf.DUMMYFUNCTION("""COMPUTED_VALUE"""),"Canal En U 3 X 3/6 X 4 3 X 4 3x36x4.3x4")</f>
        <v>Canal En U 3 X 3/6 X 4 3 X 4 3x36x4.3x4</v>
      </c>
      <c r="C2811" s="380" t="str">
        <f>IFERROR(__xludf.DUMMYFUNCTION("""COMPUTED_VALUE"""),"50000419")</f>
        <v>50000419</v>
      </c>
      <c r="D2811" s="380" t="s">
        <v>767</v>
      </c>
      <c r="E2811" s="380" t="s">
        <v>781</v>
      </c>
      <c r="F2811" s="380" t="s">
        <v>830</v>
      </c>
      <c r="G2811" s="380" t="s">
        <v>1267</v>
      </c>
      <c r="H2811" s="380" t="s">
        <v>771</v>
      </c>
      <c r="I2811" s="380" t="s">
        <v>817</v>
      </c>
      <c r="J2811" s="380" t="s">
        <v>773</v>
      </c>
      <c r="K2811" s="381">
        <v>0.0</v>
      </c>
      <c r="L2811" s="382">
        <v>1.0</v>
      </c>
    </row>
    <row r="2812">
      <c r="A2812" s="380" t="s">
        <v>3675</v>
      </c>
      <c r="B2812" s="380" t="str">
        <f>IFERROR(__xludf.DUMMYFUNCTION("""COMPUTED_VALUE"""),"Wasa De 1/2")</f>
        <v>Wasa De 1/2</v>
      </c>
      <c r="C2812" s="380" t="str">
        <f>IFERROR(__xludf.DUMMYFUNCTION("""COMPUTED_VALUE"""),"50000420")</f>
        <v>50000420</v>
      </c>
      <c r="D2812" s="380" t="s">
        <v>767</v>
      </c>
      <c r="E2812" s="380" t="s">
        <v>781</v>
      </c>
      <c r="F2812" s="380" t="s">
        <v>830</v>
      </c>
      <c r="G2812" s="380" t="s">
        <v>1267</v>
      </c>
      <c r="H2812" s="380" t="s">
        <v>771</v>
      </c>
      <c r="I2812" s="380" t="s">
        <v>817</v>
      </c>
      <c r="J2812" s="380" t="s">
        <v>773</v>
      </c>
      <c r="K2812" s="381">
        <v>0.0</v>
      </c>
      <c r="L2812" s="382">
        <v>1.0</v>
      </c>
    </row>
    <row r="2813">
      <c r="A2813" s="380" t="s">
        <v>3676</v>
      </c>
      <c r="B2813" s="380" t="str">
        <f>IFERROR(__xludf.DUMMYFUNCTION("""COMPUTED_VALUE"""),"Inserto 1/4 Y 5/8 Consumo")</f>
        <v>Inserto 1/4 Y 5/8 Consumo</v>
      </c>
      <c r="C2813" s="380" t="str">
        <f>IFERROR(__xludf.DUMMYFUNCTION("""COMPUTED_VALUE"""),"50000421")</f>
        <v>50000421</v>
      </c>
      <c r="D2813" s="380" t="s">
        <v>767</v>
      </c>
      <c r="E2813" s="380" t="s">
        <v>781</v>
      </c>
      <c r="F2813" s="380" t="s">
        <v>830</v>
      </c>
      <c r="G2813" s="380" t="s">
        <v>1267</v>
      </c>
      <c r="H2813" s="380" t="s">
        <v>771</v>
      </c>
      <c r="I2813" s="380" t="s">
        <v>817</v>
      </c>
      <c r="J2813" s="380" t="s">
        <v>773</v>
      </c>
      <c r="K2813" s="381">
        <v>0.0</v>
      </c>
      <c r="L2813" s="382">
        <v>1.0</v>
      </c>
    </row>
    <row r="2814">
      <c r="A2814" s="380" t="s">
        <v>3677</v>
      </c>
      <c r="B2814" s="380" t="str">
        <f>IFERROR(__xludf.DUMMYFUNCTION("""COMPUTED_VALUE"""),"Lamina Negra 3/8 Hr 4 X 8")</f>
        <v>Lamina Negra 3/8 Hr 4 X 8</v>
      </c>
      <c r="C2814" s="380" t="str">
        <f>IFERROR(__xludf.DUMMYFUNCTION("""COMPUTED_VALUE"""),"50000422")</f>
        <v>50000422</v>
      </c>
      <c r="D2814" s="380" t="s">
        <v>767</v>
      </c>
      <c r="E2814" s="380" t="s">
        <v>781</v>
      </c>
      <c r="F2814" s="380" t="s">
        <v>830</v>
      </c>
      <c r="G2814" s="380" t="s">
        <v>1267</v>
      </c>
      <c r="H2814" s="380" t="s">
        <v>771</v>
      </c>
      <c r="I2814" s="380" t="s">
        <v>817</v>
      </c>
      <c r="J2814" s="380" t="s">
        <v>773</v>
      </c>
      <c r="K2814" s="381">
        <v>0.0</v>
      </c>
      <c r="L2814" s="382">
        <v>1.0</v>
      </c>
    </row>
    <row r="2815">
      <c r="A2815" s="380" t="s">
        <v>3678</v>
      </c>
      <c r="B2815" s="380" t="str">
        <f>IFERROR(__xludf.DUMMYFUNCTION("""COMPUTED_VALUE"""),"Calcomania Velocidad Maxima Vehiculos")</f>
        <v>Calcomania Velocidad Maxima Vehiculos</v>
      </c>
      <c r="C2815" s="380" t="str">
        <f>IFERROR(__xludf.DUMMYFUNCTION("""COMPUTED_VALUE"""),"50000423")</f>
        <v>50000423</v>
      </c>
      <c r="D2815" s="380" t="s">
        <v>767</v>
      </c>
      <c r="E2815" s="380" t="s">
        <v>781</v>
      </c>
      <c r="F2815" s="380" t="s">
        <v>819</v>
      </c>
      <c r="G2815" s="380" t="s">
        <v>1267</v>
      </c>
      <c r="H2815" s="380" t="s">
        <v>771</v>
      </c>
      <c r="I2815" s="380" t="s">
        <v>817</v>
      </c>
      <c r="J2815" s="380" t="s">
        <v>773</v>
      </c>
      <c r="K2815" s="381">
        <v>15470.0</v>
      </c>
      <c r="L2815" s="382">
        <v>1.0</v>
      </c>
    </row>
    <row r="2816">
      <c r="A2816" s="380" t="s">
        <v>3679</v>
      </c>
      <c r="B2816" s="380" t="str">
        <f>IFERROR(__xludf.DUMMYFUNCTION("""COMPUTED_VALUE"""),"Adhesivo Van Electrica Jac Sunray")</f>
        <v>Adhesivo Van Electrica Jac Sunray</v>
      </c>
      <c r="C2816" s="380" t="str">
        <f>IFERROR(__xludf.DUMMYFUNCTION("""COMPUTED_VALUE"""),"50000424")</f>
        <v>50000424</v>
      </c>
      <c r="D2816" s="380" t="s">
        <v>767</v>
      </c>
      <c r="E2816" s="380" t="s">
        <v>781</v>
      </c>
      <c r="F2816" s="380" t="s">
        <v>819</v>
      </c>
      <c r="G2816" s="380" t="s">
        <v>1267</v>
      </c>
      <c r="H2816" s="380" t="s">
        <v>771</v>
      </c>
      <c r="I2816" s="380" t="s">
        <v>817</v>
      </c>
      <c r="J2816" s="380" t="s">
        <v>773</v>
      </c>
      <c r="K2816" s="381">
        <v>0.0</v>
      </c>
      <c r="L2816" s="382">
        <v>1.0</v>
      </c>
    </row>
    <row r="2817">
      <c r="A2817" s="380" t="s">
        <v>3680</v>
      </c>
      <c r="B2817" s="380" t="str">
        <f>IFERROR(__xludf.DUMMYFUNCTION("""COMPUTED_VALUE"""),"Tornillo G8 Ro 7/16 X 3 1/2 7/16x3 1/2")</f>
        <v>Tornillo G8 Ro 7/16 X 3 1/2 7/16x3 1/2</v>
      </c>
      <c r="C2817" s="380" t="str">
        <f>IFERROR(__xludf.DUMMYFUNCTION("""COMPUTED_VALUE"""),"50000425")</f>
        <v>50000425</v>
      </c>
      <c r="D2817" s="380" t="s">
        <v>767</v>
      </c>
      <c r="E2817" s="380" t="s">
        <v>781</v>
      </c>
      <c r="F2817" s="380" t="s">
        <v>830</v>
      </c>
      <c r="G2817" s="380" t="s">
        <v>1267</v>
      </c>
      <c r="H2817" s="380" t="s">
        <v>771</v>
      </c>
      <c r="I2817" s="380" t="s">
        <v>817</v>
      </c>
      <c r="J2817" s="380" t="s">
        <v>773</v>
      </c>
      <c r="K2817" s="381">
        <v>0.0</v>
      </c>
      <c r="L2817" s="382">
        <v>1.0</v>
      </c>
    </row>
    <row r="2818">
      <c r="A2818" s="380" t="s">
        <v>3681</v>
      </c>
      <c r="B2818" s="380" t="str">
        <f>IFERROR(__xludf.DUMMYFUNCTION("""COMPUTED_VALUE"""),"Tornillo G8 Ro 5/16 X 2 1/2 5/16x2 1/2")</f>
        <v>Tornillo G8 Ro 5/16 X 2 1/2 5/16x2 1/2</v>
      </c>
      <c r="C2818" s="380" t="str">
        <f>IFERROR(__xludf.DUMMYFUNCTION("""COMPUTED_VALUE"""),"50000426")</f>
        <v>50000426</v>
      </c>
      <c r="D2818" s="380" t="s">
        <v>767</v>
      </c>
      <c r="E2818" s="380" t="s">
        <v>781</v>
      </c>
      <c r="F2818" s="380" t="s">
        <v>830</v>
      </c>
      <c r="G2818" s="380" t="s">
        <v>1267</v>
      </c>
      <c r="H2818" s="380" t="s">
        <v>771</v>
      </c>
      <c r="I2818" s="380" t="s">
        <v>817</v>
      </c>
      <c r="J2818" s="380" t="s">
        <v>773</v>
      </c>
      <c r="K2818" s="381">
        <v>0.0</v>
      </c>
      <c r="L2818" s="382">
        <v>1.0</v>
      </c>
    </row>
    <row r="2819">
      <c r="A2819" s="380" t="s">
        <v>3682</v>
      </c>
      <c r="B2819" s="380" t="str">
        <f>IFERROR(__xludf.DUMMYFUNCTION("""COMPUTED_VALUE"""),"Tablones Logisticos 15mm De 2.40 Mts X 1")</f>
        <v>Tablones Logisticos 15mm De 2.40 Mts X 1</v>
      </c>
      <c r="C2819" s="380" t="str">
        <f>IFERROR(__xludf.DUMMYFUNCTION("""COMPUTED_VALUE"""),"50000427")</f>
        <v>50000427</v>
      </c>
      <c r="D2819" s="380" t="s">
        <v>767</v>
      </c>
      <c r="E2819" s="380" t="s">
        <v>781</v>
      </c>
      <c r="F2819" s="380" t="s">
        <v>830</v>
      </c>
      <c r="G2819" s="380" t="s">
        <v>1267</v>
      </c>
      <c r="H2819" s="380" t="s">
        <v>771</v>
      </c>
      <c r="I2819" s="380" t="s">
        <v>817</v>
      </c>
      <c r="J2819" s="380" t="s">
        <v>773</v>
      </c>
      <c r="K2819" s="381">
        <v>0.0</v>
      </c>
      <c r="L2819" s="382">
        <v>1.0</v>
      </c>
    </row>
    <row r="2820">
      <c r="A2820" s="380" t="s">
        <v>3683</v>
      </c>
      <c r="B2820" s="380" t="str">
        <f>IFERROR(__xludf.DUMMYFUNCTION("""COMPUTED_VALUE"""),"Tubo Cuadrado 120 X 120 X 3mm X 6m")</f>
        <v>Tubo Cuadrado 120 X 120 X 3mm X 6m</v>
      </c>
      <c r="C2820" s="380" t="str">
        <f>IFERROR(__xludf.DUMMYFUNCTION("""COMPUTED_VALUE"""),"50000428")</f>
        <v>50000428</v>
      </c>
      <c r="D2820" s="380" t="s">
        <v>767</v>
      </c>
      <c r="E2820" s="380" t="s">
        <v>781</v>
      </c>
      <c r="F2820" s="380" t="s">
        <v>830</v>
      </c>
      <c r="G2820" s="380" t="s">
        <v>1267</v>
      </c>
      <c r="H2820" s="380" t="s">
        <v>771</v>
      </c>
      <c r="I2820" s="380" t="s">
        <v>817</v>
      </c>
      <c r="J2820" s="380" t="s">
        <v>773</v>
      </c>
      <c r="K2820" s="381">
        <v>0.0</v>
      </c>
      <c r="L2820" s="382">
        <v>1.0</v>
      </c>
    </row>
    <row r="2821">
      <c r="A2821" s="380" t="s">
        <v>3684</v>
      </c>
      <c r="B2821" s="380" t="str">
        <f>IFERROR(__xludf.DUMMYFUNCTION("""COMPUTED_VALUE"""),"Tu Tubo Redondo 1"" X 1.5mm X 6m Colroled")</f>
        <v>Tu Tubo Redondo 1" X 1.5mm X 6m Colroled</v>
      </c>
      <c r="C2821" s="380" t="str">
        <f>IFERROR(__xludf.DUMMYFUNCTION("""COMPUTED_VALUE"""),"50000429")</f>
        <v>50000429</v>
      </c>
      <c r="D2821" s="380" t="s">
        <v>767</v>
      </c>
      <c r="E2821" s="380" t="s">
        <v>781</v>
      </c>
      <c r="F2821" s="380" t="s">
        <v>830</v>
      </c>
      <c r="G2821" s="380" t="s">
        <v>1267</v>
      </c>
      <c r="H2821" s="380" t="s">
        <v>771</v>
      </c>
      <c r="I2821" s="380" t="s">
        <v>817</v>
      </c>
      <c r="J2821" s="380" t="s">
        <v>773</v>
      </c>
      <c r="K2821" s="381">
        <v>0.0</v>
      </c>
      <c r="L2821" s="382">
        <v>1.0</v>
      </c>
    </row>
    <row r="2822">
      <c r="A2822" s="380" t="s">
        <v>3685</v>
      </c>
      <c r="B2822" s="380" t="str">
        <f>IFERROR(__xludf.DUMMYFUNCTION("""COMPUTED_VALUE"""),"Platina Hierro 2 3/4"" X 3/16 X 240cm")</f>
        <v>Platina Hierro 2 3/4" X 3/16 X 240cm</v>
      </c>
      <c r="C2822" s="380" t="str">
        <f>IFERROR(__xludf.DUMMYFUNCTION("""COMPUTED_VALUE"""),"50000430")</f>
        <v>50000430</v>
      </c>
      <c r="D2822" s="380" t="s">
        <v>767</v>
      </c>
      <c r="E2822" s="380" t="s">
        <v>781</v>
      </c>
      <c r="F2822" s="380" t="s">
        <v>830</v>
      </c>
      <c r="G2822" s="380" t="s">
        <v>1267</v>
      </c>
      <c r="H2822" s="380" t="s">
        <v>771</v>
      </c>
      <c r="I2822" s="380" t="s">
        <v>817</v>
      </c>
      <c r="J2822" s="380" t="s">
        <v>773</v>
      </c>
      <c r="K2822" s="381">
        <v>0.0</v>
      </c>
      <c r="L2822" s="382">
        <v>1.0</v>
      </c>
    </row>
    <row r="2823">
      <c r="A2823" s="380" t="s">
        <v>3686</v>
      </c>
      <c r="B2823" s="380" t="str">
        <f>IFERROR(__xludf.DUMMYFUNCTION("""COMPUTED_VALUE"""),"Platina Hierro 3 1/4"" X 1/8"" X 240cm")</f>
        <v>Platina Hierro 3 1/4" X 1/8" X 240cm</v>
      </c>
      <c r="C2823" s="380" t="str">
        <f>IFERROR(__xludf.DUMMYFUNCTION("""COMPUTED_VALUE"""),"50000431")</f>
        <v>50000431</v>
      </c>
      <c r="D2823" s="380" t="s">
        <v>767</v>
      </c>
      <c r="E2823" s="380" t="s">
        <v>781</v>
      </c>
      <c r="F2823" s="380" t="s">
        <v>830</v>
      </c>
      <c r="G2823" s="380" t="s">
        <v>1267</v>
      </c>
      <c r="H2823" s="380" t="s">
        <v>771</v>
      </c>
      <c r="I2823" s="380" t="s">
        <v>817</v>
      </c>
      <c r="J2823" s="380" t="s">
        <v>773</v>
      </c>
      <c r="K2823" s="381">
        <v>0.0</v>
      </c>
      <c r="L2823" s="382">
        <v>1.0</v>
      </c>
    </row>
    <row r="2824">
      <c r="A2824" s="380" t="s">
        <v>3687</v>
      </c>
      <c r="B2824" s="380" t="str">
        <f>IFERROR(__xludf.DUMMYFUNCTION("""COMPUTED_VALUE"""),"Platina Hierro 5"" X 1/8"" X 240cm")</f>
        <v>Platina Hierro 5" X 1/8" X 240cm</v>
      </c>
      <c r="C2824" s="380" t="str">
        <f>IFERROR(__xludf.DUMMYFUNCTION("""COMPUTED_VALUE"""),"50000432")</f>
        <v>50000432</v>
      </c>
      <c r="D2824" s="380" t="s">
        <v>767</v>
      </c>
      <c r="E2824" s="380" t="s">
        <v>781</v>
      </c>
      <c r="F2824" s="380" t="s">
        <v>830</v>
      </c>
      <c r="G2824" s="380" t="s">
        <v>1267</v>
      </c>
      <c r="H2824" s="380" t="s">
        <v>771</v>
      </c>
      <c r="I2824" s="380" t="s">
        <v>817</v>
      </c>
      <c r="J2824" s="380" t="s">
        <v>773</v>
      </c>
      <c r="K2824" s="381">
        <v>0.0</v>
      </c>
      <c r="L2824" s="382">
        <v>1.0</v>
      </c>
    </row>
    <row r="2825">
      <c r="A2825" s="380" t="s">
        <v>3688</v>
      </c>
      <c r="B2825" s="380" t="str">
        <f>IFERROR(__xludf.DUMMYFUNCTION("""COMPUTED_VALUE"""),"Angulo Hierro 4"" X 3/8"" X 6 Mts")</f>
        <v>Angulo Hierro 4" X 3/8" X 6 Mts</v>
      </c>
      <c r="C2825" s="380" t="str">
        <f>IFERROR(__xludf.DUMMYFUNCTION("""COMPUTED_VALUE"""),"50000433")</f>
        <v>50000433</v>
      </c>
      <c r="D2825" s="380" t="s">
        <v>767</v>
      </c>
      <c r="E2825" s="380" t="s">
        <v>781</v>
      </c>
      <c r="F2825" s="380" t="s">
        <v>830</v>
      </c>
      <c r="G2825" s="380" t="s">
        <v>1267</v>
      </c>
      <c r="H2825" s="380" t="s">
        <v>771</v>
      </c>
      <c r="I2825" s="380" t="s">
        <v>817</v>
      </c>
      <c r="J2825" s="380" t="s">
        <v>773</v>
      </c>
      <c r="K2825" s="381">
        <v>0.0</v>
      </c>
      <c r="L2825" s="382">
        <v>1.0</v>
      </c>
    </row>
    <row r="2826">
      <c r="A2826" s="380" t="s">
        <v>3689</v>
      </c>
      <c r="B2826" s="380" t="str">
        <f>IFERROR(__xludf.DUMMYFUNCTION("""COMPUTED_VALUE"""),"Platina Hierro 5"" X 3/16"" X 240cm")</f>
        <v>Platina Hierro 5" X 3/16" X 240cm</v>
      </c>
      <c r="C2826" s="380" t="str">
        <f>IFERROR(__xludf.DUMMYFUNCTION("""COMPUTED_VALUE"""),"50000434")</f>
        <v>50000434</v>
      </c>
      <c r="D2826" s="380" t="s">
        <v>767</v>
      </c>
      <c r="E2826" s="380" t="s">
        <v>781</v>
      </c>
      <c r="F2826" s="380" t="s">
        <v>830</v>
      </c>
      <c r="G2826" s="380" t="s">
        <v>1267</v>
      </c>
      <c r="H2826" s="380" t="s">
        <v>771</v>
      </c>
      <c r="I2826" s="380" t="s">
        <v>817</v>
      </c>
      <c r="J2826" s="380" t="s">
        <v>773</v>
      </c>
      <c r="K2826" s="381">
        <v>0.0</v>
      </c>
      <c r="L2826" s="382">
        <v>1.0</v>
      </c>
    </row>
    <row r="2827">
      <c r="A2827" s="380" t="s">
        <v>3690</v>
      </c>
      <c r="B2827" s="380" t="str">
        <f>IFERROR(__xludf.DUMMYFUNCTION("""COMPUTED_VALUE"""),"Angulo Hierro 1/4 X 4 X 6 Mt 1/4x4x6mt")</f>
        <v>Angulo Hierro 1/4 X 4 X 6 Mt 1/4x4x6mt</v>
      </c>
      <c r="C2827" s="380" t="str">
        <f>IFERROR(__xludf.DUMMYFUNCTION("""COMPUTED_VALUE"""),"50000435")</f>
        <v>50000435</v>
      </c>
      <c r="D2827" s="380" t="s">
        <v>767</v>
      </c>
      <c r="E2827" s="380" t="s">
        <v>781</v>
      </c>
      <c r="F2827" s="380" t="s">
        <v>830</v>
      </c>
      <c r="G2827" s="380" t="s">
        <v>1267</v>
      </c>
      <c r="H2827" s="380" t="s">
        <v>771</v>
      </c>
      <c r="I2827" s="380" t="s">
        <v>817</v>
      </c>
      <c r="J2827" s="380" t="s">
        <v>773</v>
      </c>
      <c r="K2827" s="381">
        <v>0.0</v>
      </c>
      <c r="L2827" s="382">
        <v>1.0</v>
      </c>
    </row>
    <row r="2828">
      <c r="A2828" s="380" t="s">
        <v>3691</v>
      </c>
      <c r="B2828" s="380" t="str">
        <f>IFERROR(__xludf.DUMMYFUNCTION("""COMPUTED_VALUE"""),"Bombillo Lampara Cab Ge-561 Hi")</f>
        <v>Bombillo Lampara Cab Ge-561 Hi</v>
      </c>
      <c r="C2828" s="380" t="str">
        <f>IFERROR(__xludf.DUMMYFUNCTION("""COMPUTED_VALUE"""),"50000436")</f>
        <v>50000436</v>
      </c>
      <c r="D2828" s="380" t="s">
        <v>767</v>
      </c>
      <c r="E2828" s="380" t="s">
        <v>781</v>
      </c>
      <c r="F2828" s="380" t="s">
        <v>830</v>
      </c>
      <c r="G2828" s="380" t="s">
        <v>1267</v>
      </c>
      <c r="H2828" s="380" t="s">
        <v>771</v>
      </c>
      <c r="I2828" s="380" t="s">
        <v>817</v>
      </c>
      <c r="J2828" s="380" t="s">
        <v>773</v>
      </c>
      <c r="K2828" s="381">
        <v>0.0</v>
      </c>
      <c r="L2828" s="382">
        <v>1.0</v>
      </c>
    </row>
    <row r="2829">
      <c r="A2829" s="380" t="s">
        <v>3692</v>
      </c>
      <c r="B2829" s="380" t="str">
        <f>IFERROR(__xludf.DUMMYFUNCTION("""COMPUTED_VALUE"""),"Bombillo Halogeno 1500w A 22")</f>
        <v>Bombillo Halogeno 1500w A 22</v>
      </c>
      <c r="C2829" s="380" t="str">
        <f>IFERROR(__xludf.DUMMYFUNCTION("""COMPUTED_VALUE"""),"50000437")</f>
        <v>50000437</v>
      </c>
      <c r="D2829" s="380" t="s">
        <v>767</v>
      </c>
      <c r="E2829" s="380" t="s">
        <v>781</v>
      </c>
      <c r="F2829" s="380" t="s">
        <v>830</v>
      </c>
      <c r="G2829" s="380" t="s">
        <v>1267</v>
      </c>
      <c r="H2829" s="380" t="s">
        <v>771</v>
      </c>
      <c r="I2829" s="380" t="s">
        <v>817</v>
      </c>
      <c r="J2829" s="380" t="s">
        <v>773</v>
      </c>
      <c r="K2829" s="381">
        <v>0.0</v>
      </c>
      <c r="L2829" s="382">
        <v>1.0</v>
      </c>
    </row>
    <row r="2830">
      <c r="A2830" s="380" t="s">
        <v>3693</v>
      </c>
      <c r="B2830" s="380" t="str">
        <f>IFERROR(__xludf.DUMMYFUNCTION("""COMPUTED_VALUE"""),"Cincel 3/4 Proto")</f>
        <v>Cincel 3/4 Proto</v>
      </c>
      <c r="C2830" s="380" t="str">
        <f>IFERROR(__xludf.DUMMYFUNCTION("""COMPUTED_VALUE"""),"50000438")</f>
        <v>50000438</v>
      </c>
      <c r="D2830" s="380" t="s">
        <v>767</v>
      </c>
      <c r="E2830" s="380" t="s">
        <v>781</v>
      </c>
      <c r="F2830" s="380" t="s">
        <v>782</v>
      </c>
      <c r="G2830" s="380" t="s">
        <v>1267</v>
      </c>
      <c r="H2830" s="380" t="s">
        <v>771</v>
      </c>
      <c r="I2830" s="380" t="s">
        <v>784</v>
      </c>
      <c r="J2830" s="380" t="s">
        <v>773</v>
      </c>
      <c r="K2830" s="381">
        <v>0.0</v>
      </c>
      <c r="L2830" s="382">
        <v>1.0</v>
      </c>
    </row>
    <row r="2831">
      <c r="A2831" s="380" t="s">
        <v>3694</v>
      </c>
      <c r="B2831" s="380" t="str">
        <f>IFERROR(__xludf.DUMMYFUNCTION("""COMPUTED_VALUE"""),"Lima Cuadrada 3/8 X 11")</f>
        <v>Lima Cuadrada 3/8 X 11</v>
      </c>
      <c r="C2831" s="380" t="str">
        <f>IFERROR(__xludf.DUMMYFUNCTION("""COMPUTED_VALUE"""),"50000439")</f>
        <v>50000439</v>
      </c>
      <c r="D2831" s="380" t="s">
        <v>767</v>
      </c>
      <c r="E2831" s="380" t="s">
        <v>781</v>
      </c>
      <c r="F2831" s="380" t="s">
        <v>782</v>
      </c>
      <c r="G2831" s="380" t="s">
        <v>1267</v>
      </c>
      <c r="H2831" s="380" t="s">
        <v>771</v>
      </c>
      <c r="I2831" s="380" t="s">
        <v>784</v>
      </c>
      <c r="J2831" s="380" t="s">
        <v>773</v>
      </c>
      <c r="K2831" s="381">
        <v>0.0</v>
      </c>
      <c r="L2831" s="382">
        <v>1.0</v>
      </c>
    </row>
    <row r="2832">
      <c r="A2832" s="380" t="s">
        <v>3695</v>
      </c>
      <c r="B2832" s="380" t="str">
        <f>IFERROR(__xludf.DUMMYFUNCTION("""COMPUTED_VALUE"""),"Esparrago Cono Y Tuerca 5/8x3"" Sb")</f>
        <v>Esparrago Cono Y Tuerca 5/8x3" Sb</v>
      </c>
      <c r="C2832" s="380" t="str">
        <f>IFERROR(__xludf.DUMMYFUNCTION("""COMPUTED_VALUE"""),"50000440")</f>
        <v>50000440</v>
      </c>
      <c r="D2832" s="380" t="s">
        <v>767</v>
      </c>
      <c r="E2832" s="380" t="s">
        <v>781</v>
      </c>
      <c r="F2832" s="380" t="s">
        <v>830</v>
      </c>
      <c r="G2832" s="380" t="s">
        <v>1267</v>
      </c>
      <c r="H2832" s="380" t="s">
        <v>771</v>
      </c>
      <c r="I2832" s="380" t="s">
        <v>817</v>
      </c>
      <c r="J2832" s="380" t="s">
        <v>773</v>
      </c>
      <c r="K2832" s="381">
        <v>0.0</v>
      </c>
      <c r="L2832" s="382">
        <v>1.0</v>
      </c>
    </row>
    <row r="2833">
      <c r="A2833" s="380" t="s">
        <v>3696</v>
      </c>
      <c r="B2833" s="380" t="str">
        <f>IFERROR(__xludf.DUMMYFUNCTION("""COMPUTED_VALUE"""),"Esparragos Con Tuerca Varios")</f>
        <v>Esparragos Con Tuerca Varios</v>
      </c>
      <c r="C2833" s="380" t="str">
        <f>IFERROR(__xludf.DUMMYFUNCTION("""COMPUTED_VALUE"""),"50000441")</f>
        <v>50000441</v>
      </c>
      <c r="D2833" s="380" t="s">
        <v>767</v>
      </c>
      <c r="E2833" s="380" t="s">
        <v>781</v>
      </c>
      <c r="F2833" s="380" t="s">
        <v>830</v>
      </c>
      <c r="G2833" s="380" t="s">
        <v>1267</v>
      </c>
      <c r="H2833" s="380" t="s">
        <v>771</v>
      </c>
      <c r="I2833" s="380" t="s">
        <v>817</v>
      </c>
      <c r="J2833" s="380" t="s">
        <v>773</v>
      </c>
      <c r="K2833" s="381">
        <v>2784.0</v>
      </c>
      <c r="L2833" s="382">
        <v>1.0</v>
      </c>
    </row>
    <row r="2834">
      <c r="A2834" s="380" t="s">
        <v>3697</v>
      </c>
      <c r="B2834" s="380" t="str">
        <f>IFERROR(__xludf.DUMMYFUNCTION("""COMPUTED_VALUE"""),"Guaya Alma Acero Varias")</f>
        <v>Guaya Alma Acero Varias</v>
      </c>
      <c r="C2834" s="380" t="str">
        <f>IFERROR(__xludf.DUMMYFUNCTION("""COMPUTED_VALUE"""),"50000442")</f>
        <v>50000442</v>
      </c>
      <c r="D2834" s="380" t="s">
        <v>767</v>
      </c>
      <c r="E2834" s="380" t="s">
        <v>781</v>
      </c>
      <c r="F2834" s="380" t="s">
        <v>830</v>
      </c>
      <c r="G2834" s="380" t="s">
        <v>1267</v>
      </c>
      <c r="H2834" s="380" t="s">
        <v>771</v>
      </c>
      <c r="I2834" s="380" t="s">
        <v>817</v>
      </c>
      <c r="J2834" s="380" t="s">
        <v>773</v>
      </c>
      <c r="K2834" s="381">
        <v>0.0</v>
      </c>
      <c r="L2834" s="382">
        <v>1.0</v>
      </c>
    </row>
    <row r="2835">
      <c r="A2835" s="380" t="s">
        <v>3698</v>
      </c>
      <c r="B2835" s="380" t="str">
        <f>IFERROR(__xludf.DUMMYFUNCTION("""COMPUTED_VALUE"""),"Bisagras Puertas Varias")</f>
        <v>Bisagras Puertas Varias</v>
      </c>
      <c r="C2835" s="380" t="str">
        <f>IFERROR(__xludf.DUMMYFUNCTION("""COMPUTED_VALUE"""),"50000443")</f>
        <v>50000443</v>
      </c>
      <c r="D2835" s="380" t="s">
        <v>767</v>
      </c>
      <c r="E2835" s="380" t="s">
        <v>781</v>
      </c>
      <c r="F2835" s="380" t="s">
        <v>830</v>
      </c>
      <c r="G2835" s="380" t="s">
        <v>1267</v>
      </c>
      <c r="H2835" s="380" t="s">
        <v>771</v>
      </c>
      <c r="I2835" s="380" t="s">
        <v>817</v>
      </c>
      <c r="J2835" s="380" t="s">
        <v>773</v>
      </c>
      <c r="K2835" s="381">
        <v>0.0</v>
      </c>
      <c r="L2835" s="382">
        <v>1.0</v>
      </c>
    </row>
    <row r="2836">
      <c r="A2836" s="380" t="s">
        <v>3699</v>
      </c>
      <c r="B2836" s="380" t="str">
        <f>IFERROR(__xludf.DUMMYFUNCTION("""COMPUTED_VALUE"""),"Cable Guaya Acero De 1/8 Furgon")</f>
        <v>Cable Guaya Acero De 1/8 Furgon</v>
      </c>
      <c r="C2836" s="380" t="str">
        <f>IFERROR(__xludf.DUMMYFUNCTION("""COMPUTED_VALUE"""),"50000445")</f>
        <v>50000445</v>
      </c>
      <c r="D2836" s="380" t="s">
        <v>767</v>
      </c>
      <c r="E2836" s="380" t="s">
        <v>781</v>
      </c>
      <c r="F2836" s="380" t="s">
        <v>830</v>
      </c>
      <c r="G2836" s="380" t="s">
        <v>1267</v>
      </c>
      <c r="H2836" s="380" t="s">
        <v>771</v>
      </c>
      <c r="I2836" s="380" t="s">
        <v>817</v>
      </c>
      <c r="J2836" s="380" t="s">
        <v>773</v>
      </c>
      <c r="K2836" s="381">
        <v>0.0</v>
      </c>
      <c r="L2836" s="382">
        <v>1.0</v>
      </c>
    </row>
    <row r="2837">
      <c r="A2837" s="380" t="s">
        <v>3700</v>
      </c>
      <c r="B2837" s="380" t="str">
        <f>IFERROR(__xludf.DUMMYFUNCTION("""COMPUTED_VALUE"""),"Platina Hierro 1/8 X 2"" X 6mts")</f>
        <v>Platina Hierro 1/8 X 2" X 6mts</v>
      </c>
      <c r="C2837" s="380" t="str">
        <f>IFERROR(__xludf.DUMMYFUNCTION("""COMPUTED_VALUE"""),"50000446")</f>
        <v>50000446</v>
      </c>
      <c r="D2837" s="380" t="s">
        <v>767</v>
      </c>
      <c r="E2837" s="380" t="s">
        <v>781</v>
      </c>
      <c r="F2837" s="380" t="s">
        <v>830</v>
      </c>
      <c r="G2837" s="380" t="s">
        <v>1267</v>
      </c>
      <c r="H2837" s="380" t="s">
        <v>771</v>
      </c>
      <c r="I2837" s="380" t="s">
        <v>817</v>
      </c>
      <c r="J2837" s="380" t="s">
        <v>773</v>
      </c>
      <c r="K2837" s="381">
        <v>0.0</v>
      </c>
      <c r="L2837" s="382">
        <v>1.0</v>
      </c>
    </row>
    <row r="2838">
      <c r="A2838" s="380" t="s">
        <v>3701</v>
      </c>
      <c r="B2838" s="380" t="str">
        <f>IFERROR(__xludf.DUMMYFUNCTION("""COMPUTED_VALUE"""),"Angulo Hierro 3/16 X 1 1/2 X 6 Mts")</f>
        <v>Angulo Hierro 3/16 X 1 1/2 X 6 Mts</v>
      </c>
      <c r="C2838" s="380" t="str">
        <f>IFERROR(__xludf.DUMMYFUNCTION("""COMPUTED_VALUE"""),"50000447")</f>
        <v>50000447</v>
      </c>
      <c r="D2838" s="380" t="s">
        <v>767</v>
      </c>
      <c r="E2838" s="380" t="s">
        <v>781</v>
      </c>
      <c r="F2838" s="380" t="s">
        <v>830</v>
      </c>
      <c r="G2838" s="380" t="s">
        <v>1267</v>
      </c>
      <c r="H2838" s="380" t="s">
        <v>771</v>
      </c>
      <c r="I2838" s="380" t="s">
        <v>817</v>
      </c>
      <c r="J2838" s="380" t="s">
        <v>773</v>
      </c>
      <c r="K2838" s="381">
        <v>0.0</v>
      </c>
      <c r="L2838" s="382">
        <v>1.0</v>
      </c>
    </row>
    <row r="2839">
      <c r="A2839" s="380" t="s">
        <v>3702</v>
      </c>
      <c r="B2839" s="380" t="str">
        <f>IFERROR(__xludf.DUMMYFUNCTION("""COMPUTED_VALUE"""),"Grilletes Varios")</f>
        <v>Grilletes Varios</v>
      </c>
      <c r="C2839" s="380" t="str">
        <f>IFERROR(__xludf.DUMMYFUNCTION("""COMPUTED_VALUE"""),"50000448")</f>
        <v>50000448</v>
      </c>
      <c r="D2839" s="380" t="s">
        <v>767</v>
      </c>
      <c r="E2839" s="380" t="s">
        <v>781</v>
      </c>
      <c r="F2839" s="380" t="s">
        <v>830</v>
      </c>
      <c r="G2839" s="380" t="s">
        <v>1267</v>
      </c>
      <c r="H2839" s="380" t="s">
        <v>771</v>
      </c>
      <c r="I2839" s="380" t="s">
        <v>817</v>
      </c>
      <c r="J2839" s="380" t="s">
        <v>773</v>
      </c>
      <c r="K2839" s="381">
        <v>0.0</v>
      </c>
      <c r="L2839" s="382">
        <v>1.0</v>
      </c>
    </row>
    <row r="2840">
      <c r="A2840" s="380" t="s">
        <v>3703</v>
      </c>
      <c r="B2840" s="380" t="str">
        <f>IFERROR(__xludf.DUMMYFUNCTION("""COMPUTED_VALUE"""),"Platina Hierro 3/8 X 1"" X 6 Mts")</f>
        <v>Platina Hierro 3/8 X 1" X 6 Mts</v>
      </c>
      <c r="C2840" s="380" t="str">
        <f>IFERROR(__xludf.DUMMYFUNCTION("""COMPUTED_VALUE"""),"50000449")</f>
        <v>50000449</v>
      </c>
      <c r="D2840" s="380" t="s">
        <v>767</v>
      </c>
      <c r="E2840" s="380" t="s">
        <v>781</v>
      </c>
      <c r="F2840" s="380" t="s">
        <v>830</v>
      </c>
      <c r="G2840" s="380" t="s">
        <v>1267</v>
      </c>
      <c r="H2840" s="380" t="s">
        <v>771</v>
      </c>
      <c r="I2840" s="380" t="s">
        <v>817</v>
      </c>
      <c r="J2840" s="380" t="s">
        <v>773</v>
      </c>
      <c r="K2840" s="381">
        <v>0.0</v>
      </c>
      <c r="L2840" s="382">
        <v>1.0</v>
      </c>
    </row>
    <row r="2841">
      <c r="A2841" s="380" t="s">
        <v>3704</v>
      </c>
      <c r="B2841" s="380" t="str">
        <f>IFERROR(__xludf.DUMMYFUNCTION("""COMPUTED_VALUE"""),"Platina Hierro 3/16 X 3 X 6 Mts")</f>
        <v>Platina Hierro 3/16 X 3 X 6 Mts</v>
      </c>
      <c r="C2841" s="380" t="str">
        <f>IFERROR(__xludf.DUMMYFUNCTION("""COMPUTED_VALUE"""),"50000450")</f>
        <v>50000450</v>
      </c>
      <c r="D2841" s="380" t="s">
        <v>767</v>
      </c>
      <c r="E2841" s="380" t="s">
        <v>781</v>
      </c>
      <c r="F2841" s="380" t="s">
        <v>830</v>
      </c>
      <c r="G2841" s="380" t="s">
        <v>1267</v>
      </c>
      <c r="H2841" s="380" t="s">
        <v>771</v>
      </c>
      <c r="I2841" s="380" t="s">
        <v>817</v>
      </c>
      <c r="J2841" s="380" t="s">
        <v>773</v>
      </c>
      <c r="K2841" s="381">
        <v>0.0</v>
      </c>
      <c r="L2841" s="382">
        <v>1.0</v>
      </c>
    </row>
    <row r="2842">
      <c r="A2842" s="380" t="s">
        <v>3705</v>
      </c>
      <c r="B2842" s="380" t="str">
        <f>IFERROR(__xludf.DUMMYFUNCTION("""COMPUTED_VALUE"""),"Platina Hierro 3/8 X 2 1/2 X 6 Mts")</f>
        <v>Platina Hierro 3/8 X 2 1/2 X 6 Mts</v>
      </c>
      <c r="C2842" s="380" t="str">
        <f>IFERROR(__xludf.DUMMYFUNCTION("""COMPUTED_VALUE"""),"50000451")</f>
        <v>50000451</v>
      </c>
      <c r="D2842" s="380" t="s">
        <v>767</v>
      </c>
      <c r="E2842" s="380" t="s">
        <v>781</v>
      </c>
      <c r="F2842" s="380" t="s">
        <v>830</v>
      </c>
      <c r="G2842" s="380" t="s">
        <v>1267</v>
      </c>
      <c r="H2842" s="380" t="s">
        <v>771</v>
      </c>
      <c r="I2842" s="380" t="s">
        <v>817</v>
      </c>
      <c r="J2842" s="380" t="s">
        <v>773</v>
      </c>
      <c r="K2842" s="381">
        <v>0.0</v>
      </c>
      <c r="L2842" s="382">
        <v>1.0</v>
      </c>
    </row>
    <row r="2843">
      <c r="A2843" s="380" t="s">
        <v>3706</v>
      </c>
      <c r="B2843" s="380" t="str">
        <f>IFERROR(__xludf.DUMMYFUNCTION("""COMPUTED_VALUE"""),"Varilla G-40 1"" X 6 Mts Redonda")</f>
        <v>Varilla G-40 1" X 6 Mts Redonda</v>
      </c>
      <c r="C2843" s="380" t="str">
        <f>IFERROR(__xludf.DUMMYFUNCTION("""COMPUTED_VALUE"""),"50000452")</f>
        <v>50000452</v>
      </c>
      <c r="D2843" s="380" t="s">
        <v>767</v>
      </c>
      <c r="E2843" s="380" t="s">
        <v>781</v>
      </c>
      <c r="F2843" s="380" t="s">
        <v>830</v>
      </c>
      <c r="G2843" s="380" t="s">
        <v>1267</v>
      </c>
      <c r="H2843" s="380" t="s">
        <v>771</v>
      </c>
      <c r="I2843" s="380" t="s">
        <v>817</v>
      </c>
      <c r="J2843" s="380" t="s">
        <v>773</v>
      </c>
      <c r="K2843" s="381">
        <v>0.0</v>
      </c>
      <c r="L2843" s="382">
        <v>1.0</v>
      </c>
    </row>
    <row r="2844">
      <c r="A2844" s="380" t="s">
        <v>3707</v>
      </c>
      <c r="B2844" s="380" t="str">
        <f>IFERROR(__xludf.DUMMYFUNCTION("""COMPUTED_VALUE"""),"Agua Desmineralizada Bateria")</f>
        <v>Agua Desmineralizada Bateria</v>
      </c>
      <c r="C2844" s="380" t="str">
        <f>IFERROR(__xludf.DUMMYFUNCTION("""COMPUTED_VALUE"""),"50000453")</f>
        <v>50000453</v>
      </c>
      <c r="D2844" s="380" t="s">
        <v>767</v>
      </c>
      <c r="E2844" s="380" t="s">
        <v>781</v>
      </c>
      <c r="F2844" s="380" t="s">
        <v>830</v>
      </c>
      <c r="G2844" s="380" t="s">
        <v>1267</v>
      </c>
      <c r="H2844" s="380" t="s">
        <v>771</v>
      </c>
      <c r="I2844" s="380" t="s">
        <v>817</v>
      </c>
      <c r="J2844" s="380" t="s">
        <v>773</v>
      </c>
      <c r="K2844" s="381">
        <v>0.0</v>
      </c>
      <c r="L2844" s="382">
        <v>1.0</v>
      </c>
    </row>
    <row r="2845">
      <c r="A2845" s="380" t="s">
        <v>3708</v>
      </c>
      <c r="B2845" s="380" t="str">
        <f>IFERROR(__xludf.DUMMYFUNCTION("""COMPUTED_VALUE"""),"Lamina Negra Calibre 22")</f>
        <v>Lamina Negra Calibre 22</v>
      </c>
      <c r="C2845" s="380" t="str">
        <f>IFERROR(__xludf.DUMMYFUNCTION("""COMPUTED_VALUE"""),"50000454")</f>
        <v>50000454</v>
      </c>
      <c r="D2845" s="380" t="s">
        <v>767</v>
      </c>
      <c r="E2845" s="380" t="s">
        <v>781</v>
      </c>
      <c r="F2845" s="380" t="s">
        <v>830</v>
      </c>
      <c r="G2845" s="380" t="s">
        <v>1267</v>
      </c>
      <c r="H2845" s="380" t="s">
        <v>771</v>
      </c>
      <c r="I2845" s="380" t="s">
        <v>817</v>
      </c>
      <c r="J2845" s="380" t="s">
        <v>773</v>
      </c>
      <c r="K2845" s="381">
        <v>0.0</v>
      </c>
      <c r="L2845" s="382">
        <v>1.0</v>
      </c>
    </row>
    <row r="2846">
      <c r="A2846" s="380" t="s">
        <v>3709</v>
      </c>
      <c r="B2846" s="380" t="str">
        <f>IFERROR(__xludf.DUMMYFUNCTION("""COMPUTED_VALUE"""),"Viga Ipe 160 X 6 M")</f>
        <v>Viga Ipe 160 X 6 M</v>
      </c>
      <c r="C2846" s="380" t="str">
        <f>IFERROR(__xludf.DUMMYFUNCTION("""COMPUTED_VALUE"""),"50000455")</f>
        <v>50000455</v>
      </c>
      <c r="D2846" s="380" t="s">
        <v>767</v>
      </c>
      <c r="E2846" s="380" t="s">
        <v>781</v>
      </c>
      <c r="F2846" s="380" t="s">
        <v>830</v>
      </c>
      <c r="G2846" s="380" t="s">
        <v>1267</v>
      </c>
      <c r="H2846" s="380" t="s">
        <v>771</v>
      </c>
      <c r="I2846" s="380" t="s">
        <v>817</v>
      </c>
      <c r="J2846" s="380" t="s">
        <v>773</v>
      </c>
      <c r="K2846" s="381">
        <v>0.0</v>
      </c>
      <c r="L2846" s="382">
        <v>1.0</v>
      </c>
    </row>
    <row r="2847">
      <c r="A2847" s="380" t="s">
        <v>3710</v>
      </c>
      <c r="B2847" s="380" t="str">
        <f>IFERROR(__xludf.DUMMYFUNCTION("""COMPUTED_VALUE"""),"Angulo Hierro 1/4 X 2"" X 6mm")</f>
        <v>Angulo Hierro 1/4 X 2" X 6mm</v>
      </c>
      <c r="C2847" s="380" t="str">
        <f>IFERROR(__xludf.DUMMYFUNCTION("""COMPUTED_VALUE"""),"50000456")</f>
        <v>50000456</v>
      </c>
      <c r="D2847" s="380" t="s">
        <v>767</v>
      </c>
      <c r="E2847" s="380" t="s">
        <v>781</v>
      </c>
      <c r="F2847" s="380" t="s">
        <v>830</v>
      </c>
      <c r="G2847" s="380" t="s">
        <v>1267</v>
      </c>
      <c r="H2847" s="380" t="s">
        <v>771</v>
      </c>
      <c r="I2847" s="380" t="s">
        <v>817</v>
      </c>
      <c r="J2847" s="380" t="s">
        <v>773</v>
      </c>
      <c r="K2847" s="381">
        <v>0.0</v>
      </c>
      <c r="L2847" s="382">
        <v>1.0</v>
      </c>
    </row>
    <row r="2848">
      <c r="A2848" s="380" t="s">
        <v>3711</v>
      </c>
      <c r="B2848" s="380" t="str">
        <f>IFERROR(__xludf.DUMMYFUNCTION("""COMPUTED_VALUE"""),"Lamina De Alfajor 3/16 3x1mts")</f>
        <v>Lamina De Alfajor 3/16 3x1mts</v>
      </c>
      <c r="C2848" s="380" t="str">
        <f>IFERROR(__xludf.DUMMYFUNCTION("""COMPUTED_VALUE"""),"50000457")</f>
        <v>50000457</v>
      </c>
      <c r="D2848" s="380" t="s">
        <v>767</v>
      </c>
      <c r="E2848" s="380" t="s">
        <v>781</v>
      </c>
      <c r="F2848" s="380" t="s">
        <v>830</v>
      </c>
      <c r="G2848" s="380" t="s">
        <v>1267</v>
      </c>
      <c r="H2848" s="380" t="s">
        <v>771</v>
      </c>
      <c r="I2848" s="380" t="s">
        <v>817</v>
      </c>
      <c r="J2848" s="380" t="s">
        <v>773</v>
      </c>
      <c r="K2848" s="381">
        <v>0.0</v>
      </c>
      <c r="L2848" s="382">
        <v>1.0</v>
      </c>
    </row>
    <row r="2849">
      <c r="A2849" s="380" t="s">
        <v>3712</v>
      </c>
      <c r="B2849" s="380" t="str">
        <f>IFERROR(__xludf.DUMMYFUNCTION("""COMPUTED_VALUE"""),"Viga De Madera Varias")</f>
        <v>Viga De Madera Varias</v>
      </c>
      <c r="C2849" s="380" t="str">
        <f>IFERROR(__xludf.DUMMYFUNCTION("""COMPUTED_VALUE"""),"50000458")</f>
        <v>50000458</v>
      </c>
      <c r="D2849" s="380" t="s">
        <v>767</v>
      </c>
      <c r="E2849" s="380" t="s">
        <v>781</v>
      </c>
      <c r="F2849" s="380" t="s">
        <v>830</v>
      </c>
      <c r="G2849" s="380" t="s">
        <v>1267</v>
      </c>
      <c r="H2849" s="380" t="s">
        <v>771</v>
      </c>
      <c r="I2849" s="380" t="s">
        <v>817</v>
      </c>
      <c r="J2849" s="380" t="s">
        <v>773</v>
      </c>
      <c r="K2849" s="381">
        <v>0.0</v>
      </c>
      <c r="L2849" s="382">
        <v>1.0</v>
      </c>
    </row>
    <row r="2850">
      <c r="A2850" s="380" t="s">
        <v>3713</v>
      </c>
      <c r="B2850" s="380" t="str">
        <f>IFERROR(__xludf.DUMMYFUNCTION("""COMPUTED_VALUE"""),"Viga En I De 4"" X 3/16 X 2 1/2 X 6mts")</f>
        <v>Viga En I De 4" X 3/16 X 2 1/2 X 6mts</v>
      </c>
      <c r="C2850" s="380" t="str">
        <f>IFERROR(__xludf.DUMMYFUNCTION("""COMPUTED_VALUE"""),"50000459")</f>
        <v>50000459</v>
      </c>
      <c r="D2850" s="380" t="s">
        <v>767</v>
      </c>
      <c r="E2850" s="380" t="s">
        <v>781</v>
      </c>
      <c r="F2850" s="380" t="s">
        <v>830</v>
      </c>
      <c r="G2850" s="380" t="s">
        <v>1267</v>
      </c>
      <c r="H2850" s="380" t="s">
        <v>771</v>
      </c>
      <c r="I2850" s="380" t="s">
        <v>817</v>
      </c>
      <c r="J2850" s="380" t="s">
        <v>773</v>
      </c>
      <c r="K2850" s="381">
        <v>0.0</v>
      </c>
      <c r="L2850" s="382">
        <v>1.0</v>
      </c>
    </row>
    <row r="2851">
      <c r="A2851" s="380" t="s">
        <v>3714</v>
      </c>
      <c r="B2851" s="380" t="str">
        <f>IFERROR(__xludf.DUMMYFUNCTION("""COMPUTED_VALUE"""),"Platina Hierro 3/8 X 4 X 6mts")</f>
        <v>Platina Hierro 3/8 X 4 X 6mts</v>
      </c>
      <c r="C2851" s="380" t="str">
        <f>IFERROR(__xludf.DUMMYFUNCTION("""COMPUTED_VALUE"""),"50000460")</f>
        <v>50000460</v>
      </c>
      <c r="D2851" s="380" t="s">
        <v>767</v>
      </c>
      <c r="E2851" s="380" t="s">
        <v>781</v>
      </c>
      <c r="F2851" s="380" t="s">
        <v>830</v>
      </c>
      <c r="G2851" s="380" t="s">
        <v>1267</v>
      </c>
      <c r="H2851" s="380" t="s">
        <v>771</v>
      </c>
      <c r="I2851" s="380" t="s">
        <v>817</v>
      </c>
      <c r="J2851" s="380" t="s">
        <v>773</v>
      </c>
      <c r="K2851" s="381">
        <v>0.0</v>
      </c>
      <c r="L2851" s="382">
        <v>1.0</v>
      </c>
    </row>
    <row r="2852">
      <c r="A2852" s="380" t="s">
        <v>3715</v>
      </c>
      <c r="B2852" s="380" t="str">
        <f>IFERROR(__xludf.DUMMYFUNCTION("""COMPUTED_VALUE"""),"Candado Yale 870 Maestro")</f>
        <v>Candado Yale 870 Maestro</v>
      </c>
      <c r="C2852" s="380" t="str">
        <f>IFERROR(__xludf.DUMMYFUNCTION("""COMPUTED_VALUE"""),"50000461")</f>
        <v>50000461</v>
      </c>
      <c r="D2852" s="380" t="s">
        <v>767</v>
      </c>
      <c r="E2852" s="380" t="s">
        <v>781</v>
      </c>
      <c r="F2852" s="380" t="s">
        <v>830</v>
      </c>
      <c r="G2852" s="380" t="s">
        <v>1267</v>
      </c>
      <c r="H2852" s="380" t="s">
        <v>771</v>
      </c>
      <c r="I2852" s="380" t="s">
        <v>817</v>
      </c>
      <c r="J2852" s="380" t="s">
        <v>773</v>
      </c>
      <c r="K2852" s="381">
        <v>0.0</v>
      </c>
      <c r="L2852" s="382">
        <v>1.0</v>
      </c>
    </row>
    <row r="2853">
      <c r="A2853" s="380" t="s">
        <v>3716</v>
      </c>
      <c r="B2853" s="380" t="str">
        <f>IFERROR(__xludf.DUMMYFUNCTION("""COMPUTED_VALUE"""),"Duplicado Llaves Vehiculo")</f>
        <v>Duplicado Llaves Vehiculo</v>
      </c>
      <c r="C2853" s="380" t="str">
        <f>IFERROR(__xludf.DUMMYFUNCTION("""COMPUTED_VALUE"""),"50000462")</f>
        <v>50000462</v>
      </c>
      <c r="D2853" s="380" t="s">
        <v>767</v>
      </c>
      <c r="E2853" s="380" t="s">
        <v>781</v>
      </c>
      <c r="F2853" s="380" t="s">
        <v>830</v>
      </c>
      <c r="G2853" s="380" t="s">
        <v>1267</v>
      </c>
      <c r="H2853" s="380" t="s">
        <v>771</v>
      </c>
      <c r="I2853" s="380" t="s">
        <v>817</v>
      </c>
      <c r="J2853" s="380" t="s">
        <v>773</v>
      </c>
      <c r="K2853" s="381">
        <v>0.0</v>
      </c>
      <c r="L2853" s="382">
        <v>1.0</v>
      </c>
    </row>
    <row r="2854">
      <c r="A2854" s="380" t="s">
        <v>3717</v>
      </c>
      <c r="B2854" s="380" t="str">
        <f>IFERROR(__xludf.DUMMYFUNCTION("""COMPUTED_VALUE"""),"Liston Made Liston Madera 7.5x2x7 Metros")</f>
        <v>Liston Made Liston Madera 7.5x2x7 Metros</v>
      </c>
      <c r="C2854" s="380" t="str">
        <f>IFERROR(__xludf.DUMMYFUNCTION("""COMPUTED_VALUE"""),"50000465")</f>
        <v>50000465</v>
      </c>
      <c r="D2854" s="380" t="s">
        <v>767</v>
      </c>
      <c r="E2854" s="380" t="s">
        <v>781</v>
      </c>
      <c r="F2854" s="380" t="s">
        <v>830</v>
      </c>
      <c r="G2854" s="380" t="s">
        <v>1267</v>
      </c>
      <c r="H2854" s="380" t="s">
        <v>771</v>
      </c>
      <c r="I2854" s="380" t="s">
        <v>817</v>
      </c>
      <c r="J2854" s="380" t="s">
        <v>773</v>
      </c>
      <c r="K2854" s="381">
        <v>0.0</v>
      </c>
      <c r="L2854" s="382">
        <v>1.0</v>
      </c>
    </row>
    <row r="2855">
      <c r="A2855" s="380" t="s">
        <v>3718</v>
      </c>
      <c r="B2855" s="380" t="str">
        <f>IFERROR(__xludf.DUMMYFUNCTION("""COMPUTED_VALUE"""),"Cable Vehiculo N-16")</f>
        <v>Cable Vehiculo N-16</v>
      </c>
      <c r="C2855" s="380" t="str">
        <f>IFERROR(__xludf.DUMMYFUNCTION("""COMPUTED_VALUE"""),"50000466")</f>
        <v>50000466</v>
      </c>
      <c r="D2855" s="380" t="s">
        <v>767</v>
      </c>
      <c r="E2855" s="380" t="s">
        <v>781</v>
      </c>
      <c r="F2855" s="380" t="s">
        <v>830</v>
      </c>
      <c r="G2855" s="380" t="s">
        <v>1267</v>
      </c>
      <c r="H2855" s="380" t="s">
        <v>771</v>
      </c>
      <c r="I2855" s="380" t="s">
        <v>817</v>
      </c>
      <c r="J2855" s="380" t="s">
        <v>773</v>
      </c>
      <c r="K2855" s="381">
        <v>0.0</v>
      </c>
      <c r="L2855" s="382">
        <v>1.0</v>
      </c>
    </row>
    <row r="2856">
      <c r="A2856" s="380" t="s">
        <v>3719</v>
      </c>
      <c r="B2856" s="380" t="str">
        <f>IFERROR(__xludf.DUMMYFUNCTION("""COMPUTED_VALUE"""),"Tee En Hierro De 1/8 X1 6 Mts")</f>
        <v>Tee En Hierro De 1/8 X1 6 Mts</v>
      </c>
      <c r="C2856" s="380" t="str">
        <f>IFERROR(__xludf.DUMMYFUNCTION("""COMPUTED_VALUE"""),"50000467")</f>
        <v>50000467</v>
      </c>
      <c r="D2856" s="380" t="s">
        <v>767</v>
      </c>
      <c r="E2856" s="380" t="s">
        <v>781</v>
      </c>
      <c r="F2856" s="380" t="s">
        <v>830</v>
      </c>
      <c r="G2856" s="380" t="s">
        <v>1267</v>
      </c>
      <c r="H2856" s="380" t="s">
        <v>771</v>
      </c>
      <c r="I2856" s="380" t="s">
        <v>817</v>
      </c>
      <c r="J2856" s="380" t="s">
        <v>773</v>
      </c>
      <c r="K2856" s="381">
        <v>0.0</v>
      </c>
      <c r="L2856" s="382">
        <v>1.0</v>
      </c>
    </row>
    <row r="2857">
      <c r="A2857" s="380" t="s">
        <v>3720</v>
      </c>
      <c r="B2857" s="380" t="str">
        <f>IFERROR(__xludf.DUMMYFUNCTION("""COMPUTED_VALUE"""),"Coraza Plastica De 1/4")</f>
        <v>Coraza Plastica De 1/4</v>
      </c>
      <c r="C2857" s="380" t="str">
        <f>IFERROR(__xludf.DUMMYFUNCTION("""COMPUTED_VALUE"""),"50000468")</f>
        <v>50000468</v>
      </c>
      <c r="D2857" s="380" t="s">
        <v>767</v>
      </c>
      <c r="E2857" s="380" t="s">
        <v>781</v>
      </c>
      <c r="F2857" s="380" t="s">
        <v>830</v>
      </c>
      <c r="G2857" s="380" t="s">
        <v>1267</v>
      </c>
      <c r="H2857" s="380" t="s">
        <v>771</v>
      </c>
      <c r="I2857" s="380" t="s">
        <v>817</v>
      </c>
      <c r="J2857" s="380" t="s">
        <v>773</v>
      </c>
      <c r="K2857" s="381">
        <v>0.0</v>
      </c>
      <c r="L2857" s="382">
        <v>1.0</v>
      </c>
    </row>
    <row r="2858">
      <c r="A2858" s="380" t="s">
        <v>3721</v>
      </c>
      <c r="B2858" s="380" t="str">
        <f>IFERROR(__xludf.DUMMYFUNCTION("""COMPUTED_VALUE"""),"Cable Cobre Bateria 3/000 3/000-450a")</f>
        <v>Cable Cobre Bateria 3/000 3/000-450a</v>
      </c>
      <c r="C2858" s="380" t="str">
        <f>IFERROR(__xludf.DUMMYFUNCTION("""COMPUTED_VALUE"""),"50000469")</f>
        <v>50000469</v>
      </c>
      <c r="D2858" s="380" t="s">
        <v>767</v>
      </c>
      <c r="E2858" s="380" t="s">
        <v>781</v>
      </c>
      <c r="F2858" s="380" t="s">
        <v>830</v>
      </c>
      <c r="G2858" s="380" t="s">
        <v>1267</v>
      </c>
      <c r="H2858" s="380" t="s">
        <v>771</v>
      </c>
      <c r="I2858" s="380" t="s">
        <v>817</v>
      </c>
      <c r="J2858" s="380" t="s">
        <v>773</v>
      </c>
      <c r="K2858" s="381">
        <v>0.0</v>
      </c>
      <c r="L2858" s="382">
        <v>1.0</v>
      </c>
    </row>
    <row r="2859">
      <c r="A2859" s="380" t="s">
        <v>3722</v>
      </c>
      <c r="B2859" s="380" t="str">
        <f>IFERROR(__xludf.DUMMYFUNCTION("""COMPUTED_VALUE"""),"Platina Hierro 1/8 X 4"" X 6mts")</f>
        <v>Platina Hierro 1/8 X 4" X 6mts</v>
      </c>
      <c r="C2859" s="380" t="str">
        <f>IFERROR(__xludf.DUMMYFUNCTION("""COMPUTED_VALUE"""),"50000470")</f>
        <v>50000470</v>
      </c>
      <c r="D2859" s="380" t="s">
        <v>767</v>
      </c>
      <c r="E2859" s="380" t="s">
        <v>781</v>
      </c>
      <c r="F2859" s="380" t="s">
        <v>830</v>
      </c>
      <c r="G2859" s="380" t="s">
        <v>1267</v>
      </c>
      <c r="H2859" s="380" t="s">
        <v>771</v>
      </c>
      <c r="I2859" s="380" t="s">
        <v>817</v>
      </c>
      <c r="J2859" s="380" t="s">
        <v>773</v>
      </c>
      <c r="K2859" s="381">
        <v>0.0</v>
      </c>
      <c r="L2859" s="382">
        <v>1.0</v>
      </c>
    </row>
    <row r="2860">
      <c r="A2860" s="380" t="s">
        <v>3723</v>
      </c>
      <c r="B2860" s="380" t="str">
        <f>IFERROR(__xludf.DUMMYFUNCTION("""COMPUTED_VALUE"""),"Platina Hierro 1/4 X 1 1/4 X 6mts")</f>
        <v>Platina Hierro 1/4 X 1 1/4 X 6mts</v>
      </c>
      <c r="C2860" s="380" t="str">
        <f>IFERROR(__xludf.DUMMYFUNCTION("""COMPUTED_VALUE"""),"50000471")</f>
        <v>50000471</v>
      </c>
      <c r="D2860" s="380" t="s">
        <v>767</v>
      </c>
      <c r="E2860" s="380" t="s">
        <v>781</v>
      </c>
      <c r="F2860" s="380" t="s">
        <v>830</v>
      </c>
      <c r="G2860" s="380" t="s">
        <v>1267</v>
      </c>
      <c r="H2860" s="380" t="s">
        <v>771</v>
      </c>
      <c r="I2860" s="380" t="s">
        <v>817</v>
      </c>
      <c r="J2860" s="380" t="s">
        <v>773</v>
      </c>
      <c r="K2860" s="381">
        <v>0.0</v>
      </c>
      <c r="L2860" s="382">
        <v>1.0</v>
      </c>
    </row>
    <row r="2861">
      <c r="A2861" s="380" t="s">
        <v>3724</v>
      </c>
      <c r="B2861" s="380" t="str">
        <f>IFERROR(__xludf.DUMMYFUNCTION("""COMPUTED_VALUE"""),"Plati Platina Hierro 3/16 X 1.1/2 X 6mts")</f>
        <v>Plati Platina Hierro 3/16 X 1.1/2 X 6mts</v>
      </c>
      <c r="C2861" s="380" t="str">
        <f>IFERROR(__xludf.DUMMYFUNCTION("""COMPUTED_VALUE"""),"50000472")</f>
        <v>50000472</v>
      </c>
      <c r="D2861" s="380" t="s">
        <v>767</v>
      </c>
      <c r="E2861" s="380" t="s">
        <v>781</v>
      </c>
      <c r="F2861" s="380" t="s">
        <v>830</v>
      </c>
      <c r="G2861" s="380" t="s">
        <v>1267</v>
      </c>
      <c r="H2861" s="380" t="s">
        <v>771</v>
      </c>
      <c r="I2861" s="380" t="s">
        <v>817</v>
      </c>
      <c r="J2861" s="380" t="s">
        <v>773</v>
      </c>
      <c r="K2861" s="381">
        <v>0.0</v>
      </c>
      <c r="L2861" s="382">
        <v>1.0</v>
      </c>
    </row>
    <row r="2862">
      <c r="A2862" s="380" t="s">
        <v>3725</v>
      </c>
      <c r="B2862" s="380" t="str">
        <f>IFERROR(__xludf.DUMMYFUNCTION("""COMPUTED_VALUE"""),"Platina Hierro 1/8 X 1"" X 6 Mts")</f>
        <v>Platina Hierro 1/8 X 1" X 6 Mts</v>
      </c>
      <c r="C2862" s="380" t="str">
        <f>IFERROR(__xludf.DUMMYFUNCTION("""COMPUTED_VALUE"""),"50000473")</f>
        <v>50000473</v>
      </c>
      <c r="D2862" s="380" t="s">
        <v>767</v>
      </c>
      <c r="E2862" s="380" t="s">
        <v>781</v>
      </c>
      <c r="F2862" s="380" t="s">
        <v>830</v>
      </c>
      <c r="G2862" s="380" t="s">
        <v>1267</v>
      </c>
      <c r="H2862" s="380" t="s">
        <v>771</v>
      </c>
      <c r="I2862" s="380" t="s">
        <v>817</v>
      </c>
      <c r="J2862" s="380" t="s">
        <v>773</v>
      </c>
      <c r="K2862" s="381">
        <v>0.0</v>
      </c>
      <c r="L2862" s="382">
        <v>1.0</v>
      </c>
    </row>
    <row r="2863">
      <c r="A2863" s="380" t="s">
        <v>3726</v>
      </c>
      <c r="B2863" s="380" t="str">
        <f>IFERROR(__xludf.DUMMYFUNCTION("""COMPUTED_VALUE"""),"Platina Hierro 3/16 X 1"" X 6 Mts")</f>
        <v>Platina Hierro 3/16 X 1" X 6 Mts</v>
      </c>
      <c r="C2863" s="380" t="str">
        <f>IFERROR(__xludf.DUMMYFUNCTION("""COMPUTED_VALUE"""),"50000474")</f>
        <v>50000474</v>
      </c>
      <c r="D2863" s="380" t="s">
        <v>767</v>
      </c>
      <c r="E2863" s="380" t="s">
        <v>781</v>
      </c>
      <c r="F2863" s="380" t="s">
        <v>830</v>
      </c>
      <c r="G2863" s="380" t="s">
        <v>1267</v>
      </c>
      <c r="H2863" s="380" t="s">
        <v>771</v>
      </c>
      <c r="I2863" s="380" t="s">
        <v>817</v>
      </c>
      <c r="J2863" s="380" t="s">
        <v>773</v>
      </c>
      <c r="K2863" s="381">
        <v>0.0</v>
      </c>
      <c r="L2863" s="382">
        <v>1.0</v>
      </c>
    </row>
    <row r="2864">
      <c r="A2864" s="380" t="s">
        <v>3727</v>
      </c>
      <c r="B2864" s="380" t="str">
        <f>IFERROR(__xludf.DUMMYFUNCTION("""COMPUTED_VALUE"""),"Tubo Negro Tubo Negro Red.2"" 2.5mm X 6mt")</f>
        <v>Tubo Negro Tubo Negro Red.2" 2.5mm X 6mt</v>
      </c>
      <c r="C2864" s="380" t="str">
        <f>IFERROR(__xludf.DUMMYFUNCTION("""COMPUTED_VALUE"""),"50000475")</f>
        <v>50000475</v>
      </c>
      <c r="D2864" s="380" t="s">
        <v>767</v>
      </c>
      <c r="E2864" s="380" t="s">
        <v>781</v>
      </c>
      <c r="F2864" s="380" t="s">
        <v>830</v>
      </c>
      <c r="G2864" s="380" t="s">
        <v>1267</v>
      </c>
      <c r="H2864" s="380" t="s">
        <v>771</v>
      </c>
      <c r="I2864" s="380" t="s">
        <v>817</v>
      </c>
      <c r="J2864" s="380" t="s">
        <v>773</v>
      </c>
      <c r="K2864" s="381">
        <v>0.0</v>
      </c>
      <c r="L2864" s="382">
        <v>1.0</v>
      </c>
    </row>
    <row r="2865">
      <c r="A2865" s="380" t="s">
        <v>3728</v>
      </c>
      <c r="B2865" s="380" t="str">
        <f>IFERROR(__xludf.DUMMYFUNCTION("""COMPUTED_VALUE"""),"Tubo Negro Red 1/2"" 2mm 6mts")</f>
        <v>Tubo Negro Red 1/2" 2mm 6mts</v>
      </c>
      <c r="C2865" s="380" t="str">
        <f>IFERROR(__xludf.DUMMYFUNCTION("""COMPUTED_VALUE"""),"50000476")</f>
        <v>50000476</v>
      </c>
      <c r="D2865" s="380" t="s">
        <v>767</v>
      </c>
      <c r="E2865" s="380" t="s">
        <v>781</v>
      </c>
      <c r="F2865" s="380" t="s">
        <v>830</v>
      </c>
      <c r="G2865" s="380" t="s">
        <v>1267</v>
      </c>
      <c r="H2865" s="380" t="s">
        <v>771</v>
      </c>
      <c r="I2865" s="380" t="s">
        <v>817</v>
      </c>
      <c r="J2865" s="380" t="s">
        <v>773</v>
      </c>
      <c r="K2865" s="381">
        <v>0.0</v>
      </c>
      <c r="L2865" s="382">
        <v>1.0</v>
      </c>
    </row>
    <row r="2866">
      <c r="A2866" s="380" t="s">
        <v>3729</v>
      </c>
      <c r="B2866" s="380" t="str">
        <f>IFERROR(__xludf.DUMMYFUNCTION("""COMPUTED_VALUE"""),"Empaque Varios Papel Humedo")</f>
        <v>Empaque Varios Papel Humedo</v>
      </c>
      <c r="C2866" s="380" t="str">
        <f>IFERROR(__xludf.DUMMYFUNCTION("""COMPUTED_VALUE"""),"50000477")</f>
        <v>50000477</v>
      </c>
      <c r="D2866" s="380" t="s">
        <v>767</v>
      </c>
      <c r="E2866" s="380" t="s">
        <v>781</v>
      </c>
      <c r="F2866" s="380" t="s">
        <v>830</v>
      </c>
      <c r="G2866" s="380" t="s">
        <v>1267</v>
      </c>
      <c r="H2866" s="380" t="s">
        <v>771</v>
      </c>
      <c r="I2866" s="380" t="s">
        <v>817</v>
      </c>
      <c r="J2866" s="380" t="s">
        <v>773</v>
      </c>
      <c r="K2866" s="381">
        <v>0.0</v>
      </c>
      <c r="L2866" s="382">
        <v>1.0</v>
      </c>
    </row>
    <row r="2867">
      <c r="A2867" s="380" t="s">
        <v>3730</v>
      </c>
      <c r="B2867" s="380" t="str">
        <f>IFERROR(__xludf.DUMMYFUNCTION("""COMPUTED_VALUE"""),"Switch Luces 2 Tiempos Hs-68")</f>
        <v>Switch Luces 2 Tiempos Hs-68</v>
      </c>
      <c r="C2867" s="380" t="str">
        <f>IFERROR(__xludf.DUMMYFUNCTION("""COMPUTED_VALUE"""),"50000478")</f>
        <v>50000478</v>
      </c>
      <c r="D2867" s="380" t="s">
        <v>767</v>
      </c>
      <c r="E2867" s="380" t="s">
        <v>781</v>
      </c>
      <c r="F2867" s="380" t="s">
        <v>830</v>
      </c>
      <c r="G2867" s="380" t="s">
        <v>1267</v>
      </c>
      <c r="H2867" s="380" t="s">
        <v>771</v>
      </c>
      <c r="I2867" s="380" t="s">
        <v>817</v>
      </c>
      <c r="J2867" s="380" t="s">
        <v>773</v>
      </c>
      <c r="K2867" s="381">
        <v>0.0</v>
      </c>
      <c r="L2867" s="382">
        <v>1.0</v>
      </c>
    </row>
    <row r="2868">
      <c r="A2868" s="380" t="s">
        <v>3731</v>
      </c>
      <c r="B2868" s="380" t="str">
        <f>IFERROR(__xludf.DUMMYFUNCTION("""COMPUTED_VALUE"""),"Tornillo Hexagonal 8 Mm X 25mm Tuerca Ar")</f>
        <v>Tornillo Hexagonal 8 Mm X 25mm Tuerca Ar</v>
      </c>
      <c r="C2868" s="380" t="str">
        <f>IFERROR(__xludf.DUMMYFUNCTION("""COMPUTED_VALUE"""),"50000479")</f>
        <v>50000479</v>
      </c>
      <c r="D2868" s="380" t="s">
        <v>767</v>
      </c>
      <c r="E2868" s="380" t="s">
        <v>781</v>
      </c>
      <c r="F2868" s="380" t="s">
        <v>830</v>
      </c>
      <c r="G2868" s="380" t="s">
        <v>1267</v>
      </c>
      <c r="H2868" s="380" t="s">
        <v>771</v>
      </c>
      <c r="I2868" s="380" t="s">
        <v>817</v>
      </c>
      <c r="J2868" s="380" t="s">
        <v>773</v>
      </c>
      <c r="K2868" s="381">
        <v>0.0</v>
      </c>
      <c r="L2868" s="382">
        <v>1.0</v>
      </c>
    </row>
    <row r="2869">
      <c r="A2869" s="380" t="s">
        <v>3732</v>
      </c>
      <c r="B2869" s="380" t="str">
        <f>IFERROR(__xludf.DUMMYFUNCTION("""COMPUTED_VALUE"""),"Correa Logistica 2"" Rachet 642001")</f>
        <v>Correa Logistica 2" Rachet 642001</v>
      </c>
      <c r="C2869" s="380" t="str">
        <f>IFERROR(__xludf.DUMMYFUNCTION("""COMPUTED_VALUE"""),"50000480")</f>
        <v>50000480</v>
      </c>
      <c r="D2869" s="380" t="s">
        <v>767</v>
      </c>
      <c r="E2869" s="380" t="s">
        <v>781</v>
      </c>
      <c r="F2869" s="380" t="s">
        <v>830</v>
      </c>
      <c r="G2869" s="380" t="s">
        <v>1267</v>
      </c>
      <c r="H2869" s="380" t="s">
        <v>771</v>
      </c>
      <c r="I2869" s="380" t="s">
        <v>817</v>
      </c>
      <c r="J2869" s="380" t="s">
        <v>773</v>
      </c>
      <c r="K2869" s="381">
        <v>0.0</v>
      </c>
      <c r="L2869" s="382">
        <v>1.0</v>
      </c>
    </row>
    <row r="2870">
      <c r="A2870" s="380" t="s">
        <v>3733</v>
      </c>
      <c r="B2870" s="380" t="str">
        <f>IFERROR(__xludf.DUMMYFUNCTION("""COMPUTED_VALUE"""),"Tornillo Goloso 8 X 5/8")</f>
        <v>Tornillo Goloso 8 X 5/8</v>
      </c>
      <c r="C2870" s="380" t="str">
        <f>IFERROR(__xludf.DUMMYFUNCTION("""COMPUTED_VALUE"""),"50000481")</f>
        <v>50000481</v>
      </c>
      <c r="D2870" s="380" t="s">
        <v>767</v>
      </c>
      <c r="E2870" s="380" t="s">
        <v>781</v>
      </c>
      <c r="F2870" s="380" t="s">
        <v>830</v>
      </c>
      <c r="G2870" s="380" t="s">
        <v>1267</v>
      </c>
      <c r="H2870" s="380" t="s">
        <v>771</v>
      </c>
      <c r="I2870" s="380" t="s">
        <v>817</v>
      </c>
      <c r="J2870" s="380" t="s">
        <v>773</v>
      </c>
      <c r="K2870" s="381">
        <v>0.0</v>
      </c>
      <c r="L2870" s="382">
        <v>1.0</v>
      </c>
    </row>
    <row r="2871">
      <c r="A2871" s="380" t="s">
        <v>3734</v>
      </c>
      <c r="B2871" s="380" t="str">
        <f>IFERROR(__xludf.DUMMYFUNCTION("""COMPUTED_VALUE"""),"Tubo Estruc Cuad 100 X 100 X 4 Mm")</f>
        <v>Tubo Estruc Cuad 100 X 100 X 4 Mm</v>
      </c>
      <c r="C2871" s="380" t="str">
        <f>IFERROR(__xludf.DUMMYFUNCTION("""COMPUTED_VALUE"""),"50000482")</f>
        <v>50000482</v>
      </c>
      <c r="D2871" s="380" t="s">
        <v>767</v>
      </c>
      <c r="E2871" s="380" t="s">
        <v>781</v>
      </c>
      <c r="F2871" s="380" t="s">
        <v>830</v>
      </c>
      <c r="G2871" s="380" t="s">
        <v>1267</v>
      </c>
      <c r="H2871" s="380" t="s">
        <v>771</v>
      </c>
      <c r="I2871" s="380" t="s">
        <v>817</v>
      </c>
      <c r="J2871" s="380" t="s">
        <v>773</v>
      </c>
      <c r="K2871" s="381">
        <v>0.0</v>
      </c>
      <c r="L2871" s="382">
        <v>1.0</v>
      </c>
    </row>
    <row r="2872">
      <c r="A2872" s="380" t="s">
        <v>3735</v>
      </c>
      <c r="B2872" s="380" t="str">
        <f>IFERROR(__xludf.DUMMYFUNCTION("""COMPUTED_VALUE"""),"Platina Hierro De 1/4 X 1"" X 6mts")</f>
        <v>Platina Hierro De 1/4 X 1" X 6mts</v>
      </c>
      <c r="C2872" s="380" t="str">
        <f>IFERROR(__xludf.DUMMYFUNCTION("""COMPUTED_VALUE"""),"50000483")</f>
        <v>50000483</v>
      </c>
      <c r="D2872" s="380" t="s">
        <v>767</v>
      </c>
      <c r="E2872" s="380" t="s">
        <v>781</v>
      </c>
      <c r="F2872" s="380" t="s">
        <v>830</v>
      </c>
      <c r="G2872" s="380" t="s">
        <v>1267</v>
      </c>
      <c r="H2872" s="380" t="s">
        <v>771</v>
      </c>
      <c r="I2872" s="380" t="s">
        <v>817</v>
      </c>
      <c r="J2872" s="380" t="s">
        <v>773</v>
      </c>
      <c r="K2872" s="381">
        <v>0.0</v>
      </c>
      <c r="L2872" s="382">
        <v>1.0</v>
      </c>
    </row>
    <row r="2873">
      <c r="A2873" s="380" t="s">
        <v>3736</v>
      </c>
      <c r="B2873" s="380" t="str">
        <f>IFERROR(__xludf.DUMMYFUNCTION("""COMPUTED_VALUE"""),"La Lamina Aluminio C18 X 1.22 Mt 9030007")</f>
        <v>La Lamina Aluminio C18 X 1.22 Mt 9030007</v>
      </c>
      <c r="C2873" s="380" t="str">
        <f>IFERROR(__xludf.DUMMYFUNCTION("""COMPUTED_VALUE"""),"50000484")</f>
        <v>50000484</v>
      </c>
      <c r="D2873" s="380" t="s">
        <v>767</v>
      </c>
      <c r="E2873" s="380" t="s">
        <v>781</v>
      </c>
      <c r="F2873" s="380" t="s">
        <v>830</v>
      </c>
      <c r="G2873" s="380" t="s">
        <v>1267</v>
      </c>
      <c r="H2873" s="380" t="s">
        <v>771</v>
      </c>
      <c r="I2873" s="380" t="s">
        <v>817</v>
      </c>
      <c r="J2873" s="380" t="s">
        <v>773</v>
      </c>
      <c r="K2873" s="381">
        <v>0.0</v>
      </c>
      <c r="L2873" s="382">
        <v>1.0</v>
      </c>
    </row>
    <row r="2874">
      <c r="A2874" s="380" t="s">
        <v>3737</v>
      </c>
      <c r="B2874" s="380" t="str">
        <f>IFERROR(__xludf.DUMMYFUNCTION("""COMPUTED_VALUE"""),"Alcohol Desmoldalte Polivinilico 118")</f>
        <v>Alcohol Desmoldalte Polivinilico 118</v>
      </c>
      <c r="C2874" s="380" t="str">
        <f>IFERROR(__xludf.DUMMYFUNCTION("""COMPUTED_VALUE"""),"50000485")</f>
        <v>50000485</v>
      </c>
      <c r="D2874" s="380" t="s">
        <v>767</v>
      </c>
      <c r="E2874" s="380" t="s">
        <v>781</v>
      </c>
      <c r="F2874" s="380" t="s">
        <v>830</v>
      </c>
      <c r="G2874" s="380" t="s">
        <v>1267</v>
      </c>
      <c r="H2874" s="380" t="s">
        <v>771</v>
      </c>
      <c r="I2874" s="380" t="s">
        <v>817</v>
      </c>
      <c r="J2874" s="380" t="s">
        <v>773</v>
      </c>
      <c r="K2874" s="381">
        <v>0.0</v>
      </c>
      <c r="L2874" s="382">
        <v>1.0</v>
      </c>
    </row>
    <row r="2875">
      <c r="A2875" s="380" t="s">
        <v>3738</v>
      </c>
      <c r="B2875" s="380" t="str">
        <f>IFERROR(__xludf.DUMMYFUNCTION("""COMPUTED_VALUE"""),"Tor Tornillo Cabeza Plana 5/16 X 2"" R.O.")</f>
        <v>Tor Tornillo Cabeza Plana 5/16 X 2" R.O.</v>
      </c>
      <c r="C2875" s="380" t="str">
        <f>IFERROR(__xludf.DUMMYFUNCTION("""COMPUTED_VALUE"""),"50000486")</f>
        <v>50000486</v>
      </c>
      <c r="D2875" s="380" t="s">
        <v>767</v>
      </c>
      <c r="E2875" s="380" t="s">
        <v>781</v>
      </c>
      <c r="F2875" s="380" t="s">
        <v>830</v>
      </c>
      <c r="G2875" s="380" t="s">
        <v>1267</v>
      </c>
      <c r="H2875" s="380" t="s">
        <v>771</v>
      </c>
      <c r="I2875" s="380" t="s">
        <v>817</v>
      </c>
      <c r="J2875" s="380" t="s">
        <v>773</v>
      </c>
      <c r="K2875" s="381">
        <v>0.0</v>
      </c>
      <c r="L2875" s="382">
        <v>1.0</v>
      </c>
    </row>
    <row r="2876">
      <c r="A2876" s="380" t="s">
        <v>3739</v>
      </c>
      <c r="B2876" s="380" t="str">
        <f>IFERROR(__xludf.DUMMYFUNCTION("""COMPUTED_VALUE"""),"Cinta Enmascarar De 2""")</f>
        <v>Cinta Enmascarar De 2"</v>
      </c>
      <c r="C2876" s="380" t="str">
        <f>IFERROR(__xludf.DUMMYFUNCTION("""COMPUTED_VALUE"""),"50000487")</f>
        <v>50000487</v>
      </c>
      <c r="D2876" s="380" t="s">
        <v>767</v>
      </c>
      <c r="E2876" s="380" t="s">
        <v>781</v>
      </c>
      <c r="F2876" s="380" t="s">
        <v>830</v>
      </c>
      <c r="G2876" s="380" t="s">
        <v>1267</v>
      </c>
      <c r="H2876" s="380" t="s">
        <v>771</v>
      </c>
      <c r="I2876" s="380" t="s">
        <v>817</v>
      </c>
      <c r="J2876" s="380" t="s">
        <v>773</v>
      </c>
      <c r="K2876" s="381">
        <v>0.0</v>
      </c>
      <c r="L2876" s="382">
        <v>1.0</v>
      </c>
    </row>
    <row r="2877">
      <c r="A2877" s="380" t="s">
        <v>3740</v>
      </c>
      <c r="B2877" s="380" t="str">
        <f>IFERROR(__xludf.DUMMYFUNCTION("""COMPUTED_VALUE"""),"Rastreador Electrico De Breaker Ut25a")</f>
        <v>Rastreador Electrico De Breaker Ut25a</v>
      </c>
      <c r="C2877" s="380" t="str">
        <f>IFERROR(__xludf.DUMMYFUNCTION("""COMPUTED_VALUE"""),"50000490")</f>
        <v>50000490</v>
      </c>
      <c r="D2877" s="380" t="s">
        <v>767</v>
      </c>
      <c r="E2877" s="380" t="s">
        <v>781</v>
      </c>
      <c r="F2877" s="380" t="s">
        <v>782</v>
      </c>
      <c r="G2877" s="380" t="s">
        <v>1267</v>
      </c>
      <c r="H2877" s="380" t="s">
        <v>771</v>
      </c>
      <c r="I2877" s="380" t="s">
        <v>784</v>
      </c>
      <c r="J2877" s="380" t="s">
        <v>773</v>
      </c>
      <c r="K2877" s="381">
        <v>0.0</v>
      </c>
      <c r="L2877" s="382">
        <v>1.0</v>
      </c>
    </row>
    <row r="2878">
      <c r="A2878" s="380" t="s">
        <v>3741</v>
      </c>
      <c r="B2878" s="380" t="str">
        <f>IFERROR(__xludf.DUMMYFUNCTION("""COMPUTED_VALUE"""),"Rastreador Cables De Red Datos")</f>
        <v>Rastreador Cables De Red Datos</v>
      </c>
      <c r="C2878" s="380" t="str">
        <f>IFERROR(__xludf.DUMMYFUNCTION("""COMPUTED_VALUE"""),"50000491")</f>
        <v>50000491</v>
      </c>
      <c r="D2878" s="380" t="s">
        <v>767</v>
      </c>
      <c r="E2878" s="380" t="s">
        <v>781</v>
      </c>
      <c r="F2878" s="380" t="s">
        <v>782</v>
      </c>
      <c r="G2878" s="380" t="s">
        <v>1267</v>
      </c>
      <c r="H2878" s="380" t="s">
        <v>771</v>
      </c>
      <c r="I2878" s="380" t="s">
        <v>784</v>
      </c>
      <c r="J2878" s="380" t="s">
        <v>773</v>
      </c>
      <c r="K2878" s="381">
        <v>0.0</v>
      </c>
      <c r="L2878" s="382">
        <v>1.0</v>
      </c>
    </row>
    <row r="2879">
      <c r="A2879" s="380" t="s">
        <v>3742</v>
      </c>
      <c r="B2879" s="380" t="str">
        <f>IFERROR(__xludf.DUMMYFUNCTION("""COMPUTED_VALUE"""),"Ponchadora Hidraulica 16 Ton Electricida")</f>
        <v>Ponchadora Hidraulica 16 Ton Electricida</v>
      </c>
      <c r="C2879" s="380" t="str">
        <f>IFERROR(__xludf.DUMMYFUNCTION("""COMPUTED_VALUE"""),"50000492")</f>
        <v>50000492</v>
      </c>
      <c r="D2879" s="380" t="s">
        <v>767</v>
      </c>
      <c r="E2879" s="380" t="s">
        <v>781</v>
      </c>
      <c r="F2879" s="380" t="s">
        <v>782</v>
      </c>
      <c r="G2879" s="380" t="s">
        <v>1267</v>
      </c>
      <c r="H2879" s="380" t="s">
        <v>771</v>
      </c>
      <c r="I2879" s="380" t="s">
        <v>784</v>
      </c>
      <c r="J2879" s="380" t="s">
        <v>773</v>
      </c>
      <c r="K2879" s="381">
        <v>0.0</v>
      </c>
      <c r="L2879" s="382">
        <v>1.0</v>
      </c>
    </row>
    <row r="2880">
      <c r="A2880" s="380" t="s">
        <v>3743</v>
      </c>
      <c r="B2880" s="380" t="str">
        <f>IFERROR(__xludf.DUMMYFUNCTION("""COMPUTED_VALUE"""),"Kit De Herramienta Para Redes")</f>
        <v>Kit De Herramienta Para Redes</v>
      </c>
      <c r="C2880" s="380" t="str">
        <f>IFERROR(__xludf.DUMMYFUNCTION("""COMPUTED_VALUE"""),"50000493")</f>
        <v>50000493</v>
      </c>
      <c r="D2880" s="380" t="s">
        <v>767</v>
      </c>
      <c r="E2880" s="380" t="s">
        <v>781</v>
      </c>
      <c r="F2880" s="380" t="s">
        <v>782</v>
      </c>
      <c r="G2880" s="380" t="s">
        <v>1267</v>
      </c>
      <c r="H2880" s="380" t="s">
        <v>771</v>
      </c>
      <c r="I2880" s="380" t="s">
        <v>784</v>
      </c>
      <c r="J2880" s="380" t="s">
        <v>773</v>
      </c>
      <c r="K2880" s="381">
        <v>0.0</v>
      </c>
      <c r="L2880" s="382">
        <v>1.0</v>
      </c>
    </row>
    <row r="2881">
      <c r="A2881" s="380" t="s">
        <v>3744</v>
      </c>
      <c r="B2881" s="380" t="str">
        <f>IFERROR(__xludf.DUMMYFUNCTION("""COMPUTED_VALUE"""),"Copa Impacto 3/4"" 21 Mm Tipo A")</f>
        <v>Copa Impacto 3/4" 21 Mm Tipo A</v>
      </c>
      <c r="C2881" s="380" t="str">
        <f>IFERROR(__xludf.DUMMYFUNCTION("""COMPUTED_VALUE"""),"50000494")</f>
        <v>50000494</v>
      </c>
      <c r="D2881" s="380" t="s">
        <v>767</v>
      </c>
      <c r="E2881" s="380" t="s">
        <v>781</v>
      </c>
      <c r="F2881" s="380" t="s">
        <v>782</v>
      </c>
      <c r="G2881" s="380" t="s">
        <v>1267</v>
      </c>
      <c r="H2881" s="380" t="s">
        <v>771</v>
      </c>
      <c r="I2881" s="380" t="s">
        <v>784</v>
      </c>
      <c r="J2881" s="380" t="s">
        <v>773</v>
      </c>
      <c r="K2881" s="381">
        <v>0.0</v>
      </c>
      <c r="L2881" s="382">
        <v>1.0</v>
      </c>
    </row>
    <row r="2882">
      <c r="A2882" s="380" t="s">
        <v>3745</v>
      </c>
      <c r="B2882" s="380" t="str">
        <f>IFERROR(__xludf.DUMMYFUNCTION("""COMPUTED_VALUE"""),"Escalera Plegable 4 Pasos Acero Capacida")</f>
        <v>Escalera Plegable 4 Pasos Acero Capacida</v>
      </c>
      <c r="C2882" s="380" t="str">
        <f>IFERROR(__xludf.DUMMYFUNCTION("""COMPUTED_VALUE"""),"50000496")</f>
        <v>50000496</v>
      </c>
      <c r="D2882" s="380" t="s">
        <v>767</v>
      </c>
      <c r="E2882" s="380" t="s">
        <v>781</v>
      </c>
      <c r="F2882" s="380" t="s">
        <v>782</v>
      </c>
      <c r="G2882" s="380" t="s">
        <v>1267</v>
      </c>
      <c r="H2882" s="380" t="s">
        <v>771</v>
      </c>
      <c r="I2882" s="380" t="s">
        <v>784</v>
      </c>
      <c r="J2882" s="380" t="s">
        <v>773</v>
      </c>
      <c r="K2882" s="381">
        <v>0.0</v>
      </c>
      <c r="L2882" s="382">
        <v>1.0</v>
      </c>
    </row>
    <row r="2883">
      <c r="A2883" s="380" t="s">
        <v>3746</v>
      </c>
      <c r="B2883" s="380" t="str">
        <f>IFERROR(__xludf.DUMMYFUNCTION("""COMPUTED_VALUE"""),"Juego Palas Plasticas Latonero")</f>
        <v>Juego Palas Plasticas Latonero</v>
      </c>
      <c r="C2883" s="380" t="str">
        <f>IFERROR(__xludf.DUMMYFUNCTION("""COMPUTED_VALUE"""),"50000497")</f>
        <v>50000497</v>
      </c>
      <c r="D2883" s="380" t="s">
        <v>767</v>
      </c>
      <c r="E2883" s="380" t="s">
        <v>781</v>
      </c>
      <c r="F2883" s="380" t="s">
        <v>782</v>
      </c>
      <c r="G2883" s="380" t="s">
        <v>1267</v>
      </c>
      <c r="H2883" s="380" t="s">
        <v>771</v>
      </c>
      <c r="I2883" s="380" t="s">
        <v>784</v>
      </c>
      <c r="J2883" s="380" t="s">
        <v>773</v>
      </c>
      <c r="K2883" s="381">
        <v>0.0</v>
      </c>
      <c r="L2883" s="382">
        <v>1.0</v>
      </c>
    </row>
    <row r="2884">
      <c r="A2884" s="380" t="s">
        <v>3747</v>
      </c>
      <c r="B2884" s="380" t="str">
        <f>IFERROR(__xludf.DUMMYFUNCTION("""COMPUTED_VALUE"""),"Unidad De Mantenimi Engrasadora Reparado")</f>
        <v>Unidad De Mantenimi Engrasadora Reparado</v>
      </c>
      <c r="C2884" s="380" t="str">
        <f>IFERROR(__xludf.DUMMYFUNCTION("""COMPUTED_VALUE"""),"50000498")</f>
        <v>50000498</v>
      </c>
      <c r="D2884" s="380" t="s">
        <v>767</v>
      </c>
      <c r="E2884" s="380" t="s">
        <v>781</v>
      </c>
      <c r="F2884" s="380" t="s">
        <v>782</v>
      </c>
      <c r="G2884" s="380" t="s">
        <v>1267</v>
      </c>
      <c r="H2884" s="380" t="s">
        <v>771</v>
      </c>
      <c r="I2884" s="380" t="s">
        <v>784</v>
      </c>
      <c r="J2884" s="380" t="s">
        <v>773</v>
      </c>
      <c r="K2884" s="381">
        <v>0.0</v>
      </c>
      <c r="L2884" s="382">
        <v>1.0</v>
      </c>
    </row>
    <row r="2885">
      <c r="A2885" s="380" t="s">
        <v>3748</v>
      </c>
      <c r="B2885" s="380" t="str">
        <f>IFERROR(__xludf.DUMMYFUNCTION("""COMPUTED_VALUE"""),"Marcador Electrico Llanta Reparado")</f>
        <v>Marcador Electrico Llanta Reparado</v>
      </c>
      <c r="C2885" s="380" t="str">
        <f>IFERROR(__xludf.DUMMYFUNCTION("""COMPUTED_VALUE"""),"50000499")</f>
        <v>50000499</v>
      </c>
      <c r="D2885" s="380" t="s">
        <v>767</v>
      </c>
      <c r="E2885" s="380" t="s">
        <v>781</v>
      </c>
      <c r="F2885" s="380" t="s">
        <v>782</v>
      </c>
      <c r="G2885" s="380" t="s">
        <v>1267</v>
      </c>
      <c r="H2885" s="380" t="s">
        <v>771</v>
      </c>
      <c r="I2885" s="380" t="s">
        <v>784</v>
      </c>
      <c r="J2885" s="380" t="s">
        <v>773</v>
      </c>
      <c r="K2885" s="381">
        <v>0.0</v>
      </c>
      <c r="L2885" s="382">
        <v>1.0</v>
      </c>
    </row>
    <row r="2886">
      <c r="A2886" s="380" t="s">
        <v>3749</v>
      </c>
      <c r="B2886" s="380" t="str">
        <f>IFERROR(__xludf.DUMMYFUNCTION("""COMPUTED_VALUE"""),"Portapower Varios Reparado")</f>
        <v>Portapower Varios Reparado</v>
      </c>
      <c r="C2886" s="380" t="str">
        <f>IFERROR(__xludf.DUMMYFUNCTION("""COMPUTED_VALUE"""),"50000500")</f>
        <v>50000500</v>
      </c>
      <c r="D2886" s="380" t="s">
        <v>767</v>
      </c>
      <c r="E2886" s="380" t="s">
        <v>781</v>
      </c>
      <c r="F2886" s="380" t="s">
        <v>782</v>
      </c>
      <c r="G2886" s="380" t="s">
        <v>1267</v>
      </c>
      <c r="H2886" s="380" t="s">
        <v>771</v>
      </c>
      <c r="I2886" s="380" t="s">
        <v>784</v>
      </c>
      <c r="J2886" s="380" t="s">
        <v>773</v>
      </c>
      <c r="K2886" s="381">
        <v>0.0</v>
      </c>
      <c r="L2886" s="382">
        <v>1.0</v>
      </c>
    </row>
    <row r="2887">
      <c r="A2887" s="380" t="s">
        <v>3750</v>
      </c>
      <c r="B2887" s="380" t="str">
        <f>IFERROR(__xludf.DUMMYFUNCTION("""COMPUTED_VALUE"""),"Hidrolavadora Reparado")</f>
        <v>Hidrolavadora Reparado</v>
      </c>
      <c r="C2887" s="380" t="str">
        <f>IFERROR(__xludf.DUMMYFUNCTION("""COMPUTED_VALUE"""),"50000501")</f>
        <v>50000501</v>
      </c>
      <c r="D2887" s="380" t="s">
        <v>767</v>
      </c>
      <c r="E2887" s="380" t="s">
        <v>781</v>
      </c>
      <c r="F2887" s="380" t="s">
        <v>782</v>
      </c>
      <c r="G2887" s="380" t="s">
        <v>1267</v>
      </c>
      <c r="H2887" s="380" t="s">
        <v>771</v>
      </c>
      <c r="I2887" s="380" t="s">
        <v>784</v>
      </c>
      <c r="J2887" s="380" t="s">
        <v>773</v>
      </c>
      <c r="K2887" s="381">
        <v>0.0</v>
      </c>
      <c r="L2887" s="382">
        <v>1.0</v>
      </c>
    </row>
    <row r="2888">
      <c r="A2888" s="380" t="s">
        <v>3751</v>
      </c>
      <c r="B2888" s="380" t="str">
        <f>IFERROR(__xludf.DUMMYFUNCTION("""COMPUTED_VALUE"""),"Balanceadora Reparado")</f>
        <v>Balanceadora Reparado</v>
      </c>
      <c r="C2888" s="380" t="str">
        <f>IFERROR(__xludf.DUMMYFUNCTION("""COMPUTED_VALUE"""),"50000502")</f>
        <v>50000502</v>
      </c>
      <c r="D2888" s="380" t="s">
        <v>767</v>
      </c>
      <c r="E2888" s="380" t="s">
        <v>781</v>
      </c>
      <c r="F2888" s="380" t="s">
        <v>782</v>
      </c>
      <c r="G2888" s="380" t="s">
        <v>1267</v>
      </c>
      <c r="H2888" s="380" t="s">
        <v>771</v>
      </c>
      <c r="I2888" s="380" t="s">
        <v>784</v>
      </c>
      <c r="J2888" s="380" t="s">
        <v>773</v>
      </c>
      <c r="K2888" s="381">
        <v>0.0</v>
      </c>
      <c r="L2888" s="382">
        <v>1.0</v>
      </c>
    </row>
    <row r="2889">
      <c r="A2889" s="380" t="s">
        <v>3752</v>
      </c>
      <c r="B2889" s="380" t="str">
        <f>IFERROR(__xludf.DUMMYFUNCTION("""COMPUTED_VALUE"""),"Manometro Presion Reparado")</f>
        <v>Manometro Presion Reparado</v>
      </c>
      <c r="C2889" s="380" t="str">
        <f>IFERROR(__xludf.DUMMYFUNCTION("""COMPUTED_VALUE"""),"50000503")</f>
        <v>50000503</v>
      </c>
      <c r="D2889" s="380" t="s">
        <v>767</v>
      </c>
      <c r="E2889" s="380" t="s">
        <v>781</v>
      </c>
      <c r="F2889" s="380" t="s">
        <v>782</v>
      </c>
      <c r="G2889" s="380" t="s">
        <v>1267</v>
      </c>
      <c r="H2889" s="380" t="s">
        <v>771</v>
      </c>
      <c r="I2889" s="380" t="s">
        <v>784</v>
      </c>
      <c r="J2889" s="380" t="s">
        <v>773</v>
      </c>
      <c r="K2889" s="381">
        <v>0.0</v>
      </c>
      <c r="L2889" s="382">
        <v>1.0</v>
      </c>
    </row>
    <row r="2890">
      <c r="A2890" s="380" t="s">
        <v>3753</v>
      </c>
      <c r="B2890" s="380" t="str">
        <f>IFERROR(__xludf.DUMMYFUNCTION("""COMPUTED_VALUE"""),"Pistola Surtidor Acpm Reparado")</f>
        <v>Pistola Surtidor Acpm Reparado</v>
      </c>
      <c r="C2890" s="380" t="str">
        <f>IFERROR(__xludf.DUMMYFUNCTION("""COMPUTED_VALUE"""),"50000504")</f>
        <v>50000504</v>
      </c>
      <c r="D2890" s="380" t="s">
        <v>767</v>
      </c>
      <c r="E2890" s="380" t="s">
        <v>781</v>
      </c>
      <c r="F2890" s="380" t="s">
        <v>782</v>
      </c>
      <c r="G2890" s="380" t="s">
        <v>1267</v>
      </c>
      <c r="H2890" s="380" t="s">
        <v>771</v>
      </c>
      <c r="I2890" s="380" t="s">
        <v>784</v>
      </c>
      <c r="J2890" s="380" t="s">
        <v>773</v>
      </c>
      <c r="K2890" s="381">
        <v>311185.0</v>
      </c>
      <c r="L2890" s="382">
        <v>1.0</v>
      </c>
    </row>
    <row r="2891">
      <c r="A2891" s="380" t="s">
        <v>3754</v>
      </c>
      <c r="B2891" s="380" t="str">
        <f>IFERROR(__xludf.DUMMYFUNCTION("""COMPUTED_VALUE"""),"Gato Botella 20 Ton Reparado")</f>
        <v>Gato Botella 20 Ton Reparado</v>
      </c>
      <c r="C2891" s="380" t="str">
        <f>IFERROR(__xludf.DUMMYFUNCTION("""COMPUTED_VALUE"""),"50000505")</f>
        <v>50000505</v>
      </c>
      <c r="D2891" s="380" t="s">
        <v>767</v>
      </c>
      <c r="E2891" s="380" t="s">
        <v>781</v>
      </c>
      <c r="F2891" s="380" t="s">
        <v>782</v>
      </c>
      <c r="G2891" s="380" t="s">
        <v>1267</v>
      </c>
      <c r="H2891" s="380" t="s">
        <v>771</v>
      </c>
      <c r="I2891" s="380" t="s">
        <v>784</v>
      </c>
      <c r="J2891" s="380" t="s">
        <v>773</v>
      </c>
      <c r="K2891" s="381">
        <v>257792.0</v>
      </c>
      <c r="L2891" s="382">
        <v>1.0</v>
      </c>
    </row>
    <row r="2892">
      <c r="A2892" s="380" t="s">
        <v>3755</v>
      </c>
      <c r="B2892" s="380" t="str">
        <f>IFERROR(__xludf.DUMMYFUNCTION("""COMPUTED_VALUE"""),"Sentador Para Sellomatic (Hachita)")</f>
        <v>Sentador Para Sellomatic (Hachita)</v>
      </c>
      <c r="C2892" s="380" t="str">
        <f>IFERROR(__xludf.DUMMYFUNCTION("""COMPUTED_VALUE"""),"50000506")</f>
        <v>50000506</v>
      </c>
      <c r="D2892" s="380" t="s">
        <v>767</v>
      </c>
      <c r="E2892" s="380" t="s">
        <v>781</v>
      </c>
      <c r="F2892" s="380" t="s">
        <v>782</v>
      </c>
      <c r="G2892" s="380" t="s">
        <v>1267</v>
      </c>
      <c r="H2892" s="380" t="s">
        <v>771</v>
      </c>
      <c r="I2892" s="380" t="s">
        <v>784</v>
      </c>
      <c r="J2892" s="380" t="s">
        <v>773</v>
      </c>
      <c r="K2892" s="381">
        <v>0.0</v>
      </c>
      <c r="L2892" s="382">
        <v>1.0</v>
      </c>
    </row>
    <row r="2893">
      <c r="A2893" s="380" t="s">
        <v>3756</v>
      </c>
      <c r="B2893" s="380" t="str">
        <f>IFERROR(__xludf.DUMMYFUNCTION("""COMPUTED_VALUE"""),"Extractor Tornillo #6 13/32 Snapon")</f>
        <v>Extractor Tornillo #6 13/32 Snapon</v>
      </c>
      <c r="C2893" s="380" t="str">
        <f>IFERROR(__xludf.DUMMYFUNCTION("""COMPUTED_VALUE"""),"50000507")</f>
        <v>50000507</v>
      </c>
      <c r="D2893" s="380" t="s">
        <v>767</v>
      </c>
      <c r="E2893" s="380" t="s">
        <v>781</v>
      </c>
      <c r="F2893" s="380" t="s">
        <v>782</v>
      </c>
      <c r="G2893" s="380" t="s">
        <v>1267</v>
      </c>
      <c r="H2893" s="380" t="s">
        <v>771</v>
      </c>
      <c r="I2893" s="380" t="s">
        <v>784</v>
      </c>
      <c r="J2893" s="380" t="s">
        <v>773</v>
      </c>
      <c r="K2893" s="381">
        <v>0.0</v>
      </c>
      <c r="L2893" s="382">
        <v>1.0</v>
      </c>
    </row>
    <row r="2894">
      <c r="A2894" s="380" t="s">
        <v>3757</v>
      </c>
      <c r="B2894" s="380" t="str">
        <f>IFERROR(__xludf.DUMMYFUNCTION("""COMPUTED_VALUE"""),"Gato Botella Hidraulico Nike 5 Tonelada")</f>
        <v>Gato Botella Hidraulico Nike 5 Tonelada</v>
      </c>
      <c r="C2894" s="380" t="str">
        <f>IFERROR(__xludf.DUMMYFUNCTION("""COMPUTED_VALUE"""),"50000508")</f>
        <v>50000508</v>
      </c>
      <c r="D2894" s="380" t="s">
        <v>767</v>
      </c>
      <c r="E2894" s="380" t="s">
        <v>781</v>
      </c>
      <c r="F2894" s="380" t="s">
        <v>782</v>
      </c>
      <c r="G2894" s="380" t="s">
        <v>1267</v>
      </c>
      <c r="H2894" s="380" t="s">
        <v>771</v>
      </c>
      <c r="I2894" s="380" t="s">
        <v>784</v>
      </c>
      <c r="J2894" s="380" t="s">
        <v>773</v>
      </c>
      <c r="K2894" s="381">
        <v>0.0</v>
      </c>
      <c r="L2894" s="382">
        <v>1.0</v>
      </c>
    </row>
    <row r="2895">
      <c r="A2895" s="380" t="s">
        <v>3758</v>
      </c>
      <c r="B2895" s="380" t="str">
        <f>IFERROR(__xludf.DUMMYFUNCTION("""COMPUTED_VALUE"""),"Gato Botella Hco Nuev 20 Nike 20 Tonelad")</f>
        <v>Gato Botella Hco Nuev 20 Nike 20 Tonelad</v>
      </c>
      <c r="C2895" s="380" t="str">
        <f>IFERROR(__xludf.DUMMYFUNCTION("""COMPUTED_VALUE"""),"50000509")</f>
        <v>50000509</v>
      </c>
      <c r="D2895" s="380" t="s">
        <v>767</v>
      </c>
      <c r="E2895" s="380" t="s">
        <v>781</v>
      </c>
      <c r="F2895" s="380" t="s">
        <v>782</v>
      </c>
      <c r="G2895" s="380" t="s">
        <v>1267</v>
      </c>
      <c r="H2895" s="380" t="s">
        <v>771</v>
      </c>
      <c r="I2895" s="380" t="s">
        <v>784</v>
      </c>
      <c r="J2895" s="380" t="s">
        <v>773</v>
      </c>
      <c r="K2895" s="381">
        <v>0.0</v>
      </c>
      <c r="L2895" s="382">
        <v>1.0</v>
      </c>
    </row>
    <row r="2896">
      <c r="A2896" s="380" t="s">
        <v>3759</v>
      </c>
      <c r="B2896" s="380" t="str">
        <f>IFERROR(__xludf.DUMMYFUNCTION("""COMPUTED_VALUE"""),"Cizalla Manual De 36"" Nk-Cz36r")</f>
        <v>Cizalla Manual De 36" Nk-Cz36r</v>
      </c>
      <c r="C2896" s="380" t="str">
        <f>IFERROR(__xludf.DUMMYFUNCTION("""COMPUTED_VALUE"""),"50000510")</f>
        <v>50000510</v>
      </c>
      <c r="D2896" s="380" t="s">
        <v>767</v>
      </c>
      <c r="E2896" s="380" t="s">
        <v>781</v>
      </c>
      <c r="F2896" s="380" t="s">
        <v>782</v>
      </c>
      <c r="G2896" s="380" t="s">
        <v>1267</v>
      </c>
      <c r="H2896" s="380" t="s">
        <v>771</v>
      </c>
      <c r="I2896" s="380" t="s">
        <v>784</v>
      </c>
      <c r="J2896" s="380" t="s">
        <v>773</v>
      </c>
      <c r="K2896" s="381">
        <v>0.0</v>
      </c>
      <c r="L2896" s="382">
        <v>1.0</v>
      </c>
    </row>
    <row r="2897">
      <c r="A2897" s="380" t="s">
        <v>3760</v>
      </c>
      <c r="B2897" s="380" t="str">
        <f>IFERROR(__xludf.DUMMYFUNCTION("""COMPUTED_VALUE"""),"Espatula Plastica Para Masillar")</f>
        <v>Espatula Plastica Para Masillar</v>
      </c>
      <c r="C2897" s="380" t="str">
        <f>IFERROR(__xludf.DUMMYFUNCTION("""COMPUTED_VALUE"""),"50000511")</f>
        <v>50000511</v>
      </c>
      <c r="D2897" s="380" t="s">
        <v>767</v>
      </c>
      <c r="E2897" s="380" t="s">
        <v>781</v>
      </c>
      <c r="F2897" s="380" t="s">
        <v>782</v>
      </c>
      <c r="G2897" s="380" t="s">
        <v>1267</v>
      </c>
      <c r="H2897" s="380" t="s">
        <v>771</v>
      </c>
      <c r="I2897" s="380" t="s">
        <v>784</v>
      </c>
      <c r="J2897" s="380" t="s">
        <v>773</v>
      </c>
      <c r="K2897" s="381">
        <v>0.0</v>
      </c>
      <c r="L2897" s="382">
        <v>1.0</v>
      </c>
    </row>
    <row r="2898">
      <c r="A2898" s="380" t="s">
        <v>3761</v>
      </c>
      <c r="B2898" s="380" t="str">
        <f>IFERROR(__xludf.DUMMYFUNCTION("""COMPUTED_VALUE"""),"Regulador Presion Acetileno Ox L11136266")</f>
        <v>Regulador Presion Acetileno Ox L11136266</v>
      </c>
      <c r="C2898" s="380" t="str">
        <f>IFERROR(__xludf.DUMMYFUNCTION("""COMPUTED_VALUE"""),"50000512")</f>
        <v>50000512</v>
      </c>
      <c r="D2898" s="380" t="s">
        <v>767</v>
      </c>
      <c r="E2898" s="380" t="s">
        <v>781</v>
      </c>
      <c r="F2898" s="380" t="s">
        <v>782</v>
      </c>
      <c r="G2898" s="380" t="s">
        <v>1267</v>
      </c>
      <c r="H2898" s="380" t="s">
        <v>771</v>
      </c>
      <c r="I2898" s="380" t="s">
        <v>784</v>
      </c>
      <c r="J2898" s="380" t="s">
        <v>773</v>
      </c>
      <c r="K2898" s="381">
        <v>0.0</v>
      </c>
      <c r="L2898" s="382">
        <v>1.0</v>
      </c>
    </row>
    <row r="2899">
      <c r="A2899" s="380" t="s">
        <v>3762</v>
      </c>
      <c r="B2899" s="380" t="str">
        <f>IFERROR(__xludf.DUMMYFUNCTION("""COMPUTED_VALUE"""),"Copa Cuadrante 21 Mm X De 1""")</f>
        <v>Copa Cuadrante 21 Mm X De 1"</v>
      </c>
      <c r="C2899" s="380" t="str">
        <f>IFERROR(__xludf.DUMMYFUNCTION("""COMPUTED_VALUE"""),"50000513")</f>
        <v>50000513</v>
      </c>
      <c r="D2899" s="380" t="s">
        <v>767</v>
      </c>
      <c r="E2899" s="380" t="s">
        <v>781</v>
      </c>
      <c r="F2899" s="380" t="s">
        <v>782</v>
      </c>
      <c r="G2899" s="380" t="s">
        <v>1267</v>
      </c>
      <c r="H2899" s="380" t="s">
        <v>771</v>
      </c>
      <c r="I2899" s="380" t="s">
        <v>784</v>
      </c>
      <c r="J2899" s="380" t="s">
        <v>773</v>
      </c>
      <c r="K2899" s="381">
        <v>0.0</v>
      </c>
      <c r="L2899" s="382">
        <v>1.0</v>
      </c>
    </row>
    <row r="2900">
      <c r="A2900" s="380" t="s">
        <v>3763</v>
      </c>
      <c r="B2900" s="380" t="str">
        <f>IFERROR(__xludf.DUMMYFUNCTION("""COMPUTED_VALUE"""),"Copa Impacto Alta Cuadrante 1"" X 1.5/8 T")</f>
        <v>Copa Impacto Alta Cuadrante 1" X 1.5/8 T</v>
      </c>
      <c r="C2900" s="380" t="str">
        <f>IFERROR(__xludf.DUMMYFUNCTION("""COMPUTED_VALUE"""),"50000514")</f>
        <v>50000514</v>
      </c>
      <c r="D2900" s="380" t="s">
        <v>767</v>
      </c>
      <c r="E2900" s="380" t="s">
        <v>781</v>
      </c>
      <c r="F2900" s="380" t="s">
        <v>782</v>
      </c>
      <c r="G2900" s="380" t="s">
        <v>1267</v>
      </c>
      <c r="H2900" s="380" t="s">
        <v>771</v>
      </c>
      <c r="I2900" s="380" t="s">
        <v>784</v>
      </c>
      <c r="J2900" s="380" t="s">
        <v>773</v>
      </c>
      <c r="K2900" s="381">
        <v>0.0</v>
      </c>
      <c r="L2900" s="382">
        <v>1.0</v>
      </c>
    </row>
    <row r="2901">
      <c r="A2901" s="380" t="s">
        <v>3764</v>
      </c>
      <c r="B2901" s="380" t="str">
        <f>IFERROR(__xludf.DUMMYFUNCTION("""COMPUTED_VALUE"""),"Copa Torx E20 Cuadrante 1/2 Tipo A")</f>
        <v>Copa Torx E20 Cuadrante 1/2 Tipo A</v>
      </c>
      <c r="C2901" s="380" t="str">
        <f>IFERROR(__xludf.DUMMYFUNCTION("""COMPUTED_VALUE"""),"50000515")</f>
        <v>50000515</v>
      </c>
      <c r="D2901" s="380" t="s">
        <v>767</v>
      </c>
      <c r="E2901" s="380" t="s">
        <v>781</v>
      </c>
      <c r="F2901" s="380" t="s">
        <v>782</v>
      </c>
      <c r="G2901" s="380" t="s">
        <v>1267</v>
      </c>
      <c r="H2901" s="380" t="s">
        <v>771</v>
      </c>
      <c r="I2901" s="380" t="s">
        <v>784</v>
      </c>
      <c r="J2901" s="380" t="s">
        <v>773</v>
      </c>
      <c r="K2901" s="381">
        <v>0.0</v>
      </c>
      <c r="L2901" s="382">
        <v>1.0</v>
      </c>
    </row>
    <row r="2902">
      <c r="A2902" s="380" t="s">
        <v>3765</v>
      </c>
      <c r="B2902" s="380" t="str">
        <f>IFERROR(__xludf.DUMMYFUNCTION("""COMPUTED_VALUE"""),"Llave Estrella 7/16 X 1/2 Snapon")</f>
        <v>Llave Estrella 7/16 X 1/2 Snapon</v>
      </c>
      <c r="C2902" s="380" t="str">
        <f>IFERROR(__xludf.DUMMYFUNCTION("""COMPUTED_VALUE"""),"50000516")</f>
        <v>50000516</v>
      </c>
      <c r="D2902" s="380" t="s">
        <v>767</v>
      </c>
      <c r="E2902" s="380" t="s">
        <v>781</v>
      </c>
      <c r="F2902" s="380" t="s">
        <v>782</v>
      </c>
      <c r="G2902" s="380" t="s">
        <v>1267</v>
      </c>
      <c r="H2902" s="380" t="s">
        <v>771</v>
      </c>
      <c r="I2902" s="380" t="s">
        <v>784</v>
      </c>
      <c r="J2902" s="380" t="s">
        <v>773</v>
      </c>
      <c r="K2902" s="381">
        <v>0.0</v>
      </c>
      <c r="L2902" s="382">
        <v>1.0</v>
      </c>
    </row>
    <row r="2903">
      <c r="A2903" s="380" t="s">
        <v>3766</v>
      </c>
      <c r="B2903" s="380" t="str">
        <f>IFERROR(__xludf.DUMMYFUNCTION("""COMPUTED_VALUE"""),"Gato Hidraulico Para Caja Velocidades")</f>
        <v>Gato Hidraulico Para Caja Velocidades</v>
      </c>
      <c r="C2903" s="380" t="str">
        <f>IFERROR(__xludf.DUMMYFUNCTION("""COMPUTED_VALUE"""),"50000518")</f>
        <v>50000518</v>
      </c>
      <c r="D2903" s="380" t="s">
        <v>767</v>
      </c>
      <c r="E2903" s="380" t="s">
        <v>781</v>
      </c>
      <c r="F2903" s="380" t="s">
        <v>782</v>
      </c>
      <c r="G2903" s="380" t="s">
        <v>1267</v>
      </c>
      <c r="H2903" s="380" t="s">
        <v>771</v>
      </c>
      <c r="I2903" s="380" t="s">
        <v>784</v>
      </c>
      <c r="J2903" s="380" t="s">
        <v>773</v>
      </c>
      <c r="K2903" s="381">
        <v>0.0</v>
      </c>
      <c r="L2903" s="382">
        <v>1.0</v>
      </c>
    </row>
    <row r="2904">
      <c r="A2904" s="380" t="s">
        <v>3767</v>
      </c>
      <c r="B2904" s="380" t="str">
        <f>IFERROR(__xludf.DUMMYFUNCTION("""COMPUTED_VALUE"""),"Motortool De Aire")</f>
        <v>Motortool De Aire</v>
      </c>
      <c r="C2904" s="380" t="str">
        <f>IFERROR(__xludf.DUMMYFUNCTION("""COMPUTED_VALUE"""),"50000519")</f>
        <v>50000519</v>
      </c>
      <c r="D2904" s="380" t="s">
        <v>767</v>
      </c>
      <c r="E2904" s="380" t="s">
        <v>781</v>
      </c>
      <c r="F2904" s="380" t="s">
        <v>782</v>
      </c>
      <c r="G2904" s="380" t="s">
        <v>1267</v>
      </c>
      <c r="H2904" s="380" t="s">
        <v>771</v>
      </c>
      <c r="I2904" s="380" t="s">
        <v>784</v>
      </c>
      <c r="J2904" s="380" t="s">
        <v>773</v>
      </c>
      <c r="K2904" s="381">
        <v>0.0</v>
      </c>
      <c r="L2904" s="382">
        <v>1.0</v>
      </c>
    </row>
    <row r="2905">
      <c r="A2905" s="380" t="s">
        <v>3768</v>
      </c>
      <c r="B2905" s="380" t="str">
        <f>IFERROR(__xludf.DUMMYFUNCTION("""COMPUTED_VALUE"""),"Llave Expansion 15"" Proto")</f>
        <v>Llave Expansion 15" Proto</v>
      </c>
      <c r="C2905" s="380" t="str">
        <f>IFERROR(__xludf.DUMMYFUNCTION("""COMPUTED_VALUE"""),"50000520")</f>
        <v>50000520</v>
      </c>
      <c r="D2905" s="380" t="s">
        <v>767</v>
      </c>
      <c r="E2905" s="380" t="s">
        <v>781</v>
      </c>
      <c r="F2905" s="380" t="s">
        <v>782</v>
      </c>
      <c r="G2905" s="380" t="s">
        <v>1267</v>
      </c>
      <c r="H2905" s="380" t="s">
        <v>771</v>
      </c>
      <c r="I2905" s="380" t="s">
        <v>784</v>
      </c>
      <c r="J2905" s="380" t="s">
        <v>773</v>
      </c>
      <c r="K2905" s="381">
        <v>0.0</v>
      </c>
      <c r="L2905" s="382">
        <v>1.0</v>
      </c>
    </row>
    <row r="2906">
      <c r="A2906" s="380" t="s">
        <v>3769</v>
      </c>
      <c r="B2906" s="380" t="str">
        <f>IFERROR(__xludf.DUMMYFUNCTION("""COMPUTED_VALUE"""),"Fresas Varias Motortull")</f>
        <v>Fresas Varias Motortull</v>
      </c>
      <c r="C2906" s="380" t="str">
        <f>IFERROR(__xludf.DUMMYFUNCTION("""COMPUTED_VALUE"""),"50000521")</f>
        <v>50000521</v>
      </c>
      <c r="D2906" s="380" t="s">
        <v>767</v>
      </c>
      <c r="E2906" s="380" t="s">
        <v>781</v>
      </c>
      <c r="F2906" s="380" t="s">
        <v>782</v>
      </c>
      <c r="G2906" s="380" t="s">
        <v>1267</v>
      </c>
      <c r="H2906" s="380" t="s">
        <v>771</v>
      </c>
      <c r="I2906" s="380" t="s">
        <v>784</v>
      </c>
      <c r="J2906" s="380" t="s">
        <v>773</v>
      </c>
      <c r="K2906" s="381">
        <v>0.0</v>
      </c>
      <c r="L2906" s="382">
        <v>1.0</v>
      </c>
    </row>
    <row r="2907">
      <c r="A2907" s="380" t="s">
        <v>3770</v>
      </c>
      <c r="B2907" s="380" t="str">
        <f>IFERROR(__xludf.DUMMYFUNCTION("""COMPUTED_VALUE"""),"Rell Cepillo Tipo Lapiz En Espiral")</f>
        <v>Rell Cepillo Tipo Lapiz En Espiral</v>
      </c>
      <c r="C2907" s="380" t="str">
        <f>IFERROR(__xludf.DUMMYFUNCTION("""COMPUTED_VALUE"""),"50000522")</f>
        <v>50000522</v>
      </c>
      <c r="D2907" s="380" t="s">
        <v>767</v>
      </c>
      <c r="E2907" s="380" t="s">
        <v>781</v>
      </c>
      <c r="F2907" s="380" t="s">
        <v>782</v>
      </c>
      <c r="G2907" s="380" t="s">
        <v>1267</v>
      </c>
      <c r="H2907" s="380" t="s">
        <v>771</v>
      </c>
      <c r="I2907" s="380" t="s">
        <v>784</v>
      </c>
      <c r="J2907" s="380" t="s">
        <v>773</v>
      </c>
      <c r="K2907" s="381">
        <v>0.0</v>
      </c>
      <c r="L2907" s="382">
        <v>1.0</v>
      </c>
    </row>
    <row r="2908">
      <c r="A2908" s="380" t="s">
        <v>3771</v>
      </c>
      <c r="B2908" s="380" t="str">
        <f>IFERROR(__xludf.DUMMYFUNCTION("""COMPUTED_VALUE"""),"Rell Raspa Acampanada Gr-36")</f>
        <v>Rell Raspa Acampanada Gr-36</v>
      </c>
      <c r="C2908" s="380" t="str">
        <f>IFERROR(__xludf.DUMMYFUNCTION("""COMPUTED_VALUE"""),"50000523")</f>
        <v>50000523</v>
      </c>
      <c r="D2908" s="380" t="s">
        <v>767</v>
      </c>
      <c r="E2908" s="380" t="s">
        <v>781</v>
      </c>
      <c r="F2908" s="380" t="s">
        <v>782</v>
      </c>
      <c r="G2908" s="380" t="s">
        <v>1267</v>
      </c>
      <c r="H2908" s="380" t="s">
        <v>771</v>
      </c>
      <c r="I2908" s="380" t="s">
        <v>784</v>
      </c>
      <c r="J2908" s="380" t="s">
        <v>773</v>
      </c>
      <c r="K2908" s="381">
        <v>0.0</v>
      </c>
      <c r="L2908" s="382">
        <v>1.0</v>
      </c>
    </row>
    <row r="2909">
      <c r="A2909" s="380" t="s">
        <v>3772</v>
      </c>
      <c r="B2909" s="380" t="str">
        <f>IFERROR(__xludf.DUMMYFUNCTION("""COMPUTED_VALUE"""),"Rell Po Rell Portaherramienta Rapida 1/4")</f>
        <v>Rell Po Rell Portaherramienta Rapida 1/4</v>
      </c>
      <c r="C2909" s="380" t="str">
        <f>IFERROR(__xludf.DUMMYFUNCTION("""COMPUTED_VALUE"""),"50000524")</f>
        <v>50000524</v>
      </c>
      <c r="D2909" s="380" t="s">
        <v>767</v>
      </c>
      <c r="E2909" s="380" t="s">
        <v>781</v>
      </c>
      <c r="F2909" s="380" t="s">
        <v>782</v>
      </c>
      <c r="G2909" s="380" t="s">
        <v>1267</v>
      </c>
      <c r="H2909" s="380" t="s">
        <v>771</v>
      </c>
      <c r="I2909" s="380" t="s">
        <v>784</v>
      </c>
      <c r="J2909" s="380" t="s">
        <v>773</v>
      </c>
      <c r="K2909" s="381">
        <v>0.0</v>
      </c>
      <c r="L2909" s="382">
        <v>1.0</v>
      </c>
    </row>
    <row r="2910">
      <c r="A2910" s="380" t="s">
        <v>3773</v>
      </c>
      <c r="B2910" s="380" t="str">
        <f>IFERROR(__xludf.DUMMYFUNCTION("""COMPUTED_VALUE"""),"Re Rell Portaherramieta Rapido 3/8 Corto")</f>
        <v>Re Rell Portaherramieta Rapido 3/8 Corto</v>
      </c>
      <c r="C2910" s="380" t="str">
        <f>IFERROR(__xludf.DUMMYFUNCTION("""COMPUTED_VALUE"""),"50000525")</f>
        <v>50000525</v>
      </c>
      <c r="D2910" s="380" t="s">
        <v>767</v>
      </c>
      <c r="E2910" s="380" t="s">
        <v>781</v>
      </c>
      <c r="F2910" s="380" t="s">
        <v>782</v>
      </c>
      <c r="G2910" s="380" t="s">
        <v>1267</v>
      </c>
      <c r="H2910" s="380" t="s">
        <v>771</v>
      </c>
      <c r="I2910" s="380" t="s">
        <v>784</v>
      </c>
      <c r="J2910" s="380" t="s">
        <v>773</v>
      </c>
      <c r="K2910" s="381">
        <v>0.0</v>
      </c>
      <c r="L2910" s="382">
        <v>1.0</v>
      </c>
    </row>
    <row r="2911">
      <c r="A2911" s="380" t="s">
        <v>3774</v>
      </c>
      <c r="B2911" s="380" t="str">
        <f>IFERROR(__xludf.DUMMYFUNCTION("""COMPUTED_VALUE"""),"Rell Lezna En Espiral")</f>
        <v>Rell Lezna En Espiral</v>
      </c>
      <c r="C2911" s="380" t="str">
        <f>IFERROR(__xludf.DUMMYFUNCTION("""COMPUTED_VALUE"""),"50000526")</f>
        <v>50000526</v>
      </c>
      <c r="D2911" s="380" t="s">
        <v>767</v>
      </c>
      <c r="E2911" s="380" t="s">
        <v>781</v>
      </c>
      <c r="F2911" s="380" t="s">
        <v>782</v>
      </c>
      <c r="G2911" s="380" t="s">
        <v>1267</v>
      </c>
      <c r="H2911" s="380" t="s">
        <v>771</v>
      </c>
      <c r="I2911" s="380" t="s">
        <v>784</v>
      </c>
      <c r="J2911" s="380" t="s">
        <v>773</v>
      </c>
      <c r="K2911" s="381">
        <v>0.0</v>
      </c>
      <c r="L2911" s="382">
        <v>1.0</v>
      </c>
    </row>
    <row r="2912">
      <c r="A2912" s="380" t="s">
        <v>3775</v>
      </c>
      <c r="B2912" s="380" t="str">
        <f>IFERROR(__xludf.DUMMYFUNCTION("""COMPUTED_VALUE"""),"Rell Cuchillo Recto Punta Redonda")</f>
        <v>Rell Cuchillo Recto Punta Redonda</v>
      </c>
      <c r="C2912" s="380" t="str">
        <f>IFERROR(__xludf.DUMMYFUNCTION("""COMPUTED_VALUE"""),"50000527")</f>
        <v>50000527</v>
      </c>
      <c r="D2912" s="380" t="s">
        <v>767</v>
      </c>
      <c r="E2912" s="380" t="s">
        <v>781</v>
      </c>
      <c r="F2912" s="380" t="s">
        <v>782</v>
      </c>
      <c r="G2912" s="380" t="s">
        <v>1267</v>
      </c>
      <c r="H2912" s="380" t="s">
        <v>771</v>
      </c>
      <c r="I2912" s="380" t="s">
        <v>784</v>
      </c>
      <c r="J2912" s="380" t="s">
        <v>773</v>
      </c>
      <c r="K2912" s="381">
        <v>0.0</v>
      </c>
      <c r="L2912" s="382">
        <v>1.0</v>
      </c>
    </row>
    <row r="2913">
      <c r="A2913" s="380" t="s">
        <v>3776</v>
      </c>
      <c r="B2913" s="380" t="str">
        <f>IFERROR(__xludf.DUMMYFUNCTION("""COMPUTED_VALUE"""),"Rell Raspador Para Llanta-Neumatico")</f>
        <v>Rell Raspador Para Llanta-Neumatico</v>
      </c>
      <c r="C2913" s="380" t="str">
        <f>IFERROR(__xludf.DUMMYFUNCTION("""COMPUTED_VALUE"""),"50000528")</f>
        <v>50000528</v>
      </c>
      <c r="D2913" s="380" t="s">
        <v>767</v>
      </c>
      <c r="E2913" s="380" t="s">
        <v>781</v>
      </c>
      <c r="F2913" s="380" t="s">
        <v>782</v>
      </c>
      <c r="G2913" s="380" t="s">
        <v>1267</v>
      </c>
      <c r="H2913" s="380" t="s">
        <v>771</v>
      </c>
      <c r="I2913" s="380" t="s">
        <v>784</v>
      </c>
      <c r="J2913" s="380" t="s">
        <v>773</v>
      </c>
      <c r="K2913" s="381">
        <v>0.0</v>
      </c>
      <c r="L2913" s="382">
        <v>1.0</v>
      </c>
    </row>
    <row r="2914">
      <c r="A2914" s="380" t="s">
        <v>3777</v>
      </c>
      <c r="B2914" s="380" t="str">
        <f>IFERROR(__xludf.DUMMYFUNCTION("""COMPUTED_VALUE"""),"Rell Rodillo Grueso 6mm - 1/4")</f>
        <v>Rell Rodillo Grueso 6mm - 1/4</v>
      </c>
      <c r="C2914" s="380" t="str">
        <f>IFERROR(__xludf.DUMMYFUNCTION("""COMPUTED_VALUE"""),"50000529")</f>
        <v>50000529</v>
      </c>
      <c r="D2914" s="380" t="s">
        <v>767</v>
      </c>
      <c r="E2914" s="380" t="s">
        <v>781</v>
      </c>
      <c r="F2914" s="380" t="s">
        <v>782</v>
      </c>
      <c r="G2914" s="380" t="s">
        <v>1267</v>
      </c>
      <c r="H2914" s="380" t="s">
        <v>771</v>
      </c>
      <c r="I2914" s="380" t="s">
        <v>784</v>
      </c>
      <c r="J2914" s="380" t="s">
        <v>773</v>
      </c>
      <c r="K2914" s="381">
        <v>0.0</v>
      </c>
      <c r="L2914" s="382">
        <v>1.0</v>
      </c>
    </row>
    <row r="2915">
      <c r="A2915" s="380" t="s">
        <v>3778</v>
      </c>
      <c r="B2915" s="380" t="str">
        <f>IFERROR(__xludf.DUMMYFUNCTION("""COMPUTED_VALUE"""),"Rell Lezna Indicadora Hueco Clavo")</f>
        <v>Rell Lezna Indicadora Hueco Clavo</v>
      </c>
      <c r="C2915" s="380" t="str">
        <f>IFERROR(__xludf.DUMMYFUNCTION("""COMPUTED_VALUE"""),"50000530")</f>
        <v>50000530</v>
      </c>
      <c r="D2915" s="380" t="s">
        <v>767</v>
      </c>
      <c r="E2915" s="380" t="s">
        <v>781</v>
      </c>
      <c r="F2915" s="380" t="s">
        <v>782</v>
      </c>
      <c r="G2915" s="380" t="s">
        <v>1267</v>
      </c>
      <c r="H2915" s="380" t="s">
        <v>771</v>
      </c>
      <c r="I2915" s="380" t="s">
        <v>784</v>
      </c>
      <c r="J2915" s="380" t="s">
        <v>773</v>
      </c>
      <c r="K2915" s="381">
        <v>0.0</v>
      </c>
      <c r="L2915" s="382">
        <v>1.0</v>
      </c>
    </row>
    <row r="2916">
      <c r="A2916" s="380" t="s">
        <v>3779</v>
      </c>
      <c r="B2916" s="380" t="str">
        <f>IFERROR(__xludf.DUMMYFUNCTION("""COMPUTED_VALUE"""),"Rell Tanque Rociador A Presion")</f>
        <v>Rell Tanque Rociador A Presion</v>
      </c>
      <c r="C2916" s="380" t="str">
        <f>IFERROR(__xludf.DUMMYFUNCTION("""COMPUTED_VALUE"""),"50000531")</f>
        <v>50000531</v>
      </c>
      <c r="D2916" s="380" t="s">
        <v>767</v>
      </c>
      <c r="E2916" s="380" t="s">
        <v>781</v>
      </c>
      <c r="F2916" s="380" t="s">
        <v>782</v>
      </c>
      <c r="G2916" s="380" t="s">
        <v>1267</v>
      </c>
      <c r="H2916" s="380" t="s">
        <v>771</v>
      </c>
      <c r="I2916" s="380" t="s">
        <v>784</v>
      </c>
      <c r="J2916" s="380" t="s">
        <v>773</v>
      </c>
      <c r="K2916" s="381">
        <v>0.0</v>
      </c>
      <c r="L2916" s="382">
        <v>1.0</v>
      </c>
    </row>
    <row r="2917">
      <c r="A2917" s="380" t="s">
        <v>3780</v>
      </c>
      <c r="B2917" s="380" t="str">
        <f>IFERROR(__xludf.DUMMYFUNCTION("""COMPUTED_VALUE"""),"Llave Para Pernos Para Cuadrante De 1 5/")</f>
        <v>Llave Para Pernos Para Cuadrante De 1 5/</v>
      </c>
      <c r="C2917" s="380" t="str">
        <f>IFERROR(__xludf.DUMMYFUNCTION("""COMPUTED_VALUE"""),"50000532")</f>
        <v>50000532</v>
      </c>
      <c r="D2917" s="380" t="s">
        <v>767</v>
      </c>
      <c r="E2917" s="380" t="s">
        <v>781</v>
      </c>
      <c r="F2917" s="380" t="s">
        <v>782</v>
      </c>
      <c r="G2917" s="380" t="s">
        <v>1267</v>
      </c>
      <c r="H2917" s="380" t="s">
        <v>771</v>
      </c>
      <c r="I2917" s="380" t="s">
        <v>784</v>
      </c>
      <c r="J2917" s="380" t="s">
        <v>773</v>
      </c>
      <c r="K2917" s="381">
        <v>0.0</v>
      </c>
      <c r="L2917" s="382">
        <v>1.0</v>
      </c>
    </row>
    <row r="2918">
      <c r="A2918" s="380" t="s">
        <v>3781</v>
      </c>
      <c r="B2918" s="380" t="str">
        <f>IFERROR(__xludf.DUMMYFUNCTION("""COMPUTED_VALUE"""),"Copa Adptador De 5/16 Tipo B")</f>
        <v>Copa Adptador De 5/16 Tipo B</v>
      </c>
      <c r="C2918" s="380" t="str">
        <f>IFERROR(__xludf.DUMMYFUNCTION("""COMPUTED_VALUE"""),"50000533")</f>
        <v>50000533</v>
      </c>
      <c r="D2918" s="380" t="s">
        <v>767</v>
      </c>
      <c r="E2918" s="380" t="s">
        <v>781</v>
      </c>
      <c r="F2918" s="380" t="s">
        <v>782</v>
      </c>
      <c r="G2918" s="380" t="s">
        <v>1267</v>
      </c>
      <c r="H2918" s="380" t="s">
        <v>771</v>
      </c>
      <c r="I2918" s="380" t="s">
        <v>784</v>
      </c>
      <c r="J2918" s="380" t="s">
        <v>773</v>
      </c>
      <c r="K2918" s="381">
        <v>0.0</v>
      </c>
      <c r="L2918" s="382">
        <v>1.0</v>
      </c>
    </row>
    <row r="2919">
      <c r="A2919" s="380" t="s">
        <v>3782</v>
      </c>
      <c r="B2919" s="380" t="str">
        <f>IFERROR(__xludf.DUMMYFUNCTION("""COMPUTED_VALUE"""),"Flexometro M. Forte Por 3 Mts 3mts")</f>
        <v>Flexometro M. Forte Por 3 Mts 3mts</v>
      </c>
      <c r="C2919" s="380" t="str">
        <f>IFERROR(__xludf.DUMMYFUNCTION("""COMPUTED_VALUE"""),"50000534")</f>
        <v>50000534</v>
      </c>
      <c r="D2919" s="380" t="s">
        <v>767</v>
      </c>
      <c r="E2919" s="380" t="s">
        <v>781</v>
      </c>
      <c r="F2919" s="380" t="s">
        <v>782</v>
      </c>
      <c r="G2919" s="380" t="s">
        <v>1267</v>
      </c>
      <c r="H2919" s="380" t="s">
        <v>771</v>
      </c>
      <c r="I2919" s="380" t="s">
        <v>784</v>
      </c>
      <c r="J2919" s="380" t="s">
        <v>773</v>
      </c>
      <c r="K2919" s="381">
        <v>5511.0</v>
      </c>
      <c r="L2919" s="382">
        <v>1.0</v>
      </c>
    </row>
    <row r="2920">
      <c r="A2920" s="380" t="s">
        <v>3783</v>
      </c>
      <c r="B2920" s="380" t="str">
        <f>IFERROR(__xludf.DUMMYFUNCTION("""COMPUTED_VALUE"""),"Punta De Punta De Impacto Pala Tor 14-16")</f>
        <v>Punta De Punta De Impacto Pala Tor 14-16</v>
      </c>
      <c r="C2920" s="380" t="str">
        <f>IFERROR(__xludf.DUMMYFUNCTION("""COMPUTED_VALUE"""),"50000535")</f>
        <v>50000535</v>
      </c>
      <c r="D2920" s="380" t="s">
        <v>767</v>
      </c>
      <c r="E2920" s="380" t="s">
        <v>781</v>
      </c>
      <c r="F2920" s="380" t="s">
        <v>782</v>
      </c>
      <c r="G2920" s="380" t="s">
        <v>1267</v>
      </c>
      <c r="H2920" s="380" t="s">
        <v>771</v>
      </c>
      <c r="I2920" s="380" t="s">
        <v>784</v>
      </c>
      <c r="J2920" s="380" t="s">
        <v>773</v>
      </c>
      <c r="K2920" s="381">
        <v>0.0</v>
      </c>
      <c r="L2920" s="382">
        <v>1.0</v>
      </c>
    </row>
    <row r="2921">
      <c r="A2921" s="380" t="s">
        <v>3784</v>
      </c>
      <c r="B2921" s="380" t="str">
        <f>IFERROR(__xludf.DUMMYFUNCTION("""COMPUTED_VALUE"""),"Punta Estriada 16mm Cuad.1/2 Ampro")</f>
        <v>Punta Estriada 16mm Cuad.1/2 Ampro</v>
      </c>
      <c r="C2921" s="380" t="str">
        <f>IFERROR(__xludf.DUMMYFUNCTION("""COMPUTED_VALUE"""),"50000536")</f>
        <v>50000536</v>
      </c>
      <c r="D2921" s="380" t="s">
        <v>767</v>
      </c>
      <c r="E2921" s="380" t="s">
        <v>781</v>
      </c>
      <c r="F2921" s="380" t="s">
        <v>782</v>
      </c>
      <c r="G2921" s="380" t="s">
        <v>1267</v>
      </c>
      <c r="H2921" s="380" t="s">
        <v>771</v>
      </c>
      <c r="I2921" s="380" t="s">
        <v>784</v>
      </c>
      <c r="J2921" s="380" t="s">
        <v>773</v>
      </c>
      <c r="K2921" s="381">
        <v>0.0</v>
      </c>
      <c r="L2921" s="382">
        <v>1.0</v>
      </c>
    </row>
    <row r="2922">
      <c r="A2922" s="380" t="s">
        <v>3785</v>
      </c>
      <c r="B2922" s="380" t="str">
        <f>IFERROR(__xludf.DUMMYFUNCTION("""COMPUTED_VALUE"""),"Juego 8 Puntas Torx Adaptador T08 A T40")</f>
        <v>Juego 8 Puntas Torx Adaptador T08 A T40</v>
      </c>
      <c r="C2922" s="380" t="str">
        <f>IFERROR(__xludf.DUMMYFUNCTION("""COMPUTED_VALUE"""),"50000537")</f>
        <v>50000537</v>
      </c>
      <c r="D2922" s="380" t="s">
        <v>767</v>
      </c>
      <c r="E2922" s="380" t="s">
        <v>781</v>
      </c>
      <c r="F2922" s="380" t="s">
        <v>782</v>
      </c>
      <c r="G2922" s="380" t="s">
        <v>1267</v>
      </c>
      <c r="H2922" s="380" t="s">
        <v>771</v>
      </c>
      <c r="I2922" s="380" t="s">
        <v>784</v>
      </c>
      <c r="J2922" s="380" t="s">
        <v>773</v>
      </c>
      <c r="K2922" s="381">
        <v>0.0</v>
      </c>
      <c r="L2922" s="382">
        <v>1.0</v>
      </c>
    </row>
    <row r="2923">
      <c r="A2923" s="380" t="s">
        <v>3786</v>
      </c>
      <c r="B2923" s="380" t="str">
        <f>IFERROR(__xludf.DUMMYFUNCTION("""COMPUTED_VALUE"""),"Nivel Pasta 14""")</f>
        <v>Nivel Pasta 14"</v>
      </c>
      <c r="C2923" s="380" t="str">
        <f>IFERROR(__xludf.DUMMYFUNCTION("""COMPUTED_VALUE"""),"50000538")</f>
        <v>50000538</v>
      </c>
      <c r="D2923" s="380" t="s">
        <v>767</v>
      </c>
      <c r="E2923" s="380" t="s">
        <v>781</v>
      </c>
      <c r="F2923" s="380" t="s">
        <v>782</v>
      </c>
      <c r="G2923" s="380" t="s">
        <v>1267</v>
      </c>
      <c r="H2923" s="380" t="s">
        <v>771</v>
      </c>
      <c r="I2923" s="380" t="s">
        <v>784</v>
      </c>
      <c r="J2923" s="380" t="s">
        <v>773</v>
      </c>
      <c r="K2923" s="381">
        <v>0.0</v>
      </c>
      <c r="L2923" s="382">
        <v>1.0</v>
      </c>
    </row>
    <row r="2924">
      <c r="A2924" s="380" t="s">
        <v>3787</v>
      </c>
      <c r="B2924" s="380" t="str">
        <f>IFERROR(__xludf.DUMMYFUNCTION("""COMPUTED_VALUE"""),"Juego De Abocardar")</f>
        <v>Juego De Abocardar</v>
      </c>
      <c r="C2924" s="380" t="str">
        <f>IFERROR(__xludf.DUMMYFUNCTION("""COMPUTED_VALUE"""),"50000539")</f>
        <v>50000539</v>
      </c>
      <c r="D2924" s="380" t="s">
        <v>767</v>
      </c>
      <c r="E2924" s="380" t="s">
        <v>781</v>
      </c>
      <c r="F2924" s="380" t="s">
        <v>782</v>
      </c>
      <c r="G2924" s="380" t="s">
        <v>1267</v>
      </c>
      <c r="H2924" s="380" t="s">
        <v>771</v>
      </c>
      <c r="I2924" s="380" t="s">
        <v>784</v>
      </c>
      <c r="J2924" s="380" t="s">
        <v>773</v>
      </c>
      <c r="K2924" s="381">
        <v>0.0</v>
      </c>
      <c r="L2924" s="382">
        <v>1.0</v>
      </c>
    </row>
    <row r="2925">
      <c r="A2925" s="380" t="s">
        <v>3788</v>
      </c>
      <c r="B2925" s="380" t="str">
        <f>IFERROR(__xludf.DUMMYFUNCTION("""COMPUTED_VALUE"""),"Copa Larga Impacto Cuadrante 3/8 X 5/16")</f>
        <v>Copa Larga Impacto Cuadrante 3/8 X 5/16</v>
      </c>
      <c r="C2925" s="380" t="str">
        <f>IFERROR(__xludf.DUMMYFUNCTION("""COMPUTED_VALUE"""),"50000540")</f>
        <v>50000540</v>
      </c>
      <c r="D2925" s="380" t="s">
        <v>767</v>
      </c>
      <c r="E2925" s="380" t="s">
        <v>781</v>
      </c>
      <c r="F2925" s="380" t="s">
        <v>782</v>
      </c>
      <c r="G2925" s="380" t="s">
        <v>1267</v>
      </c>
      <c r="H2925" s="380" t="s">
        <v>771</v>
      </c>
      <c r="I2925" s="380" t="s">
        <v>784</v>
      </c>
      <c r="J2925" s="380" t="s">
        <v>773</v>
      </c>
      <c r="K2925" s="381">
        <v>0.0</v>
      </c>
      <c r="L2925" s="382">
        <v>1.0</v>
      </c>
    </row>
    <row r="2926">
      <c r="A2926" s="380" t="s">
        <v>3789</v>
      </c>
      <c r="B2926" s="380" t="str">
        <f>IFERROR(__xludf.DUMMYFUNCTION("""COMPUTED_VALUE"""),"Llave Mixta 6mm Tipo B")</f>
        <v>Llave Mixta 6mm Tipo B</v>
      </c>
      <c r="C2926" s="380" t="str">
        <f>IFERROR(__xludf.DUMMYFUNCTION("""COMPUTED_VALUE"""),"50000541")</f>
        <v>50000541</v>
      </c>
      <c r="D2926" s="380" t="s">
        <v>767</v>
      </c>
      <c r="E2926" s="380" t="s">
        <v>781</v>
      </c>
      <c r="F2926" s="380" t="s">
        <v>782</v>
      </c>
      <c r="G2926" s="380" t="s">
        <v>1267</v>
      </c>
      <c r="H2926" s="380" t="s">
        <v>771</v>
      </c>
      <c r="I2926" s="380" t="s">
        <v>784</v>
      </c>
      <c r="J2926" s="380" t="s">
        <v>773</v>
      </c>
      <c r="K2926" s="381">
        <v>0.0</v>
      </c>
      <c r="L2926" s="382">
        <v>1.0</v>
      </c>
    </row>
    <row r="2927">
      <c r="A2927" s="380" t="s">
        <v>3790</v>
      </c>
      <c r="B2927" s="380" t="str">
        <f>IFERROR(__xludf.DUMMYFUNCTION("""COMPUTED_VALUE"""),"Llave Mixta 8mm Tipo B")</f>
        <v>Llave Mixta 8mm Tipo B</v>
      </c>
      <c r="C2927" s="380" t="str">
        <f>IFERROR(__xludf.DUMMYFUNCTION("""COMPUTED_VALUE"""),"50000542")</f>
        <v>50000542</v>
      </c>
      <c r="D2927" s="380" t="s">
        <v>767</v>
      </c>
      <c r="E2927" s="380" t="s">
        <v>781</v>
      </c>
      <c r="F2927" s="380" t="s">
        <v>782</v>
      </c>
      <c r="G2927" s="380" t="s">
        <v>1267</v>
      </c>
      <c r="H2927" s="380" t="s">
        <v>771</v>
      </c>
      <c r="I2927" s="380" t="s">
        <v>784</v>
      </c>
      <c r="J2927" s="380" t="s">
        <v>773</v>
      </c>
      <c r="K2927" s="381">
        <v>0.0</v>
      </c>
      <c r="L2927" s="382">
        <v>1.0</v>
      </c>
    </row>
    <row r="2928">
      <c r="A2928" s="380" t="s">
        <v>3791</v>
      </c>
      <c r="B2928" s="380" t="str">
        <f>IFERROR(__xludf.DUMMYFUNCTION("""COMPUTED_VALUE"""),"Llave Estrella 14 X 15mm Snapon")</f>
        <v>Llave Estrella 14 X 15mm Snapon</v>
      </c>
      <c r="C2928" s="380" t="str">
        <f>IFERROR(__xludf.DUMMYFUNCTION("""COMPUTED_VALUE"""),"50000543")</f>
        <v>50000543</v>
      </c>
      <c r="D2928" s="380" t="s">
        <v>767</v>
      </c>
      <c r="E2928" s="380" t="s">
        <v>781</v>
      </c>
      <c r="F2928" s="380" t="s">
        <v>782</v>
      </c>
      <c r="G2928" s="380" t="s">
        <v>1267</v>
      </c>
      <c r="H2928" s="380" t="s">
        <v>771</v>
      </c>
      <c r="I2928" s="380" t="s">
        <v>784</v>
      </c>
      <c r="J2928" s="380" t="s">
        <v>773</v>
      </c>
      <c r="K2928" s="381">
        <v>0.0</v>
      </c>
      <c r="L2928" s="382">
        <v>1.0</v>
      </c>
    </row>
    <row r="2929">
      <c r="A2929" s="380" t="s">
        <v>3792</v>
      </c>
      <c r="B2929" s="380" t="str">
        <f>IFERROR(__xludf.DUMMYFUNCTION("""COMPUTED_VALUE"""),"Calibrador Aire Reloj Schraderbridgeport")</f>
        <v>Calibrador Aire Reloj Schraderbridgeport</v>
      </c>
      <c r="C2929" s="380" t="str">
        <f>IFERROR(__xludf.DUMMYFUNCTION("""COMPUTED_VALUE"""),"50000544")</f>
        <v>50000544</v>
      </c>
      <c r="D2929" s="380" t="s">
        <v>767</v>
      </c>
      <c r="E2929" s="380" t="s">
        <v>781</v>
      </c>
      <c r="F2929" s="380" t="s">
        <v>782</v>
      </c>
      <c r="G2929" s="380" t="s">
        <v>1267</v>
      </c>
      <c r="H2929" s="380" t="s">
        <v>771</v>
      </c>
      <c r="I2929" s="380" t="s">
        <v>784</v>
      </c>
      <c r="J2929" s="380" t="s">
        <v>773</v>
      </c>
      <c r="K2929" s="381">
        <v>0.0</v>
      </c>
      <c r="L2929" s="382">
        <v>1.0</v>
      </c>
    </row>
    <row r="2930">
      <c r="A2930" s="380" t="s">
        <v>3793</v>
      </c>
      <c r="B2930" s="380" t="str">
        <f>IFERROR(__xludf.DUMMYFUNCTION("""COMPUTED_VALUE"""),"Rell Inspeccionadora Manual")</f>
        <v>Rell Inspeccionadora Manual</v>
      </c>
      <c r="C2930" s="380" t="str">
        <f>IFERROR(__xludf.DUMMYFUNCTION("""COMPUTED_VALUE"""),"50000545")</f>
        <v>50000545</v>
      </c>
      <c r="D2930" s="380" t="s">
        <v>767</v>
      </c>
      <c r="E2930" s="380" t="s">
        <v>781</v>
      </c>
      <c r="F2930" s="380" t="s">
        <v>782</v>
      </c>
      <c r="G2930" s="380" t="s">
        <v>1267</v>
      </c>
      <c r="H2930" s="380" t="s">
        <v>771</v>
      </c>
      <c r="I2930" s="380" t="s">
        <v>784</v>
      </c>
      <c r="J2930" s="380" t="s">
        <v>773</v>
      </c>
      <c r="K2930" s="381">
        <v>0.0</v>
      </c>
      <c r="L2930" s="382">
        <v>1.0</v>
      </c>
    </row>
    <row r="2931">
      <c r="A2931" s="380" t="s">
        <v>3794</v>
      </c>
      <c r="B2931" s="380" t="str">
        <f>IFERROR(__xludf.DUMMYFUNCTION("""COMPUTED_VALUE"""),"Rell Aspiradora Neumatica Portatil")</f>
        <v>Rell Aspiradora Neumatica Portatil</v>
      </c>
      <c r="C2931" s="380" t="str">
        <f>IFERROR(__xludf.DUMMYFUNCTION("""COMPUTED_VALUE"""),"50000546")</f>
        <v>50000546</v>
      </c>
      <c r="D2931" s="380" t="s">
        <v>767</v>
      </c>
      <c r="E2931" s="380" t="s">
        <v>781</v>
      </c>
      <c r="F2931" s="380" t="s">
        <v>782</v>
      </c>
      <c r="G2931" s="380" t="s">
        <v>1267</v>
      </c>
      <c r="H2931" s="380" t="s">
        <v>771</v>
      </c>
      <c r="I2931" s="380" t="s">
        <v>784</v>
      </c>
      <c r="J2931" s="380" t="s">
        <v>773</v>
      </c>
      <c r="K2931" s="381">
        <v>0.0</v>
      </c>
      <c r="L2931" s="382">
        <v>1.0</v>
      </c>
    </row>
    <row r="2932">
      <c r="A2932" s="380" t="s">
        <v>3795</v>
      </c>
      <c r="B2932" s="380" t="str">
        <f>IFERROR(__xludf.DUMMYFUNCTION("""COMPUTED_VALUE"""),"Rell Taladro Neumatico Con Exosto 500rpm")</f>
        <v>Rell Taladro Neumatico Con Exosto 500rpm</v>
      </c>
      <c r="C2932" s="380" t="str">
        <f>IFERROR(__xludf.DUMMYFUNCTION("""COMPUTED_VALUE"""),"50000547")</f>
        <v>50000547</v>
      </c>
      <c r="D2932" s="380" t="s">
        <v>767</v>
      </c>
      <c r="E2932" s="380" t="s">
        <v>781</v>
      </c>
      <c r="F2932" s="380" t="s">
        <v>782</v>
      </c>
      <c r="G2932" s="380" t="s">
        <v>1267</v>
      </c>
      <c r="H2932" s="380" t="s">
        <v>771</v>
      </c>
      <c r="I2932" s="380" t="s">
        <v>784</v>
      </c>
      <c r="J2932" s="380" t="s">
        <v>773</v>
      </c>
      <c r="K2932" s="381">
        <v>0.0</v>
      </c>
      <c r="L2932" s="382">
        <v>1.0</v>
      </c>
    </row>
    <row r="2933">
      <c r="A2933" s="380" t="s">
        <v>3796</v>
      </c>
      <c r="B2933" s="380" t="str">
        <f>IFERROR(__xludf.DUMMYFUNCTION("""COMPUTED_VALUE"""),"Rell Motottool S1036-S1045-S1037")</f>
        <v>Rell Motottool S1036-S1045-S1037</v>
      </c>
      <c r="C2933" s="380" t="str">
        <f>IFERROR(__xludf.DUMMYFUNCTION("""COMPUTED_VALUE"""),"50000548")</f>
        <v>50000548</v>
      </c>
      <c r="D2933" s="380" t="s">
        <v>767</v>
      </c>
      <c r="E2933" s="380" t="s">
        <v>781</v>
      </c>
      <c r="F2933" s="380" t="s">
        <v>782</v>
      </c>
      <c r="G2933" s="380" t="s">
        <v>1267</v>
      </c>
      <c r="H2933" s="380" t="s">
        <v>771</v>
      </c>
      <c r="I2933" s="380" t="s">
        <v>784</v>
      </c>
      <c r="J2933" s="380" t="s">
        <v>773</v>
      </c>
      <c r="K2933" s="381">
        <v>0.0</v>
      </c>
      <c r="L2933" s="382">
        <v>1.0</v>
      </c>
    </row>
    <row r="2934">
      <c r="A2934" s="380" t="s">
        <v>3797</v>
      </c>
      <c r="B2934" s="380" t="str">
        <f>IFERROR(__xludf.DUMMYFUNCTION("""COMPUTED_VALUE"""),"Rell Cortador Baja Velocidad Uniseal 250")</f>
        <v>Rell Cortador Baja Velocidad Uniseal 250</v>
      </c>
      <c r="C2934" s="380" t="str">
        <f>IFERROR(__xludf.DUMMYFUNCTION("""COMPUTED_VALUE"""),"50000549")</f>
        <v>50000549</v>
      </c>
      <c r="D2934" s="380" t="s">
        <v>767</v>
      </c>
      <c r="E2934" s="380" t="s">
        <v>781</v>
      </c>
      <c r="F2934" s="380" t="s">
        <v>782</v>
      </c>
      <c r="G2934" s="380" t="s">
        <v>1267</v>
      </c>
      <c r="H2934" s="380" t="s">
        <v>771</v>
      </c>
      <c r="I2934" s="380" t="s">
        <v>784</v>
      </c>
      <c r="J2934" s="380" t="s">
        <v>773</v>
      </c>
      <c r="K2934" s="381">
        <v>0.0</v>
      </c>
      <c r="L2934" s="382">
        <v>1.0</v>
      </c>
    </row>
    <row r="2935">
      <c r="A2935" s="380" t="s">
        <v>3798</v>
      </c>
      <c r="B2935" s="380" t="str">
        <f>IFERROR(__xludf.DUMMYFUNCTION("""COMPUTED_VALUE"""),"Rell Cortador Baja Velocidad Uniseal 251")</f>
        <v>Rell Cortador Baja Velocidad Uniseal 251</v>
      </c>
      <c r="C2935" s="380" t="str">
        <f>IFERROR(__xludf.DUMMYFUNCTION("""COMPUTED_VALUE"""),"50000550")</f>
        <v>50000550</v>
      </c>
      <c r="D2935" s="380" t="s">
        <v>767</v>
      </c>
      <c r="E2935" s="380" t="s">
        <v>781</v>
      </c>
      <c r="F2935" s="380" t="s">
        <v>782</v>
      </c>
      <c r="G2935" s="380" t="s">
        <v>1267</v>
      </c>
      <c r="H2935" s="380" t="s">
        <v>771</v>
      </c>
      <c r="I2935" s="380" t="s">
        <v>784</v>
      </c>
      <c r="J2935" s="380" t="s">
        <v>773</v>
      </c>
      <c r="K2935" s="381">
        <v>0.0</v>
      </c>
      <c r="L2935" s="382">
        <v>1.0</v>
      </c>
    </row>
    <row r="2936">
      <c r="A2936" s="380" t="s">
        <v>3799</v>
      </c>
      <c r="B2936" s="380" t="str">
        <f>IFERROR(__xludf.DUMMYFUNCTION("""COMPUTED_VALUE"""),"Rell Cortador Baja Velocidad Uniseal 291")</f>
        <v>Rell Cortador Baja Velocidad Uniseal 291</v>
      </c>
      <c r="C2936" s="380" t="str">
        <f>IFERROR(__xludf.DUMMYFUNCTION("""COMPUTED_VALUE"""),"50000551")</f>
        <v>50000551</v>
      </c>
      <c r="D2936" s="380" t="s">
        <v>767</v>
      </c>
      <c r="E2936" s="380" t="s">
        <v>781</v>
      </c>
      <c r="F2936" s="380" t="s">
        <v>782</v>
      </c>
      <c r="G2936" s="380" t="s">
        <v>1267</v>
      </c>
      <c r="H2936" s="380" t="s">
        <v>771</v>
      </c>
      <c r="I2936" s="380" t="s">
        <v>784</v>
      </c>
      <c r="J2936" s="380" t="s">
        <v>773</v>
      </c>
      <c r="K2936" s="381">
        <v>0.0</v>
      </c>
      <c r="L2936" s="382">
        <v>1.0</v>
      </c>
    </row>
    <row r="2937">
      <c r="A2937" s="380" t="s">
        <v>3800</v>
      </c>
      <c r="B2937" s="380" t="str">
        <f>IFERROR(__xludf.DUMMYFUNCTION("""COMPUTED_VALUE"""),"Rell Cortador Baja Velocidades Uniseal 2")</f>
        <v>Rell Cortador Baja Velocidades Uniseal 2</v>
      </c>
      <c r="C2937" s="380" t="str">
        <f>IFERROR(__xludf.DUMMYFUNCTION("""COMPUTED_VALUE"""),"50000552")</f>
        <v>50000552</v>
      </c>
      <c r="D2937" s="380" t="s">
        <v>767</v>
      </c>
      <c r="E2937" s="380" t="s">
        <v>781</v>
      </c>
      <c r="F2937" s="380" t="s">
        <v>782</v>
      </c>
      <c r="G2937" s="380" t="s">
        <v>1267</v>
      </c>
      <c r="H2937" s="380" t="s">
        <v>771</v>
      </c>
      <c r="I2937" s="380" t="s">
        <v>784</v>
      </c>
      <c r="J2937" s="380" t="s">
        <v>773</v>
      </c>
      <c r="K2937" s="381">
        <v>0.0</v>
      </c>
      <c r="L2937" s="382">
        <v>1.0</v>
      </c>
    </row>
    <row r="2938">
      <c r="A2938" s="380" t="s">
        <v>3801</v>
      </c>
      <c r="B2938" s="380" t="str">
        <f>IFERROR(__xludf.DUMMYFUNCTION("""COMPUTED_VALUE"""),"Rell Cepillo Fino")</f>
        <v>Rell Cepillo Fino</v>
      </c>
      <c r="C2938" s="380" t="str">
        <f>IFERROR(__xludf.DUMMYFUNCTION("""COMPUTED_VALUE"""),"50000553")</f>
        <v>50000553</v>
      </c>
      <c r="D2938" s="380" t="s">
        <v>767</v>
      </c>
      <c r="E2938" s="380" t="s">
        <v>781</v>
      </c>
      <c r="F2938" s="380" t="s">
        <v>782</v>
      </c>
      <c r="G2938" s="380" t="s">
        <v>1267</v>
      </c>
      <c r="H2938" s="380" t="s">
        <v>771</v>
      </c>
      <c r="I2938" s="380" t="s">
        <v>784</v>
      </c>
      <c r="J2938" s="380" t="s">
        <v>773</v>
      </c>
      <c r="K2938" s="381">
        <v>0.0</v>
      </c>
      <c r="L2938" s="382">
        <v>1.0</v>
      </c>
    </row>
    <row r="2939">
      <c r="A2939" s="380" t="s">
        <v>3802</v>
      </c>
      <c r="B2939" s="380" t="str">
        <f>IFERROR(__xludf.DUMMYFUNCTION("""COMPUTED_VALUE"""),"Copa Cuadrante 3/4 X 15/16"" Tipo B")</f>
        <v>Copa Cuadrante 3/4 X 15/16" Tipo B</v>
      </c>
      <c r="C2939" s="380" t="str">
        <f>IFERROR(__xludf.DUMMYFUNCTION("""COMPUTED_VALUE"""),"50000554")</f>
        <v>50000554</v>
      </c>
      <c r="D2939" s="380" t="s">
        <v>767</v>
      </c>
      <c r="E2939" s="380" t="s">
        <v>781</v>
      </c>
      <c r="F2939" s="380" t="s">
        <v>782</v>
      </c>
      <c r="G2939" s="380" t="s">
        <v>1267</v>
      </c>
      <c r="H2939" s="380" t="s">
        <v>771</v>
      </c>
      <c r="I2939" s="380" t="s">
        <v>784</v>
      </c>
      <c r="J2939" s="380" t="s">
        <v>773</v>
      </c>
      <c r="K2939" s="381">
        <v>0.0</v>
      </c>
      <c r="L2939" s="382">
        <v>1.0</v>
      </c>
    </row>
    <row r="2940">
      <c r="A2940" s="380" t="s">
        <v>3803</v>
      </c>
      <c r="B2940" s="380" t="str">
        <f>IFERROR(__xludf.DUMMYFUNCTION("""COMPUTED_VALUE"""),"Palanca Fuerza Corrediza Cuadrante 3/4 X")</f>
        <v>Palanca Fuerza Corrediza Cuadrante 3/4 X</v>
      </c>
      <c r="C2940" s="380" t="str">
        <f>IFERROR(__xludf.DUMMYFUNCTION("""COMPUTED_VALUE"""),"50000555")</f>
        <v>50000555</v>
      </c>
      <c r="D2940" s="380" t="s">
        <v>767</v>
      </c>
      <c r="E2940" s="380" t="s">
        <v>781</v>
      </c>
      <c r="F2940" s="380" t="s">
        <v>782</v>
      </c>
      <c r="G2940" s="380" t="s">
        <v>1267</v>
      </c>
      <c r="H2940" s="380" t="s">
        <v>771</v>
      </c>
      <c r="I2940" s="380" t="s">
        <v>784</v>
      </c>
      <c r="J2940" s="380" t="s">
        <v>773</v>
      </c>
      <c r="K2940" s="381">
        <v>0.0</v>
      </c>
      <c r="L2940" s="382">
        <v>1.0</v>
      </c>
    </row>
    <row r="2941">
      <c r="A2941" s="380" t="s">
        <v>3804</v>
      </c>
      <c r="B2941" s="380" t="str">
        <f>IFERROR(__xludf.DUMMYFUNCTION("""COMPUTED_VALUE"""),"Llave B Llave Boca Fija 10 X 13mm Tipo B")</f>
        <v>Llave B Llave Boca Fija 10 X 13mm Tipo B</v>
      </c>
      <c r="C2941" s="380" t="str">
        <f>IFERROR(__xludf.DUMMYFUNCTION("""COMPUTED_VALUE"""),"50000556")</f>
        <v>50000556</v>
      </c>
      <c r="D2941" s="380" t="s">
        <v>767</v>
      </c>
      <c r="E2941" s="380" t="s">
        <v>781</v>
      </c>
      <c r="F2941" s="380" t="s">
        <v>782</v>
      </c>
      <c r="G2941" s="380" t="s">
        <v>1267</v>
      </c>
      <c r="H2941" s="380" t="s">
        <v>771</v>
      </c>
      <c r="I2941" s="380" t="s">
        <v>784</v>
      </c>
      <c r="J2941" s="380" t="s">
        <v>773</v>
      </c>
      <c r="K2941" s="381">
        <v>0.0</v>
      </c>
      <c r="L2941" s="382">
        <v>1.0</v>
      </c>
    </row>
    <row r="2942">
      <c r="A2942" s="380" t="s">
        <v>3805</v>
      </c>
      <c r="B2942" s="380" t="str">
        <f>IFERROR(__xludf.DUMMYFUNCTION("""COMPUTED_VALUE"""),"Copa L Copa Larga Cuadrante 1/4 X 8mm Tb")</f>
        <v>Copa L Copa Larga Cuadrante 1/4 X 8mm Tb</v>
      </c>
      <c r="C2942" s="380" t="str">
        <f>IFERROR(__xludf.DUMMYFUNCTION("""COMPUTED_VALUE"""),"50000557")</f>
        <v>50000557</v>
      </c>
      <c r="D2942" s="380" t="s">
        <v>767</v>
      </c>
      <c r="E2942" s="380" t="s">
        <v>781</v>
      </c>
      <c r="F2942" s="380" t="s">
        <v>782</v>
      </c>
      <c r="G2942" s="380" t="s">
        <v>1267</v>
      </c>
      <c r="H2942" s="380" t="s">
        <v>771</v>
      </c>
      <c r="I2942" s="380" t="s">
        <v>784</v>
      </c>
      <c r="J2942" s="380" t="s">
        <v>773</v>
      </c>
      <c r="K2942" s="381">
        <v>0.0</v>
      </c>
      <c r="L2942" s="382">
        <v>1.0</v>
      </c>
    </row>
    <row r="2943">
      <c r="A2943" s="380" t="s">
        <v>3806</v>
      </c>
      <c r="B2943" s="380" t="str">
        <f>IFERROR(__xludf.DUMMYFUNCTION("""COMPUTED_VALUE"""),"Copa Larga Impacto Cuadrante 3/4 X 33mm")</f>
        <v>Copa Larga Impacto Cuadrante 3/4 X 33mm</v>
      </c>
      <c r="C2943" s="380" t="str">
        <f>IFERROR(__xludf.DUMMYFUNCTION("""COMPUTED_VALUE"""),"50000558")</f>
        <v>50000558</v>
      </c>
      <c r="D2943" s="380" t="s">
        <v>767</v>
      </c>
      <c r="E2943" s="380" t="s">
        <v>781</v>
      </c>
      <c r="F2943" s="380" t="s">
        <v>782</v>
      </c>
      <c r="G2943" s="380" t="s">
        <v>1267</v>
      </c>
      <c r="H2943" s="380" t="s">
        <v>771</v>
      </c>
      <c r="I2943" s="380" t="s">
        <v>784</v>
      </c>
      <c r="J2943" s="380" t="s">
        <v>773</v>
      </c>
      <c r="K2943" s="381">
        <v>0.0</v>
      </c>
      <c r="L2943" s="382">
        <v>1.0</v>
      </c>
    </row>
    <row r="2944">
      <c r="A2944" s="380" t="s">
        <v>3807</v>
      </c>
      <c r="B2944" s="380" t="str">
        <f>IFERROR(__xludf.DUMMYFUNCTION("""COMPUTED_VALUE"""),"Llave Torx Varias")</f>
        <v>Llave Torx Varias</v>
      </c>
      <c r="C2944" s="380" t="str">
        <f>IFERROR(__xludf.DUMMYFUNCTION("""COMPUTED_VALUE"""),"50000559")</f>
        <v>50000559</v>
      </c>
      <c r="D2944" s="380" t="s">
        <v>767</v>
      </c>
      <c r="E2944" s="380" t="s">
        <v>781</v>
      </c>
      <c r="F2944" s="380" t="s">
        <v>782</v>
      </c>
      <c r="G2944" s="380" t="s">
        <v>1267</v>
      </c>
      <c r="H2944" s="380" t="s">
        <v>771</v>
      </c>
      <c r="I2944" s="380" t="s">
        <v>784</v>
      </c>
      <c r="J2944" s="380" t="s">
        <v>773</v>
      </c>
      <c r="K2944" s="381">
        <v>0.0</v>
      </c>
      <c r="L2944" s="382">
        <v>1.0</v>
      </c>
    </row>
    <row r="2945">
      <c r="A2945" s="380" t="s">
        <v>3808</v>
      </c>
      <c r="B2945" s="380" t="str">
        <f>IFERROR(__xludf.DUMMYFUNCTION("""COMPUTED_VALUE"""),"Copa Cuadrante 1/4 X 8mm Tipo B")</f>
        <v>Copa Cuadrante 1/4 X 8mm Tipo B</v>
      </c>
      <c r="C2945" s="380" t="str">
        <f>IFERROR(__xludf.DUMMYFUNCTION("""COMPUTED_VALUE"""),"50000560")</f>
        <v>50000560</v>
      </c>
      <c r="D2945" s="380" t="s">
        <v>767</v>
      </c>
      <c r="E2945" s="380" t="s">
        <v>781</v>
      </c>
      <c r="F2945" s="380" t="s">
        <v>782</v>
      </c>
      <c r="G2945" s="380" t="s">
        <v>1267</v>
      </c>
      <c r="H2945" s="380" t="s">
        <v>771</v>
      </c>
      <c r="I2945" s="380" t="s">
        <v>784</v>
      </c>
      <c r="J2945" s="380" t="s">
        <v>773</v>
      </c>
      <c r="K2945" s="381">
        <v>0.0</v>
      </c>
      <c r="L2945" s="382">
        <v>1.0</v>
      </c>
    </row>
    <row r="2946">
      <c r="A2946" s="380" t="s">
        <v>3809</v>
      </c>
      <c r="B2946" s="380" t="str">
        <f>IFERROR(__xludf.DUMMYFUNCTION("""COMPUTED_VALUE"""),"Copa Larga Cuadrante 1/2 X 14mm Tipo B")</f>
        <v>Copa Larga Cuadrante 1/2 X 14mm Tipo B</v>
      </c>
      <c r="C2946" s="380" t="str">
        <f>IFERROR(__xludf.DUMMYFUNCTION("""COMPUTED_VALUE"""),"50000561")</f>
        <v>50000561</v>
      </c>
      <c r="D2946" s="380" t="s">
        <v>767</v>
      </c>
      <c r="E2946" s="380" t="s">
        <v>781</v>
      </c>
      <c r="F2946" s="380" t="s">
        <v>782</v>
      </c>
      <c r="G2946" s="380" t="s">
        <v>1267</v>
      </c>
      <c r="H2946" s="380" t="s">
        <v>771</v>
      </c>
      <c r="I2946" s="380" t="s">
        <v>784</v>
      </c>
      <c r="J2946" s="380" t="s">
        <v>773</v>
      </c>
      <c r="K2946" s="381">
        <v>0.0</v>
      </c>
      <c r="L2946" s="382">
        <v>1.0</v>
      </c>
    </row>
    <row r="2947">
      <c r="A2947" s="380" t="s">
        <v>3810</v>
      </c>
      <c r="B2947" s="380" t="str">
        <f>IFERROR(__xludf.DUMMYFUNCTION("""COMPUTED_VALUE"""),"Escuadra De 9"" Stanley")</f>
        <v>Escuadra De 9" Stanley</v>
      </c>
      <c r="C2947" s="380" t="str">
        <f>IFERROR(__xludf.DUMMYFUNCTION("""COMPUTED_VALUE"""),"50000562")</f>
        <v>50000562</v>
      </c>
      <c r="D2947" s="380" t="s">
        <v>767</v>
      </c>
      <c r="E2947" s="380" t="s">
        <v>781</v>
      </c>
      <c r="F2947" s="380" t="s">
        <v>782</v>
      </c>
      <c r="G2947" s="380" t="s">
        <v>1267</v>
      </c>
      <c r="H2947" s="380" t="s">
        <v>771</v>
      </c>
      <c r="I2947" s="380" t="s">
        <v>784</v>
      </c>
      <c r="J2947" s="380" t="s">
        <v>773</v>
      </c>
      <c r="K2947" s="381">
        <v>0.0</v>
      </c>
      <c r="L2947" s="382">
        <v>1.0</v>
      </c>
    </row>
    <row r="2948">
      <c r="A2948" s="380" t="s">
        <v>3811</v>
      </c>
      <c r="B2948" s="380" t="str">
        <f>IFERROR(__xludf.DUMMYFUNCTION("""COMPUTED_VALUE"""),"Destornillador Estrella 5/16 X 8"" Tipo B")</f>
        <v>Destornillador Estrella 5/16 X 8" Tipo B</v>
      </c>
      <c r="C2948" s="380" t="str">
        <f>IFERROR(__xludf.DUMMYFUNCTION("""COMPUTED_VALUE"""),"50000563")</f>
        <v>50000563</v>
      </c>
      <c r="D2948" s="380" t="s">
        <v>767</v>
      </c>
      <c r="E2948" s="380" t="s">
        <v>781</v>
      </c>
      <c r="F2948" s="380" t="s">
        <v>782</v>
      </c>
      <c r="G2948" s="380" t="s">
        <v>1267</v>
      </c>
      <c r="H2948" s="380" t="s">
        <v>771</v>
      </c>
      <c r="I2948" s="380" t="s">
        <v>784</v>
      </c>
      <c r="J2948" s="380" t="s">
        <v>773</v>
      </c>
      <c r="K2948" s="381">
        <v>0.0</v>
      </c>
      <c r="L2948" s="382">
        <v>1.0</v>
      </c>
    </row>
    <row r="2949">
      <c r="A2949" s="380" t="s">
        <v>3812</v>
      </c>
      <c r="B2949" s="380" t="str">
        <f>IFERROR(__xludf.DUMMYFUNCTION("""COMPUTED_VALUE"""),"Prensa De Banco # 7 Ursus")</f>
        <v>Prensa De Banco # 7 Ursus</v>
      </c>
      <c r="C2949" s="380" t="str">
        <f>IFERROR(__xludf.DUMMYFUNCTION("""COMPUTED_VALUE"""),"50000564")</f>
        <v>50000564</v>
      </c>
      <c r="D2949" s="380" t="s">
        <v>767</v>
      </c>
      <c r="E2949" s="380" t="s">
        <v>781</v>
      </c>
      <c r="F2949" s="380" t="s">
        <v>782</v>
      </c>
      <c r="G2949" s="380" t="s">
        <v>1267</v>
      </c>
      <c r="H2949" s="380" t="s">
        <v>771</v>
      </c>
      <c r="I2949" s="380" t="s">
        <v>784</v>
      </c>
      <c r="J2949" s="380" t="s">
        <v>773</v>
      </c>
      <c r="K2949" s="381">
        <v>0.0</v>
      </c>
      <c r="L2949" s="382">
        <v>1.0</v>
      </c>
    </row>
    <row r="2950">
      <c r="A2950" s="380" t="s">
        <v>3813</v>
      </c>
      <c r="B2950" s="380" t="str">
        <f>IFERROR(__xludf.DUMMYFUNCTION("""COMPUTED_VALUE"""),"Copa Cuadrante 3/4 X 36mm Proto")</f>
        <v>Copa Cuadrante 3/4 X 36mm Proto</v>
      </c>
      <c r="C2950" s="380" t="str">
        <f>IFERROR(__xludf.DUMMYFUNCTION("""COMPUTED_VALUE"""),"50000565")</f>
        <v>50000565</v>
      </c>
      <c r="D2950" s="380" t="s">
        <v>767</v>
      </c>
      <c r="E2950" s="380" t="s">
        <v>781</v>
      </c>
      <c r="F2950" s="380" t="s">
        <v>782</v>
      </c>
      <c r="G2950" s="380" t="s">
        <v>1267</v>
      </c>
      <c r="H2950" s="380" t="s">
        <v>771</v>
      </c>
      <c r="I2950" s="380" t="s">
        <v>784</v>
      </c>
      <c r="J2950" s="380" t="s">
        <v>773</v>
      </c>
      <c r="K2950" s="381">
        <v>0.0</v>
      </c>
      <c r="L2950" s="382">
        <v>1.0</v>
      </c>
    </row>
    <row r="2951">
      <c r="A2951" s="380" t="s">
        <v>3814</v>
      </c>
      <c r="B2951" s="380" t="str">
        <f>IFERROR(__xludf.DUMMYFUNCTION("""COMPUTED_VALUE"""),"Destornillador Estrella 1/4 X 1 1/2"" Pro")</f>
        <v>Destornillador Estrella 1/4 X 1 1/2" Pro</v>
      </c>
      <c r="C2951" s="380" t="str">
        <f>IFERROR(__xludf.DUMMYFUNCTION("""COMPUTED_VALUE"""),"50000566")</f>
        <v>50000566</v>
      </c>
      <c r="D2951" s="380" t="s">
        <v>767</v>
      </c>
      <c r="E2951" s="380" t="s">
        <v>781</v>
      </c>
      <c r="F2951" s="380" t="s">
        <v>782</v>
      </c>
      <c r="G2951" s="380" t="s">
        <v>1267</v>
      </c>
      <c r="H2951" s="380" t="s">
        <v>771</v>
      </c>
      <c r="I2951" s="380" t="s">
        <v>784</v>
      </c>
      <c r="J2951" s="380" t="s">
        <v>773</v>
      </c>
      <c r="K2951" s="381">
        <v>0.0</v>
      </c>
      <c r="L2951" s="382">
        <v>1.0</v>
      </c>
    </row>
    <row r="2952">
      <c r="A2952" s="380" t="s">
        <v>3815</v>
      </c>
      <c r="B2952" s="380" t="str">
        <f>IFERROR(__xludf.DUMMYFUNCTION("""COMPUTED_VALUE"""),"Llave Cadena 9"" Proto")</f>
        <v>Llave Cadena 9" Proto</v>
      </c>
      <c r="C2952" s="380" t="str">
        <f>IFERROR(__xludf.DUMMYFUNCTION("""COMPUTED_VALUE"""),"50000567")</f>
        <v>50000567</v>
      </c>
      <c r="D2952" s="380" t="s">
        <v>767</v>
      </c>
      <c r="E2952" s="380" t="s">
        <v>781</v>
      </c>
      <c r="F2952" s="380" t="s">
        <v>782</v>
      </c>
      <c r="G2952" s="380" t="s">
        <v>1267</v>
      </c>
      <c r="H2952" s="380" t="s">
        <v>771</v>
      </c>
      <c r="I2952" s="380" t="s">
        <v>784</v>
      </c>
      <c r="J2952" s="380" t="s">
        <v>773</v>
      </c>
      <c r="K2952" s="381">
        <v>0.0</v>
      </c>
      <c r="L2952" s="382">
        <v>1.0</v>
      </c>
    </row>
    <row r="2953">
      <c r="A2953" s="380" t="s">
        <v>3816</v>
      </c>
      <c r="B2953" s="380" t="str">
        <f>IFERROR(__xludf.DUMMYFUNCTION("""COMPUTED_VALUE"""),"Manguera Doble Equipo Oxicort 1/4 -300ps")</f>
        <v>Manguera Doble Equipo Oxicort 1/4 -300ps</v>
      </c>
      <c r="C2953" s="380" t="str">
        <f>IFERROR(__xludf.DUMMYFUNCTION("""COMPUTED_VALUE"""),"50000568")</f>
        <v>50000568</v>
      </c>
      <c r="D2953" s="380" t="s">
        <v>767</v>
      </c>
      <c r="E2953" s="380" t="s">
        <v>781</v>
      </c>
      <c r="F2953" s="380" t="s">
        <v>782</v>
      </c>
      <c r="G2953" s="380" t="s">
        <v>1267</v>
      </c>
      <c r="H2953" s="380" t="s">
        <v>771</v>
      </c>
      <c r="I2953" s="380" t="s">
        <v>784</v>
      </c>
      <c r="J2953" s="380" t="s">
        <v>773</v>
      </c>
      <c r="K2953" s="381">
        <v>0.0</v>
      </c>
      <c r="L2953" s="382">
        <v>1.0</v>
      </c>
    </row>
    <row r="2954">
      <c r="A2954" s="380" t="s">
        <v>3817</v>
      </c>
      <c r="B2954" s="380" t="str">
        <f>IFERROR(__xludf.DUMMYFUNCTION("""COMPUTED_VALUE"""),"Copa Torx T 30 Cuadrante 3/8 Tipo B")</f>
        <v>Copa Torx T 30 Cuadrante 3/8 Tipo B</v>
      </c>
      <c r="C2954" s="380" t="str">
        <f>IFERROR(__xludf.DUMMYFUNCTION("""COMPUTED_VALUE"""),"50000569")</f>
        <v>50000569</v>
      </c>
      <c r="D2954" s="380" t="s">
        <v>767</v>
      </c>
      <c r="E2954" s="380" t="s">
        <v>781</v>
      </c>
      <c r="F2954" s="380" t="s">
        <v>782</v>
      </c>
      <c r="G2954" s="380" t="s">
        <v>1267</v>
      </c>
      <c r="H2954" s="380" t="s">
        <v>771</v>
      </c>
      <c r="I2954" s="380" t="s">
        <v>784</v>
      </c>
      <c r="J2954" s="380" t="s">
        <v>773</v>
      </c>
      <c r="K2954" s="381">
        <v>0.0</v>
      </c>
      <c r="L2954" s="382">
        <v>1.0</v>
      </c>
    </row>
    <row r="2955">
      <c r="A2955" s="380" t="s">
        <v>3818</v>
      </c>
      <c r="B2955" s="380" t="str">
        <f>IFERROR(__xludf.DUMMYFUNCTION("""COMPUTED_VALUE"""),"Copa Impacto Cuadrante 1/2 X 9/16 Tipo B")</f>
        <v>Copa Impacto Cuadrante 1/2 X 9/16 Tipo B</v>
      </c>
      <c r="C2955" s="380" t="str">
        <f>IFERROR(__xludf.DUMMYFUNCTION("""COMPUTED_VALUE"""),"50000570")</f>
        <v>50000570</v>
      </c>
      <c r="D2955" s="380" t="s">
        <v>767</v>
      </c>
      <c r="E2955" s="380" t="s">
        <v>781</v>
      </c>
      <c r="F2955" s="380" t="s">
        <v>782</v>
      </c>
      <c r="G2955" s="380" t="s">
        <v>1267</v>
      </c>
      <c r="H2955" s="380" t="s">
        <v>771</v>
      </c>
      <c r="I2955" s="380" t="s">
        <v>784</v>
      </c>
      <c r="J2955" s="380" t="s">
        <v>773</v>
      </c>
      <c r="K2955" s="381">
        <v>0.0</v>
      </c>
      <c r="L2955" s="382">
        <v>1.0</v>
      </c>
    </row>
    <row r="2956">
      <c r="A2956" s="380" t="s">
        <v>3819</v>
      </c>
      <c r="B2956" s="380" t="str">
        <f>IFERROR(__xludf.DUMMYFUNCTION("""COMPUTED_VALUE"""),"Diferencial Manual 2.0 Toneladas")</f>
        <v>Diferencial Manual 2.0 Toneladas</v>
      </c>
      <c r="C2956" s="380" t="str">
        <f>IFERROR(__xludf.DUMMYFUNCTION("""COMPUTED_VALUE"""),"50000571")</f>
        <v>50000571</v>
      </c>
      <c r="D2956" s="380" t="s">
        <v>767</v>
      </c>
      <c r="E2956" s="380" t="s">
        <v>781</v>
      </c>
      <c r="F2956" s="380" t="s">
        <v>782</v>
      </c>
      <c r="G2956" s="380" t="s">
        <v>1267</v>
      </c>
      <c r="H2956" s="380" t="s">
        <v>771</v>
      </c>
      <c r="I2956" s="380" t="s">
        <v>784</v>
      </c>
      <c r="J2956" s="380" t="s">
        <v>773</v>
      </c>
      <c r="K2956" s="381">
        <v>0.0</v>
      </c>
      <c r="L2956" s="382">
        <v>1.0</v>
      </c>
    </row>
    <row r="2957">
      <c r="A2957" s="380" t="s">
        <v>3820</v>
      </c>
      <c r="B2957" s="380" t="str">
        <f>IFERROR(__xludf.DUMMYFUNCTION("""COMPUTED_VALUE"""),"Exte Extension Cuadrante 1/2 X 11"" Proto")</f>
        <v>Exte Extension Cuadrante 1/2 X 11" Proto</v>
      </c>
      <c r="C2957" s="380" t="str">
        <f>IFERROR(__xludf.DUMMYFUNCTION("""COMPUTED_VALUE"""),"50000572")</f>
        <v>50000572</v>
      </c>
      <c r="D2957" s="380" t="s">
        <v>767</v>
      </c>
      <c r="E2957" s="380" t="s">
        <v>781</v>
      </c>
      <c r="F2957" s="380" t="s">
        <v>782</v>
      </c>
      <c r="G2957" s="380" t="s">
        <v>1267</v>
      </c>
      <c r="H2957" s="380" t="s">
        <v>771</v>
      </c>
      <c r="I2957" s="380" t="s">
        <v>784</v>
      </c>
      <c r="J2957" s="380" t="s">
        <v>773</v>
      </c>
      <c r="K2957" s="381">
        <v>0.0</v>
      </c>
      <c r="L2957" s="382">
        <v>1.0</v>
      </c>
    </row>
    <row r="2958">
      <c r="A2958" s="380" t="s">
        <v>3821</v>
      </c>
      <c r="B2958" s="380" t="str">
        <f>IFERROR(__xludf.DUMMYFUNCTION("""COMPUTED_VALUE"""),"Llave Mixta 9mm Tipo B")</f>
        <v>Llave Mixta 9mm Tipo B</v>
      </c>
      <c r="C2958" s="380" t="str">
        <f>IFERROR(__xludf.DUMMYFUNCTION("""COMPUTED_VALUE"""),"50000573")</f>
        <v>50000573</v>
      </c>
      <c r="D2958" s="380" t="s">
        <v>767</v>
      </c>
      <c r="E2958" s="380" t="s">
        <v>781</v>
      </c>
      <c r="F2958" s="380" t="s">
        <v>782</v>
      </c>
      <c r="G2958" s="380" t="s">
        <v>1267</v>
      </c>
      <c r="H2958" s="380" t="s">
        <v>771</v>
      </c>
      <c r="I2958" s="380" t="s">
        <v>784</v>
      </c>
      <c r="J2958" s="380" t="s">
        <v>773</v>
      </c>
      <c r="K2958" s="381">
        <v>0.0</v>
      </c>
      <c r="L2958" s="382">
        <v>1.0</v>
      </c>
    </row>
    <row r="2959">
      <c r="A2959" s="380" t="s">
        <v>3822</v>
      </c>
      <c r="B2959" s="380" t="str">
        <f>IFERROR(__xludf.DUMMYFUNCTION("""COMPUTED_VALUE"""),"Prensa De Banco # 6 Ursus")</f>
        <v>Prensa De Banco # 6 Ursus</v>
      </c>
      <c r="C2959" s="380" t="str">
        <f>IFERROR(__xludf.DUMMYFUNCTION("""COMPUTED_VALUE"""),"50000574")</f>
        <v>50000574</v>
      </c>
      <c r="D2959" s="380" t="s">
        <v>767</v>
      </c>
      <c r="E2959" s="380" t="s">
        <v>781</v>
      </c>
      <c r="F2959" s="380" t="s">
        <v>782</v>
      </c>
      <c r="G2959" s="380" t="s">
        <v>1267</v>
      </c>
      <c r="H2959" s="380" t="s">
        <v>771</v>
      </c>
      <c r="I2959" s="380" t="s">
        <v>784</v>
      </c>
      <c r="J2959" s="380" t="s">
        <v>773</v>
      </c>
      <c r="K2959" s="381">
        <v>0.0</v>
      </c>
      <c r="L2959" s="382">
        <v>1.0</v>
      </c>
    </row>
    <row r="2960">
      <c r="A2960" s="380" t="s">
        <v>3823</v>
      </c>
      <c r="B2960" s="380" t="str">
        <f>IFERROR(__xludf.DUMMYFUNCTION("""COMPUTED_VALUE"""),"Exte Extension Cuadrante 1/2 X 9"" Tipo B")</f>
        <v>Exte Extension Cuadrante 1/2 X 9" Tipo B</v>
      </c>
      <c r="C2960" s="380" t="str">
        <f>IFERROR(__xludf.DUMMYFUNCTION("""COMPUTED_VALUE"""),"50000575")</f>
        <v>50000575</v>
      </c>
      <c r="D2960" s="380" t="s">
        <v>767</v>
      </c>
      <c r="E2960" s="380" t="s">
        <v>781</v>
      </c>
      <c r="F2960" s="380" t="s">
        <v>782</v>
      </c>
      <c r="G2960" s="380" t="s">
        <v>1267</v>
      </c>
      <c r="H2960" s="380" t="s">
        <v>771</v>
      </c>
      <c r="I2960" s="380" t="s">
        <v>784</v>
      </c>
      <c r="J2960" s="380" t="s">
        <v>773</v>
      </c>
      <c r="K2960" s="381">
        <v>0.0</v>
      </c>
      <c r="L2960" s="382">
        <v>1.0</v>
      </c>
    </row>
    <row r="2961">
      <c r="A2961" s="380" t="s">
        <v>3824</v>
      </c>
      <c r="B2961" s="380" t="str">
        <f>IFERROR(__xludf.DUMMYFUNCTION("""COMPUTED_VALUE"""),"Nivel Aluminio 10""")</f>
        <v>Nivel Aluminio 10"</v>
      </c>
      <c r="C2961" s="380" t="str">
        <f>IFERROR(__xludf.DUMMYFUNCTION("""COMPUTED_VALUE"""),"50000576")</f>
        <v>50000576</v>
      </c>
      <c r="D2961" s="380" t="s">
        <v>767</v>
      </c>
      <c r="E2961" s="380" t="s">
        <v>781</v>
      </c>
      <c r="F2961" s="380" t="s">
        <v>782</v>
      </c>
      <c r="G2961" s="380" t="s">
        <v>1267</v>
      </c>
      <c r="H2961" s="380" t="s">
        <v>771</v>
      </c>
      <c r="I2961" s="380" t="s">
        <v>784</v>
      </c>
      <c r="J2961" s="380" t="s">
        <v>773</v>
      </c>
      <c r="K2961" s="381">
        <v>0.0</v>
      </c>
      <c r="L2961" s="382">
        <v>1.0</v>
      </c>
    </row>
    <row r="2962">
      <c r="A2962" s="380" t="s">
        <v>3825</v>
      </c>
      <c r="B2962" s="380" t="str">
        <f>IFERROR(__xludf.DUMMYFUNCTION("""COMPUTED_VALUE"""),"Extractor Cola Raton Varios")</f>
        <v>Extractor Cola Raton Varios</v>
      </c>
      <c r="C2962" s="380" t="str">
        <f>IFERROR(__xludf.DUMMYFUNCTION("""COMPUTED_VALUE"""),"50000577")</f>
        <v>50000577</v>
      </c>
      <c r="D2962" s="380" t="s">
        <v>767</v>
      </c>
      <c r="E2962" s="380" t="s">
        <v>781</v>
      </c>
      <c r="F2962" s="380" t="s">
        <v>782</v>
      </c>
      <c r="G2962" s="380" t="s">
        <v>1267</v>
      </c>
      <c r="H2962" s="380" t="s">
        <v>771</v>
      </c>
      <c r="I2962" s="380" t="s">
        <v>784</v>
      </c>
      <c r="J2962" s="380" t="s">
        <v>773</v>
      </c>
      <c r="K2962" s="381">
        <v>0.0</v>
      </c>
      <c r="L2962" s="382">
        <v>1.0</v>
      </c>
    </row>
    <row r="2963">
      <c r="A2963" s="380" t="s">
        <v>3826</v>
      </c>
      <c r="B2963" s="380" t="str">
        <f>IFERROR(__xludf.DUMMYFUNCTION("""COMPUTED_VALUE"""),"Calibrador De Galgas Tipo B")</f>
        <v>Calibrador De Galgas Tipo B</v>
      </c>
      <c r="C2963" s="380" t="str">
        <f>IFERROR(__xludf.DUMMYFUNCTION("""COMPUTED_VALUE"""),"50000578")</f>
        <v>50000578</v>
      </c>
      <c r="D2963" s="380" t="s">
        <v>767</v>
      </c>
      <c r="E2963" s="380" t="s">
        <v>781</v>
      </c>
      <c r="F2963" s="380" t="s">
        <v>782</v>
      </c>
      <c r="G2963" s="380" t="s">
        <v>1267</v>
      </c>
      <c r="H2963" s="380" t="s">
        <v>771</v>
      </c>
      <c r="I2963" s="380" t="s">
        <v>784</v>
      </c>
      <c r="J2963" s="380" t="s">
        <v>773</v>
      </c>
      <c r="K2963" s="381">
        <v>0.0</v>
      </c>
      <c r="L2963" s="382">
        <v>1.0</v>
      </c>
    </row>
    <row r="2964">
      <c r="A2964" s="380" t="s">
        <v>3827</v>
      </c>
      <c r="B2964" s="380" t="str">
        <f>IFERROR(__xludf.DUMMYFUNCTION("""COMPUTED_VALUE"""),"Serrucho")</f>
        <v>Serrucho</v>
      </c>
      <c r="C2964" s="380" t="str">
        <f>IFERROR(__xludf.DUMMYFUNCTION("""COMPUTED_VALUE"""),"50000579")</f>
        <v>50000579</v>
      </c>
      <c r="D2964" s="380" t="s">
        <v>767</v>
      </c>
      <c r="E2964" s="380" t="s">
        <v>781</v>
      </c>
      <c r="F2964" s="380" t="s">
        <v>782</v>
      </c>
      <c r="G2964" s="380" t="s">
        <v>1267</v>
      </c>
      <c r="H2964" s="380" t="s">
        <v>771</v>
      </c>
      <c r="I2964" s="380" t="s">
        <v>784</v>
      </c>
      <c r="J2964" s="380" t="s">
        <v>773</v>
      </c>
      <c r="K2964" s="381">
        <v>0.0</v>
      </c>
      <c r="L2964" s="382">
        <v>1.0</v>
      </c>
    </row>
    <row r="2965">
      <c r="A2965" s="380" t="s">
        <v>3828</v>
      </c>
      <c r="B2965" s="380" t="str">
        <f>IFERROR(__xludf.DUMMYFUNCTION("""COMPUTED_VALUE"""),"Exte Extension Cuadrante 3/4 X 6"" Snapon")</f>
        <v>Exte Extension Cuadrante 3/4 X 6" Snapon</v>
      </c>
      <c r="C2965" s="380" t="str">
        <f>IFERROR(__xludf.DUMMYFUNCTION("""COMPUTED_VALUE"""),"50000580")</f>
        <v>50000580</v>
      </c>
      <c r="D2965" s="380" t="s">
        <v>767</v>
      </c>
      <c r="E2965" s="380" t="s">
        <v>781</v>
      </c>
      <c r="F2965" s="380" t="s">
        <v>782</v>
      </c>
      <c r="G2965" s="380" t="s">
        <v>1267</v>
      </c>
      <c r="H2965" s="380" t="s">
        <v>771</v>
      </c>
      <c r="I2965" s="380" t="s">
        <v>784</v>
      </c>
      <c r="J2965" s="380" t="s">
        <v>773</v>
      </c>
      <c r="K2965" s="381">
        <v>0.0</v>
      </c>
      <c r="L2965" s="382">
        <v>1.0</v>
      </c>
    </row>
    <row r="2966">
      <c r="A2966" s="380" t="s">
        <v>3829</v>
      </c>
      <c r="B2966" s="380" t="str">
        <f>IFERROR(__xludf.DUMMYFUNCTION("""COMPUTED_VALUE"""),"Llave Cadena 15"" Tipo B")</f>
        <v>Llave Cadena 15" Tipo B</v>
      </c>
      <c r="C2966" s="380" t="str">
        <f>IFERROR(__xludf.DUMMYFUNCTION("""COMPUTED_VALUE"""),"50000581")</f>
        <v>50000581</v>
      </c>
      <c r="D2966" s="380" t="s">
        <v>767</v>
      </c>
      <c r="E2966" s="380" t="s">
        <v>781</v>
      </c>
      <c r="F2966" s="380" t="s">
        <v>782</v>
      </c>
      <c r="G2966" s="380" t="s">
        <v>1267</v>
      </c>
      <c r="H2966" s="380" t="s">
        <v>771</v>
      </c>
      <c r="I2966" s="380" t="s">
        <v>784</v>
      </c>
      <c r="J2966" s="380" t="s">
        <v>773</v>
      </c>
      <c r="K2966" s="381">
        <v>0.0</v>
      </c>
      <c r="L2966" s="382">
        <v>1.0</v>
      </c>
    </row>
    <row r="2967">
      <c r="A2967" s="380" t="s">
        <v>3830</v>
      </c>
      <c r="B2967" s="380" t="str">
        <f>IFERROR(__xludf.DUMMYFUNCTION("""COMPUTED_VALUE"""),"Brocas Varias Para Concreto")</f>
        <v>Brocas Varias Para Concreto</v>
      </c>
      <c r="C2967" s="380" t="str">
        <f>IFERROR(__xludf.DUMMYFUNCTION("""COMPUTED_VALUE"""),"50000582")</f>
        <v>50000582</v>
      </c>
      <c r="D2967" s="380" t="s">
        <v>767</v>
      </c>
      <c r="E2967" s="380" t="s">
        <v>781</v>
      </c>
      <c r="F2967" s="380" t="s">
        <v>782</v>
      </c>
      <c r="G2967" s="380" t="s">
        <v>1267</v>
      </c>
      <c r="H2967" s="380" t="s">
        <v>771</v>
      </c>
      <c r="I2967" s="380" t="s">
        <v>784</v>
      </c>
      <c r="J2967" s="380" t="s">
        <v>773</v>
      </c>
      <c r="K2967" s="381">
        <v>0.0</v>
      </c>
      <c r="L2967" s="382">
        <v>1.0</v>
      </c>
    </row>
    <row r="2968">
      <c r="A2968" s="380" t="s">
        <v>3831</v>
      </c>
      <c r="B2968" s="380" t="str">
        <f>IFERROR(__xludf.DUMMYFUNCTION("""COMPUTED_VALUE"""),"Juego Machuelo 1/2 Ro X 3 Und")</f>
        <v>Juego Machuelo 1/2 Ro X 3 Und</v>
      </c>
      <c r="C2968" s="380" t="str">
        <f>IFERROR(__xludf.DUMMYFUNCTION("""COMPUTED_VALUE"""),"50000583")</f>
        <v>50000583</v>
      </c>
      <c r="D2968" s="380" t="s">
        <v>767</v>
      </c>
      <c r="E2968" s="380" t="s">
        <v>781</v>
      </c>
      <c r="F2968" s="380" t="s">
        <v>782</v>
      </c>
      <c r="G2968" s="380" t="s">
        <v>1267</v>
      </c>
      <c r="H2968" s="380" t="s">
        <v>771</v>
      </c>
      <c r="I2968" s="380" t="s">
        <v>784</v>
      </c>
      <c r="J2968" s="380" t="s">
        <v>773</v>
      </c>
      <c r="K2968" s="381">
        <v>0.0</v>
      </c>
      <c r="L2968" s="382">
        <v>1.0</v>
      </c>
    </row>
    <row r="2969">
      <c r="A2969" s="380" t="s">
        <v>3832</v>
      </c>
      <c r="B2969" s="380" t="str">
        <f>IFERROR(__xludf.DUMMYFUNCTION("""COMPUTED_VALUE"""),"Copa Cuadrante 1/2 X 29mm Tipo B")</f>
        <v>Copa Cuadrante 1/2 X 29mm Tipo B</v>
      </c>
      <c r="C2969" s="380" t="str">
        <f>IFERROR(__xludf.DUMMYFUNCTION("""COMPUTED_VALUE"""),"50000584")</f>
        <v>50000584</v>
      </c>
      <c r="D2969" s="380" t="s">
        <v>767</v>
      </c>
      <c r="E2969" s="380" t="s">
        <v>781</v>
      </c>
      <c r="F2969" s="380" t="s">
        <v>782</v>
      </c>
      <c r="G2969" s="380" t="s">
        <v>1267</v>
      </c>
      <c r="H2969" s="380" t="s">
        <v>771</v>
      </c>
      <c r="I2969" s="380" t="s">
        <v>784</v>
      </c>
      <c r="J2969" s="380" t="s">
        <v>773</v>
      </c>
      <c r="K2969" s="381">
        <v>0.0</v>
      </c>
      <c r="L2969" s="382">
        <v>1.0</v>
      </c>
    </row>
    <row r="2970">
      <c r="A2970" s="380" t="s">
        <v>3833</v>
      </c>
      <c r="B2970" s="380" t="str">
        <f>IFERROR(__xludf.DUMMYFUNCTION("""COMPUTED_VALUE"""),"Palanca Fuerza Cuadrante 3/8 X 9"" Tipo B")</f>
        <v>Palanca Fuerza Cuadrante 3/8 X 9" Tipo B</v>
      </c>
      <c r="C2970" s="380" t="str">
        <f>IFERROR(__xludf.DUMMYFUNCTION("""COMPUTED_VALUE"""),"50000585")</f>
        <v>50000585</v>
      </c>
      <c r="D2970" s="380" t="s">
        <v>767</v>
      </c>
      <c r="E2970" s="380" t="s">
        <v>781</v>
      </c>
      <c r="F2970" s="380" t="s">
        <v>782</v>
      </c>
      <c r="G2970" s="380" t="s">
        <v>1267</v>
      </c>
      <c r="H2970" s="380" t="s">
        <v>771</v>
      </c>
      <c r="I2970" s="380" t="s">
        <v>784</v>
      </c>
      <c r="J2970" s="380" t="s">
        <v>773</v>
      </c>
      <c r="K2970" s="381">
        <v>0.0</v>
      </c>
      <c r="L2970" s="382">
        <v>1.0</v>
      </c>
    </row>
    <row r="2971">
      <c r="A2971" s="380" t="s">
        <v>3834</v>
      </c>
      <c r="B2971" s="380" t="str">
        <f>IFERROR(__xludf.DUMMYFUNCTION("""COMPUTED_VALUE"""),"Martillo Latonero Grafilado Desabollador")</f>
        <v>Martillo Latonero Grafilado Desabollador</v>
      </c>
      <c r="C2971" s="380" t="str">
        <f>IFERROR(__xludf.DUMMYFUNCTION("""COMPUTED_VALUE"""),"50000586")</f>
        <v>50000586</v>
      </c>
      <c r="D2971" s="380" t="s">
        <v>767</v>
      </c>
      <c r="E2971" s="380" t="s">
        <v>781</v>
      </c>
      <c r="F2971" s="380" t="s">
        <v>782</v>
      </c>
      <c r="G2971" s="380" t="s">
        <v>1267</v>
      </c>
      <c r="H2971" s="380" t="s">
        <v>771</v>
      </c>
      <c r="I2971" s="380" t="s">
        <v>784</v>
      </c>
      <c r="J2971" s="380" t="s">
        <v>773</v>
      </c>
      <c r="K2971" s="381">
        <v>0.0</v>
      </c>
      <c r="L2971" s="382">
        <v>1.0</v>
      </c>
    </row>
    <row r="2972">
      <c r="A2972" s="380" t="s">
        <v>3835</v>
      </c>
      <c r="B2972" s="380" t="str">
        <f>IFERROR(__xludf.DUMMYFUNCTION("""COMPUTED_VALUE"""),"Copa Larga Cuadrante 3/8 X 19/32 Snapon")</f>
        <v>Copa Larga Cuadrante 3/8 X 19/32 Snapon</v>
      </c>
      <c r="C2972" s="380" t="str">
        <f>IFERROR(__xludf.DUMMYFUNCTION("""COMPUTED_VALUE"""),"50000587")</f>
        <v>50000587</v>
      </c>
      <c r="D2972" s="380" t="s">
        <v>767</v>
      </c>
      <c r="E2972" s="380" t="s">
        <v>781</v>
      </c>
      <c r="F2972" s="380" t="s">
        <v>782</v>
      </c>
      <c r="G2972" s="380" t="s">
        <v>1267</v>
      </c>
      <c r="H2972" s="380" t="s">
        <v>771</v>
      </c>
      <c r="I2972" s="380" t="s">
        <v>784</v>
      </c>
      <c r="J2972" s="380" t="s">
        <v>773</v>
      </c>
      <c r="K2972" s="381">
        <v>0.0</v>
      </c>
      <c r="L2972" s="382">
        <v>1.0</v>
      </c>
    </row>
    <row r="2973">
      <c r="A2973" s="380" t="s">
        <v>3836</v>
      </c>
      <c r="B2973" s="380" t="str">
        <f>IFERROR(__xludf.DUMMYFUNCTION("""COMPUTED_VALUE"""),"Destornillador Estrella 3/16 X 6"" Tipo B")</f>
        <v>Destornillador Estrella 3/16 X 6" Tipo B</v>
      </c>
      <c r="C2973" s="380" t="str">
        <f>IFERROR(__xludf.DUMMYFUNCTION("""COMPUTED_VALUE"""),"50000588")</f>
        <v>50000588</v>
      </c>
      <c r="D2973" s="380" t="s">
        <v>767</v>
      </c>
      <c r="E2973" s="380" t="s">
        <v>781</v>
      </c>
      <c r="F2973" s="380" t="s">
        <v>782</v>
      </c>
      <c r="G2973" s="380" t="s">
        <v>1267</v>
      </c>
      <c r="H2973" s="380" t="s">
        <v>771</v>
      </c>
      <c r="I2973" s="380" t="s">
        <v>784</v>
      </c>
      <c r="J2973" s="380" t="s">
        <v>773</v>
      </c>
      <c r="K2973" s="381">
        <v>0.0</v>
      </c>
      <c r="L2973" s="382">
        <v>1.0</v>
      </c>
    </row>
    <row r="2974">
      <c r="A2974" s="380" t="s">
        <v>3837</v>
      </c>
      <c r="B2974" s="380" t="str">
        <f>IFERROR(__xludf.DUMMYFUNCTION("""COMPUTED_VALUE"""),"Copa Torx T 20 Snapon")</f>
        <v>Copa Torx T 20 Snapon</v>
      </c>
      <c r="C2974" s="380" t="str">
        <f>IFERROR(__xludf.DUMMYFUNCTION("""COMPUTED_VALUE"""),"50000589")</f>
        <v>50000589</v>
      </c>
      <c r="D2974" s="380" t="s">
        <v>767</v>
      </c>
      <c r="E2974" s="380" t="s">
        <v>781</v>
      </c>
      <c r="F2974" s="380" t="s">
        <v>782</v>
      </c>
      <c r="G2974" s="380" t="s">
        <v>1267</v>
      </c>
      <c r="H2974" s="380" t="s">
        <v>771</v>
      </c>
      <c r="I2974" s="380" t="s">
        <v>784</v>
      </c>
      <c r="J2974" s="380" t="s">
        <v>773</v>
      </c>
      <c r="K2974" s="381">
        <v>0.0</v>
      </c>
      <c r="L2974" s="382">
        <v>1.0</v>
      </c>
    </row>
    <row r="2975">
      <c r="A2975" s="380" t="s">
        <v>3838</v>
      </c>
      <c r="B2975" s="380" t="str">
        <f>IFERROR(__xludf.DUMMYFUNCTION("""COMPUTED_VALUE"""),"Copa Torx T 8 Snapon")</f>
        <v>Copa Torx T 8 Snapon</v>
      </c>
      <c r="C2975" s="380" t="str">
        <f>IFERROR(__xludf.DUMMYFUNCTION("""COMPUTED_VALUE"""),"50000590")</f>
        <v>50000590</v>
      </c>
      <c r="D2975" s="380" t="s">
        <v>767</v>
      </c>
      <c r="E2975" s="380" t="s">
        <v>781</v>
      </c>
      <c r="F2975" s="380" t="s">
        <v>782</v>
      </c>
      <c r="G2975" s="380" t="s">
        <v>1267</v>
      </c>
      <c r="H2975" s="380" t="s">
        <v>771</v>
      </c>
      <c r="I2975" s="380" t="s">
        <v>784</v>
      </c>
      <c r="J2975" s="380" t="s">
        <v>773</v>
      </c>
      <c r="K2975" s="381">
        <v>0.0</v>
      </c>
      <c r="L2975" s="382">
        <v>1.0</v>
      </c>
    </row>
    <row r="2976">
      <c r="A2976" s="380" t="s">
        <v>3839</v>
      </c>
      <c r="B2976" s="380" t="str">
        <f>IFERROR(__xludf.DUMMYFUNCTION("""COMPUTED_VALUE"""),"Llave Boca Fija 8 X 9mm Tipo B")</f>
        <v>Llave Boca Fija 8 X 9mm Tipo B</v>
      </c>
      <c r="C2976" s="380" t="str">
        <f>IFERROR(__xludf.DUMMYFUNCTION("""COMPUTED_VALUE"""),"50000591")</f>
        <v>50000591</v>
      </c>
      <c r="D2976" s="380" t="s">
        <v>767</v>
      </c>
      <c r="E2976" s="380" t="s">
        <v>781</v>
      </c>
      <c r="F2976" s="380" t="s">
        <v>782</v>
      </c>
      <c r="G2976" s="380" t="s">
        <v>1267</v>
      </c>
      <c r="H2976" s="380" t="s">
        <v>771</v>
      </c>
      <c r="I2976" s="380" t="s">
        <v>784</v>
      </c>
      <c r="J2976" s="380" t="s">
        <v>773</v>
      </c>
      <c r="K2976" s="381">
        <v>0.0</v>
      </c>
      <c r="L2976" s="382">
        <v>1.0</v>
      </c>
    </row>
    <row r="2977">
      <c r="A2977" s="380" t="s">
        <v>3840</v>
      </c>
      <c r="B2977" s="380" t="str">
        <f>IFERROR(__xludf.DUMMYFUNCTION("""COMPUTED_VALUE"""),"Llave Mixta 24mm Tipo B")</f>
        <v>Llave Mixta 24mm Tipo B</v>
      </c>
      <c r="C2977" s="380" t="str">
        <f>IFERROR(__xludf.DUMMYFUNCTION("""COMPUTED_VALUE"""),"50000592")</f>
        <v>50000592</v>
      </c>
      <c r="D2977" s="380" t="s">
        <v>767</v>
      </c>
      <c r="E2977" s="380" t="s">
        <v>781</v>
      </c>
      <c r="F2977" s="380" t="s">
        <v>782</v>
      </c>
      <c r="G2977" s="380" t="s">
        <v>1267</v>
      </c>
      <c r="H2977" s="380" t="s">
        <v>771</v>
      </c>
      <c r="I2977" s="380" t="s">
        <v>784</v>
      </c>
      <c r="J2977" s="380" t="s">
        <v>773</v>
      </c>
      <c r="K2977" s="381">
        <v>0.0</v>
      </c>
      <c r="L2977" s="382">
        <v>1.0</v>
      </c>
    </row>
    <row r="2978">
      <c r="A2978" s="380" t="s">
        <v>3841</v>
      </c>
      <c r="B2978" s="380" t="str">
        <f>IFERROR(__xludf.DUMMYFUNCTION("""COMPUTED_VALUE"""),"Llave Mixta 21mm Tipo B")</f>
        <v>Llave Mixta 21mm Tipo B</v>
      </c>
      <c r="C2978" s="380" t="str">
        <f>IFERROR(__xludf.DUMMYFUNCTION("""COMPUTED_VALUE"""),"50000593")</f>
        <v>50000593</v>
      </c>
      <c r="D2978" s="380" t="s">
        <v>767</v>
      </c>
      <c r="E2978" s="380" t="s">
        <v>781</v>
      </c>
      <c r="F2978" s="380" t="s">
        <v>782</v>
      </c>
      <c r="G2978" s="380" t="s">
        <v>1267</v>
      </c>
      <c r="H2978" s="380" t="s">
        <v>771</v>
      </c>
      <c r="I2978" s="380" t="s">
        <v>784</v>
      </c>
      <c r="J2978" s="380" t="s">
        <v>773</v>
      </c>
      <c r="K2978" s="381">
        <v>0.0</v>
      </c>
      <c r="L2978" s="382">
        <v>1.0</v>
      </c>
    </row>
    <row r="2979">
      <c r="A2979" s="380" t="s">
        <v>3842</v>
      </c>
      <c r="B2979" s="380" t="str">
        <f>IFERROR(__xludf.DUMMYFUNCTION("""COMPUTED_VALUE"""),"Pesca Iman X 17"" Tipo B")</f>
        <v>Pesca Iman X 17" Tipo B</v>
      </c>
      <c r="C2979" s="380" t="str">
        <f>IFERROR(__xludf.DUMMYFUNCTION("""COMPUTED_VALUE"""),"50000594")</f>
        <v>50000594</v>
      </c>
      <c r="D2979" s="380" t="s">
        <v>767</v>
      </c>
      <c r="E2979" s="380" t="s">
        <v>781</v>
      </c>
      <c r="F2979" s="380" t="s">
        <v>782</v>
      </c>
      <c r="G2979" s="380" t="s">
        <v>1267</v>
      </c>
      <c r="H2979" s="380" t="s">
        <v>771</v>
      </c>
      <c r="I2979" s="380" t="s">
        <v>784</v>
      </c>
      <c r="J2979" s="380" t="s">
        <v>773</v>
      </c>
      <c r="K2979" s="381">
        <v>0.0</v>
      </c>
      <c r="L2979" s="382">
        <v>1.0</v>
      </c>
    </row>
    <row r="2980">
      <c r="A2980" s="380" t="s">
        <v>3843</v>
      </c>
      <c r="B2980" s="380" t="str">
        <f>IFERROR(__xludf.DUMMYFUNCTION("""COMPUTED_VALUE"""),"Botador 3/4 Proto")</f>
        <v>Botador 3/4 Proto</v>
      </c>
      <c r="C2980" s="380" t="str">
        <f>IFERROR(__xludf.DUMMYFUNCTION("""COMPUTED_VALUE"""),"50000595")</f>
        <v>50000595</v>
      </c>
      <c r="D2980" s="380" t="s">
        <v>767</v>
      </c>
      <c r="E2980" s="380" t="s">
        <v>781</v>
      </c>
      <c r="F2980" s="380" t="s">
        <v>782</v>
      </c>
      <c r="G2980" s="380" t="s">
        <v>1267</v>
      </c>
      <c r="H2980" s="380" t="s">
        <v>771</v>
      </c>
      <c r="I2980" s="380" t="s">
        <v>784</v>
      </c>
      <c r="J2980" s="380" t="s">
        <v>773</v>
      </c>
      <c r="K2980" s="381">
        <v>0.0</v>
      </c>
      <c r="L2980" s="382">
        <v>1.0</v>
      </c>
    </row>
    <row r="2981">
      <c r="A2981" s="380" t="s">
        <v>3844</v>
      </c>
      <c r="B2981" s="380" t="str">
        <f>IFERROR(__xludf.DUMMYFUNCTION("""COMPUTED_VALUE"""),"Llave Hexagona 7mm Tipo B")</f>
        <v>Llave Hexagona 7mm Tipo B</v>
      </c>
      <c r="C2981" s="380" t="str">
        <f>IFERROR(__xludf.DUMMYFUNCTION("""COMPUTED_VALUE"""),"50000596")</f>
        <v>50000596</v>
      </c>
      <c r="D2981" s="380" t="s">
        <v>767</v>
      </c>
      <c r="E2981" s="380" t="s">
        <v>781</v>
      </c>
      <c r="F2981" s="380" t="s">
        <v>782</v>
      </c>
      <c r="G2981" s="380" t="s">
        <v>1267</v>
      </c>
      <c r="H2981" s="380" t="s">
        <v>771</v>
      </c>
      <c r="I2981" s="380" t="s">
        <v>784</v>
      </c>
      <c r="J2981" s="380" t="s">
        <v>773</v>
      </c>
      <c r="K2981" s="381">
        <v>0.0</v>
      </c>
      <c r="L2981" s="382">
        <v>1.0</v>
      </c>
    </row>
    <row r="2982">
      <c r="A2982" s="380" t="s">
        <v>3845</v>
      </c>
      <c r="B2982" s="380" t="str">
        <f>IFERROR(__xludf.DUMMYFUNCTION("""COMPUTED_VALUE"""),"Copa Punta Hexagona Cuadrante 3/8 X 8mm")</f>
        <v>Copa Punta Hexagona Cuadrante 3/8 X 8mm</v>
      </c>
      <c r="C2982" s="380" t="str">
        <f>IFERROR(__xludf.DUMMYFUNCTION("""COMPUTED_VALUE"""),"50000597")</f>
        <v>50000597</v>
      </c>
      <c r="D2982" s="380" t="s">
        <v>767</v>
      </c>
      <c r="E2982" s="380" t="s">
        <v>781</v>
      </c>
      <c r="F2982" s="380" t="s">
        <v>782</v>
      </c>
      <c r="G2982" s="380" t="s">
        <v>1267</v>
      </c>
      <c r="H2982" s="380" t="s">
        <v>771</v>
      </c>
      <c r="I2982" s="380" t="s">
        <v>784</v>
      </c>
      <c r="J2982" s="380" t="s">
        <v>773</v>
      </c>
      <c r="K2982" s="381">
        <v>0.0</v>
      </c>
      <c r="L2982" s="382">
        <v>1.0</v>
      </c>
    </row>
    <row r="2983">
      <c r="A2983" s="380" t="s">
        <v>3846</v>
      </c>
      <c r="B2983" s="380" t="str">
        <f>IFERROR(__xludf.DUMMYFUNCTION("""COMPUTED_VALUE"""),"Copa Impacto Cuadrante 1/2 X 15/16 Tipo")</f>
        <v>Copa Impacto Cuadrante 1/2 X 15/16 Tipo</v>
      </c>
      <c r="C2983" s="380" t="str">
        <f>IFERROR(__xludf.DUMMYFUNCTION("""COMPUTED_VALUE"""),"50000598")</f>
        <v>50000598</v>
      </c>
      <c r="D2983" s="380" t="s">
        <v>767</v>
      </c>
      <c r="E2983" s="380" t="s">
        <v>781</v>
      </c>
      <c r="F2983" s="380" t="s">
        <v>782</v>
      </c>
      <c r="G2983" s="380" t="s">
        <v>1267</v>
      </c>
      <c r="H2983" s="380" t="s">
        <v>771</v>
      </c>
      <c r="I2983" s="380" t="s">
        <v>784</v>
      </c>
      <c r="J2983" s="380" t="s">
        <v>773</v>
      </c>
      <c r="K2983" s="381">
        <v>0.0</v>
      </c>
      <c r="L2983" s="382">
        <v>1.0</v>
      </c>
    </row>
    <row r="2984">
      <c r="A2984" s="380" t="s">
        <v>3847</v>
      </c>
      <c r="B2984" s="380" t="str">
        <f>IFERROR(__xludf.DUMMYFUNCTION("""COMPUTED_VALUE"""),"Copa Larga Cuadrante 1/2 X 13/16 Tipob")</f>
        <v>Copa Larga Cuadrante 1/2 X 13/16 Tipob</v>
      </c>
      <c r="C2984" s="380" t="str">
        <f>IFERROR(__xludf.DUMMYFUNCTION("""COMPUTED_VALUE"""),"50000599")</f>
        <v>50000599</v>
      </c>
      <c r="D2984" s="380" t="s">
        <v>767</v>
      </c>
      <c r="E2984" s="380" t="s">
        <v>781</v>
      </c>
      <c r="F2984" s="380" t="s">
        <v>782</v>
      </c>
      <c r="G2984" s="380" t="s">
        <v>1267</v>
      </c>
      <c r="H2984" s="380" t="s">
        <v>771</v>
      </c>
      <c r="I2984" s="380" t="s">
        <v>784</v>
      </c>
      <c r="J2984" s="380" t="s">
        <v>773</v>
      </c>
      <c r="K2984" s="381">
        <v>0.0</v>
      </c>
      <c r="L2984" s="382">
        <v>1.0</v>
      </c>
    </row>
    <row r="2985">
      <c r="A2985" s="380" t="s">
        <v>3848</v>
      </c>
      <c r="B2985" s="380" t="str">
        <f>IFERROR(__xludf.DUMMYFUNCTION("""COMPUTED_VALUE"""),"Copa Cuadrante 3/4 X 1 7/8 Tipo B")</f>
        <v>Copa Cuadrante 3/4 X 1 7/8 Tipo B</v>
      </c>
      <c r="C2985" s="380" t="str">
        <f>IFERROR(__xludf.DUMMYFUNCTION("""COMPUTED_VALUE"""),"50000600")</f>
        <v>50000600</v>
      </c>
      <c r="D2985" s="380" t="s">
        <v>767</v>
      </c>
      <c r="E2985" s="380" t="s">
        <v>781</v>
      </c>
      <c r="F2985" s="380" t="s">
        <v>782</v>
      </c>
      <c r="G2985" s="380" t="s">
        <v>1267</v>
      </c>
      <c r="H2985" s="380" t="s">
        <v>771</v>
      </c>
      <c r="I2985" s="380" t="s">
        <v>784</v>
      </c>
      <c r="J2985" s="380" t="s">
        <v>773</v>
      </c>
      <c r="K2985" s="381">
        <v>0.0</v>
      </c>
      <c r="L2985" s="382">
        <v>1.0</v>
      </c>
    </row>
    <row r="2986">
      <c r="A2986" s="380" t="s">
        <v>3849</v>
      </c>
      <c r="B2986" s="380" t="str">
        <f>IFERROR(__xludf.DUMMYFUNCTION("""COMPUTED_VALUE"""),"Copa Cuadrante 1/4 X 7mm Proto")</f>
        <v>Copa Cuadrante 1/4 X 7mm Proto</v>
      </c>
      <c r="C2986" s="380" t="str">
        <f>IFERROR(__xludf.DUMMYFUNCTION("""COMPUTED_VALUE"""),"50000601")</f>
        <v>50000601</v>
      </c>
      <c r="D2986" s="380" t="s">
        <v>767</v>
      </c>
      <c r="E2986" s="380" t="s">
        <v>781</v>
      </c>
      <c r="F2986" s="380" t="s">
        <v>782</v>
      </c>
      <c r="G2986" s="380" t="s">
        <v>1267</v>
      </c>
      <c r="H2986" s="380" t="s">
        <v>771</v>
      </c>
      <c r="I2986" s="380" t="s">
        <v>784</v>
      </c>
      <c r="J2986" s="380" t="s">
        <v>773</v>
      </c>
      <c r="K2986" s="381">
        <v>0.0</v>
      </c>
      <c r="L2986" s="382">
        <v>1.0</v>
      </c>
    </row>
    <row r="2987">
      <c r="A2987" s="380" t="s">
        <v>3850</v>
      </c>
      <c r="B2987" s="380" t="str">
        <f>IFERROR(__xludf.DUMMYFUNCTION("""COMPUTED_VALUE"""),"Copa Larga Cuadrante 3/8 X 11mm Tipo B")</f>
        <v>Copa Larga Cuadrante 3/8 X 11mm Tipo B</v>
      </c>
      <c r="C2987" s="380" t="str">
        <f>IFERROR(__xludf.DUMMYFUNCTION("""COMPUTED_VALUE"""),"50000602")</f>
        <v>50000602</v>
      </c>
      <c r="D2987" s="380" t="s">
        <v>767</v>
      </c>
      <c r="E2987" s="380" t="s">
        <v>781</v>
      </c>
      <c r="F2987" s="380" t="s">
        <v>782</v>
      </c>
      <c r="G2987" s="380" t="s">
        <v>1267</v>
      </c>
      <c r="H2987" s="380" t="s">
        <v>771</v>
      </c>
      <c r="I2987" s="380" t="s">
        <v>784</v>
      </c>
      <c r="J2987" s="380" t="s">
        <v>773</v>
      </c>
      <c r="K2987" s="381">
        <v>0.0</v>
      </c>
      <c r="L2987" s="382">
        <v>1.0</v>
      </c>
    </row>
    <row r="2988">
      <c r="A2988" s="380" t="s">
        <v>3851</v>
      </c>
      <c r="B2988" s="380" t="str">
        <f>IFERROR(__xludf.DUMMYFUNCTION("""COMPUTED_VALUE"""),"Gato Gato Botella Hidraulico 10 Ton Nike")</f>
        <v>Gato Gato Botella Hidraulico 10 Ton Nike</v>
      </c>
      <c r="C2988" s="380" t="str">
        <f>IFERROR(__xludf.DUMMYFUNCTION("""COMPUTED_VALUE"""),"50000603")</f>
        <v>50000603</v>
      </c>
      <c r="D2988" s="380" t="s">
        <v>767</v>
      </c>
      <c r="E2988" s="380" t="s">
        <v>781</v>
      </c>
      <c r="F2988" s="380" t="s">
        <v>782</v>
      </c>
      <c r="G2988" s="380" t="s">
        <v>1267</v>
      </c>
      <c r="H2988" s="380" t="s">
        <v>771</v>
      </c>
      <c r="I2988" s="380" t="s">
        <v>784</v>
      </c>
      <c r="J2988" s="380" t="s">
        <v>773</v>
      </c>
      <c r="K2988" s="381">
        <v>0.0</v>
      </c>
      <c r="L2988" s="382">
        <v>1.0</v>
      </c>
    </row>
    <row r="2989">
      <c r="A2989" s="380" t="s">
        <v>3852</v>
      </c>
      <c r="B2989" s="380" t="str">
        <f>IFERROR(__xludf.DUMMYFUNCTION("""COMPUTED_VALUE"""),"Palanca Fuerza Cuadrante 3/4 X 19"" Proto")</f>
        <v>Palanca Fuerza Cuadrante 3/4 X 19" Proto</v>
      </c>
      <c r="C2989" s="380" t="str">
        <f>IFERROR(__xludf.DUMMYFUNCTION("""COMPUTED_VALUE"""),"50000604")</f>
        <v>50000604</v>
      </c>
      <c r="D2989" s="380" t="s">
        <v>767</v>
      </c>
      <c r="E2989" s="380" t="s">
        <v>781</v>
      </c>
      <c r="F2989" s="380" t="s">
        <v>782</v>
      </c>
      <c r="G2989" s="380" t="s">
        <v>1267</v>
      </c>
      <c r="H2989" s="380" t="s">
        <v>771</v>
      </c>
      <c r="I2989" s="380" t="s">
        <v>784</v>
      </c>
      <c r="J2989" s="380" t="s">
        <v>773</v>
      </c>
      <c r="K2989" s="381">
        <v>0.0</v>
      </c>
      <c r="L2989" s="382">
        <v>1.0</v>
      </c>
    </row>
    <row r="2990">
      <c r="A2990" s="380" t="s">
        <v>3853</v>
      </c>
      <c r="B2990" s="380" t="str">
        <f>IFERROR(__xludf.DUMMYFUNCTION("""COMPUTED_VALUE"""),"Dedo Magnetico")</f>
        <v>Dedo Magnetico</v>
      </c>
      <c r="C2990" s="380" t="str">
        <f>IFERROR(__xludf.DUMMYFUNCTION("""COMPUTED_VALUE"""),"50000605")</f>
        <v>50000605</v>
      </c>
      <c r="D2990" s="380" t="s">
        <v>767</v>
      </c>
      <c r="E2990" s="380" t="s">
        <v>781</v>
      </c>
      <c r="F2990" s="380" t="s">
        <v>782</v>
      </c>
      <c r="G2990" s="380" t="s">
        <v>1267</v>
      </c>
      <c r="H2990" s="380" t="s">
        <v>771</v>
      </c>
      <c r="I2990" s="380" t="s">
        <v>784</v>
      </c>
      <c r="J2990" s="380" t="s">
        <v>773</v>
      </c>
      <c r="K2990" s="381">
        <v>0.0</v>
      </c>
      <c r="L2990" s="382">
        <v>1.0</v>
      </c>
    </row>
    <row r="2991">
      <c r="A2991" s="380" t="s">
        <v>3854</v>
      </c>
      <c r="B2991" s="380" t="str">
        <f>IFERROR(__xludf.DUMMYFUNCTION("""COMPUTED_VALUE"""),"Destornillador Pala 3/8 X 9"" Tipo B")</f>
        <v>Destornillador Pala 3/8 X 9" Tipo B</v>
      </c>
      <c r="C2991" s="380" t="str">
        <f>IFERROR(__xludf.DUMMYFUNCTION("""COMPUTED_VALUE"""),"50000606")</f>
        <v>50000606</v>
      </c>
      <c r="D2991" s="380" t="s">
        <v>767</v>
      </c>
      <c r="E2991" s="380" t="s">
        <v>781</v>
      </c>
      <c r="F2991" s="380" t="s">
        <v>782</v>
      </c>
      <c r="G2991" s="380" t="s">
        <v>1267</v>
      </c>
      <c r="H2991" s="380" t="s">
        <v>771</v>
      </c>
      <c r="I2991" s="380" t="s">
        <v>784</v>
      </c>
      <c r="J2991" s="380" t="s">
        <v>773</v>
      </c>
      <c r="K2991" s="381">
        <v>0.0</v>
      </c>
      <c r="L2991" s="382">
        <v>1.0</v>
      </c>
    </row>
    <row r="2992">
      <c r="A2992" s="380" t="s">
        <v>3855</v>
      </c>
      <c r="B2992" s="380" t="str">
        <f>IFERROR(__xludf.DUMMYFUNCTION("""COMPUTED_VALUE"""),"Sacabocado 3/8")</f>
        <v>Sacabocado 3/8</v>
      </c>
      <c r="C2992" s="380" t="str">
        <f>IFERROR(__xludf.DUMMYFUNCTION("""COMPUTED_VALUE"""),"50000607")</f>
        <v>50000607</v>
      </c>
      <c r="D2992" s="380" t="s">
        <v>767</v>
      </c>
      <c r="E2992" s="380" t="s">
        <v>781</v>
      </c>
      <c r="F2992" s="380" t="s">
        <v>782</v>
      </c>
      <c r="G2992" s="380" t="s">
        <v>1267</v>
      </c>
      <c r="H2992" s="380" t="s">
        <v>771</v>
      </c>
      <c r="I2992" s="380" t="s">
        <v>784</v>
      </c>
      <c r="J2992" s="380" t="s">
        <v>773</v>
      </c>
      <c r="K2992" s="381">
        <v>0.0</v>
      </c>
      <c r="L2992" s="382">
        <v>1.0</v>
      </c>
    </row>
    <row r="2993">
      <c r="A2993" s="380" t="s">
        <v>3856</v>
      </c>
      <c r="B2993" s="380" t="str">
        <f>IFERROR(__xludf.DUMMYFUNCTION("""COMPUTED_VALUE"""),"Palanca Fuerza Cuadrante 1/2 X 14"" Snapo")</f>
        <v>Palanca Fuerza Cuadrante 1/2 X 14" Snapo</v>
      </c>
      <c r="C2993" s="380" t="str">
        <f>IFERROR(__xludf.DUMMYFUNCTION("""COMPUTED_VALUE"""),"50000608")</f>
        <v>50000608</v>
      </c>
      <c r="D2993" s="380" t="s">
        <v>767</v>
      </c>
      <c r="E2993" s="380" t="s">
        <v>781</v>
      </c>
      <c r="F2993" s="380" t="s">
        <v>782</v>
      </c>
      <c r="G2993" s="380" t="s">
        <v>1267</v>
      </c>
      <c r="H2993" s="380" t="s">
        <v>771</v>
      </c>
      <c r="I2993" s="380" t="s">
        <v>784</v>
      </c>
      <c r="J2993" s="380" t="s">
        <v>773</v>
      </c>
      <c r="K2993" s="381">
        <v>0.0</v>
      </c>
      <c r="L2993" s="382">
        <v>1.0</v>
      </c>
    </row>
    <row r="2994">
      <c r="A2994" s="380" t="s">
        <v>3857</v>
      </c>
      <c r="B2994" s="380" t="str">
        <f>IFERROR(__xludf.DUMMYFUNCTION("""COMPUTED_VALUE"""),"Copa Larga Impacto Cuadrante 3/4 X 1 1/1")</f>
        <v>Copa Larga Impacto Cuadrante 3/4 X 1 1/1</v>
      </c>
      <c r="C2994" s="380" t="str">
        <f>IFERROR(__xludf.DUMMYFUNCTION("""COMPUTED_VALUE"""),"50000609")</f>
        <v>50000609</v>
      </c>
      <c r="D2994" s="380" t="s">
        <v>767</v>
      </c>
      <c r="E2994" s="380" t="s">
        <v>781</v>
      </c>
      <c r="F2994" s="380" t="s">
        <v>782</v>
      </c>
      <c r="G2994" s="380" t="s">
        <v>1267</v>
      </c>
      <c r="H2994" s="380" t="s">
        <v>771</v>
      </c>
      <c r="I2994" s="380" t="s">
        <v>784</v>
      </c>
      <c r="J2994" s="380" t="s">
        <v>773</v>
      </c>
      <c r="K2994" s="381">
        <v>0.0</v>
      </c>
      <c r="L2994" s="382">
        <v>1.0</v>
      </c>
    </row>
    <row r="2995">
      <c r="A2995" s="380" t="s">
        <v>3858</v>
      </c>
      <c r="B2995" s="380" t="str">
        <f>IFERROR(__xludf.DUMMYFUNCTION("""COMPUTED_VALUE"""),"Copa Cuadrante 1"" X 33mm Snapon")</f>
        <v>Copa Cuadrante 1" X 33mm Snapon</v>
      </c>
      <c r="C2995" s="380" t="str">
        <f>IFERROR(__xludf.DUMMYFUNCTION("""COMPUTED_VALUE"""),"50000610")</f>
        <v>50000610</v>
      </c>
      <c r="D2995" s="380" t="s">
        <v>767</v>
      </c>
      <c r="E2995" s="380" t="s">
        <v>781</v>
      </c>
      <c r="F2995" s="380" t="s">
        <v>782</v>
      </c>
      <c r="G2995" s="380" t="s">
        <v>1267</v>
      </c>
      <c r="H2995" s="380" t="s">
        <v>771</v>
      </c>
      <c r="I2995" s="380" t="s">
        <v>784</v>
      </c>
      <c r="J2995" s="380" t="s">
        <v>773</v>
      </c>
      <c r="K2995" s="381">
        <v>0.0</v>
      </c>
      <c r="L2995" s="382">
        <v>1.0</v>
      </c>
    </row>
    <row r="2996">
      <c r="A2996" s="380" t="s">
        <v>3859</v>
      </c>
      <c r="B2996" s="380" t="str">
        <f>IFERROR(__xludf.DUMMYFUNCTION("""COMPUTED_VALUE"""),"Copa Cuadrante 3/4 X 13/16 Proto")</f>
        <v>Copa Cuadrante 3/4 X 13/16 Proto</v>
      </c>
      <c r="C2996" s="380" t="str">
        <f>IFERROR(__xludf.DUMMYFUNCTION("""COMPUTED_VALUE"""),"50000611")</f>
        <v>50000611</v>
      </c>
      <c r="D2996" s="380" t="s">
        <v>767</v>
      </c>
      <c r="E2996" s="380" t="s">
        <v>781</v>
      </c>
      <c r="F2996" s="380" t="s">
        <v>782</v>
      </c>
      <c r="G2996" s="380" t="s">
        <v>1267</v>
      </c>
      <c r="H2996" s="380" t="s">
        <v>771</v>
      </c>
      <c r="I2996" s="380" t="s">
        <v>784</v>
      </c>
      <c r="J2996" s="380" t="s">
        <v>773</v>
      </c>
      <c r="K2996" s="381">
        <v>0.0</v>
      </c>
      <c r="L2996" s="382">
        <v>1.0</v>
      </c>
    </row>
    <row r="2997">
      <c r="A2997" s="380" t="s">
        <v>3860</v>
      </c>
      <c r="B2997" s="380" t="str">
        <f>IFERROR(__xludf.DUMMYFUNCTION("""COMPUTED_VALUE"""),"Destornillador Pala 1/4 X 3 Proto")</f>
        <v>Destornillador Pala 1/4 X 3 Proto</v>
      </c>
      <c r="C2997" s="380" t="str">
        <f>IFERROR(__xludf.DUMMYFUNCTION("""COMPUTED_VALUE"""),"50000612")</f>
        <v>50000612</v>
      </c>
      <c r="D2997" s="380" t="s">
        <v>767</v>
      </c>
      <c r="E2997" s="380" t="s">
        <v>781</v>
      </c>
      <c r="F2997" s="380" t="s">
        <v>782</v>
      </c>
      <c r="G2997" s="380" t="s">
        <v>1267</v>
      </c>
      <c r="H2997" s="380" t="s">
        <v>771</v>
      </c>
      <c r="I2997" s="380" t="s">
        <v>784</v>
      </c>
      <c r="J2997" s="380" t="s">
        <v>773</v>
      </c>
      <c r="K2997" s="381">
        <v>0.0</v>
      </c>
      <c r="L2997" s="382">
        <v>1.0</v>
      </c>
    </row>
    <row r="2998">
      <c r="A2998" s="380" t="s">
        <v>3861</v>
      </c>
      <c r="B2998" s="380" t="str">
        <f>IFERROR(__xludf.DUMMYFUNCTION("""COMPUTED_VALUE"""),"Palanca Fuerza Cuadrante 1"" X 32"" Snapon")</f>
        <v>Palanca Fuerza Cuadrante 1" X 32" Snapon</v>
      </c>
      <c r="C2998" s="380" t="str">
        <f>IFERROR(__xludf.DUMMYFUNCTION("""COMPUTED_VALUE"""),"50000613")</f>
        <v>50000613</v>
      </c>
      <c r="D2998" s="380" t="s">
        <v>767</v>
      </c>
      <c r="E2998" s="380" t="s">
        <v>781</v>
      </c>
      <c r="F2998" s="380" t="s">
        <v>782</v>
      </c>
      <c r="G2998" s="380" t="s">
        <v>1267</v>
      </c>
      <c r="H2998" s="380" t="s">
        <v>771</v>
      </c>
      <c r="I2998" s="380" t="s">
        <v>784</v>
      </c>
      <c r="J2998" s="380" t="s">
        <v>773</v>
      </c>
      <c r="K2998" s="381">
        <v>0.0</v>
      </c>
      <c r="L2998" s="382">
        <v>1.0</v>
      </c>
    </row>
    <row r="2999">
      <c r="A2999" s="380" t="s">
        <v>3862</v>
      </c>
      <c r="B2999" s="380" t="str">
        <f>IFERROR(__xludf.DUMMYFUNCTION("""COMPUTED_VALUE"""),"Copa Cuadrante 1/2 X 28 Mm Proto")</f>
        <v>Copa Cuadrante 1/2 X 28 Mm Proto</v>
      </c>
      <c r="C2999" s="380" t="str">
        <f>IFERROR(__xludf.DUMMYFUNCTION("""COMPUTED_VALUE"""),"50000614")</f>
        <v>50000614</v>
      </c>
      <c r="D2999" s="380" t="s">
        <v>767</v>
      </c>
      <c r="E2999" s="380" t="s">
        <v>781</v>
      </c>
      <c r="F2999" s="380" t="s">
        <v>782</v>
      </c>
      <c r="G2999" s="380" t="s">
        <v>1267</v>
      </c>
      <c r="H2999" s="380" t="s">
        <v>771</v>
      </c>
      <c r="I2999" s="380" t="s">
        <v>784</v>
      </c>
      <c r="J2999" s="380" t="s">
        <v>773</v>
      </c>
      <c r="K2999" s="381">
        <v>0.0</v>
      </c>
      <c r="L2999" s="382">
        <v>1.0</v>
      </c>
    </row>
    <row r="3000">
      <c r="A3000" s="380" t="s">
        <v>3863</v>
      </c>
      <c r="B3000" s="380" t="str">
        <f>IFERROR(__xludf.DUMMYFUNCTION("""COMPUTED_VALUE"""),"Llave Mixta 27mm Tipo B")</f>
        <v>Llave Mixta 27mm Tipo B</v>
      </c>
      <c r="C3000" s="380" t="str">
        <f>IFERROR(__xludf.DUMMYFUNCTION("""COMPUTED_VALUE"""),"50000615")</f>
        <v>50000615</v>
      </c>
      <c r="D3000" s="380" t="s">
        <v>767</v>
      </c>
      <c r="E3000" s="380" t="s">
        <v>781</v>
      </c>
      <c r="F3000" s="380" t="s">
        <v>782</v>
      </c>
      <c r="G3000" s="380" t="s">
        <v>1267</v>
      </c>
      <c r="H3000" s="380" t="s">
        <v>771</v>
      </c>
      <c r="I3000" s="380" t="s">
        <v>784</v>
      </c>
      <c r="J3000" s="380" t="s">
        <v>773</v>
      </c>
      <c r="K3000" s="381">
        <v>0.0</v>
      </c>
      <c r="L3000" s="382">
        <v>1.0</v>
      </c>
    </row>
    <row r="3001">
      <c r="A3001" s="380" t="s">
        <v>3864</v>
      </c>
      <c r="B3001" s="380" t="str">
        <f>IFERROR(__xludf.DUMMYFUNCTION("""COMPUTED_VALUE"""),"Copa Cuadrante 1/2 X 10mm Tipo B")</f>
        <v>Copa Cuadrante 1/2 X 10mm Tipo B</v>
      </c>
      <c r="C3001" s="380" t="str">
        <f>IFERROR(__xludf.DUMMYFUNCTION("""COMPUTED_VALUE"""),"50000616")</f>
        <v>50000616</v>
      </c>
      <c r="D3001" s="380" t="s">
        <v>767</v>
      </c>
      <c r="E3001" s="380" t="s">
        <v>781</v>
      </c>
      <c r="F3001" s="380" t="s">
        <v>782</v>
      </c>
      <c r="G3001" s="380" t="s">
        <v>1267</v>
      </c>
      <c r="H3001" s="380" t="s">
        <v>771</v>
      </c>
      <c r="I3001" s="380" t="s">
        <v>784</v>
      </c>
      <c r="J3001" s="380" t="s">
        <v>773</v>
      </c>
      <c r="K3001" s="381">
        <v>0.0</v>
      </c>
      <c r="L3001" s="382">
        <v>1.0</v>
      </c>
    </row>
    <row r="3002">
      <c r="A3002" s="380" t="s">
        <v>3865</v>
      </c>
      <c r="B3002" s="380" t="str">
        <f>IFERROR(__xludf.DUMMYFUNCTION("""COMPUTED_VALUE"""),"Copa Cuadrante 1/2 X 25mm Tipo B")</f>
        <v>Copa Cuadrante 1/2 X 25mm Tipo B</v>
      </c>
      <c r="C3002" s="380" t="str">
        <f>IFERROR(__xludf.DUMMYFUNCTION("""COMPUTED_VALUE"""),"50000617")</f>
        <v>50000617</v>
      </c>
      <c r="D3002" s="380" t="s">
        <v>767</v>
      </c>
      <c r="E3002" s="380" t="s">
        <v>781</v>
      </c>
      <c r="F3002" s="380" t="s">
        <v>782</v>
      </c>
      <c r="G3002" s="380" t="s">
        <v>1267</v>
      </c>
      <c r="H3002" s="380" t="s">
        <v>771</v>
      </c>
      <c r="I3002" s="380" t="s">
        <v>784</v>
      </c>
      <c r="J3002" s="380" t="s">
        <v>773</v>
      </c>
      <c r="K3002" s="381">
        <v>0.0</v>
      </c>
      <c r="L3002" s="382">
        <v>1.0</v>
      </c>
    </row>
    <row r="3003">
      <c r="A3003" s="380" t="s">
        <v>3866</v>
      </c>
      <c r="B3003" s="380" t="str">
        <f>IFERROR(__xludf.DUMMYFUNCTION("""COMPUTED_VALUE"""),"Tijera Podadora")</f>
        <v>Tijera Podadora</v>
      </c>
      <c r="C3003" s="380" t="str">
        <f>IFERROR(__xludf.DUMMYFUNCTION("""COMPUTED_VALUE"""),"50000618")</f>
        <v>50000618</v>
      </c>
      <c r="D3003" s="380" t="s">
        <v>767</v>
      </c>
      <c r="E3003" s="380" t="s">
        <v>781</v>
      </c>
      <c r="F3003" s="380" t="s">
        <v>782</v>
      </c>
      <c r="G3003" s="380" t="s">
        <v>1267</v>
      </c>
      <c r="H3003" s="380" t="s">
        <v>771</v>
      </c>
      <c r="I3003" s="380" t="s">
        <v>784</v>
      </c>
      <c r="J3003" s="380" t="s">
        <v>773</v>
      </c>
      <c r="K3003" s="381">
        <v>0.0</v>
      </c>
      <c r="L3003" s="382">
        <v>1.0</v>
      </c>
    </row>
    <row r="3004">
      <c r="A3004" s="380" t="s">
        <v>3867</v>
      </c>
      <c r="B3004" s="380" t="str">
        <f>IFERROR(__xludf.DUMMYFUNCTION("""COMPUTED_VALUE"""),"Carreta De Obra")</f>
        <v>Carreta De Obra</v>
      </c>
      <c r="C3004" s="380" t="str">
        <f>IFERROR(__xludf.DUMMYFUNCTION("""COMPUTED_VALUE"""),"50000619")</f>
        <v>50000619</v>
      </c>
      <c r="D3004" s="380" t="s">
        <v>767</v>
      </c>
      <c r="E3004" s="380" t="s">
        <v>781</v>
      </c>
      <c r="F3004" s="380" t="s">
        <v>782</v>
      </c>
      <c r="G3004" s="380" t="s">
        <v>1267</v>
      </c>
      <c r="H3004" s="380" t="s">
        <v>771</v>
      </c>
      <c r="I3004" s="380" t="s">
        <v>784</v>
      </c>
      <c r="J3004" s="380" t="s">
        <v>773</v>
      </c>
      <c r="K3004" s="381">
        <v>0.0</v>
      </c>
      <c r="L3004" s="382">
        <v>1.0</v>
      </c>
    </row>
    <row r="3005">
      <c r="A3005" s="380" t="s">
        <v>3868</v>
      </c>
      <c r="B3005" s="380" t="str">
        <f>IFERROR(__xludf.DUMMYFUNCTION("""COMPUTED_VALUE"""),"Copa Cuadrante 3/4 X 1 3/8 Tipo B")</f>
        <v>Copa Cuadrante 3/4 X 1 3/8 Tipo B</v>
      </c>
      <c r="C3005" s="380" t="str">
        <f>IFERROR(__xludf.DUMMYFUNCTION("""COMPUTED_VALUE"""),"50000620")</f>
        <v>50000620</v>
      </c>
      <c r="D3005" s="380" t="s">
        <v>767</v>
      </c>
      <c r="E3005" s="380" t="s">
        <v>781</v>
      </c>
      <c r="F3005" s="380" t="s">
        <v>782</v>
      </c>
      <c r="G3005" s="380" t="s">
        <v>1267</v>
      </c>
      <c r="H3005" s="380" t="s">
        <v>771</v>
      </c>
      <c r="I3005" s="380" t="s">
        <v>784</v>
      </c>
      <c r="J3005" s="380" t="s">
        <v>773</v>
      </c>
      <c r="K3005" s="381">
        <v>0.0</v>
      </c>
      <c r="L3005" s="382">
        <v>1.0</v>
      </c>
    </row>
    <row r="3006">
      <c r="A3006" s="380" t="s">
        <v>3869</v>
      </c>
      <c r="B3006" s="380" t="str">
        <f>IFERROR(__xludf.DUMMYFUNCTION("""COMPUTED_VALUE"""),"Copa Impacto Cuadrante 1/2 X 24mm Snapon")</f>
        <v>Copa Impacto Cuadrante 1/2 X 24mm Snapon</v>
      </c>
      <c r="C3006" s="380" t="str">
        <f>IFERROR(__xludf.DUMMYFUNCTION("""COMPUTED_VALUE"""),"50000621")</f>
        <v>50000621</v>
      </c>
      <c r="D3006" s="380" t="s">
        <v>767</v>
      </c>
      <c r="E3006" s="380" t="s">
        <v>781</v>
      </c>
      <c r="F3006" s="380" t="s">
        <v>782</v>
      </c>
      <c r="G3006" s="380" t="s">
        <v>1267</v>
      </c>
      <c r="H3006" s="380" t="s">
        <v>771</v>
      </c>
      <c r="I3006" s="380" t="s">
        <v>784</v>
      </c>
      <c r="J3006" s="380" t="s">
        <v>773</v>
      </c>
      <c r="K3006" s="381">
        <v>0.0</v>
      </c>
      <c r="L3006" s="382">
        <v>1.0</v>
      </c>
    </row>
    <row r="3007">
      <c r="A3007" s="380" t="s">
        <v>3870</v>
      </c>
      <c r="B3007" s="380" t="str">
        <f>IFERROR(__xludf.DUMMYFUNCTION("""COMPUTED_VALUE"""),"Llave Mixta 11 Mm Tipo B")</f>
        <v>Llave Mixta 11 Mm Tipo B</v>
      </c>
      <c r="C3007" s="380" t="str">
        <f>IFERROR(__xludf.DUMMYFUNCTION("""COMPUTED_VALUE"""),"50000622")</f>
        <v>50000622</v>
      </c>
      <c r="D3007" s="380" t="s">
        <v>767</v>
      </c>
      <c r="E3007" s="380" t="s">
        <v>781</v>
      </c>
      <c r="F3007" s="380" t="s">
        <v>782</v>
      </c>
      <c r="G3007" s="380" t="s">
        <v>1267</v>
      </c>
      <c r="H3007" s="380" t="s">
        <v>771</v>
      </c>
      <c r="I3007" s="380" t="s">
        <v>784</v>
      </c>
      <c r="J3007" s="380" t="s">
        <v>773</v>
      </c>
      <c r="K3007" s="381">
        <v>0.0</v>
      </c>
      <c r="L3007" s="382">
        <v>1.0</v>
      </c>
    </row>
    <row r="3008">
      <c r="A3008" s="380" t="s">
        <v>3871</v>
      </c>
      <c r="B3008" s="380" t="str">
        <f>IFERROR(__xludf.DUMMYFUNCTION("""COMPUTED_VALUE"""),"Copa Cuadrante 1 X 33mm Tipo B")</f>
        <v>Copa Cuadrante 1 X 33mm Tipo B</v>
      </c>
      <c r="C3008" s="380" t="str">
        <f>IFERROR(__xludf.DUMMYFUNCTION("""COMPUTED_VALUE"""),"50000623")</f>
        <v>50000623</v>
      </c>
      <c r="D3008" s="380" t="s">
        <v>767</v>
      </c>
      <c r="E3008" s="380" t="s">
        <v>781</v>
      </c>
      <c r="F3008" s="380" t="s">
        <v>782</v>
      </c>
      <c r="G3008" s="380" t="s">
        <v>1267</v>
      </c>
      <c r="H3008" s="380" t="s">
        <v>771</v>
      </c>
      <c r="I3008" s="380" t="s">
        <v>784</v>
      </c>
      <c r="J3008" s="380" t="s">
        <v>773</v>
      </c>
      <c r="K3008" s="381">
        <v>0.0</v>
      </c>
      <c r="L3008" s="382">
        <v>1.0</v>
      </c>
    </row>
    <row r="3009">
      <c r="A3009" s="380" t="s">
        <v>3872</v>
      </c>
      <c r="B3009" s="380" t="str">
        <f>IFERROR(__xludf.DUMMYFUNCTION("""COMPUTED_VALUE"""),"Llave Llave Boca Fija 5/8 X 9/16 Tipo B")</f>
        <v>Llave Llave Boca Fija 5/8 X 9/16 Tipo B</v>
      </c>
      <c r="C3009" s="380" t="str">
        <f>IFERROR(__xludf.DUMMYFUNCTION("""COMPUTED_VALUE"""),"50000624")</f>
        <v>50000624</v>
      </c>
      <c r="D3009" s="380" t="s">
        <v>767</v>
      </c>
      <c r="E3009" s="380" t="s">
        <v>781</v>
      </c>
      <c r="F3009" s="380" t="s">
        <v>782</v>
      </c>
      <c r="G3009" s="380" t="s">
        <v>1267</v>
      </c>
      <c r="H3009" s="380" t="s">
        <v>771</v>
      </c>
      <c r="I3009" s="380" t="s">
        <v>784</v>
      </c>
      <c r="J3009" s="380" t="s">
        <v>773</v>
      </c>
      <c r="K3009" s="381">
        <v>0.0</v>
      </c>
      <c r="L3009" s="382">
        <v>1.0</v>
      </c>
    </row>
    <row r="3010">
      <c r="A3010" s="380" t="s">
        <v>3873</v>
      </c>
      <c r="B3010" s="380" t="str">
        <f>IFERROR(__xludf.DUMMYFUNCTION("""COMPUTED_VALUE"""),"Copa Cuadrante 1/2 X 13mm Tipo B")</f>
        <v>Copa Cuadrante 1/2 X 13mm Tipo B</v>
      </c>
      <c r="C3010" s="380" t="str">
        <f>IFERROR(__xludf.DUMMYFUNCTION("""COMPUTED_VALUE"""),"50000625")</f>
        <v>50000625</v>
      </c>
      <c r="D3010" s="380" t="s">
        <v>767</v>
      </c>
      <c r="E3010" s="380" t="s">
        <v>781</v>
      </c>
      <c r="F3010" s="380" t="s">
        <v>782</v>
      </c>
      <c r="G3010" s="380" t="s">
        <v>1267</v>
      </c>
      <c r="H3010" s="380" t="s">
        <v>771</v>
      </c>
      <c r="I3010" s="380" t="s">
        <v>784</v>
      </c>
      <c r="J3010" s="380" t="s">
        <v>773</v>
      </c>
      <c r="K3010" s="381">
        <v>0.0</v>
      </c>
      <c r="L3010" s="382">
        <v>1.0</v>
      </c>
    </row>
    <row r="3011">
      <c r="A3011" s="380" t="s">
        <v>3874</v>
      </c>
      <c r="B3011" s="380" t="str">
        <f>IFERROR(__xludf.DUMMYFUNCTION("""COMPUTED_VALUE"""),"Copa Cuadrante 1/2 X 30mm Proto")</f>
        <v>Copa Cuadrante 1/2 X 30mm Proto</v>
      </c>
      <c r="C3011" s="380" t="str">
        <f>IFERROR(__xludf.DUMMYFUNCTION("""COMPUTED_VALUE"""),"50000626")</f>
        <v>50000626</v>
      </c>
      <c r="D3011" s="380" t="s">
        <v>767</v>
      </c>
      <c r="E3011" s="380" t="s">
        <v>781</v>
      </c>
      <c r="F3011" s="380" t="s">
        <v>782</v>
      </c>
      <c r="G3011" s="380" t="s">
        <v>1267</v>
      </c>
      <c r="H3011" s="380" t="s">
        <v>771</v>
      </c>
      <c r="I3011" s="380" t="s">
        <v>784</v>
      </c>
      <c r="J3011" s="380" t="s">
        <v>773</v>
      </c>
      <c r="K3011" s="381">
        <v>0.0</v>
      </c>
      <c r="L3011" s="382">
        <v>1.0</v>
      </c>
    </row>
    <row r="3012">
      <c r="A3012" s="380" t="s">
        <v>3875</v>
      </c>
      <c r="B3012" s="380" t="str">
        <f>IFERROR(__xludf.DUMMYFUNCTION("""COMPUTED_VALUE"""),"Copa Cuadrante 1/2 X 36mm Proto")</f>
        <v>Copa Cuadrante 1/2 X 36mm Proto</v>
      </c>
      <c r="C3012" s="380" t="str">
        <f>IFERROR(__xludf.DUMMYFUNCTION("""COMPUTED_VALUE"""),"50000627")</f>
        <v>50000627</v>
      </c>
      <c r="D3012" s="380" t="s">
        <v>767</v>
      </c>
      <c r="E3012" s="380" t="s">
        <v>781</v>
      </c>
      <c r="F3012" s="380" t="s">
        <v>782</v>
      </c>
      <c r="G3012" s="380" t="s">
        <v>1267</v>
      </c>
      <c r="H3012" s="380" t="s">
        <v>771</v>
      </c>
      <c r="I3012" s="380" t="s">
        <v>784</v>
      </c>
      <c r="J3012" s="380" t="s">
        <v>773</v>
      </c>
      <c r="K3012" s="381">
        <v>0.0</v>
      </c>
      <c r="L3012" s="382">
        <v>1.0</v>
      </c>
    </row>
    <row r="3013">
      <c r="A3013" s="380" t="s">
        <v>3876</v>
      </c>
      <c r="B3013" s="380" t="str">
        <f>IFERROR(__xludf.DUMMYFUNCTION("""COMPUTED_VALUE"""),"Llave De Tubo 24"" Urrea")</f>
        <v>Llave De Tubo 24" Urrea</v>
      </c>
      <c r="C3013" s="380" t="str">
        <f>IFERROR(__xludf.DUMMYFUNCTION("""COMPUTED_VALUE"""),"50000628")</f>
        <v>50000628</v>
      </c>
      <c r="D3013" s="380" t="s">
        <v>767</v>
      </c>
      <c r="E3013" s="380" t="s">
        <v>781</v>
      </c>
      <c r="F3013" s="380" t="s">
        <v>782</v>
      </c>
      <c r="G3013" s="380" t="s">
        <v>1267</v>
      </c>
      <c r="H3013" s="380" t="s">
        <v>771</v>
      </c>
      <c r="I3013" s="380" t="s">
        <v>784</v>
      </c>
      <c r="J3013" s="380" t="s">
        <v>773</v>
      </c>
      <c r="K3013" s="381">
        <v>0.0</v>
      </c>
      <c r="L3013" s="382">
        <v>1.0</v>
      </c>
    </row>
    <row r="3014">
      <c r="A3014" s="380" t="s">
        <v>3877</v>
      </c>
      <c r="B3014" s="380" t="str">
        <f>IFERROR(__xludf.DUMMYFUNCTION("""COMPUTED_VALUE"""),"Palanca Fuerza Cuadrante 1/2 X 16"" Tipo")</f>
        <v>Palanca Fuerza Cuadrante 1/2 X 16" Tipo</v>
      </c>
      <c r="C3014" s="380" t="str">
        <f>IFERROR(__xludf.DUMMYFUNCTION("""COMPUTED_VALUE"""),"50000629")</f>
        <v>50000629</v>
      </c>
      <c r="D3014" s="380" t="s">
        <v>767</v>
      </c>
      <c r="E3014" s="380" t="s">
        <v>781</v>
      </c>
      <c r="F3014" s="380" t="s">
        <v>782</v>
      </c>
      <c r="G3014" s="380" t="s">
        <v>1267</v>
      </c>
      <c r="H3014" s="380" t="s">
        <v>771</v>
      </c>
      <c r="I3014" s="380" t="s">
        <v>784</v>
      </c>
      <c r="J3014" s="380" t="s">
        <v>773</v>
      </c>
      <c r="K3014" s="381">
        <v>0.0</v>
      </c>
      <c r="L3014" s="382">
        <v>1.0</v>
      </c>
    </row>
    <row r="3015">
      <c r="A3015" s="380" t="s">
        <v>3878</v>
      </c>
      <c r="B3015" s="380" t="str">
        <f>IFERROR(__xludf.DUMMYFUNCTION("""COMPUTED_VALUE"""),"Cruceta Pernos Universal")</f>
        <v>Cruceta Pernos Universal</v>
      </c>
      <c r="C3015" s="380" t="str">
        <f>IFERROR(__xludf.DUMMYFUNCTION("""COMPUTED_VALUE"""),"50000630")</f>
        <v>50000630</v>
      </c>
      <c r="D3015" s="380" t="s">
        <v>767</v>
      </c>
      <c r="E3015" s="380" t="s">
        <v>781</v>
      </c>
      <c r="F3015" s="380" t="s">
        <v>782</v>
      </c>
      <c r="G3015" s="380" t="s">
        <v>1267</v>
      </c>
      <c r="H3015" s="380" t="s">
        <v>771</v>
      </c>
      <c r="I3015" s="380" t="s">
        <v>784</v>
      </c>
      <c r="J3015" s="380" t="s">
        <v>773</v>
      </c>
      <c r="K3015" s="381">
        <v>0.0</v>
      </c>
      <c r="L3015" s="382">
        <v>1.0</v>
      </c>
    </row>
    <row r="3016">
      <c r="A3016" s="380" t="s">
        <v>3879</v>
      </c>
      <c r="B3016" s="380" t="str">
        <f>IFERROR(__xludf.DUMMYFUNCTION("""COMPUTED_VALUE"""),"Llave Punta Torx T-7")</f>
        <v>Llave Punta Torx T-7</v>
      </c>
      <c r="C3016" s="380" t="str">
        <f>IFERROR(__xludf.DUMMYFUNCTION("""COMPUTED_VALUE"""),"50000631")</f>
        <v>50000631</v>
      </c>
      <c r="D3016" s="380" t="s">
        <v>767</v>
      </c>
      <c r="E3016" s="380" t="s">
        <v>781</v>
      </c>
      <c r="F3016" s="380" t="s">
        <v>782</v>
      </c>
      <c r="G3016" s="380" t="s">
        <v>1267</v>
      </c>
      <c r="H3016" s="380" t="s">
        <v>771</v>
      </c>
      <c r="I3016" s="380" t="s">
        <v>784</v>
      </c>
      <c r="J3016" s="380" t="s">
        <v>773</v>
      </c>
      <c r="K3016" s="381">
        <v>0.0</v>
      </c>
      <c r="L3016" s="382">
        <v>1.0</v>
      </c>
    </row>
    <row r="3017">
      <c r="A3017" s="380" t="s">
        <v>3880</v>
      </c>
      <c r="B3017" s="380" t="str">
        <f>IFERROR(__xludf.DUMMYFUNCTION("""COMPUTED_VALUE"""),"Destornillador Impacto Cuadrante 1/2")</f>
        <v>Destornillador Impacto Cuadrante 1/2</v>
      </c>
      <c r="C3017" s="380" t="str">
        <f>IFERROR(__xludf.DUMMYFUNCTION("""COMPUTED_VALUE"""),"50000632")</f>
        <v>50000632</v>
      </c>
      <c r="D3017" s="380" t="s">
        <v>767</v>
      </c>
      <c r="E3017" s="380" t="s">
        <v>781</v>
      </c>
      <c r="F3017" s="380" t="s">
        <v>782</v>
      </c>
      <c r="G3017" s="380" t="s">
        <v>1267</v>
      </c>
      <c r="H3017" s="380" t="s">
        <v>771</v>
      </c>
      <c r="I3017" s="380" t="s">
        <v>784</v>
      </c>
      <c r="J3017" s="380" t="s">
        <v>773</v>
      </c>
      <c r="K3017" s="381">
        <v>0.0</v>
      </c>
      <c r="L3017" s="382">
        <v>1.0</v>
      </c>
    </row>
    <row r="3018">
      <c r="A3018" s="380" t="s">
        <v>3881</v>
      </c>
      <c r="B3018" s="380" t="str">
        <f>IFERROR(__xludf.DUMMYFUNCTION("""COMPUTED_VALUE"""),"Copa Larga Cuadrante 3/8 X 14mm Tipo B")</f>
        <v>Copa Larga Cuadrante 3/8 X 14mm Tipo B</v>
      </c>
      <c r="C3018" s="380" t="str">
        <f>IFERROR(__xludf.DUMMYFUNCTION("""COMPUTED_VALUE"""),"50000633")</f>
        <v>50000633</v>
      </c>
      <c r="D3018" s="380" t="s">
        <v>767</v>
      </c>
      <c r="E3018" s="380" t="s">
        <v>781</v>
      </c>
      <c r="F3018" s="380" t="s">
        <v>782</v>
      </c>
      <c r="G3018" s="380" t="s">
        <v>1267</v>
      </c>
      <c r="H3018" s="380" t="s">
        <v>771</v>
      </c>
      <c r="I3018" s="380" t="s">
        <v>784</v>
      </c>
      <c r="J3018" s="380" t="s">
        <v>773</v>
      </c>
      <c r="K3018" s="381">
        <v>0.0</v>
      </c>
      <c r="L3018" s="382">
        <v>1.0</v>
      </c>
    </row>
    <row r="3019">
      <c r="A3019" s="380" t="s">
        <v>3882</v>
      </c>
      <c r="B3019" s="380" t="str">
        <f>IFERROR(__xludf.DUMMYFUNCTION("""COMPUTED_VALUE"""),"Palanca Fuerza Cuadrante 3/4 X 19"" Tipo")</f>
        <v>Palanca Fuerza Cuadrante 3/4 X 19" Tipo</v>
      </c>
      <c r="C3019" s="380" t="str">
        <f>IFERROR(__xludf.DUMMYFUNCTION("""COMPUTED_VALUE"""),"50000634")</f>
        <v>50000634</v>
      </c>
      <c r="D3019" s="380" t="s">
        <v>767</v>
      </c>
      <c r="E3019" s="380" t="s">
        <v>781</v>
      </c>
      <c r="F3019" s="380" t="s">
        <v>782</v>
      </c>
      <c r="G3019" s="380" t="s">
        <v>1267</v>
      </c>
      <c r="H3019" s="380" t="s">
        <v>771</v>
      </c>
      <c r="I3019" s="380" t="s">
        <v>784</v>
      </c>
      <c r="J3019" s="380" t="s">
        <v>773</v>
      </c>
      <c r="K3019" s="381">
        <v>0.0</v>
      </c>
      <c r="L3019" s="382">
        <v>1.0</v>
      </c>
    </row>
    <row r="3020">
      <c r="A3020" s="380" t="s">
        <v>3883</v>
      </c>
      <c r="B3020" s="380" t="str">
        <f>IFERROR(__xludf.DUMMYFUNCTION("""COMPUTED_VALUE"""),"Pinza Pin De Ojo")</f>
        <v>Pinza Pin De Ojo</v>
      </c>
      <c r="C3020" s="380" t="str">
        <f>IFERROR(__xludf.DUMMYFUNCTION("""COMPUTED_VALUE"""),"50000635")</f>
        <v>50000635</v>
      </c>
      <c r="D3020" s="380" t="s">
        <v>767</v>
      </c>
      <c r="E3020" s="380" t="s">
        <v>781</v>
      </c>
      <c r="F3020" s="380" t="s">
        <v>782</v>
      </c>
      <c r="G3020" s="380" t="s">
        <v>1267</v>
      </c>
      <c r="H3020" s="380" t="s">
        <v>771</v>
      </c>
      <c r="I3020" s="380" t="s">
        <v>784</v>
      </c>
      <c r="J3020" s="380" t="s">
        <v>773</v>
      </c>
      <c r="K3020" s="381">
        <v>0.0</v>
      </c>
      <c r="L3020" s="382">
        <v>1.0</v>
      </c>
    </row>
    <row r="3021">
      <c r="A3021" s="380" t="s">
        <v>3884</v>
      </c>
      <c r="B3021" s="380" t="str">
        <f>IFERROR(__xludf.DUMMYFUNCTION("""COMPUTED_VALUE"""),"Destornillador Pala 1/4 X 1"" Snapon")</f>
        <v>Destornillador Pala 1/4 X 1" Snapon</v>
      </c>
      <c r="C3021" s="380" t="str">
        <f>IFERROR(__xludf.DUMMYFUNCTION("""COMPUTED_VALUE"""),"50000636")</f>
        <v>50000636</v>
      </c>
      <c r="D3021" s="380" t="s">
        <v>767</v>
      </c>
      <c r="E3021" s="380" t="s">
        <v>781</v>
      </c>
      <c r="F3021" s="380" t="s">
        <v>782</v>
      </c>
      <c r="G3021" s="380" t="s">
        <v>1267</v>
      </c>
      <c r="H3021" s="380" t="s">
        <v>771</v>
      </c>
      <c r="I3021" s="380" t="s">
        <v>784</v>
      </c>
      <c r="J3021" s="380" t="s">
        <v>773</v>
      </c>
      <c r="K3021" s="381">
        <v>0.0</v>
      </c>
      <c r="L3021" s="382">
        <v>1.0</v>
      </c>
    </row>
    <row r="3022">
      <c r="A3022" s="380" t="s">
        <v>3885</v>
      </c>
      <c r="B3022" s="380" t="str">
        <f>IFERROR(__xludf.DUMMYFUNCTION("""COMPUTED_VALUE"""),"Motortool Electrico")</f>
        <v>Motortool Electrico</v>
      </c>
      <c r="C3022" s="380" t="str">
        <f>IFERROR(__xludf.DUMMYFUNCTION("""COMPUTED_VALUE"""),"50000637")</f>
        <v>50000637</v>
      </c>
      <c r="D3022" s="380" t="s">
        <v>767</v>
      </c>
      <c r="E3022" s="380" t="s">
        <v>781</v>
      </c>
      <c r="F3022" s="380" t="s">
        <v>782</v>
      </c>
      <c r="G3022" s="380" t="s">
        <v>1267</v>
      </c>
      <c r="H3022" s="380" t="s">
        <v>771</v>
      </c>
      <c r="I3022" s="380" t="s">
        <v>784</v>
      </c>
      <c r="J3022" s="380" t="s">
        <v>773</v>
      </c>
      <c r="K3022" s="381">
        <v>0.0</v>
      </c>
      <c r="L3022" s="382">
        <v>1.0</v>
      </c>
    </row>
    <row r="3023">
      <c r="A3023" s="380" t="s">
        <v>3886</v>
      </c>
      <c r="B3023" s="380" t="str">
        <f>IFERROR(__xludf.DUMMYFUNCTION("""COMPUTED_VALUE"""),"Copa Impacto Cuadrante 1/2 X 1/2 Snapon")</f>
        <v>Copa Impacto Cuadrante 1/2 X 1/2 Snapon</v>
      </c>
      <c r="C3023" s="380" t="str">
        <f>IFERROR(__xludf.DUMMYFUNCTION("""COMPUTED_VALUE"""),"50000638")</f>
        <v>50000638</v>
      </c>
      <c r="D3023" s="380" t="s">
        <v>767</v>
      </c>
      <c r="E3023" s="380" t="s">
        <v>781</v>
      </c>
      <c r="F3023" s="380" t="s">
        <v>782</v>
      </c>
      <c r="G3023" s="380" t="s">
        <v>1267</v>
      </c>
      <c r="H3023" s="380" t="s">
        <v>771</v>
      </c>
      <c r="I3023" s="380" t="s">
        <v>784</v>
      </c>
      <c r="J3023" s="380" t="s">
        <v>773</v>
      </c>
      <c r="K3023" s="381">
        <v>0.0</v>
      </c>
      <c r="L3023" s="382">
        <v>1.0</v>
      </c>
    </row>
    <row r="3024">
      <c r="A3024" s="380" t="s">
        <v>3887</v>
      </c>
      <c r="B3024" s="380" t="str">
        <f>IFERROR(__xludf.DUMMYFUNCTION("""COMPUTED_VALUE"""),"Copa Cuadrante 3/4 X 7/8 Snapon")</f>
        <v>Copa Cuadrante 3/4 X 7/8 Snapon</v>
      </c>
      <c r="C3024" s="380" t="str">
        <f>IFERROR(__xludf.DUMMYFUNCTION("""COMPUTED_VALUE"""),"50000639")</f>
        <v>50000639</v>
      </c>
      <c r="D3024" s="380" t="s">
        <v>767</v>
      </c>
      <c r="E3024" s="380" t="s">
        <v>781</v>
      </c>
      <c r="F3024" s="380" t="s">
        <v>782</v>
      </c>
      <c r="G3024" s="380" t="s">
        <v>1267</v>
      </c>
      <c r="H3024" s="380" t="s">
        <v>771</v>
      </c>
      <c r="I3024" s="380" t="s">
        <v>784</v>
      </c>
      <c r="J3024" s="380" t="s">
        <v>773</v>
      </c>
      <c r="K3024" s="381">
        <v>0.0</v>
      </c>
      <c r="L3024" s="382">
        <v>1.0</v>
      </c>
    </row>
    <row r="3025">
      <c r="A3025" s="380" t="s">
        <v>3888</v>
      </c>
      <c r="B3025" s="380" t="str">
        <f>IFERROR(__xludf.DUMMYFUNCTION("""COMPUTED_VALUE"""),"Llave Boca Fija 16 X 18mm Snapon")</f>
        <v>Llave Boca Fija 16 X 18mm Snapon</v>
      </c>
      <c r="C3025" s="380" t="str">
        <f>IFERROR(__xludf.DUMMYFUNCTION("""COMPUTED_VALUE"""),"50000640")</f>
        <v>50000640</v>
      </c>
      <c r="D3025" s="380" t="s">
        <v>767</v>
      </c>
      <c r="E3025" s="380" t="s">
        <v>781</v>
      </c>
      <c r="F3025" s="380" t="s">
        <v>782</v>
      </c>
      <c r="G3025" s="380" t="s">
        <v>1267</v>
      </c>
      <c r="H3025" s="380" t="s">
        <v>771</v>
      </c>
      <c r="I3025" s="380" t="s">
        <v>784</v>
      </c>
      <c r="J3025" s="380" t="s">
        <v>773</v>
      </c>
      <c r="K3025" s="381">
        <v>0.0</v>
      </c>
      <c r="L3025" s="382">
        <v>1.0</v>
      </c>
    </row>
    <row r="3026">
      <c r="A3026" s="380" t="s">
        <v>3889</v>
      </c>
      <c r="B3026" s="380" t="str">
        <f>IFERROR(__xludf.DUMMYFUNCTION("""COMPUTED_VALUE"""),"Llav Llave Estrella 1 1/2 X 1 7/16 Proto")</f>
        <v>Llav Llave Estrella 1 1/2 X 1 7/16 Proto</v>
      </c>
      <c r="C3026" s="380" t="str">
        <f>IFERROR(__xludf.DUMMYFUNCTION("""COMPUTED_VALUE"""),"50000641")</f>
        <v>50000641</v>
      </c>
      <c r="D3026" s="380" t="s">
        <v>767</v>
      </c>
      <c r="E3026" s="380" t="s">
        <v>781</v>
      </c>
      <c r="F3026" s="380" t="s">
        <v>782</v>
      </c>
      <c r="G3026" s="380" t="s">
        <v>1267</v>
      </c>
      <c r="H3026" s="380" t="s">
        <v>771</v>
      </c>
      <c r="I3026" s="380" t="s">
        <v>784</v>
      </c>
      <c r="J3026" s="380" t="s">
        <v>773</v>
      </c>
      <c r="K3026" s="381">
        <v>0.0</v>
      </c>
      <c r="L3026" s="382">
        <v>1.0</v>
      </c>
    </row>
    <row r="3027">
      <c r="A3027" s="380" t="s">
        <v>3890</v>
      </c>
      <c r="B3027" s="380" t="str">
        <f>IFERROR(__xludf.DUMMYFUNCTION("""COMPUTED_VALUE"""),"Llave Mixta 30mm Proto")</f>
        <v>Llave Mixta 30mm Proto</v>
      </c>
      <c r="C3027" s="380" t="str">
        <f>IFERROR(__xludf.DUMMYFUNCTION("""COMPUTED_VALUE"""),"50000642")</f>
        <v>50000642</v>
      </c>
      <c r="D3027" s="380" t="s">
        <v>767</v>
      </c>
      <c r="E3027" s="380" t="s">
        <v>781</v>
      </c>
      <c r="F3027" s="380" t="s">
        <v>782</v>
      </c>
      <c r="G3027" s="380" t="s">
        <v>1267</v>
      </c>
      <c r="H3027" s="380" t="s">
        <v>771</v>
      </c>
      <c r="I3027" s="380" t="s">
        <v>784</v>
      </c>
      <c r="J3027" s="380" t="s">
        <v>773</v>
      </c>
      <c r="K3027" s="381">
        <v>0.0</v>
      </c>
      <c r="L3027" s="382">
        <v>1.0</v>
      </c>
    </row>
    <row r="3028">
      <c r="A3028" s="380" t="s">
        <v>3891</v>
      </c>
      <c r="B3028" s="380" t="str">
        <f>IFERROR(__xludf.DUMMYFUNCTION("""COMPUTED_VALUE"""),"Palanca Fuerza Cuadrante 3/4 X 16 Proto")</f>
        <v>Palanca Fuerza Cuadrante 3/4 X 16 Proto</v>
      </c>
      <c r="C3028" s="380" t="str">
        <f>IFERROR(__xludf.DUMMYFUNCTION("""COMPUTED_VALUE"""),"50000643")</f>
        <v>50000643</v>
      </c>
      <c r="D3028" s="380" t="s">
        <v>767</v>
      </c>
      <c r="E3028" s="380" t="s">
        <v>781</v>
      </c>
      <c r="F3028" s="380" t="s">
        <v>782</v>
      </c>
      <c r="G3028" s="380" t="s">
        <v>1267</v>
      </c>
      <c r="H3028" s="380" t="s">
        <v>771</v>
      </c>
      <c r="I3028" s="380" t="s">
        <v>784</v>
      </c>
      <c r="J3028" s="380" t="s">
        <v>773</v>
      </c>
      <c r="K3028" s="381">
        <v>0.0</v>
      </c>
      <c r="L3028" s="382">
        <v>1.0</v>
      </c>
    </row>
    <row r="3029">
      <c r="A3029" s="380" t="s">
        <v>3892</v>
      </c>
      <c r="B3029" s="380" t="str">
        <f>IFERROR(__xludf.DUMMYFUNCTION("""COMPUTED_VALUE"""),"Reduccion 3/4 A 1/2 Tipo B")</f>
        <v>Reduccion 3/4 A 1/2 Tipo B</v>
      </c>
      <c r="C3029" s="380" t="str">
        <f>IFERROR(__xludf.DUMMYFUNCTION("""COMPUTED_VALUE"""),"50000644")</f>
        <v>50000644</v>
      </c>
      <c r="D3029" s="380" t="s">
        <v>767</v>
      </c>
      <c r="E3029" s="380" t="s">
        <v>781</v>
      </c>
      <c r="F3029" s="380" t="s">
        <v>782</v>
      </c>
      <c r="G3029" s="380" t="s">
        <v>1267</v>
      </c>
      <c r="H3029" s="380" t="s">
        <v>771</v>
      </c>
      <c r="I3029" s="380" t="s">
        <v>784</v>
      </c>
      <c r="J3029" s="380" t="s">
        <v>773</v>
      </c>
      <c r="K3029" s="381">
        <v>0.0</v>
      </c>
      <c r="L3029" s="382">
        <v>1.0</v>
      </c>
    </row>
    <row r="3030">
      <c r="A3030" s="380" t="s">
        <v>3893</v>
      </c>
      <c r="B3030" s="380" t="str">
        <f>IFERROR(__xludf.DUMMYFUNCTION("""COMPUTED_VALUE"""),"Lima Redonda 1/4 X 9""")</f>
        <v>Lima Redonda 1/4 X 9"</v>
      </c>
      <c r="C3030" s="380" t="str">
        <f>IFERROR(__xludf.DUMMYFUNCTION("""COMPUTED_VALUE"""),"50000645")</f>
        <v>50000645</v>
      </c>
      <c r="D3030" s="380" t="s">
        <v>767</v>
      </c>
      <c r="E3030" s="380" t="s">
        <v>781</v>
      </c>
      <c r="F3030" s="380" t="s">
        <v>782</v>
      </c>
      <c r="G3030" s="380" t="s">
        <v>1267</v>
      </c>
      <c r="H3030" s="380" t="s">
        <v>771</v>
      </c>
      <c r="I3030" s="380" t="s">
        <v>784</v>
      </c>
      <c r="J3030" s="380" t="s">
        <v>773</v>
      </c>
      <c r="K3030" s="381">
        <v>0.0</v>
      </c>
      <c r="L3030" s="382">
        <v>1.0</v>
      </c>
    </row>
    <row r="3031">
      <c r="A3031" s="380" t="s">
        <v>3894</v>
      </c>
      <c r="B3031" s="380" t="str">
        <f>IFERROR(__xludf.DUMMYFUNCTION("""COMPUTED_VALUE"""),"Bomba Fumigacion")</f>
        <v>Bomba Fumigacion</v>
      </c>
      <c r="C3031" s="380" t="str">
        <f>IFERROR(__xludf.DUMMYFUNCTION("""COMPUTED_VALUE"""),"50000646")</f>
        <v>50000646</v>
      </c>
      <c r="D3031" s="380" t="s">
        <v>767</v>
      </c>
      <c r="E3031" s="380" t="s">
        <v>781</v>
      </c>
      <c r="F3031" s="380" t="s">
        <v>782</v>
      </c>
      <c r="G3031" s="380" t="s">
        <v>1267</v>
      </c>
      <c r="H3031" s="380" t="s">
        <v>771</v>
      </c>
      <c r="I3031" s="380" t="s">
        <v>784</v>
      </c>
      <c r="J3031" s="380" t="s">
        <v>773</v>
      </c>
      <c r="K3031" s="381">
        <v>0.0</v>
      </c>
      <c r="L3031" s="382">
        <v>1.0</v>
      </c>
    </row>
    <row r="3032">
      <c r="A3032" s="380" t="s">
        <v>3895</v>
      </c>
      <c r="B3032" s="380" t="str">
        <f>IFERROR(__xludf.DUMMYFUNCTION("""COMPUTED_VALUE"""),"Azadon")</f>
        <v>Azadon</v>
      </c>
      <c r="C3032" s="380" t="str">
        <f>IFERROR(__xludf.DUMMYFUNCTION("""COMPUTED_VALUE"""),"50000647")</f>
        <v>50000647</v>
      </c>
      <c r="D3032" s="380" t="s">
        <v>767</v>
      </c>
      <c r="E3032" s="380" t="s">
        <v>781</v>
      </c>
      <c r="F3032" s="380" t="s">
        <v>782</v>
      </c>
      <c r="G3032" s="380" t="s">
        <v>1267</v>
      </c>
      <c r="H3032" s="380" t="s">
        <v>771</v>
      </c>
      <c r="I3032" s="380" t="s">
        <v>784</v>
      </c>
      <c r="J3032" s="380" t="s">
        <v>773</v>
      </c>
      <c r="K3032" s="381">
        <v>0.0</v>
      </c>
      <c r="L3032" s="382">
        <v>1.0</v>
      </c>
    </row>
    <row r="3033">
      <c r="A3033" s="380" t="s">
        <v>3896</v>
      </c>
      <c r="B3033" s="380" t="str">
        <f>IFERROR(__xludf.DUMMYFUNCTION("""COMPUTED_VALUE"""),"Pala Sencilla")</f>
        <v>Pala Sencilla</v>
      </c>
      <c r="C3033" s="380" t="str">
        <f>IFERROR(__xludf.DUMMYFUNCTION("""COMPUTED_VALUE"""),"50000648")</f>
        <v>50000648</v>
      </c>
      <c r="D3033" s="380" t="s">
        <v>767</v>
      </c>
      <c r="E3033" s="380" t="s">
        <v>781</v>
      </c>
      <c r="F3033" s="380" t="s">
        <v>782</v>
      </c>
      <c r="G3033" s="380" t="s">
        <v>1267</v>
      </c>
      <c r="H3033" s="380" t="s">
        <v>771</v>
      </c>
      <c r="I3033" s="380" t="s">
        <v>784</v>
      </c>
      <c r="J3033" s="380" t="s">
        <v>773</v>
      </c>
      <c r="K3033" s="381">
        <v>0.0</v>
      </c>
      <c r="L3033" s="382">
        <v>1.0</v>
      </c>
    </row>
    <row r="3034">
      <c r="A3034" s="380" t="s">
        <v>3897</v>
      </c>
      <c r="B3034" s="380" t="str">
        <f>IFERROR(__xludf.DUMMYFUNCTION("""COMPUTED_VALUE"""),"Pala Escavadora")</f>
        <v>Pala Escavadora</v>
      </c>
      <c r="C3034" s="380" t="str">
        <f>IFERROR(__xludf.DUMMYFUNCTION("""COMPUTED_VALUE"""),"50000649")</f>
        <v>50000649</v>
      </c>
      <c r="D3034" s="380" t="s">
        <v>767</v>
      </c>
      <c r="E3034" s="380" t="s">
        <v>781</v>
      </c>
      <c r="F3034" s="380" t="s">
        <v>782</v>
      </c>
      <c r="G3034" s="380" t="s">
        <v>1267</v>
      </c>
      <c r="H3034" s="380" t="s">
        <v>771</v>
      </c>
      <c r="I3034" s="380" t="s">
        <v>784</v>
      </c>
      <c r="J3034" s="380" t="s">
        <v>773</v>
      </c>
      <c r="K3034" s="381">
        <v>0.0</v>
      </c>
      <c r="L3034" s="382">
        <v>1.0</v>
      </c>
    </row>
    <row r="3035">
      <c r="A3035" s="380" t="s">
        <v>3898</v>
      </c>
      <c r="B3035" s="380" t="str">
        <f>IFERROR(__xludf.DUMMYFUNCTION("""COMPUTED_VALUE"""),"Llave Hexagona 5/16 Proto")</f>
        <v>Llave Hexagona 5/16 Proto</v>
      </c>
      <c r="C3035" s="380" t="str">
        <f>IFERROR(__xludf.DUMMYFUNCTION("""COMPUTED_VALUE"""),"50000650")</f>
        <v>50000650</v>
      </c>
      <c r="D3035" s="380" t="s">
        <v>767</v>
      </c>
      <c r="E3035" s="380" t="s">
        <v>781</v>
      </c>
      <c r="F3035" s="380" t="s">
        <v>782</v>
      </c>
      <c r="G3035" s="380" t="s">
        <v>1267</v>
      </c>
      <c r="H3035" s="380" t="s">
        <v>771</v>
      </c>
      <c r="I3035" s="380" t="s">
        <v>784</v>
      </c>
      <c r="J3035" s="380" t="s">
        <v>773</v>
      </c>
      <c r="K3035" s="381">
        <v>0.0</v>
      </c>
      <c r="L3035" s="382">
        <v>1.0</v>
      </c>
    </row>
    <row r="3036">
      <c r="A3036" s="380" t="s">
        <v>3899</v>
      </c>
      <c r="B3036" s="380" t="str">
        <f>IFERROR(__xludf.DUMMYFUNCTION("""COMPUTED_VALUE"""),"Palanca Fuerza Cuadrante 3/8 X 8"" Urrea")</f>
        <v>Palanca Fuerza Cuadrante 3/8 X 8" Urrea</v>
      </c>
      <c r="C3036" s="380" t="str">
        <f>IFERROR(__xludf.DUMMYFUNCTION("""COMPUTED_VALUE"""),"50000651")</f>
        <v>50000651</v>
      </c>
      <c r="D3036" s="380" t="s">
        <v>767</v>
      </c>
      <c r="E3036" s="380" t="s">
        <v>781</v>
      </c>
      <c r="F3036" s="380" t="s">
        <v>782</v>
      </c>
      <c r="G3036" s="380" t="s">
        <v>1267</v>
      </c>
      <c r="H3036" s="380" t="s">
        <v>771</v>
      </c>
      <c r="I3036" s="380" t="s">
        <v>784</v>
      </c>
      <c r="J3036" s="380" t="s">
        <v>773</v>
      </c>
      <c r="K3036" s="381">
        <v>0.0</v>
      </c>
      <c r="L3036" s="382">
        <v>1.0</v>
      </c>
    </row>
    <row r="3037">
      <c r="A3037" s="380" t="s">
        <v>3900</v>
      </c>
      <c r="B3037" s="380" t="str">
        <f>IFERROR(__xludf.DUMMYFUNCTION("""COMPUTED_VALUE"""),"Destornillador Pala 3/16 X 4"" Tipo A")</f>
        <v>Destornillador Pala 3/16 X 4" Tipo A</v>
      </c>
      <c r="C3037" s="380" t="str">
        <f>IFERROR(__xludf.DUMMYFUNCTION("""COMPUTED_VALUE"""),"50000652")</f>
        <v>50000652</v>
      </c>
      <c r="D3037" s="380" t="s">
        <v>767</v>
      </c>
      <c r="E3037" s="380" t="s">
        <v>781</v>
      </c>
      <c r="F3037" s="380" t="s">
        <v>782</v>
      </c>
      <c r="G3037" s="380" t="s">
        <v>1267</v>
      </c>
      <c r="H3037" s="380" t="s">
        <v>771</v>
      </c>
      <c r="I3037" s="380" t="s">
        <v>784</v>
      </c>
      <c r="J3037" s="380" t="s">
        <v>773</v>
      </c>
      <c r="K3037" s="381">
        <v>0.0</v>
      </c>
      <c r="L3037" s="382">
        <v>1.0</v>
      </c>
    </row>
    <row r="3038">
      <c r="A3038" s="380" t="s">
        <v>3901</v>
      </c>
      <c r="B3038" s="380" t="str">
        <f>IFERROR(__xludf.DUMMYFUNCTION("""COMPUTED_VALUE"""),"Destornillador Pala 3/16 X 3"" Tipo A")</f>
        <v>Destornillador Pala 3/16 X 3" Tipo A</v>
      </c>
      <c r="C3038" s="380" t="str">
        <f>IFERROR(__xludf.DUMMYFUNCTION("""COMPUTED_VALUE"""),"50000653")</f>
        <v>50000653</v>
      </c>
      <c r="D3038" s="380" t="s">
        <v>767</v>
      </c>
      <c r="E3038" s="380" t="s">
        <v>781</v>
      </c>
      <c r="F3038" s="380" t="s">
        <v>782</v>
      </c>
      <c r="G3038" s="380" t="s">
        <v>1267</v>
      </c>
      <c r="H3038" s="380" t="s">
        <v>771</v>
      </c>
      <c r="I3038" s="380" t="s">
        <v>784</v>
      </c>
      <c r="J3038" s="380" t="s">
        <v>773</v>
      </c>
      <c r="K3038" s="381">
        <v>0.0</v>
      </c>
      <c r="L3038" s="382">
        <v>1.0</v>
      </c>
    </row>
    <row r="3039">
      <c r="A3039" s="380" t="s">
        <v>3902</v>
      </c>
      <c r="B3039" s="380" t="str">
        <f>IFERROR(__xludf.DUMMYFUNCTION("""COMPUTED_VALUE"""),"Destornillador Estrella 1/4 X 3"" Snapon")</f>
        <v>Destornillador Estrella 1/4 X 3" Snapon</v>
      </c>
      <c r="C3039" s="380" t="str">
        <f>IFERROR(__xludf.DUMMYFUNCTION("""COMPUTED_VALUE"""),"50000654")</f>
        <v>50000654</v>
      </c>
      <c r="D3039" s="380" t="s">
        <v>767</v>
      </c>
      <c r="E3039" s="380" t="s">
        <v>781</v>
      </c>
      <c r="F3039" s="380" t="s">
        <v>782</v>
      </c>
      <c r="G3039" s="380" t="s">
        <v>1267</v>
      </c>
      <c r="H3039" s="380" t="s">
        <v>771</v>
      </c>
      <c r="I3039" s="380" t="s">
        <v>784</v>
      </c>
      <c r="J3039" s="380" t="s">
        <v>773</v>
      </c>
      <c r="K3039" s="381">
        <v>0.0</v>
      </c>
      <c r="L3039" s="382">
        <v>1.0</v>
      </c>
    </row>
    <row r="3040">
      <c r="A3040" s="380" t="s">
        <v>3903</v>
      </c>
      <c r="B3040" s="380" t="str">
        <f>IFERROR(__xludf.DUMMYFUNCTION("""COMPUTED_VALUE"""),"Destornillador Estrella 5/16 X 5"" Tipo A")</f>
        <v>Destornillador Estrella 5/16 X 5" Tipo A</v>
      </c>
      <c r="C3040" s="380" t="str">
        <f>IFERROR(__xludf.DUMMYFUNCTION("""COMPUTED_VALUE"""),"50000655")</f>
        <v>50000655</v>
      </c>
      <c r="D3040" s="380" t="s">
        <v>767</v>
      </c>
      <c r="E3040" s="380" t="s">
        <v>781</v>
      </c>
      <c r="F3040" s="380" t="s">
        <v>782</v>
      </c>
      <c r="G3040" s="380" t="s">
        <v>1267</v>
      </c>
      <c r="H3040" s="380" t="s">
        <v>771</v>
      </c>
      <c r="I3040" s="380" t="s">
        <v>784</v>
      </c>
      <c r="J3040" s="380" t="s">
        <v>773</v>
      </c>
      <c r="K3040" s="381">
        <v>0.0</v>
      </c>
      <c r="L3040" s="382">
        <v>1.0</v>
      </c>
    </row>
    <row r="3041">
      <c r="A3041" s="380" t="s">
        <v>3904</v>
      </c>
      <c r="B3041" s="380" t="str">
        <f>IFERROR(__xludf.DUMMYFUNCTION("""COMPUTED_VALUE"""),"Copa Larga Cuadrante 3/8 X 5/16 Snapon")</f>
        <v>Copa Larga Cuadrante 3/8 X 5/16 Snapon</v>
      </c>
      <c r="C3041" s="380" t="str">
        <f>IFERROR(__xludf.DUMMYFUNCTION("""COMPUTED_VALUE"""),"50000656")</f>
        <v>50000656</v>
      </c>
      <c r="D3041" s="380" t="s">
        <v>767</v>
      </c>
      <c r="E3041" s="380" t="s">
        <v>781</v>
      </c>
      <c r="F3041" s="380" t="s">
        <v>782</v>
      </c>
      <c r="G3041" s="380" t="s">
        <v>1267</v>
      </c>
      <c r="H3041" s="380" t="s">
        <v>771</v>
      </c>
      <c r="I3041" s="380" t="s">
        <v>784</v>
      </c>
      <c r="J3041" s="380" t="s">
        <v>773</v>
      </c>
      <c r="K3041" s="381">
        <v>0.0</v>
      </c>
      <c r="L3041" s="382">
        <v>1.0</v>
      </c>
    </row>
    <row r="3042">
      <c r="A3042" s="380" t="s">
        <v>3905</v>
      </c>
      <c r="B3042" s="380" t="str">
        <f>IFERROR(__xludf.DUMMYFUNCTION("""COMPUTED_VALUE"""),"Copa Larga Cuadrante 3/8 X 3/8 Snapon")</f>
        <v>Copa Larga Cuadrante 3/8 X 3/8 Snapon</v>
      </c>
      <c r="C3042" s="380" t="str">
        <f>IFERROR(__xludf.DUMMYFUNCTION("""COMPUTED_VALUE"""),"50000657")</f>
        <v>50000657</v>
      </c>
      <c r="D3042" s="380" t="s">
        <v>767</v>
      </c>
      <c r="E3042" s="380" t="s">
        <v>781</v>
      </c>
      <c r="F3042" s="380" t="s">
        <v>782</v>
      </c>
      <c r="G3042" s="380" t="s">
        <v>1267</v>
      </c>
      <c r="H3042" s="380" t="s">
        <v>771</v>
      </c>
      <c r="I3042" s="380" t="s">
        <v>784</v>
      </c>
      <c r="J3042" s="380" t="s">
        <v>773</v>
      </c>
      <c r="K3042" s="381">
        <v>0.0</v>
      </c>
      <c r="L3042" s="382">
        <v>1.0</v>
      </c>
    </row>
    <row r="3043">
      <c r="A3043" s="380" t="s">
        <v>3906</v>
      </c>
      <c r="B3043" s="380" t="str">
        <f>IFERROR(__xludf.DUMMYFUNCTION("""COMPUTED_VALUE"""),"Copa Larga Cuadrante 3/8 X 1/2 Snapon")</f>
        <v>Copa Larga Cuadrante 3/8 X 1/2 Snapon</v>
      </c>
      <c r="C3043" s="380" t="str">
        <f>IFERROR(__xludf.DUMMYFUNCTION("""COMPUTED_VALUE"""),"50000658")</f>
        <v>50000658</v>
      </c>
      <c r="D3043" s="380" t="s">
        <v>767</v>
      </c>
      <c r="E3043" s="380" t="s">
        <v>781</v>
      </c>
      <c r="F3043" s="380" t="s">
        <v>782</v>
      </c>
      <c r="G3043" s="380" t="s">
        <v>1267</v>
      </c>
      <c r="H3043" s="380" t="s">
        <v>771</v>
      </c>
      <c r="I3043" s="380" t="s">
        <v>784</v>
      </c>
      <c r="J3043" s="380" t="s">
        <v>773</v>
      </c>
      <c r="K3043" s="381">
        <v>0.0</v>
      </c>
      <c r="L3043" s="382">
        <v>1.0</v>
      </c>
    </row>
    <row r="3044">
      <c r="A3044" s="380" t="s">
        <v>3907</v>
      </c>
      <c r="B3044" s="380" t="str">
        <f>IFERROR(__xludf.DUMMYFUNCTION("""COMPUTED_VALUE"""),"Copa Larga Cuadrante 3/8 X 9/16 Snapon")</f>
        <v>Copa Larga Cuadrante 3/8 X 9/16 Snapon</v>
      </c>
      <c r="C3044" s="380" t="str">
        <f>IFERROR(__xludf.DUMMYFUNCTION("""COMPUTED_VALUE"""),"50000659")</f>
        <v>50000659</v>
      </c>
      <c r="D3044" s="380" t="s">
        <v>767</v>
      </c>
      <c r="E3044" s="380" t="s">
        <v>781</v>
      </c>
      <c r="F3044" s="380" t="s">
        <v>782</v>
      </c>
      <c r="G3044" s="380" t="s">
        <v>1267</v>
      </c>
      <c r="H3044" s="380" t="s">
        <v>771</v>
      </c>
      <c r="I3044" s="380" t="s">
        <v>784</v>
      </c>
      <c r="J3044" s="380" t="s">
        <v>773</v>
      </c>
      <c r="K3044" s="381">
        <v>0.0</v>
      </c>
      <c r="L3044" s="382">
        <v>1.0</v>
      </c>
    </row>
    <row r="3045">
      <c r="A3045" s="380" t="s">
        <v>3908</v>
      </c>
      <c r="B3045" s="380" t="str">
        <f>IFERROR(__xludf.DUMMYFUNCTION("""COMPUTED_VALUE"""),"Copa Larga Cuadrante 3/8 X 7/8 Snapon")</f>
        <v>Copa Larga Cuadrante 3/8 X 7/8 Snapon</v>
      </c>
      <c r="C3045" s="380" t="str">
        <f>IFERROR(__xludf.DUMMYFUNCTION("""COMPUTED_VALUE"""),"50000660")</f>
        <v>50000660</v>
      </c>
      <c r="D3045" s="380" t="s">
        <v>767</v>
      </c>
      <c r="E3045" s="380" t="s">
        <v>781</v>
      </c>
      <c r="F3045" s="380" t="s">
        <v>782</v>
      </c>
      <c r="G3045" s="380" t="s">
        <v>1267</v>
      </c>
      <c r="H3045" s="380" t="s">
        <v>771</v>
      </c>
      <c r="I3045" s="380" t="s">
        <v>784</v>
      </c>
      <c r="J3045" s="380" t="s">
        <v>773</v>
      </c>
      <c r="K3045" s="381">
        <v>0.0</v>
      </c>
      <c r="L3045" s="382">
        <v>1.0</v>
      </c>
    </row>
    <row r="3046">
      <c r="A3046" s="380" t="s">
        <v>3909</v>
      </c>
      <c r="B3046" s="380" t="str">
        <f>IFERROR(__xludf.DUMMYFUNCTION("""COMPUTED_VALUE"""),"Copa Larga Cuadrante 3/8 X 10mm Tipo B")</f>
        <v>Copa Larga Cuadrante 3/8 X 10mm Tipo B</v>
      </c>
      <c r="C3046" s="380" t="str">
        <f>IFERROR(__xludf.DUMMYFUNCTION("""COMPUTED_VALUE"""),"50000661")</f>
        <v>50000661</v>
      </c>
      <c r="D3046" s="380" t="s">
        <v>767</v>
      </c>
      <c r="E3046" s="380" t="s">
        <v>781</v>
      </c>
      <c r="F3046" s="380" t="s">
        <v>782</v>
      </c>
      <c r="G3046" s="380" t="s">
        <v>1267</v>
      </c>
      <c r="H3046" s="380" t="s">
        <v>771</v>
      </c>
      <c r="I3046" s="380" t="s">
        <v>784</v>
      </c>
      <c r="J3046" s="380" t="s">
        <v>773</v>
      </c>
      <c r="K3046" s="381">
        <v>0.0</v>
      </c>
      <c r="L3046" s="382">
        <v>1.0</v>
      </c>
    </row>
    <row r="3047">
      <c r="A3047" s="380" t="s">
        <v>3910</v>
      </c>
      <c r="B3047" s="380" t="str">
        <f>IFERROR(__xludf.DUMMYFUNCTION("""COMPUTED_VALUE"""),"Copa Larga Cuadrante 1/2 X 5/8 Snapon")</f>
        <v>Copa Larga Cuadrante 1/2 X 5/8 Snapon</v>
      </c>
      <c r="C3047" s="380" t="str">
        <f>IFERROR(__xludf.DUMMYFUNCTION("""COMPUTED_VALUE"""),"50000662")</f>
        <v>50000662</v>
      </c>
      <c r="D3047" s="380" t="s">
        <v>767</v>
      </c>
      <c r="E3047" s="380" t="s">
        <v>781</v>
      </c>
      <c r="F3047" s="380" t="s">
        <v>782</v>
      </c>
      <c r="G3047" s="380" t="s">
        <v>1267</v>
      </c>
      <c r="H3047" s="380" t="s">
        <v>771</v>
      </c>
      <c r="I3047" s="380" t="s">
        <v>784</v>
      </c>
      <c r="J3047" s="380" t="s">
        <v>773</v>
      </c>
      <c r="K3047" s="381">
        <v>0.0</v>
      </c>
      <c r="L3047" s="382">
        <v>1.0</v>
      </c>
    </row>
    <row r="3048">
      <c r="A3048" s="380" t="s">
        <v>3911</v>
      </c>
      <c r="B3048" s="380" t="str">
        <f>IFERROR(__xludf.DUMMYFUNCTION("""COMPUTED_VALUE"""),"Copa Impacto Cuadrante 3/4 X 1 1/8 Proto")</f>
        <v>Copa Impacto Cuadrante 3/4 X 1 1/8 Proto</v>
      </c>
      <c r="C3048" s="380" t="str">
        <f>IFERROR(__xludf.DUMMYFUNCTION("""COMPUTED_VALUE"""),"50000663")</f>
        <v>50000663</v>
      </c>
      <c r="D3048" s="380" t="s">
        <v>767</v>
      </c>
      <c r="E3048" s="380" t="s">
        <v>781</v>
      </c>
      <c r="F3048" s="380" t="s">
        <v>782</v>
      </c>
      <c r="G3048" s="380" t="s">
        <v>1267</v>
      </c>
      <c r="H3048" s="380" t="s">
        <v>771</v>
      </c>
      <c r="I3048" s="380" t="s">
        <v>784</v>
      </c>
      <c r="J3048" s="380" t="s">
        <v>773</v>
      </c>
      <c r="K3048" s="381">
        <v>0.0</v>
      </c>
      <c r="L3048" s="382">
        <v>1.0</v>
      </c>
    </row>
    <row r="3049">
      <c r="A3049" s="380" t="s">
        <v>3912</v>
      </c>
      <c r="B3049" s="380" t="str">
        <f>IFERROR(__xludf.DUMMYFUNCTION("""COMPUTED_VALUE"""),"Exte Extension Cuadrante 3/4 X 3"" Snapon")</f>
        <v>Exte Extension Cuadrante 3/4 X 3" Snapon</v>
      </c>
      <c r="C3049" s="380" t="str">
        <f>IFERROR(__xludf.DUMMYFUNCTION("""COMPUTED_VALUE"""),"50000664")</f>
        <v>50000664</v>
      </c>
      <c r="D3049" s="380" t="s">
        <v>767</v>
      </c>
      <c r="E3049" s="380" t="s">
        <v>781</v>
      </c>
      <c r="F3049" s="380" t="s">
        <v>782</v>
      </c>
      <c r="G3049" s="380" t="s">
        <v>1267</v>
      </c>
      <c r="H3049" s="380" t="s">
        <v>771</v>
      </c>
      <c r="I3049" s="380" t="s">
        <v>784</v>
      </c>
      <c r="J3049" s="380" t="s">
        <v>773</v>
      </c>
      <c r="K3049" s="381">
        <v>0.0</v>
      </c>
      <c r="L3049" s="382">
        <v>1.0</v>
      </c>
    </row>
    <row r="3050">
      <c r="A3050" s="380" t="s">
        <v>3913</v>
      </c>
      <c r="B3050" s="380" t="str">
        <f>IFERROR(__xludf.DUMMYFUNCTION("""COMPUTED_VALUE"""),"Cincel 1/2 Proto")</f>
        <v>Cincel 1/2 Proto</v>
      </c>
      <c r="C3050" s="380" t="str">
        <f>IFERROR(__xludf.DUMMYFUNCTION("""COMPUTED_VALUE"""),"50000665")</f>
        <v>50000665</v>
      </c>
      <c r="D3050" s="380" t="s">
        <v>767</v>
      </c>
      <c r="E3050" s="380" t="s">
        <v>781</v>
      </c>
      <c r="F3050" s="380" t="s">
        <v>782</v>
      </c>
      <c r="G3050" s="380" t="s">
        <v>1267</v>
      </c>
      <c r="H3050" s="380" t="s">
        <v>771</v>
      </c>
      <c r="I3050" s="380" t="s">
        <v>784</v>
      </c>
      <c r="J3050" s="380" t="s">
        <v>773</v>
      </c>
      <c r="K3050" s="381">
        <v>0.0</v>
      </c>
      <c r="L3050" s="382">
        <v>1.0</v>
      </c>
    </row>
    <row r="3051">
      <c r="A3051" s="380" t="s">
        <v>3914</v>
      </c>
      <c r="B3051" s="380" t="str">
        <f>IFERROR(__xludf.DUMMYFUNCTION("""COMPUTED_VALUE"""),"Copa Larga Cuadrante 1/2 X 23mm Proto")</f>
        <v>Copa Larga Cuadrante 1/2 X 23mm Proto</v>
      </c>
      <c r="C3051" s="380" t="str">
        <f>IFERROR(__xludf.DUMMYFUNCTION("""COMPUTED_VALUE"""),"50000666")</f>
        <v>50000666</v>
      </c>
      <c r="D3051" s="380" t="s">
        <v>767</v>
      </c>
      <c r="E3051" s="380" t="s">
        <v>781</v>
      </c>
      <c r="F3051" s="380" t="s">
        <v>782</v>
      </c>
      <c r="G3051" s="380" t="s">
        <v>1267</v>
      </c>
      <c r="H3051" s="380" t="s">
        <v>771</v>
      </c>
      <c r="I3051" s="380" t="s">
        <v>784</v>
      </c>
      <c r="J3051" s="380" t="s">
        <v>773</v>
      </c>
      <c r="K3051" s="381">
        <v>0.0</v>
      </c>
      <c r="L3051" s="382">
        <v>1.0</v>
      </c>
    </row>
    <row r="3052">
      <c r="A3052" s="380" t="s">
        <v>3915</v>
      </c>
      <c r="B3052" s="380" t="str">
        <f>IFERROR(__xludf.DUMMYFUNCTION("""COMPUTED_VALUE"""),"Destornillador Estrella 3/16 X 3"" Tipo B")</f>
        <v>Destornillador Estrella 3/16 X 3" Tipo B</v>
      </c>
      <c r="C3052" s="380" t="str">
        <f>IFERROR(__xludf.DUMMYFUNCTION("""COMPUTED_VALUE"""),"50000667")</f>
        <v>50000667</v>
      </c>
      <c r="D3052" s="380" t="s">
        <v>767</v>
      </c>
      <c r="E3052" s="380" t="s">
        <v>781</v>
      </c>
      <c r="F3052" s="380" t="s">
        <v>782</v>
      </c>
      <c r="G3052" s="380" t="s">
        <v>1267</v>
      </c>
      <c r="H3052" s="380" t="s">
        <v>771</v>
      </c>
      <c r="I3052" s="380" t="s">
        <v>784</v>
      </c>
      <c r="J3052" s="380" t="s">
        <v>773</v>
      </c>
      <c r="K3052" s="381">
        <v>0.0</v>
      </c>
      <c r="L3052" s="382">
        <v>1.0</v>
      </c>
    </row>
    <row r="3053">
      <c r="A3053" s="380" t="s">
        <v>3916</v>
      </c>
      <c r="B3053" s="380" t="str">
        <f>IFERROR(__xludf.DUMMYFUNCTION("""COMPUTED_VALUE"""),"Destornillador Estrella 5/16 X 5"" - 6""")</f>
        <v>Destornillador Estrella 5/16 X 5" - 6"</v>
      </c>
      <c r="C3053" s="380" t="str">
        <f>IFERROR(__xludf.DUMMYFUNCTION("""COMPUTED_VALUE"""),"50000668")</f>
        <v>50000668</v>
      </c>
      <c r="D3053" s="380" t="s">
        <v>767</v>
      </c>
      <c r="E3053" s="380" t="s">
        <v>781</v>
      </c>
      <c r="F3053" s="380" t="s">
        <v>782</v>
      </c>
      <c r="G3053" s="380" t="s">
        <v>1267</v>
      </c>
      <c r="H3053" s="380" t="s">
        <v>771</v>
      </c>
      <c r="I3053" s="380" t="s">
        <v>784</v>
      </c>
      <c r="J3053" s="380" t="s">
        <v>773</v>
      </c>
      <c r="K3053" s="381">
        <v>0.0</v>
      </c>
      <c r="L3053" s="382">
        <v>1.0</v>
      </c>
    </row>
    <row r="3054">
      <c r="A3054" s="380" t="s">
        <v>3917</v>
      </c>
      <c r="B3054" s="380" t="str">
        <f>IFERROR(__xludf.DUMMYFUNCTION("""COMPUTED_VALUE"""),"Destornillador Pala 1/8 X 2 Tipo B")</f>
        <v>Destornillador Pala 1/8 X 2 Tipo B</v>
      </c>
      <c r="C3054" s="380" t="str">
        <f>IFERROR(__xludf.DUMMYFUNCTION("""COMPUTED_VALUE"""),"50000669")</f>
        <v>50000669</v>
      </c>
      <c r="D3054" s="380" t="s">
        <v>767</v>
      </c>
      <c r="E3054" s="380" t="s">
        <v>781</v>
      </c>
      <c r="F3054" s="380" t="s">
        <v>782</v>
      </c>
      <c r="G3054" s="380" t="s">
        <v>1267</v>
      </c>
      <c r="H3054" s="380" t="s">
        <v>771</v>
      </c>
      <c r="I3054" s="380" t="s">
        <v>784</v>
      </c>
      <c r="J3054" s="380" t="s">
        <v>773</v>
      </c>
      <c r="K3054" s="381">
        <v>0.0</v>
      </c>
      <c r="L3054" s="382">
        <v>1.0</v>
      </c>
    </row>
    <row r="3055">
      <c r="A3055" s="380" t="s">
        <v>3918</v>
      </c>
      <c r="B3055" s="380" t="str">
        <f>IFERROR(__xludf.DUMMYFUNCTION("""COMPUTED_VALUE"""),"Llave B Llave Boca Fija 13 X 15mm Tipo B")</f>
        <v>Llave B Llave Boca Fija 13 X 15mm Tipo B</v>
      </c>
      <c r="C3055" s="380" t="str">
        <f>IFERROR(__xludf.DUMMYFUNCTION("""COMPUTED_VALUE"""),"50000670")</f>
        <v>50000670</v>
      </c>
      <c r="D3055" s="380" t="s">
        <v>767</v>
      </c>
      <c r="E3055" s="380" t="s">
        <v>781</v>
      </c>
      <c r="F3055" s="380" t="s">
        <v>782</v>
      </c>
      <c r="G3055" s="380" t="s">
        <v>1267</v>
      </c>
      <c r="H3055" s="380" t="s">
        <v>771</v>
      </c>
      <c r="I3055" s="380" t="s">
        <v>784</v>
      </c>
      <c r="J3055" s="380" t="s">
        <v>773</v>
      </c>
      <c r="K3055" s="381">
        <v>0.0</v>
      </c>
      <c r="L3055" s="382">
        <v>1.0</v>
      </c>
    </row>
    <row r="3056">
      <c r="A3056" s="380" t="s">
        <v>3919</v>
      </c>
      <c r="B3056" s="380" t="str">
        <f>IFERROR(__xludf.DUMMYFUNCTION("""COMPUTED_VALUE"""),"Llave B Llave Boca Fija 21 X 23mm Tipo B")</f>
        <v>Llave B Llave Boca Fija 21 X 23mm Tipo B</v>
      </c>
      <c r="C3056" s="380" t="str">
        <f>IFERROR(__xludf.DUMMYFUNCTION("""COMPUTED_VALUE"""),"50000671")</f>
        <v>50000671</v>
      </c>
      <c r="D3056" s="380" t="s">
        <v>767</v>
      </c>
      <c r="E3056" s="380" t="s">
        <v>781</v>
      </c>
      <c r="F3056" s="380" t="s">
        <v>782</v>
      </c>
      <c r="G3056" s="380" t="s">
        <v>1267</v>
      </c>
      <c r="H3056" s="380" t="s">
        <v>771</v>
      </c>
      <c r="I3056" s="380" t="s">
        <v>784</v>
      </c>
      <c r="J3056" s="380" t="s">
        <v>773</v>
      </c>
      <c r="K3056" s="381">
        <v>0.0</v>
      </c>
      <c r="L3056" s="382">
        <v>1.0</v>
      </c>
    </row>
    <row r="3057">
      <c r="A3057" s="380" t="s">
        <v>3920</v>
      </c>
      <c r="B3057" s="380" t="str">
        <f>IFERROR(__xludf.DUMMYFUNCTION("""COMPUTED_VALUE"""),"Rache C Rache Cuadrante 3/4 X 24"" Snapon")</f>
        <v>Rache C Rache Cuadrante 3/4 X 24" Snapon</v>
      </c>
      <c r="C3057" s="380" t="str">
        <f>IFERROR(__xludf.DUMMYFUNCTION("""COMPUTED_VALUE"""),"50000672")</f>
        <v>50000672</v>
      </c>
      <c r="D3057" s="380" t="s">
        <v>767</v>
      </c>
      <c r="E3057" s="380" t="s">
        <v>781</v>
      </c>
      <c r="F3057" s="380" t="s">
        <v>782</v>
      </c>
      <c r="G3057" s="380" t="s">
        <v>1267</v>
      </c>
      <c r="H3057" s="380" t="s">
        <v>771</v>
      </c>
      <c r="I3057" s="380" t="s">
        <v>784</v>
      </c>
      <c r="J3057" s="380" t="s">
        <v>773</v>
      </c>
      <c r="K3057" s="381">
        <v>0.0</v>
      </c>
      <c r="L3057" s="382">
        <v>1.0</v>
      </c>
    </row>
    <row r="3058">
      <c r="A3058" s="380" t="s">
        <v>3921</v>
      </c>
      <c r="B3058" s="380" t="str">
        <f>IFERROR(__xludf.DUMMYFUNCTION("""COMPUTED_VALUE"""),"Pinza Punta Intercambiable")</f>
        <v>Pinza Punta Intercambiable</v>
      </c>
      <c r="C3058" s="380" t="str">
        <f>IFERROR(__xludf.DUMMYFUNCTION("""COMPUTED_VALUE"""),"50000673")</f>
        <v>50000673</v>
      </c>
      <c r="D3058" s="380" t="s">
        <v>767</v>
      </c>
      <c r="E3058" s="380" t="s">
        <v>781</v>
      </c>
      <c r="F3058" s="380" t="s">
        <v>782</v>
      </c>
      <c r="G3058" s="380" t="s">
        <v>1267</v>
      </c>
      <c r="H3058" s="380" t="s">
        <v>771</v>
      </c>
      <c r="I3058" s="380" t="s">
        <v>784</v>
      </c>
      <c r="J3058" s="380" t="s">
        <v>773</v>
      </c>
      <c r="K3058" s="381">
        <v>0.0</v>
      </c>
      <c r="L3058" s="382">
        <v>1.0</v>
      </c>
    </row>
    <row r="3059">
      <c r="A3059" s="380" t="s">
        <v>3922</v>
      </c>
      <c r="B3059" s="380" t="str">
        <f>IFERROR(__xludf.DUMMYFUNCTION("""COMPUTED_VALUE"""),"Copa Impacto Cuadrante 1/2 X 14mm Snapon")</f>
        <v>Copa Impacto Cuadrante 1/2 X 14mm Snapon</v>
      </c>
      <c r="C3059" s="380" t="str">
        <f>IFERROR(__xludf.DUMMYFUNCTION("""COMPUTED_VALUE"""),"50000674")</f>
        <v>50000674</v>
      </c>
      <c r="D3059" s="380" t="s">
        <v>767</v>
      </c>
      <c r="E3059" s="380" t="s">
        <v>781</v>
      </c>
      <c r="F3059" s="380" t="s">
        <v>782</v>
      </c>
      <c r="G3059" s="380" t="s">
        <v>1267</v>
      </c>
      <c r="H3059" s="380" t="s">
        <v>771</v>
      </c>
      <c r="I3059" s="380" t="s">
        <v>784</v>
      </c>
      <c r="J3059" s="380" t="s">
        <v>773</v>
      </c>
      <c r="K3059" s="381">
        <v>0.0</v>
      </c>
      <c r="L3059" s="382">
        <v>1.0</v>
      </c>
    </row>
    <row r="3060">
      <c r="A3060" s="380" t="s">
        <v>3923</v>
      </c>
      <c r="B3060" s="380" t="str">
        <f>IFERROR(__xludf.DUMMYFUNCTION("""COMPUTED_VALUE"""),"Llave Hexagona 6mm Snapon")</f>
        <v>Llave Hexagona 6mm Snapon</v>
      </c>
      <c r="C3060" s="380" t="str">
        <f>IFERROR(__xludf.DUMMYFUNCTION("""COMPUTED_VALUE"""),"50000675")</f>
        <v>50000675</v>
      </c>
      <c r="D3060" s="380" t="s">
        <v>767</v>
      </c>
      <c r="E3060" s="380" t="s">
        <v>781</v>
      </c>
      <c r="F3060" s="380" t="s">
        <v>782</v>
      </c>
      <c r="G3060" s="380" t="s">
        <v>1267</v>
      </c>
      <c r="H3060" s="380" t="s">
        <v>771</v>
      </c>
      <c r="I3060" s="380" t="s">
        <v>784</v>
      </c>
      <c r="J3060" s="380" t="s">
        <v>773</v>
      </c>
      <c r="K3060" s="381">
        <v>0.0</v>
      </c>
      <c r="L3060" s="382">
        <v>1.0</v>
      </c>
    </row>
    <row r="3061">
      <c r="A3061" s="380" t="s">
        <v>3924</v>
      </c>
      <c r="B3061" s="380" t="str">
        <f>IFERROR(__xludf.DUMMYFUNCTION("""COMPUTED_VALUE"""),"Llave De Tubo 8"" Urrea")</f>
        <v>Llave De Tubo 8" Urrea</v>
      </c>
      <c r="C3061" s="380" t="str">
        <f>IFERROR(__xludf.DUMMYFUNCTION("""COMPUTED_VALUE"""),"50000676")</f>
        <v>50000676</v>
      </c>
      <c r="D3061" s="380" t="s">
        <v>767</v>
      </c>
      <c r="E3061" s="380" t="s">
        <v>781</v>
      </c>
      <c r="F3061" s="380" t="s">
        <v>782</v>
      </c>
      <c r="G3061" s="380" t="s">
        <v>1267</v>
      </c>
      <c r="H3061" s="380" t="s">
        <v>771</v>
      </c>
      <c r="I3061" s="380" t="s">
        <v>784</v>
      </c>
      <c r="J3061" s="380" t="s">
        <v>773</v>
      </c>
      <c r="K3061" s="381">
        <v>0.0</v>
      </c>
      <c r="L3061" s="382">
        <v>1.0</v>
      </c>
    </row>
    <row r="3062">
      <c r="A3062" s="380" t="s">
        <v>3925</v>
      </c>
      <c r="B3062" s="380" t="str">
        <f>IFERROR(__xludf.DUMMYFUNCTION("""COMPUTED_VALUE"""),"Palanca Uña 650 Tipo B")</f>
        <v>Palanca Uña 650 Tipo B</v>
      </c>
      <c r="C3062" s="380" t="str">
        <f>IFERROR(__xludf.DUMMYFUNCTION("""COMPUTED_VALUE"""),"50000677")</f>
        <v>50000677</v>
      </c>
      <c r="D3062" s="380" t="s">
        <v>767</v>
      </c>
      <c r="E3062" s="380" t="s">
        <v>781</v>
      </c>
      <c r="F3062" s="380" t="s">
        <v>782</v>
      </c>
      <c r="G3062" s="380" t="s">
        <v>1267</v>
      </c>
      <c r="H3062" s="380" t="s">
        <v>771</v>
      </c>
      <c r="I3062" s="380" t="s">
        <v>784</v>
      </c>
      <c r="J3062" s="380" t="s">
        <v>773</v>
      </c>
      <c r="K3062" s="381">
        <v>0.0</v>
      </c>
      <c r="L3062" s="382">
        <v>1.0</v>
      </c>
    </row>
    <row r="3063">
      <c r="A3063" s="380" t="s">
        <v>3926</v>
      </c>
      <c r="B3063" s="380" t="str">
        <f>IFERROR(__xludf.DUMMYFUNCTION("""COMPUTED_VALUE"""),"Cincel 7/16 Urrea")</f>
        <v>Cincel 7/16 Urrea</v>
      </c>
      <c r="C3063" s="380" t="str">
        <f>IFERROR(__xludf.DUMMYFUNCTION("""COMPUTED_VALUE"""),"50000678")</f>
        <v>50000678</v>
      </c>
      <c r="D3063" s="380" t="s">
        <v>767</v>
      </c>
      <c r="E3063" s="380" t="s">
        <v>781</v>
      </c>
      <c r="F3063" s="380" t="s">
        <v>782</v>
      </c>
      <c r="G3063" s="380" t="s">
        <v>1267</v>
      </c>
      <c r="H3063" s="380" t="s">
        <v>771</v>
      </c>
      <c r="I3063" s="380" t="s">
        <v>784</v>
      </c>
      <c r="J3063" s="380" t="s">
        <v>773</v>
      </c>
      <c r="K3063" s="381">
        <v>0.0</v>
      </c>
      <c r="L3063" s="382">
        <v>1.0</v>
      </c>
    </row>
    <row r="3064">
      <c r="A3064" s="380" t="s">
        <v>3927</v>
      </c>
      <c r="B3064" s="380" t="str">
        <f>IFERROR(__xludf.DUMMYFUNCTION("""COMPUTED_VALUE"""),"Cincel 3/8 Urrea")</f>
        <v>Cincel 3/8 Urrea</v>
      </c>
      <c r="C3064" s="380" t="str">
        <f>IFERROR(__xludf.DUMMYFUNCTION("""COMPUTED_VALUE"""),"50000679")</f>
        <v>50000679</v>
      </c>
      <c r="D3064" s="380" t="s">
        <v>767</v>
      </c>
      <c r="E3064" s="380" t="s">
        <v>781</v>
      </c>
      <c r="F3064" s="380" t="s">
        <v>782</v>
      </c>
      <c r="G3064" s="380" t="s">
        <v>1267</v>
      </c>
      <c r="H3064" s="380" t="s">
        <v>771</v>
      </c>
      <c r="I3064" s="380" t="s">
        <v>784</v>
      </c>
      <c r="J3064" s="380" t="s">
        <v>773</v>
      </c>
      <c r="K3064" s="381">
        <v>0.0</v>
      </c>
      <c r="L3064" s="382">
        <v>1.0</v>
      </c>
    </row>
    <row r="3065">
      <c r="A3065" s="380" t="s">
        <v>3928</v>
      </c>
      <c r="B3065" s="380" t="str">
        <f>IFERROR(__xludf.DUMMYFUNCTION("""COMPUTED_VALUE"""),"Exte Extension Cuadrante 3/8 X 10"" Urrea")</f>
        <v>Exte Extension Cuadrante 3/8 X 10" Urrea</v>
      </c>
      <c r="C3065" s="380" t="str">
        <f>IFERROR(__xludf.DUMMYFUNCTION("""COMPUTED_VALUE"""),"50000680")</f>
        <v>50000680</v>
      </c>
      <c r="D3065" s="380" t="s">
        <v>767</v>
      </c>
      <c r="E3065" s="380" t="s">
        <v>781</v>
      </c>
      <c r="F3065" s="380" t="s">
        <v>782</v>
      </c>
      <c r="G3065" s="380" t="s">
        <v>1267</v>
      </c>
      <c r="H3065" s="380" t="s">
        <v>771</v>
      </c>
      <c r="I3065" s="380" t="s">
        <v>784</v>
      </c>
      <c r="J3065" s="380" t="s">
        <v>773</v>
      </c>
      <c r="K3065" s="381">
        <v>0.0</v>
      </c>
      <c r="L3065" s="382">
        <v>1.0</v>
      </c>
    </row>
    <row r="3066">
      <c r="A3066" s="380" t="s">
        <v>3929</v>
      </c>
      <c r="B3066" s="380" t="str">
        <f>IFERROR(__xludf.DUMMYFUNCTION("""COMPUTED_VALUE"""),"Llave Mixta 6mm Urrea")</f>
        <v>Llave Mixta 6mm Urrea</v>
      </c>
      <c r="C3066" s="380" t="str">
        <f>IFERROR(__xludf.DUMMYFUNCTION("""COMPUTED_VALUE"""),"50000681")</f>
        <v>50000681</v>
      </c>
      <c r="D3066" s="380" t="s">
        <v>767</v>
      </c>
      <c r="E3066" s="380" t="s">
        <v>781</v>
      </c>
      <c r="F3066" s="380" t="s">
        <v>782</v>
      </c>
      <c r="G3066" s="380" t="s">
        <v>1267</v>
      </c>
      <c r="H3066" s="380" t="s">
        <v>771</v>
      </c>
      <c r="I3066" s="380" t="s">
        <v>784</v>
      </c>
      <c r="J3066" s="380" t="s">
        <v>773</v>
      </c>
      <c r="K3066" s="381">
        <v>0.0</v>
      </c>
      <c r="L3066" s="382">
        <v>1.0</v>
      </c>
    </row>
    <row r="3067">
      <c r="A3067" s="380" t="s">
        <v>3930</v>
      </c>
      <c r="B3067" s="380" t="str">
        <f>IFERROR(__xludf.DUMMYFUNCTION("""COMPUTED_VALUE"""),"Copa Cuadrante 3/8 X 18mm Proto")</f>
        <v>Copa Cuadrante 3/8 X 18mm Proto</v>
      </c>
      <c r="C3067" s="380" t="str">
        <f>IFERROR(__xludf.DUMMYFUNCTION("""COMPUTED_VALUE"""),"50000682")</f>
        <v>50000682</v>
      </c>
      <c r="D3067" s="380" t="s">
        <v>767</v>
      </c>
      <c r="E3067" s="380" t="s">
        <v>781</v>
      </c>
      <c r="F3067" s="380" t="s">
        <v>782</v>
      </c>
      <c r="G3067" s="380" t="s">
        <v>1267</v>
      </c>
      <c r="H3067" s="380" t="s">
        <v>771</v>
      </c>
      <c r="I3067" s="380" t="s">
        <v>784</v>
      </c>
      <c r="J3067" s="380" t="s">
        <v>773</v>
      </c>
      <c r="K3067" s="381">
        <v>0.0</v>
      </c>
      <c r="L3067" s="382">
        <v>1.0</v>
      </c>
    </row>
    <row r="3068">
      <c r="A3068" s="380" t="s">
        <v>3931</v>
      </c>
      <c r="B3068" s="380" t="str">
        <f>IFERROR(__xludf.DUMMYFUNCTION("""COMPUTED_VALUE"""),"Copa Impacto Cuadrante 1/2 X 10mm Tb")</f>
        <v>Copa Impacto Cuadrante 1/2 X 10mm Tb</v>
      </c>
      <c r="C3068" s="380" t="str">
        <f>IFERROR(__xludf.DUMMYFUNCTION("""COMPUTED_VALUE"""),"50000683")</f>
        <v>50000683</v>
      </c>
      <c r="D3068" s="380" t="s">
        <v>767</v>
      </c>
      <c r="E3068" s="380" t="s">
        <v>781</v>
      </c>
      <c r="F3068" s="380" t="s">
        <v>782</v>
      </c>
      <c r="G3068" s="380" t="s">
        <v>1267</v>
      </c>
      <c r="H3068" s="380" t="s">
        <v>771</v>
      </c>
      <c r="I3068" s="380" t="s">
        <v>784</v>
      </c>
      <c r="J3068" s="380" t="s">
        <v>773</v>
      </c>
      <c r="K3068" s="381">
        <v>0.0</v>
      </c>
      <c r="L3068" s="382">
        <v>1.0</v>
      </c>
    </row>
    <row r="3069">
      <c r="A3069" s="380" t="s">
        <v>3932</v>
      </c>
      <c r="B3069" s="380" t="str">
        <f>IFERROR(__xludf.DUMMYFUNCTION("""COMPUTED_VALUE"""),"Copa Impacto Cuadrante 1/2 X 19mm Tipo A")</f>
        <v>Copa Impacto Cuadrante 1/2 X 19mm Tipo A</v>
      </c>
      <c r="C3069" s="380" t="str">
        <f>IFERROR(__xludf.DUMMYFUNCTION("""COMPUTED_VALUE"""),"50000684")</f>
        <v>50000684</v>
      </c>
      <c r="D3069" s="380" t="s">
        <v>767</v>
      </c>
      <c r="E3069" s="380" t="s">
        <v>781</v>
      </c>
      <c r="F3069" s="380" t="s">
        <v>782</v>
      </c>
      <c r="G3069" s="380" t="s">
        <v>1267</v>
      </c>
      <c r="H3069" s="380" t="s">
        <v>771</v>
      </c>
      <c r="I3069" s="380" t="s">
        <v>784</v>
      </c>
      <c r="J3069" s="380" t="s">
        <v>773</v>
      </c>
      <c r="K3069" s="381">
        <v>0.0</v>
      </c>
      <c r="L3069" s="382">
        <v>1.0</v>
      </c>
    </row>
    <row r="3070">
      <c r="A3070" s="380" t="s">
        <v>3933</v>
      </c>
      <c r="B3070" s="380" t="str">
        <f>IFERROR(__xludf.DUMMYFUNCTION("""COMPUTED_VALUE"""),"Copa Impacto Cuadrante 1/2 X 22mm Proto")</f>
        <v>Copa Impacto Cuadrante 1/2 X 22mm Proto</v>
      </c>
      <c r="C3070" s="380" t="str">
        <f>IFERROR(__xludf.DUMMYFUNCTION("""COMPUTED_VALUE"""),"50000685")</f>
        <v>50000685</v>
      </c>
      <c r="D3070" s="380" t="s">
        <v>767</v>
      </c>
      <c r="E3070" s="380" t="s">
        <v>781</v>
      </c>
      <c r="F3070" s="380" t="s">
        <v>782</v>
      </c>
      <c r="G3070" s="380" t="s">
        <v>1267</v>
      </c>
      <c r="H3070" s="380" t="s">
        <v>771</v>
      </c>
      <c r="I3070" s="380" t="s">
        <v>784</v>
      </c>
      <c r="J3070" s="380" t="s">
        <v>773</v>
      </c>
      <c r="K3070" s="381">
        <v>0.0</v>
      </c>
      <c r="L3070" s="382">
        <v>1.0</v>
      </c>
    </row>
    <row r="3071">
      <c r="A3071" s="380" t="s">
        <v>3934</v>
      </c>
      <c r="B3071" s="380" t="str">
        <f>IFERROR(__xludf.DUMMYFUNCTION("""COMPUTED_VALUE"""),"Copa Impacto Cuadrante 1/2 X 24mm Tipo B")</f>
        <v>Copa Impacto Cuadrante 1/2 X 24mm Tipo B</v>
      </c>
      <c r="C3071" s="380" t="str">
        <f>IFERROR(__xludf.DUMMYFUNCTION("""COMPUTED_VALUE"""),"50000686")</f>
        <v>50000686</v>
      </c>
      <c r="D3071" s="380" t="s">
        <v>767</v>
      </c>
      <c r="E3071" s="380" t="s">
        <v>781</v>
      </c>
      <c r="F3071" s="380" t="s">
        <v>782</v>
      </c>
      <c r="G3071" s="380" t="s">
        <v>1267</v>
      </c>
      <c r="H3071" s="380" t="s">
        <v>771</v>
      </c>
      <c r="I3071" s="380" t="s">
        <v>784</v>
      </c>
      <c r="J3071" s="380" t="s">
        <v>773</v>
      </c>
      <c r="K3071" s="381">
        <v>0.0</v>
      </c>
      <c r="L3071" s="382">
        <v>1.0</v>
      </c>
    </row>
    <row r="3072">
      <c r="A3072" s="380" t="s">
        <v>3935</v>
      </c>
      <c r="B3072" s="380" t="str">
        <f>IFERROR(__xludf.DUMMYFUNCTION("""COMPUTED_VALUE"""),"Cable Para Iniciar")</f>
        <v>Cable Para Iniciar</v>
      </c>
      <c r="C3072" s="380" t="str">
        <f>IFERROR(__xludf.DUMMYFUNCTION("""COMPUTED_VALUE"""),"50000687")</f>
        <v>50000687</v>
      </c>
      <c r="D3072" s="380" t="s">
        <v>767</v>
      </c>
      <c r="E3072" s="380" t="s">
        <v>781</v>
      </c>
      <c r="F3072" s="380" t="s">
        <v>782</v>
      </c>
      <c r="G3072" s="380" t="s">
        <v>1267</v>
      </c>
      <c r="H3072" s="380" t="s">
        <v>771</v>
      </c>
      <c r="I3072" s="380" t="s">
        <v>784</v>
      </c>
      <c r="J3072" s="380" t="s">
        <v>773</v>
      </c>
      <c r="K3072" s="381">
        <v>0.0</v>
      </c>
      <c r="L3072" s="382">
        <v>1.0</v>
      </c>
    </row>
    <row r="3073">
      <c r="A3073" s="380" t="s">
        <v>3936</v>
      </c>
      <c r="B3073" s="380" t="str">
        <f>IFERROR(__xludf.DUMMYFUNCTION("""COMPUTED_VALUE"""),"Llave Hexagona 5mm Snapon")</f>
        <v>Llave Hexagona 5mm Snapon</v>
      </c>
      <c r="C3073" s="380" t="str">
        <f>IFERROR(__xludf.DUMMYFUNCTION("""COMPUTED_VALUE"""),"50000688")</f>
        <v>50000688</v>
      </c>
      <c r="D3073" s="380" t="s">
        <v>767</v>
      </c>
      <c r="E3073" s="380" t="s">
        <v>781</v>
      </c>
      <c r="F3073" s="380" t="s">
        <v>782</v>
      </c>
      <c r="G3073" s="380" t="s">
        <v>1267</v>
      </c>
      <c r="H3073" s="380" t="s">
        <v>771</v>
      </c>
      <c r="I3073" s="380" t="s">
        <v>784</v>
      </c>
      <c r="J3073" s="380" t="s">
        <v>773</v>
      </c>
      <c r="K3073" s="381">
        <v>0.0</v>
      </c>
      <c r="L3073" s="382">
        <v>1.0</v>
      </c>
    </row>
    <row r="3074">
      <c r="A3074" s="380" t="s">
        <v>3937</v>
      </c>
      <c r="B3074" s="380" t="str">
        <f>IFERROR(__xludf.DUMMYFUNCTION("""COMPUTED_VALUE"""),"Destornillador Estrella 1/4 X 1"" Tipo B")</f>
        <v>Destornillador Estrella 1/4 X 1" Tipo B</v>
      </c>
      <c r="C3074" s="380" t="str">
        <f>IFERROR(__xludf.DUMMYFUNCTION("""COMPUTED_VALUE"""),"50000689")</f>
        <v>50000689</v>
      </c>
      <c r="D3074" s="380" t="s">
        <v>767</v>
      </c>
      <c r="E3074" s="380" t="s">
        <v>781</v>
      </c>
      <c r="F3074" s="380" t="s">
        <v>782</v>
      </c>
      <c r="G3074" s="380" t="s">
        <v>1267</v>
      </c>
      <c r="H3074" s="380" t="s">
        <v>771</v>
      </c>
      <c r="I3074" s="380" t="s">
        <v>784</v>
      </c>
      <c r="J3074" s="380" t="s">
        <v>773</v>
      </c>
      <c r="K3074" s="381">
        <v>0.0</v>
      </c>
      <c r="L3074" s="382">
        <v>1.0</v>
      </c>
    </row>
    <row r="3075">
      <c r="A3075" s="380" t="s">
        <v>3938</v>
      </c>
      <c r="B3075" s="380" t="str">
        <f>IFERROR(__xludf.DUMMYFUNCTION("""COMPUTED_VALUE"""),"Copa Impacto Cuadrante 3/4 X 1 1/4 Snapo")</f>
        <v>Copa Impacto Cuadrante 3/4 X 1 1/4 Snapo</v>
      </c>
      <c r="C3075" s="380" t="str">
        <f>IFERROR(__xludf.DUMMYFUNCTION("""COMPUTED_VALUE"""),"50000690")</f>
        <v>50000690</v>
      </c>
      <c r="D3075" s="380" t="s">
        <v>767</v>
      </c>
      <c r="E3075" s="380" t="s">
        <v>781</v>
      </c>
      <c r="F3075" s="380" t="s">
        <v>782</v>
      </c>
      <c r="G3075" s="380" t="s">
        <v>1267</v>
      </c>
      <c r="H3075" s="380" t="s">
        <v>771</v>
      </c>
      <c r="I3075" s="380" t="s">
        <v>784</v>
      </c>
      <c r="J3075" s="380" t="s">
        <v>773</v>
      </c>
      <c r="K3075" s="381">
        <v>0.0</v>
      </c>
      <c r="L3075" s="382">
        <v>1.0</v>
      </c>
    </row>
    <row r="3076">
      <c r="A3076" s="380" t="s">
        <v>3939</v>
      </c>
      <c r="B3076" s="380" t="str">
        <f>IFERROR(__xludf.DUMMYFUNCTION("""COMPUTED_VALUE"""),"Bomba De Agua Electrica 110v")</f>
        <v>Bomba De Agua Electrica 110v</v>
      </c>
      <c r="C3076" s="380" t="str">
        <f>IFERROR(__xludf.DUMMYFUNCTION("""COMPUTED_VALUE"""),"50000691")</f>
        <v>50000691</v>
      </c>
      <c r="D3076" s="380" t="s">
        <v>767</v>
      </c>
      <c r="E3076" s="380" t="s">
        <v>781</v>
      </c>
      <c r="F3076" s="380" t="s">
        <v>782</v>
      </c>
      <c r="G3076" s="380" t="s">
        <v>1267</v>
      </c>
      <c r="H3076" s="380" t="s">
        <v>771</v>
      </c>
      <c r="I3076" s="380" t="s">
        <v>784</v>
      </c>
      <c r="J3076" s="380" t="s">
        <v>773</v>
      </c>
      <c r="K3076" s="381">
        <v>0.0</v>
      </c>
      <c r="L3076" s="382">
        <v>1.0</v>
      </c>
    </row>
    <row r="3077">
      <c r="A3077" s="380" t="s">
        <v>3940</v>
      </c>
      <c r="B3077" s="380" t="str">
        <f>IFERROR(__xludf.DUMMYFUNCTION("""COMPUTED_VALUE"""),"Almadana De 18 Lbs")</f>
        <v>Almadana De 18 Lbs</v>
      </c>
      <c r="C3077" s="380" t="str">
        <f>IFERROR(__xludf.DUMMYFUNCTION("""COMPUTED_VALUE"""),"50000692")</f>
        <v>50000692</v>
      </c>
      <c r="D3077" s="380" t="s">
        <v>767</v>
      </c>
      <c r="E3077" s="380" t="s">
        <v>781</v>
      </c>
      <c r="F3077" s="380" t="s">
        <v>782</v>
      </c>
      <c r="G3077" s="380" t="s">
        <v>1267</v>
      </c>
      <c r="H3077" s="380" t="s">
        <v>771</v>
      </c>
      <c r="I3077" s="380" t="s">
        <v>784</v>
      </c>
      <c r="J3077" s="380" t="s">
        <v>773</v>
      </c>
      <c r="K3077" s="381">
        <v>0.0</v>
      </c>
      <c r="L3077" s="382">
        <v>1.0</v>
      </c>
    </row>
    <row r="3078">
      <c r="A3078" s="380" t="s">
        <v>3941</v>
      </c>
      <c r="B3078" s="380" t="str">
        <f>IFERROR(__xludf.DUMMYFUNCTION("""COMPUTED_VALUE"""),"Destornillador Pala 3/16 X 6"" Tipo B")</f>
        <v>Destornillador Pala 3/16 X 6" Tipo B</v>
      </c>
      <c r="C3078" s="380" t="str">
        <f>IFERROR(__xludf.DUMMYFUNCTION("""COMPUTED_VALUE"""),"50000693")</f>
        <v>50000693</v>
      </c>
      <c r="D3078" s="380" t="s">
        <v>767</v>
      </c>
      <c r="E3078" s="380" t="s">
        <v>781</v>
      </c>
      <c r="F3078" s="380" t="s">
        <v>782</v>
      </c>
      <c r="G3078" s="380" t="s">
        <v>1267</v>
      </c>
      <c r="H3078" s="380" t="s">
        <v>771</v>
      </c>
      <c r="I3078" s="380" t="s">
        <v>784</v>
      </c>
      <c r="J3078" s="380" t="s">
        <v>773</v>
      </c>
      <c r="K3078" s="381">
        <v>0.0</v>
      </c>
      <c r="L3078" s="382">
        <v>1.0</v>
      </c>
    </row>
    <row r="3079">
      <c r="A3079" s="380" t="s">
        <v>3942</v>
      </c>
      <c r="B3079" s="380" t="str">
        <f>IFERROR(__xludf.DUMMYFUNCTION("""COMPUTED_VALUE"""),"Copa Impacto Cuadrante 1/2 X 5/8 Snapon")</f>
        <v>Copa Impacto Cuadrante 1/2 X 5/8 Snapon</v>
      </c>
      <c r="C3079" s="380" t="str">
        <f>IFERROR(__xludf.DUMMYFUNCTION("""COMPUTED_VALUE"""),"50000694")</f>
        <v>50000694</v>
      </c>
      <c r="D3079" s="380" t="s">
        <v>767</v>
      </c>
      <c r="E3079" s="380" t="s">
        <v>781</v>
      </c>
      <c r="F3079" s="380" t="s">
        <v>782</v>
      </c>
      <c r="G3079" s="380" t="s">
        <v>1267</v>
      </c>
      <c r="H3079" s="380" t="s">
        <v>771</v>
      </c>
      <c r="I3079" s="380" t="s">
        <v>784</v>
      </c>
      <c r="J3079" s="380" t="s">
        <v>773</v>
      </c>
      <c r="K3079" s="381">
        <v>0.0</v>
      </c>
      <c r="L3079" s="382">
        <v>1.0</v>
      </c>
    </row>
    <row r="3080">
      <c r="A3080" s="380" t="s">
        <v>3943</v>
      </c>
      <c r="B3080" s="380" t="str">
        <f>IFERROR(__xludf.DUMMYFUNCTION("""COMPUTED_VALUE"""),"Llave Llave Estrella 7/8 X 13/16 Tipo B")</f>
        <v>Llave Llave Estrella 7/8 X 13/16 Tipo B</v>
      </c>
      <c r="C3080" s="380" t="str">
        <f>IFERROR(__xludf.DUMMYFUNCTION("""COMPUTED_VALUE"""),"50000695")</f>
        <v>50000695</v>
      </c>
      <c r="D3080" s="380" t="s">
        <v>767</v>
      </c>
      <c r="E3080" s="380" t="s">
        <v>781</v>
      </c>
      <c r="F3080" s="380" t="s">
        <v>782</v>
      </c>
      <c r="G3080" s="380" t="s">
        <v>1267</v>
      </c>
      <c r="H3080" s="380" t="s">
        <v>771</v>
      </c>
      <c r="I3080" s="380" t="s">
        <v>784</v>
      </c>
      <c r="J3080" s="380" t="s">
        <v>773</v>
      </c>
      <c r="K3080" s="381">
        <v>0.0</v>
      </c>
      <c r="L3080" s="382">
        <v>1.0</v>
      </c>
    </row>
    <row r="3081">
      <c r="A3081" s="380" t="s">
        <v>3944</v>
      </c>
      <c r="B3081" s="380" t="str">
        <f>IFERROR(__xludf.DUMMYFUNCTION("""COMPUTED_VALUE"""),"Alicate 5 Posiciones")</f>
        <v>Alicate 5 Posiciones</v>
      </c>
      <c r="C3081" s="380" t="str">
        <f>IFERROR(__xludf.DUMMYFUNCTION("""COMPUTED_VALUE"""),"50000696")</f>
        <v>50000696</v>
      </c>
      <c r="D3081" s="380" t="s">
        <v>767</v>
      </c>
      <c r="E3081" s="380" t="s">
        <v>781</v>
      </c>
      <c r="F3081" s="380" t="s">
        <v>782</v>
      </c>
      <c r="G3081" s="380" t="s">
        <v>1267</v>
      </c>
      <c r="H3081" s="380" t="s">
        <v>771</v>
      </c>
      <c r="I3081" s="380" t="s">
        <v>784</v>
      </c>
      <c r="J3081" s="380" t="s">
        <v>773</v>
      </c>
      <c r="K3081" s="381">
        <v>0.0</v>
      </c>
      <c r="L3081" s="382">
        <v>1.0</v>
      </c>
    </row>
    <row r="3082">
      <c r="A3082" s="380" t="s">
        <v>3945</v>
      </c>
      <c r="B3082" s="380" t="str">
        <f>IFERROR(__xludf.DUMMYFUNCTION("""COMPUTED_VALUE"""),"Copa Cuadrante 1/2 X 12mm T B")</f>
        <v>Copa Cuadrante 1/2 X 12mm T B</v>
      </c>
      <c r="C3082" s="380" t="str">
        <f>IFERROR(__xludf.DUMMYFUNCTION("""COMPUTED_VALUE"""),"50000697")</f>
        <v>50000697</v>
      </c>
      <c r="D3082" s="380" t="s">
        <v>767</v>
      </c>
      <c r="E3082" s="380" t="s">
        <v>781</v>
      </c>
      <c r="F3082" s="380" t="s">
        <v>782</v>
      </c>
      <c r="G3082" s="380" t="s">
        <v>1267</v>
      </c>
      <c r="H3082" s="380" t="s">
        <v>771</v>
      </c>
      <c r="I3082" s="380" t="s">
        <v>784</v>
      </c>
      <c r="J3082" s="380" t="s">
        <v>773</v>
      </c>
      <c r="K3082" s="381">
        <v>0.0</v>
      </c>
      <c r="L3082" s="382">
        <v>1.0</v>
      </c>
    </row>
    <row r="3083">
      <c r="A3083" s="380" t="s">
        <v>3946</v>
      </c>
      <c r="B3083" s="380" t="str">
        <f>IFERROR(__xludf.DUMMYFUNCTION("""COMPUTED_VALUE"""),"Copa Cuadrante 1/2 X 19mm Tipo B")</f>
        <v>Copa Cuadrante 1/2 X 19mm Tipo B</v>
      </c>
      <c r="C3083" s="380" t="str">
        <f>IFERROR(__xludf.DUMMYFUNCTION("""COMPUTED_VALUE"""),"50000698")</f>
        <v>50000698</v>
      </c>
      <c r="D3083" s="380" t="s">
        <v>767</v>
      </c>
      <c r="E3083" s="380" t="s">
        <v>781</v>
      </c>
      <c r="F3083" s="380" t="s">
        <v>782</v>
      </c>
      <c r="G3083" s="380" t="s">
        <v>1267</v>
      </c>
      <c r="H3083" s="380" t="s">
        <v>771</v>
      </c>
      <c r="I3083" s="380" t="s">
        <v>784</v>
      </c>
      <c r="J3083" s="380" t="s">
        <v>773</v>
      </c>
      <c r="K3083" s="381">
        <v>0.0</v>
      </c>
      <c r="L3083" s="382">
        <v>1.0</v>
      </c>
    </row>
    <row r="3084">
      <c r="A3084" s="380" t="s">
        <v>3947</v>
      </c>
      <c r="B3084" s="380" t="str">
        <f>IFERROR(__xludf.DUMMYFUNCTION("""COMPUTED_VALUE"""),"Copa Cuadrante 1/2 X 22mm Tipo B")</f>
        <v>Copa Cuadrante 1/2 X 22mm Tipo B</v>
      </c>
      <c r="C3084" s="380" t="str">
        <f>IFERROR(__xludf.DUMMYFUNCTION("""COMPUTED_VALUE"""),"50000699")</f>
        <v>50000699</v>
      </c>
      <c r="D3084" s="380" t="s">
        <v>767</v>
      </c>
      <c r="E3084" s="380" t="s">
        <v>781</v>
      </c>
      <c r="F3084" s="380" t="s">
        <v>782</v>
      </c>
      <c r="G3084" s="380" t="s">
        <v>1267</v>
      </c>
      <c r="H3084" s="380" t="s">
        <v>771</v>
      </c>
      <c r="I3084" s="380" t="s">
        <v>784</v>
      </c>
      <c r="J3084" s="380" t="s">
        <v>773</v>
      </c>
      <c r="K3084" s="381">
        <v>0.0</v>
      </c>
      <c r="L3084" s="382">
        <v>1.0</v>
      </c>
    </row>
    <row r="3085">
      <c r="A3085" s="380" t="s">
        <v>3948</v>
      </c>
      <c r="B3085" s="380" t="str">
        <f>IFERROR(__xludf.DUMMYFUNCTION("""COMPUTED_VALUE"""),"Copa Cuadrante 1/2 X 24mm Tipo B")</f>
        <v>Copa Cuadrante 1/2 X 24mm Tipo B</v>
      </c>
      <c r="C3085" s="380" t="str">
        <f>IFERROR(__xludf.DUMMYFUNCTION("""COMPUTED_VALUE"""),"50000700")</f>
        <v>50000700</v>
      </c>
      <c r="D3085" s="380" t="s">
        <v>767</v>
      </c>
      <c r="E3085" s="380" t="s">
        <v>781</v>
      </c>
      <c r="F3085" s="380" t="s">
        <v>782</v>
      </c>
      <c r="G3085" s="380" t="s">
        <v>1267</v>
      </c>
      <c r="H3085" s="380" t="s">
        <v>771</v>
      </c>
      <c r="I3085" s="380" t="s">
        <v>784</v>
      </c>
      <c r="J3085" s="380" t="s">
        <v>773</v>
      </c>
      <c r="K3085" s="381">
        <v>0.0</v>
      </c>
      <c r="L3085" s="382">
        <v>1.0</v>
      </c>
    </row>
    <row r="3086">
      <c r="A3086" s="380" t="s">
        <v>3949</v>
      </c>
      <c r="B3086" s="380" t="str">
        <f>IFERROR(__xludf.DUMMYFUNCTION("""COMPUTED_VALUE"""),"Copa Cuadrante 1/2 X 27mm Tipo B")</f>
        <v>Copa Cuadrante 1/2 X 27mm Tipo B</v>
      </c>
      <c r="C3086" s="380" t="str">
        <f>IFERROR(__xludf.DUMMYFUNCTION("""COMPUTED_VALUE"""),"50000701")</f>
        <v>50000701</v>
      </c>
      <c r="D3086" s="380" t="s">
        <v>767</v>
      </c>
      <c r="E3086" s="380" t="s">
        <v>781</v>
      </c>
      <c r="F3086" s="380" t="s">
        <v>782</v>
      </c>
      <c r="G3086" s="380" t="s">
        <v>1267</v>
      </c>
      <c r="H3086" s="380" t="s">
        <v>771</v>
      </c>
      <c r="I3086" s="380" t="s">
        <v>784</v>
      </c>
      <c r="J3086" s="380" t="s">
        <v>773</v>
      </c>
      <c r="K3086" s="381">
        <v>0.0</v>
      </c>
      <c r="L3086" s="382">
        <v>1.0</v>
      </c>
    </row>
    <row r="3087">
      <c r="A3087" s="380" t="s">
        <v>3950</v>
      </c>
      <c r="B3087" s="380" t="str">
        <f>IFERROR(__xludf.DUMMYFUNCTION("""COMPUTED_VALUE"""),"Copa Cuadrante 1/2 X 28mm Tipo B")</f>
        <v>Copa Cuadrante 1/2 X 28mm Tipo B</v>
      </c>
      <c r="C3087" s="380" t="str">
        <f>IFERROR(__xludf.DUMMYFUNCTION("""COMPUTED_VALUE"""),"50000702")</f>
        <v>50000702</v>
      </c>
      <c r="D3087" s="380" t="s">
        <v>767</v>
      </c>
      <c r="E3087" s="380" t="s">
        <v>781</v>
      </c>
      <c r="F3087" s="380" t="s">
        <v>782</v>
      </c>
      <c r="G3087" s="380" t="s">
        <v>1267</v>
      </c>
      <c r="H3087" s="380" t="s">
        <v>771</v>
      </c>
      <c r="I3087" s="380" t="s">
        <v>784</v>
      </c>
      <c r="J3087" s="380" t="s">
        <v>773</v>
      </c>
      <c r="K3087" s="381">
        <v>0.0</v>
      </c>
      <c r="L3087" s="382">
        <v>1.0</v>
      </c>
    </row>
    <row r="3088">
      <c r="A3088" s="380" t="s">
        <v>3951</v>
      </c>
      <c r="B3088" s="380" t="str">
        <f>IFERROR(__xludf.DUMMYFUNCTION("""COMPUTED_VALUE"""),"Palanca Fuerza Escualizable Cuadrante 1/")</f>
        <v>Palanca Fuerza Escualizable Cuadrante 1/</v>
      </c>
      <c r="C3088" s="380" t="str">
        <f>IFERROR(__xludf.DUMMYFUNCTION("""COMPUTED_VALUE"""),"50000703")</f>
        <v>50000703</v>
      </c>
      <c r="D3088" s="380" t="s">
        <v>767</v>
      </c>
      <c r="E3088" s="380" t="s">
        <v>781</v>
      </c>
      <c r="F3088" s="380" t="s">
        <v>782</v>
      </c>
      <c r="G3088" s="380" t="s">
        <v>1267</v>
      </c>
      <c r="H3088" s="380" t="s">
        <v>771</v>
      </c>
      <c r="I3088" s="380" t="s">
        <v>784</v>
      </c>
      <c r="J3088" s="380" t="s">
        <v>773</v>
      </c>
      <c r="K3088" s="381">
        <v>0.0</v>
      </c>
      <c r="L3088" s="382">
        <v>1.0</v>
      </c>
    </row>
    <row r="3089">
      <c r="A3089" s="380" t="s">
        <v>3952</v>
      </c>
      <c r="B3089" s="380" t="str">
        <f>IFERROR(__xludf.DUMMYFUNCTION("""COMPUTED_VALUE"""),"Llave Mixta 7mm Tipo B")</f>
        <v>Llave Mixta 7mm Tipo B</v>
      </c>
      <c r="C3089" s="380" t="str">
        <f>IFERROR(__xludf.DUMMYFUNCTION("""COMPUTED_VALUE"""),"50000704")</f>
        <v>50000704</v>
      </c>
      <c r="D3089" s="380" t="s">
        <v>767</v>
      </c>
      <c r="E3089" s="380" t="s">
        <v>781</v>
      </c>
      <c r="F3089" s="380" t="s">
        <v>782</v>
      </c>
      <c r="G3089" s="380" t="s">
        <v>1267</v>
      </c>
      <c r="H3089" s="380" t="s">
        <v>771</v>
      </c>
      <c r="I3089" s="380" t="s">
        <v>784</v>
      </c>
      <c r="J3089" s="380" t="s">
        <v>773</v>
      </c>
      <c r="K3089" s="381">
        <v>0.0</v>
      </c>
      <c r="L3089" s="382">
        <v>1.0</v>
      </c>
    </row>
    <row r="3090">
      <c r="A3090" s="380" t="s">
        <v>3953</v>
      </c>
      <c r="B3090" s="380" t="str">
        <f>IFERROR(__xludf.DUMMYFUNCTION("""COMPUTED_VALUE"""),"Llave Mixta 18mm Tipo B")</f>
        <v>Llave Mixta 18mm Tipo B</v>
      </c>
      <c r="C3090" s="380" t="str">
        <f>IFERROR(__xludf.DUMMYFUNCTION("""COMPUTED_VALUE"""),"50000705")</f>
        <v>50000705</v>
      </c>
      <c r="D3090" s="380" t="s">
        <v>767</v>
      </c>
      <c r="E3090" s="380" t="s">
        <v>781</v>
      </c>
      <c r="F3090" s="380" t="s">
        <v>782</v>
      </c>
      <c r="G3090" s="380" t="s">
        <v>1267</v>
      </c>
      <c r="H3090" s="380" t="s">
        <v>771</v>
      </c>
      <c r="I3090" s="380" t="s">
        <v>784</v>
      </c>
      <c r="J3090" s="380" t="s">
        <v>773</v>
      </c>
      <c r="K3090" s="381">
        <v>0.0</v>
      </c>
      <c r="L3090" s="382">
        <v>1.0</v>
      </c>
    </row>
    <row r="3091">
      <c r="A3091" s="380" t="s">
        <v>3954</v>
      </c>
      <c r="B3091" s="380" t="str">
        <f>IFERROR(__xludf.DUMMYFUNCTION("""COMPUTED_VALUE"""),"Llave Mixta 20mm Tipo B")</f>
        <v>Llave Mixta 20mm Tipo B</v>
      </c>
      <c r="C3091" s="380" t="str">
        <f>IFERROR(__xludf.DUMMYFUNCTION("""COMPUTED_VALUE"""),"50000706")</f>
        <v>50000706</v>
      </c>
      <c r="D3091" s="380" t="s">
        <v>767</v>
      </c>
      <c r="E3091" s="380" t="s">
        <v>781</v>
      </c>
      <c r="F3091" s="380" t="s">
        <v>782</v>
      </c>
      <c r="G3091" s="380" t="s">
        <v>1267</v>
      </c>
      <c r="H3091" s="380" t="s">
        <v>771</v>
      </c>
      <c r="I3091" s="380" t="s">
        <v>784</v>
      </c>
      <c r="J3091" s="380" t="s">
        <v>773</v>
      </c>
      <c r="K3091" s="381">
        <v>0.0</v>
      </c>
      <c r="L3091" s="382">
        <v>1.0</v>
      </c>
    </row>
    <row r="3092">
      <c r="A3092" s="380" t="s">
        <v>3955</v>
      </c>
      <c r="B3092" s="380" t="str">
        <f>IFERROR(__xludf.DUMMYFUNCTION("""COMPUTED_VALUE"""),"Llave Mixta 22mm Tipo B")</f>
        <v>Llave Mixta 22mm Tipo B</v>
      </c>
      <c r="C3092" s="380" t="str">
        <f>IFERROR(__xludf.DUMMYFUNCTION("""COMPUTED_VALUE"""),"50000707")</f>
        <v>50000707</v>
      </c>
      <c r="D3092" s="380" t="s">
        <v>767</v>
      </c>
      <c r="E3092" s="380" t="s">
        <v>781</v>
      </c>
      <c r="F3092" s="380" t="s">
        <v>782</v>
      </c>
      <c r="G3092" s="380" t="s">
        <v>1267</v>
      </c>
      <c r="H3092" s="380" t="s">
        <v>771</v>
      </c>
      <c r="I3092" s="380" t="s">
        <v>784</v>
      </c>
      <c r="J3092" s="380" t="s">
        <v>773</v>
      </c>
      <c r="K3092" s="381">
        <v>0.0</v>
      </c>
      <c r="L3092" s="382">
        <v>1.0</v>
      </c>
    </row>
    <row r="3093">
      <c r="A3093" s="380" t="s">
        <v>3956</v>
      </c>
      <c r="B3093" s="380" t="str">
        <f>IFERROR(__xludf.DUMMYFUNCTION("""COMPUTED_VALUE"""),"Llave Mixta 23mm Tipo B")</f>
        <v>Llave Mixta 23mm Tipo B</v>
      </c>
      <c r="C3093" s="380" t="str">
        <f>IFERROR(__xludf.DUMMYFUNCTION("""COMPUTED_VALUE"""),"50000708")</f>
        <v>50000708</v>
      </c>
      <c r="D3093" s="380" t="s">
        <v>767</v>
      </c>
      <c r="E3093" s="380" t="s">
        <v>781</v>
      </c>
      <c r="F3093" s="380" t="s">
        <v>782</v>
      </c>
      <c r="G3093" s="380" t="s">
        <v>1267</v>
      </c>
      <c r="H3093" s="380" t="s">
        <v>771</v>
      </c>
      <c r="I3093" s="380" t="s">
        <v>784</v>
      </c>
      <c r="J3093" s="380" t="s">
        <v>773</v>
      </c>
      <c r="K3093" s="381">
        <v>0.0</v>
      </c>
      <c r="L3093" s="382">
        <v>1.0</v>
      </c>
    </row>
    <row r="3094">
      <c r="A3094" s="380" t="s">
        <v>3957</v>
      </c>
      <c r="B3094" s="380" t="str">
        <f>IFERROR(__xludf.DUMMYFUNCTION("""COMPUTED_VALUE"""),"Llave Mixta 30mm Tipo B")</f>
        <v>Llave Mixta 30mm Tipo B</v>
      </c>
      <c r="C3094" s="380" t="str">
        <f>IFERROR(__xludf.DUMMYFUNCTION("""COMPUTED_VALUE"""),"50000709")</f>
        <v>50000709</v>
      </c>
      <c r="D3094" s="380" t="s">
        <v>767</v>
      </c>
      <c r="E3094" s="380" t="s">
        <v>781</v>
      </c>
      <c r="F3094" s="380" t="s">
        <v>782</v>
      </c>
      <c r="G3094" s="380" t="s">
        <v>1267</v>
      </c>
      <c r="H3094" s="380" t="s">
        <v>771</v>
      </c>
      <c r="I3094" s="380" t="s">
        <v>784</v>
      </c>
      <c r="J3094" s="380" t="s">
        <v>773</v>
      </c>
      <c r="K3094" s="381">
        <v>0.0</v>
      </c>
      <c r="L3094" s="382">
        <v>1.0</v>
      </c>
    </row>
    <row r="3095">
      <c r="A3095" s="380" t="s">
        <v>3958</v>
      </c>
      <c r="B3095" s="380" t="str">
        <f>IFERROR(__xludf.DUMMYFUNCTION("""COMPUTED_VALUE"""),"Barra")</f>
        <v>Barra</v>
      </c>
      <c r="C3095" s="380" t="str">
        <f>IFERROR(__xludf.DUMMYFUNCTION("""COMPUTED_VALUE"""),"50000710")</f>
        <v>50000710</v>
      </c>
      <c r="D3095" s="380" t="s">
        <v>767</v>
      </c>
      <c r="E3095" s="380" t="s">
        <v>781</v>
      </c>
      <c r="F3095" s="380" t="s">
        <v>782</v>
      </c>
      <c r="G3095" s="380" t="s">
        <v>1267</v>
      </c>
      <c r="H3095" s="380" t="s">
        <v>771</v>
      </c>
      <c r="I3095" s="380" t="s">
        <v>784</v>
      </c>
      <c r="J3095" s="380" t="s">
        <v>773</v>
      </c>
      <c r="K3095" s="381">
        <v>0.0</v>
      </c>
      <c r="L3095" s="382">
        <v>1.0</v>
      </c>
    </row>
    <row r="3096">
      <c r="A3096" s="380" t="s">
        <v>3959</v>
      </c>
      <c r="B3096" s="380" t="str">
        <f>IFERROR(__xludf.DUMMYFUNCTION("""COMPUTED_VALUE"""),"Caja De Herramienta Fabricada")</f>
        <v>Caja De Herramienta Fabricada</v>
      </c>
      <c r="C3096" s="380" t="str">
        <f>IFERROR(__xludf.DUMMYFUNCTION("""COMPUTED_VALUE"""),"50000711")</f>
        <v>50000711</v>
      </c>
      <c r="D3096" s="380" t="s">
        <v>767</v>
      </c>
      <c r="E3096" s="380" t="s">
        <v>781</v>
      </c>
      <c r="F3096" s="380" t="s">
        <v>782</v>
      </c>
      <c r="G3096" s="380" t="s">
        <v>1267</v>
      </c>
      <c r="H3096" s="380" t="s">
        <v>771</v>
      </c>
      <c r="I3096" s="380" t="s">
        <v>784</v>
      </c>
      <c r="J3096" s="380" t="s">
        <v>773</v>
      </c>
      <c r="K3096" s="381">
        <v>0.0</v>
      </c>
      <c r="L3096" s="382">
        <v>1.0</v>
      </c>
    </row>
    <row r="3097">
      <c r="A3097" s="380" t="s">
        <v>3960</v>
      </c>
      <c r="B3097" s="380" t="str">
        <f>IFERROR(__xludf.DUMMYFUNCTION("""COMPUTED_VALUE"""),"Copa Cuadrante 3/8 X 9mm Proto")</f>
        <v>Copa Cuadrante 3/8 X 9mm Proto</v>
      </c>
      <c r="C3097" s="380" t="str">
        <f>IFERROR(__xludf.DUMMYFUNCTION("""COMPUTED_VALUE"""),"50000712")</f>
        <v>50000712</v>
      </c>
      <c r="D3097" s="380" t="s">
        <v>767</v>
      </c>
      <c r="E3097" s="380" t="s">
        <v>781</v>
      </c>
      <c r="F3097" s="380" t="s">
        <v>782</v>
      </c>
      <c r="G3097" s="380" t="s">
        <v>1267</v>
      </c>
      <c r="H3097" s="380" t="s">
        <v>771</v>
      </c>
      <c r="I3097" s="380" t="s">
        <v>784</v>
      </c>
      <c r="J3097" s="380" t="s">
        <v>773</v>
      </c>
      <c r="K3097" s="381">
        <v>0.0</v>
      </c>
      <c r="L3097" s="382">
        <v>1.0</v>
      </c>
    </row>
    <row r="3098">
      <c r="A3098" s="380" t="s">
        <v>3961</v>
      </c>
      <c r="B3098" s="380" t="str">
        <f>IFERROR(__xludf.DUMMYFUNCTION("""COMPUTED_VALUE"""),"Copa Cuadrante 3/8 X 16mm Proto")</f>
        <v>Copa Cuadrante 3/8 X 16mm Proto</v>
      </c>
      <c r="C3098" s="380" t="str">
        <f>IFERROR(__xludf.DUMMYFUNCTION("""COMPUTED_VALUE"""),"50000713")</f>
        <v>50000713</v>
      </c>
      <c r="D3098" s="380" t="s">
        <v>767</v>
      </c>
      <c r="E3098" s="380" t="s">
        <v>781</v>
      </c>
      <c r="F3098" s="380" t="s">
        <v>782</v>
      </c>
      <c r="G3098" s="380" t="s">
        <v>1267</v>
      </c>
      <c r="H3098" s="380" t="s">
        <v>771</v>
      </c>
      <c r="I3098" s="380" t="s">
        <v>784</v>
      </c>
      <c r="J3098" s="380" t="s">
        <v>773</v>
      </c>
      <c r="K3098" s="381">
        <v>0.0</v>
      </c>
      <c r="L3098" s="382">
        <v>1.0</v>
      </c>
    </row>
    <row r="3099">
      <c r="A3099" s="380" t="s">
        <v>3962</v>
      </c>
      <c r="B3099" s="380" t="str">
        <f>IFERROR(__xludf.DUMMYFUNCTION("""COMPUTED_VALUE"""),"Copa Torx T 25 Tipo B")</f>
        <v>Copa Torx T 25 Tipo B</v>
      </c>
      <c r="C3099" s="380" t="str">
        <f>IFERROR(__xludf.DUMMYFUNCTION("""COMPUTED_VALUE"""),"50000714")</f>
        <v>50000714</v>
      </c>
      <c r="D3099" s="380" t="s">
        <v>767</v>
      </c>
      <c r="E3099" s="380" t="s">
        <v>781</v>
      </c>
      <c r="F3099" s="380" t="s">
        <v>782</v>
      </c>
      <c r="G3099" s="380" t="s">
        <v>1267</v>
      </c>
      <c r="H3099" s="380" t="s">
        <v>771</v>
      </c>
      <c r="I3099" s="380" t="s">
        <v>784</v>
      </c>
      <c r="J3099" s="380" t="s">
        <v>773</v>
      </c>
      <c r="K3099" s="381">
        <v>0.0</v>
      </c>
      <c r="L3099" s="382">
        <v>1.0</v>
      </c>
    </row>
    <row r="3100">
      <c r="A3100" s="380" t="s">
        <v>3963</v>
      </c>
      <c r="B3100" s="380" t="str">
        <f>IFERROR(__xludf.DUMMYFUNCTION("""COMPUTED_VALUE"""),"Copa Torx T 20 Tipo B")</f>
        <v>Copa Torx T 20 Tipo B</v>
      </c>
      <c r="C3100" s="380" t="str">
        <f>IFERROR(__xludf.DUMMYFUNCTION("""COMPUTED_VALUE"""),"50000715")</f>
        <v>50000715</v>
      </c>
      <c r="D3100" s="380" t="s">
        <v>767</v>
      </c>
      <c r="E3100" s="380" t="s">
        <v>781</v>
      </c>
      <c r="F3100" s="380" t="s">
        <v>782</v>
      </c>
      <c r="G3100" s="380" t="s">
        <v>1267</v>
      </c>
      <c r="H3100" s="380" t="s">
        <v>771</v>
      </c>
      <c r="I3100" s="380" t="s">
        <v>784</v>
      </c>
      <c r="J3100" s="380" t="s">
        <v>773</v>
      </c>
      <c r="K3100" s="381">
        <v>0.0</v>
      </c>
      <c r="L3100" s="382">
        <v>1.0</v>
      </c>
    </row>
    <row r="3101">
      <c r="A3101" s="380" t="s">
        <v>3964</v>
      </c>
      <c r="B3101" s="380" t="str">
        <f>IFERROR(__xludf.DUMMYFUNCTION("""COMPUTED_VALUE"""),"Copa Torx T 15 Tipo B")</f>
        <v>Copa Torx T 15 Tipo B</v>
      </c>
      <c r="C3101" s="380" t="str">
        <f>IFERROR(__xludf.DUMMYFUNCTION("""COMPUTED_VALUE"""),"50000716")</f>
        <v>50000716</v>
      </c>
      <c r="D3101" s="380" t="s">
        <v>767</v>
      </c>
      <c r="E3101" s="380" t="s">
        <v>781</v>
      </c>
      <c r="F3101" s="380" t="s">
        <v>782</v>
      </c>
      <c r="G3101" s="380" t="s">
        <v>1267</v>
      </c>
      <c r="H3101" s="380" t="s">
        <v>771</v>
      </c>
      <c r="I3101" s="380" t="s">
        <v>784</v>
      </c>
      <c r="J3101" s="380" t="s">
        <v>773</v>
      </c>
      <c r="K3101" s="381">
        <v>0.0</v>
      </c>
      <c r="L3101" s="382">
        <v>1.0</v>
      </c>
    </row>
    <row r="3102">
      <c r="A3102" s="380" t="s">
        <v>3965</v>
      </c>
      <c r="B3102" s="380" t="str">
        <f>IFERROR(__xludf.DUMMYFUNCTION("""COMPUTED_VALUE"""),"Copa Torx T 10 Tipo B")</f>
        <v>Copa Torx T 10 Tipo B</v>
      </c>
      <c r="C3102" s="380" t="str">
        <f>IFERROR(__xludf.DUMMYFUNCTION("""COMPUTED_VALUE"""),"50000717")</f>
        <v>50000717</v>
      </c>
      <c r="D3102" s="380" t="s">
        <v>767</v>
      </c>
      <c r="E3102" s="380" t="s">
        <v>781</v>
      </c>
      <c r="F3102" s="380" t="s">
        <v>782</v>
      </c>
      <c r="G3102" s="380" t="s">
        <v>1267</v>
      </c>
      <c r="H3102" s="380" t="s">
        <v>771</v>
      </c>
      <c r="I3102" s="380" t="s">
        <v>784</v>
      </c>
      <c r="J3102" s="380" t="s">
        <v>773</v>
      </c>
      <c r="K3102" s="381">
        <v>0.0</v>
      </c>
      <c r="L3102" s="382">
        <v>1.0</v>
      </c>
    </row>
    <row r="3103">
      <c r="A3103" s="380" t="s">
        <v>3966</v>
      </c>
      <c r="B3103" s="380" t="str">
        <f>IFERROR(__xludf.DUMMYFUNCTION("""COMPUTED_VALUE"""),"Copa Torx T 47 Tipo B")</f>
        <v>Copa Torx T 47 Tipo B</v>
      </c>
      <c r="C3103" s="380" t="str">
        <f>IFERROR(__xludf.DUMMYFUNCTION("""COMPUTED_VALUE"""),"50000718")</f>
        <v>50000718</v>
      </c>
      <c r="D3103" s="380" t="s">
        <v>767</v>
      </c>
      <c r="E3103" s="380" t="s">
        <v>781</v>
      </c>
      <c r="F3103" s="380" t="s">
        <v>782</v>
      </c>
      <c r="G3103" s="380" t="s">
        <v>1267</v>
      </c>
      <c r="H3103" s="380" t="s">
        <v>771</v>
      </c>
      <c r="I3103" s="380" t="s">
        <v>784</v>
      </c>
      <c r="J3103" s="380" t="s">
        <v>773</v>
      </c>
      <c r="K3103" s="381">
        <v>0.0</v>
      </c>
      <c r="L3103" s="382">
        <v>1.0</v>
      </c>
    </row>
    <row r="3104">
      <c r="A3104" s="380" t="s">
        <v>3967</v>
      </c>
      <c r="B3104" s="380" t="str">
        <f>IFERROR(__xludf.DUMMYFUNCTION("""COMPUTED_VALUE"""),"Llave Estrella 12 X 13 Mm Snapon")</f>
        <v>Llave Estrella 12 X 13 Mm Snapon</v>
      </c>
      <c r="C3104" s="380" t="str">
        <f>IFERROR(__xludf.DUMMYFUNCTION("""COMPUTED_VALUE"""),"50000719")</f>
        <v>50000719</v>
      </c>
      <c r="D3104" s="380" t="s">
        <v>767</v>
      </c>
      <c r="E3104" s="380" t="s">
        <v>781</v>
      </c>
      <c r="F3104" s="380" t="s">
        <v>782</v>
      </c>
      <c r="G3104" s="380" t="s">
        <v>1267</v>
      </c>
      <c r="H3104" s="380" t="s">
        <v>771</v>
      </c>
      <c r="I3104" s="380" t="s">
        <v>784</v>
      </c>
      <c r="J3104" s="380" t="s">
        <v>773</v>
      </c>
      <c r="K3104" s="381">
        <v>0.0</v>
      </c>
      <c r="L3104" s="382">
        <v>1.0</v>
      </c>
    </row>
    <row r="3105">
      <c r="A3105" s="380" t="s">
        <v>3968</v>
      </c>
      <c r="B3105" s="380" t="str">
        <f>IFERROR(__xludf.DUMMYFUNCTION("""COMPUTED_VALUE"""),"Llave Llave Boca Fija 7/16 X 1/2 Tipo B")</f>
        <v>Llave Llave Boca Fija 7/16 X 1/2 Tipo B</v>
      </c>
      <c r="C3105" s="380" t="str">
        <f>IFERROR(__xludf.DUMMYFUNCTION("""COMPUTED_VALUE"""),"50000720")</f>
        <v>50000720</v>
      </c>
      <c r="D3105" s="380" t="s">
        <v>767</v>
      </c>
      <c r="E3105" s="380" t="s">
        <v>781</v>
      </c>
      <c r="F3105" s="380" t="s">
        <v>782</v>
      </c>
      <c r="G3105" s="380" t="s">
        <v>1267</v>
      </c>
      <c r="H3105" s="380" t="s">
        <v>771</v>
      </c>
      <c r="I3105" s="380" t="s">
        <v>784</v>
      </c>
      <c r="J3105" s="380" t="s">
        <v>773</v>
      </c>
      <c r="K3105" s="381">
        <v>0.0</v>
      </c>
      <c r="L3105" s="382">
        <v>1.0</v>
      </c>
    </row>
    <row r="3106">
      <c r="A3106" s="380" t="s">
        <v>3969</v>
      </c>
      <c r="B3106" s="380" t="str">
        <f>IFERROR(__xludf.DUMMYFUNCTION("""COMPUTED_VALUE"""),"Almadana De 10 Libras")</f>
        <v>Almadana De 10 Libras</v>
      </c>
      <c r="C3106" s="380" t="str">
        <f>IFERROR(__xludf.DUMMYFUNCTION("""COMPUTED_VALUE"""),"50000721")</f>
        <v>50000721</v>
      </c>
      <c r="D3106" s="380" t="s">
        <v>767</v>
      </c>
      <c r="E3106" s="380" t="s">
        <v>781</v>
      </c>
      <c r="F3106" s="380" t="s">
        <v>782</v>
      </c>
      <c r="G3106" s="380" t="s">
        <v>1267</v>
      </c>
      <c r="H3106" s="380" t="s">
        <v>771</v>
      </c>
      <c r="I3106" s="380" t="s">
        <v>784</v>
      </c>
      <c r="J3106" s="380" t="s">
        <v>773</v>
      </c>
      <c r="K3106" s="381">
        <v>0.0</v>
      </c>
      <c r="L3106" s="382">
        <v>1.0</v>
      </c>
    </row>
    <row r="3107">
      <c r="A3107" s="380" t="s">
        <v>3970</v>
      </c>
      <c r="B3107" s="380" t="str">
        <f>IFERROR(__xludf.DUMMYFUNCTION("""COMPUTED_VALUE"""),"Ampliacion 1/2 A 3/4 Snapon")</f>
        <v>Ampliacion 1/2 A 3/4 Snapon</v>
      </c>
      <c r="C3107" s="380" t="str">
        <f>IFERROR(__xludf.DUMMYFUNCTION("""COMPUTED_VALUE"""),"50000722")</f>
        <v>50000722</v>
      </c>
      <c r="D3107" s="380" t="s">
        <v>767</v>
      </c>
      <c r="E3107" s="380" t="s">
        <v>781</v>
      </c>
      <c r="F3107" s="380" t="s">
        <v>782</v>
      </c>
      <c r="G3107" s="380" t="s">
        <v>1267</v>
      </c>
      <c r="H3107" s="380" t="s">
        <v>771</v>
      </c>
      <c r="I3107" s="380" t="s">
        <v>784</v>
      </c>
      <c r="J3107" s="380" t="s">
        <v>773</v>
      </c>
      <c r="K3107" s="381">
        <v>0.0</v>
      </c>
      <c r="L3107" s="382">
        <v>1.0</v>
      </c>
    </row>
    <row r="3108">
      <c r="A3108" s="380" t="s">
        <v>3971</v>
      </c>
      <c r="B3108" s="380" t="str">
        <f>IFERROR(__xludf.DUMMYFUNCTION("""COMPUTED_VALUE"""),"Embudo Plastico")</f>
        <v>Embudo Plastico</v>
      </c>
      <c r="C3108" s="380" t="str">
        <f>IFERROR(__xludf.DUMMYFUNCTION("""COMPUTED_VALUE"""),"50000723")</f>
        <v>50000723</v>
      </c>
      <c r="D3108" s="380" t="s">
        <v>767</v>
      </c>
      <c r="E3108" s="380" t="s">
        <v>781</v>
      </c>
      <c r="F3108" s="380" t="s">
        <v>782</v>
      </c>
      <c r="G3108" s="380" t="s">
        <v>1267</v>
      </c>
      <c r="H3108" s="380" t="s">
        <v>771</v>
      </c>
      <c r="I3108" s="380" t="s">
        <v>784</v>
      </c>
      <c r="J3108" s="380" t="s">
        <v>773</v>
      </c>
      <c r="K3108" s="381">
        <v>0.0</v>
      </c>
      <c r="L3108" s="382">
        <v>1.0</v>
      </c>
    </row>
    <row r="3109">
      <c r="A3109" s="380" t="s">
        <v>3972</v>
      </c>
      <c r="B3109" s="380" t="str">
        <f>IFERROR(__xludf.DUMMYFUNCTION("""COMPUTED_VALUE"""),"Ga Gato Tipo Caiman 3.2 Toneladas Tipo B")</f>
        <v>Ga Gato Tipo Caiman 3.2 Toneladas Tipo B</v>
      </c>
      <c r="C3109" s="380" t="str">
        <f>IFERROR(__xludf.DUMMYFUNCTION("""COMPUTED_VALUE"""),"50000724")</f>
        <v>50000724</v>
      </c>
      <c r="D3109" s="380" t="s">
        <v>767</v>
      </c>
      <c r="E3109" s="380" t="s">
        <v>781</v>
      </c>
      <c r="F3109" s="380" t="s">
        <v>782</v>
      </c>
      <c r="G3109" s="380" t="s">
        <v>1267</v>
      </c>
      <c r="H3109" s="380" t="s">
        <v>771</v>
      </c>
      <c r="I3109" s="380" t="s">
        <v>784</v>
      </c>
      <c r="J3109" s="380" t="s">
        <v>773</v>
      </c>
      <c r="K3109" s="381">
        <v>0.0</v>
      </c>
      <c r="L3109" s="382">
        <v>1.0</v>
      </c>
    </row>
    <row r="3110">
      <c r="A3110" s="380" t="s">
        <v>3973</v>
      </c>
      <c r="B3110" s="380" t="str">
        <f>IFERROR(__xludf.DUMMYFUNCTION("""COMPUTED_VALUE"""),"Copa Larga Cuadrante 1/2 X 1/2 Tipo B")</f>
        <v>Copa Larga Cuadrante 1/2 X 1/2 Tipo B</v>
      </c>
      <c r="C3110" s="380" t="str">
        <f>IFERROR(__xludf.DUMMYFUNCTION("""COMPUTED_VALUE"""),"50000725")</f>
        <v>50000725</v>
      </c>
      <c r="D3110" s="380" t="s">
        <v>767</v>
      </c>
      <c r="E3110" s="380" t="s">
        <v>781</v>
      </c>
      <c r="F3110" s="380" t="s">
        <v>782</v>
      </c>
      <c r="G3110" s="380" t="s">
        <v>1267</v>
      </c>
      <c r="H3110" s="380" t="s">
        <v>771</v>
      </c>
      <c r="I3110" s="380" t="s">
        <v>784</v>
      </c>
      <c r="J3110" s="380" t="s">
        <v>773</v>
      </c>
      <c r="K3110" s="381">
        <v>0.0</v>
      </c>
      <c r="L3110" s="382">
        <v>1.0</v>
      </c>
    </row>
    <row r="3111">
      <c r="A3111" s="380" t="s">
        <v>3974</v>
      </c>
      <c r="B3111" s="380" t="str">
        <f>IFERROR(__xludf.DUMMYFUNCTION("""COMPUTED_VALUE"""),"Copa Cuadrante 3/4 X 1 5/8 Proto")</f>
        <v>Copa Cuadrante 3/4 X 1 5/8 Proto</v>
      </c>
      <c r="C3111" s="380" t="str">
        <f>IFERROR(__xludf.DUMMYFUNCTION("""COMPUTED_VALUE"""),"50000726")</f>
        <v>50000726</v>
      </c>
      <c r="D3111" s="380" t="s">
        <v>767</v>
      </c>
      <c r="E3111" s="380" t="s">
        <v>781</v>
      </c>
      <c r="F3111" s="380" t="s">
        <v>782</v>
      </c>
      <c r="G3111" s="380" t="s">
        <v>1267</v>
      </c>
      <c r="H3111" s="380" t="s">
        <v>771</v>
      </c>
      <c r="I3111" s="380" t="s">
        <v>784</v>
      </c>
      <c r="J3111" s="380" t="s">
        <v>773</v>
      </c>
      <c r="K3111" s="381">
        <v>0.0</v>
      </c>
      <c r="L3111" s="382">
        <v>1.0</v>
      </c>
    </row>
    <row r="3112">
      <c r="A3112" s="380" t="s">
        <v>3975</v>
      </c>
      <c r="B3112" s="380" t="str">
        <f>IFERROR(__xludf.DUMMYFUNCTION("""COMPUTED_VALUE"""),"Copa Cuadrante 3/4 X 1 1/16 Tipo B")</f>
        <v>Copa Cuadrante 3/4 X 1 1/16 Tipo B</v>
      </c>
      <c r="C3112" s="380" t="str">
        <f>IFERROR(__xludf.DUMMYFUNCTION("""COMPUTED_VALUE"""),"50000727")</f>
        <v>50000727</v>
      </c>
      <c r="D3112" s="380" t="s">
        <v>767</v>
      </c>
      <c r="E3112" s="380" t="s">
        <v>781</v>
      </c>
      <c r="F3112" s="380" t="s">
        <v>782</v>
      </c>
      <c r="G3112" s="380" t="s">
        <v>1267</v>
      </c>
      <c r="H3112" s="380" t="s">
        <v>771</v>
      </c>
      <c r="I3112" s="380" t="s">
        <v>784</v>
      </c>
      <c r="J3112" s="380" t="s">
        <v>773</v>
      </c>
      <c r="K3112" s="381">
        <v>0.0</v>
      </c>
      <c r="L3112" s="382">
        <v>1.0</v>
      </c>
    </row>
    <row r="3113">
      <c r="A3113" s="380" t="s">
        <v>3976</v>
      </c>
      <c r="B3113" s="380" t="str">
        <f>IFERROR(__xludf.DUMMYFUNCTION("""COMPUTED_VALUE"""),"Copa Cuadrante 1/2 X 8mm Tipo B")</f>
        <v>Copa Cuadrante 1/2 X 8mm Tipo B</v>
      </c>
      <c r="C3113" s="380" t="str">
        <f>IFERROR(__xludf.DUMMYFUNCTION("""COMPUTED_VALUE"""),"50000728")</f>
        <v>50000728</v>
      </c>
      <c r="D3113" s="380" t="s">
        <v>767</v>
      </c>
      <c r="E3113" s="380" t="s">
        <v>781</v>
      </c>
      <c r="F3113" s="380" t="s">
        <v>782</v>
      </c>
      <c r="G3113" s="380" t="s">
        <v>1267</v>
      </c>
      <c r="H3113" s="380" t="s">
        <v>771</v>
      </c>
      <c r="I3113" s="380" t="s">
        <v>784</v>
      </c>
      <c r="J3113" s="380" t="s">
        <v>773</v>
      </c>
      <c r="K3113" s="381">
        <v>0.0</v>
      </c>
      <c r="L3113" s="382">
        <v>1.0</v>
      </c>
    </row>
    <row r="3114">
      <c r="A3114" s="380" t="s">
        <v>3977</v>
      </c>
      <c r="B3114" s="380" t="str">
        <f>IFERROR(__xludf.DUMMYFUNCTION("""COMPUTED_VALUE"""),"Copa Cuadrante 1/2 X 17mm Tipo B")</f>
        <v>Copa Cuadrante 1/2 X 17mm Tipo B</v>
      </c>
      <c r="C3114" s="380" t="str">
        <f>IFERROR(__xludf.DUMMYFUNCTION("""COMPUTED_VALUE"""),"50000729")</f>
        <v>50000729</v>
      </c>
      <c r="D3114" s="380" t="s">
        <v>767</v>
      </c>
      <c r="E3114" s="380" t="s">
        <v>781</v>
      </c>
      <c r="F3114" s="380" t="s">
        <v>782</v>
      </c>
      <c r="G3114" s="380" t="s">
        <v>1267</v>
      </c>
      <c r="H3114" s="380" t="s">
        <v>771</v>
      </c>
      <c r="I3114" s="380" t="s">
        <v>784</v>
      </c>
      <c r="J3114" s="380" t="s">
        <v>773</v>
      </c>
      <c r="K3114" s="381">
        <v>0.0</v>
      </c>
      <c r="L3114" s="382">
        <v>1.0</v>
      </c>
    </row>
    <row r="3115">
      <c r="A3115" s="380" t="s">
        <v>3978</v>
      </c>
      <c r="B3115" s="380" t="str">
        <f>IFERROR(__xludf.DUMMYFUNCTION("""COMPUTED_VALUE"""),"Copa Cuadrante 1/4 X 9/16 Tipo B")</f>
        <v>Copa Cuadrante 1/4 X 9/16 Tipo B</v>
      </c>
      <c r="C3115" s="380" t="str">
        <f>IFERROR(__xludf.DUMMYFUNCTION("""COMPUTED_VALUE"""),"50000730")</f>
        <v>50000730</v>
      </c>
      <c r="D3115" s="380" t="s">
        <v>767</v>
      </c>
      <c r="E3115" s="380" t="s">
        <v>781</v>
      </c>
      <c r="F3115" s="380" t="s">
        <v>782</v>
      </c>
      <c r="G3115" s="380" t="s">
        <v>1267</v>
      </c>
      <c r="H3115" s="380" t="s">
        <v>771</v>
      </c>
      <c r="I3115" s="380" t="s">
        <v>784</v>
      </c>
      <c r="J3115" s="380" t="s">
        <v>773</v>
      </c>
      <c r="K3115" s="381">
        <v>0.0</v>
      </c>
      <c r="L3115" s="382">
        <v>1.0</v>
      </c>
    </row>
    <row r="3116">
      <c r="A3116" s="380" t="s">
        <v>3979</v>
      </c>
      <c r="B3116" s="380" t="str">
        <f>IFERROR(__xludf.DUMMYFUNCTION("""COMPUTED_VALUE"""),"Exte Extension Cuadrante 1/2 X 10"" Proto")</f>
        <v>Exte Extension Cuadrante 1/2 X 10" Proto</v>
      </c>
      <c r="C3116" s="380" t="str">
        <f>IFERROR(__xludf.DUMMYFUNCTION("""COMPUTED_VALUE"""),"50000731")</f>
        <v>50000731</v>
      </c>
      <c r="D3116" s="380" t="s">
        <v>767</v>
      </c>
      <c r="E3116" s="380" t="s">
        <v>781</v>
      </c>
      <c r="F3116" s="380" t="s">
        <v>782</v>
      </c>
      <c r="G3116" s="380" t="s">
        <v>1267</v>
      </c>
      <c r="H3116" s="380" t="s">
        <v>771</v>
      </c>
      <c r="I3116" s="380" t="s">
        <v>784</v>
      </c>
      <c r="J3116" s="380" t="s">
        <v>773</v>
      </c>
      <c r="K3116" s="381">
        <v>0.0</v>
      </c>
      <c r="L3116" s="382">
        <v>1.0</v>
      </c>
    </row>
    <row r="3117">
      <c r="A3117" s="380" t="s">
        <v>3980</v>
      </c>
      <c r="B3117" s="380" t="str">
        <f>IFERROR(__xludf.DUMMYFUNCTION("""COMPUTED_VALUE"""),"Copa Cuadrante 1/2 X 3/4 Tipo B")</f>
        <v>Copa Cuadrante 1/2 X 3/4 Tipo B</v>
      </c>
      <c r="C3117" s="380" t="str">
        <f>IFERROR(__xludf.DUMMYFUNCTION("""COMPUTED_VALUE"""),"50000732")</f>
        <v>50000732</v>
      </c>
      <c r="D3117" s="380" t="s">
        <v>767</v>
      </c>
      <c r="E3117" s="380" t="s">
        <v>781</v>
      </c>
      <c r="F3117" s="380" t="s">
        <v>782</v>
      </c>
      <c r="G3117" s="380" t="s">
        <v>1267</v>
      </c>
      <c r="H3117" s="380" t="s">
        <v>771</v>
      </c>
      <c r="I3117" s="380" t="s">
        <v>784</v>
      </c>
      <c r="J3117" s="380" t="s">
        <v>773</v>
      </c>
      <c r="K3117" s="381">
        <v>0.0</v>
      </c>
      <c r="L3117" s="382">
        <v>1.0</v>
      </c>
    </row>
    <row r="3118">
      <c r="A3118" s="380" t="s">
        <v>3981</v>
      </c>
      <c r="B3118" s="380" t="str">
        <f>IFERROR(__xludf.DUMMYFUNCTION("""COMPUTED_VALUE"""),"Copa Cuadrante 1/2 X 5/8 Tipo B")</f>
        <v>Copa Cuadrante 1/2 X 5/8 Tipo B</v>
      </c>
      <c r="C3118" s="380" t="str">
        <f>IFERROR(__xludf.DUMMYFUNCTION("""COMPUTED_VALUE"""),"50000733")</f>
        <v>50000733</v>
      </c>
      <c r="D3118" s="380" t="s">
        <v>767</v>
      </c>
      <c r="E3118" s="380" t="s">
        <v>781</v>
      </c>
      <c r="F3118" s="380" t="s">
        <v>782</v>
      </c>
      <c r="G3118" s="380" t="s">
        <v>1267</v>
      </c>
      <c r="H3118" s="380" t="s">
        <v>771</v>
      </c>
      <c r="I3118" s="380" t="s">
        <v>784</v>
      </c>
      <c r="J3118" s="380" t="s">
        <v>773</v>
      </c>
      <c r="K3118" s="381">
        <v>0.0</v>
      </c>
      <c r="L3118" s="382">
        <v>1.0</v>
      </c>
    </row>
    <row r="3119">
      <c r="A3119" s="380" t="s">
        <v>3982</v>
      </c>
      <c r="B3119" s="380" t="str">
        <f>IFERROR(__xludf.DUMMYFUNCTION("""COMPUTED_VALUE"""),"Llave De Tubo 14"" Tipo B")</f>
        <v>Llave De Tubo 14" Tipo B</v>
      </c>
      <c r="C3119" s="380" t="str">
        <f>IFERROR(__xludf.DUMMYFUNCTION("""COMPUTED_VALUE"""),"50000734")</f>
        <v>50000734</v>
      </c>
      <c r="D3119" s="380" t="s">
        <v>767</v>
      </c>
      <c r="E3119" s="380" t="s">
        <v>781</v>
      </c>
      <c r="F3119" s="380" t="s">
        <v>782</v>
      </c>
      <c r="G3119" s="380" t="s">
        <v>1267</v>
      </c>
      <c r="H3119" s="380" t="s">
        <v>771</v>
      </c>
      <c r="I3119" s="380" t="s">
        <v>784</v>
      </c>
      <c r="J3119" s="380" t="s">
        <v>773</v>
      </c>
      <c r="K3119" s="381">
        <v>0.0</v>
      </c>
      <c r="L3119" s="382">
        <v>1.0</v>
      </c>
    </row>
    <row r="3120">
      <c r="A3120" s="380" t="s">
        <v>3983</v>
      </c>
      <c r="B3120" s="380" t="str">
        <f>IFERROR(__xludf.DUMMYFUNCTION("""COMPUTED_VALUE"""),"Destornillador Impacto Cuadrante 3/8")</f>
        <v>Destornillador Impacto Cuadrante 3/8</v>
      </c>
      <c r="C3120" s="380" t="str">
        <f>IFERROR(__xludf.DUMMYFUNCTION("""COMPUTED_VALUE"""),"50000735")</f>
        <v>50000735</v>
      </c>
      <c r="D3120" s="380" t="s">
        <v>767</v>
      </c>
      <c r="E3120" s="380" t="s">
        <v>781</v>
      </c>
      <c r="F3120" s="380" t="s">
        <v>782</v>
      </c>
      <c r="G3120" s="380" t="s">
        <v>1267</v>
      </c>
      <c r="H3120" s="380" t="s">
        <v>771</v>
      </c>
      <c r="I3120" s="380" t="s">
        <v>784</v>
      </c>
      <c r="J3120" s="380" t="s">
        <v>773</v>
      </c>
      <c r="K3120" s="381">
        <v>0.0</v>
      </c>
      <c r="L3120" s="382">
        <v>1.0</v>
      </c>
    </row>
    <row r="3121">
      <c r="A3121" s="380" t="s">
        <v>3984</v>
      </c>
      <c r="B3121" s="380" t="str">
        <f>IFERROR(__xludf.DUMMYFUNCTION("""COMPUTED_VALUE"""),"Punta Plana Cuadrante 3/8")</f>
        <v>Punta Plana Cuadrante 3/8</v>
      </c>
      <c r="C3121" s="380" t="str">
        <f>IFERROR(__xludf.DUMMYFUNCTION("""COMPUTED_VALUE"""),"50000736")</f>
        <v>50000736</v>
      </c>
      <c r="D3121" s="380" t="s">
        <v>767</v>
      </c>
      <c r="E3121" s="380" t="s">
        <v>781</v>
      </c>
      <c r="F3121" s="380" t="s">
        <v>782</v>
      </c>
      <c r="G3121" s="380" t="s">
        <v>1267</v>
      </c>
      <c r="H3121" s="380" t="s">
        <v>771</v>
      </c>
      <c r="I3121" s="380" t="s">
        <v>784</v>
      </c>
      <c r="J3121" s="380" t="s">
        <v>773</v>
      </c>
      <c r="K3121" s="381">
        <v>0.0</v>
      </c>
      <c r="L3121" s="382">
        <v>1.0</v>
      </c>
    </row>
    <row r="3122">
      <c r="A3122" s="380" t="s">
        <v>3985</v>
      </c>
      <c r="B3122" s="380" t="str">
        <f>IFERROR(__xludf.DUMMYFUNCTION("""COMPUTED_VALUE"""),"Punta Estrella Cuadrante 3/8")</f>
        <v>Punta Estrella Cuadrante 3/8</v>
      </c>
      <c r="C3122" s="380" t="str">
        <f>IFERROR(__xludf.DUMMYFUNCTION("""COMPUTED_VALUE"""),"50000737")</f>
        <v>50000737</v>
      </c>
      <c r="D3122" s="380" t="s">
        <v>767</v>
      </c>
      <c r="E3122" s="380" t="s">
        <v>781</v>
      </c>
      <c r="F3122" s="380" t="s">
        <v>782</v>
      </c>
      <c r="G3122" s="380" t="s">
        <v>1267</v>
      </c>
      <c r="H3122" s="380" t="s">
        <v>771</v>
      </c>
      <c r="I3122" s="380" t="s">
        <v>784</v>
      </c>
      <c r="J3122" s="380" t="s">
        <v>773</v>
      </c>
      <c r="K3122" s="381">
        <v>0.0</v>
      </c>
      <c r="L3122" s="382">
        <v>1.0</v>
      </c>
    </row>
    <row r="3123">
      <c r="A3123" s="380" t="s">
        <v>3986</v>
      </c>
      <c r="B3123" s="380" t="str">
        <f>IFERROR(__xludf.DUMMYFUNCTION("""COMPUTED_VALUE"""),"Llave Mixta 5/16 Tipo B")</f>
        <v>Llave Mixta 5/16 Tipo B</v>
      </c>
      <c r="C3123" s="380" t="str">
        <f>IFERROR(__xludf.DUMMYFUNCTION("""COMPUTED_VALUE"""),"50000738")</f>
        <v>50000738</v>
      </c>
      <c r="D3123" s="380" t="s">
        <v>767</v>
      </c>
      <c r="E3123" s="380" t="s">
        <v>781</v>
      </c>
      <c r="F3123" s="380" t="s">
        <v>782</v>
      </c>
      <c r="G3123" s="380" t="s">
        <v>1267</v>
      </c>
      <c r="H3123" s="380" t="s">
        <v>771</v>
      </c>
      <c r="I3123" s="380" t="s">
        <v>784</v>
      </c>
      <c r="J3123" s="380" t="s">
        <v>773</v>
      </c>
      <c r="K3123" s="381">
        <v>0.0</v>
      </c>
      <c r="L3123" s="382">
        <v>1.0</v>
      </c>
    </row>
    <row r="3124">
      <c r="A3124" s="380" t="s">
        <v>3987</v>
      </c>
      <c r="B3124" s="380" t="str">
        <f>IFERROR(__xludf.DUMMYFUNCTION("""COMPUTED_VALUE"""),"Juego Machuelo 3/4 Ro X 3 Und")</f>
        <v>Juego Machuelo 3/4 Ro X 3 Und</v>
      </c>
      <c r="C3124" s="380" t="str">
        <f>IFERROR(__xludf.DUMMYFUNCTION("""COMPUTED_VALUE"""),"50000739")</f>
        <v>50000739</v>
      </c>
      <c r="D3124" s="380" t="s">
        <v>767</v>
      </c>
      <c r="E3124" s="380" t="s">
        <v>781</v>
      </c>
      <c r="F3124" s="380" t="s">
        <v>782</v>
      </c>
      <c r="G3124" s="380" t="s">
        <v>1267</v>
      </c>
      <c r="H3124" s="380" t="s">
        <v>771</v>
      </c>
      <c r="I3124" s="380" t="s">
        <v>784</v>
      </c>
      <c r="J3124" s="380" t="s">
        <v>773</v>
      </c>
      <c r="K3124" s="381">
        <v>0.0</v>
      </c>
      <c r="L3124" s="382">
        <v>1.0</v>
      </c>
    </row>
    <row r="3125">
      <c r="A3125" s="380" t="s">
        <v>3988</v>
      </c>
      <c r="B3125" s="380" t="str">
        <f>IFERROR(__xludf.DUMMYFUNCTION("""COMPUTED_VALUE"""),"Copa Torx T 55 Tipo B")</f>
        <v>Copa Torx T 55 Tipo B</v>
      </c>
      <c r="C3125" s="380" t="str">
        <f>IFERROR(__xludf.DUMMYFUNCTION("""COMPUTED_VALUE"""),"50000740")</f>
        <v>50000740</v>
      </c>
      <c r="D3125" s="380" t="s">
        <v>767</v>
      </c>
      <c r="E3125" s="380" t="s">
        <v>781</v>
      </c>
      <c r="F3125" s="380" t="s">
        <v>782</v>
      </c>
      <c r="G3125" s="380" t="s">
        <v>1267</v>
      </c>
      <c r="H3125" s="380" t="s">
        <v>771</v>
      </c>
      <c r="I3125" s="380" t="s">
        <v>784</v>
      </c>
      <c r="J3125" s="380" t="s">
        <v>773</v>
      </c>
      <c r="K3125" s="381">
        <v>0.0</v>
      </c>
      <c r="L3125" s="382">
        <v>1.0</v>
      </c>
    </row>
    <row r="3126">
      <c r="A3126" s="380" t="s">
        <v>3989</v>
      </c>
      <c r="B3126" s="380" t="str">
        <f>IFERROR(__xludf.DUMMYFUNCTION("""COMPUTED_VALUE"""),"Copa Torx T 50 Tipo B")</f>
        <v>Copa Torx T 50 Tipo B</v>
      </c>
      <c r="C3126" s="380" t="str">
        <f>IFERROR(__xludf.DUMMYFUNCTION("""COMPUTED_VALUE"""),"50000741")</f>
        <v>50000741</v>
      </c>
      <c r="D3126" s="380" t="s">
        <v>767</v>
      </c>
      <c r="E3126" s="380" t="s">
        <v>781</v>
      </c>
      <c r="F3126" s="380" t="s">
        <v>782</v>
      </c>
      <c r="G3126" s="380" t="s">
        <v>1267</v>
      </c>
      <c r="H3126" s="380" t="s">
        <v>771</v>
      </c>
      <c r="I3126" s="380" t="s">
        <v>784</v>
      </c>
      <c r="J3126" s="380" t="s">
        <v>773</v>
      </c>
      <c r="K3126" s="381">
        <v>0.0</v>
      </c>
      <c r="L3126" s="382">
        <v>1.0</v>
      </c>
    </row>
    <row r="3127">
      <c r="A3127" s="380" t="s">
        <v>3990</v>
      </c>
      <c r="B3127" s="380" t="str">
        <f>IFERROR(__xludf.DUMMYFUNCTION("""COMPUTED_VALUE"""),"Copa Torx T 40 Tipo B")</f>
        <v>Copa Torx T 40 Tipo B</v>
      </c>
      <c r="C3127" s="380" t="str">
        <f>IFERROR(__xludf.DUMMYFUNCTION("""COMPUTED_VALUE"""),"50000743")</f>
        <v>50000743</v>
      </c>
      <c r="D3127" s="380" t="s">
        <v>767</v>
      </c>
      <c r="E3127" s="380" t="s">
        <v>781</v>
      </c>
      <c r="F3127" s="380" t="s">
        <v>782</v>
      </c>
      <c r="G3127" s="380" t="s">
        <v>1267</v>
      </c>
      <c r="H3127" s="380" t="s">
        <v>771</v>
      </c>
      <c r="I3127" s="380" t="s">
        <v>784</v>
      </c>
      <c r="J3127" s="380" t="s">
        <v>773</v>
      </c>
      <c r="K3127" s="381">
        <v>0.0</v>
      </c>
      <c r="L3127" s="382">
        <v>1.0</v>
      </c>
    </row>
    <row r="3128">
      <c r="A3128" s="380" t="s">
        <v>3991</v>
      </c>
      <c r="B3128" s="380" t="str">
        <f>IFERROR(__xludf.DUMMYFUNCTION("""COMPUTED_VALUE"""),"Copa Torx T 30 Tipo B")</f>
        <v>Copa Torx T 30 Tipo B</v>
      </c>
      <c r="C3128" s="380" t="str">
        <f>IFERROR(__xludf.DUMMYFUNCTION("""COMPUTED_VALUE"""),"50000744")</f>
        <v>50000744</v>
      </c>
      <c r="D3128" s="380" t="s">
        <v>767</v>
      </c>
      <c r="E3128" s="380" t="s">
        <v>781</v>
      </c>
      <c r="F3128" s="380" t="s">
        <v>782</v>
      </c>
      <c r="G3128" s="380" t="s">
        <v>1267</v>
      </c>
      <c r="H3128" s="380" t="s">
        <v>771</v>
      </c>
      <c r="I3128" s="380" t="s">
        <v>784</v>
      </c>
      <c r="J3128" s="380" t="s">
        <v>773</v>
      </c>
      <c r="K3128" s="381">
        <v>0.0</v>
      </c>
      <c r="L3128" s="382">
        <v>1.0</v>
      </c>
    </row>
    <row r="3129">
      <c r="A3129" s="380" t="s">
        <v>3992</v>
      </c>
      <c r="B3129" s="380" t="str">
        <f>IFERROR(__xludf.DUMMYFUNCTION("""COMPUTED_VALUE"""),"Copa Torx T 27 Tipo B")</f>
        <v>Copa Torx T 27 Tipo B</v>
      </c>
      <c r="C3129" s="380" t="str">
        <f>IFERROR(__xludf.DUMMYFUNCTION("""COMPUTED_VALUE"""),"50000745")</f>
        <v>50000745</v>
      </c>
      <c r="D3129" s="380" t="s">
        <v>767</v>
      </c>
      <c r="E3129" s="380" t="s">
        <v>781</v>
      </c>
      <c r="F3129" s="380" t="s">
        <v>782</v>
      </c>
      <c r="G3129" s="380" t="s">
        <v>1267</v>
      </c>
      <c r="H3129" s="380" t="s">
        <v>771</v>
      </c>
      <c r="I3129" s="380" t="s">
        <v>784</v>
      </c>
      <c r="J3129" s="380" t="s">
        <v>773</v>
      </c>
      <c r="K3129" s="381">
        <v>0.0</v>
      </c>
      <c r="L3129" s="382">
        <v>1.0</v>
      </c>
    </row>
    <row r="3130">
      <c r="A3130" s="380" t="s">
        <v>3993</v>
      </c>
      <c r="B3130" s="380" t="str">
        <f>IFERROR(__xludf.DUMMYFUNCTION("""COMPUTED_VALUE"""),"Extension Cuadrante 1/4 X 4 Snapon")</f>
        <v>Extension Cuadrante 1/4 X 4 Snapon</v>
      </c>
      <c r="C3130" s="380" t="str">
        <f>IFERROR(__xludf.DUMMYFUNCTION("""COMPUTED_VALUE"""),"50000746")</f>
        <v>50000746</v>
      </c>
      <c r="D3130" s="380" t="s">
        <v>767</v>
      </c>
      <c r="E3130" s="380" t="s">
        <v>781</v>
      </c>
      <c r="F3130" s="380" t="s">
        <v>782</v>
      </c>
      <c r="G3130" s="380" t="s">
        <v>1267</v>
      </c>
      <c r="H3130" s="380" t="s">
        <v>771</v>
      </c>
      <c r="I3130" s="380" t="s">
        <v>784</v>
      </c>
      <c r="J3130" s="380" t="s">
        <v>773</v>
      </c>
      <c r="K3130" s="381">
        <v>0.0</v>
      </c>
      <c r="L3130" s="382">
        <v>1.0</v>
      </c>
    </row>
    <row r="3131">
      <c r="A3131" s="380" t="s">
        <v>3994</v>
      </c>
      <c r="B3131" s="380" t="str">
        <f>IFERROR(__xludf.DUMMYFUNCTION("""COMPUTED_VALUE"""),"Exte Extension Cuadrante 1/4 X 2"" Snapon")</f>
        <v>Exte Extension Cuadrante 1/4 X 2" Snapon</v>
      </c>
      <c r="C3131" s="380" t="str">
        <f>IFERROR(__xludf.DUMMYFUNCTION("""COMPUTED_VALUE"""),"50000747")</f>
        <v>50000747</v>
      </c>
      <c r="D3131" s="380" t="s">
        <v>767</v>
      </c>
      <c r="E3131" s="380" t="s">
        <v>781</v>
      </c>
      <c r="F3131" s="380" t="s">
        <v>782</v>
      </c>
      <c r="G3131" s="380" t="s">
        <v>1267</v>
      </c>
      <c r="H3131" s="380" t="s">
        <v>771</v>
      </c>
      <c r="I3131" s="380" t="s">
        <v>784</v>
      </c>
      <c r="J3131" s="380" t="s">
        <v>773</v>
      </c>
      <c r="K3131" s="381">
        <v>0.0</v>
      </c>
      <c r="L3131" s="382">
        <v>1.0</v>
      </c>
    </row>
    <row r="3132">
      <c r="A3132" s="380" t="s">
        <v>3995</v>
      </c>
      <c r="B3132" s="380" t="str">
        <f>IFERROR(__xludf.DUMMYFUNCTION("""COMPUTED_VALUE"""),"Llave Expansion 10-12"" Tipo A")</f>
        <v>Llave Expansion 10-12" Tipo A</v>
      </c>
      <c r="C3132" s="380" t="str">
        <f>IFERROR(__xludf.DUMMYFUNCTION("""COMPUTED_VALUE"""),"50000748")</f>
        <v>50000748</v>
      </c>
      <c r="D3132" s="380" t="s">
        <v>767</v>
      </c>
      <c r="E3132" s="380" t="s">
        <v>781</v>
      </c>
      <c r="F3132" s="380" t="s">
        <v>782</v>
      </c>
      <c r="G3132" s="380" t="s">
        <v>1267</v>
      </c>
      <c r="H3132" s="380" t="s">
        <v>771</v>
      </c>
      <c r="I3132" s="380" t="s">
        <v>784</v>
      </c>
      <c r="J3132" s="380" t="s">
        <v>773</v>
      </c>
      <c r="K3132" s="381">
        <v>0.0</v>
      </c>
      <c r="L3132" s="382">
        <v>1.0</v>
      </c>
    </row>
    <row r="3133">
      <c r="A3133" s="380" t="s">
        <v>3996</v>
      </c>
      <c r="B3133" s="380" t="str">
        <f>IFERROR(__xludf.DUMMYFUNCTION("""COMPUTED_VALUE"""),"Remachadora Pop Manual")</f>
        <v>Remachadora Pop Manual</v>
      </c>
      <c r="C3133" s="380" t="str">
        <f>IFERROR(__xludf.DUMMYFUNCTION("""COMPUTED_VALUE"""),"50000749")</f>
        <v>50000749</v>
      </c>
      <c r="D3133" s="380" t="s">
        <v>767</v>
      </c>
      <c r="E3133" s="380" t="s">
        <v>781</v>
      </c>
      <c r="F3133" s="380" t="s">
        <v>782</v>
      </c>
      <c r="G3133" s="380" t="s">
        <v>1267</v>
      </c>
      <c r="H3133" s="380" t="s">
        <v>771</v>
      </c>
      <c r="I3133" s="380" t="s">
        <v>784</v>
      </c>
      <c r="J3133" s="380" t="s">
        <v>773</v>
      </c>
      <c r="K3133" s="381">
        <v>0.0</v>
      </c>
      <c r="L3133" s="382">
        <v>1.0</v>
      </c>
    </row>
    <row r="3134">
      <c r="A3134" s="380" t="s">
        <v>3997</v>
      </c>
      <c r="B3134" s="380" t="str">
        <f>IFERROR(__xludf.DUMMYFUNCTION("""COMPUTED_VALUE"""),"Ponchadora Pines Molex")</f>
        <v>Ponchadora Pines Molex</v>
      </c>
      <c r="C3134" s="380" t="str">
        <f>IFERROR(__xludf.DUMMYFUNCTION("""COMPUTED_VALUE"""),"50000750")</f>
        <v>50000750</v>
      </c>
      <c r="D3134" s="380" t="s">
        <v>767</v>
      </c>
      <c r="E3134" s="380" t="s">
        <v>781</v>
      </c>
      <c r="F3134" s="380" t="s">
        <v>782</v>
      </c>
      <c r="G3134" s="380" t="s">
        <v>1267</v>
      </c>
      <c r="H3134" s="380" t="s">
        <v>771</v>
      </c>
      <c r="I3134" s="380" t="s">
        <v>784</v>
      </c>
      <c r="J3134" s="380" t="s">
        <v>773</v>
      </c>
      <c r="K3134" s="381">
        <v>0.0</v>
      </c>
      <c r="L3134" s="382">
        <v>1.0</v>
      </c>
    </row>
    <row r="3135">
      <c r="A3135" s="380" t="s">
        <v>3998</v>
      </c>
      <c r="B3135" s="380" t="str">
        <f>IFERROR(__xludf.DUMMYFUNCTION("""COMPUTED_VALUE"""),"Limpiador Desoldar Estaño")</f>
        <v>Limpiador Desoldar Estaño</v>
      </c>
      <c r="C3135" s="380" t="str">
        <f>IFERROR(__xludf.DUMMYFUNCTION("""COMPUTED_VALUE"""),"50000751")</f>
        <v>50000751</v>
      </c>
      <c r="D3135" s="380" t="s">
        <v>767</v>
      </c>
      <c r="E3135" s="380" t="s">
        <v>781</v>
      </c>
      <c r="F3135" s="380" t="s">
        <v>782</v>
      </c>
      <c r="G3135" s="380" t="s">
        <v>1267</v>
      </c>
      <c r="H3135" s="380" t="s">
        <v>771</v>
      </c>
      <c r="I3135" s="380" t="s">
        <v>784</v>
      </c>
      <c r="J3135" s="380" t="s">
        <v>773</v>
      </c>
      <c r="K3135" s="381">
        <v>0.0</v>
      </c>
      <c r="L3135" s="382">
        <v>1.0</v>
      </c>
    </row>
    <row r="3136">
      <c r="A3136" s="380" t="s">
        <v>3999</v>
      </c>
      <c r="B3136" s="380" t="str">
        <f>IFERROR(__xludf.DUMMYFUNCTION("""COMPUTED_VALUE"""),"Multimetro Digital")</f>
        <v>Multimetro Digital</v>
      </c>
      <c r="C3136" s="380" t="str">
        <f>IFERROR(__xludf.DUMMYFUNCTION("""COMPUTED_VALUE"""),"50000752")</f>
        <v>50000752</v>
      </c>
      <c r="D3136" s="380" t="s">
        <v>767</v>
      </c>
      <c r="E3136" s="380" t="s">
        <v>781</v>
      </c>
      <c r="F3136" s="380" t="s">
        <v>782</v>
      </c>
      <c r="G3136" s="380" t="s">
        <v>1267</v>
      </c>
      <c r="H3136" s="380" t="s">
        <v>771</v>
      </c>
      <c r="I3136" s="380" t="s">
        <v>784</v>
      </c>
      <c r="J3136" s="380" t="s">
        <v>773</v>
      </c>
      <c r="K3136" s="381">
        <v>0.0</v>
      </c>
      <c r="L3136" s="382">
        <v>1.0</v>
      </c>
    </row>
    <row r="3137">
      <c r="A3137" s="380" t="s">
        <v>4000</v>
      </c>
      <c r="B3137" s="380" t="str">
        <f>IFERROR(__xludf.DUMMYFUNCTION("""COMPUTED_VALUE"""),"Lienza")</f>
        <v>Lienza</v>
      </c>
      <c r="C3137" s="380" t="str">
        <f>IFERROR(__xludf.DUMMYFUNCTION("""COMPUTED_VALUE"""),"50000753")</f>
        <v>50000753</v>
      </c>
      <c r="D3137" s="380" t="s">
        <v>767</v>
      </c>
      <c r="E3137" s="380" t="s">
        <v>781</v>
      </c>
      <c r="F3137" s="380" t="s">
        <v>782</v>
      </c>
      <c r="G3137" s="380" t="s">
        <v>1267</v>
      </c>
      <c r="H3137" s="380" t="s">
        <v>771</v>
      </c>
      <c r="I3137" s="380" t="s">
        <v>784</v>
      </c>
      <c r="J3137" s="380" t="s">
        <v>773</v>
      </c>
      <c r="K3137" s="381">
        <v>0.0</v>
      </c>
      <c r="L3137" s="382">
        <v>1.0</v>
      </c>
    </row>
    <row r="3138">
      <c r="A3138" s="380" t="s">
        <v>4001</v>
      </c>
      <c r="B3138" s="380" t="str">
        <f>IFERROR(__xludf.DUMMYFUNCTION("""COMPUTED_VALUE"""),"Pinza Pinza Contraria Pin De Ojo Tipo B")</f>
        <v>Pinza Pinza Contraria Pin De Ojo Tipo B</v>
      </c>
      <c r="C3138" s="380" t="str">
        <f>IFERROR(__xludf.DUMMYFUNCTION("""COMPUTED_VALUE"""),"50000754")</f>
        <v>50000754</v>
      </c>
      <c r="D3138" s="380" t="s">
        <v>767</v>
      </c>
      <c r="E3138" s="380" t="s">
        <v>781</v>
      </c>
      <c r="F3138" s="380" t="s">
        <v>782</v>
      </c>
      <c r="G3138" s="380" t="s">
        <v>1267</v>
      </c>
      <c r="H3138" s="380" t="s">
        <v>771</v>
      </c>
      <c r="I3138" s="380" t="s">
        <v>784</v>
      </c>
      <c r="J3138" s="380" t="s">
        <v>773</v>
      </c>
      <c r="K3138" s="381">
        <v>0.0</v>
      </c>
      <c r="L3138" s="382">
        <v>1.0</v>
      </c>
    </row>
    <row r="3139">
      <c r="A3139" s="380" t="s">
        <v>4002</v>
      </c>
      <c r="B3139" s="380" t="str">
        <f>IFERROR(__xludf.DUMMYFUNCTION("""COMPUTED_VALUE"""),"Cincel Varios")</f>
        <v>Cincel Varios</v>
      </c>
      <c r="C3139" s="380" t="str">
        <f>IFERROR(__xludf.DUMMYFUNCTION("""COMPUTED_VALUE"""),"50000755")</f>
        <v>50000755</v>
      </c>
      <c r="D3139" s="380" t="s">
        <v>767</v>
      </c>
      <c r="E3139" s="380" t="s">
        <v>781</v>
      </c>
      <c r="F3139" s="380" t="s">
        <v>782</v>
      </c>
      <c r="G3139" s="380" t="s">
        <v>1267</v>
      </c>
      <c r="H3139" s="380" t="s">
        <v>771</v>
      </c>
      <c r="I3139" s="380" t="s">
        <v>784</v>
      </c>
      <c r="J3139" s="380" t="s">
        <v>773</v>
      </c>
      <c r="K3139" s="381">
        <v>0.0</v>
      </c>
      <c r="L3139" s="382">
        <v>1.0</v>
      </c>
    </row>
    <row r="3140">
      <c r="A3140" s="380" t="s">
        <v>4003</v>
      </c>
      <c r="B3140" s="380" t="str">
        <f>IFERROR(__xludf.DUMMYFUNCTION("""COMPUTED_VALUE"""),"Redu Reduccion Cuadrante 1"" A 3/4 Snapon")</f>
        <v>Redu Reduccion Cuadrante 1" A 3/4 Snapon</v>
      </c>
      <c r="C3140" s="380" t="str">
        <f>IFERROR(__xludf.DUMMYFUNCTION("""COMPUTED_VALUE"""),"50000756")</f>
        <v>50000756</v>
      </c>
      <c r="D3140" s="380" t="s">
        <v>767</v>
      </c>
      <c r="E3140" s="380" t="s">
        <v>781</v>
      </c>
      <c r="F3140" s="380" t="s">
        <v>782</v>
      </c>
      <c r="G3140" s="380" t="s">
        <v>1267</v>
      </c>
      <c r="H3140" s="380" t="s">
        <v>771</v>
      </c>
      <c r="I3140" s="380" t="s">
        <v>784</v>
      </c>
      <c r="J3140" s="380" t="s">
        <v>773</v>
      </c>
      <c r="K3140" s="381">
        <v>0.0</v>
      </c>
      <c r="L3140" s="382">
        <v>1.0</v>
      </c>
    </row>
    <row r="3141">
      <c r="A3141" s="380" t="s">
        <v>4004</v>
      </c>
      <c r="B3141" s="380" t="str">
        <f>IFERROR(__xludf.DUMMYFUNCTION("""COMPUTED_VALUE"""),"Almadana De 8 Libras")</f>
        <v>Almadana De 8 Libras</v>
      </c>
      <c r="C3141" s="380" t="str">
        <f>IFERROR(__xludf.DUMMYFUNCTION("""COMPUTED_VALUE"""),"50000757")</f>
        <v>50000757</v>
      </c>
      <c r="D3141" s="380" t="s">
        <v>767</v>
      </c>
      <c r="E3141" s="380" t="s">
        <v>781</v>
      </c>
      <c r="F3141" s="380" t="s">
        <v>782</v>
      </c>
      <c r="G3141" s="380" t="s">
        <v>1267</v>
      </c>
      <c r="H3141" s="380" t="s">
        <v>771</v>
      </c>
      <c r="I3141" s="380" t="s">
        <v>784</v>
      </c>
      <c r="J3141" s="380" t="s">
        <v>773</v>
      </c>
      <c r="K3141" s="381">
        <v>0.0</v>
      </c>
      <c r="L3141" s="382">
        <v>1.0</v>
      </c>
    </row>
    <row r="3142">
      <c r="A3142" s="380" t="s">
        <v>4005</v>
      </c>
      <c r="B3142" s="380" t="str">
        <f>IFERROR(__xludf.DUMMYFUNCTION("""COMPUTED_VALUE"""),"Llave Llave Estrella 1 3/8 X 1 1/4 Proto")</f>
        <v>Llave Llave Estrella 1 3/8 X 1 1/4 Proto</v>
      </c>
      <c r="C3142" s="380" t="str">
        <f>IFERROR(__xludf.DUMMYFUNCTION("""COMPUTED_VALUE"""),"50000758")</f>
        <v>50000758</v>
      </c>
      <c r="D3142" s="380" t="s">
        <v>767</v>
      </c>
      <c r="E3142" s="380" t="s">
        <v>781</v>
      </c>
      <c r="F3142" s="380" t="s">
        <v>782</v>
      </c>
      <c r="G3142" s="380" t="s">
        <v>1267</v>
      </c>
      <c r="H3142" s="380" t="s">
        <v>771</v>
      </c>
      <c r="I3142" s="380" t="s">
        <v>784</v>
      </c>
      <c r="J3142" s="380" t="s">
        <v>773</v>
      </c>
      <c r="K3142" s="381">
        <v>0.0</v>
      </c>
      <c r="L3142" s="382">
        <v>1.0</v>
      </c>
    </row>
    <row r="3143">
      <c r="A3143" s="380" t="s">
        <v>4006</v>
      </c>
      <c r="B3143" s="380" t="str">
        <f>IFERROR(__xludf.DUMMYFUNCTION("""COMPUTED_VALUE"""),"Destornillador Estrella 3/16 X 5"" Proto")</f>
        <v>Destornillador Estrella 3/16 X 5" Proto</v>
      </c>
      <c r="C3143" s="380" t="str">
        <f>IFERROR(__xludf.DUMMYFUNCTION("""COMPUTED_VALUE"""),"50000759")</f>
        <v>50000759</v>
      </c>
      <c r="D3143" s="380" t="s">
        <v>767</v>
      </c>
      <c r="E3143" s="380" t="s">
        <v>781</v>
      </c>
      <c r="F3143" s="380" t="s">
        <v>782</v>
      </c>
      <c r="G3143" s="380" t="s">
        <v>1267</v>
      </c>
      <c r="H3143" s="380" t="s">
        <v>771</v>
      </c>
      <c r="I3143" s="380" t="s">
        <v>784</v>
      </c>
      <c r="J3143" s="380" t="s">
        <v>773</v>
      </c>
      <c r="K3143" s="381">
        <v>0.0</v>
      </c>
      <c r="L3143" s="382">
        <v>1.0</v>
      </c>
    </row>
    <row r="3144">
      <c r="A3144" s="380" t="s">
        <v>4007</v>
      </c>
      <c r="B3144" s="380" t="str">
        <f>IFERROR(__xludf.DUMMYFUNCTION("""COMPUTED_VALUE"""),"Destornillador Pala 1/4 X 4"" Tipo B")</f>
        <v>Destornillador Pala 1/4 X 4" Tipo B</v>
      </c>
      <c r="C3144" s="380" t="str">
        <f>IFERROR(__xludf.DUMMYFUNCTION("""COMPUTED_VALUE"""),"50000760")</f>
        <v>50000760</v>
      </c>
      <c r="D3144" s="380" t="s">
        <v>767</v>
      </c>
      <c r="E3144" s="380" t="s">
        <v>781</v>
      </c>
      <c r="F3144" s="380" t="s">
        <v>782</v>
      </c>
      <c r="G3144" s="380" t="s">
        <v>1267</v>
      </c>
      <c r="H3144" s="380" t="s">
        <v>771</v>
      </c>
      <c r="I3144" s="380" t="s">
        <v>784</v>
      </c>
      <c r="J3144" s="380" t="s">
        <v>773</v>
      </c>
      <c r="K3144" s="381">
        <v>0.0</v>
      </c>
      <c r="L3144" s="382">
        <v>1.0</v>
      </c>
    </row>
    <row r="3145">
      <c r="A3145" s="380" t="s">
        <v>4008</v>
      </c>
      <c r="B3145" s="380" t="str">
        <f>IFERROR(__xludf.DUMMYFUNCTION("""COMPUTED_VALUE"""),"Copa Cuadrante 1/4 X 10mm Williams")</f>
        <v>Copa Cuadrante 1/4 X 10mm Williams</v>
      </c>
      <c r="C3145" s="380" t="str">
        <f>IFERROR(__xludf.DUMMYFUNCTION("""COMPUTED_VALUE"""),"50000761")</f>
        <v>50000761</v>
      </c>
      <c r="D3145" s="380" t="s">
        <v>767</v>
      </c>
      <c r="E3145" s="380" t="s">
        <v>781</v>
      </c>
      <c r="F3145" s="380" t="s">
        <v>782</v>
      </c>
      <c r="G3145" s="380" t="s">
        <v>1267</v>
      </c>
      <c r="H3145" s="380" t="s">
        <v>771</v>
      </c>
      <c r="I3145" s="380" t="s">
        <v>784</v>
      </c>
      <c r="J3145" s="380" t="s">
        <v>773</v>
      </c>
      <c r="K3145" s="381">
        <v>0.0</v>
      </c>
      <c r="L3145" s="382">
        <v>1.0</v>
      </c>
    </row>
    <row r="3146">
      <c r="A3146" s="380" t="s">
        <v>4009</v>
      </c>
      <c r="B3146" s="380" t="str">
        <f>IFERROR(__xludf.DUMMYFUNCTION("""COMPUTED_VALUE"""),"Copa Cuadrante 3/8 X 9 Mm Tipo B")</f>
        <v>Copa Cuadrante 3/8 X 9 Mm Tipo B</v>
      </c>
      <c r="C3146" s="380" t="str">
        <f>IFERROR(__xludf.DUMMYFUNCTION("""COMPUTED_VALUE"""),"50000762")</f>
        <v>50000762</v>
      </c>
      <c r="D3146" s="380" t="s">
        <v>767</v>
      </c>
      <c r="E3146" s="380" t="s">
        <v>781</v>
      </c>
      <c r="F3146" s="380" t="s">
        <v>782</v>
      </c>
      <c r="G3146" s="380" t="s">
        <v>1267</v>
      </c>
      <c r="H3146" s="380" t="s">
        <v>771</v>
      </c>
      <c r="I3146" s="380" t="s">
        <v>784</v>
      </c>
      <c r="J3146" s="380" t="s">
        <v>773</v>
      </c>
      <c r="K3146" s="381">
        <v>0.0</v>
      </c>
      <c r="L3146" s="382">
        <v>1.0</v>
      </c>
    </row>
    <row r="3147">
      <c r="A3147" s="380" t="s">
        <v>4010</v>
      </c>
      <c r="B3147" s="380" t="str">
        <f>IFERROR(__xludf.DUMMYFUNCTION("""COMPUTED_VALUE"""),"Copa Cuadrante 3/8 X 10 Mm Tipo B")</f>
        <v>Copa Cuadrante 3/8 X 10 Mm Tipo B</v>
      </c>
      <c r="C3147" s="380" t="str">
        <f>IFERROR(__xludf.DUMMYFUNCTION("""COMPUTED_VALUE"""),"50000763")</f>
        <v>50000763</v>
      </c>
      <c r="D3147" s="380" t="s">
        <v>767</v>
      </c>
      <c r="E3147" s="380" t="s">
        <v>781</v>
      </c>
      <c r="F3147" s="380" t="s">
        <v>782</v>
      </c>
      <c r="G3147" s="380" t="s">
        <v>1267</v>
      </c>
      <c r="H3147" s="380" t="s">
        <v>771</v>
      </c>
      <c r="I3147" s="380" t="s">
        <v>784</v>
      </c>
      <c r="J3147" s="380" t="s">
        <v>773</v>
      </c>
      <c r="K3147" s="381">
        <v>0.0</v>
      </c>
      <c r="L3147" s="382">
        <v>1.0</v>
      </c>
    </row>
    <row r="3148">
      <c r="A3148" s="380" t="s">
        <v>4011</v>
      </c>
      <c r="B3148" s="380" t="str">
        <f>IFERROR(__xludf.DUMMYFUNCTION("""COMPUTED_VALUE"""),"Copa Cuadrante 3/8 X 12mm Tipo B")</f>
        <v>Copa Cuadrante 3/8 X 12mm Tipo B</v>
      </c>
      <c r="C3148" s="380" t="str">
        <f>IFERROR(__xludf.DUMMYFUNCTION("""COMPUTED_VALUE"""),"50000764")</f>
        <v>50000764</v>
      </c>
      <c r="D3148" s="380" t="s">
        <v>767</v>
      </c>
      <c r="E3148" s="380" t="s">
        <v>781</v>
      </c>
      <c r="F3148" s="380" t="s">
        <v>782</v>
      </c>
      <c r="G3148" s="380" t="s">
        <v>1267</v>
      </c>
      <c r="H3148" s="380" t="s">
        <v>771</v>
      </c>
      <c r="I3148" s="380" t="s">
        <v>784</v>
      </c>
      <c r="J3148" s="380" t="s">
        <v>773</v>
      </c>
      <c r="K3148" s="381">
        <v>0.0</v>
      </c>
      <c r="L3148" s="382">
        <v>1.0</v>
      </c>
    </row>
    <row r="3149">
      <c r="A3149" s="380" t="s">
        <v>4012</v>
      </c>
      <c r="B3149" s="380" t="str">
        <f>IFERROR(__xludf.DUMMYFUNCTION("""COMPUTED_VALUE"""),"Copa Cuadrante 3/8 X 13 Mm Tipo B")</f>
        <v>Copa Cuadrante 3/8 X 13 Mm Tipo B</v>
      </c>
      <c r="C3149" s="380" t="str">
        <f>IFERROR(__xludf.DUMMYFUNCTION("""COMPUTED_VALUE"""),"50000765")</f>
        <v>50000765</v>
      </c>
      <c r="D3149" s="380" t="s">
        <v>767</v>
      </c>
      <c r="E3149" s="380" t="s">
        <v>781</v>
      </c>
      <c r="F3149" s="380" t="s">
        <v>782</v>
      </c>
      <c r="G3149" s="380" t="s">
        <v>1267</v>
      </c>
      <c r="H3149" s="380" t="s">
        <v>771</v>
      </c>
      <c r="I3149" s="380" t="s">
        <v>784</v>
      </c>
      <c r="J3149" s="380" t="s">
        <v>773</v>
      </c>
      <c r="K3149" s="381">
        <v>0.0</v>
      </c>
      <c r="L3149" s="382">
        <v>1.0</v>
      </c>
    </row>
    <row r="3150">
      <c r="A3150" s="380" t="s">
        <v>4013</v>
      </c>
      <c r="B3150" s="380" t="str">
        <f>IFERROR(__xludf.DUMMYFUNCTION("""COMPUTED_VALUE"""),"Copa Cuadrante 3/8 X 14 Mm Tipo B")</f>
        <v>Copa Cuadrante 3/8 X 14 Mm Tipo B</v>
      </c>
      <c r="C3150" s="380" t="str">
        <f>IFERROR(__xludf.DUMMYFUNCTION("""COMPUTED_VALUE"""),"50000766")</f>
        <v>50000766</v>
      </c>
      <c r="D3150" s="380" t="s">
        <v>767</v>
      </c>
      <c r="E3150" s="380" t="s">
        <v>781</v>
      </c>
      <c r="F3150" s="380" t="s">
        <v>782</v>
      </c>
      <c r="G3150" s="380" t="s">
        <v>1267</v>
      </c>
      <c r="H3150" s="380" t="s">
        <v>771</v>
      </c>
      <c r="I3150" s="380" t="s">
        <v>784</v>
      </c>
      <c r="J3150" s="380" t="s">
        <v>773</v>
      </c>
      <c r="K3150" s="381">
        <v>0.0</v>
      </c>
      <c r="L3150" s="382">
        <v>1.0</v>
      </c>
    </row>
    <row r="3151">
      <c r="A3151" s="380" t="s">
        <v>4014</v>
      </c>
      <c r="B3151" s="380" t="str">
        <f>IFERROR(__xludf.DUMMYFUNCTION("""COMPUTED_VALUE"""),"Copa Cuadrante 3/8 X 19 Mm Tipo B")</f>
        <v>Copa Cuadrante 3/8 X 19 Mm Tipo B</v>
      </c>
      <c r="C3151" s="380" t="str">
        <f>IFERROR(__xludf.DUMMYFUNCTION("""COMPUTED_VALUE"""),"50000767")</f>
        <v>50000767</v>
      </c>
      <c r="D3151" s="380" t="s">
        <v>767</v>
      </c>
      <c r="E3151" s="380" t="s">
        <v>781</v>
      </c>
      <c r="F3151" s="380" t="s">
        <v>782</v>
      </c>
      <c r="G3151" s="380" t="s">
        <v>1267</v>
      </c>
      <c r="H3151" s="380" t="s">
        <v>771</v>
      </c>
      <c r="I3151" s="380" t="s">
        <v>784</v>
      </c>
      <c r="J3151" s="380" t="s">
        <v>773</v>
      </c>
      <c r="K3151" s="381">
        <v>0.0</v>
      </c>
      <c r="L3151" s="382">
        <v>1.0</v>
      </c>
    </row>
    <row r="3152">
      <c r="A3152" s="380" t="s">
        <v>4015</v>
      </c>
      <c r="B3152" s="380" t="str">
        <f>IFERROR(__xludf.DUMMYFUNCTION("""COMPUTED_VALUE"""),"Exte Extension Cuadrante 3/8 X 6"" Tipo B")</f>
        <v>Exte Extension Cuadrante 3/8 X 6" Tipo B</v>
      </c>
      <c r="C3152" s="380" t="str">
        <f>IFERROR(__xludf.DUMMYFUNCTION("""COMPUTED_VALUE"""),"50000768")</f>
        <v>50000768</v>
      </c>
      <c r="D3152" s="380" t="s">
        <v>767</v>
      </c>
      <c r="E3152" s="380" t="s">
        <v>781</v>
      </c>
      <c r="F3152" s="380" t="s">
        <v>782</v>
      </c>
      <c r="G3152" s="380" t="s">
        <v>1267</v>
      </c>
      <c r="H3152" s="380" t="s">
        <v>771</v>
      </c>
      <c r="I3152" s="380" t="s">
        <v>784</v>
      </c>
      <c r="J3152" s="380" t="s">
        <v>773</v>
      </c>
      <c r="K3152" s="381">
        <v>0.0</v>
      </c>
      <c r="L3152" s="382">
        <v>1.0</v>
      </c>
    </row>
    <row r="3153">
      <c r="A3153" s="380" t="s">
        <v>4016</v>
      </c>
      <c r="B3153" s="380" t="str">
        <f>IFERROR(__xludf.DUMMYFUNCTION("""COMPUTED_VALUE"""),"Exte Extension Cuadrante 3/8 X 3"" Tipo B")</f>
        <v>Exte Extension Cuadrante 3/8 X 3" Tipo B</v>
      </c>
      <c r="C3153" s="380" t="str">
        <f>IFERROR(__xludf.DUMMYFUNCTION("""COMPUTED_VALUE"""),"50000769")</f>
        <v>50000769</v>
      </c>
      <c r="D3153" s="380" t="s">
        <v>767</v>
      </c>
      <c r="E3153" s="380" t="s">
        <v>781</v>
      </c>
      <c r="F3153" s="380" t="s">
        <v>782</v>
      </c>
      <c r="G3153" s="380" t="s">
        <v>1267</v>
      </c>
      <c r="H3153" s="380" t="s">
        <v>771</v>
      </c>
      <c r="I3153" s="380" t="s">
        <v>784</v>
      </c>
      <c r="J3153" s="380" t="s">
        <v>773</v>
      </c>
      <c r="K3153" s="381">
        <v>0.0</v>
      </c>
      <c r="L3153" s="382">
        <v>1.0</v>
      </c>
    </row>
    <row r="3154">
      <c r="A3154" s="380" t="s">
        <v>4017</v>
      </c>
      <c r="B3154" s="380" t="str">
        <f>IFERROR(__xludf.DUMMYFUNCTION("""COMPUTED_VALUE"""),"Llave Punta Torx T-30")</f>
        <v>Llave Punta Torx T-30</v>
      </c>
      <c r="C3154" s="380" t="str">
        <f>IFERROR(__xludf.DUMMYFUNCTION("""COMPUTED_VALUE"""),"50000770")</f>
        <v>50000770</v>
      </c>
      <c r="D3154" s="380" t="s">
        <v>767</v>
      </c>
      <c r="E3154" s="380" t="s">
        <v>781</v>
      </c>
      <c r="F3154" s="380" t="s">
        <v>782</v>
      </c>
      <c r="G3154" s="380" t="s">
        <v>1267</v>
      </c>
      <c r="H3154" s="380" t="s">
        <v>771</v>
      </c>
      <c r="I3154" s="380" t="s">
        <v>784</v>
      </c>
      <c r="J3154" s="380" t="s">
        <v>773</v>
      </c>
      <c r="K3154" s="381">
        <v>0.0</v>
      </c>
      <c r="L3154" s="382">
        <v>1.0</v>
      </c>
    </row>
    <row r="3155">
      <c r="A3155" s="380" t="s">
        <v>4018</v>
      </c>
      <c r="B3155" s="380" t="str">
        <f>IFERROR(__xludf.DUMMYFUNCTION("""COMPUTED_VALUE"""),"Llave Punta Torx T-27")</f>
        <v>Llave Punta Torx T-27</v>
      </c>
      <c r="C3155" s="380" t="str">
        <f>IFERROR(__xludf.DUMMYFUNCTION("""COMPUTED_VALUE"""),"50000771")</f>
        <v>50000771</v>
      </c>
      <c r="D3155" s="380" t="s">
        <v>767</v>
      </c>
      <c r="E3155" s="380" t="s">
        <v>781</v>
      </c>
      <c r="F3155" s="380" t="s">
        <v>782</v>
      </c>
      <c r="G3155" s="380" t="s">
        <v>1267</v>
      </c>
      <c r="H3155" s="380" t="s">
        <v>771</v>
      </c>
      <c r="I3155" s="380" t="s">
        <v>784</v>
      </c>
      <c r="J3155" s="380" t="s">
        <v>773</v>
      </c>
      <c r="K3155" s="381">
        <v>0.0</v>
      </c>
      <c r="L3155" s="382">
        <v>1.0</v>
      </c>
    </row>
    <row r="3156">
      <c r="A3156" s="380" t="s">
        <v>4019</v>
      </c>
      <c r="B3156" s="380" t="str">
        <f>IFERROR(__xludf.DUMMYFUNCTION("""COMPUTED_VALUE"""),"Llave Punta Torx T-25")</f>
        <v>Llave Punta Torx T-25</v>
      </c>
      <c r="C3156" s="380" t="str">
        <f>IFERROR(__xludf.DUMMYFUNCTION("""COMPUTED_VALUE"""),"50000772")</f>
        <v>50000772</v>
      </c>
      <c r="D3156" s="380" t="s">
        <v>767</v>
      </c>
      <c r="E3156" s="380" t="s">
        <v>781</v>
      </c>
      <c r="F3156" s="380" t="s">
        <v>782</v>
      </c>
      <c r="G3156" s="380" t="s">
        <v>1267</v>
      </c>
      <c r="H3156" s="380" t="s">
        <v>771</v>
      </c>
      <c r="I3156" s="380" t="s">
        <v>784</v>
      </c>
      <c r="J3156" s="380" t="s">
        <v>773</v>
      </c>
      <c r="K3156" s="381">
        <v>0.0</v>
      </c>
      <c r="L3156" s="382">
        <v>1.0</v>
      </c>
    </row>
    <row r="3157">
      <c r="A3157" s="380" t="s">
        <v>4020</v>
      </c>
      <c r="B3157" s="380" t="str">
        <f>IFERROR(__xludf.DUMMYFUNCTION("""COMPUTED_VALUE"""),"Llave Punta Torx T-20")</f>
        <v>Llave Punta Torx T-20</v>
      </c>
      <c r="C3157" s="380" t="str">
        <f>IFERROR(__xludf.DUMMYFUNCTION("""COMPUTED_VALUE"""),"50000773")</f>
        <v>50000773</v>
      </c>
      <c r="D3157" s="380" t="s">
        <v>767</v>
      </c>
      <c r="E3157" s="380" t="s">
        <v>781</v>
      </c>
      <c r="F3157" s="380" t="s">
        <v>782</v>
      </c>
      <c r="G3157" s="380" t="s">
        <v>1267</v>
      </c>
      <c r="H3157" s="380" t="s">
        <v>771</v>
      </c>
      <c r="I3157" s="380" t="s">
        <v>784</v>
      </c>
      <c r="J3157" s="380" t="s">
        <v>773</v>
      </c>
      <c r="K3157" s="381">
        <v>0.0</v>
      </c>
      <c r="L3157" s="382">
        <v>1.0</v>
      </c>
    </row>
    <row r="3158">
      <c r="A3158" s="380" t="s">
        <v>4021</v>
      </c>
      <c r="B3158" s="380" t="str">
        <f>IFERROR(__xludf.DUMMYFUNCTION("""COMPUTED_VALUE"""),"Llave Mixta 10 Mm Tipo B")</f>
        <v>Llave Mixta 10 Mm Tipo B</v>
      </c>
      <c r="C3158" s="380" t="str">
        <f>IFERROR(__xludf.DUMMYFUNCTION("""COMPUTED_VALUE"""),"50000774")</f>
        <v>50000774</v>
      </c>
      <c r="D3158" s="380" t="s">
        <v>767</v>
      </c>
      <c r="E3158" s="380" t="s">
        <v>781</v>
      </c>
      <c r="F3158" s="380" t="s">
        <v>782</v>
      </c>
      <c r="G3158" s="380" t="s">
        <v>1267</v>
      </c>
      <c r="H3158" s="380" t="s">
        <v>771</v>
      </c>
      <c r="I3158" s="380" t="s">
        <v>784</v>
      </c>
      <c r="J3158" s="380" t="s">
        <v>773</v>
      </c>
      <c r="K3158" s="381">
        <v>0.0</v>
      </c>
      <c r="L3158" s="382">
        <v>1.0</v>
      </c>
    </row>
    <row r="3159">
      <c r="A3159" s="380" t="s">
        <v>4022</v>
      </c>
      <c r="B3159" s="380" t="str">
        <f>IFERROR(__xludf.DUMMYFUNCTION("""COMPUTED_VALUE"""),"Llave Expansion 6"" Tipo B")</f>
        <v>Llave Expansion 6" Tipo B</v>
      </c>
      <c r="C3159" s="380" t="str">
        <f>IFERROR(__xludf.DUMMYFUNCTION("""COMPUTED_VALUE"""),"50000775")</f>
        <v>50000775</v>
      </c>
      <c r="D3159" s="380" t="s">
        <v>767</v>
      </c>
      <c r="E3159" s="380" t="s">
        <v>781</v>
      </c>
      <c r="F3159" s="380" t="s">
        <v>782</v>
      </c>
      <c r="G3159" s="380" t="s">
        <v>1267</v>
      </c>
      <c r="H3159" s="380" t="s">
        <v>771</v>
      </c>
      <c r="I3159" s="380" t="s">
        <v>784</v>
      </c>
      <c r="J3159" s="380" t="s">
        <v>773</v>
      </c>
      <c r="K3159" s="381">
        <v>0.0</v>
      </c>
      <c r="L3159" s="382">
        <v>1.0</v>
      </c>
    </row>
    <row r="3160">
      <c r="A3160" s="380" t="s">
        <v>4023</v>
      </c>
      <c r="B3160" s="380" t="str">
        <f>IFERROR(__xludf.DUMMYFUNCTION("""COMPUTED_VALUE"""),"Ponchadora Cable Coaxial")</f>
        <v>Ponchadora Cable Coaxial</v>
      </c>
      <c r="C3160" s="380" t="str">
        <f>IFERROR(__xludf.DUMMYFUNCTION("""COMPUTED_VALUE"""),"50000776")</f>
        <v>50000776</v>
      </c>
      <c r="D3160" s="380" t="s">
        <v>767</v>
      </c>
      <c r="E3160" s="380" t="s">
        <v>781</v>
      </c>
      <c r="F3160" s="380" t="s">
        <v>782</v>
      </c>
      <c r="G3160" s="380" t="s">
        <v>1267</v>
      </c>
      <c r="H3160" s="380" t="s">
        <v>771</v>
      </c>
      <c r="I3160" s="380" t="s">
        <v>784</v>
      </c>
      <c r="J3160" s="380" t="s">
        <v>773</v>
      </c>
      <c r="K3160" s="381">
        <v>0.0</v>
      </c>
      <c r="L3160" s="382">
        <v>1.0</v>
      </c>
    </row>
    <row r="3161">
      <c r="A3161" s="380" t="s">
        <v>4024</v>
      </c>
      <c r="B3161" s="380" t="str">
        <f>IFERROR(__xludf.DUMMYFUNCTION("""COMPUTED_VALUE"""),"Copa Cuadrante 1/4 X 11/32 Snapon")</f>
        <v>Copa Cuadrante 1/4 X 11/32 Snapon</v>
      </c>
      <c r="C3161" s="380" t="str">
        <f>IFERROR(__xludf.DUMMYFUNCTION("""COMPUTED_VALUE"""),"50000777")</f>
        <v>50000777</v>
      </c>
      <c r="D3161" s="380" t="s">
        <v>767</v>
      </c>
      <c r="E3161" s="380" t="s">
        <v>781</v>
      </c>
      <c r="F3161" s="380" t="s">
        <v>782</v>
      </c>
      <c r="G3161" s="380" t="s">
        <v>1267</v>
      </c>
      <c r="H3161" s="380" t="s">
        <v>771</v>
      </c>
      <c r="I3161" s="380" t="s">
        <v>784</v>
      </c>
      <c r="J3161" s="380" t="s">
        <v>773</v>
      </c>
      <c r="K3161" s="381">
        <v>0.0</v>
      </c>
      <c r="L3161" s="382">
        <v>1.0</v>
      </c>
    </row>
    <row r="3162">
      <c r="A3162" s="380" t="s">
        <v>4025</v>
      </c>
      <c r="B3162" s="380" t="str">
        <f>IFERROR(__xludf.DUMMYFUNCTION("""COMPUTED_VALUE"""),"Copa Larga Cuadrante 3/8 X 11mm Snapon")</f>
        <v>Copa Larga Cuadrante 3/8 X 11mm Snapon</v>
      </c>
      <c r="C3162" s="380" t="str">
        <f>IFERROR(__xludf.DUMMYFUNCTION("""COMPUTED_VALUE"""),"50000779")</f>
        <v>50000779</v>
      </c>
      <c r="D3162" s="380" t="s">
        <v>767</v>
      </c>
      <c r="E3162" s="380" t="s">
        <v>781</v>
      </c>
      <c r="F3162" s="380" t="s">
        <v>782</v>
      </c>
      <c r="G3162" s="380" t="s">
        <v>1267</v>
      </c>
      <c r="H3162" s="380" t="s">
        <v>771</v>
      </c>
      <c r="I3162" s="380" t="s">
        <v>784</v>
      </c>
      <c r="J3162" s="380" t="s">
        <v>773</v>
      </c>
      <c r="K3162" s="381">
        <v>0.0</v>
      </c>
      <c r="L3162" s="382">
        <v>1.0</v>
      </c>
    </row>
    <row r="3163">
      <c r="A3163" s="380" t="s">
        <v>4026</v>
      </c>
      <c r="B3163" s="380" t="str">
        <f>IFERROR(__xludf.DUMMYFUNCTION("""COMPUTED_VALUE"""),"Copa Larga Cuadrante 3/8 X 12 Mm Snapon")</f>
        <v>Copa Larga Cuadrante 3/8 X 12 Mm Snapon</v>
      </c>
      <c r="C3163" s="380" t="str">
        <f>IFERROR(__xludf.DUMMYFUNCTION("""COMPUTED_VALUE"""),"50000780")</f>
        <v>50000780</v>
      </c>
      <c r="D3163" s="380" t="s">
        <v>767</v>
      </c>
      <c r="E3163" s="380" t="s">
        <v>781</v>
      </c>
      <c r="F3163" s="380" t="s">
        <v>782</v>
      </c>
      <c r="G3163" s="380" t="s">
        <v>1267</v>
      </c>
      <c r="H3163" s="380" t="s">
        <v>771</v>
      </c>
      <c r="I3163" s="380" t="s">
        <v>784</v>
      </c>
      <c r="J3163" s="380" t="s">
        <v>773</v>
      </c>
      <c r="K3163" s="381">
        <v>0.0</v>
      </c>
      <c r="L3163" s="382">
        <v>1.0</v>
      </c>
    </row>
    <row r="3164">
      <c r="A3164" s="380" t="s">
        <v>4027</v>
      </c>
      <c r="B3164" s="380" t="str">
        <f>IFERROR(__xludf.DUMMYFUNCTION("""COMPUTED_VALUE"""),"Copa Larga Cuadrante 3/8 X 13 Mm Snapon")</f>
        <v>Copa Larga Cuadrante 3/8 X 13 Mm Snapon</v>
      </c>
      <c r="C3164" s="380" t="str">
        <f>IFERROR(__xludf.DUMMYFUNCTION("""COMPUTED_VALUE"""),"50000781")</f>
        <v>50000781</v>
      </c>
      <c r="D3164" s="380" t="s">
        <v>767</v>
      </c>
      <c r="E3164" s="380" t="s">
        <v>781</v>
      </c>
      <c r="F3164" s="380" t="s">
        <v>782</v>
      </c>
      <c r="G3164" s="380" t="s">
        <v>1267</v>
      </c>
      <c r="H3164" s="380" t="s">
        <v>771</v>
      </c>
      <c r="I3164" s="380" t="s">
        <v>784</v>
      </c>
      <c r="J3164" s="380" t="s">
        <v>773</v>
      </c>
      <c r="K3164" s="381">
        <v>0.0</v>
      </c>
      <c r="L3164" s="382">
        <v>1.0</v>
      </c>
    </row>
    <row r="3165">
      <c r="A3165" s="380" t="s">
        <v>4028</v>
      </c>
      <c r="B3165" s="380" t="str">
        <f>IFERROR(__xludf.DUMMYFUNCTION("""COMPUTED_VALUE"""),"Copa Larga Cuadrante 3/8 X 16 Mm Snapon")</f>
        <v>Copa Larga Cuadrante 3/8 X 16 Mm Snapon</v>
      </c>
      <c r="C3165" s="380" t="str">
        <f>IFERROR(__xludf.DUMMYFUNCTION("""COMPUTED_VALUE"""),"50000782")</f>
        <v>50000782</v>
      </c>
      <c r="D3165" s="380" t="s">
        <v>767</v>
      </c>
      <c r="E3165" s="380" t="s">
        <v>781</v>
      </c>
      <c r="F3165" s="380" t="s">
        <v>782</v>
      </c>
      <c r="G3165" s="380" t="s">
        <v>1267</v>
      </c>
      <c r="H3165" s="380" t="s">
        <v>771</v>
      </c>
      <c r="I3165" s="380" t="s">
        <v>784</v>
      </c>
      <c r="J3165" s="380" t="s">
        <v>773</v>
      </c>
      <c r="K3165" s="381">
        <v>0.0</v>
      </c>
      <c r="L3165" s="382">
        <v>1.0</v>
      </c>
    </row>
    <row r="3166">
      <c r="A3166" s="380" t="s">
        <v>4029</v>
      </c>
      <c r="B3166" s="380" t="str">
        <f>IFERROR(__xludf.DUMMYFUNCTION("""COMPUTED_VALUE"""),"Copa Larga Cuadrante 3/8 X 18 Mm Snapon")</f>
        <v>Copa Larga Cuadrante 3/8 X 18 Mm Snapon</v>
      </c>
      <c r="C3166" s="380" t="str">
        <f>IFERROR(__xludf.DUMMYFUNCTION("""COMPUTED_VALUE"""),"50000783")</f>
        <v>50000783</v>
      </c>
      <c r="D3166" s="380" t="s">
        <v>767</v>
      </c>
      <c r="E3166" s="380" t="s">
        <v>781</v>
      </c>
      <c r="F3166" s="380" t="s">
        <v>782</v>
      </c>
      <c r="G3166" s="380" t="s">
        <v>1267</v>
      </c>
      <c r="H3166" s="380" t="s">
        <v>771</v>
      </c>
      <c r="I3166" s="380" t="s">
        <v>784</v>
      </c>
      <c r="J3166" s="380" t="s">
        <v>773</v>
      </c>
      <c r="K3166" s="381">
        <v>0.0</v>
      </c>
      <c r="L3166" s="382">
        <v>1.0</v>
      </c>
    </row>
    <row r="3167">
      <c r="A3167" s="380" t="s">
        <v>4030</v>
      </c>
      <c r="B3167" s="380" t="str">
        <f>IFERROR(__xludf.DUMMYFUNCTION("""COMPUTED_VALUE"""),"Copa Larga Cuadrante 3/8 X 19 Mm Snapon")</f>
        <v>Copa Larga Cuadrante 3/8 X 19 Mm Snapon</v>
      </c>
      <c r="C3167" s="380" t="str">
        <f>IFERROR(__xludf.DUMMYFUNCTION("""COMPUTED_VALUE"""),"50000784")</f>
        <v>50000784</v>
      </c>
      <c r="D3167" s="380" t="s">
        <v>767</v>
      </c>
      <c r="E3167" s="380" t="s">
        <v>781</v>
      </c>
      <c r="F3167" s="380" t="s">
        <v>782</v>
      </c>
      <c r="G3167" s="380" t="s">
        <v>1267</v>
      </c>
      <c r="H3167" s="380" t="s">
        <v>771</v>
      </c>
      <c r="I3167" s="380" t="s">
        <v>784</v>
      </c>
      <c r="J3167" s="380" t="s">
        <v>773</v>
      </c>
      <c r="K3167" s="381">
        <v>0.0</v>
      </c>
      <c r="L3167" s="382">
        <v>1.0</v>
      </c>
    </row>
    <row r="3168">
      <c r="A3168" s="380" t="s">
        <v>4031</v>
      </c>
      <c r="B3168" s="380" t="str">
        <f>IFERROR(__xludf.DUMMYFUNCTION("""COMPUTED_VALUE"""),"Cortador De Tubo 30mm")</f>
        <v>Cortador De Tubo 30mm</v>
      </c>
      <c r="C3168" s="380" t="str">
        <f>IFERROR(__xludf.DUMMYFUNCTION("""COMPUTED_VALUE"""),"50000785")</f>
        <v>50000785</v>
      </c>
      <c r="D3168" s="380" t="s">
        <v>767</v>
      </c>
      <c r="E3168" s="380" t="s">
        <v>781</v>
      </c>
      <c r="F3168" s="380" t="s">
        <v>782</v>
      </c>
      <c r="G3168" s="380" t="s">
        <v>1267</v>
      </c>
      <c r="H3168" s="380" t="s">
        <v>771</v>
      </c>
      <c r="I3168" s="380" t="s">
        <v>784</v>
      </c>
      <c r="J3168" s="380" t="s">
        <v>773</v>
      </c>
      <c r="K3168" s="381">
        <v>0.0</v>
      </c>
      <c r="L3168" s="382">
        <v>1.0</v>
      </c>
    </row>
    <row r="3169">
      <c r="A3169" s="380" t="s">
        <v>4032</v>
      </c>
      <c r="B3169" s="380" t="str">
        <f>IFERROR(__xludf.DUMMYFUNCTION("""COMPUTED_VALUE"""),"Destronillador Pala 5/16 X 10"" Tipo B")</f>
        <v>Destronillador Pala 5/16 X 10" Tipo B</v>
      </c>
      <c r="C3169" s="380" t="str">
        <f>IFERROR(__xludf.DUMMYFUNCTION("""COMPUTED_VALUE"""),"50000786")</f>
        <v>50000786</v>
      </c>
      <c r="D3169" s="380" t="s">
        <v>767</v>
      </c>
      <c r="E3169" s="380" t="s">
        <v>781</v>
      </c>
      <c r="F3169" s="380" t="s">
        <v>782</v>
      </c>
      <c r="G3169" s="380" t="s">
        <v>1267</v>
      </c>
      <c r="H3169" s="380" t="s">
        <v>771</v>
      </c>
      <c r="I3169" s="380" t="s">
        <v>784</v>
      </c>
      <c r="J3169" s="380" t="s">
        <v>773</v>
      </c>
      <c r="K3169" s="381">
        <v>0.0</v>
      </c>
      <c r="L3169" s="382">
        <v>1.0</v>
      </c>
    </row>
    <row r="3170">
      <c r="A3170" s="380" t="s">
        <v>4033</v>
      </c>
      <c r="B3170" s="380" t="str">
        <f>IFERROR(__xludf.DUMMYFUNCTION("""COMPUTED_VALUE"""),"Exten Extension Cuadrante 3/4 X 8 Tipo B")</f>
        <v>Exten Extension Cuadrante 3/4 X 8 Tipo B</v>
      </c>
      <c r="C3170" s="380" t="str">
        <f>IFERROR(__xludf.DUMMYFUNCTION("""COMPUTED_VALUE"""),"50000787")</f>
        <v>50000787</v>
      </c>
      <c r="D3170" s="380" t="s">
        <v>767</v>
      </c>
      <c r="E3170" s="380" t="s">
        <v>781</v>
      </c>
      <c r="F3170" s="380" t="s">
        <v>782</v>
      </c>
      <c r="G3170" s="380" t="s">
        <v>1267</v>
      </c>
      <c r="H3170" s="380" t="s">
        <v>771</v>
      </c>
      <c r="I3170" s="380" t="s">
        <v>784</v>
      </c>
      <c r="J3170" s="380" t="s">
        <v>773</v>
      </c>
      <c r="K3170" s="381">
        <v>0.0</v>
      </c>
      <c r="L3170" s="382">
        <v>1.0</v>
      </c>
    </row>
    <row r="3171">
      <c r="A3171" s="380" t="s">
        <v>4034</v>
      </c>
      <c r="B3171" s="380" t="str">
        <f>IFERROR(__xludf.DUMMYFUNCTION("""COMPUTED_VALUE"""),"Gat Gato Botella Hidraulico 25 Toneladas")</f>
        <v>Gat Gato Botella Hidraulico 25 Toneladas</v>
      </c>
      <c r="C3171" s="380" t="str">
        <f>IFERROR(__xludf.DUMMYFUNCTION("""COMPUTED_VALUE"""),"50000788")</f>
        <v>50000788</v>
      </c>
      <c r="D3171" s="380" t="s">
        <v>767</v>
      </c>
      <c r="E3171" s="380" t="s">
        <v>781</v>
      </c>
      <c r="F3171" s="380" t="s">
        <v>782</v>
      </c>
      <c r="G3171" s="380" t="s">
        <v>1267</v>
      </c>
      <c r="H3171" s="380" t="s">
        <v>771</v>
      </c>
      <c r="I3171" s="380" t="s">
        <v>784</v>
      </c>
      <c r="J3171" s="380" t="s">
        <v>773</v>
      </c>
      <c r="K3171" s="381">
        <v>0.0</v>
      </c>
      <c r="L3171" s="382">
        <v>1.0</v>
      </c>
    </row>
    <row r="3172">
      <c r="A3172" s="380" t="s">
        <v>4035</v>
      </c>
      <c r="B3172" s="380" t="str">
        <f>IFERROR(__xludf.DUMMYFUNCTION("""COMPUTED_VALUE"""),"Lima Plana De 14""")</f>
        <v>Lima Plana De 14"</v>
      </c>
      <c r="C3172" s="380" t="str">
        <f>IFERROR(__xludf.DUMMYFUNCTION("""COMPUTED_VALUE"""),"50000789")</f>
        <v>50000789</v>
      </c>
      <c r="D3172" s="380" t="s">
        <v>767</v>
      </c>
      <c r="E3172" s="380" t="s">
        <v>781</v>
      </c>
      <c r="F3172" s="380" t="s">
        <v>782</v>
      </c>
      <c r="G3172" s="380" t="s">
        <v>1267</v>
      </c>
      <c r="H3172" s="380" t="s">
        <v>771</v>
      </c>
      <c r="I3172" s="380" t="s">
        <v>784</v>
      </c>
      <c r="J3172" s="380" t="s">
        <v>773</v>
      </c>
      <c r="K3172" s="381">
        <v>0.0</v>
      </c>
      <c r="L3172" s="382">
        <v>1.0</v>
      </c>
    </row>
    <row r="3173">
      <c r="A3173" s="380" t="s">
        <v>4036</v>
      </c>
      <c r="B3173" s="380" t="str">
        <f>IFERROR(__xludf.DUMMYFUNCTION("""COMPUTED_VALUE"""),"Llave Llave Boca Fija 5/16 X 1/4 Tipo B")</f>
        <v>Llave Llave Boca Fija 5/16 X 1/4 Tipo B</v>
      </c>
      <c r="C3173" s="380" t="str">
        <f>IFERROR(__xludf.DUMMYFUNCTION("""COMPUTED_VALUE"""),"50000790")</f>
        <v>50000790</v>
      </c>
      <c r="D3173" s="380" t="s">
        <v>767</v>
      </c>
      <c r="E3173" s="380" t="s">
        <v>781</v>
      </c>
      <c r="F3173" s="380" t="s">
        <v>782</v>
      </c>
      <c r="G3173" s="380" t="s">
        <v>1267</v>
      </c>
      <c r="H3173" s="380" t="s">
        <v>771</v>
      </c>
      <c r="I3173" s="380" t="s">
        <v>784</v>
      </c>
      <c r="J3173" s="380" t="s">
        <v>773</v>
      </c>
      <c r="K3173" s="381">
        <v>0.0</v>
      </c>
      <c r="L3173" s="382">
        <v>1.0</v>
      </c>
    </row>
    <row r="3174">
      <c r="A3174" s="380" t="s">
        <v>4037</v>
      </c>
      <c r="B3174" s="380" t="str">
        <f>IFERROR(__xludf.DUMMYFUNCTION("""COMPUTED_VALUE"""),"Llav Llave Estrella 1 1/16 X 1 1/8 Proto")</f>
        <v>Llav Llave Estrella 1 1/16 X 1 1/8 Proto</v>
      </c>
      <c r="C3174" s="380" t="str">
        <f>IFERROR(__xludf.DUMMYFUNCTION("""COMPUTED_VALUE"""),"50000791")</f>
        <v>50000791</v>
      </c>
      <c r="D3174" s="380" t="s">
        <v>767</v>
      </c>
      <c r="E3174" s="380" t="s">
        <v>781</v>
      </c>
      <c r="F3174" s="380" t="s">
        <v>782</v>
      </c>
      <c r="G3174" s="380" t="s">
        <v>1267</v>
      </c>
      <c r="H3174" s="380" t="s">
        <v>771</v>
      </c>
      <c r="I3174" s="380" t="s">
        <v>784</v>
      </c>
      <c r="J3174" s="380" t="s">
        <v>773</v>
      </c>
      <c r="K3174" s="381">
        <v>0.0</v>
      </c>
      <c r="L3174" s="382">
        <v>1.0</v>
      </c>
    </row>
    <row r="3175">
      <c r="A3175" s="380" t="s">
        <v>4038</v>
      </c>
      <c r="B3175" s="380" t="str">
        <f>IFERROR(__xludf.DUMMYFUNCTION("""COMPUTED_VALUE"""),"Copa Cuadrante 3/4 X 1 5/8 Tipo B")</f>
        <v>Copa Cuadrante 3/4 X 1 5/8 Tipo B</v>
      </c>
      <c r="C3175" s="380" t="str">
        <f>IFERROR(__xludf.DUMMYFUNCTION("""COMPUTED_VALUE"""),"50000792")</f>
        <v>50000792</v>
      </c>
      <c r="D3175" s="380" t="s">
        <v>767</v>
      </c>
      <c r="E3175" s="380" t="s">
        <v>781</v>
      </c>
      <c r="F3175" s="380" t="s">
        <v>782</v>
      </c>
      <c r="G3175" s="380" t="s">
        <v>1267</v>
      </c>
      <c r="H3175" s="380" t="s">
        <v>771</v>
      </c>
      <c r="I3175" s="380" t="s">
        <v>784</v>
      </c>
      <c r="J3175" s="380" t="s">
        <v>773</v>
      </c>
      <c r="K3175" s="381">
        <v>0.0</v>
      </c>
      <c r="L3175" s="382">
        <v>1.0</v>
      </c>
    </row>
    <row r="3176">
      <c r="A3176" s="380" t="s">
        <v>4039</v>
      </c>
      <c r="B3176" s="380" t="str">
        <f>IFERROR(__xludf.DUMMYFUNCTION("""COMPUTED_VALUE"""),"Copa Cuadrante 1/2 X 9/16 Tipo B")</f>
        <v>Copa Cuadrante 1/2 X 9/16 Tipo B</v>
      </c>
      <c r="C3176" s="380" t="str">
        <f>IFERROR(__xludf.DUMMYFUNCTION("""COMPUTED_VALUE"""),"50000793")</f>
        <v>50000793</v>
      </c>
      <c r="D3176" s="380" t="s">
        <v>767</v>
      </c>
      <c r="E3176" s="380" t="s">
        <v>781</v>
      </c>
      <c r="F3176" s="380" t="s">
        <v>782</v>
      </c>
      <c r="G3176" s="380" t="s">
        <v>1267</v>
      </c>
      <c r="H3176" s="380" t="s">
        <v>771</v>
      </c>
      <c r="I3176" s="380" t="s">
        <v>784</v>
      </c>
      <c r="J3176" s="380" t="s">
        <v>773</v>
      </c>
      <c r="K3176" s="381">
        <v>0.0</v>
      </c>
      <c r="L3176" s="382">
        <v>1.0</v>
      </c>
    </row>
    <row r="3177">
      <c r="A3177" s="380" t="s">
        <v>4040</v>
      </c>
      <c r="B3177" s="380" t="str">
        <f>IFERROR(__xludf.DUMMYFUNCTION("""COMPUTED_VALUE"""),"Extractor De Guillotina Proto")</f>
        <v>Extractor De Guillotina Proto</v>
      </c>
      <c r="C3177" s="380" t="str">
        <f>IFERROR(__xludf.DUMMYFUNCTION("""COMPUTED_VALUE"""),"50000794")</f>
        <v>50000794</v>
      </c>
      <c r="D3177" s="380" t="s">
        <v>767</v>
      </c>
      <c r="E3177" s="380" t="s">
        <v>781</v>
      </c>
      <c r="F3177" s="380" t="s">
        <v>782</v>
      </c>
      <c r="G3177" s="380" t="s">
        <v>1267</v>
      </c>
      <c r="H3177" s="380" t="s">
        <v>771</v>
      </c>
      <c r="I3177" s="380" t="s">
        <v>784</v>
      </c>
      <c r="J3177" s="380" t="s">
        <v>773</v>
      </c>
      <c r="K3177" s="381">
        <v>0.0</v>
      </c>
      <c r="L3177" s="382">
        <v>1.0</v>
      </c>
    </row>
    <row r="3178">
      <c r="A3178" s="380" t="s">
        <v>4041</v>
      </c>
      <c r="B3178" s="380" t="str">
        <f>IFERROR(__xludf.DUMMYFUNCTION("""COMPUTED_VALUE"""),"Destornillador Pala 1/8 X 8"" Tipo B")</f>
        <v>Destornillador Pala 1/8 X 8" Tipo B</v>
      </c>
      <c r="C3178" s="380" t="str">
        <f>IFERROR(__xludf.DUMMYFUNCTION("""COMPUTED_VALUE"""),"50000795")</f>
        <v>50000795</v>
      </c>
      <c r="D3178" s="380" t="s">
        <v>767</v>
      </c>
      <c r="E3178" s="380" t="s">
        <v>781</v>
      </c>
      <c r="F3178" s="380" t="s">
        <v>782</v>
      </c>
      <c r="G3178" s="380" t="s">
        <v>1267</v>
      </c>
      <c r="H3178" s="380" t="s">
        <v>771</v>
      </c>
      <c r="I3178" s="380" t="s">
        <v>784</v>
      </c>
      <c r="J3178" s="380" t="s">
        <v>773</v>
      </c>
      <c r="K3178" s="381">
        <v>0.0</v>
      </c>
      <c r="L3178" s="382">
        <v>1.0</v>
      </c>
    </row>
    <row r="3179">
      <c r="A3179" s="380" t="s">
        <v>4042</v>
      </c>
      <c r="B3179" s="380" t="str">
        <f>IFERROR(__xludf.DUMMYFUNCTION("""COMPUTED_VALUE"""),"Destornillador Estrella 1/8 X 3"" Tipo B")</f>
        <v>Destornillador Estrella 1/8 X 3" Tipo B</v>
      </c>
      <c r="C3179" s="380" t="str">
        <f>IFERROR(__xludf.DUMMYFUNCTION("""COMPUTED_VALUE"""),"50000796")</f>
        <v>50000796</v>
      </c>
      <c r="D3179" s="380" t="s">
        <v>767</v>
      </c>
      <c r="E3179" s="380" t="s">
        <v>781</v>
      </c>
      <c r="F3179" s="380" t="s">
        <v>782</v>
      </c>
      <c r="G3179" s="380" t="s">
        <v>1267</v>
      </c>
      <c r="H3179" s="380" t="s">
        <v>771</v>
      </c>
      <c r="I3179" s="380" t="s">
        <v>784</v>
      </c>
      <c r="J3179" s="380" t="s">
        <v>773</v>
      </c>
      <c r="K3179" s="381">
        <v>0.0</v>
      </c>
      <c r="L3179" s="382">
        <v>1.0</v>
      </c>
    </row>
    <row r="3180">
      <c r="A3180" s="380" t="s">
        <v>4043</v>
      </c>
      <c r="B3180" s="380" t="str">
        <f>IFERROR(__xludf.DUMMYFUNCTION("""COMPUTED_VALUE"""),"Pistola Soldadura Estaño")</f>
        <v>Pistola Soldadura Estaño</v>
      </c>
      <c r="C3180" s="380" t="str">
        <f>IFERROR(__xludf.DUMMYFUNCTION("""COMPUTED_VALUE"""),"50000797")</f>
        <v>50000797</v>
      </c>
      <c r="D3180" s="380" t="s">
        <v>767</v>
      </c>
      <c r="E3180" s="380" t="s">
        <v>781</v>
      </c>
      <c r="F3180" s="380" t="s">
        <v>782</v>
      </c>
      <c r="G3180" s="380" t="s">
        <v>1267</v>
      </c>
      <c r="H3180" s="380" t="s">
        <v>771</v>
      </c>
      <c r="I3180" s="380" t="s">
        <v>784</v>
      </c>
      <c r="J3180" s="380" t="s">
        <v>773</v>
      </c>
      <c r="K3180" s="381">
        <v>0.0</v>
      </c>
      <c r="L3180" s="382">
        <v>1.0</v>
      </c>
    </row>
    <row r="3181">
      <c r="A3181" s="380" t="s">
        <v>4044</v>
      </c>
      <c r="B3181" s="380" t="str">
        <f>IFERROR(__xludf.DUMMYFUNCTION("""COMPUTED_VALUE"""),"Llave Mixta 7mm Proto")</f>
        <v>Llave Mixta 7mm Proto</v>
      </c>
      <c r="C3181" s="380" t="str">
        <f>IFERROR(__xludf.DUMMYFUNCTION("""COMPUTED_VALUE"""),"50000798")</f>
        <v>50000798</v>
      </c>
      <c r="D3181" s="380" t="s">
        <v>767</v>
      </c>
      <c r="E3181" s="380" t="s">
        <v>781</v>
      </c>
      <c r="F3181" s="380" t="s">
        <v>782</v>
      </c>
      <c r="G3181" s="380" t="s">
        <v>1267</v>
      </c>
      <c r="H3181" s="380" t="s">
        <v>771</v>
      </c>
      <c r="I3181" s="380" t="s">
        <v>784</v>
      </c>
      <c r="J3181" s="380" t="s">
        <v>773</v>
      </c>
      <c r="K3181" s="381">
        <v>0.0</v>
      </c>
      <c r="L3181" s="382">
        <v>1.0</v>
      </c>
    </row>
    <row r="3182">
      <c r="A3182" s="380" t="s">
        <v>4045</v>
      </c>
      <c r="B3182" s="380" t="str">
        <f>IFERROR(__xludf.DUMMYFUNCTION("""COMPUTED_VALUE"""),"Destornillador Impacto Cuadrante 5/16 Le")</f>
        <v>Destornillador Impacto Cuadrante 5/16 Le</v>
      </c>
      <c r="C3182" s="380" t="str">
        <f>IFERROR(__xludf.DUMMYFUNCTION("""COMPUTED_VALUE"""),"50000799")</f>
        <v>50000799</v>
      </c>
      <c r="D3182" s="380" t="s">
        <v>767</v>
      </c>
      <c r="E3182" s="380" t="s">
        <v>781</v>
      </c>
      <c r="F3182" s="380" t="s">
        <v>782</v>
      </c>
      <c r="G3182" s="380" t="s">
        <v>1267</v>
      </c>
      <c r="H3182" s="380" t="s">
        <v>771</v>
      </c>
      <c r="I3182" s="380" t="s">
        <v>784</v>
      </c>
      <c r="J3182" s="380" t="s">
        <v>773</v>
      </c>
      <c r="K3182" s="381">
        <v>0.0</v>
      </c>
      <c r="L3182" s="382">
        <v>1.0</v>
      </c>
    </row>
    <row r="3183">
      <c r="A3183" s="380" t="s">
        <v>4046</v>
      </c>
      <c r="B3183" s="380" t="str">
        <f>IFERROR(__xludf.DUMMYFUNCTION("""COMPUTED_VALUE"""),"Llave Hexagona 12mm Tipo B")</f>
        <v>Llave Hexagona 12mm Tipo B</v>
      </c>
      <c r="C3183" s="380" t="str">
        <f>IFERROR(__xludf.DUMMYFUNCTION("""COMPUTED_VALUE"""),"50000800")</f>
        <v>50000800</v>
      </c>
      <c r="D3183" s="380" t="s">
        <v>767</v>
      </c>
      <c r="E3183" s="380" t="s">
        <v>781</v>
      </c>
      <c r="F3183" s="380" t="s">
        <v>782</v>
      </c>
      <c r="G3183" s="380" t="s">
        <v>1267</v>
      </c>
      <c r="H3183" s="380" t="s">
        <v>771</v>
      </c>
      <c r="I3183" s="380" t="s">
        <v>784</v>
      </c>
      <c r="J3183" s="380" t="s">
        <v>773</v>
      </c>
      <c r="K3183" s="381">
        <v>0.0</v>
      </c>
      <c r="L3183" s="382">
        <v>1.0</v>
      </c>
    </row>
    <row r="3184">
      <c r="A3184" s="380" t="s">
        <v>4047</v>
      </c>
      <c r="B3184" s="380" t="str">
        <f>IFERROR(__xludf.DUMMYFUNCTION("""COMPUTED_VALUE"""),"Llave Hexagona 8mm Tipo B")</f>
        <v>Llave Hexagona 8mm Tipo B</v>
      </c>
      <c r="C3184" s="380" t="str">
        <f>IFERROR(__xludf.DUMMYFUNCTION("""COMPUTED_VALUE"""),"50000801")</f>
        <v>50000801</v>
      </c>
      <c r="D3184" s="380" t="s">
        <v>767</v>
      </c>
      <c r="E3184" s="380" t="s">
        <v>781</v>
      </c>
      <c r="F3184" s="380" t="s">
        <v>782</v>
      </c>
      <c r="G3184" s="380" t="s">
        <v>1267</v>
      </c>
      <c r="H3184" s="380" t="s">
        <v>771</v>
      </c>
      <c r="I3184" s="380" t="s">
        <v>784</v>
      </c>
      <c r="J3184" s="380" t="s">
        <v>773</v>
      </c>
      <c r="K3184" s="381">
        <v>0.0</v>
      </c>
      <c r="L3184" s="382">
        <v>1.0</v>
      </c>
    </row>
    <row r="3185">
      <c r="A3185" s="380" t="s">
        <v>4048</v>
      </c>
      <c r="B3185" s="380" t="str">
        <f>IFERROR(__xludf.DUMMYFUNCTION("""COMPUTED_VALUE"""),"Copa Cuadrante 1/2 X 1 7/16 Proto")</f>
        <v>Copa Cuadrante 1/2 X 1 7/16 Proto</v>
      </c>
      <c r="C3185" s="380" t="str">
        <f>IFERROR(__xludf.DUMMYFUNCTION("""COMPUTED_VALUE"""),"50000802")</f>
        <v>50000802</v>
      </c>
      <c r="D3185" s="380" t="s">
        <v>767</v>
      </c>
      <c r="E3185" s="380" t="s">
        <v>781</v>
      </c>
      <c r="F3185" s="380" t="s">
        <v>782</v>
      </c>
      <c r="G3185" s="380" t="s">
        <v>1267</v>
      </c>
      <c r="H3185" s="380" t="s">
        <v>771</v>
      </c>
      <c r="I3185" s="380" t="s">
        <v>784</v>
      </c>
      <c r="J3185" s="380" t="s">
        <v>773</v>
      </c>
      <c r="K3185" s="381">
        <v>0.0</v>
      </c>
      <c r="L3185" s="382">
        <v>1.0</v>
      </c>
    </row>
    <row r="3186">
      <c r="A3186" s="380" t="s">
        <v>4049</v>
      </c>
      <c r="B3186" s="380" t="str">
        <f>IFERROR(__xludf.DUMMYFUNCTION("""COMPUTED_VALUE"""),"Copa Impacto Cuadrante 1/2 X 14 Mm Prot")</f>
        <v>Copa Impacto Cuadrante 1/2 X 14 Mm Prot</v>
      </c>
      <c r="C3186" s="380" t="str">
        <f>IFERROR(__xludf.DUMMYFUNCTION("""COMPUTED_VALUE"""),"50000803")</f>
        <v>50000803</v>
      </c>
      <c r="D3186" s="380" t="s">
        <v>767</v>
      </c>
      <c r="E3186" s="380" t="s">
        <v>781</v>
      </c>
      <c r="F3186" s="380" t="s">
        <v>782</v>
      </c>
      <c r="G3186" s="380" t="s">
        <v>1267</v>
      </c>
      <c r="H3186" s="380" t="s">
        <v>771</v>
      </c>
      <c r="I3186" s="380" t="s">
        <v>784</v>
      </c>
      <c r="J3186" s="380" t="s">
        <v>773</v>
      </c>
      <c r="K3186" s="381">
        <v>0.0</v>
      </c>
      <c r="L3186" s="382">
        <v>1.0</v>
      </c>
    </row>
    <row r="3187">
      <c r="A3187" s="380" t="s">
        <v>4050</v>
      </c>
      <c r="B3187" s="380" t="str">
        <f>IFERROR(__xludf.DUMMYFUNCTION("""COMPUTED_VALUE"""),"Copa Cuadrante 1/2 X 15mm Snapon")</f>
        <v>Copa Cuadrante 1/2 X 15mm Snapon</v>
      </c>
      <c r="C3187" s="380" t="str">
        <f>IFERROR(__xludf.DUMMYFUNCTION("""COMPUTED_VALUE"""),"50000804")</f>
        <v>50000804</v>
      </c>
      <c r="D3187" s="380" t="s">
        <v>767</v>
      </c>
      <c r="E3187" s="380" t="s">
        <v>781</v>
      </c>
      <c r="F3187" s="380" t="s">
        <v>782</v>
      </c>
      <c r="G3187" s="380" t="s">
        <v>1267</v>
      </c>
      <c r="H3187" s="380" t="s">
        <v>771</v>
      </c>
      <c r="I3187" s="380" t="s">
        <v>784</v>
      </c>
      <c r="J3187" s="380" t="s">
        <v>773</v>
      </c>
      <c r="K3187" s="381">
        <v>0.0</v>
      </c>
      <c r="L3187" s="382">
        <v>1.0</v>
      </c>
    </row>
    <row r="3188">
      <c r="A3188" s="380" t="s">
        <v>4051</v>
      </c>
      <c r="B3188" s="380" t="str">
        <f>IFERROR(__xludf.DUMMYFUNCTION("""COMPUTED_VALUE"""),"Copa Impacto Cuadrante 1/2 X 17 Mm Snapo")</f>
        <v>Copa Impacto Cuadrante 1/2 X 17 Mm Snapo</v>
      </c>
      <c r="C3188" s="380" t="str">
        <f>IFERROR(__xludf.DUMMYFUNCTION("""COMPUTED_VALUE"""),"50000805")</f>
        <v>50000805</v>
      </c>
      <c r="D3188" s="380" t="s">
        <v>767</v>
      </c>
      <c r="E3188" s="380" t="s">
        <v>781</v>
      </c>
      <c r="F3188" s="380" t="s">
        <v>782</v>
      </c>
      <c r="G3188" s="380" t="s">
        <v>1267</v>
      </c>
      <c r="H3188" s="380" t="s">
        <v>771</v>
      </c>
      <c r="I3188" s="380" t="s">
        <v>784</v>
      </c>
      <c r="J3188" s="380" t="s">
        <v>773</v>
      </c>
      <c r="K3188" s="381">
        <v>0.0</v>
      </c>
      <c r="L3188" s="382">
        <v>1.0</v>
      </c>
    </row>
    <row r="3189">
      <c r="A3189" s="380" t="s">
        <v>4052</v>
      </c>
      <c r="B3189" s="380" t="str">
        <f>IFERROR(__xludf.DUMMYFUNCTION("""COMPUTED_VALUE"""),"Copa Cuadrante 3/4 X 1 13/16 Tipo B")</f>
        <v>Copa Cuadrante 3/4 X 1 13/16 Tipo B</v>
      </c>
      <c r="C3189" s="380" t="str">
        <f>IFERROR(__xludf.DUMMYFUNCTION("""COMPUTED_VALUE"""),"50000806")</f>
        <v>50000806</v>
      </c>
      <c r="D3189" s="380" t="s">
        <v>767</v>
      </c>
      <c r="E3189" s="380" t="s">
        <v>781</v>
      </c>
      <c r="F3189" s="380" t="s">
        <v>782</v>
      </c>
      <c r="G3189" s="380" t="s">
        <v>1267</v>
      </c>
      <c r="H3189" s="380" t="s">
        <v>771</v>
      </c>
      <c r="I3189" s="380" t="s">
        <v>784</v>
      </c>
      <c r="J3189" s="380" t="s">
        <v>773</v>
      </c>
      <c r="K3189" s="381">
        <v>0.0</v>
      </c>
      <c r="L3189" s="382">
        <v>1.0</v>
      </c>
    </row>
    <row r="3190">
      <c r="A3190" s="380" t="s">
        <v>4053</v>
      </c>
      <c r="B3190" s="380" t="str">
        <f>IFERROR(__xludf.DUMMYFUNCTION("""COMPUTED_VALUE"""),"Copa Larga Impacto Cuadrante 1/2 X 21 Mm")</f>
        <v>Copa Larga Impacto Cuadrante 1/2 X 21 Mm</v>
      </c>
      <c r="C3190" s="380" t="str">
        <f>IFERROR(__xludf.DUMMYFUNCTION("""COMPUTED_VALUE"""),"50000807")</f>
        <v>50000807</v>
      </c>
      <c r="D3190" s="380" t="s">
        <v>767</v>
      </c>
      <c r="E3190" s="380" t="s">
        <v>781</v>
      </c>
      <c r="F3190" s="380" t="s">
        <v>782</v>
      </c>
      <c r="G3190" s="380" t="s">
        <v>1267</v>
      </c>
      <c r="H3190" s="380" t="s">
        <v>771</v>
      </c>
      <c r="I3190" s="380" t="s">
        <v>784</v>
      </c>
      <c r="J3190" s="380" t="s">
        <v>773</v>
      </c>
      <c r="K3190" s="381">
        <v>0.0</v>
      </c>
      <c r="L3190" s="382">
        <v>1.0</v>
      </c>
    </row>
    <row r="3191">
      <c r="A3191" s="380" t="s">
        <v>4054</v>
      </c>
      <c r="B3191" s="380" t="str">
        <f>IFERROR(__xludf.DUMMYFUNCTION("""COMPUTED_VALUE"""),"Copa Larga Impacto Cuadrante 3/4 X 1 1/8")</f>
        <v>Copa Larga Impacto Cuadrante 3/4 X 1 1/8</v>
      </c>
      <c r="C3191" s="380" t="str">
        <f>IFERROR(__xludf.DUMMYFUNCTION("""COMPUTED_VALUE"""),"50000808")</f>
        <v>50000808</v>
      </c>
      <c r="D3191" s="380" t="s">
        <v>767</v>
      </c>
      <c r="E3191" s="380" t="s">
        <v>781</v>
      </c>
      <c r="F3191" s="380" t="s">
        <v>782</v>
      </c>
      <c r="G3191" s="380" t="s">
        <v>1267</v>
      </c>
      <c r="H3191" s="380" t="s">
        <v>771</v>
      </c>
      <c r="I3191" s="380" t="s">
        <v>784</v>
      </c>
      <c r="J3191" s="380" t="s">
        <v>773</v>
      </c>
      <c r="K3191" s="381">
        <v>356048.0</v>
      </c>
      <c r="L3191" s="382">
        <v>1.0</v>
      </c>
    </row>
    <row r="3192">
      <c r="A3192" s="380" t="s">
        <v>4055</v>
      </c>
      <c r="B3192" s="380" t="str">
        <f>IFERROR(__xludf.DUMMYFUNCTION("""COMPUTED_VALUE"""),"Copa Larga Impacto Cuadrante 3/4 X 15/16")</f>
        <v>Copa Larga Impacto Cuadrante 3/4 X 15/16</v>
      </c>
      <c r="C3192" s="380" t="str">
        <f>IFERROR(__xludf.DUMMYFUNCTION("""COMPUTED_VALUE"""),"50000809")</f>
        <v>50000809</v>
      </c>
      <c r="D3192" s="380" t="s">
        <v>767</v>
      </c>
      <c r="E3192" s="380" t="s">
        <v>781</v>
      </c>
      <c r="F3192" s="380" t="s">
        <v>782</v>
      </c>
      <c r="G3192" s="380" t="s">
        <v>1267</v>
      </c>
      <c r="H3192" s="380" t="s">
        <v>771</v>
      </c>
      <c r="I3192" s="380" t="s">
        <v>784</v>
      </c>
      <c r="J3192" s="380" t="s">
        <v>773</v>
      </c>
      <c r="K3192" s="381">
        <v>0.0</v>
      </c>
      <c r="L3192" s="382">
        <v>1.0</v>
      </c>
    </row>
    <row r="3193">
      <c r="A3193" s="380" t="s">
        <v>4056</v>
      </c>
      <c r="B3193" s="380" t="str">
        <f>IFERROR(__xludf.DUMMYFUNCTION("""COMPUTED_VALUE"""),"Llave Estrella 8 X 9mm Tipo B")</f>
        <v>Llave Estrella 8 X 9mm Tipo B</v>
      </c>
      <c r="C3193" s="380" t="str">
        <f>IFERROR(__xludf.DUMMYFUNCTION("""COMPUTED_VALUE"""),"50000810")</f>
        <v>50000810</v>
      </c>
      <c r="D3193" s="380" t="s">
        <v>767</v>
      </c>
      <c r="E3193" s="380" t="s">
        <v>781</v>
      </c>
      <c r="F3193" s="380" t="s">
        <v>782</v>
      </c>
      <c r="G3193" s="380" t="s">
        <v>1267</v>
      </c>
      <c r="H3193" s="380" t="s">
        <v>771</v>
      </c>
      <c r="I3193" s="380" t="s">
        <v>784</v>
      </c>
      <c r="J3193" s="380" t="s">
        <v>773</v>
      </c>
      <c r="K3193" s="381">
        <v>0.0</v>
      </c>
      <c r="L3193" s="382">
        <v>1.0</v>
      </c>
    </row>
    <row r="3194">
      <c r="A3194" s="380" t="s">
        <v>4057</v>
      </c>
      <c r="B3194" s="380" t="str">
        <f>IFERROR(__xludf.DUMMYFUNCTION("""COMPUTED_VALUE"""),"Llave E Llave Estrella 24 X 26 Mm Tipo B")</f>
        <v>Llave E Llave Estrella 24 X 26 Mm Tipo B</v>
      </c>
      <c r="C3194" s="380" t="str">
        <f>IFERROR(__xludf.DUMMYFUNCTION("""COMPUTED_VALUE"""),"50000811")</f>
        <v>50000811</v>
      </c>
      <c r="D3194" s="380" t="s">
        <v>767</v>
      </c>
      <c r="E3194" s="380" t="s">
        <v>781</v>
      </c>
      <c r="F3194" s="380" t="s">
        <v>782</v>
      </c>
      <c r="G3194" s="380" t="s">
        <v>1267</v>
      </c>
      <c r="H3194" s="380" t="s">
        <v>771</v>
      </c>
      <c r="I3194" s="380" t="s">
        <v>784</v>
      </c>
      <c r="J3194" s="380" t="s">
        <v>773</v>
      </c>
      <c r="K3194" s="381">
        <v>0.0</v>
      </c>
      <c r="L3194" s="382">
        <v>1.0</v>
      </c>
    </row>
    <row r="3195">
      <c r="A3195" s="380" t="s">
        <v>4058</v>
      </c>
      <c r="B3195" s="380" t="str">
        <f>IFERROR(__xludf.DUMMYFUNCTION("""COMPUTED_VALUE"""),"Llave Estrella 21 X 23 Tipo B")</f>
        <v>Llave Estrella 21 X 23 Tipo B</v>
      </c>
      <c r="C3195" s="380" t="str">
        <f>IFERROR(__xludf.DUMMYFUNCTION("""COMPUTED_VALUE"""),"50000812")</f>
        <v>50000812</v>
      </c>
      <c r="D3195" s="380" t="s">
        <v>767</v>
      </c>
      <c r="E3195" s="380" t="s">
        <v>781</v>
      </c>
      <c r="F3195" s="380" t="s">
        <v>782</v>
      </c>
      <c r="G3195" s="380" t="s">
        <v>1267</v>
      </c>
      <c r="H3195" s="380" t="s">
        <v>771</v>
      </c>
      <c r="I3195" s="380" t="s">
        <v>784</v>
      </c>
      <c r="J3195" s="380" t="s">
        <v>773</v>
      </c>
      <c r="K3195" s="381">
        <v>0.0</v>
      </c>
      <c r="L3195" s="382">
        <v>1.0</v>
      </c>
    </row>
    <row r="3196">
      <c r="A3196" s="380" t="s">
        <v>4059</v>
      </c>
      <c r="B3196" s="380" t="str">
        <f>IFERROR(__xludf.DUMMYFUNCTION("""COMPUTED_VALUE"""),"Llave Estrella 16 X 17 Tipo B")</f>
        <v>Llave Estrella 16 X 17 Tipo B</v>
      </c>
      <c r="C3196" s="380" t="str">
        <f>IFERROR(__xludf.DUMMYFUNCTION("""COMPUTED_VALUE"""),"50000813")</f>
        <v>50000813</v>
      </c>
      <c r="D3196" s="380" t="s">
        <v>767</v>
      </c>
      <c r="E3196" s="380" t="s">
        <v>781</v>
      </c>
      <c r="F3196" s="380" t="s">
        <v>782</v>
      </c>
      <c r="G3196" s="380" t="s">
        <v>1267</v>
      </c>
      <c r="H3196" s="380" t="s">
        <v>771</v>
      </c>
      <c r="I3196" s="380" t="s">
        <v>784</v>
      </c>
      <c r="J3196" s="380" t="s">
        <v>773</v>
      </c>
      <c r="K3196" s="381">
        <v>0.0</v>
      </c>
      <c r="L3196" s="382">
        <v>1.0</v>
      </c>
    </row>
    <row r="3197">
      <c r="A3197" s="380" t="s">
        <v>4060</v>
      </c>
      <c r="B3197" s="380" t="str">
        <f>IFERROR(__xludf.DUMMYFUNCTION("""COMPUTED_VALUE"""),"Copa Impacto Cuadrante 1/2 X 18 Mm Snapo")</f>
        <v>Copa Impacto Cuadrante 1/2 X 18 Mm Snapo</v>
      </c>
      <c r="C3197" s="380" t="str">
        <f>IFERROR(__xludf.DUMMYFUNCTION("""COMPUTED_VALUE"""),"50000814")</f>
        <v>50000814</v>
      </c>
      <c r="D3197" s="380" t="s">
        <v>767</v>
      </c>
      <c r="E3197" s="380" t="s">
        <v>781</v>
      </c>
      <c r="F3197" s="380" t="s">
        <v>782</v>
      </c>
      <c r="G3197" s="380" t="s">
        <v>1267</v>
      </c>
      <c r="H3197" s="380" t="s">
        <v>771</v>
      </c>
      <c r="I3197" s="380" t="s">
        <v>784</v>
      </c>
      <c r="J3197" s="380" t="s">
        <v>773</v>
      </c>
      <c r="K3197" s="381">
        <v>0.0</v>
      </c>
      <c r="L3197" s="382">
        <v>1.0</v>
      </c>
    </row>
    <row r="3198">
      <c r="A3198" s="380" t="s">
        <v>4061</v>
      </c>
      <c r="B3198" s="380" t="str">
        <f>IFERROR(__xludf.DUMMYFUNCTION("""COMPUTED_VALUE"""),"Copa Cuadrante 1/2 X 23mm Tipo B")</f>
        <v>Copa Cuadrante 1/2 X 23mm Tipo B</v>
      </c>
      <c r="C3198" s="380" t="str">
        <f>IFERROR(__xludf.DUMMYFUNCTION("""COMPUTED_VALUE"""),"50000815")</f>
        <v>50000815</v>
      </c>
      <c r="D3198" s="380" t="s">
        <v>767</v>
      </c>
      <c r="E3198" s="380" t="s">
        <v>781</v>
      </c>
      <c r="F3198" s="380" t="s">
        <v>782</v>
      </c>
      <c r="G3198" s="380" t="s">
        <v>1267</v>
      </c>
      <c r="H3198" s="380" t="s">
        <v>771</v>
      </c>
      <c r="I3198" s="380" t="s">
        <v>784</v>
      </c>
      <c r="J3198" s="380" t="s">
        <v>773</v>
      </c>
      <c r="K3198" s="381">
        <v>0.0</v>
      </c>
      <c r="L3198" s="382">
        <v>1.0</v>
      </c>
    </row>
    <row r="3199">
      <c r="A3199" s="380" t="s">
        <v>4062</v>
      </c>
      <c r="B3199" s="380" t="str">
        <f>IFERROR(__xludf.DUMMYFUNCTION("""COMPUTED_VALUE"""),"Copa Cuadrante 1/2 X 26 Mm Tipo B")</f>
        <v>Copa Cuadrante 1/2 X 26 Mm Tipo B</v>
      </c>
      <c r="C3199" s="380" t="str">
        <f>IFERROR(__xludf.DUMMYFUNCTION("""COMPUTED_VALUE"""),"50000816")</f>
        <v>50000816</v>
      </c>
      <c r="D3199" s="380" t="s">
        <v>767</v>
      </c>
      <c r="E3199" s="380" t="s">
        <v>781</v>
      </c>
      <c r="F3199" s="380" t="s">
        <v>782</v>
      </c>
      <c r="G3199" s="380" t="s">
        <v>1267</v>
      </c>
      <c r="H3199" s="380" t="s">
        <v>771</v>
      </c>
      <c r="I3199" s="380" t="s">
        <v>784</v>
      </c>
      <c r="J3199" s="380" t="s">
        <v>773</v>
      </c>
      <c r="K3199" s="381">
        <v>0.0</v>
      </c>
      <c r="L3199" s="382">
        <v>1.0</v>
      </c>
    </row>
    <row r="3200">
      <c r="A3200" s="380" t="s">
        <v>4063</v>
      </c>
      <c r="B3200" s="380" t="str">
        <f>IFERROR(__xludf.DUMMYFUNCTION("""COMPUTED_VALUE"""),"Copa Cuadrante 1/2 X 30 Mm Tipo B")</f>
        <v>Copa Cuadrante 1/2 X 30 Mm Tipo B</v>
      </c>
      <c r="C3200" s="380" t="str">
        <f>IFERROR(__xludf.DUMMYFUNCTION("""COMPUTED_VALUE"""),"50000817")</f>
        <v>50000817</v>
      </c>
      <c r="D3200" s="380" t="s">
        <v>767</v>
      </c>
      <c r="E3200" s="380" t="s">
        <v>781</v>
      </c>
      <c r="F3200" s="380" t="s">
        <v>782</v>
      </c>
      <c r="G3200" s="380" t="s">
        <v>1267</v>
      </c>
      <c r="H3200" s="380" t="s">
        <v>771</v>
      </c>
      <c r="I3200" s="380" t="s">
        <v>784</v>
      </c>
      <c r="J3200" s="380" t="s">
        <v>773</v>
      </c>
      <c r="K3200" s="381">
        <v>0.0</v>
      </c>
      <c r="L3200" s="382">
        <v>1.0</v>
      </c>
    </row>
    <row r="3201">
      <c r="A3201" s="380" t="s">
        <v>4064</v>
      </c>
      <c r="B3201" s="380" t="str">
        <f>IFERROR(__xludf.DUMMYFUNCTION("""COMPUTED_VALUE"""),"Copa Cuadrante 1/2 X 32mm Tipo B")</f>
        <v>Copa Cuadrante 1/2 X 32mm Tipo B</v>
      </c>
      <c r="C3201" s="380" t="str">
        <f>IFERROR(__xludf.DUMMYFUNCTION("""COMPUTED_VALUE"""),"50000818")</f>
        <v>50000818</v>
      </c>
      <c r="D3201" s="380" t="s">
        <v>767</v>
      </c>
      <c r="E3201" s="380" t="s">
        <v>781</v>
      </c>
      <c r="F3201" s="380" t="s">
        <v>782</v>
      </c>
      <c r="G3201" s="380" t="s">
        <v>1267</v>
      </c>
      <c r="H3201" s="380" t="s">
        <v>771</v>
      </c>
      <c r="I3201" s="380" t="s">
        <v>784</v>
      </c>
      <c r="J3201" s="380" t="s">
        <v>773</v>
      </c>
      <c r="K3201" s="381">
        <v>0.0</v>
      </c>
      <c r="L3201" s="382">
        <v>1.0</v>
      </c>
    </row>
    <row r="3202">
      <c r="A3202" s="380" t="s">
        <v>4065</v>
      </c>
      <c r="B3202" s="380" t="str">
        <f>IFERROR(__xludf.DUMMYFUNCTION("""COMPUTED_VALUE"""),"Copa Cuadrante 3/8 X 13 Mm Snapon")</f>
        <v>Copa Cuadrante 3/8 X 13 Mm Snapon</v>
      </c>
      <c r="C3202" s="380" t="str">
        <f>IFERROR(__xludf.DUMMYFUNCTION("""COMPUTED_VALUE"""),"50000819")</f>
        <v>50000819</v>
      </c>
      <c r="D3202" s="380" t="s">
        <v>767</v>
      </c>
      <c r="E3202" s="380" t="s">
        <v>781</v>
      </c>
      <c r="F3202" s="380" t="s">
        <v>782</v>
      </c>
      <c r="G3202" s="380" t="s">
        <v>1267</v>
      </c>
      <c r="H3202" s="380" t="s">
        <v>771</v>
      </c>
      <c r="I3202" s="380" t="s">
        <v>784</v>
      </c>
      <c r="J3202" s="380" t="s">
        <v>773</v>
      </c>
      <c r="K3202" s="381">
        <v>0.0</v>
      </c>
      <c r="L3202" s="382">
        <v>1.0</v>
      </c>
    </row>
    <row r="3203">
      <c r="A3203" s="380" t="s">
        <v>4066</v>
      </c>
      <c r="B3203" s="380" t="str">
        <f>IFERROR(__xludf.DUMMYFUNCTION("""COMPUTED_VALUE"""),"Palanca Fuerza Cuadrante 1/2 X 10"" Willi")</f>
        <v>Palanca Fuerza Cuadrante 1/2 X 10" Willi</v>
      </c>
      <c r="C3203" s="380" t="str">
        <f>IFERROR(__xludf.DUMMYFUNCTION("""COMPUTED_VALUE"""),"50000821")</f>
        <v>50000821</v>
      </c>
      <c r="D3203" s="380" t="s">
        <v>767</v>
      </c>
      <c r="E3203" s="380" t="s">
        <v>781</v>
      </c>
      <c r="F3203" s="380" t="s">
        <v>782</v>
      </c>
      <c r="G3203" s="380" t="s">
        <v>1267</v>
      </c>
      <c r="H3203" s="380" t="s">
        <v>771</v>
      </c>
      <c r="I3203" s="380" t="s">
        <v>784</v>
      </c>
      <c r="J3203" s="380" t="s">
        <v>773</v>
      </c>
      <c r="K3203" s="381">
        <v>0.0</v>
      </c>
      <c r="L3203" s="382">
        <v>1.0</v>
      </c>
    </row>
    <row r="3204">
      <c r="A3204" s="380" t="s">
        <v>4067</v>
      </c>
      <c r="B3204" s="380" t="str">
        <f>IFERROR(__xludf.DUMMYFUNCTION("""COMPUTED_VALUE"""),"Palanca Fuerza Corrediza Cuadrante 3/8")</f>
        <v>Palanca Fuerza Corrediza Cuadrante 3/8</v>
      </c>
      <c r="C3204" s="380" t="str">
        <f>IFERROR(__xludf.DUMMYFUNCTION("""COMPUTED_VALUE"""),"50000822")</f>
        <v>50000822</v>
      </c>
      <c r="D3204" s="380" t="s">
        <v>767</v>
      </c>
      <c r="E3204" s="380" t="s">
        <v>781</v>
      </c>
      <c r="F3204" s="380" t="s">
        <v>782</v>
      </c>
      <c r="G3204" s="380" t="s">
        <v>1267</v>
      </c>
      <c r="H3204" s="380" t="s">
        <v>771</v>
      </c>
      <c r="I3204" s="380" t="s">
        <v>784</v>
      </c>
      <c r="J3204" s="380" t="s">
        <v>773</v>
      </c>
      <c r="K3204" s="381">
        <v>0.0</v>
      </c>
      <c r="L3204" s="382">
        <v>1.0</v>
      </c>
    </row>
    <row r="3205">
      <c r="A3205" s="380" t="s">
        <v>4068</v>
      </c>
      <c r="B3205" s="380" t="str">
        <f>IFERROR(__xludf.DUMMYFUNCTION("""COMPUTED_VALUE"""),"Manometro Medir Compresion")</f>
        <v>Manometro Medir Compresion</v>
      </c>
      <c r="C3205" s="380" t="str">
        <f>IFERROR(__xludf.DUMMYFUNCTION("""COMPUTED_VALUE"""),"50000823")</f>
        <v>50000823</v>
      </c>
      <c r="D3205" s="380" t="s">
        <v>767</v>
      </c>
      <c r="E3205" s="380" t="s">
        <v>781</v>
      </c>
      <c r="F3205" s="380" t="s">
        <v>782</v>
      </c>
      <c r="G3205" s="380" t="s">
        <v>1267</v>
      </c>
      <c r="H3205" s="380" t="s">
        <v>771</v>
      </c>
      <c r="I3205" s="380" t="s">
        <v>784</v>
      </c>
      <c r="J3205" s="380" t="s">
        <v>773</v>
      </c>
      <c r="K3205" s="381">
        <v>0.0</v>
      </c>
      <c r="L3205" s="382">
        <v>1.0</v>
      </c>
    </row>
    <row r="3206">
      <c r="A3206" s="380" t="s">
        <v>4069</v>
      </c>
      <c r="B3206" s="380" t="str">
        <f>IFERROR(__xludf.DUMMYFUNCTION("""COMPUTED_VALUE"""),"Red Reduccion Cuadrante 1/2 A 3/8 Tipo B")</f>
        <v>Red Reduccion Cuadrante 1/2 A 3/8 Tipo B</v>
      </c>
      <c r="C3206" s="380" t="str">
        <f>IFERROR(__xludf.DUMMYFUNCTION("""COMPUTED_VALUE"""),"50000824")</f>
        <v>50000824</v>
      </c>
      <c r="D3206" s="380" t="s">
        <v>767</v>
      </c>
      <c r="E3206" s="380" t="s">
        <v>781</v>
      </c>
      <c r="F3206" s="380" t="s">
        <v>782</v>
      </c>
      <c r="G3206" s="380" t="s">
        <v>1267</v>
      </c>
      <c r="H3206" s="380" t="s">
        <v>771</v>
      </c>
      <c r="I3206" s="380" t="s">
        <v>784</v>
      </c>
      <c r="J3206" s="380" t="s">
        <v>773</v>
      </c>
      <c r="K3206" s="381">
        <v>0.0</v>
      </c>
      <c r="L3206" s="382">
        <v>1.0</v>
      </c>
    </row>
    <row r="3207">
      <c r="A3207" s="380" t="s">
        <v>4070</v>
      </c>
      <c r="B3207" s="380" t="str">
        <f>IFERROR(__xludf.DUMMYFUNCTION("""COMPUTED_VALUE"""),"Extractor De Uña Snapon")</f>
        <v>Extractor De Uña Snapon</v>
      </c>
      <c r="C3207" s="380" t="str">
        <f>IFERROR(__xludf.DUMMYFUNCTION("""COMPUTED_VALUE"""),"50000825")</f>
        <v>50000825</v>
      </c>
      <c r="D3207" s="380" t="s">
        <v>767</v>
      </c>
      <c r="E3207" s="380" t="s">
        <v>781</v>
      </c>
      <c r="F3207" s="380" t="s">
        <v>782</v>
      </c>
      <c r="G3207" s="380" t="s">
        <v>1267</v>
      </c>
      <c r="H3207" s="380" t="s">
        <v>771</v>
      </c>
      <c r="I3207" s="380" t="s">
        <v>784</v>
      </c>
      <c r="J3207" s="380" t="s">
        <v>773</v>
      </c>
      <c r="K3207" s="381">
        <v>0.0</v>
      </c>
      <c r="L3207" s="382">
        <v>1.0</v>
      </c>
    </row>
    <row r="3208">
      <c r="A3208" s="380" t="s">
        <v>4071</v>
      </c>
      <c r="B3208" s="380" t="str">
        <f>IFERROR(__xludf.DUMMYFUNCTION("""COMPUTED_VALUE"""),"Llave Estrella 20 X 22 Tipo B")</f>
        <v>Llave Estrella 20 X 22 Tipo B</v>
      </c>
      <c r="C3208" s="380" t="str">
        <f>IFERROR(__xludf.DUMMYFUNCTION("""COMPUTED_VALUE"""),"50000826")</f>
        <v>50000826</v>
      </c>
      <c r="D3208" s="380" t="s">
        <v>767</v>
      </c>
      <c r="E3208" s="380" t="s">
        <v>781</v>
      </c>
      <c r="F3208" s="380" t="s">
        <v>782</v>
      </c>
      <c r="G3208" s="380" t="s">
        <v>1267</v>
      </c>
      <c r="H3208" s="380" t="s">
        <v>771</v>
      </c>
      <c r="I3208" s="380" t="s">
        <v>784</v>
      </c>
      <c r="J3208" s="380" t="s">
        <v>773</v>
      </c>
      <c r="K3208" s="381">
        <v>0.0</v>
      </c>
      <c r="L3208" s="382">
        <v>1.0</v>
      </c>
    </row>
    <row r="3209">
      <c r="A3209" s="380" t="s">
        <v>4072</v>
      </c>
      <c r="B3209" s="380" t="str">
        <f>IFERROR(__xludf.DUMMYFUNCTION("""COMPUTED_VALUE"""),"Juego Juego Pinzas Cambiables X 4 Tipo A")</f>
        <v>Juego Juego Pinzas Cambiables X 4 Tipo A</v>
      </c>
      <c r="C3209" s="380" t="str">
        <f>IFERROR(__xludf.DUMMYFUNCTION("""COMPUTED_VALUE"""),"50000827")</f>
        <v>50000827</v>
      </c>
      <c r="D3209" s="380" t="s">
        <v>767</v>
      </c>
      <c r="E3209" s="380" t="s">
        <v>781</v>
      </c>
      <c r="F3209" s="380" t="s">
        <v>782</v>
      </c>
      <c r="G3209" s="380" t="s">
        <v>1267</v>
      </c>
      <c r="H3209" s="380" t="s">
        <v>771</v>
      </c>
      <c r="I3209" s="380" t="s">
        <v>784</v>
      </c>
      <c r="J3209" s="380" t="s">
        <v>773</v>
      </c>
      <c r="K3209" s="381">
        <v>0.0</v>
      </c>
      <c r="L3209" s="382">
        <v>1.0</v>
      </c>
    </row>
    <row r="3210">
      <c r="A3210" s="380" t="s">
        <v>4073</v>
      </c>
      <c r="B3210" s="380" t="str">
        <f>IFERROR(__xludf.DUMMYFUNCTION("""COMPUTED_VALUE"""),"Rache Cuadrante 1/2 X 6 Proto")</f>
        <v>Rache Cuadrante 1/2 X 6 Proto</v>
      </c>
      <c r="C3210" s="380" t="str">
        <f>IFERROR(__xludf.DUMMYFUNCTION("""COMPUTED_VALUE"""),"50000828")</f>
        <v>50000828</v>
      </c>
      <c r="D3210" s="380" t="s">
        <v>767</v>
      </c>
      <c r="E3210" s="380" t="s">
        <v>781</v>
      </c>
      <c r="F3210" s="380" t="s">
        <v>782</v>
      </c>
      <c r="G3210" s="380" t="s">
        <v>1267</v>
      </c>
      <c r="H3210" s="380" t="s">
        <v>771</v>
      </c>
      <c r="I3210" s="380" t="s">
        <v>784</v>
      </c>
      <c r="J3210" s="380" t="s">
        <v>773</v>
      </c>
      <c r="K3210" s="381">
        <v>0.0</v>
      </c>
      <c r="L3210" s="382">
        <v>1.0</v>
      </c>
    </row>
    <row r="3211">
      <c r="A3211" s="380" t="s">
        <v>4074</v>
      </c>
      <c r="B3211" s="380" t="str">
        <f>IFERROR(__xludf.DUMMYFUNCTION("""COMPUTED_VALUE"""),"Rache Cuadrante 3/4 X 14"" Proto")</f>
        <v>Rache Cuadrante 3/4 X 14" Proto</v>
      </c>
      <c r="C3211" s="380" t="str">
        <f>IFERROR(__xludf.DUMMYFUNCTION("""COMPUTED_VALUE"""),"50000829")</f>
        <v>50000829</v>
      </c>
      <c r="D3211" s="380" t="s">
        <v>767</v>
      </c>
      <c r="E3211" s="380" t="s">
        <v>781</v>
      </c>
      <c r="F3211" s="380" t="s">
        <v>782</v>
      </c>
      <c r="G3211" s="380" t="s">
        <v>1267</v>
      </c>
      <c r="H3211" s="380" t="s">
        <v>771</v>
      </c>
      <c r="I3211" s="380" t="s">
        <v>784</v>
      </c>
      <c r="J3211" s="380" t="s">
        <v>773</v>
      </c>
      <c r="K3211" s="381">
        <v>0.0</v>
      </c>
      <c r="L3211" s="382">
        <v>1.0</v>
      </c>
    </row>
    <row r="3212">
      <c r="A3212" s="380" t="s">
        <v>4075</v>
      </c>
      <c r="B3212" s="380" t="str">
        <f>IFERROR(__xludf.DUMMYFUNCTION("""COMPUTED_VALUE"""),"Reduccion Impacto Cuadrante 3/4 A 1/2 Sn")</f>
        <v>Reduccion Impacto Cuadrante 3/4 A 1/2 Sn</v>
      </c>
      <c r="C3212" s="380" t="str">
        <f>IFERROR(__xludf.DUMMYFUNCTION("""COMPUTED_VALUE"""),"50000830")</f>
        <v>50000830</v>
      </c>
      <c r="D3212" s="380" t="s">
        <v>767</v>
      </c>
      <c r="E3212" s="380" t="s">
        <v>781</v>
      </c>
      <c r="F3212" s="380" t="s">
        <v>782</v>
      </c>
      <c r="G3212" s="380" t="s">
        <v>1267</v>
      </c>
      <c r="H3212" s="380" t="s">
        <v>771</v>
      </c>
      <c r="I3212" s="380" t="s">
        <v>784</v>
      </c>
      <c r="J3212" s="380" t="s">
        <v>773</v>
      </c>
      <c r="K3212" s="381">
        <v>0.0</v>
      </c>
      <c r="L3212" s="382">
        <v>1.0</v>
      </c>
    </row>
    <row r="3213">
      <c r="A3213" s="380" t="s">
        <v>4076</v>
      </c>
      <c r="B3213" s="380" t="str">
        <f>IFERROR(__xludf.DUMMYFUNCTION("""COMPUTED_VALUE"""),"Torque Cuadrante 1/2 X 150 Lbs Proto")</f>
        <v>Torque Cuadrante 1/2 X 150 Lbs Proto</v>
      </c>
      <c r="C3213" s="380" t="str">
        <f>IFERROR(__xludf.DUMMYFUNCTION("""COMPUTED_VALUE"""),"50000831")</f>
        <v>50000831</v>
      </c>
      <c r="D3213" s="380" t="s">
        <v>767</v>
      </c>
      <c r="E3213" s="380" t="s">
        <v>781</v>
      </c>
      <c r="F3213" s="380" t="s">
        <v>782</v>
      </c>
      <c r="G3213" s="380" t="s">
        <v>1267</v>
      </c>
      <c r="H3213" s="380" t="s">
        <v>771</v>
      </c>
      <c r="I3213" s="380" t="s">
        <v>784</v>
      </c>
      <c r="J3213" s="380" t="s">
        <v>773</v>
      </c>
      <c r="K3213" s="381">
        <v>0.0</v>
      </c>
      <c r="L3213" s="382">
        <v>1.0</v>
      </c>
    </row>
    <row r="3214">
      <c r="A3214" s="380" t="s">
        <v>4077</v>
      </c>
      <c r="B3214" s="380" t="str">
        <f>IFERROR(__xludf.DUMMYFUNCTION("""COMPUTED_VALUE"""),"Torquimetro De Caratula")</f>
        <v>Torquimetro De Caratula</v>
      </c>
      <c r="C3214" s="380" t="str">
        <f>IFERROR(__xludf.DUMMYFUNCTION("""COMPUTED_VALUE"""),"50000832")</f>
        <v>50000832</v>
      </c>
      <c r="D3214" s="380" t="s">
        <v>767</v>
      </c>
      <c r="E3214" s="380" t="s">
        <v>781</v>
      </c>
      <c r="F3214" s="380" t="s">
        <v>782</v>
      </c>
      <c r="G3214" s="380" t="s">
        <v>1267</v>
      </c>
      <c r="H3214" s="380" t="s">
        <v>771</v>
      </c>
      <c r="I3214" s="380" t="s">
        <v>784</v>
      </c>
      <c r="J3214" s="380" t="s">
        <v>773</v>
      </c>
      <c r="K3214" s="381">
        <v>0.0</v>
      </c>
      <c r="L3214" s="382">
        <v>1.0</v>
      </c>
    </row>
    <row r="3215">
      <c r="A3215" s="380" t="s">
        <v>4078</v>
      </c>
      <c r="B3215" s="380" t="str">
        <f>IFERROR(__xludf.DUMMYFUNCTION("""COMPUTED_VALUE"""),"Copa Cuadrante 3/8 X 14mm Snapon")</f>
        <v>Copa Cuadrante 3/8 X 14mm Snapon</v>
      </c>
      <c r="C3215" s="380" t="str">
        <f>IFERROR(__xludf.DUMMYFUNCTION("""COMPUTED_VALUE"""),"50000833")</f>
        <v>50000833</v>
      </c>
      <c r="D3215" s="380" t="s">
        <v>767</v>
      </c>
      <c r="E3215" s="380" t="s">
        <v>781</v>
      </c>
      <c r="F3215" s="380" t="s">
        <v>782</v>
      </c>
      <c r="G3215" s="380" t="s">
        <v>1267</v>
      </c>
      <c r="H3215" s="380" t="s">
        <v>771</v>
      </c>
      <c r="I3215" s="380" t="s">
        <v>784</v>
      </c>
      <c r="J3215" s="380" t="s">
        <v>773</v>
      </c>
      <c r="K3215" s="381">
        <v>0.0</v>
      </c>
      <c r="L3215" s="382">
        <v>1.0</v>
      </c>
    </row>
    <row r="3216">
      <c r="A3216" s="380" t="s">
        <v>4079</v>
      </c>
      <c r="B3216" s="380" t="str">
        <f>IFERROR(__xludf.DUMMYFUNCTION("""COMPUTED_VALUE"""),"Copa Cuadrante 3/8 X 17mm Tipo B")</f>
        <v>Copa Cuadrante 3/8 X 17mm Tipo B</v>
      </c>
      <c r="C3216" s="380" t="str">
        <f>IFERROR(__xludf.DUMMYFUNCTION("""COMPUTED_VALUE"""),"50000834")</f>
        <v>50000834</v>
      </c>
      <c r="D3216" s="380" t="s">
        <v>767</v>
      </c>
      <c r="E3216" s="380" t="s">
        <v>781</v>
      </c>
      <c r="F3216" s="380" t="s">
        <v>782</v>
      </c>
      <c r="G3216" s="380" t="s">
        <v>1267</v>
      </c>
      <c r="H3216" s="380" t="s">
        <v>771</v>
      </c>
      <c r="I3216" s="380" t="s">
        <v>784</v>
      </c>
      <c r="J3216" s="380" t="s">
        <v>773</v>
      </c>
      <c r="K3216" s="381">
        <v>0.0</v>
      </c>
      <c r="L3216" s="382">
        <v>1.0</v>
      </c>
    </row>
    <row r="3217">
      <c r="A3217" s="380" t="s">
        <v>4080</v>
      </c>
      <c r="B3217" s="380" t="str">
        <f>IFERROR(__xludf.DUMMYFUNCTION("""COMPUTED_VALUE"""),"Copa Larga Cuadrante 3/8 X 15mm Snapon")</f>
        <v>Copa Larga Cuadrante 3/8 X 15mm Snapon</v>
      </c>
      <c r="C3217" s="380" t="str">
        <f>IFERROR(__xludf.DUMMYFUNCTION("""COMPUTED_VALUE"""),"50000835")</f>
        <v>50000835</v>
      </c>
      <c r="D3217" s="380" t="s">
        <v>767</v>
      </c>
      <c r="E3217" s="380" t="s">
        <v>781</v>
      </c>
      <c r="F3217" s="380" t="s">
        <v>782</v>
      </c>
      <c r="G3217" s="380" t="s">
        <v>1267</v>
      </c>
      <c r="H3217" s="380" t="s">
        <v>771</v>
      </c>
      <c r="I3217" s="380" t="s">
        <v>784</v>
      </c>
      <c r="J3217" s="380" t="s">
        <v>773</v>
      </c>
      <c r="K3217" s="381">
        <v>0.0</v>
      </c>
      <c r="L3217" s="382">
        <v>1.0</v>
      </c>
    </row>
    <row r="3218">
      <c r="A3218" s="380" t="s">
        <v>4081</v>
      </c>
      <c r="B3218" s="380" t="str">
        <f>IFERROR(__xludf.DUMMYFUNCTION("""COMPUTED_VALUE"""),"Destornillador Pala 5/16 X 5-6"" Tipo B")</f>
        <v>Destornillador Pala 5/16 X 5-6" Tipo B</v>
      </c>
      <c r="C3218" s="380" t="str">
        <f>IFERROR(__xludf.DUMMYFUNCTION("""COMPUTED_VALUE"""),"50000836")</f>
        <v>50000836</v>
      </c>
      <c r="D3218" s="380" t="s">
        <v>767</v>
      </c>
      <c r="E3218" s="380" t="s">
        <v>781</v>
      </c>
      <c r="F3218" s="380" t="s">
        <v>782</v>
      </c>
      <c r="G3218" s="380" t="s">
        <v>1267</v>
      </c>
      <c r="H3218" s="380" t="s">
        <v>771</v>
      </c>
      <c r="I3218" s="380" t="s">
        <v>784</v>
      </c>
      <c r="J3218" s="380" t="s">
        <v>773</v>
      </c>
      <c r="K3218" s="381">
        <v>0.0</v>
      </c>
      <c r="L3218" s="382">
        <v>1.0</v>
      </c>
    </row>
    <row r="3219">
      <c r="A3219" s="380" t="s">
        <v>4082</v>
      </c>
      <c r="B3219" s="380" t="str">
        <f>IFERROR(__xludf.DUMMYFUNCTION("""COMPUTED_VALUE"""),"Llave Mixta 9mm Proto")</f>
        <v>Llave Mixta 9mm Proto</v>
      </c>
      <c r="C3219" s="380" t="str">
        <f>IFERROR(__xludf.DUMMYFUNCTION("""COMPUTED_VALUE"""),"50000837")</f>
        <v>50000837</v>
      </c>
      <c r="D3219" s="380" t="s">
        <v>767</v>
      </c>
      <c r="E3219" s="380" t="s">
        <v>781</v>
      </c>
      <c r="F3219" s="380" t="s">
        <v>782</v>
      </c>
      <c r="G3219" s="380" t="s">
        <v>1267</v>
      </c>
      <c r="H3219" s="380" t="s">
        <v>771</v>
      </c>
      <c r="I3219" s="380" t="s">
        <v>784</v>
      </c>
      <c r="J3219" s="380" t="s">
        <v>773</v>
      </c>
      <c r="K3219" s="381">
        <v>0.0</v>
      </c>
      <c r="L3219" s="382">
        <v>1.0</v>
      </c>
    </row>
    <row r="3220">
      <c r="A3220" s="380" t="s">
        <v>4083</v>
      </c>
      <c r="B3220" s="380" t="str">
        <f>IFERROR(__xludf.DUMMYFUNCTION("""COMPUTED_VALUE"""),"Llave Mixta 13mm Tipo B")</f>
        <v>Llave Mixta 13mm Tipo B</v>
      </c>
      <c r="C3220" s="380" t="str">
        <f>IFERROR(__xludf.DUMMYFUNCTION("""COMPUTED_VALUE"""),"50000838")</f>
        <v>50000838</v>
      </c>
      <c r="D3220" s="380" t="s">
        <v>767</v>
      </c>
      <c r="E3220" s="380" t="s">
        <v>781</v>
      </c>
      <c r="F3220" s="380" t="s">
        <v>782</v>
      </c>
      <c r="G3220" s="380" t="s">
        <v>1267</v>
      </c>
      <c r="H3220" s="380" t="s">
        <v>771</v>
      </c>
      <c r="I3220" s="380" t="s">
        <v>784</v>
      </c>
      <c r="J3220" s="380" t="s">
        <v>773</v>
      </c>
      <c r="K3220" s="381">
        <v>0.0</v>
      </c>
      <c r="L3220" s="382">
        <v>1.0</v>
      </c>
    </row>
    <row r="3221">
      <c r="A3221" s="380" t="s">
        <v>4084</v>
      </c>
      <c r="B3221" s="380" t="str">
        <f>IFERROR(__xludf.DUMMYFUNCTION("""COMPUTED_VALUE"""),"Llave Llave Boca Fija 16 X 17 Mm Tipo B")</f>
        <v>Llave Llave Boca Fija 16 X 17 Mm Tipo B</v>
      </c>
      <c r="C3221" s="380" t="str">
        <f>IFERROR(__xludf.DUMMYFUNCTION("""COMPUTED_VALUE"""),"50000839")</f>
        <v>50000839</v>
      </c>
      <c r="D3221" s="380" t="s">
        <v>767</v>
      </c>
      <c r="E3221" s="380" t="s">
        <v>781</v>
      </c>
      <c r="F3221" s="380" t="s">
        <v>782</v>
      </c>
      <c r="G3221" s="380" t="s">
        <v>1267</v>
      </c>
      <c r="H3221" s="380" t="s">
        <v>771</v>
      </c>
      <c r="I3221" s="380" t="s">
        <v>784</v>
      </c>
      <c r="J3221" s="380" t="s">
        <v>773</v>
      </c>
      <c r="K3221" s="381">
        <v>0.0</v>
      </c>
      <c r="L3221" s="382">
        <v>1.0</v>
      </c>
    </row>
    <row r="3222">
      <c r="A3222" s="380" t="s">
        <v>4085</v>
      </c>
      <c r="B3222" s="380" t="str">
        <f>IFERROR(__xludf.DUMMYFUNCTION("""COMPUTED_VALUE"""),"Llave Llave Boca Fija 18 X 19 Mm Tipo B")</f>
        <v>Llave Llave Boca Fija 18 X 19 Mm Tipo B</v>
      </c>
      <c r="C3222" s="380" t="str">
        <f>IFERROR(__xludf.DUMMYFUNCTION("""COMPUTED_VALUE"""),"50000840")</f>
        <v>50000840</v>
      </c>
      <c r="D3222" s="380" t="s">
        <v>767</v>
      </c>
      <c r="E3222" s="380" t="s">
        <v>781</v>
      </c>
      <c r="F3222" s="380" t="s">
        <v>782</v>
      </c>
      <c r="G3222" s="380" t="s">
        <v>1267</v>
      </c>
      <c r="H3222" s="380" t="s">
        <v>771</v>
      </c>
      <c r="I3222" s="380" t="s">
        <v>784</v>
      </c>
      <c r="J3222" s="380" t="s">
        <v>773</v>
      </c>
      <c r="K3222" s="381">
        <v>0.0</v>
      </c>
      <c r="L3222" s="382">
        <v>1.0</v>
      </c>
    </row>
    <row r="3223">
      <c r="A3223" s="380" t="s">
        <v>4086</v>
      </c>
      <c r="B3223" s="380" t="str">
        <f>IFERROR(__xludf.DUMMYFUNCTION("""COMPUTED_VALUE"""),"Llave Llave Boca Fija 20 X 22 Mm Tipo B")</f>
        <v>Llave Llave Boca Fija 20 X 22 Mm Tipo B</v>
      </c>
      <c r="C3223" s="380" t="str">
        <f>IFERROR(__xludf.DUMMYFUNCTION("""COMPUTED_VALUE"""),"50000841")</f>
        <v>50000841</v>
      </c>
      <c r="D3223" s="380" t="s">
        <v>767</v>
      </c>
      <c r="E3223" s="380" t="s">
        <v>781</v>
      </c>
      <c r="F3223" s="380" t="s">
        <v>782</v>
      </c>
      <c r="G3223" s="380" t="s">
        <v>1267</v>
      </c>
      <c r="H3223" s="380" t="s">
        <v>771</v>
      </c>
      <c r="I3223" s="380" t="s">
        <v>784</v>
      </c>
      <c r="J3223" s="380" t="s">
        <v>773</v>
      </c>
      <c r="K3223" s="381">
        <v>0.0</v>
      </c>
      <c r="L3223" s="382">
        <v>1.0</v>
      </c>
    </row>
    <row r="3224">
      <c r="A3224" s="380" t="s">
        <v>4087</v>
      </c>
      <c r="B3224" s="380" t="str">
        <f>IFERROR(__xludf.DUMMYFUNCTION("""COMPUTED_VALUE"""),"Destornillador Pala 5/16 X 5"" - 6"" Tipo")</f>
        <v>Destornillador Pala 5/16 X 5" - 6" Tipo</v>
      </c>
      <c r="C3224" s="380" t="str">
        <f>IFERROR(__xludf.DUMMYFUNCTION("""COMPUTED_VALUE"""),"50000842")</f>
        <v>50000842</v>
      </c>
      <c r="D3224" s="380" t="s">
        <v>767</v>
      </c>
      <c r="E3224" s="380" t="s">
        <v>781</v>
      </c>
      <c r="F3224" s="380" t="s">
        <v>782</v>
      </c>
      <c r="G3224" s="380" t="s">
        <v>1267</v>
      </c>
      <c r="H3224" s="380" t="s">
        <v>771</v>
      </c>
      <c r="I3224" s="380" t="s">
        <v>784</v>
      </c>
      <c r="J3224" s="380" t="s">
        <v>773</v>
      </c>
      <c r="K3224" s="381">
        <v>0.0</v>
      </c>
      <c r="L3224" s="382">
        <v>1.0</v>
      </c>
    </row>
    <row r="3225">
      <c r="A3225" s="380" t="s">
        <v>4088</v>
      </c>
      <c r="B3225" s="380" t="str">
        <f>IFERROR(__xludf.DUMMYFUNCTION("""COMPUTED_VALUE"""),"Destornillador Estrella 1/4 X 4""-6"" Tipo")</f>
        <v>Destornillador Estrella 1/4 X 4"-6" Tipo</v>
      </c>
      <c r="C3225" s="380" t="str">
        <f>IFERROR(__xludf.DUMMYFUNCTION("""COMPUTED_VALUE"""),"50000843")</f>
        <v>50000843</v>
      </c>
      <c r="D3225" s="380" t="s">
        <v>767</v>
      </c>
      <c r="E3225" s="380" t="s">
        <v>781</v>
      </c>
      <c r="F3225" s="380" t="s">
        <v>782</v>
      </c>
      <c r="G3225" s="380" t="s">
        <v>1267</v>
      </c>
      <c r="H3225" s="380" t="s">
        <v>771</v>
      </c>
      <c r="I3225" s="380" t="s">
        <v>784</v>
      </c>
      <c r="J3225" s="380" t="s">
        <v>773</v>
      </c>
      <c r="K3225" s="381">
        <v>0.0</v>
      </c>
      <c r="L3225" s="382">
        <v>1.0</v>
      </c>
    </row>
    <row r="3226">
      <c r="A3226" s="380" t="s">
        <v>4089</v>
      </c>
      <c r="B3226" s="380" t="str">
        <f>IFERROR(__xludf.DUMMYFUNCTION("""COMPUTED_VALUE"""),"Destornillador Estrella 3/16 X 8"" Tipo B")</f>
        <v>Destornillador Estrella 3/16 X 8" Tipo B</v>
      </c>
      <c r="C3226" s="380" t="str">
        <f>IFERROR(__xludf.DUMMYFUNCTION("""COMPUTED_VALUE"""),"50000844")</f>
        <v>50000844</v>
      </c>
      <c r="D3226" s="380" t="s">
        <v>767</v>
      </c>
      <c r="E3226" s="380" t="s">
        <v>781</v>
      </c>
      <c r="F3226" s="380" t="s">
        <v>782</v>
      </c>
      <c r="G3226" s="380" t="s">
        <v>1267</v>
      </c>
      <c r="H3226" s="380" t="s">
        <v>771</v>
      </c>
      <c r="I3226" s="380" t="s">
        <v>784</v>
      </c>
      <c r="J3226" s="380" t="s">
        <v>773</v>
      </c>
      <c r="K3226" s="381">
        <v>0.0</v>
      </c>
      <c r="L3226" s="382">
        <v>1.0</v>
      </c>
    </row>
    <row r="3227">
      <c r="A3227" s="380" t="s">
        <v>4090</v>
      </c>
      <c r="B3227" s="380" t="str">
        <f>IFERROR(__xludf.DUMMYFUNCTION("""COMPUTED_VALUE"""),"Destornillador Estrella 1/4 X 1"" Proto")</f>
        <v>Destornillador Estrella 1/4 X 1" Proto</v>
      </c>
      <c r="C3227" s="380" t="str">
        <f>IFERROR(__xludf.DUMMYFUNCTION("""COMPUTED_VALUE"""),"50000845")</f>
        <v>50000845</v>
      </c>
      <c r="D3227" s="380" t="s">
        <v>767</v>
      </c>
      <c r="E3227" s="380" t="s">
        <v>781</v>
      </c>
      <c r="F3227" s="380" t="s">
        <v>782</v>
      </c>
      <c r="G3227" s="380" t="s">
        <v>1267</v>
      </c>
      <c r="H3227" s="380" t="s">
        <v>771</v>
      </c>
      <c r="I3227" s="380" t="s">
        <v>784</v>
      </c>
      <c r="J3227" s="380" t="s">
        <v>773</v>
      </c>
      <c r="K3227" s="381">
        <v>0.0</v>
      </c>
      <c r="L3227" s="382">
        <v>1.0</v>
      </c>
    </row>
    <row r="3228">
      <c r="A3228" s="380" t="s">
        <v>4091</v>
      </c>
      <c r="B3228" s="380" t="str">
        <f>IFERROR(__xludf.DUMMYFUNCTION("""COMPUTED_VALUE"""),"Destornillador Pala 1/4 X 10-12"" Tipo B")</f>
        <v>Destornillador Pala 1/4 X 10-12" Tipo B</v>
      </c>
      <c r="C3228" s="380" t="str">
        <f>IFERROR(__xludf.DUMMYFUNCTION("""COMPUTED_VALUE"""),"50000846")</f>
        <v>50000846</v>
      </c>
      <c r="D3228" s="380" t="s">
        <v>767</v>
      </c>
      <c r="E3228" s="380" t="s">
        <v>781</v>
      </c>
      <c r="F3228" s="380" t="s">
        <v>782</v>
      </c>
      <c r="G3228" s="380" t="s">
        <v>1267</v>
      </c>
      <c r="H3228" s="380" t="s">
        <v>771</v>
      </c>
      <c r="I3228" s="380" t="s">
        <v>784</v>
      </c>
      <c r="J3228" s="380" t="s">
        <v>773</v>
      </c>
      <c r="K3228" s="381">
        <v>0.0</v>
      </c>
      <c r="L3228" s="382">
        <v>1.0</v>
      </c>
    </row>
    <row r="3229">
      <c r="A3229" s="380" t="s">
        <v>4092</v>
      </c>
      <c r="B3229" s="380" t="str">
        <f>IFERROR(__xludf.DUMMYFUNCTION("""COMPUTED_VALUE"""),"Estetoscopio Para Mecanico")</f>
        <v>Estetoscopio Para Mecanico</v>
      </c>
      <c r="C3229" s="380" t="str">
        <f>IFERROR(__xludf.DUMMYFUNCTION("""COMPUTED_VALUE"""),"50000847")</f>
        <v>50000847</v>
      </c>
      <c r="D3229" s="380" t="s">
        <v>767</v>
      </c>
      <c r="E3229" s="380" t="s">
        <v>781</v>
      </c>
      <c r="F3229" s="380" t="s">
        <v>782</v>
      </c>
      <c r="G3229" s="380" t="s">
        <v>1267</v>
      </c>
      <c r="H3229" s="380" t="s">
        <v>771</v>
      </c>
      <c r="I3229" s="380" t="s">
        <v>784</v>
      </c>
      <c r="J3229" s="380" t="s">
        <v>773</v>
      </c>
      <c r="K3229" s="381">
        <v>0.0</v>
      </c>
      <c r="L3229" s="382">
        <v>1.0</v>
      </c>
    </row>
    <row r="3230">
      <c r="A3230" s="380" t="s">
        <v>4093</v>
      </c>
      <c r="B3230" s="380" t="str">
        <f>IFERROR(__xludf.DUMMYFUNCTION("""COMPUTED_VALUE"""),"Exte Extension Cuadrante 3/4 X 6"" Tipo B")</f>
        <v>Exte Extension Cuadrante 3/4 X 6" Tipo B</v>
      </c>
      <c r="C3230" s="380" t="str">
        <f>IFERROR(__xludf.DUMMYFUNCTION("""COMPUTED_VALUE"""),"50000848")</f>
        <v>50000848</v>
      </c>
      <c r="D3230" s="380" t="s">
        <v>767</v>
      </c>
      <c r="E3230" s="380" t="s">
        <v>781</v>
      </c>
      <c r="F3230" s="380" t="s">
        <v>782</v>
      </c>
      <c r="G3230" s="380" t="s">
        <v>1267</v>
      </c>
      <c r="H3230" s="380" t="s">
        <v>771</v>
      </c>
      <c r="I3230" s="380" t="s">
        <v>784</v>
      </c>
      <c r="J3230" s="380" t="s">
        <v>773</v>
      </c>
      <c r="K3230" s="381">
        <v>0.0</v>
      </c>
      <c r="L3230" s="382">
        <v>1.0</v>
      </c>
    </row>
    <row r="3231">
      <c r="A3231" s="380" t="s">
        <v>4094</v>
      </c>
      <c r="B3231" s="380" t="str">
        <f>IFERROR(__xludf.DUMMYFUNCTION("""COMPUTED_VALUE"""),"Extractor Retenedor Cigueñal S60 Fabrica")</f>
        <v>Extractor Retenedor Cigueñal S60 Fabrica</v>
      </c>
      <c r="C3231" s="380" t="str">
        <f>IFERROR(__xludf.DUMMYFUNCTION("""COMPUTED_VALUE"""),"50000849")</f>
        <v>50000849</v>
      </c>
      <c r="D3231" s="380" t="s">
        <v>767</v>
      </c>
      <c r="E3231" s="380" t="s">
        <v>781</v>
      </c>
      <c r="F3231" s="380" t="s">
        <v>782</v>
      </c>
      <c r="G3231" s="380" t="s">
        <v>1267</v>
      </c>
      <c r="H3231" s="380" t="s">
        <v>771</v>
      </c>
      <c r="I3231" s="380" t="s">
        <v>784</v>
      </c>
      <c r="J3231" s="380" t="s">
        <v>773</v>
      </c>
      <c r="K3231" s="381">
        <v>0.0</v>
      </c>
      <c r="L3231" s="382">
        <v>1.0</v>
      </c>
    </row>
    <row r="3232">
      <c r="A3232" s="380" t="s">
        <v>4095</v>
      </c>
      <c r="B3232" s="380" t="str">
        <f>IFERROR(__xludf.DUMMYFUNCTION("""COMPUTED_VALUE"""),"Gato Botella Hidraulico 12 Toneladas Nik")</f>
        <v>Gato Botella Hidraulico 12 Toneladas Nik</v>
      </c>
      <c r="C3232" s="380" t="str">
        <f>IFERROR(__xludf.DUMMYFUNCTION("""COMPUTED_VALUE"""),"50000850")</f>
        <v>50000850</v>
      </c>
      <c r="D3232" s="380" t="s">
        <v>767</v>
      </c>
      <c r="E3232" s="380" t="s">
        <v>781</v>
      </c>
      <c r="F3232" s="380" t="s">
        <v>782</v>
      </c>
      <c r="G3232" s="380" t="s">
        <v>1267</v>
      </c>
      <c r="H3232" s="380" t="s">
        <v>771</v>
      </c>
      <c r="I3232" s="380" t="s">
        <v>784</v>
      </c>
      <c r="J3232" s="380" t="s">
        <v>773</v>
      </c>
      <c r="K3232" s="381">
        <v>0.0</v>
      </c>
      <c r="L3232" s="382">
        <v>1.0</v>
      </c>
    </row>
    <row r="3233">
      <c r="A3233" s="380" t="s">
        <v>4096</v>
      </c>
      <c r="B3233" s="380" t="str">
        <f>IFERROR(__xludf.DUMMYFUNCTION("""COMPUTED_VALUE"""),"Copa Cuadrante 3/8 X 19mm Snapon")</f>
        <v>Copa Cuadrante 3/8 X 19mm Snapon</v>
      </c>
      <c r="C3233" s="380" t="str">
        <f>IFERROR(__xludf.DUMMYFUNCTION("""COMPUTED_VALUE"""),"50000851")</f>
        <v>50000851</v>
      </c>
      <c r="D3233" s="380" t="s">
        <v>767</v>
      </c>
      <c r="E3233" s="380" t="s">
        <v>781</v>
      </c>
      <c r="F3233" s="380" t="s">
        <v>782</v>
      </c>
      <c r="G3233" s="380" t="s">
        <v>1267</v>
      </c>
      <c r="H3233" s="380" t="s">
        <v>771</v>
      </c>
      <c r="I3233" s="380" t="s">
        <v>784</v>
      </c>
      <c r="J3233" s="380" t="s">
        <v>773</v>
      </c>
      <c r="K3233" s="381">
        <v>0.0</v>
      </c>
      <c r="L3233" s="382">
        <v>1.0</v>
      </c>
    </row>
    <row r="3234">
      <c r="A3234" s="380" t="s">
        <v>4097</v>
      </c>
      <c r="B3234" s="380" t="str">
        <f>IFERROR(__xludf.DUMMYFUNCTION("""COMPUTED_VALUE"""),"Copa Cuadrante 3/8 X 1/2 Proto")</f>
        <v>Copa Cuadrante 3/8 X 1/2 Proto</v>
      </c>
      <c r="C3234" s="380" t="str">
        <f>IFERROR(__xludf.DUMMYFUNCTION("""COMPUTED_VALUE"""),"50000852")</f>
        <v>50000852</v>
      </c>
      <c r="D3234" s="380" t="s">
        <v>767</v>
      </c>
      <c r="E3234" s="380" t="s">
        <v>781</v>
      </c>
      <c r="F3234" s="380" t="s">
        <v>782</v>
      </c>
      <c r="G3234" s="380" t="s">
        <v>1267</v>
      </c>
      <c r="H3234" s="380" t="s">
        <v>771</v>
      </c>
      <c r="I3234" s="380" t="s">
        <v>784</v>
      </c>
      <c r="J3234" s="380" t="s">
        <v>773</v>
      </c>
      <c r="K3234" s="381">
        <v>0.0</v>
      </c>
      <c r="L3234" s="382">
        <v>1.0</v>
      </c>
    </row>
    <row r="3235">
      <c r="A3235" s="380" t="s">
        <v>4098</v>
      </c>
      <c r="B3235" s="380" t="str">
        <f>IFERROR(__xludf.DUMMYFUNCTION("""COMPUTED_VALUE"""),"Copa Cuadrante 3/8 X 9/16 Proto")</f>
        <v>Copa Cuadrante 3/8 X 9/16 Proto</v>
      </c>
      <c r="C3235" s="380" t="str">
        <f>IFERROR(__xludf.DUMMYFUNCTION("""COMPUTED_VALUE"""),"50000853")</f>
        <v>50000853</v>
      </c>
      <c r="D3235" s="380" t="s">
        <v>767</v>
      </c>
      <c r="E3235" s="380" t="s">
        <v>781</v>
      </c>
      <c r="F3235" s="380" t="s">
        <v>782</v>
      </c>
      <c r="G3235" s="380" t="s">
        <v>1267</v>
      </c>
      <c r="H3235" s="380" t="s">
        <v>771</v>
      </c>
      <c r="I3235" s="380" t="s">
        <v>784</v>
      </c>
      <c r="J3235" s="380" t="s">
        <v>773</v>
      </c>
      <c r="K3235" s="381">
        <v>0.0</v>
      </c>
      <c r="L3235" s="382">
        <v>1.0</v>
      </c>
    </row>
    <row r="3236">
      <c r="A3236" s="380" t="s">
        <v>4099</v>
      </c>
      <c r="B3236" s="380" t="str">
        <f>IFERROR(__xludf.DUMMYFUNCTION("""COMPUTED_VALUE"""),"Palanca Fuerza Cuadrante 3/8 X 5"" Snapon")</f>
        <v>Palanca Fuerza Cuadrante 3/8 X 5" Snapon</v>
      </c>
      <c r="C3236" s="380" t="str">
        <f>IFERROR(__xludf.DUMMYFUNCTION("""COMPUTED_VALUE"""),"50000854")</f>
        <v>50000854</v>
      </c>
      <c r="D3236" s="380" t="s">
        <v>767</v>
      </c>
      <c r="E3236" s="380" t="s">
        <v>781</v>
      </c>
      <c r="F3236" s="380" t="s">
        <v>782</v>
      </c>
      <c r="G3236" s="380" t="s">
        <v>1267</v>
      </c>
      <c r="H3236" s="380" t="s">
        <v>771</v>
      </c>
      <c r="I3236" s="380" t="s">
        <v>784</v>
      </c>
      <c r="J3236" s="380" t="s">
        <v>773</v>
      </c>
      <c r="K3236" s="381">
        <v>0.0</v>
      </c>
      <c r="L3236" s="382">
        <v>1.0</v>
      </c>
    </row>
    <row r="3237">
      <c r="A3237" s="380" t="s">
        <v>4100</v>
      </c>
      <c r="B3237" s="380" t="str">
        <f>IFERROR(__xludf.DUMMYFUNCTION("""COMPUTED_VALUE"""),"Llave Boca Fija 30 X 32 Williams")</f>
        <v>Llave Boca Fija 30 X 32 Williams</v>
      </c>
      <c r="C3237" s="380" t="str">
        <f>IFERROR(__xludf.DUMMYFUNCTION("""COMPUTED_VALUE"""),"50000855")</f>
        <v>50000855</v>
      </c>
      <c r="D3237" s="380" t="s">
        <v>767</v>
      </c>
      <c r="E3237" s="380" t="s">
        <v>781</v>
      </c>
      <c r="F3237" s="380" t="s">
        <v>782</v>
      </c>
      <c r="G3237" s="380" t="s">
        <v>1267</v>
      </c>
      <c r="H3237" s="380" t="s">
        <v>771</v>
      </c>
      <c r="I3237" s="380" t="s">
        <v>784</v>
      </c>
      <c r="J3237" s="380" t="s">
        <v>773</v>
      </c>
      <c r="K3237" s="381">
        <v>0.0</v>
      </c>
      <c r="L3237" s="382">
        <v>1.0</v>
      </c>
    </row>
    <row r="3238">
      <c r="A3238" s="380" t="s">
        <v>4101</v>
      </c>
      <c r="B3238" s="380" t="str">
        <f>IFERROR(__xludf.DUMMYFUNCTION("""COMPUTED_VALUE"""),"Llave Es Llave Estrella 10 X 11mm Tipo B")</f>
        <v>Llave Es Llave Estrella 10 X 11mm Tipo B</v>
      </c>
      <c r="C3238" s="380" t="str">
        <f>IFERROR(__xludf.DUMMYFUNCTION("""COMPUTED_VALUE"""),"50000856")</f>
        <v>50000856</v>
      </c>
      <c r="D3238" s="380" t="s">
        <v>767</v>
      </c>
      <c r="E3238" s="380" t="s">
        <v>781</v>
      </c>
      <c r="F3238" s="380" t="s">
        <v>782</v>
      </c>
      <c r="G3238" s="380" t="s">
        <v>1267</v>
      </c>
      <c r="H3238" s="380" t="s">
        <v>771</v>
      </c>
      <c r="I3238" s="380" t="s">
        <v>784</v>
      </c>
      <c r="J3238" s="380" t="s">
        <v>773</v>
      </c>
      <c r="K3238" s="381">
        <v>0.0</v>
      </c>
      <c r="L3238" s="382">
        <v>1.0</v>
      </c>
    </row>
    <row r="3239">
      <c r="A3239" s="380" t="s">
        <v>4102</v>
      </c>
      <c r="B3239" s="380" t="str">
        <f>IFERROR(__xludf.DUMMYFUNCTION("""COMPUTED_VALUE"""),"Llave Expansion 8"" Tipo B")</f>
        <v>Llave Expansion 8" Tipo B</v>
      </c>
      <c r="C3239" s="380" t="str">
        <f>IFERROR(__xludf.DUMMYFUNCTION("""COMPUTED_VALUE"""),"50000857")</f>
        <v>50000857</v>
      </c>
      <c r="D3239" s="380" t="s">
        <v>767</v>
      </c>
      <c r="E3239" s="380" t="s">
        <v>781</v>
      </c>
      <c r="F3239" s="380" t="s">
        <v>782</v>
      </c>
      <c r="G3239" s="380" t="s">
        <v>1267</v>
      </c>
      <c r="H3239" s="380" t="s">
        <v>771</v>
      </c>
      <c r="I3239" s="380" t="s">
        <v>784</v>
      </c>
      <c r="J3239" s="380" t="s">
        <v>773</v>
      </c>
      <c r="K3239" s="381">
        <v>0.0</v>
      </c>
      <c r="L3239" s="382">
        <v>1.0</v>
      </c>
    </row>
    <row r="3240">
      <c r="A3240" s="380" t="s">
        <v>4103</v>
      </c>
      <c r="B3240" s="380" t="str">
        <f>IFERROR(__xludf.DUMMYFUNCTION("""COMPUTED_VALUE"""),"Extractor Muestra De Aceite")</f>
        <v>Extractor Muestra De Aceite</v>
      </c>
      <c r="C3240" s="380" t="str">
        <f>IFERROR(__xludf.DUMMYFUNCTION("""COMPUTED_VALUE"""),"50000858")</f>
        <v>50000858</v>
      </c>
      <c r="D3240" s="380" t="s">
        <v>767</v>
      </c>
      <c r="E3240" s="380" t="s">
        <v>781</v>
      </c>
      <c r="F3240" s="380" t="s">
        <v>782</v>
      </c>
      <c r="G3240" s="380" t="s">
        <v>1267</v>
      </c>
      <c r="H3240" s="380" t="s">
        <v>771</v>
      </c>
      <c r="I3240" s="380" t="s">
        <v>784</v>
      </c>
      <c r="J3240" s="380" t="s">
        <v>773</v>
      </c>
      <c r="K3240" s="381">
        <v>0.0</v>
      </c>
      <c r="L3240" s="382">
        <v>1.0</v>
      </c>
    </row>
    <row r="3241">
      <c r="A3241" s="380" t="s">
        <v>4104</v>
      </c>
      <c r="B3241" s="380" t="str">
        <f>IFERROR(__xludf.DUMMYFUNCTION("""COMPUTED_VALUE"""),"Jue Juego Extractor Cola Raton X 10 Unds")</f>
        <v>Jue Juego Extractor Cola Raton X 10 Unds</v>
      </c>
      <c r="C3241" s="380" t="str">
        <f>IFERROR(__xludf.DUMMYFUNCTION("""COMPUTED_VALUE"""),"50000859")</f>
        <v>50000859</v>
      </c>
      <c r="D3241" s="380" t="s">
        <v>767</v>
      </c>
      <c r="E3241" s="380" t="s">
        <v>781</v>
      </c>
      <c r="F3241" s="380" t="s">
        <v>782</v>
      </c>
      <c r="G3241" s="380" t="s">
        <v>1267</v>
      </c>
      <c r="H3241" s="380" t="s">
        <v>771</v>
      </c>
      <c r="I3241" s="380" t="s">
        <v>784</v>
      </c>
      <c r="J3241" s="380" t="s">
        <v>773</v>
      </c>
      <c r="K3241" s="381">
        <v>0.0</v>
      </c>
      <c r="L3241" s="382">
        <v>1.0</v>
      </c>
    </row>
    <row r="3242">
      <c r="A3242" s="380" t="s">
        <v>4105</v>
      </c>
      <c r="B3242" s="380" t="str">
        <f>IFERROR(__xludf.DUMMYFUNCTION("""COMPUTED_VALUE"""),"Llave Cadena 12"" Tipo B")</f>
        <v>Llave Cadena 12" Tipo B</v>
      </c>
      <c r="C3242" s="380" t="str">
        <f>IFERROR(__xludf.DUMMYFUNCTION("""COMPUTED_VALUE"""),"50000860")</f>
        <v>50000860</v>
      </c>
      <c r="D3242" s="380" t="s">
        <v>767</v>
      </c>
      <c r="E3242" s="380" t="s">
        <v>781</v>
      </c>
      <c r="F3242" s="380" t="s">
        <v>782</v>
      </c>
      <c r="G3242" s="380" t="s">
        <v>1267</v>
      </c>
      <c r="H3242" s="380" t="s">
        <v>771</v>
      </c>
      <c r="I3242" s="380" t="s">
        <v>784</v>
      </c>
      <c r="J3242" s="380" t="s">
        <v>773</v>
      </c>
      <c r="K3242" s="381">
        <v>0.0</v>
      </c>
      <c r="L3242" s="382">
        <v>1.0</v>
      </c>
    </row>
    <row r="3243">
      <c r="A3243" s="380" t="s">
        <v>4106</v>
      </c>
      <c r="B3243" s="380" t="str">
        <f>IFERROR(__xludf.DUMMYFUNCTION("""COMPUTED_VALUE"""),"Llave Expansion 8"" Snapon")</f>
        <v>Llave Expansion 8" Snapon</v>
      </c>
      <c r="C3243" s="380" t="str">
        <f>IFERROR(__xludf.DUMMYFUNCTION("""COMPUTED_VALUE"""),"50000861")</f>
        <v>50000861</v>
      </c>
      <c r="D3243" s="380" t="s">
        <v>767</v>
      </c>
      <c r="E3243" s="380" t="s">
        <v>781</v>
      </c>
      <c r="F3243" s="380" t="s">
        <v>782</v>
      </c>
      <c r="G3243" s="380" t="s">
        <v>1267</v>
      </c>
      <c r="H3243" s="380" t="s">
        <v>771</v>
      </c>
      <c r="I3243" s="380" t="s">
        <v>784</v>
      </c>
      <c r="J3243" s="380" t="s">
        <v>773</v>
      </c>
      <c r="K3243" s="381">
        <v>0.0</v>
      </c>
      <c r="L3243" s="382">
        <v>1.0</v>
      </c>
    </row>
    <row r="3244">
      <c r="A3244" s="380" t="s">
        <v>4107</v>
      </c>
      <c r="B3244" s="380" t="str">
        <f>IFERROR(__xludf.DUMMYFUNCTION("""COMPUTED_VALUE"""),"Llave E Llave Estrella 18 X 19 Mm Tipo B")</f>
        <v>Llave E Llave Estrella 18 X 19 Mm Tipo B</v>
      </c>
      <c r="C3244" s="380" t="str">
        <f>IFERROR(__xludf.DUMMYFUNCTION("""COMPUTED_VALUE"""),"50000862")</f>
        <v>50000862</v>
      </c>
      <c r="D3244" s="380" t="s">
        <v>767</v>
      </c>
      <c r="E3244" s="380" t="s">
        <v>781</v>
      </c>
      <c r="F3244" s="380" t="s">
        <v>782</v>
      </c>
      <c r="G3244" s="380" t="s">
        <v>1267</v>
      </c>
      <c r="H3244" s="380" t="s">
        <v>771</v>
      </c>
      <c r="I3244" s="380" t="s">
        <v>784</v>
      </c>
      <c r="J3244" s="380" t="s">
        <v>773</v>
      </c>
      <c r="K3244" s="381">
        <v>0.0</v>
      </c>
      <c r="L3244" s="382">
        <v>1.0</v>
      </c>
    </row>
    <row r="3245">
      <c r="A3245" s="380" t="s">
        <v>4108</v>
      </c>
      <c r="B3245" s="380" t="str">
        <f>IFERROR(__xludf.DUMMYFUNCTION("""COMPUTED_VALUE"""),"Llave Mixta 17mm Tipo B")</f>
        <v>Llave Mixta 17mm Tipo B</v>
      </c>
      <c r="C3245" s="380" t="str">
        <f>IFERROR(__xludf.DUMMYFUNCTION("""COMPUTED_VALUE"""),"50000863")</f>
        <v>50000863</v>
      </c>
      <c r="D3245" s="380" t="s">
        <v>767</v>
      </c>
      <c r="E3245" s="380" t="s">
        <v>781</v>
      </c>
      <c r="F3245" s="380" t="s">
        <v>782</v>
      </c>
      <c r="G3245" s="380" t="s">
        <v>1267</v>
      </c>
      <c r="H3245" s="380" t="s">
        <v>771</v>
      </c>
      <c r="I3245" s="380" t="s">
        <v>784</v>
      </c>
      <c r="J3245" s="380" t="s">
        <v>773</v>
      </c>
      <c r="K3245" s="381">
        <v>0.0</v>
      </c>
      <c r="L3245" s="382">
        <v>1.0</v>
      </c>
    </row>
    <row r="3246">
      <c r="A3246" s="380" t="s">
        <v>4109</v>
      </c>
      <c r="B3246" s="380" t="str">
        <f>IFERROR(__xludf.DUMMYFUNCTION("""COMPUTED_VALUE"""),"Palanca Fuerza Cuadrante 1/2 X 12"" Tipo")</f>
        <v>Palanca Fuerza Cuadrante 1/2 X 12" Tipo</v>
      </c>
      <c r="C3246" s="380" t="str">
        <f>IFERROR(__xludf.DUMMYFUNCTION("""COMPUTED_VALUE"""),"50000864")</f>
        <v>50000864</v>
      </c>
      <c r="D3246" s="380" t="s">
        <v>767</v>
      </c>
      <c r="E3246" s="380" t="s">
        <v>781</v>
      </c>
      <c r="F3246" s="380" t="s">
        <v>782</v>
      </c>
      <c r="G3246" s="380" t="s">
        <v>1267</v>
      </c>
      <c r="H3246" s="380" t="s">
        <v>771</v>
      </c>
      <c r="I3246" s="380" t="s">
        <v>784</v>
      </c>
      <c r="J3246" s="380" t="s">
        <v>773</v>
      </c>
      <c r="K3246" s="381">
        <v>0.0</v>
      </c>
      <c r="L3246" s="382">
        <v>1.0</v>
      </c>
    </row>
    <row r="3247">
      <c r="A3247" s="380" t="s">
        <v>4110</v>
      </c>
      <c r="B3247" s="380" t="str">
        <f>IFERROR(__xludf.DUMMYFUNCTION("""COMPUTED_VALUE"""),"Llave Hexagona 10 Mm Tipo B")</f>
        <v>Llave Hexagona 10 Mm Tipo B</v>
      </c>
      <c r="C3247" s="380" t="str">
        <f>IFERROR(__xludf.DUMMYFUNCTION("""COMPUTED_VALUE"""),"50000865")</f>
        <v>50000865</v>
      </c>
      <c r="D3247" s="380" t="s">
        <v>767</v>
      </c>
      <c r="E3247" s="380" t="s">
        <v>781</v>
      </c>
      <c r="F3247" s="380" t="s">
        <v>782</v>
      </c>
      <c r="G3247" s="380" t="s">
        <v>1267</v>
      </c>
      <c r="H3247" s="380" t="s">
        <v>771</v>
      </c>
      <c r="I3247" s="380" t="s">
        <v>784</v>
      </c>
      <c r="J3247" s="380" t="s">
        <v>773</v>
      </c>
      <c r="K3247" s="381">
        <v>0.0</v>
      </c>
      <c r="L3247" s="382">
        <v>1.0</v>
      </c>
    </row>
    <row r="3248">
      <c r="A3248" s="380" t="s">
        <v>4111</v>
      </c>
      <c r="B3248" s="380" t="str">
        <f>IFERROR(__xludf.DUMMYFUNCTION("""COMPUTED_VALUE"""),"Copa Cuadrante 1/2 X 1"" Tipo B")</f>
        <v>Copa Cuadrante 1/2 X 1" Tipo B</v>
      </c>
      <c r="C3248" s="380" t="str">
        <f>IFERROR(__xludf.DUMMYFUNCTION("""COMPUTED_VALUE"""),"50000866")</f>
        <v>50000866</v>
      </c>
      <c r="D3248" s="380" t="s">
        <v>767</v>
      </c>
      <c r="E3248" s="380" t="s">
        <v>781</v>
      </c>
      <c r="F3248" s="380" t="s">
        <v>782</v>
      </c>
      <c r="G3248" s="380" t="s">
        <v>1267</v>
      </c>
      <c r="H3248" s="380" t="s">
        <v>771</v>
      </c>
      <c r="I3248" s="380" t="s">
        <v>784</v>
      </c>
      <c r="J3248" s="380" t="s">
        <v>773</v>
      </c>
      <c r="K3248" s="381">
        <v>0.0</v>
      </c>
      <c r="L3248" s="382">
        <v>1.0</v>
      </c>
    </row>
    <row r="3249">
      <c r="A3249" s="380" t="s">
        <v>4112</v>
      </c>
      <c r="B3249" s="380" t="str">
        <f>IFERROR(__xludf.DUMMYFUNCTION("""COMPUTED_VALUE"""),"Copa Cuadrante 1/2 X 1/2 Tipo B")</f>
        <v>Copa Cuadrante 1/2 X 1/2 Tipo B</v>
      </c>
      <c r="C3249" s="380" t="str">
        <f>IFERROR(__xludf.DUMMYFUNCTION("""COMPUTED_VALUE"""),"50000867")</f>
        <v>50000867</v>
      </c>
      <c r="D3249" s="380" t="s">
        <v>767</v>
      </c>
      <c r="E3249" s="380" t="s">
        <v>781</v>
      </c>
      <c r="F3249" s="380" t="s">
        <v>782</v>
      </c>
      <c r="G3249" s="380" t="s">
        <v>1267</v>
      </c>
      <c r="H3249" s="380" t="s">
        <v>771</v>
      </c>
      <c r="I3249" s="380" t="s">
        <v>784</v>
      </c>
      <c r="J3249" s="380" t="s">
        <v>773</v>
      </c>
      <c r="K3249" s="381">
        <v>0.0</v>
      </c>
      <c r="L3249" s="382">
        <v>1.0</v>
      </c>
    </row>
    <row r="3250">
      <c r="A3250" s="380" t="s">
        <v>4113</v>
      </c>
      <c r="B3250" s="380" t="str">
        <f>IFERROR(__xludf.DUMMYFUNCTION("""COMPUTED_VALUE"""),"Copa Cuadrante 1/2 X 14mm Tipo B")</f>
        <v>Copa Cuadrante 1/2 X 14mm Tipo B</v>
      </c>
      <c r="C3250" s="380" t="str">
        <f>IFERROR(__xludf.DUMMYFUNCTION("""COMPUTED_VALUE"""),"50000868")</f>
        <v>50000868</v>
      </c>
      <c r="D3250" s="380" t="s">
        <v>767</v>
      </c>
      <c r="E3250" s="380" t="s">
        <v>781</v>
      </c>
      <c r="F3250" s="380" t="s">
        <v>782</v>
      </c>
      <c r="G3250" s="380" t="s">
        <v>1267</v>
      </c>
      <c r="H3250" s="380" t="s">
        <v>771</v>
      </c>
      <c r="I3250" s="380" t="s">
        <v>784</v>
      </c>
      <c r="J3250" s="380" t="s">
        <v>773</v>
      </c>
      <c r="K3250" s="381">
        <v>0.0</v>
      </c>
      <c r="L3250" s="382">
        <v>1.0</v>
      </c>
    </row>
    <row r="3251">
      <c r="A3251" s="380" t="s">
        <v>4114</v>
      </c>
      <c r="B3251" s="380" t="str">
        <f>IFERROR(__xludf.DUMMYFUNCTION("""COMPUTED_VALUE"""),"Copa Cuadrante 1/2 X 15mm Tipo B")</f>
        <v>Copa Cuadrante 1/2 X 15mm Tipo B</v>
      </c>
      <c r="C3251" s="380" t="str">
        <f>IFERROR(__xludf.DUMMYFUNCTION("""COMPUTED_VALUE"""),"50000869")</f>
        <v>50000869</v>
      </c>
      <c r="D3251" s="380" t="s">
        <v>767</v>
      </c>
      <c r="E3251" s="380" t="s">
        <v>781</v>
      </c>
      <c r="F3251" s="380" t="s">
        <v>782</v>
      </c>
      <c r="G3251" s="380" t="s">
        <v>1267</v>
      </c>
      <c r="H3251" s="380" t="s">
        <v>771</v>
      </c>
      <c r="I3251" s="380" t="s">
        <v>784</v>
      </c>
      <c r="J3251" s="380" t="s">
        <v>773</v>
      </c>
      <c r="K3251" s="381">
        <v>0.0</v>
      </c>
      <c r="L3251" s="382">
        <v>1.0</v>
      </c>
    </row>
    <row r="3252">
      <c r="A3252" s="380" t="s">
        <v>4115</v>
      </c>
      <c r="B3252" s="380" t="str">
        <f>IFERROR(__xludf.DUMMYFUNCTION("""COMPUTED_VALUE"""),"Copa Cuadrante 1/2 X 16mm Tipob")</f>
        <v>Copa Cuadrante 1/2 X 16mm Tipob</v>
      </c>
      <c r="C3252" s="380" t="str">
        <f>IFERROR(__xludf.DUMMYFUNCTION("""COMPUTED_VALUE"""),"50000870")</f>
        <v>50000870</v>
      </c>
      <c r="D3252" s="380" t="s">
        <v>767</v>
      </c>
      <c r="E3252" s="380" t="s">
        <v>781</v>
      </c>
      <c r="F3252" s="380" t="s">
        <v>782</v>
      </c>
      <c r="G3252" s="380" t="s">
        <v>1267</v>
      </c>
      <c r="H3252" s="380" t="s">
        <v>771</v>
      </c>
      <c r="I3252" s="380" t="s">
        <v>784</v>
      </c>
      <c r="J3252" s="380" t="s">
        <v>773</v>
      </c>
      <c r="K3252" s="381">
        <v>0.0</v>
      </c>
      <c r="L3252" s="382">
        <v>1.0</v>
      </c>
    </row>
    <row r="3253">
      <c r="A3253" s="380" t="s">
        <v>4116</v>
      </c>
      <c r="B3253" s="380" t="str">
        <f>IFERROR(__xludf.DUMMYFUNCTION("""COMPUTED_VALUE"""),"Copa Cuadrante 1/2 X 3/8 Tipo B")</f>
        <v>Copa Cuadrante 1/2 X 3/8 Tipo B</v>
      </c>
      <c r="C3253" s="380" t="str">
        <f>IFERROR(__xludf.DUMMYFUNCTION("""COMPUTED_VALUE"""),"50000871")</f>
        <v>50000871</v>
      </c>
      <c r="D3253" s="380" t="s">
        <v>767</v>
      </c>
      <c r="E3253" s="380" t="s">
        <v>781</v>
      </c>
      <c r="F3253" s="380" t="s">
        <v>782</v>
      </c>
      <c r="G3253" s="380" t="s">
        <v>1267</v>
      </c>
      <c r="H3253" s="380" t="s">
        <v>771</v>
      </c>
      <c r="I3253" s="380" t="s">
        <v>784</v>
      </c>
      <c r="J3253" s="380" t="s">
        <v>773</v>
      </c>
      <c r="K3253" s="381">
        <v>0.0</v>
      </c>
      <c r="L3253" s="382">
        <v>1.0</v>
      </c>
    </row>
    <row r="3254">
      <c r="A3254" s="380" t="s">
        <v>4117</v>
      </c>
      <c r="B3254" s="380" t="str">
        <f>IFERROR(__xludf.DUMMYFUNCTION("""COMPUTED_VALUE"""),"Copa Larga Impacto Cuadrante 1/2 X 5/8 S")</f>
        <v>Copa Larga Impacto Cuadrante 1/2 X 5/8 S</v>
      </c>
      <c r="C3254" s="380" t="str">
        <f>IFERROR(__xludf.DUMMYFUNCTION("""COMPUTED_VALUE"""),"50000872")</f>
        <v>50000872</v>
      </c>
      <c r="D3254" s="380" t="s">
        <v>767</v>
      </c>
      <c r="E3254" s="380" t="s">
        <v>781</v>
      </c>
      <c r="F3254" s="380" t="s">
        <v>782</v>
      </c>
      <c r="G3254" s="380" t="s">
        <v>1267</v>
      </c>
      <c r="H3254" s="380" t="s">
        <v>771</v>
      </c>
      <c r="I3254" s="380" t="s">
        <v>784</v>
      </c>
      <c r="J3254" s="380" t="s">
        <v>773</v>
      </c>
      <c r="K3254" s="381">
        <v>0.0</v>
      </c>
      <c r="L3254" s="382">
        <v>1.0</v>
      </c>
    </row>
    <row r="3255">
      <c r="A3255" s="380" t="s">
        <v>4118</v>
      </c>
      <c r="B3255" s="380" t="str">
        <f>IFERROR(__xludf.DUMMYFUNCTION("""COMPUTED_VALUE"""),"Copa Larga Cuadrante 1/2 X 7/8 Snapon")</f>
        <v>Copa Larga Cuadrante 1/2 X 7/8 Snapon</v>
      </c>
      <c r="C3255" s="380" t="str">
        <f>IFERROR(__xludf.DUMMYFUNCTION("""COMPUTED_VALUE"""),"50000873")</f>
        <v>50000873</v>
      </c>
      <c r="D3255" s="380" t="s">
        <v>767</v>
      </c>
      <c r="E3255" s="380" t="s">
        <v>781</v>
      </c>
      <c r="F3255" s="380" t="s">
        <v>782</v>
      </c>
      <c r="G3255" s="380" t="s">
        <v>1267</v>
      </c>
      <c r="H3255" s="380" t="s">
        <v>771</v>
      </c>
      <c r="I3255" s="380" t="s">
        <v>784</v>
      </c>
      <c r="J3255" s="380" t="s">
        <v>773</v>
      </c>
      <c r="K3255" s="381">
        <v>0.0</v>
      </c>
      <c r="L3255" s="382">
        <v>1.0</v>
      </c>
    </row>
    <row r="3256">
      <c r="A3256" s="380" t="s">
        <v>4119</v>
      </c>
      <c r="B3256" s="380" t="str">
        <f>IFERROR(__xludf.DUMMYFUNCTION("""COMPUTED_VALUE"""),"Nivel Aluminio De 18""")</f>
        <v>Nivel Aluminio De 18"</v>
      </c>
      <c r="C3256" s="380" t="str">
        <f>IFERROR(__xludf.DUMMYFUNCTION("""COMPUTED_VALUE"""),"50000874")</f>
        <v>50000874</v>
      </c>
      <c r="D3256" s="380" t="s">
        <v>767</v>
      </c>
      <c r="E3256" s="380" t="s">
        <v>781</v>
      </c>
      <c r="F3256" s="380" t="s">
        <v>782</v>
      </c>
      <c r="G3256" s="380" t="s">
        <v>1267</v>
      </c>
      <c r="H3256" s="380" t="s">
        <v>771</v>
      </c>
      <c r="I3256" s="380" t="s">
        <v>784</v>
      </c>
      <c r="J3256" s="380" t="s">
        <v>773</v>
      </c>
      <c r="K3256" s="381">
        <v>0.0</v>
      </c>
      <c r="L3256" s="382">
        <v>1.0</v>
      </c>
    </row>
    <row r="3257">
      <c r="A3257" s="380" t="s">
        <v>4120</v>
      </c>
      <c r="B3257" s="380" t="str">
        <f>IFERROR(__xludf.DUMMYFUNCTION("""COMPUTED_VALUE"""),"Remachadora Pop Neumatica 7 Kg/Cm2")</f>
        <v>Remachadora Pop Neumatica 7 Kg/Cm2</v>
      </c>
      <c r="C3257" s="380" t="str">
        <f>IFERROR(__xludf.DUMMYFUNCTION("""COMPUTED_VALUE"""),"50000875")</f>
        <v>50000875</v>
      </c>
      <c r="D3257" s="380" t="s">
        <v>767</v>
      </c>
      <c r="E3257" s="380" t="s">
        <v>781</v>
      </c>
      <c r="F3257" s="380" t="s">
        <v>782</v>
      </c>
      <c r="G3257" s="380" t="s">
        <v>1267</v>
      </c>
      <c r="H3257" s="380" t="s">
        <v>771</v>
      </c>
      <c r="I3257" s="380" t="s">
        <v>784</v>
      </c>
      <c r="J3257" s="380" t="s">
        <v>773</v>
      </c>
      <c r="K3257" s="381">
        <v>0.0</v>
      </c>
      <c r="L3257" s="382">
        <v>1.0</v>
      </c>
    </row>
    <row r="3258">
      <c r="A3258" s="380" t="s">
        <v>4121</v>
      </c>
      <c r="B3258" s="380" t="str">
        <f>IFERROR(__xludf.DUMMYFUNCTION("""COMPUTED_VALUE"""),"Martillo De Caucho")</f>
        <v>Martillo De Caucho</v>
      </c>
      <c r="C3258" s="380" t="str">
        <f>IFERROR(__xludf.DUMMYFUNCTION("""COMPUTED_VALUE"""),"50000876")</f>
        <v>50000876</v>
      </c>
      <c r="D3258" s="380" t="s">
        <v>767</v>
      </c>
      <c r="E3258" s="380" t="s">
        <v>781</v>
      </c>
      <c r="F3258" s="380" t="s">
        <v>782</v>
      </c>
      <c r="G3258" s="380" t="s">
        <v>1267</v>
      </c>
      <c r="H3258" s="380" t="s">
        <v>771</v>
      </c>
      <c r="I3258" s="380" t="s">
        <v>784</v>
      </c>
      <c r="J3258" s="380" t="s">
        <v>773</v>
      </c>
      <c r="K3258" s="381">
        <v>0.0</v>
      </c>
      <c r="L3258" s="382">
        <v>1.0</v>
      </c>
    </row>
    <row r="3259">
      <c r="A3259" s="380" t="s">
        <v>4122</v>
      </c>
      <c r="B3259" s="380" t="str">
        <f>IFERROR(__xludf.DUMMYFUNCTION("""COMPUTED_VALUE"""),"Destornillador Pala 3/8 X 10"" X 12"" Tipo")</f>
        <v>Destornillador Pala 3/8 X 10" X 12" Tipo</v>
      </c>
      <c r="C3259" s="380" t="str">
        <f>IFERROR(__xludf.DUMMYFUNCTION("""COMPUTED_VALUE"""),"50000877")</f>
        <v>50000877</v>
      </c>
      <c r="D3259" s="380" t="s">
        <v>767</v>
      </c>
      <c r="E3259" s="380" t="s">
        <v>781</v>
      </c>
      <c r="F3259" s="380" t="s">
        <v>782</v>
      </c>
      <c r="G3259" s="380" t="s">
        <v>1267</v>
      </c>
      <c r="H3259" s="380" t="s">
        <v>771</v>
      </c>
      <c r="I3259" s="380" t="s">
        <v>784</v>
      </c>
      <c r="J3259" s="380" t="s">
        <v>773</v>
      </c>
      <c r="K3259" s="381">
        <v>0.0</v>
      </c>
      <c r="L3259" s="382">
        <v>1.0</v>
      </c>
    </row>
    <row r="3260">
      <c r="A3260" s="380" t="s">
        <v>4123</v>
      </c>
      <c r="B3260" s="380" t="str">
        <f>IFERROR(__xludf.DUMMYFUNCTION("""COMPUTED_VALUE"""),"Destornillador Pala 3/16 X 4""- 5"" Tipo B")</f>
        <v>Destornillador Pala 3/16 X 4"- 5" Tipo B</v>
      </c>
      <c r="C3260" s="380" t="str">
        <f>IFERROR(__xludf.DUMMYFUNCTION("""COMPUTED_VALUE"""),"50000878")</f>
        <v>50000878</v>
      </c>
      <c r="D3260" s="380" t="s">
        <v>767</v>
      </c>
      <c r="E3260" s="380" t="s">
        <v>781</v>
      </c>
      <c r="F3260" s="380" t="s">
        <v>782</v>
      </c>
      <c r="G3260" s="380" t="s">
        <v>1267</v>
      </c>
      <c r="H3260" s="380" t="s">
        <v>771</v>
      </c>
      <c r="I3260" s="380" t="s">
        <v>784</v>
      </c>
      <c r="J3260" s="380" t="s">
        <v>773</v>
      </c>
      <c r="K3260" s="381">
        <v>0.0</v>
      </c>
      <c r="L3260" s="382">
        <v>1.0</v>
      </c>
    </row>
    <row r="3261">
      <c r="A3261" s="380" t="s">
        <v>4124</v>
      </c>
      <c r="B3261" s="380" t="str">
        <f>IFERROR(__xludf.DUMMYFUNCTION("""COMPUTED_VALUE"""),"Plomada Varias")</f>
        <v>Plomada Varias</v>
      </c>
      <c r="C3261" s="380" t="str">
        <f>IFERROR(__xludf.DUMMYFUNCTION("""COMPUTED_VALUE"""),"50000879")</f>
        <v>50000879</v>
      </c>
      <c r="D3261" s="380" t="s">
        <v>767</v>
      </c>
      <c r="E3261" s="380" t="s">
        <v>781</v>
      </c>
      <c r="F3261" s="380" t="s">
        <v>782</v>
      </c>
      <c r="G3261" s="380" t="s">
        <v>1267</v>
      </c>
      <c r="H3261" s="380" t="s">
        <v>771</v>
      </c>
      <c r="I3261" s="380" t="s">
        <v>784</v>
      </c>
      <c r="J3261" s="380" t="s">
        <v>773</v>
      </c>
      <c r="K3261" s="381">
        <v>0.0</v>
      </c>
      <c r="L3261" s="382">
        <v>1.0</v>
      </c>
    </row>
    <row r="3262">
      <c r="A3262" s="380" t="s">
        <v>4125</v>
      </c>
      <c r="B3262" s="380" t="str">
        <f>IFERROR(__xludf.DUMMYFUNCTION("""COMPUTED_VALUE"""),"Esmeril")</f>
        <v>Esmeril</v>
      </c>
      <c r="C3262" s="380" t="str">
        <f>IFERROR(__xludf.DUMMYFUNCTION("""COMPUTED_VALUE"""),"50000880")</f>
        <v>50000880</v>
      </c>
      <c r="D3262" s="380" t="s">
        <v>767</v>
      </c>
      <c r="E3262" s="380" t="s">
        <v>781</v>
      </c>
      <c r="F3262" s="380" t="s">
        <v>782</v>
      </c>
      <c r="G3262" s="380" t="s">
        <v>1267</v>
      </c>
      <c r="H3262" s="380" t="s">
        <v>771</v>
      </c>
      <c r="I3262" s="380" t="s">
        <v>784</v>
      </c>
      <c r="J3262" s="380" t="s">
        <v>773</v>
      </c>
      <c r="K3262" s="381">
        <v>0.0</v>
      </c>
      <c r="L3262" s="382">
        <v>1.0</v>
      </c>
    </row>
    <row r="3263">
      <c r="A3263" s="380" t="s">
        <v>4126</v>
      </c>
      <c r="B3263" s="380" t="str">
        <f>IFERROR(__xludf.DUMMYFUNCTION("""COMPUTED_VALUE"""),"Colilladora 14"" Dewalt")</f>
        <v>Colilladora 14" Dewalt</v>
      </c>
      <c r="C3263" s="380" t="str">
        <f>IFERROR(__xludf.DUMMYFUNCTION("""COMPUTED_VALUE"""),"50000881")</f>
        <v>50000881</v>
      </c>
      <c r="D3263" s="380" t="s">
        <v>767</v>
      </c>
      <c r="E3263" s="380" t="s">
        <v>781</v>
      </c>
      <c r="F3263" s="380" t="s">
        <v>782</v>
      </c>
      <c r="G3263" s="380" t="s">
        <v>1267</v>
      </c>
      <c r="H3263" s="380" t="s">
        <v>771</v>
      </c>
      <c r="I3263" s="380" t="s">
        <v>784</v>
      </c>
      <c r="J3263" s="380" t="s">
        <v>773</v>
      </c>
      <c r="K3263" s="381">
        <v>0.0</v>
      </c>
      <c r="L3263" s="382">
        <v>1.0</v>
      </c>
    </row>
    <row r="3264">
      <c r="A3264" s="380" t="s">
        <v>4127</v>
      </c>
      <c r="B3264" s="380" t="str">
        <f>IFERROR(__xludf.DUMMYFUNCTION("""COMPUTED_VALUE"""),"Valvulinera (Galon)")</f>
        <v>Valvulinera (Galon)</v>
      </c>
      <c r="C3264" s="380" t="str">
        <f>IFERROR(__xludf.DUMMYFUNCTION("""COMPUTED_VALUE"""),"50000882")</f>
        <v>50000882</v>
      </c>
      <c r="D3264" s="380" t="s">
        <v>767</v>
      </c>
      <c r="E3264" s="380" t="s">
        <v>781</v>
      </c>
      <c r="F3264" s="380" t="s">
        <v>782</v>
      </c>
      <c r="G3264" s="380" t="s">
        <v>1267</v>
      </c>
      <c r="H3264" s="380" t="s">
        <v>771</v>
      </c>
      <c r="I3264" s="380" t="s">
        <v>784</v>
      </c>
      <c r="J3264" s="380" t="s">
        <v>773</v>
      </c>
      <c r="K3264" s="381">
        <v>0.0</v>
      </c>
      <c r="L3264" s="382">
        <v>1.0</v>
      </c>
    </row>
    <row r="3265">
      <c r="A3265" s="380" t="s">
        <v>4128</v>
      </c>
      <c r="B3265" s="380" t="str">
        <f>IFERROR(__xludf.DUMMYFUNCTION("""COMPUTED_VALUE"""),"Cincel 1"" Snapon")</f>
        <v>Cincel 1" Snapon</v>
      </c>
      <c r="C3265" s="380" t="str">
        <f>IFERROR(__xludf.DUMMYFUNCTION("""COMPUTED_VALUE"""),"50000883")</f>
        <v>50000883</v>
      </c>
      <c r="D3265" s="380" t="s">
        <v>767</v>
      </c>
      <c r="E3265" s="380" t="s">
        <v>781</v>
      </c>
      <c r="F3265" s="380" t="s">
        <v>782</v>
      </c>
      <c r="G3265" s="380" t="s">
        <v>1267</v>
      </c>
      <c r="H3265" s="380" t="s">
        <v>771</v>
      </c>
      <c r="I3265" s="380" t="s">
        <v>784</v>
      </c>
      <c r="J3265" s="380" t="s">
        <v>773</v>
      </c>
      <c r="K3265" s="381">
        <v>0.0</v>
      </c>
      <c r="L3265" s="382">
        <v>1.0</v>
      </c>
    </row>
    <row r="3266">
      <c r="A3266" s="380" t="s">
        <v>4129</v>
      </c>
      <c r="B3266" s="380" t="str">
        <f>IFERROR(__xludf.DUMMYFUNCTION("""COMPUTED_VALUE"""),"Copa Cuadrante 1/2 X 1 1/4 Tipo B")</f>
        <v>Copa Cuadrante 1/2 X 1 1/4 Tipo B</v>
      </c>
      <c r="C3266" s="380" t="str">
        <f>IFERROR(__xludf.DUMMYFUNCTION("""COMPUTED_VALUE"""),"50000884")</f>
        <v>50000884</v>
      </c>
      <c r="D3266" s="380" t="s">
        <v>767</v>
      </c>
      <c r="E3266" s="380" t="s">
        <v>781</v>
      </c>
      <c r="F3266" s="380" t="s">
        <v>782</v>
      </c>
      <c r="G3266" s="380" t="s">
        <v>1267</v>
      </c>
      <c r="H3266" s="380" t="s">
        <v>771</v>
      </c>
      <c r="I3266" s="380" t="s">
        <v>784</v>
      </c>
      <c r="J3266" s="380" t="s">
        <v>773</v>
      </c>
      <c r="K3266" s="381">
        <v>0.0</v>
      </c>
      <c r="L3266" s="382">
        <v>1.0</v>
      </c>
    </row>
    <row r="3267">
      <c r="A3267" s="380" t="s">
        <v>4130</v>
      </c>
      <c r="B3267" s="380" t="str">
        <f>IFERROR(__xludf.DUMMYFUNCTION("""COMPUTED_VALUE"""),"Copa Cuadrante 1/2 X 13/16 Tipo B")</f>
        <v>Copa Cuadrante 1/2 X 13/16 Tipo B</v>
      </c>
      <c r="C3267" s="380" t="str">
        <f>IFERROR(__xludf.DUMMYFUNCTION("""COMPUTED_VALUE"""),"50000885")</f>
        <v>50000885</v>
      </c>
      <c r="D3267" s="380" t="s">
        <v>767</v>
      </c>
      <c r="E3267" s="380" t="s">
        <v>781</v>
      </c>
      <c r="F3267" s="380" t="s">
        <v>782</v>
      </c>
      <c r="G3267" s="380" t="s">
        <v>1267</v>
      </c>
      <c r="H3267" s="380" t="s">
        <v>771</v>
      </c>
      <c r="I3267" s="380" t="s">
        <v>784</v>
      </c>
      <c r="J3267" s="380" t="s">
        <v>773</v>
      </c>
      <c r="K3267" s="381">
        <v>0.0</v>
      </c>
      <c r="L3267" s="382">
        <v>1.0</v>
      </c>
    </row>
    <row r="3268">
      <c r="A3268" s="380" t="s">
        <v>4131</v>
      </c>
      <c r="B3268" s="380" t="str">
        <f>IFERROR(__xludf.DUMMYFUNCTION("""COMPUTED_VALUE"""),"Copa Cuadrante 1/2 X 15/16 Tipo B")</f>
        <v>Copa Cuadrante 1/2 X 15/16 Tipo B</v>
      </c>
      <c r="C3268" s="380" t="str">
        <f>IFERROR(__xludf.DUMMYFUNCTION("""COMPUTED_VALUE"""),"50000886")</f>
        <v>50000886</v>
      </c>
      <c r="D3268" s="380" t="s">
        <v>767</v>
      </c>
      <c r="E3268" s="380" t="s">
        <v>781</v>
      </c>
      <c r="F3268" s="380" t="s">
        <v>782</v>
      </c>
      <c r="G3268" s="380" t="s">
        <v>1267</v>
      </c>
      <c r="H3268" s="380" t="s">
        <v>771</v>
      </c>
      <c r="I3268" s="380" t="s">
        <v>784</v>
      </c>
      <c r="J3268" s="380" t="s">
        <v>773</v>
      </c>
      <c r="K3268" s="381">
        <v>0.0</v>
      </c>
      <c r="L3268" s="382">
        <v>1.0</v>
      </c>
    </row>
    <row r="3269">
      <c r="A3269" s="380" t="s">
        <v>4132</v>
      </c>
      <c r="B3269" s="380" t="str">
        <f>IFERROR(__xludf.DUMMYFUNCTION("""COMPUTED_VALUE"""),"Copa Cuadrante 1/2 X 7/16 Tipo B")</f>
        <v>Copa Cuadrante 1/2 X 7/16 Tipo B</v>
      </c>
      <c r="C3269" s="380" t="str">
        <f>IFERROR(__xludf.DUMMYFUNCTION("""COMPUTED_VALUE"""),"50000887")</f>
        <v>50000887</v>
      </c>
      <c r="D3269" s="380" t="s">
        <v>767</v>
      </c>
      <c r="E3269" s="380" t="s">
        <v>781</v>
      </c>
      <c r="F3269" s="380" t="s">
        <v>782</v>
      </c>
      <c r="G3269" s="380" t="s">
        <v>1267</v>
      </c>
      <c r="H3269" s="380" t="s">
        <v>771</v>
      </c>
      <c r="I3269" s="380" t="s">
        <v>784</v>
      </c>
      <c r="J3269" s="380" t="s">
        <v>773</v>
      </c>
      <c r="K3269" s="381">
        <v>0.0</v>
      </c>
      <c r="L3269" s="382">
        <v>1.0</v>
      </c>
    </row>
    <row r="3270">
      <c r="A3270" s="380" t="s">
        <v>4133</v>
      </c>
      <c r="B3270" s="380" t="str">
        <f>IFERROR(__xludf.DUMMYFUNCTION("""COMPUTED_VALUE"""),"Copa Cuadrante 3/8 X 5/16 Snapon")</f>
        <v>Copa Cuadrante 3/8 X 5/16 Snapon</v>
      </c>
      <c r="C3270" s="380" t="str">
        <f>IFERROR(__xludf.DUMMYFUNCTION("""COMPUTED_VALUE"""),"50000888")</f>
        <v>50000888</v>
      </c>
      <c r="D3270" s="380" t="s">
        <v>767</v>
      </c>
      <c r="E3270" s="380" t="s">
        <v>781</v>
      </c>
      <c r="F3270" s="380" t="s">
        <v>782</v>
      </c>
      <c r="G3270" s="380" t="s">
        <v>1267</v>
      </c>
      <c r="H3270" s="380" t="s">
        <v>771</v>
      </c>
      <c r="I3270" s="380" t="s">
        <v>784</v>
      </c>
      <c r="J3270" s="380" t="s">
        <v>773</v>
      </c>
      <c r="K3270" s="381">
        <v>0.0</v>
      </c>
      <c r="L3270" s="382">
        <v>1.0</v>
      </c>
    </row>
    <row r="3271">
      <c r="A3271" s="380" t="s">
        <v>4134</v>
      </c>
      <c r="B3271" s="380" t="str">
        <f>IFERROR(__xludf.DUMMYFUNCTION("""COMPUTED_VALUE"""),"Copa Cuadrante 3/8 X 8mm Tipo B")</f>
        <v>Copa Cuadrante 3/8 X 8mm Tipo B</v>
      </c>
      <c r="C3271" s="380" t="str">
        <f>IFERROR(__xludf.DUMMYFUNCTION("""COMPUTED_VALUE"""),"50000889")</f>
        <v>50000889</v>
      </c>
      <c r="D3271" s="380" t="s">
        <v>767</v>
      </c>
      <c r="E3271" s="380" t="s">
        <v>781</v>
      </c>
      <c r="F3271" s="380" t="s">
        <v>782</v>
      </c>
      <c r="G3271" s="380" t="s">
        <v>1267</v>
      </c>
      <c r="H3271" s="380" t="s">
        <v>771</v>
      </c>
      <c r="I3271" s="380" t="s">
        <v>784</v>
      </c>
      <c r="J3271" s="380" t="s">
        <v>773</v>
      </c>
      <c r="K3271" s="381">
        <v>0.0</v>
      </c>
      <c r="L3271" s="382">
        <v>1.0</v>
      </c>
    </row>
    <row r="3272">
      <c r="A3272" s="380" t="s">
        <v>4135</v>
      </c>
      <c r="B3272" s="380" t="str">
        <f>IFERROR(__xludf.DUMMYFUNCTION("""COMPUTED_VALUE"""),"Llave B Llave Boca Fija 1 X 1 1/8 Tipo B")</f>
        <v>Llave B Llave Boca Fija 1 X 1 1/8 Tipo B</v>
      </c>
      <c r="C3272" s="380" t="str">
        <f>IFERROR(__xludf.DUMMYFUNCTION("""COMPUTED_VALUE"""),"50000890")</f>
        <v>50000890</v>
      </c>
      <c r="D3272" s="380" t="s">
        <v>767</v>
      </c>
      <c r="E3272" s="380" t="s">
        <v>781</v>
      </c>
      <c r="F3272" s="380" t="s">
        <v>782</v>
      </c>
      <c r="G3272" s="380" t="s">
        <v>1267</v>
      </c>
      <c r="H3272" s="380" t="s">
        <v>771</v>
      </c>
      <c r="I3272" s="380" t="s">
        <v>784</v>
      </c>
      <c r="J3272" s="380" t="s">
        <v>773</v>
      </c>
      <c r="K3272" s="381">
        <v>0.0</v>
      </c>
      <c r="L3272" s="382">
        <v>1.0</v>
      </c>
    </row>
    <row r="3273">
      <c r="A3273" s="380" t="s">
        <v>4136</v>
      </c>
      <c r="B3273" s="380" t="str">
        <f>IFERROR(__xludf.DUMMYFUNCTION("""COMPUTED_VALUE"""),"Llave Llave Estrella 15/16 X 7/8 Tipo B")</f>
        <v>Llave Llave Estrella 15/16 X 7/8 Tipo B</v>
      </c>
      <c r="C3273" s="380" t="str">
        <f>IFERROR(__xludf.DUMMYFUNCTION("""COMPUTED_VALUE"""),"50000891")</f>
        <v>50000891</v>
      </c>
      <c r="D3273" s="380" t="s">
        <v>767</v>
      </c>
      <c r="E3273" s="380" t="s">
        <v>781</v>
      </c>
      <c r="F3273" s="380" t="s">
        <v>782</v>
      </c>
      <c r="G3273" s="380" t="s">
        <v>1267</v>
      </c>
      <c r="H3273" s="380" t="s">
        <v>771</v>
      </c>
      <c r="I3273" s="380" t="s">
        <v>784</v>
      </c>
      <c r="J3273" s="380" t="s">
        <v>773</v>
      </c>
      <c r="K3273" s="381">
        <v>0.0</v>
      </c>
      <c r="L3273" s="382">
        <v>1.0</v>
      </c>
    </row>
    <row r="3274">
      <c r="A3274" s="380" t="s">
        <v>4137</v>
      </c>
      <c r="B3274" s="380" t="str">
        <f>IFERROR(__xludf.DUMMYFUNCTION("""COMPUTED_VALUE"""),"Llave Mixta 1"" Tipo B")</f>
        <v>Llave Mixta 1" Tipo B</v>
      </c>
      <c r="C3274" s="380" t="str">
        <f>IFERROR(__xludf.DUMMYFUNCTION("""COMPUTED_VALUE"""),"50000892")</f>
        <v>50000892</v>
      </c>
      <c r="D3274" s="380" t="s">
        <v>767</v>
      </c>
      <c r="E3274" s="380" t="s">
        <v>781</v>
      </c>
      <c r="F3274" s="380" t="s">
        <v>782</v>
      </c>
      <c r="G3274" s="380" t="s">
        <v>1267</v>
      </c>
      <c r="H3274" s="380" t="s">
        <v>771</v>
      </c>
      <c r="I3274" s="380" t="s">
        <v>784</v>
      </c>
      <c r="J3274" s="380" t="s">
        <v>773</v>
      </c>
      <c r="K3274" s="381">
        <v>0.0</v>
      </c>
      <c r="L3274" s="382">
        <v>1.0</v>
      </c>
    </row>
    <row r="3275">
      <c r="A3275" s="380" t="s">
        <v>4138</v>
      </c>
      <c r="B3275" s="380" t="str">
        <f>IFERROR(__xludf.DUMMYFUNCTION("""COMPUTED_VALUE"""),"Llave Mixta 11/16 Tipo B")</f>
        <v>Llave Mixta 11/16 Tipo B</v>
      </c>
      <c r="C3275" s="380" t="str">
        <f>IFERROR(__xludf.DUMMYFUNCTION("""COMPUTED_VALUE"""),"50000893")</f>
        <v>50000893</v>
      </c>
      <c r="D3275" s="380" t="s">
        <v>767</v>
      </c>
      <c r="E3275" s="380" t="s">
        <v>781</v>
      </c>
      <c r="F3275" s="380" t="s">
        <v>782</v>
      </c>
      <c r="G3275" s="380" t="s">
        <v>1267</v>
      </c>
      <c r="H3275" s="380" t="s">
        <v>771</v>
      </c>
      <c r="I3275" s="380" t="s">
        <v>784</v>
      </c>
      <c r="J3275" s="380" t="s">
        <v>773</v>
      </c>
      <c r="K3275" s="381">
        <v>0.0</v>
      </c>
      <c r="L3275" s="382">
        <v>1.0</v>
      </c>
    </row>
    <row r="3276">
      <c r="A3276" s="380" t="s">
        <v>4139</v>
      </c>
      <c r="B3276" s="380" t="str">
        <f>IFERROR(__xludf.DUMMYFUNCTION("""COMPUTED_VALUE"""),"Llave Mixta 15mm Tipo B")</f>
        <v>Llave Mixta 15mm Tipo B</v>
      </c>
      <c r="C3276" s="380" t="str">
        <f>IFERROR(__xludf.DUMMYFUNCTION("""COMPUTED_VALUE"""),"50000894")</f>
        <v>50000894</v>
      </c>
      <c r="D3276" s="380" t="s">
        <v>767</v>
      </c>
      <c r="E3276" s="380" t="s">
        <v>781</v>
      </c>
      <c r="F3276" s="380" t="s">
        <v>782</v>
      </c>
      <c r="G3276" s="380" t="s">
        <v>1267</v>
      </c>
      <c r="H3276" s="380" t="s">
        <v>771</v>
      </c>
      <c r="I3276" s="380" t="s">
        <v>784</v>
      </c>
      <c r="J3276" s="380" t="s">
        <v>773</v>
      </c>
      <c r="K3276" s="381">
        <v>0.0</v>
      </c>
      <c r="L3276" s="382">
        <v>1.0</v>
      </c>
    </row>
    <row r="3277">
      <c r="A3277" s="380" t="s">
        <v>4140</v>
      </c>
      <c r="B3277" s="380" t="str">
        <f>IFERROR(__xludf.DUMMYFUNCTION("""COMPUTED_VALUE"""),"Llave Mixta 15mm Proto")</f>
        <v>Llave Mixta 15mm Proto</v>
      </c>
      <c r="C3277" s="380" t="str">
        <f>IFERROR(__xludf.DUMMYFUNCTION("""COMPUTED_VALUE"""),"50000895")</f>
        <v>50000895</v>
      </c>
      <c r="D3277" s="380" t="s">
        <v>767</v>
      </c>
      <c r="E3277" s="380" t="s">
        <v>781</v>
      </c>
      <c r="F3277" s="380" t="s">
        <v>782</v>
      </c>
      <c r="G3277" s="380" t="s">
        <v>1267</v>
      </c>
      <c r="H3277" s="380" t="s">
        <v>771</v>
      </c>
      <c r="I3277" s="380" t="s">
        <v>784</v>
      </c>
      <c r="J3277" s="380" t="s">
        <v>773</v>
      </c>
      <c r="K3277" s="381">
        <v>0.0</v>
      </c>
      <c r="L3277" s="382">
        <v>1.0</v>
      </c>
    </row>
    <row r="3278">
      <c r="A3278" s="380" t="s">
        <v>4141</v>
      </c>
      <c r="B3278" s="380" t="str">
        <f>IFERROR(__xludf.DUMMYFUNCTION("""COMPUTED_VALUE"""),"Plancha Latonero Lengua")</f>
        <v>Plancha Latonero Lengua</v>
      </c>
      <c r="C3278" s="380" t="str">
        <f>IFERROR(__xludf.DUMMYFUNCTION("""COMPUTED_VALUE"""),"50000896")</f>
        <v>50000896</v>
      </c>
      <c r="D3278" s="380" t="s">
        <v>767</v>
      </c>
      <c r="E3278" s="380" t="s">
        <v>781</v>
      </c>
      <c r="F3278" s="380" t="s">
        <v>782</v>
      </c>
      <c r="G3278" s="380" t="s">
        <v>1267</v>
      </c>
      <c r="H3278" s="380" t="s">
        <v>771</v>
      </c>
      <c r="I3278" s="380" t="s">
        <v>784</v>
      </c>
      <c r="J3278" s="380" t="s">
        <v>773</v>
      </c>
      <c r="K3278" s="381">
        <v>0.0</v>
      </c>
      <c r="L3278" s="382">
        <v>1.0</v>
      </c>
    </row>
    <row r="3279">
      <c r="A3279" s="380" t="s">
        <v>4142</v>
      </c>
      <c r="B3279" s="380" t="str">
        <f>IFERROR(__xludf.DUMMYFUNCTION("""COMPUTED_VALUE"""),"Plancha Latonero Lengueta")</f>
        <v>Plancha Latonero Lengueta</v>
      </c>
      <c r="C3279" s="380" t="str">
        <f>IFERROR(__xludf.DUMMYFUNCTION("""COMPUTED_VALUE"""),"50000897")</f>
        <v>50000897</v>
      </c>
      <c r="D3279" s="380" t="s">
        <v>767</v>
      </c>
      <c r="E3279" s="380" t="s">
        <v>781</v>
      </c>
      <c r="F3279" s="380" t="s">
        <v>782</v>
      </c>
      <c r="G3279" s="380" t="s">
        <v>1267</v>
      </c>
      <c r="H3279" s="380" t="s">
        <v>771</v>
      </c>
      <c r="I3279" s="380" t="s">
        <v>784</v>
      </c>
      <c r="J3279" s="380" t="s">
        <v>773</v>
      </c>
      <c r="K3279" s="381">
        <v>0.0</v>
      </c>
      <c r="L3279" s="382">
        <v>1.0</v>
      </c>
    </row>
    <row r="3280">
      <c r="A3280" s="380" t="s">
        <v>4143</v>
      </c>
      <c r="B3280" s="380" t="str">
        <f>IFERROR(__xludf.DUMMYFUNCTION("""COMPUTED_VALUE"""),"Plancha Latonero Plana")</f>
        <v>Plancha Latonero Plana</v>
      </c>
      <c r="C3280" s="380" t="str">
        <f>IFERROR(__xludf.DUMMYFUNCTION("""COMPUTED_VALUE"""),"50000898")</f>
        <v>50000898</v>
      </c>
      <c r="D3280" s="380" t="s">
        <v>767</v>
      </c>
      <c r="E3280" s="380" t="s">
        <v>781</v>
      </c>
      <c r="F3280" s="380" t="s">
        <v>782</v>
      </c>
      <c r="G3280" s="380" t="s">
        <v>1267</v>
      </c>
      <c r="H3280" s="380" t="s">
        <v>771</v>
      </c>
      <c r="I3280" s="380" t="s">
        <v>784</v>
      </c>
      <c r="J3280" s="380" t="s">
        <v>773</v>
      </c>
      <c r="K3280" s="381">
        <v>0.0</v>
      </c>
      <c r="L3280" s="382">
        <v>1.0</v>
      </c>
    </row>
    <row r="3281">
      <c r="A3281" s="380" t="s">
        <v>4144</v>
      </c>
      <c r="B3281" s="380" t="str">
        <f>IFERROR(__xludf.DUMMYFUNCTION("""COMPUTED_VALUE"""),"Plancha Latonero Plana Tacon")</f>
        <v>Plancha Latonero Plana Tacon</v>
      </c>
      <c r="C3281" s="380" t="str">
        <f>IFERROR(__xludf.DUMMYFUNCTION("""COMPUTED_VALUE"""),"50000899")</f>
        <v>50000899</v>
      </c>
      <c r="D3281" s="380" t="s">
        <v>767</v>
      </c>
      <c r="E3281" s="380" t="s">
        <v>781</v>
      </c>
      <c r="F3281" s="380" t="s">
        <v>782</v>
      </c>
      <c r="G3281" s="380" t="s">
        <v>1267</v>
      </c>
      <c r="H3281" s="380" t="s">
        <v>771</v>
      </c>
      <c r="I3281" s="380" t="s">
        <v>784</v>
      </c>
      <c r="J3281" s="380" t="s">
        <v>773</v>
      </c>
      <c r="K3281" s="381">
        <v>0.0</v>
      </c>
      <c r="L3281" s="382">
        <v>1.0</v>
      </c>
    </row>
    <row r="3282">
      <c r="A3282" s="380" t="s">
        <v>4145</v>
      </c>
      <c r="B3282" s="380" t="str">
        <f>IFERROR(__xludf.DUMMYFUNCTION("""COMPUTED_VALUE"""),"Plancha Latonero Plana Curva")</f>
        <v>Plancha Latonero Plana Curva</v>
      </c>
      <c r="C3282" s="380" t="str">
        <f>IFERROR(__xludf.DUMMYFUNCTION("""COMPUTED_VALUE"""),"50000900")</f>
        <v>50000900</v>
      </c>
      <c r="D3282" s="380" t="s">
        <v>767</v>
      </c>
      <c r="E3282" s="380" t="s">
        <v>781</v>
      </c>
      <c r="F3282" s="380" t="s">
        <v>782</v>
      </c>
      <c r="G3282" s="380" t="s">
        <v>1267</v>
      </c>
      <c r="H3282" s="380" t="s">
        <v>771</v>
      </c>
      <c r="I3282" s="380" t="s">
        <v>784</v>
      </c>
      <c r="J3282" s="380" t="s">
        <v>773</v>
      </c>
      <c r="K3282" s="381">
        <v>0.0</v>
      </c>
      <c r="L3282" s="382">
        <v>1.0</v>
      </c>
    </row>
    <row r="3283">
      <c r="A3283" s="380" t="s">
        <v>4146</v>
      </c>
      <c r="B3283" s="380" t="str">
        <f>IFERROR(__xludf.DUMMYFUNCTION("""COMPUTED_VALUE"""),"Plancha Latonero Riel")</f>
        <v>Plancha Latonero Riel</v>
      </c>
      <c r="C3283" s="380" t="str">
        <f>IFERROR(__xludf.DUMMYFUNCTION("""COMPUTED_VALUE"""),"50000901")</f>
        <v>50000901</v>
      </c>
      <c r="D3283" s="380" t="s">
        <v>767</v>
      </c>
      <c r="E3283" s="380" t="s">
        <v>781</v>
      </c>
      <c r="F3283" s="380" t="s">
        <v>782</v>
      </c>
      <c r="G3283" s="380" t="s">
        <v>1267</v>
      </c>
      <c r="H3283" s="380" t="s">
        <v>771</v>
      </c>
      <c r="I3283" s="380" t="s">
        <v>784</v>
      </c>
      <c r="J3283" s="380" t="s">
        <v>773</v>
      </c>
      <c r="K3283" s="381">
        <v>0.0</v>
      </c>
      <c r="L3283" s="382">
        <v>1.0</v>
      </c>
    </row>
    <row r="3284">
      <c r="A3284" s="380" t="s">
        <v>4147</v>
      </c>
      <c r="B3284" s="380" t="str">
        <f>IFERROR(__xludf.DUMMYFUNCTION("""COMPUTED_VALUE"""),"Prensa En C De 10""")</f>
        <v>Prensa En C De 10"</v>
      </c>
      <c r="C3284" s="380" t="str">
        <f>IFERROR(__xludf.DUMMYFUNCTION("""COMPUTED_VALUE"""),"50000902")</f>
        <v>50000902</v>
      </c>
      <c r="D3284" s="380" t="s">
        <v>767</v>
      </c>
      <c r="E3284" s="380" t="s">
        <v>781</v>
      </c>
      <c r="F3284" s="380" t="s">
        <v>782</v>
      </c>
      <c r="G3284" s="380" t="s">
        <v>1267</v>
      </c>
      <c r="H3284" s="380" t="s">
        <v>771</v>
      </c>
      <c r="I3284" s="380" t="s">
        <v>784</v>
      </c>
      <c r="J3284" s="380" t="s">
        <v>773</v>
      </c>
      <c r="K3284" s="381">
        <v>0.0</v>
      </c>
      <c r="L3284" s="382">
        <v>1.0</v>
      </c>
    </row>
    <row r="3285">
      <c r="A3285" s="380" t="s">
        <v>4148</v>
      </c>
      <c r="B3285" s="380" t="str">
        <f>IFERROR(__xludf.DUMMYFUNCTION("""COMPUTED_VALUE"""),"Rache Cuadrante 1/2 X 8"" Proto")</f>
        <v>Rache Cuadrante 1/2 X 8" Proto</v>
      </c>
      <c r="C3285" s="380" t="str">
        <f>IFERROR(__xludf.DUMMYFUNCTION("""COMPUTED_VALUE"""),"50000903")</f>
        <v>50000903</v>
      </c>
      <c r="D3285" s="380" t="s">
        <v>767</v>
      </c>
      <c r="E3285" s="380" t="s">
        <v>781</v>
      </c>
      <c r="F3285" s="380" t="s">
        <v>782</v>
      </c>
      <c r="G3285" s="380" t="s">
        <v>1267</v>
      </c>
      <c r="H3285" s="380" t="s">
        <v>771</v>
      </c>
      <c r="I3285" s="380" t="s">
        <v>784</v>
      </c>
      <c r="J3285" s="380" t="s">
        <v>773</v>
      </c>
      <c r="K3285" s="381">
        <v>0.0</v>
      </c>
      <c r="L3285" s="382">
        <v>1.0</v>
      </c>
    </row>
    <row r="3286">
      <c r="A3286" s="380" t="s">
        <v>4149</v>
      </c>
      <c r="B3286" s="380" t="str">
        <f>IFERROR(__xludf.DUMMYFUNCTION("""COMPUTED_VALUE"""),"Manguera Aire De 3/8 Acoplada")</f>
        <v>Manguera Aire De 3/8 Acoplada</v>
      </c>
      <c r="C3286" s="380" t="str">
        <f>IFERROR(__xludf.DUMMYFUNCTION("""COMPUTED_VALUE"""),"50000904")</f>
        <v>50000904</v>
      </c>
      <c r="D3286" s="380" t="s">
        <v>767</v>
      </c>
      <c r="E3286" s="380" t="s">
        <v>781</v>
      </c>
      <c r="F3286" s="380" t="s">
        <v>782</v>
      </c>
      <c r="G3286" s="380" t="s">
        <v>1267</v>
      </c>
      <c r="H3286" s="380" t="s">
        <v>771</v>
      </c>
      <c r="I3286" s="380" t="s">
        <v>784</v>
      </c>
      <c r="J3286" s="380" t="s">
        <v>773</v>
      </c>
      <c r="K3286" s="381">
        <v>72846.0</v>
      </c>
      <c r="L3286" s="382">
        <v>1.0</v>
      </c>
    </row>
    <row r="3287">
      <c r="A3287" s="380" t="s">
        <v>4150</v>
      </c>
      <c r="B3287" s="380" t="str">
        <f>IFERROR(__xludf.DUMMYFUNCTION("""COMPUTED_VALUE"""),"Almadana De 2 Libras")</f>
        <v>Almadana De 2 Libras</v>
      </c>
      <c r="C3287" s="380" t="str">
        <f>IFERROR(__xludf.DUMMYFUNCTION("""COMPUTED_VALUE"""),"50000905")</f>
        <v>50000905</v>
      </c>
      <c r="D3287" s="380" t="s">
        <v>767</v>
      </c>
      <c r="E3287" s="380" t="s">
        <v>781</v>
      </c>
      <c r="F3287" s="380" t="s">
        <v>782</v>
      </c>
      <c r="G3287" s="380" t="s">
        <v>1267</v>
      </c>
      <c r="H3287" s="380" t="s">
        <v>771</v>
      </c>
      <c r="I3287" s="380" t="s">
        <v>784</v>
      </c>
      <c r="J3287" s="380" t="s">
        <v>773</v>
      </c>
      <c r="K3287" s="381">
        <v>0.0</v>
      </c>
      <c r="L3287" s="382">
        <v>1.0</v>
      </c>
    </row>
    <row r="3288">
      <c r="A3288" s="380" t="s">
        <v>4151</v>
      </c>
      <c r="B3288" s="380" t="str">
        <f>IFERROR(__xludf.DUMMYFUNCTION("""COMPUTED_VALUE"""),"Mar Martillo Latonero Acabado Liso Proto")</f>
        <v>Mar Martillo Latonero Acabado Liso Proto</v>
      </c>
      <c r="C3288" s="380" t="str">
        <f>IFERROR(__xludf.DUMMYFUNCTION("""COMPUTED_VALUE"""),"50000906")</f>
        <v>50000906</v>
      </c>
      <c r="D3288" s="380" t="s">
        <v>767</v>
      </c>
      <c r="E3288" s="380" t="s">
        <v>781</v>
      </c>
      <c r="F3288" s="380" t="s">
        <v>782</v>
      </c>
      <c r="G3288" s="380" t="s">
        <v>1267</v>
      </c>
      <c r="H3288" s="380" t="s">
        <v>771</v>
      </c>
      <c r="I3288" s="380" t="s">
        <v>784</v>
      </c>
      <c r="J3288" s="380" t="s">
        <v>773</v>
      </c>
      <c r="K3288" s="381">
        <v>0.0</v>
      </c>
      <c r="L3288" s="382">
        <v>1.0</v>
      </c>
    </row>
    <row r="3289">
      <c r="A3289" s="380" t="s">
        <v>4152</v>
      </c>
      <c r="B3289" s="380" t="str">
        <f>IFERROR(__xludf.DUMMYFUNCTION("""COMPUTED_VALUE"""),"Tensor Gancho - Gancho")</f>
        <v>Tensor Gancho - Gancho</v>
      </c>
      <c r="C3289" s="380" t="str">
        <f>IFERROR(__xludf.DUMMYFUNCTION("""COMPUTED_VALUE"""),"50000907")</f>
        <v>50000907</v>
      </c>
      <c r="D3289" s="380" t="s">
        <v>767</v>
      </c>
      <c r="E3289" s="380" t="s">
        <v>781</v>
      </c>
      <c r="F3289" s="380" t="s">
        <v>782</v>
      </c>
      <c r="G3289" s="380" t="s">
        <v>1267</v>
      </c>
      <c r="H3289" s="380" t="s">
        <v>771</v>
      </c>
      <c r="I3289" s="380" t="s">
        <v>784</v>
      </c>
      <c r="J3289" s="380" t="s">
        <v>773</v>
      </c>
      <c r="K3289" s="381">
        <v>0.0</v>
      </c>
      <c r="L3289" s="382">
        <v>1.0</v>
      </c>
    </row>
    <row r="3290">
      <c r="A3290" s="380" t="s">
        <v>4153</v>
      </c>
      <c r="B3290" s="380" t="str">
        <f>IFERROR(__xludf.DUMMYFUNCTION("""COMPUTED_VALUE"""),"Destornillador Estrella 3/16 X 9")</f>
        <v>Destornillador Estrella 3/16 X 9</v>
      </c>
      <c r="C3290" s="380" t="str">
        <f>IFERROR(__xludf.DUMMYFUNCTION("""COMPUTED_VALUE"""),"50000908")</f>
        <v>50000908</v>
      </c>
      <c r="D3290" s="380" t="s">
        <v>767</v>
      </c>
      <c r="E3290" s="380" t="s">
        <v>781</v>
      </c>
      <c r="F3290" s="380" t="s">
        <v>782</v>
      </c>
      <c r="G3290" s="380" t="s">
        <v>1267</v>
      </c>
      <c r="H3290" s="380" t="s">
        <v>771</v>
      </c>
      <c r="I3290" s="380" t="s">
        <v>784</v>
      </c>
      <c r="J3290" s="380" t="s">
        <v>773</v>
      </c>
      <c r="K3290" s="381">
        <v>0.0</v>
      </c>
      <c r="L3290" s="382">
        <v>1.0</v>
      </c>
    </row>
    <row r="3291">
      <c r="A3291" s="380" t="s">
        <v>4154</v>
      </c>
      <c r="B3291" s="380" t="str">
        <f>IFERROR(__xludf.DUMMYFUNCTION("""COMPUTED_VALUE"""),"Gafas Soldadura Autogena")</f>
        <v>Gafas Soldadura Autogena</v>
      </c>
      <c r="C3291" s="380" t="str">
        <f>IFERROR(__xludf.DUMMYFUNCTION("""COMPUTED_VALUE"""),"50000909")</f>
        <v>50000909</v>
      </c>
      <c r="D3291" s="380" t="s">
        <v>767</v>
      </c>
      <c r="E3291" s="380" t="s">
        <v>781</v>
      </c>
      <c r="F3291" s="380" t="s">
        <v>782</v>
      </c>
      <c r="G3291" s="380" t="s">
        <v>1267</v>
      </c>
      <c r="H3291" s="380" t="s">
        <v>771</v>
      </c>
      <c r="I3291" s="380" t="s">
        <v>784</v>
      </c>
      <c r="J3291" s="380" t="s">
        <v>773</v>
      </c>
      <c r="K3291" s="381">
        <v>0.0</v>
      </c>
      <c r="L3291" s="382">
        <v>1.0</v>
      </c>
    </row>
    <row r="3292">
      <c r="A3292" s="380" t="s">
        <v>4155</v>
      </c>
      <c r="B3292" s="380" t="str">
        <f>IFERROR(__xludf.DUMMYFUNCTION("""COMPUTED_VALUE"""),"Alicate Presion Boca De Pato")</f>
        <v>Alicate Presion Boca De Pato</v>
      </c>
      <c r="C3292" s="380" t="str">
        <f>IFERROR(__xludf.DUMMYFUNCTION("""COMPUTED_VALUE"""),"50000910")</f>
        <v>50000910</v>
      </c>
      <c r="D3292" s="380" t="s">
        <v>767</v>
      </c>
      <c r="E3292" s="380" t="s">
        <v>781</v>
      </c>
      <c r="F3292" s="380" t="s">
        <v>782</v>
      </c>
      <c r="G3292" s="380" t="s">
        <v>1267</v>
      </c>
      <c r="H3292" s="380" t="s">
        <v>771</v>
      </c>
      <c r="I3292" s="380" t="s">
        <v>784</v>
      </c>
      <c r="J3292" s="380" t="s">
        <v>773</v>
      </c>
      <c r="K3292" s="381">
        <v>0.0</v>
      </c>
      <c r="L3292" s="382">
        <v>1.0</v>
      </c>
    </row>
    <row r="3293">
      <c r="A3293" s="380" t="s">
        <v>4156</v>
      </c>
      <c r="B3293" s="380" t="str">
        <f>IFERROR(__xludf.DUMMYFUNCTION("""COMPUTED_VALUE"""),"Punta Torx T10")</f>
        <v>Punta Torx T10</v>
      </c>
      <c r="C3293" s="380" t="str">
        <f>IFERROR(__xludf.DUMMYFUNCTION("""COMPUTED_VALUE"""),"50000911")</f>
        <v>50000911</v>
      </c>
      <c r="D3293" s="380" t="s">
        <v>767</v>
      </c>
      <c r="E3293" s="380" t="s">
        <v>781</v>
      </c>
      <c r="F3293" s="380" t="s">
        <v>782</v>
      </c>
      <c r="G3293" s="380" t="s">
        <v>1267</v>
      </c>
      <c r="H3293" s="380" t="s">
        <v>771</v>
      </c>
      <c r="I3293" s="380" t="s">
        <v>784</v>
      </c>
      <c r="J3293" s="380" t="s">
        <v>773</v>
      </c>
      <c r="K3293" s="381">
        <v>0.0</v>
      </c>
      <c r="L3293" s="382">
        <v>1.0</v>
      </c>
    </row>
    <row r="3294">
      <c r="A3294" s="380" t="s">
        <v>4157</v>
      </c>
      <c r="B3294" s="380" t="str">
        <f>IFERROR(__xludf.DUMMYFUNCTION("""COMPUTED_VALUE"""),"Punta Torx T15")</f>
        <v>Punta Torx T15</v>
      </c>
      <c r="C3294" s="380" t="str">
        <f>IFERROR(__xludf.DUMMYFUNCTION("""COMPUTED_VALUE"""),"50000912")</f>
        <v>50000912</v>
      </c>
      <c r="D3294" s="380" t="s">
        <v>767</v>
      </c>
      <c r="E3294" s="380" t="s">
        <v>781</v>
      </c>
      <c r="F3294" s="380" t="s">
        <v>782</v>
      </c>
      <c r="G3294" s="380" t="s">
        <v>1267</v>
      </c>
      <c r="H3294" s="380" t="s">
        <v>771</v>
      </c>
      <c r="I3294" s="380" t="s">
        <v>784</v>
      </c>
      <c r="J3294" s="380" t="s">
        <v>773</v>
      </c>
      <c r="K3294" s="381">
        <v>0.0</v>
      </c>
      <c r="L3294" s="382">
        <v>1.0</v>
      </c>
    </row>
    <row r="3295">
      <c r="A3295" s="380" t="s">
        <v>4158</v>
      </c>
      <c r="B3295" s="380" t="str">
        <f>IFERROR(__xludf.DUMMYFUNCTION("""COMPUTED_VALUE"""),"Punta Torx T20")</f>
        <v>Punta Torx T20</v>
      </c>
      <c r="C3295" s="380" t="str">
        <f>IFERROR(__xludf.DUMMYFUNCTION("""COMPUTED_VALUE"""),"50000913")</f>
        <v>50000913</v>
      </c>
      <c r="D3295" s="380" t="s">
        <v>767</v>
      </c>
      <c r="E3295" s="380" t="s">
        <v>781</v>
      </c>
      <c r="F3295" s="380" t="s">
        <v>782</v>
      </c>
      <c r="G3295" s="380" t="s">
        <v>1267</v>
      </c>
      <c r="H3295" s="380" t="s">
        <v>771</v>
      </c>
      <c r="I3295" s="380" t="s">
        <v>784</v>
      </c>
      <c r="J3295" s="380" t="s">
        <v>773</v>
      </c>
      <c r="K3295" s="381">
        <v>0.0</v>
      </c>
      <c r="L3295" s="382">
        <v>1.0</v>
      </c>
    </row>
    <row r="3296">
      <c r="A3296" s="380" t="s">
        <v>4159</v>
      </c>
      <c r="B3296" s="380" t="str">
        <f>IFERROR(__xludf.DUMMYFUNCTION("""COMPUTED_VALUE"""),"Punta Torx T25")</f>
        <v>Punta Torx T25</v>
      </c>
      <c r="C3296" s="380" t="str">
        <f>IFERROR(__xludf.DUMMYFUNCTION("""COMPUTED_VALUE"""),"50000914")</f>
        <v>50000914</v>
      </c>
      <c r="D3296" s="380" t="s">
        <v>767</v>
      </c>
      <c r="E3296" s="380" t="s">
        <v>781</v>
      </c>
      <c r="F3296" s="380" t="s">
        <v>782</v>
      </c>
      <c r="G3296" s="380" t="s">
        <v>1267</v>
      </c>
      <c r="H3296" s="380" t="s">
        <v>771</v>
      </c>
      <c r="I3296" s="380" t="s">
        <v>784</v>
      </c>
      <c r="J3296" s="380" t="s">
        <v>773</v>
      </c>
      <c r="K3296" s="381">
        <v>0.0</v>
      </c>
      <c r="L3296" s="382">
        <v>1.0</v>
      </c>
    </row>
    <row r="3297">
      <c r="A3297" s="380" t="s">
        <v>4160</v>
      </c>
      <c r="B3297" s="380" t="str">
        <f>IFERROR(__xludf.DUMMYFUNCTION("""COMPUTED_VALUE"""),"Punta Torx T27")</f>
        <v>Punta Torx T27</v>
      </c>
      <c r="C3297" s="380" t="str">
        <f>IFERROR(__xludf.DUMMYFUNCTION("""COMPUTED_VALUE"""),"50000915")</f>
        <v>50000915</v>
      </c>
      <c r="D3297" s="380" t="s">
        <v>767</v>
      </c>
      <c r="E3297" s="380" t="s">
        <v>781</v>
      </c>
      <c r="F3297" s="380" t="s">
        <v>782</v>
      </c>
      <c r="G3297" s="380" t="s">
        <v>1267</v>
      </c>
      <c r="H3297" s="380" t="s">
        <v>771</v>
      </c>
      <c r="I3297" s="380" t="s">
        <v>784</v>
      </c>
      <c r="J3297" s="380" t="s">
        <v>773</v>
      </c>
      <c r="K3297" s="381">
        <v>0.0</v>
      </c>
      <c r="L3297" s="382">
        <v>1.0</v>
      </c>
    </row>
    <row r="3298">
      <c r="A3298" s="380" t="s">
        <v>4161</v>
      </c>
      <c r="B3298" s="380" t="str">
        <f>IFERROR(__xludf.DUMMYFUNCTION("""COMPUTED_VALUE"""),"Punta Torx T30")</f>
        <v>Punta Torx T30</v>
      </c>
      <c r="C3298" s="380" t="str">
        <f>IFERROR(__xludf.DUMMYFUNCTION("""COMPUTED_VALUE"""),"50000916")</f>
        <v>50000916</v>
      </c>
      <c r="D3298" s="380" t="s">
        <v>767</v>
      </c>
      <c r="E3298" s="380" t="s">
        <v>781</v>
      </c>
      <c r="F3298" s="380" t="s">
        <v>782</v>
      </c>
      <c r="G3298" s="380" t="s">
        <v>1267</v>
      </c>
      <c r="H3298" s="380" t="s">
        <v>771</v>
      </c>
      <c r="I3298" s="380" t="s">
        <v>784</v>
      </c>
      <c r="J3298" s="380" t="s">
        <v>773</v>
      </c>
      <c r="K3298" s="381">
        <v>0.0</v>
      </c>
      <c r="L3298" s="382">
        <v>1.0</v>
      </c>
    </row>
    <row r="3299">
      <c r="A3299" s="380" t="s">
        <v>4162</v>
      </c>
      <c r="B3299" s="380" t="str">
        <f>IFERROR(__xludf.DUMMYFUNCTION("""COMPUTED_VALUE"""),"Punta Torx T40")</f>
        <v>Punta Torx T40</v>
      </c>
      <c r="C3299" s="380" t="str">
        <f>IFERROR(__xludf.DUMMYFUNCTION("""COMPUTED_VALUE"""),"50000917")</f>
        <v>50000917</v>
      </c>
      <c r="D3299" s="380" t="s">
        <v>767</v>
      </c>
      <c r="E3299" s="380" t="s">
        <v>781</v>
      </c>
      <c r="F3299" s="380" t="s">
        <v>782</v>
      </c>
      <c r="G3299" s="380" t="s">
        <v>1267</v>
      </c>
      <c r="H3299" s="380" t="s">
        <v>771</v>
      </c>
      <c r="I3299" s="380" t="s">
        <v>784</v>
      </c>
      <c r="J3299" s="380" t="s">
        <v>773</v>
      </c>
      <c r="K3299" s="381">
        <v>0.0</v>
      </c>
      <c r="L3299" s="382">
        <v>1.0</v>
      </c>
    </row>
    <row r="3300">
      <c r="A3300" s="380" t="s">
        <v>4163</v>
      </c>
      <c r="B3300" s="380" t="str">
        <f>IFERROR(__xludf.DUMMYFUNCTION("""COMPUTED_VALUE"""),"Punta Torx T50")</f>
        <v>Punta Torx T50</v>
      </c>
      <c r="C3300" s="380" t="str">
        <f>IFERROR(__xludf.DUMMYFUNCTION("""COMPUTED_VALUE"""),"50000918")</f>
        <v>50000918</v>
      </c>
      <c r="D3300" s="380" t="s">
        <v>767</v>
      </c>
      <c r="E3300" s="380" t="s">
        <v>781</v>
      </c>
      <c r="F3300" s="380" t="s">
        <v>782</v>
      </c>
      <c r="G3300" s="380" t="s">
        <v>1267</v>
      </c>
      <c r="H3300" s="380" t="s">
        <v>771</v>
      </c>
      <c r="I3300" s="380" t="s">
        <v>784</v>
      </c>
      <c r="J3300" s="380" t="s">
        <v>773</v>
      </c>
      <c r="K3300" s="381">
        <v>0.0</v>
      </c>
      <c r="L3300" s="382">
        <v>1.0</v>
      </c>
    </row>
    <row r="3301">
      <c r="A3301" s="380" t="s">
        <v>4164</v>
      </c>
      <c r="B3301" s="380" t="str">
        <f>IFERROR(__xludf.DUMMYFUNCTION("""COMPUTED_VALUE"""),"Punta Torx T45")</f>
        <v>Punta Torx T45</v>
      </c>
      <c r="C3301" s="380" t="str">
        <f>IFERROR(__xludf.DUMMYFUNCTION("""COMPUTED_VALUE"""),"50000919")</f>
        <v>50000919</v>
      </c>
      <c r="D3301" s="380" t="s">
        <v>767</v>
      </c>
      <c r="E3301" s="380" t="s">
        <v>781</v>
      </c>
      <c r="F3301" s="380" t="s">
        <v>782</v>
      </c>
      <c r="G3301" s="380" t="s">
        <v>1267</v>
      </c>
      <c r="H3301" s="380" t="s">
        <v>771</v>
      </c>
      <c r="I3301" s="380" t="s">
        <v>784</v>
      </c>
      <c r="J3301" s="380" t="s">
        <v>773</v>
      </c>
      <c r="K3301" s="381">
        <v>0.0</v>
      </c>
      <c r="L3301" s="382">
        <v>1.0</v>
      </c>
    </row>
    <row r="3302">
      <c r="A3302" s="380" t="s">
        <v>4165</v>
      </c>
      <c r="B3302" s="380" t="str">
        <f>IFERROR(__xludf.DUMMYFUNCTION("""COMPUTED_VALUE"""),"Sacabocado 12mm")</f>
        <v>Sacabocado 12mm</v>
      </c>
      <c r="C3302" s="380" t="str">
        <f>IFERROR(__xludf.DUMMYFUNCTION("""COMPUTED_VALUE"""),"50000920")</f>
        <v>50000920</v>
      </c>
      <c r="D3302" s="380" t="s">
        <v>767</v>
      </c>
      <c r="E3302" s="380" t="s">
        <v>781</v>
      </c>
      <c r="F3302" s="380" t="s">
        <v>782</v>
      </c>
      <c r="G3302" s="380" t="s">
        <v>1267</v>
      </c>
      <c r="H3302" s="380" t="s">
        <v>771</v>
      </c>
      <c r="I3302" s="380" t="s">
        <v>784</v>
      </c>
      <c r="J3302" s="380" t="s">
        <v>773</v>
      </c>
      <c r="K3302" s="381">
        <v>0.0</v>
      </c>
      <c r="L3302" s="382">
        <v>1.0</v>
      </c>
    </row>
    <row r="3303">
      <c r="A3303" s="380" t="s">
        <v>4166</v>
      </c>
      <c r="B3303" s="380" t="str">
        <f>IFERROR(__xludf.DUMMYFUNCTION("""COMPUTED_VALUE"""),"Sacabocado 11/32")</f>
        <v>Sacabocado 11/32</v>
      </c>
      <c r="C3303" s="380" t="str">
        <f>IFERROR(__xludf.DUMMYFUNCTION("""COMPUTED_VALUE"""),"50000921")</f>
        <v>50000921</v>
      </c>
      <c r="D3303" s="380" t="s">
        <v>767</v>
      </c>
      <c r="E3303" s="380" t="s">
        <v>781</v>
      </c>
      <c r="F3303" s="380" t="s">
        <v>782</v>
      </c>
      <c r="G3303" s="380" t="s">
        <v>1267</v>
      </c>
      <c r="H3303" s="380" t="s">
        <v>771</v>
      </c>
      <c r="I3303" s="380" t="s">
        <v>784</v>
      </c>
      <c r="J3303" s="380" t="s">
        <v>773</v>
      </c>
      <c r="K3303" s="381">
        <v>0.0</v>
      </c>
      <c r="L3303" s="382">
        <v>1.0</v>
      </c>
    </row>
    <row r="3304">
      <c r="A3304" s="380" t="s">
        <v>4167</v>
      </c>
      <c r="B3304" s="380" t="str">
        <f>IFERROR(__xludf.DUMMYFUNCTION("""COMPUTED_VALUE"""),"Copa Cuadrante 3/8 X 7/16 Tipo B")</f>
        <v>Copa Cuadrante 3/8 X 7/16 Tipo B</v>
      </c>
      <c r="C3304" s="380" t="str">
        <f>IFERROR(__xludf.DUMMYFUNCTION("""COMPUTED_VALUE"""),"50000922")</f>
        <v>50000922</v>
      </c>
      <c r="D3304" s="380" t="s">
        <v>767</v>
      </c>
      <c r="E3304" s="380" t="s">
        <v>781</v>
      </c>
      <c r="F3304" s="380" t="s">
        <v>782</v>
      </c>
      <c r="G3304" s="380" t="s">
        <v>1267</v>
      </c>
      <c r="H3304" s="380" t="s">
        <v>771</v>
      </c>
      <c r="I3304" s="380" t="s">
        <v>784</v>
      </c>
      <c r="J3304" s="380" t="s">
        <v>773</v>
      </c>
      <c r="K3304" s="381">
        <v>0.0</v>
      </c>
      <c r="L3304" s="382">
        <v>1.0</v>
      </c>
    </row>
    <row r="3305">
      <c r="A3305" s="380" t="s">
        <v>4168</v>
      </c>
      <c r="B3305" s="380" t="str">
        <f>IFERROR(__xludf.DUMMYFUNCTION("""COMPUTED_VALUE"""),"Copa Cuadrante 3/8 X 1/2 Tipo B")</f>
        <v>Copa Cuadrante 3/8 X 1/2 Tipo B</v>
      </c>
      <c r="C3305" s="380" t="str">
        <f>IFERROR(__xludf.DUMMYFUNCTION("""COMPUTED_VALUE"""),"50000923")</f>
        <v>50000923</v>
      </c>
      <c r="D3305" s="380" t="s">
        <v>767</v>
      </c>
      <c r="E3305" s="380" t="s">
        <v>781</v>
      </c>
      <c r="F3305" s="380" t="s">
        <v>782</v>
      </c>
      <c r="G3305" s="380" t="s">
        <v>1267</v>
      </c>
      <c r="H3305" s="380" t="s">
        <v>771</v>
      </c>
      <c r="I3305" s="380" t="s">
        <v>784</v>
      </c>
      <c r="J3305" s="380" t="s">
        <v>773</v>
      </c>
      <c r="K3305" s="381">
        <v>0.0</v>
      </c>
      <c r="L3305" s="382">
        <v>1.0</v>
      </c>
    </row>
    <row r="3306">
      <c r="A3306" s="380" t="s">
        <v>4169</v>
      </c>
      <c r="B3306" s="380" t="str">
        <f>IFERROR(__xludf.DUMMYFUNCTION("""COMPUTED_VALUE"""),"Copa Cuadrante 3/8 X 5/8 Tipo B")</f>
        <v>Copa Cuadrante 3/8 X 5/8 Tipo B</v>
      </c>
      <c r="C3306" s="380" t="str">
        <f>IFERROR(__xludf.DUMMYFUNCTION("""COMPUTED_VALUE"""),"50000924")</f>
        <v>50000924</v>
      </c>
      <c r="D3306" s="380" t="s">
        <v>767</v>
      </c>
      <c r="E3306" s="380" t="s">
        <v>781</v>
      </c>
      <c r="F3306" s="380" t="s">
        <v>782</v>
      </c>
      <c r="G3306" s="380" t="s">
        <v>1267</v>
      </c>
      <c r="H3306" s="380" t="s">
        <v>771</v>
      </c>
      <c r="I3306" s="380" t="s">
        <v>784</v>
      </c>
      <c r="J3306" s="380" t="s">
        <v>773</v>
      </c>
      <c r="K3306" s="381">
        <v>0.0</v>
      </c>
      <c r="L3306" s="382">
        <v>1.0</v>
      </c>
    </row>
    <row r="3307">
      <c r="A3307" s="380" t="s">
        <v>4170</v>
      </c>
      <c r="B3307" s="380" t="str">
        <f>IFERROR(__xludf.DUMMYFUNCTION("""COMPUTED_VALUE"""),"Rac Rache Cuadrante 3/8 X 6"" - 8"" Tipo B")</f>
        <v>Rac Rache Cuadrante 3/8 X 6" - 8" Tipo B</v>
      </c>
      <c r="C3307" s="380" t="str">
        <f>IFERROR(__xludf.DUMMYFUNCTION("""COMPUTED_VALUE"""),"50000925")</f>
        <v>50000925</v>
      </c>
      <c r="D3307" s="380" t="s">
        <v>767</v>
      </c>
      <c r="E3307" s="380" t="s">
        <v>781</v>
      </c>
      <c r="F3307" s="380" t="s">
        <v>782</v>
      </c>
      <c r="G3307" s="380" t="s">
        <v>1267</v>
      </c>
      <c r="H3307" s="380" t="s">
        <v>771</v>
      </c>
      <c r="I3307" s="380" t="s">
        <v>784</v>
      </c>
      <c r="J3307" s="380" t="s">
        <v>773</v>
      </c>
      <c r="K3307" s="381">
        <v>0.0</v>
      </c>
      <c r="L3307" s="382">
        <v>1.0</v>
      </c>
    </row>
    <row r="3308">
      <c r="A3308" s="380" t="s">
        <v>4171</v>
      </c>
      <c r="B3308" s="380" t="str">
        <f>IFERROR(__xludf.DUMMYFUNCTION("""COMPUTED_VALUE"""),"Llave Mixta 1 1/16 Tipo B")</f>
        <v>Llave Mixta 1 1/16 Tipo B</v>
      </c>
      <c r="C3308" s="380" t="str">
        <f>IFERROR(__xludf.DUMMYFUNCTION("""COMPUTED_VALUE"""),"50000926")</f>
        <v>50000926</v>
      </c>
      <c r="D3308" s="380" t="s">
        <v>767</v>
      </c>
      <c r="E3308" s="380" t="s">
        <v>781</v>
      </c>
      <c r="F3308" s="380" t="s">
        <v>782</v>
      </c>
      <c r="G3308" s="380" t="s">
        <v>1267</v>
      </c>
      <c r="H3308" s="380" t="s">
        <v>771</v>
      </c>
      <c r="I3308" s="380" t="s">
        <v>784</v>
      </c>
      <c r="J3308" s="380" t="s">
        <v>773</v>
      </c>
      <c r="K3308" s="381">
        <v>0.0</v>
      </c>
      <c r="L3308" s="382">
        <v>1.0</v>
      </c>
    </row>
    <row r="3309">
      <c r="A3309" s="380" t="s">
        <v>4172</v>
      </c>
      <c r="B3309" s="380" t="str">
        <f>IFERROR(__xludf.DUMMYFUNCTION("""COMPUTED_VALUE"""),"Llave Mixta 7/16 Tipo B")</f>
        <v>Llave Mixta 7/16 Tipo B</v>
      </c>
      <c r="C3309" s="380" t="str">
        <f>IFERROR(__xludf.DUMMYFUNCTION("""COMPUTED_VALUE"""),"50000927")</f>
        <v>50000927</v>
      </c>
      <c r="D3309" s="380" t="s">
        <v>767</v>
      </c>
      <c r="E3309" s="380" t="s">
        <v>781</v>
      </c>
      <c r="F3309" s="380" t="s">
        <v>782</v>
      </c>
      <c r="G3309" s="380" t="s">
        <v>1267</v>
      </c>
      <c r="H3309" s="380" t="s">
        <v>771</v>
      </c>
      <c r="I3309" s="380" t="s">
        <v>784</v>
      </c>
      <c r="J3309" s="380" t="s">
        <v>773</v>
      </c>
      <c r="K3309" s="381">
        <v>0.0</v>
      </c>
      <c r="L3309" s="382">
        <v>1.0</v>
      </c>
    </row>
    <row r="3310">
      <c r="A3310" s="380" t="s">
        <v>4173</v>
      </c>
      <c r="B3310" s="380" t="str">
        <f>IFERROR(__xludf.DUMMYFUNCTION("""COMPUTED_VALUE"""),"Martillo De Bola De 3 - 4 Lbs")</f>
        <v>Martillo De Bola De 3 - 4 Lbs</v>
      </c>
      <c r="C3310" s="380" t="str">
        <f>IFERROR(__xludf.DUMMYFUNCTION("""COMPUTED_VALUE"""),"50000928")</f>
        <v>50000928</v>
      </c>
      <c r="D3310" s="380" t="s">
        <v>767</v>
      </c>
      <c r="E3310" s="380" t="s">
        <v>781</v>
      </c>
      <c r="F3310" s="380" t="s">
        <v>782</v>
      </c>
      <c r="G3310" s="380" t="s">
        <v>1267</v>
      </c>
      <c r="H3310" s="380" t="s">
        <v>771</v>
      </c>
      <c r="I3310" s="380" t="s">
        <v>784</v>
      </c>
      <c r="J3310" s="380" t="s">
        <v>773</v>
      </c>
      <c r="K3310" s="381">
        <v>0.0</v>
      </c>
      <c r="L3310" s="382">
        <v>1.0</v>
      </c>
    </row>
    <row r="3311">
      <c r="A3311" s="380" t="s">
        <v>4174</v>
      </c>
      <c r="B3311" s="380" t="str">
        <f>IFERROR(__xludf.DUMMYFUNCTION("""COMPUTED_VALUE"""),"Calibrador Pie De Rey")</f>
        <v>Calibrador Pie De Rey</v>
      </c>
      <c r="C3311" s="380" t="str">
        <f>IFERROR(__xludf.DUMMYFUNCTION("""COMPUTED_VALUE"""),"50000929")</f>
        <v>50000929</v>
      </c>
      <c r="D3311" s="380" t="s">
        <v>767</v>
      </c>
      <c r="E3311" s="380" t="s">
        <v>781</v>
      </c>
      <c r="F3311" s="380" t="s">
        <v>782</v>
      </c>
      <c r="G3311" s="380" t="s">
        <v>1267</v>
      </c>
      <c r="H3311" s="380" t="s">
        <v>771</v>
      </c>
      <c r="I3311" s="380" t="s">
        <v>784</v>
      </c>
      <c r="J3311" s="380" t="s">
        <v>773</v>
      </c>
      <c r="K3311" s="381">
        <v>0.0</v>
      </c>
      <c r="L3311" s="382">
        <v>1.0</v>
      </c>
    </row>
    <row r="3312">
      <c r="A3312" s="380" t="s">
        <v>4175</v>
      </c>
      <c r="B3312" s="380" t="str">
        <f>IFERROR(__xludf.DUMMYFUNCTION("""COMPUTED_VALUE"""),"Pinza Contraria Pin De Ojo Snapon")</f>
        <v>Pinza Contraria Pin De Ojo Snapon</v>
      </c>
      <c r="C3312" s="380" t="str">
        <f>IFERROR(__xludf.DUMMYFUNCTION("""COMPUTED_VALUE"""),"50000930")</f>
        <v>50000930</v>
      </c>
      <c r="D3312" s="380" t="s">
        <v>767</v>
      </c>
      <c r="E3312" s="380" t="s">
        <v>781</v>
      </c>
      <c r="F3312" s="380" t="s">
        <v>782</v>
      </c>
      <c r="G3312" s="380" t="s">
        <v>1267</v>
      </c>
      <c r="H3312" s="380" t="s">
        <v>771</v>
      </c>
      <c r="I3312" s="380" t="s">
        <v>784</v>
      </c>
      <c r="J3312" s="380" t="s">
        <v>773</v>
      </c>
      <c r="K3312" s="381">
        <v>0.0</v>
      </c>
      <c r="L3312" s="382">
        <v>1.0</v>
      </c>
    </row>
    <row r="3313">
      <c r="A3313" s="380" t="s">
        <v>4176</v>
      </c>
      <c r="B3313" s="380" t="str">
        <f>IFERROR(__xludf.DUMMYFUNCTION("""COMPUTED_VALUE"""),"Pinza Contraria Punta Plana Caja Snapon")</f>
        <v>Pinza Contraria Punta Plana Caja Snapon</v>
      </c>
      <c r="C3313" s="380" t="str">
        <f>IFERROR(__xludf.DUMMYFUNCTION("""COMPUTED_VALUE"""),"50000931")</f>
        <v>50000931</v>
      </c>
      <c r="D3313" s="380" t="s">
        <v>767</v>
      </c>
      <c r="E3313" s="380" t="s">
        <v>781</v>
      </c>
      <c r="F3313" s="380" t="s">
        <v>782</v>
      </c>
      <c r="G3313" s="380" t="s">
        <v>1267</v>
      </c>
      <c r="H3313" s="380" t="s">
        <v>771</v>
      </c>
      <c r="I3313" s="380" t="s">
        <v>784</v>
      </c>
      <c r="J3313" s="380" t="s">
        <v>773</v>
      </c>
      <c r="K3313" s="381">
        <v>0.0</v>
      </c>
      <c r="L3313" s="382">
        <v>1.0</v>
      </c>
    </row>
    <row r="3314">
      <c r="A3314" s="380" t="s">
        <v>4177</v>
      </c>
      <c r="B3314" s="380" t="str">
        <f>IFERROR(__xludf.DUMMYFUNCTION("""COMPUTED_VALUE"""),"Pinza Punta Plana")</f>
        <v>Pinza Punta Plana</v>
      </c>
      <c r="C3314" s="380" t="str">
        <f>IFERROR(__xludf.DUMMYFUNCTION("""COMPUTED_VALUE"""),"50000932")</f>
        <v>50000932</v>
      </c>
      <c r="D3314" s="380" t="s">
        <v>767</v>
      </c>
      <c r="E3314" s="380" t="s">
        <v>781</v>
      </c>
      <c r="F3314" s="380" t="s">
        <v>782</v>
      </c>
      <c r="G3314" s="380" t="s">
        <v>1267</v>
      </c>
      <c r="H3314" s="380" t="s">
        <v>771</v>
      </c>
      <c r="I3314" s="380" t="s">
        <v>784</v>
      </c>
      <c r="J3314" s="380" t="s">
        <v>773</v>
      </c>
      <c r="K3314" s="381">
        <v>0.0</v>
      </c>
      <c r="L3314" s="382">
        <v>1.0</v>
      </c>
    </row>
    <row r="3315">
      <c r="A3315" s="380" t="s">
        <v>4178</v>
      </c>
      <c r="B3315" s="380" t="str">
        <f>IFERROR(__xludf.DUMMYFUNCTION("""COMPUTED_VALUE"""),"Rache Cuadrante 1"" X 28"" Snapon")</f>
        <v>Rache Cuadrante 1" X 28" Snapon</v>
      </c>
      <c r="C3315" s="380" t="str">
        <f>IFERROR(__xludf.DUMMYFUNCTION("""COMPUTED_VALUE"""),"50000933")</f>
        <v>50000933</v>
      </c>
      <c r="D3315" s="380" t="s">
        <v>767</v>
      </c>
      <c r="E3315" s="380" t="s">
        <v>781</v>
      </c>
      <c r="F3315" s="380" t="s">
        <v>782</v>
      </c>
      <c r="G3315" s="380" t="s">
        <v>1267</v>
      </c>
      <c r="H3315" s="380" t="s">
        <v>771</v>
      </c>
      <c r="I3315" s="380" t="s">
        <v>784</v>
      </c>
      <c r="J3315" s="380" t="s">
        <v>773</v>
      </c>
      <c r="K3315" s="381">
        <v>1937320.0</v>
      </c>
      <c r="L3315" s="382">
        <v>1.0</v>
      </c>
    </row>
    <row r="3316">
      <c r="A3316" s="380" t="s">
        <v>4179</v>
      </c>
      <c r="B3316" s="380" t="str">
        <f>IFERROR(__xludf.DUMMYFUNCTION("""COMPUTED_VALUE"""),"Escobillas Para Taladro Black Deke")</f>
        <v>Escobillas Para Taladro Black Deke</v>
      </c>
      <c r="C3316" s="380" t="str">
        <f>IFERROR(__xludf.DUMMYFUNCTION("""COMPUTED_VALUE"""),"50000934")</f>
        <v>50000934</v>
      </c>
      <c r="D3316" s="380" t="s">
        <v>767</v>
      </c>
      <c r="E3316" s="380" t="s">
        <v>781</v>
      </c>
      <c r="F3316" s="380" t="s">
        <v>782</v>
      </c>
      <c r="G3316" s="380" t="s">
        <v>1267</v>
      </c>
      <c r="H3316" s="380" t="s">
        <v>771</v>
      </c>
      <c r="I3316" s="380" t="s">
        <v>784</v>
      </c>
      <c r="J3316" s="380" t="s">
        <v>773</v>
      </c>
      <c r="K3316" s="381">
        <v>0.0</v>
      </c>
      <c r="L3316" s="382">
        <v>1.0</v>
      </c>
    </row>
    <row r="3317">
      <c r="A3317" s="380" t="s">
        <v>4180</v>
      </c>
      <c r="B3317" s="380" t="str">
        <f>IFERROR(__xludf.DUMMYFUNCTION("""COMPUTED_VALUE"""),"Polea De 6""")</f>
        <v>Polea De 6"</v>
      </c>
      <c r="C3317" s="380" t="str">
        <f>IFERROR(__xludf.DUMMYFUNCTION("""COMPUTED_VALUE"""),"50000935")</f>
        <v>50000935</v>
      </c>
      <c r="D3317" s="380" t="s">
        <v>767</v>
      </c>
      <c r="E3317" s="380" t="s">
        <v>781</v>
      </c>
      <c r="F3317" s="380" t="s">
        <v>782</v>
      </c>
      <c r="G3317" s="380" t="s">
        <v>1267</v>
      </c>
      <c r="H3317" s="380" t="s">
        <v>771</v>
      </c>
      <c r="I3317" s="380" t="s">
        <v>784</v>
      </c>
      <c r="J3317" s="380" t="s">
        <v>773</v>
      </c>
      <c r="K3317" s="381">
        <v>0.0</v>
      </c>
      <c r="L3317" s="382">
        <v>1.0</v>
      </c>
    </row>
    <row r="3318">
      <c r="A3318" s="380" t="s">
        <v>4181</v>
      </c>
      <c r="B3318" s="380" t="str">
        <f>IFERROR(__xludf.DUMMYFUNCTION("""COMPUTED_VALUE"""),"Copa Cuadrante 1/2 X 20mm Proto")</f>
        <v>Copa Cuadrante 1/2 X 20mm Proto</v>
      </c>
      <c r="C3318" s="380" t="str">
        <f>IFERROR(__xludf.DUMMYFUNCTION("""COMPUTED_VALUE"""),"50000936")</f>
        <v>50000936</v>
      </c>
      <c r="D3318" s="380" t="s">
        <v>767</v>
      </c>
      <c r="E3318" s="380" t="s">
        <v>781</v>
      </c>
      <c r="F3318" s="380" t="s">
        <v>782</v>
      </c>
      <c r="G3318" s="380" t="s">
        <v>1267</v>
      </c>
      <c r="H3318" s="380" t="s">
        <v>771</v>
      </c>
      <c r="I3318" s="380" t="s">
        <v>784</v>
      </c>
      <c r="J3318" s="380" t="s">
        <v>773</v>
      </c>
      <c r="K3318" s="381">
        <v>0.0</v>
      </c>
      <c r="L3318" s="382">
        <v>1.0</v>
      </c>
    </row>
    <row r="3319">
      <c r="A3319" s="380" t="s">
        <v>4182</v>
      </c>
      <c r="B3319" s="380" t="str">
        <f>IFERROR(__xludf.DUMMYFUNCTION("""COMPUTED_VALUE"""),"Copa Cuadrante 1/2 X 21mm Proto")</f>
        <v>Copa Cuadrante 1/2 X 21mm Proto</v>
      </c>
      <c r="C3319" s="380" t="str">
        <f>IFERROR(__xludf.DUMMYFUNCTION("""COMPUTED_VALUE"""),"50000937")</f>
        <v>50000937</v>
      </c>
      <c r="D3319" s="380" t="s">
        <v>767</v>
      </c>
      <c r="E3319" s="380" t="s">
        <v>781</v>
      </c>
      <c r="F3319" s="380" t="s">
        <v>782</v>
      </c>
      <c r="G3319" s="380" t="s">
        <v>1267</v>
      </c>
      <c r="H3319" s="380" t="s">
        <v>771</v>
      </c>
      <c r="I3319" s="380" t="s">
        <v>784</v>
      </c>
      <c r="J3319" s="380" t="s">
        <v>773</v>
      </c>
      <c r="K3319" s="381">
        <v>0.0</v>
      </c>
      <c r="L3319" s="382">
        <v>1.0</v>
      </c>
    </row>
    <row r="3320">
      <c r="A3320" s="380" t="s">
        <v>4183</v>
      </c>
      <c r="B3320" s="380" t="str">
        <f>IFERROR(__xludf.DUMMYFUNCTION("""COMPUTED_VALUE"""),"Copa Cuadrante 1/2 X 3/4 Proto")</f>
        <v>Copa Cuadrante 1/2 X 3/4 Proto</v>
      </c>
      <c r="C3320" s="380" t="str">
        <f>IFERROR(__xludf.DUMMYFUNCTION("""COMPUTED_VALUE"""),"50000938")</f>
        <v>50000938</v>
      </c>
      <c r="D3320" s="380" t="s">
        <v>767</v>
      </c>
      <c r="E3320" s="380" t="s">
        <v>781</v>
      </c>
      <c r="F3320" s="380" t="s">
        <v>782</v>
      </c>
      <c r="G3320" s="380" t="s">
        <v>1267</v>
      </c>
      <c r="H3320" s="380" t="s">
        <v>771</v>
      </c>
      <c r="I3320" s="380" t="s">
        <v>784</v>
      </c>
      <c r="J3320" s="380" t="s">
        <v>773</v>
      </c>
      <c r="K3320" s="381">
        <v>0.0</v>
      </c>
      <c r="L3320" s="382">
        <v>1.0</v>
      </c>
    </row>
    <row r="3321">
      <c r="A3321" s="380" t="s">
        <v>4184</v>
      </c>
      <c r="B3321" s="380" t="str">
        <f>IFERROR(__xludf.DUMMYFUNCTION("""COMPUTED_VALUE"""),"Manometro R134 Aire Acondicionado")</f>
        <v>Manometro R134 Aire Acondicionado</v>
      </c>
      <c r="C3321" s="380" t="str">
        <f>IFERROR(__xludf.DUMMYFUNCTION("""COMPUTED_VALUE"""),"50000939")</f>
        <v>50000939</v>
      </c>
      <c r="D3321" s="380" t="s">
        <v>767</v>
      </c>
      <c r="E3321" s="380" t="s">
        <v>781</v>
      </c>
      <c r="F3321" s="380" t="s">
        <v>782</v>
      </c>
      <c r="G3321" s="380" t="s">
        <v>1267</v>
      </c>
      <c r="H3321" s="380" t="s">
        <v>771</v>
      </c>
      <c r="I3321" s="380" t="s">
        <v>784</v>
      </c>
      <c r="J3321" s="380" t="s">
        <v>773</v>
      </c>
      <c r="K3321" s="381">
        <v>0.0</v>
      </c>
      <c r="L3321" s="382">
        <v>1.0</v>
      </c>
    </row>
    <row r="3322">
      <c r="A3322" s="380" t="s">
        <v>4185</v>
      </c>
      <c r="B3322" s="380" t="str">
        <f>IFERROR(__xludf.DUMMYFUNCTION("""COMPUTED_VALUE"""),"Copa Cuadrante 1/2 X 5/8 Snapon")</f>
        <v>Copa Cuadrante 1/2 X 5/8 Snapon</v>
      </c>
      <c r="C3322" s="380" t="str">
        <f>IFERROR(__xludf.DUMMYFUNCTION("""COMPUTED_VALUE"""),"50000940")</f>
        <v>50000940</v>
      </c>
      <c r="D3322" s="380" t="s">
        <v>767</v>
      </c>
      <c r="E3322" s="380" t="s">
        <v>781</v>
      </c>
      <c r="F3322" s="380" t="s">
        <v>782</v>
      </c>
      <c r="G3322" s="380" t="s">
        <v>1267</v>
      </c>
      <c r="H3322" s="380" t="s">
        <v>771</v>
      </c>
      <c r="I3322" s="380" t="s">
        <v>784</v>
      </c>
      <c r="J3322" s="380" t="s">
        <v>773</v>
      </c>
      <c r="K3322" s="381">
        <v>0.0</v>
      </c>
      <c r="L3322" s="382">
        <v>1.0</v>
      </c>
    </row>
    <row r="3323">
      <c r="A3323" s="380" t="s">
        <v>4186</v>
      </c>
      <c r="B3323" s="380" t="str">
        <f>IFERROR(__xludf.DUMMYFUNCTION("""COMPUTED_VALUE"""),"Copa Cuadrante 1/2 X 7/16 Proto")</f>
        <v>Copa Cuadrante 1/2 X 7/16 Proto</v>
      </c>
      <c r="C3323" s="380" t="str">
        <f>IFERROR(__xludf.DUMMYFUNCTION("""COMPUTED_VALUE"""),"50000941")</f>
        <v>50000941</v>
      </c>
      <c r="D3323" s="380" t="s">
        <v>767</v>
      </c>
      <c r="E3323" s="380" t="s">
        <v>781</v>
      </c>
      <c r="F3323" s="380" t="s">
        <v>782</v>
      </c>
      <c r="G3323" s="380" t="s">
        <v>1267</v>
      </c>
      <c r="H3323" s="380" t="s">
        <v>771</v>
      </c>
      <c r="I3323" s="380" t="s">
        <v>784</v>
      </c>
      <c r="J3323" s="380" t="s">
        <v>773</v>
      </c>
      <c r="K3323" s="381">
        <v>0.0</v>
      </c>
      <c r="L3323" s="382">
        <v>1.0</v>
      </c>
    </row>
    <row r="3324">
      <c r="A3324" s="380" t="s">
        <v>4187</v>
      </c>
      <c r="B3324" s="380" t="str">
        <f>IFERROR(__xludf.DUMMYFUNCTION("""COMPUTED_VALUE"""),"Llave Mixta 1/2 Tipo B")</f>
        <v>Llave Mixta 1/2 Tipo B</v>
      </c>
      <c r="C3324" s="380" t="str">
        <f>IFERROR(__xludf.DUMMYFUNCTION("""COMPUTED_VALUE"""),"50000942")</f>
        <v>50000942</v>
      </c>
      <c r="D3324" s="380" t="s">
        <v>767</v>
      </c>
      <c r="E3324" s="380" t="s">
        <v>781</v>
      </c>
      <c r="F3324" s="380" t="s">
        <v>782</v>
      </c>
      <c r="G3324" s="380" t="s">
        <v>1267</v>
      </c>
      <c r="H3324" s="380" t="s">
        <v>771</v>
      </c>
      <c r="I3324" s="380" t="s">
        <v>784</v>
      </c>
      <c r="J3324" s="380" t="s">
        <v>773</v>
      </c>
      <c r="K3324" s="381">
        <v>0.0</v>
      </c>
      <c r="L3324" s="382">
        <v>1.0</v>
      </c>
    </row>
    <row r="3325">
      <c r="A3325" s="380" t="s">
        <v>4188</v>
      </c>
      <c r="B3325" s="380" t="str">
        <f>IFERROR(__xludf.DUMMYFUNCTION("""COMPUTED_VALUE"""),"Copa Cuadrante 1/2 X 7/8 Snapon")</f>
        <v>Copa Cuadrante 1/2 X 7/8 Snapon</v>
      </c>
      <c r="C3325" s="380" t="str">
        <f>IFERROR(__xludf.DUMMYFUNCTION("""COMPUTED_VALUE"""),"50000943")</f>
        <v>50000943</v>
      </c>
      <c r="D3325" s="380" t="s">
        <v>767</v>
      </c>
      <c r="E3325" s="380" t="s">
        <v>781</v>
      </c>
      <c r="F3325" s="380" t="s">
        <v>782</v>
      </c>
      <c r="G3325" s="380" t="s">
        <v>1267</v>
      </c>
      <c r="H3325" s="380" t="s">
        <v>771</v>
      </c>
      <c r="I3325" s="380" t="s">
        <v>784</v>
      </c>
      <c r="J3325" s="380" t="s">
        <v>773</v>
      </c>
      <c r="K3325" s="381">
        <v>0.0</v>
      </c>
      <c r="L3325" s="382">
        <v>1.0</v>
      </c>
    </row>
    <row r="3326">
      <c r="A3326" s="380" t="s">
        <v>4189</v>
      </c>
      <c r="B3326" s="380" t="str">
        <f>IFERROR(__xludf.DUMMYFUNCTION("""COMPUTED_VALUE"""),"Copa Cuadrante 1/2 X 7/8 Tipo B")</f>
        <v>Copa Cuadrante 1/2 X 7/8 Tipo B</v>
      </c>
      <c r="C3326" s="380" t="str">
        <f>IFERROR(__xludf.DUMMYFUNCTION("""COMPUTED_VALUE"""),"50000944")</f>
        <v>50000944</v>
      </c>
      <c r="D3326" s="380" t="s">
        <v>767</v>
      </c>
      <c r="E3326" s="380" t="s">
        <v>781</v>
      </c>
      <c r="F3326" s="380" t="s">
        <v>782</v>
      </c>
      <c r="G3326" s="380" t="s">
        <v>1267</v>
      </c>
      <c r="H3326" s="380" t="s">
        <v>771</v>
      </c>
      <c r="I3326" s="380" t="s">
        <v>784</v>
      </c>
      <c r="J3326" s="380" t="s">
        <v>773</v>
      </c>
      <c r="K3326" s="381">
        <v>0.0</v>
      </c>
      <c r="L3326" s="382">
        <v>1.0</v>
      </c>
    </row>
    <row r="3327">
      <c r="A3327" s="380" t="s">
        <v>4190</v>
      </c>
      <c r="B3327" s="380" t="str">
        <f>IFERROR(__xludf.DUMMYFUNCTION("""COMPUTED_VALUE"""),"Copa Cuadrante 3/4 X 1 1/4 Proto")</f>
        <v>Copa Cuadrante 3/4 X 1 1/4 Proto</v>
      </c>
      <c r="C3327" s="380" t="str">
        <f>IFERROR(__xludf.DUMMYFUNCTION("""COMPUTED_VALUE"""),"50000945")</f>
        <v>50000945</v>
      </c>
      <c r="D3327" s="380" t="s">
        <v>767</v>
      </c>
      <c r="E3327" s="380" t="s">
        <v>781</v>
      </c>
      <c r="F3327" s="380" t="s">
        <v>782</v>
      </c>
      <c r="G3327" s="380" t="s">
        <v>1267</v>
      </c>
      <c r="H3327" s="380" t="s">
        <v>771</v>
      </c>
      <c r="I3327" s="380" t="s">
        <v>784</v>
      </c>
      <c r="J3327" s="380" t="s">
        <v>773</v>
      </c>
      <c r="K3327" s="381">
        <v>0.0</v>
      </c>
      <c r="L3327" s="382">
        <v>1.0</v>
      </c>
    </row>
    <row r="3328">
      <c r="A3328" s="380" t="s">
        <v>4191</v>
      </c>
      <c r="B3328" s="380" t="str">
        <f>IFERROR(__xludf.DUMMYFUNCTION("""COMPUTED_VALUE"""),"Copa Cuadrante 3/4 X 1 1/8 Tipo B")</f>
        <v>Copa Cuadrante 3/4 X 1 1/8 Tipo B</v>
      </c>
      <c r="C3328" s="380" t="str">
        <f>IFERROR(__xludf.DUMMYFUNCTION("""COMPUTED_VALUE"""),"50000946")</f>
        <v>50000946</v>
      </c>
      <c r="D3328" s="380" t="s">
        <v>767</v>
      </c>
      <c r="E3328" s="380" t="s">
        <v>781</v>
      </c>
      <c r="F3328" s="380" t="s">
        <v>782</v>
      </c>
      <c r="G3328" s="380" t="s">
        <v>1267</v>
      </c>
      <c r="H3328" s="380" t="s">
        <v>771</v>
      </c>
      <c r="I3328" s="380" t="s">
        <v>784</v>
      </c>
      <c r="J3328" s="380" t="s">
        <v>773</v>
      </c>
      <c r="K3328" s="381">
        <v>0.0</v>
      </c>
      <c r="L3328" s="382">
        <v>1.0</v>
      </c>
    </row>
    <row r="3329">
      <c r="A3329" s="380" t="s">
        <v>4192</v>
      </c>
      <c r="B3329" s="380" t="str">
        <f>IFERROR(__xludf.DUMMYFUNCTION("""COMPUTED_VALUE"""),"Exten Extension Cuadrante 1/2 X 2"" Proto")</f>
        <v>Exten Extension Cuadrante 1/2 X 2" Proto</v>
      </c>
      <c r="C3329" s="380" t="str">
        <f>IFERROR(__xludf.DUMMYFUNCTION("""COMPUTED_VALUE"""),"50000947")</f>
        <v>50000947</v>
      </c>
      <c r="D3329" s="380" t="s">
        <v>767</v>
      </c>
      <c r="E3329" s="380" t="s">
        <v>781</v>
      </c>
      <c r="F3329" s="380" t="s">
        <v>782</v>
      </c>
      <c r="G3329" s="380" t="s">
        <v>1267</v>
      </c>
      <c r="H3329" s="380" t="s">
        <v>771</v>
      </c>
      <c r="I3329" s="380" t="s">
        <v>784</v>
      </c>
      <c r="J3329" s="380" t="s">
        <v>773</v>
      </c>
      <c r="K3329" s="381">
        <v>0.0</v>
      </c>
      <c r="L3329" s="382">
        <v>1.0</v>
      </c>
    </row>
    <row r="3330">
      <c r="A3330" s="380" t="s">
        <v>4193</v>
      </c>
      <c r="B3330" s="380" t="str">
        <f>IFERROR(__xludf.DUMMYFUNCTION("""COMPUTED_VALUE"""),"Extractor Retenedores")</f>
        <v>Extractor Retenedores</v>
      </c>
      <c r="C3330" s="380" t="str">
        <f>IFERROR(__xludf.DUMMYFUNCTION("""COMPUTED_VALUE"""),"50000948")</f>
        <v>50000948</v>
      </c>
      <c r="D3330" s="380" t="s">
        <v>767</v>
      </c>
      <c r="E3330" s="380" t="s">
        <v>781</v>
      </c>
      <c r="F3330" s="380" t="s">
        <v>782</v>
      </c>
      <c r="G3330" s="380" t="s">
        <v>1267</v>
      </c>
      <c r="H3330" s="380" t="s">
        <v>771</v>
      </c>
      <c r="I3330" s="380" t="s">
        <v>784</v>
      </c>
      <c r="J3330" s="380" t="s">
        <v>773</v>
      </c>
      <c r="K3330" s="381">
        <v>0.0</v>
      </c>
      <c r="L3330" s="382">
        <v>1.0</v>
      </c>
    </row>
    <row r="3331">
      <c r="A3331" s="380" t="s">
        <v>4194</v>
      </c>
      <c r="B3331" s="380" t="str">
        <f>IFERROR(__xludf.DUMMYFUNCTION("""COMPUTED_VALUE"""),"Gato Botella Cremallera 20 Toneladas")</f>
        <v>Gato Botella Cremallera 20 Toneladas</v>
      </c>
      <c r="C3331" s="380" t="str">
        <f>IFERROR(__xludf.DUMMYFUNCTION("""COMPUTED_VALUE"""),"50000949")</f>
        <v>50000949</v>
      </c>
      <c r="D3331" s="380" t="s">
        <v>767</v>
      </c>
      <c r="E3331" s="380" t="s">
        <v>781</v>
      </c>
      <c r="F3331" s="380" t="s">
        <v>782</v>
      </c>
      <c r="G3331" s="380" t="s">
        <v>1267</v>
      </c>
      <c r="H3331" s="380" t="s">
        <v>771</v>
      </c>
      <c r="I3331" s="380" t="s">
        <v>784</v>
      </c>
      <c r="J3331" s="380" t="s">
        <v>773</v>
      </c>
      <c r="K3331" s="381">
        <v>0.0</v>
      </c>
      <c r="L3331" s="382">
        <v>1.0</v>
      </c>
    </row>
    <row r="3332">
      <c r="A3332" s="380" t="s">
        <v>4195</v>
      </c>
      <c r="B3332" s="380" t="str">
        <f>IFERROR(__xludf.DUMMYFUNCTION("""COMPUTED_VALUE"""),"Gato Botella De 15 Toneladas")</f>
        <v>Gato Botella De 15 Toneladas</v>
      </c>
      <c r="C3332" s="380" t="str">
        <f>IFERROR(__xludf.DUMMYFUNCTION("""COMPUTED_VALUE"""),"50000950")</f>
        <v>50000950</v>
      </c>
      <c r="D3332" s="380" t="s">
        <v>767</v>
      </c>
      <c r="E3332" s="380" t="s">
        <v>781</v>
      </c>
      <c r="F3332" s="380" t="s">
        <v>782</v>
      </c>
      <c r="G3332" s="380" t="s">
        <v>1267</v>
      </c>
      <c r="H3332" s="380" t="s">
        <v>771</v>
      </c>
      <c r="I3332" s="380" t="s">
        <v>784</v>
      </c>
      <c r="J3332" s="380" t="s">
        <v>773</v>
      </c>
      <c r="K3332" s="381">
        <v>0.0</v>
      </c>
      <c r="L3332" s="382">
        <v>1.0</v>
      </c>
    </row>
    <row r="3333">
      <c r="A3333" s="380" t="s">
        <v>4196</v>
      </c>
      <c r="B3333" s="380" t="str">
        <f>IFERROR(__xludf.DUMMYFUNCTION("""COMPUTED_VALUE"""),"Gato Cremallera Ferrocarril 15 Toneladas")</f>
        <v>Gato Cremallera Ferrocarril 15 Toneladas</v>
      </c>
      <c r="C3333" s="380" t="str">
        <f>IFERROR(__xludf.DUMMYFUNCTION("""COMPUTED_VALUE"""),"50000951")</f>
        <v>50000951</v>
      </c>
      <c r="D3333" s="380" t="s">
        <v>767</v>
      </c>
      <c r="E3333" s="380" t="s">
        <v>781</v>
      </c>
      <c r="F3333" s="380" t="s">
        <v>782</v>
      </c>
      <c r="G3333" s="380" t="s">
        <v>1267</v>
      </c>
      <c r="H3333" s="380" t="s">
        <v>771</v>
      </c>
      <c r="I3333" s="380" t="s">
        <v>784</v>
      </c>
      <c r="J3333" s="380" t="s">
        <v>773</v>
      </c>
      <c r="K3333" s="381">
        <v>0.0</v>
      </c>
      <c r="L3333" s="382">
        <v>1.0</v>
      </c>
    </row>
    <row r="3334">
      <c r="A3334" s="380" t="s">
        <v>4197</v>
      </c>
      <c r="B3334" s="380" t="str">
        <f>IFERROR(__xludf.DUMMYFUNCTION("""COMPUTED_VALUE"""),"Llave Torx Tipo Navaja")</f>
        <v>Llave Torx Tipo Navaja</v>
      </c>
      <c r="C3334" s="380" t="str">
        <f>IFERROR(__xludf.DUMMYFUNCTION("""COMPUTED_VALUE"""),"50000952")</f>
        <v>50000952</v>
      </c>
      <c r="D3334" s="380" t="s">
        <v>767</v>
      </c>
      <c r="E3334" s="380" t="s">
        <v>781</v>
      </c>
      <c r="F3334" s="380" t="s">
        <v>782</v>
      </c>
      <c r="G3334" s="380" t="s">
        <v>1267</v>
      </c>
      <c r="H3334" s="380" t="s">
        <v>771</v>
      </c>
      <c r="I3334" s="380" t="s">
        <v>784</v>
      </c>
      <c r="J3334" s="380" t="s">
        <v>773</v>
      </c>
      <c r="K3334" s="381">
        <v>0.0</v>
      </c>
      <c r="L3334" s="382">
        <v>1.0</v>
      </c>
    </row>
    <row r="3335">
      <c r="A3335" s="380" t="s">
        <v>4198</v>
      </c>
      <c r="B3335" s="380" t="str">
        <f>IFERROR(__xludf.DUMMYFUNCTION("""COMPUTED_VALUE"""),"Copa Cuadrante 3/8 X 3/8 Tipo B")</f>
        <v>Copa Cuadrante 3/8 X 3/8 Tipo B</v>
      </c>
      <c r="C3335" s="380" t="str">
        <f>IFERROR(__xludf.DUMMYFUNCTION("""COMPUTED_VALUE"""),"50000953")</f>
        <v>50000953</v>
      </c>
      <c r="D3335" s="380" t="s">
        <v>767</v>
      </c>
      <c r="E3335" s="380" t="s">
        <v>781</v>
      </c>
      <c r="F3335" s="380" t="s">
        <v>782</v>
      </c>
      <c r="G3335" s="380" t="s">
        <v>1267</v>
      </c>
      <c r="H3335" s="380" t="s">
        <v>771</v>
      </c>
      <c r="I3335" s="380" t="s">
        <v>784</v>
      </c>
      <c r="J3335" s="380" t="s">
        <v>773</v>
      </c>
      <c r="K3335" s="381">
        <v>0.0</v>
      </c>
      <c r="L3335" s="382">
        <v>1.0</v>
      </c>
    </row>
    <row r="3336">
      <c r="A3336" s="380" t="s">
        <v>4199</v>
      </c>
      <c r="B3336" s="380" t="str">
        <f>IFERROR(__xludf.DUMMYFUNCTION("""COMPUTED_VALUE"""),"Copa Torx T 40 Snapon")</f>
        <v>Copa Torx T 40 Snapon</v>
      </c>
      <c r="C3336" s="380" t="str">
        <f>IFERROR(__xludf.DUMMYFUNCTION("""COMPUTED_VALUE"""),"50000954")</f>
        <v>50000954</v>
      </c>
      <c r="D3336" s="380" t="s">
        <v>767</v>
      </c>
      <c r="E3336" s="380" t="s">
        <v>781</v>
      </c>
      <c r="F3336" s="380" t="s">
        <v>782</v>
      </c>
      <c r="G3336" s="380" t="s">
        <v>1267</v>
      </c>
      <c r="H3336" s="380" t="s">
        <v>771</v>
      </c>
      <c r="I3336" s="380" t="s">
        <v>784</v>
      </c>
      <c r="J3336" s="380" t="s">
        <v>773</v>
      </c>
      <c r="K3336" s="381">
        <v>0.0</v>
      </c>
      <c r="L3336" s="382">
        <v>1.0</v>
      </c>
    </row>
    <row r="3337">
      <c r="A3337" s="380" t="s">
        <v>4200</v>
      </c>
      <c r="B3337" s="380" t="str">
        <f>IFERROR(__xludf.DUMMYFUNCTION("""COMPUTED_VALUE"""),"Encendedor Autogena Chispero")</f>
        <v>Encendedor Autogena Chispero</v>
      </c>
      <c r="C3337" s="380" t="str">
        <f>IFERROR(__xludf.DUMMYFUNCTION("""COMPUTED_VALUE"""),"50000955")</f>
        <v>50000955</v>
      </c>
      <c r="D3337" s="380" t="s">
        <v>767</v>
      </c>
      <c r="E3337" s="380" t="s">
        <v>781</v>
      </c>
      <c r="F3337" s="380" t="s">
        <v>782</v>
      </c>
      <c r="G3337" s="380" t="s">
        <v>1267</v>
      </c>
      <c r="H3337" s="380" t="s">
        <v>771</v>
      </c>
      <c r="I3337" s="380" t="s">
        <v>784</v>
      </c>
      <c r="J3337" s="380" t="s">
        <v>773</v>
      </c>
      <c r="K3337" s="381">
        <v>0.0</v>
      </c>
      <c r="L3337" s="382">
        <v>1.0</v>
      </c>
    </row>
    <row r="3338">
      <c r="A3338" s="380" t="s">
        <v>4201</v>
      </c>
      <c r="B3338" s="380" t="str">
        <f>IFERROR(__xludf.DUMMYFUNCTION("""COMPUTED_VALUE"""),"Copa Torx T 50 Snapon")</f>
        <v>Copa Torx T 50 Snapon</v>
      </c>
      <c r="C3338" s="380" t="str">
        <f>IFERROR(__xludf.DUMMYFUNCTION("""COMPUTED_VALUE"""),"50000956")</f>
        <v>50000956</v>
      </c>
      <c r="D3338" s="380" t="s">
        <v>767</v>
      </c>
      <c r="E3338" s="380" t="s">
        <v>781</v>
      </c>
      <c r="F3338" s="380" t="s">
        <v>782</v>
      </c>
      <c r="G3338" s="380" t="s">
        <v>1267</v>
      </c>
      <c r="H3338" s="380" t="s">
        <v>771</v>
      </c>
      <c r="I3338" s="380" t="s">
        <v>784</v>
      </c>
      <c r="J3338" s="380" t="s">
        <v>773</v>
      </c>
      <c r="K3338" s="381">
        <v>0.0</v>
      </c>
      <c r="L3338" s="382">
        <v>1.0</v>
      </c>
    </row>
    <row r="3339">
      <c r="A3339" s="380" t="s">
        <v>4202</v>
      </c>
      <c r="B3339" s="380" t="str">
        <f>IFERROR(__xludf.DUMMYFUNCTION("""COMPUTED_VALUE"""),"Lima Redonda 1/2 X 10")</f>
        <v>Lima Redonda 1/2 X 10</v>
      </c>
      <c r="C3339" s="380" t="str">
        <f>IFERROR(__xludf.DUMMYFUNCTION("""COMPUTED_VALUE"""),"50000957")</f>
        <v>50000957</v>
      </c>
      <c r="D3339" s="380" t="s">
        <v>767</v>
      </c>
      <c r="E3339" s="380" t="s">
        <v>781</v>
      </c>
      <c r="F3339" s="380" t="s">
        <v>782</v>
      </c>
      <c r="G3339" s="380" t="s">
        <v>1267</v>
      </c>
      <c r="H3339" s="380" t="s">
        <v>771</v>
      </c>
      <c r="I3339" s="380" t="s">
        <v>784</v>
      </c>
      <c r="J3339" s="380" t="s">
        <v>773</v>
      </c>
      <c r="K3339" s="381">
        <v>0.0</v>
      </c>
      <c r="L3339" s="382">
        <v>1.0</v>
      </c>
    </row>
    <row r="3340">
      <c r="A3340" s="380" t="s">
        <v>4203</v>
      </c>
      <c r="B3340" s="380" t="str">
        <f>IFERROR(__xludf.DUMMYFUNCTION("""COMPUTED_VALUE"""),"Llave Mixta 13/16 Proto")</f>
        <v>Llave Mixta 13/16 Proto</v>
      </c>
      <c r="C3340" s="380" t="str">
        <f>IFERROR(__xludf.DUMMYFUNCTION("""COMPUTED_VALUE"""),"50000958")</f>
        <v>50000958</v>
      </c>
      <c r="D3340" s="380" t="s">
        <v>767</v>
      </c>
      <c r="E3340" s="380" t="s">
        <v>781</v>
      </c>
      <c r="F3340" s="380" t="s">
        <v>782</v>
      </c>
      <c r="G3340" s="380" t="s">
        <v>1267</v>
      </c>
      <c r="H3340" s="380" t="s">
        <v>771</v>
      </c>
      <c r="I3340" s="380" t="s">
        <v>784</v>
      </c>
      <c r="J3340" s="380" t="s">
        <v>773</v>
      </c>
      <c r="K3340" s="381">
        <v>0.0</v>
      </c>
      <c r="L3340" s="382">
        <v>1.0</v>
      </c>
    </row>
    <row r="3341">
      <c r="A3341" s="380" t="s">
        <v>4204</v>
      </c>
      <c r="B3341" s="380" t="str">
        <f>IFERROR(__xludf.DUMMYFUNCTION("""COMPUTED_VALUE"""),"Llave Mixta 13/16 Tipo B")</f>
        <v>Llave Mixta 13/16 Tipo B</v>
      </c>
      <c r="C3341" s="380" t="str">
        <f>IFERROR(__xludf.DUMMYFUNCTION("""COMPUTED_VALUE"""),"50000959")</f>
        <v>50000959</v>
      </c>
      <c r="D3341" s="380" t="s">
        <v>767</v>
      </c>
      <c r="E3341" s="380" t="s">
        <v>781</v>
      </c>
      <c r="F3341" s="380" t="s">
        <v>782</v>
      </c>
      <c r="G3341" s="380" t="s">
        <v>1267</v>
      </c>
      <c r="H3341" s="380" t="s">
        <v>771</v>
      </c>
      <c r="I3341" s="380" t="s">
        <v>784</v>
      </c>
      <c r="J3341" s="380" t="s">
        <v>773</v>
      </c>
      <c r="K3341" s="381">
        <v>0.0</v>
      </c>
      <c r="L3341" s="382">
        <v>1.0</v>
      </c>
    </row>
    <row r="3342">
      <c r="A3342" s="380" t="s">
        <v>4205</v>
      </c>
      <c r="B3342" s="380" t="str">
        <f>IFERROR(__xludf.DUMMYFUNCTION("""COMPUTED_VALUE"""),"Llave Mixta 3/4 Tipo B")</f>
        <v>Llave Mixta 3/4 Tipo B</v>
      </c>
      <c r="C3342" s="380" t="str">
        <f>IFERROR(__xludf.DUMMYFUNCTION("""COMPUTED_VALUE"""),"50000960")</f>
        <v>50000960</v>
      </c>
      <c r="D3342" s="380" t="s">
        <v>767</v>
      </c>
      <c r="E3342" s="380" t="s">
        <v>781</v>
      </c>
      <c r="F3342" s="380" t="s">
        <v>782</v>
      </c>
      <c r="G3342" s="380" t="s">
        <v>1267</v>
      </c>
      <c r="H3342" s="380" t="s">
        <v>771</v>
      </c>
      <c r="I3342" s="380" t="s">
        <v>784</v>
      </c>
      <c r="J3342" s="380" t="s">
        <v>773</v>
      </c>
      <c r="K3342" s="381">
        <v>0.0</v>
      </c>
      <c r="L3342" s="382">
        <v>1.0</v>
      </c>
    </row>
    <row r="3343">
      <c r="A3343" s="380" t="s">
        <v>4206</v>
      </c>
      <c r="B3343" s="380" t="str">
        <f>IFERROR(__xludf.DUMMYFUNCTION("""COMPUTED_VALUE"""),"Llave Mixta 5/8 Tipo B")</f>
        <v>Llave Mixta 5/8 Tipo B</v>
      </c>
      <c r="C3343" s="380" t="str">
        <f>IFERROR(__xludf.DUMMYFUNCTION("""COMPUTED_VALUE"""),"50000961")</f>
        <v>50000961</v>
      </c>
      <c r="D3343" s="380" t="s">
        <v>767</v>
      </c>
      <c r="E3343" s="380" t="s">
        <v>781</v>
      </c>
      <c r="F3343" s="380" t="s">
        <v>782</v>
      </c>
      <c r="G3343" s="380" t="s">
        <v>1267</v>
      </c>
      <c r="H3343" s="380" t="s">
        <v>771</v>
      </c>
      <c r="I3343" s="380" t="s">
        <v>784</v>
      </c>
      <c r="J3343" s="380" t="s">
        <v>773</v>
      </c>
      <c r="K3343" s="381">
        <v>0.0</v>
      </c>
      <c r="L3343" s="382">
        <v>1.0</v>
      </c>
    </row>
    <row r="3344">
      <c r="A3344" s="380" t="s">
        <v>4207</v>
      </c>
      <c r="B3344" s="380" t="str">
        <f>IFERROR(__xludf.DUMMYFUNCTION("""COMPUTED_VALUE"""),"Llave Mixta 7/8 Proto")</f>
        <v>Llave Mixta 7/8 Proto</v>
      </c>
      <c r="C3344" s="380" t="str">
        <f>IFERROR(__xludf.DUMMYFUNCTION("""COMPUTED_VALUE"""),"50000962")</f>
        <v>50000962</v>
      </c>
      <c r="D3344" s="380" t="s">
        <v>767</v>
      </c>
      <c r="E3344" s="380" t="s">
        <v>781</v>
      </c>
      <c r="F3344" s="380" t="s">
        <v>782</v>
      </c>
      <c r="G3344" s="380" t="s">
        <v>1267</v>
      </c>
      <c r="H3344" s="380" t="s">
        <v>771</v>
      </c>
      <c r="I3344" s="380" t="s">
        <v>784</v>
      </c>
      <c r="J3344" s="380" t="s">
        <v>773</v>
      </c>
      <c r="K3344" s="381">
        <v>0.0</v>
      </c>
      <c r="L3344" s="382">
        <v>1.0</v>
      </c>
    </row>
    <row r="3345">
      <c r="A3345" s="380" t="s">
        <v>4208</v>
      </c>
      <c r="B3345" s="380" t="str">
        <f>IFERROR(__xludf.DUMMYFUNCTION("""COMPUTED_VALUE"""),"Marco Escofina")</f>
        <v>Marco Escofina</v>
      </c>
      <c r="C3345" s="380" t="str">
        <f>IFERROR(__xludf.DUMMYFUNCTION("""COMPUTED_VALUE"""),"50000963")</f>
        <v>50000963</v>
      </c>
      <c r="D3345" s="380" t="s">
        <v>767</v>
      </c>
      <c r="E3345" s="380" t="s">
        <v>781</v>
      </c>
      <c r="F3345" s="380" t="s">
        <v>782</v>
      </c>
      <c r="G3345" s="380" t="s">
        <v>1267</v>
      </c>
      <c r="H3345" s="380" t="s">
        <v>771</v>
      </c>
      <c r="I3345" s="380" t="s">
        <v>784</v>
      </c>
      <c r="J3345" s="380" t="s">
        <v>773</v>
      </c>
      <c r="K3345" s="381">
        <v>0.0</v>
      </c>
      <c r="L3345" s="382">
        <v>1.0</v>
      </c>
    </row>
    <row r="3346">
      <c r="A3346" s="380" t="s">
        <v>4209</v>
      </c>
      <c r="B3346" s="380" t="str">
        <f>IFERROR(__xludf.DUMMYFUNCTION("""COMPUTED_VALUE"""),"Juego Mangueras 60"" Aire Acondicionado")</f>
        <v>Juego Mangueras 60" Aire Acondicionado</v>
      </c>
      <c r="C3346" s="380" t="str">
        <f>IFERROR(__xludf.DUMMYFUNCTION("""COMPUTED_VALUE"""),"50000964")</f>
        <v>50000964</v>
      </c>
      <c r="D3346" s="380" t="s">
        <v>767</v>
      </c>
      <c r="E3346" s="380" t="s">
        <v>781</v>
      </c>
      <c r="F3346" s="380" t="s">
        <v>782</v>
      </c>
      <c r="G3346" s="380" t="s">
        <v>1267</v>
      </c>
      <c r="H3346" s="380" t="s">
        <v>771</v>
      </c>
      <c r="I3346" s="380" t="s">
        <v>784</v>
      </c>
      <c r="J3346" s="380" t="s">
        <v>773</v>
      </c>
      <c r="K3346" s="381">
        <v>0.0</v>
      </c>
      <c r="L3346" s="382">
        <v>1.0</v>
      </c>
    </row>
    <row r="3347">
      <c r="A3347" s="380" t="s">
        <v>4210</v>
      </c>
      <c r="B3347" s="380" t="str">
        <f>IFERROR(__xludf.DUMMYFUNCTION("""COMPUTED_VALUE"""),"Palanca De Uña Hechiza")</f>
        <v>Palanca De Uña Hechiza</v>
      </c>
      <c r="C3347" s="380" t="str">
        <f>IFERROR(__xludf.DUMMYFUNCTION("""COMPUTED_VALUE"""),"50000965")</f>
        <v>50000965</v>
      </c>
      <c r="D3347" s="380" t="s">
        <v>767</v>
      </c>
      <c r="E3347" s="380" t="s">
        <v>781</v>
      </c>
      <c r="F3347" s="380" t="s">
        <v>782</v>
      </c>
      <c r="G3347" s="380" t="s">
        <v>1267</v>
      </c>
      <c r="H3347" s="380" t="s">
        <v>771</v>
      </c>
      <c r="I3347" s="380" t="s">
        <v>784</v>
      </c>
      <c r="J3347" s="380" t="s">
        <v>773</v>
      </c>
      <c r="K3347" s="381">
        <v>0.0</v>
      </c>
      <c r="L3347" s="382">
        <v>1.0</v>
      </c>
    </row>
    <row r="3348">
      <c r="A3348" s="380" t="s">
        <v>4211</v>
      </c>
      <c r="B3348" s="380" t="str">
        <f>IFERROR(__xludf.DUMMYFUNCTION("""COMPUTED_VALUE"""),"Llave Mixta 1 1/8 Tipo B")</f>
        <v>Llave Mixta 1 1/8 Tipo B</v>
      </c>
      <c r="C3348" s="380" t="str">
        <f>IFERROR(__xludf.DUMMYFUNCTION("""COMPUTED_VALUE"""),"50000966")</f>
        <v>50000966</v>
      </c>
      <c r="D3348" s="380" t="s">
        <v>767</v>
      </c>
      <c r="E3348" s="380" t="s">
        <v>781</v>
      </c>
      <c r="F3348" s="380" t="s">
        <v>782</v>
      </c>
      <c r="G3348" s="380" t="s">
        <v>1267</v>
      </c>
      <c r="H3348" s="380" t="s">
        <v>771</v>
      </c>
      <c r="I3348" s="380" t="s">
        <v>784</v>
      </c>
      <c r="J3348" s="380" t="s">
        <v>773</v>
      </c>
      <c r="K3348" s="381">
        <v>0.0</v>
      </c>
      <c r="L3348" s="382">
        <v>1.0</v>
      </c>
    </row>
    <row r="3349">
      <c r="A3349" s="380" t="s">
        <v>4212</v>
      </c>
      <c r="B3349" s="380" t="str">
        <f>IFERROR(__xludf.DUMMYFUNCTION("""COMPUTED_VALUE"""),"Taladro De 7/8 Black Deker")</f>
        <v>Taladro De 7/8 Black Deker</v>
      </c>
      <c r="C3349" s="380" t="str">
        <f>IFERROR(__xludf.DUMMYFUNCTION("""COMPUTED_VALUE"""),"50000967")</f>
        <v>50000967</v>
      </c>
      <c r="D3349" s="380" t="s">
        <v>767</v>
      </c>
      <c r="E3349" s="380" t="s">
        <v>781</v>
      </c>
      <c r="F3349" s="380" t="s">
        <v>782</v>
      </c>
      <c r="G3349" s="380" t="s">
        <v>1267</v>
      </c>
      <c r="H3349" s="380" t="s">
        <v>771</v>
      </c>
      <c r="I3349" s="380" t="s">
        <v>784</v>
      </c>
      <c r="J3349" s="380" t="s">
        <v>773</v>
      </c>
      <c r="K3349" s="381">
        <v>0.0</v>
      </c>
      <c r="L3349" s="382">
        <v>1.0</v>
      </c>
    </row>
    <row r="3350">
      <c r="A3350" s="380" t="s">
        <v>4213</v>
      </c>
      <c r="B3350" s="380" t="str">
        <f>IFERROR(__xludf.DUMMYFUNCTION("""COMPUTED_VALUE"""),"Copa Cuadrante 1"" X 2 3/4 Proto")</f>
        <v>Copa Cuadrante 1" X 2 3/4 Proto</v>
      </c>
      <c r="C3350" s="380" t="str">
        <f>IFERROR(__xludf.DUMMYFUNCTION("""COMPUTED_VALUE"""),"50000968")</f>
        <v>50000968</v>
      </c>
      <c r="D3350" s="380" t="s">
        <v>767</v>
      </c>
      <c r="E3350" s="380" t="s">
        <v>781</v>
      </c>
      <c r="F3350" s="380" t="s">
        <v>782</v>
      </c>
      <c r="G3350" s="380" t="s">
        <v>1267</v>
      </c>
      <c r="H3350" s="380" t="s">
        <v>771</v>
      </c>
      <c r="I3350" s="380" t="s">
        <v>784</v>
      </c>
      <c r="J3350" s="380" t="s">
        <v>773</v>
      </c>
      <c r="K3350" s="381">
        <v>0.0</v>
      </c>
      <c r="L3350" s="382">
        <v>1.0</v>
      </c>
    </row>
    <row r="3351">
      <c r="A3351" s="380" t="s">
        <v>4214</v>
      </c>
      <c r="B3351" s="380" t="str">
        <f>IFERROR(__xludf.DUMMYFUNCTION("""COMPUTED_VALUE"""),"Copa Cuadrante 1/2 X 1 1/8 Snapon")</f>
        <v>Copa Cuadrante 1/2 X 1 1/8 Snapon</v>
      </c>
      <c r="C3351" s="380" t="str">
        <f>IFERROR(__xludf.DUMMYFUNCTION("""COMPUTED_VALUE"""),"50000969")</f>
        <v>50000969</v>
      </c>
      <c r="D3351" s="380" t="s">
        <v>767</v>
      </c>
      <c r="E3351" s="380" t="s">
        <v>781</v>
      </c>
      <c r="F3351" s="380" t="s">
        <v>782</v>
      </c>
      <c r="G3351" s="380" t="s">
        <v>1267</v>
      </c>
      <c r="H3351" s="380" t="s">
        <v>771</v>
      </c>
      <c r="I3351" s="380" t="s">
        <v>784</v>
      </c>
      <c r="J3351" s="380" t="s">
        <v>773</v>
      </c>
      <c r="K3351" s="381">
        <v>0.0</v>
      </c>
      <c r="L3351" s="382">
        <v>1.0</v>
      </c>
    </row>
    <row r="3352">
      <c r="A3352" s="380" t="s">
        <v>4215</v>
      </c>
      <c r="B3352" s="380" t="str">
        <f>IFERROR(__xludf.DUMMYFUNCTION("""COMPUTED_VALUE"""),"Copa Cuadrante 1/2 X 20mm Tipo B")</f>
        <v>Copa Cuadrante 1/2 X 20mm Tipo B</v>
      </c>
      <c r="C3352" s="380" t="str">
        <f>IFERROR(__xludf.DUMMYFUNCTION("""COMPUTED_VALUE"""),"50000970")</f>
        <v>50000970</v>
      </c>
      <c r="D3352" s="380" t="s">
        <v>767</v>
      </c>
      <c r="E3352" s="380" t="s">
        <v>781</v>
      </c>
      <c r="F3352" s="380" t="s">
        <v>782</v>
      </c>
      <c r="G3352" s="380" t="s">
        <v>1267</v>
      </c>
      <c r="H3352" s="380" t="s">
        <v>771</v>
      </c>
      <c r="I3352" s="380" t="s">
        <v>784</v>
      </c>
      <c r="J3352" s="380" t="s">
        <v>773</v>
      </c>
      <c r="K3352" s="381">
        <v>0.0</v>
      </c>
      <c r="L3352" s="382">
        <v>1.0</v>
      </c>
    </row>
    <row r="3353">
      <c r="A3353" s="380" t="s">
        <v>4216</v>
      </c>
      <c r="B3353" s="380" t="str">
        <f>IFERROR(__xludf.DUMMYFUNCTION("""COMPUTED_VALUE"""),"Copa Cuadrante 1/2 X 22mm Proto")</f>
        <v>Copa Cuadrante 1/2 X 22mm Proto</v>
      </c>
      <c r="C3353" s="380" t="str">
        <f>IFERROR(__xludf.DUMMYFUNCTION("""COMPUTED_VALUE"""),"50000971")</f>
        <v>50000971</v>
      </c>
      <c r="D3353" s="380" t="s">
        <v>767</v>
      </c>
      <c r="E3353" s="380" t="s">
        <v>781</v>
      </c>
      <c r="F3353" s="380" t="s">
        <v>782</v>
      </c>
      <c r="G3353" s="380" t="s">
        <v>1267</v>
      </c>
      <c r="H3353" s="380" t="s">
        <v>771</v>
      </c>
      <c r="I3353" s="380" t="s">
        <v>784</v>
      </c>
      <c r="J3353" s="380" t="s">
        <v>773</v>
      </c>
      <c r="K3353" s="381">
        <v>0.0</v>
      </c>
      <c r="L3353" s="382">
        <v>1.0</v>
      </c>
    </row>
    <row r="3354">
      <c r="A3354" s="380" t="s">
        <v>4217</v>
      </c>
      <c r="B3354" s="380" t="str">
        <f>IFERROR(__xludf.DUMMYFUNCTION("""COMPUTED_VALUE"""),"Copa Cuadrante 1/2 X 23mm Proto")</f>
        <v>Copa Cuadrante 1/2 X 23mm Proto</v>
      </c>
      <c r="C3354" s="380" t="str">
        <f>IFERROR(__xludf.DUMMYFUNCTION("""COMPUTED_VALUE"""),"50000972")</f>
        <v>50000972</v>
      </c>
      <c r="D3354" s="380" t="s">
        <v>767</v>
      </c>
      <c r="E3354" s="380" t="s">
        <v>781</v>
      </c>
      <c r="F3354" s="380" t="s">
        <v>782</v>
      </c>
      <c r="G3354" s="380" t="s">
        <v>1267</v>
      </c>
      <c r="H3354" s="380" t="s">
        <v>771</v>
      </c>
      <c r="I3354" s="380" t="s">
        <v>784</v>
      </c>
      <c r="J3354" s="380" t="s">
        <v>773</v>
      </c>
      <c r="K3354" s="381">
        <v>0.0</v>
      </c>
      <c r="L3354" s="382">
        <v>1.0</v>
      </c>
    </row>
    <row r="3355">
      <c r="A3355" s="380" t="s">
        <v>4218</v>
      </c>
      <c r="B3355" s="380" t="str">
        <f>IFERROR(__xludf.DUMMYFUNCTION("""COMPUTED_VALUE"""),"Copa Cuadrante 1/2 X 24mm Proto")</f>
        <v>Copa Cuadrante 1/2 X 24mm Proto</v>
      </c>
      <c r="C3355" s="380" t="str">
        <f>IFERROR(__xludf.DUMMYFUNCTION("""COMPUTED_VALUE"""),"50000973")</f>
        <v>50000973</v>
      </c>
      <c r="D3355" s="380" t="s">
        <v>767</v>
      </c>
      <c r="E3355" s="380" t="s">
        <v>781</v>
      </c>
      <c r="F3355" s="380" t="s">
        <v>782</v>
      </c>
      <c r="G3355" s="380" t="s">
        <v>1267</v>
      </c>
      <c r="H3355" s="380" t="s">
        <v>771</v>
      </c>
      <c r="I3355" s="380" t="s">
        <v>784</v>
      </c>
      <c r="J3355" s="380" t="s">
        <v>773</v>
      </c>
      <c r="K3355" s="381">
        <v>0.0</v>
      </c>
      <c r="L3355" s="382">
        <v>1.0</v>
      </c>
    </row>
    <row r="3356">
      <c r="A3356" s="380" t="s">
        <v>4219</v>
      </c>
      <c r="B3356" s="380" t="str">
        <f>IFERROR(__xludf.DUMMYFUNCTION("""COMPUTED_VALUE"""),"Copa Larga Cuadrante 1/2 X 1/2 Proto")</f>
        <v>Copa Larga Cuadrante 1/2 X 1/2 Proto</v>
      </c>
      <c r="C3356" s="380" t="str">
        <f>IFERROR(__xludf.DUMMYFUNCTION("""COMPUTED_VALUE"""),"50000974")</f>
        <v>50000974</v>
      </c>
      <c r="D3356" s="380" t="s">
        <v>767</v>
      </c>
      <c r="E3356" s="380" t="s">
        <v>781</v>
      </c>
      <c r="F3356" s="380" t="s">
        <v>782</v>
      </c>
      <c r="G3356" s="380" t="s">
        <v>1267</v>
      </c>
      <c r="H3356" s="380" t="s">
        <v>771</v>
      </c>
      <c r="I3356" s="380" t="s">
        <v>784</v>
      </c>
      <c r="J3356" s="380" t="s">
        <v>773</v>
      </c>
      <c r="K3356" s="381">
        <v>0.0</v>
      </c>
      <c r="L3356" s="382">
        <v>1.0</v>
      </c>
    </row>
    <row r="3357">
      <c r="A3357" s="380" t="s">
        <v>4220</v>
      </c>
      <c r="B3357" s="380" t="str">
        <f>IFERROR(__xludf.DUMMYFUNCTION("""COMPUTED_VALUE"""),"Copa Hexagona Cuadrante 1/2 X 15mm Proto")</f>
        <v>Copa Hexagona Cuadrante 1/2 X 15mm Proto</v>
      </c>
      <c r="C3357" s="380" t="str">
        <f>IFERROR(__xludf.DUMMYFUNCTION("""COMPUTED_VALUE"""),"50000975")</f>
        <v>50000975</v>
      </c>
      <c r="D3357" s="380" t="s">
        <v>767</v>
      </c>
      <c r="E3357" s="380" t="s">
        <v>781</v>
      </c>
      <c r="F3357" s="380" t="s">
        <v>782</v>
      </c>
      <c r="G3357" s="380" t="s">
        <v>1267</v>
      </c>
      <c r="H3357" s="380" t="s">
        <v>771</v>
      </c>
      <c r="I3357" s="380" t="s">
        <v>784</v>
      </c>
      <c r="J3357" s="380" t="s">
        <v>773</v>
      </c>
      <c r="K3357" s="381">
        <v>0.0</v>
      </c>
      <c r="L3357" s="382">
        <v>1.0</v>
      </c>
    </row>
    <row r="3358">
      <c r="A3358" s="380" t="s">
        <v>4221</v>
      </c>
      <c r="B3358" s="380" t="str">
        <f>IFERROR(__xludf.DUMMYFUNCTION("""COMPUTED_VALUE"""),"Copa Larga Impacto Cuadrante 1/2 X 15/16")</f>
        <v>Copa Larga Impacto Cuadrante 1/2 X 15/16</v>
      </c>
      <c r="C3358" s="380" t="str">
        <f>IFERROR(__xludf.DUMMYFUNCTION("""COMPUTED_VALUE"""),"50000976")</f>
        <v>50000976</v>
      </c>
      <c r="D3358" s="380" t="s">
        <v>767</v>
      </c>
      <c r="E3358" s="380" t="s">
        <v>781</v>
      </c>
      <c r="F3358" s="380" t="s">
        <v>782</v>
      </c>
      <c r="G3358" s="380" t="s">
        <v>1267</v>
      </c>
      <c r="H3358" s="380" t="s">
        <v>771</v>
      </c>
      <c r="I3358" s="380" t="s">
        <v>784</v>
      </c>
      <c r="J3358" s="380" t="s">
        <v>773</v>
      </c>
      <c r="K3358" s="381">
        <v>0.0</v>
      </c>
      <c r="L3358" s="382">
        <v>1.0</v>
      </c>
    </row>
    <row r="3359">
      <c r="A3359" s="380" t="s">
        <v>4222</v>
      </c>
      <c r="B3359" s="380" t="str">
        <f>IFERROR(__xludf.DUMMYFUNCTION("""COMPUTED_VALUE"""),"Copa Larga Cuadrante 1/2 X 7/16 Snapon")</f>
        <v>Copa Larga Cuadrante 1/2 X 7/16 Snapon</v>
      </c>
      <c r="C3359" s="380" t="str">
        <f>IFERROR(__xludf.DUMMYFUNCTION("""COMPUTED_VALUE"""),"50000977")</f>
        <v>50000977</v>
      </c>
      <c r="D3359" s="380" t="s">
        <v>767</v>
      </c>
      <c r="E3359" s="380" t="s">
        <v>781</v>
      </c>
      <c r="F3359" s="380" t="s">
        <v>782</v>
      </c>
      <c r="G3359" s="380" t="s">
        <v>1267</v>
      </c>
      <c r="H3359" s="380" t="s">
        <v>771</v>
      </c>
      <c r="I3359" s="380" t="s">
        <v>784</v>
      </c>
      <c r="J3359" s="380" t="s">
        <v>773</v>
      </c>
      <c r="K3359" s="381">
        <v>0.0</v>
      </c>
      <c r="L3359" s="382">
        <v>1.0</v>
      </c>
    </row>
    <row r="3360">
      <c r="A3360" s="380" t="s">
        <v>4223</v>
      </c>
      <c r="B3360" s="380" t="str">
        <f>IFERROR(__xludf.DUMMYFUNCTION("""COMPUTED_VALUE"""),"Cortafrio Lateral De 8""")</f>
        <v>Cortafrio Lateral De 8"</v>
      </c>
      <c r="C3360" s="380" t="str">
        <f>IFERROR(__xludf.DUMMYFUNCTION("""COMPUTED_VALUE"""),"50000978")</f>
        <v>50000978</v>
      </c>
      <c r="D3360" s="380" t="s">
        <v>767</v>
      </c>
      <c r="E3360" s="380" t="s">
        <v>781</v>
      </c>
      <c r="F3360" s="380" t="s">
        <v>782</v>
      </c>
      <c r="G3360" s="380" t="s">
        <v>1267</v>
      </c>
      <c r="H3360" s="380" t="s">
        <v>771</v>
      </c>
      <c r="I3360" s="380" t="s">
        <v>784</v>
      </c>
      <c r="J3360" s="380" t="s">
        <v>773</v>
      </c>
      <c r="K3360" s="381">
        <v>0.0</v>
      </c>
      <c r="L3360" s="382">
        <v>1.0</v>
      </c>
    </row>
    <row r="3361">
      <c r="A3361" s="380" t="s">
        <v>4224</v>
      </c>
      <c r="B3361" s="380" t="str">
        <f>IFERROR(__xludf.DUMMYFUNCTION("""COMPUTED_VALUE"""),"Escuadra De 12"" Stanley")</f>
        <v>Escuadra De 12" Stanley</v>
      </c>
      <c r="C3361" s="380" t="str">
        <f>IFERROR(__xludf.DUMMYFUNCTION("""COMPUTED_VALUE"""),"50000979")</f>
        <v>50000979</v>
      </c>
      <c r="D3361" s="380" t="s">
        <v>767</v>
      </c>
      <c r="E3361" s="380" t="s">
        <v>781</v>
      </c>
      <c r="F3361" s="380" t="s">
        <v>782</v>
      </c>
      <c r="G3361" s="380" t="s">
        <v>1267</v>
      </c>
      <c r="H3361" s="380" t="s">
        <v>771</v>
      </c>
      <c r="I3361" s="380" t="s">
        <v>784</v>
      </c>
      <c r="J3361" s="380" t="s">
        <v>773</v>
      </c>
      <c r="K3361" s="381">
        <v>0.0</v>
      </c>
      <c r="L3361" s="382">
        <v>1.0</v>
      </c>
    </row>
    <row r="3362">
      <c r="A3362" s="380" t="s">
        <v>4225</v>
      </c>
      <c r="B3362" s="380" t="str">
        <f>IFERROR(__xludf.DUMMYFUNCTION("""COMPUTED_VALUE"""),"Escual Escualizador Cuadrante 1/2 Tipo B")</f>
        <v>Escual Escualizador Cuadrante 1/2 Tipo B</v>
      </c>
      <c r="C3362" s="380" t="str">
        <f>IFERROR(__xludf.DUMMYFUNCTION("""COMPUTED_VALUE"""),"50000980")</f>
        <v>50000980</v>
      </c>
      <c r="D3362" s="380" t="s">
        <v>767</v>
      </c>
      <c r="E3362" s="380" t="s">
        <v>781</v>
      </c>
      <c r="F3362" s="380" t="s">
        <v>782</v>
      </c>
      <c r="G3362" s="380" t="s">
        <v>1267</v>
      </c>
      <c r="H3362" s="380" t="s">
        <v>771</v>
      </c>
      <c r="I3362" s="380" t="s">
        <v>784</v>
      </c>
      <c r="J3362" s="380" t="s">
        <v>773</v>
      </c>
      <c r="K3362" s="381">
        <v>0.0</v>
      </c>
      <c r="L3362" s="382">
        <v>1.0</v>
      </c>
    </row>
    <row r="3363">
      <c r="A3363" s="380" t="s">
        <v>4226</v>
      </c>
      <c r="B3363" s="380" t="str">
        <f>IFERROR(__xludf.DUMMYFUNCTION("""COMPUTED_VALUE"""),"Gato Botella Hidraulico 1/2 Tonelas")</f>
        <v>Gato Botella Hidraulico 1/2 Tonelas</v>
      </c>
      <c r="C3363" s="380" t="str">
        <f>IFERROR(__xludf.DUMMYFUNCTION("""COMPUTED_VALUE"""),"50000981")</f>
        <v>50000981</v>
      </c>
      <c r="D3363" s="380" t="s">
        <v>767</v>
      </c>
      <c r="E3363" s="380" t="s">
        <v>781</v>
      </c>
      <c r="F3363" s="380" t="s">
        <v>782</v>
      </c>
      <c r="G3363" s="380" t="s">
        <v>1267</v>
      </c>
      <c r="H3363" s="380" t="s">
        <v>771</v>
      </c>
      <c r="I3363" s="380" t="s">
        <v>784</v>
      </c>
      <c r="J3363" s="380" t="s">
        <v>773</v>
      </c>
      <c r="K3363" s="381">
        <v>0.0</v>
      </c>
      <c r="L3363" s="382">
        <v>1.0</v>
      </c>
    </row>
    <row r="3364">
      <c r="A3364" s="380" t="s">
        <v>4227</v>
      </c>
      <c r="B3364" s="380" t="str">
        <f>IFERROR(__xludf.DUMMYFUNCTION("""COMPUTED_VALUE"""),"Botadores Varios")</f>
        <v>Botadores Varios</v>
      </c>
      <c r="C3364" s="380" t="str">
        <f>IFERROR(__xludf.DUMMYFUNCTION("""COMPUTED_VALUE"""),"50000982")</f>
        <v>50000982</v>
      </c>
      <c r="D3364" s="380" t="s">
        <v>767</v>
      </c>
      <c r="E3364" s="380" t="s">
        <v>781</v>
      </c>
      <c r="F3364" s="380" t="s">
        <v>782</v>
      </c>
      <c r="G3364" s="380" t="s">
        <v>1267</v>
      </c>
      <c r="H3364" s="380" t="s">
        <v>771</v>
      </c>
      <c r="I3364" s="380" t="s">
        <v>784</v>
      </c>
      <c r="J3364" s="380" t="s">
        <v>773</v>
      </c>
      <c r="K3364" s="381">
        <v>0.0</v>
      </c>
      <c r="L3364" s="382">
        <v>1.0</v>
      </c>
    </row>
    <row r="3365">
      <c r="A3365" s="380" t="s">
        <v>4228</v>
      </c>
      <c r="B3365" s="380" t="str">
        <f>IFERROR(__xludf.DUMMYFUNCTION("""COMPUTED_VALUE"""),"Llave Hexagona Surtidas")</f>
        <v>Llave Hexagona Surtidas</v>
      </c>
      <c r="C3365" s="380" t="str">
        <f>IFERROR(__xludf.DUMMYFUNCTION("""COMPUTED_VALUE"""),"50000983")</f>
        <v>50000983</v>
      </c>
      <c r="D3365" s="380" t="s">
        <v>767</v>
      </c>
      <c r="E3365" s="380" t="s">
        <v>781</v>
      </c>
      <c r="F3365" s="380" t="s">
        <v>782</v>
      </c>
      <c r="G3365" s="380" t="s">
        <v>1267</v>
      </c>
      <c r="H3365" s="380" t="s">
        <v>771</v>
      </c>
      <c r="I3365" s="380" t="s">
        <v>784</v>
      </c>
      <c r="J3365" s="380" t="s">
        <v>773</v>
      </c>
      <c r="K3365" s="381">
        <v>0.0</v>
      </c>
      <c r="L3365" s="382">
        <v>1.0</v>
      </c>
    </row>
    <row r="3366">
      <c r="A3366" s="380" t="s">
        <v>4229</v>
      </c>
      <c r="B3366" s="380" t="str">
        <f>IFERROR(__xludf.DUMMYFUNCTION("""COMPUTED_VALUE"""),"Juego Machuelo 5/16 Ro X 3 Und")</f>
        <v>Juego Machuelo 5/16 Ro X 3 Und</v>
      </c>
      <c r="C3366" s="380" t="str">
        <f>IFERROR(__xludf.DUMMYFUNCTION("""COMPUTED_VALUE"""),"50000984")</f>
        <v>50000984</v>
      </c>
      <c r="D3366" s="380" t="s">
        <v>767</v>
      </c>
      <c r="E3366" s="380" t="s">
        <v>781</v>
      </c>
      <c r="F3366" s="380" t="s">
        <v>782</v>
      </c>
      <c r="G3366" s="380" t="s">
        <v>1267</v>
      </c>
      <c r="H3366" s="380" t="s">
        <v>771</v>
      </c>
      <c r="I3366" s="380" t="s">
        <v>784</v>
      </c>
      <c r="J3366" s="380" t="s">
        <v>773</v>
      </c>
      <c r="K3366" s="381">
        <v>0.0</v>
      </c>
      <c r="L3366" s="382">
        <v>1.0</v>
      </c>
    </row>
    <row r="3367">
      <c r="A3367" s="380" t="s">
        <v>4230</v>
      </c>
      <c r="B3367" s="380" t="str">
        <f>IFERROR(__xludf.DUMMYFUNCTION("""COMPUTED_VALUE"""),"Copa Torx T 30 Snapon")</f>
        <v>Copa Torx T 30 Snapon</v>
      </c>
      <c r="C3367" s="380" t="str">
        <f>IFERROR(__xludf.DUMMYFUNCTION("""COMPUTED_VALUE"""),"50000985")</f>
        <v>50000985</v>
      </c>
      <c r="D3367" s="380" t="s">
        <v>767</v>
      </c>
      <c r="E3367" s="380" t="s">
        <v>781</v>
      </c>
      <c r="F3367" s="380" t="s">
        <v>782</v>
      </c>
      <c r="G3367" s="380" t="s">
        <v>1267</v>
      </c>
      <c r="H3367" s="380" t="s">
        <v>771</v>
      </c>
      <c r="I3367" s="380" t="s">
        <v>784</v>
      </c>
      <c r="J3367" s="380" t="s">
        <v>773</v>
      </c>
      <c r="K3367" s="381">
        <v>0.0</v>
      </c>
      <c r="L3367" s="382">
        <v>1.0</v>
      </c>
    </row>
    <row r="3368">
      <c r="A3368" s="380" t="s">
        <v>4231</v>
      </c>
      <c r="B3368" s="380" t="str">
        <f>IFERROR(__xludf.DUMMYFUNCTION("""COMPUTED_VALUE"""),"Camilla Mecanico 2-Secciones Ref.Tr6440")</f>
        <v>Camilla Mecanico 2-Secciones Ref.Tr6440</v>
      </c>
      <c r="C3368" s="380" t="str">
        <f>IFERROR(__xludf.DUMMYFUNCTION("""COMPUTED_VALUE"""),"50000986")</f>
        <v>50000986</v>
      </c>
      <c r="D3368" s="380" t="s">
        <v>767</v>
      </c>
      <c r="E3368" s="380" t="s">
        <v>781</v>
      </c>
      <c r="F3368" s="380" t="s">
        <v>782</v>
      </c>
      <c r="G3368" s="380" t="s">
        <v>1267</v>
      </c>
      <c r="H3368" s="380" t="s">
        <v>771</v>
      </c>
      <c r="I3368" s="380" t="s">
        <v>784</v>
      </c>
      <c r="J3368" s="380" t="s">
        <v>773</v>
      </c>
      <c r="K3368" s="381">
        <v>0.0</v>
      </c>
      <c r="L3368" s="382">
        <v>1.0</v>
      </c>
    </row>
    <row r="3369">
      <c r="A3369" s="380" t="s">
        <v>4232</v>
      </c>
      <c r="B3369" s="380" t="str">
        <f>IFERROR(__xludf.DUMMYFUNCTION("""COMPUTED_VALUE"""),"Centro Punto De 7/16 Proto")</f>
        <v>Centro Punto De 7/16 Proto</v>
      </c>
      <c r="C3369" s="380" t="str">
        <f>IFERROR(__xludf.DUMMYFUNCTION("""COMPUTED_VALUE"""),"50000987")</f>
        <v>50000987</v>
      </c>
      <c r="D3369" s="380" t="s">
        <v>767</v>
      </c>
      <c r="E3369" s="380" t="s">
        <v>781</v>
      </c>
      <c r="F3369" s="380" t="s">
        <v>782</v>
      </c>
      <c r="G3369" s="380" t="s">
        <v>1267</v>
      </c>
      <c r="H3369" s="380" t="s">
        <v>771</v>
      </c>
      <c r="I3369" s="380" t="s">
        <v>784</v>
      </c>
      <c r="J3369" s="380" t="s">
        <v>773</v>
      </c>
      <c r="K3369" s="381">
        <v>0.0</v>
      </c>
      <c r="L3369" s="382">
        <v>1.0</v>
      </c>
    </row>
    <row r="3370">
      <c r="A3370" s="380" t="s">
        <v>4233</v>
      </c>
      <c r="B3370" s="380" t="str">
        <f>IFERROR(__xludf.DUMMYFUNCTION("""COMPUTED_VALUE"""),"Taladro De Arbol 3/4")</f>
        <v>Taladro De Arbol 3/4</v>
      </c>
      <c r="C3370" s="380" t="str">
        <f>IFERROR(__xludf.DUMMYFUNCTION("""COMPUTED_VALUE"""),"50000988")</f>
        <v>50000988</v>
      </c>
      <c r="D3370" s="380" t="s">
        <v>767</v>
      </c>
      <c r="E3370" s="380" t="s">
        <v>781</v>
      </c>
      <c r="F3370" s="380" t="s">
        <v>782</v>
      </c>
      <c r="G3370" s="380" t="s">
        <v>1267</v>
      </c>
      <c r="H3370" s="380" t="s">
        <v>771</v>
      </c>
      <c r="I3370" s="380" t="s">
        <v>784</v>
      </c>
      <c r="J3370" s="380" t="s">
        <v>773</v>
      </c>
      <c r="K3370" s="381">
        <v>0.0</v>
      </c>
      <c r="L3370" s="382">
        <v>1.0</v>
      </c>
    </row>
    <row r="3371">
      <c r="A3371" s="380" t="s">
        <v>4234</v>
      </c>
      <c r="B3371" s="380" t="str">
        <f>IFERROR(__xludf.DUMMYFUNCTION("""COMPUTED_VALUE"""),"Copa Cuadrante 1/2 X 1 1/8 Tipo B")</f>
        <v>Copa Cuadrante 1/2 X 1 1/8 Tipo B</v>
      </c>
      <c r="C3371" s="380" t="str">
        <f>IFERROR(__xludf.DUMMYFUNCTION("""COMPUTED_VALUE"""),"50000989")</f>
        <v>50000989</v>
      </c>
      <c r="D3371" s="380" t="s">
        <v>767</v>
      </c>
      <c r="E3371" s="380" t="s">
        <v>781</v>
      </c>
      <c r="F3371" s="380" t="s">
        <v>782</v>
      </c>
      <c r="G3371" s="380" t="s">
        <v>1267</v>
      </c>
      <c r="H3371" s="380" t="s">
        <v>771</v>
      </c>
      <c r="I3371" s="380" t="s">
        <v>784</v>
      </c>
      <c r="J3371" s="380" t="s">
        <v>773</v>
      </c>
      <c r="K3371" s="381">
        <v>0.0</v>
      </c>
      <c r="L3371" s="382">
        <v>1.0</v>
      </c>
    </row>
    <row r="3372">
      <c r="A3372" s="380" t="s">
        <v>4235</v>
      </c>
      <c r="B3372" s="380" t="str">
        <f>IFERROR(__xludf.DUMMYFUNCTION("""COMPUTED_VALUE"""),"Copa Cuadrante 1/2 X 11 Mm Snapon")</f>
        <v>Copa Cuadrante 1/2 X 11 Mm Snapon</v>
      </c>
      <c r="C3372" s="380" t="str">
        <f>IFERROR(__xludf.DUMMYFUNCTION("""COMPUTED_VALUE"""),"50000991")</f>
        <v>50000991</v>
      </c>
      <c r="D3372" s="380" t="s">
        <v>767</v>
      </c>
      <c r="E3372" s="380" t="s">
        <v>781</v>
      </c>
      <c r="F3372" s="380" t="s">
        <v>782</v>
      </c>
      <c r="G3372" s="380" t="s">
        <v>1267</v>
      </c>
      <c r="H3372" s="380" t="s">
        <v>771</v>
      </c>
      <c r="I3372" s="380" t="s">
        <v>784</v>
      </c>
      <c r="J3372" s="380" t="s">
        <v>773</v>
      </c>
      <c r="K3372" s="381">
        <v>0.0</v>
      </c>
      <c r="L3372" s="382">
        <v>1.0</v>
      </c>
    </row>
    <row r="3373">
      <c r="A3373" s="380" t="s">
        <v>4236</v>
      </c>
      <c r="B3373" s="380" t="str">
        <f>IFERROR(__xludf.DUMMYFUNCTION("""COMPUTED_VALUE"""),"Copa Cuadrante 1/2 X 11 Mm Tipo B")</f>
        <v>Copa Cuadrante 1/2 X 11 Mm Tipo B</v>
      </c>
      <c r="C3373" s="380" t="str">
        <f>IFERROR(__xludf.DUMMYFUNCTION("""COMPUTED_VALUE"""),"50000992")</f>
        <v>50000992</v>
      </c>
      <c r="D3373" s="380" t="s">
        <v>767</v>
      </c>
      <c r="E3373" s="380" t="s">
        <v>781</v>
      </c>
      <c r="F3373" s="380" t="s">
        <v>782</v>
      </c>
      <c r="G3373" s="380" t="s">
        <v>1267</v>
      </c>
      <c r="H3373" s="380" t="s">
        <v>771</v>
      </c>
      <c r="I3373" s="380" t="s">
        <v>784</v>
      </c>
      <c r="J3373" s="380" t="s">
        <v>773</v>
      </c>
      <c r="K3373" s="381">
        <v>0.0</v>
      </c>
      <c r="L3373" s="382">
        <v>1.0</v>
      </c>
    </row>
    <row r="3374">
      <c r="A3374" s="380" t="s">
        <v>4237</v>
      </c>
      <c r="B3374" s="380" t="str">
        <f>IFERROR(__xludf.DUMMYFUNCTION("""COMPUTED_VALUE"""),"Copa Cuadrante 1/2 X 11/16 Proto")</f>
        <v>Copa Cuadrante 1/2 X 11/16 Proto</v>
      </c>
      <c r="C3374" s="380" t="str">
        <f>IFERROR(__xludf.DUMMYFUNCTION("""COMPUTED_VALUE"""),"50000993")</f>
        <v>50000993</v>
      </c>
      <c r="D3374" s="380" t="s">
        <v>767</v>
      </c>
      <c r="E3374" s="380" t="s">
        <v>781</v>
      </c>
      <c r="F3374" s="380" t="s">
        <v>782</v>
      </c>
      <c r="G3374" s="380" t="s">
        <v>1267</v>
      </c>
      <c r="H3374" s="380" t="s">
        <v>771</v>
      </c>
      <c r="I3374" s="380" t="s">
        <v>784</v>
      </c>
      <c r="J3374" s="380" t="s">
        <v>773</v>
      </c>
      <c r="K3374" s="381">
        <v>0.0</v>
      </c>
      <c r="L3374" s="382">
        <v>1.0</v>
      </c>
    </row>
    <row r="3375">
      <c r="A3375" s="380" t="s">
        <v>4238</v>
      </c>
      <c r="B3375" s="380" t="str">
        <f>IFERROR(__xludf.DUMMYFUNCTION("""COMPUTED_VALUE"""),"Copa Cuadrante 1/2 X 12mm Snapon")</f>
        <v>Copa Cuadrante 1/2 X 12mm Snapon</v>
      </c>
      <c r="C3375" s="380" t="str">
        <f>IFERROR(__xludf.DUMMYFUNCTION("""COMPUTED_VALUE"""),"50000994")</f>
        <v>50000994</v>
      </c>
      <c r="D3375" s="380" t="s">
        <v>767</v>
      </c>
      <c r="E3375" s="380" t="s">
        <v>781</v>
      </c>
      <c r="F3375" s="380" t="s">
        <v>782</v>
      </c>
      <c r="G3375" s="380" t="s">
        <v>1267</v>
      </c>
      <c r="H3375" s="380" t="s">
        <v>771</v>
      </c>
      <c r="I3375" s="380" t="s">
        <v>784</v>
      </c>
      <c r="J3375" s="380" t="s">
        <v>773</v>
      </c>
      <c r="K3375" s="381">
        <v>0.0</v>
      </c>
      <c r="L3375" s="382">
        <v>1.0</v>
      </c>
    </row>
    <row r="3376">
      <c r="A3376" s="380" t="s">
        <v>4239</v>
      </c>
      <c r="B3376" s="380" t="str">
        <f>IFERROR(__xludf.DUMMYFUNCTION("""COMPUTED_VALUE"""),"Copa Cuadrante 1/2 X 14mm Snapon")</f>
        <v>Copa Cuadrante 1/2 X 14mm Snapon</v>
      </c>
      <c r="C3376" s="380" t="str">
        <f>IFERROR(__xludf.DUMMYFUNCTION("""COMPUTED_VALUE"""),"50000995")</f>
        <v>50000995</v>
      </c>
      <c r="D3376" s="380" t="s">
        <v>767</v>
      </c>
      <c r="E3376" s="380" t="s">
        <v>781</v>
      </c>
      <c r="F3376" s="380" t="s">
        <v>782</v>
      </c>
      <c r="G3376" s="380" t="s">
        <v>1267</v>
      </c>
      <c r="H3376" s="380" t="s">
        <v>771</v>
      </c>
      <c r="I3376" s="380" t="s">
        <v>784</v>
      </c>
      <c r="J3376" s="380" t="s">
        <v>773</v>
      </c>
      <c r="K3376" s="381">
        <v>0.0</v>
      </c>
      <c r="L3376" s="382">
        <v>1.0</v>
      </c>
    </row>
    <row r="3377">
      <c r="A3377" s="380" t="s">
        <v>4240</v>
      </c>
      <c r="B3377" s="380" t="str">
        <f>IFERROR(__xludf.DUMMYFUNCTION("""COMPUTED_VALUE"""),"Cargador Manometro Baja Azul A/C")</f>
        <v>Cargador Manometro Baja Azul A/C</v>
      </c>
      <c r="C3377" s="380" t="str">
        <f>IFERROR(__xludf.DUMMYFUNCTION("""COMPUTED_VALUE"""),"50000996")</f>
        <v>50000996</v>
      </c>
      <c r="D3377" s="380" t="s">
        <v>767</v>
      </c>
      <c r="E3377" s="380" t="s">
        <v>781</v>
      </c>
      <c r="F3377" s="380" t="s">
        <v>782</v>
      </c>
      <c r="G3377" s="380" t="s">
        <v>1267</v>
      </c>
      <c r="H3377" s="380" t="s">
        <v>771</v>
      </c>
      <c r="I3377" s="380" t="s">
        <v>784</v>
      </c>
      <c r="J3377" s="380" t="s">
        <v>773</v>
      </c>
      <c r="K3377" s="381">
        <v>0.0</v>
      </c>
      <c r="L3377" s="382">
        <v>1.0</v>
      </c>
    </row>
    <row r="3378">
      <c r="A3378" s="380" t="s">
        <v>4241</v>
      </c>
      <c r="B3378" s="380" t="str">
        <f>IFERROR(__xludf.DUMMYFUNCTION("""COMPUTED_VALUE"""),"Copa Cuadrante 1/2 X 16mm Snapon")</f>
        <v>Copa Cuadrante 1/2 X 16mm Snapon</v>
      </c>
      <c r="C3378" s="380" t="str">
        <f>IFERROR(__xludf.DUMMYFUNCTION("""COMPUTED_VALUE"""),"50000997")</f>
        <v>50000997</v>
      </c>
      <c r="D3378" s="380" t="s">
        <v>767</v>
      </c>
      <c r="E3378" s="380" t="s">
        <v>781</v>
      </c>
      <c r="F3378" s="380" t="s">
        <v>782</v>
      </c>
      <c r="G3378" s="380" t="s">
        <v>1267</v>
      </c>
      <c r="H3378" s="380" t="s">
        <v>771</v>
      </c>
      <c r="I3378" s="380" t="s">
        <v>784</v>
      </c>
      <c r="J3378" s="380" t="s">
        <v>773</v>
      </c>
      <c r="K3378" s="381">
        <v>0.0</v>
      </c>
      <c r="L3378" s="382">
        <v>1.0</v>
      </c>
    </row>
    <row r="3379">
      <c r="A3379" s="380" t="s">
        <v>4242</v>
      </c>
      <c r="B3379" s="380" t="str">
        <f>IFERROR(__xludf.DUMMYFUNCTION("""COMPUTED_VALUE"""),"Copa Cuadrante 1/2 X 17mm Snapon")</f>
        <v>Copa Cuadrante 1/2 X 17mm Snapon</v>
      </c>
      <c r="C3379" s="380" t="str">
        <f>IFERROR(__xludf.DUMMYFUNCTION("""COMPUTED_VALUE"""),"50000998")</f>
        <v>50000998</v>
      </c>
      <c r="D3379" s="380" t="s">
        <v>767</v>
      </c>
      <c r="E3379" s="380" t="s">
        <v>781</v>
      </c>
      <c r="F3379" s="380" t="s">
        <v>782</v>
      </c>
      <c r="G3379" s="380" t="s">
        <v>1267</v>
      </c>
      <c r="H3379" s="380" t="s">
        <v>771</v>
      </c>
      <c r="I3379" s="380" t="s">
        <v>784</v>
      </c>
      <c r="J3379" s="380" t="s">
        <v>773</v>
      </c>
      <c r="K3379" s="381">
        <v>0.0</v>
      </c>
      <c r="L3379" s="382">
        <v>1.0</v>
      </c>
    </row>
    <row r="3380">
      <c r="A3380" s="380" t="s">
        <v>4243</v>
      </c>
      <c r="B3380" s="380" t="str">
        <f>IFERROR(__xludf.DUMMYFUNCTION("""COMPUTED_VALUE"""),"Copa Cuadrante 1/2 X 18mm Tipo B")</f>
        <v>Copa Cuadrante 1/2 X 18mm Tipo B</v>
      </c>
      <c r="C3380" s="380" t="str">
        <f>IFERROR(__xludf.DUMMYFUNCTION("""COMPUTED_VALUE"""),"50000999")</f>
        <v>50000999</v>
      </c>
      <c r="D3380" s="380" t="s">
        <v>767</v>
      </c>
      <c r="E3380" s="380" t="s">
        <v>781</v>
      </c>
      <c r="F3380" s="380" t="s">
        <v>782</v>
      </c>
      <c r="G3380" s="380" t="s">
        <v>1267</v>
      </c>
      <c r="H3380" s="380" t="s">
        <v>771</v>
      </c>
      <c r="I3380" s="380" t="s">
        <v>784</v>
      </c>
      <c r="J3380" s="380" t="s">
        <v>773</v>
      </c>
      <c r="K3380" s="381">
        <v>0.0</v>
      </c>
      <c r="L3380" s="382">
        <v>1.0</v>
      </c>
    </row>
    <row r="3381">
      <c r="A3381" s="380" t="s">
        <v>4244</v>
      </c>
      <c r="B3381" s="380" t="str">
        <f>IFERROR(__xludf.DUMMYFUNCTION("""COMPUTED_VALUE"""),"Copa Cuadrante 1/2 X 18mm Snapon")</f>
        <v>Copa Cuadrante 1/2 X 18mm Snapon</v>
      </c>
      <c r="C3381" s="380" t="str">
        <f>IFERROR(__xludf.DUMMYFUNCTION("""COMPUTED_VALUE"""),"50001000")</f>
        <v>50001000</v>
      </c>
      <c r="D3381" s="380" t="s">
        <v>767</v>
      </c>
      <c r="E3381" s="380" t="s">
        <v>781</v>
      </c>
      <c r="F3381" s="380" t="s">
        <v>782</v>
      </c>
      <c r="G3381" s="380" t="s">
        <v>1267</v>
      </c>
      <c r="H3381" s="380" t="s">
        <v>771</v>
      </c>
      <c r="I3381" s="380" t="s">
        <v>784</v>
      </c>
      <c r="J3381" s="380" t="s">
        <v>773</v>
      </c>
      <c r="K3381" s="381">
        <v>0.0</v>
      </c>
      <c r="L3381" s="382">
        <v>1.0</v>
      </c>
    </row>
    <row r="3382">
      <c r="A3382" s="380" t="s">
        <v>4245</v>
      </c>
      <c r="B3382" s="380" t="str">
        <f>IFERROR(__xludf.DUMMYFUNCTION("""COMPUTED_VALUE"""),"Copa Cuadrante 1/2 X 19mm Snapon")</f>
        <v>Copa Cuadrante 1/2 X 19mm Snapon</v>
      </c>
      <c r="C3382" s="380" t="str">
        <f>IFERROR(__xludf.DUMMYFUNCTION("""COMPUTED_VALUE"""),"50001001")</f>
        <v>50001001</v>
      </c>
      <c r="D3382" s="380" t="s">
        <v>767</v>
      </c>
      <c r="E3382" s="380" t="s">
        <v>781</v>
      </c>
      <c r="F3382" s="380" t="s">
        <v>782</v>
      </c>
      <c r="G3382" s="380" t="s">
        <v>1267</v>
      </c>
      <c r="H3382" s="380" t="s">
        <v>771</v>
      </c>
      <c r="I3382" s="380" t="s">
        <v>784</v>
      </c>
      <c r="J3382" s="380" t="s">
        <v>773</v>
      </c>
      <c r="K3382" s="381">
        <v>0.0</v>
      </c>
      <c r="L3382" s="382">
        <v>1.0</v>
      </c>
    </row>
    <row r="3383">
      <c r="A3383" s="380" t="s">
        <v>4246</v>
      </c>
      <c r="B3383" s="380" t="str">
        <f>IFERROR(__xludf.DUMMYFUNCTION("""COMPUTED_VALUE"""),"Kit Reparacion Rache 3/4 (5649)")</f>
        <v>Kit Reparacion Rache 3/4 (5649)</v>
      </c>
      <c r="C3383" s="380" t="str">
        <f>IFERROR(__xludf.DUMMYFUNCTION("""COMPUTED_VALUE"""),"5649")</f>
        <v>5649</v>
      </c>
      <c r="D3383" s="380" t="s">
        <v>767</v>
      </c>
      <c r="E3383" s="380" t="s">
        <v>781</v>
      </c>
      <c r="F3383" s="380" t="s">
        <v>782</v>
      </c>
      <c r="G3383" s="380" t="s">
        <v>1267</v>
      </c>
      <c r="H3383" s="380" t="s">
        <v>771</v>
      </c>
      <c r="I3383" s="380" t="s">
        <v>784</v>
      </c>
      <c r="J3383" s="380" t="s">
        <v>773</v>
      </c>
      <c r="K3383" s="381">
        <v>0.0</v>
      </c>
      <c r="L3383" s="382">
        <v>1.0</v>
      </c>
    </row>
    <row r="3384">
      <c r="A3384" s="380" t="s">
        <v>4247</v>
      </c>
      <c r="B3384" s="380" t="str">
        <f>IFERROR(__xludf.DUMMYFUNCTION("""COMPUTED_VALUE"""),"Martillo De Uña")</f>
        <v>Martillo De Uña</v>
      </c>
      <c r="C3384" s="380" t="str">
        <f>IFERROR(__xludf.DUMMYFUNCTION("""COMPUTED_VALUE"""),"50001003")</f>
        <v>50001003</v>
      </c>
      <c r="D3384" s="380" t="s">
        <v>767</v>
      </c>
      <c r="E3384" s="380" t="s">
        <v>781</v>
      </c>
      <c r="F3384" s="380" t="s">
        <v>782</v>
      </c>
      <c r="G3384" s="380" t="s">
        <v>1267</v>
      </c>
      <c r="H3384" s="380" t="s">
        <v>771</v>
      </c>
      <c r="I3384" s="380" t="s">
        <v>784</v>
      </c>
      <c r="J3384" s="380" t="s">
        <v>773</v>
      </c>
      <c r="K3384" s="381">
        <v>0.0</v>
      </c>
      <c r="L3384" s="382">
        <v>1.0</v>
      </c>
    </row>
    <row r="3385">
      <c r="A3385" s="380" t="s">
        <v>4248</v>
      </c>
      <c r="B3385" s="380" t="str">
        <f>IFERROR(__xludf.DUMMYFUNCTION("""COMPUTED_VALUE"""),"Extension Electrica Varias")</f>
        <v>Extension Electrica Varias</v>
      </c>
      <c r="C3385" s="380" t="str">
        <f>IFERROR(__xludf.DUMMYFUNCTION("""COMPUTED_VALUE"""),"50001004")</f>
        <v>50001004</v>
      </c>
      <c r="D3385" s="380" t="s">
        <v>767</v>
      </c>
      <c r="E3385" s="380" t="s">
        <v>781</v>
      </c>
      <c r="F3385" s="380" t="s">
        <v>782</v>
      </c>
      <c r="G3385" s="380" t="s">
        <v>1267</v>
      </c>
      <c r="H3385" s="380" t="s">
        <v>771</v>
      </c>
      <c r="I3385" s="380" t="s">
        <v>784</v>
      </c>
      <c r="J3385" s="380" t="s">
        <v>773</v>
      </c>
      <c r="K3385" s="381">
        <v>0.0</v>
      </c>
      <c r="L3385" s="382">
        <v>1.0</v>
      </c>
    </row>
    <row r="3386">
      <c r="A3386" s="380" t="s">
        <v>4249</v>
      </c>
      <c r="B3386" s="380" t="str">
        <f>IFERROR(__xludf.DUMMYFUNCTION("""COMPUTED_VALUE"""),"Boquilla De Aire Larga 14""")</f>
        <v>Boquilla De Aire Larga 14"</v>
      </c>
      <c r="C3386" s="380" t="str">
        <f>IFERROR(__xludf.DUMMYFUNCTION("""COMPUTED_VALUE"""),"50001005")</f>
        <v>50001005</v>
      </c>
      <c r="D3386" s="380" t="s">
        <v>767</v>
      </c>
      <c r="E3386" s="380" t="s">
        <v>781</v>
      </c>
      <c r="F3386" s="380" t="s">
        <v>782</v>
      </c>
      <c r="G3386" s="380" t="s">
        <v>1267</v>
      </c>
      <c r="H3386" s="380" t="s">
        <v>771</v>
      </c>
      <c r="I3386" s="380" t="s">
        <v>784</v>
      </c>
      <c r="J3386" s="380" t="s">
        <v>773</v>
      </c>
      <c r="K3386" s="381">
        <v>0.0</v>
      </c>
      <c r="L3386" s="382">
        <v>1.0</v>
      </c>
    </row>
    <row r="3387">
      <c r="A3387" s="380" t="s">
        <v>4250</v>
      </c>
      <c r="B3387" s="380" t="str">
        <f>IFERROR(__xludf.DUMMYFUNCTION("""COMPUTED_VALUE"""),"Copa Impacto Cuadrante 1/2 X 1 1/4 Snapo")</f>
        <v>Copa Impacto Cuadrante 1/2 X 1 1/4 Snapo</v>
      </c>
      <c r="C3387" s="380" t="str">
        <f>IFERROR(__xludf.DUMMYFUNCTION("""COMPUTED_VALUE"""),"50001006")</f>
        <v>50001006</v>
      </c>
      <c r="D3387" s="380" t="s">
        <v>767</v>
      </c>
      <c r="E3387" s="380" t="s">
        <v>781</v>
      </c>
      <c r="F3387" s="380" t="s">
        <v>782</v>
      </c>
      <c r="G3387" s="380" t="s">
        <v>1267</v>
      </c>
      <c r="H3387" s="380" t="s">
        <v>771</v>
      </c>
      <c r="I3387" s="380" t="s">
        <v>784</v>
      </c>
      <c r="J3387" s="380" t="s">
        <v>773</v>
      </c>
      <c r="K3387" s="381">
        <v>0.0</v>
      </c>
      <c r="L3387" s="382">
        <v>1.0</v>
      </c>
    </row>
    <row r="3388">
      <c r="A3388" s="380" t="s">
        <v>4251</v>
      </c>
      <c r="B3388" s="380" t="str">
        <f>IFERROR(__xludf.DUMMYFUNCTION("""COMPUTED_VALUE"""),"Copa Larga Impacto Cuadrante 1/2 X 9/16")</f>
        <v>Copa Larga Impacto Cuadrante 1/2 X 9/16</v>
      </c>
      <c r="C3388" s="380" t="str">
        <f>IFERROR(__xludf.DUMMYFUNCTION("""COMPUTED_VALUE"""),"50001007")</f>
        <v>50001007</v>
      </c>
      <c r="D3388" s="380" t="s">
        <v>767</v>
      </c>
      <c r="E3388" s="380" t="s">
        <v>781</v>
      </c>
      <c r="F3388" s="380" t="s">
        <v>782</v>
      </c>
      <c r="G3388" s="380" t="s">
        <v>1267</v>
      </c>
      <c r="H3388" s="380" t="s">
        <v>771</v>
      </c>
      <c r="I3388" s="380" t="s">
        <v>784</v>
      </c>
      <c r="J3388" s="380" t="s">
        <v>773</v>
      </c>
      <c r="K3388" s="381">
        <v>0.0</v>
      </c>
      <c r="L3388" s="382">
        <v>1.0</v>
      </c>
    </row>
    <row r="3389">
      <c r="A3389" s="380" t="s">
        <v>4252</v>
      </c>
      <c r="B3389" s="380" t="str">
        <f>IFERROR(__xludf.DUMMYFUNCTION("""COMPUTED_VALUE"""),"Llave Expansion 15"" Tipo B")</f>
        <v>Llave Expansion 15" Tipo B</v>
      </c>
      <c r="C3389" s="380" t="str">
        <f>IFERROR(__xludf.DUMMYFUNCTION("""COMPUTED_VALUE"""),"50001008")</f>
        <v>50001008</v>
      </c>
      <c r="D3389" s="380" t="s">
        <v>767</v>
      </c>
      <c r="E3389" s="380" t="s">
        <v>781</v>
      </c>
      <c r="F3389" s="380" t="s">
        <v>782</v>
      </c>
      <c r="G3389" s="380" t="s">
        <v>1267</v>
      </c>
      <c r="H3389" s="380" t="s">
        <v>771</v>
      </c>
      <c r="I3389" s="380" t="s">
        <v>784</v>
      </c>
      <c r="J3389" s="380" t="s">
        <v>773</v>
      </c>
      <c r="K3389" s="381">
        <v>0.0</v>
      </c>
      <c r="L3389" s="382">
        <v>1.0</v>
      </c>
    </row>
    <row r="3390">
      <c r="A3390" s="380" t="s">
        <v>4253</v>
      </c>
      <c r="B3390" s="380" t="str">
        <f>IFERROR(__xludf.DUMMYFUNCTION("""COMPUTED_VALUE"""),"Cargador Manometro Alta Rojo A/C")</f>
        <v>Cargador Manometro Alta Rojo A/C</v>
      </c>
      <c r="C3390" s="380" t="str">
        <f>IFERROR(__xludf.DUMMYFUNCTION("""COMPUTED_VALUE"""),"50001009")</f>
        <v>50001009</v>
      </c>
      <c r="D3390" s="380" t="s">
        <v>767</v>
      </c>
      <c r="E3390" s="380" t="s">
        <v>781</v>
      </c>
      <c r="F3390" s="380" t="s">
        <v>782</v>
      </c>
      <c r="G3390" s="380" t="s">
        <v>1267</v>
      </c>
      <c r="H3390" s="380" t="s">
        <v>771</v>
      </c>
      <c r="I3390" s="380" t="s">
        <v>784</v>
      </c>
      <c r="J3390" s="380" t="s">
        <v>773</v>
      </c>
      <c r="K3390" s="381">
        <v>0.0</v>
      </c>
      <c r="L3390" s="382">
        <v>1.0</v>
      </c>
    </row>
    <row r="3391">
      <c r="A3391" s="380" t="s">
        <v>4254</v>
      </c>
      <c r="B3391" s="380" t="str">
        <f>IFERROR(__xludf.DUMMYFUNCTION("""COMPUTED_VALUE"""),"Llave Mixta 12mm Tipo B")</f>
        <v>Llave Mixta 12mm Tipo B</v>
      </c>
      <c r="C3391" s="380" t="str">
        <f>IFERROR(__xludf.DUMMYFUNCTION("""COMPUTED_VALUE"""),"50001010")</f>
        <v>50001010</v>
      </c>
      <c r="D3391" s="380" t="s">
        <v>767</v>
      </c>
      <c r="E3391" s="380" t="s">
        <v>781</v>
      </c>
      <c r="F3391" s="380" t="s">
        <v>782</v>
      </c>
      <c r="G3391" s="380" t="s">
        <v>1267</v>
      </c>
      <c r="H3391" s="380" t="s">
        <v>771</v>
      </c>
      <c r="I3391" s="380" t="s">
        <v>784</v>
      </c>
      <c r="J3391" s="380" t="s">
        <v>773</v>
      </c>
      <c r="K3391" s="381">
        <v>0.0</v>
      </c>
      <c r="L3391" s="382">
        <v>1.0</v>
      </c>
    </row>
    <row r="3392">
      <c r="A3392" s="380" t="s">
        <v>4255</v>
      </c>
      <c r="B3392" s="380" t="str">
        <f>IFERROR(__xludf.DUMMYFUNCTION("""COMPUTED_VALUE"""),"Llave Mixta 14mm Tipo B")</f>
        <v>Llave Mixta 14mm Tipo B</v>
      </c>
      <c r="C3392" s="380" t="str">
        <f>IFERROR(__xludf.DUMMYFUNCTION("""COMPUTED_VALUE"""),"50001011")</f>
        <v>50001011</v>
      </c>
      <c r="D3392" s="380" t="s">
        <v>767</v>
      </c>
      <c r="E3392" s="380" t="s">
        <v>781</v>
      </c>
      <c r="F3392" s="380" t="s">
        <v>782</v>
      </c>
      <c r="G3392" s="380" t="s">
        <v>1267</v>
      </c>
      <c r="H3392" s="380" t="s">
        <v>771</v>
      </c>
      <c r="I3392" s="380" t="s">
        <v>784</v>
      </c>
      <c r="J3392" s="380" t="s">
        <v>773</v>
      </c>
      <c r="K3392" s="381">
        <v>0.0</v>
      </c>
      <c r="L3392" s="382">
        <v>1.0</v>
      </c>
    </row>
    <row r="3393">
      <c r="A3393" s="380" t="s">
        <v>4256</v>
      </c>
      <c r="B3393" s="380" t="str">
        <f>IFERROR(__xludf.DUMMYFUNCTION("""COMPUTED_VALUE"""),"Llave Mixta 15/16 Tipo B")</f>
        <v>Llave Mixta 15/16 Tipo B</v>
      </c>
      <c r="C3393" s="380" t="str">
        <f>IFERROR(__xludf.DUMMYFUNCTION("""COMPUTED_VALUE"""),"50001012")</f>
        <v>50001012</v>
      </c>
      <c r="D3393" s="380" t="s">
        <v>767</v>
      </c>
      <c r="E3393" s="380" t="s">
        <v>781</v>
      </c>
      <c r="F3393" s="380" t="s">
        <v>782</v>
      </c>
      <c r="G3393" s="380" t="s">
        <v>1267</v>
      </c>
      <c r="H3393" s="380" t="s">
        <v>771</v>
      </c>
      <c r="I3393" s="380" t="s">
        <v>784</v>
      </c>
      <c r="J3393" s="380" t="s">
        <v>773</v>
      </c>
      <c r="K3393" s="381">
        <v>0.0</v>
      </c>
      <c r="L3393" s="382">
        <v>1.0</v>
      </c>
    </row>
    <row r="3394">
      <c r="A3394" s="380" t="s">
        <v>4257</v>
      </c>
      <c r="B3394" s="380" t="str">
        <f>IFERROR(__xludf.DUMMYFUNCTION("""COMPUTED_VALUE"""),"Llave Mixta 19mm Snapon")</f>
        <v>Llave Mixta 19mm Snapon</v>
      </c>
      <c r="C3394" s="380" t="str">
        <f>IFERROR(__xludf.DUMMYFUNCTION("""COMPUTED_VALUE"""),"50001013")</f>
        <v>50001013</v>
      </c>
      <c r="D3394" s="380" t="s">
        <v>767</v>
      </c>
      <c r="E3394" s="380" t="s">
        <v>781</v>
      </c>
      <c r="F3394" s="380" t="s">
        <v>782</v>
      </c>
      <c r="G3394" s="380" t="s">
        <v>1267</v>
      </c>
      <c r="H3394" s="380" t="s">
        <v>771</v>
      </c>
      <c r="I3394" s="380" t="s">
        <v>784</v>
      </c>
      <c r="J3394" s="380" t="s">
        <v>773</v>
      </c>
      <c r="K3394" s="381">
        <v>0.0</v>
      </c>
      <c r="L3394" s="382">
        <v>1.0</v>
      </c>
    </row>
    <row r="3395">
      <c r="A3395" s="380" t="s">
        <v>4258</v>
      </c>
      <c r="B3395" s="380" t="str">
        <f>IFERROR(__xludf.DUMMYFUNCTION("""COMPUTED_VALUE"""),"Palanca Uña 652/24 Tipo B")</f>
        <v>Palanca Uña 652/24 Tipo B</v>
      </c>
      <c r="C3395" s="380" t="str">
        <f>IFERROR(__xludf.DUMMYFUNCTION("""COMPUTED_VALUE"""),"50001014")</f>
        <v>50001014</v>
      </c>
      <c r="D3395" s="380" t="s">
        <v>767</v>
      </c>
      <c r="E3395" s="380" t="s">
        <v>781</v>
      </c>
      <c r="F3395" s="380" t="s">
        <v>782</v>
      </c>
      <c r="G3395" s="380" t="s">
        <v>1267</v>
      </c>
      <c r="H3395" s="380" t="s">
        <v>771</v>
      </c>
      <c r="I3395" s="380" t="s">
        <v>784</v>
      </c>
      <c r="J3395" s="380" t="s">
        <v>773</v>
      </c>
      <c r="K3395" s="381">
        <v>0.0</v>
      </c>
      <c r="L3395" s="382">
        <v>1.0</v>
      </c>
    </row>
    <row r="3396">
      <c r="A3396" s="380" t="s">
        <v>4259</v>
      </c>
      <c r="B3396" s="380" t="str">
        <f>IFERROR(__xludf.DUMMYFUNCTION("""COMPUTED_VALUE"""),"Reduccion Impacto Cuadrante 1"" A 3/4 Sna")</f>
        <v>Reduccion Impacto Cuadrante 1" A 3/4 Sna</v>
      </c>
      <c r="C3396" s="380" t="str">
        <f>IFERROR(__xludf.DUMMYFUNCTION("""COMPUTED_VALUE"""),"50001015")</f>
        <v>50001015</v>
      </c>
      <c r="D3396" s="380" t="s">
        <v>767</v>
      </c>
      <c r="E3396" s="380" t="s">
        <v>781</v>
      </c>
      <c r="F3396" s="380" t="s">
        <v>782</v>
      </c>
      <c r="G3396" s="380" t="s">
        <v>1267</v>
      </c>
      <c r="H3396" s="380" t="s">
        <v>771</v>
      </c>
      <c r="I3396" s="380" t="s">
        <v>784</v>
      </c>
      <c r="J3396" s="380" t="s">
        <v>773</v>
      </c>
      <c r="K3396" s="381">
        <v>0.0</v>
      </c>
      <c r="L3396" s="382">
        <v>1.0</v>
      </c>
    </row>
    <row r="3397">
      <c r="A3397" s="380" t="s">
        <v>4260</v>
      </c>
      <c r="B3397" s="380" t="str">
        <f>IFERROR(__xludf.DUMMYFUNCTION("""COMPUTED_VALUE"""),"Boquilla Para Inflar Seguridad Con Clip")</f>
        <v>Boquilla Para Inflar Seguridad Con Clip</v>
      </c>
      <c r="C3397" s="380" t="str">
        <f>IFERROR(__xludf.DUMMYFUNCTION("""COMPUTED_VALUE"""),"50001016")</f>
        <v>50001016</v>
      </c>
      <c r="D3397" s="380" t="s">
        <v>767</v>
      </c>
      <c r="E3397" s="380" t="s">
        <v>781</v>
      </c>
      <c r="F3397" s="380" t="s">
        <v>782</v>
      </c>
      <c r="G3397" s="380" t="s">
        <v>1267</v>
      </c>
      <c r="H3397" s="380" t="s">
        <v>771</v>
      </c>
      <c r="I3397" s="380" t="s">
        <v>784</v>
      </c>
      <c r="J3397" s="380" t="s">
        <v>773</v>
      </c>
      <c r="K3397" s="381">
        <v>0.0</v>
      </c>
      <c r="L3397" s="382">
        <v>1.0</v>
      </c>
    </row>
    <row r="3398">
      <c r="A3398" s="380" t="s">
        <v>4261</v>
      </c>
      <c r="B3398" s="380" t="str">
        <f>IFERROR(__xludf.DUMMYFUNCTION("""COMPUTED_VALUE"""),"Llave Pernos 41 X 21 De Npr")</f>
        <v>Llave Pernos 41 X 21 De Npr</v>
      </c>
      <c r="C3398" s="380" t="str">
        <f>IFERROR(__xludf.DUMMYFUNCTION("""COMPUTED_VALUE"""),"50001017")</f>
        <v>50001017</v>
      </c>
      <c r="D3398" s="380" t="s">
        <v>767</v>
      </c>
      <c r="E3398" s="380" t="s">
        <v>781</v>
      </c>
      <c r="F3398" s="380" t="s">
        <v>782</v>
      </c>
      <c r="G3398" s="380" t="s">
        <v>1267</v>
      </c>
      <c r="H3398" s="380" t="s">
        <v>771</v>
      </c>
      <c r="I3398" s="380" t="s">
        <v>784</v>
      </c>
      <c r="J3398" s="380" t="s">
        <v>773</v>
      </c>
      <c r="K3398" s="381">
        <v>0.0</v>
      </c>
      <c r="L3398" s="382">
        <v>1.0</v>
      </c>
    </row>
    <row r="3399">
      <c r="A3399" s="380" t="s">
        <v>4262</v>
      </c>
      <c r="B3399" s="380" t="str">
        <f>IFERROR(__xludf.DUMMYFUNCTION("""COMPUTED_VALUE"""),"Equipo Lubricacion Con Bomba Carrete Y P")</f>
        <v>Equipo Lubricacion Con Bomba Carrete Y P</v>
      </c>
      <c r="C3399" s="380" t="str">
        <f>IFERROR(__xludf.DUMMYFUNCTION("""COMPUTED_VALUE"""),"50001018")</f>
        <v>50001018</v>
      </c>
      <c r="D3399" s="380" t="s">
        <v>767</v>
      </c>
      <c r="E3399" s="380" t="s">
        <v>781</v>
      </c>
      <c r="F3399" s="380" t="s">
        <v>782</v>
      </c>
      <c r="G3399" s="380" t="s">
        <v>1267</v>
      </c>
      <c r="H3399" s="380" t="s">
        <v>771</v>
      </c>
      <c r="I3399" s="380" t="s">
        <v>784</v>
      </c>
      <c r="J3399" s="380" t="s">
        <v>773</v>
      </c>
      <c r="K3399" s="381">
        <v>0.0</v>
      </c>
      <c r="L3399" s="382">
        <v>1.0</v>
      </c>
    </row>
    <row r="3400">
      <c r="A3400" s="380" t="s">
        <v>4263</v>
      </c>
      <c r="B3400" s="380" t="str">
        <f>IFERROR(__xludf.DUMMYFUNCTION("""COMPUTED_VALUE"""),"Remachadora Pop Cabeza Flexible")</f>
        <v>Remachadora Pop Cabeza Flexible</v>
      </c>
      <c r="C3400" s="380" t="str">
        <f>IFERROR(__xludf.DUMMYFUNCTION("""COMPUTED_VALUE"""),"50001019")</f>
        <v>50001019</v>
      </c>
      <c r="D3400" s="380" t="s">
        <v>767</v>
      </c>
      <c r="E3400" s="380" t="s">
        <v>781</v>
      </c>
      <c r="F3400" s="380" t="s">
        <v>782</v>
      </c>
      <c r="G3400" s="380" t="s">
        <v>1267</v>
      </c>
      <c r="H3400" s="380" t="s">
        <v>771</v>
      </c>
      <c r="I3400" s="380" t="s">
        <v>784</v>
      </c>
      <c r="J3400" s="380" t="s">
        <v>773</v>
      </c>
      <c r="K3400" s="381">
        <v>0.0</v>
      </c>
      <c r="L3400" s="382">
        <v>1.0</v>
      </c>
    </row>
    <row r="3401">
      <c r="A3401" s="380" t="s">
        <v>4264</v>
      </c>
      <c r="B3401" s="380" t="str">
        <f>IFERROR(__xludf.DUMMYFUNCTION("""COMPUTED_VALUE"""),"Llave Mixta 7/8"" Tipo B")</f>
        <v>Llave Mixta 7/8" Tipo B</v>
      </c>
      <c r="C3401" s="380" t="str">
        <f>IFERROR(__xludf.DUMMYFUNCTION("""COMPUTED_VALUE"""),"50001020")</f>
        <v>50001020</v>
      </c>
      <c r="D3401" s="380" t="s">
        <v>767</v>
      </c>
      <c r="E3401" s="380" t="s">
        <v>781</v>
      </c>
      <c r="F3401" s="380" t="s">
        <v>782</v>
      </c>
      <c r="G3401" s="380" t="s">
        <v>1267</v>
      </c>
      <c r="H3401" s="380" t="s">
        <v>771</v>
      </c>
      <c r="I3401" s="380" t="s">
        <v>784</v>
      </c>
      <c r="J3401" s="380" t="s">
        <v>773</v>
      </c>
      <c r="K3401" s="381">
        <v>0.0</v>
      </c>
      <c r="L3401" s="382">
        <v>1.0</v>
      </c>
    </row>
    <row r="3402">
      <c r="A3402" s="380" t="s">
        <v>4265</v>
      </c>
      <c r="B3402" s="380" t="str">
        <f>IFERROR(__xludf.DUMMYFUNCTION("""COMPUTED_VALUE"""),"Pistola Surtidor 1"" Nueva")</f>
        <v>Pistola Surtidor 1" Nueva</v>
      </c>
      <c r="C3402" s="380" t="str">
        <f>IFERROR(__xludf.DUMMYFUNCTION("""COMPUTED_VALUE"""),"50001021")</f>
        <v>50001021</v>
      </c>
      <c r="D3402" s="380" t="s">
        <v>767</v>
      </c>
      <c r="E3402" s="380" t="s">
        <v>781</v>
      </c>
      <c r="F3402" s="380" t="s">
        <v>782</v>
      </c>
      <c r="G3402" s="380" t="s">
        <v>1267</v>
      </c>
      <c r="H3402" s="380" t="s">
        <v>771</v>
      </c>
      <c r="I3402" s="380" t="s">
        <v>784</v>
      </c>
      <c r="J3402" s="380" t="s">
        <v>773</v>
      </c>
      <c r="K3402" s="381">
        <v>0.0</v>
      </c>
      <c r="L3402" s="382">
        <v>1.0</v>
      </c>
    </row>
    <row r="3403">
      <c r="A3403" s="380" t="s">
        <v>4266</v>
      </c>
      <c r="B3403" s="380" t="str">
        <f>IFERROR(__xludf.DUMMYFUNCTION("""COMPUTED_VALUE"""),"Destornillador Estrella 1/4 X 8-9"" Tipo")</f>
        <v>Destornillador Estrella 1/4 X 8-9" Tipo</v>
      </c>
      <c r="C3403" s="380" t="str">
        <f>IFERROR(__xludf.DUMMYFUNCTION("""COMPUTED_VALUE"""),"50001022")</f>
        <v>50001022</v>
      </c>
      <c r="D3403" s="380" t="s">
        <v>767</v>
      </c>
      <c r="E3403" s="380" t="s">
        <v>781</v>
      </c>
      <c r="F3403" s="380" t="s">
        <v>782</v>
      </c>
      <c r="G3403" s="380" t="s">
        <v>1267</v>
      </c>
      <c r="H3403" s="380" t="s">
        <v>771</v>
      </c>
      <c r="I3403" s="380" t="s">
        <v>784</v>
      </c>
      <c r="J3403" s="380" t="s">
        <v>773</v>
      </c>
      <c r="K3403" s="381">
        <v>0.0</v>
      </c>
      <c r="L3403" s="382">
        <v>1.0</v>
      </c>
    </row>
    <row r="3404">
      <c r="A3404" s="380" t="s">
        <v>4267</v>
      </c>
      <c r="B3404" s="380" t="str">
        <f>IFERROR(__xludf.DUMMYFUNCTION("""COMPUTED_VALUE"""),"Almadana De 6 Libras")</f>
        <v>Almadana De 6 Libras</v>
      </c>
      <c r="C3404" s="380" t="str">
        <f>IFERROR(__xludf.DUMMYFUNCTION("""COMPUTED_VALUE"""),"50001023")</f>
        <v>50001023</v>
      </c>
      <c r="D3404" s="380" t="s">
        <v>767</v>
      </c>
      <c r="E3404" s="380" t="s">
        <v>781</v>
      </c>
      <c r="F3404" s="380" t="s">
        <v>782</v>
      </c>
      <c r="G3404" s="380" t="s">
        <v>1267</v>
      </c>
      <c r="H3404" s="380" t="s">
        <v>771</v>
      </c>
      <c r="I3404" s="380" t="s">
        <v>784</v>
      </c>
      <c r="J3404" s="380" t="s">
        <v>773</v>
      </c>
      <c r="K3404" s="381">
        <v>0.0</v>
      </c>
      <c r="L3404" s="382">
        <v>1.0</v>
      </c>
    </row>
    <row r="3405">
      <c r="A3405" s="380" t="s">
        <v>4268</v>
      </c>
      <c r="B3405" s="380" t="str">
        <f>IFERROR(__xludf.DUMMYFUNCTION("""COMPUTED_VALUE"""),"Almadana De 3 Libras")</f>
        <v>Almadana De 3 Libras</v>
      </c>
      <c r="C3405" s="380" t="str">
        <f>IFERROR(__xludf.DUMMYFUNCTION("""COMPUTED_VALUE"""),"50001024")</f>
        <v>50001024</v>
      </c>
      <c r="D3405" s="380" t="s">
        <v>767</v>
      </c>
      <c r="E3405" s="380" t="s">
        <v>781</v>
      </c>
      <c r="F3405" s="380" t="s">
        <v>782</v>
      </c>
      <c r="G3405" s="380" t="s">
        <v>1267</v>
      </c>
      <c r="H3405" s="380" t="s">
        <v>771</v>
      </c>
      <c r="I3405" s="380" t="s">
        <v>784</v>
      </c>
      <c r="J3405" s="380" t="s">
        <v>773</v>
      </c>
      <c r="K3405" s="381">
        <v>0.0</v>
      </c>
      <c r="L3405" s="382">
        <v>1.0</v>
      </c>
    </row>
    <row r="3406">
      <c r="A3406" s="380" t="s">
        <v>4269</v>
      </c>
      <c r="B3406" s="380" t="str">
        <f>IFERROR(__xludf.DUMMYFUNCTION("""COMPUTED_VALUE"""),"Martill Neumatico Remach Snapon Sph3050")</f>
        <v>Martill Neumatico Remach Snapon Sph3050</v>
      </c>
      <c r="C3406" s="380" t="str">
        <f>IFERROR(__xludf.DUMMYFUNCTION("""COMPUTED_VALUE"""),"50001025")</f>
        <v>50001025</v>
      </c>
      <c r="D3406" s="380" t="s">
        <v>767</v>
      </c>
      <c r="E3406" s="380" t="s">
        <v>781</v>
      </c>
      <c r="F3406" s="380" t="s">
        <v>782</v>
      </c>
      <c r="G3406" s="380" t="s">
        <v>1267</v>
      </c>
      <c r="H3406" s="380" t="s">
        <v>771</v>
      </c>
      <c r="I3406" s="380" t="s">
        <v>784</v>
      </c>
      <c r="J3406" s="380" t="s">
        <v>773</v>
      </c>
      <c r="K3406" s="381">
        <v>0.0</v>
      </c>
      <c r="L3406" s="382">
        <v>1.0</v>
      </c>
    </row>
    <row r="3407">
      <c r="A3407" s="380" t="s">
        <v>4270</v>
      </c>
      <c r="B3407" s="380" t="str">
        <f>IFERROR(__xludf.DUMMYFUNCTION("""COMPUTED_VALUE"""),"Butorola De 1/4")</f>
        <v>Butorola De 1/4</v>
      </c>
      <c r="C3407" s="380" t="str">
        <f>IFERROR(__xludf.DUMMYFUNCTION("""COMPUTED_VALUE"""),"50001026")</f>
        <v>50001026</v>
      </c>
      <c r="D3407" s="380" t="s">
        <v>767</v>
      </c>
      <c r="E3407" s="380" t="s">
        <v>781</v>
      </c>
      <c r="F3407" s="380" t="s">
        <v>782</v>
      </c>
      <c r="G3407" s="380" t="s">
        <v>1267</v>
      </c>
      <c r="H3407" s="380" t="s">
        <v>771</v>
      </c>
      <c r="I3407" s="380" t="s">
        <v>784</v>
      </c>
      <c r="J3407" s="380" t="s">
        <v>773</v>
      </c>
      <c r="K3407" s="381">
        <v>0.0</v>
      </c>
      <c r="L3407" s="382">
        <v>1.0</v>
      </c>
    </row>
    <row r="3408">
      <c r="A3408" s="380" t="s">
        <v>4271</v>
      </c>
      <c r="B3408" s="380" t="str">
        <f>IFERROR(__xludf.DUMMYFUNCTION("""COMPUTED_VALUE"""),"Butorola De 3/16")</f>
        <v>Butorola De 3/16</v>
      </c>
      <c r="C3408" s="380" t="str">
        <f>IFERROR(__xludf.DUMMYFUNCTION("""COMPUTED_VALUE"""),"50001027")</f>
        <v>50001027</v>
      </c>
      <c r="D3408" s="380" t="s">
        <v>767</v>
      </c>
      <c r="E3408" s="380" t="s">
        <v>781</v>
      </c>
      <c r="F3408" s="380" t="s">
        <v>782</v>
      </c>
      <c r="G3408" s="380" t="s">
        <v>1267</v>
      </c>
      <c r="H3408" s="380" t="s">
        <v>771</v>
      </c>
      <c r="I3408" s="380" t="s">
        <v>784</v>
      </c>
      <c r="J3408" s="380" t="s">
        <v>773</v>
      </c>
      <c r="K3408" s="381">
        <v>0.0</v>
      </c>
      <c r="L3408" s="382">
        <v>1.0</v>
      </c>
    </row>
    <row r="3409">
      <c r="A3409" s="380" t="s">
        <v>4272</v>
      </c>
      <c r="B3409" s="380" t="str">
        <f>IFERROR(__xludf.DUMMYFUNCTION("""COMPUTED_VALUE"""),"Escuadra De 24"" Metalica Stanley")</f>
        <v>Escuadra De 24" Metalica Stanley</v>
      </c>
      <c r="C3409" s="380" t="str">
        <f>IFERROR(__xludf.DUMMYFUNCTION("""COMPUTED_VALUE"""),"50001028")</f>
        <v>50001028</v>
      </c>
      <c r="D3409" s="380" t="s">
        <v>767</v>
      </c>
      <c r="E3409" s="380" t="s">
        <v>781</v>
      </c>
      <c r="F3409" s="380" t="s">
        <v>782</v>
      </c>
      <c r="G3409" s="380" t="s">
        <v>1267</v>
      </c>
      <c r="H3409" s="380" t="s">
        <v>771</v>
      </c>
      <c r="I3409" s="380" t="s">
        <v>784</v>
      </c>
      <c r="J3409" s="380" t="s">
        <v>773</v>
      </c>
      <c r="K3409" s="381">
        <v>0.0</v>
      </c>
      <c r="L3409" s="382">
        <v>1.0</v>
      </c>
    </row>
    <row r="3410">
      <c r="A3410" s="380" t="s">
        <v>4273</v>
      </c>
      <c r="B3410" s="380" t="str">
        <f>IFERROR(__xludf.DUMMYFUNCTION("""COMPUTED_VALUE"""),"Escuadra De 10"" Metalica Stanley")</f>
        <v>Escuadra De 10" Metalica Stanley</v>
      </c>
      <c r="C3410" s="380" t="str">
        <f>IFERROR(__xludf.DUMMYFUNCTION("""COMPUTED_VALUE"""),"50001029")</f>
        <v>50001029</v>
      </c>
      <c r="D3410" s="380" t="s">
        <v>767</v>
      </c>
      <c r="E3410" s="380" t="s">
        <v>781</v>
      </c>
      <c r="F3410" s="380" t="s">
        <v>782</v>
      </c>
      <c r="G3410" s="380" t="s">
        <v>1267</v>
      </c>
      <c r="H3410" s="380" t="s">
        <v>771</v>
      </c>
      <c r="I3410" s="380" t="s">
        <v>784</v>
      </c>
      <c r="J3410" s="380" t="s">
        <v>773</v>
      </c>
      <c r="K3410" s="381">
        <v>0.0</v>
      </c>
      <c r="L3410" s="382">
        <v>1.0</v>
      </c>
    </row>
    <row r="3411">
      <c r="A3411" s="380" t="s">
        <v>4274</v>
      </c>
      <c r="B3411" s="380" t="str">
        <f>IFERROR(__xludf.DUMMYFUNCTION("""COMPUTED_VALUE"""),"Destornillador Pala 1/4 X 6""-8"" Tipo B")</f>
        <v>Destornillador Pala 1/4 X 6"-8" Tipo B</v>
      </c>
      <c r="C3411" s="380" t="str">
        <f>IFERROR(__xludf.DUMMYFUNCTION("""COMPUTED_VALUE"""),"50001030")</f>
        <v>50001030</v>
      </c>
      <c r="D3411" s="380" t="s">
        <v>767</v>
      </c>
      <c r="E3411" s="380" t="s">
        <v>781</v>
      </c>
      <c r="F3411" s="380" t="s">
        <v>782</v>
      </c>
      <c r="G3411" s="380" t="s">
        <v>1267</v>
      </c>
      <c r="H3411" s="380" t="s">
        <v>771</v>
      </c>
      <c r="I3411" s="380" t="s">
        <v>784</v>
      </c>
      <c r="J3411" s="380" t="s">
        <v>773</v>
      </c>
      <c r="K3411" s="381">
        <v>0.0</v>
      </c>
      <c r="L3411" s="382">
        <v>1.0</v>
      </c>
    </row>
    <row r="3412">
      <c r="A3412" s="380" t="s">
        <v>4275</v>
      </c>
      <c r="B3412" s="380" t="str">
        <f>IFERROR(__xludf.DUMMYFUNCTION("""COMPUTED_VALUE"""),"Nivel Aluminio De 24 """)</f>
        <v>Nivel Aluminio De 24 "</v>
      </c>
      <c r="C3412" s="380" t="str">
        <f>IFERROR(__xludf.DUMMYFUNCTION("""COMPUTED_VALUE"""),"50001031")</f>
        <v>50001031</v>
      </c>
      <c r="D3412" s="380" t="s">
        <v>767</v>
      </c>
      <c r="E3412" s="380" t="s">
        <v>781</v>
      </c>
      <c r="F3412" s="380" t="s">
        <v>782</v>
      </c>
      <c r="G3412" s="380" t="s">
        <v>1267</v>
      </c>
      <c r="H3412" s="380" t="s">
        <v>771</v>
      </c>
      <c r="I3412" s="380" t="s">
        <v>784</v>
      </c>
      <c r="J3412" s="380" t="s">
        <v>773</v>
      </c>
      <c r="K3412" s="381">
        <v>0.0</v>
      </c>
      <c r="L3412" s="382">
        <v>1.0</v>
      </c>
    </row>
    <row r="3413">
      <c r="A3413" s="380" t="s">
        <v>4276</v>
      </c>
      <c r="B3413" s="380" t="str">
        <f>IFERROR(__xludf.DUMMYFUNCTION("""COMPUTED_VALUE"""),"Alicate De 2 Posiciones")</f>
        <v>Alicate De 2 Posiciones</v>
      </c>
      <c r="C3413" s="380" t="str">
        <f>IFERROR(__xludf.DUMMYFUNCTION("""COMPUTED_VALUE"""),"50001032")</f>
        <v>50001032</v>
      </c>
      <c r="D3413" s="380" t="s">
        <v>767</v>
      </c>
      <c r="E3413" s="380" t="s">
        <v>781</v>
      </c>
      <c r="F3413" s="380" t="s">
        <v>782</v>
      </c>
      <c r="G3413" s="380" t="s">
        <v>1267</v>
      </c>
      <c r="H3413" s="380" t="s">
        <v>771</v>
      </c>
      <c r="I3413" s="380" t="s">
        <v>784</v>
      </c>
      <c r="J3413" s="380" t="s">
        <v>773</v>
      </c>
      <c r="K3413" s="381">
        <v>0.0</v>
      </c>
      <c r="L3413" s="382">
        <v>1.0</v>
      </c>
    </row>
    <row r="3414">
      <c r="A3414" s="380" t="s">
        <v>4277</v>
      </c>
      <c r="B3414" s="380" t="str">
        <f>IFERROR(__xludf.DUMMYFUNCTION("""COMPUTED_VALUE"""),"Llave Estrella 1/2 X 9/16 Urre")</f>
        <v>Llave Estrella 1/2 X 9/16 Urre</v>
      </c>
      <c r="C3414" s="380" t="str">
        <f>IFERROR(__xludf.DUMMYFUNCTION("""COMPUTED_VALUE"""),"50001033")</f>
        <v>50001033</v>
      </c>
      <c r="D3414" s="380" t="s">
        <v>767</v>
      </c>
      <c r="E3414" s="380" t="s">
        <v>781</v>
      </c>
      <c r="F3414" s="380" t="s">
        <v>782</v>
      </c>
      <c r="G3414" s="380" t="s">
        <v>1267</v>
      </c>
      <c r="H3414" s="380" t="s">
        <v>771</v>
      </c>
      <c r="I3414" s="380" t="s">
        <v>784</v>
      </c>
      <c r="J3414" s="380" t="s">
        <v>773</v>
      </c>
      <c r="K3414" s="381">
        <v>0.0</v>
      </c>
      <c r="L3414" s="382">
        <v>1.0</v>
      </c>
    </row>
    <row r="3415">
      <c r="A3415" s="380" t="s">
        <v>4278</v>
      </c>
      <c r="B3415" s="380" t="str">
        <f>IFERROR(__xludf.DUMMYFUNCTION("""COMPUTED_VALUE"""),"Copa Corta Cuadrante 3/4 X 7/8 Proto")</f>
        <v>Copa Corta Cuadrante 3/4 X 7/8 Proto</v>
      </c>
      <c r="C3415" s="380" t="str">
        <f>IFERROR(__xludf.DUMMYFUNCTION("""COMPUTED_VALUE"""),"50001034")</f>
        <v>50001034</v>
      </c>
      <c r="D3415" s="380" t="s">
        <v>767</v>
      </c>
      <c r="E3415" s="380" t="s">
        <v>781</v>
      </c>
      <c r="F3415" s="380" t="s">
        <v>782</v>
      </c>
      <c r="G3415" s="380" t="s">
        <v>1267</v>
      </c>
      <c r="H3415" s="380" t="s">
        <v>771</v>
      </c>
      <c r="I3415" s="380" t="s">
        <v>784</v>
      </c>
      <c r="J3415" s="380" t="s">
        <v>773</v>
      </c>
      <c r="K3415" s="381">
        <v>0.0</v>
      </c>
      <c r="L3415" s="382">
        <v>1.0</v>
      </c>
    </row>
    <row r="3416">
      <c r="A3416" s="380" t="s">
        <v>4279</v>
      </c>
      <c r="B3416" s="380" t="str">
        <f>IFERROR(__xludf.DUMMYFUNCTION("""COMPUTED_VALUE"""),"Llave Mixta 1 1/2 Tipo B")</f>
        <v>Llave Mixta 1 1/2 Tipo B</v>
      </c>
      <c r="C3416" s="380" t="str">
        <f>IFERROR(__xludf.DUMMYFUNCTION("""COMPUTED_VALUE"""),"50001035")</f>
        <v>50001035</v>
      </c>
      <c r="D3416" s="380" t="s">
        <v>767</v>
      </c>
      <c r="E3416" s="380" t="s">
        <v>781</v>
      </c>
      <c r="F3416" s="380" t="s">
        <v>782</v>
      </c>
      <c r="G3416" s="380" t="s">
        <v>1267</v>
      </c>
      <c r="H3416" s="380" t="s">
        <v>771</v>
      </c>
      <c r="I3416" s="380" t="s">
        <v>784</v>
      </c>
      <c r="J3416" s="380" t="s">
        <v>773</v>
      </c>
      <c r="K3416" s="381">
        <v>0.0</v>
      </c>
      <c r="L3416" s="382">
        <v>1.0</v>
      </c>
    </row>
    <row r="3417">
      <c r="A3417" s="380" t="s">
        <v>4280</v>
      </c>
      <c r="B3417" s="380" t="str">
        <f>IFERROR(__xludf.DUMMYFUNCTION("""COMPUTED_VALUE"""),"Alicate Sencillo Universal 8""")</f>
        <v>Alicate Sencillo Universal 8"</v>
      </c>
      <c r="C3417" s="380" t="str">
        <f>IFERROR(__xludf.DUMMYFUNCTION("""COMPUTED_VALUE"""),"50001036")</f>
        <v>50001036</v>
      </c>
      <c r="D3417" s="380" t="s">
        <v>767</v>
      </c>
      <c r="E3417" s="380" t="s">
        <v>781</v>
      </c>
      <c r="F3417" s="380" t="s">
        <v>782</v>
      </c>
      <c r="G3417" s="380" t="s">
        <v>1267</v>
      </c>
      <c r="H3417" s="380" t="s">
        <v>771</v>
      </c>
      <c r="I3417" s="380" t="s">
        <v>784</v>
      </c>
      <c r="J3417" s="380" t="s">
        <v>773</v>
      </c>
      <c r="K3417" s="381">
        <v>0.0</v>
      </c>
      <c r="L3417" s="382">
        <v>1.0</v>
      </c>
    </row>
    <row r="3418">
      <c r="A3418" s="380" t="s">
        <v>4281</v>
      </c>
      <c r="B3418" s="380" t="str">
        <f>IFERROR(__xludf.DUMMYFUNCTION("""COMPUTED_VALUE"""),"Copa Corta Cuadrante 3/4 X 1 5/8 Proto")</f>
        <v>Copa Corta Cuadrante 3/4 X 1 5/8 Proto</v>
      </c>
      <c r="C3418" s="380" t="str">
        <f>IFERROR(__xludf.DUMMYFUNCTION("""COMPUTED_VALUE"""),"50001037")</f>
        <v>50001037</v>
      </c>
      <c r="D3418" s="380" t="s">
        <v>767</v>
      </c>
      <c r="E3418" s="380" t="s">
        <v>781</v>
      </c>
      <c r="F3418" s="380" t="s">
        <v>782</v>
      </c>
      <c r="G3418" s="380" t="s">
        <v>1267</v>
      </c>
      <c r="H3418" s="380" t="s">
        <v>771</v>
      </c>
      <c r="I3418" s="380" t="s">
        <v>784</v>
      </c>
      <c r="J3418" s="380" t="s">
        <v>773</v>
      </c>
      <c r="K3418" s="381">
        <v>0.0</v>
      </c>
      <c r="L3418" s="382">
        <v>1.0</v>
      </c>
    </row>
    <row r="3419">
      <c r="A3419" s="380" t="s">
        <v>4282</v>
      </c>
      <c r="B3419" s="380" t="str">
        <f>IFERROR(__xludf.DUMMYFUNCTION("""COMPUTED_VALUE"""),"Juego Copa Cuadrante 3/8 X 6mm-19mm Tip")</f>
        <v>Juego Copa Cuadrante 3/8 X 6mm-19mm Tip</v>
      </c>
      <c r="C3419" s="380" t="str">
        <f>IFERROR(__xludf.DUMMYFUNCTION("""COMPUTED_VALUE"""),"50001038")</f>
        <v>50001038</v>
      </c>
      <c r="D3419" s="380" t="s">
        <v>767</v>
      </c>
      <c r="E3419" s="380" t="s">
        <v>781</v>
      </c>
      <c r="F3419" s="380" t="s">
        <v>782</v>
      </c>
      <c r="G3419" s="380" t="s">
        <v>1267</v>
      </c>
      <c r="H3419" s="380" t="s">
        <v>771</v>
      </c>
      <c r="I3419" s="380" t="s">
        <v>784</v>
      </c>
      <c r="J3419" s="380" t="s">
        <v>773</v>
      </c>
      <c r="K3419" s="381">
        <v>0.0</v>
      </c>
      <c r="L3419" s="382">
        <v>1.0</v>
      </c>
    </row>
    <row r="3420">
      <c r="A3420" s="380" t="s">
        <v>4283</v>
      </c>
      <c r="B3420" s="380" t="str">
        <f>IFERROR(__xludf.DUMMYFUNCTION("""COMPUTED_VALUE"""),"Martil Martillo De Caucho De 2 Lbs Proto")</f>
        <v>Martil Martillo De Caucho De 2 Lbs Proto</v>
      </c>
      <c r="C3420" s="380" t="str">
        <f>IFERROR(__xludf.DUMMYFUNCTION("""COMPUTED_VALUE"""),"50001039")</f>
        <v>50001039</v>
      </c>
      <c r="D3420" s="380" t="s">
        <v>767</v>
      </c>
      <c r="E3420" s="380" t="s">
        <v>781</v>
      </c>
      <c r="F3420" s="380" t="s">
        <v>782</v>
      </c>
      <c r="G3420" s="380" t="s">
        <v>1267</v>
      </c>
      <c r="H3420" s="380" t="s">
        <v>771</v>
      </c>
      <c r="I3420" s="380" t="s">
        <v>784</v>
      </c>
      <c r="J3420" s="380" t="s">
        <v>773</v>
      </c>
      <c r="K3420" s="381">
        <v>0.0</v>
      </c>
      <c r="L3420" s="382">
        <v>1.0</v>
      </c>
    </row>
    <row r="3421">
      <c r="A3421" s="380" t="s">
        <v>4284</v>
      </c>
      <c r="B3421" s="380" t="str">
        <f>IFERROR(__xludf.DUMMYFUNCTION("""COMPUTED_VALUE"""),"Sopladora Eléctrica 530 W")</f>
        <v>Sopladora Eléctrica 530 W</v>
      </c>
      <c r="C3421" s="380" t="str">
        <f>IFERROR(__xludf.DUMMYFUNCTION("""COMPUTED_VALUE"""),"50001040")</f>
        <v>50001040</v>
      </c>
      <c r="D3421" s="380" t="s">
        <v>767</v>
      </c>
      <c r="E3421" s="380" t="s">
        <v>781</v>
      </c>
      <c r="F3421" s="380" t="s">
        <v>782</v>
      </c>
      <c r="G3421" s="380" t="s">
        <v>1267</v>
      </c>
      <c r="H3421" s="380" t="s">
        <v>771</v>
      </c>
      <c r="I3421" s="380" t="s">
        <v>784</v>
      </c>
      <c r="J3421" s="380" t="s">
        <v>773</v>
      </c>
      <c r="K3421" s="381">
        <v>0.0</v>
      </c>
      <c r="L3421" s="382">
        <v>1.0</v>
      </c>
    </row>
    <row r="3422">
      <c r="A3422" s="380" t="s">
        <v>4285</v>
      </c>
      <c r="B3422" s="380" t="str">
        <f>IFERROR(__xludf.DUMMYFUNCTION("""COMPUTED_VALUE"""),"Destornillador Estrella 3/16 X 3"" Tipo A")</f>
        <v>Destornillador Estrella 3/16 X 3" Tipo A</v>
      </c>
      <c r="C3422" s="380" t="str">
        <f>IFERROR(__xludf.DUMMYFUNCTION("""COMPUTED_VALUE"""),"50001041")</f>
        <v>50001041</v>
      </c>
      <c r="D3422" s="380" t="s">
        <v>767</v>
      </c>
      <c r="E3422" s="380" t="s">
        <v>781</v>
      </c>
      <c r="F3422" s="380" t="s">
        <v>782</v>
      </c>
      <c r="G3422" s="380" t="s">
        <v>1267</v>
      </c>
      <c r="H3422" s="380" t="s">
        <v>771</v>
      </c>
      <c r="I3422" s="380" t="s">
        <v>784</v>
      </c>
      <c r="J3422" s="380" t="s">
        <v>773</v>
      </c>
      <c r="K3422" s="381">
        <v>0.0</v>
      </c>
      <c r="L3422" s="382">
        <v>1.0</v>
      </c>
    </row>
    <row r="3423">
      <c r="A3423" s="380" t="s">
        <v>4286</v>
      </c>
      <c r="B3423" s="380" t="str">
        <f>IFERROR(__xludf.DUMMYFUNCTION("""COMPUTED_VALUE"""),"Destornillador Estrella 1/4 X 4"" Tipo A")</f>
        <v>Destornillador Estrella 1/4 X 4" Tipo A</v>
      </c>
      <c r="C3423" s="380" t="str">
        <f>IFERROR(__xludf.DUMMYFUNCTION("""COMPUTED_VALUE"""),"50001042")</f>
        <v>50001042</v>
      </c>
      <c r="D3423" s="380" t="s">
        <v>767</v>
      </c>
      <c r="E3423" s="380" t="s">
        <v>781</v>
      </c>
      <c r="F3423" s="380" t="s">
        <v>782</v>
      </c>
      <c r="G3423" s="380" t="s">
        <v>1267</v>
      </c>
      <c r="H3423" s="380" t="s">
        <v>771</v>
      </c>
      <c r="I3423" s="380" t="s">
        <v>784</v>
      </c>
      <c r="J3423" s="380" t="s">
        <v>773</v>
      </c>
      <c r="K3423" s="381">
        <v>0.0</v>
      </c>
      <c r="L3423" s="382">
        <v>1.0</v>
      </c>
    </row>
    <row r="3424">
      <c r="A3424" s="380" t="s">
        <v>4287</v>
      </c>
      <c r="B3424" s="380" t="str">
        <f>IFERROR(__xludf.DUMMYFUNCTION("""COMPUTED_VALUE"""),"Destornillador Pala 1/4 X 4"" Tipo A")</f>
        <v>Destornillador Pala 1/4 X 4" Tipo A</v>
      </c>
      <c r="C3424" s="380" t="str">
        <f>IFERROR(__xludf.DUMMYFUNCTION("""COMPUTED_VALUE"""),"50001043")</f>
        <v>50001043</v>
      </c>
      <c r="D3424" s="380" t="s">
        <v>767</v>
      </c>
      <c r="E3424" s="380" t="s">
        <v>781</v>
      </c>
      <c r="F3424" s="380" t="s">
        <v>782</v>
      </c>
      <c r="G3424" s="380" t="s">
        <v>1267</v>
      </c>
      <c r="H3424" s="380" t="s">
        <v>771</v>
      </c>
      <c r="I3424" s="380" t="s">
        <v>784</v>
      </c>
      <c r="J3424" s="380" t="s">
        <v>773</v>
      </c>
      <c r="K3424" s="381">
        <v>0.0</v>
      </c>
      <c r="L3424" s="382">
        <v>1.0</v>
      </c>
    </row>
    <row r="3425">
      <c r="A3425" s="380" t="s">
        <v>4288</v>
      </c>
      <c r="B3425" s="380" t="str">
        <f>IFERROR(__xludf.DUMMYFUNCTION("""COMPUTED_VALUE"""),"Exten Extension Cuadrante 1/4 X 6"" Proto")</f>
        <v>Exten Extension Cuadrante 1/4 X 6" Proto</v>
      </c>
      <c r="C3425" s="380" t="str">
        <f>IFERROR(__xludf.DUMMYFUNCTION("""COMPUTED_VALUE"""),"50001044")</f>
        <v>50001044</v>
      </c>
      <c r="D3425" s="380" t="s">
        <v>767</v>
      </c>
      <c r="E3425" s="380" t="s">
        <v>781</v>
      </c>
      <c r="F3425" s="380" t="s">
        <v>782</v>
      </c>
      <c r="G3425" s="380" t="s">
        <v>1267</v>
      </c>
      <c r="H3425" s="380" t="s">
        <v>771</v>
      </c>
      <c r="I3425" s="380" t="s">
        <v>784</v>
      </c>
      <c r="J3425" s="380" t="s">
        <v>773</v>
      </c>
      <c r="K3425" s="381">
        <v>0.0</v>
      </c>
      <c r="L3425" s="382">
        <v>1.0</v>
      </c>
    </row>
    <row r="3426">
      <c r="A3426" s="380" t="s">
        <v>4289</v>
      </c>
      <c r="B3426" s="380" t="str">
        <f>IFERROR(__xludf.DUMMYFUNCTION("""COMPUTED_VALUE"""),"Linterna Recargable # 2611")</f>
        <v>Linterna Recargable # 2611</v>
      </c>
      <c r="C3426" s="380" t="str">
        <f>IFERROR(__xludf.DUMMYFUNCTION("""COMPUTED_VALUE"""),"50001045")</f>
        <v>50001045</v>
      </c>
      <c r="D3426" s="380" t="s">
        <v>767</v>
      </c>
      <c r="E3426" s="380" t="s">
        <v>781</v>
      </c>
      <c r="F3426" s="380" t="s">
        <v>782</v>
      </c>
      <c r="G3426" s="380" t="s">
        <v>1267</v>
      </c>
      <c r="H3426" s="380" t="s">
        <v>771</v>
      </c>
      <c r="I3426" s="380" t="s">
        <v>784</v>
      </c>
      <c r="J3426" s="380" t="s">
        <v>773</v>
      </c>
      <c r="K3426" s="381">
        <v>0.0</v>
      </c>
      <c r="L3426" s="382">
        <v>1.0</v>
      </c>
    </row>
    <row r="3427">
      <c r="A3427" s="380" t="s">
        <v>4290</v>
      </c>
      <c r="B3427" s="380" t="str">
        <f>IFERROR(__xludf.DUMMYFUNCTION("""COMPUTED_VALUE"""),"Llave Mixta 19mm Tipo B")</f>
        <v>Llave Mixta 19mm Tipo B</v>
      </c>
      <c r="C3427" s="380" t="str">
        <f>IFERROR(__xludf.DUMMYFUNCTION("""COMPUTED_VALUE"""),"50001046")</f>
        <v>50001046</v>
      </c>
      <c r="D3427" s="380" t="s">
        <v>767</v>
      </c>
      <c r="E3427" s="380" t="s">
        <v>781</v>
      </c>
      <c r="F3427" s="380" t="s">
        <v>782</v>
      </c>
      <c r="G3427" s="380" t="s">
        <v>1267</v>
      </c>
      <c r="H3427" s="380" t="s">
        <v>771</v>
      </c>
      <c r="I3427" s="380" t="s">
        <v>784</v>
      </c>
      <c r="J3427" s="380" t="s">
        <v>773</v>
      </c>
      <c r="K3427" s="381">
        <v>0.0</v>
      </c>
      <c r="L3427" s="382">
        <v>1.0</v>
      </c>
    </row>
    <row r="3428">
      <c r="A3428" s="380" t="s">
        <v>4291</v>
      </c>
      <c r="B3428" s="380" t="str">
        <f>IFERROR(__xludf.DUMMYFUNCTION("""COMPUTED_VALUE"""),"Copa Impacto Cuad 3/4 1 5 Snapon S-Im522")</f>
        <v>Copa Impacto Cuad 3/4 1 5 Snapon S-Im522</v>
      </c>
      <c r="C3428" s="380" t="str">
        <f>IFERROR(__xludf.DUMMYFUNCTION("""COMPUTED_VALUE"""),"50001047")</f>
        <v>50001047</v>
      </c>
      <c r="D3428" s="380" t="s">
        <v>767</v>
      </c>
      <c r="E3428" s="380" t="s">
        <v>781</v>
      </c>
      <c r="F3428" s="380" t="s">
        <v>782</v>
      </c>
      <c r="G3428" s="380" t="s">
        <v>1267</v>
      </c>
      <c r="H3428" s="380" t="s">
        <v>771</v>
      </c>
      <c r="I3428" s="380" t="s">
        <v>784</v>
      </c>
      <c r="J3428" s="380" t="s">
        <v>773</v>
      </c>
      <c r="K3428" s="381">
        <v>0.0</v>
      </c>
      <c r="L3428" s="382">
        <v>1.0</v>
      </c>
    </row>
    <row r="3429">
      <c r="A3429" s="380" t="s">
        <v>4292</v>
      </c>
      <c r="B3429" s="380" t="str">
        <f>IFERROR(__xludf.DUMMYFUNCTION("""COMPUTED_VALUE"""),"Llave Seguro Puerta Contenedor")</f>
        <v>Llave Seguro Puerta Contenedor</v>
      </c>
      <c r="C3429" s="380" t="str">
        <f>IFERROR(__xludf.DUMMYFUNCTION("""COMPUTED_VALUE"""),"50001048")</f>
        <v>50001048</v>
      </c>
      <c r="D3429" s="380" t="s">
        <v>767</v>
      </c>
      <c r="E3429" s="380" t="s">
        <v>781</v>
      </c>
      <c r="F3429" s="380" t="s">
        <v>782</v>
      </c>
      <c r="G3429" s="380" t="s">
        <v>1267</v>
      </c>
      <c r="H3429" s="380" t="s">
        <v>771</v>
      </c>
      <c r="I3429" s="380" t="s">
        <v>784</v>
      </c>
      <c r="J3429" s="380" t="s">
        <v>773</v>
      </c>
      <c r="K3429" s="381">
        <v>65450.0</v>
      </c>
      <c r="L3429" s="382">
        <v>1.0</v>
      </c>
    </row>
    <row r="3430">
      <c r="A3430" s="380" t="s">
        <v>4293</v>
      </c>
      <c r="B3430" s="380" t="str">
        <f>IFERROR(__xludf.DUMMYFUNCTION("""COMPUTED_VALUE"""),"Llave Filtro Cadena 23"" Blue Point")</f>
        <v>Llave Filtro Cadena 23" Blue Point</v>
      </c>
      <c r="C3430" s="380" t="str">
        <f>IFERROR(__xludf.DUMMYFUNCTION("""COMPUTED_VALUE"""),"50001049")</f>
        <v>50001049</v>
      </c>
      <c r="D3430" s="380" t="s">
        <v>767</v>
      </c>
      <c r="E3430" s="380" t="s">
        <v>781</v>
      </c>
      <c r="F3430" s="380" t="s">
        <v>782</v>
      </c>
      <c r="G3430" s="380" t="s">
        <v>1267</v>
      </c>
      <c r="H3430" s="380" t="s">
        <v>771</v>
      </c>
      <c r="I3430" s="380" t="s">
        <v>784</v>
      </c>
      <c r="J3430" s="380" t="s">
        <v>773</v>
      </c>
      <c r="K3430" s="381">
        <v>0.0</v>
      </c>
      <c r="L3430" s="382">
        <v>1.0</v>
      </c>
    </row>
    <row r="3431">
      <c r="A3431" s="380" t="s">
        <v>4294</v>
      </c>
      <c r="B3431" s="380" t="str">
        <f>IFERROR(__xludf.DUMMYFUNCTION("""COMPUTED_VALUE"""),"Unidad De Mtto Engrsa Equipetrol Mato-14")</f>
        <v>Unidad De Mtto Engrsa Equipetrol Mato-14</v>
      </c>
      <c r="C3431" s="380" t="str">
        <f>IFERROR(__xludf.DUMMYFUNCTION("""COMPUTED_VALUE"""),"50001050")</f>
        <v>50001050</v>
      </c>
      <c r="D3431" s="380" t="s">
        <v>767</v>
      </c>
      <c r="E3431" s="380" t="s">
        <v>781</v>
      </c>
      <c r="F3431" s="380" t="s">
        <v>782</v>
      </c>
      <c r="G3431" s="380" t="s">
        <v>1267</v>
      </c>
      <c r="H3431" s="380" t="s">
        <v>771</v>
      </c>
      <c r="I3431" s="380" t="s">
        <v>784</v>
      </c>
      <c r="J3431" s="380" t="s">
        <v>773</v>
      </c>
      <c r="K3431" s="381">
        <v>0.0</v>
      </c>
      <c r="L3431" s="382">
        <v>1.0</v>
      </c>
    </row>
    <row r="3432">
      <c r="A3432" s="380" t="s">
        <v>4295</v>
      </c>
      <c r="B3432" s="380" t="str">
        <f>IFERROR(__xludf.DUMMYFUNCTION("""COMPUTED_VALUE"""),"Juego Copa Cuad 3/8 T40-55 Tor T33240")</f>
        <v>Juego Copa Cuad 3/8 T40-55 Tor T33240</v>
      </c>
      <c r="C3432" s="380" t="str">
        <f>IFERROR(__xludf.DUMMYFUNCTION("""COMPUTED_VALUE"""),"50001051")</f>
        <v>50001051</v>
      </c>
      <c r="D3432" s="380" t="s">
        <v>767</v>
      </c>
      <c r="E3432" s="380" t="s">
        <v>781</v>
      </c>
      <c r="F3432" s="380" t="s">
        <v>782</v>
      </c>
      <c r="G3432" s="380" t="s">
        <v>1267</v>
      </c>
      <c r="H3432" s="380" t="s">
        <v>771</v>
      </c>
      <c r="I3432" s="380" t="s">
        <v>784</v>
      </c>
      <c r="J3432" s="380" t="s">
        <v>773</v>
      </c>
      <c r="K3432" s="381">
        <v>0.0</v>
      </c>
      <c r="L3432" s="382">
        <v>1.0</v>
      </c>
    </row>
    <row r="3433">
      <c r="A3433" s="380" t="s">
        <v>4296</v>
      </c>
      <c r="B3433" s="380" t="str">
        <f>IFERROR(__xludf.DUMMYFUNCTION("""COMPUTED_VALUE"""),"Kit Reparacion Rache De 1/ Proto P5449rk")</f>
        <v>Kit Reparacion Rache De 1/ Proto P5449rk</v>
      </c>
      <c r="C3433" s="380" t="str">
        <f>IFERROR(__xludf.DUMMYFUNCTION("""COMPUTED_VALUE"""),"50001052")</f>
        <v>50001052</v>
      </c>
      <c r="D3433" s="380" t="s">
        <v>767</v>
      </c>
      <c r="E3433" s="380" t="s">
        <v>781</v>
      </c>
      <c r="F3433" s="380" t="s">
        <v>782</v>
      </c>
      <c r="G3433" s="380" t="s">
        <v>1267</v>
      </c>
      <c r="H3433" s="380" t="s">
        <v>771</v>
      </c>
      <c r="I3433" s="380" t="s">
        <v>784</v>
      </c>
      <c r="J3433" s="380" t="s">
        <v>773</v>
      </c>
      <c r="K3433" s="381">
        <v>0.0</v>
      </c>
      <c r="L3433" s="382">
        <v>1.0</v>
      </c>
    </row>
    <row r="3434">
      <c r="A3434" s="380" t="s">
        <v>4297</v>
      </c>
      <c r="B3434" s="380" t="str">
        <f>IFERROR(__xludf.DUMMYFUNCTION("""COMPUTED_VALUE"""),"Aerografo Abanico")</f>
        <v>Aerografo Abanico</v>
      </c>
      <c r="C3434" s="380" t="str">
        <f>IFERROR(__xludf.DUMMYFUNCTION("""COMPUTED_VALUE"""),"50001053")</f>
        <v>50001053</v>
      </c>
      <c r="D3434" s="380" t="s">
        <v>767</v>
      </c>
      <c r="E3434" s="380" t="s">
        <v>781</v>
      </c>
      <c r="F3434" s="380" t="s">
        <v>782</v>
      </c>
      <c r="G3434" s="380" t="s">
        <v>1267</v>
      </c>
      <c r="H3434" s="380" t="s">
        <v>771</v>
      </c>
      <c r="I3434" s="380" t="s">
        <v>784</v>
      </c>
      <c r="J3434" s="380" t="s">
        <v>773</v>
      </c>
      <c r="K3434" s="381">
        <v>0.0</v>
      </c>
      <c r="L3434" s="382">
        <v>1.0</v>
      </c>
    </row>
    <row r="3435">
      <c r="A3435" s="380" t="s">
        <v>4298</v>
      </c>
      <c r="B3435" s="380" t="str">
        <f>IFERROR(__xludf.DUMMYFUNCTION("""COMPUTED_VALUE"""),"Juego De Limas 8"" Nicholson")</f>
        <v>Juego De Limas 8" Nicholson</v>
      </c>
      <c r="C3435" s="380" t="str">
        <f>IFERROR(__xludf.DUMMYFUNCTION("""COMPUTED_VALUE"""),"50001054")</f>
        <v>50001054</v>
      </c>
      <c r="D3435" s="380" t="s">
        <v>767</v>
      </c>
      <c r="E3435" s="380" t="s">
        <v>781</v>
      </c>
      <c r="F3435" s="380" t="s">
        <v>782</v>
      </c>
      <c r="G3435" s="380" t="s">
        <v>1267</v>
      </c>
      <c r="H3435" s="380" t="s">
        <v>771</v>
      </c>
      <c r="I3435" s="380" t="s">
        <v>784</v>
      </c>
      <c r="J3435" s="380" t="s">
        <v>773</v>
      </c>
      <c r="K3435" s="381">
        <v>0.0</v>
      </c>
      <c r="L3435" s="382">
        <v>1.0</v>
      </c>
    </row>
    <row r="3436">
      <c r="A3436" s="380" t="s">
        <v>4299</v>
      </c>
      <c r="B3436" s="380" t="str">
        <f>IFERROR(__xludf.DUMMYFUNCTION("""COMPUTED_VALUE"""),"Juego Llave Mixta 10mm-1 Proto 10mma19mm")</f>
        <v>Juego Llave Mixta 10mm-1 Proto 10mma19mm</v>
      </c>
      <c r="C3436" s="380" t="str">
        <f>IFERROR(__xludf.DUMMYFUNCTION("""COMPUTED_VALUE"""),"50001055")</f>
        <v>50001055</v>
      </c>
      <c r="D3436" s="380" t="s">
        <v>767</v>
      </c>
      <c r="E3436" s="380" t="s">
        <v>781</v>
      </c>
      <c r="F3436" s="380" t="s">
        <v>782</v>
      </c>
      <c r="G3436" s="380" t="s">
        <v>1267</v>
      </c>
      <c r="H3436" s="380" t="s">
        <v>771</v>
      </c>
      <c r="I3436" s="380" t="s">
        <v>784</v>
      </c>
      <c r="J3436" s="380" t="s">
        <v>773</v>
      </c>
      <c r="K3436" s="381">
        <v>0.0</v>
      </c>
      <c r="L3436" s="382">
        <v>1.0</v>
      </c>
    </row>
    <row r="3437">
      <c r="A3437" s="380" t="s">
        <v>4300</v>
      </c>
      <c r="B3437" s="380" t="str">
        <f>IFERROR(__xludf.DUMMYFUNCTION("""COMPUTED_VALUE"""),"Copa Cuadrante 1/2 X 11/16 Tipo B")</f>
        <v>Copa Cuadrante 1/2 X 11/16 Tipo B</v>
      </c>
      <c r="C3437" s="380" t="str">
        <f>IFERROR(__xludf.DUMMYFUNCTION("""COMPUTED_VALUE"""),"50001056")</f>
        <v>50001056</v>
      </c>
      <c r="D3437" s="380" t="s">
        <v>767</v>
      </c>
      <c r="E3437" s="380" t="s">
        <v>781</v>
      </c>
      <c r="F3437" s="380" t="s">
        <v>782</v>
      </c>
      <c r="G3437" s="380" t="s">
        <v>1267</v>
      </c>
      <c r="H3437" s="380" t="s">
        <v>771</v>
      </c>
      <c r="I3437" s="380" t="s">
        <v>784</v>
      </c>
      <c r="J3437" s="380" t="s">
        <v>773</v>
      </c>
      <c r="K3437" s="381">
        <v>0.0</v>
      </c>
      <c r="L3437" s="382">
        <v>1.0</v>
      </c>
    </row>
    <row r="3438">
      <c r="A3438" s="380" t="s">
        <v>4301</v>
      </c>
      <c r="B3438" s="380" t="str">
        <f>IFERROR(__xludf.DUMMYFUNCTION("""COMPUTED_VALUE"""),"Escob Escobilla Pulidora Dewalt 40523328")</f>
        <v>Escob Escobilla Pulidora Dewalt 40523328</v>
      </c>
      <c r="C3438" s="380" t="str">
        <f>IFERROR(__xludf.DUMMYFUNCTION("""COMPUTED_VALUE"""),"50001057")</f>
        <v>50001057</v>
      </c>
      <c r="D3438" s="380" t="s">
        <v>767</v>
      </c>
      <c r="E3438" s="380" t="s">
        <v>781</v>
      </c>
      <c r="F3438" s="380" t="s">
        <v>782</v>
      </c>
      <c r="G3438" s="380" t="s">
        <v>1267</v>
      </c>
      <c r="H3438" s="380" t="s">
        <v>771</v>
      </c>
      <c r="I3438" s="380" t="s">
        <v>784</v>
      </c>
      <c r="J3438" s="380" t="s">
        <v>773</v>
      </c>
      <c r="K3438" s="381">
        <v>0.0</v>
      </c>
      <c r="L3438" s="382">
        <v>1.0</v>
      </c>
    </row>
    <row r="3439">
      <c r="A3439" s="380" t="s">
        <v>4302</v>
      </c>
      <c r="B3439" s="380" t="str">
        <f>IFERROR(__xludf.DUMMYFUNCTION("""COMPUTED_VALUE"""),"Porta Power Varios 3163581")</f>
        <v>Porta Power Varios 3163581</v>
      </c>
      <c r="C3439" s="380" t="str">
        <f>IFERROR(__xludf.DUMMYFUNCTION("""COMPUTED_VALUE"""),"50001058")</f>
        <v>50001058</v>
      </c>
      <c r="D3439" s="380" t="s">
        <v>767</v>
      </c>
      <c r="E3439" s="380" t="s">
        <v>781</v>
      </c>
      <c r="F3439" s="380" t="s">
        <v>782</v>
      </c>
      <c r="G3439" s="380" t="s">
        <v>1267</v>
      </c>
      <c r="H3439" s="380" t="s">
        <v>771</v>
      </c>
      <c r="I3439" s="380" t="s">
        <v>784</v>
      </c>
      <c r="J3439" s="380" t="s">
        <v>773</v>
      </c>
      <c r="K3439" s="381">
        <v>0.0</v>
      </c>
      <c r="L3439" s="382">
        <v>1.0</v>
      </c>
    </row>
    <row r="3440">
      <c r="A3440" s="380" t="s">
        <v>4303</v>
      </c>
      <c r="B3440" s="380" t="str">
        <f>IFERROR(__xludf.DUMMYFUNCTION("""COMPUTED_VALUE"""),"Copa Impacto Cuadrante 3/4 X 1 1/16 Snap")</f>
        <v>Copa Impacto Cuadrante 3/4 X 1 1/16 Snap</v>
      </c>
      <c r="C3440" s="380" t="str">
        <f>IFERROR(__xludf.DUMMYFUNCTION("""COMPUTED_VALUE"""),"50001059")</f>
        <v>50001059</v>
      </c>
      <c r="D3440" s="380" t="s">
        <v>767</v>
      </c>
      <c r="E3440" s="380" t="s">
        <v>781</v>
      </c>
      <c r="F3440" s="380" t="s">
        <v>782</v>
      </c>
      <c r="G3440" s="380" t="s">
        <v>1267</v>
      </c>
      <c r="H3440" s="380" t="s">
        <v>771</v>
      </c>
      <c r="I3440" s="380" t="s">
        <v>784</v>
      </c>
      <c r="J3440" s="380" t="s">
        <v>773</v>
      </c>
      <c r="K3440" s="381">
        <v>0.0</v>
      </c>
      <c r="L3440" s="382">
        <v>1.0</v>
      </c>
    </row>
    <row r="3441">
      <c r="A3441" s="380" t="s">
        <v>4304</v>
      </c>
      <c r="B3441" s="380" t="str">
        <f>IFERROR(__xludf.DUMMYFUNCTION("""COMPUTED_VALUE"""),"Llave Mixta 16mm Tipo B")</f>
        <v>Llave Mixta 16mm Tipo B</v>
      </c>
      <c r="C3441" s="380" t="str">
        <f>IFERROR(__xludf.DUMMYFUNCTION("""COMPUTED_VALUE"""),"50001060")</f>
        <v>50001060</v>
      </c>
      <c r="D3441" s="380" t="s">
        <v>767</v>
      </c>
      <c r="E3441" s="380" t="s">
        <v>781</v>
      </c>
      <c r="F3441" s="380" t="s">
        <v>782</v>
      </c>
      <c r="G3441" s="380" t="s">
        <v>1267</v>
      </c>
      <c r="H3441" s="380" t="s">
        <v>771</v>
      </c>
      <c r="I3441" s="380" t="s">
        <v>784</v>
      </c>
      <c r="J3441" s="380" t="s">
        <v>773</v>
      </c>
      <c r="K3441" s="381">
        <v>0.0</v>
      </c>
      <c r="L3441" s="382">
        <v>1.0</v>
      </c>
    </row>
    <row r="3442">
      <c r="A3442" s="380" t="s">
        <v>4305</v>
      </c>
      <c r="B3442" s="380" t="str">
        <f>IFERROR(__xludf.DUMMYFUNCTION("""COMPUTED_VALUE"""),"Engrasad Neumat Port Equipetrol Greas-03")</f>
        <v>Engrasad Neumat Port Equipetrol Greas-03</v>
      </c>
      <c r="C3442" s="380" t="str">
        <f>IFERROR(__xludf.DUMMYFUNCTION("""COMPUTED_VALUE"""),"50001061")</f>
        <v>50001061</v>
      </c>
      <c r="D3442" s="380" t="s">
        <v>767</v>
      </c>
      <c r="E3442" s="380" t="s">
        <v>781</v>
      </c>
      <c r="F3442" s="380" t="s">
        <v>782</v>
      </c>
      <c r="G3442" s="380" t="s">
        <v>1267</v>
      </c>
      <c r="H3442" s="380" t="s">
        <v>771</v>
      </c>
      <c r="I3442" s="380" t="s">
        <v>784</v>
      </c>
      <c r="J3442" s="380" t="s">
        <v>773</v>
      </c>
      <c r="K3442" s="381">
        <v>0.0</v>
      </c>
      <c r="L3442" s="382">
        <v>1.0</v>
      </c>
    </row>
    <row r="3443">
      <c r="A3443" s="380" t="s">
        <v>4306</v>
      </c>
      <c r="B3443" s="380" t="str">
        <f>IFERROR(__xludf.DUMMYFUNCTION("""COMPUTED_VALUE"""),"Destor Impacto Cdte 3/8 X 7uds Tx1140")</f>
        <v>Destor Impacto Cdte 3/8 X 7uds Tx1140</v>
      </c>
      <c r="C3443" s="380" t="str">
        <f>IFERROR(__xludf.DUMMYFUNCTION("""COMPUTED_VALUE"""),"50001062")</f>
        <v>50001062</v>
      </c>
      <c r="D3443" s="380" t="s">
        <v>767</v>
      </c>
      <c r="E3443" s="380" t="s">
        <v>781</v>
      </c>
      <c r="F3443" s="380" t="s">
        <v>782</v>
      </c>
      <c r="G3443" s="380" t="s">
        <v>1267</v>
      </c>
      <c r="H3443" s="380" t="s">
        <v>771</v>
      </c>
      <c r="I3443" s="380" t="s">
        <v>784</v>
      </c>
      <c r="J3443" s="380" t="s">
        <v>773</v>
      </c>
      <c r="K3443" s="381">
        <v>0.0</v>
      </c>
      <c r="L3443" s="382">
        <v>1.0</v>
      </c>
    </row>
    <row r="3444">
      <c r="A3444" s="380" t="s">
        <v>4307</v>
      </c>
      <c r="B3444" s="380" t="str">
        <f>IFERROR(__xludf.DUMMYFUNCTION("""COMPUTED_VALUE"""),"Vara Medicion Tanque Acpm 3.5 Rv59")</f>
        <v>Vara Medicion Tanque Acpm 3.5 Rv59</v>
      </c>
      <c r="C3444" s="380" t="str">
        <f>IFERROR(__xludf.DUMMYFUNCTION("""COMPUTED_VALUE"""),"50001063")</f>
        <v>50001063</v>
      </c>
      <c r="D3444" s="380" t="s">
        <v>767</v>
      </c>
      <c r="E3444" s="380" t="s">
        <v>781</v>
      </c>
      <c r="F3444" s="380" t="s">
        <v>782</v>
      </c>
      <c r="G3444" s="380" t="s">
        <v>1267</v>
      </c>
      <c r="H3444" s="380" t="s">
        <v>771</v>
      </c>
      <c r="I3444" s="380" t="s">
        <v>784</v>
      </c>
      <c r="J3444" s="380" t="s">
        <v>773</v>
      </c>
      <c r="K3444" s="381">
        <v>0.0</v>
      </c>
      <c r="L3444" s="382">
        <v>1.0</v>
      </c>
    </row>
    <row r="3445">
      <c r="A3445" s="380" t="s">
        <v>4308</v>
      </c>
      <c r="B3445" s="380" t="str">
        <f>IFERROR(__xludf.DUMMYFUNCTION("""COMPUTED_VALUE"""),"Alicate Presion Visegrip")</f>
        <v>Alicate Presion Visegrip</v>
      </c>
      <c r="C3445" s="380" t="str">
        <f>IFERROR(__xludf.DUMMYFUNCTION("""COMPUTED_VALUE"""),"50001064")</f>
        <v>50001064</v>
      </c>
      <c r="D3445" s="380" t="s">
        <v>767</v>
      </c>
      <c r="E3445" s="380" t="s">
        <v>781</v>
      </c>
      <c r="F3445" s="380" t="s">
        <v>782</v>
      </c>
      <c r="G3445" s="380" t="s">
        <v>1267</v>
      </c>
      <c r="H3445" s="380" t="s">
        <v>771</v>
      </c>
      <c r="I3445" s="380" t="s">
        <v>784</v>
      </c>
      <c r="J3445" s="380" t="s">
        <v>773</v>
      </c>
      <c r="K3445" s="381">
        <v>0.0</v>
      </c>
      <c r="L3445" s="382">
        <v>1.0</v>
      </c>
    </row>
    <row r="3446">
      <c r="A3446" s="380" t="s">
        <v>4309</v>
      </c>
      <c r="B3446" s="380" t="str">
        <f>IFERROR(__xludf.DUMMYFUNCTION("""COMPUTED_VALUE"""),"Copa Impacto Cuad 1"" X Snapon S-Simm333")</f>
        <v>Copa Impacto Cuad 1" X Snapon S-Simm333</v>
      </c>
      <c r="C3446" s="380" t="str">
        <f>IFERROR(__xludf.DUMMYFUNCTION("""COMPUTED_VALUE"""),"50001065")</f>
        <v>50001065</v>
      </c>
      <c r="D3446" s="380" t="s">
        <v>767</v>
      </c>
      <c r="E3446" s="380" t="s">
        <v>781</v>
      </c>
      <c r="F3446" s="380" t="s">
        <v>782</v>
      </c>
      <c r="G3446" s="380" t="s">
        <v>1267</v>
      </c>
      <c r="H3446" s="380" t="s">
        <v>771</v>
      </c>
      <c r="I3446" s="380" t="s">
        <v>784</v>
      </c>
      <c r="J3446" s="380" t="s">
        <v>773</v>
      </c>
      <c r="K3446" s="381">
        <v>0.0</v>
      </c>
      <c r="L3446" s="382">
        <v>1.0</v>
      </c>
    </row>
    <row r="3447">
      <c r="A3447" s="380" t="s">
        <v>4310</v>
      </c>
      <c r="B3447" s="380" t="str">
        <f>IFERROR(__xludf.DUMMYFUNCTION("""COMPUTED_VALUE"""),"Extension Impac Cuad 3/4 X 10"" Sim92a")</f>
        <v>Extension Impac Cuad 3/4 X 10" Sim92a</v>
      </c>
      <c r="C3447" s="380" t="str">
        <f>IFERROR(__xludf.DUMMYFUNCTION("""COMPUTED_VALUE"""),"50001066")</f>
        <v>50001066</v>
      </c>
      <c r="D3447" s="380" t="s">
        <v>767</v>
      </c>
      <c r="E3447" s="380" t="s">
        <v>781</v>
      </c>
      <c r="F3447" s="380" t="s">
        <v>782</v>
      </c>
      <c r="G3447" s="380" t="s">
        <v>1267</v>
      </c>
      <c r="H3447" s="380" t="s">
        <v>771</v>
      </c>
      <c r="I3447" s="380" t="s">
        <v>784</v>
      </c>
      <c r="J3447" s="380" t="s">
        <v>773</v>
      </c>
      <c r="K3447" s="381">
        <v>0.0</v>
      </c>
      <c r="L3447" s="382">
        <v>1.0</v>
      </c>
    </row>
    <row r="3448">
      <c r="A3448" s="380" t="s">
        <v>4311</v>
      </c>
      <c r="B3448" s="380" t="str">
        <f>IFERROR(__xludf.DUMMYFUNCTION("""COMPUTED_VALUE"""),"Juego De Machos R.F. 3/4")</f>
        <v>Juego De Machos R.F. 3/4</v>
      </c>
      <c r="C3448" s="380" t="str">
        <f>IFERROR(__xludf.DUMMYFUNCTION("""COMPUTED_VALUE"""),"50001067")</f>
        <v>50001067</v>
      </c>
      <c r="D3448" s="380" t="s">
        <v>767</v>
      </c>
      <c r="E3448" s="380" t="s">
        <v>781</v>
      </c>
      <c r="F3448" s="380" t="s">
        <v>782</v>
      </c>
      <c r="G3448" s="380" t="s">
        <v>1267</v>
      </c>
      <c r="H3448" s="380" t="s">
        <v>771</v>
      </c>
      <c r="I3448" s="380" t="s">
        <v>784</v>
      </c>
      <c r="J3448" s="380" t="s">
        <v>773</v>
      </c>
      <c r="K3448" s="381">
        <v>0.0</v>
      </c>
      <c r="L3448" s="382">
        <v>1.0</v>
      </c>
    </row>
    <row r="3449">
      <c r="A3449" s="380" t="s">
        <v>4312</v>
      </c>
      <c r="B3449" s="380" t="str">
        <f>IFERROR(__xludf.DUMMYFUNCTION("""COMPUTED_VALUE"""),"Broca Con Reduccion 11/16")</f>
        <v>Broca Con Reduccion 11/16</v>
      </c>
      <c r="C3449" s="380" t="str">
        <f>IFERROR(__xludf.DUMMYFUNCTION("""COMPUTED_VALUE"""),"50001068")</f>
        <v>50001068</v>
      </c>
      <c r="D3449" s="380" t="s">
        <v>767</v>
      </c>
      <c r="E3449" s="380" t="s">
        <v>781</v>
      </c>
      <c r="F3449" s="380" t="s">
        <v>782</v>
      </c>
      <c r="G3449" s="380" t="s">
        <v>1267</v>
      </c>
      <c r="H3449" s="380" t="s">
        <v>771</v>
      </c>
      <c r="I3449" s="380" t="s">
        <v>784</v>
      </c>
      <c r="J3449" s="380" t="s">
        <v>773</v>
      </c>
      <c r="K3449" s="381">
        <v>0.0</v>
      </c>
      <c r="L3449" s="382">
        <v>1.0</v>
      </c>
    </row>
    <row r="3450">
      <c r="A3450" s="380" t="s">
        <v>4313</v>
      </c>
      <c r="B3450" s="380" t="str">
        <f>IFERROR(__xludf.DUMMYFUNCTION("""COMPUTED_VALUE"""),"Pistola Para Lavado Hqp0012")</f>
        <v>Pistola Para Lavado Hqp0012</v>
      </c>
      <c r="C3450" s="380" t="str">
        <f>IFERROR(__xludf.DUMMYFUNCTION("""COMPUTED_VALUE"""),"50001069")</f>
        <v>50001069</v>
      </c>
      <c r="D3450" s="380" t="s">
        <v>767</v>
      </c>
      <c r="E3450" s="380" t="s">
        <v>781</v>
      </c>
      <c r="F3450" s="380" t="s">
        <v>782</v>
      </c>
      <c r="G3450" s="380" t="s">
        <v>1267</v>
      </c>
      <c r="H3450" s="380" t="s">
        <v>771</v>
      </c>
      <c r="I3450" s="380" t="s">
        <v>784</v>
      </c>
      <c r="J3450" s="380" t="s">
        <v>773</v>
      </c>
      <c r="K3450" s="381">
        <v>0.0</v>
      </c>
      <c r="L3450" s="382">
        <v>1.0</v>
      </c>
    </row>
    <row r="3451">
      <c r="A3451" s="380" t="s">
        <v>4314</v>
      </c>
      <c r="B3451" s="380" t="str">
        <f>IFERROR(__xludf.DUMMYFUNCTION("""COMPUTED_VALUE"""),"Copa Cuadrante 3/8 X 3/8 Proto")</f>
        <v>Copa Cuadrante 3/8 X 3/8 Proto</v>
      </c>
      <c r="C3451" s="380" t="str">
        <f>IFERROR(__xludf.DUMMYFUNCTION("""COMPUTED_VALUE"""),"50001070")</f>
        <v>50001070</v>
      </c>
      <c r="D3451" s="380" t="s">
        <v>767</v>
      </c>
      <c r="E3451" s="380" t="s">
        <v>781</v>
      </c>
      <c r="F3451" s="380" t="s">
        <v>782</v>
      </c>
      <c r="G3451" s="380" t="s">
        <v>1267</v>
      </c>
      <c r="H3451" s="380" t="s">
        <v>771</v>
      </c>
      <c r="I3451" s="380" t="s">
        <v>784</v>
      </c>
      <c r="J3451" s="380" t="s">
        <v>773</v>
      </c>
      <c r="K3451" s="381">
        <v>0.0</v>
      </c>
      <c r="L3451" s="382">
        <v>1.0</v>
      </c>
    </row>
    <row r="3452">
      <c r="A3452" s="380" t="s">
        <v>4315</v>
      </c>
      <c r="B3452" s="380" t="str">
        <f>IFERROR(__xludf.DUMMYFUNCTION("""COMPUTED_VALUE"""),"Copa Cuadrante 3/8 X 7/16 Proto Snapon")</f>
        <v>Copa Cuadrante 3/8 X 7/16 Proto Snapon</v>
      </c>
      <c r="C3452" s="380" t="str">
        <f>IFERROR(__xludf.DUMMYFUNCTION("""COMPUTED_VALUE"""),"50001071")</f>
        <v>50001071</v>
      </c>
      <c r="D3452" s="380" t="s">
        <v>767</v>
      </c>
      <c r="E3452" s="380" t="s">
        <v>781</v>
      </c>
      <c r="F3452" s="380" t="s">
        <v>782</v>
      </c>
      <c r="G3452" s="380" t="s">
        <v>1267</v>
      </c>
      <c r="H3452" s="380" t="s">
        <v>771</v>
      </c>
      <c r="I3452" s="380" t="s">
        <v>784</v>
      </c>
      <c r="J3452" s="380" t="s">
        <v>773</v>
      </c>
      <c r="K3452" s="381">
        <v>0.0</v>
      </c>
      <c r="L3452" s="382">
        <v>1.0</v>
      </c>
    </row>
    <row r="3453">
      <c r="A3453" s="380" t="s">
        <v>4316</v>
      </c>
      <c r="B3453" s="380" t="str">
        <f>IFERROR(__xludf.DUMMYFUNCTION("""COMPUTED_VALUE"""),"Copa Cuadrante 3/8 X 8mm Proto")</f>
        <v>Copa Cuadrante 3/8 X 8mm Proto</v>
      </c>
      <c r="C3453" s="380" t="str">
        <f>IFERROR(__xludf.DUMMYFUNCTION("""COMPUTED_VALUE"""),"50001072")</f>
        <v>50001072</v>
      </c>
      <c r="D3453" s="380" t="s">
        <v>767</v>
      </c>
      <c r="E3453" s="380" t="s">
        <v>781</v>
      </c>
      <c r="F3453" s="380" t="s">
        <v>782</v>
      </c>
      <c r="G3453" s="380" t="s">
        <v>1267</v>
      </c>
      <c r="H3453" s="380" t="s">
        <v>771</v>
      </c>
      <c r="I3453" s="380" t="s">
        <v>784</v>
      </c>
      <c r="J3453" s="380" t="s">
        <v>773</v>
      </c>
      <c r="K3453" s="381">
        <v>0.0</v>
      </c>
      <c r="L3453" s="382">
        <v>1.0</v>
      </c>
    </row>
    <row r="3454">
      <c r="A3454" s="380" t="s">
        <v>4317</v>
      </c>
      <c r="B3454" s="380" t="str">
        <f>IFERROR(__xludf.DUMMYFUNCTION("""COMPUTED_VALUE"""),"Llave Mixta 5/16 1210 Proto")</f>
        <v>Llave Mixta 5/16 1210 Proto</v>
      </c>
      <c r="C3454" s="380" t="str">
        <f>IFERROR(__xludf.DUMMYFUNCTION("""COMPUTED_VALUE"""),"50001073")</f>
        <v>50001073</v>
      </c>
      <c r="D3454" s="380" t="s">
        <v>767</v>
      </c>
      <c r="E3454" s="380" t="s">
        <v>781</v>
      </c>
      <c r="F3454" s="380" t="s">
        <v>782</v>
      </c>
      <c r="G3454" s="380" t="s">
        <v>1267</v>
      </c>
      <c r="H3454" s="380" t="s">
        <v>771</v>
      </c>
      <c r="I3454" s="380" t="s">
        <v>784</v>
      </c>
      <c r="J3454" s="380" t="s">
        <v>773</v>
      </c>
      <c r="K3454" s="381">
        <v>0.0</v>
      </c>
      <c r="L3454" s="382">
        <v>1.0</v>
      </c>
    </row>
    <row r="3455">
      <c r="A3455" s="380" t="s">
        <v>4318</v>
      </c>
      <c r="B3455" s="380" t="str">
        <f>IFERROR(__xludf.DUMMYFUNCTION("""COMPUTED_VALUE"""),"Llave Mixta 3/8 Proto")</f>
        <v>Llave Mixta 3/8 Proto</v>
      </c>
      <c r="C3455" s="380" t="str">
        <f>IFERROR(__xludf.DUMMYFUNCTION("""COMPUTED_VALUE"""),"50001074")</f>
        <v>50001074</v>
      </c>
      <c r="D3455" s="380" t="s">
        <v>767</v>
      </c>
      <c r="E3455" s="380" t="s">
        <v>781</v>
      </c>
      <c r="F3455" s="380" t="s">
        <v>782</v>
      </c>
      <c r="G3455" s="380" t="s">
        <v>1267</v>
      </c>
      <c r="H3455" s="380" t="s">
        <v>771</v>
      </c>
      <c r="I3455" s="380" t="s">
        <v>784</v>
      </c>
      <c r="J3455" s="380" t="s">
        <v>773</v>
      </c>
      <c r="K3455" s="381">
        <v>0.0</v>
      </c>
      <c r="L3455" s="382">
        <v>1.0</v>
      </c>
    </row>
    <row r="3456">
      <c r="A3456" s="380" t="s">
        <v>4319</v>
      </c>
      <c r="B3456" s="380" t="str">
        <f>IFERROR(__xludf.DUMMYFUNCTION("""COMPUTED_VALUE"""),"Llave Mixta 5/8 Proto")</f>
        <v>Llave Mixta 5/8 Proto</v>
      </c>
      <c r="C3456" s="380" t="str">
        <f>IFERROR(__xludf.DUMMYFUNCTION("""COMPUTED_VALUE"""),"50001075")</f>
        <v>50001075</v>
      </c>
      <c r="D3456" s="380" t="s">
        <v>767</v>
      </c>
      <c r="E3456" s="380" t="s">
        <v>781</v>
      </c>
      <c r="F3456" s="380" t="s">
        <v>782</v>
      </c>
      <c r="G3456" s="380" t="s">
        <v>1267</v>
      </c>
      <c r="H3456" s="380" t="s">
        <v>771</v>
      </c>
      <c r="I3456" s="380" t="s">
        <v>784</v>
      </c>
      <c r="J3456" s="380" t="s">
        <v>773</v>
      </c>
      <c r="K3456" s="381">
        <v>0.0</v>
      </c>
      <c r="L3456" s="382">
        <v>1.0</v>
      </c>
    </row>
    <row r="3457">
      <c r="A3457" s="380" t="s">
        <v>4320</v>
      </c>
      <c r="B3457" s="380" t="str">
        <f>IFERROR(__xludf.DUMMYFUNCTION("""COMPUTED_VALUE"""),"Llave Mixta 8mm Proto")</f>
        <v>Llave Mixta 8mm Proto</v>
      </c>
      <c r="C3457" s="380" t="str">
        <f>IFERROR(__xludf.DUMMYFUNCTION("""COMPUTED_VALUE"""),"50001076")</f>
        <v>50001076</v>
      </c>
      <c r="D3457" s="380" t="s">
        <v>767</v>
      </c>
      <c r="E3457" s="380" t="s">
        <v>781</v>
      </c>
      <c r="F3457" s="380" t="s">
        <v>782</v>
      </c>
      <c r="G3457" s="380" t="s">
        <v>1267</v>
      </c>
      <c r="H3457" s="380" t="s">
        <v>771</v>
      </c>
      <c r="I3457" s="380" t="s">
        <v>784</v>
      </c>
      <c r="J3457" s="380" t="s">
        <v>773</v>
      </c>
      <c r="K3457" s="381">
        <v>0.0</v>
      </c>
      <c r="L3457" s="382">
        <v>1.0</v>
      </c>
    </row>
    <row r="3458">
      <c r="A3458" s="380" t="s">
        <v>4321</v>
      </c>
      <c r="B3458" s="380" t="str">
        <f>IFERROR(__xludf.DUMMYFUNCTION("""COMPUTED_VALUE"""),"Equipo Alineacion Llantas X 2 Piezas")</f>
        <v>Equipo Alineacion Llantas X 2 Piezas</v>
      </c>
      <c r="C3458" s="380" t="str">
        <f>IFERROR(__xludf.DUMMYFUNCTION("""COMPUTED_VALUE"""),"50001077")</f>
        <v>50001077</v>
      </c>
      <c r="D3458" s="380" t="s">
        <v>767</v>
      </c>
      <c r="E3458" s="380" t="s">
        <v>781</v>
      </c>
      <c r="F3458" s="380" t="s">
        <v>782</v>
      </c>
      <c r="G3458" s="380" t="s">
        <v>1267</v>
      </c>
      <c r="H3458" s="380" t="s">
        <v>771</v>
      </c>
      <c r="I3458" s="380" t="s">
        <v>784</v>
      </c>
      <c r="J3458" s="380" t="s">
        <v>773</v>
      </c>
      <c r="K3458" s="381">
        <v>0.0</v>
      </c>
      <c r="L3458" s="382">
        <v>1.0</v>
      </c>
    </row>
    <row r="3459">
      <c r="A3459" s="380" t="s">
        <v>4322</v>
      </c>
      <c r="B3459" s="380" t="str">
        <f>IFERROR(__xludf.DUMMYFUNCTION("""COMPUTED_VALUE"""),"Juego Llaves Hexagona Mm Chesco 98040")</f>
        <v>Juego Llaves Hexagona Mm Chesco 98040</v>
      </c>
      <c r="C3459" s="380" t="str">
        <f>IFERROR(__xludf.DUMMYFUNCTION("""COMPUTED_VALUE"""),"50001078")</f>
        <v>50001078</v>
      </c>
      <c r="D3459" s="380" t="s">
        <v>767</v>
      </c>
      <c r="E3459" s="380" t="s">
        <v>781</v>
      </c>
      <c r="F3459" s="380" t="s">
        <v>782</v>
      </c>
      <c r="G3459" s="380" t="s">
        <v>1267</v>
      </c>
      <c r="H3459" s="380" t="s">
        <v>771</v>
      </c>
      <c r="I3459" s="380" t="s">
        <v>784</v>
      </c>
      <c r="J3459" s="380" t="s">
        <v>773</v>
      </c>
      <c r="K3459" s="381">
        <v>0.0</v>
      </c>
      <c r="L3459" s="382">
        <v>1.0</v>
      </c>
    </row>
    <row r="3460">
      <c r="A3460" s="380" t="s">
        <v>4323</v>
      </c>
      <c r="B3460" s="380" t="str">
        <f>IFERROR(__xludf.DUMMYFUNCTION("""COMPUTED_VALUE"""),"Diferencial Manual De 1.0 Ton Dp0512")</f>
        <v>Diferencial Manual De 1.0 Ton Dp0512</v>
      </c>
      <c r="C3460" s="380" t="str">
        <f>IFERROR(__xludf.DUMMYFUNCTION("""COMPUTED_VALUE"""),"50001079")</f>
        <v>50001079</v>
      </c>
      <c r="D3460" s="380" t="s">
        <v>767</v>
      </c>
      <c r="E3460" s="380" t="s">
        <v>781</v>
      </c>
      <c r="F3460" s="380" t="s">
        <v>782</v>
      </c>
      <c r="G3460" s="380" t="s">
        <v>1267</v>
      </c>
      <c r="H3460" s="380" t="s">
        <v>771</v>
      </c>
      <c r="I3460" s="380" t="s">
        <v>784</v>
      </c>
      <c r="J3460" s="380" t="s">
        <v>773</v>
      </c>
      <c r="K3460" s="381">
        <v>0.0</v>
      </c>
      <c r="L3460" s="382">
        <v>1.0</v>
      </c>
    </row>
    <row r="3461">
      <c r="A3461" s="380" t="s">
        <v>4324</v>
      </c>
      <c r="B3461" s="380" t="str">
        <f>IFERROR(__xludf.DUMMYFUNCTION("""COMPUTED_VALUE"""),"Destornillador Estre 1/4 Senci Estrella")</f>
        <v>Destornillador Estre 1/4 Senci Estrella</v>
      </c>
      <c r="C3461" s="380" t="str">
        <f>IFERROR(__xludf.DUMMYFUNCTION("""COMPUTED_VALUE"""),"50001080")</f>
        <v>50001080</v>
      </c>
      <c r="D3461" s="380" t="s">
        <v>767</v>
      </c>
      <c r="E3461" s="380" t="s">
        <v>781</v>
      </c>
      <c r="F3461" s="380" t="s">
        <v>782</v>
      </c>
      <c r="G3461" s="380" t="s">
        <v>1267</v>
      </c>
      <c r="H3461" s="380" t="s">
        <v>771</v>
      </c>
      <c r="I3461" s="380" t="s">
        <v>784</v>
      </c>
      <c r="J3461" s="380" t="s">
        <v>773</v>
      </c>
      <c r="K3461" s="381">
        <v>0.0</v>
      </c>
      <c r="L3461" s="382">
        <v>1.0</v>
      </c>
    </row>
    <row r="3462">
      <c r="A3462" s="380" t="s">
        <v>4325</v>
      </c>
      <c r="B3462" s="380" t="str">
        <f>IFERROR(__xludf.DUMMYFUNCTION("""COMPUTED_VALUE"""),"Destornillador Pala 1/4 Sencil")</f>
        <v>Destornillador Pala 1/4 Sencil</v>
      </c>
      <c r="C3462" s="380" t="str">
        <f>IFERROR(__xludf.DUMMYFUNCTION("""COMPUTED_VALUE"""),"50001081")</f>
        <v>50001081</v>
      </c>
      <c r="D3462" s="380" t="s">
        <v>767</v>
      </c>
      <c r="E3462" s="380" t="s">
        <v>781</v>
      </c>
      <c r="F3462" s="380" t="s">
        <v>782</v>
      </c>
      <c r="G3462" s="380" t="s">
        <v>1267</v>
      </c>
      <c r="H3462" s="380" t="s">
        <v>771</v>
      </c>
      <c r="I3462" s="380" t="s">
        <v>784</v>
      </c>
      <c r="J3462" s="380" t="s">
        <v>773</v>
      </c>
      <c r="K3462" s="381">
        <v>0.0</v>
      </c>
      <c r="L3462" s="382">
        <v>1.0</v>
      </c>
    </row>
    <row r="3463">
      <c r="A3463" s="380" t="s">
        <v>4326</v>
      </c>
      <c r="B3463" s="380" t="str">
        <f>IFERROR(__xludf.DUMMYFUNCTION("""COMPUTED_VALUE"""),"Escuadra De 1/2"" St 46-040 Stanley")</f>
        <v>Escuadra De 1/2" St 46-040 Stanley</v>
      </c>
      <c r="C3463" s="380" t="str">
        <f>IFERROR(__xludf.DUMMYFUNCTION("""COMPUTED_VALUE"""),"50001082")</f>
        <v>50001082</v>
      </c>
      <c r="D3463" s="380" t="s">
        <v>767</v>
      </c>
      <c r="E3463" s="380" t="s">
        <v>781</v>
      </c>
      <c r="F3463" s="380" t="s">
        <v>782</v>
      </c>
      <c r="G3463" s="380" t="s">
        <v>1267</v>
      </c>
      <c r="H3463" s="380" t="s">
        <v>771</v>
      </c>
      <c r="I3463" s="380" t="s">
        <v>784</v>
      </c>
      <c r="J3463" s="380" t="s">
        <v>773</v>
      </c>
      <c r="K3463" s="381">
        <v>0.0</v>
      </c>
      <c r="L3463" s="382">
        <v>1.0</v>
      </c>
    </row>
    <row r="3464">
      <c r="A3464" s="380" t="s">
        <v>4327</v>
      </c>
      <c r="B3464" s="380" t="str">
        <f>IFERROR(__xludf.DUMMYFUNCTION("""COMPUTED_VALUE"""),"Lima Plana De 8""")</f>
        <v>Lima Plana De 8"</v>
      </c>
      <c r="C3464" s="380" t="str">
        <f>IFERROR(__xludf.DUMMYFUNCTION("""COMPUTED_VALUE"""),"50001083")</f>
        <v>50001083</v>
      </c>
      <c r="D3464" s="380" t="s">
        <v>767</v>
      </c>
      <c r="E3464" s="380" t="s">
        <v>781</v>
      </c>
      <c r="F3464" s="380" t="s">
        <v>782</v>
      </c>
      <c r="G3464" s="380" t="s">
        <v>1267</v>
      </c>
      <c r="H3464" s="380" t="s">
        <v>771</v>
      </c>
      <c r="I3464" s="380" t="s">
        <v>784</v>
      </c>
      <c r="J3464" s="380" t="s">
        <v>773</v>
      </c>
      <c r="K3464" s="381">
        <v>0.0</v>
      </c>
      <c r="L3464" s="382">
        <v>1.0</v>
      </c>
    </row>
    <row r="3465">
      <c r="A3465" s="380" t="s">
        <v>4328</v>
      </c>
      <c r="B3465" s="380" t="str">
        <f>IFERROR(__xludf.DUMMYFUNCTION("""COMPUTED_VALUE"""),"Copa Cuadrante 1/2 X 3/4 Hexagona Proto")</f>
        <v>Copa Cuadrante 1/2 X 3/4 Hexagona Proto</v>
      </c>
      <c r="C3465" s="380" t="str">
        <f>IFERROR(__xludf.DUMMYFUNCTION("""COMPUTED_VALUE"""),"50001084")</f>
        <v>50001084</v>
      </c>
      <c r="D3465" s="380" t="s">
        <v>767</v>
      </c>
      <c r="E3465" s="380" t="s">
        <v>781</v>
      </c>
      <c r="F3465" s="380" t="s">
        <v>782</v>
      </c>
      <c r="G3465" s="380" t="s">
        <v>1267</v>
      </c>
      <c r="H3465" s="380" t="s">
        <v>771</v>
      </c>
      <c r="I3465" s="380" t="s">
        <v>784</v>
      </c>
      <c r="J3465" s="380" t="s">
        <v>773</v>
      </c>
      <c r="K3465" s="381">
        <v>0.0</v>
      </c>
      <c r="L3465" s="382">
        <v>1.0</v>
      </c>
    </row>
    <row r="3466">
      <c r="A3466" s="380" t="s">
        <v>4329</v>
      </c>
      <c r="B3466" s="380" t="str">
        <f>IFERROR(__xludf.DUMMYFUNCTION("""COMPUTED_VALUE"""),"Mango Fuerza Cuadrante 3/8 X 7"" Escualiz")</f>
        <v>Mango Fuerza Cuadrante 3/8 X 7" Escualiz</v>
      </c>
      <c r="C3466" s="380" t="str">
        <f>IFERROR(__xludf.DUMMYFUNCTION("""COMPUTED_VALUE"""),"50001085")</f>
        <v>50001085</v>
      </c>
      <c r="D3466" s="380" t="s">
        <v>767</v>
      </c>
      <c r="E3466" s="380" t="s">
        <v>781</v>
      </c>
      <c r="F3466" s="380" t="s">
        <v>782</v>
      </c>
      <c r="G3466" s="380" t="s">
        <v>1267</v>
      </c>
      <c r="H3466" s="380" t="s">
        <v>771</v>
      </c>
      <c r="I3466" s="380" t="s">
        <v>784</v>
      </c>
      <c r="J3466" s="380" t="s">
        <v>773</v>
      </c>
      <c r="K3466" s="381">
        <v>0.0</v>
      </c>
      <c r="L3466" s="382">
        <v>1.0</v>
      </c>
    </row>
    <row r="3467">
      <c r="A3467" s="380" t="s">
        <v>4330</v>
      </c>
      <c r="B3467" s="380" t="str">
        <f>IFERROR(__xludf.DUMMYFUNCTION("""COMPUTED_VALUE"""),"Llave Filtro Correa")</f>
        <v>Llave Filtro Correa</v>
      </c>
      <c r="C3467" s="380" t="str">
        <f>IFERROR(__xludf.DUMMYFUNCTION("""COMPUTED_VALUE"""),"50001086")</f>
        <v>50001086</v>
      </c>
      <c r="D3467" s="380" t="s">
        <v>767</v>
      </c>
      <c r="E3467" s="380" t="s">
        <v>781</v>
      </c>
      <c r="F3467" s="380" t="s">
        <v>782</v>
      </c>
      <c r="G3467" s="380" t="s">
        <v>1267</v>
      </c>
      <c r="H3467" s="380" t="s">
        <v>771</v>
      </c>
      <c r="I3467" s="380" t="s">
        <v>784</v>
      </c>
      <c r="J3467" s="380" t="s">
        <v>773</v>
      </c>
      <c r="K3467" s="381">
        <v>0.0</v>
      </c>
      <c r="L3467" s="382">
        <v>1.0</v>
      </c>
    </row>
    <row r="3468">
      <c r="A3468" s="380" t="s">
        <v>4331</v>
      </c>
      <c r="B3468" s="380" t="str">
        <f>IFERROR(__xludf.DUMMYFUNCTION("""COMPUTED_VALUE"""),"Copa Cuadrante 3/8 X 10mm Proto")</f>
        <v>Copa Cuadrante 3/8 X 10mm Proto</v>
      </c>
      <c r="C3468" s="380" t="str">
        <f>IFERROR(__xludf.DUMMYFUNCTION("""COMPUTED_VALUE"""),"50001087")</f>
        <v>50001087</v>
      </c>
      <c r="D3468" s="380" t="s">
        <v>767</v>
      </c>
      <c r="E3468" s="380" t="s">
        <v>781</v>
      </c>
      <c r="F3468" s="380" t="s">
        <v>782</v>
      </c>
      <c r="G3468" s="380" t="s">
        <v>1267</v>
      </c>
      <c r="H3468" s="380" t="s">
        <v>771</v>
      </c>
      <c r="I3468" s="380" t="s">
        <v>784</v>
      </c>
      <c r="J3468" s="380" t="s">
        <v>773</v>
      </c>
      <c r="K3468" s="381">
        <v>0.0</v>
      </c>
      <c r="L3468" s="382">
        <v>1.0</v>
      </c>
    </row>
    <row r="3469">
      <c r="A3469" s="380" t="s">
        <v>4332</v>
      </c>
      <c r="B3469" s="380" t="str">
        <f>IFERROR(__xludf.DUMMYFUNCTION("""COMPUTED_VALUE"""),"Llave Mixta 1/2 Proto")</f>
        <v>Llave Mixta 1/2 Proto</v>
      </c>
      <c r="C3469" s="380" t="str">
        <f>IFERROR(__xludf.DUMMYFUNCTION("""COMPUTED_VALUE"""),"50001088")</f>
        <v>50001088</v>
      </c>
      <c r="D3469" s="380" t="s">
        <v>767</v>
      </c>
      <c r="E3469" s="380" t="s">
        <v>781</v>
      </c>
      <c r="F3469" s="380" t="s">
        <v>782</v>
      </c>
      <c r="G3469" s="380" t="s">
        <v>1267</v>
      </c>
      <c r="H3469" s="380" t="s">
        <v>771</v>
      </c>
      <c r="I3469" s="380" t="s">
        <v>784</v>
      </c>
      <c r="J3469" s="380" t="s">
        <v>773</v>
      </c>
      <c r="K3469" s="381">
        <v>0.0</v>
      </c>
      <c r="L3469" s="382">
        <v>1.0</v>
      </c>
    </row>
    <row r="3470">
      <c r="A3470" s="380" t="s">
        <v>4333</v>
      </c>
      <c r="B3470" s="380" t="str">
        <f>IFERROR(__xludf.DUMMYFUNCTION("""COMPUTED_VALUE"""),"Almadana De 4 Libras")</f>
        <v>Almadana De 4 Libras</v>
      </c>
      <c r="C3470" s="380" t="str">
        <f>IFERROR(__xludf.DUMMYFUNCTION("""COMPUTED_VALUE"""),"50001089")</f>
        <v>50001089</v>
      </c>
      <c r="D3470" s="380" t="s">
        <v>767</v>
      </c>
      <c r="E3470" s="380" t="s">
        <v>781</v>
      </c>
      <c r="F3470" s="380" t="s">
        <v>782</v>
      </c>
      <c r="G3470" s="380" t="s">
        <v>1267</v>
      </c>
      <c r="H3470" s="380" t="s">
        <v>771</v>
      </c>
      <c r="I3470" s="380" t="s">
        <v>784</v>
      </c>
      <c r="J3470" s="380" t="s">
        <v>773</v>
      </c>
      <c r="K3470" s="381">
        <v>0.0</v>
      </c>
      <c r="L3470" s="382">
        <v>1.0</v>
      </c>
    </row>
    <row r="3471">
      <c r="A3471" s="380" t="s">
        <v>4334</v>
      </c>
      <c r="B3471" s="380" t="str">
        <f>IFERROR(__xludf.DUMMYFUNCTION("""COMPUTED_VALUE"""),"Remachadora Pop Acordeon")</f>
        <v>Remachadora Pop Acordeon</v>
      </c>
      <c r="C3471" s="380" t="str">
        <f>IFERROR(__xludf.DUMMYFUNCTION("""COMPUTED_VALUE"""),"50001090")</f>
        <v>50001090</v>
      </c>
      <c r="D3471" s="380" t="s">
        <v>767</v>
      </c>
      <c r="E3471" s="380" t="s">
        <v>781</v>
      </c>
      <c r="F3471" s="380" t="s">
        <v>782</v>
      </c>
      <c r="G3471" s="380" t="s">
        <v>1267</v>
      </c>
      <c r="H3471" s="380" t="s">
        <v>771</v>
      </c>
      <c r="I3471" s="380" t="s">
        <v>784</v>
      </c>
      <c r="J3471" s="380" t="s">
        <v>773</v>
      </c>
      <c r="K3471" s="381">
        <v>0.0</v>
      </c>
      <c r="L3471" s="382">
        <v>1.0</v>
      </c>
    </row>
    <row r="3472">
      <c r="A3472" s="380" t="s">
        <v>4335</v>
      </c>
      <c r="B3472" s="380" t="str">
        <f>IFERROR(__xludf.DUMMYFUNCTION("""COMPUTED_VALUE"""),"Prensa En C De 8"", 83508")</f>
        <v>Prensa En C De 8", 83508</v>
      </c>
      <c r="C3472" s="380" t="str">
        <f>IFERROR(__xludf.DUMMYFUNCTION("""COMPUTED_VALUE"""),"50001091")</f>
        <v>50001091</v>
      </c>
      <c r="D3472" s="380" t="s">
        <v>767</v>
      </c>
      <c r="E3472" s="380" t="s">
        <v>781</v>
      </c>
      <c r="F3472" s="380" t="s">
        <v>782</v>
      </c>
      <c r="G3472" s="380" t="s">
        <v>1267</v>
      </c>
      <c r="H3472" s="380" t="s">
        <v>771</v>
      </c>
      <c r="I3472" s="380" t="s">
        <v>784</v>
      </c>
      <c r="J3472" s="380" t="s">
        <v>773</v>
      </c>
      <c r="K3472" s="381">
        <v>0.0</v>
      </c>
      <c r="L3472" s="382">
        <v>1.0</v>
      </c>
    </row>
    <row r="3473">
      <c r="A3473" s="380" t="s">
        <v>4336</v>
      </c>
      <c r="B3473" s="380" t="str">
        <f>IFERROR(__xludf.DUMMYFUNCTION("""COMPUTED_VALUE"""),"Pistola Silicona En Barra Gr25")</f>
        <v>Pistola Silicona En Barra Gr25</v>
      </c>
      <c r="C3473" s="380" t="str">
        <f>IFERROR(__xludf.DUMMYFUNCTION("""COMPUTED_VALUE"""),"50001092")</f>
        <v>50001092</v>
      </c>
      <c r="D3473" s="380" t="s">
        <v>767</v>
      </c>
      <c r="E3473" s="380" t="s">
        <v>781</v>
      </c>
      <c r="F3473" s="380" t="s">
        <v>782</v>
      </c>
      <c r="G3473" s="380" t="s">
        <v>1267</v>
      </c>
      <c r="H3473" s="380" t="s">
        <v>771</v>
      </c>
      <c r="I3473" s="380" t="s">
        <v>784</v>
      </c>
      <c r="J3473" s="380" t="s">
        <v>773</v>
      </c>
      <c r="K3473" s="381">
        <v>0.0</v>
      </c>
      <c r="L3473" s="382">
        <v>1.0</v>
      </c>
    </row>
    <row r="3474">
      <c r="A3474" s="380" t="s">
        <v>4337</v>
      </c>
      <c r="B3474" s="380" t="str">
        <f>IFERROR(__xludf.DUMMYFUNCTION("""COMPUTED_VALUE"""),"Aceitera Metalica Manual Pequeña")</f>
        <v>Aceitera Metalica Manual Pequeña</v>
      </c>
      <c r="C3474" s="380" t="str">
        <f>IFERROR(__xludf.DUMMYFUNCTION("""COMPUTED_VALUE"""),"50001093")</f>
        <v>50001093</v>
      </c>
      <c r="D3474" s="380" t="s">
        <v>767</v>
      </c>
      <c r="E3474" s="380" t="s">
        <v>781</v>
      </c>
      <c r="F3474" s="380" t="s">
        <v>782</v>
      </c>
      <c r="G3474" s="380" t="s">
        <v>1267</v>
      </c>
      <c r="H3474" s="380" t="s">
        <v>771</v>
      </c>
      <c r="I3474" s="380" t="s">
        <v>784</v>
      </c>
      <c r="J3474" s="380" t="s">
        <v>773</v>
      </c>
      <c r="K3474" s="381">
        <v>0.0</v>
      </c>
      <c r="L3474" s="382">
        <v>1.0</v>
      </c>
    </row>
    <row r="3475">
      <c r="A3475" s="380" t="s">
        <v>4338</v>
      </c>
      <c r="B3475" s="380" t="str">
        <f>IFERROR(__xludf.DUMMYFUNCTION("""COMPUTED_VALUE"""),"Rache Cu Rache Cuadrante 1/2 X 10 Tipo B")</f>
        <v>Rache Cu Rache Cuadrante 1/2 X 10 Tipo B</v>
      </c>
      <c r="C3475" s="380" t="str">
        <f>IFERROR(__xludf.DUMMYFUNCTION("""COMPUTED_VALUE"""),"50001094")</f>
        <v>50001094</v>
      </c>
      <c r="D3475" s="380" t="s">
        <v>767</v>
      </c>
      <c r="E3475" s="380" t="s">
        <v>781</v>
      </c>
      <c r="F3475" s="380" t="s">
        <v>782</v>
      </c>
      <c r="G3475" s="380" t="s">
        <v>1267</v>
      </c>
      <c r="H3475" s="380" t="s">
        <v>771</v>
      </c>
      <c r="I3475" s="380" t="s">
        <v>784</v>
      </c>
      <c r="J3475" s="380" t="s">
        <v>773</v>
      </c>
      <c r="K3475" s="381">
        <v>0.0</v>
      </c>
      <c r="L3475" s="382">
        <v>1.0</v>
      </c>
    </row>
    <row r="3476">
      <c r="A3476" s="380" t="s">
        <v>4339</v>
      </c>
      <c r="B3476" s="380" t="str">
        <f>IFERROR(__xludf.DUMMYFUNCTION("""COMPUTED_VALUE"""),"Llave Estrella 5/8 X 3/4 Williams W8729")</f>
        <v>Llave Estrella 5/8 X 3/4 Williams W8729</v>
      </c>
      <c r="C3476" s="380" t="str">
        <f>IFERROR(__xludf.DUMMYFUNCTION("""COMPUTED_VALUE"""),"50001095")</f>
        <v>50001095</v>
      </c>
      <c r="D3476" s="380" t="s">
        <v>767</v>
      </c>
      <c r="E3476" s="380" t="s">
        <v>781</v>
      </c>
      <c r="F3476" s="380" t="s">
        <v>782</v>
      </c>
      <c r="G3476" s="380" t="s">
        <v>1267</v>
      </c>
      <c r="H3476" s="380" t="s">
        <v>771</v>
      </c>
      <c r="I3476" s="380" t="s">
        <v>784</v>
      </c>
      <c r="J3476" s="380" t="s">
        <v>773</v>
      </c>
      <c r="K3476" s="381">
        <v>0.0</v>
      </c>
      <c r="L3476" s="382">
        <v>1.0</v>
      </c>
    </row>
    <row r="3477">
      <c r="A3477" s="380" t="s">
        <v>4340</v>
      </c>
      <c r="B3477" s="380" t="str">
        <f>IFERROR(__xludf.DUMMYFUNCTION("""COMPUTED_VALUE"""),"Punta Para Cautin Weller Nkpwwc")</f>
        <v>Punta Para Cautin Weller Nkpwwc</v>
      </c>
      <c r="C3477" s="380" t="str">
        <f>IFERROR(__xludf.DUMMYFUNCTION("""COMPUTED_VALUE"""),"50001096")</f>
        <v>50001096</v>
      </c>
      <c r="D3477" s="380" t="s">
        <v>767</v>
      </c>
      <c r="E3477" s="380" t="s">
        <v>781</v>
      </c>
      <c r="F3477" s="380" t="s">
        <v>782</v>
      </c>
      <c r="G3477" s="380" t="s">
        <v>1267</v>
      </c>
      <c r="H3477" s="380" t="s">
        <v>771</v>
      </c>
      <c r="I3477" s="380" t="s">
        <v>784</v>
      </c>
      <c r="J3477" s="380" t="s">
        <v>773</v>
      </c>
      <c r="K3477" s="381">
        <v>0.0</v>
      </c>
      <c r="L3477" s="382">
        <v>1.0</v>
      </c>
    </row>
    <row r="3478">
      <c r="A3478" s="380" t="s">
        <v>4341</v>
      </c>
      <c r="B3478" s="380" t="str">
        <f>IFERROR(__xludf.DUMMYFUNCTION("""COMPUTED_VALUE"""),"Kit Reparacion Rache De 3/8")</f>
        <v>Kit Reparacion Rache De 3/8</v>
      </c>
      <c r="C3478" s="380" t="str">
        <f>IFERROR(__xludf.DUMMYFUNCTION("""COMPUTED_VALUE"""),"50001097")</f>
        <v>50001097</v>
      </c>
      <c r="D3478" s="380" t="s">
        <v>767</v>
      </c>
      <c r="E3478" s="380" t="s">
        <v>781</v>
      </c>
      <c r="F3478" s="380" t="s">
        <v>782</v>
      </c>
      <c r="G3478" s="380" t="s">
        <v>1267</v>
      </c>
      <c r="H3478" s="380" t="s">
        <v>771</v>
      </c>
      <c r="I3478" s="380" t="s">
        <v>784</v>
      </c>
      <c r="J3478" s="380" t="s">
        <v>773</v>
      </c>
      <c r="K3478" s="381">
        <v>0.0</v>
      </c>
      <c r="L3478" s="382">
        <v>1.0</v>
      </c>
    </row>
    <row r="3479">
      <c r="A3479" s="380" t="s">
        <v>4342</v>
      </c>
      <c r="B3479" s="380" t="str">
        <f>IFERROR(__xludf.DUMMYFUNCTION("""COMPUTED_VALUE"""),"Pinza Caiman Varias")</f>
        <v>Pinza Caiman Varias</v>
      </c>
      <c r="C3479" s="380" t="str">
        <f>IFERROR(__xludf.DUMMYFUNCTION("""COMPUTED_VALUE"""),"50001098")</f>
        <v>50001098</v>
      </c>
      <c r="D3479" s="380" t="s">
        <v>767</v>
      </c>
      <c r="E3479" s="380" t="s">
        <v>781</v>
      </c>
      <c r="F3479" s="380" t="s">
        <v>782</v>
      </c>
      <c r="G3479" s="380" t="s">
        <v>1267</v>
      </c>
      <c r="H3479" s="380" t="s">
        <v>771</v>
      </c>
      <c r="I3479" s="380" t="s">
        <v>784</v>
      </c>
      <c r="J3479" s="380" t="s">
        <v>773</v>
      </c>
      <c r="K3479" s="381">
        <v>0.0</v>
      </c>
      <c r="L3479" s="382">
        <v>1.0</v>
      </c>
    </row>
    <row r="3480">
      <c r="A3480" s="380" t="s">
        <v>4343</v>
      </c>
      <c r="B3480" s="380" t="str">
        <f>IFERROR(__xludf.DUMMYFUNCTION("""COMPUTED_VALUE"""),"Vaso Aerografo Pintura 125cc")</f>
        <v>Vaso Aerografo Pintura 125cc</v>
      </c>
      <c r="C3480" s="380" t="str">
        <f>IFERROR(__xludf.DUMMYFUNCTION("""COMPUTED_VALUE"""),"50001099")</f>
        <v>50001099</v>
      </c>
      <c r="D3480" s="380" t="s">
        <v>767</v>
      </c>
      <c r="E3480" s="380" t="s">
        <v>781</v>
      </c>
      <c r="F3480" s="380" t="s">
        <v>782</v>
      </c>
      <c r="G3480" s="380" t="s">
        <v>1267</v>
      </c>
      <c r="H3480" s="380" t="s">
        <v>771</v>
      </c>
      <c r="I3480" s="380" t="s">
        <v>784</v>
      </c>
      <c r="J3480" s="380" t="s">
        <v>773</v>
      </c>
      <c r="K3480" s="381">
        <v>0.0</v>
      </c>
      <c r="L3480" s="382">
        <v>1.0</v>
      </c>
    </row>
    <row r="3481">
      <c r="A3481" s="380" t="s">
        <v>4344</v>
      </c>
      <c r="B3481" s="380" t="str">
        <f>IFERROR(__xludf.DUMMYFUNCTION("""COMPUTED_VALUE"""),"Llave Mixta 10mm Proto")</f>
        <v>Llave Mixta 10mm Proto</v>
      </c>
      <c r="C3481" s="380" t="str">
        <f>IFERROR(__xludf.DUMMYFUNCTION("""COMPUTED_VALUE"""),"50001100")</f>
        <v>50001100</v>
      </c>
      <c r="D3481" s="380" t="s">
        <v>767</v>
      </c>
      <c r="E3481" s="380" t="s">
        <v>781</v>
      </c>
      <c r="F3481" s="380" t="s">
        <v>782</v>
      </c>
      <c r="G3481" s="380" t="s">
        <v>1267</v>
      </c>
      <c r="H3481" s="380" t="s">
        <v>771</v>
      </c>
      <c r="I3481" s="380" t="s">
        <v>784</v>
      </c>
      <c r="J3481" s="380" t="s">
        <v>773</v>
      </c>
      <c r="K3481" s="381">
        <v>0.0</v>
      </c>
      <c r="L3481" s="382">
        <v>1.0</v>
      </c>
    </row>
    <row r="3482">
      <c r="A3482" s="380" t="s">
        <v>4345</v>
      </c>
      <c r="B3482" s="380" t="str">
        <f>IFERROR(__xludf.DUMMYFUNCTION("""COMPUTED_VALUE"""),"Martillo Latonero Grafilado 16 Tx-8031")</f>
        <v>Martillo Latonero Grafilado 16 Tx-8031</v>
      </c>
      <c r="C3482" s="380" t="str">
        <f>IFERROR(__xludf.DUMMYFUNCTION("""COMPUTED_VALUE"""),"50001101")</f>
        <v>50001101</v>
      </c>
      <c r="D3482" s="380" t="s">
        <v>767</v>
      </c>
      <c r="E3482" s="380" t="s">
        <v>781</v>
      </c>
      <c r="F3482" s="380" t="s">
        <v>782</v>
      </c>
      <c r="G3482" s="380" t="s">
        <v>1267</v>
      </c>
      <c r="H3482" s="380" t="s">
        <v>771</v>
      </c>
      <c r="I3482" s="380" t="s">
        <v>784</v>
      </c>
      <c r="J3482" s="380" t="s">
        <v>773</v>
      </c>
      <c r="K3482" s="381">
        <v>0.0</v>
      </c>
      <c r="L3482" s="382">
        <v>1.0</v>
      </c>
    </row>
    <row r="3483">
      <c r="A3483" s="380" t="s">
        <v>4346</v>
      </c>
      <c r="B3483" s="380" t="str">
        <f>IFERROR(__xludf.DUMMYFUNCTION("""COMPUTED_VALUE"""),"Exte Extension Cuadrante 1/2 X 3"" Snapon")</f>
        <v>Exte Extension Cuadrante 1/2 X 3" Snapon</v>
      </c>
      <c r="C3483" s="380" t="str">
        <f>IFERROR(__xludf.DUMMYFUNCTION("""COMPUTED_VALUE"""),"50001102")</f>
        <v>50001102</v>
      </c>
      <c r="D3483" s="380" t="s">
        <v>767</v>
      </c>
      <c r="E3483" s="380" t="s">
        <v>781</v>
      </c>
      <c r="F3483" s="380" t="s">
        <v>782</v>
      </c>
      <c r="G3483" s="380" t="s">
        <v>1267</v>
      </c>
      <c r="H3483" s="380" t="s">
        <v>771</v>
      </c>
      <c r="I3483" s="380" t="s">
        <v>784</v>
      </c>
      <c r="J3483" s="380" t="s">
        <v>773</v>
      </c>
      <c r="K3483" s="381">
        <v>0.0</v>
      </c>
      <c r="L3483" s="382">
        <v>1.0</v>
      </c>
    </row>
    <row r="3484">
      <c r="A3484" s="380" t="s">
        <v>4347</v>
      </c>
      <c r="B3484" s="380" t="str">
        <f>IFERROR(__xludf.DUMMYFUNCTION("""COMPUTED_VALUE"""),"Llave Mixta 9/16 Tipo B")</f>
        <v>Llave Mixta 9/16 Tipo B</v>
      </c>
      <c r="C3484" s="380" t="str">
        <f>IFERROR(__xludf.DUMMYFUNCTION("""COMPUTED_VALUE"""),"50001103")</f>
        <v>50001103</v>
      </c>
      <c r="D3484" s="380" t="s">
        <v>767</v>
      </c>
      <c r="E3484" s="380" t="s">
        <v>781</v>
      </c>
      <c r="F3484" s="380" t="s">
        <v>782</v>
      </c>
      <c r="G3484" s="380" t="s">
        <v>1267</v>
      </c>
      <c r="H3484" s="380" t="s">
        <v>771</v>
      </c>
      <c r="I3484" s="380" t="s">
        <v>784</v>
      </c>
      <c r="J3484" s="380" t="s">
        <v>773</v>
      </c>
      <c r="K3484" s="381">
        <v>0.0</v>
      </c>
      <c r="L3484" s="382">
        <v>1.0</v>
      </c>
    </row>
    <row r="3485">
      <c r="A3485" s="380" t="s">
        <v>4348</v>
      </c>
      <c r="B3485" s="380" t="str">
        <f>IFERROR(__xludf.DUMMYFUNCTION("""COMPUTED_VALUE"""),"Alicate Presion Tipo Prensa C Tx-Vp11sp")</f>
        <v>Alicate Presion Tipo Prensa C Tx-Vp11sp</v>
      </c>
      <c r="C3485" s="380" t="str">
        <f>IFERROR(__xludf.DUMMYFUNCTION("""COMPUTED_VALUE"""),"50001104")</f>
        <v>50001104</v>
      </c>
      <c r="D3485" s="380" t="s">
        <v>767</v>
      </c>
      <c r="E3485" s="380" t="s">
        <v>781</v>
      </c>
      <c r="F3485" s="380" t="s">
        <v>782</v>
      </c>
      <c r="G3485" s="380" t="s">
        <v>1267</v>
      </c>
      <c r="H3485" s="380" t="s">
        <v>771</v>
      </c>
      <c r="I3485" s="380" t="s">
        <v>784</v>
      </c>
      <c r="J3485" s="380" t="s">
        <v>773</v>
      </c>
      <c r="K3485" s="381">
        <v>0.0</v>
      </c>
      <c r="L3485" s="382">
        <v>1.0</v>
      </c>
    </row>
    <row r="3486">
      <c r="A3486" s="380" t="s">
        <v>4349</v>
      </c>
      <c r="B3486" s="380" t="str">
        <f>IFERROR(__xludf.DUMMYFUNCTION("""COMPUTED_VALUE"""),"Patecabra 16"" - 20"" S-1650/ Palanca Dese")</f>
        <v>Patecabra 16" - 20" S-1650/ Palanca Dese</v>
      </c>
      <c r="C3486" s="380" t="str">
        <f>IFERROR(__xludf.DUMMYFUNCTION("""COMPUTED_VALUE"""),"50001105")</f>
        <v>50001105</v>
      </c>
      <c r="D3486" s="380" t="s">
        <v>767</v>
      </c>
      <c r="E3486" s="380" t="s">
        <v>781</v>
      </c>
      <c r="F3486" s="380" t="s">
        <v>782</v>
      </c>
      <c r="G3486" s="380" t="s">
        <v>1267</v>
      </c>
      <c r="H3486" s="380" t="s">
        <v>771</v>
      </c>
      <c r="I3486" s="380" t="s">
        <v>784</v>
      </c>
      <c r="J3486" s="380" t="s">
        <v>773</v>
      </c>
      <c r="K3486" s="381">
        <v>0.0</v>
      </c>
      <c r="L3486" s="382">
        <v>1.0</v>
      </c>
    </row>
    <row r="3487">
      <c r="A3487" s="380" t="s">
        <v>4350</v>
      </c>
      <c r="B3487" s="380" t="str">
        <f>IFERROR(__xludf.DUMMYFUNCTION("""COMPUTED_VALUE"""),"Juego Copa Cuadrante 1/2 X 3/8 A 1"" Prot")</f>
        <v>Juego Copa Cuadrante 1/2 X 3/8 A 1" Prot</v>
      </c>
      <c r="C3487" s="380" t="str">
        <f>IFERROR(__xludf.DUMMYFUNCTION("""COMPUTED_VALUE"""),"50001106")</f>
        <v>50001106</v>
      </c>
      <c r="D3487" s="380" t="s">
        <v>767</v>
      </c>
      <c r="E3487" s="380" t="s">
        <v>781</v>
      </c>
      <c r="F3487" s="380" t="s">
        <v>782</v>
      </c>
      <c r="G3487" s="380" t="s">
        <v>1267</v>
      </c>
      <c r="H3487" s="380" t="s">
        <v>771</v>
      </c>
      <c r="I3487" s="380" t="s">
        <v>784</v>
      </c>
      <c r="J3487" s="380" t="s">
        <v>773</v>
      </c>
      <c r="K3487" s="381">
        <v>0.0</v>
      </c>
      <c r="L3487" s="382">
        <v>1.0</v>
      </c>
    </row>
    <row r="3488">
      <c r="A3488" s="380" t="s">
        <v>4351</v>
      </c>
      <c r="B3488" s="380" t="str">
        <f>IFERROR(__xludf.DUMMYFUNCTION("""COMPUTED_VALUE"""),"Llave Mixta 11mm Proto")</f>
        <v>Llave Mixta 11mm Proto</v>
      </c>
      <c r="C3488" s="380" t="str">
        <f>IFERROR(__xludf.DUMMYFUNCTION("""COMPUTED_VALUE"""),"50001107")</f>
        <v>50001107</v>
      </c>
      <c r="D3488" s="380" t="s">
        <v>767</v>
      </c>
      <c r="E3488" s="380" t="s">
        <v>781</v>
      </c>
      <c r="F3488" s="380" t="s">
        <v>782</v>
      </c>
      <c r="G3488" s="380" t="s">
        <v>1267</v>
      </c>
      <c r="H3488" s="380" t="s">
        <v>771</v>
      </c>
      <c r="I3488" s="380" t="s">
        <v>784</v>
      </c>
      <c r="J3488" s="380" t="s">
        <v>773</v>
      </c>
      <c r="K3488" s="381">
        <v>0.0</v>
      </c>
      <c r="L3488" s="382">
        <v>1.0</v>
      </c>
    </row>
    <row r="3489">
      <c r="A3489" s="380" t="s">
        <v>4352</v>
      </c>
      <c r="B3489" s="380" t="str">
        <f>IFERROR(__xludf.DUMMYFUNCTION("""COMPUTED_VALUE"""),"Llave Llave Boca Fija 3/8 X 7/16 Tipo B")</f>
        <v>Llave Llave Boca Fija 3/8 X 7/16 Tipo B</v>
      </c>
      <c r="C3489" s="380" t="str">
        <f>IFERROR(__xludf.DUMMYFUNCTION("""COMPUTED_VALUE"""),"50001108")</f>
        <v>50001108</v>
      </c>
      <c r="D3489" s="380" t="s">
        <v>767</v>
      </c>
      <c r="E3489" s="380" t="s">
        <v>781</v>
      </c>
      <c r="F3489" s="380" t="s">
        <v>782</v>
      </c>
      <c r="G3489" s="380" t="s">
        <v>1267</v>
      </c>
      <c r="H3489" s="380" t="s">
        <v>771</v>
      </c>
      <c r="I3489" s="380" t="s">
        <v>784</v>
      </c>
      <c r="J3489" s="380" t="s">
        <v>773</v>
      </c>
      <c r="K3489" s="381">
        <v>0.0</v>
      </c>
      <c r="L3489" s="382">
        <v>1.0</v>
      </c>
    </row>
    <row r="3490">
      <c r="A3490" s="380" t="s">
        <v>4353</v>
      </c>
      <c r="B3490" s="380" t="str">
        <f>IFERROR(__xludf.DUMMYFUNCTION("""COMPUTED_VALUE"""),"Copa Impacto Cuadrante 1/2 X 17mm Tipo B")</f>
        <v>Copa Impacto Cuadrante 1/2 X 17mm Tipo B</v>
      </c>
      <c r="C3490" s="380" t="str">
        <f>IFERROR(__xludf.DUMMYFUNCTION("""COMPUTED_VALUE"""),"50001109")</f>
        <v>50001109</v>
      </c>
      <c r="D3490" s="380" t="s">
        <v>767</v>
      </c>
      <c r="E3490" s="380" t="s">
        <v>781</v>
      </c>
      <c r="F3490" s="380" t="s">
        <v>782</v>
      </c>
      <c r="G3490" s="380" t="s">
        <v>1267</v>
      </c>
      <c r="H3490" s="380" t="s">
        <v>771</v>
      </c>
      <c r="I3490" s="380" t="s">
        <v>784</v>
      </c>
      <c r="J3490" s="380" t="s">
        <v>773</v>
      </c>
      <c r="K3490" s="381">
        <v>0.0</v>
      </c>
      <c r="L3490" s="382">
        <v>1.0</v>
      </c>
    </row>
    <row r="3491">
      <c r="A3491" s="380" t="s">
        <v>4354</v>
      </c>
      <c r="B3491" s="380" t="str">
        <f>IFERROR(__xludf.DUMMYFUNCTION("""COMPUTED_VALUE"""),"Copa Cuadrante 1/2 X 15/16 Snapon")</f>
        <v>Copa Cuadrante 1/2 X 15/16 Snapon</v>
      </c>
      <c r="C3491" s="380" t="str">
        <f>IFERROR(__xludf.DUMMYFUNCTION("""COMPUTED_VALUE"""),"50001110")</f>
        <v>50001110</v>
      </c>
      <c r="D3491" s="380" t="s">
        <v>767</v>
      </c>
      <c r="E3491" s="380" t="s">
        <v>781</v>
      </c>
      <c r="F3491" s="380" t="s">
        <v>782</v>
      </c>
      <c r="G3491" s="380" t="s">
        <v>1267</v>
      </c>
      <c r="H3491" s="380" t="s">
        <v>771</v>
      </c>
      <c r="I3491" s="380" t="s">
        <v>784</v>
      </c>
      <c r="J3491" s="380" t="s">
        <v>773</v>
      </c>
      <c r="K3491" s="381">
        <v>0.0</v>
      </c>
      <c r="L3491" s="382">
        <v>1.0</v>
      </c>
    </row>
    <row r="3492">
      <c r="A3492" s="380" t="s">
        <v>4355</v>
      </c>
      <c r="B3492" s="380" t="str">
        <f>IFERROR(__xludf.DUMMYFUNCTION("""COMPUTED_VALUE"""),"Lima Escofina De 14""")</f>
        <v>Lima Escofina De 14"</v>
      </c>
      <c r="C3492" s="380" t="str">
        <f>IFERROR(__xludf.DUMMYFUNCTION("""COMPUTED_VALUE"""),"50001111")</f>
        <v>50001111</v>
      </c>
      <c r="D3492" s="380" t="s">
        <v>767</v>
      </c>
      <c r="E3492" s="380" t="s">
        <v>781</v>
      </c>
      <c r="F3492" s="380" t="s">
        <v>782</v>
      </c>
      <c r="G3492" s="380" t="s">
        <v>1267</v>
      </c>
      <c r="H3492" s="380" t="s">
        <v>771</v>
      </c>
      <c r="I3492" s="380" t="s">
        <v>784</v>
      </c>
      <c r="J3492" s="380" t="s">
        <v>773</v>
      </c>
      <c r="K3492" s="381">
        <v>0.0</v>
      </c>
      <c r="L3492" s="382">
        <v>1.0</v>
      </c>
    </row>
    <row r="3493">
      <c r="A3493" s="380" t="s">
        <v>4356</v>
      </c>
      <c r="B3493" s="380" t="str">
        <f>IFERROR(__xludf.DUMMYFUNCTION("""COMPUTED_VALUE"""),"Cortador Acetileno Nuevo")</f>
        <v>Cortador Acetileno Nuevo</v>
      </c>
      <c r="C3493" s="380" t="str">
        <f>IFERROR(__xludf.DUMMYFUNCTION("""COMPUTED_VALUE"""),"50001112")</f>
        <v>50001112</v>
      </c>
      <c r="D3493" s="380" t="s">
        <v>767</v>
      </c>
      <c r="E3493" s="380" t="s">
        <v>781</v>
      </c>
      <c r="F3493" s="380" t="s">
        <v>782</v>
      </c>
      <c r="G3493" s="380" t="s">
        <v>1267</v>
      </c>
      <c r="H3493" s="380" t="s">
        <v>771</v>
      </c>
      <c r="I3493" s="380" t="s">
        <v>784</v>
      </c>
      <c r="J3493" s="380" t="s">
        <v>773</v>
      </c>
      <c r="K3493" s="381">
        <v>0.0</v>
      </c>
      <c r="L3493" s="382">
        <v>1.0</v>
      </c>
    </row>
    <row r="3494">
      <c r="A3494" s="380" t="s">
        <v>4357</v>
      </c>
      <c r="B3494" s="380" t="str">
        <f>IFERROR(__xludf.DUMMYFUNCTION("""COMPUTED_VALUE"""),"Pi Pinza Pines Interna Externa Doble Uso")</f>
        <v>Pi Pinza Pines Interna Externa Doble Uso</v>
      </c>
      <c r="C3494" s="380" t="str">
        <f>IFERROR(__xludf.DUMMYFUNCTION("""COMPUTED_VALUE"""),"50001113")</f>
        <v>50001113</v>
      </c>
      <c r="D3494" s="380" t="s">
        <v>767</v>
      </c>
      <c r="E3494" s="380" t="s">
        <v>781</v>
      </c>
      <c r="F3494" s="380" t="s">
        <v>782</v>
      </c>
      <c r="G3494" s="380" t="s">
        <v>1267</v>
      </c>
      <c r="H3494" s="380" t="s">
        <v>771</v>
      </c>
      <c r="I3494" s="380" t="s">
        <v>784</v>
      </c>
      <c r="J3494" s="380" t="s">
        <v>773</v>
      </c>
      <c r="K3494" s="381">
        <v>0.0</v>
      </c>
      <c r="L3494" s="382">
        <v>1.0</v>
      </c>
    </row>
    <row r="3495">
      <c r="A3495" s="380" t="s">
        <v>4358</v>
      </c>
      <c r="B3495" s="380" t="str">
        <f>IFERROR(__xludf.DUMMYFUNCTION("""COMPUTED_VALUE"""),"Acidometro Para Baterias")</f>
        <v>Acidometro Para Baterias</v>
      </c>
      <c r="C3495" s="380" t="str">
        <f>IFERROR(__xludf.DUMMYFUNCTION("""COMPUTED_VALUE"""),"50001114")</f>
        <v>50001114</v>
      </c>
      <c r="D3495" s="380" t="s">
        <v>767</v>
      </c>
      <c r="E3495" s="380" t="s">
        <v>781</v>
      </c>
      <c r="F3495" s="380" t="s">
        <v>782</v>
      </c>
      <c r="G3495" s="380" t="s">
        <v>1267</v>
      </c>
      <c r="H3495" s="380" t="s">
        <v>771</v>
      </c>
      <c r="I3495" s="380" t="s">
        <v>784</v>
      </c>
      <c r="J3495" s="380" t="s">
        <v>773</v>
      </c>
      <c r="K3495" s="381">
        <v>0.0</v>
      </c>
      <c r="L3495" s="382">
        <v>1.0</v>
      </c>
    </row>
    <row r="3496">
      <c r="A3496" s="380" t="s">
        <v>4359</v>
      </c>
      <c r="B3496" s="380" t="str">
        <f>IFERROR(__xludf.DUMMYFUNCTION("""COMPUTED_VALUE"""),"Lubricante W-D40 15w40")</f>
        <v>Lubricante W-D40 15w40</v>
      </c>
      <c r="C3496" s="380" t="str">
        <f>IFERROR(__xludf.DUMMYFUNCTION("""COMPUTED_VALUE"""),"50001115")</f>
        <v>50001115</v>
      </c>
      <c r="D3496" s="380" t="s">
        <v>767</v>
      </c>
      <c r="E3496" s="380" t="s">
        <v>781</v>
      </c>
      <c r="F3496" s="380" t="s">
        <v>782</v>
      </c>
      <c r="G3496" s="380" t="s">
        <v>1267</v>
      </c>
      <c r="H3496" s="380" t="s">
        <v>771</v>
      </c>
      <c r="I3496" s="380" t="s">
        <v>784</v>
      </c>
      <c r="J3496" s="380" t="s">
        <v>773</v>
      </c>
      <c r="K3496" s="381">
        <v>0.0</v>
      </c>
      <c r="L3496" s="382">
        <v>1.0</v>
      </c>
    </row>
    <row r="3497">
      <c r="A3497" s="380" t="s">
        <v>4360</v>
      </c>
      <c r="B3497" s="380" t="str">
        <f>IFERROR(__xludf.DUMMYFUNCTION("""COMPUTED_VALUE"""),"Adaptador Broca Sierra A1")</f>
        <v>Adaptador Broca Sierra A1</v>
      </c>
      <c r="C3497" s="380" t="str">
        <f>IFERROR(__xludf.DUMMYFUNCTION("""COMPUTED_VALUE"""),"50001116")</f>
        <v>50001116</v>
      </c>
      <c r="D3497" s="380" t="s">
        <v>767</v>
      </c>
      <c r="E3497" s="380" t="s">
        <v>781</v>
      </c>
      <c r="F3497" s="380" t="s">
        <v>782</v>
      </c>
      <c r="G3497" s="380" t="s">
        <v>1267</v>
      </c>
      <c r="H3497" s="380" t="s">
        <v>771</v>
      </c>
      <c r="I3497" s="380" t="s">
        <v>784</v>
      </c>
      <c r="J3497" s="380" t="s">
        <v>773</v>
      </c>
      <c r="K3497" s="381">
        <v>0.0</v>
      </c>
      <c r="L3497" s="382">
        <v>1.0</v>
      </c>
    </row>
    <row r="3498">
      <c r="A3498" s="380" t="s">
        <v>4361</v>
      </c>
      <c r="B3498" s="380" t="str">
        <f>IFERROR(__xludf.DUMMYFUNCTION("""COMPUTED_VALUE"""),"Lima Triangular 7"" - 10""")</f>
        <v>Lima Triangular 7" - 10"</v>
      </c>
      <c r="C3498" s="380" t="str">
        <f>IFERROR(__xludf.DUMMYFUNCTION("""COMPUTED_VALUE"""),"50001117")</f>
        <v>50001117</v>
      </c>
      <c r="D3498" s="380" t="s">
        <v>767</v>
      </c>
      <c r="E3498" s="380" t="s">
        <v>781</v>
      </c>
      <c r="F3498" s="380" t="s">
        <v>782</v>
      </c>
      <c r="G3498" s="380" t="s">
        <v>1267</v>
      </c>
      <c r="H3498" s="380" t="s">
        <v>771</v>
      </c>
      <c r="I3498" s="380" t="s">
        <v>784</v>
      </c>
      <c r="J3498" s="380" t="s">
        <v>773</v>
      </c>
      <c r="K3498" s="381">
        <v>0.0</v>
      </c>
      <c r="L3498" s="382">
        <v>1.0</v>
      </c>
    </row>
    <row r="3499">
      <c r="A3499" s="380" t="s">
        <v>4362</v>
      </c>
      <c r="B3499" s="380" t="str">
        <f>IFERROR(__xludf.DUMMYFUNCTION("""COMPUTED_VALUE"""),"Brocas Varias")</f>
        <v>Brocas Varias</v>
      </c>
      <c r="C3499" s="380" t="str">
        <f>IFERROR(__xludf.DUMMYFUNCTION("""COMPUTED_VALUE"""),"50001118")</f>
        <v>50001118</v>
      </c>
      <c r="D3499" s="380" t="s">
        <v>767</v>
      </c>
      <c r="E3499" s="380" t="s">
        <v>781</v>
      </c>
      <c r="F3499" s="380" t="s">
        <v>782</v>
      </c>
      <c r="G3499" s="380" t="s">
        <v>1267</v>
      </c>
      <c r="H3499" s="380" t="s">
        <v>771</v>
      </c>
      <c r="I3499" s="380" t="s">
        <v>784</v>
      </c>
      <c r="J3499" s="380" t="s">
        <v>773</v>
      </c>
      <c r="K3499" s="381">
        <v>0.0</v>
      </c>
      <c r="L3499" s="382">
        <v>1.0</v>
      </c>
    </row>
    <row r="3500">
      <c r="A3500" s="380" t="s">
        <v>4363</v>
      </c>
      <c r="B3500" s="380" t="str">
        <f>IFERROR(__xludf.DUMMYFUNCTION("""COMPUTED_VALUE"""),"Extractor Tornillos X 4 Piezas Kd Tx2419")</f>
        <v>Extractor Tornillos X 4 Piezas Kd Tx2419</v>
      </c>
      <c r="C3500" s="380" t="str">
        <f>IFERROR(__xludf.DUMMYFUNCTION("""COMPUTED_VALUE"""),"50001119")</f>
        <v>50001119</v>
      </c>
      <c r="D3500" s="380" t="s">
        <v>767</v>
      </c>
      <c r="E3500" s="380" t="s">
        <v>781</v>
      </c>
      <c r="F3500" s="380" t="s">
        <v>782</v>
      </c>
      <c r="G3500" s="380" t="s">
        <v>1267</v>
      </c>
      <c r="H3500" s="380" t="s">
        <v>771</v>
      </c>
      <c r="I3500" s="380" t="s">
        <v>784</v>
      </c>
      <c r="J3500" s="380" t="s">
        <v>773</v>
      </c>
      <c r="K3500" s="381">
        <v>0.0</v>
      </c>
      <c r="L3500" s="382">
        <v>1.0</v>
      </c>
    </row>
    <row r="3501">
      <c r="A3501" s="380" t="s">
        <v>4364</v>
      </c>
      <c r="B3501" s="380" t="str">
        <f>IFERROR(__xludf.DUMMYFUNCTION("""COMPUTED_VALUE"""),"Jgo Brocas Hss De 1/16"" A 1/2""")</f>
        <v>Jgo Brocas Hss De 1/16" A 1/2"</v>
      </c>
      <c r="C3501" s="380" t="str">
        <f>IFERROR(__xludf.DUMMYFUNCTION("""COMPUTED_VALUE"""),"50001120")</f>
        <v>50001120</v>
      </c>
      <c r="D3501" s="380" t="s">
        <v>767</v>
      </c>
      <c r="E3501" s="380" t="s">
        <v>781</v>
      </c>
      <c r="F3501" s="380" t="s">
        <v>782</v>
      </c>
      <c r="G3501" s="380" t="s">
        <v>1267</v>
      </c>
      <c r="H3501" s="380" t="s">
        <v>771</v>
      </c>
      <c r="I3501" s="380" t="s">
        <v>784</v>
      </c>
      <c r="J3501" s="380" t="s">
        <v>773</v>
      </c>
      <c r="K3501" s="381">
        <v>0.0</v>
      </c>
      <c r="L3501" s="382">
        <v>1.0</v>
      </c>
    </row>
    <row r="3502">
      <c r="A3502" s="380" t="s">
        <v>4365</v>
      </c>
      <c r="B3502" s="380" t="str">
        <f>IFERROR(__xludf.DUMMYFUNCTION("""COMPUTED_VALUE"""),"Lima Re Lima Redonda 3/8 X 6"" Nicholson")</f>
        <v>Lima Re Lima Redonda 3/8 X 6" Nicholson</v>
      </c>
      <c r="C3502" s="380" t="str">
        <f>IFERROR(__xludf.DUMMYFUNCTION("""COMPUTED_VALUE"""),"50001121")</f>
        <v>50001121</v>
      </c>
      <c r="D3502" s="380" t="s">
        <v>767</v>
      </c>
      <c r="E3502" s="380" t="s">
        <v>781</v>
      </c>
      <c r="F3502" s="380" t="s">
        <v>782</v>
      </c>
      <c r="G3502" s="380" t="s">
        <v>1267</v>
      </c>
      <c r="H3502" s="380" t="s">
        <v>771</v>
      </c>
      <c r="I3502" s="380" t="s">
        <v>784</v>
      </c>
      <c r="J3502" s="380" t="s">
        <v>773</v>
      </c>
      <c r="K3502" s="381">
        <v>0.0</v>
      </c>
      <c r="L3502" s="382">
        <v>1.0</v>
      </c>
    </row>
    <row r="3503">
      <c r="A3503" s="380" t="s">
        <v>4366</v>
      </c>
      <c r="B3503" s="380" t="str">
        <f>IFERROR(__xludf.DUMMYFUNCTION("""COMPUTED_VALUE"""),"Manometro Presion 2 X 1/2""")</f>
        <v>Manometro Presion 2 X 1/2"</v>
      </c>
      <c r="C3503" s="380" t="str">
        <f>IFERROR(__xludf.DUMMYFUNCTION("""COMPUTED_VALUE"""),"50001122")</f>
        <v>50001122</v>
      </c>
      <c r="D3503" s="380" t="s">
        <v>767</v>
      </c>
      <c r="E3503" s="380" t="s">
        <v>781</v>
      </c>
      <c r="F3503" s="380" t="s">
        <v>782</v>
      </c>
      <c r="G3503" s="380" t="s">
        <v>1267</v>
      </c>
      <c r="H3503" s="380" t="s">
        <v>771</v>
      </c>
      <c r="I3503" s="380" t="s">
        <v>784</v>
      </c>
      <c r="J3503" s="380" t="s">
        <v>773</v>
      </c>
      <c r="K3503" s="381">
        <v>0.0</v>
      </c>
      <c r="L3503" s="382">
        <v>1.0</v>
      </c>
    </row>
    <row r="3504">
      <c r="A3504" s="380" t="s">
        <v>4367</v>
      </c>
      <c r="B3504" s="380" t="str">
        <f>IFERROR(__xludf.DUMMYFUNCTION("""COMPUTED_VALUE"""),"Compara Comparador Caratulas De 0-100 Mm")</f>
        <v>Compara Comparador Caratulas De 0-100 Mm</v>
      </c>
      <c r="C3504" s="380" t="str">
        <f>IFERROR(__xludf.DUMMYFUNCTION("""COMPUTED_VALUE"""),"50001123")</f>
        <v>50001123</v>
      </c>
      <c r="D3504" s="380" t="s">
        <v>767</v>
      </c>
      <c r="E3504" s="380" t="s">
        <v>781</v>
      </c>
      <c r="F3504" s="380" t="s">
        <v>782</v>
      </c>
      <c r="G3504" s="380" t="s">
        <v>1267</v>
      </c>
      <c r="H3504" s="380" t="s">
        <v>771</v>
      </c>
      <c r="I3504" s="380" t="s">
        <v>784</v>
      </c>
      <c r="J3504" s="380" t="s">
        <v>773</v>
      </c>
      <c r="K3504" s="381">
        <v>230384.0</v>
      </c>
      <c r="L3504" s="382">
        <v>1.0</v>
      </c>
    </row>
    <row r="3505">
      <c r="A3505" s="380" t="s">
        <v>4368</v>
      </c>
      <c r="B3505" s="380" t="str">
        <f>IFERROR(__xludf.DUMMYFUNCTION("""COMPUTED_VALUE"""),"Mango Mezclador Oxicorte 315")</f>
        <v>Mango Mezclador Oxicorte 315</v>
      </c>
      <c r="C3505" s="380" t="str">
        <f>IFERROR(__xludf.DUMMYFUNCTION("""COMPUTED_VALUE"""),"50001124")</f>
        <v>50001124</v>
      </c>
      <c r="D3505" s="380" t="s">
        <v>767</v>
      </c>
      <c r="E3505" s="380" t="s">
        <v>781</v>
      </c>
      <c r="F3505" s="380" t="s">
        <v>782</v>
      </c>
      <c r="G3505" s="380" t="s">
        <v>1267</v>
      </c>
      <c r="H3505" s="380" t="s">
        <v>771</v>
      </c>
      <c r="I3505" s="380" t="s">
        <v>784</v>
      </c>
      <c r="J3505" s="380" t="s">
        <v>773</v>
      </c>
      <c r="K3505" s="381">
        <v>0.0</v>
      </c>
      <c r="L3505" s="382">
        <v>1.0</v>
      </c>
    </row>
    <row r="3506">
      <c r="A3506" s="380" t="s">
        <v>4369</v>
      </c>
      <c r="B3506" s="380" t="str">
        <f>IFERROR(__xludf.DUMMYFUNCTION("""COMPUTED_VALUE"""),"Taladro Con Mandril De 3/8")</f>
        <v>Taladro Con Mandril De 3/8</v>
      </c>
      <c r="C3506" s="380" t="str">
        <f>IFERROR(__xludf.DUMMYFUNCTION("""COMPUTED_VALUE"""),"50001125")</f>
        <v>50001125</v>
      </c>
      <c r="D3506" s="380" t="s">
        <v>767</v>
      </c>
      <c r="E3506" s="380" t="s">
        <v>781</v>
      </c>
      <c r="F3506" s="380" t="s">
        <v>782</v>
      </c>
      <c r="G3506" s="380" t="s">
        <v>1267</v>
      </c>
      <c r="H3506" s="380" t="s">
        <v>771</v>
      </c>
      <c r="I3506" s="380" t="s">
        <v>784</v>
      </c>
      <c r="J3506" s="380" t="s">
        <v>773</v>
      </c>
      <c r="K3506" s="381">
        <v>0.0</v>
      </c>
      <c r="L3506" s="382">
        <v>1.0</v>
      </c>
    </row>
    <row r="3507">
      <c r="A3507" s="380" t="s">
        <v>4370</v>
      </c>
      <c r="B3507" s="380" t="str">
        <f>IFERROR(__xludf.DUMMYFUNCTION("""COMPUTED_VALUE"""),"Boquilla Para Soldador S101-1 Victor")</f>
        <v>Boquilla Para Soldador S101-1 Victor</v>
      </c>
      <c r="C3507" s="380" t="str">
        <f>IFERROR(__xludf.DUMMYFUNCTION("""COMPUTED_VALUE"""),"50001126")</f>
        <v>50001126</v>
      </c>
      <c r="D3507" s="380" t="s">
        <v>767</v>
      </c>
      <c r="E3507" s="380" t="s">
        <v>781</v>
      </c>
      <c r="F3507" s="380" t="s">
        <v>782</v>
      </c>
      <c r="G3507" s="380" t="s">
        <v>1267</v>
      </c>
      <c r="H3507" s="380" t="s">
        <v>771</v>
      </c>
      <c r="I3507" s="380" t="s">
        <v>784</v>
      </c>
      <c r="J3507" s="380" t="s">
        <v>773</v>
      </c>
      <c r="K3507" s="381">
        <v>0.0</v>
      </c>
      <c r="L3507" s="382">
        <v>1.0</v>
      </c>
    </row>
    <row r="3508">
      <c r="A3508" s="380" t="s">
        <v>4371</v>
      </c>
      <c r="B3508" s="380" t="str">
        <f>IFERROR(__xludf.DUMMYFUNCTION("""COMPUTED_VALUE"""),"Boquilla Para Soldador S101-3 Victor")</f>
        <v>Boquilla Para Soldador S101-3 Victor</v>
      </c>
      <c r="C3508" s="380" t="str">
        <f>IFERROR(__xludf.DUMMYFUNCTION("""COMPUTED_VALUE"""),"50001127")</f>
        <v>50001127</v>
      </c>
      <c r="D3508" s="380" t="s">
        <v>767</v>
      </c>
      <c r="E3508" s="380" t="s">
        <v>781</v>
      </c>
      <c r="F3508" s="380" t="s">
        <v>782</v>
      </c>
      <c r="G3508" s="380" t="s">
        <v>1267</v>
      </c>
      <c r="H3508" s="380" t="s">
        <v>771</v>
      </c>
      <c r="I3508" s="380" t="s">
        <v>784</v>
      </c>
      <c r="J3508" s="380" t="s">
        <v>773</v>
      </c>
      <c r="K3508" s="381">
        <v>0.0</v>
      </c>
      <c r="L3508" s="382">
        <v>1.0</v>
      </c>
    </row>
    <row r="3509">
      <c r="A3509" s="380" t="s">
        <v>4372</v>
      </c>
      <c r="B3509" s="380" t="str">
        <f>IFERROR(__xludf.DUMMYFUNCTION("""COMPUTED_VALUE"""),"Copa Larga Cuadrante 3/8 X 10mm Snapon")</f>
        <v>Copa Larga Cuadrante 3/8 X 10mm Snapon</v>
      </c>
      <c r="C3509" s="380" t="str">
        <f>IFERROR(__xludf.DUMMYFUNCTION("""COMPUTED_VALUE"""),"50001129")</f>
        <v>50001129</v>
      </c>
      <c r="D3509" s="380" t="s">
        <v>767</v>
      </c>
      <c r="E3509" s="380" t="s">
        <v>781</v>
      </c>
      <c r="F3509" s="380" t="s">
        <v>782</v>
      </c>
      <c r="G3509" s="380" t="s">
        <v>1267</v>
      </c>
      <c r="H3509" s="380" t="s">
        <v>771</v>
      </c>
      <c r="I3509" s="380" t="s">
        <v>784</v>
      </c>
      <c r="J3509" s="380" t="s">
        <v>773</v>
      </c>
      <c r="K3509" s="381">
        <v>0.0</v>
      </c>
      <c r="L3509" s="382">
        <v>1.0</v>
      </c>
    </row>
    <row r="3510">
      <c r="A3510" s="380" t="s">
        <v>4373</v>
      </c>
      <c r="B3510" s="380" t="str">
        <f>IFERROR(__xludf.DUMMYFUNCTION("""COMPUTED_VALUE"""),"Lima Redonda 3 Lima Redonda 3/8 X 8""-10""")</f>
        <v>Lima Redonda 3 Lima Redonda 3/8 X 8"-10"</v>
      </c>
      <c r="C3510" s="380" t="str">
        <f>IFERROR(__xludf.DUMMYFUNCTION("""COMPUTED_VALUE"""),"50001130")</f>
        <v>50001130</v>
      </c>
      <c r="D3510" s="380" t="s">
        <v>767</v>
      </c>
      <c r="E3510" s="380" t="s">
        <v>781</v>
      </c>
      <c r="F3510" s="380" t="s">
        <v>782</v>
      </c>
      <c r="G3510" s="380" t="s">
        <v>1267</v>
      </c>
      <c r="H3510" s="380" t="s">
        <v>771</v>
      </c>
      <c r="I3510" s="380" t="s">
        <v>784</v>
      </c>
      <c r="J3510" s="380" t="s">
        <v>773</v>
      </c>
      <c r="K3510" s="381">
        <v>0.0</v>
      </c>
      <c r="L3510" s="382">
        <v>1.0</v>
      </c>
    </row>
    <row r="3511">
      <c r="A3511" s="380" t="s">
        <v>4374</v>
      </c>
      <c r="B3511" s="380" t="str">
        <f>IFERROR(__xludf.DUMMYFUNCTION("""COMPUTED_VALUE"""),"Rache Cuadrante 1/4 X 5"" Urrea")</f>
        <v>Rache Cuadrante 1/4 X 5" Urrea</v>
      </c>
      <c r="C3511" s="380" t="str">
        <f>IFERROR(__xludf.DUMMYFUNCTION("""COMPUTED_VALUE"""),"50001131")</f>
        <v>50001131</v>
      </c>
      <c r="D3511" s="380" t="s">
        <v>767</v>
      </c>
      <c r="E3511" s="380" t="s">
        <v>781</v>
      </c>
      <c r="F3511" s="380" t="s">
        <v>782</v>
      </c>
      <c r="G3511" s="380" t="s">
        <v>1267</v>
      </c>
      <c r="H3511" s="380" t="s">
        <v>771</v>
      </c>
      <c r="I3511" s="380" t="s">
        <v>784</v>
      </c>
      <c r="J3511" s="380" t="s">
        <v>773</v>
      </c>
      <c r="K3511" s="381">
        <v>0.0</v>
      </c>
      <c r="L3511" s="382">
        <v>1.0</v>
      </c>
    </row>
    <row r="3512">
      <c r="A3512" s="380" t="s">
        <v>4375</v>
      </c>
      <c r="B3512" s="380" t="str">
        <f>IFERROR(__xludf.DUMMYFUNCTION("""COMPUTED_VALUE"""),"Broca 5/8"" Con Espigo De 1/2""")</f>
        <v>Broca 5/8" Con Espigo De 1/2"</v>
      </c>
      <c r="C3512" s="380" t="str">
        <f>IFERROR(__xludf.DUMMYFUNCTION("""COMPUTED_VALUE"""),"50001132")</f>
        <v>50001132</v>
      </c>
      <c r="D3512" s="380" t="s">
        <v>767</v>
      </c>
      <c r="E3512" s="380" t="s">
        <v>781</v>
      </c>
      <c r="F3512" s="380" t="s">
        <v>782</v>
      </c>
      <c r="G3512" s="380" t="s">
        <v>1267</v>
      </c>
      <c r="H3512" s="380" t="s">
        <v>771</v>
      </c>
      <c r="I3512" s="380" t="s">
        <v>784</v>
      </c>
      <c r="J3512" s="380" t="s">
        <v>773</v>
      </c>
      <c r="K3512" s="381">
        <v>0.0</v>
      </c>
      <c r="L3512" s="382">
        <v>1.0</v>
      </c>
    </row>
    <row r="3513">
      <c r="A3513" s="380" t="s">
        <v>4376</v>
      </c>
      <c r="B3513" s="380" t="str">
        <f>IFERROR(__xludf.DUMMYFUNCTION("""COMPUTED_VALUE"""),"Embudo Grande Lubricacion")</f>
        <v>Embudo Grande Lubricacion</v>
      </c>
      <c r="C3513" s="380" t="str">
        <f>IFERROR(__xludf.DUMMYFUNCTION("""COMPUTED_VALUE"""),"50001133")</f>
        <v>50001133</v>
      </c>
      <c r="D3513" s="380" t="s">
        <v>767</v>
      </c>
      <c r="E3513" s="380" t="s">
        <v>781</v>
      </c>
      <c r="F3513" s="380" t="s">
        <v>782</v>
      </c>
      <c r="G3513" s="380" t="s">
        <v>1267</v>
      </c>
      <c r="H3513" s="380" t="s">
        <v>771</v>
      </c>
      <c r="I3513" s="380" t="s">
        <v>784</v>
      </c>
      <c r="J3513" s="380" t="s">
        <v>773</v>
      </c>
      <c r="K3513" s="381">
        <v>0.0</v>
      </c>
      <c r="L3513" s="382">
        <v>1.0</v>
      </c>
    </row>
    <row r="3514">
      <c r="A3514" s="380" t="s">
        <v>4377</v>
      </c>
      <c r="B3514" s="380" t="str">
        <f>IFERROR(__xludf.DUMMYFUNCTION("""COMPUTED_VALUE"""),"Llave Pernos Nhr 9851139350e")</f>
        <v>Llave Pernos Nhr 9851139350e</v>
      </c>
      <c r="C3514" s="380" t="str">
        <f>IFERROR(__xludf.DUMMYFUNCTION("""COMPUTED_VALUE"""),"50001134")</f>
        <v>50001134</v>
      </c>
      <c r="D3514" s="380" t="s">
        <v>767</v>
      </c>
      <c r="E3514" s="380" t="s">
        <v>781</v>
      </c>
      <c r="F3514" s="380" t="s">
        <v>782</v>
      </c>
      <c r="G3514" s="380" t="s">
        <v>1267</v>
      </c>
      <c r="H3514" s="380" t="s">
        <v>771</v>
      </c>
      <c r="I3514" s="380" t="s">
        <v>784</v>
      </c>
      <c r="J3514" s="380" t="s">
        <v>773</v>
      </c>
      <c r="K3514" s="381">
        <v>0.0</v>
      </c>
      <c r="L3514" s="382">
        <v>1.0</v>
      </c>
    </row>
    <row r="3515">
      <c r="A3515" s="380" t="s">
        <v>4378</v>
      </c>
      <c r="B3515" s="380" t="str">
        <f>IFERROR(__xludf.DUMMYFUNCTION("""COMPUTED_VALUE"""),"Kit Reparacion Torque De 1/2 5449 Rk")</f>
        <v>Kit Reparacion Torque De 1/2 5449 Rk</v>
      </c>
      <c r="C3515" s="380" t="str">
        <f>IFERROR(__xludf.DUMMYFUNCTION("""COMPUTED_VALUE"""),"50001135")</f>
        <v>50001135</v>
      </c>
      <c r="D3515" s="380" t="s">
        <v>767</v>
      </c>
      <c r="E3515" s="380" t="s">
        <v>781</v>
      </c>
      <c r="F3515" s="380" t="s">
        <v>782</v>
      </c>
      <c r="G3515" s="380" t="s">
        <v>1267</v>
      </c>
      <c r="H3515" s="380" t="s">
        <v>771</v>
      </c>
      <c r="I3515" s="380" t="s">
        <v>784</v>
      </c>
      <c r="J3515" s="380" t="s">
        <v>773</v>
      </c>
      <c r="K3515" s="381">
        <v>0.0</v>
      </c>
      <c r="L3515" s="382">
        <v>1.0</v>
      </c>
    </row>
    <row r="3516">
      <c r="A3516" s="380" t="s">
        <v>4379</v>
      </c>
      <c r="B3516" s="380" t="str">
        <f>IFERROR(__xludf.DUMMYFUNCTION("""COMPUTED_VALUE"""),"Boquilla Pistola Pintar Sprit")</f>
        <v>Boquilla Pistola Pintar Sprit</v>
      </c>
      <c r="C3516" s="380" t="str">
        <f>IFERROR(__xludf.DUMMYFUNCTION("""COMPUTED_VALUE"""),"50001136")</f>
        <v>50001136</v>
      </c>
      <c r="D3516" s="380" t="s">
        <v>767</v>
      </c>
      <c r="E3516" s="380" t="s">
        <v>781</v>
      </c>
      <c r="F3516" s="380" t="s">
        <v>782</v>
      </c>
      <c r="G3516" s="380" t="s">
        <v>1267</v>
      </c>
      <c r="H3516" s="380" t="s">
        <v>771</v>
      </c>
      <c r="I3516" s="380" t="s">
        <v>784</v>
      </c>
      <c r="J3516" s="380" t="s">
        <v>773</v>
      </c>
      <c r="K3516" s="381">
        <v>0.0</v>
      </c>
      <c r="L3516" s="382">
        <v>1.0</v>
      </c>
    </row>
    <row r="3517">
      <c r="A3517" s="380" t="s">
        <v>4380</v>
      </c>
      <c r="B3517" s="380" t="str">
        <f>IFERROR(__xludf.DUMMYFUNCTION("""COMPUTED_VALUE"""),"Pistola Para Pintura Sprayit 527 Thomas")</f>
        <v>Pistola Para Pintura Sprayit 527 Thomas</v>
      </c>
      <c r="C3517" s="380" t="str">
        <f>IFERROR(__xludf.DUMMYFUNCTION("""COMPUTED_VALUE"""),"50001137")</f>
        <v>50001137</v>
      </c>
      <c r="D3517" s="380" t="s">
        <v>767</v>
      </c>
      <c r="E3517" s="380" t="s">
        <v>781</v>
      </c>
      <c r="F3517" s="380" t="s">
        <v>782</v>
      </c>
      <c r="G3517" s="380" t="s">
        <v>1267</v>
      </c>
      <c r="H3517" s="380" t="s">
        <v>771</v>
      </c>
      <c r="I3517" s="380" t="s">
        <v>784</v>
      </c>
      <c r="J3517" s="380" t="s">
        <v>773</v>
      </c>
      <c r="K3517" s="381">
        <v>0.0</v>
      </c>
      <c r="L3517" s="382">
        <v>1.0</v>
      </c>
    </row>
    <row r="3518">
      <c r="A3518" s="380" t="s">
        <v>4381</v>
      </c>
      <c r="B3518" s="380" t="str">
        <f>IFERROR(__xludf.DUMMYFUNCTION("""COMPUTED_VALUE"""),"Copa Estriada Cuadrante 1/2 X 1/2 12p Pr")</f>
        <v>Copa Estriada Cuadrante 1/2 X 1/2 12p Pr</v>
      </c>
      <c r="C3518" s="380" t="str">
        <f>IFERROR(__xludf.DUMMYFUNCTION("""COMPUTED_VALUE"""),"50001138")</f>
        <v>50001138</v>
      </c>
      <c r="D3518" s="380" t="s">
        <v>767</v>
      </c>
      <c r="E3518" s="380" t="s">
        <v>781</v>
      </c>
      <c r="F3518" s="380" t="s">
        <v>782</v>
      </c>
      <c r="G3518" s="380" t="s">
        <v>1267</v>
      </c>
      <c r="H3518" s="380" t="s">
        <v>771</v>
      </c>
      <c r="I3518" s="380" t="s">
        <v>784</v>
      </c>
      <c r="J3518" s="380" t="s">
        <v>773</v>
      </c>
      <c r="K3518" s="381">
        <v>0.0</v>
      </c>
      <c r="L3518" s="382">
        <v>1.0</v>
      </c>
    </row>
    <row r="3519">
      <c r="A3519" s="380" t="s">
        <v>4382</v>
      </c>
      <c r="B3519" s="380" t="str">
        <f>IFERROR(__xludf.DUMMYFUNCTION("""COMPUTED_VALUE"""),"Engrasadora Manual Presol")</f>
        <v>Engrasadora Manual Presol</v>
      </c>
      <c r="C3519" s="380" t="str">
        <f>IFERROR(__xludf.DUMMYFUNCTION("""COMPUTED_VALUE"""),"50001139")</f>
        <v>50001139</v>
      </c>
      <c r="D3519" s="380" t="s">
        <v>767</v>
      </c>
      <c r="E3519" s="380" t="s">
        <v>781</v>
      </c>
      <c r="F3519" s="380" t="s">
        <v>782</v>
      </c>
      <c r="G3519" s="380" t="s">
        <v>1267</v>
      </c>
      <c r="H3519" s="380" t="s">
        <v>771</v>
      </c>
      <c r="I3519" s="380" t="s">
        <v>784</v>
      </c>
      <c r="J3519" s="380" t="s">
        <v>773</v>
      </c>
      <c r="K3519" s="381">
        <v>0.0</v>
      </c>
      <c r="L3519" s="382">
        <v>1.0</v>
      </c>
    </row>
    <row r="3520">
      <c r="A3520" s="380" t="s">
        <v>4383</v>
      </c>
      <c r="B3520" s="380" t="str">
        <f>IFERROR(__xludf.DUMMYFUNCTION("""COMPUTED_VALUE"""),"Copa Estriada Cuadrante 1/2 X 5/8 12p Pr")</f>
        <v>Copa Estriada Cuadrante 1/2 X 5/8 12p Pr</v>
      </c>
      <c r="C3520" s="380" t="str">
        <f>IFERROR(__xludf.DUMMYFUNCTION("""COMPUTED_VALUE"""),"50001140")</f>
        <v>50001140</v>
      </c>
      <c r="D3520" s="380" t="s">
        <v>767</v>
      </c>
      <c r="E3520" s="380" t="s">
        <v>781</v>
      </c>
      <c r="F3520" s="380" t="s">
        <v>782</v>
      </c>
      <c r="G3520" s="380" t="s">
        <v>1267</v>
      </c>
      <c r="H3520" s="380" t="s">
        <v>771</v>
      </c>
      <c r="I3520" s="380" t="s">
        <v>784</v>
      </c>
      <c r="J3520" s="380" t="s">
        <v>773</v>
      </c>
      <c r="K3520" s="381">
        <v>0.0</v>
      </c>
      <c r="L3520" s="382">
        <v>1.0</v>
      </c>
    </row>
    <row r="3521">
      <c r="A3521" s="380" t="s">
        <v>4384</v>
      </c>
      <c r="B3521" s="380" t="str">
        <f>IFERROR(__xludf.DUMMYFUNCTION("""COMPUTED_VALUE"""),"Fri Aug 01 2025 00:00:00 GMT-0500 (hora")</f>
        <v>Fri Aug 01 2025 00:00:00 GMT-0500 (hora</v>
      </c>
      <c r="C3521" s="380" t="str">
        <f>IFERROR(__xludf.DUMMYFUNCTION("""COMPUTED_VALUE"""),"50001141")</f>
        <v>50001141</v>
      </c>
      <c r="D3521" s="380" t="s">
        <v>767</v>
      </c>
      <c r="E3521" s="380" t="s">
        <v>781</v>
      </c>
      <c r="F3521" s="380" t="s">
        <v>782</v>
      </c>
      <c r="G3521" s="380" t="s">
        <v>1267</v>
      </c>
      <c r="H3521" s="380" t="s">
        <v>771</v>
      </c>
      <c r="I3521" s="380" t="s">
        <v>784</v>
      </c>
      <c r="J3521" s="380" t="s">
        <v>773</v>
      </c>
      <c r="K3521" s="381">
        <v>0.0</v>
      </c>
      <c r="L3521" s="382">
        <v>1.0</v>
      </c>
    </row>
    <row r="3522">
      <c r="A3522" s="380" t="s">
        <v>4385</v>
      </c>
      <c r="B3522" s="380" t="str">
        <f>IFERROR(__xludf.DUMMYFUNCTION("""COMPUTED_VALUE"""),"Llave Mixta 7/16 Snapon")</f>
        <v>Llave Mixta 7/16 Snapon</v>
      </c>
      <c r="C3522" s="380" t="str">
        <f>IFERROR(__xludf.DUMMYFUNCTION("""COMPUTED_VALUE"""),"50001142")</f>
        <v>50001142</v>
      </c>
      <c r="D3522" s="380" t="s">
        <v>767</v>
      </c>
      <c r="E3522" s="380" t="s">
        <v>781</v>
      </c>
      <c r="F3522" s="380" t="s">
        <v>782</v>
      </c>
      <c r="G3522" s="380" t="s">
        <v>1267</v>
      </c>
      <c r="H3522" s="380" t="s">
        <v>771</v>
      </c>
      <c r="I3522" s="380" t="s">
        <v>784</v>
      </c>
      <c r="J3522" s="380" t="s">
        <v>773</v>
      </c>
      <c r="K3522" s="381">
        <v>0.0</v>
      </c>
      <c r="L3522" s="382">
        <v>1.0</v>
      </c>
    </row>
    <row r="3523">
      <c r="A3523" s="380" t="s">
        <v>4386</v>
      </c>
      <c r="B3523" s="380" t="str">
        <f>IFERROR(__xludf.DUMMYFUNCTION("""COMPUTED_VALUE"""),"Rastrillo Agricola 989119")</f>
        <v>Rastrillo Agricola 989119</v>
      </c>
      <c r="C3523" s="380" t="str">
        <f>IFERROR(__xludf.DUMMYFUNCTION("""COMPUTED_VALUE"""),"50001143")</f>
        <v>50001143</v>
      </c>
      <c r="D3523" s="380" t="s">
        <v>767</v>
      </c>
      <c r="E3523" s="380" t="s">
        <v>781</v>
      </c>
      <c r="F3523" s="380" t="s">
        <v>782</v>
      </c>
      <c r="G3523" s="380" t="s">
        <v>1267</v>
      </c>
      <c r="H3523" s="380" t="s">
        <v>771</v>
      </c>
      <c r="I3523" s="380" t="s">
        <v>784</v>
      </c>
      <c r="J3523" s="380" t="s">
        <v>773</v>
      </c>
      <c r="K3523" s="381">
        <v>0.0</v>
      </c>
      <c r="L3523" s="382">
        <v>1.0</v>
      </c>
    </row>
    <row r="3524">
      <c r="A3524" s="380" t="s">
        <v>4387</v>
      </c>
      <c r="B3524" s="380" t="str">
        <f>IFERROR(__xludf.DUMMYFUNCTION("""COMPUTED_VALUE"""),"Cautin Soldadura De Estaño Varios Watios")</f>
        <v>Cautin Soldadura De Estaño Varios Watios</v>
      </c>
      <c r="C3524" s="380" t="str">
        <f>IFERROR(__xludf.DUMMYFUNCTION("""COMPUTED_VALUE"""),"50001144")</f>
        <v>50001144</v>
      </c>
      <c r="D3524" s="380" t="s">
        <v>767</v>
      </c>
      <c r="E3524" s="380" t="s">
        <v>781</v>
      </c>
      <c r="F3524" s="380" t="s">
        <v>782</v>
      </c>
      <c r="G3524" s="380" t="s">
        <v>1267</v>
      </c>
      <c r="H3524" s="380" t="s">
        <v>771</v>
      </c>
      <c r="I3524" s="380" t="s">
        <v>784</v>
      </c>
      <c r="J3524" s="380" t="s">
        <v>773</v>
      </c>
      <c r="K3524" s="381">
        <v>0.0</v>
      </c>
      <c r="L3524" s="382">
        <v>1.0</v>
      </c>
    </row>
    <row r="3525">
      <c r="A3525" s="380" t="s">
        <v>4388</v>
      </c>
      <c r="B3525" s="380" t="str">
        <f>IFERROR(__xludf.DUMMYFUNCTION("""COMPUTED_VALUE"""),"Escalera De Tijera En Aluminio Tal3")</f>
        <v>Escalera De Tijera En Aluminio Tal3</v>
      </c>
      <c r="C3525" s="380" t="str">
        <f>IFERROR(__xludf.DUMMYFUNCTION("""COMPUTED_VALUE"""),"50001145")</f>
        <v>50001145</v>
      </c>
      <c r="D3525" s="380" t="s">
        <v>767</v>
      </c>
      <c r="E3525" s="380" t="s">
        <v>781</v>
      </c>
      <c r="F3525" s="380" t="s">
        <v>782</v>
      </c>
      <c r="G3525" s="380" t="s">
        <v>1267</v>
      </c>
      <c r="H3525" s="380" t="s">
        <v>771</v>
      </c>
      <c r="I3525" s="380" t="s">
        <v>784</v>
      </c>
      <c r="J3525" s="380" t="s">
        <v>773</v>
      </c>
      <c r="K3525" s="381">
        <v>0.0</v>
      </c>
      <c r="L3525" s="382">
        <v>1.0</v>
      </c>
    </row>
    <row r="3526">
      <c r="A3526" s="380" t="s">
        <v>4389</v>
      </c>
      <c r="B3526" s="380" t="str">
        <f>IFERROR(__xludf.DUMMYFUNCTION("""COMPUTED_VALUE"""),"Candado B-50 Yale 110-50")</f>
        <v>Candado B-50 Yale 110-50</v>
      </c>
      <c r="C3526" s="380" t="str">
        <f>IFERROR(__xludf.DUMMYFUNCTION("""COMPUTED_VALUE"""),"50001146")</f>
        <v>50001146</v>
      </c>
      <c r="D3526" s="380" t="s">
        <v>767</v>
      </c>
      <c r="E3526" s="380" t="s">
        <v>781</v>
      </c>
      <c r="F3526" s="380" t="s">
        <v>782</v>
      </c>
      <c r="G3526" s="380" t="s">
        <v>1267</v>
      </c>
      <c r="H3526" s="380" t="s">
        <v>771</v>
      </c>
      <c r="I3526" s="380" t="s">
        <v>784</v>
      </c>
      <c r="J3526" s="380" t="s">
        <v>773</v>
      </c>
      <c r="K3526" s="381">
        <v>65802.0</v>
      </c>
      <c r="L3526" s="382">
        <v>1.0</v>
      </c>
    </row>
    <row r="3527">
      <c r="A3527" s="380" t="s">
        <v>4390</v>
      </c>
      <c r="B3527" s="380" t="str">
        <f>IFERROR(__xludf.DUMMYFUNCTION("""COMPUTED_VALUE"""),"Pistola Petrolizadora")</f>
        <v>Pistola Petrolizadora</v>
      </c>
      <c r="C3527" s="380" t="str">
        <f>IFERROR(__xludf.DUMMYFUNCTION("""COMPUTED_VALUE"""),"50001147")</f>
        <v>50001147</v>
      </c>
      <c r="D3527" s="380" t="s">
        <v>767</v>
      </c>
      <c r="E3527" s="380" t="s">
        <v>781</v>
      </c>
      <c r="F3527" s="380" t="s">
        <v>782</v>
      </c>
      <c r="G3527" s="380" t="s">
        <v>1267</v>
      </c>
      <c r="H3527" s="380" t="s">
        <v>771</v>
      </c>
      <c r="I3527" s="380" t="s">
        <v>784</v>
      </c>
      <c r="J3527" s="380" t="s">
        <v>773</v>
      </c>
      <c r="K3527" s="381">
        <v>0.0</v>
      </c>
      <c r="L3527" s="382">
        <v>1.0</v>
      </c>
    </row>
    <row r="3528">
      <c r="A3528" s="380" t="s">
        <v>4391</v>
      </c>
      <c r="B3528" s="380" t="str">
        <f>IFERROR(__xludf.DUMMYFUNCTION("""COMPUTED_VALUE"""),"Pistola Para Engrase Greas 15")</f>
        <v>Pistola Para Engrase Greas 15</v>
      </c>
      <c r="C3528" s="380" t="str">
        <f>IFERROR(__xludf.DUMMYFUNCTION("""COMPUTED_VALUE"""),"50001148")</f>
        <v>50001148</v>
      </c>
      <c r="D3528" s="380" t="s">
        <v>767</v>
      </c>
      <c r="E3528" s="380" t="s">
        <v>781</v>
      </c>
      <c r="F3528" s="380" t="s">
        <v>782</v>
      </c>
      <c r="G3528" s="380" t="s">
        <v>1267</v>
      </c>
      <c r="H3528" s="380" t="s">
        <v>771</v>
      </c>
      <c r="I3528" s="380" t="s">
        <v>784</v>
      </c>
      <c r="J3528" s="380" t="s">
        <v>773</v>
      </c>
      <c r="K3528" s="381">
        <v>0.0</v>
      </c>
      <c r="L3528" s="382">
        <v>1.0</v>
      </c>
    </row>
    <row r="3529">
      <c r="A3529" s="380" t="s">
        <v>4392</v>
      </c>
      <c r="B3529" s="380" t="str">
        <f>IFERROR(__xludf.DUMMYFUNCTION("""COMPUTED_VALUE"""),"Copa Impacto Cuad 1/2 X 3/4 Urrea U7324h")</f>
        <v>Copa Impacto Cuad 1/2 X 3/4 Urrea U7324h</v>
      </c>
      <c r="C3529" s="380" t="str">
        <f>IFERROR(__xludf.DUMMYFUNCTION("""COMPUTED_VALUE"""),"50001149")</f>
        <v>50001149</v>
      </c>
      <c r="D3529" s="380" t="s">
        <v>767</v>
      </c>
      <c r="E3529" s="380" t="s">
        <v>781</v>
      </c>
      <c r="F3529" s="380" t="s">
        <v>782</v>
      </c>
      <c r="G3529" s="380" t="s">
        <v>1267</v>
      </c>
      <c r="H3529" s="380" t="s">
        <v>771</v>
      </c>
      <c r="I3529" s="380" t="s">
        <v>784</v>
      </c>
      <c r="J3529" s="380" t="s">
        <v>773</v>
      </c>
      <c r="K3529" s="381">
        <v>0.0</v>
      </c>
      <c r="L3529" s="382">
        <v>1.0</v>
      </c>
    </row>
    <row r="3530">
      <c r="A3530" s="380" t="s">
        <v>4393</v>
      </c>
      <c r="B3530" s="380" t="str">
        <f>IFERROR(__xludf.DUMMYFUNCTION("""COMPUTED_VALUE"""),"Palanca Destalonadora Llanta Tec T-26b")</f>
        <v>Palanca Destalonadora Llanta Tec T-26b</v>
      </c>
      <c r="C3530" s="380" t="str">
        <f>IFERROR(__xludf.DUMMYFUNCTION("""COMPUTED_VALUE"""),"50001150")</f>
        <v>50001150</v>
      </c>
      <c r="D3530" s="380" t="s">
        <v>767</v>
      </c>
      <c r="E3530" s="380" t="s">
        <v>781</v>
      </c>
      <c r="F3530" s="380" t="s">
        <v>782</v>
      </c>
      <c r="G3530" s="380" t="s">
        <v>1267</v>
      </c>
      <c r="H3530" s="380" t="s">
        <v>771</v>
      </c>
      <c r="I3530" s="380" t="s">
        <v>784</v>
      </c>
      <c r="J3530" s="380" t="s">
        <v>773</v>
      </c>
      <c r="K3530" s="381">
        <v>0.0</v>
      </c>
      <c r="L3530" s="382">
        <v>1.0</v>
      </c>
    </row>
    <row r="3531">
      <c r="A3531" s="380" t="s">
        <v>4394</v>
      </c>
      <c r="B3531" s="380" t="str">
        <f>IFERROR(__xludf.DUMMYFUNCTION("""COMPUTED_VALUE"""),"Palanca Desmotadora Camion Tec Tnt-200")</f>
        <v>Palanca Desmotadora Camion Tec Tnt-200</v>
      </c>
      <c r="C3531" s="380" t="str">
        <f>IFERROR(__xludf.DUMMYFUNCTION("""COMPUTED_VALUE"""),"50001151")</f>
        <v>50001151</v>
      </c>
      <c r="D3531" s="380" t="s">
        <v>767</v>
      </c>
      <c r="E3531" s="380" t="s">
        <v>781</v>
      </c>
      <c r="F3531" s="380" t="s">
        <v>782</v>
      </c>
      <c r="G3531" s="380" t="s">
        <v>1267</v>
      </c>
      <c r="H3531" s="380" t="s">
        <v>771</v>
      </c>
      <c r="I3531" s="380" t="s">
        <v>784</v>
      </c>
      <c r="J3531" s="380" t="s">
        <v>773</v>
      </c>
      <c r="K3531" s="381">
        <v>0.0</v>
      </c>
      <c r="L3531" s="382">
        <v>1.0</v>
      </c>
    </row>
    <row r="3532">
      <c r="A3532" s="380" t="s">
        <v>4395</v>
      </c>
      <c r="B3532" s="380" t="str">
        <f>IFERROR(__xludf.DUMMYFUNCTION("""COMPUTED_VALUE"""),"Copa Impacto Cuadrante 1/2 X 13mm Snapon")</f>
        <v>Copa Impacto Cuadrante 1/2 X 13mm Snapon</v>
      </c>
      <c r="C3532" s="380" t="str">
        <f>IFERROR(__xludf.DUMMYFUNCTION("""COMPUTED_VALUE"""),"50001152")</f>
        <v>50001152</v>
      </c>
      <c r="D3532" s="380" t="s">
        <v>767</v>
      </c>
      <c r="E3532" s="380" t="s">
        <v>781</v>
      </c>
      <c r="F3532" s="380" t="s">
        <v>782</v>
      </c>
      <c r="G3532" s="380" t="s">
        <v>1267</v>
      </c>
      <c r="H3532" s="380" t="s">
        <v>771</v>
      </c>
      <c r="I3532" s="380" t="s">
        <v>784</v>
      </c>
      <c r="J3532" s="380" t="s">
        <v>773</v>
      </c>
      <c r="K3532" s="381">
        <v>0.0</v>
      </c>
      <c r="L3532" s="382">
        <v>1.0</v>
      </c>
    </row>
    <row r="3533">
      <c r="A3533" s="380" t="s">
        <v>4396</v>
      </c>
      <c r="B3533" s="380" t="str">
        <f>IFERROR(__xludf.DUMMYFUNCTION("""COMPUTED_VALUE"""),"Llave Mixta 15/16"" Proto")</f>
        <v>Llave Mixta 15/16" Proto</v>
      </c>
      <c r="C3533" s="380" t="str">
        <f>IFERROR(__xludf.DUMMYFUNCTION("""COMPUTED_VALUE"""),"50001153")</f>
        <v>50001153</v>
      </c>
      <c r="D3533" s="380" t="s">
        <v>767</v>
      </c>
      <c r="E3533" s="380" t="s">
        <v>781</v>
      </c>
      <c r="F3533" s="380" t="s">
        <v>782</v>
      </c>
      <c r="G3533" s="380" t="s">
        <v>1267</v>
      </c>
      <c r="H3533" s="380" t="s">
        <v>771</v>
      </c>
      <c r="I3533" s="380" t="s">
        <v>784</v>
      </c>
      <c r="J3533" s="380" t="s">
        <v>773</v>
      </c>
      <c r="K3533" s="381">
        <v>0.0</v>
      </c>
      <c r="L3533" s="382">
        <v>1.0</v>
      </c>
    </row>
    <row r="3534">
      <c r="A3534" s="380" t="s">
        <v>4397</v>
      </c>
      <c r="B3534" s="380" t="str">
        <f>IFERROR(__xludf.DUMMYFUNCTION("""COMPUTED_VALUE"""),"Pinza Pela Cable 6"" A 9""")</f>
        <v>Pinza Pela Cable 6" A 9"</v>
      </c>
      <c r="C3534" s="380" t="str">
        <f>IFERROR(__xludf.DUMMYFUNCTION("""COMPUTED_VALUE"""),"50001154")</f>
        <v>50001154</v>
      </c>
      <c r="D3534" s="380" t="s">
        <v>767</v>
      </c>
      <c r="E3534" s="380" t="s">
        <v>781</v>
      </c>
      <c r="F3534" s="380" t="s">
        <v>782</v>
      </c>
      <c r="G3534" s="380" t="s">
        <v>1267</v>
      </c>
      <c r="H3534" s="380" t="s">
        <v>771</v>
      </c>
      <c r="I3534" s="380" t="s">
        <v>784</v>
      </c>
      <c r="J3534" s="380" t="s">
        <v>773</v>
      </c>
      <c r="K3534" s="381">
        <v>0.0</v>
      </c>
      <c r="L3534" s="382">
        <v>1.0</v>
      </c>
    </row>
    <row r="3535">
      <c r="A3535" s="380" t="s">
        <v>4398</v>
      </c>
      <c r="B3535" s="380" t="str">
        <f>IFERROR(__xludf.DUMMYFUNCTION("""COMPUTED_VALUE"""),"Probador De Circuito 12v Lisle")</f>
        <v>Probador De Circuito 12v Lisle</v>
      </c>
      <c r="C3535" s="380" t="str">
        <f>IFERROR(__xludf.DUMMYFUNCTION("""COMPUTED_VALUE"""),"50001155")</f>
        <v>50001155</v>
      </c>
      <c r="D3535" s="380" t="s">
        <v>767</v>
      </c>
      <c r="E3535" s="380" t="s">
        <v>781</v>
      </c>
      <c r="F3535" s="380" t="s">
        <v>782</v>
      </c>
      <c r="G3535" s="380" t="s">
        <v>1267</v>
      </c>
      <c r="H3535" s="380" t="s">
        <v>771</v>
      </c>
      <c r="I3535" s="380" t="s">
        <v>784</v>
      </c>
      <c r="J3535" s="380" t="s">
        <v>773</v>
      </c>
      <c r="K3535" s="381">
        <v>0.0</v>
      </c>
      <c r="L3535" s="382">
        <v>1.0</v>
      </c>
    </row>
    <row r="3536">
      <c r="A3536" s="380" t="s">
        <v>4399</v>
      </c>
      <c r="B3536" s="380" t="str">
        <f>IFERROR(__xludf.DUMMYFUNCTION("""COMPUTED_VALUE"""),"Llave Mixta 3/8 Tipo B")</f>
        <v>Llave Mixta 3/8 Tipo B</v>
      </c>
      <c r="C3536" s="380" t="str">
        <f>IFERROR(__xludf.DUMMYFUNCTION("""COMPUTED_VALUE"""),"50001156")</f>
        <v>50001156</v>
      </c>
      <c r="D3536" s="380" t="s">
        <v>767</v>
      </c>
      <c r="E3536" s="380" t="s">
        <v>781</v>
      </c>
      <c r="F3536" s="380" t="s">
        <v>782</v>
      </c>
      <c r="G3536" s="380" t="s">
        <v>1267</v>
      </c>
      <c r="H3536" s="380" t="s">
        <v>771</v>
      </c>
      <c r="I3536" s="380" t="s">
        <v>784</v>
      </c>
      <c r="J3536" s="380" t="s">
        <v>773</v>
      </c>
      <c r="K3536" s="381">
        <v>0.0</v>
      </c>
      <c r="L3536" s="382">
        <v>1.0</v>
      </c>
    </row>
    <row r="3537">
      <c r="A3537" s="380" t="s">
        <v>4400</v>
      </c>
      <c r="B3537" s="380" t="str">
        <f>IFERROR(__xludf.DUMMYFUNCTION("""COMPUTED_VALUE"""),"Llana Metalica Lisa")</f>
        <v>Llana Metalica Lisa</v>
      </c>
      <c r="C3537" s="380" t="str">
        <f>IFERROR(__xludf.DUMMYFUNCTION("""COMPUTED_VALUE"""),"50001157")</f>
        <v>50001157</v>
      </c>
      <c r="D3537" s="380" t="s">
        <v>767</v>
      </c>
      <c r="E3537" s="380" t="s">
        <v>781</v>
      </c>
      <c r="F3537" s="380" t="s">
        <v>782</v>
      </c>
      <c r="G3537" s="380" t="s">
        <v>1267</v>
      </c>
      <c r="H3537" s="380" t="s">
        <v>771</v>
      </c>
      <c r="I3537" s="380" t="s">
        <v>784</v>
      </c>
      <c r="J3537" s="380" t="s">
        <v>773</v>
      </c>
      <c r="K3537" s="381">
        <v>0.0</v>
      </c>
      <c r="L3537" s="382">
        <v>1.0</v>
      </c>
    </row>
    <row r="3538">
      <c r="A3538" s="380" t="s">
        <v>4401</v>
      </c>
      <c r="B3538" s="380" t="str">
        <f>IFERROR(__xludf.DUMMYFUNCTION("""COMPUTED_VALUE"""),"Pinza De Punta Fina 8.3/8")</f>
        <v>Pinza De Punta Fina 8.3/8</v>
      </c>
      <c r="C3538" s="380" t="str">
        <f>IFERROR(__xludf.DUMMYFUNCTION("""COMPUTED_VALUE"""),"50001158")</f>
        <v>50001158</v>
      </c>
      <c r="D3538" s="380" t="s">
        <v>767</v>
      </c>
      <c r="E3538" s="380" t="s">
        <v>781</v>
      </c>
      <c r="F3538" s="380" t="s">
        <v>782</v>
      </c>
      <c r="G3538" s="380" t="s">
        <v>1267</v>
      </c>
      <c r="H3538" s="380" t="s">
        <v>771</v>
      </c>
      <c r="I3538" s="380" t="s">
        <v>784</v>
      </c>
      <c r="J3538" s="380" t="s">
        <v>773</v>
      </c>
      <c r="K3538" s="381">
        <v>0.0</v>
      </c>
      <c r="L3538" s="382">
        <v>1.0</v>
      </c>
    </row>
    <row r="3539">
      <c r="A3539" s="380" t="s">
        <v>4402</v>
      </c>
      <c r="B3539" s="380" t="str">
        <f>IFERROR(__xludf.DUMMYFUNCTION("""COMPUTED_VALUE"""),"Lima Re Lima Redonda 1/2 X 12"" Nicholson")</f>
        <v>Lima Re Lima Redonda 1/2 X 12" Nicholson</v>
      </c>
      <c r="C3539" s="380" t="str">
        <f>IFERROR(__xludf.DUMMYFUNCTION("""COMPUTED_VALUE"""),"50001159")</f>
        <v>50001159</v>
      </c>
      <c r="D3539" s="380" t="s">
        <v>767</v>
      </c>
      <c r="E3539" s="380" t="s">
        <v>781</v>
      </c>
      <c r="F3539" s="380" t="s">
        <v>782</v>
      </c>
      <c r="G3539" s="380" t="s">
        <v>1267</v>
      </c>
      <c r="H3539" s="380" t="s">
        <v>771</v>
      </c>
      <c r="I3539" s="380" t="s">
        <v>784</v>
      </c>
      <c r="J3539" s="380" t="s">
        <v>773</v>
      </c>
      <c r="K3539" s="381">
        <v>0.0</v>
      </c>
      <c r="L3539" s="382">
        <v>1.0</v>
      </c>
    </row>
    <row r="3540">
      <c r="A3540" s="380" t="s">
        <v>4403</v>
      </c>
      <c r="B3540" s="380" t="str">
        <f>IFERROR(__xludf.DUMMYFUNCTION("""COMPUTED_VALUE"""),"Juego Llave T7 - T55 Torx Allen X 10")</f>
        <v>Juego Llave T7 - T55 Torx Allen X 10</v>
      </c>
      <c r="C3540" s="380" t="str">
        <f>IFERROR(__xludf.DUMMYFUNCTION("""COMPUTED_VALUE"""),"50001160")</f>
        <v>50001160</v>
      </c>
      <c r="D3540" s="380" t="s">
        <v>767</v>
      </c>
      <c r="E3540" s="380" t="s">
        <v>781</v>
      </c>
      <c r="F3540" s="380" t="s">
        <v>782</v>
      </c>
      <c r="G3540" s="380" t="s">
        <v>1267</v>
      </c>
      <c r="H3540" s="380" t="s">
        <v>771</v>
      </c>
      <c r="I3540" s="380" t="s">
        <v>784</v>
      </c>
      <c r="J3540" s="380" t="s">
        <v>773</v>
      </c>
      <c r="K3540" s="381">
        <v>0.0</v>
      </c>
      <c r="L3540" s="382">
        <v>1.0</v>
      </c>
    </row>
    <row r="3541">
      <c r="A3541" s="380" t="s">
        <v>4404</v>
      </c>
      <c r="B3541" s="380" t="str">
        <f>IFERROR(__xludf.DUMMYFUNCTION("""COMPUTED_VALUE"""),"Multimet Multimetro Digital Ut50c, Ut60a")</f>
        <v>Multimet Multimetro Digital Ut50c, Ut60a</v>
      </c>
      <c r="C3541" s="380" t="str">
        <f>IFERROR(__xludf.DUMMYFUNCTION("""COMPUTED_VALUE"""),"50001161")</f>
        <v>50001161</v>
      </c>
      <c r="D3541" s="380" t="s">
        <v>767</v>
      </c>
      <c r="E3541" s="380" t="s">
        <v>781</v>
      </c>
      <c r="F3541" s="380" t="s">
        <v>782</v>
      </c>
      <c r="G3541" s="380" t="s">
        <v>1267</v>
      </c>
      <c r="H3541" s="380" t="s">
        <v>771</v>
      </c>
      <c r="I3541" s="380" t="s">
        <v>784</v>
      </c>
      <c r="J3541" s="380" t="s">
        <v>773</v>
      </c>
      <c r="K3541" s="381">
        <v>0.0</v>
      </c>
      <c r="L3541" s="382">
        <v>1.0</v>
      </c>
    </row>
    <row r="3542">
      <c r="A3542" s="380" t="s">
        <v>4405</v>
      </c>
      <c r="B3542" s="380" t="str">
        <f>IFERROR(__xludf.DUMMYFUNCTION("""COMPUTED_VALUE"""),"Lima Plana De 12""")</f>
        <v>Lima Plana De 12"</v>
      </c>
      <c r="C3542" s="380" t="str">
        <f>IFERROR(__xludf.DUMMYFUNCTION("""COMPUTED_VALUE"""),"50001162")</f>
        <v>50001162</v>
      </c>
      <c r="D3542" s="380" t="s">
        <v>767</v>
      </c>
      <c r="E3542" s="380" t="s">
        <v>781</v>
      </c>
      <c r="F3542" s="380" t="s">
        <v>782</v>
      </c>
      <c r="G3542" s="380" t="s">
        <v>1267</v>
      </c>
      <c r="H3542" s="380" t="s">
        <v>771</v>
      </c>
      <c r="I3542" s="380" t="s">
        <v>784</v>
      </c>
      <c r="J3542" s="380" t="s">
        <v>773</v>
      </c>
      <c r="K3542" s="381">
        <v>0.0</v>
      </c>
      <c r="L3542" s="382">
        <v>1.0</v>
      </c>
    </row>
    <row r="3543">
      <c r="A3543" s="380" t="s">
        <v>4406</v>
      </c>
      <c r="B3543" s="380" t="str">
        <f>IFERROR(__xludf.DUMMYFUNCTION("""COMPUTED_VALUE"""),"Tijera Corta Lamina 10"" - 14""")</f>
        <v>Tijera Corta Lamina 10" - 14"</v>
      </c>
      <c r="C3543" s="380" t="str">
        <f>IFERROR(__xludf.DUMMYFUNCTION("""COMPUTED_VALUE"""),"50001163")</f>
        <v>50001163</v>
      </c>
      <c r="D3543" s="380" t="s">
        <v>767</v>
      </c>
      <c r="E3543" s="380" t="s">
        <v>781</v>
      </c>
      <c r="F3543" s="380" t="s">
        <v>782</v>
      </c>
      <c r="G3543" s="380" t="s">
        <v>1267</v>
      </c>
      <c r="H3543" s="380" t="s">
        <v>771</v>
      </c>
      <c r="I3543" s="380" t="s">
        <v>784</v>
      </c>
      <c r="J3543" s="380" t="s">
        <v>773</v>
      </c>
      <c r="K3543" s="381">
        <v>0.0</v>
      </c>
      <c r="L3543" s="382">
        <v>1.0</v>
      </c>
    </row>
    <row r="3544">
      <c r="A3544" s="380" t="s">
        <v>4407</v>
      </c>
      <c r="B3544" s="380" t="str">
        <f>IFERROR(__xludf.DUMMYFUNCTION("""COMPUTED_VALUE"""),"Punta Impacto No2 Estrella Snap-On 30180")</f>
        <v>Punta Impacto No2 Estrella Snap-On 30180</v>
      </c>
      <c r="C3544" s="380" t="str">
        <f>IFERROR(__xludf.DUMMYFUNCTION("""COMPUTED_VALUE"""),"50001164")</f>
        <v>50001164</v>
      </c>
      <c r="D3544" s="380" t="s">
        <v>767</v>
      </c>
      <c r="E3544" s="380" t="s">
        <v>781</v>
      </c>
      <c r="F3544" s="380" t="s">
        <v>782</v>
      </c>
      <c r="G3544" s="380" t="s">
        <v>1267</v>
      </c>
      <c r="H3544" s="380" t="s">
        <v>771</v>
      </c>
      <c r="I3544" s="380" t="s">
        <v>784</v>
      </c>
      <c r="J3544" s="380" t="s">
        <v>773</v>
      </c>
      <c r="K3544" s="381">
        <v>0.0</v>
      </c>
      <c r="L3544" s="382">
        <v>1.0</v>
      </c>
    </row>
    <row r="3545">
      <c r="A3545" s="380" t="s">
        <v>4408</v>
      </c>
      <c r="B3545" s="380" t="str">
        <f>IFERROR(__xludf.DUMMYFUNCTION("""COMPUTED_VALUE"""),"Reduccion 3/4 A 1/2 Tipo A")</f>
        <v>Reduccion 3/4 A 1/2 Tipo A</v>
      </c>
      <c r="C3545" s="380" t="str">
        <f>IFERROR(__xludf.DUMMYFUNCTION("""COMPUTED_VALUE"""),"50001165")</f>
        <v>50001165</v>
      </c>
      <c r="D3545" s="380" t="s">
        <v>767</v>
      </c>
      <c r="E3545" s="380" t="s">
        <v>781</v>
      </c>
      <c r="F3545" s="380" t="s">
        <v>782</v>
      </c>
      <c r="G3545" s="380" t="s">
        <v>1267</v>
      </c>
      <c r="H3545" s="380" t="s">
        <v>771</v>
      </c>
      <c r="I3545" s="380" t="s">
        <v>784</v>
      </c>
      <c r="J3545" s="380" t="s">
        <v>773</v>
      </c>
      <c r="K3545" s="381">
        <v>0.0</v>
      </c>
      <c r="L3545" s="382">
        <v>1.0</v>
      </c>
    </row>
    <row r="3546">
      <c r="A3546" s="380" t="s">
        <v>4409</v>
      </c>
      <c r="B3546" s="380" t="str">
        <f>IFERROR(__xludf.DUMMYFUNCTION("""COMPUTED_VALUE"""),"Copa Impacto Cuadrante 1/2 X 15mm Snapon")</f>
        <v>Copa Impacto Cuadrante 1/2 X 15mm Snapon</v>
      </c>
      <c r="C3546" s="380" t="str">
        <f>IFERROR(__xludf.DUMMYFUNCTION("""COMPUTED_VALUE"""),"50001166")</f>
        <v>50001166</v>
      </c>
      <c r="D3546" s="380" t="s">
        <v>767</v>
      </c>
      <c r="E3546" s="380" t="s">
        <v>781</v>
      </c>
      <c r="F3546" s="380" t="s">
        <v>782</v>
      </c>
      <c r="G3546" s="380" t="s">
        <v>1267</v>
      </c>
      <c r="H3546" s="380" t="s">
        <v>771</v>
      </c>
      <c r="I3546" s="380" t="s">
        <v>784</v>
      </c>
      <c r="J3546" s="380" t="s">
        <v>773</v>
      </c>
      <c r="K3546" s="381">
        <v>0.0</v>
      </c>
      <c r="L3546" s="382">
        <v>1.0</v>
      </c>
    </row>
    <row r="3547">
      <c r="A3547" s="380" t="s">
        <v>4410</v>
      </c>
      <c r="B3547" s="380" t="str">
        <f>IFERROR(__xludf.DUMMYFUNCTION("""COMPUTED_VALUE"""),"Cadena Eslabonada 3/8 3/8""")</f>
        <v>Cadena Eslabonada 3/8 3/8"</v>
      </c>
      <c r="C3547" s="380" t="str">
        <f>IFERROR(__xludf.DUMMYFUNCTION("""COMPUTED_VALUE"""),"50001168")</f>
        <v>50001168</v>
      </c>
      <c r="D3547" s="380" t="s">
        <v>767</v>
      </c>
      <c r="E3547" s="380" t="s">
        <v>781</v>
      </c>
      <c r="F3547" s="380" t="s">
        <v>782</v>
      </c>
      <c r="G3547" s="380" t="s">
        <v>1267</v>
      </c>
      <c r="H3547" s="380" t="s">
        <v>771</v>
      </c>
      <c r="I3547" s="380" t="s">
        <v>784</v>
      </c>
      <c r="J3547" s="380" t="s">
        <v>773</v>
      </c>
      <c r="K3547" s="381">
        <v>0.0</v>
      </c>
      <c r="L3547" s="382">
        <v>1.0</v>
      </c>
    </row>
    <row r="3548">
      <c r="A3548" s="380" t="s">
        <v>4411</v>
      </c>
      <c r="B3548" s="380" t="str">
        <f>IFERROR(__xludf.DUMMYFUNCTION("""COMPUTED_VALUE"""),"Copa Impacto Cuadrante 1"" X 1 1/4 Proto")</f>
        <v>Copa Impacto Cuadrante 1" X 1 1/4 Proto</v>
      </c>
      <c r="C3548" s="380" t="str">
        <f>IFERROR(__xludf.DUMMYFUNCTION("""COMPUTED_VALUE"""),"50001170")</f>
        <v>50001170</v>
      </c>
      <c r="D3548" s="380" t="s">
        <v>767</v>
      </c>
      <c r="E3548" s="380" t="s">
        <v>781</v>
      </c>
      <c r="F3548" s="380" t="s">
        <v>782</v>
      </c>
      <c r="G3548" s="380" t="s">
        <v>1267</v>
      </c>
      <c r="H3548" s="380" t="s">
        <v>771</v>
      </c>
      <c r="I3548" s="380" t="s">
        <v>784</v>
      </c>
      <c r="J3548" s="380" t="s">
        <v>773</v>
      </c>
      <c r="K3548" s="381">
        <v>0.0</v>
      </c>
      <c r="L3548" s="382">
        <v>1.0</v>
      </c>
    </row>
    <row r="3549">
      <c r="A3549" s="380" t="s">
        <v>4412</v>
      </c>
      <c r="B3549" s="380" t="str">
        <f>IFERROR(__xludf.DUMMYFUNCTION("""COMPUTED_VALUE"""),"Copa Cuadrante 3/4 X 15/16 Snapon")</f>
        <v>Copa Cuadrante 3/4 X 15/16 Snapon</v>
      </c>
      <c r="C3549" s="380" t="str">
        <f>IFERROR(__xludf.DUMMYFUNCTION("""COMPUTED_VALUE"""),"50001171")</f>
        <v>50001171</v>
      </c>
      <c r="D3549" s="380" t="s">
        <v>767</v>
      </c>
      <c r="E3549" s="380" t="s">
        <v>781</v>
      </c>
      <c r="F3549" s="380" t="s">
        <v>782</v>
      </c>
      <c r="G3549" s="380" t="s">
        <v>1267</v>
      </c>
      <c r="H3549" s="380" t="s">
        <v>771</v>
      </c>
      <c r="I3549" s="380" t="s">
        <v>784</v>
      </c>
      <c r="J3549" s="380" t="s">
        <v>773</v>
      </c>
      <c r="K3549" s="381">
        <v>0.0</v>
      </c>
      <c r="L3549" s="382">
        <v>1.0</v>
      </c>
    </row>
    <row r="3550">
      <c r="A3550" s="380" t="s">
        <v>4413</v>
      </c>
      <c r="B3550" s="380" t="str">
        <f>IFERROR(__xludf.DUMMYFUNCTION("""COMPUTED_VALUE"""),"Pistola Soldadura Weller200w D550/260")</f>
        <v>Pistola Soldadura Weller200w D550/260</v>
      </c>
      <c r="C3550" s="380" t="str">
        <f>IFERROR(__xludf.DUMMYFUNCTION("""COMPUTED_VALUE"""),"50001172")</f>
        <v>50001172</v>
      </c>
      <c r="D3550" s="380" t="s">
        <v>767</v>
      </c>
      <c r="E3550" s="380" t="s">
        <v>781</v>
      </c>
      <c r="F3550" s="380" t="s">
        <v>782</v>
      </c>
      <c r="G3550" s="380" t="s">
        <v>1267</v>
      </c>
      <c r="H3550" s="380" t="s">
        <v>771</v>
      </c>
      <c r="I3550" s="380" t="s">
        <v>784</v>
      </c>
      <c r="J3550" s="380" t="s">
        <v>773</v>
      </c>
      <c r="K3550" s="381">
        <v>0.0</v>
      </c>
      <c r="L3550" s="382">
        <v>1.0</v>
      </c>
    </row>
    <row r="3551">
      <c r="A3551" s="380" t="s">
        <v>4414</v>
      </c>
      <c r="B3551" s="380" t="str">
        <f>IFERROR(__xludf.DUMMYFUNCTION("""COMPUTED_VALUE"""),"Calibrador Aire Llantas Recto 54860 Rect")</f>
        <v>Calibrador Aire Llantas Recto 54860 Rect</v>
      </c>
      <c r="C3551" s="380" t="str">
        <f>IFERROR(__xludf.DUMMYFUNCTION("""COMPUTED_VALUE"""),"50001173")</f>
        <v>50001173</v>
      </c>
      <c r="D3551" s="380" t="s">
        <v>767</v>
      </c>
      <c r="E3551" s="380" t="s">
        <v>781</v>
      </c>
      <c r="F3551" s="380" t="s">
        <v>782</v>
      </c>
      <c r="G3551" s="380" t="s">
        <v>1267</v>
      </c>
      <c r="H3551" s="380" t="s">
        <v>771</v>
      </c>
      <c r="I3551" s="380" t="s">
        <v>784</v>
      </c>
      <c r="J3551" s="380" t="s">
        <v>773</v>
      </c>
      <c r="K3551" s="381">
        <v>134732.0</v>
      </c>
      <c r="L3551" s="382">
        <v>1.0</v>
      </c>
    </row>
    <row r="3552">
      <c r="A3552" s="380" t="s">
        <v>4415</v>
      </c>
      <c r="B3552" s="380" t="str">
        <f>IFERROR(__xludf.DUMMYFUNCTION("""COMPUTED_VALUE"""),"Calibrador Aire Pesado 150 Lbs")</f>
        <v>Calibrador Aire Pesado 150 Lbs</v>
      </c>
      <c r="C3552" s="380" t="str">
        <f>IFERROR(__xludf.DUMMYFUNCTION("""COMPUTED_VALUE"""),"50001174")</f>
        <v>50001174</v>
      </c>
      <c r="D3552" s="380" t="s">
        <v>767</v>
      </c>
      <c r="E3552" s="380" t="s">
        <v>781</v>
      </c>
      <c r="F3552" s="380" t="s">
        <v>782</v>
      </c>
      <c r="G3552" s="380" t="s">
        <v>1267</v>
      </c>
      <c r="H3552" s="380" t="s">
        <v>771</v>
      </c>
      <c r="I3552" s="380" t="s">
        <v>784</v>
      </c>
      <c r="J3552" s="380" t="s">
        <v>773</v>
      </c>
      <c r="K3552" s="381">
        <v>0.0</v>
      </c>
      <c r="L3552" s="382">
        <v>1.0</v>
      </c>
    </row>
    <row r="3553">
      <c r="A3553" s="380" t="s">
        <v>4416</v>
      </c>
      <c r="B3553" s="380" t="str">
        <f>IFERROR(__xludf.DUMMYFUNCTION("""COMPUTED_VALUE"""),"Copa Cuadran 1/2 X 9/16 Prot 9/16 C 1/2")</f>
        <v>Copa Cuadran 1/2 X 9/16 Prot 9/16 C 1/2</v>
      </c>
      <c r="C3553" s="380" t="str">
        <f>IFERROR(__xludf.DUMMYFUNCTION("""COMPUTED_VALUE"""),"50001175")</f>
        <v>50001175</v>
      </c>
      <c r="D3553" s="380" t="s">
        <v>767</v>
      </c>
      <c r="E3553" s="380" t="s">
        <v>781</v>
      </c>
      <c r="F3553" s="380" t="s">
        <v>782</v>
      </c>
      <c r="G3553" s="380" t="s">
        <v>1267</v>
      </c>
      <c r="H3553" s="380" t="s">
        <v>771</v>
      </c>
      <c r="I3553" s="380" t="s">
        <v>784</v>
      </c>
      <c r="J3553" s="380" t="s">
        <v>773</v>
      </c>
      <c r="K3553" s="381">
        <v>0.0</v>
      </c>
      <c r="L3553" s="382">
        <v>1.0</v>
      </c>
    </row>
    <row r="3554">
      <c r="A3554" s="380" t="s">
        <v>4417</v>
      </c>
      <c r="B3554" s="380" t="str">
        <f>IFERROR(__xludf.DUMMYFUNCTION("""COMPUTED_VALUE"""),"Llave Mixta 9/16 Proto")</f>
        <v>Llave Mixta 9/16 Proto</v>
      </c>
      <c r="C3554" s="380" t="str">
        <f>IFERROR(__xludf.DUMMYFUNCTION("""COMPUTED_VALUE"""),"50001176")</f>
        <v>50001176</v>
      </c>
      <c r="D3554" s="380" t="s">
        <v>767</v>
      </c>
      <c r="E3554" s="380" t="s">
        <v>781</v>
      </c>
      <c r="F3554" s="380" t="s">
        <v>782</v>
      </c>
      <c r="G3554" s="380" t="s">
        <v>1267</v>
      </c>
      <c r="H3554" s="380" t="s">
        <v>771</v>
      </c>
      <c r="I3554" s="380" t="s">
        <v>784</v>
      </c>
      <c r="J3554" s="380" t="s">
        <v>773</v>
      </c>
      <c r="K3554" s="381">
        <v>0.0</v>
      </c>
      <c r="L3554" s="382">
        <v>1.0</v>
      </c>
    </row>
    <row r="3555">
      <c r="A3555" s="380" t="s">
        <v>4418</v>
      </c>
      <c r="B3555" s="380" t="str">
        <f>IFERROR(__xludf.DUMMYFUNCTION("""COMPUTED_VALUE"""),"Paleta Pare Y Siga")</f>
        <v>Paleta Pare Y Siga</v>
      </c>
      <c r="C3555" s="380" t="str">
        <f>IFERROR(__xludf.DUMMYFUNCTION("""COMPUTED_VALUE"""),"50001177")</f>
        <v>50001177</v>
      </c>
      <c r="D3555" s="380" t="s">
        <v>767</v>
      </c>
      <c r="E3555" s="380" t="s">
        <v>781</v>
      </c>
      <c r="F3555" s="380" t="s">
        <v>782</v>
      </c>
      <c r="G3555" s="380" t="s">
        <v>1267</v>
      </c>
      <c r="H3555" s="380" t="s">
        <v>771</v>
      </c>
      <c r="I3555" s="380" t="s">
        <v>784</v>
      </c>
      <c r="J3555" s="380" t="s">
        <v>773</v>
      </c>
      <c r="K3555" s="381">
        <v>0.0</v>
      </c>
      <c r="L3555" s="382">
        <v>1.0</v>
      </c>
    </row>
    <row r="3556">
      <c r="A3556" s="380" t="s">
        <v>4419</v>
      </c>
      <c r="B3556" s="380" t="str">
        <f>IFERROR(__xludf.DUMMYFUNCTION("""COMPUTED_VALUE"""),"Copa Cuadrante 1/2 X 13mm Tipo A")</f>
        <v>Copa Cuadrante 1/2 X 13mm Tipo A</v>
      </c>
      <c r="C3556" s="380" t="str">
        <f>IFERROR(__xludf.DUMMYFUNCTION("""COMPUTED_VALUE"""),"50001178")</f>
        <v>50001178</v>
      </c>
      <c r="D3556" s="380" t="s">
        <v>767</v>
      </c>
      <c r="E3556" s="380" t="s">
        <v>781</v>
      </c>
      <c r="F3556" s="380" t="s">
        <v>782</v>
      </c>
      <c r="G3556" s="380" t="s">
        <v>1267</v>
      </c>
      <c r="H3556" s="380" t="s">
        <v>771</v>
      </c>
      <c r="I3556" s="380" t="s">
        <v>784</v>
      </c>
      <c r="J3556" s="380" t="s">
        <v>773</v>
      </c>
      <c r="K3556" s="381">
        <v>0.0</v>
      </c>
      <c r="L3556" s="382">
        <v>1.0</v>
      </c>
    </row>
    <row r="3557">
      <c r="A3557" s="380" t="s">
        <v>4420</v>
      </c>
      <c r="B3557" s="380" t="str">
        <f>IFERROR(__xludf.DUMMYFUNCTION("""COMPUTED_VALUE"""),"Pinza Convertible 0.36"" Snapon")</f>
        <v>Pinza Convertible 0.36" Snapon</v>
      </c>
      <c r="C3557" s="380" t="str">
        <f>IFERROR(__xludf.DUMMYFUNCTION("""COMPUTED_VALUE"""),"50001179")</f>
        <v>50001179</v>
      </c>
      <c r="D3557" s="380" t="s">
        <v>767</v>
      </c>
      <c r="E3557" s="380" t="s">
        <v>781</v>
      </c>
      <c r="F3557" s="380" t="s">
        <v>782</v>
      </c>
      <c r="G3557" s="380" t="s">
        <v>1267</v>
      </c>
      <c r="H3557" s="380" t="s">
        <v>771</v>
      </c>
      <c r="I3557" s="380" t="s">
        <v>784</v>
      </c>
      <c r="J3557" s="380" t="s">
        <v>773</v>
      </c>
      <c r="K3557" s="381">
        <v>0.0</v>
      </c>
      <c r="L3557" s="382">
        <v>1.0</v>
      </c>
    </row>
    <row r="3558">
      <c r="A3558" s="380" t="s">
        <v>4421</v>
      </c>
      <c r="B3558" s="380" t="str">
        <f>IFERROR(__xludf.DUMMYFUNCTION("""COMPUTED_VALUE"""),"Copa Cuadrante 3/8 X 11mm Proto")</f>
        <v>Copa Cuadrante 3/8 X 11mm Proto</v>
      </c>
      <c r="C3558" s="380" t="str">
        <f>IFERROR(__xludf.DUMMYFUNCTION("""COMPUTED_VALUE"""),"50001180")</f>
        <v>50001180</v>
      </c>
      <c r="D3558" s="380" t="s">
        <v>767</v>
      </c>
      <c r="E3558" s="380" t="s">
        <v>781</v>
      </c>
      <c r="F3558" s="380" t="s">
        <v>782</v>
      </c>
      <c r="G3558" s="380" t="s">
        <v>1267</v>
      </c>
      <c r="H3558" s="380" t="s">
        <v>771</v>
      </c>
      <c r="I3558" s="380" t="s">
        <v>784</v>
      </c>
      <c r="J3558" s="380" t="s">
        <v>773</v>
      </c>
      <c r="K3558" s="381">
        <v>0.0</v>
      </c>
      <c r="L3558" s="382">
        <v>1.0</v>
      </c>
    </row>
    <row r="3559">
      <c r="A3559" s="380" t="s">
        <v>4422</v>
      </c>
      <c r="B3559" s="380" t="str">
        <f>IFERROR(__xludf.DUMMYFUNCTION("""COMPUTED_VALUE"""),"Copa Cuadrante 3/8 X 7mm Proto")</f>
        <v>Copa Cuadrante 3/8 X 7mm Proto</v>
      </c>
      <c r="C3559" s="380" t="str">
        <f>IFERROR(__xludf.DUMMYFUNCTION("""COMPUTED_VALUE"""),"50001181")</f>
        <v>50001181</v>
      </c>
      <c r="D3559" s="380" t="s">
        <v>767</v>
      </c>
      <c r="E3559" s="380" t="s">
        <v>781</v>
      </c>
      <c r="F3559" s="380" t="s">
        <v>782</v>
      </c>
      <c r="G3559" s="380" t="s">
        <v>1267</v>
      </c>
      <c r="H3559" s="380" t="s">
        <v>771</v>
      </c>
      <c r="I3559" s="380" t="s">
        <v>784</v>
      </c>
      <c r="J3559" s="380" t="s">
        <v>773</v>
      </c>
      <c r="K3559" s="381">
        <v>0.0</v>
      </c>
      <c r="L3559" s="382">
        <v>1.0</v>
      </c>
    </row>
    <row r="3560">
      <c r="A3560" s="380" t="s">
        <v>4423</v>
      </c>
      <c r="B3560" s="380" t="str">
        <f>IFERROR(__xludf.DUMMYFUNCTION("""COMPUTED_VALUE"""),"Exten Extension Cuadrante 3/8 X 3"" Proto")</f>
        <v>Exten Extension Cuadrante 3/8 X 3" Proto</v>
      </c>
      <c r="C3560" s="380" t="str">
        <f>IFERROR(__xludf.DUMMYFUNCTION("""COMPUTED_VALUE"""),"50001182")</f>
        <v>50001182</v>
      </c>
      <c r="D3560" s="380" t="s">
        <v>767</v>
      </c>
      <c r="E3560" s="380" t="s">
        <v>781</v>
      </c>
      <c r="F3560" s="380" t="s">
        <v>782</v>
      </c>
      <c r="G3560" s="380" t="s">
        <v>1267</v>
      </c>
      <c r="H3560" s="380" t="s">
        <v>771</v>
      </c>
      <c r="I3560" s="380" t="s">
        <v>784</v>
      </c>
      <c r="J3560" s="380" t="s">
        <v>773</v>
      </c>
      <c r="K3560" s="381">
        <v>0.0</v>
      </c>
      <c r="L3560" s="382">
        <v>1.0</v>
      </c>
    </row>
    <row r="3561">
      <c r="A3561" s="380" t="s">
        <v>4424</v>
      </c>
      <c r="B3561" s="380" t="str">
        <f>IFERROR(__xludf.DUMMYFUNCTION("""COMPUTED_VALUE"""),"Exten Extension Cuadrante 3/8 X 6"" Proto")</f>
        <v>Exten Extension Cuadrante 3/8 X 6" Proto</v>
      </c>
      <c r="C3561" s="380" t="str">
        <f>IFERROR(__xludf.DUMMYFUNCTION("""COMPUTED_VALUE"""),"50001183")</f>
        <v>50001183</v>
      </c>
      <c r="D3561" s="380" t="s">
        <v>767</v>
      </c>
      <c r="E3561" s="380" t="s">
        <v>781</v>
      </c>
      <c r="F3561" s="380" t="s">
        <v>782</v>
      </c>
      <c r="G3561" s="380" t="s">
        <v>1267</v>
      </c>
      <c r="H3561" s="380" t="s">
        <v>771</v>
      </c>
      <c r="I3561" s="380" t="s">
        <v>784</v>
      </c>
      <c r="J3561" s="380" t="s">
        <v>773</v>
      </c>
      <c r="K3561" s="381">
        <v>0.0</v>
      </c>
      <c r="L3561" s="382">
        <v>1.0</v>
      </c>
    </row>
    <row r="3562">
      <c r="A3562" s="380" t="s">
        <v>4425</v>
      </c>
      <c r="B3562" s="380" t="str">
        <f>IFERROR(__xludf.DUMMYFUNCTION("""COMPUTED_VALUE"""),"Ext Extension Cuadrante 3/8 X 12"" Snapon")</f>
        <v>Ext Extension Cuadrante 3/8 X 12" Snapon</v>
      </c>
      <c r="C3562" s="380" t="str">
        <f>IFERROR(__xludf.DUMMYFUNCTION("""COMPUTED_VALUE"""),"50001184")</f>
        <v>50001184</v>
      </c>
      <c r="D3562" s="380" t="s">
        <v>767</v>
      </c>
      <c r="E3562" s="380" t="s">
        <v>781</v>
      </c>
      <c r="F3562" s="380" t="s">
        <v>782</v>
      </c>
      <c r="G3562" s="380" t="s">
        <v>1267</v>
      </c>
      <c r="H3562" s="380" t="s">
        <v>771</v>
      </c>
      <c r="I3562" s="380" t="s">
        <v>784</v>
      </c>
      <c r="J3562" s="380" t="s">
        <v>773</v>
      </c>
      <c r="K3562" s="381">
        <v>0.0</v>
      </c>
      <c r="L3562" s="382">
        <v>1.0</v>
      </c>
    </row>
    <row r="3563">
      <c r="A3563" s="380" t="s">
        <v>4426</v>
      </c>
      <c r="B3563" s="380" t="str">
        <f>IFERROR(__xludf.DUMMYFUNCTION("""COMPUTED_VALUE"""),"Llave Mixta 17mm Proto")</f>
        <v>Llave Mixta 17mm Proto</v>
      </c>
      <c r="C3563" s="380" t="str">
        <f>IFERROR(__xludf.DUMMYFUNCTION("""COMPUTED_VALUE"""),"50001185")</f>
        <v>50001185</v>
      </c>
      <c r="D3563" s="380" t="s">
        <v>767</v>
      </c>
      <c r="E3563" s="380" t="s">
        <v>781</v>
      </c>
      <c r="F3563" s="380" t="s">
        <v>782</v>
      </c>
      <c r="G3563" s="380" t="s">
        <v>1267</v>
      </c>
      <c r="H3563" s="380" t="s">
        <v>771</v>
      </c>
      <c r="I3563" s="380" t="s">
        <v>784</v>
      </c>
      <c r="J3563" s="380" t="s">
        <v>773</v>
      </c>
      <c r="K3563" s="381">
        <v>0.0</v>
      </c>
      <c r="L3563" s="382">
        <v>1.0</v>
      </c>
    </row>
    <row r="3564">
      <c r="A3564" s="380" t="s">
        <v>4427</v>
      </c>
      <c r="B3564" s="380" t="str">
        <f>IFERROR(__xludf.DUMMYFUNCTION("""COMPUTED_VALUE"""),"Calibrador De Galgas Tipo A")</f>
        <v>Calibrador De Galgas Tipo A</v>
      </c>
      <c r="C3564" s="380" t="str">
        <f>IFERROR(__xludf.DUMMYFUNCTION("""COMPUTED_VALUE"""),"50001186")</f>
        <v>50001186</v>
      </c>
      <c r="D3564" s="380" t="s">
        <v>767</v>
      </c>
      <c r="E3564" s="380" t="s">
        <v>781</v>
      </c>
      <c r="F3564" s="380" t="s">
        <v>782</v>
      </c>
      <c r="G3564" s="380" t="s">
        <v>1267</v>
      </c>
      <c r="H3564" s="380" t="s">
        <v>771</v>
      </c>
      <c r="I3564" s="380" t="s">
        <v>784</v>
      </c>
      <c r="J3564" s="380" t="s">
        <v>773</v>
      </c>
      <c r="K3564" s="381">
        <v>0.0</v>
      </c>
      <c r="L3564" s="382">
        <v>1.0</v>
      </c>
    </row>
    <row r="3565">
      <c r="A3565" s="380" t="s">
        <v>4428</v>
      </c>
      <c r="B3565" s="380" t="str">
        <f>IFERROR(__xludf.DUMMYFUNCTION("""COMPUTED_VALUE"""),"Copa Cuadrante 3/4 X 1 1/8 Proto")</f>
        <v>Copa Cuadrante 3/4 X 1 1/8 Proto</v>
      </c>
      <c r="C3565" s="380" t="str">
        <f>IFERROR(__xludf.DUMMYFUNCTION("""COMPUTED_VALUE"""),"50001187")</f>
        <v>50001187</v>
      </c>
      <c r="D3565" s="380" t="s">
        <v>767</v>
      </c>
      <c r="E3565" s="380" t="s">
        <v>781</v>
      </c>
      <c r="F3565" s="380" t="s">
        <v>782</v>
      </c>
      <c r="G3565" s="380" t="s">
        <v>1267</v>
      </c>
      <c r="H3565" s="380" t="s">
        <v>771</v>
      </c>
      <c r="I3565" s="380" t="s">
        <v>784</v>
      </c>
      <c r="J3565" s="380" t="s">
        <v>773</v>
      </c>
      <c r="K3565" s="381">
        <v>0.0</v>
      </c>
      <c r="L3565" s="382">
        <v>1.0</v>
      </c>
    </row>
    <row r="3566">
      <c r="A3566" s="380" t="s">
        <v>4429</v>
      </c>
      <c r="B3566" s="380" t="str">
        <f>IFERROR(__xludf.DUMMYFUNCTION("""COMPUTED_VALUE"""),"Llave Mixta 18mm Proto")</f>
        <v>Llave Mixta 18mm Proto</v>
      </c>
      <c r="C3566" s="380" t="str">
        <f>IFERROR(__xludf.DUMMYFUNCTION("""COMPUTED_VALUE"""),"50001188")</f>
        <v>50001188</v>
      </c>
      <c r="D3566" s="380" t="s">
        <v>767</v>
      </c>
      <c r="E3566" s="380" t="s">
        <v>781</v>
      </c>
      <c r="F3566" s="380" t="s">
        <v>782</v>
      </c>
      <c r="G3566" s="380" t="s">
        <v>1267</v>
      </c>
      <c r="H3566" s="380" t="s">
        <v>771</v>
      </c>
      <c r="I3566" s="380" t="s">
        <v>784</v>
      </c>
      <c r="J3566" s="380" t="s">
        <v>773</v>
      </c>
      <c r="K3566" s="381">
        <v>0.0</v>
      </c>
      <c r="L3566" s="382">
        <v>1.0</v>
      </c>
    </row>
    <row r="3567">
      <c r="A3567" s="380" t="s">
        <v>4430</v>
      </c>
      <c r="B3567" s="380" t="str">
        <f>IFERROR(__xludf.DUMMYFUNCTION("""COMPUTED_VALUE"""),"Probador De Corriente De 110")</f>
        <v>Probador De Corriente De 110</v>
      </c>
      <c r="C3567" s="380" t="str">
        <f>IFERROR(__xludf.DUMMYFUNCTION("""COMPUTED_VALUE"""),"50001189")</f>
        <v>50001189</v>
      </c>
      <c r="D3567" s="380" t="s">
        <v>767</v>
      </c>
      <c r="E3567" s="380" t="s">
        <v>781</v>
      </c>
      <c r="F3567" s="380" t="s">
        <v>782</v>
      </c>
      <c r="G3567" s="380" t="s">
        <v>1267</v>
      </c>
      <c r="H3567" s="380" t="s">
        <v>771</v>
      </c>
      <c r="I3567" s="380" t="s">
        <v>784</v>
      </c>
      <c r="J3567" s="380" t="s">
        <v>773</v>
      </c>
      <c r="K3567" s="381">
        <v>0.0</v>
      </c>
      <c r="L3567" s="382">
        <v>1.0</v>
      </c>
    </row>
    <row r="3568">
      <c r="A3568" s="380" t="s">
        <v>4431</v>
      </c>
      <c r="B3568" s="380" t="str">
        <f>IFERROR(__xludf.DUMMYFUNCTION("""COMPUTED_VALUE"""),"Punta De Impacto Estrella Tor")</f>
        <v>Punta De Impacto Estrella Tor</v>
      </c>
      <c r="C3568" s="380" t="str">
        <f>IFERROR(__xludf.DUMMYFUNCTION("""COMPUTED_VALUE"""),"50001190")</f>
        <v>50001190</v>
      </c>
      <c r="D3568" s="380" t="s">
        <v>767</v>
      </c>
      <c r="E3568" s="380" t="s">
        <v>781</v>
      </c>
      <c r="F3568" s="380" t="s">
        <v>782</v>
      </c>
      <c r="G3568" s="380" t="s">
        <v>1267</v>
      </c>
      <c r="H3568" s="380" t="s">
        <v>771</v>
      </c>
      <c r="I3568" s="380" t="s">
        <v>784</v>
      </c>
      <c r="J3568" s="380" t="s">
        <v>773</v>
      </c>
      <c r="K3568" s="381">
        <v>0.0</v>
      </c>
      <c r="L3568" s="382">
        <v>1.0</v>
      </c>
    </row>
    <row r="3569">
      <c r="A3569" s="380" t="s">
        <v>4432</v>
      </c>
      <c r="B3569" s="380" t="str">
        <f>IFERROR(__xludf.DUMMYFUNCTION("""COMPUTED_VALUE"""),"Correa Carga Quimicos Jgo X 2 M 5 Mts")</f>
        <v>Correa Carga Quimicos Jgo X 2 M 5 Mts</v>
      </c>
      <c r="C3569" s="380" t="str">
        <f>IFERROR(__xludf.DUMMYFUNCTION("""COMPUTED_VALUE"""),"50001191")</f>
        <v>50001191</v>
      </c>
      <c r="D3569" s="380" t="s">
        <v>767</v>
      </c>
      <c r="E3569" s="380" t="s">
        <v>781</v>
      </c>
      <c r="F3569" s="380" t="s">
        <v>782</v>
      </c>
      <c r="G3569" s="380" t="s">
        <v>1267</v>
      </c>
      <c r="H3569" s="380" t="s">
        <v>771</v>
      </c>
      <c r="I3569" s="380" t="s">
        <v>784</v>
      </c>
      <c r="J3569" s="380" t="s">
        <v>773</v>
      </c>
      <c r="K3569" s="381">
        <v>0.0</v>
      </c>
      <c r="L3569" s="382">
        <v>1.0</v>
      </c>
    </row>
    <row r="3570">
      <c r="A3570" s="380" t="s">
        <v>4433</v>
      </c>
      <c r="B3570" s="380" t="str">
        <f>IFERROR(__xludf.DUMMYFUNCTION("""COMPUTED_VALUE"""),"Lima Mediacaña De Lima Mediacaña De 12""")</f>
        <v>Lima Mediacaña De Lima Mediacaña De 12"</v>
      </c>
      <c r="C3570" s="380" t="str">
        <f>IFERROR(__xludf.DUMMYFUNCTION("""COMPUTED_VALUE"""),"50001192")</f>
        <v>50001192</v>
      </c>
      <c r="D3570" s="380" t="s">
        <v>767</v>
      </c>
      <c r="E3570" s="380" t="s">
        <v>781</v>
      </c>
      <c r="F3570" s="380" t="s">
        <v>782</v>
      </c>
      <c r="G3570" s="380" t="s">
        <v>1267</v>
      </c>
      <c r="H3570" s="380" t="s">
        <v>771</v>
      </c>
      <c r="I3570" s="380" t="s">
        <v>784</v>
      </c>
      <c r="J3570" s="380" t="s">
        <v>773</v>
      </c>
      <c r="K3570" s="381">
        <v>0.0</v>
      </c>
      <c r="L3570" s="382">
        <v>1.0</v>
      </c>
    </row>
    <row r="3571">
      <c r="A3571" s="380" t="s">
        <v>4434</v>
      </c>
      <c r="B3571" s="380" t="str">
        <f>IFERROR(__xludf.DUMMYFUNCTION("""COMPUTED_VALUE"""),"Lima Plana De 10""")</f>
        <v>Lima Plana De 10"</v>
      </c>
      <c r="C3571" s="380" t="str">
        <f>IFERROR(__xludf.DUMMYFUNCTION("""COMPUTED_VALUE"""),"50001193")</f>
        <v>50001193</v>
      </c>
      <c r="D3571" s="380" t="s">
        <v>767</v>
      </c>
      <c r="E3571" s="380" t="s">
        <v>781</v>
      </c>
      <c r="F3571" s="380" t="s">
        <v>782</v>
      </c>
      <c r="G3571" s="380" t="s">
        <v>1267</v>
      </c>
      <c r="H3571" s="380" t="s">
        <v>771</v>
      </c>
      <c r="I3571" s="380" t="s">
        <v>784</v>
      </c>
      <c r="J3571" s="380" t="s">
        <v>773</v>
      </c>
      <c r="K3571" s="381">
        <v>0.0</v>
      </c>
      <c r="L3571" s="382">
        <v>1.0</v>
      </c>
    </row>
    <row r="3572">
      <c r="A3572" s="380" t="s">
        <v>4435</v>
      </c>
      <c r="B3572" s="380" t="str">
        <f>IFERROR(__xludf.DUMMYFUNCTION("""COMPUTED_VALUE"""),"Martillo Herragro Pulido 150125mm")</f>
        <v>Martillo Herragro Pulido 150125mm</v>
      </c>
      <c r="C3572" s="380" t="str">
        <f>IFERROR(__xludf.DUMMYFUNCTION("""COMPUTED_VALUE"""),"50001194")</f>
        <v>50001194</v>
      </c>
      <c r="D3572" s="380" t="s">
        <v>767</v>
      </c>
      <c r="E3572" s="380" t="s">
        <v>781</v>
      </c>
      <c r="F3572" s="380" t="s">
        <v>782</v>
      </c>
      <c r="G3572" s="380" t="s">
        <v>1267</v>
      </c>
      <c r="H3572" s="380" t="s">
        <v>771</v>
      </c>
      <c r="I3572" s="380" t="s">
        <v>784</v>
      </c>
      <c r="J3572" s="380" t="s">
        <v>773</v>
      </c>
      <c r="K3572" s="381">
        <v>0.0</v>
      </c>
      <c r="L3572" s="382">
        <v>1.0</v>
      </c>
    </row>
    <row r="3573">
      <c r="A3573" s="380" t="s">
        <v>4436</v>
      </c>
      <c r="B3573" s="380" t="str">
        <f>IFERROR(__xludf.DUMMYFUNCTION("""COMPUTED_VALUE"""),"Broca Sierra 1""")</f>
        <v>Broca Sierra 1"</v>
      </c>
      <c r="C3573" s="380" t="str">
        <f>IFERROR(__xludf.DUMMYFUNCTION("""COMPUTED_VALUE"""),"50001195")</f>
        <v>50001195</v>
      </c>
      <c r="D3573" s="380" t="s">
        <v>767</v>
      </c>
      <c r="E3573" s="380" t="s">
        <v>781</v>
      </c>
      <c r="F3573" s="380" t="s">
        <v>782</v>
      </c>
      <c r="G3573" s="380" t="s">
        <v>1267</v>
      </c>
      <c r="H3573" s="380" t="s">
        <v>771</v>
      </c>
      <c r="I3573" s="380" t="s">
        <v>784</v>
      </c>
      <c r="J3573" s="380" t="s">
        <v>773</v>
      </c>
      <c r="K3573" s="381">
        <v>0.0</v>
      </c>
      <c r="L3573" s="382">
        <v>1.0</v>
      </c>
    </row>
    <row r="3574">
      <c r="A3574" s="380" t="s">
        <v>4437</v>
      </c>
      <c r="B3574" s="380" t="str">
        <f>IFERROR(__xludf.DUMMYFUNCTION("""COMPUTED_VALUE"""),"Broca Sierra 5/8 5/8""")</f>
        <v>Broca Sierra 5/8 5/8"</v>
      </c>
      <c r="C3574" s="380" t="str">
        <f>IFERROR(__xludf.DUMMYFUNCTION("""COMPUTED_VALUE"""),"50001196")</f>
        <v>50001196</v>
      </c>
      <c r="D3574" s="380" t="s">
        <v>767</v>
      </c>
      <c r="E3574" s="380" t="s">
        <v>781</v>
      </c>
      <c r="F3574" s="380" t="s">
        <v>782</v>
      </c>
      <c r="G3574" s="380" t="s">
        <v>1267</v>
      </c>
      <c r="H3574" s="380" t="s">
        <v>771</v>
      </c>
      <c r="I3574" s="380" t="s">
        <v>784</v>
      </c>
      <c r="J3574" s="380" t="s">
        <v>773</v>
      </c>
      <c r="K3574" s="381">
        <v>0.0</v>
      </c>
      <c r="L3574" s="382">
        <v>1.0</v>
      </c>
    </row>
    <row r="3575">
      <c r="A3575" s="380" t="s">
        <v>4438</v>
      </c>
      <c r="B3575" s="380" t="str">
        <f>IFERROR(__xludf.DUMMYFUNCTION("""COMPUTED_VALUE"""),"LINTna Dinamo Led Brigadista Tipo Minero")</f>
        <v>LINTna Dinamo Led Brigadista Tipo Minero</v>
      </c>
      <c r="C3575" s="380" t="str">
        <f>IFERROR(__xludf.DUMMYFUNCTION("""COMPUTED_VALUE"""),"50001197")</f>
        <v>50001197</v>
      </c>
      <c r="D3575" s="380" t="s">
        <v>767</v>
      </c>
      <c r="E3575" s="380" t="s">
        <v>781</v>
      </c>
      <c r="F3575" s="380" t="s">
        <v>782</v>
      </c>
      <c r="G3575" s="380" t="s">
        <v>1267</v>
      </c>
      <c r="H3575" s="380" t="s">
        <v>771</v>
      </c>
      <c r="I3575" s="380" t="s">
        <v>784</v>
      </c>
      <c r="J3575" s="380" t="s">
        <v>773</v>
      </c>
      <c r="K3575" s="381">
        <v>0.0</v>
      </c>
      <c r="L3575" s="382">
        <v>1.0</v>
      </c>
    </row>
    <row r="3576">
      <c r="A3576" s="380" t="s">
        <v>4439</v>
      </c>
      <c r="B3576" s="380" t="str">
        <f>IFERROR(__xludf.DUMMYFUNCTION("""COMPUTED_VALUE"""),"Broca Sierra 3/4 3/4""")</f>
        <v>Broca Sierra 3/4 3/4"</v>
      </c>
      <c r="C3576" s="380" t="str">
        <f>IFERROR(__xludf.DUMMYFUNCTION("""COMPUTED_VALUE"""),"50001198")</f>
        <v>50001198</v>
      </c>
      <c r="D3576" s="380" t="s">
        <v>767</v>
      </c>
      <c r="E3576" s="380" t="s">
        <v>781</v>
      </c>
      <c r="F3576" s="380" t="s">
        <v>782</v>
      </c>
      <c r="G3576" s="380" t="s">
        <v>1267</v>
      </c>
      <c r="H3576" s="380" t="s">
        <v>771</v>
      </c>
      <c r="I3576" s="380" t="s">
        <v>784</v>
      </c>
      <c r="J3576" s="380" t="s">
        <v>773</v>
      </c>
      <c r="K3576" s="381">
        <v>0.0</v>
      </c>
      <c r="L3576" s="382">
        <v>1.0</v>
      </c>
    </row>
    <row r="3577">
      <c r="A3577" s="380" t="s">
        <v>4440</v>
      </c>
      <c r="B3577" s="380" t="str">
        <f>IFERROR(__xludf.DUMMYFUNCTION("""COMPUTED_VALUE"""),"Broca Sierra 7/8 7/8""")</f>
        <v>Broca Sierra 7/8 7/8"</v>
      </c>
      <c r="C3577" s="380" t="str">
        <f>IFERROR(__xludf.DUMMYFUNCTION("""COMPUTED_VALUE"""),"50001199")</f>
        <v>50001199</v>
      </c>
      <c r="D3577" s="380" t="s">
        <v>767</v>
      </c>
      <c r="E3577" s="380" t="s">
        <v>781</v>
      </c>
      <c r="F3577" s="380" t="s">
        <v>782</v>
      </c>
      <c r="G3577" s="380" t="s">
        <v>1267</v>
      </c>
      <c r="H3577" s="380" t="s">
        <v>771</v>
      </c>
      <c r="I3577" s="380" t="s">
        <v>784</v>
      </c>
      <c r="J3577" s="380" t="s">
        <v>773</v>
      </c>
      <c r="K3577" s="381">
        <v>0.0</v>
      </c>
      <c r="L3577" s="382">
        <v>1.0</v>
      </c>
    </row>
    <row r="3578">
      <c r="A3578" s="380" t="s">
        <v>4441</v>
      </c>
      <c r="B3578" s="380" t="str">
        <f>IFERROR(__xludf.DUMMYFUNCTION("""COMPUTED_VALUE"""),"Cortafrio Frontal 8"" Ck3258")</f>
        <v>Cortafrio Frontal 8" Ck3258</v>
      </c>
      <c r="C3578" s="380" t="str">
        <f>IFERROR(__xludf.DUMMYFUNCTION("""COMPUTED_VALUE"""),"50001200")</f>
        <v>50001200</v>
      </c>
      <c r="D3578" s="380" t="s">
        <v>767</v>
      </c>
      <c r="E3578" s="380" t="s">
        <v>781</v>
      </c>
      <c r="F3578" s="380" t="s">
        <v>782</v>
      </c>
      <c r="G3578" s="380" t="s">
        <v>1267</v>
      </c>
      <c r="H3578" s="380" t="s">
        <v>771</v>
      </c>
      <c r="I3578" s="380" t="s">
        <v>784</v>
      </c>
      <c r="J3578" s="380" t="s">
        <v>773</v>
      </c>
      <c r="K3578" s="381">
        <v>0.0</v>
      </c>
      <c r="L3578" s="382">
        <v>1.0</v>
      </c>
    </row>
    <row r="3579">
      <c r="A3579" s="380" t="s">
        <v>4442</v>
      </c>
      <c r="B3579" s="380" t="str">
        <f>IFERROR(__xludf.DUMMYFUNCTION("""COMPUTED_VALUE"""),"Broca Sierra 1 1/8 1 1/8""")</f>
        <v>Broca Sierra 1 1/8 1 1/8"</v>
      </c>
      <c r="C3579" s="380" t="str">
        <f>IFERROR(__xludf.DUMMYFUNCTION("""COMPUTED_VALUE"""),"50001201")</f>
        <v>50001201</v>
      </c>
      <c r="D3579" s="380" t="s">
        <v>767</v>
      </c>
      <c r="E3579" s="380" t="s">
        <v>781</v>
      </c>
      <c r="F3579" s="380" t="s">
        <v>782</v>
      </c>
      <c r="G3579" s="380" t="s">
        <v>1267</v>
      </c>
      <c r="H3579" s="380" t="s">
        <v>771</v>
      </c>
      <c r="I3579" s="380" t="s">
        <v>784</v>
      </c>
      <c r="J3579" s="380" t="s">
        <v>773</v>
      </c>
      <c r="K3579" s="381">
        <v>0.0</v>
      </c>
      <c r="L3579" s="382">
        <v>1.0</v>
      </c>
    </row>
    <row r="3580">
      <c r="A3580" s="380" t="s">
        <v>4443</v>
      </c>
      <c r="B3580" s="380" t="str">
        <f>IFERROR(__xludf.DUMMYFUNCTION("""COMPUTED_VALUE"""),"Flexometro De 5 Mts")</f>
        <v>Flexometro De 5 Mts</v>
      </c>
      <c r="C3580" s="380" t="str">
        <f>IFERROR(__xludf.DUMMYFUNCTION("""COMPUTED_VALUE"""),"50001202")</f>
        <v>50001202</v>
      </c>
      <c r="D3580" s="380" t="s">
        <v>767</v>
      </c>
      <c r="E3580" s="380" t="s">
        <v>781</v>
      </c>
      <c r="F3580" s="380" t="s">
        <v>782</v>
      </c>
      <c r="G3580" s="380" t="s">
        <v>1267</v>
      </c>
      <c r="H3580" s="380" t="s">
        <v>771</v>
      </c>
      <c r="I3580" s="380" t="s">
        <v>784</v>
      </c>
      <c r="J3580" s="380" t="s">
        <v>773</v>
      </c>
      <c r="K3580" s="381">
        <v>0.0</v>
      </c>
      <c r="L3580" s="382">
        <v>1.0</v>
      </c>
    </row>
    <row r="3581">
      <c r="A3581" s="380" t="s">
        <v>4444</v>
      </c>
      <c r="B3581" s="380" t="str">
        <f>IFERROR(__xludf.DUMMYFUNCTION("""COMPUTED_VALUE"""),"Caja De Herramienta Generico 40x20x16")</f>
        <v>Caja De Herramienta Generico 40x20x16</v>
      </c>
      <c r="C3581" s="380" t="str">
        <f>IFERROR(__xludf.DUMMYFUNCTION("""COMPUTED_VALUE"""),"50001203")</f>
        <v>50001203</v>
      </c>
      <c r="D3581" s="380" t="s">
        <v>767</v>
      </c>
      <c r="E3581" s="380" t="s">
        <v>781</v>
      </c>
      <c r="F3581" s="380" t="s">
        <v>782</v>
      </c>
      <c r="G3581" s="380" t="s">
        <v>1267</v>
      </c>
      <c r="H3581" s="380" t="s">
        <v>771</v>
      </c>
      <c r="I3581" s="380" t="s">
        <v>784</v>
      </c>
      <c r="J3581" s="380" t="s">
        <v>773</v>
      </c>
      <c r="K3581" s="381">
        <v>0.0</v>
      </c>
      <c r="L3581" s="382">
        <v>1.0</v>
      </c>
    </row>
    <row r="3582">
      <c r="A3582" s="380" t="s">
        <v>4445</v>
      </c>
      <c r="B3582" s="380" t="str">
        <f>IFERROR(__xludf.DUMMYFUNCTION("""COMPUTED_VALUE"""),"Juego De Limpia-Boquilla")</f>
        <v>Juego De Limpia-Boquilla</v>
      </c>
      <c r="C3582" s="380" t="str">
        <f>IFERROR(__xludf.DUMMYFUNCTION("""COMPUTED_VALUE"""),"50001204")</f>
        <v>50001204</v>
      </c>
      <c r="D3582" s="380" t="s">
        <v>767</v>
      </c>
      <c r="E3582" s="380" t="s">
        <v>781</v>
      </c>
      <c r="F3582" s="380" t="s">
        <v>782</v>
      </c>
      <c r="G3582" s="380" t="s">
        <v>1267</v>
      </c>
      <c r="H3582" s="380" t="s">
        <v>771</v>
      </c>
      <c r="I3582" s="380" t="s">
        <v>784</v>
      </c>
      <c r="J3582" s="380" t="s">
        <v>773</v>
      </c>
      <c r="K3582" s="381">
        <v>0.0</v>
      </c>
      <c r="L3582" s="382">
        <v>1.0</v>
      </c>
    </row>
    <row r="3583">
      <c r="A3583" s="380" t="s">
        <v>4446</v>
      </c>
      <c r="B3583" s="380" t="str">
        <f>IFERROR(__xludf.DUMMYFUNCTION("""COMPUTED_VALUE"""),"Cautin De Soldar 60w")</f>
        <v>Cautin De Soldar 60w</v>
      </c>
      <c r="C3583" s="380" t="str">
        <f>IFERROR(__xludf.DUMMYFUNCTION("""COMPUTED_VALUE"""),"50001205")</f>
        <v>50001205</v>
      </c>
      <c r="D3583" s="380" t="s">
        <v>767</v>
      </c>
      <c r="E3583" s="380" t="s">
        <v>781</v>
      </c>
      <c r="F3583" s="380" t="s">
        <v>782</v>
      </c>
      <c r="G3583" s="380" t="s">
        <v>1267</v>
      </c>
      <c r="H3583" s="380" t="s">
        <v>771</v>
      </c>
      <c r="I3583" s="380" t="s">
        <v>784</v>
      </c>
      <c r="J3583" s="380" t="s">
        <v>773</v>
      </c>
      <c r="K3583" s="381">
        <v>0.0</v>
      </c>
      <c r="L3583" s="382">
        <v>1.0</v>
      </c>
    </row>
    <row r="3584">
      <c r="A3584" s="380" t="s">
        <v>4447</v>
      </c>
      <c r="B3584" s="380" t="str">
        <f>IFERROR(__xludf.DUMMYFUNCTION("""COMPUTED_VALUE"""),"Copa Impacto Cuad 3/4 X 15/16 Proto")</f>
        <v>Copa Impacto Cuad 3/4 X 15/16 Proto</v>
      </c>
      <c r="C3584" s="380" t="str">
        <f>IFERROR(__xludf.DUMMYFUNCTION("""COMPUTED_VALUE"""),"50001206")</f>
        <v>50001206</v>
      </c>
      <c r="D3584" s="380" t="s">
        <v>767</v>
      </c>
      <c r="E3584" s="380" t="s">
        <v>781</v>
      </c>
      <c r="F3584" s="380" t="s">
        <v>782</v>
      </c>
      <c r="G3584" s="380" t="s">
        <v>1267</v>
      </c>
      <c r="H3584" s="380" t="s">
        <v>771</v>
      </c>
      <c r="I3584" s="380" t="s">
        <v>784</v>
      </c>
      <c r="J3584" s="380" t="s">
        <v>773</v>
      </c>
      <c r="K3584" s="381">
        <v>0.0</v>
      </c>
      <c r="L3584" s="382">
        <v>1.0</v>
      </c>
    </row>
    <row r="3585">
      <c r="A3585" s="380" t="s">
        <v>4448</v>
      </c>
      <c r="B3585" s="380" t="str">
        <f>IFERROR(__xludf.DUMMYFUNCTION("""COMPUTED_VALUE"""),"Llave Mixta 3/4 Proto")</f>
        <v>Llave Mixta 3/4 Proto</v>
      </c>
      <c r="C3585" s="380" t="str">
        <f>IFERROR(__xludf.DUMMYFUNCTION("""COMPUTED_VALUE"""),"50001207")</f>
        <v>50001207</v>
      </c>
      <c r="D3585" s="380" t="s">
        <v>767</v>
      </c>
      <c r="E3585" s="380" t="s">
        <v>781</v>
      </c>
      <c r="F3585" s="380" t="s">
        <v>782</v>
      </c>
      <c r="G3585" s="380" t="s">
        <v>1267</v>
      </c>
      <c r="H3585" s="380" t="s">
        <v>771</v>
      </c>
      <c r="I3585" s="380" t="s">
        <v>784</v>
      </c>
      <c r="J3585" s="380" t="s">
        <v>773</v>
      </c>
      <c r="K3585" s="381">
        <v>0.0</v>
      </c>
      <c r="L3585" s="382">
        <v>1.0</v>
      </c>
    </row>
    <row r="3586">
      <c r="A3586" s="380" t="s">
        <v>4449</v>
      </c>
      <c r="B3586" s="380" t="str">
        <f>IFERROR(__xludf.DUMMYFUNCTION("""COMPUTED_VALUE"""),"Copa Cuadrante 3/8 X 12mm Proto")</f>
        <v>Copa Cuadrante 3/8 X 12mm Proto</v>
      </c>
      <c r="C3586" s="380" t="str">
        <f>IFERROR(__xludf.DUMMYFUNCTION("""COMPUTED_VALUE"""),"50001208")</f>
        <v>50001208</v>
      </c>
      <c r="D3586" s="380" t="s">
        <v>767</v>
      </c>
      <c r="E3586" s="380" t="s">
        <v>781</v>
      </c>
      <c r="F3586" s="380" t="s">
        <v>782</v>
      </c>
      <c r="G3586" s="380" t="s">
        <v>1267</v>
      </c>
      <c r="H3586" s="380" t="s">
        <v>771</v>
      </c>
      <c r="I3586" s="380" t="s">
        <v>784</v>
      </c>
      <c r="J3586" s="380" t="s">
        <v>773</v>
      </c>
      <c r="K3586" s="381">
        <v>0.0</v>
      </c>
      <c r="L3586" s="382">
        <v>1.0</v>
      </c>
    </row>
    <row r="3587">
      <c r="A3587" s="380" t="s">
        <v>4450</v>
      </c>
      <c r="B3587" s="380" t="str">
        <f>IFERROR(__xludf.DUMMYFUNCTION("""COMPUTED_VALUE"""),"Ext Extension Cuadrante 1/2 X 10"" Tipo B")</f>
        <v>Ext Extension Cuadrante 1/2 X 10" Tipo B</v>
      </c>
      <c r="C3587" s="380" t="str">
        <f>IFERROR(__xludf.DUMMYFUNCTION("""COMPUTED_VALUE"""),"50001209")</f>
        <v>50001209</v>
      </c>
      <c r="D3587" s="380" t="s">
        <v>767</v>
      </c>
      <c r="E3587" s="380" t="s">
        <v>781</v>
      </c>
      <c r="F3587" s="380" t="s">
        <v>782</v>
      </c>
      <c r="G3587" s="380" t="s">
        <v>1267</v>
      </c>
      <c r="H3587" s="380" t="s">
        <v>771</v>
      </c>
      <c r="I3587" s="380" t="s">
        <v>784</v>
      </c>
      <c r="J3587" s="380" t="s">
        <v>773</v>
      </c>
      <c r="K3587" s="381">
        <v>0.0</v>
      </c>
      <c r="L3587" s="382">
        <v>1.0</v>
      </c>
    </row>
    <row r="3588">
      <c r="A3588" s="380" t="s">
        <v>4451</v>
      </c>
      <c r="B3588" s="380" t="str">
        <f>IFERROR(__xludf.DUMMYFUNCTION("""COMPUTED_VALUE"""),"Botiquin Primeros Auxilios")</f>
        <v>Botiquin Primeros Auxilios</v>
      </c>
      <c r="C3588" s="380" t="str">
        <f>IFERROR(__xludf.DUMMYFUNCTION("""COMPUTED_VALUE"""),"50001210")</f>
        <v>50001210</v>
      </c>
      <c r="D3588" s="380" t="s">
        <v>767</v>
      </c>
      <c r="E3588" s="380" t="s">
        <v>781</v>
      </c>
      <c r="F3588" s="380" t="s">
        <v>782</v>
      </c>
      <c r="G3588" s="380" t="s">
        <v>1267</v>
      </c>
      <c r="H3588" s="380" t="s">
        <v>771</v>
      </c>
      <c r="I3588" s="380" t="s">
        <v>784</v>
      </c>
      <c r="J3588" s="380" t="s">
        <v>773</v>
      </c>
      <c r="K3588" s="381">
        <v>0.0</v>
      </c>
      <c r="L3588" s="382">
        <v>1.0</v>
      </c>
    </row>
    <row r="3589">
      <c r="A3589" s="380" t="s">
        <v>4452</v>
      </c>
      <c r="B3589" s="380" t="str">
        <f>IFERROR(__xludf.DUMMYFUNCTION("""COMPUTED_VALUE"""),"Copa Cuad 1/2 X 1/2 Tipo A")</f>
        <v>Copa Cuad 1/2 X 1/2 Tipo A</v>
      </c>
      <c r="C3589" s="380" t="str">
        <f>IFERROR(__xludf.DUMMYFUNCTION("""COMPUTED_VALUE"""),"50001211")</f>
        <v>50001211</v>
      </c>
      <c r="D3589" s="380" t="s">
        <v>767</v>
      </c>
      <c r="E3589" s="380" t="s">
        <v>781</v>
      </c>
      <c r="F3589" s="380" t="s">
        <v>782</v>
      </c>
      <c r="G3589" s="380" t="s">
        <v>1267</v>
      </c>
      <c r="H3589" s="380" t="s">
        <v>771</v>
      </c>
      <c r="I3589" s="380" t="s">
        <v>784</v>
      </c>
      <c r="J3589" s="380" t="s">
        <v>773</v>
      </c>
      <c r="K3589" s="381">
        <v>0.0</v>
      </c>
      <c r="L3589" s="382">
        <v>1.0</v>
      </c>
    </row>
    <row r="3590">
      <c r="A3590" s="380" t="s">
        <v>4453</v>
      </c>
      <c r="B3590" s="380" t="str">
        <f>IFERROR(__xludf.DUMMYFUNCTION("""COMPUTED_VALUE"""),"Mandril Taladro Cuad 1/2 Rohm 5/8cuad1/2")</f>
        <v>Mandril Taladro Cuad 1/2 Rohm 5/8cuad1/2</v>
      </c>
      <c r="C3590" s="380" t="str">
        <f>IFERROR(__xludf.DUMMYFUNCTION("""COMPUTED_VALUE"""),"50001212")</f>
        <v>50001212</v>
      </c>
      <c r="D3590" s="380" t="s">
        <v>767</v>
      </c>
      <c r="E3590" s="380" t="s">
        <v>781</v>
      </c>
      <c r="F3590" s="380" t="s">
        <v>782</v>
      </c>
      <c r="G3590" s="380" t="s">
        <v>1267</v>
      </c>
      <c r="H3590" s="380" t="s">
        <v>771</v>
      </c>
      <c r="I3590" s="380" t="s">
        <v>784</v>
      </c>
      <c r="J3590" s="380" t="s">
        <v>773</v>
      </c>
      <c r="K3590" s="381">
        <v>0.0</v>
      </c>
      <c r="L3590" s="382">
        <v>1.0</v>
      </c>
    </row>
    <row r="3591">
      <c r="A3591" s="380" t="s">
        <v>4454</v>
      </c>
      <c r="B3591" s="380" t="str">
        <f>IFERROR(__xludf.DUMMYFUNCTION("""COMPUTED_VALUE"""),"Reduccion De 1/2 X 3/8 Snapon")</f>
        <v>Reduccion De 1/2 X 3/8 Snapon</v>
      </c>
      <c r="C3591" s="380" t="str">
        <f>IFERROR(__xludf.DUMMYFUNCTION("""COMPUTED_VALUE"""),"50001213")</f>
        <v>50001213</v>
      </c>
      <c r="D3591" s="380" t="s">
        <v>767</v>
      </c>
      <c r="E3591" s="380" t="s">
        <v>781</v>
      </c>
      <c r="F3591" s="380" t="s">
        <v>782</v>
      </c>
      <c r="G3591" s="380" t="s">
        <v>1267</v>
      </c>
      <c r="H3591" s="380" t="s">
        <v>771</v>
      </c>
      <c r="I3591" s="380" t="s">
        <v>784</v>
      </c>
      <c r="J3591" s="380" t="s">
        <v>773</v>
      </c>
      <c r="K3591" s="381">
        <v>0.0</v>
      </c>
      <c r="L3591" s="382">
        <v>1.0</v>
      </c>
    </row>
    <row r="3592">
      <c r="A3592" s="380" t="s">
        <v>4455</v>
      </c>
      <c r="B3592" s="380" t="str">
        <f>IFERROR(__xludf.DUMMYFUNCTION("""COMPUTED_VALUE"""),"Reduccion De 1"" X 3/4 Snapon")</f>
        <v>Reduccion De 1" X 3/4 Snapon</v>
      </c>
      <c r="C3592" s="380" t="str">
        <f>IFERROR(__xludf.DUMMYFUNCTION("""COMPUTED_VALUE"""),"50001214")</f>
        <v>50001214</v>
      </c>
      <c r="D3592" s="380" t="s">
        <v>767</v>
      </c>
      <c r="E3592" s="380" t="s">
        <v>781</v>
      </c>
      <c r="F3592" s="380" t="s">
        <v>782</v>
      </c>
      <c r="G3592" s="380" t="s">
        <v>1267</v>
      </c>
      <c r="H3592" s="380" t="s">
        <v>771</v>
      </c>
      <c r="I3592" s="380" t="s">
        <v>784</v>
      </c>
      <c r="J3592" s="380" t="s">
        <v>773</v>
      </c>
      <c r="K3592" s="381">
        <v>0.0</v>
      </c>
      <c r="L3592" s="382">
        <v>1.0</v>
      </c>
    </row>
    <row r="3593">
      <c r="A3593" s="380" t="s">
        <v>4456</v>
      </c>
      <c r="B3593" s="380" t="str">
        <f>IFERROR(__xludf.DUMMYFUNCTION("""COMPUTED_VALUE"""),"Broca 1/4 Hss Negra 1/4""")</f>
        <v>Broca 1/4 Hss Negra 1/4"</v>
      </c>
      <c r="C3593" s="380" t="str">
        <f>IFERROR(__xludf.DUMMYFUNCTION("""COMPUTED_VALUE"""),"50001215")</f>
        <v>50001215</v>
      </c>
      <c r="D3593" s="380" t="s">
        <v>767</v>
      </c>
      <c r="E3593" s="380" t="s">
        <v>781</v>
      </c>
      <c r="F3593" s="380" t="s">
        <v>782</v>
      </c>
      <c r="G3593" s="380" t="s">
        <v>1267</v>
      </c>
      <c r="H3593" s="380" t="s">
        <v>771</v>
      </c>
      <c r="I3593" s="380" t="s">
        <v>784</v>
      </c>
      <c r="J3593" s="380" t="s">
        <v>773</v>
      </c>
      <c r="K3593" s="381">
        <v>0.0</v>
      </c>
      <c r="L3593" s="382">
        <v>1.0</v>
      </c>
    </row>
    <row r="3594">
      <c r="A3594" s="380" t="s">
        <v>4457</v>
      </c>
      <c r="B3594" s="380" t="str">
        <f>IFERROR(__xludf.DUMMYFUNCTION("""COMPUTED_VALUE"""),"Pinza Vo Pinza Voltiamperimetrica Ut 205")</f>
        <v>Pinza Vo Pinza Voltiamperimetrica Ut 205</v>
      </c>
      <c r="C3594" s="380" t="str">
        <f>IFERROR(__xludf.DUMMYFUNCTION("""COMPUTED_VALUE"""),"50001216")</f>
        <v>50001216</v>
      </c>
      <c r="D3594" s="380" t="s">
        <v>767</v>
      </c>
      <c r="E3594" s="380" t="s">
        <v>781</v>
      </c>
      <c r="F3594" s="380" t="s">
        <v>782</v>
      </c>
      <c r="G3594" s="380" t="s">
        <v>1267</v>
      </c>
      <c r="H3594" s="380" t="s">
        <v>771</v>
      </c>
      <c r="I3594" s="380" t="s">
        <v>784</v>
      </c>
      <c r="J3594" s="380" t="s">
        <v>773</v>
      </c>
      <c r="K3594" s="381">
        <v>0.0</v>
      </c>
      <c r="L3594" s="382">
        <v>1.0</v>
      </c>
    </row>
    <row r="3595">
      <c r="A3595" s="380" t="s">
        <v>4458</v>
      </c>
      <c r="B3595" s="380" t="str">
        <f>IFERROR(__xludf.DUMMYFUNCTION("""COMPUTED_VALUE"""),"Broca 1/8 Hss Negra 1/8""")</f>
        <v>Broca 1/8 Hss Negra 1/8"</v>
      </c>
      <c r="C3595" s="380" t="str">
        <f>IFERROR(__xludf.DUMMYFUNCTION("""COMPUTED_VALUE"""),"50001217")</f>
        <v>50001217</v>
      </c>
      <c r="D3595" s="380" t="s">
        <v>767</v>
      </c>
      <c r="E3595" s="380" t="s">
        <v>781</v>
      </c>
      <c r="F3595" s="380" t="s">
        <v>782</v>
      </c>
      <c r="G3595" s="380" t="s">
        <v>1267</v>
      </c>
      <c r="H3595" s="380" t="s">
        <v>771</v>
      </c>
      <c r="I3595" s="380" t="s">
        <v>784</v>
      </c>
      <c r="J3595" s="380" t="s">
        <v>773</v>
      </c>
      <c r="K3595" s="381">
        <v>0.0</v>
      </c>
      <c r="L3595" s="382">
        <v>1.0</v>
      </c>
    </row>
    <row r="3596">
      <c r="A3596" s="380" t="s">
        <v>4459</v>
      </c>
      <c r="B3596" s="380" t="str">
        <f>IFERROR(__xludf.DUMMYFUNCTION("""COMPUTED_VALUE"""),"Espatulas Varias")</f>
        <v>Espatulas Varias</v>
      </c>
      <c r="C3596" s="380" t="str">
        <f>IFERROR(__xludf.DUMMYFUNCTION("""COMPUTED_VALUE"""),"50001218")</f>
        <v>50001218</v>
      </c>
      <c r="D3596" s="380" t="s">
        <v>767</v>
      </c>
      <c r="E3596" s="380" t="s">
        <v>781</v>
      </c>
      <c r="F3596" s="380" t="s">
        <v>782</v>
      </c>
      <c r="G3596" s="380" t="s">
        <v>1267</v>
      </c>
      <c r="H3596" s="380" t="s">
        <v>771</v>
      </c>
      <c r="I3596" s="380" t="s">
        <v>784</v>
      </c>
      <c r="J3596" s="380" t="s">
        <v>773</v>
      </c>
      <c r="K3596" s="381">
        <v>0.0</v>
      </c>
      <c r="L3596" s="382">
        <v>1.0</v>
      </c>
    </row>
    <row r="3597">
      <c r="A3597" s="380" t="s">
        <v>4460</v>
      </c>
      <c r="B3597" s="380" t="str">
        <f>IFERROR(__xludf.DUMMYFUNCTION("""COMPUTED_VALUE"""),"Broca 3/8 Hss Negra 3/8""")</f>
        <v>Broca 3/8 Hss Negra 3/8"</v>
      </c>
      <c r="C3597" s="380" t="str">
        <f>IFERROR(__xludf.DUMMYFUNCTION("""COMPUTED_VALUE"""),"50001219")</f>
        <v>50001219</v>
      </c>
      <c r="D3597" s="380" t="s">
        <v>767</v>
      </c>
      <c r="E3597" s="380" t="s">
        <v>781</v>
      </c>
      <c r="F3597" s="380" t="s">
        <v>782</v>
      </c>
      <c r="G3597" s="380" t="s">
        <v>1267</v>
      </c>
      <c r="H3597" s="380" t="s">
        <v>771</v>
      </c>
      <c r="I3597" s="380" t="s">
        <v>784</v>
      </c>
      <c r="J3597" s="380" t="s">
        <v>773</v>
      </c>
      <c r="K3597" s="381">
        <v>0.0</v>
      </c>
      <c r="L3597" s="382">
        <v>1.0</v>
      </c>
    </row>
    <row r="3598">
      <c r="A3598" s="380" t="s">
        <v>4461</v>
      </c>
      <c r="B3598" s="380" t="str">
        <f>IFERROR(__xludf.DUMMYFUNCTION("""COMPUTED_VALUE"""),"Copa Cuadrante 3/8 X 1/4 Tipo B")</f>
        <v>Copa Cuadrante 3/8 X 1/4 Tipo B</v>
      </c>
      <c r="C3598" s="380" t="str">
        <f>IFERROR(__xludf.DUMMYFUNCTION("""COMPUTED_VALUE"""),"50001220")</f>
        <v>50001220</v>
      </c>
      <c r="D3598" s="380" t="s">
        <v>767</v>
      </c>
      <c r="E3598" s="380" t="s">
        <v>781</v>
      </c>
      <c r="F3598" s="380" t="s">
        <v>782</v>
      </c>
      <c r="G3598" s="380" t="s">
        <v>1267</v>
      </c>
      <c r="H3598" s="380" t="s">
        <v>771</v>
      </c>
      <c r="I3598" s="380" t="s">
        <v>784</v>
      </c>
      <c r="J3598" s="380" t="s">
        <v>773</v>
      </c>
      <c r="K3598" s="381">
        <v>0.0</v>
      </c>
      <c r="L3598" s="382">
        <v>1.0</v>
      </c>
    </row>
    <row r="3599">
      <c r="A3599" s="380" t="s">
        <v>4462</v>
      </c>
      <c r="B3599" s="380" t="str">
        <f>IFERROR(__xludf.DUMMYFUNCTION("""COMPUTED_VALUE"""),"Broca 3/16 Hss Negra 3/16""")</f>
        <v>Broca 3/16 Hss Negra 3/16"</v>
      </c>
      <c r="C3599" s="380" t="str">
        <f>IFERROR(__xludf.DUMMYFUNCTION("""COMPUTED_VALUE"""),"50001221")</f>
        <v>50001221</v>
      </c>
      <c r="D3599" s="380" t="s">
        <v>767</v>
      </c>
      <c r="E3599" s="380" t="s">
        <v>781</v>
      </c>
      <c r="F3599" s="380" t="s">
        <v>782</v>
      </c>
      <c r="G3599" s="380" t="s">
        <v>1267</v>
      </c>
      <c r="H3599" s="380" t="s">
        <v>771</v>
      </c>
      <c r="I3599" s="380" t="s">
        <v>784</v>
      </c>
      <c r="J3599" s="380" t="s">
        <v>773</v>
      </c>
      <c r="K3599" s="381">
        <v>0.0</v>
      </c>
      <c r="L3599" s="382">
        <v>1.0</v>
      </c>
    </row>
    <row r="3600">
      <c r="A3600" s="380" t="s">
        <v>4463</v>
      </c>
      <c r="B3600" s="380" t="str">
        <f>IFERROR(__xludf.DUMMYFUNCTION("""COMPUTED_VALUE"""),"Broca 5/16 Hss Negra 5/16""")</f>
        <v>Broca 5/16 Hss Negra 5/16"</v>
      </c>
      <c r="C3600" s="380" t="str">
        <f>IFERROR(__xludf.DUMMYFUNCTION("""COMPUTED_VALUE"""),"50001222")</f>
        <v>50001222</v>
      </c>
      <c r="D3600" s="380" t="s">
        <v>767</v>
      </c>
      <c r="E3600" s="380" t="s">
        <v>781</v>
      </c>
      <c r="F3600" s="380" t="s">
        <v>782</v>
      </c>
      <c r="G3600" s="380" t="s">
        <v>1267</v>
      </c>
      <c r="H3600" s="380" t="s">
        <v>771</v>
      </c>
      <c r="I3600" s="380" t="s">
        <v>784</v>
      </c>
      <c r="J3600" s="380" t="s">
        <v>773</v>
      </c>
      <c r="K3600" s="381">
        <v>0.0</v>
      </c>
      <c r="L3600" s="382">
        <v>1.0</v>
      </c>
    </row>
    <row r="3601">
      <c r="A3601" s="380" t="s">
        <v>4464</v>
      </c>
      <c r="B3601" s="380" t="str">
        <f>IFERROR(__xludf.DUMMYFUNCTION("""COMPUTED_VALUE"""),"Broca 7/16 Hss Negra 7/16""")</f>
        <v>Broca 7/16 Hss Negra 7/16"</v>
      </c>
      <c r="C3601" s="380" t="str">
        <f>IFERROR(__xludf.DUMMYFUNCTION("""COMPUTED_VALUE"""),"50001223")</f>
        <v>50001223</v>
      </c>
      <c r="D3601" s="380" t="s">
        <v>767</v>
      </c>
      <c r="E3601" s="380" t="s">
        <v>781</v>
      </c>
      <c r="F3601" s="380" t="s">
        <v>782</v>
      </c>
      <c r="G3601" s="380" t="s">
        <v>1267</v>
      </c>
      <c r="H3601" s="380" t="s">
        <v>771</v>
      </c>
      <c r="I3601" s="380" t="s">
        <v>784</v>
      </c>
      <c r="J3601" s="380" t="s">
        <v>773</v>
      </c>
      <c r="K3601" s="381">
        <v>0.0</v>
      </c>
      <c r="L3601" s="382">
        <v>1.0</v>
      </c>
    </row>
    <row r="3602">
      <c r="A3602" s="380" t="s">
        <v>4465</v>
      </c>
      <c r="B3602" s="380" t="str">
        <f>IFERROR(__xludf.DUMMYFUNCTION("""COMPUTED_VALUE"""),"Broca 7/32 Hss Negra 7/32""")</f>
        <v>Broca 7/32 Hss Negra 7/32"</v>
      </c>
      <c r="C3602" s="380" t="str">
        <f>IFERROR(__xludf.DUMMYFUNCTION("""COMPUTED_VALUE"""),"50001224")</f>
        <v>50001224</v>
      </c>
      <c r="D3602" s="380" t="s">
        <v>767</v>
      </c>
      <c r="E3602" s="380" t="s">
        <v>781</v>
      </c>
      <c r="F3602" s="380" t="s">
        <v>782</v>
      </c>
      <c r="G3602" s="380" t="s">
        <v>1267</v>
      </c>
      <c r="H3602" s="380" t="s">
        <v>771</v>
      </c>
      <c r="I3602" s="380" t="s">
        <v>784</v>
      </c>
      <c r="J3602" s="380" t="s">
        <v>773</v>
      </c>
      <c r="K3602" s="381">
        <v>0.0</v>
      </c>
      <c r="L3602" s="382">
        <v>1.0</v>
      </c>
    </row>
    <row r="3603">
      <c r="A3603" s="380" t="s">
        <v>4466</v>
      </c>
      <c r="B3603" s="380" t="str">
        <f>IFERROR(__xludf.DUMMYFUNCTION("""COMPUTED_VALUE"""),"Broca 5/32 Hss Negra 5/32""")</f>
        <v>Broca 5/32 Hss Negra 5/32"</v>
      </c>
      <c r="C3603" s="380" t="str">
        <f>IFERROR(__xludf.DUMMYFUNCTION("""COMPUTED_VALUE"""),"50001225")</f>
        <v>50001225</v>
      </c>
      <c r="D3603" s="380" t="s">
        <v>767</v>
      </c>
      <c r="E3603" s="380" t="s">
        <v>781</v>
      </c>
      <c r="F3603" s="380" t="s">
        <v>782</v>
      </c>
      <c r="G3603" s="380" t="s">
        <v>1267</v>
      </c>
      <c r="H3603" s="380" t="s">
        <v>771</v>
      </c>
      <c r="I3603" s="380" t="s">
        <v>784</v>
      </c>
      <c r="J3603" s="380" t="s">
        <v>773</v>
      </c>
      <c r="K3603" s="381">
        <v>0.0</v>
      </c>
      <c r="L3603" s="382">
        <v>1.0</v>
      </c>
    </row>
    <row r="3604">
      <c r="A3604" s="380" t="s">
        <v>4467</v>
      </c>
      <c r="B3604" s="380" t="str">
        <f>IFERROR(__xludf.DUMMYFUNCTION("""COMPUTED_VALUE"""),"Prensa De Banco # 8 Ursus")</f>
        <v>Prensa De Banco # 8 Ursus</v>
      </c>
      <c r="C3604" s="380" t="str">
        <f>IFERROR(__xludf.DUMMYFUNCTION("""COMPUTED_VALUE"""),"50001226")</f>
        <v>50001226</v>
      </c>
      <c r="D3604" s="380" t="s">
        <v>767</v>
      </c>
      <c r="E3604" s="380" t="s">
        <v>781</v>
      </c>
      <c r="F3604" s="380" t="s">
        <v>782</v>
      </c>
      <c r="G3604" s="380" t="s">
        <v>1267</v>
      </c>
      <c r="H3604" s="380" t="s">
        <v>771</v>
      </c>
      <c r="I3604" s="380" t="s">
        <v>784</v>
      </c>
      <c r="J3604" s="380" t="s">
        <v>773</v>
      </c>
      <c r="K3604" s="381">
        <v>0.0</v>
      </c>
      <c r="L3604" s="382">
        <v>1.0</v>
      </c>
    </row>
    <row r="3605">
      <c r="A3605" s="380" t="s">
        <v>4468</v>
      </c>
      <c r="B3605" s="380" t="str">
        <f>IFERROR(__xludf.DUMMYFUNCTION("""COMPUTED_VALUE"""),"Llave De Tubo 24"" Proto")</f>
        <v>Llave De Tubo 24" Proto</v>
      </c>
      <c r="C3605" s="380" t="str">
        <f>IFERROR(__xludf.DUMMYFUNCTION("""COMPUTED_VALUE"""),"50001227")</f>
        <v>50001227</v>
      </c>
      <c r="D3605" s="380" t="s">
        <v>767</v>
      </c>
      <c r="E3605" s="380" t="s">
        <v>781</v>
      </c>
      <c r="F3605" s="380" t="s">
        <v>782</v>
      </c>
      <c r="G3605" s="380" t="s">
        <v>1267</v>
      </c>
      <c r="H3605" s="380" t="s">
        <v>771</v>
      </c>
      <c r="I3605" s="380" t="s">
        <v>784</v>
      </c>
      <c r="J3605" s="380" t="s">
        <v>773</v>
      </c>
      <c r="K3605" s="381">
        <v>0.0</v>
      </c>
      <c r="L3605" s="382">
        <v>1.0</v>
      </c>
    </row>
    <row r="3606">
      <c r="A3606" s="380" t="s">
        <v>4469</v>
      </c>
      <c r="B3606" s="380" t="str">
        <f>IFERROR(__xludf.DUMMYFUNCTION("""COMPUTED_VALUE"""),"Llave De Tubo 14"" Proto")</f>
        <v>Llave De Tubo 14" Proto</v>
      </c>
      <c r="C3606" s="380" t="str">
        <f>IFERROR(__xludf.DUMMYFUNCTION("""COMPUTED_VALUE"""),"50001228")</f>
        <v>50001228</v>
      </c>
      <c r="D3606" s="380" t="s">
        <v>767</v>
      </c>
      <c r="E3606" s="380" t="s">
        <v>781</v>
      </c>
      <c r="F3606" s="380" t="s">
        <v>782</v>
      </c>
      <c r="G3606" s="380" t="s">
        <v>1267</v>
      </c>
      <c r="H3606" s="380" t="s">
        <v>771</v>
      </c>
      <c r="I3606" s="380" t="s">
        <v>784</v>
      </c>
      <c r="J3606" s="380" t="s">
        <v>773</v>
      </c>
      <c r="K3606" s="381">
        <v>0.0</v>
      </c>
      <c r="L3606" s="382">
        <v>1.0</v>
      </c>
    </row>
    <row r="3607">
      <c r="A3607" s="380" t="s">
        <v>4470</v>
      </c>
      <c r="B3607" s="380" t="str">
        <f>IFERROR(__xludf.DUMMYFUNCTION("""COMPUTED_VALUE"""),"Pinza Convertible Recta Proto 7.6/16")</f>
        <v>Pinza Convertible Recta Proto 7.6/16</v>
      </c>
      <c r="C3607" s="380" t="str">
        <f>IFERROR(__xludf.DUMMYFUNCTION("""COMPUTED_VALUE"""),"50001229")</f>
        <v>50001229</v>
      </c>
      <c r="D3607" s="380" t="s">
        <v>767</v>
      </c>
      <c r="E3607" s="380" t="s">
        <v>781</v>
      </c>
      <c r="F3607" s="380" t="s">
        <v>782</v>
      </c>
      <c r="G3607" s="380" t="s">
        <v>1267</v>
      </c>
      <c r="H3607" s="380" t="s">
        <v>771</v>
      </c>
      <c r="I3607" s="380" t="s">
        <v>784</v>
      </c>
      <c r="J3607" s="380" t="s">
        <v>773</v>
      </c>
      <c r="K3607" s="381">
        <v>0.0</v>
      </c>
      <c r="L3607" s="382">
        <v>1.0</v>
      </c>
    </row>
    <row r="3608">
      <c r="A3608" s="380" t="s">
        <v>4471</v>
      </c>
      <c r="B3608" s="380" t="str">
        <f>IFERROR(__xludf.DUMMYFUNCTION("""COMPUTED_VALUE"""),"Llave Mixta 13mm Proto")</f>
        <v>Llave Mixta 13mm Proto</v>
      </c>
      <c r="C3608" s="380" t="str">
        <f>IFERROR(__xludf.DUMMYFUNCTION("""COMPUTED_VALUE"""),"50001230")</f>
        <v>50001230</v>
      </c>
      <c r="D3608" s="380" t="s">
        <v>767</v>
      </c>
      <c r="E3608" s="380" t="s">
        <v>781</v>
      </c>
      <c r="F3608" s="380" t="s">
        <v>782</v>
      </c>
      <c r="G3608" s="380" t="s">
        <v>1267</v>
      </c>
      <c r="H3608" s="380" t="s">
        <v>771</v>
      </c>
      <c r="I3608" s="380" t="s">
        <v>784</v>
      </c>
      <c r="J3608" s="380" t="s">
        <v>773</v>
      </c>
      <c r="K3608" s="381">
        <v>0.0</v>
      </c>
      <c r="L3608" s="382">
        <v>1.0</v>
      </c>
    </row>
    <row r="3609">
      <c r="A3609" s="380" t="s">
        <v>4472</v>
      </c>
      <c r="B3609" s="380" t="str">
        <f>IFERROR(__xludf.DUMMYFUNCTION("""COMPUTED_VALUE"""),"Llave Mixta 12mm Proto")</f>
        <v>Llave Mixta 12mm Proto</v>
      </c>
      <c r="C3609" s="380" t="str">
        <f>IFERROR(__xludf.DUMMYFUNCTION("""COMPUTED_VALUE"""),"50001231")</f>
        <v>50001231</v>
      </c>
      <c r="D3609" s="380" t="s">
        <v>767</v>
      </c>
      <c r="E3609" s="380" t="s">
        <v>781</v>
      </c>
      <c r="F3609" s="380" t="s">
        <v>782</v>
      </c>
      <c r="G3609" s="380" t="s">
        <v>1267</v>
      </c>
      <c r="H3609" s="380" t="s">
        <v>771</v>
      </c>
      <c r="I3609" s="380" t="s">
        <v>784</v>
      </c>
      <c r="J3609" s="380" t="s">
        <v>773</v>
      </c>
      <c r="K3609" s="381">
        <v>0.0</v>
      </c>
      <c r="L3609" s="382">
        <v>1.0</v>
      </c>
    </row>
    <row r="3610">
      <c r="A3610" s="380" t="s">
        <v>4473</v>
      </c>
      <c r="B3610" s="380" t="str">
        <f>IFERROR(__xludf.DUMMYFUNCTION("""COMPUTED_VALUE"""),"Copa Estriad Larg Cuad 1/2x1/ Proto 1/2""")</f>
        <v>Copa Estriad Larg Cuad 1/2x1/ Proto 1/2"</v>
      </c>
      <c r="C3610" s="380" t="str">
        <f>IFERROR(__xludf.DUMMYFUNCTION("""COMPUTED_VALUE"""),"50001232")</f>
        <v>50001232</v>
      </c>
      <c r="D3610" s="380" t="s">
        <v>767</v>
      </c>
      <c r="E3610" s="380" t="s">
        <v>781</v>
      </c>
      <c r="F3610" s="380" t="s">
        <v>782</v>
      </c>
      <c r="G3610" s="380" t="s">
        <v>1267</v>
      </c>
      <c r="H3610" s="380" t="s">
        <v>771</v>
      </c>
      <c r="I3610" s="380" t="s">
        <v>784</v>
      </c>
      <c r="J3610" s="380" t="s">
        <v>773</v>
      </c>
      <c r="K3610" s="381">
        <v>0.0</v>
      </c>
      <c r="L3610" s="382">
        <v>1.0</v>
      </c>
    </row>
    <row r="3611">
      <c r="A3611" s="380" t="s">
        <v>4474</v>
      </c>
      <c r="B3611" s="380" t="str">
        <f>IFERROR(__xludf.DUMMYFUNCTION("""COMPUTED_VALUE"""),"Rache Cuadrante 3/8 X 6""-8"" P Proto 3/8""")</f>
        <v>Rache Cuadrante 3/8 X 6"-8" P Proto 3/8"</v>
      </c>
      <c r="C3611" s="380" t="str">
        <f>IFERROR(__xludf.DUMMYFUNCTION("""COMPUTED_VALUE"""),"50001233")</f>
        <v>50001233</v>
      </c>
      <c r="D3611" s="380" t="s">
        <v>767</v>
      </c>
      <c r="E3611" s="380" t="s">
        <v>781</v>
      </c>
      <c r="F3611" s="380" t="s">
        <v>782</v>
      </c>
      <c r="G3611" s="380" t="s">
        <v>1267</v>
      </c>
      <c r="H3611" s="380" t="s">
        <v>771</v>
      </c>
      <c r="I3611" s="380" t="s">
        <v>784</v>
      </c>
      <c r="J3611" s="380" t="s">
        <v>773</v>
      </c>
      <c r="K3611" s="381">
        <v>0.0</v>
      </c>
      <c r="L3611" s="382">
        <v>1.0</v>
      </c>
    </row>
    <row r="3612">
      <c r="A3612" s="380" t="s">
        <v>4475</v>
      </c>
      <c r="B3612" s="380" t="str">
        <f>IFERROR(__xludf.DUMMYFUNCTION("""COMPUTED_VALUE"""),"Pistola Sikaflex - Silicona")</f>
        <v>Pistola Sikaflex - Silicona</v>
      </c>
      <c r="C3612" s="380" t="str">
        <f>IFERROR(__xludf.DUMMYFUNCTION("""COMPUTED_VALUE"""),"50001234")</f>
        <v>50001234</v>
      </c>
      <c r="D3612" s="380" t="s">
        <v>767</v>
      </c>
      <c r="E3612" s="380" t="s">
        <v>781</v>
      </c>
      <c r="F3612" s="380" t="s">
        <v>782</v>
      </c>
      <c r="G3612" s="380" t="s">
        <v>1267</v>
      </c>
      <c r="H3612" s="380" t="s">
        <v>771</v>
      </c>
      <c r="I3612" s="380" t="s">
        <v>784</v>
      </c>
      <c r="J3612" s="380" t="s">
        <v>773</v>
      </c>
      <c r="K3612" s="381">
        <v>0.0</v>
      </c>
      <c r="L3612" s="382">
        <v>1.0</v>
      </c>
    </row>
    <row r="3613">
      <c r="A3613" s="380" t="s">
        <v>4476</v>
      </c>
      <c r="B3613" s="380" t="str">
        <f>IFERROR(__xludf.DUMMYFUNCTION("""COMPUTED_VALUE"""),"Rache Cuadrante 1/2 X 10"" Prot Proto")</f>
        <v>Rache Cuadrante 1/2 X 10" Prot Proto</v>
      </c>
      <c r="C3613" s="380" t="str">
        <f>IFERROR(__xludf.DUMMYFUNCTION("""COMPUTED_VALUE"""),"50001235")</f>
        <v>50001235</v>
      </c>
      <c r="D3613" s="380" t="s">
        <v>767</v>
      </c>
      <c r="E3613" s="380" t="s">
        <v>781</v>
      </c>
      <c r="F3613" s="380" t="s">
        <v>782</v>
      </c>
      <c r="G3613" s="380" t="s">
        <v>1267</v>
      </c>
      <c r="H3613" s="380" t="s">
        <v>771</v>
      </c>
      <c r="I3613" s="380" t="s">
        <v>784</v>
      </c>
      <c r="J3613" s="380" t="s">
        <v>773</v>
      </c>
      <c r="K3613" s="381">
        <v>0.0</v>
      </c>
      <c r="L3613" s="382">
        <v>1.0</v>
      </c>
    </row>
    <row r="3614">
      <c r="A3614" s="380" t="s">
        <v>4477</v>
      </c>
      <c r="B3614" s="380" t="str">
        <f>IFERROR(__xludf.DUMMYFUNCTION("""COMPUTED_VALUE"""),"Marco Para Segueta")</f>
        <v>Marco Para Segueta</v>
      </c>
      <c r="C3614" s="380" t="str">
        <f>IFERROR(__xludf.DUMMYFUNCTION("""COMPUTED_VALUE"""),"50001237")</f>
        <v>50001237</v>
      </c>
      <c r="D3614" s="380" t="s">
        <v>767</v>
      </c>
      <c r="E3614" s="380" t="s">
        <v>781</v>
      </c>
      <c r="F3614" s="380" t="s">
        <v>782</v>
      </c>
      <c r="G3614" s="380" t="s">
        <v>1267</v>
      </c>
      <c r="H3614" s="380" t="s">
        <v>771</v>
      </c>
      <c r="I3614" s="380" t="s">
        <v>784</v>
      </c>
      <c r="J3614" s="380" t="s">
        <v>773</v>
      </c>
      <c r="K3614" s="381">
        <v>0.0</v>
      </c>
      <c r="L3614" s="382">
        <v>1.0</v>
      </c>
    </row>
    <row r="3615">
      <c r="A3615" s="380" t="s">
        <v>4478</v>
      </c>
      <c r="B3615" s="380" t="str">
        <f>IFERROR(__xludf.DUMMYFUNCTION("""COMPUTED_VALUE"""),"Copa Estriada Cuad 1/2 X 16 M Proto 16mm")</f>
        <v>Copa Estriada Cuad 1/2 X 16 M Proto 16mm</v>
      </c>
      <c r="C3615" s="380" t="str">
        <f>IFERROR(__xludf.DUMMYFUNCTION("""COMPUTED_VALUE"""),"50001238")</f>
        <v>50001238</v>
      </c>
      <c r="D3615" s="380" t="s">
        <v>767</v>
      </c>
      <c r="E3615" s="380" t="s">
        <v>781</v>
      </c>
      <c r="F3615" s="380" t="s">
        <v>782</v>
      </c>
      <c r="G3615" s="380" t="s">
        <v>1267</v>
      </c>
      <c r="H3615" s="380" t="s">
        <v>771</v>
      </c>
      <c r="I3615" s="380" t="s">
        <v>784</v>
      </c>
      <c r="J3615" s="380" t="s">
        <v>773</v>
      </c>
      <c r="K3615" s="381">
        <v>0.0</v>
      </c>
      <c r="L3615" s="382">
        <v>1.0</v>
      </c>
    </row>
    <row r="3616">
      <c r="A3616" s="380" t="s">
        <v>4479</v>
      </c>
      <c r="B3616" s="380" t="str">
        <f>IFERROR(__xludf.DUMMYFUNCTION("""COMPUTED_VALUE"""),"Llave Mixta 14mm Proto Urrea")</f>
        <v>Llave Mixta 14mm Proto Urrea</v>
      </c>
      <c r="C3616" s="380" t="str">
        <f>IFERROR(__xludf.DUMMYFUNCTION("""COMPUTED_VALUE"""),"50001239")</f>
        <v>50001239</v>
      </c>
      <c r="D3616" s="380" t="s">
        <v>767</v>
      </c>
      <c r="E3616" s="380" t="s">
        <v>781</v>
      </c>
      <c r="F3616" s="380" t="s">
        <v>782</v>
      </c>
      <c r="G3616" s="380" t="s">
        <v>1267</v>
      </c>
      <c r="H3616" s="380" t="s">
        <v>771</v>
      </c>
      <c r="I3616" s="380" t="s">
        <v>784</v>
      </c>
      <c r="J3616" s="380" t="s">
        <v>773</v>
      </c>
      <c r="K3616" s="381">
        <v>0.0</v>
      </c>
      <c r="L3616" s="382">
        <v>1.0</v>
      </c>
    </row>
    <row r="3617">
      <c r="A3617" s="380" t="s">
        <v>4480</v>
      </c>
      <c r="B3617" s="380" t="str">
        <f>IFERROR(__xludf.DUMMYFUNCTION("""COMPUTED_VALUE"""),"Cadena Eslabonada 1/4 1/4""")</f>
        <v>Cadena Eslabonada 1/4 1/4"</v>
      </c>
      <c r="C3617" s="380" t="str">
        <f>IFERROR(__xludf.DUMMYFUNCTION("""COMPUTED_VALUE"""),"50001240")</f>
        <v>50001240</v>
      </c>
      <c r="D3617" s="380" t="s">
        <v>767</v>
      </c>
      <c r="E3617" s="380" t="s">
        <v>781</v>
      </c>
      <c r="F3617" s="380" t="s">
        <v>782</v>
      </c>
      <c r="G3617" s="380" t="s">
        <v>1267</v>
      </c>
      <c r="H3617" s="380" t="s">
        <v>771</v>
      </c>
      <c r="I3617" s="380" t="s">
        <v>784</v>
      </c>
      <c r="J3617" s="380" t="s">
        <v>773</v>
      </c>
      <c r="K3617" s="381">
        <v>0.0</v>
      </c>
      <c r="L3617" s="382">
        <v>1.0</v>
      </c>
    </row>
    <row r="3618">
      <c r="A3618" s="380" t="s">
        <v>4481</v>
      </c>
      <c r="B3618" s="380" t="str">
        <f>IFERROR(__xludf.DUMMYFUNCTION("""COMPUTED_VALUE"""),"Boquilla Doble Servicio 13"" Larga")</f>
        <v>Boquilla Doble Servicio 13" Larga</v>
      </c>
      <c r="C3618" s="380" t="str">
        <f>IFERROR(__xludf.DUMMYFUNCTION("""COMPUTED_VALUE"""),"50001241")</f>
        <v>50001241</v>
      </c>
      <c r="D3618" s="380" t="s">
        <v>767</v>
      </c>
      <c r="E3618" s="380" t="s">
        <v>781</v>
      </c>
      <c r="F3618" s="380" t="s">
        <v>782</v>
      </c>
      <c r="G3618" s="380" t="s">
        <v>1267</v>
      </c>
      <c r="H3618" s="380" t="s">
        <v>771</v>
      </c>
      <c r="I3618" s="380" t="s">
        <v>784</v>
      </c>
      <c r="J3618" s="380" t="s">
        <v>773</v>
      </c>
      <c r="K3618" s="381">
        <v>120328.0</v>
      </c>
      <c r="L3618" s="382">
        <v>1.0</v>
      </c>
    </row>
    <row r="3619">
      <c r="A3619" s="380" t="s">
        <v>4482</v>
      </c>
      <c r="B3619" s="380" t="str">
        <f>IFERROR(__xludf.DUMMYFUNCTION("""COMPUTED_VALUE"""),"Soporte Movil Para Pistola De Impacto")</f>
        <v>Soporte Movil Para Pistola De Impacto</v>
      </c>
      <c r="C3619" s="380" t="str">
        <f>IFERROR(__xludf.DUMMYFUNCTION("""COMPUTED_VALUE"""),"50001242")</f>
        <v>50001242</v>
      </c>
      <c r="D3619" s="380" t="s">
        <v>767</v>
      </c>
      <c r="E3619" s="380" t="s">
        <v>781</v>
      </c>
      <c r="F3619" s="380" t="s">
        <v>782</v>
      </c>
      <c r="G3619" s="380" t="s">
        <v>1267</v>
      </c>
      <c r="H3619" s="380" t="s">
        <v>771</v>
      </c>
      <c r="I3619" s="380" t="s">
        <v>784</v>
      </c>
      <c r="J3619" s="380" t="s">
        <v>773</v>
      </c>
      <c r="K3619" s="381">
        <v>0.0</v>
      </c>
      <c r="L3619" s="382">
        <v>1.0</v>
      </c>
    </row>
    <row r="3620">
      <c r="A3620" s="380" t="s">
        <v>4483</v>
      </c>
      <c r="B3620" s="380" t="str">
        <f>IFERROR(__xludf.DUMMYFUNCTION("""COMPUTED_VALUE"""),"Palustre # 7")</f>
        <v>Palustre # 7</v>
      </c>
      <c r="C3620" s="380" t="str">
        <f>IFERROR(__xludf.DUMMYFUNCTION("""COMPUTED_VALUE"""),"50001243")</f>
        <v>50001243</v>
      </c>
      <c r="D3620" s="380" t="s">
        <v>767</v>
      </c>
      <c r="E3620" s="380" t="s">
        <v>781</v>
      </c>
      <c r="F3620" s="380" t="s">
        <v>782</v>
      </c>
      <c r="G3620" s="380" t="s">
        <v>1267</v>
      </c>
      <c r="H3620" s="380" t="s">
        <v>771</v>
      </c>
      <c r="I3620" s="380" t="s">
        <v>784</v>
      </c>
      <c r="J3620" s="380" t="s">
        <v>773</v>
      </c>
      <c r="K3620" s="381">
        <v>0.0</v>
      </c>
      <c r="L3620" s="382">
        <v>1.0</v>
      </c>
    </row>
    <row r="3621">
      <c r="A3621" s="380" t="s">
        <v>4484</v>
      </c>
      <c r="B3621" s="380" t="str">
        <f>IFERROR(__xludf.DUMMYFUNCTION("""COMPUTED_VALUE"""),"Juego Copas De 10 A 32 Mm X 18 Piezas")</f>
        <v>Juego Copas De 10 A 32 Mm X 18 Piezas</v>
      </c>
      <c r="C3621" s="380" t="str">
        <f>IFERROR(__xludf.DUMMYFUNCTION("""COMPUTED_VALUE"""),"50001244")</f>
        <v>50001244</v>
      </c>
      <c r="D3621" s="380" t="s">
        <v>767</v>
      </c>
      <c r="E3621" s="380" t="s">
        <v>781</v>
      </c>
      <c r="F3621" s="380" t="s">
        <v>782</v>
      </c>
      <c r="G3621" s="380" t="s">
        <v>1267</v>
      </c>
      <c r="H3621" s="380" t="s">
        <v>771</v>
      </c>
      <c r="I3621" s="380" t="s">
        <v>784</v>
      </c>
      <c r="J3621" s="380" t="s">
        <v>773</v>
      </c>
      <c r="K3621" s="381">
        <v>0.0</v>
      </c>
      <c r="L3621" s="382">
        <v>1.0</v>
      </c>
    </row>
    <row r="3622">
      <c r="A3622" s="380" t="s">
        <v>4485</v>
      </c>
      <c r="B3622" s="380" t="str">
        <f>IFERROR(__xludf.DUMMYFUNCTION("""COMPUTED_VALUE"""),"Copa Sierra Para Metal 2""")</f>
        <v>Copa Sierra Para Metal 2"</v>
      </c>
      <c r="C3622" s="380" t="str">
        <f>IFERROR(__xludf.DUMMYFUNCTION("""COMPUTED_VALUE"""),"50001245")</f>
        <v>50001245</v>
      </c>
      <c r="D3622" s="380" t="s">
        <v>767</v>
      </c>
      <c r="E3622" s="380" t="s">
        <v>781</v>
      </c>
      <c r="F3622" s="380" t="s">
        <v>782</v>
      </c>
      <c r="G3622" s="380" t="s">
        <v>1267</v>
      </c>
      <c r="H3622" s="380" t="s">
        <v>771</v>
      </c>
      <c r="I3622" s="380" t="s">
        <v>784</v>
      </c>
      <c r="J3622" s="380" t="s">
        <v>773</v>
      </c>
      <c r="K3622" s="381">
        <v>0.0</v>
      </c>
      <c r="L3622" s="382">
        <v>1.0</v>
      </c>
    </row>
    <row r="3623">
      <c r="A3623" s="380" t="s">
        <v>4486</v>
      </c>
      <c r="B3623" s="380" t="str">
        <f>IFERROR(__xludf.DUMMYFUNCTION("""COMPUTED_VALUE"""),"Arbol Para Copa Sierra De Metal 2""")</f>
        <v>Arbol Para Copa Sierra De Metal 2"</v>
      </c>
      <c r="C3623" s="380" t="str">
        <f>IFERROR(__xludf.DUMMYFUNCTION("""COMPUTED_VALUE"""),"50001246")</f>
        <v>50001246</v>
      </c>
      <c r="D3623" s="380" t="s">
        <v>767</v>
      </c>
      <c r="E3623" s="380" t="s">
        <v>781</v>
      </c>
      <c r="F3623" s="380" t="s">
        <v>782</v>
      </c>
      <c r="G3623" s="380" t="s">
        <v>1267</v>
      </c>
      <c r="H3623" s="380" t="s">
        <v>771</v>
      </c>
      <c r="I3623" s="380" t="s">
        <v>784</v>
      </c>
      <c r="J3623" s="380" t="s">
        <v>773</v>
      </c>
      <c r="K3623" s="381">
        <v>0.0</v>
      </c>
      <c r="L3623" s="382">
        <v>1.0</v>
      </c>
    </row>
    <row r="3624">
      <c r="A3624" s="380" t="s">
        <v>4487</v>
      </c>
      <c r="B3624" s="380" t="str">
        <f>IFERROR(__xludf.DUMMYFUNCTION("""COMPUTED_VALUE"""),"Juego Machuelo Para Roscas 1960029-10")</f>
        <v>Juego Machuelo Para Roscas 1960029-10</v>
      </c>
      <c r="C3624" s="380" t="str">
        <f>IFERROR(__xludf.DUMMYFUNCTION("""COMPUTED_VALUE"""),"50001247")</f>
        <v>50001247</v>
      </c>
      <c r="D3624" s="380" t="s">
        <v>767</v>
      </c>
      <c r="E3624" s="380" t="s">
        <v>781</v>
      </c>
      <c r="F3624" s="380" t="s">
        <v>782</v>
      </c>
      <c r="G3624" s="380" t="s">
        <v>1267</v>
      </c>
      <c r="H3624" s="380" t="s">
        <v>771</v>
      </c>
      <c r="I3624" s="380" t="s">
        <v>784</v>
      </c>
      <c r="J3624" s="380" t="s">
        <v>773</v>
      </c>
      <c r="K3624" s="381">
        <v>0.0</v>
      </c>
      <c r="L3624" s="382">
        <v>1.0</v>
      </c>
    </row>
    <row r="3625">
      <c r="A3625" s="380" t="s">
        <v>4488</v>
      </c>
      <c r="B3625" s="380" t="str">
        <f>IFERROR(__xludf.DUMMYFUNCTION("""COMPUTED_VALUE"""),"Pinza Para Masa De 300 Amperios")</f>
        <v>Pinza Para Masa De 300 Amperios</v>
      </c>
      <c r="C3625" s="380" t="str">
        <f>IFERROR(__xludf.DUMMYFUNCTION("""COMPUTED_VALUE"""),"50001248")</f>
        <v>50001248</v>
      </c>
      <c r="D3625" s="380" t="s">
        <v>767</v>
      </c>
      <c r="E3625" s="380" t="s">
        <v>781</v>
      </c>
      <c r="F3625" s="380" t="s">
        <v>782</v>
      </c>
      <c r="G3625" s="380" t="s">
        <v>1267</v>
      </c>
      <c r="H3625" s="380" t="s">
        <v>771</v>
      </c>
      <c r="I3625" s="380" t="s">
        <v>784</v>
      </c>
      <c r="J3625" s="380" t="s">
        <v>773</v>
      </c>
      <c r="K3625" s="381">
        <v>0.0</v>
      </c>
      <c r="L3625" s="382">
        <v>1.0</v>
      </c>
    </row>
    <row r="3626">
      <c r="A3626" s="380" t="s">
        <v>4489</v>
      </c>
      <c r="B3626" s="380" t="str">
        <f>IFERROR(__xludf.DUMMYFUNCTION("""COMPUTED_VALUE"""),"Calibrador Fijador Tiempo")</f>
        <v>Calibrador Fijador Tiempo</v>
      </c>
      <c r="C3626" s="380" t="str">
        <f>IFERROR(__xludf.DUMMYFUNCTION("""COMPUTED_VALUE"""),"50001249")</f>
        <v>50001249</v>
      </c>
      <c r="D3626" s="380" t="s">
        <v>767</v>
      </c>
      <c r="E3626" s="380" t="s">
        <v>781</v>
      </c>
      <c r="F3626" s="380" t="s">
        <v>782</v>
      </c>
      <c r="G3626" s="380" t="s">
        <v>1267</v>
      </c>
      <c r="H3626" s="380" t="s">
        <v>771</v>
      </c>
      <c r="I3626" s="380" t="s">
        <v>784</v>
      </c>
      <c r="J3626" s="380" t="s">
        <v>773</v>
      </c>
      <c r="K3626" s="381">
        <v>0.0</v>
      </c>
      <c r="L3626" s="382">
        <v>1.0</v>
      </c>
    </row>
    <row r="3627">
      <c r="A3627" s="380" t="s">
        <v>4490</v>
      </c>
      <c r="B3627" s="380" t="str">
        <f>IFERROR(__xludf.DUMMYFUNCTION("""COMPUTED_VALUE"""),"Broca Sierra Blumol 2 1/2")</f>
        <v>Broca Sierra Blumol 2 1/2</v>
      </c>
      <c r="C3627" s="380" t="str">
        <f>IFERROR(__xludf.DUMMYFUNCTION("""COMPUTED_VALUE"""),"50001250")</f>
        <v>50001250</v>
      </c>
      <c r="D3627" s="380" t="s">
        <v>767</v>
      </c>
      <c r="E3627" s="380" t="s">
        <v>781</v>
      </c>
      <c r="F3627" s="380" t="s">
        <v>782</v>
      </c>
      <c r="G3627" s="380" t="s">
        <v>1267</v>
      </c>
      <c r="H3627" s="380" t="s">
        <v>771</v>
      </c>
      <c r="I3627" s="380" t="s">
        <v>784</v>
      </c>
      <c r="J3627" s="380" t="s">
        <v>773</v>
      </c>
      <c r="K3627" s="381">
        <v>0.0</v>
      </c>
      <c r="L3627" s="382">
        <v>1.0</v>
      </c>
    </row>
    <row r="3628">
      <c r="A3628" s="380" t="s">
        <v>4491</v>
      </c>
      <c r="B3628" s="380" t="str">
        <f>IFERROR(__xludf.DUMMYFUNCTION("""COMPUTED_VALUE"""),"Copa Impact Cuad 1/2 X 12m Snap-On 12 Mm")</f>
        <v>Copa Impact Cuad 1/2 X 12m Snap-On 12 Mm</v>
      </c>
      <c r="C3628" s="380" t="str">
        <f>IFERROR(__xludf.DUMMYFUNCTION("""COMPUTED_VALUE"""),"50001251")</f>
        <v>50001251</v>
      </c>
      <c r="D3628" s="380" t="s">
        <v>767</v>
      </c>
      <c r="E3628" s="380" t="s">
        <v>781</v>
      </c>
      <c r="F3628" s="380" t="s">
        <v>782</v>
      </c>
      <c r="G3628" s="380" t="s">
        <v>1267</v>
      </c>
      <c r="H3628" s="380" t="s">
        <v>771</v>
      </c>
      <c r="I3628" s="380" t="s">
        <v>784</v>
      </c>
      <c r="J3628" s="380" t="s">
        <v>773</v>
      </c>
      <c r="K3628" s="381">
        <v>0.0</v>
      </c>
      <c r="L3628" s="382">
        <v>1.0</v>
      </c>
    </row>
    <row r="3629">
      <c r="A3629" s="380" t="s">
        <v>4492</v>
      </c>
      <c r="B3629" s="380" t="str">
        <f>IFERROR(__xludf.DUMMYFUNCTION("""COMPUTED_VALUE"""),"Cortador Tipo Tijera Tubo Pvc Plastico 1")</f>
        <v>Cortador Tipo Tijera Tubo Pvc Plastico 1</v>
      </c>
      <c r="C3629" s="380" t="str">
        <f>IFERROR(__xludf.DUMMYFUNCTION("""COMPUTED_VALUE"""),"50001252")</f>
        <v>50001252</v>
      </c>
      <c r="D3629" s="380" t="s">
        <v>767</v>
      </c>
      <c r="E3629" s="380" t="s">
        <v>781</v>
      </c>
      <c r="F3629" s="380" t="s">
        <v>782</v>
      </c>
      <c r="G3629" s="380" t="s">
        <v>1267</v>
      </c>
      <c r="H3629" s="380" t="s">
        <v>771</v>
      </c>
      <c r="I3629" s="380" t="s">
        <v>784</v>
      </c>
      <c r="J3629" s="380" t="s">
        <v>773</v>
      </c>
      <c r="K3629" s="381">
        <v>0.0</v>
      </c>
      <c r="L3629" s="382">
        <v>1.0</v>
      </c>
    </row>
    <row r="3630">
      <c r="A3630" s="380" t="s">
        <v>4493</v>
      </c>
      <c r="B3630" s="380" t="str">
        <f>IFERROR(__xludf.DUMMYFUNCTION("""COMPUTED_VALUE"""),"Serrucho Sierra Para Drywall")</f>
        <v>Serrucho Sierra Para Drywall</v>
      </c>
      <c r="C3630" s="380" t="str">
        <f>IFERROR(__xludf.DUMMYFUNCTION("""COMPUTED_VALUE"""),"50001253")</f>
        <v>50001253</v>
      </c>
      <c r="D3630" s="380" t="s">
        <v>767</v>
      </c>
      <c r="E3630" s="380" t="s">
        <v>781</v>
      </c>
      <c r="F3630" s="380" t="s">
        <v>782</v>
      </c>
      <c r="G3630" s="380" t="s">
        <v>1267</v>
      </c>
      <c r="H3630" s="380" t="s">
        <v>771</v>
      </c>
      <c r="I3630" s="380" t="s">
        <v>784</v>
      </c>
      <c r="J3630" s="380" t="s">
        <v>773</v>
      </c>
      <c r="K3630" s="381">
        <v>0.0</v>
      </c>
      <c r="L3630" s="382">
        <v>1.0</v>
      </c>
    </row>
    <row r="3631">
      <c r="A3631" s="380" t="s">
        <v>4494</v>
      </c>
      <c r="B3631" s="380" t="str">
        <f>IFERROR(__xludf.DUMMYFUNCTION("""COMPUTED_VALUE"""),"Espatula Esquinera Exterior Para Drywall")</f>
        <v>Espatula Esquinera Exterior Para Drywall</v>
      </c>
      <c r="C3631" s="380" t="str">
        <f>IFERROR(__xludf.DUMMYFUNCTION("""COMPUTED_VALUE"""),"50001254")</f>
        <v>50001254</v>
      </c>
      <c r="D3631" s="380" t="s">
        <v>767</v>
      </c>
      <c r="E3631" s="380" t="s">
        <v>781</v>
      </c>
      <c r="F3631" s="380" t="s">
        <v>782</v>
      </c>
      <c r="G3631" s="380" t="s">
        <v>1267</v>
      </c>
      <c r="H3631" s="380" t="s">
        <v>771</v>
      </c>
      <c r="I3631" s="380" t="s">
        <v>784</v>
      </c>
      <c r="J3631" s="380" t="s">
        <v>773</v>
      </c>
      <c r="K3631" s="381">
        <v>0.0</v>
      </c>
      <c r="L3631" s="382">
        <v>1.0</v>
      </c>
    </row>
    <row r="3632">
      <c r="A3632" s="380" t="s">
        <v>4495</v>
      </c>
      <c r="B3632" s="380" t="str">
        <f>IFERROR(__xludf.DUMMYFUNCTION("""COMPUTED_VALUE"""),"Codal Tubo Rectangular Cerrajeria 76 X 3")</f>
        <v>Codal Tubo Rectangular Cerrajeria 76 X 3</v>
      </c>
      <c r="C3632" s="380" t="str">
        <f>IFERROR(__xludf.DUMMYFUNCTION("""COMPUTED_VALUE"""),"50001256")</f>
        <v>50001256</v>
      </c>
      <c r="D3632" s="380" t="s">
        <v>767</v>
      </c>
      <c r="E3632" s="380" t="s">
        <v>781</v>
      </c>
      <c r="F3632" s="380" t="s">
        <v>782</v>
      </c>
      <c r="G3632" s="380" t="s">
        <v>1267</v>
      </c>
      <c r="H3632" s="380" t="s">
        <v>771</v>
      </c>
      <c r="I3632" s="380" t="s">
        <v>784</v>
      </c>
      <c r="J3632" s="380" t="s">
        <v>773</v>
      </c>
      <c r="K3632" s="381">
        <v>0.0</v>
      </c>
      <c r="L3632" s="382">
        <v>1.0</v>
      </c>
    </row>
    <row r="3633">
      <c r="A3633" s="380" t="s">
        <v>4496</v>
      </c>
      <c r="B3633" s="380" t="str">
        <f>IFERROR(__xludf.DUMMYFUNCTION("""COMPUTED_VALUE"""),"Cimbra Albañil 1w91411")</f>
        <v>Cimbra Albañil 1w91411</v>
      </c>
      <c r="C3633" s="380" t="str">
        <f>IFERROR(__xludf.DUMMYFUNCTION("""COMPUTED_VALUE"""),"50001257")</f>
        <v>50001257</v>
      </c>
      <c r="D3633" s="380" t="s">
        <v>767</v>
      </c>
      <c r="E3633" s="380" t="s">
        <v>781</v>
      </c>
      <c r="F3633" s="380" t="s">
        <v>782</v>
      </c>
      <c r="G3633" s="380" t="s">
        <v>1267</v>
      </c>
      <c r="H3633" s="380" t="s">
        <v>771</v>
      </c>
      <c r="I3633" s="380" t="s">
        <v>784</v>
      </c>
      <c r="J3633" s="380" t="s">
        <v>773</v>
      </c>
      <c r="K3633" s="381">
        <v>0.0</v>
      </c>
      <c r="L3633" s="382">
        <v>1.0</v>
      </c>
    </row>
    <row r="3634">
      <c r="A3634" s="380" t="s">
        <v>4497</v>
      </c>
      <c r="B3634" s="380" t="str">
        <f>IFERROR(__xludf.DUMMYFUNCTION("""COMPUTED_VALUE"""),"Alicate Pelacable Automatico")</f>
        <v>Alicate Pelacable Automatico</v>
      </c>
      <c r="C3634" s="380" t="str">
        <f>IFERROR(__xludf.DUMMYFUNCTION("""COMPUTED_VALUE"""),"50001258")</f>
        <v>50001258</v>
      </c>
      <c r="D3634" s="380" t="s">
        <v>767</v>
      </c>
      <c r="E3634" s="380" t="s">
        <v>781</v>
      </c>
      <c r="F3634" s="380" t="s">
        <v>782</v>
      </c>
      <c r="G3634" s="380" t="s">
        <v>1267</v>
      </c>
      <c r="H3634" s="380" t="s">
        <v>771</v>
      </c>
      <c r="I3634" s="380" t="s">
        <v>784</v>
      </c>
      <c r="J3634" s="380" t="s">
        <v>773</v>
      </c>
      <c r="K3634" s="381">
        <v>0.0</v>
      </c>
      <c r="L3634" s="382">
        <v>1.0</v>
      </c>
    </row>
    <row r="3635">
      <c r="A3635" s="380" t="s">
        <v>4498</v>
      </c>
      <c r="B3635" s="380" t="str">
        <f>IFERROR(__xludf.DUMMYFUNCTION("""COMPUTED_VALUE"""),"Candado De Seguridad 850 500-50")</f>
        <v>Candado De Seguridad 850 500-50</v>
      </c>
      <c r="C3635" s="380" t="str">
        <f>IFERROR(__xludf.DUMMYFUNCTION("""COMPUTED_VALUE"""),"50001259")</f>
        <v>50001259</v>
      </c>
      <c r="D3635" s="380" t="s">
        <v>767</v>
      </c>
      <c r="E3635" s="380" t="s">
        <v>781</v>
      </c>
      <c r="F3635" s="380" t="s">
        <v>782</v>
      </c>
      <c r="G3635" s="380" t="s">
        <v>1267</v>
      </c>
      <c r="H3635" s="380" t="s">
        <v>771</v>
      </c>
      <c r="I3635" s="380" t="s">
        <v>784</v>
      </c>
      <c r="J3635" s="380" t="s">
        <v>773</v>
      </c>
      <c r="K3635" s="381">
        <v>0.0</v>
      </c>
      <c r="L3635" s="382">
        <v>1.0</v>
      </c>
    </row>
    <row r="3636">
      <c r="A3636" s="380" t="s">
        <v>4499</v>
      </c>
      <c r="B3636" s="380" t="str">
        <f>IFERROR(__xludf.DUMMYFUNCTION("""COMPUTED_VALUE"""),"BMB Presurizable Para Limpieza A/C-Fs-39")</f>
        <v>BMB Presurizable Para Limpieza A/C-Fs-39</v>
      </c>
      <c r="C3636" s="380" t="str">
        <f>IFERROR(__xludf.DUMMYFUNCTION("""COMPUTED_VALUE"""),"50001260")</f>
        <v>50001260</v>
      </c>
      <c r="D3636" s="380" t="s">
        <v>767</v>
      </c>
      <c r="E3636" s="380" t="s">
        <v>781</v>
      </c>
      <c r="F3636" s="380" t="s">
        <v>782</v>
      </c>
      <c r="G3636" s="380" t="s">
        <v>1267</v>
      </c>
      <c r="H3636" s="380" t="s">
        <v>771</v>
      </c>
      <c r="I3636" s="380" t="s">
        <v>784</v>
      </c>
      <c r="J3636" s="380" t="s">
        <v>773</v>
      </c>
      <c r="K3636" s="381">
        <v>0.0</v>
      </c>
      <c r="L3636" s="382">
        <v>1.0</v>
      </c>
    </row>
    <row r="3637">
      <c r="A3637" s="380" t="s">
        <v>4500</v>
      </c>
      <c r="B3637" s="380" t="str">
        <f>IFERROR(__xludf.DUMMYFUNCTION("""COMPUTED_VALUE"""),"Regulador Presion Co2- G-307 Air Produce")</f>
        <v>Regulador Presion Co2- G-307 Air Produce</v>
      </c>
      <c r="C3637" s="380" t="str">
        <f>IFERROR(__xludf.DUMMYFUNCTION("""COMPUTED_VALUE"""),"50001261")</f>
        <v>50001261</v>
      </c>
      <c r="D3637" s="380" t="s">
        <v>767</v>
      </c>
      <c r="E3637" s="380" t="s">
        <v>781</v>
      </c>
      <c r="F3637" s="380" t="s">
        <v>782</v>
      </c>
      <c r="G3637" s="380" t="s">
        <v>1267</v>
      </c>
      <c r="H3637" s="380" t="s">
        <v>771</v>
      </c>
      <c r="I3637" s="380" t="s">
        <v>784</v>
      </c>
      <c r="J3637" s="380" t="s">
        <v>773</v>
      </c>
      <c r="K3637" s="381">
        <v>0.0</v>
      </c>
      <c r="L3637" s="382">
        <v>1.0</v>
      </c>
    </row>
    <row r="3638">
      <c r="A3638" s="380" t="s">
        <v>4501</v>
      </c>
      <c r="B3638" s="380" t="str">
        <f>IFERROR(__xludf.DUMMYFUNCTION("""COMPUTED_VALUE"""),"Instalador RET DEL MOT CUMM X15 4918991")</f>
        <v>Instalador RET DEL MOT CUMM X15 4918991</v>
      </c>
      <c r="C3638" s="380" t="str">
        <f>IFERROR(__xludf.DUMMYFUNCTION("""COMPUTED_VALUE"""),"50001262")</f>
        <v>50001262</v>
      </c>
      <c r="D3638" s="380" t="s">
        <v>767</v>
      </c>
      <c r="E3638" s="380" t="s">
        <v>781</v>
      </c>
      <c r="F3638" s="380" t="s">
        <v>782</v>
      </c>
      <c r="G3638" s="380" t="s">
        <v>1267</v>
      </c>
      <c r="H3638" s="380" t="s">
        <v>771</v>
      </c>
      <c r="I3638" s="380" t="s">
        <v>784</v>
      </c>
      <c r="J3638" s="380" t="s">
        <v>773</v>
      </c>
      <c r="K3638" s="381">
        <v>0.0</v>
      </c>
      <c r="L3638" s="382">
        <v>1.0</v>
      </c>
    </row>
    <row r="3639">
      <c r="A3639" s="380" t="s">
        <v>4502</v>
      </c>
      <c r="B3639" s="380" t="str">
        <f>IFERROR(__xludf.DUMMYFUNCTION("""COMPUTED_VALUE"""),"Herramienta De Giro Volante Paccar Mx13")</f>
        <v>Herramienta De Giro Volante Paccar Mx13</v>
      </c>
      <c r="C3639" s="380" t="str">
        <f>IFERROR(__xludf.DUMMYFUNCTION("""COMPUTED_VALUE"""),"50001263")</f>
        <v>50001263</v>
      </c>
      <c r="D3639" s="380" t="s">
        <v>767</v>
      </c>
      <c r="E3639" s="380" t="s">
        <v>781</v>
      </c>
      <c r="F3639" s="380" t="s">
        <v>782</v>
      </c>
      <c r="G3639" s="380" t="s">
        <v>1267</v>
      </c>
      <c r="H3639" s="380" t="s">
        <v>771</v>
      </c>
      <c r="I3639" s="380" t="s">
        <v>784</v>
      </c>
      <c r="J3639" s="380" t="s">
        <v>773</v>
      </c>
      <c r="K3639" s="381">
        <v>0.0</v>
      </c>
      <c r="L3639" s="382">
        <v>1.0</v>
      </c>
    </row>
    <row r="3640">
      <c r="A3640" s="380" t="s">
        <v>4503</v>
      </c>
      <c r="B3640" s="380" t="str">
        <f>IFERROR(__xludf.DUMMYFUNCTION("""COMPUTED_VALUE"""),"Rueda Camilla Mecanico Imsa 04 2""")</f>
        <v>Rueda Camilla Mecanico Imsa 04 2"</v>
      </c>
      <c r="C3640" s="380" t="str">
        <f>IFERROR(__xludf.DUMMYFUNCTION("""COMPUTED_VALUE"""),"50001264")</f>
        <v>50001264</v>
      </c>
      <c r="D3640" s="380" t="s">
        <v>767</v>
      </c>
      <c r="E3640" s="380" t="s">
        <v>781</v>
      </c>
      <c r="F3640" s="380" t="s">
        <v>782</v>
      </c>
      <c r="G3640" s="380" t="s">
        <v>1267</v>
      </c>
      <c r="H3640" s="380" t="s">
        <v>771</v>
      </c>
      <c r="I3640" s="380" t="s">
        <v>784</v>
      </c>
      <c r="J3640" s="380" t="s">
        <v>773</v>
      </c>
      <c r="K3640" s="381">
        <v>0.0</v>
      </c>
      <c r="L3640" s="382">
        <v>1.0</v>
      </c>
    </row>
    <row r="3641">
      <c r="A3641" s="380" t="s">
        <v>4504</v>
      </c>
      <c r="B3641" s="380" t="str">
        <f>IFERROR(__xludf.DUMMYFUNCTION("""COMPUTED_VALUE"""),"Palanca Montaje Llantas Sellomatic R17.5")</f>
        <v>Palanca Montaje Llantas Sellomatic R17.5</v>
      </c>
      <c r="C3641" s="380" t="str">
        <f>IFERROR(__xludf.DUMMYFUNCTION("""COMPUTED_VALUE"""),"50001265")</f>
        <v>50001265</v>
      </c>
      <c r="D3641" s="380" t="s">
        <v>767</v>
      </c>
      <c r="E3641" s="380" t="s">
        <v>781</v>
      </c>
      <c r="F3641" s="380" t="s">
        <v>782</v>
      </c>
      <c r="G3641" s="380" t="s">
        <v>1267</v>
      </c>
      <c r="H3641" s="380" t="s">
        <v>771</v>
      </c>
      <c r="I3641" s="380" t="s">
        <v>784</v>
      </c>
      <c r="J3641" s="380" t="s">
        <v>773</v>
      </c>
      <c r="K3641" s="381">
        <v>0.0</v>
      </c>
      <c r="L3641" s="382">
        <v>1.0</v>
      </c>
    </row>
    <row r="3642">
      <c r="A3642" s="380" t="s">
        <v>4505</v>
      </c>
      <c r="B3642" s="380" t="str">
        <f>IFERROR(__xludf.DUMMYFUNCTION("""COMPUTED_VALUE"""),"Llave Pernos 22mm Foton 1039")</f>
        <v>Llave Pernos 22mm Foton 1039</v>
      </c>
      <c r="C3642" s="380" t="str">
        <f>IFERROR(__xludf.DUMMYFUNCTION("""COMPUTED_VALUE"""),"50001266")</f>
        <v>50001266</v>
      </c>
      <c r="D3642" s="380" t="s">
        <v>767</v>
      </c>
      <c r="E3642" s="380" t="s">
        <v>781</v>
      </c>
      <c r="F3642" s="380" t="s">
        <v>782</v>
      </c>
      <c r="G3642" s="380" t="s">
        <v>1267</v>
      </c>
      <c r="H3642" s="380" t="s">
        <v>771</v>
      </c>
      <c r="I3642" s="380" t="s">
        <v>784</v>
      </c>
      <c r="J3642" s="380" t="s">
        <v>773</v>
      </c>
      <c r="K3642" s="381">
        <v>0.0</v>
      </c>
      <c r="L3642" s="382">
        <v>1.0</v>
      </c>
    </row>
    <row r="3643">
      <c r="A3643" s="380" t="s">
        <v>4506</v>
      </c>
      <c r="B3643" s="380" t="str">
        <f>IFERROR(__xludf.DUMMYFUNCTION("""COMPUTED_VALUE"""),"Medidor De Distancia Digital 16-18 M")</f>
        <v>Medidor De Distancia Digital 16-18 M</v>
      </c>
      <c r="C3643" s="380" t="str">
        <f>IFERROR(__xludf.DUMMYFUNCTION("""COMPUTED_VALUE"""),"50001267")</f>
        <v>50001267</v>
      </c>
      <c r="D3643" s="380" t="s">
        <v>767</v>
      </c>
      <c r="E3643" s="380" t="s">
        <v>781</v>
      </c>
      <c r="F3643" s="380" t="s">
        <v>782</v>
      </c>
      <c r="G3643" s="380" t="s">
        <v>1267</v>
      </c>
      <c r="H3643" s="380" t="s">
        <v>771</v>
      </c>
      <c r="I3643" s="380" t="s">
        <v>784</v>
      </c>
      <c r="J3643" s="380" t="s">
        <v>773</v>
      </c>
      <c r="K3643" s="381">
        <v>0.0</v>
      </c>
      <c r="L3643" s="382">
        <v>1.0</v>
      </c>
    </row>
    <row r="3644">
      <c r="A3644" s="380" t="s">
        <v>4507</v>
      </c>
      <c r="B3644" s="380" t="str">
        <f>IFERROR(__xludf.DUMMYFUNCTION("""COMPUTED_VALUE"""),"Mototool Mini Taladro Recargable")</f>
        <v>Mototool Mini Taladro Recargable</v>
      </c>
      <c r="C3644" s="380" t="str">
        <f>IFERROR(__xludf.DUMMYFUNCTION("""COMPUTED_VALUE"""),"50001268")</f>
        <v>50001268</v>
      </c>
      <c r="D3644" s="380" t="s">
        <v>767</v>
      </c>
      <c r="E3644" s="380" t="s">
        <v>781</v>
      </c>
      <c r="F3644" s="380" t="s">
        <v>782</v>
      </c>
      <c r="G3644" s="380" t="s">
        <v>1267</v>
      </c>
      <c r="H3644" s="380" t="s">
        <v>771</v>
      </c>
      <c r="I3644" s="380" t="s">
        <v>784</v>
      </c>
      <c r="J3644" s="380" t="s">
        <v>773</v>
      </c>
      <c r="K3644" s="381">
        <v>0.0</v>
      </c>
      <c r="L3644" s="382">
        <v>1.0</v>
      </c>
    </row>
    <row r="3645">
      <c r="A3645" s="380" t="s">
        <v>4508</v>
      </c>
      <c r="B3645" s="380" t="str">
        <f>IFERROR(__xludf.DUMMYFUNCTION("""COMPUTED_VALUE"""),"Mini Pinza De Punta 5""")</f>
        <v>Mini Pinza De Punta 5"</v>
      </c>
      <c r="C3645" s="380" t="str">
        <f>IFERROR(__xludf.DUMMYFUNCTION("""COMPUTED_VALUE"""),"50001269")</f>
        <v>50001269</v>
      </c>
      <c r="D3645" s="380" t="s">
        <v>767</v>
      </c>
      <c r="E3645" s="380" t="s">
        <v>781</v>
      </c>
      <c r="F3645" s="380" t="s">
        <v>782</v>
      </c>
      <c r="G3645" s="380" t="s">
        <v>1267</v>
      </c>
      <c r="H3645" s="380" t="s">
        <v>771</v>
      </c>
      <c r="I3645" s="380" t="s">
        <v>784</v>
      </c>
      <c r="J3645" s="380" t="s">
        <v>773</v>
      </c>
      <c r="K3645" s="381">
        <v>0.0</v>
      </c>
      <c r="L3645" s="382">
        <v>1.0</v>
      </c>
    </row>
    <row r="3646">
      <c r="A3646" s="380" t="s">
        <v>4509</v>
      </c>
      <c r="B3646" s="380" t="str">
        <f>IFERROR(__xludf.DUMMYFUNCTION("""COMPUTED_VALUE"""),"BMB De Lubricacion Neumatica Caneca 55 G")</f>
        <v>BMB De Lubricacion Neumatica Caneca 55 G</v>
      </c>
      <c r="C3646" s="380" t="str">
        <f>IFERROR(__xludf.DUMMYFUNCTION("""COMPUTED_VALUE"""),"50001270")</f>
        <v>50001270</v>
      </c>
      <c r="D3646" s="380" t="s">
        <v>767</v>
      </c>
      <c r="E3646" s="380" t="s">
        <v>781</v>
      </c>
      <c r="F3646" s="380" t="s">
        <v>782</v>
      </c>
      <c r="G3646" s="380" t="s">
        <v>1267</v>
      </c>
      <c r="H3646" s="380" t="s">
        <v>771</v>
      </c>
      <c r="I3646" s="380" t="s">
        <v>784</v>
      </c>
      <c r="J3646" s="380" t="s">
        <v>773</v>
      </c>
      <c r="K3646" s="381">
        <v>0.0</v>
      </c>
      <c r="L3646" s="382">
        <v>1.0</v>
      </c>
    </row>
    <row r="3647">
      <c r="A3647" s="380" t="s">
        <v>4510</v>
      </c>
      <c r="B3647" s="380" t="str">
        <f>IFERROR(__xludf.DUMMYFUNCTION("""COMPUTED_VALUE"""),"Palanca Fuerza Cuad 1 Snap-On 18"" A 1/2""")</f>
        <v>Palanca Fuerza Cuad 1 Snap-On 18" A 1/2"</v>
      </c>
      <c r="C3647" s="380" t="str">
        <f>IFERROR(__xludf.DUMMYFUNCTION("""COMPUTED_VALUE"""),"50001271")</f>
        <v>50001271</v>
      </c>
      <c r="D3647" s="380" t="s">
        <v>767</v>
      </c>
      <c r="E3647" s="380" t="s">
        <v>781</v>
      </c>
      <c r="F3647" s="380" t="s">
        <v>782</v>
      </c>
      <c r="G3647" s="380" t="s">
        <v>1267</v>
      </c>
      <c r="H3647" s="380" t="s">
        <v>771</v>
      </c>
      <c r="I3647" s="380" t="s">
        <v>784</v>
      </c>
      <c r="J3647" s="380" t="s">
        <v>773</v>
      </c>
      <c r="K3647" s="381">
        <v>0.0</v>
      </c>
      <c r="L3647" s="382">
        <v>1.0</v>
      </c>
    </row>
    <row r="3648">
      <c r="A3648" s="380" t="s">
        <v>4511</v>
      </c>
      <c r="B3648" s="380" t="str">
        <f>IFERROR(__xludf.DUMMYFUNCTION("""COMPUTED_VALUE"""),"Cono Reflectivo Retractil 60 Cm")</f>
        <v>Cono Reflectivo Retractil 60 Cm</v>
      </c>
      <c r="C3648" s="380" t="str">
        <f>IFERROR(__xludf.DUMMYFUNCTION("""COMPUTED_VALUE"""),"50001272")</f>
        <v>50001272</v>
      </c>
      <c r="D3648" s="380" t="s">
        <v>767</v>
      </c>
      <c r="E3648" s="380" t="s">
        <v>781</v>
      </c>
      <c r="F3648" s="380" t="s">
        <v>782</v>
      </c>
      <c r="G3648" s="380" t="s">
        <v>1267</v>
      </c>
      <c r="H3648" s="380" t="s">
        <v>771</v>
      </c>
      <c r="I3648" s="380" t="s">
        <v>784</v>
      </c>
      <c r="J3648" s="380" t="s">
        <v>773</v>
      </c>
      <c r="K3648" s="381">
        <v>58667.0</v>
      </c>
      <c r="L3648" s="382">
        <v>1.0</v>
      </c>
    </row>
    <row r="3649">
      <c r="A3649" s="380" t="s">
        <v>4512</v>
      </c>
      <c r="B3649" s="380" t="str">
        <f>IFERROR(__xludf.DUMMYFUNCTION("""COMPUTED_VALUE"""),"Cuchillo Zapatero #2")</f>
        <v>Cuchillo Zapatero #2</v>
      </c>
      <c r="C3649" s="380" t="str">
        <f>IFERROR(__xludf.DUMMYFUNCTION("""COMPUTED_VALUE"""),"50001273")</f>
        <v>50001273</v>
      </c>
      <c r="D3649" s="380" t="s">
        <v>767</v>
      </c>
      <c r="E3649" s="380" t="s">
        <v>781</v>
      </c>
      <c r="F3649" s="380" t="s">
        <v>782</v>
      </c>
      <c r="G3649" s="380" t="s">
        <v>1267</v>
      </c>
      <c r="H3649" s="380" t="s">
        <v>771</v>
      </c>
      <c r="I3649" s="380" t="s">
        <v>784</v>
      </c>
      <c r="J3649" s="380" t="s">
        <v>773</v>
      </c>
      <c r="K3649" s="381">
        <v>0.0</v>
      </c>
      <c r="L3649" s="382">
        <v>1.0</v>
      </c>
    </row>
    <row r="3650">
      <c r="A3650" s="380" t="s">
        <v>4513</v>
      </c>
      <c r="B3650" s="380" t="str">
        <f>IFERROR(__xludf.DUMMYFUNCTION("""COMPUTED_VALUE"""),"Estación De Soldadura Y Calor")</f>
        <v>Estación De Soldadura Y Calor</v>
      </c>
      <c r="C3650" s="380" t="str">
        <f>IFERROR(__xludf.DUMMYFUNCTION("""COMPUTED_VALUE"""),"50001274")</f>
        <v>50001274</v>
      </c>
      <c r="D3650" s="380" t="s">
        <v>767</v>
      </c>
      <c r="E3650" s="380" t="s">
        <v>781</v>
      </c>
      <c r="F3650" s="380" t="s">
        <v>782</v>
      </c>
      <c r="G3650" s="380" t="s">
        <v>1267</v>
      </c>
      <c r="H3650" s="380" t="s">
        <v>771</v>
      </c>
      <c r="I3650" s="380" t="s">
        <v>784</v>
      </c>
      <c r="J3650" s="380" t="s">
        <v>773</v>
      </c>
      <c r="K3650" s="381">
        <v>0.0</v>
      </c>
      <c r="L3650" s="382">
        <v>1.0</v>
      </c>
    </row>
    <row r="3651">
      <c r="A3651" s="380" t="s">
        <v>4514</v>
      </c>
      <c r="B3651" s="380" t="str">
        <f>IFERROR(__xludf.DUMMYFUNCTION("""COMPUTED_VALUE"""),"BMB Manual Tipo Manivela Caneca 55 Galon")</f>
        <v>BMB Manual Tipo Manivela Caneca 55 Galon</v>
      </c>
      <c r="C3651" s="380" t="str">
        <f>IFERROR(__xludf.DUMMYFUNCTION("""COMPUTED_VALUE"""),"50001275")</f>
        <v>50001275</v>
      </c>
      <c r="D3651" s="380" t="s">
        <v>767</v>
      </c>
      <c r="E3651" s="380" t="s">
        <v>781</v>
      </c>
      <c r="F3651" s="380" t="s">
        <v>782</v>
      </c>
      <c r="G3651" s="380" t="s">
        <v>1267</v>
      </c>
      <c r="H3651" s="380" t="s">
        <v>771</v>
      </c>
      <c r="I3651" s="380" t="s">
        <v>784</v>
      </c>
      <c r="J3651" s="380" t="s">
        <v>773</v>
      </c>
      <c r="K3651" s="381">
        <v>0.0</v>
      </c>
      <c r="L3651" s="382">
        <v>1.0</v>
      </c>
    </row>
    <row r="3652">
      <c r="A3652" s="380" t="s">
        <v>4515</v>
      </c>
      <c r="B3652" s="380" t="str">
        <f>IFERROR(__xludf.DUMMYFUNCTION("""COMPUTED_VALUE"""),"Filamento Pla Para Impresora 3d Hatcchbo")</f>
        <v>Filamento Pla Para Impresora 3d Hatcchbo</v>
      </c>
      <c r="C3652" s="380" t="str">
        <f>IFERROR(__xludf.DUMMYFUNCTION("""COMPUTED_VALUE"""),"50001276")</f>
        <v>50001276</v>
      </c>
      <c r="D3652" s="380" t="s">
        <v>767</v>
      </c>
      <c r="E3652" s="380" t="s">
        <v>781</v>
      </c>
      <c r="F3652" s="380" t="s">
        <v>782</v>
      </c>
      <c r="G3652" s="380" t="s">
        <v>1267</v>
      </c>
      <c r="H3652" s="380" t="s">
        <v>771</v>
      </c>
      <c r="I3652" s="380" t="s">
        <v>784</v>
      </c>
      <c r="J3652" s="380" t="s">
        <v>773</v>
      </c>
      <c r="K3652" s="381">
        <v>0.0</v>
      </c>
      <c r="L3652" s="382">
        <v>1.0</v>
      </c>
    </row>
    <row r="3653">
      <c r="A3653" s="380" t="s">
        <v>4516</v>
      </c>
      <c r="B3653" s="380" t="str">
        <f>IFERROR(__xludf.DUMMYFUNCTION("""COMPUTED_VALUE"""),"Soporte Conos Demarcacion Vial Vehiculo")</f>
        <v>Soporte Conos Demarcacion Vial Vehiculo</v>
      </c>
      <c r="C3653" s="380" t="str">
        <f>IFERROR(__xludf.DUMMYFUNCTION("""COMPUTED_VALUE"""),"50001277")</f>
        <v>50001277</v>
      </c>
      <c r="D3653" s="380" t="s">
        <v>767</v>
      </c>
      <c r="E3653" s="380" t="s">
        <v>781</v>
      </c>
      <c r="F3653" s="380" t="s">
        <v>782</v>
      </c>
      <c r="G3653" s="380" t="s">
        <v>1267</v>
      </c>
      <c r="H3653" s="380" t="s">
        <v>771</v>
      </c>
      <c r="I3653" s="380" t="s">
        <v>784</v>
      </c>
      <c r="J3653" s="380" t="s">
        <v>773</v>
      </c>
      <c r="K3653" s="381">
        <v>52983.0</v>
      </c>
      <c r="L3653" s="382">
        <v>1.0</v>
      </c>
    </row>
    <row r="3654">
      <c r="A3654" s="380" t="s">
        <v>4517</v>
      </c>
      <c r="B3654" s="380" t="str">
        <f>IFERROR(__xludf.DUMMYFUNCTION("""COMPUTED_VALUE"""),"Soldador De Punto Para Baterias 18650")</f>
        <v>Soldador De Punto Para Baterias 18650</v>
      </c>
      <c r="C3654" s="380" t="str">
        <f>IFERROR(__xludf.DUMMYFUNCTION("""COMPUTED_VALUE"""),"50001278")</f>
        <v>50001278</v>
      </c>
      <c r="D3654" s="380" t="s">
        <v>767</v>
      </c>
      <c r="E3654" s="380" t="s">
        <v>781</v>
      </c>
      <c r="F3654" s="380" t="s">
        <v>782</v>
      </c>
      <c r="G3654" s="380" t="s">
        <v>1267</v>
      </c>
      <c r="H3654" s="380" t="s">
        <v>771</v>
      </c>
      <c r="I3654" s="380" t="s">
        <v>784</v>
      </c>
      <c r="J3654" s="380" t="s">
        <v>773</v>
      </c>
      <c r="K3654" s="381">
        <v>0.0</v>
      </c>
      <c r="L3654" s="382">
        <v>1.0</v>
      </c>
    </row>
    <row r="3655">
      <c r="A3655" s="380" t="s">
        <v>4518</v>
      </c>
      <c r="B3655" s="380" t="str">
        <f>IFERROR(__xludf.DUMMYFUNCTION("""COMPUTED_VALUE"""),"Medidor De Distancia Laser 50 M")</f>
        <v>Medidor De Distancia Laser 50 M</v>
      </c>
      <c r="C3655" s="380" t="str">
        <f>IFERROR(__xludf.DUMMYFUNCTION("""COMPUTED_VALUE"""),"50001279")</f>
        <v>50001279</v>
      </c>
      <c r="D3655" s="380" t="s">
        <v>767</v>
      </c>
      <c r="E3655" s="380" t="s">
        <v>781</v>
      </c>
      <c r="F3655" s="380" t="s">
        <v>782</v>
      </c>
      <c r="G3655" s="380" t="s">
        <v>1267</v>
      </c>
      <c r="H3655" s="380" t="s">
        <v>771</v>
      </c>
      <c r="I3655" s="380" t="s">
        <v>784</v>
      </c>
      <c r="J3655" s="380" t="s">
        <v>773</v>
      </c>
      <c r="K3655" s="381">
        <v>0.0</v>
      </c>
      <c r="L3655" s="382">
        <v>1.0</v>
      </c>
    </row>
    <row r="3656">
      <c r="A3656" s="380" t="s">
        <v>4519</v>
      </c>
      <c r="B3656" s="380" t="str">
        <f>IFERROR(__xludf.DUMMYFUNCTION("""COMPUTED_VALUE"""),"Calibrador De Roscas En Mm Y Pulg Td1040")</f>
        <v>Calibrador De Roscas En Mm Y Pulg Td1040</v>
      </c>
      <c r="C3656" s="380" t="str">
        <f>IFERROR(__xludf.DUMMYFUNCTION("""COMPUTED_VALUE"""),"50001280")</f>
        <v>50001280</v>
      </c>
      <c r="D3656" s="380" t="s">
        <v>767</v>
      </c>
      <c r="E3656" s="380" t="s">
        <v>781</v>
      </c>
      <c r="F3656" s="380" t="s">
        <v>782</v>
      </c>
      <c r="G3656" s="380" t="s">
        <v>1267</v>
      </c>
      <c r="H3656" s="380" t="s">
        <v>771</v>
      </c>
      <c r="I3656" s="380" t="s">
        <v>784</v>
      </c>
      <c r="J3656" s="380" t="s">
        <v>773</v>
      </c>
      <c r="K3656" s="381">
        <v>0.0</v>
      </c>
      <c r="L3656" s="382">
        <v>1.0</v>
      </c>
    </row>
    <row r="3657">
      <c r="A3657" s="380" t="s">
        <v>4520</v>
      </c>
      <c r="B3657" s="380" t="str">
        <f>IFERROR(__xludf.DUMMYFUNCTION("""COMPUTED_VALUE"""),"Set 3 Cinceles Sds - Plus Bosch")</f>
        <v>Set 3 Cinceles Sds - Plus Bosch</v>
      </c>
      <c r="C3657" s="380" t="str">
        <f>IFERROR(__xludf.DUMMYFUNCTION("""COMPUTED_VALUE"""),"50001281")</f>
        <v>50001281</v>
      </c>
      <c r="D3657" s="380" t="s">
        <v>767</v>
      </c>
      <c r="E3657" s="380" t="s">
        <v>781</v>
      </c>
      <c r="F3657" s="380" t="s">
        <v>782</v>
      </c>
      <c r="G3657" s="380" t="s">
        <v>1267</v>
      </c>
      <c r="H3657" s="380" t="s">
        <v>771</v>
      </c>
      <c r="I3657" s="380" t="s">
        <v>784</v>
      </c>
      <c r="J3657" s="380" t="s">
        <v>773</v>
      </c>
      <c r="K3657" s="381">
        <v>0.0</v>
      </c>
      <c r="L3657" s="382">
        <v>1.0</v>
      </c>
    </row>
    <row r="3658">
      <c r="A3658" s="380" t="s">
        <v>4521</v>
      </c>
      <c r="B3658" s="380" t="str">
        <f>IFERROR(__xludf.DUMMYFUNCTION("""COMPUTED_VALUE"""),"Set Copa De Impacto 1/2-Pulg Métricas De")</f>
        <v>Set Copa De Impacto 1/2-Pulg Métricas De</v>
      </c>
      <c r="C3658" s="380" t="str">
        <f>IFERROR(__xludf.DUMMYFUNCTION("""COMPUTED_VALUE"""),"50001282")</f>
        <v>50001282</v>
      </c>
      <c r="D3658" s="380" t="s">
        <v>767</v>
      </c>
      <c r="E3658" s="380" t="s">
        <v>781</v>
      </c>
      <c r="F3658" s="380" t="s">
        <v>782</v>
      </c>
      <c r="G3658" s="380" t="s">
        <v>1267</v>
      </c>
      <c r="H3658" s="380" t="s">
        <v>771</v>
      </c>
      <c r="I3658" s="380" t="s">
        <v>784</v>
      </c>
      <c r="J3658" s="380" t="s">
        <v>773</v>
      </c>
      <c r="K3658" s="381">
        <v>0.0</v>
      </c>
      <c r="L3658" s="382">
        <v>1.0</v>
      </c>
    </row>
    <row r="3659">
      <c r="A3659" s="380" t="s">
        <v>4522</v>
      </c>
      <c r="B3659" s="380" t="str">
        <f>IFERROR(__xludf.DUMMYFUNCTION("""COMPUTED_VALUE"""),"Copa Cuadrante 3/4 X 30mm Tipo B")</f>
        <v>Copa Cuadrante 3/4 X 30mm Tipo B</v>
      </c>
      <c r="C3659" s="380" t="str">
        <f>IFERROR(__xludf.DUMMYFUNCTION("""COMPUTED_VALUE"""),"50001283")</f>
        <v>50001283</v>
      </c>
      <c r="D3659" s="380" t="s">
        <v>767</v>
      </c>
      <c r="E3659" s="380" t="s">
        <v>781</v>
      </c>
      <c r="F3659" s="380" t="s">
        <v>782</v>
      </c>
      <c r="G3659" s="380" t="s">
        <v>1267</v>
      </c>
      <c r="H3659" s="380" t="s">
        <v>771</v>
      </c>
      <c r="I3659" s="380" t="s">
        <v>784</v>
      </c>
      <c r="J3659" s="380" t="s">
        <v>773</v>
      </c>
      <c r="K3659" s="381">
        <v>0.0</v>
      </c>
      <c r="L3659" s="382">
        <v>1.0</v>
      </c>
    </row>
    <row r="3660">
      <c r="A3660" s="380" t="s">
        <v>4523</v>
      </c>
      <c r="B3660" s="380" t="str">
        <f>IFERROR(__xludf.DUMMYFUNCTION("""COMPUTED_VALUE"""),"Kit De Galgas Ajuste Para Válvulas Pacca")</f>
        <v>Kit De Galgas Ajuste Para Válvulas Pacca</v>
      </c>
      <c r="C3660" s="380" t="str">
        <f>IFERROR(__xludf.DUMMYFUNCTION("""COMPUTED_VALUE"""),"50001284")</f>
        <v>50001284</v>
      </c>
      <c r="D3660" s="380" t="s">
        <v>767</v>
      </c>
      <c r="E3660" s="380" t="s">
        <v>781</v>
      </c>
      <c r="F3660" s="380" t="s">
        <v>782</v>
      </c>
      <c r="G3660" s="380" t="s">
        <v>1267</v>
      </c>
      <c r="H3660" s="380" t="s">
        <v>771</v>
      </c>
      <c r="I3660" s="380" t="s">
        <v>784</v>
      </c>
      <c r="J3660" s="380" t="s">
        <v>773</v>
      </c>
      <c r="K3660" s="381">
        <v>0.0</v>
      </c>
      <c r="L3660" s="382">
        <v>1.0</v>
      </c>
    </row>
    <row r="3661">
      <c r="A3661" s="380" t="s">
        <v>4524</v>
      </c>
      <c r="B3661" s="380" t="str">
        <f>IFERROR(__xludf.DUMMYFUNCTION("""COMPUTED_VALUE"""),"Juego De Llaves Bristol (Hexagonal Allen")</f>
        <v>Juego De Llaves Bristol (Hexagonal Allen</v>
      </c>
      <c r="C3661" s="380" t="str">
        <f>IFERROR(__xludf.DUMMYFUNCTION("""COMPUTED_VALUE"""),"50001285")</f>
        <v>50001285</v>
      </c>
      <c r="D3661" s="380" t="s">
        <v>767</v>
      </c>
      <c r="E3661" s="380" t="s">
        <v>781</v>
      </c>
      <c r="F3661" s="380" t="s">
        <v>782</v>
      </c>
      <c r="G3661" s="380" t="s">
        <v>1267</v>
      </c>
      <c r="H3661" s="380" t="s">
        <v>771</v>
      </c>
      <c r="I3661" s="380" t="s">
        <v>784</v>
      </c>
      <c r="J3661" s="380" t="s">
        <v>773</v>
      </c>
      <c r="K3661" s="381">
        <v>0.0</v>
      </c>
      <c r="L3661" s="382">
        <v>1.0</v>
      </c>
    </row>
    <row r="3662">
      <c r="A3662" s="380" t="s">
        <v>4525</v>
      </c>
      <c r="B3662" s="380" t="str">
        <f>IFERROR(__xludf.DUMMYFUNCTION("""COMPUTED_VALUE"""),"Cubierta Balanceadora Montallantas Fabri")</f>
        <v>Cubierta Balanceadora Montallantas Fabri</v>
      </c>
      <c r="C3662" s="380" t="str">
        <f>IFERROR(__xludf.DUMMYFUNCTION("""COMPUTED_VALUE"""),"50001286")</f>
        <v>50001286</v>
      </c>
      <c r="D3662" s="380" t="s">
        <v>767</v>
      </c>
      <c r="E3662" s="380" t="s">
        <v>781</v>
      </c>
      <c r="F3662" s="380" t="s">
        <v>782</v>
      </c>
      <c r="G3662" s="380" t="s">
        <v>1267</v>
      </c>
      <c r="H3662" s="380" t="s">
        <v>771</v>
      </c>
      <c r="I3662" s="380" t="s">
        <v>784</v>
      </c>
      <c r="J3662" s="380" t="s">
        <v>773</v>
      </c>
      <c r="K3662" s="381">
        <v>0.0</v>
      </c>
      <c r="L3662" s="382">
        <v>1.0</v>
      </c>
    </row>
    <row r="3663">
      <c r="A3663" s="380" t="s">
        <v>4526</v>
      </c>
      <c r="B3663" s="380" t="str">
        <f>IFERROR(__xludf.DUMMYFUNCTION("""COMPUTED_VALUE"""),"Juego De Herramienta Infraestructura")</f>
        <v>Juego De Herramienta Infraestructura</v>
      </c>
      <c r="C3663" s="380" t="str">
        <f>IFERROR(__xludf.DUMMYFUNCTION("""COMPUTED_VALUE"""),"50001287")</f>
        <v>50001287</v>
      </c>
      <c r="D3663" s="380" t="s">
        <v>767</v>
      </c>
      <c r="E3663" s="380" t="s">
        <v>781</v>
      </c>
      <c r="F3663" s="380" t="s">
        <v>782</v>
      </c>
      <c r="G3663" s="380" t="s">
        <v>1267</v>
      </c>
      <c r="H3663" s="380" t="s">
        <v>771</v>
      </c>
      <c r="I3663" s="380" t="s">
        <v>784</v>
      </c>
      <c r="J3663" s="380" t="s">
        <v>773</v>
      </c>
      <c r="K3663" s="381">
        <v>0.0</v>
      </c>
      <c r="L3663" s="382">
        <v>1.0</v>
      </c>
    </row>
    <row r="3664">
      <c r="A3664" s="380" t="s">
        <v>4527</v>
      </c>
      <c r="B3664" s="380" t="str">
        <f>IFERROR(__xludf.DUMMYFUNCTION("""COMPUTED_VALUE"""),"Juego Copas 10 A 32 Mm De 1/2"" 8 Piezas")</f>
        <v>Juego Copas 10 A 32 Mm De 1/2" 8 Piezas</v>
      </c>
      <c r="C3664" s="380" t="str">
        <f>IFERROR(__xludf.DUMMYFUNCTION("""COMPUTED_VALUE"""),"50001288")</f>
        <v>50001288</v>
      </c>
      <c r="D3664" s="380" t="s">
        <v>767</v>
      </c>
      <c r="E3664" s="380" t="s">
        <v>781</v>
      </c>
      <c r="F3664" s="380" t="s">
        <v>782</v>
      </c>
      <c r="G3664" s="380" t="s">
        <v>1267</v>
      </c>
      <c r="H3664" s="380" t="s">
        <v>771</v>
      </c>
      <c r="I3664" s="380" t="s">
        <v>784</v>
      </c>
      <c r="J3664" s="380" t="s">
        <v>773</v>
      </c>
      <c r="K3664" s="381">
        <v>0.0</v>
      </c>
      <c r="L3664" s="382">
        <v>1.0</v>
      </c>
    </row>
    <row r="3665">
      <c r="A3665" s="380" t="s">
        <v>4528</v>
      </c>
      <c r="B3665" s="380" t="str">
        <f>IFERROR(__xludf.DUMMYFUNCTION("""COMPUTED_VALUE"""),"Tijera Aviacion")</f>
        <v>Tijera Aviacion</v>
      </c>
      <c r="C3665" s="380" t="str">
        <f>IFERROR(__xludf.DUMMYFUNCTION("""COMPUTED_VALUE"""),"50001289")</f>
        <v>50001289</v>
      </c>
      <c r="D3665" s="380" t="s">
        <v>767</v>
      </c>
      <c r="E3665" s="380" t="s">
        <v>781</v>
      </c>
      <c r="F3665" s="380" t="s">
        <v>782</v>
      </c>
      <c r="G3665" s="380" t="s">
        <v>1267</v>
      </c>
      <c r="H3665" s="380" t="s">
        <v>771</v>
      </c>
      <c r="I3665" s="380" t="s">
        <v>784</v>
      </c>
      <c r="J3665" s="380" t="s">
        <v>773</v>
      </c>
      <c r="K3665" s="381">
        <v>0.0</v>
      </c>
      <c r="L3665" s="382">
        <v>1.0</v>
      </c>
    </row>
    <row r="3666">
      <c r="A3666" s="380" t="s">
        <v>4529</v>
      </c>
      <c r="B3666" s="380" t="str">
        <f>IFERROR(__xludf.DUMMYFUNCTION("""COMPUTED_VALUE"""),"Doblador De Tubo 3 4'' Y 1 2'' Conduit")</f>
        <v>Doblador De Tubo 3 4'' Y 1 2'' Conduit</v>
      </c>
      <c r="C3666" s="380" t="str">
        <f>IFERROR(__xludf.DUMMYFUNCTION("""COMPUTED_VALUE"""),"50001290")</f>
        <v>50001290</v>
      </c>
      <c r="D3666" s="380" t="s">
        <v>767</v>
      </c>
      <c r="E3666" s="380" t="s">
        <v>781</v>
      </c>
      <c r="F3666" s="380" t="s">
        <v>782</v>
      </c>
      <c r="G3666" s="380" t="s">
        <v>1267</v>
      </c>
      <c r="H3666" s="380" t="s">
        <v>771</v>
      </c>
      <c r="I3666" s="380" t="s">
        <v>784</v>
      </c>
      <c r="J3666" s="380" t="s">
        <v>773</v>
      </c>
      <c r="K3666" s="381">
        <v>0.0</v>
      </c>
      <c r="L3666" s="382">
        <v>1.0</v>
      </c>
    </row>
    <row r="3667">
      <c r="A3667" s="380" t="s">
        <v>4530</v>
      </c>
      <c r="B3667" s="380" t="str">
        <f>IFERROR(__xludf.DUMMYFUNCTION("""COMPUTED_VALUE"""),"Probador De Polaridad De Contactos 125v")</f>
        <v>Probador De Polaridad De Contactos 125v</v>
      </c>
      <c r="C3667" s="380" t="str">
        <f>IFERROR(__xludf.DUMMYFUNCTION("""COMPUTED_VALUE"""),"50001291")</f>
        <v>50001291</v>
      </c>
      <c r="D3667" s="380" t="s">
        <v>767</v>
      </c>
      <c r="E3667" s="380" t="s">
        <v>781</v>
      </c>
      <c r="F3667" s="380" t="s">
        <v>782</v>
      </c>
      <c r="G3667" s="380" t="s">
        <v>1267</v>
      </c>
      <c r="H3667" s="380" t="s">
        <v>771</v>
      </c>
      <c r="I3667" s="380" t="s">
        <v>784</v>
      </c>
      <c r="J3667" s="380" t="s">
        <v>773</v>
      </c>
      <c r="K3667" s="381">
        <v>0.0</v>
      </c>
      <c r="L3667" s="382">
        <v>1.0</v>
      </c>
    </row>
    <row r="3668">
      <c r="A3668" s="380" t="s">
        <v>4531</v>
      </c>
      <c r="B3668" s="380" t="str">
        <f>IFERROR(__xludf.DUMMYFUNCTION("""COMPUTED_VALUE"""),"Barra De Acero 14 Pulgadas")</f>
        <v>Barra De Acero 14 Pulgadas</v>
      </c>
      <c r="C3668" s="380" t="str">
        <f>IFERROR(__xludf.DUMMYFUNCTION("""COMPUTED_VALUE"""),"50001292")</f>
        <v>50001292</v>
      </c>
      <c r="D3668" s="380" t="s">
        <v>767</v>
      </c>
      <c r="E3668" s="380" t="s">
        <v>781</v>
      </c>
      <c r="F3668" s="380" t="s">
        <v>782</v>
      </c>
      <c r="G3668" s="380" t="s">
        <v>1267</v>
      </c>
      <c r="H3668" s="380" t="s">
        <v>771</v>
      </c>
      <c r="I3668" s="380" t="s">
        <v>784</v>
      </c>
      <c r="J3668" s="380" t="s">
        <v>773</v>
      </c>
      <c r="K3668" s="381">
        <v>0.0</v>
      </c>
      <c r="L3668" s="382">
        <v>1.0</v>
      </c>
    </row>
    <row r="3669">
      <c r="A3669" s="380" t="s">
        <v>4532</v>
      </c>
      <c r="B3669" s="380" t="str">
        <f>IFERROR(__xludf.DUMMYFUNCTION("""COMPUTED_VALUE"""),"Pala Redonda No. 2 Con Cabo")</f>
        <v>Pala Redonda No. 2 Con Cabo</v>
      </c>
      <c r="C3669" s="380" t="str">
        <f>IFERROR(__xludf.DUMMYFUNCTION("""COMPUTED_VALUE"""),"50001293")</f>
        <v>50001293</v>
      </c>
      <c r="D3669" s="380" t="s">
        <v>767</v>
      </c>
      <c r="E3669" s="380" t="s">
        <v>781</v>
      </c>
      <c r="F3669" s="380" t="s">
        <v>782</v>
      </c>
      <c r="G3669" s="380" t="s">
        <v>1267</v>
      </c>
      <c r="H3669" s="380" t="s">
        <v>771</v>
      </c>
      <c r="I3669" s="380" t="s">
        <v>784</v>
      </c>
      <c r="J3669" s="380" t="s">
        <v>773</v>
      </c>
      <c r="K3669" s="381">
        <v>0.0</v>
      </c>
      <c r="L3669" s="382">
        <v>1.0</v>
      </c>
    </row>
    <row r="3670">
      <c r="A3670" s="380" t="s">
        <v>4533</v>
      </c>
      <c r="B3670" s="380" t="str">
        <f>IFERROR(__xludf.DUMMYFUNCTION("""COMPUTED_VALUE"""),"Llana De Madera 10.5 X 6.6 Pulgadas")</f>
        <v>Llana De Madera 10.5 X 6.6 Pulgadas</v>
      </c>
      <c r="C3670" s="380" t="str">
        <f>IFERROR(__xludf.DUMMYFUNCTION("""COMPUTED_VALUE"""),"50001294")</f>
        <v>50001294</v>
      </c>
      <c r="D3670" s="380" t="s">
        <v>767</v>
      </c>
      <c r="E3670" s="380" t="s">
        <v>781</v>
      </c>
      <c r="F3670" s="380" t="s">
        <v>782</v>
      </c>
      <c r="G3670" s="380" t="s">
        <v>1267</v>
      </c>
      <c r="H3670" s="380" t="s">
        <v>771</v>
      </c>
      <c r="I3670" s="380" t="s">
        <v>784</v>
      </c>
      <c r="J3670" s="380" t="s">
        <v>773</v>
      </c>
      <c r="K3670" s="381">
        <v>0.0</v>
      </c>
      <c r="L3670" s="382">
        <v>1.0</v>
      </c>
    </row>
    <row r="3671">
      <c r="A3671" s="380" t="s">
        <v>4534</v>
      </c>
      <c r="B3671" s="380" t="str">
        <f>IFERROR(__xludf.DUMMYFUNCTION("""COMPUTED_VALUE"""),"Llana Dentada 10x10 Mango Plastico")</f>
        <v>Llana Dentada 10x10 Mango Plastico</v>
      </c>
      <c r="C3671" s="380" t="str">
        <f>IFERROR(__xludf.DUMMYFUNCTION("""COMPUTED_VALUE"""),"50001295")</f>
        <v>50001295</v>
      </c>
      <c r="D3671" s="380" t="s">
        <v>767</v>
      </c>
      <c r="E3671" s="380" t="s">
        <v>781</v>
      </c>
      <c r="F3671" s="380" t="s">
        <v>782</v>
      </c>
      <c r="G3671" s="380" t="s">
        <v>1267</v>
      </c>
      <c r="H3671" s="380" t="s">
        <v>771</v>
      </c>
      <c r="I3671" s="380" t="s">
        <v>784</v>
      </c>
      <c r="J3671" s="380" t="s">
        <v>773</v>
      </c>
      <c r="K3671" s="381">
        <v>0.0</v>
      </c>
      <c r="L3671" s="382">
        <v>1.0</v>
      </c>
    </row>
    <row r="3672">
      <c r="A3672" s="380" t="s">
        <v>4535</v>
      </c>
      <c r="B3672" s="380" t="str">
        <f>IFERROR(__xludf.DUMMYFUNCTION("""COMPUTED_VALUE"""),"Estuche Brocas Madera- Muro - Metal X 18")</f>
        <v>Estuche Brocas Madera- Muro - Metal X 18</v>
      </c>
      <c r="C3672" s="380" t="str">
        <f>IFERROR(__xludf.DUMMYFUNCTION("""COMPUTED_VALUE"""),"50001296")</f>
        <v>50001296</v>
      </c>
      <c r="D3672" s="380" t="s">
        <v>767</v>
      </c>
      <c r="E3672" s="380" t="s">
        <v>781</v>
      </c>
      <c r="F3672" s="380" t="s">
        <v>782</v>
      </c>
      <c r="G3672" s="380" t="s">
        <v>1267</v>
      </c>
      <c r="H3672" s="380" t="s">
        <v>771</v>
      </c>
      <c r="I3672" s="380" t="s">
        <v>784</v>
      </c>
      <c r="J3672" s="380" t="s">
        <v>773</v>
      </c>
      <c r="K3672" s="381">
        <v>0.0</v>
      </c>
      <c r="L3672" s="382">
        <v>1.0</v>
      </c>
    </row>
    <row r="3673">
      <c r="A3673" s="380" t="s">
        <v>4536</v>
      </c>
      <c r="B3673" s="380" t="str">
        <f>IFERROR(__xludf.DUMMYFUNCTION("""COMPUTED_VALUE"""),"Decametro 100 Metros Fibra De Vidrio")</f>
        <v>Decametro 100 Metros Fibra De Vidrio</v>
      </c>
      <c r="C3673" s="380" t="str">
        <f>IFERROR(__xludf.DUMMYFUNCTION("""COMPUTED_VALUE"""),"50001297")</f>
        <v>50001297</v>
      </c>
      <c r="D3673" s="380" t="s">
        <v>767</v>
      </c>
      <c r="E3673" s="380" t="s">
        <v>781</v>
      </c>
      <c r="F3673" s="380" t="s">
        <v>782</v>
      </c>
      <c r="G3673" s="380" t="s">
        <v>1267</v>
      </c>
      <c r="H3673" s="380" t="s">
        <v>771</v>
      </c>
      <c r="I3673" s="380" t="s">
        <v>784</v>
      </c>
      <c r="J3673" s="380" t="s">
        <v>773</v>
      </c>
      <c r="K3673" s="381">
        <v>0.0</v>
      </c>
      <c r="L3673" s="382">
        <v>1.0</v>
      </c>
    </row>
    <row r="3674">
      <c r="A3674" s="380" t="s">
        <v>4537</v>
      </c>
      <c r="B3674" s="380" t="str">
        <f>IFERROR(__xludf.DUMMYFUNCTION("""COMPUTED_VALUE"""),"Cinturón Porta Herramientas Ref 19322002")</f>
        <v>Cinturón Porta Herramientas Ref 19322002</v>
      </c>
      <c r="C3674" s="380" t="str">
        <f>IFERROR(__xludf.DUMMYFUNCTION("""COMPUTED_VALUE"""),"50001298")</f>
        <v>50001298</v>
      </c>
      <c r="D3674" s="380" t="s">
        <v>767</v>
      </c>
      <c r="E3674" s="380" t="s">
        <v>781</v>
      </c>
      <c r="F3674" s="380" t="s">
        <v>782</v>
      </c>
      <c r="G3674" s="380" t="s">
        <v>1267</v>
      </c>
      <c r="H3674" s="380" t="s">
        <v>771</v>
      </c>
      <c r="I3674" s="380" t="s">
        <v>784</v>
      </c>
      <c r="J3674" s="380" t="s">
        <v>773</v>
      </c>
      <c r="K3674" s="381">
        <v>45220.0</v>
      </c>
      <c r="L3674" s="382">
        <v>1.0</v>
      </c>
    </row>
    <row r="3675">
      <c r="A3675" s="380" t="s">
        <v>4538</v>
      </c>
      <c r="B3675" s="380" t="str">
        <f>IFERROR(__xludf.DUMMYFUNCTION("""COMPUTED_VALUE"""),"Copa Larga Cuadrante 1/2 X 9/16 Tipo B")</f>
        <v>Copa Larga Cuadrante 1/2 X 9/16 Tipo B</v>
      </c>
      <c r="C3675" s="380" t="str">
        <f>IFERROR(__xludf.DUMMYFUNCTION("""COMPUTED_VALUE"""),"50001299")</f>
        <v>50001299</v>
      </c>
      <c r="D3675" s="380" t="s">
        <v>767</v>
      </c>
      <c r="E3675" s="380" t="s">
        <v>781</v>
      </c>
      <c r="F3675" s="380" t="s">
        <v>782</v>
      </c>
      <c r="G3675" s="380" t="s">
        <v>1267</v>
      </c>
      <c r="H3675" s="380" t="s">
        <v>771</v>
      </c>
      <c r="I3675" s="380" t="s">
        <v>784</v>
      </c>
      <c r="J3675" s="380" t="s">
        <v>773</v>
      </c>
      <c r="K3675" s="381">
        <v>0.0</v>
      </c>
      <c r="L3675" s="382">
        <v>1.0</v>
      </c>
    </row>
    <row r="3676">
      <c r="A3676" s="380" t="s">
        <v>4539</v>
      </c>
      <c r="B3676" s="380" t="str">
        <f>IFERROR(__xludf.DUMMYFUNCTION("""COMPUTED_VALUE"""),"Llave Mixta 2 1/2 Tipo B")</f>
        <v>Llave Mixta 2 1/2 Tipo B</v>
      </c>
      <c r="C3676" s="380" t="str">
        <f>IFERROR(__xludf.DUMMYFUNCTION("""COMPUTED_VALUE"""),"50001300")</f>
        <v>50001300</v>
      </c>
      <c r="D3676" s="380" t="s">
        <v>767</v>
      </c>
      <c r="E3676" s="380" t="s">
        <v>781</v>
      </c>
      <c r="F3676" s="380" t="s">
        <v>782</v>
      </c>
      <c r="G3676" s="380" t="s">
        <v>1267</v>
      </c>
      <c r="H3676" s="380" t="s">
        <v>771</v>
      </c>
      <c r="I3676" s="380" t="s">
        <v>784</v>
      </c>
      <c r="J3676" s="380" t="s">
        <v>773</v>
      </c>
      <c r="K3676" s="381">
        <v>0.0</v>
      </c>
      <c r="L3676" s="382">
        <v>1.0</v>
      </c>
    </row>
    <row r="3677">
      <c r="A3677" s="380" t="s">
        <v>4540</v>
      </c>
      <c r="B3677" s="380" t="str">
        <f>IFERROR(__xludf.DUMMYFUNCTION("""COMPUTED_VALUE"""),"Llave Mixta 1 1/4 Tipo B")</f>
        <v>Llave Mixta 1 1/4 Tipo B</v>
      </c>
      <c r="C3677" s="380" t="str">
        <f>IFERROR(__xludf.DUMMYFUNCTION("""COMPUTED_VALUE"""),"50001301")</f>
        <v>50001301</v>
      </c>
      <c r="D3677" s="380" t="s">
        <v>767</v>
      </c>
      <c r="E3677" s="380" t="s">
        <v>781</v>
      </c>
      <c r="F3677" s="380" t="s">
        <v>782</v>
      </c>
      <c r="G3677" s="380" t="s">
        <v>1267</v>
      </c>
      <c r="H3677" s="380" t="s">
        <v>771</v>
      </c>
      <c r="I3677" s="380" t="s">
        <v>784</v>
      </c>
      <c r="J3677" s="380" t="s">
        <v>773</v>
      </c>
      <c r="K3677" s="381">
        <v>0.0</v>
      </c>
      <c r="L3677" s="382">
        <v>1.0</v>
      </c>
    </row>
    <row r="3678">
      <c r="A3678" s="380" t="s">
        <v>4541</v>
      </c>
      <c r="B3678" s="380" t="str">
        <f>IFERROR(__xludf.DUMMYFUNCTION("""COMPUTED_VALUE"""),"Llave T Mango Girat Cuadrante 1/2 Tipo")</f>
        <v>Llave T Mango Girat Cuadrante 1/2 Tipo</v>
      </c>
      <c r="C3678" s="380" t="str">
        <f>IFERROR(__xludf.DUMMYFUNCTION("""COMPUTED_VALUE"""),"50001302")</f>
        <v>50001302</v>
      </c>
      <c r="D3678" s="380" t="s">
        <v>767</v>
      </c>
      <c r="E3678" s="380" t="s">
        <v>781</v>
      </c>
      <c r="F3678" s="380" t="s">
        <v>782</v>
      </c>
      <c r="G3678" s="380" t="s">
        <v>1267</v>
      </c>
      <c r="H3678" s="380" t="s">
        <v>771</v>
      </c>
      <c r="I3678" s="380" t="s">
        <v>784</v>
      </c>
      <c r="J3678" s="380" t="s">
        <v>773</v>
      </c>
      <c r="K3678" s="381">
        <v>0.0</v>
      </c>
      <c r="L3678" s="382">
        <v>1.0</v>
      </c>
    </row>
    <row r="3679">
      <c r="A3679" s="380" t="s">
        <v>4542</v>
      </c>
      <c r="B3679" s="380" t="str">
        <f>IFERROR(__xludf.DUMMYFUNCTION("""COMPUTED_VALUE"""),"Kit Arrestador De Llamas Para Regulador")</f>
        <v>Kit Arrestador De Llamas Para Regulador</v>
      </c>
      <c r="C3679" s="380" t="str">
        <f>IFERROR(__xludf.DUMMYFUNCTION("""COMPUTED_VALUE"""),"50001303")</f>
        <v>50001303</v>
      </c>
      <c r="D3679" s="380" t="s">
        <v>767</v>
      </c>
      <c r="E3679" s="380" t="s">
        <v>781</v>
      </c>
      <c r="F3679" s="380" t="s">
        <v>782</v>
      </c>
      <c r="G3679" s="380" t="s">
        <v>1267</v>
      </c>
      <c r="H3679" s="380" t="s">
        <v>771</v>
      </c>
      <c r="I3679" s="380" t="s">
        <v>784</v>
      </c>
      <c r="J3679" s="380" t="s">
        <v>773</v>
      </c>
      <c r="K3679" s="381">
        <v>0.0</v>
      </c>
      <c r="L3679" s="382">
        <v>1.0</v>
      </c>
    </row>
    <row r="3680">
      <c r="A3680" s="380" t="s">
        <v>4543</v>
      </c>
      <c r="B3680" s="380" t="str">
        <f>IFERROR(__xludf.DUMMYFUNCTION("""COMPUTED_VALUE"""),"Regulador Presion Oxigeno Oxicorte Edge")</f>
        <v>Regulador Presion Oxigeno Oxicorte Edge</v>
      </c>
      <c r="C3680" s="380" t="str">
        <f>IFERROR(__xludf.DUMMYFUNCTION("""COMPUTED_VALUE"""),"50001304")</f>
        <v>50001304</v>
      </c>
      <c r="D3680" s="380" t="s">
        <v>767</v>
      </c>
      <c r="E3680" s="380" t="s">
        <v>781</v>
      </c>
      <c r="F3680" s="380" t="s">
        <v>782</v>
      </c>
      <c r="G3680" s="380" t="s">
        <v>1267</v>
      </c>
      <c r="H3680" s="380" t="s">
        <v>771</v>
      </c>
      <c r="I3680" s="380" t="s">
        <v>784</v>
      </c>
      <c r="J3680" s="380" t="s">
        <v>773</v>
      </c>
      <c r="K3680" s="381">
        <v>0.0</v>
      </c>
      <c r="L3680" s="382">
        <v>1.0</v>
      </c>
    </row>
    <row r="3681">
      <c r="A3681" s="380" t="s">
        <v>4544</v>
      </c>
      <c r="B3681" s="380" t="str">
        <f>IFERROR(__xludf.DUMMYFUNCTION("""COMPUTED_VALUE"""),"Kit Mantenimiento Y Desarme De Portatile")</f>
        <v>Kit Mantenimiento Y Desarme De Portatile</v>
      </c>
      <c r="C3681" s="380" t="str">
        <f>IFERROR(__xludf.DUMMYFUNCTION("""COMPUTED_VALUE"""),"50001305")</f>
        <v>50001305</v>
      </c>
      <c r="D3681" s="380" t="s">
        <v>767</v>
      </c>
      <c r="E3681" s="380" t="s">
        <v>781</v>
      </c>
      <c r="F3681" s="380" t="s">
        <v>782</v>
      </c>
      <c r="G3681" s="380" t="s">
        <v>1267</v>
      </c>
      <c r="H3681" s="380" t="s">
        <v>771</v>
      </c>
      <c r="I3681" s="380" t="s">
        <v>784</v>
      </c>
      <c r="J3681" s="380" t="s">
        <v>773</v>
      </c>
      <c r="K3681" s="381">
        <v>0.0</v>
      </c>
      <c r="L3681" s="382">
        <v>1.0</v>
      </c>
    </row>
    <row r="3682">
      <c r="A3682" s="380" t="s">
        <v>4545</v>
      </c>
      <c r="B3682" s="380" t="str">
        <f>IFERROR(__xludf.DUMMYFUNCTION("""COMPUTED_VALUE"""),"Extractor De Rodamiento Transmision Eato")</f>
        <v>Extractor De Rodamiento Transmision Eato</v>
      </c>
      <c r="C3682" s="380" t="str">
        <f>IFERROR(__xludf.DUMMYFUNCTION("""COMPUTED_VALUE"""),"50001306")</f>
        <v>50001306</v>
      </c>
      <c r="D3682" s="380" t="s">
        <v>767</v>
      </c>
      <c r="E3682" s="380" t="s">
        <v>781</v>
      </c>
      <c r="F3682" s="380" t="s">
        <v>782</v>
      </c>
      <c r="G3682" s="380" t="s">
        <v>1267</v>
      </c>
      <c r="H3682" s="380" t="s">
        <v>771</v>
      </c>
      <c r="I3682" s="380" t="s">
        <v>784</v>
      </c>
      <c r="J3682" s="380" t="s">
        <v>773</v>
      </c>
      <c r="K3682" s="381">
        <v>0.0</v>
      </c>
      <c r="L3682" s="382">
        <v>1.0</v>
      </c>
    </row>
    <row r="3683">
      <c r="A3683" s="380" t="s">
        <v>4546</v>
      </c>
      <c r="B3683" s="380" t="str">
        <f>IFERROR(__xludf.DUMMYFUNCTION("""COMPUTED_VALUE"""),"Kit De Accesorios Motortool")</f>
        <v>Kit De Accesorios Motortool</v>
      </c>
      <c r="C3683" s="380" t="str">
        <f>IFERROR(__xludf.DUMMYFUNCTION("""COMPUTED_VALUE"""),"50001307")</f>
        <v>50001307</v>
      </c>
      <c r="D3683" s="380" t="s">
        <v>767</v>
      </c>
      <c r="E3683" s="380" t="s">
        <v>781</v>
      </c>
      <c r="F3683" s="380" t="s">
        <v>782</v>
      </c>
      <c r="G3683" s="380" t="s">
        <v>1267</v>
      </c>
      <c r="H3683" s="380" t="s">
        <v>771</v>
      </c>
      <c r="I3683" s="380" t="s">
        <v>784</v>
      </c>
      <c r="J3683" s="380" t="s">
        <v>773</v>
      </c>
      <c r="K3683" s="381">
        <v>0.0</v>
      </c>
      <c r="L3683" s="382">
        <v>1.0</v>
      </c>
    </row>
    <row r="3684">
      <c r="A3684" s="380" t="s">
        <v>4547</v>
      </c>
      <c r="B3684" s="380" t="str">
        <f>IFERROR(__xludf.DUMMYFUNCTION("""COMPUTED_VALUE"""),"Serrucho Para Drywall")</f>
        <v>Serrucho Para Drywall</v>
      </c>
      <c r="C3684" s="380" t="str">
        <f>IFERROR(__xludf.DUMMYFUNCTION("""COMPUTED_VALUE"""),"50001308")</f>
        <v>50001308</v>
      </c>
      <c r="D3684" s="380" t="s">
        <v>767</v>
      </c>
      <c r="E3684" s="380" t="s">
        <v>781</v>
      </c>
      <c r="F3684" s="380" t="s">
        <v>782</v>
      </c>
      <c r="G3684" s="380" t="s">
        <v>1267</v>
      </c>
      <c r="H3684" s="380" t="s">
        <v>771</v>
      </c>
      <c r="I3684" s="380" t="s">
        <v>784</v>
      </c>
      <c r="J3684" s="380" t="s">
        <v>773</v>
      </c>
      <c r="K3684" s="381">
        <v>0.0</v>
      </c>
      <c r="L3684" s="382">
        <v>1.0</v>
      </c>
    </row>
    <row r="3685">
      <c r="A3685" s="380" t="s">
        <v>4548</v>
      </c>
      <c r="B3685" s="380" t="str">
        <f>IFERROR(__xludf.DUMMYFUNCTION("""COMPUTED_VALUE"""),"Juego X 11 Llaves Hexagonas En Pulgadas")</f>
        <v>Juego X 11 Llaves Hexagonas En Pulgadas</v>
      </c>
      <c r="C3685" s="380" t="str">
        <f>IFERROR(__xludf.DUMMYFUNCTION("""COMPUTED_VALUE"""),"50001309")</f>
        <v>50001309</v>
      </c>
      <c r="D3685" s="380" t="s">
        <v>767</v>
      </c>
      <c r="E3685" s="380" t="s">
        <v>781</v>
      </c>
      <c r="F3685" s="380" t="s">
        <v>782</v>
      </c>
      <c r="G3685" s="380" t="s">
        <v>1267</v>
      </c>
      <c r="H3685" s="380" t="s">
        <v>771</v>
      </c>
      <c r="I3685" s="380" t="s">
        <v>784</v>
      </c>
      <c r="J3685" s="380" t="s">
        <v>773</v>
      </c>
      <c r="K3685" s="381">
        <v>0.0</v>
      </c>
      <c r="L3685" s="382">
        <v>1.0</v>
      </c>
    </row>
    <row r="3686">
      <c r="A3686" s="380" t="s">
        <v>4549</v>
      </c>
      <c r="B3686" s="380" t="str">
        <f>IFERROR(__xludf.DUMMYFUNCTION("""COMPUTED_VALUE"""),"Ajuste Clutch Glfltct7028")</f>
        <v>Ajuste Clutch Glfltct7028</v>
      </c>
      <c r="C3686" s="380" t="str">
        <f>IFERROR(__xludf.DUMMYFUNCTION("""COMPUTED_VALUE"""),"50001310")</f>
        <v>50001310</v>
      </c>
      <c r="D3686" s="380" t="s">
        <v>767</v>
      </c>
      <c r="E3686" s="380" t="s">
        <v>781</v>
      </c>
      <c r="F3686" s="380" t="s">
        <v>782</v>
      </c>
      <c r="G3686" s="380" t="s">
        <v>1267</v>
      </c>
      <c r="H3686" s="380" t="s">
        <v>771</v>
      </c>
      <c r="I3686" s="380" t="s">
        <v>784</v>
      </c>
      <c r="J3686" s="380" t="s">
        <v>773</v>
      </c>
      <c r="K3686" s="381">
        <v>0.0</v>
      </c>
      <c r="L3686" s="382">
        <v>1.0</v>
      </c>
    </row>
    <row r="3687">
      <c r="A3687" s="380" t="s">
        <v>4550</v>
      </c>
      <c r="B3687" s="380" t="str">
        <f>IFERROR(__xludf.DUMMYFUNCTION("""COMPUTED_VALUE"""),"Dispositivo Luminoso Para Cono Reflectiv")</f>
        <v>Dispositivo Luminoso Para Cono Reflectiv</v>
      </c>
      <c r="C3687" s="380" t="str">
        <f>IFERROR(__xludf.DUMMYFUNCTION("""COMPUTED_VALUE"""),"50001311")</f>
        <v>50001311</v>
      </c>
      <c r="D3687" s="380" t="s">
        <v>767</v>
      </c>
      <c r="E3687" s="380" t="s">
        <v>781</v>
      </c>
      <c r="F3687" s="380" t="s">
        <v>782</v>
      </c>
      <c r="G3687" s="380" t="s">
        <v>1267</v>
      </c>
      <c r="H3687" s="380" t="s">
        <v>771</v>
      </c>
      <c r="I3687" s="380" t="s">
        <v>784</v>
      </c>
      <c r="J3687" s="380" t="s">
        <v>773</v>
      </c>
      <c r="K3687" s="381">
        <v>44982.0</v>
      </c>
      <c r="L3687" s="382">
        <v>1.0</v>
      </c>
    </row>
    <row r="3688">
      <c r="A3688" s="380" t="s">
        <v>4551</v>
      </c>
      <c r="B3688" s="380" t="str">
        <f>IFERROR(__xludf.DUMMYFUNCTION("""COMPUTED_VALUE"""),"Copa Impacto Mixta 41 X 21 Mm Cuadrante")</f>
        <v>Copa Impacto Mixta 41 X 21 Mm Cuadrante</v>
      </c>
      <c r="C3688" s="380" t="str">
        <f>IFERROR(__xludf.DUMMYFUNCTION("""COMPUTED_VALUE"""),"50001312")</f>
        <v>50001312</v>
      </c>
      <c r="D3688" s="380" t="s">
        <v>767</v>
      </c>
      <c r="E3688" s="380" t="s">
        <v>781</v>
      </c>
      <c r="F3688" s="380" t="s">
        <v>782</v>
      </c>
      <c r="G3688" s="380" t="s">
        <v>1267</v>
      </c>
      <c r="H3688" s="380" t="s">
        <v>771</v>
      </c>
      <c r="I3688" s="380" t="s">
        <v>784</v>
      </c>
      <c r="J3688" s="380" t="s">
        <v>773</v>
      </c>
      <c r="K3688" s="381">
        <v>0.0</v>
      </c>
      <c r="L3688" s="382">
        <v>1.0</v>
      </c>
    </row>
    <row r="3689">
      <c r="A3689" s="380" t="s">
        <v>4552</v>
      </c>
      <c r="B3689" s="380" t="str">
        <f>IFERROR(__xludf.DUMMYFUNCTION("""COMPUTED_VALUE"""),"Generador Y Rastreador De Tonos Mt7029")</f>
        <v>Generador Y Rastreador De Tonos Mt7029</v>
      </c>
      <c r="C3689" s="380" t="str">
        <f>IFERROR(__xludf.DUMMYFUNCTION("""COMPUTED_VALUE"""),"50001313")</f>
        <v>50001313</v>
      </c>
      <c r="D3689" s="380" t="s">
        <v>767</v>
      </c>
      <c r="E3689" s="380" t="s">
        <v>781</v>
      </c>
      <c r="F3689" s="380" t="s">
        <v>782</v>
      </c>
      <c r="G3689" s="380" t="s">
        <v>1267</v>
      </c>
      <c r="H3689" s="380" t="s">
        <v>771</v>
      </c>
      <c r="I3689" s="380" t="s">
        <v>784</v>
      </c>
      <c r="J3689" s="380" t="s">
        <v>773</v>
      </c>
      <c r="K3689" s="381">
        <v>0.0</v>
      </c>
      <c r="L3689" s="382">
        <v>1.0</v>
      </c>
    </row>
    <row r="3690">
      <c r="A3690" s="380" t="s">
        <v>4553</v>
      </c>
      <c r="B3690" s="380" t="str">
        <f>IFERROR(__xludf.DUMMYFUNCTION("""COMPUTED_VALUE"""),"Profundimetro Digital Llantas")</f>
        <v>Profundimetro Digital Llantas</v>
      </c>
      <c r="C3690" s="380" t="str">
        <f>IFERROR(__xludf.DUMMYFUNCTION("""COMPUTED_VALUE"""),"50001314")</f>
        <v>50001314</v>
      </c>
      <c r="D3690" s="380" t="s">
        <v>767</v>
      </c>
      <c r="E3690" s="380" t="s">
        <v>781</v>
      </c>
      <c r="F3690" s="380" t="s">
        <v>782</v>
      </c>
      <c r="G3690" s="380" t="s">
        <v>1267</v>
      </c>
      <c r="H3690" s="380" t="s">
        <v>771</v>
      </c>
      <c r="I3690" s="380" t="s">
        <v>784</v>
      </c>
      <c r="J3690" s="380" t="s">
        <v>773</v>
      </c>
      <c r="K3690" s="381">
        <v>97226.0</v>
      </c>
      <c r="L3690" s="382">
        <v>1.0</v>
      </c>
    </row>
    <row r="3691">
      <c r="A3691" s="380" t="s">
        <v>4554</v>
      </c>
      <c r="B3691" s="380" t="str">
        <f>IFERROR(__xludf.DUMMYFUNCTION("""COMPUTED_VALUE"""),"Copa Magnetica Para Taladro")</f>
        <v>Copa Magnetica Para Taladro</v>
      </c>
      <c r="C3691" s="380" t="str">
        <f>IFERROR(__xludf.DUMMYFUNCTION("""COMPUTED_VALUE"""),"50001315")</f>
        <v>50001315</v>
      </c>
      <c r="D3691" s="380" t="s">
        <v>767</v>
      </c>
      <c r="E3691" s="380" t="s">
        <v>781</v>
      </c>
      <c r="F3691" s="380" t="s">
        <v>782</v>
      </c>
      <c r="G3691" s="380" t="s">
        <v>1267</v>
      </c>
      <c r="H3691" s="380" t="s">
        <v>771</v>
      </c>
      <c r="I3691" s="380" t="s">
        <v>784</v>
      </c>
      <c r="J3691" s="380" t="s">
        <v>773</v>
      </c>
      <c r="K3691" s="381">
        <v>0.0</v>
      </c>
      <c r="L3691" s="382">
        <v>1.0</v>
      </c>
    </row>
    <row r="3692">
      <c r="A3692" s="380" t="s">
        <v>4555</v>
      </c>
      <c r="B3692" s="380" t="str">
        <f>IFERROR(__xludf.DUMMYFUNCTION("""COMPUTED_VALUE"""),"Sat Feb 01 2025 00:00:00 GMT-0500 (hora")</f>
        <v>Sat Feb 01 2025 00:00:00 GMT-0500 (hora</v>
      </c>
      <c r="C3692" s="380" t="str">
        <f>IFERROR(__xludf.DUMMYFUNCTION("""COMPUTED_VALUE"""),"50001316")</f>
        <v>50001316</v>
      </c>
      <c r="D3692" s="380" t="s">
        <v>767</v>
      </c>
      <c r="E3692" s="380" t="s">
        <v>781</v>
      </c>
      <c r="F3692" s="380" t="s">
        <v>782</v>
      </c>
      <c r="G3692" s="380" t="s">
        <v>1267</v>
      </c>
      <c r="H3692" s="380" t="s">
        <v>771</v>
      </c>
      <c r="I3692" s="380" t="s">
        <v>784</v>
      </c>
      <c r="J3692" s="380" t="s">
        <v>773</v>
      </c>
      <c r="K3692" s="381">
        <v>0.0</v>
      </c>
      <c r="L3692" s="382">
        <v>1.0</v>
      </c>
    </row>
    <row r="3693">
      <c r="A3693" s="380" t="s">
        <v>4556</v>
      </c>
      <c r="B3693" s="380" t="str">
        <f>IFERROR(__xludf.DUMMYFUNCTION("""COMPUTED_VALUE"""),"Broca Para Hierro De 1.1/8"" Espigada")</f>
        <v>Broca Para Hierro De 1.1/8" Espigada</v>
      </c>
      <c r="C3693" s="380" t="str">
        <f>IFERROR(__xludf.DUMMYFUNCTION("""COMPUTED_VALUE"""),"50001317")</f>
        <v>50001317</v>
      </c>
      <c r="D3693" s="380" t="s">
        <v>767</v>
      </c>
      <c r="E3693" s="380" t="s">
        <v>781</v>
      </c>
      <c r="F3693" s="380" t="s">
        <v>782</v>
      </c>
      <c r="G3693" s="380" t="s">
        <v>1267</v>
      </c>
      <c r="H3693" s="380" t="s">
        <v>771</v>
      </c>
      <c r="I3693" s="380" t="s">
        <v>784</v>
      </c>
      <c r="J3693" s="380" t="s">
        <v>773</v>
      </c>
      <c r="K3693" s="381">
        <v>0.0</v>
      </c>
      <c r="L3693" s="382">
        <v>1.0</v>
      </c>
    </row>
    <row r="3694">
      <c r="A3694" s="380" t="s">
        <v>4557</v>
      </c>
      <c r="B3694" s="380" t="str">
        <f>IFERROR(__xludf.DUMMYFUNCTION("""COMPUTED_VALUE"""),"Boquilla Cortador Acetileno Victor 1101")</f>
        <v>Boquilla Cortador Acetileno Victor 1101</v>
      </c>
      <c r="C3694" s="380" t="str">
        <f>IFERROR(__xludf.DUMMYFUNCTION("""COMPUTED_VALUE"""),"50001318")</f>
        <v>50001318</v>
      </c>
      <c r="D3694" s="380" t="s">
        <v>767</v>
      </c>
      <c r="E3694" s="380" t="s">
        <v>781</v>
      </c>
      <c r="F3694" s="380" t="s">
        <v>782</v>
      </c>
      <c r="G3694" s="380" t="s">
        <v>1267</v>
      </c>
      <c r="H3694" s="380" t="s">
        <v>771</v>
      </c>
      <c r="I3694" s="380" t="s">
        <v>784</v>
      </c>
      <c r="J3694" s="380" t="s">
        <v>773</v>
      </c>
      <c r="K3694" s="381">
        <v>63040.0</v>
      </c>
      <c r="L3694" s="382">
        <v>1.0</v>
      </c>
    </row>
    <row r="3695">
      <c r="A3695" s="380" t="s">
        <v>4558</v>
      </c>
      <c r="B3695" s="380" t="str">
        <f>IFERROR(__xludf.DUMMYFUNCTION("""COMPUTED_VALUE"""),"Cadena Eslabonada 3/16 Metros 3/16""")</f>
        <v>Cadena Eslabonada 3/16 Metros 3/16"</v>
      </c>
      <c r="C3695" s="380" t="str">
        <f>IFERROR(__xludf.DUMMYFUNCTION("""COMPUTED_VALUE"""),"50001319")</f>
        <v>50001319</v>
      </c>
      <c r="D3695" s="380" t="s">
        <v>767</v>
      </c>
      <c r="E3695" s="380" t="s">
        <v>781</v>
      </c>
      <c r="F3695" s="380" t="s">
        <v>782</v>
      </c>
      <c r="G3695" s="380" t="s">
        <v>1267</v>
      </c>
      <c r="H3695" s="380" t="s">
        <v>771</v>
      </c>
      <c r="I3695" s="380" t="s">
        <v>784</v>
      </c>
      <c r="J3695" s="380" t="s">
        <v>773</v>
      </c>
      <c r="K3695" s="381">
        <v>0.0</v>
      </c>
      <c r="L3695" s="382">
        <v>1.0</v>
      </c>
    </row>
    <row r="3696">
      <c r="A3696" s="380" t="s">
        <v>4559</v>
      </c>
      <c r="B3696" s="380" t="str">
        <f>IFERROR(__xludf.DUMMYFUNCTION("""COMPUTED_VALUE"""),"Corta Vidrios")</f>
        <v>Corta Vidrios</v>
      </c>
      <c r="C3696" s="380" t="str">
        <f>IFERROR(__xludf.DUMMYFUNCTION("""COMPUTED_VALUE"""),"50001320")</f>
        <v>50001320</v>
      </c>
      <c r="D3696" s="380" t="s">
        <v>767</v>
      </c>
      <c r="E3696" s="380" t="s">
        <v>781</v>
      </c>
      <c r="F3696" s="380" t="s">
        <v>782</v>
      </c>
      <c r="G3696" s="380" t="s">
        <v>1267</v>
      </c>
      <c r="H3696" s="380" t="s">
        <v>771</v>
      </c>
      <c r="I3696" s="380" t="s">
        <v>784</v>
      </c>
      <c r="J3696" s="380" t="s">
        <v>773</v>
      </c>
      <c r="K3696" s="381">
        <v>0.0</v>
      </c>
      <c r="L3696" s="382">
        <v>1.0</v>
      </c>
    </row>
    <row r="3697">
      <c r="A3697" s="380" t="s">
        <v>4560</v>
      </c>
      <c r="B3697" s="380" t="str">
        <f>IFERROR(__xludf.DUMMYFUNCTION("""COMPUTED_VALUE"""),"Doblador De Tubo De 1'' Y 3 4'' Conduit")</f>
        <v>Doblador De Tubo De 1'' Y 3 4'' Conduit</v>
      </c>
      <c r="C3697" s="380" t="str">
        <f>IFERROR(__xludf.DUMMYFUNCTION("""COMPUTED_VALUE"""),"50001321")</f>
        <v>50001321</v>
      </c>
      <c r="D3697" s="380" t="s">
        <v>767</v>
      </c>
      <c r="E3697" s="380" t="s">
        <v>781</v>
      </c>
      <c r="F3697" s="380" t="s">
        <v>782</v>
      </c>
      <c r="G3697" s="380" t="s">
        <v>1267</v>
      </c>
      <c r="H3697" s="380" t="s">
        <v>771</v>
      </c>
      <c r="I3697" s="380" t="s">
        <v>784</v>
      </c>
      <c r="J3697" s="380" t="s">
        <v>773</v>
      </c>
      <c r="K3697" s="381">
        <v>0.0</v>
      </c>
      <c r="L3697" s="382">
        <v>1.0</v>
      </c>
    </row>
    <row r="3698">
      <c r="A3698" s="380" t="s">
        <v>4561</v>
      </c>
      <c r="B3698" s="380" t="str">
        <f>IFERROR(__xludf.DUMMYFUNCTION("""COMPUTED_VALUE"""),"Pinza Ponchadora Y Cortadora")</f>
        <v>Pinza Ponchadora Y Cortadora</v>
      </c>
      <c r="C3698" s="380" t="str">
        <f>IFERROR(__xludf.DUMMYFUNCTION("""COMPUTED_VALUE"""),"50001322")</f>
        <v>50001322</v>
      </c>
      <c r="D3698" s="380" t="s">
        <v>767</v>
      </c>
      <c r="E3698" s="380" t="s">
        <v>781</v>
      </c>
      <c r="F3698" s="380" t="s">
        <v>782</v>
      </c>
      <c r="G3698" s="380" t="s">
        <v>1267</v>
      </c>
      <c r="H3698" s="380" t="s">
        <v>771</v>
      </c>
      <c r="I3698" s="380" t="s">
        <v>784</v>
      </c>
      <c r="J3698" s="380" t="s">
        <v>773</v>
      </c>
      <c r="K3698" s="381">
        <v>29350.0</v>
      </c>
      <c r="L3698" s="382">
        <v>1.0</v>
      </c>
    </row>
    <row r="3699">
      <c r="A3699" s="380" t="s">
        <v>4562</v>
      </c>
      <c r="B3699" s="380" t="str">
        <f>IFERROR(__xludf.DUMMYFUNCTION("""COMPUTED_VALUE"""),"Pinza Pico Loro De 10""")</f>
        <v>Pinza Pico Loro De 10"</v>
      </c>
      <c r="C3699" s="380" t="str">
        <f>IFERROR(__xludf.DUMMYFUNCTION("""COMPUTED_VALUE"""),"50001323")</f>
        <v>50001323</v>
      </c>
      <c r="D3699" s="380" t="s">
        <v>767</v>
      </c>
      <c r="E3699" s="380" t="s">
        <v>781</v>
      </c>
      <c r="F3699" s="380" t="s">
        <v>782</v>
      </c>
      <c r="G3699" s="380" t="s">
        <v>1267</v>
      </c>
      <c r="H3699" s="380" t="s">
        <v>771</v>
      </c>
      <c r="I3699" s="380" t="s">
        <v>784</v>
      </c>
      <c r="J3699" s="380" t="s">
        <v>773</v>
      </c>
      <c r="K3699" s="381">
        <v>0.0</v>
      </c>
      <c r="L3699" s="382">
        <v>1.0</v>
      </c>
    </row>
    <row r="3700">
      <c r="A3700" s="380" t="s">
        <v>4563</v>
      </c>
      <c r="B3700" s="380" t="str">
        <f>IFERROR(__xludf.DUMMYFUNCTION("""COMPUTED_VALUE"""),"Chequeador De Corriente 110 V")</f>
        <v>Chequeador De Corriente 110 V</v>
      </c>
      <c r="C3700" s="380" t="str">
        <f>IFERROR(__xludf.DUMMYFUNCTION("""COMPUTED_VALUE"""),"50001324")</f>
        <v>50001324</v>
      </c>
      <c r="D3700" s="380" t="s">
        <v>767</v>
      </c>
      <c r="E3700" s="380" t="s">
        <v>781</v>
      </c>
      <c r="F3700" s="380" t="s">
        <v>782</v>
      </c>
      <c r="G3700" s="380" t="s">
        <v>1267</v>
      </c>
      <c r="H3700" s="380" t="s">
        <v>771</v>
      </c>
      <c r="I3700" s="380" t="s">
        <v>784</v>
      </c>
      <c r="J3700" s="380" t="s">
        <v>773</v>
      </c>
      <c r="K3700" s="381">
        <v>0.0</v>
      </c>
      <c r="L3700" s="382">
        <v>1.0</v>
      </c>
    </row>
    <row r="3701">
      <c r="A3701" s="380" t="s">
        <v>4564</v>
      </c>
      <c r="B3701" s="380" t="str">
        <f>IFERROR(__xludf.DUMMYFUNCTION("""COMPUTED_VALUE"""),"Juego De Puntas Para Taladro 1/4"" 33pz")</f>
        <v>Juego De Puntas Para Taladro 1/4" 33pz</v>
      </c>
      <c r="C3701" s="380" t="str">
        <f>IFERROR(__xludf.DUMMYFUNCTION("""COMPUTED_VALUE"""),"50001325")</f>
        <v>50001325</v>
      </c>
      <c r="D3701" s="380" t="s">
        <v>767</v>
      </c>
      <c r="E3701" s="380" t="s">
        <v>781</v>
      </c>
      <c r="F3701" s="380" t="s">
        <v>782</v>
      </c>
      <c r="G3701" s="380" t="s">
        <v>1267</v>
      </c>
      <c r="H3701" s="380" t="s">
        <v>771</v>
      </c>
      <c r="I3701" s="380" t="s">
        <v>784</v>
      </c>
      <c r="J3701" s="380" t="s">
        <v>773</v>
      </c>
      <c r="K3701" s="381">
        <v>0.0</v>
      </c>
      <c r="L3701" s="382">
        <v>1.0</v>
      </c>
    </row>
    <row r="3702">
      <c r="A3702" s="380" t="s">
        <v>4565</v>
      </c>
      <c r="B3702" s="380" t="str">
        <f>IFERROR(__xludf.DUMMYFUNCTION("""COMPUTED_VALUE"""),"Cono Reflectivo Señalización 70 Cms")</f>
        <v>Cono Reflectivo Señalización 70 Cms</v>
      </c>
      <c r="C3702" s="380" t="str">
        <f>IFERROR(__xludf.DUMMYFUNCTION("""COMPUTED_VALUE"""),"50001326")</f>
        <v>50001326</v>
      </c>
      <c r="D3702" s="380" t="s">
        <v>767</v>
      </c>
      <c r="E3702" s="380" t="s">
        <v>781</v>
      </c>
      <c r="F3702" s="380" t="s">
        <v>782</v>
      </c>
      <c r="G3702" s="380" t="s">
        <v>1267</v>
      </c>
      <c r="H3702" s="380" t="s">
        <v>771</v>
      </c>
      <c r="I3702" s="380" t="s">
        <v>784</v>
      </c>
      <c r="J3702" s="380" t="s">
        <v>773</v>
      </c>
      <c r="K3702" s="381">
        <v>0.0</v>
      </c>
      <c r="L3702" s="382">
        <v>1.0</v>
      </c>
    </row>
    <row r="3703">
      <c r="A3703" s="380" t="s">
        <v>4566</v>
      </c>
      <c r="B3703" s="380" t="str">
        <f>IFERROR(__xludf.DUMMYFUNCTION("""COMPUTED_VALUE"""),"Juego Botadores Cilindrico 2-8 Mm")</f>
        <v>Juego Botadores Cilindrico 2-8 Mm</v>
      </c>
      <c r="C3703" s="380" t="str">
        <f>IFERROR(__xludf.DUMMYFUNCTION("""COMPUTED_VALUE"""),"50001327")</f>
        <v>50001327</v>
      </c>
      <c r="D3703" s="380" t="s">
        <v>767</v>
      </c>
      <c r="E3703" s="380" t="s">
        <v>781</v>
      </c>
      <c r="F3703" s="380" t="s">
        <v>782</v>
      </c>
      <c r="G3703" s="380" t="s">
        <v>1267</v>
      </c>
      <c r="H3703" s="380" t="s">
        <v>771</v>
      </c>
      <c r="I3703" s="380" t="s">
        <v>784</v>
      </c>
      <c r="J3703" s="380" t="s">
        <v>773</v>
      </c>
      <c r="K3703" s="381">
        <v>0.0</v>
      </c>
      <c r="L3703" s="382">
        <v>1.0</v>
      </c>
    </row>
    <row r="3704">
      <c r="A3704" s="380" t="s">
        <v>4567</v>
      </c>
      <c r="B3704" s="380" t="str">
        <f>IFERROR(__xludf.DUMMYFUNCTION("""COMPUTED_VALUE"""),"Disco Corte Madera 4 1/2 Carbono Tusteno")</f>
        <v>Disco Corte Madera 4 1/2 Carbono Tusteno</v>
      </c>
      <c r="C3704" s="380" t="str">
        <f>IFERROR(__xludf.DUMMYFUNCTION("""COMPUTED_VALUE"""),"50001328")</f>
        <v>50001328</v>
      </c>
      <c r="D3704" s="380" t="s">
        <v>767</v>
      </c>
      <c r="E3704" s="380" t="s">
        <v>781</v>
      </c>
      <c r="F3704" s="380" t="s">
        <v>782</v>
      </c>
      <c r="G3704" s="380" t="s">
        <v>1267</v>
      </c>
      <c r="H3704" s="380" t="s">
        <v>771</v>
      </c>
      <c r="I3704" s="380" t="s">
        <v>784</v>
      </c>
      <c r="J3704" s="380" t="s">
        <v>773</v>
      </c>
      <c r="K3704" s="381">
        <v>0.0</v>
      </c>
      <c r="L3704" s="382">
        <v>1.0</v>
      </c>
    </row>
    <row r="3705">
      <c r="A3705" s="380" t="s">
        <v>4568</v>
      </c>
      <c r="B3705" s="380" t="str">
        <f>IFERROR(__xludf.DUMMYFUNCTION("""COMPUTED_VALUE"""),"Juego Llaves Reversible 8 A 19 Mm")</f>
        <v>Juego Llaves Reversible 8 A 19 Mm</v>
      </c>
      <c r="C3705" s="380" t="str">
        <f>IFERROR(__xludf.DUMMYFUNCTION("""COMPUTED_VALUE"""),"50001330")</f>
        <v>50001330</v>
      </c>
      <c r="D3705" s="380" t="s">
        <v>767</v>
      </c>
      <c r="E3705" s="380" t="s">
        <v>781</v>
      </c>
      <c r="F3705" s="380" t="s">
        <v>782</v>
      </c>
      <c r="G3705" s="380" t="s">
        <v>1267</v>
      </c>
      <c r="H3705" s="380" t="s">
        <v>771</v>
      </c>
      <c r="I3705" s="380" t="s">
        <v>784</v>
      </c>
      <c r="J3705" s="380" t="s">
        <v>773</v>
      </c>
      <c r="K3705" s="381">
        <v>0.0</v>
      </c>
      <c r="L3705" s="382">
        <v>1.0</v>
      </c>
    </row>
    <row r="3706">
      <c r="A3706" s="380" t="s">
        <v>4569</v>
      </c>
      <c r="B3706" s="380" t="str">
        <f>IFERROR(__xludf.DUMMYFUNCTION("""COMPUTED_VALUE"""),"Arbol P/Sierra Copa 9/16"" A 1.1/8 A 3/8")</f>
        <v>Arbol P/Sierra Copa 9/16" A 1.1/8 A 3/8</v>
      </c>
      <c r="C3706" s="380" t="str">
        <f>IFERROR(__xludf.DUMMYFUNCTION("""COMPUTED_VALUE"""),"50001331")</f>
        <v>50001331</v>
      </c>
      <c r="D3706" s="380" t="s">
        <v>767</v>
      </c>
      <c r="E3706" s="380" t="s">
        <v>781</v>
      </c>
      <c r="F3706" s="380" t="s">
        <v>782</v>
      </c>
      <c r="G3706" s="380" t="s">
        <v>1267</v>
      </c>
      <c r="H3706" s="380" t="s">
        <v>771</v>
      </c>
      <c r="I3706" s="380" t="s">
        <v>784</v>
      </c>
      <c r="J3706" s="380" t="s">
        <v>773</v>
      </c>
      <c r="K3706" s="381">
        <v>0.0</v>
      </c>
      <c r="L3706" s="382">
        <v>1.0</v>
      </c>
    </row>
    <row r="3707">
      <c r="A3707" s="380" t="s">
        <v>4570</v>
      </c>
      <c r="B3707" s="380" t="str">
        <f>IFERROR(__xludf.DUMMYFUNCTION("""COMPUTED_VALUE"""),"Tarraja 27-119")</f>
        <v>Tarraja 27-119</v>
      </c>
      <c r="C3707" s="380" t="str">
        <f>IFERROR(__xludf.DUMMYFUNCTION("""COMPUTED_VALUE"""),"50001334")</f>
        <v>50001334</v>
      </c>
      <c r="D3707" s="380" t="s">
        <v>767</v>
      </c>
      <c r="E3707" s="380" t="s">
        <v>781</v>
      </c>
      <c r="F3707" s="380" t="s">
        <v>782</v>
      </c>
      <c r="G3707" s="380" t="s">
        <v>1267</v>
      </c>
      <c r="H3707" s="380" t="s">
        <v>771</v>
      </c>
      <c r="I3707" s="380" t="s">
        <v>784</v>
      </c>
      <c r="J3707" s="380" t="s">
        <v>773</v>
      </c>
      <c r="K3707" s="381">
        <v>6463.0</v>
      </c>
      <c r="L3707" s="382">
        <v>1.0</v>
      </c>
    </row>
    <row r="3708">
      <c r="A3708" s="380" t="s">
        <v>4571</v>
      </c>
      <c r="B3708" s="380" t="str">
        <f>IFERROR(__xludf.DUMMYFUNCTION("""COMPUTED_VALUE"""),"Kit Destornilladores Electronica")</f>
        <v>Kit Destornilladores Electronica</v>
      </c>
      <c r="C3708" s="380" t="str">
        <f>IFERROR(__xludf.DUMMYFUNCTION("""COMPUTED_VALUE"""),"50001335")</f>
        <v>50001335</v>
      </c>
      <c r="D3708" s="380" t="s">
        <v>767</v>
      </c>
      <c r="E3708" s="380" t="s">
        <v>781</v>
      </c>
      <c r="F3708" s="380" t="s">
        <v>782</v>
      </c>
      <c r="G3708" s="380" t="s">
        <v>1267</v>
      </c>
      <c r="H3708" s="380" t="s">
        <v>771</v>
      </c>
      <c r="I3708" s="380" t="s">
        <v>784</v>
      </c>
      <c r="J3708" s="380" t="s">
        <v>773</v>
      </c>
      <c r="K3708" s="381">
        <v>0.0</v>
      </c>
      <c r="L3708" s="382">
        <v>1.0</v>
      </c>
    </row>
    <row r="3709">
      <c r="A3709" s="380" t="s">
        <v>4572</v>
      </c>
      <c r="B3709" s="380" t="str">
        <f>IFERROR(__xludf.DUMMYFUNCTION("""COMPUTED_VALUE"""),"Gato Botella Hidraulico 7 Toneladas")</f>
        <v>Gato Botella Hidraulico 7 Toneladas</v>
      </c>
      <c r="C3709" s="380" t="str">
        <f>IFERROR(__xludf.DUMMYFUNCTION("""COMPUTED_VALUE"""),"50001336")</f>
        <v>50001336</v>
      </c>
      <c r="D3709" s="380" t="s">
        <v>767</v>
      </c>
      <c r="E3709" s="380" t="s">
        <v>781</v>
      </c>
      <c r="F3709" s="380" t="s">
        <v>782</v>
      </c>
      <c r="G3709" s="380" t="s">
        <v>1267</v>
      </c>
      <c r="H3709" s="380" t="s">
        <v>771</v>
      </c>
      <c r="I3709" s="380" t="s">
        <v>784</v>
      </c>
      <c r="J3709" s="380" t="s">
        <v>773</v>
      </c>
      <c r="K3709" s="381">
        <v>0.0</v>
      </c>
      <c r="L3709" s="382">
        <v>1.0</v>
      </c>
    </row>
    <row r="3710">
      <c r="A3710" s="380" t="s">
        <v>4573</v>
      </c>
      <c r="B3710" s="380" t="str">
        <f>IFERROR(__xludf.DUMMYFUNCTION("""COMPUTED_VALUE"""),"Unidad Mantenimiento Engrasadora 1/4 Npt")</f>
        <v>Unidad Mantenimiento Engrasadora 1/4 Npt</v>
      </c>
      <c r="C3710" s="380" t="str">
        <f>IFERROR(__xludf.DUMMYFUNCTION("""COMPUTED_VALUE"""),"50001337")</f>
        <v>50001337</v>
      </c>
      <c r="D3710" s="380" t="s">
        <v>767</v>
      </c>
      <c r="E3710" s="380" t="s">
        <v>781</v>
      </c>
      <c r="F3710" s="380" t="s">
        <v>782</v>
      </c>
      <c r="G3710" s="380" t="s">
        <v>1267</v>
      </c>
      <c r="H3710" s="380" t="s">
        <v>771</v>
      </c>
      <c r="I3710" s="380" t="s">
        <v>784</v>
      </c>
      <c r="J3710" s="380" t="s">
        <v>773</v>
      </c>
      <c r="K3710" s="381">
        <v>0.0</v>
      </c>
      <c r="L3710" s="382">
        <v>1.0</v>
      </c>
    </row>
    <row r="3711">
      <c r="A3711" s="380" t="s">
        <v>4574</v>
      </c>
      <c r="B3711" s="380" t="str">
        <f>IFERROR(__xludf.DUMMYFUNCTION("""COMPUTED_VALUE"""),"Llave Boca Fija 1 1/8 X 1 1/16 Tb")</f>
        <v>Llave Boca Fija 1 1/8 X 1 1/16 Tb</v>
      </c>
      <c r="C3711" s="380" t="str">
        <f>IFERROR(__xludf.DUMMYFUNCTION("""COMPUTED_VALUE"""),"50001338")</f>
        <v>50001338</v>
      </c>
      <c r="D3711" s="380" t="s">
        <v>767</v>
      </c>
      <c r="E3711" s="380" t="s">
        <v>781</v>
      </c>
      <c r="F3711" s="380" t="s">
        <v>782</v>
      </c>
      <c r="G3711" s="380" t="s">
        <v>1267</v>
      </c>
      <c r="H3711" s="380" t="s">
        <v>771</v>
      </c>
      <c r="I3711" s="380" t="s">
        <v>784</v>
      </c>
      <c r="J3711" s="380" t="s">
        <v>773</v>
      </c>
      <c r="K3711" s="381">
        <v>0.0</v>
      </c>
      <c r="L3711" s="382">
        <v>1.0</v>
      </c>
    </row>
    <row r="3712">
      <c r="A3712" s="380" t="s">
        <v>4575</v>
      </c>
      <c r="B3712" s="380" t="str">
        <f>IFERROR(__xludf.DUMMYFUNCTION("""COMPUTED_VALUE"""),"Rache Cuadrante 1/2 X 8"" Tipo B")</f>
        <v>Rache Cuadrante 1/2 X 8" Tipo B</v>
      </c>
      <c r="C3712" s="380" t="str">
        <f>IFERROR(__xludf.DUMMYFUNCTION("""COMPUTED_VALUE"""),"50001339")</f>
        <v>50001339</v>
      </c>
      <c r="D3712" s="380" t="s">
        <v>767</v>
      </c>
      <c r="E3712" s="380" t="s">
        <v>781</v>
      </c>
      <c r="F3712" s="380" t="s">
        <v>782</v>
      </c>
      <c r="G3712" s="380" t="s">
        <v>1267</v>
      </c>
      <c r="H3712" s="380" t="s">
        <v>771</v>
      </c>
      <c r="I3712" s="380" t="s">
        <v>784</v>
      </c>
      <c r="J3712" s="380" t="s">
        <v>773</v>
      </c>
      <c r="K3712" s="381">
        <v>0.0</v>
      </c>
      <c r="L3712" s="382">
        <v>1.0</v>
      </c>
    </row>
    <row r="3713">
      <c r="A3713" s="380" t="s">
        <v>4576</v>
      </c>
      <c r="B3713" s="380" t="str">
        <f>IFERROR(__xludf.DUMMYFUNCTION("""COMPUTED_VALUE"""),"Copa Larga Cuadrante 3/8 X 13 Mm Tipo B")</f>
        <v>Copa Larga Cuadrante 3/8 X 13 Mm Tipo B</v>
      </c>
      <c r="C3713" s="380" t="str">
        <f>IFERROR(__xludf.DUMMYFUNCTION("""COMPUTED_VALUE"""),"50001340")</f>
        <v>50001340</v>
      </c>
      <c r="D3713" s="380" t="s">
        <v>767</v>
      </c>
      <c r="E3713" s="380" t="s">
        <v>781</v>
      </c>
      <c r="F3713" s="380" t="s">
        <v>782</v>
      </c>
      <c r="G3713" s="380" t="s">
        <v>1267</v>
      </c>
      <c r="H3713" s="380" t="s">
        <v>771</v>
      </c>
      <c r="I3713" s="380" t="s">
        <v>784</v>
      </c>
      <c r="J3713" s="380" t="s">
        <v>773</v>
      </c>
      <c r="K3713" s="381">
        <v>0.0</v>
      </c>
      <c r="L3713" s="382">
        <v>1.0</v>
      </c>
    </row>
    <row r="3714">
      <c r="A3714" s="380" t="s">
        <v>4577</v>
      </c>
      <c r="B3714" s="380" t="str">
        <f>IFERROR(__xludf.DUMMYFUNCTION("""COMPUTED_VALUE"""),"Copa Larga Cuadrante 3/8 X 17mm Tipo B")</f>
        <v>Copa Larga Cuadrante 3/8 X 17mm Tipo B</v>
      </c>
      <c r="C3714" s="380" t="str">
        <f>IFERROR(__xludf.DUMMYFUNCTION("""COMPUTED_VALUE"""),"50001341")</f>
        <v>50001341</v>
      </c>
      <c r="D3714" s="380" t="s">
        <v>767</v>
      </c>
      <c r="E3714" s="380" t="s">
        <v>781</v>
      </c>
      <c r="F3714" s="380" t="s">
        <v>782</v>
      </c>
      <c r="G3714" s="380" t="s">
        <v>1267</v>
      </c>
      <c r="H3714" s="380" t="s">
        <v>771</v>
      </c>
      <c r="I3714" s="380" t="s">
        <v>784</v>
      </c>
      <c r="J3714" s="380" t="s">
        <v>773</v>
      </c>
      <c r="K3714" s="381">
        <v>0.0</v>
      </c>
      <c r="L3714" s="382">
        <v>1.0</v>
      </c>
    </row>
    <row r="3715">
      <c r="A3715" s="380" t="s">
        <v>4578</v>
      </c>
      <c r="B3715" s="380" t="str">
        <f>IFERROR(__xludf.DUMMYFUNCTION("""COMPUTED_VALUE"""),"Juego Llave T10- T40 Torx Force")</f>
        <v>Juego Llave T10- T40 Torx Force</v>
      </c>
      <c r="C3715" s="380" t="str">
        <f>IFERROR(__xludf.DUMMYFUNCTION("""COMPUTED_VALUE"""),"50001342")</f>
        <v>50001342</v>
      </c>
      <c r="D3715" s="380" t="s">
        <v>767</v>
      </c>
      <c r="E3715" s="380" t="s">
        <v>781</v>
      </c>
      <c r="F3715" s="380" t="s">
        <v>782</v>
      </c>
      <c r="G3715" s="380" t="s">
        <v>1267</v>
      </c>
      <c r="H3715" s="380" t="s">
        <v>771</v>
      </c>
      <c r="I3715" s="380" t="s">
        <v>784</v>
      </c>
      <c r="J3715" s="380" t="s">
        <v>773</v>
      </c>
      <c r="K3715" s="381">
        <v>0.0</v>
      </c>
      <c r="L3715" s="382">
        <v>1.0</v>
      </c>
    </row>
    <row r="3716">
      <c r="A3716" s="380" t="s">
        <v>4579</v>
      </c>
      <c r="B3716" s="380" t="str">
        <f>IFERROR(__xludf.DUMMYFUNCTION("""COMPUTED_VALUE"""),"Kit Equipo Oxicorte Serie 2.0 Victor")</f>
        <v>Kit Equipo Oxicorte Serie 2.0 Victor</v>
      </c>
      <c r="C3716" s="380" t="str">
        <f>IFERROR(__xludf.DUMMYFUNCTION("""COMPUTED_VALUE"""),"50001343")</f>
        <v>50001343</v>
      </c>
      <c r="D3716" s="380" t="s">
        <v>767</v>
      </c>
      <c r="E3716" s="380" t="s">
        <v>781</v>
      </c>
      <c r="F3716" s="380" t="s">
        <v>782</v>
      </c>
      <c r="G3716" s="380" t="s">
        <v>1267</v>
      </c>
      <c r="H3716" s="380" t="s">
        <v>771</v>
      </c>
      <c r="I3716" s="380" t="s">
        <v>784</v>
      </c>
      <c r="J3716" s="380" t="s">
        <v>773</v>
      </c>
      <c r="K3716" s="381">
        <v>0.0</v>
      </c>
      <c r="L3716" s="382">
        <v>1.0</v>
      </c>
    </row>
    <row r="3717">
      <c r="A3717" s="380" t="s">
        <v>4580</v>
      </c>
      <c r="B3717" s="380" t="str">
        <f>IFERROR(__xludf.DUMMYFUNCTION("""COMPUTED_VALUE"""),"Boquilla Calentador Acetileno")</f>
        <v>Boquilla Calentador Acetileno</v>
      </c>
      <c r="C3717" s="380" t="str">
        <f>IFERROR(__xludf.DUMMYFUNCTION("""COMPUTED_VALUE"""),"50001344")</f>
        <v>50001344</v>
      </c>
      <c r="D3717" s="380" t="s">
        <v>767</v>
      </c>
      <c r="E3717" s="380" t="s">
        <v>781</v>
      </c>
      <c r="F3717" s="380" t="s">
        <v>782</v>
      </c>
      <c r="G3717" s="380" t="s">
        <v>1267</v>
      </c>
      <c r="H3717" s="380" t="s">
        <v>771</v>
      </c>
      <c r="I3717" s="380" t="s">
        <v>784</v>
      </c>
      <c r="J3717" s="380" t="s">
        <v>773</v>
      </c>
      <c r="K3717" s="381">
        <v>0.0</v>
      </c>
      <c r="L3717" s="382">
        <v>1.0</v>
      </c>
    </row>
    <row r="3718">
      <c r="A3718" s="380" t="s">
        <v>4581</v>
      </c>
      <c r="B3718" s="380" t="str">
        <f>IFERROR(__xludf.DUMMYFUNCTION("""COMPUTED_VALUE"""),"Seguro King Pin Trailer")</f>
        <v>Seguro King Pin Trailer</v>
      </c>
      <c r="C3718" s="380" t="str">
        <f>IFERROR(__xludf.DUMMYFUNCTION("""COMPUTED_VALUE"""),"50001345")</f>
        <v>50001345</v>
      </c>
      <c r="D3718" s="380" t="s">
        <v>767</v>
      </c>
      <c r="E3718" s="380" t="s">
        <v>781</v>
      </c>
      <c r="F3718" s="380" t="s">
        <v>782</v>
      </c>
      <c r="G3718" s="380" t="s">
        <v>1267</v>
      </c>
      <c r="H3718" s="380" t="s">
        <v>771</v>
      </c>
      <c r="I3718" s="380" t="s">
        <v>784</v>
      </c>
      <c r="J3718" s="380" t="s">
        <v>773</v>
      </c>
      <c r="K3718" s="381">
        <v>0.0</v>
      </c>
      <c r="L3718" s="382">
        <v>1.0</v>
      </c>
    </row>
    <row r="3719">
      <c r="A3719" s="380" t="s">
        <v>4582</v>
      </c>
      <c r="B3719" s="380" t="str">
        <f>IFERROR(__xludf.DUMMYFUNCTION("""COMPUTED_VALUE"""),"Copa Thermal Equipo Plasma")</f>
        <v>Copa Thermal Equipo Plasma</v>
      </c>
      <c r="C3719" s="380" t="str">
        <f>IFERROR(__xludf.DUMMYFUNCTION("""COMPUTED_VALUE"""),"50001346")</f>
        <v>50001346</v>
      </c>
      <c r="D3719" s="380" t="s">
        <v>767</v>
      </c>
      <c r="E3719" s="380" t="s">
        <v>781</v>
      </c>
      <c r="F3719" s="380" t="s">
        <v>782</v>
      </c>
      <c r="G3719" s="380" t="s">
        <v>1267</v>
      </c>
      <c r="H3719" s="380" t="s">
        <v>771</v>
      </c>
      <c r="I3719" s="380" t="s">
        <v>784</v>
      </c>
      <c r="J3719" s="380" t="s">
        <v>773</v>
      </c>
      <c r="K3719" s="381">
        <v>228480.0</v>
      </c>
      <c r="L3719" s="382">
        <v>1.0</v>
      </c>
    </row>
    <row r="3720">
      <c r="A3720" s="380" t="s">
        <v>4583</v>
      </c>
      <c r="B3720" s="380" t="str">
        <f>IFERROR(__xludf.DUMMYFUNCTION("""COMPUTED_VALUE"""),"Ordenador De Llaves (48 Ganchos) Metalic")</f>
        <v>Ordenador De Llaves (48 Ganchos) Metalic</v>
      </c>
      <c r="C3720" s="380" t="str">
        <f>IFERROR(__xludf.DUMMYFUNCTION("""COMPUTED_VALUE"""),"50001347")</f>
        <v>50001347</v>
      </c>
      <c r="D3720" s="380" t="s">
        <v>767</v>
      </c>
      <c r="E3720" s="380" t="s">
        <v>781</v>
      </c>
      <c r="F3720" s="380" t="s">
        <v>782</v>
      </c>
      <c r="G3720" s="380" t="s">
        <v>1267</v>
      </c>
      <c r="H3720" s="380" t="s">
        <v>771</v>
      </c>
      <c r="I3720" s="380" t="s">
        <v>784</v>
      </c>
      <c r="J3720" s="380" t="s">
        <v>773</v>
      </c>
      <c r="K3720" s="381">
        <v>0.0</v>
      </c>
      <c r="L3720" s="382">
        <v>1.0</v>
      </c>
    </row>
    <row r="3721">
      <c r="A3721" s="380" t="s">
        <v>4584</v>
      </c>
      <c r="B3721" s="380" t="str">
        <f>IFERROR(__xludf.DUMMYFUNCTION("""COMPUTED_VALUE"""),"Motoventilador Para Soldador")</f>
        <v>Motoventilador Para Soldador</v>
      </c>
      <c r="C3721" s="380" t="str">
        <f>IFERROR(__xludf.DUMMYFUNCTION("""COMPUTED_VALUE"""),"50001348")</f>
        <v>50001348</v>
      </c>
      <c r="D3721" s="380" t="s">
        <v>767</v>
      </c>
      <c r="E3721" s="380" t="s">
        <v>781</v>
      </c>
      <c r="F3721" s="380" t="s">
        <v>782</v>
      </c>
      <c r="G3721" s="380" t="s">
        <v>1267</v>
      </c>
      <c r="H3721" s="380" t="s">
        <v>771</v>
      </c>
      <c r="I3721" s="380" t="s">
        <v>784</v>
      </c>
      <c r="J3721" s="380" t="s">
        <v>773</v>
      </c>
      <c r="K3721" s="381">
        <v>0.0</v>
      </c>
      <c r="L3721" s="382">
        <v>1.0</v>
      </c>
    </row>
    <row r="3722">
      <c r="A3722" s="380" t="s">
        <v>4585</v>
      </c>
      <c r="B3722" s="380" t="str">
        <f>IFERROR(__xludf.DUMMYFUNCTION("""COMPUTED_VALUE"""),"Manómetro Medidor De Fugas RAD Snap-On")</f>
        <v>Manómetro Medidor De Fugas RAD Snap-On</v>
      </c>
      <c r="C3722" s="380" t="str">
        <f>IFERROR(__xludf.DUMMYFUNCTION("""COMPUTED_VALUE"""),"50001349")</f>
        <v>50001349</v>
      </c>
      <c r="D3722" s="380" t="s">
        <v>767</v>
      </c>
      <c r="E3722" s="380" t="s">
        <v>781</v>
      </c>
      <c r="F3722" s="380" t="s">
        <v>782</v>
      </c>
      <c r="G3722" s="380" t="s">
        <v>1267</v>
      </c>
      <c r="H3722" s="380" t="s">
        <v>771</v>
      </c>
      <c r="I3722" s="380" t="s">
        <v>784</v>
      </c>
      <c r="J3722" s="380" t="s">
        <v>773</v>
      </c>
      <c r="K3722" s="381">
        <v>0.0</v>
      </c>
      <c r="L3722" s="382">
        <v>1.0</v>
      </c>
    </row>
    <row r="3723">
      <c r="A3723" s="380" t="s">
        <v>4586</v>
      </c>
      <c r="B3723" s="380" t="str">
        <f>IFERROR(__xludf.DUMMYFUNCTION("""COMPUTED_VALUE"""),"Bisturi Industrial")</f>
        <v>Bisturi Industrial</v>
      </c>
      <c r="C3723" s="380" t="str">
        <f>IFERROR(__xludf.DUMMYFUNCTION("""COMPUTED_VALUE"""),"50001350")</f>
        <v>50001350</v>
      </c>
      <c r="D3723" s="380" t="s">
        <v>767</v>
      </c>
      <c r="E3723" s="380" t="s">
        <v>781</v>
      </c>
      <c r="F3723" s="380" t="s">
        <v>782</v>
      </c>
      <c r="G3723" s="380" t="s">
        <v>1267</v>
      </c>
      <c r="H3723" s="380" t="s">
        <v>771</v>
      </c>
      <c r="I3723" s="380" t="s">
        <v>784</v>
      </c>
      <c r="J3723" s="380" t="s">
        <v>773</v>
      </c>
      <c r="K3723" s="381">
        <v>0.0</v>
      </c>
      <c r="L3723" s="382">
        <v>1.0</v>
      </c>
    </row>
    <row r="3724">
      <c r="A3724" s="380" t="s">
        <v>4587</v>
      </c>
      <c r="B3724" s="380" t="str">
        <f>IFERROR(__xludf.DUMMYFUNCTION("""COMPUTED_VALUE"""),"Regulador Argon Purox 580")</f>
        <v>Regulador Argon Purox 580</v>
      </c>
      <c r="C3724" s="380" t="str">
        <f>IFERROR(__xludf.DUMMYFUNCTION("""COMPUTED_VALUE"""),"50001351")</f>
        <v>50001351</v>
      </c>
      <c r="D3724" s="380" t="s">
        <v>767</v>
      </c>
      <c r="E3724" s="380" t="s">
        <v>781</v>
      </c>
      <c r="F3724" s="380" t="s">
        <v>782</v>
      </c>
      <c r="G3724" s="380" t="s">
        <v>1267</v>
      </c>
      <c r="H3724" s="380" t="s">
        <v>771</v>
      </c>
      <c r="I3724" s="380" t="s">
        <v>784</v>
      </c>
      <c r="J3724" s="380" t="s">
        <v>773</v>
      </c>
      <c r="K3724" s="381">
        <v>0.0</v>
      </c>
      <c r="L3724" s="382">
        <v>1.0</v>
      </c>
    </row>
    <row r="3725">
      <c r="A3725" s="380" t="s">
        <v>4588</v>
      </c>
      <c r="B3725" s="380" t="str">
        <f>IFERROR(__xludf.DUMMYFUNCTION("""COMPUTED_VALUE"""),"Copa Punta Hexagona 5/16” X 1/2 Snapon")</f>
        <v>Copa Punta Hexagona 5/16” X 1/2 Snapon</v>
      </c>
      <c r="C3725" s="380" t="str">
        <f>IFERROR(__xludf.DUMMYFUNCTION("""COMPUTED_VALUE"""),"50001352")</f>
        <v>50001352</v>
      </c>
      <c r="D3725" s="380" t="s">
        <v>767</v>
      </c>
      <c r="E3725" s="380" t="s">
        <v>781</v>
      </c>
      <c r="F3725" s="380" t="s">
        <v>782</v>
      </c>
      <c r="G3725" s="380" t="s">
        <v>1267</v>
      </c>
      <c r="H3725" s="380" t="s">
        <v>771</v>
      </c>
      <c r="I3725" s="380" t="s">
        <v>784</v>
      </c>
      <c r="J3725" s="380" t="s">
        <v>773</v>
      </c>
      <c r="K3725" s="381">
        <v>0.0</v>
      </c>
      <c r="L3725" s="382">
        <v>1.0</v>
      </c>
    </row>
    <row r="3726">
      <c r="A3726" s="380" t="s">
        <v>4589</v>
      </c>
      <c r="B3726" s="380" t="str">
        <f>IFERROR(__xludf.DUMMYFUNCTION("""COMPUTED_VALUE"""),"Jgo Copas Completo 1/4,3/8,1/2, 120 Piez")</f>
        <v>Jgo Copas Completo 1/4,3/8,1/2, 120 Piez</v>
      </c>
      <c r="C3726" s="380" t="str">
        <f>IFERROR(__xludf.DUMMYFUNCTION("""COMPUTED_VALUE"""),"50001353")</f>
        <v>50001353</v>
      </c>
      <c r="D3726" s="380" t="s">
        <v>767</v>
      </c>
      <c r="E3726" s="380" t="s">
        <v>781</v>
      </c>
      <c r="F3726" s="380" t="s">
        <v>782</v>
      </c>
      <c r="G3726" s="380" t="s">
        <v>1267</v>
      </c>
      <c r="H3726" s="380" t="s">
        <v>771</v>
      </c>
      <c r="I3726" s="380" t="s">
        <v>784</v>
      </c>
      <c r="J3726" s="380" t="s">
        <v>773</v>
      </c>
      <c r="K3726" s="381">
        <v>0.0</v>
      </c>
      <c r="L3726" s="382">
        <v>1.0</v>
      </c>
    </row>
    <row r="3727">
      <c r="A3727" s="380" t="s">
        <v>4590</v>
      </c>
      <c r="B3727" s="380" t="str">
        <f>IFERROR(__xludf.DUMMYFUNCTION("""COMPUTED_VALUE"""),"Copa Estriad Cuad 3/4x13/16 Tb")</f>
        <v>Copa Estriad Cuad 3/4x13/16 Tb</v>
      </c>
      <c r="C3727" s="380" t="str">
        <f>IFERROR(__xludf.DUMMYFUNCTION("""COMPUTED_VALUE"""),"50001354")</f>
        <v>50001354</v>
      </c>
      <c r="D3727" s="380" t="s">
        <v>767</v>
      </c>
      <c r="E3727" s="380" t="s">
        <v>781</v>
      </c>
      <c r="F3727" s="380" t="s">
        <v>782</v>
      </c>
      <c r="G3727" s="380" t="s">
        <v>1267</v>
      </c>
      <c r="H3727" s="380" t="s">
        <v>771</v>
      </c>
      <c r="I3727" s="380" t="s">
        <v>784</v>
      </c>
      <c r="J3727" s="380" t="s">
        <v>773</v>
      </c>
      <c r="K3727" s="381">
        <v>0.0</v>
      </c>
      <c r="L3727" s="382">
        <v>1.0</v>
      </c>
    </row>
    <row r="3728">
      <c r="A3728" s="380" t="s">
        <v>4591</v>
      </c>
      <c r="B3728" s="380" t="str">
        <f>IFERROR(__xludf.DUMMYFUNCTION("""COMPUTED_VALUE"""),"Exten Extension Cuadrante 3/8 X 10"" T.B.")</f>
        <v>Exten Extension Cuadrante 3/8 X 10" T.B.</v>
      </c>
      <c r="C3728" s="380" t="str">
        <f>IFERROR(__xludf.DUMMYFUNCTION("""COMPUTED_VALUE"""),"50001355")</f>
        <v>50001355</v>
      </c>
      <c r="D3728" s="380" t="s">
        <v>767</v>
      </c>
      <c r="E3728" s="380" t="s">
        <v>781</v>
      </c>
      <c r="F3728" s="380" t="s">
        <v>782</v>
      </c>
      <c r="G3728" s="380" t="s">
        <v>1267</v>
      </c>
      <c r="H3728" s="380" t="s">
        <v>771</v>
      </c>
      <c r="I3728" s="380" t="s">
        <v>784</v>
      </c>
      <c r="J3728" s="380" t="s">
        <v>773</v>
      </c>
      <c r="K3728" s="381">
        <v>0.0</v>
      </c>
      <c r="L3728" s="382">
        <v>1.0</v>
      </c>
    </row>
    <row r="3729">
      <c r="A3729" s="380" t="s">
        <v>4592</v>
      </c>
      <c r="B3729" s="380" t="str">
        <f>IFERROR(__xludf.DUMMYFUNCTION("""COMPUTED_VALUE"""),"Marcador De Llantas Rediser")</f>
        <v>Marcador De Llantas Rediser</v>
      </c>
      <c r="C3729" s="380" t="str">
        <f>IFERROR(__xludf.DUMMYFUNCTION("""COMPUTED_VALUE"""),"50001356")</f>
        <v>50001356</v>
      </c>
      <c r="D3729" s="380" t="s">
        <v>767</v>
      </c>
      <c r="E3729" s="380" t="s">
        <v>781</v>
      </c>
      <c r="F3729" s="380" t="s">
        <v>782</v>
      </c>
      <c r="G3729" s="380" t="s">
        <v>1267</v>
      </c>
      <c r="H3729" s="380" t="s">
        <v>771</v>
      </c>
      <c r="I3729" s="380" t="s">
        <v>784</v>
      </c>
      <c r="J3729" s="380" t="s">
        <v>773</v>
      </c>
      <c r="K3729" s="381">
        <v>0.0</v>
      </c>
      <c r="L3729" s="382">
        <v>1.0</v>
      </c>
    </row>
    <row r="3730">
      <c r="A3730" s="380" t="s">
        <v>4593</v>
      </c>
      <c r="B3730" s="380" t="str">
        <f>IFERROR(__xludf.DUMMYFUNCTION("""COMPUTED_VALUE"""),"Multiplicador De Torque X 4 Pz")</f>
        <v>Multiplicador De Torque X 4 Pz</v>
      </c>
      <c r="C3730" s="380" t="str">
        <f>IFERROR(__xludf.DUMMYFUNCTION("""COMPUTED_VALUE"""),"50001357")</f>
        <v>50001357</v>
      </c>
      <c r="D3730" s="380" t="s">
        <v>767</v>
      </c>
      <c r="E3730" s="380" t="s">
        <v>781</v>
      </c>
      <c r="F3730" s="380" t="s">
        <v>782</v>
      </c>
      <c r="G3730" s="380" t="s">
        <v>1267</v>
      </c>
      <c r="H3730" s="380" t="s">
        <v>771</v>
      </c>
      <c r="I3730" s="380" t="s">
        <v>784</v>
      </c>
      <c r="J3730" s="380" t="s">
        <v>773</v>
      </c>
      <c r="K3730" s="381">
        <v>0.0</v>
      </c>
      <c r="L3730" s="382">
        <v>1.0</v>
      </c>
    </row>
    <row r="3731">
      <c r="A3731" s="380" t="s">
        <v>4594</v>
      </c>
      <c r="B3731" s="380" t="str">
        <f>IFERROR(__xludf.DUMMYFUNCTION("""COMPUTED_VALUE"""),"Broca Taladro Hilti Concreto 3/4 X 10""")</f>
        <v>Broca Taladro Hilti Concreto 3/4 X 10"</v>
      </c>
      <c r="C3731" s="380" t="str">
        <f>IFERROR(__xludf.DUMMYFUNCTION("""COMPUTED_VALUE"""),"50001358")</f>
        <v>50001358</v>
      </c>
      <c r="D3731" s="380" t="s">
        <v>767</v>
      </c>
      <c r="E3731" s="380" t="s">
        <v>781</v>
      </c>
      <c r="F3731" s="380" t="s">
        <v>782</v>
      </c>
      <c r="G3731" s="380" t="s">
        <v>1267</v>
      </c>
      <c r="H3731" s="380" t="s">
        <v>771</v>
      </c>
      <c r="I3731" s="380" t="s">
        <v>784</v>
      </c>
      <c r="J3731" s="380" t="s">
        <v>773</v>
      </c>
      <c r="K3731" s="381">
        <v>0.0</v>
      </c>
      <c r="L3731" s="382">
        <v>1.0</v>
      </c>
    </row>
    <row r="3732">
      <c r="A3732" s="380" t="s">
        <v>4595</v>
      </c>
      <c r="B3732" s="380" t="str">
        <f>IFERROR(__xludf.DUMMYFUNCTION("""COMPUTED_VALUE"""),"Bomba Manual Caneca 55 Groz")</f>
        <v>Bomba Manual Caneca 55 Groz</v>
      </c>
      <c r="C3732" s="380" t="str">
        <f>IFERROR(__xludf.DUMMYFUNCTION("""COMPUTED_VALUE"""),"50001359")</f>
        <v>50001359</v>
      </c>
      <c r="D3732" s="380" t="s">
        <v>767</v>
      </c>
      <c r="E3732" s="380" t="s">
        <v>781</v>
      </c>
      <c r="F3732" s="380" t="s">
        <v>782</v>
      </c>
      <c r="G3732" s="380" t="s">
        <v>1267</v>
      </c>
      <c r="H3732" s="380" t="s">
        <v>771</v>
      </c>
      <c r="I3732" s="380" t="s">
        <v>784</v>
      </c>
      <c r="J3732" s="380" t="s">
        <v>773</v>
      </c>
      <c r="K3732" s="381">
        <v>0.0</v>
      </c>
      <c r="L3732" s="382">
        <v>1.0</v>
      </c>
    </row>
    <row r="3733">
      <c r="A3733" s="380" t="s">
        <v>4596</v>
      </c>
      <c r="B3733" s="380" t="str">
        <f>IFERROR(__xludf.DUMMYFUNCTION("""COMPUTED_VALUE"""),"Juego Cables Para Tester")</f>
        <v>Juego Cables Para Tester</v>
      </c>
      <c r="C3733" s="380" t="str">
        <f>IFERROR(__xludf.DUMMYFUNCTION("""COMPUTED_VALUE"""),"50001360")</f>
        <v>50001360</v>
      </c>
      <c r="D3733" s="380" t="s">
        <v>767</v>
      </c>
      <c r="E3733" s="380" t="s">
        <v>781</v>
      </c>
      <c r="F3733" s="380" t="s">
        <v>782</v>
      </c>
      <c r="G3733" s="380" t="s">
        <v>1267</v>
      </c>
      <c r="H3733" s="380" t="s">
        <v>771</v>
      </c>
      <c r="I3733" s="380" t="s">
        <v>784</v>
      </c>
      <c r="J3733" s="380" t="s">
        <v>773</v>
      </c>
      <c r="K3733" s="381">
        <v>0.0</v>
      </c>
      <c r="L3733" s="382">
        <v>1.0</v>
      </c>
    </row>
    <row r="3734">
      <c r="A3734" s="380" t="s">
        <v>4597</v>
      </c>
      <c r="B3734" s="380" t="str">
        <f>IFERROR(__xludf.DUMMYFUNCTION("""COMPUTED_VALUE"""),"Destornillador Estre 1/8 X 4 Tb")</f>
        <v>Destornillador Estre 1/8 X 4 Tb</v>
      </c>
      <c r="C3734" s="380" t="str">
        <f>IFERROR(__xludf.DUMMYFUNCTION("""COMPUTED_VALUE"""),"50001361")</f>
        <v>50001361</v>
      </c>
      <c r="D3734" s="380" t="s">
        <v>767</v>
      </c>
      <c r="E3734" s="380" t="s">
        <v>781</v>
      </c>
      <c r="F3734" s="380" t="s">
        <v>782</v>
      </c>
      <c r="G3734" s="380" t="s">
        <v>1267</v>
      </c>
      <c r="H3734" s="380" t="s">
        <v>771</v>
      </c>
      <c r="I3734" s="380" t="s">
        <v>784</v>
      </c>
      <c r="J3734" s="380" t="s">
        <v>773</v>
      </c>
      <c r="K3734" s="381">
        <v>0.0</v>
      </c>
      <c r="L3734" s="382">
        <v>1.0</v>
      </c>
    </row>
    <row r="3735">
      <c r="A3735" s="380" t="s">
        <v>4598</v>
      </c>
      <c r="B3735" s="380" t="str">
        <f>IFERROR(__xludf.DUMMYFUNCTION("""COMPUTED_VALUE"""),"Destornillador Pala 1/8 X 4 Tb")</f>
        <v>Destornillador Pala 1/8 X 4 Tb</v>
      </c>
      <c r="C3735" s="380" t="str">
        <f>IFERROR(__xludf.DUMMYFUNCTION("""COMPUTED_VALUE"""),"50001362")</f>
        <v>50001362</v>
      </c>
      <c r="D3735" s="380" t="s">
        <v>767</v>
      </c>
      <c r="E3735" s="380" t="s">
        <v>781</v>
      </c>
      <c r="F3735" s="380" t="s">
        <v>782</v>
      </c>
      <c r="G3735" s="380" t="s">
        <v>1267</v>
      </c>
      <c r="H3735" s="380" t="s">
        <v>771</v>
      </c>
      <c r="I3735" s="380" t="s">
        <v>784</v>
      </c>
      <c r="J3735" s="380" t="s">
        <v>773</v>
      </c>
      <c r="K3735" s="381">
        <v>0.0</v>
      </c>
      <c r="L3735" s="382">
        <v>1.0</v>
      </c>
    </row>
    <row r="3736">
      <c r="A3736" s="380" t="s">
        <v>4599</v>
      </c>
      <c r="B3736" s="380" t="str">
        <f>IFERROR(__xludf.DUMMYFUNCTION("""COMPUTED_VALUE"""),"Destornillador Estre 3/16 X 6 Tb")</f>
        <v>Destornillador Estre 3/16 X 6 Tb</v>
      </c>
      <c r="C3736" s="380" t="str">
        <f>IFERROR(__xludf.DUMMYFUNCTION("""COMPUTED_VALUE"""),"50001363")</f>
        <v>50001363</v>
      </c>
      <c r="D3736" s="380" t="s">
        <v>767</v>
      </c>
      <c r="E3736" s="380" t="s">
        <v>781</v>
      </c>
      <c r="F3736" s="380" t="s">
        <v>782</v>
      </c>
      <c r="G3736" s="380" t="s">
        <v>1267</v>
      </c>
      <c r="H3736" s="380" t="s">
        <v>771</v>
      </c>
      <c r="I3736" s="380" t="s">
        <v>784</v>
      </c>
      <c r="J3736" s="380" t="s">
        <v>773</v>
      </c>
      <c r="K3736" s="381">
        <v>0.0</v>
      </c>
      <c r="L3736" s="382">
        <v>1.0</v>
      </c>
    </row>
    <row r="3737">
      <c r="A3737" s="380" t="s">
        <v>4600</v>
      </c>
      <c r="B3737" s="380" t="str">
        <f>IFERROR(__xludf.DUMMYFUNCTION("""COMPUTED_VALUE"""),"Destornillador Estre 1/4 X 4 T B")</f>
        <v>Destornillador Estre 1/4 X 4 T B</v>
      </c>
      <c r="C3737" s="380" t="str">
        <f>IFERROR(__xludf.DUMMYFUNCTION("""COMPUTED_VALUE"""),"50001364")</f>
        <v>50001364</v>
      </c>
      <c r="D3737" s="380" t="s">
        <v>767</v>
      </c>
      <c r="E3737" s="380" t="s">
        <v>781</v>
      </c>
      <c r="F3737" s="380" t="s">
        <v>782</v>
      </c>
      <c r="G3737" s="380" t="s">
        <v>1267</v>
      </c>
      <c r="H3737" s="380" t="s">
        <v>771</v>
      </c>
      <c r="I3737" s="380" t="s">
        <v>784</v>
      </c>
      <c r="J3737" s="380" t="s">
        <v>773</v>
      </c>
      <c r="K3737" s="381">
        <v>0.0</v>
      </c>
      <c r="L3737" s="382">
        <v>1.0</v>
      </c>
    </row>
    <row r="3738">
      <c r="A3738" s="380" t="s">
        <v>4601</v>
      </c>
      <c r="B3738" s="380" t="str">
        <f>IFERROR(__xludf.DUMMYFUNCTION("""COMPUTED_VALUE"""),"Adaptador Tapa Radiador Nkr Svt26229")</f>
        <v>Adaptador Tapa Radiador Nkr Svt26229</v>
      </c>
      <c r="C3738" s="380" t="str">
        <f>IFERROR(__xludf.DUMMYFUNCTION("""COMPUTED_VALUE"""),"50001365")</f>
        <v>50001365</v>
      </c>
      <c r="D3738" s="380" t="s">
        <v>767</v>
      </c>
      <c r="E3738" s="380" t="s">
        <v>781</v>
      </c>
      <c r="F3738" s="380" t="s">
        <v>782</v>
      </c>
      <c r="G3738" s="380" t="s">
        <v>1267</v>
      </c>
      <c r="H3738" s="380" t="s">
        <v>771</v>
      </c>
      <c r="I3738" s="380" t="s">
        <v>784</v>
      </c>
      <c r="J3738" s="380" t="s">
        <v>773</v>
      </c>
      <c r="K3738" s="381">
        <v>0.0</v>
      </c>
      <c r="L3738" s="382">
        <v>1.0</v>
      </c>
    </row>
    <row r="3739">
      <c r="A3739" s="380" t="s">
        <v>4602</v>
      </c>
      <c r="B3739" s="380" t="str">
        <f>IFERROR(__xludf.DUMMYFUNCTION("""COMPUTED_VALUE"""),"Porta Electrodo Jackson 300amp 300 Amp")</f>
        <v>Porta Electrodo Jackson 300amp 300 Amp</v>
      </c>
      <c r="C3739" s="380" t="str">
        <f>IFERROR(__xludf.DUMMYFUNCTION("""COMPUTED_VALUE"""),"50001366")</f>
        <v>50001366</v>
      </c>
      <c r="D3739" s="380" t="s">
        <v>767</v>
      </c>
      <c r="E3739" s="380" t="s">
        <v>781</v>
      </c>
      <c r="F3739" s="380" t="s">
        <v>782</v>
      </c>
      <c r="G3739" s="380" t="s">
        <v>1267</v>
      </c>
      <c r="H3739" s="380" t="s">
        <v>771</v>
      </c>
      <c r="I3739" s="380" t="s">
        <v>784</v>
      </c>
      <c r="J3739" s="380" t="s">
        <v>773</v>
      </c>
      <c r="K3739" s="381">
        <v>0.0</v>
      </c>
      <c r="L3739" s="382">
        <v>1.0</v>
      </c>
    </row>
    <row r="3740">
      <c r="A3740" s="380" t="s">
        <v>4603</v>
      </c>
      <c r="B3740" s="380" t="str">
        <f>IFERROR(__xludf.DUMMYFUNCTION("""COMPUTED_VALUE"""),"Profundimetro Llanta 34056454")</f>
        <v>Profundimetro Llanta 34056454</v>
      </c>
      <c r="C3740" s="380" t="str">
        <f>IFERROR(__xludf.DUMMYFUNCTION("""COMPUTED_VALUE"""),"50001367")</f>
        <v>50001367</v>
      </c>
      <c r="D3740" s="380" t="s">
        <v>767</v>
      </c>
      <c r="E3740" s="380" t="s">
        <v>781</v>
      </c>
      <c r="F3740" s="380" t="s">
        <v>782</v>
      </c>
      <c r="G3740" s="380" t="s">
        <v>1267</v>
      </c>
      <c r="H3740" s="380" t="s">
        <v>771</v>
      </c>
      <c r="I3740" s="380" t="s">
        <v>784</v>
      </c>
      <c r="J3740" s="380" t="s">
        <v>773</v>
      </c>
      <c r="K3740" s="381">
        <v>41887.0</v>
      </c>
      <c r="L3740" s="382">
        <v>1.0</v>
      </c>
    </row>
    <row r="3741">
      <c r="A3741" s="380" t="s">
        <v>4604</v>
      </c>
      <c r="B3741" s="380" t="str">
        <f>IFERROR(__xludf.DUMMYFUNCTION("""COMPUTED_VALUE"""),"Probador Cable De Red")</f>
        <v>Probador Cable De Red</v>
      </c>
      <c r="C3741" s="380" t="str">
        <f>IFERROR(__xludf.DUMMYFUNCTION("""COMPUTED_VALUE"""),"50001368")</f>
        <v>50001368</v>
      </c>
      <c r="D3741" s="380" t="s">
        <v>767</v>
      </c>
      <c r="E3741" s="380" t="s">
        <v>781</v>
      </c>
      <c r="F3741" s="380" t="s">
        <v>782</v>
      </c>
      <c r="G3741" s="380" t="s">
        <v>1267</v>
      </c>
      <c r="H3741" s="380" t="s">
        <v>771</v>
      </c>
      <c r="I3741" s="380" t="s">
        <v>784</v>
      </c>
      <c r="J3741" s="380" t="s">
        <v>773</v>
      </c>
      <c r="K3741" s="381">
        <v>0.0</v>
      </c>
      <c r="L3741" s="382">
        <v>1.0</v>
      </c>
    </row>
    <row r="3742">
      <c r="A3742" s="380" t="s">
        <v>4605</v>
      </c>
      <c r="B3742" s="380" t="str">
        <f>IFERROR(__xludf.DUMMYFUNCTION("""COMPUTED_VALUE"""),"Kit Herramientas Soporte Sistemas")</f>
        <v>Kit Herramientas Soporte Sistemas</v>
      </c>
      <c r="C3742" s="380" t="str">
        <f>IFERROR(__xludf.DUMMYFUNCTION("""COMPUTED_VALUE"""),"50001369")</f>
        <v>50001369</v>
      </c>
      <c r="D3742" s="380" t="s">
        <v>767</v>
      </c>
      <c r="E3742" s="380" t="s">
        <v>781</v>
      </c>
      <c r="F3742" s="380" t="s">
        <v>782</v>
      </c>
      <c r="G3742" s="380" t="s">
        <v>1267</v>
      </c>
      <c r="H3742" s="380" t="s">
        <v>771</v>
      </c>
      <c r="I3742" s="380" t="s">
        <v>784</v>
      </c>
      <c r="J3742" s="380" t="s">
        <v>773</v>
      </c>
      <c r="K3742" s="381">
        <v>0.0</v>
      </c>
      <c r="L3742" s="382">
        <v>1.0</v>
      </c>
    </row>
    <row r="3743">
      <c r="A3743" s="380" t="s">
        <v>4606</v>
      </c>
      <c r="B3743" s="380" t="str">
        <f>IFERROR(__xludf.DUMMYFUNCTION("""COMPUTED_VALUE"""),"Palanca Para Bajar Repuesto 9231100180")</f>
        <v>Palanca Para Bajar Repuesto 9231100180</v>
      </c>
      <c r="C3743" s="380" t="str">
        <f>IFERROR(__xludf.DUMMYFUNCTION("""COMPUTED_VALUE"""),"50001370")</f>
        <v>50001370</v>
      </c>
      <c r="D3743" s="380" t="s">
        <v>767</v>
      </c>
      <c r="E3743" s="380" t="s">
        <v>781</v>
      </c>
      <c r="F3743" s="380" t="s">
        <v>782</v>
      </c>
      <c r="G3743" s="380" t="s">
        <v>1267</v>
      </c>
      <c r="H3743" s="380" t="s">
        <v>771</v>
      </c>
      <c r="I3743" s="380" t="s">
        <v>784</v>
      </c>
      <c r="J3743" s="380" t="s">
        <v>773</v>
      </c>
      <c r="K3743" s="381">
        <v>0.0</v>
      </c>
      <c r="L3743" s="382">
        <v>1.0</v>
      </c>
    </row>
    <row r="3744">
      <c r="A3744" s="380" t="s">
        <v>4607</v>
      </c>
      <c r="B3744" s="380" t="str">
        <f>IFERROR(__xludf.DUMMYFUNCTION("""COMPUTED_VALUE"""),"Grab Grabador Electrico P. Carburo 290aa")</f>
        <v>Grab Grabador Electrico P. Carburo 290aa</v>
      </c>
      <c r="C3744" s="380" t="str">
        <f>IFERROR(__xludf.DUMMYFUNCTION("""COMPUTED_VALUE"""),"50001371")</f>
        <v>50001371</v>
      </c>
      <c r="D3744" s="380" t="s">
        <v>767</v>
      </c>
      <c r="E3744" s="380" t="s">
        <v>781</v>
      </c>
      <c r="F3744" s="380" t="s">
        <v>782</v>
      </c>
      <c r="G3744" s="380" t="s">
        <v>1267</v>
      </c>
      <c r="H3744" s="380" t="s">
        <v>771</v>
      </c>
      <c r="I3744" s="380" t="s">
        <v>784</v>
      </c>
      <c r="J3744" s="380" t="s">
        <v>773</v>
      </c>
      <c r="K3744" s="381">
        <v>0.0</v>
      </c>
      <c r="L3744" s="382">
        <v>1.0</v>
      </c>
    </row>
    <row r="3745">
      <c r="A3745" s="380" t="s">
        <v>4608</v>
      </c>
      <c r="B3745" s="380" t="str">
        <f>IFERROR(__xludf.DUMMYFUNCTION("""COMPUTED_VALUE"""),"Llave Allen Larga 5/8 Snapon")</f>
        <v>Llave Allen Larga 5/8 Snapon</v>
      </c>
      <c r="C3745" s="380" t="str">
        <f>IFERROR(__xludf.DUMMYFUNCTION("""COMPUTED_VALUE"""),"50001373")</f>
        <v>50001373</v>
      </c>
      <c r="D3745" s="380" t="s">
        <v>767</v>
      </c>
      <c r="E3745" s="380" t="s">
        <v>781</v>
      </c>
      <c r="F3745" s="380" t="s">
        <v>782</v>
      </c>
      <c r="G3745" s="380" t="s">
        <v>1267</v>
      </c>
      <c r="H3745" s="380" t="s">
        <v>771</v>
      </c>
      <c r="I3745" s="380" t="s">
        <v>784</v>
      </c>
      <c r="J3745" s="380" t="s">
        <v>773</v>
      </c>
      <c r="K3745" s="381">
        <v>0.0</v>
      </c>
      <c r="L3745" s="382">
        <v>1.0</v>
      </c>
    </row>
    <row r="3746">
      <c r="A3746" s="380" t="s">
        <v>4609</v>
      </c>
      <c r="B3746" s="380" t="str">
        <f>IFERROR(__xludf.DUMMYFUNCTION("""COMPUTED_VALUE"""),"Kit Para Medir El Ph")</f>
        <v>Kit Para Medir El Ph</v>
      </c>
      <c r="C3746" s="380" t="str">
        <f>IFERROR(__xludf.DUMMYFUNCTION("""COMPUTED_VALUE"""),"50001374")</f>
        <v>50001374</v>
      </c>
      <c r="D3746" s="380" t="s">
        <v>767</v>
      </c>
      <c r="E3746" s="380" t="s">
        <v>781</v>
      </c>
      <c r="F3746" s="380" t="s">
        <v>782</v>
      </c>
      <c r="G3746" s="380" t="s">
        <v>1267</v>
      </c>
      <c r="H3746" s="380" t="s">
        <v>771</v>
      </c>
      <c r="I3746" s="380" t="s">
        <v>784</v>
      </c>
      <c r="J3746" s="380" t="s">
        <v>773</v>
      </c>
      <c r="K3746" s="381">
        <v>0.0</v>
      </c>
      <c r="L3746" s="382">
        <v>1.0</v>
      </c>
    </row>
    <row r="3747">
      <c r="A3747" s="380" t="s">
        <v>4610</v>
      </c>
      <c r="B3747" s="380" t="str">
        <f>IFERROR(__xludf.DUMMYFUNCTION("""COMPUTED_VALUE"""),"Medidor De Ph Digital H198103")</f>
        <v>Medidor De Ph Digital H198103</v>
      </c>
      <c r="C3747" s="380" t="str">
        <f>IFERROR(__xludf.DUMMYFUNCTION("""COMPUTED_VALUE"""),"50001375")</f>
        <v>50001375</v>
      </c>
      <c r="D3747" s="380" t="s">
        <v>767</v>
      </c>
      <c r="E3747" s="380" t="s">
        <v>781</v>
      </c>
      <c r="F3747" s="380" t="s">
        <v>782</v>
      </c>
      <c r="G3747" s="380" t="s">
        <v>1267</v>
      </c>
      <c r="H3747" s="380" t="s">
        <v>771</v>
      </c>
      <c r="I3747" s="380" t="s">
        <v>784</v>
      </c>
      <c r="J3747" s="380" t="s">
        <v>773</v>
      </c>
      <c r="K3747" s="381">
        <v>0.0</v>
      </c>
      <c r="L3747" s="382">
        <v>1.0</v>
      </c>
    </row>
    <row r="3748">
      <c r="A3748" s="380" t="s">
        <v>4611</v>
      </c>
      <c r="B3748" s="380" t="str">
        <f>IFERROR(__xludf.DUMMYFUNCTION("""COMPUTED_VALUE"""),"Vasija Plastico De 1000ml")</f>
        <v>Vasija Plastico De 1000ml</v>
      </c>
      <c r="C3748" s="380" t="str">
        <f>IFERROR(__xludf.DUMMYFUNCTION("""COMPUTED_VALUE"""),"50001376")</f>
        <v>50001376</v>
      </c>
      <c r="D3748" s="380" t="s">
        <v>767</v>
      </c>
      <c r="E3748" s="380" t="s">
        <v>781</v>
      </c>
      <c r="F3748" s="380" t="s">
        <v>782</v>
      </c>
      <c r="G3748" s="380" t="s">
        <v>1267</v>
      </c>
      <c r="H3748" s="380" t="s">
        <v>771</v>
      </c>
      <c r="I3748" s="380" t="s">
        <v>784</v>
      </c>
      <c r="J3748" s="380" t="s">
        <v>773</v>
      </c>
      <c r="K3748" s="381">
        <v>0.0</v>
      </c>
      <c r="L3748" s="382">
        <v>1.0</v>
      </c>
    </row>
    <row r="3749">
      <c r="A3749" s="380" t="s">
        <v>4612</v>
      </c>
      <c r="B3749" s="380" t="str">
        <f>IFERROR(__xludf.DUMMYFUNCTION("""COMPUTED_VALUE"""),"Palanca Gato Llanta 60368240")</f>
        <v>Palanca Gato Llanta 60368240</v>
      </c>
      <c r="C3749" s="380" t="str">
        <f>IFERROR(__xludf.DUMMYFUNCTION("""COMPUTED_VALUE"""),"50001377")</f>
        <v>50001377</v>
      </c>
      <c r="D3749" s="380" t="s">
        <v>767</v>
      </c>
      <c r="E3749" s="380" t="s">
        <v>781</v>
      </c>
      <c r="F3749" s="380" t="s">
        <v>782</v>
      </c>
      <c r="G3749" s="380" t="s">
        <v>1267</v>
      </c>
      <c r="H3749" s="380" t="s">
        <v>771</v>
      </c>
      <c r="I3749" s="380" t="s">
        <v>784</v>
      </c>
      <c r="J3749" s="380" t="s">
        <v>773</v>
      </c>
      <c r="K3749" s="381">
        <v>0.0</v>
      </c>
      <c r="L3749" s="382">
        <v>1.0</v>
      </c>
    </row>
    <row r="3750">
      <c r="A3750" s="380" t="s">
        <v>4613</v>
      </c>
      <c r="B3750" s="380" t="str">
        <f>IFERROR(__xludf.DUMMYFUNCTION("""COMPUTED_VALUE"""),"Punta Estrella Ph1-5/16x3")</f>
        <v>Punta Estrella Ph1-5/16x3</v>
      </c>
      <c r="C3750" s="380" t="str">
        <f>IFERROR(__xludf.DUMMYFUNCTION("""COMPUTED_VALUE"""),"50001378")</f>
        <v>50001378</v>
      </c>
      <c r="D3750" s="380" t="s">
        <v>767</v>
      </c>
      <c r="E3750" s="380" t="s">
        <v>781</v>
      </c>
      <c r="F3750" s="380" t="s">
        <v>782</v>
      </c>
      <c r="G3750" s="380" t="s">
        <v>1267</v>
      </c>
      <c r="H3750" s="380" t="s">
        <v>771</v>
      </c>
      <c r="I3750" s="380" t="s">
        <v>784</v>
      </c>
      <c r="J3750" s="380" t="s">
        <v>773</v>
      </c>
      <c r="K3750" s="381">
        <v>0.0</v>
      </c>
      <c r="L3750" s="382">
        <v>1.0</v>
      </c>
    </row>
    <row r="3751">
      <c r="A3751" s="380" t="s">
        <v>4614</v>
      </c>
      <c r="B3751" s="380" t="str">
        <f>IFERROR(__xludf.DUMMYFUNCTION("""COMPUTED_VALUE"""),"Punta Estrella Ph2-5/16x1")</f>
        <v>Punta Estrella Ph2-5/16x1</v>
      </c>
      <c r="C3751" s="380" t="str">
        <f>IFERROR(__xludf.DUMMYFUNCTION("""COMPUTED_VALUE"""),"50001379")</f>
        <v>50001379</v>
      </c>
      <c r="D3751" s="380" t="s">
        <v>767</v>
      </c>
      <c r="E3751" s="380" t="s">
        <v>781</v>
      </c>
      <c r="F3751" s="380" t="s">
        <v>782</v>
      </c>
      <c r="G3751" s="380" t="s">
        <v>1267</v>
      </c>
      <c r="H3751" s="380" t="s">
        <v>771</v>
      </c>
      <c r="I3751" s="380" t="s">
        <v>784</v>
      </c>
      <c r="J3751" s="380" t="s">
        <v>773</v>
      </c>
      <c r="K3751" s="381">
        <v>0.0</v>
      </c>
      <c r="L3751" s="382">
        <v>1.0</v>
      </c>
    </row>
    <row r="3752">
      <c r="A3752" s="380" t="s">
        <v>4615</v>
      </c>
      <c r="B3752" s="380" t="str">
        <f>IFERROR(__xludf.DUMMYFUNCTION("""COMPUTED_VALUE"""),"Llave Filtro Cinta Metalica Tx-53500")</f>
        <v>Llave Filtro Cinta Metalica Tx-53500</v>
      </c>
      <c r="C3752" s="380" t="str">
        <f>IFERROR(__xludf.DUMMYFUNCTION("""COMPUTED_VALUE"""),"50001380")</f>
        <v>50001380</v>
      </c>
      <c r="D3752" s="380" t="s">
        <v>767</v>
      </c>
      <c r="E3752" s="380" t="s">
        <v>781</v>
      </c>
      <c r="F3752" s="380" t="s">
        <v>782</v>
      </c>
      <c r="G3752" s="380" t="s">
        <v>1267</v>
      </c>
      <c r="H3752" s="380" t="s">
        <v>771</v>
      </c>
      <c r="I3752" s="380" t="s">
        <v>784</v>
      </c>
      <c r="J3752" s="380" t="s">
        <v>773</v>
      </c>
      <c r="K3752" s="381">
        <v>0.0</v>
      </c>
      <c r="L3752" s="382">
        <v>1.0</v>
      </c>
    </row>
    <row r="3753">
      <c r="A3753" s="380" t="s">
        <v>4616</v>
      </c>
      <c r="B3753" s="380" t="str">
        <f>IFERROR(__xludf.DUMMYFUNCTION("""COMPUTED_VALUE"""),"Machete Incolma 18""")</f>
        <v>Machete Incolma 18"</v>
      </c>
      <c r="C3753" s="380" t="str">
        <f>IFERROR(__xludf.DUMMYFUNCTION("""COMPUTED_VALUE"""),"50001381")</f>
        <v>50001381</v>
      </c>
      <c r="D3753" s="380" t="s">
        <v>767</v>
      </c>
      <c r="E3753" s="380" t="s">
        <v>781</v>
      </c>
      <c r="F3753" s="380" t="s">
        <v>782</v>
      </c>
      <c r="G3753" s="380" t="s">
        <v>1267</v>
      </c>
      <c r="H3753" s="380" t="s">
        <v>771</v>
      </c>
      <c r="I3753" s="380" t="s">
        <v>784</v>
      </c>
      <c r="J3753" s="380" t="s">
        <v>773</v>
      </c>
      <c r="K3753" s="381">
        <v>0.0</v>
      </c>
      <c r="L3753" s="382">
        <v>1.0</v>
      </c>
    </row>
    <row r="3754">
      <c r="A3754" s="380" t="s">
        <v>4617</v>
      </c>
      <c r="B3754" s="380" t="str">
        <f>IFERROR(__xludf.DUMMYFUNCTION("""COMPUTED_VALUE"""),"Copa Larga Cuad 3/8 X 12mm Tb")</f>
        <v>Copa Larga Cuad 3/8 X 12mm Tb</v>
      </c>
      <c r="C3754" s="380" t="str">
        <f>IFERROR(__xludf.DUMMYFUNCTION("""COMPUTED_VALUE"""),"50001382")</f>
        <v>50001382</v>
      </c>
      <c r="D3754" s="380" t="s">
        <v>767</v>
      </c>
      <c r="E3754" s="380" t="s">
        <v>781</v>
      </c>
      <c r="F3754" s="380" t="s">
        <v>782</v>
      </c>
      <c r="G3754" s="380" t="s">
        <v>1267</v>
      </c>
      <c r="H3754" s="380" t="s">
        <v>771</v>
      </c>
      <c r="I3754" s="380" t="s">
        <v>784</v>
      </c>
      <c r="J3754" s="380" t="s">
        <v>773</v>
      </c>
      <c r="K3754" s="381">
        <v>0.0</v>
      </c>
      <c r="L3754" s="382">
        <v>1.0</v>
      </c>
    </row>
    <row r="3755">
      <c r="A3755" s="380" t="s">
        <v>4618</v>
      </c>
      <c r="B3755" s="380" t="str">
        <f>IFERROR(__xludf.DUMMYFUNCTION("""COMPUTED_VALUE"""),"Cuadrante De 1/2 Para Adaptador")</f>
        <v>Cuadrante De 1/2 Para Adaptador</v>
      </c>
      <c r="C3755" s="380" t="str">
        <f>IFERROR(__xludf.DUMMYFUNCTION("""COMPUTED_VALUE"""),"50001383")</f>
        <v>50001383</v>
      </c>
      <c r="D3755" s="380" t="s">
        <v>767</v>
      </c>
      <c r="E3755" s="380" t="s">
        <v>781</v>
      </c>
      <c r="F3755" s="380" t="s">
        <v>782</v>
      </c>
      <c r="G3755" s="380" t="s">
        <v>1267</v>
      </c>
      <c r="H3755" s="380" t="s">
        <v>771</v>
      </c>
      <c r="I3755" s="380" t="s">
        <v>784</v>
      </c>
      <c r="J3755" s="380" t="s">
        <v>773</v>
      </c>
      <c r="K3755" s="381">
        <v>0.0</v>
      </c>
      <c r="L3755" s="382">
        <v>1.0</v>
      </c>
    </row>
    <row r="3756">
      <c r="A3756" s="380" t="s">
        <v>4619</v>
      </c>
      <c r="B3756" s="380" t="str">
        <f>IFERROR(__xludf.DUMMYFUNCTION("""COMPUTED_VALUE"""),"Copa La Copa Larga Cdte 3/4 X 15/16 T.A.")</f>
        <v>Copa La Copa Larga Cdte 3/4 X 15/16 T.A.</v>
      </c>
      <c r="C3756" s="380" t="str">
        <f>IFERROR(__xludf.DUMMYFUNCTION("""COMPUTED_VALUE"""),"50001384")</f>
        <v>50001384</v>
      </c>
      <c r="D3756" s="380" t="s">
        <v>767</v>
      </c>
      <c r="E3756" s="380" t="s">
        <v>781</v>
      </c>
      <c r="F3756" s="380" t="s">
        <v>782</v>
      </c>
      <c r="G3756" s="380" t="s">
        <v>1267</v>
      </c>
      <c r="H3756" s="380" t="s">
        <v>771</v>
      </c>
      <c r="I3756" s="380" t="s">
        <v>784</v>
      </c>
      <c r="J3756" s="380" t="s">
        <v>773</v>
      </c>
      <c r="K3756" s="381">
        <v>0.0</v>
      </c>
      <c r="L3756" s="382">
        <v>1.0</v>
      </c>
    </row>
    <row r="3757">
      <c r="A3757" s="380" t="s">
        <v>4620</v>
      </c>
      <c r="B3757" s="380" t="str">
        <f>IFERROR(__xludf.DUMMYFUNCTION("""COMPUTED_VALUE"""),"Copa Pun Hexag Cuad 3/8x6mm Tb")</f>
        <v>Copa Pun Hexag Cuad 3/8x6mm Tb</v>
      </c>
      <c r="C3757" s="380" t="str">
        <f>IFERROR(__xludf.DUMMYFUNCTION("""COMPUTED_VALUE"""),"50001385")</f>
        <v>50001385</v>
      </c>
      <c r="D3757" s="380" t="s">
        <v>767</v>
      </c>
      <c r="E3757" s="380" t="s">
        <v>781</v>
      </c>
      <c r="F3757" s="380" t="s">
        <v>782</v>
      </c>
      <c r="G3757" s="380" t="s">
        <v>1267</v>
      </c>
      <c r="H3757" s="380" t="s">
        <v>771</v>
      </c>
      <c r="I3757" s="380" t="s">
        <v>784</v>
      </c>
      <c r="J3757" s="380" t="s">
        <v>773</v>
      </c>
      <c r="K3757" s="381">
        <v>0.0</v>
      </c>
      <c r="L3757" s="382">
        <v>1.0</v>
      </c>
    </row>
    <row r="3758">
      <c r="A3758" s="380" t="s">
        <v>4621</v>
      </c>
      <c r="B3758" s="380" t="str">
        <f>IFERROR(__xludf.DUMMYFUNCTION("""COMPUTED_VALUE"""),"Llave Pernos 1.5/8 X 3/ Mazda 1 5/8 X 3/")</f>
        <v>Llave Pernos 1.5/8 X 3/ Mazda 1 5/8 X 3/</v>
      </c>
      <c r="C3758" s="380" t="str">
        <f>IFERROR(__xludf.DUMMYFUNCTION("""COMPUTED_VALUE"""),"50001386")</f>
        <v>50001386</v>
      </c>
      <c r="D3758" s="380" t="s">
        <v>767</v>
      </c>
      <c r="E3758" s="380" t="s">
        <v>781</v>
      </c>
      <c r="F3758" s="380" t="s">
        <v>782</v>
      </c>
      <c r="G3758" s="380" t="s">
        <v>1267</v>
      </c>
      <c r="H3758" s="380" t="s">
        <v>771</v>
      </c>
      <c r="I3758" s="380" t="s">
        <v>784</v>
      </c>
      <c r="J3758" s="380" t="s">
        <v>773</v>
      </c>
      <c r="K3758" s="381">
        <v>0.0</v>
      </c>
      <c r="L3758" s="382">
        <v>1.0</v>
      </c>
    </row>
    <row r="3759">
      <c r="A3759" s="380" t="s">
        <v>4622</v>
      </c>
      <c r="B3759" s="380" t="str">
        <f>IFERROR(__xludf.DUMMYFUNCTION("""COMPUTED_VALUE"""),"Llave FILT Cinta Metali Surtek Tk-107315")</f>
        <v>Llave FILT Cinta Metali Surtek Tk-107315</v>
      </c>
      <c r="C3759" s="380" t="str">
        <f>IFERROR(__xludf.DUMMYFUNCTION("""COMPUTED_VALUE"""),"50001387")</f>
        <v>50001387</v>
      </c>
      <c r="D3759" s="380" t="s">
        <v>767</v>
      </c>
      <c r="E3759" s="380" t="s">
        <v>781</v>
      </c>
      <c r="F3759" s="380" t="s">
        <v>782</v>
      </c>
      <c r="G3759" s="380" t="s">
        <v>1267</v>
      </c>
      <c r="H3759" s="380" t="s">
        <v>771</v>
      </c>
      <c r="I3759" s="380" t="s">
        <v>784</v>
      </c>
      <c r="J3759" s="380" t="s">
        <v>773</v>
      </c>
      <c r="K3759" s="381">
        <v>0.0</v>
      </c>
      <c r="L3759" s="382">
        <v>1.0</v>
      </c>
    </row>
    <row r="3760">
      <c r="A3760" s="380" t="s">
        <v>4623</v>
      </c>
      <c r="B3760" s="380" t="str">
        <f>IFERROR(__xludf.DUMMYFUNCTION("""COMPUTED_VALUE"""),"Llave Pernos Art 1 1/ Germany 1 1/16*1 1")</f>
        <v>Llave Pernos Art 1 1/ Germany 1 1/16*1 1</v>
      </c>
      <c r="C3760" s="380" t="str">
        <f>IFERROR(__xludf.DUMMYFUNCTION("""COMPUTED_VALUE"""),"50001388")</f>
        <v>50001388</v>
      </c>
      <c r="D3760" s="380" t="s">
        <v>767</v>
      </c>
      <c r="E3760" s="380" t="s">
        <v>781</v>
      </c>
      <c r="F3760" s="380" t="s">
        <v>782</v>
      </c>
      <c r="G3760" s="380" t="s">
        <v>1267</v>
      </c>
      <c r="H3760" s="380" t="s">
        <v>771</v>
      </c>
      <c r="I3760" s="380" t="s">
        <v>784</v>
      </c>
      <c r="J3760" s="380" t="s">
        <v>773</v>
      </c>
      <c r="K3760" s="381">
        <v>0.0</v>
      </c>
      <c r="L3760" s="382">
        <v>1.0</v>
      </c>
    </row>
    <row r="3761">
      <c r="A3761" s="380" t="s">
        <v>4624</v>
      </c>
      <c r="B3761" s="380" t="str">
        <f>IFERROR(__xludf.DUMMYFUNCTION("""COMPUTED_VALUE"""),"Reduccion Impacto Cuadradante 3/4 X 1""")</f>
        <v>Reduccion Impacto Cuadradante 3/4 X 1"</v>
      </c>
      <c r="C3761" s="380" t="str">
        <f>IFERROR(__xludf.DUMMYFUNCTION("""COMPUTED_VALUE"""),"50001389")</f>
        <v>50001389</v>
      </c>
      <c r="D3761" s="380" t="s">
        <v>767</v>
      </c>
      <c r="E3761" s="380" t="s">
        <v>781</v>
      </c>
      <c r="F3761" s="380" t="s">
        <v>782</v>
      </c>
      <c r="G3761" s="380" t="s">
        <v>1267</v>
      </c>
      <c r="H3761" s="380" t="s">
        <v>771</v>
      </c>
      <c r="I3761" s="380" t="s">
        <v>784</v>
      </c>
      <c r="J3761" s="380" t="s">
        <v>773</v>
      </c>
      <c r="K3761" s="381">
        <v>0.0</v>
      </c>
      <c r="L3761" s="382">
        <v>1.0</v>
      </c>
    </row>
    <row r="3762">
      <c r="A3762" s="380" t="s">
        <v>4625</v>
      </c>
      <c r="B3762" s="380" t="str">
        <f>IFERROR(__xludf.DUMMYFUNCTION("""COMPUTED_VALUE"""),"Palaca Fuerza Cuad 3/4 X 20")</f>
        <v>Palaca Fuerza Cuad 3/4 X 20</v>
      </c>
      <c r="C3762" s="380" t="str">
        <f>IFERROR(__xludf.DUMMYFUNCTION("""COMPUTED_VALUE"""),"50001390")</f>
        <v>50001390</v>
      </c>
      <c r="D3762" s="380" t="s">
        <v>767</v>
      </c>
      <c r="E3762" s="380" t="s">
        <v>781</v>
      </c>
      <c r="F3762" s="380" t="s">
        <v>782</v>
      </c>
      <c r="G3762" s="380" t="s">
        <v>1267</v>
      </c>
      <c r="H3762" s="380" t="s">
        <v>771</v>
      </c>
      <c r="I3762" s="380" t="s">
        <v>784</v>
      </c>
      <c r="J3762" s="380" t="s">
        <v>773</v>
      </c>
      <c r="K3762" s="381">
        <v>0.0</v>
      </c>
      <c r="L3762" s="382">
        <v>1.0</v>
      </c>
    </row>
    <row r="3763">
      <c r="A3763" s="380" t="s">
        <v>4626</v>
      </c>
      <c r="B3763" s="380" t="str">
        <f>IFERROR(__xludf.DUMMYFUNCTION("""COMPUTED_VALUE"""),"Copa Impacto Cuad 1"" X 2.1/4 Proto")</f>
        <v>Copa Impacto Cuad 1" X 2.1/4 Proto</v>
      </c>
      <c r="C3763" s="380" t="str">
        <f>IFERROR(__xludf.DUMMYFUNCTION("""COMPUTED_VALUE"""),"50001391")</f>
        <v>50001391</v>
      </c>
      <c r="D3763" s="380" t="s">
        <v>767</v>
      </c>
      <c r="E3763" s="380" t="s">
        <v>781</v>
      </c>
      <c r="F3763" s="380" t="s">
        <v>782</v>
      </c>
      <c r="G3763" s="380" t="s">
        <v>1267</v>
      </c>
      <c r="H3763" s="380" t="s">
        <v>771</v>
      </c>
      <c r="I3763" s="380" t="s">
        <v>784</v>
      </c>
      <c r="J3763" s="380" t="s">
        <v>773</v>
      </c>
      <c r="K3763" s="381">
        <v>0.0</v>
      </c>
      <c r="L3763" s="382">
        <v>1.0</v>
      </c>
    </row>
    <row r="3764">
      <c r="A3764" s="380" t="s">
        <v>4627</v>
      </c>
      <c r="B3764" s="380" t="str">
        <f>IFERROR(__xludf.DUMMYFUNCTION("""COMPUTED_VALUE"""),"Gato 20 Toneladas Oleoneumatico")</f>
        <v>Gato 20 Toneladas Oleoneumatico</v>
      </c>
      <c r="C3764" s="380" t="str">
        <f>IFERROR(__xludf.DUMMYFUNCTION("""COMPUTED_VALUE"""),"50001392")</f>
        <v>50001392</v>
      </c>
      <c r="D3764" s="380" t="s">
        <v>767</v>
      </c>
      <c r="E3764" s="380" t="s">
        <v>781</v>
      </c>
      <c r="F3764" s="380" t="s">
        <v>782</v>
      </c>
      <c r="G3764" s="380" t="s">
        <v>1267</v>
      </c>
      <c r="H3764" s="380" t="s">
        <v>771</v>
      </c>
      <c r="I3764" s="380" t="s">
        <v>784</v>
      </c>
      <c r="J3764" s="380" t="s">
        <v>773</v>
      </c>
      <c r="K3764" s="381">
        <v>0.0</v>
      </c>
      <c r="L3764" s="382">
        <v>1.0</v>
      </c>
    </row>
    <row r="3765">
      <c r="A3765" s="380" t="s">
        <v>4628</v>
      </c>
      <c r="B3765" s="380" t="str">
        <f>IFERROR(__xludf.DUMMYFUNCTION("""COMPUTED_VALUE"""),"Lupa O Lampara Lente Banco")</f>
        <v>Lupa O Lampara Lente Banco</v>
      </c>
      <c r="C3765" s="380" t="str">
        <f>IFERROR(__xludf.DUMMYFUNCTION("""COMPUTED_VALUE"""),"50001393")</f>
        <v>50001393</v>
      </c>
      <c r="D3765" s="380" t="s">
        <v>767</v>
      </c>
      <c r="E3765" s="380" t="s">
        <v>781</v>
      </c>
      <c r="F3765" s="380" t="s">
        <v>782</v>
      </c>
      <c r="G3765" s="380" t="s">
        <v>1267</v>
      </c>
      <c r="H3765" s="380" t="s">
        <v>771</v>
      </c>
      <c r="I3765" s="380" t="s">
        <v>784</v>
      </c>
      <c r="J3765" s="380" t="s">
        <v>773</v>
      </c>
      <c r="K3765" s="381">
        <v>0.0</v>
      </c>
      <c r="L3765" s="382">
        <v>1.0</v>
      </c>
    </row>
    <row r="3766">
      <c r="A3766" s="380" t="s">
        <v>4629</v>
      </c>
      <c r="B3766" s="380" t="str">
        <f>IFERROR(__xludf.DUMMYFUNCTION("""COMPUTED_VALUE"""),"Marcador De Metal 6082")</f>
        <v>Marcador De Metal 6082</v>
      </c>
      <c r="C3766" s="380" t="str">
        <f>IFERROR(__xludf.DUMMYFUNCTION("""COMPUTED_VALUE"""),"50001394")</f>
        <v>50001394</v>
      </c>
      <c r="D3766" s="380" t="s">
        <v>767</v>
      </c>
      <c r="E3766" s="380" t="s">
        <v>781</v>
      </c>
      <c r="F3766" s="380" t="s">
        <v>782</v>
      </c>
      <c r="G3766" s="380" t="s">
        <v>1267</v>
      </c>
      <c r="H3766" s="380" t="s">
        <v>771</v>
      </c>
      <c r="I3766" s="380" t="s">
        <v>784</v>
      </c>
      <c r="J3766" s="380" t="s">
        <v>773</v>
      </c>
      <c r="K3766" s="381">
        <v>0.0</v>
      </c>
      <c r="L3766" s="382">
        <v>1.0</v>
      </c>
    </row>
    <row r="3767">
      <c r="A3767" s="380" t="s">
        <v>4630</v>
      </c>
      <c r="B3767" s="380" t="str">
        <f>IFERROR(__xludf.DUMMYFUNCTION("""COMPUTED_VALUE"""),"Martillo De Bola De 1 A 2 Lbs 1 Y 2 Lbs")</f>
        <v>Martillo De Bola De 1 A 2 Lbs 1 Y 2 Lbs</v>
      </c>
      <c r="C3767" s="380" t="str">
        <f>IFERROR(__xludf.DUMMYFUNCTION("""COMPUTED_VALUE"""),"50001395")</f>
        <v>50001395</v>
      </c>
      <c r="D3767" s="380" t="s">
        <v>767</v>
      </c>
      <c r="E3767" s="380" t="s">
        <v>781</v>
      </c>
      <c r="F3767" s="380" t="s">
        <v>782</v>
      </c>
      <c r="G3767" s="380" t="s">
        <v>1267</v>
      </c>
      <c r="H3767" s="380" t="s">
        <v>771</v>
      </c>
      <c r="I3767" s="380" t="s">
        <v>784</v>
      </c>
      <c r="J3767" s="380" t="s">
        <v>773</v>
      </c>
      <c r="K3767" s="381">
        <v>0.0</v>
      </c>
      <c r="L3767" s="382">
        <v>1.0</v>
      </c>
    </row>
    <row r="3768">
      <c r="A3768" s="380" t="s">
        <v>4631</v>
      </c>
      <c r="B3768" s="380" t="str">
        <f>IFERROR(__xludf.DUMMYFUNCTION("""COMPUTED_VALUE"""),"Gato Tipo Zorra 3 Toneladas")</f>
        <v>Gato Tipo Zorra 3 Toneladas</v>
      </c>
      <c r="C3768" s="380" t="str">
        <f>IFERROR(__xludf.DUMMYFUNCTION("""COMPUTED_VALUE"""),"50001396")</f>
        <v>50001396</v>
      </c>
      <c r="D3768" s="380" t="s">
        <v>767</v>
      </c>
      <c r="E3768" s="380" t="s">
        <v>781</v>
      </c>
      <c r="F3768" s="380" t="s">
        <v>782</v>
      </c>
      <c r="G3768" s="380" t="s">
        <v>1267</v>
      </c>
      <c r="H3768" s="380" t="s">
        <v>771</v>
      </c>
      <c r="I3768" s="380" t="s">
        <v>784</v>
      </c>
      <c r="J3768" s="380" t="s">
        <v>773</v>
      </c>
      <c r="K3768" s="381">
        <v>0.0</v>
      </c>
      <c r="L3768" s="382">
        <v>1.0</v>
      </c>
    </row>
    <row r="3769">
      <c r="A3769" s="380" t="s">
        <v>4632</v>
      </c>
      <c r="B3769" s="380" t="str">
        <f>IFERROR(__xludf.DUMMYFUNCTION("""COMPUTED_VALUE"""),"Torre De Elevacion Vehiculos")</f>
        <v>Torre De Elevacion Vehiculos</v>
      </c>
      <c r="C3769" s="380" t="str">
        <f>IFERROR(__xludf.DUMMYFUNCTION("""COMPUTED_VALUE"""),"50001397")</f>
        <v>50001397</v>
      </c>
      <c r="D3769" s="380" t="s">
        <v>767</v>
      </c>
      <c r="E3769" s="380" t="s">
        <v>781</v>
      </c>
      <c r="F3769" s="380" t="s">
        <v>782</v>
      </c>
      <c r="G3769" s="380" t="s">
        <v>1267</v>
      </c>
      <c r="H3769" s="380" t="s">
        <v>771</v>
      </c>
      <c r="I3769" s="380" t="s">
        <v>784</v>
      </c>
      <c r="J3769" s="380" t="s">
        <v>773</v>
      </c>
      <c r="K3769" s="381">
        <v>0.0</v>
      </c>
      <c r="L3769" s="382">
        <v>1.0</v>
      </c>
    </row>
    <row r="3770">
      <c r="A3770" s="380" t="s">
        <v>4633</v>
      </c>
      <c r="B3770" s="380" t="str">
        <f>IFERROR(__xludf.DUMMYFUNCTION("""COMPUTED_VALUE"""),"Medidor De Torque Angular De 1/2 Tx9g108")</f>
        <v>Medidor De Torque Angular De 1/2 Tx9g108</v>
      </c>
      <c r="C3770" s="380" t="str">
        <f>IFERROR(__xludf.DUMMYFUNCTION("""COMPUTED_VALUE"""),"50001398")</f>
        <v>50001398</v>
      </c>
      <c r="D3770" s="380" t="s">
        <v>767</v>
      </c>
      <c r="E3770" s="380" t="s">
        <v>781</v>
      </c>
      <c r="F3770" s="380" t="s">
        <v>782</v>
      </c>
      <c r="G3770" s="380" t="s">
        <v>1267</v>
      </c>
      <c r="H3770" s="380" t="s">
        <v>771</v>
      </c>
      <c r="I3770" s="380" t="s">
        <v>784</v>
      </c>
      <c r="J3770" s="380" t="s">
        <v>773</v>
      </c>
      <c r="K3770" s="381">
        <v>0.0</v>
      </c>
      <c r="L3770" s="382">
        <v>1.0</v>
      </c>
    </row>
    <row r="3771">
      <c r="A3771" s="380" t="s">
        <v>4634</v>
      </c>
      <c r="B3771" s="380" t="str">
        <f>IFERROR(__xludf.DUMMYFUNCTION("""COMPUTED_VALUE"""),"Juego Copa Cuadrante 1/2 De 10 -22 Mm 14")</f>
        <v>Juego Copa Cuadrante 1/2 De 10 -22 Mm 14</v>
      </c>
      <c r="C3771" s="380" t="str">
        <f>IFERROR(__xludf.DUMMYFUNCTION("""COMPUTED_VALUE"""),"50001399")</f>
        <v>50001399</v>
      </c>
      <c r="D3771" s="380" t="s">
        <v>767</v>
      </c>
      <c r="E3771" s="380" t="s">
        <v>781</v>
      </c>
      <c r="F3771" s="380" t="s">
        <v>782</v>
      </c>
      <c r="G3771" s="380" t="s">
        <v>1267</v>
      </c>
      <c r="H3771" s="380" t="s">
        <v>771</v>
      </c>
      <c r="I3771" s="380" t="s">
        <v>784</v>
      </c>
      <c r="J3771" s="380" t="s">
        <v>773</v>
      </c>
      <c r="K3771" s="381">
        <v>0.0</v>
      </c>
      <c r="L3771" s="382">
        <v>1.0</v>
      </c>
    </row>
    <row r="3772">
      <c r="A3772" s="380" t="s">
        <v>4635</v>
      </c>
      <c r="B3772" s="380" t="str">
        <f>IFERROR(__xludf.DUMMYFUNCTION("""COMPUTED_VALUE"""),"Cable Skypatrol Cbl072 Gps")</f>
        <v>Cable Skypatrol Cbl072 Gps</v>
      </c>
      <c r="C3772" s="380" t="str">
        <f>IFERROR(__xludf.DUMMYFUNCTION("""COMPUTED_VALUE"""),"50001400")</f>
        <v>50001400</v>
      </c>
      <c r="D3772" s="380" t="s">
        <v>767</v>
      </c>
      <c r="E3772" s="380" t="s">
        <v>781</v>
      </c>
      <c r="F3772" s="380" t="s">
        <v>782</v>
      </c>
      <c r="G3772" s="380" t="s">
        <v>1267</v>
      </c>
      <c r="H3772" s="380" t="s">
        <v>771</v>
      </c>
      <c r="I3772" s="380" t="s">
        <v>784</v>
      </c>
      <c r="J3772" s="380" t="s">
        <v>773</v>
      </c>
      <c r="K3772" s="381">
        <v>0.0</v>
      </c>
      <c r="L3772" s="382">
        <v>1.0</v>
      </c>
    </row>
    <row r="3773">
      <c r="A3773" s="380" t="s">
        <v>4636</v>
      </c>
      <c r="B3773" s="380" t="str">
        <f>IFERROR(__xludf.DUMMYFUNCTION("""COMPUTED_VALUE"""),"Kit Manometro Con Acoples 1/4 AIR Acondi")</f>
        <v>Kit Manometro Con Acoples 1/4 AIR Acondi</v>
      </c>
      <c r="C3773" s="380" t="str">
        <f>IFERROR(__xludf.DUMMYFUNCTION("""COMPUTED_VALUE"""),"50001401")</f>
        <v>50001401</v>
      </c>
      <c r="D3773" s="380" t="s">
        <v>767</v>
      </c>
      <c r="E3773" s="380" t="s">
        <v>781</v>
      </c>
      <c r="F3773" s="380" t="s">
        <v>782</v>
      </c>
      <c r="G3773" s="380" t="s">
        <v>1267</v>
      </c>
      <c r="H3773" s="380" t="s">
        <v>771</v>
      </c>
      <c r="I3773" s="380" t="s">
        <v>784</v>
      </c>
      <c r="J3773" s="380" t="s">
        <v>773</v>
      </c>
      <c r="K3773" s="381">
        <v>0.0</v>
      </c>
      <c r="L3773" s="382">
        <v>1.0</v>
      </c>
    </row>
    <row r="3774">
      <c r="A3774" s="380" t="s">
        <v>4637</v>
      </c>
      <c r="B3774" s="380" t="str">
        <f>IFERROR(__xludf.DUMMYFUNCTION("""COMPUTED_VALUE"""),"Llave Boca Fija 1/2 X 9/16 Tb Stanley")</f>
        <v>Llave Boca Fija 1/2 X 9/16 Tb Stanley</v>
      </c>
      <c r="C3774" s="380" t="str">
        <f>IFERROR(__xludf.DUMMYFUNCTION("""COMPUTED_VALUE"""),"50001402")</f>
        <v>50001402</v>
      </c>
      <c r="D3774" s="380" t="s">
        <v>767</v>
      </c>
      <c r="E3774" s="380" t="s">
        <v>781</v>
      </c>
      <c r="F3774" s="380" t="s">
        <v>782</v>
      </c>
      <c r="G3774" s="380" t="s">
        <v>1267</v>
      </c>
      <c r="H3774" s="380" t="s">
        <v>771</v>
      </c>
      <c r="I3774" s="380" t="s">
        <v>784</v>
      </c>
      <c r="J3774" s="380" t="s">
        <v>773</v>
      </c>
      <c r="K3774" s="381">
        <v>0.0</v>
      </c>
      <c r="L3774" s="382">
        <v>1.0</v>
      </c>
    </row>
    <row r="3775">
      <c r="A3775" s="380" t="s">
        <v>4638</v>
      </c>
      <c r="B3775" s="380" t="str">
        <f>IFERROR(__xludf.DUMMYFUNCTION("""COMPUTED_VALUE"""),"Llave De Tubo 10"" - 12"" Tipo B Stanley")</f>
        <v>Llave De Tubo 10" - 12" Tipo B Stanley</v>
      </c>
      <c r="C3775" s="380" t="str">
        <f>IFERROR(__xludf.DUMMYFUNCTION("""COMPUTED_VALUE"""),"50001403")</f>
        <v>50001403</v>
      </c>
      <c r="D3775" s="380" t="s">
        <v>767</v>
      </c>
      <c r="E3775" s="380" t="s">
        <v>781</v>
      </c>
      <c r="F3775" s="380" t="s">
        <v>782</v>
      </c>
      <c r="G3775" s="380" t="s">
        <v>1267</v>
      </c>
      <c r="H3775" s="380" t="s">
        <v>771</v>
      </c>
      <c r="I3775" s="380" t="s">
        <v>784</v>
      </c>
      <c r="J3775" s="380" t="s">
        <v>773</v>
      </c>
      <c r="K3775" s="381">
        <v>0.0</v>
      </c>
      <c r="L3775" s="382">
        <v>1.0</v>
      </c>
    </row>
    <row r="3776">
      <c r="A3776" s="380" t="s">
        <v>4639</v>
      </c>
      <c r="B3776" s="380" t="str">
        <f>IFERROR(__xludf.DUMMYFUNCTION("""COMPUTED_VALUE"""),"Llave Estrella 1/2 X 9/ Bahco 1/2 A 9/16")</f>
        <v>Llave Estrella 1/2 X 9/ Bahco 1/2 A 9/16</v>
      </c>
      <c r="C3776" s="380" t="str">
        <f>IFERROR(__xludf.DUMMYFUNCTION("""COMPUTED_VALUE"""),"50001404")</f>
        <v>50001404</v>
      </c>
      <c r="D3776" s="380" t="s">
        <v>767</v>
      </c>
      <c r="E3776" s="380" t="s">
        <v>781</v>
      </c>
      <c r="F3776" s="380" t="s">
        <v>782</v>
      </c>
      <c r="G3776" s="380" t="s">
        <v>1267</v>
      </c>
      <c r="H3776" s="380" t="s">
        <v>771</v>
      </c>
      <c r="I3776" s="380" t="s">
        <v>784</v>
      </c>
      <c r="J3776" s="380" t="s">
        <v>773</v>
      </c>
      <c r="K3776" s="381">
        <v>0.0</v>
      </c>
      <c r="L3776" s="382">
        <v>1.0</v>
      </c>
    </row>
    <row r="3777">
      <c r="A3777" s="380" t="s">
        <v>4640</v>
      </c>
      <c r="B3777" s="380" t="str">
        <f>IFERROR(__xludf.DUMMYFUNCTION("""COMPUTED_VALUE"""),"Llave Estrella 3/8 X 7/16 Tb Bahco")</f>
        <v>Llave Estrella 3/8 X 7/16 Tb Bahco</v>
      </c>
      <c r="C3777" s="380" t="str">
        <f>IFERROR(__xludf.DUMMYFUNCTION("""COMPUTED_VALUE"""),"50001405")</f>
        <v>50001405</v>
      </c>
      <c r="D3777" s="380" t="s">
        <v>767</v>
      </c>
      <c r="E3777" s="380" t="s">
        <v>781</v>
      </c>
      <c r="F3777" s="380" t="s">
        <v>782</v>
      </c>
      <c r="G3777" s="380" t="s">
        <v>1267</v>
      </c>
      <c r="H3777" s="380" t="s">
        <v>771</v>
      </c>
      <c r="I3777" s="380" t="s">
        <v>784</v>
      </c>
      <c r="J3777" s="380" t="s">
        <v>773</v>
      </c>
      <c r="K3777" s="381">
        <v>0.0</v>
      </c>
      <c r="L3777" s="382">
        <v>1.0</v>
      </c>
    </row>
    <row r="3778">
      <c r="A3778" s="380" t="s">
        <v>4641</v>
      </c>
      <c r="B3778" s="380" t="str">
        <f>IFERROR(__xludf.DUMMYFUNCTION("""COMPUTED_VALUE"""),"Llave Estrella 12 X 13mm Tipob Zubi-Hola")</f>
        <v>Llave Estrella 12 X 13mm Tipob Zubi-Hola</v>
      </c>
      <c r="C3778" s="380" t="str">
        <f>IFERROR(__xludf.DUMMYFUNCTION("""COMPUTED_VALUE"""),"50001406")</f>
        <v>50001406</v>
      </c>
      <c r="D3778" s="380" t="s">
        <v>767</v>
      </c>
      <c r="E3778" s="380" t="s">
        <v>781</v>
      </c>
      <c r="F3778" s="380" t="s">
        <v>782</v>
      </c>
      <c r="G3778" s="380" t="s">
        <v>1267</v>
      </c>
      <c r="H3778" s="380" t="s">
        <v>771</v>
      </c>
      <c r="I3778" s="380" t="s">
        <v>784</v>
      </c>
      <c r="J3778" s="380" t="s">
        <v>773</v>
      </c>
      <c r="K3778" s="381">
        <v>0.0</v>
      </c>
      <c r="L3778" s="382">
        <v>1.0</v>
      </c>
    </row>
    <row r="3779">
      <c r="A3779" s="380" t="s">
        <v>4642</v>
      </c>
      <c r="B3779" s="380" t="str">
        <f>IFERROR(__xludf.DUMMYFUNCTION("""COMPUTED_VALUE"""),"Flexometro De 8 Mts")</f>
        <v>Flexometro De 8 Mts</v>
      </c>
      <c r="C3779" s="380" t="str">
        <f>IFERROR(__xludf.DUMMYFUNCTION("""COMPUTED_VALUE"""),"50001407")</f>
        <v>50001407</v>
      </c>
      <c r="D3779" s="380" t="s">
        <v>767</v>
      </c>
      <c r="E3779" s="380" t="s">
        <v>781</v>
      </c>
      <c r="F3779" s="380" t="s">
        <v>782</v>
      </c>
      <c r="G3779" s="380" t="s">
        <v>1267</v>
      </c>
      <c r="H3779" s="380" t="s">
        <v>771</v>
      </c>
      <c r="I3779" s="380" t="s">
        <v>784</v>
      </c>
      <c r="J3779" s="380" t="s">
        <v>773</v>
      </c>
      <c r="K3779" s="381">
        <v>0.0</v>
      </c>
      <c r="L3779" s="382">
        <v>1.0</v>
      </c>
    </row>
    <row r="3780">
      <c r="A3780" s="380" t="s">
        <v>4643</v>
      </c>
      <c r="B3780" s="380" t="str">
        <f>IFERROR(__xludf.DUMMYFUNCTION("""COMPUTED_VALUE"""),"Llave Estrella 14 X 15mm Tipob Zubi-Hola")</f>
        <v>Llave Estrella 14 X 15mm Tipob Zubi-Hola</v>
      </c>
      <c r="C3780" s="380" t="str">
        <f>IFERROR(__xludf.DUMMYFUNCTION("""COMPUTED_VALUE"""),"50001408")</f>
        <v>50001408</v>
      </c>
      <c r="D3780" s="380" t="s">
        <v>767</v>
      </c>
      <c r="E3780" s="380" t="s">
        <v>781</v>
      </c>
      <c r="F3780" s="380" t="s">
        <v>782</v>
      </c>
      <c r="G3780" s="380" t="s">
        <v>1267</v>
      </c>
      <c r="H3780" s="380" t="s">
        <v>771</v>
      </c>
      <c r="I3780" s="380" t="s">
        <v>784</v>
      </c>
      <c r="J3780" s="380" t="s">
        <v>773</v>
      </c>
      <c r="K3780" s="381">
        <v>0.0</v>
      </c>
      <c r="L3780" s="382">
        <v>1.0</v>
      </c>
    </row>
    <row r="3781">
      <c r="A3781" s="380" t="s">
        <v>4644</v>
      </c>
      <c r="B3781" s="380" t="str">
        <f>IFERROR(__xludf.DUMMYFUNCTION("""COMPUTED_VALUE"""),"Llave Expansion 10"" A 12"" Bahco 10""/12""")</f>
        <v>Llave Expansion 10" A 12" Bahco 10"/12"</v>
      </c>
      <c r="C3781" s="380" t="str">
        <f>IFERROR(__xludf.DUMMYFUNCTION("""COMPUTED_VALUE"""),"50001409")</f>
        <v>50001409</v>
      </c>
      <c r="D3781" s="380" t="s">
        <v>767</v>
      </c>
      <c r="E3781" s="380" t="s">
        <v>781</v>
      </c>
      <c r="F3781" s="380" t="s">
        <v>782</v>
      </c>
      <c r="G3781" s="380" t="s">
        <v>1267</v>
      </c>
      <c r="H3781" s="380" t="s">
        <v>771</v>
      </c>
      <c r="I3781" s="380" t="s">
        <v>784</v>
      </c>
      <c r="J3781" s="380" t="s">
        <v>773</v>
      </c>
      <c r="K3781" s="381">
        <v>0.0</v>
      </c>
      <c r="L3781" s="382">
        <v>1.0</v>
      </c>
    </row>
    <row r="3782">
      <c r="A3782" s="380" t="s">
        <v>4645</v>
      </c>
      <c r="B3782" s="380" t="str">
        <f>IFERROR(__xludf.DUMMYFUNCTION("""COMPUTED_VALUE"""),"Llave Hexagona 1/2 Tipo B 1/2""")</f>
        <v>Llave Hexagona 1/2 Tipo B 1/2"</v>
      </c>
      <c r="C3782" s="380" t="str">
        <f>IFERROR(__xludf.DUMMYFUNCTION("""COMPUTED_VALUE"""),"50001410")</f>
        <v>50001410</v>
      </c>
      <c r="D3782" s="380" t="s">
        <v>767</v>
      </c>
      <c r="E3782" s="380" t="s">
        <v>781</v>
      </c>
      <c r="F3782" s="380" t="s">
        <v>782</v>
      </c>
      <c r="G3782" s="380" t="s">
        <v>1267</v>
      </c>
      <c r="H3782" s="380" t="s">
        <v>771</v>
      </c>
      <c r="I3782" s="380" t="s">
        <v>784</v>
      </c>
      <c r="J3782" s="380" t="s">
        <v>773</v>
      </c>
      <c r="K3782" s="381">
        <v>0.0</v>
      </c>
      <c r="L3782" s="382">
        <v>1.0</v>
      </c>
    </row>
    <row r="3783">
      <c r="A3783" s="380" t="s">
        <v>4646</v>
      </c>
      <c r="B3783" s="380" t="str">
        <f>IFERROR(__xludf.DUMMYFUNCTION("""COMPUTED_VALUE"""),"Punta De 12 Estrias 12mm L60790")</f>
        <v>Punta De 12 Estrias 12mm L60790</v>
      </c>
      <c r="C3783" s="380" t="str">
        <f>IFERROR(__xludf.DUMMYFUNCTION("""COMPUTED_VALUE"""),"50001412")</f>
        <v>50001412</v>
      </c>
      <c r="D3783" s="380" t="s">
        <v>767</v>
      </c>
      <c r="E3783" s="380" t="s">
        <v>781</v>
      </c>
      <c r="F3783" s="380" t="s">
        <v>782</v>
      </c>
      <c r="G3783" s="380" t="s">
        <v>1267</v>
      </c>
      <c r="H3783" s="380" t="s">
        <v>771</v>
      </c>
      <c r="I3783" s="380" t="s">
        <v>784</v>
      </c>
      <c r="J3783" s="380" t="s">
        <v>773</v>
      </c>
      <c r="K3783" s="381">
        <v>0.0</v>
      </c>
      <c r="L3783" s="382">
        <v>1.0</v>
      </c>
    </row>
    <row r="3784">
      <c r="A3784" s="380" t="s">
        <v>4647</v>
      </c>
      <c r="B3784" s="380" t="str">
        <f>IFERROR(__xludf.DUMMYFUNCTION("""COMPUTED_VALUE"""),"Llave Hexagona 5/16 Tipo B Chesco 5/16""")</f>
        <v>Llave Hexagona 5/16 Tipo B Chesco 5/16"</v>
      </c>
      <c r="C3784" s="380" t="str">
        <f>IFERROR(__xludf.DUMMYFUNCTION("""COMPUTED_VALUE"""),"50001413")</f>
        <v>50001413</v>
      </c>
      <c r="D3784" s="380" t="s">
        <v>767</v>
      </c>
      <c r="E3784" s="380" t="s">
        <v>781</v>
      </c>
      <c r="F3784" s="380" t="s">
        <v>782</v>
      </c>
      <c r="G3784" s="380" t="s">
        <v>1267</v>
      </c>
      <c r="H3784" s="380" t="s">
        <v>771</v>
      </c>
      <c r="I3784" s="380" t="s">
        <v>784</v>
      </c>
      <c r="J3784" s="380" t="s">
        <v>773</v>
      </c>
      <c r="K3784" s="381">
        <v>0.0</v>
      </c>
      <c r="L3784" s="382">
        <v>1.0</v>
      </c>
    </row>
    <row r="3785">
      <c r="A3785" s="380" t="s">
        <v>4648</v>
      </c>
      <c r="B3785" s="380" t="str">
        <f>IFERROR(__xludf.DUMMYFUNCTION("""COMPUTED_VALUE"""),"Copa Cuad 1""-21mm S6 - L01005")</f>
        <v>Copa Cuad 1"-21mm S6 - L01005</v>
      </c>
      <c r="C3785" s="380" t="str">
        <f>IFERROR(__xludf.DUMMYFUNCTION("""COMPUTED_VALUE"""),"50001414")</f>
        <v>50001414</v>
      </c>
      <c r="D3785" s="380" t="s">
        <v>767</v>
      </c>
      <c r="E3785" s="380" t="s">
        <v>781</v>
      </c>
      <c r="F3785" s="380" t="s">
        <v>782</v>
      </c>
      <c r="G3785" s="380" t="s">
        <v>1267</v>
      </c>
      <c r="H3785" s="380" t="s">
        <v>771</v>
      </c>
      <c r="I3785" s="380" t="s">
        <v>784</v>
      </c>
      <c r="J3785" s="380" t="s">
        <v>773</v>
      </c>
      <c r="K3785" s="381">
        <v>0.0</v>
      </c>
      <c r="L3785" s="382">
        <v>1.0</v>
      </c>
    </row>
    <row r="3786">
      <c r="A3786" s="380" t="s">
        <v>4649</v>
      </c>
      <c r="B3786" s="380" t="str">
        <f>IFERROR(__xludf.DUMMYFUNCTION("""COMPUTED_VALUE"""),"Destornillador Punta Torx T25 Tx-Dep603")</f>
        <v>Destornillador Punta Torx T25 Tx-Dep603</v>
      </c>
      <c r="C3786" s="380" t="str">
        <f>IFERROR(__xludf.DUMMYFUNCTION("""COMPUTED_VALUE"""),"50001415")</f>
        <v>50001415</v>
      </c>
      <c r="D3786" s="380" t="s">
        <v>767</v>
      </c>
      <c r="E3786" s="380" t="s">
        <v>781</v>
      </c>
      <c r="F3786" s="380" t="s">
        <v>782</v>
      </c>
      <c r="G3786" s="380" t="s">
        <v>1267</v>
      </c>
      <c r="H3786" s="380" t="s">
        <v>771</v>
      </c>
      <c r="I3786" s="380" t="s">
        <v>784</v>
      </c>
      <c r="J3786" s="380" t="s">
        <v>773</v>
      </c>
      <c r="K3786" s="381">
        <v>0.0</v>
      </c>
      <c r="L3786" s="382">
        <v>1.0</v>
      </c>
    </row>
    <row r="3787">
      <c r="A3787" s="380" t="s">
        <v>4650</v>
      </c>
      <c r="B3787" s="380" t="str">
        <f>IFERROR(__xludf.DUMMYFUNCTION("""COMPUTED_VALUE"""),"Hubodometro Para Prueba Llantas Trailer")</f>
        <v>Hubodometro Para Prueba Llantas Trailer</v>
      </c>
      <c r="C3787" s="380" t="str">
        <f>IFERROR(__xludf.DUMMYFUNCTION("""COMPUTED_VALUE"""),"50001416")</f>
        <v>50001416</v>
      </c>
      <c r="D3787" s="380" t="s">
        <v>767</v>
      </c>
      <c r="E3787" s="380" t="s">
        <v>781</v>
      </c>
      <c r="F3787" s="380" t="s">
        <v>782</v>
      </c>
      <c r="G3787" s="380" t="s">
        <v>1267</v>
      </c>
      <c r="H3787" s="380" t="s">
        <v>771</v>
      </c>
      <c r="I3787" s="380" t="s">
        <v>784</v>
      </c>
      <c r="J3787" s="380" t="s">
        <v>773</v>
      </c>
      <c r="K3787" s="381">
        <v>0.0</v>
      </c>
      <c r="L3787" s="382">
        <v>1.0</v>
      </c>
    </row>
    <row r="3788">
      <c r="A3788" s="380" t="s">
        <v>4651</v>
      </c>
      <c r="B3788" s="380" t="str">
        <f>IFERROR(__xludf.DUMMYFUNCTION("""COMPUTED_VALUE"""),"Llave Hexagona 3/8 Tb 3/8""")</f>
        <v>Llave Hexagona 3/8 Tb 3/8"</v>
      </c>
      <c r="C3788" s="380" t="str">
        <f>IFERROR(__xludf.DUMMYFUNCTION("""COMPUTED_VALUE"""),"50001417")</f>
        <v>50001417</v>
      </c>
      <c r="D3788" s="380" t="s">
        <v>767</v>
      </c>
      <c r="E3788" s="380" t="s">
        <v>781</v>
      </c>
      <c r="F3788" s="380" t="s">
        <v>782</v>
      </c>
      <c r="G3788" s="380" t="s">
        <v>1267</v>
      </c>
      <c r="H3788" s="380" t="s">
        <v>771</v>
      </c>
      <c r="I3788" s="380" t="s">
        <v>784</v>
      </c>
      <c r="J3788" s="380" t="s">
        <v>773</v>
      </c>
      <c r="K3788" s="381">
        <v>0.0</v>
      </c>
      <c r="L3788" s="382">
        <v>1.0</v>
      </c>
    </row>
    <row r="3789">
      <c r="A3789" s="380" t="s">
        <v>4652</v>
      </c>
      <c r="B3789" s="380" t="str">
        <f>IFERROR(__xludf.DUMMYFUNCTION("""COMPUTED_VALUE"""),"Copa Impacto Cuadrante 1"" X 19 Mm Nkr Tb")</f>
        <v>Copa Impacto Cuadrante 1" X 19 Mm Nkr Tb</v>
      </c>
      <c r="C3789" s="380" t="str">
        <f>IFERROR(__xludf.DUMMYFUNCTION("""COMPUTED_VALUE"""),"50001418")</f>
        <v>50001418</v>
      </c>
      <c r="D3789" s="380" t="s">
        <v>767</v>
      </c>
      <c r="E3789" s="380" t="s">
        <v>781</v>
      </c>
      <c r="F3789" s="380" t="s">
        <v>782</v>
      </c>
      <c r="G3789" s="380" t="s">
        <v>1267</v>
      </c>
      <c r="H3789" s="380" t="s">
        <v>771</v>
      </c>
      <c r="I3789" s="380" t="s">
        <v>784</v>
      </c>
      <c r="J3789" s="380" t="s">
        <v>773</v>
      </c>
      <c r="K3789" s="381">
        <v>0.0</v>
      </c>
      <c r="L3789" s="382">
        <v>1.0</v>
      </c>
    </row>
    <row r="3790">
      <c r="A3790" s="380" t="s">
        <v>4653</v>
      </c>
      <c r="B3790" s="380" t="str">
        <f>IFERROR(__xludf.DUMMYFUNCTION("""COMPUTED_VALUE"""),"Multiplicador Torque Manual Tb")</f>
        <v>Multiplicador Torque Manual Tb</v>
      </c>
      <c r="C3790" s="380" t="str">
        <f>IFERROR(__xludf.DUMMYFUNCTION("""COMPUTED_VALUE"""),"50001419")</f>
        <v>50001419</v>
      </c>
      <c r="D3790" s="380" t="s">
        <v>767</v>
      </c>
      <c r="E3790" s="380" t="s">
        <v>781</v>
      </c>
      <c r="F3790" s="380" t="s">
        <v>782</v>
      </c>
      <c r="G3790" s="380" t="s">
        <v>1267</v>
      </c>
      <c r="H3790" s="380" t="s">
        <v>771</v>
      </c>
      <c r="I3790" s="380" t="s">
        <v>784</v>
      </c>
      <c r="J3790" s="380" t="s">
        <v>773</v>
      </c>
      <c r="K3790" s="381">
        <v>0.0</v>
      </c>
      <c r="L3790" s="382">
        <v>1.0</v>
      </c>
    </row>
    <row r="3791">
      <c r="A3791" s="380" t="s">
        <v>4654</v>
      </c>
      <c r="B3791" s="380" t="str">
        <f>IFERROR(__xludf.DUMMYFUNCTION("""COMPUTED_VALUE"""),"Juego Destornilladores Manuales Estrella")</f>
        <v>Juego Destornilladores Manuales Estrella</v>
      </c>
      <c r="C3791" s="380" t="str">
        <f>IFERROR(__xludf.DUMMYFUNCTION("""COMPUTED_VALUE"""),"50001420")</f>
        <v>50001420</v>
      </c>
      <c r="D3791" s="380" t="s">
        <v>767</v>
      </c>
      <c r="E3791" s="380" t="s">
        <v>781</v>
      </c>
      <c r="F3791" s="380" t="s">
        <v>782</v>
      </c>
      <c r="G3791" s="380" t="s">
        <v>1267</v>
      </c>
      <c r="H3791" s="380" t="s">
        <v>771</v>
      </c>
      <c r="I3791" s="380" t="s">
        <v>784</v>
      </c>
      <c r="J3791" s="380" t="s">
        <v>773</v>
      </c>
      <c r="K3791" s="381">
        <v>0.0</v>
      </c>
      <c r="L3791" s="382">
        <v>1.0</v>
      </c>
    </row>
    <row r="3792">
      <c r="A3792" s="380" t="s">
        <v>4655</v>
      </c>
      <c r="B3792" s="380" t="str">
        <f>IFERROR(__xludf.DUMMYFUNCTION("""COMPUTED_VALUE"""),"Acople Rapido Aire 3/4 Pistola Impacto 1")</f>
        <v>Acople Rapido Aire 3/4 Pistola Impacto 1</v>
      </c>
      <c r="C3792" s="380" t="str">
        <f>IFERROR(__xludf.DUMMYFUNCTION("""COMPUTED_VALUE"""),"50001421")</f>
        <v>50001421</v>
      </c>
      <c r="D3792" s="380" t="s">
        <v>767</v>
      </c>
      <c r="E3792" s="380" t="s">
        <v>781</v>
      </c>
      <c r="F3792" s="380" t="s">
        <v>782</v>
      </c>
      <c r="G3792" s="380" t="s">
        <v>1267</v>
      </c>
      <c r="H3792" s="380" t="s">
        <v>771</v>
      </c>
      <c r="I3792" s="380" t="s">
        <v>784</v>
      </c>
      <c r="J3792" s="380" t="s">
        <v>773</v>
      </c>
      <c r="K3792" s="381">
        <v>0.0</v>
      </c>
      <c r="L3792" s="382">
        <v>1.0</v>
      </c>
    </row>
    <row r="3793">
      <c r="A3793" s="380" t="s">
        <v>4656</v>
      </c>
      <c r="B3793" s="380" t="str">
        <f>IFERROR(__xludf.DUMMYFUNCTION("""COMPUTED_VALUE"""),"Llave Boca Fija 8 X 10mm Tipo B")</f>
        <v>Llave Boca Fija 8 X 10mm Tipo B</v>
      </c>
      <c r="C3793" s="380" t="str">
        <f>IFERROR(__xludf.DUMMYFUNCTION("""COMPUTED_VALUE"""),"50001422")</f>
        <v>50001422</v>
      </c>
      <c r="D3793" s="380" t="s">
        <v>767</v>
      </c>
      <c r="E3793" s="380" t="s">
        <v>781</v>
      </c>
      <c r="F3793" s="380" t="s">
        <v>782</v>
      </c>
      <c r="G3793" s="380" t="s">
        <v>1267</v>
      </c>
      <c r="H3793" s="380" t="s">
        <v>771</v>
      </c>
      <c r="I3793" s="380" t="s">
        <v>784</v>
      </c>
      <c r="J3793" s="380" t="s">
        <v>773</v>
      </c>
      <c r="K3793" s="381">
        <v>0.0</v>
      </c>
      <c r="L3793" s="382">
        <v>1.0</v>
      </c>
    </row>
    <row r="3794">
      <c r="A3794" s="380" t="s">
        <v>4657</v>
      </c>
      <c r="B3794" s="380" t="str">
        <f>IFERROR(__xludf.DUMMYFUNCTION("""COMPUTED_VALUE"""),"Gato Tipo Tijera 1 Ton")</f>
        <v>Gato Tipo Tijera 1 Ton</v>
      </c>
      <c r="C3794" s="380" t="str">
        <f>IFERROR(__xludf.DUMMYFUNCTION("""COMPUTED_VALUE"""),"50001423")</f>
        <v>50001423</v>
      </c>
      <c r="D3794" s="380" t="s">
        <v>767</v>
      </c>
      <c r="E3794" s="380" t="s">
        <v>781</v>
      </c>
      <c r="F3794" s="380" t="s">
        <v>782</v>
      </c>
      <c r="G3794" s="380" t="s">
        <v>1267</v>
      </c>
      <c r="H3794" s="380" t="s">
        <v>771</v>
      </c>
      <c r="I3794" s="380" t="s">
        <v>784</v>
      </c>
      <c r="J3794" s="380" t="s">
        <v>773</v>
      </c>
      <c r="K3794" s="381">
        <v>0.0</v>
      </c>
      <c r="L3794" s="382">
        <v>1.0</v>
      </c>
    </row>
    <row r="3795">
      <c r="A3795" s="380" t="s">
        <v>4658</v>
      </c>
      <c r="B3795" s="380" t="str">
        <f>IFERROR(__xludf.DUMMYFUNCTION("""COMPUTED_VALUE"""),"Lezna Para Llanta 47024")</f>
        <v>Lezna Para Llanta 47024</v>
      </c>
      <c r="C3795" s="380" t="str">
        <f>IFERROR(__xludf.DUMMYFUNCTION("""COMPUTED_VALUE"""),"50001424")</f>
        <v>50001424</v>
      </c>
      <c r="D3795" s="380" t="s">
        <v>767</v>
      </c>
      <c r="E3795" s="380" t="s">
        <v>781</v>
      </c>
      <c r="F3795" s="380" t="s">
        <v>782</v>
      </c>
      <c r="G3795" s="380" t="s">
        <v>1267</v>
      </c>
      <c r="H3795" s="380" t="s">
        <v>771</v>
      </c>
      <c r="I3795" s="380" t="s">
        <v>784</v>
      </c>
      <c r="J3795" s="380" t="s">
        <v>773</v>
      </c>
      <c r="K3795" s="381">
        <v>0.0</v>
      </c>
      <c r="L3795" s="382">
        <v>1.0</v>
      </c>
    </row>
    <row r="3796">
      <c r="A3796" s="380" t="s">
        <v>4659</v>
      </c>
      <c r="B3796" s="380" t="str">
        <f>IFERROR(__xludf.DUMMYFUNCTION("""COMPUTED_VALUE"""),"Linterna Dos Tacos 1550")</f>
        <v>Linterna Dos Tacos 1550</v>
      </c>
      <c r="C3796" s="380" t="str">
        <f>IFERROR(__xludf.DUMMYFUNCTION("""COMPUTED_VALUE"""),"50001425")</f>
        <v>50001425</v>
      </c>
      <c r="D3796" s="380" t="s">
        <v>767</v>
      </c>
      <c r="E3796" s="380" t="s">
        <v>781</v>
      </c>
      <c r="F3796" s="380" t="s">
        <v>782</v>
      </c>
      <c r="G3796" s="380" t="s">
        <v>1267</v>
      </c>
      <c r="H3796" s="380" t="s">
        <v>771</v>
      </c>
      <c r="I3796" s="380" t="s">
        <v>784</v>
      </c>
      <c r="J3796" s="380" t="s">
        <v>773</v>
      </c>
      <c r="K3796" s="381">
        <v>22191.0</v>
      </c>
      <c r="L3796" s="382">
        <v>1.0</v>
      </c>
    </row>
    <row r="3797">
      <c r="A3797" s="380" t="s">
        <v>4660</v>
      </c>
      <c r="B3797" s="380" t="str">
        <f>IFERROR(__xludf.DUMMYFUNCTION("""COMPUTED_VALUE"""),"Linterna Led Recargable 5110")</f>
        <v>Linterna Led Recargable 5110</v>
      </c>
      <c r="C3797" s="380" t="str">
        <f>IFERROR(__xludf.DUMMYFUNCTION("""COMPUTED_VALUE"""),"50001426")</f>
        <v>50001426</v>
      </c>
      <c r="D3797" s="380" t="s">
        <v>767</v>
      </c>
      <c r="E3797" s="380" t="s">
        <v>781</v>
      </c>
      <c r="F3797" s="380" t="s">
        <v>782</v>
      </c>
      <c r="G3797" s="380" t="s">
        <v>1267</v>
      </c>
      <c r="H3797" s="380" t="s">
        <v>771</v>
      </c>
      <c r="I3797" s="380" t="s">
        <v>784</v>
      </c>
      <c r="J3797" s="380" t="s">
        <v>773</v>
      </c>
      <c r="K3797" s="381">
        <v>65176.0</v>
      </c>
      <c r="L3797" s="382">
        <v>1.0</v>
      </c>
    </row>
    <row r="3798">
      <c r="A3798" s="380" t="s">
        <v>4661</v>
      </c>
      <c r="B3798" s="380" t="str">
        <f>IFERROR(__xludf.DUMMYFUNCTION("""COMPUTED_VALUE"""),"Cono Reflectivo Señalizacion 80-90 Cms")</f>
        <v>Cono Reflectivo Señalizacion 80-90 Cms</v>
      </c>
      <c r="C3798" s="380" t="str">
        <f>IFERROR(__xludf.DUMMYFUNCTION("""COMPUTED_VALUE"""),"50001427")</f>
        <v>50001427</v>
      </c>
      <c r="D3798" s="380" t="s">
        <v>767</v>
      </c>
      <c r="E3798" s="380" t="s">
        <v>781</v>
      </c>
      <c r="F3798" s="380" t="s">
        <v>782</v>
      </c>
      <c r="G3798" s="380" t="s">
        <v>1267</v>
      </c>
      <c r="H3798" s="380" t="s">
        <v>771</v>
      </c>
      <c r="I3798" s="380" t="s">
        <v>784</v>
      </c>
      <c r="J3798" s="380" t="s">
        <v>773</v>
      </c>
      <c r="K3798" s="381">
        <v>0.0</v>
      </c>
      <c r="L3798" s="382">
        <v>1.0</v>
      </c>
    </row>
    <row r="3799">
      <c r="A3799" s="380" t="s">
        <v>4662</v>
      </c>
      <c r="B3799" s="380" t="str">
        <f>IFERROR(__xludf.DUMMYFUNCTION("""COMPUTED_VALUE"""),"Gato Botella Hidraulico 2 Toneladas")</f>
        <v>Gato Botella Hidraulico 2 Toneladas</v>
      </c>
      <c r="C3799" s="380" t="str">
        <f>IFERROR(__xludf.DUMMYFUNCTION("""COMPUTED_VALUE"""),"50001428")</f>
        <v>50001428</v>
      </c>
      <c r="D3799" s="380" t="s">
        <v>767</v>
      </c>
      <c r="E3799" s="380" t="s">
        <v>781</v>
      </c>
      <c r="F3799" s="380" t="s">
        <v>782</v>
      </c>
      <c r="G3799" s="380" t="s">
        <v>1267</v>
      </c>
      <c r="H3799" s="380" t="s">
        <v>771</v>
      </c>
      <c r="I3799" s="380" t="s">
        <v>784</v>
      </c>
      <c r="J3799" s="380" t="s">
        <v>773</v>
      </c>
      <c r="K3799" s="381">
        <v>64894.0</v>
      </c>
      <c r="L3799" s="382">
        <v>1.0</v>
      </c>
    </row>
    <row r="3800">
      <c r="A3800" s="380" t="s">
        <v>4663</v>
      </c>
      <c r="B3800" s="380" t="str">
        <f>IFERROR(__xludf.DUMMYFUNCTION("""COMPUTED_VALUE"""),"Copa Impacto 8p 13/16"" C.3/4 Tipo A")</f>
        <v>Copa Impacto 8p 13/16" C.3/4 Tipo A</v>
      </c>
      <c r="C3800" s="380" t="str">
        <f>IFERROR(__xludf.DUMMYFUNCTION("""COMPUTED_VALUE"""),"50001429")</f>
        <v>50001429</v>
      </c>
      <c r="D3800" s="380" t="s">
        <v>767</v>
      </c>
      <c r="E3800" s="380" t="s">
        <v>781</v>
      </c>
      <c r="F3800" s="380" t="s">
        <v>782</v>
      </c>
      <c r="G3800" s="380" t="s">
        <v>1267</v>
      </c>
      <c r="H3800" s="380" t="s">
        <v>771</v>
      </c>
      <c r="I3800" s="380" t="s">
        <v>784</v>
      </c>
      <c r="J3800" s="380" t="s">
        <v>773</v>
      </c>
      <c r="K3800" s="381">
        <v>0.0</v>
      </c>
      <c r="L3800" s="382">
        <v>1.0</v>
      </c>
    </row>
    <row r="3801">
      <c r="A3801" s="380" t="s">
        <v>4664</v>
      </c>
      <c r="B3801" s="380" t="str">
        <f>IFERROR(__xludf.DUMMYFUNCTION("""COMPUTED_VALUE"""),"Soplete Gas 2,5 - 3,5 - 5 Cm Boquilla Di")</f>
        <v>Soplete Gas 2,5 - 3,5 - 5 Cm Boquilla Di</v>
      </c>
      <c r="C3801" s="380" t="str">
        <f>IFERROR(__xludf.DUMMYFUNCTION("""COMPUTED_VALUE"""),"50001430")</f>
        <v>50001430</v>
      </c>
      <c r="D3801" s="380" t="s">
        <v>767</v>
      </c>
      <c r="E3801" s="380" t="s">
        <v>781</v>
      </c>
      <c r="F3801" s="380" t="s">
        <v>782</v>
      </c>
      <c r="G3801" s="380" t="s">
        <v>1267</v>
      </c>
      <c r="H3801" s="380" t="s">
        <v>771</v>
      </c>
      <c r="I3801" s="380" t="s">
        <v>784</v>
      </c>
      <c r="J3801" s="380" t="s">
        <v>773</v>
      </c>
      <c r="K3801" s="381">
        <v>0.0</v>
      </c>
      <c r="L3801" s="382">
        <v>1.0</v>
      </c>
    </row>
    <row r="3802">
      <c r="A3802" s="380" t="s">
        <v>4665</v>
      </c>
      <c r="B3802" s="380" t="str">
        <f>IFERROR(__xludf.DUMMYFUNCTION("""COMPUTED_VALUE"""),"Copa Impacto Corta Hex Cuad 1"" X 2-15/16")</f>
        <v>Copa Impacto Corta Hex Cuad 1" X 2-15/16</v>
      </c>
      <c r="C3802" s="380" t="str">
        <f>IFERROR(__xludf.DUMMYFUNCTION("""COMPUTED_VALUE"""),"50001431")</f>
        <v>50001431</v>
      </c>
      <c r="D3802" s="380" t="s">
        <v>767</v>
      </c>
      <c r="E3802" s="380" t="s">
        <v>781</v>
      </c>
      <c r="F3802" s="380" t="s">
        <v>782</v>
      </c>
      <c r="G3802" s="380" t="s">
        <v>1267</v>
      </c>
      <c r="H3802" s="380" t="s">
        <v>771</v>
      </c>
      <c r="I3802" s="380" t="s">
        <v>784</v>
      </c>
      <c r="J3802" s="380" t="s">
        <v>773</v>
      </c>
      <c r="K3802" s="381">
        <v>0.0</v>
      </c>
      <c r="L3802" s="382">
        <v>1.0</v>
      </c>
    </row>
    <row r="3803">
      <c r="A3803" s="380" t="s">
        <v>4666</v>
      </c>
      <c r="B3803" s="380" t="str">
        <f>IFERROR(__xludf.DUMMYFUNCTION("""COMPUTED_VALUE"""),"MANG Hid Manguera Hidrolavadora R2 -5/16")</f>
        <v>MANG Hid Manguera Hidrolavadora R2 -5/16</v>
      </c>
      <c r="C3803" s="380" t="str">
        <f>IFERROR(__xludf.DUMMYFUNCTION("""COMPUTED_VALUE"""),"50001432")</f>
        <v>50001432</v>
      </c>
      <c r="D3803" s="380" t="s">
        <v>767</v>
      </c>
      <c r="E3803" s="380" t="s">
        <v>781</v>
      </c>
      <c r="F3803" s="380" t="s">
        <v>782</v>
      </c>
      <c r="G3803" s="380" t="s">
        <v>1267</v>
      </c>
      <c r="H3803" s="380" t="s">
        <v>771</v>
      </c>
      <c r="I3803" s="380" t="s">
        <v>784</v>
      </c>
      <c r="J3803" s="380" t="s">
        <v>773</v>
      </c>
      <c r="K3803" s="381">
        <v>0.0</v>
      </c>
      <c r="L3803" s="382">
        <v>1.0</v>
      </c>
    </row>
    <row r="3804">
      <c r="A3804" s="380" t="s">
        <v>4667</v>
      </c>
      <c r="B3804" s="380" t="str">
        <f>IFERROR(__xludf.DUMMYFUNCTION("""COMPUTED_VALUE"""),"Llave Pernos Rin Dis Ken-Tool 1 3/16*15/")</f>
        <v>Llave Pernos Rin Dis Ken-Tool 1 3/16*15/</v>
      </c>
      <c r="C3804" s="380" t="str">
        <f>IFERROR(__xludf.DUMMYFUNCTION("""COMPUTED_VALUE"""),"50001433")</f>
        <v>50001433</v>
      </c>
      <c r="D3804" s="380" t="s">
        <v>767</v>
      </c>
      <c r="E3804" s="380" t="s">
        <v>781</v>
      </c>
      <c r="F3804" s="380" t="s">
        <v>782</v>
      </c>
      <c r="G3804" s="380" t="s">
        <v>1267</v>
      </c>
      <c r="H3804" s="380" t="s">
        <v>771</v>
      </c>
      <c r="I3804" s="380" t="s">
        <v>784</v>
      </c>
      <c r="J3804" s="380" t="s">
        <v>773</v>
      </c>
      <c r="K3804" s="381">
        <v>0.0</v>
      </c>
      <c r="L3804" s="382">
        <v>1.0</v>
      </c>
    </row>
    <row r="3805">
      <c r="A3805" s="380" t="s">
        <v>4668</v>
      </c>
      <c r="B3805" s="380" t="str">
        <f>IFERROR(__xludf.DUMMYFUNCTION("""COMPUTED_VALUE"""),"Llave Pernos Nkr 8943864901")</f>
        <v>Llave Pernos Nkr 8943864901</v>
      </c>
      <c r="C3805" s="380" t="str">
        <f>IFERROR(__xludf.DUMMYFUNCTION("""COMPUTED_VALUE"""),"50001434")</f>
        <v>50001434</v>
      </c>
      <c r="D3805" s="380" t="s">
        <v>767</v>
      </c>
      <c r="E3805" s="380" t="s">
        <v>781</v>
      </c>
      <c r="F3805" s="380" t="s">
        <v>782</v>
      </c>
      <c r="G3805" s="380" t="s">
        <v>1267</v>
      </c>
      <c r="H3805" s="380" t="s">
        <v>771</v>
      </c>
      <c r="I3805" s="380" t="s">
        <v>784</v>
      </c>
      <c r="J3805" s="380" t="s">
        <v>773</v>
      </c>
      <c r="K3805" s="381">
        <v>0.0</v>
      </c>
      <c r="L3805" s="382">
        <v>1.0</v>
      </c>
    </row>
    <row r="3806">
      <c r="A3806" s="380" t="s">
        <v>4669</v>
      </c>
      <c r="B3806" s="380" t="str">
        <f>IFERROR(__xludf.DUMMYFUNCTION("""COMPUTED_VALUE"""),"Llave Estrella Acodada 1/2x9/16 Tipo B")</f>
        <v>Llave Estrella Acodada 1/2x9/16 Tipo B</v>
      </c>
      <c r="C3806" s="380" t="str">
        <f>IFERROR(__xludf.DUMMYFUNCTION("""COMPUTED_VALUE"""),"50001435")</f>
        <v>50001435</v>
      </c>
      <c r="D3806" s="380" t="s">
        <v>767</v>
      </c>
      <c r="E3806" s="380" t="s">
        <v>781</v>
      </c>
      <c r="F3806" s="380" t="s">
        <v>782</v>
      </c>
      <c r="G3806" s="380" t="s">
        <v>1267</v>
      </c>
      <c r="H3806" s="380" t="s">
        <v>771</v>
      </c>
      <c r="I3806" s="380" t="s">
        <v>784</v>
      </c>
      <c r="J3806" s="380" t="s">
        <v>773</v>
      </c>
      <c r="K3806" s="381">
        <v>0.0</v>
      </c>
      <c r="L3806" s="382">
        <v>1.0</v>
      </c>
    </row>
    <row r="3807">
      <c r="A3807" s="380" t="s">
        <v>4670</v>
      </c>
      <c r="B3807" s="380" t="str">
        <f>IFERROR(__xludf.DUMMYFUNCTION("""COMPUTED_VALUE"""),"Manguera Aire Presion 3/4"" Acoplada")</f>
        <v>Manguera Aire Presion 3/4" Acoplada</v>
      </c>
      <c r="C3807" s="380" t="str">
        <f>IFERROR(__xludf.DUMMYFUNCTION("""COMPUTED_VALUE"""),"50001436")</f>
        <v>50001436</v>
      </c>
      <c r="D3807" s="380" t="s">
        <v>767</v>
      </c>
      <c r="E3807" s="380" t="s">
        <v>781</v>
      </c>
      <c r="F3807" s="380" t="s">
        <v>782</v>
      </c>
      <c r="G3807" s="380" t="s">
        <v>1267</v>
      </c>
      <c r="H3807" s="380" t="s">
        <v>771</v>
      </c>
      <c r="I3807" s="380" t="s">
        <v>784</v>
      </c>
      <c r="J3807" s="380" t="s">
        <v>773</v>
      </c>
      <c r="K3807" s="381">
        <v>0.0</v>
      </c>
      <c r="L3807" s="382">
        <v>1.0</v>
      </c>
    </row>
    <row r="3808">
      <c r="A3808" s="380" t="s">
        <v>4671</v>
      </c>
      <c r="B3808" s="380" t="str">
        <f>IFERROR(__xludf.DUMMYFUNCTION("""COMPUTED_VALUE"""),"Asenta Asentador Masilla 5x3 Extra Largo")</f>
        <v>Asenta Asentador Masilla 5x3 Extra Largo</v>
      </c>
      <c r="C3808" s="380" t="str">
        <f>IFERROR(__xludf.DUMMYFUNCTION("""COMPUTED_VALUE"""),"50001437")</f>
        <v>50001437</v>
      </c>
      <c r="D3808" s="380" t="s">
        <v>767</v>
      </c>
      <c r="E3808" s="380" t="s">
        <v>781</v>
      </c>
      <c r="F3808" s="380" t="s">
        <v>782</v>
      </c>
      <c r="G3808" s="380" t="s">
        <v>1267</v>
      </c>
      <c r="H3808" s="380" t="s">
        <v>771</v>
      </c>
      <c r="I3808" s="380" t="s">
        <v>784</v>
      </c>
      <c r="J3808" s="380" t="s">
        <v>773</v>
      </c>
      <c r="K3808" s="381">
        <v>0.0</v>
      </c>
      <c r="L3808" s="382">
        <v>1.0</v>
      </c>
    </row>
    <row r="3809">
      <c r="A3809" s="380" t="s">
        <v>4672</v>
      </c>
      <c r="B3809" s="380" t="str">
        <f>IFERROR(__xludf.DUMMYFUNCTION("""COMPUTED_VALUE"""),"Copa Impacto Larga Snapon Cuad,1""X1.5/16")</f>
        <v>Copa Impacto Larga Snapon Cuad,1"X1.5/16</v>
      </c>
      <c r="C3809" s="380" t="str">
        <f>IFERROR(__xludf.DUMMYFUNCTION("""COMPUTED_VALUE"""),"50001438")</f>
        <v>50001438</v>
      </c>
      <c r="D3809" s="380" t="s">
        <v>767</v>
      </c>
      <c r="E3809" s="380" t="s">
        <v>781</v>
      </c>
      <c r="F3809" s="380" t="s">
        <v>782</v>
      </c>
      <c r="G3809" s="380" t="s">
        <v>1267</v>
      </c>
      <c r="H3809" s="380" t="s">
        <v>771</v>
      </c>
      <c r="I3809" s="380" t="s">
        <v>784</v>
      </c>
      <c r="J3809" s="380" t="s">
        <v>773</v>
      </c>
      <c r="K3809" s="381">
        <v>0.0</v>
      </c>
      <c r="L3809" s="382">
        <v>1.0</v>
      </c>
    </row>
    <row r="3810">
      <c r="A3810" s="380" t="s">
        <v>4673</v>
      </c>
      <c r="B3810" s="380" t="str">
        <f>IFERROR(__xludf.DUMMYFUNCTION("""COMPUTED_VALUE"""),"Blower (Soplador)")</f>
        <v>Blower (Soplador)</v>
      </c>
      <c r="C3810" s="380" t="str">
        <f>IFERROR(__xludf.DUMMYFUNCTION("""COMPUTED_VALUE"""),"50001439")</f>
        <v>50001439</v>
      </c>
      <c r="D3810" s="380" t="s">
        <v>767</v>
      </c>
      <c r="E3810" s="380" t="s">
        <v>781</v>
      </c>
      <c r="F3810" s="380" t="s">
        <v>782</v>
      </c>
      <c r="G3810" s="380" t="s">
        <v>1267</v>
      </c>
      <c r="H3810" s="380" t="s">
        <v>771</v>
      </c>
      <c r="I3810" s="380" t="s">
        <v>784</v>
      </c>
      <c r="J3810" s="380" t="s">
        <v>773</v>
      </c>
      <c r="K3810" s="381">
        <v>0.0</v>
      </c>
      <c r="L3810" s="382">
        <v>1.0</v>
      </c>
    </row>
    <row r="3811">
      <c r="A3811" s="380" t="s">
        <v>4674</v>
      </c>
      <c r="B3811" s="380" t="str">
        <f>IFERROR(__xludf.DUMMYFUNCTION("""COMPUTED_VALUE"""),"Destornillador Electrico")</f>
        <v>Destornillador Electrico</v>
      </c>
      <c r="C3811" s="380" t="str">
        <f>IFERROR(__xludf.DUMMYFUNCTION("""COMPUTED_VALUE"""),"50001440")</f>
        <v>50001440</v>
      </c>
      <c r="D3811" s="380" t="s">
        <v>767</v>
      </c>
      <c r="E3811" s="380" t="s">
        <v>781</v>
      </c>
      <c r="F3811" s="380" t="s">
        <v>782</v>
      </c>
      <c r="G3811" s="380" t="s">
        <v>1267</v>
      </c>
      <c r="H3811" s="380" t="s">
        <v>771</v>
      </c>
      <c r="I3811" s="380" t="s">
        <v>784</v>
      </c>
      <c r="J3811" s="380" t="s">
        <v>773</v>
      </c>
      <c r="K3811" s="381">
        <v>0.0</v>
      </c>
      <c r="L3811" s="382">
        <v>1.0</v>
      </c>
    </row>
    <row r="3812">
      <c r="A3812" s="380" t="s">
        <v>4675</v>
      </c>
      <c r="B3812" s="380" t="str">
        <f>IFERROR(__xludf.DUMMYFUNCTION("""COMPUTED_VALUE"""),"Desoldador")</f>
        <v>Desoldador</v>
      </c>
      <c r="C3812" s="380" t="str">
        <f>IFERROR(__xludf.DUMMYFUNCTION("""COMPUTED_VALUE"""),"50001441")</f>
        <v>50001441</v>
      </c>
      <c r="D3812" s="380" t="s">
        <v>767</v>
      </c>
      <c r="E3812" s="380" t="s">
        <v>781</v>
      </c>
      <c r="F3812" s="380" t="s">
        <v>782</v>
      </c>
      <c r="G3812" s="380" t="s">
        <v>1267</v>
      </c>
      <c r="H3812" s="380" t="s">
        <v>771</v>
      </c>
      <c r="I3812" s="380" t="s">
        <v>784</v>
      </c>
      <c r="J3812" s="380" t="s">
        <v>773</v>
      </c>
      <c r="K3812" s="381">
        <v>0.0</v>
      </c>
      <c r="L3812" s="382">
        <v>1.0</v>
      </c>
    </row>
    <row r="3813">
      <c r="A3813" s="380" t="s">
        <v>4676</v>
      </c>
      <c r="B3813" s="380" t="str">
        <f>IFERROR(__xludf.DUMMYFUNCTION("""COMPUTED_VALUE"""),"Pinza Para Computadores Pros Kit")</f>
        <v>Pinza Para Computadores Pros Kit</v>
      </c>
      <c r="C3813" s="380" t="str">
        <f>IFERROR(__xludf.DUMMYFUNCTION("""COMPUTED_VALUE"""),"50001442")</f>
        <v>50001442</v>
      </c>
      <c r="D3813" s="380" t="s">
        <v>767</v>
      </c>
      <c r="E3813" s="380" t="s">
        <v>781</v>
      </c>
      <c r="F3813" s="380" t="s">
        <v>782</v>
      </c>
      <c r="G3813" s="380" t="s">
        <v>1267</v>
      </c>
      <c r="H3813" s="380" t="s">
        <v>771</v>
      </c>
      <c r="I3813" s="380" t="s">
        <v>784</v>
      </c>
      <c r="J3813" s="380" t="s">
        <v>773</v>
      </c>
      <c r="K3813" s="381">
        <v>0.0</v>
      </c>
      <c r="L3813" s="382">
        <v>1.0</v>
      </c>
    </row>
    <row r="3814">
      <c r="A3814" s="380" t="s">
        <v>4677</v>
      </c>
      <c r="B3814" s="380" t="str">
        <f>IFERROR(__xludf.DUMMYFUNCTION("""COMPUTED_VALUE"""),"Copa Cuadrante 3/4 X 1 1/8 Snapon")</f>
        <v>Copa Cuadrante 3/4 X 1 1/8 Snapon</v>
      </c>
      <c r="C3814" s="380" t="str">
        <f>IFERROR(__xludf.DUMMYFUNCTION("""COMPUTED_VALUE"""),"50001443")</f>
        <v>50001443</v>
      </c>
      <c r="D3814" s="380" t="s">
        <v>767</v>
      </c>
      <c r="E3814" s="380" t="s">
        <v>781</v>
      </c>
      <c r="F3814" s="380" t="s">
        <v>782</v>
      </c>
      <c r="G3814" s="380" t="s">
        <v>1267</v>
      </c>
      <c r="H3814" s="380" t="s">
        <v>771</v>
      </c>
      <c r="I3814" s="380" t="s">
        <v>784</v>
      </c>
      <c r="J3814" s="380" t="s">
        <v>773</v>
      </c>
      <c r="K3814" s="381">
        <v>0.0</v>
      </c>
      <c r="L3814" s="382">
        <v>1.0</v>
      </c>
    </row>
    <row r="3815">
      <c r="A3815" s="380" t="s">
        <v>4678</v>
      </c>
      <c r="B3815" s="380" t="str">
        <f>IFERROR(__xludf.DUMMYFUNCTION("""COMPUTED_VALUE"""),"E Extractor Rodillos Caja Nkr 5884020780")</f>
        <v>E Extractor Rodillos Caja Nkr 5884020780</v>
      </c>
      <c r="C3815" s="380" t="str">
        <f>IFERROR(__xludf.DUMMYFUNCTION("""COMPUTED_VALUE"""),"50001444")</f>
        <v>50001444</v>
      </c>
      <c r="D3815" s="380" t="s">
        <v>767</v>
      </c>
      <c r="E3815" s="380" t="s">
        <v>781</v>
      </c>
      <c r="F3815" s="380" t="s">
        <v>782</v>
      </c>
      <c r="G3815" s="380" t="s">
        <v>1267</v>
      </c>
      <c r="H3815" s="380" t="s">
        <v>771</v>
      </c>
      <c r="I3815" s="380" t="s">
        <v>784</v>
      </c>
      <c r="J3815" s="380" t="s">
        <v>773</v>
      </c>
      <c r="K3815" s="381">
        <v>0.0</v>
      </c>
      <c r="L3815" s="382">
        <v>1.0</v>
      </c>
    </row>
    <row r="3816">
      <c r="A3816" s="380" t="s">
        <v>4679</v>
      </c>
      <c r="B3816" s="380" t="str">
        <f>IFERROR(__xludf.DUMMYFUNCTION("""COMPUTED_VALUE"""),"Palanca Para Montaje Llanta Tnt200-M")</f>
        <v>Palanca Para Montaje Llanta Tnt200-M</v>
      </c>
      <c r="C3816" s="380" t="str">
        <f>IFERROR(__xludf.DUMMYFUNCTION("""COMPUTED_VALUE"""),"50001445")</f>
        <v>50001445</v>
      </c>
      <c r="D3816" s="380" t="s">
        <v>767</v>
      </c>
      <c r="E3816" s="380" t="s">
        <v>781</v>
      </c>
      <c r="F3816" s="380" t="s">
        <v>782</v>
      </c>
      <c r="G3816" s="380" t="s">
        <v>1267</v>
      </c>
      <c r="H3816" s="380" t="s">
        <v>771</v>
      </c>
      <c r="I3816" s="380" t="s">
        <v>784</v>
      </c>
      <c r="J3816" s="380" t="s">
        <v>773</v>
      </c>
      <c r="K3816" s="381">
        <v>0.0</v>
      </c>
      <c r="L3816" s="382">
        <v>1.0</v>
      </c>
    </row>
    <row r="3817">
      <c r="A3817" s="380" t="s">
        <v>4680</v>
      </c>
      <c r="B3817" s="380" t="str">
        <f>IFERROR(__xludf.DUMMYFUNCTION("""COMPUTED_VALUE"""),"Estuche Herramienta")</f>
        <v>Estuche Herramienta</v>
      </c>
      <c r="C3817" s="380" t="str">
        <f>IFERROR(__xludf.DUMMYFUNCTION("""COMPUTED_VALUE"""),"50001446")</f>
        <v>50001446</v>
      </c>
      <c r="D3817" s="380" t="s">
        <v>767</v>
      </c>
      <c r="E3817" s="380" t="s">
        <v>781</v>
      </c>
      <c r="F3817" s="380" t="s">
        <v>782</v>
      </c>
      <c r="G3817" s="380" t="s">
        <v>1267</v>
      </c>
      <c r="H3817" s="380" t="s">
        <v>771</v>
      </c>
      <c r="I3817" s="380" t="s">
        <v>784</v>
      </c>
      <c r="J3817" s="380" t="s">
        <v>773</v>
      </c>
      <c r="K3817" s="381">
        <v>51684.0</v>
      </c>
      <c r="L3817" s="382">
        <v>1.0</v>
      </c>
    </row>
    <row r="3818">
      <c r="A3818" s="380" t="s">
        <v>4681</v>
      </c>
      <c r="B3818" s="380" t="str">
        <f>IFERROR(__xludf.DUMMYFUNCTION("""COMPUTED_VALUE"""),"Probador De Sistema Enf Snapon S-Svts262")</f>
        <v>Probador De Sistema Enf Snapon S-Svts262</v>
      </c>
      <c r="C3818" s="380" t="str">
        <f>IFERROR(__xludf.DUMMYFUNCTION("""COMPUTED_VALUE"""),"50001447")</f>
        <v>50001447</v>
      </c>
      <c r="D3818" s="380" t="s">
        <v>767</v>
      </c>
      <c r="E3818" s="380" t="s">
        <v>781</v>
      </c>
      <c r="F3818" s="380" t="s">
        <v>782</v>
      </c>
      <c r="G3818" s="380" t="s">
        <v>1267</v>
      </c>
      <c r="H3818" s="380" t="s">
        <v>771</v>
      </c>
      <c r="I3818" s="380" t="s">
        <v>784</v>
      </c>
      <c r="J3818" s="380" t="s">
        <v>773</v>
      </c>
      <c r="K3818" s="381">
        <v>0.0</v>
      </c>
      <c r="L3818" s="382">
        <v>1.0</v>
      </c>
    </row>
    <row r="3819">
      <c r="A3819" s="380" t="s">
        <v>4682</v>
      </c>
      <c r="B3819" s="380" t="str">
        <f>IFERROR(__xludf.DUMMYFUNCTION("""COMPUTED_VALUE"""),"Tijera Jardinera")</f>
        <v>Tijera Jardinera</v>
      </c>
      <c r="C3819" s="380" t="str">
        <f>IFERROR(__xludf.DUMMYFUNCTION("""COMPUTED_VALUE"""),"50001448")</f>
        <v>50001448</v>
      </c>
      <c r="D3819" s="380" t="s">
        <v>767</v>
      </c>
      <c r="E3819" s="380" t="s">
        <v>781</v>
      </c>
      <c r="F3819" s="380" t="s">
        <v>782</v>
      </c>
      <c r="G3819" s="380" t="s">
        <v>1267</v>
      </c>
      <c r="H3819" s="380" t="s">
        <v>771</v>
      </c>
      <c r="I3819" s="380" t="s">
        <v>784</v>
      </c>
      <c r="J3819" s="380" t="s">
        <v>773</v>
      </c>
      <c r="K3819" s="381">
        <v>0.0</v>
      </c>
      <c r="L3819" s="382">
        <v>1.0</v>
      </c>
    </row>
    <row r="3820">
      <c r="A3820" s="380" t="s">
        <v>4683</v>
      </c>
      <c r="B3820" s="380" t="str">
        <f>IFERROR(__xludf.DUMMYFUNCTION("""COMPUTED_VALUE"""),"Pinza E Pinza Electronica Roja Juego X 2")</f>
        <v>Pinza E Pinza Electronica Roja Juego X 2</v>
      </c>
      <c r="C3820" s="380" t="str">
        <f>IFERROR(__xludf.DUMMYFUNCTION("""COMPUTED_VALUE"""),"50001449")</f>
        <v>50001449</v>
      </c>
      <c r="D3820" s="380" t="s">
        <v>767</v>
      </c>
      <c r="E3820" s="380" t="s">
        <v>781</v>
      </c>
      <c r="F3820" s="380" t="s">
        <v>782</v>
      </c>
      <c r="G3820" s="380" t="s">
        <v>1267</v>
      </c>
      <c r="H3820" s="380" t="s">
        <v>771</v>
      </c>
      <c r="I3820" s="380" t="s">
        <v>784</v>
      </c>
      <c r="J3820" s="380" t="s">
        <v>773</v>
      </c>
      <c r="K3820" s="381">
        <v>0.0</v>
      </c>
      <c r="L3820" s="382">
        <v>1.0</v>
      </c>
    </row>
    <row r="3821">
      <c r="A3821" s="380" t="s">
        <v>4684</v>
      </c>
      <c r="B3821" s="380" t="str">
        <f>IFERROR(__xludf.DUMMYFUNCTION("""COMPUTED_VALUE"""),"Impresora Completa Surtidor COMB Sca2")</f>
        <v>Impresora Completa Surtidor COMB Sca2</v>
      </c>
      <c r="C3821" s="380" t="str">
        <f>IFERROR(__xludf.DUMMYFUNCTION("""COMPUTED_VALUE"""),"50001450")</f>
        <v>50001450</v>
      </c>
      <c r="D3821" s="380" t="s">
        <v>767</v>
      </c>
      <c r="E3821" s="380" t="s">
        <v>781</v>
      </c>
      <c r="F3821" s="380" t="s">
        <v>4685</v>
      </c>
      <c r="G3821" s="380" t="s">
        <v>1267</v>
      </c>
      <c r="H3821" s="380" t="s">
        <v>771</v>
      </c>
      <c r="I3821" s="380" t="s">
        <v>817</v>
      </c>
      <c r="J3821" s="380" t="s">
        <v>773</v>
      </c>
      <c r="K3821" s="381">
        <v>0.0</v>
      </c>
      <c r="L3821" s="382">
        <v>1.0</v>
      </c>
    </row>
    <row r="3822">
      <c r="A3822" s="380" t="s">
        <v>4686</v>
      </c>
      <c r="B3822" s="380" t="str">
        <f>IFERROR(__xludf.DUMMYFUNCTION("""COMPUTED_VALUE"""),"Fuente De Poder 110/220 - 5v Surtidor De")</f>
        <v>Fuente De Poder 110/220 - 5v Surtidor De</v>
      </c>
      <c r="C3822" s="380" t="str">
        <f>IFERROR(__xludf.DUMMYFUNCTION("""COMPUTED_VALUE"""),"50001451")</f>
        <v>50001451</v>
      </c>
      <c r="D3822" s="380" t="s">
        <v>767</v>
      </c>
      <c r="E3822" s="380" t="s">
        <v>781</v>
      </c>
      <c r="F3822" s="380" t="s">
        <v>4685</v>
      </c>
      <c r="G3822" s="380" t="s">
        <v>1267</v>
      </c>
      <c r="H3822" s="380" t="s">
        <v>771</v>
      </c>
      <c r="I3822" s="380" t="s">
        <v>817</v>
      </c>
      <c r="J3822" s="380" t="s">
        <v>773</v>
      </c>
      <c r="K3822" s="381">
        <v>0.0</v>
      </c>
      <c r="L3822" s="382">
        <v>1.0</v>
      </c>
    </row>
    <row r="3823">
      <c r="A3823" s="380" t="s">
        <v>4687</v>
      </c>
      <c r="B3823" s="380" t="str">
        <f>IFERROR(__xludf.DUMMYFUNCTION("""COMPUTED_VALUE"""),"Switch Para Taladro Dewalt 147653")</f>
        <v>Switch Para Taladro Dewalt 147653</v>
      </c>
      <c r="C3823" s="380" t="str">
        <f>IFERROR(__xludf.DUMMYFUNCTION("""COMPUTED_VALUE"""),"50001452")</f>
        <v>50001452</v>
      </c>
      <c r="D3823" s="380" t="s">
        <v>767</v>
      </c>
      <c r="E3823" s="380" t="s">
        <v>781</v>
      </c>
      <c r="F3823" s="380" t="s">
        <v>4685</v>
      </c>
      <c r="G3823" s="380" t="s">
        <v>1267</v>
      </c>
      <c r="H3823" s="380" t="s">
        <v>771</v>
      </c>
      <c r="I3823" s="380" t="s">
        <v>817</v>
      </c>
      <c r="J3823" s="380" t="s">
        <v>773</v>
      </c>
      <c r="K3823" s="381">
        <v>0.0</v>
      </c>
      <c r="L3823" s="382">
        <v>1.0</v>
      </c>
    </row>
    <row r="3824">
      <c r="A3824" s="380" t="s">
        <v>4688</v>
      </c>
      <c r="B3824" s="380" t="str">
        <f>IFERROR(__xludf.DUMMYFUNCTION("""COMPUTED_VALUE"""),"Cable Cobre Soldador 1/0 300a")</f>
        <v>Cable Cobre Soldador 1/0 300a</v>
      </c>
      <c r="C3824" s="380" t="str">
        <f>IFERROR(__xludf.DUMMYFUNCTION("""COMPUTED_VALUE"""),"50001453")</f>
        <v>50001453</v>
      </c>
      <c r="D3824" s="380" t="s">
        <v>767</v>
      </c>
      <c r="E3824" s="380" t="s">
        <v>781</v>
      </c>
      <c r="F3824" s="380" t="s">
        <v>4685</v>
      </c>
      <c r="G3824" s="380" t="s">
        <v>1267</v>
      </c>
      <c r="H3824" s="380" t="s">
        <v>771</v>
      </c>
      <c r="I3824" s="380" t="s">
        <v>817</v>
      </c>
      <c r="J3824" s="380" t="s">
        <v>773</v>
      </c>
      <c r="K3824" s="381">
        <v>0.0</v>
      </c>
      <c r="L3824" s="382">
        <v>1.0</v>
      </c>
    </row>
    <row r="3825">
      <c r="A3825" s="380" t="s">
        <v>4689</v>
      </c>
      <c r="B3825" s="380" t="str">
        <f>IFERROR(__xludf.DUMMYFUNCTION("""COMPUTED_VALUE"""),"Bateria Seca Surtidor Acpm Gtx2.5-Bsxl12")</f>
        <v>Bateria Seca Surtidor Acpm Gtx2.5-Bsxl12</v>
      </c>
      <c r="C3825" s="380" t="str">
        <f>IFERROR(__xludf.DUMMYFUNCTION("""COMPUTED_VALUE"""),"50001454")</f>
        <v>50001454</v>
      </c>
      <c r="D3825" s="380" t="s">
        <v>767</v>
      </c>
      <c r="E3825" s="380" t="s">
        <v>781</v>
      </c>
      <c r="F3825" s="380" t="s">
        <v>4685</v>
      </c>
      <c r="G3825" s="380" t="s">
        <v>1267</v>
      </c>
      <c r="H3825" s="380" t="s">
        <v>771</v>
      </c>
      <c r="I3825" s="380" t="s">
        <v>817</v>
      </c>
      <c r="J3825" s="380" t="s">
        <v>773</v>
      </c>
      <c r="K3825" s="381">
        <v>0.0</v>
      </c>
      <c r="L3825" s="382">
        <v>1.0</v>
      </c>
    </row>
    <row r="3826">
      <c r="A3826" s="380" t="s">
        <v>4690</v>
      </c>
      <c r="B3826" s="380" t="str">
        <f>IFERROR(__xludf.DUMMYFUNCTION("""COMPUTED_VALUE"""),"Tela O Banda De Esmeril N.180")</f>
        <v>Tela O Banda De Esmeril N.180</v>
      </c>
      <c r="C3826" s="380" t="str">
        <f>IFERROR(__xludf.DUMMYFUNCTION("""COMPUTED_VALUE"""),"50001455")</f>
        <v>50001455</v>
      </c>
      <c r="D3826" s="380" t="s">
        <v>767</v>
      </c>
      <c r="E3826" s="380" t="s">
        <v>781</v>
      </c>
      <c r="F3826" s="380" t="s">
        <v>4691</v>
      </c>
      <c r="G3826" s="380" t="s">
        <v>1267</v>
      </c>
      <c r="H3826" s="380" t="s">
        <v>771</v>
      </c>
      <c r="I3826" s="380" t="s">
        <v>817</v>
      </c>
      <c r="J3826" s="380" t="s">
        <v>773</v>
      </c>
      <c r="K3826" s="381">
        <v>0.0</v>
      </c>
      <c r="L3826" s="382">
        <v>1.0</v>
      </c>
    </row>
    <row r="3827">
      <c r="A3827" s="380" t="s">
        <v>4692</v>
      </c>
      <c r="B3827" s="380" t="str">
        <f>IFERROR(__xludf.DUMMYFUNCTION("""COMPUTED_VALUE"""),"Tela O Banda De Esmeril N.36 N. 100")</f>
        <v>Tela O Banda De Esmeril N.36 N. 100</v>
      </c>
      <c r="C3827" s="380" t="str">
        <f>IFERROR(__xludf.DUMMYFUNCTION("""COMPUTED_VALUE"""),"50001456")</f>
        <v>50001456</v>
      </c>
      <c r="D3827" s="380" t="s">
        <v>767</v>
      </c>
      <c r="E3827" s="380" t="s">
        <v>781</v>
      </c>
      <c r="F3827" s="380" t="s">
        <v>4691</v>
      </c>
      <c r="G3827" s="380" t="s">
        <v>1267</v>
      </c>
      <c r="H3827" s="380" t="s">
        <v>771</v>
      </c>
      <c r="I3827" s="380" t="s">
        <v>817</v>
      </c>
      <c r="J3827" s="380" t="s">
        <v>773</v>
      </c>
      <c r="K3827" s="381">
        <v>0.0</v>
      </c>
      <c r="L3827" s="382">
        <v>1.0</v>
      </c>
    </row>
    <row r="3828">
      <c r="A3828" s="380" t="s">
        <v>4693</v>
      </c>
      <c r="B3828" s="380" t="str">
        <f>IFERROR(__xludf.DUMMYFUNCTION("""COMPUTED_VALUE"""),"Juego Sierra Caladora Varias 30026")</f>
        <v>Juego Sierra Caladora Varias 30026</v>
      </c>
      <c r="C3828" s="380" t="str">
        <f>IFERROR(__xludf.DUMMYFUNCTION("""COMPUTED_VALUE"""),"50001457")</f>
        <v>50001457</v>
      </c>
      <c r="D3828" s="380" t="s">
        <v>767</v>
      </c>
      <c r="E3828" s="380" t="s">
        <v>781</v>
      </c>
      <c r="F3828" s="380" t="s">
        <v>4691</v>
      </c>
      <c r="G3828" s="380" t="s">
        <v>1267</v>
      </c>
      <c r="H3828" s="380" t="s">
        <v>771</v>
      </c>
      <c r="I3828" s="380" t="s">
        <v>817</v>
      </c>
      <c r="J3828" s="380" t="s">
        <v>773</v>
      </c>
      <c r="K3828" s="381">
        <v>0.0</v>
      </c>
      <c r="L3828" s="382">
        <v>1.0</v>
      </c>
    </row>
    <row r="3829">
      <c r="A3829" s="380" t="s">
        <v>4694</v>
      </c>
      <c r="B3829" s="380" t="str">
        <f>IFERROR(__xludf.DUMMYFUNCTION("""COMPUTED_VALUE"""),"Pit Tipo Bar 3 Bandejas Hub")</f>
        <v>Pit Tipo Bar 3 Bandejas Hub</v>
      </c>
      <c r="C3829" s="380" t="str">
        <f>IFERROR(__xludf.DUMMYFUNCTION("""COMPUTED_VALUE"""),"50001458")</f>
        <v>50001458</v>
      </c>
      <c r="D3829" s="380" t="s">
        <v>767</v>
      </c>
      <c r="E3829" s="380" t="s">
        <v>781</v>
      </c>
      <c r="F3829" s="380" t="s">
        <v>4691</v>
      </c>
      <c r="G3829" s="380" t="s">
        <v>1267</v>
      </c>
      <c r="H3829" s="380" t="s">
        <v>771</v>
      </c>
      <c r="I3829" s="380" t="s">
        <v>817</v>
      </c>
      <c r="J3829" s="380" t="s">
        <v>773</v>
      </c>
      <c r="K3829" s="381">
        <v>0.0</v>
      </c>
      <c r="L3829" s="382">
        <v>1.0</v>
      </c>
    </row>
    <row r="3830">
      <c r="A3830" s="380" t="s">
        <v>4695</v>
      </c>
      <c r="B3830" s="380" t="str">
        <f>IFERROR(__xludf.DUMMYFUNCTION("""COMPUTED_VALUE"""),"Jaula Irregular Modificada 1.20 X 1.25 X")</f>
        <v>Jaula Irregular Modificada 1.20 X 1.25 X</v>
      </c>
      <c r="C3830" s="380" t="str">
        <f>IFERROR(__xludf.DUMMYFUNCTION("""COMPUTED_VALUE"""),"50001459")</f>
        <v>50001459</v>
      </c>
      <c r="D3830" s="380" t="s">
        <v>767</v>
      </c>
      <c r="E3830" s="380" t="s">
        <v>781</v>
      </c>
      <c r="F3830" s="380" t="s">
        <v>4691</v>
      </c>
      <c r="G3830" s="380" t="s">
        <v>1267</v>
      </c>
      <c r="H3830" s="380" t="s">
        <v>771</v>
      </c>
      <c r="I3830" s="380" t="s">
        <v>817</v>
      </c>
      <c r="J3830" s="380" t="s">
        <v>773</v>
      </c>
      <c r="K3830" s="381">
        <v>0.0</v>
      </c>
      <c r="L3830" s="382">
        <v>1.0</v>
      </c>
    </row>
    <row r="3831">
      <c r="A3831" s="380" t="s">
        <v>4696</v>
      </c>
      <c r="B3831" s="380" t="str">
        <f>IFERROR(__xludf.DUMMYFUNCTION("""COMPUTED_VALUE"""),"Jaula Paquetera Con Entrepaño 1.0 X 1.2")</f>
        <v>Jaula Paquetera Con Entrepaño 1.0 X 1.2</v>
      </c>
      <c r="C3831" s="380" t="str">
        <f>IFERROR(__xludf.DUMMYFUNCTION("""COMPUTED_VALUE"""),"50001460")</f>
        <v>50001460</v>
      </c>
      <c r="D3831" s="380" t="s">
        <v>767</v>
      </c>
      <c r="E3831" s="380" t="s">
        <v>781</v>
      </c>
      <c r="F3831" s="380" t="s">
        <v>4691</v>
      </c>
      <c r="G3831" s="380" t="s">
        <v>1267</v>
      </c>
      <c r="H3831" s="380" t="s">
        <v>771</v>
      </c>
      <c r="I3831" s="380" t="s">
        <v>817</v>
      </c>
      <c r="J3831" s="380" t="s">
        <v>773</v>
      </c>
      <c r="K3831" s="381">
        <v>0.0</v>
      </c>
      <c r="L3831" s="382">
        <v>1.0</v>
      </c>
    </row>
    <row r="3832">
      <c r="A3832" s="380" t="s">
        <v>4697</v>
      </c>
      <c r="B3832" s="380" t="str">
        <f>IFERROR(__xludf.DUMMYFUNCTION("""COMPUTED_VALUE"""),"Jaula Irregular 1.20 X 1.25 X 2.00 Mt")</f>
        <v>Jaula Irregular 1.20 X 1.25 X 2.00 Mt</v>
      </c>
      <c r="C3832" s="380" t="str">
        <f>IFERROR(__xludf.DUMMYFUNCTION("""COMPUTED_VALUE"""),"50001461")</f>
        <v>50001461</v>
      </c>
      <c r="D3832" s="380" t="s">
        <v>767</v>
      </c>
      <c r="E3832" s="380" t="s">
        <v>781</v>
      </c>
      <c r="F3832" s="380" t="s">
        <v>4691</v>
      </c>
      <c r="G3832" s="380" t="s">
        <v>1267</v>
      </c>
      <c r="H3832" s="380" t="s">
        <v>771</v>
      </c>
      <c r="I3832" s="380" t="s">
        <v>817</v>
      </c>
      <c r="J3832" s="380" t="s">
        <v>773</v>
      </c>
      <c r="K3832" s="381">
        <v>0.0</v>
      </c>
      <c r="L3832" s="382">
        <v>1.0</v>
      </c>
    </row>
    <row r="3833">
      <c r="A3833" s="380" t="s">
        <v>4698</v>
      </c>
      <c r="B3833" s="380" t="str">
        <f>IFERROR(__xludf.DUMMYFUNCTION("""COMPUTED_VALUE"""),"Jaula Paquetera 1.0 X 1.2 X 2.3 Mt")</f>
        <v>Jaula Paquetera 1.0 X 1.2 X 2.3 Mt</v>
      </c>
      <c r="C3833" s="380" t="str">
        <f>IFERROR(__xludf.DUMMYFUNCTION("""COMPUTED_VALUE"""),"50001462")</f>
        <v>50001462</v>
      </c>
      <c r="D3833" s="380" t="s">
        <v>767</v>
      </c>
      <c r="E3833" s="380" t="s">
        <v>781</v>
      </c>
      <c r="F3833" s="380" t="s">
        <v>4691</v>
      </c>
      <c r="G3833" s="380" t="s">
        <v>1267</v>
      </c>
      <c r="H3833" s="380" t="s">
        <v>771</v>
      </c>
      <c r="I3833" s="380" t="s">
        <v>817</v>
      </c>
      <c r="J3833" s="380" t="s">
        <v>773</v>
      </c>
      <c r="K3833" s="381">
        <v>0.0</v>
      </c>
      <c r="L3833" s="382">
        <v>1.0</v>
      </c>
    </row>
    <row r="3834">
      <c r="A3834" s="380" t="s">
        <v>4699</v>
      </c>
      <c r="B3834" s="380" t="str">
        <f>IFERROR(__xludf.DUMMYFUNCTION("""COMPUTED_VALUE"""),"Pistola Electron Surtido Alemite Ela3671")</f>
        <v>Pistola Electron Surtido Alemite Ela3671</v>
      </c>
      <c r="C3834" s="380" t="str">
        <f>IFERROR(__xludf.DUMMYFUNCTION("""COMPUTED_VALUE"""),"50001463")</f>
        <v>50001463</v>
      </c>
      <c r="D3834" s="380" t="s">
        <v>767</v>
      </c>
      <c r="E3834" s="380" t="s">
        <v>781</v>
      </c>
      <c r="F3834" s="380" t="s">
        <v>782</v>
      </c>
      <c r="G3834" s="380" t="s">
        <v>1267</v>
      </c>
      <c r="H3834" s="380" t="s">
        <v>771</v>
      </c>
      <c r="I3834" s="380" t="s">
        <v>784</v>
      </c>
      <c r="J3834" s="380" t="s">
        <v>773</v>
      </c>
      <c r="K3834" s="381">
        <v>0.0</v>
      </c>
      <c r="L3834" s="382">
        <v>1.0</v>
      </c>
    </row>
    <row r="3835">
      <c r="A3835" s="380" t="s">
        <v>4700</v>
      </c>
      <c r="B3835" s="380" t="str">
        <f>IFERROR(__xludf.DUMMYFUNCTION("""COMPUTED_VALUE"""),"Diferencial De 5.0 Ton. Yale")</f>
        <v>Diferencial De 5.0 Ton. Yale</v>
      </c>
      <c r="C3835" s="380" t="str">
        <f>IFERROR(__xludf.DUMMYFUNCTION("""COMPUTED_VALUE"""),"50001464")</f>
        <v>50001464</v>
      </c>
      <c r="D3835" s="380" t="s">
        <v>767</v>
      </c>
      <c r="E3835" s="380" t="s">
        <v>781</v>
      </c>
      <c r="F3835" s="380" t="s">
        <v>782</v>
      </c>
      <c r="G3835" s="380" t="s">
        <v>1267</v>
      </c>
      <c r="H3835" s="380" t="s">
        <v>771</v>
      </c>
      <c r="I3835" s="380" t="s">
        <v>784</v>
      </c>
      <c r="J3835" s="380" t="s">
        <v>773</v>
      </c>
      <c r="K3835" s="381">
        <v>0.0</v>
      </c>
      <c r="L3835" s="382">
        <v>1.0</v>
      </c>
    </row>
    <row r="3836">
      <c r="A3836" s="380" t="s">
        <v>4701</v>
      </c>
      <c r="B3836" s="380" t="str">
        <f>IFERROR(__xludf.DUMMYFUNCTION("""COMPUTED_VALUE"""),"Prensa De Banco # 1")</f>
        <v>Prensa De Banco # 1</v>
      </c>
      <c r="C3836" s="380" t="str">
        <f>IFERROR(__xludf.DUMMYFUNCTION("""COMPUTED_VALUE"""),"50001465")</f>
        <v>50001465</v>
      </c>
      <c r="D3836" s="380" t="s">
        <v>767</v>
      </c>
      <c r="E3836" s="380" t="s">
        <v>781</v>
      </c>
      <c r="F3836" s="380" t="s">
        <v>782</v>
      </c>
      <c r="G3836" s="380" t="s">
        <v>1267</v>
      </c>
      <c r="H3836" s="380" t="s">
        <v>771</v>
      </c>
      <c r="I3836" s="380" t="s">
        <v>784</v>
      </c>
      <c r="J3836" s="380" t="s">
        <v>773</v>
      </c>
      <c r="K3836" s="381">
        <v>0.0</v>
      </c>
      <c r="L3836" s="382">
        <v>1.0</v>
      </c>
    </row>
    <row r="3837">
      <c r="A3837" s="380" t="s">
        <v>4702</v>
      </c>
      <c r="B3837" s="380" t="str">
        <f>IFERROR(__xludf.DUMMYFUNCTION("""COMPUTED_VALUE"""),"Tramo De Acero 1 1/2 X 4 3/4 Pasador PTA")</f>
        <v>Tramo De Acero 1 1/2 X 4 3/4 Pasador PTA</v>
      </c>
      <c r="C3837" s="380" t="str">
        <f>IFERROR(__xludf.DUMMYFUNCTION("""COMPUTED_VALUE"""),"50001466")</f>
        <v>50001466</v>
      </c>
      <c r="D3837" s="380" t="s">
        <v>767</v>
      </c>
      <c r="E3837" s="380" t="s">
        <v>781</v>
      </c>
      <c r="F3837" s="380" t="s">
        <v>4685</v>
      </c>
      <c r="G3837" s="380" t="s">
        <v>1267</v>
      </c>
      <c r="H3837" s="380" t="s">
        <v>771</v>
      </c>
      <c r="I3837" s="380" t="s">
        <v>817</v>
      </c>
      <c r="J3837" s="380" t="s">
        <v>773</v>
      </c>
      <c r="K3837" s="381">
        <v>0.0</v>
      </c>
      <c r="L3837" s="382">
        <v>1.0</v>
      </c>
    </row>
    <row r="3838">
      <c r="A3838" s="380" t="s">
        <v>4703</v>
      </c>
      <c r="B3838" s="380" t="str">
        <f>IFERROR(__xludf.DUMMYFUNCTION("""COMPUTED_VALUE"""),"Kit De Sonda Para Tanque Con B R114.12")</f>
        <v>Kit De Sonda Para Tanque Con B R114.12</v>
      </c>
      <c r="C3838" s="380" t="str">
        <f>IFERROR(__xludf.DUMMYFUNCTION("""COMPUTED_VALUE"""),"50001467")</f>
        <v>50001467</v>
      </c>
      <c r="D3838" s="380" t="s">
        <v>767</v>
      </c>
      <c r="E3838" s="380" t="s">
        <v>781</v>
      </c>
      <c r="F3838" s="380" t="s">
        <v>4685</v>
      </c>
      <c r="G3838" s="380" t="s">
        <v>1267</v>
      </c>
      <c r="H3838" s="380" t="s">
        <v>771</v>
      </c>
      <c r="I3838" s="380" t="s">
        <v>817</v>
      </c>
      <c r="J3838" s="380" t="s">
        <v>773</v>
      </c>
      <c r="K3838" s="381">
        <v>0.0</v>
      </c>
      <c r="L3838" s="382">
        <v>1.0</v>
      </c>
    </row>
    <row r="3839">
      <c r="A3839" s="380" t="s">
        <v>4704</v>
      </c>
      <c r="B3839" s="380" t="str">
        <f>IFERROR(__xludf.DUMMYFUNCTION("""COMPUTED_VALUE"""),"Scanet100 Safe Barrier (Hasta R111.23")</f>
        <v>Scanet100 Safe Barrier (Hasta R111.23</v>
      </c>
      <c r="C3839" s="380" t="str">
        <f>IFERROR(__xludf.DUMMYFUNCTION("""COMPUTED_VALUE"""),"50001468")</f>
        <v>50001468</v>
      </c>
      <c r="D3839" s="380" t="s">
        <v>767</v>
      </c>
      <c r="E3839" s="380" t="s">
        <v>781</v>
      </c>
      <c r="F3839" s="380" t="s">
        <v>4685</v>
      </c>
      <c r="G3839" s="380" t="s">
        <v>1267</v>
      </c>
      <c r="H3839" s="380" t="s">
        <v>771</v>
      </c>
      <c r="I3839" s="380" t="s">
        <v>817</v>
      </c>
      <c r="J3839" s="380" t="s">
        <v>773</v>
      </c>
      <c r="K3839" s="381">
        <v>0.0</v>
      </c>
      <c r="L3839" s="382">
        <v>1.0</v>
      </c>
    </row>
    <row r="3840">
      <c r="A3840" s="380" t="s">
        <v>4705</v>
      </c>
      <c r="B3840" s="380" t="str">
        <f>IFERROR(__xludf.DUMMYFUNCTION("""COMPUTED_VALUE"""),"Sensor Nivel De Inventario Spe R114.47")</f>
        <v>Sensor Nivel De Inventario Spe R114.47</v>
      </c>
      <c r="C3840" s="380" t="str">
        <f>IFERROR(__xludf.DUMMYFUNCTION("""COMPUTED_VALUE"""),"50001469")</f>
        <v>50001469</v>
      </c>
      <c r="D3840" s="380" t="s">
        <v>767</v>
      </c>
      <c r="E3840" s="380" t="s">
        <v>781</v>
      </c>
      <c r="F3840" s="380" t="s">
        <v>4685</v>
      </c>
      <c r="G3840" s="380" t="s">
        <v>1267</v>
      </c>
      <c r="H3840" s="380" t="s">
        <v>771</v>
      </c>
      <c r="I3840" s="380" t="s">
        <v>817</v>
      </c>
      <c r="J3840" s="380" t="s">
        <v>773</v>
      </c>
      <c r="K3840" s="381">
        <v>0.0</v>
      </c>
      <c r="L3840" s="382">
        <v>1.0</v>
      </c>
    </row>
    <row r="3841">
      <c r="A3841" s="380" t="s">
        <v>4706</v>
      </c>
      <c r="B3841" s="380" t="str">
        <f>IFERROR(__xludf.DUMMYFUNCTION("""COMPUTED_VALUE"""),"Valvula Anti Retorno Tanque Acpm")</f>
        <v>Valvula Anti Retorno Tanque Acpm</v>
      </c>
      <c r="C3841" s="380" t="str">
        <f>IFERROR(__xludf.DUMMYFUNCTION("""COMPUTED_VALUE"""),"50001470")</f>
        <v>50001470</v>
      </c>
      <c r="D3841" s="380" t="s">
        <v>767</v>
      </c>
      <c r="E3841" s="380" t="s">
        <v>781</v>
      </c>
      <c r="F3841" s="380" t="s">
        <v>4685</v>
      </c>
      <c r="G3841" s="380" t="s">
        <v>1267</v>
      </c>
      <c r="H3841" s="380" t="s">
        <v>771</v>
      </c>
      <c r="I3841" s="380" t="s">
        <v>817</v>
      </c>
      <c r="J3841" s="380" t="s">
        <v>773</v>
      </c>
      <c r="K3841" s="381">
        <v>0.0</v>
      </c>
      <c r="L3841" s="382">
        <v>1.0</v>
      </c>
    </row>
    <row r="3842">
      <c r="A3842" s="380" t="s">
        <v>4707</v>
      </c>
      <c r="B3842" s="380" t="str">
        <f>IFERROR(__xludf.DUMMYFUNCTION("""COMPUTED_VALUE"""),"Valvula Cierre Tanque Combustible 1 1/2")</f>
        <v>Valvula Cierre Tanque Combustible 1 1/2</v>
      </c>
      <c r="C3842" s="380" t="str">
        <f>IFERROR(__xludf.DUMMYFUNCTION("""COMPUTED_VALUE"""),"50001471")</f>
        <v>50001471</v>
      </c>
      <c r="D3842" s="380" t="s">
        <v>767</v>
      </c>
      <c r="E3842" s="380" t="s">
        <v>781</v>
      </c>
      <c r="F3842" s="380" t="s">
        <v>4685</v>
      </c>
      <c r="G3842" s="380" t="s">
        <v>1267</v>
      </c>
      <c r="H3842" s="380" t="s">
        <v>771</v>
      </c>
      <c r="I3842" s="380" t="s">
        <v>817</v>
      </c>
      <c r="J3842" s="380" t="s">
        <v>773</v>
      </c>
      <c r="K3842" s="381">
        <v>0.0</v>
      </c>
      <c r="L3842" s="382">
        <v>1.0</v>
      </c>
    </row>
    <row r="3843">
      <c r="A3843" s="380" t="s">
        <v>4708</v>
      </c>
      <c r="B3843" s="380" t="str">
        <f>IFERROR(__xludf.DUMMYFUNCTION("""COMPUTED_VALUE"""),"Valvula Cierre Tanque Combustible 1/2")</f>
        <v>Valvula Cierre Tanque Combustible 1/2</v>
      </c>
      <c r="C3843" s="380" t="str">
        <f>IFERROR(__xludf.DUMMYFUNCTION("""COMPUTED_VALUE"""),"50001472")</f>
        <v>50001472</v>
      </c>
      <c r="D3843" s="380" t="s">
        <v>767</v>
      </c>
      <c r="E3843" s="380" t="s">
        <v>781</v>
      </c>
      <c r="F3843" s="380" t="s">
        <v>4685</v>
      </c>
      <c r="G3843" s="380" t="s">
        <v>1267</v>
      </c>
      <c r="H3843" s="380" t="s">
        <v>771</v>
      </c>
      <c r="I3843" s="380" t="s">
        <v>817</v>
      </c>
      <c r="J3843" s="380" t="s">
        <v>773</v>
      </c>
      <c r="K3843" s="381">
        <v>0.0</v>
      </c>
      <c r="L3843" s="382">
        <v>1.0</v>
      </c>
    </row>
    <row r="3844">
      <c r="A3844" s="380" t="s">
        <v>4709</v>
      </c>
      <c r="B3844" s="380" t="str">
        <f>IFERROR(__xludf.DUMMYFUNCTION("""COMPUTED_VALUE"""),"Kit Mantenimiento De Bomba R101 24 1")</f>
        <v>Kit Mantenimiento De Bomba R101 24 1</v>
      </c>
      <c r="C3844" s="380" t="str">
        <f>IFERROR(__xludf.DUMMYFUNCTION("""COMPUTED_VALUE"""),"50001473")</f>
        <v>50001473</v>
      </c>
      <c r="D3844" s="380" t="s">
        <v>767</v>
      </c>
      <c r="E3844" s="380" t="s">
        <v>781</v>
      </c>
      <c r="F3844" s="380" t="s">
        <v>4685</v>
      </c>
      <c r="G3844" s="380" t="s">
        <v>1267</v>
      </c>
      <c r="H3844" s="380" t="s">
        <v>771</v>
      </c>
      <c r="I3844" s="380" t="s">
        <v>817</v>
      </c>
      <c r="J3844" s="380" t="s">
        <v>773</v>
      </c>
      <c r="K3844" s="381">
        <v>0.0</v>
      </c>
      <c r="L3844" s="382">
        <v>1.0</v>
      </c>
    </row>
    <row r="3845">
      <c r="A3845" s="380" t="s">
        <v>4710</v>
      </c>
      <c r="B3845" s="380" t="str">
        <f>IFERROR(__xludf.DUMMYFUNCTION("""COMPUTED_VALUE"""),"Display Surtidor Eds Smartdispenser K08.")</f>
        <v>Display Surtidor Eds Smartdispenser K08.</v>
      </c>
      <c r="C3845" s="380" t="str">
        <f>IFERROR(__xludf.DUMMYFUNCTION("""COMPUTED_VALUE"""),"50001474")</f>
        <v>50001474</v>
      </c>
      <c r="D3845" s="380" t="s">
        <v>767</v>
      </c>
      <c r="E3845" s="380" t="s">
        <v>781</v>
      </c>
      <c r="F3845" s="380" t="s">
        <v>4685</v>
      </c>
      <c r="G3845" s="380" t="s">
        <v>1267</v>
      </c>
      <c r="H3845" s="380" t="s">
        <v>771</v>
      </c>
      <c r="I3845" s="380" t="s">
        <v>817</v>
      </c>
      <c r="J3845" s="380" t="s">
        <v>773</v>
      </c>
      <c r="K3845" s="381">
        <v>0.0</v>
      </c>
      <c r="L3845" s="382">
        <v>1.0</v>
      </c>
    </row>
    <row r="3846">
      <c r="A3846" s="380" t="s">
        <v>4711</v>
      </c>
      <c r="B3846" s="380" t="str">
        <f>IFERROR(__xludf.DUMMYFUNCTION("""COMPUTED_VALUE"""),"Tarjeta Potencia 1 Producto Surtidor COM")</f>
        <v>Tarjeta Potencia 1 Producto Surtidor COM</v>
      </c>
      <c r="C3846" s="380" t="str">
        <f>IFERROR(__xludf.DUMMYFUNCTION("""COMPUTED_VALUE"""),"50001475")</f>
        <v>50001475</v>
      </c>
      <c r="D3846" s="380" t="s">
        <v>767</v>
      </c>
      <c r="E3846" s="380" t="s">
        <v>781</v>
      </c>
      <c r="F3846" s="380" t="s">
        <v>4685</v>
      </c>
      <c r="G3846" s="380" t="s">
        <v>1267</v>
      </c>
      <c r="H3846" s="380" t="s">
        <v>771</v>
      </c>
      <c r="I3846" s="380" t="s">
        <v>817</v>
      </c>
      <c r="J3846" s="380" t="s">
        <v>773</v>
      </c>
      <c r="K3846" s="381">
        <v>0.0</v>
      </c>
      <c r="L3846" s="382">
        <v>1.0</v>
      </c>
    </row>
    <row r="3847">
      <c r="A3847" s="380" t="s">
        <v>4712</v>
      </c>
      <c r="B3847" s="380" t="str">
        <f>IFERROR(__xludf.DUMMYFUNCTION("""COMPUTED_VALUE"""),"Tarjeta De Panel Sin Display Surtidor CO")</f>
        <v>Tarjeta De Panel Sin Display Surtidor CO</v>
      </c>
      <c r="C3847" s="380" t="str">
        <f>IFERROR(__xludf.DUMMYFUNCTION("""COMPUTED_VALUE"""),"50001476")</f>
        <v>50001476</v>
      </c>
      <c r="D3847" s="380" t="s">
        <v>767</v>
      </c>
      <c r="E3847" s="380" t="s">
        <v>781</v>
      </c>
      <c r="F3847" s="380" t="s">
        <v>4685</v>
      </c>
      <c r="G3847" s="380" t="s">
        <v>1267</v>
      </c>
      <c r="H3847" s="380" t="s">
        <v>771</v>
      </c>
      <c r="I3847" s="380" t="s">
        <v>817</v>
      </c>
      <c r="J3847" s="380" t="s">
        <v>773</v>
      </c>
      <c r="K3847" s="381">
        <v>0.0</v>
      </c>
      <c r="L3847" s="382">
        <v>1.0</v>
      </c>
    </row>
    <row r="3848">
      <c r="A3848" s="380" t="s">
        <v>4713</v>
      </c>
      <c r="B3848" s="380" t="str">
        <f>IFERROR(__xludf.DUMMYFUNCTION("""COMPUTED_VALUE"""),"Tarjeta Sca2 INTface Net Surtidor COMB")</f>
        <v>Tarjeta Sca2 INTface Net Surtidor COMB</v>
      </c>
      <c r="C3848" s="380" t="str">
        <f>IFERROR(__xludf.DUMMYFUNCTION("""COMPUTED_VALUE"""),"50001477")</f>
        <v>50001477</v>
      </c>
      <c r="D3848" s="380" t="s">
        <v>767</v>
      </c>
      <c r="E3848" s="380" t="s">
        <v>781</v>
      </c>
      <c r="F3848" s="380" t="s">
        <v>4685</v>
      </c>
      <c r="G3848" s="380" t="s">
        <v>1267</v>
      </c>
      <c r="H3848" s="380" t="s">
        <v>771</v>
      </c>
      <c r="I3848" s="380" t="s">
        <v>817</v>
      </c>
      <c r="J3848" s="380" t="s">
        <v>773</v>
      </c>
      <c r="K3848" s="381">
        <v>0.0</v>
      </c>
      <c r="L3848" s="382">
        <v>1.0</v>
      </c>
    </row>
    <row r="3849">
      <c r="A3849" s="380" t="s">
        <v>4714</v>
      </c>
      <c r="B3849" s="380" t="str">
        <f>IFERROR(__xludf.DUMMYFUNCTION("""COMPUTED_VALUE"""),"Cincel 3/8 Tipo B")</f>
        <v>Cincel 3/8 Tipo B</v>
      </c>
      <c r="C3849" s="380" t="str">
        <f>IFERROR(__xludf.DUMMYFUNCTION("""COMPUTED_VALUE"""),"50001480")</f>
        <v>50001480</v>
      </c>
      <c r="D3849" s="380" t="s">
        <v>767</v>
      </c>
      <c r="E3849" s="380" t="s">
        <v>781</v>
      </c>
      <c r="F3849" s="380" t="s">
        <v>782</v>
      </c>
      <c r="G3849" s="380" t="s">
        <v>1267</v>
      </c>
      <c r="H3849" s="380" t="s">
        <v>771</v>
      </c>
      <c r="I3849" s="380" t="s">
        <v>784</v>
      </c>
      <c r="J3849" s="380" t="s">
        <v>773</v>
      </c>
      <c r="K3849" s="381">
        <v>0.0</v>
      </c>
      <c r="L3849" s="382">
        <v>1.0</v>
      </c>
    </row>
    <row r="3850">
      <c r="A3850" s="380" t="s">
        <v>4715</v>
      </c>
      <c r="B3850" s="380" t="str">
        <f>IFERROR(__xludf.DUMMYFUNCTION("""COMPUTED_VALUE"""),"Llave Mixta 16 Mm Proto")</f>
        <v>Llave Mixta 16 Mm Proto</v>
      </c>
      <c r="C3850" s="380" t="str">
        <f>IFERROR(__xludf.DUMMYFUNCTION("""COMPUTED_VALUE"""),"50001481")</f>
        <v>50001481</v>
      </c>
      <c r="D3850" s="380" t="s">
        <v>767</v>
      </c>
      <c r="E3850" s="380" t="s">
        <v>781</v>
      </c>
      <c r="F3850" s="380" t="s">
        <v>782</v>
      </c>
      <c r="G3850" s="380" t="s">
        <v>1267</v>
      </c>
      <c r="H3850" s="380" t="s">
        <v>771</v>
      </c>
      <c r="I3850" s="380" t="s">
        <v>784</v>
      </c>
      <c r="J3850" s="380" t="s">
        <v>773</v>
      </c>
      <c r="K3850" s="381">
        <v>0.0</v>
      </c>
      <c r="L3850" s="382">
        <v>1.0</v>
      </c>
    </row>
    <row r="3851">
      <c r="A3851" s="380" t="s">
        <v>4716</v>
      </c>
      <c r="B3851" s="380" t="str">
        <f>IFERROR(__xludf.DUMMYFUNCTION("""COMPUTED_VALUE"""),"Exte Extension Cuadrante 1/2 X 5"" Tipo B")</f>
        <v>Exte Extension Cuadrante 1/2 X 5" Tipo B</v>
      </c>
      <c r="C3851" s="380" t="str">
        <f>IFERROR(__xludf.DUMMYFUNCTION("""COMPUTED_VALUE"""),"50001482")</f>
        <v>50001482</v>
      </c>
      <c r="D3851" s="380" t="s">
        <v>767</v>
      </c>
      <c r="E3851" s="380" t="s">
        <v>781</v>
      </c>
      <c r="F3851" s="380" t="s">
        <v>782</v>
      </c>
      <c r="G3851" s="380" t="s">
        <v>1267</v>
      </c>
      <c r="H3851" s="380" t="s">
        <v>771</v>
      </c>
      <c r="I3851" s="380" t="s">
        <v>784</v>
      </c>
      <c r="J3851" s="380" t="s">
        <v>773</v>
      </c>
      <c r="K3851" s="381">
        <v>0.0</v>
      </c>
      <c r="L3851" s="382">
        <v>1.0</v>
      </c>
    </row>
    <row r="3852">
      <c r="A3852" s="380" t="s">
        <v>4717</v>
      </c>
      <c r="B3852" s="380" t="str">
        <f>IFERROR(__xludf.DUMMYFUNCTION("""COMPUTED_VALUE"""),"Juego 10 Piezas Brocas Sds Plus D-45820")</f>
        <v>Juego 10 Piezas Brocas Sds Plus D-45820</v>
      </c>
      <c r="C3852" s="380" t="str">
        <f>IFERROR(__xludf.DUMMYFUNCTION("""COMPUTED_VALUE"""),"50001483")</f>
        <v>50001483</v>
      </c>
      <c r="D3852" s="380" t="s">
        <v>767</v>
      </c>
      <c r="E3852" s="380" t="s">
        <v>781</v>
      </c>
      <c r="F3852" s="380" t="s">
        <v>782</v>
      </c>
      <c r="G3852" s="380" t="s">
        <v>1267</v>
      </c>
      <c r="H3852" s="380" t="s">
        <v>771</v>
      </c>
      <c r="I3852" s="380" t="s">
        <v>784</v>
      </c>
      <c r="J3852" s="380" t="s">
        <v>773</v>
      </c>
      <c r="K3852" s="381">
        <v>0.0</v>
      </c>
      <c r="L3852" s="382">
        <v>1.0</v>
      </c>
    </row>
    <row r="3853">
      <c r="A3853" s="380" t="s">
        <v>4718</v>
      </c>
      <c r="B3853" s="380" t="str">
        <f>IFERROR(__xludf.DUMMYFUNCTION("""COMPUTED_VALUE"""),"Juego Puntas De Impacto 5 Piezas Estrell")</f>
        <v>Juego Puntas De Impacto 5 Piezas Estrell</v>
      </c>
      <c r="C3853" s="380" t="str">
        <f>IFERROR(__xludf.DUMMYFUNCTION("""COMPUTED_VALUE"""),"50001484")</f>
        <v>50001484</v>
      </c>
      <c r="D3853" s="380" t="s">
        <v>767</v>
      </c>
      <c r="E3853" s="380" t="s">
        <v>781</v>
      </c>
      <c r="F3853" s="380" t="s">
        <v>782</v>
      </c>
      <c r="G3853" s="380" t="s">
        <v>1267</v>
      </c>
      <c r="H3853" s="380" t="s">
        <v>771</v>
      </c>
      <c r="I3853" s="380" t="s">
        <v>784</v>
      </c>
      <c r="J3853" s="380" t="s">
        <v>773</v>
      </c>
      <c r="K3853" s="381">
        <v>0.0</v>
      </c>
      <c r="L3853" s="382">
        <v>1.0</v>
      </c>
    </row>
    <row r="3854">
      <c r="A3854" s="380" t="s">
        <v>4719</v>
      </c>
      <c r="B3854" s="380" t="str">
        <f>IFERROR(__xludf.DUMMYFUNCTION("""COMPUTED_VALUE"""),"Baliza Giratoria Led Flash 12/24v Ambar")</f>
        <v>Baliza Giratoria Led Flash 12/24v Ambar</v>
      </c>
      <c r="C3854" s="380" t="str">
        <f>IFERROR(__xludf.DUMMYFUNCTION("""COMPUTED_VALUE"""),"50001485")</f>
        <v>50001485</v>
      </c>
      <c r="D3854" s="380" t="s">
        <v>767</v>
      </c>
      <c r="E3854" s="380" t="s">
        <v>781</v>
      </c>
      <c r="F3854" s="380" t="s">
        <v>782</v>
      </c>
      <c r="G3854" s="380" t="s">
        <v>1267</v>
      </c>
      <c r="H3854" s="380" t="s">
        <v>771</v>
      </c>
      <c r="I3854" s="380" t="s">
        <v>784</v>
      </c>
      <c r="J3854" s="380" t="s">
        <v>773</v>
      </c>
      <c r="K3854" s="381">
        <v>0.0</v>
      </c>
      <c r="L3854" s="382">
        <v>1.0</v>
      </c>
    </row>
    <row r="3855">
      <c r="A3855" s="380" t="s">
        <v>4720</v>
      </c>
      <c r="B3855" s="380" t="str">
        <f>IFERROR(__xludf.DUMMYFUNCTION("""COMPUTED_VALUE"""),"Tarraja Manual 3 Cabezales De 1/2"" A 1""")</f>
        <v>Tarraja Manual 3 Cabezales De 1/2" A 1"</v>
      </c>
      <c r="C3855" s="380" t="str">
        <f>IFERROR(__xludf.DUMMYFUNCTION("""COMPUTED_VALUE"""),"50001486")</f>
        <v>50001486</v>
      </c>
      <c r="D3855" s="380" t="s">
        <v>767</v>
      </c>
      <c r="E3855" s="380" t="s">
        <v>781</v>
      </c>
      <c r="F3855" s="380" t="s">
        <v>782</v>
      </c>
      <c r="G3855" s="380" t="s">
        <v>1267</v>
      </c>
      <c r="H3855" s="380" t="s">
        <v>771</v>
      </c>
      <c r="I3855" s="380" t="s">
        <v>784</v>
      </c>
      <c r="J3855" s="380" t="s">
        <v>773</v>
      </c>
      <c r="K3855" s="381">
        <v>0.0</v>
      </c>
      <c r="L3855" s="382">
        <v>1.0</v>
      </c>
    </row>
    <row r="3856">
      <c r="A3856" s="380" t="s">
        <v>4721</v>
      </c>
      <c r="B3856" s="380" t="str">
        <f>IFERROR(__xludf.DUMMYFUNCTION("""COMPUTED_VALUE"""),"Instalador RET Cigueñal Daf Cf 480 14531")</f>
        <v>Instalador RET Cigueñal Daf Cf 480 14531</v>
      </c>
      <c r="C3856" s="380" t="str">
        <f>IFERROR(__xludf.DUMMYFUNCTION("""COMPUTED_VALUE"""),"50001487")</f>
        <v>50001487</v>
      </c>
      <c r="D3856" s="380" t="s">
        <v>767</v>
      </c>
      <c r="E3856" s="380" t="s">
        <v>781</v>
      </c>
      <c r="F3856" s="380" t="s">
        <v>782</v>
      </c>
      <c r="G3856" s="380" t="s">
        <v>1267</v>
      </c>
      <c r="H3856" s="380" t="s">
        <v>771</v>
      </c>
      <c r="I3856" s="380" t="s">
        <v>784</v>
      </c>
      <c r="J3856" s="380" t="s">
        <v>773</v>
      </c>
      <c r="K3856" s="381">
        <v>0.0</v>
      </c>
      <c r="L3856" s="382">
        <v>1.0</v>
      </c>
    </row>
    <row r="3857">
      <c r="A3857" s="380" t="s">
        <v>4722</v>
      </c>
      <c r="B3857" s="380" t="str">
        <f>IFERROR(__xludf.DUMMYFUNCTION("""COMPUTED_VALUE"""),"Cinta De Medicion Nivel De Tanques")</f>
        <v>Cinta De Medicion Nivel De Tanques</v>
      </c>
      <c r="C3857" s="380" t="str">
        <f>IFERROR(__xludf.DUMMYFUNCTION("""COMPUTED_VALUE"""),"50001488")</f>
        <v>50001488</v>
      </c>
      <c r="D3857" s="380" t="s">
        <v>767</v>
      </c>
      <c r="E3857" s="380" t="s">
        <v>781</v>
      </c>
      <c r="F3857" s="380" t="s">
        <v>819</v>
      </c>
      <c r="G3857" s="380" t="s">
        <v>1267</v>
      </c>
      <c r="H3857" s="380" t="s">
        <v>771</v>
      </c>
      <c r="I3857" s="380" t="s">
        <v>817</v>
      </c>
      <c r="J3857" s="380" t="s">
        <v>773</v>
      </c>
      <c r="K3857" s="381">
        <v>0.0</v>
      </c>
      <c r="L3857" s="382">
        <v>1.0</v>
      </c>
    </row>
    <row r="3858">
      <c r="A3858" s="380" t="s">
        <v>4723</v>
      </c>
      <c r="B3858" s="380" t="str">
        <f>IFERROR(__xludf.DUMMYFUNCTION("""COMPUTED_VALUE"""),"Vidrio Mirilla Compresor Aire 2hp Taller")</f>
        <v>Vidrio Mirilla Compresor Aire 2hp Taller</v>
      </c>
      <c r="C3858" s="380" t="str">
        <f>IFERROR(__xludf.DUMMYFUNCTION("""COMPUTED_VALUE"""),"50001489")</f>
        <v>50001489</v>
      </c>
      <c r="D3858" s="380" t="s">
        <v>767</v>
      </c>
      <c r="E3858" s="380" t="s">
        <v>781</v>
      </c>
      <c r="F3858" s="380" t="s">
        <v>782</v>
      </c>
      <c r="G3858" s="380" t="s">
        <v>1267</v>
      </c>
      <c r="H3858" s="380" t="s">
        <v>771</v>
      </c>
      <c r="I3858" s="380" t="s">
        <v>784</v>
      </c>
      <c r="J3858" s="380" t="s">
        <v>773</v>
      </c>
      <c r="K3858" s="381">
        <v>0.0</v>
      </c>
      <c r="L3858" s="382">
        <v>1.0</v>
      </c>
    </row>
    <row r="3859">
      <c r="A3859" s="380" t="s">
        <v>4724</v>
      </c>
      <c r="B3859" s="380" t="str">
        <f>IFERROR(__xludf.DUMMYFUNCTION("""COMPUTED_VALUE"""),"Punta Logica Vehiculos 12v - 24v")</f>
        <v>Punta Logica Vehiculos 12v - 24v</v>
      </c>
      <c r="C3859" s="380" t="str">
        <f>IFERROR(__xludf.DUMMYFUNCTION("""COMPUTED_VALUE"""),"50001490")</f>
        <v>50001490</v>
      </c>
      <c r="D3859" s="380" t="s">
        <v>767</v>
      </c>
      <c r="E3859" s="380" t="s">
        <v>781</v>
      </c>
      <c r="F3859" s="380" t="s">
        <v>782</v>
      </c>
      <c r="G3859" s="380" t="s">
        <v>1267</v>
      </c>
      <c r="H3859" s="380" t="s">
        <v>771</v>
      </c>
      <c r="I3859" s="380" t="s">
        <v>784</v>
      </c>
      <c r="J3859" s="380" t="s">
        <v>773</v>
      </c>
      <c r="K3859" s="381">
        <v>0.0</v>
      </c>
      <c r="L3859" s="382">
        <v>1.0</v>
      </c>
    </row>
    <row r="3860">
      <c r="A3860" s="380" t="s">
        <v>4725</v>
      </c>
      <c r="B3860" s="380" t="str">
        <f>IFERROR(__xludf.DUMMYFUNCTION("""COMPUTED_VALUE"""),"Candado Aticizalla 70mm")</f>
        <v>Candado Aticizalla 70mm</v>
      </c>
      <c r="C3860" s="380" t="str">
        <f>IFERROR(__xludf.DUMMYFUNCTION("""COMPUTED_VALUE"""),"50001491")</f>
        <v>50001491</v>
      </c>
      <c r="D3860" s="380" t="s">
        <v>767</v>
      </c>
      <c r="E3860" s="380" t="s">
        <v>781</v>
      </c>
      <c r="F3860" s="380" t="s">
        <v>782</v>
      </c>
      <c r="G3860" s="380" t="s">
        <v>1267</v>
      </c>
      <c r="H3860" s="380" t="s">
        <v>771</v>
      </c>
      <c r="I3860" s="380" t="s">
        <v>784</v>
      </c>
      <c r="J3860" s="380" t="s">
        <v>773</v>
      </c>
      <c r="K3860" s="381">
        <v>0.0</v>
      </c>
      <c r="L3860" s="382">
        <v>1.0</v>
      </c>
    </row>
    <row r="3861">
      <c r="A3861" s="380" t="s">
        <v>4726</v>
      </c>
      <c r="B3861" s="380" t="str">
        <f>IFERROR(__xludf.DUMMYFUNCTION("""COMPUTED_VALUE"""),"Gas Liquido Propano CIL De 100 Libras")</f>
        <v>Gas Liquido Propano CIL De 100 Libras</v>
      </c>
      <c r="C3861" s="380" t="str">
        <f>IFERROR(__xludf.DUMMYFUNCTION("""COMPUTED_VALUE"""),"50001492")</f>
        <v>50001492</v>
      </c>
      <c r="D3861" s="380" t="s">
        <v>767</v>
      </c>
      <c r="E3861" s="380" t="s">
        <v>781</v>
      </c>
      <c r="F3861" s="380" t="s">
        <v>819</v>
      </c>
      <c r="G3861" s="380" t="s">
        <v>1267</v>
      </c>
      <c r="H3861" s="380" t="s">
        <v>771</v>
      </c>
      <c r="I3861" s="380" t="s">
        <v>817</v>
      </c>
      <c r="J3861" s="380" t="s">
        <v>773</v>
      </c>
      <c r="K3861" s="381">
        <v>0.0</v>
      </c>
      <c r="L3861" s="382">
        <v>1.0</v>
      </c>
    </row>
    <row r="3862">
      <c r="A3862" s="380" t="s">
        <v>4727</v>
      </c>
      <c r="B3862" s="380" t="str">
        <f>IFERROR(__xludf.DUMMYFUNCTION("""COMPUTED_VALUE"""),"Barra Logistica Contenedores")</f>
        <v>Barra Logistica Contenedores</v>
      </c>
      <c r="C3862" s="380" t="str">
        <f>IFERROR(__xludf.DUMMYFUNCTION("""COMPUTED_VALUE"""),"50001493")</f>
        <v>50001493</v>
      </c>
      <c r="D3862" s="380" t="s">
        <v>767</v>
      </c>
      <c r="E3862" s="380" t="s">
        <v>781</v>
      </c>
      <c r="F3862" s="380" t="s">
        <v>782</v>
      </c>
      <c r="G3862" s="380" t="s">
        <v>1267</v>
      </c>
      <c r="H3862" s="380" t="s">
        <v>771</v>
      </c>
      <c r="I3862" s="380" t="s">
        <v>784</v>
      </c>
      <c r="J3862" s="380" t="s">
        <v>773</v>
      </c>
      <c r="K3862" s="381">
        <v>0.0</v>
      </c>
      <c r="L3862" s="382">
        <v>1.0</v>
      </c>
    </row>
    <row r="3863">
      <c r="A3863" s="380" t="s">
        <v>4728</v>
      </c>
      <c r="B3863" s="380" t="str">
        <f>IFERROR(__xludf.DUMMYFUNCTION("""COMPUTED_VALUE"""),"Minio Para Ajuste Trasmicion")</f>
        <v>Minio Para Ajuste Trasmicion</v>
      </c>
      <c r="C3863" s="380" t="str">
        <f>IFERROR(__xludf.DUMMYFUNCTION("""COMPUTED_VALUE"""),"50001494")</f>
        <v>50001494</v>
      </c>
      <c r="D3863" s="380" t="s">
        <v>767</v>
      </c>
      <c r="E3863" s="380" t="s">
        <v>781</v>
      </c>
      <c r="F3863" s="380" t="s">
        <v>782</v>
      </c>
      <c r="G3863" s="380" t="s">
        <v>1267</v>
      </c>
      <c r="H3863" s="380" t="s">
        <v>771</v>
      </c>
      <c r="I3863" s="380" t="s">
        <v>784</v>
      </c>
      <c r="J3863" s="380" t="s">
        <v>773</v>
      </c>
      <c r="K3863" s="381">
        <v>0.0</v>
      </c>
      <c r="L3863" s="382">
        <v>1.0</v>
      </c>
    </row>
    <row r="3864">
      <c r="A3864" s="380" t="s">
        <v>4729</v>
      </c>
      <c r="B3864" s="380" t="str">
        <f>IFERROR(__xludf.DUMMYFUNCTION("""COMPUTED_VALUE"""),"Bro Broca Acero Rapido 7/8 Espiga De 1/2")</f>
        <v>Bro Broca Acero Rapido 7/8 Espiga De 1/2</v>
      </c>
      <c r="C3864" s="380" t="str">
        <f>IFERROR(__xludf.DUMMYFUNCTION("""COMPUTED_VALUE"""),"50001495")</f>
        <v>50001495</v>
      </c>
      <c r="D3864" s="380" t="s">
        <v>767</v>
      </c>
      <c r="E3864" s="380" t="s">
        <v>781</v>
      </c>
      <c r="F3864" s="380" t="s">
        <v>782</v>
      </c>
      <c r="G3864" s="380" t="s">
        <v>1267</v>
      </c>
      <c r="H3864" s="380" t="s">
        <v>771</v>
      </c>
      <c r="I3864" s="380" t="s">
        <v>784</v>
      </c>
      <c r="J3864" s="380" t="s">
        <v>773</v>
      </c>
      <c r="K3864" s="381">
        <v>0.0</v>
      </c>
      <c r="L3864" s="382">
        <v>1.0</v>
      </c>
    </row>
    <row r="3865">
      <c r="A3865" s="380" t="s">
        <v>4730</v>
      </c>
      <c r="B3865" s="380" t="str">
        <f>IFERROR(__xludf.DUMMYFUNCTION("""COMPUTED_VALUE"""),"Marcador De Metal Electrico Tx290")</f>
        <v>Marcador De Metal Electrico Tx290</v>
      </c>
      <c r="C3865" s="380" t="str">
        <f>IFERROR(__xludf.DUMMYFUNCTION("""COMPUTED_VALUE"""),"50001496")</f>
        <v>50001496</v>
      </c>
      <c r="D3865" s="380" t="s">
        <v>767</v>
      </c>
      <c r="E3865" s="380" t="s">
        <v>781</v>
      </c>
      <c r="F3865" s="380" t="s">
        <v>782</v>
      </c>
      <c r="G3865" s="380" t="s">
        <v>1267</v>
      </c>
      <c r="H3865" s="380" t="s">
        <v>771</v>
      </c>
      <c r="I3865" s="380" t="s">
        <v>784</v>
      </c>
      <c r="J3865" s="380" t="s">
        <v>773</v>
      </c>
      <c r="K3865" s="381">
        <v>0.0</v>
      </c>
      <c r="L3865" s="382">
        <v>1.0</v>
      </c>
    </row>
    <row r="3866">
      <c r="A3866" s="380" t="s">
        <v>4731</v>
      </c>
      <c r="B3866" s="380" t="str">
        <f>IFERROR(__xludf.DUMMYFUNCTION("""COMPUTED_VALUE"""),"Llave Mixta 11/16 Proto")</f>
        <v>Llave Mixta 11/16 Proto</v>
      </c>
      <c r="C3866" s="380" t="str">
        <f>IFERROR(__xludf.DUMMYFUNCTION("""COMPUTED_VALUE"""),"50001497")</f>
        <v>50001497</v>
      </c>
      <c r="D3866" s="380" t="s">
        <v>767</v>
      </c>
      <c r="E3866" s="380" t="s">
        <v>781</v>
      </c>
      <c r="F3866" s="380" t="s">
        <v>782</v>
      </c>
      <c r="G3866" s="380" t="s">
        <v>1267</v>
      </c>
      <c r="H3866" s="380" t="s">
        <v>771</v>
      </c>
      <c r="I3866" s="380" t="s">
        <v>784</v>
      </c>
      <c r="J3866" s="380" t="s">
        <v>773</v>
      </c>
      <c r="K3866" s="381">
        <v>0.0</v>
      </c>
      <c r="L3866" s="382">
        <v>1.0</v>
      </c>
    </row>
    <row r="3867">
      <c r="A3867" s="380" t="s">
        <v>4732</v>
      </c>
      <c r="B3867" s="380" t="str">
        <f>IFERROR(__xludf.DUMMYFUNCTION("""COMPUTED_VALUE"""),"Disco Stikit Grano 80")</f>
        <v>Disco Stikit Grano 80</v>
      </c>
      <c r="C3867" s="380" t="str">
        <f>IFERROR(__xludf.DUMMYFUNCTION("""COMPUTED_VALUE"""),"50001498")</f>
        <v>50001498</v>
      </c>
      <c r="D3867" s="380" t="s">
        <v>767</v>
      </c>
      <c r="E3867" s="380" t="s">
        <v>781</v>
      </c>
      <c r="F3867" s="380" t="s">
        <v>782</v>
      </c>
      <c r="G3867" s="380" t="s">
        <v>1267</v>
      </c>
      <c r="H3867" s="380" t="s">
        <v>771</v>
      </c>
      <c r="I3867" s="380" t="s">
        <v>784</v>
      </c>
      <c r="J3867" s="380" t="s">
        <v>773</v>
      </c>
      <c r="K3867" s="381">
        <v>0.0</v>
      </c>
      <c r="L3867" s="382">
        <v>1.0</v>
      </c>
    </row>
    <row r="3868">
      <c r="A3868" s="380" t="s">
        <v>4733</v>
      </c>
      <c r="B3868" s="380" t="str">
        <f>IFERROR(__xludf.DUMMYFUNCTION("""COMPUTED_VALUE"""),"Disco Stikit Grano 180")</f>
        <v>Disco Stikit Grano 180</v>
      </c>
      <c r="C3868" s="380" t="str">
        <f>IFERROR(__xludf.DUMMYFUNCTION("""COMPUTED_VALUE"""),"50001499")</f>
        <v>50001499</v>
      </c>
      <c r="D3868" s="380" t="s">
        <v>767</v>
      </c>
      <c r="E3868" s="380" t="s">
        <v>781</v>
      </c>
      <c r="F3868" s="380" t="s">
        <v>782</v>
      </c>
      <c r="G3868" s="380" t="s">
        <v>1267</v>
      </c>
      <c r="H3868" s="380" t="s">
        <v>771</v>
      </c>
      <c r="I3868" s="380" t="s">
        <v>784</v>
      </c>
      <c r="J3868" s="380" t="s">
        <v>773</v>
      </c>
      <c r="K3868" s="381">
        <v>0.0</v>
      </c>
      <c r="L3868" s="382">
        <v>1.0</v>
      </c>
    </row>
    <row r="3869">
      <c r="A3869" s="380" t="s">
        <v>4734</v>
      </c>
      <c r="B3869" s="380" t="str">
        <f>IFERROR(__xludf.DUMMYFUNCTION("""COMPUTED_VALUE"""),"Compresor De Taller 15 Hp")</f>
        <v>Compresor De Taller 15 Hp</v>
      </c>
      <c r="C3869" s="380" t="str">
        <f>IFERROR(__xludf.DUMMYFUNCTION("""COMPUTED_VALUE"""),"50001500")</f>
        <v>50001500</v>
      </c>
      <c r="D3869" s="380" t="s">
        <v>767</v>
      </c>
      <c r="E3869" s="380" t="s">
        <v>781</v>
      </c>
      <c r="F3869" s="380" t="s">
        <v>782</v>
      </c>
      <c r="G3869" s="380" t="s">
        <v>1267</v>
      </c>
      <c r="H3869" s="380" t="s">
        <v>771</v>
      </c>
      <c r="I3869" s="380" t="s">
        <v>784</v>
      </c>
      <c r="J3869" s="380" t="s">
        <v>773</v>
      </c>
      <c r="K3869" s="381">
        <v>0.0</v>
      </c>
      <c r="L3869" s="382">
        <v>1.0</v>
      </c>
    </row>
    <row r="3870">
      <c r="A3870" s="380" t="s">
        <v>4735</v>
      </c>
      <c r="B3870" s="380" t="str">
        <f>IFERROR(__xludf.DUMMYFUNCTION("""COMPUTED_VALUE"""),"Plantas Artificiales Decorativas")</f>
        <v>Plantas Artificiales Decorativas</v>
      </c>
      <c r="C3870" s="380" t="str">
        <f>IFERROR(__xludf.DUMMYFUNCTION("""COMPUTED_VALUE"""),"50001501")</f>
        <v>50001501</v>
      </c>
      <c r="D3870" s="380" t="s">
        <v>767</v>
      </c>
      <c r="E3870" s="380" t="s">
        <v>781</v>
      </c>
      <c r="F3870" s="380" t="s">
        <v>819</v>
      </c>
      <c r="G3870" s="380" t="s">
        <v>1267</v>
      </c>
      <c r="H3870" s="380" t="s">
        <v>771</v>
      </c>
      <c r="I3870" s="380" t="s">
        <v>817</v>
      </c>
      <c r="J3870" s="380" t="s">
        <v>773</v>
      </c>
      <c r="K3870" s="381">
        <v>0.0</v>
      </c>
      <c r="L3870" s="382">
        <v>1.0</v>
      </c>
    </row>
    <row r="3871">
      <c r="A3871" s="380" t="s">
        <v>4736</v>
      </c>
      <c r="B3871" s="380" t="str">
        <f>IFERROR(__xludf.DUMMYFUNCTION("""COMPUTED_VALUE"""),"TANQ Granizadora 12lt - 02.Ba0021.001 Fr")</f>
        <v>TANQ Granizadora 12lt - 02.Ba0021.001 Fr</v>
      </c>
      <c r="C3871" s="380" t="str">
        <f>IFERROR(__xludf.DUMMYFUNCTION("""COMPUTED_VALUE"""),"50001502")</f>
        <v>50001502</v>
      </c>
      <c r="D3871" s="380" t="s">
        <v>767</v>
      </c>
      <c r="E3871" s="380" t="s">
        <v>781</v>
      </c>
      <c r="F3871" s="380" t="s">
        <v>819</v>
      </c>
      <c r="G3871" s="380" t="s">
        <v>1267</v>
      </c>
      <c r="H3871" s="380" t="s">
        <v>771</v>
      </c>
      <c r="I3871" s="380" t="s">
        <v>817</v>
      </c>
      <c r="J3871" s="380" t="s">
        <v>773</v>
      </c>
      <c r="K3871" s="381">
        <v>0.0</v>
      </c>
      <c r="L3871" s="382">
        <v>1.0</v>
      </c>
    </row>
    <row r="3872">
      <c r="A3872" s="380" t="s">
        <v>4737</v>
      </c>
      <c r="B3872" s="380" t="str">
        <f>IFERROR(__xludf.DUMMYFUNCTION("""COMPUTED_VALUE"""),"Jardín Vertical Artificial Bosque 100x10")</f>
        <v>Jardín Vertical Artificial Bosque 100x10</v>
      </c>
      <c r="C3872" s="380" t="str">
        <f>IFERROR(__xludf.DUMMYFUNCTION("""COMPUTED_VALUE"""),"50001503")</f>
        <v>50001503</v>
      </c>
      <c r="D3872" s="380" t="s">
        <v>767</v>
      </c>
      <c r="E3872" s="380" t="s">
        <v>781</v>
      </c>
      <c r="F3872" s="380" t="s">
        <v>819</v>
      </c>
      <c r="G3872" s="380" t="s">
        <v>1267</v>
      </c>
      <c r="H3872" s="380" t="s">
        <v>771</v>
      </c>
      <c r="I3872" s="380" t="s">
        <v>817</v>
      </c>
      <c r="J3872" s="380" t="s">
        <v>773</v>
      </c>
      <c r="K3872" s="381">
        <v>0.0</v>
      </c>
      <c r="L3872" s="382">
        <v>1.0</v>
      </c>
    </row>
    <row r="3873">
      <c r="A3873" s="380" t="s">
        <v>4738</v>
      </c>
      <c r="B3873" s="380" t="str">
        <f>IFERROR(__xludf.DUMMYFUNCTION("""COMPUTED_VALUE"""),"Guaya Flexible Guadaña Bp35")</f>
        <v>Guaya Flexible Guadaña Bp35</v>
      </c>
      <c r="C3873" s="380" t="str">
        <f>IFERROR(__xludf.DUMMYFUNCTION("""COMPUTED_VALUE"""),"50001504")</f>
        <v>50001504</v>
      </c>
      <c r="D3873" s="380" t="s">
        <v>767</v>
      </c>
      <c r="E3873" s="380" t="s">
        <v>781</v>
      </c>
      <c r="F3873" s="380" t="s">
        <v>819</v>
      </c>
      <c r="G3873" s="380" t="s">
        <v>1267</v>
      </c>
      <c r="H3873" s="380" t="s">
        <v>771</v>
      </c>
      <c r="I3873" s="380" t="s">
        <v>817</v>
      </c>
      <c r="J3873" s="380" t="s">
        <v>773</v>
      </c>
      <c r="K3873" s="381">
        <v>0.0</v>
      </c>
      <c r="L3873" s="382">
        <v>1.0</v>
      </c>
    </row>
    <row r="3874">
      <c r="A3874" s="380" t="s">
        <v>4739</v>
      </c>
      <c r="B3874" s="380" t="str">
        <f>IFERROR(__xludf.DUMMYFUNCTION("""COMPUTED_VALUE"""),"Adaptador Yoyo Guadaña")</f>
        <v>Adaptador Yoyo Guadaña</v>
      </c>
      <c r="C3874" s="380" t="str">
        <f>IFERROR(__xludf.DUMMYFUNCTION("""COMPUTED_VALUE"""),"50001505")</f>
        <v>50001505</v>
      </c>
      <c r="D3874" s="380" t="s">
        <v>767</v>
      </c>
      <c r="E3874" s="380" t="s">
        <v>781</v>
      </c>
      <c r="F3874" s="380" t="s">
        <v>819</v>
      </c>
      <c r="G3874" s="380" t="s">
        <v>1267</v>
      </c>
      <c r="H3874" s="380" t="s">
        <v>771</v>
      </c>
      <c r="I3874" s="380" t="s">
        <v>817</v>
      </c>
      <c r="J3874" s="380" t="s">
        <v>773</v>
      </c>
      <c r="K3874" s="381">
        <v>0.0</v>
      </c>
      <c r="L3874" s="382">
        <v>1.0</v>
      </c>
    </row>
    <row r="3875">
      <c r="A3875" s="380" t="s">
        <v>4740</v>
      </c>
      <c r="B3875" s="380" t="str">
        <f>IFERROR(__xludf.DUMMYFUNCTION("""COMPUTED_VALUE"""),"Cuchilla Guadaña Stihl 20m 12"" Varc-08")</f>
        <v>Cuchilla Guadaña Stihl 20m 12" Varc-08</v>
      </c>
      <c r="C3875" s="380" t="str">
        <f>IFERROR(__xludf.DUMMYFUNCTION("""COMPUTED_VALUE"""),"50001506")</f>
        <v>50001506</v>
      </c>
      <c r="D3875" s="380" t="s">
        <v>767</v>
      </c>
      <c r="E3875" s="380" t="s">
        <v>781</v>
      </c>
      <c r="F3875" s="380" t="s">
        <v>819</v>
      </c>
      <c r="G3875" s="380" t="s">
        <v>1267</v>
      </c>
      <c r="H3875" s="380" t="s">
        <v>771</v>
      </c>
      <c r="I3875" s="380" t="s">
        <v>817</v>
      </c>
      <c r="J3875" s="380" t="s">
        <v>773</v>
      </c>
      <c r="K3875" s="381">
        <v>0.0</v>
      </c>
      <c r="L3875" s="382">
        <v>1.0</v>
      </c>
    </row>
    <row r="3876">
      <c r="A3876" s="380" t="s">
        <v>4741</v>
      </c>
      <c r="B3876" s="380" t="str">
        <f>IFERROR(__xludf.DUMMYFUNCTION("""COMPUTED_VALUE"""),"Repuestos Varios Guadañadora")</f>
        <v>Repuestos Varios Guadañadora</v>
      </c>
      <c r="C3876" s="380" t="str">
        <f>IFERROR(__xludf.DUMMYFUNCTION("""COMPUTED_VALUE"""),"50001507")</f>
        <v>50001507</v>
      </c>
      <c r="D3876" s="380" t="s">
        <v>767</v>
      </c>
      <c r="E3876" s="380" t="s">
        <v>781</v>
      </c>
      <c r="F3876" s="380" t="s">
        <v>819</v>
      </c>
      <c r="G3876" s="380" t="s">
        <v>1267</v>
      </c>
      <c r="H3876" s="380" t="s">
        <v>771</v>
      </c>
      <c r="I3876" s="380" t="s">
        <v>817</v>
      </c>
      <c r="J3876" s="380" t="s">
        <v>773</v>
      </c>
      <c r="K3876" s="381">
        <v>0.0</v>
      </c>
      <c r="L3876" s="382">
        <v>1.0</v>
      </c>
    </row>
    <row r="3877">
      <c r="A3877" s="380" t="s">
        <v>4742</v>
      </c>
      <c r="B3877" s="380" t="str">
        <f>IFERROR(__xludf.DUMMYFUNCTION("""COMPUTED_VALUE"""),"Refrigerante Marca Cat Elc Premezclado 5")</f>
        <v>Refrigerante Marca Cat Elc Premezclado 5</v>
      </c>
      <c r="C3877" s="380" t="str">
        <f>IFERROR(__xludf.DUMMYFUNCTION("""COMPUTED_VALUE"""),"50001510")</f>
        <v>50001510</v>
      </c>
      <c r="D3877" s="380" t="s">
        <v>767</v>
      </c>
      <c r="E3877" s="380" t="s">
        <v>781</v>
      </c>
      <c r="F3877" s="380" t="s">
        <v>833</v>
      </c>
      <c r="G3877" s="380" t="s">
        <v>1267</v>
      </c>
      <c r="H3877" s="380" t="s">
        <v>771</v>
      </c>
      <c r="I3877" s="380" t="s">
        <v>834</v>
      </c>
      <c r="J3877" s="380" t="s">
        <v>773</v>
      </c>
      <c r="K3877" s="381">
        <v>0.0</v>
      </c>
      <c r="L3877" s="382">
        <v>1.0</v>
      </c>
    </row>
    <row r="3878">
      <c r="A3878" s="380" t="s">
        <v>4743</v>
      </c>
      <c r="B3878" s="380" t="str">
        <f>IFERROR(__xludf.DUMMYFUNCTION("""COMPUTED_VALUE"""),"Preservador De Agua Duchas Quimicos")</f>
        <v>Preservador De Agua Duchas Quimicos</v>
      </c>
      <c r="C3878" s="380" t="str">
        <f>IFERROR(__xludf.DUMMYFUNCTION("""COMPUTED_VALUE"""),"50001511")</f>
        <v>50001511</v>
      </c>
      <c r="D3878" s="380" t="s">
        <v>767</v>
      </c>
      <c r="E3878" s="380" t="s">
        <v>781</v>
      </c>
      <c r="F3878" s="380" t="s">
        <v>816</v>
      </c>
      <c r="G3878" s="380" t="s">
        <v>1267</v>
      </c>
      <c r="H3878" s="380" t="s">
        <v>771</v>
      </c>
      <c r="I3878" s="380" t="s">
        <v>817</v>
      </c>
      <c r="J3878" s="380" t="s">
        <v>773</v>
      </c>
      <c r="K3878" s="381">
        <v>0.0</v>
      </c>
      <c r="L3878" s="382">
        <v>1.0</v>
      </c>
    </row>
    <row r="3879">
      <c r="A3879" s="380" t="s">
        <v>4744</v>
      </c>
      <c r="B3879" s="380" t="str">
        <f>IFERROR(__xludf.DUMMYFUNCTION("""COMPUTED_VALUE"""),"Vaso Vidrio Toma Muestra Acpm 1000 Ml")</f>
        <v>Vaso Vidrio Toma Muestra Acpm 1000 Ml</v>
      </c>
      <c r="C3879" s="380" t="str">
        <f>IFERROR(__xludf.DUMMYFUNCTION("""COMPUTED_VALUE"""),"50001512")</f>
        <v>50001512</v>
      </c>
      <c r="D3879" s="380" t="s">
        <v>767</v>
      </c>
      <c r="E3879" s="380" t="s">
        <v>781</v>
      </c>
      <c r="F3879" s="380" t="s">
        <v>819</v>
      </c>
      <c r="G3879" s="380" t="s">
        <v>1267</v>
      </c>
      <c r="H3879" s="380" t="s">
        <v>771</v>
      </c>
      <c r="I3879" s="380" t="s">
        <v>817</v>
      </c>
      <c r="J3879" s="380" t="s">
        <v>773</v>
      </c>
      <c r="K3879" s="381">
        <v>0.0</v>
      </c>
      <c r="L3879" s="382">
        <v>1.0</v>
      </c>
    </row>
    <row r="3880">
      <c r="A3880" s="380" t="s">
        <v>4745</v>
      </c>
      <c r="B3880" s="380" t="str">
        <f>IFERROR(__xludf.DUMMYFUNCTION("""COMPUTED_VALUE"""),"Refractometro")</f>
        <v>Refractometro</v>
      </c>
      <c r="C3880" s="380" t="str">
        <f>IFERROR(__xludf.DUMMYFUNCTION("""COMPUTED_VALUE"""),"50001513")</f>
        <v>50001513</v>
      </c>
      <c r="D3880" s="380" t="s">
        <v>767</v>
      </c>
      <c r="E3880" s="380" t="s">
        <v>781</v>
      </c>
      <c r="F3880" s="380" t="s">
        <v>782</v>
      </c>
      <c r="G3880" s="380" t="s">
        <v>1267</v>
      </c>
      <c r="H3880" s="380" t="s">
        <v>771</v>
      </c>
      <c r="I3880" s="380" t="s">
        <v>784</v>
      </c>
      <c r="J3880" s="380" t="s">
        <v>773</v>
      </c>
      <c r="K3880" s="381">
        <v>0.0</v>
      </c>
      <c r="L3880" s="382">
        <v>1.0</v>
      </c>
    </row>
    <row r="3881">
      <c r="A3881" s="380" t="s">
        <v>4746</v>
      </c>
      <c r="B3881" s="380" t="str">
        <f>IFERROR(__xludf.DUMMYFUNCTION("""COMPUTED_VALUE"""),"Pala Cuadrada")</f>
        <v>Pala Cuadrada</v>
      </c>
      <c r="C3881" s="380" t="str">
        <f>IFERROR(__xludf.DUMMYFUNCTION("""COMPUTED_VALUE"""),"50001515")</f>
        <v>50001515</v>
      </c>
      <c r="D3881" s="380" t="s">
        <v>767</v>
      </c>
      <c r="E3881" s="380" t="s">
        <v>781</v>
      </c>
      <c r="F3881" s="380" t="s">
        <v>782</v>
      </c>
      <c r="G3881" s="380" t="s">
        <v>1267</v>
      </c>
      <c r="H3881" s="380" t="s">
        <v>771</v>
      </c>
      <c r="I3881" s="380" t="s">
        <v>784</v>
      </c>
      <c r="J3881" s="380" t="s">
        <v>773</v>
      </c>
      <c r="K3881" s="381">
        <v>0.0</v>
      </c>
      <c r="L3881" s="382">
        <v>1.0</v>
      </c>
    </row>
    <row r="3882">
      <c r="A3882" s="380" t="s">
        <v>4747</v>
      </c>
      <c r="B3882" s="380" t="str">
        <f>IFERROR(__xludf.DUMMYFUNCTION("""COMPUTED_VALUE"""),"Pistola Surtidor Urea")</f>
        <v>Pistola Surtidor Urea</v>
      </c>
      <c r="C3882" s="380" t="str">
        <f>IFERROR(__xludf.DUMMYFUNCTION("""COMPUTED_VALUE"""),"50001516")</f>
        <v>50001516</v>
      </c>
      <c r="D3882" s="380" t="s">
        <v>767</v>
      </c>
      <c r="E3882" s="380" t="s">
        <v>781</v>
      </c>
      <c r="F3882" s="380" t="s">
        <v>819</v>
      </c>
      <c r="G3882" s="380" t="s">
        <v>1267</v>
      </c>
      <c r="H3882" s="380" t="s">
        <v>771</v>
      </c>
      <c r="I3882" s="380" t="s">
        <v>817</v>
      </c>
      <c r="J3882" s="380" t="s">
        <v>773</v>
      </c>
      <c r="K3882" s="381">
        <v>0.0</v>
      </c>
      <c r="L3882" s="382">
        <v>1.0</v>
      </c>
    </row>
    <row r="3883">
      <c r="A3883" s="380" t="s">
        <v>4748</v>
      </c>
      <c r="B3883" s="380" t="str">
        <f>IFERROR(__xludf.DUMMYFUNCTION("""COMPUTED_VALUE"""),"Peroxido De Hidrogeno Al 50%")</f>
        <v>Peroxido De Hidrogeno Al 50%</v>
      </c>
      <c r="C3883" s="380" t="str">
        <f>IFERROR(__xludf.DUMMYFUNCTION("""COMPUTED_VALUE"""),"50001517")</f>
        <v>50001517</v>
      </c>
      <c r="D3883" s="380" t="s">
        <v>767</v>
      </c>
      <c r="E3883" s="380" t="s">
        <v>781</v>
      </c>
      <c r="F3883" s="380" t="s">
        <v>816</v>
      </c>
      <c r="G3883" s="380" t="s">
        <v>1267</v>
      </c>
      <c r="H3883" s="380" t="s">
        <v>771</v>
      </c>
      <c r="I3883" s="380" t="s">
        <v>817</v>
      </c>
      <c r="J3883" s="380" t="s">
        <v>773</v>
      </c>
      <c r="K3883" s="381">
        <v>0.0</v>
      </c>
      <c r="L3883" s="382">
        <v>1.0</v>
      </c>
    </row>
    <row r="3884">
      <c r="A3884" s="380" t="s">
        <v>4749</v>
      </c>
      <c r="B3884" s="380" t="str">
        <f>IFERROR(__xludf.DUMMYFUNCTION("""COMPUTED_VALUE"""),"Cal Hidratada Tipo M")</f>
        <v>Cal Hidratada Tipo M</v>
      </c>
      <c r="C3884" s="380" t="str">
        <f>IFERROR(__xludf.DUMMYFUNCTION("""COMPUTED_VALUE"""),"50001518")</f>
        <v>50001518</v>
      </c>
      <c r="D3884" s="380" t="s">
        <v>767</v>
      </c>
      <c r="E3884" s="380" t="s">
        <v>781</v>
      </c>
      <c r="F3884" s="380" t="s">
        <v>816</v>
      </c>
      <c r="G3884" s="380" t="s">
        <v>1267</v>
      </c>
      <c r="H3884" s="380" t="s">
        <v>771</v>
      </c>
      <c r="I3884" s="380" t="s">
        <v>817</v>
      </c>
      <c r="J3884" s="380" t="s">
        <v>773</v>
      </c>
      <c r="K3884" s="381">
        <v>0.0</v>
      </c>
      <c r="L3884" s="382">
        <v>1.0</v>
      </c>
    </row>
    <row r="3885">
      <c r="A3885" s="380" t="s">
        <v>4750</v>
      </c>
      <c r="B3885" s="380" t="str">
        <f>IFERROR(__xludf.DUMMYFUNCTION("""COMPUTED_VALUE"""),"Barra De Contencion")</f>
        <v>Barra De Contencion</v>
      </c>
      <c r="C3885" s="380" t="str">
        <f>IFERROR(__xludf.DUMMYFUNCTION("""COMPUTED_VALUE"""),"50001519")</f>
        <v>50001519</v>
      </c>
      <c r="D3885" s="380" t="s">
        <v>767</v>
      </c>
      <c r="E3885" s="380" t="s">
        <v>781</v>
      </c>
      <c r="F3885" s="380" t="s">
        <v>816</v>
      </c>
      <c r="G3885" s="380" t="s">
        <v>1267</v>
      </c>
      <c r="H3885" s="380" t="s">
        <v>771</v>
      </c>
      <c r="I3885" s="380" t="s">
        <v>817</v>
      </c>
      <c r="J3885" s="380" t="s">
        <v>773</v>
      </c>
      <c r="K3885" s="381">
        <v>0.0</v>
      </c>
      <c r="L3885" s="382">
        <v>1.0</v>
      </c>
    </row>
    <row r="3886">
      <c r="A3886" s="380" t="s">
        <v>4751</v>
      </c>
      <c r="B3886" s="380" t="str">
        <f>IFERROR(__xludf.DUMMYFUNCTION("""COMPUTED_VALUE"""),"Alumbre De Potasio - Piedra Lumbre")</f>
        <v>Alumbre De Potasio - Piedra Lumbre</v>
      </c>
      <c r="C3886" s="380" t="str">
        <f>IFERROR(__xludf.DUMMYFUNCTION("""COMPUTED_VALUE"""),"50001520")</f>
        <v>50001520</v>
      </c>
      <c r="D3886" s="380" t="s">
        <v>767</v>
      </c>
      <c r="E3886" s="380" t="s">
        <v>781</v>
      </c>
      <c r="F3886" s="380" t="s">
        <v>816</v>
      </c>
      <c r="G3886" s="380" t="s">
        <v>1267</v>
      </c>
      <c r="H3886" s="380" t="s">
        <v>771</v>
      </c>
      <c r="I3886" s="380" t="s">
        <v>817</v>
      </c>
      <c r="J3886" s="380" t="s">
        <v>773</v>
      </c>
      <c r="K3886" s="381">
        <v>0.0</v>
      </c>
      <c r="L3886" s="382">
        <v>1.0</v>
      </c>
    </row>
    <row r="3887">
      <c r="A3887" s="380" t="s">
        <v>4752</v>
      </c>
      <c r="B3887" s="380" t="str">
        <f>IFERROR(__xludf.DUMMYFUNCTION("""COMPUTED_VALUE"""),"Cloro En Pasitllas")</f>
        <v>Cloro En Pasitllas</v>
      </c>
      <c r="C3887" s="380" t="str">
        <f>IFERROR(__xludf.DUMMYFUNCTION("""COMPUTED_VALUE"""),"50001521")</f>
        <v>50001521</v>
      </c>
      <c r="D3887" s="380" t="s">
        <v>767</v>
      </c>
      <c r="E3887" s="380" t="s">
        <v>781</v>
      </c>
      <c r="F3887" s="380" t="s">
        <v>816</v>
      </c>
      <c r="G3887" s="380" t="s">
        <v>1267</v>
      </c>
      <c r="H3887" s="380" t="s">
        <v>771</v>
      </c>
      <c r="I3887" s="380" t="s">
        <v>817</v>
      </c>
      <c r="J3887" s="380" t="s">
        <v>773</v>
      </c>
      <c r="K3887" s="381">
        <v>0.0</v>
      </c>
      <c r="L3887" s="382">
        <v>1.0</v>
      </c>
    </row>
    <row r="3888">
      <c r="A3888" s="380" t="s">
        <v>4753</v>
      </c>
      <c r="B3888" s="380" t="str">
        <f>IFERROR(__xludf.DUMMYFUNCTION("""COMPUTED_VALUE"""),"Envase Químicos 1 Litro")</f>
        <v>Envase Químicos 1 Litro</v>
      </c>
      <c r="C3888" s="380" t="str">
        <f>IFERROR(__xludf.DUMMYFUNCTION("""COMPUTED_VALUE"""),"50001522")</f>
        <v>50001522</v>
      </c>
      <c r="D3888" s="380" t="s">
        <v>767</v>
      </c>
      <c r="E3888" s="380" t="s">
        <v>781</v>
      </c>
      <c r="F3888" s="380" t="s">
        <v>816</v>
      </c>
      <c r="G3888" s="380" t="s">
        <v>1267</v>
      </c>
      <c r="H3888" s="380" t="s">
        <v>771</v>
      </c>
      <c r="I3888" s="380" t="s">
        <v>817</v>
      </c>
      <c r="J3888" s="380" t="s">
        <v>773</v>
      </c>
      <c r="K3888" s="381">
        <v>0.0</v>
      </c>
      <c r="L3888" s="382">
        <v>1.0</v>
      </c>
    </row>
    <row r="3889">
      <c r="A3889" s="380" t="s">
        <v>4754</v>
      </c>
      <c r="B3889" s="380" t="str">
        <f>IFERROR(__xludf.DUMMYFUNCTION("""COMPUTED_VALUE"""),"Envase Químicos Medio Litro")</f>
        <v>Envase Químicos Medio Litro</v>
      </c>
      <c r="C3889" s="380" t="str">
        <f>IFERROR(__xludf.DUMMYFUNCTION("""COMPUTED_VALUE"""),"50001523")</f>
        <v>50001523</v>
      </c>
      <c r="D3889" s="380" t="s">
        <v>767</v>
      </c>
      <c r="E3889" s="380" t="s">
        <v>781</v>
      </c>
      <c r="F3889" s="380" t="s">
        <v>816</v>
      </c>
      <c r="G3889" s="380" t="s">
        <v>1267</v>
      </c>
      <c r="H3889" s="380" t="s">
        <v>771</v>
      </c>
      <c r="I3889" s="380" t="s">
        <v>817</v>
      </c>
      <c r="J3889" s="380" t="s">
        <v>773</v>
      </c>
      <c r="K3889" s="381">
        <v>0.0</v>
      </c>
      <c r="L3889" s="382">
        <v>1.0</v>
      </c>
    </row>
    <row r="3890">
      <c r="A3890" s="380" t="s">
        <v>4755</v>
      </c>
      <c r="B3890" s="380" t="str">
        <f>IFERROR(__xludf.DUMMYFUNCTION("""COMPUTED_VALUE"""),"Envase Quimicos 1 Galon")</f>
        <v>Envase Quimicos 1 Galon</v>
      </c>
      <c r="C3890" s="380" t="str">
        <f>IFERROR(__xludf.DUMMYFUNCTION("""COMPUTED_VALUE"""),"50001524")</f>
        <v>50001524</v>
      </c>
      <c r="D3890" s="380" t="s">
        <v>767</v>
      </c>
      <c r="E3890" s="380" t="s">
        <v>781</v>
      </c>
      <c r="F3890" s="380" t="s">
        <v>816</v>
      </c>
      <c r="G3890" s="380" t="s">
        <v>1267</v>
      </c>
      <c r="H3890" s="380" t="s">
        <v>771</v>
      </c>
      <c r="I3890" s="380" t="s">
        <v>817</v>
      </c>
      <c r="J3890" s="380" t="s">
        <v>773</v>
      </c>
      <c r="K3890" s="381">
        <v>0.0</v>
      </c>
      <c r="L3890" s="382">
        <v>1.0</v>
      </c>
    </row>
    <row r="3891">
      <c r="A3891" s="380" t="s">
        <v>4756</v>
      </c>
      <c r="B3891" s="380" t="str">
        <f>IFERROR(__xludf.DUMMYFUNCTION("""COMPUTED_VALUE"""),"Kit Biodyne 301 X 4 Litros Con Alimento")</f>
        <v>Kit Biodyne 301 X 4 Litros Con Alimento</v>
      </c>
      <c r="C3891" s="380" t="str">
        <f>IFERROR(__xludf.DUMMYFUNCTION("""COMPUTED_VALUE"""),"50001525")</f>
        <v>50001525</v>
      </c>
      <c r="D3891" s="380" t="s">
        <v>767</v>
      </c>
      <c r="E3891" s="380" t="s">
        <v>781</v>
      </c>
      <c r="F3891" s="380" t="s">
        <v>816</v>
      </c>
      <c r="G3891" s="380" t="s">
        <v>1267</v>
      </c>
      <c r="H3891" s="380" t="s">
        <v>771</v>
      </c>
      <c r="I3891" s="380" t="s">
        <v>817</v>
      </c>
      <c r="J3891" s="380" t="s">
        <v>773</v>
      </c>
      <c r="K3891" s="381">
        <v>0.0</v>
      </c>
      <c r="L3891" s="382">
        <v>1.0</v>
      </c>
    </row>
    <row r="3892">
      <c r="A3892" s="380" t="s">
        <v>4757</v>
      </c>
      <c r="B3892" s="380" t="str">
        <f>IFERROR(__xludf.DUMMYFUNCTION("""COMPUTED_VALUE"""),"Envase Químicos Galón")</f>
        <v>Envase Químicos Galón</v>
      </c>
      <c r="C3892" s="380" t="str">
        <f>IFERROR(__xludf.DUMMYFUNCTION("""COMPUTED_VALUE"""),"50001527")</f>
        <v>50001527</v>
      </c>
      <c r="D3892" s="380" t="s">
        <v>767</v>
      </c>
      <c r="E3892" s="380" t="s">
        <v>781</v>
      </c>
      <c r="F3892" s="380" t="s">
        <v>816</v>
      </c>
      <c r="G3892" s="380" t="s">
        <v>1267</v>
      </c>
      <c r="H3892" s="380" t="s">
        <v>771</v>
      </c>
      <c r="I3892" s="380" t="s">
        <v>817</v>
      </c>
      <c r="J3892" s="380" t="s">
        <v>773</v>
      </c>
      <c r="K3892" s="381">
        <v>0.0</v>
      </c>
      <c r="L3892" s="382">
        <v>1.0</v>
      </c>
    </row>
    <row r="3893">
      <c r="A3893" s="380" t="s">
        <v>4758</v>
      </c>
      <c r="B3893" s="380" t="str">
        <f>IFERROR(__xludf.DUMMYFUNCTION("""COMPUTED_VALUE"""),"Carpeta Portapictogramas")</f>
        <v>Carpeta Portapictogramas</v>
      </c>
      <c r="C3893" s="380" t="str">
        <f>IFERROR(__xludf.DUMMYFUNCTION("""COMPUTED_VALUE"""),"50001528")</f>
        <v>50001528</v>
      </c>
      <c r="D3893" s="380" t="s">
        <v>767</v>
      </c>
      <c r="E3893" s="380" t="s">
        <v>781</v>
      </c>
      <c r="F3893" s="380" t="s">
        <v>816</v>
      </c>
      <c r="G3893" s="380" t="s">
        <v>1267</v>
      </c>
      <c r="H3893" s="380" t="s">
        <v>771</v>
      </c>
      <c r="I3893" s="380" t="s">
        <v>817</v>
      </c>
      <c r="J3893" s="380" t="s">
        <v>773</v>
      </c>
      <c r="K3893" s="381">
        <v>0.0</v>
      </c>
      <c r="L3893" s="382">
        <v>1.0</v>
      </c>
    </row>
    <row r="3894">
      <c r="A3894" s="380" t="s">
        <v>4759</v>
      </c>
      <c r="B3894" s="380" t="str">
        <f>IFERROR(__xludf.DUMMYFUNCTION("""COMPUTED_VALUE"""),"Sulfato De Aluminio 17% Ag 257")</f>
        <v>Sulfato De Aluminio 17% Ag 257</v>
      </c>
      <c r="C3894" s="380" t="str">
        <f>IFERROR(__xludf.DUMMYFUNCTION("""COMPUTED_VALUE"""),"50001529")</f>
        <v>50001529</v>
      </c>
      <c r="D3894" s="380" t="s">
        <v>767</v>
      </c>
      <c r="E3894" s="380" t="s">
        <v>781</v>
      </c>
      <c r="F3894" s="380" t="s">
        <v>816</v>
      </c>
      <c r="G3894" s="380" t="s">
        <v>1267</v>
      </c>
      <c r="H3894" s="380" t="s">
        <v>771</v>
      </c>
      <c r="I3894" s="380" t="s">
        <v>817</v>
      </c>
      <c r="J3894" s="380" t="s">
        <v>773</v>
      </c>
      <c r="K3894" s="381">
        <v>0.0</v>
      </c>
      <c r="L3894" s="382">
        <v>1.0</v>
      </c>
    </row>
    <row r="3895">
      <c r="A3895" s="380" t="s">
        <v>4760</v>
      </c>
      <c r="B3895" s="380" t="str">
        <f>IFERROR(__xludf.DUMMYFUNCTION("""COMPUTED_VALUE"""),"Perfil En Pvc Piso Stand")</f>
        <v>Perfil En Pvc Piso Stand</v>
      </c>
      <c r="C3895" s="380" t="str">
        <f>IFERROR(__xludf.DUMMYFUNCTION("""COMPUTED_VALUE"""),"50001530")</f>
        <v>50001530</v>
      </c>
      <c r="D3895" s="380" t="s">
        <v>767</v>
      </c>
      <c r="E3895" s="380" t="s">
        <v>781</v>
      </c>
      <c r="F3895" s="380" t="s">
        <v>819</v>
      </c>
      <c r="G3895" s="380" t="s">
        <v>1267</v>
      </c>
      <c r="H3895" s="380" t="s">
        <v>771</v>
      </c>
      <c r="I3895" s="380" t="s">
        <v>817</v>
      </c>
      <c r="J3895" s="380" t="s">
        <v>773</v>
      </c>
      <c r="K3895" s="381">
        <v>0.0</v>
      </c>
      <c r="L3895" s="382">
        <v>1.0</v>
      </c>
    </row>
    <row r="3896">
      <c r="A3896" s="380" t="s">
        <v>4761</v>
      </c>
      <c r="B3896" s="380" t="str">
        <f>IFERROR(__xludf.DUMMYFUNCTION("""COMPUTED_VALUE"""),"Arnes Para Guadañadora Doble")</f>
        <v>Arnes Para Guadañadora Doble</v>
      </c>
      <c r="C3896" s="380" t="str">
        <f>IFERROR(__xludf.DUMMYFUNCTION("""COMPUTED_VALUE"""),"50001531")</f>
        <v>50001531</v>
      </c>
      <c r="D3896" s="380" t="s">
        <v>767</v>
      </c>
      <c r="E3896" s="380" t="s">
        <v>781</v>
      </c>
      <c r="F3896" s="380" t="s">
        <v>819</v>
      </c>
      <c r="G3896" s="380" t="s">
        <v>1267</v>
      </c>
      <c r="H3896" s="380" t="s">
        <v>771</v>
      </c>
      <c r="I3896" s="380" t="s">
        <v>817</v>
      </c>
      <c r="J3896" s="380" t="s">
        <v>773</v>
      </c>
      <c r="K3896" s="381">
        <v>0.0</v>
      </c>
      <c r="L3896" s="382">
        <v>1.0</v>
      </c>
    </row>
    <row r="3897">
      <c r="A3897" s="380" t="s">
        <v>4762</v>
      </c>
      <c r="B3897" s="380" t="str">
        <f>IFERROR(__xludf.DUMMYFUNCTION("""COMPUTED_VALUE"""),"Piso Grama O Laminado")</f>
        <v>Piso Grama O Laminado</v>
      </c>
      <c r="C3897" s="380" t="str">
        <f>IFERROR(__xludf.DUMMYFUNCTION("""COMPUTED_VALUE"""),"50001532")</f>
        <v>50001532</v>
      </c>
      <c r="D3897" s="380" t="s">
        <v>767</v>
      </c>
      <c r="E3897" s="380" t="s">
        <v>781</v>
      </c>
      <c r="F3897" s="380" t="s">
        <v>819</v>
      </c>
      <c r="G3897" s="380" t="s">
        <v>1267</v>
      </c>
      <c r="H3897" s="380" t="s">
        <v>771</v>
      </c>
      <c r="I3897" s="380" t="s">
        <v>817</v>
      </c>
      <c r="J3897" s="380" t="s">
        <v>773</v>
      </c>
      <c r="K3897" s="381">
        <v>0.0</v>
      </c>
      <c r="L3897" s="382">
        <v>1.0</v>
      </c>
    </row>
    <row r="3898">
      <c r="A3898" s="380" t="s">
        <v>4763</v>
      </c>
      <c r="B3898" s="380" t="str">
        <f>IFERROR(__xludf.DUMMYFUNCTION("""COMPUTED_VALUE"""),"Pasta Pulidora Copao Glassury")</f>
        <v>Pasta Pulidora Copao Glassury</v>
      </c>
      <c r="C3898" s="380" t="str">
        <f>IFERROR(__xludf.DUMMYFUNCTION("""COMPUTED_VALUE"""),"50001534")</f>
        <v>50001534</v>
      </c>
      <c r="D3898" s="380" t="s">
        <v>767</v>
      </c>
      <c r="E3898" s="380" t="s">
        <v>781</v>
      </c>
      <c r="F3898" s="380" t="s">
        <v>837</v>
      </c>
      <c r="G3898" s="380" t="s">
        <v>1267</v>
      </c>
      <c r="H3898" s="380" t="s">
        <v>771</v>
      </c>
      <c r="I3898" s="380" t="s">
        <v>817</v>
      </c>
      <c r="J3898" s="380" t="s">
        <v>773</v>
      </c>
      <c r="K3898" s="381">
        <v>0.0</v>
      </c>
      <c r="L3898" s="382">
        <v>1.0</v>
      </c>
    </row>
    <row r="3899">
      <c r="A3899" s="380" t="s">
        <v>4764</v>
      </c>
      <c r="B3899" s="380" t="str">
        <f>IFERROR(__xludf.DUMMYFUNCTION("""COMPUTED_VALUE"""),"Pintura Pintucoat Amarilla Y Catalizador")</f>
        <v>Pintura Pintucoat Amarilla Y Catalizador</v>
      </c>
      <c r="C3899" s="380" t="str">
        <f>IFERROR(__xludf.DUMMYFUNCTION("""COMPUTED_VALUE"""),"50001535")</f>
        <v>50001535</v>
      </c>
      <c r="D3899" s="380" t="s">
        <v>767</v>
      </c>
      <c r="E3899" s="380" t="s">
        <v>781</v>
      </c>
      <c r="F3899" s="380" t="s">
        <v>837</v>
      </c>
      <c r="G3899" s="380" t="s">
        <v>1267</v>
      </c>
      <c r="H3899" s="380" t="s">
        <v>771</v>
      </c>
      <c r="I3899" s="380" t="s">
        <v>817</v>
      </c>
      <c r="J3899" s="380" t="s">
        <v>773</v>
      </c>
      <c r="K3899" s="381">
        <v>0.0</v>
      </c>
      <c r="L3899" s="382">
        <v>1.0</v>
      </c>
    </row>
    <row r="3900">
      <c r="A3900" s="380" t="s">
        <v>4765</v>
      </c>
      <c r="B3900" s="380" t="str">
        <f>IFERROR(__xludf.DUMMYFUNCTION("""COMPUTED_VALUE"""),"Pintura Base Gris Y Catal. Epoxipoliamda")</f>
        <v>Pintura Base Gris Y Catal. Epoxipoliamda</v>
      </c>
      <c r="C3900" s="380" t="str">
        <f>IFERROR(__xludf.DUMMYFUNCTION("""COMPUTED_VALUE"""),"50001536")</f>
        <v>50001536</v>
      </c>
      <c r="D3900" s="380" t="s">
        <v>767</v>
      </c>
      <c r="E3900" s="380" t="s">
        <v>781</v>
      </c>
      <c r="F3900" s="380" t="s">
        <v>837</v>
      </c>
      <c r="G3900" s="380" t="s">
        <v>1267</v>
      </c>
      <c r="H3900" s="380" t="s">
        <v>771</v>
      </c>
      <c r="I3900" s="380" t="s">
        <v>817</v>
      </c>
      <c r="J3900" s="380" t="s">
        <v>773</v>
      </c>
      <c r="K3900" s="381">
        <v>0.0</v>
      </c>
      <c r="L3900" s="382">
        <v>1.0</v>
      </c>
    </row>
    <row r="3901">
      <c r="A3901" s="380" t="s">
        <v>4766</v>
      </c>
      <c r="B3901" s="380" t="str">
        <f>IFERROR(__xludf.DUMMYFUNCTION("""COMPUTED_VALUE"""),"Disolvente Epoxicas 21209")</f>
        <v>Disolvente Epoxicas 21209</v>
      </c>
      <c r="C3901" s="380" t="str">
        <f>IFERROR(__xludf.DUMMYFUNCTION("""COMPUTED_VALUE"""),"50001537")</f>
        <v>50001537</v>
      </c>
      <c r="D3901" s="380" t="s">
        <v>767</v>
      </c>
      <c r="E3901" s="380" t="s">
        <v>781</v>
      </c>
      <c r="F3901" s="380" t="s">
        <v>837</v>
      </c>
      <c r="G3901" s="380" t="s">
        <v>1267</v>
      </c>
      <c r="H3901" s="380" t="s">
        <v>771</v>
      </c>
      <c r="I3901" s="380" t="s">
        <v>817</v>
      </c>
      <c r="J3901" s="380" t="s">
        <v>773</v>
      </c>
      <c r="K3901" s="381">
        <v>0.0</v>
      </c>
      <c r="L3901" s="382">
        <v>1.0</v>
      </c>
    </row>
    <row r="3902">
      <c r="A3902" s="380" t="s">
        <v>4767</v>
      </c>
      <c r="B3902" s="380" t="str">
        <f>IFERROR(__xludf.DUMMYFUNCTION("""COMPUTED_VALUE"""),"Brocha China De 5""")</f>
        <v>Brocha China De 5"</v>
      </c>
      <c r="C3902" s="380" t="str">
        <f>IFERROR(__xludf.DUMMYFUNCTION("""COMPUTED_VALUE"""),"50001538")</f>
        <v>50001538</v>
      </c>
      <c r="D3902" s="380" t="s">
        <v>767</v>
      </c>
      <c r="E3902" s="380" t="s">
        <v>781</v>
      </c>
      <c r="F3902" s="380" t="s">
        <v>837</v>
      </c>
      <c r="G3902" s="380" t="s">
        <v>1267</v>
      </c>
      <c r="H3902" s="380" t="s">
        <v>771</v>
      </c>
      <c r="I3902" s="380" t="s">
        <v>817</v>
      </c>
      <c r="J3902" s="380" t="s">
        <v>773</v>
      </c>
      <c r="K3902" s="381">
        <v>10000.0</v>
      </c>
      <c r="L3902" s="382">
        <v>1.0</v>
      </c>
    </row>
    <row r="3903">
      <c r="A3903" s="380" t="s">
        <v>4768</v>
      </c>
      <c r="B3903" s="380" t="str">
        <f>IFERROR(__xludf.DUMMYFUNCTION("""COMPUTED_VALUE"""),"Porta Pictograma Vehicular X 3")</f>
        <v>Porta Pictograma Vehicular X 3</v>
      </c>
      <c r="C3903" s="380" t="str">
        <f>IFERROR(__xludf.DUMMYFUNCTION("""COMPUTED_VALUE"""),"50001539")</f>
        <v>50001539</v>
      </c>
      <c r="D3903" s="380" t="s">
        <v>767</v>
      </c>
      <c r="E3903" s="380" t="s">
        <v>781</v>
      </c>
      <c r="F3903" s="380" t="s">
        <v>816</v>
      </c>
      <c r="G3903" s="380" t="s">
        <v>1267</v>
      </c>
      <c r="H3903" s="380" t="s">
        <v>771</v>
      </c>
      <c r="I3903" s="380" t="s">
        <v>817</v>
      </c>
      <c r="J3903" s="380" t="s">
        <v>773</v>
      </c>
      <c r="K3903" s="381">
        <v>0.0</v>
      </c>
      <c r="L3903" s="382">
        <v>1.0</v>
      </c>
    </row>
    <row r="3904">
      <c r="A3904" s="380" t="s">
        <v>4769</v>
      </c>
      <c r="B3904" s="380" t="str">
        <f>IFERROR(__xludf.DUMMYFUNCTION("""COMPUTED_VALUE"""),"Portapictograma Vehicular X 1")</f>
        <v>Portapictograma Vehicular X 1</v>
      </c>
      <c r="C3904" s="380" t="str">
        <f>IFERROR(__xludf.DUMMYFUNCTION("""COMPUTED_VALUE"""),"50001540")</f>
        <v>50001540</v>
      </c>
      <c r="D3904" s="380" t="s">
        <v>767</v>
      </c>
      <c r="E3904" s="380" t="s">
        <v>781</v>
      </c>
      <c r="F3904" s="380" t="s">
        <v>816</v>
      </c>
      <c r="G3904" s="380" t="s">
        <v>1267</v>
      </c>
      <c r="H3904" s="380" t="s">
        <v>771</v>
      </c>
      <c r="I3904" s="380" t="s">
        <v>817</v>
      </c>
      <c r="J3904" s="380" t="s">
        <v>773</v>
      </c>
      <c r="K3904" s="381">
        <v>0.0</v>
      </c>
      <c r="L3904" s="382">
        <v>1.0</v>
      </c>
    </row>
    <row r="3905">
      <c r="A3905" s="380" t="s">
        <v>4770</v>
      </c>
      <c r="B3905" s="380" t="str">
        <f>IFERROR(__xludf.DUMMYFUNCTION("""COMPUTED_VALUE"""),"Pig Masilla Epoxy Putty 010800")</f>
        <v>Pig Masilla Epoxy Putty 010800</v>
      </c>
      <c r="C3905" s="380" t="str">
        <f>IFERROR(__xludf.DUMMYFUNCTION("""COMPUTED_VALUE"""),"50001541")</f>
        <v>50001541</v>
      </c>
      <c r="D3905" s="380" t="s">
        <v>767</v>
      </c>
      <c r="E3905" s="380" t="s">
        <v>781</v>
      </c>
      <c r="F3905" s="380" t="s">
        <v>816</v>
      </c>
      <c r="G3905" s="380" t="s">
        <v>1267</v>
      </c>
      <c r="H3905" s="380" t="s">
        <v>771</v>
      </c>
      <c r="I3905" s="380" t="s">
        <v>817</v>
      </c>
      <c r="J3905" s="380" t="s">
        <v>773</v>
      </c>
      <c r="K3905" s="381">
        <v>0.0</v>
      </c>
      <c r="L3905" s="382">
        <v>1.0</v>
      </c>
    </row>
    <row r="3906">
      <c r="A3906" s="380" t="s">
        <v>4771</v>
      </c>
      <c r="B3906" s="380" t="str">
        <f>IFERROR(__xludf.DUMMYFUNCTION("""COMPUTED_VALUE"""),"Pala Antichispa (Polipropileno)")</f>
        <v>Pala Antichispa (Polipropileno)</v>
      </c>
      <c r="C3906" s="380" t="str">
        <f>IFERROR(__xludf.DUMMYFUNCTION("""COMPUTED_VALUE"""),"50001542")</f>
        <v>50001542</v>
      </c>
      <c r="D3906" s="380" t="s">
        <v>767</v>
      </c>
      <c r="E3906" s="380" t="s">
        <v>781</v>
      </c>
      <c r="F3906" s="380" t="s">
        <v>816</v>
      </c>
      <c r="G3906" s="380" t="s">
        <v>1267</v>
      </c>
      <c r="H3906" s="380" t="s">
        <v>771</v>
      </c>
      <c r="I3906" s="380" t="s">
        <v>817</v>
      </c>
      <c r="J3906" s="380" t="s">
        <v>773</v>
      </c>
      <c r="K3906" s="381">
        <v>0.0</v>
      </c>
      <c r="L3906" s="382">
        <v>1.0</v>
      </c>
    </row>
    <row r="3907">
      <c r="A3907" s="380" t="s">
        <v>4772</v>
      </c>
      <c r="B3907" s="380" t="str">
        <f>IFERROR(__xludf.DUMMYFUNCTION("""COMPUTED_VALUE"""),"Cojines Absorbentes Tipo Universal 25x25")</f>
        <v>Cojines Absorbentes Tipo Universal 25x25</v>
      </c>
      <c r="C3907" s="380" t="str">
        <f>IFERROR(__xludf.DUMMYFUNCTION("""COMPUTED_VALUE"""),"50001543")</f>
        <v>50001543</v>
      </c>
      <c r="D3907" s="380" t="s">
        <v>767</v>
      </c>
      <c r="E3907" s="380" t="s">
        <v>781</v>
      </c>
      <c r="F3907" s="380" t="s">
        <v>816</v>
      </c>
      <c r="G3907" s="380" t="s">
        <v>1267</v>
      </c>
      <c r="H3907" s="380" t="s">
        <v>771</v>
      </c>
      <c r="I3907" s="380" t="s">
        <v>817</v>
      </c>
      <c r="J3907" s="380" t="s">
        <v>773</v>
      </c>
      <c r="K3907" s="381">
        <v>0.0</v>
      </c>
      <c r="L3907" s="382">
        <v>1.0</v>
      </c>
    </row>
    <row r="3908">
      <c r="A3908" s="380" t="s">
        <v>4773</v>
      </c>
      <c r="B3908" s="380" t="str">
        <f>IFERROR(__xludf.DUMMYFUNCTION("""COMPUTED_VALUE"""),"Bolsa Para Residuos Tipo Hazmat")</f>
        <v>Bolsa Para Residuos Tipo Hazmat</v>
      </c>
      <c r="C3908" s="380" t="str">
        <f>IFERROR(__xludf.DUMMYFUNCTION("""COMPUTED_VALUE"""),"50001544")</f>
        <v>50001544</v>
      </c>
      <c r="D3908" s="380" t="s">
        <v>767</v>
      </c>
      <c r="E3908" s="380" t="s">
        <v>781</v>
      </c>
      <c r="F3908" s="380" t="s">
        <v>816</v>
      </c>
      <c r="G3908" s="380" t="s">
        <v>1267</v>
      </c>
      <c r="H3908" s="380" t="s">
        <v>771</v>
      </c>
      <c r="I3908" s="380" t="s">
        <v>817</v>
      </c>
      <c r="J3908" s="380" t="s">
        <v>773</v>
      </c>
      <c r="K3908" s="381">
        <v>0.0</v>
      </c>
      <c r="L3908" s="382">
        <v>1.0</v>
      </c>
    </row>
    <row r="3909">
      <c r="A3909" s="380" t="s">
        <v>4774</v>
      </c>
      <c r="B3909" s="380" t="str">
        <f>IFERROR(__xludf.DUMMYFUNCTION("""COMPUTED_VALUE"""),"Paños Absorbentes Tipo Universal 10x13")</f>
        <v>Paños Absorbentes Tipo Universal 10x13</v>
      </c>
      <c r="C3909" s="380" t="str">
        <f>IFERROR(__xludf.DUMMYFUNCTION("""COMPUTED_VALUE"""),"50001545")</f>
        <v>50001545</v>
      </c>
      <c r="D3909" s="380" t="s">
        <v>767</v>
      </c>
      <c r="E3909" s="380" t="s">
        <v>781</v>
      </c>
      <c r="F3909" s="380" t="s">
        <v>816</v>
      </c>
      <c r="G3909" s="380" t="s">
        <v>1267</v>
      </c>
      <c r="H3909" s="380" t="s">
        <v>771</v>
      </c>
      <c r="I3909" s="380" t="s">
        <v>817</v>
      </c>
      <c r="J3909" s="380" t="s">
        <v>773</v>
      </c>
      <c r="K3909" s="381">
        <v>0.0</v>
      </c>
      <c r="L3909" s="382">
        <v>1.0</v>
      </c>
    </row>
    <row r="3910">
      <c r="A3910" s="380" t="s">
        <v>4775</v>
      </c>
      <c r="B3910" s="380" t="str">
        <f>IFERROR(__xludf.DUMMYFUNCTION("""COMPUTED_VALUE"""),"Traje Tipo Hazmat")</f>
        <v>Traje Tipo Hazmat</v>
      </c>
      <c r="C3910" s="380" t="str">
        <f>IFERROR(__xludf.DUMMYFUNCTION("""COMPUTED_VALUE"""),"50001546")</f>
        <v>50001546</v>
      </c>
      <c r="D3910" s="380" t="s">
        <v>767</v>
      </c>
      <c r="E3910" s="380" t="s">
        <v>781</v>
      </c>
      <c r="F3910" s="380" t="s">
        <v>816</v>
      </c>
      <c r="G3910" s="380" t="s">
        <v>1267</v>
      </c>
      <c r="H3910" s="380" t="s">
        <v>771</v>
      </c>
      <c r="I3910" s="380" t="s">
        <v>817</v>
      </c>
      <c r="J3910" s="380" t="s">
        <v>773</v>
      </c>
      <c r="K3910" s="381">
        <v>0.0</v>
      </c>
      <c r="L3910" s="382">
        <v>1.0</v>
      </c>
    </row>
    <row r="3911">
      <c r="A3911" s="380" t="s">
        <v>4776</v>
      </c>
      <c r="B3911" s="380" t="str">
        <f>IFERROR(__xludf.DUMMYFUNCTION("""COMPUTED_VALUE"""),"Policloruro De Aluminio Para (Ptar)")</f>
        <v>Policloruro De Aluminio Para (Ptar)</v>
      </c>
      <c r="C3911" s="380" t="str">
        <f>IFERROR(__xludf.DUMMYFUNCTION("""COMPUTED_VALUE"""),"50001548")</f>
        <v>50001548</v>
      </c>
      <c r="D3911" s="380" t="s">
        <v>767</v>
      </c>
      <c r="E3911" s="380" t="s">
        <v>781</v>
      </c>
      <c r="F3911" s="380" t="s">
        <v>816</v>
      </c>
      <c r="G3911" s="380" t="s">
        <v>1267</v>
      </c>
      <c r="H3911" s="380" t="s">
        <v>771</v>
      </c>
      <c r="I3911" s="380" t="s">
        <v>817</v>
      </c>
      <c r="J3911" s="380" t="s">
        <v>773</v>
      </c>
      <c r="K3911" s="381">
        <v>0.0</v>
      </c>
      <c r="L3911" s="382">
        <v>1.0</v>
      </c>
    </row>
    <row r="3912">
      <c r="A3912" s="380" t="s">
        <v>4777</v>
      </c>
      <c r="B3912" s="380" t="str">
        <f>IFERROR(__xludf.DUMMYFUNCTION("""COMPUTED_VALUE"""),"Hoja Lija 1500")</f>
        <v>Hoja Lija 1500</v>
      </c>
      <c r="C3912" s="380" t="str">
        <f>IFERROR(__xludf.DUMMYFUNCTION("""COMPUTED_VALUE"""),"50001549")</f>
        <v>50001549</v>
      </c>
      <c r="D3912" s="380" t="s">
        <v>767</v>
      </c>
      <c r="E3912" s="380" t="s">
        <v>781</v>
      </c>
      <c r="F3912" s="380" t="s">
        <v>837</v>
      </c>
      <c r="G3912" s="380" t="s">
        <v>1267</v>
      </c>
      <c r="H3912" s="380" t="s">
        <v>771</v>
      </c>
      <c r="I3912" s="380" t="s">
        <v>817</v>
      </c>
      <c r="J3912" s="380" t="s">
        <v>773</v>
      </c>
      <c r="K3912" s="381">
        <v>0.0</v>
      </c>
      <c r="L3912" s="382">
        <v>1.0</v>
      </c>
    </row>
    <row r="3913">
      <c r="A3913" s="380" t="s">
        <v>4778</v>
      </c>
      <c r="B3913" s="380" t="str">
        <f>IFERROR(__xludf.DUMMYFUNCTION("""COMPUTED_VALUE"""),"Brocha China De 3""")</f>
        <v>Brocha China De 3"</v>
      </c>
      <c r="C3913" s="380" t="str">
        <f>IFERROR(__xludf.DUMMYFUNCTION("""COMPUTED_VALUE"""),"50001550")</f>
        <v>50001550</v>
      </c>
      <c r="D3913" s="380" t="s">
        <v>767</v>
      </c>
      <c r="E3913" s="380" t="s">
        <v>781</v>
      </c>
      <c r="F3913" s="380" t="s">
        <v>837</v>
      </c>
      <c r="G3913" s="380" t="s">
        <v>1267</v>
      </c>
      <c r="H3913" s="380" t="s">
        <v>771</v>
      </c>
      <c r="I3913" s="380" t="s">
        <v>817</v>
      </c>
      <c r="J3913" s="380" t="s">
        <v>773</v>
      </c>
      <c r="K3913" s="381">
        <v>5799.0</v>
      </c>
      <c r="L3913" s="382">
        <v>1.0</v>
      </c>
    </row>
    <row r="3914">
      <c r="A3914" s="380" t="s">
        <v>4779</v>
      </c>
      <c r="B3914" s="380" t="str">
        <f>IFERROR(__xludf.DUMMYFUNCTION("""COMPUTED_VALUE"""),"Hoja Lija N-240")</f>
        <v>Hoja Lija N-240</v>
      </c>
      <c r="C3914" s="380" t="str">
        <f>IFERROR(__xludf.DUMMYFUNCTION("""COMPUTED_VALUE"""),"50001551")</f>
        <v>50001551</v>
      </c>
      <c r="D3914" s="380" t="s">
        <v>767</v>
      </c>
      <c r="E3914" s="380" t="s">
        <v>781</v>
      </c>
      <c r="F3914" s="380" t="s">
        <v>837</v>
      </c>
      <c r="G3914" s="380" t="s">
        <v>1267</v>
      </c>
      <c r="H3914" s="380" t="s">
        <v>771</v>
      </c>
      <c r="I3914" s="380" t="s">
        <v>817</v>
      </c>
      <c r="J3914" s="380" t="s">
        <v>773</v>
      </c>
      <c r="K3914" s="381">
        <v>0.0</v>
      </c>
      <c r="L3914" s="382">
        <v>1.0</v>
      </c>
    </row>
    <row r="3915">
      <c r="A3915" s="380" t="s">
        <v>4780</v>
      </c>
      <c r="B3915" s="380" t="str">
        <f>IFERROR(__xludf.DUMMYFUNCTION("""COMPUTED_VALUE"""),"Pintura Pintucoat Blanco Y Catalizador")</f>
        <v>Pintura Pintucoat Blanco Y Catalizador</v>
      </c>
      <c r="C3915" s="380" t="str">
        <f>IFERROR(__xludf.DUMMYFUNCTION("""COMPUTED_VALUE"""),"50001553")</f>
        <v>50001553</v>
      </c>
      <c r="D3915" s="380" t="s">
        <v>767</v>
      </c>
      <c r="E3915" s="380" t="s">
        <v>781</v>
      </c>
      <c r="F3915" s="380" t="s">
        <v>837</v>
      </c>
      <c r="G3915" s="380" t="s">
        <v>1267</v>
      </c>
      <c r="H3915" s="380" t="s">
        <v>771</v>
      </c>
      <c r="I3915" s="380" t="s">
        <v>817</v>
      </c>
      <c r="J3915" s="380" t="s">
        <v>773</v>
      </c>
      <c r="K3915" s="381">
        <v>0.0</v>
      </c>
      <c r="L3915" s="382">
        <v>1.0</v>
      </c>
    </row>
    <row r="3916">
      <c r="A3916" s="380" t="s">
        <v>4781</v>
      </c>
      <c r="B3916" s="380" t="str">
        <f>IFERROR(__xludf.DUMMYFUNCTION("""COMPUTED_VALUE"""),"Kit Pintura Epoxica Anticorrosiva Pintuc")</f>
        <v>Kit Pintura Epoxica Anticorrosiva Pintuc</v>
      </c>
      <c r="C3916" s="380" t="str">
        <f>IFERROR(__xludf.DUMMYFUNCTION("""COMPUTED_VALUE"""),"50001554")</f>
        <v>50001554</v>
      </c>
      <c r="D3916" s="380" t="s">
        <v>767</v>
      </c>
      <c r="E3916" s="380" t="s">
        <v>781</v>
      </c>
      <c r="F3916" s="380" t="s">
        <v>837</v>
      </c>
      <c r="G3916" s="380" t="s">
        <v>1267</v>
      </c>
      <c r="H3916" s="380" t="s">
        <v>771</v>
      </c>
      <c r="I3916" s="380" t="s">
        <v>817</v>
      </c>
      <c r="J3916" s="380" t="s">
        <v>773</v>
      </c>
      <c r="K3916" s="381">
        <v>0.0</v>
      </c>
      <c r="L3916" s="382">
        <v>1.0</v>
      </c>
    </row>
    <row r="3917">
      <c r="A3917" s="380" t="s">
        <v>4782</v>
      </c>
      <c r="B3917" s="380" t="str">
        <f>IFERROR(__xludf.DUMMYFUNCTION("""COMPUTED_VALUE"""),"Pintura Vehiculos Entonada")</f>
        <v>Pintura Vehiculos Entonada</v>
      </c>
      <c r="C3917" s="380" t="str">
        <f>IFERROR(__xludf.DUMMYFUNCTION("""COMPUTED_VALUE"""),"50001555")</f>
        <v>50001555</v>
      </c>
      <c r="D3917" s="380" t="s">
        <v>767</v>
      </c>
      <c r="E3917" s="380" t="s">
        <v>781</v>
      </c>
      <c r="F3917" s="380" t="s">
        <v>837</v>
      </c>
      <c r="G3917" s="380" t="s">
        <v>1267</v>
      </c>
      <c r="H3917" s="380" t="s">
        <v>771</v>
      </c>
      <c r="I3917" s="380" t="s">
        <v>817</v>
      </c>
      <c r="J3917" s="380" t="s">
        <v>773</v>
      </c>
      <c r="K3917" s="381">
        <v>0.0</v>
      </c>
      <c r="L3917" s="382">
        <v>1.0</v>
      </c>
    </row>
    <row r="3918">
      <c r="A3918" s="380" t="s">
        <v>4783</v>
      </c>
      <c r="B3918" s="380" t="str">
        <f>IFERROR(__xludf.DUMMYFUNCTION("""COMPUTED_VALUE"""),"Masilla Construmatic X 28 Kg 50748501")</f>
        <v>Masilla Construmatic X 28 Kg 50748501</v>
      </c>
      <c r="C3918" s="380" t="str">
        <f>IFERROR(__xludf.DUMMYFUNCTION("""COMPUTED_VALUE"""),"50001556")</f>
        <v>50001556</v>
      </c>
      <c r="D3918" s="380" t="s">
        <v>767</v>
      </c>
      <c r="E3918" s="380" t="s">
        <v>781</v>
      </c>
      <c r="F3918" s="380" t="s">
        <v>837</v>
      </c>
      <c r="G3918" s="380" t="s">
        <v>1267</v>
      </c>
      <c r="H3918" s="380" t="s">
        <v>771</v>
      </c>
      <c r="I3918" s="380" t="s">
        <v>817</v>
      </c>
      <c r="J3918" s="380" t="s">
        <v>773</v>
      </c>
      <c r="K3918" s="381">
        <v>0.0</v>
      </c>
      <c r="L3918" s="382">
        <v>1.0</v>
      </c>
    </row>
    <row r="3919">
      <c r="A3919" s="380" t="s">
        <v>4784</v>
      </c>
      <c r="B3919" s="380" t="str">
        <f>IFERROR(__xludf.DUMMYFUNCTION("""COMPUTED_VALUE"""),"Mec Peroxido 80")</f>
        <v>Mec Peroxido 80</v>
      </c>
      <c r="C3919" s="380" t="str">
        <f>IFERROR(__xludf.DUMMYFUNCTION("""COMPUTED_VALUE"""),"50001557")</f>
        <v>50001557</v>
      </c>
      <c r="D3919" s="380" t="s">
        <v>767</v>
      </c>
      <c r="E3919" s="380" t="s">
        <v>781</v>
      </c>
      <c r="F3919" s="380" t="s">
        <v>837</v>
      </c>
      <c r="G3919" s="380" t="s">
        <v>1267</v>
      </c>
      <c r="H3919" s="380" t="s">
        <v>771</v>
      </c>
      <c r="I3919" s="380" t="s">
        <v>817</v>
      </c>
      <c r="J3919" s="380" t="s">
        <v>773</v>
      </c>
      <c r="K3919" s="381">
        <v>0.0</v>
      </c>
      <c r="L3919" s="382">
        <v>1.0</v>
      </c>
    </row>
    <row r="3920">
      <c r="A3920" s="380" t="s">
        <v>4785</v>
      </c>
      <c r="B3920" s="380" t="str">
        <f>IFERROR(__xludf.DUMMYFUNCTION("""COMPUTED_VALUE"""),"Brocha China De 4""")</f>
        <v>Brocha China De 4"</v>
      </c>
      <c r="C3920" s="380" t="str">
        <f>IFERROR(__xludf.DUMMYFUNCTION("""COMPUTED_VALUE"""),"50001558")</f>
        <v>50001558</v>
      </c>
      <c r="D3920" s="380" t="s">
        <v>767</v>
      </c>
      <c r="E3920" s="380" t="s">
        <v>781</v>
      </c>
      <c r="F3920" s="380" t="s">
        <v>837</v>
      </c>
      <c r="G3920" s="380" t="s">
        <v>1267</v>
      </c>
      <c r="H3920" s="380" t="s">
        <v>771</v>
      </c>
      <c r="I3920" s="380" t="s">
        <v>817</v>
      </c>
      <c r="J3920" s="380" t="s">
        <v>773</v>
      </c>
      <c r="K3920" s="381">
        <v>0.0</v>
      </c>
      <c r="L3920" s="382">
        <v>1.0</v>
      </c>
    </row>
    <row r="3921">
      <c r="A3921" s="380" t="s">
        <v>4786</v>
      </c>
      <c r="B3921" s="380" t="str">
        <f>IFERROR(__xludf.DUMMYFUNCTION("""COMPUTED_VALUE"""),"Pintu Pintura Base Amarilla Duretan 9213")</f>
        <v>Pintu Pintura Base Amarilla Duretan 9213</v>
      </c>
      <c r="C3921" s="380" t="str">
        <f>IFERROR(__xludf.DUMMYFUNCTION("""COMPUTED_VALUE"""),"50001562")</f>
        <v>50001562</v>
      </c>
      <c r="D3921" s="380" t="s">
        <v>767</v>
      </c>
      <c r="E3921" s="380" t="s">
        <v>781</v>
      </c>
      <c r="F3921" s="380" t="s">
        <v>837</v>
      </c>
      <c r="G3921" s="380" t="s">
        <v>1267</v>
      </c>
      <c r="H3921" s="380" t="s">
        <v>771</v>
      </c>
      <c r="I3921" s="380" t="s">
        <v>817</v>
      </c>
      <c r="J3921" s="380" t="s">
        <v>773</v>
      </c>
      <c r="K3921" s="381">
        <v>0.0</v>
      </c>
      <c r="L3921" s="382">
        <v>1.0</v>
      </c>
    </row>
    <row r="3922">
      <c r="A3922" s="380" t="s">
        <v>4787</v>
      </c>
      <c r="B3922" s="380" t="str">
        <f>IFERROR(__xludf.DUMMYFUNCTION("""COMPUTED_VALUE"""),"Endurecedor X-20 (1/16 gln)")</f>
        <v>Endurecedor X-20 (1/16 gln)</v>
      </c>
      <c r="C3922" s="380" t="str">
        <f>IFERROR(__xludf.DUMMYFUNCTION("""COMPUTED_VALUE"""),"50001564")</f>
        <v>50001564</v>
      </c>
      <c r="D3922" s="380" t="s">
        <v>767</v>
      </c>
      <c r="E3922" s="380" t="s">
        <v>781</v>
      </c>
      <c r="F3922" s="380" t="s">
        <v>837</v>
      </c>
      <c r="G3922" s="380" t="s">
        <v>1267</v>
      </c>
      <c r="H3922" s="380" t="s">
        <v>771</v>
      </c>
      <c r="I3922" s="380" t="s">
        <v>817</v>
      </c>
      <c r="J3922" s="380" t="s">
        <v>773</v>
      </c>
      <c r="K3922" s="381">
        <v>64999.0</v>
      </c>
      <c r="L3922" s="382">
        <v>1.0</v>
      </c>
    </row>
    <row r="3923">
      <c r="A3923" s="380" t="s">
        <v>4788</v>
      </c>
      <c r="B3923" s="380" t="str">
        <f>IFERROR(__xludf.DUMMYFUNCTION("""COMPUTED_VALUE"""),"Pintura Blanco Bicapa Poliest 10340 Agra")</f>
        <v>Pintura Blanco Bicapa Poliest 10340 Agra</v>
      </c>
      <c r="C3923" s="380" t="str">
        <f>IFERROR(__xludf.DUMMYFUNCTION("""COMPUTED_VALUE"""),"50001566")</f>
        <v>50001566</v>
      </c>
      <c r="D3923" s="380" t="s">
        <v>767</v>
      </c>
      <c r="E3923" s="380" t="s">
        <v>781</v>
      </c>
      <c r="F3923" s="380" t="s">
        <v>837</v>
      </c>
      <c r="G3923" s="380" t="s">
        <v>1267</v>
      </c>
      <c r="H3923" s="380" t="s">
        <v>771</v>
      </c>
      <c r="I3923" s="380" t="s">
        <v>817</v>
      </c>
      <c r="J3923" s="380" t="s">
        <v>773</v>
      </c>
      <c r="K3923" s="381">
        <v>0.0</v>
      </c>
      <c r="L3923" s="382">
        <v>1.0</v>
      </c>
    </row>
    <row r="3924">
      <c r="A3924" s="380" t="s">
        <v>4789</v>
      </c>
      <c r="B3924" s="380" t="str">
        <f>IFERROR(__xludf.DUMMYFUNCTION("""COMPUTED_VALUE"""),"Pintura Base Laca Gris 7200")</f>
        <v>Pintura Base Laca Gris 7200</v>
      </c>
      <c r="C3924" s="380" t="str">
        <f>IFERROR(__xludf.DUMMYFUNCTION("""COMPUTED_VALUE"""),"50001567")</f>
        <v>50001567</v>
      </c>
      <c r="D3924" s="380" t="s">
        <v>767</v>
      </c>
      <c r="E3924" s="380" t="s">
        <v>781</v>
      </c>
      <c r="F3924" s="380" t="s">
        <v>837</v>
      </c>
      <c r="G3924" s="380" t="s">
        <v>1267</v>
      </c>
      <c r="H3924" s="380" t="s">
        <v>771</v>
      </c>
      <c r="I3924" s="380" t="s">
        <v>817</v>
      </c>
      <c r="J3924" s="380" t="s">
        <v>773</v>
      </c>
      <c r="K3924" s="381">
        <v>0.0</v>
      </c>
      <c r="L3924" s="382">
        <v>1.0</v>
      </c>
    </row>
    <row r="3925">
      <c r="A3925" s="380" t="s">
        <v>4790</v>
      </c>
      <c r="B3925" s="380" t="str">
        <f>IFERROR(__xludf.DUMMYFUNCTION("""COMPUTED_VALUE"""),"Removedor R-1020")</f>
        <v>Removedor R-1020</v>
      </c>
      <c r="C3925" s="380" t="str">
        <f>IFERROR(__xludf.DUMMYFUNCTION("""COMPUTED_VALUE"""),"50001572")</f>
        <v>50001572</v>
      </c>
      <c r="D3925" s="380" t="s">
        <v>767</v>
      </c>
      <c r="E3925" s="380" t="s">
        <v>781</v>
      </c>
      <c r="F3925" s="380" t="s">
        <v>837</v>
      </c>
      <c r="G3925" s="380" t="s">
        <v>1267</v>
      </c>
      <c r="H3925" s="380" t="s">
        <v>771</v>
      </c>
      <c r="I3925" s="380" t="s">
        <v>817</v>
      </c>
      <c r="J3925" s="380" t="s">
        <v>773</v>
      </c>
      <c r="K3925" s="381">
        <v>0.0</v>
      </c>
      <c r="L3925" s="382">
        <v>1.0</v>
      </c>
    </row>
    <row r="3926">
      <c r="A3926" s="380" t="s">
        <v>4791</v>
      </c>
      <c r="B3926" s="380" t="str">
        <f>IFERROR(__xludf.DUMMYFUNCTION("""COMPUTED_VALUE"""),"Primer Thinner 3602sm Scn705 1250012630")</f>
        <v>Primer Thinner 3602sm Scn705 1250012630</v>
      </c>
      <c r="C3926" s="380" t="str">
        <f>IFERROR(__xludf.DUMMYFUNCTION("""COMPUTED_VALUE"""),"50001574")</f>
        <v>50001574</v>
      </c>
      <c r="D3926" s="380" t="s">
        <v>767</v>
      </c>
      <c r="E3926" s="380" t="s">
        <v>781</v>
      </c>
      <c r="F3926" s="380" t="s">
        <v>837</v>
      </c>
      <c r="G3926" s="380" t="s">
        <v>1267</v>
      </c>
      <c r="H3926" s="380" t="s">
        <v>771</v>
      </c>
      <c r="I3926" s="380" t="s">
        <v>817</v>
      </c>
      <c r="J3926" s="380" t="s">
        <v>773</v>
      </c>
      <c r="K3926" s="381">
        <v>0.0</v>
      </c>
      <c r="L3926" s="382">
        <v>1.0</v>
      </c>
    </row>
    <row r="3927">
      <c r="A3927" s="380" t="s">
        <v>4792</v>
      </c>
      <c r="B3927" s="380" t="str">
        <f>IFERROR(__xludf.DUMMYFUNCTION("""COMPUTED_VALUE"""),"Catalizador Cromacryl Iw205 1250028411")</f>
        <v>Catalizador Cromacryl Iw205 1250028411</v>
      </c>
      <c r="C3927" s="380" t="str">
        <f>IFERROR(__xludf.DUMMYFUNCTION("""COMPUTED_VALUE"""),"50001576")</f>
        <v>50001576</v>
      </c>
      <c r="D3927" s="380" t="s">
        <v>767</v>
      </c>
      <c r="E3927" s="380" t="s">
        <v>781</v>
      </c>
      <c r="F3927" s="380" t="s">
        <v>837</v>
      </c>
      <c r="G3927" s="380" t="s">
        <v>1267</v>
      </c>
      <c r="H3927" s="380" t="s">
        <v>771</v>
      </c>
      <c r="I3927" s="380" t="s">
        <v>817</v>
      </c>
      <c r="J3927" s="380" t="s">
        <v>773</v>
      </c>
      <c r="K3927" s="381">
        <v>0.0</v>
      </c>
      <c r="L3927" s="382">
        <v>1.0</v>
      </c>
    </row>
    <row r="3928">
      <c r="A3928" s="380" t="s">
        <v>4793</v>
      </c>
      <c r="B3928" s="380" t="str">
        <f>IFERROR(__xludf.DUMMYFUNCTION("""COMPUTED_VALUE"""),"Brocha China De 6""")</f>
        <v>Brocha China De 6"</v>
      </c>
      <c r="C3928" s="380" t="str">
        <f>IFERROR(__xludf.DUMMYFUNCTION("""COMPUTED_VALUE"""),"50001577")</f>
        <v>50001577</v>
      </c>
      <c r="D3928" s="380" t="s">
        <v>767</v>
      </c>
      <c r="E3928" s="380" t="s">
        <v>781</v>
      </c>
      <c r="F3928" s="380" t="s">
        <v>837</v>
      </c>
      <c r="G3928" s="380" t="s">
        <v>1267</v>
      </c>
      <c r="H3928" s="380" t="s">
        <v>771</v>
      </c>
      <c r="I3928" s="380" t="s">
        <v>817</v>
      </c>
      <c r="J3928" s="380" t="s">
        <v>773</v>
      </c>
      <c r="K3928" s="381">
        <v>0.0</v>
      </c>
      <c r="L3928" s="382">
        <v>1.0</v>
      </c>
    </row>
    <row r="3929">
      <c r="A3929" s="380" t="s">
        <v>4794</v>
      </c>
      <c r="B3929" s="380" t="str">
        <f>IFERROR(__xludf.DUMMYFUNCTION("""COMPUTED_VALUE"""),"Lija Esmeril")</f>
        <v>Lija Esmeril</v>
      </c>
      <c r="C3929" s="380" t="str">
        <f>IFERROR(__xludf.DUMMYFUNCTION("""COMPUTED_VALUE"""),"50001580")</f>
        <v>50001580</v>
      </c>
      <c r="D3929" s="380" t="s">
        <v>767</v>
      </c>
      <c r="E3929" s="380" t="s">
        <v>781</v>
      </c>
      <c r="F3929" s="380" t="s">
        <v>837</v>
      </c>
      <c r="G3929" s="380" t="s">
        <v>1267</v>
      </c>
      <c r="H3929" s="380" t="s">
        <v>771</v>
      </c>
      <c r="I3929" s="380" t="s">
        <v>817</v>
      </c>
      <c r="J3929" s="380" t="s">
        <v>773</v>
      </c>
      <c r="K3929" s="381">
        <v>0.0</v>
      </c>
      <c r="L3929" s="382">
        <v>1.0</v>
      </c>
    </row>
    <row r="3930">
      <c r="A3930" s="380" t="s">
        <v>4795</v>
      </c>
      <c r="B3930" s="380" t="str">
        <f>IFERROR(__xludf.DUMMYFUNCTION("""COMPUTED_VALUE"""),"Masilla Epoxica Rally")</f>
        <v>Masilla Epoxica Rally</v>
      </c>
      <c r="C3930" s="380" t="str">
        <f>IFERROR(__xludf.DUMMYFUNCTION("""COMPUTED_VALUE"""),"50001582")</f>
        <v>50001582</v>
      </c>
      <c r="D3930" s="380" t="s">
        <v>767</v>
      </c>
      <c r="E3930" s="380" t="s">
        <v>781</v>
      </c>
      <c r="F3930" s="380" t="s">
        <v>837</v>
      </c>
      <c r="G3930" s="380" t="s">
        <v>1267</v>
      </c>
      <c r="H3930" s="380" t="s">
        <v>771</v>
      </c>
      <c r="I3930" s="380" t="s">
        <v>817</v>
      </c>
      <c r="J3930" s="380" t="s">
        <v>773</v>
      </c>
      <c r="K3930" s="381">
        <v>0.0</v>
      </c>
      <c r="L3930" s="382">
        <v>1.0</v>
      </c>
    </row>
    <row r="3931">
      <c r="A3931" s="380" t="s">
        <v>4796</v>
      </c>
      <c r="B3931" s="380" t="str">
        <f>IFERROR(__xludf.DUMMYFUNCTION("""COMPUTED_VALUE"""),"Kit Pintura 1/1 Primer 2k+1/8 Endurec. E")</f>
        <v>Kit Pintura 1/1 Primer 2k+1/8 Endurec. E</v>
      </c>
      <c r="C3931" s="380" t="str">
        <f>IFERROR(__xludf.DUMMYFUNCTION("""COMPUTED_VALUE"""),"50001584")</f>
        <v>50001584</v>
      </c>
      <c r="D3931" s="380" t="s">
        <v>767</v>
      </c>
      <c r="E3931" s="380" t="s">
        <v>781</v>
      </c>
      <c r="F3931" s="380" t="s">
        <v>837</v>
      </c>
      <c r="G3931" s="380" t="s">
        <v>1267</v>
      </c>
      <c r="H3931" s="380" t="s">
        <v>771</v>
      </c>
      <c r="I3931" s="380" t="s">
        <v>817</v>
      </c>
      <c r="J3931" s="380" t="s">
        <v>773</v>
      </c>
      <c r="K3931" s="381">
        <v>0.0</v>
      </c>
      <c r="L3931" s="382">
        <v>1.0</v>
      </c>
    </row>
    <row r="3932">
      <c r="A3932" s="380" t="s">
        <v>4797</v>
      </c>
      <c r="B3932" s="380" t="str">
        <f>IFERROR(__xludf.DUMMYFUNCTION("""COMPUTED_VALUE"""),"Pintura Entonada Moto")</f>
        <v>Pintura Entonada Moto</v>
      </c>
      <c r="C3932" s="380" t="str">
        <f>IFERROR(__xludf.DUMMYFUNCTION("""COMPUTED_VALUE"""),"50001586")</f>
        <v>50001586</v>
      </c>
      <c r="D3932" s="380" t="s">
        <v>767</v>
      </c>
      <c r="E3932" s="380" t="s">
        <v>781</v>
      </c>
      <c r="F3932" s="380" t="s">
        <v>837</v>
      </c>
      <c r="G3932" s="380" t="s">
        <v>1267</v>
      </c>
      <c r="H3932" s="380" t="s">
        <v>771</v>
      </c>
      <c r="I3932" s="380" t="s">
        <v>817</v>
      </c>
      <c r="J3932" s="380" t="s">
        <v>773</v>
      </c>
      <c r="K3932" s="381">
        <v>0.0</v>
      </c>
      <c r="L3932" s="382">
        <v>1.0</v>
      </c>
    </row>
    <row r="3933">
      <c r="A3933" s="380" t="s">
        <v>4798</v>
      </c>
      <c r="B3933" s="380" t="str">
        <f>IFERROR(__xludf.DUMMYFUNCTION("""COMPUTED_VALUE"""),"Pintura Laca Varias Vehiculo")</f>
        <v>Pintura Laca Varias Vehiculo</v>
      </c>
      <c r="C3933" s="380" t="str">
        <f>IFERROR(__xludf.DUMMYFUNCTION("""COMPUTED_VALUE"""),"50001588")</f>
        <v>50001588</v>
      </c>
      <c r="D3933" s="380" t="s">
        <v>767</v>
      </c>
      <c r="E3933" s="380" t="s">
        <v>781</v>
      </c>
      <c r="F3933" s="380" t="s">
        <v>837</v>
      </c>
      <c r="G3933" s="380" t="s">
        <v>1267</v>
      </c>
      <c r="H3933" s="380" t="s">
        <v>771</v>
      </c>
      <c r="I3933" s="380" t="s">
        <v>817</v>
      </c>
      <c r="J3933" s="380" t="s">
        <v>773</v>
      </c>
      <c r="K3933" s="381">
        <v>0.0</v>
      </c>
      <c r="L3933" s="382">
        <v>1.0</v>
      </c>
    </row>
    <row r="3934">
      <c r="A3934" s="380" t="s">
        <v>4799</v>
      </c>
      <c r="B3934" s="380" t="str">
        <f>IFERROR(__xludf.DUMMYFUNCTION("""COMPUTED_VALUE"""),"Carpincol Pegante Para Madera")</f>
        <v>Carpincol Pegante Para Madera</v>
      </c>
      <c r="C3934" s="380" t="str">
        <f>IFERROR(__xludf.DUMMYFUNCTION("""COMPUTED_VALUE"""),"50001589")</f>
        <v>50001589</v>
      </c>
      <c r="D3934" s="380" t="s">
        <v>767</v>
      </c>
      <c r="E3934" s="380" t="s">
        <v>781</v>
      </c>
      <c r="F3934" s="380" t="s">
        <v>837</v>
      </c>
      <c r="G3934" s="380" t="s">
        <v>1267</v>
      </c>
      <c r="H3934" s="380" t="s">
        <v>771</v>
      </c>
      <c r="I3934" s="380" t="s">
        <v>817</v>
      </c>
      <c r="J3934" s="380" t="s">
        <v>773</v>
      </c>
      <c r="K3934" s="381">
        <v>0.0</v>
      </c>
      <c r="L3934" s="382">
        <v>1.0</v>
      </c>
    </row>
    <row r="3935">
      <c r="A3935" s="380" t="s">
        <v>4800</v>
      </c>
      <c r="B3935" s="380" t="str">
        <f>IFERROR(__xludf.DUMMYFUNCTION("""COMPUTED_VALUE"""),"Pasta Copao Blanco 120025 1/4""")</f>
        <v>Pasta Copao Blanco 120025 1/4"</v>
      </c>
      <c r="C3935" s="380" t="str">
        <f>IFERROR(__xludf.DUMMYFUNCTION("""COMPUTED_VALUE"""),"50001590")</f>
        <v>50001590</v>
      </c>
      <c r="D3935" s="380" t="s">
        <v>767</v>
      </c>
      <c r="E3935" s="380" t="s">
        <v>781</v>
      </c>
      <c r="F3935" s="380" t="s">
        <v>837</v>
      </c>
      <c r="G3935" s="380" t="s">
        <v>1267</v>
      </c>
      <c r="H3935" s="380" t="s">
        <v>771</v>
      </c>
      <c r="I3935" s="380" t="s">
        <v>817</v>
      </c>
      <c r="J3935" s="380" t="s">
        <v>773</v>
      </c>
      <c r="K3935" s="381">
        <v>23900.0</v>
      </c>
      <c r="L3935" s="382">
        <v>1.0</v>
      </c>
    </row>
    <row r="3936">
      <c r="A3936" s="380" t="s">
        <v>4801</v>
      </c>
      <c r="B3936" s="380" t="str">
        <f>IFERROR(__xludf.DUMMYFUNCTION("""COMPUTED_VALUE"""),"Pintura Blanco Cristal 10513")</f>
        <v>Pintura Blanco Cristal 10513</v>
      </c>
      <c r="C3936" s="380" t="str">
        <f>IFERROR(__xludf.DUMMYFUNCTION("""COMPUTED_VALUE"""),"50001596")</f>
        <v>50001596</v>
      </c>
      <c r="D3936" s="380" t="s">
        <v>767</v>
      </c>
      <c r="E3936" s="380" t="s">
        <v>781</v>
      </c>
      <c r="F3936" s="380" t="s">
        <v>837</v>
      </c>
      <c r="G3936" s="380" t="s">
        <v>1267</v>
      </c>
      <c r="H3936" s="380" t="s">
        <v>771</v>
      </c>
      <c r="I3936" s="380" t="s">
        <v>817</v>
      </c>
      <c r="J3936" s="380" t="s">
        <v>773</v>
      </c>
      <c r="K3936" s="381">
        <v>0.0</v>
      </c>
      <c r="L3936" s="382">
        <v>1.0</v>
      </c>
    </row>
    <row r="3937">
      <c r="A3937" s="380" t="s">
        <v>4802</v>
      </c>
      <c r="B3937" s="380" t="str">
        <f>IFERROR(__xludf.DUMMYFUNCTION("""COMPUTED_VALUE"""),"Hoja Lija N-80")</f>
        <v>Hoja Lija N-80</v>
      </c>
      <c r="C3937" s="380" t="str">
        <f>IFERROR(__xludf.DUMMYFUNCTION("""COMPUTED_VALUE"""),"50001597")</f>
        <v>50001597</v>
      </c>
      <c r="D3937" s="380" t="s">
        <v>767</v>
      </c>
      <c r="E3937" s="380" t="s">
        <v>781</v>
      </c>
      <c r="F3937" s="380" t="s">
        <v>837</v>
      </c>
      <c r="G3937" s="380" t="s">
        <v>1267</v>
      </c>
      <c r="H3937" s="380" t="s">
        <v>771</v>
      </c>
      <c r="I3937" s="380" t="s">
        <v>817</v>
      </c>
      <c r="J3937" s="380" t="s">
        <v>773</v>
      </c>
      <c r="K3937" s="381">
        <v>1499.0</v>
      </c>
      <c r="L3937" s="382">
        <v>1.0</v>
      </c>
    </row>
    <row r="3938">
      <c r="A3938" s="380" t="s">
        <v>4803</v>
      </c>
      <c r="B3938" s="380" t="str">
        <f>IFERROR(__xludf.DUMMYFUNCTION("""COMPUTED_VALUE"""),"Hoja Lija N-120")</f>
        <v>Hoja Lija N-120</v>
      </c>
      <c r="C3938" s="380" t="str">
        <f>IFERROR(__xludf.DUMMYFUNCTION("""COMPUTED_VALUE"""),"50001598")</f>
        <v>50001598</v>
      </c>
      <c r="D3938" s="380" t="s">
        <v>767</v>
      </c>
      <c r="E3938" s="380" t="s">
        <v>781</v>
      </c>
      <c r="F3938" s="380" t="s">
        <v>837</v>
      </c>
      <c r="G3938" s="380" t="s">
        <v>1267</v>
      </c>
      <c r="H3938" s="380" t="s">
        <v>771</v>
      </c>
      <c r="I3938" s="380" t="s">
        <v>817</v>
      </c>
      <c r="J3938" s="380" t="s">
        <v>773</v>
      </c>
      <c r="K3938" s="381">
        <v>1499.0</v>
      </c>
      <c r="L3938" s="382">
        <v>1.0</v>
      </c>
    </row>
    <row r="3939">
      <c r="A3939" s="380" t="s">
        <v>4804</v>
      </c>
      <c r="B3939" s="380" t="str">
        <f>IFERROR(__xludf.DUMMYFUNCTION("""COMPUTED_VALUE"""),"Hoja Lija N-150")</f>
        <v>Hoja Lija N-150</v>
      </c>
      <c r="C3939" s="380" t="str">
        <f>IFERROR(__xludf.DUMMYFUNCTION("""COMPUTED_VALUE"""),"50001599")</f>
        <v>50001599</v>
      </c>
      <c r="D3939" s="380" t="s">
        <v>767</v>
      </c>
      <c r="E3939" s="380" t="s">
        <v>781</v>
      </c>
      <c r="F3939" s="380" t="s">
        <v>837</v>
      </c>
      <c r="G3939" s="380" t="s">
        <v>1267</v>
      </c>
      <c r="H3939" s="380" t="s">
        <v>771</v>
      </c>
      <c r="I3939" s="380" t="s">
        <v>817</v>
      </c>
      <c r="J3939" s="380" t="s">
        <v>773</v>
      </c>
      <c r="K3939" s="381">
        <v>0.0</v>
      </c>
      <c r="L3939" s="382">
        <v>1.0</v>
      </c>
    </row>
    <row r="3940">
      <c r="A3940" s="380" t="s">
        <v>4805</v>
      </c>
      <c r="B3940" s="380" t="str">
        <f>IFERROR(__xludf.DUMMYFUNCTION("""COMPUTED_VALUE"""),"Hoja Lija N-180")</f>
        <v>Hoja Lija N-180</v>
      </c>
      <c r="C3940" s="380" t="str">
        <f>IFERROR(__xludf.DUMMYFUNCTION("""COMPUTED_VALUE"""),"50001600")</f>
        <v>50001600</v>
      </c>
      <c r="D3940" s="380" t="s">
        <v>767</v>
      </c>
      <c r="E3940" s="380" t="s">
        <v>781</v>
      </c>
      <c r="F3940" s="380" t="s">
        <v>837</v>
      </c>
      <c r="G3940" s="380" t="s">
        <v>1267</v>
      </c>
      <c r="H3940" s="380" t="s">
        <v>771</v>
      </c>
      <c r="I3940" s="380" t="s">
        <v>817</v>
      </c>
      <c r="J3940" s="380" t="s">
        <v>773</v>
      </c>
      <c r="K3940" s="381">
        <v>1499.0</v>
      </c>
      <c r="L3940" s="382">
        <v>1.0</v>
      </c>
    </row>
    <row r="3941">
      <c r="A3941" s="380" t="s">
        <v>4806</v>
      </c>
      <c r="B3941" s="380" t="str">
        <f>IFERROR(__xludf.DUMMYFUNCTION("""COMPUTED_VALUE"""),"Hoja Lija N-220")</f>
        <v>Hoja Lija N-220</v>
      </c>
      <c r="C3941" s="380" t="str">
        <f>IFERROR(__xludf.DUMMYFUNCTION("""COMPUTED_VALUE"""),"50001601")</f>
        <v>50001601</v>
      </c>
      <c r="D3941" s="380" t="s">
        <v>767</v>
      </c>
      <c r="E3941" s="380" t="s">
        <v>781</v>
      </c>
      <c r="F3941" s="380" t="s">
        <v>837</v>
      </c>
      <c r="G3941" s="380" t="s">
        <v>1267</v>
      </c>
      <c r="H3941" s="380" t="s">
        <v>771</v>
      </c>
      <c r="I3941" s="380" t="s">
        <v>817</v>
      </c>
      <c r="J3941" s="380" t="s">
        <v>773</v>
      </c>
      <c r="K3941" s="381">
        <v>1493.0</v>
      </c>
      <c r="L3941" s="382">
        <v>1.0</v>
      </c>
    </row>
    <row r="3942">
      <c r="A3942" s="380" t="s">
        <v>4807</v>
      </c>
      <c r="B3942" s="380" t="str">
        <f>IFERROR(__xludf.DUMMYFUNCTION("""COMPUTED_VALUE"""),"Hoja Lija N-280")</f>
        <v>Hoja Lija N-280</v>
      </c>
      <c r="C3942" s="380" t="str">
        <f>IFERROR(__xludf.DUMMYFUNCTION("""COMPUTED_VALUE"""),"50001602")</f>
        <v>50001602</v>
      </c>
      <c r="D3942" s="380" t="s">
        <v>767</v>
      </c>
      <c r="E3942" s="380" t="s">
        <v>781</v>
      </c>
      <c r="F3942" s="380" t="s">
        <v>837</v>
      </c>
      <c r="G3942" s="380" t="s">
        <v>1267</v>
      </c>
      <c r="H3942" s="380" t="s">
        <v>771</v>
      </c>
      <c r="I3942" s="380" t="s">
        <v>817</v>
      </c>
      <c r="J3942" s="380" t="s">
        <v>773</v>
      </c>
      <c r="K3942" s="381">
        <v>2975.0</v>
      </c>
      <c r="L3942" s="382">
        <v>1.0</v>
      </c>
    </row>
    <row r="3943">
      <c r="A3943" s="380" t="s">
        <v>4808</v>
      </c>
      <c r="B3943" s="380" t="str">
        <f>IFERROR(__xludf.DUMMYFUNCTION("""COMPUTED_VALUE"""),"Hoja Lija N-320")</f>
        <v>Hoja Lija N-320</v>
      </c>
      <c r="C3943" s="380" t="str">
        <f>IFERROR(__xludf.DUMMYFUNCTION("""COMPUTED_VALUE"""),"50001603")</f>
        <v>50001603</v>
      </c>
      <c r="D3943" s="380" t="s">
        <v>767</v>
      </c>
      <c r="E3943" s="380" t="s">
        <v>781</v>
      </c>
      <c r="F3943" s="380" t="s">
        <v>837</v>
      </c>
      <c r="G3943" s="380" t="s">
        <v>1267</v>
      </c>
      <c r="H3943" s="380" t="s">
        <v>771</v>
      </c>
      <c r="I3943" s="380" t="s">
        <v>817</v>
      </c>
      <c r="J3943" s="380" t="s">
        <v>773</v>
      </c>
      <c r="K3943" s="381">
        <v>0.0</v>
      </c>
      <c r="L3943" s="382">
        <v>1.0</v>
      </c>
    </row>
    <row r="3944">
      <c r="A3944" s="380" t="s">
        <v>4809</v>
      </c>
      <c r="B3944" s="380" t="str">
        <f>IFERROR(__xludf.DUMMYFUNCTION("""COMPUTED_VALUE"""),"Hoja Lija N-360")</f>
        <v>Hoja Lija N-360</v>
      </c>
      <c r="C3944" s="380" t="str">
        <f>IFERROR(__xludf.DUMMYFUNCTION("""COMPUTED_VALUE"""),"50001604")</f>
        <v>50001604</v>
      </c>
      <c r="D3944" s="380" t="s">
        <v>767</v>
      </c>
      <c r="E3944" s="380" t="s">
        <v>781</v>
      </c>
      <c r="F3944" s="380" t="s">
        <v>837</v>
      </c>
      <c r="G3944" s="380" t="s">
        <v>1267</v>
      </c>
      <c r="H3944" s="380" t="s">
        <v>771</v>
      </c>
      <c r="I3944" s="380" t="s">
        <v>817</v>
      </c>
      <c r="J3944" s="380" t="s">
        <v>773</v>
      </c>
      <c r="K3944" s="381">
        <v>2296.0</v>
      </c>
      <c r="L3944" s="382">
        <v>1.0</v>
      </c>
    </row>
    <row r="3945">
      <c r="A3945" s="380" t="s">
        <v>4810</v>
      </c>
      <c r="B3945" s="380" t="str">
        <f>IFERROR(__xludf.DUMMYFUNCTION("""COMPUTED_VALUE"""),"Hoja Lija N-400")</f>
        <v>Hoja Lija N-400</v>
      </c>
      <c r="C3945" s="380" t="str">
        <f>IFERROR(__xludf.DUMMYFUNCTION("""COMPUTED_VALUE"""),"50001605")</f>
        <v>50001605</v>
      </c>
      <c r="D3945" s="380" t="s">
        <v>767</v>
      </c>
      <c r="E3945" s="380" t="s">
        <v>781</v>
      </c>
      <c r="F3945" s="380" t="s">
        <v>837</v>
      </c>
      <c r="G3945" s="380" t="s">
        <v>1267</v>
      </c>
      <c r="H3945" s="380" t="s">
        <v>771</v>
      </c>
      <c r="I3945" s="380" t="s">
        <v>817</v>
      </c>
      <c r="J3945" s="380" t="s">
        <v>773</v>
      </c>
      <c r="K3945" s="381">
        <v>1208.0</v>
      </c>
      <c r="L3945" s="382">
        <v>1.0</v>
      </c>
    </row>
    <row r="3946">
      <c r="A3946" s="380" t="s">
        <v>4811</v>
      </c>
      <c r="B3946" s="380" t="str">
        <f>IFERROR(__xludf.DUMMYFUNCTION("""COMPUTED_VALUE"""),"Impermeabilizante Impercryl B.Agua Blanc")</f>
        <v>Impermeabilizante Impercryl B.Agua Blanc</v>
      </c>
      <c r="C3946" s="380" t="str">
        <f>IFERROR(__xludf.DUMMYFUNCTION("""COMPUTED_VALUE"""),"50001606")</f>
        <v>50001606</v>
      </c>
      <c r="D3946" s="380" t="s">
        <v>767</v>
      </c>
      <c r="E3946" s="380" t="s">
        <v>781</v>
      </c>
      <c r="F3946" s="380" t="s">
        <v>837</v>
      </c>
      <c r="G3946" s="380" t="s">
        <v>1267</v>
      </c>
      <c r="H3946" s="380" t="s">
        <v>771</v>
      </c>
      <c r="I3946" s="380" t="s">
        <v>817</v>
      </c>
      <c r="J3946" s="380" t="s">
        <v>773</v>
      </c>
      <c r="K3946" s="381">
        <v>12500.0</v>
      </c>
      <c r="L3946" s="382">
        <v>1.0</v>
      </c>
    </row>
    <row r="3947">
      <c r="A3947" s="380" t="s">
        <v>4812</v>
      </c>
      <c r="B3947" s="380" t="str">
        <f>IFERROR(__xludf.DUMMYFUNCTION("""COMPUTED_VALUE"""),"Catalizador 5100(Primer/Barni 4180309003")</f>
        <v>Catalizador 5100(Primer/Barni 4180309003</v>
      </c>
      <c r="C3947" s="380" t="str">
        <f>IFERROR(__xludf.DUMMYFUNCTION("""COMPUTED_VALUE"""),"50001609")</f>
        <v>50001609</v>
      </c>
      <c r="D3947" s="380" t="s">
        <v>767</v>
      </c>
      <c r="E3947" s="380" t="s">
        <v>781</v>
      </c>
      <c r="F3947" s="380" t="s">
        <v>837</v>
      </c>
      <c r="G3947" s="380" t="s">
        <v>1267</v>
      </c>
      <c r="H3947" s="380" t="s">
        <v>771</v>
      </c>
      <c r="I3947" s="380" t="s">
        <v>817</v>
      </c>
      <c r="J3947" s="380" t="s">
        <v>773</v>
      </c>
      <c r="K3947" s="381">
        <v>64999.0</v>
      </c>
      <c r="L3947" s="382">
        <v>1.0</v>
      </c>
    </row>
    <row r="3948">
      <c r="A3948" s="380" t="s">
        <v>4813</v>
      </c>
      <c r="B3948" s="380" t="str">
        <f>IFERROR(__xludf.DUMMYFUNCTION("""COMPUTED_VALUE"""),"Thinner Para Poliester/Pu 4070403015")</f>
        <v>Thinner Para Poliester/Pu 4070403015</v>
      </c>
      <c r="C3948" s="380" t="str">
        <f>IFERROR(__xludf.DUMMYFUNCTION("""COMPUTED_VALUE"""),"50001610")</f>
        <v>50001610</v>
      </c>
      <c r="D3948" s="380" t="s">
        <v>767</v>
      </c>
      <c r="E3948" s="380" t="s">
        <v>781</v>
      </c>
      <c r="F3948" s="380" t="s">
        <v>837</v>
      </c>
      <c r="G3948" s="380" t="s">
        <v>1267</v>
      </c>
      <c r="H3948" s="380" t="s">
        <v>771</v>
      </c>
      <c r="I3948" s="380" t="s">
        <v>817</v>
      </c>
      <c r="J3948" s="380" t="s">
        <v>773</v>
      </c>
      <c r="K3948" s="381">
        <v>0.0</v>
      </c>
      <c r="L3948" s="382">
        <v>1.0</v>
      </c>
    </row>
    <row r="3949">
      <c r="A3949" s="380" t="s">
        <v>4814</v>
      </c>
      <c r="B3949" s="380" t="str">
        <f>IFERROR(__xludf.DUMMYFUNCTION("""COMPUTED_VALUE"""),"Endurecedor Para Primer Epoxi 6150055003")</f>
        <v>Endurecedor Para Primer Epoxi 6150055003</v>
      </c>
      <c r="C3949" s="380" t="str">
        <f>IFERROR(__xludf.DUMMYFUNCTION("""COMPUTED_VALUE"""),"50001611")</f>
        <v>50001611</v>
      </c>
      <c r="D3949" s="380" t="s">
        <v>767</v>
      </c>
      <c r="E3949" s="380" t="s">
        <v>781</v>
      </c>
      <c r="F3949" s="380" t="s">
        <v>837</v>
      </c>
      <c r="G3949" s="380" t="s">
        <v>1267</v>
      </c>
      <c r="H3949" s="380" t="s">
        <v>771</v>
      </c>
      <c r="I3949" s="380" t="s">
        <v>817</v>
      </c>
      <c r="J3949" s="380" t="s">
        <v>773</v>
      </c>
      <c r="K3949" s="381">
        <v>0.0</v>
      </c>
      <c r="L3949" s="382">
        <v>1.0</v>
      </c>
    </row>
    <row r="3950">
      <c r="A3950" s="380" t="s">
        <v>4815</v>
      </c>
      <c r="B3950" s="380" t="str">
        <f>IFERROR(__xludf.DUMMYFUNCTION("""COMPUTED_VALUE"""),"Impermeabilizante P7")</f>
        <v>Impermeabilizante P7</v>
      </c>
      <c r="C3950" s="380" t="str">
        <f>IFERROR(__xludf.DUMMYFUNCTION("""COMPUTED_VALUE"""),"50001612")</f>
        <v>50001612</v>
      </c>
      <c r="D3950" s="380" t="s">
        <v>767</v>
      </c>
      <c r="E3950" s="380" t="s">
        <v>781</v>
      </c>
      <c r="F3950" s="380" t="s">
        <v>837</v>
      </c>
      <c r="G3950" s="380" t="s">
        <v>1267</v>
      </c>
      <c r="H3950" s="380" t="s">
        <v>771</v>
      </c>
      <c r="I3950" s="380" t="s">
        <v>817</v>
      </c>
      <c r="J3950" s="380" t="s">
        <v>773</v>
      </c>
      <c r="K3950" s="381">
        <v>0.0</v>
      </c>
      <c r="L3950" s="382">
        <v>1.0</v>
      </c>
    </row>
    <row r="3951">
      <c r="A3951" s="380" t="s">
        <v>4816</v>
      </c>
      <c r="B3951" s="380" t="str">
        <f>IFERROR(__xludf.DUMMYFUNCTION("""COMPUTED_VALUE"""),"Aceite 3 En 1")</f>
        <v>Aceite 3 En 1</v>
      </c>
      <c r="C3951" s="380" t="str">
        <f>IFERROR(__xludf.DUMMYFUNCTION("""COMPUTED_VALUE"""),"50001615")</f>
        <v>50001615</v>
      </c>
      <c r="D3951" s="380" t="s">
        <v>767</v>
      </c>
      <c r="E3951" s="380" t="s">
        <v>781</v>
      </c>
      <c r="F3951" s="380" t="s">
        <v>833</v>
      </c>
      <c r="G3951" s="380" t="s">
        <v>1267</v>
      </c>
      <c r="H3951" s="380" t="s">
        <v>771</v>
      </c>
      <c r="I3951" s="380" t="s">
        <v>834</v>
      </c>
      <c r="J3951" s="380" t="s">
        <v>773</v>
      </c>
      <c r="K3951" s="381">
        <v>0.0</v>
      </c>
      <c r="L3951" s="382">
        <v>1.0</v>
      </c>
    </row>
    <row r="3952">
      <c r="A3952" s="380" t="s">
        <v>4817</v>
      </c>
      <c r="B3952" s="380" t="str">
        <f>IFERROR(__xludf.DUMMYFUNCTION("""COMPUTED_VALUE"""),"Aceite Aceite Cuatro Tiempos Moto 20w50")</f>
        <v>Aceite Aceite Cuatro Tiempos Moto 20w50</v>
      </c>
      <c r="C3952" s="380" t="str">
        <f>IFERROR(__xludf.DUMMYFUNCTION("""COMPUTED_VALUE"""),"50001621")</f>
        <v>50001621</v>
      </c>
      <c r="D3952" s="380" t="s">
        <v>767</v>
      </c>
      <c r="E3952" s="380" t="s">
        <v>781</v>
      </c>
      <c r="F3952" s="380" t="s">
        <v>833</v>
      </c>
      <c r="G3952" s="380" t="s">
        <v>1267</v>
      </c>
      <c r="H3952" s="380" t="s">
        <v>771</v>
      </c>
      <c r="I3952" s="380" t="s">
        <v>834</v>
      </c>
      <c r="J3952" s="380" t="s">
        <v>773</v>
      </c>
      <c r="K3952" s="381">
        <v>35800.0</v>
      </c>
      <c r="L3952" s="382">
        <v>1.0</v>
      </c>
    </row>
    <row r="3953">
      <c r="A3953" s="380" t="s">
        <v>4818</v>
      </c>
      <c r="B3953" s="380" t="str">
        <f>IFERROR(__xludf.DUMMYFUNCTION("""COMPUTED_VALUE"""),"Limpiador De Carburador 600ml Simoniz")</f>
        <v>Limpiador De Carburador 600ml Simoniz</v>
      </c>
      <c r="C3953" s="380" t="str">
        <f>IFERROR(__xludf.DUMMYFUNCTION("""COMPUTED_VALUE"""),"50001622")</f>
        <v>50001622</v>
      </c>
      <c r="D3953" s="380" t="s">
        <v>767</v>
      </c>
      <c r="E3953" s="380" t="s">
        <v>781</v>
      </c>
      <c r="F3953" s="380" t="s">
        <v>833</v>
      </c>
      <c r="G3953" s="380" t="s">
        <v>1267</v>
      </c>
      <c r="H3953" s="380" t="s">
        <v>771</v>
      </c>
      <c r="I3953" s="380" t="s">
        <v>834</v>
      </c>
      <c r="J3953" s="380" t="s">
        <v>773</v>
      </c>
      <c r="K3953" s="381">
        <v>0.0</v>
      </c>
      <c r="L3953" s="382">
        <v>1.0</v>
      </c>
    </row>
    <row r="3954">
      <c r="A3954" s="380" t="s">
        <v>4819</v>
      </c>
      <c r="B3954" s="380" t="str">
        <f>IFERROR(__xludf.DUMMYFUNCTION("""COMPUTED_VALUE"""),"Aditivo Refrigeran Fleetguard Dca-65 (Lt")</f>
        <v>Aditivo Refrigeran Fleetguard Dca-65 (Lt</v>
      </c>
      <c r="C3954" s="380" t="str">
        <f>IFERROR(__xludf.DUMMYFUNCTION("""COMPUTED_VALUE"""),"50001623")</f>
        <v>50001623</v>
      </c>
      <c r="D3954" s="380" t="s">
        <v>767</v>
      </c>
      <c r="E3954" s="380" t="s">
        <v>781</v>
      </c>
      <c r="F3954" s="380" t="s">
        <v>833</v>
      </c>
      <c r="G3954" s="380" t="s">
        <v>1267</v>
      </c>
      <c r="H3954" s="380" t="s">
        <v>771</v>
      </c>
      <c r="I3954" s="380" t="s">
        <v>834</v>
      </c>
      <c r="J3954" s="380" t="s">
        <v>773</v>
      </c>
      <c r="K3954" s="381">
        <v>80717.0</v>
      </c>
      <c r="L3954" s="382">
        <v>1.0</v>
      </c>
    </row>
    <row r="3955">
      <c r="A3955" s="380" t="s">
        <v>4820</v>
      </c>
      <c r="B3955" s="380" t="str">
        <f>IFERROR(__xludf.DUMMYFUNCTION("""COMPUTED_VALUE"""),"Aceite Spirax Caja S6 Axme 75w90")</f>
        <v>Aceite Spirax Caja S6 Axme 75w90</v>
      </c>
      <c r="C3955" s="380" t="str">
        <f>IFERROR(__xludf.DUMMYFUNCTION("""COMPUTED_VALUE"""),"50001624")</f>
        <v>50001624</v>
      </c>
      <c r="D3955" s="380" t="s">
        <v>767</v>
      </c>
      <c r="E3955" s="380" t="s">
        <v>781</v>
      </c>
      <c r="F3955" s="380" t="s">
        <v>833</v>
      </c>
      <c r="G3955" s="380" t="s">
        <v>1267</v>
      </c>
      <c r="H3955" s="380" t="s">
        <v>771</v>
      </c>
      <c r="I3955" s="380" t="s">
        <v>834</v>
      </c>
      <c r="J3955" s="380" t="s">
        <v>773</v>
      </c>
      <c r="K3955" s="381">
        <v>0.0</v>
      </c>
      <c r="L3955" s="382">
        <v>1.0</v>
      </c>
    </row>
    <row r="3956">
      <c r="A3956" s="380" t="s">
        <v>4821</v>
      </c>
      <c r="B3956" s="380" t="str">
        <f>IFERROR(__xludf.DUMMYFUNCTION("""COMPUTED_VALUE"""),"Aceite Aceite Hidraulico Tellus S2 M 68")</f>
        <v>Aceite Aceite Hidraulico Tellus S2 M 68</v>
      </c>
      <c r="C3956" s="380" t="str">
        <f>IFERROR(__xludf.DUMMYFUNCTION("""COMPUTED_VALUE"""),"50001625")</f>
        <v>50001625</v>
      </c>
      <c r="D3956" s="380" t="s">
        <v>767</v>
      </c>
      <c r="E3956" s="380" t="s">
        <v>781</v>
      </c>
      <c r="F3956" s="380" t="s">
        <v>833</v>
      </c>
      <c r="G3956" s="380" t="s">
        <v>1267</v>
      </c>
      <c r="H3956" s="380" t="s">
        <v>771</v>
      </c>
      <c r="I3956" s="380" t="s">
        <v>834</v>
      </c>
      <c r="J3956" s="380" t="s">
        <v>773</v>
      </c>
      <c r="K3956" s="381">
        <v>0.0</v>
      </c>
      <c r="L3956" s="382">
        <v>1.0</v>
      </c>
    </row>
    <row r="3957">
      <c r="A3957" s="380" t="s">
        <v>4822</v>
      </c>
      <c r="B3957" s="380" t="str">
        <f>IFERROR(__xludf.DUMMYFUNCTION("""COMPUTED_VALUE"""),"Grasa Dialectrica Internatio 1831731 C1")</f>
        <v>Grasa Dialectrica Internatio 1831731 C1</v>
      </c>
      <c r="C3957" s="380" t="str">
        <f>IFERROR(__xludf.DUMMYFUNCTION("""COMPUTED_VALUE"""),"50001626")</f>
        <v>50001626</v>
      </c>
      <c r="D3957" s="380" t="s">
        <v>767</v>
      </c>
      <c r="E3957" s="380" t="s">
        <v>781</v>
      </c>
      <c r="F3957" s="380" t="s">
        <v>833</v>
      </c>
      <c r="G3957" s="380" t="s">
        <v>1267</v>
      </c>
      <c r="H3957" s="380" t="s">
        <v>771</v>
      </c>
      <c r="I3957" s="380" t="s">
        <v>834</v>
      </c>
      <c r="J3957" s="380" t="s">
        <v>773</v>
      </c>
      <c r="K3957" s="381">
        <v>0.0</v>
      </c>
      <c r="L3957" s="382">
        <v>1.0</v>
      </c>
    </row>
    <row r="3958">
      <c r="A3958" s="380" t="s">
        <v>4823</v>
      </c>
      <c r="B3958" s="380" t="str">
        <f>IFERROR(__xludf.DUMMYFUNCTION("""COMPUTED_VALUE"""),"Aceite Caja Mobil Delvac 1-Tf Gl4 75w80")</f>
        <v>Aceite Caja Mobil Delvac 1-Tf Gl4 75w80</v>
      </c>
      <c r="C3958" s="380" t="str">
        <f>IFERROR(__xludf.DUMMYFUNCTION("""COMPUTED_VALUE"""),"50001628")</f>
        <v>50001628</v>
      </c>
      <c r="D3958" s="380" t="s">
        <v>767</v>
      </c>
      <c r="E3958" s="380" t="s">
        <v>781</v>
      </c>
      <c r="F3958" s="380" t="s">
        <v>833</v>
      </c>
      <c r="G3958" s="380" t="s">
        <v>1267</v>
      </c>
      <c r="H3958" s="380" t="s">
        <v>771</v>
      </c>
      <c r="I3958" s="380" t="s">
        <v>834</v>
      </c>
      <c r="J3958" s="380" t="s">
        <v>773</v>
      </c>
      <c r="K3958" s="381">
        <v>192564.0</v>
      </c>
      <c r="L3958" s="382">
        <v>1.0</v>
      </c>
    </row>
    <row r="3959">
      <c r="A3959" s="380" t="s">
        <v>4824</v>
      </c>
      <c r="B3959" s="380" t="str">
        <f>IFERROR(__xludf.DUMMYFUNCTION("""COMPUTED_VALUE"""),"Aceite Motor E6 208l 10w-40 Daf-09201xx")</f>
        <v>Aceite Motor E6 208l 10w-40 Daf-09201xx</v>
      </c>
      <c r="C3959" s="380" t="str">
        <f>IFERROR(__xludf.DUMMYFUNCTION("""COMPUTED_VALUE"""),"50001631")</f>
        <v>50001631</v>
      </c>
      <c r="D3959" s="380" t="s">
        <v>767</v>
      </c>
      <c r="E3959" s="380" t="s">
        <v>781</v>
      </c>
      <c r="F3959" s="380" t="s">
        <v>833</v>
      </c>
      <c r="G3959" s="380" t="s">
        <v>1267</v>
      </c>
      <c r="H3959" s="380" t="s">
        <v>771</v>
      </c>
      <c r="I3959" s="380" t="s">
        <v>834</v>
      </c>
      <c r="J3959" s="380" t="s">
        <v>773</v>
      </c>
      <c r="K3959" s="381">
        <v>0.0</v>
      </c>
      <c r="L3959" s="382">
        <v>1.0</v>
      </c>
    </row>
    <row r="3960">
      <c r="A3960" s="380" t="s">
        <v>4825</v>
      </c>
      <c r="B3960" s="380" t="str">
        <f>IFERROR(__xludf.DUMMYFUNCTION("""COMPUTED_VALUE"""),"Urea Liquida Por Galon Externa")</f>
        <v>Urea Liquida Por Galon Externa</v>
      </c>
      <c r="C3960" s="380" t="str">
        <f>IFERROR(__xludf.DUMMYFUNCTION("""COMPUTED_VALUE"""),"50001633")</f>
        <v>50001633</v>
      </c>
      <c r="D3960" s="380" t="s">
        <v>767</v>
      </c>
      <c r="E3960" s="380" t="s">
        <v>781</v>
      </c>
      <c r="F3960" s="380" t="s">
        <v>861</v>
      </c>
      <c r="G3960" s="380" t="s">
        <v>1267</v>
      </c>
      <c r="H3960" s="380" t="s">
        <v>771</v>
      </c>
      <c r="I3960" s="380" t="s">
        <v>834</v>
      </c>
      <c r="J3960" s="380" t="s">
        <v>773</v>
      </c>
      <c r="K3960" s="381">
        <v>0.0</v>
      </c>
      <c r="L3960" s="382">
        <v>1.0</v>
      </c>
    </row>
    <row r="3961">
      <c r="A3961" s="380" t="s">
        <v>4826</v>
      </c>
      <c r="B3961" s="380" t="str">
        <f>IFERROR(__xludf.DUMMYFUNCTION("""COMPUTED_VALUE"""),"Aceite CJ 75w90 Mdrive MCK Anthem 9853-M")</f>
        <v>Aceite CJ 75w90 Mdrive MCK Anthem 9853-M</v>
      </c>
      <c r="C3961" s="380" t="str">
        <f>IFERROR(__xludf.DUMMYFUNCTION("""COMPUTED_VALUE"""),"50001634")</f>
        <v>50001634</v>
      </c>
      <c r="D3961" s="380" t="s">
        <v>767</v>
      </c>
      <c r="E3961" s="380" t="s">
        <v>781</v>
      </c>
      <c r="F3961" s="380" t="s">
        <v>833</v>
      </c>
      <c r="G3961" s="380" t="s">
        <v>1267</v>
      </c>
      <c r="H3961" s="380" t="s">
        <v>771</v>
      </c>
      <c r="I3961" s="380" t="s">
        <v>834</v>
      </c>
      <c r="J3961" s="380" t="s">
        <v>773</v>
      </c>
      <c r="K3961" s="381">
        <v>0.0</v>
      </c>
      <c r="L3961" s="382">
        <v>1.0</v>
      </c>
    </row>
    <row r="3962">
      <c r="A3962" s="380" t="s">
        <v>4827</v>
      </c>
      <c r="B3962" s="380" t="str">
        <f>IFERROR(__xludf.DUMMYFUNCTION("""COMPUTED_VALUE"""),"Aceite Sintetico Engranaje MOTeductor So")</f>
        <v>Aceite Sintetico Engranaje MOTeductor So</v>
      </c>
      <c r="C3962" s="380" t="str">
        <f>IFERROR(__xludf.DUMMYFUNCTION("""COMPUTED_VALUE"""),"50001635")</f>
        <v>50001635</v>
      </c>
      <c r="D3962" s="380" t="s">
        <v>767</v>
      </c>
      <c r="E3962" s="380" t="s">
        <v>781</v>
      </c>
      <c r="F3962" s="380" t="s">
        <v>833</v>
      </c>
      <c r="G3962" s="380" t="s">
        <v>1267</v>
      </c>
      <c r="H3962" s="380" t="s">
        <v>771</v>
      </c>
      <c r="I3962" s="380" t="s">
        <v>834</v>
      </c>
      <c r="J3962" s="380" t="s">
        <v>773</v>
      </c>
      <c r="K3962" s="381">
        <v>0.0</v>
      </c>
      <c r="L3962" s="382">
        <v>1.0</v>
      </c>
    </row>
    <row r="3963">
      <c r="A3963" s="380" t="s">
        <v>4828</v>
      </c>
      <c r="B3963" s="380" t="str">
        <f>IFERROR(__xludf.DUMMYFUNCTION("""COMPUTED_VALUE"""),"Aceite Sintetico Compresor R134a Pag 46")</f>
        <v>Aceite Sintetico Compresor R134a Pag 46</v>
      </c>
      <c r="C3963" s="380" t="str">
        <f>IFERROR(__xludf.DUMMYFUNCTION("""COMPUTED_VALUE"""),"50001636")</f>
        <v>50001636</v>
      </c>
      <c r="D3963" s="380" t="s">
        <v>767</v>
      </c>
      <c r="E3963" s="380" t="s">
        <v>781</v>
      </c>
      <c r="F3963" s="380" t="s">
        <v>833</v>
      </c>
      <c r="G3963" s="380" t="s">
        <v>1267</v>
      </c>
      <c r="H3963" s="380" t="s">
        <v>771</v>
      </c>
      <c r="I3963" s="380" t="s">
        <v>834</v>
      </c>
      <c r="J3963" s="380" t="s">
        <v>773</v>
      </c>
      <c r="K3963" s="381">
        <v>0.0</v>
      </c>
      <c r="L3963" s="382">
        <v>1.0</v>
      </c>
    </row>
    <row r="3964">
      <c r="A3964" s="380" t="s">
        <v>4829</v>
      </c>
      <c r="B3964" s="380" t="str">
        <f>IFERROR(__xludf.DUMMYFUNCTION("""COMPUTED_VALUE"""),"Refrigerante Para Plantas ELECs Quanchai")</f>
        <v>Refrigerante Para Plantas ELECs Quanchai</v>
      </c>
      <c r="C3964" s="380" t="str">
        <f>IFERROR(__xludf.DUMMYFUNCTION("""COMPUTED_VALUE"""),"50001639")</f>
        <v>50001639</v>
      </c>
      <c r="D3964" s="380" t="s">
        <v>767</v>
      </c>
      <c r="E3964" s="380" t="s">
        <v>781</v>
      </c>
      <c r="F3964" s="380" t="s">
        <v>833</v>
      </c>
      <c r="G3964" s="380" t="s">
        <v>1267</v>
      </c>
      <c r="H3964" s="380" t="s">
        <v>771</v>
      </c>
      <c r="I3964" s="380" t="s">
        <v>834</v>
      </c>
      <c r="J3964" s="380" t="s">
        <v>773</v>
      </c>
      <c r="K3964" s="381">
        <v>0.0</v>
      </c>
      <c r="L3964" s="382">
        <v>1.0</v>
      </c>
    </row>
    <row r="3965">
      <c r="A3965" s="380" t="s">
        <v>4830</v>
      </c>
      <c r="B3965" s="380" t="str">
        <f>IFERROR(__xludf.DUMMYFUNCTION("""COMPUTED_VALUE"""),"Líquido Limpiador Dpf 5861-014-500")</f>
        <v>Líquido Limpiador Dpf 5861-014-500</v>
      </c>
      <c r="C3965" s="380" t="str">
        <f>IFERROR(__xludf.DUMMYFUNCTION("""COMPUTED_VALUE"""),"50001641")</f>
        <v>50001641</v>
      </c>
      <c r="D3965" s="380" t="s">
        <v>767</v>
      </c>
      <c r="E3965" s="380" t="s">
        <v>781</v>
      </c>
      <c r="F3965" s="380" t="s">
        <v>833</v>
      </c>
      <c r="G3965" s="380" t="s">
        <v>1267</v>
      </c>
      <c r="H3965" s="380" t="s">
        <v>771</v>
      </c>
      <c r="I3965" s="380" t="s">
        <v>834</v>
      </c>
      <c r="J3965" s="380" t="s">
        <v>773</v>
      </c>
      <c r="K3965" s="381">
        <v>137971.0</v>
      </c>
      <c r="L3965" s="382">
        <v>1.0</v>
      </c>
    </row>
    <row r="3966">
      <c r="A3966" s="380" t="s">
        <v>4831</v>
      </c>
      <c r="B3966" s="380" t="str">
        <f>IFERROR(__xludf.DUMMYFUNCTION("""COMPUTED_VALUE"""),"Aceite Caja Automatica Daf 75w80 09069eu")</f>
        <v>Aceite Caja Automatica Daf 75w80 09069eu</v>
      </c>
      <c r="C3966" s="380" t="str">
        <f>IFERROR(__xludf.DUMMYFUNCTION("""COMPUTED_VALUE"""),"50001642")</f>
        <v>50001642</v>
      </c>
      <c r="D3966" s="380" t="s">
        <v>767</v>
      </c>
      <c r="E3966" s="380" t="s">
        <v>781</v>
      </c>
      <c r="F3966" s="380" t="s">
        <v>833</v>
      </c>
      <c r="G3966" s="380" t="s">
        <v>1267</v>
      </c>
      <c r="H3966" s="380" t="s">
        <v>771</v>
      </c>
      <c r="I3966" s="380" t="s">
        <v>834</v>
      </c>
      <c r="J3966" s="380" t="s">
        <v>773</v>
      </c>
      <c r="K3966" s="381">
        <v>0.0</v>
      </c>
      <c r="L3966" s="382">
        <v>1.0</v>
      </c>
    </row>
    <row r="3967">
      <c r="A3967" s="380" t="s">
        <v>4832</v>
      </c>
      <c r="B3967" s="380" t="str">
        <f>IFERROR(__xludf.DUMMYFUNCTION("""COMPUTED_VALUE"""),"Aceite MOT Mobil MOTreductores Sorter M-")</f>
        <v>Aceite MOT Mobil MOTreductores Sorter M-</v>
      </c>
      <c r="C3967" s="380" t="str">
        <f>IFERROR(__xludf.DUMMYFUNCTION("""COMPUTED_VALUE"""),"50001643")</f>
        <v>50001643</v>
      </c>
      <c r="D3967" s="380" t="s">
        <v>767</v>
      </c>
      <c r="E3967" s="380" t="s">
        <v>781</v>
      </c>
      <c r="F3967" s="380" t="s">
        <v>833</v>
      </c>
      <c r="G3967" s="380" t="s">
        <v>1267</v>
      </c>
      <c r="H3967" s="380" t="s">
        <v>771</v>
      </c>
      <c r="I3967" s="380" t="s">
        <v>834</v>
      </c>
      <c r="J3967" s="380" t="s">
        <v>773</v>
      </c>
      <c r="K3967" s="381">
        <v>0.0</v>
      </c>
      <c r="L3967" s="382">
        <v>1.0</v>
      </c>
    </row>
    <row r="3968">
      <c r="A3968" s="380" t="s">
        <v>4833</v>
      </c>
      <c r="B3968" s="380" t="str">
        <f>IFERROR(__xludf.DUMMYFUNCTION("""COMPUTED_VALUE"""),"Aceite Sintetico R134a Pag 150")</f>
        <v>Aceite Sintetico R134a Pag 150</v>
      </c>
      <c r="C3968" s="380" t="str">
        <f>IFERROR(__xludf.DUMMYFUNCTION("""COMPUTED_VALUE"""),"50001644")</f>
        <v>50001644</v>
      </c>
      <c r="D3968" s="380" t="s">
        <v>767</v>
      </c>
      <c r="E3968" s="380" t="s">
        <v>781</v>
      </c>
      <c r="F3968" s="380" t="s">
        <v>833</v>
      </c>
      <c r="G3968" s="380" t="s">
        <v>1267</v>
      </c>
      <c r="H3968" s="380" t="s">
        <v>771</v>
      </c>
      <c r="I3968" s="380" t="s">
        <v>834</v>
      </c>
      <c r="J3968" s="380" t="s">
        <v>773</v>
      </c>
      <c r="K3968" s="381">
        <v>0.0</v>
      </c>
      <c r="L3968" s="382">
        <v>1.0</v>
      </c>
    </row>
    <row r="3969">
      <c r="A3969" s="380" t="s">
        <v>4834</v>
      </c>
      <c r="B3969" s="380" t="str">
        <f>IFERROR(__xludf.DUMMYFUNCTION("""COMPUTED_VALUE"""),"Aceite Spirax Transmision Shell 75 W 140")</f>
        <v>Aceite Spirax Transmision Shell 75 W 140</v>
      </c>
      <c r="C3969" s="380" t="str">
        <f>IFERROR(__xludf.DUMMYFUNCTION("""COMPUTED_VALUE"""),"50001645")</f>
        <v>50001645</v>
      </c>
      <c r="D3969" s="380" t="s">
        <v>767</v>
      </c>
      <c r="E3969" s="380" t="s">
        <v>781</v>
      </c>
      <c r="F3969" s="380" t="s">
        <v>833</v>
      </c>
      <c r="G3969" s="380" t="s">
        <v>1267</v>
      </c>
      <c r="H3969" s="380" t="s">
        <v>771</v>
      </c>
      <c r="I3969" s="380" t="s">
        <v>834</v>
      </c>
      <c r="J3969" s="380" t="s">
        <v>773</v>
      </c>
      <c r="K3969" s="381">
        <v>0.0</v>
      </c>
      <c r="L3969" s="382">
        <v>1.0</v>
      </c>
    </row>
    <row r="3970">
      <c r="A3970" s="380" t="s">
        <v>4835</v>
      </c>
      <c r="B3970" s="380" t="str">
        <f>IFERROR(__xludf.DUMMYFUNCTION("""COMPUTED_VALUE"""),"Grasa Elf Multiplex Ep2 180 Kilos Total")</f>
        <v>Grasa Elf Multiplex Ep2 180 Kilos Total</v>
      </c>
      <c r="C3970" s="380" t="str">
        <f>IFERROR(__xludf.DUMMYFUNCTION("""COMPUTED_VALUE"""),"50001648")</f>
        <v>50001648</v>
      </c>
      <c r="D3970" s="380" t="s">
        <v>767</v>
      </c>
      <c r="E3970" s="380" t="s">
        <v>781</v>
      </c>
      <c r="F3970" s="380" t="s">
        <v>833</v>
      </c>
      <c r="G3970" s="380" t="s">
        <v>1267</v>
      </c>
      <c r="H3970" s="380" t="s">
        <v>771</v>
      </c>
      <c r="I3970" s="380" t="s">
        <v>834</v>
      </c>
      <c r="J3970" s="380" t="s">
        <v>773</v>
      </c>
      <c r="K3970" s="381">
        <v>0.0</v>
      </c>
      <c r="L3970" s="382">
        <v>1.0</v>
      </c>
    </row>
    <row r="3971">
      <c r="A3971" s="380" t="s">
        <v>4836</v>
      </c>
      <c r="B3971" s="380" t="str">
        <f>IFERROR(__xludf.DUMMYFUNCTION("""COMPUTED_VALUE"""),"Aceite Motor 4t/10w40 Susuki Dr650")</f>
        <v>Aceite Motor 4t/10w40 Susuki Dr650</v>
      </c>
      <c r="C3971" s="380" t="str">
        <f>IFERROR(__xludf.DUMMYFUNCTION("""COMPUTED_VALUE"""),"50001649")</f>
        <v>50001649</v>
      </c>
      <c r="D3971" s="380" t="s">
        <v>767</v>
      </c>
      <c r="E3971" s="380" t="s">
        <v>781</v>
      </c>
      <c r="F3971" s="380" t="s">
        <v>833</v>
      </c>
      <c r="G3971" s="380" t="s">
        <v>1267</v>
      </c>
      <c r="H3971" s="380" t="s">
        <v>771</v>
      </c>
      <c r="I3971" s="380" t="s">
        <v>834</v>
      </c>
      <c r="J3971" s="380" t="s">
        <v>773</v>
      </c>
      <c r="K3971" s="381">
        <v>0.0</v>
      </c>
      <c r="L3971" s="382">
        <v>1.0</v>
      </c>
    </row>
    <row r="3972">
      <c r="A3972" s="380" t="s">
        <v>4837</v>
      </c>
      <c r="B3972" s="380" t="str">
        <f>IFERROR(__xludf.DUMMYFUNCTION("""COMPUTED_VALUE"""),"Aceite MOT Chevron 15w40 Ck4 Ursa Super")</f>
        <v>Aceite MOT Chevron 15w40 Ck4 Ursa Super</v>
      </c>
      <c r="C3972" s="380" t="str">
        <f>IFERROR(__xludf.DUMMYFUNCTION("""COMPUTED_VALUE"""),"50001650")</f>
        <v>50001650</v>
      </c>
      <c r="D3972" s="380" t="s">
        <v>767</v>
      </c>
      <c r="E3972" s="380" t="s">
        <v>781</v>
      </c>
      <c r="F3972" s="380" t="s">
        <v>833</v>
      </c>
      <c r="G3972" s="380" t="s">
        <v>1267</v>
      </c>
      <c r="H3972" s="380" t="s">
        <v>771</v>
      </c>
      <c r="I3972" s="380" t="s">
        <v>834</v>
      </c>
      <c r="J3972" s="380" t="s">
        <v>773</v>
      </c>
      <c r="K3972" s="381">
        <v>0.0</v>
      </c>
      <c r="L3972" s="382">
        <v>1.0</v>
      </c>
    </row>
    <row r="3973">
      <c r="A3973" s="380" t="s">
        <v>4838</v>
      </c>
      <c r="B3973" s="380" t="str">
        <f>IFERROR(__xludf.DUMMYFUNCTION("""COMPUTED_VALUE"""),"Catalizador Aditivo Combustible Colvecar")</f>
        <v>Catalizador Aditivo Combustible Colvecar</v>
      </c>
      <c r="C3973" s="380" t="str">
        <f>IFERROR(__xludf.DUMMYFUNCTION("""COMPUTED_VALUE"""),"50001651")</f>
        <v>50001651</v>
      </c>
      <c r="D3973" s="380" t="s">
        <v>767</v>
      </c>
      <c r="E3973" s="380" t="s">
        <v>781</v>
      </c>
      <c r="F3973" s="380" t="s">
        <v>833</v>
      </c>
      <c r="G3973" s="380" t="s">
        <v>1267</v>
      </c>
      <c r="H3973" s="380" t="s">
        <v>771</v>
      </c>
      <c r="I3973" s="380" t="s">
        <v>834</v>
      </c>
      <c r="J3973" s="380" t="s">
        <v>773</v>
      </c>
      <c r="K3973" s="381">
        <v>0.0</v>
      </c>
      <c r="L3973" s="382">
        <v>1.0</v>
      </c>
    </row>
    <row r="3974">
      <c r="A3974" s="380" t="s">
        <v>4839</v>
      </c>
      <c r="B3974" s="380" t="str">
        <f>IFERROR(__xludf.DUMMYFUNCTION("""COMPUTED_VALUE"""),"Limpiador De Particulas")</f>
        <v>Limpiador De Particulas</v>
      </c>
      <c r="C3974" s="380" t="str">
        <f>IFERROR(__xludf.DUMMYFUNCTION("""COMPUTED_VALUE"""),"50001653")</f>
        <v>50001653</v>
      </c>
      <c r="D3974" s="380" t="s">
        <v>767</v>
      </c>
      <c r="E3974" s="380" t="s">
        <v>781</v>
      </c>
      <c r="F3974" s="380" t="s">
        <v>833</v>
      </c>
      <c r="G3974" s="380" t="s">
        <v>1267</v>
      </c>
      <c r="H3974" s="380" t="s">
        <v>771</v>
      </c>
      <c r="I3974" s="380" t="s">
        <v>834</v>
      </c>
      <c r="J3974" s="380" t="s">
        <v>773</v>
      </c>
      <c r="K3974" s="381">
        <v>0.0</v>
      </c>
      <c r="L3974" s="382">
        <v>1.0</v>
      </c>
    </row>
    <row r="3975">
      <c r="A3975" s="380" t="s">
        <v>4840</v>
      </c>
      <c r="B3975" s="380" t="str">
        <f>IFERROR(__xludf.DUMMYFUNCTION("""COMPUTED_VALUE"""),"Aceite MOT Chevron 15w40/Ci4 Ursa Premiu")</f>
        <v>Aceite MOT Chevron 15w40/Ci4 Ursa Premiu</v>
      </c>
      <c r="C3975" s="380" t="str">
        <f>IFERROR(__xludf.DUMMYFUNCTION("""COMPUTED_VALUE"""),"50001654")</f>
        <v>50001654</v>
      </c>
      <c r="D3975" s="380" t="s">
        <v>767</v>
      </c>
      <c r="E3975" s="380" t="s">
        <v>781</v>
      </c>
      <c r="F3975" s="380" t="s">
        <v>833</v>
      </c>
      <c r="G3975" s="380" t="s">
        <v>1267</v>
      </c>
      <c r="H3975" s="380" t="s">
        <v>771</v>
      </c>
      <c r="I3975" s="380" t="s">
        <v>834</v>
      </c>
      <c r="J3975" s="380" t="s">
        <v>773</v>
      </c>
      <c r="K3975" s="381">
        <v>0.0</v>
      </c>
      <c r="L3975" s="382">
        <v>1.0</v>
      </c>
    </row>
    <row r="3976">
      <c r="A3976" s="380" t="s">
        <v>4841</v>
      </c>
      <c r="B3976" s="380" t="str">
        <f>IFERROR(__xludf.DUMMYFUNCTION("""COMPUTED_VALUE"""),"Lubricante Multiproposito 5-56")</f>
        <v>Lubricante Multiproposito 5-56</v>
      </c>
      <c r="C3976" s="380" t="str">
        <f>IFERROR(__xludf.DUMMYFUNCTION("""COMPUTED_VALUE"""),"50001656")</f>
        <v>50001656</v>
      </c>
      <c r="D3976" s="380" t="s">
        <v>767</v>
      </c>
      <c r="E3976" s="380" t="s">
        <v>781</v>
      </c>
      <c r="F3976" s="380" t="s">
        <v>833</v>
      </c>
      <c r="G3976" s="380" t="s">
        <v>1267</v>
      </c>
      <c r="H3976" s="380" t="s">
        <v>771</v>
      </c>
      <c r="I3976" s="380" t="s">
        <v>834</v>
      </c>
      <c r="J3976" s="380" t="s">
        <v>773</v>
      </c>
      <c r="K3976" s="381">
        <v>0.0</v>
      </c>
      <c r="L3976" s="382">
        <v>1.0</v>
      </c>
    </row>
    <row r="3977">
      <c r="A3977" s="380" t="s">
        <v>4842</v>
      </c>
      <c r="B3977" s="380" t="str">
        <f>IFERROR(__xludf.DUMMYFUNCTION("""COMPUTED_VALUE"""),"Liquido Penetrante Free")</f>
        <v>Liquido Penetrante Free</v>
      </c>
      <c r="C3977" s="380" t="str">
        <f>IFERROR(__xludf.DUMMYFUNCTION("""COMPUTED_VALUE"""),"50001661")</f>
        <v>50001661</v>
      </c>
      <c r="D3977" s="380" t="s">
        <v>767</v>
      </c>
      <c r="E3977" s="380" t="s">
        <v>781</v>
      </c>
      <c r="F3977" s="380" t="s">
        <v>833</v>
      </c>
      <c r="G3977" s="380" t="s">
        <v>1267</v>
      </c>
      <c r="H3977" s="380" t="s">
        <v>771</v>
      </c>
      <c r="I3977" s="380" t="s">
        <v>834</v>
      </c>
      <c r="J3977" s="380" t="s">
        <v>773</v>
      </c>
      <c r="K3977" s="381">
        <v>24513.0</v>
      </c>
      <c r="L3977" s="382">
        <v>1.0</v>
      </c>
    </row>
    <row r="3978">
      <c r="A3978" s="380" t="s">
        <v>4843</v>
      </c>
      <c r="B3978" s="380" t="str">
        <f>IFERROR(__xludf.DUMMYFUNCTION("""COMPUTED_VALUE"""),"Aceite Sintetico R134a Pag100")</f>
        <v>Aceite Sintetico R134a Pag100</v>
      </c>
      <c r="C3978" s="380" t="str">
        <f>IFERROR(__xludf.DUMMYFUNCTION("""COMPUTED_VALUE"""),"50001662")</f>
        <v>50001662</v>
      </c>
      <c r="D3978" s="380" t="s">
        <v>767</v>
      </c>
      <c r="E3978" s="380" t="s">
        <v>781</v>
      </c>
      <c r="F3978" s="380" t="s">
        <v>833</v>
      </c>
      <c r="G3978" s="380" t="s">
        <v>1267</v>
      </c>
      <c r="H3978" s="380" t="s">
        <v>771</v>
      </c>
      <c r="I3978" s="380" t="s">
        <v>834</v>
      </c>
      <c r="J3978" s="380" t="s">
        <v>773</v>
      </c>
      <c r="K3978" s="381">
        <v>0.0</v>
      </c>
      <c r="L3978" s="382">
        <v>1.0</v>
      </c>
    </row>
    <row r="3979">
      <c r="A3979" s="380" t="s">
        <v>4844</v>
      </c>
      <c r="B3979" s="380" t="str">
        <f>IFERROR(__xludf.DUMMYFUNCTION("""COMPUTED_VALUE"""),"Aditivo Refrigeran Radiad Rojo 95629356")</f>
        <v>Aditivo Refrigeran Radiad Rojo 95629356</v>
      </c>
      <c r="C3979" s="380" t="str">
        <f>IFERROR(__xludf.DUMMYFUNCTION("""COMPUTED_VALUE"""),"50001663")</f>
        <v>50001663</v>
      </c>
      <c r="D3979" s="380" t="s">
        <v>767</v>
      </c>
      <c r="E3979" s="380" t="s">
        <v>781</v>
      </c>
      <c r="F3979" s="380" t="s">
        <v>833</v>
      </c>
      <c r="G3979" s="380" t="s">
        <v>1267</v>
      </c>
      <c r="H3979" s="380" t="s">
        <v>771</v>
      </c>
      <c r="I3979" s="380" t="s">
        <v>834</v>
      </c>
      <c r="J3979" s="380" t="s">
        <v>773</v>
      </c>
      <c r="K3979" s="381">
        <v>0.0</v>
      </c>
      <c r="L3979" s="382">
        <v>1.0</v>
      </c>
    </row>
    <row r="3980">
      <c r="A3980" s="380" t="s">
        <v>4845</v>
      </c>
      <c r="B3980" s="380" t="str">
        <f>IFERROR(__xludf.DUMMYFUNCTION("""COMPUTED_VALUE"""),"Aceite Texaco 20w50 Montacarga")</f>
        <v>Aceite Texaco 20w50 Montacarga</v>
      </c>
      <c r="C3980" s="380" t="str">
        <f>IFERROR(__xludf.DUMMYFUNCTION("""COMPUTED_VALUE"""),"50001665")</f>
        <v>50001665</v>
      </c>
      <c r="D3980" s="380" t="s">
        <v>767</v>
      </c>
      <c r="E3980" s="380" t="s">
        <v>781</v>
      </c>
      <c r="F3980" s="380" t="s">
        <v>833</v>
      </c>
      <c r="G3980" s="380" t="s">
        <v>1267</v>
      </c>
      <c r="H3980" s="380" t="s">
        <v>771</v>
      </c>
      <c r="I3980" s="380" t="s">
        <v>834</v>
      </c>
      <c r="J3980" s="380" t="s">
        <v>773</v>
      </c>
      <c r="K3980" s="381">
        <v>0.0</v>
      </c>
      <c r="L3980" s="382">
        <v>1.0</v>
      </c>
    </row>
    <row r="3981">
      <c r="A3981" s="380" t="s">
        <v>4846</v>
      </c>
      <c r="B3981" s="380" t="str">
        <f>IFERROR(__xludf.DUMMYFUNCTION("""COMPUTED_VALUE"""),"Urea Liquido X Galon Interno")</f>
        <v>Urea Liquido X Galon Interno</v>
      </c>
      <c r="C3981" s="380" t="str">
        <f>IFERROR(__xludf.DUMMYFUNCTION("""COMPUTED_VALUE"""),"50001666")</f>
        <v>50001666</v>
      </c>
      <c r="D3981" s="380" t="s">
        <v>767</v>
      </c>
      <c r="E3981" s="380" t="s">
        <v>781</v>
      </c>
      <c r="F3981" s="380" t="s">
        <v>861</v>
      </c>
      <c r="G3981" s="380" t="s">
        <v>1267</v>
      </c>
      <c r="H3981" s="380" t="s">
        <v>771</v>
      </c>
      <c r="I3981" s="380" t="s">
        <v>834</v>
      </c>
      <c r="J3981" s="380" t="s">
        <v>773</v>
      </c>
      <c r="K3981" s="381">
        <v>0.0</v>
      </c>
      <c r="L3981" s="382">
        <v>1.0</v>
      </c>
    </row>
    <row r="3982">
      <c r="A3982" s="380" t="s">
        <v>4847</v>
      </c>
      <c r="B3982" s="380" t="str">
        <f>IFERROR(__xludf.DUMMYFUNCTION("""COMPUTED_VALUE"""),"Aditivo Refrigerante Montacarg")</f>
        <v>Aditivo Refrigerante Montacarg</v>
      </c>
      <c r="C3982" s="380" t="str">
        <f>IFERROR(__xludf.DUMMYFUNCTION("""COMPUTED_VALUE"""),"50001670")</f>
        <v>50001670</v>
      </c>
      <c r="D3982" s="380" t="s">
        <v>767</v>
      </c>
      <c r="E3982" s="380" t="s">
        <v>781</v>
      </c>
      <c r="F3982" s="380" t="s">
        <v>833</v>
      </c>
      <c r="G3982" s="380" t="s">
        <v>1267</v>
      </c>
      <c r="H3982" s="380" t="s">
        <v>771</v>
      </c>
      <c r="I3982" s="380" t="s">
        <v>834</v>
      </c>
      <c r="J3982" s="380" t="s">
        <v>773</v>
      </c>
      <c r="K3982" s="381">
        <v>0.0</v>
      </c>
      <c r="L3982" s="382">
        <v>1.0</v>
      </c>
    </row>
    <row r="3983">
      <c r="A3983" s="380" t="s">
        <v>4848</v>
      </c>
      <c r="B3983" s="380" t="str">
        <f>IFERROR(__xludf.DUMMYFUNCTION("""COMPUTED_VALUE"""),"Aceite Hidraulico Montacarga")</f>
        <v>Aceite Hidraulico Montacarga</v>
      </c>
      <c r="C3983" s="380" t="str">
        <f>IFERROR(__xludf.DUMMYFUNCTION("""COMPUTED_VALUE"""),"50001671")</f>
        <v>50001671</v>
      </c>
      <c r="D3983" s="380" t="s">
        <v>767</v>
      </c>
      <c r="E3983" s="380" t="s">
        <v>781</v>
      </c>
      <c r="F3983" s="380" t="s">
        <v>833</v>
      </c>
      <c r="G3983" s="380" t="s">
        <v>1267</v>
      </c>
      <c r="H3983" s="380" t="s">
        <v>771</v>
      </c>
      <c r="I3983" s="380" t="s">
        <v>834</v>
      </c>
      <c r="J3983" s="380" t="s">
        <v>773</v>
      </c>
      <c r="K3983" s="381">
        <v>0.0</v>
      </c>
      <c r="L3983" s="382">
        <v>1.0</v>
      </c>
    </row>
    <row r="3984">
      <c r="A3984" s="380" t="s">
        <v>4849</v>
      </c>
      <c r="B3984" s="380" t="str">
        <f>IFERROR(__xludf.DUMMYFUNCTION("""COMPUTED_VALUE"""),"Grasas Varias Genericas")</f>
        <v>Grasas Varias Genericas</v>
      </c>
      <c r="C3984" s="380" t="str">
        <f>IFERROR(__xludf.DUMMYFUNCTION("""COMPUTED_VALUE"""),"50001672")</f>
        <v>50001672</v>
      </c>
      <c r="D3984" s="380" t="s">
        <v>767</v>
      </c>
      <c r="E3984" s="380" t="s">
        <v>781</v>
      </c>
      <c r="F3984" s="380" t="s">
        <v>833</v>
      </c>
      <c r="G3984" s="380" t="s">
        <v>1267</v>
      </c>
      <c r="H3984" s="380" t="s">
        <v>771</v>
      </c>
      <c r="I3984" s="380" t="s">
        <v>834</v>
      </c>
      <c r="J3984" s="380" t="s">
        <v>773</v>
      </c>
      <c r="K3984" s="381">
        <v>0.0</v>
      </c>
      <c r="L3984" s="382">
        <v>1.0</v>
      </c>
    </row>
    <row r="3985">
      <c r="A3985" s="380" t="s">
        <v>4850</v>
      </c>
      <c r="B3985" s="380" t="str">
        <f>IFERROR(__xludf.DUMMYFUNCTION("""COMPUTED_VALUE"""),"Grasa M Grasa Multis Ep2 180 Kilos Total")</f>
        <v>Grasa M Grasa Multis Ep2 180 Kilos Total</v>
      </c>
      <c r="C3985" s="380" t="str">
        <f>IFERROR(__xludf.DUMMYFUNCTION("""COMPUTED_VALUE"""),"50001673")</f>
        <v>50001673</v>
      </c>
      <c r="D3985" s="380" t="s">
        <v>767</v>
      </c>
      <c r="E3985" s="380" t="s">
        <v>781</v>
      </c>
      <c r="F3985" s="380" t="s">
        <v>833</v>
      </c>
      <c r="G3985" s="380" t="s">
        <v>1267</v>
      </c>
      <c r="H3985" s="380" t="s">
        <v>771</v>
      </c>
      <c r="I3985" s="380" t="s">
        <v>834</v>
      </c>
      <c r="J3985" s="380" t="s">
        <v>773</v>
      </c>
      <c r="K3985" s="381">
        <v>0.0</v>
      </c>
      <c r="L3985" s="382">
        <v>1.0</v>
      </c>
    </row>
    <row r="3986">
      <c r="A3986" s="380" t="s">
        <v>4851</v>
      </c>
      <c r="B3986" s="380" t="str">
        <f>IFERROR(__xludf.DUMMYFUNCTION("""COMPUTED_VALUE"""),"Aceite Rimula R5 E 10w40 Prueba Shell")</f>
        <v>Aceite Rimula R5 E 10w40 Prueba Shell</v>
      </c>
      <c r="C3986" s="380" t="str">
        <f>IFERROR(__xludf.DUMMYFUNCTION("""COMPUTED_VALUE"""),"50001675")</f>
        <v>50001675</v>
      </c>
      <c r="D3986" s="380" t="s">
        <v>767</v>
      </c>
      <c r="E3986" s="380" t="s">
        <v>781</v>
      </c>
      <c r="F3986" s="380" t="s">
        <v>833</v>
      </c>
      <c r="G3986" s="380" t="s">
        <v>1267</v>
      </c>
      <c r="H3986" s="380" t="s">
        <v>771</v>
      </c>
      <c r="I3986" s="380" t="s">
        <v>834</v>
      </c>
      <c r="J3986" s="380" t="s">
        <v>773</v>
      </c>
      <c r="K3986" s="381">
        <v>0.0</v>
      </c>
      <c r="L3986" s="382">
        <v>1.0</v>
      </c>
    </row>
    <row r="3987">
      <c r="A3987" s="380" t="s">
        <v>4852</v>
      </c>
      <c r="B3987" s="380" t="str">
        <f>IFERROR(__xludf.DUMMYFUNCTION("""COMPUTED_VALUE"""),"Aceite Bomba Vacio Para Aire Acondiciona")</f>
        <v>Aceite Bomba Vacio Para Aire Acondiciona</v>
      </c>
      <c r="C3987" s="380" t="str">
        <f>IFERROR(__xludf.DUMMYFUNCTION("""COMPUTED_VALUE"""),"50001676")</f>
        <v>50001676</v>
      </c>
      <c r="D3987" s="380" t="s">
        <v>767</v>
      </c>
      <c r="E3987" s="380" t="s">
        <v>781</v>
      </c>
      <c r="F3987" s="380" t="s">
        <v>833</v>
      </c>
      <c r="G3987" s="380" t="s">
        <v>1267</v>
      </c>
      <c r="H3987" s="380" t="s">
        <v>771</v>
      </c>
      <c r="I3987" s="380" t="s">
        <v>834</v>
      </c>
      <c r="J3987" s="380" t="s">
        <v>773</v>
      </c>
      <c r="K3987" s="381">
        <v>0.0</v>
      </c>
      <c r="L3987" s="382">
        <v>1.0</v>
      </c>
    </row>
    <row r="3988">
      <c r="A3988" s="380" t="s">
        <v>4853</v>
      </c>
      <c r="B3988" s="380" t="str">
        <f>IFERROR(__xludf.DUMMYFUNCTION("""COMPUTED_VALUE"""),"Compuesto Lubrillantas 46632")</f>
        <v>Compuesto Lubrillantas 46632</v>
      </c>
      <c r="C3988" s="380" t="str">
        <f>IFERROR(__xludf.DUMMYFUNCTION("""COMPUTED_VALUE"""),"50001677")</f>
        <v>50001677</v>
      </c>
      <c r="D3988" s="380" t="s">
        <v>767</v>
      </c>
      <c r="E3988" s="380" t="s">
        <v>781</v>
      </c>
      <c r="F3988" s="380" t="s">
        <v>819</v>
      </c>
      <c r="G3988" s="380" t="s">
        <v>1267</v>
      </c>
      <c r="H3988" s="380" t="s">
        <v>771</v>
      </c>
      <c r="I3988" s="380" t="s">
        <v>817</v>
      </c>
      <c r="J3988" s="380" t="s">
        <v>773</v>
      </c>
      <c r="K3988" s="381">
        <v>146306.0</v>
      </c>
      <c r="L3988" s="382">
        <v>1.0</v>
      </c>
    </row>
    <row r="3989">
      <c r="A3989" s="380" t="s">
        <v>4854</v>
      </c>
      <c r="B3989" s="380" t="str">
        <f>IFERROR(__xludf.DUMMYFUNCTION("""COMPUTED_VALUE"""),"Punta Estrella Cuadrante 1/4 X Dw2022")</f>
        <v>Punta Estrella Cuadrante 1/4 X Dw2022</v>
      </c>
      <c r="C3989" s="380" t="str">
        <f>IFERROR(__xludf.DUMMYFUNCTION("""COMPUTED_VALUE"""),"50001678")</f>
        <v>50001678</v>
      </c>
      <c r="D3989" s="380" t="s">
        <v>767</v>
      </c>
      <c r="E3989" s="380" t="s">
        <v>781</v>
      </c>
      <c r="F3989" s="380" t="s">
        <v>819</v>
      </c>
      <c r="G3989" s="380" t="s">
        <v>1267</v>
      </c>
      <c r="H3989" s="380" t="s">
        <v>771</v>
      </c>
      <c r="I3989" s="380" t="s">
        <v>817</v>
      </c>
      <c r="J3989" s="380" t="s">
        <v>773</v>
      </c>
      <c r="K3989" s="381">
        <v>0.0</v>
      </c>
      <c r="L3989" s="382">
        <v>1.0</v>
      </c>
    </row>
    <row r="3990">
      <c r="A3990" s="380" t="s">
        <v>4855</v>
      </c>
      <c r="B3990" s="380" t="str">
        <f>IFERROR(__xludf.DUMMYFUNCTION("""COMPUTED_VALUE"""),"Regulador Presion Pistola Hidr 836951900")</f>
        <v>Regulador Presion Pistola Hidr 836951900</v>
      </c>
      <c r="C3990" s="380" t="str">
        <f>IFERROR(__xludf.DUMMYFUNCTION("""COMPUTED_VALUE"""),"50001679")</f>
        <v>50001679</v>
      </c>
      <c r="D3990" s="380" t="s">
        <v>767</v>
      </c>
      <c r="E3990" s="380" t="s">
        <v>781</v>
      </c>
      <c r="F3990" s="380" t="s">
        <v>819</v>
      </c>
      <c r="G3990" s="380" t="s">
        <v>1267</v>
      </c>
      <c r="H3990" s="380" t="s">
        <v>771</v>
      </c>
      <c r="I3990" s="380" t="s">
        <v>817</v>
      </c>
      <c r="J3990" s="380" t="s">
        <v>773</v>
      </c>
      <c r="K3990" s="381">
        <v>0.0</v>
      </c>
      <c r="L3990" s="382">
        <v>1.0</v>
      </c>
    </row>
    <row r="3991">
      <c r="A3991" s="380" t="s">
        <v>4856</v>
      </c>
      <c r="B3991" s="380" t="str">
        <f>IFERROR(__xludf.DUMMYFUNCTION("""COMPUTED_VALUE"""),"Acople Rapido Boquilla Pistola 20089420")</f>
        <v>Acople Rapido Boquilla Pistola 20089420</v>
      </c>
      <c r="C3991" s="380" t="str">
        <f>IFERROR(__xludf.DUMMYFUNCTION("""COMPUTED_VALUE"""),"50001680")</f>
        <v>50001680</v>
      </c>
      <c r="D3991" s="380" t="s">
        <v>767</v>
      </c>
      <c r="E3991" s="380" t="s">
        <v>781</v>
      </c>
      <c r="F3991" s="380" t="s">
        <v>819</v>
      </c>
      <c r="G3991" s="380" t="s">
        <v>1267</v>
      </c>
      <c r="H3991" s="380" t="s">
        <v>771</v>
      </c>
      <c r="I3991" s="380" t="s">
        <v>817</v>
      </c>
      <c r="J3991" s="380" t="s">
        <v>773</v>
      </c>
      <c r="K3991" s="381">
        <v>0.0</v>
      </c>
      <c r="L3991" s="382">
        <v>1.0</v>
      </c>
    </row>
    <row r="3992">
      <c r="A3992" s="380" t="s">
        <v>4857</v>
      </c>
      <c r="B3992" s="380" t="str">
        <f>IFERROR(__xludf.DUMMYFUNCTION("""COMPUTED_VALUE"""),"Boquilla Pistola A 25 Grados 6008gwh150")</f>
        <v>Boquilla Pistola A 25 Grados 6008gwh150</v>
      </c>
      <c r="C3992" s="380" t="str">
        <f>IFERROR(__xludf.DUMMYFUNCTION("""COMPUTED_VALUE"""),"50001681")</f>
        <v>50001681</v>
      </c>
      <c r="D3992" s="380" t="s">
        <v>767</v>
      </c>
      <c r="E3992" s="380" t="s">
        <v>781</v>
      </c>
      <c r="F3992" s="380" t="s">
        <v>819</v>
      </c>
      <c r="G3992" s="380" t="s">
        <v>1267</v>
      </c>
      <c r="H3992" s="380" t="s">
        <v>771</v>
      </c>
      <c r="I3992" s="380" t="s">
        <v>817</v>
      </c>
      <c r="J3992" s="380" t="s">
        <v>773</v>
      </c>
      <c r="K3992" s="381">
        <v>0.0</v>
      </c>
      <c r="L3992" s="382">
        <v>1.0</v>
      </c>
    </row>
    <row r="3993">
      <c r="A3993" s="380" t="s">
        <v>4858</v>
      </c>
      <c r="B3993" s="380" t="str">
        <f>IFERROR(__xludf.DUMMYFUNCTION("""COMPUTED_VALUE"""),"Switch Cuelgue Pistola Urea")</f>
        <v>Switch Cuelgue Pistola Urea</v>
      </c>
      <c r="C3993" s="380" t="str">
        <f>IFERROR(__xludf.DUMMYFUNCTION("""COMPUTED_VALUE"""),"50001682")</f>
        <v>50001682</v>
      </c>
      <c r="D3993" s="380" t="s">
        <v>767</v>
      </c>
      <c r="E3993" s="380" t="s">
        <v>781</v>
      </c>
      <c r="F3993" s="380" t="s">
        <v>819</v>
      </c>
      <c r="G3993" s="380" t="s">
        <v>1267</v>
      </c>
      <c r="H3993" s="380" t="s">
        <v>771</v>
      </c>
      <c r="I3993" s="380" t="s">
        <v>817</v>
      </c>
      <c r="J3993" s="380" t="s">
        <v>773</v>
      </c>
      <c r="K3993" s="381">
        <v>0.0</v>
      </c>
      <c r="L3993" s="382">
        <v>1.0</v>
      </c>
    </row>
    <row r="3994">
      <c r="A3994" s="380" t="s">
        <v>4859</v>
      </c>
      <c r="B3994" s="380" t="str">
        <f>IFERROR(__xludf.DUMMYFUNCTION("""COMPUTED_VALUE"""),"Antorcha Magnum Mig 350 Pro K2652")</f>
        <v>Antorcha Magnum Mig 350 Pro K2652</v>
      </c>
      <c r="C3994" s="380" t="str">
        <f>IFERROR(__xludf.DUMMYFUNCTION("""COMPUTED_VALUE"""),"50001683")</f>
        <v>50001683</v>
      </c>
      <c r="D3994" s="380" t="s">
        <v>767</v>
      </c>
      <c r="E3994" s="380" t="s">
        <v>781</v>
      </c>
      <c r="F3994" s="380" t="s">
        <v>819</v>
      </c>
      <c r="G3994" s="380" t="s">
        <v>1267</v>
      </c>
      <c r="H3994" s="380" t="s">
        <v>771</v>
      </c>
      <c r="I3994" s="380" t="s">
        <v>817</v>
      </c>
      <c r="J3994" s="380" t="s">
        <v>773</v>
      </c>
      <c r="K3994" s="381">
        <v>0.0</v>
      </c>
      <c r="L3994" s="382">
        <v>1.0</v>
      </c>
    </row>
    <row r="3995">
      <c r="A3995" s="380" t="s">
        <v>4860</v>
      </c>
      <c r="B3995" s="380" t="str">
        <f>IFERROR(__xludf.DUMMYFUNCTION("""COMPUTED_VALUE"""),"Aporte Aluminio Tig 3/32 T-Er 4043")</f>
        <v>Aporte Aluminio Tig 3/32 T-Er 4043</v>
      </c>
      <c r="C3995" s="380" t="str">
        <f>IFERROR(__xludf.DUMMYFUNCTION("""COMPUTED_VALUE"""),"50001684")</f>
        <v>50001684</v>
      </c>
      <c r="D3995" s="380" t="s">
        <v>767</v>
      </c>
      <c r="E3995" s="380" t="s">
        <v>781</v>
      </c>
      <c r="F3995" s="380" t="s">
        <v>819</v>
      </c>
      <c r="G3995" s="380" t="s">
        <v>1267</v>
      </c>
      <c r="H3995" s="380" t="s">
        <v>771</v>
      </c>
      <c r="I3995" s="380" t="s">
        <v>817</v>
      </c>
      <c r="J3995" s="380" t="s">
        <v>773</v>
      </c>
      <c r="K3995" s="381">
        <v>0.0</v>
      </c>
      <c r="L3995" s="382">
        <v>1.0</v>
      </c>
    </row>
    <row r="3996">
      <c r="A3996" s="380" t="s">
        <v>4861</v>
      </c>
      <c r="B3996" s="380" t="str">
        <f>IFERROR(__xludf.DUMMYFUNCTION("""COMPUTED_VALUE"""),"Loctite 243 Traba Roscas Fuerza Media 24")</f>
        <v>Loctite 243 Traba Roscas Fuerza Media 24</v>
      </c>
      <c r="C3996" s="380" t="str">
        <f>IFERROR(__xludf.DUMMYFUNCTION("""COMPUTED_VALUE"""),"50001685")</f>
        <v>50001685</v>
      </c>
      <c r="D3996" s="380" t="s">
        <v>767</v>
      </c>
      <c r="E3996" s="380" t="s">
        <v>781</v>
      </c>
      <c r="F3996" s="380" t="s">
        <v>819</v>
      </c>
      <c r="G3996" s="380" t="s">
        <v>1267</v>
      </c>
      <c r="H3996" s="380" t="s">
        <v>771</v>
      </c>
      <c r="I3996" s="380" t="s">
        <v>817</v>
      </c>
      <c r="J3996" s="380" t="s">
        <v>773</v>
      </c>
      <c r="K3996" s="381">
        <v>0.0</v>
      </c>
      <c r="L3996" s="382">
        <v>1.0</v>
      </c>
    </row>
    <row r="3997">
      <c r="A3997" s="380" t="s">
        <v>4862</v>
      </c>
      <c r="B3997" s="380" t="str">
        <f>IFERROR(__xludf.DUMMYFUNCTION("""COMPUTED_VALUE"""),"Grata Alambre Ondulante 3x3/4x5/8")</f>
        <v>Grata Alambre Ondulante 3x3/4x5/8</v>
      </c>
      <c r="C3997" s="380" t="str">
        <f>IFERROR(__xludf.DUMMYFUNCTION("""COMPUTED_VALUE"""),"50001686")</f>
        <v>50001686</v>
      </c>
      <c r="D3997" s="380" t="s">
        <v>767</v>
      </c>
      <c r="E3997" s="380" t="s">
        <v>781</v>
      </c>
      <c r="F3997" s="380" t="s">
        <v>819</v>
      </c>
      <c r="G3997" s="380" t="s">
        <v>1267</v>
      </c>
      <c r="H3997" s="380" t="s">
        <v>771</v>
      </c>
      <c r="I3997" s="380" t="s">
        <v>817</v>
      </c>
      <c r="J3997" s="380" t="s">
        <v>773</v>
      </c>
      <c r="K3997" s="381">
        <v>0.0</v>
      </c>
      <c r="L3997" s="382">
        <v>1.0</v>
      </c>
    </row>
    <row r="3998">
      <c r="A3998" s="380" t="s">
        <v>4863</v>
      </c>
      <c r="B3998" s="380" t="str">
        <f>IFERROR(__xludf.DUMMYFUNCTION("""COMPUTED_VALUE"""),"Módulo De Impresión Completo Surtidor")</f>
        <v>Módulo De Impresión Completo Surtidor</v>
      </c>
      <c r="C3998" s="380" t="str">
        <f>IFERROR(__xludf.DUMMYFUNCTION("""COMPUTED_VALUE"""),"50001687")</f>
        <v>50001687</v>
      </c>
      <c r="D3998" s="380" t="s">
        <v>767</v>
      </c>
      <c r="E3998" s="380" t="s">
        <v>781</v>
      </c>
      <c r="F3998" s="380" t="s">
        <v>819</v>
      </c>
      <c r="G3998" s="380" t="s">
        <v>1267</v>
      </c>
      <c r="H3998" s="380" t="s">
        <v>771</v>
      </c>
      <c r="I3998" s="380" t="s">
        <v>817</v>
      </c>
      <c r="J3998" s="380" t="s">
        <v>773</v>
      </c>
      <c r="K3998" s="381">
        <v>0.0</v>
      </c>
      <c r="L3998" s="382">
        <v>1.0</v>
      </c>
    </row>
    <row r="3999">
      <c r="A3999" s="380" t="s">
        <v>4864</v>
      </c>
      <c r="B3999" s="380" t="str">
        <f>IFERROR(__xludf.DUMMYFUNCTION("""COMPUTED_VALUE"""),"Display Teclado Surtidor")</f>
        <v>Display Teclado Surtidor</v>
      </c>
      <c r="C3999" s="380" t="str">
        <f>IFERROR(__xludf.DUMMYFUNCTION("""COMPUTED_VALUE"""),"50001688")</f>
        <v>50001688</v>
      </c>
      <c r="D3999" s="380" t="s">
        <v>767</v>
      </c>
      <c r="E3999" s="380" t="s">
        <v>781</v>
      </c>
      <c r="F3999" s="380" t="s">
        <v>819</v>
      </c>
      <c r="G3999" s="380" t="s">
        <v>1267</v>
      </c>
      <c r="H3999" s="380" t="s">
        <v>771</v>
      </c>
      <c r="I3999" s="380" t="s">
        <v>817</v>
      </c>
      <c r="J3999" s="380" t="s">
        <v>773</v>
      </c>
      <c r="K3999" s="381">
        <v>0.0</v>
      </c>
      <c r="L3999" s="382">
        <v>1.0</v>
      </c>
    </row>
    <row r="4000">
      <c r="A4000" s="380" t="s">
        <v>4865</v>
      </c>
      <c r="B4000" s="380" t="str">
        <f>IFERROR(__xludf.DUMMYFUNCTION("""COMPUTED_VALUE"""),"Grasa Gadus S3 V220c 2 180 Shell 8370938")</f>
        <v>Grasa Gadus S3 V220c 2 180 Shell 8370938</v>
      </c>
      <c r="C4000" s="380" t="str">
        <f>IFERROR(__xludf.DUMMYFUNCTION("""COMPUTED_VALUE"""),"50001689")</f>
        <v>50001689</v>
      </c>
      <c r="D4000" s="380" t="s">
        <v>767</v>
      </c>
      <c r="E4000" s="380" t="s">
        <v>781</v>
      </c>
      <c r="F4000" s="380" t="s">
        <v>833</v>
      </c>
      <c r="G4000" s="380" t="s">
        <v>1267</v>
      </c>
      <c r="H4000" s="380" t="s">
        <v>771</v>
      </c>
      <c r="I4000" s="380" t="s">
        <v>834</v>
      </c>
      <c r="J4000" s="380" t="s">
        <v>773</v>
      </c>
      <c r="K4000" s="381">
        <v>0.0</v>
      </c>
      <c r="L4000" s="382">
        <v>1.0</v>
      </c>
    </row>
    <row r="4001">
      <c r="A4001" s="380" t="s">
        <v>4866</v>
      </c>
      <c r="B4001" s="380" t="str">
        <f>IFERROR(__xludf.DUMMYFUNCTION("""COMPUTED_VALUE"""),"Limpiador De Contactos Seco El 681158")</f>
        <v>Limpiador De Contactos Seco El 681158</v>
      </c>
      <c r="C4001" s="380" t="str">
        <f>IFERROR(__xludf.DUMMYFUNCTION("""COMPUTED_VALUE"""),"50001690")</f>
        <v>50001690</v>
      </c>
      <c r="D4001" s="380" t="s">
        <v>767</v>
      </c>
      <c r="E4001" s="380" t="s">
        <v>781</v>
      </c>
      <c r="F4001" s="380" t="s">
        <v>833</v>
      </c>
      <c r="G4001" s="380" t="s">
        <v>1267</v>
      </c>
      <c r="H4001" s="380" t="s">
        <v>771</v>
      </c>
      <c r="I4001" s="380" t="s">
        <v>834</v>
      </c>
      <c r="J4001" s="380" t="s">
        <v>773</v>
      </c>
      <c r="K4001" s="381">
        <v>26219.0</v>
      </c>
      <c r="L4001" s="382">
        <v>1.0</v>
      </c>
    </row>
    <row r="4002">
      <c r="A4002" s="380" t="s">
        <v>4867</v>
      </c>
      <c r="B4002" s="380" t="str">
        <f>IFERROR(__xludf.DUMMYFUNCTION("""COMPUTED_VALUE"""),"Liquido De Frenos Dot 3sp Dot 3 S. P")</f>
        <v>Liquido De Frenos Dot 3sp Dot 3 S. P</v>
      </c>
      <c r="C4002" s="380" t="str">
        <f>IFERROR(__xludf.DUMMYFUNCTION("""COMPUTED_VALUE"""),"50001691")</f>
        <v>50001691</v>
      </c>
      <c r="D4002" s="380" t="s">
        <v>767</v>
      </c>
      <c r="E4002" s="380" t="s">
        <v>781</v>
      </c>
      <c r="F4002" s="380" t="s">
        <v>833</v>
      </c>
      <c r="G4002" s="380" t="s">
        <v>1267</v>
      </c>
      <c r="H4002" s="380" t="s">
        <v>771</v>
      </c>
      <c r="I4002" s="380" t="s">
        <v>834</v>
      </c>
      <c r="J4002" s="380" t="s">
        <v>773</v>
      </c>
      <c r="K4002" s="381">
        <v>0.0</v>
      </c>
      <c r="L4002" s="382">
        <v>1.0</v>
      </c>
    </row>
    <row r="4003">
      <c r="A4003" s="380" t="s">
        <v>4868</v>
      </c>
      <c r="B4003" s="380" t="str">
        <f>IFERROR(__xludf.DUMMYFUNCTION("""COMPUTED_VALUE"""),"Disco Pulidora T27 7 1/4 7/")</f>
        <v>Disco Pulidora T27 7 1/4 7/</v>
      </c>
      <c r="C4003" s="380" t="str">
        <f>IFERROR(__xludf.DUMMYFUNCTION("""COMPUTED_VALUE"""),"50001692")</f>
        <v>50001692</v>
      </c>
      <c r="D4003" s="380" t="s">
        <v>767</v>
      </c>
      <c r="E4003" s="380" t="s">
        <v>781</v>
      </c>
      <c r="F4003" s="380" t="s">
        <v>819</v>
      </c>
      <c r="G4003" s="380" t="s">
        <v>1267</v>
      </c>
      <c r="H4003" s="380" t="s">
        <v>771</v>
      </c>
      <c r="I4003" s="380" t="s">
        <v>817</v>
      </c>
      <c r="J4003" s="380" t="s">
        <v>773</v>
      </c>
      <c r="K4003" s="381">
        <v>7298.0</v>
      </c>
      <c r="L4003" s="382">
        <v>1.0</v>
      </c>
    </row>
    <row r="4004">
      <c r="A4004" s="380" t="s">
        <v>4869</v>
      </c>
      <c r="B4004" s="380" t="str">
        <f>IFERROR(__xludf.DUMMYFUNCTION("""COMPUTED_VALUE"""),"Disco Desbastante / Flap De 7/ 7 X 7/8""")</f>
        <v>Disco Desbastante / Flap De 7/ 7 X 7/8"</v>
      </c>
      <c r="C4004" s="380" t="str">
        <f>IFERROR(__xludf.DUMMYFUNCTION("""COMPUTED_VALUE"""),"50001693")</f>
        <v>50001693</v>
      </c>
      <c r="D4004" s="380" t="s">
        <v>767</v>
      </c>
      <c r="E4004" s="380" t="s">
        <v>781</v>
      </c>
      <c r="F4004" s="380" t="s">
        <v>819</v>
      </c>
      <c r="G4004" s="380" t="s">
        <v>1267</v>
      </c>
      <c r="H4004" s="380" t="s">
        <v>771</v>
      </c>
      <c r="I4004" s="380" t="s">
        <v>817</v>
      </c>
      <c r="J4004" s="380" t="s">
        <v>773</v>
      </c>
      <c r="K4004" s="381">
        <v>21456.0</v>
      </c>
      <c r="L4004" s="382">
        <v>1.0</v>
      </c>
    </row>
    <row r="4005">
      <c r="A4005" s="380" t="s">
        <v>4870</v>
      </c>
      <c r="B4005" s="380" t="str">
        <f>IFERROR(__xludf.DUMMYFUNCTION("""COMPUTED_VALUE"""),"Silicona En Spray 354 Cc")</f>
        <v>Silicona En Spray 354 Cc</v>
      </c>
      <c r="C4005" s="380" t="str">
        <f>IFERROR(__xludf.DUMMYFUNCTION("""COMPUTED_VALUE"""),"50001694")</f>
        <v>50001694</v>
      </c>
      <c r="D4005" s="380" t="s">
        <v>767</v>
      </c>
      <c r="E4005" s="380" t="s">
        <v>781</v>
      </c>
      <c r="F4005" s="380" t="s">
        <v>819</v>
      </c>
      <c r="G4005" s="380" t="s">
        <v>1267</v>
      </c>
      <c r="H4005" s="380" t="s">
        <v>771</v>
      </c>
      <c r="I4005" s="380" t="s">
        <v>817</v>
      </c>
      <c r="J4005" s="380" t="s">
        <v>773</v>
      </c>
      <c r="K4005" s="381">
        <v>0.0</v>
      </c>
      <c r="L4005" s="382">
        <v>1.0</v>
      </c>
    </row>
    <row r="4006">
      <c r="A4006" s="380" t="s">
        <v>4871</v>
      </c>
      <c r="B4006" s="380" t="str">
        <f>IFERROR(__xludf.DUMMYFUNCTION("""COMPUTED_VALUE"""),"Correa Compresor Aire 17480")</f>
        <v>Correa Compresor Aire 17480</v>
      </c>
      <c r="C4006" s="380" t="str">
        <f>IFERROR(__xludf.DUMMYFUNCTION("""COMPUTED_VALUE"""),"50001695")</f>
        <v>50001695</v>
      </c>
      <c r="D4006" s="380" t="s">
        <v>767</v>
      </c>
      <c r="E4006" s="380" t="s">
        <v>781</v>
      </c>
      <c r="F4006" s="380" t="s">
        <v>819</v>
      </c>
      <c r="G4006" s="380" t="s">
        <v>1267</v>
      </c>
      <c r="H4006" s="380" t="s">
        <v>771</v>
      </c>
      <c r="I4006" s="380" t="s">
        <v>817</v>
      </c>
      <c r="J4006" s="380" t="s">
        <v>773</v>
      </c>
      <c r="K4006" s="381">
        <v>0.0</v>
      </c>
      <c r="L4006" s="382">
        <v>1.0</v>
      </c>
    </row>
    <row r="4007">
      <c r="A4007" s="380" t="s">
        <v>4872</v>
      </c>
      <c r="B4007" s="380" t="str">
        <f>IFERROR(__xludf.DUMMYFUNCTION("""COMPUTED_VALUE"""),"Remache Aluminio Solido 3/16 X 3/4")</f>
        <v>Remache Aluminio Solido 3/16 X 3/4</v>
      </c>
      <c r="C4007" s="380" t="str">
        <f>IFERROR(__xludf.DUMMYFUNCTION("""COMPUTED_VALUE"""),"50001696")</f>
        <v>50001696</v>
      </c>
      <c r="D4007" s="380" t="s">
        <v>767</v>
      </c>
      <c r="E4007" s="380" t="s">
        <v>781</v>
      </c>
      <c r="F4007" s="380" t="s">
        <v>819</v>
      </c>
      <c r="G4007" s="380" t="s">
        <v>1267</v>
      </c>
      <c r="H4007" s="380" t="s">
        <v>771</v>
      </c>
      <c r="I4007" s="380" t="s">
        <v>817</v>
      </c>
      <c r="J4007" s="380" t="s">
        <v>773</v>
      </c>
      <c r="K4007" s="381">
        <v>0.0</v>
      </c>
      <c r="L4007" s="382">
        <v>1.0</v>
      </c>
    </row>
    <row r="4008">
      <c r="A4008" s="380" t="s">
        <v>4873</v>
      </c>
      <c r="B4008" s="380" t="str">
        <f>IFERROR(__xludf.DUMMYFUNCTION("""COMPUTED_VALUE"""),"Adhesiv Adhesivo Velcro Plato Soporte 6""")</f>
        <v>Adhesiv Adhesivo Velcro Plato Soporte 6"</v>
      </c>
      <c r="C4008" s="380" t="str">
        <f>IFERROR(__xludf.DUMMYFUNCTION("""COMPUTED_VALUE"""),"50001697")</f>
        <v>50001697</v>
      </c>
      <c r="D4008" s="380" t="s">
        <v>767</v>
      </c>
      <c r="E4008" s="380" t="s">
        <v>781</v>
      </c>
      <c r="F4008" s="380" t="s">
        <v>819</v>
      </c>
      <c r="G4008" s="380" t="s">
        <v>1267</v>
      </c>
      <c r="H4008" s="380" t="s">
        <v>771</v>
      </c>
      <c r="I4008" s="380" t="s">
        <v>817</v>
      </c>
      <c r="J4008" s="380" t="s">
        <v>773</v>
      </c>
      <c r="K4008" s="381">
        <v>0.0</v>
      </c>
      <c r="L4008" s="382">
        <v>1.0</v>
      </c>
    </row>
    <row r="4009">
      <c r="A4009" s="380" t="s">
        <v>4874</v>
      </c>
      <c r="B4009" s="380" t="str">
        <f>IFERROR(__xludf.DUMMYFUNCTION("""COMPUTED_VALUE"""),"Manguera Surtidor Acpm De 3/4")</f>
        <v>Manguera Surtidor Acpm De 3/4</v>
      </c>
      <c r="C4009" s="380" t="str">
        <f>IFERROR(__xludf.DUMMYFUNCTION("""COMPUTED_VALUE"""),"50001698")</f>
        <v>50001698</v>
      </c>
      <c r="D4009" s="380" t="s">
        <v>767</v>
      </c>
      <c r="E4009" s="380" t="s">
        <v>781</v>
      </c>
      <c r="F4009" s="380" t="s">
        <v>819</v>
      </c>
      <c r="G4009" s="380" t="s">
        <v>1267</v>
      </c>
      <c r="H4009" s="380" t="s">
        <v>771</v>
      </c>
      <c r="I4009" s="380" t="s">
        <v>817</v>
      </c>
      <c r="J4009" s="380" t="s">
        <v>773</v>
      </c>
      <c r="K4009" s="381">
        <v>0.0</v>
      </c>
      <c r="L4009" s="382">
        <v>1.0</v>
      </c>
    </row>
    <row r="4010">
      <c r="A4010" s="380" t="s">
        <v>4875</v>
      </c>
      <c r="B4010" s="380" t="str">
        <f>IFERROR(__xludf.DUMMYFUNCTION("""COMPUTED_VALUE"""),"Graseras Varias")</f>
        <v>Graseras Varias</v>
      </c>
      <c r="C4010" s="380" t="str">
        <f>IFERROR(__xludf.DUMMYFUNCTION("""COMPUTED_VALUE"""),"50001699")</f>
        <v>50001699</v>
      </c>
      <c r="D4010" s="380" t="s">
        <v>767</v>
      </c>
      <c r="E4010" s="380" t="s">
        <v>781</v>
      </c>
      <c r="F4010" s="380" t="s">
        <v>819</v>
      </c>
      <c r="G4010" s="380" t="s">
        <v>1267</v>
      </c>
      <c r="H4010" s="380" t="s">
        <v>771</v>
      </c>
      <c r="I4010" s="380" t="s">
        <v>817</v>
      </c>
      <c r="J4010" s="380" t="s">
        <v>773</v>
      </c>
      <c r="K4010" s="381">
        <v>0.0</v>
      </c>
      <c r="L4010" s="382">
        <v>1.0</v>
      </c>
    </row>
    <row r="4011">
      <c r="A4011" s="380" t="s">
        <v>4876</v>
      </c>
      <c r="B4011" s="380" t="str">
        <f>IFERROR(__xludf.DUMMYFUNCTION("""COMPUTED_VALUE"""),"Pomada Esmeril Asentar Valvulas")</f>
        <v>Pomada Esmeril Asentar Valvulas</v>
      </c>
      <c r="C4011" s="380" t="str">
        <f>IFERROR(__xludf.DUMMYFUNCTION("""COMPUTED_VALUE"""),"50001700")</f>
        <v>50001700</v>
      </c>
      <c r="D4011" s="380" t="s">
        <v>767</v>
      </c>
      <c r="E4011" s="380" t="s">
        <v>781</v>
      </c>
      <c r="F4011" s="380" t="s">
        <v>819</v>
      </c>
      <c r="G4011" s="380" t="s">
        <v>1267</v>
      </c>
      <c r="H4011" s="380" t="s">
        <v>771</v>
      </c>
      <c r="I4011" s="380" t="s">
        <v>817</v>
      </c>
      <c r="J4011" s="380" t="s">
        <v>773</v>
      </c>
      <c r="K4011" s="381">
        <v>0.0</v>
      </c>
      <c r="L4011" s="382">
        <v>1.0</v>
      </c>
    </row>
    <row r="4012">
      <c r="A4012" s="380" t="s">
        <v>4877</v>
      </c>
      <c r="B4012" s="380" t="str">
        <f>IFERROR(__xludf.DUMMYFUNCTION("""COMPUTED_VALUE"""),"Escobilla Colilladora 79105400")</f>
        <v>Escobilla Colilladora 79105400</v>
      </c>
      <c r="C4012" s="380" t="str">
        <f>IFERROR(__xludf.DUMMYFUNCTION("""COMPUTED_VALUE"""),"50001701")</f>
        <v>50001701</v>
      </c>
      <c r="D4012" s="380" t="s">
        <v>767</v>
      </c>
      <c r="E4012" s="380" t="s">
        <v>781</v>
      </c>
      <c r="F4012" s="380" t="s">
        <v>819</v>
      </c>
      <c r="G4012" s="380" t="s">
        <v>1267</v>
      </c>
      <c r="H4012" s="380" t="s">
        <v>771</v>
      </c>
      <c r="I4012" s="380" t="s">
        <v>817</v>
      </c>
      <c r="J4012" s="380" t="s">
        <v>773</v>
      </c>
      <c r="K4012" s="381">
        <v>0.0</v>
      </c>
      <c r="L4012" s="382">
        <v>1.0</v>
      </c>
    </row>
    <row r="4013">
      <c r="A4013" s="380" t="s">
        <v>4878</v>
      </c>
      <c r="B4013" s="380" t="str">
        <f>IFERROR(__xludf.DUMMYFUNCTION("""COMPUTED_VALUE"""),"Remache Varios Solido Pop")</f>
        <v>Remache Varios Solido Pop</v>
      </c>
      <c r="C4013" s="380" t="str">
        <f>IFERROR(__xludf.DUMMYFUNCTION("""COMPUTED_VALUE"""),"50001703")</f>
        <v>50001703</v>
      </c>
      <c r="D4013" s="380" t="s">
        <v>767</v>
      </c>
      <c r="E4013" s="380" t="s">
        <v>781</v>
      </c>
      <c r="F4013" s="380" t="s">
        <v>819</v>
      </c>
      <c r="G4013" s="380" t="s">
        <v>1267</v>
      </c>
      <c r="H4013" s="380" t="s">
        <v>771</v>
      </c>
      <c r="I4013" s="380" t="s">
        <v>817</v>
      </c>
      <c r="J4013" s="380" t="s">
        <v>773</v>
      </c>
      <c r="K4013" s="381">
        <v>0.0</v>
      </c>
      <c r="L4013" s="382">
        <v>1.0</v>
      </c>
    </row>
    <row r="4014">
      <c r="A4014" s="380" t="s">
        <v>4879</v>
      </c>
      <c r="B4014" s="380" t="str">
        <f>IFERROR(__xludf.DUMMYFUNCTION("""COMPUTED_VALUE"""),"Sellador En Polvo Para Radiadores")</f>
        <v>Sellador En Polvo Para Radiadores</v>
      </c>
      <c r="C4014" s="380" t="str">
        <f>IFERROR(__xludf.DUMMYFUNCTION("""COMPUTED_VALUE"""),"50001704")</f>
        <v>50001704</v>
      </c>
      <c r="D4014" s="380" t="s">
        <v>767</v>
      </c>
      <c r="E4014" s="380" t="s">
        <v>781</v>
      </c>
      <c r="F4014" s="380" t="s">
        <v>819</v>
      </c>
      <c r="G4014" s="380" t="s">
        <v>1267</v>
      </c>
      <c r="H4014" s="380" t="s">
        <v>771</v>
      </c>
      <c r="I4014" s="380" t="s">
        <v>817</v>
      </c>
      <c r="J4014" s="380" t="s">
        <v>773</v>
      </c>
      <c r="K4014" s="381">
        <v>0.0</v>
      </c>
      <c r="L4014" s="382">
        <v>1.0</v>
      </c>
    </row>
    <row r="4015">
      <c r="A4015" s="380" t="s">
        <v>4880</v>
      </c>
      <c r="B4015" s="380" t="str">
        <f>IFERROR(__xludf.DUMMYFUNCTION("""COMPUTED_VALUE"""),"Frasco Muestra De Aceite")</f>
        <v>Frasco Muestra De Aceite</v>
      </c>
      <c r="C4015" s="380" t="str">
        <f>IFERROR(__xludf.DUMMYFUNCTION("""COMPUTED_VALUE"""),"50001705")</f>
        <v>50001705</v>
      </c>
      <c r="D4015" s="380" t="s">
        <v>767</v>
      </c>
      <c r="E4015" s="380" t="s">
        <v>781</v>
      </c>
      <c r="F4015" s="380" t="s">
        <v>819</v>
      </c>
      <c r="G4015" s="380" t="s">
        <v>1267</v>
      </c>
      <c r="H4015" s="380" t="s">
        <v>771</v>
      </c>
      <c r="I4015" s="380" t="s">
        <v>817</v>
      </c>
      <c r="J4015" s="380" t="s">
        <v>773</v>
      </c>
      <c r="K4015" s="381">
        <v>437.0</v>
      </c>
      <c r="L4015" s="382">
        <v>1.0</v>
      </c>
    </row>
    <row r="4016">
      <c r="A4016" s="380" t="s">
        <v>4881</v>
      </c>
      <c r="B4016" s="380" t="str">
        <f>IFERROR(__xludf.DUMMYFUNCTION("""COMPUTED_VALUE"""),"Kit De Empaquetadura Hidrolava K08010")</f>
        <v>Kit De Empaquetadura Hidrolava K08010</v>
      </c>
      <c r="C4016" s="380" t="str">
        <f>IFERROR(__xludf.DUMMYFUNCTION("""COMPUTED_VALUE"""),"50001706")</f>
        <v>50001706</v>
      </c>
      <c r="D4016" s="380" t="s">
        <v>767</v>
      </c>
      <c r="E4016" s="380" t="s">
        <v>781</v>
      </c>
      <c r="F4016" s="380" t="s">
        <v>819</v>
      </c>
      <c r="G4016" s="380" t="s">
        <v>1267</v>
      </c>
      <c r="H4016" s="380" t="s">
        <v>771</v>
      </c>
      <c r="I4016" s="380" t="s">
        <v>817</v>
      </c>
      <c r="J4016" s="380" t="s">
        <v>773</v>
      </c>
      <c r="K4016" s="381">
        <v>0.0</v>
      </c>
      <c r="L4016" s="382">
        <v>1.0</v>
      </c>
    </row>
    <row r="4017">
      <c r="A4017" s="380" t="s">
        <v>4882</v>
      </c>
      <c r="B4017" s="380" t="str">
        <f>IFERROR(__xludf.DUMMYFUNCTION("""COMPUTED_VALUE"""),"Valvula De Presion Ip Hidrolav 36703201")</f>
        <v>Valvula De Presion Ip Hidrolav 36703201</v>
      </c>
      <c r="C4017" s="380" t="str">
        <f>IFERROR(__xludf.DUMMYFUNCTION("""COMPUTED_VALUE"""),"50001707")</f>
        <v>50001707</v>
      </c>
      <c r="D4017" s="380" t="s">
        <v>767</v>
      </c>
      <c r="E4017" s="380" t="s">
        <v>781</v>
      </c>
      <c r="F4017" s="380" t="s">
        <v>819</v>
      </c>
      <c r="G4017" s="380" t="s">
        <v>1267</v>
      </c>
      <c r="H4017" s="380" t="s">
        <v>771</v>
      </c>
      <c r="I4017" s="380" t="s">
        <v>817</v>
      </c>
      <c r="J4017" s="380" t="s">
        <v>773</v>
      </c>
      <c r="K4017" s="381">
        <v>0.0</v>
      </c>
      <c r="L4017" s="382">
        <v>1.0</v>
      </c>
    </row>
    <row r="4018">
      <c r="A4018" s="380" t="s">
        <v>4883</v>
      </c>
      <c r="B4018" s="380" t="str">
        <f>IFERROR(__xludf.DUMMYFUNCTION("""COMPUTED_VALUE"""),"Remache 5/32 X 3/4")</f>
        <v>Remache 5/32 X 3/4</v>
      </c>
      <c r="C4018" s="380" t="str">
        <f>IFERROR(__xludf.DUMMYFUNCTION("""COMPUTED_VALUE"""),"50001709")</f>
        <v>50001709</v>
      </c>
      <c r="D4018" s="380" t="s">
        <v>767</v>
      </c>
      <c r="E4018" s="380" t="s">
        <v>781</v>
      </c>
      <c r="F4018" s="380" t="s">
        <v>819</v>
      </c>
      <c r="G4018" s="380" t="s">
        <v>1267</v>
      </c>
      <c r="H4018" s="380" t="s">
        <v>771</v>
      </c>
      <c r="I4018" s="380" t="s">
        <v>817</v>
      </c>
      <c r="J4018" s="380" t="s">
        <v>773</v>
      </c>
      <c r="K4018" s="381">
        <v>0.0</v>
      </c>
      <c r="L4018" s="382">
        <v>1.0</v>
      </c>
    </row>
    <row r="4019">
      <c r="A4019" s="380" t="s">
        <v>4884</v>
      </c>
      <c r="B4019" s="380" t="str">
        <f>IFERROR(__xludf.DUMMYFUNCTION("""COMPUTED_VALUE"""),"Anil Anillo Y Refuerzo De 1/2 P/Sinfllex")</f>
        <v>Anil Anillo Y Refuerzo De 1/2 P/Sinfllex</v>
      </c>
      <c r="C4019" s="380" t="str">
        <f>IFERROR(__xludf.DUMMYFUNCTION("""COMPUTED_VALUE"""),"50001710")</f>
        <v>50001710</v>
      </c>
      <c r="D4019" s="380" t="s">
        <v>767</v>
      </c>
      <c r="E4019" s="380" t="s">
        <v>781</v>
      </c>
      <c r="F4019" s="380" t="s">
        <v>819</v>
      </c>
      <c r="G4019" s="380" t="s">
        <v>1267</v>
      </c>
      <c r="H4019" s="380" t="s">
        <v>771</v>
      </c>
      <c r="I4019" s="380" t="s">
        <v>817</v>
      </c>
      <c r="J4019" s="380" t="s">
        <v>773</v>
      </c>
      <c r="K4019" s="381">
        <v>0.0</v>
      </c>
      <c r="L4019" s="382">
        <v>1.0</v>
      </c>
    </row>
    <row r="4020">
      <c r="A4020" s="380" t="s">
        <v>4885</v>
      </c>
      <c r="B4020" s="380" t="str">
        <f>IFERROR(__xludf.DUMMYFUNCTION("""COMPUTED_VALUE"""),"Anillo Y Refuerzo De 3/8 P/Sinfllex")</f>
        <v>Anillo Y Refuerzo De 3/8 P/Sinfllex</v>
      </c>
      <c r="C4020" s="380" t="str">
        <f>IFERROR(__xludf.DUMMYFUNCTION("""COMPUTED_VALUE"""),"50001711")</f>
        <v>50001711</v>
      </c>
      <c r="D4020" s="380" t="s">
        <v>767</v>
      </c>
      <c r="E4020" s="380" t="s">
        <v>781</v>
      </c>
      <c r="F4020" s="380" t="s">
        <v>819</v>
      </c>
      <c r="G4020" s="380" t="s">
        <v>1267</v>
      </c>
      <c r="H4020" s="380" t="s">
        <v>771</v>
      </c>
      <c r="I4020" s="380" t="s">
        <v>817</v>
      </c>
      <c r="J4020" s="380" t="s">
        <v>773</v>
      </c>
      <c r="K4020" s="381">
        <v>0.0</v>
      </c>
      <c r="L4020" s="382">
        <v>1.0</v>
      </c>
    </row>
    <row r="4021">
      <c r="A4021" s="380" t="s">
        <v>4886</v>
      </c>
      <c r="B4021" s="380" t="str">
        <f>IFERROR(__xludf.DUMMYFUNCTION("""COMPUTED_VALUE"""),"Silicona Ultra Grey 70 Mil. 5699")</f>
        <v>Silicona Ultra Grey 70 Mil. 5699</v>
      </c>
      <c r="C4021" s="380" t="str">
        <f>IFERROR(__xludf.DUMMYFUNCTION("""COMPUTED_VALUE"""),"50001712")</f>
        <v>50001712</v>
      </c>
      <c r="D4021" s="380" t="s">
        <v>767</v>
      </c>
      <c r="E4021" s="380" t="s">
        <v>781</v>
      </c>
      <c r="F4021" s="380" t="s">
        <v>819</v>
      </c>
      <c r="G4021" s="380" t="s">
        <v>1267</v>
      </c>
      <c r="H4021" s="380" t="s">
        <v>771</v>
      </c>
      <c r="I4021" s="380" t="s">
        <v>817</v>
      </c>
      <c r="J4021" s="380" t="s">
        <v>773</v>
      </c>
      <c r="K4021" s="381">
        <v>25152.0</v>
      </c>
      <c r="L4021" s="382">
        <v>1.0</v>
      </c>
    </row>
    <row r="4022">
      <c r="A4022" s="380" t="s">
        <v>4887</v>
      </c>
      <c r="B4022" s="380" t="str">
        <f>IFERROR(__xludf.DUMMYFUNCTION("""COMPUTED_VALUE"""),"Acetileno")</f>
        <v>Acetileno</v>
      </c>
      <c r="C4022" s="380" t="str">
        <f>IFERROR(__xludf.DUMMYFUNCTION("""COMPUTED_VALUE"""),"50001713")</f>
        <v>50001713</v>
      </c>
      <c r="D4022" s="380" t="s">
        <v>767</v>
      </c>
      <c r="E4022" s="380" t="s">
        <v>781</v>
      </c>
      <c r="F4022" s="380" t="s">
        <v>819</v>
      </c>
      <c r="G4022" s="380" t="s">
        <v>1267</v>
      </c>
      <c r="H4022" s="380" t="s">
        <v>771</v>
      </c>
      <c r="I4022" s="380" t="s">
        <v>817</v>
      </c>
      <c r="J4022" s="380" t="s">
        <v>773</v>
      </c>
      <c r="K4022" s="381">
        <v>499800.0</v>
      </c>
      <c r="L4022" s="382">
        <v>1.0</v>
      </c>
    </row>
    <row r="4023">
      <c r="A4023" s="380" t="s">
        <v>4888</v>
      </c>
      <c r="B4023" s="380" t="str">
        <f>IFERROR(__xludf.DUMMYFUNCTION("""COMPUTED_VALUE"""),"Pomada P/Prueba Agua Combus Rv 12")</f>
        <v>Pomada P/Prueba Agua Combus Rv 12</v>
      </c>
      <c r="C4023" s="380" t="str">
        <f>IFERROR(__xludf.DUMMYFUNCTION("""COMPUTED_VALUE"""),"50001714")</f>
        <v>50001714</v>
      </c>
      <c r="D4023" s="380" t="s">
        <v>767</v>
      </c>
      <c r="E4023" s="380" t="s">
        <v>781</v>
      </c>
      <c r="F4023" s="380" t="s">
        <v>819</v>
      </c>
      <c r="G4023" s="380" t="s">
        <v>1267</v>
      </c>
      <c r="H4023" s="380" t="s">
        <v>771</v>
      </c>
      <c r="I4023" s="380" t="s">
        <v>817</v>
      </c>
      <c r="J4023" s="380" t="s">
        <v>773</v>
      </c>
      <c r="K4023" s="381">
        <v>0.0</v>
      </c>
      <c r="L4023" s="382">
        <v>1.0</v>
      </c>
    </row>
    <row r="4024">
      <c r="A4024" s="380" t="s">
        <v>4889</v>
      </c>
      <c r="B4024" s="380" t="str">
        <f>IFERROR(__xludf.DUMMYFUNCTION("""COMPUTED_VALUE"""),"Chupa Gato Hidraulico 5-10-15 Toneladas")</f>
        <v>Chupa Gato Hidraulico 5-10-15 Toneladas</v>
      </c>
      <c r="C4024" s="380" t="str">
        <f>IFERROR(__xludf.DUMMYFUNCTION("""COMPUTED_VALUE"""),"50001715")</f>
        <v>50001715</v>
      </c>
      <c r="D4024" s="380" t="s">
        <v>767</v>
      </c>
      <c r="E4024" s="380" t="s">
        <v>781</v>
      </c>
      <c r="F4024" s="380" t="s">
        <v>819</v>
      </c>
      <c r="G4024" s="380" t="s">
        <v>1267</v>
      </c>
      <c r="H4024" s="380" t="s">
        <v>771</v>
      </c>
      <c r="I4024" s="380" t="s">
        <v>817</v>
      </c>
      <c r="J4024" s="380" t="s">
        <v>773</v>
      </c>
      <c r="K4024" s="381">
        <v>0.0</v>
      </c>
      <c r="L4024" s="382">
        <v>1.0</v>
      </c>
    </row>
    <row r="4025">
      <c r="A4025" s="380" t="s">
        <v>4890</v>
      </c>
      <c r="B4025" s="380" t="str">
        <f>IFERROR(__xludf.DUMMYFUNCTION("""COMPUTED_VALUE"""),"Grata Copa Ondulada 5x2x5/8""")</f>
        <v>Grata Copa Ondulada 5x2x5/8"</v>
      </c>
      <c r="C4025" s="380" t="str">
        <f>IFERROR(__xludf.DUMMYFUNCTION("""COMPUTED_VALUE"""),"50001716")</f>
        <v>50001716</v>
      </c>
      <c r="D4025" s="380" t="s">
        <v>767</v>
      </c>
      <c r="E4025" s="380" t="s">
        <v>781</v>
      </c>
      <c r="F4025" s="380" t="s">
        <v>819</v>
      </c>
      <c r="G4025" s="380" t="s">
        <v>1267</v>
      </c>
      <c r="H4025" s="380" t="s">
        <v>771</v>
      </c>
      <c r="I4025" s="380" t="s">
        <v>817</v>
      </c>
      <c r="J4025" s="380" t="s">
        <v>773</v>
      </c>
      <c r="K4025" s="381">
        <v>0.0</v>
      </c>
      <c r="L4025" s="382">
        <v>1.0</v>
      </c>
    </row>
    <row r="4026">
      <c r="A4026" s="380" t="s">
        <v>4891</v>
      </c>
      <c r="B4026" s="380" t="str">
        <f>IFERROR(__xludf.DUMMYFUNCTION("""COMPUTED_VALUE"""),"Silicona Termica Gris 20gr")</f>
        <v>Silicona Termica Gris 20gr</v>
      </c>
      <c r="C4026" s="380" t="str">
        <f>IFERROR(__xludf.DUMMYFUNCTION("""COMPUTED_VALUE"""),"50001717")</f>
        <v>50001717</v>
      </c>
      <c r="D4026" s="380" t="s">
        <v>767</v>
      </c>
      <c r="E4026" s="380" t="s">
        <v>781</v>
      </c>
      <c r="F4026" s="380" t="s">
        <v>819</v>
      </c>
      <c r="G4026" s="380" t="s">
        <v>1267</v>
      </c>
      <c r="H4026" s="380" t="s">
        <v>771</v>
      </c>
      <c r="I4026" s="380" t="s">
        <v>817</v>
      </c>
      <c r="J4026" s="380" t="s">
        <v>773</v>
      </c>
      <c r="K4026" s="381">
        <v>0.0</v>
      </c>
      <c r="L4026" s="382">
        <v>1.0</v>
      </c>
    </row>
    <row r="4027">
      <c r="A4027" s="380" t="s">
        <v>4892</v>
      </c>
      <c r="B4027" s="380" t="str">
        <f>IFERROR(__xludf.DUMMYFUNCTION("""COMPUTED_VALUE"""),"Limpiador Espumoso Para Partes De Comput")</f>
        <v>Limpiador Espumoso Para Partes De Comput</v>
      </c>
      <c r="C4027" s="380" t="str">
        <f>IFERROR(__xludf.DUMMYFUNCTION("""COMPUTED_VALUE"""),"50001718")</f>
        <v>50001718</v>
      </c>
      <c r="D4027" s="380" t="s">
        <v>767</v>
      </c>
      <c r="E4027" s="380" t="s">
        <v>781</v>
      </c>
      <c r="F4027" s="380" t="s">
        <v>819</v>
      </c>
      <c r="G4027" s="380" t="s">
        <v>1267</v>
      </c>
      <c r="H4027" s="380" t="s">
        <v>771</v>
      </c>
      <c r="I4027" s="380" t="s">
        <v>817</v>
      </c>
      <c r="J4027" s="380" t="s">
        <v>773</v>
      </c>
      <c r="K4027" s="381">
        <v>0.0</v>
      </c>
      <c r="L4027" s="382">
        <v>1.0</v>
      </c>
    </row>
    <row r="4028">
      <c r="A4028" s="380" t="s">
        <v>4893</v>
      </c>
      <c r="B4028" s="380" t="str">
        <f>IFERROR(__xludf.DUMMYFUNCTION("""COMPUTED_VALUE"""),"Disco Colilladora Metal 14"" 3/32""")</f>
        <v>Disco Colilladora Metal 14" 3/32"</v>
      </c>
      <c r="C4028" s="380" t="str">
        <f>IFERROR(__xludf.DUMMYFUNCTION("""COMPUTED_VALUE"""),"50001719")</f>
        <v>50001719</v>
      </c>
      <c r="D4028" s="380" t="s">
        <v>767</v>
      </c>
      <c r="E4028" s="380" t="s">
        <v>781</v>
      </c>
      <c r="F4028" s="380" t="s">
        <v>819</v>
      </c>
      <c r="G4028" s="380" t="s">
        <v>1267</v>
      </c>
      <c r="H4028" s="380" t="s">
        <v>771</v>
      </c>
      <c r="I4028" s="380" t="s">
        <v>817</v>
      </c>
      <c r="J4028" s="380" t="s">
        <v>773</v>
      </c>
      <c r="K4028" s="381">
        <v>21404.0</v>
      </c>
      <c r="L4028" s="382">
        <v>1.0</v>
      </c>
    </row>
    <row r="4029">
      <c r="A4029" s="380" t="s">
        <v>4894</v>
      </c>
      <c r="B4029" s="380" t="str">
        <f>IFERROR(__xludf.DUMMYFUNCTION("""COMPUTED_VALUE"""),"Disco Para Corte Metal 7x1/8x7/8""")</f>
        <v>Disco Para Corte Metal 7x1/8x7/8"</v>
      </c>
      <c r="C4029" s="380" t="str">
        <f>IFERROR(__xludf.DUMMYFUNCTION("""COMPUTED_VALUE"""),"50001720")</f>
        <v>50001720</v>
      </c>
      <c r="D4029" s="380" t="s">
        <v>767</v>
      </c>
      <c r="E4029" s="380" t="s">
        <v>781</v>
      </c>
      <c r="F4029" s="380" t="s">
        <v>819</v>
      </c>
      <c r="G4029" s="380" t="s">
        <v>1267</v>
      </c>
      <c r="H4029" s="380" t="s">
        <v>771</v>
      </c>
      <c r="I4029" s="380" t="s">
        <v>817</v>
      </c>
      <c r="J4029" s="380" t="s">
        <v>773</v>
      </c>
      <c r="K4029" s="381">
        <v>8326.0</v>
      </c>
      <c r="L4029" s="382">
        <v>1.0</v>
      </c>
    </row>
    <row r="4030">
      <c r="A4030" s="380" t="s">
        <v>4895</v>
      </c>
      <c r="B4030" s="380" t="str">
        <f>IFERROR(__xludf.DUMMYFUNCTION("""COMPUTED_VALUE"""),"Disco De Corte 7"" X 1/16 X 7/8 P 80")</f>
        <v>Disco De Corte 7" X 1/16 X 7/8 P 80</v>
      </c>
      <c r="C4030" s="380" t="str">
        <f>IFERROR(__xludf.DUMMYFUNCTION("""COMPUTED_VALUE"""),"50001721")</f>
        <v>50001721</v>
      </c>
      <c r="D4030" s="380" t="s">
        <v>767</v>
      </c>
      <c r="E4030" s="380" t="s">
        <v>781</v>
      </c>
      <c r="F4030" s="380" t="s">
        <v>819</v>
      </c>
      <c r="G4030" s="380" t="s">
        <v>1267</v>
      </c>
      <c r="H4030" s="380" t="s">
        <v>771</v>
      </c>
      <c r="I4030" s="380" t="s">
        <v>817</v>
      </c>
      <c r="J4030" s="380" t="s">
        <v>773</v>
      </c>
      <c r="K4030" s="381">
        <v>6980.0</v>
      </c>
      <c r="L4030" s="382">
        <v>1.0</v>
      </c>
    </row>
    <row r="4031">
      <c r="A4031" s="380" t="s">
        <v>4896</v>
      </c>
      <c r="B4031" s="380" t="str">
        <f>IFERROR(__xludf.DUMMYFUNCTION("""COMPUTED_VALUE"""),"Disco Fibra P 150")</f>
        <v>Disco Fibra P 150</v>
      </c>
      <c r="C4031" s="380" t="str">
        <f>IFERROR(__xludf.DUMMYFUNCTION("""COMPUTED_VALUE"""),"50001722")</f>
        <v>50001722</v>
      </c>
      <c r="D4031" s="380" t="s">
        <v>767</v>
      </c>
      <c r="E4031" s="380" t="s">
        <v>781</v>
      </c>
      <c r="F4031" s="380" t="s">
        <v>819</v>
      </c>
      <c r="G4031" s="380" t="s">
        <v>1267</v>
      </c>
      <c r="H4031" s="380" t="s">
        <v>771</v>
      </c>
      <c r="I4031" s="380" t="s">
        <v>817</v>
      </c>
      <c r="J4031" s="380" t="s">
        <v>773</v>
      </c>
      <c r="K4031" s="381">
        <v>0.0</v>
      </c>
      <c r="L4031" s="382">
        <v>1.0</v>
      </c>
    </row>
    <row r="4032">
      <c r="A4032" s="380" t="s">
        <v>4897</v>
      </c>
      <c r="B4032" s="380" t="str">
        <f>IFERROR(__xludf.DUMMYFUNCTION("""COMPUTED_VALUE"""),"Disco Pulidora 629x17""")</f>
        <v>Disco Pulidora 629x17"</v>
      </c>
      <c r="C4032" s="380" t="str">
        <f>IFERROR(__xludf.DUMMYFUNCTION("""COMPUTED_VALUE"""),"50001723")</f>
        <v>50001723</v>
      </c>
      <c r="D4032" s="380" t="s">
        <v>767</v>
      </c>
      <c r="E4032" s="380" t="s">
        <v>781</v>
      </c>
      <c r="F4032" s="380" t="s">
        <v>819</v>
      </c>
      <c r="G4032" s="380" t="s">
        <v>1267</v>
      </c>
      <c r="H4032" s="380" t="s">
        <v>771</v>
      </c>
      <c r="I4032" s="380" t="s">
        <v>817</v>
      </c>
      <c r="J4032" s="380" t="s">
        <v>773</v>
      </c>
      <c r="K4032" s="381">
        <v>0.0</v>
      </c>
      <c r="L4032" s="382">
        <v>1.0</v>
      </c>
    </row>
    <row r="4033">
      <c r="A4033" s="380" t="s">
        <v>4898</v>
      </c>
      <c r="B4033" s="380" t="str">
        <f>IFERROR(__xludf.DUMMYFUNCTION("""COMPUTED_VALUE"""),"Grata Para Esmeril 8 X3 X 5/8")</f>
        <v>Grata Para Esmeril 8 X3 X 5/8</v>
      </c>
      <c r="C4033" s="380" t="str">
        <f>IFERROR(__xludf.DUMMYFUNCTION("""COMPUTED_VALUE"""),"50001724")</f>
        <v>50001724</v>
      </c>
      <c r="D4033" s="380" t="s">
        <v>767</v>
      </c>
      <c r="E4033" s="380" t="s">
        <v>781</v>
      </c>
      <c r="F4033" s="380" t="s">
        <v>819</v>
      </c>
      <c r="G4033" s="380" t="s">
        <v>1267</v>
      </c>
      <c r="H4033" s="380" t="s">
        <v>771</v>
      </c>
      <c r="I4033" s="380" t="s">
        <v>817</v>
      </c>
      <c r="J4033" s="380" t="s">
        <v>773</v>
      </c>
      <c r="K4033" s="381">
        <v>41400.0</v>
      </c>
      <c r="L4033" s="382">
        <v>1.0</v>
      </c>
    </row>
    <row r="4034">
      <c r="A4034" s="380" t="s">
        <v>4899</v>
      </c>
      <c r="B4034" s="380" t="str">
        <f>IFERROR(__xludf.DUMMYFUNCTION("""COMPUTED_VALUE"""),"Piedra Motortul Varias")</f>
        <v>Piedra Motortul Varias</v>
      </c>
      <c r="C4034" s="380" t="str">
        <f>IFERROR(__xludf.DUMMYFUNCTION("""COMPUTED_VALUE"""),"50001725")</f>
        <v>50001725</v>
      </c>
      <c r="D4034" s="380" t="s">
        <v>767</v>
      </c>
      <c r="E4034" s="380" t="s">
        <v>781</v>
      </c>
      <c r="F4034" s="380" t="s">
        <v>819</v>
      </c>
      <c r="G4034" s="380" t="s">
        <v>1267</v>
      </c>
      <c r="H4034" s="380" t="s">
        <v>771</v>
      </c>
      <c r="I4034" s="380" t="s">
        <v>817</v>
      </c>
      <c r="J4034" s="380" t="s">
        <v>773</v>
      </c>
      <c r="K4034" s="381">
        <v>0.0</v>
      </c>
      <c r="L4034" s="382">
        <v>1.0</v>
      </c>
    </row>
    <row r="4035">
      <c r="A4035" s="380" t="s">
        <v>4900</v>
      </c>
      <c r="B4035" s="380" t="str">
        <f>IFERROR(__xludf.DUMMYFUNCTION("""COMPUTED_VALUE"""),"Acople Manguera Engrasadora")</f>
        <v>Acople Manguera Engrasadora</v>
      </c>
      <c r="C4035" s="380" t="str">
        <f>IFERROR(__xludf.DUMMYFUNCTION("""COMPUTED_VALUE"""),"50001726")</f>
        <v>50001726</v>
      </c>
      <c r="D4035" s="380" t="s">
        <v>767</v>
      </c>
      <c r="E4035" s="380" t="s">
        <v>781</v>
      </c>
      <c r="F4035" s="380" t="s">
        <v>819</v>
      </c>
      <c r="G4035" s="380" t="s">
        <v>1267</v>
      </c>
      <c r="H4035" s="380" t="s">
        <v>771</v>
      </c>
      <c r="I4035" s="380" t="s">
        <v>817</v>
      </c>
      <c r="J4035" s="380" t="s">
        <v>773</v>
      </c>
      <c r="K4035" s="381">
        <v>0.0</v>
      </c>
      <c r="L4035" s="382">
        <v>1.0</v>
      </c>
    </row>
    <row r="4036">
      <c r="A4036" s="380" t="s">
        <v>4901</v>
      </c>
      <c r="B4036" s="380" t="str">
        <f>IFERROR(__xludf.DUMMYFUNCTION("""COMPUTED_VALUE"""),"Grasera 1/4 A 90 Grados")</f>
        <v>Grasera 1/4 A 90 Grados</v>
      </c>
      <c r="C4036" s="380" t="str">
        <f>IFERROR(__xludf.DUMMYFUNCTION("""COMPUTED_VALUE"""),"50001727")</f>
        <v>50001727</v>
      </c>
      <c r="D4036" s="380" t="s">
        <v>767</v>
      </c>
      <c r="E4036" s="380" t="s">
        <v>781</v>
      </c>
      <c r="F4036" s="380" t="s">
        <v>819</v>
      </c>
      <c r="G4036" s="380" t="s">
        <v>1267</v>
      </c>
      <c r="H4036" s="380" t="s">
        <v>771</v>
      </c>
      <c r="I4036" s="380" t="s">
        <v>817</v>
      </c>
      <c r="J4036" s="380" t="s">
        <v>773</v>
      </c>
      <c r="K4036" s="381">
        <v>0.0</v>
      </c>
      <c r="L4036" s="382">
        <v>1.0</v>
      </c>
    </row>
    <row r="4037">
      <c r="A4037" s="380" t="s">
        <v>4902</v>
      </c>
      <c r="B4037" s="380" t="str">
        <f>IFERROR(__xludf.DUMMYFUNCTION("""COMPUTED_VALUE"""),"Grasera 1/8 Npt X 1/4")</f>
        <v>Grasera 1/8 Npt X 1/4</v>
      </c>
      <c r="C4037" s="380" t="str">
        <f>IFERROR(__xludf.DUMMYFUNCTION("""COMPUTED_VALUE"""),"50001728")</f>
        <v>50001728</v>
      </c>
      <c r="D4037" s="380" t="s">
        <v>767</v>
      </c>
      <c r="E4037" s="380" t="s">
        <v>781</v>
      </c>
      <c r="F4037" s="380" t="s">
        <v>819</v>
      </c>
      <c r="G4037" s="380" t="s">
        <v>1267</v>
      </c>
      <c r="H4037" s="380" t="s">
        <v>771</v>
      </c>
      <c r="I4037" s="380" t="s">
        <v>817</v>
      </c>
      <c r="J4037" s="380" t="s">
        <v>773</v>
      </c>
      <c r="K4037" s="381">
        <v>0.0</v>
      </c>
      <c r="L4037" s="382">
        <v>1.0</v>
      </c>
    </row>
    <row r="4038">
      <c r="A4038" s="380" t="s">
        <v>4903</v>
      </c>
      <c r="B4038" s="380" t="str">
        <f>IFERROR(__xludf.DUMMYFUNCTION("""COMPUTED_VALUE"""),"Discos Varios Pulidora Mototul")</f>
        <v>Discos Varios Pulidora Mototul</v>
      </c>
      <c r="C4038" s="380" t="str">
        <f>IFERROR(__xludf.DUMMYFUNCTION("""COMPUTED_VALUE"""),"50001729")</f>
        <v>50001729</v>
      </c>
      <c r="D4038" s="380" t="s">
        <v>767</v>
      </c>
      <c r="E4038" s="380" t="s">
        <v>781</v>
      </c>
      <c r="F4038" s="380" t="s">
        <v>819</v>
      </c>
      <c r="G4038" s="380" t="s">
        <v>1267</v>
      </c>
      <c r="H4038" s="380" t="s">
        <v>771</v>
      </c>
      <c r="I4038" s="380" t="s">
        <v>817</v>
      </c>
      <c r="J4038" s="380" t="s">
        <v>773</v>
      </c>
      <c r="K4038" s="381">
        <v>0.0</v>
      </c>
      <c r="L4038" s="382">
        <v>1.0</v>
      </c>
    </row>
    <row r="4039">
      <c r="A4039" s="380" t="s">
        <v>4904</v>
      </c>
      <c r="B4039" s="380" t="str">
        <f>IFERROR(__xludf.DUMMYFUNCTION("""COMPUTED_VALUE"""),"Disco Pad 6"" Mjq5656")</f>
        <v>Disco Pad 6" Mjq5656</v>
      </c>
      <c r="C4039" s="380" t="str">
        <f>IFERROR(__xludf.DUMMYFUNCTION("""COMPUTED_VALUE"""),"50001730")</f>
        <v>50001730</v>
      </c>
      <c r="D4039" s="380" t="s">
        <v>767</v>
      </c>
      <c r="E4039" s="380" t="s">
        <v>781</v>
      </c>
      <c r="F4039" s="380" t="s">
        <v>819</v>
      </c>
      <c r="G4039" s="380" t="s">
        <v>1267</v>
      </c>
      <c r="H4039" s="380" t="s">
        <v>771</v>
      </c>
      <c r="I4039" s="380" t="s">
        <v>817</v>
      </c>
      <c r="J4039" s="380" t="s">
        <v>773</v>
      </c>
      <c r="K4039" s="381">
        <v>0.0</v>
      </c>
      <c r="L4039" s="382">
        <v>1.0</v>
      </c>
    </row>
    <row r="4040">
      <c r="A4040" s="380" t="s">
        <v>4905</v>
      </c>
      <c r="B4040" s="380" t="str">
        <f>IFERROR(__xludf.DUMMYFUNCTION("""COMPUTED_VALUE"""),"Piedra Esmeril A 60 8x3/4x1.1/ 8x1x1.1/4")</f>
        <v>Piedra Esmeril A 60 8x3/4x1.1/ 8x1x1.1/4</v>
      </c>
      <c r="C4040" s="380" t="str">
        <f>IFERROR(__xludf.DUMMYFUNCTION("""COMPUTED_VALUE"""),"50001731")</f>
        <v>50001731</v>
      </c>
      <c r="D4040" s="380" t="s">
        <v>767</v>
      </c>
      <c r="E4040" s="380" t="s">
        <v>781</v>
      </c>
      <c r="F4040" s="380" t="s">
        <v>819</v>
      </c>
      <c r="G4040" s="380" t="s">
        <v>1267</v>
      </c>
      <c r="H4040" s="380" t="s">
        <v>771</v>
      </c>
      <c r="I4040" s="380" t="s">
        <v>817</v>
      </c>
      <c r="J4040" s="380" t="s">
        <v>773</v>
      </c>
      <c r="K4040" s="381">
        <v>0.0</v>
      </c>
      <c r="L4040" s="382">
        <v>1.0</v>
      </c>
    </row>
    <row r="4041">
      <c r="A4041" s="380" t="s">
        <v>4906</v>
      </c>
      <c r="B4041" s="380" t="str">
        <f>IFERROR(__xludf.DUMMYFUNCTION("""COMPUTED_VALUE"""),"Piedra Esmeril 2"" X 1.3/4, 1/4")</f>
        <v>Piedra Esmeril 2" X 1.3/4, 1/4</v>
      </c>
      <c r="C4041" s="380" t="str">
        <f>IFERROR(__xludf.DUMMYFUNCTION("""COMPUTED_VALUE"""),"50001732")</f>
        <v>50001732</v>
      </c>
      <c r="D4041" s="380" t="s">
        <v>767</v>
      </c>
      <c r="E4041" s="380" t="s">
        <v>781</v>
      </c>
      <c r="F4041" s="380" t="s">
        <v>819</v>
      </c>
      <c r="G4041" s="380" t="s">
        <v>1267</v>
      </c>
      <c r="H4041" s="380" t="s">
        <v>771</v>
      </c>
      <c r="I4041" s="380" t="s">
        <v>817</v>
      </c>
      <c r="J4041" s="380" t="s">
        <v>773</v>
      </c>
      <c r="K4041" s="381">
        <v>0.0</v>
      </c>
      <c r="L4041" s="382">
        <v>1.0</v>
      </c>
    </row>
    <row r="4042">
      <c r="A4042" s="380" t="s">
        <v>4907</v>
      </c>
      <c r="B4042" s="380" t="str">
        <f>IFERROR(__xludf.DUMMYFUNCTION("""COMPUTED_VALUE"""),"Taco Mecha Para Autos Patchrubbe 15051")</f>
        <v>Taco Mecha Para Autos Patchrubbe 15051</v>
      </c>
      <c r="C4042" s="380" t="str">
        <f>IFERROR(__xludf.DUMMYFUNCTION("""COMPUTED_VALUE"""),"50001733")</f>
        <v>50001733</v>
      </c>
      <c r="D4042" s="380" t="s">
        <v>767</v>
      </c>
      <c r="E4042" s="380" t="s">
        <v>781</v>
      </c>
      <c r="F4042" s="380" t="s">
        <v>819</v>
      </c>
      <c r="G4042" s="380" t="s">
        <v>1267</v>
      </c>
      <c r="H4042" s="380" t="s">
        <v>771</v>
      </c>
      <c r="I4042" s="380" t="s">
        <v>817</v>
      </c>
      <c r="J4042" s="380" t="s">
        <v>773</v>
      </c>
      <c r="K4042" s="381">
        <v>0.0</v>
      </c>
      <c r="L4042" s="382">
        <v>1.0</v>
      </c>
    </row>
    <row r="4043">
      <c r="A4043" s="380" t="s">
        <v>4908</v>
      </c>
      <c r="B4043" s="380" t="str">
        <f>IFERROR(__xludf.DUMMYFUNCTION("""COMPUTED_VALUE"""),"Cabo Madera Mango Varios")</f>
        <v>Cabo Madera Mango Varios</v>
      </c>
      <c r="C4043" s="380" t="str">
        <f>IFERROR(__xludf.DUMMYFUNCTION("""COMPUTED_VALUE"""),"50001734")</f>
        <v>50001734</v>
      </c>
      <c r="D4043" s="380" t="s">
        <v>767</v>
      </c>
      <c r="E4043" s="380" t="s">
        <v>781</v>
      </c>
      <c r="F4043" s="380" t="s">
        <v>819</v>
      </c>
      <c r="G4043" s="380" t="s">
        <v>1267</v>
      </c>
      <c r="H4043" s="380" t="s">
        <v>771</v>
      </c>
      <c r="I4043" s="380" t="s">
        <v>817</v>
      </c>
      <c r="J4043" s="380" t="s">
        <v>773</v>
      </c>
      <c r="K4043" s="381">
        <v>0.0</v>
      </c>
      <c r="L4043" s="382">
        <v>1.0</v>
      </c>
    </row>
    <row r="4044">
      <c r="A4044" s="380" t="s">
        <v>4909</v>
      </c>
      <c r="B4044" s="380" t="str">
        <f>IFERROR(__xludf.DUMMYFUNCTION("""COMPUTED_VALUE"""),"Loctite 290 De 50 Ml")</f>
        <v>Loctite 290 De 50 Ml</v>
      </c>
      <c r="C4044" s="380" t="str">
        <f>IFERROR(__xludf.DUMMYFUNCTION("""COMPUTED_VALUE"""),"50001735")</f>
        <v>50001735</v>
      </c>
      <c r="D4044" s="380" t="s">
        <v>767</v>
      </c>
      <c r="E4044" s="380" t="s">
        <v>781</v>
      </c>
      <c r="F4044" s="380" t="s">
        <v>819</v>
      </c>
      <c r="G4044" s="380" t="s">
        <v>1267</v>
      </c>
      <c r="H4044" s="380" t="s">
        <v>771</v>
      </c>
      <c r="I4044" s="380" t="s">
        <v>817</v>
      </c>
      <c r="J4044" s="380" t="s">
        <v>773</v>
      </c>
      <c r="K4044" s="381">
        <v>0.0</v>
      </c>
      <c r="L4044" s="382">
        <v>1.0</v>
      </c>
    </row>
    <row r="4045">
      <c r="A4045" s="380" t="s">
        <v>4910</v>
      </c>
      <c r="B4045" s="380" t="str">
        <f>IFERROR(__xludf.DUMMYFUNCTION("""COMPUTED_VALUE"""),"Cepillo Alambre 4761")</f>
        <v>Cepillo Alambre 4761</v>
      </c>
      <c r="C4045" s="380" t="str">
        <f>IFERROR(__xludf.DUMMYFUNCTION("""COMPUTED_VALUE"""),"50001737")</f>
        <v>50001737</v>
      </c>
      <c r="D4045" s="380" t="s">
        <v>767</v>
      </c>
      <c r="E4045" s="380" t="s">
        <v>781</v>
      </c>
      <c r="F4045" s="380" t="s">
        <v>819</v>
      </c>
      <c r="G4045" s="380" t="s">
        <v>1267</v>
      </c>
      <c r="H4045" s="380" t="s">
        <v>771</v>
      </c>
      <c r="I4045" s="380" t="s">
        <v>817</v>
      </c>
      <c r="J4045" s="380" t="s">
        <v>773</v>
      </c>
      <c r="K4045" s="381">
        <v>24448.0</v>
      </c>
      <c r="L4045" s="382">
        <v>1.0</v>
      </c>
    </row>
    <row r="4046">
      <c r="A4046" s="380" t="s">
        <v>4911</v>
      </c>
      <c r="B4046" s="380" t="str">
        <f>IFERROR(__xludf.DUMMYFUNCTION("""COMPUTED_VALUE"""),"Cilindro Co2 Para Soldador Mic")</f>
        <v>Cilindro Co2 Para Soldador Mic</v>
      </c>
      <c r="C4046" s="380" t="str">
        <f>IFERROR(__xludf.DUMMYFUNCTION("""COMPUTED_VALUE"""),"50001738")</f>
        <v>50001738</v>
      </c>
      <c r="D4046" s="380" t="s">
        <v>767</v>
      </c>
      <c r="E4046" s="380" t="s">
        <v>781</v>
      </c>
      <c r="F4046" s="380" t="s">
        <v>819</v>
      </c>
      <c r="G4046" s="380" t="s">
        <v>1267</v>
      </c>
      <c r="H4046" s="380" t="s">
        <v>771</v>
      </c>
      <c r="I4046" s="380" t="s">
        <v>817</v>
      </c>
      <c r="J4046" s="380" t="s">
        <v>773</v>
      </c>
      <c r="K4046" s="381">
        <v>0.0</v>
      </c>
      <c r="L4046" s="382">
        <v>1.0</v>
      </c>
    </row>
    <row r="4047">
      <c r="A4047" s="380" t="s">
        <v>4912</v>
      </c>
      <c r="B4047" s="380" t="str">
        <f>IFERROR(__xludf.DUMMYFUNCTION("""COMPUTED_VALUE"""),"Cilindro Nitrogeno Gaseoso")</f>
        <v>Cilindro Nitrogeno Gaseoso</v>
      </c>
      <c r="C4047" s="380" t="str">
        <f>IFERROR(__xludf.DUMMYFUNCTION("""COMPUTED_VALUE"""),"50001739")</f>
        <v>50001739</v>
      </c>
      <c r="D4047" s="380" t="s">
        <v>767</v>
      </c>
      <c r="E4047" s="380" t="s">
        <v>781</v>
      </c>
      <c r="F4047" s="380" t="s">
        <v>819</v>
      </c>
      <c r="G4047" s="380" t="s">
        <v>1267</v>
      </c>
      <c r="H4047" s="380" t="s">
        <v>771</v>
      </c>
      <c r="I4047" s="380" t="s">
        <v>817</v>
      </c>
      <c r="J4047" s="380" t="s">
        <v>773</v>
      </c>
      <c r="K4047" s="381">
        <v>0.0</v>
      </c>
      <c r="L4047" s="382">
        <v>1.0</v>
      </c>
    </row>
    <row r="4048">
      <c r="A4048" s="380" t="s">
        <v>4913</v>
      </c>
      <c r="B4048" s="380" t="str">
        <f>IFERROR(__xludf.DUMMYFUNCTION("""COMPUTED_VALUE"""),"Abrazadera Plastica 10 Cms")</f>
        <v>Abrazadera Plastica 10 Cms</v>
      </c>
      <c r="C4048" s="380" t="str">
        <f>IFERROR(__xludf.DUMMYFUNCTION("""COMPUTED_VALUE"""),"50001740")</f>
        <v>50001740</v>
      </c>
      <c r="D4048" s="380" t="s">
        <v>767</v>
      </c>
      <c r="E4048" s="380" t="s">
        <v>781</v>
      </c>
      <c r="F4048" s="380" t="s">
        <v>819</v>
      </c>
      <c r="G4048" s="380" t="s">
        <v>1267</v>
      </c>
      <c r="H4048" s="380" t="s">
        <v>771</v>
      </c>
      <c r="I4048" s="380" t="s">
        <v>817</v>
      </c>
      <c r="J4048" s="380" t="s">
        <v>773</v>
      </c>
      <c r="K4048" s="381">
        <v>0.0</v>
      </c>
      <c r="L4048" s="382">
        <v>1.0</v>
      </c>
    </row>
    <row r="4049">
      <c r="A4049" s="380" t="s">
        <v>4914</v>
      </c>
      <c r="B4049" s="380" t="str">
        <f>IFERROR(__xludf.DUMMYFUNCTION("""COMPUTED_VALUE"""),"Abrazadera Plastica 15 Cms")</f>
        <v>Abrazadera Plastica 15 Cms</v>
      </c>
      <c r="C4049" s="380" t="str">
        <f>IFERROR(__xludf.DUMMYFUNCTION("""COMPUTED_VALUE"""),"50001741")</f>
        <v>50001741</v>
      </c>
      <c r="D4049" s="380" t="s">
        <v>767</v>
      </c>
      <c r="E4049" s="380" t="s">
        <v>781</v>
      </c>
      <c r="F4049" s="380" t="s">
        <v>819</v>
      </c>
      <c r="G4049" s="380" t="s">
        <v>1267</v>
      </c>
      <c r="H4049" s="380" t="s">
        <v>771</v>
      </c>
      <c r="I4049" s="380" t="s">
        <v>817</v>
      </c>
      <c r="J4049" s="380" t="s">
        <v>773</v>
      </c>
      <c r="K4049" s="381">
        <v>0.0</v>
      </c>
      <c r="L4049" s="382">
        <v>1.0</v>
      </c>
    </row>
    <row r="4050">
      <c r="A4050" s="380" t="s">
        <v>4915</v>
      </c>
      <c r="B4050" s="380" t="str">
        <f>IFERROR(__xludf.DUMMYFUNCTION("""COMPUTED_VALUE"""),"Abrazadera Plastica 20 Cms")</f>
        <v>Abrazadera Plastica 20 Cms</v>
      </c>
      <c r="C4050" s="380" t="str">
        <f>IFERROR(__xludf.DUMMYFUNCTION("""COMPUTED_VALUE"""),"50001742")</f>
        <v>50001742</v>
      </c>
      <c r="D4050" s="380" t="s">
        <v>767</v>
      </c>
      <c r="E4050" s="380" t="s">
        <v>781</v>
      </c>
      <c r="F4050" s="380" t="s">
        <v>819</v>
      </c>
      <c r="G4050" s="380" t="s">
        <v>1267</v>
      </c>
      <c r="H4050" s="380" t="s">
        <v>771</v>
      </c>
      <c r="I4050" s="380" t="s">
        <v>817</v>
      </c>
      <c r="J4050" s="380" t="s">
        <v>773</v>
      </c>
      <c r="K4050" s="381">
        <v>0.0</v>
      </c>
      <c r="L4050" s="382">
        <v>1.0</v>
      </c>
    </row>
    <row r="4051">
      <c r="A4051" s="380" t="s">
        <v>4916</v>
      </c>
      <c r="B4051" s="380" t="str">
        <f>IFERROR(__xludf.DUMMYFUNCTION("""COMPUTED_VALUE"""),"Abrazadera Plastica 30 Cms")</f>
        <v>Abrazadera Plastica 30 Cms</v>
      </c>
      <c r="C4051" s="380" t="str">
        <f>IFERROR(__xludf.DUMMYFUNCTION("""COMPUTED_VALUE"""),"50001743")</f>
        <v>50001743</v>
      </c>
      <c r="D4051" s="380" t="s">
        <v>767</v>
      </c>
      <c r="E4051" s="380" t="s">
        <v>781</v>
      </c>
      <c r="F4051" s="380" t="s">
        <v>819</v>
      </c>
      <c r="G4051" s="380" t="s">
        <v>1267</v>
      </c>
      <c r="H4051" s="380" t="s">
        <v>771</v>
      </c>
      <c r="I4051" s="380" t="s">
        <v>817</v>
      </c>
      <c r="J4051" s="380" t="s">
        <v>773</v>
      </c>
      <c r="K4051" s="381">
        <v>0.0</v>
      </c>
      <c r="L4051" s="382">
        <v>1.0</v>
      </c>
    </row>
    <row r="4052">
      <c r="A4052" s="380" t="s">
        <v>4917</v>
      </c>
      <c r="B4052" s="380" t="str">
        <f>IFERROR(__xludf.DUMMYFUNCTION("""COMPUTED_VALUE"""),"Abrazadera Plastica 35 Cms")</f>
        <v>Abrazadera Plastica 35 Cms</v>
      </c>
      <c r="C4052" s="380" t="str">
        <f>IFERROR(__xludf.DUMMYFUNCTION("""COMPUTED_VALUE"""),"50001744")</f>
        <v>50001744</v>
      </c>
      <c r="D4052" s="380" t="s">
        <v>767</v>
      </c>
      <c r="E4052" s="380" t="s">
        <v>781</v>
      </c>
      <c r="F4052" s="380" t="s">
        <v>819</v>
      </c>
      <c r="G4052" s="380" t="s">
        <v>1267</v>
      </c>
      <c r="H4052" s="380" t="s">
        <v>771</v>
      </c>
      <c r="I4052" s="380" t="s">
        <v>817</v>
      </c>
      <c r="J4052" s="380" t="s">
        <v>773</v>
      </c>
      <c r="K4052" s="381">
        <v>0.0</v>
      </c>
      <c r="L4052" s="382">
        <v>1.0</v>
      </c>
    </row>
    <row r="4053">
      <c r="A4053" s="380" t="s">
        <v>4918</v>
      </c>
      <c r="B4053" s="380" t="str">
        <f>IFERROR(__xludf.DUMMYFUNCTION("""COMPUTED_VALUE"""),"Abrazadera Plastica 40 Cms")</f>
        <v>Abrazadera Plastica 40 Cms</v>
      </c>
      <c r="C4053" s="380" t="str">
        <f>IFERROR(__xludf.DUMMYFUNCTION("""COMPUTED_VALUE"""),"50001745")</f>
        <v>50001745</v>
      </c>
      <c r="D4053" s="380" t="s">
        <v>767</v>
      </c>
      <c r="E4053" s="380" t="s">
        <v>781</v>
      </c>
      <c r="F4053" s="380" t="s">
        <v>819</v>
      </c>
      <c r="G4053" s="380" t="s">
        <v>1267</v>
      </c>
      <c r="H4053" s="380" t="s">
        <v>771</v>
      </c>
      <c r="I4053" s="380" t="s">
        <v>817</v>
      </c>
      <c r="J4053" s="380" t="s">
        <v>773</v>
      </c>
      <c r="K4053" s="381">
        <v>0.0</v>
      </c>
      <c r="L4053" s="382">
        <v>1.0</v>
      </c>
    </row>
    <row r="4054">
      <c r="A4054" s="380" t="s">
        <v>4919</v>
      </c>
      <c r="B4054" s="380" t="str">
        <f>IFERROR(__xludf.DUMMYFUNCTION("""COMPUTED_VALUE"""),"Correa Surtidor Acpm A24-17380")</f>
        <v>Correa Surtidor Acpm A24-17380</v>
      </c>
      <c r="C4054" s="380" t="str">
        <f>IFERROR(__xludf.DUMMYFUNCTION("""COMPUTED_VALUE"""),"50001746")</f>
        <v>50001746</v>
      </c>
      <c r="D4054" s="380" t="s">
        <v>767</v>
      </c>
      <c r="E4054" s="380" t="s">
        <v>781</v>
      </c>
      <c r="F4054" s="380" t="s">
        <v>819</v>
      </c>
      <c r="G4054" s="380" t="s">
        <v>1267</v>
      </c>
      <c r="H4054" s="380" t="s">
        <v>771</v>
      </c>
      <c r="I4054" s="380" t="s">
        <v>817</v>
      </c>
      <c r="J4054" s="380" t="s">
        <v>773</v>
      </c>
      <c r="K4054" s="381">
        <v>0.0</v>
      </c>
      <c r="L4054" s="382">
        <v>1.0</v>
      </c>
    </row>
    <row r="4055">
      <c r="A4055" s="380" t="s">
        <v>4920</v>
      </c>
      <c r="B4055" s="380" t="str">
        <f>IFERROR(__xludf.DUMMYFUNCTION("""COMPUTED_VALUE"""),"Boquilla Equipo Solda Mig 0.35 Mig-0.35")</f>
        <v>Boquilla Equipo Solda Mig 0.35 Mig-0.35</v>
      </c>
      <c r="C4055" s="380" t="str">
        <f>IFERROR(__xludf.DUMMYFUNCTION("""COMPUTED_VALUE"""),"50001747")</f>
        <v>50001747</v>
      </c>
      <c r="D4055" s="380" t="s">
        <v>767</v>
      </c>
      <c r="E4055" s="380" t="s">
        <v>781</v>
      </c>
      <c r="F4055" s="380" t="s">
        <v>819</v>
      </c>
      <c r="G4055" s="380" t="s">
        <v>1267</v>
      </c>
      <c r="H4055" s="380" t="s">
        <v>771</v>
      </c>
      <c r="I4055" s="380" t="s">
        <v>817</v>
      </c>
      <c r="J4055" s="380" t="s">
        <v>773</v>
      </c>
      <c r="K4055" s="381">
        <v>0.0</v>
      </c>
      <c r="L4055" s="382">
        <v>1.0</v>
      </c>
    </row>
    <row r="4056">
      <c r="A4056" s="380" t="s">
        <v>4921</v>
      </c>
      <c r="B4056" s="380" t="str">
        <f>IFERROR(__xludf.DUMMYFUNCTION("""COMPUTED_VALUE"""),"Boquilla Manguera De Aire Seguridad")</f>
        <v>Boquilla Manguera De Aire Seguridad</v>
      </c>
      <c r="C4056" s="380" t="str">
        <f>IFERROR(__xludf.DUMMYFUNCTION("""COMPUTED_VALUE"""),"50001748")</f>
        <v>50001748</v>
      </c>
      <c r="D4056" s="380" t="s">
        <v>767</v>
      </c>
      <c r="E4056" s="380" t="s">
        <v>781</v>
      </c>
      <c r="F4056" s="380" t="s">
        <v>819</v>
      </c>
      <c r="G4056" s="380" t="s">
        <v>1267</v>
      </c>
      <c r="H4056" s="380" t="s">
        <v>771</v>
      </c>
      <c r="I4056" s="380" t="s">
        <v>817</v>
      </c>
      <c r="J4056" s="380" t="s">
        <v>773</v>
      </c>
      <c r="K4056" s="381">
        <v>0.0</v>
      </c>
      <c r="L4056" s="382">
        <v>1.0</v>
      </c>
    </row>
    <row r="4057">
      <c r="A4057" s="380" t="s">
        <v>4922</v>
      </c>
      <c r="B4057" s="380" t="str">
        <f>IFERROR(__xludf.DUMMYFUNCTION("""COMPUTED_VALUE"""),"Grafito")</f>
        <v>Grafito</v>
      </c>
      <c r="C4057" s="380" t="str">
        <f>IFERROR(__xludf.DUMMYFUNCTION("""COMPUTED_VALUE"""),"50001749")</f>
        <v>50001749</v>
      </c>
      <c r="D4057" s="380" t="s">
        <v>767</v>
      </c>
      <c r="E4057" s="380" t="s">
        <v>781</v>
      </c>
      <c r="F4057" s="380" t="s">
        <v>819</v>
      </c>
      <c r="G4057" s="380" t="s">
        <v>1267</v>
      </c>
      <c r="H4057" s="380" t="s">
        <v>771</v>
      </c>
      <c r="I4057" s="380" t="s">
        <v>817</v>
      </c>
      <c r="J4057" s="380" t="s">
        <v>773</v>
      </c>
      <c r="K4057" s="381">
        <v>0.0</v>
      </c>
      <c r="L4057" s="382">
        <v>1.0</v>
      </c>
    </row>
    <row r="4058">
      <c r="A4058" s="380" t="s">
        <v>4923</v>
      </c>
      <c r="B4058" s="380" t="str">
        <f>IFERROR(__xludf.DUMMYFUNCTION("""COMPUTED_VALUE"""),"Boquilla Manguera De Engrase Rea 26")</f>
        <v>Boquilla Manguera De Engrase Rea 26</v>
      </c>
      <c r="C4058" s="380" t="str">
        <f>IFERROR(__xludf.DUMMYFUNCTION("""COMPUTED_VALUE"""),"50001750")</f>
        <v>50001750</v>
      </c>
      <c r="D4058" s="380" t="s">
        <v>767</v>
      </c>
      <c r="E4058" s="380" t="s">
        <v>781</v>
      </c>
      <c r="F4058" s="380" t="s">
        <v>819</v>
      </c>
      <c r="G4058" s="380" t="s">
        <v>1267</v>
      </c>
      <c r="H4058" s="380" t="s">
        <v>771</v>
      </c>
      <c r="I4058" s="380" t="s">
        <v>817</v>
      </c>
      <c r="J4058" s="380" t="s">
        <v>773</v>
      </c>
      <c r="K4058" s="381">
        <v>0.0</v>
      </c>
      <c r="L4058" s="382">
        <v>1.0</v>
      </c>
    </row>
    <row r="4059">
      <c r="A4059" s="380" t="s">
        <v>4924</v>
      </c>
      <c r="B4059" s="380" t="str">
        <f>IFERROR(__xludf.DUMMYFUNCTION("""COMPUTED_VALUE"""),"Pegante Sintesolda Rapido P0270")</f>
        <v>Pegante Sintesolda Rapido P0270</v>
      </c>
      <c r="C4059" s="380" t="str">
        <f>IFERROR(__xludf.DUMMYFUNCTION("""COMPUTED_VALUE"""),"50001751")</f>
        <v>50001751</v>
      </c>
      <c r="D4059" s="380" t="s">
        <v>767</v>
      </c>
      <c r="E4059" s="380" t="s">
        <v>781</v>
      </c>
      <c r="F4059" s="380" t="s">
        <v>819</v>
      </c>
      <c r="G4059" s="380" t="s">
        <v>1267</v>
      </c>
      <c r="H4059" s="380" t="s">
        <v>771</v>
      </c>
      <c r="I4059" s="380" t="s">
        <v>817</v>
      </c>
      <c r="J4059" s="380" t="s">
        <v>773</v>
      </c>
      <c r="K4059" s="381">
        <v>0.0</v>
      </c>
      <c r="L4059" s="382">
        <v>1.0</v>
      </c>
    </row>
    <row r="4060">
      <c r="A4060" s="380" t="s">
        <v>4925</v>
      </c>
      <c r="B4060" s="380" t="str">
        <f>IFERROR(__xludf.DUMMYFUNCTION("""COMPUTED_VALUE"""),"Soldadura Mig Wa86-0.35")</f>
        <v>Soldadura Mig Wa86-0.35</v>
      </c>
      <c r="C4060" s="380" t="str">
        <f>IFERROR(__xludf.DUMMYFUNCTION("""COMPUTED_VALUE"""),"50001752")</f>
        <v>50001752</v>
      </c>
      <c r="D4060" s="380" t="s">
        <v>767</v>
      </c>
      <c r="E4060" s="380" t="s">
        <v>781</v>
      </c>
      <c r="F4060" s="380" t="s">
        <v>819</v>
      </c>
      <c r="G4060" s="380" t="s">
        <v>1267</v>
      </c>
      <c r="H4060" s="380" t="s">
        <v>771</v>
      </c>
      <c r="I4060" s="380" t="s">
        <v>817</v>
      </c>
      <c r="J4060" s="380" t="s">
        <v>773</v>
      </c>
      <c r="K4060" s="381">
        <v>107100.0</v>
      </c>
      <c r="L4060" s="382">
        <v>1.0</v>
      </c>
    </row>
    <row r="4061">
      <c r="A4061" s="380" t="s">
        <v>4926</v>
      </c>
      <c r="B4061" s="380" t="str">
        <f>IFERROR(__xludf.DUMMYFUNCTION("""COMPUTED_VALUE"""),"Tiza Industrial")</f>
        <v>Tiza Industrial</v>
      </c>
      <c r="C4061" s="380" t="str">
        <f>IFERROR(__xludf.DUMMYFUNCTION("""COMPUTED_VALUE"""),"50001753")</f>
        <v>50001753</v>
      </c>
      <c r="D4061" s="380" t="s">
        <v>767</v>
      </c>
      <c r="E4061" s="380" t="s">
        <v>781</v>
      </c>
      <c r="F4061" s="380" t="s">
        <v>819</v>
      </c>
      <c r="G4061" s="380" t="s">
        <v>1267</v>
      </c>
      <c r="H4061" s="380" t="s">
        <v>771</v>
      </c>
      <c r="I4061" s="380" t="s">
        <v>817</v>
      </c>
      <c r="J4061" s="380" t="s">
        <v>773</v>
      </c>
      <c r="K4061" s="381">
        <v>0.0</v>
      </c>
      <c r="L4061" s="382">
        <v>1.0</v>
      </c>
    </row>
    <row r="4062">
      <c r="A4062" s="380" t="s">
        <v>4927</v>
      </c>
      <c r="B4062" s="380" t="str">
        <f>IFERROR(__xludf.DUMMYFUNCTION("""COMPUTED_VALUE"""),"Grata Lengueta Grano 60 6x2x 1.1/4")</f>
        <v>Grata Lengueta Grano 60 6x2x 1.1/4</v>
      </c>
      <c r="C4062" s="380" t="str">
        <f>IFERROR(__xludf.DUMMYFUNCTION("""COMPUTED_VALUE"""),"50001754")</f>
        <v>50001754</v>
      </c>
      <c r="D4062" s="380" t="s">
        <v>767</v>
      </c>
      <c r="E4062" s="380" t="s">
        <v>781</v>
      </c>
      <c r="F4062" s="380" t="s">
        <v>819</v>
      </c>
      <c r="G4062" s="380" t="s">
        <v>1267</v>
      </c>
      <c r="H4062" s="380" t="s">
        <v>771</v>
      </c>
      <c r="I4062" s="380" t="s">
        <v>817</v>
      </c>
      <c r="J4062" s="380" t="s">
        <v>773</v>
      </c>
      <c r="K4062" s="381">
        <v>0.0</v>
      </c>
      <c r="L4062" s="382">
        <v>1.0</v>
      </c>
    </row>
    <row r="4063">
      <c r="A4063" s="380" t="s">
        <v>4928</v>
      </c>
      <c r="B4063" s="380" t="str">
        <f>IFERROR(__xludf.DUMMYFUNCTION("""COMPUTED_VALUE"""),"Soldadura 308l 3/32")</f>
        <v>Soldadura 308l 3/32</v>
      </c>
      <c r="C4063" s="380" t="str">
        <f>IFERROR(__xludf.DUMMYFUNCTION("""COMPUTED_VALUE"""),"50001755")</f>
        <v>50001755</v>
      </c>
      <c r="D4063" s="380" t="s">
        <v>767</v>
      </c>
      <c r="E4063" s="380" t="s">
        <v>781</v>
      </c>
      <c r="F4063" s="380" t="s">
        <v>819</v>
      </c>
      <c r="G4063" s="380" t="s">
        <v>1267</v>
      </c>
      <c r="H4063" s="380" t="s">
        <v>771</v>
      </c>
      <c r="I4063" s="380" t="s">
        <v>817</v>
      </c>
      <c r="J4063" s="380" t="s">
        <v>773</v>
      </c>
      <c r="K4063" s="381">
        <v>0.0</v>
      </c>
      <c r="L4063" s="382">
        <v>1.0</v>
      </c>
    </row>
    <row r="4064">
      <c r="A4064" s="380" t="s">
        <v>4929</v>
      </c>
      <c r="B4064" s="380" t="str">
        <f>IFERROR(__xludf.DUMMYFUNCTION("""COMPUTED_VALUE"""),"Tungsteno Punto Verde 1/8 Para Equipo So")</f>
        <v>Tungsteno Punto Verde 1/8 Para Equipo So</v>
      </c>
      <c r="C4064" s="380" t="str">
        <f>IFERROR(__xludf.DUMMYFUNCTION("""COMPUTED_VALUE"""),"50001756")</f>
        <v>50001756</v>
      </c>
      <c r="D4064" s="380" t="s">
        <v>767</v>
      </c>
      <c r="E4064" s="380" t="s">
        <v>781</v>
      </c>
      <c r="F4064" s="380" t="s">
        <v>819</v>
      </c>
      <c r="G4064" s="380" t="s">
        <v>1267</v>
      </c>
      <c r="H4064" s="380" t="s">
        <v>771</v>
      </c>
      <c r="I4064" s="380" t="s">
        <v>817</v>
      </c>
      <c r="J4064" s="380" t="s">
        <v>773</v>
      </c>
      <c r="K4064" s="381">
        <v>17374.0</v>
      </c>
      <c r="L4064" s="382">
        <v>1.0</v>
      </c>
    </row>
    <row r="4065">
      <c r="A4065" s="380" t="s">
        <v>4930</v>
      </c>
      <c r="B4065" s="380" t="str">
        <f>IFERROR(__xludf.DUMMYFUNCTION("""COMPUTED_VALUE"""),"Portaboquilla 1/8 Para Equipo Soldadura")</f>
        <v>Portaboquilla 1/8 Para Equipo Soldadura</v>
      </c>
      <c r="C4065" s="380" t="str">
        <f>IFERROR(__xludf.DUMMYFUNCTION("""COMPUTED_VALUE"""),"50001757")</f>
        <v>50001757</v>
      </c>
      <c r="D4065" s="380" t="s">
        <v>767</v>
      </c>
      <c r="E4065" s="380" t="s">
        <v>781</v>
      </c>
      <c r="F4065" s="380" t="s">
        <v>819</v>
      </c>
      <c r="G4065" s="380" t="s">
        <v>1267</v>
      </c>
      <c r="H4065" s="380" t="s">
        <v>771</v>
      </c>
      <c r="I4065" s="380" t="s">
        <v>817</v>
      </c>
      <c r="J4065" s="380" t="s">
        <v>773</v>
      </c>
      <c r="K4065" s="381">
        <v>0.0</v>
      </c>
      <c r="L4065" s="382">
        <v>1.0</v>
      </c>
    </row>
    <row r="4066">
      <c r="A4066" s="380" t="s">
        <v>4931</v>
      </c>
      <c r="B4066" s="380" t="str">
        <f>IFERROR(__xludf.DUMMYFUNCTION("""COMPUTED_VALUE"""),"Tungsteno Punto Gris 1/8 Para Equipo De")</f>
        <v>Tungsteno Punto Gris 1/8 Para Equipo De</v>
      </c>
      <c r="C4066" s="380" t="str">
        <f>IFERROR(__xludf.DUMMYFUNCTION("""COMPUTED_VALUE"""),"50001758")</f>
        <v>50001758</v>
      </c>
      <c r="D4066" s="380" t="s">
        <v>767</v>
      </c>
      <c r="E4066" s="380" t="s">
        <v>781</v>
      </c>
      <c r="F4066" s="380" t="s">
        <v>819</v>
      </c>
      <c r="G4066" s="380" t="s">
        <v>1267</v>
      </c>
      <c r="H4066" s="380" t="s">
        <v>771</v>
      </c>
      <c r="I4066" s="380" t="s">
        <v>817</v>
      </c>
      <c r="J4066" s="380" t="s">
        <v>773</v>
      </c>
      <c r="K4066" s="381">
        <v>17374.0</v>
      </c>
      <c r="L4066" s="382">
        <v>1.0</v>
      </c>
    </row>
    <row r="4067">
      <c r="A4067" s="380" t="s">
        <v>4932</v>
      </c>
      <c r="B4067" s="380" t="str">
        <f>IFERROR(__xludf.DUMMYFUNCTION("""COMPUTED_VALUE"""),"Porta Tungsteno De 1/8 Para Equipo De So")</f>
        <v>Porta Tungsteno De 1/8 Para Equipo De So</v>
      </c>
      <c r="C4067" s="380" t="str">
        <f>IFERROR(__xludf.DUMMYFUNCTION("""COMPUTED_VALUE"""),"50001759")</f>
        <v>50001759</v>
      </c>
      <c r="D4067" s="380" t="s">
        <v>767</v>
      </c>
      <c r="E4067" s="380" t="s">
        <v>781</v>
      </c>
      <c r="F4067" s="380" t="s">
        <v>819</v>
      </c>
      <c r="G4067" s="380" t="s">
        <v>1267</v>
      </c>
      <c r="H4067" s="380" t="s">
        <v>771</v>
      </c>
      <c r="I4067" s="380" t="s">
        <v>817</v>
      </c>
      <c r="J4067" s="380" t="s">
        <v>773</v>
      </c>
      <c r="K4067" s="381">
        <v>0.0</v>
      </c>
      <c r="L4067" s="382">
        <v>1.0</v>
      </c>
    </row>
    <row r="4068">
      <c r="A4068" s="380" t="s">
        <v>4933</v>
      </c>
      <c r="B4068" s="380" t="str">
        <f>IFERROR(__xludf.DUMMYFUNCTION("""COMPUTED_VALUE"""),"Aporte Acero Inoxidable Tig 2,40 Mm X 91")</f>
        <v>Aporte Acero Inoxidable Tig 2,40 Mm X 91</v>
      </c>
      <c r="C4068" s="380" t="str">
        <f>IFERROR(__xludf.DUMMYFUNCTION("""COMPUTED_VALUE"""),"50001760")</f>
        <v>50001760</v>
      </c>
      <c r="D4068" s="380" t="s">
        <v>767</v>
      </c>
      <c r="E4068" s="380" t="s">
        <v>781</v>
      </c>
      <c r="F4068" s="380" t="s">
        <v>819</v>
      </c>
      <c r="G4068" s="380" t="s">
        <v>1267</v>
      </c>
      <c r="H4068" s="380" t="s">
        <v>771</v>
      </c>
      <c r="I4068" s="380" t="s">
        <v>817</v>
      </c>
      <c r="J4068" s="380" t="s">
        <v>773</v>
      </c>
      <c r="K4068" s="381">
        <v>44744.0</v>
      </c>
      <c r="L4068" s="382">
        <v>1.0</v>
      </c>
    </row>
    <row r="4069">
      <c r="A4069" s="380" t="s">
        <v>4934</v>
      </c>
      <c r="B4069" s="380" t="str">
        <f>IFERROR(__xludf.DUMMYFUNCTION("""COMPUTED_VALUE"""),"Aporte Acero Al Carbon 2,40 Mm X 1000 Mm")</f>
        <v>Aporte Acero Al Carbon 2,40 Mm X 1000 Mm</v>
      </c>
      <c r="C4069" s="380" t="str">
        <f>IFERROR(__xludf.DUMMYFUNCTION("""COMPUTED_VALUE"""),"50001761")</f>
        <v>50001761</v>
      </c>
      <c r="D4069" s="380" t="s">
        <v>767</v>
      </c>
      <c r="E4069" s="380" t="s">
        <v>781</v>
      </c>
      <c r="F4069" s="380" t="s">
        <v>819</v>
      </c>
      <c r="G4069" s="380" t="s">
        <v>1267</v>
      </c>
      <c r="H4069" s="380" t="s">
        <v>771</v>
      </c>
      <c r="I4069" s="380" t="s">
        <v>817</v>
      </c>
      <c r="J4069" s="380" t="s">
        <v>773</v>
      </c>
      <c r="K4069" s="381">
        <v>12495.0</v>
      </c>
      <c r="L4069" s="382">
        <v>1.0</v>
      </c>
    </row>
    <row r="4070">
      <c r="A4070" s="380" t="s">
        <v>4935</v>
      </c>
      <c r="B4070" s="380" t="str">
        <f>IFERROR(__xludf.DUMMYFUNCTION("""COMPUTED_VALUE"""),"Grata Tela Dim 2"" Ancho 1"" Sfw 50-6")</f>
        <v>Grata Tela Dim 2" Ancho 1" Sfw 50-6</v>
      </c>
      <c r="C4070" s="380" t="str">
        <f>IFERROR(__xludf.DUMMYFUNCTION("""COMPUTED_VALUE"""),"50001762")</f>
        <v>50001762</v>
      </c>
      <c r="D4070" s="380" t="s">
        <v>767</v>
      </c>
      <c r="E4070" s="380" t="s">
        <v>781</v>
      </c>
      <c r="F4070" s="380" t="s">
        <v>819</v>
      </c>
      <c r="G4070" s="380" t="s">
        <v>1267</v>
      </c>
      <c r="H4070" s="380" t="s">
        <v>771</v>
      </c>
      <c r="I4070" s="380" t="s">
        <v>817</v>
      </c>
      <c r="J4070" s="380" t="s">
        <v>773</v>
      </c>
      <c r="K4070" s="381">
        <v>0.0</v>
      </c>
      <c r="L4070" s="382">
        <v>1.0</v>
      </c>
    </row>
    <row r="4071">
      <c r="A4071" s="380" t="s">
        <v>4936</v>
      </c>
      <c r="B4071" s="380" t="str">
        <f>IFERROR(__xludf.DUMMYFUNCTION("""COMPUTED_VALUE"""),"Boquilla Ceramica 3/8#6 Equipo Tig")</f>
        <v>Boquilla Ceramica 3/8#6 Equipo Tig</v>
      </c>
      <c r="C4071" s="380" t="str">
        <f>IFERROR(__xludf.DUMMYFUNCTION("""COMPUTED_VALUE"""),"50001763")</f>
        <v>50001763</v>
      </c>
      <c r="D4071" s="380" t="s">
        <v>767</v>
      </c>
      <c r="E4071" s="380" t="s">
        <v>781</v>
      </c>
      <c r="F4071" s="380" t="s">
        <v>819</v>
      </c>
      <c r="G4071" s="380" t="s">
        <v>1267</v>
      </c>
      <c r="H4071" s="380" t="s">
        <v>771</v>
      </c>
      <c r="I4071" s="380" t="s">
        <v>817</v>
      </c>
      <c r="J4071" s="380" t="s">
        <v>773</v>
      </c>
      <c r="K4071" s="381">
        <v>0.0</v>
      </c>
      <c r="L4071" s="382">
        <v>1.0</v>
      </c>
    </row>
    <row r="4072">
      <c r="A4072" s="380" t="s">
        <v>4937</v>
      </c>
      <c r="B4072" s="380" t="str">
        <f>IFERROR(__xludf.DUMMYFUNCTION("""COMPUTED_VALUE"""),"FILT BMB Cp8 Surtidor COMB F10.12")</f>
        <v>FILT BMB Cp8 Surtidor COMB F10.12</v>
      </c>
      <c r="C4072" s="380" t="str">
        <f>IFERROR(__xludf.DUMMYFUNCTION("""COMPUTED_VALUE"""),"50001764")</f>
        <v>50001764</v>
      </c>
      <c r="D4072" s="380" t="s">
        <v>767</v>
      </c>
      <c r="E4072" s="380" t="s">
        <v>781</v>
      </c>
      <c r="F4072" s="380" t="s">
        <v>819</v>
      </c>
      <c r="G4072" s="380" t="s">
        <v>1267</v>
      </c>
      <c r="H4072" s="380" t="s">
        <v>771</v>
      </c>
      <c r="I4072" s="380" t="s">
        <v>817</v>
      </c>
      <c r="J4072" s="380" t="s">
        <v>773</v>
      </c>
      <c r="K4072" s="381">
        <v>0.0</v>
      </c>
      <c r="L4072" s="382">
        <v>1.0</v>
      </c>
    </row>
    <row r="4073">
      <c r="A4073" s="380" t="s">
        <v>4938</v>
      </c>
      <c r="B4073" s="380" t="str">
        <f>IFERROR(__xludf.DUMMYFUNCTION("""COMPUTED_VALUE"""),"Soldadura Aporte Aluminio 2,40mm X 1000m")</f>
        <v>Soldadura Aporte Aluminio 2,40mm X 1000m</v>
      </c>
      <c r="C4073" s="380" t="str">
        <f>IFERROR(__xludf.DUMMYFUNCTION("""COMPUTED_VALUE"""),"50001765")</f>
        <v>50001765</v>
      </c>
      <c r="D4073" s="380" t="s">
        <v>767</v>
      </c>
      <c r="E4073" s="380" t="s">
        <v>781</v>
      </c>
      <c r="F4073" s="380" t="s">
        <v>819</v>
      </c>
      <c r="G4073" s="380" t="s">
        <v>1267</v>
      </c>
      <c r="H4073" s="380" t="s">
        <v>771</v>
      </c>
      <c r="I4073" s="380" t="s">
        <v>817</v>
      </c>
      <c r="J4073" s="380" t="s">
        <v>773</v>
      </c>
      <c r="K4073" s="381">
        <v>0.0</v>
      </c>
      <c r="L4073" s="382">
        <v>1.0</v>
      </c>
    </row>
    <row r="4074">
      <c r="A4074" s="380" t="s">
        <v>4939</v>
      </c>
      <c r="B4074" s="380" t="str">
        <f>IFERROR(__xludf.DUMMYFUNCTION("""COMPUTED_VALUE"""),"Tapa Antorchatungsteno Larga Equipo Tic")</f>
        <v>Tapa Antorchatungsteno Larga Equipo Tic</v>
      </c>
      <c r="C4074" s="380" t="str">
        <f>IFERROR(__xludf.DUMMYFUNCTION("""COMPUTED_VALUE"""),"50001766")</f>
        <v>50001766</v>
      </c>
      <c r="D4074" s="380" t="s">
        <v>767</v>
      </c>
      <c r="E4074" s="380" t="s">
        <v>781</v>
      </c>
      <c r="F4074" s="380" t="s">
        <v>819</v>
      </c>
      <c r="G4074" s="380" t="s">
        <v>1267</v>
      </c>
      <c r="H4074" s="380" t="s">
        <v>771</v>
      </c>
      <c r="I4074" s="380" t="s">
        <v>817</v>
      </c>
      <c r="J4074" s="380" t="s">
        <v>773</v>
      </c>
      <c r="K4074" s="381">
        <v>0.0</v>
      </c>
      <c r="L4074" s="382">
        <v>1.0</v>
      </c>
    </row>
    <row r="4075">
      <c r="A4075" s="380" t="s">
        <v>4940</v>
      </c>
      <c r="B4075" s="380" t="str">
        <f>IFERROR(__xludf.DUMMYFUNCTION("""COMPUTED_VALUE"""),"Funda Para Alambre Sm250 X 5 Metros Equi")</f>
        <v>Funda Para Alambre Sm250 X 5 Metros Equi</v>
      </c>
      <c r="C4075" s="380" t="str">
        <f>IFERROR(__xludf.DUMMYFUNCTION("""COMPUTED_VALUE"""),"50001767")</f>
        <v>50001767</v>
      </c>
      <c r="D4075" s="380" t="s">
        <v>767</v>
      </c>
      <c r="E4075" s="380" t="s">
        <v>781</v>
      </c>
      <c r="F4075" s="380" t="s">
        <v>819</v>
      </c>
      <c r="G4075" s="380" t="s">
        <v>1267</v>
      </c>
      <c r="H4075" s="380" t="s">
        <v>771</v>
      </c>
      <c r="I4075" s="380" t="s">
        <v>817</v>
      </c>
      <c r="J4075" s="380" t="s">
        <v>773</v>
      </c>
      <c r="K4075" s="381">
        <v>0.0</v>
      </c>
      <c r="L4075" s="382">
        <v>1.0</v>
      </c>
    </row>
    <row r="4076">
      <c r="A4076" s="380" t="s">
        <v>4941</v>
      </c>
      <c r="B4076" s="380" t="str">
        <f>IFERROR(__xludf.DUMMYFUNCTION("""COMPUTED_VALUE"""),"Papel Humedo Fabricar Empaques")</f>
        <v>Papel Humedo Fabricar Empaques</v>
      </c>
      <c r="C4076" s="380" t="str">
        <f>IFERROR(__xludf.DUMMYFUNCTION("""COMPUTED_VALUE"""),"50001768")</f>
        <v>50001768</v>
      </c>
      <c r="D4076" s="380" t="s">
        <v>767</v>
      </c>
      <c r="E4076" s="380" t="s">
        <v>781</v>
      </c>
      <c r="F4076" s="380" t="s">
        <v>819</v>
      </c>
      <c r="G4076" s="380" t="s">
        <v>1267</v>
      </c>
      <c r="H4076" s="380" t="s">
        <v>771</v>
      </c>
      <c r="I4076" s="380" t="s">
        <v>817</v>
      </c>
      <c r="J4076" s="380" t="s">
        <v>773</v>
      </c>
      <c r="K4076" s="381">
        <v>0.0</v>
      </c>
      <c r="L4076" s="382">
        <v>1.0</v>
      </c>
    </row>
    <row r="4077">
      <c r="A4077" s="380" t="s">
        <v>4942</v>
      </c>
      <c r="B4077" s="380" t="str">
        <f>IFERROR(__xludf.DUMMYFUNCTION("""COMPUTED_VALUE"""),"Piedra Chispero Oxicorte")</f>
        <v>Piedra Chispero Oxicorte</v>
      </c>
      <c r="C4077" s="380" t="str">
        <f>IFERROR(__xludf.DUMMYFUNCTION("""COMPUTED_VALUE"""),"50001770")</f>
        <v>50001770</v>
      </c>
      <c r="D4077" s="380" t="s">
        <v>767</v>
      </c>
      <c r="E4077" s="380" t="s">
        <v>781</v>
      </c>
      <c r="F4077" s="380" t="s">
        <v>819</v>
      </c>
      <c r="G4077" s="380" t="s">
        <v>1267</v>
      </c>
      <c r="H4077" s="380" t="s">
        <v>771</v>
      </c>
      <c r="I4077" s="380" t="s">
        <v>817</v>
      </c>
      <c r="J4077" s="380" t="s">
        <v>773</v>
      </c>
      <c r="K4077" s="381">
        <v>0.0</v>
      </c>
      <c r="L4077" s="382">
        <v>1.0</v>
      </c>
    </row>
    <row r="4078">
      <c r="A4078" s="380" t="s">
        <v>4943</v>
      </c>
      <c r="B4078" s="380" t="str">
        <f>IFERROR(__xludf.DUMMYFUNCTION("""COMPUTED_VALUE"""),"Anillo Y Refuerzo De 3/4 Sinflex")</f>
        <v>Anillo Y Refuerzo De 3/4 Sinflex</v>
      </c>
      <c r="C4078" s="380" t="str">
        <f>IFERROR(__xludf.DUMMYFUNCTION("""COMPUTED_VALUE"""),"50001771")</f>
        <v>50001771</v>
      </c>
      <c r="D4078" s="380" t="s">
        <v>767</v>
      </c>
      <c r="E4078" s="380" t="s">
        <v>781</v>
      </c>
      <c r="F4078" s="380" t="s">
        <v>819</v>
      </c>
      <c r="G4078" s="380" t="s">
        <v>1267</v>
      </c>
      <c r="H4078" s="380" t="s">
        <v>771</v>
      </c>
      <c r="I4078" s="380" t="s">
        <v>817</v>
      </c>
      <c r="J4078" s="380" t="s">
        <v>773</v>
      </c>
      <c r="K4078" s="381">
        <v>0.0</v>
      </c>
      <c r="L4078" s="382">
        <v>1.0</v>
      </c>
    </row>
    <row r="4079">
      <c r="A4079" s="380" t="s">
        <v>4944</v>
      </c>
      <c r="B4079" s="380" t="str">
        <f>IFERROR(__xludf.DUMMYFUNCTION("""COMPUTED_VALUE"""),"Disco Lija 4 1/2 X 7/8")</f>
        <v>Disco Lija 4 1/2 X 7/8</v>
      </c>
      <c r="C4079" s="380" t="str">
        <f>IFERROR(__xludf.DUMMYFUNCTION("""COMPUTED_VALUE"""),"50001772")</f>
        <v>50001772</v>
      </c>
      <c r="D4079" s="380" t="s">
        <v>767</v>
      </c>
      <c r="E4079" s="380" t="s">
        <v>781</v>
      </c>
      <c r="F4079" s="380" t="s">
        <v>819</v>
      </c>
      <c r="G4079" s="380" t="s">
        <v>1267</v>
      </c>
      <c r="H4079" s="380" t="s">
        <v>771</v>
      </c>
      <c r="I4079" s="380" t="s">
        <v>817</v>
      </c>
      <c r="J4079" s="380" t="s">
        <v>773</v>
      </c>
      <c r="K4079" s="381">
        <v>0.0</v>
      </c>
      <c r="L4079" s="382">
        <v>1.0</v>
      </c>
    </row>
    <row r="4080">
      <c r="A4080" s="380" t="s">
        <v>4945</v>
      </c>
      <c r="B4080" s="380" t="str">
        <f>IFERROR(__xludf.DUMMYFUNCTION("""COMPUTED_VALUE"""),"Loctite 609 Fijador Piezas Cilindricas")</f>
        <v>Loctite 609 Fijador Piezas Cilindricas</v>
      </c>
      <c r="C4080" s="380" t="str">
        <f>IFERROR(__xludf.DUMMYFUNCTION("""COMPUTED_VALUE"""),"50001773")</f>
        <v>50001773</v>
      </c>
      <c r="D4080" s="380" t="s">
        <v>767</v>
      </c>
      <c r="E4080" s="380" t="s">
        <v>781</v>
      </c>
      <c r="F4080" s="380" t="s">
        <v>819</v>
      </c>
      <c r="G4080" s="380" t="s">
        <v>1267</v>
      </c>
      <c r="H4080" s="380" t="s">
        <v>771</v>
      </c>
      <c r="I4080" s="380" t="s">
        <v>817</v>
      </c>
      <c r="J4080" s="380" t="s">
        <v>773</v>
      </c>
      <c r="K4080" s="381">
        <v>0.0</v>
      </c>
      <c r="L4080" s="382">
        <v>1.0</v>
      </c>
    </row>
    <row r="4081">
      <c r="A4081" s="380" t="s">
        <v>4946</v>
      </c>
      <c r="B4081" s="380" t="str">
        <f>IFERROR(__xludf.DUMMYFUNCTION("""COMPUTED_VALUE"""),"Silicona Crc")</f>
        <v>Silicona Crc</v>
      </c>
      <c r="C4081" s="380" t="str">
        <f>IFERROR(__xludf.DUMMYFUNCTION("""COMPUTED_VALUE"""),"50001774")</f>
        <v>50001774</v>
      </c>
      <c r="D4081" s="380" t="s">
        <v>767</v>
      </c>
      <c r="E4081" s="380" t="s">
        <v>781</v>
      </c>
      <c r="F4081" s="380" t="s">
        <v>819</v>
      </c>
      <c r="G4081" s="380" t="s">
        <v>1267</v>
      </c>
      <c r="H4081" s="380" t="s">
        <v>771</v>
      </c>
      <c r="I4081" s="380" t="s">
        <v>817</v>
      </c>
      <c r="J4081" s="380" t="s">
        <v>773</v>
      </c>
      <c r="K4081" s="381">
        <v>0.0</v>
      </c>
      <c r="L4081" s="382">
        <v>1.0</v>
      </c>
    </row>
    <row r="4082">
      <c r="A4082" s="380" t="s">
        <v>4947</v>
      </c>
      <c r="B4082" s="380" t="str">
        <f>IFERROR(__xludf.DUMMYFUNCTION("""COMPUTED_VALUE"""),"Loctite Teflon Liquido 567")</f>
        <v>Loctite Teflon Liquido 567</v>
      </c>
      <c r="C4082" s="380" t="str">
        <f>IFERROR(__xludf.DUMMYFUNCTION("""COMPUTED_VALUE"""),"50001775")</f>
        <v>50001775</v>
      </c>
      <c r="D4082" s="380" t="s">
        <v>767</v>
      </c>
      <c r="E4082" s="380" t="s">
        <v>781</v>
      </c>
      <c r="F4082" s="380" t="s">
        <v>819</v>
      </c>
      <c r="G4082" s="380" t="s">
        <v>1267</v>
      </c>
      <c r="H4082" s="380" t="s">
        <v>771</v>
      </c>
      <c r="I4082" s="380" t="s">
        <v>817</v>
      </c>
      <c r="J4082" s="380" t="s">
        <v>773</v>
      </c>
      <c r="K4082" s="381">
        <v>0.0</v>
      </c>
      <c r="L4082" s="382">
        <v>1.0</v>
      </c>
    </row>
    <row r="4083">
      <c r="A4083" s="380" t="s">
        <v>4948</v>
      </c>
      <c r="B4083" s="380" t="str">
        <f>IFERROR(__xludf.DUMMYFUNCTION("""COMPUTED_VALUE"""),"Kit Reparacion CIL Hidraulico Quimicos 6")</f>
        <v>Kit Reparacion CIL Hidraulico Quimicos 6</v>
      </c>
      <c r="C4083" s="380" t="str">
        <f>IFERROR(__xludf.DUMMYFUNCTION("""COMPUTED_VALUE"""),"50001776")</f>
        <v>50001776</v>
      </c>
      <c r="D4083" s="380" t="s">
        <v>767</v>
      </c>
      <c r="E4083" s="380" t="s">
        <v>781</v>
      </c>
      <c r="F4083" s="380" t="s">
        <v>819</v>
      </c>
      <c r="G4083" s="380" t="s">
        <v>1267</v>
      </c>
      <c r="H4083" s="380" t="s">
        <v>771</v>
      </c>
      <c r="I4083" s="380" t="s">
        <v>817</v>
      </c>
      <c r="J4083" s="380" t="s">
        <v>773</v>
      </c>
      <c r="K4083" s="381">
        <v>0.0</v>
      </c>
      <c r="L4083" s="382">
        <v>1.0</v>
      </c>
    </row>
    <row r="4084">
      <c r="A4084" s="380" t="s">
        <v>4949</v>
      </c>
      <c r="B4084" s="380" t="str">
        <f>IFERROR(__xludf.DUMMYFUNCTION("""COMPUTED_VALUE"""),"Disco De Corte 5"" X 3/64"" X 7/8"" - 225 X")</f>
        <v>Disco De Corte 5" X 3/64" X 7/8" - 225 X</v>
      </c>
      <c r="C4084" s="380" t="str">
        <f>IFERROR(__xludf.DUMMYFUNCTION("""COMPUTED_VALUE"""),"50001777")</f>
        <v>50001777</v>
      </c>
      <c r="D4084" s="380" t="s">
        <v>767</v>
      </c>
      <c r="E4084" s="380" t="s">
        <v>781</v>
      </c>
      <c r="F4084" s="380" t="s">
        <v>819</v>
      </c>
      <c r="G4084" s="380" t="s">
        <v>1267</v>
      </c>
      <c r="H4084" s="380" t="s">
        <v>771</v>
      </c>
      <c r="I4084" s="380" t="s">
        <v>817</v>
      </c>
      <c r="J4084" s="380" t="s">
        <v>773</v>
      </c>
      <c r="K4084" s="381">
        <v>0.0</v>
      </c>
      <c r="L4084" s="382">
        <v>1.0</v>
      </c>
    </row>
    <row r="4085">
      <c r="A4085" s="380" t="s">
        <v>4950</v>
      </c>
      <c r="B4085" s="380" t="str">
        <f>IFERROR(__xludf.DUMMYFUNCTION("""COMPUTED_VALUE"""),"Disco Desbatante O Flap 4,5""")</f>
        <v>Disco Desbatante O Flap 4,5"</v>
      </c>
      <c r="C4085" s="380" t="str">
        <f>IFERROR(__xludf.DUMMYFUNCTION("""COMPUTED_VALUE"""),"50001778")</f>
        <v>50001778</v>
      </c>
      <c r="D4085" s="380" t="s">
        <v>767</v>
      </c>
      <c r="E4085" s="380" t="s">
        <v>781</v>
      </c>
      <c r="F4085" s="380" t="s">
        <v>819</v>
      </c>
      <c r="G4085" s="380" t="s">
        <v>1267</v>
      </c>
      <c r="H4085" s="380" t="s">
        <v>771</v>
      </c>
      <c r="I4085" s="380" t="s">
        <v>817</v>
      </c>
      <c r="J4085" s="380" t="s">
        <v>773</v>
      </c>
      <c r="K4085" s="381">
        <v>5719.0</v>
      </c>
      <c r="L4085" s="382">
        <v>1.0</v>
      </c>
    </row>
    <row r="4086">
      <c r="A4086" s="380" t="s">
        <v>4951</v>
      </c>
      <c r="B4086" s="380" t="str">
        <f>IFERROR(__xludf.DUMMYFUNCTION("""COMPUTED_VALUE"""),"Desincrustante De Aluminio Para A/C Bril")</f>
        <v>Desincrustante De Aluminio Para A/C Bril</v>
      </c>
      <c r="C4086" s="380" t="str">
        <f>IFERROR(__xludf.DUMMYFUNCTION("""COMPUTED_VALUE"""),"50001779")</f>
        <v>50001779</v>
      </c>
      <c r="D4086" s="380" t="s">
        <v>767</v>
      </c>
      <c r="E4086" s="380" t="s">
        <v>781</v>
      </c>
      <c r="F4086" s="380" t="s">
        <v>819</v>
      </c>
      <c r="G4086" s="380" t="s">
        <v>1267</v>
      </c>
      <c r="H4086" s="380" t="s">
        <v>771</v>
      </c>
      <c r="I4086" s="380" t="s">
        <v>817</v>
      </c>
      <c r="J4086" s="380" t="s">
        <v>773</v>
      </c>
      <c r="K4086" s="381">
        <v>0.0</v>
      </c>
      <c r="L4086" s="382">
        <v>1.0</v>
      </c>
    </row>
    <row r="4087">
      <c r="A4087" s="380" t="s">
        <v>4952</v>
      </c>
      <c r="B4087" s="380" t="str">
        <f>IFERROR(__xludf.DUMMYFUNCTION("""COMPUTED_VALUE"""),"Tira De Niquel Para Soldadura De Punto")</f>
        <v>Tira De Niquel Para Soldadura De Punto</v>
      </c>
      <c r="C4087" s="380" t="str">
        <f>IFERROR(__xludf.DUMMYFUNCTION("""COMPUTED_VALUE"""),"50001780")</f>
        <v>50001780</v>
      </c>
      <c r="D4087" s="380" t="s">
        <v>767</v>
      </c>
      <c r="E4087" s="380" t="s">
        <v>781</v>
      </c>
      <c r="F4087" s="380" t="s">
        <v>819</v>
      </c>
      <c r="G4087" s="380" t="s">
        <v>1267</v>
      </c>
      <c r="H4087" s="380" t="s">
        <v>771</v>
      </c>
      <c r="I4087" s="380" t="s">
        <v>817</v>
      </c>
      <c r="J4087" s="380" t="s">
        <v>773</v>
      </c>
      <c r="K4087" s="381">
        <v>0.0</v>
      </c>
      <c r="L4087" s="382">
        <v>1.0</v>
      </c>
    </row>
    <row r="4088">
      <c r="A4088" s="380" t="s">
        <v>4953</v>
      </c>
      <c r="B4088" s="380" t="str">
        <f>IFERROR(__xludf.DUMMYFUNCTION("""COMPUTED_VALUE"""),"Disco Sierra Radial Madera De 7.1/4'' Ce")</f>
        <v>Disco Sierra Radial Madera De 7.1/4'' Ce</v>
      </c>
      <c r="C4088" s="380" t="str">
        <f>IFERROR(__xludf.DUMMYFUNCTION("""COMPUTED_VALUE"""),"50001782")</f>
        <v>50001782</v>
      </c>
      <c r="D4088" s="380" t="s">
        <v>767</v>
      </c>
      <c r="E4088" s="380" t="s">
        <v>781</v>
      </c>
      <c r="F4088" s="380" t="s">
        <v>819</v>
      </c>
      <c r="G4088" s="380" t="s">
        <v>1267</v>
      </c>
      <c r="H4088" s="380" t="s">
        <v>771</v>
      </c>
      <c r="I4088" s="380" t="s">
        <v>817</v>
      </c>
      <c r="J4088" s="380" t="s">
        <v>773</v>
      </c>
      <c r="K4088" s="381">
        <v>0.0</v>
      </c>
      <c r="L4088" s="382">
        <v>1.0</v>
      </c>
    </row>
    <row r="4089">
      <c r="A4089" s="380" t="s">
        <v>4954</v>
      </c>
      <c r="B4089" s="380" t="str">
        <f>IFERROR(__xludf.DUMMYFUNCTION("""COMPUTED_VALUE"""),"Pegante Instantaneo Wurth Bonder 2g")</f>
        <v>Pegante Instantaneo Wurth Bonder 2g</v>
      </c>
      <c r="C4089" s="380" t="str">
        <f>IFERROR(__xludf.DUMMYFUNCTION("""COMPUTED_VALUE"""),"50001783")</f>
        <v>50001783</v>
      </c>
      <c r="D4089" s="380" t="s">
        <v>767</v>
      </c>
      <c r="E4089" s="380" t="s">
        <v>781</v>
      </c>
      <c r="F4089" s="380" t="s">
        <v>819</v>
      </c>
      <c r="G4089" s="380" t="s">
        <v>1267</v>
      </c>
      <c r="H4089" s="380" t="s">
        <v>771</v>
      </c>
      <c r="I4089" s="380" t="s">
        <v>817</v>
      </c>
      <c r="J4089" s="380" t="s">
        <v>773</v>
      </c>
      <c r="K4089" s="381">
        <v>0.0</v>
      </c>
      <c r="L4089" s="382">
        <v>1.0</v>
      </c>
    </row>
    <row r="4090">
      <c r="A4090" s="380" t="s">
        <v>4955</v>
      </c>
      <c r="B4090" s="380" t="str">
        <f>IFERROR(__xludf.DUMMYFUNCTION("""COMPUTED_VALUE"""),"Empaque Pistola Sagola")</f>
        <v>Empaque Pistola Sagola</v>
      </c>
      <c r="C4090" s="380" t="str">
        <f>IFERROR(__xludf.DUMMYFUNCTION("""COMPUTED_VALUE"""),"50001784")</f>
        <v>50001784</v>
      </c>
      <c r="D4090" s="380" t="s">
        <v>767</v>
      </c>
      <c r="E4090" s="380" t="s">
        <v>781</v>
      </c>
      <c r="F4090" s="380" t="s">
        <v>819</v>
      </c>
      <c r="G4090" s="380" t="s">
        <v>1267</v>
      </c>
      <c r="H4090" s="380" t="s">
        <v>771</v>
      </c>
      <c r="I4090" s="380" t="s">
        <v>817</v>
      </c>
      <c r="J4090" s="380" t="s">
        <v>773</v>
      </c>
      <c r="K4090" s="381">
        <v>0.0</v>
      </c>
      <c r="L4090" s="382">
        <v>1.0</v>
      </c>
    </row>
    <row r="4091">
      <c r="A4091" s="380" t="s">
        <v>4956</v>
      </c>
      <c r="B4091" s="380" t="str">
        <f>IFERROR(__xludf.DUMMYFUNCTION("""COMPUTED_VALUE"""),"Pomada Medicion Acpm")</f>
        <v>Pomada Medicion Acpm</v>
      </c>
      <c r="C4091" s="380" t="str">
        <f>IFERROR(__xludf.DUMMYFUNCTION("""COMPUTED_VALUE"""),"50001785")</f>
        <v>50001785</v>
      </c>
      <c r="D4091" s="380" t="s">
        <v>767</v>
      </c>
      <c r="E4091" s="380" t="s">
        <v>781</v>
      </c>
      <c r="F4091" s="380" t="s">
        <v>819</v>
      </c>
      <c r="G4091" s="380" t="s">
        <v>1267</v>
      </c>
      <c r="H4091" s="380" t="s">
        <v>771</v>
      </c>
      <c r="I4091" s="380" t="s">
        <v>817</v>
      </c>
      <c r="J4091" s="380" t="s">
        <v>773</v>
      </c>
      <c r="K4091" s="381">
        <v>0.0</v>
      </c>
      <c r="L4091" s="382">
        <v>1.0</v>
      </c>
    </row>
    <row r="4092">
      <c r="A4092" s="380" t="s">
        <v>4957</v>
      </c>
      <c r="B4092" s="380" t="str">
        <f>IFERROR(__xludf.DUMMYFUNCTION("""COMPUTED_VALUE"""),"Kit Prueba Liquida De Aditivos Cc 2602 M")</f>
        <v>Kit Prueba Liquida De Aditivos Cc 2602 M</v>
      </c>
      <c r="C4092" s="380" t="str">
        <f>IFERROR(__xludf.DUMMYFUNCTION("""COMPUTED_VALUE"""),"50001786")</f>
        <v>50001786</v>
      </c>
      <c r="D4092" s="380" t="s">
        <v>767</v>
      </c>
      <c r="E4092" s="380" t="s">
        <v>781</v>
      </c>
      <c r="F4092" s="380" t="s">
        <v>819</v>
      </c>
      <c r="G4092" s="380" t="s">
        <v>1267</v>
      </c>
      <c r="H4092" s="380" t="s">
        <v>771</v>
      </c>
      <c r="I4092" s="380" t="s">
        <v>817</v>
      </c>
      <c r="J4092" s="380" t="s">
        <v>773</v>
      </c>
      <c r="K4092" s="381">
        <v>0.0</v>
      </c>
      <c r="L4092" s="382">
        <v>1.0</v>
      </c>
    </row>
    <row r="4093">
      <c r="A4093" s="380" t="s">
        <v>4958</v>
      </c>
      <c r="B4093" s="380" t="str">
        <f>IFERROR(__xludf.DUMMYFUNCTION("""COMPUTED_VALUE"""),"Cilindro Argon Capacidad 2000 Psi")</f>
        <v>Cilindro Argon Capacidad 2000 Psi</v>
      </c>
      <c r="C4093" s="380" t="str">
        <f>IFERROR(__xludf.DUMMYFUNCTION("""COMPUTED_VALUE"""),"50001787")</f>
        <v>50001787</v>
      </c>
      <c r="D4093" s="380" t="s">
        <v>767</v>
      </c>
      <c r="E4093" s="380" t="s">
        <v>781</v>
      </c>
      <c r="F4093" s="380" t="s">
        <v>819</v>
      </c>
      <c r="G4093" s="380" t="s">
        <v>1267</v>
      </c>
      <c r="H4093" s="380" t="s">
        <v>771</v>
      </c>
      <c r="I4093" s="380" t="s">
        <v>817</v>
      </c>
      <c r="J4093" s="380" t="s">
        <v>773</v>
      </c>
      <c r="K4093" s="381">
        <v>0.0</v>
      </c>
      <c r="L4093" s="382">
        <v>1.0</v>
      </c>
    </row>
    <row r="4094">
      <c r="A4094" s="380" t="s">
        <v>4959</v>
      </c>
      <c r="B4094" s="380" t="str">
        <f>IFERROR(__xludf.DUMMYFUNCTION("""COMPUTED_VALUE"""),"Tiza Para Marcar Llanta 45100")</f>
        <v>Tiza Para Marcar Llanta 45100</v>
      </c>
      <c r="C4094" s="380" t="str">
        <f>IFERROR(__xludf.DUMMYFUNCTION("""COMPUTED_VALUE"""),"50001788")</f>
        <v>50001788</v>
      </c>
      <c r="D4094" s="380" t="s">
        <v>767</v>
      </c>
      <c r="E4094" s="380" t="s">
        <v>781</v>
      </c>
      <c r="F4094" s="380" t="s">
        <v>819</v>
      </c>
      <c r="G4094" s="380" t="s">
        <v>1267</v>
      </c>
      <c r="H4094" s="380" t="s">
        <v>771</v>
      </c>
      <c r="I4094" s="380" t="s">
        <v>817</v>
      </c>
      <c r="J4094" s="380" t="s">
        <v>773</v>
      </c>
      <c r="K4094" s="381">
        <v>0.0</v>
      </c>
      <c r="L4094" s="382">
        <v>1.0</v>
      </c>
    </row>
    <row r="4095">
      <c r="A4095" s="380" t="s">
        <v>4960</v>
      </c>
      <c r="B4095" s="380" t="str">
        <f>IFERROR(__xludf.DUMMYFUNCTION("""COMPUTED_VALUE"""),"Remache Pop Estandar 500 1/8 X 1/4")</f>
        <v>Remache Pop Estandar 500 1/8 X 1/4</v>
      </c>
      <c r="C4095" s="380" t="str">
        <f>IFERROR(__xludf.DUMMYFUNCTION("""COMPUTED_VALUE"""),"50001789")</f>
        <v>50001789</v>
      </c>
      <c r="D4095" s="380" t="s">
        <v>767</v>
      </c>
      <c r="E4095" s="380" t="s">
        <v>781</v>
      </c>
      <c r="F4095" s="380" t="s">
        <v>819</v>
      </c>
      <c r="G4095" s="380" t="s">
        <v>1267</v>
      </c>
      <c r="H4095" s="380" t="s">
        <v>771</v>
      </c>
      <c r="I4095" s="380" t="s">
        <v>817</v>
      </c>
      <c r="J4095" s="380" t="s">
        <v>773</v>
      </c>
      <c r="K4095" s="381">
        <v>0.0</v>
      </c>
      <c r="L4095" s="382">
        <v>1.0</v>
      </c>
    </row>
    <row r="4096">
      <c r="A4096" s="380" t="s">
        <v>4961</v>
      </c>
      <c r="B4096" s="380" t="str">
        <f>IFERROR(__xludf.DUMMYFUNCTION("""COMPUTED_VALUE"""),"Tarjeta Control Ibutton Reparado")</f>
        <v>Tarjeta Control Ibutton Reparado</v>
      </c>
      <c r="C4096" s="380" t="str">
        <f>IFERROR(__xludf.DUMMYFUNCTION("""COMPUTED_VALUE"""),"50001790")</f>
        <v>50001790</v>
      </c>
      <c r="D4096" s="380" t="s">
        <v>767</v>
      </c>
      <c r="E4096" s="380" t="s">
        <v>781</v>
      </c>
      <c r="F4096" s="380" t="s">
        <v>819</v>
      </c>
      <c r="G4096" s="380" t="s">
        <v>1267</v>
      </c>
      <c r="H4096" s="380" t="s">
        <v>771</v>
      </c>
      <c r="I4096" s="380" t="s">
        <v>817</v>
      </c>
      <c r="J4096" s="380" t="s">
        <v>773</v>
      </c>
      <c r="K4096" s="381">
        <v>639625.0</v>
      </c>
      <c r="L4096" s="382">
        <v>1.0</v>
      </c>
    </row>
    <row r="4097">
      <c r="A4097" s="380" t="s">
        <v>4962</v>
      </c>
      <c r="B4097" s="380" t="str">
        <f>IFERROR(__xludf.DUMMYFUNCTION("""COMPUTED_VALUE"""),"Disco Abracol G36 X 7""")</f>
        <v>Disco Abracol G36 X 7"</v>
      </c>
      <c r="C4097" s="380" t="str">
        <f>IFERROR(__xludf.DUMMYFUNCTION("""COMPUTED_VALUE"""),"50001791")</f>
        <v>50001791</v>
      </c>
      <c r="D4097" s="380" t="s">
        <v>767</v>
      </c>
      <c r="E4097" s="380" t="s">
        <v>781</v>
      </c>
      <c r="F4097" s="380" t="s">
        <v>819</v>
      </c>
      <c r="G4097" s="380" t="s">
        <v>1267</v>
      </c>
      <c r="H4097" s="380" t="s">
        <v>771</v>
      </c>
      <c r="I4097" s="380" t="s">
        <v>817</v>
      </c>
      <c r="J4097" s="380" t="s">
        <v>773</v>
      </c>
      <c r="K4097" s="381">
        <v>0.0</v>
      </c>
      <c r="L4097" s="382">
        <v>1.0</v>
      </c>
    </row>
    <row r="4098">
      <c r="A4098" s="380" t="s">
        <v>4963</v>
      </c>
      <c r="B4098" s="380" t="str">
        <f>IFERROR(__xludf.DUMMYFUNCTION("""COMPUTED_VALUE"""),"Disco Corte Metal 7"" X 1/16"" X 7/8"" Dewa")</f>
        <v>Disco Corte Metal 7" X 1/16" X 7/8" Dewa</v>
      </c>
      <c r="C4098" s="380" t="str">
        <f>IFERROR(__xludf.DUMMYFUNCTION("""COMPUTED_VALUE"""),"50001792")</f>
        <v>50001792</v>
      </c>
      <c r="D4098" s="380" t="s">
        <v>767</v>
      </c>
      <c r="E4098" s="380" t="s">
        <v>781</v>
      </c>
      <c r="F4098" s="380" t="s">
        <v>819</v>
      </c>
      <c r="G4098" s="380" t="s">
        <v>1267</v>
      </c>
      <c r="H4098" s="380" t="s">
        <v>771</v>
      </c>
      <c r="I4098" s="380" t="s">
        <v>817</v>
      </c>
      <c r="J4098" s="380" t="s">
        <v>773</v>
      </c>
      <c r="K4098" s="381">
        <v>0.0</v>
      </c>
      <c r="L4098" s="382">
        <v>1.0</v>
      </c>
    </row>
    <row r="4099">
      <c r="A4099" s="380" t="s">
        <v>4964</v>
      </c>
      <c r="B4099" s="380" t="str">
        <f>IFERROR(__xludf.DUMMYFUNCTION("""COMPUTED_VALUE"""),"Disco Para Corte De Metal 7 X 1/16 X 7/8")</f>
        <v>Disco Para Corte De Metal 7 X 1/16 X 7/8</v>
      </c>
      <c r="C4099" s="380" t="str">
        <f>IFERROR(__xludf.DUMMYFUNCTION("""COMPUTED_VALUE"""),"50001793")</f>
        <v>50001793</v>
      </c>
      <c r="D4099" s="380" t="s">
        <v>767</v>
      </c>
      <c r="E4099" s="380" t="s">
        <v>781</v>
      </c>
      <c r="F4099" s="380" t="s">
        <v>819</v>
      </c>
      <c r="G4099" s="380" t="s">
        <v>1267</v>
      </c>
      <c r="H4099" s="380" t="s">
        <v>771</v>
      </c>
      <c r="I4099" s="380" t="s">
        <v>817</v>
      </c>
      <c r="J4099" s="380" t="s">
        <v>773</v>
      </c>
      <c r="K4099" s="381">
        <v>0.0</v>
      </c>
      <c r="L4099" s="382">
        <v>1.0</v>
      </c>
    </row>
    <row r="4100">
      <c r="A4100" s="380" t="s">
        <v>4965</v>
      </c>
      <c r="B4100" s="380" t="str">
        <f>IFERROR(__xludf.DUMMYFUNCTION("""COMPUTED_VALUE"""),"Repuestos Varios Batallon")</f>
        <v>Repuestos Varios Batallon</v>
      </c>
      <c r="C4100" s="380" t="str">
        <f>IFERROR(__xludf.DUMMYFUNCTION("""COMPUTED_VALUE"""),"50001794")</f>
        <v>50001794</v>
      </c>
      <c r="D4100" s="380" t="s">
        <v>767</v>
      </c>
      <c r="E4100" s="380" t="s">
        <v>781</v>
      </c>
      <c r="F4100" s="380" t="s">
        <v>819</v>
      </c>
      <c r="G4100" s="380" t="s">
        <v>1267</v>
      </c>
      <c r="H4100" s="380" t="s">
        <v>771</v>
      </c>
      <c r="I4100" s="380" t="s">
        <v>817</v>
      </c>
      <c r="J4100" s="380" t="s">
        <v>773</v>
      </c>
      <c r="K4100" s="381">
        <v>0.0</v>
      </c>
      <c r="L4100" s="382">
        <v>1.0</v>
      </c>
    </row>
    <row r="4101">
      <c r="A4101" s="380" t="s">
        <v>4966</v>
      </c>
      <c r="B4101" s="380" t="str">
        <f>IFERROR(__xludf.DUMMYFUNCTION("""COMPUTED_VALUE"""),"Disco De Corte 4 1/2 X 3/64 X 7/8")</f>
        <v>Disco De Corte 4 1/2 X 3/64 X 7/8</v>
      </c>
      <c r="C4101" s="380" t="str">
        <f>IFERROR(__xludf.DUMMYFUNCTION("""COMPUTED_VALUE"""),"50001795")</f>
        <v>50001795</v>
      </c>
      <c r="D4101" s="380" t="s">
        <v>767</v>
      </c>
      <c r="E4101" s="380" t="s">
        <v>781</v>
      </c>
      <c r="F4101" s="380" t="s">
        <v>819</v>
      </c>
      <c r="G4101" s="380" t="s">
        <v>1267</v>
      </c>
      <c r="H4101" s="380" t="s">
        <v>771</v>
      </c>
      <c r="I4101" s="380" t="s">
        <v>817</v>
      </c>
      <c r="J4101" s="380" t="s">
        <v>773</v>
      </c>
      <c r="K4101" s="381">
        <v>4144.0</v>
      </c>
      <c r="L4101" s="382">
        <v>1.0</v>
      </c>
    </row>
    <row r="4102">
      <c r="A4102" s="380" t="s">
        <v>4967</v>
      </c>
      <c r="B4102" s="380" t="str">
        <f>IFERROR(__xludf.DUMMYFUNCTION("""COMPUTED_VALUE"""),"Solenoide Hidrolavadora")</f>
        <v>Solenoide Hidrolavadora</v>
      </c>
      <c r="C4102" s="380" t="str">
        <f>IFERROR(__xludf.DUMMYFUNCTION("""COMPUTED_VALUE"""),"50001796")</f>
        <v>50001796</v>
      </c>
      <c r="D4102" s="380" t="s">
        <v>767</v>
      </c>
      <c r="E4102" s="380" t="s">
        <v>781</v>
      </c>
      <c r="F4102" s="380" t="s">
        <v>819</v>
      </c>
      <c r="G4102" s="380" t="s">
        <v>1267</v>
      </c>
      <c r="H4102" s="380" t="s">
        <v>771</v>
      </c>
      <c r="I4102" s="380" t="s">
        <v>817</v>
      </c>
      <c r="J4102" s="380" t="s">
        <v>773</v>
      </c>
      <c r="K4102" s="381">
        <v>0.0</v>
      </c>
      <c r="L4102" s="382">
        <v>1.0</v>
      </c>
    </row>
    <row r="4103">
      <c r="A4103" s="380" t="s">
        <v>4968</v>
      </c>
      <c r="B4103" s="380" t="str">
        <f>IFERROR(__xludf.DUMMYFUNCTION("""COMPUTED_VALUE"""),"Disco Corte Metal 7"" X 0.55"" X 7/8""")</f>
        <v>Disco Corte Metal 7" X 0.55" X 7/8"</v>
      </c>
      <c r="C4103" s="380" t="str">
        <f>IFERROR(__xludf.DUMMYFUNCTION("""COMPUTED_VALUE"""),"50001797")</f>
        <v>50001797</v>
      </c>
      <c r="D4103" s="380" t="s">
        <v>767</v>
      </c>
      <c r="E4103" s="380" t="s">
        <v>781</v>
      </c>
      <c r="F4103" s="380" t="s">
        <v>819</v>
      </c>
      <c r="G4103" s="380" t="s">
        <v>1267</v>
      </c>
      <c r="H4103" s="380" t="s">
        <v>771</v>
      </c>
      <c r="I4103" s="380" t="s">
        <v>817</v>
      </c>
      <c r="J4103" s="380" t="s">
        <v>773</v>
      </c>
      <c r="K4103" s="381">
        <v>0.0</v>
      </c>
      <c r="L4103" s="382">
        <v>1.0</v>
      </c>
    </row>
    <row r="4104">
      <c r="A4104" s="380" t="s">
        <v>4969</v>
      </c>
      <c r="B4104" s="380" t="str">
        <f>IFERROR(__xludf.DUMMYFUNCTION("""COMPUTED_VALUE"""),"Manguera Transparente De 1""")</f>
        <v>Manguera Transparente De 1"</v>
      </c>
      <c r="C4104" s="380" t="str">
        <f>IFERROR(__xludf.DUMMYFUNCTION("""COMPUTED_VALUE"""),"50001798")</f>
        <v>50001798</v>
      </c>
      <c r="D4104" s="380" t="s">
        <v>767</v>
      </c>
      <c r="E4104" s="380" t="s">
        <v>781</v>
      </c>
      <c r="F4104" s="380" t="s">
        <v>819</v>
      </c>
      <c r="G4104" s="380" t="s">
        <v>1267</v>
      </c>
      <c r="H4104" s="380" t="s">
        <v>771</v>
      </c>
      <c r="I4104" s="380" t="s">
        <v>817</v>
      </c>
      <c r="J4104" s="380" t="s">
        <v>773</v>
      </c>
      <c r="K4104" s="381">
        <v>0.0</v>
      </c>
      <c r="L4104" s="382">
        <v>1.0</v>
      </c>
    </row>
    <row r="4105">
      <c r="A4105" s="380" t="s">
        <v>4970</v>
      </c>
      <c r="B4105" s="380" t="str">
        <f>IFERROR(__xludf.DUMMYFUNCTION("""COMPUTED_VALUE"""),"Vaselina Pura De 500 Ml Aproxi Cero")</f>
        <v>Vaselina Pura De 500 Ml Aproxi Cero</v>
      </c>
      <c r="C4105" s="380" t="str">
        <f>IFERROR(__xludf.DUMMYFUNCTION("""COMPUTED_VALUE"""),"50001799")</f>
        <v>50001799</v>
      </c>
      <c r="D4105" s="380" t="s">
        <v>767</v>
      </c>
      <c r="E4105" s="380" t="s">
        <v>781</v>
      </c>
      <c r="F4105" s="380" t="s">
        <v>819</v>
      </c>
      <c r="G4105" s="380" t="s">
        <v>1267</v>
      </c>
      <c r="H4105" s="380" t="s">
        <v>771</v>
      </c>
      <c r="I4105" s="380" t="s">
        <v>817</v>
      </c>
      <c r="J4105" s="380" t="s">
        <v>773</v>
      </c>
      <c r="K4105" s="381">
        <v>0.0</v>
      </c>
      <c r="L4105" s="382">
        <v>1.0</v>
      </c>
    </row>
    <row r="4106">
      <c r="A4106" s="380" t="s">
        <v>4971</v>
      </c>
      <c r="B4106" s="380" t="str">
        <f>IFERROR(__xludf.DUMMYFUNCTION("""COMPUTED_VALUE"""),"Correa Surtidor De Combustible Ax35bl")</f>
        <v>Correa Surtidor De Combustible Ax35bl</v>
      </c>
      <c r="C4106" s="380" t="str">
        <f>IFERROR(__xludf.DUMMYFUNCTION("""COMPUTED_VALUE"""),"50001800")</f>
        <v>50001800</v>
      </c>
      <c r="D4106" s="380" t="s">
        <v>767</v>
      </c>
      <c r="E4106" s="380" t="s">
        <v>781</v>
      </c>
      <c r="F4106" s="380" t="s">
        <v>819</v>
      </c>
      <c r="G4106" s="380" t="s">
        <v>1267</v>
      </c>
      <c r="H4106" s="380" t="s">
        <v>771</v>
      </c>
      <c r="I4106" s="380" t="s">
        <v>817</v>
      </c>
      <c r="J4106" s="380" t="s">
        <v>773</v>
      </c>
      <c r="K4106" s="381">
        <v>0.0</v>
      </c>
      <c r="L4106" s="382">
        <v>1.0</v>
      </c>
    </row>
    <row r="4107">
      <c r="A4107" s="380" t="s">
        <v>4972</v>
      </c>
      <c r="B4107" s="380" t="str">
        <f>IFERROR(__xludf.DUMMYFUNCTION("""COMPUTED_VALUE"""),"Pasta Loctite Ea3478 Superior Metal Sort")</f>
        <v>Pasta Loctite Ea3478 Superior Metal Sort</v>
      </c>
      <c r="C4107" s="380" t="str">
        <f>IFERROR(__xludf.DUMMYFUNCTION("""COMPUTED_VALUE"""),"50001801")</f>
        <v>50001801</v>
      </c>
      <c r="D4107" s="380" t="s">
        <v>767</v>
      </c>
      <c r="E4107" s="380" t="s">
        <v>781</v>
      </c>
      <c r="F4107" s="380" t="s">
        <v>819</v>
      </c>
      <c r="G4107" s="380" t="s">
        <v>1267</v>
      </c>
      <c r="H4107" s="380" t="s">
        <v>771</v>
      </c>
      <c r="I4107" s="380" t="s">
        <v>817</v>
      </c>
      <c r="J4107" s="380" t="s">
        <v>773</v>
      </c>
      <c r="K4107" s="381">
        <v>0.0</v>
      </c>
      <c r="L4107" s="382">
        <v>1.0</v>
      </c>
    </row>
    <row r="4108">
      <c r="A4108" s="380" t="s">
        <v>4973</v>
      </c>
      <c r="B4108" s="380" t="str">
        <f>IFERROR(__xludf.DUMMYFUNCTION("""COMPUTED_VALUE"""),"Racor Swivel 3/4"" MANG Surtidor Eds Con")</f>
        <v>Racor Swivel 3/4" MANG Surtidor Eds Con</v>
      </c>
      <c r="C4108" s="380" t="str">
        <f>IFERROR(__xludf.DUMMYFUNCTION("""COMPUTED_VALUE"""),"50001802")</f>
        <v>50001802</v>
      </c>
      <c r="D4108" s="380" t="s">
        <v>767</v>
      </c>
      <c r="E4108" s="380" t="s">
        <v>781</v>
      </c>
      <c r="F4108" s="380" t="s">
        <v>819</v>
      </c>
      <c r="G4108" s="380" t="s">
        <v>1267</v>
      </c>
      <c r="H4108" s="380" t="s">
        <v>771</v>
      </c>
      <c r="I4108" s="380" t="s">
        <v>817</v>
      </c>
      <c r="J4108" s="380" t="s">
        <v>773</v>
      </c>
      <c r="K4108" s="381">
        <v>0.0</v>
      </c>
      <c r="L4108" s="382">
        <v>1.0</v>
      </c>
    </row>
    <row r="4109">
      <c r="A4109" s="380" t="s">
        <v>4974</v>
      </c>
      <c r="B4109" s="380" t="str">
        <f>IFERROR(__xludf.DUMMYFUNCTION("""COMPUTED_VALUE"""),"Disco Pulidora Grano T40 7 X 7/8"" Fibrod")</f>
        <v>Disco Pulidora Grano T40 7 X 7/8" Fibrod</v>
      </c>
      <c r="C4109" s="380" t="str">
        <f>IFERROR(__xludf.DUMMYFUNCTION("""COMPUTED_VALUE"""),"50001803")</f>
        <v>50001803</v>
      </c>
      <c r="D4109" s="380" t="s">
        <v>767</v>
      </c>
      <c r="E4109" s="380" t="s">
        <v>781</v>
      </c>
      <c r="F4109" s="380" t="s">
        <v>819</v>
      </c>
      <c r="G4109" s="380" t="s">
        <v>1267</v>
      </c>
      <c r="H4109" s="380" t="s">
        <v>771</v>
      </c>
      <c r="I4109" s="380" t="s">
        <v>817</v>
      </c>
      <c r="J4109" s="380" t="s">
        <v>773</v>
      </c>
      <c r="K4109" s="381">
        <v>5355.0</v>
      </c>
      <c r="L4109" s="382">
        <v>1.0</v>
      </c>
    </row>
    <row r="4110">
      <c r="A4110" s="380" t="s">
        <v>4975</v>
      </c>
      <c r="B4110" s="380" t="str">
        <f>IFERROR(__xludf.DUMMYFUNCTION("""COMPUTED_VALUE"""),"Soldadura Aluminio Electrico 1/8""")</f>
        <v>Soldadura Aluminio Electrico 1/8"</v>
      </c>
      <c r="C4110" s="380" t="str">
        <f>IFERROR(__xludf.DUMMYFUNCTION("""COMPUTED_VALUE"""),"50001807")</f>
        <v>50001807</v>
      </c>
      <c r="D4110" s="380" t="s">
        <v>767</v>
      </c>
      <c r="E4110" s="380" t="s">
        <v>781</v>
      </c>
      <c r="F4110" s="380" t="s">
        <v>819</v>
      </c>
      <c r="G4110" s="380" t="s">
        <v>1267</v>
      </c>
      <c r="H4110" s="380" t="s">
        <v>771</v>
      </c>
      <c r="I4110" s="380" t="s">
        <v>817</v>
      </c>
      <c r="J4110" s="380" t="s">
        <v>773</v>
      </c>
      <c r="K4110" s="381">
        <v>0.0</v>
      </c>
      <c r="L4110" s="382">
        <v>1.0</v>
      </c>
    </row>
    <row r="4111">
      <c r="A4111" s="380" t="s">
        <v>4976</v>
      </c>
      <c r="B4111" s="380" t="str">
        <f>IFERROR(__xludf.DUMMYFUNCTION("""COMPUTED_VALUE"""),"Soldadura Aluminio Autogena 1/8""")</f>
        <v>Soldadura Aluminio Autogena 1/8"</v>
      </c>
      <c r="C4111" s="380" t="str">
        <f>IFERROR(__xludf.DUMMYFUNCTION("""COMPUTED_VALUE"""),"50001808")</f>
        <v>50001808</v>
      </c>
      <c r="D4111" s="380" t="s">
        <v>767</v>
      </c>
      <c r="E4111" s="380" t="s">
        <v>781</v>
      </c>
      <c r="F4111" s="380" t="s">
        <v>819</v>
      </c>
      <c r="G4111" s="380" t="s">
        <v>1267</v>
      </c>
      <c r="H4111" s="380" t="s">
        <v>771</v>
      </c>
      <c r="I4111" s="380" t="s">
        <v>817</v>
      </c>
      <c r="J4111" s="380" t="s">
        <v>773</v>
      </c>
      <c r="K4111" s="381">
        <v>952.0</v>
      </c>
      <c r="L4111" s="382">
        <v>1.0</v>
      </c>
    </row>
    <row r="4112">
      <c r="A4112" s="380" t="s">
        <v>4977</v>
      </c>
      <c r="B4112" s="380" t="str">
        <f>IFERROR(__xludf.DUMMYFUNCTION("""COMPUTED_VALUE"""),"Soldadura Bronce 1/8""")</f>
        <v>Soldadura Bronce 1/8"</v>
      </c>
      <c r="C4112" s="380" t="str">
        <f>IFERROR(__xludf.DUMMYFUNCTION("""COMPUTED_VALUE"""),"50001809")</f>
        <v>50001809</v>
      </c>
      <c r="D4112" s="380" t="s">
        <v>767</v>
      </c>
      <c r="E4112" s="380" t="s">
        <v>781</v>
      </c>
      <c r="F4112" s="380" t="s">
        <v>819</v>
      </c>
      <c r="G4112" s="380" t="s">
        <v>1267</v>
      </c>
      <c r="H4112" s="380" t="s">
        <v>771</v>
      </c>
      <c r="I4112" s="380" t="s">
        <v>817</v>
      </c>
      <c r="J4112" s="380" t="s">
        <v>773</v>
      </c>
      <c r="K4112" s="381">
        <v>14280.0</v>
      </c>
      <c r="L4112" s="382">
        <v>1.0</v>
      </c>
    </row>
    <row r="4113">
      <c r="A4113" s="380" t="s">
        <v>4978</v>
      </c>
      <c r="B4113" s="380" t="str">
        <f>IFERROR(__xludf.DUMMYFUNCTION("""COMPUTED_VALUE"""),"Soldadura Bronce 3/32""")</f>
        <v>Soldadura Bronce 3/32"</v>
      </c>
      <c r="C4113" s="380" t="str">
        <f>IFERROR(__xludf.DUMMYFUNCTION("""COMPUTED_VALUE"""),"50001810")</f>
        <v>50001810</v>
      </c>
      <c r="D4113" s="380" t="s">
        <v>767</v>
      </c>
      <c r="E4113" s="380" t="s">
        <v>781</v>
      </c>
      <c r="F4113" s="380" t="s">
        <v>819</v>
      </c>
      <c r="G4113" s="380" t="s">
        <v>1267</v>
      </c>
      <c r="H4113" s="380" t="s">
        <v>771</v>
      </c>
      <c r="I4113" s="380" t="s">
        <v>817</v>
      </c>
      <c r="J4113" s="380" t="s">
        <v>773</v>
      </c>
      <c r="K4113" s="381">
        <v>0.0</v>
      </c>
      <c r="L4113" s="382">
        <v>1.0</v>
      </c>
    </row>
    <row r="4114">
      <c r="A4114" s="380" t="s">
        <v>4979</v>
      </c>
      <c r="B4114" s="380" t="str">
        <f>IFERROR(__xludf.DUMMYFUNCTION("""COMPUTED_VALUE"""),"Soldadura Estaño Kester")</f>
        <v>Soldadura Estaño Kester</v>
      </c>
      <c r="C4114" s="380" t="str">
        <f>IFERROR(__xludf.DUMMYFUNCTION("""COMPUTED_VALUE"""),"50001811")</f>
        <v>50001811</v>
      </c>
      <c r="D4114" s="380" t="s">
        <v>767</v>
      </c>
      <c r="E4114" s="380" t="s">
        <v>781</v>
      </c>
      <c r="F4114" s="380" t="s">
        <v>819</v>
      </c>
      <c r="G4114" s="380" t="s">
        <v>1267</v>
      </c>
      <c r="H4114" s="380" t="s">
        <v>771</v>
      </c>
      <c r="I4114" s="380" t="s">
        <v>817</v>
      </c>
      <c r="J4114" s="380" t="s">
        <v>773</v>
      </c>
      <c r="K4114" s="381">
        <v>0.0</v>
      </c>
      <c r="L4114" s="382">
        <v>1.0</v>
      </c>
    </row>
    <row r="4115">
      <c r="A4115" s="380" t="s">
        <v>4980</v>
      </c>
      <c r="B4115" s="380" t="str">
        <f>IFERROR(__xludf.DUMMYFUNCTION("""COMPUTED_VALUE"""),"Soldadura Estaño 3070")</f>
        <v>Soldadura Estaño 3070</v>
      </c>
      <c r="C4115" s="380" t="str">
        <f>IFERROR(__xludf.DUMMYFUNCTION("""COMPUTED_VALUE"""),"50001812")</f>
        <v>50001812</v>
      </c>
      <c r="D4115" s="380" t="s">
        <v>767</v>
      </c>
      <c r="E4115" s="380" t="s">
        <v>781</v>
      </c>
      <c r="F4115" s="380" t="s">
        <v>819</v>
      </c>
      <c r="G4115" s="380" t="s">
        <v>1267</v>
      </c>
      <c r="H4115" s="380" t="s">
        <v>771</v>
      </c>
      <c r="I4115" s="380" t="s">
        <v>817</v>
      </c>
      <c r="J4115" s="380" t="s">
        <v>773</v>
      </c>
      <c r="K4115" s="381">
        <v>0.0</v>
      </c>
      <c r="L4115" s="382">
        <v>1.0</v>
      </c>
    </row>
    <row r="4116">
      <c r="A4116" s="380" t="s">
        <v>4981</v>
      </c>
      <c r="B4116" s="380" t="str">
        <f>IFERROR(__xludf.DUMMYFUNCTION("""COMPUTED_VALUE"""),"Soldadura Niquel 100 1/8""")</f>
        <v>Soldadura Niquel 100 1/8"</v>
      </c>
      <c r="C4116" s="380" t="str">
        <f>IFERROR(__xludf.DUMMYFUNCTION("""COMPUTED_VALUE"""),"50001813")</f>
        <v>50001813</v>
      </c>
      <c r="D4116" s="380" t="s">
        <v>767</v>
      </c>
      <c r="E4116" s="380" t="s">
        <v>781</v>
      </c>
      <c r="F4116" s="380" t="s">
        <v>819</v>
      </c>
      <c r="G4116" s="380" t="s">
        <v>1267</v>
      </c>
      <c r="H4116" s="380" t="s">
        <v>771</v>
      </c>
      <c r="I4116" s="380" t="s">
        <v>817</v>
      </c>
      <c r="J4116" s="380" t="s">
        <v>773</v>
      </c>
      <c r="K4116" s="381">
        <v>0.0</v>
      </c>
      <c r="L4116" s="382">
        <v>1.0</v>
      </c>
    </row>
    <row r="4117">
      <c r="A4117" s="380" t="s">
        <v>4982</v>
      </c>
      <c r="B4117" s="380" t="str">
        <f>IFERROR(__xludf.DUMMYFUNCTION("""COMPUTED_VALUE"""),"Soldadura Whiz 18 7018 3/32")</f>
        <v>Soldadura Whiz 18 7018 3/32</v>
      </c>
      <c r="C4117" s="380" t="str">
        <f>IFERROR(__xludf.DUMMYFUNCTION("""COMPUTED_VALUE"""),"50001815")</f>
        <v>50001815</v>
      </c>
      <c r="D4117" s="380" t="s">
        <v>767</v>
      </c>
      <c r="E4117" s="380" t="s">
        <v>781</v>
      </c>
      <c r="F4117" s="380" t="s">
        <v>819</v>
      </c>
      <c r="G4117" s="380" t="s">
        <v>1267</v>
      </c>
      <c r="H4117" s="380" t="s">
        <v>771</v>
      </c>
      <c r="I4117" s="380" t="s">
        <v>817</v>
      </c>
      <c r="J4117" s="380" t="s">
        <v>773</v>
      </c>
      <c r="K4117" s="381">
        <v>0.0</v>
      </c>
      <c r="L4117" s="382">
        <v>1.0</v>
      </c>
    </row>
    <row r="4118">
      <c r="A4118" s="380" t="s">
        <v>4983</v>
      </c>
      <c r="B4118" s="380" t="str">
        <f>IFERROR(__xludf.DUMMYFUNCTION("""COMPUTED_VALUE"""),"Soldadura Acero Plata 1/8")</f>
        <v>Soldadura Acero Plata 1/8</v>
      </c>
      <c r="C4118" s="380" t="str">
        <f>IFERROR(__xludf.DUMMYFUNCTION("""COMPUTED_VALUE"""),"50001816")</f>
        <v>50001816</v>
      </c>
      <c r="D4118" s="380" t="s">
        <v>767</v>
      </c>
      <c r="E4118" s="380" t="s">
        <v>781</v>
      </c>
      <c r="F4118" s="380" t="s">
        <v>819</v>
      </c>
      <c r="G4118" s="380" t="s">
        <v>1267</v>
      </c>
      <c r="H4118" s="380" t="s">
        <v>771</v>
      </c>
      <c r="I4118" s="380" t="s">
        <v>817</v>
      </c>
      <c r="J4118" s="380" t="s">
        <v>773</v>
      </c>
      <c r="K4118" s="381">
        <v>0.0</v>
      </c>
      <c r="L4118" s="382">
        <v>1.0</v>
      </c>
    </row>
    <row r="4119">
      <c r="A4119" s="380" t="s">
        <v>4984</v>
      </c>
      <c r="B4119" s="380" t="str">
        <f>IFERROR(__xludf.DUMMYFUNCTION("""COMPUTED_VALUE"""),"Difusor Para Mig 0.35")</f>
        <v>Difusor Para Mig 0.35</v>
      </c>
      <c r="C4119" s="380" t="str">
        <f>IFERROR(__xludf.DUMMYFUNCTION("""COMPUTED_VALUE"""),"50001817")</f>
        <v>50001817</v>
      </c>
      <c r="D4119" s="380" t="s">
        <v>767</v>
      </c>
      <c r="E4119" s="380" t="s">
        <v>781</v>
      </c>
      <c r="F4119" s="380" t="s">
        <v>819</v>
      </c>
      <c r="G4119" s="380" t="s">
        <v>1267</v>
      </c>
      <c r="H4119" s="380" t="s">
        <v>771</v>
      </c>
      <c r="I4119" s="380" t="s">
        <v>817</v>
      </c>
      <c r="J4119" s="380" t="s">
        <v>773</v>
      </c>
      <c r="K4119" s="381">
        <v>0.0</v>
      </c>
      <c r="L4119" s="382">
        <v>1.0</v>
      </c>
    </row>
    <row r="4120">
      <c r="A4120" s="380" t="s">
        <v>4985</v>
      </c>
      <c r="B4120" s="380" t="str">
        <f>IFERROR(__xludf.DUMMYFUNCTION("""COMPUTED_VALUE"""),"Tobera Para Mig 0.35")</f>
        <v>Tobera Para Mig 0.35</v>
      </c>
      <c r="C4120" s="380" t="str">
        <f>IFERROR(__xludf.DUMMYFUNCTION("""COMPUTED_VALUE"""),"50001818")</f>
        <v>50001818</v>
      </c>
      <c r="D4120" s="380" t="s">
        <v>767</v>
      </c>
      <c r="E4120" s="380" t="s">
        <v>781</v>
      </c>
      <c r="F4120" s="380" t="s">
        <v>819</v>
      </c>
      <c r="G4120" s="380" t="s">
        <v>1267</v>
      </c>
      <c r="H4120" s="380" t="s">
        <v>771</v>
      </c>
      <c r="I4120" s="380" t="s">
        <v>817</v>
      </c>
      <c r="J4120" s="380" t="s">
        <v>773</v>
      </c>
      <c r="K4120" s="381">
        <v>0.0</v>
      </c>
      <c r="L4120" s="382">
        <v>1.0</v>
      </c>
    </row>
    <row r="4121">
      <c r="A4121" s="380" t="s">
        <v>4986</v>
      </c>
      <c r="B4121" s="380" t="str">
        <f>IFERROR(__xludf.DUMMYFUNCTION("""COMPUTED_VALUE"""),"Punta Para Mig 0.35")</f>
        <v>Punta Para Mig 0.35</v>
      </c>
      <c r="C4121" s="380" t="str">
        <f>IFERROR(__xludf.DUMMYFUNCTION("""COMPUTED_VALUE"""),"50001819")</f>
        <v>50001819</v>
      </c>
      <c r="D4121" s="380" t="s">
        <v>767</v>
      </c>
      <c r="E4121" s="380" t="s">
        <v>781</v>
      </c>
      <c r="F4121" s="380" t="s">
        <v>819</v>
      </c>
      <c r="G4121" s="380" t="s">
        <v>1267</v>
      </c>
      <c r="H4121" s="380" t="s">
        <v>771</v>
      </c>
      <c r="I4121" s="380" t="s">
        <v>817</v>
      </c>
      <c r="J4121" s="380" t="s">
        <v>773</v>
      </c>
      <c r="K4121" s="381">
        <v>0.0</v>
      </c>
      <c r="L4121" s="382">
        <v>1.0</v>
      </c>
    </row>
    <row r="4122">
      <c r="A4122" s="380" t="s">
        <v>4987</v>
      </c>
      <c r="B4122" s="380" t="str">
        <f>IFERROR(__xludf.DUMMYFUNCTION("""COMPUTED_VALUE"""),"Remache Pop C. Grande 3/16 X 1/2")</f>
        <v>Remache Pop C. Grande 3/16 X 1/2</v>
      </c>
      <c r="C4122" s="380" t="str">
        <f>IFERROR(__xludf.DUMMYFUNCTION("""COMPUTED_VALUE"""),"50001820")</f>
        <v>50001820</v>
      </c>
      <c r="D4122" s="380" t="s">
        <v>767</v>
      </c>
      <c r="E4122" s="380" t="s">
        <v>781</v>
      </c>
      <c r="F4122" s="380" t="s">
        <v>819</v>
      </c>
      <c r="G4122" s="380" t="s">
        <v>1267</v>
      </c>
      <c r="H4122" s="380" t="s">
        <v>771</v>
      </c>
      <c r="I4122" s="380" t="s">
        <v>817</v>
      </c>
      <c r="J4122" s="380" t="s">
        <v>773</v>
      </c>
      <c r="K4122" s="381">
        <v>0.0</v>
      </c>
      <c r="L4122" s="382">
        <v>1.0</v>
      </c>
    </row>
    <row r="4123">
      <c r="A4123" s="380" t="s">
        <v>4988</v>
      </c>
      <c r="B4123" s="380" t="str">
        <f>IFERROR(__xludf.DUMMYFUNCTION("""COMPUTED_VALUE"""),"Remache Pop C. Grande 3/16 X 3/4")</f>
        <v>Remache Pop C. Grande 3/16 X 3/4</v>
      </c>
      <c r="C4123" s="380" t="str">
        <f>IFERROR(__xludf.DUMMYFUNCTION("""COMPUTED_VALUE"""),"50001821")</f>
        <v>50001821</v>
      </c>
      <c r="D4123" s="380" t="s">
        <v>767</v>
      </c>
      <c r="E4123" s="380" t="s">
        <v>781</v>
      </c>
      <c r="F4123" s="380" t="s">
        <v>819</v>
      </c>
      <c r="G4123" s="380" t="s">
        <v>1267</v>
      </c>
      <c r="H4123" s="380" t="s">
        <v>771</v>
      </c>
      <c r="I4123" s="380" t="s">
        <v>817</v>
      </c>
      <c r="J4123" s="380" t="s">
        <v>773</v>
      </c>
      <c r="K4123" s="381">
        <v>277.0</v>
      </c>
      <c r="L4123" s="382">
        <v>1.0</v>
      </c>
    </row>
    <row r="4124">
      <c r="A4124" s="380" t="s">
        <v>4989</v>
      </c>
      <c r="B4124" s="380" t="str">
        <f>IFERROR(__xludf.DUMMYFUNCTION("""COMPUTED_VALUE"""),"Remache Pop Ciego Standar 500 1/8 X 1/2""")</f>
        <v>Remache Pop Ciego Standar 500 1/8 X 1/2"</v>
      </c>
      <c r="C4124" s="380" t="str">
        <f>IFERROR(__xludf.DUMMYFUNCTION("""COMPUTED_VALUE"""),"50001822")</f>
        <v>50001822</v>
      </c>
      <c r="D4124" s="380" t="s">
        <v>767</v>
      </c>
      <c r="E4124" s="380" t="s">
        <v>781</v>
      </c>
      <c r="F4124" s="380" t="s">
        <v>819</v>
      </c>
      <c r="G4124" s="380" t="s">
        <v>1267</v>
      </c>
      <c r="H4124" s="380" t="s">
        <v>771</v>
      </c>
      <c r="I4124" s="380" t="s">
        <v>817</v>
      </c>
      <c r="J4124" s="380" t="s">
        <v>773</v>
      </c>
      <c r="K4124" s="381">
        <v>0.0</v>
      </c>
      <c r="L4124" s="382">
        <v>1.0</v>
      </c>
    </row>
    <row r="4125">
      <c r="A4125" s="380" t="s">
        <v>4990</v>
      </c>
      <c r="B4125" s="380" t="str">
        <f>IFERROR(__xludf.DUMMYFUNCTION("""COMPUTED_VALUE"""),"Anillo Y Refuerzo De 5/8 Sinflex")</f>
        <v>Anillo Y Refuerzo De 5/8 Sinflex</v>
      </c>
      <c r="C4125" s="380" t="str">
        <f>IFERROR(__xludf.DUMMYFUNCTION("""COMPUTED_VALUE"""),"50001823")</f>
        <v>50001823</v>
      </c>
      <c r="D4125" s="380" t="s">
        <v>767</v>
      </c>
      <c r="E4125" s="380" t="s">
        <v>781</v>
      </c>
      <c r="F4125" s="380" t="s">
        <v>819</v>
      </c>
      <c r="G4125" s="380" t="s">
        <v>1267</v>
      </c>
      <c r="H4125" s="380" t="s">
        <v>771</v>
      </c>
      <c r="I4125" s="380" t="s">
        <v>817</v>
      </c>
      <c r="J4125" s="380" t="s">
        <v>773</v>
      </c>
      <c r="K4125" s="381">
        <v>0.0</v>
      </c>
      <c r="L4125" s="382">
        <v>1.0</v>
      </c>
    </row>
    <row r="4126">
      <c r="A4126" s="380" t="s">
        <v>4991</v>
      </c>
      <c r="B4126" s="380" t="str">
        <f>IFERROR(__xludf.DUMMYFUNCTION("""COMPUTED_VALUE"""),"Anillo Y Refuerzo De 1/4 Sinflex")</f>
        <v>Anillo Y Refuerzo De 1/4 Sinflex</v>
      </c>
      <c r="C4126" s="380" t="str">
        <f>IFERROR(__xludf.DUMMYFUNCTION("""COMPUTED_VALUE"""),"50001824")</f>
        <v>50001824</v>
      </c>
      <c r="D4126" s="380" t="s">
        <v>767</v>
      </c>
      <c r="E4126" s="380" t="s">
        <v>781</v>
      </c>
      <c r="F4126" s="380" t="s">
        <v>819</v>
      </c>
      <c r="G4126" s="380" t="s">
        <v>1267</v>
      </c>
      <c r="H4126" s="380" t="s">
        <v>771</v>
      </c>
      <c r="I4126" s="380" t="s">
        <v>817</v>
      </c>
      <c r="J4126" s="380" t="s">
        <v>773</v>
      </c>
      <c r="K4126" s="381">
        <v>0.0</v>
      </c>
      <c r="L4126" s="382">
        <v>1.0</v>
      </c>
    </row>
    <row r="4127">
      <c r="A4127" s="380" t="s">
        <v>4992</v>
      </c>
      <c r="B4127" s="380" t="str">
        <f>IFERROR(__xludf.DUMMYFUNCTION("""COMPUTED_VALUE"""),"Punta Estrella Cuadrante 1/4 X 1")</f>
        <v>Punta Estrella Cuadrante 1/4 X 1</v>
      </c>
      <c r="C4127" s="380" t="str">
        <f>IFERROR(__xludf.DUMMYFUNCTION("""COMPUTED_VALUE"""),"50001825")</f>
        <v>50001825</v>
      </c>
      <c r="D4127" s="380" t="s">
        <v>767</v>
      </c>
      <c r="E4127" s="380" t="s">
        <v>781</v>
      </c>
      <c r="F4127" s="380" t="s">
        <v>819</v>
      </c>
      <c r="G4127" s="380" t="s">
        <v>1267</v>
      </c>
      <c r="H4127" s="380" t="s">
        <v>771</v>
      </c>
      <c r="I4127" s="380" t="s">
        <v>817</v>
      </c>
      <c r="J4127" s="380" t="s">
        <v>773</v>
      </c>
      <c r="K4127" s="381">
        <v>0.0</v>
      </c>
      <c r="L4127" s="382">
        <v>1.0</v>
      </c>
    </row>
    <row r="4128">
      <c r="A4128" s="380" t="s">
        <v>4993</v>
      </c>
      <c r="B4128" s="380" t="str">
        <f>IFERROR(__xludf.DUMMYFUNCTION("""COMPUTED_VALUE"""),"Rodachina Carro Mecanicos 2""")</f>
        <v>Rodachina Carro Mecanicos 2"</v>
      </c>
      <c r="C4128" s="380" t="str">
        <f>IFERROR(__xludf.DUMMYFUNCTION("""COMPUTED_VALUE"""),"50001826")</f>
        <v>50001826</v>
      </c>
      <c r="D4128" s="380" t="s">
        <v>767</v>
      </c>
      <c r="E4128" s="380" t="s">
        <v>781</v>
      </c>
      <c r="F4128" s="380" t="s">
        <v>819</v>
      </c>
      <c r="G4128" s="380" t="s">
        <v>1267</v>
      </c>
      <c r="H4128" s="380" t="s">
        <v>771</v>
      </c>
      <c r="I4128" s="380" t="s">
        <v>817</v>
      </c>
      <c r="J4128" s="380" t="s">
        <v>773</v>
      </c>
      <c r="K4128" s="381">
        <v>0.0</v>
      </c>
      <c r="L4128" s="382">
        <v>1.0</v>
      </c>
    </row>
    <row r="4129">
      <c r="A4129" s="380" t="s">
        <v>4994</v>
      </c>
      <c r="B4129" s="380" t="str">
        <f>IFERROR(__xludf.DUMMYFUNCTION("""COMPUTED_VALUE"""),"Tornillo De 3/16 X 2 Con Tuerca Y Arande")</f>
        <v>Tornillo De 3/16 X 2 Con Tuerca Y Arande</v>
      </c>
      <c r="C4129" s="380" t="str">
        <f>IFERROR(__xludf.DUMMYFUNCTION("""COMPUTED_VALUE"""),"50001827")</f>
        <v>50001827</v>
      </c>
      <c r="D4129" s="380" t="s">
        <v>767</v>
      </c>
      <c r="E4129" s="380" t="s">
        <v>781</v>
      </c>
      <c r="F4129" s="380" t="s">
        <v>819</v>
      </c>
      <c r="G4129" s="380" t="s">
        <v>1267</v>
      </c>
      <c r="H4129" s="380" t="s">
        <v>771</v>
      </c>
      <c r="I4129" s="380" t="s">
        <v>817</v>
      </c>
      <c r="J4129" s="380" t="s">
        <v>773</v>
      </c>
      <c r="K4129" s="381">
        <v>0.0</v>
      </c>
      <c r="L4129" s="382">
        <v>1.0</v>
      </c>
    </row>
    <row r="4130">
      <c r="A4130" s="380" t="s">
        <v>4995</v>
      </c>
      <c r="B4130" s="380" t="str">
        <f>IFERROR(__xludf.DUMMYFUNCTION("""COMPUTED_VALUE"""),"Valvula Cheque Retencion Para Compresor")</f>
        <v>Valvula Cheque Retencion Para Compresor</v>
      </c>
      <c r="C4130" s="380" t="str">
        <f>IFERROR(__xludf.DUMMYFUNCTION("""COMPUTED_VALUE"""),"50001828")</f>
        <v>50001828</v>
      </c>
      <c r="D4130" s="380" t="s">
        <v>767</v>
      </c>
      <c r="E4130" s="380" t="s">
        <v>781</v>
      </c>
      <c r="F4130" s="380" t="s">
        <v>819</v>
      </c>
      <c r="G4130" s="380" t="s">
        <v>1267</v>
      </c>
      <c r="H4130" s="380" t="s">
        <v>771</v>
      </c>
      <c r="I4130" s="380" t="s">
        <v>817</v>
      </c>
      <c r="J4130" s="380" t="s">
        <v>773</v>
      </c>
      <c r="K4130" s="381">
        <v>0.0</v>
      </c>
      <c r="L4130" s="382">
        <v>1.0</v>
      </c>
    </row>
    <row r="4131">
      <c r="A4131" s="380" t="s">
        <v>4996</v>
      </c>
      <c r="B4131" s="380" t="str">
        <f>IFERROR(__xludf.DUMMYFUNCTION("""COMPUTED_VALUE"""),"Sikaflex Fix Blanca 30ml 221")</f>
        <v>Sikaflex Fix Blanca 30ml 221</v>
      </c>
      <c r="C4131" s="380" t="str">
        <f>IFERROR(__xludf.DUMMYFUNCTION("""COMPUTED_VALUE"""),"50001830")</f>
        <v>50001830</v>
      </c>
      <c r="D4131" s="380" t="s">
        <v>767</v>
      </c>
      <c r="E4131" s="380" t="s">
        <v>781</v>
      </c>
      <c r="F4131" s="380" t="s">
        <v>819</v>
      </c>
      <c r="G4131" s="380" t="s">
        <v>1267</v>
      </c>
      <c r="H4131" s="380" t="s">
        <v>771</v>
      </c>
      <c r="I4131" s="380" t="s">
        <v>817</v>
      </c>
      <c r="J4131" s="380" t="s">
        <v>773</v>
      </c>
      <c r="K4131" s="381">
        <v>41268.0</v>
      </c>
      <c r="L4131" s="382">
        <v>1.0</v>
      </c>
    </row>
    <row r="4132">
      <c r="A4132" s="380" t="s">
        <v>4997</v>
      </c>
      <c r="B4132" s="380" t="str">
        <f>IFERROR(__xludf.DUMMYFUNCTION("""COMPUTED_VALUE"""),"Silicona Blanca 310ml")</f>
        <v>Silicona Blanca 310ml</v>
      </c>
      <c r="C4132" s="380" t="str">
        <f>IFERROR(__xludf.DUMMYFUNCTION("""COMPUTED_VALUE"""),"50001831")</f>
        <v>50001831</v>
      </c>
      <c r="D4132" s="380" t="s">
        <v>767</v>
      </c>
      <c r="E4132" s="380" t="s">
        <v>781</v>
      </c>
      <c r="F4132" s="380" t="s">
        <v>819</v>
      </c>
      <c r="G4132" s="380" t="s">
        <v>1267</v>
      </c>
      <c r="H4132" s="380" t="s">
        <v>771</v>
      </c>
      <c r="I4132" s="380" t="s">
        <v>817</v>
      </c>
      <c r="J4132" s="380" t="s">
        <v>773</v>
      </c>
      <c r="K4132" s="381">
        <v>0.0</v>
      </c>
      <c r="L4132" s="382">
        <v>1.0</v>
      </c>
    </row>
    <row r="4133">
      <c r="A4133" s="380" t="s">
        <v>4998</v>
      </c>
      <c r="B4133" s="380" t="str">
        <f>IFERROR(__xludf.DUMMYFUNCTION("""COMPUTED_VALUE"""),"Silicona Roja Automotriz")</f>
        <v>Silicona Roja Automotriz</v>
      </c>
      <c r="C4133" s="380" t="str">
        <f>IFERROR(__xludf.DUMMYFUNCTION("""COMPUTED_VALUE"""),"50001832")</f>
        <v>50001832</v>
      </c>
      <c r="D4133" s="380" t="s">
        <v>767</v>
      </c>
      <c r="E4133" s="380" t="s">
        <v>781</v>
      </c>
      <c r="F4133" s="380" t="s">
        <v>819</v>
      </c>
      <c r="G4133" s="380" t="s">
        <v>1267</v>
      </c>
      <c r="H4133" s="380" t="s">
        <v>771</v>
      </c>
      <c r="I4133" s="380" t="s">
        <v>817</v>
      </c>
      <c r="J4133" s="380" t="s">
        <v>773</v>
      </c>
      <c r="K4133" s="381">
        <v>0.0</v>
      </c>
      <c r="L4133" s="382">
        <v>1.0</v>
      </c>
    </row>
    <row r="4134">
      <c r="A4134" s="380" t="s">
        <v>4999</v>
      </c>
      <c r="B4134" s="380" t="str">
        <f>IFERROR(__xludf.DUMMYFUNCTION("""COMPUTED_VALUE"""),"Silicona Transparente 310 Ml")</f>
        <v>Silicona Transparente 310 Ml</v>
      </c>
      <c r="C4134" s="380" t="str">
        <f>IFERROR(__xludf.DUMMYFUNCTION("""COMPUTED_VALUE"""),"50001833")</f>
        <v>50001833</v>
      </c>
      <c r="D4134" s="380" t="s">
        <v>767</v>
      </c>
      <c r="E4134" s="380" t="s">
        <v>781</v>
      </c>
      <c r="F4134" s="380" t="s">
        <v>819</v>
      </c>
      <c r="G4134" s="380" t="s">
        <v>1267</v>
      </c>
      <c r="H4134" s="380" t="s">
        <v>771</v>
      </c>
      <c r="I4134" s="380" t="s">
        <v>817</v>
      </c>
      <c r="J4134" s="380" t="s">
        <v>773</v>
      </c>
      <c r="K4134" s="381">
        <v>0.0</v>
      </c>
      <c r="L4134" s="382">
        <v>1.0</v>
      </c>
    </row>
    <row r="4135">
      <c r="A4135" s="380" t="s">
        <v>5000</v>
      </c>
      <c r="B4135" s="380" t="str">
        <f>IFERROR(__xludf.DUMMYFUNCTION("""COMPUTED_VALUE"""),"Tornillo De 3/16 X 1 Con Tuerca Y Arande")</f>
        <v>Tornillo De 3/16 X 1 Con Tuerca Y Arande</v>
      </c>
      <c r="C4135" s="380" t="str">
        <f>IFERROR(__xludf.DUMMYFUNCTION("""COMPUTED_VALUE"""),"50001834")</f>
        <v>50001834</v>
      </c>
      <c r="D4135" s="380" t="s">
        <v>767</v>
      </c>
      <c r="E4135" s="380" t="s">
        <v>781</v>
      </c>
      <c r="F4135" s="380" t="s">
        <v>819</v>
      </c>
      <c r="G4135" s="380" t="s">
        <v>1267</v>
      </c>
      <c r="H4135" s="380" t="s">
        <v>771</v>
      </c>
      <c r="I4135" s="380" t="s">
        <v>817</v>
      </c>
      <c r="J4135" s="380" t="s">
        <v>773</v>
      </c>
      <c r="K4135" s="381">
        <v>0.0</v>
      </c>
      <c r="L4135" s="382">
        <v>1.0</v>
      </c>
    </row>
    <row r="4136">
      <c r="A4136" s="380" t="s">
        <v>5001</v>
      </c>
      <c r="B4136" s="380" t="str">
        <f>IFERROR(__xludf.DUMMYFUNCTION("""COMPUTED_VALUE"""),"Soldadura 680 1/8""")</f>
        <v>Soldadura 680 1/8"</v>
      </c>
      <c r="C4136" s="380" t="str">
        <f>IFERROR(__xludf.DUMMYFUNCTION("""COMPUTED_VALUE"""),"50001835")</f>
        <v>50001835</v>
      </c>
      <c r="D4136" s="380" t="s">
        <v>767</v>
      </c>
      <c r="E4136" s="380" t="s">
        <v>781</v>
      </c>
      <c r="F4136" s="380" t="s">
        <v>819</v>
      </c>
      <c r="G4136" s="380" t="s">
        <v>1267</v>
      </c>
      <c r="H4136" s="380" t="s">
        <v>771</v>
      </c>
      <c r="I4136" s="380" t="s">
        <v>817</v>
      </c>
      <c r="J4136" s="380" t="s">
        <v>773</v>
      </c>
      <c r="K4136" s="381">
        <v>0.0</v>
      </c>
      <c r="L4136" s="382">
        <v>1.0</v>
      </c>
    </row>
    <row r="4137">
      <c r="A4137" s="380" t="s">
        <v>5002</v>
      </c>
      <c r="B4137" s="380" t="str">
        <f>IFERROR(__xludf.DUMMYFUNCTION("""COMPUTED_VALUE"""),"Steel/Pegante Industrial 4787")</f>
        <v>Steel/Pegante Industrial 4787</v>
      </c>
      <c r="C4137" s="380" t="str">
        <f>IFERROR(__xludf.DUMMYFUNCTION("""COMPUTED_VALUE"""),"50001836")</f>
        <v>50001836</v>
      </c>
      <c r="D4137" s="380" t="s">
        <v>767</v>
      </c>
      <c r="E4137" s="380" t="s">
        <v>781</v>
      </c>
      <c r="F4137" s="380" t="s">
        <v>819</v>
      </c>
      <c r="G4137" s="380" t="s">
        <v>1267</v>
      </c>
      <c r="H4137" s="380" t="s">
        <v>771</v>
      </c>
      <c r="I4137" s="380" t="s">
        <v>817</v>
      </c>
      <c r="J4137" s="380" t="s">
        <v>773</v>
      </c>
      <c r="K4137" s="381">
        <v>0.0</v>
      </c>
      <c r="L4137" s="382">
        <v>1.0</v>
      </c>
    </row>
    <row r="4138">
      <c r="A4138" s="380" t="s">
        <v>5003</v>
      </c>
      <c r="B4138" s="380" t="str">
        <f>IFERROR(__xludf.DUMMYFUNCTION("""COMPUTED_VALUE"""),"Disco Corte Madera 7 1/4")</f>
        <v>Disco Corte Madera 7 1/4</v>
      </c>
      <c r="C4138" s="380" t="str">
        <f>IFERROR(__xludf.DUMMYFUNCTION("""COMPUTED_VALUE"""),"50001837")</f>
        <v>50001837</v>
      </c>
      <c r="D4138" s="380" t="s">
        <v>767</v>
      </c>
      <c r="E4138" s="380" t="s">
        <v>781</v>
      </c>
      <c r="F4138" s="380" t="s">
        <v>819</v>
      </c>
      <c r="G4138" s="380" t="s">
        <v>1267</v>
      </c>
      <c r="H4138" s="380" t="s">
        <v>771</v>
      </c>
      <c r="I4138" s="380" t="s">
        <v>817</v>
      </c>
      <c r="J4138" s="380" t="s">
        <v>773</v>
      </c>
      <c r="K4138" s="381">
        <v>0.0</v>
      </c>
      <c r="L4138" s="382">
        <v>1.0</v>
      </c>
    </row>
    <row r="4139">
      <c r="A4139" s="380" t="s">
        <v>5004</v>
      </c>
      <c r="B4139" s="380" t="str">
        <f>IFERROR(__xludf.DUMMYFUNCTION("""COMPUTED_VALUE"""),"Hielo Seco")</f>
        <v>Hielo Seco</v>
      </c>
      <c r="C4139" s="380" t="str">
        <f>IFERROR(__xludf.DUMMYFUNCTION("""COMPUTED_VALUE"""),"50001838")</f>
        <v>50001838</v>
      </c>
      <c r="D4139" s="380" t="s">
        <v>767</v>
      </c>
      <c r="E4139" s="380" t="s">
        <v>781</v>
      </c>
      <c r="F4139" s="380" t="s">
        <v>819</v>
      </c>
      <c r="G4139" s="380" t="s">
        <v>1267</v>
      </c>
      <c r="H4139" s="380" t="s">
        <v>771</v>
      </c>
      <c r="I4139" s="380" t="s">
        <v>817</v>
      </c>
      <c r="J4139" s="380" t="s">
        <v>773</v>
      </c>
      <c r="K4139" s="381">
        <v>0.0</v>
      </c>
      <c r="L4139" s="382">
        <v>1.0</v>
      </c>
    </row>
    <row r="4140">
      <c r="A4140" s="380" t="s">
        <v>5005</v>
      </c>
      <c r="B4140" s="380" t="str">
        <f>IFERROR(__xludf.DUMMYFUNCTION("""COMPUTED_VALUE"""),"Wed Sep 01 8213 00:00:00 GMT-0500 (hora")</f>
        <v>Wed Sep 01 8213 00:00:00 GMT-0500 (hora</v>
      </c>
      <c r="C4140" s="380" t="str">
        <f>IFERROR(__xludf.DUMMYFUNCTION("""COMPUTED_VALUE"""),"50001839")</f>
        <v>50001839</v>
      </c>
      <c r="D4140" s="380" t="s">
        <v>767</v>
      </c>
      <c r="E4140" s="380" t="s">
        <v>781</v>
      </c>
      <c r="F4140" s="380" t="s">
        <v>819</v>
      </c>
      <c r="G4140" s="380" t="s">
        <v>1267</v>
      </c>
      <c r="H4140" s="380" t="s">
        <v>771</v>
      </c>
      <c r="I4140" s="380" t="s">
        <v>817</v>
      </c>
      <c r="J4140" s="380" t="s">
        <v>773</v>
      </c>
      <c r="K4140" s="381">
        <v>147560.0</v>
      </c>
      <c r="L4140" s="382">
        <v>1.0</v>
      </c>
    </row>
    <row r="4141">
      <c r="A4141" s="380" t="s">
        <v>5006</v>
      </c>
      <c r="B4141" s="380" t="str">
        <f>IFERROR(__xludf.DUMMYFUNCTION("""COMPUTED_VALUE"""),"Sun Sep 01 8211 00:00:00 GMT-0500 (hora")</f>
        <v>Sun Sep 01 8211 00:00:00 GMT-0500 (hora</v>
      </c>
      <c r="C4141" s="380" t="str">
        <f>IFERROR(__xludf.DUMMYFUNCTION("""COMPUTED_VALUE"""),"50001840")</f>
        <v>50001840</v>
      </c>
      <c r="D4141" s="380" t="s">
        <v>767</v>
      </c>
      <c r="E4141" s="380" t="s">
        <v>781</v>
      </c>
      <c r="F4141" s="380" t="s">
        <v>819</v>
      </c>
      <c r="G4141" s="380" t="s">
        <v>1267</v>
      </c>
      <c r="H4141" s="380" t="s">
        <v>771</v>
      </c>
      <c r="I4141" s="380" t="s">
        <v>817</v>
      </c>
      <c r="J4141" s="380" t="s">
        <v>773</v>
      </c>
      <c r="K4141" s="381">
        <v>0.0</v>
      </c>
      <c r="L4141" s="382">
        <v>1.0</v>
      </c>
    </row>
    <row r="4142">
      <c r="A4142" s="380" t="s">
        <v>5007</v>
      </c>
      <c r="B4142" s="380" t="str">
        <f>IFERROR(__xludf.DUMMYFUNCTION("""COMPUTED_VALUE"""),"Fri Sep 01 8215 00:00:00 GMT-0500 (hora")</f>
        <v>Fri Sep 01 8215 00:00:00 GMT-0500 (hora</v>
      </c>
      <c r="C4142" s="380" t="str">
        <f>IFERROR(__xludf.DUMMYFUNCTION("""COMPUTED_VALUE"""),"50001841")</f>
        <v>50001841</v>
      </c>
      <c r="D4142" s="380" t="s">
        <v>767</v>
      </c>
      <c r="E4142" s="380" t="s">
        <v>781</v>
      </c>
      <c r="F4142" s="380" t="s">
        <v>819</v>
      </c>
      <c r="G4142" s="380" t="s">
        <v>1267</v>
      </c>
      <c r="H4142" s="380" t="s">
        <v>771</v>
      </c>
      <c r="I4142" s="380" t="s">
        <v>817</v>
      </c>
      <c r="J4142" s="380" t="s">
        <v>773</v>
      </c>
      <c r="K4142" s="381">
        <v>43435.0</v>
      </c>
      <c r="L4142" s="382">
        <v>1.0</v>
      </c>
    </row>
    <row r="4143">
      <c r="A4143" s="380" t="s">
        <v>5008</v>
      </c>
      <c r="B4143" s="380" t="str">
        <f>IFERROR(__xludf.DUMMYFUNCTION("""COMPUTED_VALUE"""),"Thu Sep 01 8281 00:00:00 GMT-0500 (hora")</f>
        <v>Thu Sep 01 8281 00:00:00 GMT-0500 (hora</v>
      </c>
      <c r="C4143" s="380" t="str">
        <f>IFERROR(__xludf.DUMMYFUNCTION("""COMPUTED_VALUE"""),"50001842")</f>
        <v>50001842</v>
      </c>
      <c r="D4143" s="380" t="s">
        <v>767</v>
      </c>
      <c r="E4143" s="380" t="s">
        <v>781</v>
      </c>
      <c r="F4143" s="380" t="s">
        <v>819</v>
      </c>
      <c r="G4143" s="380" t="s">
        <v>1267</v>
      </c>
      <c r="H4143" s="380" t="s">
        <v>771</v>
      </c>
      <c r="I4143" s="380" t="s">
        <v>817</v>
      </c>
      <c r="J4143" s="380" t="s">
        <v>773</v>
      </c>
      <c r="K4143" s="381">
        <v>168504.0</v>
      </c>
      <c r="L4143" s="382">
        <v>1.0</v>
      </c>
    </row>
    <row r="4144">
      <c r="A4144" s="380" t="s">
        <v>5009</v>
      </c>
      <c r="B4144" s="380" t="str">
        <f>IFERROR(__xludf.DUMMYFUNCTION("""COMPUTED_VALUE"""),"Rueda 4 X 1 1/8 Pu 6019360 Ims")</f>
        <v>Rueda 4 X 1 1/8 Pu 6019360 Ims</v>
      </c>
      <c r="C4144" s="380" t="str">
        <f>IFERROR(__xludf.DUMMYFUNCTION("""COMPUTED_VALUE"""),"50001843")</f>
        <v>50001843</v>
      </c>
      <c r="D4144" s="380" t="s">
        <v>767</v>
      </c>
      <c r="E4144" s="380" t="s">
        <v>781</v>
      </c>
      <c r="F4144" s="380" t="s">
        <v>819</v>
      </c>
      <c r="G4144" s="380" t="s">
        <v>1267</v>
      </c>
      <c r="H4144" s="380" t="s">
        <v>771</v>
      </c>
      <c r="I4144" s="380" t="s">
        <v>817</v>
      </c>
      <c r="J4144" s="380" t="s">
        <v>773</v>
      </c>
      <c r="K4144" s="381">
        <v>53854.0</v>
      </c>
      <c r="L4144" s="382">
        <v>1.0</v>
      </c>
    </row>
    <row r="4145">
      <c r="A4145" s="380" t="s">
        <v>5010</v>
      </c>
      <c r="B4145" s="380" t="str">
        <f>IFERROR(__xludf.DUMMYFUNCTION("""COMPUTED_VALUE"""),"Pomada Para Estañar")</f>
        <v>Pomada Para Estañar</v>
      </c>
      <c r="C4145" s="380" t="str">
        <f>IFERROR(__xludf.DUMMYFUNCTION("""COMPUTED_VALUE"""),"50001844")</f>
        <v>50001844</v>
      </c>
      <c r="D4145" s="380" t="s">
        <v>767</v>
      </c>
      <c r="E4145" s="380" t="s">
        <v>781</v>
      </c>
      <c r="F4145" s="380" t="s">
        <v>819</v>
      </c>
      <c r="G4145" s="380" t="s">
        <v>1267</v>
      </c>
      <c r="H4145" s="380" t="s">
        <v>771</v>
      </c>
      <c r="I4145" s="380" t="s">
        <v>817</v>
      </c>
      <c r="J4145" s="380" t="s">
        <v>773</v>
      </c>
      <c r="K4145" s="381">
        <v>0.0</v>
      </c>
      <c r="L4145" s="382">
        <v>1.0</v>
      </c>
    </row>
    <row r="4146">
      <c r="A4146" s="380" t="s">
        <v>5011</v>
      </c>
      <c r="B4146" s="380" t="str">
        <f>IFERROR(__xludf.DUMMYFUNCTION("""COMPUTED_VALUE"""),"Fundente De Aluminio 8 Onzas")</f>
        <v>Fundente De Aluminio 8 Onzas</v>
      </c>
      <c r="C4146" s="380" t="str">
        <f>IFERROR(__xludf.DUMMYFUNCTION("""COMPUTED_VALUE"""),"50001845")</f>
        <v>50001845</v>
      </c>
      <c r="D4146" s="380" t="s">
        <v>767</v>
      </c>
      <c r="E4146" s="380" t="s">
        <v>781</v>
      </c>
      <c r="F4146" s="380" t="s">
        <v>819</v>
      </c>
      <c r="G4146" s="380" t="s">
        <v>1267</v>
      </c>
      <c r="H4146" s="380" t="s">
        <v>771</v>
      </c>
      <c r="I4146" s="380" t="s">
        <v>817</v>
      </c>
      <c r="J4146" s="380" t="s">
        <v>773</v>
      </c>
      <c r="K4146" s="381">
        <v>0.0</v>
      </c>
      <c r="L4146" s="382">
        <v>1.0</v>
      </c>
    </row>
    <row r="4147">
      <c r="A4147" s="380" t="s">
        <v>5012</v>
      </c>
      <c r="B4147" s="380" t="str">
        <f>IFERROR(__xludf.DUMMYFUNCTION("""COMPUTED_VALUE"""),"Punta Para Estañar")</f>
        <v>Punta Para Estañar</v>
      </c>
      <c r="C4147" s="380" t="str">
        <f>IFERROR(__xludf.DUMMYFUNCTION("""COMPUTED_VALUE"""),"50001846")</f>
        <v>50001846</v>
      </c>
      <c r="D4147" s="380" t="s">
        <v>767</v>
      </c>
      <c r="E4147" s="380" t="s">
        <v>781</v>
      </c>
      <c r="F4147" s="380" t="s">
        <v>819</v>
      </c>
      <c r="G4147" s="380" t="s">
        <v>1267</v>
      </c>
      <c r="H4147" s="380" t="s">
        <v>771</v>
      </c>
      <c r="I4147" s="380" t="s">
        <v>817</v>
      </c>
      <c r="J4147" s="380" t="s">
        <v>773</v>
      </c>
      <c r="K4147" s="381">
        <v>0.0</v>
      </c>
      <c r="L4147" s="382">
        <v>1.0</v>
      </c>
    </row>
    <row r="4148">
      <c r="A4148" s="380" t="s">
        <v>5013</v>
      </c>
      <c r="B4148" s="380" t="str">
        <f>IFERROR(__xludf.DUMMYFUNCTION("""COMPUTED_VALUE"""),"Soporte Giratorio Rueda Carreta Taller")</f>
        <v>Soporte Giratorio Rueda Carreta Taller</v>
      </c>
      <c r="C4148" s="380" t="str">
        <f>IFERROR(__xludf.DUMMYFUNCTION("""COMPUTED_VALUE"""),"50001847")</f>
        <v>50001847</v>
      </c>
      <c r="D4148" s="380" t="s">
        <v>767</v>
      </c>
      <c r="E4148" s="380" t="s">
        <v>781</v>
      </c>
      <c r="F4148" s="380" t="s">
        <v>819</v>
      </c>
      <c r="G4148" s="380" t="s">
        <v>1267</v>
      </c>
      <c r="H4148" s="380" t="s">
        <v>771</v>
      </c>
      <c r="I4148" s="380" t="s">
        <v>817</v>
      </c>
      <c r="J4148" s="380" t="s">
        <v>773</v>
      </c>
      <c r="K4148" s="381">
        <v>0.0</v>
      </c>
      <c r="L4148" s="382">
        <v>1.0</v>
      </c>
    </row>
    <row r="4149">
      <c r="A4149" s="380" t="s">
        <v>5014</v>
      </c>
      <c r="B4149" s="380" t="str">
        <f>IFERROR(__xludf.DUMMYFUNCTION("""COMPUTED_VALUE"""),"Remache Aluminio Sol 1/4 X 1/2""")</f>
        <v>Remache Aluminio Sol 1/4 X 1/2"</v>
      </c>
      <c r="C4149" s="380" t="str">
        <f>IFERROR(__xludf.DUMMYFUNCTION("""COMPUTED_VALUE"""),"50001849")</f>
        <v>50001849</v>
      </c>
      <c r="D4149" s="380" t="s">
        <v>767</v>
      </c>
      <c r="E4149" s="380" t="s">
        <v>781</v>
      </c>
      <c r="F4149" s="380" t="s">
        <v>819</v>
      </c>
      <c r="G4149" s="380" t="s">
        <v>1267</v>
      </c>
      <c r="H4149" s="380" t="s">
        <v>771</v>
      </c>
      <c r="I4149" s="380" t="s">
        <v>817</v>
      </c>
      <c r="J4149" s="380" t="s">
        <v>773</v>
      </c>
      <c r="K4149" s="381">
        <v>0.0</v>
      </c>
      <c r="L4149" s="382">
        <v>1.0</v>
      </c>
    </row>
    <row r="4150">
      <c r="A4150" s="380" t="s">
        <v>5015</v>
      </c>
      <c r="B4150" s="380" t="str">
        <f>IFERROR(__xludf.DUMMYFUNCTION("""COMPUTED_VALUE"""),"Remache Aluminio Sol 1/4 X 3/4""")</f>
        <v>Remache Aluminio Sol 1/4 X 3/4"</v>
      </c>
      <c r="C4150" s="380" t="str">
        <f>IFERROR(__xludf.DUMMYFUNCTION("""COMPUTED_VALUE"""),"50001850")</f>
        <v>50001850</v>
      </c>
      <c r="D4150" s="380" t="s">
        <v>767</v>
      </c>
      <c r="E4150" s="380" t="s">
        <v>781</v>
      </c>
      <c r="F4150" s="380" t="s">
        <v>819</v>
      </c>
      <c r="G4150" s="380" t="s">
        <v>1267</v>
      </c>
      <c r="H4150" s="380" t="s">
        <v>771</v>
      </c>
      <c r="I4150" s="380" t="s">
        <v>817</v>
      </c>
      <c r="J4150" s="380" t="s">
        <v>773</v>
      </c>
      <c r="K4150" s="381">
        <v>0.0</v>
      </c>
      <c r="L4150" s="382">
        <v>1.0</v>
      </c>
    </row>
    <row r="4151">
      <c r="A4151" s="380" t="s">
        <v>5016</v>
      </c>
      <c r="B4151" s="380" t="str">
        <f>IFERROR(__xludf.DUMMYFUNCTION("""COMPUTED_VALUE"""),"Remache Pop C. Grande 3/16 X15/1")</f>
        <v>Remache Pop C. Grande 3/16 X15/1</v>
      </c>
      <c r="C4151" s="380" t="str">
        <f>IFERROR(__xludf.DUMMYFUNCTION("""COMPUTED_VALUE"""),"50001851")</f>
        <v>50001851</v>
      </c>
      <c r="D4151" s="380" t="s">
        <v>767</v>
      </c>
      <c r="E4151" s="380" t="s">
        <v>781</v>
      </c>
      <c r="F4151" s="380" t="s">
        <v>819</v>
      </c>
      <c r="G4151" s="380" t="s">
        <v>1267</v>
      </c>
      <c r="H4151" s="380" t="s">
        <v>771</v>
      </c>
      <c r="I4151" s="380" t="s">
        <v>817</v>
      </c>
      <c r="J4151" s="380" t="s">
        <v>773</v>
      </c>
      <c r="K4151" s="381">
        <v>0.0</v>
      </c>
      <c r="L4151" s="382">
        <v>1.0</v>
      </c>
    </row>
    <row r="4152">
      <c r="A4152" s="380" t="s">
        <v>5017</v>
      </c>
      <c r="B4152" s="380" t="str">
        <f>IFERROR(__xludf.DUMMYFUNCTION("""COMPUTED_VALUE"""),"Cabezote Hidrolavadora 1800 Rpm 7.5 Hp 2")</f>
        <v>Cabezote Hidrolavadora 1800 Rpm 7.5 Hp 2</v>
      </c>
      <c r="C4152" s="380" t="str">
        <f>IFERROR(__xludf.DUMMYFUNCTION("""COMPUTED_VALUE"""),"50001852")</f>
        <v>50001852</v>
      </c>
      <c r="D4152" s="380" t="s">
        <v>767</v>
      </c>
      <c r="E4152" s="380" t="s">
        <v>781</v>
      </c>
      <c r="F4152" s="380" t="s">
        <v>819</v>
      </c>
      <c r="G4152" s="380" t="s">
        <v>1267</v>
      </c>
      <c r="H4152" s="380" t="s">
        <v>771</v>
      </c>
      <c r="I4152" s="380" t="s">
        <v>817</v>
      </c>
      <c r="J4152" s="380" t="s">
        <v>773</v>
      </c>
      <c r="K4152" s="381">
        <v>0.0</v>
      </c>
      <c r="L4152" s="382">
        <v>1.0</v>
      </c>
    </row>
    <row r="4153">
      <c r="A4153" s="380" t="s">
        <v>5018</v>
      </c>
      <c r="B4153" s="380" t="str">
        <f>IFERROR(__xludf.DUMMYFUNCTION("""COMPUTED_VALUE"""),"Lamin Lamina Triplex 2.44 X 1.15 De 20mm")</f>
        <v>Lamin Lamina Triplex 2.44 X 1.15 De 20mm</v>
      </c>
      <c r="C4153" s="380" t="str">
        <f>IFERROR(__xludf.DUMMYFUNCTION("""COMPUTED_VALUE"""),"50001853")</f>
        <v>50001853</v>
      </c>
      <c r="D4153" s="380" t="s">
        <v>767</v>
      </c>
      <c r="E4153" s="380" t="s">
        <v>781</v>
      </c>
      <c r="F4153" s="380" t="s">
        <v>819</v>
      </c>
      <c r="G4153" s="380" t="s">
        <v>1267</v>
      </c>
      <c r="H4153" s="380" t="s">
        <v>771</v>
      </c>
      <c r="I4153" s="380" t="s">
        <v>817</v>
      </c>
      <c r="J4153" s="380" t="s">
        <v>773</v>
      </c>
      <c r="K4153" s="381">
        <v>0.0</v>
      </c>
      <c r="L4153" s="382">
        <v>1.0</v>
      </c>
    </row>
    <row r="4154">
      <c r="A4154" s="380" t="s">
        <v>5019</v>
      </c>
      <c r="B4154" s="380" t="str">
        <f>IFERROR(__xludf.DUMMYFUNCTION("""COMPUTED_VALUE"""),"Manguera Lavado Taller Reparado")</f>
        <v>Manguera Lavado Taller Reparado</v>
      </c>
      <c r="C4154" s="380" t="str">
        <f>IFERROR(__xludf.DUMMYFUNCTION("""COMPUTED_VALUE"""),"50001854")</f>
        <v>50001854</v>
      </c>
      <c r="D4154" s="380" t="s">
        <v>767</v>
      </c>
      <c r="E4154" s="380" t="s">
        <v>781</v>
      </c>
      <c r="F4154" s="380" t="s">
        <v>819</v>
      </c>
      <c r="G4154" s="380" t="s">
        <v>1267</v>
      </c>
      <c r="H4154" s="380" t="s">
        <v>771</v>
      </c>
      <c r="I4154" s="380" t="s">
        <v>817</v>
      </c>
      <c r="J4154" s="380" t="s">
        <v>773</v>
      </c>
      <c r="K4154" s="381">
        <v>0.0</v>
      </c>
      <c r="L4154" s="382">
        <v>1.0</v>
      </c>
    </row>
    <row r="4155">
      <c r="A4155" s="380" t="s">
        <v>5020</v>
      </c>
      <c r="B4155" s="380" t="str">
        <f>IFERROR(__xludf.DUMMYFUNCTION("""COMPUTED_VALUE"""),"Retenedor Banda Transportadora")</f>
        <v>Retenedor Banda Transportadora</v>
      </c>
      <c r="C4155" s="380" t="str">
        <f>IFERROR(__xludf.DUMMYFUNCTION("""COMPUTED_VALUE"""),"50001855")</f>
        <v>50001855</v>
      </c>
      <c r="D4155" s="380" t="s">
        <v>767</v>
      </c>
      <c r="E4155" s="380" t="s">
        <v>781</v>
      </c>
      <c r="F4155" s="380" t="s">
        <v>819</v>
      </c>
      <c r="G4155" s="380" t="s">
        <v>1267</v>
      </c>
      <c r="H4155" s="380" t="s">
        <v>771</v>
      </c>
      <c r="I4155" s="380" t="s">
        <v>817</v>
      </c>
      <c r="J4155" s="380" t="s">
        <v>773</v>
      </c>
      <c r="K4155" s="381">
        <v>0.0</v>
      </c>
      <c r="L4155" s="382">
        <v>1.0</v>
      </c>
    </row>
    <row r="4156">
      <c r="A4156" s="380" t="s">
        <v>5021</v>
      </c>
      <c r="B4156" s="380" t="str">
        <f>IFERROR(__xludf.DUMMYFUNCTION("""COMPUTED_VALUE"""),"Polimero Cationico Fo-4190")</f>
        <v>Polimero Cationico Fo-4190</v>
      </c>
      <c r="C4156" s="380" t="str">
        <f>IFERROR(__xludf.DUMMYFUNCTION("""COMPUTED_VALUE"""),"50001856")</f>
        <v>50001856</v>
      </c>
      <c r="D4156" s="380" t="s">
        <v>767</v>
      </c>
      <c r="E4156" s="380" t="s">
        <v>781</v>
      </c>
      <c r="F4156" s="380" t="s">
        <v>819</v>
      </c>
      <c r="G4156" s="380" t="s">
        <v>1267</v>
      </c>
      <c r="H4156" s="380" t="s">
        <v>771</v>
      </c>
      <c r="I4156" s="380" t="s">
        <v>817</v>
      </c>
      <c r="J4156" s="380" t="s">
        <v>773</v>
      </c>
      <c r="K4156" s="381">
        <v>0.0</v>
      </c>
      <c r="L4156" s="382">
        <v>1.0</v>
      </c>
    </row>
    <row r="4157">
      <c r="A4157" s="380" t="s">
        <v>5022</v>
      </c>
      <c r="B4157" s="380" t="str">
        <f>IFERROR(__xludf.DUMMYFUNCTION("""COMPUTED_VALUE"""),"Disco P Disco Pulidora 4 1/2 X 1/4 X 7/8")</f>
        <v>Disco P Disco Pulidora 4 1/2 X 1/4 X 7/8</v>
      </c>
      <c r="C4157" s="380" t="str">
        <f>IFERROR(__xludf.DUMMYFUNCTION("""COMPUTED_VALUE"""),"50001857")</f>
        <v>50001857</v>
      </c>
      <c r="D4157" s="380" t="s">
        <v>767</v>
      </c>
      <c r="E4157" s="380" t="s">
        <v>781</v>
      </c>
      <c r="F4157" s="380" t="s">
        <v>819</v>
      </c>
      <c r="G4157" s="380" t="s">
        <v>1267</v>
      </c>
      <c r="H4157" s="380" t="s">
        <v>771</v>
      </c>
      <c r="I4157" s="380" t="s">
        <v>817</v>
      </c>
      <c r="J4157" s="380" t="s">
        <v>773</v>
      </c>
      <c r="K4157" s="381">
        <v>0.0</v>
      </c>
      <c r="L4157" s="382">
        <v>1.0</v>
      </c>
    </row>
    <row r="4158">
      <c r="A4158" s="380" t="s">
        <v>5023</v>
      </c>
      <c r="B4158" s="380" t="str">
        <f>IFERROR(__xludf.DUMMYFUNCTION("""COMPUTED_VALUE"""),"Guaya Teflon Linconl M17714-1m")</f>
        <v>Guaya Teflon Linconl M17714-1m</v>
      </c>
      <c r="C4158" s="380" t="str">
        <f>IFERROR(__xludf.DUMMYFUNCTION("""COMPUTED_VALUE"""),"50001858")</f>
        <v>50001858</v>
      </c>
      <c r="D4158" s="380" t="s">
        <v>767</v>
      </c>
      <c r="E4158" s="380" t="s">
        <v>781</v>
      </c>
      <c r="F4158" s="380" t="s">
        <v>819</v>
      </c>
      <c r="G4158" s="380" t="s">
        <v>1267</v>
      </c>
      <c r="H4158" s="380" t="s">
        <v>771</v>
      </c>
      <c r="I4158" s="380" t="s">
        <v>817</v>
      </c>
      <c r="J4158" s="380" t="s">
        <v>773</v>
      </c>
      <c r="K4158" s="381">
        <v>0.0</v>
      </c>
      <c r="L4158" s="382">
        <v>1.0</v>
      </c>
    </row>
    <row r="4159">
      <c r="A4159" s="380" t="s">
        <v>5024</v>
      </c>
      <c r="B4159" s="380" t="str">
        <f>IFERROR(__xludf.DUMMYFUNCTION("""COMPUTED_VALUE"""),"Cilindro de Oxigeno")</f>
        <v>Cilindro de Oxigeno</v>
      </c>
      <c r="C4159" s="380" t="str">
        <f>IFERROR(__xludf.DUMMYFUNCTION("""COMPUTED_VALUE"""),"50001859")</f>
        <v>50001859</v>
      </c>
      <c r="D4159" s="380" t="s">
        <v>767</v>
      </c>
      <c r="E4159" s="380" t="s">
        <v>781</v>
      </c>
      <c r="F4159" s="380" t="s">
        <v>819</v>
      </c>
      <c r="G4159" s="380" t="s">
        <v>1267</v>
      </c>
      <c r="H4159" s="380" t="s">
        <v>771</v>
      </c>
      <c r="I4159" s="380" t="s">
        <v>817</v>
      </c>
      <c r="J4159" s="380" t="s">
        <v>773</v>
      </c>
      <c r="K4159" s="381">
        <v>82765.0</v>
      </c>
      <c r="L4159" s="382">
        <v>1.0</v>
      </c>
    </row>
    <row r="4160">
      <c r="A4160" s="380" t="s">
        <v>5025</v>
      </c>
      <c r="B4160" s="380" t="str">
        <f>IFERROR(__xludf.DUMMYFUNCTION("""COMPUTED_VALUE"""),"Sikaflex Negra 221 300ml")</f>
        <v>Sikaflex Negra 221 300ml</v>
      </c>
      <c r="C4160" s="380" t="str">
        <f>IFERROR(__xludf.DUMMYFUNCTION("""COMPUTED_VALUE"""),"50001860")</f>
        <v>50001860</v>
      </c>
      <c r="D4160" s="380" t="s">
        <v>767</v>
      </c>
      <c r="E4160" s="380" t="s">
        <v>781</v>
      </c>
      <c r="F4160" s="380" t="s">
        <v>819</v>
      </c>
      <c r="G4160" s="380" t="s">
        <v>1267</v>
      </c>
      <c r="H4160" s="380" t="s">
        <v>771</v>
      </c>
      <c r="I4160" s="380" t="s">
        <v>817</v>
      </c>
      <c r="J4160" s="380" t="s">
        <v>773</v>
      </c>
      <c r="K4160" s="381">
        <v>48567.0</v>
      </c>
      <c r="L4160" s="382">
        <v>1.0</v>
      </c>
    </row>
    <row r="4161">
      <c r="A4161" s="380" t="s">
        <v>5026</v>
      </c>
      <c r="B4161" s="380" t="str">
        <f>IFERROR(__xludf.DUMMYFUNCTION("""COMPUTED_VALUE"""),"FILT Filtro Bronce De 1/2 Hidrolavadora")</f>
        <v>FILT Filtro Bronce De 1/2 Hidrolavadora</v>
      </c>
      <c r="C4161" s="380" t="str">
        <f>IFERROR(__xludf.DUMMYFUNCTION("""COMPUTED_VALUE"""),"50001861")</f>
        <v>50001861</v>
      </c>
      <c r="D4161" s="380" t="s">
        <v>767</v>
      </c>
      <c r="E4161" s="380" t="s">
        <v>781</v>
      </c>
      <c r="F4161" s="380" t="s">
        <v>819</v>
      </c>
      <c r="G4161" s="380" t="s">
        <v>1267</v>
      </c>
      <c r="H4161" s="380" t="s">
        <v>771</v>
      </c>
      <c r="I4161" s="380" t="s">
        <v>817</v>
      </c>
      <c r="J4161" s="380" t="s">
        <v>773</v>
      </c>
      <c r="K4161" s="381">
        <v>0.0</v>
      </c>
      <c r="L4161" s="382">
        <v>1.0</v>
      </c>
    </row>
    <row r="4162">
      <c r="A4162" s="380" t="s">
        <v>5027</v>
      </c>
      <c r="B4162" s="380" t="str">
        <f>IFERROR(__xludf.DUMMYFUNCTION("""COMPUTED_VALUE"""),"Pega Instantanea Loctite 404")</f>
        <v>Pega Instantanea Loctite 404</v>
      </c>
      <c r="C4162" s="380" t="str">
        <f>IFERROR(__xludf.DUMMYFUNCTION("""COMPUTED_VALUE"""),"50001862")</f>
        <v>50001862</v>
      </c>
      <c r="D4162" s="380" t="s">
        <v>767</v>
      </c>
      <c r="E4162" s="380" t="s">
        <v>781</v>
      </c>
      <c r="F4162" s="380" t="s">
        <v>819</v>
      </c>
      <c r="G4162" s="380" t="s">
        <v>1267</v>
      </c>
      <c r="H4162" s="380" t="s">
        <v>771</v>
      </c>
      <c r="I4162" s="380" t="s">
        <v>817</v>
      </c>
      <c r="J4162" s="380" t="s">
        <v>773</v>
      </c>
      <c r="K4162" s="381">
        <v>16336.0</v>
      </c>
      <c r="L4162" s="382">
        <v>1.0</v>
      </c>
    </row>
    <row r="4163">
      <c r="A4163" s="380" t="s">
        <v>5028</v>
      </c>
      <c r="B4163" s="380" t="str">
        <f>IFERROR(__xludf.DUMMYFUNCTION("""COMPUTED_VALUE"""),"Remache Pop Ciego Standar 250 3/16x1/2")</f>
        <v>Remache Pop Ciego Standar 250 3/16x1/2</v>
      </c>
      <c r="C4163" s="380" t="str">
        <f>IFERROR(__xludf.DUMMYFUNCTION("""COMPUTED_VALUE"""),"50001863")</f>
        <v>50001863</v>
      </c>
      <c r="D4163" s="380" t="s">
        <v>767</v>
      </c>
      <c r="E4163" s="380" t="s">
        <v>781</v>
      </c>
      <c r="F4163" s="380" t="s">
        <v>819</v>
      </c>
      <c r="G4163" s="380" t="s">
        <v>1267</v>
      </c>
      <c r="H4163" s="380" t="s">
        <v>771</v>
      </c>
      <c r="I4163" s="380" t="s">
        <v>817</v>
      </c>
      <c r="J4163" s="380" t="s">
        <v>773</v>
      </c>
      <c r="K4163" s="381">
        <v>0.0</v>
      </c>
      <c r="L4163" s="382">
        <v>1.0</v>
      </c>
    </row>
    <row r="4164">
      <c r="A4164" s="380" t="s">
        <v>5029</v>
      </c>
      <c r="B4164" s="380" t="str">
        <f>IFERROR(__xludf.DUMMYFUNCTION("""COMPUTED_VALUE"""),"Piedra Para Esmeril A36 8"" 1 1 1/")</f>
        <v>Piedra Para Esmeril A36 8" 1 1 1/</v>
      </c>
      <c r="C4164" s="380" t="str">
        <f>IFERROR(__xludf.DUMMYFUNCTION("""COMPUTED_VALUE"""),"50001864")</f>
        <v>50001864</v>
      </c>
      <c r="D4164" s="380" t="s">
        <v>767</v>
      </c>
      <c r="E4164" s="380" t="s">
        <v>781</v>
      </c>
      <c r="F4164" s="380" t="s">
        <v>819</v>
      </c>
      <c r="G4164" s="380" t="s">
        <v>1267</v>
      </c>
      <c r="H4164" s="380" t="s">
        <v>771</v>
      </c>
      <c r="I4164" s="380" t="s">
        <v>817</v>
      </c>
      <c r="J4164" s="380" t="s">
        <v>773</v>
      </c>
      <c r="K4164" s="381">
        <v>0.0</v>
      </c>
      <c r="L4164" s="382">
        <v>1.0</v>
      </c>
    </row>
    <row r="4165">
      <c r="A4165" s="380" t="s">
        <v>5030</v>
      </c>
      <c r="B4165" s="380" t="str">
        <f>IFERROR(__xludf.DUMMYFUNCTION("""COMPUTED_VALUE"""),"Remache Pop Sencillo 1/4 X 5/8")</f>
        <v>Remache Pop Sencillo 1/4 X 5/8</v>
      </c>
      <c r="C4165" s="380" t="str">
        <f>IFERROR(__xludf.DUMMYFUNCTION("""COMPUTED_VALUE"""),"50001866")</f>
        <v>50001866</v>
      </c>
      <c r="D4165" s="380" t="s">
        <v>767</v>
      </c>
      <c r="E4165" s="380" t="s">
        <v>781</v>
      </c>
      <c r="F4165" s="380" t="s">
        <v>819</v>
      </c>
      <c r="G4165" s="380" t="s">
        <v>1267</v>
      </c>
      <c r="H4165" s="380" t="s">
        <v>771</v>
      </c>
      <c r="I4165" s="380" t="s">
        <v>817</v>
      </c>
      <c r="J4165" s="380" t="s">
        <v>773</v>
      </c>
      <c r="K4165" s="381">
        <v>0.0</v>
      </c>
      <c r="L4165" s="382">
        <v>1.0</v>
      </c>
    </row>
    <row r="4166">
      <c r="A4166" s="380" t="s">
        <v>5031</v>
      </c>
      <c r="B4166" s="380" t="str">
        <f>IFERROR(__xludf.DUMMYFUNCTION("""COMPUTED_VALUE"""),"Acople Rapido 1/2 Tipo Tru-Fla")</f>
        <v>Acople Rapido 1/2 Tipo Tru-Fla</v>
      </c>
      <c r="C4166" s="380" t="str">
        <f>IFERROR(__xludf.DUMMYFUNCTION("""COMPUTED_VALUE"""),"50001867")</f>
        <v>50001867</v>
      </c>
      <c r="D4166" s="380" t="s">
        <v>767</v>
      </c>
      <c r="E4166" s="380" t="s">
        <v>781</v>
      </c>
      <c r="F4166" s="380" t="s">
        <v>819</v>
      </c>
      <c r="G4166" s="380" t="s">
        <v>1267</v>
      </c>
      <c r="H4166" s="380" t="s">
        <v>771</v>
      </c>
      <c r="I4166" s="380" t="s">
        <v>817</v>
      </c>
      <c r="J4166" s="380" t="s">
        <v>773</v>
      </c>
      <c r="K4166" s="381">
        <v>0.0</v>
      </c>
      <c r="L4166" s="382">
        <v>1.0</v>
      </c>
    </row>
    <row r="4167">
      <c r="A4167" s="380" t="s">
        <v>5032</v>
      </c>
      <c r="B4167" s="380" t="str">
        <f>IFERROR(__xludf.DUMMYFUNCTION("""COMPUTED_VALUE"""),"Lijadora Neumatica Reparado")</f>
        <v>Lijadora Neumatica Reparado</v>
      </c>
      <c r="C4167" s="380" t="str">
        <f>IFERROR(__xludf.DUMMYFUNCTION("""COMPUTED_VALUE"""),"50001868")</f>
        <v>50001868</v>
      </c>
      <c r="D4167" s="380" t="s">
        <v>767</v>
      </c>
      <c r="E4167" s="380" t="s">
        <v>781</v>
      </c>
      <c r="F4167" s="380" t="s">
        <v>782</v>
      </c>
      <c r="G4167" s="380" t="s">
        <v>1267</v>
      </c>
      <c r="H4167" s="380" t="s">
        <v>771</v>
      </c>
      <c r="I4167" s="380" t="s">
        <v>784</v>
      </c>
      <c r="J4167" s="380" t="s">
        <v>773</v>
      </c>
      <c r="K4167" s="381">
        <v>0.0</v>
      </c>
      <c r="L4167" s="382">
        <v>1.0</v>
      </c>
    </row>
    <row r="4168">
      <c r="A4168" s="380" t="s">
        <v>5033</v>
      </c>
      <c r="B4168" s="380" t="str">
        <f>IFERROR(__xludf.DUMMYFUNCTION("""COMPUTED_VALUE"""),"Aerografo Reparado")</f>
        <v>Aerografo Reparado</v>
      </c>
      <c r="C4168" s="380" t="str">
        <f>IFERROR(__xludf.DUMMYFUNCTION("""COMPUTED_VALUE"""),"50001869")</f>
        <v>50001869</v>
      </c>
      <c r="D4168" s="380" t="s">
        <v>767</v>
      </c>
      <c r="E4168" s="380" t="s">
        <v>781</v>
      </c>
      <c r="F4168" s="380" t="s">
        <v>782</v>
      </c>
      <c r="G4168" s="380" t="s">
        <v>1267</v>
      </c>
      <c r="H4168" s="380" t="s">
        <v>771</v>
      </c>
      <c r="I4168" s="380" t="s">
        <v>784</v>
      </c>
      <c r="J4168" s="380" t="s">
        <v>773</v>
      </c>
      <c r="K4168" s="381">
        <v>0.0</v>
      </c>
      <c r="L4168" s="382">
        <v>1.0</v>
      </c>
    </row>
    <row r="4169">
      <c r="A4169" s="380" t="s">
        <v>5034</v>
      </c>
      <c r="B4169" s="380" t="str">
        <f>IFERROR(__xludf.DUMMYFUNCTION("""COMPUTED_VALUE"""),"Torque Reparado")</f>
        <v>Torque Reparado</v>
      </c>
      <c r="C4169" s="380" t="str">
        <f>IFERROR(__xludf.DUMMYFUNCTION("""COMPUTED_VALUE"""),"50001870")</f>
        <v>50001870</v>
      </c>
      <c r="D4169" s="380" t="s">
        <v>767</v>
      </c>
      <c r="E4169" s="380" t="s">
        <v>781</v>
      </c>
      <c r="F4169" s="380" t="s">
        <v>782</v>
      </c>
      <c r="G4169" s="380" t="s">
        <v>1267</v>
      </c>
      <c r="H4169" s="380" t="s">
        <v>771</v>
      </c>
      <c r="I4169" s="380" t="s">
        <v>784</v>
      </c>
      <c r="J4169" s="380" t="s">
        <v>773</v>
      </c>
      <c r="K4169" s="381">
        <v>0.0</v>
      </c>
      <c r="L4169" s="382">
        <v>1.0</v>
      </c>
    </row>
    <row r="4170">
      <c r="A4170" s="380" t="s">
        <v>5035</v>
      </c>
      <c r="B4170" s="380" t="str">
        <f>IFERROR(__xludf.DUMMYFUNCTION("""COMPUTED_VALUE"""),"Motortool Reparado")</f>
        <v>Motortool Reparado</v>
      </c>
      <c r="C4170" s="380" t="str">
        <f>IFERROR(__xludf.DUMMYFUNCTION("""COMPUTED_VALUE"""),"50001871")</f>
        <v>50001871</v>
      </c>
      <c r="D4170" s="380" t="s">
        <v>767</v>
      </c>
      <c r="E4170" s="380" t="s">
        <v>781</v>
      </c>
      <c r="F4170" s="380" t="s">
        <v>782</v>
      </c>
      <c r="G4170" s="380" t="s">
        <v>1267</v>
      </c>
      <c r="H4170" s="380" t="s">
        <v>771</v>
      </c>
      <c r="I4170" s="380" t="s">
        <v>784</v>
      </c>
      <c r="J4170" s="380" t="s">
        <v>773</v>
      </c>
      <c r="K4170" s="381">
        <v>0.0</v>
      </c>
      <c r="L4170" s="382">
        <v>1.0</v>
      </c>
    </row>
    <row r="4171">
      <c r="A4171" s="380" t="s">
        <v>5036</v>
      </c>
      <c r="B4171" s="380" t="str">
        <f>IFERROR(__xludf.DUMMYFUNCTION("""COMPUTED_VALUE"""),"Pistola Para Lavado Reparado")</f>
        <v>Pistola Para Lavado Reparado</v>
      </c>
      <c r="C4171" s="380" t="str">
        <f>IFERROR(__xludf.DUMMYFUNCTION("""COMPUTED_VALUE"""),"50001872")</f>
        <v>50001872</v>
      </c>
      <c r="D4171" s="380" t="s">
        <v>767</v>
      </c>
      <c r="E4171" s="380" t="s">
        <v>781</v>
      </c>
      <c r="F4171" s="380" t="s">
        <v>782</v>
      </c>
      <c r="G4171" s="380" t="s">
        <v>1267</v>
      </c>
      <c r="H4171" s="380" t="s">
        <v>771</v>
      </c>
      <c r="I4171" s="380" t="s">
        <v>784</v>
      </c>
      <c r="J4171" s="380" t="s">
        <v>773</v>
      </c>
      <c r="K4171" s="381">
        <v>0.0</v>
      </c>
      <c r="L4171" s="382">
        <v>1.0</v>
      </c>
    </row>
    <row r="4172">
      <c r="A4172" s="380" t="s">
        <v>5037</v>
      </c>
      <c r="B4172" s="380" t="str">
        <f>IFERROR(__xludf.DUMMYFUNCTION("""COMPUTED_VALUE"""),"Hoja De Sierra 18t X 12"" Sandflex")</f>
        <v>Hoja De Sierra 18t X 12" Sandflex</v>
      </c>
      <c r="C4172" s="380" t="str">
        <f>IFERROR(__xludf.DUMMYFUNCTION("""COMPUTED_VALUE"""),"50001873")</f>
        <v>50001873</v>
      </c>
      <c r="D4172" s="380" t="s">
        <v>767</v>
      </c>
      <c r="E4172" s="380" t="s">
        <v>781</v>
      </c>
      <c r="F4172" s="380" t="s">
        <v>819</v>
      </c>
      <c r="G4172" s="380" t="s">
        <v>1267</v>
      </c>
      <c r="H4172" s="380" t="s">
        <v>771</v>
      </c>
      <c r="I4172" s="380" t="s">
        <v>817</v>
      </c>
      <c r="J4172" s="380" t="s">
        <v>773</v>
      </c>
      <c r="K4172" s="381">
        <v>2955.0</v>
      </c>
      <c r="L4172" s="382">
        <v>1.0</v>
      </c>
    </row>
    <row r="4173">
      <c r="A4173" s="380" t="s">
        <v>5038</v>
      </c>
      <c r="B4173" s="380" t="str">
        <f>IFERROR(__xludf.DUMMYFUNCTION("""COMPUTED_VALUE"""),"Paleta Felpa Asentador Logos")</f>
        <v>Paleta Felpa Asentador Logos</v>
      </c>
      <c r="C4173" s="380" t="str">
        <f>IFERROR(__xludf.DUMMYFUNCTION("""COMPUTED_VALUE"""),"50001874")</f>
        <v>50001874</v>
      </c>
      <c r="D4173" s="380" t="s">
        <v>767</v>
      </c>
      <c r="E4173" s="380" t="s">
        <v>781</v>
      </c>
      <c r="F4173" s="380" t="s">
        <v>819</v>
      </c>
      <c r="G4173" s="380" t="s">
        <v>1267</v>
      </c>
      <c r="H4173" s="380" t="s">
        <v>771</v>
      </c>
      <c r="I4173" s="380" t="s">
        <v>817</v>
      </c>
      <c r="J4173" s="380" t="s">
        <v>773</v>
      </c>
      <c r="K4173" s="381">
        <v>0.0</v>
      </c>
      <c r="L4173" s="382">
        <v>1.0</v>
      </c>
    </row>
    <row r="4174">
      <c r="A4174" s="380" t="s">
        <v>5039</v>
      </c>
      <c r="B4174" s="380" t="str">
        <f>IFERROR(__xludf.DUMMYFUNCTION("""COMPUTED_VALUE"""),"Valvula Cheque Agua 1.1/4 Hidrolavadora")</f>
        <v>Valvula Cheque Agua 1.1/4 Hidrolavadora</v>
      </c>
      <c r="C4174" s="380" t="str">
        <f>IFERROR(__xludf.DUMMYFUNCTION("""COMPUTED_VALUE"""),"50001875")</f>
        <v>50001875</v>
      </c>
      <c r="D4174" s="380" t="s">
        <v>767</v>
      </c>
      <c r="E4174" s="380" t="s">
        <v>781</v>
      </c>
      <c r="F4174" s="380" t="s">
        <v>819</v>
      </c>
      <c r="G4174" s="380" t="s">
        <v>1267</v>
      </c>
      <c r="H4174" s="380" t="s">
        <v>771</v>
      </c>
      <c r="I4174" s="380" t="s">
        <v>817</v>
      </c>
      <c r="J4174" s="380" t="s">
        <v>773</v>
      </c>
      <c r="K4174" s="381">
        <v>0.0</v>
      </c>
      <c r="L4174" s="382">
        <v>1.0</v>
      </c>
    </row>
    <row r="4175">
      <c r="A4175" s="380" t="s">
        <v>5040</v>
      </c>
      <c r="B4175" s="380" t="str">
        <f>IFERROR(__xludf.DUMMYFUNCTION("""COMPUTED_VALUE"""),"Pipe Pipeta De Gas Refrigerante R134 A/C")</f>
        <v>Pipe Pipeta De Gas Refrigerante R134 A/C</v>
      </c>
      <c r="C4175" s="380" t="str">
        <f>IFERROR(__xludf.DUMMYFUNCTION("""COMPUTED_VALUE"""),"50001876")</f>
        <v>50001876</v>
      </c>
      <c r="D4175" s="380" t="s">
        <v>767</v>
      </c>
      <c r="E4175" s="380" t="s">
        <v>781</v>
      </c>
      <c r="F4175" s="380" t="s">
        <v>819</v>
      </c>
      <c r="G4175" s="380" t="s">
        <v>1267</v>
      </c>
      <c r="H4175" s="380" t="s">
        <v>771</v>
      </c>
      <c r="I4175" s="380" t="s">
        <v>817</v>
      </c>
      <c r="J4175" s="380" t="s">
        <v>773</v>
      </c>
      <c r="K4175" s="381">
        <v>1038222.0</v>
      </c>
      <c r="L4175" s="382">
        <v>1.0</v>
      </c>
    </row>
    <row r="4176">
      <c r="A4176" s="380" t="s">
        <v>5041</v>
      </c>
      <c r="B4176" s="380" t="str">
        <f>IFERROR(__xludf.DUMMYFUNCTION("""COMPUTED_VALUE"""),"Abrazadera Tornillo T503")</f>
        <v>Abrazadera Tornillo T503</v>
      </c>
      <c r="C4176" s="380" t="str">
        <f>IFERROR(__xludf.DUMMYFUNCTION("""COMPUTED_VALUE"""),"50001877")</f>
        <v>50001877</v>
      </c>
      <c r="D4176" s="380" t="s">
        <v>767</v>
      </c>
      <c r="E4176" s="380" t="s">
        <v>781</v>
      </c>
      <c r="F4176" s="380" t="s">
        <v>819</v>
      </c>
      <c r="G4176" s="380" t="s">
        <v>1267</v>
      </c>
      <c r="H4176" s="380" t="s">
        <v>771</v>
      </c>
      <c r="I4176" s="380" t="s">
        <v>817</v>
      </c>
      <c r="J4176" s="380" t="s">
        <v>773</v>
      </c>
      <c r="K4176" s="381">
        <v>6776.0</v>
      </c>
      <c r="L4176" s="382">
        <v>1.0</v>
      </c>
    </row>
    <row r="4177">
      <c r="A4177" s="380" t="s">
        <v>5042</v>
      </c>
      <c r="B4177" s="380" t="str">
        <f>IFERROR(__xludf.DUMMYFUNCTION("""COMPUTED_VALUE"""),"Acoples Para Manguera Varios")</f>
        <v>Acoples Para Manguera Varios</v>
      </c>
      <c r="C4177" s="380" t="str">
        <f>IFERROR(__xludf.DUMMYFUNCTION("""COMPUTED_VALUE"""),"50001878")</f>
        <v>50001878</v>
      </c>
      <c r="D4177" s="380" t="s">
        <v>767</v>
      </c>
      <c r="E4177" s="380" t="s">
        <v>781</v>
      </c>
      <c r="F4177" s="380" t="s">
        <v>819</v>
      </c>
      <c r="G4177" s="380" t="s">
        <v>1267</v>
      </c>
      <c r="H4177" s="380" t="s">
        <v>771</v>
      </c>
      <c r="I4177" s="380" t="s">
        <v>817</v>
      </c>
      <c r="J4177" s="380" t="s">
        <v>773</v>
      </c>
      <c r="K4177" s="381">
        <v>0.0</v>
      </c>
      <c r="L4177" s="382">
        <v>1.0</v>
      </c>
    </row>
    <row r="4178">
      <c r="A4178" s="380" t="s">
        <v>5043</v>
      </c>
      <c r="B4178" s="380" t="str">
        <f>IFERROR(__xludf.DUMMYFUNCTION("""COMPUTED_VALUE"""),"Empaque Puerta Contenedor")</f>
        <v>Empaque Puerta Contenedor</v>
      </c>
      <c r="C4178" s="380" t="str">
        <f>IFERROR(__xludf.DUMMYFUNCTION("""COMPUTED_VALUE"""),"50001880")</f>
        <v>50001880</v>
      </c>
      <c r="D4178" s="380" t="s">
        <v>767</v>
      </c>
      <c r="E4178" s="380" t="s">
        <v>781</v>
      </c>
      <c r="F4178" s="380" t="s">
        <v>819</v>
      </c>
      <c r="G4178" s="380" t="s">
        <v>1267</v>
      </c>
      <c r="H4178" s="380" t="s">
        <v>771</v>
      </c>
      <c r="I4178" s="380" t="s">
        <v>817</v>
      </c>
      <c r="J4178" s="380" t="s">
        <v>773</v>
      </c>
      <c r="K4178" s="381">
        <v>0.0</v>
      </c>
      <c r="L4178" s="382">
        <v>1.0</v>
      </c>
    </row>
    <row r="4179">
      <c r="A4179" s="380" t="s">
        <v>5044</v>
      </c>
      <c r="B4179" s="380" t="str">
        <f>IFERROR(__xludf.DUMMYFUNCTION("""COMPUTED_VALUE"""),"Loctite 277 Traba Roscas")</f>
        <v>Loctite 277 Traba Roscas</v>
      </c>
      <c r="C4179" s="380" t="str">
        <f>IFERROR(__xludf.DUMMYFUNCTION("""COMPUTED_VALUE"""),"50001881")</f>
        <v>50001881</v>
      </c>
      <c r="D4179" s="380" t="s">
        <v>767</v>
      </c>
      <c r="E4179" s="380" t="s">
        <v>781</v>
      </c>
      <c r="F4179" s="380" t="s">
        <v>819</v>
      </c>
      <c r="G4179" s="380" t="s">
        <v>1267</v>
      </c>
      <c r="H4179" s="380" t="s">
        <v>771</v>
      </c>
      <c r="I4179" s="380" t="s">
        <v>817</v>
      </c>
      <c r="J4179" s="380" t="s">
        <v>773</v>
      </c>
      <c r="K4179" s="381">
        <v>177684.0</v>
      </c>
      <c r="L4179" s="382">
        <v>1.0</v>
      </c>
    </row>
    <row r="4180">
      <c r="A4180" s="380" t="s">
        <v>5045</v>
      </c>
      <c r="B4180" s="380" t="str">
        <f>IFERROR(__xludf.DUMMYFUNCTION("""COMPUTED_VALUE"""),"Disco Abrasivo Helan P080 Catalfer")</f>
        <v>Disco Abrasivo Helan P080 Catalfer</v>
      </c>
      <c r="C4180" s="380" t="str">
        <f>IFERROR(__xludf.DUMMYFUNCTION("""COMPUTED_VALUE"""),"50001882")</f>
        <v>50001882</v>
      </c>
      <c r="D4180" s="380" t="s">
        <v>767</v>
      </c>
      <c r="E4180" s="380" t="s">
        <v>781</v>
      </c>
      <c r="F4180" s="380" t="s">
        <v>819</v>
      </c>
      <c r="G4180" s="380" t="s">
        <v>1267</v>
      </c>
      <c r="H4180" s="380" t="s">
        <v>771</v>
      </c>
      <c r="I4180" s="380" t="s">
        <v>817</v>
      </c>
      <c r="J4180" s="380" t="s">
        <v>773</v>
      </c>
      <c r="K4180" s="381">
        <v>4999.0</v>
      </c>
      <c r="L4180" s="382">
        <v>1.0</v>
      </c>
    </row>
    <row r="4181">
      <c r="A4181" s="380" t="s">
        <v>5046</v>
      </c>
      <c r="B4181" s="380" t="str">
        <f>IFERROR(__xludf.DUMMYFUNCTION("""COMPUTED_VALUE"""),"Disco Abrasivo Helan P180 Catalfer")</f>
        <v>Disco Abrasivo Helan P180 Catalfer</v>
      </c>
      <c r="C4181" s="380" t="str">
        <f>IFERROR(__xludf.DUMMYFUNCTION("""COMPUTED_VALUE"""),"50001883")</f>
        <v>50001883</v>
      </c>
      <c r="D4181" s="380" t="s">
        <v>767</v>
      </c>
      <c r="E4181" s="380" t="s">
        <v>781</v>
      </c>
      <c r="F4181" s="380" t="s">
        <v>819</v>
      </c>
      <c r="G4181" s="380" t="s">
        <v>1267</v>
      </c>
      <c r="H4181" s="380" t="s">
        <v>771</v>
      </c>
      <c r="I4181" s="380" t="s">
        <v>817</v>
      </c>
      <c r="J4181" s="380" t="s">
        <v>773</v>
      </c>
      <c r="K4181" s="381">
        <v>4999.0</v>
      </c>
      <c r="L4181" s="382">
        <v>1.0</v>
      </c>
    </row>
    <row r="4182">
      <c r="A4182" s="380" t="s">
        <v>5047</v>
      </c>
      <c r="B4182" s="380" t="str">
        <f>IFERROR(__xludf.DUMMYFUNCTION("""COMPUTED_VALUE"""),"Polichadora Reparado")</f>
        <v>Polichadora Reparado</v>
      </c>
      <c r="C4182" s="380" t="str">
        <f>IFERROR(__xludf.DUMMYFUNCTION("""COMPUTED_VALUE"""),"50001884")</f>
        <v>50001884</v>
      </c>
      <c r="D4182" s="380" t="s">
        <v>767</v>
      </c>
      <c r="E4182" s="380" t="s">
        <v>781</v>
      </c>
      <c r="F4182" s="380" t="s">
        <v>782</v>
      </c>
      <c r="G4182" s="380" t="s">
        <v>1267</v>
      </c>
      <c r="H4182" s="380" t="s">
        <v>771</v>
      </c>
      <c r="I4182" s="380" t="s">
        <v>784</v>
      </c>
      <c r="J4182" s="380" t="s">
        <v>773</v>
      </c>
      <c r="K4182" s="381">
        <v>0.0</v>
      </c>
      <c r="L4182" s="382">
        <v>1.0</v>
      </c>
    </row>
    <row r="4183">
      <c r="A4183" s="380" t="s">
        <v>5048</v>
      </c>
      <c r="B4183" s="380" t="str">
        <f>IFERROR(__xludf.DUMMYFUNCTION("""COMPUTED_VALUE"""),"Pistola Para Engrase Reparado")</f>
        <v>Pistola Para Engrase Reparado</v>
      </c>
      <c r="C4183" s="380" t="str">
        <f>IFERROR(__xludf.DUMMYFUNCTION("""COMPUTED_VALUE"""),"50001885")</f>
        <v>50001885</v>
      </c>
      <c r="D4183" s="380" t="s">
        <v>767</v>
      </c>
      <c r="E4183" s="380" t="s">
        <v>781</v>
      </c>
      <c r="F4183" s="380" t="s">
        <v>782</v>
      </c>
      <c r="G4183" s="380" t="s">
        <v>1267</v>
      </c>
      <c r="H4183" s="380" t="s">
        <v>771</v>
      </c>
      <c r="I4183" s="380" t="s">
        <v>784</v>
      </c>
      <c r="J4183" s="380" t="s">
        <v>773</v>
      </c>
      <c r="K4183" s="381">
        <v>0.0</v>
      </c>
      <c r="L4183" s="382">
        <v>1.0</v>
      </c>
    </row>
    <row r="4184">
      <c r="A4184" s="380" t="s">
        <v>5049</v>
      </c>
      <c r="B4184" s="380" t="str">
        <f>IFERROR(__xludf.DUMMYFUNCTION("""COMPUTED_VALUE"""),"Cortador Acetileno Reparado")</f>
        <v>Cortador Acetileno Reparado</v>
      </c>
      <c r="C4184" s="380" t="str">
        <f>IFERROR(__xludf.DUMMYFUNCTION("""COMPUTED_VALUE"""),"50001886")</f>
        <v>50001886</v>
      </c>
      <c r="D4184" s="380" t="s">
        <v>767</v>
      </c>
      <c r="E4184" s="380" t="s">
        <v>781</v>
      </c>
      <c r="F4184" s="380" t="s">
        <v>782</v>
      </c>
      <c r="G4184" s="380" t="s">
        <v>1267</v>
      </c>
      <c r="H4184" s="380" t="s">
        <v>771</v>
      </c>
      <c r="I4184" s="380" t="s">
        <v>784</v>
      </c>
      <c r="J4184" s="380" t="s">
        <v>773</v>
      </c>
      <c r="K4184" s="381">
        <v>0.0</v>
      </c>
      <c r="L4184" s="382">
        <v>1.0</v>
      </c>
    </row>
    <row r="4185">
      <c r="A4185" s="380" t="s">
        <v>5050</v>
      </c>
      <c r="B4185" s="380" t="str">
        <f>IFERROR(__xludf.DUMMYFUNCTION("""COMPUTED_VALUE"""),"Cargador De Baterias Reparado")</f>
        <v>Cargador De Baterias Reparado</v>
      </c>
      <c r="C4185" s="380" t="str">
        <f>IFERROR(__xludf.DUMMYFUNCTION("""COMPUTED_VALUE"""),"50001887")</f>
        <v>50001887</v>
      </c>
      <c r="D4185" s="380" t="s">
        <v>767</v>
      </c>
      <c r="E4185" s="380" t="s">
        <v>781</v>
      </c>
      <c r="F4185" s="380" t="s">
        <v>782</v>
      </c>
      <c r="G4185" s="380" t="s">
        <v>1267</v>
      </c>
      <c r="H4185" s="380" t="s">
        <v>771</v>
      </c>
      <c r="I4185" s="380" t="s">
        <v>784</v>
      </c>
      <c r="J4185" s="380" t="s">
        <v>773</v>
      </c>
      <c r="K4185" s="381">
        <v>0.0</v>
      </c>
      <c r="L4185" s="382">
        <v>1.0</v>
      </c>
    </row>
    <row r="4186">
      <c r="A4186" s="380" t="s">
        <v>5051</v>
      </c>
      <c r="B4186" s="380" t="str">
        <f>IFERROR(__xludf.DUMMYFUNCTION("""COMPUTED_VALUE"""),"Engrasadora Neumatica Reparado")</f>
        <v>Engrasadora Neumatica Reparado</v>
      </c>
      <c r="C4186" s="380" t="str">
        <f>IFERROR(__xludf.DUMMYFUNCTION("""COMPUTED_VALUE"""),"50001888")</f>
        <v>50001888</v>
      </c>
      <c r="D4186" s="380" t="s">
        <v>767</v>
      </c>
      <c r="E4186" s="380" t="s">
        <v>781</v>
      </c>
      <c r="F4186" s="380" t="s">
        <v>782</v>
      </c>
      <c r="G4186" s="380" t="s">
        <v>1267</v>
      </c>
      <c r="H4186" s="380" t="s">
        <v>771</v>
      </c>
      <c r="I4186" s="380" t="s">
        <v>784</v>
      </c>
      <c r="J4186" s="380" t="s">
        <v>773</v>
      </c>
      <c r="K4186" s="381">
        <v>0.0</v>
      </c>
      <c r="L4186" s="382">
        <v>1.0</v>
      </c>
    </row>
    <row r="4187">
      <c r="A4187" s="380" t="s">
        <v>5052</v>
      </c>
      <c r="B4187" s="380" t="str">
        <f>IFERROR(__xludf.DUMMYFUNCTION("""COMPUTED_VALUE"""),"Gato Tipo Zorra Reparado")</f>
        <v>Gato Tipo Zorra Reparado</v>
      </c>
      <c r="C4187" s="380" t="str">
        <f>IFERROR(__xludf.DUMMYFUNCTION("""COMPUTED_VALUE"""),"50001889")</f>
        <v>50001889</v>
      </c>
      <c r="D4187" s="380" t="s">
        <v>767</v>
      </c>
      <c r="E4187" s="380" t="s">
        <v>781</v>
      </c>
      <c r="F4187" s="380" t="s">
        <v>782</v>
      </c>
      <c r="G4187" s="380" t="s">
        <v>1267</v>
      </c>
      <c r="H4187" s="380" t="s">
        <v>771</v>
      </c>
      <c r="I4187" s="380" t="s">
        <v>784</v>
      </c>
      <c r="J4187" s="380" t="s">
        <v>773</v>
      </c>
      <c r="K4187" s="381">
        <v>0.0</v>
      </c>
      <c r="L4187" s="382">
        <v>1.0</v>
      </c>
    </row>
    <row r="4188">
      <c r="A4188" s="380" t="s">
        <v>5053</v>
      </c>
      <c r="B4188" s="380" t="str">
        <f>IFERROR(__xludf.DUMMYFUNCTION("""COMPUTED_VALUE"""),"Pistola De Impacto Reparado")</f>
        <v>Pistola De Impacto Reparado</v>
      </c>
      <c r="C4188" s="380" t="str">
        <f>IFERROR(__xludf.DUMMYFUNCTION("""COMPUTED_VALUE"""),"50001890")</f>
        <v>50001890</v>
      </c>
      <c r="D4188" s="380" t="s">
        <v>767</v>
      </c>
      <c r="E4188" s="380" t="s">
        <v>781</v>
      </c>
      <c r="F4188" s="380" t="s">
        <v>782</v>
      </c>
      <c r="G4188" s="380" t="s">
        <v>1267</v>
      </c>
      <c r="H4188" s="380" t="s">
        <v>771</v>
      </c>
      <c r="I4188" s="380" t="s">
        <v>784</v>
      </c>
      <c r="J4188" s="380" t="s">
        <v>773</v>
      </c>
      <c r="K4188" s="381">
        <v>0.0</v>
      </c>
      <c r="L4188" s="382">
        <v>1.0</v>
      </c>
    </row>
    <row r="4189">
      <c r="A4189" s="380" t="s">
        <v>5054</v>
      </c>
      <c r="B4189" s="380" t="str">
        <f>IFERROR(__xludf.DUMMYFUNCTION("""COMPUTED_VALUE"""),"Pulidora Reparado")</f>
        <v>Pulidora Reparado</v>
      </c>
      <c r="C4189" s="380" t="str">
        <f>IFERROR(__xludf.DUMMYFUNCTION("""COMPUTED_VALUE"""),"50001891")</f>
        <v>50001891</v>
      </c>
      <c r="D4189" s="380" t="s">
        <v>767</v>
      </c>
      <c r="E4189" s="380" t="s">
        <v>781</v>
      </c>
      <c r="F4189" s="380" t="s">
        <v>782</v>
      </c>
      <c r="G4189" s="380" t="s">
        <v>1267</v>
      </c>
      <c r="H4189" s="380" t="s">
        <v>771</v>
      </c>
      <c r="I4189" s="380" t="s">
        <v>784</v>
      </c>
      <c r="J4189" s="380" t="s">
        <v>773</v>
      </c>
      <c r="K4189" s="381">
        <v>0.0</v>
      </c>
      <c r="L4189" s="382">
        <v>1.0</v>
      </c>
    </row>
    <row r="4190">
      <c r="A4190" s="380" t="s">
        <v>5055</v>
      </c>
      <c r="B4190" s="380" t="str">
        <f>IFERROR(__xludf.DUMMYFUNCTION("""COMPUTED_VALUE"""),"Taladro Reparado")</f>
        <v>Taladro Reparado</v>
      </c>
      <c r="C4190" s="380" t="str">
        <f>IFERROR(__xludf.DUMMYFUNCTION("""COMPUTED_VALUE"""),"50001892")</f>
        <v>50001892</v>
      </c>
      <c r="D4190" s="380" t="s">
        <v>767</v>
      </c>
      <c r="E4190" s="380" t="s">
        <v>781</v>
      </c>
      <c r="F4190" s="380" t="s">
        <v>782</v>
      </c>
      <c r="G4190" s="380" t="s">
        <v>1267</v>
      </c>
      <c r="H4190" s="380" t="s">
        <v>771</v>
      </c>
      <c r="I4190" s="380" t="s">
        <v>784</v>
      </c>
      <c r="J4190" s="380" t="s">
        <v>773</v>
      </c>
      <c r="K4190" s="381">
        <v>0.0</v>
      </c>
      <c r="L4190" s="382">
        <v>1.0</v>
      </c>
    </row>
    <row r="4191">
      <c r="A4191" s="380" t="s">
        <v>5056</v>
      </c>
      <c r="B4191" s="380" t="str">
        <f>IFERROR(__xludf.DUMMYFUNCTION("""COMPUTED_VALUE"""),"Soldador Electrico Reparado")</f>
        <v>Soldador Electrico Reparado</v>
      </c>
      <c r="C4191" s="380" t="str">
        <f>IFERROR(__xludf.DUMMYFUNCTION("""COMPUTED_VALUE"""),"50001893")</f>
        <v>50001893</v>
      </c>
      <c r="D4191" s="380" t="s">
        <v>767</v>
      </c>
      <c r="E4191" s="380" t="s">
        <v>781</v>
      </c>
      <c r="F4191" s="380" t="s">
        <v>782</v>
      </c>
      <c r="G4191" s="380" t="s">
        <v>1267</v>
      </c>
      <c r="H4191" s="380" t="s">
        <v>771</v>
      </c>
      <c r="I4191" s="380" t="s">
        <v>784</v>
      </c>
      <c r="J4191" s="380" t="s">
        <v>773</v>
      </c>
      <c r="K4191" s="381">
        <v>0.0</v>
      </c>
      <c r="L4191" s="382">
        <v>1.0</v>
      </c>
    </row>
    <row r="4192">
      <c r="A4192" s="380" t="s">
        <v>5057</v>
      </c>
      <c r="B4192" s="380" t="str">
        <f>IFERROR(__xludf.DUMMYFUNCTION("""COMPUTED_VALUE"""),"Manguera Antorcha Soldadura Mig Reparado")</f>
        <v>Manguera Antorcha Soldadura Mig Reparado</v>
      </c>
      <c r="C4192" s="380" t="str">
        <f>IFERROR(__xludf.DUMMYFUNCTION("""COMPUTED_VALUE"""),"50001894")</f>
        <v>50001894</v>
      </c>
      <c r="D4192" s="380" t="s">
        <v>767</v>
      </c>
      <c r="E4192" s="380" t="s">
        <v>781</v>
      </c>
      <c r="F4192" s="380" t="s">
        <v>782</v>
      </c>
      <c r="G4192" s="380" t="s">
        <v>1267</v>
      </c>
      <c r="H4192" s="380" t="s">
        <v>771</v>
      </c>
      <c r="I4192" s="380" t="s">
        <v>784</v>
      </c>
      <c r="J4192" s="380" t="s">
        <v>773</v>
      </c>
      <c r="K4192" s="381">
        <v>0.0</v>
      </c>
      <c r="L4192" s="382">
        <v>1.0</v>
      </c>
    </row>
    <row r="4193">
      <c r="A4193" s="380" t="s">
        <v>5058</v>
      </c>
      <c r="B4193" s="380" t="str">
        <f>IFERROR(__xludf.DUMMYFUNCTION("""COMPUTED_VALUE"""),"Trozadora Para Metal Reparado")</f>
        <v>Trozadora Para Metal Reparado</v>
      </c>
      <c r="C4193" s="380" t="str">
        <f>IFERROR(__xludf.DUMMYFUNCTION("""COMPUTED_VALUE"""),"50001895")</f>
        <v>50001895</v>
      </c>
      <c r="D4193" s="380" t="s">
        <v>767</v>
      </c>
      <c r="E4193" s="380" t="s">
        <v>781</v>
      </c>
      <c r="F4193" s="380" t="s">
        <v>782</v>
      </c>
      <c r="G4193" s="380" t="s">
        <v>1267</v>
      </c>
      <c r="H4193" s="380" t="s">
        <v>771</v>
      </c>
      <c r="I4193" s="380" t="s">
        <v>784</v>
      </c>
      <c r="J4193" s="380" t="s">
        <v>773</v>
      </c>
      <c r="K4193" s="381">
        <v>0.0</v>
      </c>
      <c r="L4193" s="382">
        <v>1.0</v>
      </c>
    </row>
    <row r="4194">
      <c r="A4194" s="380" t="s">
        <v>5059</v>
      </c>
      <c r="B4194" s="380" t="str">
        <f>IFERROR(__xludf.DUMMYFUNCTION("""COMPUTED_VALUE"""),"Pistola De Pintura Reparado")</f>
        <v>Pistola De Pintura Reparado</v>
      </c>
      <c r="C4194" s="380" t="str">
        <f>IFERROR(__xludf.DUMMYFUNCTION("""COMPUTED_VALUE"""),"50001896")</f>
        <v>50001896</v>
      </c>
      <c r="D4194" s="380" t="s">
        <v>767</v>
      </c>
      <c r="E4194" s="380" t="s">
        <v>781</v>
      </c>
      <c r="F4194" s="380" t="s">
        <v>782</v>
      </c>
      <c r="G4194" s="380" t="s">
        <v>1267</v>
      </c>
      <c r="H4194" s="380" t="s">
        <v>771</v>
      </c>
      <c r="I4194" s="380" t="s">
        <v>784</v>
      </c>
      <c r="J4194" s="380" t="s">
        <v>773</v>
      </c>
      <c r="K4194" s="381">
        <v>0.0</v>
      </c>
      <c r="L4194" s="382">
        <v>1.0</v>
      </c>
    </row>
    <row r="4195">
      <c r="A4195" s="380" t="s">
        <v>5060</v>
      </c>
      <c r="B4195" s="380" t="str">
        <f>IFERROR(__xludf.DUMMYFUNCTION("""COMPUTED_VALUE"""),"Equipo Soldadura Lincon Reparado")</f>
        <v>Equipo Soldadura Lincon Reparado</v>
      </c>
      <c r="C4195" s="380" t="str">
        <f>IFERROR(__xludf.DUMMYFUNCTION("""COMPUTED_VALUE"""),"50001897")</f>
        <v>50001897</v>
      </c>
      <c r="D4195" s="380" t="s">
        <v>767</v>
      </c>
      <c r="E4195" s="380" t="s">
        <v>781</v>
      </c>
      <c r="F4195" s="380" t="s">
        <v>782</v>
      </c>
      <c r="G4195" s="380" t="s">
        <v>1267</v>
      </c>
      <c r="H4195" s="380" t="s">
        <v>771</v>
      </c>
      <c r="I4195" s="380" t="s">
        <v>784</v>
      </c>
      <c r="J4195" s="380" t="s">
        <v>773</v>
      </c>
      <c r="K4195" s="381">
        <v>0.0</v>
      </c>
      <c r="L4195" s="382">
        <v>1.0</v>
      </c>
    </row>
    <row r="4196">
      <c r="A4196" s="380" t="s">
        <v>5061</v>
      </c>
      <c r="B4196" s="380" t="str">
        <f>IFERROR(__xludf.DUMMYFUNCTION("""COMPUTED_VALUE"""),"Remachadora Pop Neumatica Reparado")</f>
        <v>Remachadora Pop Neumatica Reparado</v>
      </c>
      <c r="C4196" s="380" t="str">
        <f>IFERROR(__xludf.DUMMYFUNCTION("""COMPUTED_VALUE"""),"50001898")</f>
        <v>50001898</v>
      </c>
      <c r="D4196" s="380" t="s">
        <v>767</v>
      </c>
      <c r="E4196" s="380" t="s">
        <v>781</v>
      </c>
      <c r="F4196" s="380" t="s">
        <v>782</v>
      </c>
      <c r="G4196" s="380" t="s">
        <v>1267</v>
      </c>
      <c r="H4196" s="380" t="s">
        <v>771</v>
      </c>
      <c r="I4196" s="380" t="s">
        <v>784</v>
      </c>
      <c r="J4196" s="380" t="s">
        <v>773</v>
      </c>
      <c r="K4196" s="381">
        <v>0.0</v>
      </c>
      <c r="L4196" s="382">
        <v>1.0</v>
      </c>
    </row>
    <row r="4197">
      <c r="A4197" s="380" t="s">
        <v>5062</v>
      </c>
      <c r="B4197" s="380" t="str">
        <f>IFERROR(__xludf.DUMMYFUNCTION("""COMPUTED_VALUE"""),"Equipo Oxicorte Reparado")</f>
        <v>Equipo Oxicorte Reparado</v>
      </c>
      <c r="C4197" s="380" t="str">
        <f>IFERROR(__xludf.DUMMYFUNCTION("""COMPUTED_VALUE"""),"50001899")</f>
        <v>50001899</v>
      </c>
      <c r="D4197" s="380" t="s">
        <v>767</v>
      </c>
      <c r="E4197" s="380" t="s">
        <v>781</v>
      </c>
      <c r="F4197" s="380" t="s">
        <v>782</v>
      </c>
      <c r="G4197" s="380" t="s">
        <v>1267</v>
      </c>
      <c r="H4197" s="380" t="s">
        <v>771</v>
      </c>
      <c r="I4197" s="380" t="s">
        <v>784</v>
      </c>
      <c r="J4197" s="380" t="s">
        <v>773</v>
      </c>
      <c r="K4197" s="381">
        <v>0.0</v>
      </c>
      <c r="L4197" s="382">
        <v>1.0</v>
      </c>
    </row>
    <row r="4198">
      <c r="A4198" s="380" t="s">
        <v>5063</v>
      </c>
      <c r="B4198" s="380" t="str">
        <f>IFERROR(__xludf.DUMMYFUNCTION("""COMPUTED_VALUE"""),"Gato Botella 5-6 Toneladas Reparado")</f>
        <v>Gato Botella 5-6 Toneladas Reparado</v>
      </c>
      <c r="C4198" s="380" t="str">
        <f>IFERROR(__xludf.DUMMYFUNCTION("""COMPUTED_VALUE"""),"50001900")</f>
        <v>50001900</v>
      </c>
      <c r="D4198" s="380" t="s">
        <v>767</v>
      </c>
      <c r="E4198" s="380" t="s">
        <v>781</v>
      </c>
      <c r="F4198" s="380" t="s">
        <v>782</v>
      </c>
      <c r="G4198" s="380" t="s">
        <v>1267</v>
      </c>
      <c r="H4198" s="380" t="s">
        <v>771</v>
      </c>
      <c r="I4198" s="380" t="s">
        <v>784</v>
      </c>
      <c r="J4198" s="380" t="s">
        <v>773</v>
      </c>
      <c r="K4198" s="381">
        <v>0.0</v>
      </c>
      <c r="L4198" s="382">
        <v>1.0</v>
      </c>
    </row>
    <row r="4199">
      <c r="A4199" s="380" t="s">
        <v>5064</v>
      </c>
      <c r="B4199" s="380" t="str">
        <f>IFERROR(__xludf.DUMMYFUNCTION("""COMPUTED_VALUE"""),"Gato Botella 10-12 Toneladas Reparado")</f>
        <v>Gato Botella 10-12 Toneladas Reparado</v>
      </c>
      <c r="C4199" s="380" t="str">
        <f>IFERROR(__xludf.DUMMYFUNCTION("""COMPUTED_VALUE"""),"50001901")</f>
        <v>50001901</v>
      </c>
      <c r="D4199" s="380" t="s">
        <v>767</v>
      </c>
      <c r="E4199" s="380" t="s">
        <v>781</v>
      </c>
      <c r="F4199" s="380" t="s">
        <v>782</v>
      </c>
      <c r="G4199" s="380" t="s">
        <v>1267</v>
      </c>
      <c r="H4199" s="380" t="s">
        <v>771</v>
      </c>
      <c r="I4199" s="380" t="s">
        <v>784</v>
      </c>
      <c r="J4199" s="380" t="s">
        <v>773</v>
      </c>
      <c r="K4199" s="381">
        <v>0.0</v>
      </c>
      <c r="L4199" s="382">
        <v>1.0</v>
      </c>
    </row>
    <row r="4200">
      <c r="A4200" s="380" t="s">
        <v>5065</v>
      </c>
      <c r="B4200" s="380" t="str">
        <f>IFERROR(__xludf.DUMMYFUNCTION("""COMPUTED_VALUE"""),"Regulador Oxicorte Reparado")</f>
        <v>Regulador Oxicorte Reparado</v>
      </c>
      <c r="C4200" s="380" t="str">
        <f>IFERROR(__xludf.DUMMYFUNCTION("""COMPUTED_VALUE"""),"50001902")</f>
        <v>50001902</v>
      </c>
      <c r="D4200" s="380" t="s">
        <v>767</v>
      </c>
      <c r="E4200" s="380" t="s">
        <v>781</v>
      </c>
      <c r="F4200" s="380" t="s">
        <v>782</v>
      </c>
      <c r="G4200" s="380" t="s">
        <v>1267</v>
      </c>
      <c r="H4200" s="380" t="s">
        <v>771</v>
      </c>
      <c r="I4200" s="380" t="s">
        <v>784</v>
      </c>
      <c r="J4200" s="380" t="s">
        <v>773</v>
      </c>
      <c r="K4200" s="381">
        <v>0.0</v>
      </c>
      <c r="L4200" s="382">
        <v>1.0</v>
      </c>
    </row>
    <row r="4201">
      <c r="A4201" s="380" t="s">
        <v>5066</v>
      </c>
      <c r="B4201" s="380" t="str">
        <f>IFERROR(__xludf.DUMMYFUNCTION("""COMPUTED_VALUE"""),"MOT ELEC Probador Alternador Reparado")</f>
        <v>MOT ELEC Probador Alternador Reparado</v>
      </c>
      <c r="C4201" s="380" t="str">
        <f>IFERROR(__xludf.DUMMYFUNCTION("""COMPUTED_VALUE"""),"50001903")</f>
        <v>50001903</v>
      </c>
      <c r="D4201" s="380" t="s">
        <v>767</v>
      </c>
      <c r="E4201" s="380" t="s">
        <v>781</v>
      </c>
      <c r="F4201" s="380" t="s">
        <v>782</v>
      </c>
      <c r="G4201" s="380" t="s">
        <v>1267</v>
      </c>
      <c r="H4201" s="380" t="s">
        <v>771</v>
      </c>
      <c r="I4201" s="380" t="s">
        <v>784</v>
      </c>
      <c r="J4201" s="380" t="s">
        <v>773</v>
      </c>
      <c r="K4201" s="381">
        <v>0.0</v>
      </c>
      <c r="L4201" s="382">
        <v>1.0</v>
      </c>
    </row>
    <row r="4202">
      <c r="A4202" s="380" t="s">
        <v>5067</v>
      </c>
      <c r="B4202" s="380" t="str">
        <f>IFERROR(__xludf.DUMMYFUNCTION("""COMPUTED_VALUE"""),"Prensa De Banco Reparado")</f>
        <v>Prensa De Banco Reparado</v>
      </c>
      <c r="C4202" s="380" t="str">
        <f>IFERROR(__xludf.DUMMYFUNCTION("""COMPUTED_VALUE"""),"50001904")</f>
        <v>50001904</v>
      </c>
      <c r="D4202" s="380" t="s">
        <v>767</v>
      </c>
      <c r="E4202" s="380" t="s">
        <v>781</v>
      </c>
      <c r="F4202" s="380" t="s">
        <v>782</v>
      </c>
      <c r="G4202" s="380" t="s">
        <v>1267</v>
      </c>
      <c r="H4202" s="380" t="s">
        <v>771</v>
      </c>
      <c r="I4202" s="380" t="s">
        <v>784</v>
      </c>
      <c r="J4202" s="380" t="s">
        <v>773</v>
      </c>
      <c r="K4202" s="381">
        <v>0.0</v>
      </c>
      <c r="L4202" s="382">
        <v>1.0</v>
      </c>
    </row>
    <row r="4203">
      <c r="A4203" s="380" t="s">
        <v>5068</v>
      </c>
      <c r="B4203" s="380" t="str">
        <f>IFERROR(__xludf.DUMMYFUNCTION("""COMPUTED_VALUE"""),"Esmeril Reparado")</f>
        <v>Esmeril Reparado</v>
      </c>
      <c r="C4203" s="380" t="str">
        <f>IFERROR(__xludf.DUMMYFUNCTION("""COMPUTED_VALUE"""),"50001905")</f>
        <v>50001905</v>
      </c>
      <c r="D4203" s="380" t="s">
        <v>767</v>
      </c>
      <c r="E4203" s="380" t="s">
        <v>781</v>
      </c>
      <c r="F4203" s="380" t="s">
        <v>782</v>
      </c>
      <c r="G4203" s="380" t="s">
        <v>1267</v>
      </c>
      <c r="H4203" s="380" t="s">
        <v>771</v>
      </c>
      <c r="I4203" s="380" t="s">
        <v>784</v>
      </c>
      <c r="J4203" s="380" t="s">
        <v>773</v>
      </c>
      <c r="K4203" s="381">
        <v>0.0</v>
      </c>
      <c r="L4203" s="382">
        <v>1.0</v>
      </c>
    </row>
    <row r="4204">
      <c r="A4204" s="380" t="s">
        <v>5069</v>
      </c>
      <c r="B4204" s="380" t="str">
        <f>IFERROR(__xludf.DUMMYFUNCTION("""COMPUTED_VALUE"""),"Taladro De Banco Reparado")</f>
        <v>Taladro De Banco Reparado</v>
      </c>
      <c r="C4204" s="380" t="str">
        <f>IFERROR(__xludf.DUMMYFUNCTION("""COMPUTED_VALUE"""),"50001906")</f>
        <v>50001906</v>
      </c>
      <c r="D4204" s="380" t="s">
        <v>767</v>
      </c>
      <c r="E4204" s="380" t="s">
        <v>781</v>
      </c>
      <c r="F4204" s="380" t="s">
        <v>782</v>
      </c>
      <c r="G4204" s="380" t="s">
        <v>1267</v>
      </c>
      <c r="H4204" s="380" t="s">
        <v>771</v>
      </c>
      <c r="I4204" s="380" t="s">
        <v>784</v>
      </c>
      <c r="J4204" s="380" t="s">
        <v>773</v>
      </c>
      <c r="K4204" s="381">
        <v>0.0</v>
      </c>
      <c r="L4204" s="382">
        <v>1.0</v>
      </c>
    </row>
    <row r="4205">
      <c r="A4205" s="380" t="s">
        <v>5070</v>
      </c>
      <c r="B4205" s="380" t="str">
        <f>IFERROR(__xludf.DUMMYFUNCTION("""COMPUTED_VALUE"""),"Pistola De Calor 1500w Reparado")</f>
        <v>Pistola De Calor 1500w Reparado</v>
      </c>
      <c r="C4205" s="380" t="str">
        <f>IFERROR(__xludf.DUMMYFUNCTION("""COMPUTED_VALUE"""),"50001907")</f>
        <v>50001907</v>
      </c>
      <c r="D4205" s="380" t="s">
        <v>767</v>
      </c>
      <c r="E4205" s="380" t="s">
        <v>781</v>
      </c>
      <c r="F4205" s="380" t="s">
        <v>782</v>
      </c>
      <c r="G4205" s="380" t="s">
        <v>1267</v>
      </c>
      <c r="H4205" s="380" t="s">
        <v>771</v>
      </c>
      <c r="I4205" s="380" t="s">
        <v>784</v>
      </c>
      <c r="J4205" s="380" t="s">
        <v>773</v>
      </c>
      <c r="K4205" s="381">
        <v>0.0</v>
      </c>
      <c r="L4205" s="382">
        <v>1.0</v>
      </c>
    </row>
    <row r="4206">
      <c r="A4206" s="380" t="s">
        <v>5071</v>
      </c>
      <c r="B4206" s="380" t="str">
        <f>IFERROR(__xludf.DUMMYFUNCTION("""COMPUTED_VALUE"""),"Copa Cuadrante 3/4x 1 13/16 Sn")</f>
        <v>Copa Cuadrante 3/4x 1 13/16 Sn</v>
      </c>
      <c r="C4206" s="380" t="str">
        <f>IFERROR(__xludf.DUMMYFUNCTION("""COMPUTED_VALUE"""),"50001910")</f>
        <v>50001910</v>
      </c>
      <c r="D4206" s="380" t="s">
        <v>767</v>
      </c>
      <c r="E4206" s="380" t="s">
        <v>781</v>
      </c>
      <c r="F4206" s="380" t="s">
        <v>782</v>
      </c>
      <c r="G4206" s="380" t="s">
        <v>1267</v>
      </c>
      <c r="H4206" s="380" t="s">
        <v>771</v>
      </c>
      <c r="I4206" s="380" t="s">
        <v>784</v>
      </c>
      <c r="J4206" s="380" t="s">
        <v>773</v>
      </c>
      <c r="K4206" s="381">
        <v>0.0</v>
      </c>
      <c r="L4206" s="382">
        <v>1.0</v>
      </c>
    </row>
    <row r="4207">
      <c r="A4207" s="380" t="s">
        <v>5072</v>
      </c>
      <c r="B4207" s="380" t="str">
        <f>IFERROR(__xludf.DUMMYFUNCTION("""COMPUTED_VALUE"""),"Punta Para Mecha Sellomatic")</f>
        <v>Punta Para Mecha Sellomatic</v>
      </c>
      <c r="C4207" s="380" t="str">
        <f>IFERROR(__xludf.DUMMYFUNCTION("""COMPUTED_VALUE"""),"50001911")</f>
        <v>50001911</v>
      </c>
      <c r="D4207" s="380" t="s">
        <v>767</v>
      </c>
      <c r="E4207" s="380" t="s">
        <v>781</v>
      </c>
      <c r="F4207" s="380" t="s">
        <v>782</v>
      </c>
      <c r="G4207" s="380" t="s">
        <v>1267</v>
      </c>
      <c r="H4207" s="380" t="s">
        <v>771</v>
      </c>
      <c r="I4207" s="380" t="s">
        <v>784</v>
      </c>
      <c r="J4207" s="380" t="s">
        <v>773</v>
      </c>
      <c r="K4207" s="381">
        <v>0.0</v>
      </c>
      <c r="L4207" s="382">
        <v>1.0</v>
      </c>
    </row>
    <row r="4208">
      <c r="A4208" s="380" t="s">
        <v>5073</v>
      </c>
      <c r="B4208" s="380" t="str">
        <f>IFERROR(__xludf.DUMMYFUNCTION("""COMPUTED_VALUE"""),"Malla Tipo Doble J Con 2 Punto")</f>
        <v>Malla Tipo Doble J Con 2 Punto</v>
      </c>
      <c r="C4208" s="380" t="str">
        <f>IFERROR(__xludf.DUMMYFUNCTION("""COMPUTED_VALUE"""),"50001912")</f>
        <v>50001912</v>
      </c>
      <c r="D4208" s="380" t="s">
        <v>767</v>
      </c>
      <c r="E4208" s="380" t="s">
        <v>781</v>
      </c>
      <c r="F4208" s="380" t="s">
        <v>830</v>
      </c>
      <c r="G4208" s="380" t="s">
        <v>1267</v>
      </c>
      <c r="H4208" s="380" t="s">
        <v>771</v>
      </c>
      <c r="I4208" s="380" t="s">
        <v>817</v>
      </c>
      <c r="J4208" s="380" t="s">
        <v>773</v>
      </c>
      <c r="K4208" s="381">
        <v>0.0</v>
      </c>
      <c r="L4208" s="382">
        <v>1.0</v>
      </c>
    </row>
    <row r="4209">
      <c r="A4209" s="380" t="s">
        <v>5074</v>
      </c>
      <c r="B4209" s="380" t="str">
        <f>IFERROR(__xludf.DUMMYFUNCTION("""COMPUTED_VALUE"""),"Calcomania Velocidad Max Resol")</f>
        <v>Calcomania Velocidad Max Resol</v>
      </c>
      <c r="C4209" s="380" t="str">
        <f>IFERROR(__xludf.DUMMYFUNCTION("""COMPUTED_VALUE"""),"50001913")</f>
        <v>50001913</v>
      </c>
      <c r="D4209" s="380" t="s">
        <v>767</v>
      </c>
      <c r="E4209" s="380" t="s">
        <v>781</v>
      </c>
      <c r="F4209" s="380" t="s">
        <v>819</v>
      </c>
      <c r="G4209" s="380" t="s">
        <v>1267</v>
      </c>
      <c r="H4209" s="380" t="s">
        <v>771</v>
      </c>
      <c r="I4209" s="380" t="s">
        <v>817</v>
      </c>
      <c r="J4209" s="380" t="s">
        <v>773</v>
      </c>
      <c r="K4209" s="381">
        <v>0.0</v>
      </c>
      <c r="L4209" s="382">
        <v>1.0</v>
      </c>
    </row>
    <row r="4210">
      <c r="A4210" s="380" t="s">
        <v>5075</v>
      </c>
      <c r="B4210" s="380" t="str">
        <f>IFERROR(__xludf.DUMMYFUNCTION("""COMPUTED_VALUE"""),"Pistola Automática Surtidor De")</f>
        <v>Pistola Automática Surtidor De</v>
      </c>
      <c r="C4210" s="380" t="str">
        <f>IFERROR(__xludf.DUMMYFUNCTION("""COMPUTED_VALUE"""),"50001914")</f>
        <v>50001914</v>
      </c>
      <c r="D4210" s="380" t="s">
        <v>767</v>
      </c>
      <c r="E4210" s="380" t="s">
        <v>781</v>
      </c>
      <c r="F4210" s="380" t="s">
        <v>782</v>
      </c>
      <c r="G4210" s="380" t="s">
        <v>1267</v>
      </c>
      <c r="H4210" s="380" t="s">
        <v>771</v>
      </c>
      <c r="I4210" s="380" t="s">
        <v>784</v>
      </c>
      <c r="J4210" s="380" t="s">
        <v>773</v>
      </c>
      <c r="K4210" s="381">
        <v>0.0</v>
      </c>
      <c r="L4210" s="382">
        <v>1.0</v>
      </c>
    </row>
    <row r="4211">
      <c r="A4211" s="380" t="s">
        <v>5076</v>
      </c>
      <c r="B4211" s="380" t="str">
        <f>IFERROR(__xludf.DUMMYFUNCTION("""COMPUTED_VALUE"""),"Platina Acero Inox 2x3/16x6")</f>
        <v>Platina Acero Inox 2x3/16x6</v>
      </c>
      <c r="C4211" s="380" t="str">
        <f>IFERROR(__xludf.DUMMYFUNCTION("""COMPUTED_VALUE"""),"50001916")</f>
        <v>50001916</v>
      </c>
      <c r="D4211" s="380" t="s">
        <v>767</v>
      </c>
      <c r="E4211" s="380" t="s">
        <v>781</v>
      </c>
      <c r="F4211" s="380" t="s">
        <v>830</v>
      </c>
      <c r="G4211" s="380" t="s">
        <v>1267</v>
      </c>
      <c r="H4211" s="380" t="s">
        <v>771</v>
      </c>
      <c r="I4211" s="380" t="s">
        <v>817</v>
      </c>
      <c r="J4211" s="380" t="s">
        <v>773</v>
      </c>
      <c r="K4211" s="381">
        <v>0.0</v>
      </c>
      <c r="L4211" s="382">
        <v>1.0</v>
      </c>
    </row>
    <row r="4212">
      <c r="A4212" s="380" t="s">
        <v>5077</v>
      </c>
      <c r="B4212" s="380" t="str">
        <f>IFERROR(__xludf.DUMMYFUNCTION("""COMPUTED_VALUE"""),"Angulo Acero Inox 2x3/16")</f>
        <v>Angulo Acero Inox 2x3/16</v>
      </c>
      <c r="C4212" s="380" t="str">
        <f>IFERROR(__xludf.DUMMYFUNCTION("""COMPUTED_VALUE"""),"50001917")</f>
        <v>50001917</v>
      </c>
      <c r="D4212" s="380" t="s">
        <v>767</v>
      </c>
      <c r="E4212" s="380" t="s">
        <v>781</v>
      </c>
      <c r="F4212" s="380" t="s">
        <v>830</v>
      </c>
      <c r="G4212" s="380" t="s">
        <v>1267</v>
      </c>
      <c r="H4212" s="380" t="s">
        <v>771</v>
      </c>
      <c r="I4212" s="380" t="s">
        <v>817</v>
      </c>
      <c r="J4212" s="380" t="s">
        <v>773</v>
      </c>
      <c r="K4212" s="381">
        <v>0.0</v>
      </c>
      <c r="L4212" s="382">
        <v>1.0</v>
      </c>
    </row>
    <row r="4213">
      <c r="A4213" s="380" t="s">
        <v>5078</v>
      </c>
      <c r="B4213" s="380" t="str">
        <f>IFERROR(__xludf.DUMMYFUNCTION("""COMPUTED_VALUE"""),"Maya Expandida Rombo 31.4x20.38 C12 122x")</f>
        <v>Maya Expandida Rombo 31.4x20.38 C12 122x</v>
      </c>
      <c r="C4213" s="380" t="str">
        <f>IFERROR(__xludf.DUMMYFUNCTION("""COMPUTED_VALUE"""),"50001918")</f>
        <v>50001918</v>
      </c>
      <c r="D4213" s="380" t="s">
        <v>767</v>
      </c>
      <c r="E4213" s="380" t="s">
        <v>781</v>
      </c>
      <c r="F4213" s="380" t="s">
        <v>830</v>
      </c>
      <c r="G4213" s="380" t="s">
        <v>1267</v>
      </c>
      <c r="H4213" s="380" t="s">
        <v>771</v>
      </c>
      <c r="I4213" s="380" t="s">
        <v>817</v>
      </c>
      <c r="J4213" s="380" t="s">
        <v>773</v>
      </c>
      <c r="K4213" s="381">
        <v>0.0</v>
      </c>
      <c r="L4213" s="382">
        <v>1.0</v>
      </c>
    </row>
    <row r="4214">
      <c r="A4214" s="380" t="s">
        <v>5079</v>
      </c>
      <c r="B4214" s="380" t="str">
        <f>IFERROR(__xludf.DUMMYFUNCTION("""COMPUTED_VALUE"""),"Cinta Enmascarar De 1""")</f>
        <v>Cinta Enmascarar De 1"</v>
      </c>
      <c r="C4214" s="380" t="str">
        <f>IFERROR(__xludf.DUMMYFUNCTION("""COMPUTED_VALUE"""),"50001919")</f>
        <v>50001919</v>
      </c>
      <c r="D4214" s="380" t="s">
        <v>767</v>
      </c>
      <c r="E4214" s="380" t="s">
        <v>781</v>
      </c>
      <c r="F4214" s="380" t="s">
        <v>830</v>
      </c>
      <c r="G4214" s="380" t="s">
        <v>1267</v>
      </c>
      <c r="H4214" s="380" t="s">
        <v>771</v>
      </c>
      <c r="I4214" s="380" t="s">
        <v>817</v>
      </c>
      <c r="J4214" s="380" t="s">
        <v>773</v>
      </c>
      <c r="K4214" s="381">
        <v>0.0</v>
      </c>
      <c r="L4214" s="382">
        <v>1.0</v>
      </c>
    </row>
    <row r="4215">
      <c r="A4215" s="380" t="s">
        <v>5080</v>
      </c>
      <c r="B4215" s="380" t="str">
        <f>IFERROR(__xludf.DUMMYFUNCTION("""COMPUTED_VALUE"""),"Pin Chaveta 1/4 X 3""")</f>
        <v>Pin Chaveta 1/4 X 3"</v>
      </c>
      <c r="C4215" s="380" t="str">
        <f>IFERROR(__xludf.DUMMYFUNCTION("""COMPUTED_VALUE"""),"50001920")</f>
        <v>50001920</v>
      </c>
      <c r="D4215" s="380" t="s">
        <v>767</v>
      </c>
      <c r="E4215" s="380" t="s">
        <v>781</v>
      </c>
      <c r="F4215" s="380" t="s">
        <v>830</v>
      </c>
      <c r="G4215" s="380" t="s">
        <v>1267</v>
      </c>
      <c r="H4215" s="380" t="s">
        <v>771</v>
      </c>
      <c r="I4215" s="380" t="s">
        <v>817</v>
      </c>
      <c r="J4215" s="380" t="s">
        <v>773</v>
      </c>
      <c r="K4215" s="381">
        <v>0.0</v>
      </c>
      <c r="L4215" s="382">
        <v>1.0</v>
      </c>
    </row>
    <row r="4216">
      <c r="A4216" s="380" t="s">
        <v>5081</v>
      </c>
      <c r="B4216" s="380" t="str">
        <f>IFERROR(__xludf.DUMMYFUNCTION("""COMPUTED_VALUE"""),"Buje Bloqueo Puerta Trailer Varios")</f>
        <v>Buje Bloqueo Puerta Trailer Varios</v>
      </c>
      <c r="C4216" s="380" t="str">
        <f>IFERROR(__xludf.DUMMYFUNCTION("""COMPUTED_VALUE"""),"50001921")</f>
        <v>50001921</v>
      </c>
      <c r="D4216" s="380" t="s">
        <v>767</v>
      </c>
      <c r="E4216" s="380" t="s">
        <v>781</v>
      </c>
      <c r="F4216" s="380" t="s">
        <v>830</v>
      </c>
      <c r="G4216" s="380" t="s">
        <v>1267</v>
      </c>
      <c r="H4216" s="380" t="s">
        <v>771</v>
      </c>
      <c r="I4216" s="380" t="s">
        <v>817</v>
      </c>
      <c r="J4216" s="380" t="s">
        <v>773</v>
      </c>
      <c r="K4216" s="381">
        <v>0.0</v>
      </c>
      <c r="L4216" s="382">
        <v>1.0</v>
      </c>
    </row>
    <row r="4217">
      <c r="A4217" s="380" t="s">
        <v>5082</v>
      </c>
      <c r="B4217" s="380" t="str">
        <f>IFERROR(__xludf.DUMMYFUNCTION("""COMPUTED_VALUE"""),"Tubo Negro Red 3/4 2.5mm 6mts")</f>
        <v>Tubo Negro Red 3/4 2.5mm 6mts</v>
      </c>
      <c r="C4217" s="380" t="str">
        <f>IFERROR(__xludf.DUMMYFUNCTION("""COMPUTED_VALUE"""),"50001922")</f>
        <v>50001922</v>
      </c>
      <c r="D4217" s="380" t="s">
        <v>767</v>
      </c>
      <c r="E4217" s="380" t="s">
        <v>781</v>
      </c>
      <c r="F4217" s="380" t="s">
        <v>830</v>
      </c>
      <c r="G4217" s="380" t="s">
        <v>1267</v>
      </c>
      <c r="H4217" s="380" t="s">
        <v>771</v>
      </c>
      <c r="I4217" s="380" t="s">
        <v>817</v>
      </c>
      <c r="J4217" s="380" t="s">
        <v>773</v>
      </c>
      <c r="K4217" s="381">
        <v>0.0</v>
      </c>
      <c r="L4217" s="382">
        <v>1.0</v>
      </c>
    </row>
    <row r="4218">
      <c r="A4218" s="380" t="s">
        <v>5083</v>
      </c>
      <c r="B4218" s="380" t="str">
        <f>IFERROR(__xludf.DUMMYFUNCTION("""COMPUTED_VALUE"""),"Tubo Galv 1"" 2.0mm X 6mt")</f>
        <v>Tubo Galv 1" 2.0mm X 6mt</v>
      </c>
      <c r="C4218" s="380" t="str">
        <f>IFERROR(__xludf.DUMMYFUNCTION("""COMPUTED_VALUE"""),"50001923")</f>
        <v>50001923</v>
      </c>
      <c r="D4218" s="380" t="s">
        <v>767</v>
      </c>
      <c r="E4218" s="380" t="s">
        <v>781</v>
      </c>
      <c r="F4218" s="380" t="s">
        <v>830</v>
      </c>
      <c r="G4218" s="380" t="s">
        <v>1267</v>
      </c>
      <c r="H4218" s="380" t="s">
        <v>771</v>
      </c>
      <c r="I4218" s="380" t="s">
        <v>817</v>
      </c>
      <c r="J4218" s="380" t="s">
        <v>773</v>
      </c>
      <c r="K4218" s="381">
        <v>0.0</v>
      </c>
      <c r="L4218" s="382">
        <v>1.0</v>
      </c>
    </row>
    <row r="4219">
      <c r="A4219" s="380" t="s">
        <v>5084</v>
      </c>
      <c r="B4219" s="380" t="str">
        <f>IFERROR(__xludf.DUMMYFUNCTION("""COMPUTED_VALUE"""),"Bisagra Capsula 3 Cuerpos 5/8")</f>
        <v>Bisagra Capsula 3 Cuerpos 5/8</v>
      </c>
      <c r="C4219" s="380" t="str">
        <f>IFERROR(__xludf.DUMMYFUNCTION("""COMPUTED_VALUE"""),"50001924")</f>
        <v>50001924</v>
      </c>
      <c r="D4219" s="380" t="s">
        <v>767</v>
      </c>
      <c r="E4219" s="380" t="s">
        <v>781</v>
      </c>
      <c r="F4219" s="380" t="s">
        <v>830</v>
      </c>
      <c r="G4219" s="380" t="s">
        <v>1267</v>
      </c>
      <c r="H4219" s="380" t="s">
        <v>771</v>
      </c>
      <c r="I4219" s="380" t="s">
        <v>817</v>
      </c>
      <c r="J4219" s="380" t="s">
        <v>773</v>
      </c>
      <c r="K4219" s="381">
        <v>8036.0</v>
      </c>
      <c r="L4219" s="382">
        <v>1.0</v>
      </c>
    </row>
    <row r="4220">
      <c r="A4220" s="380" t="s">
        <v>5085</v>
      </c>
      <c r="B4220" s="380" t="str">
        <f>IFERROR(__xludf.DUMMYFUNCTION("""COMPUTED_VALUE"""),"Varilla Varilla G-40 1/4 X 6 Mts Redonda")</f>
        <v>Varilla Varilla G-40 1/4 X 6 Mts Redonda</v>
      </c>
      <c r="C4220" s="380" t="str">
        <f>IFERROR(__xludf.DUMMYFUNCTION("""COMPUTED_VALUE"""),"50001926")</f>
        <v>50001926</v>
      </c>
      <c r="D4220" s="380" t="s">
        <v>767</v>
      </c>
      <c r="E4220" s="380" t="s">
        <v>781</v>
      </c>
      <c r="F4220" s="380" t="s">
        <v>830</v>
      </c>
      <c r="G4220" s="380" t="s">
        <v>1267</v>
      </c>
      <c r="H4220" s="380" t="s">
        <v>771</v>
      </c>
      <c r="I4220" s="380" t="s">
        <v>817</v>
      </c>
      <c r="J4220" s="380" t="s">
        <v>773</v>
      </c>
      <c r="K4220" s="381">
        <v>0.0</v>
      </c>
      <c r="L4220" s="382">
        <v>1.0</v>
      </c>
    </row>
    <row r="4221">
      <c r="A4221" s="380" t="s">
        <v>5086</v>
      </c>
      <c r="B4221" s="380" t="str">
        <f>IFERROR(__xludf.DUMMYFUNCTION("""COMPUTED_VALUE"""),"Copa Impact Cuad 1/2 X 13Mm Tb")</f>
        <v>Copa Impact Cuad 1/2 X 13Mm Tb</v>
      </c>
      <c r="C4221" s="380" t="str">
        <f>IFERROR(__xludf.DUMMYFUNCTION("""COMPUTED_VALUE"""),"50001930")</f>
        <v>50001930</v>
      </c>
      <c r="D4221" s="380" t="s">
        <v>767</v>
      </c>
      <c r="E4221" s="380" t="s">
        <v>781</v>
      </c>
      <c r="F4221" s="380" t="s">
        <v>782</v>
      </c>
      <c r="G4221" s="380" t="s">
        <v>1267</v>
      </c>
      <c r="H4221" s="380" t="s">
        <v>771</v>
      </c>
      <c r="I4221" s="380" t="s">
        <v>784</v>
      </c>
      <c r="J4221" s="380" t="s">
        <v>773</v>
      </c>
      <c r="K4221" s="381">
        <v>0.0</v>
      </c>
      <c r="L4221" s="382">
        <v>1.0</v>
      </c>
    </row>
    <row r="4222">
      <c r="A4222" s="380" t="s">
        <v>5087</v>
      </c>
      <c r="B4222" s="380" t="str">
        <f>IFERROR(__xludf.DUMMYFUNCTION("""COMPUTED_VALUE"""),"Copa Larg Cdte 3/4 X 1 1/16 Pr")</f>
        <v>Copa Larg Cdte 3/4 X 1 1/16 Pr</v>
      </c>
      <c r="C4222" s="380" t="str">
        <f>IFERROR(__xludf.DUMMYFUNCTION("""COMPUTED_VALUE"""),"50001931")</f>
        <v>50001931</v>
      </c>
      <c r="D4222" s="380" t="s">
        <v>767</v>
      </c>
      <c r="E4222" s="380" t="s">
        <v>781</v>
      </c>
      <c r="F4222" s="380" t="s">
        <v>782</v>
      </c>
      <c r="G4222" s="380" t="s">
        <v>1267</v>
      </c>
      <c r="H4222" s="380" t="s">
        <v>771</v>
      </c>
      <c r="I4222" s="380" t="s">
        <v>784</v>
      </c>
      <c r="J4222" s="380" t="s">
        <v>773</v>
      </c>
      <c r="K4222" s="381">
        <v>0.0</v>
      </c>
      <c r="L4222" s="382">
        <v>1.0</v>
      </c>
    </row>
    <row r="4223">
      <c r="A4223" s="380" t="s">
        <v>5088</v>
      </c>
      <c r="B4223" s="380" t="str">
        <f>IFERROR(__xludf.DUMMYFUNCTION("""COMPUTED_VALUE"""),"Juego Copa Cuad 1/4 3/16 Proto 3/16A9/16")</f>
        <v>Juego Copa Cuad 1/4 3/16 Proto 3/16A9/16</v>
      </c>
      <c r="C4223" s="380" t="str">
        <f>IFERROR(__xludf.DUMMYFUNCTION("""COMPUTED_VALUE"""),"50001932")</f>
        <v>50001932</v>
      </c>
      <c r="D4223" s="380" t="s">
        <v>767</v>
      </c>
      <c r="E4223" s="380" t="s">
        <v>781</v>
      </c>
      <c r="F4223" s="380" t="s">
        <v>782</v>
      </c>
      <c r="G4223" s="380" t="s">
        <v>1267</v>
      </c>
      <c r="H4223" s="380" t="s">
        <v>771</v>
      </c>
      <c r="I4223" s="380" t="s">
        <v>784</v>
      </c>
      <c r="J4223" s="380" t="s">
        <v>773</v>
      </c>
      <c r="K4223" s="381">
        <v>0.0</v>
      </c>
      <c r="L4223" s="382">
        <v>1.0</v>
      </c>
    </row>
    <row r="4224">
      <c r="A4224" s="380" t="s">
        <v>5089</v>
      </c>
      <c r="B4224" s="380" t="str">
        <f>IFERROR(__xludf.DUMMYFUNCTION("""COMPUTED_VALUE"""),"Lamina Negra Lisa 2 X 3 X 3/8")</f>
        <v>Lamina Negra Lisa 2 X 3 X 3/8</v>
      </c>
      <c r="C4224" s="380" t="str">
        <f>IFERROR(__xludf.DUMMYFUNCTION("""COMPUTED_VALUE"""),"50001933")</f>
        <v>50001933</v>
      </c>
      <c r="D4224" s="380" t="s">
        <v>767</v>
      </c>
      <c r="E4224" s="380" t="s">
        <v>781</v>
      </c>
      <c r="F4224" s="380" t="s">
        <v>830</v>
      </c>
      <c r="G4224" s="380" t="s">
        <v>1267</v>
      </c>
      <c r="H4224" s="380" t="s">
        <v>771</v>
      </c>
      <c r="I4224" s="380" t="s">
        <v>817</v>
      </c>
      <c r="J4224" s="380" t="s">
        <v>773</v>
      </c>
      <c r="K4224" s="381">
        <v>3272500.0</v>
      </c>
      <c r="L4224" s="382">
        <v>1.0</v>
      </c>
    </row>
    <row r="4225">
      <c r="A4225" s="380" t="s">
        <v>5090</v>
      </c>
      <c r="B4225" s="380" t="str">
        <f>IFERROR(__xludf.DUMMYFUNCTION("""COMPUTED_VALUE"""),"Extractor Polea 3 Patas 6"" For")</f>
        <v>Extractor Polea 3 Patas 6" For</v>
      </c>
      <c r="C4225" s="380" t="str">
        <f>IFERROR(__xludf.DUMMYFUNCTION("""COMPUTED_VALUE"""),"50001935")</f>
        <v>50001935</v>
      </c>
      <c r="D4225" s="380" t="s">
        <v>767</v>
      </c>
      <c r="E4225" s="380" t="s">
        <v>781</v>
      </c>
      <c r="F4225" s="380" t="s">
        <v>782</v>
      </c>
      <c r="G4225" s="380" t="s">
        <v>1267</v>
      </c>
      <c r="H4225" s="380" t="s">
        <v>771</v>
      </c>
      <c r="I4225" s="380" t="s">
        <v>784</v>
      </c>
      <c r="J4225" s="380" t="s">
        <v>773</v>
      </c>
      <c r="K4225" s="381">
        <v>0.0</v>
      </c>
      <c r="L4225" s="382">
        <v>1.0</v>
      </c>
    </row>
    <row r="4226">
      <c r="A4226" s="380" t="s">
        <v>5091</v>
      </c>
      <c r="B4226" s="380" t="str">
        <f>IFERROR(__xludf.DUMMYFUNCTION("""COMPUTED_VALUE"""),"Destornillador Punta Torx T8")</f>
        <v>Destornillador Punta Torx T8</v>
      </c>
      <c r="C4226" s="380" t="str">
        <f>IFERROR(__xludf.DUMMYFUNCTION("""COMPUTED_VALUE"""),"50001936")</f>
        <v>50001936</v>
      </c>
      <c r="D4226" s="380" t="s">
        <v>767</v>
      </c>
      <c r="E4226" s="380" t="s">
        <v>781</v>
      </c>
      <c r="F4226" s="380" t="s">
        <v>782</v>
      </c>
      <c r="G4226" s="380" t="s">
        <v>1267</v>
      </c>
      <c r="H4226" s="380" t="s">
        <v>771</v>
      </c>
      <c r="I4226" s="380" t="s">
        <v>784</v>
      </c>
      <c r="J4226" s="380" t="s">
        <v>773</v>
      </c>
      <c r="K4226" s="381">
        <v>31416.0</v>
      </c>
      <c r="L4226" s="382">
        <v>1.0</v>
      </c>
    </row>
    <row r="4227">
      <c r="A4227" s="380" t="s">
        <v>5092</v>
      </c>
      <c r="B4227" s="380" t="str">
        <f>IFERROR(__xludf.DUMMYFUNCTION("""COMPUTED_VALUE"""),"Llanta Ps3 Mixt 155/70r13 Good Year")</f>
        <v>Llanta Ps3 Mixt 155/70r13 Good Year</v>
      </c>
      <c r="C4227" s="380" t="str">
        <f>IFERROR(__xludf.DUMMYFUNCTION("""COMPUTED_VALUE"""),"60000089")</f>
        <v>60000089</v>
      </c>
      <c r="D4227" s="380" t="s">
        <v>767</v>
      </c>
      <c r="E4227" s="380" t="s">
        <v>875</v>
      </c>
      <c r="F4227" s="380" t="s">
        <v>985</v>
      </c>
      <c r="G4227" s="380" t="s">
        <v>1267</v>
      </c>
      <c r="H4227" s="380" t="s">
        <v>771</v>
      </c>
      <c r="I4227" s="380" t="s">
        <v>986</v>
      </c>
      <c r="J4227" s="380" t="s">
        <v>773</v>
      </c>
      <c r="K4227" s="381">
        <v>166600.0</v>
      </c>
      <c r="L4227" s="382">
        <v>1.0</v>
      </c>
    </row>
    <row r="4228">
      <c r="A4228" s="380" t="s">
        <v>5093</v>
      </c>
      <c r="B4228" s="380" t="str">
        <f>IFERROR(__xludf.DUMMYFUNCTION("""COMPUTED_VALUE"""),"Llanta Vikrant Star Lug Tracción 700-15")</f>
        <v>Llanta Vikrant Star Lug Tracción 700-15</v>
      </c>
      <c r="C4228" s="380" t="str">
        <f>IFERROR(__xludf.DUMMYFUNCTION("""COMPUTED_VALUE"""),"60000090")</f>
        <v>60000090</v>
      </c>
      <c r="D4228" s="380" t="s">
        <v>767</v>
      </c>
      <c r="E4228" s="380" t="s">
        <v>875</v>
      </c>
      <c r="F4228" s="380" t="s">
        <v>985</v>
      </c>
      <c r="G4228" s="380" t="s">
        <v>1267</v>
      </c>
      <c r="H4228" s="380" t="s">
        <v>771</v>
      </c>
      <c r="I4228" s="380" t="s">
        <v>986</v>
      </c>
      <c r="J4228" s="380" t="s">
        <v>773</v>
      </c>
      <c r="K4228" s="381">
        <v>562496.0</v>
      </c>
      <c r="L4228" s="382">
        <v>1.0</v>
      </c>
    </row>
    <row r="4229">
      <c r="A4229" s="380" t="s">
        <v>5094</v>
      </c>
      <c r="B4229" s="380" t="str">
        <f>IFERROR(__xludf.DUMMYFUNCTION("""COMPUTED_VALUE"""),"Llant 295/80 TracBd175 52/149m18prBlackl")</f>
        <v>Llant 295/80 TracBd175 52/149m18prBlackl</v>
      </c>
      <c r="C4229" s="380" t="str">
        <f>IFERROR(__xludf.DUMMYFUNCTION("""COMPUTED_VALUE"""),"60000091")</f>
        <v>60000091</v>
      </c>
      <c r="D4229" s="380" t="s">
        <v>767</v>
      </c>
      <c r="E4229" s="380" t="s">
        <v>875</v>
      </c>
      <c r="F4229" s="380" t="s">
        <v>985</v>
      </c>
      <c r="G4229" s="380" t="s">
        <v>1267</v>
      </c>
      <c r="H4229" s="380" t="s">
        <v>771</v>
      </c>
      <c r="I4229" s="380" t="s">
        <v>986</v>
      </c>
      <c r="J4229" s="380" t="s">
        <v>773</v>
      </c>
      <c r="K4229" s="381">
        <v>0.0</v>
      </c>
      <c r="L4229" s="382">
        <v>1.0</v>
      </c>
    </row>
    <row r="4230">
      <c r="A4230" s="380" t="s">
        <v>5095</v>
      </c>
      <c r="B4230" s="380" t="str">
        <f>IFERROR(__xludf.DUMMYFUNCTION("""COMPUTED_VALUE"""),"Llant 295/80 Dir Bt165 154/149m18prBlack")</f>
        <v>Llant 295/80 Dir Bt165 154/149m18prBlack</v>
      </c>
      <c r="C4230" s="380" t="str">
        <f>IFERROR(__xludf.DUMMYFUNCTION("""COMPUTED_VALUE"""),"60000092")</f>
        <v>60000092</v>
      </c>
      <c r="D4230" s="380" t="s">
        <v>767</v>
      </c>
      <c r="E4230" s="380" t="s">
        <v>875</v>
      </c>
      <c r="F4230" s="380" t="s">
        <v>985</v>
      </c>
      <c r="G4230" s="380" t="s">
        <v>1267</v>
      </c>
      <c r="H4230" s="380" t="s">
        <v>771</v>
      </c>
      <c r="I4230" s="380" t="s">
        <v>986</v>
      </c>
      <c r="J4230" s="380" t="s">
        <v>773</v>
      </c>
      <c r="K4230" s="381">
        <v>1168400.0</v>
      </c>
      <c r="L4230" s="382">
        <v>1.0</v>
      </c>
    </row>
    <row r="4231">
      <c r="A4231" s="380" t="s">
        <v>5096</v>
      </c>
      <c r="B4231" s="380" t="str">
        <f>IFERROR(__xludf.DUMMYFUNCTION("""COMPUTED_VALUE"""),"Llanta Sailun S702 Tracción 205/75r17.5")</f>
        <v>Llanta Sailun S702 Tracción 205/75r17.5</v>
      </c>
      <c r="C4231" s="380" t="str">
        <f>IFERROR(__xludf.DUMMYFUNCTION("""COMPUTED_VALUE"""),"60000093")</f>
        <v>60000093</v>
      </c>
      <c r="D4231" s="380" t="s">
        <v>767</v>
      </c>
      <c r="E4231" s="380" t="s">
        <v>875</v>
      </c>
      <c r="F4231" s="380" t="s">
        <v>985</v>
      </c>
      <c r="G4231" s="380" t="s">
        <v>1267</v>
      </c>
      <c r="H4231" s="380" t="s">
        <v>771</v>
      </c>
      <c r="I4231" s="380" t="s">
        <v>986</v>
      </c>
      <c r="J4231" s="380" t="s">
        <v>773</v>
      </c>
      <c r="K4231" s="381">
        <v>590239.0</v>
      </c>
      <c r="L4231" s="382">
        <v>1.0</v>
      </c>
    </row>
    <row r="4232">
      <c r="A4232" s="380" t="s">
        <v>5097</v>
      </c>
      <c r="B4232" s="380" t="str">
        <f>IFERROR(__xludf.DUMMYFUNCTION("""COMPUTED_VALUE"""),"Llanta Direcciona 295/80r22.5 Zeta Dr966")</f>
        <v>Llanta Direcciona 295/80r22.5 Zeta Dr966</v>
      </c>
      <c r="C4232" s="380" t="str">
        <f>IFERROR(__xludf.DUMMYFUNCTION("""COMPUTED_VALUE"""),"60000094")</f>
        <v>60000094</v>
      </c>
      <c r="D4232" s="380" t="s">
        <v>767</v>
      </c>
      <c r="E4232" s="380" t="s">
        <v>875</v>
      </c>
      <c r="F4232" s="380" t="s">
        <v>985</v>
      </c>
      <c r="G4232" s="380" t="s">
        <v>1267</v>
      </c>
      <c r="H4232" s="380" t="s">
        <v>771</v>
      </c>
      <c r="I4232" s="380" t="s">
        <v>986</v>
      </c>
      <c r="J4232" s="380" t="s">
        <v>773</v>
      </c>
      <c r="K4232" s="381">
        <v>1130000.0</v>
      </c>
      <c r="L4232" s="382">
        <v>1.0</v>
      </c>
    </row>
    <row r="4233">
      <c r="A4233" s="380" t="s">
        <v>5098</v>
      </c>
      <c r="B4233" s="380" t="str">
        <f>IFERROR(__xludf.DUMMYFUNCTION("""COMPUTED_VALUE"""),"Llanta Dir 295/80r22. 5 Linglong Kta303")</f>
        <v>Llanta Dir 295/80r22. 5 Linglong Kta303</v>
      </c>
      <c r="C4233" s="380" t="str">
        <f>IFERROR(__xludf.DUMMYFUNCTION("""COMPUTED_VALUE"""),"60000095")</f>
        <v>60000095</v>
      </c>
      <c r="D4233" s="380" t="s">
        <v>767</v>
      </c>
      <c r="E4233" s="380" t="s">
        <v>875</v>
      </c>
      <c r="F4233" s="380" t="s">
        <v>985</v>
      </c>
      <c r="G4233" s="380" t="s">
        <v>1267</v>
      </c>
      <c r="H4233" s="380" t="s">
        <v>771</v>
      </c>
      <c r="I4233" s="380" t="s">
        <v>986</v>
      </c>
      <c r="J4233" s="380" t="s">
        <v>773</v>
      </c>
      <c r="K4233" s="381">
        <v>0.0</v>
      </c>
      <c r="L4233" s="382">
        <v>1.0</v>
      </c>
    </row>
    <row r="4234">
      <c r="A4234" s="380" t="s">
        <v>5099</v>
      </c>
      <c r="B4234" s="380" t="str">
        <f>IFERROR(__xludf.DUMMYFUNCTION("""COMPUTED_VALUE"""),"Llanta Delantera Trasera 215/75r16 Lt")</f>
        <v>Llanta Delantera Trasera 215/75r16 Lt</v>
      </c>
      <c r="C4234" s="380" t="str">
        <f>IFERROR(__xludf.DUMMYFUNCTION("""COMPUTED_VALUE"""),"60000096")</f>
        <v>60000096</v>
      </c>
      <c r="D4234" s="380" t="s">
        <v>767</v>
      </c>
      <c r="E4234" s="380" t="s">
        <v>875</v>
      </c>
      <c r="F4234" s="380" t="s">
        <v>985</v>
      </c>
      <c r="G4234" s="380" t="s">
        <v>1267</v>
      </c>
      <c r="H4234" s="380" t="s">
        <v>771</v>
      </c>
      <c r="I4234" s="380" t="s">
        <v>986</v>
      </c>
      <c r="J4234" s="380" t="s">
        <v>773</v>
      </c>
      <c r="K4234" s="381">
        <v>0.0</v>
      </c>
      <c r="L4234" s="382">
        <v>1.0</v>
      </c>
    </row>
    <row r="4235">
      <c r="A4235" s="380" t="s">
        <v>5100</v>
      </c>
      <c r="B4235" s="380" t="str">
        <f>IFERROR(__xludf.DUMMYFUNCTION("""COMPUTED_VALUE"""),"Llanta 700-15 Mixta Goodyear Chm 189")</f>
        <v>Llanta 700-15 Mixta Goodyear Chm 189</v>
      </c>
      <c r="C4235" s="380" t="str">
        <f>IFERROR(__xludf.DUMMYFUNCTION("""COMPUTED_VALUE"""),"60000097")</f>
        <v>60000097</v>
      </c>
      <c r="D4235" s="380" t="s">
        <v>767</v>
      </c>
      <c r="E4235" s="380" t="s">
        <v>875</v>
      </c>
      <c r="F4235" s="380" t="s">
        <v>985</v>
      </c>
      <c r="G4235" s="380" t="s">
        <v>1267</v>
      </c>
      <c r="H4235" s="380" t="s">
        <v>771</v>
      </c>
      <c r="I4235" s="380" t="s">
        <v>986</v>
      </c>
      <c r="J4235" s="380" t="s">
        <v>773</v>
      </c>
      <c r="K4235" s="381">
        <v>0.0</v>
      </c>
      <c r="L4235" s="382">
        <v>1.0</v>
      </c>
    </row>
    <row r="4236">
      <c r="A4236" s="380" t="s">
        <v>5101</v>
      </c>
      <c r="B4236" s="380" t="str">
        <f>IFERROR(__xludf.DUMMYFUNCTION("""COMPUTED_VALUE"""),"Llanta 295/80 M729 Ez Traccio Brigestone")</f>
        <v>Llanta 295/80 M729 Ez Traccio Brigestone</v>
      </c>
      <c r="C4236" s="380" t="str">
        <f>IFERROR(__xludf.DUMMYFUNCTION("""COMPUTED_VALUE"""),"60000098")</f>
        <v>60000098</v>
      </c>
      <c r="D4236" s="380" t="s">
        <v>767</v>
      </c>
      <c r="E4236" s="380" t="s">
        <v>875</v>
      </c>
      <c r="F4236" s="380" t="s">
        <v>985</v>
      </c>
      <c r="G4236" s="380" t="s">
        <v>1267</v>
      </c>
      <c r="H4236" s="380" t="s">
        <v>771</v>
      </c>
      <c r="I4236" s="380" t="s">
        <v>986</v>
      </c>
      <c r="J4236" s="380" t="s">
        <v>773</v>
      </c>
      <c r="K4236" s="381">
        <v>0.0</v>
      </c>
      <c r="L4236" s="382">
        <v>1.0</v>
      </c>
    </row>
    <row r="4237">
      <c r="A4237" s="380" t="s">
        <v>5102</v>
      </c>
      <c r="B4237" s="380" t="str">
        <f>IFERROR(__xludf.DUMMYFUNCTION("""COMPUTED_VALUE"""),"Llanta Kenda Kr12 Direccional")</f>
        <v>Llanta Kenda Kr12 Direccional</v>
      </c>
      <c r="C4237" s="380" t="str">
        <f>IFERROR(__xludf.DUMMYFUNCTION("""COMPUTED_VALUE"""),"60000099")</f>
        <v>60000099</v>
      </c>
      <c r="D4237" s="380" t="s">
        <v>767</v>
      </c>
      <c r="E4237" s="380" t="s">
        <v>875</v>
      </c>
      <c r="F4237" s="380" t="s">
        <v>985</v>
      </c>
      <c r="G4237" s="380" t="s">
        <v>1267</v>
      </c>
      <c r="H4237" s="380" t="s">
        <v>771</v>
      </c>
      <c r="I4237" s="380" t="s">
        <v>986</v>
      </c>
      <c r="J4237" s="380" t="s">
        <v>773</v>
      </c>
      <c r="K4237" s="381">
        <v>532080.0</v>
      </c>
      <c r="L4237" s="382">
        <v>1.0</v>
      </c>
    </row>
    <row r="4238">
      <c r="A4238" s="380" t="s">
        <v>5103</v>
      </c>
      <c r="B4238" s="380" t="str">
        <f>IFERROR(__xludf.DUMMYFUNCTION("""COMPUTED_VALUE"""),"Llanta Dir GY Caminera 10 Lonas 700r16")</f>
        <v>Llanta Dir GY Caminera 10 Lonas 700r16</v>
      </c>
      <c r="C4238" s="380" t="str">
        <f>IFERROR(__xludf.DUMMYFUNCTION("""COMPUTED_VALUE"""),"60000100")</f>
        <v>60000100</v>
      </c>
      <c r="D4238" s="380" t="s">
        <v>767</v>
      </c>
      <c r="E4238" s="380" t="s">
        <v>875</v>
      </c>
      <c r="F4238" s="380" t="s">
        <v>985</v>
      </c>
      <c r="G4238" s="380" t="s">
        <v>1267</v>
      </c>
      <c r="H4238" s="380" t="s">
        <v>771</v>
      </c>
      <c r="I4238" s="380" t="s">
        <v>986</v>
      </c>
      <c r="J4238" s="380" t="s">
        <v>773</v>
      </c>
      <c r="K4238" s="381">
        <v>460891.0</v>
      </c>
      <c r="L4238" s="382">
        <v>1.0</v>
      </c>
    </row>
    <row r="4239">
      <c r="A4239" s="380" t="s">
        <v>5104</v>
      </c>
      <c r="B4239" s="380" t="str">
        <f>IFERROR(__xludf.DUMMYFUNCTION("""COMPUTED_VALUE"""),"Llanta Goodyear Ct-162 700-15 Traccion")</f>
        <v>Llanta Goodyear Ct-162 700-15 Traccion</v>
      </c>
      <c r="C4239" s="380" t="str">
        <f>IFERROR(__xludf.DUMMYFUNCTION("""COMPUTED_VALUE"""),"60000101")</f>
        <v>60000101</v>
      </c>
      <c r="D4239" s="380" t="s">
        <v>767</v>
      </c>
      <c r="E4239" s="380" t="s">
        <v>875</v>
      </c>
      <c r="F4239" s="380" t="s">
        <v>985</v>
      </c>
      <c r="G4239" s="380" t="s">
        <v>1267</v>
      </c>
      <c r="H4239" s="380" t="s">
        <v>771</v>
      </c>
      <c r="I4239" s="380" t="s">
        <v>986</v>
      </c>
      <c r="J4239" s="380" t="s">
        <v>773</v>
      </c>
      <c r="K4239" s="381">
        <v>0.0</v>
      </c>
      <c r="L4239" s="382">
        <v>1.0</v>
      </c>
    </row>
    <row r="4240">
      <c r="A4240" s="380" t="s">
        <v>5105</v>
      </c>
      <c r="B4240" s="380" t="str">
        <f>IFERROR(__xludf.DUMMYFUNCTION("""COMPUTED_VALUE"""),"Llanta 750-16 Ctt122/118j 14 Ct52")</f>
        <v>Llanta 750-16 Ctt122/118j 14 Ct52</v>
      </c>
      <c r="C4240" s="380" t="str">
        <f>IFERROR(__xludf.DUMMYFUNCTION("""COMPUTED_VALUE"""),"60000102")</f>
        <v>60000102</v>
      </c>
      <c r="D4240" s="380" t="s">
        <v>767</v>
      </c>
      <c r="E4240" s="380" t="s">
        <v>875</v>
      </c>
      <c r="F4240" s="380" t="s">
        <v>985</v>
      </c>
      <c r="G4240" s="380" t="s">
        <v>1267</v>
      </c>
      <c r="H4240" s="380" t="s">
        <v>771</v>
      </c>
      <c r="I4240" s="380" t="s">
        <v>986</v>
      </c>
      <c r="J4240" s="380" t="s">
        <v>773</v>
      </c>
      <c r="K4240" s="381">
        <v>0.0</v>
      </c>
      <c r="L4240" s="382">
        <v>1.0</v>
      </c>
    </row>
    <row r="4241">
      <c r="A4241" s="380" t="s">
        <v>5106</v>
      </c>
      <c r="B4241" s="380" t="str">
        <f>IFERROR(__xludf.DUMMYFUNCTION("""COMPUTED_VALUE"""),"Llanta Numa Del Montacarga 21x8x15")</f>
        <v>Llanta Numa Del Montacarga 21x8x15</v>
      </c>
      <c r="C4241" s="380" t="str">
        <f>IFERROR(__xludf.DUMMYFUNCTION("""COMPUTED_VALUE"""),"60000103")</f>
        <v>60000103</v>
      </c>
      <c r="D4241" s="380" t="s">
        <v>767</v>
      </c>
      <c r="E4241" s="380" t="s">
        <v>875</v>
      </c>
      <c r="F4241" s="380" t="s">
        <v>985</v>
      </c>
      <c r="G4241" s="380" t="s">
        <v>1267</v>
      </c>
      <c r="H4241" s="380" t="s">
        <v>771</v>
      </c>
      <c r="I4241" s="380" t="s">
        <v>986</v>
      </c>
      <c r="J4241" s="380" t="s">
        <v>773</v>
      </c>
      <c r="K4241" s="381">
        <v>0.0</v>
      </c>
      <c r="L4241" s="382">
        <v>1.0</v>
      </c>
    </row>
    <row r="4242">
      <c r="A4242" s="380" t="s">
        <v>5107</v>
      </c>
      <c r="B4242" s="380" t="str">
        <f>IFERROR(__xludf.DUMMYFUNCTION("""COMPUTED_VALUE"""),"Llanta 275/80r22.5 Direccio Pirelli MC01")</f>
        <v>Llanta 275/80r22.5 Direccio Pirelli MC01</v>
      </c>
      <c r="C4242" s="380" t="str">
        <f>IFERROR(__xludf.DUMMYFUNCTION("""COMPUTED_VALUE"""),"60000104")</f>
        <v>60000104</v>
      </c>
      <c r="D4242" s="380" t="s">
        <v>767</v>
      </c>
      <c r="E4242" s="380" t="s">
        <v>875</v>
      </c>
      <c r="F4242" s="380" t="s">
        <v>985</v>
      </c>
      <c r="G4242" s="380" t="s">
        <v>1267</v>
      </c>
      <c r="H4242" s="380" t="s">
        <v>771</v>
      </c>
      <c r="I4242" s="380" t="s">
        <v>986</v>
      </c>
      <c r="J4242" s="380" t="s">
        <v>773</v>
      </c>
      <c r="K4242" s="381">
        <v>0.0</v>
      </c>
      <c r="L4242" s="382">
        <v>1.0</v>
      </c>
    </row>
    <row r="4243">
      <c r="A4243" s="380" t="s">
        <v>5108</v>
      </c>
      <c r="B4243" s="380" t="str">
        <f>IFERROR(__xludf.DUMMYFUNCTION("""COMPUTED_VALUE"""),"Llanta 275/80r22.5 Tracción Pirelli Tr01")</f>
        <v>Llanta 275/80r22.5 Tracción Pirelli Tr01</v>
      </c>
      <c r="C4243" s="380" t="str">
        <f>IFERROR(__xludf.DUMMYFUNCTION("""COMPUTED_VALUE"""),"60000105")</f>
        <v>60000105</v>
      </c>
      <c r="D4243" s="380" t="s">
        <v>767</v>
      </c>
      <c r="E4243" s="380" t="s">
        <v>875</v>
      </c>
      <c r="F4243" s="380" t="s">
        <v>985</v>
      </c>
      <c r="G4243" s="380" t="s">
        <v>1267</v>
      </c>
      <c r="H4243" s="380" t="s">
        <v>771</v>
      </c>
      <c r="I4243" s="380" t="s">
        <v>986</v>
      </c>
      <c r="J4243" s="380" t="s">
        <v>773</v>
      </c>
      <c r="K4243" s="381">
        <v>0.0</v>
      </c>
      <c r="L4243" s="382">
        <v>1.0</v>
      </c>
    </row>
    <row r="4244">
      <c r="A4244" s="380" t="s">
        <v>5109</v>
      </c>
      <c r="B4244" s="380" t="str">
        <f>IFERROR(__xludf.DUMMYFUNCTION("""COMPUTED_VALUE"""),"Llanta 275/80r22.5 Dir XMultiZ Michellin")</f>
        <v>Llanta 275/80r22.5 Dir XMultiZ Michellin</v>
      </c>
      <c r="C4244" s="380" t="str">
        <f>IFERROR(__xludf.DUMMYFUNCTION("""COMPUTED_VALUE"""),"60000106")</f>
        <v>60000106</v>
      </c>
      <c r="D4244" s="380" t="s">
        <v>767</v>
      </c>
      <c r="E4244" s="380" t="s">
        <v>875</v>
      </c>
      <c r="F4244" s="380" t="s">
        <v>985</v>
      </c>
      <c r="G4244" s="380" t="s">
        <v>1267</v>
      </c>
      <c r="H4244" s="380" t="s">
        <v>771</v>
      </c>
      <c r="I4244" s="380" t="s">
        <v>986</v>
      </c>
      <c r="J4244" s="380" t="s">
        <v>773</v>
      </c>
      <c r="K4244" s="381">
        <v>0.0</v>
      </c>
      <c r="L4244" s="382">
        <v>1.0</v>
      </c>
    </row>
    <row r="4245">
      <c r="A4245" s="380" t="s">
        <v>5110</v>
      </c>
      <c r="B4245" s="380" t="str">
        <f>IFERROR(__xludf.DUMMYFUNCTION("""COMPUTED_VALUE"""),"Llanta 205/75 R17.5 Dir S637+14pr Sailun")</f>
        <v>Llanta 205/75 R17.5 Dir S637+14pr Sailun</v>
      </c>
      <c r="C4245" s="380" t="str">
        <f>IFERROR(__xludf.DUMMYFUNCTION("""COMPUTED_VALUE"""),"60000107")</f>
        <v>60000107</v>
      </c>
      <c r="D4245" s="380" t="s">
        <v>767</v>
      </c>
      <c r="E4245" s="380" t="s">
        <v>875</v>
      </c>
      <c r="F4245" s="380" t="s">
        <v>985</v>
      </c>
      <c r="G4245" s="380" t="s">
        <v>1267</v>
      </c>
      <c r="H4245" s="380" t="s">
        <v>771</v>
      </c>
      <c r="I4245" s="380" t="s">
        <v>986</v>
      </c>
      <c r="J4245" s="380" t="s">
        <v>773</v>
      </c>
      <c r="K4245" s="381">
        <v>0.0</v>
      </c>
      <c r="L4245" s="382">
        <v>1.0</v>
      </c>
    </row>
    <row r="4246">
      <c r="A4246" s="380" t="s">
        <v>5111</v>
      </c>
      <c r="B4246" s="380" t="str">
        <f>IFERROR(__xludf.DUMMYFUNCTION("""COMPUTED_VALUE"""),"Llanta 235/75r17.5 Dir S637 16pr Sailun")</f>
        <v>Llanta 235/75r17.5 Dir S637 16pr Sailun</v>
      </c>
      <c r="C4246" s="380" t="str">
        <f>IFERROR(__xludf.DUMMYFUNCTION("""COMPUTED_VALUE"""),"60000108")</f>
        <v>60000108</v>
      </c>
      <c r="D4246" s="380" t="s">
        <v>767</v>
      </c>
      <c r="E4246" s="380" t="s">
        <v>875</v>
      </c>
      <c r="F4246" s="380" t="s">
        <v>985</v>
      </c>
      <c r="G4246" s="380" t="s">
        <v>1267</v>
      </c>
      <c r="H4246" s="380" t="s">
        <v>771</v>
      </c>
      <c r="I4246" s="380" t="s">
        <v>986</v>
      </c>
      <c r="J4246" s="380" t="s">
        <v>773</v>
      </c>
      <c r="K4246" s="381">
        <v>600950.0</v>
      </c>
      <c r="L4246" s="382">
        <v>1.0</v>
      </c>
    </row>
    <row r="4247">
      <c r="A4247" s="380" t="s">
        <v>5112</v>
      </c>
      <c r="B4247" s="380" t="str">
        <f>IFERROR(__xludf.DUMMYFUNCTION("""COMPUTED_VALUE"""),"Llanta 235/75r17.5 Trac S702 16pr Sailun")</f>
        <v>Llanta 235/75r17.5 Trac S702 16pr Sailun</v>
      </c>
      <c r="C4247" s="380" t="str">
        <f>IFERROR(__xludf.DUMMYFUNCTION("""COMPUTED_VALUE"""),"60000109")</f>
        <v>60000109</v>
      </c>
      <c r="D4247" s="380" t="s">
        <v>767</v>
      </c>
      <c r="E4247" s="380" t="s">
        <v>875</v>
      </c>
      <c r="F4247" s="380" t="s">
        <v>985</v>
      </c>
      <c r="G4247" s="380" t="s">
        <v>1267</v>
      </c>
      <c r="H4247" s="380" t="s">
        <v>771</v>
      </c>
      <c r="I4247" s="380" t="s">
        <v>986</v>
      </c>
      <c r="J4247" s="380" t="s">
        <v>773</v>
      </c>
      <c r="K4247" s="381">
        <v>642600.0</v>
      </c>
      <c r="L4247" s="382">
        <v>1.0</v>
      </c>
    </row>
    <row r="4248">
      <c r="A4248" s="380" t="s">
        <v>5113</v>
      </c>
      <c r="B4248" s="380" t="str">
        <f>IFERROR(__xludf.DUMMYFUNCTION("""COMPUTED_VALUE"""),"Llanta Direccion 295/80r22.5 Sailun S606")</f>
        <v>Llanta Direccion 295/80r22.5 Sailun S606</v>
      </c>
      <c r="C4248" s="380" t="str">
        <f>IFERROR(__xludf.DUMMYFUNCTION("""COMPUTED_VALUE"""),"60000110")</f>
        <v>60000110</v>
      </c>
      <c r="D4248" s="380" t="s">
        <v>767</v>
      </c>
      <c r="E4248" s="380" t="s">
        <v>875</v>
      </c>
      <c r="F4248" s="380" t="s">
        <v>985</v>
      </c>
      <c r="G4248" s="380" t="s">
        <v>1267</v>
      </c>
      <c r="H4248" s="380" t="s">
        <v>771</v>
      </c>
      <c r="I4248" s="380" t="s">
        <v>986</v>
      </c>
      <c r="J4248" s="380" t="s">
        <v>773</v>
      </c>
      <c r="K4248" s="381">
        <v>0.0</v>
      </c>
      <c r="L4248" s="382">
        <v>1.0</v>
      </c>
    </row>
    <row r="4249">
      <c r="A4249" s="380" t="s">
        <v>5114</v>
      </c>
      <c r="B4249" s="380" t="str">
        <f>IFERROR(__xludf.DUMMYFUNCTION("""COMPUTED_VALUE"""),"Llanta Traccion 295/80r22.5 Sailun S702")</f>
        <v>Llanta Traccion 295/80r22.5 Sailun S702</v>
      </c>
      <c r="C4249" s="380" t="str">
        <f>IFERROR(__xludf.DUMMYFUNCTION("""COMPUTED_VALUE"""),"60000111")</f>
        <v>60000111</v>
      </c>
      <c r="D4249" s="380" t="s">
        <v>767</v>
      </c>
      <c r="E4249" s="380" t="s">
        <v>875</v>
      </c>
      <c r="F4249" s="380" t="s">
        <v>985</v>
      </c>
      <c r="G4249" s="380" t="s">
        <v>1267</v>
      </c>
      <c r="H4249" s="380" t="s">
        <v>771</v>
      </c>
      <c r="I4249" s="380" t="s">
        <v>986</v>
      </c>
      <c r="J4249" s="380" t="s">
        <v>773</v>
      </c>
      <c r="K4249" s="381">
        <v>0.0</v>
      </c>
      <c r="L4249" s="382">
        <v>1.0</v>
      </c>
    </row>
    <row r="4250">
      <c r="A4250" s="380" t="s">
        <v>5115</v>
      </c>
      <c r="B4250" s="380" t="str">
        <f>IFERROR(__xludf.DUMMYFUNCTION("""COMPUTED_VALUE"""),"Llanta Direccional Ct52 750-16 Pirelli")</f>
        <v>Llanta Direccional Ct52 750-16 Pirelli</v>
      </c>
      <c r="C4250" s="380" t="str">
        <f>IFERROR(__xludf.DUMMYFUNCTION("""COMPUTED_VALUE"""),"60000112")</f>
        <v>60000112</v>
      </c>
      <c r="D4250" s="380" t="s">
        <v>767</v>
      </c>
      <c r="E4250" s="380" t="s">
        <v>875</v>
      </c>
      <c r="F4250" s="380" t="s">
        <v>985</v>
      </c>
      <c r="G4250" s="380" t="s">
        <v>1267</v>
      </c>
      <c r="H4250" s="380" t="s">
        <v>771</v>
      </c>
      <c r="I4250" s="380" t="s">
        <v>986</v>
      </c>
      <c r="J4250" s="380" t="s">
        <v>773</v>
      </c>
      <c r="K4250" s="381">
        <v>0.0</v>
      </c>
      <c r="L4250" s="382">
        <v>1.0</v>
      </c>
    </row>
    <row r="4251">
      <c r="A4251" s="380" t="s">
        <v>5116</v>
      </c>
      <c r="B4251" s="380" t="str">
        <f>IFERROR(__xludf.DUMMYFUNCTION("""COMPUTED_VALUE"""),"Llanta 295/80 Direccional Falken Ri151")</f>
        <v>Llanta 295/80 Direccional Falken Ri151</v>
      </c>
      <c r="C4251" s="380" t="str">
        <f>IFERROR(__xludf.DUMMYFUNCTION("""COMPUTED_VALUE"""),"60000113")</f>
        <v>60000113</v>
      </c>
      <c r="D4251" s="380" t="s">
        <v>767</v>
      </c>
      <c r="E4251" s="380" t="s">
        <v>875</v>
      </c>
      <c r="F4251" s="380" t="s">
        <v>985</v>
      </c>
      <c r="G4251" s="380" t="s">
        <v>1267</v>
      </c>
      <c r="H4251" s="380" t="s">
        <v>771</v>
      </c>
      <c r="I4251" s="380" t="s">
        <v>986</v>
      </c>
      <c r="J4251" s="380" t="s">
        <v>773</v>
      </c>
      <c r="K4251" s="381">
        <v>0.0</v>
      </c>
      <c r="L4251" s="382">
        <v>1.0</v>
      </c>
    </row>
    <row r="4252">
      <c r="A4252" s="380" t="s">
        <v>5117</v>
      </c>
      <c r="B4252" s="380" t="str">
        <f>IFERROR(__xludf.DUMMYFUNCTION("""COMPUTED_VALUE"""),"Llanta 295/80 Traccion Falken Bi852")</f>
        <v>Llanta 295/80 Traccion Falken Bi852</v>
      </c>
      <c r="C4252" s="380" t="str">
        <f>IFERROR(__xludf.DUMMYFUNCTION("""COMPUTED_VALUE"""),"60000114")</f>
        <v>60000114</v>
      </c>
      <c r="D4252" s="380" t="s">
        <v>767</v>
      </c>
      <c r="E4252" s="380" t="s">
        <v>875</v>
      </c>
      <c r="F4252" s="380" t="s">
        <v>985</v>
      </c>
      <c r="G4252" s="380" t="s">
        <v>1267</v>
      </c>
      <c r="H4252" s="380" t="s">
        <v>771</v>
      </c>
      <c r="I4252" s="380" t="s">
        <v>986</v>
      </c>
      <c r="J4252" s="380" t="s">
        <v>773</v>
      </c>
      <c r="K4252" s="381">
        <v>0.0</v>
      </c>
      <c r="L4252" s="382">
        <v>1.0</v>
      </c>
    </row>
    <row r="4253">
      <c r="A4253" s="380" t="s">
        <v>5118</v>
      </c>
      <c r="B4253" s="380" t="str">
        <f>IFERROR(__xludf.DUMMYFUNCTION("""COMPUTED_VALUE"""),"Llanta 295/80 Kaspen S02 Trailer")</f>
        <v>Llanta 295/80 Kaspen S02 Trailer</v>
      </c>
      <c r="C4253" s="380" t="str">
        <f>IFERROR(__xludf.DUMMYFUNCTION("""COMPUTED_VALUE"""),"60000115")</f>
        <v>60000115</v>
      </c>
      <c r="D4253" s="380" t="s">
        <v>767</v>
      </c>
      <c r="E4253" s="380" t="s">
        <v>875</v>
      </c>
      <c r="F4253" s="380" t="s">
        <v>985</v>
      </c>
      <c r="G4253" s="380" t="s">
        <v>1267</v>
      </c>
      <c r="H4253" s="380" t="s">
        <v>771</v>
      </c>
      <c r="I4253" s="380" t="s">
        <v>986</v>
      </c>
      <c r="J4253" s="380" t="s">
        <v>773</v>
      </c>
      <c r="K4253" s="381">
        <v>0.0</v>
      </c>
      <c r="L4253" s="382">
        <v>1.0</v>
      </c>
    </row>
    <row r="4254">
      <c r="A4254" s="380" t="s">
        <v>5119</v>
      </c>
      <c r="B4254" s="380" t="str">
        <f>IFERROR(__xludf.DUMMYFUNCTION("""COMPUTED_VALUE"""),"Llanta Kapsen Hs202 Trac 295/80r22.5")</f>
        <v>Llanta Kapsen Hs202 Trac 295/80r22.5</v>
      </c>
      <c r="C4254" s="380" t="str">
        <f>IFERROR(__xludf.DUMMYFUNCTION("""COMPUTED_VALUE"""),"60000116")</f>
        <v>60000116</v>
      </c>
      <c r="D4254" s="380" t="s">
        <v>767</v>
      </c>
      <c r="E4254" s="380" t="s">
        <v>875</v>
      </c>
      <c r="F4254" s="380" t="s">
        <v>985</v>
      </c>
      <c r="G4254" s="380" t="s">
        <v>1267</v>
      </c>
      <c r="H4254" s="380" t="s">
        <v>771</v>
      </c>
      <c r="I4254" s="380" t="s">
        <v>986</v>
      </c>
      <c r="J4254" s="380" t="s">
        <v>773</v>
      </c>
      <c r="K4254" s="381">
        <v>0.0</v>
      </c>
      <c r="L4254" s="382">
        <v>1.0</v>
      </c>
    </row>
    <row r="4255">
      <c r="A4255" s="380" t="s">
        <v>5120</v>
      </c>
      <c r="B4255" s="380" t="str">
        <f>IFERROR(__xludf.DUMMYFUNCTION("""COMPUTED_VALUE"""),"Llanta Delantera Trasera 175/70r14 C")</f>
        <v>Llanta Delantera Trasera 175/70r14 C</v>
      </c>
      <c r="C4255" s="380" t="str">
        <f>IFERROR(__xludf.DUMMYFUNCTION("""COMPUTED_VALUE"""),"60000117")</f>
        <v>60000117</v>
      </c>
      <c r="D4255" s="380" t="s">
        <v>767</v>
      </c>
      <c r="E4255" s="380" t="s">
        <v>875</v>
      </c>
      <c r="F4255" s="380" t="s">
        <v>985</v>
      </c>
      <c r="G4255" s="380" t="s">
        <v>1267</v>
      </c>
      <c r="H4255" s="380" t="s">
        <v>771</v>
      </c>
      <c r="I4255" s="380" t="s">
        <v>986</v>
      </c>
      <c r="J4255" s="380" t="s">
        <v>773</v>
      </c>
      <c r="K4255" s="381">
        <v>0.0</v>
      </c>
      <c r="L4255" s="382">
        <v>1.0</v>
      </c>
    </row>
    <row r="4256">
      <c r="A4256" s="380" t="s">
        <v>5121</v>
      </c>
      <c r="B4256" s="380" t="str">
        <f>IFERROR(__xludf.DUMMYFUNCTION("""COMPUTED_VALUE"""),"Llanta Micheli XmultiZ2 Dir 295/80 R22.5")</f>
        <v>Llanta Micheli XmultiZ2 Dir 295/80 R22.5</v>
      </c>
      <c r="C4256" s="380" t="str">
        <f>IFERROR(__xludf.DUMMYFUNCTION("""COMPUTED_VALUE"""),"60000118")</f>
        <v>60000118</v>
      </c>
      <c r="D4256" s="380" t="s">
        <v>767</v>
      </c>
      <c r="E4256" s="380" t="s">
        <v>875</v>
      </c>
      <c r="F4256" s="380" t="s">
        <v>985</v>
      </c>
      <c r="G4256" s="380" t="s">
        <v>1267</v>
      </c>
      <c r="H4256" s="380" t="s">
        <v>771</v>
      </c>
      <c r="I4256" s="380" t="s">
        <v>986</v>
      </c>
      <c r="J4256" s="380" t="s">
        <v>773</v>
      </c>
      <c r="K4256" s="381">
        <v>0.0</v>
      </c>
      <c r="L4256" s="382">
        <v>1.0</v>
      </c>
    </row>
    <row r="4257">
      <c r="A4257" s="380" t="s">
        <v>5122</v>
      </c>
      <c r="B4257" s="380" t="str">
        <f>IFERROR(__xludf.DUMMYFUNCTION("""COMPUTED_VALUE"""),"Llanta Pirelli U02 Direcci 295/80 R 22.5")</f>
        <v>Llanta Pirelli U02 Direcci 295/80 R 22.5</v>
      </c>
      <c r="C4257" s="380" t="str">
        <f>IFERROR(__xludf.DUMMYFUNCTION("""COMPUTED_VALUE"""),"60000119")</f>
        <v>60000119</v>
      </c>
      <c r="D4257" s="380" t="s">
        <v>767</v>
      </c>
      <c r="E4257" s="380" t="s">
        <v>875</v>
      </c>
      <c r="F4257" s="380" t="s">
        <v>985</v>
      </c>
      <c r="G4257" s="380" t="s">
        <v>1267</v>
      </c>
      <c r="H4257" s="380" t="s">
        <v>771</v>
      </c>
      <c r="I4257" s="380" t="s">
        <v>986</v>
      </c>
      <c r="J4257" s="380" t="s">
        <v>773</v>
      </c>
      <c r="K4257" s="381">
        <v>1630300.0</v>
      </c>
      <c r="L4257" s="382">
        <v>1.0</v>
      </c>
    </row>
    <row r="4258">
      <c r="A4258" s="380" t="s">
        <v>5123</v>
      </c>
      <c r="B4258" s="380" t="str">
        <f>IFERROR(__xludf.DUMMYFUNCTION("""COMPUTED_VALUE"""),"Llanta 750-16 Reencauchada Mixta Cb")</f>
        <v>Llanta 750-16 Reencauchada Mixta Cb</v>
      </c>
      <c r="C4258" s="380" t="str">
        <f>IFERROR(__xludf.DUMMYFUNCTION("""COMPUTED_VALUE"""),"60000120")</f>
        <v>60000120</v>
      </c>
      <c r="D4258" s="380" t="s">
        <v>767</v>
      </c>
      <c r="E4258" s="380" t="s">
        <v>875</v>
      </c>
      <c r="F4258" s="380" t="s">
        <v>985</v>
      </c>
      <c r="G4258" s="380" t="s">
        <v>1267</v>
      </c>
      <c r="H4258" s="380" t="s">
        <v>771</v>
      </c>
      <c r="I4258" s="380" t="s">
        <v>986</v>
      </c>
      <c r="J4258" s="380" t="s">
        <v>773</v>
      </c>
      <c r="K4258" s="381">
        <v>208013.0</v>
      </c>
      <c r="L4258" s="382">
        <v>1.0</v>
      </c>
    </row>
    <row r="4259">
      <c r="A4259" s="380" t="s">
        <v>5124</v>
      </c>
      <c r="B4259" s="380" t="str">
        <f>IFERROR(__xludf.DUMMYFUNCTION("""COMPUTED_VALUE"""),"Llanta 205/75r 17.5 Traccion Tr85 Nkr Rw")</f>
        <v>Llanta 205/75r 17.5 Traccion Tr85 Nkr Rw</v>
      </c>
      <c r="C4259" s="380" t="str">
        <f>IFERROR(__xludf.DUMMYFUNCTION("""COMPUTED_VALUE"""),"60000121")</f>
        <v>60000121</v>
      </c>
      <c r="D4259" s="380" t="s">
        <v>767</v>
      </c>
      <c r="E4259" s="380" t="s">
        <v>875</v>
      </c>
      <c r="F4259" s="380" t="s">
        <v>985</v>
      </c>
      <c r="G4259" s="380" t="s">
        <v>1267</v>
      </c>
      <c r="H4259" s="380" t="s">
        <v>771</v>
      </c>
      <c r="I4259" s="380" t="s">
        <v>986</v>
      </c>
      <c r="J4259" s="380" t="s">
        <v>773</v>
      </c>
      <c r="K4259" s="381">
        <v>0.0</v>
      </c>
      <c r="L4259" s="382">
        <v>1.0</v>
      </c>
    </row>
    <row r="4260">
      <c r="A4260" s="380" t="s">
        <v>5125</v>
      </c>
      <c r="B4260" s="380" t="str">
        <f>IFERROR(__xludf.DUMMYFUNCTION("""COMPUTED_VALUE"""),"Llanta 295/80 R22.5 Dir Michelin XmultiZ")</f>
        <v>Llanta 295/80 R22.5 Dir Michelin XmultiZ</v>
      </c>
      <c r="C4260" s="380" t="str">
        <f>IFERROR(__xludf.DUMMYFUNCTION("""COMPUTED_VALUE"""),"60000122")</f>
        <v>60000122</v>
      </c>
      <c r="D4260" s="380" t="s">
        <v>767</v>
      </c>
      <c r="E4260" s="380" t="s">
        <v>875</v>
      </c>
      <c r="F4260" s="380" t="s">
        <v>985</v>
      </c>
      <c r="G4260" s="380" t="s">
        <v>1267</v>
      </c>
      <c r="H4260" s="380" t="s">
        <v>771</v>
      </c>
      <c r="I4260" s="380" t="s">
        <v>986</v>
      </c>
      <c r="J4260" s="380" t="s">
        <v>773</v>
      </c>
      <c r="K4260" s="381">
        <v>0.0</v>
      </c>
      <c r="L4260" s="382">
        <v>1.0</v>
      </c>
    </row>
    <row r="4261">
      <c r="A4261" s="380" t="s">
        <v>5126</v>
      </c>
      <c r="B4261" s="380" t="str">
        <f>IFERROR(__xludf.DUMMYFUNCTION("""COMPUTED_VALUE"""),"Llanta 295/80 Direcci Good Year KmaxS")</f>
        <v>Llanta 295/80 Direcci Good Year KmaxS</v>
      </c>
      <c r="C4261" s="380" t="str">
        <f>IFERROR(__xludf.DUMMYFUNCTION("""COMPUTED_VALUE"""),"60000123")</f>
        <v>60000123</v>
      </c>
      <c r="D4261" s="380" t="s">
        <v>767</v>
      </c>
      <c r="E4261" s="380" t="s">
        <v>875</v>
      </c>
      <c r="F4261" s="380" t="s">
        <v>985</v>
      </c>
      <c r="G4261" s="380" t="s">
        <v>1267</v>
      </c>
      <c r="H4261" s="380" t="s">
        <v>771</v>
      </c>
      <c r="I4261" s="380" t="s">
        <v>986</v>
      </c>
      <c r="J4261" s="380" t="s">
        <v>773</v>
      </c>
      <c r="K4261" s="381">
        <v>0.0</v>
      </c>
      <c r="L4261" s="382">
        <v>1.0</v>
      </c>
    </row>
    <row r="4262">
      <c r="A4262" s="380" t="s">
        <v>5127</v>
      </c>
      <c r="B4262" s="380" t="str">
        <f>IFERROR(__xludf.DUMMYFUNCTION("""COMPUTED_VALUE"""),"Llanta 235/75r17.5 Direc GY Rhs Regional")</f>
        <v>Llanta 235/75r17.5 Direc GY Rhs Regional</v>
      </c>
      <c r="C4262" s="380" t="str">
        <f>IFERROR(__xludf.DUMMYFUNCTION("""COMPUTED_VALUE"""),"60000124")</f>
        <v>60000124</v>
      </c>
      <c r="D4262" s="380" t="s">
        <v>767</v>
      </c>
      <c r="E4262" s="380" t="s">
        <v>875</v>
      </c>
      <c r="F4262" s="380" t="s">
        <v>985</v>
      </c>
      <c r="G4262" s="380" t="s">
        <v>1267</v>
      </c>
      <c r="H4262" s="380" t="s">
        <v>771</v>
      </c>
      <c r="I4262" s="380" t="s">
        <v>986</v>
      </c>
      <c r="J4262" s="380" t="s">
        <v>773</v>
      </c>
      <c r="K4262" s="381">
        <v>945848.0</v>
      </c>
      <c r="L4262" s="382">
        <v>1.0</v>
      </c>
    </row>
    <row r="4263">
      <c r="A4263" s="380" t="s">
        <v>5128</v>
      </c>
      <c r="B4263" s="380" t="str">
        <f>IFERROR(__xludf.DUMMYFUNCTION("""COMPUTED_VALUE"""),"Llanta 295/80 Tracción Good Year KmaxD")</f>
        <v>Llanta 295/80 Tracción Good Year KmaxD</v>
      </c>
      <c r="C4263" s="380" t="str">
        <f>IFERROR(__xludf.DUMMYFUNCTION("""COMPUTED_VALUE"""),"60000125")</f>
        <v>60000125</v>
      </c>
      <c r="D4263" s="380" t="s">
        <v>767</v>
      </c>
      <c r="E4263" s="380" t="s">
        <v>875</v>
      </c>
      <c r="F4263" s="380" t="s">
        <v>985</v>
      </c>
      <c r="G4263" s="380" t="s">
        <v>1267</v>
      </c>
      <c r="H4263" s="380" t="s">
        <v>771</v>
      </c>
      <c r="I4263" s="380" t="s">
        <v>986</v>
      </c>
      <c r="J4263" s="380" t="s">
        <v>773</v>
      </c>
      <c r="K4263" s="381">
        <v>0.0</v>
      </c>
      <c r="L4263" s="382">
        <v>1.0</v>
      </c>
    </row>
    <row r="4264">
      <c r="A4264" s="380" t="s">
        <v>5129</v>
      </c>
      <c r="B4264" s="380" t="str">
        <f>IFERROR(__xludf.DUMMYFUNCTION("""COMPUTED_VALUE"""),"Llanta 175/70r14 Giti Confort T20 GY")</f>
        <v>Llanta 175/70r14 Giti Confort T20 GY</v>
      </c>
      <c r="C4264" s="380" t="str">
        <f>IFERROR(__xludf.DUMMYFUNCTION("""COMPUTED_VALUE"""),"60000126")</f>
        <v>60000126</v>
      </c>
      <c r="D4264" s="380" t="s">
        <v>767</v>
      </c>
      <c r="E4264" s="380" t="s">
        <v>875</v>
      </c>
      <c r="F4264" s="380" t="s">
        <v>985</v>
      </c>
      <c r="G4264" s="380" t="s">
        <v>1267</v>
      </c>
      <c r="H4264" s="380" t="s">
        <v>771</v>
      </c>
      <c r="I4264" s="380" t="s">
        <v>986</v>
      </c>
      <c r="J4264" s="380" t="s">
        <v>773</v>
      </c>
      <c r="K4264" s="381">
        <v>210958.0</v>
      </c>
      <c r="L4264" s="382">
        <v>1.0</v>
      </c>
    </row>
    <row r="4265">
      <c r="A4265" s="380" t="s">
        <v>5130</v>
      </c>
      <c r="B4265" s="380" t="str">
        <f>IFERROR(__xludf.DUMMYFUNCTION("""COMPUTED_VALUE"""),"Llanta 295/80 Direccio Pirelli MC01 Plus")</f>
        <v>Llanta 295/80 Direccio Pirelli MC01 Plus</v>
      </c>
      <c r="C4265" s="380" t="str">
        <f>IFERROR(__xludf.DUMMYFUNCTION("""COMPUTED_VALUE"""),"60000127")</f>
        <v>60000127</v>
      </c>
      <c r="D4265" s="380" t="s">
        <v>767</v>
      </c>
      <c r="E4265" s="380" t="s">
        <v>875</v>
      </c>
      <c r="F4265" s="380" t="s">
        <v>985</v>
      </c>
      <c r="G4265" s="380" t="s">
        <v>1267</v>
      </c>
      <c r="H4265" s="380" t="s">
        <v>771</v>
      </c>
      <c r="I4265" s="380" t="s">
        <v>986</v>
      </c>
      <c r="J4265" s="380" t="s">
        <v>773</v>
      </c>
      <c r="K4265" s="381">
        <v>0.0</v>
      </c>
      <c r="L4265" s="382">
        <v>1.0</v>
      </c>
    </row>
    <row r="4266">
      <c r="A4266" s="380" t="s">
        <v>5131</v>
      </c>
      <c r="B4266" s="380" t="str">
        <f>IFERROR(__xludf.DUMMYFUNCTION("""COMPUTED_VALUE"""),"Llanta 295/80 Direccio Bridgestone R269")</f>
        <v>Llanta 295/80 Direccio Bridgestone R269</v>
      </c>
      <c r="C4266" s="380" t="str">
        <f>IFERROR(__xludf.DUMMYFUNCTION("""COMPUTED_VALUE"""),"60000128")</f>
        <v>60000128</v>
      </c>
      <c r="D4266" s="380" t="s">
        <v>767</v>
      </c>
      <c r="E4266" s="380" t="s">
        <v>875</v>
      </c>
      <c r="F4266" s="380" t="s">
        <v>985</v>
      </c>
      <c r="G4266" s="380" t="s">
        <v>1267</v>
      </c>
      <c r="H4266" s="380" t="s">
        <v>771</v>
      </c>
      <c r="I4266" s="380" t="s">
        <v>986</v>
      </c>
      <c r="J4266" s="380" t="s">
        <v>773</v>
      </c>
      <c r="K4266" s="381">
        <v>0.0</v>
      </c>
      <c r="L4266" s="382">
        <v>1.0</v>
      </c>
    </row>
    <row r="4267">
      <c r="A4267" s="380" t="s">
        <v>5132</v>
      </c>
      <c r="B4267" s="380" t="str">
        <f>IFERROR(__xludf.DUMMYFUNCTION("""COMPUTED_VALUE"""),"Llanta 750r16 Mixta Samson 671a")</f>
        <v>Llanta 750r16 Mixta Samson 671a</v>
      </c>
      <c r="C4267" s="380" t="str">
        <f>IFERROR(__xludf.DUMMYFUNCTION("""COMPUTED_VALUE"""),"60000129")</f>
        <v>60000129</v>
      </c>
      <c r="D4267" s="380" t="s">
        <v>767</v>
      </c>
      <c r="E4267" s="380" t="s">
        <v>875</v>
      </c>
      <c r="F4267" s="380" t="s">
        <v>985</v>
      </c>
      <c r="G4267" s="380" t="s">
        <v>1267</v>
      </c>
      <c r="H4267" s="380" t="s">
        <v>771</v>
      </c>
      <c r="I4267" s="380" t="s">
        <v>986</v>
      </c>
      <c r="J4267" s="380" t="s">
        <v>773</v>
      </c>
      <c r="K4267" s="381">
        <v>0.0</v>
      </c>
      <c r="L4267" s="382">
        <v>1.0</v>
      </c>
    </row>
    <row r="4268">
      <c r="A4268" s="380" t="s">
        <v>5133</v>
      </c>
      <c r="B4268" s="380" t="str">
        <f>IFERROR(__xludf.DUMMYFUNCTION("""COMPUTED_VALUE"""),"Llanta 445/50r22.5 Eje Lib Samson Gl251t")</f>
        <v>Llanta 445/50r22.5 Eje Lib Samson Gl251t</v>
      </c>
      <c r="C4268" s="380" t="str">
        <f>IFERROR(__xludf.DUMMYFUNCTION("""COMPUTED_VALUE"""),"60000130")</f>
        <v>60000130</v>
      </c>
      <c r="D4268" s="380" t="s">
        <v>767</v>
      </c>
      <c r="E4268" s="380" t="s">
        <v>875</v>
      </c>
      <c r="F4268" s="380" t="s">
        <v>985</v>
      </c>
      <c r="G4268" s="380" t="s">
        <v>1267</v>
      </c>
      <c r="H4268" s="380" t="s">
        <v>771</v>
      </c>
      <c r="I4268" s="380" t="s">
        <v>986</v>
      </c>
      <c r="J4268" s="380" t="s">
        <v>773</v>
      </c>
      <c r="K4268" s="381">
        <v>0.0</v>
      </c>
      <c r="L4268" s="382">
        <v>1.0</v>
      </c>
    </row>
    <row r="4269">
      <c r="A4269" s="380" t="s">
        <v>5134</v>
      </c>
      <c r="B4269" s="380" t="str">
        <f>IFERROR(__xludf.DUMMYFUNCTION("""COMPUTED_VALUE"""),"Llanta 295/80 Traccion Samson Gl268d")</f>
        <v>Llanta 295/80 Traccion Samson Gl268d</v>
      </c>
      <c r="C4269" s="380" t="str">
        <f>IFERROR(__xludf.DUMMYFUNCTION("""COMPUTED_VALUE"""),"60000131")</f>
        <v>60000131</v>
      </c>
      <c r="D4269" s="380" t="s">
        <v>767</v>
      </c>
      <c r="E4269" s="380" t="s">
        <v>875</v>
      </c>
      <c r="F4269" s="380" t="s">
        <v>985</v>
      </c>
      <c r="G4269" s="380" t="s">
        <v>1267</v>
      </c>
      <c r="H4269" s="380" t="s">
        <v>771</v>
      </c>
      <c r="I4269" s="380" t="s">
        <v>986</v>
      </c>
      <c r="J4269" s="380" t="s">
        <v>773</v>
      </c>
      <c r="K4269" s="381">
        <v>0.0</v>
      </c>
      <c r="L4269" s="382">
        <v>1.0</v>
      </c>
    </row>
    <row r="4270">
      <c r="A4270" s="380" t="s">
        <v>5135</v>
      </c>
      <c r="B4270" s="380" t="str">
        <f>IFERROR(__xludf.DUMMYFUNCTION("""COMPUTED_VALUE"""),"Llanta 215/70r15c Direccional Michelin")</f>
        <v>Llanta 215/70r15c Direccional Michelin</v>
      </c>
      <c r="C4270" s="380" t="str">
        <f>IFERROR(__xludf.DUMMYFUNCTION("""COMPUTED_VALUE"""),"60000132")</f>
        <v>60000132</v>
      </c>
      <c r="D4270" s="380" t="s">
        <v>767</v>
      </c>
      <c r="E4270" s="380" t="s">
        <v>875</v>
      </c>
      <c r="F4270" s="380" t="s">
        <v>985</v>
      </c>
      <c r="G4270" s="380" t="s">
        <v>1267</v>
      </c>
      <c r="H4270" s="380" t="s">
        <v>771</v>
      </c>
      <c r="I4270" s="380" t="s">
        <v>986</v>
      </c>
      <c r="J4270" s="380" t="s">
        <v>773</v>
      </c>
      <c r="K4270" s="381">
        <v>0.0</v>
      </c>
      <c r="L4270" s="382">
        <v>1.0</v>
      </c>
    </row>
    <row r="4271">
      <c r="A4271" s="380" t="s">
        <v>5136</v>
      </c>
      <c r="B4271" s="380" t="str">
        <f>IFERROR(__xludf.DUMMYFUNCTION("""COMPUTED_VALUE"""),"Llanta 295/80 Traccion Samson Gl299d")</f>
        <v>Llanta 295/80 Traccion Samson Gl299d</v>
      </c>
      <c r="C4271" s="380" t="str">
        <f>IFERROR(__xludf.DUMMYFUNCTION("""COMPUTED_VALUE"""),"60000133")</f>
        <v>60000133</v>
      </c>
      <c r="D4271" s="380" t="s">
        <v>767</v>
      </c>
      <c r="E4271" s="380" t="s">
        <v>875</v>
      </c>
      <c r="F4271" s="380" t="s">
        <v>985</v>
      </c>
      <c r="G4271" s="380" t="s">
        <v>1267</v>
      </c>
      <c r="H4271" s="380" t="s">
        <v>771</v>
      </c>
      <c r="I4271" s="380" t="s">
        <v>986</v>
      </c>
      <c r="J4271" s="380" t="s">
        <v>773</v>
      </c>
      <c r="K4271" s="381">
        <v>1124599.0</v>
      </c>
      <c r="L4271" s="382">
        <v>1.0</v>
      </c>
    </row>
    <row r="4272">
      <c r="A4272" s="380" t="s">
        <v>5137</v>
      </c>
      <c r="B4272" s="380" t="str">
        <f>IFERROR(__xludf.DUMMYFUNCTION("""COMPUTED_VALUE"""),"Llanta 750/15 Traccion Hi Miler Ct162 GY")</f>
        <v>Llanta 750/15 Traccion Hi Miler Ct162 GY</v>
      </c>
      <c r="C4272" s="380" t="str">
        <f>IFERROR(__xludf.DUMMYFUNCTION("""COMPUTED_VALUE"""),"60000134")</f>
        <v>60000134</v>
      </c>
      <c r="D4272" s="380" t="s">
        <v>767</v>
      </c>
      <c r="E4272" s="380" t="s">
        <v>875</v>
      </c>
      <c r="F4272" s="380" t="s">
        <v>985</v>
      </c>
      <c r="G4272" s="380" t="s">
        <v>1267</v>
      </c>
      <c r="H4272" s="380" t="s">
        <v>771</v>
      </c>
      <c r="I4272" s="380" t="s">
        <v>986</v>
      </c>
      <c r="J4272" s="380" t="s">
        <v>773</v>
      </c>
      <c r="K4272" s="381">
        <v>0.0</v>
      </c>
      <c r="L4272" s="382">
        <v>1.0</v>
      </c>
    </row>
    <row r="4273">
      <c r="A4273" s="380" t="s">
        <v>5138</v>
      </c>
      <c r="B4273" s="380" t="str">
        <f>IFERROR(__xludf.DUMMYFUNCTION("""COMPUTED_VALUE"""),"Llanta 750/15 Direcc Hi Miler Ct176 GY")</f>
        <v>Llanta 750/15 Direcc Hi Miler Ct176 GY</v>
      </c>
      <c r="C4273" s="380" t="str">
        <f>IFERROR(__xludf.DUMMYFUNCTION("""COMPUTED_VALUE"""),"60000135")</f>
        <v>60000135</v>
      </c>
      <c r="D4273" s="380" t="s">
        <v>767</v>
      </c>
      <c r="E4273" s="380" t="s">
        <v>875</v>
      </c>
      <c r="F4273" s="380" t="s">
        <v>985</v>
      </c>
      <c r="G4273" s="380" t="s">
        <v>1267</v>
      </c>
      <c r="H4273" s="380" t="s">
        <v>771</v>
      </c>
      <c r="I4273" s="380" t="s">
        <v>986</v>
      </c>
      <c r="J4273" s="380" t="s">
        <v>773</v>
      </c>
      <c r="K4273" s="381">
        <v>0.0</v>
      </c>
      <c r="L4273" s="382">
        <v>1.0</v>
      </c>
    </row>
    <row r="4274">
      <c r="A4274" s="380" t="s">
        <v>5139</v>
      </c>
      <c r="B4274" s="380" t="str">
        <f>IFERROR(__xludf.DUMMYFUNCTION("""COMPUTED_VALUE"""),"Llanta 235/75r17.5 Ree Mix Cb Chevro Frr")</f>
        <v>Llanta 235/75r17.5 Ree Mix Cb Chevro Frr</v>
      </c>
      <c r="C4274" s="380" t="str">
        <f>IFERROR(__xludf.DUMMYFUNCTION("""COMPUTED_VALUE"""),"60000136")</f>
        <v>60000136</v>
      </c>
      <c r="D4274" s="380" t="s">
        <v>767</v>
      </c>
      <c r="E4274" s="380" t="s">
        <v>875</v>
      </c>
      <c r="F4274" s="380" t="s">
        <v>5140</v>
      </c>
      <c r="G4274" s="380" t="s">
        <v>1267</v>
      </c>
      <c r="H4274" s="380" t="s">
        <v>771</v>
      </c>
      <c r="I4274" s="380" t="s">
        <v>5141</v>
      </c>
      <c r="J4274" s="380" t="s">
        <v>773</v>
      </c>
      <c r="K4274" s="381">
        <v>294692.0</v>
      </c>
      <c r="L4274" s="382">
        <v>1.0</v>
      </c>
    </row>
    <row r="4275">
      <c r="A4275" s="380" t="s">
        <v>5142</v>
      </c>
      <c r="B4275" s="380" t="str">
        <f>IFERROR(__xludf.DUMMYFUNCTION("""COMPUTED_VALUE"""),"Llanta 235/75r17.5 Reen Bandag Brlt2")</f>
        <v>Llanta 235/75r17.5 Reen Bandag Brlt2</v>
      </c>
      <c r="C4275" s="380" t="str">
        <f>IFERROR(__xludf.DUMMYFUNCTION("""COMPUTED_VALUE"""),"60000137")</f>
        <v>60000137</v>
      </c>
      <c r="D4275" s="380" t="s">
        <v>767</v>
      </c>
      <c r="E4275" s="380" t="s">
        <v>875</v>
      </c>
      <c r="F4275" s="380" t="s">
        <v>5140</v>
      </c>
      <c r="G4275" s="380" t="s">
        <v>1267</v>
      </c>
      <c r="H4275" s="380" t="s">
        <v>771</v>
      </c>
      <c r="I4275" s="380" t="s">
        <v>5141</v>
      </c>
      <c r="J4275" s="380" t="s">
        <v>773</v>
      </c>
      <c r="K4275" s="381">
        <v>0.0</v>
      </c>
      <c r="L4275" s="382">
        <v>1.0</v>
      </c>
    </row>
    <row r="4276">
      <c r="A4276" s="380" t="s">
        <v>5143</v>
      </c>
      <c r="B4276" s="380" t="str">
        <f>IFERROR(__xludf.DUMMYFUNCTION("""COMPUTED_VALUE"""),"Llanta 295/80 Reencauchada Trailer Avtp")</f>
        <v>Llanta 295/80 Reencauchada Trailer Avtp</v>
      </c>
      <c r="C4276" s="380" t="str">
        <f>IFERROR(__xludf.DUMMYFUNCTION("""COMPUTED_VALUE"""),"60000138")</f>
        <v>60000138</v>
      </c>
      <c r="D4276" s="380" t="s">
        <v>767</v>
      </c>
      <c r="E4276" s="380" t="s">
        <v>875</v>
      </c>
      <c r="F4276" s="380" t="s">
        <v>5140</v>
      </c>
      <c r="G4276" s="380" t="s">
        <v>1267</v>
      </c>
      <c r="H4276" s="380" t="s">
        <v>771</v>
      </c>
      <c r="I4276" s="380" t="s">
        <v>5141</v>
      </c>
      <c r="J4276" s="380" t="s">
        <v>773</v>
      </c>
      <c r="K4276" s="381">
        <v>0.0</v>
      </c>
      <c r="L4276" s="382">
        <v>1.0</v>
      </c>
    </row>
    <row r="4277">
      <c r="A4277" s="380" t="s">
        <v>5144</v>
      </c>
      <c r="B4277" s="380" t="str">
        <f>IFERROR(__xludf.DUMMYFUNCTION("""COMPUTED_VALUE"""),"Llanta Reenca 295/80 Trac Bdr-Ht2 Bandag")</f>
        <v>Llanta Reenca 295/80 Trac Bdr-Ht2 Bandag</v>
      </c>
      <c r="C4277" s="380" t="str">
        <f>IFERROR(__xludf.DUMMYFUNCTION("""COMPUTED_VALUE"""),"60000139")</f>
        <v>60000139</v>
      </c>
      <c r="D4277" s="380" t="s">
        <v>767</v>
      </c>
      <c r="E4277" s="380" t="s">
        <v>875</v>
      </c>
      <c r="F4277" s="380" t="s">
        <v>5140</v>
      </c>
      <c r="G4277" s="380" t="s">
        <v>1267</v>
      </c>
      <c r="H4277" s="380" t="s">
        <v>771</v>
      </c>
      <c r="I4277" s="380" t="s">
        <v>5141</v>
      </c>
      <c r="J4277" s="380" t="s">
        <v>773</v>
      </c>
      <c r="K4277" s="381">
        <v>535500.0</v>
      </c>
      <c r="L4277" s="382">
        <v>1.0</v>
      </c>
    </row>
    <row r="4278">
      <c r="A4278" s="380" t="s">
        <v>5145</v>
      </c>
      <c r="B4278" s="380" t="str">
        <f>IFERROR(__xludf.DUMMYFUNCTION("""COMPUTED_VALUE"""),"Llanta Reen 295/80 Traile Btl-Sa2 Bandag")</f>
        <v>Llanta Reen 295/80 Traile Btl-Sa2 Bandag</v>
      </c>
      <c r="C4278" s="380" t="str">
        <f>IFERROR(__xludf.DUMMYFUNCTION("""COMPUTED_VALUE"""),"60000140")</f>
        <v>60000140</v>
      </c>
      <c r="D4278" s="380" t="s">
        <v>767</v>
      </c>
      <c r="E4278" s="380" t="s">
        <v>875</v>
      </c>
      <c r="F4278" s="380" t="s">
        <v>5140</v>
      </c>
      <c r="G4278" s="380" t="s">
        <v>1267</v>
      </c>
      <c r="H4278" s="380" t="s">
        <v>771</v>
      </c>
      <c r="I4278" s="380" t="s">
        <v>5141</v>
      </c>
      <c r="J4278" s="380" t="s">
        <v>773</v>
      </c>
      <c r="K4278" s="381">
        <v>0.0</v>
      </c>
      <c r="L4278" s="382">
        <v>1.0</v>
      </c>
    </row>
    <row r="4279">
      <c r="A4279" s="380" t="s">
        <v>5146</v>
      </c>
      <c r="B4279" s="380" t="str">
        <f>IFERROR(__xludf.DUMMYFUNCTION("""COMPUTED_VALUE"""),"Llanta 295/80 Reencauchada Trailer (Tre)")</f>
        <v>Llanta 295/80 Reencauchada Trailer (Tre)</v>
      </c>
      <c r="C4279" s="380" t="str">
        <f>IFERROR(__xludf.DUMMYFUNCTION("""COMPUTED_VALUE"""),"60000141")</f>
        <v>60000141</v>
      </c>
      <c r="D4279" s="380" t="s">
        <v>767</v>
      </c>
      <c r="E4279" s="380" t="s">
        <v>875</v>
      </c>
      <c r="F4279" s="380" t="s">
        <v>5140</v>
      </c>
      <c r="G4279" s="380" t="s">
        <v>1267</v>
      </c>
      <c r="H4279" s="380" t="s">
        <v>771</v>
      </c>
      <c r="I4279" s="380" t="s">
        <v>5141</v>
      </c>
      <c r="J4279" s="380" t="s">
        <v>773</v>
      </c>
      <c r="K4279" s="381">
        <v>0.0</v>
      </c>
      <c r="L4279" s="382">
        <v>1.0</v>
      </c>
    </row>
    <row r="4280">
      <c r="A4280" s="380" t="s">
        <v>5147</v>
      </c>
      <c r="B4280" s="380" t="str">
        <f>IFERROR(__xludf.DUMMYFUNCTION("""COMPUTED_VALUE"""),"Llanta Reencauchada Tracción Ht3 275/80")</f>
        <v>Llanta Reencauchada Tracción Ht3 275/80</v>
      </c>
      <c r="C4280" s="380" t="str">
        <f>IFERROR(__xludf.DUMMYFUNCTION("""COMPUTED_VALUE"""),"60000142")</f>
        <v>60000142</v>
      </c>
      <c r="D4280" s="380" t="s">
        <v>767</v>
      </c>
      <c r="E4280" s="380" t="s">
        <v>875</v>
      </c>
      <c r="F4280" s="380" t="s">
        <v>5140</v>
      </c>
      <c r="G4280" s="380" t="s">
        <v>1267</v>
      </c>
      <c r="H4280" s="380" t="s">
        <v>771</v>
      </c>
      <c r="I4280" s="380" t="s">
        <v>5141</v>
      </c>
      <c r="J4280" s="380" t="s">
        <v>773</v>
      </c>
      <c r="K4280" s="381">
        <v>570796.0</v>
      </c>
      <c r="L4280" s="382">
        <v>1.0</v>
      </c>
    </row>
    <row r="4281">
      <c r="A4281" s="380" t="s">
        <v>5148</v>
      </c>
      <c r="B4281" s="380" t="str">
        <f>IFERROR(__xludf.DUMMYFUNCTION("""COMPUTED_VALUE"""),"Llanta Reencauchad Trac B736 295/80r22.5")</f>
        <v>Llanta Reencauchad Trac B736 295/80r22.5</v>
      </c>
      <c r="C4281" s="380" t="str">
        <f>IFERROR(__xludf.DUMMYFUNCTION("""COMPUTED_VALUE"""),"60000143")</f>
        <v>60000143</v>
      </c>
      <c r="D4281" s="380" t="s">
        <v>767</v>
      </c>
      <c r="E4281" s="380" t="s">
        <v>875</v>
      </c>
      <c r="F4281" s="380" t="s">
        <v>5140</v>
      </c>
      <c r="G4281" s="380" t="s">
        <v>1267</v>
      </c>
      <c r="H4281" s="380" t="s">
        <v>771</v>
      </c>
      <c r="I4281" s="380" t="s">
        <v>5141</v>
      </c>
      <c r="J4281" s="380" t="s">
        <v>773</v>
      </c>
      <c r="K4281" s="381">
        <v>0.0</v>
      </c>
      <c r="L4281" s="382">
        <v>1.0</v>
      </c>
    </row>
    <row r="4282">
      <c r="A4282" s="380" t="s">
        <v>5149</v>
      </c>
      <c r="B4282" s="380" t="str">
        <f>IFERROR(__xludf.DUMMYFUNCTION("""COMPUTED_VALUE"""),"Llanta 750 -15 Reencauche Mixto")</f>
        <v>Llanta 750 -15 Reencauche Mixto</v>
      </c>
      <c r="C4282" s="380" t="str">
        <f>IFERROR(__xludf.DUMMYFUNCTION("""COMPUTED_VALUE"""),"60000144")</f>
        <v>60000144</v>
      </c>
      <c r="D4282" s="380" t="s">
        <v>767</v>
      </c>
      <c r="E4282" s="380" t="s">
        <v>875</v>
      </c>
      <c r="F4282" s="380" t="s">
        <v>5140</v>
      </c>
      <c r="G4282" s="380" t="s">
        <v>1267</v>
      </c>
      <c r="H4282" s="380" t="s">
        <v>771</v>
      </c>
      <c r="I4282" s="380" t="s">
        <v>5141</v>
      </c>
      <c r="J4282" s="380" t="s">
        <v>773</v>
      </c>
      <c r="K4282" s="381">
        <v>0.0</v>
      </c>
      <c r="L4282" s="382">
        <v>1.0</v>
      </c>
    </row>
    <row r="4283">
      <c r="A4283" s="380" t="s">
        <v>5150</v>
      </c>
      <c r="B4283" s="380" t="str">
        <f>IFERROR(__xludf.DUMMYFUNCTION("""COMPUTED_VALUE"""),"Llanta 205/75r17.5 Vcb Reencauche Mixto")</f>
        <v>Llanta 205/75r17.5 Vcb Reencauche Mixto</v>
      </c>
      <c r="C4283" s="380" t="str">
        <f>IFERROR(__xludf.DUMMYFUNCTION("""COMPUTED_VALUE"""),"60000145")</f>
        <v>60000145</v>
      </c>
      <c r="D4283" s="380" t="s">
        <v>767</v>
      </c>
      <c r="E4283" s="380" t="s">
        <v>875</v>
      </c>
      <c r="F4283" s="380" t="s">
        <v>5140</v>
      </c>
      <c r="G4283" s="380" t="s">
        <v>1267</v>
      </c>
      <c r="H4283" s="380" t="s">
        <v>771</v>
      </c>
      <c r="I4283" s="380" t="s">
        <v>5141</v>
      </c>
      <c r="J4283" s="380" t="s">
        <v>773</v>
      </c>
      <c r="K4283" s="381">
        <v>0.0</v>
      </c>
      <c r="L4283" s="382">
        <v>1.0</v>
      </c>
    </row>
    <row r="4284">
      <c r="A4284" s="380" t="s">
        <v>5151</v>
      </c>
      <c r="B4284" s="380" t="str">
        <f>IFERROR(__xludf.DUMMYFUNCTION("""COMPUTED_VALUE"""),"Llanta 205/75 R17.5 Nkr Iii Reward")</f>
        <v>Llanta 205/75 R17.5 Nkr Iii Reward</v>
      </c>
      <c r="C4284" s="380" t="str">
        <f>IFERROR(__xludf.DUMMYFUNCTION("""COMPUTED_VALUE"""),"60000146")</f>
        <v>60000146</v>
      </c>
      <c r="D4284" s="380" t="s">
        <v>767</v>
      </c>
      <c r="E4284" s="380" t="s">
        <v>875</v>
      </c>
      <c r="F4284" s="380" t="s">
        <v>985</v>
      </c>
      <c r="G4284" s="380" t="s">
        <v>1267</v>
      </c>
      <c r="H4284" s="380" t="s">
        <v>771</v>
      </c>
      <c r="I4284" s="380" t="s">
        <v>986</v>
      </c>
      <c r="J4284" s="380" t="s">
        <v>773</v>
      </c>
      <c r="K4284" s="381">
        <v>0.0</v>
      </c>
      <c r="L4284" s="382">
        <v>1.0</v>
      </c>
    </row>
    <row r="4285">
      <c r="A4285" s="380" t="s">
        <v>5152</v>
      </c>
      <c r="B4285" s="380" t="str">
        <f>IFERROR(__xludf.DUMMYFUNCTION("""COMPUTED_VALUE"""),"Llanta Ps3 Mixt 165/70r13 Good Year")</f>
        <v>Llanta Ps3 Mixt 165/70r13 Good Year</v>
      </c>
      <c r="C4285" s="380" t="str">
        <f>IFERROR(__xludf.DUMMYFUNCTION("""COMPUTED_VALUE"""),"60000147")</f>
        <v>60000147</v>
      </c>
      <c r="D4285" s="380" t="s">
        <v>767</v>
      </c>
      <c r="E4285" s="380" t="s">
        <v>875</v>
      </c>
      <c r="F4285" s="380" t="s">
        <v>985</v>
      </c>
      <c r="G4285" s="380" t="s">
        <v>1267</v>
      </c>
      <c r="H4285" s="380" t="s">
        <v>771</v>
      </c>
      <c r="I4285" s="380" t="s">
        <v>986</v>
      </c>
      <c r="J4285" s="380" t="s">
        <v>773</v>
      </c>
      <c r="K4285" s="381">
        <v>180909.0</v>
      </c>
      <c r="L4285" s="382">
        <v>1.0</v>
      </c>
    </row>
    <row r="4286">
      <c r="A4286" s="380" t="s">
        <v>5153</v>
      </c>
      <c r="B4286" s="380" t="str">
        <f>IFERROR(__xludf.DUMMYFUNCTION("""COMPUTED_VALUE"""),"Llanta 750-16 Mixta Goodyear")</f>
        <v>Llanta 750-16 Mixta Goodyear</v>
      </c>
      <c r="C4286" s="380" t="str">
        <f>IFERROR(__xludf.DUMMYFUNCTION("""COMPUTED_VALUE"""),"60000148")</f>
        <v>60000148</v>
      </c>
      <c r="D4286" s="380" t="s">
        <v>767</v>
      </c>
      <c r="E4286" s="380" t="s">
        <v>875</v>
      </c>
      <c r="F4286" s="380" t="s">
        <v>985</v>
      </c>
      <c r="G4286" s="380" t="s">
        <v>1267</v>
      </c>
      <c r="H4286" s="380" t="s">
        <v>771</v>
      </c>
      <c r="I4286" s="380" t="s">
        <v>986</v>
      </c>
      <c r="J4286" s="380" t="s">
        <v>773</v>
      </c>
      <c r="K4286" s="381">
        <v>501770.0</v>
      </c>
      <c r="L4286" s="382">
        <v>1.0</v>
      </c>
    </row>
    <row r="4287">
      <c r="A4287" s="380" t="s">
        <v>5154</v>
      </c>
      <c r="B4287" s="380" t="str">
        <f>IFERROR(__xludf.DUMMYFUNCTION("""COMPUTED_VALUE"""),"Llanta 205/75r16c Good Year G32 Cargo")</f>
        <v>Llanta 205/75r16c Good Year G32 Cargo</v>
      </c>
      <c r="C4287" s="380" t="str">
        <f>IFERROR(__xludf.DUMMYFUNCTION("""COMPUTED_VALUE"""),"60000149")</f>
        <v>60000149</v>
      </c>
      <c r="D4287" s="380" t="s">
        <v>767</v>
      </c>
      <c r="E4287" s="380" t="s">
        <v>875</v>
      </c>
      <c r="F4287" s="380" t="s">
        <v>985</v>
      </c>
      <c r="G4287" s="380" t="s">
        <v>1267</v>
      </c>
      <c r="H4287" s="380" t="s">
        <v>771</v>
      </c>
      <c r="I4287" s="380" t="s">
        <v>986</v>
      </c>
      <c r="J4287" s="380" t="s">
        <v>773</v>
      </c>
      <c r="K4287" s="381">
        <v>0.0</v>
      </c>
      <c r="L4287" s="382">
        <v>1.0</v>
      </c>
    </row>
    <row r="4288">
      <c r="A4288" s="380" t="s">
        <v>5155</v>
      </c>
      <c r="B4288" s="380" t="str">
        <f>IFERROR(__xludf.DUMMYFUNCTION("""COMPUTED_VALUE"""),"Llanta Goodyear Rhs 205/75 17.5")</f>
        <v>Llanta Goodyear Rhs 205/75 17.5</v>
      </c>
      <c r="C4288" s="380" t="str">
        <f>IFERROR(__xludf.DUMMYFUNCTION("""COMPUTED_VALUE"""),"60000150")</f>
        <v>60000150</v>
      </c>
      <c r="D4288" s="380" t="s">
        <v>767</v>
      </c>
      <c r="E4288" s="380" t="s">
        <v>875</v>
      </c>
      <c r="F4288" s="380" t="s">
        <v>985</v>
      </c>
      <c r="G4288" s="380" t="s">
        <v>1267</v>
      </c>
      <c r="H4288" s="380" t="s">
        <v>771</v>
      </c>
      <c r="I4288" s="380" t="s">
        <v>986</v>
      </c>
      <c r="J4288" s="380" t="s">
        <v>773</v>
      </c>
      <c r="K4288" s="381">
        <v>0.0</v>
      </c>
      <c r="L4288" s="382">
        <v>1.0</v>
      </c>
    </row>
    <row r="4289">
      <c r="A4289" s="380" t="s">
        <v>5156</v>
      </c>
      <c r="B4289" s="380" t="str">
        <f>IFERROR(__xludf.DUMMYFUNCTION("""COMPUTED_VALUE"""),"Llanta Talon Tras Monta16x6x10")</f>
        <v>Llanta Talon Tras Monta16x6x10</v>
      </c>
      <c r="C4289" s="380" t="str">
        <f>IFERROR(__xludf.DUMMYFUNCTION("""COMPUTED_VALUE"""),"60000151")</f>
        <v>60000151</v>
      </c>
      <c r="D4289" s="380" t="s">
        <v>767</v>
      </c>
      <c r="E4289" s="380" t="s">
        <v>875</v>
      </c>
      <c r="F4289" s="380" t="s">
        <v>985</v>
      </c>
      <c r="G4289" s="380" t="s">
        <v>1267</v>
      </c>
      <c r="H4289" s="380" t="s">
        <v>771</v>
      </c>
      <c r="I4289" s="380" t="s">
        <v>986</v>
      </c>
      <c r="J4289" s="380" t="s">
        <v>773</v>
      </c>
      <c r="K4289" s="381">
        <v>0.0</v>
      </c>
      <c r="L4289" s="382">
        <v>1.0</v>
      </c>
    </row>
    <row r="4290">
      <c r="A4290" s="380" t="s">
        <v>5157</v>
      </c>
      <c r="B4290" s="380" t="str">
        <f>IFERROR(__xludf.DUMMYFUNCTION("""COMPUTED_VALUE"""),"Llanta 445/50r Reenca Marangoni")</f>
        <v>Llanta 445/50r Reenca Marangoni</v>
      </c>
      <c r="C4290" s="380" t="str">
        <f>IFERROR(__xludf.DUMMYFUNCTION("""COMPUTED_VALUE"""),"60000152")</f>
        <v>60000152</v>
      </c>
      <c r="D4290" s="380" t="s">
        <v>767</v>
      </c>
      <c r="E4290" s="380" t="s">
        <v>875</v>
      </c>
      <c r="F4290" s="380" t="s">
        <v>5140</v>
      </c>
      <c r="G4290" s="380" t="s">
        <v>1267</v>
      </c>
      <c r="H4290" s="380" t="s">
        <v>771</v>
      </c>
      <c r="I4290" s="380" t="s">
        <v>5141</v>
      </c>
      <c r="J4290" s="380" t="s">
        <v>773</v>
      </c>
      <c r="K4290" s="381">
        <v>862061.0</v>
      </c>
      <c r="L4290" s="382">
        <v>1.0</v>
      </c>
    </row>
    <row r="4291">
      <c r="A4291" s="380" t="s">
        <v>5158</v>
      </c>
      <c r="B4291" s="380" t="str">
        <f>IFERROR(__xludf.DUMMYFUNCTION("""COMPUTED_VALUE"""),"Llanta 295/80 Traccion Ht3 Reencauchada")</f>
        <v>Llanta 295/80 Traccion Ht3 Reencauchada</v>
      </c>
      <c r="C4291" s="380" t="str">
        <f>IFERROR(__xludf.DUMMYFUNCTION("""COMPUTED_VALUE"""),"60000153")</f>
        <v>60000153</v>
      </c>
      <c r="D4291" s="380" t="s">
        <v>767</v>
      </c>
      <c r="E4291" s="380" t="s">
        <v>875</v>
      </c>
      <c r="F4291" s="380" t="s">
        <v>5140</v>
      </c>
      <c r="G4291" s="380" t="s">
        <v>1267</v>
      </c>
      <c r="H4291" s="380" t="s">
        <v>771</v>
      </c>
      <c r="I4291" s="380" t="s">
        <v>5141</v>
      </c>
      <c r="J4291" s="380" t="s">
        <v>773</v>
      </c>
      <c r="K4291" s="381">
        <v>570795.0</v>
      </c>
      <c r="L4291" s="382">
        <v>1.0</v>
      </c>
    </row>
    <row r="4292">
      <c r="A4292" s="380" t="s">
        <v>5159</v>
      </c>
      <c r="B4292" s="380" t="str">
        <f>IFERROR(__xludf.DUMMYFUNCTION("""COMPUTED_VALUE"""),"Llanta 295/80 Reencauchada Trailer Ts")</f>
        <v>Llanta 295/80 Reencauchada Trailer Ts</v>
      </c>
      <c r="C4292" s="380" t="str">
        <f>IFERROR(__xludf.DUMMYFUNCTION("""COMPUTED_VALUE"""),"60000154")</f>
        <v>60000154</v>
      </c>
      <c r="D4292" s="380" t="s">
        <v>767</v>
      </c>
      <c r="E4292" s="380" t="s">
        <v>875</v>
      </c>
      <c r="F4292" s="380" t="s">
        <v>5140</v>
      </c>
      <c r="G4292" s="380" t="s">
        <v>1267</v>
      </c>
      <c r="H4292" s="380" t="s">
        <v>771</v>
      </c>
      <c r="I4292" s="380" t="s">
        <v>5141</v>
      </c>
      <c r="J4292" s="380" t="s">
        <v>773</v>
      </c>
      <c r="K4292" s="381">
        <v>440976.0</v>
      </c>
      <c r="L4292" s="382">
        <v>1.0</v>
      </c>
    </row>
    <row r="4293">
      <c r="A4293" s="380" t="s">
        <v>5160</v>
      </c>
      <c r="B4293" s="380" t="str">
        <f>IFERROR(__xludf.DUMMYFUNCTION("""COMPUTED_VALUE"""),"Llanta 700-15 Reencauchada Mixta Cb")</f>
        <v>Llanta 700-15 Reencauchada Mixta Cb</v>
      </c>
      <c r="C4293" s="380" t="str">
        <f>IFERROR(__xludf.DUMMYFUNCTION("""COMPUTED_VALUE"""),"60000155")</f>
        <v>60000155</v>
      </c>
      <c r="D4293" s="380" t="s">
        <v>767</v>
      </c>
      <c r="E4293" s="380" t="s">
        <v>875</v>
      </c>
      <c r="F4293" s="380" t="s">
        <v>5140</v>
      </c>
      <c r="G4293" s="380" t="s">
        <v>1267</v>
      </c>
      <c r="H4293" s="380" t="s">
        <v>771</v>
      </c>
      <c r="I4293" s="380" t="s">
        <v>5141</v>
      </c>
      <c r="J4293" s="380" t="s">
        <v>773</v>
      </c>
      <c r="K4293" s="381">
        <v>162306.0</v>
      </c>
      <c r="L4293" s="382">
        <v>1.0</v>
      </c>
    </row>
    <row r="4294">
      <c r="A4294" s="380" t="s">
        <v>5161</v>
      </c>
      <c r="B4294" s="380" t="str">
        <f>IFERROR(__xludf.DUMMYFUNCTION("""COMPUTED_VALUE"""),"Llanta 700-16 Reencauchada Mixta Cb")</f>
        <v>Llanta 700-16 Reencauchada Mixta Cb</v>
      </c>
      <c r="C4294" s="380" t="str">
        <f>IFERROR(__xludf.DUMMYFUNCTION("""COMPUTED_VALUE"""),"60000156")</f>
        <v>60000156</v>
      </c>
      <c r="D4294" s="380" t="s">
        <v>767</v>
      </c>
      <c r="E4294" s="380" t="s">
        <v>875</v>
      </c>
      <c r="F4294" s="380" t="s">
        <v>5140</v>
      </c>
      <c r="G4294" s="380" t="s">
        <v>1267</v>
      </c>
      <c r="H4294" s="380" t="s">
        <v>771</v>
      </c>
      <c r="I4294" s="380" t="s">
        <v>5141</v>
      </c>
      <c r="J4294" s="380" t="s">
        <v>773</v>
      </c>
      <c r="K4294" s="381">
        <v>182107.0</v>
      </c>
      <c r="L4294" s="382">
        <v>1.0</v>
      </c>
    </row>
    <row r="4295">
      <c r="A4295" s="380" t="s">
        <v>5162</v>
      </c>
      <c r="B4295" s="380" t="str">
        <f>IFERROR(__xludf.DUMMYFUNCTION("""COMPUTED_VALUE"""),"Llanta 205/75 R17.5 Reencauchada Mix Cb")</f>
        <v>Llanta 205/75 R17.5 Reencauchada Mix Cb</v>
      </c>
      <c r="C4295" s="380" t="str">
        <f>IFERROR(__xludf.DUMMYFUNCTION("""COMPUTED_VALUE"""),"60000157")</f>
        <v>60000157</v>
      </c>
      <c r="D4295" s="380" t="s">
        <v>767</v>
      </c>
      <c r="E4295" s="380" t="s">
        <v>875</v>
      </c>
      <c r="F4295" s="380" t="s">
        <v>5140</v>
      </c>
      <c r="G4295" s="380" t="s">
        <v>1267</v>
      </c>
      <c r="H4295" s="380" t="s">
        <v>771</v>
      </c>
      <c r="I4295" s="380" t="s">
        <v>5141</v>
      </c>
      <c r="J4295" s="380" t="s">
        <v>773</v>
      </c>
      <c r="K4295" s="381">
        <v>265782.0</v>
      </c>
      <c r="L4295" s="382">
        <v>1.0</v>
      </c>
    </row>
    <row r="4296">
      <c r="A4296" s="380" t="s">
        <v>5163</v>
      </c>
      <c r="B4296" s="380" t="str">
        <f>IFERROR(__xludf.DUMMYFUNCTION("""COMPUTED_VALUE"""),"Bolsa Tranparente 30 X 45 X 100")</f>
        <v>Bolsa Tranparente 30 X 45 X 100</v>
      </c>
      <c r="C4296" s="380" t="str">
        <f>IFERROR(__xludf.DUMMYFUNCTION("""COMPUTED_VALUE"""),"60000158")</f>
        <v>60000158</v>
      </c>
      <c r="D4296" s="380" t="s">
        <v>767</v>
      </c>
      <c r="E4296" s="380" t="s">
        <v>875</v>
      </c>
      <c r="F4296" s="380" t="s">
        <v>924</v>
      </c>
      <c r="G4296" s="380" t="s">
        <v>1267</v>
      </c>
      <c r="H4296" s="380" t="s">
        <v>771</v>
      </c>
      <c r="I4296" s="380" t="s">
        <v>925</v>
      </c>
      <c r="J4296" s="380" t="s">
        <v>773</v>
      </c>
      <c r="K4296" s="381">
        <v>0.0</v>
      </c>
      <c r="L4296" s="382">
        <v>1.0</v>
      </c>
    </row>
    <row r="4297">
      <c r="A4297" s="380" t="s">
        <v>5164</v>
      </c>
      <c r="B4297" s="380" t="str">
        <f>IFERROR(__xludf.DUMMYFUNCTION("""COMPUTED_VALUE"""),"Cinta De Empaque Preimpresa Cm")</f>
        <v>Cinta De Empaque Preimpresa Cm</v>
      </c>
      <c r="C4297" s="380" t="str">
        <f>IFERROR(__xludf.DUMMYFUNCTION("""COMPUTED_VALUE"""),"60000159")</f>
        <v>60000159</v>
      </c>
      <c r="D4297" s="380" t="s">
        <v>767</v>
      </c>
      <c r="E4297" s="380" t="s">
        <v>875</v>
      </c>
      <c r="F4297" s="380" t="s">
        <v>924</v>
      </c>
      <c r="G4297" s="380" t="s">
        <v>1267</v>
      </c>
      <c r="H4297" s="380" t="s">
        <v>771</v>
      </c>
      <c r="I4297" s="380" t="s">
        <v>925</v>
      </c>
      <c r="J4297" s="380" t="s">
        <v>773</v>
      </c>
      <c r="K4297" s="381">
        <v>0.0</v>
      </c>
      <c r="L4297" s="382">
        <v>1.0</v>
      </c>
    </row>
    <row r="4298">
      <c r="A4298" s="380" t="s">
        <v>5165</v>
      </c>
      <c r="B4298" s="380" t="str">
        <f>IFERROR(__xludf.DUMMYFUNCTION("""COMPUTED_VALUE"""),"Sobre Radicacion Firma Documento")</f>
        <v>Sobre Radicacion Firma Documento</v>
      </c>
      <c r="C4298" s="380" t="str">
        <f>IFERROR(__xludf.DUMMYFUNCTION("""COMPUTED_VALUE"""),"60000160")</f>
        <v>60000160</v>
      </c>
      <c r="D4298" s="380" t="s">
        <v>767</v>
      </c>
      <c r="E4298" s="380" t="s">
        <v>875</v>
      </c>
      <c r="F4298" s="380" t="s">
        <v>924</v>
      </c>
      <c r="G4298" s="380" t="s">
        <v>1267</v>
      </c>
      <c r="H4298" s="380" t="s">
        <v>771</v>
      </c>
      <c r="I4298" s="380" t="s">
        <v>925</v>
      </c>
      <c r="J4298" s="380" t="s">
        <v>773</v>
      </c>
      <c r="K4298" s="381">
        <v>0.0</v>
      </c>
      <c r="L4298" s="382">
        <v>1.0</v>
      </c>
    </row>
    <row r="4299">
      <c r="A4299" s="380" t="s">
        <v>5166</v>
      </c>
      <c r="B4299" s="380" t="str">
        <f>IFERROR(__xludf.DUMMYFUNCTION("""COMPUTED_VALUE"""),"Grapa Para Zuncho")</f>
        <v>Grapa Para Zuncho</v>
      </c>
      <c r="C4299" s="380" t="str">
        <f>IFERROR(__xludf.DUMMYFUNCTION("""COMPUTED_VALUE"""),"60000162")</f>
        <v>60000162</v>
      </c>
      <c r="D4299" s="380" t="s">
        <v>767</v>
      </c>
      <c r="E4299" s="380" t="s">
        <v>875</v>
      </c>
      <c r="F4299" s="380" t="s">
        <v>924</v>
      </c>
      <c r="G4299" s="380" t="s">
        <v>1267</v>
      </c>
      <c r="H4299" s="380" t="s">
        <v>771</v>
      </c>
      <c r="I4299" s="380" t="s">
        <v>925</v>
      </c>
      <c r="J4299" s="380" t="s">
        <v>773</v>
      </c>
      <c r="K4299" s="381">
        <v>11067.0</v>
      </c>
      <c r="L4299" s="382">
        <v>1.0</v>
      </c>
    </row>
    <row r="4300">
      <c r="A4300" s="380" t="s">
        <v>5167</v>
      </c>
      <c r="B4300" s="380" t="str">
        <f>IFERROR(__xludf.DUMMYFUNCTION("""COMPUTED_VALUE"""),"Bolsa Transparente Baja 15 X 20")</f>
        <v>Bolsa Transparente Baja 15 X 20</v>
      </c>
      <c r="C4300" s="380" t="str">
        <f>IFERROR(__xludf.DUMMYFUNCTION("""COMPUTED_VALUE"""),"60000163")</f>
        <v>60000163</v>
      </c>
      <c r="D4300" s="380" t="s">
        <v>767</v>
      </c>
      <c r="E4300" s="380" t="s">
        <v>875</v>
      </c>
      <c r="F4300" s="380" t="s">
        <v>924</v>
      </c>
      <c r="G4300" s="380" t="s">
        <v>1267</v>
      </c>
      <c r="H4300" s="380" t="s">
        <v>771</v>
      </c>
      <c r="I4300" s="380" t="s">
        <v>925</v>
      </c>
      <c r="J4300" s="380" t="s">
        <v>773</v>
      </c>
      <c r="K4300" s="381">
        <v>0.0</v>
      </c>
      <c r="L4300" s="382">
        <v>1.0</v>
      </c>
    </row>
    <row r="4301">
      <c r="A4301" s="380" t="s">
        <v>5168</v>
      </c>
      <c r="B4301" s="380" t="str">
        <f>IFERROR(__xludf.DUMMYFUNCTION("""COMPUTED_VALUE"""),"Cinta Trasparente De 48 Mm X 100 Metros")</f>
        <v>Cinta Trasparente De 48 Mm X 100 Metros</v>
      </c>
      <c r="C4301" s="380" t="str">
        <f>IFERROR(__xludf.DUMMYFUNCTION("""COMPUTED_VALUE"""),"60000164")</f>
        <v>60000164</v>
      </c>
      <c r="D4301" s="380" t="s">
        <v>767</v>
      </c>
      <c r="E4301" s="380" t="s">
        <v>875</v>
      </c>
      <c r="F4301" s="380" t="s">
        <v>924</v>
      </c>
      <c r="G4301" s="380" t="s">
        <v>1267</v>
      </c>
      <c r="H4301" s="380" t="s">
        <v>771</v>
      </c>
      <c r="I4301" s="380" t="s">
        <v>925</v>
      </c>
      <c r="J4301" s="380" t="s">
        <v>773</v>
      </c>
      <c r="K4301" s="381">
        <v>4680.0</v>
      </c>
      <c r="L4301" s="382">
        <v>1.0</v>
      </c>
    </row>
    <row r="4302">
      <c r="A4302" s="380" t="s">
        <v>5169</v>
      </c>
      <c r="B4302" s="380" t="str">
        <f>IFERROR(__xludf.DUMMYFUNCTION("""COMPUTED_VALUE"""),"Colmenas De Carton Para Almacenamiento")</f>
        <v>Colmenas De Carton Para Almacenamiento</v>
      </c>
      <c r="C4302" s="380" t="str">
        <f>IFERROR(__xludf.DUMMYFUNCTION("""COMPUTED_VALUE"""),"60000165")</f>
        <v>60000165</v>
      </c>
      <c r="D4302" s="380" t="s">
        <v>767</v>
      </c>
      <c r="E4302" s="380" t="s">
        <v>875</v>
      </c>
      <c r="F4302" s="380" t="s">
        <v>924</v>
      </c>
      <c r="G4302" s="380" t="s">
        <v>1267</v>
      </c>
      <c r="H4302" s="380" t="s">
        <v>771</v>
      </c>
      <c r="I4302" s="380" t="s">
        <v>925</v>
      </c>
      <c r="J4302" s="380" t="s">
        <v>773</v>
      </c>
      <c r="K4302" s="381">
        <v>0.0</v>
      </c>
      <c r="L4302" s="382">
        <v>1.0</v>
      </c>
    </row>
    <row r="4303">
      <c r="A4303" s="380" t="s">
        <v>5170</v>
      </c>
      <c r="B4303" s="380" t="str">
        <f>IFERROR(__xludf.DUMMYFUNCTION("""COMPUTED_VALUE"""),"Bolsa Plastica Blue Jean 14 X 20 X1")</f>
        <v>Bolsa Plastica Blue Jean 14 X 20 X1</v>
      </c>
      <c r="C4303" s="380" t="str">
        <f>IFERROR(__xludf.DUMMYFUNCTION("""COMPUTED_VALUE"""),"60000166")</f>
        <v>60000166</v>
      </c>
      <c r="D4303" s="380" t="s">
        <v>767</v>
      </c>
      <c r="E4303" s="380" t="s">
        <v>875</v>
      </c>
      <c r="F4303" s="380" t="s">
        <v>924</v>
      </c>
      <c r="G4303" s="380" t="s">
        <v>1267</v>
      </c>
      <c r="H4303" s="380" t="s">
        <v>771</v>
      </c>
      <c r="I4303" s="380" t="s">
        <v>925</v>
      </c>
      <c r="J4303" s="380" t="s">
        <v>773</v>
      </c>
      <c r="K4303" s="381">
        <v>0.0</v>
      </c>
      <c r="L4303" s="382">
        <v>1.0</v>
      </c>
    </row>
    <row r="4304">
      <c r="A4304" s="380" t="s">
        <v>5171</v>
      </c>
      <c r="B4304" s="380" t="str">
        <f>IFERROR(__xludf.DUMMYFUNCTION("""COMPUTED_VALUE"""),"Sobre Radicacion Tornaguia")</f>
        <v>Sobre Radicacion Tornaguia</v>
      </c>
      <c r="C4304" s="380" t="str">
        <f>IFERROR(__xludf.DUMMYFUNCTION("""COMPUTED_VALUE"""),"60000167")</f>
        <v>60000167</v>
      </c>
      <c r="D4304" s="380" t="s">
        <v>767</v>
      </c>
      <c r="E4304" s="380" t="s">
        <v>875</v>
      </c>
      <c r="F4304" s="380" t="s">
        <v>924</v>
      </c>
      <c r="G4304" s="380" t="s">
        <v>1267</v>
      </c>
      <c r="H4304" s="380" t="s">
        <v>771</v>
      </c>
      <c r="I4304" s="380" t="s">
        <v>925</v>
      </c>
      <c r="J4304" s="380" t="s">
        <v>773</v>
      </c>
      <c r="K4304" s="381">
        <v>576.0</v>
      </c>
      <c r="L4304" s="382">
        <v>1.0</v>
      </c>
    </row>
    <row r="4305">
      <c r="A4305" s="380" t="s">
        <v>5172</v>
      </c>
      <c r="B4305" s="380" t="str">
        <f>IFERROR(__xludf.DUMMYFUNCTION("""COMPUTED_VALUE"""),"Caja De Carton 40x40x35 Localiza")</f>
        <v>Caja De Carton 40x40x35 Localiza</v>
      </c>
      <c r="C4305" s="380" t="str">
        <f>IFERROR(__xludf.DUMMYFUNCTION("""COMPUTED_VALUE"""),"60000168")</f>
        <v>60000168</v>
      </c>
      <c r="D4305" s="380" t="s">
        <v>767</v>
      </c>
      <c r="E4305" s="380" t="s">
        <v>875</v>
      </c>
      <c r="F4305" s="380" t="s">
        <v>924</v>
      </c>
      <c r="G4305" s="380" t="s">
        <v>1267</v>
      </c>
      <c r="H4305" s="380" t="s">
        <v>771</v>
      </c>
      <c r="I4305" s="380" t="s">
        <v>925</v>
      </c>
      <c r="J4305" s="380" t="s">
        <v>773</v>
      </c>
      <c r="K4305" s="381">
        <v>0.0</v>
      </c>
      <c r="L4305" s="382">
        <v>1.0</v>
      </c>
    </row>
    <row r="4306">
      <c r="A4306" s="380" t="s">
        <v>5173</v>
      </c>
      <c r="B4306" s="380" t="str">
        <f>IFERROR(__xludf.DUMMYFUNCTION("""COMPUTED_VALUE"""),"Bolsa Plast Transp Adhesivo Nys 25 X 20")</f>
        <v>Bolsa Plast Transp Adhesivo Nys 25 X 20</v>
      </c>
      <c r="C4306" s="380" t="str">
        <f>IFERROR(__xludf.DUMMYFUNCTION("""COMPUTED_VALUE"""),"60000169")</f>
        <v>60000169</v>
      </c>
      <c r="D4306" s="380" t="s">
        <v>767</v>
      </c>
      <c r="E4306" s="380" t="s">
        <v>875</v>
      </c>
      <c r="F4306" s="380" t="s">
        <v>924</v>
      </c>
      <c r="G4306" s="380" t="s">
        <v>1267</v>
      </c>
      <c r="H4306" s="380" t="s">
        <v>771</v>
      </c>
      <c r="I4306" s="380" t="s">
        <v>925</v>
      </c>
      <c r="J4306" s="380" t="s">
        <v>773</v>
      </c>
      <c r="K4306" s="381">
        <v>70.0</v>
      </c>
      <c r="L4306" s="382">
        <v>1.0</v>
      </c>
    </row>
    <row r="4307">
      <c r="A4307" s="380" t="s">
        <v>5174</v>
      </c>
      <c r="B4307" s="380" t="str">
        <f>IFERROR(__xludf.DUMMYFUNCTION("""COMPUTED_VALUE"""),"Bolsa Invisible Peq 17 X 27 Cms Paq X 50")</f>
        <v>Bolsa Invisible Peq 17 X 27 Cms Paq X 50</v>
      </c>
      <c r="C4307" s="380" t="str">
        <f>IFERROR(__xludf.DUMMYFUNCTION("""COMPUTED_VALUE"""),"60000171")</f>
        <v>60000171</v>
      </c>
      <c r="D4307" s="380" t="s">
        <v>767</v>
      </c>
      <c r="E4307" s="380" t="s">
        <v>875</v>
      </c>
      <c r="F4307" s="380" t="s">
        <v>924</v>
      </c>
      <c r="G4307" s="380" t="s">
        <v>1267</v>
      </c>
      <c r="H4307" s="380" t="s">
        <v>771</v>
      </c>
      <c r="I4307" s="380" t="s">
        <v>925</v>
      </c>
      <c r="J4307" s="380" t="s">
        <v>773</v>
      </c>
      <c r="K4307" s="381">
        <v>0.0</v>
      </c>
      <c r="L4307" s="382">
        <v>1.0</v>
      </c>
    </row>
    <row r="4308">
      <c r="A4308" s="380" t="s">
        <v>5175</v>
      </c>
      <c r="B4308" s="380" t="str">
        <f>IFERROR(__xludf.DUMMYFUNCTION("""COMPUTED_VALUE"""),"Caja 50x40x38 30 Pv Interno")</f>
        <v>Caja 50x40x38 30 Pv Interno</v>
      </c>
      <c r="C4308" s="380" t="str">
        <f>IFERROR(__xludf.DUMMYFUNCTION("""COMPUTED_VALUE"""),"60000172")</f>
        <v>60000172</v>
      </c>
      <c r="D4308" s="380" t="s">
        <v>767</v>
      </c>
      <c r="E4308" s="380" t="s">
        <v>875</v>
      </c>
      <c r="F4308" s="380" t="s">
        <v>924</v>
      </c>
      <c r="G4308" s="380" t="s">
        <v>1267</v>
      </c>
      <c r="H4308" s="380" t="s">
        <v>771</v>
      </c>
      <c r="I4308" s="380" t="s">
        <v>925</v>
      </c>
      <c r="J4308" s="380" t="s">
        <v>773</v>
      </c>
      <c r="K4308" s="381">
        <v>0.0</v>
      </c>
      <c r="L4308" s="382">
        <v>1.0</v>
      </c>
    </row>
    <row r="4309">
      <c r="A4309" s="380" t="s">
        <v>5176</v>
      </c>
      <c r="B4309" s="380" t="str">
        <f>IFERROR(__xludf.DUMMYFUNCTION("""COMPUTED_VALUE"""),"Costal En Fibra")</f>
        <v>Costal En Fibra</v>
      </c>
      <c r="C4309" s="380" t="str">
        <f>IFERROR(__xludf.DUMMYFUNCTION("""COMPUTED_VALUE"""),"60000173")</f>
        <v>60000173</v>
      </c>
      <c r="D4309" s="380" t="s">
        <v>767</v>
      </c>
      <c r="E4309" s="380" t="s">
        <v>875</v>
      </c>
      <c r="F4309" s="380" t="s">
        <v>924</v>
      </c>
      <c r="G4309" s="380" t="s">
        <v>1267</v>
      </c>
      <c r="H4309" s="380" t="s">
        <v>771</v>
      </c>
      <c r="I4309" s="380" t="s">
        <v>925</v>
      </c>
      <c r="J4309" s="380" t="s">
        <v>773</v>
      </c>
      <c r="K4309" s="381">
        <v>3145.0</v>
      </c>
      <c r="L4309" s="382">
        <v>1.0</v>
      </c>
    </row>
    <row r="4310">
      <c r="A4310" s="380" t="s">
        <v>5177</v>
      </c>
      <c r="B4310" s="380" t="str">
        <f>IFERROR(__xludf.DUMMYFUNCTION("""COMPUTED_VALUE"""),"Bolsa Transparente 13 X 28 X 1 Paq X 100")</f>
        <v>Bolsa Transparente 13 X 28 X 1 Paq X 100</v>
      </c>
      <c r="C4310" s="380" t="str">
        <f>IFERROR(__xludf.DUMMYFUNCTION("""COMPUTED_VALUE"""),"60000174")</f>
        <v>60000174</v>
      </c>
      <c r="D4310" s="380" t="s">
        <v>767</v>
      </c>
      <c r="E4310" s="380" t="s">
        <v>875</v>
      </c>
      <c r="F4310" s="380" t="s">
        <v>924</v>
      </c>
      <c r="G4310" s="380" t="s">
        <v>1267</v>
      </c>
      <c r="H4310" s="380" t="s">
        <v>771</v>
      </c>
      <c r="I4310" s="380" t="s">
        <v>925</v>
      </c>
      <c r="J4310" s="380" t="s">
        <v>773</v>
      </c>
      <c r="K4310" s="381">
        <v>0.0</v>
      </c>
      <c r="L4310" s="382">
        <v>1.0</v>
      </c>
    </row>
    <row r="4311">
      <c r="A4311" s="380" t="s">
        <v>5178</v>
      </c>
      <c r="B4311" s="380" t="str">
        <f>IFERROR(__xludf.DUMMYFUNCTION("""COMPUTED_VALUE"""),"Bolsa Polipropileno Transparente X 100")</f>
        <v>Bolsa Polipropileno Transparente X 100</v>
      </c>
      <c r="C4311" s="380" t="str">
        <f>IFERROR(__xludf.DUMMYFUNCTION("""COMPUTED_VALUE"""),"60000178")</f>
        <v>60000178</v>
      </c>
      <c r="D4311" s="380" t="s">
        <v>767</v>
      </c>
      <c r="E4311" s="380" t="s">
        <v>875</v>
      </c>
      <c r="F4311" s="380" t="s">
        <v>924</v>
      </c>
      <c r="G4311" s="380" t="s">
        <v>1267</v>
      </c>
      <c r="H4311" s="380" t="s">
        <v>771</v>
      </c>
      <c r="I4311" s="380" t="s">
        <v>925</v>
      </c>
      <c r="J4311" s="380" t="s">
        <v>773</v>
      </c>
      <c r="K4311" s="381">
        <v>0.0</v>
      </c>
      <c r="L4311" s="382">
        <v>1.0</v>
      </c>
    </row>
    <row r="4312">
      <c r="A4312" s="380" t="s">
        <v>5179</v>
      </c>
      <c r="B4312" s="380" t="str">
        <f>IFERROR(__xludf.DUMMYFUNCTION("""COMPUTED_VALUE"""),"Bolsa Transpar Baja 25 X 35 Cm Paq X 100")</f>
        <v>Bolsa Transpar Baja 25 X 35 Cm Paq X 100</v>
      </c>
      <c r="C4312" s="380" t="str">
        <f>IFERROR(__xludf.DUMMYFUNCTION("""COMPUTED_VALUE"""),"60000180")</f>
        <v>60000180</v>
      </c>
      <c r="D4312" s="380" t="s">
        <v>767</v>
      </c>
      <c r="E4312" s="380" t="s">
        <v>875</v>
      </c>
      <c r="F4312" s="380" t="s">
        <v>924</v>
      </c>
      <c r="G4312" s="380" t="s">
        <v>1267</v>
      </c>
      <c r="H4312" s="380" t="s">
        <v>771</v>
      </c>
      <c r="I4312" s="380" t="s">
        <v>925</v>
      </c>
      <c r="J4312" s="380" t="s">
        <v>773</v>
      </c>
      <c r="K4312" s="381">
        <v>0.0</v>
      </c>
      <c r="L4312" s="382">
        <v>1.0</v>
      </c>
    </row>
    <row r="4313">
      <c r="A4313" s="380" t="s">
        <v>5180</v>
      </c>
      <c r="B4313" s="380" t="str">
        <f>IFERROR(__xludf.DUMMYFUNCTION("""COMPUTED_VALUE"""),"Bolsa Plastica Transp Sello Hermetico")</f>
        <v>Bolsa Plastica Transp Sello Hermetico</v>
      </c>
      <c r="C4313" s="380" t="str">
        <f>IFERROR(__xludf.DUMMYFUNCTION("""COMPUTED_VALUE"""),"60000181")</f>
        <v>60000181</v>
      </c>
      <c r="D4313" s="380" t="s">
        <v>767</v>
      </c>
      <c r="E4313" s="380" t="s">
        <v>875</v>
      </c>
      <c r="F4313" s="380" t="s">
        <v>924</v>
      </c>
      <c r="G4313" s="380" t="s">
        <v>1267</v>
      </c>
      <c r="H4313" s="380" t="s">
        <v>771</v>
      </c>
      <c r="I4313" s="380" t="s">
        <v>925</v>
      </c>
      <c r="J4313" s="380" t="s">
        <v>773</v>
      </c>
      <c r="K4313" s="381">
        <v>0.0</v>
      </c>
      <c r="L4313" s="382">
        <v>1.0</v>
      </c>
    </row>
    <row r="4314">
      <c r="A4314" s="380" t="s">
        <v>5181</v>
      </c>
      <c r="B4314" s="380" t="str">
        <f>IFERROR(__xludf.DUMMYFUNCTION("""COMPUTED_VALUE"""),"Bolsa De Seguridad Mediana")</f>
        <v>Bolsa De Seguridad Mediana</v>
      </c>
      <c r="C4314" s="380" t="str">
        <f>IFERROR(__xludf.DUMMYFUNCTION("""COMPUTED_VALUE"""),"60000183")</f>
        <v>60000183</v>
      </c>
      <c r="D4314" s="380" t="s">
        <v>767</v>
      </c>
      <c r="E4314" s="380" t="s">
        <v>875</v>
      </c>
      <c r="F4314" s="380" t="s">
        <v>924</v>
      </c>
      <c r="G4314" s="380" t="s">
        <v>1267</v>
      </c>
      <c r="H4314" s="380" t="s">
        <v>771</v>
      </c>
      <c r="I4314" s="380" t="s">
        <v>925</v>
      </c>
      <c r="J4314" s="380" t="s">
        <v>773</v>
      </c>
      <c r="K4314" s="381">
        <v>397.0</v>
      </c>
      <c r="L4314" s="382">
        <v>1.0</v>
      </c>
    </row>
    <row r="4315">
      <c r="A4315" s="380" t="s">
        <v>5182</v>
      </c>
      <c r="B4315" s="380" t="str">
        <f>IFERROR(__xludf.DUMMYFUNCTION("""COMPUTED_VALUE"""),"Bolsa De Seguridad Grande")</f>
        <v>Bolsa De Seguridad Grande</v>
      </c>
      <c r="C4315" s="380" t="str">
        <f>IFERROR(__xludf.DUMMYFUNCTION("""COMPUTED_VALUE"""),"60000184")</f>
        <v>60000184</v>
      </c>
      <c r="D4315" s="380" t="s">
        <v>767</v>
      </c>
      <c r="E4315" s="380" t="s">
        <v>875</v>
      </c>
      <c r="F4315" s="380" t="s">
        <v>924</v>
      </c>
      <c r="G4315" s="380" t="s">
        <v>1267</v>
      </c>
      <c r="H4315" s="380" t="s">
        <v>771</v>
      </c>
      <c r="I4315" s="380" t="s">
        <v>925</v>
      </c>
      <c r="J4315" s="380" t="s">
        <v>773</v>
      </c>
      <c r="K4315" s="381">
        <v>477.0</v>
      </c>
      <c r="L4315" s="382">
        <v>1.0</v>
      </c>
    </row>
    <row r="4316">
      <c r="A4316" s="380" t="s">
        <v>5183</v>
      </c>
      <c r="B4316" s="380" t="str">
        <f>IFERROR(__xludf.DUMMYFUNCTION("""COMPUTED_VALUE"""),"Bolsa De Seguridad Pequeña")</f>
        <v>Bolsa De Seguridad Pequeña</v>
      </c>
      <c r="C4316" s="380" t="str">
        <f>IFERROR(__xludf.DUMMYFUNCTION("""COMPUTED_VALUE"""),"60000185")</f>
        <v>60000185</v>
      </c>
      <c r="D4316" s="380" t="s">
        <v>767</v>
      </c>
      <c r="E4316" s="380" t="s">
        <v>875</v>
      </c>
      <c r="F4316" s="380" t="s">
        <v>924</v>
      </c>
      <c r="G4316" s="380" t="s">
        <v>1267</v>
      </c>
      <c r="H4316" s="380" t="s">
        <v>771</v>
      </c>
      <c r="I4316" s="380" t="s">
        <v>925</v>
      </c>
      <c r="J4316" s="380" t="s">
        <v>773</v>
      </c>
      <c r="K4316" s="381">
        <v>158.0</v>
      </c>
      <c r="L4316" s="382">
        <v>1.0</v>
      </c>
    </row>
    <row r="4317">
      <c r="A4317" s="380" t="s">
        <v>5184</v>
      </c>
      <c r="B4317" s="380" t="str">
        <f>IFERROR(__xludf.DUMMYFUNCTION("""COMPUTED_VALUE"""),"Caja Archivo Inactivo")</f>
        <v>Caja Archivo Inactivo</v>
      </c>
      <c r="C4317" s="380" t="str">
        <f>IFERROR(__xludf.DUMMYFUNCTION("""COMPUTED_VALUE"""),"60000186")</f>
        <v>60000186</v>
      </c>
      <c r="D4317" s="380" t="s">
        <v>767</v>
      </c>
      <c r="E4317" s="380" t="s">
        <v>875</v>
      </c>
      <c r="F4317" s="380" t="s">
        <v>924</v>
      </c>
      <c r="G4317" s="380" t="s">
        <v>1267</v>
      </c>
      <c r="H4317" s="380" t="s">
        <v>771</v>
      </c>
      <c r="I4317" s="380" t="s">
        <v>925</v>
      </c>
      <c r="J4317" s="380" t="s">
        <v>773</v>
      </c>
      <c r="K4317" s="381">
        <v>3485.0</v>
      </c>
      <c r="L4317" s="382">
        <v>1.0</v>
      </c>
    </row>
    <row r="4318">
      <c r="A4318" s="380" t="s">
        <v>5185</v>
      </c>
      <c r="B4318" s="380" t="str">
        <f>IFERROR(__xludf.DUMMYFUNCTION("""COMPUTED_VALUE"""),"Caja 50x40x55 45 Pv Interno")</f>
        <v>Caja 50x40x55 45 Pv Interno</v>
      </c>
      <c r="C4318" s="380" t="str">
        <f>IFERROR(__xludf.DUMMYFUNCTION("""COMPUTED_VALUE"""),"60000187")</f>
        <v>60000187</v>
      </c>
      <c r="D4318" s="380" t="s">
        <v>767</v>
      </c>
      <c r="E4318" s="380" t="s">
        <v>875</v>
      </c>
      <c r="F4318" s="380" t="s">
        <v>924</v>
      </c>
      <c r="G4318" s="380" t="s">
        <v>1267</v>
      </c>
      <c r="H4318" s="380" t="s">
        <v>771</v>
      </c>
      <c r="I4318" s="380" t="s">
        <v>925</v>
      </c>
      <c r="J4318" s="380" t="s">
        <v>773</v>
      </c>
      <c r="K4318" s="381">
        <v>0.0</v>
      </c>
      <c r="L4318" s="382">
        <v>1.0</v>
      </c>
    </row>
    <row r="4319">
      <c r="A4319" s="380" t="s">
        <v>5186</v>
      </c>
      <c r="B4319" s="380" t="str">
        <f>IFERROR(__xludf.DUMMYFUNCTION("""COMPUTED_VALUE"""),"Caja 55x35x26 20 Pv Interno")</f>
        <v>Caja 55x35x26 20 Pv Interno</v>
      </c>
      <c r="C4319" s="380" t="str">
        <f>IFERROR(__xludf.DUMMYFUNCTION("""COMPUTED_VALUE"""),"60000188")</f>
        <v>60000188</v>
      </c>
      <c r="D4319" s="380" t="s">
        <v>767</v>
      </c>
      <c r="E4319" s="380" t="s">
        <v>875</v>
      </c>
      <c r="F4319" s="380" t="s">
        <v>924</v>
      </c>
      <c r="G4319" s="380" t="s">
        <v>1267</v>
      </c>
      <c r="H4319" s="380" t="s">
        <v>771</v>
      </c>
      <c r="I4319" s="380" t="s">
        <v>925</v>
      </c>
      <c r="J4319" s="380" t="s">
        <v>773</v>
      </c>
      <c r="K4319" s="381">
        <v>0.0</v>
      </c>
      <c r="L4319" s="382">
        <v>1.0</v>
      </c>
    </row>
    <row r="4320">
      <c r="A4320" s="380" t="s">
        <v>5187</v>
      </c>
      <c r="B4320" s="380" t="str">
        <f>IFERROR(__xludf.DUMMYFUNCTION("""COMPUTED_VALUE"""),"Nevera En Icopor")</f>
        <v>Nevera En Icopor</v>
      </c>
      <c r="C4320" s="380" t="str">
        <f>IFERROR(__xludf.DUMMYFUNCTION("""COMPUTED_VALUE"""),"60000190")</f>
        <v>60000190</v>
      </c>
      <c r="D4320" s="380" t="s">
        <v>767</v>
      </c>
      <c r="E4320" s="380" t="s">
        <v>875</v>
      </c>
      <c r="F4320" s="380" t="s">
        <v>924</v>
      </c>
      <c r="G4320" s="380" t="s">
        <v>1267</v>
      </c>
      <c r="H4320" s="380" t="s">
        <v>771</v>
      </c>
      <c r="I4320" s="380" t="s">
        <v>925</v>
      </c>
      <c r="J4320" s="380" t="s">
        <v>773</v>
      </c>
      <c r="K4320" s="381">
        <v>0.0</v>
      </c>
      <c r="L4320" s="382">
        <v>1.0</v>
      </c>
    </row>
    <row r="4321">
      <c r="A4321" s="380" t="s">
        <v>5188</v>
      </c>
      <c r="B4321" s="380" t="str">
        <f>IFERROR(__xludf.DUMMYFUNCTION("""COMPUTED_VALUE"""),"Caja 30 X 27 X 15 5 Pv Interno")</f>
        <v>Caja 30 X 27 X 15 5 Pv Interno</v>
      </c>
      <c r="C4321" s="380" t="str">
        <f>IFERROR(__xludf.DUMMYFUNCTION("""COMPUTED_VALUE"""),"60000191")</f>
        <v>60000191</v>
      </c>
      <c r="D4321" s="380" t="s">
        <v>767</v>
      </c>
      <c r="E4321" s="380" t="s">
        <v>875</v>
      </c>
      <c r="F4321" s="380" t="s">
        <v>924</v>
      </c>
      <c r="G4321" s="380" t="s">
        <v>1267</v>
      </c>
      <c r="H4321" s="380" t="s">
        <v>771</v>
      </c>
      <c r="I4321" s="380" t="s">
        <v>925</v>
      </c>
      <c r="J4321" s="380" t="s">
        <v>773</v>
      </c>
      <c r="K4321" s="381">
        <v>0.0</v>
      </c>
      <c r="L4321" s="382">
        <v>1.0</v>
      </c>
    </row>
    <row r="4322">
      <c r="A4322" s="380" t="s">
        <v>5189</v>
      </c>
      <c r="B4322" s="380" t="str">
        <f>IFERROR(__xludf.DUMMYFUNCTION("""COMPUTED_VALUE"""),"Bolsa De Tela Azul 21x28 Con Tira")</f>
        <v>Bolsa De Tela Azul 21x28 Con Tira</v>
      </c>
      <c r="C4322" s="380" t="str">
        <f>IFERROR(__xludf.DUMMYFUNCTION("""COMPUTED_VALUE"""),"60000192")</f>
        <v>60000192</v>
      </c>
      <c r="D4322" s="380" t="s">
        <v>767</v>
      </c>
      <c r="E4322" s="380" t="s">
        <v>875</v>
      </c>
      <c r="F4322" s="380" t="s">
        <v>924</v>
      </c>
      <c r="G4322" s="380" t="s">
        <v>1267</v>
      </c>
      <c r="H4322" s="380" t="s">
        <v>771</v>
      </c>
      <c r="I4322" s="380" t="s">
        <v>925</v>
      </c>
      <c r="J4322" s="380" t="s">
        <v>773</v>
      </c>
      <c r="K4322" s="381">
        <v>893.0</v>
      </c>
      <c r="L4322" s="382">
        <v>1.0</v>
      </c>
    </row>
    <row r="4323">
      <c r="A4323" s="380" t="s">
        <v>5190</v>
      </c>
      <c r="B4323" s="380" t="str">
        <f>IFERROR(__xludf.DUMMYFUNCTION("""COMPUTED_VALUE"""),"Bolsa Invisible Mediana 32X42Cms PaqX50")</f>
        <v>Bolsa Invisible Mediana 32X42Cms PaqX50</v>
      </c>
      <c r="C4323" s="380" t="str">
        <f>IFERROR(__xludf.DUMMYFUNCTION("""COMPUTED_VALUE"""),"60000193")</f>
        <v>60000193</v>
      </c>
      <c r="D4323" s="380" t="s">
        <v>767</v>
      </c>
      <c r="E4323" s="380" t="s">
        <v>875</v>
      </c>
      <c r="F4323" s="380" t="s">
        <v>924</v>
      </c>
      <c r="G4323" s="380" t="s">
        <v>1267</v>
      </c>
      <c r="H4323" s="380" t="s">
        <v>771</v>
      </c>
      <c r="I4323" s="380" t="s">
        <v>925</v>
      </c>
      <c r="J4323" s="380" t="s">
        <v>773</v>
      </c>
      <c r="K4323" s="381">
        <v>0.0</v>
      </c>
      <c r="L4323" s="382">
        <v>1.0</v>
      </c>
    </row>
    <row r="4324">
      <c r="A4324" s="380" t="s">
        <v>5191</v>
      </c>
      <c r="B4324" s="380" t="str">
        <f>IFERROR(__xludf.DUMMYFUNCTION("""COMPUTED_VALUE"""),"Bolsillo PortaSobre Radicacion Document")</f>
        <v>Bolsillo PortaSobre Radicacion Document</v>
      </c>
      <c r="C4324" s="380" t="str">
        <f>IFERROR(__xludf.DUMMYFUNCTION("""COMPUTED_VALUE"""),"60000195")</f>
        <v>60000195</v>
      </c>
      <c r="D4324" s="380" t="s">
        <v>767</v>
      </c>
      <c r="E4324" s="380" t="s">
        <v>875</v>
      </c>
      <c r="F4324" s="380" t="s">
        <v>924</v>
      </c>
      <c r="G4324" s="380" t="s">
        <v>1267</v>
      </c>
      <c r="H4324" s="380" t="s">
        <v>771</v>
      </c>
      <c r="I4324" s="380" t="s">
        <v>925</v>
      </c>
      <c r="J4324" s="380" t="s">
        <v>773</v>
      </c>
      <c r="K4324" s="381">
        <v>270.0</v>
      </c>
      <c r="L4324" s="382">
        <v>1.0</v>
      </c>
    </row>
    <row r="4325">
      <c r="A4325" s="380" t="s">
        <v>5192</v>
      </c>
      <c r="B4325" s="380" t="str">
        <f>IFERROR(__xludf.DUMMYFUNCTION("""COMPUTED_VALUE"""),"Caja Blanca Ecologica Con Tapa")</f>
        <v>Caja Blanca Ecologica Con Tapa</v>
      </c>
      <c r="C4325" s="380" t="str">
        <f>IFERROR(__xludf.DUMMYFUNCTION("""COMPUTED_VALUE"""),"60000196")</f>
        <v>60000196</v>
      </c>
      <c r="D4325" s="380" t="s">
        <v>767</v>
      </c>
      <c r="E4325" s="380" t="s">
        <v>875</v>
      </c>
      <c r="F4325" s="380" t="s">
        <v>924</v>
      </c>
      <c r="G4325" s="380" t="s">
        <v>1267</v>
      </c>
      <c r="H4325" s="380" t="s">
        <v>771</v>
      </c>
      <c r="I4325" s="380" t="s">
        <v>925</v>
      </c>
      <c r="J4325" s="380" t="s">
        <v>773</v>
      </c>
      <c r="K4325" s="381">
        <v>0.0</v>
      </c>
      <c r="L4325" s="382">
        <v>1.0</v>
      </c>
    </row>
    <row r="4326">
      <c r="A4326" s="380" t="s">
        <v>5193</v>
      </c>
      <c r="B4326" s="380" t="str">
        <f>IFERROR(__xludf.DUMMYFUNCTION("""COMPUTED_VALUE"""),"Cortacircui 230/400v1p10aB-Char15kaTerTo")</f>
        <v>Cortacircui 230/400v1p10aB-Char15kaTerTo</v>
      </c>
      <c r="C4326" s="380" t="str">
        <f>IFERROR(__xludf.DUMMYFUNCTION("""COMPUTED_VALUE"""),"60000197")</f>
        <v>60000197</v>
      </c>
      <c r="D4326" s="380" t="s">
        <v>767</v>
      </c>
      <c r="E4326" s="380" t="s">
        <v>875</v>
      </c>
      <c r="F4326" s="380" t="s">
        <v>1058</v>
      </c>
      <c r="G4326" s="380" t="s">
        <v>1267</v>
      </c>
      <c r="H4326" s="380" t="s">
        <v>771</v>
      </c>
      <c r="I4326" s="380" t="s">
        <v>788</v>
      </c>
      <c r="J4326" s="380" t="s">
        <v>773</v>
      </c>
      <c r="K4326" s="381">
        <v>0.0</v>
      </c>
      <c r="L4326" s="382">
        <v>1.0</v>
      </c>
    </row>
    <row r="4327">
      <c r="A4327" s="380" t="s">
        <v>5194</v>
      </c>
      <c r="B4327" s="380" t="str">
        <f>IFERROR(__xludf.DUMMYFUNCTION("""COMPUTED_VALUE"""),"Cortacircui 230/400v2p10aC-Char20kaTerTo")</f>
        <v>Cortacircui 230/400v2p10aC-Char20kaTerTo</v>
      </c>
      <c r="C4327" s="380" t="str">
        <f>IFERROR(__xludf.DUMMYFUNCTION("""COMPUTED_VALUE"""),"60000198")</f>
        <v>60000198</v>
      </c>
      <c r="D4327" s="380" t="s">
        <v>767</v>
      </c>
      <c r="E4327" s="380" t="s">
        <v>875</v>
      </c>
      <c r="F4327" s="380" t="s">
        <v>1058</v>
      </c>
      <c r="G4327" s="380" t="s">
        <v>1267</v>
      </c>
      <c r="H4327" s="380" t="s">
        <v>771</v>
      </c>
      <c r="I4327" s="380" t="s">
        <v>788</v>
      </c>
      <c r="J4327" s="380" t="s">
        <v>773</v>
      </c>
      <c r="K4327" s="381">
        <v>0.0</v>
      </c>
      <c r="L4327" s="382">
        <v>1.0</v>
      </c>
    </row>
    <row r="4328">
      <c r="A4328" s="380" t="s">
        <v>5195</v>
      </c>
      <c r="B4328" s="380" t="str">
        <f>IFERROR(__xludf.DUMMYFUNCTION("""COMPUTED_VALUE"""),"Sirena Sonido Conf 100db 24vdc")</f>
        <v>Sirena Sonido Conf 100db 24vdc</v>
      </c>
      <c r="C4328" s="380" t="str">
        <f>IFERROR(__xludf.DUMMYFUNCTION("""COMPUTED_VALUE"""),"60000199")</f>
        <v>60000199</v>
      </c>
      <c r="D4328" s="380" t="s">
        <v>767</v>
      </c>
      <c r="E4328" s="380" t="s">
        <v>875</v>
      </c>
      <c r="F4328" s="380" t="s">
        <v>1058</v>
      </c>
      <c r="G4328" s="380" t="s">
        <v>1267</v>
      </c>
      <c r="H4328" s="380" t="s">
        <v>771</v>
      </c>
      <c r="I4328" s="380" t="s">
        <v>788</v>
      </c>
      <c r="J4328" s="380" t="s">
        <v>773</v>
      </c>
      <c r="K4328" s="381">
        <v>0.0</v>
      </c>
      <c r="L4328" s="382">
        <v>1.0</v>
      </c>
    </row>
    <row r="4329">
      <c r="A4329" s="380" t="s">
        <v>5196</v>
      </c>
      <c r="B4329" s="380" t="str">
        <f>IFERROR(__xludf.DUMMYFUNCTION("""COMPUTED_VALUE"""),"Pulsador Emergencia Hongo Rotable D40mm")</f>
        <v>Pulsador Emergencia Hongo Rotable D40mm</v>
      </c>
      <c r="C4329" s="380" t="str">
        <f>IFERROR(__xludf.DUMMYFUNCTION("""COMPUTED_VALUE"""),"60000200")</f>
        <v>60000200</v>
      </c>
      <c r="D4329" s="380" t="s">
        <v>767</v>
      </c>
      <c r="E4329" s="380" t="s">
        <v>875</v>
      </c>
      <c r="F4329" s="380" t="s">
        <v>1058</v>
      </c>
      <c r="G4329" s="380" t="s">
        <v>1267</v>
      </c>
      <c r="H4329" s="380" t="s">
        <v>771</v>
      </c>
      <c r="I4329" s="380" t="s">
        <v>788</v>
      </c>
      <c r="J4329" s="380" t="s">
        <v>773</v>
      </c>
      <c r="K4329" s="381">
        <v>0.0</v>
      </c>
      <c r="L4329" s="382">
        <v>1.0</v>
      </c>
    </row>
    <row r="4330">
      <c r="A4330" s="380" t="s">
        <v>5197</v>
      </c>
      <c r="B4330" s="380" t="str">
        <f>IFERROR(__xludf.DUMMYFUNCTION("""COMPUTED_VALUE"""),"Pulsador Parada Emergencia 2 Elementos")</f>
        <v>Pulsador Parada Emergencia 2 Elementos</v>
      </c>
      <c r="C4330" s="380" t="str">
        <f>IFERROR(__xludf.DUMMYFUNCTION("""COMPUTED_VALUE"""),"60000201")</f>
        <v>60000201</v>
      </c>
      <c r="D4330" s="380" t="s">
        <v>767</v>
      </c>
      <c r="E4330" s="380" t="s">
        <v>875</v>
      </c>
      <c r="F4330" s="380" t="s">
        <v>1058</v>
      </c>
      <c r="G4330" s="380" t="s">
        <v>1267</v>
      </c>
      <c r="H4330" s="380" t="s">
        <v>771</v>
      </c>
      <c r="I4330" s="380" t="s">
        <v>788</v>
      </c>
      <c r="J4330" s="380" t="s">
        <v>773</v>
      </c>
      <c r="K4330" s="381">
        <v>0.0</v>
      </c>
      <c r="L4330" s="382">
        <v>1.0</v>
      </c>
    </row>
    <row r="4331">
      <c r="A4331" s="380" t="s">
        <v>5198</v>
      </c>
      <c r="B4331" s="380" t="str">
        <f>IFERROR(__xludf.DUMMYFUNCTION("""COMPUTED_VALUE"""),"Pulsador Metal Negro Mate D22mm")</f>
        <v>Pulsador Metal Negro Mate D22mm</v>
      </c>
      <c r="C4331" s="380" t="str">
        <f>IFERROR(__xludf.DUMMYFUNCTION("""COMPUTED_VALUE"""),"60000202")</f>
        <v>60000202</v>
      </c>
      <c r="D4331" s="380" t="s">
        <v>767</v>
      </c>
      <c r="E4331" s="380" t="s">
        <v>875</v>
      </c>
      <c r="F4331" s="380" t="s">
        <v>1058</v>
      </c>
      <c r="G4331" s="380" t="s">
        <v>1267</v>
      </c>
      <c r="H4331" s="380" t="s">
        <v>771</v>
      </c>
      <c r="I4331" s="380" t="s">
        <v>788</v>
      </c>
      <c r="J4331" s="380" t="s">
        <v>773</v>
      </c>
      <c r="K4331" s="381">
        <v>0.0</v>
      </c>
      <c r="L4331" s="382">
        <v>1.0</v>
      </c>
    </row>
    <row r="4332">
      <c r="A4332" s="380" t="s">
        <v>5199</v>
      </c>
      <c r="B4332" s="380" t="str">
        <f>IFERROR(__xludf.DUMMYFUNCTION("""COMPUTED_VALUE"""),"Bornera Para 3 Contactos")</f>
        <v>Bornera Para 3 Contactos</v>
      </c>
      <c r="C4332" s="380" t="str">
        <f>IFERROR(__xludf.DUMMYFUNCTION("""COMPUTED_VALUE"""),"60000203")</f>
        <v>60000203</v>
      </c>
      <c r="D4332" s="380" t="s">
        <v>767</v>
      </c>
      <c r="E4332" s="380" t="s">
        <v>875</v>
      </c>
      <c r="F4332" s="380" t="s">
        <v>1058</v>
      </c>
      <c r="G4332" s="380" t="s">
        <v>1267</v>
      </c>
      <c r="H4332" s="380" t="s">
        <v>771</v>
      </c>
      <c r="I4332" s="380" t="s">
        <v>788</v>
      </c>
      <c r="J4332" s="380" t="s">
        <v>773</v>
      </c>
      <c r="K4332" s="381">
        <v>0.0</v>
      </c>
      <c r="L4332" s="382">
        <v>1.0</v>
      </c>
    </row>
    <row r="4333">
      <c r="A4333" s="380" t="s">
        <v>5200</v>
      </c>
      <c r="B4333" s="380" t="str">
        <f>IFERROR(__xludf.DUMMYFUNCTION("""COMPUTED_VALUE"""),"Inversor Mini 3kw Be")</f>
        <v>Inversor Mini 3kw Be</v>
      </c>
      <c r="C4333" s="380" t="str">
        <f>IFERROR(__xludf.DUMMYFUNCTION("""COMPUTED_VALUE"""),"60000204")</f>
        <v>60000204</v>
      </c>
      <c r="D4333" s="380" t="s">
        <v>767</v>
      </c>
      <c r="E4333" s="380" t="s">
        <v>875</v>
      </c>
      <c r="F4333" s="380" t="s">
        <v>1058</v>
      </c>
      <c r="G4333" s="380" t="s">
        <v>1267</v>
      </c>
      <c r="H4333" s="380" t="s">
        <v>771</v>
      </c>
      <c r="I4333" s="380" t="s">
        <v>788</v>
      </c>
      <c r="J4333" s="380" t="s">
        <v>773</v>
      </c>
      <c r="K4333" s="381">
        <v>0.0</v>
      </c>
      <c r="L4333" s="382">
        <v>1.0</v>
      </c>
    </row>
    <row r="4334">
      <c r="A4334" s="380" t="s">
        <v>5201</v>
      </c>
      <c r="B4334" s="380" t="str">
        <f>IFERROR(__xludf.DUMMYFUNCTION("""COMPUTED_VALUE"""),"Variador De Frecuencia 2,2 Kw Abb 3f Be")</f>
        <v>Variador De Frecuencia 2,2 Kw Abb 3f Be</v>
      </c>
      <c r="C4334" s="380" t="str">
        <f>IFERROR(__xludf.DUMMYFUNCTION("""COMPUTED_VALUE"""),"60000205")</f>
        <v>60000205</v>
      </c>
      <c r="D4334" s="380" t="s">
        <v>767</v>
      </c>
      <c r="E4334" s="380" t="s">
        <v>875</v>
      </c>
      <c r="F4334" s="380" t="s">
        <v>1058</v>
      </c>
      <c r="G4334" s="380" t="s">
        <v>1267</v>
      </c>
      <c r="H4334" s="380" t="s">
        <v>771</v>
      </c>
      <c r="I4334" s="380" t="s">
        <v>788</v>
      </c>
      <c r="J4334" s="380" t="s">
        <v>773</v>
      </c>
      <c r="K4334" s="381">
        <v>0.0</v>
      </c>
      <c r="L4334" s="382">
        <v>1.0</v>
      </c>
    </row>
    <row r="4335">
      <c r="A4335" s="380" t="s">
        <v>5202</v>
      </c>
      <c r="B4335" s="380" t="str">
        <f>IFERROR(__xludf.DUMMYFUNCTION("""COMPUTED_VALUE"""),"Pulsador Verde Be")</f>
        <v>Pulsador Verde Be</v>
      </c>
      <c r="C4335" s="380" t="str">
        <f>IFERROR(__xludf.DUMMYFUNCTION("""COMPUTED_VALUE"""),"60000206")</f>
        <v>60000206</v>
      </c>
      <c r="D4335" s="380" t="s">
        <v>767</v>
      </c>
      <c r="E4335" s="380" t="s">
        <v>875</v>
      </c>
      <c r="F4335" s="380" t="s">
        <v>1058</v>
      </c>
      <c r="G4335" s="380" t="s">
        <v>1267</v>
      </c>
      <c r="H4335" s="380" t="s">
        <v>771</v>
      </c>
      <c r="I4335" s="380" t="s">
        <v>788</v>
      </c>
      <c r="J4335" s="380" t="s">
        <v>773</v>
      </c>
      <c r="K4335" s="381">
        <v>0.0</v>
      </c>
      <c r="L4335" s="382">
        <v>1.0</v>
      </c>
    </row>
    <row r="4336">
      <c r="A4336" s="380" t="s">
        <v>5203</v>
      </c>
      <c r="B4336" s="380" t="str">
        <f>IFERROR(__xludf.DUMMYFUNCTION("""COMPUTED_VALUE"""),"Brida Ina Schaeffler")</f>
        <v>Brida Ina Schaeffler</v>
      </c>
      <c r="C4336" s="380" t="str">
        <f>IFERROR(__xludf.DUMMYFUNCTION("""COMPUTED_VALUE"""),"60000207")</f>
        <v>60000207</v>
      </c>
      <c r="D4336" s="380" t="s">
        <v>767</v>
      </c>
      <c r="E4336" s="380" t="s">
        <v>875</v>
      </c>
      <c r="F4336" s="380" t="s">
        <v>1058</v>
      </c>
      <c r="G4336" s="380" t="s">
        <v>1267</v>
      </c>
      <c r="H4336" s="380" t="s">
        <v>771</v>
      </c>
      <c r="I4336" s="380" t="s">
        <v>788</v>
      </c>
      <c r="J4336" s="380" t="s">
        <v>773</v>
      </c>
      <c r="K4336" s="381">
        <v>0.0</v>
      </c>
      <c r="L4336" s="382">
        <v>1.0</v>
      </c>
    </row>
    <row r="4337">
      <c r="A4337" s="380" t="s">
        <v>5204</v>
      </c>
      <c r="B4337" s="380" t="str">
        <f>IFERROR(__xludf.DUMMYFUNCTION("""COMPUTED_VALUE"""),"Tablero Electrico Para Rampa Rh1v")</f>
        <v>Tablero Electrico Para Rampa Rh1v</v>
      </c>
      <c r="C4337" s="380" t="str">
        <f>IFERROR(__xludf.DUMMYFUNCTION("""COMPUTED_VALUE"""),"60000208")</f>
        <v>60000208</v>
      </c>
      <c r="D4337" s="380" t="s">
        <v>767</v>
      </c>
      <c r="E4337" s="380" t="s">
        <v>875</v>
      </c>
      <c r="F4337" s="380" t="s">
        <v>1058</v>
      </c>
      <c r="G4337" s="380" t="s">
        <v>1267</v>
      </c>
      <c r="H4337" s="380" t="s">
        <v>771</v>
      </c>
      <c r="I4337" s="380" t="s">
        <v>788</v>
      </c>
      <c r="J4337" s="380" t="s">
        <v>773</v>
      </c>
      <c r="K4337" s="381">
        <v>0.0</v>
      </c>
      <c r="L4337" s="382">
        <v>1.0</v>
      </c>
    </row>
    <row r="4338">
      <c r="A4338" s="380" t="s">
        <v>5205</v>
      </c>
      <c r="B4338" s="380" t="str">
        <f>IFERROR(__xludf.DUMMYFUNCTION("""COMPUTED_VALUE"""),"Plastico Vinipel Stretch De 2.25 Mts")</f>
        <v>Plastico Vinipel Stretch De 2.25 Mts</v>
      </c>
      <c r="C4338" s="380" t="str">
        <f>IFERROR(__xludf.DUMMYFUNCTION("""COMPUTED_VALUE"""),"60000209")</f>
        <v>60000209</v>
      </c>
      <c r="D4338" s="380" t="s">
        <v>767</v>
      </c>
      <c r="E4338" s="380" t="s">
        <v>875</v>
      </c>
      <c r="F4338" s="380" t="s">
        <v>924</v>
      </c>
      <c r="G4338" s="380" t="s">
        <v>1267</v>
      </c>
      <c r="H4338" s="380" t="s">
        <v>771</v>
      </c>
      <c r="I4338" s="380" t="s">
        <v>925</v>
      </c>
      <c r="J4338" s="380" t="s">
        <v>773</v>
      </c>
      <c r="K4338" s="381">
        <v>13347.0</v>
      </c>
      <c r="L4338" s="382">
        <v>1.0</v>
      </c>
    </row>
    <row r="4339">
      <c r="A4339" s="380" t="s">
        <v>5206</v>
      </c>
      <c r="B4339" s="380" t="str">
        <f>IFERROR(__xludf.DUMMYFUNCTION("""COMPUTED_VALUE"""),"Bolsa Transparente 30 X 35 X 100")</f>
        <v>Bolsa Transparente 30 X 35 X 100</v>
      </c>
      <c r="C4339" s="380" t="str">
        <f>IFERROR(__xludf.DUMMYFUNCTION("""COMPUTED_VALUE"""),"60000210")</f>
        <v>60000210</v>
      </c>
      <c r="D4339" s="380" t="s">
        <v>767</v>
      </c>
      <c r="E4339" s="380" t="s">
        <v>875</v>
      </c>
      <c r="F4339" s="380" t="s">
        <v>924</v>
      </c>
      <c r="G4339" s="380" t="s">
        <v>1267</v>
      </c>
      <c r="H4339" s="380" t="s">
        <v>771</v>
      </c>
      <c r="I4339" s="380" t="s">
        <v>925</v>
      </c>
      <c r="J4339" s="380" t="s">
        <v>773</v>
      </c>
      <c r="K4339" s="381">
        <v>0.0</v>
      </c>
      <c r="L4339" s="382">
        <v>1.0</v>
      </c>
    </row>
    <row r="4340">
      <c r="A4340" s="380" t="s">
        <v>5207</v>
      </c>
      <c r="B4340" s="380" t="str">
        <f>IFERROR(__xludf.DUMMYFUNCTION("""COMPUTED_VALUE"""),"Bolsa Transparente Baja 23 X 30")</f>
        <v>Bolsa Transparente Baja 23 X 30</v>
      </c>
      <c r="C4340" s="380" t="str">
        <f>IFERROR(__xludf.DUMMYFUNCTION("""COMPUTED_VALUE"""),"60000211")</f>
        <v>60000211</v>
      </c>
      <c r="D4340" s="380" t="s">
        <v>767</v>
      </c>
      <c r="E4340" s="380" t="s">
        <v>875</v>
      </c>
      <c r="F4340" s="380" t="s">
        <v>924</v>
      </c>
      <c r="G4340" s="380" t="s">
        <v>1267</v>
      </c>
      <c r="H4340" s="380" t="s">
        <v>771</v>
      </c>
      <c r="I4340" s="380" t="s">
        <v>925</v>
      </c>
      <c r="J4340" s="380" t="s">
        <v>773</v>
      </c>
      <c r="K4340" s="381">
        <v>0.0</v>
      </c>
      <c r="L4340" s="382">
        <v>1.0</v>
      </c>
    </row>
    <row r="4341">
      <c r="A4341" s="380" t="s">
        <v>5208</v>
      </c>
      <c r="B4341" s="380" t="str">
        <f>IFERROR(__xludf.DUMMYFUNCTION("""COMPUTED_VALUE"""),"Bolsa Plastica Transparente Sencilla")</f>
        <v>Bolsa Plastica Transparente Sencilla</v>
      </c>
      <c r="C4341" s="380" t="str">
        <f>IFERROR(__xludf.DUMMYFUNCTION("""COMPUTED_VALUE"""),"60000212")</f>
        <v>60000212</v>
      </c>
      <c r="D4341" s="380" t="s">
        <v>767</v>
      </c>
      <c r="E4341" s="380" t="s">
        <v>875</v>
      </c>
      <c r="F4341" s="380" t="s">
        <v>924</v>
      </c>
      <c r="G4341" s="380" t="s">
        <v>1267</v>
      </c>
      <c r="H4341" s="380" t="s">
        <v>771</v>
      </c>
      <c r="I4341" s="380" t="s">
        <v>925</v>
      </c>
      <c r="J4341" s="380" t="s">
        <v>773</v>
      </c>
      <c r="K4341" s="381">
        <v>0.0</v>
      </c>
      <c r="L4341" s="382">
        <v>1.0</v>
      </c>
    </row>
    <row r="4342">
      <c r="A4342" s="380" t="s">
        <v>5209</v>
      </c>
      <c r="B4342" s="380" t="str">
        <f>IFERROR(__xludf.DUMMYFUNCTION("""COMPUTED_VALUE"""),"Rod. De Rodi. A Rotula Skf 22206 E/C3")</f>
        <v>Rod. De Rodi. A Rotula Skf 22206 E/C3</v>
      </c>
      <c r="C4342" s="380" t="str">
        <f>IFERROR(__xludf.DUMMYFUNCTION("""COMPUTED_VALUE"""),"60000213")</f>
        <v>60000213</v>
      </c>
      <c r="D4342" s="380" t="s">
        <v>767</v>
      </c>
      <c r="E4342" s="380" t="s">
        <v>875</v>
      </c>
      <c r="F4342" s="380" t="s">
        <v>976</v>
      </c>
      <c r="G4342" s="380" t="s">
        <v>1267</v>
      </c>
      <c r="H4342" s="380" t="s">
        <v>771</v>
      </c>
      <c r="I4342" s="380" t="s">
        <v>788</v>
      </c>
      <c r="J4342" s="380" t="s">
        <v>773</v>
      </c>
      <c r="K4342" s="381">
        <v>0.0</v>
      </c>
      <c r="L4342" s="382">
        <v>1.0</v>
      </c>
    </row>
    <row r="4343">
      <c r="A4343" s="380" t="s">
        <v>5210</v>
      </c>
      <c r="B4343" s="380" t="str">
        <f>IFERROR(__xludf.DUMMYFUNCTION("""COMPUTED_VALUE"""),"Valvula Purgado W4087 M10x1-M 130303")</f>
        <v>Valvula Purgado W4087 M10x1-M 130303</v>
      </c>
      <c r="C4343" s="380" t="str">
        <f>IFERROR(__xludf.DUMMYFUNCTION("""COMPUTED_VALUE"""),"60000214")</f>
        <v>60000214</v>
      </c>
      <c r="D4343" s="380" t="s">
        <v>767</v>
      </c>
      <c r="E4343" s="380" t="s">
        <v>875</v>
      </c>
      <c r="F4343" s="380" t="s">
        <v>976</v>
      </c>
      <c r="G4343" s="380" t="s">
        <v>1267</v>
      </c>
      <c r="H4343" s="380" t="s">
        <v>771</v>
      </c>
      <c r="I4343" s="380" t="s">
        <v>788</v>
      </c>
      <c r="J4343" s="380" t="s">
        <v>773</v>
      </c>
      <c r="K4343" s="381">
        <v>0.0</v>
      </c>
      <c r="L4343" s="382">
        <v>1.0</v>
      </c>
    </row>
    <row r="4344">
      <c r="A4344" s="380" t="s">
        <v>5211</v>
      </c>
      <c r="B4344" s="380" t="str">
        <f>IFERROR(__xludf.DUMMYFUNCTION("""COMPUTED_VALUE"""),"Rodillo Rig Bol Skf6206-2z/C3gjnSorter")</f>
        <v>Rodillo Rig Bol Skf6206-2z/C3gjnSorter</v>
      </c>
      <c r="C4344" s="380" t="str">
        <f>IFERROR(__xludf.DUMMYFUNCTION("""COMPUTED_VALUE"""),"60000215")</f>
        <v>60000215</v>
      </c>
      <c r="D4344" s="380" t="s">
        <v>767</v>
      </c>
      <c r="E4344" s="380" t="s">
        <v>875</v>
      </c>
      <c r="F4344" s="380" t="s">
        <v>976</v>
      </c>
      <c r="G4344" s="380" t="s">
        <v>1267</v>
      </c>
      <c r="H4344" s="380" t="s">
        <v>771</v>
      </c>
      <c r="I4344" s="380" t="s">
        <v>788</v>
      </c>
      <c r="J4344" s="380" t="s">
        <v>773</v>
      </c>
      <c r="K4344" s="381">
        <v>0.0</v>
      </c>
      <c r="L4344" s="382">
        <v>1.0</v>
      </c>
    </row>
    <row r="4345">
      <c r="A4345" s="380" t="s">
        <v>5212</v>
      </c>
      <c r="B4345" s="380" t="str">
        <f>IFERROR(__xludf.DUMMYFUNCTION("""COMPUTED_VALUE"""),"Filtro Tablero Fsc-In Feed De 29x29 Cm")</f>
        <v>Filtro Tablero Fsc-In Feed De 29x29 Cm</v>
      </c>
      <c r="C4345" s="380" t="str">
        <f>IFERROR(__xludf.DUMMYFUNCTION("""COMPUTED_VALUE"""),"60000216")</f>
        <v>60000216</v>
      </c>
      <c r="D4345" s="380" t="s">
        <v>767</v>
      </c>
      <c r="E4345" s="380" t="s">
        <v>875</v>
      </c>
      <c r="F4345" s="380" t="s">
        <v>5213</v>
      </c>
      <c r="G4345" s="380" t="s">
        <v>1267</v>
      </c>
      <c r="H4345" s="380" t="s">
        <v>771</v>
      </c>
      <c r="I4345" s="380" t="s">
        <v>788</v>
      </c>
      <c r="J4345" s="380" t="s">
        <v>773</v>
      </c>
      <c r="K4345" s="381">
        <v>0.0</v>
      </c>
      <c r="L4345" s="382">
        <v>1.0</v>
      </c>
    </row>
    <row r="4346">
      <c r="A4346" s="380" t="s">
        <v>5214</v>
      </c>
      <c r="B4346" s="380" t="str">
        <f>IFERROR(__xludf.DUMMYFUNCTION("""COMPUTED_VALUE"""),"Filtro Tablero Lcc De 20x5x21.5 Cm")</f>
        <v>Filtro Tablero Lcc De 20x5x21.5 Cm</v>
      </c>
      <c r="C4346" s="380" t="str">
        <f>IFERROR(__xludf.DUMMYFUNCTION("""COMPUTED_VALUE"""),"60000217")</f>
        <v>60000217</v>
      </c>
      <c r="D4346" s="380" t="s">
        <v>767</v>
      </c>
      <c r="E4346" s="380" t="s">
        <v>875</v>
      </c>
      <c r="F4346" s="380" t="s">
        <v>5213</v>
      </c>
      <c r="G4346" s="380" t="s">
        <v>1267</v>
      </c>
      <c r="H4346" s="380" t="s">
        <v>771</v>
      </c>
      <c r="I4346" s="380" t="s">
        <v>788</v>
      </c>
      <c r="J4346" s="380" t="s">
        <v>773</v>
      </c>
      <c r="K4346" s="381">
        <v>0.0</v>
      </c>
      <c r="L4346" s="382">
        <v>1.0</v>
      </c>
    </row>
    <row r="4347">
      <c r="A4347" s="380" t="s">
        <v>5215</v>
      </c>
      <c r="B4347" s="380" t="str">
        <f>IFERROR(__xludf.DUMMYFUNCTION("""COMPUTED_VALUE"""),"Filtro Tablero Rpo De 17x17.5 Cm")</f>
        <v>Filtro Tablero Rpo De 17x17.5 Cm</v>
      </c>
      <c r="C4347" s="380" t="str">
        <f>IFERROR(__xludf.DUMMYFUNCTION("""COMPUTED_VALUE"""),"60000218")</f>
        <v>60000218</v>
      </c>
      <c r="D4347" s="380" t="s">
        <v>767</v>
      </c>
      <c r="E4347" s="380" t="s">
        <v>875</v>
      </c>
      <c r="F4347" s="380" t="s">
        <v>5213</v>
      </c>
      <c r="G4347" s="380" t="s">
        <v>1267</v>
      </c>
      <c r="H4347" s="380" t="s">
        <v>771</v>
      </c>
      <c r="I4347" s="380" t="s">
        <v>788</v>
      </c>
      <c r="J4347" s="380" t="s">
        <v>773</v>
      </c>
      <c r="K4347" s="381">
        <v>0.0</v>
      </c>
      <c r="L4347" s="382">
        <v>1.0</v>
      </c>
    </row>
    <row r="4348">
      <c r="A4348" s="380" t="s">
        <v>5216</v>
      </c>
      <c r="B4348" s="380" t="str">
        <f>IFERROR(__xludf.DUMMYFUNCTION("""COMPUTED_VALUE"""),"Tomacorriente Carrier")</f>
        <v>Tomacorriente Carrier</v>
      </c>
      <c r="C4348" s="380" t="str">
        <f>IFERROR(__xludf.DUMMYFUNCTION("""COMPUTED_VALUE"""),"60000219")</f>
        <v>60000219</v>
      </c>
      <c r="D4348" s="380" t="s">
        <v>767</v>
      </c>
      <c r="E4348" s="380" t="s">
        <v>875</v>
      </c>
      <c r="F4348" s="380" t="s">
        <v>1058</v>
      </c>
      <c r="G4348" s="380" t="s">
        <v>1267</v>
      </c>
      <c r="H4348" s="380" t="s">
        <v>771</v>
      </c>
      <c r="I4348" s="380" t="s">
        <v>788</v>
      </c>
      <c r="J4348" s="380" t="s">
        <v>773</v>
      </c>
      <c r="K4348" s="381">
        <v>0.0</v>
      </c>
      <c r="L4348" s="382">
        <v>1.0</v>
      </c>
    </row>
    <row r="4349">
      <c r="A4349" s="380" t="s">
        <v>5217</v>
      </c>
      <c r="B4349" s="380" t="str">
        <f>IFERROR(__xludf.DUMMYFUNCTION("""COMPUTED_VALUE"""),"Ccc Transmisor Ure")</f>
        <v>Ccc Transmisor Ure</v>
      </c>
      <c r="C4349" s="380" t="str">
        <f>IFERROR(__xludf.DUMMYFUNCTION("""COMPUTED_VALUE"""),"60000220")</f>
        <v>60000220</v>
      </c>
      <c r="D4349" s="380" t="s">
        <v>767</v>
      </c>
      <c r="E4349" s="380" t="s">
        <v>875</v>
      </c>
      <c r="F4349" s="380" t="s">
        <v>1058</v>
      </c>
      <c r="G4349" s="380" t="s">
        <v>1267</v>
      </c>
      <c r="H4349" s="380" t="s">
        <v>771</v>
      </c>
      <c r="I4349" s="380" t="s">
        <v>788</v>
      </c>
      <c r="J4349" s="380" t="s">
        <v>773</v>
      </c>
      <c r="K4349" s="381">
        <v>0.0</v>
      </c>
      <c r="L4349" s="382">
        <v>1.0</v>
      </c>
    </row>
    <row r="4350">
      <c r="A4350" s="380" t="s">
        <v>5218</v>
      </c>
      <c r="B4350" s="380" t="str">
        <f>IFERROR(__xludf.DUMMYFUNCTION("""COMPUTED_VALUE"""),"Fuente De Poder Asi 4a")</f>
        <v>Fuente De Poder Asi 4a</v>
      </c>
      <c r="C4350" s="380" t="str">
        <f>IFERROR(__xludf.DUMMYFUNCTION("""COMPUTED_VALUE"""),"60000221")</f>
        <v>60000221</v>
      </c>
      <c r="D4350" s="380" t="s">
        <v>767</v>
      </c>
      <c r="E4350" s="380" t="s">
        <v>875</v>
      </c>
      <c r="F4350" s="380" t="s">
        <v>1058</v>
      </c>
      <c r="G4350" s="380" t="s">
        <v>1267</v>
      </c>
      <c r="H4350" s="380" t="s">
        <v>771</v>
      </c>
      <c r="I4350" s="380" t="s">
        <v>788</v>
      </c>
      <c r="J4350" s="380" t="s">
        <v>773</v>
      </c>
      <c r="K4350" s="381">
        <v>0.0</v>
      </c>
      <c r="L4350" s="382">
        <v>1.0</v>
      </c>
    </row>
    <row r="4351">
      <c r="A4351" s="380" t="s">
        <v>5219</v>
      </c>
      <c r="B4351" s="380" t="str">
        <f>IFERROR(__xludf.DUMMYFUNCTION("""COMPUTED_VALUE"""),"Variador Norda Lms-V400v3,0kwAsiDc-Brake")</f>
        <v>Variador Norda Lms-V400v3,0kwAsiDc-Brake</v>
      </c>
      <c r="C4351" s="380" t="str">
        <f>IFERROR(__xludf.DUMMYFUNCTION("""COMPUTED_VALUE"""),"60000222")</f>
        <v>60000222</v>
      </c>
      <c r="D4351" s="380" t="s">
        <v>767</v>
      </c>
      <c r="E4351" s="380" t="s">
        <v>875</v>
      </c>
      <c r="F4351" s="380" t="s">
        <v>1058</v>
      </c>
      <c r="G4351" s="380" t="s">
        <v>1267</v>
      </c>
      <c r="H4351" s="380" t="s">
        <v>771</v>
      </c>
      <c r="I4351" s="380" t="s">
        <v>788</v>
      </c>
      <c r="J4351" s="380" t="s">
        <v>773</v>
      </c>
      <c r="K4351" s="381">
        <v>0.0</v>
      </c>
      <c r="L4351" s="382">
        <v>1.0</v>
      </c>
    </row>
    <row r="4352">
      <c r="A4352" s="380" t="s">
        <v>5220</v>
      </c>
      <c r="B4352" s="380" t="str">
        <f>IFERROR(__xludf.DUMMYFUNCTION("""COMPUTED_VALUE"""),"Variador Norda Lms-V400v7,5kwAsiDc-Brake")</f>
        <v>Variador Norda Lms-V400v7,5kwAsiDc-Brake</v>
      </c>
      <c r="C4352" s="380" t="str">
        <f>IFERROR(__xludf.DUMMYFUNCTION("""COMPUTED_VALUE"""),"60000223")</f>
        <v>60000223</v>
      </c>
      <c r="D4352" s="380" t="s">
        <v>767</v>
      </c>
      <c r="E4352" s="380" t="s">
        <v>875</v>
      </c>
      <c r="F4352" s="380" t="s">
        <v>1058</v>
      </c>
      <c r="G4352" s="380" t="s">
        <v>1267</v>
      </c>
      <c r="H4352" s="380" t="s">
        <v>771</v>
      </c>
      <c r="I4352" s="380" t="s">
        <v>788</v>
      </c>
      <c r="J4352" s="380" t="s">
        <v>773</v>
      </c>
      <c r="K4352" s="381">
        <v>0.0</v>
      </c>
      <c r="L4352" s="382">
        <v>1.0</v>
      </c>
    </row>
    <row r="4353">
      <c r="A4353" s="380" t="s">
        <v>5221</v>
      </c>
      <c r="B4353" s="380" t="str">
        <f>IFERROR(__xludf.DUMMYFUNCTION("""COMPUTED_VALUE"""),"Fuente De Poder 100-240vac/24vdc 10a")</f>
        <v>Fuente De Poder 100-240vac/24vdc 10a</v>
      </c>
      <c r="C4353" s="380" t="str">
        <f>IFERROR(__xludf.DUMMYFUNCTION("""COMPUTED_VALUE"""),"60000224")</f>
        <v>60000224</v>
      </c>
      <c r="D4353" s="380" t="s">
        <v>767</v>
      </c>
      <c r="E4353" s="380" t="s">
        <v>875</v>
      </c>
      <c r="F4353" s="380" t="s">
        <v>1058</v>
      </c>
      <c r="G4353" s="380" t="s">
        <v>1267</v>
      </c>
      <c r="H4353" s="380" t="s">
        <v>771</v>
      </c>
      <c r="I4353" s="380" t="s">
        <v>788</v>
      </c>
      <c r="J4353" s="380" t="s">
        <v>773</v>
      </c>
      <c r="K4353" s="381">
        <v>0.0</v>
      </c>
      <c r="L4353" s="382">
        <v>1.0</v>
      </c>
    </row>
    <row r="4354">
      <c r="A4354" s="380" t="s">
        <v>5222</v>
      </c>
      <c r="B4354" s="380" t="str">
        <f>IFERROR(__xludf.DUMMYFUNCTION("""COMPUTED_VALUE"""),"Fuente De Poder 24vdc 3p 150w")</f>
        <v>Fuente De Poder 24vdc 3p 150w</v>
      </c>
      <c r="C4354" s="380" t="str">
        <f>IFERROR(__xludf.DUMMYFUNCTION("""COMPUTED_VALUE"""),"60000225")</f>
        <v>60000225</v>
      </c>
      <c r="D4354" s="380" t="s">
        <v>767</v>
      </c>
      <c r="E4354" s="380" t="s">
        <v>875</v>
      </c>
      <c r="F4354" s="380" t="s">
        <v>1058</v>
      </c>
      <c r="G4354" s="380" t="s">
        <v>1267</v>
      </c>
      <c r="H4354" s="380" t="s">
        <v>771</v>
      </c>
      <c r="I4354" s="380" t="s">
        <v>788</v>
      </c>
      <c r="J4354" s="380" t="s">
        <v>773</v>
      </c>
      <c r="K4354" s="381">
        <v>0.0</v>
      </c>
      <c r="L4354" s="382">
        <v>1.0</v>
      </c>
    </row>
    <row r="4355">
      <c r="A4355" s="380" t="s">
        <v>5223</v>
      </c>
      <c r="B4355" s="380" t="str">
        <f>IFERROR(__xludf.DUMMYFUNCTION("""COMPUTED_VALUE"""),"Cable Blin L=4MM12Mac5p./M12Hembr5p./H.F")</f>
        <v>Cable Blin L=4MM12Mac5p./M12Hembr5p./H.F</v>
      </c>
      <c r="C4355" s="380" t="str">
        <f>IFERROR(__xludf.DUMMYFUNCTION("""COMPUTED_VALUE"""),"60000226")</f>
        <v>60000226</v>
      </c>
      <c r="D4355" s="380" t="s">
        <v>767</v>
      </c>
      <c r="E4355" s="380" t="s">
        <v>875</v>
      </c>
      <c r="F4355" s="380" t="s">
        <v>1058</v>
      </c>
      <c r="G4355" s="380" t="s">
        <v>1267</v>
      </c>
      <c r="H4355" s="380" t="s">
        <v>771</v>
      </c>
      <c r="I4355" s="380" t="s">
        <v>788</v>
      </c>
      <c r="J4355" s="380" t="s">
        <v>773</v>
      </c>
      <c r="K4355" s="381">
        <v>0.0</v>
      </c>
      <c r="L4355" s="382">
        <v>1.0</v>
      </c>
    </row>
    <row r="4356">
      <c r="A4356" s="380" t="s">
        <v>5224</v>
      </c>
      <c r="B4356" s="380" t="str">
        <f>IFERROR(__xludf.DUMMYFUNCTION("""COMPUTED_VALUE"""),"Rodamiento Rig Bol Sello Flag6011-Z/C3")</f>
        <v>Rodamiento Rig Bol Sello Flag6011-Z/C3</v>
      </c>
      <c r="C4356" s="380" t="str">
        <f>IFERROR(__xludf.DUMMYFUNCTION("""COMPUTED_VALUE"""),"60000227")</f>
        <v>60000227</v>
      </c>
      <c r="D4356" s="380" t="s">
        <v>767</v>
      </c>
      <c r="E4356" s="380" t="s">
        <v>875</v>
      </c>
      <c r="F4356" s="380" t="s">
        <v>976</v>
      </c>
      <c r="G4356" s="380" t="s">
        <v>1267</v>
      </c>
      <c r="H4356" s="380" t="s">
        <v>771</v>
      </c>
      <c r="I4356" s="380" t="s">
        <v>788</v>
      </c>
      <c r="J4356" s="380" t="s">
        <v>773</v>
      </c>
      <c r="K4356" s="381">
        <v>0.0</v>
      </c>
      <c r="L4356" s="382">
        <v>1.0</v>
      </c>
    </row>
    <row r="4357">
      <c r="A4357" s="380" t="s">
        <v>5225</v>
      </c>
      <c r="B4357" s="380" t="str">
        <f>IFERROR(__xludf.DUMMYFUNCTION("""COMPUTED_VALUE"""),"Rodamiento Cojini Sorter Grae35-Xlnpp-B")</f>
        <v>Rodamiento Cojini Sorter Grae35-Xlnpp-B</v>
      </c>
      <c r="C4357" s="380" t="str">
        <f>IFERROR(__xludf.DUMMYFUNCTION("""COMPUTED_VALUE"""),"60000228")</f>
        <v>60000228</v>
      </c>
      <c r="D4357" s="380" t="s">
        <v>767</v>
      </c>
      <c r="E4357" s="380" t="s">
        <v>875</v>
      </c>
      <c r="F4357" s="380" t="s">
        <v>976</v>
      </c>
      <c r="G4357" s="380" t="s">
        <v>1267</v>
      </c>
      <c r="H4357" s="380" t="s">
        <v>771</v>
      </c>
      <c r="I4357" s="380" t="s">
        <v>788</v>
      </c>
      <c r="J4357" s="380" t="s">
        <v>773</v>
      </c>
      <c r="K4357" s="381">
        <v>0.0</v>
      </c>
      <c r="L4357" s="382">
        <v>1.0</v>
      </c>
    </row>
    <row r="4358">
      <c r="A4358" s="380" t="s">
        <v>5226</v>
      </c>
      <c r="B4358" s="380" t="str">
        <f>IFERROR(__xludf.DUMMYFUNCTION("""COMPUTED_VALUE"""),"Tapon De Aceite Motoreductor Sorter 52-7")</f>
        <v>Tapon De Aceite Motoreductor Sorter 52-7</v>
      </c>
      <c r="C4358" s="380" t="str">
        <f>IFERROR(__xludf.DUMMYFUNCTION("""COMPUTED_VALUE"""),"60000229")</f>
        <v>60000229</v>
      </c>
      <c r="D4358" s="380" t="s">
        <v>767</v>
      </c>
      <c r="E4358" s="380" t="s">
        <v>875</v>
      </c>
      <c r="F4358" s="380" t="s">
        <v>976</v>
      </c>
      <c r="G4358" s="380" t="s">
        <v>1267</v>
      </c>
      <c r="H4358" s="380" t="s">
        <v>771</v>
      </c>
      <c r="I4358" s="380" t="s">
        <v>788</v>
      </c>
      <c r="J4358" s="380" t="s">
        <v>773</v>
      </c>
      <c r="K4358" s="381">
        <v>0.0</v>
      </c>
      <c r="L4358" s="382">
        <v>1.0</v>
      </c>
    </row>
    <row r="4359">
      <c r="A4359" s="380" t="s">
        <v>5227</v>
      </c>
      <c r="B4359" s="380" t="str">
        <f>IFERROR(__xludf.DUMMYFUNCTION("""COMPUTED_VALUE"""),"Tapon De Aceite Motoreductor Sorter 47-7")</f>
        <v>Tapon De Aceite Motoreductor Sorter 47-7</v>
      </c>
      <c r="C4359" s="380" t="str">
        <f>IFERROR(__xludf.DUMMYFUNCTION("""COMPUTED_VALUE"""),"60000230")</f>
        <v>60000230</v>
      </c>
      <c r="D4359" s="380" t="s">
        <v>767</v>
      </c>
      <c r="E4359" s="380" t="s">
        <v>875</v>
      </c>
      <c r="F4359" s="380" t="s">
        <v>976</v>
      </c>
      <c r="G4359" s="380" t="s">
        <v>1267</v>
      </c>
      <c r="H4359" s="380" t="s">
        <v>771</v>
      </c>
      <c r="I4359" s="380" t="s">
        <v>788</v>
      </c>
      <c r="J4359" s="380" t="s">
        <v>773</v>
      </c>
      <c r="K4359" s="381">
        <v>0.0</v>
      </c>
      <c r="L4359" s="382">
        <v>1.0</v>
      </c>
    </row>
    <row r="4360">
      <c r="A4360" s="380" t="s">
        <v>5228</v>
      </c>
      <c r="B4360" s="380" t="str">
        <f>IFERROR(__xludf.DUMMYFUNCTION("""COMPUTED_VALUE"""),"Retenedor Motoreductor Sorter 40-56-8")</f>
        <v>Retenedor Motoreductor Sorter 40-56-8</v>
      </c>
      <c r="C4360" s="380" t="str">
        <f>IFERROR(__xludf.DUMMYFUNCTION("""COMPUTED_VALUE"""),"60000231")</f>
        <v>60000231</v>
      </c>
      <c r="D4360" s="380" t="s">
        <v>767</v>
      </c>
      <c r="E4360" s="380" t="s">
        <v>875</v>
      </c>
      <c r="F4360" s="380" t="s">
        <v>976</v>
      </c>
      <c r="G4360" s="380" t="s">
        <v>1267</v>
      </c>
      <c r="H4360" s="380" t="s">
        <v>771</v>
      </c>
      <c r="I4360" s="380" t="s">
        <v>788</v>
      </c>
      <c r="J4360" s="380" t="s">
        <v>773</v>
      </c>
      <c r="K4360" s="381">
        <v>0.0</v>
      </c>
      <c r="L4360" s="382">
        <v>1.0</v>
      </c>
    </row>
    <row r="4361">
      <c r="A4361" s="380" t="s">
        <v>5229</v>
      </c>
      <c r="B4361" s="380" t="str">
        <f>IFERROR(__xludf.DUMMYFUNCTION("""COMPUTED_VALUE"""),"Retenedor Motoreductor Sorter 35-55-7")</f>
        <v>Retenedor Motoreductor Sorter 35-55-7</v>
      </c>
      <c r="C4361" s="380" t="str">
        <f>IFERROR(__xludf.DUMMYFUNCTION("""COMPUTED_VALUE"""),"60000232")</f>
        <v>60000232</v>
      </c>
      <c r="D4361" s="380" t="s">
        <v>767</v>
      </c>
      <c r="E4361" s="380" t="s">
        <v>875</v>
      </c>
      <c r="F4361" s="380" t="s">
        <v>976</v>
      </c>
      <c r="G4361" s="380" t="s">
        <v>1267</v>
      </c>
      <c r="H4361" s="380" t="s">
        <v>771</v>
      </c>
      <c r="I4361" s="380" t="s">
        <v>788</v>
      </c>
      <c r="J4361" s="380" t="s">
        <v>773</v>
      </c>
      <c r="K4361" s="381">
        <v>0.0</v>
      </c>
      <c r="L4361" s="382">
        <v>1.0</v>
      </c>
    </row>
    <row r="4362">
      <c r="A4362" s="380" t="s">
        <v>5230</v>
      </c>
      <c r="B4362" s="380" t="str">
        <f>IFERROR(__xludf.DUMMYFUNCTION("""COMPUTED_VALUE"""),"Retenedor Motoreductor Sorter 50-80-10")</f>
        <v>Retenedor Motoreductor Sorter 50-80-10</v>
      </c>
      <c r="C4362" s="380" t="str">
        <f>IFERROR(__xludf.DUMMYFUNCTION("""COMPUTED_VALUE"""),"60000233")</f>
        <v>60000233</v>
      </c>
      <c r="D4362" s="380" t="s">
        <v>767</v>
      </c>
      <c r="E4362" s="380" t="s">
        <v>875</v>
      </c>
      <c r="F4362" s="380" t="s">
        <v>976</v>
      </c>
      <c r="G4362" s="380" t="s">
        <v>1267</v>
      </c>
      <c r="H4362" s="380" t="s">
        <v>771</v>
      </c>
      <c r="I4362" s="380" t="s">
        <v>788</v>
      </c>
      <c r="J4362" s="380" t="s">
        <v>773</v>
      </c>
      <c r="K4362" s="381">
        <v>0.0</v>
      </c>
      <c r="L4362" s="382">
        <v>1.0</v>
      </c>
    </row>
    <row r="4363">
      <c r="A4363" s="380" t="s">
        <v>5231</v>
      </c>
      <c r="B4363" s="380" t="str">
        <f>IFERROR(__xludf.DUMMYFUNCTION("""COMPUTED_VALUE"""),"Gancho Glipper#6cajax12tiras12""")</f>
        <v>Gancho Glipper#6cajax12tiras12"</v>
      </c>
      <c r="C4363" s="380" t="str">
        <f>IFERROR(__xludf.DUMMYFUNCTION("""COMPUTED_VALUE"""),"60000234")</f>
        <v>60000234</v>
      </c>
      <c r="D4363" s="380" t="s">
        <v>767</v>
      </c>
      <c r="E4363" s="380" t="s">
        <v>875</v>
      </c>
      <c r="F4363" s="380" t="s">
        <v>976</v>
      </c>
      <c r="G4363" s="380" t="s">
        <v>1267</v>
      </c>
      <c r="H4363" s="380" t="s">
        <v>771</v>
      </c>
      <c r="I4363" s="380" t="s">
        <v>788</v>
      </c>
      <c r="J4363" s="380" t="s">
        <v>773</v>
      </c>
      <c r="K4363" s="381">
        <v>0.0</v>
      </c>
      <c r="L4363" s="382">
        <v>1.0</v>
      </c>
    </row>
    <row r="4364">
      <c r="A4364" s="380" t="s">
        <v>5232</v>
      </c>
      <c r="B4364" s="380" t="str">
        <f>IFERROR(__xludf.DUMMYFUNCTION("""COMPUTED_VALUE"""),"Guayas De 1/4 Ponchada Puerta Sorter")</f>
        <v>Guayas De 1/4 Ponchada Puerta Sorter</v>
      </c>
      <c r="C4364" s="380" t="str">
        <f>IFERROR(__xludf.DUMMYFUNCTION("""COMPUTED_VALUE"""),"60000235")</f>
        <v>60000235</v>
      </c>
      <c r="D4364" s="380" t="s">
        <v>767</v>
      </c>
      <c r="E4364" s="380" t="s">
        <v>875</v>
      </c>
      <c r="F4364" s="380" t="s">
        <v>976</v>
      </c>
      <c r="G4364" s="380" t="s">
        <v>1267</v>
      </c>
      <c r="H4364" s="380" t="s">
        <v>771</v>
      </c>
      <c r="I4364" s="380" t="s">
        <v>788</v>
      </c>
      <c r="J4364" s="380" t="s">
        <v>773</v>
      </c>
      <c r="K4364" s="381">
        <v>0.0</v>
      </c>
      <c r="L4364" s="382">
        <v>1.0</v>
      </c>
    </row>
    <row r="4365">
      <c r="A4365" s="380" t="s">
        <v>5233</v>
      </c>
      <c r="B4365" s="380" t="str">
        <f>IFERROR(__xludf.DUMMYFUNCTION("""COMPUTED_VALUE"""),"Correa Dentada L=1270 Rpp5-25 Cas/Prt")</f>
        <v>Correa Dentada L=1270 Rpp5-25 Cas/Prt</v>
      </c>
      <c r="C4365" s="380" t="str">
        <f>IFERROR(__xludf.DUMMYFUNCTION("""COMPUTED_VALUE"""),"60000237")</f>
        <v>60000237</v>
      </c>
      <c r="D4365" s="380" t="s">
        <v>767</v>
      </c>
      <c r="E4365" s="380" t="s">
        <v>875</v>
      </c>
      <c r="F4365" s="380" t="s">
        <v>976</v>
      </c>
      <c r="G4365" s="380" t="s">
        <v>1267</v>
      </c>
      <c r="H4365" s="380" t="s">
        <v>771</v>
      </c>
      <c r="I4365" s="380" t="s">
        <v>788</v>
      </c>
      <c r="J4365" s="380" t="s">
        <v>773</v>
      </c>
      <c r="K4365" s="381">
        <v>0.0</v>
      </c>
      <c r="L4365" s="382">
        <v>1.0</v>
      </c>
    </row>
    <row r="4366">
      <c r="A4366" s="380" t="s">
        <v>5234</v>
      </c>
      <c r="B4366" s="380" t="str">
        <f>IFERROR(__xludf.DUMMYFUNCTION("""COMPUTED_VALUE"""),"Rodillos Snubber D85")</f>
        <v>Rodillos Snubber D85</v>
      </c>
      <c r="C4366" s="380" t="str">
        <f>IFERROR(__xludf.DUMMYFUNCTION("""COMPUTED_VALUE"""),"60000238")</f>
        <v>60000238</v>
      </c>
      <c r="D4366" s="380" t="s">
        <v>767</v>
      </c>
      <c r="E4366" s="380" t="s">
        <v>875</v>
      </c>
      <c r="F4366" s="380" t="s">
        <v>976</v>
      </c>
      <c r="G4366" s="380" t="s">
        <v>1267</v>
      </c>
      <c r="H4366" s="380" t="s">
        <v>771</v>
      </c>
      <c r="I4366" s="380" t="s">
        <v>788</v>
      </c>
      <c r="J4366" s="380" t="s">
        <v>773</v>
      </c>
      <c r="K4366" s="381">
        <v>0.0</v>
      </c>
      <c r="L4366" s="382">
        <v>1.0</v>
      </c>
    </row>
    <row r="4367">
      <c r="A4367" s="380" t="s">
        <v>5235</v>
      </c>
      <c r="B4367" s="380" t="str">
        <f>IFERROR(__xludf.DUMMYFUNCTION("""COMPUTED_VALUE"""),"Banda Cur Kt96 Ri=1000 Bn=1100 Wn=45° Bc")</f>
        <v>Banda Cur Kt96 Ri=1000 Bn=1100 Wn=45° Bc</v>
      </c>
      <c r="C4367" s="380" t="str">
        <f>IFERROR(__xludf.DUMMYFUNCTION("""COMPUTED_VALUE"""),"60000239")</f>
        <v>60000239</v>
      </c>
      <c r="D4367" s="380" t="s">
        <v>767</v>
      </c>
      <c r="E4367" s="380" t="s">
        <v>875</v>
      </c>
      <c r="F4367" s="380" t="s">
        <v>976</v>
      </c>
      <c r="G4367" s="380" t="s">
        <v>1267</v>
      </c>
      <c r="H4367" s="380" t="s">
        <v>771</v>
      </c>
      <c r="I4367" s="380" t="s">
        <v>788</v>
      </c>
      <c r="J4367" s="380" t="s">
        <v>773</v>
      </c>
      <c r="K4367" s="381">
        <v>0.0</v>
      </c>
      <c r="L4367" s="382">
        <v>1.0</v>
      </c>
    </row>
    <row r="4368">
      <c r="A4368" s="380" t="s">
        <v>5236</v>
      </c>
      <c r="B4368" s="380" t="str">
        <f>IFERROR(__xludf.DUMMYFUNCTION("""COMPUTED_VALUE"""),"Tensor Cadena 5/8x125mm 8.8 Fzb Be")</f>
        <v>Tensor Cadena 5/8x125mm 8.8 Fzb Be</v>
      </c>
      <c r="C4368" s="380" t="str">
        <f>IFERROR(__xludf.DUMMYFUNCTION("""COMPUTED_VALUE"""),"60000240")</f>
        <v>60000240</v>
      </c>
      <c r="D4368" s="380" t="s">
        <v>767</v>
      </c>
      <c r="E4368" s="380" t="s">
        <v>875</v>
      </c>
      <c r="F4368" s="380" t="s">
        <v>976</v>
      </c>
      <c r="G4368" s="380" t="s">
        <v>1267</v>
      </c>
      <c r="H4368" s="380" t="s">
        <v>771</v>
      </c>
      <c r="I4368" s="380" t="s">
        <v>788</v>
      </c>
      <c r="J4368" s="380" t="s">
        <v>773</v>
      </c>
      <c r="K4368" s="381">
        <v>0.0</v>
      </c>
      <c r="L4368" s="382">
        <v>1.0</v>
      </c>
    </row>
    <row r="4369">
      <c r="A4369" s="380" t="s">
        <v>5237</v>
      </c>
      <c r="B4369" s="380" t="str">
        <f>IFERROR(__xludf.DUMMYFUNCTION("""COMPUTED_VALUE"""),"Valvula Purgado W4087 M12x1,5 130311")</f>
        <v>Valvula Purgado W4087 M12x1,5 130311</v>
      </c>
      <c r="C4369" s="380" t="str">
        <f>IFERROR(__xludf.DUMMYFUNCTION("""COMPUTED_VALUE"""),"60000241")</f>
        <v>60000241</v>
      </c>
      <c r="D4369" s="380" t="s">
        <v>767</v>
      </c>
      <c r="E4369" s="380" t="s">
        <v>875</v>
      </c>
      <c r="F4369" s="380" t="s">
        <v>976</v>
      </c>
      <c r="G4369" s="380" t="s">
        <v>1267</v>
      </c>
      <c r="H4369" s="380" t="s">
        <v>771</v>
      </c>
      <c r="I4369" s="380" t="s">
        <v>788</v>
      </c>
      <c r="J4369" s="380" t="s">
        <v>773</v>
      </c>
      <c r="K4369" s="381">
        <v>0.0</v>
      </c>
      <c r="L4369" s="382">
        <v>1.0</v>
      </c>
    </row>
    <row r="4370">
      <c r="A4370" s="380" t="s">
        <v>5238</v>
      </c>
      <c r="B4370" s="380" t="str">
        <f>IFERROR(__xludf.DUMMYFUNCTION("""COMPUTED_VALUE"""),"Rodamiento Rigid Bolas Skf 6308-2z/C3gjn")</f>
        <v>Rodamiento Rigid Bolas Skf 6308-2z/C3gjn</v>
      </c>
      <c r="C4370" s="380" t="str">
        <f>IFERROR(__xludf.DUMMYFUNCTION("""COMPUTED_VALUE"""),"60000242")</f>
        <v>60000242</v>
      </c>
      <c r="D4370" s="380" t="s">
        <v>767</v>
      </c>
      <c r="E4370" s="380" t="s">
        <v>875</v>
      </c>
      <c r="F4370" s="380" t="s">
        <v>976</v>
      </c>
      <c r="G4370" s="380" t="s">
        <v>1267</v>
      </c>
      <c r="H4370" s="380" t="s">
        <v>771</v>
      </c>
      <c r="I4370" s="380" t="s">
        <v>788</v>
      </c>
      <c r="J4370" s="380" t="s">
        <v>773</v>
      </c>
      <c r="K4370" s="381">
        <v>0.0</v>
      </c>
      <c r="L4370" s="382">
        <v>1.0</v>
      </c>
    </row>
    <row r="4371">
      <c r="A4371" s="380" t="s">
        <v>5239</v>
      </c>
      <c r="B4371" s="380" t="str">
        <f>IFERROR(__xludf.DUMMYFUNCTION("""COMPUTED_VALUE"""),"Banda Infe 60L2210E8/2U0/V5hMtNegra W=45")</f>
        <v>Banda Infe 60L2210E8/2U0/V5hMtNegra W=45</v>
      </c>
      <c r="C4371" s="380" t="str">
        <f>IFERROR(__xludf.DUMMYFUNCTION("""COMPUTED_VALUE"""),"60000243")</f>
        <v>60000243</v>
      </c>
      <c r="D4371" s="380" t="s">
        <v>767</v>
      </c>
      <c r="E4371" s="380" t="s">
        <v>875</v>
      </c>
      <c r="F4371" s="380" t="s">
        <v>976</v>
      </c>
      <c r="G4371" s="380" t="s">
        <v>1267</v>
      </c>
      <c r="H4371" s="380" t="s">
        <v>771</v>
      </c>
      <c r="I4371" s="380" t="s">
        <v>788</v>
      </c>
      <c r="J4371" s="380" t="s">
        <v>773</v>
      </c>
      <c r="K4371" s="381">
        <v>0.0</v>
      </c>
      <c r="L4371" s="382">
        <v>1.0</v>
      </c>
    </row>
    <row r="4372">
      <c r="A4372" s="380" t="s">
        <v>5240</v>
      </c>
      <c r="B4372" s="380" t="str">
        <f>IFERROR(__xludf.DUMMYFUNCTION("""COMPUTED_VALUE"""),"Correa Dentada L=544 Rpp-Slv8-30 Pto")</f>
        <v>Correa Dentada L=544 Rpp-Slv8-30 Pto</v>
      </c>
      <c r="C4372" s="380" t="str">
        <f>IFERROR(__xludf.DUMMYFUNCTION("""COMPUTED_VALUE"""),"60000244")</f>
        <v>60000244</v>
      </c>
      <c r="D4372" s="380" t="s">
        <v>767</v>
      </c>
      <c r="E4372" s="380" t="s">
        <v>875</v>
      </c>
      <c r="F4372" s="380" t="s">
        <v>976</v>
      </c>
      <c r="G4372" s="380" t="s">
        <v>1267</v>
      </c>
      <c r="H4372" s="380" t="s">
        <v>771</v>
      </c>
      <c r="I4372" s="380" t="s">
        <v>788</v>
      </c>
      <c r="J4372" s="380" t="s">
        <v>773</v>
      </c>
      <c r="K4372" s="381">
        <v>0.0</v>
      </c>
      <c r="L4372" s="382">
        <v>1.0</v>
      </c>
    </row>
    <row r="4373">
      <c r="A4373" s="380" t="s">
        <v>5241</v>
      </c>
      <c r="B4373" s="380" t="str">
        <f>IFERROR(__xludf.DUMMYFUNCTION("""COMPUTED_VALUE"""),"Correa Dentada L720 Rpp-Slv8-30 Bf/ Ifz4")</f>
        <v>Correa Dentada L720 Rpp-Slv8-30 Bf/ Ifz4</v>
      </c>
      <c r="C4373" s="380" t="str">
        <f>IFERROR(__xludf.DUMMYFUNCTION("""COMPUTED_VALUE"""),"60000245")</f>
        <v>60000245</v>
      </c>
      <c r="D4373" s="380" t="s">
        <v>767</v>
      </c>
      <c r="E4373" s="380" t="s">
        <v>875</v>
      </c>
      <c r="F4373" s="380" t="s">
        <v>976</v>
      </c>
      <c r="G4373" s="380" t="s">
        <v>1267</v>
      </c>
      <c r="H4373" s="380" t="s">
        <v>771</v>
      </c>
      <c r="I4373" s="380" t="s">
        <v>788</v>
      </c>
      <c r="J4373" s="380" t="s">
        <v>773</v>
      </c>
      <c r="K4373" s="381">
        <v>0.0</v>
      </c>
      <c r="L4373" s="382">
        <v>1.0</v>
      </c>
    </row>
    <row r="4374">
      <c r="A4374" s="380" t="s">
        <v>5242</v>
      </c>
      <c r="B4374" s="380" t="str">
        <f>IFERROR(__xludf.DUMMYFUNCTION("""COMPUTED_VALUE"""),"Correa Dentada L=800 Rpp-Slv8-30 Bj")</f>
        <v>Correa Dentada L=800 Rpp-Slv8-30 Bj</v>
      </c>
      <c r="C4374" s="380" t="str">
        <f>IFERROR(__xludf.DUMMYFUNCTION("""COMPUTED_VALUE"""),"60000246")</f>
        <v>60000246</v>
      </c>
      <c r="D4374" s="380" t="s">
        <v>767</v>
      </c>
      <c r="E4374" s="380" t="s">
        <v>875</v>
      </c>
      <c r="F4374" s="380" t="s">
        <v>976</v>
      </c>
      <c r="G4374" s="380" t="s">
        <v>1267</v>
      </c>
      <c r="H4374" s="380" t="s">
        <v>771</v>
      </c>
      <c r="I4374" s="380" t="s">
        <v>788</v>
      </c>
      <c r="J4374" s="380" t="s">
        <v>773</v>
      </c>
      <c r="K4374" s="381">
        <v>0.0</v>
      </c>
      <c r="L4374" s="382">
        <v>1.0</v>
      </c>
    </row>
    <row r="4375">
      <c r="A4375" s="380" t="s">
        <v>5243</v>
      </c>
      <c r="B4375" s="380" t="str">
        <f>IFERROR(__xludf.DUMMYFUNCTION("""COMPUTED_VALUE"""),"Cojinete Embridado Pme-30n Rnd Bf")</f>
        <v>Cojinete Embridado Pme-30n Rnd Bf</v>
      </c>
      <c r="C4375" s="380" t="str">
        <f>IFERROR(__xludf.DUMMYFUNCTION("""COMPUTED_VALUE"""),"60000247")</f>
        <v>60000247</v>
      </c>
      <c r="D4375" s="380" t="s">
        <v>767</v>
      </c>
      <c r="E4375" s="380" t="s">
        <v>875</v>
      </c>
      <c r="F4375" s="380" t="s">
        <v>976</v>
      </c>
      <c r="G4375" s="380" t="s">
        <v>1267</v>
      </c>
      <c r="H4375" s="380" t="s">
        <v>771</v>
      </c>
      <c r="I4375" s="380" t="s">
        <v>788</v>
      </c>
      <c r="J4375" s="380" t="s">
        <v>773</v>
      </c>
      <c r="K4375" s="381">
        <v>0.0</v>
      </c>
      <c r="L4375" s="382">
        <v>1.0</v>
      </c>
    </row>
    <row r="4376">
      <c r="A4376" s="380" t="s">
        <v>5244</v>
      </c>
      <c r="B4376" s="380" t="str">
        <f>IFERROR(__xludf.DUMMYFUNCTION("""COMPUTED_VALUE"""),"Cojinete Embri Pme-35n Rnd Bf(Chumacera)")</f>
        <v>Cojinete Embri Pme-35n Rnd Bf(Chumacera)</v>
      </c>
      <c r="C4376" s="380" t="str">
        <f>IFERROR(__xludf.DUMMYFUNCTION("""COMPUTED_VALUE"""),"60000248")</f>
        <v>60000248</v>
      </c>
      <c r="D4376" s="380" t="s">
        <v>767</v>
      </c>
      <c r="E4376" s="380" t="s">
        <v>875</v>
      </c>
      <c r="F4376" s="380" t="s">
        <v>976</v>
      </c>
      <c r="G4376" s="380" t="s">
        <v>1267</v>
      </c>
      <c r="H4376" s="380" t="s">
        <v>771</v>
      </c>
      <c r="I4376" s="380" t="s">
        <v>788</v>
      </c>
      <c r="J4376" s="380" t="s">
        <v>773</v>
      </c>
      <c r="K4376" s="381">
        <v>0.0</v>
      </c>
      <c r="L4376" s="382">
        <v>1.0</v>
      </c>
    </row>
    <row r="4377">
      <c r="A4377" s="380" t="s">
        <v>5245</v>
      </c>
      <c r="B4377" s="380" t="str">
        <f>IFERROR(__xludf.DUMMYFUNCTION("""COMPUTED_VALUE"""),"Correa Poly V 2pj")</f>
        <v>Correa Poly V 2pj</v>
      </c>
      <c r="C4377" s="380" t="str">
        <f>IFERROR(__xludf.DUMMYFUNCTION("""COMPUTED_VALUE"""),"60000249")</f>
        <v>60000249</v>
      </c>
      <c r="D4377" s="380" t="s">
        <v>767</v>
      </c>
      <c r="E4377" s="380" t="s">
        <v>875</v>
      </c>
      <c r="F4377" s="380" t="s">
        <v>976</v>
      </c>
      <c r="G4377" s="380" t="s">
        <v>1267</v>
      </c>
      <c r="H4377" s="380" t="s">
        <v>771</v>
      </c>
      <c r="I4377" s="380" t="s">
        <v>788</v>
      </c>
      <c r="J4377" s="380" t="s">
        <v>773</v>
      </c>
      <c r="K4377" s="381">
        <v>0.0</v>
      </c>
      <c r="L4377" s="382">
        <v>1.0</v>
      </c>
    </row>
    <row r="4378">
      <c r="A4378" s="380" t="s">
        <v>5246</v>
      </c>
      <c r="B4378" s="380" t="str">
        <f>IFERROR(__xludf.DUMMYFUNCTION("""COMPUTED_VALUE"""),"Mototambor Poly V Ec310 16:1 L=959")</f>
        <v>Mototambor Poly V Ec310 16:1 L=959</v>
      </c>
      <c r="C4378" s="380" t="str">
        <f>IFERROR(__xludf.DUMMYFUNCTION("""COMPUTED_VALUE"""),"60000250")</f>
        <v>60000250</v>
      </c>
      <c r="D4378" s="380" t="s">
        <v>767</v>
      </c>
      <c r="E4378" s="380" t="s">
        <v>875</v>
      </c>
      <c r="F4378" s="380" t="s">
        <v>976</v>
      </c>
      <c r="G4378" s="380" t="s">
        <v>1267</v>
      </c>
      <c r="H4378" s="380" t="s">
        <v>771</v>
      </c>
      <c r="I4378" s="380" t="s">
        <v>788</v>
      </c>
      <c r="J4378" s="380" t="s">
        <v>773</v>
      </c>
      <c r="K4378" s="381">
        <v>0.0</v>
      </c>
      <c r="L4378" s="382">
        <v>1.0</v>
      </c>
    </row>
    <row r="4379">
      <c r="A4379" s="380" t="s">
        <v>5247</v>
      </c>
      <c r="B4379" s="380" t="str">
        <f>IFERROR(__xludf.DUMMYFUNCTION("""COMPUTED_VALUE"""),"Mototambor Poly V Ec310 24:1 L=859")</f>
        <v>Mototambor Poly V Ec310 24:1 L=859</v>
      </c>
      <c r="C4379" s="380" t="str">
        <f>IFERROR(__xludf.DUMMYFUNCTION("""COMPUTED_VALUE"""),"60000251")</f>
        <v>60000251</v>
      </c>
      <c r="D4379" s="380" t="s">
        <v>767</v>
      </c>
      <c r="E4379" s="380" t="s">
        <v>875</v>
      </c>
      <c r="F4379" s="380" t="s">
        <v>976</v>
      </c>
      <c r="G4379" s="380" t="s">
        <v>1267</v>
      </c>
      <c r="H4379" s="380" t="s">
        <v>771</v>
      </c>
      <c r="I4379" s="380" t="s">
        <v>788</v>
      </c>
      <c r="J4379" s="380" t="s">
        <v>773</v>
      </c>
      <c r="K4379" s="381">
        <v>0.0</v>
      </c>
      <c r="L4379" s="382">
        <v>1.0</v>
      </c>
    </row>
    <row r="4380">
      <c r="A4380" s="380" t="s">
        <v>5248</v>
      </c>
      <c r="B4380" s="380" t="str">
        <f>IFERROR(__xludf.DUMMYFUNCTION("""COMPUTED_VALUE"""),"Mototambor Poly V Ec310 24:1 L=959")</f>
        <v>Mototambor Poly V Ec310 24:1 L=959</v>
      </c>
      <c r="C4380" s="380" t="str">
        <f>IFERROR(__xludf.DUMMYFUNCTION("""COMPUTED_VALUE"""),"60000252")</f>
        <v>60000252</v>
      </c>
      <c r="D4380" s="380" t="s">
        <v>767</v>
      </c>
      <c r="E4380" s="380" t="s">
        <v>875</v>
      </c>
      <c r="F4380" s="380" t="s">
        <v>976</v>
      </c>
      <c r="G4380" s="380" t="s">
        <v>1267</v>
      </c>
      <c r="H4380" s="380" t="s">
        <v>771</v>
      </c>
      <c r="I4380" s="380" t="s">
        <v>788</v>
      </c>
      <c r="J4380" s="380" t="s">
        <v>773</v>
      </c>
      <c r="K4380" s="381">
        <v>0.0</v>
      </c>
      <c r="L4380" s="382">
        <v>1.0</v>
      </c>
    </row>
    <row r="4381">
      <c r="A4381" s="380" t="s">
        <v>5249</v>
      </c>
      <c r="B4381" s="380" t="str">
        <f>IFERROR(__xludf.DUMMYFUNCTION("""COMPUTED_VALUE"""),"Rodillo Guiado D70 W1000 Power Feeder")</f>
        <v>Rodillo Guiado D70 W1000 Power Feeder</v>
      </c>
      <c r="C4381" s="380" t="str">
        <f>IFERROR(__xludf.DUMMYFUNCTION("""COMPUTED_VALUE"""),"60000253")</f>
        <v>60000253</v>
      </c>
      <c r="D4381" s="380" t="s">
        <v>767</v>
      </c>
      <c r="E4381" s="380" t="s">
        <v>875</v>
      </c>
      <c r="F4381" s="380" t="s">
        <v>976</v>
      </c>
      <c r="G4381" s="380" t="s">
        <v>1267</v>
      </c>
      <c r="H4381" s="380" t="s">
        <v>771</v>
      </c>
      <c r="I4381" s="380" t="s">
        <v>788</v>
      </c>
      <c r="J4381" s="380" t="s">
        <v>773</v>
      </c>
      <c r="K4381" s="381">
        <v>0.0</v>
      </c>
      <c r="L4381" s="382">
        <v>1.0</v>
      </c>
    </row>
    <row r="4382">
      <c r="A4382" s="380" t="s">
        <v>5250</v>
      </c>
      <c r="B4382" s="380" t="str">
        <f>IFERROR(__xludf.DUMMYFUNCTION("""COMPUTED_VALUE"""),"Graceras Varias Sorter")</f>
        <v>Graceras Varias Sorter</v>
      </c>
      <c r="C4382" s="380" t="str">
        <f>IFERROR(__xludf.DUMMYFUNCTION("""COMPUTED_VALUE"""),"60000254")</f>
        <v>60000254</v>
      </c>
      <c r="D4382" s="380" t="s">
        <v>767</v>
      </c>
      <c r="E4382" s="380" t="s">
        <v>875</v>
      </c>
      <c r="F4382" s="380" t="s">
        <v>976</v>
      </c>
      <c r="G4382" s="380" t="s">
        <v>1267</v>
      </c>
      <c r="H4382" s="380" t="s">
        <v>771</v>
      </c>
      <c r="I4382" s="380" t="s">
        <v>788</v>
      </c>
      <c r="J4382" s="380" t="s">
        <v>773</v>
      </c>
      <c r="K4382" s="381">
        <v>0.0</v>
      </c>
      <c r="L4382" s="382">
        <v>1.0</v>
      </c>
    </row>
    <row r="4383">
      <c r="A4383" s="380" t="s">
        <v>5251</v>
      </c>
      <c r="B4383" s="380" t="str">
        <f>IFERROR(__xludf.DUMMYFUNCTION("""COMPUTED_VALUE"""),"Retenedor Motorreducto Del Sorter")</f>
        <v>Retenedor Motorreducto Del Sorter</v>
      </c>
      <c r="C4383" s="380" t="str">
        <f>IFERROR(__xludf.DUMMYFUNCTION("""COMPUTED_VALUE"""),"60000255")</f>
        <v>60000255</v>
      </c>
      <c r="D4383" s="380" t="s">
        <v>767</v>
      </c>
      <c r="E4383" s="380" t="s">
        <v>875</v>
      </c>
      <c r="F4383" s="380" t="s">
        <v>976</v>
      </c>
      <c r="G4383" s="380" t="s">
        <v>1267</v>
      </c>
      <c r="H4383" s="380" t="s">
        <v>771</v>
      </c>
      <c r="I4383" s="380" t="s">
        <v>788</v>
      </c>
      <c r="J4383" s="380" t="s">
        <v>773</v>
      </c>
      <c r="K4383" s="381">
        <v>0.0</v>
      </c>
      <c r="L4383" s="382">
        <v>1.0</v>
      </c>
    </row>
    <row r="4384">
      <c r="A4384" s="380" t="s">
        <v>5252</v>
      </c>
      <c r="B4384" s="380" t="str">
        <f>IFERROR(__xludf.DUMMYFUNCTION("""COMPUTED_VALUE"""),"Retenedor Motoreductor Sorter40-60-6")</f>
        <v>Retenedor Motoreductor Sorter40-60-6</v>
      </c>
      <c r="C4384" s="380" t="str">
        <f>IFERROR(__xludf.DUMMYFUNCTION("""COMPUTED_VALUE"""),"60000256")</f>
        <v>60000256</v>
      </c>
      <c r="D4384" s="380" t="s">
        <v>767</v>
      </c>
      <c r="E4384" s="380" t="s">
        <v>875</v>
      </c>
      <c r="F4384" s="380" t="s">
        <v>976</v>
      </c>
      <c r="G4384" s="380" t="s">
        <v>1267</v>
      </c>
      <c r="H4384" s="380" t="s">
        <v>771</v>
      </c>
      <c r="I4384" s="380" t="s">
        <v>788</v>
      </c>
      <c r="J4384" s="380" t="s">
        <v>773</v>
      </c>
      <c r="K4384" s="381">
        <v>0.0</v>
      </c>
      <c r="L4384" s="382">
        <v>1.0</v>
      </c>
    </row>
    <row r="4385">
      <c r="A4385" s="380" t="s">
        <v>5253</v>
      </c>
      <c r="B4385" s="380" t="str">
        <f>IFERROR(__xludf.DUMMYFUNCTION("""COMPUTED_VALUE"""),"Retenedor Motoreductor Sorter 55-90-10")</f>
        <v>Retenedor Motoreductor Sorter 55-90-10</v>
      </c>
      <c r="C4385" s="380" t="str">
        <f>IFERROR(__xludf.DUMMYFUNCTION("""COMPUTED_VALUE"""),"60000257")</f>
        <v>60000257</v>
      </c>
      <c r="D4385" s="380" t="s">
        <v>767</v>
      </c>
      <c r="E4385" s="380" t="s">
        <v>875</v>
      </c>
      <c r="F4385" s="380" t="s">
        <v>976</v>
      </c>
      <c r="G4385" s="380" t="s">
        <v>1267</v>
      </c>
      <c r="H4385" s="380" t="s">
        <v>771</v>
      </c>
      <c r="I4385" s="380" t="s">
        <v>788</v>
      </c>
      <c r="J4385" s="380" t="s">
        <v>773</v>
      </c>
      <c r="K4385" s="381">
        <v>0.0</v>
      </c>
      <c r="L4385" s="382">
        <v>1.0</v>
      </c>
    </row>
    <row r="4386">
      <c r="A4386" s="380" t="s">
        <v>5254</v>
      </c>
      <c r="B4386" s="380" t="str">
        <f>IFERROR(__xludf.DUMMYFUNCTION("""COMPUTED_VALUE"""),"Retenedor Motoreductor Sorter 58-80-10")</f>
        <v>Retenedor Motoreductor Sorter 58-80-10</v>
      </c>
      <c r="C4386" s="380" t="str">
        <f>IFERROR(__xludf.DUMMYFUNCTION("""COMPUTED_VALUE"""),"60000258")</f>
        <v>60000258</v>
      </c>
      <c r="D4386" s="380" t="s">
        <v>767</v>
      </c>
      <c r="E4386" s="380" t="s">
        <v>875</v>
      </c>
      <c r="F4386" s="380" t="s">
        <v>976</v>
      </c>
      <c r="G4386" s="380" t="s">
        <v>1267</v>
      </c>
      <c r="H4386" s="380" t="s">
        <v>771</v>
      </c>
      <c r="I4386" s="380" t="s">
        <v>788</v>
      </c>
      <c r="J4386" s="380" t="s">
        <v>773</v>
      </c>
      <c r="K4386" s="381">
        <v>0.0</v>
      </c>
      <c r="L4386" s="382">
        <v>1.0</v>
      </c>
    </row>
    <row r="4387">
      <c r="A4387" s="380" t="s">
        <v>5255</v>
      </c>
      <c r="B4387" s="380" t="str">
        <f>IFERROR(__xludf.DUMMYFUNCTION("""COMPUTED_VALUE"""),"Banda Infe 30L42808/2U0/V5hMtNegraW=45")</f>
        <v>Banda Infe 30L42808/2U0/V5hMtNegraW=45</v>
      </c>
      <c r="C4387" s="380" t="str">
        <f>IFERROR(__xludf.DUMMYFUNCTION("""COMPUTED_VALUE"""),"60000259")</f>
        <v>60000259</v>
      </c>
      <c r="D4387" s="380" t="s">
        <v>767</v>
      </c>
      <c r="E4387" s="380" t="s">
        <v>875</v>
      </c>
      <c r="F4387" s="380" t="s">
        <v>976</v>
      </c>
      <c r="G4387" s="380" t="s">
        <v>1267</v>
      </c>
      <c r="H4387" s="380" t="s">
        <v>771</v>
      </c>
      <c r="I4387" s="380" t="s">
        <v>788</v>
      </c>
      <c r="J4387" s="380" t="s">
        <v>773</v>
      </c>
      <c r="K4387" s="381">
        <v>0.0</v>
      </c>
      <c r="L4387" s="382">
        <v>1.0</v>
      </c>
    </row>
    <row r="4388">
      <c r="A4388" s="380" t="s">
        <v>5256</v>
      </c>
      <c r="B4388" s="380" t="str">
        <f>IFERROR(__xludf.DUMMYFUNCTION("""COMPUTED_VALUE"""),"Banda Infe 30L4454E8/2U0/V5hMtNegraW=45")</f>
        <v>Banda Infe 30L4454E8/2U0/V5hMtNegraW=45</v>
      </c>
      <c r="C4388" s="380" t="str">
        <f>IFERROR(__xludf.DUMMYFUNCTION("""COMPUTED_VALUE"""),"60000260")</f>
        <v>60000260</v>
      </c>
      <c r="D4388" s="380" t="s">
        <v>767</v>
      </c>
      <c r="E4388" s="380" t="s">
        <v>875</v>
      </c>
      <c r="F4388" s="380" t="s">
        <v>976</v>
      </c>
      <c r="G4388" s="380" t="s">
        <v>1267</v>
      </c>
      <c r="H4388" s="380" t="s">
        <v>771</v>
      </c>
      <c r="I4388" s="380" t="s">
        <v>788</v>
      </c>
      <c r="J4388" s="380" t="s">
        <v>773</v>
      </c>
      <c r="K4388" s="381">
        <v>0.0</v>
      </c>
      <c r="L4388" s="382">
        <v>1.0</v>
      </c>
    </row>
    <row r="4389">
      <c r="A4389" s="380" t="s">
        <v>5257</v>
      </c>
      <c r="B4389" s="380" t="str">
        <f>IFERROR(__xludf.DUMMYFUNCTION("""COMPUTED_VALUE"""),"Banda Infe 30L4797E8/2U0/V5hMtNegraW=45")</f>
        <v>Banda Infe 30L4797E8/2U0/V5hMtNegraW=45</v>
      </c>
      <c r="C4389" s="380" t="str">
        <f>IFERROR(__xludf.DUMMYFUNCTION("""COMPUTED_VALUE"""),"60000261")</f>
        <v>60000261</v>
      </c>
      <c r="D4389" s="380" t="s">
        <v>767</v>
      </c>
      <c r="E4389" s="380" t="s">
        <v>875</v>
      </c>
      <c r="F4389" s="380" t="s">
        <v>976</v>
      </c>
      <c r="G4389" s="380" t="s">
        <v>1267</v>
      </c>
      <c r="H4389" s="380" t="s">
        <v>771</v>
      </c>
      <c r="I4389" s="380" t="s">
        <v>788</v>
      </c>
      <c r="J4389" s="380" t="s">
        <v>773</v>
      </c>
      <c r="K4389" s="381">
        <v>0.0</v>
      </c>
      <c r="L4389" s="382">
        <v>1.0</v>
      </c>
    </row>
    <row r="4390">
      <c r="A4390" s="380" t="s">
        <v>5258</v>
      </c>
      <c r="B4390" s="380" t="str">
        <f>IFERROR(__xludf.DUMMYFUNCTION("""COMPUTED_VALUE"""),"Banda Infe 30L4969E8/2U0/V5hMtNegraW=45")</f>
        <v>Banda Infe 30L4969E8/2U0/V5hMtNegraW=45</v>
      </c>
      <c r="C4390" s="380" t="str">
        <f>IFERROR(__xludf.DUMMYFUNCTION("""COMPUTED_VALUE"""),"60000262")</f>
        <v>60000262</v>
      </c>
      <c r="D4390" s="380" t="s">
        <v>767</v>
      </c>
      <c r="E4390" s="380" t="s">
        <v>875</v>
      </c>
      <c r="F4390" s="380" t="s">
        <v>976</v>
      </c>
      <c r="G4390" s="380" t="s">
        <v>1267</v>
      </c>
      <c r="H4390" s="380" t="s">
        <v>771</v>
      </c>
      <c r="I4390" s="380" t="s">
        <v>788</v>
      </c>
      <c r="J4390" s="380" t="s">
        <v>773</v>
      </c>
      <c r="K4390" s="381">
        <v>0.0</v>
      </c>
      <c r="L4390" s="382">
        <v>1.0</v>
      </c>
    </row>
    <row r="4391">
      <c r="A4391" s="380" t="s">
        <v>5259</v>
      </c>
      <c r="B4391" s="380" t="str">
        <f>IFERROR(__xludf.DUMMYFUNCTION("""COMPUTED_VALUE"""),"Banda Infe 30L5319E8/2U0/V5hMtNegraW=45")</f>
        <v>Banda Infe 30L5319E8/2U0/V5hMtNegraW=45</v>
      </c>
      <c r="C4391" s="380" t="str">
        <f>IFERROR(__xludf.DUMMYFUNCTION("""COMPUTED_VALUE"""),"60000263")</f>
        <v>60000263</v>
      </c>
      <c r="D4391" s="380" t="s">
        <v>767</v>
      </c>
      <c r="E4391" s="380" t="s">
        <v>875</v>
      </c>
      <c r="F4391" s="380" t="s">
        <v>976</v>
      </c>
      <c r="G4391" s="380" t="s">
        <v>1267</v>
      </c>
      <c r="H4391" s="380" t="s">
        <v>771</v>
      </c>
      <c r="I4391" s="380" t="s">
        <v>788</v>
      </c>
      <c r="J4391" s="380" t="s">
        <v>773</v>
      </c>
      <c r="K4391" s="381">
        <v>0.0</v>
      </c>
      <c r="L4391" s="382">
        <v>1.0</v>
      </c>
    </row>
    <row r="4392">
      <c r="A4392" s="380" t="s">
        <v>5260</v>
      </c>
      <c r="B4392" s="380" t="str">
        <f>IFERROR(__xludf.DUMMYFUNCTION("""COMPUTED_VALUE"""),"Banda Infe 60L1464E8/2U0/V5hMtNegraW=45")</f>
        <v>Banda Infe 60L1464E8/2U0/V5hMtNegraW=45</v>
      </c>
      <c r="C4392" s="380" t="str">
        <f>IFERROR(__xludf.DUMMYFUNCTION("""COMPUTED_VALUE"""),"60000264")</f>
        <v>60000264</v>
      </c>
      <c r="D4392" s="380" t="s">
        <v>767</v>
      </c>
      <c r="E4392" s="380" t="s">
        <v>875</v>
      </c>
      <c r="F4392" s="380" t="s">
        <v>976</v>
      </c>
      <c r="G4392" s="380" t="s">
        <v>1267</v>
      </c>
      <c r="H4392" s="380" t="s">
        <v>771</v>
      </c>
      <c r="I4392" s="380" t="s">
        <v>788</v>
      </c>
      <c r="J4392" s="380" t="s">
        <v>773</v>
      </c>
      <c r="K4392" s="381">
        <v>0.0</v>
      </c>
      <c r="L4392" s="382">
        <v>1.0</v>
      </c>
    </row>
    <row r="4393">
      <c r="A4393" s="380" t="s">
        <v>5261</v>
      </c>
      <c r="B4393" s="380" t="str">
        <f>IFERROR(__xludf.DUMMYFUNCTION("""COMPUTED_VALUE"""),"Banda Infe 60L15798/2U0/V5hMtNegraW=45")</f>
        <v>Banda Infe 60L15798/2U0/V5hMtNegraW=45</v>
      </c>
      <c r="C4393" s="380" t="str">
        <f>IFERROR(__xludf.DUMMYFUNCTION("""COMPUTED_VALUE"""),"60000265")</f>
        <v>60000265</v>
      </c>
      <c r="D4393" s="380" t="s">
        <v>767</v>
      </c>
      <c r="E4393" s="380" t="s">
        <v>875</v>
      </c>
      <c r="F4393" s="380" t="s">
        <v>976</v>
      </c>
      <c r="G4393" s="380" t="s">
        <v>1267</v>
      </c>
      <c r="H4393" s="380" t="s">
        <v>771</v>
      </c>
      <c r="I4393" s="380" t="s">
        <v>788</v>
      </c>
      <c r="J4393" s="380" t="s">
        <v>773</v>
      </c>
      <c r="K4393" s="381">
        <v>0.0</v>
      </c>
      <c r="L4393" s="382">
        <v>1.0</v>
      </c>
    </row>
    <row r="4394">
      <c r="A4394" s="380" t="s">
        <v>5262</v>
      </c>
      <c r="B4394" s="380" t="str">
        <f>IFERROR(__xludf.DUMMYFUNCTION("""COMPUTED_VALUE"""),"Banda Infe 60L1636E8/2U0/V5hMtNegraW=45")</f>
        <v>Banda Infe 60L1636E8/2U0/V5hMtNegraW=45</v>
      </c>
      <c r="C4394" s="380" t="str">
        <f>IFERROR(__xludf.DUMMYFUNCTION("""COMPUTED_VALUE"""),"60000266")</f>
        <v>60000266</v>
      </c>
      <c r="D4394" s="380" t="s">
        <v>767</v>
      </c>
      <c r="E4394" s="380" t="s">
        <v>875</v>
      </c>
      <c r="F4394" s="380" t="s">
        <v>976</v>
      </c>
      <c r="G4394" s="380" t="s">
        <v>1267</v>
      </c>
      <c r="H4394" s="380" t="s">
        <v>771</v>
      </c>
      <c r="I4394" s="380" t="s">
        <v>788</v>
      </c>
      <c r="J4394" s="380" t="s">
        <v>773</v>
      </c>
      <c r="K4394" s="381">
        <v>0.0</v>
      </c>
      <c r="L4394" s="382">
        <v>1.0</v>
      </c>
    </row>
    <row r="4395">
      <c r="A4395" s="380" t="s">
        <v>5263</v>
      </c>
      <c r="B4395" s="380" t="str">
        <f>IFERROR(__xludf.DUMMYFUNCTION("""COMPUTED_VALUE"""),"Banda Infe 60L1694E8/2U0/V5hMtNegra W=45")</f>
        <v>Banda Infe 60L1694E8/2U0/V5hMtNegra W=45</v>
      </c>
      <c r="C4395" s="380" t="str">
        <f>IFERROR(__xludf.DUMMYFUNCTION("""COMPUTED_VALUE"""),"60000267")</f>
        <v>60000267</v>
      </c>
      <c r="D4395" s="380" t="s">
        <v>767</v>
      </c>
      <c r="E4395" s="380" t="s">
        <v>875</v>
      </c>
      <c r="F4395" s="380" t="s">
        <v>976</v>
      </c>
      <c r="G4395" s="380" t="s">
        <v>1267</v>
      </c>
      <c r="H4395" s="380" t="s">
        <v>771</v>
      </c>
      <c r="I4395" s="380" t="s">
        <v>788</v>
      </c>
      <c r="J4395" s="380" t="s">
        <v>773</v>
      </c>
      <c r="K4395" s="381">
        <v>0.0</v>
      </c>
      <c r="L4395" s="382">
        <v>1.0</v>
      </c>
    </row>
    <row r="4396">
      <c r="A4396" s="380" t="s">
        <v>5264</v>
      </c>
      <c r="B4396" s="380" t="str">
        <f>IFERROR(__xludf.DUMMYFUNCTION("""COMPUTED_VALUE"""),"Banda Infe 60L1751E8/2U0/V5hMt NegraW=45")</f>
        <v>Banda Infe 60L1751E8/2U0/V5hMt NegraW=45</v>
      </c>
      <c r="C4396" s="380" t="str">
        <f>IFERROR(__xludf.DUMMYFUNCTION("""COMPUTED_VALUE"""),"60000268")</f>
        <v>60000268</v>
      </c>
      <c r="D4396" s="380" t="s">
        <v>767</v>
      </c>
      <c r="E4396" s="380" t="s">
        <v>875</v>
      </c>
      <c r="F4396" s="380" t="s">
        <v>976</v>
      </c>
      <c r="G4396" s="380" t="s">
        <v>1267</v>
      </c>
      <c r="H4396" s="380" t="s">
        <v>771</v>
      </c>
      <c r="I4396" s="380" t="s">
        <v>788</v>
      </c>
      <c r="J4396" s="380" t="s">
        <v>773</v>
      </c>
      <c r="K4396" s="381">
        <v>0.0</v>
      </c>
      <c r="L4396" s="382">
        <v>1.0</v>
      </c>
    </row>
    <row r="4397">
      <c r="A4397" s="380" t="s">
        <v>5265</v>
      </c>
      <c r="B4397" s="380" t="str">
        <f>IFERROR(__xludf.DUMMYFUNCTION("""COMPUTED_VALUE"""),"Banda Infe 60L1866E8/2U0/V5hMtNegra W=45")</f>
        <v>Banda Infe 60L1866E8/2U0/V5hMtNegra W=45</v>
      </c>
      <c r="C4397" s="380" t="str">
        <f>IFERROR(__xludf.DUMMYFUNCTION("""COMPUTED_VALUE"""),"60000269")</f>
        <v>60000269</v>
      </c>
      <c r="D4397" s="380" t="s">
        <v>767</v>
      </c>
      <c r="E4397" s="380" t="s">
        <v>875</v>
      </c>
      <c r="F4397" s="380" t="s">
        <v>976</v>
      </c>
      <c r="G4397" s="380" t="s">
        <v>1267</v>
      </c>
      <c r="H4397" s="380" t="s">
        <v>771</v>
      </c>
      <c r="I4397" s="380" t="s">
        <v>788</v>
      </c>
      <c r="J4397" s="380" t="s">
        <v>773</v>
      </c>
      <c r="K4397" s="381">
        <v>0.0</v>
      </c>
      <c r="L4397" s="382">
        <v>1.0</v>
      </c>
    </row>
    <row r="4398">
      <c r="A4398" s="380" t="s">
        <v>5266</v>
      </c>
      <c r="B4398" s="380" t="str">
        <f>IFERROR(__xludf.DUMMYFUNCTION("""COMPUTED_VALUE"""),"Banda Infe 60L1923E8/2U0/V5hMt NegraW=45")</f>
        <v>Banda Infe 60L1923E8/2U0/V5hMt NegraW=45</v>
      </c>
      <c r="C4398" s="380" t="str">
        <f>IFERROR(__xludf.DUMMYFUNCTION("""COMPUTED_VALUE"""),"60000270")</f>
        <v>60000270</v>
      </c>
      <c r="D4398" s="380" t="s">
        <v>767</v>
      </c>
      <c r="E4398" s="380" t="s">
        <v>875</v>
      </c>
      <c r="F4398" s="380" t="s">
        <v>976</v>
      </c>
      <c r="G4398" s="380" t="s">
        <v>1267</v>
      </c>
      <c r="H4398" s="380" t="s">
        <v>771</v>
      </c>
      <c r="I4398" s="380" t="s">
        <v>788</v>
      </c>
      <c r="J4398" s="380" t="s">
        <v>773</v>
      </c>
      <c r="K4398" s="381">
        <v>0.0</v>
      </c>
      <c r="L4398" s="382">
        <v>1.0</v>
      </c>
    </row>
    <row r="4399">
      <c r="A4399" s="380" t="s">
        <v>5267</v>
      </c>
      <c r="B4399" s="380" t="str">
        <f>IFERROR(__xludf.DUMMYFUNCTION("""COMPUTED_VALUE"""),"Banda Infe 60L1981E8/2 U0/V5hMtNegraW=45")</f>
        <v>Banda Infe 60L1981E8/2 U0/V5hMtNegraW=45</v>
      </c>
      <c r="C4399" s="380" t="str">
        <f>IFERROR(__xludf.DUMMYFUNCTION("""COMPUTED_VALUE"""),"60000271")</f>
        <v>60000271</v>
      </c>
      <c r="D4399" s="380" t="s">
        <v>767</v>
      </c>
      <c r="E4399" s="380" t="s">
        <v>875</v>
      </c>
      <c r="F4399" s="380" t="s">
        <v>976</v>
      </c>
      <c r="G4399" s="380" t="s">
        <v>1267</v>
      </c>
      <c r="H4399" s="380" t="s">
        <v>771</v>
      </c>
      <c r="I4399" s="380" t="s">
        <v>788</v>
      </c>
      <c r="J4399" s="380" t="s">
        <v>773</v>
      </c>
      <c r="K4399" s="381">
        <v>0.0</v>
      </c>
      <c r="L4399" s="382">
        <v>1.0</v>
      </c>
    </row>
    <row r="4400">
      <c r="A4400" s="380" t="s">
        <v>5268</v>
      </c>
      <c r="B4400" s="380" t="str">
        <f>IFERROR(__xludf.DUMMYFUNCTION("""COMPUTED_VALUE"""),"Banda Infe 60L2038E8/2U0/V5hMtNegraW=45")</f>
        <v>Banda Infe 60L2038E8/2U0/V5hMtNegraW=45</v>
      </c>
      <c r="C4400" s="380" t="str">
        <f>IFERROR(__xludf.DUMMYFUNCTION("""COMPUTED_VALUE"""),"60000272")</f>
        <v>60000272</v>
      </c>
      <c r="D4400" s="380" t="s">
        <v>767</v>
      </c>
      <c r="E4400" s="380" t="s">
        <v>875</v>
      </c>
      <c r="F4400" s="380" t="s">
        <v>976</v>
      </c>
      <c r="G4400" s="380" t="s">
        <v>1267</v>
      </c>
      <c r="H4400" s="380" t="s">
        <v>771</v>
      </c>
      <c r="I4400" s="380" t="s">
        <v>788</v>
      </c>
      <c r="J4400" s="380" t="s">
        <v>773</v>
      </c>
      <c r="K4400" s="381">
        <v>0.0</v>
      </c>
      <c r="L4400" s="382">
        <v>1.0</v>
      </c>
    </row>
    <row r="4401">
      <c r="A4401" s="380" t="s">
        <v>5269</v>
      </c>
      <c r="B4401" s="380" t="str">
        <f>IFERROR(__xludf.DUMMYFUNCTION("""COMPUTED_VALUE"""),"Banda Infe 60L2096E8/2U0/V5hMtNegraW=45")</f>
        <v>Banda Infe 60L2096E8/2U0/V5hMtNegraW=45</v>
      </c>
      <c r="C4401" s="380" t="str">
        <f>IFERROR(__xludf.DUMMYFUNCTION("""COMPUTED_VALUE"""),"60000273")</f>
        <v>60000273</v>
      </c>
      <c r="D4401" s="380" t="s">
        <v>767</v>
      </c>
      <c r="E4401" s="380" t="s">
        <v>875</v>
      </c>
      <c r="F4401" s="380" t="s">
        <v>976</v>
      </c>
      <c r="G4401" s="380" t="s">
        <v>1267</v>
      </c>
      <c r="H4401" s="380" t="s">
        <v>771</v>
      </c>
      <c r="I4401" s="380" t="s">
        <v>788</v>
      </c>
      <c r="J4401" s="380" t="s">
        <v>773</v>
      </c>
      <c r="K4401" s="381">
        <v>0.0</v>
      </c>
      <c r="L4401" s="382">
        <v>1.0</v>
      </c>
    </row>
    <row r="4402">
      <c r="A4402" s="380" t="s">
        <v>5270</v>
      </c>
      <c r="B4402" s="380" t="str">
        <f>IFERROR(__xludf.DUMMYFUNCTION("""COMPUTED_VALUE"""),"Banda Infe 60L2153E8/2U0/V5hMtNegra W=45")</f>
        <v>Banda Infe 60L2153E8/2U0/V5hMtNegra W=45</v>
      </c>
      <c r="C4402" s="380" t="str">
        <f>IFERROR(__xludf.DUMMYFUNCTION("""COMPUTED_VALUE"""),"60000274")</f>
        <v>60000274</v>
      </c>
      <c r="D4402" s="380" t="s">
        <v>767</v>
      </c>
      <c r="E4402" s="380" t="s">
        <v>875</v>
      </c>
      <c r="F4402" s="380" t="s">
        <v>976</v>
      </c>
      <c r="G4402" s="380" t="s">
        <v>1267</v>
      </c>
      <c r="H4402" s="380" t="s">
        <v>771</v>
      </c>
      <c r="I4402" s="380" t="s">
        <v>788</v>
      </c>
      <c r="J4402" s="380" t="s">
        <v>773</v>
      </c>
      <c r="K4402" s="381">
        <v>0.0</v>
      </c>
      <c r="L4402" s="382">
        <v>1.0</v>
      </c>
    </row>
    <row r="4403">
      <c r="A4403" s="380" t="s">
        <v>5271</v>
      </c>
      <c r="B4403" s="380" t="str">
        <f>IFERROR(__xludf.DUMMYFUNCTION("""COMPUTED_VALUE"""),"Banda Infe 30L1523E8/2U0/V5h MtNegraW=45")</f>
        <v>Banda Infe 30L1523E8/2U0/V5h MtNegraW=45</v>
      </c>
      <c r="C4403" s="380" t="str">
        <f>IFERROR(__xludf.DUMMYFUNCTION("""COMPUTED_VALUE"""),"60000275")</f>
        <v>60000275</v>
      </c>
      <c r="D4403" s="380" t="s">
        <v>767</v>
      </c>
      <c r="E4403" s="380" t="s">
        <v>875</v>
      </c>
      <c r="F4403" s="380" t="s">
        <v>976</v>
      </c>
      <c r="G4403" s="380" t="s">
        <v>1267</v>
      </c>
      <c r="H4403" s="380" t="s">
        <v>771</v>
      </c>
      <c r="I4403" s="380" t="s">
        <v>788</v>
      </c>
      <c r="J4403" s="380" t="s">
        <v>773</v>
      </c>
      <c r="K4403" s="381">
        <v>0.0</v>
      </c>
      <c r="L4403" s="382">
        <v>1.0</v>
      </c>
    </row>
    <row r="4404">
      <c r="A4404" s="380" t="s">
        <v>5272</v>
      </c>
      <c r="B4404" s="380" t="str">
        <f>IFERROR(__xludf.DUMMYFUNCTION("""COMPUTED_VALUE"""),"Banda Infe 30L1695E8/2U0/V5hMtNegra W=45")</f>
        <v>Banda Infe 30L1695E8/2U0/V5hMtNegra W=45</v>
      </c>
      <c r="C4404" s="380" t="str">
        <f>IFERROR(__xludf.DUMMYFUNCTION("""COMPUTED_VALUE"""),"60000276")</f>
        <v>60000276</v>
      </c>
      <c r="D4404" s="380" t="s">
        <v>767</v>
      </c>
      <c r="E4404" s="380" t="s">
        <v>875</v>
      </c>
      <c r="F4404" s="380" t="s">
        <v>976</v>
      </c>
      <c r="G4404" s="380" t="s">
        <v>1267</v>
      </c>
      <c r="H4404" s="380" t="s">
        <v>771</v>
      </c>
      <c r="I4404" s="380" t="s">
        <v>788</v>
      </c>
      <c r="J4404" s="380" t="s">
        <v>773</v>
      </c>
      <c r="K4404" s="381">
        <v>0.0</v>
      </c>
      <c r="L4404" s="382">
        <v>1.0</v>
      </c>
    </row>
    <row r="4405">
      <c r="A4405" s="380" t="s">
        <v>5273</v>
      </c>
      <c r="B4405" s="380" t="str">
        <f>IFERROR(__xludf.DUMMYFUNCTION("""COMPUTED_VALUE"""),"Banda Inf 30L1868E8/2U0/V5hMtNegra W=45")</f>
        <v>Banda Inf 30L1868E8/2U0/V5hMtNegra W=45</v>
      </c>
      <c r="C4405" s="380" t="str">
        <f>IFERROR(__xludf.DUMMYFUNCTION("""COMPUTED_VALUE"""),"60000277")</f>
        <v>60000277</v>
      </c>
      <c r="D4405" s="380" t="s">
        <v>767</v>
      </c>
      <c r="E4405" s="380" t="s">
        <v>875</v>
      </c>
      <c r="F4405" s="380" t="s">
        <v>976</v>
      </c>
      <c r="G4405" s="380" t="s">
        <v>1267</v>
      </c>
      <c r="H4405" s="380" t="s">
        <v>771</v>
      </c>
      <c r="I4405" s="380" t="s">
        <v>788</v>
      </c>
      <c r="J4405" s="380" t="s">
        <v>773</v>
      </c>
      <c r="K4405" s="381">
        <v>0.0</v>
      </c>
      <c r="L4405" s="382">
        <v>1.0</v>
      </c>
    </row>
    <row r="4406">
      <c r="A4406" s="380" t="s">
        <v>5274</v>
      </c>
      <c r="B4406" s="380" t="str">
        <f>IFERROR(__xludf.DUMMYFUNCTION("""COMPUTED_VALUE"""),"Banda Infe 30L2040E8/2U0/V5hMtNegra W=45")</f>
        <v>Banda Infe 30L2040E8/2U0/V5hMtNegra W=45</v>
      </c>
      <c r="C4406" s="380" t="str">
        <f>IFERROR(__xludf.DUMMYFUNCTION("""COMPUTED_VALUE"""),"60000278")</f>
        <v>60000278</v>
      </c>
      <c r="D4406" s="380" t="s">
        <v>767</v>
      </c>
      <c r="E4406" s="380" t="s">
        <v>875</v>
      </c>
      <c r="F4406" s="380" t="s">
        <v>976</v>
      </c>
      <c r="G4406" s="380" t="s">
        <v>1267</v>
      </c>
      <c r="H4406" s="380" t="s">
        <v>771</v>
      </c>
      <c r="I4406" s="380" t="s">
        <v>788</v>
      </c>
      <c r="J4406" s="380" t="s">
        <v>773</v>
      </c>
      <c r="K4406" s="381">
        <v>0.0</v>
      </c>
      <c r="L4406" s="382">
        <v>1.0</v>
      </c>
    </row>
    <row r="4407">
      <c r="A4407" s="380" t="s">
        <v>5275</v>
      </c>
      <c r="B4407" s="380" t="str">
        <f>IFERROR(__xludf.DUMMYFUNCTION("""COMPUTED_VALUE"""),"Banda Infe 30L2212E8/2U0/V5hMtNegra W=45")</f>
        <v>Banda Infe 30L2212E8/2U0/V5hMtNegra W=45</v>
      </c>
      <c r="C4407" s="380" t="str">
        <f>IFERROR(__xludf.DUMMYFUNCTION("""COMPUTED_VALUE"""),"60000279")</f>
        <v>60000279</v>
      </c>
      <c r="D4407" s="380" t="s">
        <v>767</v>
      </c>
      <c r="E4407" s="380" t="s">
        <v>875</v>
      </c>
      <c r="F4407" s="380" t="s">
        <v>976</v>
      </c>
      <c r="G4407" s="380" t="s">
        <v>1267</v>
      </c>
      <c r="H4407" s="380" t="s">
        <v>771</v>
      </c>
      <c r="I4407" s="380" t="s">
        <v>788</v>
      </c>
      <c r="J4407" s="380" t="s">
        <v>773</v>
      </c>
      <c r="K4407" s="381">
        <v>0.0</v>
      </c>
      <c r="L4407" s="382">
        <v>1.0</v>
      </c>
    </row>
    <row r="4408">
      <c r="A4408" s="380" t="s">
        <v>5276</v>
      </c>
      <c r="B4408" s="380" t="str">
        <f>IFERROR(__xludf.DUMMYFUNCTION("""COMPUTED_VALUE"""),"Banda Infe 30L2384E8/2U0/V5hMtNegra W=45")</f>
        <v>Banda Infe 30L2384E8/2U0/V5hMtNegra W=45</v>
      </c>
      <c r="C4408" s="380" t="str">
        <f>IFERROR(__xludf.DUMMYFUNCTION("""COMPUTED_VALUE"""),"60000280")</f>
        <v>60000280</v>
      </c>
      <c r="D4408" s="380" t="s">
        <v>767</v>
      </c>
      <c r="E4408" s="380" t="s">
        <v>875</v>
      </c>
      <c r="F4408" s="380" t="s">
        <v>976</v>
      </c>
      <c r="G4408" s="380" t="s">
        <v>1267</v>
      </c>
      <c r="H4408" s="380" t="s">
        <v>771</v>
      </c>
      <c r="I4408" s="380" t="s">
        <v>788</v>
      </c>
      <c r="J4408" s="380" t="s">
        <v>773</v>
      </c>
      <c r="K4408" s="381">
        <v>0.0</v>
      </c>
      <c r="L4408" s="382">
        <v>1.0</v>
      </c>
    </row>
    <row r="4409">
      <c r="A4409" s="380" t="s">
        <v>5277</v>
      </c>
      <c r="B4409" s="380" t="str">
        <f>IFERROR(__xludf.DUMMYFUNCTION("""COMPUTED_VALUE"""),"Banda Infe 30L2557E8/2U0/V5hMtNegra W=45")</f>
        <v>Banda Infe 30L2557E8/2U0/V5hMtNegra W=45</v>
      </c>
      <c r="C4409" s="380" t="str">
        <f>IFERROR(__xludf.DUMMYFUNCTION("""COMPUTED_VALUE"""),"60000281")</f>
        <v>60000281</v>
      </c>
      <c r="D4409" s="380" t="s">
        <v>767</v>
      </c>
      <c r="E4409" s="380" t="s">
        <v>875</v>
      </c>
      <c r="F4409" s="380" t="s">
        <v>976</v>
      </c>
      <c r="G4409" s="380" t="s">
        <v>1267</v>
      </c>
      <c r="H4409" s="380" t="s">
        <v>771</v>
      </c>
      <c r="I4409" s="380" t="s">
        <v>788</v>
      </c>
      <c r="J4409" s="380" t="s">
        <v>773</v>
      </c>
      <c r="K4409" s="381">
        <v>0.0</v>
      </c>
      <c r="L4409" s="382">
        <v>1.0</v>
      </c>
    </row>
    <row r="4410">
      <c r="A4410" s="380" t="s">
        <v>5278</v>
      </c>
      <c r="B4410" s="380" t="str">
        <f>IFERROR(__xludf.DUMMYFUNCTION("""COMPUTED_VALUE"""),"Banda Infe 30L2729E8/2U0/V5hMtNegraW=45.")</f>
        <v>Banda Infe 30L2729E8/2U0/V5hMtNegraW=45.</v>
      </c>
      <c r="C4410" s="380" t="str">
        <f>IFERROR(__xludf.DUMMYFUNCTION("""COMPUTED_VALUE"""),"60000282")</f>
        <v>60000282</v>
      </c>
      <c r="D4410" s="380" t="s">
        <v>767</v>
      </c>
      <c r="E4410" s="380" t="s">
        <v>875</v>
      </c>
      <c r="F4410" s="380" t="s">
        <v>976</v>
      </c>
      <c r="G4410" s="380" t="s">
        <v>1267</v>
      </c>
      <c r="H4410" s="380" t="s">
        <v>771</v>
      </c>
      <c r="I4410" s="380" t="s">
        <v>788</v>
      </c>
      <c r="J4410" s="380" t="s">
        <v>773</v>
      </c>
      <c r="K4410" s="381">
        <v>0.0</v>
      </c>
      <c r="L4410" s="382">
        <v>1.0</v>
      </c>
    </row>
    <row r="4411">
      <c r="A4411" s="380" t="s">
        <v>5279</v>
      </c>
      <c r="B4411" s="380" t="str">
        <f>IFERROR(__xludf.DUMMYFUNCTION("""COMPUTED_VALUE"""),"Banda Infe 30L=2901E8/2U0/V5hMtNegraW=45")</f>
        <v>Banda Infe 30L=2901E8/2U0/V5hMtNegraW=45</v>
      </c>
      <c r="C4411" s="380" t="str">
        <f>IFERROR(__xludf.DUMMYFUNCTION("""COMPUTED_VALUE"""),"60000283")</f>
        <v>60000283</v>
      </c>
      <c r="D4411" s="380" t="s">
        <v>767</v>
      </c>
      <c r="E4411" s="380" t="s">
        <v>875</v>
      </c>
      <c r="F4411" s="380" t="s">
        <v>976</v>
      </c>
      <c r="G4411" s="380" t="s">
        <v>1267</v>
      </c>
      <c r="H4411" s="380" t="s">
        <v>771</v>
      </c>
      <c r="I4411" s="380" t="s">
        <v>788</v>
      </c>
      <c r="J4411" s="380" t="s">
        <v>773</v>
      </c>
      <c r="K4411" s="381">
        <v>0.0</v>
      </c>
      <c r="L4411" s="382">
        <v>1.0</v>
      </c>
    </row>
    <row r="4412">
      <c r="A4412" s="380" t="s">
        <v>5280</v>
      </c>
      <c r="B4412" s="380" t="str">
        <f>IFERROR(__xludf.DUMMYFUNCTION("""COMPUTED_VALUE"""),"Banda Infe 30L3074E8/2U0/V5hMtNegraW=45")</f>
        <v>Banda Infe 30L3074E8/2U0/V5hMtNegraW=45</v>
      </c>
      <c r="C4412" s="380" t="str">
        <f>IFERROR(__xludf.DUMMYFUNCTION("""COMPUTED_VALUE"""),"60000284")</f>
        <v>60000284</v>
      </c>
      <c r="D4412" s="380" t="s">
        <v>767</v>
      </c>
      <c r="E4412" s="380" t="s">
        <v>875</v>
      </c>
      <c r="F4412" s="380" t="s">
        <v>976</v>
      </c>
      <c r="G4412" s="380" t="s">
        <v>1267</v>
      </c>
      <c r="H4412" s="380" t="s">
        <v>771</v>
      </c>
      <c r="I4412" s="380" t="s">
        <v>788</v>
      </c>
      <c r="J4412" s="380" t="s">
        <v>773</v>
      </c>
      <c r="K4412" s="381">
        <v>0.0</v>
      </c>
      <c r="L4412" s="382">
        <v>1.0</v>
      </c>
    </row>
    <row r="4413">
      <c r="A4413" s="380" t="s">
        <v>5281</v>
      </c>
      <c r="B4413" s="380" t="str">
        <f>IFERROR(__xludf.DUMMYFUNCTION("""COMPUTED_VALUE"""),"Banda Infe 30L3246E8/2U0/V5hMNegraW=45")</f>
        <v>Banda Infe 30L3246E8/2U0/V5hMNegraW=45</v>
      </c>
      <c r="C4413" s="380" t="str">
        <f>IFERROR(__xludf.DUMMYFUNCTION("""COMPUTED_VALUE"""),"60000285")</f>
        <v>60000285</v>
      </c>
      <c r="D4413" s="380" t="s">
        <v>767</v>
      </c>
      <c r="E4413" s="380" t="s">
        <v>875</v>
      </c>
      <c r="F4413" s="380" t="s">
        <v>976</v>
      </c>
      <c r="G4413" s="380" t="s">
        <v>1267</v>
      </c>
      <c r="H4413" s="380" t="s">
        <v>771</v>
      </c>
      <c r="I4413" s="380" t="s">
        <v>788</v>
      </c>
      <c r="J4413" s="380" t="s">
        <v>773</v>
      </c>
      <c r="K4413" s="381">
        <v>0.0</v>
      </c>
      <c r="L4413" s="382">
        <v>1.0</v>
      </c>
    </row>
    <row r="4414">
      <c r="A4414" s="380" t="s">
        <v>5282</v>
      </c>
      <c r="B4414" s="380" t="str">
        <f>IFERROR(__xludf.DUMMYFUNCTION("""COMPUTED_VALUE"""),"Banda Infe303418E8/2U0/V5hMtNegraW=45")</f>
        <v>Banda Infe303418E8/2U0/V5hMtNegraW=45</v>
      </c>
      <c r="C4414" s="380" t="str">
        <f>IFERROR(__xludf.DUMMYFUNCTION("""COMPUTED_VALUE"""),"60000286")</f>
        <v>60000286</v>
      </c>
      <c r="D4414" s="380" t="s">
        <v>767</v>
      </c>
      <c r="E4414" s="380" t="s">
        <v>875</v>
      </c>
      <c r="F4414" s="380" t="s">
        <v>976</v>
      </c>
      <c r="G4414" s="380" t="s">
        <v>1267</v>
      </c>
      <c r="H4414" s="380" t="s">
        <v>771</v>
      </c>
      <c r="I4414" s="380" t="s">
        <v>788</v>
      </c>
      <c r="J4414" s="380" t="s">
        <v>773</v>
      </c>
      <c r="K4414" s="381">
        <v>0.0</v>
      </c>
      <c r="L4414" s="382">
        <v>1.0</v>
      </c>
    </row>
    <row r="4415">
      <c r="A4415" s="380" t="s">
        <v>5283</v>
      </c>
      <c r="B4415" s="380" t="str">
        <f>IFERROR(__xludf.DUMMYFUNCTION("""COMPUTED_VALUE"""),"Banda Infe 30L3591E8/2U0/V5hMtNegraW=45")</f>
        <v>Banda Infe 30L3591E8/2U0/V5hMtNegraW=45</v>
      </c>
      <c r="C4415" s="380" t="str">
        <f>IFERROR(__xludf.DUMMYFUNCTION("""COMPUTED_VALUE"""),"60000287")</f>
        <v>60000287</v>
      </c>
      <c r="D4415" s="380" t="s">
        <v>767</v>
      </c>
      <c r="E4415" s="380" t="s">
        <v>875</v>
      </c>
      <c r="F4415" s="380" t="s">
        <v>976</v>
      </c>
      <c r="G4415" s="380" t="s">
        <v>1267</v>
      </c>
      <c r="H4415" s="380" t="s">
        <v>771</v>
      </c>
      <c r="I4415" s="380" t="s">
        <v>788</v>
      </c>
      <c r="J4415" s="380" t="s">
        <v>773</v>
      </c>
      <c r="K4415" s="381">
        <v>0.0</v>
      </c>
      <c r="L4415" s="382">
        <v>1.0</v>
      </c>
    </row>
    <row r="4416">
      <c r="A4416" s="380" t="s">
        <v>5284</v>
      </c>
      <c r="B4416" s="380" t="str">
        <f>IFERROR(__xludf.DUMMYFUNCTION("""COMPUTED_VALUE"""),"Banda Infe 30L3763E8/2U0/V5hMtNegraW=45")</f>
        <v>Banda Infe 30L3763E8/2U0/V5hMtNegraW=45</v>
      </c>
      <c r="C4416" s="380" t="str">
        <f>IFERROR(__xludf.DUMMYFUNCTION("""COMPUTED_VALUE"""),"60000288")</f>
        <v>60000288</v>
      </c>
      <c r="D4416" s="380" t="s">
        <v>767</v>
      </c>
      <c r="E4416" s="380" t="s">
        <v>875</v>
      </c>
      <c r="F4416" s="380" t="s">
        <v>976</v>
      </c>
      <c r="G4416" s="380" t="s">
        <v>1267</v>
      </c>
      <c r="H4416" s="380" t="s">
        <v>771</v>
      </c>
      <c r="I4416" s="380" t="s">
        <v>788</v>
      </c>
      <c r="J4416" s="380" t="s">
        <v>773</v>
      </c>
      <c r="K4416" s="381">
        <v>0.0</v>
      </c>
      <c r="L4416" s="382">
        <v>1.0</v>
      </c>
    </row>
    <row r="4417">
      <c r="A4417" s="380" t="s">
        <v>5285</v>
      </c>
      <c r="B4417" s="380" t="str">
        <f>IFERROR(__xludf.DUMMYFUNCTION("""COMPUTED_VALUE"""),"Banda Infe 30L3935E8/2U0/V5hMtNegraW=45")</f>
        <v>Banda Infe 30L3935E8/2U0/V5hMtNegraW=45</v>
      </c>
      <c r="C4417" s="380" t="str">
        <f>IFERROR(__xludf.DUMMYFUNCTION("""COMPUTED_VALUE"""),"60000289")</f>
        <v>60000289</v>
      </c>
      <c r="D4417" s="380" t="s">
        <v>767</v>
      </c>
      <c r="E4417" s="380" t="s">
        <v>875</v>
      </c>
      <c r="F4417" s="380" t="s">
        <v>976</v>
      </c>
      <c r="G4417" s="380" t="s">
        <v>1267</v>
      </c>
      <c r="H4417" s="380" t="s">
        <v>771</v>
      </c>
      <c r="I4417" s="380" t="s">
        <v>788</v>
      </c>
      <c r="J4417" s="380" t="s">
        <v>773</v>
      </c>
      <c r="K4417" s="381">
        <v>0.0</v>
      </c>
      <c r="L4417" s="382">
        <v>1.0</v>
      </c>
    </row>
    <row r="4418">
      <c r="A4418" s="380" t="s">
        <v>5286</v>
      </c>
      <c r="B4418" s="380" t="str">
        <f>IFERROR(__xludf.DUMMYFUNCTION("""COMPUTED_VALUE"""),"Banda Infe 30L4108E8/2U0/V5hMtNegra W=45")</f>
        <v>Banda Infe 30L4108E8/2U0/V5hMtNegra W=45</v>
      </c>
      <c r="C4418" s="380" t="str">
        <f>IFERROR(__xludf.DUMMYFUNCTION("""COMPUTED_VALUE"""),"60000290")</f>
        <v>60000290</v>
      </c>
      <c r="D4418" s="380" t="s">
        <v>767</v>
      </c>
      <c r="E4418" s="380" t="s">
        <v>875</v>
      </c>
      <c r="F4418" s="380" t="s">
        <v>976</v>
      </c>
      <c r="G4418" s="380" t="s">
        <v>1267</v>
      </c>
      <c r="H4418" s="380" t="s">
        <v>771</v>
      </c>
      <c r="I4418" s="380" t="s">
        <v>788</v>
      </c>
      <c r="J4418" s="380" t="s">
        <v>773</v>
      </c>
      <c r="K4418" s="381">
        <v>0.0</v>
      </c>
      <c r="L4418" s="382">
        <v>1.0</v>
      </c>
    </row>
    <row r="4419">
      <c r="A4419" s="380" t="s">
        <v>5287</v>
      </c>
      <c r="B4419" s="380" t="str">
        <f>IFERROR(__xludf.DUMMYFUNCTION("""COMPUTED_VALUE"""),"Estera Filtrante 289X289 X 17 Mm 3173100")</f>
        <v>Estera Filtrante 289X289 X 17 Mm 3173100</v>
      </c>
      <c r="C4419" s="380" t="str">
        <f>IFERROR(__xludf.DUMMYFUNCTION("""COMPUTED_VALUE"""),"60000291")</f>
        <v>60000291</v>
      </c>
      <c r="D4419" s="380" t="s">
        <v>767</v>
      </c>
      <c r="E4419" s="380" t="s">
        <v>875</v>
      </c>
      <c r="F4419" s="380" t="s">
        <v>5288</v>
      </c>
      <c r="G4419" s="380" t="s">
        <v>1267</v>
      </c>
      <c r="H4419" s="380" t="s">
        <v>771</v>
      </c>
      <c r="I4419" s="380" t="s">
        <v>788</v>
      </c>
      <c r="J4419" s="380" t="s">
        <v>773</v>
      </c>
      <c r="K4419" s="381">
        <v>0.0</v>
      </c>
      <c r="L4419" s="382">
        <v>1.0</v>
      </c>
    </row>
    <row r="4420">
      <c r="A4420" s="380" t="s">
        <v>5289</v>
      </c>
      <c r="B4420" s="380" t="str">
        <f>IFERROR(__xludf.DUMMYFUNCTION("""COMPUTED_VALUE"""),"Aceite Piston Fluid (5 Litros) Comp")</f>
        <v>Aceite Piston Fluid (5 Litros) Comp</v>
      </c>
      <c r="C4420" s="380" t="str">
        <f>IFERROR(__xludf.DUMMYFUNCTION("""COMPUTED_VALUE"""),"60000292")</f>
        <v>60000292</v>
      </c>
      <c r="D4420" s="380" t="s">
        <v>767</v>
      </c>
      <c r="E4420" s="380" t="s">
        <v>875</v>
      </c>
      <c r="F4420" s="380" t="s">
        <v>5288</v>
      </c>
      <c r="G4420" s="380" t="s">
        <v>1267</v>
      </c>
      <c r="H4420" s="380" t="s">
        <v>771</v>
      </c>
      <c r="I4420" s="380" t="s">
        <v>788</v>
      </c>
      <c r="J4420" s="380" t="s">
        <v>773</v>
      </c>
      <c r="K4420" s="381">
        <v>0.0</v>
      </c>
      <c r="L4420" s="382">
        <v>1.0</v>
      </c>
    </row>
    <row r="4421">
      <c r="A4421" s="380" t="s">
        <v>5290</v>
      </c>
      <c r="B4421" s="380" t="str">
        <f>IFERROR(__xludf.DUMMYFUNCTION("""COMPUTED_VALUE"""),"Rodillo D50 Eje D14 Ext15 Mm (2x), M8 Rm")</f>
        <v>Rodillo D50 Eje D14 Ext15 Mm (2x), M8 Rm</v>
      </c>
      <c r="C4421" s="380" t="str">
        <f>IFERROR(__xludf.DUMMYFUNCTION("""COMPUTED_VALUE"""),"60000293")</f>
        <v>60000293</v>
      </c>
      <c r="D4421" s="380" t="s">
        <v>767</v>
      </c>
      <c r="E4421" s="380" t="s">
        <v>875</v>
      </c>
      <c r="F4421" s="380" t="s">
        <v>976</v>
      </c>
      <c r="G4421" s="380" t="s">
        <v>1267</v>
      </c>
      <c r="H4421" s="380" t="s">
        <v>771</v>
      </c>
      <c r="I4421" s="380" t="s">
        <v>788</v>
      </c>
      <c r="J4421" s="380" t="s">
        <v>773</v>
      </c>
      <c r="K4421" s="381">
        <v>0.0</v>
      </c>
      <c r="L4421" s="382">
        <v>1.0</v>
      </c>
    </row>
    <row r="4422">
      <c r="A4422" s="380" t="s">
        <v>5291</v>
      </c>
      <c r="B4422" s="380" t="str">
        <f>IFERROR(__xludf.DUMMYFUNCTION("""COMPUTED_VALUE"""),"Banda Infe 30L1351 E8/2U0/V5hMtNegraW=45")</f>
        <v>Banda Infe 30L1351 E8/2U0/V5hMtNegraW=45</v>
      </c>
      <c r="C4422" s="380" t="str">
        <f>IFERROR(__xludf.DUMMYFUNCTION("""COMPUTED_VALUE"""),"60000301")</f>
        <v>60000301</v>
      </c>
      <c r="D4422" s="380" t="s">
        <v>767</v>
      </c>
      <c r="E4422" s="380" t="s">
        <v>875</v>
      </c>
      <c r="F4422" s="380" t="s">
        <v>976</v>
      </c>
      <c r="G4422" s="380" t="s">
        <v>1267</v>
      </c>
      <c r="H4422" s="380" t="s">
        <v>771</v>
      </c>
      <c r="I4422" s="380" t="s">
        <v>788</v>
      </c>
      <c r="J4422" s="380" t="s">
        <v>773</v>
      </c>
      <c r="K4422" s="381">
        <v>0.0</v>
      </c>
      <c r="L4422" s="382">
        <v>1.0</v>
      </c>
    </row>
    <row r="4423">
      <c r="A4423" s="380" t="s">
        <v>5292</v>
      </c>
      <c r="B4423" s="380" t="str">
        <f>IFERROR(__xludf.DUMMYFUNCTION("""COMPUTED_VALUE"""),"Neumatico 750 X 16")</f>
        <v>Neumatico 750 X 16</v>
      </c>
      <c r="C4423" s="380" t="str">
        <f>IFERROR(__xludf.DUMMYFUNCTION("""COMPUTED_VALUE"""),"60000310")</f>
        <v>60000310</v>
      </c>
      <c r="D4423" s="380" t="s">
        <v>767</v>
      </c>
      <c r="E4423" s="380" t="s">
        <v>875</v>
      </c>
      <c r="F4423" s="380" t="s">
        <v>5293</v>
      </c>
      <c r="G4423" s="380" t="s">
        <v>1267</v>
      </c>
      <c r="H4423" s="380" t="s">
        <v>771</v>
      </c>
      <c r="I4423" s="380" t="s">
        <v>986</v>
      </c>
      <c r="J4423" s="380" t="s">
        <v>773</v>
      </c>
      <c r="K4423" s="381">
        <v>57893.0</v>
      </c>
      <c r="L4423" s="382">
        <v>1.0</v>
      </c>
    </row>
    <row r="4424">
      <c r="A4424" s="380" t="s">
        <v>5294</v>
      </c>
      <c r="B4424" s="380" t="str">
        <f>IFERROR(__xludf.DUMMYFUNCTION("""COMPUTED_VALUE"""),"Neumatico Nhr 700-15 Nhr")</f>
        <v>Neumatico Nhr 700-15 Nhr</v>
      </c>
      <c r="C4424" s="380" t="str">
        <f>IFERROR(__xludf.DUMMYFUNCTION("""COMPUTED_VALUE"""),"60000311")</f>
        <v>60000311</v>
      </c>
      <c r="D4424" s="380" t="s">
        <v>767</v>
      </c>
      <c r="E4424" s="380" t="s">
        <v>875</v>
      </c>
      <c r="F4424" s="380" t="s">
        <v>985</v>
      </c>
      <c r="G4424" s="380" t="s">
        <v>1267</v>
      </c>
      <c r="H4424" s="380" t="s">
        <v>771</v>
      </c>
      <c r="I4424" s="380" t="s">
        <v>986</v>
      </c>
      <c r="J4424" s="380" t="s">
        <v>773</v>
      </c>
      <c r="K4424" s="381">
        <v>44122.0</v>
      </c>
      <c r="L4424" s="382">
        <v>1.0</v>
      </c>
    </row>
    <row r="4425">
      <c r="A4425" s="380" t="s">
        <v>5295</v>
      </c>
      <c r="B4425" s="380" t="str">
        <f>IFERROR(__xludf.DUMMYFUNCTION("""COMPUTED_VALUE"""),"Rin De Disco Americano 445/50 R22 5X14 """)</f>
        <v>Rin De Disco Americano 445/50 R22 5X14 "</v>
      </c>
      <c r="C4425" s="380" t="str">
        <f>IFERROR(__xludf.DUMMYFUNCTION("""COMPUTED_VALUE"""),"60000312")</f>
        <v>60000312</v>
      </c>
      <c r="D4425" s="380" t="s">
        <v>767</v>
      </c>
      <c r="E4425" s="380" t="s">
        <v>875</v>
      </c>
      <c r="F4425" s="380" t="s">
        <v>985</v>
      </c>
      <c r="G4425" s="380" t="s">
        <v>1267</v>
      </c>
      <c r="H4425" s="380" t="s">
        <v>771</v>
      </c>
      <c r="I4425" s="380" t="s">
        <v>986</v>
      </c>
      <c r="J4425" s="380" t="s">
        <v>773</v>
      </c>
      <c r="K4425" s="381">
        <v>0.0</v>
      </c>
      <c r="L4425" s="382">
        <v>1.0</v>
      </c>
    </row>
    <row r="4426">
      <c r="A4426" s="380" t="s">
        <v>5296</v>
      </c>
      <c r="B4426" s="380" t="str">
        <f>IFERROR(__xludf.DUMMYFUNCTION("""COMPUTED_VALUE"""),"Aro Suplemento Rin 1/2""")</f>
        <v>Aro Suplemento Rin 1/2"</v>
      </c>
      <c r="C4426" s="380" t="str">
        <f>IFERROR(__xludf.DUMMYFUNCTION("""COMPUTED_VALUE"""),"60000313")</f>
        <v>60000313</v>
      </c>
      <c r="D4426" s="380" t="s">
        <v>767</v>
      </c>
      <c r="E4426" s="380" t="s">
        <v>875</v>
      </c>
      <c r="F4426" s="380" t="s">
        <v>985</v>
      </c>
      <c r="G4426" s="380" t="s">
        <v>1267</v>
      </c>
      <c r="H4426" s="380" t="s">
        <v>771</v>
      </c>
      <c r="I4426" s="380" t="s">
        <v>986</v>
      </c>
      <c r="J4426" s="380" t="s">
        <v>773</v>
      </c>
      <c r="K4426" s="381">
        <v>0.0</v>
      </c>
      <c r="L4426" s="382">
        <v>1.0</v>
      </c>
    </row>
    <row r="4427">
      <c r="A4427" s="380" t="s">
        <v>5297</v>
      </c>
      <c r="B4427" s="380" t="str">
        <f>IFERROR(__xludf.DUMMYFUNCTION("""COMPUTED_VALUE"""),"Capuchon Rueda Tras Izq Hino 4263255031")</f>
        <v>Capuchon Rueda Tras Izq Hino 4263255031</v>
      </c>
      <c r="C4427" s="380" t="str">
        <f>IFERROR(__xludf.DUMMYFUNCTION("""COMPUTED_VALUE"""),"60000314")</f>
        <v>60000314</v>
      </c>
      <c r="D4427" s="380" t="s">
        <v>767</v>
      </c>
      <c r="E4427" s="380" t="s">
        <v>875</v>
      </c>
      <c r="F4427" s="380" t="s">
        <v>985</v>
      </c>
      <c r="G4427" s="380" t="s">
        <v>1267</v>
      </c>
      <c r="H4427" s="380" t="s">
        <v>771</v>
      </c>
      <c r="I4427" s="380" t="s">
        <v>986</v>
      </c>
      <c r="J4427" s="380" t="s">
        <v>773</v>
      </c>
      <c r="K4427" s="381">
        <v>0.0</v>
      </c>
      <c r="L4427" s="382">
        <v>1.0</v>
      </c>
    </row>
    <row r="4428">
      <c r="A4428" s="380" t="s">
        <v>5298</v>
      </c>
      <c r="B4428" s="380" t="str">
        <f>IFERROR(__xludf.DUMMYFUNCTION("""COMPUTED_VALUE"""),"Tuerca Rueda Tras Izq Hino DPC4263455030")</f>
        <v>Tuerca Rueda Tras Izq Hino DPC4263455030</v>
      </c>
      <c r="C4428" s="380" t="str">
        <f>IFERROR(__xludf.DUMMYFUNCTION("""COMPUTED_VALUE"""),"60000315")</f>
        <v>60000315</v>
      </c>
      <c r="D4428" s="380" t="s">
        <v>767</v>
      </c>
      <c r="E4428" s="380" t="s">
        <v>875</v>
      </c>
      <c r="F4428" s="380" t="s">
        <v>985</v>
      </c>
      <c r="G4428" s="380" t="s">
        <v>1267</v>
      </c>
      <c r="H4428" s="380" t="s">
        <v>771</v>
      </c>
      <c r="I4428" s="380" t="s">
        <v>986</v>
      </c>
      <c r="J4428" s="380" t="s">
        <v>773</v>
      </c>
      <c r="K4428" s="381">
        <v>0.0</v>
      </c>
      <c r="L4428" s="382">
        <v>1.0</v>
      </c>
    </row>
    <row r="4429">
      <c r="A4429" s="380" t="s">
        <v>5299</v>
      </c>
      <c r="B4429" s="380" t="str">
        <f>IFERROR(__xludf.DUMMYFUNCTION("""COMPUTED_VALUE"""),"Esparrag Rda Tras Izq Hino DPC9094202072")</f>
        <v>Esparrag Rda Tras Izq Hino DPC9094202072</v>
      </c>
      <c r="C4429" s="380" t="str">
        <f>IFERROR(__xludf.DUMMYFUNCTION("""COMPUTED_VALUE"""),"60000316")</f>
        <v>60000316</v>
      </c>
      <c r="D4429" s="380" t="s">
        <v>767</v>
      </c>
      <c r="E4429" s="380" t="s">
        <v>875</v>
      </c>
      <c r="F4429" s="380" t="s">
        <v>985</v>
      </c>
      <c r="G4429" s="380" t="s">
        <v>1267</v>
      </c>
      <c r="H4429" s="380" t="s">
        <v>771</v>
      </c>
      <c r="I4429" s="380" t="s">
        <v>986</v>
      </c>
      <c r="J4429" s="380" t="s">
        <v>773</v>
      </c>
      <c r="K4429" s="381">
        <v>0.0</v>
      </c>
      <c r="L4429" s="382">
        <v>1.0</v>
      </c>
    </row>
    <row r="4430">
      <c r="A4430" s="380" t="s">
        <v>5300</v>
      </c>
      <c r="B4430" s="380" t="str">
        <f>IFERROR(__xludf.DUMMYFUNCTION("""COMPUTED_VALUE"""),"Capuch Esparr Rda Tras Izq Npr8973598060")</f>
        <v>Capuch Esparr Rda Tras Izq Npr8973598060</v>
      </c>
      <c r="C4430" s="380" t="str">
        <f>IFERROR(__xludf.DUMMYFUNCTION("""COMPUTED_VALUE"""),"60000317")</f>
        <v>60000317</v>
      </c>
      <c r="D4430" s="380" t="s">
        <v>767</v>
      </c>
      <c r="E4430" s="380" t="s">
        <v>875</v>
      </c>
      <c r="F4430" s="380" t="s">
        <v>985</v>
      </c>
      <c r="G4430" s="380" t="s">
        <v>1267</v>
      </c>
      <c r="H4430" s="380" t="s">
        <v>771</v>
      </c>
      <c r="I4430" s="380" t="s">
        <v>986</v>
      </c>
      <c r="J4430" s="380" t="s">
        <v>773</v>
      </c>
      <c r="K4430" s="381">
        <v>0.0</v>
      </c>
      <c r="L4430" s="382">
        <v>1.0</v>
      </c>
    </row>
    <row r="4431">
      <c r="A4431" s="380" t="s">
        <v>5301</v>
      </c>
      <c r="B4431" s="380" t="str">
        <f>IFERROR(__xludf.DUMMYFUNCTION("""COMPUTED_VALUE"""),"Banda Para Llanta")</f>
        <v>Banda Para Llanta</v>
      </c>
      <c r="C4431" s="380" t="str">
        <f>IFERROR(__xludf.DUMMYFUNCTION("""COMPUTED_VALUE"""),"60000318")</f>
        <v>60000318</v>
      </c>
      <c r="D4431" s="380" t="s">
        <v>767</v>
      </c>
      <c r="E4431" s="380" t="s">
        <v>875</v>
      </c>
      <c r="F4431" s="380" t="s">
        <v>985</v>
      </c>
      <c r="G4431" s="380" t="s">
        <v>1267</v>
      </c>
      <c r="H4431" s="380" t="s">
        <v>771</v>
      </c>
      <c r="I4431" s="380" t="s">
        <v>986</v>
      </c>
      <c r="J4431" s="380" t="s">
        <v>773</v>
      </c>
      <c r="K4431" s="381">
        <v>0.0</v>
      </c>
      <c r="L4431" s="382">
        <v>1.0</v>
      </c>
    </row>
    <row r="4432">
      <c r="A4432" s="380" t="s">
        <v>5302</v>
      </c>
      <c r="B4432" s="380" t="str">
        <f>IFERROR(__xludf.DUMMYFUNCTION("""COMPUTED_VALUE"""),"Rin Chevrolet Frr 17 5 X 6 75 6-Huecos")</f>
        <v>Rin Chevrolet Frr 17 5 X 6 75 6-Huecos</v>
      </c>
      <c r="C4432" s="380" t="str">
        <f>IFERROR(__xludf.DUMMYFUNCTION("""COMPUTED_VALUE"""),"60000319")</f>
        <v>60000319</v>
      </c>
      <c r="D4432" s="380" t="s">
        <v>767</v>
      </c>
      <c r="E4432" s="380" t="s">
        <v>875</v>
      </c>
      <c r="F4432" s="380" t="s">
        <v>985</v>
      </c>
      <c r="G4432" s="380" t="s">
        <v>1267</v>
      </c>
      <c r="H4432" s="380" t="s">
        <v>771</v>
      </c>
      <c r="I4432" s="380" t="s">
        <v>986</v>
      </c>
      <c r="J4432" s="380" t="s">
        <v>773</v>
      </c>
      <c r="K4432" s="381">
        <v>0.0</v>
      </c>
      <c r="L4432" s="382">
        <v>1.0</v>
      </c>
    </row>
    <row r="4433">
      <c r="A4433" s="380" t="s">
        <v>5303</v>
      </c>
      <c r="B4433" s="380" t="str">
        <f>IFERROR(__xludf.DUMMYFUNCTION("""COMPUTED_VALUE"""),"Rin Sellomatic Chevrolet N200 24525839")</f>
        <v>Rin Sellomatic Chevrolet N200 24525839</v>
      </c>
      <c r="C4433" s="380" t="str">
        <f>IFERROR(__xludf.DUMMYFUNCTION("""COMPUTED_VALUE"""),"60000320")</f>
        <v>60000320</v>
      </c>
      <c r="D4433" s="380" t="s">
        <v>767</v>
      </c>
      <c r="E4433" s="380" t="s">
        <v>875</v>
      </c>
      <c r="F4433" s="380" t="s">
        <v>985</v>
      </c>
      <c r="G4433" s="380" t="s">
        <v>1267</v>
      </c>
      <c r="H4433" s="380" t="s">
        <v>771</v>
      </c>
      <c r="I4433" s="380" t="s">
        <v>986</v>
      </c>
      <c r="J4433" s="380" t="s">
        <v>773</v>
      </c>
      <c r="K4433" s="381">
        <v>62959.0</v>
      </c>
      <c r="L4433" s="382">
        <v>1.0</v>
      </c>
    </row>
    <row r="4434">
      <c r="A4434" s="380" t="s">
        <v>5304</v>
      </c>
      <c r="B4434" s="380" t="str">
        <f>IFERROR(__xludf.DUMMYFUNCTION("""COMPUTED_VALUE"""),"Perno Cubo Rueda Del Izq Nkr 8943834372")</f>
        <v>Perno Cubo Rueda Del Izq Nkr 8943834372</v>
      </c>
      <c r="C4434" s="380" t="str">
        <f>IFERROR(__xludf.DUMMYFUNCTION("""COMPUTED_VALUE"""),"60000321")</f>
        <v>60000321</v>
      </c>
      <c r="D4434" s="380" t="s">
        <v>767</v>
      </c>
      <c r="E4434" s="380" t="s">
        <v>875</v>
      </c>
      <c r="F4434" s="380" t="s">
        <v>985</v>
      </c>
      <c r="G4434" s="380" t="s">
        <v>1267</v>
      </c>
      <c r="H4434" s="380" t="s">
        <v>771</v>
      </c>
      <c r="I4434" s="380" t="s">
        <v>986</v>
      </c>
      <c r="J4434" s="380" t="s">
        <v>773</v>
      </c>
      <c r="K4434" s="381">
        <v>0.0</v>
      </c>
      <c r="L4434" s="382">
        <v>1.0</v>
      </c>
    </row>
    <row r="4435">
      <c r="A4435" s="380" t="s">
        <v>5305</v>
      </c>
      <c r="B4435" s="380" t="str">
        <f>IFERROR(__xludf.DUMMYFUNCTION("""COMPUTED_VALUE"""),"Tuerca Externa Del Izq Nkr 8980079080")</f>
        <v>Tuerca Externa Del Izq Nkr 8980079080</v>
      </c>
      <c r="C4435" s="380" t="str">
        <f>IFERROR(__xludf.DUMMYFUNCTION("""COMPUTED_VALUE"""),"60000322")</f>
        <v>60000322</v>
      </c>
      <c r="D4435" s="380" t="s">
        <v>767</v>
      </c>
      <c r="E4435" s="380" t="s">
        <v>875</v>
      </c>
      <c r="F4435" s="380" t="s">
        <v>985</v>
      </c>
      <c r="G4435" s="380" t="s">
        <v>1267</v>
      </c>
      <c r="H4435" s="380" t="s">
        <v>771</v>
      </c>
      <c r="I4435" s="380" t="s">
        <v>986</v>
      </c>
      <c r="J4435" s="380" t="s">
        <v>773</v>
      </c>
      <c r="K4435" s="381">
        <v>0.0</v>
      </c>
      <c r="L4435" s="382">
        <v>1.0</v>
      </c>
    </row>
    <row r="4436">
      <c r="A4436" s="380" t="s">
        <v>5306</v>
      </c>
      <c r="B4436" s="380" t="str">
        <f>IFERROR(__xludf.DUMMYFUNCTION("""COMPUTED_VALUE"""),"Pesa Gancho Aro 6 Onzas Tipo Pesado")</f>
        <v>Pesa Gancho Aro 6 Onzas Tipo Pesado</v>
      </c>
      <c r="C4436" s="380" t="str">
        <f>IFERROR(__xludf.DUMMYFUNCTION("""COMPUTED_VALUE"""),"60000323")</f>
        <v>60000323</v>
      </c>
      <c r="D4436" s="380" t="s">
        <v>767</v>
      </c>
      <c r="E4436" s="380" t="s">
        <v>875</v>
      </c>
      <c r="F4436" s="380" t="s">
        <v>985</v>
      </c>
      <c r="G4436" s="380" t="s">
        <v>1267</v>
      </c>
      <c r="H4436" s="380" t="s">
        <v>771</v>
      </c>
      <c r="I4436" s="380" t="s">
        <v>986</v>
      </c>
      <c r="J4436" s="380" t="s">
        <v>773</v>
      </c>
      <c r="K4436" s="381">
        <v>8288.0</v>
      </c>
      <c r="L4436" s="382">
        <v>1.0</v>
      </c>
    </row>
    <row r="4437">
      <c r="A4437" s="380" t="s">
        <v>5307</v>
      </c>
      <c r="B4437" s="380" t="str">
        <f>IFERROR(__xludf.DUMMYFUNCTION("""COMPUTED_VALUE"""),"Pesa Barra Adhesiv 1/2-14grX12 R/Alumini")</f>
        <v>Pesa Barra Adhesiv 1/2-14grX12 R/Alumini</v>
      </c>
      <c r="C4437" s="380" t="str">
        <f>IFERROR(__xludf.DUMMYFUNCTION("""COMPUTED_VALUE"""),"60000324")</f>
        <v>60000324</v>
      </c>
      <c r="D4437" s="380" t="s">
        <v>767</v>
      </c>
      <c r="E4437" s="380" t="s">
        <v>875</v>
      </c>
      <c r="F4437" s="380" t="s">
        <v>985</v>
      </c>
      <c r="G4437" s="380" t="s">
        <v>1267</v>
      </c>
      <c r="H4437" s="380" t="s">
        <v>771</v>
      </c>
      <c r="I4437" s="380" t="s">
        <v>986</v>
      </c>
      <c r="J4437" s="380" t="s">
        <v>773</v>
      </c>
      <c r="K4437" s="381">
        <v>1792.0</v>
      </c>
      <c r="L4437" s="382">
        <v>1.0</v>
      </c>
    </row>
    <row r="4438">
      <c r="A4438" s="380" t="s">
        <v>5308</v>
      </c>
      <c r="B4438" s="380" t="str">
        <f>IFERROR(__xludf.DUMMYFUNCTION("""COMPUTED_VALUE"""),"Gusanillo Neumatico")</f>
        <v>Gusanillo Neumatico</v>
      </c>
      <c r="C4438" s="380" t="str">
        <f>IFERROR(__xludf.DUMMYFUNCTION("""COMPUTED_VALUE"""),"60000325")</f>
        <v>60000325</v>
      </c>
      <c r="D4438" s="380" t="s">
        <v>767</v>
      </c>
      <c r="E4438" s="380" t="s">
        <v>875</v>
      </c>
      <c r="F4438" s="380" t="s">
        <v>5293</v>
      </c>
      <c r="G4438" s="380" t="s">
        <v>1267</v>
      </c>
      <c r="H4438" s="380" t="s">
        <v>771</v>
      </c>
      <c r="I4438" s="380" t="s">
        <v>986</v>
      </c>
      <c r="J4438" s="380" t="s">
        <v>773</v>
      </c>
      <c r="K4438" s="381">
        <v>327.0</v>
      </c>
      <c r="L4438" s="382">
        <v>1.0</v>
      </c>
    </row>
    <row r="4439">
      <c r="A4439" s="380" t="s">
        <v>5309</v>
      </c>
      <c r="B4439" s="380" t="str">
        <f>IFERROR(__xludf.DUMMYFUNCTION("""COMPUTED_VALUE"""),"Rin Disco 22.5 Trailer Extr Larg 02117RC")</f>
        <v>Rin Disco 22.5 Trailer Extr Larg 02117RC</v>
      </c>
      <c r="C4439" s="380" t="str">
        <f>IFERROR(__xludf.DUMMYFUNCTION("""COMPUTED_VALUE"""),"60000326")</f>
        <v>60000326</v>
      </c>
      <c r="D4439" s="380" t="s">
        <v>767</v>
      </c>
      <c r="E4439" s="380" t="s">
        <v>875</v>
      </c>
      <c r="F4439" s="380" t="s">
        <v>985</v>
      </c>
      <c r="G4439" s="380" t="s">
        <v>1267</v>
      </c>
      <c r="H4439" s="380" t="s">
        <v>771</v>
      </c>
      <c r="I4439" s="380" t="s">
        <v>986</v>
      </c>
      <c r="J4439" s="380" t="s">
        <v>773</v>
      </c>
      <c r="K4439" s="381">
        <v>388334.0</v>
      </c>
      <c r="L4439" s="382">
        <v>1.0</v>
      </c>
    </row>
    <row r="4440">
      <c r="A4440" s="380" t="s">
        <v>5310</v>
      </c>
      <c r="B4440" s="380" t="str">
        <f>IFERROR(__xludf.DUMMYFUNCTION("""COMPUTED_VALUE"""),"Rin 17.5 Sellomatic Rw Nkr III")</f>
        <v>Rin 17.5 Sellomatic Rw Nkr III</v>
      </c>
      <c r="C4440" s="380" t="str">
        <f>IFERROR(__xludf.DUMMYFUNCTION("""COMPUTED_VALUE"""),"60000327")</f>
        <v>60000327</v>
      </c>
      <c r="D4440" s="380" t="s">
        <v>767</v>
      </c>
      <c r="E4440" s="380" t="s">
        <v>875</v>
      </c>
      <c r="F4440" s="380" t="s">
        <v>985</v>
      </c>
      <c r="G4440" s="380" t="s">
        <v>1267</v>
      </c>
      <c r="H4440" s="380" t="s">
        <v>771</v>
      </c>
      <c r="I4440" s="380" t="s">
        <v>986</v>
      </c>
      <c r="J4440" s="380" t="s">
        <v>773</v>
      </c>
      <c r="K4440" s="381">
        <v>0.0</v>
      </c>
      <c r="L4440" s="382">
        <v>1.0</v>
      </c>
    </row>
    <row r="4441">
      <c r="A4441" s="380" t="s">
        <v>5311</v>
      </c>
      <c r="B4441" s="380" t="str">
        <f>IFERROR(__xludf.DUMMYFUNCTION("""COMPUTED_VALUE"""),"Pesa Gancho Aro 1 Onza Tipo Pesado")</f>
        <v>Pesa Gancho Aro 1 Onza Tipo Pesado</v>
      </c>
      <c r="C4441" s="380" t="str">
        <f>IFERROR(__xludf.DUMMYFUNCTION("""COMPUTED_VALUE"""),"60000328")</f>
        <v>60000328</v>
      </c>
      <c r="D4441" s="380" t="s">
        <v>767</v>
      </c>
      <c r="E4441" s="380" t="s">
        <v>875</v>
      </c>
      <c r="F4441" s="380" t="s">
        <v>985</v>
      </c>
      <c r="G4441" s="380" t="s">
        <v>1267</v>
      </c>
      <c r="H4441" s="380" t="s">
        <v>771</v>
      </c>
      <c r="I4441" s="380" t="s">
        <v>986</v>
      </c>
      <c r="J4441" s="380" t="s">
        <v>773</v>
      </c>
      <c r="K4441" s="381">
        <v>992.0</v>
      </c>
      <c r="L4441" s="382">
        <v>1.0</v>
      </c>
    </row>
    <row r="4442">
      <c r="A4442" s="380" t="s">
        <v>5312</v>
      </c>
      <c r="B4442" s="380" t="str">
        <f>IFERROR(__xludf.DUMMYFUNCTION("""COMPUTED_VALUE"""),"Pesa Gancho Aro 2 Onza Tipo Pesado")</f>
        <v>Pesa Gancho Aro 2 Onza Tipo Pesado</v>
      </c>
      <c r="C4442" s="380" t="str">
        <f>IFERROR(__xludf.DUMMYFUNCTION("""COMPUTED_VALUE"""),"60000329")</f>
        <v>60000329</v>
      </c>
      <c r="D4442" s="380" t="s">
        <v>767</v>
      </c>
      <c r="E4442" s="380" t="s">
        <v>875</v>
      </c>
      <c r="F4442" s="380" t="s">
        <v>985</v>
      </c>
      <c r="G4442" s="380" t="s">
        <v>1267</v>
      </c>
      <c r="H4442" s="380" t="s">
        <v>771</v>
      </c>
      <c r="I4442" s="380" t="s">
        <v>986</v>
      </c>
      <c r="J4442" s="380" t="s">
        <v>773</v>
      </c>
      <c r="K4442" s="381">
        <v>3620.0</v>
      </c>
      <c r="L4442" s="382">
        <v>1.0</v>
      </c>
    </row>
    <row r="4443">
      <c r="A4443" s="380" t="s">
        <v>5313</v>
      </c>
      <c r="B4443" s="380" t="str">
        <f>IFERROR(__xludf.DUMMYFUNCTION("""COMPUTED_VALUE"""),"Pesa Gancho Aro 3 Onzas Tipo Pesado")</f>
        <v>Pesa Gancho Aro 3 Onzas Tipo Pesado</v>
      </c>
      <c r="C4443" s="380" t="str">
        <f>IFERROR(__xludf.DUMMYFUNCTION("""COMPUTED_VALUE"""),"60000330")</f>
        <v>60000330</v>
      </c>
      <c r="D4443" s="380" t="s">
        <v>767</v>
      </c>
      <c r="E4443" s="380" t="s">
        <v>875</v>
      </c>
      <c r="F4443" s="380" t="s">
        <v>985</v>
      </c>
      <c r="G4443" s="380" t="s">
        <v>1267</v>
      </c>
      <c r="H4443" s="380" t="s">
        <v>771</v>
      </c>
      <c r="I4443" s="380" t="s">
        <v>986</v>
      </c>
      <c r="J4443" s="380" t="s">
        <v>773</v>
      </c>
      <c r="K4443" s="381">
        <v>4760.0</v>
      </c>
      <c r="L4443" s="382">
        <v>1.0</v>
      </c>
    </row>
    <row r="4444">
      <c r="A4444" s="380" t="s">
        <v>5314</v>
      </c>
      <c r="B4444" s="380" t="str">
        <f>IFERROR(__xludf.DUMMYFUNCTION("""COMPUTED_VALUE"""),"Pesa Gancho Aro 4 Onzas Tipo Pesado")</f>
        <v>Pesa Gancho Aro 4 Onzas Tipo Pesado</v>
      </c>
      <c r="C4444" s="380" t="str">
        <f>IFERROR(__xludf.DUMMYFUNCTION("""COMPUTED_VALUE"""),"60000331")</f>
        <v>60000331</v>
      </c>
      <c r="D4444" s="380" t="s">
        <v>767</v>
      </c>
      <c r="E4444" s="380" t="s">
        <v>875</v>
      </c>
      <c r="F4444" s="380" t="s">
        <v>985</v>
      </c>
      <c r="G4444" s="380" t="s">
        <v>1267</v>
      </c>
      <c r="H4444" s="380" t="s">
        <v>771</v>
      </c>
      <c r="I4444" s="380" t="s">
        <v>986</v>
      </c>
      <c r="J4444" s="380" t="s">
        <v>773</v>
      </c>
      <c r="K4444" s="381">
        <v>6183.0</v>
      </c>
      <c r="L4444" s="382">
        <v>1.0</v>
      </c>
    </row>
    <row r="4445">
      <c r="A4445" s="380" t="s">
        <v>5315</v>
      </c>
      <c r="B4445" s="380" t="str">
        <f>IFERROR(__xludf.DUMMYFUNCTION("""COMPUTED_VALUE"""),"Pesa Gancho Aro 5 Onzas Tipo Pesado")</f>
        <v>Pesa Gancho Aro 5 Onzas Tipo Pesado</v>
      </c>
      <c r="C4445" s="380" t="str">
        <f>IFERROR(__xludf.DUMMYFUNCTION("""COMPUTED_VALUE"""),"60000332")</f>
        <v>60000332</v>
      </c>
      <c r="D4445" s="380" t="s">
        <v>767</v>
      </c>
      <c r="E4445" s="380" t="s">
        <v>875</v>
      </c>
      <c r="F4445" s="380" t="s">
        <v>985</v>
      </c>
      <c r="G4445" s="380" t="s">
        <v>1267</v>
      </c>
      <c r="H4445" s="380" t="s">
        <v>771</v>
      </c>
      <c r="I4445" s="380" t="s">
        <v>986</v>
      </c>
      <c r="J4445" s="380" t="s">
        <v>773</v>
      </c>
      <c r="K4445" s="381">
        <v>7316.0</v>
      </c>
      <c r="L4445" s="382">
        <v>1.0</v>
      </c>
    </row>
    <row r="4446">
      <c r="A4446" s="380" t="s">
        <v>5316</v>
      </c>
      <c r="B4446" s="380" t="str">
        <f>IFERROR(__xludf.DUMMYFUNCTION("""COMPUTED_VALUE"""),"Parche Pang PP-5")</f>
        <v>Parche Pang PP-5</v>
      </c>
      <c r="C4446" s="380" t="str">
        <f>IFERROR(__xludf.DUMMYFUNCTION("""COMPUTED_VALUE"""),"60000333")</f>
        <v>60000333</v>
      </c>
      <c r="D4446" s="380" t="s">
        <v>767</v>
      </c>
      <c r="E4446" s="380" t="s">
        <v>875</v>
      </c>
      <c r="F4446" s="380" t="s">
        <v>5293</v>
      </c>
      <c r="G4446" s="380" t="s">
        <v>1267</v>
      </c>
      <c r="H4446" s="380" t="s">
        <v>771</v>
      </c>
      <c r="I4446" s="380" t="s">
        <v>986</v>
      </c>
      <c r="J4446" s="380" t="s">
        <v>773</v>
      </c>
      <c r="K4446" s="381">
        <v>0.0</v>
      </c>
      <c r="L4446" s="382">
        <v>1.0</v>
      </c>
    </row>
    <row r="4447">
      <c r="A4447" s="380" t="s">
        <v>5317</v>
      </c>
      <c r="B4447" s="380" t="str">
        <f>IFERROR(__xludf.DUMMYFUNCTION("""COMPUTED_VALUE"""),"Parche Pang PP-8")</f>
        <v>Parche Pang PP-8</v>
      </c>
      <c r="C4447" s="380" t="str">
        <f>IFERROR(__xludf.DUMMYFUNCTION("""COMPUTED_VALUE"""),"60000334")</f>
        <v>60000334</v>
      </c>
      <c r="D4447" s="380" t="s">
        <v>767</v>
      </c>
      <c r="E4447" s="380" t="s">
        <v>875</v>
      </c>
      <c r="F4447" s="380" t="s">
        <v>5293</v>
      </c>
      <c r="G4447" s="380" t="s">
        <v>1267</v>
      </c>
      <c r="H4447" s="380" t="s">
        <v>771</v>
      </c>
      <c r="I4447" s="380" t="s">
        <v>986</v>
      </c>
      <c r="J4447" s="380" t="s">
        <v>773</v>
      </c>
      <c r="K4447" s="381">
        <v>0.0</v>
      </c>
      <c r="L4447" s="382">
        <v>1.0</v>
      </c>
    </row>
    <row r="4448">
      <c r="A4448" s="380" t="s">
        <v>5318</v>
      </c>
      <c r="B4448" s="380" t="str">
        <f>IFERROR(__xludf.DUMMYFUNCTION("""COMPUTED_VALUE"""),"Pega Para Parche")</f>
        <v>Pega Para Parche</v>
      </c>
      <c r="C4448" s="380" t="str">
        <f>IFERROR(__xludf.DUMMYFUNCTION("""COMPUTED_VALUE"""),"60000335")</f>
        <v>60000335</v>
      </c>
      <c r="D4448" s="380" t="s">
        <v>767</v>
      </c>
      <c r="E4448" s="380" t="s">
        <v>875</v>
      </c>
      <c r="F4448" s="380" t="s">
        <v>5293</v>
      </c>
      <c r="G4448" s="380" t="s">
        <v>1267</v>
      </c>
      <c r="H4448" s="380" t="s">
        <v>771</v>
      </c>
      <c r="I4448" s="380" t="s">
        <v>986</v>
      </c>
      <c r="J4448" s="380" t="s">
        <v>773</v>
      </c>
      <c r="K4448" s="381">
        <v>0.0</v>
      </c>
      <c r="L4448" s="382">
        <v>1.0</v>
      </c>
    </row>
    <row r="4449">
      <c r="A4449" s="380" t="s">
        <v>5319</v>
      </c>
      <c r="B4449" s="380" t="str">
        <f>IFERROR(__xludf.DUMMYFUNCTION("""COMPUTED_VALUE"""),"Protector L-16")</f>
        <v>Protector L-16</v>
      </c>
      <c r="C4449" s="380" t="str">
        <f>IFERROR(__xludf.DUMMYFUNCTION("""COMPUTED_VALUE"""),"60000336")</f>
        <v>60000336</v>
      </c>
      <c r="D4449" s="380" t="s">
        <v>767</v>
      </c>
      <c r="E4449" s="380" t="s">
        <v>875</v>
      </c>
      <c r="F4449" s="380" t="s">
        <v>5293</v>
      </c>
      <c r="G4449" s="380" t="s">
        <v>1267</v>
      </c>
      <c r="H4449" s="380" t="s">
        <v>771</v>
      </c>
      <c r="I4449" s="380" t="s">
        <v>986</v>
      </c>
      <c r="J4449" s="380" t="s">
        <v>773</v>
      </c>
      <c r="K4449" s="381">
        <v>25266.0</v>
      </c>
      <c r="L4449" s="382">
        <v>1.0</v>
      </c>
    </row>
    <row r="4450">
      <c r="A4450" s="380" t="s">
        <v>5320</v>
      </c>
      <c r="B4450" s="380" t="str">
        <f>IFERROR(__xludf.DUMMYFUNCTION("""COMPUTED_VALUE"""),"Protector Nhr R-15")</f>
        <v>Protector Nhr R-15</v>
      </c>
      <c r="C4450" s="380" t="str">
        <f>IFERROR(__xludf.DUMMYFUNCTION("""COMPUTED_VALUE"""),"60000337")</f>
        <v>60000337</v>
      </c>
      <c r="D4450" s="380" t="s">
        <v>767</v>
      </c>
      <c r="E4450" s="380" t="s">
        <v>875</v>
      </c>
      <c r="F4450" s="380" t="s">
        <v>5293</v>
      </c>
      <c r="G4450" s="380" t="s">
        <v>1267</v>
      </c>
      <c r="H4450" s="380" t="s">
        <v>771</v>
      </c>
      <c r="I4450" s="380" t="s">
        <v>986</v>
      </c>
      <c r="J4450" s="380" t="s">
        <v>773</v>
      </c>
      <c r="K4450" s="381">
        <v>16793.0</v>
      </c>
      <c r="L4450" s="382">
        <v>1.0</v>
      </c>
    </row>
    <row r="4451">
      <c r="A4451" s="380" t="s">
        <v>5321</v>
      </c>
      <c r="B4451" s="380" t="str">
        <f>IFERROR(__xludf.DUMMYFUNCTION("""COMPUTED_VALUE"""),"Aro Rin 15 Nkr III - Nkr")</f>
        <v>Aro Rin 15 Nkr III - Nkr</v>
      </c>
      <c r="C4451" s="380" t="str">
        <f>IFERROR(__xludf.DUMMYFUNCTION("""COMPUTED_VALUE"""),"60000338")</f>
        <v>60000338</v>
      </c>
      <c r="D4451" s="380" t="s">
        <v>767</v>
      </c>
      <c r="E4451" s="380" t="s">
        <v>875</v>
      </c>
      <c r="F4451" s="380" t="s">
        <v>985</v>
      </c>
      <c r="G4451" s="380" t="s">
        <v>1267</v>
      </c>
      <c r="H4451" s="380" t="s">
        <v>771</v>
      </c>
      <c r="I4451" s="380" t="s">
        <v>986</v>
      </c>
      <c r="J4451" s="380" t="s">
        <v>773</v>
      </c>
      <c r="K4451" s="381">
        <v>91333.0</v>
      </c>
      <c r="L4451" s="382">
        <v>1.0</v>
      </c>
    </row>
    <row r="4452">
      <c r="A4452" s="380" t="s">
        <v>5322</v>
      </c>
      <c r="B4452" s="380" t="str">
        <f>IFERROR(__xludf.DUMMYFUNCTION("""COMPUTED_VALUE"""),"Rin 17 5 Sellomatic Chevrolet Nhr")</f>
        <v>Rin 17 5 Sellomatic Chevrolet Nhr</v>
      </c>
      <c r="C4452" s="380" t="str">
        <f>IFERROR(__xludf.DUMMYFUNCTION("""COMPUTED_VALUE"""),"60000339")</f>
        <v>60000339</v>
      </c>
      <c r="D4452" s="380" t="s">
        <v>767</v>
      </c>
      <c r="E4452" s="380" t="s">
        <v>875</v>
      </c>
      <c r="F4452" s="380" t="s">
        <v>985</v>
      </c>
      <c r="G4452" s="380" t="s">
        <v>1267</v>
      </c>
      <c r="H4452" s="380" t="s">
        <v>771</v>
      </c>
      <c r="I4452" s="380" t="s">
        <v>986</v>
      </c>
      <c r="J4452" s="380" t="s">
        <v>773</v>
      </c>
      <c r="K4452" s="381">
        <v>390000.0</v>
      </c>
      <c r="L4452" s="382">
        <v>1.0</v>
      </c>
    </row>
    <row r="4453">
      <c r="A4453" s="380" t="s">
        <v>5323</v>
      </c>
      <c r="B4453" s="380" t="str">
        <f>IFERROR(__xludf.DUMMYFUNCTION("""COMPUTED_VALUE"""),"Perno Del Rin Disco Hi -W1324 2007175 C-")</f>
        <v>Perno Del Rin Disco Hi -W1324 2007175 C-</v>
      </c>
      <c r="C4453" s="380" t="str">
        <f>IFERROR(__xludf.DUMMYFUNCTION("""COMPUTED_VALUE"""),"60000340")</f>
        <v>60000340</v>
      </c>
      <c r="D4453" s="380" t="s">
        <v>767</v>
      </c>
      <c r="E4453" s="380" t="s">
        <v>875</v>
      </c>
      <c r="F4453" s="380" t="s">
        <v>985</v>
      </c>
      <c r="G4453" s="380" t="s">
        <v>1267</v>
      </c>
      <c r="H4453" s="380" t="s">
        <v>771</v>
      </c>
      <c r="I4453" s="380" t="s">
        <v>986</v>
      </c>
      <c r="J4453" s="380" t="s">
        <v>773</v>
      </c>
      <c r="K4453" s="381">
        <v>24437.0</v>
      </c>
      <c r="L4453" s="382">
        <v>1.0</v>
      </c>
    </row>
    <row r="4454">
      <c r="A4454" s="380" t="s">
        <v>5324</v>
      </c>
      <c r="B4454" s="380" t="str">
        <f>IFERROR(__xludf.DUMMYFUNCTION("""COMPUTED_VALUE"""),"Esparrago Mixto 3/4 X 3 1/2""")</f>
        <v>Esparrago Mixto 3/4 X 3 1/2"</v>
      </c>
      <c r="C4454" s="380" t="str">
        <f>IFERROR(__xludf.DUMMYFUNCTION("""COMPUTED_VALUE"""),"60000341")</f>
        <v>60000341</v>
      </c>
      <c r="D4454" s="380" t="s">
        <v>767</v>
      </c>
      <c r="E4454" s="380" t="s">
        <v>875</v>
      </c>
      <c r="F4454" s="380" t="s">
        <v>985</v>
      </c>
      <c r="G4454" s="380" t="s">
        <v>1267</v>
      </c>
      <c r="H4454" s="380" t="s">
        <v>771</v>
      </c>
      <c r="I4454" s="380" t="s">
        <v>986</v>
      </c>
      <c r="J4454" s="380" t="s">
        <v>773</v>
      </c>
      <c r="K4454" s="381">
        <v>0.0</v>
      </c>
      <c r="L4454" s="382">
        <v>1.0</v>
      </c>
    </row>
    <row r="4455">
      <c r="A4455" s="380" t="s">
        <v>5325</v>
      </c>
      <c r="B4455" s="380" t="str">
        <f>IFERROR(__xludf.DUMMYFUNCTION("""COMPUTED_VALUE"""),"Dispositivo Llantas Ibutton Con Soporte")</f>
        <v>Dispositivo Llantas Ibutton Con Soporte</v>
      </c>
      <c r="C4455" s="380" t="str">
        <f>IFERROR(__xludf.DUMMYFUNCTION("""COMPUTED_VALUE"""),"60000342")</f>
        <v>60000342</v>
      </c>
      <c r="D4455" s="380" t="s">
        <v>767</v>
      </c>
      <c r="E4455" s="380" t="s">
        <v>875</v>
      </c>
      <c r="F4455" s="380" t="s">
        <v>985</v>
      </c>
      <c r="G4455" s="380" t="s">
        <v>1267</v>
      </c>
      <c r="H4455" s="380" t="s">
        <v>771</v>
      </c>
      <c r="I4455" s="380" t="s">
        <v>986</v>
      </c>
      <c r="J4455" s="380" t="s">
        <v>773</v>
      </c>
      <c r="K4455" s="381">
        <v>5950.0</v>
      </c>
      <c r="L4455" s="382">
        <v>1.0</v>
      </c>
    </row>
    <row r="4456">
      <c r="A4456" s="380" t="s">
        <v>5326</v>
      </c>
      <c r="B4456" s="380" t="str">
        <f>IFERROR(__xludf.DUMMYFUNCTION("""COMPUTED_VALUE"""),"Dispositivo Llantas Parches Rfid")</f>
        <v>Dispositivo Llantas Parches Rfid</v>
      </c>
      <c r="C4456" s="380" t="str">
        <f>IFERROR(__xludf.DUMMYFUNCTION("""COMPUTED_VALUE"""),"60000343")</f>
        <v>60000343</v>
      </c>
      <c r="D4456" s="380" t="s">
        <v>767</v>
      </c>
      <c r="E4456" s="380" t="s">
        <v>875</v>
      </c>
      <c r="F4456" s="380" t="s">
        <v>985</v>
      </c>
      <c r="G4456" s="380" t="s">
        <v>1267</v>
      </c>
      <c r="H4456" s="380" t="s">
        <v>771</v>
      </c>
      <c r="I4456" s="380" t="s">
        <v>986</v>
      </c>
      <c r="J4456" s="380" t="s">
        <v>773</v>
      </c>
      <c r="K4456" s="381">
        <v>15217.0</v>
      </c>
      <c r="L4456" s="382">
        <v>1.0</v>
      </c>
    </row>
    <row r="4457">
      <c r="A4457" s="380" t="s">
        <v>5327</v>
      </c>
      <c r="B4457" s="380" t="str">
        <f>IFERROR(__xludf.DUMMYFUNCTION("""COMPUTED_VALUE"""),"Parche Pang PP-1")</f>
        <v>Parche Pang PP-1</v>
      </c>
      <c r="C4457" s="380" t="str">
        <f>IFERROR(__xludf.DUMMYFUNCTION("""COMPUTED_VALUE"""),"60000344")</f>
        <v>60000344</v>
      </c>
      <c r="D4457" s="380" t="s">
        <v>767</v>
      </c>
      <c r="E4457" s="380" t="s">
        <v>875</v>
      </c>
      <c r="F4457" s="380" t="s">
        <v>5293</v>
      </c>
      <c r="G4457" s="380" t="s">
        <v>1267</v>
      </c>
      <c r="H4457" s="380" t="s">
        <v>771</v>
      </c>
      <c r="I4457" s="380" t="s">
        <v>986</v>
      </c>
      <c r="J4457" s="380" t="s">
        <v>773</v>
      </c>
      <c r="K4457" s="381">
        <v>878.0</v>
      </c>
      <c r="L4457" s="382">
        <v>1.0</v>
      </c>
    </row>
    <row r="4458">
      <c r="A4458" s="380" t="s">
        <v>5328</v>
      </c>
      <c r="B4458" s="380" t="str">
        <f>IFERROR(__xludf.DUMMYFUNCTION("""COMPUTED_VALUE"""),"Parche Pang PP-2")</f>
        <v>Parche Pang PP-2</v>
      </c>
      <c r="C4458" s="380" t="str">
        <f>IFERROR(__xludf.DUMMYFUNCTION("""COMPUTED_VALUE"""),"60000345")</f>
        <v>60000345</v>
      </c>
      <c r="D4458" s="380" t="s">
        <v>767</v>
      </c>
      <c r="E4458" s="380" t="s">
        <v>875</v>
      </c>
      <c r="F4458" s="380" t="s">
        <v>5293</v>
      </c>
      <c r="G4458" s="380" t="s">
        <v>1267</v>
      </c>
      <c r="H4458" s="380" t="s">
        <v>771</v>
      </c>
      <c r="I4458" s="380" t="s">
        <v>986</v>
      </c>
      <c r="J4458" s="380" t="s">
        <v>773</v>
      </c>
      <c r="K4458" s="381">
        <v>1098.0</v>
      </c>
      <c r="L4458" s="382">
        <v>1.0</v>
      </c>
    </row>
    <row r="4459">
      <c r="A4459" s="380" t="s">
        <v>5329</v>
      </c>
      <c r="B4459" s="380" t="str">
        <f>IFERROR(__xludf.DUMMYFUNCTION("""COMPUTED_VALUE"""),"Parche Pang PP-3")</f>
        <v>Parche Pang PP-3</v>
      </c>
      <c r="C4459" s="380" t="str">
        <f>IFERROR(__xludf.DUMMYFUNCTION("""COMPUTED_VALUE"""),"60000346")</f>
        <v>60000346</v>
      </c>
      <c r="D4459" s="380" t="s">
        <v>767</v>
      </c>
      <c r="E4459" s="380" t="s">
        <v>875</v>
      </c>
      <c r="F4459" s="380" t="s">
        <v>5293</v>
      </c>
      <c r="G4459" s="380" t="s">
        <v>1267</v>
      </c>
      <c r="H4459" s="380" t="s">
        <v>771</v>
      </c>
      <c r="I4459" s="380" t="s">
        <v>986</v>
      </c>
      <c r="J4459" s="380" t="s">
        <v>773</v>
      </c>
      <c r="K4459" s="381">
        <v>2426.0</v>
      </c>
      <c r="L4459" s="382">
        <v>1.0</v>
      </c>
    </row>
    <row r="4460">
      <c r="A4460" s="380" t="s">
        <v>5330</v>
      </c>
      <c r="B4460" s="380" t="str">
        <f>IFERROR(__xludf.DUMMYFUNCTION("""COMPUTED_VALUE"""),"Parche Pang PP-4")</f>
        <v>Parche Pang PP-4</v>
      </c>
      <c r="C4460" s="380" t="str">
        <f>IFERROR(__xludf.DUMMYFUNCTION("""COMPUTED_VALUE"""),"60000347")</f>
        <v>60000347</v>
      </c>
      <c r="D4460" s="380" t="s">
        <v>767</v>
      </c>
      <c r="E4460" s="380" t="s">
        <v>875</v>
      </c>
      <c r="F4460" s="380" t="s">
        <v>5293</v>
      </c>
      <c r="G4460" s="380" t="s">
        <v>1267</v>
      </c>
      <c r="H4460" s="380" t="s">
        <v>771</v>
      </c>
      <c r="I4460" s="380" t="s">
        <v>986</v>
      </c>
      <c r="J4460" s="380" t="s">
        <v>773</v>
      </c>
      <c r="K4460" s="381">
        <v>3136.0</v>
      </c>
      <c r="L4460" s="382">
        <v>1.0</v>
      </c>
    </row>
    <row r="4461">
      <c r="A4461" s="380" t="s">
        <v>5331</v>
      </c>
      <c r="B4461" s="380" t="str">
        <f>IFERROR(__xludf.DUMMYFUNCTION("""COMPUTED_VALUE"""),"Capuchon Rueda Tras Dcha Hino 4263155031")</f>
        <v>Capuchon Rueda Tras Dcha Hino 4263155031</v>
      </c>
      <c r="C4461" s="380" t="str">
        <f>IFERROR(__xludf.DUMMYFUNCTION("""COMPUTED_VALUE"""),"60000348")</f>
        <v>60000348</v>
      </c>
      <c r="D4461" s="380" t="s">
        <v>767</v>
      </c>
      <c r="E4461" s="380" t="s">
        <v>875</v>
      </c>
      <c r="F4461" s="380" t="s">
        <v>985</v>
      </c>
      <c r="G4461" s="380" t="s">
        <v>1267</v>
      </c>
      <c r="H4461" s="380" t="s">
        <v>771</v>
      </c>
      <c r="I4461" s="380" t="s">
        <v>986</v>
      </c>
      <c r="J4461" s="380" t="s">
        <v>773</v>
      </c>
      <c r="K4461" s="381">
        <v>0.0</v>
      </c>
      <c r="L4461" s="382">
        <v>1.0</v>
      </c>
    </row>
    <row r="4462">
      <c r="A4462" s="380" t="s">
        <v>5332</v>
      </c>
      <c r="B4462" s="380" t="str">
        <f>IFERROR(__xludf.DUMMYFUNCTION("""COMPUTED_VALUE"""),"Tuerca Esparrago Tras Der Hino4263355030")</f>
        <v>Tuerca Esparrago Tras Der Hino4263355030</v>
      </c>
      <c r="C4462" s="380" t="str">
        <f>IFERROR(__xludf.DUMMYFUNCTION("""COMPUTED_VALUE"""),"60000349")</f>
        <v>60000349</v>
      </c>
      <c r="D4462" s="380" t="s">
        <v>767</v>
      </c>
      <c r="E4462" s="380" t="s">
        <v>875</v>
      </c>
      <c r="F4462" s="380" t="s">
        <v>985</v>
      </c>
      <c r="G4462" s="380" t="s">
        <v>1267</v>
      </c>
      <c r="H4462" s="380" t="s">
        <v>771</v>
      </c>
      <c r="I4462" s="380" t="s">
        <v>986</v>
      </c>
      <c r="J4462" s="380" t="s">
        <v>773</v>
      </c>
      <c r="K4462" s="381">
        <v>0.0</v>
      </c>
      <c r="L4462" s="382">
        <v>1.0</v>
      </c>
    </row>
    <row r="4463">
      <c r="A4463" s="380" t="s">
        <v>5333</v>
      </c>
      <c r="B4463" s="380" t="str">
        <f>IFERROR(__xludf.DUMMYFUNCTION("""COMPUTED_VALUE"""),"Esparrago Rueda Tras Der Hino9094202045")</f>
        <v>Esparrago Rueda Tras Der Hino9094202045</v>
      </c>
      <c r="C4463" s="380" t="str">
        <f>IFERROR(__xludf.DUMMYFUNCTION("""COMPUTED_VALUE"""),"60000350")</f>
        <v>60000350</v>
      </c>
      <c r="D4463" s="380" t="s">
        <v>767</v>
      </c>
      <c r="E4463" s="380" t="s">
        <v>875</v>
      </c>
      <c r="F4463" s="380" t="s">
        <v>985</v>
      </c>
      <c r="G4463" s="380" t="s">
        <v>1267</v>
      </c>
      <c r="H4463" s="380" t="s">
        <v>771</v>
      </c>
      <c r="I4463" s="380" t="s">
        <v>986</v>
      </c>
      <c r="J4463" s="380" t="s">
        <v>773</v>
      </c>
      <c r="K4463" s="381">
        <v>0.0</v>
      </c>
      <c r="L4463" s="382">
        <v>1.0</v>
      </c>
    </row>
    <row r="4464">
      <c r="A4464" s="380" t="s">
        <v>5334</v>
      </c>
      <c r="B4464" s="380" t="str">
        <f>IFERROR(__xludf.DUMMYFUNCTION("""COMPUTED_VALUE"""),"Tuerca RDA Del Rin Internatio 1649492 C-")</f>
        <v>Tuerca RDA Del Rin Internatio 1649492 C-</v>
      </c>
      <c r="C4464" s="380" t="str">
        <f>IFERROR(__xludf.DUMMYFUNCTION("""COMPUTED_VALUE"""),"60000351")</f>
        <v>60000351</v>
      </c>
      <c r="D4464" s="380" t="s">
        <v>767</v>
      </c>
      <c r="E4464" s="380" t="s">
        <v>875</v>
      </c>
      <c r="F4464" s="380" t="s">
        <v>985</v>
      </c>
      <c r="G4464" s="380" t="s">
        <v>1267</v>
      </c>
      <c r="H4464" s="380" t="s">
        <v>771</v>
      </c>
      <c r="I4464" s="380" t="s">
        <v>986</v>
      </c>
      <c r="J4464" s="380" t="s">
        <v>773</v>
      </c>
      <c r="K4464" s="381">
        <v>20779.0</v>
      </c>
      <c r="L4464" s="382">
        <v>1.0</v>
      </c>
    </row>
    <row r="4465">
      <c r="A4465" s="380" t="s">
        <v>5335</v>
      </c>
      <c r="B4465" s="380" t="str">
        <f>IFERROR(__xludf.DUMMYFUNCTION("""COMPUTED_VALUE"""),"Perno Rueda Derecha Jac 1042 Yf30sl03052")</f>
        <v>Perno Rueda Derecha Jac 1042 Yf30sl03052</v>
      </c>
      <c r="C4465" s="380" t="str">
        <f>IFERROR(__xludf.DUMMYFUNCTION("""COMPUTED_VALUE"""),"60000352")</f>
        <v>60000352</v>
      </c>
      <c r="D4465" s="380" t="s">
        <v>767</v>
      </c>
      <c r="E4465" s="380" t="s">
        <v>875</v>
      </c>
      <c r="F4465" s="380" t="s">
        <v>985</v>
      </c>
      <c r="G4465" s="380" t="s">
        <v>1267</v>
      </c>
      <c r="H4465" s="380" t="s">
        <v>771</v>
      </c>
      <c r="I4465" s="380" t="s">
        <v>986</v>
      </c>
      <c r="J4465" s="380" t="s">
        <v>773</v>
      </c>
      <c r="K4465" s="381">
        <v>0.0</v>
      </c>
      <c r="L4465" s="382">
        <v>1.0</v>
      </c>
    </row>
    <row r="4466">
      <c r="A4466" s="380" t="s">
        <v>5336</v>
      </c>
      <c r="B4466" s="380" t="str">
        <f>IFERROR(__xludf.DUMMYFUNCTION("""COMPUTED_VALUE"""),"Perno RDA IZQ Jac 1042 Yf30sl03051")</f>
        <v>Perno RDA IZQ Jac 1042 Yf30sl03051</v>
      </c>
      <c r="C4466" s="380" t="str">
        <f>IFERROR(__xludf.DUMMYFUNCTION("""COMPUTED_VALUE"""),"60000353")</f>
        <v>60000353</v>
      </c>
      <c r="D4466" s="380" t="s">
        <v>767</v>
      </c>
      <c r="E4466" s="380" t="s">
        <v>875</v>
      </c>
      <c r="F4466" s="380" t="s">
        <v>985</v>
      </c>
      <c r="G4466" s="380" t="s">
        <v>1267</v>
      </c>
      <c r="H4466" s="380" t="s">
        <v>771</v>
      </c>
      <c r="I4466" s="380" t="s">
        <v>986</v>
      </c>
      <c r="J4466" s="380" t="s">
        <v>773</v>
      </c>
      <c r="K4466" s="381">
        <v>0.0</v>
      </c>
      <c r="L4466" s="382">
        <v>1.0</v>
      </c>
    </row>
    <row r="4467">
      <c r="A4467" s="380" t="s">
        <v>5337</v>
      </c>
      <c r="B4467" s="380" t="str">
        <f>IFERROR(__xludf.DUMMYFUNCTION("""COMPUTED_VALUE"""),"Tuerca Externa RDA Del Izq Jac 3103204n")</f>
        <v>Tuerca Externa RDA Del Izq Jac 3103204n</v>
      </c>
      <c r="C4467" s="380" t="str">
        <f>IFERROR(__xludf.DUMMYFUNCTION("""COMPUTED_VALUE"""),"60000354")</f>
        <v>60000354</v>
      </c>
      <c r="D4467" s="380" t="s">
        <v>767</v>
      </c>
      <c r="E4467" s="380" t="s">
        <v>875</v>
      </c>
      <c r="F4467" s="380" t="s">
        <v>985</v>
      </c>
      <c r="G4467" s="380" t="s">
        <v>1267</v>
      </c>
      <c r="H4467" s="380" t="s">
        <v>771</v>
      </c>
      <c r="I4467" s="380" t="s">
        <v>986</v>
      </c>
      <c r="J4467" s="380" t="s">
        <v>773</v>
      </c>
      <c r="K4467" s="381">
        <v>0.0</v>
      </c>
      <c r="L4467" s="382">
        <v>1.0</v>
      </c>
    </row>
    <row r="4468">
      <c r="A4468" s="380" t="s">
        <v>5338</v>
      </c>
      <c r="B4468" s="380" t="str">
        <f>IFERROR(__xludf.DUMMYFUNCTION("""COMPUTED_VALUE"""),"Tuerca Externa RDA Del Der Jac 3103104n")</f>
        <v>Tuerca Externa RDA Del Der Jac 3103104n</v>
      </c>
      <c r="C4468" s="380" t="str">
        <f>IFERROR(__xludf.DUMMYFUNCTION("""COMPUTED_VALUE"""),"60000355")</f>
        <v>60000355</v>
      </c>
      <c r="D4468" s="380" t="s">
        <v>767</v>
      </c>
      <c r="E4468" s="380" t="s">
        <v>875</v>
      </c>
      <c r="F4468" s="380" t="s">
        <v>985</v>
      </c>
      <c r="G4468" s="380" t="s">
        <v>1267</v>
      </c>
      <c r="H4468" s="380" t="s">
        <v>771</v>
      </c>
      <c r="I4468" s="380" t="s">
        <v>986</v>
      </c>
      <c r="J4468" s="380" t="s">
        <v>773</v>
      </c>
      <c r="K4468" s="381">
        <v>0.0</v>
      </c>
      <c r="L4468" s="382">
        <v>1.0</v>
      </c>
    </row>
    <row r="4469">
      <c r="A4469" s="380" t="s">
        <v>5339</v>
      </c>
      <c r="B4469" s="380" t="str">
        <f>IFERROR(__xludf.DUMMYFUNCTION("""COMPUTED_VALUE"""),"Perno RDA DEL Jac Jhr 3103103ld320")</f>
        <v>Perno RDA DEL Jac Jhr 3103103ld320</v>
      </c>
      <c r="C4469" s="380" t="str">
        <f>IFERROR(__xludf.DUMMYFUNCTION("""COMPUTED_VALUE"""),"60000356")</f>
        <v>60000356</v>
      </c>
      <c r="D4469" s="380" t="s">
        <v>767</v>
      </c>
      <c r="E4469" s="380" t="s">
        <v>875</v>
      </c>
      <c r="F4469" s="380" t="s">
        <v>985</v>
      </c>
      <c r="G4469" s="380" t="s">
        <v>1267</v>
      </c>
      <c r="H4469" s="380" t="s">
        <v>771</v>
      </c>
      <c r="I4469" s="380" t="s">
        <v>986</v>
      </c>
      <c r="J4469" s="380" t="s">
        <v>773</v>
      </c>
      <c r="K4469" s="381">
        <v>0.0</v>
      </c>
      <c r="L4469" s="382">
        <v>1.0</v>
      </c>
    </row>
    <row r="4470">
      <c r="A4470" s="380" t="s">
        <v>5340</v>
      </c>
      <c r="B4470" s="380" t="str">
        <f>IFERROR(__xludf.DUMMYFUNCTION("""COMPUTED_VALUE"""),"Tuerca Perno Jac Jhr 3101060r00")</f>
        <v>Tuerca Perno Jac Jhr 3101060r00</v>
      </c>
      <c r="C4470" s="380" t="str">
        <f>IFERROR(__xludf.DUMMYFUNCTION("""COMPUTED_VALUE"""),"60000357")</f>
        <v>60000357</v>
      </c>
      <c r="D4470" s="380" t="s">
        <v>767</v>
      </c>
      <c r="E4470" s="380" t="s">
        <v>875</v>
      </c>
      <c r="F4470" s="380" t="s">
        <v>985</v>
      </c>
      <c r="G4470" s="380" t="s">
        <v>1267</v>
      </c>
      <c r="H4470" s="380" t="s">
        <v>771</v>
      </c>
      <c r="I4470" s="380" t="s">
        <v>986</v>
      </c>
      <c r="J4470" s="380" t="s">
        <v>773</v>
      </c>
      <c r="K4470" s="381">
        <v>15494.0</v>
      </c>
      <c r="L4470" s="382">
        <v>1.0</v>
      </c>
    </row>
    <row r="4471">
      <c r="A4471" s="380" t="s">
        <v>5341</v>
      </c>
      <c r="B4471" s="380" t="str">
        <f>IFERROR(__xludf.DUMMYFUNCTION("""COMPUTED_VALUE"""),"Tuerca Interior Campana Jac Jhr 99301400")</f>
        <v>Tuerca Interior Campana Jac Jhr 99301400</v>
      </c>
      <c r="C4471" s="380" t="str">
        <f>IFERROR(__xludf.DUMMYFUNCTION("""COMPUTED_VALUE"""),"60000358")</f>
        <v>60000358</v>
      </c>
      <c r="D4471" s="380" t="s">
        <v>767</v>
      </c>
      <c r="E4471" s="380" t="s">
        <v>875</v>
      </c>
      <c r="F4471" s="380" t="s">
        <v>985</v>
      </c>
      <c r="G4471" s="380" t="s">
        <v>1267</v>
      </c>
      <c r="H4471" s="380" t="s">
        <v>771</v>
      </c>
      <c r="I4471" s="380" t="s">
        <v>986</v>
      </c>
      <c r="J4471" s="380" t="s">
        <v>773</v>
      </c>
      <c r="K4471" s="381">
        <v>0.0</v>
      </c>
      <c r="L4471" s="382">
        <v>1.0</v>
      </c>
    </row>
    <row r="4472">
      <c r="A4472" s="380" t="s">
        <v>5342</v>
      </c>
      <c r="B4472" s="380" t="str">
        <f>IFERROR(__xludf.DUMMYFUNCTION("""COMPUTED_VALUE"""),"Perno Rueda Trasera Jac Jhr 9920160140")</f>
        <v>Perno Rueda Trasera Jac Jhr 9920160140</v>
      </c>
      <c r="C4472" s="380" t="str">
        <f>IFERROR(__xludf.DUMMYFUNCTION("""COMPUTED_VALUE"""),"60000359")</f>
        <v>60000359</v>
      </c>
      <c r="D4472" s="380" t="s">
        <v>767</v>
      </c>
      <c r="E4472" s="380" t="s">
        <v>875</v>
      </c>
      <c r="F4472" s="380" t="s">
        <v>985</v>
      </c>
      <c r="G4472" s="380" t="s">
        <v>1267</v>
      </c>
      <c r="H4472" s="380" t="s">
        <v>771</v>
      </c>
      <c r="I4472" s="380" t="s">
        <v>986</v>
      </c>
      <c r="J4472" s="380" t="s">
        <v>773</v>
      </c>
      <c r="K4472" s="381">
        <v>19242.0</v>
      </c>
      <c r="L4472" s="382">
        <v>1.0</v>
      </c>
    </row>
    <row r="4473">
      <c r="A4473" s="380" t="s">
        <v>5343</v>
      </c>
      <c r="B4473" s="380" t="str">
        <f>IFERROR(__xludf.DUMMYFUNCTION("""COMPUTED_VALUE"""),"Tapa Valvula Metalica 21532")</f>
        <v>Tapa Valvula Metalica 21532</v>
      </c>
      <c r="C4473" s="380" t="str">
        <f>IFERROR(__xludf.DUMMYFUNCTION("""COMPUTED_VALUE"""),"60000360")</f>
        <v>60000360</v>
      </c>
      <c r="D4473" s="380" t="s">
        <v>767</v>
      </c>
      <c r="E4473" s="380" t="s">
        <v>875</v>
      </c>
      <c r="F4473" s="380" t="s">
        <v>5293</v>
      </c>
      <c r="G4473" s="380" t="s">
        <v>1267</v>
      </c>
      <c r="H4473" s="380" t="s">
        <v>771</v>
      </c>
      <c r="I4473" s="380" t="s">
        <v>986</v>
      </c>
      <c r="J4473" s="380" t="s">
        <v>773</v>
      </c>
      <c r="K4473" s="381">
        <v>0.0</v>
      </c>
      <c r="L4473" s="382">
        <v>1.0</v>
      </c>
    </row>
    <row r="4474">
      <c r="A4474" s="380" t="s">
        <v>5344</v>
      </c>
      <c r="B4474" s="380" t="str">
        <f>IFERROR(__xludf.DUMMYFUNCTION("""COMPUTED_VALUE"""),"Rin De Disco Sellomatic R22.5 8x25x22.5")</f>
        <v>Rin De Disco Sellomatic R22.5 8x25x22.5</v>
      </c>
      <c r="C4474" s="380" t="str">
        <f>IFERROR(__xludf.DUMMYFUNCTION("""COMPUTED_VALUE"""),"60000361")</f>
        <v>60000361</v>
      </c>
      <c r="D4474" s="380" t="s">
        <v>767</v>
      </c>
      <c r="E4474" s="380" t="s">
        <v>875</v>
      </c>
      <c r="F4474" s="380" t="s">
        <v>985</v>
      </c>
      <c r="G4474" s="380" t="s">
        <v>1267</v>
      </c>
      <c r="H4474" s="380" t="s">
        <v>771</v>
      </c>
      <c r="I4474" s="380" t="s">
        <v>986</v>
      </c>
      <c r="J4474" s="380" t="s">
        <v>773</v>
      </c>
      <c r="K4474" s="381">
        <v>396110.0</v>
      </c>
      <c r="L4474" s="382">
        <v>1.0</v>
      </c>
    </row>
    <row r="4475">
      <c r="A4475" s="380" t="s">
        <v>5345</v>
      </c>
      <c r="B4475" s="380" t="str">
        <f>IFERROR(__xludf.DUMMYFUNCTION("""COMPUTED_VALUE"""),"Rin 17.5"" Foton 7701023166386")</f>
        <v>Rin 17.5" Foton 7701023166386</v>
      </c>
      <c r="C4475" s="380" t="str">
        <f>IFERROR(__xludf.DUMMYFUNCTION("""COMPUTED_VALUE"""),"60000362")</f>
        <v>60000362</v>
      </c>
      <c r="D4475" s="380" t="s">
        <v>767</v>
      </c>
      <c r="E4475" s="380" t="s">
        <v>875</v>
      </c>
      <c r="F4475" s="380" t="s">
        <v>985</v>
      </c>
      <c r="G4475" s="380" t="s">
        <v>1267</v>
      </c>
      <c r="H4475" s="380" t="s">
        <v>771</v>
      </c>
      <c r="I4475" s="380" t="s">
        <v>986</v>
      </c>
      <c r="J4475" s="380" t="s">
        <v>773</v>
      </c>
      <c r="K4475" s="381">
        <v>837410.0</v>
      </c>
      <c r="L4475" s="382">
        <v>1.0</v>
      </c>
    </row>
    <row r="4476">
      <c r="A4476" s="380" t="s">
        <v>5346</v>
      </c>
      <c r="B4476" s="380" t="str">
        <f>IFERROR(__xludf.DUMMYFUNCTION("""COMPUTED_VALUE"""),"Rin 17.5"" Foton 1039")</f>
        <v>Rin 17.5" Foton 1039</v>
      </c>
      <c r="C4476" s="380" t="str">
        <f>IFERROR(__xludf.DUMMYFUNCTION("""COMPUTED_VALUE"""),"60000363")</f>
        <v>60000363</v>
      </c>
      <c r="D4476" s="380" t="s">
        <v>767</v>
      </c>
      <c r="E4476" s="380" t="s">
        <v>875</v>
      </c>
      <c r="F4476" s="380" t="s">
        <v>985</v>
      </c>
      <c r="G4476" s="380" t="s">
        <v>1267</v>
      </c>
      <c r="H4476" s="380" t="s">
        <v>771</v>
      </c>
      <c r="I4476" s="380" t="s">
        <v>986</v>
      </c>
      <c r="J4476" s="380" t="s">
        <v>773</v>
      </c>
      <c r="K4476" s="381">
        <v>634207.0</v>
      </c>
      <c r="L4476" s="382">
        <v>1.0</v>
      </c>
    </row>
    <row r="4477">
      <c r="A4477" s="380" t="s">
        <v>5347</v>
      </c>
      <c r="B4477" s="380" t="str">
        <f>IFERROR(__xludf.DUMMYFUNCTION("""COMPUTED_VALUE"""),"Perno Rueda Del Der FRR 1423311481")</f>
        <v>Perno Rueda Del Der FRR 1423311481</v>
      </c>
      <c r="C4477" s="380" t="str">
        <f>IFERROR(__xludf.DUMMYFUNCTION("""COMPUTED_VALUE"""),"60000364")</f>
        <v>60000364</v>
      </c>
      <c r="D4477" s="380" t="s">
        <v>767</v>
      </c>
      <c r="E4477" s="380" t="s">
        <v>875</v>
      </c>
      <c r="F4477" s="380" t="s">
        <v>985</v>
      </c>
      <c r="G4477" s="380" t="s">
        <v>1267</v>
      </c>
      <c r="H4477" s="380" t="s">
        <v>771</v>
      </c>
      <c r="I4477" s="380" t="s">
        <v>986</v>
      </c>
      <c r="J4477" s="380" t="s">
        <v>773</v>
      </c>
      <c r="K4477" s="381">
        <v>0.0</v>
      </c>
      <c r="L4477" s="382">
        <v>1.0</v>
      </c>
    </row>
    <row r="4478">
      <c r="A4478" s="380" t="s">
        <v>5348</v>
      </c>
      <c r="B4478" s="380" t="str">
        <f>IFERROR(__xludf.DUMMYFUNCTION("""COMPUTED_VALUE"""),"Aro Separador Rueda R 20 4 1/2""")</f>
        <v>Aro Separador Rueda R 20 4 1/2"</v>
      </c>
      <c r="C4478" s="380" t="str">
        <f>IFERROR(__xludf.DUMMYFUNCTION("""COMPUTED_VALUE"""),"60000365")</f>
        <v>60000365</v>
      </c>
      <c r="D4478" s="380" t="s">
        <v>767</v>
      </c>
      <c r="E4478" s="380" t="s">
        <v>875</v>
      </c>
      <c r="F4478" s="380" t="s">
        <v>985</v>
      </c>
      <c r="G4478" s="380" t="s">
        <v>1267</v>
      </c>
      <c r="H4478" s="380" t="s">
        <v>771</v>
      </c>
      <c r="I4478" s="380" t="s">
        <v>986</v>
      </c>
      <c r="J4478" s="380" t="s">
        <v>773</v>
      </c>
      <c r="K4478" s="381">
        <v>0.0</v>
      </c>
      <c r="L4478" s="382">
        <v>1.0</v>
      </c>
    </row>
    <row r="4479">
      <c r="A4479" s="380" t="s">
        <v>5349</v>
      </c>
      <c r="B4479" s="380" t="str">
        <f>IFERROR(__xludf.DUMMYFUNCTION("""COMPUTED_VALUE"""),"Pesa Gancho Cte 1 3/4 Tipo Liviano")</f>
        <v>Pesa Gancho Cte 1 3/4 Tipo Liviano</v>
      </c>
      <c r="C4479" s="380" t="str">
        <f>IFERROR(__xludf.DUMMYFUNCTION("""COMPUTED_VALUE"""),"60000366")</f>
        <v>60000366</v>
      </c>
      <c r="D4479" s="380" t="s">
        <v>767</v>
      </c>
      <c r="E4479" s="380" t="s">
        <v>875</v>
      </c>
      <c r="F4479" s="380" t="s">
        <v>985</v>
      </c>
      <c r="G4479" s="380" t="s">
        <v>1267</v>
      </c>
      <c r="H4479" s="380" t="s">
        <v>771</v>
      </c>
      <c r="I4479" s="380" t="s">
        <v>986</v>
      </c>
      <c r="J4479" s="380" t="s">
        <v>773</v>
      </c>
      <c r="K4479" s="381">
        <v>0.0</v>
      </c>
      <c r="L4479" s="382">
        <v>1.0</v>
      </c>
    </row>
    <row r="4480">
      <c r="A4480" s="380" t="s">
        <v>5350</v>
      </c>
      <c r="B4480" s="380" t="str">
        <f>IFERROR(__xludf.DUMMYFUNCTION("""COMPUTED_VALUE"""),"Tripa De Camion(Gusano Sellomatic) 50963")</f>
        <v>Tripa De Camion(Gusano Sellomatic) 50963</v>
      </c>
      <c r="C4480" s="380" t="str">
        <f>IFERROR(__xludf.DUMMYFUNCTION("""COMPUTED_VALUE"""),"60000367")</f>
        <v>60000367</v>
      </c>
      <c r="D4480" s="380" t="s">
        <v>767</v>
      </c>
      <c r="E4480" s="380" t="s">
        <v>875</v>
      </c>
      <c r="F4480" s="380" t="s">
        <v>985</v>
      </c>
      <c r="G4480" s="380" t="s">
        <v>1267</v>
      </c>
      <c r="H4480" s="380" t="s">
        <v>771</v>
      </c>
      <c r="I4480" s="380" t="s">
        <v>986</v>
      </c>
      <c r="J4480" s="380" t="s">
        <v>773</v>
      </c>
      <c r="K4480" s="381">
        <v>0.0</v>
      </c>
      <c r="L4480" s="382">
        <v>1.0</v>
      </c>
    </row>
    <row r="4481">
      <c r="A4481" s="380" t="s">
        <v>5351</v>
      </c>
      <c r="B4481" s="380" t="str">
        <f>IFERROR(__xludf.DUMMYFUNCTION("""COMPUTED_VALUE"""),"Reten Tras Ext CA6 Foton 1129 7701023082")</f>
        <v>Reten Tras Ext CA6 Foton 1129 7701023082</v>
      </c>
      <c r="C4481" s="380" t="str">
        <f>IFERROR(__xludf.DUMMYFUNCTION("""COMPUTED_VALUE"""),"60000368")</f>
        <v>60000368</v>
      </c>
      <c r="D4481" s="380" t="s">
        <v>767</v>
      </c>
      <c r="E4481" s="380" t="s">
        <v>875</v>
      </c>
      <c r="F4481" s="380" t="s">
        <v>985</v>
      </c>
      <c r="G4481" s="380" t="s">
        <v>1267</v>
      </c>
      <c r="H4481" s="380" t="s">
        <v>771</v>
      </c>
      <c r="I4481" s="380" t="s">
        <v>986</v>
      </c>
      <c r="J4481" s="380" t="s">
        <v>773</v>
      </c>
      <c r="K4481" s="381">
        <v>0.0</v>
      </c>
      <c r="L4481" s="382">
        <v>1.0</v>
      </c>
    </row>
    <row r="4482">
      <c r="A4482" s="380" t="s">
        <v>5352</v>
      </c>
      <c r="B4482" s="380" t="str">
        <f>IFERROR(__xludf.DUMMYFUNCTION("""COMPUTED_VALUE"""),"Aro Suplemento Rin")</f>
        <v>Aro Suplemento Rin</v>
      </c>
      <c r="C4482" s="380" t="str">
        <f>IFERROR(__xludf.DUMMYFUNCTION("""COMPUTED_VALUE"""),"60000369")</f>
        <v>60000369</v>
      </c>
      <c r="D4482" s="380" t="s">
        <v>767</v>
      </c>
      <c r="E4482" s="380" t="s">
        <v>875</v>
      </c>
      <c r="F4482" s="380" t="s">
        <v>985</v>
      </c>
      <c r="G4482" s="380" t="s">
        <v>1267</v>
      </c>
      <c r="H4482" s="380" t="s">
        <v>771</v>
      </c>
      <c r="I4482" s="380" t="s">
        <v>986</v>
      </c>
      <c r="J4482" s="380" t="s">
        <v>773</v>
      </c>
      <c r="K4482" s="381">
        <v>0.0</v>
      </c>
      <c r="L4482" s="382">
        <v>1.0</v>
      </c>
    </row>
    <row r="4483">
      <c r="A4483" s="380" t="s">
        <v>5353</v>
      </c>
      <c r="B4483" s="380" t="str">
        <f>IFERROR(__xludf.DUMMYFUNCTION("""COMPUTED_VALUE"""),"Rin Artillero Sellomatic R22 5 8x25x22.5")</f>
        <v>Rin Artillero Sellomatic R22 5 8x25x22.5</v>
      </c>
      <c r="C4483" s="380" t="str">
        <f>IFERROR(__xludf.DUMMYFUNCTION("""COMPUTED_VALUE"""),"60000370")</f>
        <v>60000370</v>
      </c>
      <c r="D4483" s="380" t="s">
        <v>767</v>
      </c>
      <c r="E4483" s="380" t="s">
        <v>875</v>
      </c>
      <c r="F4483" s="380" t="s">
        <v>985</v>
      </c>
      <c r="G4483" s="380" t="s">
        <v>1267</v>
      </c>
      <c r="H4483" s="380" t="s">
        <v>771</v>
      </c>
      <c r="I4483" s="380" t="s">
        <v>986</v>
      </c>
      <c r="J4483" s="380" t="s">
        <v>773</v>
      </c>
      <c r="K4483" s="381">
        <v>437555.0</v>
      </c>
      <c r="L4483" s="382">
        <v>1.0</v>
      </c>
    </row>
    <row r="4484">
      <c r="A4484" s="380" t="s">
        <v>5354</v>
      </c>
      <c r="B4484" s="380" t="str">
        <f>IFERROR(__xludf.DUMMYFUNCTION("""COMPUTED_VALUE"""),"Perno De RDA DEL Jac 1120 3103103k3240zh")</f>
        <v>Perno De RDA DEL Jac 1120 3103103k3240zh</v>
      </c>
      <c r="C4484" s="380" t="str">
        <f>IFERROR(__xludf.DUMMYFUNCTION("""COMPUTED_VALUE"""),"60000371")</f>
        <v>60000371</v>
      </c>
      <c r="D4484" s="380" t="s">
        <v>767</v>
      </c>
      <c r="E4484" s="380" t="s">
        <v>875</v>
      </c>
      <c r="F4484" s="380" t="s">
        <v>985</v>
      </c>
      <c r="G4484" s="380" t="s">
        <v>1267</v>
      </c>
      <c r="H4484" s="380" t="s">
        <v>771</v>
      </c>
      <c r="I4484" s="380" t="s">
        <v>986</v>
      </c>
      <c r="J4484" s="380" t="s">
        <v>773</v>
      </c>
      <c r="K4484" s="381">
        <v>0.0</v>
      </c>
      <c r="L4484" s="382">
        <v>1.0</v>
      </c>
    </row>
    <row r="4485">
      <c r="A4485" s="380" t="s">
        <v>5355</v>
      </c>
      <c r="B4485" s="380" t="str">
        <f>IFERROR(__xludf.DUMMYFUNCTION("""COMPUTED_VALUE"""),"Parche Ct - 10hd 65mm X 80mm")</f>
        <v>Parche Ct - 10hd 65mm X 80mm</v>
      </c>
      <c r="C4485" s="380" t="str">
        <f>IFERROR(__xludf.DUMMYFUNCTION("""COMPUTED_VALUE"""),"60000372")</f>
        <v>60000372</v>
      </c>
      <c r="D4485" s="380" t="s">
        <v>767</v>
      </c>
      <c r="E4485" s="380" t="s">
        <v>875</v>
      </c>
      <c r="F4485" s="380" t="s">
        <v>985</v>
      </c>
      <c r="G4485" s="380" t="s">
        <v>1267</v>
      </c>
      <c r="H4485" s="380" t="s">
        <v>771</v>
      </c>
      <c r="I4485" s="380" t="s">
        <v>986</v>
      </c>
      <c r="J4485" s="380" t="s">
        <v>773</v>
      </c>
      <c r="K4485" s="381">
        <v>10834.0</v>
      </c>
      <c r="L4485" s="382">
        <v>1.0</v>
      </c>
    </row>
    <row r="4486">
      <c r="A4486" s="380" t="s">
        <v>5356</v>
      </c>
      <c r="B4486" s="380" t="str">
        <f>IFERROR(__xludf.DUMMYFUNCTION("""COMPUTED_VALUE"""),"Rin 17.5 X 6.75 Foton 1128 - 77059467667")</f>
        <v>Rin 17.5 X 6.75 Foton 1128 - 77059467667</v>
      </c>
      <c r="C4486" s="380" t="str">
        <f>IFERROR(__xludf.DUMMYFUNCTION("""COMPUTED_VALUE"""),"60000373")</f>
        <v>60000373</v>
      </c>
      <c r="D4486" s="380" t="s">
        <v>767</v>
      </c>
      <c r="E4486" s="380" t="s">
        <v>875</v>
      </c>
      <c r="F4486" s="380" t="s">
        <v>985</v>
      </c>
      <c r="G4486" s="380" t="s">
        <v>1267</v>
      </c>
      <c r="H4486" s="380" t="s">
        <v>771</v>
      </c>
      <c r="I4486" s="380" t="s">
        <v>986</v>
      </c>
      <c r="J4486" s="380" t="s">
        <v>773</v>
      </c>
      <c r="K4486" s="381">
        <v>0.0</v>
      </c>
      <c r="L4486" s="382">
        <v>1.0</v>
      </c>
    </row>
    <row r="4487">
      <c r="A4487" s="380" t="s">
        <v>5357</v>
      </c>
      <c r="B4487" s="380" t="str">
        <f>IFERROR(__xludf.DUMMYFUNCTION("""COMPUTED_VALUE"""),"Perno RDA TRAS FT 1128 - 7705946724517")</f>
        <v>Perno RDA TRAS FT 1128 - 7705946724517</v>
      </c>
      <c r="C4487" s="380" t="str">
        <f>IFERROR(__xludf.DUMMYFUNCTION("""COMPUTED_VALUE"""),"60000374")</f>
        <v>60000374</v>
      </c>
      <c r="D4487" s="380" t="s">
        <v>767</v>
      </c>
      <c r="E4487" s="380" t="s">
        <v>875</v>
      </c>
      <c r="F4487" s="380" t="s">
        <v>985</v>
      </c>
      <c r="G4487" s="380" t="s">
        <v>1267</v>
      </c>
      <c r="H4487" s="380" t="s">
        <v>771</v>
      </c>
      <c r="I4487" s="380" t="s">
        <v>986</v>
      </c>
      <c r="J4487" s="380" t="s">
        <v>773</v>
      </c>
      <c r="K4487" s="381">
        <v>0.0</v>
      </c>
      <c r="L4487" s="382">
        <v>1.0</v>
      </c>
    </row>
    <row r="4488">
      <c r="A4488" s="380" t="s">
        <v>5358</v>
      </c>
      <c r="B4488" s="380" t="str">
        <f>IFERROR(__xludf.DUMMYFUNCTION("""COMPUTED_VALUE"""),"Tuerca Conica RDA FT Mv5 7705946027250")</f>
        <v>Tuerca Conica RDA FT Mv5 7705946027250</v>
      </c>
      <c r="C4488" s="380" t="str">
        <f>IFERROR(__xludf.DUMMYFUNCTION("""COMPUTED_VALUE"""),"60000375")</f>
        <v>60000375</v>
      </c>
      <c r="D4488" s="380" t="s">
        <v>767</v>
      </c>
      <c r="E4488" s="380" t="s">
        <v>875</v>
      </c>
      <c r="F4488" s="380" t="s">
        <v>985</v>
      </c>
      <c r="G4488" s="380" t="s">
        <v>1267</v>
      </c>
      <c r="H4488" s="380" t="s">
        <v>771</v>
      </c>
      <c r="I4488" s="380" t="s">
        <v>986</v>
      </c>
      <c r="J4488" s="380" t="s">
        <v>773</v>
      </c>
      <c r="K4488" s="381">
        <v>0.0</v>
      </c>
      <c r="L4488" s="382">
        <v>1.0</v>
      </c>
    </row>
    <row r="4489">
      <c r="A4489" s="380" t="s">
        <v>5359</v>
      </c>
      <c r="B4489" s="380" t="str">
        <f>IFERROR(__xludf.DUMMYFUNCTION("""COMPUTED_VALUE"""),"Valvula Rin Sellomatic R-17 5 115 Ms-27")</f>
        <v>Valvula Rin Sellomatic R-17 5 115 Ms-27</v>
      </c>
      <c r="C4489" s="380" t="str">
        <f>IFERROR(__xludf.DUMMYFUNCTION("""COMPUTED_VALUE"""),"60000376")</f>
        <v>60000376</v>
      </c>
      <c r="D4489" s="380" t="s">
        <v>767</v>
      </c>
      <c r="E4489" s="380" t="s">
        <v>875</v>
      </c>
      <c r="F4489" s="380" t="s">
        <v>985</v>
      </c>
      <c r="G4489" s="380" t="s">
        <v>1267</v>
      </c>
      <c r="H4489" s="380" t="s">
        <v>771</v>
      </c>
      <c r="I4489" s="380" t="s">
        <v>986</v>
      </c>
      <c r="J4489" s="380" t="s">
        <v>773</v>
      </c>
      <c r="K4489" s="381">
        <v>7359.0</v>
      </c>
      <c r="L4489" s="382">
        <v>1.0</v>
      </c>
    </row>
    <row r="4490">
      <c r="A4490" s="380" t="s">
        <v>5360</v>
      </c>
      <c r="B4490" s="380" t="str">
        <f>IFERROR(__xludf.DUMMYFUNCTION("""COMPUTED_VALUE"""),"Valvula Rin Sellomatic Tr-573")</f>
        <v>Valvula Rin Sellomatic Tr-573</v>
      </c>
      <c r="C4490" s="380" t="str">
        <f>IFERROR(__xludf.DUMMYFUNCTION("""COMPUTED_VALUE"""),"60000377")</f>
        <v>60000377</v>
      </c>
      <c r="D4490" s="380" t="s">
        <v>767</v>
      </c>
      <c r="E4490" s="380" t="s">
        <v>875</v>
      </c>
      <c r="F4490" s="380" t="s">
        <v>985</v>
      </c>
      <c r="G4490" s="380" t="s">
        <v>1267</v>
      </c>
      <c r="H4490" s="380" t="s">
        <v>771</v>
      </c>
      <c r="I4490" s="380" t="s">
        <v>986</v>
      </c>
      <c r="J4490" s="380" t="s">
        <v>773</v>
      </c>
      <c r="K4490" s="381">
        <v>7967.0</v>
      </c>
      <c r="L4490" s="382">
        <v>1.0</v>
      </c>
    </row>
    <row r="4491">
      <c r="A4491" s="380" t="s">
        <v>5361</v>
      </c>
      <c r="B4491" s="380" t="str">
        <f>IFERROR(__xludf.DUMMYFUNCTION("""COMPUTED_VALUE"""),"Perno Rda Tras Con Tuercas Fot 1128 7705")</f>
        <v>Perno Rda Tras Con Tuercas Fot 1128 7705</v>
      </c>
      <c r="C4491" s="380" t="str">
        <f>IFERROR(__xludf.DUMMYFUNCTION("""COMPUTED_VALUE"""),"60000378")</f>
        <v>60000378</v>
      </c>
      <c r="D4491" s="380" t="s">
        <v>767</v>
      </c>
      <c r="E4491" s="380" t="s">
        <v>875</v>
      </c>
      <c r="F4491" s="380" t="s">
        <v>985</v>
      </c>
      <c r="G4491" s="380" t="s">
        <v>1267</v>
      </c>
      <c r="H4491" s="380" t="s">
        <v>771</v>
      </c>
      <c r="I4491" s="380" t="s">
        <v>986</v>
      </c>
      <c r="J4491" s="380" t="s">
        <v>773</v>
      </c>
      <c r="K4491" s="381">
        <v>0.0</v>
      </c>
      <c r="L4491" s="382">
        <v>1.0</v>
      </c>
    </row>
    <row r="4492">
      <c r="A4492" s="380" t="s">
        <v>5362</v>
      </c>
      <c r="B4492" s="380" t="str">
        <f>IFERROR(__xludf.DUMMYFUNCTION("""COMPUTED_VALUE"""),"Valvula Sellomatic Sc 21173")</f>
        <v>Valvula Sellomatic Sc 21173</v>
      </c>
      <c r="C4492" s="380" t="str">
        <f>IFERROR(__xludf.DUMMYFUNCTION("""COMPUTED_VALUE"""),"60000379")</f>
        <v>60000379</v>
      </c>
      <c r="D4492" s="380" t="s">
        <v>767</v>
      </c>
      <c r="E4492" s="380" t="s">
        <v>875</v>
      </c>
      <c r="F4492" s="380" t="s">
        <v>985</v>
      </c>
      <c r="G4492" s="380" t="s">
        <v>1267</v>
      </c>
      <c r="H4492" s="380" t="s">
        <v>771</v>
      </c>
      <c r="I4492" s="380" t="s">
        <v>986</v>
      </c>
      <c r="J4492" s="380" t="s">
        <v>773</v>
      </c>
      <c r="K4492" s="381">
        <v>919.0</v>
      </c>
      <c r="L4492" s="382">
        <v>1.0</v>
      </c>
    </row>
    <row r="4493">
      <c r="A4493" s="380" t="s">
        <v>5363</v>
      </c>
      <c r="B4493" s="380" t="str">
        <f>IFERROR(__xludf.DUMMYFUNCTION("""COMPUTED_VALUE"""),"Ri Rin 17.5 Ca3 Foton 1065 7701023775069")</f>
        <v>Ri Rin 17.5 Ca3 Foton 1065 7701023775069</v>
      </c>
      <c r="C4493" s="380" t="str">
        <f>IFERROR(__xludf.DUMMYFUNCTION("""COMPUTED_VALUE"""),"60000380")</f>
        <v>60000380</v>
      </c>
      <c r="D4493" s="380" t="s">
        <v>767</v>
      </c>
      <c r="E4493" s="380" t="s">
        <v>875</v>
      </c>
      <c r="F4493" s="380" t="s">
        <v>985</v>
      </c>
      <c r="G4493" s="380" t="s">
        <v>1267</v>
      </c>
      <c r="H4493" s="380" t="s">
        <v>771</v>
      </c>
      <c r="I4493" s="380" t="s">
        <v>986</v>
      </c>
      <c r="J4493" s="380" t="s">
        <v>773</v>
      </c>
      <c r="K4493" s="381">
        <v>1069626.0</v>
      </c>
      <c r="L4493" s="382">
        <v>1.0</v>
      </c>
    </row>
    <row r="4494">
      <c r="A4494" s="380" t="s">
        <v>5364</v>
      </c>
      <c r="B4494" s="380" t="str">
        <f>IFERROR(__xludf.DUMMYFUNCTION("""COMPUTED_VALUE"""),"Rin 15 Con Anillo Nkr")</f>
        <v>Rin 15 Con Anillo Nkr</v>
      </c>
      <c r="C4494" s="380" t="str">
        <f>IFERROR(__xludf.DUMMYFUNCTION("""COMPUTED_VALUE"""),"60000381")</f>
        <v>60000381</v>
      </c>
      <c r="D4494" s="380" t="s">
        <v>767</v>
      </c>
      <c r="E4494" s="380" t="s">
        <v>875</v>
      </c>
      <c r="F4494" s="380" t="s">
        <v>985</v>
      </c>
      <c r="G4494" s="380" t="s">
        <v>1267</v>
      </c>
      <c r="H4494" s="380" t="s">
        <v>771</v>
      </c>
      <c r="I4494" s="380" t="s">
        <v>986</v>
      </c>
      <c r="J4494" s="380" t="s">
        <v>773</v>
      </c>
      <c r="K4494" s="381">
        <v>0.0</v>
      </c>
      <c r="L4494" s="382">
        <v>1.0</v>
      </c>
    </row>
    <row r="4495">
      <c r="A4495" s="380" t="s">
        <v>5365</v>
      </c>
      <c r="B4495" s="380" t="str">
        <f>IFERROR(__xludf.DUMMYFUNCTION("""COMPUTED_VALUE"""),"Cuchillas P/Regrabe R 4-3 7mm Caja X 20")</f>
        <v>Cuchillas P/Regrabe R 4-3 7mm Caja X 20</v>
      </c>
      <c r="C4495" s="380" t="str">
        <f>IFERROR(__xludf.DUMMYFUNCTION("""COMPUTED_VALUE"""),"60000382")</f>
        <v>60000382</v>
      </c>
      <c r="D4495" s="380" t="s">
        <v>767</v>
      </c>
      <c r="E4495" s="380" t="s">
        <v>875</v>
      </c>
      <c r="F4495" s="380" t="s">
        <v>985</v>
      </c>
      <c r="G4495" s="380" t="s">
        <v>1267</v>
      </c>
      <c r="H4495" s="380" t="s">
        <v>771</v>
      </c>
      <c r="I4495" s="380" t="s">
        <v>986</v>
      </c>
      <c r="J4495" s="380" t="s">
        <v>773</v>
      </c>
      <c r="K4495" s="381">
        <v>0.0</v>
      </c>
      <c r="L4495" s="382">
        <v>1.0</v>
      </c>
    </row>
    <row r="4496">
      <c r="A4496" s="380" t="s">
        <v>5366</v>
      </c>
      <c r="B4496" s="380" t="str">
        <f>IFERROR(__xludf.DUMMYFUNCTION("""COMPUTED_VALUE"""),"Neumat Neumatico Moto Furgon 4.50-12 Akt")</f>
        <v>Neumat Neumatico Moto Furgon 4.50-12 Akt</v>
      </c>
      <c r="C4496" s="380" t="str">
        <f>IFERROR(__xludf.DUMMYFUNCTION("""COMPUTED_VALUE"""),"60000383")</f>
        <v>60000383</v>
      </c>
      <c r="D4496" s="380" t="s">
        <v>767</v>
      </c>
      <c r="E4496" s="380" t="s">
        <v>875</v>
      </c>
      <c r="F4496" s="380" t="s">
        <v>5293</v>
      </c>
      <c r="G4496" s="380" t="s">
        <v>1267</v>
      </c>
      <c r="H4496" s="380" t="s">
        <v>771</v>
      </c>
      <c r="I4496" s="380" t="s">
        <v>986</v>
      </c>
      <c r="J4496" s="380" t="s">
        <v>773</v>
      </c>
      <c r="K4496" s="381">
        <v>26500.0</v>
      </c>
      <c r="L4496" s="382">
        <v>1.0</v>
      </c>
    </row>
    <row r="4497">
      <c r="A4497" s="380" t="s">
        <v>5367</v>
      </c>
      <c r="B4497" s="380" t="str">
        <f>IFERROR(__xludf.DUMMYFUNCTION("""COMPUTED_VALUE"""),"Pesa Gancho Cte 3 Onzas Tipo Liviano")</f>
        <v>Pesa Gancho Cte 3 Onzas Tipo Liviano</v>
      </c>
      <c r="C4497" s="380" t="str">
        <f>IFERROR(__xludf.DUMMYFUNCTION("""COMPUTED_VALUE"""),"60000384")</f>
        <v>60000384</v>
      </c>
      <c r="D4497" s="380" t="s">
        <v>767</v>
      </c>
      <c r="E4497" s="380" t="s">
        <v>875</v>
      </c>
      <c r="F4497" s="380" t="s">
        <v>985</v>
      </c>
      <c r="G4497" s="380" t="s">
        <v>1267</v>
      </c>
      <c r="H4497" s="380" t="s">
        <v>771</v>
      </c>
      <c r="I4497" s="380" t="s">
        <v>986</v>
      </c>
      <c r="J4497" s="380" t="s">
        <v>773</v>
      </c>
      <c r="K4497" s="381">
        <v>658.0</v>
      </c>
      <c r="L4497" s="382">
        <v>1.0</v>
      </c>
    </row>
    <row r="4498">
      <c r="A4498" s="380" t="s">
        <v>5368</v>
      </c>
      <c r="B4498" s="380" t="str">
        <f>IFERROR(__xludf.DUMMYFUNCTION("""COMPUTED_VALUE"""),"Esparrago De Esparrago De 7/8x3/4x3.1/2")</f>
        <v>Esparrago De Esparrago De 7/8x3/4x3.1/2</v>
      </c>
      <c r="C4498" s="380" t="str">
        <f>IFERROR(__xludf.DUMMYFUNCTION("""COMPUTED_VALUE"""),"60000385")</f>
        <v>60000385</v>
      </c>
      <c r="D4498" s="380" t="s">
        <v>767</v>
      </c>
      <c r="E4498" s="380" t="s">
        <v>875</v>
      </c>
      <c r="F4498" s="380" t="s">
        <v>985</v>
      </c>
      <c r="G4498" s="380" t="s">
        <v>1267</v>
      </c>
      <c r="H4498" s="380" t="s">
        <v>771</v>
      </c>
      <c r="I4498" s="380" t="s">
        <v>986</v>
      </c>
      <c r="J4498" s="380" t="s">
        <v>773</v>
      </c>
      <c r="K4498" s="381">
        <v>0.0</v>
      </c>
      <c r="L4498" s="382">
        <v>1.0</v>
      </c>
    </row>
    <row r="4499">
      <c r="A4499" s="380" t="s">
        <v>5369</v>
      </c>
      <c r="B4499" s="380" t="str">
        <f>IFERROR(__xludf.DUMMYFUNCTION("""COMPUTED_VALUE"""),"Pesa Gancho Cte 5 Tipo Liviano")</f>
        <v>Pesa Gancho Cte 5 Tipo Liviano</v>
      </c>
      <c r="C4499" s="380" t="str">
        <f>IFERROR(__xludf.DUMMYFUNCTION("""COMPUTED_VALUE"""),"60000386")</f>
        <v>60000386</v>
      </c>
      <c r="D4499" s="380" t="s">
        <v>767</v>
      </c>
      <c r="E4499" s="380" t="s">
        <v>875</v>
      </c>
      <c r="F4499" s="380" t="s">
        <v>985</v>
      </c>
      <c r="G4499" s="380" t="s">
        <v>1267</v>
      </c>
      <c r="H4499" s="380" t="s">
        <v>771</v>
      </c>
      <c r="I4499" s="380" t="s">
        <v>986</v>
      </c>
      <c r="J4499" s="380" t="s">
        <v>773</v>
      </c>
      <c r="K4499" s="381">
        <v>1214.0</v>
      </c>
      <c r="L4499" s="382">
        <v>1.0</v>
      </c>
    </row>
    <row r="4500">
      <c r="A4500" s="380" t="s">
        <v>5370</v>
      </c>
      <c r="B4500" s="380" t="str">
        <f>IFERROR(__xludf.DUMMYFUNCTION("""COMPUTED_VALUE"""),"Perno Rueda Del Nhr 8971264860")</f>
        <v>Perno Rueda Del Nhr 8971264860</v>
      </c>
      <c r="C4500" s="380" t="str">
        <f>IFERROR(__xludf.DUMMYFUNCTION("""COMPUTED_VALUE"""),"60000387")</f>
        <v>60000387</v>
      </c>
      <c r="D4500" s="380" t="s">
        <v>767</v>
      </c>
      <c r="E4500" s="380" t="s">
        <v>875</v>
      </c>
      <c r="F4500" s="380" t="s">
        <v>985</v>
      </c>
      <c r="G4500" s="380" t="s">
        <v>1267</v>
      </c>
      <c r="H4500" s="380" t="s">
        <v>771</v>
      </c>
      <c r="I4500" s="380" t="s">
        <v>986</v>
      </c>
      <c r="J4500" s="380" t="s">
        <v>773</v>
      </c>
      <c r="K4500" s="381">
        <v>0.0</v>
      </c>
      <c r="L4500" s="382">
        <v>1.0</v>
      </c>
    </row>
    <row r="4501">
      <c r="A4501" s="380" t="s">
        <v>5371</v>
      </c>
      <c r="B4501" s="380" t="str">
        <f>IFERROR(__xludf.DUMMYFUNCTION("""COMPUTED_VALUE"""),"Rin Rueda 700-15 De Nhr 8941199440")</f>
        <v>Rin Rueda 700-15 De Nhr 8941199440</v>
      </c>
      <c r="C4501" s="380" t="str">
        <f>IFERROR(__xludf.DUMMYFUNCTION("""COMPUTED_VALUE"""),"60000388")</f>
        <v>60000388</v>
      </c>
      <c r="D4501" s="380" t="s">
        <v>767</v>
      </c>
      <c r="E4501" s="380" t="s">
        <v>875</v>
      </c>
      <c r="F4501" s="380" t="s">
        <v>985</v>
      </c>
      <c r="G4501" s="380" t="s">
        <v>1267</v>
      </c>
      <c r="H4501" s="380" t="s">
        <v>771</v>
      </c>
      <c r="I4501" s="380" t="s">
        <v>986</v>
      </c>
      <c r="J4501" s="380" t="s">
        <v>773</v>
      </c>
      <c r="K4501" s="381">
        <v>0.0</v>
      </c>
      <c r="L4501" s="382">
        <v>1.0</v>
      </c>
    </row>
    <row r="4502">
      <c r="A4502" s="380" t="s">
        <v>5372</v>
      </c>
      <c r="B4502" s="380" t="str">
        <f>IFERROR(__xludf.DUMMYFUNCTION("""COMPUTED_VALUE"""),"Caucho Valvula Sellomatic 24-166 Hi")</f>
        <v>Caucho Valvula Sellomatic 24-166 Hi</v>
      </c>
      <c r="C4502" s="380" t="str">
        <f>IFERROR(__xludf.DUMMYFUNCTION("""COMPUTED_VALUE"""),"60000389")</f>
        <v>60000389</v>
      </c>
      <c r="D4502" s="380" t="s">
        <v>767</v>
      </c>
      <c r="E4502" s="380" t="s">
        <v>875</v>
      </c>
      <c r="F4502" s="380" t="s">
        <v>985</v>
      </c>
      <c r="G4502" s="380" t="s">
        <v>1267</v>
      </c>
      <c r="H4502" s="380" t="s">
        <v>771</v>
      </c>
      <c r="I4502" s="380" t="s">
        <v>986</v>
      </c>
      <c r="J4502" s="380" t="s">
        <v>773</v>
      </c>
      <c r="K4502" s="381">
        <v>664.0</v>
      </c>
      <c r="L4502" s="382">
        <v>1.0</v>
      </c>
    </row>
    <row r="4503">
      <c r="A4503" s="380" t="s">
        <v>5373</v>
      </c>
      <c r="B4503" s="380" t="str">
        <f>IFERROR(__xludf.DUMMYFUNCTION("""COMPUTED_VALUE"""),"Rin Sellomatic Van Foton Mv5 14""")</f>
        <v>Rin Sellomatic Van Foton Mv5 14"</v>
      </c>
      <c r="C4503" s="380" t="str">
        <f>IFERROR(__xludf.DUMMYFUNCTION("""COMPUTED_VALUE"""),"60000390")</f>
        <v>60000390</v>
      </c>
      <c r="D4503" s="380" t="s">
        <v>767</v>
      </c>
      <c r="E4503" s="380" t="s">
        <v>875</v>
      </c>
      <c r="F4503" s="380" t="s">
        <v>985</v>
      </c>
      <c r="G4503" s="380" t="s">
        <v>1267</v>
      </c>
      <c r="H4503" s="380" t="s">
        <v>771</v>
      </c>
      <c r="I4503" s="380" t="s">
        <v>986</v>
      </c>
      <c r="J4503" s="380" t="s">
        <v>773</v>
      </c>
      <c r="K4503" s="381">
        <v>0.0</v>
      </c>
      <c r="L4503" s="382">
        <v>1.0</v>
      </c>
    </row>
    <row r="4504">
      <c r="A4504" s="380" t="s">
        <v>5374</v>
      </c>
      <c r="B4504" s="380" t="str">
        <f>IFERROR(__xludf.DUMMYFUNCTION("""COMPUTED_VALUE"""),"V Valvula Rin Sellomatic R22.5 Daf Vh769")</f>
        <v>V Valvula Rin Sellomatic R22.5 Daf Vh769</v>
      </c>
      <c r="C4504" s="380" t="str">
        <f>IFERROR(__xludf.DUMMYFUNCTION("""COMPUTED_VALUE"""),"60000391")</f>
        <v>60000391</v>
      </c>
      <c r="D4504" s="380" t="s">
        <v>767</v>
      </c>
      <c r="E4504" s="380" t="s">
        <v>875</v>
      </c>
      <c r="F4504" s="380" t="s">
        <v>985</v>
      </c>
      <c r="G4504" s="380" t="s">
        <v>1267</v>
      </c>
      <c r="H4504" s="380" t="s">
        <v>771</v>
      </c>
      <c r="I4504" s="380" t="s">
        <v>986</v>
      </c>
      <c r="J4504" s="380" t="s">
        <v>773</v>
      </c>
      <c r="K4504" s="381">
        <v>9401.0</v>
      </c>
      <c r="L4504" s="382">
        <v>1.0</v>
      </c>
    </row>
    <row r="4505">
      <c r="A4505" s="380" t="s">
        <v>5375</v>
      </c>
      <c r="B4505" s="380" t="str">
        <f>IFERROR(__xludf.DUMMYFUNCTION("""COMPUTED_VALUE"""),"Capuchon Esparrago RDA Tras D 8973598050")</f>
        <v>Capuchon Esparrago RDA Tras D 8973598050</v>
      </c>
      <c r="C4505" s="380" t="str">
        <f>IFERROR(__xludf.DUMMYFUNCTION("""COMPUTED_VALUE"""),"60000392")</f>
        <v>60000392</v>
      </c>
      <c r="D4505" s="380" t="s">
        <v>767</v>
      </c>
      <c r="E4505" s="380" t="s">
        <v>875</v>
      </c>
      <c r="F4505" s="380" t="s">
        <v>985</v>
      </c>
      <c r="G4505" s="380" t="s">
        <v>1267</v>
      </c>
      <c r="H4505" s="380" t="s">
        <v>771</v>
      </c>
      <c r="I4505" s="380" t="s">
        <v>986</v>
      </c>
      <c r="J4505" s="380" t="s">
        <v>773</v>
      </c>
      <c r="K4505" s="381">
        <v>0.0</v>
      </c>
      <c r="L4505" s="382">
        <v>1.0</v>
      </c>
    </row>
    <row r="4506">
      <c r="A4506" s="380" t="s">
        <v>5376</v>
      </c>
      <c r="B4506" s="380" t="str">
        <f>IFERROR(__xludf.DUMMYFUNCTION("""COMPUTED_VALUE"""),"Esparrago Con Tuerca Rin Disco")</f>
        <v>Esparrago Con Tuerca Rin Disco</v>
      </c>
      <c r="C4506" s="380" t="str">
        <f>IFERROR(__xludf.DUMMYFUNCTION("""COMPUTED_VALUE"""),"60000393")</f>
        <v>60000393</v>
      </c>
      <c r="D4506" s="380" t="s">
        <v>767</v>
      </c>
      <c r="E4506" s="380" t="s">
        <v>875</v>
      </c>
      <c r="F4506" s="380" t="s">
        <v>985</v>
      </c>
      <c r="G4506" s="380" t="s">
        <v>1267</v>
      </c>
      <c r="H4506" s="380" t="s">
        <v>771</v>
      </c>
      <c r="I4506" s="380" t="s">
        <v>986</v>
      </c>
      <c r="J4506" s="380" t="s">
        <v>773</v>
      </c>
      <c r="K4506" s="381">
        <v>0.0</v>
      </c>
      <c r="L4506" s="382">
        <v>1.0</v>
      </c>
    </row>
    <row r="4507">
      <c r="A4507" s="380" t="s">
        <v>5377</v>
      </c>
      <c r="B4507" s="380" t="str">
        <f>IFERROR(__xludf.DUMMYFUNCTION("""COMPUTED_VALUE"""),"Capuchon Perno RDA Tras Der N 8970815842")</f>
        <v>Capuchon Perno RDA Tras Der N 8970815842</v>
      </c>
      <c r="C4507" s="380" t="str">
        <f>IFERROR(__xludf.DUMMYFUNCTION("""COMPUTED_VALUE"""),"60000394")</f>
        <v>60000394</v>
      </c>
      <c r="D4507" s="380" t="s">
        <v>767</v>
      </c>
      <c r="E4507" s="380" t="s">
        <v>875</v>
      </c>
      <c r="F4507" s="380" t="s">
        <v>985</v>
      </c>
      <c r="G4507" s="380" t="s">
        <v>1267</v>
      </c>
      <c r="H4507" s="380" t="s">
        <v>771</v>
      </c>
      <c r="I4507" s="380" t="s">
        <v>986</v>
      </c>
      <c r="J4507" s="380" t="s">
        <v>773</v>
      </c>
      <c r="K4507" s="381">
        <v>0.0</v>
      </c>
      <c r="L4507" s="382">
        <v>1.0</v>
      </c>
    </row>
    <row r="4508">
      <c r="A4508" s="380" t="s">
        <v>5378</v>
      </c>
      <c r="B4508" s="380" t="str">
        <f>IFERROR(__xludf.DUMMYFUNCTION("""COMPUTED_VALUE"""),"Juego Pernos Tras Izq Delta 102-D621")</f>
        <v>Juego Pernos Tras Izq Delta 102-D621</v>
      </c>
      <c r="C4508" s="380" t="str">
        <f>IFERROR(__xludf.DUMMYFUNCTION("""COMPUTED_VALUE"""),"60000395")</f>
        <v>60000395</v>
      </c>
      <c r="D4508" s="380" t="s">
        <v>767</v>
      </c>
      <c r="E4508" s="380" t="s">
        <v>875</v>
      </c>
      <c r="F4508" s="380" t="s">
        <v>985</v>
      </c>
      <c r="G4508" s="380" t="s">
        <v>1267</v>
      </c>
      <c r="H4508" s="380" t="s">
        <v>771</v>
      </c>
      <c r="I4508" s="380" t="s">
        <v>986</v>
      </c>
      <c r="J4508" s="380" t="s">
        <v>773</v>
      </c>
      <c r="K4508" s="381">
        <v>0.0</v>
      </c>
      <c r="L4508" s="382">
        <v>1.0</v>
      </c>
    </row>
    <row r="4509">
      <c r="A4509" s="380" t="s">
        <v>5379</v>
      </c>
      <c r="B4509" s="380" t="str">
        <f>IFERROR(__xludf.DUMMYFUNCTION("""COMPUTED_VALUE"""),"Capuchon Perno RDA Tras Izq N 8980078110")</f>
        <v>Capuchon Perno RDA Tras Izq N 8980078110</v>
      </c>
      <c r="C4509" s="380" t="str">
        <f>IFERROR(__xludf.DUMMYFUNCTION("""COMPUTED_VALUE"""),"60000396")</f>
        <v>60000396</v>
      </c>
      <c r="D4509" s="380" t="s">
        <v>767</v>
      </c>
      <c r="E4509" s="380" t="s">
        <v>875</v>
      </c>
      <c r="F4509" s="380" t="s">
        <v>985</v>
      </c>
      <c r="G4509" s="380" t="s">
        <v>1267</v>
      </c>
      <c r="H4509" s="380" t="s">
        <v>771</v>
      </c>
      <c r="I4509" s="380" t="s">
        <v>986</v>
      </c>
      <c r="J4509" s="380" t="s">
        <v>773</v>
      </c>
      <c r="K4509" s="381">
        <v>0.0</v>
      </c>
      <c r="L4509" s="382">
        <v>1.0</v>
      </c>
    </row>
    <row r="4510">
      <c r="A4510" s="380" t="s">
        <v>5380</v>
      </c>
      <c r="B4510" s="380" t="str">
        <f>IFERROR(__xludf.DUMMYFUNCTION("""COMPUTED_VALUE"""),"Parche Ct22 75mm-165mm")</f>
        <v>Parche Ct22 75mm-165mm</v>
      </c>
      <c r="C4510" s="380" t="str">
        <f>IFERROR(__xludf.DUMMYFUNCTION("""COMPUTED_VALUE"""),"60000397")</f>
        <v>60000397</v>
      </c>
      <c r="D4510" s="380" t="s">
        <v>767</v>
      </c>
      <c r="E4510" s="380" t="s">
        <v>875</v>
      </c>
      <c r="F4510" s="380" t="s">
        <v>985</v>
      </c>
      <c r="G4510" s="380" t="s">
        <v>1267</v>
      </c>
      <c r="H4510" s="380" t="s">
        <v>771</v>
      </c>
      <c r="I4510" s="380" t="s">
        <v>986</v>
      </c>
      <c r="J4510" s="380" t="s">
        <v>773</v>
      </c>
      <c r="K4510" s="381">
        <v>20642.0</v>
      </c>
      <c r="L4510" s="382">
        <v>1.0</v>
      </c>
    </row>
    <row r="4511">
      <c r="A4511" s="380" t="s">
        <v>5381</v>
      </c>
      <c r="B4511" s="380" t="str">
        <f>IFERROR(__xludf.DUMMYFUNCTION("""COMPUTED_VALUE"""),"Liquido Vulcanizante 2946ml")</f>
        <v>Liquido Vulcanizante 2946ml</v>
      </c>
      <c r="C4511" s="380" t="str">
        <f>IFERROR(__xludf.DUMMYFUNCTION("""COMPUTED_VALUE"""),"60000398")</f>
        <v>60000398</v>
      </c>
      <c r="D4511" s="380" t="s">
        <v>767</v>
      </c>
      <c r="E4511" s="380" t="s">
        <v>875</v>
      </c>
      <c r="F4511" s="380" t="s">
        <v>985</v>
      </c>
      <c r="G4511" s="380" t="s">
        <v>1267</v>
      </c>
      <c r="H4511" s="380" t="s">
        <v>771</v>
      </c>
      <c r="I4511" s="380" t="s">
        <v>986</v>
      </c>
      <c r="J4511" s="380" t="s">
        <v>773</v>
      </c>
      <c r="K4511" s="381">
        <v>0.0</v>
      </c>
      <c r="L4511" s="382">
        <v>1.0</v>
      </c>
    </row>
    <row r="4512">
      <c r="A4512" s="380" t="s">
        <v>5382</v>
      </c>
      <c r="B4512" s="380" t="str">
        <f>IFERROR(__xludf.DUMMYFUNCTION("""COMPUTED_VALUE"""),"Sellador Para Capa De Butilo 470ml")</f>
        <v>Sellador Para Capa De Butilo 470ml</v>
      </c>
      <c r="C4512" s="380" t="str">
        <f>IFERROR(__xludf.DUMMYFUNCTION("""COMPUTED_VALUE"""),"60000399")</f>
        <v>60000399</v>
      </c>
      <c r="D4512" s="380" t="s">
        <v>767</v>
      </c>
      <c r="E4512" s="380" t="s">
        <v>875</v>
      </c>
      <c r="F4512" s="380" t="s">
        <v>985</v>
      </c>
      <c r="G4512" s="380" t="s">
        <v>1267</v>
      </c>
      <c r="H4512" s="380" t="s">
        <v>771</v>
      </c>
      <c r="I4512" s="380" t="s">
        <v>986</v>
      </c>
      <c r="J4512" s="380" t="s">
        <v>773</v>
      </c>
      <c r="K4512" s="381">
        <v>166038.0</v>
      </c>
      <c r="L4512" s="382">
        <v>1.0</v>
      </c>
    </row>
    <row r="4513">
      <c r="A4513" s="380" t="s">
        <v>5383</v>
      </c>
      <c r="B4513" s="380" t="str">
        <f>IFERROR(__xludf.DUMMYFUNCTION("""COMPUTED_VALUE"""),"Neumatico Moto 300-18, 400-18")</f>
        <v>Neumatico Moto 300-18, 400-18</v>
      </c>
      <c r="C4513" s="380" t="str">
        <f>IFERROR(__xludf.DUMMYFUNCTION("""COMPUTED_VALUE"""),"60000400")</f>
        <v>60000400</v>
      </c>
      <c r="D4513" s="380" t="s">
        <v>767</v>
      </c>
      <c r="E4513" s="380" t="s">
        <v>875</v>
      </c>
      <c r="F4513" s="380" t="s">
        <v>5293</v>
      </c>
      <c r="G4513" s="380" t="s">
        <v>1267</v>
      </c>
      <c r="H4513" s="380" t="s">
        <v>771</v>
      </c>
      <c r="I4513" s="380" t="s">
        <v>986</v>
      </c>
      <c r="J4513" s="380" t="s">
        <v>773</v>
      </c>
      <c r="K4513" s="381">
        <v>0.0</v>
      </c>
      <c r="L4513" s="382">
        <v>1.0</v>
      </c>
    </row>
    <row r="4514">
      <c r="A4514" s="380" t="s">
        <v>5384</v>
      </c>
      <c r="B4514" s="380" t="str">
        <f>IFERROR(__xludf.DUMMYFUNCTION("""COMPUTED_VALUE"""),"Pesa Gancho Cte 2 Tipo Liviano")</f>
        <v>Pesa Gancho Cte 2 Tipo Liviano</v>
      </c>
      <c r="C4514" s="380" t="str">
        <f>IFERROR(__xludf.DUMMYFUNCTION("""COMPUTED_VALUE"""),"60000401")</f>
        <v>60000401</v>
      </c>
      <c r="D4514" s="380" t="s">
        <v>767</v>
      </c>
      <c r="E4514" s="380" t="s">
        <v>875</v>
      </c>
      <c r="F4514" s="380" t="s">
        <v>985</v>
      </c>
      <c r="G4514" s="380" t="s">
        <v>1267</v>
      </c>
      <c r="H4514" s="380" t="s">
        <v>771</v>
      </c>
      <c r="I4514" s="380" t="s">
        <v>986</v>
      </c>
      <c r="J4514" s="380" t="s">
        <v>773</v>
      </c>
      <c r="K4514" s="381">
        <v>0.0</v>
      </c>
      <c r="L4514" s="382">
        <v>1.0</v>
      </c>
    </row>
    <row r="4515">
      <c r="A4515" s="380" t="s">
        <v>5385</v>
      </c>
      <c r="B4515" s="380" t="str">
        <f>IFERROR(__xludf.DUMMYFUNCTION("""COMPUTED_VALUE"""),"Pesa Gancho Cte 1/2 Acero")</f>
        <v>Pesa Gancho Cte 1/2 Acero</v>
      </c>
      <c r="C4515" s="380" t="str">
        <f>IFERROR(__xludf.DUMMYFUNCTION("""COMPUTED_VALUE"""),"60000402")</f>
        <v>60000402</v>
      </c>
      <c r="D4515" s="380" t="s">
        <v>767</v>
      </c>
      <c r="E4515" s="380" t="s">
        <v>875</v>
      </c>
      <c r="F4515" s="380" t="s">
        <v>985</v>
      </c>
      <c r="G4515" s="380" t="s">
        <v>1267</v>
      </c>
      <c r="H4515" s="380" t="s">
        <v>771</v>
      </c>
      <c r="I4515" s="380" t="s">
        <v>986</v>
      </c>
      <c r="J4515" s="380" t="s">
        <v>773</v>
      </c>
      <c r="K4515" s="381">
        <v>0.0</v>
      </c>
      <c r="L4515" s="382">
        <v>1.0</v>
      </c>
    </row>
    <row r="4516">
      <c r="A4516" s="380" t="s">
        <v>5386</v>
      </c>
      <c r="B4516" s="380" t="str">
        <f>IFERROR(__xludf.DUMMYFUNCTION("""COMPUTED_VALUE"""),"Tuerca Perno Rda Tras Der Nhr 5423330080")</f>
        <v>Tuerca Perno Rda Tras Der Nhr 5423330080</v>
      </c>
      <c r="C4516" s="380" t="str">
        <f>IFERROR(__xludf.DUMMYFUNCTION("""COMPUTED_VALUE"""),"60000403")</f>
        <v>60000403</v>
      </c>
      <c r="D4516" s="380" t="s">
        <v>767</v>
      </c>
      <c r="E4516" s="380" t="s">
        <v>875</v>
      </c>
      <c r="F4516" s="380" t="s">
        <v>985</v>
      </c>
      <c r="G4516" s="380" t="s">
        <v>1267</v>
      </c>
      <c r="H4516" s="380" t="s">
        <v>771</v>
      </c>
      <c r="I4516" s="380" t="s">
        <v>986</v>
      </c>
      <c r="J4516" s="380" t="s">
        <v>773</v>
      </c>
      <c r="K4516" s="381">
        <v>0.0</v>
      </c>
      <c r="L4516" s="382">
        <v>1.0</v>
      </c>
    </row>
    <row r="4517">
      <c r="A4517" s="380" t="s">
        <v>5387</v>
      </c>
      <c r="B4517" s="380" t="str">
        <f>IFERROR(__xludf.DUMMYFUNCTION("""COMPUTED_VALUE"""),"Perno Tras Der Nhr 8971264880")</f>
        <v>Perno Tras Der Nhr 8971264880</v>
      </c>
      <c r="C4517" s="380" t="str">
        <f>IFERROR(__xludf.DUMMYFUNCTION("""COMPUTED_VALUE"""),"60000404")</f>
        <v>60000404</v>
      </c>
      <c r="D4517" s="380" t="s">
        <v>767</v>
      </c>
      <c r="E4517" s="380" t="s">
        <v>875</v>
      </c>
      <c r="F4517" s="380" t="s">
        <v>985</v>
      </c>
      <c r="G4517" s="380" t="s">
        <v>1267</v>
      </c>
      <c r="H4517" s="380" t="s">
        <v>771</v>
      </c>
      <c r="I4517" s="380" t="s">
        <v>986</v>
      </c>
      <c r="J4517" s="380" t="s">
        <v>773</v>
      </c>
      <c r="K4517" s="381">
        <v>0.0</v>
      </c>
      <c r="L4517" s="382">
        <v>1.0</v>
      </c>
    </row>
    <row r="4518">
      <c r="A4518" s="380" t="s">
        <v>5388</v>
      </c>
      <c r="B4518" s="380" t="str">
        <f>IFERROR(__xludf.DUMMYFUNCTION("""COMPUTED_VALUE"""),"Pesa Gancho Cte 3/4 Tipo Liviano")</f>
        <v>Pesa Gancho Cte 3/4 Tipo Liviano</v>
      </c>
      <c r="C4518" s="380" t="str">
        <f>IFERROR(__xludf.DUMMYFUNCTION("""COMPUTED_VALUE"""),"60000405")</f>
        <v>60000405</v>
      </c>
      <c r="D4518" s="380" t="s">
        <v>767</v>
      </c>
      <c r="E4518" s="380" t="s">
        <v>875</v>
      </c>
      <c r="F4518" s="380" t="s">
        <v>985</v>
      </c>
      <c r="G4518" s="380" t="s">
        <v>1267</v>
      </c>
      <c r="H4518" s="380" t="s">
        <v>771</v>
      </c>
      <c r="I4518" s="380" t="s">
        <v>986</v>
      </c>
      <c r="J4518" s="380" t="s">
        <v>773</v>
      </c>
      <c r="K4518" s="381">
        <v>0.0</v>
      </c>
      <c r="L4518" s="382">
        <v>1.0</v>
      </c>
    </row>
    <row r="4519">
      <c r="A4519" s="380" t="s">
        <v>5389</v>
      </c>
      <c r="B4519" s="380" t="str">
        <f>IFERROR(__xludf.DUMMYFUNCTION("""COMPUTED_VALUE"""),"Aro Rin 16 Npr - T Delta R-16")</f>
        <v>Aro Rin 16 Npr - T Delta R-16</v>
      </c>
      <c r="C4519" s="380" t="str">
        <f>IFERROR(__xludf.DUMMYFUNCTION("""COMPUTED_VALUE"""),"60000406")</f>
        <v>60000406</v>
      </c>
      <c r="D4519" s="380" t="s">
        <v>767</v>
      </c>
      <c r="E4519" s="380" t="s">
        <v>875</v>
      </c>
      <c r="F4519" s="380" t="s">
        <v>985</v>
      </c>
      <c r="G4519" s="380" t="s">
        <v>1267</v>
      </c>
      <c r="H4519" s="380" t="s">
        <v>771</v>
      </c>
      <c r="I4519" s="380" t="s">
        <v>986</v>
      </c>
      <c r="J4519" s="380" t="s">
        <v>773</v>
      </c>
      <c r="K4519" s="381">
        <v>0.0</v>
      </c>
      <c r="L4519" s="382">
        <v>1.0</v>
      </c>
    </row>
    <row r="4520">
      <c r="A4520" s="380" t="s">
        <v>5390</v>
      </c>
      <c r="B4520" s="380" t="str">
        <f>IFERROR(__xludf.DUMMYFUNCTION("""COMPUTED_VALUE"""),"Taco Parche Llantas")</f>
        <v>Taco Parche Llantas</v>
      </c>
      <c r="C4520" s="380" t="str">
        <f>IFERROR(__xludf.DUMMYFUNCTION("""COMPUTED_VALUE"""),"60000407")</f>
        <v>60000407</v>
      </c>
      <c r="D4520" s="380" t="s">
        <v>767</v>
      </c>
      <c r="E4520" s="380" t="s">
        <v>875</v>
      </c>
      <c r="F4520" s="380" t="s">
        <v>985</v>
      </c>
      <c r="G4520" s="380" t="s">
        <v>1267</v>
      </c>
      <c r="H4520" s="380" t="s">
        <v>771</v>
      </c>
      <c r="I4520" s="380" t="s">
        <v>986</v>
      </c>
      <c r="J4520" s="380" t="s">
        <v>773</v>
      </c>
      <c r="K4520" s="381">
        <v>0.0</v>
      </c>
      <c r="L4520" s="382">
        <v>1.0</v>
      </c>
    </row>
    <row r="4521">
      <c r="A4521" s="380" t="s">
        <v>5391</v>
      </c>
      <c r="B4521" s="380" t="str">
        <f>IFERROR(__xludf.DUMMYFUNCTION("""COMPUTED_VALUE"""),"Pesa Pesa Gancho Cte 4. 1/2 Tipo Liviano")</f>
        <v>Pesa Pesa Gancho Cte 4. 1/2 Tipo Liviano</v>
      </c>
      <c r="C4521" s="380" t="str">
        <f>IFERROR(__xludf.DUMMYFUNCTION("""COMPUTED_VALUE"""),"60000408")</f>
        <v>60000408</v>
      </c>
      <c r="D4521" s="380" t="s">
        <v>767</v>
      </c>
      <c r="E4521" s="380" t="s">
        <v>875</v>
      </c>
      <c r="F4521" s="380" t="s">
        <v>985</v>
      </c>
      <c r="G4521" s="380" t="s">
        <v>1267</v>
      </c>
      <c r="H4521" s="380" t="s">
        <v>771</v>
      </c>
      <c r="I4521" s="380" t="s">
        <v>986</v>
      </c>
      <c r="J4521" s="380" t="s">
        <v>773</v>
      </c>
      <c r="K4521" s="381">
        <v>1008.0</v>
      </c>
      <c r="L4521" s="382">
        <v>1.0</v>
      </c>
    </row>
    <row r="4522">
      <c r="A4522" s="380" t="s">
        <v>5392</v>
      </c>
      <c r="B4522" s="380" t="str">
        <f>IFERROR(__xludf.DUMMYFUNCTION("""COMPUTED_VALUE"""),"Rin 16 Con Anillo Npr 94438670")</f>
        <v>Rin 16 Con Anillo Npr 94438670</v>
      </c>
      <c r="C4522" s="380" t="str">
        <f>IFERROR(__xludf.DUMMYFUNCTION("""COMPUTED_VALUE"""),"60000409")</f>
        <v>60000409</v>
      </c>
      <c r="D4522" s="380" t="s">
        <v>767</v>
      </c>
      <c r="E4522" s="380" t="s">
        <v>875</v>
      </c>
      <c r="F4522" s="380" t="s">
        <v>985</v>
      </c>
      <c r="G4522" s="380" t="s">
        <v>1267</v>
      </c>
      <c r="H4522" s="380" t="s">
        <v>771</v>
      </c>
      <c r="I4522" s="380" t="s">
        <v>986</v>
      </c>
      <c r="J4522" s="380" t="s">
        <v>773</v>
      </c>
      <c r="K4522" s="381">
        <v>0.0</v>
      </c>
      <c r="L4522" s="382">
        <v>1.0</v>
      </c>
    </row>
    <row r="4523">
      <c r="A4523" s="380" t="s">
        <v>5393</v>
      </c>
      <c r="B4523" s="380" t="str">
        <f>IFERROR(__xludf.DUMMYFUNCTION("""COMPUTED_VALUE"""),"Perno RDA DEL FT 1128 7705946768009")</f>
        <v>Perno RDA DEL FT 1128 7705946768009</v>
      </c>
      <c r="C4523" s="380" t="str">
        <f>IFERROR(__xludf.DUMMYFUNCTION("""COMPUTED_VALUE"""),"60000410")</f>
        <v>60000410</v>
      </c>
      <c r="D4523" s="380" t="s">
        <v>767</v>
      </c>
      <c r="E4523" s="380" t="s">
        <v>875</v>
      </c>
      <c r="F4523" s="380" t="s">
        <v>985</v>
      </c>
      <c r="G4523" s="380" t="s">
        <v>1267</v>
      </c>
      <c r="H4523" s="380" t="s">
        <v>771</v>
      </c>
      <c r="I4523" s="380" t="s">
        <v>986</v>
      </c>
      <c r="J4523" s="380" t="s">
        <v>773</v>
      </c>
      <c r="K4523" s="381">
        <v>25999.0</v>
      </c>
      <c r="L4523" s="382">
        <v>1.0</v>
      </c>
    </row>
    <row r="4524">
      <c r="A4524" s="380" t="s">
        <v>5394</v>
      </c>
      <c r="B4524" s="380" t="str">
        <f>IFERROR(__xludf.DUMMYFUNCTION("""COMPUTED_VALUE"""),"Tuerca INTna Eje De RDA DEL Jac 1120 310")</f>
        <v>Tuerca INTna Eje De RDA DEL Jac 1120 310</v>
      </c>
      <c r="C4524" s="380" t="str">
        <f>IFERROR(__xludf.DUMMYFUNCTION("""COMPUTED_VALUE"""),"60000411")</f>
        <v>60000411</v>
      </c>
      <c r="D4524" s="380" t="s">
        <v>767</v>
      </c>
      <c r="E4524" s="380" t="s">
        <v>875</v>
      </c>
      <c r="F4524" s="380" t="s">
        <v>985</v>
      </c>
      <c r="G4524" s="380" t="s">
        <v>1267</v>
      </c>
      <c r="H4524" s="380" t="s">
        <v>771</v>
      </c>
      <c r="I4524" s="380" t="s">
        <v>986</v>
      </c>
      <c r="J4524" s="380" t="s">
        <v>773</v>
      </c>
      <c r="K4524" s="381">
        <v>0.0</v>
      </c>
      <c r="L4524" s="382">
        <v>1.0</v>
      </c>
    </row>
    <row r="4525">
      <c r="A4525" s="380" t="s">
        <v>5395</v>
      </c>
      <c r="B4525" s="380" t="str">
        <f>IFERROR(__xludf.DUMMYFUNCTION("""COMPUTED_VALUE"""),"Llanta Moto Trasera 300/18 300x18")</f>
        <v>Llanta Moto Trasera 300/18 300x18</v>
      </c>
      <c r="C4525" s="380" t="str">
        <f>IFERROR(__xludf.DUMMYFUNCTION("""COMPUTED_VALUE"""),"60000412")</f>
        <v>60000412</v>
      </c>
      <c r="D4525" s="380" t="s">
        <v>767</v>
      </c>
      <c r="E4525" s="380" t="s">
        <v>875</v>
      </c>
      <c r="F4525" s="380" t="s">
        <v>985</v>
      </c>
      <c r="G4525" s="380" t="s">
        <v>1267</v>
      </c>
      <c r="H4525" s="380" t="s">
        <v>771</v>
      </c>
      <c r="I4525" s="380" t="s">
        <v>986</v>
      </c>
      <c r="J4525" s="380" t="s">
        <v>773</v>
      </c>
      <c r="K4525" s="381">
        <v>199000.0</v>
      </c>
      <c r="L4525" s="382">
        <v>1.0</v>
      </c>
    </row>
    <row r="4526">
      <c r="A4526" s="380" t="s">
        <v>5396</v>
      </c>
      <c r="B4526" s="380" t="str">
        <f>IFERROR(__xludf.DUMMYFUNCTION("""COMPUTED_VALUE"""),"Llanta Moto Pir Tras 130/70r17 250x18")</f>
        <v>Llanta Moto Pir Tras 130/70r17 250x18</v>
      </c>
      <c r="C4526" s="380" t="str">
        <f>IFERROR(__xludf.DUMMYFUNCTION("""COMPUTED_VALUE"""),"60000413")</f>
        <v>60000413</v>
      </c>
      <c r="D4526" s="380" t="s">
        <v>767</v>
      </c>
      <c r="E4526" s="380" t="s">
        <v>875</v>
      </c>
      <c r="F4526" s="380" t="s">
        <v>985</v>
      </c>
      <c r="G4526" s="380" t="s">
        <v>1267</v>
      </c>
      <c r="H4526" s="380" t="s">
        <v>771</v>
      </c>
      <c r="I4526" s="380" t="s">
        <v>986</v>
      </c>
      <c r="J4526" s="380" t="s">
        <v>773</v>
      </c>
      <c r="K4526" s="381">
        <v>0.0</v>
      </c>
      <c r="L4526" s="382">
        <v>1.0</v>
      </c>
    </row>
    <row r="4527">
      <c r="A4527" s="380" t="s">
        <v>5397</v>
      </c>
      <c r="B4527" s="380" t="str">
        <f>IFERROR(__xludf.DUMMYFUNCTION("""COMPUTED_VALUE"""),"Llanta Giti Gar 820 DIRal 235/75r17.5")</f>
        <v>Llanta Giti Gar 820 DIRal 235/75r17.5</v>
      </c>
      <c r="C4527" s="380" t="str">
        <f>IFERROR(__xludf.DUMMYFUNCTION("""COMPUTED_VALUE"""),"60000414")</f>
        <v>60000414</v>
      </c>
      <c r="D4527" s="380" t="s">
        <v>767</v>
      </c>
      <c r="E4527" s="380" t="s">
        <v>875</v>
      </c>
      <c r="F4527" s="380" t="s">
        <v>985</v>
      </c>
      <c r="G4527" s="380" t="s">
        <v>1267</v>
      </c>
      <c r="H4527" s="380" t="s">
        <v>771</v>
      </c>
      <c r="I4527" s="380" t="s">
        <v>986</v>
      </c>
      <c r="J4527" s="380" t="s">
        <v>773</v>
      </c>
      <c r="K4527" s="381">
        <v>0.0</v>
      </c>
      <c r="L4527" s="382">
        <v>1.0</v>
      </c>
    </row>
    <row r="4528">
      <c r="A4528" s="380" t="s">
        <v>5398</v>
      </c>
      <c r="B4528" s="380" t="str">
        <f>IFERROR(__xludf.DUMMYFUNCTION("""COMPUTED_VALUE"""),"Llanta Giti Gar 820 DIRal 205/75r17.5")</f>
        <v>Llanta Giti Gar 820 DIRal 205/75r17.5</v>
      </c>
      <c r="C4528" s="380" t="str">
        <f>IFERROR(__xludf.DUMMYFUNCTION("""COMPUTED_VALUE"""),"60000415")</f>
        <v>60000415</v>
      </c>
      <c r="D4528" s="380" t="s">
        <v>767</v>
      </c>
      <c r="E4528" s="380" t="s">
        <v>875</v>
      </c>
      <c r="F4528" s="380" t="s">
        <v>985</v>
      </c>
      <c r="G4528" s="380" t="s">
        <v>1267</v>
      </c>
      <c r="H4528" s="380" t="s">
        <v>771</v>
      </c>
      <c r="I4528" s="380" t="s">
        <v>986</v>
      </c>
      <c r="J4528" s="380" t="s">
        <v>773</v>
      </c>
      <c r="K4528" s="381">
        <v>0.0</v>
      </c>
      <c r="L4528" s="382">
        <v>1.0</v>
      </c>
    </row>
    <row r="4529">
      <c r="A4529" s="380" t="s">
        <v>5399</v>
      </c>
      <c r="B4529" s="380" t="str">
        <f>IFERROR(__xludf.DUMMYFUNCTION("""COMPUTED_VALUE"""),"Llanta 275/80r22.5 Traccion X Multi D Mi")</f>
        <v>Llanta 275/80r22.5 Traccion X Multi D Mi</v>
      </c>
      <c r="C4529" s="380" t="str">
        <f>IFERROR(__xludf.DUMMYFUNCTION("""COMPUTED_VALUE"""),"60000416")</f>
        <v>60000416</v>
      </c>
      <c r="D4529" s="380" t="s">
        <v>767</v>
      </c>
      <c r="E4529" s="380" t="s">
        <v>875</v>
      </c>
      <c r="F4529" s="380" t="s">
        <v>985</v>
      </c>
      <c r="G4529" s="380" t="s">
        <v>1267</v>
      </c>
      <c r="H4529" s="380" t="s">
        <v>771</v>
      </c>
      <c r="I4529" s="380" t="s">
        <v>986</v>
      </c>
      <c r="J4529" s="380" t="s">
        <v>773</v>
      </c>
      <c r="K4529" s="381">
        <v>0.0</v>
      </c>
      <c r="L4529" s="382">
        <v>1.0</v>
      </c>
    </row>
    <row r="4530">
      <c r="A4530" s="380" t="s">
        <v>5400</v>
      </c>
      <c r="B4530" s="380" t="str">
        <f>IFERROR(__xludf.DUMMYFUNCTION("""COMPUTED_VALUE"""),"Llanta Reencauchada Vcb Vipal 750-16")</f>
        <v>Llanta Reencauchada Vcb Vipal 750-16</v>
      </c>
      <c r="C4530" s="380" t="str">
        <f>IFERROR(__xludf.DUMMYFUNCTION("""COMPUTED_VALUE"""),"60000417")</f>
        <v>60000417</v>
      </c>
      <c r="D4530" s="380" t="s">
        <v>767</v>
      </c>
      <c r="E4530" s="380" t="s">
        <v>875</v>
      </c>
      <c r="F4530" s="380" t="s">
        <v>5140</v>
      </c>
      <c r="G4530" s="380" t="s">
        <v>1267</v>
      </c>
      <c r="H4530" s="380" t="s">
        <v>771</v>
      </c>
      <c r="I4530" s="380" t="s">
        <v>5141</v>
      </c>
      <c r="J4530" s="380" t="s">
        <v>773</v>
      </c>
      <c r="K4530" s="381">
        <v>0.0</v>
      </c>
      <c r="L4530" s="382">
        <v>1.0</v>
      </c>
    </row>
    <row r="4531">
      <c r="A4531" s="380" t="s">
        <v>5401</v>
      </c>
      <c r="B4531" s="380" t="str">
        <f>IFERROR(__xludf.DUMMYFUNCTION("""COMPUTED_VALUE"""),"Llanta 215/75r17.5 Cb Reencauc")</f>
        <v>Llanta 215/75r17.5 Cb Reencauc</v>
      </c>
      <c r="C4531" s="380" t="str">
        <f>IFERROR(__xludf.DUMMYFUNCTION("""COMPUTED_VALUE"""),"60000418")</f>
        <v>60000418</v>
      </c>
      <c r="D4531" s="380" t="s">
        <v>767</v>
      </c>
      <c r="E4531" s="380" t="s">
        <v>875</v>
      </c>
      <c r="F4531" s="380" t="s">
        <v>985</v>
      </c>
      <c r="G4531" s="380" t="s">
        <v>1267</v>
      </c>
      <c r="H4531" s="380" t="s">
        <v>771</v>
      </c>
      <c r="I4531" s="380" t="s">
        <v>986</v>
      </c>
      <c r="J4531" s="380" t="s">
        <v>773</v>
      </c>
      <c r="K4531" s="381">
        <v>0.0</v>
      </c>
      <c r="L4531" s="382">
        <v>1.0</v>
      </c>
    </row>
    <row r="4532">
      <c r="A4532" s="380" t="s">
        <v>5402</v>
      </c>
      <c r="B4532" s="380" t="str">
        <f>IFERROR(__xludf.DUMMYFUNCTION("""COMPUTED_VALUE"""),"Llanta 295/80 Reencauchadavl110")</f>
        <v>Llanta 295/80 Reencauchadavl110</v>
      </c>
      <c r="C4532" s="380" t="str">
        <f>IFERROR(__xludf.DUMMYFUNCTION("""COMPUTED_VALUE"""),"60000419")</f>
        <v>60000419</v>
      </c>
      <c r="D4532" s="380" t="s">
        <v>767</v>
      </c>
      <c r="E4532" s="380" t="s">
        <v>875</v>
      </c>
      <c r="F4532" s="380" t="s">
        <v>5140</v>
      </c>
      <c r="G4532" s="380" t="s">
        <v>1267</v>
      </c>
      <c r="H4532" s="380" t="s">
        <v>771</v>
      </c>
      <c r="I4532" s="380" t="s">
        <v>5141</v>
      </c>
      <c r="J4532" s="380" t="s">
        <v>773</v>
      </c>
      <c r="K4532" s="381">
        <v>0.0</v>
      </c>
      <c r="L4532" s="382">
        <v>1.0</v>
      </c>
    </row>
    <row r="4533">
      <c r="A4533" s="380" t="s">
        <v>5403</v>
      </c>
      <c r="B4533" s="380" t="str">
        <f>IFERROR(__xludf.DUMMYFUNCTION("""COMPUTED_VALUE"""),"Limpiador Rubomatic 945ml")</f>
        <v>Limpiador Rubomatic 945ml</v>
      </c>
      <c r="C4533" s="380" t="str">
        <f>IFERROR(__xludf.DUMMYFUNCTION("""COMPUTED_VALUE"""),"60000420")</f>
        <v>60000420</v>
      </c>
      <c r="D4533" s="380" t="s">
        <v>767</v>
      </c>
      <c r="E4533" s="380" t="s">
        <v>875</v>
      </c>
      <c r="F4533" s="380" t="s">
        <v>985</v>
      </c>
      <c r="G4533" s="380" t="s">
        <v>1267</v>
      </c>
      <c r="H4533" s="380" t="s">
        <v>771</v>
      </c>
      <c r="I4533" s="380" t="s">
        <v>986</v>
      </c>
      <c r="J4533" s="380" t="s">
        <v>773</v>
      </c>
      <c r="K4533" s="381">
        <v>88030.0</v>
      </c>
      <c r="L4533" s="382">
        <v>1.0</v>
      </c>
    </row>
    <row r="4534">
      <c r="A4534" s="380" t="s">
        <v>5404</v>
      </c>
      <c r="B4534" s="380" t="str">
        <f>IFERROR(__xludf.DUMMYFUNCTION("""COMPUTED_VALUE"""),"Taco Parche Radial Seal 15mm")</f>
        <v>Taco Parche Radial Seal 15mm</v>
      </c>
      <c r="C4534" s="380" t="str">
        <f>IFERROR(__xludf.DUMMYFUNCTION("""COMPUTED_VALUE"""),"60000421")</f>
        <v>60000421</v>
      </c>
      <c r="D4534" s="380" t="s">
        <v>767</v>
      </c>
      <c r="E4534" s="380" t="s">
        <v>875</v>
      </c>
      <c r="F4534" s="380" t="s">
        <v>985</v>
      </c>
      <c r="G4534" s="380" t="s">
        <v>1267</v>
      </c>
      <c r="H4534" s="380" t="s">
        <v>771</v>
      </c>
      <c r="I4534" s="380" t="s">
        <v>986</v>
      </c>
      <c r="J4534" s="380" t="s">
        <v>773</v>
      </c>
      <c r="K4534" s="381">
        <v>0.0</v>
      </c>
      <c r="L4534" s="382">
        <v>1.0</v>
      </c>
    </row>
    <row r="4535">
      <c r="A4535" s="380" t="s">
        <v>5405</v>
      </c>
      <c r="B4535" s="380" t="str">
        <f>IFERROR(__xludf.DUMMYFUNCTION("""COMPUTED_VALUE"""),"Parche Ct12 60mm X 110mm")</f>
        <v>Parche Ct12 60mm X 110mm</v>
      </c>
      <c r="C4535" s="380" t="str">
        <f>IFERROR(__xludf.DUMMYFUNCTION("""COMPUTED_VALUE"""),"60000422")</f>
        <v>60000422</v>
      </c>
      <c r="D4535" s="380" t="s">
        <v>767</v>
      </c>
      <c r="E4535" s="380" t="s">
        <v>875</v>
      </c>
      <c r="F4535" s="380" t="s">
        <v>985</v>
      </c>
      <c r="G4535" s="380" t="s">
        <v>1267</v>
      </c>
      <c r="H4535" s="380" t="s">
        <v>771</v>
      </c>
      <c r="I4535" s="380" t="s">
        <v>986</v>
      </c>
      <c r="J4535" s="380" t="s">
        <v>773</v>
      </c>
      <c r="K4535" s="381">
        <v>14310.0</v>
      </c>
      <c r="L4535" s="382">
        <v>1.0</v>
      </c>
    </row>
    <row r="4536">
      <c r="A4536" s="380" t="s">
        <v>5406</v>
      </c>
      <c r="B4536" s="380" t="str">
        <f>IFERROR(__xludf.DUMMYFUNCTION("""COMPUTED_VALUE"""),"Taco Parche Radial-Seal 13mm 291/38")</f>
        <v>Taco Parche Radial-Seal 13mm 291/38</v>
      </c>
      <c r="C4536" s="380" t="str">
        <f>IFERROR(__xludf.DUMMYFUNCTION("""COMPUTED_VALUE"""),"60000423")</f>
        <v>60000423</v>
      </c>
      <c r="D4536" s="380" t="s">
        <v>767</v>
      </c>
      <c r="E4536" s="380" t="s">
        <v>875</v>
      </c>
      <c r="F4536" s="380" t="s">
        <v>985</v>
      </c>
      <c r="G4536" s="380" t="s">
        <v>1267</v>
      </c>
      <c r="H4536" s="380" t="s">
        <v>771</v>
      </c>
      <c r="I4536" s="380" t="s">
        <v>986</v>
      </c>
      <c r="J4536" s="380" t="s">
        <v>773</v>
      </c>
      <c r="K4536" s="381">
        <v>0.0</v>
      </c>
      <c r="L4536" s="382">
        <v>1.0</v>
      </c>
    </row>
    <row r="4537">
      <c r="A4537" s="380" t="s">
        <v>5407</v>
      </c>
      <c r="B4537" s="380" t="str">
        <f>IFERROR(__xludf.DUMMYFUNCTION("""COMPUTED_VALUE"""),"Parche Ct14 75mm*145mm /169")</f>
        <v>Parche Ct14 75mm*145mm /169</v>
      </c>
      <c r="C4537" s="380" t="str">
        <f>IFERROR(__xludf.DUMMYFUNCTION("""COMPUTED_VALUE"""),"60000424")</f>
        <v>60000424</v>
      </c>
      <c r="D4537" s="380" t="s">
        <v>767</v>
      </c>
      <c r="E4537" s="380" t="s">
        <v>875</v>
      </c>
      <c r="F4537" s="380" t="s">
        <v>985</v>
      </c>
      <c r="G4537" s="380" t="s">
        <v>1267</v>
      </c>
      <c r="H4537" s="380" t="s">
        <v>771</v>
      </c>
      <c r="I4537" s="380" t="s">
        <v>986</v>
      </c>
      <c r="J4537" s="380" t="s">
        <v>773</v>
      </c>
      <c r="K4537" s="381">
        <v>0.0</v>
      </c>
      <c r="L4537" s="382">
        <v>1.0</v>
      </c>
    </row>
    <row r="4538">
      <c r="A4538" s="380" t="s">
        <v>5408</v>
      </c>
      <c r="B4538" s="380" t="str">
        <f>IFERROR(__xludf.DUMMYFUNCTION("""COMPUTED_VALUE"""),"Parche Ct20 75mm*145mm /170")</f>
        <v>Parche Ct20 75mm*145mm /170</v>
      </c>
      <c r="C4538" s="380" t="str">
        <f>IFERROR(__xludf.DUMMYFUNCTION("""COMPUTED_VALUE"""),"60000425")</f>
        <v>60000425</v>
      </c>
      <c r="D4538" s="380" t="s">
        <v>767</v>
      </c>
      <c r="E4538" s="380" t="s">
        <v>875</v>
      </c>
      <c r="F4538" s="380" t="s">
        <v>985</v>
      </c>
      <c r="G4538" s="380" t="s">
        <v>1267</v>
      </c>
      <c r="H4538" s="380" t="s">
        <v>771</v>
      </c>
      <c r="I4538" s="380" t="s">
        <v>986</v>
      </c>
      <c r="J4538" s="380" t="s">
        <v>773</v>
      </c>
      <c r="K4538" s="381">
        <v>18171.0</v>
      </c>
      <c r="L4538" s="382">
        <v>1.0</v>
      </c>
    </row>
    <row r="4539">
      <c r="A4539" s="380" t="s">
        <v>5409</v>
      </c>
      <c r="B4539" s="380" t="str">
        <f>IFERROR(__xludf.DUMMYFUNCTION("""COMPUTED_VALUE"""),"Liquido Vulcanizante 235ml -760")</f>
        <v>Liquido Vulcanizante 235ml -760</v>
      </c>
      <c r="C4539" s="380" t="str">
        <f>IFERROR(__xludf.DUMMYFUNCTION("""COMPUTED_VALUE"""),"60000426")</f>
        <v>60000426</v>
      </c>
      <c r="D4539" s="380" t="s">
        <v>767</v>
      </c>
      <c r="E4539" s="380" t="s">
        <v>875</v>
      </c>
      <c r="F4539" s="380" t="s">
        <v>985</v>
      </c>
      <c r="G4539" s="380" t="s">
        <v>1267</v>
      </c>
      <c r="H4539" s="380" t="s">
        <v>771</v>
      </c>
      <c r="I4539" s="380" t="s">
        <v>986</v>
      </c>
      <c r="J4539" s="380" t="s">
        <v>773</v>
      </c>
      <c r="K4539" s="381">
        <v>51758.0</v>
      </c>
      <c r="L4539" s="382">
        <v>1.0</v>
      </c>
    </row>
    <row r="4540">
      <c r="A4540" s="380" t="s">
        <v>5410</v>
      </c>
      <c r="B4540" s="380" t="str">
        <f>IFERROR(__xludf.DUMMYFUNCTION("""COMPUTED_VALUE"""),"Taco Parche Uni-Sealultra 6mm /250ul")</f>
        <v>Taco Parche Uni-Sealultra 6mm /250ul</v>
      </c>
      <c r="C4540" s="380" t="str">
        <f>IFERROR(__xludf.DUMMYFUNCTION("""COMPUTED_VALUE"""),"60000427")</f>
        <v>60000427</v>
      </c>
      <c r="D4540" s="380" t="s">
        <v>767</v>
      </c>
      <c r="E4540" s="380" t="s">
        <v>875</v>
      </c>
      <c r="F4540" s="380" t="s">
        <v>985</v>
      </c>
      <c r="G4540" s="380" t="s">
        <v>1267</v>
      </c>
      <c r="H4540" s="380" t="s">
        <v>771</v>
      </c>
      <c r="I4540" s="380" t="s">
        <v>986</v>
      </c>
      <c r="J4540" s="380" t="s">
        <v>773</v>
      </c>
      <c r="K4540" s="381">
        <v>0.0</v>
      </c>
      <c r="L4540" s="382">
        <v>1.0</v>
      </c>
    </row>
    <row r="4541">
      <c r="A4541" s="380" t="s">
        <v>5411</v>
      </c>
      <c r="B4541" s="380" t="str">
        <f>IFERROR(__xludf.DUMMYFUNCTION("""COMPUTED_VALUE"""),"Taco Parche Uni-Sealultra 9mm /251ul")</f>
        <v>Taco Parche Uni-Sealultra 9mm /251ul</v>
      </c>
      <c r="C4541" s="380" t="str">
        <f>IFERROR(__xludf.DUMMYFUNCTION("""COMPUTED_VALUE"""),"60000428")</f>
        <v>60000428</v>
      </c>
      <c r="D4541" s="380" t="s">
        <v>767</v>
      </c>
      <c r="E4541" s="380" t="s">
        <v>875</v>
      </c>
      <c r="F4541" s="380" t="s">
        <v>985</v>
      </c>
      <c r="G4541" s="380" t="s">
        <v>1267</v>
      </c>
      <c r="H4541" s="380" t="s">
        <v>771</v>
      </c>
      <c r="I4541" s="380" t="s">
        <v>986</v>
      </c>
      <c r="J4541" s="380" t="s">
        <v>773</v>
      </c>
      <c r="K4541" s="381">
        <v>21370.0</v>
      </c>
      <c r="L4541" s="382">
        <v>1.0</v>
      </c>
    </row>
    <row r="4542">
      <c r="A4542" s="380" t="s">
        <v>5412</v>
      </c>
      <c r="B4542" s="380" t="str">
        <f>IFERROR(__xludf.DUMMYFUNCTION("""COMPUTED_VALUE"""),"Perno Rueda Tras Izq Turbo 9004912066")</f>
        <v>Perno Rueda Tras Izq Turbo 9004912066</v>
      </c>
      <c r="C4542" s="380" t="str">
        <f>IFERROR(__xludf.DUMMYFUNCTION("""COMPUTED_VALUE"""),"60000429")</f>
        <v>60000429</v>
      </c>
      <c r="D4542" s="380" t="s">
        <v>767</v>
      </c>
      <c r="E4542" s="380" t="s">
        <v>875</v>
      </c>
      <c r="F4542" s="380" t="s">
        <v>985</v>
      </c>
      <c r="G4542" s="380" t="s">
        <v>1267</v>
      </c>
      <c r="H4542" s="380" t="s">
        <v>771</v>
      </c>
      <c r="I4542" s="380" t="s">
        <v>986</v>
      </c>
      <c r="J4542" s="380" t="s">
        <v>773</v>
      </c>
      <c r="K4542" s="381">
        <v>0.0</v>
      </c>
      <c r="L4542" s="382">
        <v>1.0</v>
      </c>
    </row>
    <row r="4543">
      <c r="A4543" s="380" t="s">
        <v>5413</v>
      </c>
      <c r="B4543" s="380" t="str">
        <f>IFERROR(__xludf.DUMMYFUNCTION("""COMPUTED_VALUE"""),"Pesa Pesa Gancho Cte 5. 1/2 Tipo Liviano")</f>
        <v>Pesa Pesa Gancho Cte 5. 1/2 Tipo Liviano</v>
      </c>
      <c r="C4543" s="380" t="str">
        <f>IFERROR(__xludf.DUMMYFUNCTION("""COMPUTED_VALUE"""),"60000430")</f>
        <v>60000430</v>
      </c>
      <c r="D4543" s="380" t="s">
        <v>767</v>
      </c>
      <c r="E4543" s="380" t="s">
        <v>875</v>
      </c>
      <c r="F4543" s="380" t="s">
        <v>985</v>
      </c>
      <c r="G4543" s="380" t="s">
        <v>1267</v>
      </c>
      <c r="H4543" s="380" t="s">
        <v>771</v>
      </c>
      <c r="I4543" s="380" t="s">
        <v>986</v>
      </c>
      <c r="J4543" s="380" t="s">
        <v>773</v>
      </c>
      <c r="K4543" s="381">
        <v>1239.0</v>
      </c>
      <c r="L4543" s="382">
        <v>1.0</v>
      </c>
    </row>
    <row r="4544">
      <c r="A4544" s="380" t="s">
        <v>5414</v>
      </c>
      <c r="B4544" s="380" t="str">
        <f>IFERROR(__xludf.DUMMYFUNCTION("""COMPUTED_VALUE"""),"Perno Rueda Del Izq T Delta 9004912068")</f>
        <v>Perno Rueda Del Izq T Delta 9004912068</v>
      </c>
      <c r="C4544" s="380" t="str">
        <f>IFERROR(__xludf.DUMMYFUNCTION("""COMPUTED_VALUE"""),"60000431")</f>
        <v>60000431</v>
      </c>
      <c r="D4544" s="380" t="s">
        <v>767</v>
      </c>
      <c r="E4544" s="380" t="s">
        <v>875</v>
      </c>
      <c r="F4544" s="380" t="s">
        <v>985</v>
      </c>
      <c r="G4544" s="380" t="s">
        <v>1267</v>
      </c>
      <c r="H4544" s="380" t="s">
        <v>771</v>
      </c>
      <c r="I4544" s="380" t="s">
        <v>986</v>
      </c>
      <c r="J4544" s="380" t="s">
        <v>773</v>
      </c>
      <c r="K4544" s="381">
        <v>17899.0</v>
      </c>
      <c r="L4544" s="382">
        <v>1.0</v>
      </c>
    </row>
    <row r="4545">
      <c r="A4545" s="380" t="s">
        <v>5415</v>
      </c>
      <c r="B4545" s="380" t="str">
        <f>IFERROR(__xludf.DUMMYFUNCTION("""COMPUTED_VALUE"""),"Pesa Gancho Cte 6 Tipo Liviano")</f>
        <v>Pesa Gancho Cte 6 Tipo Liviano</v>
      </c>
      <c r="C4545" s="380" t="str">
        <f>IFERROR(__xludf.DUMMYFUNCTION("""COMPUTED_VALUE"""),"60000432")</f>
        <v>60000432</v>
      </c>
      <c r="D4545" s="380" t="s">
        <v>767</v>
      </c>
      <c r="E4545" s="380" t="s">
        <v>875</v>
      </c>
      <c r="F4545" s="380" t="s">
        <v>985</v>
      </c>
      <c r="G4545" s="380" t="s">
        <v>1267</v>
      </c>
      <c r="H4545" s="380" t="s">
        <v>771</v>
      </c>
      <c r="I4545" s="380" t="s">
        <v>986</v>
      </c>
      <c r="J4545" s="380" t="s">
        <v>773</v>
      </c>
      <c r="K4545" s="381">
        <v>1380.0</v>
      </c>
      <c r="L4545" s="382">
        <v>1.0</v>
      </c>
    </row>
    <row r="4546">
      <c r="A4546" s="380" t="s">
        <v>5416</v>
      </c>
      <c r="B4546" s="380" t="str">
        <f>IFERROR(__xludf.DUMMYFUNCTION("""COMPUTED_VALUE"""),"Pesa Gancho Cte 4 Tipo Liviano")</f>
        <v>Pesa Gancho Cte 4 Tipo Liviano</v>
      </c>
      <c r="C4546" s="380" t="str">
        <f>IFERROR(__xludf.DUMMYFUNCTION("""COMPUTED_VALUE"""),"60000433")</f>
        <v>60000433</v>
      </c>
      <c r="D4546" s="380" t="s">
        <v>767</v>
      </c>
      <c r="E4546" s="380" t="s">
        <v>875</v>
      </c>
      <c r="F4546" s="380" t="s">
        <v>985</v>
      </c>
      <c r="G4546" s="380" t="s">
        <v>1267</v>
      </c>
      <c r="H4546" s="380" t="s">
        <v>771</v>
      </c>
      <c r="I4546" s="380" t="s">
        <v>986</v>
      </c>
      <c r="J4546" s="380" t="s">
        <v>773</v>
      </c>
      <c r="K4546" s="381">
        <v>982.0</v>
      </c>
      <c r="L4546" s="382">
        <v>1.0</v>
      </c>
    </row>
    <row r="4547">
      <c r="A4547" s="380" t="s">
        <v>5417</v>
      </c>
      <c r="B4547" s="380" t="str">
        <f>IFERROR(__xludf.DUMMYFUNCTION("""COMPUTED_VALUE"""),"Valvula Sellomatic 413")</f>
        <v>Valvula Sellomatic 413</v>
      </c>
      <c r="C4547" s="380" t="str">
        <f>IFERROR(__xludf.DUMMYFUNCTION("""COMPUTED_VALUE"""),"60000434")</f>
        <v>60000434</v>
      </c>
      <c r="D4547" s="380" t="s">
        <v>767</v>
      </c>
      <c r="E4547" s="380" t="s">
        <v>875</v>
      </c>
      <c r="F4547" s="380" t="s">
        <v>985</v>
      </c>
      <c r="G4547" s="380" t="s">
        <v>1267</v>
      </c>
      <c r="H4547" s="380" t="s">
        <v>771</v>
      </c>
      <c r="I4547" s="380" t="s">
        <v>986</v>
      </c>
      <c r="J4547" s="380" t="s">
        <v>773</v>
      </c>
      <c r="K4547" s="381">
        <v>0.0</v>
      </c>
      <c r="L4547" s="382">
        <v>1.0</v>
      </c>
    </row>
    <row r="4548">
      <c r="A4548" s="380" t="s">
        <v>5418</v>
      </c>
      <c r="B4548" s="380" t="str">
        <f>IFERROR(__xludf.DUMMYFUNCTION("""COMPUTED_VALUE"""),"Perno Rueda Tras Izq Nkr 8943834371")</f>
        <v>Perno Rueda Tras Izq Nkr 8943834371</v>
      </c>
      <c r="C4548" s="380" t="str">
        <f>IFERROR(__xludf.DUMMYFUNCTION("""COMPUTED_VALUE"""),"60000435")</f>
        <v>60000435</v>
      </c>
      <c r="D4548" s="380" t="s">
        <v>767</v>
      </c>
      <c r="E4548" s="380" t="s">
        <v>875</v>
      </c>
      <c r="F4548" s="380" t="s">
        <v>985</v>
      </c>
      <c r="G4548" s="380" t="s">
        <v>1267</v>
      </c>
      <c r="H4548" s="380" t="s">
        <v>771</v>
      </c>
      <c r="I4548" s="380" t="s">
        <v>986</v>
      </c>
      <c r="J4548" s="380" t="s">
        <v>773</v>
      </c>
      <c r="K4548" s="381">
        <v>0.0</v>
      </c>
      <c r="L4548" s="382">
        <v>1.0</v>
      </c>
    </row>
    <row r="4549">
      <c r="A4549" s="380" t="s">
        <v>5419</v>
      </c>
      <c r="B4549" s="380" t="str">
        <f>IFERROR(__xludf.DUMMYFUNCTION("""COMPUTED_VALUE"""),"Perno Rueda Tras Dcha Nkr 8943834361")</f>
        <v>Perno Rueda Tras Dcha Nkr 8943834361</v>
      </c>
      <c r="C4549" s="380" t="str">
        <f>IFERROR(__xludf.DUMMYFUNCTION("""COMPUTED_VALUE"""),"60000436")</f>
        <v>60000436</v>
      </c>
      <c r="D4549" s="380" t="s">
        <v>767</v>
      </c>
      <c r="E4549" s="380" t="s">
        <v>875</v>
      </c>
      <c r="F4549" s="380" t="s">
        <v>985</v>
      </c>
      <c r="G4549" s="380" t="s">
        <v>1267</v>
      </c>
      <c r="H4549" s="380" t="s">
        <v>771</v>
      </c>
      <c r="I4549" s="380" t="s">
        <v>986</v>
      </c>
      <c r="J4549" s="380" t="s">
        <v>773</v>
      </c>
      <c r="K4549" s="381">
        <v>0.0</v>
      </c>
      <c r="L4549" s="382">
        <v>1.0</v>
      </c>
    </row>
    <row r="4550">
      <c r="A4550" s="380" t="s">
        <v>5420</v>
      </c>
      <c r="B4550" s="380" t="str">
        <f>IFERROR(__xludf.DUMMYFUNCTION("""COMPUTED_VALUE"""),"Talco Para Llantas Y Neumaticos")</f>
        <v>Talco Para Llantas Y Neumaticos</v>
      </c>
      <c r="C4550" s="380" t="str">
        <f>IFERROR(__xludf.DUMMYFUNCTION("""COMPUTED_VALUE"""),"60000437")</f>
        <v>60000437</v>
      </c>
      <c r="D4550" s="380" t="s">
        <v>767</v>
      </c>
      <c r="E4550" s="380" t="s">
        <v>875</v>
      </c>
      <c r="F4550" s="380" t="s">
        <v>985</v>
      </c>
      <c r="G4550" s="380" t="s">
        <v>1267</v>
      </c>
      <c r="H4550" s="380" t="s">
        <v>771</v>
      </c>
      <c r="I4550" s="380" t="s">
        <v>986</v>
      </c>
      <c r="J4550" s="380" t="s">
        <v>773</v>
      </c>
      <c r="K4550" s="381">
        <v>0.0</v>
      </c>
      <c r="L4550" s="382">
        <v>1.0</v>
      </c>
    </row>
    <row r="4551">
      <c r="A4551" s="380" t="s">
        <v>5421</v>
      </c>
      <c r="B4551" s="380" t="str">
        <f>IFERROR(__xludf.DUMMYFUNCTION("""COMPUTED_VALUE"""),"Vastago De 1/4 6mm 250-1")</f>
        <v>Vastago De 1/4 6mm 250-1</v>
      </c>
      <c r="C4551" s="380" t="str">
        <f>IFERROR(__xludf.DUMMYFUNCTION("""COMPUTED_VALUE"""),"60000438")</f>
        <v>60000438</v>
      </c>
      <c r="D4551" s="380" t="s">
        <v>767</v>
      </c>
      <c r="E4551" s="380" t="s">
        <v>875</v>
      </c>
      <c r="F4551" s="380" t="s">
        <v>985</v>
      </c>
      <c r="G4551" s="380" t="s">
        <v>1267</v>
      </c>
      <c r="H4551" s="380" t="s">
        <v>771</v>
      </c>
      <c r="I4551" s="380" t="s">
        <v>986</v>
      </c>
      <c r="J4551" s="380" t="s">
        <v>773</v>
      </c>
      <c r="K4551" s="381">
        <v>11661.0</v>
      </c>
      <c r="L4551" s="382">
        <v>1.0</v>
      </c>
    </row>
    <row r="4552">
      <c r="A4552" s="380" t="s">
        <v>5422</v>
      </c>
      <c r="B4552" s="380" t="str">
        <f>IFERROR(__xludf.DUMMYFUNCTION("""COMPUTED_VALUE"""),"Vastago De 5/16 Mm 251-1ul")</f>
        <v>Vastago De 5/16 Mm 251-1ul</v>
      </c>
      <c r="C4552" s="380" t="str">
        <f>IFERROR(__xludf.DUMMYFUNCTION("""COMPUTED_VALUE"""),"60000439")</f>
        <v>60000439</v>
      </c>
      <c r="D4552" s="380" t="s">
        <v>767</v>
      </c>
      <c r="E4552" s="380" t="s">
        <v>875</v>
      </c>
      <c r="F4552" s="380" t="s">
        <v>985</v>
      </c>
      <c r="G4552" s="380" t="s">
        <v>1267</v>
      </c>
      <c r="H4552" s="380" t="s">
        <v>771</v>
      </c>
      <c r="I4552" s="380" t="s">
        <v>986</v>
      </c>
      <c r="J4552" s="380" t="s">
        <v>773</v>
      </c>
      <c r="K4552" s="381">
        <v>14132.0</v>
      </c>
      <c r="L4552" s="382">
        <v>1.0</v>
      </c>
    </row>
    <row r="4553">
      <c r="A4553" s="380" t="s">
        <v>5423</v>
      </c>
      <c r="B4553" s="380" t="str">
        <f>IFERROR(__xludf.DUMMYFUNCTION("""COMPUTED_VALUE"""),"Vastago De 3/8 10mm 291-Ul")</f>
        <v>Vastago De 3/8 10mm 291-Ul</v>
      </c>
      <c r="C4553" s="380" t="str">
        <f>IFERROR(__xludf.DUMMYFUNCTION("""COMPUTED_VALUE"""),"60000440")</f>
        <v>60000440</v>
      </c>
      <c r="D4553" s="380" t="s">
        <v>767</v>
      </c>
      <c r="E4553" s="380" t="s">
        <v>875</v>
      </c>
      <c r="F4553" s="380" t="s">
        <v>985</v>
      </c>
      <c r="G4553" s="380" t="s">
        <v>1267</v>
      </c>
      <c r="H4553" s="380" t="s">
        <v>771</v>
      </c>
      <c r="I4553" s="380" t="s">
        <v>986</v>
      </c>
      <c r="J4553" s="380" t="s">
        <v>773</v>
      </c>
      <c r="K4553" s="381">
        <v>19107.0</v>
      </c>
      <c r="L4553" s="382">
        <v>1.0</v>
      </c>
    </row>
    <row r="4554">
      <c r="A4554" s="380" t="s">
        <v>5424</v>
      </c>
      <c r="B4554" s="380" t="str">
        <f>IFERROR(__xludf.DUMMYFUNCTION("""COMPUTED_VALUE"""),"Vastago De 1/2 13mm 252-1")</f>
        <v>Vastago De 1/2 13mm 252-1</v>
      </c>
      <c r="C4554" s="380" t="str">
        <f>IFERROR(__xludf.DUMMYFUNCTION("""COMPUTED_VALUE"""),"60000441")</f>
        <v>60000441</v>
      </c>
      <c r="D4554" s="380" t="s">
        <v>767</v>
      </c>
      <c r="E4554" s="380" t="s">
        <v>875</v>
      </c>
      <c r="F4554" s="380" t="s">
        <v>985</v>
      </c>
      <c r="G4554" s="380" t="s">
        <v>1267</v>
      </c>
      <c r="H4554" s="380" t="s">
        <v>771</v>
      </c>
      <c r="I4554" s="380" t="s">
        <v>986</v>
      </c>
      <c r="J4554" s="380" t="s">
        <v>773</v>
      </c>
      <c r="K4554" s="381">
        <v>24948.0</v>
      </c>
      <c r="L4554" s="382">
        <v>1.0</v>
      </c>
    </row>
    <row r="4555">
      <c r="A4555" s="380" t="s">
        <v>5425</v>
      </c>
      <c r="B4555" s="380" t="str">
        <f>IFERROR(__xludf.DUMMYFUNCTION("""COMPUTED_VALUE"""),"Limpiador Spray Reparar Llanta")</f>
        <v>Limpiador Spray Reparar Llanta</v>
      </c>
      <c r="C4555" s="380" t="str">
        <f>IFERROR(__xludf.DUMMYFUNCTION("""COMPUTED_VALUE"""),"60000442")</f>
        <v>60000442</v>
      </c>
      <c r="D4555" s="380" t="s">
        <v>767</v>
      </c>
      <c r="E4555" s="380" t="s">
        <v>875</v>
      </c>
      <c r="F4555" s="380" t="s">
        <v>985</v>
      </c>
      <c r="G4555" s="380" t="s">
        <v>1267</v>
      </c>
      <c r="H4555" s="380" t="s">
        <v>771</v>
      </c>
      <c r="I4555" s="380" t="s">
        <v>986</v>
      </c>
      <c r="J4555" s="380" t="s">
        <v>773</v>
      </c>
      <c r="K4555" s="381">
        <v>70658.0</v>
      </c>
      <c r="L4555" s="382">
        <v>1.0</v>
      </c>
    </row>
    <row r="4556">
      <c r="A4556" s="380" t="s">
        <v>5426</v>
      </c>
      <c r="B4556" s="380" t="str">
        <f>IFERROR(__xludf.DUMMYFUNCTION("""COMPUTED_VALUE"""),"Tuerca Rin Aro Tras Izq NkrII 8980078250")</f>
        <v>Tuerca Rin Aro Tras Izq NkrII 8980078250</v>
      </c>
      <c r="C4556" s="380" t="str">
        <f>IFERROR(__xludf.DUMMYFUNCTION("""COMPUTED_VALUE"""),"60000443")</f>
        <v>60000443</v>
      </c>
      <c r="D4556" s="380" t="s">
        <v>767</v>
      </c>
      <c r="E4556" s="380" t="s">
        <v>875</v>
      </c>
      <c r="F4556" s="380" t="s">
        <v>985</v>
      </c>
      <c r="G4556" s="380" t="s">
        <v>1267</v>
      </c>
      <c r="H4556" s="380" t="s">
        <v>771</v>
      </c>
      <c r="I4556" s="380" t="s">
        <v>986</v>
      </c>
      <c r="J4556" s="380" t="s">
        <v>773</v>
      </c>
      <c r="K4556" s="381">
        <v>0.0</v>
      </c>
      <c r="L4556" s="382">
        <v>1.0</v>
      </c>
    </row>
    <row r="4557">
      <c r="A4557" s="380" t="s">
        <v>5427</v>
      </c>
      <c r="B4557" s="380" t="str">
        <f>IFERROR(__xludf.DUMMYFUNCTION("""COMPUTED_VALUE"""),"Gasolina Corriente Externa")</f>
        <v>Gasolina Corriente Externa</v>
      </c>
      <c r="C4557" s="380" t="str">
        <f>IFERROR(__xludf.DUMMYFUNCTION("""COMPUTED_VALUE"""),"60000445")</f>
        <v>60000445</v>
      </c>
      <c r="D4557" s="380" t="s">
        <v>767</v>
      </c>
      <c r="E4557" s="380" t="s">
        <v>875</v>
      </c>
      <c r="F4557" s="380" t="s">
        <v>861</v>
      </c>
      <c r="G4557" s="380" t="s">
        <v>1267</v>
      </c>
      <c r="H4557" s="380" t="s">
        <v>771</v>
      </c>
      <c r="I4557" s="380" t="s">
        <v>876</v>
      </c>
      <c r="J4557" s="380" t="s">
        <v>773</v>
      </c>
      <c r="K4557" s="381">
        <v>0.0</v>
      </c>
      <c r="L4557" s="382">
        <v>1.0</v>
      </c>
    </row>
    <row r="4558">
      <c r="A4558" s="380" t="s">
        <v>5428</v>
      </c>
      <c r="B4558" s="380" t="str">
        <f>IFERROR(__xludf.DUMMYFUNCTION("""COMPUTED_VALUE"""),"Gasolina Interna")</f>
        <v>Gasolina Interna</v>
      </c>
      <c r="C4558" s="380" t="str">
        <f>IFERROR(__xludf.DUMMYFUNCTION("""COMPUTED_VALUE"""),"60000446")</f>
        <v>60000446</v>
      </c>
      <c r="D4558" s="380" t="s">
        <v>767</v>
      </c>
      <c r="E4558" s="380" t="s">
        <v>875</v>
      </c>
      <c r="F4558" s="380" t="s">
        <v>861</v>
      </c>
      <c r="G4558" s="380" t="s">
        <v>1267</v>
      </c>
      <c r="H4558" s="380" t="s">
        <v>771</v>
      </c>
      <c r="I4558" s="380" t="s">
        <v>876</v>
      </c>
      <c r="J4558" s="380" t="s">
        <v>773</v>
      </c>
      <c r="K4558" s="381">
        <v>0.0</v>
      </c>
      <c r="L4558" s="382">
        <v>1.0</v>
      </c>
    </row>
    <row r="4559">
      <c r="A4559" s="380" t="s">
        <v>5429</v>
      </c>
      <c r="B4559" s="380" t="str">
        <f>IFERROR(__xludf.DUMMYFUNCTION("""COMPUTED_VALUE"""),"Gas Liquido Propano Cilindro 30 Libras")</f>
        <v>Gas Liquido Propano Cilindro 30 Libras</v>
      </c>
      <c r="C4559" s="380" t="str">
        <f>IFERROR(__xludf.DUMMYFUNCTION("""COMPUTED_VALUE"""),"60000447")</f>
        <v>60000447</v>
      </c>
      <c r="D4559" s="380" t="s">
        <v>767</v>
      </c>
      <c r="E4559" s="380" t="s">
        <v>875</v>
      </c>
      <c r="F4559" s="380" t="s">
        <v>861</v>
      </c>
      <c r="G4559" s="380" t="s">
        <v>1267</v>
      </c>
      <c r="H4559" s="380" t="s">
        <v>771</v>
      </c>
      <c r="I4559" s="380" t="s">
        <v>876</v>
      </c>
      <c r="J4559" s="380" t="s">
        <v>773</v>
      </c>
      <c r="K4559" s="381">
        <v>0.0</v>
      </c>
      <c r="L4559" s="382">
        <v>1.0</v>
      </c>
    </row>
    <row r="4560">
      <c r="A4560" s="380" t="s">
        <v>5430</v>
      </c>
      <c r="B4560" s="380" t="str">
        <f>IFERROR(__xludf.DUMMYFUNCTION("""COMPUTED_VALUE"""),"Gas Gas Liquido Propano Cilindro 40 Lbrs")</f>
        <v>Gas Gas Liquido Propano Cilindro 40 Lbrs</v>
      </c>
      <c r="C4560" s="380" t="str">
        <f>IFERROR(__xludf.DUMMYFUNCTION("""COMPUTED_VALUE"""),"60000448")</f>
        <v>60000448</v>
      </c>
      <c r="D4560" s="380" t="s">
        <v>767</v>
      </c>
      <c r="E4560" s="380" t="s">
        <v>875</v>
      </c>
      <c r="F4560" s="380" t="s">
        <v>861</v>
      </c>
      <c r="G4560" s="380" t="s">
        <v>1267</v>
      </c>
      <c r="H4560" s="380" t="s">
        <v>771</v>
      </c>
      <c r="I4560" s="380" t="s">
        <v>876</v>
      </c>
      <c r="J4560" s="380" t="s">
        <v>773</v>
      </c>
      <c r="K4560" s="381">
        <v>0.0</v>
      </c>
      <c r="L4560" s="382">
        <v>1.0</v>
      </c>
    </row>
    <row r="4561">
      <c r="A4561" s="380" t="s">
        <v>5431</v>
      </c>
      <c r="B4561" s="380" t="str">
        <f>IFERROR(__xludf.DUMMYFUNCTION("""COMPUTED_VALUE"""),"Acpm Interno Bioacem 20%")</f>
        <v>Acpm Interno Bioacem 20%</v>
      </c>
      <c r="C4561" s="380" t="str">
        <f>IFERROR(__xludf.DUMMYFUNCTION("""COMPUTED_VALUE"""),"60000449")</f>
        <v>60000449</v>
      </c>
      <c r="D4561" s="380" t="s">
        <v>767</v>
      </c>
      <c r="E4561" s="380" t="s">
        <v>875</v>
      </c>
      <c r="F4561" s="380" t="s">
        <v>861</v>
      </c>
      <c r="G4561" s="380" t="s">
        <v>1267</v>
      </c>
      <c r="H4561" s="380" t="s">
        <v>771</v>
      </c>
      <c r="I4561" s="380" t="s">
        <v>876</v>
      </c>
      <c r="J4561" s="380" t="s">
        <v>773</v>
      </c>
      <c r="K4561" s="381">
        <v>0.0</v>
      </c>
      <c r="L4561" s="382">
        <v>1.0</v>
      </c>
    </row>
    <row r="4562">
      <c r="A4562" s="380" t="s">
        <v>5432</v>
      </c>
      <c r="B4562" s="380" t="str">
        <f>IFERROR(__xludf.DUMMYFUNCTION("""COMPUTED_VALUE"""),"Acpm INTno Aditivado Starfuel En Prueba")</f>
        <v>Acpm INTno Aditivado Starfuel En Prueba</v>
      </c>
      <c r="C4562" s="380" t="str">
        <f>IFERROR(__xludf.DUMMYFUNCTION("""COMPUTED_VALUE"""),"60000453")</f>
        <v>60000453</v>
      </c>
      <c r="D4562" s="380" t="s">
        <v>767</v>
      </c>
      <c r="E4562" s="380" t="s">
        <v>875</v>
      </c>
      <c r="F4562" s="380" t="s">
        <v>861</v>
      </c>
      <c r="G4562" s="380" t="s">
        <v>1267</v>
      </c>
      <c r="H4562" s="380" t="s">
        <v>771</v>
      </c>
      <c r="I4562" s="380" t="s">
        <v>876</v>
      </c>
      <c r="J4562" s="380" t="s">
        <v>773</v>
      </c>
      <c r="K4562" s="381">
        <v>0.0</v>
      </c>
      <c r="L4562" s="382">
        <v>1.0</v>
      </c>
    </row>
    <row r="4563">
      <c r="A4563" s="380" t="s">
        <v>5433</v>
      </c>
      <c r="B4563" s="380" t="str">
        <f>IFERROR(__xludf.DUMMYFUNCTION("""COMPUTED_VALUE"""),"Llanta Reencauche Tm22 Trac 29")</f>
        <v>Llanta Reencauche Tm22 Trac 29</v>
      </c>
      <c r="C4563" s="380" t="str">
        <f>IFERROR(__xludf.DUMMYFUNCTION("""COMPUTED_VALUE"""),"60000455")</f>
        <v>60000455</v>
      </c>
      <c r="D4563" s="380" t="s">
        <v>767</v>
      </c>
      <c r="E4563" s="380" t="s">
        <v>875</v>
      </c>
      <c r="F4563" s="380" t="s">
        <v>5140</v>
      </c>
      <c r="G4563" s="380" t="s">
        <v>1267</v>
      </c>
      <c r="H4563" s="380" t="s">
        <v>771</v>
      </c>
      <c r="I4563" s="380" t="s">
        <v>5141</v>
      </c>
      <c r="J4563" s="380" t="s">
        <v>773</v>
      </c>
      <c r="K4563" s="381">
        <v>541483.0</v>
      </c>
      <c r="L4563" s="382">
        <v>1.0</v>
      </c>
    </row>
    <row r="4564">
      <c r="A4564" s="380" t="s">
        <v>5434</v>
      </c>
      <c r="B4564" s="380" t="str">
        <f>IFERROR(__xludf.DUMMYFUNCTION("""COMPUTED_VALUE"""),"Llanta 295/80 Dir Interstate Tires")</f>
        <v>Llanta 295/80 Dir Interstate Tires</v>
      </c>
      <c r="C4564" s="380" t="str">
        <f>IFERROR(__xludf.DUMMYFUNCTION("""COMPUTED_VALUE"""),"60000456")</f>
        <v>60000456</v>
      </c>
      <c r="D4564" s="380" t="s">
        <v>767</v>
      </c>
      <c r="E4564" s="380" t="s">
        <v>875</v>
      </c>
      <c r="F4564" s="380" t="s">
        <v>985</v>
      </c>
      <c r="G4564" s="380" t="s">
        <v>1267</v>
      </c>
      <c r="H4564" s="380" t="s">
        <v>771</v>
      </c>
      <c r="I4564" s="380" t="s">
        <v>986</v>
      </c>
      <c r="J4564" s="380" t="s">
        <v>773</v>
      </c>
      <c r="K4564" s="381">
        <v>0.0</v>
      </c>
      <c r="L4564" s="382">
        <v>1.0</v>
      </c>
    </row>
    <row r="4565">
      <c r="A4565" s="380" t="s">
        <v>5435</v>
      </c>
      <c r="B4565" s="380" t="str">
        <f>IFERROR(__xludf.DUMMYFUNCTION("""COMPUTED_VALUE"""),"Llanta 295/80 Traccion Kelly Ks481")</f>
        <v>Llanta 295/80 Traccion Kelly Ks481</v>
      </c>
      <c r="C4565" s="380" t="str">
        <f>IFERROR(__xludf.DUMMYFUNCTION("""COMPUTED_VALUE"""),"60000457")</f>
        <v>60000457</v>
      </c>
      <c r="D4565" s="380" t="s">
        <v>767</v>
      </c>
      <c r="E4565" s="380" t="s">
        <v>875</v>
      </c>
      <c r="F4565" s="380" t="s">
        <v>985</v>
      </c>
      <c r="G4565" s="380" t="s">
        <v>1267</v>
      </c>
      <c r="H4565" s="380" t="s">
        <v>771</v>
      </c>
      <c r="I4565" s="380" t="s">
        <v>986</v>
      </c>
      <c r="J4565" s="380" t="s">
        <v>773</v>
      </c>
      <c r="K4565" s="381">
        <v>0.0</v>
      </c>
      <c r="L4565" s="382">
        <v>1.0</v>
      </c>
    </row>
    <row r="4566">
      <c r="A4566" s="380" t="s">
        <v>5436</v>
      </c>
      <c r="B4566" s="380" t="str">
        <f>IFERROR(__xludf.DUMMYFUNCTION("""COMPUTED_VALUE"""),"Llanta 295/80 Traccion Yokohama Ty607")</f>
        <v>Llanta 295/80 Traccion Yokohama Ty607</v>
      </c>
      <c r="C4566" s="380" t="str">
        <f>IFERROR(__xludf.DUMMYFUNCTION("""COMPUTED_VALUE"""),"60000458")</f>
        <v>60000458</v>
      </c>
      <c r="D4566" s="380" t="s">
        <v>767</v>
      </c>
      <c r="E4566" s="380" t="s">
        <v>875</v>
      </c>
      <c r="F4566" s="380" t="s">
        <v>985</v>
      </c>
      <c r="G4566" s="380" t="s">
        <v>1267</v>
      </c>
      <c r="H4566" s="380" t="s">
        <v>771</v>
      </c>
      <c r="I4566" s="380" t="s">
        <v>986</v>
      </c>
      <c r="J4566" s="380" t="s">
        <v>773</v>
      </c>
      <c r="K4566" s="381">
        <v>0.0</v>
      </c>
      <c r="L4566" s="382">
        <v>1.0</v>
      </c>
    </row>
    <row r="4567">
      <c r="A4567" s="380" t="s">
        <v>5437</v>
      </c>
      <c r="B4567" s="380" t="str">
        <f>IFERROR(__xludf.DUMMYFUNCTION("""COMPUTED_VALUE"""),"Llanta 215/75r17.5 Cb Reencauche Frio")</f>
        <v>Llanta 215/75r17.5 Cb Reencauche Frio</v>
      </c>
      <c r="C4567" s="380" t="str">
        <f>IFERROR(__xludf.DUMMYFUNCTION("""COMPUTED_VALUE"""),"60000459")</f>
        <v>60000459</v>
      </c>
      <c r="D4567" s="380" t="s">
        <v>767</v>
      </c>
      <c r="E4567" s="380" t="s">
        <v>875</v>
      </c>
      <c r="F4567" s="380" t="s">
        <v>985</v>
      </c>
      <c r="G4567" s="380" t="s">
        <v>1267</v>
      </c>
      <c r="H4567" s="380" t="s">
        <v>771</v>
      </c>
      <c r="I4567" s="380" t="s">
        <v>986</v>
      </c>
      <c r="J4567" s="380" t="s">
        <v>773</v>
      </c>
      <c r="K4567" s="381">
        <v>0.0</v>
      </c>
      <c r="L4567" s="382">
        <v>1.0</v>
      </c>
    </row>
    <row r="4568">
      <c r="A4568" s="380" t="s">
        <v>5438</v>
      </c>
      <c r="B4568" s="380" t="str">
        <f>IFERROR(__xludf.DUMMYFUNCTION("""COMPUTED_VALUE"""),"Llanta 165/70 R13 175/70 R12 Reparado")</f>
        <v>Llanta 165/70 R13 175/70 R12 Reparado</v>
      </c>
      <c r="C4568" s="380" t="str">
        <f>IFERROR(__xludf.DUMMYFUNCTION("""COMPUTED_VALUE"""),"60000460")</f>
        <v>60000460</v>
      </c>
      <c r="D4568" s="380" t="s">
        <v>767</v>
      </c>
      <c r="E4568" s="380" t="s">
        <v>875</v>
      </c>
      <c r="F4568" s="380" t="s">
        <v>5140</v>
      </c>
      <c r="G4568" s="380" t="s">
        <v>1267</v>
      </c>
      <c r="H4568" s="380" t="s">
        <v>771</v>
      </c>
      <c r="I4568" s="380" t="s">
        <v>5141</v>
      </c>
      <c r="J4568" s="380" t="s">
        <v>773</v>
      </c>
      <c r="K4568" s="381">
        <v>0.0</v>
      </c>
      <c r="L4568" s="382">
        <v>1.0</v>
      </c>
    </row>
    <row r="4569">
      <c r="A4569" s="380" t="s">
        <v>5439</v>
      </c>
      <c r="B4569" s="380" t="str">
        <f>IFERROR(__xludf.DUMMYFUNCTION("""COMPUTED_VALUE"""),"Llanta 295/80 Direccional Interstate Tir")</f>
        <v>Llanta 295/80 Direccional Interstate Tir</v>
      </c>
      <c r="C4569" s="380" t="str">
        <f>IFERROR(__xludf.DUMMYFUNCTION("""COMPUTED_VALUE"""),"60000461")</f>
        <v>60000461</v>
      </c>
      <c r="D4569" s="380" t="s">
        <v>767</v>
      </c>
      <c r="E4569" s="380" t="s">
        <v>875</v>
      </c>
      <c r="F4569" s="380" t="s">
        <v>985</v>
      </c>
      <c r="G4569" s="380" t="s">
        <v>1267</v>
      </c>
      <c r="H4569" s="380" t="s">
        <v>771</v>
      </c>
      <c r="I4569" s="380" t="s">
        <v>986</v>
      </c>
      <c r="J4569" s="380" t="s">
        <v>773</v>
      </c>
      <c r="K4569" s="381">
        <v>0.0</v>
      </c>
      <c r="L4569" s="382">
        <v>1.0</v>
      </c>
    </row>
    <row r="4570">
      <c r="A4570" s="380" t="s">
        <v>5440</v>
      </c>
      <c r="B4570" s="380" t="str">
        <f>IFERROR(__xludf.DUMMYFUNCTION("""COMPUTED_VALUE"""),"Llanta 295/80 Traccion Kelly Ks481")</f>
        <v>Llanta 295/80 Traccion Kelly Ks481</v>
      </c>
      <c r="C4570" s="380" t="str">
        <f>IFERROR(__xludf.DUMMYFUNCTION("""COMPUTED_VALUE"""),"60000462")</f>
        <v>60000462</v>
      </c>
      <c r="D4570" s="380" t="s">
        <v>767</v>
      </c>
      <c r="E4570" s="380" t="s">
        <v>875</v>
      </c>
      <c r="F4570" s="380" t="s">
        <v>985</v>
      </c>
      <c r="G4570" s="380" t="s">
        <v>1267</v>
      </c>
      <c r="H4570" s="380" t="s">
        <v>771</v>
      </c>
      <c r="I4570" s="380" t="s">
        <v>986</v>
      </c>
      <c r="J4570" s="380" t="s">
        <v>773</v>
      </c>
      <c r="K4570" s="381">
        <v>0.0</v>
      </c>
      <c r="L4570" s="382">
        <v>1.0</v>
      </c>
    </row>
    <row r="4571">
      <c r="A4571" s="380" t="s">
        <v>5441</v>
      </c>
      <c r="B4571" s="380" t="str">
        <f>IFERROR(__xludf.DUMMYFUNCTION("""COMPUTED_VALUE"""),"Llanta 295/80 Traccion Yokohama Ty607")</f>
        <v>Llanta 295/80 Traccion Yokohama Ty607</v>
      </c>
      <c r="C4571" s="380" t="str">
        <f>IFERROR(__xludf.DUMMYFUNCTION("""COMPUTED_VALUE"""),"60000463")</f>
        <v>60000463</v>
      </c>
      <c r="D4571" s="380" t="s">
        <v>767</v>
      </c>
      <c r="E4571" s="380" t="s">
        <v>875</v>
      </c>
      <c r="F4571" s="380" t="s">
        <v>985</v>
      </c>
      <c r="G4571" s="380" t="s">
        <v>1267</v>
      </c>
      <c r="H4571" s="380" t="s">
        <v>771</v>
      </c>
      <c r="I4571" s="380" t="s">
        <v>986</v>
      </c>
      <c r="J4571" s="380" t="s">
        <v>773</v>
      </c>
      <c r="K4571" s="381">
        <v>0.0</v>
      </c>
      <c r="L4571" s="382">
        <v>1.0</v>
      </c>
    </row>
    <row r="4572">
      <c r="A4572" s="380" t="s">
        <v>5442</v>
      </c>
      <c r="B4572" s="380" t="str">
        <f>IFERROR(__xludf.DUMMYFUNCTION("""COMPUTED_VALUE"""),"Llanta 205/75 R17.5 Traccion M729 Bridge")</f>
        <v>Llanta 205/75 R17.5 Traccion M729 Bridge</v>
      </c>
      <c r="C4572" s="380" t="str">
        <f>IFERROR(__xludf.DUMMYFUNCTION("""COMPUTED_VALUE"""),"60000464")</f>
        <v>60000464</v>
      </c>
      <c r="D4572" s="380" t="s">
        <v>767</v>
      </c>
      <c r="E4572" s="380" t="s">
        <v>875</v>
      </c>
      <c r="F4572" s="380" t="s">
        <v>985</v>
      </c>
      <c r="G4572" s="380" t="s">
        <v>1267</v>
      </c>
      <c r="H4572" s="380" t="s">
        <v>771</v>
      </c>
      <c r="I4572" s="380" t="s">
        <v>986</v>
      </c>
      <c r="J4572" s="380" t="s">
        <v>773</v>
      </c>
      <c r="K4572" s="381">
        <v>0.0</v>
      </c>
      <c r="L4572" s="382">
        <v>1.0</v>
      </c>
    </row>
    <row r="4573">
      <c r="A4573" s="380" t="s">
        <v>5443</v>
      </c>
      <c r="B4573" s="380" t="str">
        <f>IFERROR(__xludf.DUMMYFUNCTION("""COMPUTED_VALUE"""),"Llanta 235/75r 17.5 Dir Michelin")</f>
        <v>Llanta 235/75r 17.5 Dir Michelin</v>
      </c>
      <c r="C4573" s="380" t="str">
        <f>IFERROR(__xludf.DUMMYFUNCTION("""COMPUTED_VALUE"""),"60000465")</f>
        <v>60000465</v>
      </c>
      <c r="D4573" s="380" t="s">
        <v>767</v>
      </c>
      <c r="E4573" s="380" t="s">
        <v>875</v>
      </c>
      <c r="F4573" s="380" t="s">
        <v>985</v>
      </c>
      <c r="G4573" s="380" t="s">
        <v>1267</v>
      </c>
      <c r="H4573" s="380" t="s">
        <v>771</v>
      </c>
      <c r="I4573" s="380" t="s">
        <v>986</v>
      </c>
      <c r="J4573" s="380" t="s">
        <v>773</v>
      </c>
      <c r="K4573" s="381">
        <v>0.0</v>
      </c>
      <c r="L4573" s="382">
        <v>1.0</v>
      </c>
    </row>
    <row r="4574">
      <c r="A4574" s="380" t="s">
        <v>5444</v>
      </c>
      <c r="B4574" s="380" t="str">
        <f>IFERROR(__xludf.DUMMYFUNCTION("""COMPUTED_VALUE"""),"Llanta 295/80 Direccional Continental Hs")</f>
        <v>Llanta 295/80 Direccional Continental Hs</v>
      </c>
      <c r="C4574" s="380" t="str">
        <f>IFERROR(__xludf.DUMMYFUNCTION("""COMPUTED_VALUE"""),"60000467")</f>
        <v>60000467</v>
      </c>
      <c r="D4574" s="380" t="s">
        <v>767</v>
      </c>
      <c r="E4574" s="380" t="s">
        <v>875</v>
      </c>
      <c r="F4574" s="380" t="s">
        <v>985</v>
      </c>
      <c r="G4574" s="380" t="s">
        <v>1267</v>
      </c>
      <c r="H4574" s="380" t="s">
        <v>771</v>
      </c>
      <c r="I4574" s="380" t="s">
        <v>986</v>
      </c>
      <c r="J4574" s="380" t="s">
        <v>773</v>
      </c>
      <c r="K4574" s="381">
        <v>0.0</v>
      </c>
      <c r="L4574" s="382">
        <v>1.0</v>
      </c>
    </row>
    <row r="4575">
      <c r="A4575" s="380" t="s">
        <v>5445</v>
      </c>
      <c r="B4575" s="380" t="str">
        <f>IFERROR(__xludf.DUMMYFUNCTION("""COMPUTED_VALUE"""),"L Llanta 295/80 Direccion Yokohama 104zr")</f>
        <v>L Llanta 295/80 Direccion Yokohama 104zr</v>
      </c>
      <c r="C4575" s="380" t="str">
        <f>IFERROR(__xludf.DUMMYFUNCTION("""COMPUTED_VALUE"""),"60000468")</f>
        <v>60000468</v>
      </c>
      <c r="D4575" s="380" t="s">
        <v>767</v>
      </c>
      <c r="E4575" s="380" t="s">
        <v>875</v>
      </c>
      <c r="F4575" s="380" t="s">
        <v>985</v>
      </c>
      <c r="G4575" s="380" t="s">
        <v>1267</v>
      </c>
      <c r="H4575" s="380" t="s">
        <v>771</v>
      </c>
      <c r="I4575" s="380" t="s">
        <v>986</v>
      </c>
      <c r="J4575" s="380" t="s">
        <v>773</v>
      </c>
      <c r="K4575" s="381">
        <v>0.0</v>
      </c>
      <c r="L4575" s="382">
        <v>1.0</v>
      </c>
    </row>
    <row r="4576">
      <c r="A4576" s="380" t="s">
        <v>5446</v>
      </c>
      <c r="B4576" s="380" t="str">
        <f>IFERROR(__xludf.DUMMYFUNCTION("""COMPUTED_VALUE"""),"Llanta 205/75 R15 Sc/Atr Pirelli")</f>
        <v>Llanta 205/75 R15 Sc/Atr Pirelli</v>
      </c>
      <c r="C4576" s="380" t="str">
        <f>IFERROR(__xludf.DUMMYFUNCTION("""COMPUTED_VALUE"""),"60000469")</f>
        <v>60000469</v>
      </c>
      <c r="D4576" s="380" t="s">
        <v>767</v>
      </c>
      <c r="E4576" s="380" t="s">
        <v>875</v>
      </c>
      <c r="F4576" s="380" t="s">
        <v>985</v>
      </c>
      <c r="G4576" s="380" t="s">
        <v>1267</v>
      </c>
      <c r="H4576" s="380" t="s">
        <v>771</v>
      </c>
      <c r="I4576" s="380" t="s">
        <v>986</v>
      </c>
      <c r="J4576" s="380" t="s">
        <v>773</v>
      </c>
      <c r="K4576" s="381">
        <v>0.0</v>
      </c>
      <c r="L4576" s="382">
        <v>1.0</v>
      </c>
    </row>
    <row r="4577">
      <c r="A4577" s="380" t="s">
        <v>5447</v>
      </c>
      <c r="B4577" s="380" t="str">
        <f>IFERROR(__xludf.DUMMYFUNCTION("""COMPUTED_VALUE"""),"Llanta Talon Del Monta 21x7x15")</f>
        <v>Llanta Talon Del Monta 21x7x15</v>
      </c>
      <c r="C4577" s="380" t="str">
        <f>IFERROR(__xludf.DUMMYFUNCTION("""COMPUTED_VALUE"""),"60000470")</f>
        <v>60000470</v>
      </c>
      <c r="D4577" s="380" t="s">
        <v>767</v>
      </c>
      <c r="E4577" s="380" t="s">
        <v>875</v>
      </c>
      <c r="F4577" s="380" t="s">
        <v>985</v>
      </c>
      <c r="G4577" s="380" t="s">
        <v>1267</v>
      </c>
      <c r="H4577" s="380" t="s">
        <v>771</v>
      </c>
      <c r="I4577" s="380" t="s">
        <v>986</v>
      </c>
      <c r="J4577" s="380" t="s">
        <v>773</v>
      </c>
      <c r="K4577" s="381">
        <v>0.0</v>
      </c>
      <c r="L4577" s="382">
        <v>1.0</v>
      </c>
    </row>
    <row r="4578">
      <c r="A4578" s="380" t="s">
        <v>5448</v>
      </c>
      <c r="B4578" s="380" t="str">
        <f>IFERROR(__xludf.DUMMYFUNCTION("""COMPUTED_VALUE"""),"Llanta 265/70 R16 Pirelli")</f>
        <v>Llanta 265/70 R16 Pirelli</v>
      </c>
      <c r="C4578" s="380" t="str">
        <f>IFERROR(__xludf.DUMMYFUNCTION("""COMPUTED_VALUE"""),"60000471")</f>
        <v>60000471</v>
      </c>
      <c r="D4578" s="380" t="s">
        <v>767</v>
      </c>
      <c r="E4578" s="380" t="s">
        <v>875</v>
      </c>
      <c r="F4578" s="380" t="s">
        <v>985</v>
      </c>
      <c r="G4578" s="380" t="s">
        <v>1267</v>
      </c>
      <c r="H4578" s="380" t="s">
        <v>771</v>
      </c>
      <c r="I4578" s="380" t="s">
        <v>986</v>
      </c>
      <c r="J4578" s="380" t="s">
        <v>773</v>
      </c>
      <c r="K4578" s="381">
        <v>0.0</v>
      </c>
      <c r="L4578" s="382">
        <v>1.0</v>
      </c>
    </row>
    <row r="4579">
      <c r="A4579" s="380" t="s">
        <v>5449</v>
      </c>
      <c r="B4579" s="380" t="str">
        <f>IFERROR(__xludf.DUMMYFUNCTION("""COMPUTED_VALUE"""),"Llanta 275/65 R17 Yokohama")</f>
        <v>Llanta 275/65 R17 Yokohama</v>
      </c>
      <c r="C4579" s="380" t="str">
        <f>IFERROR(__xludf.DUMMYFUNCTION("""COMPUTED_VALUE"""),"60000472")</f>
        <v>60000472</v>
      </c>
      <c r="D4579" s="380" t="s">
        <v>767</v>
      </c>
      <c r="E4579" s="380" t="s">
        <v>875</v>
      </c>
      <c r="F4579" s="380" t="s">
        <v>985</v>
      </c>
      <c r="G4579" s="380" t="s">
        <v>1267</v>
      </c>
      <c r="H4579" s="380" t="s">
        <v>771</v>
      </c>
      <c r="I4579" s="380" t="s">
        <v>986</v>
      </c>
      <c r="J4579" s="380" t="s">
        <v>773</v>
      </c>
      <c r="K4579" s="381">
        <v>0.0</v>
      </c>
      <c r="L4579" s="382">
        <v>1.0</v>
      </c>
    </row>
    <row r="4580">
      <c r="A4580" s="380" t="s">
        <v>5450</v>
      </c>
      <c r="B4580" s="380" t="str">
        <f>IFERROR(__xludf.DUMMYFUNCTION("""COMPUTED_VALUE"""),"Llanta 295/80 R22.5 Traccion Michelin Xm")</f>
        <v>Llanta 295/80 R22.5 Traccion Michelin Xm</v>
      </c>
      <c r="C4580" s="380" t="str">
        <f>IFERROR(__xludf.DUMMYFUNCTION("""COMPUTED_VALUE"""),"60000473")</f>
        <v>60000473</v>
      </c>
      <c r="D4580" s="380" t="s">
        <v>767</v>
      </c>
      <c r="E4580" s="380" t="s">
        <v>875</v>
      </c>
      <c r="F4580" s="380" t="s">
        <v>985</v>
      </c>
      <c r="G4580" s="380" t="s">
        <v>1267</v>
      </c>
      <c r="H4580" s="380" t="s">
        <v>771</v>
      </c>
      <c r="I4580" s="380" t="s">
        <v>986</v>
      </c>
      <c r="J4580" s="380" t="s">
        <v>773</v>
      </c>
      <c r="K4580" s="381">
        <v>0.0</v>
      </c>
      <c r="L4580" s="382">
        <v>1.0</v>
      </c>
    </row>
    <row r="4581">
      <c r="A4581" s="380" t="s">
        <v>5451</v>
      </c>
      <c r="B4581" s="380" t="str">
        <f>IFERROR(__xludf.DUMMYFUNCTION("""COMPUTED_VALUE"""),"Llanta 295/80 R22.5 Traccion Pirelli Tr0")</f>
        <v>Llanta 295/80 R22.5 Traccion Pirelli Tr0</v>
      </c>
      <c r="C4581" s="380" t="str">
        <f>IFERROR(__xludf.DUMMYFUNCTION("""COMPUTED_VALUE"""),"60000474")</f>
        <v>60000474</v>
      </c>
      <c r="D4581" s="380" t="s">
        <v>767</v>
      </c>
      <c r="E4581" s="380" t="s">
        <v>875</v>
      </c>
      <c r="F4581" s="380" t="s">
        <v>985</v>
      </c>
      <c r="G4581" s="380" t="s">
        <v>1267</v>
      </c>
      <c r="H4581" s="380" t="s">
        <v>771</v>
      </c>
      <c r="I4581" s="380" t="s">
        <v>986</v>
      </c>
      <c r="J4581" s="380" t="s">
        <v>773</v>
      </c>
      <c r="K4581" s="381">
        <v>0.0</v>
      </c>
      <c r="L4581" s="382">
        <v>1.0</v>
      </c>
    </row>
    <row r="4582">
      <c r="A4582" s="380" t="s">
        <v>5452</v>
      </c>
      <c r="B4582" s="380" t="str">
        <f>IFERROR(__xludf.DUMMYFUNCTION("""COMPUTED_VALUE"""),"L Llanta 295/80 Direccional Pirelli Fr01")</f>
        <v>L Llanta 295/80 Direccional Pirelli Fr01</v>
      </c>
      <c r="C4582" s="380" t="str">
        <f>IFERROR(__xludf.DUMMYFUNCTION("""COMPUTED_VALUE"""),"60000475")</f>
        <v>60000475</v>
      </c>
      <c r="D4582" s="380" t="s">
        <v>767</v>
      </c>
      <c r="E4582" s="380" t="s">
        <v>875</v>
      </c>
      <c r="F4582" s="380" t="s">
        <v>985</v>
      </c>
      <c r="G4582" s="380" t="s">
        <v>1267</v>
      </c>
      <c r="H4582" s="380" t="s">
        <v>771</v>
      </c>
      <c r="I4582" s="380" t="s">
        <v>986</v>
      </c>
      <c r="J4582" s="380" t="s">
        <v>773</v>
      </c>
      <c r="K4582" s="381">
        <v>0.0</v>
      </c>
      <c r="L4582" s="382">
        <v>1.0</v>
      </c>
    </row>
    <row r="4583">
      <c r="A4583" s="380" t="s">
        <v>5453</v>
      </c>
      <c r="B4583" s="380" t="str">
        <f>IFERROR(__xludf.DUMMYFUNCTION("""COMPUTED_VALUE"""),"Llanta 235/75r 17.5 Traccion Regional Rh")</f>
        <v>Llanta 235/75r 17.5 Traccion Regional Rh</v>
      </c>
      <c r="C4583" s="380" t="str">
        <f>IFERROR(__xludf.DUMMYFUNCTION("""COMPUTED_VALUE"""),"60000476")</f>
        <v>60000476</v>
      </c>
      <c r="D4583" s="380" t="s">
        <v>767</v>
      </c>
      <c r="E4583" s="380" t="s">
        <v>875</v>
      </c>
      <c r="F4583" s="380" t="s">
        <v>985</v>
      </c>
      <c r="G4583" s="380" t="s">
        <v>1267</v>
      </c>
      <c r="H4583" s="380" t="s">
        <v>771</v>
      </c>
      <c r="I4583" s="380" t="s">
        <v>986</v>
      </c>
      <c r="J4583" s="380" t="s">
        <v>773</v>
      </c>
      <c r="K4583" s="381">
        <v>0.0</v>
      </c>
      <c r="L4583" s="382">
        <v>1.0</v>
      </c>
    </row>
    <row r="4584">
      <c r="A4584" s="380" t="s">
        <v>5454</v>
      </c>
      <c r="B4584" s="380" t="str">
        <f>IFERROR(__xludf.DUMMYFUNCTION("""COMPUTED_VALUE"""),"Llanta 295/80 R22.5 Good Year Kmax Extre")</f>
        <v>Llanta 295/80 R22.5 Good Year Kmax Extre</v>
      </c>
      <c r="C4584" s="380" t="str">
        <f>IFERROR(__xludf.DUMMYFUNCTION("""COMPUTED_VALUE"""),"60000477")</f>
        <v>60000477</v>
      </c>
      <c r="D4584" s="380" t="s">
        <v>767</v>
      </c>
      <c r="E4584" s="380" t="s">
        <v>875</v>
      </c>
      <c r="F4584" s="380" t="s">
        <v>985</v>
      </c>
      <c r="G4584" s="380" t="s">
        <v>1267</v>
      </c>
      <c r="H4584" s="380" t="s">
        <v>771</v>
      </c>
      <c r="I4584" s="380" t="s">
        <v>986</v>
      </c>
      <c r="J4584" s="380" t="s">
        <v>773</v>
      </c>
      <c r="K4584" s="381">
        <v>0.0</v>
      </c>
      <c r="L4584" s="382">
        <v>1.0</v>
      </c>
    </row>
    <row r="4585">
      <c r="A4585" s="380" t="s">
        <v>5455</v>
      </c>
      <c r="B4585" s="380" t="str">
        <f>IFERROR(__xludf.DUMMYFUNCTION("""COMPUTED_VALUE"""),"Neumat Neumatico Moto 400/460 X 17 Dr650")</f>
        <v>Neumat Neumatico Moto 400/460 X 17 Dr650</v>
      </c>
      <c r="C4585" s="380" t="str">
        <f>IFERROR(__xludf.DUMMYFUNCTION("""COMPUTED_VALUE"""),"60000478")</f>
        <v>60000478</v>
      </c>
      <c r="D4585" s="380" t="s">
        <v>767</v>
      </c>
      <c r="E4585" s="380" t="s">
        <v>875</v>
      </c>
      <c r="F4585" s="380" t="s">
        <v>5293</v>
      </c>
      <c r="G4585" s="380" t="s">
        <v>1267</v>
      </c>
      <c r="H4585" s="380" t="s">
        <v>771</v>
      </c>
      <c r="I4585" s="380" t="s">
        <v>986</v>
      </c>
      <c r="J4585" s="380" t="s">
        <v>773</v>
      </c>
      <c r="K4585" s="381">
        <v>0.0</v>
      </c>
      <c r="L4585" s="382">
        <v>1.0</v>
      </c>
    </row>
    <row r="4586">
      <c r="A4586" s="380" t="s">
        <v>5456</v>
      </c>
      <c r="B4586" s="380" t="str">
        <f>IFERROR(__xludf.DUMMYFUNCTION("""COMPUTED_VALUE"""),"Llanta 700-15 Reenc Mix Vhw")</f>
        <v>Llanta 700-15 Reenc Mix Vhw</v>
      </c>
      <c r="C4586" s="380" t="str">
        <f>IFERROR(__xludf.DUMMYFUNCTION("""COMPUTED_VALUE"""),"60000479")</f>
        <v>60000479</v>
      </c>
      <c r="D4586" s="380" t="s">
        <v>767</v>
      </c>
      <c r="E4586" s="380" t="s">
        <v>875</v>
      </c>
      <c r="F4586" s="380" t="s">
        <v>5140</v>
      </c>
      <c r="G4586" s="380" t="s">
        <v>1267</v>
      </c>
      <c r="H4586" s="380" t="s">
        <v>771</v>
      </c>
      <c r="I4586" s="380" t="s">
        <v>5141</v>
      </c>
      <c r="J4586" s="380" t="s">
        <v>773</v>
      </c>
      <c r="K4586" s="381">
        <v>0.0</v>
      </c>
      <c r="L4586" s="382">
        <v>1.0</v>
      </c>
    </row>
    <row r="4587">
      <c r="A4587" s="380" t="s">
        <v>5457</v>
      </c>
      <c r="B4587" s="380" t="str">
        <f>IFERROR(__xludf.DUMMYFUNCTION("""COMPUTED_VALUE"""),"Llanta 295/80r22.5 Tracción Reenc Vbd")</f>
        <v>Llanta 295/80r22.5 Tracción Reenc Vbd</v>
      </c>
      <c r="C4587" s="380" t="str">
        <f>IFERROR(__xludf.DUMMYFUNCTION("""COMPUTED_VALUE"""),"60000480")</f>
        <v>60000480</v>
      </c>
      <c r="D4587" s="380" t="s">
        <v>767</v>
      </c>
      <c r="E4587" s="380" t="s">
        <v>875</v>
      </c>
      <c r="F4587" s="380" t="s">
        <v>5140</v>
      </c>
      <c r="G4587" s="380" t="s">
        <v>1267</v>
      </c>
      <c r="H4587" s="380" t="s">
        <v>771</v>
      </c>
      <c r="I4587" s="380" t="s">
        <v>5141</v>
      </c>
      <c r="J4587" s="380" t="s">
        <v>773</v>
      </c>
      <c r="K4587" s="381">
        <v>0.0</v>
      </c>
      <c r="L4587" s="382">
        <v>1.0</v>
      </c>
    </row>
    <row r="4588">
      <c r="A4588" s="380" t="s">
        <v>5458</v>
      </c>
      <c r="B4588" s="380" t="str">
        <f>IFERROR(__xludf.DUMMYFUNCTION("""COMPUTED_VALUE"""),"Llanta 90-90-21 Pirellli Mt60 Dr650")</f>
        <v>Llanta 90-90-21 Pirellli Mt60 Dr650</v>
      </c>
      <c r="C4588" s="380" t="str">
        <f>IFERROR(__xludf.DUMMYFUNCTION("""COMPUTED_VALUE"""),"60000481")</f>
        <v>60000481</v>
      </c>
      <c r="D4588" s="380" t="s">
        <v>767</v>
      </c>
      <c r="E4588" s="380" t="s">
        <v>875</v>
      </c>
      <c r="F4588" s="380" t="s">
        <v>985</v>
      </c>
      <c r="G4588" s="380" t="s">
        <v>1267</v>
      </c>
      <c r="H4588" s="380" t="s">
        <v>771</v>
      </c>
      <c r="I4588" s="380" t="s">
        <v>986</v>
      </c>
      <c r="J4588" s="380" t="s">
        <v>773</v>
      </c>
      <c r="K4588" s="381">
        <v>0.0</v>
      </c>
      <c r="L4588" s="382">
        <v>1.0</v>
      </c>
    </row>
    <row r="4589">
      <c r="A4589" s="380" t="s">
        <v>5459</v>
      </c>
      <c r="B4589" s="380" t="str">
        <f>IFERROR(__xludf.DUMMYFUNCTION("""COMPUTED_VALUE"""),"Neumatico Moto Suzuki 275*18")</f>
        <v>Neumatico Moto Suzuki 275*18</v>
      </c>
      <c r="C4589" s="380" t="str">
        <f>IFERROR(__xludf.DUMMYFUNCTION("""COMPUTED_VALUE"""),"60000482")</f>
        <v>60000482</v>
      </c>
      <c r="D4589" s="380" t="s">
        <v>767</v>
      </c>
      <c r="E4589" s="380" t="s">
        <v>875</v>
      </c>
      <c r="F4589" s="380" t="s">
        <v>985</v>
      </c>
      <c r="G4589" s="380" t="s">
        <v>1267</v>
      </c>
      <c r="H4589" s="380" t="s">
        <v>771</v>
      </c>
      <c r="I4589" s="380" t="s">
        <v>986</v>
      </c>
      <c r="J4589" s="380" t="s">
        <v>773</v>
      </c>
      <c r="K4589" s="381">
        <v>0.0</v>
      </c>
      <c r="L4589" s="382">
        <v>1.0</v>
      </c>
    </row>
    <row r="4590">
      <c r="A4590" s="380" t="s">
        <v>5460</v>
      </c>
      <c r="B4590" s="380" t="str">
        <f>IFERROR(__xludf.DUMMYFUNCTION("""COMPUTED_VALUE"""),"Llanta REP Externa 295/80 R 2 Reparado")</f>
        <v>Llanta REP Externa 295/80 R 2 Reparado</v>
      </c>
      <c r="C4590" s="380" t="str">
        <f>IFERROR(__xludf.DUMMYFUNCTION("""COMPUTED_VALUE"""),"60000483")</f>
        <v>60000483</v>
      </c>
      <c r="D4590" s="380" t="s">
        <v>767</v>
      </c>
      <c r="E4590" s="380" t="s">
        <v>875</v>
      </c>
      <c r="F4590" s="380" t="s">
        <v>5140</v>
      </c>
      <c r="G4590" s="380" t="s">
        <v>1267</v>
      </c>
      <c r="H4590" s="380" t="s">
        <v>771</v>
      </c>
      <c r="I4590" s="380" t="s">
        <v>5141</v>
      </c>
      <c r="J4590" s="380" t="s">
        <v>773</v>
      </c>
      <c r="K4590" s="381">
        <v>0.0</v>
      </c>
      <c r="L4590" s="382">
        <v>1.0</v>
      </c>
    </row>
    <row r="4591">
      <c r="A4591" s="380" t="s">
        <v>5461</v>
      </c>
      <c r="B4591" s="380" t="str">
        <f>IFERROR(__xludf.DUMMYFUNCTION("""COMPUTED_VALUE"""),"Llanta 750r16 750r 16 Reparado")</f>
        <v>Llanta 750r16 750r 16 Reparado</v>
      </c>
      <c r="C4591" s="380" t="str">
        <f>IFERROR(__xludf.DUMMYFUNCTION("""COMPUTED_VALUE"""),"60000484")</f>
        <v>60000484</v>
      </c>
      <c r="D4591" s="380" t="s">
        <v>767</v>
      </c>
      <c r="E4591" s="380" t="s">
        <v>875</v>
      </c>
      <c r="F4591" s="380" t="s">
        <v>5140</v>
      </c>
      <c r="G4591" s="380" t="s">
        <v>1267</v>
      </c>
      <c r="H4591" s="380" t="s">
        <v>771</v>
      </c>
      <c r="I4591" s="380" t="s">
        <v>5141</v>
      </c>
      <c r="J4591" s="380" t="s">
        <v>773</v>
      </c>
      <c r="K4591" s="381">
        <v>0.0</v>
      </c>
      <c r="L4591" s="382">
        <v>1.0</v>
      </c>
    </row>
    <row r="4592">
      <c r="A4592" s="380" t="s">
        <v>5462</v>
      </c>
      <c r="B4592" s="380" t="str">
        <f>IFERROR(__xludf.DUMMYFUNCTION("""COMPUTED_VALUE"""),"Llanta 205/75 R17.5 Nkr Iii Reward Delan")</f>
        <v>Llanta 205/75 R17.5 Nkr Iii Reward Delan</v>
      </c>
      <c r="C4592" s="380" t="str">
        <f>IFERROR(__xludf.DUMMYFUNCTION("""COMPUTED_VALUE"""),"60000485")</f>
        <v>60000485</v>
      </c>
      <c r="D4592" s="380" t="s">
        <v>767</v>
      </c>
      <c r="E4592" s="380" t="s">
        <v>875</v>
      </c>
      <c r="F4592" s="380" t="s">
        <v>985</v>
      </c>
      <c r="G4592" s="380" t="s">
        <v>1267</v>
      </c>
      <c r="H4592" s="380" t="s">
        <v>771</v>
      </c>
      <c r="I4592" s="380" t="s">
        <v>986</v>
      </c>
      <c r="J4592" s="380" t="s">
        <v>773</v>
      </c>
      <c r="K4592" s="381">
        <v>0.0</v>
      </c>
      <c r="L4592" s="382">
        <v>1.0</v>
      </c>
    </row>
    <row r="4593">
      <c r="A4593" s="380" t="s">
        <v>5463</v>
      </c>
      <c r="B4593" s="380" t="str">
        <f>IFERROR(__xludf.DUMMYFUNCTION("""COMPUTED_VALUE"""),"Llanta Ohero Moto Furgon 4.50-12")</f>
        <v>Llanta Ohero Moto Furgon 4.50-12</v>
      </c>
      <c r="C4593" s="380" t="str">
        <f>IFERROR(__xludf.DUMMYFUNCTION("""COMPUTED_VALUE"""),"60000486")</f>
        <v>60000486</v>
      </c>
      <c r="D4593" s="380" t="s">
        <v>767</v>
      </c>
      <c r="E4593" s="380" t="s">
        <v>875</v>
      </c>
      <c r="F4593" s="380" t="s">
        <v>985</v>
      </c>
      <c r="G4593" s="380" t="s">
        <v>1267</v>
      </c>
      <c r="H4593" s="380" t="s">
        <v>771</v>
      </c>
      <c r="I4593" s="380" t="s">
        <v>986</v>
      </c>
      <c r="J4593" s="380" t="s">
        <v>773</v>
      </c>
      <c r="K4593" s="381">
        <v>0.0</v>
      </c>
      <c r="L4593" s="382">
        <v>1.0</v>
      </c>
    </row>
    <row r="4594">
      <c r="A4594" s="380" t="s">
        <v>5464</v>
      </c>
      <c r="B4594" s="380" t="str">
        <f>IFERROR(__xludf.DUMMYFUNCTION("""COMPUTED_VALUE"""),"Llanta 295/80 Xde2 Reencaucha 295/80 R 2")</f>
        <v>Llanta 295/80 Xde2 Reencaucha 295/80 R 2</v>
      </c>
      <c r="C4594" s="380" t="str">
        <f>IFERROR(__xludf.DUMMYFUNCTION("""COMPUTED_VALUE"""),"60000487")</f>
        <v>60000487</v>
      </c>
      <c r="D4594" s="380" t="s">
        <v>767</v>
      </c>
      <c r="E4594" s="380" t="s">
        <v>875</v>
      </c>
      <c r="F4594" s="380" t="s">
        <v>5140</v>
      </c>
      <c r="G4594" s="380" t="s">
        <v>1267</v>
      </c>
      <c r="H4594" s="380" t="s">
        <v>771</v>
      </c>
      <c r="I4594" s="380" t="s">
        <v>5141</v>
      </c>
      <c r="J4594" s="380" t="s">
        <v>773</v>
      </c>
      <c r="K4594" s="381">
        <v>0.0</v>
      </c>
      <c r="L4594" s="382">
        <v>1.0</v>
      </c>
    </row>
    <row r="4595">
      <c r="A4595" s="380" t="s">
        <v>5465</v>
      </c>
      <c r="B4595" s="380" t="str">
        <f>IFERROR(__xludf.DUMMYFUNCTION("""COMPUTED_VALUE"""),"Llanta Moto Delantera 275/18 275x18")</f>
        <v>Llanta Moto Delantera 275/18 275x18</v>
      </c>
      <c r="C4595" s="380" t="str">
        <f>IFERROR(__xludf.DUMMYFUNCTION("""COMPUTED_VALUE"""),"60000488")</f>
        <v>60000488</v>
      </c>
      <c r="D4595" s="380" t="s">
        <v>767</v>
      </c>
      <c r="E4595" s="380" t="s">
        <v>875</v>
      </c>
      <c r="F4595" s="380" t="s">
        <v>985</v>
      </c>
      <c r="G4595" s="380" t="s">
        <v>1267</v>
      </c>
      <c r="H4595" s="380" t="s">
        <v>771</v>
      </c>
      <c r="I4595" s="380" t="s">
        <v>986</v>
      </c>
      <c r="J4595" s="380" t="s">
        <v>773</v>
      </c>
      <c r="K4595" s="381">
        <v>55734.0</v>
      </c>
      <c r="L4595" s="382">
        <v>1.0</v>
      </c>
    </row>
    <row r="4596">
      <c r="A4596" s="380" t="s">
        <v>5466</v>
      </c>
      <c r="B4596" s="380" t="str">
        <f>IFERROR(__xludf.DUMMYFUNCTION("""COMPUTED_VALUE"""),"Llanta 700r16 Reencauche Mixto")</f>
        <v>Llanta 700r16 Reencauche Mixto</v>
      </c>
      <c r="C4596" s="380" t="str">
        <f>IFERROR(__xludf.DUMMYFUNCTION("""COMPUTED_VALUE"""),"60000489")</f>
        <v>60000489</v>
      </c>
      <c r="D4596" s="380" t="s">
        <v>767</v>
      </c>
      <c r="E4596" s="380" t="s">
        <v>875</v>
      </c>
      <c r="F4596" s="380" t="s">
        <v>5140</v>
      </c>
      <c r="G4596" s="380" t="s">
        <v>1267</v>
      </c>
      <c r="H4596" s="380" t="s">
        <v>771</v>
      </c>
      <c r="I4596" s="380" t="s">
        <v>5141</v>
      </c>
      <c r="J4596" s="380" t="s">
        <v>773</v>
      </c>
      <c r="K4596" s="381">
        <v>0.0</v>
      </c>
      <c r="L4596" s="382">
        <v>1.0</v>
      </c>
    </row>
    <row r="4597">
      <c r="A4597" s="380" t="s">
        <v>5467</v>
      </c>
      <c r="B4597" s="380" t="str">
        <f>IFERROR(__xludf.DUMMYFUNCTION("""COMPUTED_VALUE"""),"Llanta DIRal Ct-176 Good 700-15 Nhr")</f>
        <v>Llanta DIRal Ct-176 Good 700-15 Nhr</v>
      </c>
      <c r="C4597" s="380" t="str">
        <f>IFERROR(__xludf.DUMMYFUNCTION("""COMPUTED_VALUE"""),"60000490")</f>
        <v>60000490</v>
      </c>
      <c r="D4597" s="380" t="s">
        <v>767</v>
      </c>
      <c r="E4597" s="380" t="s">
        <v>875</v>
      </c>
      <c r="F4597" s="380" t="s">
        <v>985</v>
      </c>
      <c r="G4597" s="380" t="s">
        <v>1267</v>
      </c>
      <c r="H4597" s="380" t="s">
        <v>771</v>
      </c>
      <c r="I4597" s="380" t="s">
        <v>986</v>
      </c>
      <c r="J4597" s="380" t="s">
        <v>773</v>
      </c>
      <c r="K4597" s="381">
        <v>0.0</v>
      </c>
      <c r="L4597" s="382">
        <v>1.0</v>
      </c>
    </row>
    <row r="4598">
      <c r="A4598" s="380" t="s">
        <v>5468</v>
      </c>
      <c r="B4598" s="380" t="str">
        <f>IFERROR(__xludf.DUMMYFUNCTION("""COMPUTED_VALUE"""),"Llanta 205/75r16c Reencauchada")</f>
        <v>Llanta 205/75r16c Reencauchada</v>
      </c>
      <c r="C4598" s="380" t="str">
        <f>IFERROR(__xludf.DUMMYFUNCTION("""COMPUTED_VALUE"""),"60000491")</f>
        <v>60000491</v>
      </c>
      <c r="D4598" s="380" t="s">
        <v>767</v>
      </c>
      <c r="E4598" s="380" t="s">
        <v>875</v>
      </c>
      <c r="F4598" s="380" t="s">
        <v>5140</v>
      </c>
      <c r="G4598" s="380" t="s">
        <v>1267</v>
      </c>
      <c r="H4598" s="380" t="s">
        <v>771</v>
      </c>
      <c r="I4598" s="380" t="s">
        <v>5141</v>
      </c>
      <c r="J4598" s="380" t="s">
        <v>773</v>
      </c>
      <c r="K4598" s="381">
        <v>235544.0</v>
      </c>
      <c r="L4598" s="382">
        <v>1.0</v>
      </c>
    </row>
    <row r="4599">
      <c r="A4599" s="380" t="s">
        <v>5469</v>
      </c>
      <c r="B4599" s="380" t="str">
        <f>IFERROR(__xludf.DUMMYFUNCTION("""COMPUTED_VALUE"""),"Llanta 235/75r17.5 Reen Mix Vcb")</f>
        <v>Llanta 235/75r17.5 Reen Mix Vcb</v>
      </c>
      <c r="C4599" s="380" t="str">
        <f>IFERROR(__xludf.DUMMYFUNCTION("""COMPUTED_VALUE"""),"60000492")</f>
        <v>60000492</v>
      </c>
      <c r="D4599" s="380" t="s">
        <v>767</v>
      </c>
      <c r="E4599" s="380" t="s">
        <v>875</v>
      </c>
      <c r="F4599" s="380" t="s">
        <v>5140</v>
      </c>
      <c r="G4599" s="380" t="s">
        <v>1267</v>
      </c>
      <c r="H4599" s="380" t="s">
        <v>771</v>
      </c>
      <c r="I4599" s="380" t="s">
        <v>5141</v>
      </c>
      <c r="J4599" s="380" t="s">
        <v>773</v>
      </c>
      <c r="K4599" s="381">
        <v>0.0</v>
      </c>
      <c r="L4599" s="382">
        <v>1.0</v>
      </c>
    </row>
    <row r="4600">
      <c r="A4600" s="380" t="s">
        <v>5470</v>
      </c>
      <c r="B4600" s="380" t="str">
        <f>IFERROR(__xludf.DUMMYFUNCTION("""COMPUTED_VALUE"""),"Llanta 700 R 15 Reparado")</f>
        <v>Llanta 700 R 15 Reparado</v>
      </c>
      <c r="C4600" s="380" t="str">
        <f>IFERROR(__xludf.DUMMYFUNCTION("""COMPUTED_VALUE"""),"60000493")</f>
        <v>60000493</v>
      </c>
      <c r="D4600" s="380" t="s">
        <v>767</v>
      </c>
      <c r="E4600" s="380" t="s">
        <v>875</v>
      </c>
      <c r="F4600" s="380" t="s">
        <v>5140</v>
      </c>
      <c r="G4600" s="380" t="s">
        <v>1267</v>
      </c>
      <c r="H4600" s="380" t="s">
        <v>771</v>
      </c>
      <c r="I4600" s="380" t="s">
        <v>5141</v>
      </c>
      <c r="J4600" s="380" t="s">
        <v>773</v>
      </c>
      <c r="K4600" s="381">
        <v>0.0</v>
      </c>
      <c r="L4600" s="382">
        <v>1.0</v>
      </c>
    </row>
    <row r="4601">
      <c r="A4601" s="380" t="s">
        <v>5471</v>
      </c>
      <c r="B4601" s="380" t="str">
        <f>IFERROR(__xludf.DUMMYFUNCTION("""COMPUTED_VALUE"""),"Llanta 295/80 DIRal Reen 295/80 R 2")</f>
        <v>Llanta 295/80 DIRal Reen 295/80 R 2</v>
      </c>
      <c r="C4601" s="380" t="str">
        <f>IFERROR(__xludf.DUMMYFUNCTION("""COMPUTED_VALUE"""),"60000494")</f>
        <v>60000494</v>
      </c>
      <c r="D4601" s="380" t="s">
        <v>767</v>
      </c>
      <c r="E4601" s="380" t="s">
        <v>875</v>
      </c>
      <c r="F4601" s="380" t="s">
        <v>5140</v>
      </c>
      <c r="G4601" s="380" t="s">
        <v>1267</v>
      </c>
      <c r="H4601" s="380" t="s">
        <v>771</v>
      </c>
      <c r="I4601" s="380" t="s">
        <v>5141</v>
      </c>
      <c r="J4601" s="380" t="s">
        <v>773</v>
      </c>
      <c r="K4601" s="381">
        <v>0.0</v>
      </c>
      <c r="L4601" s="382">
        <v>1.0</v>
      </c>
    </row>
    <row r="4602">
      <c r="A4602" s="380" t="s">
        <v>5472</v>
      </c>
      <c r="B4602" s="380" t="str">
        <f>IFERROR(__xludf.DUMMYFUNCTION("""COMPUTED_VALUE"""),"Kilowatio / Hora Kilovatio / Hora")</f>
        <v>Kilowatio / Hora Kilovatio / Hora</v>
      </c>
      <c r="C4602" s="380" t="str">
        <f>IFERROR(__xludf.DUMMYFUNCTION("""COMPUTED_VALUE"""),"60000495")</f>
        <v>60000495</v>
      </c>
      <c r="D4602" s="380" t="s">
        <v>767</v>
      </c>
      <c r="E4602" s="380" t="s">
        <v>875</v>
      </c>
      <c r="F4602" s="380" t="s">
        <v>5473</v>
      </c>
      <c r="G4602" s="380" t="s">
        <v>1267</v>
      </c>
      <c r="H4602" s="380" t="s">
        <v>771</v>
      </c>
      <c r="I4602" s="380" t="s">
        <v>817</v>
      </c>
      <c r="J4602" s="380" t="s">
        <v>773</v>
      </c>
      <c r="K4602" s="381">
        <v>0.0</v>
      </c>
      <c r="L4602" s="382">
        <v>1.0</v>
      </c>
    </row>
    <row r="4603">
      <c r="A4603" s="380" t="s">
        <v>5474</v>
      </c>
      <c r="B4603" s="380" t="str">
        <f>IFERROR(__xludf.DUMMYFUNCTION("""COMPUTED_VALUE"""),"Llanta 295/80 Reencauchadavl110")</f>
        <v>Llanta 295/80 Reencauchadavl110</v>
      </c>
      <c r="C4603" s="380" t="str">
        <f>IFERROR(__xludf.DUMMYFUNCTION("""COMPUTED_VALUE"""),"60000500")</f>
        <v>60000500</v>
      </c>
      <c r="D4603" s="380" t="s">
        <v>767</v>
      </c>
      <c r="E4603" s="380" t="s">
        <v>875</v>
      </c>
      <c r="F4603" s="380" t="s">
        <v>5140</v>
      </c>
      <c r="G4603" s="380" t="s">
        <v>1267</v>
      </c>
      <c r="H4603" s="380" t="s">
        <v>771</v>
      </c>
      <c r="I4603" s="380" t="s">
        <v>5141</v>
      </c>
      <c r="J4603" s="380" t="s">
        <v>773</v>
      </c>
      <c r="K4603" s="381">
        <v>0.0</v>
      </c>
      <c r="L4603" s="382">
        <v>1.0</v>
      </c>
    </row>
    <row r="4604">
      <c r="A4604" s="380" t="s">
        <v>5475</v>
      </c>
      <c r="B4604" s="380" t="str">
        <f>IFERROR(__xludf.DUMMYFUNCTION("""COMPUTED_VALUE"""),"Llanta 275/80r22.5 TracXMultiD Michellin")</f>
        <v>Llanta 275/80r22.5 TracXMultiD Michellin</v>
      </c>
      <c r="C4604" s="380" t="str">
        <f>IFERROR(__xludf.DUMMYFUNCTION("""COMPUTED_VALUE"""),"60000501")</f>
        <v>60000501</v>
      </c>
      <c r="D4604" s="380" t="s">
        <v>767</v>
      </c>
      <c r="E4604" s="380" t="s">
        <v>875</v>
      </c>
      <c r="F4604" s="380" t="s">
        <v>985</v>
      </c>
      <c r="G4604" s="380" t="s">
        <v>1267</v>
      </c>
      <c r="H4604" s="380" t="s">
        <v>771</v>
      </c>
      <c r="I4604" s="380" t="s">
        <v>986</v>
      </c>
      <c r="J4604" s="380" t="s">
        <v>773</v>
      </c>
      <c r="K4604" s="381">
        <v>0.0</v>
      </c>
      <c r="L4604" s="382">
        <v>1.0</v>
      </c>
    </row>
    <row r="4605">
      <c r="A4605" s="380" t="s">
        <v>5476</v>
      </c>
      <c r="B4605" s="380" t="str">
        <f>IFERROR(__xludf.DUMMYFUNCTION("""COMPUTED_VALUE"""),"Llanta Reencauchada Vcb Vipal 750-16")</f>
        <v>Llanta Reencauchada Vcb Vipal 750-16</v>
      </c>
      <c r="C4605" s="380" t="str">
        <f>IFERROR(__xludf.DUMMYFUNCTION("""COMPUTED_VALUE"""),"60000502")</f>
        <v>60000502</v>
      </c>
      <c r="D4605" s="380" t="s">
        <v>767</v>
      </c>
      <c r="E4605" s="380" t="s">
        <v>875</v>
      </c>
      <c r="F4605" s="380" t="s">
        <v>5140</v>
      </c>
      <c r="G4605" s="380" t="s">
        <v>1267</v>
      </c>
      <c r="H4605" s="380" t="s">
        <v>771</v>
      </c>
      <c r="I4605" s="380" t="s">
        <v>5141</v>
      </c>
      <c r="J4605" s="380" t="s">
        <v>773</v>
      </c>
      <c r="K4605" s="381">
        <v>0.0</v>
      </c>
      <c r="L4605" s="382">
        <v>1.0</v>
      </c>
    </row>
    <row r="4606">
      <c r="A4606" s="380" t="s">
        <v>5477</v>
      </c>
      <c r="B4606" s="380" t="str">
        <f>IFERROR(__xludf.DUMMYFUNCTION("""COMPUTED_VALUE"""),"Llanta Giti Gar 820 Dir 205/75r17.5")</f>
        <v>Llanta Giti Gar 820 Dir 205/75r17.5</v>
      </c>
      <c r="C4606" s="380" t="str">
        <f>IFERROR(__xludf.DUMMYFUNCTION("""COMPUTED_VALUE"""),"60000503")</f>
        <v>60000503</v>
      </c>
      <c r="D4606" s="380" t="s">
        <v>767</v>
      </c>
      <c r="E4606" s="380" t="s">
        <v>875</v>
      </c>
      <c r="F4606" s="380" t="s">
        <v>985</v>
      </c>
      <c r="G4606" s="380" t="s">
        <v>1267</v>
      </c>
      <c r="H4606" s="380" t="s">
        <v>771</v>
      </c>
      <c r="I4606" s="380" t="s">
        <v>986</v>
      </c>
      <c r="J4606" s="380" t="s">
        <v>773</v>
      </c>
      <c r="K4606" s="381">
        <v>0.0</v>
      </c>
      <c r="L4606" s="382">
        <v>1.0</v>
      </c>
    </row>
    <row r="4607">
      <c r="A4607" s="380" t="s">
        <v>5478</v>
      </c>
      <c r="B4607" s="380" t="str">
        <f>IFERROR(__xludf.DUMMYFUNCTION("""COMPUTED_VALUE"""),"Llanta Giti Gar 820 Dir 235/75r17.5")</f>
        <v>Llanta Giti Gar 820 Dir 235/75r17.5</v>
      </c>
      <c r="C4607" s="380" t="str">
        <f>IFERROR(__xludf.DUMMYFUNCTION("""COMPUTED_VALUE"""),"60000504")</f>
        <v>60000504</v>
      </c>
      <c r="D4607" s="380" t="s">
        <v>767</v>
      </c>
      <c r="E4607" s="380" t="s">
        <v>875</v>
      </c>
      <c r="F4607" s="380" t="s">
        <v>985</v>
      </c>
      <c r="G4607" s="380" t="s">
        <v>1267</v>
      </c>
      <c r="H4607" s="380" t="s">
        <v>771</v>
      </c>
      <c r="I4607" s="380" t="s">
        <v>986</v>
      </c>
      <c r="J4607" s="380" t="s">
        <v>773</v>
      </c>
      <c r="K4607" s="381">
        <v>0.0</v>
      </c>
      <c r="L4607" s="382">
        <v>1.0</v>
      </c>
    </row>
    <row r="4608">
      <c r="A4608" s="380" t="s">
        <v>5479</v>
      </c>
      <c r="B4608" s="380" t="str">
        <f>IFERROR(__xludf.DUMMYFUNCTION("""COMPUTED_VALUE"""),"Llanta 255/665 - 70 Rin 16 Generico")</f>
        <v>Llanta 255/665 - 70 Rin 16 Generico</v>
      </c>
      <c r="C4608" s="380" t="str">
        <f>IFERROR(__xludf.DUMMYFUNCTION("""COMPUTED_VALUE"""),"60000505")</f>
        <v>60000505</v>
      </c>
      <c r="D4608" s="380" t="s">
        <v>767</v>
      </c>
      <c r="E4608" s="380" t="s">
        <v>875</v>
      </c>
      <c r="F4608" s="380" t="s">
        <v>985</v>
      </c>
      <c r="G4608" s="380" t="s">
        <v>1267</v>
      </c>
      <c r="H4608" s="380" t="s">
        <v>771</v>
      </c>
      <c r="I4608" s="380" t="s">
        <v>986</v>
      </c>
      <c r="J4608" s="380" t="s">
        <v>773</v>
      </c>
      <c r="K4608" s="381">
        <v>0.0</v>
      </c>
      <c r="L4608" s="382">
        <v>1.0</v>
      </c>
    </row>
    <row r="4609">
      <c r="A4609" s="380" t="s">
        <v>5480</v>
      </c>
      <c r="B4609" s="380" t="str">
        <f>IFERROR(__xludf.DUMMYFUNCTION("""COMPUTED_VALUE"""),"Llanta 700-15 Reencauchada En Frio Mixta")</f>
        <v>Llanta 700-15 Reencauchada En Frio Mixta</v>
      </c>
      <c r="C4609" s="380" t="str">
        <f>IFERROR(__xludf.DUMMYFUNCTION("""COMPUTED_VALUE"""),"60000506")</f>
        <v>60000506</v>
      </c>
      <c r="D4609" s="380" t="s">
        <v>767</v>
      </c>
      <c r="E4609" s="380" t="s">
        <v>875</v>
      </c>
      <c r="F4609" s="380" t="s">
        <v>5140</v>
      </c>
      <c r="G4609" s="380" t="s">
        <v>1267</v>
      </c>
      <c r="H4609" s="380" t="s">
        <v>771</v>
      </c>
      <c r="I4609" s="380" t="s">
        <v>5141</v>
      </c>
      <c r="J4609" s="380" t="s">
        <v>773</v>
      </c>
      <c r="K4609" s="381">
        <v>0.0</v>
      </c>
      <c r="L4609" s="382">
        <v>1.0</v>
      </c>
    </row>
    <row r="4610">
      <c r="A4610" s="380" t="s">
        <v>5481</v>
      </c>
      <c r="B4610" s="380" t="str">
        <f>IFERROR(__xludf.DUMMYFUNCTION("""COMPUTED_VALUE"""),"Llanta 295/80 Trac Continental Hdr2sa")</f>
        <v>Llanta 295/80 Trac Continental Hdr2sa</v>
      </c>
      <c r="C4610" s="380" t="str">
        <f>IFERROR(__xludf.DUMMYFUNCTION("""COMPUTED_VALUE"""),"60000507")</f>
        <v>60000507</v>
      </c>
      <c r="D4610" s="380" t="s">
        <v>767</v>
      </c>
      <c r="E4610" s="380" t="s">
        <v>875</v>
      </c>
      <c r="F4610" s="380" t="s">
        <v>985</v>
      </c>
      <c r="G4610" s="380" t="s">
        <v>1267</v>
      </c>
      <c r="H4610" s="380" t="s">
        <v>771</v>
      </c>
      <c r="I4610" s="380" t="s">
        <v>986</v>
      </c>
      <c r="J4610" s="380" t="s">
        <v>773</v>
      </c>
      <c r="K4610" s="381">
        <v>0.0</v>
      </c>
      <c r="L4610" s="382">
        <v>1.0</v>
      </c>
    </row>
    <row r="4611">
      <c r="A4611" s="380" t="s">
        <v>5482</v>
      </c>
      <c r="B4611" s="380" t="str">
        <f>IFERROR(__xludf.DUMMYFUNCTION("""COMPUTED_VALUE"""),"Llanta 215/75 R17.5 Mixta Brid")</f>
        <v>Llanta 215/75 R17.5 Mixta Brid</v>
      </c>
      <c r="C4611" s="380" t="str">
        <f>IFERROR(__xludf.DUMMYFUNCTION("""COMPUTED_VALUE"""),"60000508")</f>
        <v>60000508</v>
      </c>
      <c r="D4611" s="380" t="s">
        <v>767</v>
      </c>
      <c r="E4611" s="380" t="s">
        <v>875</v>
      </c>
      <c r="F4611" s="380" t="s">
        <v>985</v>
      </c>
      <c r="G4611" s="380" t="s">
        <v>1267</v>
      </c>
      <c r="H4611" s="380" t="s">
        <v>771</v>
      </c>
      <c r="I4611" s="380" t="s">
        <v>986</v>
      </c>
      <c r="J4611" s="380" t="s">
        <v>773</v>
      </c>
      <c r="K4611" s="381">
        <v>0.0</v>
      </c>
      <c r="L4611" s="382">
        <v>1.0</v>
      </c>
    </row>
    <row r="4612">
      <c r="A4612" s="380" t="s">
        <v>5483</v>
      </c>
      <c r="B4612" s="380" t="str">
        <f>IFERROR(__xludf.DUMMYFUNCTION("""COMPUTED_VALUE"""),"Llanta 700-15 Reenc Mix Vhw")</f>
        <v>Llanta 700-15 Reenc Mix Vhw</v>
      </c>
      <c r="C4612" s="380" t="str">
        <f>IFERROR(__xludf.DUMMYFUNCTION("""COMPUTED_VALUE"""),"60000509")</f>
        <v>60000509</v>
      </c>
      <c r="D4612" s="380" t="s">
        <v>767</v>
      </c>
      <c r="E4612" s="380" t="s">
        <v>875</v>
      </c>
      <c r="F4612" s="380" t="s">
        <v>5140</v>
      </c>
      <c r="G4612" s="380" t="s">
        <v>1267</v>
      </c>
      <c r="H4612" s="380" t="s">
        <v>771</v>
      </c>
      <c r="I4612" s="380" t="s">
        <v>5141</v>
      </c>
      <c r="J4612" s="380" t="s">
        <v>773</v>
      </c>
      <c r="K4612" s="381">
        <v>0.0</v>
      </c>
      <c r="L4612" s="382">
        <v>1.0</v>
      </c>
    </row>
    <row r="4613">
      <c r="A4613" s="380" t="s">
        <v>5484</v>
      </c>
      <c r="B4613" s="380" t="str">
        <f>IFERROR(__xludf.DUMMYFUNCTION("""COMPUTED_VALUE"""),"Llanta 295/80r22.5 Tracción Reenc Vbd")</f>
        <v>Llanta 295/80r22.5 Tracción Reenc Vbd</v>
      </c>
      <c r="C4613" s="380" t="str">
        <f>IFERROR(__xludf.DUMMYFUNCTION("""COMPUTED_VALUE"""),"60000510")</f>
        <v>60000510</v>
      </c>
      <c r="D4613" s="380" t="s">
        <v>767</v>
      </c>
      <c r="E4613" s="380" t="s">
        <v>875</v>
      </c>
      <c r="F4613" s="380" t="s">
        <v>5140</v>
      </c>
      <c r="G4613" s="380" t="s">
        <v>1267</v>
      </c>
      <c r="H4613" s="380" t="s">
        <v>771</v>
      </c>
      <c r="I4613" s="380" t="s">
        <v>5141</v>
      </c>
      <c r="J4613" s="380" t="s">
        <v>773</v>
      </c>
      <c r="K4613" s="381">
        <v>0.0</v>
      </c>
      <c r="L4613" s="382">
        <v>1.0</v>
      </c>
    </row>
    <row r="4614">
      <c r="A4614" s="380" t="s">
        <v>5485</v>
      </c>
      <c r="B4614" s="380" t="str">
        <f>IFERROR(__xludf.DUMMYFUNCTION("""COMPUTED_VALUE"""),"Llanta 295/80 R22.5 Trac MichelinXmultiD")</f>
        <v>Llanta 295/80 R22.5 Trac MichelinXmultiD</v>
      </c>
      <c r="C4614" s="380" t="str">
        <f>IFERROR(__xludf.DUMMYFUNCTION("""COMPUTED_VALUE"""),"60000511")</f>
        <v>60000511</v>
      </c>
      <c r="D4614" s="380" t="s">
        <v>767</v>
      </c>
      <c r="E4614" s="380" t="s">
        <v>875</v>
      </c>
      <c r="F4614" s="380" t="s">
        <v>985</v>
      </c>
      <c r="G4614" s="380" t="s">
        <v>1267</v>
      </c>
      <c r="H4614" s="380" t="s">
        <v>771</v>
      </c>
      <c r="I4614" s="380" t="s">
        <v>986</v>
      </c>
      <c r="J4614" s="380" t="s">
        <v>773</v>
      </c>
      <c r="K4614" s="381">
        <v>0.0</v>
      </c>
      <c r="L4614" s="382">
        <v>1.0</v>
      </c>
    </row>
    <row r="4615">
      <c r="A4615" s="380" t="s">
        <v>5486</v>
      </c>
      <c r="B4615" s="380" t="str">
        <f>IFERROR(__xludf.DUMMYFUNCTION("""COMPUTED_VALUE"""),"Llanta 295/80 R22.5 Trac Pirelli Tr01")</f>
        <v>Llanta 295/80 R22.5 Trac Pirelli Tr01</v>
      </c>
      <c r="C4615" s="380" t="str">
        <f>IFERROR(__xludf.DUMMYFUNCTION("""COMPUTED_VALUE"""),"60000512")</f>
        <v>60000512</v>
      </c>
      <c r="D4615" s="380" t="s">
        <v>767</v>
      </c>
      <c r="E4615" s="380" t="s">
        <v>875</v>
      </c>
      <c r="F4615" s="380" t="s">
        <v>985</v>
      </c>
      <c r="G4615" s="380" t="s">
        <v>1267</v>
      </c>
      <c r="H4615" s="380" t="s">
        <v>771</v>
      </c>
      <c r="I4615" s="380" t="s">
        <v>986</v>
      </c>
      <c r="J4615" s="380" t="s">
        <v>773</v>
      </c>
      <c r="K4615" s="381">
        <v>0.0</v>
      </c>
      <c r="L4615" s="382">
        <v>1.0</v>
      </c>
    </row>
    <row r="4616">
      <c r="A4616" s="380" t="s">
        <v>5487</v>
      </c>
      <c r="B4616" s="380" t="str">
        <f>IFERROR(__xludf.DUMMYFUNCTION("""COMPUTED_VALUE"""),"Llanta 295/80 Direccional Pirelli Fr01")</f>
        <v>Llanta 295/80 Direccional Pirelli Fr01</v>
      </c>
      <c r="C4616" s="380" t="str">
        <f>IFERROR(__xludf.DUMMYFUNCTION("""COMPUTED_VALUE"""),"60000513")</f>
        <v>60000513</v>
      </c>
      <c r="D4616" s="380" t="s">
        <v>767</v>
      </c>
      <c r="E4616" s="380" t="s">
        <v>875</v>
      </c>
      <c r="F4616" s="380" t="s">
        <v>985</v>
      </c>
      <c r="G4616" s="380" t="s">
        <v>1267</v>
      </c>
      <c r="H4616" s="380" t="s">
        <v>771</v>
      </c>
      <c r="I4616" s="380" t="s">
        <v>986</v>
      </c>
      <c r="J4616" s="380" t="s">
        <v>773</v>
      </c>
      <c r="K4616" s="381">
        <v>0.0</v>
      </c>
      <c r="L4616" s="382">
        <v>1.0</v>
      </c>
    </row>
    <row r="4617">
      <c r="A4617" s="380" t="s">
        <v>5488</v>
      </c>
      <c r="B4617" s="380" t="str">
        <f>IFERROR(__xludf.DUMMYFUNCTION("""COMPUTED_VALUE"""),"Llanta 235/75r 17.5 Trac Reg Rhd GoodY")</f>
        <v>Llanta 235/75r 17.5 Trac Reg Rhd GoodY</v>
      </c>
      <c r="C4617" s="380" t="str">
        <f>IFERROR(__xludf.DUMMYFUNCTION("""COMPUTED_VALUE"""),"60000514")</f>
        <v>60000514</v>
      </c>
      <c r="D4617" s="380" t="s">
        <v>767</v>
      </c>
      <c r="E4617" s="380" t="s">
        <v>875</v>
      </c>
      <c r="F4617" s="380" t="s">
        <v>985</v>
      </c>
      <c r="G4617" s="380" t="s">
        <v>1267</v>
      </c>
      <c r="H4617" s="380" t="s">
        <v>771</v>
      </c>
      <c r="I4617" s="380" t="s">
        <v>986</v>
      </c>
      <c r="J4617" s="380" t="s">
        <v>773</v>
      </c>
      <c r="K4617" s="381">
        <v>0.0</v>
      </c>
      <c r="L4617" s="382">
        <v>1.0</v>
      </c>
    </row>
    <row r="4618">
      <c r="A4618" s="380" t="s">
        <v>5489</v>
      </c>
      <c r="B4618" s="380" t="str">
        <f>IFERROR(__xludf.DUMMYFUNCTION("""COMPUTED_VALUE"""),"Llanta Talon Del Monta 21x7x15")</f>
        <v>Llanta Talon Del Monta 21x7x15</v>
      </c>
      <c r="C4618" s="380" t="str">
        <f>IFERROR(__xludf.DUMMYFUNCTION("""COMPUTED_VALUE"""),"60000516")</f>
        <v>60000516</v>
      </c>
      <c r="D4618" s="380" t="s">
        <v>767</v>
      </c>
      <c r="E4618" s="380" t="s">
        <v>875</v>
      </c>
      <c r="F4618" s="380" t="s">
        <v>985</v>
      </c>
      <c r="G4618" s="380" t="s">
        <v>1267</v>
      </c>
      <c r="H4618" s="380" t="s">
        <v>771</v>
      </c>
      <c r="I4618" s="380" t="s">
        <v>986</v>
      </c>
      <c r="J4618" s="380" t="s">
        <v>773</v>
      </c>
      <c r="K4618" s="381">
        <v>0.0</v>
      </c>
      <c r="L4618" s="382">
        <v>1.0</v>
      </c>
    </row>
    <row r="4619">
      <c r="A4619" s="380" t="s">
        <v>5490</v>
      </c>
      <c r="B4619" s="380" t="str">
        <f>IFERROR(__xludf.DUMMYFUNCTION("""COMPUTED_VALUE"""),"Llanta 265/70 R16 Pirelli")</f>
        <v>Llanta 265/70 R16 Pirelli</v>
      </c>
      <c r="C4619" s="380" t="str">
        <f>IFERROR(__xludf.DUMMYFUNCTION("""COMPUTED_VALUE"""),"60000517")</f>
        <v>60000517</v>
      </c>
      <c r="D4619" s="380" t="s">
        <v>767</v>
      </c>
      <c r="E4619" s="380" t="s">
        <v>875</v>
      </c>
      <c r="F4619" s="380" t="s">
        <v>985</v>
      </c>
      <c r="G4619" s="380" t="s">
        <v>1267</v>
      </c>
      <c r="H4619" s="380" t="s">
        <v>771</v>
      </c>
      <c r="I4619" s="380" t="s">
        <v>986</v>
      </c>
      <c r="J4619" s="380" t="s">
        <v>773</v>
      </c>
      <c r="K4619" s="381">
        <v>0.0</v>
      </c>
      <c r="L4619" s="382">
        <v>1.0</v>
      </c>
    </row>
    <row r="4620">
      <c r="A4620" s="380" t="s">
        <v>5491</v>
      </c>
      <c r="B4620" s="380" t="str">
        <f>IFERROR(__xludf.DUMMYFUNCTION("""COMPUTED_VALUE"""),"Llanta 275/65 R17 Yokohama")</f>
        <v>Llanta 275/65 R17 Yokohama</v>
      </c>
      <c r="C4620" s="380" t="str">
        <f>IFERROR(__xludf.DUMMYFUNCTION("""COMPUTED_VALUE"""),"60000518")</f>
        <v>60000518</v>
      </c>
      <c r="D4620" s="380" t="s">
        <v>767</v>
      </c>
      <c r="E4620" s="380" t="s">
        <v>875</v>
      </c>
      <c r="F4620" s="380" t="s">
        <v>985</v>
      </c>
      <c r="G4620" s="380" t="s">
        <v>1267</v>
      </c>
      <c r="H4620" s="380" t="s">
        <v>771</v>
      </c>
      <c r="I4620" s="380" t="s">
        <v>986</v>
      </c>
      <c r="J4620" s="380" t="s">
        <v>773</v>
      </c>
      <c r="K4620" s="381">
        <v>0.0</v>
      </c>
      <c r="L4620" s="382">
        <v>1.0</v>
      </c>
    </row>
    <row r="4621">
      <c r="A4621" s="380" t="s">
        <v>5492</v>
      </c>
      <c r="B4621" s="380" t="str">
        <f>IFERROR(__xludf.DUMMYFUNCTION("""COMPUTED_VALUE"""),"Llanta 205/75 R15 Sc/Atr Pirelli")</f>
        <v>Llanta 205/75 R15 Sc/Atr Pirelli</v>
      </c>
      <c r="C4621" s="380" t="str">
        <f>IFERROR(__xludf.DUMMYFUNCTION("""COMPUTED_VALUE"""),"60000519")</f>
        <v>60000519</v>
      </c>
      <c r="D4621" s="380" t="s">
        <v>767</v>
      </c>
      <c r="E4621" s="380" t="s">
        <v>875</v>
      </c>
      <c r="F4621" s="380" t="s">
        <v>985</v>
      </c>
      <c r="G4621" s="380" t="s">
        <v>1267</v>
      </c>
      <c r="H4621" s="380" t="s">
        <v>771</v>
      </c>
      <c r="I4621" s="380" t="s">
        <v>986</v>
      </c>
      <c r="J4621" s="380" t="s">
        <v>773</v>
      </c>
      <c r="K4621" s="381">
        <v>0.0</v>
      </c>
      <c r="L4621" s="382">
        <v>1.0</v>
      </c>
    </row>
    <row r="4622">
      <c r="A4622" s="380" t="s">
        <v>5493</v>
      </c>
      <c r="B4622" s="380" t="str">
        <f>IFERROR(__xludf.DUMMYFUNCTION("""COMPUTED_VALUE"""),"Llanta 295/80 Dir Continental Hsr3")</f>
        <v>Llanta 295/80 Dir Continental Hsr3</v>
      </c>
      <c r="C4622" s="380" t="str">
        <f>IFERROR(__xludf.DUMMYFUNCTION("""COMPUTED_VALUE"""),"60000520")</f>
        <v>60000520</v>
      </c>
      <c r="D4622" s="380" t="s">
        <v>767</v>
      </c>
      <c r="E4622" s="380" t="s">
        <v>875</v>
      </c>
      <c r="F4622" s="380" t="s">
        <v>985</v>
      </c>
      <c r="G4622" s="380" t="s">
        <v>1267</v>
      </c>
      <c r="H4622" s="380" t="s">
        <v>771</v>
      </c>
      <c r="I4622" s="380" t="s">
        <v>986</v>
      </c>
      <c r="J4622" s="380" t="s">
        <v>773</v>
      </c>
      <c r="K4622" s="381">
        <v>0.0</v>
      </c>
      <c r="L4622" s="382">
        <v>1.0</v>
      </c>
    </row>
    <row r="4623">
      <c r="A4623" s="380" t="s">
        <v>5494</v>
      </c>
      <c r="B4623" s="380" t="str">
        <f>IFERROR(__xludf.DUMMYFUNCTION("""COMPUTED_VALUE"""),"Llanta 295/80 Direccion Yokohama 104zr")</f>
        <v>Llanta 295/80 Direccion Yokohama 104zr</v>
      </c>
      <c r="C4623" s="380" t="str">
        <f>IFERROR(__xludf.DUMMYFUNCTION("""COMPUTED_VALUE"""),"60000521")</f>
        <v>60000521</v>
      </c>
      <c r="D4623" s="380" t="s">
        <v>767</v>
      </c>
      <c r="E4623" s="380" t="s">
        <v>875</v>
      </c>
      <c r="F4623" s="380" t="s">
        <v>985</v>
      </c>
      <c r="G4623" s="380" t="s">
        <v>1267</v>
      </c>
      <c r="H4623" s="380" t="s">
        <v>771</v>
      </c>
      <c r="I4623" s="380" t="s">
        <v>986</v>
      </c>
      <c r="J4623" s="380" t="s">
        <v>773</v>
      </c>
      <c r="K4623" s="381">
        <v>0.0</v>
      </c>
      <c r="L4623" s="382">
        <v>1.0</v>
      </c>
    </row>
    <row r="4624">
      <c r="A4624" s="380" t="s">
        <v>5495</v>
      </c>
      <c r="B4624" s="380" t="str">
        <f>IFERROR(__xludf.DUMMYFUNCTION("""COMPUTED_VALUE"""),"Llanta 205/75 R17.5 Trac M729 Bridgeston")</f>
        <v>Llanta 205/75 R17.5 Trac M729 Bridgeston</v>
      </c>
      <c r="C4624" s="380" t="str">
        <f>IFERROR(__xludf.DUMMYFUNCTION("""COMPUTED_VALUE"""),"60000522")</f>
        <v>60000522</v>
      </c>
      <c r="D4624" s="380" t="s">
        <v>767</v>
      </c>
      <c r="E4624" s="380" t="s">
        <v>875</v>
      </c>
      <c r="F4624" s="380" t="s">
        <v>985</v>
      </c>
      <c r="G4624" s="380" t="s">
        <v>1267</v>
      </c>
      <c r="H4624" s="380" t="s">
        <v>771</v>
      </c>
      <c r="I4624" s="380" t="s">
        <v>986</v>
      </c>
      <c r="J4624" s="380" t="s">
        <v>773</v>
      </c>
      <c r="K4624" s="381">
        <v>0.0</v>
      </c>
      <c r="L4624" s="382">
        <v>1.0</v>
      </c>
    </row>
    <row r="4625">
      <c r="A4625" s="380" t="s">
        <v>5496</v>
      </c>
      <c r="B4625" s="380" t="str">
        <f>IFERROR(__xludf.DUMMYFUNCTION("""COMPUTED_VALUE"""),"Llanta 235/75r 17.5 Dir Michelin")</f>
        <v>Llanta 235/75r 17.5 Dir Michelin</v>
      </c>
      <c r="C4625" s="380" t="str">
        <f>IFERROR(__xludf.DUMMYFUNCTION("""COMPUTED_VALUE"""),"60000523")</f>
        <v>60000523</v>
      </c>
      <c r="D4625" s="380" t="s">
        <v>767</v>
      </c>
      <c r="E4625" s="380" t="s">
        <v>875</v>
      </c>
      <c r="F4625" s="380" t="s">
        <v>985</v>
      </c>
      <c r="G4625" s="380" t="s">
        <v>1267</v>
      </c>
      <c r="H4625" s="380" t="s">
        <v>771</v>
      </c>
      <c r="I4625" s="380" t="s">
        <v>986</v>
      </c>
      <c r="J4625" s="380" t="s">
        <v>773</v>
      </c>
      <c r="K4625" s="381">
        <v>0.0</v>
      </c>
      <c r="L4625" s="382">
        <v>1.0</v>
      </c>
    </row>
    <row r="4626">
      <c r="A4626" s="380" t="s">
        <v>5497</v>
      </c>
      <c r="B4626" s="380" t="str">
        <f>IFERROR(__xludf.DUMMYFUNCTION("""COMPUTED_VALUE"""),"Llanta 205/75r 17.5 Michelin")</f>
        <v>Llanta 205/75r 17.5 Michelin</v>
      </c>
      <c r="C4626" s="380" t="str">
        <f>IFERROR(__xludf.DUMMYFUNCTION("""COMPUTED_VALUE"""),"60000524")</f>
        <v>60000524</v>
      </c>
      <c r="D4626" s="380" t="s">
        <v>767</v>
      </c>
      <c r="E4626" s="380" t="s">
        <v>875</v>
      </c>
      <c r="F4626" s="380" t="s">
        <v>985</v>
      </c>
      <c r="G4626" s="380" t="s">
        <v>1267</v>
      </c>
      <c r="H4626" s="380" t="s">
        <v>771</v>
      </c>
      <c r="I4626" s="380" t="s">
        <v>986</v>
      </c>
      <c r="J4626" s="380" t="s">
        <v>773</v>
      </c>
      <c r="K4626" s="381">
        <v>0.0</v>
      </c>
      <c r="L4626" s="382">
        <v>1.0</v>
      </c>
    </row>
    <row r="4627">
      <c r="A4627" s="380" t="s">
        <v>5498</v>
      </c>
      <c r="B4627" s="380" t="str">
        <f>IFERROR(__xludf.DUMMYFUNCTION("""COMPUTED_VALUE"""),"Llanta 235/75r17.5 Reen Mix Vcb")</f>
        <v>Llanta 235/75r17.5 Reen Mix Vcb</v>
      </c>
      <c r="C4627" s="380" t="str">
        <f>IFERROR(__xludf.DUMMYFUNCTION("""COMPUTED_VALUE"""),"60000525")</f>
        <v>60000525</v>
      </c>
      <c r="D4627" s="380" t="s">
        <v>767</v>
      </c>
      <c r="E4627" s="380" t="s">
        <v>875</v>
      </c>
      <c r="F4627" s="380" t="s">
        <v>5140</v>
      </c>
      <c r="G4627" s="380" t="s">
        <v>1267</v>
      </c>
      <c r="H4627" s="380" t="s">
        <v>771</v>
      </c>
      <c r="I4627" s="380" t="s">
        <v>5141</v>
      </c>
      <c r="J4627" s="380" t="s">
        <v>773</v>
      </c>
      <c r="K4627" s="381">
        <v>0.0</v>
      </c>
      <c r="L4627" s="382">
        <v>1.0</v>
      </c>
    </row>
    <row r="4628">
      <c r="A4628" s="380" t="s">
        <v>5499</v>
      </c>
      <c r="B4628" s="380" t="str">
        <f>IFERROR(__xludf.DUMMYFUNCTION("""COMPUTED_VALUE"""),"Llanta 700R16 Reencauche Mixto")</f>
        <v>Llanta 700R16 Reencauche Mixto</v>
      </c>
      <c r="C4628" s="380" t="str">
        <f>IFERROR(__xludf.DUMMYFUNCTION("""COMPUTED_VALUE"""),"60000526")</f>
        <v>60000526</v>
      </c>
      <c r="D4628" s="380" t="s">
        <v>767</v>
      </c>
      <c r="E4628" s="380" t="s">
        <v>875</v>
      </c>
      <c r="F4628" s="380" t="s">
        <v>5140</v>
      </c>
      <c r="G4628" s="380" t="s">
        <v>1267</v>
      </c>
      <c r="H4628" s="380" t="s">
        <v>771</v>
      </c>
      <c r="I4628" s="380" t="s">
        <v>5141</v>
      </c>
      <c r="J4628" s="380" t="s">
        <v>773</v>
      </c>
      <c r="K4628" s="381">
        <v>0.0</v>
      </c>
      <c r="L4628" s="382">
        <v>1.0</v>
      </c>
    </row>
    <row r="4629">
      <c r="A4629" s="380" t="s">
        <v>5500</v>
      </c>
      <c r="B4629" s="380" t="str">
        <f>IFERROR(__xludf.DUMMYFUNCTION("""COMPUTED_VALUE"""),"Llanta Direccional CT-176 Good Y 700-15")</f>
        <v>Llanta Direccional CT-176 Good Y 700-15</v>
      </c>
      <c r="C4629" s="380" t="str">
        <f>IFERROR(__xludf.DUMMYFUNCTION("""COMPUTED_VALUE"""),"60000527")</f>
        <v>60000527</v>
      </c>
      <c r="D4629" s="380" t="s">
        <v>767</v>
      </c>
      <c r="E4629" s="380" t="s">
        <v>875</v>
      </c>
      <c r="F4629" s="380" t="s">
        <v>985</v>
      </c>
      <c r="G4629" s="380" t="s">
        <v>1267</v>
      </c>
      <c r="H4629" s="380" t="s">
        <v>771</v>
      </c>
      <c r="I4629" s="380" t="s">
        <v>986</v>
      </c>
      <c r="J4629" s="380" t="s">
        <v>773</v>
      </c>
      <c r="K4629" s="381">
        <v>0.0</v>
      </c>
      <c r="L4629" s="382">
        <v>1.0</v>
      </c>
    </row>
    <row r="4630">
      <c r="A4630" s="380" t="s">
        <v>5501</v>
      </c>
      <c r="B4630" s="380" t="str">
        <f>IFERROR(__xludf.DUMMYFUNCTION("""COMPUTED_VALUE"""),"Llanta 205/75R16C Reencauchada")</f>
        <v>Llanta 205/75R16C Reencauchada</v>
      </c>
      <c r="C4630" s="380" t="str">
        <f>IFERROR(__xludf.DUMMYFUNCTION("""COMPUTED_VALUE"""),"60000528")</f>
        <v>60000528</v>
      </c>
      <c r="D4630" s="380" t="s">
        <v>767</v>
      </c>
      <c r="E4630" s="380" t="s">
        <v>875</v>
      </c>
      <c r="F4630" s="380" t="s">
        <v>5140</v>
      </c>
      <c r="G4630" s="380" t="s">
        <v>1267</v>
      </c>
      <c r="H4630" s="380" t="s">
        <v>771</v>
      </c>
      <c r="I4630" s="380" t="s">
        <v>5141</v>
      </c>
      <c r="J4630" s="380" t="s">
        <v>773</v>
      </c>
      <c r="K4630" s="381">
        <v>0.0</v>
      </c>
      <c r="L4630" s="382">
        <v>1.0</v>
      </c>
    </row>
    <row r="4631">
      <c r="A4631" s="380" t="s">
        <v>5502</v>
      </c>
      <c r="B4631" s="380" t="str">
        <f>IFERROR(__xludf.DUMMYFUNCTION("""COMPUTED_VALUE"""),"Llanta 295/80 X2 Reencauchada R 2")</f>
        <v>Llanta 295/80 X2 Reencauchada R 2</v>
      </c>
      <c r="C4631" s="380" t="str">
        <f>IFERROR(__xludf.DUMMYFUNCTION("""COMPUTED_VALUE"""),"60000529")</f>
        <v>60000529</v>
      </c>
      <c r="D4631" s="380" t="s">
        <v>767</v>
      </c>
      <c r="E4631" s="380" t="s">
        <v>875</v>
      </c>
      <c r="F4631" s="380" t="s">
        <v>5140</v>
      </c>
      <c r="G4631" s="380" t="s">
        <v>1267</v>
      </c>
      <c r="H4631" s="380" t="s">
        <v>771</v>
      </c>
      <c r="I4631" s="380" t="s">
        <v>5141</v>
      </c>
      <c r="J4631" s="380" t="s">
        <v>773</v>
      </c>
      <c r="K4631" s="381">
        <v>0.0</v>
      </c>
      <c r="L4631" s="382">
        <v>1.0</v>
      </c>
    </row>
    <row r="4632">
      <c r="A4632" s="380" t="s">
        <v>5503</v>
      </c>
      <c r="B4632" s="380" t="str">
        <f>IFERROR(__xludf.DUMMYFUNCTION("""COMPUTED_VALUE"""),"Llanta 205/75 R17.5 Nkr III Reward Del")</f>
        <v>Llanta 205/75 R17.5 Nkr III Reward Del</v>
      </c>
      <c r="C4632" s="380" t="str">
        <f>IFERROR(__xludf.DUMMYFUNCTION("""COMPUTED_VALUE"""),"60000530")</f>
        <v>60000530</v>
      </c>
      <c r="D4632" s="380" t="s">
        <v>767</v>
      </c>
      <c r="E4632" s="380" t="s">
        <v>875</v>
      </c>
      <c r="F4632" s="380" t="s">
        <v>985</v>
      </c>
      <c r="G4632" s="380" t="s">
        <v>1267</v>
      </c>
      <c r="H4632" s="380" t="s">
        <v>771</v>
      </c>
      <c r="I4632" s="380" t="s">
        <v>986</v>
      </c>
      <c r="J4632" s="380" t="s">
        <v>773</v>
      </c>
      <c r="K4632" s="381">
        <v>0.0</v>
      </c>
      <c r="L4632" s="382">
        <v>1.0</v>
      </c>
    </row>
    <row r="4633">
      <c r="A4633" s="380" t="s">
        <v>5504</v>
      </c>
      <c r="B4633" s="380" t="str">
        <f>IFERROR(__xludf.DUMMYFUNCTION("""COMPUTED_VALUE"""),"Taco Parche Uni-Sealultra 6mm /250ul")</f>
        <v>Taco Parche Uni-Sealultra 6mm /250ul</v>
      </c>
      <c r="C4633" s="380" t="str">
        <f>IFERROR(__xludf.DUMMYFUNCTION("""COMPUTED_VALUE"""),"60000531")</f>
        <v>60000531</v>
      </c>
      <c r="D4633" s="380" t="s">
        <v>767</v>
      </c>
      <c r="E4633" s="380" t="s">
        <v>875</v>
      </c>
      <c r="F4633" s="380" t="s">
        <v>985</v>
      </c>
      <c r="G4633" s="380" t="s">
        <v>1267</v>
      </c>
      <c r="H4633" s="380" t="s">
        <v>771</v>
      </c>
      <c r="I4633" s="380" t="s">
        <v>986</v>
      </c>
      <c r="J4633" s="380" t="s">
        <v>773</v>
      </c>
      <c r="K4633" s="381">
        <v>0.0</v>
      </c>
      <c r="L4633" s="382">
        <v>1.0</v>
      </c>
    </row>
    <row r="4634">
      <c r="A4634" s="380" t="s">
        <v>5505</v>
      </c>
      <c r="B4634" s="380" t="str">
        <f>IFERROR(__xludf.DUMMYFUNCTION("""COMPUTED_VALUE"""),"Llanta Reencauche 205/75 R17.5 Chao Yang")</f>
        <v>Llanta Reencauche 205/75 R17.5 Chao Yang</v>
      </c>
      <c r="C4634" s="380" t="str">
        <f>IFERROR(__xludf.DUMMYFUNCTION("""COMPUTED_VALUE"""),"60000532")</f>
        <v>60000532</v>
      </c>
      <c r="D4634" s="380" t="s">
        <v>767</v>
      </c>
      <c r="E4634" s="380" t="s">
        <v>875</v>
      </c>
      <c r="F4634" s="380" t="s">
        <v>5140</v>
      </c>
      <c r="G4634" s="380" t="s">
        <v>1267</v>
      </c>
      <c r="H4634" s="380" t="s">
        <v>771</v>
      </c>
      <c r="I4634" s="380" t="s">
        <v>5141</v>
      </c>
      <c r="J4634" s="380" t="s">
        <v>773</v>
      </c>
      <c r="K4634" s="381">
        <v>0.0</v>
      </c>
      <c r="L4634" s="382">
        <v>1.0</v>
      </c>
    </row>
    <row r="4635">
      <c r="A4635" s="380" t="s">
        <v>5506</v>
      </c>
      <c r="B4635" s="380" t="str">
        <f>IFERROR(__xludf.DUMMYFUNCTION("""COMPUTED_VALUE"""),"Llanta 165/70 R13 175/70 R12 Reparado")</f>
        <v>Llanta 165/70 R13 175/70 R12 Reparado</v>
      </c>
      <c r="C4635" s="380" t="str">
        <f>IFERROR(__xludf.DUMMYFUNCTION("""COMPUTED_VALUE"""),"60000533")</f>
        <v>60000533</v>
      </c>
      <c r="D4635" s="380" t="s">
        <v>767</v>
      </c>
      <c r="E4635" s="380" t="s">
        <v>875</v>
      </c>
      <c r="F4635" s="380" t="s">
        <v>5140</v>
      </c>
      <c r="G4635" s="380" t="s">
        <v>1267</v>
      </c>
      <c r="H4635" s="380" t="s">
        <v>771</v>
      </c>
      <c r="I4635" s="380" t="s">
        <v>5141</v>
      </c>
      <c r="J4635" s="380" t="s">
        <v>773</v>
      </c>
      <c r="K4635" s="381">
        <v>0.0</v>
      </c>
      <c r="L4635" s="382">
        <v>1.0</v>
      </c>
    </row>
    <row r="4636">
      <c r="A4636" s="380" t="s">
        <v>5507</v>
      </c>
      <c r="B4636" s="380" t="str">
        <f>IFERROR(__xludf.DUMMYFUNCTION("""COMPUTED_VALUE"""),"Llanta 750r16 750r 16 Reparado")</f>
        <v>Llanta 750r16 750r 16 Reparado</v>
      </c>
      <c r="C4636" s="380" t="str">
        <f>IFERROR(__xludf.DUMMYFUNCTION("""COMPUTED_VALUE"""),"60000534")</f>
        <v>60000534</v>
      </c>
      <c r="D4636" s="380" t="s">
        <v>767</v>
      </c>
      <c r="E4636" s="380" t="s">
        <v>875</v>
      </c>
      <c r="F4636" s="380" t="s">
        <v>5140</v>
      </c>
      <c r="G4636" s="380" t="s">
        <v>1267</v>
      </c>
      <c r="H4636" s="380" t="s">
        <v>771</v>
      </c>
      <c r="I4636" s="380" t="s">
        <v>5141</v>
      </c>
      <c r="J4636" s="380" t="s">
        <v>773</v>
      </c>
      <c r="K4636" s="381">
        <v>0.0</v>
      </c>
      <c r="L4636" s="382">
        <v>1.0</v>
      </c>
    </row>
    <row r="4637">
      <c r="A4637" s="380" t="s">
        <v>5508</v>
      </c>
      <c r="B4637" s="380" t="str">
        <f>IFERROR(__xludf.DUMMYFUNCTION("""COMPUTED_VALUE"""),"Llanta 700 R 15 Reparado")</f>
        <v>Llanta 700 R 15 Reparado</v>
      </c>
      <c r="C4637" s="380" t="str">
        <f>IFERROR(__xludf.DUMMYFUNCTION("""COMPUTED_VALUE"""),"60000535")</f>
        <v>60000535</v>
      </c>
      <c r="D4637" s="380" t="s">
        <v>767</v>
      </c>
      <c r="E4637" s="380" t="s">
        <v>875</v>
      </c>
      <c r="F4637" s="380" t="s">
        <v>5140</v>
      </c>
      <c r="G4637" s="380" t="s">
        <v>1267</v>
      </c>
      <c r="H4637" s="380" t="s">
        <v>771</v>
      </c>
      <c r="I4637" s="380" t="s">
        <v>5141</v>
      </c>
      <c r="J4637" s="380" t="s">
        <v>773</v>
      </c>
      <c r="K4637" s="381">
        <v>0.0</v>
      </c>
      <c r="L4637" s="382">
        <v>1.0</v>
      </c>
    </row>
    <row r="4638">
      <c r="A4638" s="380" t="s">
        <v>5509</v>
      </c>
      <c r="B4638" s="380" t="str">
        <f>IFERROR(__xludf.DUMMYFUNCTION("""COMPUTED_VALUE"""),"Llanta 215/70 R15 Reparado")</f>
        <v>Llanta 215/70 R15 Reparado</v>
      </c>
      <c r="C4638" s="380" t="str">
        <f>IFERROR(__xludf.DUMMYFUNCTION("""COMPUTED_VALUE"""),"60000536")</f>
        <v>60000536</v>
      </c>
      <c r="D4638" s="380" t="s">
        <v>767</v>
      </c>
      <c r="E4638" s="380" t="s">
        <v>875</v>
      </c>
      <c r="F4638" s="380" t="s">
        <v>5140</v>
      </c>
      <c r="G4638" s="380" t="s">
        <v>1267</v>
      </c>
      <c r="H4638" s="380" t="s">
        <v>771</v>
      </c>
      <c r="I4638" s="380" t="s">
        <v>5141</v>
      </c>
      <c r="J4638" s="380" t="s">
        <v>773</v>
      </c>
      <c r="K4638" s="381">
        <v>0.0</v>
      </c>
      <c r="L4638" s="382">
        <v>1.0</v>
      </c>
    </row>
    <row r="4639">
      <c r="A4639" s="380" t="s">
        <v>5510</v>
      </c>
      <c r="B4639" s="380" t="str">
        <f>IFERROR(__xludf.DUMMYFUNCTION("""COMPUTED_VALUE"""),"Llanta 750/16 Reparado")</f>
        <v>Llanta 750/16 Reparado</v>
      </c>
      <c r="C4639" s="380" t="str">
        <f>IFERROR(__xludf.DUMMYFUNCTION("""COMPUTED_VALUE"""),"60000537")</f>
        <v>60000537</v>
      </c>
      <c r="D4639" s="380" t="s">
        <v>767</v>
      </c>
      <c r="E4639" s="380" t="s">
        <v>875</v>
      </c>
      <c r="F4639" s="380" t="s">
        <v>5140</v>
      </c>
      <c r="G4639" s="380" t="s">
        <v>1267</v>
      </c>
      <c r="H4639" s="380" t="s">
        <v>771</v>
      </c>
      <c r="I4639" s="380" t="s">
        <v>5141</v>
      </c>
      <c r="J4639" s="380" t="s">
        <v>773</v>
      </c>
      <c r="K4639" s="381">
        <v>0.0</v>
      </c>
      <c r="L4639" s="382">
        <v>1.0</v>
      </c>
    </row>
    <row r="4640">
      <c r="A4640" s="380" t="s">
        <v>5511</v>
      </c>
      <c r="B4640" s="380" t="str">
        <f>IFERROR(__xludf.DUMMYFUNCTION("""COMPUTED_VALUE"""),"Llanta 295/80 R22.5 Reparrado")</f>
        <v>Llanta 295/80 R22.5 Reparrado</v>
      </c>
      <c r="C4640" s="380" t="str">
        <f>IFERROR(__xludf.DUMMYFUNCTION("""COMPUTED_VALUE"""),"60000538")</f>
        <v>60000538</v>
      </c>
      <c r="D4640" s="380" t="s">
        <v>767</v>
      </c>
      <c r="E4640" s="380" t="s">
        <v>875</v>
      </c>
      <c r="F4640" s="380" t="s">
        <v>5140</v>
      </c>
      <c r="G4640" s="380" t="s">
        <v>1267</v>
      </c>
      <c r="H4640" s="380" t="s">
        <v>771</v>
      </c>
      <c r="I4640" s="380" t="s">
        <v>5141</v>
      </c>
      <c r="J4640" s="380" t="s">
        <v>773</v>
      </c>
      <c r="K4640" s="381">
        <v>0.0</v>
      </c>
      <c r="L4640" s="382">
        <v>1.0</v>
      </c>
    </row>
    <row r="4641">
      <c r="A4641" s="380" t="s">
        <v>5512</v>
      </c>
      <c r="B4641" s="380" t="str">
        <f>IFERROR(__xludf.DUMMYFUNCTION("""COMPUTED_VALUE"""),"Llanta 275/80 R22.5 Reparado")</f>
        <v>Llanta 275/80 R22.5 Reparado</v>
      </c>
      <c r="C4641" s="380" t="str">
        <f>IFERROR(__xludf.DUMMYFUNCTION("""COMPUTED_VALUE"""),"60000539")</f>
        <v>60000539</v>
      </c>
      <c r="D4641" s="380" t="s">
        <v>767</v>
      </c>
      <c r="E4641" s="380" t="s">
        <v>875</v>
      </c>
      <c r="F4641" s="380" t="s">
        <v>5140</v>
      </c>
      <c r="G4641" s="380" t="s">
        <v>1267</v>
      </c>
      <c r="H4641" s="380" t="s">
        <v>771</v>
      </c>
      <c r="I4641" s="380" t="s">
        <v>5141</v>
      </c>
      <c r="J4641" s="380" t="s">
        <v>773</v>
      </c>
      <c r="K4641" s="381">
        <v>0.0</v>
      </c>
      <c r="L4641" s="382">
        <v>1.0</v>
      </c>
    </row>
    <row r="4642">
      <c r="A4642" s="380" t="s">
        <v>5513</v>
      </c>
      <c r="B4642" s="380" t="str">
        <f>IFERROR(__xludf.DUMMYFUNCTION("""COMPUTED_VALUE"""),"Llanta 215/75 R16 Reparado")</f>
        <v>Llanta 215/75 R16 Reparado</v>
      </c>
      <c r="C4642" s="380" t="str">
        <f>IFERROR(__xludf.DUMMYFUNCTION("""COMPUTED_VALUE"""),"60000540")</f>
        <v>60000540</v>
      </c>
      <c r="D4642" s="380" t="s">
        <v>767</v>
      </c>
      <c r="E4642" s="380" t="s">
        <v>875</v>
      </c>
      <c r="F4642" s="380" t="s">
        <v>5140</v>
      </c>
      <c r="G4642" s="380" t="s">
        <v>1267</v>
      </c>
      <c r="H4642" s="380" t="s">
        <v>771</v>
      </c>
      <c r="I4642" s="380" t="s">
        <v>5141</v>
      </c>
      <c r="J4642" s="380" t="s">
        <v>773</v>
      </c>
      <c r="K4642" s="381">
        <v>0.0</v>
      </c>
      <c r="L4642" s="382">
        <v>1.0</v>
      </c>
    </row>
    <row r="4643">
      <c r="A4643" s="380" t="s">
        <v>5514</v>
      </c>
      <c r="B4643" s="380" t="str">
        <f>IFERROR(__xludf.DUMMYFUNCTION("""COMPUTED_VALUE"""),"Llanta 175/70 R14 Reparado")</f>
        <v>Llanta 175/70 R14 Reparado</v>
      </c>
      <c r="C4643" s="380" t="str">
        <f>IFERROR(__xludf.DUMMYFUNCTION("""COMPUTED_VALUE"""),"60000541")</f>
        <v>60000541</v>
      </c>
      <c r="D4643" s="380" t="s">
        <v>767</v>
      </c>
      <c r="E4643" s="380" t="s">
        <v>875</v>
      </c>
      <c r="F4643" s="380" t="s">
        <v>5140</v>
      </c>
      <c r="G4643" s="380" t="s">
        <v>1267</v>
      </c>
      <c r="H4643" s="380" t="s">
        <v>771</v>
      </c>
      <c r="I4643" s="380" t="s">
        <v>5141</v>
      </c>
      <c r="J4643" s="380" t="s">
        <v>773</v>
      </c>
      <c r="K4643" s="381">
        <v>0.0</v>
      </c>
      <c r="L4643" s="382">
        <v>1.0</v>
      </c>
    </row>
    <row r="4644">
      <c r="A4644" s="380" t="s">
        <v>5515</v>
      </c>
      <c r="B4644" s="380" t="str">
        <f>IFERROR(__xludf.DUMMYFUNCTION("""COMPUTED_VALUE"""),"Llanta 235/75 R17.5 Reparado")</f>
        <v>Llanta 235/75 R17.5 Reparado</v>
      </c>
      <c r="C4644" s="380" t="str">
        <f>IFERROR(__xludf.DUMMYFUNCTION("""COMPUTED_VALUE"""),"60000542")</f>
        <v>60000542</v>
      </c>
      <c r="D4644" s="380" t="s">
        <v>767</v>
      </c>
      <c r="E4644" s="380" t="s">
        <v>875</v>
      </c>
      <c r="F4644" s="380" t="s">
        <v>5140</v>
      </c>
      <c r="G4644" s="380" t="s">
        <v>1267</v>
      </c>
      <c r="H4644" s="380" t="s">
        <v>771</v>
      </c>
      <c r="I4644" s="380" t="s">
        <v>5141</v>
      </c>
      <c r="J4644" s="380" t="s">
        <v>773</v>
      </c>
      <c r="K4644" s="381">
        <v>0.0</v>
      </c>
      <c r="L4644" s="382">
        <v>1.0</v>
      </c>
    </row>
    <row r="4645">
      <c r="A4645" s="380" t="s">
        <v>5516</v>
      </c>
      <c r="B4645" s="380" t="str">
        <f>IFERROR(__xludf.DUMMYFUNCTION("""COMPUTED_VALUE"""),"Llanta 205/75 R17.5 Reparado")</f>
        <v>Llanta 205/75 R17.5 Reparado</v>
      </c>
      <c r="C4645" s="380" t="str">
        <f>IFERROR(__xludf.DUMMYFUNCTION("""COMPUTED_VALUE"""),"60000543")</f>
        <v>60000543</v>
      </c>
      <c r="D4645" s="380" t="s">
        <v>767</v>
      </c>
      <c r="E4645" s="380" t="s">
        <v>875</v>
      </c>
      <c r="F4645" s="380" t="s">
        <v>5140</v>
      </c>
      <c r="G4645" s="380" t="s">
        <v>1267</v>
      </c>
      <c r="H4645" s="380" t="s">
        <v>771</v>
      </c>
      <c r="I4645" s="380" t="s">
        <v>5141</v>
      </c>
      <c r="J4645" s="380" t="s">
        <v>773</v>
      </c>
      <c r="K4645" s="381">
        <v>0.0</v>
      </c>
      <c r="L4645" s="382">
        <v>1.0</v>
      </c>
    </row>
    <row r="4646">
      <c r="A4646" s="380" t="s">
        <v>5517</v>
      </c>
      <c r="B4646" s="380" t="str">
        <f>IFERROR(__xludf.DUMMYFUNCTION("""COMPUTED_VALUE"""),"Llanta 700/15 Reparado")</f>
        <v>Llanta 700/15 Reparado</v>
      </c>
      <c r="C4646" s="380" t="str">
        <f>IFERROR(__xludf.DUMMYFUNCTION("""COMPUTED_VALUE"""),"60000544")</f>
        <v>60000544</v>
      </c>
      <c r="D4646" s="380" t="s">
        <v>767</v>
      </c>
      <c r="E4646" s="380" t="s">
        <v>875</v>
      </c>
      <c r="F4646" s="380" t="s">
        <v>5140</v>
      </c>
      <c r="G4646" s="380" t="s">
        <v>1267</v>
      </c>
      <c r="H4646" s="380" t="s">
        <v>771</v>
      </c>
      <c r="I4646" s="380" t="s">
        <v>5141</v>
      </c>
      <c r="J4646" s="380" t="s">
        <v>773</v>
      </c>
      <c r="K4646" s="381">
        <v>0.0</v>
      </c>
      <c r="L4646" s="382">
        <v>1.0</v>
      </c>
    </row>
    <row r="4647">
      <c r="A4647" s="380" t="s">
        <v>5518</v>
      </c>
      <c r="B4647" s="380" t="str">
        <f>IFERROR(__xludf.DUMMYFUNCTION("""COMPUTED_VALUE"""),"Llanta 445/50 R22.5 Reparado")</f>
        <v>Llanta 445/50 R22.5 Reparado</v>
      </c>
      <c r="C4647" s="380" t="str">
        <f>IFERROR(__xludf.DUMMYFUNCTION("""COMPUTED_VALUE"""),"60000545")</f>
        <v>60000545</v>
      </c>
      <c r="D4647" s="380" t="s">
        <v>767</v>
      </c>
      <c r="E4647" s="380" t="s">
        <v>875</v>
      </c>
      <c r="F4647" s="380" t="s">
        <v>5140</v>
      </c>
      <c r="G4647" s="380" t="s">
        <v>1267</v>
      </c>
      <c r="H4647" s="380" t="s">
        <v>771</v>
      </c>
      <c r="I4647" s="380" t="s">
        <v>5141</v>
      </c>
      <c r="J4647" s="380" t="s">
        <v>773</v>
      </c>
      <c r="K4647" s="381">
        <v>0.0</v>
      </c>
      <c r="L4647" s="382">
        <v>1.0</v>
      </c>
    </row>
    <row r="4648">
      <c r="A4648" s="380" t="s">
        <v>5519</v>
      </c>
      <c r="B4648" s="380" t="str">
        <f>IFERROR(__xludf.DUMMYFUNCTION("""COMPUTED_VALUE"""),"Llanta 295/80r22.5 Tracc Milever Mdr816")</f>
        <v>Llanta 295/80r22.5 Tracc Milever Mdr816</v>
      </c>
      <c r="C4648" s="380" t="str">
        <f>IFERROR(__xludf.DUMMYFUNCTION("""COMPUTED_VALUE"""),"60000546")</f>
        <v>60000546</v>
      </c>
      <c r="D4648" s="380" t="s">
        <v>767</v>
      </c>
      <c r="E4648" s="380" t="s">
        <v>875</v>
      </c>
      <c r="F4648" s="380" t="s">
        <v>985</v>
      </c>
      <c r="G4648" s="380" t="s">
        <v>1267</v>
      </c>
      <c r="H4648" s="380" t="s">
        <v>771</v>
      </c>
      <c r="I4648" s="380" t="s">
        <v>986</v>
      </c>
      <c r="J4648" s="380" t="s">
        <v>773</v>
      </c>
      <c r="K4648" s="381">
        <v>1050651.0</v>
      </c>
      <c r="L4648" s="382">
        <v>1.0</v>
      </c>
    </row>
    <row r="4649">
      <c r="A4649" s="380" t="s">
        <v>5520</v>
      </c>
      <c r="B4649" s="380" t="str">
        <f>IFERROR(__xludf.DUMMYFUNCTION("""COMPUTED_VALUE"""),"Llanta 295/80r22.5 Direccion Milever G06")</f>
        <v>Llanta 295/80r22.5 Direccion Milever G06</v>
      </c>
      <c r="C4649" s="380" t="str">
        <f>IFERROR(__xludf.DUMMYFUNCTION("""COMPUTED_VALUE"""),"60000547")</f>
        <v>60000547</v>
      </c>
      <c r="D4649" s="380" t="s">
        <v>767</v>
      </c>
      <c r="E4649" s="380" t="s">
        <v>875</v>
      </c>
      <c r="F4649" s="380" t="s">
        <v>985</v>
      </c>
      <c r="G4649" s="380" t="s">
        <v>1267</v>
      </c>
      <c r="H4649" s="380" t="s">
        <v>771</v>
      </c>
      <c r="I4649" s="380" t="s">
        <v>986</v>
      </c>
      <c r="J4649" s="380" t="s">
        <v>773</v>
      </c>
      <c r="K4649" s="381">
        <v>1017807.0</v>
      </c>
      <c r="L4649" s="382">
        <v>1.0</v>
      </c>
    </row>
    <row r="4650">
      <c r="A4650" s="380" t="s">
        <v>5521</v>
      </c>
      <c r="B4650" s="380" t="str">
        <f>IFERROR(__xludf.DUMMYFUNCTION("""COMPUTED_VALUE"""),"Llanta 295/80 Traccion Continental Hdr2s")</f>
        <v>Llanta 295/80 Traccion Continental Hdr2s</v>
      </c>
      <c r="C4650" s="380" t="str">
        <f>IFERROR(__xludf.DUMMYFUNCTION("""COMPUTED_VALUE"""),"60000548")</f>
        <v>60000548</v>
      </c>
      <c r="D4650" s="380" t="s">
        <v>767</v>
      </c>
      <c r="E4650" s="380" t="s">
        <v>875</v>
      </c>
      <c r="F4650" s="380" t="s">
        <v>985</v>
      </c>
      <c r="G4650" s="380" t="s">
        <v>1267</v>
      </c>
      <c r="H4650" s="380" t="s">
        <v>771</v>
      </c>
      <c r="I4650" s="380" t="s">
        <v>986</v>
      </c>
      <c r="J4650" s="380" t="s">
        <v>773</v>
      </c>
      <c r="K4650" s="381">
        <v>0.0</v>
      </c>
      <c r="L4650" s="382">
        <v>1.0</v>
      </c>
    </row>
    <row r="4651">
      <c r="A4651" s="380" t="s">
        <v>5522</v>
      </c>
      <c r="B4651" s="380" t="str">
        <f>IFERROR(__xludf.DUMMYFUNCTION("""COMPUTED_VALUE"""),"Parche Ct40 100mm-200mm /180")</f>
        <v>Parche Ct40 100mm-200mm /180</v>
      </c>
      <c r="C4651" s="380" t="str">
        <f>IFERROR(__xludf.DUMMYFUNCTION("""COMPUTED_VALUE"""),"60000549")</f>
        <v>60000549</v>
      </c>
      <c r="D4651" s="380" t="s">
        <v>767</v>
      </c>
      <c r="E4651" s="380" t="s">
        <v>875</v>
      </c>
      <c r="F4651" s="380" t="s">
        <v>985</v>
      </c>
      <c r="G4651" s="380" t="s">
        <v>1267</v>
      </c>
      <c r="H4651" s="380" t="s">
        <v>771</v>
      </c>
      <c r="I4651" s="380" t="s">
        <v>986</v>
      </c>
      <c r="J4651" s="380" t="s">
        <v>773</v>
      </c>
      <c r="K4651" s="381">
        <v>29972.0</v>
      </c>
      <c r="L4651" s="382">
        <v>1.0</v>
      </c>
    </row>
    <row r="4652">
      <c r="A4652" s="380" t="s">
        <v>5523</v>
      </c>
      <c r="B4652" s="380" t="str">
        <f>IFERROR(__xludf.DUMMYFUNCTION("""COMPUTED_VALUE"""),"Neumatico Moto 275/300 X 21")</f>
        <v>Neumatico Moto 275/300 X 21</v>
      </c>
      <c r="C4652" s="380" t="str">
        <f>IFERROR(__xludf.DUMMYFUNCTION("""COMPUTED_VALUE"""),"60000550")</f>
        <v>60000550</v>
      </c>
      <c r="D4652" s="380" t="s">
        <v>767</v>
      </c>
      <c r="E4652" s="380" t="s">
        <v>875</v>
      </c>
      <c r="F4652" s="380" t="s">
        <v>5293</v>
      </c>
      <c r="G4652" s="380" t="s">
        <v>1267</v>
      </c>
      <c r="H4652" s="380" t="s">
        <v>771</v>
      </c>
      <c r="I4652" s="380" t="s">
        <v>986</v>
      </c>
      <c r="J4652" s="380" t="s">
        <v>773</v>
      </c>
      <c r="K4652" s="381">
        <v>0.0</v>
      </c>
      <c r="L4652" s="382">
        <v>1.0</v>
      </c>
    </row>
    <row r="4653">
      <c r="A4653" s="380" t="s">
        <v>5524</v>
      </c>
      <c r="B4653" s="380" t="str">
        <f>IFERROR(__xludf.DUMMYFUNCTION("""COMPUTED_VALUE"""),"Esparrago Artillero 3/4x3"" G-")</f>
        <v>Esparrago Artillero 3/4x3" G-</v>
      </c>
      <c r="C4653" s="380" t="str">
        <f>IFERROR(__xludf.DUMMYFUNCTION("""COMPUTED_VALUE"""),"60000551")</f>
        <v>60000551</v>
      </c>
      <c r="D4653" s="380" t="s">
        <v>767</v>
      </c>
      <c r="E4653" s="380" t="s">
        <v>875</v>
      </c>
      <c r="F4653" s="380" t="s">
        <v>985</v>
      </c>
      <c r="G4653" s="380" t="s">
        <v>1267</v>
      </c>
      <c r="H4653" s="380" t="s">
        <v>771</v>
      </c>
      <c r="I4653" s="380" t="s">
        <v>986</v>
      </c>
      <c r="J4653" s="380" t="s">
        <v>773</v>
      </c>
      <c r="K4653" s="381">
        <v>0.0</v>
      </c>
      <c r="L4653" s="382">
        <v>1.0</v>
      </c>
    </row>
    <row r="4654">
      <c r="A4654" s="380" t="s">
        <v>5525</v>
      </c>
      <c r="B4654" s="380" t="str">
        <f>IFERROR(__xludf.DUMMYFUNCTION("""COMPUTED_VALUE"""),"Llanta 295/80 Xteb Reencauchada")</f>
        <v>Llanta 295/80 Xteb Reencauchada</v>
      </c>
      <c r="C4654" s="380" t="str">
        <f>IFERROR(__xludf.DUMMYFUNCTION("""COMPUTED_VALUE"""),"60000552")</f>
        <v>60000552</v>
      </c>
      <c r="D4654" s="380" t="s">
        <v>767</v>
      </c>
      <c r="E4654" s="380" t="s">
        <v>875</v>
      </c>
      <c r="F4654" s="380" t="s">
        <v>5140</v>
      </c>
      <c r="G4654" s="380" t="s">
        <v>1267</v>
      </c>
      <c r="H4654" s="380" t="s">
        <v>771</v>
      </c>
      <c r="I4654" s="380" t="s">
        <v>5141</v>
      </c>
      <c r="J4654" s="380" t="s">
        <v>773</v>
      </c>
      <c r="K4654" s="381">
        <v>0.0</v>
      </c>
      <c r="L4654" s="382">
        <v>1.0</v>
      </c>
    </row>
    <row r="4655">
      <c r="A4655" s="380" t="s">
        <v>5526</v>
      </c>
      <c r="B4655" s="380" t="str">
        <f>IFERROR(__xludf.DUMMYFUNCTION("""COMPUTED_VALUE"""),"Llanta Tras.Moto Suzuki 650 130/80 17m")</f>
        <v>Llanta Tras.Moto Suzuki 650 130/80 17m</v>
      </c>
      <c r="C4655" s="380" t="str">
        <f>IFERROR(__xludf.DUMMYFUNCTION("""COMPUTED_VALUE"""),"60000553")</f>
        <v>60000553</v>
      </c>
      <c r="D4655" s="380" t="s">
        <v>767</v>
      </c>
      <c r="E4655" s="380" t="s">
        <v>875</v>
      </c>
      <c r="F4655" s="380" t="s">
        <v>985</v>
      </c>
      <c r="G4655" s="380" t="s">
        <v>1267</v>
      </c>
      <c r="H4655" s="380" t="s">
        <v>771</v>
      </c>
      <c r="I4655" s="380" t="s">
        <v>986</v>
      </c>
      <c r="J4655" s="380" t="s">
        <v>773</v>
      </c>
      <c r="K4655" s="381">
        <v>0.0</v>
      </c>
      <c r="L4655" s="382">
        <v>1.0</v>
      </c>
    </row>
    <row r="4656">
      <c r="A4656" s="380" t="s">
        <v>5527</v>
      </c>
      <c r="B4656" s="380" t="str">
        <f>IFERROR(__xludf.DUMMYFUNCTION("""COMPUTED_VALUE"""),"Llanta 275/65r17 Camioneta")</f>
        <v>Llanta 275/65r17 Camioneta</v>
      </c>
      <c r="C4656" s="380" t="str">
        <f>IFERROR(__xludf.DUMMYFUNCTION("""COMPUTED_VALUE"""),"60000554")</f>
        <v>60000554</v>
      </c>
      <c r="D4656" s="380" t="s">
        <v>767</v>
      </c>
      <c r="E4656" s="380" t="s">
        <v>875</v>
      </c>
      <c r="F4656" s="380" t="s">
        <v>985</v>
      </c>
      <c r="G4656" s="380" t="s">
        <v>1267</v>
      </c>
      <c r="H4656" s="380" t="s">
        <v>771</v>
      </c>
      <c r="I4656" s="380" t="s">
        <v>986</v>
      </c>
      <c r="J4656" s="380" t="s">
        <v>773</v>
      </c>
      <c r="K4656" s="381">
        <v>0.0</v>
      </c>
      <c r="L4656" s="382">
        <v>1.0</v>
      </c>
    </row>
    <row r="4657">
      <c r="A4657" s="380" t="s">
        <v>5528</v>
      </c>
      <c r="B4657" s="380" t="str">
        <f>IFERROR(__xludf.DUMMYFUNCTION("""COMPUTED_VALUE"""),"Llanta 700-15 Reenc Frio Mixt Nhr 700-15")</f>
        <v>Llanta 700-15 Reenc Frio Mixt Nhr 700-15</v>
      </c>
      <c r="C4657" s="380" t="str">
        <f>IFERROR(__xludf.DUMMYFUNCTION("""COMPUTED_VALUE"""),"60000555")</f>
        <v>60000555</v>
      </c>
      <c r="D4657" s="380" t="s">
        <v>767</v>
      </c>
      <c r="E4657" s="380" t="s">
        <v>875</v>
      </c>
      <c r="F4657" s="380" t="s">
        <v>5140</v>
      </c>
      <c r="G4657" s="380" t="s">
        <v>1267</v>
      </c>
      <c r="H4657" s="380" t="s">
        <v>771</v>
      </c>
      <c r="I4657" s="380" t="s">
        <v>5141</v>
      </c>
      <c r="J4657" s="380" t="s">
        <v>773</v>
      </c>
      <c r="K4657" s="381">
        <v>0.0</v>
      </c>
      <c r="L4657" s="382">
        <v>1.0</v>
      </c>
    </row>
    <row r="4658">
      <c r="A4658" s="380" t="s">
        <v>5529</v>
      </c>
      <c r="B4658" s="380" t="str">
        <f>IFERROR(__xludf.DUMMYFUNCTION("""COMPUTED_VALUE"""),"Eje Rueda Trasera Suzuki")</f>
        <v>Eje Rueda Trasera Suzuki</v>
      </c>
      <c r="C4658" s="380" t="str">
        <f>IFERROR(__xludf.DUMMYFUNCTION("""COMPUTED_VALUE"""),"60000556")</f>
        <v>60000556</v>
      </c>
      <c r="D4658" s="380" t="s">
        <v>767</v>
      </c>
      <c r="E4658" s="380" t="s">
        <v>875</v>
      </c>
      <c r="F4658" s="380" t="s">
        <v>985</v>
      </c>
      <c r="G4658" s="380" t="s">
        <v>1267</v>
      </c>
      <c r="H4658" s="380" t="s">
        <v>771</v>
      </c>
      <c r="I4658" s="380" t="s">
        <v>986</v>
      </c>
      <c r="J4658" s="380" t="s">
        <v>773</v>
      </c>
      <c r="K4658" s="381">
        <v>0.0</v>
      </c>
      <c r="L4658" s="382">
        <v>1.0</v>
      </c>
    </row>
    <row r="4659">
      <c r="A4659" s="380" t="s">
        <v>5530</v>
      </c>
      <c r="B4659" s="380" t="str">
        <f>IFERROR(__xludf.DUMMYFUNCTION("""COMPUTED_VALUE"""),"Llanta 2.50-17 Moto Triciclo 250x17")</f>
        <v>Llanta 2.50-17 Moto Triciclo 250x17</v>
      </c>
      <c r="C4659" s="380" t="str">
        <f>IFERROR(__xludf.DUMMYFUNCTION("""COMPUTED_VALUE"""),"60000557")</f>
        <v>60000557</v>
      </c>
      <c r="D4659" s="380" t="s">
        <v>767</v>
      </c>
      <c r="E4659" s="380" t="s">
        <v>875</v>
      </c>
      <c r="F4659" s="380" t="s">
        <v>985</v>
      </c>
      <c r="G4659" s="380" t="s">
        <v>1267</v>
      </c>
      <c r="H4659" s="380" t="s">
        <v>771</v>
      </c>
      <c r="I4659" s="380" t="s">
        <v>986</v>
      </c>
      <c r="J4659" s="380" t="s">
        <v>773</v>
      </c>
      <c r="K4659" s="381">
        <v>0.0</v>
      </c>
      <c r="L4659" s="382">
        <v>1.0</v>
      </c>
    </row>
    <row r="4660">
      <c r="A4660" s="380" t="s">
        <v>5531</v>
      </c>
      <c r="B4660" s="380" t="str">
        <f>IFERROR(__xludf.DUMMYFUNCTION("""COMPUTED_VALUE"""),"Llanta Reparada 205/75r17.5")</f>
        <v>Llanta Reparada 205/75r17.5</v>
      </c>
      <c r="C4660" s="380" t="str">
        <f>IFERROR(__xludf.DUMMYFUNCTION("""COMPUTED_VALUE"""),"60000558")</f>
        <v>60000558</v>
      </c>
      <c r="D4660" s="380" t="s">
        <v>767</v>
      </c>
      <c r="E4660" s="380" t="s">
        <v>875</v>
      </c>
      <c r="F4660" s="380" t="s">
        <v>5140</v>
      </c>
      <c r="G4660" s="380" t="s">
        <v>1267</v>
      </c>
      <c r="H4660" s="380" t="s">
        <v>771</v>
      </c>
      <c r="I4660" s="380" t="s">
        <v>5141</v>
      </c>
      <c r="J4660" s="380" t="s">
        <v>773</v>
      </c>
      <c r="K4660" s="381">
        <v>0.0</v>
      </c>
      <c r="L4660" s="382">
        <v>1.0</v>
      </c>
    </row>
    <row r="4661">
      <c r="A4661" s="380" t="s">
        <v>5532</v>
      </c>
      <c r="B4661" s="380" t="str">
        <f>IFERROR(__xludf.DUMMYFUNCTION("""COMPUTED_VALUE"""),"Llanta 255/665 - 70 Michelin 255/65 R16")</f>
        <v>Llanta 255/665 - 70 Michelin 255/65 R16</v>
      </c>
      <c r="C4661" s="380" t="str">
        <f>IFERROR(__xludf.DUMMYFUNCTION("""COMPUTED_VALUE"""),"60000559")</f>
        <v>60000559</v>
      </c>
      <c r="D4661" s="380" t="s">
        <v>767</v>
      </c>
      <c r="E4661" s="380" t="s">
        <v>875</v>
      </c>
      <c r="F4661" s="380" t="s">
        <v>985</v>
      </c>
      <c r="G4661" s="380" t="s">
        <v>1267</v>
      </c>
      <c r="H4661" s="380" t="s">
        <v>771</v>
      </c>
      <c r="I4661" s="380" t="s">
        <v>986</v>
      </c>
      <c r="J4661" s="380" t="s">
        <v>773</v>
      </c>
      <c r="K4661" s="381">
        <v>0.0</v>
      </c>
      <c r="L4661" s="382">
        <v>1.0</v>
      </c>
    </row>
    <row r="4662">
      <c r="A4662" s="380" t="s">
        <v>5533</v>
      </c>
      <c r="B4662" s="380" t="str">
        <f>IFERROR(__xludf.DUMMYFUNCTION("""COMPUTED_VALUE"""),"Recuperacion Banda Llanta")</f>
        <v>Recuperacion Banda Llanta</v>
      </c>
      <c r="C4662" s="380" t="str">
        <f>IFERROR(__xludf.DUMMYFUNCTION("""COMPUTED_VALUE"""),"60000560")</f>
        <v>60000560</v>
      </c>
      <c r="D4662" s="380" t="s">
        <v>767</v>
      </c>
      <c r="E4662" s="380" t="s">
        <v>875</v>
      </c>
      <c r="F4662" s="380" t="s">
        <v>5140</v>
      </c>
      <c r="G4662" s="380" t="s">
        <v>1267</v>
      </c>
      <c r="H4662" s="380" t="s">
        <v>771</v>
      </c>
      <c r="I4662" s="380" t="s">
        <v>5141</v>
      </c>
      <c r="J4662" s="380" t="s">
        <v>773</v>
      </c>
      <c r="K4662" s="381">
        <v>0.0</v>
      </c>
      <c r="L4662" s="382">
        <v>1.0</v>
      </c>
    </row>
    <row r="4663">
      <c r="A4663" s="380" t="s">
        <v>5534</v>
      </c>
      <c r="B4663" s="380" t="str">
        <f>IFERROR(__xludf.DUMMYFUNCTION("""COMPUTED_VALUE"""),"Rin Sellomatic R22.5 Reparado")</f>
        <v>Rin Sellomatic R22.5 Reparado</v>
      </c>
      <c r="C4663" s="380" t="str">
        <f>IFERROR(__xludf.DUMMYFUNCTION("""COMPUTED_VALUE"""),"60000561")</f>
        <v>60000561</v>
      </c>
      <c r="D4663" s="380" t="s">
        <v>767</v>
      </c>
      <c r="E4663" s="380" t="s">
        <v>875</v>
      </c>
      <c r="F4663" s="380" t="s">
        <v>5293</v>
      </c>
      <c r="G4663" s="380" t="s">
        <v>1267</v>
      </c>
      <c r="H4663" s="380" t="s">
        <v>771</v>
      </c>
      <c r="I4663" s="380" t="s">
        <v>986</v>
      </c>
      <c r="J4663" s="380" t="s">
        <v>773</v>
      </c>
      <c r="K4663" s="381">
        <v>0.0</v>
      </c>
      <c r="L4663" s="382">
        <v>1.0</v>
      </c>
    </row>
    <row r="4664">
      <c r="A4664" s="380" t="s">
        <v>5535</v>
      </c>
      <c r="B4664" s="380" t="str">
        <f>IFERROR(__xludf.DUMMYFUNCTION("""COMPUTED_VALUE"""),"Llanta Delantera Xl Honda 275x21")</f>
        <v>Llanta Delantera Xl Honda 275x21</v>
      </c>
      <c r="C4664" s="380" t="str">
        <f>IFERROR(__xludf.DUMMYFUNCTION("""COMPUTED_VALUE"""),"60000562")</f>
        <v>60000562</v>
      </c>
      <c r="D4664" s="380" t="s">
        <v>767</v>
      </c>
      <c r="E4664" s="380" t="s">
        <v>875</v>
      </c>
      <c r="F4664" s="380" t="s">
        <v>985</v>
      </c>
      <c r="G4664" s="380" t="s">
        <v>1267</v>
      </c>
      <c r="H4664" s="380" t="s">
        <v>771</v>
      </c>
      <c r="I4664" s="380" t="s">
        <v>986</v>
      </c>
      <c r="J4664" s="380" t="s">
        <v>773</v>
      </c>
      <c r="K4664" s="381">
        <v>0.0</v>
      </c>
      <c r="L4664" s="382">
        <v>1.0</v>
      </c>
    </row>
    <row r="4665">
      <c r="A4665" s="380" t="s">
        <v>5536</v>
      </c>
      <c r="B4665" s="380" t="str">
        <f>IFERROR(__xludf.DUMMYFUNCTION("""COMPUTED_VALUE"""),"Llanta Trasera Xl200 Honda 410x18")</f>
        <v>Llanta Trasera Xl200 Honda 410x18</v>
      </c>
      <c r="C4665" s="380" t="str">
        <f>IFERROR(__xludf.DUMMYFUNCTION("""COMPUTED_VALUE"""),"60000563")</f>
        <v>60000563</v>
      </c>
      <c r="D4665" s="380" t="s">
        <v>767</v>
      </c>
      <c r="E4665" s="380" t="s">
        <v>875</v>
      </c>
      <c r="F4665" s="380" t="s">
        <v>985</v>
      </c>
      <c r="G4665" s="380" t="s">
        <v>1267</v>
      </c>
      <c r="H4665" s="380" t="s">
        <v>771</v>
      </c>
      <c r="I4665" s="380" t="s">
        <v>986</v>
      </c>
      <c r="J4665" s="380" t="s">
        <v>773</v>
      </c>
      <c r="K4665" s="381">
        <v>0.0</v>
      </c>
      <c r="L4665" s="382">
        <v>1.0</v>
      </c>
    </row>
    <row r="4666">
      <c r="A4666" s="380" t="s">
        <v>5537</v>
      </c>
      <c r="B4666" s="380" t="str">
        <f>IFERROR(__xludf.DUMMYFUNCTION("""COMPUTED_VALUE"""),"Antena Max Rad Vhf-5/8")</f>
        <v>Antena Max Rad Vhf-5/8</v>
      </c>
      <c r="C4666" s="380" t="str">
        <f>IFERROR(__xludf.DUMMYFUNCTION("""COMPUTED_VALUE"""),"60000570")</f>
        <v>60000570</v>
      </c>
      <c r="D4666" s="380" t="s">
        <v>767</v>
      </c>
      <c r="E4666" s="380" t="s">
        <v>875</v>
      </c>
      <c r="F4666" s="380" t="s">
        <v>1278</v>
      </c>
      <c r="G4666" s="380" t="s">
        <v>1267</v>
      </c>
      <c r="H4666" s="380" t="s">
        <v>771</v>
      </c>
      <c r="I4666" s="380" t="s">
        <v>817</v>
      </c>
      <c r="J4666" s="380" t="s">
        <v>773</v>
      </c>
      <c r="K4666" s="381">
        <v>0.0</v>
      </c>
      <c r="L4666" s="382">
        <v>1.0</v>
      </c>
    </row>
    <row r="4667">
      <c r="A4667" s="380" t="s">
        <v>5538</v>
      </c>
      <c r="B4667" s="380" t="str">
        <f>IFERROR(__xludf.DUMMYFUNCTION("""COMPUTED_VALUE"""),"Diadema Radio Pro 1150 Y Xtn Bdn-6773")</f>
        <v>Diadema Radio Pro 1150 Y Xtn Bdn-6773</v>
      </c>
      <c r="C4667" s="380" t="str">
        <f>IFERROR(__xludf.DUMMYFUNCTION("""COMPUTED_VALUE"""),"60000572")</f>
        <v>60000572</v>
      </c>
      <c r="D4667" s="380" t="s">
        <v>767</v>
      </c>
      <c r="E4667" s="380" t="s">
        <v>875</v>
      </c>
      <c r="F4667" s="380" t="s">
        <v>1278</v>
      </c>
      <c r="G4667" s="380" t="s">
        <v>1267</v>
      </c>
      <c r="H4667" s="380" t="s">
        <v>771</v>
      </c>
      <c r="I4667" s="380" t="s">
        <v>817</v>
      </c>
      <c r="J4667" s="380" t="s">
        <v>773</v>
      </c>
      <c r="K4667" s="381">
        <v>0.0</v>
      </c>
      <c r="L4667" s="382">
        <v>1.0</v>
      </c>
    </row>
    <row r="4668">
      <c r="A4668" s="380" t="s">
        <v>5539</v>
      </c>
      <c r="B4668" s="380" t="str">
        <f>IFERROR(__xludf.DUMMYFUNCTION("""COMPUTED_VALUE"""),"Tuerca Perno Rda.Tras.Izq.Tur 4263487302")</f>
        <v>Tuerca Perno Rda.Tras.Izq.Tur 4263487302</v>
      </c>
      <c r="C4668" s="380" t="str">
        <f>IFERROR(__xludf.DUMMYFUNCTION("""COMPUTED_VALUE"""),"60000573")</f>
        <v>60000573</v>
      </c>
      <c r="D4668" s="380" t="s">
        <v>767</v>
      </c>
      <c r="E4668" s="380" t="s">
        <v>875</v>
      </c>
      <c r="F4668" s="380" t="s">
        <v>985</v>
      </c>
      <c r="G4668" s="380" t="s">
        <v>1267</v>
      </c>
      <c r="H4668" s="380" t="s">
        <v>771</v>
      </c>
      <c r="I4668" s="380" t="s">
        <v>986</v>
      </c>
      <c r="J4668" s="380" t="s">
        <v>773</v>
      </c>
      <c r="K4668" s="381">
        <v>0.0</v>
      </c>
      <c r="L4668" s="382">
        <v>1.0</v>
      </c>
    </row>
    <row r="4669">
      <c r="A4669" s="380" t="s">
        <v>5540</v>
      </c>
      <c r="B4669" s="380" t="str">
        <f>IFERROR(__xludf.DUMMYFUNCTION("""COMPUTED_VALUE"""),"Alarma Buzzer 12 V Bz001 44880606B0")</f>
        <v>Alarma Buzzer 12 V Bz001 44880606B0</v>
      </c>
      <c r="C4669" s="380" t="str">
        <f>IFERROR(__xludf.DUMMYFUNCTION("""COMPUTED_VALUE"""),"60000574")</f>
        <v>60000574</v>
      </c>
      <c r="D4669" s="380" t="s">
        <v>767</v>
      </c>
      <c r="E4669" s="380" t="s">
        <v>875</v>
      </c>
      <c r="F4669" s="380" t="s">
        <v>1278</v>
      </c>
      <c r="G4669" s="380" t="s">
        <v>1267</v>
      </c>
      <c r="H4669" s="380" t="s">
        <v>771</v>
      </c>
      <c r="I4669" s="380" t="s">
        <v>817</v>
      </c>
      <c r="J4669" s="380" t="s">
        <v>773</v>
      </c>
      <c r="K4669" s="381">
        <v>11691.0</v>
      </c>
      <c r="L4669" s="382">
        <v>1.0</v>
      </c>
    </row>
    <row r="4670">
      <c r="A4670" s="380" t="s">
        <v>5541</v>
      </c>
      <c r="B4670" s="380" t="str">
        <f>IFERROR(__xludf.DUMMYFUNCTION("""COMPUTED_VALUE"""),"Pila Transmisor Control Gps Cr2032")</f>
        <v>Pila Transmisor Control Gps Cr2032</v>
      </c>
      <c r="C4670" s="380" t="str">
        <f>IFERROR(__xludf.DUMMYFUNCTION("""COMPUTED_VALUE"""),"60000575")</f>
        <v>60000575</v>
      </c>
      <c r="D4670" s="380" t="s">
        <v>767</v>
      </c>
      <c r="E4670" s="380" t="s">
        <v>875</v>
      </c>
      <c r="F4670" s="380" t="s">
        <v>1278</v>
      </c>
      <c r="G4670" s="380" t="s">
        <v>1267</v>
      </c>
      <c r="H4670" s="380" t="s">
        <v>771</v>
      </c>
      <c r="I4670" s="380" t="s">
        <v>817</v>
      </c>
      <c r="J4670" s="380" t="s">
        <v>773</v>
      </c>
      <c r="K4670" s="381">
        <v>0.0</v>
      </c>
      <c r="L4670" s="382">
        <v>1.0</v>
      </c>
    </row>
    <row r="4671">
      <c r="A4671" s="380" t="s">
        <v>5542</v>
      </c>
      <c r="B4671" s="380" t="str">
        <f>IFERROR(__xludf.DUMMYFUNCTION("""COMPUTED_VALUE"""),"Llanta 205/75R17.5 Direccion B")</f>
        <v>Llanta 205/75R17.5 Direccion B</v>
      </c>
      <c r="C4671" s="380" t="str">
        <f>IFERROR(__xludf.DUMMYFUNCTION("""COMPUTED_VALUE"""),"60000576")</f>
        <v>60000576</v>
      </c>
      <c r="D4671" s="380" t="s">
        <v>767</v>
      </c>
      <c r="E4671" s="380" t="s">
        <v>875</v>
      </c>
      <c r="F4671" s="380" t="s">
        <v>985</v>
      </c>
      <c r="G4671" s="380" t="s">
        <v>1267</v>
      </c>
      <c r="H4671" s="380" t="s">
        <v>771</v>
      </c>
      <c r="I4671" s="380" t="s">
        <v>986</v>
      </c>
      <c r="J4671" s="380" t="s">
        <v>773</v>
      </c>
      <c r="K4671" s="381">
        <v>480001.0</v>
      </c>
      <c r="L4671" s="382">
        <v>1.0</v>
      </c>
    </row>
    <row r="4672">
      <c r="A4672" s="380" t="s">
        <v>5543</v>
      </c>
      <c r="B4672" s="380" t="str">
        <f>IFERROR(__xludf.DUMMYFUNCTION("""COMPUTED_VALUE"""),"Llanta Reencauche Tracc Rt70 2")</f>
        <v>Llanta Reencauche Tracc Rt70 2</v>
      </c>
      <c r="C4672" s="380" t="str">
        <f>IFERROR(__xludf.DUMMYFUNCTION("""COMPUTED_VALUE"""),"60000577")</f>
        <v>60000577</v>
      </c>
      <c r="D4672" s="380" t="s">
        <v>767</v>
      </c>
      <c r="E4672" s="380" t="s">
        <v>875</v>
      </c>
      <c r="F4672" s="380" t="s">
        <v>5140</v>
      </c>
      <c r="G4672" s="380" t="s">
        <v>1267</v>
      </c>
      <c r="H4672" s="380" t="s">
        <v>771</v>
      </c>
      <c r="I4672" s="380" t="s">
        <v>5141</v>
      </c>
      <c r="J4672" s="380" t="s">
        <v>773</v>
      </c>
      <c r="K4672" s="381">
        <v>725900.0</v>
      </c>
      <c r="L4672" s="382">
        <v>1.0</v>
      </c>
    </row>
    <row r="4673">
      <c r="A4673" s="380" t="s">
        <v>5544</v>
      </c>
      <c r="B4673" s="380" t="str">
        <f>IFERROR(__xludf.DUMMYFUNCTION("""COMPUTED_VALUE"""),"Caja Mantenimiento Impresora G")</f>
        <v>Caja Mantenimiento Impresora G</v>
      </c>
      <c r="C4673" s="380" t="str">
        <f>IFERROR(__xludf.DUMMYFUNCTION("""COMPUTED_VALUE"""),"60000578")</f>
        <v>60000578</v>
      </c>
      <c r="D4673" s="380" t="s">
        <v>767</v>
      </c>
      <c r="E4673" s="380" t="s">
        <v>875</v>
      </c>
      <c r="F4673" s="380" t="s">
        <v>1278</v>
      </c>
      <c r="G4673" s="380" t="s">
        <v>1267</v>
      </c>
      <c r="H4673" s="380" t="s">
        <v>771</v>
      </c>
      <c r="I4673" s="380" t="s">
        <v>817</v>
      </c>
      <c r="J4673" s="380" t="s">
        <v>773</v>
      </c>
      <c r="K4673" s="381">
        <v>0.0</v>
      </c>
      <c r="L4673" s="382">
        <v>1.0</v>
      </c>
    </row>
    <row r="4674">
      <c r="A4674" s="380" t="s">
        <v>5545</v>
      </c>
      <c r="B4674" s="380" t="str">
        <f>IFERROR(__xludf.DUMMYFUNCTION("""COMPUTED_VALUE"""),"Almohadillas Diademas Monoaura")</f>
        <v>Almohadillas Diademas Monoaura</v>
      </c>
      <c r="C4674" s="380" t="str">
        <f>IFERROR(__xludf.DUMMYFUNCTION("""COMPUTED_VALUE"""),"60000579")</f>
        <v>60000579</v>
      </c>
      <c r="D4674" s="380" t="s">
        <v>767</v>
      </c>
      <c r="E4674" s="380" t="s">
        <v>875</v>
      </c>
      <c r="F4674" s="380" t="s">
        <v>1278</v>
      </c>
      <c r="G4674" s="380" t="s">
        <v>1267</v>
      </c>
      <c r="H4674" s="380" t="s">
        <v>771</v>
      </c>
      <c r="I4674" s="380" t="s">
        <v>817</v>
      </c>
      <c r="J4674" s="380" t="s">
        <v>773</v>
      </c>
      <c r="K4674" s="381">
        <v>0.0</v>
      </c>
      <c r="L4674" s="382">
        <v>1.0</v>
      </c>
    </row>
    <row r="4675">
      <c r="A4675" s="380" t="s">
        <v>5546</v>
      </c>
      <c r="B4675" s="380" t="str">
        <f>IFERROR(__xludf.DUMMYFUNCTION("""COMPUTED_VALUE"""),"Llanta Trasera 195/75R 16Lt")</f>
        <v>Llanta Trasera 195/75R 16Lt</v>
      </c>
      <c r="C4675" s="380" t="str">
        <f>IFERROR(__xludf.DUMMYFUNCTION("""COMPUTED_VALUE"""),"60000580")</f>
        <v>60000580</v>
      </c>
      <c r="D4675" s="380" t="s">
        <v>767</v>
      </c>
      <c r="E4675" s="380" t="s">
        <v>875</v>
      </c>
      <c r="F4675" s="380" t="s">
        <v>985</v>
      </c>
      <c r="G4675" s="380" t="s">
        <v>1267</v>
      </c>
      <c r="H4675" s="380" t="s">
        <v>771</v>
      </c>
      <c r="I4675" s="380" t="s">
        <v>986</v>
      </c>
      <c r="J4675" s="380" t="s">
        <v>773</v>
      </c>
      <c r="K4675" s="381">
        <v>0.0</v>
      </c>
      <c r="L4675" s="382">
        <v>1.0</v>
      </c>
    </row>
    <row r="4676">
      <c r="A4676" s="380" t="s">
        <v>5547</v>
      </c>
      <c r="B4676" s="380" t="str">
        <f>IFERROR(__xludf.DUMMYFUNCTION("""COMPUTED_VALUE"""),"Cargador Maquina Zebra Tc27 Gr")</f>
        <v>Cargador Maquina Zebra Tc27 Gr</v>
      </c>
      <c r="C4676" s="380" t="str">
        <f>IFERROR(__xludf.DUMMYFUNCTION("""COMPUTED_VALUE"""),"60000581")</f>
        <v>60000581</v>
      </c>
      <c r="D4676" s="380" t="s">
        <v>767</v>
      </c>
      <c r="E4676" s="380" t="s">
        <v>875</v>
      </c>
      <c r="F4676" s="380" t="s">
        <v>1278</v>
      </c>
      <c r="G4676" s="380" t="s">
        <v>1267</v>
      </c>
      <c r="H4676" s="380" t="s">
        <v>771</v>
      </c>
      <c r="I4676" s="380" t="s">
        <v>817</v>
      </c>
      <c r="J4676" s="380" t="s">
        <v>773</v>
      </c>
      <c r="K4676" s="381">
        <v>67858.0</v>
      </c>
      <c r="L4676" s="382">
        <v>1.0</v>
      </c>
    </row>
    <row r="4677">
      <c r="A4677" s="380" t="s">
        <v>5548</v>
      </c>
      <c r="B4677" s="380" t="str">
        <f>IFERROR(__xludf.DUMMYFUNCTION("""COMPUTED_VALUE"""),"Bateria Para Mainboard")</f>
        <v>Bateria Para Mainboard</v>
      </c>
      <c r="C4677" s="380" t="str">
        <f>IFERROR(__xludf.DUMMYFUNCTION("""COMPUTED_VALUE"""),"60000582")</f>
        <v>60000582</v>
      </c>
      <c r="D4677" s="380" t="s">
        <v>767</v>
      </c>
      <c r="E4677" s="380" t="s">
        <v>875</v>
      </c>
      <c r="F4677" s="380" t="s">
        <v>1278</v>
      </c>
      <c r="G4677" s="380" t="s">
        <v>1267</v>
      </c>
      <c r="H4677" s="380" t="s">
        <v>771</v>
      </c>
      <c r="I4677" s="380" t="s">
        <v>817</v>
      </c>
      <c r="J4677" s="380" t="s">
        <v>773</v>
      </c>
      <c r="K4677" s="381">
        <v>0.0</v>
      </c>
      <c r="L4677" s="382">
        <v>1.0</v>
      </c>
    </row>
    <row r="4678">
      <c r="A4678" s="380" t="s">
        <v>5549</v>
      </c>
      <c r="B4678" s="380" t="str">
        <f>IFERROR(__xludf.DUMMYFUNCTION("""COMPUTED_VALUE"""),"Unidad Gps Ruptela Pro5Lite")</f>
        <v>Unidad Gps Ruptela Pro5Lite</v>
      </c>
      <c r="C4678" s="380" t="str">
        <f>IFERROR(__xludf.DUMMYFUNCTION("""COMPUTED_VALUE"""),"60000583")</f>
        <v>60000583</v>
      </c>
      <c r="D4678" s="380" t="s">
        <v>767</v>
      </c>
      <c r="E4678" s="380" t="s">
        <v>875</v>
      </c>
      <c r="F4678" s="380" t="s">
        <v>1278</v>
      </c>
      <c r="G4678" s="380" t="s">
        <v>1267</v>
      </c>
      <c r="H4678" s="380" t="s">
        <v>771</v>
      </c>
      <c r="I4678" s="380" t="s">
        <v>817</v>
      </c>
      <c r="J4678" s="380" t="s">
        <v>773</v>
      </c>
      <c r="K4678" s="381">
        <v>476000.0</v>
      </c>
      <c r="L4678" s="382">
        <v>1.0</v>
      </c>
    </row>
    <row r="4679">
      <c r="A4679" s="380" t="s">
        <v>5550</v>
      </c>
      <c r="B4679" s="380" t="str">
        <f>IFERROR(__xludf.DUMMYFUNCTION("""COMPUTED_VALUE"""),"Bloqueo Contenedor Actuador 5K")</f>
        <v>Bloqueo Contenedor Actuador 5K</v>
      </c>
      <c r="C4679" s="380" t="str">
        <f>IFERROR(__xludf.DUMMYFUNCTION("""COMPUTED_VALUE"""),"60000584")</f>
        <v>60000584</v>
      </c>
      <c r="D4679" s="380" t="s">
        <v>767</v>
      </c>
      <c r="E4679" s="380" t="s">
        <v>875</v>
      </c>
      <c r="F4679" s="380" t="s">
        <v>1278</v>
      </c>
      <c r="G4679" s="380" t="s">
        <v>1267</v>
      </c>
      <c r="H4679" s="380" t="s">
        <v>771</v>
      </c>
      <c r="I4679" s="380" t="s">
        <v>817</v>
      </c>
      <c r="J4679" s="380" t="s">
        <v>773</v>
      </c>
      <c r="K4679" s="381">
        <v>519568.0</v>
      </c>
      <c r="L4679" s="382">
        <v>1.0</v>
      </c>
    </row>
    <row r="4680">
      <c r="A4680" s="380" t="s">
        <v>5551</v>
      </c>
      <c r="B4680" s="380" t="str">
        <f>IFERROR(__xludf.DUMMYFUNCTION("""COMPUTED_VALUE"""),"Bobina-Latigo Para Antena 601 Mhb580")</f>
        <v>Bobina-Latigo Para Antena 601 Mhb580</v>
      </c>
      <c r="C4680" s="380" t="str">
        <f>IFERROR(__xludf.DUMMYFUNCTION("""COMPUTED_VALUE"""),"60000585")</f>
        <v>60000585</v>
      </c>
      <c r="D4680" s="380" t="s">
        <v>767</v>
      </c>
      <c r="E4680" s="380" t="s">
        <v>875</v>
      </c>
      <c r="F4680" s="380" t="s">
        <v>1278</v>
      </c>
      <c r="G4680" s="380" t="s">
        <v>1267</v>
      </c>
      <c r="H4680" s="380" t="s">
        <v>771</v>
      </c>
      <c r="I4680" s="380" t="s">
        <v>817</v>
      </c>
      <c r="J4680" s="380" t="s">
        <v>773</v>
      </c>
      <c r="K4680" s="381">
        <v>0.0</v>
      </c>
      <c r="L4680" s="382">
        <v>1.0</v>
      </c>
    </row>
    <row r="4681">
      <c r="A4681" s="380" t="s">
        <v>5552</v>
      </c>
      <c r="B4681" s="380" t="str">
        <f>IFERROR(__xludf.DUMMYFUNCTION("""COMPUTED_VALUE"""),"Cable Adaptador Convertidor Us")</f>
        <v>Cable Adaptador Convertidor Us</v>
      </c>
      <c r="C4681" s="380" t="str">
        <f>IFERROR(__xludf.DUMMYFUNCTION("""COMPUTED_VALUE"""),"60000586")</f>
        <v>60000586</v>
      </c>
      <c r="D4681" s="380" t="s">
        <v>767</v>
      </c>
      <c r="E4681" s="380" t="s">
        <v>875</v>
      </c>
      <c r="F4681" s="380" t="s">
        <v>1278</v>
      </c>
      <c r="G4681" s="380" t="s">
        <v>1267</v>
      </c>
      <c r="H4681" s="380" t="s">
        <v>771</v>
      </c>
      <c r="I4681" s="380" t="s">
        <v>817</v>
      </c>
      <c r="J4681" s="380" t="s">
        <v>773</v>
      </c>
      <c r="K4681" s="381">
        <v>0.0</v>
      </c>
      <c r="L4681" s="382">
        <v>1.0</v>
      </c>
    </row>
    <row r="4682">
      <c r="A4682" s="380" t="s">
        <v>5553</v>
      </c>
      <c r="B4682" s="380" t="str">
        <f>IFERROR(__xludf.DUMMYFUNCTION("""COMPUTED_VALUE"""),"Cable Conversor Vga Macho A Hd")</f>
        <v>Cable Conversor Vga Macho A Hd</v>
      </c>
      <c r="C4682" s="380" t="str">
        <f>IFERROR(__xludf.DUMMYFUNCTION("""COMPUTED_VALUE"""),"60000587")</f>
        <v>60000587</v>
      </c>
      <c r="D4682" s="380" t="s">
        <v>767</v>
      </c>
      <c r="E4682" s="380" t="s">
        <v>875</v>
      </c>
      <c r="F4682" s="380" t="s">
        <v>1278</v>
      </c>
      <c r="G4682" s="380" t="s">
        <v>1267</v>
      </c>
      <c r="H4682" s="380" t="s">
        <v>771</v>
      </c>
      <c r="I4682" s="380" t="s">
        <v>817</v>
      </c>
      <c r="J4682" s="380" t="s">
        <v>773</v>
      </c>
      <c r="K4682" s="381">
        <v>0.0</v>
      </c>
      <c r="L4682" s="382">
        <v>1.0</v>
      </c>
    </row>
    <row r="4683">
      <c r="A4683" s="380" t="s">
        <v>5554</v>
      </c>
      <c r="B4683" s="380" t="str">
        <f>IFERROR(__xludf.DUMMYFUNCTION("""COMPUTED_VALUE"""),"Lector Adaptador Usb De Memori")</f>
        <v>Lector Adaptador Usb De Memori</v>
      </c>
      <c r="C4683" s="380" t="str">
        <f>IFERROR(__xludf.DUMMYFUNCTION("""COMPUTED_VALUE"""),"60000588")</f>
        <v>60000588</v>
      </c>
      <c r="D4683" s="380" t="s">
        <v>767</v>
      </c>
      <c r="E4683" s="380" t="s">
        <v>875</v>
      </c>
      <c r="F4683" s="380" t="s">
        <v>1278</v>
      </c>
      <c r="G4683" s="380" t="s">
        <v>1267</v>
      </c>
      <c r="H4683" s="380" t="s">
        <v>771</v>
      </c>
      <c r="I4683" s="380" t="s">
        <v>817</v>
      </c>
      <c r="J4683" s="380" t="s">
        <v>773</v>
      </c>
      <c r="K4683" s="381">
        <v>0.0</v>
      </c>
      <c r="L4683" s="382">
        <v>1.0</v>
      </c>
    </row>
    <row r="4684">
      <c r="A4684" s="380" t="s">
        <v>5555</v>
      </c>
      <c r="B4684" s="380" t="str">
        <f>IFERROR(__xludf.DUMMYFUNCTION("""COMPUTED_VALUE"""),"Inyector Poe Estandar Ruijie")</f>
        <v>Inyector Poe Estandar Ruijie</v>
      </c>
      <c r="C4684" s="380" t="str">
        <f>IFERROR(__xludf.DUMMYFUNCTION("""COMPUTED_VALUE"""),"60000589")</f>
        <v>60000589</v>
      </c>
      <c r="D4684" s="380" t="s">
        <v>767</v>
      </c>
      <c r="E4684" s="380" t="s">
        <v>875</v>
      </c>
      <c r="F4684" s="380" t="s">
        <v>1278</v>
      </c>
      <c r="G4684" s="380" t="s">
        <v>1267</v>
      </c>
      <c r="H4684" s="380" t="s">
        <v>771</v>
      </c>
      <c r="I4684" s="380" t="s">
        <v>817</v>
      </c>
      <c r="J4684" s="380" t="s">
        <v>773</v>
      </c>
      <c r="K4684" s="381">
        <v>0.0</v>
      </c>
      <c r="L4684" s="382">
        <v>1.0</v>
      </c>
    </row>
    <row r="4685">
      <c r="A4685" s="380" t="s">
        <v>5556</v>
      </c>
      <c r="B4685" s="380" t="str">
        <f>IFERROR(__xludf.DUMMYFUNCTION("""COMPUTED_VALUE"""),"Caja Externa Para Discos Pcie")</f>
        <v>Caja Externa Para Discos Pcie</v>
      </c>
      <c r="C4685" s="380" t="str">
        <f>IFERROR(__xludf.DUMMYFUNCTION("""COMPUTED_VALUE"""),"60000590")</f>
        <v>60000590</v>
      </c>
      <c r="D4685" s="380" t="s">
        <v>767</v>
      </c>
      <c r="E4685" s="380" t="s">
        <v>875</v>
      </c>
      <c r="F4685" s="380" t="s">
        <v>1278</v>
      </c>
      <c r="G4685" s="380" t="s">
        <v>1267</v>
      </c>
      <c r="H4685" s="380" t="s">
        <v>771</v>
      </c>
      <c r="I4685" s="380" t="s">
        <v>817</v>
      </c>
      <c r="J4685" s="380" t="s">
        <v>773</v>
      </c>
      <c r="K4685" s="381">
        <v>0.0</v>
      </c>
      <c r="L4685" s="382">
        <v>1.0</v>
      </c>
    </row>
    <row r="4686">
      <c r="A4686" s="380" t="s">
        <v>5557</v>
      </c>
      <c r="B4686" s="380" t="str">
        <f>IFERROR(__xludf.DUMMYFUNCTION("""COMPUTED_VALUE"""),"Cable De Datos Tipo C 6A A Usb")</f>
        <v>Cable De Datos Tipo C 6A A Usb</v>
      </c>
      <c r="C4686" s="380" t="str">
        <f>IFERROR(__xludf.DUMMYFUNCTION("""COMPUTED_VALUE"""),"60000591")</f>
        <v>60000591</v>
      </c>
      <c r="D4686" s="380" t="s">
        <v>767</v>
      </c>
      <c r="E4686" s="380" t="s">
        <v>875</v>
      </c>
      <c r="F4686" s="380" t="s">
        <v>1278</v>
      </c>
      <c r="G4686" s="380" t="s">
        <v>1267</v>
      </c>
      <c r="H4686" s="380" t="s">
        <v>771</v>
      </c>
      <c r="I4686" s="380" t="s">
        <v>817</v>
      </c>
      <c r="J4686" s="380" t="s">
        <v>773</v>
      </c>
      <c r="K4686" s="381">
        <v>0.0</v>
      </c>
      <c r="L4686" s="382">
        <v>1.0</v>
      </c>
    </row>
    <row r="4687">
      <c r="A4687" s="380" t="s">
        <v>5558</v>
      </c>
      <c r="B4687" s="380" t="str">
        <f>IFERROR(__xludf.DUMMYFUNCTION("""COMPUTED_VALUE"""),"Cable De Datos Micro Usb A Usb")</f>
        <v>Cable De Datos Micro Usb A Usb</v>
      </c>
      <c r="C4687" s="380" t="str">
        <f>IFERROR(__xludf.DUMMYFUNCTION("""COMPUTED_VALUE"""),"60000592")</f>
        <v>60000592</v>
      </c>
      <c r="D4687" s="380" t="s">
        <v>767</v>
      </c>
      <c r="E4687" s="380" t="s">
        <v>875</v>
      </c>
      <c r="F4687" s="380" t="s">
        <v>1278</v>
      </c>
      <c r="G4687" s="380" t="s">
        <v>1267</v>
      </c>
      <c r="H4687" s="380" t="s">
        <v>771</v>
      </c>
      <c r="I4687" s="380" t="s">
        <v>817</v>
      </c>
      <c r="J4687" s="380" t="s">
        <v>773</v>
      </c>
      <c r="K4687" s="381">
        <v>0.0</v>
      </c>
      <c r="L4687" s="382">
        <v>1.0</v>
      </c>
    </row>
    <row r="4688">
      <c r="A4688" s="380" t="s">
        <v>5559</v>
      </c>
      <c r="B4688" s="380" t="str">
        <f>IFERROR(__xludf.DUMMYFUNCTION("""COMPUTED_VALUE"""),"Temporizador (Timer) Digital D")</f>
        <v>Temporizador (Timer) Digital D</v>
      </c>
      <c r="C4688" s="380" t="str">
        <f>IFERROR(__xludf.DUMMYFUNCTION("""COMPUTED_VALUE"""),"60000593")</f>
        <v>60000593</v>
      </c>
      <c r="D4688" s="380" t="s">
        <v>767</v>
      </c>
      <c r="E4688" s="380" t="s">
        <v>875</v>
      </c>
      <c r="F4688" s="380" t="s">
        <v>1278</v>
      </c>
      <c r="G4688" s="380" t="s">
        <v>1267</v>
      </c>
      <c r="H4688" s="380" t="s">
        <v>771</v>
      </c>
      <c r="I4688" s="380" t="s">
        <v>817</v>
      </c>
      <c r="J4688" s="380" t="s">
        <v>773</v>
      </c>
      <c r="K4688" s="381">
        <v>0.0</v>
      </c>
      <c r="L4688" s="382">
        <v>1.0</v>
      </c>
    </row>
    <row r="4689">
      <c r="A4689" s="380" t="s">
        <v>5560</v>
      </c>
      <c r="B4689" s="380" t="str">
        <f>IFERROR(__xludf.DUMMYFUNCTION("""COMPUTED_VALUE"""),"Cargador Cigarrera Doble Punto")</f>
        <v>Cargador Cigarrera Doble Punto</v>
      </c>
      <c r="C4689" s="380" t="str">
        <f>IFERROR(__xludf.DUMMYFUNCTION("""COMPUTED_VALUE"""),"60000594")</f>
        <v>60000594</v>
      </c>
      <c r="D4689" s="380" t="s">
        <v>767</v>
      </c>
      <c r="E4689" s="380" t="s">
        <v>875</v>
      </c>
      <c r="F4689" s="380" t="s">
        <v>1278</v>
      </c>
      <c r="G4689" s="380" t="s">
        <v>1267</v>
      </c>
      <c r="H4689" s="380" t="s">
        <v>771</v>
      </c>
      <c r="I4689" s="380" t="s">
        <v>817</v>
      </c>
      <c r="J4689" s="380" t="s">
        <v>773</v>
      </c>
      <c r="K4689" s="381">
        <v>0.0</v>
      </c>
      <c r="L4689" s="382">
        <v>1.0</v>
      </c>
    </row>
    <row r="4690">
      <c r="A4690" s="380" t="s">
        <v>5561</v>
      </c>
      <c r="B4690" s="380" t="str">
        <f>IFERROR(__xludf.DUMMYFUNCTION("""COMPUTED_VALUE"""),"Cable Extensión Displayport")</f>
        <v>Cable Extensión Displayport</v>
      </c>
      <c r="C4690" s="380" t="str">
        <f>IFERROR(__xludf.DUMMYFUNCTION("""COMPUTED_VALUE"""),"60000595")</f>
        <v>60000595</v>
      </c>
      <c r="D4690" s="380" t="s">
        <v>767</v>
      </c>
      <c r="E4690" s="380" t="s">
        <v>875</v>
      </c>
      <c r="F4690" s="380" t="s">
        <v>1278</v>
      </c>
      <c r="G4690" s="380" t="s">
        <v>1267</v>
      </c>
      <c r="H4690" s="380" t="s">
        <v>771</v>
      </c>
      <c r="I4690" s="380" t="s">
        <v>817</v>
      </c>
      <c r="J4690" s="380" t="s">
        <v>773</v>
      </c>
      <c r="K4690" s="381">
        <v>0.0</v>
      </c>
      <c r="L4690" s="382">
        <v>1.0</v>
      </c>
    </row>
    <row r="4691">
      <c r="A4691" s="380" t="s">
        <v>5562</v>
      </c>
      <c r="B4691" s="380" t="str">
        <f>IFERROR(__xludf.DUMMYFUNCTION("""COMPUTED_VALUE"""),"Convertidor De Usb C A Dp (Dis")</f>
        <v>Convertidor De Usb C A Dp (Dis</v>
      </c>
      <c r="C4691" s="380" t="str">
        <f>IFERROR(__xludf.DUMMYFUNCTION("""COMPUTED_VALUE"""),"60000596")</f>
        <v>60000596</v>
      </c>
      <c r="D4691" s="380" t="s">
        <v>767</v>
      </c>
      <c r="E4691" s="380" t="s">
        <v>875</v>
      </c>
      <c r="F4691" s="380" t="s">
        <v>1278</v>
      </c>
      <c r="G4691" s="380" t="s">
        <v>1267</v>
      </c>
      <c r="H4691" s="380" t="s">
        <v>771</v>
      </c>
      <c r="I4691" s="380" t="s">
        <v>817</v>
      </c>
      <c r="J4691" s="380" t="s">
        <v>773</v>
      </c>
      <c r="K4691" s="381">
        <v>0.0</v>
      </c>
      <c r="L4691" s="382">
        <v>1.0</v>
      </c>
    </row>
    <row r="4692">
      <c r="A4692" s="380" t="s">
        <v>5563</v>
      </c>
      <c r="B4692" s="380" t="str">
        <f>IFERROR(__xludf.DUMMYFUNCTION("""COMPUTED_VALUE"""),"Teclado Numérico Usb")</f>
        <v>Teclado Numérico Usb</v>
      </c>
      <c r="C4692" s="380" t="str">
        <f>IFERROR(__xludf.DUMMYFUNCTION("""COMPUTED_VALUE"""),"60000597")</f>
        <v>60000597</v>
      </c>
      <c r="D4692" s="380" t="s">
        <v>767</v>
      </c>
      <c r="E4692" s="380" t="s">
        <v>875</v>
      </c>
      <c r="F4692" s="380" t="s">
        <v>1278</v>
      </c>
      <c r="G4692" s="380" t="s">
        <v>1267</v>
      </c>
      <c r="H4692" s="380" t="s">
        <v>771</v>
      </c>
      <c r="I4692" s="380" t="s">
        <v>817</v>
      </c>
      <c r="J4692" s="380" t="s">
        <v>773</v>
      </c>
      <c r="K4692" s="381">
        <v>0.0</v>
      </c>
      <c r="L4692" s="382">
        <v>1.0</v>
      </c>
    </row>
    <row r="4693">
      <c r="A4693" s="380" t="s">
        <v>5564</v>
      </c>
      <c r="B4693" s="380" t="str">
        <f>IFERROR(__xludf.DUMMYFUNCTION("""COMPUTED_VALUE"""),"Splitter Hdmi Multipuerto")</f>
        <v>Splitter Hdmi Multipuerto</v>
      </c>
      <c r="C4693" s="380" t="str">
        <f>IFERROR(__xludf.DUMMYFUNCTION("""COMPUTED_VALUE"""),"60000598")</f>
        <v>60000598</v>
      </c>
      <c r="D4693" s="380" t="s">
        <v>767</v>
      </c>
      <c r="E4693" s="380" t="s">
        <v>875</v>
      </c>
      <c r="F4693" s="380" t="s">
        <v>1278</v>
      </c>
      <c r="G4693" s="380" t="s">
        <v>1267</v>
      </c>
      <c r="H4693" s="380" t="s">
        <v>771</v>
      </c>
      <c r="I4693" s="380" t="s">
        <v>817</v>
      </c>
      <c r="J4693" s="380" t="s">
        <v>773</v>
      </c>
      <c r="K4693" s="381">
        <v>0.0</v>
      </c>
      <c r="L4693" s="382">
        <v>1.0</v>
      </c>
    </row>
    <row r="4694">
      <c r="A4694" s="380" t="s">
        <v>5565</v>
      </c>
      <c r="B4694" s="380" t="str">
        <f>IFERROR(__xludf.DUMMYFUNCTION("""COMPUTED_VALUE"""),"Estuche Celular")</f>
        <v>Estuche Celular</v>
      </c>
      <c r="C4694" s="380" t="str">
        <f>IFERROR(__xludf.DUMMYFUNCTION("""COMPUTED_VALUE"""),"60000599")</f>
        <v>60000599</v>
      </c>
      <c r="D4694" s="380" t="s">
        <v>767</v>
      </c>
      <c r="E4694" s="380" t="s">
        <v>875</v>
      </c>
      <c r="F4694" s="380" t="s">
        <v>1278</v>
      </c>
      <c r="G4694" s="380" t="s">
        <v>1267</v>
      </c>
      <c r="H4694" s="380" t="s">
        <v>771</v>
      </c>
      <c r="I4694" s="380" t="s">
        <v>817</v>
      </c>
      <c r="J4694" s="380" t="s">
        <v>773</v>
      </c>
      <c r="K4694" s="381">
        <v>19518.0</v>
      </c>
      <c r="L4694" s="382">
        <v>1.0</v>
      </c>
    </row>
    <row r="4695">
      <c r="A4695" s="380" t="s">
        <v>5566</v>
      </c>
      <c r="B4695" s="380" t="str">
        <f>IFERROR(__xludf.DUMMYFUNCTION("""COMPUTED_VALUE"""),"Pantalla Para Portatil")</f>
        <v>Pantalla Para Portatil</v>
      </c>
      <c r="C4695" s="380" t="str">
        <f>IFERROR(__xludf.DUMMYFUNCTION("""COMPUTED_VALUE"""),"60000600")</f>
        <v>60000600</v>
      </c>
      <c r="D4695" s="380" t="s">
        <v>767</v>
      </c>
      <c r="E4695" s="380" t="s">
        <v>875</v>
      </c>
      <c r="F4695" s="380" t="s">
        <v>1278</v>
      </c>
      <c r="G4695" s="380" t="s">
        <v>1267</v>
      </c>
      <c r="H4695" s="380" t="s">
        <v>771</v>
      </c>
      <c r="I4695" s="380" t="s">
        <v>817</v>
      </c>
      <c r="J4695" s="380" t="s">
        <v>773</v>
      </c>
      <c r="K4695" s="381">
        <v>0.0</v>
      </c>
      <c r="L4695" s="382">
        <v>1.0</v>
      </c>
    </row>
    <row r="4696">
      <c r="A4696" s="380" t="s">
        <v>5567</v>
      </c>
      <c r="B4696" s="380" t="str">
        <f>IFERROR(__xludf.DUMMYFUNCTION("""COMPUTED_VALUE"""),"Diadema Binaural Practica Sp12")</f>
        <v>Diadema Binaural Practica Sp12</v>
      </c>
      <c r="C4696" s="380" t="str">
        <f>IFERROR(__xludf.DUMMYFUNCTION("""COMPUTED_VALUE"""),"60000601")</f>
        <v>60000601</v>
      </c>
      <c r="D4696" s="380" t="s">
        <v>767</v>
      </c>
      <c r="E4696" s="380" t="s">
        <v>875</v>
      </c>
      <c r="F4696" s="380" t="s">
        <v>1278</v>
      </c>
      <c r="G4696" s="380" t="s">
        <v>1267</v>
      </c>
      <c r="H4696" s="380" t="s">
        <v>771</v>
      </c>
      <c r="I4696" s="380" t="s">
        <v>817</v>
      </c>
      <c r="J4696" s="380" t="s">
        <v>773</v>
      </c>
      <c r="K4696" s="381">
        <v>0.0</v>
      </c>
      <c r="L4696" s="382">
        <v>1.0</v>
      </c>
    </row>
    <row r="4697">
      <c r="A4697" s="380" t="s">
        <v>5568</v>
      </c>
      <c r="B4697" s="380" t="str">
        <f>IFERROR(__xludf.DUMMYFUNCTION("""COMPUTED_VALUE"""),"Extension Usb 15M, Macho/Hembr")</f>
        <v>Extension Usb 15M, Macho/Hembr</v>
      </c>
      <c r="C4697" s="380" t="str">
        <f>IFERROR(__xludf.DUMMYFUNCTION("""COMPUTED_VALUE"""),"60000602")</f>
        <v>60000602</v>
      </c>
      <c r="D4697" s="380" t="s">
        <v>767</v>
      </c>
      <c r="E4697" s="380" t="s">
        <v>875</v>
      </c>
      <c r="F4697" s="380" t="s">
        <v>1278</v>
      </c>
      <c r="G4697" s="380" t="s">
        <v>1267</v>
      </c>
      <c r="H4697" s="380" t="s">
        <v>771</v>
      </c>
      <c r="I4697" s="380" t="s">
        <v>817</v>
      </c>
      <c r="J4697" s="380" t="s">
        <v>773</v>
      </c>
      <c r="K4697" s="381">
        <v>0.0</v>
      </c>
      <c r="L4697" s="382">
        <v>1.0</v>
      </c>
    </row>
    <row r="4698">
      <c r="A4698" s="380" t="s">
        <v>5569</v>
      </c>
      <c r="B4698" s="380" t="str">
        <f>IFERROR(__xludf.DUMMYFUNCTION("""COMPUTED_VALUE"""),"Cable Usb Macho A Macho")</f>
        <v>Cable Usb Macho A Macho</v>
      </c>
      <c r="C4698" s="380" t="str">
        <f>IFERROR(__xludf.DUMMYFUNCTION("""COMPUTED_VALUE"""),"60000603")</f>
        <v>60000603</v>
      </c>
      <c r="D4698" s="380" t="s">
        <v>767</v>
      </c>
      <c r="E4698" s="380" t="s">
        <v>875</v>
      </c>
      <c r="F4698" s="380" t="s">
        <v>1278</v>
      </c>
      <c r="G4698" s="380" t="s">
        <v>1267</v>
      </c>
      <c r="H4698" s="380" t="s">
        <v>771</v>
      </c>
      <c r="I4698" s="380" t="s">
        <v>817</v>
      </c>
      <c r="J4698" s="380" t="s">
        <v>773</v>
      </c>
      <c r="K4698" s="381">
        <v>0.0</v>
      </c>
      <c r="L4698" s="382">
        <v>1.0</v>
      </c>
    </row>
    <row r="4699">
      <c r="A4699" s="380" t="s">
        <v>5570</v>
      </c>
      <c r="B4699" s="380" t="str">
        <f>IFERROR(__xludf.DUMMYFUNCTION("""COMPUTED_VALUE"""),"Servicio De Montallantas En Ca")</f>
        <v>Servicio De Montallantas En Ca</v>
      </c>
      <c r="C4699" s="380" t="str">
        <f>IFERROR(__xludf.DUMMYFUNCTION("""COMPUTED_VALUE"""),"60000604")</f>
        <v>60000604</v>
      </c>
      <c r="D4699" s="380" t="s">
        <v>767</v>
      </c>
      <c r="E4699" s="380" t="s">
        <v>875</v>
      </c>
      <c r="F4699" s="380" t="s">
        <v>5140</v>
      </c>
      <c r="G4699" s="380" t="s">
        <v>1267</v>
      </c>
      <c r="H4699" s="380" t="s">
        <v>771</v>
      </c>
      <c r="I4699" s="380" t="s">
        <v>5141</v>
      </c>
      <c r="J4699" s="380" t="s">
        <v>773</v>
      </c>
      <c r="K4699" s="381">
        <v>0.0</v>
      </c>
      <c r="L4699" s="382">
        <v>1.0</v>
      </c>
    </row>
    <row r="4700">
      <c r="A4700" s="380" t="s">
        <v>5571</v>
      </c>
      <c r="B4700" s="380" t="str">
        <f>IFERROR(__xludf.DUMMYFUNCTION("""COMPUTED_VALUE"""),"Jack De Carga O Poder De Carga")</f>
        <v>Jack De Carga O Poder De Carga</v>
      </c>
      <c r="C4700" s="380" t="str">
        <f>IFERROR(__xludf.DUMMYFUNCTION("""COMPUTED_VALUE"""),"60000605")</f>
        <v>60000605</v>
      </c>
      <c r="D4700" s="380" t="s">
        <v>767</v>
      </c>
      <c r="E4700" s="380" t="s">
        <v>875</v>
      </c>
      <c r="F4700" s="380" t="s">
        <v>1278</v>
      </c>
      <c r="G4700" s="380" t="s">
        <v>1267</v>
      </c>
      <c r="H4700" s="380" t="s">
        <v>771</v>
      </c>
      <c r="I4700" s="380" t="s">
        <v>817</v>
      </c>
      <c r="J4700" s="380" t="s">
        <v>773</v>
      </c>
      <c r="K4700" s="381">
        <v>0.0</v>
      </c>
      <c r="L4700" s="382">
        <v>1.0</v>
      </c>
    </row>
    <row r="4701">
      <c r="A4701" s="380" t="s">
        <v>5572</v>
      </c>
      <c r="B4701" s="380" t="str">
        <f>IFERROR(__xludf.DUMMYFUNCTION("""COMPUTED_VALUE"""),"Adaptador Sata A Usb Para Disc")</f>
        <v>Adaptador Sata A Usb Para Disc</v>
      </c>
      <c r="C4701" s="380" t="str">
        <f>IFERROR(__xludf.DUMMYFUNCTION("""COMPUTED_VALUE"""),"60000606")</f>
        <v>60000606</v>
      </c>
      <c r="D4701" s="380" t="s">
        <v>767</v>
      </c>
      <c r="E4701" s="380" t="s">
        <v>875</v>
      </c>
      <c r="F4701" s="380" t="s">
        <v>1278</v>
      </c>
      <c r="G4701" s="380" t="s">
        <v>1267</v>
      </c>
      <c r="H4701" s="380" t="s">
        <v>771</v>
      </c>
      <c r="I4701" s="380" t="s">
        <v>817</v>
      </c>
      <c r="J4701" s="380" t="s">
        <v>773</v>
      </c>
      <c r="K4701" s="381">
        <v>0.0</v>
      </c>
      <c r="L4701" s="382">
        <v>1.0</v>
      </c>
    </row>
    <row r="4702">
      <c r="A4702" s="380" t="s">
        <v>5573</v>
      </c>
      <c r="B4702" s="380" t="str">
        <f>IFERROR(__xludf.DUMMYFUNCTION("""COMPUTED_VALUE"""),"Adaptador Inalámbrico Nano Usb")</f>
        <v>Adaptador Inalámbrico Nano Usb</v>
      </c>
      <c r="C4702" s="380" t="str">
        <f>IFERROR(__xludf.DUMMYFUNCTION("""COMPUTED_VALUE"""),"60000607")</f>
        <v>60000607</v>
      </c>
      <c r="D4702" s="380" t="s">
        <v>767</v>
      </c>
      <c r="E4702" s="380" t="s">
        <v>875</v>
      </c>
      <c r="F4702" s="380" t="s">
        <v>1278</v>
      </c>
      <c r="G4702" s="380" t="s">
        <v>1267</v>
      </c>
      <c r="H4702" s="380" t="s">
        <v>771</v>
      </c>
      <c r="I4702" s="380" t="s">
        <v>817</v>
      </c>
      <c r="J4702" s="380" t="s">
        <v>773</v>
      </c>
      <c r="K4702" s="381">
        <v>0.0</v>
      </c>
      <c r="L4702" s="382">
        <v>1.0</v>
      </c>
    </row>
    <row r="4703">
      <c r="A4703" s="380" t="s">
        <v>5574</v>
      </c>
      <c r="B4703" s="380" t="str">
        <f>IFERROR(__xludf.DUMMYFUNCTION("""COMPUTED_VALUE"""),"Unión Cables Hdmi")</f>
        <v>Unión Cables Hdmi</v>
      </c>
      <c r="C4703" s="380" t="str">
        <f>IFERROR(__xludf.DUMMYFUNCTION("""COMPUTED_VALUE"""),"60000608")</f>
        <v>60000608</v>
      </c>
      <c r="D4703" s="380" t="s">
        <v>767</v>
      </c>
      <c r="E4703" s="380" t="s">
        <v>875</v>
      </c>
      <c r="F4703" s="380" t="s">
        <v>1278</v>
      </c>
      <c r="G4703" s="380" t="s">
        <v>1267</v>
      </c>
      <c r="H4703" s="380" t="s">
        <v>771</v>
      </c>
      <c r="I4703" s="380" t="s">
        <v>817</v>
      </c>
      <c r="J4703" s="380" t="s">
        <v>773</v>
      </c>
      <c r="K4703" s="381">
        <v>0.0</v>
      </c>
      <c r="L4703" s="382">
        <v>1.0</v>
      </c>
    </row>
    <row r="4704">
      <c r="A4704" s="380" t="s">
        <v>5575</v>
      </c>
      <c r="B4704" s="380" t="str">
        <f>IFERROR(__xludf.DUMMYFUNCTION("""COMPUTED_VALUE"""),"Cable Para Micrófono")</f>
        <v>Cable Para Micrófono</v>
      </c>
      <c r="C4704" s="380" t="str">
        <f>IFERROR(__xludf.DUMMYFUNCTION("""COMPUTED_VALUE"""),"60000609")</f>
        <v>60000609</v>
      </c>
      <c r="D4704" s="380" t="s">
        <v>767</v>
      </c>
      <c r="E4704" s="380" t="s">
        <v>875</v>
      </c>
      <c r="F4704" s="380" t="s">
        <v>1278</v>
      </c>
      <c r="G4704" s="380" t="s">
        <v>1267</v>
      </c>
      <c r="H4704" s="380" t="s">
        <v>771</v>
      </c>
      <c r="I4704" s="380" t="s">
        <v>817</v>
      </c>
      <c r="J4704" s="380" t="s">
        <v>773</v>
      </c>
      <c r="K4704" s="381">
        <v>0.0</v>
      </c>
      <c r="L4704" s="382">
        <v>1.0</v>
      </c>
    </row>
    <row r="4705">
      <c r="A4705" s="380" t="s">
        <v>5576</v>
      </c>
      <c r="B4705" s="380" t="str">
        <f>IFERROR(__xludf.DUMMYFUNCTION("""COMPUTED_VALUE"""),"Bandeja Para Escaners")</f>
        <v>Bandeja Para Escaners</v>
      </c>
      <c r="C4705" s="380" t="str">
        <f>IFERROR(__xludf.DUMMYFUNCTION("""COMPUTED_VALUE"""),"60000610")</f>
        <v>60000610</v>
      </c>
      <c r="D4705" s="380" t="s">
        <v>767</v>
      </c>
      <c r="E4705" s="380" t="s">
        <v>875</v>
      </c>
      <c r="F4705" s="380" t="s">
        <v>1278</v>
      </c>
      <c r="G4705" s="380" t="s">
        <v>1267</v>
      </c>
      <c r="H4705" s="380" t="s">
        <v>771</v>
      </c>
      <c r="I4705" s="380" t="s">
        <v>817</v>
      </c>
      <c r="J4705" s="380" t="s">
        <v>773</v>
      </c>
      <c r="K4705" s="381">
        <v>0.0</v>
      </c>
      <c r="L4705" s="382">
        <v>1.0</v>
      </c>
    </row>
    <row r="4706">
      <c r="A4706" s="380" t="s">
        <v>5577</v>
      </c>
      <c r="B4706" s="380" t="str">
        <f>IFERROR(__xludf.DUMMYFUNCTION("""COMPUTED_VALUE"""),"Cargador Radio Rva50”")</f>
        <v>Cargador Radio Rva50”</v>
      </c>
      <c r="C4706" s="380" t="str">
        <f>IFERROR(__xludf.DUMMYFUNCTION("""COMPUTED_VALUE"""),"60000611")</f>
        <v>60000611</v>
      </c>
      <c r="D4706" s="380" t="s">
        <v>767</v>
      </c>
      <c r="E4706" s="380" t="s">
        <v>875</v>
      </c>
      <c r="F4706" s="380" t="s">
        <v>1278</v>
      </c>
      <c r="G4706" s="380" t="s">
        <v>1267</v>
      </c>
      <c r="H4706" s="380" t="s">
        <v>771</v>
      </c>
      <c r="I4706" s="380" t="s">
        <v>817</v>
      </c>
      <c r="J4706" s="380" t="s">
        <v>773</v>
      </c>
      <c r="K4706" s="381">
        <v>143675.0</v>
      </c>
      <c r="L4706" s="382">
        <v>1.0</v>
      </c>
    </row>
    <row r="4707">
      <c r="A4707" s="380" t="s">
        <v>5578</v>
      </c>
      <c r="B4707" s="380" t="str">
        <f>IFERROR(__xludf.DUMMYFUNCTION("""COMPUTED_VALUE"""),"Disco Duro Para Planta Mx250")</f>
        <v>Disco Duro Para Planta Mx250</v>
      </c>
      <c r="C4707" s="380" t="str">
        <f>IFERROR(__xludf.DUMMYFUNCTION("""COMPUTED_VALUE"""),"60000612")</f>
        <v>60000612</v>
      </c>
      <c r="D4707" s="380" t="s">
        <v>767</v>
      </c>
      <c r="E4707" s="380" t="s">
        <v>875</v>
      </c>
      <c r="F4707" s="380" t="s">
        <v>1278</v>
      </c>
      <c r="G4707" s="380" t="s">
        <v>1267</v>
      </c>
      <c r="H4707" s="380" t="s">
        <v>771</v>
      </c>
      <c r="I4707" s="380" t="s">
        <v>817</v>
      </c>
      <c r="J4707" s="380" t="s">
        <v>773</v>
      </c>
      <c r="K4707" s="381">
        <v>0.0</v>
      </c>
      <c r="L4707" s="382">
        <v>1.0</v>
      </c>
    </row>
    <row r="4708">
      <c r="A4708" s="380" t="s">
        <v>5579</v>
      </c>
      <c r="B4708" s="380" t="str">
        <f>IFERROR(__xludf.DUMMYFUNCTION("""COMPUTED_VALUE"""),"Extension Usb 3 Mts , Macho/He")</f>
        <v>Extension Usb 3 Mts , Macho/He</v>
      </c>
      <c r="C4708" s="380" t="str">
        <f>IFERROR(__xludf.DUMMYFUNCTION("""COMPUTED_VALUE"""),"60000613")</f>
        <v>60000613</v>
      </c>
      <c r="D4708" s="380" t="s">
        <v>767</v>
      </c>
      <c r="E4708" s="380" t="s">
        <v>875</v>
      </c>
      <c r="F4708" s="380" t="s">
        <v>1278</v>
      </c>
      <c r="G4708" s="380" t="s">
        <v>1267</v>
      </c>
      <c r="H4708" s="380" t="s">
        <v>771</v>
      </c>
      <c r="I4708" s="380" t="s">
        <v>817</v>
      </c>
      <c r="J4708" s="380" t="s">
        <v>773</v>
      </c>
      <c r="K4708" s="381">
        <v>0.0</v>
      </c>
      <c r="L4708" s="382">
        <v>1.0</v>
      </c>
    </row>
    <row r="4709">
      <c r="A4709" s="380" t="s">
        <v>5580</v>
      </c>
      <c r="B4709" s="380" t="str">
        <f>IFERROR(__xludf.DUMMYFUNCTION("""COMPUTED_VALUE"""),"Celular Galaxy A03 Core 32Gb")</f>
        <v>Celular Galaxy A03 Core 32Gb</v>
      </c>
      <c r="C4709" s="380" t="str">
        <f>IFERROR(__xludf.DUMMYFUNCTION("""COMPUTED_VALUE"""),"60000614")</f>
        <v>60000614</v>
      </c>
      <c r="D4709" s="380" t="s">
        <v>767</v>
      </c>
      <c r="E4709" s="380" t="s">
        <v>875</v>
      </c>
      <c r="F4709" s="380" t="s">
        <v>1278</v>
      </c>
      <c r="G4709" s="380" t="s">
        <v>1267</v>
      </c>
      <c r="H4709" s="380" t="s">
        <v>771</v>
      </c>
      <c r="I4709" s="380" t="s">
        <v>817</v>
      </c>
      <c r="J4709" s="380" t="s">
        <v>773</v>
      </c>
      <c r="K4709" s="381">
        <v>381426.0</v>
      </c>
      <c r="L4709" s="382">
        <v>1.0</v>
      </c>
    </row>
    <row r="4710">
      <c r="A4710" s="380" t="s">
        <v>5581</v>
      </c>
      <c r="B4710" s="380" t="str">
        <f>IFERROR(__xludf.DUMMYFUNCTION("""COMPUTED_VALUE"""),"Protector Celular")</f>
        <v>Protector Celular</v>
      </c>
      <c r="C4710" s="380" t="str">
        <f>IFERROR(__xludf.DUMMYFUNCTION("""COMPUTED_VALUE"""),"60000615")</f>
        <v>60000615</v>
      </c>
      <c r="D4710" s="380" t="s">
        <v>767</v>
      </c>
      <c r="E4710" s="380" t="s">
        <v>875</v>
      </c>
      <c r="F4710" s="380" t="s">
        <v>1278</v>
      </c>
      <c r="G4710" s="380" t="s">
        <v>1267</v>
      </c>
      <c r="H4710" s="380" t="s">
        <v>771</v>
      </c>
      <c r="I4710" s="380" t="s">
        <v>817</v>
      </c>
      <c r="J4710" s="380" t="s">
        <v>773</v>
      </c>
      <c r="K4710" s="381">
        <v>14874.0</v>
      </c>
      <c r="L4710" s="382">
        <v>1.0</v>
      </c>
    </row>
    <row r="4711">
      <c r="A4711" s="380" t="s">
        <v>5582</v>
      </c>
      <c r="B4711" s="380" t="str">
        <f>IFERROR(__xludf.DUMMYFUNCTION("""COMPUTED_VALUE"""),"Touch Pad Mouse Portatil")</f>
        <v>Touch Pad Mouse Portatil</v>
      </c>
      <c r="C4711" s="380" t="str">
        <f>IFERROR(__xludf.DUMMYFUNCTION("""COMPUTED_VALUE"""),"60000616")</f>
        <v>60000616</v>
      </c>
      <c r="D4711" s="380" t="s">
        <v>767</v>
      </c>
      <c r="E4711" s="380" t="s">
        <v>875</v>
      </c>
      <c r="F4711" s="380" t="s">
        <v>1278</v>
      </c>
      <c r="G4711" s="380" t="s">
        <v>1267</v>
      </c>
      <c r="H4711" s="380" t="s">
        <v>771</v>
      </c>
      <c r="I4711" s="380" t="s">
        <v>817</v>
      </c>
      <c r="J4711" s="380" t="s">
        <v>773</v>
      </c>
      <c r="K4711" s="381">
        <v>0.0</v>
      </c>
      <c r="L4711" s="382">
        <v>1.0</v>
      </c>
    </row>
    <row r="4712">
      <c r="A4712" s="380" t="s">
        <v>5583</v>
      </c>
      <c r="B4712" s="380" t="str">
        <f>IFERROR(__xludf.DUMMYFUNCTION("""COMPUTED_VALUE"""),"Adaptador Ac Punta Azul 19.5V")</f>
        <v>Adaptador Ac Punta Azul 19.5V</v>
      </c>
      <c r="C4712" s="380" t="str">
        <f>IFERROR(__xludf.DUMMYFUNCTION("""COMPUTED_VALUE"""),"60000617")</f>
        <v>60000617</v>
      </c>
      <c r="D4712" s="380" t="s">
        <v>767</v>
      </c>
      <c r="E4712" s="380" t="s">
        <v>875</v>
      </c>
      <c r="F4712" s="380" t="s">
        <v>1278</v>
      </c>
      <c r="G4712" s="380" t="s">
        <v>1267</v>
      </c>
      <c r="H4712" s="380" t="s">
        <v>771</v>
      </c>
      <c r="I4712" s="380" t="s">
        <v>817</v>
      </c>
      <c r="J4712" s="380" t="s">
        <v>773</v>
      </c>
      <c r="K4712" s="381">
        <v>0.0</v>
      </c>
      <c r="L4712" s="382">
        <v>1.0</v>
      </c>
    </row>
    <row r="4713">
      <c r="A4713" s="380" t="s">
        <v>5584</v>
      </c>
      <c r="B4713" s="380" t="str">
        <f>IFERROR(__xludf.DUMMYFUNCTION("""COMPUTED_VALUE"""),"Repuestos Para Biometricos Var")</f>
        <v>Repuestos Para Biometricos Var</v>
      </c>
      <c r="C4713" s="380" t="str">
        <f>IFERROR(__xludf.DUMMYFUNCTION("""COMPUTED_VALUE"""),"60000618")</f>
        <v>60000618</v>
      </c>
      <c r="D4713" s="380" t="s">
        <v>767</v>
      </c>
      <c r="E4713" s="380" t="s">
        <v>875</v>
      </c>
      <c r="F4713" s="380" t="s">
        <v>1278</v>
      </c>
      <c r="G4713" s="380" t="s">
        <v>1267</v>
      </c>
      <c r="H4713" s="380" t="s">
        <v>771</v>
      </c>
      <c r="I4713" s="380" t="s">
        <v>817</v>
      </c>
      <c r="J4713" s="380" t="s">
        <v>773</v>
      </c>
      <c r="K4713" s="381">
        <v>0.0</v>
      </c>
      <c r="L4713" s="382">
        <v>1.0</v>
      </c>
    </row>
    <row r="4714">
      <c r="A4714" s="380" t="s">
        <v>5585</v>
      </c>
      <c r="B4714" s="380" t="str">
        <f>IFERROR(__xludf.DUMMYFUNCTION("""COMPUTED_VALUE"""),"Memoria Ram Ddr3 8Gb Pc Escrit")</f>
        <v>Memoria Ram Ddr3 8Gb Pc Escrit</v>
      </c>
      <c r="C4714" s="380" t="str">
        <f>IFERROR(__xludf.DUMMYFUNCTION("""COMPUTED_VALUE"""),"60000619")</f>
        <v>60000619</v>
      </c>
      <c r="D4714" s="380" t="s">
        <v>767</v>
      </c>
      <c r="E4714" s="380" t="s">
        <v>875</v>
      </c>
      <c r="F4714" s="380" t="s">
        <v>1278</v>
      </c>
      <c r="G4714" s="380" t="s">
        <v>1267</v>
      </c>
      <c r="H4714" s="380" t="s">
        <v>771</v>
      </c>
      <c r="I4714" s="380" t="s">
        <v>817</v>
      </c>
      <c r="J4714" s="380" t="s">
        <v>773</v>
      </c>
      <c r="K4714" s="381">
        <v>0.0</v>
      </c>
      <c r="L4714" s="382">
        <v>1.0</v>
      </c>
    </row>
    <row r="4715">
      <c r="A4715" s="380" t="s">
        <v>5586</v>
      </c>
      <c r="B4715" s="380" t="str">
        <f>IFERROR(__xludf.DUMMYFUNCTION("""COMPUTED_VALUE"""),"Bateria Celular")</f>
        <v>Bateria Celular</v>
      </c>
      <c r="C4715" s="380" t="str">
        <f>IFERROR(__xludf.DUMMYFUNCTION("""COMPUTED_VALUE"""),"60000620")</f>
        <v>60000620</v>
      </c>
      <c r="D4715" s="380" t="s">
        <v>767</v>
      </c>
      <c r="E4715" s="380" t="s">
        <v>875</v>
      </c>
      <c r="F4715" s="380" t="s">
        <v>1278</v>
      </c>
      <c r="G4715" s="380" t="s">
        <v>1267</v>
      </c>
      <c r="H4715" s="380" t="s">
        <v>771</v>
      </c>
      <c r="I4715" s="380" t="s">
        <v>817</v>
      </c>
      <c r="J4715" s="380" t="s">
        <v>773</v>
      </c>
      <c r="K4715" s="381">
        <v>28843.0</v>
      </c>
      <c r="L4715" s="382">
        <v>1.0</v>
      </c>
    </row>
    <row r="4716">
      <c r="A4716" s="380" t="s">
        <v>5587</v>
      </c>
      <c r="B4716" s="380" t="str">
        <f>IFERROR(__xludf.DUMMYFUNCTION("""COMPUTED_VALUE"""),"Pulsador Botón Solicitud De Ll")</f>
        <v>Pulsador Botón Solicitud De Ll</v>
      </c>
      <c r="C4716" s="380" t="str">
        <f>IFERROR(__xludf.DUMMYFUNCTION("""COMPUTED_VALUE"""),"60000621")</f>
        <v>60000621</v>
      </c>
      <c r="D4716" s="380" t="s">
        <v>767</v>
      </c>
      <c r="E4716" s="380" t="s">
        <v>875</v>
      </c>
      <c r="F4716" s="380" t="s">
        <v>1278</v>
      </c>
      <c r="G4716" s="380" t="s">
        <v>1267</v>
      </c>
      <c r="H4716" s="380" t="s">
        <v>771</v>
      </c>
      <c r="I4716" s="380" t="s">
        <v>817</v>
      </c>
      <c r="J4716" s="380" t="s">
        <v>773</v>
      </c>
      <c r="K4716" s="381">
        <v>2002.0</v>
      </c>
      <c r="L4716" s="382">
        <v>1.0</v>
      </c>
    </row>
    <row r="4717">
      <c r="A4717" s="380" t="s">
        <v>5588</v>
      </c>
      <c r="B4717" s="380" t="str">
        <f>IFERROR(__xludf.DUMMYFUNCTION("""COMPUTED_VALUE"""),"Docking De Lectura De Discos D")</f>
        <v>Docking De Lectura De Discos D</v>
      </c>
      <c r="C4717" s="380" t="str">
        <f>IFERROR(__xludf.DUMMYFUNCTION("""COMPUTED_VALUE"""),"60000622")</f>
        <v>60000622</v>
      </c>
      <c r="D4717" s="380" t="s">
        <v>767</v>
      </c>
      <c r="E4717" s="380" t="s">
        <v>875</v>
      </c>
      <c r="F4717" s="380" t="s">
        <v>1278</v>
      </c>
      <c r="G4717" s="380" t="s">
        <v>1267</v>
      </c>
      <c r="H4717" s="380" t="s">
        <v>771</v>
      </c>
      <c r="I4717" s="380" t="s">
        <v>817</v>
      </c>
      <c r="J4717" s="380" t="s">
        <v>773</v>
      </c>
      <c r="K4717" s="381">
        <v>0.0</v>
      </c>
      <c r="L4717" s="382">
        <v>1.0</v>
      </c>
    </row>
    <row r="4718">
      <c r="A4718" s="380" t="s">
        <v>5589</v>
      </c>
      <c r="B4718" s="380" t="str">
        <f>IFERROR(__xludf.DUMMYFUNCTION("""COMPUTED_VALUE"""),"Cable Cargador Maquinas Tc55 (")</f>
        <v>Cable Cargador Maquinas Tc55 (</v>
      </c>
      <c r="C4718" s="380" t="str">
        <f>IFERROR(__xludf.DUMMYFUNCTION("""COMPUTED_VALUE"""),"60000623")</f>
        <v>60000623</v>
      </c>
      <c r="D4718" s="380" t="s">
        <v>767</v>
      </c>
      <c r="E4718" s="380" t="s">
        <v>875</v>
      </c>
      <c r="F4718" s="380" t="s">
        <v>1278</v>
      </c>
      <c r="G4718" s="380" t="s">
        <v>1267</v>
      </c>
      <c r="H4718" s="380" t="s">
        <v>771</v>
      </c>
      <c r="I4718" s="380" t="s">
        <v>817</v>
      </c>
      <c r="J4718" s="380" t="s">
        <v>773</v>
      </c>
      <c r="K4718" s="381">
        <v>4008.0</v>
      </c>
      <c r="L4718" s="382">
        <v>1.0</v>
      </c>
    </row>
    <row r="4719">
      <c r="A4719" s="380" t="s">
        <v>5590</v>
      </c>
      <c r="B4719" s="380" t="str">
        <f>IFERROR(__xludf.DUMMYFUNCTION("""COMPUTED_VALUE"""),"Cable Usb Tipo C 1.5 Mts Tc56")</f>
        <v>Cable Usb Tipo C 1.5 Mts Tc56</v>
      </c>
      <c r="C4719" s="380" t="str">
        <f>IFERROR(__xludf.DUMMYFUNCTION("""COMPUTED_VALUE"""),"60000624")</f>
        <v>60000624</v>
      </c>
      <c r="D4719" s="380" t="s">
        <v>767</v>
      </c>
      <c r="E4719" s="380" t="s">
        <v>875</v>
      </c>
      <c r="F4719" s="380" t="s">
        <v>1278</v>
      </c>
      <c r="G4719" s="380" t="s">
        <v>1267</v>
      </c>
      <c r="H4719" s="380" t="s">
        <v>771</v>
      </c>
      <c r="I4719" s="380" t="s">
        <v>817</v>
      </c>
      <c r="J4719" s="380" t="s">
        <v>773</v>
      </c>
      <c r="K4719" s="381">
        <v>0.0</v>
      </c>
      <c r="L4719" s="382">
        <v>1.0</v>
      </c>
    </row>
    <row r="4720">
      <c r="A4720" s="380" t="s">
        <v>5591</v>
      </c>
      <c r="B4720" s="380" t="str">
        <f>IFERROR(__xludf.DUMMYFUNCTION("""COMPUTED_VALUE"""),"Kit De Audio Para Unidades Gps")</f>
        <v>Kit De Audio Para Unidades Gps</v>
      </c>
      <c r="C4720" s="380" t="str">
        <f>IFERROR(__xludf.DUMMYFUNCTION("""COMPUTED_VALUE"""),"60000626")</f>
        <v>60000626</v>
      </c>
      <c r="D4720" s="380" t="s">
        <v>767</v>
      </c>
      <c r="E4720" s="380" t="s">
        <v>875</v>
      </c>
      <c r="F4720" s="380" t="s">
        <v>1278</v>
      </c>
      <c r="G4720" s="380" t="s">
        <v>1267</v>
      </c>
      <c r="H4720" s="380" t="s">
        <v>771</v>
      </c>
      <c r="I4720" s="380" t="s">
        <v>817</v>
      </c>
      <c r="J4720" s="380" t="s">
        <v>773</v>
      </c>
      <c r="K4720" s="381">
        <v>35700.0</v>
      </c>
      <c r="L4720" s="382">
        <v>1.0</v>
      </c>
    </row>
    <row r="4721">
      <c r="A4721" s="380" t="s">
        <v>5592</v>
      </c>
      <c r="B4721" s="380" t="str">
        <f>IFERROR(__xludf.DUMMYFUNCTION("""COMPUTED_VALUE"""),"Convertidor De Display Port A")</f>
        <v>Convertidor De Display Port A</v>
      </c>
      <c r="C4721" s="380" t="str">
        <f>IFERROR(__xludf.DUMMYFUNCTION("""COMPUTED_VALUE"""),"60000627")</f>
        <v>60000627</v>
      </c>
      <c r="D4721" s="380" t="s">
        <v>767</v>
      </c>
      <c r="E4721" s="380" t="s">
        <v>875</v>
      </c>
      <c r="F4721" s="380" t="s">
        <v>1278</v>
      </c>
      <c r="G4721" s="380" t="s">
        <v>1267</v>
      </c>
      <c r="H4721" s="380" t="s">
        <v>771</v>
      </c>
      <c r="I4721" s="380" t="s">
        <v>817</v>
      </c>
      <c r="J4721" s="380" t="s">
        <v>773</v>
      </c>
      <c r="K4721" s="381">
        <v>0.0</v>
      </c>
      <c r="L4721" s="382">
        <v>1.0</v>
      </c>
    </row>
    <row r="4722">
      <c r="A4722" s="380" t="s">
        <v>5593</v>
      </c>
      <c r="B4722" s="380" t="str">
        <f>IFERROR(__xludf.DUMMYFUNCTION("""COMPUTED_VALUE"""),"Memoria Usb 3.0 De 16Gb")</f>
        <v>Memoria Usb 3.0 De 16Gb</v>
      </c>
      <c r="C4722" s="380" t="str">
        <f>IFERROR(__xludf.DUMMYFUNCTION("""COMPUTED_VALUE"""),"60000628")</f>
        <v>60000628</v>
      </c>
      <c r="D4722" s="380" t="s">
        <v>767</v>
      </c>
      <c r="E4722" s="380" t="s">
        <v>875</v>
      </c>
      <c r="F4722" s="380" t="s">
        <v>1278</v>
      </c>
      <c r="G4722" s="380" t="s">
        <v>1267</v>
      </c>
      <c r="H4722" s="380" t="s">
        <v>771</v>
      </c>
      <c r="I4722" s="380" t="s">
        <v>817</v>
      </c>
      <c r="J4722" s="380" t="s">
        <v>773</v>
      </c>
      <c r="K4722" s="381">
        <v>0.0</v>
      </c>
      <c r="L4722" s="382">
        <v>1.0</v>
      </c>
    </row>
    <row r="4723">
      <c r="A4723" s="380" t="s">
        <v>5594</v>
      </c>
      <c r="B4723" s="380" t="str">
        <f>IFERROR(__xludf.DUMMYFUNCTION("""COMPUTED_VALUE"""),"Cable Hdmi De 10 Mts Kamyl")</f>
        <v>Cable Hdmi De 10 Mts Kamyl</v>
      </c>
      <c r="C4723" s="380" t="str">
        <f>IFERROR(__xludf.DUMMYFUNCTION("""COMPUTED_VALUE"""),"60000629")</f>
        <v>60000629</v>
      </c>
      <c r="D4723" s="380" t="s">
        <v>767</v>
      </c>
      <c r="E4723" s="380" t="s">
        <v>875</v>
      </c>
      <c r="F4723" s="380" t="s">
        <v>1278</v>
      </c>
      <c r="G4723" s="380" t="s">
        <v>1267</v>
      </c>
      <c r="H4723" s="380" t="s">
        <v>771</v>
      </c>
      <c r="I4723" s="380" t="s">
        <v>817</v>
      </c>
      <c r="J4723" s="380" t="s">
        <v>773</v>
      </c>
      <c r="K4723" s="381">
        <v>0.0</v>
      </c>
      <c r="L4723" s="382">
        <v>1.0</v>
      </c>
    </row>
    <row r="4724">
      <c r="A4724" s="380" t="s">
        <v>5595</v>
      </c>
      <c r="B4724" s="380" t="str">
        <f>IFERROR(__xludf.DUMMYFUNCTION("""COMPUTED_VALUE"""),"Convertidor De Usb A Serial")</f>
        <v>Convertidor De Usb A Serial</v>
      </c>
      <c r="C4724" s="380" t="str">
        <f>IFERROR(__xludf.DUMMYFUNCTION("""COMPUTED_VALUE"""),"60000630")</f>
        <v>60000630</v>
      </c>
      <c r="D4724" s="380" t="s">
        <v>767</v>
      </c>
      <c r="E4724" s="380" t="s">
        <v>875</v>
      </c>
      <c r="F4724" s="380" t="s">
        <v>1278</v>
      </c>
      <c r="G4724" s="380" t="s">
        <v>1267</v>
      </c>
      <c r="H4724" s="380" t="s">
        <v>771</v>
      </c>
      <c r="I4724" s="380" t="s">
        <v>817</v>
      </c>
      <c r="J4724" s="380" t="s">
        <v>773</v>
      </c>
      <c r="K4724" s="381">
        <v>0.0</v>
      </c>
      <c r="L4724" s="382">
        <v>1.0</v>
      </c>
    </row>
    <row r="4725">
      <c r="A4725" s="380" t="s">
        <v>5596</v>
      </c>
      <c r="B4725" s="380" t="str">
        <f>IFERROR(__xludf.DUMMYFUNCTION("""COMPUTED_VALUE"""),"Micrófono Alambrico Shure Mode")</f>
        <v>Micrófono Alambrico Shure Mode</v>
      </c>
      <c r="C4725" s="380" t="str">
        <f>IFERROR(__xludf.DUMMYFUNCTION("""COMPUTED_VALUE"""),"60000631")</f>
        <v>60000631</v>
      </c>
      <c r="D4725" s="380" t="s">
        <v>767</v>
      </c>
      <c r="E4725" s="380" t="s">
        <v>875</v>
      </c>
      <c r="F4725" s="380" t="s">
        <v>1278</v>
      </c>
      <c r="G4725" s="380" t="s">
        <v>1267</v>
      </c>
      <c r="H4725" s="380" t="s">
        <v>771</v>
      </c>
      <c r="I4725" s="380" t="s">
        <v>817</v>
      </c>
      <c r="J4725" s="380" t="s">
        <v>773</v>
      </c>
      <c r="K4725" s="381">
        <v>0.0</v>
      </c>
      <c r="L4725" s="382">
        <v>1.0</v>
      </c>
    </row>
    <row r="4726">
      <c r="A4726" s="380" t="s">
        <v>5597</v>
      </c>
      <c r="B4726" s="380" t="str">
        <f>IFERROR(__xludf.DUMMYFUNCTION("""COMPUTED_VALUE"""),"Fuente Atx Para Pc")</f>
        <v>Fuente Atx Para Pc</v>
      </c>
      <c r="C4726" s="380" t="str">
        <f>IFERROR(__xludf.DUMMYFUNCTION("""COMPUTED_VALUE"""),"60000632")</f>
        <v>60000632</v>
      </c>
      <c r="D4726" s="380" t="s">
        <v>767</v>
      </c>
      <c r="E4726" s="380" t="s">
        <v>875</v>
      </c>
      <c r="F4726" s="380" t="s">
        <v>1278</v>
      </c>
      <c r="G4726" s="380" t="s">
        <v>1267</v>
      </c>
      <c r="H4726" s="380" t="s">
        <v>771</v>
      </c>
      <c r="I4726" s="380" t="s">
        <v>817</v>
      </c>
      <c r="J4726" s="380" t="s">
        <v>773</v>
      </c>
      <c r="K4726" s="381">
        <v>0.0</v>
      </c>
      <c r="L4726" s="382">
        <v>1.0</v>
      </c>
    </row>
    <row r="4727">
      <c r="A4727" s="380" t="s">
        <v>5598</v>
      </c>
      <c r="B4727" s="380" t="str">
        <f>IFERROR(__xludf.DUMMYFUNCTION("""COMPUTED_VALUE"""),"Bateria Portatil Hp 430 G3")</f>
        <v>Bateria Portatil Hp 430 G3</v>
      </c>
      <c r="C4727" s="380" t="str">
        <f>IFERROR(__xludf.DUMMYFUNCTION("""COMPUTED_VALUE"""),"60000633")</f>
        <v>60000633</v>
      </c>
      <c r="D4727" s="380" t="s">
        <v>767</v>
      </c>
      <c r="E4727" s="380" t="s">
        <v>875</v>
      </c>
      <c r="F4727" s="380" t="s">
        <v>1278</v>
      </c>
      <c r="G4727" s="380" t="s">
        <v>1267</v>
      </c>
      <c r="H4727" s="380" t="s">
        <v>771</v>
      </c>
      <c r="I4727" s="380" t="s">
        <v>817</v>
      </c>
      <c r="J4727" s="380" t="s">
        <v>773</v>
      </c>
      <c r="K4727" s="381">
        <v>0.0</v>
      </c>
      <c r="L4727" s="382">
        <v>1.0</v>
      </c>
    </row>
    <row r="4728">
      <c r="A4728" s="380" t="s">
        <v>5599</v>
      </c>
      <c r="B4728" s="380" t="str">
        <f>IFERROR(__xludf.DUMMYFUNCTION("""COMPUTED_VALUE"""),"Disco Duro Sata De 1Tb 3.5")</f>
        <v>Disco Duro Sata De 1Tb 3.5</v>
      </c>
      <c r="C4728" s="380" t="str">
        <f>IFERROR(__xludf.DUMMYFUNCTION("""COMPUTED_VALUE"""),"60000634")</f>
        <v>60000634</v>
      </c>
      <c r="D4728" s="380" t="s">
        <v>767</v>
      </c>
      <c r="E4728" s="380" t="s">
        <v>875</v>
      </c>
      <c r="F4728" s="380" t="s">
        <v>1278</v>
      </c>
      <c r="G4728" s="380" t="s">
        <v>1267</v>
      </c>
      <c r="H4728" s="380" t="s">
        <v>771</v>
      </c>
      <c r="I4728" s="380" t="s">
        <v>817</v>
      </c>
      <c r="J4728" s="380" t="s">
        <v>773</v>
      </c>
      <c r="K4728" s="381">
        <v>0.0</v>
      </c>
      <c r="L4728" s="382">
        <v>1.0</v>
      </c>
    </row>
    <row r="4729">
      <c r="A4729" s="380" t="s">
        <v>5600</v>
      </c>
      <c r="B4729" s="380" t="str">
        <f>IFERROR(__xludf.DUMMYFUNCTION("""COMPUTED_VALUE"""),"Mesa Graduable Artecma 5 Nivel")</f>
        <v>Mesa Graduable Artecma 5 Nivel</v>
      </c>
      <c r="C4729" s="380" t="str">
        <f>IFERROR(__xludf.DUMMYFUNCTION("""COMPUTED_VALUE"""),"60000635")</f>
        <v>60000635</v>
      </c>
      <c r="D4729" s="380" t="s">
        <v>767</v>
      </c>
      <c r="E4729" s="380" t="s">
        <v>875</v>
      </c>
      <c r="F4729" s="380" t="s">
        <v>1278</v>
      </c>
      <c r="G4729" s="380" t="s">
        <v>1267</v>
      </c>
      <c r="H4729" s="380" t="s">
        <v>771</v>
      </c>
      <c r="I4729" s="380" t="s">
        <v>817</v>
      </c>
      <c r="J4729" s="380" t="s">
        <v>773</v>
      </c>
      <c r="K4729" s="381">
        <v>0.0</v>
      </c>
      <c r="L4729" s="382">
        <v>1.0</v>
      </c>
    </row>
    <row r="4730">
      <c r="A4730" s="380" t="s">
        <v>5601</v>
      </c>
      <c r="B4730" s="380" t="str">
        <f>IFERROR(__xludf.DUMMYFUNCTION("""COMPUTED_VALUE"""),"Cable Hdmi De 1.8 Mts Kamyl")</f>
        <v>Cable Hdmi De 1.8 Mts Kamyl</v>
      </c>
      <c r="C4730" s="380" t="str">
        <f>IFERROR(__xludf.DUMMYFUNCTION("""COMPUTED_VALUE"""),"60000636")</f>
        <v>60000636</v>
      </c>
      <c r="D4730" s="380" t="s">
        <v>767</v>
      </c>
      <c r="E4730" s="380" t="s">
        <v>875</v>
      </c>
      <c r="F4730" s="380" t="s">
        <v>1278</v>
      </c>
      <c r="G4730" s="380" t="s">
        <v>1267</v>
      </c>
      <c r="H4730" s="380" t="s">
        <v>771</v>
      </c>
      <c r="I4730" s="380" t="s">
        <v>817</v>
      </c>
      <c r="J4730" s="380" t="s">
        <v>773</v>
      </c>
      <c r="K4730" s="381">
        <v>0.0</v>
      </c>
      <c r="L4730" s="382">
        <v>1.0</v>
      </c>
    </row>
    <row r="4731">
      <c r="A4731" s="380" t="s">
        <v>5602</v>
      </c>
      <c r="B4731" s="380" t="str">
        <f>IFERROR(__xludf.DUMMYFUNCTION("""COMPUTED_VALUE"""),"Cable Hdmi 5 Mts Kamyl")</f>
        <v>Cable Hdmi 5 Mts Kamyl</v>
      </c>
      <c r="C4731" s="380" t="str">
        <f>IFERROR(__xludf.DUMMYFUNCTION("""COMPUTED_VALUE"""),"60000637")</f>
        <v>60000637</v>
      </c>
      <c r="D4731" s="380" t="s">
        <v>767</v>
      </c>
      <c r="E4731" s="380" t="s">
        <v>875</v>
      </c>
      <c r="F4731" s="380" t="s">
        <v>1278</v>
      </c>
      <c r="G4731" s="380" t="s">
        <v>1267</v>
      </c>
      <c r="H4731" s="380" t="s">
        <v>771</v>
      </c>
      <c r="I4731" s="380" t="s">
        <v>817</v>
      </c>
      <c r="J4731" s="380" t="s">
        <v>773</v>
      </c>
      <c r="K4731" s="381">
        <v>0.0</v>
      </c>
      <c r="L4731" s="382">
        <v>1.0</v>
      </c>
    </row>
    <row r="4732">
      <c r="A4732" s="380" t="s">
        <v>5603</v>
      </c>
      <c r="B4732" s="380" t="str">
        <f>IFERROR(__xludf.DUMMYFUNCTION("""COMPUTED_VALUE"""),"Convertidor Thunderbolt A Hdmi")</f>
        <v>Convertidor Thunderbolt A Hdmi</v>
      </c>
      <c r="C4732" s="380" t="str">
        <f>IFERROR(__xludf.DUMMYFUNCTION("""COMPUTED_VALUE"""),"60000638")</f>
        <v>60000638</v>
      </c>
      <c r="D4732" s="380" t="s">
        <v>767</v>
      </c>
      <c r="E4732" s="380" t="s">
        <v>875</v>
      </c>
      <c r="F4732" s="380" t="s">
        <v>1278</v>
      </c>
      <c r="G4732" s="380" t="s">
        <v>1267</v>
      </c>
      <c r="H4732" s="380" t="s">
        <v>771</v>
      </c>
      <c r="I4732" s="380" t="s">
        <v>817</v>
      </c>
      <c r="J4732" s="380" t="s">
        <v>773</v>
      </c>
      <c r="K4732" s="381">
        <v>0.0</v>
      </c>
      <c r="L4732" s="382">
        <v>1.0</v>
      </c>
    </row>
    <row r="4733">
      <c r="A4733" s="380" t="s">
        <v>5604</v>
      </c>
      <c r="B4733" s="380" t="str">
        <f>IFERROR(__xludf.DUMMYFUNCTION("""COMPUTED_VALUE"""),"Convertidor Display Port A Vga")</f>
        <v>Convertidor Display Port A Vga</v>
      </c>
      <c r="C4733" s="380" t="str">
        <f>IFERROR(__xludf.DUMMYFUNCTION("""COMPUTED_VALUE"""),"60000639")</f>
        <v>60000639</v>
      </c>
      <c r="D4733" s="380" t="s">
        <v>767</v>
      </c>
      <c r="E4733" s="380" t="s">
        <v>875</v>
      </c>
      <c r="F4733" s="380" t="s">
        <v>1278</v>
      </c>
      <c r="G4733" s="380" t="s">
        <v>1267</v>
      </c>
      <c r="H4733" s="380" t="s">
        <v>771</v>
      </c>
      <c r="I4733" s="380" t="s">
        <v>817</v>
      </c>
      <c r="J4733" s="380" t="s">
        <v>773</v>
      </c>
      <c r="K4733" s="381">
        <v>0.0</v>
      </c>
      <c r="L4733" s="382">
        <v>1.0</v>
      </c>
    </row>
    <row r="4734">
      <c r="A4734" s="380" t="s">
        <v>5605</v>
      </c>
      <c r="B4734" s="380" t="str">
        <f>IFERROR(__xludf.DUMMYFUNCTION("""COMPUTED_VALUE"""),"Micro Sd 8Gb")</f>
        <v>Micro Sd 8Gb</v>
      </c>
      <c r="C4734" s="380" t="str">
        <f>IFERROR(__xludf.DUMMYFUNCTION("""COMPUTED_VALUE"""),"60000640")</f>
        <v>60000640</v>
      </c>
      <c r="D4734" s="380" t="s">
        <v>767</v>
      </c>
      <c r="E4734" s="380" t="s">
        <v>875</v>
      </c>
      <c r="F4734" s="380" t="s">
        <v>1278</v>
      </c>
      <c r="G4734" s="380" t="s">
        <v>1267</v>
      </c>
      <c r="H4734" s="380" t="s">
        <v>771</v>
      </c>
      <c r="I4734" s="380" t="s">
        <v>817</v>
      </c>
      <c r="J4734" s="380" t="s">
        <v>773</v>
      </c>
      <c r="K4734" s="381">
        <v>0.0</v>
      </c>
      <c r="L4734" s="382">
        <v>1.0</v>
      </c>
    </row>
    <row r="4735">
      <c r="A4735" s="380" t="s">
        <v>5606</v>
      </c>
      <c r="B4735" s="380" t="str">
        <f>IFERROR(__xludf.DUMMYFUNCTION("""COMPUTED_VALUE"""),"Cable Hdmi De 15Mts Kamyl")</f>
        <v>Cable Hdmi De 15Mts Kamyl</v>
      </c>
      <c r="C4735" s="380" t="str">
        <f>IFERROR(__xludf.DUMMYFUNCTION("""COMPUTED_VALUE"""),"60000641")</f>
        <v>60000641</v>
      </c>
      <c r="D4735" s="380" t="s">
        <v>767</v>
      </c>
      <c r="E4735" s="380" t="s">
        <v>875</v>
      </c>
      <c r="F4735" s="380" t="s">
        <v>1278</v>
      </c>
      <c r="G4735" s="380" t="s">
        <v>1267</v>
      </c>
      <c r="H4735" s="380" t="s">
        <v>771</v>
      </c>
      <c r="I4735" s="380" t="s">
        <v>817</v>
      </c>
      <c r="J4735" s="380" t="s">
        <v>773</v>
      </c>
      <c r="K4735" s="381">
        <v>0.0</v>
      </c>
      <c r="L4735" s="382">
        <v>1.0</v>
      </c>
    </row>
    <row r="4736">
      <c r="A4736" s="380" t="s">
        <v>5607</v>
      </c>
      <c r="B4736" s="380" t="str">
        <f>IFERROR(__xludf.DUMMYFUNCTION("""COMPUTED_VALUE"""),"Sop Mot M.Lavadora Fabri H30Mm 37Mm")</f>
        <v>Sop Mot M.Lavadora Fabri H30Mm 37Mm</v>
      </c>
      <c r="C4736" s="380" t="str">
        <f>IFERROR(__xludf.DUMMYFUNCTION("""COMPUTED_VALUE"""),"60000642")</f>
        <v>60000642</v>
      </c>
      <c r="D4736" s="380" t="s">
        <v>767</v>
      </c>
      <c r="E4736" s="380" t="s">
        <v>875</v>
      </c>
      <c r="F4736" s="380" t="s">
        <v>1278</v>
      </c>
      <c r="G4736" s="380" t="s">
        <v>1267</v>
      </c>
      <c r="H4736" s="380" t="s">
        <v>771</v>
      </c>
      <c r="I4736" s="380" t="s">
        <v>817</v>
      </c>
      <c r="J4736" s="380" t="s">
        <v>773</v>
      </c>
      <c r="K4736" s="381">
        <v>33320.0</v>
      </c>
      <c r="L4736" s="382">
        <v>1.0</v>
      </c>
    </row>
    <row r="4737">
      <c r="A4737" s="380" t="s">
        <v>5608</v>
      </c>
      <c r="B4737" s="380" t="str">
        <f>IFERROR(__xludf.DUMMYFUNCTION("""COMPUTED_VALUE"""),"Electronica Inclinacion M. Lav M08491")</f>
        <v>Electronica Inclinacion M. Lav M08491</v>
      </c>
      <c r="C4737" s="380" t="str">
        <f>IFERROR(__xludf.DUMMYFUNCTION("""COMPUTED_VALUE"""),"60000643")</f>
        <v>60000643</v>
      </c>
      <c r="D4737" s="380" t="s">
        <v>767</v>
      </c>
      <c r="E4737" s="380" t="s">
        <v>875</v>
      </c>
      <c r="F4737" s="380" t="s">
        <v>1278</v>
      </c>
      <c r="G4737" s="380" t="s">
        <v>1267</v>
      </c>
      <c r="H4737" s="380" t="s">
        <v>771</v>
      </c>
      <c r="I4737" s="380" t="s">
        <v>817</v>
      </c>
      <c r="J4737" s="380" t="s">
        <v>773</v>
      </c>
      <c r="K4737" s="381">
        <v>374701.0</v>
      </c>
      <c r="L4737" s="382">
        <v>1.0</v>
      </c>
    </row>
    <row r="4738">
      <c r="A4738" s="380" t="s">
        <v>5609</v>
      </c>
      <c r="B4738" s="380" t="str">
        <f>IFERROR(__xludf.DUMMYFUNCTION("""COMPUTED_VALUE"""),"Relay 12V Boma De Agua M. Lava M02182")</f>
        <v>Relay 12V Boma De Agua M. Lava M02182</v>
      </c>
      <c r="C4738" s="380" t="str">
        <f>IFERROR(__xludf.DUMMYFUNCTION("""COMPUTED_VALUE"""),"60000644")</f>
        <v>60000644</v>
      </c>
      <c r="D4738" s="380" t="s">
        <v>767</v>
      </c>
      <c r="E4738" s="380" t="s">
        <v>875</v>
      </c>
      <c r="F4738" s="380" t="s">
        <v>1278</v>
      </c>
      <c r="G4738" s="380" t="s">
        <v>1267</v>
      </c>
      <c r="H4738" s="380" t="s">
        <v>771</v>
      </c>
      <c r="I4738" s="380" t="s">
        <v>817</v>
      </c>
      <c r="J4738" s="380" t="s">
        <v>773</v>
      </c>
      <c r="K4738" s="381">
        <v>15825.0</v>
      </c>
      <c r="L4738" s="382">
        <v>1.0</v>
      </c>
    </row>
    <row r="4739">
      <c r="A4739" s="380" t="s">
        <v>5610</v>
      </c>
      <c r="B4739" s="380" t="str">
        <f>IFERROR(__xludf.DUMMYFUNCTION("""COMPUTED_VALUE"""),"Set De Fusibles M. Lavadora A225")</f>
        <v>Set De Fusibles M. Lavadora A225</v>
      </c>
      <c r="C4739" s="380" t="str">
        <f>IFERROR(__xludf.DUMMYFUNCTION("""COMPUTED_VALUE"""),"60000645")</f>
        <v>60000645</v>
      </c>
      <c r="D4739" s="380" t="s">
        <v>767</v>
      </c>
      <c r="E4739" s="380" t="s">
        <v>875</v>
      </c>
      <c r="F4739" s="380" t="s">
        <v>1278</v>
      </c>
      <c r="G4739" s="380" t="s">
        <v>1267</v>
      </c>
      <c r="H4739" s="380" t="s">
        <v>771</v>
      </c>
      <c r="I4739" s="380" t="s">
        <v>817</v>
      </c>
      <c r="J4739" s="380" t="s">
        <v>773</v>
      </c>
      <c r="K4739" s="381">
        <v>19781.0</v>
      </c>
      <c r="L4739" s="382">
        <v>1.0</v>
      </c>
    </row>
    <row r="4740">
      <c r="A4740" s="380" t="s">
        <v>5611</v>
      </c>
      <c r="B4740" s="380" t="str">
        <f>IFERROR(__xludf.DUMMYFUNCTION("""COMPUTED_VALUE"""),"Neumatico 8X2 Maquina Lavadora")</f>
        <v>Neumatico 8X2 Maquina Lavadora</v>
      </c>
      <c r="C4740" s="380" t="str">
        <f>IFERROR(__xludf.DUMMYFUNCTION("""COMPUTED_VALUE"""),"60000646")</f>
        <v>60000646</v>
      </c>
      <c r="D4740" s="380" t="s">
        <v>767</v>
      </c>
      <c r="E4740" s="380" t="s">
        <v>875</v>
      </c>
      <c r="F4740" s="380" t="s">
        <v>1278</v>
      </c>
      <c r="G4740" s="380" t="s">
        <v>1267</v>
      </c>
      <c r="H4740" s="380" t="s">
        <v>771</v>
      </c>
      <c r="I4740" s="380" t="s">
        <v>817</v>
      </c>
      <c r="J4740" s="380" t="s">
        <v>773</v>
      </c>
      <c r="K4740" s="381">
        <v>12497.0</v>
      </c>
      <c r="L4740" s="382">
        <v>1.0</v>
      </c>
    </row>
    <row r="4741">
      <c r="A4741" s="380" t="s">
        <v>5612</v>
      </c>
      <c r="B4741" s="380" t="str">
        <f>IFERROR(__xludf.DUMMYFUNCTION("""COMPUTED_VALUE"""),"Receptor Apertura Puerta Trail")</f>
        <v>Receptor Apertura Puerta Trail</v>
      </c>
      <c r="C4741" s="380" t="str">
        <f>IFERROR(__xludf.DUMMYFUNCTION("""COMPUTED_VALUE"""),"60000647")</f>
        <v>60000647</v>
      </c>
      <c r="D4741" s="380" t="s">
        <v>767</v>
      </c>
      <c r="E4741" s="380" t="s">
        <v>875</v>
      </c>
      <c r="F4741" s="380" t="s">
        <v>1278</v>
      </c>
      <c r="G4741" s="380" t="s">
        <v>1267</v>
      </c>
      <c r="H4741" s="380" t="s">
        <v>771</v>
      </c>
      <c r="I4741" s="380" t="s">
        <v>817</v>
      </c>
      <c r="J4741" s="380" t="s">
        <v>773</v>
      </c>
      <c r="K4741" s="381">
        <v>0.0</v>
      </c>
      <c r="L4741" s="382">
        <v>1.0</v>
      </c>
    </row>
    <row r="4742">
      <c r="A4742" s="380" t="s">
        <v>5613</v>
      </c>
      <c r="B4742" s="380" t="str">
        <f>IFERROR(__xludf.DUMMYFUNCTION("""COMPUTED_VALUE"""),"Control Remoto Apertu Pta Trai")</f>
        <v>Control Remoto Apertu Pta Trai</v>
      </c>
      <c r="C4742" s="380" t="str">
        <f>IFERROR(__xludf.DUMMYFUNCTION("""COMPUTED_VALUE"""),"60000648")</f>
        <v>60000648</v>
      </c>
      <c r="D4742" s="380" t="s">
        <v>767</v>
      </c>
      <c r="E4742" s="380" t="s">
        <v>875</v>
      </c>
      <c r="F4742" s="380" t="s">
        <v>1278</v>
      </c>
      <c r="G4742" s="380" t="s">
        <v>1267</v>
      </c>
      <c r="H4742" s="380" t="s">
        <v>771</v>
      </c>
      <c r="I4742" s="380" t="s">
        <v>817</v>
      </c>
      <c r="J4742" s="380" t="s">
        <v>773</v>
      </c>
      <c r="K4742" s="381">
        <v>150000.0</v>
      </c>
      <c r="L4742" s="382">
        <v>1.0</v>
      </c>
    </row>
    <row r="4743">
      <c r="A4743" s="380" t="s">
        <v>5614</v>
      </c>
      <c r="B4743" s="380" t="str">
        <f>IFERROR(__xludf.DUMMYFUNCTION("""COMPUTED_VALUE"""),"Desmonte Y Montaje De Llanta")</f>
        <v>Desmonte Y Montaje De Llanta</v>
      </c>
      <c r="C4743" s="380" t="str">
        <f>IFERROR(__xludf.DUMMYFUNCTION("""COMPUTED_VALUE"""),"60000649")</f>
        <v>60000649</v>
      </c>
      <c r="D4743" s="380" t="s">
        <v>767</v>
      </c>
      <c r="E4743" s="380" t="s">
        <v>875</v>
      </c>
      <c r="F4743" s="380" t="s">
        <v>5140</v>
      </c>
      <c r="G4743" s="380" t="s">
        <v>1267</v>
      </c>
      <c r="H4743" s="380" t="s">
        <v>771</v>
      </c>
      <c r="I4743" s="380" t="s">
        <v>5141</v>
      </c>
      <c r="J4743" s="380" t="s">
        <v>773</v>
      </c>
      <c r="K4743" s="381">
        <v>0.0</v>
      </c>
      <c r="L4743" s="382">
        <v>1.0</v>
      </c>
    </row>
    <row r="4744">
      <c r="A4744" s="380" t="s">
        <v>5615</v>
      </c>
      <c r="B4744" s="380" t="str">
        <f>IFERROR(__xludf.DUMMYFUNCTION("""COMPUTED_VALUE"""),"Neumatico Moto Suzuki 250*17")</f>
        <v>Neumatico Moto Suzuki 250*17</v>
      </c>
      <c r="C4744" s="380" t="str">
        <f>IFERROR(__xludf.DUMMYFUNCTION("""COMPUTED_VALUE"""),"60000650")</f>
        <v>60000650</v>
      </c>
      <c r="D4744" s="380" t="s">
        <v>767</v>
      </c>
      <c r="E4744" s="380" t="s">
        <v>875</v>
      </c>
      <c r="F4744" s="380" t="s">
        <v>985</v>
      </c>
      <c r="G4744" s="380" t="s">
        <v>1267</v>
      </c>
      <c r="H4744" s="380" t="s">
        <v>771</v>
      </c>
      <c r="I4744" s="380" t="s">
        <v>986</v>
      </c>
      <c r="J4744" s="380" t="s">
        <v>773</v>
      </c>
      <c r="K4744" s="381">
        <v>10520.0</v>
      </c>
      <c r="L4744" s="382">
        <v>1.0</v>
      </c>
    </row>
    <row r="4745">
      <c r="A4745" s="380" t="s">
        <v>5616</v>
      </c>
      <c r="B4745" s="380" t="str">
        <f>IFERROR(__xludf.DUMMYFUNCTION("""COMPUTED_VALUE"""),"Interruptor Encendido M. Lavad M04379")</f>
        <v>Interruptor Encendido M. Lavad M04379</v>
      </c>
      <c r="C4745" s="380" t="str">
        <f>IFERROR(__xludf.DUMMYFUNCTION("""COMPUTED_VALUE"""),"60000651")</f>
        <v>60000651</v>
      </c>
      <c r="D4745" s="380" t="s">
        <v>767</v>
      </c>
      <c r="E4745" s="380" t="s">
        <v>875</v>
      </c>
      <c r="F4745" s="380" t="s">
        <v>1278</v>
      </c>
      <c r="G4745" s="380" t="s">
        <v>1267</v>
      </c>
      <c r="H4745" s="380" t="s">
        <v>771</v>
      </c>
      <c r="I4745" s="380" t="s">
        <v>817</v>
      </c>
      <c r="J4745" s="380" t="s">
        <v>773</v>
      </c>
      <c r="K4745" s="381">
        <v>1096685.0</v>
      </c>
      <c r="L4745" s="382">
        <v>1.0</v>
      </c>
    </row>
    <row r="4746">
      <c r="A4746" s="380" t="s">
        <v>5617</v>
      </c>
      <c r="B4746" s="380" t="str">
        <f>IFERROR(__xludf.DUMMYFUNCTION("""COMPUTED_VALUE"""),"Guaya Acelerador M. Lavadora M03589")</f>
        <v>Guaya Acelerador M. Lavadora M03589</v>
      </c>
      <c r="C4746" s="380" t="str">
        <f>IFERROR(__xludf.DUMMYFUNCTION("""COMPUTED_VALUE"""),"60000652")</f>
        <v>60000652</v>
      </c>
      <c r="D4746" s="380" t="s">
        <v>767</v>
      </c>
      <c r="E4746" s="380" t="s">
        <v>875</v>
      </c>
      <c r="F4746" s="380" t="s">
        <v>1278</v>
      </c>
      <c r="G4746" s="380" t="s">
        <v>1267</v>
      </c>
      <c r="H4746" s="380" t="s">
        <v>771</v>
      </c>
      <c r="I4746" s="380" t="s">
        <v>817</v>
      </c>
      <c r="J4746" s="380" t="s">
        <v>773</v>
      </c>
      <c r="K4746" s="381">
        <v>26586.0</v>
      </c>
      <c r="L4746" s="382">
        <v>1.0</v>
      </c>
    </row>
    <row r="4747">
      <c r="A4747" s="380" t="s">
        <v>5618</v>
      </c>
      <c r="B4747" s="380" t="str">
        <f>IFERROR(__xludf.DUMMYFUNCTION("""COMPUTED_VALUE"""),"Guaya Para Computador")</f>
        <v>Guaya Para Computador</v>
      </c>
      <c r="C4747" s="380" t="str">
        <f>IFERROR(__xludf.DUMMYFUNCTION("""COMPUTED_VALUE"""),"60000653")</f>
        <v>60000653</v>
      </c>
      <c r="D4747" s="380" t="s">
        <v>767</v>
      </c>
      <c r="E4747" s="380" t="s">
        <v>875</v>
      </c>
      <c r="F4747" s="380" t="s">
        <v>1278</v>
      </c>
      <c r="G4747" s="380" t="s">
        <v>1267</v>
      </c>
      <c r="H4747" s="380" t="s">
        <v>771</v>
      </c>
      <c r="I4747" s="380" t="s">
        <v>817</v>
      </c>
      <c r="J4747" s="380" t="s">
        <v>773</v>
      </c>
      <c r="K4747" s="381">
        <v>0.0</v>
      </c>
      <c r="L4747" s="382">
        <v>1.0</v>
      </c>
    </row>
    <row r="4748">
      <c r="A4748" s="380" t="s">
        <v>5619</v>
      </c>
      <c r="B4748" s="380" t="str">
        <f>IFERROR(__xludf.DUMMYFUNCTION("""COMPUTED_VALUE"""),"Tensor Correa A/C Isx 3690067")</f>
        <v>Tensor Correa A/C Isx 3690067</v>
      </c>
      <c r="C4748" s="380" t="str">
        <f>IFERROR(__xludf.DUMMYFUNCTION("""COMPUTED_VALUE"""),"70000130")</f>
        <v>70000130</v>
      </c>
      <c r="D4748" s="380" t="s">
        <v>767</v>
      </c>
      <c r="E4748" s="380" t="s">
        <v>786</v>
      </c>
      <c r="F4748" s="380" t="s">
        <v>1031</v>
      </c>
      <c r="G4748" s="380" t="s">
        <v>1267</v>
      </c>
      <c r="H4748" s="380" t="s">
        <v>771</v>
      </c>
      <c r="I4748" s="380" t="s">
        <v>788</v>
      </c>
      <c r="J4748" s="380" t="s">
        <v>773</v>
      </c>
      <c r="K4748" s="381">
        <v>0.0</v>
      </c>
      <c r="L4748" s="382">
        <v>1.0</v>
      </c>
    </row>
    <row r="4749">
      <c r="A4749" s="380" t="s">
        <v>5620</v>
      </c>
      <c r="B4749" s="380" t="str">
        <f>IFERROR(__xludf.DUMMYFUNCTION("""COMPUTED_VALUE"""),"Paral Izq Parabrisas Eagle Isx 3512443C1")</f>
        <v>Paral Izq Parabrisas Eagle Isx 3512443C1</v>
      </c>
      <c r="C4749" s="380" t="str">
        <f>IFERROR(__xludf.DUMMYFUNCTION("""COMPUTED_VALUE"""),"70000131")</f>
        <v>70000131</v>
      </c>
      <c r="D4749" s="380" t="s">
        <v>767</v>
      </c>
      <c r="E4749" s="380" t="s">
        <v>786</v>
      </c>
      <c r="F4749" s="380" t="s">
        <v>792</v>
      </c>
      <c r="G4749" s="380" t="s">
        <v>1267</v>
      </c>
      <c r="H4749" s="380" t="s">
        <v>771</v>
      </c>
      <c r="I4749" s="380" t="s">
        <v>788</v>
      </c>
      <c r="J4749" s="380" t="s">
        <v>773</v>
      </c>
      <c r="K4749" s="381">
        <v>0.0</v>
      </c>
      <c r="L4749" s="382">
        <v>1.0</v>
      </c>
    </row>
    <row r="4750">
      <c r="A4750" s="380" t="s">
        <v>5621</v>
      </c>
      <c r="B4750" s="380" t="str">
        <f>IFERROR(__xludf.DUMMYFUNCTION("""COMPUTED_VALUE"""),"Bastidor Susp Tras Isx H50501019")</f>
        <v>Bastidor Susp Tras Isx H50501019</v>
      </c>
      <c r="C4750" s="380" t="str">
        <f>IFERROR(__xludf.DUMMYFUNCTION("""COMPUTED_VALUE"""),"70000132")</f>
        <v>70000132</v>
      </c>
      <c r="D4750" s="380" t="s">
        <v>767</v>
      </c>
      <c r="E4750" s="380" t="s">
        <v>786</v>
      </c>
      <c r="F4750" s="380" t="s">
        <v>1039</v>
      </c>
      <c r="G4750" s="380" t="s">
        <v>1267</v>
      </c>
      <c r="H4750" s="380" t="s">
        <v>771</v>
      </c>
      <c r="I4750" s="380" t="s">
        <v>788</v>
      </c>
      <c r="J4750" s="380" t="s">
        <v>773</v>
      </c>
      <c r="K4750" s="381">
        <v>0.0</v>
      </c>
      <c r="L4750" s="382">
        <v>1.0</v>
      </c>
    </row>
    <row r="4751">
      <c r="A4751" s="380" t="s">
        <v>5622</v>
      </c>
      <c r="B4751" s="380" t="str">
        <f>IFERROR(__xludf.DUMMYFUNCTION("""COMPUTED_VALUE"""),"Codo Tubo Mofle Isx Eagle 9400 3539838C2")</f>
        <v>Codo Tubo Mofle Isx Eagle 9400 3539838C2</v>
      </c>
      <c r="C4751" s="380" t="str">
        <f>IFERROR(__xludf.DUMMYFUNCTION("""COMPUTED_VALUE"""),"70000133")</f>
        <v>70000133</v>
      </c>
      <c r="D4751" s="380" t="s">
        <v>767</v>
      </c>
      <c r="E4751" s="380" t="s">
        <v>786</v>
      </c>
      <c r="F4751" s="380" t="s">
        <v>792</v>
      </c>
      <c r="G4751" s="380" t="s">
        <v>1267</v>
      </c>
      <c r="H4751" s="380" t="s">
        <v>771</v>
      </c>
      <c r="I4751" s="380" t="s">
        <v>788</v>
      </c>
      <c r="J4751" s="380" t="s">
        <v>773</v>
      </c>
      <c r="K4751" s="381">
        <v>0.0</v>
      </c>
      <c r="L4751" s="382">
        <v>1.0</v>
      </c>
    </row>
    <row r="4752">
      <c r="A4752" s="380" t="s">
        <v>5623</v>
      </c>
      <c r="B4752" s="380" t="str">
        <f>IFERROR(__xludf.DUMMYFUNCTION("""COMPUTED_VALUE"""),"Espaciador Volante Motor Isx 4026528")</f>
        <v>Espaciador Volante Motor Isx 4026528</v>
      </c>
      <c r="C4752" s="380" t="str">
        <f>IFERROR(__xludf.DUMMYFUNCTION("""COMPUTED_VALUE"""),"70000134")</f>
        <v>70000134</v>
      </c>
      <c r="D4752" s="380" t="s">
        <v>767</v>
      </c>
      <c r="E4752" s="380" t="s">
        <v>786</v>
      </c>
      <c r="F4752" s="380" t="s">
        <v>787</v>
      </c>
      <c r="G4752" s="380" t="s">
        <v>1267</v>
      </c>
      <c r="H4752" s="380" t="s">
        <v>771</v>
      </c>
      <c r="I4752" s="380" t="s">
        <v>788</v>
      </c>
      <c r="J4752" s="380" t="s">
        <v>773</v>
      </c>
      <c r="K4752" s="381">
        <v>0.0</v>
      </c>
      <c r="L4752" s="382">
        <v>1.0</v>
      </c>
    </row>
    <row r="4753">
      <c r="A4753" s="380" t="s">
        <v>5624</v>
      </c>
      <c r="B4753" s="380" t="str">
        <f>IFERROR(__xludf.DUMMYFUNCTION("""COMPUTED_VALUE"""),"Disyuntor Luces 5 Patas 24v 4RD9333320")</f>
        <v>Disyuntor Luces 5 Patas 24v 4RD9333320</v>
      </c>
      <c r="C4753" s="380" t="str">
        <f>IFERROR(__xludf.DUMMYFUNCTION("""COMPUTED_VALUE"""),"70000135")</f>
        <v>70000135</v>
      </c>
      <c r="D4753" s="380" t="s">
        <v>767</v>
      </c>
      <c r="E4753" s="380" t="s">
        <v>786</v>
      </c>
      <c r="F4753" s="380" t="s">
        <v>998</v>
      </c>
      <c r="G4753" s="380" t="s">
        <v>1267</v>
      </c>
      <c r="H4753" s="380" t="s">
        <v>771</v>
      </c>
      <c r="I4753" s="380" t="s">
        <v>788</v>
      </c>
      <c r="J4753" s="380" t="s">
        <v>773</v>
      </c>
      <c r="K4753" s="381">
        <v>15886.0</v>
      </c>
      <c r="L4753" s="382">
        <v>1.0</v>
      </c>
    </row>
    <row r="4754">
      <c r="A4754" s="380" t="s">
        <v>5625</v>
      </c>
      <c r="B4754" s="380" t="str">
        <f>IFERROR(__xludf.DUMMYFUNCTION("""COMPUTED_VALUE"""),"Manguera Superior Radiador N200 24536054")</f>
        <v>Manguera Superior Radiador N200 24536054</v>
      </c>
      <c r="C4754" s="380" t="str">
        <f>IFERROR(__xludf.DUMMYFUNCTION("""COMPUTED_VALUE"""),"70000136")</f>
        <v>70000136</v>
      </c>
      <c r="D4754" s="380" t="s">
        <v>767</v>
      </c>
      <c r="E4754" s="380" t="s">
        <v>786</v>
      </c>
      <c r="F4754" s="380" t="s">
        <v>787</v>
      </c>
      <c r="G4754" s="380" t="s">
        <v>1267</v>
      </c>
      <c r="H4754" s="380" t="s">
        <v>771</v>
      </c>
      <c r="I4754" s="380" t="s">
        <v>788</v>
      </c>
      <c r="J4754" s="380" t="s">
        <v>773</v>
      </c>
      <c r="K4754" s="381">
        <v>0.0</v>
      </c>
      <c r="L4754" s="382">
        <v>1.0</v>
      </c>
    </row>
    <row r="4755">
      <c r="A4755" s="380" t="s">
        <v>5626</v>
      </c>
      <c r="B4755" s="380" t="str">
        <f>IFERROR(__xludf.DUMMYFUNCTION("""COMPUTED_VALUE"""),"Pasador Central Nkr III Fabricado")</f>
        <v>Pasador Central Nkr III Fabricado</v>
      </c>
      <c r="C4755" s="380" t="str">
        <f>IFERROR(__xludf.DUMMYFUNCTION("""COMPUTED_VALUE"""),"70000137")</f>
        <v>70000137</v>
      </c>
      <c r="D4755" s="380" t="s">
        <v>767</v>
      </c>
      <c r="E4755" s="380" t="s">
        <v>786</v>
      </c>
      <c r="F4755" s="380" t="s">
        <v>1039</v>
      </c>
      <c r="G4755" s="380" t="s">
        <v>1267</v>
      </c>
      <c r="H4755" s="380" t="s">
        <v>771</v>
      </c>
      <c r="I4755" s="380" t="s">
        <v>788</v>
      </c>
      <c r="J4755" s="380" t="s">
        <v>773</v>
      </c>
      <c r="K4755" s="381">
        <v>0.0</v>
      </c>
      <c r="L4755" s="382">
        <v>1.0</v>
      </c>
    </row>
    <row r="4756">
      <c r="A4756" s="380" t="s">
        <v>5627</v>
      </c>
      <c r="B4756" s="380" t="str">
        <f>IFERROR(__xludf.DUMMYFUNCTION("""COMPUTED_VALUE"""),"Cuña Muelle Delantero Eagle Isx 692453R1")</f>
        <v>Cuña Muelle Delantero Eagle Isx 692453R1</v>
      </c>
      <c r="C4756" s="380" t="str">
        <f>IFERROR(__xludf.DUMMYFUNCTION("""COMPUTED_VALUE"""),"70000138")</f>
        <v>70000138</v>
      </c>
      <c r="D4756" s="380" t="s">
        <v>767</v>
      </c>
      <c r="E4756" s="380" t="s">
        <v>786</v>
      </c>
      <c r="F4756" s="380" t="s">
        <v>1039</v>
      </c>
      <c r="G4756" s="380" t="s">
        <v>1267</v>
      </c>
      <c r="H4756" s="380" t="s">
        <v>771</v>
      </c>
      <c r="I4756" s="380" t="s">
        <v>788</v>
      </c>
      <c r="J4756" s="380" t="s">
        <v>773</v>
      </c>
      <c r="K4756" s="381">
        <v>142800.0</v>
      </c>
      <c r="L4756" s="382">
        <v>1.0</v>
      </c>
    </row>
    <row r="4757">
      <c r="A4757" s="380" t="s">
        <v>5628</v>
      </c>
      <c r="B4757" s="380" t="str">
        <f>IFERROR(__xludf.DUMMYFUNCTION("""COMPUTED_VALUE"""),"Arandela Conica Inyector Nkr 900027")</f>
        <v>Arandela Conica Inyector Nkr 900027</v>
      </c>
      <c r="C4757" s="380" t="str">
        <f>IFERROR(__xludf.DUMMYFUNCTION("""COMPUTED_VALUE"""),"70000139")</f>
        <v>70000139</v>
      </c>
      <c r="D4757" s="380" t="s">
        <v>767</v>
      </c>
      <c r="E4757" s="380" t="s">
        <v>786</v>
      </c>
      <c r="F4757" s="380" t="s">
        <v>787</v>
      </c>
      <c r="G4757" s="380" t="s">
        <v>1267</v>
      </c>
      <c r="H4757" s="380" t="s">
        <v>771</v>
      </c>
      <c r="I4757" s="380" t="s">
        <v>788</v>
      </c>
      <c r="J4757" s="380" t="s">
        <v>773</v>
      </c>
      <c r="K4757" s="381">
        <v>12080.0</v>
      </c>
      <c r="L4757" s="382">
        <v>1.0</v>
      </c>
    </row>
    <row r="4758">
      <c r="A4758" s="380" t="s">
        <v>5629</v>
      </c>
      <c r="B4758" s="380" t="str">
        <f>IFERROR(__xludf.DUMMYFUNCTION("""COMPUTED_VALUE"""),"Amortiguador Silla Eag SK582-2 507831C91")</f>
        <v>Amortiguador Silla Eag SK582-2 507831C91</v>
      </c>
      <c r="C4758" s="380" t="str">
        <f>IFERROR(__xludf.DUMMYFUNCTION("""COMPUTED_VALUE"""),"70000140")</f>
        <v>70000140</v>
      </c>
      <c r="D4758" s="380" t="s">
        <v>767</v>
      </c>
      <c r="E4758" s="380" t="s">
        <v>786</v>
      </c>
      <c r="F4758" s="380" t="s">
        <v>792</v>
      </c>
      <c r="G4758" s="380" t="s">
        <v>1267</v>
      </c>
      <c r="H4758" s="380" t="s">
        <v>771</v>
      </c>
      <c r="I4758" s="380" t="s">
        <v>788</v>
      </c>
      <c r="J4758" s="380" t="s">
        <v>773</v>
      </c>
      <c r="K4758" s="381">
        <v>0.0</v>
      </c>
      <c r="L4758" s="382">
        <v>1.0</v>
      </c>
    </row>
    <row r="4759">
      <c r="A4759" s="380" t="s">
        <v>5630</v>
      </c>
      <c r="B4759" s="380" t="str">
        <f>IFERROR(__xludf.DUMMYFUNCTION("""COMPUTED_VALUE"""),"Termostato Motor Nkr RW 980170271")</f>
        <v>Termostato Motor Nkr RW 980170271</v>
      </c>
      <c r="C4759" s="380" t="str">
        <f>IFERROR(__xludf.DUMMYFUNCTION("""COMPUTED_VALUE"""),"70000141")</f>
        <v>70000141</v>
      </c>
      <c r="D4759" s="380" t="s">
        <v>767</v>
      </c>
      <c r="E4759" s="380" t="s">
        <v>786</v>
      </c>
      <c r="F4759" s="380" t="s">
        <v>787</v>
      </c>
      <c r="G4759" s="380" t="s">
        <v>1267</v>
      </c>
      <c r="H4759" s="380" t="s">
        <v>771</v>
      </c>
      <c r="I4759" s="380" t="s">
        <v>788</v>
      </c>
      <c r="J4759" s="380" t="s">
        <v>773</v>
      </c>
      <c r="K4759" s="381">
        <v>0.0</v>
      </c>
      <c r="L4759" s="382">
        <v>1.0</v>
      </c>
    </row>
    <row r="4760">
      <c r="A4760" s="380" t="s">
        <v>5631</v>
      </c>
      <c r="B4760" s="380" t="str">
        <f>IFERROR(__xludf.DUMMYFUNCTION("""COMPUTED_VALUE"""),"Plato Freno Parqueo Nkr-RW 8980299220")</f>
        <v>Plato Freno Parqueo Nkr-RW 8980299220</v>
      </c>
      <c r="C4760" s="380" t="str">
        <f>IFERROR(__xludf.DUMMYFUNCTION("""COMPUTED_VALUE"""),"70000142")</f>
        <v>70000142</v>
      </c>
      <c r="D4760" s="380" t="s">
        <v>767</v>
      </c>
      <c r="E4760" s="380" t="s">
        <v>786</v>
      </c>
      <c r="F4760" s="380" t="s">
        <v>1017</v>
      </c>
      <c r="G4760" s="380" t="s">
        <v>1267</v>
      </c>
      <c r="H4760" s="380" t="s">
        <v>771</v>
      </c>
      <c r="I4760" s="380" t="s">
        <v>788</v>
      </c>
      <c r="J4760" s="380" t="s">
        <v>773</v>
      </c>
      <c r="K4760" s="381">
        <v>0.0</v>
      </c>
      <c r="L4760" s="382">
        <v>1.0</v>
      </c>
    </row>
    <row r="4761">
      <c r="A4761" s="380" t="s">
        <v>5632</v>
      </c>
      <c r="B4761" s="380" t="str">
        <f>IFERROR(__xludf.DUMMYFUNCTION("""COMPUTED_VALUE"""),"Porta Leva Freno Del Izq Eag E813299P62")</f>
        <v>Porta Leva Freno Del Izq Eag E813299P62</v>
      </c>
      <c r="C4761" s="380" t="str">
        <f>IFERROR(__xludf.DUMMYFUNCTION("""COMPUTED_VALUE"""),"70000143")</f>
        <v>70000143</v>
      </c>
      <c r="D4761" s="380" t="s">
        <v>767</v>
      </c>
      <c r="E4761" s="380" t="s">
        <v>786</v>
      </c>
      <c r="F4761" s="380" t="s">
        <v>1017</v>
      </c>
      <c r="G4761" s="380" t="s">
        <v>1267</v>
      </c>
      <c r="H4761" s="380" t="s">
        <v>771</v>
      </c>
      <c r="I4761" s="380" t="s">
        <v>788</v>
      </c>
      <c r="J4761" s="380" t="s">
        <v>773</v>
      </c>
      <c r="K4761" s="381">
        <v>0.0</v>
      </c>
      <c r="L4761" s="382">
        <v>1.0</v>
      </c>
    </row>
    <row r="4762">
      <c r="A4762" s="380" t="s">
        <v>5633</v>
      </c>
      <c r="B4762" s="380" t="str">
        <f>IFERROR(__xludf.DUMMYFUNCTION("""COMPUTED_VALUE"""),"Porta Leva Freno Del Der Eag A993299A67")</f>
        <v>Porta Leva Freno Del Der Eag A993299A67</v>
      </c>
      <c r="C4762" s="380" t="str">
        <f>IFERROR(__xludf.DUMMYFUNCTION("""COMPUTED_VALUE"""),"70000144")</f>
        <v>70000144</v>
      </c>
      <c r="D4762" s="380" t="s">
        <v>767</v>
      </c>
      <c r="E4762" s="380" t="s">
        <v>786</v>
      </c>
      <c r="F4762" s="380" t="s">
        <v>1017</v>
      </c>
      <c r="G4762" s="380" t="s">
        <v>1267</v>
      </c>
      <c r="H4762" s="380" t="s">
        <v>771</v>
      </c>
      <c r="I4762" s="380" t="s">
        <v>788</v>
      </c>
      <c r="J4762" s="380" t="s">
        <v>773</v>
      </c>
      <c r="K4762" s="381">
        <v>0.0</v>
      </c>
      <c r="L4762" s="382">
        <v>1.0</v>
      </c>
    </row>
    <row r="4763">
      <c r="A4763" s="380" t="s">
        <v>5634</v>
      </c>
      <c r="B4763" s="380" t="str">
        <f>IFERROR(__xludf.DUMMYFUNCTION("""COMPUTED_VALUE"""),"Abrazadera Rejilla Mofle Eagle 3566595C1")</f>
        <v>Abrazadera Rejilla Mofle Eagle 3566595C1</v>
      </c>
      <c r="C4763" s="380" t="str">
        <f>IFERROR(__xludf.DUMMYFUNCTION("""COMPUTED_VALUE"""),"70000145")</f>
        <v>70000145</v>
      </c>
      <c r="D4763" s="380" t="s">
        <v>767</v>
      </c>
      <c r="E4763" s="380" t="s">
        <v>786</v>
      </c>
      <c r="F4763" s="380" t="s">
        <v>792</v>
      </c>
      <c r="G4763" s="380" t="s">
        <v>1267</v>
      </c>
      <c r="H4763" s="380" t="s">
        <v>771</v>
      </c>
      <c r="I4763" s="380" t="s">
        <v>788</v>
      </c>
      <c r="J4763" s="380" t="s">
        <v>773</v>
      </c>
      <c r="K4763" s="381">
        <v>77598.0</v>
      </c>
      <c r="L4763" s="382">
        <v>1.0</v>
      </c>
    </row>
    <row r="4764">
      <c r="A4764" s="380" t="s">
        <v>5635</v>
      </c>
      <c r="B4764" s="380" t="str">
        <f>IFERROR(__xludf.DUMMYFUNCTION("""COMPUTED_VALUE"""),"Manguera Evaporador A/C Eagle 3592145C92")</f>
        <v>Manguera Evaporador A/C Eagle 3592145C92</v>
      </c>
      <c r="C4764" s="380" t="str">
        <f>IFERROR(__xludf.DUMMYFUNCTION("""COMPUTED_VALUE"""),"70000146")</f>
        <v>70000146</v>
      </c>
      <c r="D4764" s="380" t="s">
        <v>767</v>
      </c>
      <c r="E4764" s="380" t="s">
        <v>786</v>
      </c>
      <c r="F4764" s="380" t="s">
        <v>1031</v>
      </c>
      <c r="G4764" s="380" t="s">
        <v>1267</v>
      </c>
      <c r="H4764" s="380" t="s">
        <v>771</v>
      </c>
      <c r="I4764" s="380" t="s">
        <v>788</v>
      </c>
      <c r="J4764" s="380" t="s">
        <v>773</v>
      </c>
      <c r="K4764" s="381">
        <v>0.0</v>
      </c>
      <c r="L4764" s="382">
        <v>1.0</v>
      </c>
    </row>
    <row r="4765">
      <c r="A4765" s="380" t="s">
        <v>5636</v>
      </c>
      <c r="B4765" s="380" t="str">
        <f>IFERROR(__xludf.DUMMYFUNCTION("""COMPUTED_VALUE"""),"Switch Actuador A/C 2503207C1")</f>
        <v>Switch Actuador A/C 2503207C1</v>
      </c>
      <c r="C4765" s="380" t="str">
        <f>IFERROR(__xludf.DUMMYFUNCTION("""COMPUTED_VALUE"""),"70000147")</f>
        <v>70000147</v>
      </c>
      <c r="D4765" s="380" t="s">
        <v>767</v>
      </c>
      <c r="E4765" s="380" t="s">
        <v>786</v>
      </c>
      <c r="F4765" s="380" t="s">
        <v>1031</v>
      </c>
      <c r="G4765" s="380" t="s">
        <v>1267</v>
      </c>
      <c r="H4765" s="380" t="s">
        <v>771</v>
      </c>
      <c r="I4765" s="380" t="s">
        <v>788</v>
      </c>
      <c r="J4765" s="380" t="s">
        <v>773</v>
      </c>
      <c r="K4765" s="381">
        <v>0.0</v>
      </c>
      <c r="L4765" s="382">
        <v>1.0</v>
      </c>
    </row>
    <row r="4766">
      <c r="A4766" s="380" t="s">
        <v>5637</v>
      </c>
      <c r="B4766" s="380" t="str">
        <f>IFERROR(__xludf.DUMMYFUNCTION("""COMPUTED_VALUE"""),"Motor Calefaccion Eagle 1699949C1")</f>
        <v>Motor Calefaccion Eagle 1699949C1</v>
      </c>
      <c r="C4766" s="380" t="str">
        <f>IFERROR(__xludf.DUMMYFUNCTION("""COMPUTED_VALUE"""),"70000148")</f>
        <v>70000148</v>
      </c>
      <c r="D4766" s="380" t="s">
        <v>767</v>
      </c>
      <c r="E4766" s="380" t="s">
        <v>786</v>
      </c>
      <c r="F4766" s="380" t="s">
        <v>1031</v>
      </c>
      <c r="G4766" s="380" t="s">
        <v>1267</v>
      </c>
      <c r="H4766" s="380" t="s">
        <v>771</v>
      </c>
      <c r="I4766" s="380" t="s">
        <v>788</v>
      </c>
      <c r="J4766" s="380" t="s">
        <v>773</v>
      </c>
      <c r="K4766" s="381">
        <v>624906.0</v>
      </c>
      <c r="L4766" s="382">
        <v>1.0</v>
      </c>
    </row>
    <row r="4767">
      <c r="A4767" s="380" t="s">
        <v>5638</v>
      </c>
      <c r="B4767" s="380" t="str">
        <f>IFERROR(__xludf.DUMMYFUNCTION("""COMPUTED_VALUE"""),"Sensor Cabin Alta Pres A/C Eagl1676787C1")</f>
        <v>Sensor Cabin Alta Pres A/C Eagl1676787C1</v>
      </c>
      <c r="C4767" s="380" t="str">
        <f>IFERROR(__xludf.DUMMYFUNCTION("""COMPUTED_VALUE"""),"70000149")</f>
        <v>70000149</v>
      </c>
      <c r="D4767" s="380" t="s">
        <v>767</v>
      </c>
      <c r="E4767" s="380" t="s">
        <v>786</v>
      </c>
      <c r="F4767" s="380" t="s">
        <v>1031</v>
      </c>
      <c r="G4767" s="380" t="s">
        <v>1267</v>
      </c>
      <c r="H4767" s="380" t="s">
        <v>771</v>
      </c>
      <c r="I4767" s="380" t="s">
        <v>788</v>
      </c>
      <c r="J4767" s="380" t="s">
        <v>773</v>
      </c>
      <c r="K4767" s="381">
        <v>0.0</v>
      </c>
      <c r="L4767" s="382">
        <v>1.0</v>
      </c>
    </row>
    <row r="4768">
      <c r="A4768" s="380" t="s">
        <v>5639</v>
      </c>
      <c r="B4768" s="380" t="str">
        <f>IFERROR(__xludf.DUMMYFUNCTION("""COMPUTED_VALUE"""),"Emblema International 2007339C1")</f>
        <v>Emblema International 2007339C1</v>
      </c>
      <c r="C4768" s="380" t="str">
        <f>IFERROR(__xludf.DUMMYFUNCTION("""COMPUTED_VALUE"""),"70000150")</f>
        <v>70000150</v>
      </c>
      <c r="D4768" s="380" t="s">
        <v>767</v>
      </c>
      <c r="E4768" s="380" t="s">
        <v>786</v>
      </c>
      <c r="F4768" s="380" t="s">
        <v>1031</v>
      </c>
      <c r="G4768" s="380" t="s">
        <v>1267</v>
      </c>
      <c r="H4768" s="380" t="s">
        <v>771</v>
      </c>
      <c r="I4768" s="380" t="s">
        <v>788</v>
      </c>
      <c r="J4768" s="380" t="s">
        <v>773</v>
      </c>
      <c r="K4768" s="381">
        <v>0.0</v>
      </c>
      <c r="L4768" s="382">
        <v>1.0</v>
      </c>
    </row>
    <row r="4769">
      <c r="A4769" s="380" t="s">
        <v>5640</v>
      </c>
      <c r="B4769" s="380" t="str">
        <f>IFERROR(__xludf.DUMMYFUNCTION("""COMPUTED_VALUE"""),"Rejilla Evaporadora A/C Eagle 2501251C1")</f>
        <v>Rejilla Evaporadora A/C Eagle 2501251C1</v>
      </c>
      <c r="C4769" s="380" t="str">
        <f>IFERROR(__xludf.DUMMYFUNCTION("""COMPUTED_VALUE"""),"70000151")</f>
        <v>70000151</v>
      </c>
      <c r="D4769" s="380" t="s">
        <v>767</v>
      </c>
      <c r="E4769" s="380" t="s">
        <v>786</v>
      </c>
      <c r="F4769" s="380" t="s">
        <v>1031</v>
      </c>
      <c r="G4769" s="380" t="s">
        <v>1267</v>
      </c>
      <c r="H4769" s="380" t="s">
        <v>771</v>
      </c>
      <c r="I4769" s="380" t="s">
        <v>788</v>
      </c>
      <c r="J4769" s="380" t="s">
        <v>773</v>
      </c>
      <c r="K4769" s="381">
        <v>0.0</v>
      </c>
      <c r="L4769" s="382">
        <v>1.0</v>
      </c>
    </row>
    <row r="4770">
      <c r="A4770" s="380" t="s">
        <v>5641</v>
      </c>
      <c r="B4770" s="380" t="str">
        <f>IFERROR(__xludf.DUMMYFUNCTION("""COMPUTED_VALUE"""),"Panel Calefaccion A/C Eagle ZGG710082")</f>
        <v>Panel Calefaccion A/C Eagle ZGG710082</v>
      </c>
      <c r="C4770" s="380" t="str">
        <f>IFERROR(__xludf.DUMMYFUNCTION("""COMPUTED_VALUE"""),"70000152")</f>
        <v>70000152</v>
      </c>
      <c r="D4770" s="380" t="s">
        <v>767</v>
      </c>
      <c r="E4770" s="380" t="s">
        <v>786</v>
      </c>
      <c r="F4770" s="380" t="s">
        <v>1031</v>
      </c>
      <c r="G4770" s="380" t="s">
        <v>1267</v>
      </c>
      <c r="H4770" s="380" t="s">
        <v>771</v>
      </c>
      <c r="I4770" s="380" t="s">
        <v>788</v>
      </c>
      <c r="J4770" s="380" t="s">
        <v>773</v>
      </c>
      <c r="K4770" s="381">
        <v>446429.0</v>
      </c>
      <c r="L4770" s="382">
        <v>1.0</v>
      </c>
    </row>
    <row r="4771">
      <c r="A4771" s="380" t="s">
        <v>5642</v>
      </c>
      <c r="B4771" s="380" t="str">
        <f>IFERROR(__xludf.DUMMYFUNCTION("""COMPUTED_VALUE"""),"Valvula Expansión A/C KW22352")</f>
        <v>Valvula Expansión A/C KW22352</v>
      </c>
      <c r="C4771" s="380" t="str">
        <f>IFERROR(__xludf.DUMMYFUNCTION("""COMPUTED_VALUE"""),"70000153")</f>
        <v>70000153</v>
      </c>
      <c r="D4771" s="380" t="s">
        <v>767</v>
      </c>
      <c r="E4771" s="380" t="s">
        <v>786</v>
      </c>
      <c r="F4771" s="380" t="s">
        <v>1031</v>
      </c>
      <c r="G4771" s="380" t="s">
        <v>1267</v>
      </c>
      <c r="H4771" s="380" t="s">
        <v>771</v>
      </c>
      <c r="I4771" s="380" t="s">
        <v>788</v>
      </c>
      <c r="J4771" s="380" t="s">
        <v>773</v>
      </c>
      <c r="K4771" s="381">
        <v>178500.0</v>
      </c>
      <c r="L4771" s="382">
        <v>1.0</v>
      </c>
    </row>
    <row r="4772">
      <c r="A4772" s="380" t="s">
        <v>5643</v>
      </c>
      <c r="B4772" s="380" t="str">
        <f>IFERROR(__xludf.DUMMYFUNCTION("""COMPUTED_VALUE"""),"Manija Elevavidrio MEV-073 Hi 1649776")</f>
        <v>Manija Elevavidrio MEV-073 Hi 1649776</v>
      </c>
      <c r="C4772" s="380" t="str">
        <f>IFERROR(__xludf.DUMMYFUNCTION("""COMPUTED_VALUE"""),"70000154")</f>
        <v>70000154</v>
      </c>
      <c r="D4772" s="380" t="s">
        <v>767</v>
      </c>
      <c r="E4772" s="380" t="s">
        <v>786</v>
      </c>
      <c r="F4772" s="380" t="s">
        <v>792</v>
      </c>
      <c r="G4772" s="380" t="s">
        <v>1267</v>
      </c>
      <c r="H4772" s="380" t="s">
        <v>771</v>
      </c>
      <c r="I4772" s="380" t="s">
        <v>788</v>
      </c>
      <c r="J4772" s="380" t="s">
        <v>773</v>
      </c>
      <c r="K4772" s="381">
        <v>0.0</v>
      </c>
      <c r="L4772" s="382">
        <v>1.0</v>
      </c>
    </row>
    <row r="4773">
      <c r="A4773" s="380" t="s">
        <v>5644</v>
      </c>
      <c r="B4773" s="380" t="str">
        <f>IFERROR(__xludf.DUMMYFUNCTION("""COMPUTED_VALUE"""),"Compresor Aire Acond KWF696003122")</f>
        <v>Compresor Aire Acond KWF696003122</v>
      </c>
      <c r="C4773" s="380" t="str">
        <f>IFERROR(__xludf.DUMMYFUNCTION("""COMPUTED_VALUE"""),"70000155")</f>
        <v>70000155</v>
      </c>
      <c r="D4773" s="380" t="s">
        <v>767</v>
      </c>
      <c r="E4773" s="380" t="s">
        <v>786</v>
      </c>
      <c r="F4773" s="380" t="s">
        <v>1031</v>
      </c>
      <c r="G4773" s="380" t="s">
        <v>1267</v>
      </c>
      <c r="H4773" s="380" t="s">
        <v>771</v>
      </c>
      <c r="I4773" s="380" t="s">
        <v>788</v>
      </c>
      <c r="J4773" s="380" t="s">
        <v>773</v>
      </c>
      <c r="K4773" s="381">
        <v>0.0</v>
      </c>
      <c r="L4773" s="382">
        <v>1.0</v>
      </c>
    </row>
    <row r="4774">
      <c r="A4774" s="380" t="s">
        <v>5645</v>
      </c>
      <c r="B4774" s="380" t="str">
        <f>IFERROR(__xludf.DUMMYFUNCTION("""COMPUTED_VALUE"""),"Pelicula Seguridad Vidrio Tras Cabina")</f>
        <v>Pelicula Seguridad Vidrio Tras Cabina</v>
      </c>
      <c r="C4774" s="380" t="str">
        <f>IFERROR(__xludf.DUMMYFUNCTION("""COMPUTED_VALUE"""),"70000156")</f>
        <v>70000156</v>
      </c>
      <c r="D4774" s="380" t="s">
        <v>767</v>
      </c>
      <c r="E4774" s="380" t="s">
        <v>786</v>
      </c>
      <c r="F4774" s="380" t="s">
        <v>1031</v>
      </c>
      <c r="G4774" s="380" t="s">
        <v>1267</v>
      </c>
      <c r="H4774" s="380" t="s">
        <v>771</v>
      </c>
      <c r="I4774" s="380" t="s">
        <v>788</v>
      </c>
      <c r="J4774" s="380" t="s">
        <v>773</v>
      </c>
      <c r="K4774" s="381">
        <v>0.0</v>
      </c>
      <c r="L4774" s="382">
        <v>1.0</v>
      </c>
    </row>
    <row r="4775">
      <c r="A4775" s="380" t="s">
        <v>5646</v>
      </c>
      <c r="B4775" s="380" t="str">
        <f>IFERROR(__xludf.DUMMYFUNCTION("""COMPUTED_VALUE"""),"Unidad Calefaccion Nkr Rewar 8981835940")</f>
        <v>Unidad Calefaccion Nkr Rewar 8981835940</v>
      </c>
      <c r="C4775" s="380" t="str">
        <f>IFERROR(__xludf.DUMMYFUNCTION("""COMPUTED_VALUE"""),"70000157")</f>
        <v>70000157</v>
      </c>
      <c r="D4775" s="380" t="s">
        <v>767</v>
      </c>
      <c r="E4775" s="380" t="s">
        <v>786</v>
      </c>
      <c r="F4775" s="380" t="s">
        <v>1031</v>
      </c>
      <c r="G4775" s="380" t="s">
        <v>1267</v>
      </c>
      <c r="H4775" s="380" t="s">
        <v>771</v>
      </c>
      <c r="I4775" s="380" t="s">
        <v>788</v>
      </c>
      <c r="J4775" s="380" t="s">
        <v>773</v>
      </c>
      <c r="K4775" s="381">
        <v>0.0</v>
      </c>
      <c r="L4775" s="382">
        <v>1.0</v>
      </c>
    </row>
    <row r="4776">
      <c r="A4776" s="380" t="s">
        <v>5647</v>
      </c>
      <c r="B4776" s="380" t="str">
        <f>IFERROR(__xludf.DUMMYFUNCTION("""COMPUTED_VALUE"""),"Modulo Accesorios Puerta KWQ211051001")</f>
        <v>Modulo Accesorios Puerta KWQ211051001</v>
      </c>
      <c r="C4776" s="380" t="str">
        <f>IFERROR(__xludf.DUMMYFUNCTION("""COMPUTED_VALUE"""),"70000158")</f>
        <v>70000158</v>
      </c>
      <c r="D4776" s="380" t="s">
        <v>767</v>
      </c>
      <c r="E4776" s="380" t="s">
        <v>786</v>
      </c>
      <c r="F4776" s="380" t="s">
        <v>1031</v>
      </c>
      <c r="G4776" s="380" t="s">
        <v>1267</v>
      </c>
      <c r="H4776" s="380" t="s">
        <v>771</v>
      </c>
      <c r="I4776" s="380" t="s">
        <v>788</v>
      </c>
      <c r="J4776" s="380" t="s">
        <v>773</v>
      </c>
      <c r="K4776" s="381">
        <v>0.0</v>
      </c>
      <c r="L4776" s="382">
        <v>1.0</v>
      </c>
    </row>
    <row r="4777">
      <c r="A4777" s="380" t="s">
        <v>5648</v>
      </c>
      <c r="B4777" s="380" t="str">
        <f>IFERROR(__xludf.DUMMYFUNCTION("""COMPUTED_VALUE"""),"Palanca Actuador Aire Ac Eagle 2503730C1")</f>
        <v>Palanca Actuador Aire Ac Eagle 2503730C1</v>
      </c>
      <c r="C4777" s="380" t="str">
        <f>IFERROR(__xludf.DUMMYFUNCTION("""COMPUTED_VALUE"""),"70000159")</f>
        <v>70000159</v>
      </c>
      <c r="D4777" s="380" t="s">
        <v>767</v>
      </c>
      <c r="E4777" s="380" t="s">
        <v>786</v>
      </c>
      <c r="F4777" s="380" t="s">
        <v>1031</v>
      </c>
      <c r="G4777" s="380" t="s">
        <v>1267</v>
      </c>
      <c r="H4777" s="380" t="s">
        <v>771</v>
      </c>
      <c r="I4777" s="380" t="s">
        <v>788</v>
      </c>
      <c r="J4777" s="380" t="s">
        <v>773</v>
      </c>
      <c r="K4777" s="381">
        <v>0.0</v>
      </c>
      <c r="L4777" s="382">
        <v>1.0</v>
      </c>
    </row>
    <row r="4778">
      <c r="A4778" s="380" t="s">
        <v>5649</v>
      </c>
      <c r="B4778" s="380" t="str">
        <f>IFERROR(__xludf.DUMMYFUNCTION("""COMPUTED_VALUE"""),"Manguera Presion Hco Nkr 8973583280")</f>
        <v>Manguera Presion Hco Nkr 8973583280</v>
      </c>
      <c r="C4778" s="380" t="str">
        <f>IFERROR(__xludf.DUMMYFUNCTION("""COMPUTED_VALUE"""),"70000160")</f>
        <v>70000160</v>
      </c>
      <c r="D4778" s="380" t="s">
        <v>767</v>
      </c>
      <c r="E4778" s="380" t="s">
        <v>786</v>
      </c>
      <c r="F4778" s="380" t="s">
        <v>787</v>
      </c>
      <c r="G4778" s="380" t="s">
        <v>1267</v>
      </c>
      <c r="H4778" s="380" t="s">
        <v>771</v>
      </c>
      <c r="I4778" s="380" t="s">
        <v>788</v>
      </c>
      <c r="J4778" s="380" t="s">
        <v>773</v>
      </c>
      <c r="K4778" s="381">
        <v>0.0</v>
      </c>
      <c r="L4778" s="382">
        <v>1.0</v>
      </c>
    </row>
    <row r="4779">
      <c r="A4779" s="380" t="s">
        <v>5650</v>
      </c>
      <c r="B4779" s="380" t="str">
        <f>IFERROR(__xludf.DUMMYFUNCTION("""COMPUTED_VALUE"""),"Conjun Mangu Salida Radiad N200 24527520")</f>
        <v>Conjun Mangu Salida Radiad N200 24527520</v>
      </c>
      <c r="C4779" s="380" t="str">
        <f>IFERROR(__xludf.DUMMYFUNCTION("""COMPUTED_VALUE"""),"70000161")</f>
        <v>70000161</v>
      </c>
      <c r="D4779" s="380" t="s">
        <v>767</v>
      </c>
      <c r="E4779" s="380" t="s">
        <v>786</v>
      </c>
      <c r="F4779" s="380" t="s">
        <v>787</v>
      </c>
      <c r="G4779" s="380" t="s">
        <v>1267</v>
      </c>
      <c r="H4779" s="380" t="s">
        <v>771</v>
      </c>
      <c r="I4779" s="380" t="s">
        <v>788</v>
      </c>
      <c r="J4779" s="380" t="s">
        <v>773</v>
      </c>
      <c r="K4779" s="381">
        <v>0.0</v>
      </c>
      <c r="L4779" s="382">
        <v>1.0</v>
      </c>
    </row>
    <row r="4780">
      <c r="A4780" s="380" t="s">
        <v>5651</v>
      </c>
      <c r="B4780" s="380" t="str">
        <f>IFERROR(__xludf.DUMMYFUNCTION("""COMPUTED_VALUE"""),"Valvula Purga Secador Aire KW K022105-BX")</f>
        <v>Valvula Purga Secador Aire KW K022105-BX</v>
      </c>
      <c r="C4780" s="380" t="str">
        <f>IFERROR(__xludf.DUMMYFUNCTION("""COMPUTED_VALUE"""),"70000162")</f>
        <v>70000162</v>
      </c>
      <c r="D4780" s="380" t="s">
        <v>767</v>
      </c>
      <c r="E4780" s="380" t="s">
        <v>786</v>
      </c>
      <c r="F4780" s="380" t="s">
        <v>1017</v>
      </c>
      <c r="G4780" s="380" t="s">
        <v>1267</v>
      </c>
      <c r="H4780" s="380" t="s">
        <v>771</v>
      </c>
      <c r="I4780" s="380" t="s">
        <v>788</v>
      </c>
      <c r="J4780" s="380" t="s">
        <v>773</v>
      </c>
      <c r="K4780" s="381">
        <v>0.0</v>
      </c>
      <c r="L4780" s="382">
        <v>1.0</v>
      </c>
    </row>
    <row r="4781">
      <c r="A4781" s="380" t="s">
        <v>5652</v>
      </c>
      <c r="B4781" s="380" t="str">
        <f>IFERROR(__xludf.DUMMYFUNCTION("""COMPUTED_VALUE"""),"Sensor Frenos Abs Eagle Isx")</f>
        <v>Sensor Frenos Abs Eagle Isx</v>
      </c>
      <c r="C4781" s="380" t="str">
        <f>IFERROR(__xludf.DUMMYFUNCTION("""COMPUTED_VALUE"""),"70000163")</f>
        <v>70000163</v>
      </c>
      <c r="D4781" s="380" t="s">
        <v>767</v>
      </c>
      <c r="E4781" s="380" t="s">
        <v>786</v>
      </c>
      <c r="F4781" s="380" t="s">
        <v>998</v>
      </c>
      <c r="G4781" s="380" t="s">
        <v>1267</v>
      </c>
      <c r="H4781" s="380" t="s">
        <v>771</v>
      </c>
      <c r="I4781" s="380" t="s">
        <v>788</v>
      </c>
      <c r="J4781" s="380" t="s">
        <v>773</v>
      </c>
      <c r="K4781" s="381">
        <v>0.0</v>
      </c>
      <c r="L4781" s="382">
        <v>1.0</v>
      </c>
    </row>
    <row r="4782">
      <c r="A4782" s="380" t="s">
        <v>5653</v>
      </c>
      <c r="B4782" s="380" t="str">
        <f>IFERROR(__xludf.DUMMYFUNCTION("""COMPUTED_VALUE"""),"Sopore Derecho Capo Eagle Isx 3506126C1")</f>
        <v>Sopore Derecho Capo Eagle Isx 3506126C1</v>
      </c>
      <c r="C4782" s="380" t="str">
        <f>IFERROR(__xludf.DUMMYFUNCTION("""COMPUTED_VALUE"""),"70000164")</f>
        <v>70000164</v>
      </c>
      <c r="D4782" s="380" t="s">
        <v>767</v>
      </c>
      <c r="E4782" s="380" t="s">
        <v>786</v>
      </c>
      <c r="F4782" s="380" t="s">
        <v>792</v>
      </c>
      <c r="G4782" s="380" t="s">
        <v>1267</v>
      </c>
      <c r="H4782" s="380" t="s">
        <v>771</v>
      </c>
      <c r="I4782" s="380" t="s">
        <v>788</v>
      </c>
      <c r="J4782" s="380" t="s">
        <v>773</v>
      </c>
      <c r="K4782" s="381">
        <v>0.0</v>
      </c>
      <c r="L4782" s="382">
        <v>1.0</v>
      </c>
    </row>
    <row r="4783">
      <c r="A4783" s="380" t="s">
        <v>5654</v>
      </c>
      <c r="B4783" s="380" t="str">
        <f>IFERROR(__xludf.DUMMYFUNCTION("""COMPUTED_VALUE"""),"Panel Tras Izq Eagle Isx3540097C2")</f>
        <v>Panel Tras Izq Eagle Isx3540097C2</v>
      </c>
      <c r="C4783" s="380" t="str">
        <f>IFERROR(__xludf.DUMMYFUNCTION("""COMPUTED_VALUE"""),"70000165")</f>
        <v>70000165</v>
      </c>
      <c r="D4783" s="380" t="s">
        <v>767</v>
      </c>
      <c r="E4783" s="380" t="s">
        <v>786</v>
      </c>
      <c r="F4783" s="380" t="s">
        <v>792</v>
      </c>
      <c r="G4783" s="380" t="s">
        <v>1267</v>
      </c>
      <c r="H4783" s="380" t="s">
        <v>771</v>
      </c>
      <c r="I4783" s="380" t="s">
        <v>788</v>
      </c>
      <c r="J4783" s="380" t="s">
        <v>773</v>
      </c>
      <c r="K4783" s="381">
        <v>0.0</v>
      </c>
      <c r="L4783" s="382">
        <v>1.0</v>
      </c>
    </row>
    <row r="4784">
      <c r="A4784" s="380" t="s">
        <v>5655</v>
      </c>
      <c r="B4784" s="380" t="str">
        <f>IFERROR(__xludf.DUMMYFUNCTION("""COMPUTED_VALUE"""),"Valvula Tanque Bajo HI4700 2585470C91")</f>
        <v>Valvula Tanque Bajo HI4700 2585470C91</v>
      </c>
      <c r="C4784" s="380" t="str">
        <f>IFERROR(__xludf.DUMMYFUNCTION("""COMPUTED_VALUE"""),"70000166")</f>
        <v>70000166</v>
      </c>
      <c r="D4784" s="380" t="s">
        <v>767</v>
      </c>
      <c r="E4784" s="380" t="s">
        <v>786</v>
      </c>
      <c r="F4784" s="380" t="s">
        <v>787</v>
      </c>
      <c r="G4784" s="380" t="s">
        <v>1267</v>
      </c>
      <c r="H4784" s="380" t="s">
        <v>771</v>
      </c>
      <c r="I4784" s="380" t="s">
        <v>788</v>
      </c>
      <c r="J4784" s="380" t="s">
        <v>773</v>
      </c>
      <c r="K4784" s="381">
        <v>0.0</v>
      </c>
      <c r="L4784" s="382">
        <v>1.0</v>
      </c>
    </row>
    <row r="4785">
      <c r="A4785" s="380" t="s">
        <v>5656</v>
      </c>
      <c r="B4785" s="380" t="str">
        <f>IFERROR(__xludf.DUMMYFUNCTION("""COMPUTED_VALUE"""),"Espaciador Muelle Del Der Isx")</f>
        <v>Espaciador Muelle Del Der Isx</v>
      </c>
      <c r="C4785" s="380" t="str">
        <f>IFERROR(__xludf.DUMMYFUNCTION("""COMPUTED_VALUE"""),"70000167")</f>
        <v>70000167</v>
      </c>
      <c r="D4785" s="380" t="s">
        <v>767</v>
      </c>
      <c r="E4785" s="380" t="s">
        <v>786</v>
      </c>
      <c r="F4785" s="380" t="s">
        <v>1039</v>
      </c>
      <c r="G4785" s="380" t="s">
        <v>1267</v>
      </c>
      <c r="H4785" s="380" t="s">
        <v>771</v>
      </c>
      <c r="I4785" s="380" t="s">
        <v>788</v>
      </c>
      <c r="J4785" s="380" t="s">
        <v>773</v>
      </c>
      <c r="K4785" s="381">
        <v>84159.0</v>
      </c>
      <c r="L4785" s="382">
        <v>1.0</v>
      </c>
    </row>
    <row r="4786">
      <c r="A4786" s="380" t="s">
        <v>5657</v>
      </c>
      <c r="B4786" s="380" t="str">
        <f>IFERROR(__xludf.DUMMYFUNCTION("""COMPUTED_VALUE"""),"Base Grapa Muelle Del Isx")</f>
        <v>Base Grapa Muelle Del Isx</v>
      </c>
      <c r="C4786" s="380" t="str">
        <f>IFERROR(__xludf.DUMMYFUNCTION("""COMPUTED_VALUE"""),"70000168")</f>
        <v>70000168</v>
      </c>
      <c r="D4786" s="380" t="s">
        <v>767</v>
      </c>
      <c r="E4786" s="380" t="s">
        <v>786</v>
      </c>
      <c r="F4786" s="380" t="s">
        <v>1039</v>
      </c>
      <c r="G4786" s="380" t="s">
        <v>1267</v>
      </c>
      <c r="H4786" s="380" t="s">
        <v>771</v>
      </c>
      <c r="I4786" s="380" t="s">
        <v>788</v>
      </c>
      <c r="J4786" s="380" t="s">
        <v>773</v>
      </c>
      <c r="K4786" s="381">
        <v>0.0</v>
      </c>
      <c r="L4786" s="382">
        <v>1.0</v>
      </c>
    </row>
    <row r="4787">
      <c r="A4787" s="380" t="s">
        <v>5658</v>
      </c>
      <c r="B4787" s="380" t="str">
        <f>IFERROR(__xludf.DUMMYFUNCTION("""COMPUTED_VALUE"""),"Collarin Del derecho Isx")</f>
        <v>Collarin Del derecho Isx</v>
      </c>
      <c r="C4787" s="380" t="str">
        <f>IFERROR(__xludf.DUMMYFUNCTION("""COMPUTED_VALUE"""),"70000169")</f>
        <v>70000169</v>
      </c>
      <c r="D4787" s="380" t="s">
        <v>767</v>
      </c>
      <c r="E4787" s="380" t="s">
        <v>786</v>
      </c>
      <c r="F4787" s="380" t="s">
        <v>1039</v>
      </c>
      <c r="G4787" s="380" t="s">
        <v>1267</v>
      </c>
      <c r="H4787" s="380" t="s">
        <v>771</v>
      </c>
      <c r="I4787" s="380" t="s">
        <v>788</v>
      </c>
      <c r="J4787" s="380" t="s">
        <v>773</v>
      </c>
      <c r="K4787" s="381">
        <v>0.0</v>
      </c>
      <c r="L4787" s="382">
        <v>1.0</v>
      </c>
    </row>
    <row r="4788">
      <c r="A4788" s="380" t="s">
        <v>5659</v>
      </c>
      <c r="B4788" s="380" t="str">
        <f>IFERROR(__xludf.DUMMYFUNCTION("""COMPUTED_VALUE"""),"Bomba Vacio Alternador Npr 8981061340")</f>
        <v>Bomba Vacio Alternador Npr 8981061340</v>
      </c>
      <c r="C4788" s="380" t="str">
        <f>IFERROR(__xludf.DUMMYFUNCTION("""COMPUTED_VALUE"""),"70000170")</f>
        <v>70000170</v>
      </c>
      <c r="D4788" s="380" t="s">
        <v>767</v>
      </c>
      <c r="E4788" s="380" t="s">
        <v>786</v>
      </c>
      <c r="F4788" s="380" t="s">
        <v>787</v>
      </c>
      <c r="G4788" s="380" t="s">
        <v>1267</v>
      </c>
      <c r="H4788" s="380" t="s">
        <v>771</v>
      </c>
      <c r="I4788" s="380" t="s">
        <v>788</v>
      </c>
      <c r="J4788" s="380" t="s">
        <v>773</v>
      </c>
      <c r="K4788" s="381">
        <v>0.0</v>
      </c>
      <c r="L4788" s="382">
        <v>1.0</v>
      </c>
    </row>
    <row r="4789">
      <c r="A4789" s="380" t="s">
        <v>5660</v>
      </c>
      <c r="B4789" s="380" t="str">
        <f>IFERROR(__xludf.DUMMYFUNCTION("""COMPUTED_VALUE"""),"Empaquetadura Bomba Ppal Clutc Nk Nh-Npr")</f>
        <v>Empaquetadura Bomba Ppal Clutc Nk Nh-Npr</v>
      </c>
      <c r="C4789" s="380" t="str">
        <f>IFERROR(__xludf.DUMMYFUNCTION("""COMPUTED_VALUE"""),"70000171")</f>
        <v>70000171</v>
      </c>
      <c r="D4789" s="380" t="s">
        <v>767</v>
      </c>
      <c r="E4789" s="380" t="s">
        <v>786</v>
      </c>
      <c r="F4789" s="380" t="s">
        <v>5661</v>
      </c>
      <c r="G4789" s="380" t="s">
        <v>1267</v>
      </c>
      <c r="H4789" s="380" t="s">
        <v>771</v>
      </c>
      <c r="I4789" s="380" t="s">
        <v>788</v>
      </c>
      <c r="J4789" s="380" t="s">
        <v>773</v>
      </c>
      <c r="K4789" s="381">
        <v>0.0</v>
      </c>
      <c r="L4789" s="382">
        <v>1.0</v>
      </c>
    </row>
    <row r="4790">
      <c r="A4790" s="380" t="s">
        <v>5662</v>
      </c>
      <c r="B4790" s="380" t="str">
        <f>IFERROR(__xludf.DUMMYFUNCTION("""COMPUTED_VALUE"""),"Termostato Hino SZ91046034")</f>
        <v>Termostato Hino SZ91046034</v>
      </c>
      <c r="C4790" s="380" t="str">
        <f>IFERROR(__xludf.DUMMYFUNCTION("""COMPUTED_VALUE"""),"70000172")</f>
        <v>70000172</v>
      </c>
      <c r="D4790" s="380" t="s">
        <v>767</v>
      </c>
      <c r="E4790" s="380" t="s">
        <v>786</v>
      </c>
      <c r="F4790" s="380" t="s">
        <v>787</v>
      </c>
      <c r="G4790" s="380" t="s">
        <v>1267</v>
      </c>
      <c r="H4790" s="380" t="s">
        <v>771</v>
      </c>
      <c r="I4790" s="380" t="s">
        <v>788</v>
      </c>
      <c r="J4790" s="380" t="s">
        <v>773</v>
      </c>
      <c r="K4790" s="381">
        <v>0.0</v>
      </c>
      <c r="L4790" s="382">
        <v>1.0</v>
      </c>
    </row>
    <row r="4791">
      <c r="A4791" s="380" t="s">
        <v>5663</v>
      </c>
      <c r="B4791" s="380" t="str">
        <f>IFERROR(__xludf.DUMMYFUNCTION("""COMPUTED_VALUE"""),"Kit Suspension Cabina Eagle Isx")</f>
        <v>Kit Suspension Cabina Eagle Isx</v>
      </c>
      <c r="C4791" s="380" t="str">
        <f>IFERROR(__xludf.DUMMYFUNCTION("""COMPUTED_VALUE"""),"70000173")</f>
        <v>70000173</v>
      </c>
      <c r="D4791" s="380" t="s">
        <v>767</v>
      </c>
      <c r="E4791" s="380" t="s">
        <v>786</v>
      </c>
      <c r="F4791" s="380" t="s">
        <v>792</v>
      </c>
      <c r="G4791" s="380" t="s">
        <v>1267</v>
      </c>
      <c r="H4791" s="380" t="s">
        <v>771</v>
      </c>
      <c r="I4791" s="380" t="s">
        <v>788</v>
      </c>
      <c r="J4791" s="380" t="s">
        <v>773</v>
      </c>
      <c r="K4791" s="381">
        <v>0.0</v>
      </c>
      <c r="L4791" s="382">
        <v>1.0</v>
      </c>
    </row>
    <row r="4792">
      <c r="A4792" s="380" t="s">
        <v>5664</v>
      </c>
      <c r="B4792" s="380" t="str">
        <f>IFERROR(__xludf.DUMMYFUNCTION("""COMPUTED_VALUE"""),"Parasol Cabina Izq Nkr")</f>
        <v>Parasol Cabina Izq Nkr</v>
      </c>
      <c r="C4792" s="380" t="str">
        <f>IFERROR(__xludf.DUMMYFUNCTION("""COMPUTED_VALUE"""),"70000174")</f>
        <v>70000174</v>
      </c>
      <c r="D4792" s="380" t="s">
        <v>767</v>
      </c>
      <c r="E4792" s="380" t="s">
        <v>786</v>
      </c>
      <c r="F4792" s="380" t="s">
        <v>792</v>
      </c>
      <c r="G4792" s="380" t="s">
        <v>1267</v>
      </c>
      <c r="H4792" s="380" t="s">
        <v>771</v>
      </c>
      <c r="I4792" s="380" t="s">
        <v>788</v>
      </c>
      <c r="J4792" s="380" t="s">
        <v>773</v>
      </c>
      <c r="K4792" s="381">
        <v>0.0</v>
      </c>
      <c r="L4792" s="382">
        <v>1.0</v>
      </c>
    </row>
    <row r="4793">
      <c r="A4793" s="380" t="s">
        <v>5665</v>
      </c>
      <c r="B4793" s="380" t="str">
        <f>IFERROR(__xludf.DUMMYFUNCTION("""COMPUTED_VALUE"""),"Kit Rodamiento Embrague Master")</f>
        <v>Kit Rodamiento Embrague Master</v>
      </c>
      <c r="C4793" s="380" t="str">
        <f>IFERROR(__xludf.DUMMYFUNCTION("""COMPUTED_VALUE"""),"70000175")</f>
        <v>70000175</v>
      </c>
      <c r="D4793" s="380" t="s">
        <v>767</v>
      </c>
      <c r="E4793" s="380" t="s">
        <v>786</v>
      </c>
      <c r="F4793" s="380" t="s">
        <v>5661</v>
      </c>
      <c r="G4793" s="380" t="s">
        <v>1267</v>
      </c>
      <c r="H4793" s="380" t="s">
        <v>771</v>
      </c>
      <c r="I4793" s="380" t="s">
        <v>788</v>
      </c>
      <c r="J4793" s="380" t="s">
        <v>773</v>
      </c>
      <c r="K4793" s="381">
        <v>0.0</v>
      </c>
      <c r="L4793" s="382">
        <v>1.0</v>
      </c>
    </row>
    <row r="4794">
      <c r="A4794" s="380" t="s">
        <v>5666</v>
      </c>
      <c r="B4794" s="380" t="str">
        <f>IFERROR(__xludf.DUMMYFUNCTION("""COMPUTED_VALUE"""),"Soporte Alternador Eagle Isx")</f>
        <v>Soporte Alternador Eagle Isx</v>
      </c>
      <c r="C4794" s="380" t="str">
        <f>IFERROR(__xludf.DUMMYFUNCTION("""COMPUTED_VALUE"""),"70000176")</f>
        <v>70000176</v>
      </c>
      <c r="D4794" s="380" t="s">
        <v>767</v>
      </c>
      <c r="E4794" s="380" t="s">
        <v>786</v>
      </c>
      <c r="F4794" s="380" t="s">
        <v>787</v>
      </c>
      <c r="G4794" s="380" t="s">
        <v>1267</v>
      </c>
      <c r="H4794" s="380" t="s">
        <v>771</v>
      </c>
      <c r="I4794" s="380" t="s">
        <v>788</v>
      </c>
      <c r="J4794" s="380" t="s">
        <v>773</v>
      </c>
      <c r="K4794" s="381">
        <v>0.0</v>
      </c>
      <c r="L4794" s="382">
        <v>1.0</v>
      </c>
    </row>
    <row r="4795">
      <c r="A4795" s="380" t="s">
        <v>5667</v>
      </c>
      <c r="B4795" s="380" t="str">
        <f>IFERROR(__xludf.DUMMYFUNCTION("""COMPUTED_VALUE"""),"Panel Trasero Cabina Eagle Isx")</f>
        <v>Panel Trasero Cabina Eagle Isx</v>
      </c>
      <c r="C4795" s="380" t="str">
        <f>IFERROR(__xludf.DUMMYFUNCTION("""COMPUTED_VALUE"""),"70000177")</f>
        <v>70000177</v>
      </c>
      <c r="D4795" s="380" t="s">
        <v>767</v>
      </c>
      <c r="E4795" s="380" t="s">
        <v>786</v>
      </c>
      <c r="F4795" s="380" t="s">
        <v>792</v>
      </c>
      <c r="G4795" s="380" t="s">
        <v>1267</v>
      </c>
      <c r="H4795" s="380" t="s">
        <v>771</v>
      </c>
      <c r="I4795" s="380" t="s">
        <v>788</v>
      </c>
      <c r="J4795" s="380" t="s">
        <v>773</v>
      </c>
      <c r="K4795" s="381">
        <v>951857.0</v>
      </c>
      <c r="L4795" s="382">
        <v>1.0</v>
      </c>
    </row>
    <row r="4796">
      <c r="A4796" s="380" t="s">
        <v>5668</v>
      </c>
      <c r="B4796" s="380" t="str">
        <f>IFERROR(__xludf.DUMMYFUNCTION("""COMPUTED_VALUE"""),"Espaciador Del Tope Capo Bracket Eagle")</f>
        <v>Espaciador Del Tope Capo Bracket Eagle</v>
      </c>
      <c r="C4796" s="380" t="str">
        <f>IFERROR(__xludf.DUMMYFUNCTION("""COMPUTED_VALUE"""),"70000178")</f>
        <v>70000178</v>
      </c>
      <c r="D4796" s="380" t="s">
        <v>767</v>
      </c>
      <c r="E4796" s="380" t="s">
        <v>786</v>
      </c>
      <c r="F4796" s="380" t="s">
        <v>792</v>
      </c>
      <c r="G4796" s="380" t="s">
        <v>1267</v>
      </c>
      <c r="H4796" s="380" t="s">
        <v>771</v>
      </c>
      <c r="I4796" s="380" t="s">
        <v>788</v>
      </c>
      <c r="J4796" s="380" t="s">
        <v>773</v>
      </c>
      <c r="K4796" s="381">
        <v>0.0</v>
      </c>
      <c r="L4796" s="382">
        <v>1.0</v>
      </c>
    </row>
    <row r="4797">
      <c r="A4797" s="380" t="s">
        <v>5669</v>
      </c>
      <c r="B4797" s="380" t="str">
        <f>IFERROR(__xludf.DUMMYFUNCTION("""COMPUTED_VALUE"""),"Panel Soporte Techo Cabina Eagle Isx")</f>
        <v>Panel Soporte Techo Cabina Eagle Isx</v>
      </c>
      <c r="C4797" s="380" t="str">
        <f>IFERROR(__xludf.DUMMYFUNCTION("""COMPUTED_VALUE"""),"70000179")</f>
        <v>70000179</v>
      </c>
      <c r="D4797" s="380" t="s">
        <v>767</v>
      </c>
      <c r="E4797" s="380" t="s">
        <v>786</v>
      </c>
      <c r="F4797" s="380" t="s">
        <v>792</v>
      </c>
      <c r="G4797" s="380" t="s">
        <v>1267</v>
      </c>
      <c r="H4797" s="380" t="s">
        <v>771</v>
      </c>
      <c r="I4797" s="380" t="s">
        <v>788</v>
      </c>
      <c r="J4797" s="380" t="s">
        <v>773</v>
      </c>
      <c r="K4797" s="381">
        <v>0.0</v>
      </c>
      <c r="L4797" s="382">
        <v>1.0</v>
      </c>
    </row>
    <row r="4798">
      <c r="A4798" s="380" t="s">
        <v>5670</v>
      </c>
      <c r="B4798" s="380" t="str">
        <f>IFERROR(__xludf.DUMMYFUNCTION("""COMPUTED_VALUE"""),"Guaya Tensora Puerta Tipo Cortina Furgon")</f>
        <v>Guaya Tensora Puerta Tipo Cortina Furgon</v>
      </c>
      <c r="C4798" s="380" t="str">
        <f>IFERROR(__xludf.DUMMYFUNCTION("""COMPUTED_VALUE"""),"70000180")</f>
        <v>70000180</v>
      </c>
      <c r="D4798" s="380" t="s">
        <v>767</v>
      </c>
      <c r="E4798" s="380" t="s">
        <v>786</v>
      </c>
      <c r="F4798" s="380" t="s">
        <v>792</v>
      </c>
      <c r="G4798" s="380" t="s">
        <v>1267</v>
      </c>
      <c r="H4798" s="380" t="s">
        <v>771</v>
      </c>
      <c r="I4798" s="380" t="s">
        <v>788</v>
      </c>
      <c r="J4798" s="380" t="s">
        <v>773</v>
      </c>
      <c r="K4798" s="381">
        <v>41881.0</v>
      </c>
      <c r="L4798" s="382">
        <v>1.0</v>
      </c>
    </row>
    <row r="4799">
      <c r="A4799" s="380" t="s">
        <v>5671</v>
      </c>
      <c r="B4799" s="380" t="str">
        <f>IFERROR(__xludf.DUMMYFUNCTION("""COMPUTED_VALUE"""),"Soporte Izq Cabina Eagle")</f>
        <v>Soporte Izq Cabina Eagle</v>
      </c>
      <c r="C4799" s="380" t="str">
        <f>IFERROR(__xludf.DUMMYFUNCTION("""COMPUTED_VALUE"""),"70000181")</f>
        <v>70000181</v>
      </c>
      <c r="D4799" s="380" t="s">
        <v>767</v>
      </c>
      <c r="E4799" s="380" t="s">
        <v>786</v>
      </c>
      <c r="F4799" s="380" t="s">
        <v>792</v>
      </c>
      <c r="G4799" s="380" t="s">
        <v>1267</v>
      </c>
      <c r="H4799" s="380" t="s">
        <v>771</v>
      </c>
      <c r="I4799" s="380" t="s">
        <v>788</v>
      </c>
      <c r="J4799" s="380" t="s">
        <v>773</v>
      </c>
      <c r="K4799" s="381">
        <v>0.0</v>
      </c>
      <c r="L4799" s="382">
        <v>1.0</v>
      </c>
    </row>
    <row r="4800">
      <c r="A4800" s="380" t="s">
        <v>5672</v>
      </c>
      <c r="B4800" s="380" t="str">
        <f>IFERROR(__xludf.DUMMYFUNCTION("""COMPUTED_VALUE"""),"Esquinero Cabina Derecho Eagle")</f>
        <v>Esquinero Cabina Derecho Eagle</v>
      </c>
      <c r="C4800" s="380" t="str">
        <f>IFERROR(__xludf.DUMMYFUNCTION("""COMPUTED_VALUE"""),"70000182")</f>
        <v>70000182</v>
      </c>
      <c r="D4800" s="380" t="s">
        <v>767</v>
      </c>
      <c r="E4800" s="380" t="s">
        <v>786</v>
      </c>
      <c r="F4800" s="380" t="s">
        <v>792</v>
      </c>
      <c r="G4800" s="380" t="s">
        <v>1267</v>
      </c>
      <c r="H4800" s="380" t="s">
        <v>771</v>
      </c>
      <c r="I4800" s="380" t="s">
        <v>788</v>
      </c>
      <c r="J4800" s="380" t="s">
        <v>773</v>
      </c>
      <c r="K4800" s="381">
        <v>0.0</v>
      </c>
      <c r="L4800" s="382">
        <v>1.0</v>
      </c>
    </row>
    <row r="4801">
      <c r="A4801" s="380" t="s">
        <v>5673</v>
      </c>
      <c r="B4801" s="380" t="str">
        <f>IFERROR(__xludf.DUMMYFUNCTION("""COMPUTED_VALUE"""),"Pin Tensor Freno N200 160456009")</f>
        <v>Pin Tensor Freno N200 160456009</v>
      </c>
      <c r="C4801" s="380" t="str">
        <f>IFERROR(__xludf.DUMMYFUNCTION("""COMPUTED_VALUE"""),"70000183")</f>
        <v>70000183</v>
      </c>
      <c r="D4801" s="380" t="s">
        <v>767</v>
      </c>
      <c r="E4801" s="380" t="s">
        <v>786</v>
      </c>
      <c r="F4801" s="380" t="s">
        <v>1017</v>
      </c>
      <c r="G4801" s="380" t="s">
        <v>1267</v>
      </c>
      <c r="H4801" s="380" t="s">
        <v>771</v>
      </c>
      <c r="I4801" s="380" t="s">
        <v>788</v>
      </c>
      <c r="J4801" s="380" t="s">
        <v>773</v>
      </c>
      <c r="K4801" s="381">
        <v>0.0</v>
      </c>
      <c r="L4801" s="382">
        <v>1.0</v>
      </c>
    </row>
    <row r="4802">
      <c r="A4802" s="380" t="s">
        <v>5674</v>
      </c>
      <c r="B4802" s="380" t="str">
        <f>IFERROR(__xludf.DUMMYFUNCTION("""COMPUTED_VALUE"""),"Riel Largo Pta Cortina Nkr-Npr 103193")</f>
        <v>Riel Largo Pta Cortina Nkr-Npr 103193</v>
      </c>
      <c r="C4802" s="380" t="str">
        <f>IFERROR(__xludf.DUMMYFUNCTION("""COMPUTED_VALUE"""),"70000184")</f>
        <v>70000184</v>
      </c>
      <c r="D4802" s="380" t="s">
        <v>767</v>
      </c>
      <c r="E4802" s="380" t="s">
        <v>786</v>
      </c>
      <c r="F4802" s="380" t="s">
        <v>792</v>
      </c>
      <c r="G4802" s="380" t="s">
        <v>1267</v>
      </c>
      <c r="H4802" s="380" t="s">
        <v>771</v>
      </c>
      <c r="I4802" s="380" t="s">
        <v>788</v>
      </c>
      <c r="J4802" s="380" t="s">
        <v>773</v>
      </c>
      <c r="K4802" s="381">
        <v>0.0</v>
      </c>
      <c r="L4802" s="382">
        <v>1.0</v>
      </c>
    </row>
    <row r="4803">
      <c r="A4803" s="380" t="s">
        <v>5675</v>
      </c>
      <c r="B4803" s="380" t="str">
        <f>IFERROR(__xludf.DUMMYFUNCTION("""COMPUTED_VALUE"""),"Oring Bomba Vacio Grande Nkr 8970833040")</f>
        <v>Oring Bomba Vacio Grande Nkr 8970833040</v>
      </c>
      <c r="C4803" s="380" t="str">
        <f>IFERROR(__xludf.DUMMYFUNCTION("""COMPUTED_VALUE"""),"70000185")</f>
        <v>70000185</v>
      </c>
      <c r="D4803" s="380" t="s">
        <v>767</v>
      </c>
      <c r="E4803" s="380" t="s">
        <v>786</v>
      </c>
      <c r="F4803" s="380" t="s">
        <v>787</v>
      </c>
      <c r="G4803" s="380" t="s">
        <v>1267</v>
      </c>
      <c r="H4803" s="380" t="s">
        <v>771</v>
      </c>
      <c r="I4803" s="380" t="s">
        <v>788</v>
      </c>
      <c r="J4803" s="380" t="s">
        <v>773</v>
      </c>
      <c r="K4803" s="381">
        <v>0.0</v>
      </c>
      <c r="L4803" s="382">
        <v>1.0</v>
      </c>
    </row>
    <row r="4804">
      <c r="A4804" s="380" t="s">
        <v>5676</v>
      </c>
      <c r="B4804" s="380" t="str">
        <f>IFERROR(__xludf.DUMMYFUNCTION("""COMPUTED_VALUE"""),"Oring Bomba Vacio Pequeño Nkr 8941566080")</f>
        <v>Oring Bomba Vacio Pequeño Nkr 8941566080</v>
      </c>
      <c r="C4804" s="380" t="str">
        <f>IFERROR(__xludf.DUMMYFUNCTION("""COMPUTED_VALUE"""),"70000186")</f>
        <v>70000186</v>
      </c>
      <c r="D4804" s="380" t="s">
        <v>767</v>
      </c>
      <c r="E4804" s="380" t="s">
        <v>786</v>
      </c>
      <c r="F4804" s="380" t="s">
        <v>787</v>
      </c>
      <c r="G4804" s="380" t="s">
        <v>1267</v>
      </c>
      <c r="H4804" s="380" t="s">
        <v>771</v>
      </c>
      <c r="I4804" s="380" t="s">
        <v>788</v>
      </c>
      <c r="J4804" s="380" t="s">
        <v>773</v>
      </c>
      <c r="K4804" s="381">
        <v>0.0</v>
      </c>
      <c r="L4804" s="382">
        <v>1.0</v>
      </c>
    </row>
    <row r="4805">
      <c r="A4805" s="380" t="s">
        <v>5677</v>
      </c>
      <c r="B4805" s="380" t="str">
        <f>IFERROR(__xludf.DUMMYFUNCTION("""COMPUTED_VALUE"""),"Cilindro Mono Caja16918 KW-A6690-4303595")</f>
        <v>Cilindro Mono Caja16918 KW-A6690-4303595</v>
      </c>
      <c r="C4805" s="380" t="str">
        <f>IFERROR(__xludf.DUMMYFUNCTION("""COMPUTED_VALUE"""),"70000187")</f>
        <v>70000187</v>
      </c>
      <c r="D4805" s="380" t="s">
        <v>767</v>
      </c>
      <c r="E4805" s="380" t="s">
        <v>786</v>
      </c>
      <c r="F4805" s="380" t="s">
        <v>928</v>
      </c>
      <c r="G4805" s="380" t="s">
        <v>1267</v>
      </c>
      <c r="H4805" s="380" t="s">
        <v>771</v>
      </c>
      <c r="I4805" s="380" t="s">
        <v>788</v>
      </c>
      <c r="J4805" s="380" t="s">
        <v>773</v>
      </c>
      <c r="K4805" s="381">
        <v>0.0</v>
      </c>
      <c r="L4805" s="382">
        <v>1.0</v>
      </c>
    </row>
    <row r="4806">
      <c r="A4806" s="380" t="s">
        <v>5678</v>
      </c>
      <c r="B4806" s="380" t="str">
        <f>IFERROR(__xludf.DUMMYFUNCTION("""COMPUTED_VALUE"""),"Culata Motor Nkr RW 8981756061")</f>
        <v>Culata Motor Nkr RW 8981756061</v>
      </c>
      <c r="C4806" s="380" t="str">
        <f>IFERROR(__xludf.DUMMYFUNCTION("""COMPUTED_VALUE"""),"70000188")</f>
        <v>70000188</v>
      </c>
      <c r="D4806" s="380" t="s">
        <v>767</v>
      </c>
      <c r="E4806" s="380" t="s">
        <v>786</v>
      </c>
      <c r="F4806" s="380" t="s">
        <v>787</v>
      </c>
      <c r="G4806" s="380" t="s">
        <v>1267</v>
      </c>
      <c r="H4806" s="380" t="s">
        <v>771</v>
      </c>
      <c r="I4806" s="380" t="s">
        <v>788</v>
      </c>
      <c r="J4806" s="380" t="s">
        <v>773</v>
      </c>
      <c r="K4806" s="381">
        <v>0.0</v>
      </c>
      <c r="L4806" s="382">
        <v>1.0</v>
      </c>
    </row>
    <row r="4807">
      <c r="A4807" s="380" t="s">
        <v>5679</v>
      </c>
      <c r="B4807" s="380" t="str">
        <f>IFERROR(__xludf.DUMMYFUNCTION("""COMPUTED_VALUE"""),"Bomba Agua Nkr RW 8980042922")</f>
        <v>Bomba Agua Nkr RW 8980042922</v>
      </c>
      <c r="C4807" s="380" t="str">
        <f>IFERROR(__xludf.DUMMYFUNCTION("""COMPUTED_VALUE"""),"70000189")</f>
        <v>70000189</v>
      </c>
      <c r="D4807" s="380" t="s">
        <v>767</v>
      </c>
      <c r="E4807" s="380" t="s">
        <v>786</v>
      </c>
      <c r="F4807" s="380" t="s">
        <v>787</v>
      </c>
      <c r="G4807" s="380" t="s">
        <v>1267</v>
      </c>
      <c r="H4807" s="380" t="s">
        <v>771</v>
      </c>
      <c r="I4807" s="380" t="s">
        <v>788</v>
      </c>
      <c r="J4807" s="380" t="s">
        <v>773</v>
      </c>
      <c r="K4807" s="381">
        <v>0.0</v>
      </c>
      <c r="L4807" s="382">
        <v>1.0</v>
      </c>
    </row>
    <row r="4808">
      <c r="A4808" s="380" t="s">
        <v>5680</v>
      </c>
      <c r="B4808" s="380" t="str">
        <f>IFERROR(__xludf.DUMMYFUNCTION("""COMPUTED_VALUE"""),"Culata Motor Nkr III 8972043765")</f>
        <v>Culata Motor Nkr III 8972043765</v>
      </c>
      <c r="C4808" s="380" t="str">
        <f>IFERROR(__xludf.DUMMYFUNCTION("""COMPUTED_VALUE"""),"70000190")</f>
        <v>70000190</v>
      </c>
      <c r="D4808" s="380" t="s">
        <v>767</v>
      </c>
      <c r="E4808" s="380" t="s">
        <v>786</v>
      </c>
      <c r="F4808" s="380" t="s">
        <v>787</v>
      </c>
      <c r="G4808" s="380" t="s">
        <v>1267</v>
      </c>
      <c r="H4808" s="380" t="s">
        <v>771</v>
      </c>
      <c r="I4808" s="380" t="s">
        <v>788</v>
      </c>
      <c r="J4808" s="380" t="s">
        <v>773</v>
      </c>
      <c r="K4808" s="381">
        <v>0.0</v>
      </c>
      <c r="L4808" s="382">
        <v>1.0</v>
      </c>
    </row>
    <row r="4809">
      <c r="A4809" s="380" t="s">
        <v>5681</v>
      </c>
      <c r="B4809" s="380" t="str">
        <f>IFERROR(__xludf.DUMMYFUNCTION("""COMPUTED_VALUE"""),"Extension Tras G/Fango Delantero Nkr III")</f>
        <v>Extension Tras G/Fango Delantero Nkr III</v>
      </c>
      <c r="C4809" s="380" t="str">
        <f>IFERROR(__xludf.DUMMYFUNCTION("""COMPUTED_VALUE"""),"70000191")</f>
        <v>70000191</v>
      </c>
      <c r="D4809" s="380" t="s">
        <v>767</v>
      </c>
      <c r="E4809" s="380" t="s">
        <v>786</v>
      </c>
      <c r="F4809" s="380" t="s">
        <v>792</v>
      </c>
      <c r="G4809" s="380" t="s">
        <v>1267</v>
      </c>
      <c r="H4809" s="380" t="s">
        <v>771</v>
      </c>
      <c r="I4809" s="380" t="s">
        <v>788</v>
      </c>
      <c r="J4809" s="380" t="s">
        <v>773</v>
      </c>
      <c r="K4809" s="381">
        <v>0.0</v>
      </c>
      <c r="L4809" s="382">
        <v>1.0</v>
      </c>
    </row>
    <row r="4810">
      <c r="A4810" s="380" t="s">
        <v>5682</v>
      </c>
      <c r="B4810" s="380" t="str">
        <f>IFERROR(__xludf.DUMMYFUNCTION("""COMPUTED_VALUE"""),"Arandela Satelite Diferencial Hino")</f>
        <v>Arandela Satelite Diferencial Hino</v>
      </c>
      <c r="C4810" s="380" t="str">
        <f>IFERROR(__xludf.DUMMYFUNCTION("""COMPUTED_VALUE"""),"70000192")</f>
        <v>70000192</v>
      </c>
      <c r="D4810" s="380" t="s">
        <v>767</v>
      </c>
      <c r="E4810" s="380" t="s">
        <v>786</v>
      </c>
      <c r="F4810" s="380" t="s">
        <v>5683</v>
      </c>
      <c r="G4810" s="380" t="s">
        <v>1267</v>
      </c>
      <c r="H4810" s="380" t="s">
        <v>771</v>
      </c>
      <c r="I4810" s="380" t="s">
        <v>788</v>
      </c>
      <c r="J4810" s="380" t="s">
        <v>773</v>
      </c>
      <c r="K4810" s="381">
        <v>0.0</v>
      </c>
      <c r="L4810" s="382">
        <v>1.0</v>
      </c>
    </row>
    <row r="4811">
      <c r="A4811" s="380" t="s">
        <v>5684</v>
      </c>
      <c r="B4811" s="380" t="str">
        <f>IFERROR(__xludf.DUMMYFUNCTION("""COMPUTED_VALUE"""),"Tuerca Esparrago Rueda Del Der Nkr III")</f>
        <v>Tuerca Esparrago Rueda Del Der Nkr III</v>
      </c>
      <c r="C4811" s="380" t="str">
        <f>IFERROR(__xludf.DUMMYFUNCTION("""COMPUTED_VALUE"""),"70000193")</f>
        <v>70000193</v>
      </c>
      <c r="D4811" s="380" t="s">
        <v>767</v>
      </c>
      <c r="E4811" s="380" t="s">
        <v>786</v>
      </c>
      <c r="F4811" s="380" t="s">
        <v>1039</v>
      </c>
      <c r="G4811" s="380" t="s">
        <v>1267</v>
      </c>
      <c r="H4811" s="380" t="s">
        <v>771</v>
      </c>
      <c r="I4811" s="380" t="s">
        <v>788</v>
      </c>
      <c r="J4811" s="380" t="s">
        <v>773</v>
      </c>
      <c r="K4811" s="381">
        <v>0.0</v>
      </c>
      <c r="L4811" s="382">
        <v>1.0</v>
      </c>
    </row>
    <row r="4812">
      <c r="A4812" s="380" t="s">
        <v>5685</v>
      </c>
      <c r="B4812" s="380" t="str">
        <f>IFERROR(__xludf.DUMMYFUNCTION("""COMPUTED_VALUE"""),"Retenedor Rueda Delantera Hino")</f>
        <v>Retenedor Rueda Delantera Hino</v>
      </c>
      <c r="C4812" s="380" t="str">
        <f>IFERROR(__xludf.DUMMYFUNCTION("""COMPUTED_VALUE"""),"70000194")</f>
        <v>70000194</v>
      </c>
      <c r="D4812" s="380" t="s">
        <v>767</v>
      </c>
      <c r="E4812" s="380" t="s">
        <v>786</v>
      </c>
      <c r="F4812" s="380" t="s">
        <v>1039</v>
      </c>
      <c r="G4812" s="380" t="s">
        <v>1267</v>
      </c>
      <c r="H4812" s="380" t="s">
        <v>771</v>
      </c>
      <c r="I4812" s="380" t="s">
        <v>788</v>
      </c>
      <c r="J4812" s="380" t="s">
        <v>773</v>
      </c>
      <c r="K4812" s="381">
        <v>88339.0</v>
      </c>
      <c r="L4812" s="382">
        <v>1.0</v>
      </c>
    </row>
    <row r="4813">
      <c r="A4813" s="380" t="s">
        <v>5686</v>
      </c>
      <c r="B4813" s="380" t="str">
        <f>IFERROR(__xludf.DUMMYFUNCTION("""COMPUTED_VALUE"""),"Retenedor Rueda Trasera Hino")</f>
        <v>Retenedor Rueda Trasera Hino</v>
      </c>
      <c r="C4813" s="380" t="str">
        <f>IFERROR(__xludf.DUMMYFUNCTION("""COMPUTED_VALUE"""),"70000195")</f>
        <v>70000195</v>
      </c>
      <c r="D4813" s="380" t="s">
        <v>767</v>
      </c>
      <c r="E4813" s="380" t="s">
        <v>786</v>
      </c>
      <c r="F4813" s="380" t="s">
        <v>1039</v>
      </c>
      <c r="G4813" s="380" t="s">
        <v>1267</v>
      </c>
      <c r="H4813" s="380" t="s">
        <v>771</v>
      </c>
      <c r="I4813" s="380" t="s">
        <v>788</v>
      </c>
      <c r="J4813" s="380" t="s">
        <v>773</v>
      </c>
      <c r="K4813" s="381">
        <v>0.0</v>
      </c>
      <c r="L4813" s="382">
        <v>1.0</v>
      </c>
    </row>
    <row r="4814">
      <c r="A4814" s="380" t="s">
        <v>5687</v>
      </c>
      <c r="B4814" s="380" t="str">
        <f>IFERROR(__xludf.DUMMYFUNCTION("""COMPUTED_VALUE"""),"Retenedor Hausin Hino 105025")</f>
        <v>Retenedor Hausin Hino 105025</v>
      </c>
      <c r="C4814" s="380" t="str">
        <f>IFERROR(__xludf.DUMMYFUNCTION("""COMPUTED_VALUE"""),"70000196")</f>
        <v>70000196</v>
      </c>
      <c r="D4814" s="380" t="s">
        <v>767</v>
      </c>
      <c r="E4814" s="380" t="s">
        <v>786</v>
      </c>
      <c r="F4814" s="380" t="s">
        <v>5683</v>
      </c>
      <c r="G4814" s="380" t="s">
        <v>1267</v>
      </c>
      <c r="H4814" s="380" t="s">
        <v>771</v>
      </c>
      <c r="I4814" s="380" t="s">
        <v>788</v>
      </c>
      <c r="J4814" s="380" t="s">
        <v>773</v>
      </c>
      <c r="K4814" s="381">
        <v>0.0</v>
      </c>
      <c r="L4814" s="382">
        <v>1.0</v>
      </c>
    </row>
    <row r="4815">
      <c r="A4815" s="380" t="s">
        <v>5688</v>
      </c>
      <c r="B4815" s="380" t="str">
        <f>IFERROR(__xludf.DUMMYFUNCTION("""COMPUTED_VALUE"""),"Sincronizador De Rev Hino")</f>
        <v>Sincronizador De Rev Hino</v>
      </c>
      <c r="C4815" s="380" t="str">
        <f>IFERROR(__xludf.DUMMYFUNCTION("""COMPUTED_VALUE"""),"70000197")</f>
        <v>70000197</v>
      </c>
      <c r="D4815" s="380" t="s">
        <v>767</v>
      </c>
      <c r="E4815" s="380" t="s">
        <v>786</v>
      </c>
      <c r="F4815" s="380" t="s">
        <v>928</v>
      </c>
      <c r="G4815" s="380" t="s">
        <v>1267</v>
      </c>
      <c r="H4815" s="380" t="s">
        <v>771</v>
      </c>
      <c r="I4815" s="380" t="s">
        <v>788</v>
      </c>
      <c r="J4815" s="380" t="s">
        <v>773</v>
      </c>
      <c r="K4815" s="381">
        <v>0.0</v>
      </c>
      <c r="L4815" s="382">
        <v>1.0</v>
      </c>
    </row>
    <row r="4816">
      <c r="A4816" s="380" t="s">
        <v>5689</v>
      </c>
      <c r="B4816" s="380" t="str">
        <f>IFERROR(__xludf.DUMMYFUNCTION("""COMPUTED_VALUE"""),"Emblema Puerta Hi Isx 3550918C2")</f>
        <v>Emblema Puerta Hi Isx 3550918C2</v>
      </c>
      <c r="C4816" s="380" t="str">
        <f>IFERROR(__xludf.DUMMYFUNCTION("""COMPUTED_VALUE"""),"70000198")</f>
        <v>70000198</v>
      </c>
      <c r="D4816" s="380" t="s">
        <v>767</v>
      </c>
      <c r="E4816" s="380" t="s">
        <v>786</v>
      </c>
      <c r="F4816" s="380" t="s">
        <v>792</v>
      </c>
      <c r="G4816" s="380" t="s">
        <v>1267</v>
      </c>
      <c r="H4816" s="380" t="s">
        <v>771</v>
      </c>
      <c r="I4816" s="380" t="s">
        <v>788</v>
      </c>
      <c r="J4816" s="380" t="s">
        <v>773</v>
      </c>
      <c r="K4816" s="381">
        <v>0.0</v>
      </c>
      <c r="L4816" s="382">
        <v>1.0</v>
      </c>
    </row>
    <row r="4817">
      <c r="A4817" s="380" t="s">
        <v>5690</v>
      </c>
      <c r="B4817" s="380" t="str">
        <f>IFERROR(__xludf.DUMMYFUNCTION("""COMPUTED_VALUE"""),"Empaque Culata 2 Muesca NkrRW 8973288672")</f>
        <v>Empaque Culata 2 Muesca NkrRW 8973288672</v>
      </c>
      <c r="C4817" s="380" t="str">
        <f>IFERROR(__xludf.DUMMYFUNCTION("""COMPUTED_VALUE"""),"70000199")</f>
        <v>70000199</v>
      </c>
      <c r="D4817" s="380" t="s">
        <v>767</v>
      </c>
      <c r="E4817" s="380" t="s">
        <v>786</v>
      </c>
      <c r="F4817" s="380" t="s">
        <v>787</v>
      </c>
      <c r="G4817" s="380" t="s">
        <v>1267</v>
      </c>
      <c r="H4817" s="380" t="s">
        <v>771</v>
      </c>
      <c r="I4817" s="380" t="s">
        <v>788</v>
      </c>
      <c r="J4817" s="380" t="s">
        <v>773</v>
      </c>
      <c r="K4817" s="381">
        <v>0.0</v>
      </c>
      <c r="L4817" s="382">
        <v>1.0</v>
      </c>
    </row>
    <row r="4818">
      <c r="A4818" s="380" t="s">
        <v>5691</v>
      </c>
      <c r="B4818" s="380" t="str">
        <f>IFERROR(__xludf.DUMMYFUNCTION("""COMPUTED_VALUE"""),"Biela Caja Direccion Nkr-Nhr 8971092891")</f>
        <v>Biela Caja Direccion Nkr-Nhr 8971092891</v>
      </c>
      <c r="C4818" s="380" t="str">
        <f>IFERROR(__xludf.DUMMYFUNCTION("""COMPUTED_VALUE"""),"70000200")</f>
        <v>70000200</v>
      </c>
      <c r="D4818" s="380" t="s">
        <v>767</v>
      </c>
      <c r="E4818" s="380" t="s">
        <v>786</v>
      </c>
      <c r="F4818" s="380" t="s">
        <v>1020</v>
      </c>
      <c r="G4818" s="380" t="s">
        <v>1267</v>
      </c>
      <c r="H4818" s="380" t="s">
        <v>771</v>
      </c>
      <c r="I4818" s="380" t="s">
        <v>788</v>
      </c>
      <c r="J4818" s="380" t="s">
        <v>773</v>
      </c>
      <c r="K4818" s="381">
        <v>0.0</v>
      </c>
      <c r="L4818" s="382">
        <v>1.0</v>
      </c>
    </row>
    <row r="4819">
      <c r="A4819" s="380" t="s">
        <v>5692</v>
      </c>
      <c r="B4819" s="380" t="str">
        <f>IFERROR(__xludf.DUMMYFUNCTION("""COMPUTED_VALUE"""),"Monoshock 200XM Akt200")</f>
        <v>Monoshock 200XM Akt200</v>
      </c>
      <c r="C4819" s="380" t="str">
        <f>IFERROR(__xludf.DUMMYFUNCTION("""COMPUTED_VALUE"""),"70000201")</f>
        <v>70000201</v>
      </c>
      <c r="D4819" s="380" t="s">
        <v>767</v>
      </c>
      <c r="E4819" s="380" t="s">
        <v>786</v>
      </c>
      <c r="F4819" s="380" t="s">
        <v>1039</v>
      </c>
      <c r="G4819" s="380" t="s">
        <v>1267</v>
      </c>
      <c r="H4819" s="380" t="s">
        <v>771</v>
      </c>
      <c r="I4819" s="380" t="s">
        <v>788</v>
      </c>
      <c r="J4819" s="380" t="s">
        <v>773</v>
      </c>
      <c r="K4819" s="381">
        <v>0.0</v>
      </c>
      <c r="L4819" s="382">
        <v>1.0</v>
      </c>
    </row>
    <row r="4820">
      <c r="A4820" s="380" t="s">
        <v>5693</v>
      </c>
      <c r="B4820" s="380" t="str">
        <f>IFERROR(__xludf.DUMMYFUNCTION("""COMPUTED_VALUE"""),"Farola Completa 200xm Akt200")</f>
        <v>Farola Completa 200xm Akt200</v>
      </c>
      <c r="C4820" s="380" t="str">
        <f>IFERROR(__xludf.DUMMYFUNCTION("""COMPUTED_VALUE"""),"70000202")</f>
        <v>70000202</v>
      </c>
      <c r="D4820" s="380" t="s">
        <v>767</v>
      </c>
      <c r="E4820" s="380" t="s">
        <v>786</v>
      </c>
      <c r="F4820" s="380" t="s">
        <v>998</v>
      </c>
      <c r="G4820" s="380" t="s">
        <v>1267</v>
      </c>
      <c r="H4820" s="380" t="s">
        <v>771</v>
      </c>
      <c r="I4820" s="380" t="s">
        <v>788</v>
      </c>
      <c r="J4820" s="380" t="s">
        <v>773</v>
      </c>
      <c r="K4820" s="381">
        <v>0.0</v>
      </c>
      <c r="L4820" s="382">
        <v>1.0</v>
      </c>
    </row>
    <row r="4821">
      <c r="A4821" s="380" t="s">
        <v>5694</v>
      </c>
      <c r="B4821" s="380" t="str">
        <f>IFERROR(__xludf.DUMMYFUNCTION("""COMPUTED_VALUE"""),"Bomba Freno Delantero 200xm Akt200")</f>
        <v>Bomba Freno Delantero 200xm Akt200</v>
      </c>
      <c r="C4821" s="380" t="str">
        <f>IFERROR(__xludf.DUMMYFUNCTION("""COMPUTED_VALUE"""),"70000203")</f>
        <v>70000203</v>
      </c>
      <c r="D4821" s="380" t="s">
        <v>767</v>
      </c>
      <c r="E4821" s="380" t="s">
        <v>786</v>
      </c>
      <c r="F4821" s="380" t="s">
        <v>1017</v>
      </c>
      <c r="G4821" s="380" t="s">
        <v>1267</v>
      </c>
      <c r="H4821" s="380" t="s">
        <v>771</v>
      </c>
      <c r="I4821" s="380" t="s">
        <v>788</v>
      </c>
      <c r="J4821" s="380" t="s">
        <v>773</v>
      </c>
      <c r="K4821" s="381">
        <v>0.0</v>
      </c>
      <c r="L4821" s="382">
        <v>1.0</v>
      </c>
    </row>
    <row r="4822">
      <c r="A4822" s="380" t="s">
        <v>5695</v>
      </c>
      <c r="B4822" s="380" t="str">
        <f>IFERROR(__xludf.DUMMYFUNCTION("""COMPUTED_VALUE"""),"Switch Encendido Akt 125 200 XM 200")</f>
        <v>Switch Encendido Akt 125 200 XM 200</v>
      </c>
      <c r="C4822" s="380" t="str">
        <f>IFERROR(__xludf.DUMMYFUNCTION("""COMPUTED_VALUE"""),"70000204")</f>
        <v>70000204</v>
      </c>
      <c r="D4822" s="380" t="s">
        <v>767</v>
      </c>
      <c r="E4822" s="380" t="s">
        <v>786</v>
      </c>
      <c r="F4822" s="380" t="s">
        <v>998</v>
      </c>
      <c r="G4822" s="380" t="s">
        <v>1267</v>
      </c>
      <c r="H4822" s="380" t="s">
        <v>771</v>
      </c>
      <c r="I4822" s="380" t="s">
        <v>788</v>
      </c>
      <c r="J4822" s="380" t="s">
        <v>773</v>
      </c>
      <c r="K4822" s="381">
        <v>0.0</v>
      </c>
      <c r="L4822" s="382">
        <v>1.0</v>
      </c>
    </row>
    <row r="4823">
      <c r="A4823" s="380" t="s">
        <v>5696</v>
      </c>
      <c r="B4823" s="380" t="str">
        <f>IFERROR(__xludf.DUMMYFUNCTION("""COMPUTED_VALUE"""),"Valvula Control Egr Nkr-Nhr 8971710300")</f>
        <v>Valvula Control Egr Nkr-Nhr 8971710300</v>
      </c>
      <c r="C4823" s="380" t="str">
        <f>IFERROR(__xludf.DUMMYFUNCTION("""COMPUTED_VALUE"""),"70000205")</f>
        <v>70000205</v>
      </c>
      <c r="D4823" s="380" t="s">
        <v>767</v>
      </c>
      <c r="E4823" s="380" t="s">
        <v>786</v>
      </c>
      <c r="F4823" s="380" t="s">
        <v>787</v>
      </c>
      <c r="G4823" s="380" t="s">
        <v>1267</v>
      </c>
      <c r="H4823" s="380" t="s">
        <v>771</v>
      </c>
      <c r="I4823" s="380" t="s">
        <v>788</v>
      </c>
      <c r="J4823" s="380" t="s">
        <v>773</v>
      </c>
      <c r="K4823" s="381">
        <v>0.0</v>
      </c>
      <c r="L4823" s="382">
        <v>1.0</v>
      </c>
    </row>
    <row r="4824">
      <c r="A4824" s="380" t="s">
        <v>5697</v>
      </c>
      <c r="B4824" s="380" t="str">
        <f>IFERROR(__xludf.DUMMYFUNCTION("""COMPUTED_VALUE"""),"Cubierta Inf Dir Nkr III 8973984500")</f>
        <v>Cubierta Inf Dir Nkr III 8973984500</v>
      </c>
      <c r="C4824" s="380" t="str">
        <f>IFERROR(__xludf.DUMMYFUNCTION("""COMPUTED_VALUE"""),"70000206")</f>
        <v>70000206</v>
      </c>
      <c r="D4824" s="380" t="s">
        <v>767</v>
      </c>
      <c r="E4824" s="380" t="s">
        <v>786</v>
      </c>
      <c r="F4824" s="380" t="s">
        <v>1020</v>
      </c>
      <c r="G4824" s="380" t="s">
        <v>1267</v>
      </c>
      <c r="H4824" s="380" t="s">
        <v>771</v>
      </c>
      <c r="I4824" s="380" t="s">
        <v>788</v>
      </c>
      <c r="J4824" s="380" t="s">
        <v>773</v>
      </c>
      <c r="K4824" s="381">
        <v>0.0</v>
      </c>
      <c r="L4824" s="382">
        <v>1.0</v>
      </c>
    </row>
    <row r="4825">
      <c r="A4825" s="380" t="s">
        <v>5698</v>
      </c>
      <c r="B4825" s="380" t="str">
        <f>IFERROR(__xludf.DUMMYFUNCTION("""COMPUTED_VALUE"""),"Panel Frontal Cab NkrIII 2010 8975828712")</f>
        <v>Panel Frontal Cab NkrIII 2010 8975828712</v>
      </c>
      <c r="C4825" s="380" t="str">
        <f>IFERROR(__xludf.DUMMYFUNCTION("""COMPUTED_VALUE"""),"70000207")</f>
        <v>70000207</v>
      </c>
      <c r="D4825" s="380" t="s">
        <v>767</v>
      </c>
      <c r="E4825" s="380" t="s">
        <v>786</v>
      </c>
      <c r="F4825" s="380" t="s">
        <v>792</v>
      </c>
      <c r="G4825" s="380" t="s">
        <v>1267</v>
      </c>
      <c r="H4825" s="380" t="s">
        <v>771</v>
      </c>
      <c r="I4825" s="380" t="s">
        <v>788</v>
      </c>
      <c r="J4825" s="380" t="s">
        <v>773</v>
      </c>
      <c r="K4825" s="381">
        <v>0.0</v>
      </c>
      <c r="L4825" s="382">
        <v>1.0</v>
      </c>
    </row>
    <row r="4826">
      <c r="A4826" s="380" t="s">
        <v>5699</v>
      </c>
      <c r="B4826" s="380" t="str">
        <f>IFERROR(__xludf.DUMMYFUNCTION("""COMPUTED_VALUE"""),"Emblema Chevrolet Npr Nkr Nhr 8980058411")</f>
        <v>Emblema Chevrolet Npr Nkr Nhr 8980058411</v>
      </c>
      <c r="C4826" s="380" t="str">
        <f>IFERROR(__xludf.DUMMYFUNCTION("""COMPUTED_VALUE"""),"70000208")</f>
        <v>70000208</v>
      </c>
      <c r="D4826" s="380" t="s">
        <v>767</v>
      </c>
      <c r="E4826" s="380" t="s">
        <v>786</v>
      </c>
      <c r="F4826" s="380" t="s">
        <v>792</v>
      </c>
      <c r="G4826" s="380" t="s">
        <v>1267</v>
      </c>
      <c r="H4826" s="380" t="s">
        <v>771</v>
      </c>
      <c r="I4826" s="380" t="s">
        <v>788</v>
      </c>
      <c r="J4826" s="380" t="s">
        <v>773</v>
      </c>
      <c r="K4826" s="381">
        <v>0.0</v>
      </c>
      <c r="L4826" s="382">
        <v>1.0</v>
      </c>
    </row>
    <row r="4827">
      <c r="A4827" s="380" t="s">
        <v>5700</v>
      </c>
      <c r="B4827" s="380" t="str">
        <f>IFERROR(__xludf.DUMMYFUNCTION("""COMPUTED_VALUE"""),"Panel Front Cab NkrIII 2010 8975828680")</f>
        <v>Panel Front Cab NkrIII 2010 8975828680</v>
      </c>
      <c r="C4827" s="380" t="str">
        <f>IFERROR(__xludf.DUMMYFUNCTION("""COMPUTED_VALUE"""),"70000209")</f>
        <v>70000209</v>
      </c>
      <c r="D4827" s="380" t="s">
        <v>767</v>
      </c>
      <c r="E4827" s="380" t="s">
        <v>786</v>
      </c>
      <c r="F4827" s="380" t="s">
        <v>792</v>
      </c>
      <c r="G4827" s="380" t="s">
        <v>1267</v>
      </c>
      <c r="H4827" s="380" t="s">
        <v>771</v>
      </c>
      <c r="I4827" s="380" t="s">
        <v>788</v>
      </c>
      <c r="J4827" s="380" t="s">
        <v>773</v>
      </c>
      <c r="K4827" s="381">
        <v>0.0</v>
      </c>
      <c r="L4827" s="382">
        <v>1.0</v>
      </c>
    </row>
    <row r="4828">
      <c r="A4828" s="380" t="s">
        <v>5701</v>
      </c>
      <c r="B4828" s="380" t="str">
        <f>IFERROR(__xludf.DUMMYFUNCTION("""COMPUTED_VALUE"""),"Sensor Temp Diferencial Eagle 1675751C1")</f>
        <v>Sensor Temp Diferencial Eagle 1675751C1</v>
      </c>
      <c r="C4828" s="380" t="str">
        <f>IFERROR(__xludf.DUMMYFUNCTION("""COMPUTED_VALUE"""),"70000210")</f>
        <v>70000210</v>
      </c>
      <c r="D4828" s="380" t="s">
        <v>767</v>
      </c>
      <c r="E4828" s="380" t="s">
        <v>786</v>
      </c>
      <c r="F4828" s="380" t="s">
        <v>998</v>
      </c>
      <c r="G4828" s="380" t="s">
        <v>1267</v>
      </c>
      <c r="H4828" s="380" t="s">
        <v>771</v>
      </c>
      <c r="I4828" s="380" t="s">
        <v>788</v>
      </c>
      <c r="J4828" s="380" t="s">
        <v>773</v>
      </c>
      <c r="K4828" s="381">
        <v>0.0</v>
      </c>
      <c r="L4828" s="382">
        <v>1.0</v>
      </c>
    </row>
    <row r="4829">
      <c r="A4829" s="380" t="s">
        <v>5702</v>
      </c>
      <c r="B4829" s="380" t="str">
        <f>IFERROR(__xludf.DUMMYFUNCTION("""COMPUTED_VALUE"""),"Switch Pito Cabrill Izq Hi4300 2590922C1")</f>
        <v>Switch Pito Cabrill Izq Hi4300 2590922C1</v>
      </c>
      <c r="C4829" s="380" t="str">
        <f>IFERROR(__xludf.DUMMYFUNCTION("""COMPUTED_VALUE"""),"70000211")</f>
        <v>70000211</v>
      </c>
      <c r="D4829" s="380" t="s">
        <v>767</v>
      </c>
      <c r="E4829" s="380" t="s">
        <v>786</v>
      </c>
      <c r="F4829" s="380" t="s">
        <v>998</v>
      </c>
      <c r="G4829" s="380" t="s">
        <v>1267</v>
      </c>
      <c r="H4829" s="380" t="s">
        <v>771</v>
      </c>
      <c r="I4829" s="380" t="s">
        <v>788</v>
      </c>
      <c r="J4829" s="380" t="s">
        <v>773</v>
      </c>
      <c r="K4829" s="381">
        <v>647083.0</v>
      </c>
      <c r="L4829" s="382">
        <v>1.0</v>
      </c>
    </row>
    <row r="4830">
      <c r="A4830" s="380" t="s">
        <v>5703</v>
      </c>
      <c r="B4830" s="380" t="str">
        <f>IFERROR(__xludf.DUMMYFUNCTION("""COMPUTED_VALUE"""),"Valvula Selenoide Fanclucht KW 993308")</f>
        <v>Valvula Selenoide Fanclucht KW 993308</v>
      </c>
      <c r="C4830" s="380" t="str">
        <f>IFERROR(__xludf.DUMMYFUNCTION("""COMPUTED_VALUE"""),"70000212")</f>
        <v>70000212</v>
      </c>
      <c r="D4830" s="380" t="s">
        <v>767</v>
      </c>
      <c r="E4830" s="380" t="s">
        <v>786</v>
      </c>
      <c r="F4830" s="380" t="s">
        <v>998</v>
      </c>
      <c r="G4830" s="380" t="s">
        <v>1267</v>
      </c>
      <c r="H4830" s="380" t="s">
        <v>771</v>
      </c>
      <c r="I4830" s="380" t="s">
        <v>788</v>
      </c>
      <c r="J4830" s="380" t="s">
        <v>773</v>
      </c>
      <c r="K4830" s="381">
        <v>0.0</v>
      </c>
      <c r="L4830" s="382">
        <v>1.0</v>
      </c>
    </row>
    <row r="4831">
      <c r="A4831" s="380" t="s">
        <v>5704</v>
      </c>
      <c r="B4831" s="380" t="str">
        <f>IFERROR(__xludf.DUMMYFUNCTION("""COMPUTED_VALUE"""),"Switch Ignicion KW T800 CAT7S6402")</f>
        <v>Switch Ignicion KW T800 CAT7S6402</v>
      </c>
      <c r="C4831" s="380" t="str">
        <f>IFERROR(__xludf.DUMMYFUNCTION("""COMPUTED_VALUE"""),"70000213")</f>
        <v>70000213</v>
      </c>
      <c r="D4831" s="380" t="s">
        <v>767</v>
      </c>
      <c r="E4831" s="380" t="s">
        <v>786</v>
      </c>
      <c r="F4831" s="380" t="s">
        <v>998</v>
      </c>
      <c r="G4831" s="380" t="s">
        <v>1267</v>
      </c>
      <c r="H4831" s="380" t="s">
        <v>771</v>
      </c>
      <c r="I4831" s="380" t="s">
        <v>788</v>
      </c>
      <c r="J4831" s="380" t="s">
        <v>773</v>
      </c>
      <c r="K4831" s="381">
        <v>0.0</v>
      </c>
      <c r="L4831" s="382">
        <v>1.0</v>
      </c>
    </row>
    <row r="4832">
      <c r="A4832" s="380" t="s">
        <v>5705</v>
      </c>
      <c r="B4832" s="380" t="str">
        <f>IFERROR(__xludf.DUMMYFUNCTION("""COMPUTED_VALUE"""),"Terminal Ext Caja Dir N200 24510351")</f>
        <v>Terminal Ext Caja Dir N200 24510351</v>
      </c>
      <c r="C4832" s="380" t="str">
        <f>IFERROR(__xludf.DUMMYFUNCTION("""COMPUTED_VALUE"""),"70000214")</f>
        <v>70000214</v>
      </c>
      <c r="D4832" s="380" t="s">
        <v>767</v>
      </c>
      <c r="E4832" s="380" t="s">
        <v>786</v>
      </c>
      <c r="F4832" s="380" t="s">
        <v>1020</v>
      </c>
      <c r="G4832" s="380" t="s">
        <v>1267</v>
      </c>
      <c r="H4832" s="380" t="s">
        <v>771</v>
      </c>
      <c r="I4832" s="380" t="s">
        <v>788</v>
      </c>
      <c r="J4832" s="380" t="s">
        <v>773</v>
      </c>
      <c r="K4832" s="381">
        <v>0.0</v>
      </c>
      <c r="L4832" s="382">
        <v>1.0</v>
      </c>
    </row>
    <row r="4833">
      <c r="A4833" s="380" t="s">
        <v>5706</v>
      </c>
      <c r="B4833" s="380" t="str">
        <f>IFERROR(__xludf.DUMMYFUNCTION("""COMPUTED_VALUE"""),"Leva Freno Mula-- Gruesa/Men")</f>
        <v>Leva Freno Mula-- Gruesa/Men</v>
      </c>
      <c r="C4833" s="380" t="str">
        <f>IFERROR(__xludf.DUMMYFUNCTION("""COMPUTED_VALUE"""),"70000215")</f>
        <v>70000215</v>
      </c>
      <c r="D4833" s="380" t="s">
        <v>767</v>
      </c>
      <c r="E4833" s="380" t="s">
        <v>786</v>
      </c>
      <c r="F4833" s="380" t="s">
        <v>1017</v>
      </c>
      <c r="G4833" s="380" t="s">
        <v>1267</v>
      </c>
      <c r="H4833" s="380" t="s">
        <v>771</v>
      </c>
      <c r="I4833" s="380" t="s">
        <v>788</v>
      </c>
      <c r="J4833" s="380" t="s">
        <v>773</v>
      </c>
      <c r="K4833" s="381">
        <v>0.0</v>
      </c>
      <c r="L4833" s="382">
        <v>1.0</v>
      </c>
    </row>
    <row r="4834">
      <c r="A4834" s="380" t="s">
        <v>5707</v>
      </c>
      <c r="B4834" s="380" t="str">
        <f>IFERROR(__xludf.DUMMYFUNCTION("""COMPUTED_VALUE"""),"Kit Cilindros Puerta Eagle 1682044C92")</f>
        <v>Kit Cilindros Puerta Eagle 1682044C92</v>
      </c>
      <c r="C4834" s="380" t="str">
        <f>IFERROR(__xludf.DUMMYFUNCTION("""COMPUTED_VALUE"""),"70000216")</f>
        <v>70000216</v>
      </c>
      <c r="D4834" s="380" t="s">
        <v>767</v>
      </c>
      <c r="E4834" s="380" t="s">
        <v>786</v>
      </c>
      <c r="F4834" s="380" t="s">
        <v>792</v>
      </c>
      <c r="G4834" s="380" t="s">
        <v>1267</v>
      </c>
      <c r="H4834" s="380" t="s">
        <v>771</v>
      </c>
      <c r="I4834" s="380" t="s">
        <v>788</v>
      </c>
      <c r="J4834" s="380" t="s">
        <v>773</v>
      </c>
      <c r="K4834" s="381">
        <v>0.0</v>
      </c>
      <c r="L4834" s="382">
        <v>1.0</v>
      </c>
    </row>
    <row r="4835">
      <c r="A4835" s="380" t="s">
        <v>5708</v>
      </c>
      <c r="B4835" s="380" t="str">
        <f>IFERROR(__xludf.DUMMYFUNCTION("""COMPUTED_VALUE"""),"Hoja Resorte Trasera KW 59009/10")</f>
        <v>Hoja Resorte Trasera KW 59009/10</v>
      </c>
      <c r="C4835" s="380" t="str">
        <f>IFERROR(__xludf.DUMMYFUNCTION("""COMPUTED_VALUE"""),"70000217")</f>
        <v>70000217</v>
      </c>
      <c r="D4835" s="380" t="s">
        <v>767</v>
      </c>
      <c r="E4835" s="380" t="s">
        <v>786</v>
      </c>
      <c r="F4835" s="380" t="s">
        <v>1039</v>
      </c>
      <c r="G4835" s="380" t="s">
        <v>1267</v>
      </c>
      <c r="H4835" s="380" t="s">
        <v>771</v>
      </c>
      <c r="I4835" s="380" t="s">
        <v>788</v>
      </c>
      <c r="J4835" s="380" t="s">
        <v>773</v>
      </c>
      <c r="K4835" s="381">
        <v>0.0</v>
      </c>
      <c r="L4835" s="382">
        <v>1.0</v>
      </c>
    </row>
    <row r="4836">
      <c r="A4836" s="380" t="s">
        <v>5709</v>
      </c>
      <c r="B4836" s="380" t="str">
        <f>IFERROR(__xludf.DUMMYFUNCTION("""COMPUTED_VALUE"""),"Hoja Resorte Trasera KW 59009/11")</f>
        <v>Hoja Resorte Trasera KW 59009/11</v>
      </c>
      <c r="C4836" s="380" t="str">
        <f>IFERROR(__xludf.DUMMYFUNCTION("""COMPUTED_VALUE"""),"70000218")</f>
        <v>70000218</v>
      </c>
      <c r="D4836" s="380" t="s">
        <v>767</v>
      </c>
      <c r="E4836" s="380" t="s">
        <v>786</v>
      </c>
      <c r="F4836" s="380" t="s">
        <v>1039</v>
      </c>
      <c r="G4836" s="380" t="s">
        <v>1267</v>
      </c>
      <c r="H4836" s="380" t="s">
        <v>771</v>
      </c>
      <c r="I4836" s="380" t="s">
        <v>788</v>
      </c>
      <c r="J4836" s="380" t="s">
        <v>773</v>
      </c>
      <c r="K4836" s="381">
        <v>0.0</v>
      </c>
      <c r="L4836" s="382">
        <v>1.0</v>
      </c>
    </row>
    <row r="4837">
      <c r="A4837" s="380" t="s">
        <v>5710</v>
      </c>
      <c r="B4837" s="380" t="str">
        <f>IFERROR(__xludf.DUMMYFUNCTION("""COMPUTED_VALUE"""),"Kit Embrague Hyundai")</f>
        <v>Kit Embrague Hyundai</v>
      </c>
      <c r="C4837" s="380" t="str">
        <f>IFERROR(__xludf.DUMMYFUNCTION("""COMPUTED_VALUE"""),"70000219")</f>
        <v>70000219</v>
      </c>
      <c r="D4837" s="380" t="s">
        <v>767</v>
      </c>
      <c r="E4837" s="380" t="s">
        <v>786</v>
      </c>
      <c r="F4837" s="380" t="s">
        <v>5661</v>
      </c>
      <c r="G4837" s="380" t="s">
        <v>1267</v>
      </c>
      <c r="H4837" s="380" t="s">
        <v>771</v>
      </c>
      <c r="I4837" s="380" t="s">
        <v>788</v>
      </c>
      <c r="J4837" s="380" t="s">
        <v>773</v>
      </c>
      <c r="K4837" s="381">
        <v>0.0</v>
      </c>
      <c r="L4837" s="382">
        <v>1.0</v>
      </c>
    </row>
    <row r="4838">
      <c r="A4838" s="380" t="s">
        <v>5711</v>
      </c>
      <c r="B4838" s="380" t="str">
        <f>IFERROR(__xludf.DUMMYFUNCTION("""COMPUTED_VALUE"""),"Kit Rep Menor Freno HD6-1/2 Eag KIT8002H")</f>
        <v>Kit Rep Menor Freno HD6-1/2 Eag KIT8002H</v>
      </c>
      <c r="C4838" s="380" t="str">
        <f>IFERROR(__xludf.DUMMYFUNCTION("""COMPUTED_VALUE"""),"70000220")</f>
        <v>70000220</v>
      </c>
      <c r="D4838" s="380" t="s">
        <v>767</v>
      </c>
      <c r="E4838" s="380" t="s">
        <v>786</v>
      </c>
      <c r="F4838" s="380" t="s">
        <v>1017</v>
      </c>
      <c r="G4838" s="380" t="s">
        <v>1267</v>
      </c>
      <c r="H4838" s="380" t="s">
        <v>771</v>
      </c>
      <c r="I4838" s="380" t="s">
        <v>788</v>
      </c>
      <c r="J4838" s="380" t="s">
        <v>773</v>
      </c>
      <c r="K4838" s="381">
        <v>0.0</v>
      </c>
      <c r="L4838" s="382">
        <v>1.0</v>
      </c>
    </row>
    <row r="4839">
      <c r="A4839" s="380" t="s">
        <v>5712</v>
      </c>
      <c r="B4839" s="380" t="str">
        <f>IFERROR(__xludf.DUMMYFUNCTION("""COMPUTED_VALUE"""),"Sello Valvula Moto Xl200 Honda")</f>
        <v>Sello Valvula Moto Xl200 Honda</v>
      </c>
      <c r="C4839" s="380" t="str">
        <f>IFERROR(__xludf.DUMMYFUNCTION("""COMPUTED_VALUE"""),"70000221")</f>
        <v>70000221</v>
      </c>
      <c r="D4839" s="380" t="s">
        <v>767</v>
      </c>
      <c r="E4839" s="380" t="s">
        <v>786</v>
      </c>
      <c r="F4839" s="380" t="s">
        <v>787</v>
      </c>
      <c r="G4839" s="380" t="s">
        <v>1267</v>
      </c>
      <c r="H4839" s="380" t="s">
        <v>771</v>
      </c>
      <c r="I4839" s="380" t="s">
        <v>788</v>
      </c>
      <c r="J4839" s="380" t="s">
        <v>773</v>
      </c>
      <c r="K4839" s="381">
        <v>0.0</v>
      </c>
      <c r="L4839" s="382">
        <v>1.0</v>
      </c>
    </row>
    <row r="4840">
      <c r="A4840" s="380" t="s">
        <v>5713</v>
      </c>
      <c r="B4840" s="380" t="str">
        <f>IFERROR(__xludf.DUMMYFUNCTION("""COMPUTED_VALUE"""),"Corona Y Speed Hino 4120180641")</f>
        <v>Corona Y Speed Hino 4120180641</v>
      </c>
      <c r="C4840" s="380" t="str">
        <f>IFERROR(__xludf.DUMMYFUNCTION("""COMPUTED_VALUE"""),"70000222")</f>
        <v>70000222</v>
      </c>
      <c r="D4840" s="380" t="s">
        <v>767</v>
      </c>
      <c r="E4840" s="380" t="s">
        <v>786</v>
      </c>
      <c r="F4840" s="380" t="s">
        <v>5683</v>
      </c>
      <c r="G4840" s="380" t="s">
        <v>1267</v>
      </c>
      <c r="H4840" s="380" t="s">
        <v>771</v>
      </c>
      <c r="I4840" s="380" t="s">
        <v>788</v>
      </c>
      <c r="J4840" s="380" t="s">
        <v>773</v>
      </c>
      <c r="K4840" s="381">
        <v>0.0</v>
      </c>
      <c r="L4840" s="382">
        <v>1.0</v>
      </c>
    </row>
    <row r="4841">
      <c r="A4841" s="380" t="s">
        <v>5714</v>
      </c>
      <c r="B4841" s="380" t="str">
        <f>IFERROR(__xludf.DUMMYFUNCTION("""COMPUTED_VALUE"""),"Rodillo Diferencial Hino 9036635108")</f>
        <v>Rodillo Diferencial Hino 9036635108</v>
      </c>
      <c r="C4841" s="380" t="str">
        <f>IFERROR(__xludf.DUMMYFUNCTION("""COMPUTED_VALUE"""),"70000223")</f>
        <v>70000223</v>
      </c>
      <c r="D4841" s="380" t="s">
        <v>767</v>
      </c>
      <c r="E4841" s="380" t="s">
        <v>786</v>
      </c>
      <c r="F4841" s="380" t="s">
        <v>5683</v>
      </c>
      <c r="G4841" s="380" t="s">
        <v>1267</v>
      </c>
      <c r="H4841" s="380" t="s">
        <v>771</v>
      </c>
      <c r="I4841" s="380" t="s">
        <v>788</v>
      </c>
      <c r="J4841" s="380" t="s">
        <v>773</v>
      </c>
      <c r="K4841" s="381">
        <v>0.0</v>
      </c>
      <c r="L4841" s="382">
        <v>1.0</v>
      </c>
    </row>
    <row r="4842">
      <c r="A4842" s="380" t="s">
        <v>5715</v>
      </c>
      <c r="B4842" s="380" t="str">
        <f>IFERROR(__xludf.DUMMYFUNCTION("""COMPUTED_VALUE"""),"Rodillo Diferencial Hino 9036640100")</f>
        <v>Rodillo Diferencial Hino 9036640100</v>
      </c>
      <c r="C4842" s="380" t="str">
        <f>IFERROR(__xludf.DUMMYFUNCTION("""COMPUTED_VALUE"""),"70000224")</f>
        <v>70000224</v>
      </c>
      <c r="D4842" s="380" t="s">
        <v>767</v>
      </c>
      <c r="E4842" s="380" t="s">
        <v>786</v>
      </c>
      <c r="F4842" s="380" t="s">
        <v>5683</v>
      </c>
      <c r="G4842" s="380" t="s">
        <v>1267</v>
      </c>
      <c r="H4842" s="380" t="s">
        <v>771</v>
      </c>
      <c r="I4842" s="380" t="s">
        <v>788</v>
      </c>
      <c r="J4842" s="380" t="s">
        <v>773</v>
      </c>
      <c r="K4842" s="381">
        <v>0.0</v>
      </c>
      <c r="L4842" s="382">
        <v>1.0</v>
      </c>
    </row>
    <row r="4843">
      <c r="A4843" s="380" t="s">
        <v>5716</v>
      </c>
      <c r="B4843" s="380" t="str">
        <f>IFERROR(__xludf.DUMMYFUNCTION("""COMPUTED_VALUE"""),"Rodillo Diferencial Hino 9036652004")</f>
        <v>Rodillo Diferencial Hino 9036652004</v>
      </c>
      <c r="C4843" s="380" t="str">
        <f>IFERROR(__xludf.DUMMYFUNCTION("""COMPUTED_VALUE"""),"70000225")</f>
        <v>70000225</v>
      </c>
      <c r="D4843" s="380" t="s">
        <v>767</v>
      </c>
      <c r="E4843" s="380" t="s">
        <v>786</v>
      </c>
      <c r="F4843" s="380" t="s">
        <v>5683</v>
      </c>
      <c r="G4843" s="380" t="s">
        <v>1267</v>
      </c>
      <c r="H4843" s="380" t="s">
        <v>771</v>
      </c>
      <c r="I4843" s="380" t="s">
        <v>788</v>
      </c>
      <c r="J4843" s="380" t="s">
        <v>773</v>
      </c>
      <c r="K4843" s="381">
        <v>0.0</v>
      </c>
      <c r="L4843" s="382">
        <v>1.0</v>
      </c>
    </row>
    <row r="4844">
      <c r="A4844" s="380" t="s">
        <v>5717</v>
      </c>
      <c r="B4844" s="380" t="str">
        <f>IFERROR(__xludf.DUMMYFUNCTION("""COMPUTED_VALUE"""),"Acople Diferencial Hino 4120437100")</f>
        <v>Acople Diferencial Hino 4120437100</v>
      </c>
      <c r="C4844" s="380" t="str">
        <f>IFERROR(__xludf.DUMMYFUNCTION("""COMPUTED_VALUE"""),"70000226")</f>
        <v>70000226</v>
      </c>
      <c r="D4844" s="380" t="s">
        <v>767</v>
      </c>
      <c r="E4844" s="380" t="s">
        <v>786</v>
      </c>
      <c r="F4844" s="380" t="s">
        <v>5683</v>
      </c>
      <c r="G4844" s="380" t="s">
        <v>1267</v>
      </c>
      <c r="H4844" s="380" t="s">
        <v>771</v>
      </c>
      <c r="I4844" s="380" t="s">
        <v>788</v>
      </c>
      <c r="J4844" s="380" t="s">
        <v>773</v>
      </c>
      <c r="K4844" s="381">
        <v>0.0</v>
      </c>
      <c r="L4844" s="382">
        <v>1.0</v>
      </c>
    </row>
    <row r="4845">
      <c r="A4845" s="380" t="s">
        <v>5718</v>
      </c>
      <c r="B4845" s="380" t="str">
        <f>IFERROR(__xludf.DUMMYFUNCTION("""COMPUTED_VALUE"""),"Cruceta Cardan N 200 9026216")</f>
        <v>Cruceta Cardan N 200 9026216</v>
      </c>
      <c r="C4845" s="380" t="str">
        <f>IFERROR(__xludf.DUMMYFUNCTION("""COMPUTED_VALUE"""),"70000227")</f>
        <v>70000227</v>
      </c>
      <c r="D4845" s="380" t="s">
        <v>767</v>
      </c>
      <c r="E4845" s="380" t="s">
        <v>786</v>
      </c>
      <c r="F4845" s="380" t="s">
        <v>5683</v>
      </c>
      <c r="G4845" s="380" t="s">
        <v>1267</v>
      </c>
      <c r="H4845" s="380" t="s">
        <v>771</v>
      </c>
      <c r="I4845" s="380" t="s">
        <v>788</v>
      </c>
      <c r="J4845" s="380" t="s">
        <v>773</v>
      </c>
      <c r="K4845" s="381">
        <v>0.0</v>
      </c>
      <c r="L4845" s="382">
        <v>1.0</v>
      </c>
    </row>
    <row r="4846">
      <c r="A4846" s="380" t="s">
        <v>5719</v>
      </c>
      <c r="B4846" s="380" t="str">
        <f>IFERROR(__xludf.DUMMYFUNCTION("""COMPUTED_VALUE"""),"Reten Enflache Caja Full 14718 KW K-2918")</f>
        <v>Reten Enflache Caja Full 14718 KW K-2918</v>
      </c>
      <c r="C4846" s="380" t="str">
        <f>IFERROR(__xludf.DUMMYFUNCTION("""COMPUTED_VALUE"""),"70000228")</f>
        <v>70000228</v>
      </c>
      <c r="D4846" s="380" t="s">
        <v>767</v>
      </c>
      <c r="E4846" s="380" t="s">
        <v>786</v>
      </c>
      <c r="F4846" s="380" t="s">
        <v>928</v>
      </c>
      <c r="G4846" s="380" t="s">
        <v>1267</v>
      </c>
      <c r="H4846" s="380" t="s">
        <v>771</v>
      </c>
      <c r="I4846" s="380" t="s">
        <v>788</v>
      </c>
      <c r="J4846" s="380" t="s">
        <v>773</v>
      </c>
      <c r="K4846" s="381">
        <v>0.0</v>
      </c>
      <c r="L4846" s="382">
        <v>1.0</v>
      </c>
    </row>
    <row r="4847">
      <c r="A4847" s="380" t="s">
        <v>5720</v>
      </c>
      <c r="B4847" s="380" t="str">
        <f>IFERROR(__xludf.DUMMYFUNCTION("""COMPUTED_VALUE"""),"Bocin Rueda Delantera Eagle 2591735C91")</f>
        <v>Bocin Rueda Delantera Eagle 2591735C91</v>
      </c>
      <c r="C4847" s="380" t="str">
        <f>IFERROR(__xludf.DUMMYFUNCTION("""COMPUTED_VALUE"""),"70000229")</f>
        <v>70000229</v>
      </c>
      <c r="D4847" s="380" t="s">
        <v>767</v>
      </c>
      <c r="E4847" s="380" t="s">
        <v>786</v>
      </c>
      <c r="F4847" s="380" t="s">
        <v>1017</v>
      </c>
      <c r="G4847" s="380" t="s">
        <v>1267</v>
      </c>
      <c r="H4847" s="380" t="s">
        <v>771</v>
      </c>
      <c r="I4847" s="380" t="s">
        <v>788</v>
      </c>
      <c r="J4847" s="380" t="s">
        <v>773</v>
      </c>
      <c r="K4847" s="381">
        <v>0.0</v>
      </c>
      <c r="L4847" s="382">
        <v>1.0</v>
      </c>
    </row>
    <row r="4848">
      <c r="A4848" s="380" t="s">
        <v>5721</v>
      </c>
      <c r="B4848" s="380" t="str">
        <f>IFERROR(__xludf.DUMMYFUNCTION("""COMPUTED_VALUE"""),"Gaveta Consola Cabina Eagle 3517150C1")</f>
        <v>Gaveta Consola Cabina Eagle 3517150C1</v>
      </c>
      <c r="C4848" s="380" t="str">
        <f>IFERROR(__xludf.DUMMYFUNCTION("""COMPUTED_VALUE"""),"70000230")</f>
        <v>70000230</v>
      </c>
      <c r="D4848" s="380" t="s">
        <v>767</v>
      </c>
      <c r="E4848" s="380" t="s">
        <v>786</v>
      </c>
      <c r="F4848" s="380" t="s">
        <v>792</v>
      </c>
      <c r="G4848" s="380" t="s">
        <v>1267</v>
      </c>
      <c r="H4848" s="380" t="s">
        <v>771</v>
      </c>
      <c r="I4848" s="380" t="s">
        <v>788</v>
      </c>
      <c r="J4848" s="380" t="s">
        <v>773</v>
      </c>
      <c r="K4848" s="381">
        <v>0.0</v>
      </c>
      <c r="L4848" s="382">
        <v>1.0</v>
      </c>
    </row>
    <row r="4849">
      <c r="A4849" s="380" t="s">
        <v>5722</v>
      </c>
      <c r="B4849" s="380" t="str">
        <f>IFERROR(__xludf.DUMMYFUNCTION("""COMPUTED_VALUE"""),"Empaque Conexión Aire Motor Isx 3102173")</f>
        <v>Empaque Conexión Aire Motor Isx 3102173</v>
      </c>
      <c r="C4849" s="380" t="str">
        <f>IFERROR(__xludf.DUMMYFUNCTION("""COMPUTED_VALUE"""),"70000231")</f>
        <v>70000231</v>
      </c>
      <c r="D4849" s="380" t="s">
        <v>767</v>
      </c>
      <c r="E4849" s="380" t="s">
        <v>786</v>
      </c>
      <c r="F4849" s="380" t="s">
        <v>787</v>
      </c>
      <c r="G4849" s="380" t="s">
        <v>1267</v>
      </c>
      <c r="H4849" s="380" t="s">
        <v>771</v>
      </c>
      <c r="I4849" s="380" t="s">
        <v>788</v>
      </c>
      <c r="J4849" s="380" t="s">
        <v>773</v>
      </c>
      <c r="K4849" s="381">
        <v>0.0</v>
      </c>
      <c r="L4849" s="382">
        <v>1.0</v>
      </c>
    </row>
    <row r="4850">
      <c r="A4850" s="380" t="s">
        <v>5723</v>
      </c>
      <c r="B4850" s="380" t="str">
        <f>IFERROR(__xludf.DUMMYFUNCTION("""COMPUTED_VALUE"""),"Kit Amortiguador Del Nkr III-52036348")</f>
        <v>Kit Amortiguador Del Nkr III-52036348</v>
      </c>
      <c r="C4850" s="380" t="str">
        <f>IFERROR(__xludf.DUMMYFUNCTION("""COMPUTED_VALUE"""),"70000232")</f>
        <v>70000232</v>
      </c>
      <c r="D4850" s="380" t="s">
        <v>767</v>
      </c>
      <c r="E4850" s="380" t="s">
        <v>786</v>
      </c>
      <c r="F4850" s="380" t="s">
        <v>1039</v>
      </c>
      <c r="G4850" s="380" t="s">
        <v>1267</v>
      </c>
      <c r="H4850" s="380" t="s">
        <v>771</v>
      </c>
      <c r="I4850" s="380" t="s">
        <v>788</v>
      </c>
      <c r="J4850" s="380" t="s">
        <v>773</v>
      </c>
      <c r="K4850" s="381">
        <v>0.0</v>
      </c>
      <c r="L4850" s="382">
        <v>1.0</v>
      </c>
    </row>
    <row r="4851">
      <c r="A4851" s="380" t="s">
        <v>5724</v>
      </c>
      <c r="B4851" s="380" t="str">
        <f>IFERROR(__xludf.DUMMYFUNCTION("""COMPUTED_VALUE"""),"Sensor Baja Pres Isx 1676786c2")</f>
        <v>Sensor Baja Pres Isx 1676786c2</v>
      </c>
      <c r="C4851" s="380" t="str">
        <f>IFERROR(__xludf.DUMMYFUNCTION("""COMPUTED_VALUE"""),"70000233")</f>
        <v>70000233</v>
      </c>
      <c r="D4851" s="380" t="s">
        <v>767</v>
      </c>
      <c r="E4851" s="380" t="s">
        <v>786</v>
      </c>
      <c r="F4851" s="380" t="s">
        <v>998</v>
      </c>
      <c r="G4851" s="380" t="s">
        <v>1267</v>
      </c>
      <c r="H4851" s="380" t="s">
        <v>771</v>
      </c>
      <c r="I4851" s="380" t="s">
        <v>788</v>
      </c>
      <c r="J4851" s="380" t="s">
        <v>773</v>
      </c>
      <c r="K4851" s="381">
        <v>0.0</v>
      </c>
      <c r="L4851" s="382">
        <v>1.0</v>
      </c>
    </row>
    <row r="4852">
      <c r="A4852" s="380" t="s">
        <v>5725</v>
      </c>
      <c r="B4852" s="380" t="str">
        <f>IFERROR(__xludf.DUMMYFUNCTION("""COMPUTED_VALUE"""),"Conector Mang L/brisas Nkr 8972161150")</f>
        <v>Conector Mang L/brisas Nkr 8972161150</v>
      </c>
      <c r="C4852" s="380" t="str">
        <f>IFERROR(__xludf.DUMMYFUNCTION("""COMPUTED_VALUE"""),"70000234")</f>
        <v>70000234</v>
      </c>
      <c r="D4852" s="380" t="s">
        <v>767</v>
      </c>
      <c r="E4852" s="380" t="s">
        <v>786</v>
      </c>
      <c r="F4852" s="380" t="s">
        <v>792</v>
      </c>
      <c r="G4852" s="380" t="s">
        <v>1267</v>
      </c>
      <c r="H4852" s="380" t="s">
        <v>771</v>
      </c>
      <c r="I4852" s="380" t="s">
        <v>788</v>
      </c>
      <c r="J4852" s="380" t="s">
        <v>773</v>
      </c>
      <c r="K4852" s="381">
        <v>0.0</v>
      </c>
      <c r="L4852" s="382">
        <v>1.0</v>
      </c>
    </row>
    <row r="4853">
      <c r="A4853" s="380" t="s">
        <v>5726</v>
      </c>
      <c r="B4853" s="380" t="str">
        <f>IFERROR(__xludf.DUMMYFUNCTION("""COMPUTED_VALUE"""),"Retenedor Rueda Trasera Hino SZ31101049")</f>
        <v>Retenedor Rueda Trasera Hino SZ31101049</v>
      </c>
      <c r="C4853" s="380" t="str">
        <f>IFERROR(__xludf.DUMMYFUNCTION("""COMPUTED_VALUE"""),"70000235")</f>
        <v>70000235</v>
      </c>
      <c r="D4853" s="380" t="s">
        <v>767</v>
      </c>
      <c r="E4853" s="380" t="s">
        <v>786</v>
      </c>
      <c r="F4853" s="380" t="s">
        <v>1039</v>
      </c>
      <c r="G4853" s="380" t="s">
        <v>1267</v>
      </c>
      <c r="H4853" s="380" t="s">
        <v>771</v>
      </c>
      <c r="I4853" s="380" t="s">
        <v>788</v>
      </c>
      <c r="J4853" s="380" t="s">
        <v>773</v>
      </c>
      <c r="K4853" s="381">
        <v>46685.0</v>
      </c>
      <c r="L4853" s="382">
        <v>1.0</v>
      </c>
    </row>
    <row r="4854">
      <c r="A4854" s="380" t="s">
        <v>5727</v>
      </c>
      <c r="B4854" s="380" t="str">
        <f>IFERROR(__xludf.DUMMYFUNCTION("""COMPUTED_VALUE"""),"Guaya Control Cambios Nkr 898146890")</f>
        <v>Guaya Control Cambios Nkr 898146890</v>
      </c>
      <c r="C4854" s="380" t="str">
        <f>IFERROR(__xludf.DUMMYFUNCTION("""COMPUTED_VALUE"""),"70000236")</f>
        <v>70000236</v>
      </c>
      <c r="D4854" s="380" t="s">
        <v>767</v>
      </c>
      <c r="E4854" s="380" t="s">
        <v>786</v>
      </c>
      <c r="F4854" s="380" t="s">
        <v>928</v>
      </c>
      <c r="G4854" s="380" t="s">
        <v>1267</v>
      </c>
      <c r="H4854" s="380" t="s">
        <v>771</v>
      </c>
      <c r="I4854" s="380" t="s">
        <v>788</v>
      </c>
      <c r="J4854" s="380" t="s">
        <v>773</v>
      </c>
      <c r="K4854" s="381">
        <v>0.0</v>
      </c>
      <c r="L4854" s="382">
        <v>1.0</v>
      </c>
    </row>
    <row r="4855">
      <c r="A4855" s="380" t="s">
        <v>5728</v>
      </c>
      <c r="B4855" s="380" t="str">
        <f>IFERROR(__xludf.DUMMYFUNCTION("""COMPUTED_VALUE"""),"Empaque Conexión Bomba ACPM KW 4965689")</f>
        <v>Empaque Conexión Bomba ACPM KW 4965689</v>
      </c>
      <c r="C4855" s="380" t="str">
        <f>IFERROR(__xludf.DUMMYFUNCTION("""COMPUTED_VALUE"""),"70000237")</f>
        <v>70000237</v>
      </c>
      <c r="D4855" s="380" t="s">
        <v>767</v>
      </c>
      <c r="E4855" s="380" t="s">
        <v>786</v>
      </c>
      <c r="F4855" s="380" t="s">
        <v>787</v>
      </c>
      <c r="G4855" s="380" t="s">
        <v>1267</v>
      </c>
      <c r="H4855" s="380" t="s">
        <v>771</v>
      </c>
      <c r="I4855" s="380" t="s">
        <v>788</v>
      </c>
      <c r="J4855" s="380" t="s">
        <v>773</v>
      </c>
      <c r="K4855" s="381">
        <v>0.0</v>
      </c>
      <c r="L4855" s="382">
        <v>1.0</v>
      </c>
    </row>
    <row r="4856">
      <c r="A4856" s="380" t="s">
        <v>5729</v>
      </c>
      <c r="B4856" s="380" t="str">
        <f>IFERROR(__xludf.DUMMYFUNCTION("""COMPUTED_VALUE"""),"Balancin Admisión Tras Isx 4298642")</f>
        <v>Balancin Admisión Tras Isx 4298642</v>
      </c>
      <c r="C4856" s="380" t="str">
        <f>IFERROR(__xludf.DUMMYFUNCTION("""COMPUTED_VALUE"""),"70000238")</f>
        <v>70000238</v>
      </c>
      <c r="D4856" s="380" t="s">
        <v>767</v>
      </c>
      <c r="E4856" s="380" t="s">
        <v>786</v>
      </c>
      <c r="F4856" s="380" t="s">
        <v>787</v>
      </c>
      <c r="G4856" s="380" t="s">
        <v>1267</v>
      </c>
      <c r="H4856" s="380" t="s">
        <v>771</v>
      </c>
      <c r="I4856" s="380" t="s">
        <v>788</v>
      </c>
      <c r="J4856" s="380" t="s">
        <v>773</v>
      </c>
      <c r="K4856" s="381">
        <v>0.0</v>
      </c>
      <c r="L4856" s="382">
        <v>1.0</v>
      </c>
    </row>
    <row r="4857">
      <c r="A4857" s="380" t="s">
        <v>5730</v>
      </c>
      <c r="B4857" s="380" t="str">
        <f>IFERROR(__xludf.DUMMYFUNCTION("""COMPUTED_VALUE"""),"Sensor Temp Aceite Carter Eag 3527342C2")</f>
        <v>Sensor Temp Aceite Carter Eag 3527342C2</v>
      </c>
      <c r="C4857" s="380" t="str">
        <f>IFERROR(__xludf.DUMMYFUNCTION("""COMPUTED_VALUE"""),"70000239")</f>
        <v>70000239</v>
      </c>
      <c r="D4857" s="380" t="s">
        <v>767</v>
      </c>
      <c r="E4857" s="380" t="s">
        <v>786</v>
      </c>
      <c r="F4857" s="380" t="s">
        <v>998</v>
      </c>
      <c r="G4857" s="380" t="s">
        <v>1267</v>
      </c>
      <c r="H4857" s="380" t="s">
        <v>771</v>
      </c>
      <c r="I4857" s="380" t="s">
        <v>788</v>
      </c>
      <c r="J4857" s="380" t="s">
        <v>773</v>
      </c>
      <c r="K4857" s="381">
        <v>160650.0</v>
      </c>
      <c r="L4857" s="382">
        <v>1.0</v>
      </c>
    </row>
    <row r="4858">
      <c r="A4858" s="380" t="s">
        <v>5731</v>
      </c>
      <c r="B4858" s="380" t="str">
        <f>IFERROR(__xludf.DUMMYFUNCTION("""COMPUTED_VALUE"""),"Oring Tapa Tras Eje Leva Iny Eag 4985661")</f>
        <v>Oring Tapa Tras Eje Leva Iny Eag 4985661</v>
      </c>
      <c r="C4858" s="380" t="str">
        <f>IFERROR(__xludf.DUMMYFUNCTION("""COMPUTED_VALUE"""),"70000240")</f>
        <v>70000240</v>
      </c>
      <c r="D4858" s="380" t="s">
        <v>767</v>
      </c>
      <c r="E4858" s="380" t="s">
        <v>786</v>
      </c>
      <c r="F4858" s="380" t="s">
        <v>787</v>
      </c>
      <c r="G4858" s="380" t="s">
        <v>1267</v>
      </c>
      <c r="H4858" s="380" t="s">
        <v>771</v>
      </c>
      <c r="I4858" s="380" t="s">
        <v>788</v>
      </c>
      <c r="J4858" s="380" t="s">
        <v>773</v>
      </c>
      <c r="K4858" s="381">
        <v>69979.0</v>
      </c>
      <c r="L4858" s="382">
        <v>1.0</v>
      </c>
    </row>
    <row r="4859">
      <c r="A4859" s="380" t="s">
        <v>5732</v>
      </c>
      <c r="B4859" s="380" t="str">
        <f>IFERROR(__xludf.DUMMYFUNCTION("""COMPUTED_VALUE"""),"Oring Eje De Levas Motor Eag 4985660")</f>
        <v>Oring Eje De Levas Motor Eag 4985660</v>
      </c>
      <c r="C4859" s="380" t="str">
        <f>IFERROR(__xludf.DUMMYFUNCTION("""COMPUTED_VALUE"""),"70000241")</f>
        <v>70000241</v>
      </c>
      <c r="D4859" s="380" t="s">
        <v>767</v>
      </c>
      <c r="E4859" s="380" t="s">
        <v>786</v>
      </c>
      <c r="F4859" s="380" t="s">
        <v>787</v>
      </c>
      <c r="G4859" s="380" t="s">
        <v>1267</v>
      </c>
      <c r="H4859" s="380" t="s">
        <v>771</v>
      </c>
      <c r="I4859" s="380" t="s">
        <v>788</v>
      </c>
      <c r="J4859" s="380" t="s">
        <v>773</v>
      </c>
      <c r="K4859" s="381">
        <v>0.0</v>
      </c>
      <c r="L4859" s="382">
        <v>1.0</v>
      </c>
    </row>
    <row r="4860">
      <c r="A4860" s="380" t="s">
        <v>5733</v>
      </c>
      <c r="B4860" s="380" t="str">
        <f>IFERROR(__xludf.DUMMYFUNCTION("""COMPUTED_VALUE"""),"Oring Tapa Eje Levas Motor Eagle 4299124")</f>
        <v>Oring Tapa Eje Levas Motor Eagle 4299124</v>
      </c>
      <c r="C4860" s="380" t="str">
        <f>IFERROR(__xludf.DUMMYFUNCTION("""COMPUTED_VALUE"""),"70000242")</f>
        <v>70000242</v>
      </c>
      <c r="D4860" s="380" t="s">
        <v>767</v>
      </c>
      <c r="E4860" s="380" t="s">
        <v>786</v>
      </c>
      <c r="F4860" s="380" t="s">
        <v>787</v>
      </c>
      <c r="G4860" s="380" t="s">
        <v>1267</v>
      </c>
      <c r="H4860" s="380" t="s">
        <v>771</v>
      </c>
      <c r="I4860" s="380" t="s">
        <v>788</v>
      </c>
      <c r="J4860" s="380" t="s">
        <v>773</v>
      </c>
      <c r="K4860" s="381">
        <v>0.0</v>
      </c>
      <c r="L4860" s="382">
        <v>1.0</v>
      </c>
    </row>
    <row r="4861">
      <c r="A4861" s="380" t="s">
        <v>5734</v>
      </c>
      <c r="B4861" s="380" t="str">
        <f>IFERROR(__xludf.DUMMYFUNCTION("""COMPUTED_VALUE"""),"Buje Susp Del T Delta 9004385046")</f>
        <v>Buje Susp Del T Delta 9004385046</v>
      </c>
      <c r="C4861" s="380" t="str">
        <f>IFERROR(__xludf.DUMMYFUNCTION("""COMPUTED_VALUE"""),"70000243")</f>
        <v>70000243</v>
      </c>
      <c r="D4861" s="380" t="s">
        <v>767</v>
      </c>
      <c r="E4861" s="380" t="s">
        <v>786</v>
      </c>
      <c r="F4861" s="380" t="s">
        <v>1039</v>
      </c>
      <c r="G4861" s="380" t="s">
        <v>1267</v>
      </c>
      <c r="H4861" s="380" t="s">
        <v>771</v>
      </c>
      <c r="I4861" s="380" t="s">
        <v>788</v>
      </c>
      <c r="J4861" s="380" t="s">
        <v>773</v>
      </c>
      <c r="K4861" s="381">
        <v>30517.0</v>
      </c>
      <c r="L4861" s="382">
        <v>1.0</v>
      </c>
    </row>
    <row r="4862">
      <c r="A4862" s="380" t="s">
        <v>5735</v>
      </c>
      <c r="B4862" s="380" t="str">
        <f>IFERROR(__xludf.DUMMYFUNCTION("""COMPUTED_VALUE"""),"Enflanche Caja Full 15915/16918 6544631")</f>
        <v>Enflanche Caja Full 15915/16918 6544631</v>
      </c>
      <c r="C4862" s="380" t="str">
        <f>IFERROR(__xludf.DUMMYFUNCTION("""COMPUTED_VALUE"""),"70000244")</f>
        <v>70000244</v>
      </c>
      <c r="D4862" s="380" t="s">
        <v>767</v>
      </c>
      <c r="E4862" s="380" t="s">
        <v>786</v>
      </c>
      <c r="F4862" s="380" t="s">
        <v>5683</v>
      </c>
      <c r="G4862" s="380" t="s">
        <v>1267</v>
      </c>
      <c r="H4862" s="380" t="s">
        <v>771</v>
      </c>
      <c r="I4862" s="380" t="s">
        <v>788</v>
      </c>
      <c r="J4862" s="380" t="s">
        <v>773</v>
      </c>
      <c r="K4862" s="381">
        <v>0.0</v>
      </c>
      <c r="L4862" s="382">
        <v>1.0</v>
      </c>
    </row>
    <row r="4863">
      <c r="A4863" s="380" t="s">
        <v>5736</v>
      </c>
      <c r="B4863" s="380" t="str">
        <f>IFERROR(__xludf.DUMMYFUNCTION("""COMPUTED_VALUE"""),"Valvula Magnetica ahogo Nkr Rw8980433440")</f>
        <v>Valvula Magnetica ahogo Nkr Rw8980433440</v>
      </c>
      <c r="C4863" s="380" t="str">
        <f>IFERROR(__xludf.DUMMYFUNCTION("""COMPUTED_VALUE"""),"70000245")</f>
        <v>70000245</v>
      </c>
      <c r="D4863" s="380" t="s">
        <v>767</v>
      </c>
      <c r="E4863" s="380" t="s">
        <v>786</v>
      </c>
      <c r="F4863" s="380" t="s">
        <v>998</v>
      </c>
      <c r="G4863" s="380" t="s">
        <v>1267</v>
      </c>
      <c r="H4863" s="380" t="s">
        <v>771</v>
      </c>
      <c r="I4863" s="380" t="s">
        <v>788</v>
      </c>
      <c r="J4863" s="380" t="s">
        <v>773</v>
      </c>
      <c r="K4863" s="381">
        <v>0.0</v>
      </c>
      <c r="L4863" s="382">
        <v>1.0</v>
      </c>
    </row>
    <row r="4864">
      <c r="A4864" s="380" t="s">
        <v>5737</v>
      </c>
      <c r="B4864" s="380" t="str">
        <f>IFERROR(__xludf.DUMMYFUNCTION("""COMPUTED_VALUE"""),"Guaya Control Cambio Nkr RW 8981468251")</f>
        <v>Guaya Control Cambio Nkr RW 8981468251</v>
      </c>
      <c r="C4864" s="380" t="str">
        <f>IFERROR(__xludf.DUMMYFUNCTION("""COMPUTED_VALUE"""),"70000246")</f>
        <v>70000246</v>
      </c>
      <c r="D4864" s="380" t="s">
        <v>767</v>
      </c>
      <c r="E4864" s="380" t="s">
        <v>786</v>
      </c>
      <c r="F4864" s="380" t="s">
        <v>1017</v>
      </c>
      <c r="G4864" s="380" t="s">
        <v>1267</v>
      </c>
      <c r="H4864" s="380" t="s">
        <v>771</v>
      </c>
      <c r="I4864" s="380" t="s">
        <v>788</v>
      </c>
      <c r="J4864" s="380" t="s">
        <v>773</v>
      </c>
      <c r="K4864" s="381">
        <v>170000.0</v>
      </c>
      <c r="L4864" s="382">
        <v>1.0</v>
      </c>
    </row>
    <row r="4865">
      <c r="A4865" s="380" t="s">
        <v>5738</v>
      </c>
      <c r="B4865" s="380" t="str">
        <f>IFERROR(__xludf.DUMMYFUNCTION("""COMPUTED_VALUE"""),"Seguro Columna Direccion Nkr 8971703640")</f>
        <v>Seguro Columna Direccion Nkr 8971703640</v>
      </c>
      <c r="C4865" s="380" t="str">
        <f>IFERROR(__xludf.DUMMYFUNCTION("""COMPUTED_VALUE"""),"70000247")</f>
        <v>70000247</v>
      </c>
      <c r="D4865" s="380" t="s">
        <v>767</v>
      </c>
      <c r="E4865" s="380" t="s">
        <v>786</v>
      </c>
      <c r="F4865" s="380" t="s">
        <v>1020</v>
      </c>
      <c r="G4865" s="380" t="s">
        <v>1267</v>
      </c>
      <c r="H4865" s="380" t="s">
        <v>771</v>
      </c>
      <c r="I4865" s="380" t="s">
        <v>788</v>
      </c>
      <c r="J4865" s="380" t="s">
        <v>773</v>
      </c>
      <c r="K4865" s="381">
        <v>0.0</v>
      </c>
      <c r="L4865" s="382">
        <v>1.0</v>
      </c>
    </row>
    <row r="4866">
      <c r="A4866" s="380" t="s">
        <v>5739</v>
      </c>
      <c r="B4866" s="380" t="str">
        <f>IFERROR(__xludf.DUMMYFUNCTION("""COMPUTED_VALUE"""),"Direccional Del Izq RW 22021308")</f>
        <v>Direccional Del Izq RW 22021308</v>
      </c>
      <c r="C4866" s="380" t="str">
        <f>IFERROR(__xludf.DUMMYFUNCTION("""COMPUTED_VALUE"""),"70000248")</f>
        <v>70000248</v>
      </c>
      <c r="D4866" s="380" t="s">
        <v>767</v>
      </c>
      <c r="E4866" s="380" t="s">
        <v>786</v>
      </c>
      <c r="F4866" s="380" t="s">
        <v>998</v>
      </c>
      <c r="G4866" s="380" t="s">
        <v>1267</v>
      </c>
      <c r="H4866" s="380" t="s">
        <v>771</v>
      </c>
      <c r="I4866" s="380" t="s">
        <v>788</v>
      </c>
      <c r="J4866" s="380" t="s">
        <v>773</v>
      </c>
      <c r="K4866" s="381">
        <v>0.0</v>
      </c>
      <c r="L4866" s="382">
        <v>1.0</v>
      </c>
    </row>
    <row r="4867">
      <c r="A4867" s="380" t="s">
        <v>5740</v>
      </c>
      <c r="B4867" s="380" t="str">
        <f>IFERROR(__xludf.DUMMYFUNCTION("""COMPUTED_VALUE"""),"Correa Ventilador 7PK990 RW 8973629260")</f>
        <v>Correa Ventilador 7PK990 RW 8973629260</v>
      </c>
      <c r="C4867" s="380" t="str">
        <f>IFERROR(__xludf.DUMMYFUNCTION("""COMPUTED_VALUE"""),"70000249")</f>
        <v>70000249</v>
      </c>
      <c r="D4867" s="380" t="s">
        <v>767</v>
      </c>
      <c r="E4867" s="380" t="s">
        <v>786</v>
      </c>
      <c r="F4867" s="380" t="s">
        <v>787</v>
      </c>
      <c r="G4867" s="380" t="s">
        <v>1267</v>
      </c>
      <c r="H4867" s="380" t="s">
        <v>771</v>
      </c>
      <c r="I4867" s="380" t="s">
        <v>788</v>
      </c>
      <c r="J4867" s="380" t="s">
        <v>773</v>
      </c>
      <c r="K4867" s="381">
        <v>0.0</v>
      </c>
      <c r="L4867" s="382">
        <v>1.0</v>
      </c>
    </row>
    <row r="4868">
      <c r="A4868" s="380" t="s">
        <v>5741</v>
      </c>
      <c r="B4868" s="380" t="str">
        <f>IFERROR(__xludf.DUMMYFUNCTION("""COMPUTED_VALUE"""),"Tensora Apertura Puerta Nkr 8975816811")</f>
        <v>Tensora Apertura Puerta Nkr 8975816811</v>
      </c>
      <c r="C4868" s="380" t="str">
        <f>IFERROR(__xludf.DUMMYFUNCTION("""COMPUTED_VALUE"""),"70000250")</f>
        <v>70000250</v>
      </c>
      <c r="D4868" s="380" t="s">
        <v>767</v>
      </c>
      <c r="E4868" s="380" t="s">
        <v>786</v>
      </c>
      <c r="F4868" s="380" t="s">
        <v>792</v>
      </c>
      <c r="G4868" s="380" t="s">
        <v>1267</v>
      </c>
      <c r="H4868" s="380" t="s">
        <v>771</v>
      </c>
      <c r="I4868" s="380" t="s">
        <v>788</v>
      </c>
      <c r="J4868" s="380" t="s">
        <v>773</v>
      </c>
      <c r="K4868" s="381">
        <v>0.0</v>
      </c>
      <c r="L4868" s="382">
        <v>1.0</v>
      </c>
    </row>
    <row r="4869">
      <c r="A4869" s="380" t="s">
        <v>5742</v>
      </c>
      <c r="B4869" s="380" t="str">
        <f>IFERROR(__xludf.DUMMYFUNCTION("""COMPUTED_VALUE"""),"Conector Sensor Refrigerante Eag 6539735")</f>
        <v>Conector Sensor Refrigerante Eag 6539735</v>
      </c>
      <c r="C4869" s="380" t="str">
        <f>IFERROR(__xludf.DUMMYFUNCTION("""COMPUTED_VALUE"""),"70000251")</f>
        <v>70000251</v>
      </c>
      <c r="D4869" s="380" t="s">
        <v>767</v>
      </c>
      <c r="E4869" s="380" t="s">
        <v>786</v>
      </c>
      <c r="F4869" s="380" t="s">
        <v>998</v>
      </c>
      <c r="G4869" s="380" t="s">
        <v>1267</v>
      </c>
      <c r="H4869" s="380" t="s">
        <v>771</v>
      </c>
      <c r="I4869" s="380" t="s">
        <v>788</v>
      </c>
      <c r="J4869" s="380" t="s">
        <v>773</v>
      </c>
      <c r="K4869" s="381">
        <v>20230.0</v>
      </c>
      <c r="L4869" s="382">
        <v>1.0</v>
      </c>
    </row>
    <row r="4870">
      <c r="A4870" s="380" t="s">
        <v>5743</v>
      </c>
      <c r="B4870" s="380" t="str">
        <f>IFERROR(__xludf.DUMMYFUNCTION("""COMPUTED_VALUE"""),"Acople Rod Piñon Corona Nhr 9412196341")</f>
        <v>Acople Rod Piñon Corona Nhr 9412196341</v>
      </c>
      <c r="C4870" s="380" t="str">
        <f>IFERROR(__xludf.DUMMYFUNCTION("""COMPUTED_VALUE"""),"70000252")</f>
        <v>70000252</v>
      </c>
      <c r="D4870" s="380" t="s">
        <v>767</v>
      </c>
      <c r="E4870" s="380" t="s">
        <v>786</v>
      </c>
      <c r="F4870" s="380" t="s">
        <v>1039</v>
      </c>
      <c r="G4870" s="380" t="s">
        <v>1267</v>
      </c>
      <c r="H4870" s="380" t="s">
        <v>771</v>
      </c>
      <c r="I4870" s="380" t="s">
        <v>788</v>
      </c>
      <c r="J4870" s="380" t="s">
        <v>773</v>
      </c>
      <c r="K4870" s="381">
        <v>0.0</v>
      </c>
      <c r="L4870" s="382">
        <v>1.0</v>
      </c>
    </row>
    <row r="4871">
      <c r="A4871" s="380" t="s">
        <v>5744</v>
      </c>
      <c r="B4871" s="380" t="str">
        <f>IFERROR(__xludf.DUMMYFUNCTION("""COMPUTED_VALUE"""),"Arandela Ajuste Planetar Nhr 9415626020")</f>
        <v>Arandela Ajuste Planetar Nhr 9415626020</v>
      </c>
      <c r="C4871" s="380" t="str">
        <f>IFERROR(__xludf.DUMMYFUNCTION("""COMPUTED_VALUE"""),"70000253")</f>
        <v>70000253</v>
      </c>
      <c r="D4871" s="380" t="s">
        <v>767</v>
      </c>
      <c r="E4871" s="380" t="s">
        <v>786</v>
      </c>
      <c r="F4871" s="380" t="s">
        <v>1039</v>
      </c>
      <c r="G4871" s="380" t="s">
        <v>1267</v>
      </c>
      <c r="H4871" s="380" t="s">
        <v>771</v>
      </c>
      <c r="I4871" s="380" t="s">
        <v>788</v>
      </c>
      <c r="J4871" s="380" t="s">
        <v>773</v>
      </c>
      <c r="K4871" s="381">
        <v>0.0</v>
      </c>
      <c r="L4871" s="382">
        <v>1.0</v>
      </c>
    </row>
    <row r="4872">
      <c r="A4872" s="380" t="s">
        <v>5745</v>
      </c>
      <c r="B4872" s="380" t="str">
        <f>IFERROR(__xludf.DUMMYFUNCTION("""COMPUTED_VALUE"""),"Pin Trasero Corredizo 12515 Hi4900 16723")</f>
        <v>Pin Trasero Corredizo 12515 Hi4900 16723</v>
      </c>
      <c r="C4872" s="380" t="str">
        <f>IFERROR(__xludf.DUMMYFUNCTION("""COMPUTED_VALUE"""),"70000254")</f>
        <v>70000254</v>
      </c>
      <c r="D4872" s="380" t="s">
        <v>767</v>
      </c>
      <c r="E4872" s="380" t="s">
        <v>786</v>
      </c>
      <c r="F4872" s="380" t="s">
        <v>928</v>
      </c>
      <c r="G4872" s="380" t="s">
        <v>1267</v>
      </c>
      <c r="H4872" s="380" t="s">
        <v>771</v>
      </c>
      <c r="I4872" s="380" t="s">
        <v>788</v>
      </c>
      <c r="J4872" s="380" t="s">
        <v>773</v>
      </c>
      <c r="K4872" s="381">
        <v>0.0</v>
      </c>
      <c r="L4872" s="382">
        <v>1.0</v>
      </c>
    </row>
    <row r="4873">
      <c r="A4873" s="380" t="s">
        <v>5746</v>
      </c>
      <c r="B4873" s="380" t="str">
        <f>IFERROR(__xludf.DUMMYFUNCTION("""COMPUTED_VALUE"""),"Terminal Dir Der N200 24549031")</f>
        <v>Terminal Dir Der N200 24549031</v>
      </c>
      <c r="C4873" s="380" t="str">
        <f>IFERROR(__xludf.DUMMYFUNCTION("""COMPUTED_VALUE"""),"70000255")</f>
        <v>70000255</v>
      </c>
      <c r="D4873" s="380" t="s">
        <v>767</v>
      </c>
      <c r="E4873" s="380" t="s">
        <v>786</v>
      </c>
      <c r="F4873" s="380" t="s">
        <v>1020</v>
      </c>
      <c r="G4873" s="380" t="s">
        <v>1267</v>
      </c>
      <c r="H4873" s="380" t="s">
        <v>771</v>
      </c>
      <c r="I4873" s="380" t="s">
        <v>788</v>
      </c>
      <c r="J4873" s="380" t="s">
        <v>773</v>
      </c>
      <c r="K4873" s="381">
        <v>0.0</v>
      </c>
      <c r="L4873" s="382">
        <v>1.0</v>
      </c>
    </row>
    <row r="4874">
      <c r="A4874" s="380" t="s">
        <v>5747</v>
      </c>
      <c r="B4874" s="380" t="str">
        <f>IFERROR(__xludf.DUMMYFUNCTION("""COMPUTED_VALUE"""),"Arandela Buje Trifuncional Trailer 94122")</f>
        <v>Arandela Buje Trifuncional Trailer 94122</v>
      </c>
      <c r="C4874" s="380" t="str">
        <f>IFERROR(__xludf.DUMMYFUNCTION("""COMPUTED_VALUE"""),"70000256")</f>
        <v>70000256</v>
      </c>
      <c r="D4874" s="380" t="s">
        <v>767</v>
      </c>
      <c r="E4874" s="380" t="s">
        <v>786</v>
      </c>
      <c r="F4874" s="380" t="s">
        <v>1039</v>
      </c>
      <c r="G4874" s="380" t="s">
        <v>1267</v>
      </c>
      <c r="H4874" s="380" t="s">
        <v>771</v>
      </c>
      <c r="I4874" s="380" t="s">
        <v>788</v>
      </c>
      <c r="J4874" s="380" t="s">
        <v>773</v>
      </c>
      <c r="K4874" s="381">
        <v>0.0</v>
      </c>
      <c r="L4874" s="382">
        <v>1.0</v>
      </c>
    </row>
    <row r="4875">
      <c r="A4875" s="380" t="s">
        <v>5748</v>
      </c>
      <c r="B4875" s="380" t="str">
        <f>IFERROR(__xludf.DUMMYFUNCTION("""COMPUTED_VALUE"""),"Buje Pasador Trifuncional Traile 9412201")</f>
        <v>Buje Pasador Trifuncional Traile 9412201</v>
      </c>
      <c r="C4875" s="380" t="str">
        <f>IFERROR(__xludf.DUMMYFUNCTION("""COMPUTED_VALUE"""),"70000257")</f>
        <v>70000257</v>
      </c>
      <c r="D4875" s="380" t="s">
        <v>767</v>
      </c>
      <c r="E4875" s="380" t="s">
        <v>786</v>
      </c>
      <c r="F4875" s="380" t="s">
        <v>1039</v>
      </c>
      <c r="G4875" s="380" t="s">
        <v>1267</v>
      </c>
      <c r="H4875" s="380" t="s">
        <v>771</v>
      </c>
      <c r="I4875" s="380" t="s">
        <v>788</v>
      </c>
      <c r="J4875" s="380" t="s">
        <v>773</v>
      </c>
      <c r="K4875" s="381">
        <v>0.0</v>
      </c>
      <c r="L4875" s="382">
        <v>1.0</v>
      </c>
    </row>
    <row r="4876">
      <c r="A4876" s="380" t="s">
        <v>5749</v>
      </c>
      <c r="B4876" s="380" t="str">
        <f>IFERROR(__xludf.DUMMYFUNCTION("""COMPUTED_VALUE"""),"Cuña Cigüeñal Nkr III 9080307430")</f>
        <v>Cuña Cigüeñal Nkr III 9080307430</v>
      </c>
      <c r="C4876" s="380" t="str">
        <f>IFERROR(__xludf.DUMMYFUNCTION("""COMPUTED_VALUE"""),"70000258")</f>
        <v>70000258</v>
      </c>
      <c r="D4876" s="380" t="s">
        <v>767</v>
      </c>
      <c r="E4876" s="380" t="s">
        <v>786</v>
      </c>
      <c r="F4876" s="380" t="s">
        <v>787</v>
      </c>
      <c r="G4876" s="380" t="s">
        <v>1267</v>
      </c>
      <c r="H4876" s="380" t="s">
        <v>771</v>
      </c>
      <c r="I4876" s="380" t="s">
        <v>788</v>
      </c>
      <c r="J4876" s="380" t="s">
        <v>773</v>
      </c>
      <c r="K4876" s="381">
        <v>0.0</v>
      </c>
      <c r="L4876" s="382">
        <v>1.0</v>
      </c>
    </row>
    <row r="4877">
      <c r="A4877" s="380" t="s">
        <v>5750</v>
      </c>
      <c r="B4877" s="380" t="str">
        <f>IFERROR(__xludf.DUMMYFUNCTION("""COMPUTED_VALUE"""),"Damper Cigüeñal Nkr III 8972299002")</f>
        <v>Damper Cigüeñal Nkr III 8972299002</v>
      </c>
      <c r="C4877" s="380" t="str">
        <f>IFERROR(__xludf.DUMMYFUNCTION("""COMPUTED_VALUE"""),"70000259")</f>
        <v>70000259</v>
      </c>
      <c r="D4877" s="380" t="s">
        <v>767</v>
      </c>
      <c r="E4877" s="380" t="s">
        <v>786</v>
      </c>
      <c r="F4877" s="380" t="s">
        <v>787</v>
      </c>
      <c r="G4877" s="380" t="s">
        <v>1267</v>
      </c>
      <c r="H4877" s="380" t="s">
        <v>771</v>
      </c>
      <c r="I4877" s="380" t="s">
        <v>788</v>
      </c>
      <c r="J4877" s="380" t="s">
        <v>773</v>
      </c>
      <c r="K4877" s="381">
        <v>0.0</v>
      </c>
      <c r="L4877" s="382">
        <v>1.0</v>
      </c>
    </row>
    <row r="4878">
      <c r="A4878" s="380" t="s">
        <v>5751</v>
      </c>
      <c r="B4878" s="380" t="str">
        <f>IFERROR(__xludf.DUMMYFUNCTION("""COMPUTED_VALUE"""),"Kit Chapeta Cardan Npr 37028")</f>
        <v>Kit Chapeta Cardan Npr 37028</v>
      </c>
      <c r="C4878" s="380" t="str">
        <f>IFERROR(__xludf.DUMMYFUNCTION("""COMPUTED_VALUE"""),"70000260")</f>
        <v>70000260</v>
      </c>
      <c r="D4878" s="380" t="s">
        <v>767</v>
      </c>
      <c r="E4878" s="380" t="s">
        <v>786</v>
      </c>
      <c r="F4878" s="380" t="s">
        <v>5683</v>
      </c>
      <c r="G4878" s="380" t="s">
        <v>1267</v>
      </c>
      <c r="H4878" s="380" t="s">
        <v>771</v>
      </c>
      <c r="I4878" s="380" t="s">
        <v>788</v>
      </c>
      <c r="J4878" s="380" t="s">
        <v>773</v>
      </c>
      <c r="K4878" s="381">
        <v>0.0</v>
      </c>
      <c r="L4878" s="382">
        <v>1.0</v>
      </c>
    </row>
    <row r="4879">
      <c r="A4879" s="380" t="s">
        <v>5752</v>
      </c>
      <c r="B4879" s="380" t="str">
        <f>IFERROR(__xludf.DUMMYFUNCTION("""COMPUTED_VALUE"""),"Bomba Hidraulica Toyota 4432087304")</f>
        <v>Bomba Hidraulica Toyota 4432087304</v>
      </c>
      <c r="C4879" s="380" t="str">
        <f>IFERROR(__xludf.DUMMYFUNCTION("""COMPUTED_VALUE"""),"70000261")</f>
        <v>70000261</v>
      </c>
      <c r="D4879" s="380" t="s">
        <v>767</v>
      </c>
      <c r="E4879" s="380" t="s">
        <v>786</v>
      </c>
      <c r="F4879" s="380" t="s">
        <v>1020</v>
      </c>
      <c r="G4879" s="380" t="s">
        <v>1267</v>
      </c>
      <c r="H4879" s="380" t="s">
        <v>771</v>
      </c>
      <c r="I4879" s="380" t="s">
        <v>788</v>
      </c>
      <c r="J4879" s="380" t="s">
        <v>773</v>
      </c>
      <c r="K4879" s="381">
        <v>0.0</v>
      </c>
      <c r="L4879" s="382">
        <v>1.0</v>
      </c>
    </row>
    <row r="4880">
      <c r="A4880" s="380" t="s">
        <v>5753</v>
      </c>
      <c r="B4880" s="380" t="str">
        <f>IFERROR(__xludf.DUMMYFUNCTION("""COMPUTED_VALUE"""),"Piña Corredizo Rt-7608ll Hi 4900-21662")</f>
        <v>Piña Corredizo Rt-7608ll Hi 4900-21662</v>
      </c>
      <c r="C4880" s="380" t="str">
        <f>IFERROR(__xludf.DUMMYFUNCTION("""COMPUTED_VALUE"""),"70000262")</f>
        <v>70000262</v>
      </c>
      <c r="D4880" s="380" t="s">
        <v>767</v>
      </c>
      <c r="E4880" s="380" t="s">
        <v>786</v>
      </c>
      <c r="F4880" s="380" t="s">
        <v>928</v>
      </c>
      <c r="G4880" s="380" t="s">
        <v>1267</v>
      </c>
      <c r="H4880" s="380" t="s">
        <v>771</v>
      </c>
      <c r="I4880" s="380" t="s">
        <v>788</v>
      </c>
      <c r="J4880" s="380" t="s">
        <v>773</v>
      </c>
      <c r="K4880" s="381">
        <v>0.0</v>
      </c>
      <c r="L4880" s="382">
        <v>1.0</v>
      </c>
    </row>
    <row r="4881">
      <c r="A4881" s="380" t="s">
        <v>5754</v>
      </c>
      <c r="B4881" s="380" t="str">
        <f>IFERROR(__xludf.DUMMYFUNCTION("""COMPUTED_VALUE"""),"Tapa Caja Bateria Isx Eagle 3596207C1")</f>
        <v>Tapa Caja Bateria Isx Eagle 3596207C1</v>
      </c>
      <c r="C4881" s="380" t="str">
        <f>IFERROR(__xludf.DUMMYFUNCTION("""COMPUTED_VALUE"""),"70000263")</f>
        <v>70000263</v>
      </c>
      <c r="D4881" s="380" t="s">
        <v>767</v>
      </c>
      <c r="E4881" s="380" t="s">
        <v>786</v>
      </c>
      <c r="F4881" s="380" t="s">
        <v>792</v>
      </c>
      <c r="G4881" s="380" t="s">
        <v>1267</v>
      </c>
      <c r="H4881" s="380" t="s">
        <v>771</v>
      </c>
      <c r="I4881" s="380" t="s">
        <v>788</v>
      </c>
      <c r="J4881" s="380" t="s">
        <v>773</v>
      </c>
      <c r="K4881" s="381">
        <v>0.0</v>
      </c>
      <c r="L4881" s="382">
        <v>1.0</v>
      </c>
    </row>
    <row r="4882">
      <c r="A4882" s="380" t="s">
        <v>5755</v>
      </c>
      <c r="B4882" s="380" t="str">
        <f>IFERROR(__xludf.DUMMYFUNCTION("""COMPUTED_VALUE"""),"Stop Tras Redondo Trailer 420")</f>
        <v>Stop Tras Redondo Trailer 420</v>
      </c>
      <c r="C4882" s="380" t="str">
        <f>IFERROR(__xludf.DUMMYFUNCTION("""COMPUTED_VALUE"""),"70000264")</f>
        <v>70000264</v>
      </c>
      <c r="D4882" s="380" t="s">
        <v>767</v>
      </c>
      <c r="E4882" s="380" t="s">
        <v>786</v>
      </c>
      <c r="F4882" s="380" t="s">
        <v>998</v>
      </c>
      <c r="G4882" s="380" t="s">
        <v>1267</v>
      </c>
      <c r="H4882" s="380" t="s">
        <v>771</v>
      </c>
      <c r="I4882" s="380" t="s">
        <v>788</v>
      </c>
      <c r="J4882" s="380" t="s">
        <v>773</v>
      </c>
      <c r="K4882" s="381">
        <v>0.0</v>
      </c>
      <c r="L4882" s="382">
        <v>1.0</v>
      </c>
    </row>
    <row r="4883">
      <c r="A4883" s="380" t="s">
        <v>5756</v>
      </c>
      <c r="B4883" s="380" t="str">
        <f>IFERROR(__xludf.DUMMYFUNCTION("""COMPUTED_VALUE"""),"Cremallera Pta Der Nkr RW 8980292333")</f>
        <v>Cremallera Pta Der Nkr RW 8980292333</v>
      </c>
      <c r="C4883" s="380" t="str">
        <f>IFERROR(__xludf.DUMMYFUNCTION("""COMPUTED_VALUE"""),"70000265")</f>
        <v>70000265</v>
      </c>
      <c r="D4883" s="380" t="s">
        <v>767</v>
      </c>
      <c r="E4883" s="380" t="s">
        <v>786</v>
      </c>
      <c r="F4883" s="380" t="s">
        <v>792</v>
      </c>
      <c r="G4883" s="380" t="s">
        <v>1267</v>
      </c>
      <c r="H4883" s="380" t="s">
        <v>771</v>
      </c>
      <c r="I4883" s="380" t="s">
        <v>788</v>
      </c>
      <c r="J4883" s="380" t="s">
        <v>773</v>
      </c>
      <c r="K4883" s="381">
        <v>0.0</v>
      </c>
      <c r="L4883" s="382">
        <v>1.0</v>
      </c>
    </row>
    <row r="4884">
      <c r="A4884" s="380" t="s">
        <v>5757</v>
      </c>
      <c r="B4884" s="380" t="str">
        <f>IFERROR(__xludf.DUMMYFUNCTION("""COMPUTED_VALUE"""),"Manija Elevavidrio Nkr RW 8979053133")</f>
        <v>Manija Elevavidrio Nkr RW 8979053133</v>
      </c>
      <c r="C4884" s="380" t="str">
        <f>IFERROR(__xludf.DUMMYFUNCTION("""COMPUTED_VALUE"""),"70000266")</f>
        <v>70000266</v>
      </c>
      <c r="D4884" s="380" t="s">
        <v>767</v>
      </c>
      <c r="E4884" s="380" t="s">
        <v>786</v>
      </c>
      <c r="F4884" s="380" t="s">
        <v>792</v>
      </c>
      <c r="G4884" s="380" t="s">
        <v>1267</v>
      </c>
      <c r="H4884" s="380" t="s">
        <v>771</v>
      </c>
      <c r="I4884" s="380" t="s">
        <v>788</v>
      </c>
      <c r="J4884" s="380" t="s">
        <v>773</v>
      </c>
      <c r="K4884" s="381">
        <v>41083.0</v>
      </c>
      <c r="L4884" s="382">
        <v>1.0</v>
      </c>
    </row>
    <row r="4885">
      <c r="A4885" s="380" t="s">
        <v>5758</v>
      </c>
      <c r="B4885" s="380" t="str">
        <f>IFERROR(__xludf.DUMMYFUNCTION("""COMPUTED_VALUE"""),"Mang sup Enfriador Caja Eag 3689055C1")</f>
        <v>Mang sup Enfriador Caja Eag 3689055C1</v>
      </c>
      <c r="C4885" s="380" t="str">
        <f>IFERROR(__xludf.DUMMYFUNCTION("""COMPUTED_VALUE"""),"70000267")</f>
        <v>70000267</v>
      </c>
      <c r="D4885" s="380" t="s">
        <v>767</v>
      </c>
      <c r="E4885" s="380" t="s">
        <v>786</v>
      </c>
      <c r="F4885" s="380" t="s">
        <v>787</v>
      </c>
      <c r="G4885" s="380" t="s">
        <v>1267</v>
      </c>
      <c r="H4885" s="380" t="s">
        <v>771</v>
      </c>
      <c r="I4885" s="380" t="s">
        <v>788</v>
      </c>
      <c r="J4885" s="380" t="s">
        <v>773</v>
      </c>
      <c r="K4885" s="381">
        <v>0.0</v>
      </c>
      <c r="L4885" s="382">
        <v>1.0</v>
      </c>
    </row>
    <row r="4886">
      <c r="A4886" s="380" t="s">
        <v>5759</v>
      </c>
      <c r="B4886" s="380" t="str">
        <f>IFERROR(__xludf.DUMMYFUNCTION("""COMPUTED_VALUE"""),"Mang Inf Enfriador Caja Eag 3825473C1")</f>
        <v>Mang Inf Enfriador Caja Eag 3825473C1</v>
      </c>
      <c r="C4886" s="380" t="str">
        <f>IFERROR(__xludf.DUMMYFUNCTION("""COMPUTED_VALUE"""),"70000268")</f>
        <v>70000268</v>
      </c>
      <c r="D4886" s="380" t="s">
        <v>767</v>
      </c>
      <c r="E4886" s="380" t="s">
        <v>786</v>
      </c>
      <c r="F4886" s="380" t="s">
        <v>787</v>
      </c>
      <c r="G4886" s="380" t="s">
        <v>1267</v>
      </c>
      <c r="H4886" s="380" t="s">
        <v>771</v>
      </c>
      <c r="I4886" s="380" t="s">
        <v>788</v>
      </c>
      <c r="J4886" s="380" t="s">
        <v>773</v>
      </c>
      <c r="K4886" s="381">
        <v>0.0</v>
      </c>
      <c r="L4886" s="382">
        <v>1.0</v>
      </c>
    </row>
    <row r="4887">
      <c r="A4887" s="380" t="s">
        <v>5760</v>
      </c>
      <c r="B4887" s="380" t="str">
        <f>IFERROR(__xludf.DUMMYFUNCTION("""COMPUTED_VALUE"""),"Puente Traser Chasis Eag 9400 3539166C2")</f>
        <v>Puente Traser Chasis Eag 9400 3539166C2</v>
      </c>
      <c r="C4887" s="380" t="str">
        <f>IFERROR(__xludf.DUMMYFUNCTION("""COMPUTED_VALUE"""),"70000269")</f>
        <v>70000269</v>
      </c>
      <c r="D4887" s="380" t="s">
        <v>767</v>
      </c>
      <c r="E4887" s="380" t="s">
        <v>786</v>
      </c>
      <c r="F4887" s="380" t="s">
        <v>792</v>
      </c>
      <c r="G4887" s="380" t="s">
        <v>1267</v>
      </c>
      <c r="H4887" s="380" t="s">
        <v>771</v>
      </c>
      <c r="I4887" s="380" t="s">
        <v>788</v>
      </c>
      <c r="J4887" s="380" t="s">
        <v>773</v>
      </c>
      <c r="K4887" s="381">
        <v>0.0</v>
      </c>
      <c r="L4887" s="382">
        <v>1.0</v>
      </c>
    </row>
    <row r="4888">
      <c r="A4888" s="380" t="s">
        <v>5761</v>
      </c>
      <c r="B4888" s="380" t="str">
        <f>IFERROR(__xludf.DUMMYFUNCTION("""COMPUTED_VALUE"""),"Corona y Speed Trasera 9X41 KW 121890")</f>
        <v>Corona y Speed Trasera 9X41 KW 121890</v>
      </c>
      <c r="C4888" s="380" t="str">
        <f>IFERROR(__xludf.DUMMYFUNCTION("""COMPUTED_VALUE"""),"70000270")</f>
        <v>70000270</v>
      </c>
      <c r="D4888" s="380" t="s">
        <v>767</v>
      </c>
      <c r="E4888" s="380" t="s">
        <v>786</v>
      </c>
      <c r="F4888" s="380" t="s">
        <v>5683</v>
      </c>
      <c r="G4888" s="380" t="s">
        <v>1267</v>
      </c>
      <c r="H4888" s="380" t="s">
        <v>771</v>
      </c>
      <c r="I4888" s="380" t="s">
        <v>788</v>
      </c>
      <c r="J4888" s="380" t="s">
        <v>773</v>
      </c>
      <c r="K4888" s="381">
        <v>0.0</v>
      </c>
      <c r="L4888" s="382">
        <v>1.0</v>
      </c>
    </row>
    <row r="4889">
      <c r="A4889" s="380" t="s">
        <v>5762</v>
      </c>
      <c r="B4889" s="380" t="str">
        <f>IFERROR(__xludf.DUMMYFUNCTION("""COMPUTED_VALUE"""),"Kit Tornillos Corona 38 Lbs KW 70745")</f>
        <v>Kit Tornillos Corona 38 Lbs KW 70745</v>
      </c>
      <c r="C4889" s="380" t="str">
        <f>IFERROR(__xludf.DUMMYFUNCTION("""COMPUTED_VALUE"""),"70000271")</f>
        <v>70000271</v>
      </c>
      <c r="D4889" s="380" t="s">
        <v>767</v>
      </c>
      <c r="E4889" s="380" t="s">
        <v>786</v>
      </c>
      <c r="F4889" s="380" t="s">
        <v>5683</v>
      </c>
      <c r="G4889" s="380" t="s">
        <v>1267</v>
      </c>
      <c r="H4889" s="380" t="s">
        <v>771</v>
      </c>
      <c r="I4889" s="380" t="s">
        <v>788</v>
      </c>
      <c r="J4889" s="380" t="s">
        <v>773</v>
      </c>
      <c r="K4889" s="381">
        <v>0.0</v>
      </c>
      <c r="L4889" s="382">
        <v>1.0</v>
      </c>
    </row>
    <row r="4890">
      <c r="A4890" s="380" t="s">
        <v>5763</v>
      </c>
      <c r="B4890" s="380" t="str">
        <f>IFERROR(__xludf.DUMMYFUNCTION("""COMPUTED_VALUE"""),"Jgo Rodillo 1/2 Caja Mono SB N14-5556503")</f>
        <v>Jgo Rodillo 1/2 Caja Mono SB N14-5556503</v>
      </c>
      <c r="C4890" s="380" t="str">
        <f>IFERROR(__xludf.DUMMYFUNCTION("""COMPUTED_VALUE"""),"70000272")</f>
        <v>70000272</v>
      </c>
      <c r="D4890" s="380" t="s">
        <v>767</v>
      </c>
      <c r="E4890" s="380" t="s">
        <v>786</v>
      </c>
      <c r="F4890" s="380" t="s">
        <v>928</v>
      </c>
      <c r="G4890" s="380" t="s">
        <v>1267</v>
      </c>
      <c r="H4890" s="380" t="s">
        <v>771</v>
      </c>
      <c r="I4890" s="380" t="s">
        <v>788</v>
      </c>
      <c r="J4890" s="380" t="s">
        <v>773</v>
      </c>
      <c r="K4890" s="381">
        <v>0.0</v>
      </c>
      <c r="L4890" s="382">
        <v>1.0</v>
      </c>
    </row>
    <row r="4891">
      <c r="A4891" s="380" t="s">
        <v>5764</v>
      </c>
      <c r="B4891" s="380" t="str">
        <f>IFERROR(__xludf.DUMMYFUNCTION("""COMPUTED_VALUE"""),"Buje Tijera Inferior Del N200-9026454")</f>
        <v>Buje Tijera Inferior Del N200-9026454</v>
      </c>
      <c r="C4891" s="380" t="str">
        <f>IFERROR(__xludf.DUMMYFUNCTION("""COMPUTED_VALUE"""),"70000273")</f>
        <v>70000273</v>
      </c>
      <c r="D4891" s="380" t="s">
        <v>767</v>
      </c>
      <c r="E4891" s="380" t="s">
        <v>786</v>
      </c>
      <c r="F4891" s="380" t="s">
        <v>1039</v>
      </c>
      <c r="G4891" s="380" t="s">
        <v>1267</v>
      </c>
      <c r="H4891" s="380" t="s">
        <v>771</v>
      </c>
      <c r="I4891" s="380" t="s">
        <v>788</v>
      </c>
      <c r="J4891" s="380" t="s">
        <v>773</v>
      </c>
      <c r="K4891" s="381">
        <v>0.0</v>
      </c>
      <c r="L4891" s="382">
        <v>1.0</v>
      </c>
    </row>
    <row r="4892">
      <c r="A4892" s="380" t="s">
        <v>5765</v>
      </c>
      <c r="B4892" s="380" t="str">
        <f>IFERROR(__xludf.DUMMYFUNCTION("""COMPUTED_VALUE"""),"Campana Rueda Tras N200 24529028")</f>
        <v>Campana Rueda Tras N200 24529028</v>
      </c>
      <c r="C4892" s="380" t="str">
        <f>IFERROR(__xludf.DUMMYFUNCTION("""COMPUTED_VALUE"""),"70000274")</f>
        <v>70000274</v>
      </c>
      <c r="D4892" s="380" t="s">
        <v>767</v>
      </c>
      <c r="E4892" s="380" t="s">
        <v>786</v>
      </c>
      <c r="F4892" s="380" t="s">
        <v>1017</v>
      </c>
      <c r="G4892" s="380" t="s">
        <v>1267</v>
      </c>
      <c r="H4892" s="380" t="s">
        <v>771</v>
      </c>
      <c r="I4892" s="380" t="s">
        <v>788</v>
      </c>
      <c r="J4892" s="380" t="s">
        <v>773</v>
      </c>
      <c r="K4892" s="381">
        <v>0.0</v>
      </c>
      <c r="L4892" s="382">
        <v>1.0</v>
      </c>
    </row>
    <row r="4893">
      <c r="A4893" s="380" t="s">
        <v>5766</v>
      </c>
      <c r="B4893" s="380" t="str">
        <f>IFERROR(__xludf.DUMMYFUNCTION("""COMPUTED_VALUE"""),"Miona Agua L/Brisa Nkr-Npr 8980291391")</f>
        <v>Miona Agua L/Brisa Nkr-Npr 8980291391</v>
      </c>
      <c r="C4893" s="380" t="str">
        <f>IFERROR(__xludf.DUMMYFUNCTION("""COMPUTED_VALUE"""),"70000275")</f>
        <v>70000275</v>
      </c>
      <c r="D4893" s="380" t="s">
        <v>767</v>
      </c>
      <c r="E4893" s="380" t="s">
        <v>786</v>
      </c>
      <c r="F4893" s="380" t="s">
        <v>792</v>
      </c>
      <c r="G4893" s="380" t="s">
        <v>1267</v>
      </c>
      <c r="H4893" s="380" t="s">
        <v>771</v>
      </c>
      <c r="I4893" s="380" t="s">
        <v>788</v>
      </c>
      <c r="J4893" s="380" t="s">
        <v>773</v>
      </c>
      <c r="K4893" s="381">
        <v>0.0</v>
      </c>
      <c r="L4893" s="382">
        <v>1.0</v>
      </c>
    </row>
    <row r="4894">
      <c r="A4894" s="380" t="s">
        <v>5767</v>
      </c>
      <c r="B4894" s="380" t="str">
        <f>IFERROR(__xludf.DUMMYFUNCTION("""COMPUTED_VALUE"""),"Tuerca mang L/Brisas Nkr-Npr 8980790300")</f>
        <v>Tuerca mang L/Brisas Nkr-Npr 8980790300</v>
      </c>
      <c r="C4894" s="380" t="str">
        <f>IFERROR(__xludf.DUMMYFUNCTION("""COMPUTED_VALUE"""),"70000276")</f>
        <v>70000276</v>
      </c>
      <c r="D4894" s="380" t="s">
        <v>767</v>
      </c>
      <c r="E4894" s="380" t="s">
        <v>786</v>
      </c>
      <c r="F4894" s="380" t="s">
        <v>792</v>
      </c>
      <c r="G4894" s="380" t="s">
        <v>1267</v>
      </c>
      <c r="H4894" s="380" t="s">
        <v>771</v>
      </c>
      <c r="I4894" s="380" t="s">
        <v>788</v>
      </c>
      <c r="J4894" s="380" t="s">
        <v>773</v>
      </c>
      <c r="K4894" s="381">
        <v>0.0</v>
      </c>
      <c r="L4894" s="382">
        <v>1.0</v>
      </c>
    </row>
    <row r="4895">
      <c r="A4895" s="380" t="s">
        <v>5768</v>
      </c>
      <c r="B4895" s="380" t="str">
        <f>IFERROR(__xludf.DUMMYFUNCTION("""COMPUTED_VALUE"""),"Separador Diferencial Eaton KW 78904")</f>
        <v>Separador Diferencial Eaton KW 78904</v>
      </c>
      <c r="C4895" s="380" t="str">
        <f>IFERROR(__xludf.DUMMYFUNCTION("""COMPUTED_VALUE"""),"70000277")</f>
        <v>70000277</v>
      </c>
      <c r="D4895" s="380" t="s">
        <v>767</v>
      </c>
      <c r="E4895" s="380" t="s">
        <v>786</v>
      </c>
      <c r="F4895" s="380" t="s">
        <v>5683</v>
      </c>
      <c r="G4895" s="380" t="s">
        <v>1267</v>
      </c>
      <c r="H4895" s="380" t="s">
        <v>771</v>
      </c>
      <c r="I4895" s="380" t="s">
        <v>788</v>
      </c>
      <c r="J4895" s="380" t="s">
        <v>773</v>
      </c>
      <c r="K4895" s="381">
        <v>0.0</v>
      </c>
      <c r="L4895" s="382">
        <v>1.0</v>
      </c>
    </row>
    <row r="4896">
      <c r="A4896" s="380" t="s">
        <v>5769</v>
      </c>
      <c r="B4896" s="380" t="str">
        <f>IFERROR(__xludf.DUMMYFUNCTION("""COMPUTED_VALUE"""),"Amortiguador Del Nkr-RW 8980857090")</f>
        <v>Amortiguador Del Nkr-RW 8980857090</v>
      </c>
      <c r="C4896" s="380" t="str">
        <f>IFERROR(__xludf.DUMMYFUNCTION("""COMPUTED_VALUE"""),"70000278")</f>
        <v>70000278</v>
      </c>
      <c r="D4896" s="380" t="s">
        <v>767</v>
      </c>
      <c r="E4896" s="380" t="s">
        <v>786</v>
      </c>
      <c r="F4896" s="380" t="s">
        <v>1039</v>
      </c>
      <c r="G4896" s="380" t="s">
        <v>1267</v>
      </c>
      <c r="H4896" s="380" t="s">
        <v>771</v>
      </c>
      <c r="I4896" s="380" t="s">
        <v>788</v>
      </c>
      <c r="J4896" s="380" t="s">
        <v>773</v>
      </c>
      <c r="K4896" s="381">
        <v>0.0</v>
      </c>
      <c r="L4896" s="382">
        <v>1.0</v>
      </c>
    </row>
    <row r="4897">
      <c r="A4897" s="380" t="s">
        <v>5770</v>
      </c>
      <c r="B4897" s="380" t="str">
        <f>IFERROR(__xludf.DUMMYFUNCTION("""COMPUTED_VALUE"""),"Lampara Led 24v Furg Nkr RW-FRR 37050172")</f>
        <v>Lampara Led 24v Furg Nkr RW-FRR 37050172</v>
      </c>
      <c r="C4897" s="380" t="str">
        <f>IFERROR(__xludf.DUMMYFUNCTION("""COMPUTED_VALUE"""),"70000279")</f>
        <v>70000279</v>
      </c>
      <c r="D4897" s="380" t="s">
        <v>767</v>
      </c>
      <c r="E4897" s="380" t="s">
        <v>786</v>
      </c>
      <c r="F4897" s="380" t="s">
        <v>998</v>
      </c>
      <c r="G4897" s="380" t="s">
        <v>1267</v>
      </c>
      <c r="H4897" s="380" t="s">
        <v>771</v>
      </c>
      <c r="I4897" s="380" t="s">
        <v>788</v>
      </c>
      <c r="J4897" s="380" t="s">
        <v>773</v>
      </c>
      <c r="K4897" s="381">
        <v>0.0</v>
      </c>
      <c r="L4897" s="382">
        <v>1.0</v>
      </c>
    </row>
    <row r="4898">
      <c r="A4898" s="380" t="s">
        <v>5771</v>
      </c>
      <c r="B4898" s="380" t="str">
        <f>IFERROR(__xludf.DUMMYFUNCTION("""COMPUTED_VALUE"""),"Tubo Bomba Inyeccion N-4 Nkr 8972239261")</f>
        <v>Tubo Bomba Inyeccion N-4 Nkr 8972239261</v>
      </c>
      <c r="C4898" s="380" t="str">
        <f>IFERROR(__xludf.DUMMYFUNCTION("""COMPUTED_VALUE"""),"70000280")</f>
        <v>70000280</v>
      </c>
      <c r="D4898" s="380" t="s">
        <v>767</v>
      </c>
      <c r="E4898" s="380" t="s">
        <v>786</v>
      </c>
      <c r="F4898" s="380" t="s">
        <v>787</v>
      </c>
      <c r="G4898" s="380" t="s">
        <v>1267</v>
      </c>
      <c r="H4898" s="380" t="s">
        <v>771</v>
      </c>
      <c r="I4898" s="380" t="s">
        <v>788</v>
      </c>
      <c r="J4898" s="380" t="s">
        <v>773</v>
      </c>
      <c r="K4898" s="381">
        <v>0.0</v>
      </c>
      <c r="L4898" s="382">
        <v>1.0</v>
      </c>
    </row>
    <row r="4899">
      <c r="A4899" s="380" t="s">
        <v>5772</v>
      </c>
      <c r="B4899" s="380" t="str">
        <f>IFERROR(__xludf.DUMMYFUNCTION("""COMPUTED_VALUE"""),"Cabrilla Direccion Van N-200-24520291")</f>
        <v>Cabrilla Direccion Van N-200-24520291</v>
      </c>
      <c r="C4899" s="380" t="str">
        <f>IFERROR(__xludf.DUMMYFUNCTION("""COMPUTED_VALUE"""),"70000281")</f>
        <v>70000281</v>
      </c>
      <c r="D4899" s="380" t="s">
        <v>767</v>
      </c>
      <c r="E4899" s="380" t="s">
        <v>786</v>
      </c>
      <c r="F4899" s="380" t="s">
        <v>1020</v>
      </c>
      <c r="G4899" s="380" t="s">
        <v>1267</v>
      </c>
      <c r="H4899" s="380" t="s">
        <v>771</v>
      </c>
      <c r="I4899" s="380" t="s">
        <v>788</v>
      </c>
      <c r="J4899" s="380" t="s">
        <v>773</v>
      </c>
      <c r="K4899" s="381">
        <v>0.0</v>
      </c>
      <c r="L4899" s="382">
        <v>1.0</v>
      </c>
    </row>
    <row r="4900">
      <c r="A4900" s="380" t="s">
        <v>5773</v>
      </c>
      <c r="B4900" s="380" t="str">
        <f>IFERROR(__xludf.DUMMYFUNCTION("""COMPUTED_VALUE"""),"Valvula Reguladora Aire Isx BX801479")</f>
        <v>Valvula Reguladora Aire Isx BX801479</v>
      </c>
      <c r="C4900" s="380" t="str">
        <f>IFERROR(__xludf.DUMMYFUNCTION("""COMPUTED_VALUE"""),"70000282")</f>
        <v>70000282</v>
      </c>
      <c r="D4900" s="380" t="s">
        <v>767</v>
      </c>
      <c r="E4900" s="380" t="s">
        <v>786</v>
      </c>
      <c r="F4900" s="380" t="s">
        <v>1017</v>
      </c>
      <c r="G4900" s="380" t="s">
        <v>1267</v>
      </c>
      <c r="H4900" s="380" t="s">
        <v>771</v>
      </c>
      <c r="I4900" s="380" t="s">
        <v>788</v>
      </c>
      <c r="J4900" s="380" t="s">
        <v>773</v>
      </c>
      <c r="K4900" s="381">
        <v>0.0</v>
      </c>
      <c r="L4900" s="382">
        <v>1.0</v>
      </c>
    </row>
    <row r="4901">
      <c r="A4901" s="380" t="s">
        <v>5774</v>
      </c>
      <c r="B4901" s="380" t="str">
        <f>IFERROR(__xludf.DUMMYFUNCTION("""COMPUTED_VALUE"""),"Grapa Muelle Tras 3/4x2 3/4x11 T Delta")</f>
        <v>Grapa Muelle Tras 3/4x2 3/4x11 T Delta</v>
      </c>
      <c r="C4901" s="380" t="str">
        <f>IFERROR(__xludf.DUMMYFUNCTION("""COMPUTED_VALUE"""),"70000283")</f>
        <v>70000283</v>
      </c>
      <c r="D4901" s="380" t="s">
        <v>767</v>
      </c>
      <c r="E4901" s="380" t="s">
        <v>786</v>
      </c>
      <c r="F4901" s="380" t="s">
        <v>1039</v>
      </c>
      <c r="G4901" s="380" t="s">
        <v>1267</v>
      </c>
      <c r="H4901" s="380" t="s">
        <v>771</v>
      </c>
      <c r="I4901" s="380" t="s">
        <v>788</v>
      </c>
      <c r="J4901" s="380" t="s">
        <v>773</v>
      </c>
      <c r="K4901" s="381">
        <v>0.0</v>
      </c>
      <c r="L4901" s="382">
        <v>1.0</v>
      </c>
    </row>
    <row r="4902">
      <c r="A4902" s="380" t="s">
        <v>5775</v>
      </c>
      <c r="B4902" s="380" t="str">
        <f>IFERROR(__xludf.DUMMYFUNCTION("""COMPUTED_VALUE"""),"Soporte Cardan Nkr 90234KT2X")</f>
        <v>Soporte Cardan Nkr 90234KT2X</v>
      </c>
      <c r="C4902" s="380" t="str">
        <f>IFERROR(__xludf.DUMMYFUNCTION("""COMPUTED_VALUE"""),"70000284")</f>
        <v>70000284</v>
      </c>
      <c r="D4902" s="380" t="s">
        <v>767</v>
      </c>
      <c r="E4902" s="380" t="s">
        <v>786</v>
      </c>
      <c r="F4902" s="380" t="s">
        <v>5683</v>
      </c>
      <c r="G4902" s="380" t="s">
        <v>1267</v>
      </c>
      <c r="H4902" s="380" t="s">
        <v>771</v>
      </c>
      <c r="I4902" s="380" t="s">
        <v>788</v>
      </c>
      <c r="J4902" s="380" t="s">
        <v>773</v>
      </c>
      <c r="K4902" s="381">
        <v>0.0</v>
      </c>
      <c r="L4902" s="382">
        <v>1.0</v>
      </c>
    </row>
    <row r="4903">
      <c r="A4903" s="380" t="s">
        <v>5776</v>
      </c>
      <c r="B4903" s="380" t="str">
        <f>IFERROR(__xludf.DUMMYFUNCTION("""COMPUTED_VALUE"""),"Lampara Lateral Amarilla 4-080- 480")</f>
        <v>Lampara Lateral Amarilla 4-080- 480</v>
      </c>
      <c r="C4903" s="380" t="str">
        <f>IFERROR(__xludf.DUMMYFUNCTION("""COMPUTED_VALUE"""),"70000285")</f>
        <v>70000285</v>
      </c>
      <c r="D4903" s="380" t="s">
        <v>767</v>
      </c>
      <c r="E4903" s="380" t="s">
        <v>786</v>
      </c>
      <c r="F4903" s="380" t="s">
        <v>998</v>
      </c>
      <c r="G4903" s="380" t="s">
        <v>1267</v>
      </c>
      <c r="H4903" s="380" t="s">
        <v>771</v>
      </c>
      <c r="I4903" s="380" t="s">
        <v>788</v>
      </c>
      <c r="J4903" s="380" t="s">
        <v>773</v>
      </c>
      <c r="K4903" s="381">
        <v>28261.0</v>
      </c>
      <c r="L4903" s="382">
        <v>1.0</v>
      </c>
    </row>
    <row r="4904">
      <c r="A4904" s="380" t="s">
        <v>5777</v>
      </c>
      <c r="B4904" s="380" t="str">
        <f>IFERROR(__xludf.DUMMYFUNCTION("""COMPUTED_VALUE"""),"Perno Culata Nkr III RW 8982010190")</f>
        <v>Perno Culata Nkr III RW 8982010190</v>
      </c>
      <c r="C4904" s="380" t="str">
        <f>IFERROR(__xludf.DUMMYFUNCTION("""COMPUTED_VALUE"""),"70000286")</f>
        <v>70000286</v>
      </c>
      <c r="D4904" s="380" t="s">
        <v>767</v>
      </c>
      <c r="E4904" s="380" t="s">
        <v>786</v>
      </c>
      <c r="F4904" s="380" t="s">
        <v>787</v>
      </c>
      <c r="G4904" s="380" t="s">
        <v>1267</v>
      </c>
      <c r="H4904" s="380" t="s">
        <v>771</v>
      </c>
      <c r="I4904" s="380" t="s">
        <v>788</v>
      </c>
      <c r="J4904" s="380" t="s">
        <v>773</v>
      </c>
      <c r="K4904" s="381">
        <v>0.0</v>
      </c>
      <c r="L4904" s="382">
        <v>1.0</v>
      </c>
    </row>
    <row r="4905">
      <c r="A4905" s="380" t="s">
        <v>5778</v>
      </c>
      <c r="B4905" s="380" t="str">
        <f>IFERROR(__xludf.DUMMYFUNCTION("""COMPUTED_VALUE"""),"Actuador De Dosifica Isx KW 408998000R")</f>
        <v>Actuador De Dosifica Isx KW 408998000R</v>
      </c>
      <c r="C4905" s="380" t="str">
        <f>IFERROR(__xludf.DUMMYFUNCTION("""COMPUTED_VALUE"""),"70000287")</f>
        <v>70000287</v>
      </c>
      <c r="D4905" s="380" t="s">
        <v>767</v>
      </c>
      <c r="E4905" s="380" t="s">
        <v>786</v>
      </c>
      <c r="F4905" s="380" t="s">
        <v>787</v>
      </c>
      <c r="G4905" s="380" t="s">
        <v>1267</v>
      </c>
      <c r="H4905" s="380" t="s">
        <v>771</v>
      </c>
      <c r="I4905" s="380" t="s">
        <v>788</v>
      </c>
      <c r="J4905" s="380" t="s">
        <v>773</v>
      </c>
      <c r="K4905" s="381">
        <v>0.0</v>
      </c>
      <c r="L4905" s="382">
        <v>1.0</v>
      </c>
    </row>
    <row r="4906">
      <c r="A4906" s="380" t="s">
        <v>5779</v>
      </c>
      <c r="B4906" s="380" t="str">
        <f>IFERROR(__xludf.DUMMYFUNCTION("""COMPUTED_VALUE"""),"Actuador De Tiempo Isx KW 408998100R")</f>
        <v>Actuador De Tiempo Isx KW 408998100R</v>
      </c>
      <c r="C4906" s="380" t="str">
        <f>IFERROR(__xludf.DUMMYFUNCTION("""COMPUTED_VALUE"""),"70000288")</f>
        <v>70000288</v>
      </c>
      <c r="D4906" s="380" t="s">
        <v>767</v>
      </c>
      <c r="E4906" s="380" t="s">
        <v>786</v>
      </c>
      <c r="F4906" s="380" t="s">
        <v>787</v>
      </c>
      <c r="G4906" s="380" t="s">
        <v>1267</v>
      </c>
      <c r="H4906" s="380" t="s">
        <v>771</v>
      </c>
      <c r="I4906" s="380" t="s">
        <v>788</v>
      </c>
      <c r="J4906" s="380" t="s">
        <v>773</v>
      </c>
      <c r="K4906" s="381">
        <v>0.0</v>
      </c>
      <c r="L4906" s="382">
        <v>1.0</v>
      </c>
    </row>
    <row r="4907">
      <c r="A4907" s="380" t="s">
        <v>5780</v>
      </c>
      <c r="B4907" s="380" t="str">
        <f>IFERROR(__xludf.DUMMYFUNCTION("""COMPUTED_VALUE"""),"Tubo En L Inyector Nkr 8973152302")</f>
        <v>Tubo En L Inyector Nkr 8973152302</v>
      </c>
      <c r="C4907" s="380" t="str">
        <f>IFERROR(__xludf.DUMMYFUNCTION("""COMPUTED_VALUE"""),"70000289")</f>
        <v>70000289</v>
      </c>
      <c r="D4907" s="380" t="s">
        <v>767</v>
      </c>
      <c r="E4907" s="380" t="s">
        <v>786</v>
      </c>
      <c r="F4907" s="380" t="s">
        <v>787</v>
      </c>
      <c r="G4907" s="380" t="s">
        <v>1267</v>
      </c>
      <c r="H4907" s="380" t="s">
        <v>771</v>
      </c>
      <c r="I4907" s="380" t="s">
        <v>788</v>
      </c>
      <c r="J4907" s="380" t="s">
        <v>773</v>
      </c>
      <c r="K4907" s="381">
        <v>0.0</v>
      </c>
      <c r="L4907" s="382">
        <v>1.0</v>
      </c>
    </row>
    <row r="4908">
      <c r="A4908" s="380" t="s">
        <v>5781</v>
      </c>
      <c r="B4908" s="380" t="str">
        <f>IFERROR(__xludf.DUMMYFUNCTION("""COMPUTED_VALUE"""),"Tubo En T Inyector Nkr 8973152312")</f>
        <v>Tubo En T Inyector Nkr 8973152312</v>
      </c>
      <c r="C4908" s="380" t="str">
        <f>IFERROR(__xludf.DUMMYFUNCTION("""COMPUTED_VALUE"""),"70000290")</f>
        <v>70000290</v>
      </c>
      <c r="D4908" s="380" t="s">
        <v>767</v>
      </c>
      <c r="E4908" s="380" t="s">
        <v>786</v>
      </c>
      <c r="F4908" s="380" t="s">
        <v>787</v>
      </c>
      <c r="G4908" s="380" t="s">
        <v>1267</v>
      </c>
      <c r="H4908" s="380" t="s">
        <v>771</v>
      </c>
      <c r="I4908" s="380" t="s">
        <v>788</v>
      </c>
      <c r="J4908" s="380" t="s">
        <v>773</v>
      </c>
      <c r="K4908" s="381">
        <v>0.0</v>
      </c>
      <c r="L4908" s="382">
        <v>1.0</v>
      </c>
    </row>
    <row r="4909">
      <c r="A4909" s="380" t="s">
        <v>5782</v>
      </c>
      <c r="B4909" s="380" t="str">
        <f>IFERROR(__xludf.DUMMYFUNCTION("""COMPUTED_VALUE"""),"Radiador Motor N200 Nuevo 9015625")</f>
        <v>Radiador Motor N200 Nuevo 9015625</v>
      </c>
      <c r="C4909" s="380" t="str">
        <f>IFERROR(__xludf.DUMMYFUNCTION("""COMPUTED_VALUE"""),"70000291")</f>
        <v>70000291</v>
      </c>
      <c r="D4909" s="380" t="s">
        <v>767</v>
      </c>
      <c r="E4909" s="380" t="s">
        <v>786</v>
      </c>
      <c r="F4909" s="380" t="s">
        <v>787</v>
      </c>
      <c r="G4909" s="380" t="s">
        <v>1267</v>
      </c>
      <c r="H4909" s="380" t="s">
        <v>771</v>
      </c>
      <c r="I4909" s="380" t="s">
        <v>788</v>
      </c>
      <c r="J4909" s="380" t="s">
        <v>773</v>
      </c>
      <c r="K4909" s="381">
        <v>0.0</v>
      </c>
      <c r="L4909" s="382">
        <v>1.0</v>
      </c>
    </row>
    <row r="4910">
      <c r="A4910" s="380" t="s">
        <v>5783</v>
      </c>
      <c r="B4910" s="380" t="str">
        <f>IFERROR(__xludf.DUMMYFUNCTION("""COMPUTED_VALUE"""),"Stop Trasero Super Brigadier R-479")</f>
        <v>Stop Trasero Super Brigadier R-479</v>
      </c>
      <c r="C4910" s="380" t="str">
        <f>IFERROR(__xludf.DUMMYFUNCTION("""COMPUTED_VALUE"""),"70000292")</f>
        <v>70000292</v>
      </c>
      <c r="D4910" s="380" t="s">
        <v>767</v>
      </c>
      <c r="E4910" s="380" t="s">
        <v>786</v>
      </c>
      <c r="F4910" s="380" t="s">
        <v>998</v>
      </c>
      <c r="G4910" s="380" t="s">
        <v>1267</v>
      </c>
      <c r="H4910" s="380" t="s">
        <v>771</v>
      </c>
      <c r="I4910" s="380" t="s">
        <v>788</v>
      </c>
      <c r="J4910" s="380" t="s">
        <v>773</v>
      </c>
      <c r="K4910" s="381">
        <v>0.0</v>
      </c>
      <c r="L4910" s="382">
        <v>1.0</v>
      </c>
    </row>
    <row r="4911">
      <c r="A4911" s="380" t="s">
        <v>5784</v>
      </c>
      <c r="B4911" s="380" t="str">
        <f>IFERROR(__xludf.DUMMYFUNCTION("""COMPUTED_VALUE"""),"Valvula Control Flujo Aire N200 19255925")</f>
        <v>Valvula Control Flujo Aire N200 19255925</v>
      </c>
      <c r="C4911" s="380" t="str">
        <f>IFERROR(__xludf.DUMMYFUNCTION("""COMPUTED_VALUE"""),"70000293")</f>
        <v>70000293</v>
      </c>
      <c r="D4911" s="380" t="s">
        <v>767</v>
      </c>
      <c r="E4911" s="380" t="s">
        <v>786</v>
      </c>
      <c r="F4911" s="380" t="s">
        <v>787</v>
      </c>
      <c r="G4911" s="380" t="s">
        <v>1267</v>
      </c>
      <c r="H4911" s="380" t="s">
        <v>771</v>
      </c>
      <c r="I4911" s="380" t="s">
        <v>788</v>
      </c>
      <c r="J4911" s="380" t="s">
        <v>773</v>
      </c>
      <c r="K4911" s="381">
        <v>0.0</v>
      </c>
      <c r="L4911" s="382">
        <v>1.0</v>
      </c>
    </row>
    <row r="4912">
      <c r="A4912" s="380" t="s">
        <v>5785</v>
      </c>
      <c r="B4912" s="380" t="str">
        <f>IFERROR(__xludf.DUMMYFUNCTION("""COMPUTED_VALUE"""),"Tuerca Perno Rueda Van N200 94515470")</f>
        <v>Tuerca Perno Rueda Van N200 94515470</v>
      </c>
      <c r="C4912" s="380" t="str">
        <f>IFERROR(__xludf.DUMMYFUNCTION("""COMPUTED_VALUE"""),"70000294")</f>
        <v>70000294</v>
      </c>
      <c r="D4912" s="380" t="s">
        <v>767</v>
      </c>
      <c r="E4912" s="380" t="s">
        <v>786</v>
      </c>
      <c r="F4912" s="380" t="s">
        <v>1039</v>
      </c>
      <c r="G4912" s="380" t="s">
        <v>1267</v>
      </c>
      <c r="H4912" s="380" t="s">
        <v>771</v>
      </c>
      <c r="I4912" s="380" t="s">
        <v>788</v>
      </c>
      <c r="J4912" s="380" t="s">
        <v>773</v>
      </c>
      <c r="K4912" s="381">
        <v>0.0</v>
      </c>
      <c r="L4912" s="382">
        <v>1.0</v>
      </c>
    </row>
    <row r="4913">
      <c r="A4913" s="380" t="s">
        <v>5786</v>
      </c>
      <c r="B4913" s="380" t="str">
        <f>IFERROR(__xludf.DUMMYFUNCTION("""COMPUTED_VALUE"""),"Moldura Vidrio Pta Der Nkr RW 8980291921")</f>
        <v>Moldura Vidrio Pta Der Nkr RW 8980291921</v>
      </c>
      <c r="C4913" s="380" t="str">
        <f>IFERROR(__xludf.DUMMYFUNCTION("""COMPUTED_VALUE"""),"70000295")</f>
        <v>70000295</v>
      </c>
      <c r="D4913" s="380" t="s">
        <v>767</v>
      </c>
      <c r="E4913" s="380" t="s">
        <v>786</v>
      </c>
      <c r="F4913" s="380" t="s">
        <v>792</v>
      </c>
      <c r="G4913" s="380" t="s">
        <v>1267</v>
      </c>
      <c r="H4913" s="380" t="s">
        <v>771</v>
      </c>
      <c r="I4913" s="380" t="s">
        <v>788</v>
      </c>
      <c r="J4913" s="380" t="s">
        <v>773</v>
      </c>
      <c r="K4913" s="381">
        <v>0.0</v>
      </c>
      <c r="L4913" s="382">
        <v>1.0</v>
      </c>
    </row>
    <row r="4914">
      <c r="A4914" s="380" t="s">
        <v>5787</v>
      </c>
      <c r="B4914" s="380" t="str">
        <f>IFERROR(__xludf.DUMMYFUNCTION("""COMPUTED_VALUE"""),"Balinera Motor De Arranque Nkr 6904-2RS")</f>
        <v>Balinera Motor De Arranque Nkr 6904-2RS</v>
      </c>
      <c r="C4914" s="380" t="str">
        <f>IFERROR(__xludf.DUMMYFUNCTION("""COMPUTED_VALUE"""),"70000296")</f>
        <v>70000296</v>
      </c>
      <c r="D4914" s="380" t="s">
        <v>767</v>
      </c>
      <c r="E4914" s="380" t="s">
        <v>786</v>
      </c>
      <c r="F4914" s="380" t="s">
        <v>998</v>
      </c>
      <c r="G4914" s="380" t="s">
        <v>1267</v>
      </c>
      <c r="H4914" s="380" t="s">
        <v>771</v>
      </c>
      <c r="I4914" s="380" t="s">
        <v>788</v>
      </c>
      <c r="J4914" s="380" t="s">
        <v>773</v>
      </c>
      <c r="K4914" s="381">
        <v>0.0</v>
      </c>
      <c r="L4914" s="382">
        <v>1.0</v>
      </c>
    </row>
    <row r="4915">
      <c r="A4915" s="380" t="s">
        <v>5788</v>
      </c>
      <c r="B4915" s="380" t="str">
        <f>IFERROR(__xludf.DUMMYFUNCTION("""COMPUTED_VALUE"""),"Laminilla Selenoide Bobina 129839 SB")</f>
        <v>Laminilla Selenoide Bobina 129839 SB</v>
      </c>
      <c r="C4915" s="380" t="str">
        <f>IFERROR(__xludf.DUMMYFUNCTION("""COMPUTED_VALUE"""),"70000297")</f>
        <v>70000297</v>
      </c>
      <c r="D4915" s="380" t="s">
        <v>767</v>
      </c>
      <c r="E4915" s="380" t="s">
        <v>786</v>
      </c>
      <c r="F4915" s="380" t="s">
        <v>998</v>
      </c>
      <c r="G4915" s="380" t="s">
        <v>1267</v>
      </c>
      <c r="H4915" s="380" t="s">
        <v>771</v>
      </c>
      <c r="I4915" s="380" t="s">
        <v>788</v>
      </c>
      <c r="J4915" s="380" t="s">
        <v>773</v>
      </c>
      <c r="K4915" s="381">
        <v>20195.0</v>
      </c>
      <c r="L4915" s="382">
        <v>1.0</v>
      </c>
    </row>
    <row r="4916">
      <c r="A4916" s="380" t="s">
        <v>5789</v>
      </c>
      <c r="B4916" s="380" t="str">
        <f>IFERROR(__xludf.DUMMYFUNCTION("""COMPUTED_VALUE"""),"Piñon Aux Caja 16718 Eagle 4303422")</f>
        <v>Piñon Aux Caja 16718 Eagle 4303422</v>
      </c>
      <c r="C4916" s="380" t="str">
        <f>IFERROR(__xludf.DUMMYFUNCTION("""COMPUTED_VALUE"""),"70000298")</f>
        <v>70000298</v>
      </c>
      <c r="D4916" s="380" t="s">
        <v>767</v>
      </c>
      <c r="E4916" s="380" t="s">
        <v>786</v>
      </c>
      <c r="F4916" s="380" t="s">
        <v>928</v>
      </c>
      <c r="G4916" s="380" t="s">
        <v>1267</v>
      </c>
      <c r="H4916" s="380" t="s">
        <v>771</v>
      </c>
      <c r="I4916" s="380" t="s">
        <v>788</v>
      </c>
      <c r="J4916" s="380" t="s">
        <v>773</v>
      </c>
      <c r="K4916" s="381">
        <v>0.0</v>
      </c>
      <c r="L4916" s="382">
        <v>1.0</v>
      </c>
    </row>
    <row r="4917">
      <c r="A4917" s="380" t="s">
        <v>5790</v>
      </c>
      <c r="B4917" s="380" t="str">
        <f>IFERROR(__xludf.DUMMYFUNCTION("""COMPUTED_VALUE"""),"Acople 90Gd Mang acpm 5/8""Eag 3559213C2")</f>
        <v>Acople 90Gd Mang acpm 5/8"Eag 3559213C2</v>
      </c>
      <c r="C4917" s="380" t="str">
        <f>IFERROR(__xludf.DUMMYFUNCTION("""COMPUTED_VALUE"""),"70000299")</f>
        <v>70000299</v>
      </c>
      <c r="D4917" s="380" t="s">
        <v>767</v>
      </c>
      <c r="E4917" s="380" t="s">
        <v>786</v>
      </c>
      <c r="F4917" s="380" t="s">
        <v>787</v>
      </c>
      <c r="G4917" s="380" t="s">
        <v>1267</v>
      </c>
      <c r="H4917" s="380" t="s">
        <v>771</v>
      </c>
      <c r="I4917" s="380" t="s">
        <v>788</v>
      </c>
      <c r="J4917" s="380" t="s">
        <v>773</v>
      </c>
      <c r="K4917" s="381">
        <v>0.0</v>
      </c>
      <c r="L4917" s="382">
        <v>1.0</v>
      </c>
    </row>
    <row r="4918">
      <c r="A4918" s="380" t="s">
        <v>5791</v>
      </c>
      <c r="B4918" s="380" t="str">
        <f>IFERROR(__xludf.DUMMYFUNCTION("""COMPUTED_VALUE"""),"Acople 90Gd Mang acpm 1/2""Eag 3533425C3")</f>
        <v>Acople 90Gd Mang acpm 1/2"Eag 3533425C3</v>
      </c>
      <c r="C4918" s="380" t="str">
        <f>IFERROR(__xludf.DUMMYFUNCTION("""COMPUTED_VALUE"""),"70000300")</f>
        <v>70000300</v>
      </c>
      <c r="D4918" s="380" t="s">
        <v>767</v>
      </c>
      <c r="E4918" s="380" t="s">
        <v>786</v>
      </c>
      <c r="F4918" s="380" t="s">
        <v>787</v>
      </c>
      <c r="G4918" s="380" t="s">
        <v>1267</v>
      </c>
      <c r="H4918" s="380" t="s">
        <v>771</v>
      </c>
      <c r="I4918" s="380" t="s">
        <v>788</v>
      </c>
      <c r="J4918" s="380" t="s">
        <v>773</v>
      </c>
      <c r="K4918" s="381">
        <v>0.0</v>
      </c>
      <c r="L4918" s="382">
        <v>1.0</v>
      </c>
    </row>
    <row r="4919">
      <c r="A4919" s="380" t="s">
        <v>5792</v>
      </c>
      <c r="B4919" s="380" t="str">
        <f>IFERROR(__xludf.DUMMYFUNCTION("""COMPUTED_VALUE"""),"Empaque Carter Motor Isx 4026684")</f>
        <v>Empaque Carter Motor Isx 4026684</v>
      </c>
      <c r="C4919" s="380" t="str">
        <f>IFERROR(__xludf.DUMMYFUNCTION("""COMPUTED_VALUE"""),"70000301")</f>
        <v>70000301</v>
      </c>
      <c r="D4919" s="380" t="s">
        <v>767</v>
      </c>
      <c r="E4919" s="380" t="s">
        <v>786</v>
      </c>
      <c r="F4919" s="380" t="s">
        <v>787</v>
      </c>
      <c r="G4919" s="380" t="s">
        <v>1267</v>
      </c>
      <c r="H4919" s="380" t="s">
        <v>771</v>
      </c>
      <c r="I4919" s="380" t="s">
        <v>788</v>
      </c>
      <c r="J4919" s="380" t="s">
        <v>773</v>
      </c>
      <c r="K4919" s="381">
        <v>0.0</v>
      </c>
      <c r="L4919" s="382">
        <v>1.0</v>
      </c>
    </row>
    <row r="4920">
      <c r="A4920" s="380" t="s">
        <v>5793</v>
      </c>
      <c r="B4920" s="380" t="str">
        <f>IFERROR(__xludf.DUMMYFUNCTION("""COMPUTED_VALUE"""),"Hoja Resorte Tras T Delta 5ta 4821060290")</f>
        <v>Hoja Resorte Tras T Delta 5ta 4821060290</v>
      </c>
      <c r="C4920" s="380" t="str">
        <f>IFERROR(__xludf.DUMMYFUNCTION("""COMPUTED_VALUE"""),"70000302")</f>
        <v>70000302</v>
      </c>
      <c r="D4920" s="380" t="s">
        <v>767</v>
      </c>
      <c r="E4920" s="380" t="s">
        <v>786</v>
      </c>
      <c r="F4920" s="380" t="s">
        <v>1039</v>
      </c>
      <c r="G4920" s="380" t="s">
        <v>1267</v>
      </c>
      <c r="H4920" s="380" t="s">
        <v>771</v>
      </c>
      <c r="I4920" s="380" t="s">
        <v>788</v>
      </c>
      <c r="J4920" s="380" t="s">
        <v>773</v>
      </c>
      <c r="K4920" s="381">
        <v>0.0</v>
      </c>
      <c r="L4920" s="382">
        <v>1.0</v>
      </c>
    </row>
    <row r="4921">
      <c r="A4921" s="380" t="s">
        <v>5794</v>
      </c>
      <c r="B4921" s="380" t="str">
        <f>IFERROR(__xludf.DUMMYFUNCTION("""COMPUTED_VALUE"""),"Hoja Resorte Tras T Delta 6ta 4821060100")</f>
        <v>Hoja Resorte Tras T Delta 6ta 4821060100</v>
      </c>
      <c r="C4921" s="380" t="str">
        <f>IFERROR(__xludf.DUMMYFUNCTION("""COMPUTED_VALUE"""),"70000303")</f>
        <v>70000303</v>
      </c>
      <c r="D4921" s="380" t="s">
        <v>767</v>
      </c>
      <c r="E4921" s="380" t="s">
        <v>786</v>
      </c>
      <c r="F4921" s="380" t="s">
        <v>1039</v>
      </c>
      <c r="G4921" s="380" t="s">
        <v>1267</v>
      </c>
      <c r="H4921" s="380" t="s">
        <v>771</v>
      </c>
      <c r="I4921" s="380" t="s">
        <v>788</v>
      </c>
      <c r="J4921" s="380" t="s">
        <v>773</v>
      </c>
      <c r="K4921" s="381">
        <v>0.0</v>
      </c>
      <c r="L4921" s="382">
        <v>1.0</v>
      </c>
    </row>
    <row r="4922">
      <c r="A4922" s="380" t="s">
        <v>5795</v>
      </c>
      <c r="B4922" s="380" t="str">
        <f>IFERROR(__xludf.DUMMYFUNCTION("""COMPUTED_VALUE"""),"Abrazadera Espejo Dt466-4300-2507274C1")</f>
        <v>Abrazadera Espejo Dt466-4300-2507274C1</v>
      </c>
      <c r="C4922" s="380" t="str">
        <f>IFERROR(__xludf.DUMMYFUNCTION("""COMPUTED_VALUE"""),"70000304")</f>
        <v>70000304</v>
      </c>
      <c r="D4922" s="380" t="s">
        <v>767</v>
      </c>
      <c r="E4922" s="380" t="s">
        <v>786</v>
      </c>
      <c r="F4922" s="380" t="s">
        <v>792</v>
      </c>
      <c r="G4922" s="380" t="s">
        <v>1267</v>
      </c>
      <c r="H4922" s="380" t="s">
        <v>771</v>
      </c>
      <c r="I4922" s="380" t="s">
        <v>788</v>
      </c>
      <c r="J4922" s="380" t="s">
        <v>773</v>
      </c>
      <c r="K4922" s="381">
        <v>234778.0</v>
      </c>
      <c r="L4922" s="382">
        <v>1.0</v>
      </c>
    </row>
    <row r="4923">
      <c r="A4923" s="380" t="s">
        <v>5796</v>
      </c>
      <c r="B4923" s="380" t="str">
        <f>IFERROR(__xludf.DUMMYFUNCTION("""COMPUTED_VALUE"""),"Kit Piston 0 50 Akt 200")</f>
        <v>Kit Piston 0 50 Akt 200</v>
      </c>
      <c r="C4923" s="380" t="str">
        <f>IFERROR(__xludf.DUMMYFUNCTION("""COMPUTED_VALUE"""),"70000305")</f>
        <v>70000305</v>
      </c>
      <c r="D4923" s="380" t="s">
        <v>767</v>
      </c>
      <c r="E4923" s="380" t="s">
        <v>786</v>
      </c>
      <c r="F4923" s="380" t="s">
        <v>787</v>
      </c>
      <c r="G4923" s="380" t="s">
        <v>1267</v>
      </c>
      <c r="H4923" s="380" t="s">
        <v>771</v>
      </c>
      <c r="I4923" s="380" t="s">
        <v>788</v>
      </c>
      <c r="J4923" s="380" t="s">
        <v>773</v>
      </c>
      <c r="K4923" s="381">
        <v>0.0</v>
      </c>
      <c r="L4923" s="382">
        <v>1.0</v>
      </c>
    </row>
    <row r="4924">
      <c r="A4924" s="380" t="s">
        <v>5797</v>
      </c>
      <c r="B4924" s="380" t="str">
        <f>IFERROR(__xludf.DUMMYFUNCTION("""COMPUTED_VALUE"""),"Cruceta Divisor Rockwell Isx 3278N300")</f>
        <v>Cruceta Divisor Rockwell Isx 3278N300</v>
      </c>
      <c r="C4924" s="380" t="str">
        <f>IFERROR(__xludf.DUMMYFUNCTION("""COMPUTED_VALUE"""),"70000306")</f>
        <v>70000306</v>
      </c>
      <c r="D4924" s="380" t="s">
        <v>767</v>
      </c>
      <c r="E4924" s="380" t="s">
        <v>786</v>
      </c>
      <c r="F4924" s="380" t="s">
        <v>5683</v>
      </c>
      <c r="G4924" s="380" t="s">
        <v>1267</v>
      </c>
      <c r="H4924" s="380" t="s">
        <v>771</v>
      </c>
      <c r="I4924" s="380" t="s">
        <v>788</v>
      </c>
      <c r="J4924" s="380" t="s">
        <v>773</v>
      </c>
      <c r="K4924" s="381">
        <v>0.0</v>
      </c>
      <c r="L4924" s="382">
        <v>1.0</v>
      </c>
    </row>
    <row r="4925">
      <c r="A4925" s="380" t="s">
        <v>5798</v>
      </c>
      <c r="B4925" s="380" t="str">
        <f>IFERROR(__xludf.DUMMYFUNCTION("""COMPUTED_VALUE"""),"Arandela Can DivisorRockwel Isx1229Q2929")</f>
        <v>Arandela Can DivisorRockwel Isx1229Q2929</v>
      </c>
      <c r="C4925" s="380" t="str">
        <f>IFERROR(__xludf.DUMMYFUNCTION("""COMPUTED_VALUE"""),"70000307")</f>
        <v>70000307</v>
      </c>
      <c r="D4925" s="380" t="s">
        <v>767</v>
      </c>
      <c r="E4925" s="380" t="s">
        <v>786</v>
      </c>
      <c r="F4925" s="380" t="s">
        <v>5683</v>
      </c>
      <c r="G4925" s="380" t="s">
        <v>1267</v>
      </c>
      <c r="H4925" s="380" t="s">
        <v>771</v>
      </c>
      <c r="I4925" s="380" t="s">
        <v>788</v>
      </c>
      <c r="J4925" s="380" t="s">
        <v>773</v>
      </c>
      <c r="K4925" s="381">
        <v>0.0</v>
      </c>
      <c r="L4925" s="382">
        <v>1.0</v>
      </c>
    </row>
    <row r="4926">
      <c r="A4926" s="380" t="s">
        <v>5799</v>
      </c>
      <c r="B4926" s="380" t="str">
        <f>IFERROR(__xludf.DUMMYFUNCTION("""COMPUTED_VALUE"""),"Tuerca Diviso/Speed Rockwel Isx 40x1233A")</f>
        <v>Tuerca Diviso/Speed Rockwel Isx 40x1233A</v>
      </c>
      <c r="C4926" s="380" t="str">
        <f>IFERROR(__xludf.DUMMYFUNCTION("""COMPUTED_VALUE"""),"70000308")</f>
        <v>70000308</v>
      </c>
      <c r="D4926" s="380" t="s">
        <v>767</v>
      </c>
      <c r="E4926" s="380" t="s">
        <v>786</v>
      </c>
      <c r="F4926" s="380" t="s">
        <v>5683</v>
      </c>
      <c r="G4926" s="380" t="s">
        <v>1267</v>
      </c>
      <c r="H4926" s="380" t="s">
        <v>771</v>
      </c>
      <c r="I4926" s="380" t="s">
        <v>788</v>
      </c>
      <c r="J4926" s="380" t="s">
        <v>773</v>
      </c>
      <c r="K4926" s="381">
        <v>0.0</v>
      </c>
      <c r="L4926" s="382">
        <v>1.0</v>
      </c>
    </row>
    <row r="4927">
      <c r="A4927" s="380" t="s">
        <v>5800</v>
      </c>
      <c r="B4927" s="380" t="str">
        <f>IFERROR(__xludf.DUMMYFUNCTION("""COMPUTED_VALUE"""),"Piñon 2da Eje despla Nkr 8943167643")</f>
        <v>Piñon 2da Eje despla Nkr 8943167643</v>
      </c>
      <c r="C4927" s="380" t="str">
        <f>IFERROR(__xludf.DUMMYFUNCTION("""COMPUTED_VALUE"""),"70000309")</f>
        <v>70000309</v>
      </c>
      <c r="D4927" s="380" t="s">
        <v>767</v>
      </c>
      <c r="E4927" s="380" t="s">
        <v>786</v>
      </c>
      <c r="F4927" s="380" t="s">
        <v>928</v>
      </c>
      <c r="G4927" s="380" t="s">
        <v>1267</v>
      </c>
      <c r="H4927" s="380" t="s">
        <v>771</v>
      </c>
      <c r="I4927" s="380" t="s">
        <v>788</v>
      </c>
      <c r="J4927" s="380" t="s">
        <v>773</v>
      </c>
      <c r="K4927" s="381">
        <v>0.0</v>
      </c>
      <c r="L4927" s="382">
        <v>1.0</v>
      </c>
    </row>
    <row r="4928">
      <c r="A4928" s="380" t="s">
        <v>5801</v>
      </c>
      <c r="B4928" s="380" t="str">
        <f>IFERROR(__xludf.DUMMYFUNCTION("""COMPUTED_VALUE"""),"Sincro 5ta/Rev Nkr 8970487500")</f>
        <v>Sincro 5ta/Rev Nkr 8970487500</v>
      </c>
      <c r="C4928" s="380" t="str">
        <f>IFERROR(__xludf.DUMMYFUNCTION("""COMPUTED_VALUE"""),"70000310")</f>
        <v>70000310</v>
      </c>
      <c r="D4928" s="380" t="s">
        <v>767</v>
      </c>
      <c r="E4928" s="380" t="s">
        <v>786</v>
      </c>
      <c r="F4928" s="380" t="s">
        <v>928</v>
      </c>
      <c r="G4928" s="380" t="s">
        <v>1267</v>
      </c>
      <c r="H4928" s="380" t="s">
        <v>771</v>
      </c>
      <c r="I4928" s="380" t="s">
        <v>788</v>
      </c>
      <c r="J4928" s="380" t="s">
        <v>773</v>
      </c>
      <c r="K4928" s="381">
        <v>0.0</v>
      </c>
      <c r="L4928" s="382">
        <v>1.0</v>
      </c>
    </row>
    <row r="4929">
      <c r="A4929" s="380" t="s">
        <v>5802</v>
      </c>
      <c r="B4929" s="380" t="str">
        <f>IFERROR(__xludf.DUMMYFUNCTION("""COMPUTED_VALUE"""),"Arandela Susp Neumatica 1/8""-Fabricado")</f>
        <v>Arandela Susp Neumatica 1/8"-Fabricado</v>
      </c>
      <c r="C4929" s="380" t="str">
        <f>IFERROR(__xludf.DUMMYFUNCTION("""COMPUTED_VALUE"""),"70000311")</f>
        <v>70000311</v>
      </c>
      <c r="D4929" s="380" t="s">
        <v>767</v>
      </c>
      <c r="E4929" s="380" t="s">
        <v>786</v>
      </c>
      <c r="F4929" s="380" t="s">
        <v>1039</v>
      </c>
      <c r="G4929" s="380" t="s">
        <v>1267</v>
      </c>
      <c r="H4929" s="380" t="s">
        <v>771</v>
      </c>
      <c r="I4929" s="380" t="s">
        <v>788</v>
      </c>
      <c r="J4929" s="380" t="s">
        <v>773</v>
      </c>
      <c r="K4929" s="381">
        <v>0.0</v>
      </c>
      <c r="L4929" s="382">
        <v>1.0</v>
      </c>
    </row>
    <row r="4930">
      <c r="A4930" s="380" t="s">
        <v>5803</v>
      </c>
      <c r="B4930" s="380" t="str">
        <f>IFERROR(__xludf.DUMMYFUNCTION("""COMPUTED_VALUE"""),"Cremallera Pta Izq Nkr RW 8980292342")</f>
        <v>Cremallera Pta Izq Nkr RW 8980292342</v>
      </c>
      <c r="C4930" s="380" t="str">
        <f>IFERROR(__xludf.DUMMYFUNCTION("""COMPUTED_VALUE"""),"70000312")</f>
        <v>70000312</v>
      </c>
      <c r="D4930" s="380" t="s">
        <v>767</v>
      </c>
      <c r="E4930" s="380" t="s">
        <v>786</v>
      </c>
      <c r="F4930" s="380" t="s">
        <v>792</v>
      </c>
      <c r="G4930" s="380" t="s">
        <v>1267</v>
      </c>
      <c r="H4930" s="380" t="s">
        <v>771</v>
      </c>
      <c r="I4930" s="380" t="s">
        <v>788</v>
      </c>
      <c r="J4930" s="380" t="s">
        <v>773</v>
      </c>
      <c r="K4930" s="381">
        <v>0.0</v>
      </c>
      <c r="L4930" s="382">
        <v>1.0</v>
      </c>
    </row>
    <row r="4931">
      <c r="A4931" s="380" t="s">
        <v>5804</v>
      </c>
      <c r="B4931" s="380" t="str">
        <f>IFERROR(__xludf.DUMMYFUNCTION("""COMPUTED_VALUE"""),"Guardabarro Nkr III RW 8980013025")</f>
        <v>Guardabarro Nkr III RW 8980013025</v>
      </c>
      <c r="C4931" s="380" t="str">
        <f>IFERROR(__xludf.DUMMYFUNCTION("""COMPUTED_VALUE"""),"70000313")</f>
        <v>70000313</v>
      </c>
      <c r="D4931" s="380" t="s">
        <v>767</v>
      </c>
      <c r="E4931" s="380" t="s">
        <v>786</v>
      </c>
      <c r="F4931" s="380" t="s">
        <v>792</v>
      </c>
      <c r="G4931" s="380" t="s">
        <v>1267</v>
      </c>
      <c r="H4931" s="380" t="s">
        <v>771</v>
      </c>
      <c r="I4931" s="380" t="s">
        <v>788</v>
      </c>
      <c r="J4931" s="380" t="s">
        <v>773</v>
      </c>
      <c r="K4931" s="381">
        <v>0.0</v>
      </c>
      <c r="L4931" s="382">
        <v>1.0</v>
      </c>
    </row>
    <row r="4932">
      <c r="A4932" s="380" t="s">
        <v>5805</v>
      </c>
      <c r="B4932" s="380" t="str">
        <f>IFERROR(__xludf.DUMMYFUNCTION("""COMPUTED_VALUE"""),"Pisadera Lateral Izq Nkr RW 8980227753")</f>
        <v>Pisadera Lateral Izq Nkr RW 8980227753</v>
      </c>
      <c r="C4932" s="380" t="str">
        <f>IFERROR(__xludf.DUMMYFUNCTION("""COMPUTED_VALUE"""),"70000314")</f>
        <v>70000314</v>
      </c>
      <c r="D4932" s="380" t="s">
        <v>767</v>
      </c>
      <c r="E4932" s="380" t="s">
        <v>786</v>
      </c>
      <c r="F4932" s="380" t="s">
        <v>792</v>
      </c>
      <c r="G4932" s="380" t="s">
        <v>1267</v>
      </c>
      <c r="H4932" s="380" t="s">
        <v>771</v>
      </c>
      <c r="I4932" s="380" t="s">
        <v>788</v>
      </c>
      <c r="J4932" s="380" t="s">
        <v>773</v>
      </c>
      <c r="K4932" s="381">
        <v>0.0</v>
      </c>
      <c r="L4932" s="382">
        <v>1.0</v>
      </c>
    </row>
    <row r="4933">
      <c r="A4933" s="380" t="s">
        <v>5806</v>
      </c>
      <c r="B4933" s="380" t="str">
        <f>IFERROR(__xludf.DUMMYFUNCTION("""COMPUTED_VALUE"""),"Pisadera Lateral Der Nkr RW 8980227743")</f>
        <v>Pisadera Lateral Der Nkr RW 8980227743</v>
      </c>
      <c r="C4933" s="380" t="str">
        <f>IFERROR(__xludf.DUMMYFUNCTION("""COMPUTED_VALUE"""),"70000315")</f>
        <v>70000315</v>
      </c>
      <c r="D4933" s="380" t="s">
        <v>767</v>
      </c>
      <c r="E4933" s="380" t="s">
        <v>786</v>
      </c>
      <c r="F4933" s="380" t="s">
        <v>792</v>
      </c>
      <c r="G4933" s="380" t="s">
        <v>1267</v>
      </c>
      <c r="H4933" s="380" t="s">
        <v>771</v>
      </c>
      <c r="I4933" s="380" t="s">
        <v>788</v>
      </c>
      <c r="J4933" s="380" t="s">
        <v>773</v>
      </c>
      <c r="K4933" s="381">
        <v>248721.0</v>
      </c>
      <c r="L4933" s="382">
        <v>1.0</v>
      </c>
    </row>
    <row r="4934">
      <c r="A4934" s="380" t="s">
        <v>5807</v>
      </c>
      <c r="B4934" s="380" t="str">
        <f>IFERROR(__xludf.DUMMYFUNCTION("""COMPUTED_VALUE"""),"Cerradura Puerta Izq Nkr RW 8980290532")</f>
        <v>Cerradura Puerta Izq Nkr RW 8980290532</v>
      </c>
      <c r="C4934" s="380" t="str">
        <f>IFERROR(__xludf.DUMMYFUNCTION("""COMPUTED_VALUE"""),"70000316")</f>
        <v>70000316</v>
      </c>
      <c r="D4934" s="380" t="s">
        <v>767</v>
      </c>
      <c r="E4934" s="380" t="s">
        <v>786</v>
      </c>
      <c r="F4934" s="380" t="s">
        <v>792</v>
      </c>
      <c r="G4934" s="380" t="s">
        <v>1267</v>
      </c>
      <c r="H4934" s="380" t="s">
        <v>771</v>
      </c>
      <c r="I4934" s="380" t="s">
        <v>788</v>
      </c>
      <c r="J4934" s="380" t="s">
        <v>773</v>
      </c>
      <c r="K4934" s="381">
        <v>0.0</v>
      </c>
      <c r="L4934" s="382">
        <v>1.0</v>
      </c>
    </row>
    <row r="4935">
      <c r="A4935" s="380" t="s">
        <v>5808</v>
      </c>
      <c r="B4935" s="380" t="str">
        <f>IFERROR(__xludf.DUMMYFUNCTION("""COMPUTED_VALUE"""),"Horquilla Rache Atomatico Eagle 01RV789")</f>
        <v>Horquilla Rache Atomatico Eagle 01RV789</v>
      </c>
      <c r="C4935" s="380" t="str">
        <f>IFERROR(__xludf.DUMMYFUNCTION("""COMPUTED_VALUE"""),"70000317")</f>
        <v>70000317</v>
      </c>
      <c r="D4935" s="380" t="s">
        <v>767</v>
      </c>
      <c r="E4935" s="380" t="s">
        <v>786</v>
      </c>
      <c r="F4935" s="380" t="s">
        <v>1017</v>
      </c>
      <c r="G4935" s="380" t="s">
        <v>1267</v>
      </c>
      <c r="H4935" s="380" t="s">
        <v>771</v>
      </c>
      <c r="I4935" s="380" t="s">
        <v>788</v>
      </c>
      <c r="J4935" s="380" t="s">
        <v>773</v>
      </c>
      <c r="K4935" s="381">
        <v>0.0</v>
      </c>
      <c r="L4935" s="382">
        <v>1.0</v>
      </c>
    </row>
    <row r="4936">
      <c r="A4936" s="380" t="s">
        <v>5809</v>
      </c>
      <c r="B4936" s="380" t="str">
        <f>IFERROR(__xludf.DUMMYFUNCTION("""COMPUTED_VALUE"""),"Reten Cigueñal Del R Master 7700103945")</f>
        <v>Reten Cigueñal Del R Master 7700103945</v>
      </c>
      <c r="C4936" s="380" t="str">
        <f>IFERROR(__xludf.DUMMYFUNCTION("""COMPUTED_VALUE"""),"70000318")</f>
        <v>70000318</v>
      </c>
      <c r="D4936" s="380" t="s">
        <v>767</v>
      </c>
      <c r="E4936" s="380" t="s">
        <v>786</v>
      </c>
      <c r="F4936" s="380" t="s">
        <v>787</v>
      </c>
      <c r="G4936" s="380" t="s">
        <v>1267</v>
      </c>
      <c r="H4936" s="380" t="s">
        <v>771</v>
      </c>
      <c r="I4936" s="380" t="s">
        <v>788</v>
      </c>
      <c r="J4936" s="380" t="s">
        <v>773</v>
      </c>
      <c r="K4936" s="381">
        <v>0.0</v>
      </c>
      <c r="L4936" s="382">
        <v>1.0</v>
      </c>
    </row>
    <row r="4937">
      <c r="A4937" s="380" t="s">
        <v>5810</v>
      </c>
      <c r="B4937" s="380" t="str">
        <f>IFERROR(__xludf.DUMMYFUNCTION("""COMPUTED_VALUE"""),"Jgo Correa Y Acceso R Master8200833558")</f>
        <v>Jgo Correa Y Acceso R Master8200833558</v>
      </c>
      <c r="C4937" s="380" t="str">
        <f>IFERROR(__xludf.DUMMYFUNCTION("""COMPUTED_VALUE"""),"70000319")</f>
        <v>70000319</v>
      </c>
      <c r="D4937" s="380" t="s">
        <v>767</v>
      </c>
      <c r="E4937" s="380" t="s">
        <v>786</v>
      </c>
      <c r="F4937" s="380" t="s">
        <v>787</v>
      </c>
      <c r="G4937" s="380" t="s">
        <v>1267</v>
      </c>
      <c r="H4937" s="380" t="s">
        <v>771</v>
      </c>
      <c r="I4937" s="380" t="s">
        <v>788</v>
      </c>
      <c r="J4937" s="380" t="s">
        <v>773</v>
      </c>
      <c r="K4937" s="381">
        <v>0.0</v>
      </c>
      <c r="L4937" s="382">
        <v>1.0</v>
      </c>
    </row>
    <row r="4938">
      <c r="A4938" s="380" t="s">
        <v>5811</v>
      </c>
      <c r="B4938" s="380" t="str">
        <f>IFERROR(__xludf.DUMMYFUNCTION("""COMPUTED_VALUE"""),"Direccional Izq Pta Nkr 2012 8980397772")</f>
        <v>Direccional Izq Pta Nkr 2012 8980397772</v>
      </c>
      <c r="C4938" s="380" t="str">
        <f>IFERROR(__xludf.DUMMYFUNCTION("""COMPUTED_VALUE"""),"70000320")</f>
        <v>70000320</v>
      </c>
      <c r="D4938" s="380" t="s">
        <v>767</v>
      </c>
      <c r="E4938" s="380" t="s">
        <v>786</v>
      </c>
      <c r="F4938" s="380" t="s">
        <v>998</v>
      </c>
      <c r="G4938" s="380" t="s">
        <v>1267</v>
      </c>
      <c r="H4938" s="380" t="s">
        <v>771</v>
      </c>
      <c r="I4938" s="380" t="s">
        <v>788</v>
      </c>
      <c r="J4938" s="380" t="s">
        <v>773</v>
      </c>
      <c r="K4938" s="381">
        <v>0.0</v>
      </c>
      <c r="L4938" s="382">
        <v>1.0</v>
      </c>
    </row>
    <row r="4939">
      <c r="A4939" s="380" t="s">
        <v>5812</v>
      </c>
      <c r="B4939" s="380" t="str">
        <f>IFERROR(__xludf.DUMMYFUNCTION("""COMPUTED_VALUE"""),"Kit Rodilleria Caja 16918 Isx K3340")</f>
        <v>Kit Rodilleria Caja 16918 Isx K3340</v>
      </c>
      <c r="C4939" s="380" t="str">
        <f>IFERROR(__xludf.DUMMYFUNCTION("""COMPUTED_VALUE"""),"70000321")</f>
        <v>70000321</v>
      </c>
      <c r="D4939" s="380" t="s">
        <v>767</v>
      </c>
      <c r="E4939" s="380" t="s">
        <v>786</v>
      </c>
      <c r="F4939" s="380" t="s">
        <v>928</v>
      </c>
      <c r="G4939" s="380" t="s">
        <v>1267</v>
      </c>
      <c r="H4939" s="380" t="s">
        <v>771</v>
      </c>
      <c r="I4939" s="380" t="s">
        <v>788</v>
      </c>
      <c r="J4939" s="380" t="s">
        <v>773</v>
      </c>
      <c r="K4939" s="381">
        <v>0.0</v>
      </c>
      <c r="L4939" s="382">
        <v>1.0</v>
      </c>
    </row>
    <row r="4940">
      <c r="A4940" s="380" t="s">
        <v>5813</v>
      </c>
      <c r="B4940" s="380" t="str">
        <f>IFERROR(__xludf.DUMMYFUNCTION("""COMPUTED_VALUE"""),"Automatico Arranque Hi 4300 661601")</f>
        <v>Automatico Arranque Hi 4300 661601</v>
      </c>
      <c r="C4940" s="380" t="str">
        <f>IFERROR(__xludf.DUMMYFUNCTION("""COMPUTED_VALUE"""),"70000322")</f>
        <v>70000322</v>
      </c>
      <c r="D4940" s="380" t="s">
        <v>767</v>
      </c>
      <c r="E4940" s="380" t="s">
        <v>786</v>
      </c>
      <c r="F4940" s="380" t="s">
        <v>998</v>
      </c>
      <c r="G4940" s="380" t="s">
        <v>1267</v>
      </c>
      <c r="H4940" s="380" t="s">
        <v>771</v>
      </c>
      <c r="I4940" s="380" t="s">
        <v>788</v>
      </c>
      <c r="J4940" s="380" t="s">
        <v>773</v>
      </c>
      <c r="K4940" s="381">
        <v>0.0</v>
      </c>
      <c r="L4940" s="382">
        <v>1.0</v>
      </c>
    </row>
    <row r="4941">
      <c r="A4941" s="380" t="s">
        <v>5814</v>
      </c>
      <c r="B4941" s="380" t="str">
        <f>IFERROR(__xludf.DUMMYFUNCTION("""COMPUTED_VALUE"""),"Panel Del Izq Nkr 2012 8974056258")</f>
        <v>Panel Del Izq Nkr 2012 8974056258</v>
      </c>
      <c r="C4941" s="380" t="str">
        <f>IFERROR(__xludf.DUMMYFUNCTION("""COMPUTED_VALUE"""),"70000323")</f>
        <v>70000323</v>
      </c>
      <c r="D4941" s="380" t="s">
        <v>767</v>
      </c>
      <c r="E4941" s="380" t="s">
        <v>786</v>
      </c>
      <c r="F4941" s="380" t="s">
        <v>792</v>
      </c>
      <c r="G4941" s="380" t="s">
        <v>1267</v>
      </c>
      <c r="H4941" s="380" t="s">
        <v>771</v>
      </c>
      <c r="I4941" s="380" t="s">
        <v>788</v>
      </c>
      <c r="J4941" s="380" t="s">
        <v>773</v>
      </c>
      <c r="K4941" s="381">
        <v>0.0</v>
      </c>
      <c r="L4941" s="382">
        <v>1.0</v>
      </c>
    </row>
    <row r="4942">
      <c r="A4942" s="380" t="s">
        <v>5815</v>
      </c>
      <c r="B4942" s="380" t="str">
        <f>IFERROR(__xludf.DUMMYFUNCTION("""COMPUTED_VALUE"""),"Direccional Del Izq Nkr RW 8981554590")</f>
        <v>Direccional Del Izq Nkr RW 8981554590</v>
      </c>
      <c r="C4942" s="380" t="str">
        <f>IFERROR(__xludf.DUMMYFUNCTION("""COMPUTED_VALUE"""),"70000324")</f>
        <v>70000324</v>
      </c>
      <c r="D4942" s="380" t="s">
        <v>767</v>
      </c>
      <c r="E4942" s="380" t="s">
        <v>786</v>
      </c>
      <c r="F4942" s="380" t="s">
        <v>998</v>
      </c>
      <c r="G4942" s="380" t="s">
        <v>1267</v>
      </c>
      <c r="H4942" s="380" t="s">
        <v>771</v>
      </c>
      <c r="I4942" s="380" t="s">
        <v>788</v>
      </c>
      <c r="J4942" s="380" t="s">
        <v>773</v>
      </c>
      <c r="K4942" s="381">
        <v>0.0</v>
      </c>
      <c r="L4942" s="382">
        <v>1.0</v>
      </c>
    </row>
    <row r="4943">
      <c r="A4943" s="380" t="s">
        <v>5816</v>
      </c>
      <c r="B4943" s="380" t="str">
        <f>IFERROR(__xludf.DUMMYFUNCTION("""COMPUTED_VALUE"""),"Tubo Soporte Bayoneta Isx 4059199")</f>
        <v>Tubo Soporte Bayoneta Isx 4059199</v>
      </c>
      <c r="C4943" s="380" t="str">
        <f>IFERROR(__xludf.DUMMYFUNCTION("""COMPUTED_VALUE"""),"70000325")</f>
        <v>70000325</v>
      </c>
      <c r="D4943" s="380" t="s">
        <v>767</v>
      </c>
      <c r="E4943" s="380" t="s">
        <v>786</v>
      </c>
      <c r="F4943" s="380" t="s">
        <v>787</v>
      </c>
      <c r="G4943" s="380" t="s">
        <v>1267</v>
      </c>
      <c r="H4943" s="380" t="s">
        <v>771</v>
      </c>
      <c r="I4943" s="380" t="s">
        <v>788</v>
      </c>
      <c r="J4943" s="380" t="s">
        <v>773</v>
      </c>
      <c r="K4943" s="381">
        <v>634489.0</v>
      </c>
      <c r="L4943" s="382">
        <v>1.0</v>
      </c>
    </row>
    <row r="4944">
      <c r="A4944" s="380" t="s">
        <v>5817</v>
      </c>
      <c r="B4944" s="380" t="str">
        <f>IFERROR(__xludf.DUMMYFUNCTION("""COMPUTED_VALUE"""),"Brazo Espejo Ext Izq Nkr RW 8980705030")</f>
        <v>Brazo Espejo Ext Izq Nkr RW 8980705030</v>
      </c>
      <c r="C4944" s="380" t="str">
        <f>IFERROR(__xludf.DUMMYFUNCTION("""COMPUTED_VALUE"""),"70000326")</f>
        <v>70000326</v>
      </c>
      <c r="D4944" s="380" t="s">
        <v>767</v>
      </c>
      <c r="E4944" s="380" t="s">
        <v>786</v>
      </c>
      <c r="F4944" s="380" t="s">
        <v>792</v>
      </c>
      <c r="G4944" s="380" t="s">
        <v>1267</v>
      </c>
      <c r="H4944" s="380" t="s">
        <v>771</v>
      </c>
      <c r="I4944" s="380" t="s">
        <v>788</v>
      </c>
      <c r="J4944" s="380" t="s">
        <v>773</v>
      </c>
      <c r="K4944" s="381">
        <v>0.0</v>
      </c>
      <c r="L4944" s="382">
        <v>1.0</v>
      </c>
    </row>
    <row r="4945">
      <c r="A4945" s="380" t="s">
        <v>5818</v>
      </c>
      <c r="B4945" s="380" t="str">
        <f>IFERROR(__xludf.DUMMYFUNCTION("""COMPUTED_VALUE"""),"Manguera Freno Delantero Npr 8941145250")</f>
        <v>Manguera Freno Delantero Npr 8941145250</v>
      </c>
      <c r="C4945" s="380" t="str">
        <f>IFERROR(__xludf.DUMMYFUNCTION("""COMPUTED_VALUE"""),"70000327")</f>
        <v>70000327</v>
      </c>
      <c r="D4945" s="380" t="s">
        <v>767</v>
      </c>
      <c r="E4945" s="380" t="s">
        <v>786</v>
      </c>
      <c r="F4945" s="380" t="s">
        <v>1017</v>
      </c>
      <c r="G4945" s="380" t="s">
        <v>1267</v>
      </c>
      <c r="H4945" s="380" t="s">
        <v>771</v>
      </c>
      <c r="I4945" s="380" t="s">
        <v>788</v>
      </c>
      <c r="J4945" s="380" t="s">
        <v>773</v>
      </c>
      <c r="K4945" s="381">
        <v>0.0</v>
      </c>
      <c r="L4945" s="382">
        <v>1.0</v>
      </c>
    </row>
    <row r="4946">
      <c r="A4946" s="380" t="s">
        <v>5819</v>
      </c>
      <c r="B4946" s="380" t="str">
        <f>IFERROR(__xludf.DUMMYFUNCTION("""COMPUTED_VALUE"""),"Respiradero Diferencial Eag AMA1199W40")</f>
        <v>Respiradero Diferencial Eag AMA1199W40</v>
      </c>
      <c r="C4946" s="380" t="str">
        <f>IFERROR(__xludf.DUMMYFUNCTION("""COMPUTED_VALUE"""),"70000328")</f>
        <v>70000328</v>
      </c>
      <c r="D4946" s="380" t="s">
        <v>767</v>
      </c>
      <c r="E4946" s="380" t="s">
        <v>786</v>
      </c>
      <c r="F4946" s="380" t="s">
        <v>5683</v>
      </c>
      <c r="G4946" s="380" t="s">
        <v>1267</v>
      </c>
      <c r="H4946" s="380" t="s">
        <v>771</v>
      </c>
      <c r="I4946" s="380" t="s">
        <v>788</v>
      </c>
      <c r="J4946" s="380" t="s">
        <v>773</v>
      </c>
      <c r="K4946" s="381">
        <v>0.0</v>
      </c>
      <c r="L4946" s="382">
        <v>1.0</v>
      </c>
    </row>
    <row r="4947">
      <c r="A4947" s="380" t="s">
        <v>5820</v>
      </c>
      <c r="B4947" s="380" t="str">
        <f>IFERROR(__xludf.DUMMYFUNCTION("""COMPUTED_VALUE"""),"Diferencial Del con divisor 9x41 674517")</f>
        <v>Diferencial Del con divisor 9x41 674517</v>
      </c>
      <c r="C4947" s="380" t="str">
        <f>IFERROR(__xludf.DUMMYFUNCTION("""COMPUTED_VALUE"""),"70000329")</f>
        <v>70000329</v>
      </c>
      <c r="D4947" s="380" t="s">
        <v>767</v>
      </c>
      <c r="E4947" s="380" t="s">
        <v>786</v>
      </c>
      <c r="F4947" s="380" t="s">
        <v>5683</v>
      </c>
      <c r="G4947" s="380" t="s">
        <v>1267</v>
      </c>
      <c r="H4947" s="380" t="s">
        <v>771</v>
      </c>
      <c r="I4947" s="380" t="s">
        <v>788</v>
      </c>
      <c r="J4947" s="380" t="s">
        <v>773</v>
      </c>
      <c r="K4947" s="381">
        <v>0.0</v>
      </c>
      <c r="L4947" s="382">
        <v>1.0</v>
      </c>
    </row>
    <row r="4948">
      <c r="A4948" s="380" t="s">
        <v>5821</v>
      </c>
      <c r="B4948" s="380" t="str">
        <f>IFERROR(__xludf.DUMMYFUNCTION("""COMPUTED_VALUE"""),"Retenedor Sinfín Caja Dir Npr 8970817460")</f>
        <v>Retenedor Sinfín Caja Dir Npr 8970817460</v>
      </c>
      <c r="C4948" s="380" t="str">
        <f>IFERROR(__xludf.DUMMYFUNCTION("""COMPUTED_VALUE"""),"70000330")</f>
        <v>70000330</v>
      </c>
      <c r="D4948" s="380" t="s">
        <v>767</v>
      </c>
      <c r="E4948" s="380" t="s">
        <v>786</v>
      </c>
      <c r="F4948" s="380" t="s">
        <v>928</v>
      </c>
      <c r="G4948" s="380" t="s">
        <v>1267</v>
      </c>
      <c r="H4948" s="380" t="s">
        <v>771</v>
      </c>
      <c r="I4948" s="380" t="s">
        <v>788</v>
      </c>
      <c r="J4948" s="380" t="s">
        <v>773</v>
      </c>
      <c r="K4948" s="381">
        <v>0.0</v>
      </c>
      <c r="L4948" s="382">
        <v>1.0</v>
      </c>
    </row>
    <row r="4949">
      <c r="A4949" s="380" t="s">
        <v>5822</v>
      </c>
      <c r="B4949" s="380" t="str">
        <f>IFERROR(__xludf.DUMMYFUNCTION("""COMPUTED_VALUE"""),"Panel Esquinero Lado Der Hino 5380137021")</f>
        <v>Panel Esquinero Lado Der Hino 5380137021</v>
      </c>
      <c r="C4949" s="380" t="str">
        <f>IFERROR(__xludf.DUMMYFUNCTION("""COMPUTED_VALUE"""),"70000331")</f>
        <v>70000331</v>
      </c>
      <c r="D4949" s="380" t="s">
        <v>767</v>
      </c>
      <c r="E4949" s="380" t="s">
        <v>786</v>
      </c>
      <c r="F4949" s="380" t="s">
        <v>792</v>
      </c>
      <c r="G4949" s="380" t="s">
        <v>1267</v>
      </c>
      <c r="H4949" s="380" t="s">
        <v>771</v>
      </c>
      <c r="I4949" s="380" t="s">
        <v>788</v>
      </c>
      <c r="J4949" s="380" t="s">
        <v>773</v>
      </c>
      <c r="K4949" s="381">
        <v>0.0</v>
      </c>
      <c r="L4949" s="382">
        <v>1.0</v>
      </c>
    </row>
    <row r="4950">
      <c r="A4950" s="380" t="s">
        <v>5823</v>
      </c>
      <c r="B4950" s="380" t="str">
        <f>IFERROR(__xludf.DUMMYFUNCTION("""COMPUTED_VALUE"""),"Bocel Panel Der Cab Hino 300 5392125011")</f>
        <v>Bocel Panel Der Cab Hino 300 5392125011</v>
      </c>
      <c r="C4950" s="380" t="str">
        <f>IFERROR(__xludf.DUMMYFUNCTION("""COMPUTED_VALUE"""),"70000332")</f>
        <v>70000332</v>
      </c>
      <c r="D4950" s="380" t="s">
        <v>767</v>
      </c>
      <c r="E4950" s="380" t="s">
        <v>786</v>
      </c>
      <c r="F4950" s="380" t="s">
        <v>792</v>
      </c>
      <c r="G4950" s="380" t="s">
        <v>1267</v>
      </c>
      <c r="H4950" s="380" t="s">
        <v>771</v>
      </c>
      <c r="I4950" s="380" t="s">
        <v>788</v>
      </c>
      <c r="J4950" s="380" t="s">
        <v>773</v>
      </c>
      <c r="K4950" s="381">
        <v>0.0</v>
      </c>
      <c r="L4950" s="382">
        <v>1.0</v>
      </c>
    </row>
    <row r="4951">
      <c r="A4951" s="380" t="s">
        <v>5824</v>
      </c>
      <c r="B4951" s="380" t="str">
        <f>IFERROR(__xludf.DUMMYFUNCTION("""COMPUTED_VALUE"""),"Bocel Panel Izq cab Hino 300 5392225011")</f>
        <v>Bocel Panel Izq cab Hino 300 5392225011</v>
      </c>
      <c r="C4951" s="380" t="str">
        <f>IFERROR(__xludf.DUMMYFUNCTION("""COMPUTED_VALUE"""),"70000333")</f>
        <v>70000333</v>
      </c>
      <c r="D4951" s="380" t="s">
        <v>767</v>
      </c>
      <c r="E4951" s="380" t="s">
        <v>786</v>
      </c>
      <c r="F4951" s="380" t="s">
        <v>792</v>
      </c>
      <c r="G4951" s="380" t="s">
        <v>1267</v>
      </c>
      <c r="H4951" s="380" t="s">
        <v>771</v>
      </c>
      <c r="I4951" s="380" t="s">
        <v>788</v>
      </c>
      <c r="J4951" s="380" t="s">
        <v>773</v>
      </c>
      <c r="K4951" s="381">
        <v>139341.0</v>
      </c>
      <c r="L4951" s="382">
        <v>1.0</v>
      </c>
    </row>
    <row r="4952">
      <c r="A4952" s="380" t="s">
        <v>5825</v>
      </c>
      <c r="B4952" s="380" t="str">
        <f>IFERROR(__xludf.DUMMYFUNCTION("""COMPUTED_VALUE"""),"Tapa Bas Retrovisor Hino 8791637010")</f>
        <v>Tapa Bas Retrovisor Hino 8791637010</v>
      </c>
      <c r="C4952" s="380" t="str">
        <f>IFERROR(__xludf.DUMMYFUNCTION("""COMPUTED_VALUE"""),"70000334")</f>
        <v>70000334</v>
      </c>
      <c r="D4952" s="380" t="s">
        <v>767</v>
      </c>
      <c r="E4952" s="380" t="s">
        <v>786</v>
      </c>
      <c r="F4952" s="380" t="s">
        <v>792</v>
      </c>
      <c r="G4952" s="380" t="s">
        <v>1267</v>
      </c>
      <c r="H4952" s="380" t="s">
        <v>771</v>
      </c>
      <c r="I4952" s="380" t="s">
        <v>788</v>
      </c>
      <c r="J4952" s="380" t="s">
        <v>773</v>
      </c>
      <c r="K4952" s="381">
        <v>0.0</v>
      </c>
      <c r="L4952" s="382">
        <v>1.0</v>
      </c>
    </row>
    <row r="4953">
      <c r="A4953" s="380" t="s">
        <v>5826</v>
      </c>
      <c r="B4953" s="380" t="str">
        <f>IFERROR(__xludf.DUMMYFUNCTION("""COMPUTED_VALUE"""),"Moldura Izq Techo Cabina Isx 3518012C2")</f>
        <v>Moldura Izq Techo Cabina Isx 3518012C2</v>
      </c>
      <c r="C4953" s="380" t="str">
        <f>IFERROR(__xludf.DUMMYFUNCTION("""COMPUTED_VALUE"""),"70000335")</f>
        <v>70000335</v>
      </c>
      <c r="D4953" s="380" t="s">
        <v>767</v>
      </c>
      <c r="E4953" s="380" t="s">
        <v>786</v>
      </c>
      <c r="F4953" s="380" t="s">
        <v>792</v>
      </c>
      <c r="G4953" s="380" t="s">
        <v>1267</v>
      </c>
      <c r="H4953" s="380" t="s">
        <v>771</v>
      </c>
      <c r="I4953" s="380" t="s">
        <v>788</v>
      </c>
      <c r="J4953" s="380" t="s">
        <v>773</v>
      </c>
      <c r="K4953" s="381">
        <v>0.0</v>
      </c>
      <c r="L4953" s="382">
        <v>1.0</v>
      </c>
    </row>
    <row r="4954">
      <c r="A4954" s="380" t="s">
        <v>5827</v>
      </c>
      <c r="B4954" s="380" t="str">
        <f>IFERROR(__xludf.DUMMYFUNCTION("""COMPUTED_VALUE"""),"Esquinero Del Techo Der Cab Isx3513633C2")</f>
        <v>Esquinero Del Techo Der Cab Isx3513633C2</v>
      </c>
      <c r="C4954" s="380" t="str">
        <f>IFERROR(__xludf.DUMMYFUNCTION("""COMPUTED_VALUE"""),"70000336")</f>
        <v>70000336</v>
      </c>
      <c r="D4954" s="380" t="s">
        <v>767</v>
      </c>
      <c r="E4954" s="380" t="s">
        <v>786</v>
      </c>
      <c r="F4954" s="380" t="s">
        <v>792</v>
      </c>
      <c r="G4954" s="380" t="s">
        <v>1267</v>
      </c>
      <c r="H4954" s="380" t="s">
        <v>771</v>
      </c>
      <c r="I4954" s="380" t="s">
        <v>788</v>
      </c>
      <c r="J4954" s="380" t="s">
        <v>773</v>
      </c>
      <c r="K4954" s="381">
        <v>0.0</v>
      </c>
      <c r="L4954" s="382">
        <v>1.0</v>
      </c>
    </row>
    <row r="4955">
      <c r="A4955" s="380" t="s">
        <v>5828</v>
      </c>
      <c r="B4955" s="380" t="str">
        <f>IFERROR(__xludf.DUMMYFUNCTION("""COMPUTED_VALUE"""),"Brazo Plumilla Limpiabrisa N200 24530132")</f>
        <v>Brazo Plumilla Limpiabrisa N200 24530132</v>
      </c>
      <c r="C4955" s="380" t="str">
        <f>IFERROR(__xludf.DUMMYFUNCTION("""COMPUTED_VALUE"""),"70000337")</f>
        <v>70000337</v>
      </c>
      <c r="D4955" s="380" t="s">
        <v>767</v>
      </c>
      <c r="E4955" s="380" t="s">
        <v>786</v>
      </c>
      <c r="F4955" s="380" t="s">
        <v>792</v>
      </c>
      <c r="G4955" s="380" t="s">
        <v>1267</v>
      </c>
      <c r="H4955" s="380" t="s">
        <v>771</v>
      </c>
      <c r="I4955" s="380" t="s">
        <v>788</v>
      </c>
      <c r="J4955" s="380" t="s">
        <v>773</v>
      </c>
      <c r="K4955" s="381">
        <v>0.0</v>
      </c>
      <c r="L4955" s="382">
        <v>1.0</v>
      </c>
    </row>
    <row r="4956">
      <c r="A4956" s="380" t="s">
        <v>5829</v>
      </c>
      <c r="B4956" s="380" t="str">
        <f>IFERROR(__xludf.DUMMYFUNCTION("""COMPUTED_VALUE"""),"Kit Guardapol Del/Tras Pasta ZFA0310040")</f>
        <v>Kit Guardapol Del/Tras Pasta ZFA0310040</v>
      </c>
      <c r="C4956" s="380" t="str">
        <f>IFERROR(__xludf.DUMMYFUNCTION("""COMPUTED_VALUE"""),"70000338")</f>
        <v>70000338</v>
      </c>
      <c r="D4956" s="380" t="s">
        <v>767</v>
      </c>
      <c r="E4956" s="380" t="s">
        <v>786</v>
      </c>
      <c r="F4956" s="380" t="s">
        <v>792</v>
      </c>
      <c r="G4956" s="380" t="s">
        <v>1267</v>
      </c>
      <c r="H4956" s="380" t="s">
        <v>771</v>
      </c>
      <c r="I4956" s="380" t="s">
        <v>788</v>
      </c>
      <c r="J4956" s="380" t="s">
        <v>773</v>
      </c>
      <c r="K4956" s="381">
        <v>0.0</v>
      </c>
      <c r="L4956" s="382">
        <v>1.0</v>
      </c>
    </row>
    <row r="4957">
      <c r="A4957" s="380" t="s">
        <v>5830</v>
      </c>
      <c r="B4957" s="380" t="str">
        <f>IFERROR(__xludf.DUMMYFUNCTION("""COMPUTED_VALUE"""),"Lampara Torpedo Eagle 9400 2593600C91")</f>
        <v>Lampara Torpedo Eagle 9400 2593600C91</v>
      </c>
      <c r="C4957" s="380" t="str">
        <f>IFERROR(__xludf.DUMMYFUNCTION("""COMPUTED_VALUE"""),"70000339")</f>
        <v>70000339</v>
      </c>
      <c r="D4957" s="380" t="s">
        <v>767</v>
      </c>
      <c r="E4957" s="380" t="s">
        <v>786</v>
      </c>
      <c r="F4957" s="380" t="s">
        <v>998</v>
      </c>
      <c r="G4957" s="380" t="s">
        <v>1267</v>
      </c>
      <c r="H4957" s="380" t="s">
        <v>771</v>
      </c>
      <c r="I4957" s="380" t="s">
        <v>788</v>
      </c>
      <c r="J4957" s="380" t="s">
        <v>773</v>
      </c>
      <c r="K4957" s="381">
        <v>0.0</v>
      </c>
      <c r="L4957" s="382">
        <v>1.0</v>
      </c>
    </row>
    <row r="4958">
      <c r="A4958" s="380" t="s">
        <v>5831</v>
      </c>
      <c r="B4958" s="380" t="str">
        <f>IFERROR(__xludf.DUMMYFUNCTION("""COMPUTED_VALUE"""),"Radiador Motor Nkr III-Reward 8973863181")</f>
        <v>Radiador Motor Nkr III-Reward 8973863181</v>
      </c>
      <c r="C4958" s="380" t="str">
        <f>IFERROR(__xludf.DUMMYFUNCTION("""COMPUTED_VALUE"""),"70000340")</f>
        <v>70000340</v>
      </c>
      <c r="D4958" s="380" t="s">
        <v>767</v>
      </c>
      <c r="E4958" s="380" t="s">
        <v>786</v>
      </c>
      <c r="F4958" s="380" t="s">
        <v>787</v>
      </c>
      <c r="G4958" s="380" t="s">
        <v>1267</v>
      </c>
      <c r="H4958" s="380" t="s">
        <v>771</v>
      </c>
      <c r="I4958" s="380" t="s">
        <v>788</v>
      </c>
      <c r="J4958" s="380" t="s">
        <v>773</v>
      </c>
      <c r="K4958" s="381">
        <v>709225.0</v>
      </c>
      <c r="L4958" s="382">
        <v>1.0</v>
      </c>
    </row>
    <row r="4959">
      <c r="A4959" s="380" t="s">
        <v>5832</v>
      </c>
      <c r="B4959" s="380" t="str">
        <f>IFERROR(__xludf.DUMMYFUNCTION("""COMPUTED_VALUE"""),"Tapa Filtro Aire Eagle P548910 2585269C1")</f>
        <v>Tapa Filtro Aire Eagle P548910 2585269C1</v>
      </c>
      <c r="C4959" s="380" t="str">
        <f>IFERROR(__xludf.DUMMYFUNCTION("""COMPUTED_VALUE"""),"70000341")</f>
        <v>70000341</v>
      </c>
      <c r="D4959" s="380" t="s">
        <v>767</v>
      </c>
      <c r="E4959" s="380" t="s">
        <v>786</v>
      </c>
      <c r="F4959" s="380" t="s">
        <v>787</v>
      </c>
      <c r="G4959" s="380" t="s">
        <v>1267</v>
      </c>
      <c r="H4959" s="380" t="s">
        <v>771</v>
      </c>
      <c r="I4959" s="380" t="s">
        <v>788</v>
      </c>
      <c r="J4959" s="380" t="s">
        <v>773</v>
      </c>
      <c r="K4959" s="381">
        <v>0.0</v>
      </c>
      <c r="L4959" s="382">
        <v>1.0</v>
      </c>
    </row>
    <row r="4960">
      <c r="A4960" s="380" t="s">
        <v>5833</v>
      </c>
      <c r="B4960" s="380" t="str">
        <f>IFERROR(__xludf.DUMMYFUNCTION("""COMPUTED_VALUE"""),"Convertidor De Radio Nkr III 94778514")</f>
        <v>Convertidor De Radio Nkr III 94778514</v>
      </c>
      <c r="C4960" s="380" t="str">
        <f>IFERROR(__xludf.DUMMYFUNCTION("""COMPUTED_VALUE"""),"70000342")</f>
        <v>70000342</v>
      </c>
      <c r="D4960" s="380" t="s">
        <v>767</v>
      </c>
      <c r="E4960" s="380" t="s">
        <v>786</v>
      </c>
      <c r="F4960" s="380" t="s">
        <v>998</v>
      </c>
      <c r="G4960" s="380" t="s">
        <v>1267</v>
      </c>
      <c r="H4960" s="380" t="s">
        <v>771</v>
      </c>
      <c r="I4960" s="380" t="s">
        <v>788</v>
      </c>
      <c r="J4960" s="380" t="s">
        <v>773</v>
      </c>
      <c r="K4960" s="381">
        <v>0.0</v>
      </c>
      <c r="L4960" s="382">
        <v>1.0</v>
      </c>
    </row>
    <row r="4961">
      <c r="A4961" s="380" t="s">
        <v>5834</v>
      </c>
      <c r="B4961" s="380" t="str">
        <f>IFERROR(__xludf.DUMMYFUNCTION("""COMPUTED_VALUE"""),"Radiador Aire Motor Renault 7701057121")</f>
        <v>Radiador Aire Motor Renault 7701057121</v>
      </c>
      <c r="C4961" s="380" t="str">
        <f>IFERROR(__xludf.DUMMYFUNCTION("""COMPUTED_VALUE"""),"70000343")</f>
        <v>70000343</v>
      </c>
      <c r="D4961" s="380" t="s">
        <v>767</v>
      </c>
      <c r="E4961" s="380" t="s">
        <v>786</v>
      </c>
      <c r="F4961" s="380" t="s">
        <v>787</v>
      </c>
      <c r="G4961" s="380" t="s">
        <v>1267</v>
      </c>
      <c r="H4961" s="380" t="s">
        <v>771</v>
      </c>
      <c r="I4961" s="380" t="s">
        <v>788</v>
      </c>
      <c r="J4961" s="380" t="s">
        <v>773</v>
      </c>
      <c r="K4961" s="381">
        <v>0.0</v>
      </c>
      <c r="L4961" s="382">
        <v>1.0</v>
      </c>
    </row>
    <row r="4962">
      <c r="A4962" s="380" t="s">
        <v>5835</v>
      </c>
      <c r="B4962" s="380" t="str">
        <f>IFERROR(__xludf.DUMMYFUNCTION("""COMPUTED_VALUE"""),"Deposito Limpiabrisa R Master 8200146985")</f>
        <v>Deposito Limpiabrisa R Master 8200146985</v>
      </c>
      <c r="C4962" s="380" t="str">
        <f>IFERROR(__xludf.DUMMYFUNCTION("""COMPUTED_VALUE"""),"70000344")</f>
        <v>70000344</v>
      </c>
      <c r="D4962" s="380" t="s">
        <v>767</v>
      </c>
      <c r="E4962" s="380" t="s">
        <v>786</v>
      </c>
      <c r="F4962" s="380" t="s">
        <v>792</v>
      </c>
      <c r="G4962" s="380" t="s">
        <v>1267</v>
      </c>
      <c r="H4962" s="380" t="s">
        <v>771</v>
      </c>
      <c r="I4962" s="380" t="s">
        <v>788</v>
      </c>
      <c r="J4962" s="380" t="s">
        <v>773</v>
      </c>
      <c r="K4962" s="381">
        <v>483824.0</v>
      </c>
      <c r="L4962" s="382">
        <v>1.0</v>
      </c>
    </row>
    <row r="4963">
      <c r="A4963" s="380" t="s">
        <v>5836</v>
      </c>
      <c r="B4963" s="380" t="str">
        <f>IFERROR(__xludf.DUMMYFUNCTION("""COMPUTED_VALUE"""),"Farola Derecha Renault Master 8200163518")</f>
        <v>Farola Derecha Renault Master 8200163518</v>
      </c>
      <c r="C4963" s="380" t="str">
        <f>IFERROR(__xludf.DUMMYFUNCTION("""COMPUTED_VALUE"""),"70000345")</f>
        <v>70000345</v>
      </c>
      <c r="D4963" s="380" t="s">
        <v>767</v>
      </c>
      <c r="E4963" s="380" t="s">
        <v>786</v>
      </c>
      <c r="F4963" s="380" t="s">
        <v>998</v>
      </c>
      <c r="G4963" s="380" t="s">
        <v>1267</v>
      </c>
      <c r="H4963" s="380" t="s">
        <v>771</v>
      </c>
      <c r="I4963" s="380" t="s">
        <v>788</v>
      </c>
      <c r="J4963" s="380" t="s">
        <v>773</v>
      </c>
      <c r="K4963" s="381">
        <v>649999.0</v>
      </c>
      <c r="L4963" s="382">
        <v>1.0</v>
      </c>
    </row>
    <row r="4964">
      <c r="A4964" s="380" t="s">
        <v>5837</v>
      </c>
      <c r="B4964" s="380" t="str">
        <f>IFERROR(__xludf.DUMMYFUNCTION("""COMPUTED_VALUE"""),"Direccional Del Der R Master 8200163918")</f>
        <v>Direccional Del Der R Master 8200163918</v>
      </c>
      <c r="C4964" s="380" t="str">
        <f>IFERROR(__xludf.DUMMYFUNCTION("""COMPUTED_VALUE"""),"70000346")</f>
        <v>70000346</v>
      </c>
      <c r="D4964" s="380" t="s">
        <v>767</v>
      </c>
      <c r="E4964" s="380" t="s">
        <v>786</v>
      </c>
      <c r="F4964" s="380" t="s">
        <v>998</v>
      </c>
      <c r="G4964" s="380" t="s">
        <v>1267</v>
      </c>
      <c r="H4964" s="380" t="s">
        <v>771</v>
      </c>
      <c r="I4964" s="380" t="s">
        <v>788</v>
      </c>
      <c r="J4964" s="380" t="s">
        <v>773</v>
      </c>
      <c r="K4964" s="381">
        <v>0.0</v>
      </c>
      <c r="L4964" s="382">
        <v>1.0</v>
      </c>
    </row>
    <row r="4965">
      <c r="A4965" s="380" t="s">
        <v>5838</v>
      </c>
      <c r="B4965" s="380" t="str">
        <f>IFERROR(__xludf.DUMMYFUNCTION("""COMPUTED_VALUE"""),"Refuerzo Del Cabina Renault 8200187228")</f>
        <v>Refuerzo Del Cabina Renault 8200187228</v>
      </c>
      <c r="C4965" s="380" t="str">
        <f>IFERROR(__xludf.DUMMYFUNCTION("""COMPUTED_VALUE"""),"70000347")</f>
        <v>70000347</v>
      </c>
      <c r="D4965" s="380" t="s">
        <v>767</v>
      </c>
      <c r="E4965" s="380" t="s">
        <v>786</v>
      </c>
      <c r="F4965" s="380" t="s">
        <v>792</v>
      </c>
      <c r="G4965" s="380" t="s">
        <v>1267</v>
      </c>
      <c r="H4965" s="380" t="s">
        <v>771</v>
      </c>
      <c r="I4965" s="380" t="s">
        <v>788</v>
      </c>
      <c r="J4965" s="380" t="s">
        <v>773</v>
      </c>
      <c r="K4965" s="381">
        <v>0.0</v>
      </c>
      <c r="L4965" s="382">
        <v>1.0</v>
      </c>
    </row>
    <row r="4966">
      <c r="A4966" s="380" t="s">
        <v>5839</v>
      </c>
      <c r="B4966" s="380" t="str">
        <f>IFERROR(__xludf.DUMMYFUNCTION("""COMPUTED_VALUE"""),"Fachada Del Cabina R Master 8200187234")</f>
        <v>Fachada Del Cabina R Master 8200187234</v>
      </c>
      <c r="C4966" s="380" t="str">
        <f>IFERROR(__xludf.DUMMYFUNCTION("""COMPUTED_VALUE"""),"70000348")</f>
        <v>70000348</v>
      </c>
      <c r="D4966" s="380" t="s">
        <v>767</v>
      </c>
      <c r="E4966" s="380" t="s">
        <v>786</v>
      </c>
      <c r="F4966" s="380" t="s">
        <v>792</v>
      </c>
      <c r="G4966" s="380" t="s">
        <v>1267</v>
      </c>
      <c r="H4966" s="380" t="s">
        <v>771</v>
      </c>
      <c r="I4966" s="380" t="s">
        <v>788</v>
      </c>
      <c r="J4966" s="380" t="s">
        <v>773</v>
      </c>
      <c r="K4966" s="381">
        <v>0.0</v>
      </c>
      <c r="L4966" s="382">
        <v>1.0</v>
      </c>
    </row>
    <row r="4967">
      <c r="A4967" s="380" t="s">
        <v>5840</v>
      </c>
      <c r="B4967" s="380" t="str">
        <f>IFERROR(__xludf.DUMMYFUNCTION("""COMPUTED_VALUE"""),"Parachoque Del R Master 8200394563")</f>
        <v>Parachoque Del R Master 8200394563</v>
      </c>
      <c r="C4967" s="380" t="str">
        <f>IFERROR(__xludf.DUMMYFUNCTION("""COMPUTED_VALUE"""),"70000349")</f>
        <v>70000349</v>
      </c>
      <c r="D4967" s="380" t="s">
        <v>767</v>
      </c>
      <c r="E4967" s="380" t="s">
        <v>786</v>
      </c>
      <c r="F4967" s="380" t="s">
        <v>792</v>
      </c>
      <c r="G4967" s="380" t="s">
        <v>1267</v>
      </c>
      <c r="H4967" s="380" t="s">
        <v>771</v>
      </c>
      <c r="I4967" s="380" t="s">
        <v>788</v>
      </c>
      <c r="J4967" s="380" t="s">
        <v>773</v>
      </c>
      <c r="K4967" s="381">
        <v>0.0</v>
      </c>
      <c r="L4967" s="382">
        <v>1.0</v>
      </c>
    </row>
    <row r="4968">
      <c r="A4968" s="380" t="s">
        <v>5841</v>
      </c>
      <c r="B4968" s="380" t="str">
        <f>IFERROR(__xludf.DUMMYFUNCTION("""COMPUTED_VALUE"""),"Bomba Dir Asistida R Master 8201183788")</f>
        <v>Bomba Dir Asistida R Master 8201183788</v>
      </c>
      <c r="C4968" s="380" t="str">
        <f>IFERROR(__xludf.DUMMYFUNCTION("""COMPUTED_VALUE"""),"70000350")</f>
        <v>70000350</v>
      </c>
      <c r="D4968" s="380" t="s">
        <v>767</v>
      </c>
      <c r="E4968" s="380" t="s">
        <v>786</v>
      </c>
      <c r="F4968" s="380" t="s">
        <v>1020</v>
      </c>
      <c r="G4968" s="380" t="s">
        <v>1267</v>
      </c>
      <c r="H4968" s="380" t="s">
        <v>771</v>
      </c>
      <c r="I4968" s="380" t="s">
        <v>788</v>
      </c>
      <c r="J4968" s="380" t="s">
        <v>773</v>
      </c>
      <c r="K4968" s="381">
        <v>0.0</v>
      </c>
      <c r="L4968" s="382">
        <v>1.0</v>
      </c>
    </row>
    <row r="4969">
      <c r="A4969" s="380" t="s">
        <v>5842</v>
      </c>
      <c r="B4969" s="380" t="str">
        <f>IFERROR(__xludf.DUMMYFUNCTION("""COMPUTED_VALUE"""),"Kit Correa Distrib Renault 7701477380")</f>
        <v>Kit Correa Distrib Renault 7701477380</v>
      </c>
      <c r="C4969" s="380" t="str">
        <f>IFERROR(__xludf.DUMMYFUNCTION("""COMPUTED_VALUE"""),"70000351")</f>
        <v>70000351</v>
      </c>
      <c r="D4969" s="380" t="s">
        <v>767</v>
      </c>
      <c r="E4969" s="380" t="s">
        <v>786</v>
      </c>
      <c r="F4969" s="380" t="s">
        <v>787</v>
      </c>
      <c r="G4969" s="380" t="s">
        <v>1267</v>
      </c>
      <c r="H4969" s="380" t="s">
        <v>771</v>
      </c>
      <c r="I4969" s="380" t="s">
        <v>788</v>
      </c>
      <c r="J4969" s="380" t="s">
        <v>773</v>
      </c>
      <c r="K4969" s="381">
        <v>0.0</v>
      </c>
      <c r="L4969" s="382">
        <v>1.0</v>
      </c>
    </row>
    <row r="4970">
      <c r="A4970" s="380" t="s">
        <v>5843</v>
      </c>
      <c r="B4970" s="380" t="str">
        <f>IFERROR(__xludf.DUMMYFUNCTION("""COMPUTED_VALUE"""),"Kit Correa Acc Alt R Master 7701475193")</f>
        <v>Kit Correa Acc Alt R Master 7701475193</v>
      </c>
      <c r="C4970" s="380" t="str">
        <f>IFERROR(__xludf.DUMMYFUNCTION("""COMPUTED_VALUE"""),"70000352")</f>
        <v>70000352</v>
      </c>
      <c r="D4970" s="380" t="s">
        <v>767</v>
      </c>
      <c r="E4970" s="380" t="s">
        <v>786</v>
      </c>
      <c r="F4970" s="380" t="s">
        <v>787</v>
      </c>
      <c r="G4970" s="380" t="s">
        <v>1267</v>
      </c>
      <c r="H4970" s="380" t="s">
        <v>771</v>
      </c>
      <c r="I4970" s="380" t="s">
        <v>788</v>
      </c>
      <c r="J4970" s="380" t="s">
        <v>773</v>
      </c>
      <c r="K4970" s="381">
        <v>0.0</v>
      </c>
      <c r="L4970" s="382">
        <v>1.0</v>
      </c>
    </row>
    <row r="4971">
      <c r="A4971" s="380" t="s">
        <v>5844</v>
      </c>
      <c r="B4971" s="380" t="str">
        <f>IFERROR(__xludf.DUMMYFUNCTION("""COMPUTED_VALUE"""),"Tubo De Agua Compresor Isx 3682978")</f>
        <v>Tubo De Agua Compresor Isx 3682978</v>
      </c>
      <c r="C4971" s="380" t="str">
        <f>IFERROR(__xludf.DUMMYFUNCTION("""COMPUTED_VALUE"""),"70000353")</f>
        <v>70000353</v>
      </c>
      <c r="D4971" s="380" t="s">
        <v>767</v>
      </c>
      <c r="E4971" s="380" t="s">
        <v>786</v>
      </c>
      <c r="F4971" s="380" t="s">
        <v>787</v>
      </c>
      <c r="G4971" s="380" t="s">
        <v>1267</v>
      </c>
      <c r="H4971" s="380" t="s">
        <v>771</v>
      </c>
      <c r="I4971" s="380" t="s">
        <v>788</v>
      </c>
      <c r="J4971" s="380" t="s">
        <v>773</v>
      </c>
      <c r="K4971" s="381">
        <v>0.0</v>
      </c>
      <c r="L4971" s="382">
        <v>1.0</v>
      </c>
    </row>
    <row r="4972">
      <c r="A4972" s="380" t="s">
        <v>5845</v>
      </c>
      <c r="B4972" s="380" t="str">
        <f>IFERROR(__xludf.DUMMYFUNCTION("""COMPUTED_VALUE"""),"Base Retrovisor Izq T Delta 8790587329")</f>
        <v>Base Retrovisor Izq T Delta 8790587329</v>
      </c>
      <c r="C4972" s="380" t="str">
        <f>IFERROR(__xludf.DUMMYFUNCTION("""COMPUTED_VALUE"""),"70000354")</f>
        <v>70000354</v>
      </c>
      <c r="D4972" s="380" t="s">
        <v>767</v>
      </c>
      <c r="E4972" s="380" t="s">
        <v>786</v>
      </c>
      <c r="F4972" s="380" t="s">
        <v>792</v>
      </c>
      <c r="G4972" s="380" t="s">
        <v>1267</v>
      </c>
      <c r="H4972" s="380" t="s">
        <v>771</v>
      </c>
      <c r="I4972" s="380" t="s">
        <v>788</v>
      </c>
      <c r="J4972" s="380" t="s">
        <v>773</v>
      </c>
      <c r="K4972" s="381">
        <v>0.0</v>
      </c>
      <c r="L4972" s="382">
        <v>1.0</v>
      </c>
    </row>
    <row r="4973">
      <c r="A4973" s="380" t="s">
        <v>5846</v>
      </c>
      <c r="B4973" s="380" t="str">
        <f>IFERROR(__xludf.DUMMYFUNCTION("""COMPUTED_VALUE"""),"Palanca Cambios Eagle Isx FUL4303528")</f>
        <v>Palanca Cambios Eagle Isx FUL4303528</v>
      </c>
      <c r="C4973" s="380" t="str">
        <f>IFERROR(__xludf.DUMMYFUNCTION("""COMPUTED_VALUE"""),"70000355")</f>
        <v>70000355</v>
      </c>
      <c r="D4973" s="380" t="s">
        <v>767</v>
      </c>
      <c r="E4973" s="380" t="s">
        <v>786</v>
      </c>
      <c r="F4973" s="380" t="s">
        <v>928</v>
      </c>
      <c r="G4973" s="380" t="s">
        <v>1267</v>
      </c>
      <c r="H4973" s="380" t="s">
        <v>771</v>
      </c>
      <c r="I4973" s="380" t="s">
        <v>788</v>
      </c>
      <c r="J4973" s="380" t="s">
        <v>773</v>
      </c>
      <c r="K4973" s="381">
        <v>0.0</v>
      </c>
      <c r="L4973" s="382">
        <v>1.0</v>
      </c>
    </row>
    <row r="4974">
      <c r="A4974" s="380" t="s">
        <v>5847</v>
      </c>
      <c r="B4974" s="380" t="str">
        <f>IFERROR(__xludf.DUMMYFUNCTION("""COMPUTED_VALUE"""),"Kit Reparacion Palanca Cambios K 3399 SB")</f>
        <v>Kit Reparacion Palanca Cambios K 3399 SB</v>
      </c>
      <c r="C4974" s="380" t="str">
        <f>IFERROR(__xludf.DUMMYFUNCTION("""COMPUTED_VALUE"""),"70000356")</f>
        <v>70000356</v>
      </c>
      <c r="D4974" s="380" t="s">
        <v>767</v>
      </c>
      <c r="E4974" s="380" t="s">
        <v>786</v>
      </c>
      <c r="F4974" s="380" t="s">
        <v>928</v>
      </c>
      <c r="G4974" s="380" t="s">
        <v>1267</v>
      </c>
      <c r="H4974" s="380" t="s">
        <v>771</v>
      </c>
      <c r="I4974" s="380" t="s">
        <v>788</v>
      </c>
      <c r="J4974" s="380" t="s">
        <v>773</v>
      </c>
      <c r="K4974" s="381">
        <v>0.0</v>
      </c>
      <c r="L4974" s="382">
        <v>1.0</v>
      </c>
    </row>
    <row r="4975">
      <c r="A4975" s="380" t="s">
        <v>5848</v>
      </c>
      <c r="B4975" s="380" t="str">
        <f>IFERROR(__xludf.DUMMYFUNCTION("""COMPUTED_VALUE"""),"Cojin Conductor Alto Eag M3570858C9")</f>
        <v>Cojin Conductor Alto Eag M3570858C9</v>
      </c>
      <c r="C4975" s="380" t="str">
        <f>IFERROR(__xludf.DUMMYFUNCTION("""COMPUTED_VALUE"""),"70000357")</f>
        <v>70000357</v>
      </c>
      <c r="D4975" s="380" t="s">
        <v>767</v>
      </c>
      <c r="E4975" s="380" t="s">
        <v>786</v>
      </c>
      <c r="F4975" s="380" t="s">
        <v>792</v>
      </c>
      <c r="G4975" s="380" t="s">
        <v>1267</v>
      </c>
      <c r="H4975" s="380" t="s">
        <v>771</v>
      </c>
      <c r="I4975" s="380" t="s">
        <v>788</v>
      </c>
      <c r="J4975" s="380" t="s">
        <v>773</v>
      </c>
      <c r="K4975" s="381">
        <v>4307800.0</v>
      </c>
      <c r="L4975" s="382">
        <v>1.0</v>
      </c>
    </row>
    <row r="4976">
      <c r="A4976" s="380" t="s">
        <v>5849</v>
      </c>
      <c r="B4976" s="380" t="str">
        <f>IFERROR(__xludf.DUMMYFUNCTION("""COMPUTED_VALUE"""),"Ventilador Radiador Nkr III 8973302070")</f>
        <v>Ventilador Radiador Nkr III 8973302070</v>
      </c>
      <c r="C4976" s="380" t="str">
        <f>IFERROR(__xludf.DUMMYFUNCTION("""COMPUTED_VALUE"""),"70000358")</f>
        <v>70000358</v>
      </c>
      <c r="D4976" s="380" t="s">
        <v>767</v>
      </c>
      <c r="E4976" s="380" t="s">
        <v>786</v>
      </c>
      <c r="F4976" s="380" t="s">
        <v>787</v>
      </c>
      <c r="G4976" s="380" t="s">
        <v>1267</v>
      </c>
      <c r="H4976" s="380" t="s">
        <v>771</v>
      </c>
      <c r="I4976" s="380" t="s">
        <v>788</v>
      </c>
      <c r="J4976" s="380" t="s">
        <v>773</v>
      </c>
      <c r="K4976" s="381">
        <v>0.0</v>
      </c>
      <c r="L4976" s="382">
        <v>1.0</v>
      </c>
    </row>
    <row r="4977">
      <c r="A4977" s="380" t="s">
        <v>5850</v>
      </c>
      <c r="B4977" s="380" t="str">
        <f>IFERROR(__xludf.DUMMYFUNCTION("""COMPUTED_VALUE"""),"Farola Del Izq Nkr III 2010 8980984842")</f>
        <v>Farola Del Izq Nkr III 2010 8980984842</v>
      </c>
      <c r="C4977" s="380" t="str">
        <f>IFERROR(__xludf.DUMMYFUNCTION("""COMPUTED_VALUE"""),"70000359")</f>
        <v>70000359</v>
      </c>
      <c r="D4977" s="380" t="s">
        <v>767</v>
      </c>
      <c r="E4977" s="380" t="s">
        <v>786</v>
      </c>
      <c r="F4977" s="380" t="s">
        <v>998</v>
      </c>
      <c r="G4977" s="380" t="s">
        <v>1267</v>
      </c>
      <c r="H4977" s="380" t="s">
        <v>771</v>
      </c>
      <c r="I4977" s="380" t="s">
        <v>788</v>
      </c>
      <c r="J4977" s="380" t="s">
        <v>773</v>
      </c>
      <c r="K4977" s="381">
        <v>0.0</v>
      </c>
      <c r="L4977" s="382">
        <v>1.0</v>
      </c>
    </row>
    <row r="4978">
      <c r="A4978" s="380" t="s">
        <v>5851</v>
      </c>
      <c r="B4978" s="380" t="str">
        <f>IFERROR(__xludf.DUMMYFUNCTION("""COMPUTED_VALUE"""),"Seguro Compuerta Trasera N-200 24539856")</f>
        <v>Seguro Compuerta Trasera N-200 24539856</v>
      </c>
      <c r="C4978" s="380" t="str">
        <f>IFERROR(__xludf.DUMMYFUNCTION("""COMPUTED_VALUE"""),"70000360")</f>
        <v>70000360</v>
      </c>
      <c r="D4978" s="380" t="s">
        <v>767</v>
      </c>
      <c r="E4978" s="380" t="s">
        <v>786</v>
      </c>
      <c r="F4978" s="380" t="s">
        <v>792</v>
      </c>
      <c r="G4978" s="380" t="s">
        <v>1267</v>
      </c>
      <c r="H4978" s="380" t="s">
        <v>771</v>
      </c>
      <c r="I4978" s="380" t="s">
        <v>788</v>
      </c>
      <c r="J4978" s="380" t="s">
        <v>773</v>
      </c>
      <c r="K4978" s="381">
        <v>0.0</v>
      </c>
      <c r="L4978" s="382">
        <v>1.0</v>
      </c>
    </row>
    <row r="4979">
      <c r="A4979" s="380" t="s">
        <v>5852</v>
      </c>
      <c r="B4979" s="380" t="str">
        <f>IFERROR(__xludf.DUMMYFUNCTION("""COMPUTED_VALUE"""),"Lampara Direccional Izq N200-5496714")</f>
        <v>Lampara Direccional Izq N200-5496714</v>
      </c>
      <c r="C4979" s="380" t="str">
        <f>IFERROR(__xludf.DUMMYFUNCTION("""COMPUTED_VALUE"""),"70000361")</f>
        <v>70000361</v>
      </c>
      <c r="D4979" s="380" t="s">
        <v>767</v>
      </c>
      <c r="E4979" s="380" t="s">
        <v>786</v>
      </c>
      <c r="F4979" s="380" t="s">
        <v>998</v>
      </c>
      <c r="G4979" s="380" t="s">
        <v>1267</v>
      </c>
      <c r="H4979" s="380" t="s">
        <v>771</v>
      </c>
      <c r="I4979" s="380" t="s">
        <v>788</v>
      </c>
      <c r="J4979" s="380" t="s">
        <v>773</v>
      </c>
      <c r="K4979" s="381">
        <v>0.0</v>
      </c>
      <c r="L4979" s="382">
        <v>1.0</v>
      </c>
    </row>
    <row r="4980">
      <c r="A4980" s="380" t="s">
        <v>5853</v>
      </c>
      <c r="B4980" s="380" t="str">
        <f>IFERROR(__xludf.DUMMYFUNCTION("""COMPUTED_VALUE"""),"Espejo Exterior Izq N200 24529555")</f>
        <v>Espejo Exterior Izq N200 24529555</v>
      </c>
      <c r="C4980" s="380" t="str">
        <f>IFERROR(__xludf.DUMMYFUNCTION("""COMPUTED_VALUE"""),"70000362")</f>
        <v>70000362</v>
      </c>
      <c r="D4980" s="380" t="s">
        <v>767</v>
      </c>
      <c r="E4980" s="380" t="s">
        <v>786</v>
      </c>
      <c r="F4980" s="380" t="s">
        <v>792</v>
      </c>
      <c r="G4980" s="380" t="s">
        <v>1267</v>
      </c>
      <c r="H4980" s="380" t="s">
        <v>771</v>
      </c>
      <c r="I4980" s="380" t="s">
        <v>788</v>
      </c>
      <c r="J4980" s="380" t="s">
        <v>773</v>
      </c>
      <c r="K4980" s="381">
        <v>128175.0</v>
      </c>
      <c r="L4980" s="382">
        <v>1.0</v>
      </c>
    </row>
    <row r="4981">
      <c r="A4981" s="380" t="s">
        <v>5854</v>
      </c>
      <c r="B4981" s="380" t="str">
        <f>IFERROR(__xludf.DUMMYFUNCTION("""COMPUTED_VALUE"""),"Filtro Elem Evaporador Eagle1699956C1")</f>
        <v>Filtro Elem Evaporador Eagle1699956C1</v>
      </c>
      <c r="C4981" s="380" t="str">
        <f>IFERROR(__xludf.DUMMYFUNCTION("""COMPUTED_VALUE"""),"70000363")</f>
        <v>70000363</v>
      </c>
      <c r="D4981" s="380" t="s">
        <v>767</v>
      </c>
      <c r="E4981" s="380" t="s">
        <v>786</v>
      </c>
      <c r="F4981" s="380" t="s">
        <v>5855</v>
      </c>
      <c r="G4981" s="380" t="s">
        <v>1267</v>
      </c>
      <c r="H4981" s="380" t="s">
        <v>771</v>
      </c>
      <c r="I4981" s="380" t="s">
        <v>788</v>
      </c>
      <c r="J4981" s="380" t="s">
        <v>773</v>
      </c>
      <c r="K4981" s="381">
        <v>63984.0</v>
      </c>
      <c r="L4981" s="382">
        <v>1.0</v>
      </c>
    </row>
    <row r="4982">
      <c r="A4982" s="380" t="s">
        <v>5856</v>
      </c>
      <c r="B4982" s="380" t="str">
        <f>IFERROR(__xludf.DUMMYFUNCTION("""COMPUTED_VALUE"""),"Interruptor Direccionales N-200 5497157")</f>
        <v>Interruptor Direccionales N-200 5497157</v>
      </c>
      <c r="C4982" s="380" t="str">
        <f>IFERROR(__xludf.DUMMYFUNCTION("""COMPUTED_VALUE"""),"70000364")</f>
        <v>70000364</v>
      </c>
      <c r="D4982" s="380" t="s">
        <v>767</v>
      </c>
      <c r="E4982" s="380" t="s">
        <v>786</v>
      </c>
      <c r="F4982" s="380" t="s">
        <v>998</v>
      </c>
      <c r="G4982" s="380" t="s">
        <v>1267</v>
      </c>
      <c r="H4982" s="380" t="s">
        <v>771</v>
      </c>
      <c r="I4982" s="380" t="s">
        <v>788</v>
      </c>
      <c r="J4982" s="380" t="s">
        <v>773</v>
      </c>
      <c r="K4982" s="381">
        <v>0.0</v>
      </c>
      <c r="L4982" s="382">
        <v>1.0</v>
      </c>
    </row>
    <row r="4983">
      <c r="A4983" s="380" t="s">
        <v>5857</v>
      </c>
      <c r="B4983" s="380" t="str">
        <f>IFERROR(__xludf.DUMMYFUNCTION("""COMPUTED_VALUE"""),"Compresor Aire Isx Eagle 9400 3104216RX")</f>
        <v>Compresor Aire Isx Eagle 9400 3104216RX</v>
      </c>
      <c r="C4983" s="380" t="str">
        <f>IFERROR(__xludf.DUMMYFUNCTION("""COMPUTED_VALUE"""),"70000365")</f>
        <v>70000365</v>
      </c>
      <c r="D4983" s="380" t="s">
        <v>767</v>
      </c>
      <c r="E4983" s="380" t="s">
        <v>786</v>
      </c>
      <c r="F4983" s="380" t="s">
        <v>787</v>
      </c>
      <c r="G4983" s="380" t="s">
        <v>1267</v>
      </c>
      <c r="H4983" s="380" t="s">
        <v>771</v>
      </c>
      <c r="I4983" s="380" t="s">
        <v>788</v>
      </c>
      <c r="J4983" s="380" t="s">
        <v>773</v>
      </c>
      <c r="K4983" s="381">
        <v>4448926.0</v>
      </c>
      <c r="L4983" s="382">
        <v>1.0</v>
      </c>
    </row>
    <row r="4984">
      <c r="A4984" s="380" t="s">
        <v>5858</v>
      </c>
      <c r="B4984" s="380" t="str">
        <f>IFERROR(__xludf.DUMMYFUNCTION("""COMPUTED_VALUE"""),"Kit Motor Arranque 42MT 791116 SB")</f>
        <v>Kit Motor Arranque 42MT 791116 SB</v>
      </c>
      <c r="C4984" s="380" t="str">
        <f>IFERROR(__xludf.DUMMYFUNCTION("""COMPUTED_VALUE"""),"70000366")</f>
        <v>70000366</v>
      </c>
      <c r="D4984" s="380" t="s">
        <v>767</v>
      </c>
      <c r="E4984" s="380" t="s">
        <v>786</v>
      </c>
      <c r="F4984" s="380" t="s">
        <v>998</v>
      </c>
      <c r="G4984" s="380" t="s">
        <v>1267</v>
      </c>
      <c r="H4984" s="380" t="s">
        <v>771</v>
      </c>
      <c r="I4984" s="380" t="s">
        <v>788</v>
      </c>
      <c r="J4984" s="380" t="s">
        <v>773</v>
      </c>
      <c r="K4984" s="381">
        <v>0.0</v>
      </c>
      <c r="L4984" s="382">
        <v>1.0</v>
      </c>
    </row>
    <row r="4985">
      <c r="A4985" s="380" t="s">
        <v>5859</v>
      </c>
      <c r="B4985" s="380" t="str">
        <f>IFERROR(__xludf.DUMMYFUNCTION("""COMPUTED_VALUE"""),"Kit Soportes Condensador Isx 2591597C91")</f>
        <v>Kit Soportes Condensador Isx 2591597C91</v>
      </c>
      <c r="C4985" s="380" t="str">
        <f>IFERROR(__xludf.DUMMYFUNCTION("""COMPUTED_VALUE"""),"70000367")</f>
        <v>70000367</v>
      </c>
      <c r="D4985" s="380" t="s">
        <v>767</v>
      </c>
      <c r="E4985" s="380" t="s">
        <v>786</v>
      </c>
      <c r="F4985" s="380" t="s">
        <v>787</v>
      </c>
      <c r="G4985" s="380" t="s">
        <v>1267</v>
      </c>
      <c r="H4985" s="380" t="s">
        <v>771</v>
      </c>
      <c r="I4985" s="380" t="s">
        <v>788</v>
      </c>
      <c r="J4985" s="380" t="s">
        <v>773</v>
      </c>
      <c r="K4985" s="381">
        <v>0.0</v>
      </c>
      <c r="L4985" s="382">
        <v>1.0</v>
      </c>
    </row>
    <row r="4986">
      <c r="A4986" s="380" t="s">
        <v>5860</v>
      </c>
      <c r="B4986" s="380" t="str">
        <f>IFERROR(__xludf.DUMMYFUNCTION("""COMPUTED_VALUE"""),"Tapa Eje De Levas Isx 4026588")</f>
        <v>Tapa Eje De Levas Isx 4026588</v>
      </c>
      <c r="C4986" s="380" t="str">
        <f>IFERROR(__xludf.DUMMYFUNCTION("""COMPUTED_VALUE"""),"70000368")</f>
        <v>70000368</v>
      </c>
      <c r="D4986" s="380" t="s">
        <v>767</v>
      </c>
      <c r="E4986" s="380" t="s">
        <v>786</v>
      </c>
      <c r="F4986" s="380" t="s">
        <v>787</v>
      </c>
      <c r="G4986" s="380" t="s">
        <v>1267</v>
      </c>
      <c r="H4986" s="380" t="s">
        <v>771</v>
      </c>
      <c r="I4986" s="380" t="s">
        <v>788</v>
      </c>
      <c r="J4986" s="380" t="s">
        <v>773</v>
      </c>
      <c r="K4986" s="381">
        <v>0.0</v>
      </c>
      <c r="L4986" s="382">
        <v>1.0</v>
      </c>
    </row>
    <row r="4987">
      <c r="A4987" s="380" t="s">
        <v>5861</v>
      </c>
      <c r="B4987" s="380" t="str">
        <f>IFERROR(__xludf.DUMMYFUNCTION("""COMPUTED_VALUE"""),"Juego De Anillos Motor Std Isx 5633496")</f>
        <v>Juego De Anillos Motor Std Isx 5633496</v>
      </c>
      <c r="C4987" s="380" t="str">
        <f>IFERROR(__xludf.DUMMYFUNCTION("""COMPUTED_VALUE"""),"70000369")</f>
        <v>70000369</v>
      </c>
      <c r="D4987" s="380" t="s">
        <v>767</v>
      </c>
      <c r="E4987" s="380" t="s">
        <v>786</v>
      </c>
      <c r="F4987" s="380" t="s">
        <v>787</v>
      </c>
      <c r="G4987" s="380" t="s">
        <v>1267</v>
      </c>
      <c r="H4987" s="380" t="s">
        <v>771</v>
      </c>
      <c r="I4987" s="380" t="s">
        <v>788</v>
      </c>
      <c r="J4987" s="380" t="s">
        <v>773</v>
      </c>
      <c r="K4987" s="381">
        <v>0.0</v>
      </c>
      <c r="L4987" s="382">
        <v>1.0</v>
      </c>
    </row>
    <row r="4988">
      <c r="A4988" s="380" t="s">
        <v>5862</v>
      </c>
      <c r="B4988" s="380" t="str">
        <f>IFERROR(__xludf.DUMMYFUNCTION("""COMPUTED_VALUE"""),"Tapa Inferior Distribución Isx 4973081")</f>
        <v>Tapa Inferior Distribución Isx 4973081</v>
      </c>
      <c r="C4988" s="380" t="str">
        <f>IFERROR(__xludf.DUMMYFUNCTION("""COMPUTED_VALUE"""),"70000370")</f>
        <v>70000370</v>
      </c>
      <c r="D4988" s="380" t="s">
        <v>767</v>
      </c>
      <c r="E4988" s="380" t="s">
        <v>786</v>
      </c>
      <c r="F4988" s="380" t="s">
        <v>787</v>
      </c>
      <c r="G4988" s="380" t="s">
        <v>1267</v>
      </c>
      <c r="H4988" s="380" t="s">
        <v>771</v>
      </c>
      <c r="I4988" s="380" t="s">
        <v>788</v>
      </c>
      <c r="J4988" s="380" t="s">
        <v>773</v>
      </c>
      <c r="K4988" s="381">
        <v>0.0</v>
      </c>
      <c r="L4988" s="382">
        <v>1.0</v>
      </c>
    </row>
    <row r="4989">
      <c r="A4989" s="380" t="s">
        <v>5863</v>
      </c>
      <c r="B4989" s="380" t="str">
        <f>IFERROR(__xludf.DUMMYFUNCTION("""COMPUTED_VALUE"""),"Tubo Llenado Aceite Carter Isx 4962606")</f>
        <v>Tubo Llenado Aceite Carter Isx 4962606</v>
      </c>
      <c r="C4989" s="380" t="str">
        <f>IFERROR(__xludf.DUMMYFUNCTION("""COMPUTED_VALUE"""),"70000371")</f>
        <v>70000371</v>
      </c>
      <c r="D4989" s="380" t="s">
        <v>767</v>
      </c>
      <c r="E4989" s="380" t="s">
        <v>786</v>
      </c>
      <c r="F4989" s="380" t="s">
        <v>787</v>
      </c>
      <c r="G4989" s="380" t="s">
        <v>1267</v>
      </c>
      <c r="H4989" s="380" t="s">
        <v>771</v>
      </c>
      <c r="I4989" s="380" t="s">
        <v>788</v>
      </c>
      <c r="J4989" s="380" t="s">
        <v>773</v>
      </c>
      <c r="K4989" s="381">
        <v>0.0</v>
      </c>
      <c r="L4989" s="382">
        <v>1.0</v>
      </c>
    </row>
    <row r="4990">
      <c r="A4990" s="380" t="s">
        <v>5864</v>
      </c>
      <c r="B4990" s="380" t="str">
        <f>IFERROR(__xludf.DUMMYFUNCTION("""COMPUTED_VALUE"""),"Tapon Desfogue Tapa Frontal Isx 3683695")</f>
        <v>Tapon Desfogue Tapa Frontal Isx 3683695</v>
      </c>
      <c r="C4990" s="380" t="str">
        <f>IFERROR(__xludf.DUMMYFUNCTION("""COMPUTED_VALUE"""),"70000372")</f>
        <v>70000372</v>
      </c>
      <c r="D4990" s="380" t="s">
        <v>767</v>
      </c>
      <c r="E4990" s="380" t="s">
        <v>786</v>
      </c>
      <c r="F4990" s="380" t="s">
        <v>787</v>
      </c>
      <c r="G4990" s="380" t="s">
        <v>1267</v>
      </c>
      <c r="H4990" s="380" t="s">
        <v>771</v>
      </c>
      <c r="I4990" s="380" t="s">
        <v>788</v>
      </c>
      <c r="J4990" s="380" t="s">
        <v>773</v>
      </c>
      <c r="K4990" s="381">
        <v>0.0</v>
      </c>
      <c r="L4990" s="382">
        <v>1.0</v>
      </c>
    </row>
    <row r="4991">
      <c r="A4991" s="380" t="s">
        <v>5865</v>
      </c>
      <c r="B4991" s="380" t="str">
        <f>IFERROR(__xludf.DUMMYFUNCTION("""COMPUTED_VALUE"""),"Tapa deposito Radiador Renault 700805031")</f>
        <v>Tapa deposito Radiador Renault 700805031</v>
      </c>
      <c r="C4991" s="380" t="str">
        <f>IFERROR(__xludf.DUMMYFUNCTION("""COMPUTED_VALUE"""),"70000373")</f>
        <v>70000373</v>
      </c>
      <c r="D4991" s="380" t="s">
        <v>767</v>
      </c>
      <c r="E4991" s="380" t="s">
        <v>786</v>
      </c>
      <c r="F4991" s="380" t="s">
        <v>787</v>
      </c>
      <c r="G4991" s="380" t="s">
        <v>1267</v>
      </c>
      <c r="H4991" s="380" t="s">
        <v>771</v>
      </c>
      <c r="I4991" s="380" t="s">
        <v>788</v>
      </c>
      <c r="J4991" s="380" t="s">
        <v>773</v>
      </c>
      <c r="K4991" s="381">
        <v>27516.0</v>
      </c>
      <c r="L4991" s="382">
        <v>1.0</v>
      </c>
    </row>
    <row r="4992">
      <c r="A4992" s="380" t="s">
        <v>5866</v>
      </c>
      <c r="B4992" s="380" t="str">
        <f>IFERROR(__xludf.DUMMYFUNCTION("""COMPUTED_VALUE"""),"Radiador Motor Renault Master 7701057119")</f>
        <v>Radiador Motor Renault Master 7701057119</v>
      </c>
      <c r="C4992" s="380" t="str">
        <f>IFERROR(__xludf.DUMMYFUNCTION("""COMPUTED_VALUE"""),"70000374")</f>
        <v>70000374</v>
      </c>
      <c r="D4992" s="380" t="s">
        <v>767</v>
      </c>
      <c r="E4992" s="380" t="s">
        <v>786</v>
      </c>
      <c r="F4992" s="380" t="s">
        <v>787</v>
      </c>
      <c r="G4992" s="380" t="s">
        <v>1267</v>
      </c>
      <c r="H4992" s="380" t="s">
        <v>771</v>
      </c>
      <c r="I4992" s="380" t="s">
        <v>788</v>
      </c>
      <c r="J4992" s="380" t="s">
        <v>773</v>
      </c>
      <c r="K4992" s="381">
        <v>0.0</v>
      </c>
      <c r="L4992" s="382">
        <v>1.0</v>
      </c>
    </row>
    <row r="4993">
      <c r="A4993" s="380" t="s">
        <v>5867</v>
      </c>
      <c r="B4993" s="380" t="str">
        <f>IFERROR(__xludf.DUMMYFUNCTION("""COMPUTED_VALUE"""),"Kit Embrague 15"" Eagle S60-C-10839174")</f>
        <v>Kit Embrague 15" Eagle S60-C-10839174</v>
      </c>
      <c r="C4993" s="380" t="str">
        <f>IFERROR(__xludf.DUMMYFUNCTION("""COMPUTED_VALUE"""),"70000375")</f>
        <v>70000375</v>
      </c>
      <c r="D4993" s="380" t="s">
        <v>767</v>
      </c>
      <c r="E4993" s="380" t="s">
        <v>786</v>
      </c>
      <c r="F4993" s="380" t="s">
        <v>5661</v>
      </c>
      <c r="G4993" s="380" t="s">
        <v>1267</v>
      </c>
      <c r="H4993" s="380" t="s">
        <v>771</v>
      </c>
      <c r="I4993" s="380" t="s">
        <v>788</v>
      </c>
      <c r="J4993" s="380" t="s">
        <v>773</v>
      </c>
      <c r="K4993" s="381">
        <v>0.0</v>
      </c>
      <c r="L4993" s="382">
        <v>1.0</v>
      </c>
    </row>
    <row r="4994">
      <c r="A4994" s="380" t="s">
        <v>5868</v>
      </c>
      <c r="B4994" s="380" t="str">
        <f>IFERROR(__xludf.DUMMYFUNCTION("""COMPUTED_VALUE"""),"Cinta Reflectiva Blanco Rojo Metros")</f>
        <v>Cinta Reflectiva Blanco Rojo Metros</v>
      </c>
      <c r="C4994" s="380" t="str">
        <f>IFERROR(__xludf.DUMMYFUNCTION("""COMPUTED_VALUE"""),"70000376")</f>
        <v>70000376</v>
      </c>
      <c r="D4994" s="380" t="s">
        <v>767</v>
      </c>
      <c r="E4994" s="380" t="s">
        <v>786</v>
      </c>
      <c r="F4994" s="380" t="s">
        <v>792</v>
      </c>
      <c r="G4994" s="380" t="s">
        <v>1267</v>
      </c>
      <c r="H4994" s="380" t="s">
        <v>771</v>
      </c>
      <c r="I4994" s="380" t="s">
        <v>788</v>
      </c>
      <c r="J4994" s="380" t="s">
        <v>773</v>
      </c>
      <c r="K4994" s="381">
        <v>0.0</v>
      </c>
      <c r="L4994" s="382">
        <v>1.0</v>
      </c>
    </row>
    <row r="4995">
      <c r="A4995" s="380" t="s">
        <v>5869</v>
      </c>
      <c r="B4995" s="380" t="str">
        <f>IFERROR(__xludf.DUMMYFUNCTION("""COMPUTED_VALUE"""),"Booster Frenos Nkr 8970339861")</f>
        <v>Booster Frenos Nkr 8970339861</v>
      </c>
      <c r="C4995" s="380" t="str">
        <f>IFERROR(__xludf.DUMMYFUNCTION("""COMPUTED_VALUE"""),"70000377")</f>
        <v>70000377</v>
      </c>
      <c r="D4995" s="380" t="s">
        <v>767</v>
      </c>
      <c r="E4995" s="380" t="s">
        <v>786</v>
      </c>
      <c r="F4995" s="380" t="s">
        <v>1017</v>
      </c>
      <c r="G4995" s="380" t="s">
        <v>1267</v>
      </c>
      <c r="H4995" s="380" t="s">
        <v>771</v>
      </c>
      <c r="I4995" s="380" t="s">
        <v>788</v>
      </c>
      <c r="J4995" s="380" t="s">
        <v>773</v>
      </c>
      <c r="K4995" s="381">
        <v>0.0</v>
      </c>
      <c r="L4995" s="382">
        <v>1.0</v>
      </c>
    </row>
    <row r="4996">
      <c r="A4996" s="380" t="s">
        <v>5870</v>
      </c>
      <c r="B4996" s="380" t="str">
        <f>IFERROR(__xludf.DUMMYFUNCTION("""COMPUTED_VALUE"""),"Base Torpedo Cabina Eagle Isx 3571812C94")</f>
        <v>Base Torpedo Cabina Eagle Isx 3571812C94</v>
      </c>
      <c r="C4996" s="380" t="str">
        <f>IFERROR(__xludf.DUMMYFUNCTION("""COMPUTED_VALUE"""),"70000378")</f>
        <v>70000378</v>
      </c>
      <c r="D4996" s="380" t="s">
        <v>767</v>
      </c>
      <c r="E4996" s="380" t="s">
        <v>786</v>
      </c>
      <c r="F4996" s="380" t="s">
        <v>792</v>
      </c>
      <c r="G4996" s="380" t="s">
        <v>1267</v>
      </c>
      <c r="H4996" s="380" t="s">
        <v>771</v>
      </c>
      <c r="I4996" s="380" t="s">
        <v>788</v>
      </c>
      <c r="J4996" s="380" t="s">
        <v>773</v>
      </c>
      <c r="K4996" s="381">
        <v>0.0</v>
      </c>
      <c r="L4996" s="382">
        <v>1.0</v>
      </c>
    </row>
    <row r="4997">
      <c r="A4997" s="380" t="s">
        <v>5871</v>
      </c>
      <c r="B4997" s="380" t="str">
        <f>IFERROR(__xludf.DUMMYFUNCTION("""COMPUTED_VALUE"""),"Panel Sup Izq Techo Cabina Eag 3562325C1")</f>
        <v>Panel Sup Izq Techo Cabina Eag 3562325C1</v>
      </c>
      <c r="C4997" s="380" t="str">
        <f>IFERROR(__xludf.DUMMYFUNCTION("""COMPUTED_VALUE"""),"70000379")</f>
        <v>70000379</v>
      </c>
      <c r="D4997" s="380" t="s">
        <v>767</v>
      </c>
      <c r="E4997" s="380" t="s">
        <v>786</v>
      </c>
      <c r="F4997" s="380" t="s">
        <v>792</v>
      </c>
      <c r="G4997" s="380" t="s">
        <v>1267</v>
      </c>
      <c r="H4997" s="380" t="s">
        <v>771</v>
      </c>
      <c r="I4997" s="380" t="s">
        <v>788</v>
      </c>
      <c r="J4997" s="380" t="s">
        <v>773</v>
      </c>
      <c r="K4997" s="381">
        <v>0.0</v>
      </c>
      <c r="L4997" s="382">
        <v>1.0</v>
      </c>
    </row>
    <row r="4998">
      <c r="A4998" s="380" t="s">
        <v>5872</v>
      </c>
      <c r="B4998" s="380" t="str">
        <f>IFERROR(__xludf.DUMMYFUNCTION("""COMPUTED_VALUE"""),"Brazo Bomper Sup Der Isx 3554715C3")</f>
        <v>Brazo Bomper Sup Der Isx 3554715C3</v>
      </c>
      <c r="C4998" s="380" t="str">
        <f>IFERROR(__xludf.DUMMYFUNCTION("""COMPUTED_VALUE"""),"70000380")</f>
        <v>70000380</v>
      </c>
      <c r="D4998" s="380" t="s">
        <v>767</v>
      </c>
      <c r="E4998" s="380" t="s">
        <v>786</v>
      </c>
      <c r="F4998" s="380" t="s">
        <v>792</v>
      </c>
      <c r="G4998" s="380" t="s">
        <v>1267</v>
      </c>
      <c r="H4998" s="380" t="s">
        <v>771</v>
      </c>
      <c r="I4998" s="380" t="s">
        <v>788</v>
      </c>
      <c r="J4998" s="380" t="s">
        <v>773</v>
      </c>
      <c r="K4998" s="381">
        <v>0.0</v>
      </c>
      <c r="L4998" s="382">
        <v>1.0</v>
      </c>
    </row>
    <row r="4999">
      <c r="A4999" s="380" t="s">
        <v>5873</v>
      </c>
      <c r="B4999" s="380" t="str">
        <f>IFERROR(__xludf.DUMMYFUNCTION("""COMPUTED_VALUE"""),"Brazo Bomper Sup Izq Isx 3554714C3")</f>
        <v>Brazo Bomper Sup Izq Isx 3554714C3</v>
      </c>
      <c r="C4999" s="380" t="str">
        <f>IFERROR(__xludf.DUMMYFUNCTION("""COMPUTED_VALUE"""),"70000381")</f>
        <v>70000381</v>
      </c>
      <c r="D4999" s="380" t="s">
        <v>767</v>
      </c>
      <c r="E4999" s="380" t="s">
        <v>786</v>
      </c>
      <c r="F4999" s="380" t="s">
        <v>792</v>
      </c>
      <c r="G4999" s="380" t="s">
        <v>1267</v>
      </c>
      <c r="H4999" s="380" t="s">
        <v>771</v>
      </c>
      <c r="I4999" s="380" t="s">
        <v>788</v>
      </c>
      <c r="J4999" s="380" t="s">
        <v>773</v>
      </c>
      <c r="K4999" s="381">
        <v>0.0</v>
      </c>
      <c r="L4999" s="382">
        <v>1.0</v>
      </c>
    </row>
    <row r="5000">
      <c r="A5000" s="380" t="s">
        <v>5874</v>
      </c>
      <c r="B5000" s="380" t="str">
        <f>IFERROR(__xludf.DUMMYFUNCTION("""COMPUTED_VALUE"""),"Soporte Inter Persiana Eag 3516950C2")</f>
        <v>Soporte Inter Persiana Eag 3516950C2</v>
      </c>
      <c r="C5000" s="380" t="str">
        <f>IFERROR(__xludf.DUMMYFUNCTION("""COMPUTED_VALUE"""),"70000382")</f>
        <v>70000382</v>
      </c>
      <c r="D5000" s="380" t="s">
        <v>767</v>
      </c>
      <c r="E5000" s="380" t="s">
        <v>786</v>
      </c>
      <c r="F5000" s="380" t="s">
        <v>792</v>
      </c>
      <c r="G5000" s="380" t="s">
        <v>1267</v>
      </c>
      <c r="H5000" s="380" t="s">
        <v>771</v>
      </c>
      <c r="I5000" s="380" t="s">
        <v>788</v>
      </c>
      <c r="J5000" s="380" t="s">
        <v>773</v>
      </c>
      <c r="K5000" s="381">
        <v>0.0</v>
      </c>
      <c r="L5000" s="382">
        <v>1.0</v>
      </c>
    </row>
    <row r="5001">
      <c r="A5001" s="380" t="s">
        <v>5875</v>
      </c>
      <c r="B5001" s="380" t="str">
        <f>IFERROR(__xludf.DUMMYFUNCTION("""COMPUTED_VALUE"""),"Multiple Sensor Pres Aire Eag 3520124C1")</f>
        <v>Multiple Sensor Pres Aire Eag 3520124C1</v>
      </c>
      <c r="C5001" s="380" t="str">
        <f>IFERROR(__xludf.DUMMYFUNCTION("""COMPUTED_VALUE"""),"70000383")</f>
        <v>70000383</v>
      </c>
      <c r="D5001" s="380" t="s">
        <v>767</v>
      </c>
      <c r="E5001" s="380" t="s">
        <v>786</v>
      </c>
      <c r="F5001" s="380" t="s">
        <v>998</v>
      </c>
      <c r="G5001" s="380" t="s">
        <v>1267</v>
      </c>
      <c r="H5001" s="380" t="s">
        <v>771</v>
      </c>
      <c r="I5001" s="380" t="s">
        <v>788</v>
      </c>
      <c r="J5001" s="380" t="s">
        <v>773</v>
      </c>
      <c r="K5001" s="381">
        <v>0.0</v>
      </c>
      <c r="L5001" s="382">
        <v>1.0</v>
      </c>
    </row>
    <row r="5002">
      <c r="A5002" s="380" t="s">
        <v>5876</v>
      </c>
      <c r="B5002" s="380" t="str">
        <f>IFERROR(__xludf.DUMMYFUNCTION("""COMPUTED_VALUE"""),"Soporte Bomper Lado Der 5214137180 Hino")</f>
        <v>Soporte Bomper Lado Der 5214137180 Hino</v>
      </c>
      <c r="C5002" s="380" t="str">
        <f>IFERROR(__xludf.DUMMYFUNCTION("""COMPUTED_VALUE"""),"70000384")</f>
        <v>70000384</v>
      </c>
      <c r="D5002" s="380" t="s">
        <v>767</v>
      </c>
      <c r="E5002" s="380" t="s">
        <v>786</v>
      </c>
      <c r="F5002" s="380" t="s">
        <v>792</v>
      </c>
      <c r="G5002" s="380" t="s">
        <v>1267</v>
      </c>
      <c r="H5002" s="380" t="s">
        <v>771</v>
      </c>
      <c r="I5002" s="380" t="s">
        <v>788</v>
      </c>
      <c r="J5002" s="380" t="s">
        <v>773</v>
      </c>
      <c r="K5002" s="381">
        <v>0.0</v>
      </c>
      <c r="L5002" s="382">
        <v>1.0</v>
      </c>
    </row>
    <row r="5003">
      <c r="A5003" s="380" t="s">
        <v>5877</v>
      </c>
      <c r="B5003" s="380" t="str">
        <f>IFERROR(__xludf.DUMMYFUNCTION("""COMPUTED_VALUE"""),"Soporte Pta Izq tras N200 24543796")</f>
        <v>Soporte Pta Izq tras N200 24543796</v>
      </c>
      <c r="C5003" s="380" t="str">
        <f>IFERROR(__xludf.DUMMYFUNCTION("""COMPUTED_VALUE"""),"70000385")</f>
        <v>70000385</v>
      </c>
      <c r="D5003" s="380" t="s">
        <v>767</v>
      </c>
      <c r="E5003" s="380" t="s">
        <v>786</v>
      </c>
      <c r="F5003" s="380" t="s">
        <v>792</v>
      </c>
      <c r="G5003" s="380" t="s">
        <v>1267</v>
      </c>
      <c r="H5003" s="380" t="s">
        <v>771</v>
      </c>
      <c r="I5003" s="380" t="s">
        <v>788</v>
      </c>
      <c r="J5003" s="380" t="s">
        <v>773</v>
      </c>
      <c r="K5003" s="381">
        <v>0.0</v>
      </c>
      <c r="L5003" s="382">
        <v>1.0</v>
      </c>
    </row>
    <row r="5004">
      <c r="A5004" s="380" t="s">
        <v>5878</v>
      </c>
      <c r="B5004" s="380" t="str">
        <f>IFERROR(__xludf.DUMMYFUNCTION("""COMPUTED_VALUE"""),"Balinera Tras Eje despla Nkr 8970959131")</f>
        <v>Balinera Tras Eje despla Nkr 8970959131</v>
      </c>
      <c r="C5004" s="380" t="str">
        <f>IFERROR(__xludf.DUMMYFUNCTION("""COMPUTED_VALUE"""),"70000386")</f>
        <v>70000386</v>
      </c>
      <c r="D5004" s="380" t="s">
        <v>767</v>
      </c>
      <c r="E5004" s="380" t="s">
        <v>786</v>
      </c>
      <c r="F5004" s="380" t="s">
        <v>928</v>
      </c>
      <c r="G5004" s="380" t="s">
        <v>1267</v>
      </c>
      <c r="H5004" s="380" t="s">
        <v>771</v>
      </c>
      <c r="I5004" s="380" t="s">
        <v>788</v>
      </c>
      <c r="J5004" s="380" t="s">
        <v>773</v>
      </c>
      <c r="K5004" s="381">
        <v>0.0</v>
      </c>
      <c r="L5004" s="382">
        <v>1.0</v>
      </c>
    </row>
    <row r="5005">
      <c r="A5005" s="380" t="s">
        <v>5879</v>
      </c>
      <c r="B5005" s="380" t="str">
        <f>IFERROR(__xludf.DUMMYFUNCTION("""COMPUTED_VALUE"""),"Ducto Aire Purificador Isx 3521986C94")</f>
        <v>Ducto Aire Purificador Isx 3521986C94</v>
      </c>
      <c r="C5005" s="380" t="str">
        <f>IFERROR(__xludf.DUMMYFUNCTION("""COMPUTED_VALUE"""),"70000387")</f>
        <v>70000387</v>
      </c>
      <c r="D5005" s="380" t="s">
        <v>767</v>
      </c>
      <c r="E5005" s="380" t="s">
        <v>786</v>
      </c>
      <c r="F5005" s="380" t="s">
        <v>787</v>
      </c>
      <c r="G5005" s="380" t="s">
        <v>1267</v>
      </c>
      <c r="H5005" s="380" t="s">
        <v>771</v>
      </c>
      <c r="I5005" s="380" t="s">
        <v>788</v>
      </c>
      <c r="J5005" s="380" t="s">
        <v>773</v>
      </c>
      <c r="K5005" s="381">
        <v>0.0</v>
      </c>
      <c r="L5005" s="382">
        <v>1.0</v>
      </c>
    </row>
    <row r="5006">
      <c r="A5006" s="380" t="s">
        <v>5880</v>
      </c>
      <c r="B5006" s="380" t="str">
        <f>IFERROR(__xludf.DUMMYFUNCTION("""COMPUTED_VALUE"""),"Mang Codo Salida Termostato Isx2003569C1")</f>
        <v>Mang Codo Salida Termostato Isx2003569C1</v>
      </c>
      <c r="C5006" s="380" t="str">
        <f>IFERROR(__xludf.DUMMYFUNCTION("""COMPUTED_VALUE"""),"70000388")</f>
        <v>70000388</v>
      </c>
      <c r="D5006" s="380" t="s">
        <v>767</v>
      </c>
      <c r="E5006" s="380" t="s">
        <v>786</v>
      </c>
      <c r="F5006" s="380" t="s">
        <v>787</v>
      </c>
      <c r="G5006" s="380" t="s">
        <v>1267</v>
      </c>
      <c r="H5006" s="380" t="s">
        <v>771</v>
      </c>
      <c r="I5006" s="380" t="s">
        <v>788</v>
      </c>
      <c r="J5006" s="380" t="s">
        <v>773</v>
      </c>
      <c r="K5006" s="381">
        <v>0.0</v>
      </c>
      <c r="L5006" s="382">
        <v>1.0</v>
      </c>
    </row>
    <row r="5007">
      <c r="A5007" s="380" t="s">
        <v>5881</v>
      </c>
      <c r="B5007" s="380" t="str">
        <f>IFERROR(__xludf.DUMMYFUNCTION("""COMPUTED_VALUE"""),"Rodamiento Tras Eje despl Nkr 8941787322")</f>
        <v>Rodamiento Tras Eje despl Nkr 8941787322</v>
      </c>
      <c r="C5007" s="380" t="str">
        <f>IFERROR(__xludf.DUMMYFUNCTION("""COMPUTED_VALUE"""),"70000389")</f>
        <v>70000389</v>
      </c>
      <c r="D5007" s="380" t="s">
        <v>767</v>
      </c>
      <c r="E5007" s="380" t="s">
        <v>786</v>
      </c>
      <c r="F5007" s="380" t="s">
        <v>928</v>
      </c>
      <c r="G5007" s="380" t="s">
        <v>1267</v>
      </c>
      <c r="H5007" s="380" t="s">
        <v>771</v>
      </c>
      <c r="I5007" s="380" t="s">
        <v>788</v>
      </c>
      <c r="J5007" s="380" t="s">
        <v>773</v>
      </c>
      <c r="K5007" s="381">
        <v>0.0</v>
      </c>
      <c r="L5007" s="382">
        <v>1.0</v>
      </c>
    </row>
    <row r="5008">
      <c r="A5008" s="380" t="s">
        <v>5882</v>
      </c>
      <c r="B5008" s="380" t="str">
        <f>IFERROR(__xludf.DUMMYFUNCTION("""COMPUTED_VALUE"""),"Kit Gancho Capot Eagle 1699930 C2")</f>
        <v>Kit Gancho Capot Eagle 1699930 C2</v>
      </c>
      <c r="C5008" s="380" t="str">
        <f>IFERROR(__xludf.DUMMYFUNCTION("""COMPUTED_VALUE"""),"70000390")</f>
        <v>70000390</v>
      </c>
      <c r="D5008" s="380" t="s">
        <v>767</v>
      </c>
      <c r="E5008" s="380" t="s">
        <v>786</v>
      </c>
      <c r="F5008" s="380" t="s">
        <v>792</v>
      </c>
      <c r="G5008" s="380" t="s">
        <v>1267</v>
      </c>
      <c r="H5008" s="380" t="s">
        <v>771</v>
      </c>
      <c r="I5008" s="380" t="s">
        <v>788</v>
      </c>
      <c r="J5008" s="380" t="s">
        <v>773</v>
      </c>
      <c r="K5008" s="381">
        <v>452391.0</v>
      </c>
      <c r="L5008" s="382">
        <v>1.0</v>
      </c>
    </row>
    <row r="5009">
      <c r="A5009" s="380" t="s">
        <v>5883</v>
      </c>
      <c r="B5009" s="380" t="str">
        <f>IFERROR(__xludf.DUMMYFUNCTION("""COMPUTED_VALUE"""),"Parabrisas Laminado Nkr RW")</f>
        <v>Parabrisas Laminado Nkr RW</v>
      </c>
      <c r="C5009" s="380" t="str">
        <f>IFERROR(__xludf.DUMMYFUNCTION("""COMPUTED_VALUE"""),"70000391")</f>
        <v>70000391</v>
      </c>
      <c r="D5009" s="380" t="s">
        <v>767</v>
      </c>
      <c r="E5009" s="380" t="s">
        <v>786</v>
      </c>
      <c r="F5009" s="380" t="s">
        <v>792</v>
      </c>
      <c r="G5009" s="380" t="s">
        <v>1267</v>
      </c>
      <c r="H5009" s="380" t="s">
        <v>771</v>
      </c>
      <c r="I5009" s="380" t="s">
        <v>788</v>
      </c>
      <c r="J5009" s="380" t="s">
        <v>773</v>
      </c>
      <c r="K5009" s="381">
        <v>0.0</v>
      </c>
      <c r="L5009" s="382">
        <v>1.0</v>
      </c>
    </row>
    <row r="5010">
      <c r="A5010" s="380" t="s">
        <v>5884</v>
      </c>
      <c r="B5010" s="380" t="str">
        <f>IFERROR(__xludf.DUMMYFUNCTION("""COMPUTED_VALUE"""),"Buje Arbol De Leva Motor Isx 3680580")</f>
        <v>Buje Arbol De Leva Motor Isx 3680580</v>
      </c>
      <c r="C5010" s="380" t="str">
        <f>IFERROR(__xludf.DUMMYFUNCTION("""COMPUTED_VALUE"""),"70000392")</f>
        <v>70000392</v>
      </c>
      <c r="D5010" s="380" t="s">
        <v>767</v>
      </c>
      <c r="E5010" s="380" t="s">
        <v>786</v>
      </c>
      <c r="F5010" s="380" t="s">
        <v>787</v>
      </c>
      <c r="G5010" s="380" t="s">
        <v>1267</v>
      </c>
      <c r="H5010" s="380" t="s">
        <v>771</v>
      </c>
      <c r="I5010" s="380" t="s">
        <v>788</v>
      </c>
      <c r="J5010" s="380" t="s">
        <v>773</v>
      </c>
      <c r="K5010" s="381">
        <v>0.0</v>
      </c>
      <c r="L5010" s="382">
        <v>1.0</v>
      </c>
    </row>
    <row r="5011">
      <c r="A5011" s="380" t="s">
        <v>5885</v>
      </c>
      <c r="B5011" s="380" t="str">
        <f>IFERROR(__xludf.DUMMYFUNCTION("""COMPUTED_VALUE"""),"Buje Arbol De Leva Motor Isx 3680581")</f>
        <v>Buje Arbol De Leva Motor Isx 3680581</v>
      </c>
      <c r="C5011" s="380" t="str">
        <f>IFERROR(__xludf.DUMMYFUNCTION("""COMPUTED_VALUE"""),"70000393")</f>
        <v>70000393</v>
      </c>
      <c r="D5011" s="380" t="s">
        <v>767</v>
      </c>
      <c r="E5011" s="380" t="s">
        <v>786</v>
      </c>
      <c r="F5011" s="380" t="s">
        <v>787</v>
      </c>
      <c r="G5011" s="380" t="s">
        <v>1267</v>
      </c>
      <c r="H5011" s="380" t="s">
        <v>771</v>
      </c>
      <c r="I5011" s="380" t="s">
        <v>788</v>
      </c>
      <c r="J5011" s="380" t="s">
        <v>773</v>
      </c>
      <c r="K5011" s="381">
        <v>0.0</v>
      </c>
      <c r="L5011" s="382">
        <v>1.0</v>
      </c>
    </row>
    <row r="5012">
      <c r="A5012" s="380" t="s">
        <v>5886</v>
      </c>
      <c r="B5012" s="380" t="str">
        <f>IFERROR(__xludf.DUMMYFUNCTION("""COMPUTED_VALUE"""),"Buje Arbol De Leva Motor Isx 3680582")</f>
        <v>Buje Arbol De Leva Motor Isx 3680582</v>
      </c>
      <c r="C5012" s="380" t="str">
        <f>IFERROR(__xludf.DUMMYFUNCTION("""COMPUTED_VALUE"""),"70000394")</f>
        <v>70000394</v>
      </c>
      <c r="D5012" s="380" t="s">
        <v>767</v>
      </c>
      <c r="E5012" s="380" t="s">
        <v>786</v>
      </c>
      <c r="F5012" s="380" t="s">
        <v>787</v>
      </c>
      <c r="G5012" s="380" t="s">
        <v>1267</v>
      </c>
      <c r="H5012" s="380" t="s">
        <v>771</v>
      </c>
      <c r="I5012" s="380" t="s">
        <v>788</v>
      </c>
      <c r="J5012" s="380" t="s">
        <v>773</v>
      </c>
      <c r="K5012" s="381">
        <v>0.0</v>
      </c>
      <c r="L5012" s="382">
        <v>1.0</v>
      </c>
    </row>
    <row r="5013">
      <c r="A5013" s="380" t="s">
        <v>5887</v>
      </c>
      <c r="B5013" s="380" t="str">
        <f>IFERROR(__xludf.DUMMYFUNCTION("""COMPUTED_VALUE"""),"Kit Bujes Trifuncional")</f>
        <v>Kit Bujes Trifuncional</v>
      </c>
      <c r="C5013" s="380" t="str">
        <f>IFERROR(__xludf.DUMMYFUNCTION("""COMPUTED_VALUE"""),"70000395")</f>
        <v>70000395</v>
      </c>
      <c r="D5013" s="380" t="s">
        <v>767</v>
      </c>
      <c r="E5013" s="380" t="s">
        <v>786</v>
      </c>
      <c r="F5013" s="380" t="s">
        <v>1039</v>
      </c>
      <c r="G5013" s="380" t="s">
        <v>1267</v>
      </c>
      <c r="H5013" s="380" t="s">
        <v>771</v>
      </c>
      <c r="I5013" s="380" t="s">
        <v>788</v>
      </c>
      <c r="J5013" s="380" t="s">
        <v>773</v>
      </c>
      <c r="K5013" s="381">
        <v>0.0</v>
      </c>
      <c r="L5013" s="382">
        <v>1.0</v>
      </c>
    </row>
    <row r="5014">
      <c r="A5014" s="380" t="s">
        <v>5888</v>
      </c>
      <c r="B5014" s="380" t="str">
        <f>IFERROR(__xludf.DUMMYFUNCTION("""COMPUTED_VALUE"""),"Guia De Pistoncillo Eagle Isx 3413137")</f>
        <v>Guia De Pistoncillo Eagle Isx 3413137</v>
      </c>
      <c r="C5014" s="380" t="str">
        <f>IFERROR(__xludf.DUMMYFUNCTION("""COMPUTED_VALUE"""),"70000396")</f>
        <v>70000396</v>
      </c>
      <c r="D5014" s="380" t="s">
        <v>767</v>
      </c>
      <c r="E5014" s="380" t="s">
        <v>786</v>
      </c>
      <c r="F5014" s="380" t="s">
        <v>787</v>
      </c>
      <c r="G5014" s="380" t="s">
        <v>1267</v>
      </c>
      <c r="H5014" s="380" t="s">
        <v>771</v>
      </c>
      <c r="I5014" s="380" t="s">
        <v>788</v>
      </c>
      <c r="J5014" s="380" t="s">
        <v>773</v>
      </c>
      <c r="K5014" s="381">
        <v>0.0</v>
      </c>
      <c r="L5014" s="382">
        <v>1.0</v>
      </c>
    </row>
    <row r="5015">
      <c r="A5015" s="380" t="s">
        <v>5889</v>
      </c>
      <c r="B5015" s="380" t="str">
        <f>IFERROR(__xludf.DUMMYFUNCTION("""COMPUTED_VALUE"""),"Kit Bujes Leva Freno Eagle ETN-012780")</f>
        <v>Kit Bujes Leva Freno Eagle ETN-012780</v>
      </c>
      <c r="C5015" s="380" t="str">
        <f>IFERROR(__xludf.DUMMYFUNCTION("""COMPUTED_VALUE"""),"70000397")</f>
        <v>70000397</v>
      </c>
      <c r="D5015" s="380" t="s">
        <v>767</v>
      </c>
      <c r="E5015" s="380" t="s">
        <v>786</v>
      </c>
      <c r="F5015" s="380" t="s">
        <v>1017</v>
      </c>
      <c r="G5015" s="380" t="s">
        <v>1267</v>
      </c>
      <c r="H5015" s="380" t="s">
        <v>771</v>
      </c>
      <c r="I5015" s="380" t="s">
        <v>788</v>
      </c>
      <c r="J5015" s="380" t="s">
        <v>773</v>
      </c>
      <c r="K5015" s="381">
        <v>0.0</v>
      </c>
      <c r="L5015" s="382">
        <v>1.0</v>
      </c>
    </row>
    <row r="5016">
      <c r="A5016" s="380" t="s">
        <v>5890</v>
      </c>
      <c r="B5016" s="380" t="str">
        <f>IFERROR(__xludf.DUMMYFUNCTION("""COMPUTED_VALUE"""),"Cruceta Cardan Delante KW SPL-250X")</f>
        <v>Cruceta Cardan Delante KW SPL-250X</v>
      </c>
      <c r="C5016" s="380" t="str">
        <f>IFERROR(__xludf.DUMMYFUNCTION("""COMPUTED_VALUE"""),"70000398")</f>
        <v>70000398</v>
      </c>
      <c r="D5016" s="380" t="s">
        <v>767</v>
      </c>
      <c r="E5016" s="380" t="s">
        <v>786</v>
      </c>
      <c r="F5016" s="380" t="s">
        <v>5683</v>
      </c>
      <c r="G5016" s="380" t="s">
        <v>1267</v>
      </c>
      <c r="H5016" s="380" t="s">
        <v>771</v>
      </c>
      <c r="I5016" s="380" t="s">
        <v>788</v>
      </c>
      <c r="J5016" s="380" t="s">
        <v>773</v>
      </c>
      <c r="K5016" s="381">
        <v>0.0</v>
      </c>
      <c r="L5016" s="382">
        <v>1.0</v>
      </c>
    </row>
    <row r="5017">
      <c r="A5017" s="380" t="s">
        <v>5891</v>
      </c>
      <c r="B5017" s="380" t="str">
        <f>IFERROR(__xludf.DUMMYFUNCTION("""COMPUTED_VALUE"""),"Sello Bomba Agua Isx 4059172")</f>
        <v>Sello Bomba Agua Isx 4059172</v>
      </c>
      <c r="C5017" s="380" t="str">
        <f>IFERROR(__xludf.DUMMYFUNCTION("""COMPUTED_VALUE"""),"70000399")</f>
        <v>70000399</v>
      </c>
      <c r="D5017" s="380" t="s">
        <v>767</v>
      </c>
      <c r="E5017" s="380" t="s">
        <v>786</v>
      </c>
      <c r="F5017" s="380" t="s">
        <v>787</v>
      </c>
      <c r="G5017" s="380" t="s">
        <v>1267</v>
      </c>
      <c r="H5017" s="380" t="s">
        <v>771</v>
      </c>
      <c r="I5017" s="380" t="s">
        <v>788</v>
      </c>
      <c r="J5017" s="380" t="s">
        <v>773</v>
      </c>
      <c r="K5017" s="381">
        <v>0.0</v>
      </c>
      <c r="L5017" s="382">
        <v>1.0</v>
      </c>
    </row>
    <row r="5018">
      <c r="A5018" s="380" t="s">
        <v>5892</v>
      </c>
      <c r="B5018" s="380" t="str">
        <f>IFERROR(__xludf.DUMMYFUNCTION("""COMPUTED_VALUE"""),"Talco Stop Tricolor Nhr R04-112")</f>
        <v>Talco Stop Tricolor Nhr R04-112</v>
      </c>
      <c r="C5018" s="380" t="str">
        <f>IFERROR(__xludf.DUMMYFUNCTION("""COMPUTED_VALUE"""),"70000400")</f>
        <v>70000400</v>
      </c>
      <c r="D5018" s="380" t="s">
        <v>767</v>
      </c>
      <c r="E5018" s="380" t="s">
        <v>786</v>
      </c>
      <c r="F5018" s="380" t="s">
        <v>998</v>
      </c>
      <c r="G5018" s="380" t="s">
        <v>1267</v>
      </c>
      <c r="H5018" s="380" t="s">
        <v>771</v>
      </c>
      <c r="I5018" s="380" t="s">
        <v>788</v>
      </c>
      <c r="J5018" s="380" t="s">
        <v>773</v>
      </c>
      <c r="K5018" s="381">
        <v>0.0</v>
      </c>
      <c r="L5018" s="382">
        <v>1.0</v>
      </c>
    </row>
    <row r="5019">
      <c r="A5019" s="380" t="s">
        <v>5893</v>
      </c>
      <c r="B5019" s="380" t="str">
        <f>IFERROR(__xludf.DUMMYFUNCTION("""COMPUTED_VALUE"""),"Piñon Cigüeñal Nkr 8972295931")</f>
        <v>Piñon Cigüeñal Nkr 8972295931</v>
      </c>
      <c r="C5019" s="380" t="str">
        <f>IFERROR(__xludf.DUMMYFUNCTION("""COMPUTED_VALUE"""),"70000401")</f>
        <v>70000401</v>
      </c>
      <c r="D5019" s="380" t="s">
        <v>767</v>
      </c>
      <c r="E5019" s="380" t="s">
        <v>786</v>
      </c>
      <c r="F5019" s="380" t="s">
        <v>787</v>
      </c>
      <c r="G5019" s="380" t="s">
        <v>1267</v>
      </c>
      <c r="H5019" s="380" t="s">
        <v>771</v>
      </c>
      <c r="I5019" s="380" t="s">
        <v>788</v>
      </c>
      <c r="J5019" s="380" t="s">
        <v>773</v>
      </c>
      <c r="K5019" s="381">
        <v>0.0</v>
      </c>
      <c r="L5019" s="382">
        <v>1.0</v>
      </c>
    </row>
    <row r="5020">
      <c r="A5020" s="380" t="s">
        <v>5894</v>
      </c>
      <c r="B5020" s="380" t="str">
        <f>IFERROR(__xludf.DUMMYFUNCTION("""COMPUTED_VALUE"""),"Kit Repacion Freno Mano Nkr 70016007")</f>
        <v>Kit Repacion Freno Mano Nkr 70016007</v>
      </c>
      <c r="C5020" s="380" t="str">
        <f>IFERROR(__xludf.DUMMYFUNCTION("""COMPUTED_VALUE"""),"70000402")</f>
        <v>70000402</v>
      </c>
      <c r="D5020" s="380" t="s">
        <v>767</v>
      </c>
      <c r="E5020" s="380" t="s">
        <v>786</v>
      </c>
      <c r="F5020" s="380" t="s">
        <v>792</v>
      </c>
      <c r="G5020" s="380" t="s">
        <v>1267</v>
      </c>
      <c r="H5020" s="380" t="s">
        <v>771</v>
      </c>
      <c r="I5020" s="380" t="s">
        <v>788</v>
      </c>
      <c r="J5020" s="380" t="s">
        <v>773</v>
      </c>
      <c r="K5020" s="381">
        <v>0.0</v>
      </c>
      <c r="L5020" s="382">
        <v>1.0</v>
      </c>
    </row>
    <row r="5021">
      <c r="A5021" s="380" t="s">
        <v>5895</v>
      </c>
      <c r="B5021" s="380" t="str">
        <f>IFERROR(__xludf.DUMMYFUNCTION("""COMPUTED_VALUE"""),"Base Soporte Caja Nkr 8941333932")</f>
        <v>Base Soporte Caja Nkr 8941333932</v>
      </c>
      <c r="C5021" s="380" t="str">
        <f>IFERROR(__xludf.DUMMYFUNCTION("""COMPUTED_VALUE"""),"70000403")</f>
        <v>70000403</v>
      </c>
      <c r="D5021" s="380" t="s">
        <v>767</v>
      </c>
      <c r="E5021" s="380" t="s">
        <v>786</v>
      </c>
      <c r="F5021" s="380" t="s">
        <v>928</v>
      </c>
      <c r="G5021" s="380" t="s">
        <v>1267</v>
      </c>
      <c r="H5021" s="380" t="s">
        <v>771</v>
      </c>
      <c r="I5021" s="380" t="s">
        <v>788</v>
      </c>
      <c r="J5021" s="380" t="s">
        <v>773</v>
      </c>
      <c r="K5021" s="381">
        <v>0.0</v>
      </c>
      <c r="L5021" s="382">
        <v>1.0</v>
      </c>
    </row>
    <row r="5022">
      <c r="A5022" s="380" t="s">
        <v>5896</v>
      </c>
      <c r="B5022" s="380" t="str">
        <f>IFERROR(__xludf.DUMMYFUNCTION("""COMPUTED_VALUE"""),"Soporte Trasero Der Caja Nkr 8941119082")</f>
        <v>Soporte Trasero Der Caja Nkr 8941119082</v>
      </c>
      <c r="C5022" s="380" t="str">
        <f>IFERROR(__xludf.DUMMYFUNCTION("""COMPUTED_VALUE"""),"70000404")</f>
        <v>70000404</v>
      </c>
      <c r="D5022" s="380" t="s">
        <v>767</v>
      </c>
      <c r="E5022" s="380" t="s">
        <v>786</v>
      </c>
      <c r="F5022" s="380" t="s">
        <v>928</v>
      </c>
      <c r="G5022" s="380" t="s">
        <v>1267</v>
      </c>
      <c r="H5022" s="380" t="s">
        <v>771</v>
      </c>
      <c r="I5022" s="380" t="s">
        <v>788</v>
      </c>
      <c r="J5022" s="380" t="s">
        <v>773</v>
      </c>
      <c r="K5022" s="381">
        <v>0.0</v>
      </c>
      <c r="L5022" s="382">
        <v>1.0</v>
      </c>
    </row>
    <row r="5023">
      <c r="A5023" s="380" t="s">
        <v>5897</v>
      </c>
      <c r="B5023" s="380" t="str">
        <f>IFERROR(__xludf.DUMMYFUNCTION("""COMPUTED_VALUE"""),"Soporte Caja Trasero Nkr 8941119031")</f>
        <v>Soporte Caja Trasero Nkr 8941119031</v>
      </c>
      <c r="C5023" s="380" t="str">
        <f>IFERROR(__xludf.DUMMYFUNCTION("""COMPUTED_VALUE"""),"70000405")</f>
        <v>70000405</v>
      </c>
      <c r="D5023" s="380" t="s">
        <v>767</v>
      </c>
      <c r="E5023" s="380" t="s">
        <v>786</v>
      </c>
      <c r="F5023" s="380" t="s">
        <v>928</v>
      </c>
      <c r="G5023" s="380" t="s">
        <v>1267</v>
      </c>
      <c r="H5023" s="380" t="s">
        <v>771</v>
      </c>
      <c r="I5023" s="380" t="s">
        <v>788</v>
      </c>
      <c r="J5023" s="380" t="s">
        <v>773</v>
      </c>
      <c r="K5023" s="381">
        <v>0.0</v>
      </c>
      <c r="L5023" s="382">
        <v>1.0</v>
      </c>
    </row>
    <row r="5024">
      <c r="A5024" s="380" t="s">
        <v>5898</v>
      </c>
      <c r="B5024" s="380" t="str">
        <f>IFERROR(__xludf.DUMMYFUNCTION("""COMPUTED_VALUE"""),"Retrovisor Completo Izq Eag 3573708C93")</f>
        <v>Retrovisor Completo Izq Eag 3573708C93</v>
      </c>
      <c r="C5024" s="380" t="str">
        <f>IFERROR(__xludf.DUMMYFUNCTION("""COMPUTED_VALUE"""),"70000406")</f>
        <v>70000406</v>
      </c>
      <c r="D5024" s="380" t="s">
        <v>767</v>
      </c>
      <c r="E5024" s="380" t="s">
        <v>786</v>
      </c>
      <c r="F5024" s="380" t="s">
        <v>792</v>
      </c>
      <c r="G5024" s="380" t="s">
        <v>1267</v>
      </c>
      <c r="H5024" s="380" t="s">
        <v>771</v>
      </c>
      <c r="I5024" s="380" t="s">
        <v>788</v>
      </c>
      <c r="J5024" s="380" t="s">
        <v>773</v>
      </c>
      <c r="K5024" s="381">
        <v>0.0</v>
      </c>
      <c r="L5024" s="382">
        <v>1.0</v>
      </c>
    </row>
    <row r="5025">
      <c r="A5025" s="380" t="s">
        <v>5899</v>
      </c>
      <c r="B5025" s="380" t="str">
        <f>IFERROR(__xludf.DUMMYFUNCTION("""COMPUTED_VALUE"""),"Rodamiento Caja 9036340075")</f>
        <v>Rodamiento Caja 9036340075</v>
      </c>
      <c r="C5025" s="380" t="str">
        <f>IFERROR(__xludf.DUMMYFUNCTION("""COMPUTED_VALUE"""),"70000407")</f>
        <v>70000407</v>
      </c>
      <c r="D5025" s="380" t="s">
        <v>767</v>
      </c>
      <c r="E5025" s="380" t="s">
        <v>786</v>
      </c>
      <c r="F5025" s="380" t="s">
        <v>928</v>
      </c>
      <c r="G5025" s="380" t="s">
        <v>1267</v>
      </c>
      <c r="H5025" s="380" t="s">
        <v>771</v>
      </c>
      <c r="I5025" s="380" t="s">
        <v>788</v>
      </c>
      <c r="J5025" s="380" t="s">
        <v>773</v>
      </c>
      <c r="K5025" s="381">
        <v>0.0</v>
      </c>
      <c r="L5025" s="382">
        <v>1.0</v>
      </c>
    </row>
    <row r="5026">
      <c r="A5026" s="380" t="s">
        <v>5900</v>
      </c>
      <c r="B5026" s="380" t="str">
        <f>IFERROR(__xludf.DUMMYFUNCTION("""COMPUTED_VALUE"""),"Switch Manual Fan Clutch Isx 2031489C1")</f>
        <v>Switch Manual Fan Clutch Isx 2031489C1</v>
      </c>
      <c r="C5026" s="380" t="str">
        <f>IFERROR(__xludf.DUMMYFUNCTION("""COMPUTED_VALUE"""),"70000408")</f>
        <v>70000408</v>
      </c>
      <c r="D5026" s="380" t="s">
        <v>767</v>
      </c>
      <c r="E5026" s="380" t="s">
        <v>786</v>
      </c>
      <c r="F5026" s="380" t="s">
        <v>998</v>
      </c>
      <c r="G5026" s="380" t="s">
        <v>1267</v>
      </c>
      <c r="H5026" s="380" t="s">
        <v>771</v>
      </c>
      <c r="I5026" s="380" t="s">
        <v>788</v>
      </c>
      <c r="J5026" s="380" t="s">
        <v>773</v>
      </c>
      <c r="K5026" s="381">
        <v>1260001.0</v>
      </c>
      <c r="L5026" s="382">
        <v>1.0</v>
      </c>
    </row>
    <row r="5027">
      <c r="A5027" s="380" t="s">
        <v>5901</v>
      </c>
      <c r="B5027" s="380" t="str">
        <f>IFERROR(__xludf.DUMMYFUNCTION("""COMPUTED_VALUE"""),"Arandela Pinadora Trasera 11245")</f>
        <v>Arandela Pinadora Trasera 11245</v>
      </c>
      <c r="C5027" s="380" t="str">
        <f>IFERROR(__xludf.DUMMYFUNCTION("""COMPUTED_VALUE"""),"70000409")</f>
        <v>70000409</v>
      </c>
      <c r="D5027" s="380" t="s">
        <v>767</v>
      </c>
      <c r="E5027" s="380" t="s">
        <v>786</v>
      </c>
      <c r="F5027" s="380" t="s">
        <v>1039</v>
      </c>
      <c r="G5027" s="380" t="s">
        <v>1267</v>
      </c>
      <c r="H5027" s="380" t="s">
        <v>771</v>
      </c>
      <c r="I5027" s="380" t="s">
        <v>788</v>
      </c>
      <c r="J5027" s="380" t="s">
        <v>773</v>
      </c>
      <c r="K5027" s="381">
        <v>0.0</v>
      </c>
      <c r="L5027" s="382">
        <v>1.0</v>
      </c>
    </row>
    <row r="5028">
      <c r="A5028" s="380" t="s">
        <v>5902</v>
      </c>
      <c r="B5028" s="380" t="str">
        <f>IFERROR(__xludf.DUMMYFUNCTION("""COMPUTED_VALUE"""),"Sincronizador 4Ta Hino 3338137050")</f>
        <v>Sincronizador 4Ta Hino 3338137050</v>
      </c>
      <c r="C5028" s="380" t="str">
        <f>IFERROR(__xludf.DUMMYFUNCTION("""COMPUTED_VALUE"""),"70000410")</f>
        <v>70000410</v>
      </c>
      <c r="D5028" s="380" t="s">
        <v>767</v>
      </c>
      <c r="E5028" s="380" t="s">
        <v>786</v>
      </c>
      <c r="F5028" s="380" t="s">
        <v>928</v>
      </c>
      <c r="G5028" s="380" t="s">
        <v>1267</v>
      </c>
      <c r="H5028" s="380" t="s">
        <v>771</v>
      </c>
      <c r="I5028" s="380" t="s">
        <v>788</v>
      </c>
      <c r="J5028" s="380" t="s">
        <v>773</v>
      </c>
      <c r="K5028" s="381">
        <v>0.0</v>
      </c>
      <c r="L5028" s="382">
        <v>1.0</v>
      </c>
    </row>
    <row r="5029">
      <c r="A5029" s="380" t="s">
        <v>5903</v>
      </c>
      <c r="B5029" s="380" t="str">
        <f>IFERROR(__xludf.DUMMYFUNCTION("""COMPUTED_VALUE"""),"Rodamiento Caja Hino 9036655060")</f>
        <v>Rodamiento Caja Hino 9036655060</v>
      </c>
      <c r="C5029" s="380" t="str">
        <f>IFERROR(__xludf.DUMMYFUNCTION("""COMPUTED_VALUE"""),"70000411")</f>
        <v>70000411</v>
      </c>
      <c r="D5029" s="380" t="s">
        <v>767</v>
      </c>
      <c r="E5029" s="380" t="s">
        <v>786</v>
      </c>
      <c r="F5029" s="380" t="s">
        <v>928</v>
      </c>
      <c r="G5029" s="380" t="s">
        <v>1267</v>
      </c>
      <c r="H5029" s="380" t="s">
        <v>771</v>
      </c>
      <c r="I5029" s="380" t="s">
        <v>788</v>
      </c>
      <c r="J5029" s="380" t="s">
        <v>773</v>
      </c>
      <c r="K5029" s="381">
        <v>0.0</v>
      </c>
      <c r="L5029" s="382">
        <v>1.0</v>
      </c>
    </row>
    <row r="5030">
      <c r="A5030" s="380" t="s">
        <v>5904</v>
      </c>
      <c r="B5030" s="380" t="str">
        <f>IFERROR(__xludf.DUMMYFUNCTION("""COMPUTED_VALUE"""),"Tornillo Polea Tensora Nkr 5090002732")</f>
        <v>Tornillo Polea Tensora Nkr 5090002732</v>
      </c>
      <c r="C5030" s="380" t="str">
        <f>IFERROR(__xludf.DUMMYFUNCTION("""COMPUTED_VALUE"""),"70000412")</f>
        <v>70000412</v>
      </c>
      <c r="D5030" s="380" t="s">
        <v>767</v>
      </c>
      <c r="E5030" s="380" t="s">
        <v>786</v>
      </c>
      <c r="F5030" s="380" t="s">
        <v>787</v>
      </c>
      <c r="G5030" s="380" t="s">
        <v>1267</v>
      </c>
      <c r="H5030" s="380" t="s">
        <v>771</v>
      </c>
      <c r="I5030" s="380" t="s">
        <v>788</v>
      </c>
      <c r="J5030" s="380" t="s">
        <v>773</v>
      </c>
      <c r="K5030" s="381">
        <v>0.0</v>
      </c>
      <c r="L5030" s="382">
        <v>1.0</v>
      </c>
    </row>
    <row r="5031">
      <c r="A5031" s="380" t="s">
        <v>5905</v>
      </c>
      <c r="B5031" s="380" t="str">
        <f>IFERROR(__xludf.DUMMYFUNCTION("""COMPUTED_VALUE"""),"Disco Freno Del R Master D1952XT")</f>
        <v>Disco Freno Del R Master D1952XT</v>
      </c>
      <c r="C5031" s="380" t="str">
        <f>IFERROR(__xludf.DUMMYFUNCTION("""COMPUTED_VALUE"""),"70000413")</f>
        <v>70000413</v>
      </c>
      <c r="D5031" s="380" t="s">
        <v>767</v>
      </c>
      <c r="E5031" s="380" t="s">
        <v>786</v>
      </c>
      <c r="F5031" s="380" t="s">
        <v>1017</v>
      </c>
      <c r="G5031" s="380" t="s">
        <v>1267</v>
      </c>
      <c r="H5031" s="380" t="s">
        <v>771</v>
      </c>
      <c r="I5031" s="380" t="s">
        <v>788</v>
      </c>
      <c r="J5031" s="380" t="s">
        <v>773</v>
      </c>
      <c r="K5031" s="381">
        <v>0.0</v>
      </c>
      <c r="L5031" s="382">
        <v>1.0</v>
      </c>
    </row>
    <row r="5032">
      <c r="A5032" s="380" t="s">
        <v>5906</v>
      </c>
      <c r="B5032" s="380" t="str">
        <f>IFERROR(__xludf.DUMMYFUNCTION("""COMPUTED_VALUE"""),"Post Enfriador Aire Nkr-Nhr 8973870330")</f>
        <v>Post Enfriador Aire Nkr-Nhr 8973870330</v>
      </c>
      <c r="C5032" s="380" t="str">
        <f>IFERROR(__xludf.DUMMYFUNCTION("""COMPUTED_VALUE"""),"70000414")</f>
        <v>70000414</v>
      </c>
      <c r="D5032" s="380" t="s">
        <v>767</v>
      </c>
      <c r="E5032" s="380" t="s">
        <v>786</v>
      </c>
      <c r="F5032" s="380" t="s">
        <v>787</v>
      </c>
      <c r="G5032" s="380" t="s">
        <v>1267</v>
      </c>
      <c r="H5032" s="380" t="s">
        <v>771</v>
      </c>
      <c r="I5032" s="380" t="s">
        <v>788</v>
      </c>
      <c r="J5032" s="380" t="s">
        <v>773</v>
      </c>
      <c r="K5032" s="381">
        <v>0.0</v>
      </c>
      <c r="L5032" s="382">
        <v>1.0</v>
      </c>
    </row>
    <row r="5033">
      <c r="A5033" s="380" t="s">
        <v>5907</v>
      </c>
      <c r="B5033" s="380" t="str">
        <f>IFERROR(__xludf.DUMMYFUNCTION("""COMPUTED_VALUE"""),"Varilla Tensora Radiador KW K20224211")</f>
        <v>Varilla Tensora Radiador KW K20224211</v>
      </c>
      <c r="C5033" s="380" t="str">
        <f>IFERROR(__xludf.DUMMYFUNCTION("""COMPUTED_VALUE"""),"70000415")</f>
        <v>70000415</v>
      </c>
      <c r="D5033" s="380" t="s">
        <v>767</v>
      </c>
      <c r="E5033" s="380" t="s">
        <v>786</v>
      </c>
      <c r="F5033" s="380" t="s">
        <v>787</v>
      </c>
      <c r="G5033" s="380" t="s">
        <v>1267</v>
      </c>
      <c r="H5033" s="380" t="s">
        <v>771</v>
      </c>
      <c r="I5033" s="380" t="s">
        <v>788</v>
      </c>
      <c r="J5033" s="380" t="s">
        <v>773</v>
      </c>
      <c r="K5033" s="381">
        <v>0.0</v>
      </c>
      <c r="L5033" s="382">
        <v>1.0</v>
      </c>
    </row>
    <row r="5034">
      <c r="A5034" s="380" t="s">
        <v>5908</v>
      </c>
      <c r="B5034" s="380" t="str">
        <f>IFERROR(__xludf.DUMMYFUNCTION("""COMPUTED_VALUE"""),"Bicel Parabrisas Nkr")</f>
        <v>Bicel Parabrisas Nkr</v>
      </c>
      <c r="C5034" s="380" t="str">
        <f>IFERROR(__xludf.DUMMYFUNCTION("""COMPUTED_VALUE"""),"70000416")</f>
        <v>70000416</v>
      </c>
      <c r="D5034" s="380" t="s">
        <v>767</v>
      </c>
      <c r="E5034" s="380" t="s">
        <v>786</v>
      </c>
      <c r="F5034" s="380" t="s">
        <v>792</v>
      </c>
      <c r="G5034" s="380" t="s">
        <v>1267</v>
      </c>
      <c r="H5034" s="380" t="s">
        <v>771</v>
      </c>
      <c r="I5034" s="380" t="s">
        <v>788</v>
      </c>
      <c r="J5034" s="380" t="s">
        <v>773</v>
      </c>
      <c r="K5034" s="381">
        <v>0.0</v>
      </c>
      <c r="L5034" s="382">
        <v>1.0</v>
      </c>
    </row>
    <row r="5035">
      <c r="A5035" s="380" t="s">
        <v>5909</v>
      </c>
      <c r="B5035" s="380" t="str">
        <f>IFERROR(__xludf.DUMMYFUNCTION("""COMPUTED_VALUE"""),"Panel Paral Sup Izq Cabina Eag 3563205C1")</f>
        <v>Panel Paral Sup Izq Cabina Eag 3563205C1</v>
      </c>
      <c r="C5035" s="380" t="str">
        <f>IFERROR(__xludf.DUMMYFUNCTION("""COMPUTED_VALUE"""),"70000417")</f>
        <v>70000417</v>
      </c>
      <c r="D5035" s="380" t="s">
        <v>767</v>
      </c>
      <c r="E5035" s="380" t="s">
        <v>786</v>
      </c>
      <c r="F5035" s="380" t="s">
        <v>792</v>
      </c>
      <c r="G5035" s="380" t="s">
        <v>1267</v>
      </c>
      <c r="H5035" s="380" t="s">
        <v>771</v>
      </c>
      <c r="I5035" s="380" t="s">
        <v>788</v>
      </c>
      <c r="J5035" s="380" t="s">
        <v>773</v>
      </c>
      <c r="K5035" s="381">
        <v>0.0</v>
      </c>
      <c r="L5035" s="382">
        <v>1.0</v>
      </c>
    </row>
    <row r="5036">
      <c r="A5036" s="380" t="s">
        <v>5910</v>
      </c>
      <c r="B5036" s="380" t="str">
        <f>IFERROR(__xludf.DUMMYFUNCTION("""COMPUTED_VALUE"""),"Chapa Interna Pta Izq Eagle 2513642c3")</f>
        <v>Chapa Interna Pta Izq Eagle 2513642c3</v>
      </c>
      <c r="C5036" s="380" t="str">
        <f>IFERROR(__xludf.DUMMYFUNCTION("""COMPUTED_VALUE"""),"70000418")</f>
        <v>70000418</v>
      </c>
      <c r="D5036" s="380" t="s">
        <v>767</v>
      </c>
      <c r="E5036" s="380" t="s">
        <v>786</v>
      </c>
      <c r="F5036" s="380" t="s">
        <v>792</v>
      </c>
      <c r="G5036" s="380" t="s">
        <v>1267</v>
      </c>
      <c r="H5036" s="380" t="s">
        <v>771</v>
      </c>
      <c r="I5036" s="380" t="s">
        <v>788</v>
      </c>
      <c r="J5036" s="380" t="s">
        <v>773</v>
      </c>
      <c r="K5036" s="381">
        <v>0.0</v>
      </c>
      <c r="L5036" s="382">
        <v>1.0</v>
      </c>
    </row>
    <row r="5037">
      <c r="A5037" s="380" t="s">
        <v>5911</v>
      </c>
      <c r="B5037" s="380" t="str">
        <f>IFERROR(__xludf.DUMMYFUNCTION("""COMPUTED_VALUE"""),"Carcasa Filtro Aire Npr 8972280842")</f>
        <v>Carcasa Filtro Aire Npr 8972280842</v>
      </c>
      <c r="C5037" s="380" t="str">
        <f>IFERROR(__xludf.DUMMYFUNCTION("""COMPUTED_VALUE"""),"70000419")</f>
        <v>70000419</v>
      </c>
      <c r="D5037" s="380" t="s">
        <v>767</v>
      </c>
      <c r="E5037" s="380" t="s">
        <v>786</v>
      </c>
      <c r="F5037" s="380" t="s">
        <v>787</v>
      </c>
      <c r="G5037" s="380" t="s">
        <v>1267</v>
      </c>
      <c r="H5037" s="380" t="s">
        <v>771</v>
      </c>
      <c r="I5037" s="380" t="s">
        <v>788</v>
      </c>
      <c r="J5037" s="380" t="s">
        <v>773</v>
      </c>
      <c r="K5037" s="381">
        <v>0.0</v>
      </c>
      <c r="L5037" s="382">
        <v>1.0</v>
      </c>
    </row>
    <row r="5038">
      <c r="A5038" s="380" t="s">
        <v>5912</v>
      </c>
      <c r="B5038" s="380" t="str">
        <f>IFERROR(__xludf.DUMMYFUNCTION("""COMPUTED_VALUE"""),"Bombillo Halogeno 48892 Hino P43-24V7")</f>
        <v>Bombillo Halogeno 48892 Hino P43-24V7</v>
      </c>
      <c r="C5038" s="380" t="str">
        <f>IFERROR(__xludf.DUMMYFUNCTION("""COMPUTED_VALUE"""),"70000420")</f>
        <v>70000420</v>
      </c>
      <c r="D5038" s="380" t="s">
        <v>767</v>
      </c>
      <c r="E5038" s="380" t="s">
        <v>786</v>
      </c>
      <c r="F5038" s="380" t="s">
        <v>998</v>
      </c>
      <c r="G5038" s="380" t="s">
        <v>1267</v>
      </c>
      <c r="H5038" s="380" t="s">
        <v>771</v>
      </c>
      <c r="I5038" s="380" t="s">
        <v>788</v>
      </c>
      <c r="J5038" s="380" t="s">
        <v>773</v>
      </c>
      <c r="K5038" s="381">
        <v>17733.0</v>
      </c>
      <c r="L5038" s="382">
        <v>1.0</v>
      </c>
    </row>
    <row r="5039">
      <c r="A5039" s="380" t="s">
        <v>5913</v>
      </c>
      <c r="B5039" s="380" t="str">
        <f>IFERROR(__xludf.DUMMYFUNCTION("""COMPUTED_VALUE"""),"Kit Bujes Bastidor Central 30437 SB N")</f>
        <v>Kit Bujes Bastidor Central 30437 SB N</v>
      </c>
      <c r="C5039" s="380" t="str">
        <f>IFERROR(__xludf.DUMMYFUNCTION("""COMPUTED_VALUE"""),"70000421")</f>
        <v>70000421</v>
      </c>
      <c r="D5039" s="380" t="s">
        <v>767</v>
      </c>
      <c r="E5039" s="380" t="s">
        <v>786</v>
      </c>
      <c r="F5039" s="380" t="s">
        <v>1039</v>
      </c>
      <c r="G5039" s="380" t="s">
        <v>1267</v>
      </c>
      <c r="H5039" s="380" t="s">
        <v>771</v>
      </c>
      <c r="I5039" s="380" t="s">
        <v>788</v>
      </c>
      <c r="J5039" s="380" t="s">
        <v>773</v>
      </c>
      <c r="K5039" s="381">
        <v>0.0</v>
      </c>
      <c r="L5039" s="382">
        <v>1.0</v>
      </c>
    </row>
    <row r="5040">
      <c r="A5040" s="380" t="s">
        <v>5914</v>
      </c>
      <c r="B5040" s="380" t="str">
        <f>IFERROR(__xludf.DUMMYFUNCTION("""COMPUTED_VALUE"""),"Base Filtro Agua Isx 4386673")</f>
        <v>Base Filtro Agua Isx 4386673</v>
      </c>
      <c r="C5040" s="380" t="str">
        <f>IFERROR(__xludf.DUMMYFUNCTION("""COMPUTED_VALUE"""),"70000422")</f>
        <v>70000422</v>
      </c>
      <c r="D5040" s="380" t="s">
        <v>767</v>
      </c>
      <c r="E5040" s="380" t="s">
        <v>786</v>
      </c>
      <c r="F5040" s="380" t="s">
        <v>787</v>
      </c>
      <c r="G5040" s="380" t="s">
        <v>1267</v>
      </c>
      <c r="H5040" s="380" t="s">
        <v>771</v>
      </c>
      <c r="I5040" s="380" t="s">
        <v>788</v>
      </c>
      <c r="J5040" s="380" t="s">
        <v>773</v>
      </c>
      <c r="K5040" s="381">
        <v>0.0</v>
      </c>
      <c r="L5040" s="382">
        <v>1.0</v>
      </c>
    </row>
    <row r="5041">
      <c r="A5041" s="380" t="s">
        <v>5915</v>
      </c>
      <c r="B5041" s="380" t="str">
        <f>IFERROR(__xludf.DUMMYFUNCTION("""COMPUTED_VALUE"""),"Tapa Frontal Super Motor Isx9400 3684273")</f>
        <v>Tapa Frontal Super Motor Isx9400 3684273</v>
      </c>
      <c r="C5041" s="380" t="str">
        <f>IFERROR(__xludf.DUMMYFUNCTION("""COMPUTED_VALUE"""),"70000423")</f>
        <v>70000423</v>
      </c>
      <c r="D5041" s="380" t="s">
        <v>767</v>
      </c>
      <c r="E5041" s="380" t="s">
        <v>786</v>
      </c>
      <c r="F5041" s="380" t="s">
        <v>787</v>
      </c>
      <c r="G5041" s="380" t="s">
        <v>1267</v>
      </c>
      <c r="H5041" s="380" t="s">
        <v>771</v>
      </c>
      <c r="I5041" s="380" t="s">
        <v>788</v>
      </c>
      <c r="J5041" s="380" t="s">
        <v>773</v>
      </c>
      <c r="K5041" s="381">
        <v>0.0</v>
      </c>
      <c r="L5041" s="382">
        <v>1.0</v>
      </c>
    </row>
    <row r="5042">
      <c r="A5042" s="380" t="s">
        <v>5916</v>
      </c>
      <c r="B5042" s="380" t="str">
        <f>IFERROR(__xludf.DUMMYFUNCTION("""COMPUTED_VALUE"""),"Polea Loca Alternador KW T800 4026886")</f>
        <v>Polea Loca Alternador KW T800 4026886</v>
      </c>
      <c r="C5042" s="380" t="str">
        <f>IFERROR(__xludf.DUMMYFUNCTION("""COMPUTED_VALUE"""),"70000424")</f>
        <v>70000424</v>
      </c>
      <c r="D5042" s="380" t="s">
        <v>767</v>
      </c>
      <c r="E5042" s="380" t="s">
        <v>786</v>
      </c>
      <c r="F5042" s="380" t="s">
        <v>787</v>
      </c>
      <c r="G5042" s="380" t="s">
        <v>1267</v>
      </c>
      <c r="H5042" s="380" t="s">
        <v>771</v>
      </c>
      <c r="I5042" s="380" t="s">
        <v>788</v>
      </c>
      <c r="J5042" s="380" t="s">
        <v>773</v>
      </c>
      <c r="K5042" s="381">
        <v>0.0</v>
      </c>
      <c r="L5042" s="382">
        <v>1.0</v>
      </c>
    </row>
    <row r="5043">
      <c r="A5043" s="380" t="s">
        <v>5917</v>
      </c>
      <c r="B5043" s="380" t="str">
        <f>IFERROR(__xludf.DUMMYFUNCTION("""COMPUTED_VALUE"""),"Kit Ventila/FClutch Agr-Volks 9410040100")</f>
        <v>Kit Ventila/FClutch Agr-Volks 9410040100</v>
      </c>
      <c r="C5043" s="380" t="str">
        <f>IFERROR(__xludf.DUMMYFUNCTION("""COMPUTED_VALUE"""),"70000425")</f>
        <v>70000425</v>
      </c>
      <c r="D5043" s="380" t="s">
        <v>767</v>
      </c>
      <c r="E5043" s="380" t="s">
        <v>786</v>
      </c>
      <c r="F5043" s="380" t="s">
        <v>787</v>
      </c>
      <c r="G5043" s="380" t="s">
        <v>1267</v>
      </c>
      <c r="H5043" s="380" t="s">
        <v>771</v>
      </c>
      <c r="I5043" s="380" t="s">
        <v>788</v>
      </c>
      <c r="J5043" s="380" t="s">
        <v>773</v>
      </c>
      <c r="K5043" s="381">
        <v>0.0</v>
      </c>
      <c r="L5043" s="382">
        <v>1.0</v>
      </c>
    </row>
    <row r="5044">
      <c r="A5044" s="380" t="s">
        <v>5918</v>
      </c>
      <c r="B5044" s="380" t="str">
        <f>IFERROR(__xludf.DUMMYFUNCTION("""COMPUTED_VALUE"""),"Cubo Sincro 1ra Hino 3336137060")</f>
        <v>Cubo Sincro 1ra Hino 3336137060</v>
      </c>
      <c r="C5044" s="380" t="str">
        <f>IFERROR(__xludf.DUMMYFUNCTION("""COMPUTED_VALUE"""),"70000426")</f>
        <v>70000426</v>
      </c>
      <c r="D5044" s="380" t="s">
        <v>767</v>
      </c>
      <c r="E5044" s="380" t="s">
        <v>786</v>
      </c>
      <c r="F5044" s="380" t="s">
        <v>928</v>
      </c>
      <c r="G5044" s="380" t="s">
        <v>1267</v>
      </c>
      <c r="H5044" s="380" t="s">
        <v>771</v>
      </c>
      <c r="I5044" s="380" t="s">
        <v>788</v>
      </c>
      <c r="J5044" s="380" t="s">
        <v>773</v>
      </c>
      <c r="K5044" s="381">
        <v>0.0</v>
      </c>
      <c r="L5044" s="382">
        <v>1.0</v>
      </c>
    </row>
    <row r="5045">
      <c r="A5045" s="380" t="s">
        <v>5919</v>
      </c>
      <c r="B5045" s="380" t="str">
        <f>IFERROR(__xludf.DUMMYFUNCTION("""COMPUTED_VALUE"""),"Soporte Trasero Caja Isx 481273C1")</f>
        <v>Soporte Trasero Caja Isx 481273C1</v>
      </c>
      <c r="C5045" s="380" t="str">
        <f>IFERROR(__xludf.DUMMYFUNCTION("""COMPUTED_VALUE"""),"70000427")</f>
        <v>70000427</v>
      </c>
      <c r="D5045" s="380" t="s">
        <v>767</v>
      </c>
      <c r="E5045" s="380" t="s">
        <v>786</v>
      </c>
      <c r="F5045" s="380" t="s">
        <v>928</v>
      </c>
      <c r="G5045" s="380" t="s">
        <v>1267</v>
      </c>
      <c r="H5045" s="380" t="s">
        <v>771</v>
      </c>
      <c r="I5045" s="380" t="s">
        <v>788</v>
      </c>
      <c r="J5045" s="380" t="s">
        <v>773</v>
      </c>
      <c r="K5045" s="381">
        <v>0.0</v>
      </c>
      <c r="L5045" s="382">
        <v>1.0</v>
      </c>
    </row>
    <row r="5046">
      <c r="A5046" s="380" t="s">
        <v>5920</v>
      </c>
      <c r="B5046" s="380" t="str">
        <f>IFERROR(__xludf.DUMMYFUNCTION("""COMPUTED_VALUE"""),"King Ping Con Arandela Cambiable")</f>
        <v>King Ping Con Arandela Cambiable</v>
      </c>
      <c r="C5046" s="380" t="str">
        <f>IFERROR(__xludf.DUMMYFUNCTION("""COMPUTED_VALUE"""),"70000428")</f>
        <v>70000428</v>
      </c>
      <c r="D5046" s="380" t="s">
        <v>767</v>
      </c>
      <c r="E5046" s="380" t="s">
        <v>786</v>
      </c>
      <c r="F5046" s="380" t="s">
        <v>792</v>
      </c>
      <c r="G5046" s="380" t="s">
        <v>1267</v>
      </c>
      <c r="H5046" s="380" t="s">
        <v>771</v>
      </c>
      <c r="I5046" s="380" t="s">
        <v>788</v>
      </c>
      <c r="J5046" s="380" t="s">
        <v>773</v>
      </c>
      <c r="K5046" s="381">
        <v>0.0</v>
      </c>
      <c r="L5046" s="382">
        <v>1.0</v>
      </c>
    </row>
    <row r="5047">
      <c r="A5047" s="380" t="s">
        <v>5921</v>
      </c>
      <c r="B5047" s="380" t="str">
        <f>IFERROR(__xludf.DUMMYFUNCTION("""COMPUTED_VALUE"""),"Radiador Enfriador/A Caja Eag 2601446C91")</f>
        <v>Radiador Enfriador/A Caja Eag 2601446C91</v>
      </c>
      <c r="C5047" s="380" t="str">
        <f>IFERROR(__xludf.DUMMYFUNCTION("""COMPUTED_VALUE"""),"70000429")</f>
        <v>70000429</v>
      </c>
      <c r="D5047" s="380" t="s">
        <v>767</v>
      </c>
      <c r="E5047" s="380" t="s">
        <v>786</v>
      </c>
      <c r="F5047" s="380" t="s">
        <v>787</v>
      </c>
      <c r="G5047" s="380" t="s">
        <v>1267</v>
      </c>
      <c r="H5047" s="380" t="s">
        <v>771</v>
      </c>
      <c r="I5047" s="380" t="s">
        <v>788</v>
      </c>
      <c r="J5047" s="380" t="s">
        <v>773</v>
      </c>
      <c r="K5047" s="381">
        <v>0.0</v>
      </c>
      <c r="L5047" s="382">
        <v>1.0</v>
      </c>
    </row>
    <row r="5048">
      <c r="A5048" s="380" t="s">
        <v>5922</v>
      </c>
      <c r="B5048" s="380" t="str">
        <f>IFERROR(__xludf.DUMMYFUNCTION("""COMPUTED_VALUE"""),"Vaso Trampa S3226P KW SK21527")</f>
        <v>Vaso Trampa S3226P KW SK21527</v>
      </c>
      <c r="C5048" s="380" t="str">
        <f>IFERROR(__xludf.DUMMYFUNCTION("""COMPUTED_VALUE"""),"70000430")</f>
        <v>70000430</v>
      </c>
      <c r="D5048" s="380" t="s">
        <v>767</v>
      </c>
      <c r="E5048" s="380" t="s">
        <v>786</v>
      </c>
      <c r="F5048" s="380" t="s">
        <v>787</v>
      </c>
      <c r="G5048" s="380" t="s">
        <v>1267</v>
      </c>
      <c r="H5048" s="380" t="s">
        <v>771</v>
      </c>
      <c r="I5048" s="380" t="s">
        <v>788</v>
      </c>
      <c r="J5048" s="380" t="s">
        <v>773</v>
      </c>
      <c r="K5048" s="381">
        <v>0.0</v>
      </c>
      <c r="L5048" s="382">
        <v>1.0</v>
      </c>
    </row>
    <row r="5049">
      <c r="A5049" s="380" t="s">
        <v>5923</v>
      </c>
      <c r="B5049" s="380" t="str">
        <f>IFERROR(__xludf.DUMMYFUNCTION("""COMPUTED_VALUE"""),"Correa Alternador 9051950 N200")</f>
        <v>Correa Alternador 9051950 N200</v>
      </c>
      <c r="C5049" s="380" t="str">
        <f>IFERROR(__xludf.DUMMYFUNCTION("""COMPUTED_VALUE"""),"70000431")</f>
        <v>70000431</v>
      </c>
      <c r="D5049" s="380" t="s">
        <v>767</v>
      </c>
      <c r="E5049" s="380" t="s">
        <v>786</v>
      </c>
      <c r="F5049" s="380" t="s">
        <v>787</v>
      </c>
      <c r="G5049" s="380" t="s">
        <v>1267</v>
      </c>
      <c r="H5049" s="380" t="s">
        <v>771</v>
      </c>
      <c r="I5049" s="380" t="s">
        <v>788</v>
      </c>
      <c r="J5049" s="380" t="s">
        <v>773</v>
      </c>
      <c r="K5049" s="381">
        <v>0.0</v>
      </c>
      <c r="L5049" s="382">
        <v>1.0</v>
      </c>
    </row>
    <row r="5050">
      <c r="A5050" s="380" t="s">
        <v>5924</v>
      </c>
      <c r="B5050" s="380" t="str">
        <f>IFERROR(__xludf.DUMMYFUNCTION("""COMPUTED_VALUE"""),"Filtro Separador Agua Isx FS1040")</f>
        <v>Filtro Separador Agua Isx FS1040</v>
      </c>
      <c r="C5050" s="380" t="str">
        <f>IFERROR(__xludf.DUMMYFUNCTION("""COMPUTED_VALUE"""),"70000432")</f>
        <v>70000432</v>
      </c>
      <c r="D5050" s="380" t="s">
        <v>767</v>
      </c>
      <c r="E5050" s="380" t="s">
        <v>786</v>
      </c>
      <c r="F5050" s="380" t="s">
        <v>5855</v>
      </c>
      <c r="G5050" s="380" t="s">
        <v>1267</v>
      </c>
      <c r="H5050" s="380" t="s">
        <v>771</v>
      </c>
      <c r="I5050" s="380" t="s">
        <v>788</v>
      </c>
      <c r="J5050" s="380" t="s">
        <v>773</v>
      </c>
      <c r="K5050" s="381">
        <v>0.0</v>
      </c>
      <c r="L5050" s="382">
        <v>1.0</v>
      </c>
    </row>
    <row r="5051">
      <c r="A5051" s="380" t="s">
        <v>5925</v>
      </c>
      <c r="B5051" s="380" t="str">
        <f>IFERROR(__xludf.DUMMYFUNCTION("""COMPUTED_VALUE"""),"Tanque Acpm Derecho KW K4240737N0")</f>
        <v>Tanque Acpm Derecho KW K4240737N0</v>
      </c>
      <c r="C5051" s="380" t="str">
        <f>IFERROR(__xludf.DUMMYFUNCTION("""COMPUTED_VALUE"""),"70000433")</f>
        <v>70000433</v>
      </c>
      <c r="D5051" s="380" t="s">
        <v>767</v>
      </c>
      <c r="E5051" s="380" t="s">
        <v>786</v>
      </c>
      <c r="F5051" s="380" t="s">
        <v>792</v>
      </c>
      <c r="G5051" s="380" t="s">
        <v>1267</v>
      </c>
      <c r="H5051" s="380" t="s">
        <v>771</v>
      </c>
      <c r="I5051" s="380" t="s">
        <v>788</v>
      </c>
      <c r="J5051" s="380" t="s">
        <v>773</v>
      </c>
      <c r="K5051" s="381">
        <v>0.0</v>
      </c>
      <c r="L5051" s="382">
        <v>1.0</v>
      </c>
    </row>
    <row r="5052">
      <c r="A5052" s="380" t="s">
        <v>5926</v>
      </c>
      <c r="B5052" s="380" t="str">
        <f>IFERROR(__xludf.DUMMYFUNCTION("""COMPUTED_VALUE"""),"Campana Delantera Akt 200")</f>
        <v>Campana Delantera Akt 200</v>
      </c>
      <c r="C5052" s="380" t="str">
        <f>IFERROR(__xludf.DUMMYFUNCTION("""COMPUTED_VALUE"""),"70000434")</f>
        <v>70000434</v>
      </c>
      <c r="D5052" s="380" t="s">
        <v>767</v>
      </c>
      <c r="E5052" s="380" t="s">
        <v>786</v>
      </c>
      <c r="F5052" s="380" t="s">
        <v>1017</v>
      </c>
      <c r="G5052" s="380" t="s">
        <v>1267</v>
      </c>
      <c r="H5052" s="380" t="s">
        <v>771</v>
      </c>
      <c r="I5052" s="380" t="s">
        <v>788</v>
      </c>
      <c r="J5052" s="380" t="s">
        <v>773</v>
      </c>
      <c r="K5052" s="381">
        <v>0.0</v>
      </c>
      <c r="L5052" s="382">
        <v>1.0</v>
      </c>
    </row>
    <row r="5053">
      <c r="A5053" s="380" t="s">
        <v>5927</v>
      </c>
      <c r="B5053" s="380" t="str">
        <f>IFERROR(__xludf.DUMMYFUNCTION("""COMPUTED_VALUE"""),"Switch vidrio Pta Der Freigth RA06307690")</f>
        <v>Switch vidrio Pta Der Freigth RA06307690</v>
      </c>
      <c r="C5053" s="380" t="str">
        <f>IFERROR(__xludf.DUMMYFUNCTION("""COMPUTED_VALUE"""),"70000435")</f>
        <v>70000435</v>
      </c>
      <c r="D5053" s="380" t="s">
        <v>767</v>
      </c>
      <c r="E5053" s="380" t="s">
        <v>786</v>
      </c>
      <c r="F5053" s="380" t="s">
        <v>998</v>
      </c>
      <c r="G5053" s="380" t="s">
        <v>1267</v>
      </c>
      <c r="H5053" s="380" t="s">
        <v>771</v>
      </c>
      <c r="I5053" s="380" t="s">
        <v>788</v>
      </c>
      <c r="J5053" s="380" t="s">
        <v>773</v>
      </c>
      <c r="K5053" s="381">
        <v>0.0</v>
      </c>
      <c r="L5053" s="382">
        <v>1.0</v>
      </c>
    </row>
    <row r="5054">
      <c r="A5054" s="380" t="s">
        <v>5928</v>
      </c>
      <c r="B5054" s="380" t="str">
        <f>IFERROR(__xludf.DUMMYFUNCTION("""COMPUTED_VALUE"""),"Embellecedor Depo L/Freno Nkr 8978574995")</f>
        <v>Embellecedor Depo L/Freno Nkr 8978574995</v>
      </c>
      <c r="C5054" s="380" t="str">
        <f>IFERROR(__xludf.DUMMYFUNCTION("""COMPUTED_VALUE"""),"70000436")</f>
        <v>70000436</v>
      </c>
      <c r="D5054" s="380" t="s">
        <v>767</v>
      </c>
      <c r="E5054" s="380" t="s">
        <v>786</v>
      </c>
      <c r="F5054" s="380" t="s">
        <v>792</v>
      </c>
      <c r="G5054" s="380" t="s">
        <v>1267</v>
      </c>
      <c r="H5054" s="380" t="s">
        <v>771</v>
      </c>
      <c r="I5054" s="380" t="s">
        <v>788</v>
      </c>
      <c r="J5054" s="380" t="s">
        <v>773</v>
      </c>
      <c r="K5054" s="381">
        <v>0.0</v>
      </c>
      <c r="L5054" s="382">
        <v>1.0</v>
      </c>
    </row>
    <row r="5055">
      <c r="A5055" s="380" t="s">
        <v>5929</v>
      </c>
      <c r="B5055" s="380" t="str">
        <f>IFERROR(__xludf.DUMMYFUNCTION("""COMPUTED_VALUE"""),"Filtro A/C Metalico Isx 1693117C1")</f>
        <v>Filtro A/C Metalico Isx 1693117C1</v>
      </c>
      <c r="C5055" s="380" t="str">
        <f>IFERROR(__xludf.DUMMYFUNCTION("""COMPUTED_VALUE"""),"70000437")</f>
        <v>70000437</v>
      </c>
      <c r="D5055" s="380" t="s">
        <v>767</v>
      </c>
      <c r="E5055" s="380" t="s">
        <v>786</v>
      </c>
      <c r="F5055" s="380" t="s">
        <v>5855</v>
      </c>
      <c r="G5055" s="380" t="s">
        <v>1267</v>
      </c>
      <c r="H5055" s="380" t="s">
        <v>771</v>
      </c>
      <c r="I5055" s="380" t="s">
        <v>788</v>
      </c>
      <c r="J5055" s="380" t="s">
        <v>773</v>
      </c>
      <c r="K5055" s="381">
        <v>0.0</v>
      </c>
      <c r="L5055" s="382">
        <v>1.0</v>
      </c>
    </row>
    <row r="5056">
      <c r="A5056" s="380" t="s">
        <v>5930</v>
      </c>
      <c r="B5056" s="380" t="str">
        <f>IFERROR(__xludf.DUMMYFUNCTION("""COMPUTED_VALUE"""),"Barra Direccion Corta 415701-2po")</f>
        <v>Barra Direccion Corta 415701-2po</v>
      </c>
      <c r="C5056" s="380" t="str">
        <f>IFERROR(__xludf.DUMMYFUNCTION("""COMPUTED_VALUE"""),"70000438")</f>
        <v>70000438</v>
      </c>
      <c r="D5056" s="380" t="s">
        <v>767</v>
      </c>
      <c r="E5056" s="380" t="s">
        <v>786</v>
      </c>
      <c r="F5056" s="380" t="s">
        <v>1020</v>
      </c>
      <c r="G5056" s="380" t="s">
        <v>1267</v>
      </c>
      <c r="H5056" s="380" t="s">
        <v>771</v>
      </c>
      <c r="I5056" s="380" t="s">
        <v>788</v>
      </c>
      <c r="J5056" s="380" t="s">
        <v>773</v>
      </c>
      <c r="K5056" s="381">
        <v>0.0</v>
      </c>
      <c r="L5056" s="382">
        <v>1.0</v>
      </c>
    </row>
    <row r="5057">
      <c r="A5057" s="380" t="s">
        <v>5931</v>
      </c>
      <c r="B5057" s="380" t="str">
        <f>IFERROR(__xludf.DUMMYFUNCTION("""COMPUTED_VALUE"""),"Brazo Espejo Lado Der Hino D P8791037570")</f>
        <v>Brazo Espejo Lado Der Hino D P8791037570</v>
      </c>
      <c r="C5057" s="380" t="str">
        <f>IFERROR(__xludf.DUMMYFUNCTION("""COMPUTED_VALUE"""),"70000439")</f>
        <v>70000439</v>
      </c>
      <c r="D5057" s="380" t="s">
        <v>767</v>
      </c>
      <c r="E5057" s="380" t="s">
        <v>786</v>
      </c>
      <c r="F5057" s="380" t="s">
        <v>792</v>
      </c>
      <c r="G5057" s="380" t="s">
        <v>1267</v>
      </c>
      <c r="H5057" s="380" t="s">
        <v>771</v>
      </c>
      <c r="I5057" s="380" t="s">
        <v>788</v>
      </c>
      <c r="J5057" s="380" t="s">
        <v>773</v>
      </c>
      <c r="K5057" s="381">
        <v>2008467.0</v>
      </c>
      <c r="L5057" s="382">
        <v>1.0</v>
      </c>
    </row>
    <row r="5058">
      <c r="A5058" s="380" t="s">
        <v>5932</v>
      </c>
      <c r="B5058" s="380" t="str">
        <f>IFERROR(__xludf.DUMMYFUNCTION("""COMPUTED_VALUE"""),"Lampara Farola Lado Der Hino 8113037120")</f>
        <v>Lampara Farola Lado Der Hino 8113037120</v>
      </c>
      <c r="C5058" s="380" t="str">
        <f>IFERROR(__xludf.DUMMYFUNCTION("""COMPUTED_VALUE"""),"70000440")</f>
        <v>70000440</v>
      </c>
      <c r="D5058" s="380" t="s">
        <v>767</v>
      </c>
      <c r="E5058" s="380" t="s">
        <v>786</v>
      </c>
      <c r="F5058" s="380" t="s">
        <v>998</v>
      </c>
      <c r="G5058" s="380" t="s">
        <v>1267</v>
      </c>
      <c r="H5058" s="380" t="s">
        <v>771</v>
      </c>
      <c r="I5058" s="380" t="s">
        <v>788</v>
      </c>
      <c r="J5058" s="380" t="s">
        <v>773</v>
      </c>
      <c r="K5058" s="381">
        <v>0.0</v>
      </c>
      <c r="L5058" s="382">
        <v>1.0</v>
      </c>
    </row>
    <row r="5059">
      <c r="A5059" s="380" t="s">
        <v>5933</v>
      </c>
      <c r="B5059" s="380" t="str">
        <f>IFERROR(__xludf.DUMMYFUNCTION("""COMPUTED_VALUE"""),"Bomba Freno Super Carry")</f>
        <v>Bomba Freno Super Carry</v>
      </c>
      <c r="C5059" s="380" t="str">
        <f>IFERROR(__xludf.DUMMYFUNCTION("""COMPUTED_VALUE"""),"70000441")</f>
        <v>70000441</v>
      </c>
      <c r="D5059" s="380" t="s">
        <v>767</v>
      </c>
      <c r="E5059" s="380" t="s">
        <v>786</v>
      </c>
      <c r="F5059" s="380" t="s">
        <v>1017</v>
      </c>
      <c r="G5059" s="380" t="s">
        <v>1267</v>
      </c>
      <c r="H5059" s="380" t="s">
        <v>771</v>
      </c>
      <c r="I5059" s="380" t="s">
        <v>788</v>
      </c>
      <c r="J5059" s="380" t="s">
        <v>773</v>
      </c>
      <c r="K5059" s="381">
        <v>0.0</v>
      </c>
      <c r="L5059" s="382">
        <v>1.0</v>
      </c>
    </row>
    <row r="5060">
      <c r="A5060" s="380" t="s">
        <v>5934</v>
      </c>
      <c r="B5060" s="380" t="str">
        <f>IFERROR(__xludf.DUMMYFUNCTION("""COMPUTED_VALUE"""),"Explordora Der Hino 8121137051")</f>
        <v>Explordora Der Hino 8121137051</v>
      </c>
      <c r="C5060" s="380" t="str">
        <f>IFERROR(__xludf.DUMMYFUNCTION("""COMPUTED_VALUE"""),"70000442")</f>
        <v>70000442</v>
      </c>
      <c r="D5060" s="380" t="s">
        <v>767</v>
      </c>
      <c r="E5060" s="380" t="s">
        <v>786</v>
      </c>
      <c r="F5060" s="380" t="s">
        <v>998</v>
      </c>
      <c r="G5060" s="380" t="s">
        <v>1267</v>
      </c>
      <c r="H5060" s="380" t="s">
        <v>771</v>
      </c>
      <c r="I5060" s="380" t="s">
        <v>788</v>
      </c>
      <c r="J5060" s="380" t="s">
        <v>773</v>
      </c>
      <c r="K5060" s="381">
        <v>0.0</v>
      </c>
      <c r="L5060" s="382">
        <v>1.0</v>
      </c>
    </row>
    <row r="5061">
      <c r="A5061" s="380" t="s">
        <v>5935</v>
      </c>
      <c r="B5061" s="380" t="str">
        <f>IFERROR(__xludf.DUMMYFUNCTION("""COMPUTED_VALUE"""),"Reten Reflector Pernos Eje Tras 24513745")</f>
        <v>Reten Reflector Pernos Eje Tras 24513745</v>
      </c>
      <c r="C5061" s="380" t="str">
        <f>IFERROR(__xludf.DUMMYFUNCTION("""COMPUTED_VALUE"""),"70000443")</f>
        <v>70000443</v>
      </c>
      <c r="D5061" s="380" t="s">
        <v>767</v>
      </c>
      <c r="E5061" s="380" t="s">
        <v>786</v>
      </c>
      <c r="F5061" s="380" t="s">
        <v>1039</v>
      </c>
      <c r="G5061" s="380" t="s">
        <v>1267</v>
      </c>
      <c r="H5061" s="380" t="s">
        <v>771</v>
      </c>
      <c r="I5061" s="380" t="s">
        <v>788</v>
      </c>
      <c r="J5061" s="380" t="s">
        <v>773</v>
      </c>
      <c r="K5061" s="381">
        <v>0.0</v>
      </c>
      <c r="L5061" s="382">
        <v>1.0</v>
      </c>
    </row>
    <row r="5062">
      <c r="A5062" s="380" t="s">
        <v>5936</v>
      </c>
      <c r="B5062" s="380" t="str">
        <f>IFERROR(__xludf.DUMMYFUNCTION("""COMPUTED_VALUE"""),"Anillo Separador Rodami Eje N200 9026276")</f>
        <v>Anillo Separador Rodami Eje N200 9026276</v>
      </c>
      <c r="C5062" s="380" t="str">
        <f>IFERROR(__xludf.DUMMYFUNCTION("""COMPUTED_VALUE"""),"70000444")</f>
        <v>70000444</v>
      </c>
      <c r="D5062" s="380" t="s">
        <v>767</v>
      </c>
      <c r="E5062" s="380" t="s">
        <v>786</v>
      </c>
      <c r="F5062" s="380" t="s">
        <v>1039</v>
      </c>
      <c r="G5062" s="380" t="s">
        <v>1267</v>
      </c>
      <c r="H5062" s="380" t="s">
        <v>771</v>
      </c>
      <c r="I5062" s="380" t="s">
        <v>788</v>
      </c>
      <c r="J5062" s="380" t="s">
        <v>773</v>
      </c>
      <c r="K5062" s="381">
        <v>0.0</v>
      </c>
      <c r="L5062" s="382">
        <v>1.0</v>
      </c>
    </row>
    <row r="5063">
      <c r="A5063" s="380" t="s">
        <v>5937</v>
      </c>
      <c r="B5063" s="380" t="str">
        <f>IFERROR(__xludf.DUMMYFUNCTION("""COMPUTED_VALUE"""),"Rodamiento Eje Trasero N200 9026279")</f>
        <v>Rodamiento Eje Trasero N200 9026279</v>
      </c>
      <c r="C5063" s="380" t="str">
        <f>IFERROR(__xludf.DUMMYFUNCTION("""COMPUTED_VALUE"""),"70000445")</f>
        <v>70000445</v>
      </c>
      <c r="D5063" s="380" t="s">
        <v>767</v>
      </c>
      <c r="E5063" s="380" t="s">
        <v>786</v>
      </c>
      <c r="F5063" s="380" t="s">
        <v>1039</v>
      </c>
      <c r="G5063" s="380" t="s">
        <v>1267</v>
      </c>
      <c r="H5063" s="380" t="s">
        <v>771</v>
      </c>
      <c r="I5063" s="380" t="s">
        <v>788</v>
      </c>
      <c r="J5063" s="380" t="s">
        <v>773</v>
      </c>
      <c r="K5063" s="381">
        <v>0.0</v>
      </c>
      <c r="L5063" s="382">
        <v>1.0</v>
      </c>
    </row>
    <row r="5064">
      <c r="A5064" s="380" t="s">
        <v>5938</v>
      </c>
      <c r="B5064" s="380" t="str">
        <f>IFERROR(__xludf.DUMMYFUNCTION("""COMPUTED_VALUE"""),"Retenedor Eje Trasero N200 9026284")</f>
        <v>Retenedor Eje Trasero N200 9026284</v>
      </c>
      <c r="C5064" s="380" t="str">
        <f>IFERROR(__xludf.DUMMYFUNCTION("""COMPUTED_VALUE"""),"70000446")</f>
        <v>70000446</v>
      </c>
      <c r="D5064" s="380" t="s">
        <v>767</v>
      </c>
      <c r="E5064" s="380" t="s">
        <v>786</v>
      </c>
      <c r="F5064" s="380" t="s">
        <v>1039</v>
      </c>
      <c r="G5064" s="380" t="s">
        <v>1267</v>
      </c>
      <c r="H5064" s="380" t="s">
        <v>771</v>
      </c>
      <c r="I5064" s="380" t="s">
        <v>788</v>
      </c>
      <c r="J5064" s="380" t="s">
        <v>773</v>
      </c>
      <c r="K5064" s="381">
        <v>0.0</v>
      </c>
      <c r="L5064" s="382">
        <v>1.0</v>
      </c>
    </row>
    <row r="5065">
      <c r="A5065" s="380" t="s">
        <v>5939</v>
      </c>
      <c r="B5065" s="380" t="str">
        <f>IFERROR(__xludf.DUMMYFUNCTION("""COMPUTED_VALUE"""),"Jgo Casquetes Bancada T1170456032")</f>
        <v>Jgo Casquetes Bancada T1170456032</v>
      </c>
      <c r="C5065" s="380" t="str">
        <f>IFERROR(__xludf.DUMMYFUNCTION("""COMPUTED_VALUE"""),"70000447")</f>
        <v>70000447</v>
      </c>
      <c r="D5065" s="380" t="s">
        <v>767</v>
      </c>
      <c r="E5065" s="380" t="s">
        <v>786</v>
      </c>
      <c r="F5065" s="380" t="s">
        <v>787</v>
      </c>
      <c r="G5065" s="380" t="s">
        <v>1267</v>
      </c>
      <c r="H5065" s="380" t="s">
        <v>771</v>
      </c>
      <c r="I5065" s="380" t="s">
        <v>788</v>
      </c>
      <c r="J5065" s="380" t="s">
        <v>773</v>
      </c>
      <c r="K5065" s="381">
        <v>0.0</v>
      </c>
      <c r="L5065" s="382">
        <v>1.0</v>
      </c>
    </row>
    <row r="5066">
      <c r="A5066" s="380" t="s">
        <v>5940</v>
      </c>
      <c r="B5066" s="380" t="str">
        <f>IFERROR(__xludf.DUMMYFUNCTION("""COMPUTED_VALUE"""),"Kit Embrague Renault Master 7701479080")</f>
        <v>Kit Embrague Renault Master 7701479080</v>
      </c>
      <c r="C5066" s="380" t="str">
        <f>IFERROR(__xludf.DUMMYFUNCTION("""COMPUTED_VALUE"""),"70000448")</f>
        <v>70000448</v>
      </c>
      <c r="D5066" s="380" t="s">
        <v>767</v>
      </c>
      <c r="E5066" s="380" t="s">
        <v>786</v>
      </c>
      <c r="F5066" s="380" t="s">
        <v>5661</v>
      </c>
      <c r="G5066" s="380" t="s">
        <v>1267</v>
      </c>
      <c r="H5066" s="380" t="s">
        <v>771</v>
      </c>
      <c r="I5066" s="380" t="s">
        <v>788</v>
      </c>
      <c r="J5066" s="380" t="s">
        <v>773</v>
      </c>
      <c r="K5066" s="381">
        <v>0.0</v>
      </c>
      <c r="L5066" s="382">
        <v>1.0</v>
      </c>
    </row>
    <row r="5067">
      <c r="A5067" s="380" t="s">
        <v>5941</v>
      </c>
      <c r="B5067" s="380" t="str">
        <f>IFERROR(__xludf.DUMMYFUNCTION("""COMPUTED_VALUE"""),"Eje Mono Media Caja 14915 N14 4303359")</f>
        <v>Eje Mono Media Caja 14915 N14 4303359</v>
      </c>
      <c r="C5067" s="380" t="str">
        <f>IFERROR(__xludf.DUMMYFUNCTION("""COMPUTED_VALUE"""),"70000449")</f>
        <v>70000449</v>
      </c>
      <c r="D5067" s="380" t="s">
        <v>767</v>
      </c>
      <c r="E5067" s="380" t="s">
        <v>786</v>
      </c>
      <c r="F5067" s="380" t="s">
        <v>928</v>
      </c>
      <c r="G5067" s="380" t="s">
        <v>1267</v>
      </c>
      <c r="H5067" s="380" t="s">
        <v>771</v>
      </c>
      <c r="I5067" s="380" t="s">
        <v>788</v>
      </c>
      <c r="J5067" s="380" t="s">
        <v>773</v>
      </c>
      <c r="K5067" s="381">
        <v>0.0</v>
      </c>
      <c r="L5067" s="382">
        <v>1.0</v>
      </c>
    </row>
    <row r="5068">
      <c r="A5068" s="380" t="s">
        <v>5942</v>
      </c>
      <c r="B5068" s="380" t="str">
        <f>IFERROR(__xludf.DUMMYFUNCTION("""COMPUTED_VALUE"""),"Tuerca Eje Mono 14915 N14 21365")</f>
        <v>Tuerca Eje Mono 14915 N14 21365</v>
      </c>
      <c r="C5068" s="380" t="str">
        <f>IFERROR(__xludf.DUMMYFUNCTION("""COMPUTED_VALUE"""),"70000450")</f>
        <v>70000450</v>
      </c>
      <c r="D5068" s="380" t="s">
        <v>767</v>
      </c>
      <c r="E5068" s="380" t="s">
        <v>786</v>
      </c>
      <c r="F5068" s="380" t="s">
        <v>928</v>
      </c>
      <c r="G5068" s="380" t="s">
        <v>1267</v>
      </c>
      <c r="H5068" s="380" t="s">
        <v>771</v>
      </c>
      <c r="I5068" s="380" t="s">
        <v>788</v>
      </c>
      <c r="J5068" s="380" t="s">
        <v>773</v>
      </c>
      <c r="K5068" s="381">
        <v>0.0</v>
      </c>
      <c r="L5068" s="382">
        <v>1.0</v>
      </c>
    </row>
    <row r="5069">
      <c r="A5069" s="380" t="s">
        <v>5943</v>
      </c>
      <c r="B5069" s="380" t="str">
        <f>IFERROR(__xludf.DUMMYFUNCTION("""COMPUTED_VALUE"""),"Arandela Acople Mono 14915 N14 21347")</f>
        <v>Arandela Acople Mono 14915 N14 21347</v>
      </c>
      <c r="C5069" s="380" t="str">
        <f>IFERROR(__xludf.DUMMYFUNCTION("""COMPUTED_VALUE"""),"70000451")</f>
        <v>70000451</v>
      </c>
      <c r="D5069" s="380" t="s">
        <v>767</v>
      </c>
      <c r="E5069" s="380" t="s">
        <v>786</v>
      </c>
      <c r="F5069" s="380" t="s">
        <v>928</v>
      </c>
      <c r="G5069" s="380" t="s">
        <v>1267</v>
      </c>
      <c r="H5069" s="380" t="s">
        <v>771</v>
      </c>
      <c r="I5069" s="380" t="s">
        <v>788</v>
      </c>
      <c r="J5069" s="380" t="s">
        <v>773</v>
      </c>
      <c r="K5069" s="381">
        <v>0.0</v>
      </c>
      <c r="L5069" s="382">
        <v>1.0</v>
      </c>
    </row>
    <row r="5070">
      <c r="A5070" s="380" t="s">
        <v>5944</v>
      </c>
      <c r="B5070" s="380" t="str">
        <f>IFERROR(__xludf.DUMMYFUNCTION("""COMPUTED_VALUE"""),"Pin Arandela Mono 14915 N14 17332")</f>
        <v>Pin Arandela Mono 14915 N14 17332</v>
      </c>
      <c r="C5070" s="380" t="str">
        <f>IFERROR(__xludf.DUMMYFUNCTION("""COMPUTED_VALUE"""),"70000452")</f>
        <v>70000452</v>
      </c>
      <c r="D5070" s="380" t="s">
        <v>767</v>
      </c>
      <c r="E5070" s="380" t="s">
        <v>786</v>
      </c>
      <c r="F5070" s="380" t="s">
        <v>928</v>
      </c>
      <c r="G5070" s="380" t="s">
        <v>1267</v>
      </c>
      <c r="H5070" s="380" t="s">
        <v>771</v>
      </c>
      <c r="I5070" s="380" t="s">
        <v>788</v>
      </c>
      <c r="J5070" s="380" t="s">
        <v>773</v>
      </c>
      <c r="K5070" s="381">
        <v>0.0</v>
      </c>
      <c r="L5070" s="382">
        <v>1.0</v>
      </c>
    </row>
    <row r="5071">
      <c r="A5071" s="380" t="s">
        <v>5945</v>
      </c>
      <c r="B5071" s="380" t="str">
        <f>IFERROR(__xludf.DUMMYFUNCTION("""COMPUTED_VALUE"""),"Tuerca Del Mono 14915 N14 4302321")</f>
        <v>Tuerca Del Mono 14915 N14 4302321</v>
      </c>
      <c r="C5071" s="380" t="str">
        <f>IFERROR(__xludf.DUMMYFUNCTION("""COMPUTED_VALUE"""),"70000453")</f>
        <v>70000453</v>
      </c>
      <c r="D5071" s="380" t="s">
        <v>767</v>
      </c>
      <c r="E5071" s="380" t="s">
        <v>786</v>
      </c>
      <c r="F5071" s="380" t="s">
        <v>928</v>
      </c>
      <c r="G5071" s="380" t="s">
        <v>1267</v>
      </c>
      <c r="H5071" s="380" t="s">
        <v>771</v>
      </c>
      <c r="I5071" s="380" t="s">
        <v>788</v>
      </c>
      <c r="J5071" s="380" t="s">
        <v>773</v>
      </c>
      <c r="K5071" s="381">
        <v>0.0</v>
      </c>
      <c r="L5071" s="382">
        <v>1.0</v>
      </c>
    </row>
    <row r="5072">
      <c r="A5072" s="380" t="s">
        <v>5946</v>
      </c>
      <c r="B5072" s="380" t="str">
        <f>IFERROR(__xludf.DUMMYFUNCTION("""COMPUTED_VALUE"""),"Jgo Patas Freno Nissan Pat B410605W585")</f>
        <v>Jgo Patas Freno Nissan Pat B410605W585</v>
      </c>
      <c r="C5072" s="380" t="str">
        <f>IFERROR(__xludf.DUMMYFUNCTION("""COMPUTED_VALUE"""),"70000454")</f>
        <v>70000454</v>
      </c>
      <c r="D5072" s="380" t="s">
        <v>767</v>
      </c>
      <c r="E5072" s="380" t="s">
        <v>786</v>
      </c>
      <c r="F5072" s="380" t="s">
        <v>1017</v>
      </c>
      <c r="G5072" s="380" t="s">
        <v>1267</v>
      </c>
      <c r="H5072" s="380" t="s">
        <v>771</v>
      </c>
      <c r="I5072" s="380" t="s">
        <v>788</v>
      </c>
      <c r="J5072" s="380" t="s">
        <v>773</v>
      </c>
      <c r="K5072" s="381">
        <v>0.0</v>
      </c>
      <c r="L5072" s="382">
        <v>1.0</v>
      </c>
    </row>
    <row r="5073">
      <c r="A5073" s="380" t="s">
        <v>5947</v>
      </c>
      <c r="B5073" s="380" t="str">
        <f>IFERROR(__xludf.DUMMYFUNCTION("""COMPUTED_VALUE"""),"Balinera Embrague Van N200-24521039")</f>
        <v>Balinera Embrague Van N200-24521039</v>
      </c>
      <c r="C5073" s="380" t="str">
        <f>IFERROR(__xludf.DUMMYFUNCTION("""COMPUTED_VALUE"""),"70000455")</f>
        <v>70000455</v>
      </c>
      <c r="D5073" s="380" t="s">
        <v>767</v>
      </c>
      <c r="E5073" s="380" t="s">
        <v>786</v>
      </c>
      <c r="F5073" s="380" t="s">
        <v>5661</v>
      </c>
      <c r="G5073" s="380" t="s">
        <v>1267</v>
      </c>
      <c r="H5073" s="380" t="s">
        <v>771</v>
      </c>
      <c r="I5073" s="380" t="s">
        <v>788</v>
      </c>
      <c r="J5073" s="380" t="s">
        <v>773</v>
      </c>
      <c r="K5073" s="381">
        <v>0.0</v>
      </c>
      <c r="L5073" s="382">
        <v>1.0</v>
      </c>
    </row>
    <row r="5074">
      <c r="A5074" s="380" t="s">
        <v>5948</v>
      </c>
      <c r="B5074" s="380" t="str">
        <f>IFERROR(__xludf.DUMMYFUNCTION("""COMPUTED_VALUE"""),"Jgo Splinder Nhr 5878310290")</f>
        <v>Jgo Splinder Nhr 5878310290</v>
      </c>
      <c r="C5074" s="380" t="str">
        <f>IFERROR(__xludf.DUMMYFUNCTION("""COMPUTED_VALUE"""),"70000456")</f>
        <v>70000456</v>
      </c>
      <c r="D5074" s="380" t="s">
        <v>767</v>
      </c>
      <c r="E5074" s="380" t="s">
        <v>786</v>
      </c>
      <c r="F5074" s="380" t="s">
        <v>1039</v>
      </c>
      <c r="G5074" s="380" t="s">
        <v>1267</v>
      </c>
      <c r="H5074" s="380" t="s">
        <v>771</v>
      </c>
      <c r="I5074" s="380" t="s">
        <v>788</v>
      </c>
      <c r="J5074" s="380" t="s">
        <v>773</v>
      </c>
      <c r="K5074" s="381">
        <v>0.0</v>
      </c>
      <c r="L5074" s="382">
        <v>1.0</v>
      </c>
    </row>
    <row r="5075">
      <c r="A5075" s="380" t="s">
        <v>5949</v>
      </c>
      <c r="B5075" s="380" t="str">
        <f>IFERROR(__xludf.DUMMYFUNCTION("""COMPUTED_VALUE"""),"Deposito Agua Limpiabrisa Isx 3514727C92")</f>
        <v>Deposito Agua Limpiabrisa Isx 3514727C92</v>
      </c>
      <c r="C5075" s="380" t="str">
        <f>IFERROR(__xludf.DUMMYFUNCTION("""COMPUTED_VALUE"""),"70000457")</f>
        <v>70000457</v>
      </c>
      <c r="D5075" s="380" t="s">
        <v>767</v>
      </c>
      <c r="E5075" s="380" t="s">
        <v>786</v>
      </c>
      <c r="F5075" s="380" t="s">
        <v>792</v>
      </c>
      <c r="G5075" s="380" t="s">
        <v>1267</v>
      </c>
      <c r="H5075" s="380" t="s">
        <v>771</v>
      </c>
      <c r="I5075" s="380" t="s">
        <v>788</v>
      </c>
      <c r="J5075" s="380" t="s">
        <v>773</v>
      </c>
      <c r="K5075" s="381">
        <v>428200.0</v>
      </c>
      <c r="L5075" s="382">
        <v>1.0</v>
      </c>
    </row>
    <row r="5076">
      <c r="A5076" s="380" t="s">
        <v>5950</v>
      </c>
      <c r="B5076" s="380" t="str">
        <f>IFERROR(__xludf.DUMMYFUNCTION("""COMPUTED_VALUE"""),"Tapa Tanque Limpiabrisas Isx 2504149C1")</f>
        <v>Tapa Tanque Limpiabrisas Isx 2504149C1</v>
      </c>
      <c r="C5076" s="380" t="str">
        <f>IFERROR(__xludf.DUMMYFUNCTION("""COMPUTED_VALUE"""),"70000458")</f>
        <v>70000458</v>
      </c>
      <c r="D5076" s="380" t="s">
        <v>767</v>
      </c>
      <c r="E5076" s="380" t="s">
        <v>786</v>
      </c>
      <c r="F5076" s="380" t="s">
        <v>792</v>
      </c>
      <c r="G5076" s="380" t="s">
        <v>1267</v>
      </c>
      <c r="H5076" s="380" t="s">
        <v>771</v>
      </c>
      <c r="I5076" s="380" t="s">
        <v>788</v>
      </c>
      <c r="J5076" s="380" t="s">
        <v>773</v>
      </c>
      <c r="K5076" s="381">
        <v>0.0</v>
      </c>
      <c r="L5076" s="382">
        <v>1.0</v>
      </c>
    </row>
    <row r="5077">
      <c r="A5077" s="380" t="s">
        <v>5951</v>
      </c>
      <c r="B5077" s="380" t="str">
        <f>IFERROR(__xludf.DUMMYFUNCTION("""COMPUTED_VALUE"""),"Soporte Eje Levas Isx 4331386")</f>
        <v>Soporte Eje Levas Isx 4331386</v>
      </c>
      <c r="C5077" s="380" t="str">
        <f>IFERROR(__xludf.DUMMYFUNCTION("""COMPUTED_VALUE"""),"70000459")</f>
        <v>70000459</v>
      </c>
      <c r="D5077" s="380" t="s">
        <v>767</v>
      </c>
      <c r="E5077" s="380" t="s">
        <v>786</v>
      </c>
      <c r="F5077" s="380" t="s">
        <v>787</v>
      </c>
      <c r="G5077" s="380" t="s">
        <v>1267</v>
      </c>
      <c r="H5077" s="380" t="s">
        <v>771</v>
      </c>
      <c r="I5077" s="380" t="s">
        <v>788</v>
      </c>
      <c r="J5077" s="380" t="s">
        <v>773</v>
      </c>
      <c r="K5077" s="381">
        <v>0.0</v>
      </c>
      <c r="L5077" s="382">
        <v>1.0</v>
      </c>
    </row>
    <row r="5078">
      <c r="A5078" s="380" t="s">
        <v>5952</v>
      </c>
      <c r="B5078" s="380" t="str">
        <f>IFERROR(__xludf.DUMMYFUNCTION("""COMPUTED_VALUE"""),"Empaque Cabecevaca Caja Isx KW 4306584")</f>
        <v>Empaque Cabecevaca Caja Isx KW 4306584</v>
      </c>
      <c r="C5078" s="380" t="str">
        <f>IFERROR(__xludf.DUMMYFUNCTION("""COMPUTED_VALUE"""),"70000460")</f>
        <v>70000460</v>
      </c>
      <c r="D5078" s="380" t="s">
        <v>767</v>
      </c>
      <c r="E5078" s="380" t="s">
        <v>786</v>
      </c>
      <c r="F5078" s="380" t="s">
        <v>928</v>
      </c>
      <c r="G5078" s="380" t="s">
        <v>1267</v>
      </c>
      <c r="H5078" s="380" t="s">
        <v>771</v>
      </c>
      <c r="I5078" s="380" t="s">
        <v>788</v>
      </c>
      <c r="J5078" s="380" t="s">
        <v>773</v>
      </c>
      <c r="K5078" s="381">
        <v>0.0</v>
      </c>
      <c r="L5078" s="382">
        <v>1.0</v>
      </c>
    </row>
    <row r="5079">
      <c r="A5079" s="380" t="s">
        <v>5953</v>
      </c>
      <c r="B5079" s="380" t="str">
        <f>IFERROR(__xludf.DUMMYFUNCTION("""COMPUTED_VALUE"""),"Juego Splinder Npr 5878309782")</f>
        <v>Juego Splinder Npr 5878309782</v>
      </c>
      <c r="C5079" s="380" t="str">
        <f>IFERROR(__xludf.DUMMYFUNCTION("""COMPUTED_VALUE"""),"70000461")</f>
        <v>70000461</v>
      </c>
      <c r="D5079" s="380" t="s">
        <v>767</v>
      </c>
      <c r="E5079" s="380" t="s">
        <v>786</v>
      </c>
      <c r="F5079" s="380" t="s">
        <v>1039</v>
      </c>
      <c r="G5079" s="380" t="s">
        <v>1267</v>
      </c>
      <c r="H5079" s="380" t="s">
        <v>771</v>
      </c>
      <c r="I5079" s="380" t="s">
        <v>788</v>
      </c>
      <c r="J5079" s="380" t="s">
        <v>773</v>
      </c>
      <c r="K5079" s="381">
        <v>0.0</v>
      </c>
      <c r="L5079" s="382">
        <v>1.0</v>
      </c>
    </row>
    <row r="5080">
      <c r="A5080" s="380" t="s">
        <v>5954</v>
      </c>
      <c r="B5080" s="380" t="str">
        <f>IFERROR(__xludf.DUMMYFUNCTION("""COMPUTED_VALUE"""),"Brazo Bastidor Susp Hendrick 252090R")</f>
        <v>Brazo Bastidor Susp Hendrick 252090R</v>
      </c>
      <c r="C5080" s="380" t="str">
        <f>IFERROR(__xludf.DUMMYFUNCTION("""COMPUTED_VALUE"""),"70000462")</f>
        <v>70000462</v>
      </c>
      <c r="D5080" s="380" t="s">
        <v>767</v>
      </c>
      <c r="E5080" s="380" t="s">
        <v>786</v>
      </c>
      <c r="F5080" s="380" t="s">
        <v>1039</v>
      </c>
      <c r="G5080" s="380" t="s">
        <v>1267</v>
      </c>
      <c r="H5080" s="380" t="s">
        <v>771</v>
      </c>
      <c r="I5080" s="380" t="s">
        <v>788</v>
      </c>
      <c r="J5080" s="380" t="s">
        <v>773</v>
      </c>
      <c r="K5080" s="381">
        <v>0.0</v>
      </c>
      <c r="L5080" s="382">
        <v>1.0</v>
      </c>
    </row>
    <row r="5081">
      <c r="A5081" s="380" t="s">
        <v>5955</v>
      </c>
      <c r="B5081" s="380" t="str">
        <f>IFERROR(__xludf.DUMMYFUNCTION("""COMPUTED_VALUE"""),"Retrovisor Der Desem Eag 2503924C91")</f>
        <v>Retrovisor Der Desem Eag 2503924C91</v>
      </c>
      <c r="C5081" s="380" t="str">
        <f>IFERROR(__xludf.DUMMYFUNCTION("""COMPUTED_VALUE"""),"70000463")</f>
        <v>70000463</v>
      </c>
      <c r="D5081" s="380" t="s">
        <v>767</v>
      </c>
      <c r="E5081" s="380" t="s">
        <v>786</v>
      </c>
      <c r="F5081" s="380" t="s">
        <v>792</v>
      </c>
      <c r="G5081" s="380" t="s">
        <v>1267</v>
      </c>
      <c r="H5081" s="380" t="s">
        <v>771</v>
      </c>
      <c r="I5081" s="380" t="s">
        <v>788</v>
      </c>
      <c r="J5081" s="380" t="s">
        <v>773</v>
      </c>
      <c r="K5081" s="381">
        <v>1143545.0</v>
      </c>
      <c r="L5081" s="382">
        <v>1.0</v>
      </c>
    </row>
    <row r="5082">
      <c r="A5082" s="380" t="s">
        <v>5956</v>
      </c>
      <c r="B5082" s="380" t="str">
        <f>IFERROR(__xludf.DUMMYFUNCTION("""COMPUTED_VALUE"""),"Campana Rueda Del Eagle Isx FCG100133B")</f>
        <v>Campana Rueda Del Eagle Isx FCG100133B</v>
      </c>
      <c r="C5082" s="380" t="str">
        <f>IFERROR(__xludf.DUMMYFUNCTION("""COMPUTED_VALUE"""),"70000464")</f>
        <v>70000464</v>
      </c>
      <c r="D5082" s="380" t="s">
        <v>767</v>
      </c>
      <c r="E5082" s="380" t="s">
        <v>786</v>
      </c>
      <c r="F5082" s="380" t="s">
        <v>1017</v>
      </c>
      <c r="G5082" s="380" t="s">
        <v>1267</v>
      </c>
      <c r="H5082" s="380" t="s">
        <v>771</v>
      </c>
      <c r="I5082" s="380" t="s">
        <v>788</v>
      </c>
      <c r="J5082" s="380" t="s">
        <v>773</v>
      </c>
      <c r="K5082" s="381">
        <v>0.0</v>
      </c>
      <c r="L5082" s="382">
        <v>1.0</v>
      </c>
    </row>
    <row r="5083">
      <c r="A5083" s="380" t="s">
        <v>5957</v>
      </c>
      <c r="B5083" s="380" t="str">
        <f>IFERROR(__xludf.DUMMYFUNCTION("""COMPUTED_VALUE"""),"Vidrio Puerta Trasera Van-N200")</f>
        <v>Vidrio Puerta Trasera Van-N200</v>
      </c>
      <c r="C5083" s="380" t="str">
        <f>IFERROR(__xludf.DUMMYFUNCTION("""COMPUTED_VALUE"""),"70000465")</f>
        <v>70000465</v>
      </c>
      <c r="D5083" s="380" t="s">
        <v>767</v>
      </c>
      <c r="E5083" s="380" t="s">
        <v>786</v>
      </c>
      <c r="F5083" s="380" t="s">
        <v>792</v>
      </c>
      <c r="G5083" s="380" t="s">
        <v>1267</v>
      </c>
      <c r="H5083" s="380" t="s">
        <v>771</v>
      </c>
      <c r="I5083" s="380" t="s">
        <v>788</v>
      </c>
      <c r="J5083" s="380" t="s">
        <v>773</v>
      </c>
      <c r="K5083" s="381">
        <v>0.0</v>
      </c>
      <c r="L5083" s="382">
        <v>1.0</v>
      </c>
    </row>
    <row r="5084">
      <c r="A5084" s="380" t="s">
        <v>5958</v>
      </c>
      <c r="B5084" s="380" t="str">
        <f>IFERROR(__xludf.DUMMYFUNCTION("""COMPUTED_VALUE"""),"Arandela Ajuste Caja Hino 3334237010")</f>
        <v>Arandela Ajuste Caja Hino 3334237010</v>
      </c>
      <c r="C5084" s="380" t="str">
        <f>IFERROR(__xludf.DUMMYFUNCTION("""COMPUTED_VALUE"""),"70000466")</f>
        <v>70000466</v>
      </c>
      <c r="D5084" s="380" t="s">
        <v>767</v>
      </c>
      <c r="E5084" s="380" t="s">
        <v>786</v>
      </c>
      <c r="F5084" s="380" t="s">
        <v>928</v>
      </c>
      <c r="G5084" s="380" t="s">
        <v>1267</v>
      </c>
      <c r="H5084" s="380" t="s">
        <v>771</v>
      </c>
      <c r="I5084" s="380" t="s">
        <v>788</v>
      </c>
      <c r="J5084" s="380" t="s">
        <v>773</v>
      </c>
      <c r="K5084" s="381">
        <v>0.0</v>
      </c>
      <c r="L5084" s="382">
        <v>1.0</v>
      </c>
    </row>
    <row r="5085">
      <c r="A5085" s="380" t="s">
        <v>5959</v>
      </c>
      <c r="B5085" s="380" t="str">
        <f>IFERROR(__xludf.DUMMYFUNCTION("""COMPUTED_VALUE"""),"Lampara Direccional Dere Hino 8161125031")</f>
        <v>Lampara Direccional Dere Hino 8161125031</v>
      </c>
      <c r="C5085" s="380" t="str">
        <f>IFERROR(__xludf.DUMMYFUNCTION("""COMPUTED_VALUE"""),"70000467")</f>
        <v>70000467</v>
      </c>
      <c r="D5085" s="380" t="s">
        <v>767</v>
      </c>
      <c r="E5085" s="380" t="s">
        <v>786</v>
      </c>
      <c r="F5085" s="380" t="s">
        <v>998</v>
      </c>
      <c r="G5085" s="380" t="s">
        <v>1267</v>
      </c>
      <c r="H5085" s="380" t="s">
        <v>771</v>
      </c>
      <c r="I5085" s="380" t="s">
        <v>788</v>
      </c>
      <c r="J5085" s="380" t="s">
        <v>773</v>
      </c>
      <c r="K5085" s="381">
        <v>0.0</v>
      </c>
      <c r="L5085" s="382">
        <v>1.0</v>
      </c>
    </row>
    <row r="5086">
      <c r="A5086" s="380" t="s">
        <v>5960</v>
      </c>
      <c r="B5086" s="380" t="str">
        <f>IFERROR(__xludf.DUMMYFUNCTION("""COMPUTED_VALUE"""),"Bomper Delantero Hino 5211137300")</f>
        <v>Bomper Delantero Hino 5211137300</v>
      </c>
      <c r="C5086" s="380" t="str">
        <f>IFERROR(__xludf.DUMMYFUNCTION("""COMPUTED_VALUE"""),"70000468")</f>
        <v>70000468</v>
      </c>
      <c r="D5086" s="380" t="s">
        <v>767</v>
      </c>
      <c r="E5086" s="380" t="s">
        <v>786</v>
      </c>
      <c r="F5086" s="380" t="s">
        <v>792</v>
      </c>
      <c r="G5086" s="380" t="s">
        <v>1267</v>
      </c>
      <c r="H5086" s="380" t="s">
        <v>771</v>
      </c>
      <c r="I5086" s="380" t="s">
        <v>788</v>
      </c>
      <c r="J5086" s="380" t="s">
        <v>773</v>
      </c>
      <c r="K5086" s="381">
        <v>0.0</v>
      </c>
      <c r="L5086" s="382">
        <v>1.0</v>
      </c>
    </row>
    <row r="5087">
      <c r="A5087" s="380" t="s">
        <v>5961</v>
      </c>
      <c r="B5087" s="380" t="str">
        <f>IFERROR(__xludf.DUMMYFUNCTION("""COMPUTED_VALUE"""),"Puerta Lado Der Hino 6700137291")</f>
        <v>Puerta Lado Der Hino 6700137291</v>
      </c>
      <c r="C5087" s="380" t="str">
        <f>IFERROR(__xludf.DUMMYFUNCTION("""COMPUTED_VALUE"""),"70000469")</f>
        <v>70000469</v>
      </c>
      <c r="D5087" s="380" t="s">
        <v>767</v>
      </c>
      <c r="E5087" s="380" t="s">
        <v>786</v>
      </c>
      <c r="F5087" s="380" t="s">
        <v>792</v>
      </c>
      <c r="G5087" s="380" t="s">
        <v>1267</v>
      </c>
      <c r="H5087" s="380" t="s">
        <v>771</v>
      </c>
      <c r="I5087" s="380" t="s">
        <v>788</v>
      </c>
      <c r="J5087" s="380" t="s">
        <v>773</v>
      </c>
      <c r="K5087" s="381">
        <v>0.0</v>
      </c>
      <c r="L5087" s="382">
        <v>1.0</v>
      </c>
    </row>
    <row r="5088">
      <c r="A5088" s="380" t="s">
        <v>5962</v>
      </c>
      <c r="B5088" s="380" t="str">
        <f>IFERROR(__xludf.DUMMYFUNCTION("""COMPUTED_VALUE"""),"Juego Cables Alta SC 95616972")</f>
        <v>Juego Cables Alta SC 95616972</v>
      </c>
      <c r="C5088" s="380" t="str">
        <f>IFERROR(__xludf.DUMMYFUNCTION("""COMPUTED_VALUE"""),"70000470")</f>
        <v>70000470</v>
      </c>
      <c r="D5088" s="380" t="s">
        <v>767</v>
      </c>
      <c r="E5088" s="380" t="s">
        <v>786</v>
      </c>
      <c r="F5088" s="380" t="s">
        <v>998</v>
      </c>
      <c r="G5088" s="380" t="s">
        <v>1267</v>
      </c>
      <c r="H5088" s="380" t="s">
        <v>771</v>
      </c>
      <c r="I5088" s="380" t="s">
        <v>788</v>
      </c>
      <c r="J5088" s="380" t="s">
        <v>773</v>
      </c>
      <c r="K5088" s="381">
        <v>0.0</v>
      </c>
      <c r="L5088" s="382">
        <v>1.0</v>
      </c>
    </row>
    <row r="5089">
      <c r="A5089" s="380" t="s">
        <v>5963</v>
      </c>
      <c r="B5089" s="380" t="str">
        <f>IFERROR(__xludf.DUMMYFUNCTION("""COMPUTED_VALUE"""),"Cubierta Bomper Trasero N200 5496099")</f>
        <v>Cubierta Bomper Trasero N200 5496099</v>
      </c>
      <c r="C5089" s="380" t="str">
        <f>IFERROR(__xludf.DUMMYFUNCTION("""COMPUTED_VALUE"""),"70000471")</f>
        <v>70000471</v>
      </c>
      <c r="D5089" s="380" t="s">
        <v>767</v>
      </c>
      <c r="E5089" s="380" t="s">
        <v>786</v>
      </c>
      <c r="F5089" s="380" t="s">
        <v>792</v>
      </c>
      <c r="G5089" s="380" t="s">
        <v>1267</v>
      </c>
      <c r="H5089" s="380" t="s">
        <v>771</v>
      </c>
      <c r="I5089" s="380" t="s">
        <v>788</v>
      </c>
      <c r="J5089" s="380" t="s">
        <v>773</v>
      </c>
      <c r="K5089" s="381">
        <v>0.0</v>
      </c>
      <c r="L5089" s="382">
        <v>1.0</v>
      </c>
    </row>
    <row r="5090">
      <c r="A5090" s="380" t="s">
        <v>5964</v>
      </c>
      <c r="B5090" s="380" t="str">
        <f>IFERROR(__xludf.DUMMYFUNCTION("""COMPUTED_VALUE"""),"Empaque Compuerta Trasera N200 5496470")</f>
        <v>Empaque Compuerta Trasera N200 5496470</v>
      </c>
      <c r="C5090" s="380" t="str">
        <f>IFERROR(__xludf.DUMMYFUNCTION("""COMPUTED_VALUE"""),"70000472")</f>
        <v>70000472</v>
      </c>
      <c r="D5090" s="380" t="s">
        <v>767</v>
      </c>
      <c r="E5090" s="380" t="s">
        <v>786</v>
      </c>
      <c r="F5090" s="380" t="s">
        <v>792</v>
      </c>
      <c r="G5090" s="380" t="s">
        <v>1267</v>
      </c>
      <c r="H5090" s="380" t="s">
        <v>771</v>
      </c>
      <c r="I5090" s="380" t="s">
        <v>788</v>
      </c>
      <c r="J5090" s="380" t="s">
        <v>773</v>
      </c>
      <c r="K5090" s="381">
        <v>0.0</v>
      </c>
      <c r="L5090" s="382">
        <v>1.0</v>
      </c>
    </row>
    <row r="5091">
      <c r="A5091" s="380" t="s">
        <v>5965</v>
      </c>
      <c r="B5091" s="380" t="str">
        <f>IFERROR(__xludf.DUMMYFUNCTION("""COMPUTED_VALUE"""),"Termostato Motor N200 24521479")</f>
        <v>Termostato Motor N200 24521479</v>
      </c>
      <c r="C5091" s="380" t="str">
        <f>IFERROR(__xludf.DUMMYFUNCTION("""COMPUTED_VALUE"""),"70000473")</f>
        <v>70000473</v>
      </c>
      <c r="D5091" s="380" t="s">
        <v>767</v>
      </c>
      <c r="E5091" s="380" t="s">
        <v>786</v>
      </c>
      <c r="F5091" s="380" t="s">
        <v>787</v>
      </c>
      <c r="G5091" s="380" t="s">
        <v>1267</v>
      </c>
      <c r="H5091" s="380" t="s">
        <v>771</v>
      </c>
      <c r="I5091" s="380" t="s">
        <v>788</v>
      </c>
      <c r="J5091" s="380" t="s">
        <v>773</v>
      </c>
      <c r="K5091" s="381">
        <v>0.0</v>
      </c>
      <c r="L5091" s="382">
        <v>1.0</v>
      </c>
    </row>
    <row r="5092">
      <c r="A5092" s="380" t="s">
        <v>5966</v>
      </c>
      <c r="B5092" s="380" t="str">
        <f>IFERROR(__xludf.DUMMYFUNCTION("""COMPUTED_VALUE"""),"Trapecio Limpiabrisas Isx 3596296C94")</f>
        <v>Trapecio Limpiabrisas Isx 3596296C94</v>
      </c>
      <c r="C5092" s="380" t="str">
        <f>IFERROR(__xludf.DUMMYFUNCTION("""COMPUTED_VALUE"""),"70000474")</f>
        <v>70000474</v>
      </c>
      <c r="D5092" s="380" t="s">
        <v>767</v>
      </c>
      <c r="E5092" s="380" t="s">
        <v>786</v>
      </c>
      <c r="F5092" s="380" t="s">
        <v>792</v>
      </c>
      <c r="G5092" s="380" t="s">
        <v>1267</v>
      </c>
      <c r="H5092" s="380" t="s">
        <v>771</v>
      </c>
      <c r="I5092" s="380" t="s">
        <v>788</v>
      </c>
      <c r="J5092" s="380" t="s">
        <v>773</v>
      </c>
      <c r="K5092" s="381">
        <v>0.0</v>
      </c>
      <c r="L5092" s="382">
        <v>1.0</v>
      </c>
    </row>
    <row r="5093">
      <c r="A5093" s="380" t="s">
        <v>5967</v>
      </c>
      <c r="B5093" s="380" t="str">
        <f>IFERROR(__xludf.DUMMYFUNCTION("""COMPUTED_VALUE"""),"Jgo Splinder Hi-FAK 5455")</f>
        <v>Jgo Splinder Hi-FAK 5455</v>
      </c>
      <c r="C5093" s="380" t="str">
        <f>IFERROR(__xludf.DUMMYFUNCTION("""COMPUTED_VALUE"""),"70000475")</f>
        <v>70000475</v>
      </c>
      <c r="D5093" s="380" t="s">
        <v>767</v>
      </c>
      <c r="E5093" s="380" t="s">
        <v>786</v>
      </c>
      <c r="F5093" s="380" t="s">
        <v>1039</v>
      </c>
      <c r="G5093" s="380" t="s">
        <v>1267</v>
      </c>
      <c r="H5093" s="380" t="s">
        <v>771</v>
      </c>
      <c r="I5093" s="380" t="s">
        <v>788</v>
      </c>
      <c r="J5093" s="380" t="s">
        <v>773</v>
      </c>
      <c r="K5093" s="381">
        <v>0.0</v>
      </c>
      <c r="L5093" s="382">
        <v>1.0</v>
      </c>
    </row>
    <row r="5094">
      <c r="A5094" s="380" t="s">
        <v>5968</v>
      </c>
      <c r="B5094" s="380" t="str">
        <f>IFERROR(__xludf.DUMMYFUNCTION("""COMPUTED_VALUE"""),"Sensor Velocimetro Isx 3610797C91")</f>
        <v>Sensor Velocimetro Isx 3610797C91</v>
      </c>
      <c r="C5094" s="380" t="str">
        <f>IFERROR(__xludf.DUMMYFUNCTION("""COMPUTED_VALUE"""),"70000476")</f>
        <v>70000476</v>
      </c>
      <c r="D5094" s="380" t="s">
        <v>767</v>
      </c>
      <c r="E5094" s="380" t="s">
        <v>786</v>
      </c>
      <c r="F5094" s="380" t="s">
        <v>998</v>
      </c>
      <c r="G5094" s="380" t="s">
        <v>1267</v>
      </c>
      <c r="H5094" s="380" t="s">
        <v>771</v>
      </c>
      <c r="I5094" s="380" t="s">
        <v>788</v>
      </c>
      <c r="J5094" s="380" t="s">
        <v>773</v>
      </c>
      <c r="K5094" s="381">
        <v>0.0</v>
      </c>
      <c r="L5094" s="382">
        <v>1.0</v>
      </c>
    </row>
    <row r="5095">
      <c r="A5095" s="380" t="s">
        <v>5969</v>
      </c>
      <c r="B5095" s="380" t="str">
        <f>IFERROR(__xludf.DUMMYFUNCTION("""COMPUTED_VALUE"""),"Guardafango Delantero Izq N200 5496672")</f>
        <v>Guardafango Delantero Izq N200 5496672</v>
      </c>
      <c r="C5095" s="380" t="str">
        <f>IFERROR(__xludf.DUMMYFUNCTION("""COMPUTED_VALUE"""),"70000477")</f>
        <v>70000477</v>
      </c>
      <c r="D5095" s="380" t="s">
        <v>767</v>
      </c>
      <c r="E5095" s="380" t="s">
        <v>786</v>
      </c>
      <c r="F5095" s="380" t="s">
        <v>792</v>
      </c>
      <c r="G5095" s="380" t="s">
        <v>1267</v>
      </c>
      <c r="H5095" s="380" t="s">
        <v>771</v>
      </c>
      <c r="I5095" s="380" t="s">
        <v>788</v>
      </c>
      <c r="J5095" s="380" t="s">
        <v>773</v>
      </c>
      <c r="K5095" s="381">
        <v>0.0</v>
      </c>
      <c r="L5095" s="382">
        <v>1.0</v>
      </c>
    </row>
    <row r="5096">
      <c r="A5096" s="380" t="s">
        <v>5970</v>
      </c>
      <c r="B5096" s="380" t="str">
        <f>IFERROR(__xludf.DUMMYFUNCTION("""COMPUTED_VALUE"""),"Termostato Enfriador Aceite Isx 4952631")</f>
        <v>Termostato Enfriador Aceite Isx 4952631</v>
      </c>
      <c r="C5096" s="380" t="str">
        <f>IFERROR(__xludf.DUMMYFUNCTION("""COMPUTED_VALUE"""),"70000478")</f>
        <v>70000478</v>
      </c>
      <c r="D5096" s="380" t="s">
        <v>767</v>
      </c>
      <c r="E5096" s="380" t="s">
        <v>786</v>
      </c>
      <c r="F5096" s="380" t="s">
        <v>787</v>
      </c>
      <c r="G5096" s="380" t="s">
        <v>1267</v>
      </c>
      <c r="H5096" s="380" t="s">
        <v>771</v>
      </c>
      <c r="I5096" s="380" t="s">
        <v>788</v>
      </c>
      <c r="J5096" s="380" t="s">
        <v>773</v>
      </c>
      <c r="K5096" s="381">
        <v>0.0</v>
      </c>
      <c r="L5096" s="382">
        <v>1.0</v>
      </c>
    </row>
    <row r="5097">
      <c r="A5097" s="380" t="s">
        <v>5971</v>
      </c>
      <c r="B5097" s="380" t="str">
        <f>IFERROR(__xludf.DUMMYFUNCTION("""COMPUTED_VALUE"""),"Direccional Del Izq Nkr 2011-8980108900")</f>
        <v>Direccional Del Izq Nkr 2011-8980108900</v>
      </c>
      <c r="C5097" s="380" t="str">
        <f>IFERROR(__xludf.DUMMYFUNCTION("""COMPUTED_VALUE"""),"70000479")</f>
        <v>70000479</v>
      </c>
      <c r="D5097" s="380" t="s">
        <v>767</v>
      </c>
      <c r="E5097" s="380" t="s">
        <v>786</v>
      </c>
      <c r="F5097" s="380" t="s">
        <v>998</v>
      </c>
      <c r="G5097" s="380" t="s">
        <v>1267</v>
      </c>
      <c r="H5097" s="380" t="s">
        <v>771</v>
      </c>
      <c r="I5097" s="380" t="s">
        <v>788</v>
      </c>
      <c r="J5097" s="380" t="s">
        <v>773</v>
      </c>
      <c r="K5097" s="381">
        <v>0.0</v>
      </c>
      <c r="L5097" s="382">
        <v>1.0</v>
      </c>
    </row>
    <row r="5098">
      <c r="A5098" s="380" t="s">
        <v>5972</v>
      </c>
      <c r="B5098" s="380" t="str">
        <f>IFERROR(__xludf.DUMMYFUNCTION("""COMPUTED_VALUE"""),"Amortiguador Izq Pta Tras N200 9023969")</f>
        <v>Amortiguador Izq Pta Tras N200 9023969</v>
      </c>
      <c r="C5098" s="380" t="str">
        <f>IFERROR(__xludf.DUMMYFUNCTION("""COMPUTED_VALUE"""),"70000480")</f>
        <v>70000480</v>
      </c>
      <c r="D5098" s="380" t="s">
        <v>767</v>
      </c>
      <c r="E5098" s="380" t="s">
        <v>786</v>
      </c>
      <c r="F5098" s="380" t="s">
        <v>1039</v>
      </c>
      <c r="G5098" s="380" t="s">
        <v>1267</v>
      </c>
      <c r="H5098" s="380" t="s">
        <v>771</v>
      </c>
      <c r="I5098" s="380" t="s">
        <v>788</v>
      </c>
      <c r="J5098" s="380" t="s">
        <v>773</v>
      </c>
      <c r="K5098" s="381">
        <v>0.0</v>
      </c>
      <c r="L5098" s="382">
        <v>1.0</v>
      </c>
    </row>
    <row r="5099">
      <c r="A5099" s="380" t="s">
        <v>5973</v>
      </c>
      <c r="B5099" s="380" t="str">
        <f>IFERROR(__xludf.DUMMYFUNCTION("""COMPUTED_VALUE"""),"Amortiguador Der PtaTras N200 9023970")</f>
        <v>Amortiguador Der PtaTras N200 9023970</v>
      </c>
      <c r="C5099" s="380" t="str">
        <f>IFERROR(__xludf.DUMMYFUNCTION("""COMPUTED_VALUE"""),"70000481")</f>
        <v>70000481</v>
      </c>
      <c r="D5099" s="380" t="s">
        <v>767</v>
      </c>
      <c r="E5099" s="380" t="s">
        <v>786</v>
      </c>
      <c r="F5099" s="380" t="s">
        <v>1039</v>
      </c>
      <c r="G5099" s="380" t="s">
        <v>1267</v>
      </c>
      <c r="H5099" s="380" t="s">
        <v>771</v>
      </c>
      <c r="I5099" s="380" t="s">
        <v>788</v>
      </c>
      <c r="J5099" s="380" t="s">
        <v>773</v>
      </c>
      <c r="K5099" s="381">
        <v>0.0</v>
      </c>
      <c r="L5099" s="382">
        <v>1.0</v>
      </c>
    </row>
    <row r="5100">
      <c r="A5100" s="380" t="s">
        <v>5974</v>
      </c>
      <c r="B5100" s="380" t="str">
        <f>IFERROR(__xludf.DUMMYFUNCTION("""COMPUTED_VALUE"""),"Interruptor Neutra Caja Nkr 8980230500")</f>
        <v>Interruptor Neutra Caja Nkr 8980230500</v>
      </c>
      <c r="C5100" s="380" t="str">
        <f>IFERROR(__xludf.DUMMYFUNCTION("""COMPUTED_VALUE"""),"70000482")</f>
        <v>70000482</v>
      </c>
      <c r="D5100" s="380" t="s">
        <v>767</v>
      </c>
      <c r="E5100" s="380" t="s">
        <v>786</v>
      </c>
      <c r="F5100" s="380" t="s">
        <v>998</v>
      </c>
      <c r="G5100" s="380" t="s">
        <v>1267</v>
      </c>
      <c r="H5100" s="380" t="s">
        <v>771</v>
      </c>
      <c r="I5100" s="380" t="s">
        <v>788</v>
      </c>
      <c r="J5100" s="380" t="s">
        <v>773</v>
      </c>
      <c r="K5100" s="381">
        <v>93750.0</v>
      </c>
      <c r="L5100" s="382">
        <v>1.0</v>
      </c>
    </row>
    <row r="5101">
      <c r="A5101" s="380" t="s">
        <v>5975</v>
      </c>
      <c r="B5101" s="380" t="str">
        <f>IFERROR(__xludf.DUMMYFUNCTION("""COMPUTED_VALUE"""),"Camara Freno Del T20 Isx 2602424C91")</f>
        <v>Camara Freno Del T20 Isx 2602424C91</v>
      </c>
      <c r="C5101" s="380" t="str">
        <f>IFERROR(__xludf.DUMMYFUNCTION("""COMPUTED_VALUE"""),"70000483")</f>
        <v>70000483</v>
      </c>
      <c r="D5101" s="380" t="s">
        <v>767</v>
      </c>
      <c r="E5101" s="380" t="s">
        <v>786</v>
      </c>
      <c r="F5101" s="380" t="s">
        <v>1017</v>
      </c>
      <c r="G5101" s="380" t="s">
        <v>1267</v>
      </c>
      <c r="H5101" s="380" t="s">
        <v>771</v>
      </c>
      <c r="I5101" s="380" t="s">
        <v>788</v>
      </c>
      <c r="J5101" s="380" t="s">
        <v>773</v>
      </c>
      <c r="K5101" s="381">
        <v>0.0</v>
      </c>
      <c r="L5101" s="382">
        <v>1.0</v>
      </c>
    </row>
    <row r="5102">
      <c r="A5102" s="380" t="s">
        <v>5976</v>
      </c>
      <c r="B5102" s="380" t="str">
        <f>IFERROR(__xludf.DUMMYFUNCTION("""COMPUTED_VALUE"""),"Manija Pta Izq Eagle(Descansab)3518423C1")</f>
        <v>Manija Pta Izq Eagle(Descansab)3518423C1</v>
      </c>
      <c r="C5102" s="380" t="str">
        <f>IFERROR(__xludf.DUMMYFUNCTION("""COMPUTED_VALUE"""),"70000484")</f>
        <v>70000484</v>
      </c>
      <c r="D5102" s="380" t="s">
        <v>767</v>
      </c>
      <c r="E5102" s="380" t="s">
        <v>786</v>
      </c>
      <c r="F5102" s="380" t="s">
        <v>792</v>
      </c>
      <c r="G5102" s="380" t="s">
        <v>1267</v>
      </c>
      <c r="H5102" s="380" t="s">
        <v>771</v>
      </c>
      <c r="I5102" s="380" t="s">
        <v>788</v>
      </c>
      <c r="J5102" s="380" t="s">
        <v>773</v>
      </c>
      <c r="K5102" s="381">
        <v>0.0</v>
      </c>
      <c r="L5102" s="382">
        <v>1.0</v>
      </c>
    </row>
    <row r="5103">
      <c r="A5103" s="380" t="s">
        <v>5977</v>
      </c>
      <c r="B5103" s="380" t="str">
        <f>IFERROR(__xludf.DUMMYFUNCTION("""COMPUTED_VALUE"""),"Disco Embrague Van N200 24520557")</f>
        <v>Disco Embrague Van N200 24520557</v>
      </c>
      <c r="C5103" s="380" t="str">
        <f>IFERROR(__xludf.DUMMYFUNCTION("""COMPUTED_VALUE"""),"70000485")</f>
        <v>70000485</v>
      </c>
      <c r="D5103" s="380" t="s">
        <v>767</v>
      </c>
      <c r="E5103" s="380" t="s">
        <v>786</v>
      </c>
      <c r="F5103" s="380" t="s">
        <v>5661</v>
      </c>
      <c r="G5103" s="380" t="s">
        <v>1267</v>
      </c>
      <c r="H5103" s="380" t="s">
        <v>771</v>
      </c>
      <c r="I5103" s="380" t="s">
        <v>788</v>
      </c>
      <c r="J5103" s="380" t="s">
        <v>773</v>
      </c>
      <c r="K5103" s="381">
        <v>0.0</v>
      </c>
      <c r="L5103" s="382">
        <v>1.0</v>
      </c>
    </row>
    <row r="5104">
      <c r="A5104" s="380" t="s">
        <v>5978</v>
      </c>
      <c r="B5104" s="380" t="str">
        <f>IFERROR(__xludf.DUMMYFUNCTION("""COMPUTED_VALUE"""),"Prensa Embrague Van N200 24540519")</f>
        <v>Prensa Embrague Van N200 24540519</v>
      </c>
      <c r="C5104" s="380" t="str">
        <f>IFERROR(__xludf.DUMMYFUNCTION("""COMPUTED_VALUE"""),"70000486")</f>
        <v>70000486</v>
      </c>
      <c r="D5104" s="380" t="s">
        <v>767</v>
      </c>
      <c r="E5104" s="380" t="s">
        <v>786</v>
      </c>
      <c r="F5104" s="380" t="s">
        <v>5661</v>
      </c>
      <c r="G5104" s="380" t="s">
        <v>1267</v>
      </c>
      <c r="H5104" s="380" t="s">
        <v>771</v>
      </c>
      <c r="I5104" s="380" t="s">
        <v>788</v>
      </c>
      <c r="J5104" s="380" t="s">
        <v>773</v>
      </c>
      <c r="K5104" s="381">
        <v>0.0</v>
      </c>
      <c r="L5104" s="382">
        <v>1.0</v>
      </c>
    </row>
    <row r="5105">
      <c r="A5105" s="380" t="s">
        <v>5979</v>
      </c>
      <c r="B5105" s="380" t="str">
        <f>IFERROR(__xludf.DUMMYFUNCTION("""COMPUTED_VALUE"""),"Lampara Exploradora Izq N200 5496710")</f>
        <v>Lampara Exploradora Izq N200 5496710</v>
      </c>
      <c r="C5105" s="380" t="str">
        <f>IFERROR(__xludf.DUMMYFUNCTION("""COMPUTED_VALUE"""),"70000487")</f>
        <v>70000487</v>
      </c>
      <c r="D5105" s="380" t="s">
        <v>767</v>
      </c>
      <c r="E5105" s="380" t="s">
        <v>786</v>
      </c>
      <c r="F5105" s="380" t="s">
        <v>998</v>
      </c>
      <c r="G5105" s="380" t="s">
        <v>1267</v>
      </c>
      <c r="H5105" s="380" t="s">
        <v>771</v>
      </c>
      <c r="I5105" s="380" t="s">
        <v>788</v>
      </c>
      <c r="J5105" s="380" t="s">
        <v>773</v>
      </c>
      <c r="K5105" s="381">
        <v>114521.0</v>
      </c>
      <c r="L5105" s="382">
        <v>1.0</v>
      </c>
    </row>
    <row r="5106">
      <c r="A5106" s="380" t="s">
        <v>5980</v>
      </c>
      <c r="B5106" s="380" t="str">
        <f>IFERROR(__xludf.DUMMYFUNCTION("""COMPUTED_VALUE"""),"Cubierta Bomper Del N200 5496098")</f>
        <v>Cubierta Bomper Del N200 5496098</v>
      </c>
      <c r="C5106" s="380" t="str">
        <f>IFERROR(__xludf.DUMMYFUNCTION("""COMPUTED_VALUE"""),"70000488")</f>
        <v>70000488</v>
      </c>
      <c r="D5106" s="380" t="s">
        <v>767</v>
      </c>
      <c r="E5106" s="380" t="s">
        <v>786</v>
      </c>
      <c r="F5106" s="380" t="s">
        <v>792</v>
      </c>
      <c r="G5106" s="380" t="s">
        <v>1267</v>
      </c>
      <c r="H5106" s="380" t="s">
        <v>771</v>
      </c>
      <c r="I5106" s="380" t="s">
        <v>788</v>
      </c>
      <c r="J5106" s="380" t="s">
        <v>773</v>
      </c>
      <c r="K5106" s="381">
        <v>0.0</v>
      </c>
      <c r="L5106" s="382">
        <v>1.0</v>
      </c>
    </row>
    <row r="5107">
      <c r="A5107" s="380" t="s">
        <v>5981</v>
      </c>
      <c r="B5107" s="380" t="str">
        <f>IFERROR(__xludf.DUMMYFUNCTION("""COMPUTED_VALUE"""),"Caucho Empaq Enfriador/A Nkr 8970470000")</f>
        <v>Caucho Empaq Enfriador/A Nkr 8970470000</v>
      </c>
      <c r="C5107" s="380" t="str">
        <f>IFERROR(__xludf.DUMMYFUNCTION("""COMPUTED_VALUE"""),"70000489")</f>
        <v>70000489</v>
      </c>
      <c r="D5107" s="380" t="s">
        <v>767</v>
      </c>
      <c r="E5107" s="380" t="s">
        <v>786</v>
      </c>
      <c r="F5107" s="380" t="s">
        <v>787</v>
      </c>
      <c r="G5107" s="380" t="s">
        <v>1267</v>
      </c>
      <c r="H5107" s="380" t="s">
        <v>771</v>
      </c>
      <c r="I5107" s="380" t="s">
        <v>788</v>
      </c>
      <c r="J5107" s="380" t="s">
        <v>773</v>
      </c>
      <c r="K5107" s="381">
        <v>0.0</v>
      </c>
      <c r="L5107" s="382">
        <v>1.0</v>
      </c>
    </row>
    <row r="5108">
      <c r="A5108" s="380" t="s">
        <v>5982</v>
      </c>
      <c r="B5108" s="380" t="str">
        <f>IFERROR(__xludf.DUMMYFUNCTION("""COMPUTED_VALUE"""),"Caucho Enfriador/A Grande Nkr 8943837200")</f>
        <v>Caucho Enfriador/A Grande Nkr 8943837200</v>
      </c>
      <c r="C5108" s="380" t="str">
        <f>IFERROR(__xludf.DUMMYFUNCTION("""COMPUTED_VALUE"""),"70000490")</f>
        <v>70000490</v>
      </c>
      <c r="D5108" s="380" t="s">
        <v>767</v>
      </c>
      <c r="E5108" s="380" t="s">
        <v>786</v>
      </c>
      <c r="F5108" s="380" t="s">
        <v>787</v>
      </c>
      <c r="G5108" s="380" t="s">
        <v>1267</v>
      </c>
      <c r="H5108" s="380" t="s">
        <v>771</v>
      </c>
      <c r="I5108" s="380" t="s">
        <v>788</v>
      </c>
      <c r="J5108" s="380" t="s">
        <v>773</v>
      </c>
      <c r="K5108" s="381">
        <v>0.0</v>
      </c>
      <c r="L5108" s="382">
        <v>1.0</v>
      </c>
    </row>
    <row r="5109">
      <c r="A5109" s="380" t="s">
        <v>5983</v>
      </c>
      <c r="B5109" s="380" t="str">
        <f>IFERROR(__xludf.DUMMYFUNCTION("""COMPUTED_VALUE"""),"Soporte Buje Esferico T/INCA ACF0040249")</f>
        <v>Soporte Buje Esferico T/INCA ACF0040249</v>
      </c>
      <c r="C5109" s="380" t="str">
        <f>IFERROR(__xludf.DUMMYFUNCTION("""COMPUTED_VALUE"""),"70000491")</f>
        <v>70000491</v>
      </c>
      <c r="D5109" s="380" t="s">
        <v>767</v>
      </c>
      <c r="E5109" s="380" t="s">
        <v>786</v>
      </c>
      <c r="F5109" s="380" t="s">
        <v>1039</v>
      </c>
      <c r="G5109" s="380" t="s">
        <v>1267</v>
      </c>
      <c r="H5109" s="380" t="s">
        <v>771</v>
      </c>
      <c r="I5109" s="380" t="s">
        <v>788</v>
      </c>
      <c r="J5109" s="380" t="s">
        <v>773</v>
      </c>
      <c r="K5109" s="381">
        <v>81978.0</v>
      </c>
      <c r="L5109" s="382">
        <v>1.0</v>
      </c>
    </row>
    <row r="5110">
      <c r="A5110" s="380" t="s">
        <v>5984</v>
      </c>
      <c r="B5110" s="380" t="str">
        <f>IFERROR(__xludf.DUMMYFUNCTION("""COMPUTED_VALUE"""),"Kit Chupas Freno Del Npr 5878307141")</f>
        <v>Kit Chupas Freno Del Npr 5878307141</v>
      </c>
      <c r="C5110" s="380" t="str">
        <f>IFERROR(__xludf.DUMMYFUNCTION("""COMPUTED_VALUE"""),"70000492")</f>
        <v>70000492</v>
      </c>
      <c r="D5110" s="380" t="s">
        <v>767</v>
      </c>
      <c r="E5110" s="380" t="s">
        <v>786</v>
      </c>
      <c r="F5110" s="380" t="s">
        <v>1017</v>
      </c>
      <c r="G5110" s="380" t="s">
        <v>1267</v>
      </c>
      <c r="H5110" s="380" t="s">
        <v>771</v>
      </c>
      <c r="I5110" s="380" t="s">
        <v>788</v>
      </c>
      <c r="J5110" s="380" t="s">
        <v>773</v>
      </c>
      <c r="K5110" s="381">
        <v>0.0</v>
      </c>
      <c r="L5110" s="382">
        <v>1.0</v>
      </c>
    </row>
    <row r="5111">
      <c r="A5111" s="380" t="s">
        <v>5985</v>
      </c>
      <c r="B5111" s="380" t="str">
        <f>IFERROR(__xludf.DUMMYFUNCTION("""COMPUTED_VALUE"""),"Guaya Acelerador N200 24519715")</f>
        <v>Guaya Acelerador N200 24519715</v>
      </c>
      <c r="C5111" s="380" t="str">
        <f>IFERROR(__xludf.DUMMYFUNCTION("""COMPUTED_VALUE"""),"70000493")</f>
        <v>70000493</v>
      </c>
      <c r="D5111" s="380" t="s">
        <v>767</v>
      </c>
      <c r="E5111" s="380" t="s">
        <v>786</v>
      </c>
      <c r="F5111" s="380" t="s">
        <v>787</v>
      </c>
      <c r="G5111" s="380" t="s">
        <v>1267</v>
      </c>
      <c r="H5111" s="380" t="s">
        <v>771</v>
      </c>
      <c r="I5111" s="380" t="s">
        <v>788</v>
      </c>
      <c r="J5111" s="380" t="s">
        <v>773</v>
      </c>
      <c r="K5111" s="381">
        <v>0.0</v>
      </c>
      <c r="L5111" s="382">
        <v>1.0</v>
      </c>
    </row>
    <row r="5112">
      <c r="A5112" s="380" t="s">
        <v>5986</v>
      </c>
      <c r="B5112" s="380" t="str">
        <f>IFERROR(__xludf.DUMMYFUNCTION("""COMPUTED_VALUE"""),"Forro Cabrilla")</f>
        <v>Forro Cabrilla</v>
      </c>
      <c r="C5112" s="380" t="str">
        <f>IFERROR(__xludf.DUMMYFUNCTION("""COMPUTED_VALUE"""),"70000494")</f>
        <v>70000494</v>
      </c>
      <c r="D5112" s="380" t="s">
        <v>767</v>
      </c>
      <c r="E5112" s="380" t="s">
        <v>786</v>
      </c>
      <c r="F5112" s="380" t="s">
        <v>792</v>
      </c>
      <c r="G5112" s="380" t="s">
        <v>1267</v>
      </c>
      <c r="H5112" s="380" t="s">
        <v>771</v>
      </c>
      <c r="I5112" s="380" t="s">
        <v>788</v>
      </c>
      <c r="J5112" s="380" t="s">
        <v>773</v>
      </c>
      <c r="K5112" s="381">
        <v>0.0</v>
      </c>
      <c r="L5112" s="382">
        <v>1.0</v>
      </c>
    </row>
    <row r="5113">
      <c r="A5113" s="380" t="s">
        <v>5987</v>
      </c>
      <c r="B5113" s="380" t="str">
        <f>IFERROR(__xludf.DUMMYFUNCTION("""COMPUTED_VALUE"""),"Guardapolvo Tras Logo Inter 3557863C1")</f>
        <v>Guardapolvo Tras Logo Inter 3557863C1</v>
      </c>
      <c r="C5113" s="380" t="str">
        <f>IFERROR(__xludf.DUMMYFUNCTION("""COMPUTED_VALUE"""),"70000495")</f>
        <v>70000495</v>
      </c>
      <c r="D5113" s="380" t="s">
        <v>767</v>
      </c>
      <c r="E5113" s="380" t="s">
        <v>786</v>
      </c>
      <c r="F5113" s="380" t="s">
        <v>792</v>
      </c>
      <c r="G5113" s="380" t="s">
        <v>1267</v>
      </c>
      <c r="H5113" s="380" t="s">
        <v>771</v>
      </c>
      <c r="I5113" s="380" t="s">
        <v>788</v>
      </c>
      <c r="J5113" s="380" t="s">
        <v>773</v>
      </c>
      <c r="K5113" s="381">
        <v>110370.0</v>
      </c>
      <c r="L5113" s="382">
        <v>1.0</v>
      </c>
    </row>
    <row r="5114">
      <c r="A5114" s="380" t="s">
        <v>5988</v>
      </c>
      <c r="B5114" s="380" t="str">
        <f>IFERROR(__xludf.DUMMYFUNCTION("""COMPUTED_VALUE"""),"Soporte Tubo Escape N200 Nuevo")</f>
        <v>Soporte Tubo Escape N200 Nuevo</v>
      </c>
      <c r="C5114" s="380" t="str">
        <f>IFERROR(__xludf.DUMMYFUNCTION("""COMPUTED_VALUE"""),"70000496")</f>
        <v>70000496</v>
      </c>
      <c r="D5114" s="380" t="s">
        <v>767</v>
      </c>
      <c r="E5114" s="380" t="s">
        <v>786</v>
      </c>
      <c r="F5114" s="380" t="s">
        <v>792</v>
      </c>
      <c r="G5114" s="380" t="s">
        <v>1267</v>
      </c>
      <c r="H5114" s="380" t="s">
        <v>771</v>
      </c>
      <c r="I5114" s="380" t="s">
        <v>788</v>
      </c>
      <c r="J5114" s="380" t="s">
        <v>773</v>
      </c>
      <c r="K5114" s="381">
        <v>0.0</v>
      </c>
      <c r="L5114" s="382">
        <v>1.0</v>
      </c>
    </row>
    <row r="5115">
      <c r="A5115" s="380" t="s">
        <v>5989</v>
      </c>
      <c r="B5115" s="380" t="str">
        <f>IFERROR(__xludf.DUMMYFUNCTION("""COMPUTED_VALUE"""),"Juego Sellos Bomba Inyeccion 3803477 SB")</f>
        <v>Juego Sellos Bomba Inyeccion 3803477 SB</v>
      </c>
      <c r="C5115" s="380" t="str">
        <f>IFERROR(__xludf.DUMMYFUNCTION("""COMPUTED_VALUE"""),"70000497")</f>
        <v>70000497</v>
      </c>
      <c r="D5115" s="380" t="s">
        <v>767</v>
      </c>
      <c r="E5115" s="380" t="s">
        <v>786</v>
      </c>
      <c r="F5115" s="380" t="s">
        <v>787</v>
      </c>
      <c r="G5115" s="380" t="s">
        <v>1267</v>
      </c>
      <c r="H5115" s="380" t="s">
        <v>771</v>
      </c>
      <c r="I5115" s="380" t="s">
        <v>788</v>
      </c>
      <c r="J5115" s="380" t="s">
        <v>773</v>
      </c>
      <c r="K5115" s="381">
        <v>0.0</v>
      </c>
      <c r="L5115" s="382">
        <v>1.0</v>
      </c>
    </row>
    <row r="5116">
      <c r="A5116" s="380" t="s">
        <v>5990</v>
      </c>
      <c r="B5116" s="380" t="str">
        <f>IFERROR(__xludf.DUMMYFUNCTION("""COMPUTED_VALUE"""),"Bisagra Tapa Motor Derecha N200 5496903")</f>
        <v>Bisagra Tapa Motor Derecha N200 5496903</v>
      </c>
      <c r="C5116" s="380" t="str">
        <f>IFERROR(__xludf.DUMMYFUNCTION("""COMPUTED_VALUE"""),"70000498")</f>
        <v>70000498</v>
      </c>
      <c r="D5116" s="380" t="s">
        <v>767</v>
      </c>
      <c r="E5116" s="380" t="s">
        <v>786</v>
      </c>
      <c r="F5116" s="380" t="s">
        <v>792</v>
      </c>
      <c r="G5116" s="380" t="s">
        <v>1267</v>
      </c>
      <c r="H5116" s="380" t="s">
        <v>771</v>
      </c>
      <c r="I5116" s="380" t="s">
        <v>788</v>
      </c>
      <c r="J5116" s="380" t="s">
        <v>773</v>
      </c>
      <c r="K5116" s="381">
        <v>107100.0</v>
      </c>
      <c r="L5116" s="382">
        <v>1.0</v>
      </c>
    </row>
    <row r="5117">
      <c r="A5117" s="380" t="s">
        <v>5991</v>
      </c>
      <c r="B5117" s="380" t="str">
        <f>IFERROR(__xludf.DUMMYFUNCTION("""COMPUTED_VALUE"""),"Travesaño Trasero Inferior N200 19246330")</f>
        <v>Travesaño Trasero Inferior N200 19246330</v>
      </c>
      <c r="C5117" s="380" t="str">
        <f>IFERROR(__xludf.DUMMYFUNCTION("""COMPUTED_VALUE"""),"70000499")</f>
        <v>70000499</v>
      </c>
      <c r="D5117" s="380" t="s">
        <v>767</v>
      </c>
      <c r="E5117" s="380" t="s">
        <v>786</v>
      </c>
      <c r="F5117" s="380" t="s">
        <v>792</v>
      </c>
      <c r="G5117" s="380" t="s">
        <v>1267</v>
      </c>
      <c r="H5117" s="380" t="s">
        <v>771</v>
      </c>
      <c r="I5117" s="380" t="s">
        <v>788</v>
      </c>
      <c r="J5117" s="380" t="s">
        <v>773</v>
      </c>
      <c r="K5117" s="381">
        <v>0.0</v>
      </c>
      <c r="L5117" s="382">
        <v>1.0</v>
      </c>
    </row>
    <row r="5118">
      <c r="A5118" s="380" t="s">
        <v>5992</v>
      </c>
      <c r="B5118" s="380" t="str">
        <f>IFERROR(__xludf.DUMMYFUNCTION("""COMPUTED_VALUE"""),"Compuerta Trasera N200 19246332")</f>
        <v>Compuerta Trasera N200 19246332</v>
      </c>
      <c r="C5118" s="380" t="str">
        <f>IFERROR(__xludf.DUMMYFUNCTION("""COMPUTED_VALUE"""),"70000500")</f>
        <v>70000500</v>
      </c>
      <c r="D5118" s="380" t="s">
        <v>767</v>
      </c>
      <c r="E5118" s="380" t="s">
        <v>786</v>
      </c>
      <c r="F5118" s="380" t="s">
        <v>792</v>
      </c>
      <c r="G5118" s="380" t="s">
        <v>1267</v>
      </c>
      <c r="H5118" s="380" t="s">
        <v>771</v>
      </c>
      <c r="I5118" s="380" t="s">
        <v>788</v>
      </c>
      <c r="J5118" s="380" t="s">
        <v>773</v>
      </c>
      <c r="K5118" s="381">
        <v>0.0</v>
      </c>
      <c r="L5118" s="382">
        <v>1.0</v>
      </c>
    </row>
    <row r="5119">
      <c r="A5119" s="380" t="s">
        <v>5993</v>
      </c>
      <c r="B5119" s="380" t="str">
        <f>IFERROR(__xludf.DUMMYFUNCTION("""COMPUTED_VALUE"""),"Persiana Radiador N200 24521798")</f>
        <v>Persiana Radiador N200 24521798</v>
      </c>
      <c r="C5119" s="380" t="str">
        <f>IFERROR(__xludf.DUMMYFUNCTION("""COMPUTED_VALUE"""),"70000501")</f>
        <v>70000501</v>
      </c>
      <c r="D5119" s="380" t="s">
        <v>767</v>
      </c>
      <c r="E5119" s="380" t="s">
        <v>786</v>
      </c>
      <c r="F5119" s="380" t="s">
        <v>792</v>
      </c>
      <c r="G5119" s="380" t="s">
        <v>1267</v>
      </c>
      <c r="H5119" s="380" t="s">
        <v>771</v>
      </c>
      <c r="I5119" s="380" t="s">
        <v>788</v>
      </c>
      <c r="J5119" s="380" t="s">
        <v>773</v>
      </c>
      <c r="K5119" s="381">
        <v>0.0</v>
      </c>
      <c r="L5119" s="382">
        <v>1.0</v>
      </c>
    </row>
    <row r="5120">
      <c r="A5120" s="380" t="s">
        <v>5994</v>
      </c>
      <c r="B5120" s="380" t="str">
        <f>IFERROR(__xludf.DUMMYFUNCTION("""COMPUTED_VALUE"""),"Lampara Delantera Izq N200 24552609")</f>
        <v>Lampara Delantera Izq N200 24552609</v>
      </c>
      <c r="C5120" s="380" t="str">
        <f>IFERROR(__xludf.DUMMYFUNCTION("""COMPUTED_VALUE"""),"70000502")</f>
        <v>70000502</v>
      </c>
      <c r="D5120" s="380" t="s">
        <v>767</v>
      </c>
      <c r="E5120" s="380" t="s">
        <v>786</v>
      </c>
      <c r="F5120" s="380" t="s">
        <v>998</v>
      </c>
      <c r="G5120" s="380" t="s">
        <v>1267</v>
      </c>
      <c r="H5120" s="380" t="s">
        <v>771</v>
      </c>
      <c r="I5120" s="380" t="s">
        <v>788</v>
      </c>
      <c r="J5120" s="380" t="s">
        <v>773</v>
      </c>
      <c r="K5120" s="381">
        <v>0.0</v>
      </c>
      <c r="L5120" s="382">
        <v>1.0</v>
      </c>
    </row>
    <row r="5121">
      <c r="A5121" s="380" t="s">
        <v>5995</v>
      </c>
      <c r="B5121" s="380" t="str">
        <f>IFERROR(__xludf.DUMMYFUNCTION("""COMPUTED_VALUE"""),"Mang Retorno Bomba Dir HCO Npr 970969491")</f>
        <v>Mang Retorno Bomba Dir HCO Npr 970969491</v>
      </c>
      <c r="C5121" s="380" t="str">
        <f>IFERROR(__xludf.DUMMYFUNCTION("""COMPUTED_VALUE"""),"70000503")</f>
        <v>70000503</v>
      </c>
      <c r="D5121" s="380" t="s">
        <v>767</v>
      </c>
      <c r="E5121" s="380" t="s">
        <v>786</v>
      </c>
      <c r="F5121" s="380" t="s">
        <v>787</v>
      </c>
      <c r="G5121" s="380" t="s">
        <v>1267</v>
      </c>
      <c r="H5121" s="380" t="s">
        <v>771</v>
      </c>
      <c r="I5121" s="380" t="s">
        <v>788</v>
      </c>
      <c r="J5121" s="380" t="s">
        <v>773</v>
      </c>
      <c r="K5121" s="381">
        <v>0.0</v>
      </c>
      <c r="L5121" s="382">
        <v>1.0</v>
      </c>
    </row>
    <row r="5122">
      <c r="A5122" s="380" t="s">
        <v>5996</v>
      </c>
      <c r="B5122" s="380" t="str">
        <f>IFERROR(__xludf.DUMMYFUNCTION("""COMPUTED_VALUE"""),"Tapon Carter Hino SZ34118014")</f>
        <v>Tapon Carter Hino SZ34118014</v>
      </c>
      <c r="C5122" s="380" t="str">
        <f>IFERROR(__xludf.DUMMYFUNCTION("""COMPUTED_VALUE"""),"70000504")</f>
        <v>70000504</v>
      </c>
      <c r="D5122" s="380" t="s">
        <v>767</v>
      </c>
      <c r="E5122" s="380" t="s">
        <v>786</v>
      </c>
      <c r="F5122" s="380" t="s">
        <v>787</v>
      </c>
      <c r="G5122" s="380" t="s">
        <v>1267</v>
      </c>
      <c r="H5122" s="380" t="s">
        <v>771</v>
      </c>
      <c r="I5122" s="380" t="s">
        <v>788</v>
      </c>
      <c r="J5122" s="380" t="s">
        <v>773</v>
      </c>
      <c r="K5122" s="381">
        <v>0.0</v>
      </c>
      <c r="L5122" s="382">
        <v>1.0</v>
      </c>
    </row>
    <row r="5123">
      <c r="A5123" s="380" t="s">
        <v>5997</v>
      </c>
      <c r="B5123" s="380" t="str">
        <f>IFERROR(__xludf.DUMMYFUNCTION("""COMPUTED_VALUE"""),"Buje Caucho Palanca Camb Nhr 8970914260")</f>
        <v>Buje Caucho Palanca Camb Nhr 8970914260</v>
      </c>
      <c r="C5123" s="380" t="str">
        <f>IFERROR(__xludf.DUMMYFUNCTION("""COMPUTED_VALUE"""),"70000505")</f>
        <v>70000505</v>
      </c>
      <c r="D5123" s="380" t="s">
        <v>767</v>
      </c>
      <c r="E5123" s="380" t="s">
        <v>786</v>
      </c>
      <c r="F5123" s="380" t="s">
        <v>928</v>
      </c>
      <c r="G5123" s="380" t="s">
        <v>1267</v>
      </c>
      <c r="H5123" s="380" t="s">
        <v>771</v>
      </c>
      <c r="I5123" s="380" t="s">
        <v>788</v>
      </c>
      <c r="J5123" s="380" t="s">
        <v>773</v>
      </c>
      <c r="K5123" s="381">
        <v>0.0</v>
      </c>
      <c r="L5123" s="382">
        <v>1.0</v>
      </c>
    </row>
    <row r="5124">
      <c r="A5124" s="380" t="s">
        <v>5998</v>
      </c>
      <c r="B5124" s="380" t="str">
        <f>IFERROR(__xludf.DUMMYFUNCTION("""COMPUTED_VALUE"""),"Buje Metal Palanca Camb Nhr 8970914270")</f>
        <v>Buje Metal Palanca Camb Nhr 8970914270</v>
      </c>
      <c r="C5124" s="380" t="str">
        <f>IFERROR(__xludf.DUMMYFUNCTION("""COMPUTED_VALUE"""),"70000506")</f>
        <v>70000506</v>
      </c>
      <c r="D5124" s="380" t="s">
        <v>767</v>
      </c>
      <c r="E5124" s="380" t="s">
        <v>786</v>
      </c>
      <c r="F5124" s="380" t="s">
        <v>928</v>
      </c>
      <c r="G5124" s="380" t="s">
        <v>1267</v>
      </c>
      <c r="H5124" s="380" t="s">
        <v>771</v>
      </c>
      <c r="I5124" s="380" t="s">
        <v>788</v>
      </c>
      <c r="J5124" s="380" t="s">
        <v>773</v>
      </c>
      <c r="K5124" s="381">
        <v>12500.0</v>
      </c>
      <c r="L5124" s="382">
        <v>1.0</v>
      </c>
    </row>
    <row r="5125">
      <c r="A5125" s="380" t="s">
        <v>5999</v>
      </c>
      <c r="B5125" s="380" t="str">
        <f>IFERROR(__xludf.DUMMYFUNCTION("""COMPUTED_VALUE"""),"Arandela Pinadora Hausing F800 Fabricado")</f>
        <v>Arandela Pinadora Hausing F800 Fabricado</v>
      </c>
      <c r="C5125" s="380" t="str">
        <f>IFERROR(__xludf.DUMMYFUNCTION("""COMPUTED_VALUE"""),"70000507")</f>
        <v>70000507</v>
      </c>
      <c r="D5125" s="380" t="s">
        <v>767</v>
      </c>
      <c r="E5125" s="380" t="s">
        <v>786</v>
      </c>
      <c r="F5125" s="380" t="s">
        <v>5683</v>
      </c>
      <c r="G5125" s="380" t="s">
        <v>1267</v>
      </c>
      <c r="H5125" s="380" t="s">
        <v>771</v>
      </c>
      <c r="I5125" s="380" t="s">
        <v>788</v>
      </c>
      <c r="J5125" s="380" t="s">
        <v>773</v>
      </c>
      <c r="K5125" s="381">
        <v>0.0</v>
      </c>
      <c r="L5125" s="382">
        <v>1.0</v>
      </c>
    </row>
    <row r="5126">
      <c r="A5126" s="380" t="s">
        <v>6000</v>
      </c>
      <c r="B5126" s="380" t="str">
        <f>IFERROR(__xludf.DUMMYFUNCTION("""COMPUTED_VALUE"""),"Mang Retorno Bomba Dir HCO Npr 970801081")</f>
        <v>Mang Retorno Bomba Dir HCO Npr 970801081</v>
      </c>
      <c r="C5126" s="380" t="str">
        <f>IFERROR(__xludf.DUMMYFUNCTION("""COMPUTED_VALUE"""),"70000508")</f>
        <v>70000508</v>
      </c>
      <c r="D5126" s="380" t="s">
        <v>767</v>
      </c>
      <c r="E5126" s="380" t="s">
        <v>786</v>
      </c>
      <c r="F5126" s="380" t="s">
        <v>1020</v>
      </c>
      <c r="G5126" s="380" t="s">
        <v>1267</v>
      </c>
      <c r="H5126" s="380" t="s">
        <v>771</v>
      </c>
      <c r="I5126" s="380" t="s">
        <v>788</v>
      </c>
      <c r="J5126" s="380" t="s">
        <v>773</v>
      </c>
      <c r="K5126" s="381">
        <v>0.0</v>
      </c>
      <c r="L5126" s="382">
        <v>1.0</v>
      </c>
    </row>
    <row r="5127">
      <c r="A5127" s="380" t="s">
        <v>6001</v>
      </c>
      <c r="B5127" s="380" t="str">
        <f>IFERROR(__xludf.DUMMYFUNCTION("""COMPUTED_VALUE"""),"Panel Frontal Del Nkr RW 8981226920")</f>
        <v>Panel Frontal Del Nkr RW 8981226920</v>
      </c>
      <c r="C5127" s="380" t="str">
        <f>IFERROR(__xludf.DUMMYFUNCTION("""COMPUTED_VALUE"""),"70000509")</f>
        <v>70000509</v>
      </c>
      <c r="D5127" s="380" t="s">
        <v>767</v>
      </c>
      <c r="E5127" s="380" t="s">
        <v>786</v>
      </c>
      <c r="F5127" s="380" t="s">
        <v>792</v>
      </c>
      <c r="G5127" s="380" t="s">
        <v>1267</v>
      </c>
      <c r="H5127" s="380" t="s">
        <v>771</v>
      </c>
      <c r="I5127" s="380" t="s">
        <v>788</v>
      </c>
      <c r="J5127" s="380" t="s">
        <v>773</v>
      </c>
      <c r="K5127" s="381">
        <v>0.0</v>
      </c>
      <c r="L5127" s="382">
        <v>1.0</v>
      </c>
    </row>
    <row r="5128">
      <c r="A5128" s="380" t="s">
        <v>6002</v>
      </c>
      <c r="B5128" s="380" t="str">
        <f>IFERROR(__xludf.DUMMYFUNCTION("""COMPUTED_VALUE"""),"Valvula Tanque Acpm Eagle 9400 203608C1")</f>
        <v>Valvula Tanque Acpm Eagle 9400 203608C1</v>
      </c>
      <c r="C5128" s="380" t="str">
        <f>IFERROR(__xludf.DUMMYFUNCTION("""COMPUTED_VALUE"""),"70000510")</f>
        <v>70000510</v>
      </c>
      <c r="D5128" s="380" t="s">
        <v>767</v>
      </c>
      <c r="E5128" s="380" t="s">
        <v>786</v>
      </c>
      <c r="F5128" s="380" t="s">
        <v>787</v>
      </c>
      <c r="G5128" s="380" t="s">
        <v>1267</v>
      </c>
      <c r="H5128" s="380" t="s">
        <v>771</v>
      </c>
      <c r="I5128" s="380" t="s">
        <v>788</v>
      </c>
      <c r="J5128" s="380" t="s">
        <v>773</v>
      </c>
      <c r="K5128" s="381">
        <v>0.0</v>
      </c>
      <c r="L5128" s="382">
        <v>1.0</v>
      </c>
    </row>
    <row r="5129">
      <c r="A5129" s="380" t="s">
        <v>6003</v>
      </c>
      <c r="B5129" s="380" t="str">
        <f>IFERROR(__xludf.DUMMYFUNCTION("""COMPUTED_VALUE"""),"Buje Trapecio Clutch Eag 9400 3515308C1")</f>
        <v>Buje Trapecio Clutch Eag 9400 3515308C1</v>
      </c>
      <c r="C5129" s="380" t="str">
        <f>IFERROR(__xludf.DUMMYFUNCTION("""COMPUTED_VALUE"""),"70000511")</f>
        <v>70000511</v>
      </c>
      <c r="D5129" s="380" t="s">
        <v>767</v>
      </c>
      <c r="E5129" s="380" t="s">
        <v>786</v>
      </c>
      <c r="F5129" s="380" t="s">
        <v>5661</v>
      </c>
      <c r="G5129" s="380" t="s">
        <v>1267</v>
      </c>
      <c r="H5129" s="380" t="s">
        <v>771</v>
      </c>
      <c r="I5129" s="380" t="s">
        <v>788</v>
      </c>
      <c r="J5129" s="380" t="s">
        <v>773</v>
      </c>
      <c r="K5129" s="381">
        <v>38362.0</v>
      </c>
      <c r="L5129" s="382">
        <v>1.0</v>
      </c>
    </row>
    <row r="5130">
      <c r="A5130" s="380" t="s">
        <v>6004</v>
      </c>
      <c r="B5130" s="380" t="str">
        <f>IFERROR(__xludf.DUMMYFUNCTION("""COMPUTED_VALUE"""),"Retenedor Rueda Tras Ext Nkr 8943363151")</f>
        <v>Retenedor Rueda Tras Ext Nkr 8943363151</v>
      </c>
      <c r="C5130" s="380" t="str">
        <f>IFERROR(__xludf.DUMMYFUNCTION("""COMPUTED_VALUE"""),"70000512")</f>
        <v>70000512</v>
      </c>
      <c r="D5130" s="380" t="s">
        <v>767</v>
      </c>
      <c r="E5130" s="380" t="s">
        <v>786</v>
      </c>
      <c r="F5130" s="380" t="s">
        <v>1039</v>
      </c>
      <c r="G5130" s="380" t="s">
        <v>1267</v>
      </c>
      <c r="H5130" s="380" t="s">
        <v>771</v>
      </c>
      <c r="I5130" s="380" t="s">
        <v>788</v>
      </c>
      <c r="J5130" s="380" t="s">
        <v>773</v>
      </c>
      <c r="K5130" s="381">
        <v>0.0</v>
      </c>
      <c r="L5130" s="382">
        <v>1.0</v>
      </c>
    </row>
    <row r="5131">
      <c r="A5131" s="380" t="s">
        <v>6005</v>
      </c>
      <c r="B5131" s="380" t="str">
        <f>IFERROR(__xludf.DUMMYFUNCTION("""COMPUTED_VALUE"""),"Empaque Bomba Fren Nkr (1 1/8)8971304700")</f>
        <v>Empaque Bomba Fren Nkr (1 1/8)8971304700</v>
      </c>
      <c r="C5131" s="380" t="str">
        <f>IFERROR(__xludf.DUMMYFUNCTION("""COMPUTED_VALUE"""),"70000513")</f>
        <v>70000513</v>
      </c>
      <c r="D5131" s="380" t="s">
        <v>767</v>
      </c>
      <c r="E5131" s="380" t="s">
        <v>786</v>
      </c>
      <c r="F5131" s="380" t="s">
        <v>1017</v>
      </c>
      <c r="G5131" s="380" t="s">
        <v>1267</v>
      </c>
      <c r="H5131" s="380" t="s">
        <v>771</v>
      </c>
      <c r="I5131" s="380" t="s">
        <v>788</v>
      </c>
      <c r="J5131" s="380" t="s">
        <v>773</v>
      </c>
      <c r="K5131" s="381">
        <v>0.0</v>
      </c>
      <c r="L5131" s="382">
        <v>1.0</v>
      </c>
    </row>
    <row r="5132">
      <c r="A5132" s="380" t="s">
        <v>6006</v>
      </c>
      <c r="B5132" s="380" t="str">
        <f>IFERROR(__xludf.DUMMYFUNCTION("""COMPUTED_VALUE"""),"Zapa Muelle Izq Tras Tras Nkr 8941820981")</f>
        <v>Zapa Muelle Izq Tras Tras Nkr 8941820981</v>
      </c>
      <c r="C5132" s="380" t="str">
        <f>IFERROR(__xludf.DUMMYFUNCTION("""COMPUTED_VALUE"""),"70000514")</f>
        <v>70000514</v>
      </c>
      <c r="D5132" s="380" t="s">
        <v>767</v>
      </c>
      <c r="E5132" s="380" t="s">
        <v>786</v>
      </c>
      <c r="F5132" s="380" t="s">
        <v>1039</v>
      </c>
      <c r="G5132" s="380" t="s">
        <v>1267</v>
      </c>
      <c r="H5132" s="380" t="s">
        <v>771</v>
      </c>
      <c r="I5132" s="380" t="s">
        <v>788</v>
      </c>
      <c r="J5132" s="380" t="s">
        <v>773</v>
      </c>
      <c r="K5132" s="381">
        <v>0.0</v>
      </c>
      <c r="L5132" s="382">
        <v>1.0</v>
      </c>
    </row>
    <row r="5133">
      <c r="A5133" s="380" t="s">
        <v>6007</v>
      </c>
      <c r="B5133" s="380" t="str">
        <f>IFERROR(__xludf.DUMMYFUNCTION("""COMPUTED_VALUE"""),"Funda Varilla Aceite Volksw 115629TAP")</f>
        <v>Funda Varilla Aceite Volksw 115629TAP</v>
      </c>
      <c r="C5133" s="380" t="str">
        <f>IFERROR(__xludf.DUMMYFUNCTION("""COMPUTED_VALUE"""),"70000515")</f>
        <v>70000515</v>
      </c>
      <c r="D5133" s="380" t="s">
        <v>767</v>
      </c>
      <c r="E5133" s="380" t="s">
        <v>786</v>
      </c>
      <c r="F5133" s="380" t="s">
        <v>787</v>
      </c>
      <c r="G5133" s="380" t="s">
        <v>1267</v>
      </c>
      <c r="H5133" s="380" t="s">
        <v>771</v>
      </c>
      <c r="I5133" s="380" t="s">
        <v>788</v>
      </c>
      <c r="J5133" s="380" t="s">
        <v>773</v>
      </c>
      <c r="K5133" s="381">
        <v>0.0</v>
      </c>
      <c r="L5133" s="382">
        <v>1.0</v>
      </c>
    </row>
    <row r="5134">
      <c r="A5134" s="380" t="s">
        <v>6008</v>
      </c>
      <c r="B5134" s="380" t="str">
        <f>IFERROR(__xludf.DUMMYFUNCTION("""COMPUTED_VALUE"""),"Rache Fren AUT 6 0""X28 Hi 4300 R802487")</f>
        <v>Rache Fren AUT 6 0"X28 Hi 4300 R802487</v>
      </c>
      <c r="C5134" s="380" t="str">
        <f>IFERROR(__xludf.DUMMYFUNCTION("""COMPUTED_VALUE"""),"70000516")</f>
        <v>70000516</v>
      </c>
      <c r="D5134" s="380" t="s">
        <v>767</v>
      </c>
      <c r="E5134" s="380" t="s">
        <v>786</v>
      </c>
      <c r="F5134" s="380" t="s">
        <v>1017</v>
      </c>
      <c r="G5134" s="380" t="s">
        <v>1267</v>
      </c>
      <c r="H5134" s="380" t="s">
        <v>771</v>
      </c>
      <c r="I5134" s="380" t="s">
        <v>788</v>
      </c>
      <c r="J5134" s="380" t="s">
        <v>773</v>
      </c>
      <c r="K5134" s="381">
        <v>0.0</v>
      </c>
      <c r="L5134" s="382">
        <v>1.0</v>
      </c>
    </row>
    <row r="5135">
      <c r="A5135" s="380" t="s">
        <v>6009</v>
      </c>
      <c r="B5135" s="380" t="str">
        <f>IFERROR(__xludf.DUMMYFUNCTION("""COMPUTED_VALUE"""),"Espaciador Propulso Caja 14915-16463")</f>
        <v>Espaciador Propulso Caja 14915-16463</v>
      </c>
      <c r="C5135" s="380" t="str">
        <f>IFERROR(__xludf.DUMMYFUNCTION("""COMPUTED_VALUE"""),"70000517")</f>
        <v>70000517</v>
      </c>
      <c r="D5135" s="380" t="s">
        <v>767</v>
      </c>
      <c r="E5135" s="380" t="s">
        <v>786</v>
      </c>
      <c r="F5135" s="380" t="s">
        <v>928</v>
      </c>
      <c r="G5135" s="380" t="s">
        <v>1267</v>
      </c>
      <c r="H5135" s="380" t="s">
        <v>771</v>
      </c>
      <c r="I5135" s="380" t="s">
        <v>788</v>
      </c>
      <c r="J5135" s="380" t="s">
        <v>773</v>
      </c>
      <c r="K5135" s="381">
        <v>0.0</v>
      </c>
      <c r="L5135" s="382">
        <v>1.0</v>
      </c>
    </row>
    <row r="5136">
      <c r="A5136" s="380" t="s">
        <v>6010</v>
      </c>
      <c r="B5136" s="380" t="str">
        <f>IFERROR(__xludf.DUMMYFUNCTION("""COMPUTED_VALUE"""),"Lampara Exploradora Der N200 24552606")</f>
        <v>Lampara Exploradora Der N200 24552606</v>
      </c>
      <c r="C5136" s="380" t="str">
        <f>IFERROR(__xludf.DUMMYFUNCTION("""COMPUTED_VALUE"""),"70000518")</f>
        <v>70000518</v>
      </c>
      <c r="D5136" s="380" t="s">
        <v>767</v>
      </c>
      <c r="E5136" s="380" t="s">
        <v>786</v>
      </c>
      <c r="F5136" s="380" t="s">
        <v>998</v>
      </c>
      <c r="G5136" s="380" t="s">
        <v>1267</v>
      </c>
      <c r="H5136" s="380" t="s">
        <v>771</v>
      </c>
      <c r="I5136" s="380" t="s">
        <v>788</v>
      </c>
      <c r="J5136" s="380" t="s">
        <v>773</v>
      </c>
      <c r="K5136" s="381">
        <v>110000.0</v>
      </c>
      <c r="L5136" s="382">
        <v>1.0</v>
      </c>
    </row>
    <row r="5137">
      <c r="A5137" s="380" t="s">
        <v>6011</v>
      </c>
      <c r="B5137" s="380" t="str">
        <f>IFERROR(__xludf.DUMMYFUNCTION("""COMPUTED_VALUE"""),"Kit Embrague Npr 2000/2005 95631144")</f>
        <v>Kit Embrague Npr 2000/2005 95631144</v>
      </c>
      <c r="C5137" s="380" t="str">
        <f>IFERROR(__xludf.DUMMYFUNCTION("""COMPUTED_VALUE"""),"70000519")</f>
        <v>70000519</v>
      </c>
      <c r="D5137" s="380" t="s">
        <v>767</v>
      </c>
      <c r="E5137" s="380" t="s">
        <v>786</v>
      </c>
      <c r="F5137" s="380" t="s">
        <v>5661</v>
      </c>
      <c r="G5137" s="380" t="s">
        <v>1267</v>
      </c>
      <c r="H5137" s="380" t="s">
        <v>771</v>
      </c>
      <c r="I5137" s="380" t="s">
        <v>788</v>
      </c>
      <c r="J5137" s="380" t="s">
        <v>773</v>
      </c>
      <c r="K5137" s="381">
        <v>0.0</v>
      </c>
      <c r="L5137" s="382">
        <v>1.0</v>
      </c>
    </row>
    <row r="5138">
      <c r="A5138" s="380" t="s">
        <v>6012</v>
      </c>
      <c r="B5138" s="380" t="str">
        <f>IFERROR(__xludf.DUMMYFUNCTION("""COMPUTED_VALUE"""),"Banda Freno Del Eagle Isx KSMA212472")</f>
        <v>Banda Freno Del Eagle Isx KSMA212472</v>
      </c>
      <c r="C5138" s="380" t="str">
        <f>IFERROR(__xludf.DUMMYFUNCTION("""COMPUTED_VALUE"""),"70000520")</f>
        <v>70000520</v>
      </c>
      <c r="D5138" s="380" t="s">
        <v>767</v>
      </c>
      <c r="E5138" s="380" t="s">
        <v>786</v>
      </c>
      <c r="F5138" s="380" t="s">
        <v>1017</v>
      </c>
      <c r="G5138" s="380" t="s">
        <v>1267</v>
      </c>
      <c r="H5138" s="380" t="s">
        <v>771</v>
      </c>
      <c r="I5138" s="380" t="s">
        <v>788</v>
      </c>
      <c r="J5138" s="380" t="s">
        <v>773</v>
      </c>
      <c r="K5138" s="381">
        <v>154700.0</v>
      </c>
      <c r="L5138" s="382">
        <v>1.0</v>
      </c>
    </row>
    <row r="5139">
      <c r="A5139" s="380" t="s">
        <v>6013</v>
      </c>
      <c r="B5139" s="380" t="str">
        <f>IFERROR(__xludf.DUMMYFUNCTION("""COMPUTED_VALUE"""),"Tapa Deposito HCO Nkr-Npr 8941461532")</f>
        <v>Tapa Deposito HCO Nkr-Npr 8941461532</v>
      </c>
      <c r="C5139" s="380" t="str">
        <f>IFERROR(__xludf.DUMMYFUNCTION("""COMPUTED_VALUE"""),"70000521")</f>
        <v>70000521</v>
      </c>
      <c r="D5139" s="380" t="s">
        <v>767</v>
      </c>
      <c r="E5139" s="380" t="s">
        <v>786</v>
      </c>
      <c r="F5139" s="380" t="s">
        <v>1020</v>
      </c>
      <c r="G5139" s="380" t="s">
        <v>1267</v>
      </c>
      <c r="H5139" s="380" t="s">
        <v>771</v>
      </c>
      <c r="I5139" s="380" t="s">
        <v>788</v>
      </c>
      <c r="J5139" s="380" t="s">
        <v>773</v>
      </c>
      <c r="K5139" s="381">
        <v>0.0</v>
      </c>
      <c r="L5139" s="382">
        <v>1.0</v>
      </c>
    </row>
    <row r="5140">
      <c r="A5140" s="380" t="s">
        <v>6014</v>
      </c>
      <c r="B5140" s="380" t="str">
        <f>IFERROR(__xludf.DUMMYFUNCTION("""COMPUTED_VALUE"""),"Tapizado Pta Izq T Delta 6761087311")</f>
        <v>Tapizado Pta Izq T Delta 6761087311</v>
      </c>
      <c r="C5140" s="380" t="str">
        <f>IFERROR(__xludf.DUMMYFUNCTION("""COMPUTED_VALUE"""),"70000522")</f>
        <v>70000522</v>
      </c>
      <c r="D5140" s="380" t="s">
        <v>767</v>
      </c>
      <c r="E5140" s="380" t="s">
        <v>786</v>
      </c>
      <c r="F5140" s="380" t="s">
        <v>792</v>
      </c>
      <c r="G5140" s="380" t="s">
        <v>1267</v>
      </c>
      <c r="H5140" s="380" t="s">
        <v>771</v>
      </c>
      <c r="I5140" s="380" t="s">
        <v>788</v>
      </c>
      <c r="J5140" s="380" t="s">
        <v>773</v>
      </c>
      <c r="K5140" s="381">
        <v>0.0</v>
      </c>
      <c r="L5140" s="382">
        <v>1.0</v>
      </c>
    </row>
    <row r="5141">
      <c r="A5141" s="380" t="s">
        <v>6015</v>
      </c>
      <c r="B5141" s="380" t="str">
        <f>IFERROR(__xludf.DUMMYFUNCTION("""COMPUTED_VALUE"""),"Buje Metal Leva Freno Portacont C13-0301")</f>
        <v>Buje Metal Leva Freno Portacont C13-0301</v>
      </c>
      <c r="C5141" s="380" t="str">
        <f>IFERROR(__xludf.DUMMYFUNCTION("""COMPUTED_VALUE"""),"70000523")</f>
        <v>70000523</v>
      </c>
      <c r="D5141" s="380" t="s">
        <v>767</v>
      </c>
      <c r="E5141" s="380" t="s">
        <v>786</v>
      </c>
      <c r="F5141" s="380" t="s">
        <v>1017</v>
      </c>
      <c r="G5141" s="380" t="s">
        <v>1267</v>
      </c>
      <c r="H5141" s="380" t="s">
        <v>771</v>
      </c>
      <c r="I5141" s="380" t="s">
        <v>788</v>
      </c>
      <c r="J5141" s="380" t="s">
        <v>773</v>
      </c>
      <c r="K5141" s="381">
        <v>0.0</v>
      </c>
      <c r="L5141" s="382">
        <v>1.0</v>
      </c>
    </row>
    <row r="5142">
      <c r="A5142" s="380" t="s">
        <v>6016</v>
      </c>
      <c r="B5142" s="380" t="str">
        <f>IFERROR(__xludf.DUMMYFUNCTION("""COMPUTED_VALUE"""),"Retrovisor Izq Desem Eag 2503925C91")</f>
        <v>Retrovisor Izq Desem Eag 2503925C91</v>
      </c>
      <c r="C5142" s="380" t="str">
        <f>IFERROR(__xludf.DUMMYFUNCTION("""COMPUTED_VALUE"""),"70000524")</f>
        <v>70000524</v>
      </c>
      <c r="D5142" s="380" t="s">
        <v>767</v>
      </c>
      <c r="E5142" s="380" t="s">
        <v>786</v>
      </c>
      <c r="F5142" s="380" t="s">
        <v>792</v>
      </c>
      <c r="G5142" s="380" t="s">
        <v>1267</v>
      </c>
      <c r="H5142" s="380" t="s">
        <v>771</v>
      </c>
      <c r="I5142" s="380" t="s">
        <v>788</v>
      </c>
      <c r="J5142" s="380" t="s">
        <v>773</v>
      </c>
      <c r="K5142" s="381">
        <v>0.0</v>
      </c>
      <c r="L5142" s="382">
        <v>1.0</v>
      </c>
    </row>
    <row r="5143">
      <c r="A5143" s="380" t="s">
        <v>6017</v>
      </c>
      <c r="B5143" s="380" t="str">
        <f>IFERROR(__xludf.DUMMYFUNCTION("""COMPUTED_VALUE"""),"Porta Escobilla alternador 4700-39104")</f>
        <v>Porta Escobilla alternador 4700-39104</v>
      </c>
      <c r="C5143" s="380" t="str">
        <f>IFERROR(__xludf.DUMMYFUNCTION("""COMPUTED_VALUE"""),"70000525")</f>
        <v>70000525</v>
      </c>
      <c r="D5143" s="380" t="s">
        <v>767</v>
      </c>
      <c r="E5143" s="380" t="s">
        <v>786</v>
      </c>
      <c r="F5143" s="380" t="s">
        <v>998</v>
      </c>
      <c r="G5143" s="380" t="s">
        <v>1267</v>
      </c>
      <c r="H5143" s="380" t="s">
        <v>771</v>
      </c>
      <c r="I5143" s="380" t="s">
        <v>788</v>
      </c>
      <c r="J5143" s="380" t="s">
        <v>773</v>
      </c>
      <c r="K5143" s="381">
        <v>0.0</v>
      </c>
      <c r="L5143" s="382">
        <v>1.0</v>
      </c>
    </row>
    <row r="5144">
      <c r="A5144" s="380" t="s">
        <v>6018</v>
      </c>
      <c r="B5144" s="380" t="str">
        <f>IFERROR(__xludf.DUMMYFUNCTION("""COMPUTED_VALUE"""),"Tapa Guantera Nkr Iii 8975821995")</f>
        <v>Tapa Guantera Nkr Iii 8975821995</v>
      </c>
      <c r="C5144" s="380" t="str">
        <f>IFERROR(__xludf.DUMMYFUNCTION("""COMPUTED_VALUE"""),"70000526")</f>
        <v>70000526</v>
      </c>
      <c r="D5144" s="380" t="s">
        <v>767</v>
      </c>
      <c r="E5144" s="380" t="s">
        <v>786</v>
      </c>
      <c r="F5144" s="380" t="s">
        <v>792</v>
      </c>
      <c r="G5144" s="380" t="s">
        <v>1267</v>
      </c>
      <c r="H5144" s="380" t="s">
        <v>771</v>
      </c>
      <c r="I5144" s="380" t="s">
        <v>788</v>
      </c>
      <c r="J5144" s="380" t="s">
        <v>773</v>
      </c>
      <c r="K5144" s="381">
        <v>0.0</v>
      </c>
      <c r="L5144" s="382">
        <v>1.0</v>
      </c>
    </row>
    <row r="5145">
      <c r="A5145" s="380" t="s">
        <v>6019</v>
      </c>
      <c r="B5145" s="380" t="str">
        <f>IFERROR(__xludf.DUMMYFUNCTION("""COMPUTED_VALUE"""),"Soporte Palanca Cambio Nk-Npr 8972045051")</f>
        <v>Soporte Palanca Cambio Nk-Npr 8972045051</v>
      </c>
      <c r="C5145" s="380" t="str">
        <f>IFERROR(__xludf.DUMMYFUNCTION("""COMPUTED_VALUE"""),"70000527")</f>
        <v>70000527</v>
      </c>
      <c r="D5145" s="380" t="s">
        <v>767</v>
      </c>
      <c r="E5145" s="380" t="s">
        <v>786</v>
      </c>
      <c r="F5145" s="380" t="s">
        <v>5661</v>
      </c>
      <c r="G5145" s="380" t="s">
        <v>1267</v>
      </c>
      <c r="H5145" s="380" t="s">
        <v>771</v>
      </c>
      <c r="I5145" s="380" t="s">
        <v>788</v>
      </c>
      <c r="J5145" s="380" t="s">
        <v>773</v>
      </c>
      <c r="K5145" s="381">
        <v>0.0</v>
      </c>
      <c r="L5145" s="382">
        <v>1.0</v>
      </c>
    </row>
    <row r="5146">
      <c r="A5146" s="380" t="s">
        <v>6020</v>
      </c>
      <c r="B5146" s="380" t="str">
        <f>IFERROR(__xludf.DUMMYFUNCTION("""COMPUTED_VALUE"""),"Relay Bomba Transferencia Isx 3658948")</f>
        <v>Relay Bomba Transferencia Isx 3658948</v>
      </c>
      <c r="C5146" s="380" t="str">
        <f>IFERROR(__xludf.DUMMYFUNCTION("""COMPUTED_VALUE"""),"70000528")</f>
        <v>70000528</v>
      </c>
      <c r="D5146" s="380" t="s">
        <v>767</v>
      </c>
      <c r="E5146" s="380" t="s">
        <v>786</v>
      </c>
      <c r="F5146" s="380" t="s">
        <v>787</v>
      </c>
      <c r="G5146" s="380" t="s">
        <v>1267</v>
      </c>
      <c r="H5146" s="380" t="s">
        <v>771</v>
      </c>
      <c r="I5146" s="380" t="s">
        <v>788</v>
      </c>
      <c r="J5146" s="380" t="s">
        <v>773</v>
      </c>
      <c r="K5146" s="381">
        <v>606900.0</v>
      </c>
      <c r="L5146" s="382">
        <v>1.0</v>
      </c>
    </row>
    <row r="5147">
      <c r="A5147" s="380" t="s">
        <v>6021</v>
      </c>
      <c r="B5147" s="380" t="str">
        <f>IFERROR(__xludf.DUMMYFUNCTION("""COMPUTED_VALUE"""),"Filtro Secador A/C")</f>
        <v>Filtro Secador A/C</v>
      </c>
      <c r="C5147" s="380" t="str">
        <f>IFERROR(__xludf.DUMMYFUNCTION("""COMPUTED_VALUE"""),"70000529")</f>
        <v>70000529</v>
      </c>
      <c r="D5147" s="380" t="s">
        <v>767</v>
      </c>
      <c r="E5147" s="380" t="s">
        <v>786</v>
      </c>
      <c r="F5147" s="380" t="s">
        <v>5855</v>
      </c>
      <c r="G5147" s="380" t="s">
        <v>1267</v>
      </c>
      <c r="H5147" s="380" t="s">
        <v>771</v>
      </c>
      <c r="I5147" s="380" t="s">
        <v>788</v>
      </c>
      <c r="J5147" s="380" t="s">
        <v>773</v>
      </c>
      <c r="K5147" s="381">
        <v>98400.0</v>
      </c>
      <c r="L5147" s="382">
        <v>1.0</v>
      </c>
    </row>
    <row r="5148">
      <c r="A5148" s="380" t="s">
        <v>6022</v>
      </c>
      <c r="B5148" s="380" t="str">
        <f>IFERROR(__xludf.DUMMYFUNCTION("""COMPUTED_VALUE"""),"Brazo Axial De Direccion N 200 24543445")</f>
        <v>Brazo Axial De Direccion N 200 24543445</v>
      </c>
      <c r="C5148" s="380" t="str">
        <f>IFERROR(__xludf.DUMMYFUNCTION("""COMPUTED_VALUE"""),"70000530")</f>
        <v>70000530</v>
      </c>
      <c r="D5148" s="380" t="s">
        <v>767</v>
      </c>
      <c r="E5148" s="380" t="s">
        <v>786</v>
      </c>
      <c r="F5148" s="380" t="s">
        <v>1020</v>
      </c>
      <c r="G5148" s="380" t="s">
        <v>1267</v>
      </c>
      <c r="H5148" s="380" t="s">
        <v>771</v>
      </c>
      <c r="I5148" s="380" t="s">
        <v>788</v>
      </c>
      <c r="J5148" s="380" t="s">
        <v>773</v>
      </c>
      <c r="K5148" s="381">
        <v>0.0</v>
      </c>
      <c r="L5148" s="382">
        <v>1.0</v>
      </c>
    </row>
    <row r="5149">
      <c r="A5149" s="380" t="s">
        <v>6023</v>
      </c>
      <c r="B5149" s="380" t="str">
        <f>IFERROR(__xludf.DUMMYFUNCTION("""COMPUTED_VALUE"""),"Reten Tapa Caja vel T Delta 9031122009")</f>
        <v>Reten Tapa Caja vel T Delta 9031122009</v>
      </c>
      <c r="C5149" s="380" t="str">
        <f>IFERROR(__xludf.DUMMYFUNCTION("""COMPUTED_VALUE"""),"70000531")</f>
        <v>70000531</v>
      </c>
      <c r="D5149" s="380" t="s">
        <v>767</v>
      </c>
      <c r="E5149" s="380" t="s">
        <v>786</v>
      </c>
      <c r="F5149" s="380" t="s">
        <v>928</v>
      </c>
      <c r="G5149" s="380" t="s">
        <v>1267</v>
      </c>
      <c r="H5149" s="380" t="s">
        <v>771</v>
      </c>
      <c r="I5149" s="380" t="s">
        <v>788</v>
      </c>
      <c r="J5149" s="380" t="s">
        <v>773</v>
      </c>
      <c r="K5149" s="381">
        <v>0.0</v>
      </c>
      <c r="L5149" s="382">
        <v>1.0</v>
      </c>
    </row>
    <row r="5150">
      <c r="A5150" s="380" t="s">
        <v>6024</v>
      </c>
      <c r="B5150" s="380" t="str">
        <f>IFERROR(__xludf.DUMMYFUNCTION("""COMPUTED_VALUE"""),"Mecanismo llanta Repuesto Nkr 8943828751")</f>
        <v>Mecanismo llanta Repuesto Nkr 8943828751</v>
      </c>
      <c r="C5150" s="380" t="str">
        <f>IFERROR(__xludf.DUMMYFUNCTION("""COMPUTED_VALUE"""),"70000532")</f>
        <v>70000532</v>
      </c>
      <c r="D5150" s="380" t="s">
        <v>767</v>
      </c>
      <c r="E5150" s="380" t="s">
        <v>786</v>
      </c>
      <c r="F5150" s="380" t="s">
        <v>792</v>
      </c>
      <c r="G5150" s="380" t="s">
        <v>1267</v>
      </c>
      <c r="H5150" s="380" t="s">
        <v>771</v>
      </c>
      <c r="I5150" s="380" t="s">
        <v>788</v>
      </c>
      <c r="J5150" s="380" t="s">
        <v>773</v>
      </c>
      <c r="K5150" s="381">
        <v>0.0</v>
      </c>
      <c r="L5150" s="382">
        <v>1.0</v>
      </c>
    </row>
    <row r="5151">
      <c r="A5151" s="380" t="s">
        <v>6025</v>
      </c>
      <c r="B5151" s="380" t="str">
        <f>IFERROR(__xludf.DUMMYFUNCTION("""COMPUTED_VALUE"""),"Buje Caucho Chapa Puerta Npr 8942797320")</f>
        <v>Buje Caucho Chapa Puerta Npr 8942797320</v>
      </c>
      <c r="C5151" s="380" t="str">
        <f>IFERROR(__xludf.DUMMYFUNCTION("""COMPUTED_VALUE"""),"70000533")</f>
        <v>70000533</v>
      </c>
      <c r="D5151" s="380" t="s">
        <v>767</v>
      </c>
      <c r="E5151" s="380" t="s">
        <v>786</v>
      </c>
      <c r="F5151" s="380" t="s">
        <v>792</v>
      </c>
      <c r="G5151" s="380" t="s">
        <v>1267</v>
      </c>
      <c r="H5151" s="380" t="s">
        <v>771</v>
      </c>
      <c r="I5151" s="380" t="s">
        <v>788</v>
      </c>
      <c r="J5151" s="380" t="s">
        <v>773</v>
      </c>
      <c r="K5151" s="381">
        <v>0.0</v>
      </c>
      <c r="L5151" s="382">
        <v>1.0</v>
      </c>
    </row>
    <row r="5152">
      <c r="A5152" s="380" t="s">
        <v>6026</v>
      </c>
      <c r="B5152" s="380" t="str">
        <f>IFERROR(__xludf.DUMMYFUNCTION("""COMPUTED_VALUE"""),"Clips Farola Npr 8944520950")</f>
        <v>Clips Farola Npr 8944520950</v>
      </c>
      <c r="C5152" s="380" t="str">
        <f>IFERROR(__xludf.DUMMYFUNCTION("""COMPUTED_VALUE"""),"70000534")</f>
        <v>70000534</v>
      </c>
      <c r="D5152" s="380" t="s">
        <v>767</v>
      </c>
      <c r="E5152" s="380" t="s">
        <v>786</v>
      </c>
      <c r="F5152" s="380" t="s">
        <v>792</v>
      </c>
      <c r="G5152" s="380" t="s">
        <v>1267</v>
      </c>
      <c r="H5152" s="380" t="s">
        <v>771</v>
      </c>
      <c r="I5152" s="380" t="s">
        <v>788</v>
      </c>
      <c r="J5152" s="380" t="s">
        <v>773</v>
      </c>
      <c r="K5152" s="381">
        <v>0.0</v>
      </c>
      <c r="L5152" s="382">
        <v>1.0</v>
      </c>
    </row>
    <row r="5153">
      <c r="A5153" s="380" t="s">
        <v>6027</v>
      </c>
      <c r="B5153" s="380" t="str">
        <f>IFERROR(__xludf.DUMMYFUNCTION("""COMPUTED_VALUE"""),"Bomper Del Central Nkr 2012 8974068194")</f>
        <v>Bomper Del Central Nkr 2012 8974068194</v>
      </c>
      <c r="C5153" s="380" t="str">
        <f>IFERROR(__xludf.DUMMYFUNCTION("""COMPUTED_VALUE"""),"70000535")</f>
        <v>70000535</v>
      </c>
      <c r="D5153" s="380" t="s">
        <v>767</v>
      </c>
      <c r="E5153" s="380" t="s">
        <v>786</v>
      </c>
      <c r="F5153" s="380" t="s">
        <v>792</v>
      </c>
      <c r="G5153" s="380" t="s">
        <v>1267</v>
      </c>
      <c r="H5153" s="380" t="s">
        <v>771</v>
      </c>
      <c r="I5153" s="380" t="s">
        <v>788</v>
      </c>
      <c r="J5153" s="380" t="s">
        <v>773</v>
      </c>
      <c r="K5153" s="381">
        <v>0.0</v>
      </c>
      <c r="L5153" s="382">
        <v>1.0</v>
      </c>
    </row>
    <row r="5154">
      <c r="A5154" s="380" t="s">
        <v>6028</v>
      </c>
      <c r="B5154" s="380" t="str">
        <f>IFERROR(__xludf.DUMMYFUNCTION("""COMPUTED_VALUE"""),"Direccional Del Der Nkr RW 8981554580")</f>
        <v>Direccional Del Der Nkr RW 8981554580</v>
      </c>
      <c r="C5154" s="380" t="str">
        <f>IFERROR(__xludf.DUMMYFUNCTION("""COMPUTED_VALUE"""),"70000536")</f>
        <v>70000536</v>
      </c>
      <c r="D5154" s="380" t="s">
        <v>767</v>
      </c>
      <c r="E5154" s="380" t="s">
        <v>786</v>
      </c>
      <c r="F5154" s="380" t="s">
        <v>998</v>
      </c>
      <c r="G5154" s="380" t="s">
        <v>1267</v>
      </c>
      <c r="H5154" s="380" t="s">
        <v>771</v>
      </c>
      <c r="I5154" s="380" t="s">
        <v>788</v>
      </c>
      <c r="J5154" s="380" t="s">
        <v>773</v>
      </c>
      <c r="K5154" s="381">
        <v>0.0</v>
      </c>
      <c r="L5154" s="382">
        <v>1.0</v>
      </c>
    </row>
    <row r="5155">
      <c r="A5155" s="380" t="s">
        <v>6029</v>
      </c>
      <c r="B5155" s="380" t="str">
        <f>IFERROR(__xludf.DUMMYFUNCTION("""COMPUTED_VALUE"""),"Pito Rev 24 Voltios")</f>
        <v>Pito Rev 24 Voltios</v>
      </c>
      <c r="C5155" s="380" t="str">
        <f>IFERROR(__xludf.DUMMYFUNCTION("""COMPUTED_VALUE"""),"70000537")</f>
        <v>70000537</v>
      </c>
      <c r="D5155" s="380" t="s">
        <v>767</v>
      </c>
      <c r="E5155" s="380" t="s">
        <v>786</v>
      </c>
      <c r="F5155" s="380" t="s">
        <v>998</v>
      </c>
      <c r="G5155" s="380" t="s">
        <v>1267</v>
      </c>
      <c r="H5155" s="380" t="s">
        <v>771</v>
      </c>
      <c r="I5155" s="380" t="s">
        <v>788</v>
      </c>
      <c r="J5155" s="380" t="s">
        <v>773</v>
      </c>
      <c r="K5155" s="381">
        <v>0.0</v>
      </c>
      <c r="L5155" s="382">
        <v>1.0</v>
      </c>
    </row>
    <row r="5156">
      <c r="A5156" s="380" t="s">
        <v>6030</v>
      </c>
      <c r="B5156" s="380" t="str">
        <f>IFERROR(__xludf.DUMMYFUNCTION("""COMPUTED_VALUE"""),"Tapa Filtro Aire Nkr RW 8980504341")</f>
        <v>Tapa Filtro Aire Nkr RW 8980504341</v>
      </c>
      <c r="C5156" s="380" t="str">
        <f>IFERROR(__xludf.DUMMYFUNCTION("""COMPUTED_VALUE"""),"70000538")</f>
        <v>70000538</v>
      </c>
      <c r="D5156" s="380" t="s">
        <v>767</v>
      </c>
      <c r="E5156" s="380" t="s">
        <v>786</v>
      </c>
      <c r="F5156" s="380" t="s">
        <v>787</v>
      </c>
      <c r="G5156" s="380" t="s">
        <v>1267</v>
      </c>
      <c r="H5156" s="380" t="s">
        <v>771</v>
      </c>
      <c r="I5156" s="380" t="s">
        <v>788</v>
      </c>
      <c r="J5156" s="380" t="s">
        <v>773</v>
      </c>
      <c r="K5156" s="381">
        <v>0.0</v>
      </c>
      <c r="L5156" s="382">
        <v>1.0</v>
      </c>
    </row>
    <row r="5157">
      <c r="A5157" s="380" t="s">
        <v>6031</v>
      </c>
      <c r="B5157" s="380" t="str">
        <f>IFERROR(__xludf.DUMMYFUNCTION("""COMPUTED_VALUE"""),"Puntera Bomper Izq Volkswagen 8071032RD8")</f>
        <v>Puntera Bomper Izq Volkswagen 8071032RD8</v>
      </c>
      <c r="C5157" s="380" t="str">
        <f>IFERROR(__xludf.DUMMYFUNCTION("""COMPUTED_VALUE"""),"70000539")</f>
        <v>70000539</v>
      </c>
      <c r="D5157" s="380" t="s">
        <v>767</v>
      </c>
      <c r="E5157" s="380" t="s">
        <v>786</v>
      </c>
      <c r="F5157" s="380" t="s">
        <v>792</v>
      </c>
      <c r="G5157" s="380" t="s">
        <v>1267</v>
      </c>
      <c r="H5157" s="380" t="s">
        <v>771</v>
      </c>
      <c r="I5157" s="380" t="s">
        <v>788</v>
      </c>
      <c r="J5157" s="380" t="s">
        <v>773</v>
      </c>
      <c r="K5157" s="381">
        <v>0.0</v>
      </c>
      <c r="L5157" s="382">
        <v>1.0</v>
      </c>
    </row>
    <row r="5158">
      <c r="A5158" s="380" t="s">
        <v>6032</v>
      </c>
      <c r="B5158" s="380" t="str">
        <f>IFERROR(__xludf.DUMMYFUNCTION("""COMPUTED_VALUE"""),"Palanca Limpiabrisa Volkswagen 535192RD9")</f>
        <v>Palanca Limpiabrisa Volkswagen 535192RD9</v>
      </c>
      <c r="C5158" s="380" t="str">
        <f>IFERROR(__xludf.DUMMYFUNCTION("""COMPUTED_VALUE"""),"70000540")</f>
        <v>70000540</v>
      </c>
      <c r="D5158" s="380" t="s">
        <v>767</v>
      </c>
      <c r="E5158" s="380" t="s">
        <v>786</v>
      </c>
      <c r="F5158" s="380" t="s">
        <v>998</v>
      </c>
      <c r="G5158" s="380" t="s">
        <v>1267</v>
      </c>
      <c r="H5158" s="380" t="s">
        <v>771</v>
      </c>
      <c r="I5158" s="380" t="s">
        <v>788</v>
      </c>
      <c r="J5158" s="380" t="s">
        <v>773</v>
      </c>
      <c r="K5158" s="381">
        <v>0.0</v>
      </c>
      <c r="L5158" s="382">
        <v>1.0</v>
      </c>
    </row>
    <row r="5159">
      <c r="A5159" s="380" t="s">
        <v>6033</v>
      </c>
      <c r="B5159" s="380" t="str">
        <f>IFERROR(__xludf.DUMMYFUNCTION("""COMPUTED_VALUE"""),"Semieje Tras 8970830941 Nkr III")</f>
        <v>Semieje Tras 8970830941 Nkr III</v>
      </c>
      <c r="C5159" s="380" t="str">
        <f>IFERROR(__xludf.DUMMYFUNCTION("""COMPUTED_VALUE"""),"70000541")</f>
        <v>70000541</v>
      </c>
      <c r="D5159" s="380" t="s">
        <v>767</v>
      </c>
      <c r="E5159" s="380" t="s">
        <v>786</v>
      </c>
      <c r="F5159" s="380" t="s">
        <v>5683</v>
      </c>
      <c r="G5159" s="380" t="s">
        <v>1267</v>
      </c>
      <c r="H5159" s="380" t="s">
        <v>771</v>
      </c>
      <c r="I5159" s="380" t="s">
        <v>788</v>
      </c>
      <c r="J5159" s="380" t="s">
        <v>773</v>
      </c>
      <c r="K5159" s="381">
        <v>0.0</v>
      </c>
      <c r="L5159" s="382">
        <v>1.0</v>
      </c>
    </row>
    <row r="5160">
      <c r="A5160" s="380" t="s">
        <v>6034</v>
      </c>
      <c r="B5160" s="380" t="str">
        <f>IFERROR(__xludf.DUMMYFUNCTION("""COMPUTED_VALUE"""),"Cilindro Freno Tras Izq N200 24512233")</f>
        <v>Cilindro Freno Tras Izq N200 24512233</v>
      </c>
      <c r="C5160" s="380" t="str">
        <f>IFERROR(__xludf.DUMMYFUNCTION("""COMPUTED_VALUE"""),"70000542")</f>
        <v>70000542</v>
      </c>
      <c r="D5160" s="380" t="s">
        <v>767</v>
      </c>
      <c r="E5160" s="380" t="s">
        <v>786</v>
      </c>
      <c r="F5160" s="380" t="s">
        <v>1017</v>
      </c>
      <c r="G5160" s="380" t="s">
        <v>1267</v>
      </c>
      <c r="H5160" s="380" t="s">
        <v>771</v>
      </c>
      <c r="I5160" s="380" t="s">
        <v>788</v>
      </c>
      <c r="J5160" s="380" t="s">
        <v>773</v>
      </c>
      <c r="K5160" s="381">
        <v>0.0</v>
      </c>
      <c r="L5160" s="382">
        <v>1.0</v>
      </c>
    </row>
    <row r="5161">
      <c r="A5161" s="380" t="s">
        <v>6035</v>
      </c>
      <c r="B5161" s="380" t="str">
        <f>IFERROR(__xludf.DUMMYFUNCTION("""COMPUTED_VALUE"""),"Mang Retorno Enfriador/A Nkr 8971761381")</f>
        <v>Mang Retorno Enfriador/A Nkr 8971761381</v>
      </c>
      <c r="C5161" s="380" t="str">
        <f>IFERROR(__xludf.DUMMYFUNCTION("""COMPUTED_VALUE"""),"70000543")</f>
        <v>70000543</v>
      </c>
      <c r="D5161" s="380" t="s">
        <v>767</v>
      </c>
      <c r="E5161" s="380" t="s">
        <v>786</v>
      </c>
      <c r="F5161" s="380" t="s">
        <v>787</v>
      </c>
      <c r="G5161" s="380" t="s">
        <v>1267</v>
      </c>
      <c r="H5161" s="380" t="s">
        <v>771</v>
      </c>
      <c r="I5161" s="380" t="s">
        <v>788</v>
      </c>
      <c r="J5161" s="380" t="s">
        <v>773</v>
      </c>
      <c r="K5161" s="381">
        <v>0.0</v>
      </c>
      <c r="L5161" s="382">
        <v>1.0</v>
      </c>
    </row>
    <row r="5162">
      <c r="A5162" s="380" t="s">
        <v>6036</v>
      </c>
      <c r="B5162" s="380" t="str">
        <f>IFERROR(__xludf.DUMMYFUNCTION("""COMPUTED_VALUE"""),"Fusible 30 Amperios 8980791910")</f>
        <v>Fusible 30 Amperios 8980791910</v>
      </c>
      <c r="C5162" s="380" t="str">
        <f>IFERROR(__xludf.DUMMYFUNCTION("""COMPUTED_VALUE"""),"70000544")</f>
        <v>70000544</v>
      </c>
      <c r="D5162" s="380" t="s">
        <v>767</v>
      </c>
      <c r="E5162" s="380" t="s">
        <v>786</v>
      </c>
      <c r="F5162" s="380" t="s">
        <v>998</v>
      </c>
      <c r="G5162" s="380" t="s">
        <v>1267</v>
      </c>
      <c r="H5162" s="380" t="s">
        <v>771</v>
      </c>
      <c r="I5162" s="380" t="s">
        <v>788</v>
      </c>
      <c r="J5162" s="380" t="s">
        <v>773</v>
      </c>
      <c r="K5162" s="381">
        <v>0.0</v>
      </c>
      <c r="L5162" s="382">
        <v>1.0</v>
      </c>
    </row>
    <row r="5163">
      <c r="A5163" s="380" t="s">
        <v>6037</v>
      </c>
      <c r="B5163" s="380" t="str">
        <f>IFERROR(__xludf.DUMMYFUNCTION("""COMPUTED_VALUE"""),"Guaya Freno Parqueo N-200 9001679")</f>
        <v>Guaya Freno Parqueo N-200 9001679</v>
      </c>
      <c r="C5163" s="380" t="str">
        <f>IFERROR(__xludf.DUMMYFUNCTION("""COMPUTED_VALUE"""),"70000545")</f>
        <v>70000545</v>
      </c>
      <c r="D5163" s="380" t="s">
        <v>767</v>
      </c>
      <c r="E5163" s="380" t="s">
        <v>786</v>
      </c>
      <c r="F5163" s="380" t="s">
        <v>1017</v>
      </c>
      <c r="G5163" s="380" t="s">
        <v>1267</v>
      </c>
      <c r="H5163" s="380" t="s">
        <v>771</v>
      </c>
      <c r="I5163" s="380" t="s">
        <v>788</v>
      </c>
      <c r="J5163" s="380" t="s">
        <v>773</v>
      </c>
      <c r="K5163" s="381">
        <v>0.0</v>
      </c>
      <c r="L5163" s="382">
        <v>1.0</v>
      </c>
    </row>
    <row r="5164">
      <c r="A5164" s="380" t="s">
        <v>6038</v>
      </c>
      <c r="B5164" s="380" t="str">
        <f>IFERROR(__xludf.DUMMYFUNCTION("""COMPUTED_VALUE"""),"Tuerca Housing Trasero Npr 8971370930")</f>
        <v>Tuerca Housing Trasero Npr 8971370930</v>
      </c>
      <c r="C5164" s="380" t="str">
        <f>IFERROR(__xludf.DUMMYFUNCTION("""COMPUTED_VALUE"""),"70000546")</f>
        <v>70000546</v>
      </c>
      <c r="D5164" s="380" t="s">
        <v>767</v>
      </c>
      <c r="E5164" s="380" t="s">
        <v>786</v>
      </c>
      <c r="F5164" s="380" t="s">
        <v>5683</v>
      </c>
      <c r="G5164" s="380" t="s">
        <v>1267</v>
      </c>
      <c r="H5164" s="380" t="s">
        <v>771</v>
      </c>
      <c r="I5164" s="380" t="s">
        <v>788</v>
      </c>
      <c r="J5164" s="380" t="s">
        <v>773</v>
      </c>
      <c r="K5164" s="381">
        <v>0.0</v>
      </c>
      <c r="L5164" s="382">
        <v>1.0</v>
      </c>
    </row>
    <row r="5165">
      <c r="A5165" s="380" t="s">
        <v>6039</v>
      </c>
      <c r="B5165" s="380" t="str">
        <f>IFERROR(__xludf.DUMMYFUNCTION("""COMPUTED_VALUE"""),"Arandela Housing Trasero Npr 9096530020")</f>
        <v>Arandela Housing Trasero Npr 9096530020</v>
      </c>
      <c r="C5165" s="380" t="str">
        <f>IFERROR(__xludf.DUMMYFUNCTION("""COMPUTED_VALUE"""),"70000547")</f>
        <v>70000547</v>
      </c>
      <c r="D5165" s="380" t="s">
        <v>767</v>
      </c>
      <c r="E5165" s="380" t="s">
        <v>786</v>
      </c>
      <c r="F5165" s="380" t="s">
        <v>5683</v>
      </c>
      <c r="G5165" s="380" t="s">
        <v>1267</v>
      </c>
      <c r="H5165" s="380" t="s">
        <v>771</v>
      </c>
      <c r="I5165" s="380" t="s">
        <v>788</v>
      </c>
      <c r="J5165" s="380" t="s">
        <v>773</v>
      </c>
      <c r="K5165" s="381">
        <v>0.0</v>
      </c>
      <c r="L5165" s="382">
        <v>1.0</v>
      </c>
    </row>
    <row r="5166">
      <c r="A5166" s="380" t="s">
        <v>6040</v>
      </c>
      <c r="B5166" s="380" t="str">
        <f>IFERROR(__xludf.DUMMYFUNCTION("""COMPUTED_VALUE"""),"Bombona Suspension Cabina Eag 2500012C1")</f>
        <v>Bombona Suspension Cabina Eag 2500012C1</v>
      </c>
      <c r="C5166" s="380" t="str">
        <f>IFERROR(__xludf.DUMMYFUNCTION("""COMPUTED_VALUE"""),"70000548")</f>
        <v>70000548</v>
      </c>
      <c r="D5166" s="380" t="s">
        <v>767</v>
      </c>
      <c r="E5166" s="380" t="s">
        <v>786</v>
      </c>
      <c r="F5166" s="380" t="s">
        <v>1039</v>
      </c>
      <c r="G5166" s="380" t="s">
        <v>1267</v>
      </c>
      <c r="H5166" s="380" t="s">
        <v>771</v>
      </c>
      <c r="I5166" s="380" t="s">
        <v>788</v>
      </c>
      <c r="J5166" s="380" t="s">
        <v>773</v>
      </c>
      <c r="K5166" s="381">
        <v>561718.0</v>
      </c>
      <c r="L5166" s="382">
        <v>1.0</v>
      </c>
    </row>
    <row r="5167">
      <c r="A5167" s="380" t="s">
        <v>6041</v>
      </c>
      <c r="B5167" s="380" t="str">
        <f>IFERROR(__xludf.DUMMYFUNCTION("""COMPUTED_VALUE"""),"Kit Carcasa Filtro Aire Eagle 3529036C92")</f>
        <v>Kit Carcasa Filtro Aire Eagle 3529036C92</v>
      </c>
      <c r="C5167" s="380" t="str">
        <f>IFERROR(__xludf.DUMMYFUNCTION("""COMPUTED_VALUE"""),"70000549")</f>
        <v>70000549</v>
      </c>
      <c r="D5167" s="380" t="s">
        <v>767</v>
      </c>
      <c r="E5167" s="380" t="s">
        <v>786</v>
      </c>
      <c r="F5167" s="380" t="s">
        <v>792</v>
      </c>
      <c r="G5167" s="380" t="s">
        <v>1267</v>
      </c>
      <c r="H5167" s="380" t="s">
        <v>771</v>
      </c>
      <c r="I5167" s="380" t="s">
        <v>788</v>
      </c>
      <c r="J5167" s="380" t="s">
        <v>773</v>
      </c>
      <c r="K5167" s="381">
        <v>0.0</v>
      </c>
      <c r="L5167" s="382">
        <v>1.0</v>
      </c>
    </row>
    <row r="5168">
      <c r="A5168" s="380" t="s">
        <v>6042</v>
      </c>
      <c r="B5168" s="380" t="str">
        <f>IFERROR(__xludf.DUMMYFUNCTION("""COMPUTED_VALUE"""),"Hoja Muelle Ppal Del KW 59400/1")</f>
        <v>Hoja Muelle Ppal Del KW 59400/1</v>
      </c>
      <c r="C5168" s="380" t="str">
        <f>IFERROR(__xludf.DUMMYFUNCTION("""COMPUTED_VALUE"""),"70000550")</f>
        <v>70000550</v>
      </c>
      <c r="D5168" s="380" t="s">
        <v>767</v>
      </c>
      <c r="E5168" s="380" t="s">
        <v>786</v>
      </c>
      <c r="F5168" s="380" t="s">
        <v>1039</v>
      </c>
      <c r="G5168" s="380" t="s">
        <v>1267</v>
      </c>
      <c r="H5168" s="380" t="s">
        <v>771</v>
      </c>
      <c r="I5168" s="380" t="s">
        <v>788</v>
      </c>
      <c r="J5168" s="380" t="s">
        <v>773</v>
      </c>
      <c r="K5168" s="381">
        <v>1250393.0</v>
      </c>
      <c r="L5168" s="382">
        <v>1.0</v>
      </c>
    </row>
    <row r="5169">
      <c r="A5169" s="380" t="s">
        <v>6043</v>
      </c>
      <c r="B5169" s="380" t="str">
        <f>IFERROR(__xludf.DUMMYFUNCTION("""COMPUTED_VALUE"""),"Anillo Bronce Sincro 5ta Hino 3339637020")</f>
        <v>Anillo Bronce Sincro 5ta Hino 3339637020</v>
      </c>
      <c r="C5169" s="380" t="str">
        <f>IFERROR(__xludf.DUMMYFUNCTION("""COMPUTED_VALUE"""),"70000551")</f>
        <v>70000551</v>
      </c>
      <c r="D5169" s="380" t="s">
        <v>767</v>
      </c>
      <c r="E5169" s="380" t="s">
        <v>786</v>
      </c>
      <c r="F5169" s="380" t="s">
        <v>928</v>
      </c>
      <c r="G5169" s="380" t="s">
        <v>1267</v>
      </c>
      <c r="H5169" s="380" t="s">
        <v>771</v>
      </c>
      <c r="I5169" s="380" t="s">
        <v>788</v>
      </c>
      <c r="J5169" s="380" t="s">
        <v>773</v>
      </c>
      <c r="K5169" s="381">
        <v>0.0</v>
      </c>
      <c r="L5169" s="382">
        <v>1.0</v>
      </c>
    </row>
    <row r="5170">
      <c r="A5170" s="380" t="s">
        <v>6044</v>
      </c>
      <c r="B5170" s="380" t="str">
        <f>IFERROR(__xludf.DUMMYFUNCTION("""COMPUTED_VALUE"""),"Anillo Bronce Sincro Hino 3303837030")</f>
        <v>Anillo Bronce Sincro Hino 3303837030</v>
      </c>
      <c r="C5170" s="380" t="str">
        <f>IFERROR(__xludf.DUMMYFUNCTION("""COMPUTED_VALUE"""),"70000552")</f>
        <v>70000552</v>
      </c>
      <c r="D5170" s="380" t="s">
        <v>767</v>
      </c>
      <c r="E5170" s="380" t="s">
        <v>786</v>
      </c>
      <c r="F5170" s="380" t="s">
        <v>928</v>
      </c>
      <c r="G5170" s="380" t="s">
        <v>1267</v>
      </c>
      <c r="H5170" s="380" t="s">
        <v>771</v>
      </c>
      <c r="I5170" s="380" t="s">
        <v>788</v>
      </c>
      <c r="J5170" s="380" t="s">
        <v>773</v>
      </c>
      <c r="K5170" s="381">
        <v>0.0</v>
      </c>
      <c r="L5170" s="382">
        <v>1.0</v>
      </c>
    </row>
    <row r="5171">
      <c r="A5171" s="380" t="s">
        <v>6045</v>
      </c>
      <c r="B5171" s="380" t="str">
        <f>IFERROR(__xludf.DUMMYFUNCTION("""COMPUTED_VALUE"""),"Cubo Sincro Hino 3336437040")</f>
        <v>Cubo Sincro Hino 3336437040</v>
      </c>
      <c r="C5171" s="380" t="str">
        <f>IFERROR(__xludf.DUMMYFUNCTION("""COMPUTED_VALUE"""),"70000553")</f>
        <v>70000553</v>
      </c>
      <c r="D5171" s="380" t="s">
        <v>767</v>
      </c>
      <c r="E5171" s="380" t="s">
        <v>786</v>
      </c>
      <c r="F5171" s="380" t="s">
        <v>928</v>
      </c>
      <c r="G5171" s="380" t="s">
        <v>1267</v>
      </c>
      <c r="H5171" s="380" t="s">
        <v>771</v>
      </c>
      <c r="I5171" s="380" t="s">
        <v>788</v>
      </c>
      <c r="J5171" s="380" t="s">
        <v>773</v>
      </c>
      <c r="K5171" s="381">
        <v>0.0</v>
      </c>
      <c r="L5171" s="382">
        <v>1.0</v>
      </c>
    </row>
    <row r="5172">
      <c r="A5172" s="380" t="s">
        <v>6046</v>
      </c>
      <c r="B5172" s="380" t="str">
        <f>IFERROR(__xludf.DUMMYFUNCTION("""COMPUTED_VALUE"""),"Cuña Sincro 1ra Hino 3336537050")</f>
        <v>Cuña Sincro 1ra Hino 3336537050</v>
      </c>
      <c r="C5172" s="380" t="str">
        <f>IFERROR(__xludf.DUMMYFUNCTION("""COMPUTED_VALUE"""),"70000554")</f>
        <v>70000554</v>
      </c>
      <c r="D5172" s="380" t="s">
        <v>767</v>
      </c>
      <c r="E5172" s="380" t="s">
        <v>786</v>
      </c>
      <c r="F5172" s="380" t="s">
        <v>928</v>
      </c>
      <c r="G5172" s="380" t="s">
        <v>1267</v>
      </c>
      <c r="H5172" s="380" t="s">
        <v>771</v>
      </c>
      <c r="I5172" s="380" t="s">
        <v>788</v>
      </c>
      <c r="J5172" s="380" t="s">
        <v>773</v>
      </c>
      <c r="K5172" s="381">
        <v>0.0</v>
      </c>
      <c r="L5172" s="382">
        <v>1.0</v>
      </c>
    </row>
    <row r="5173">
      <c r="A5173" s="380" t="s">
        <v>6047</v>
      </c>
      <c r="B5173" s="380" t="str">
        <f>IFERROR(__xludf.DUMMYFUNCTION("""COMPUTED_VALUE"""),"Anillo Bronce Sincro 3da Hino 3336937020")</f>
        <v>Anillo Bronce Sincro 3da Hino 3336937020</v>
      </c>
      <c r="C5173" s="380" t="str">
        <f>IFERROR(__xludf.DUMMYFUNCTION("""COMPUTED_VALUE"""),"70000555")</f>
        <v>70000555</v>
      </c>
      <c r="D5173" s="380" t="s">
        <v>767</v>
      </c>
      <c r="E5173" s="380" t="s">
        <v>786</v>
      </c>
      <c r="F5173" s="380" t="s">
        <v>928</v>
      </c>
      <c r="G5173" s="380" t="s">
        <v>1267</v>
      </c>
      <c r="H5173" s="380" t="s">
        <v>771</v>
      </c>
      <c r="I5173" s="380" t="s">
        <v>788</v>
      </c>
      <c r="J5173" s="380" t="s">
        <v>773</v>
      </c>
      <c r="K5173" s="381">
        <v>0.0</v>
      </c>
      <c r="L5173" s="382">
        <v>1.0</v>
      </c>
    </row>
    <row r="5174">
      <c r="A5174" s="380" t="s">
        <v>6048</v>
      </c>
      <c r="B5174" s="380" t="str">
        <f>IFERROR(__xludf.DUMMYFUNCTION("""COMPUTED_VALUE"""),"Piñon 2da Hino 3342437010")</f>
        <v>Piñon 2da Hino 3342437010</v>
      </c>
      <c r="C5174" s="380" t="str">
        <f>IFERROR(__xludf.DUMMYFUNCTION("""COMPUTED_VALUE"""),"70000556")</f>
        <v>70000556</v>
      </c>
      <c r="D5174" s="380" t="s">
        <v>767</v>
      </c>
      <c r="E5174" s="380" t="s">
        <v>786</v>
      </c>
      <c r="F5174" s="380" t="s">
        <v>928</v>
      </c>
      <c r="G5174" s="380" t="s">
        <v>1267</v>
      </c>
      <c r="H5174" s="380" t="s">
        <v>771</v>
      </c>
      <c r="I5174" s="380" t="s">
        <v>788</v>
      </c>
      <c r="J5174" s="380" t="s">
        <v>773</v>
      </c>
      <c r="K5174" s="381">
        <v>0.0</v>
      </c>
      <c r="L5174" s="382">
        <v>1.0</v>
      </c>
    </row>
    <row r="5175">
      <c r="A5175" s="380" t="s">
        <v>6049</v>
      </c>
      <c r="B5175" s="380" t="str">
        <f>IFERROR(__xludf.DUMMYFUNCTION("""COMPUTED_VALUE"""),"Bocel Farola Izq Npr-Nhr 8978983671")</f>
        <v>Bocel Farola Izq Npr-Nhr 8978983671</v>
      </c>
      <c r="C5175" s="380" t="str">
        <f>IFERROR(__xludf.DUMMYFUNCTION("""COMPUTED_VALUE"""),"70000557")</f>
        <v>70000557</v>
      </c>
      <c r="D5175" s="380" t="s">
        <v>767</v>
      </c>
      <c r="E5175" s="380" t="s">
        <v>786</v>
      </c>
      <c r="F5175" s="380" t="s">
        <v>792</v>
      </c>
      <c r="G5175" s="380" t="s">
        <v>1267</v>
      </c>
      <c r="H5175" s="380" t="s">
        <v>771</v>
      </c>
      <c r="I5175" s="380" t="s">
        <v>788</v>
      </c>
      <c r="J5175" s="380" t="s">
        <v>773</v>
      </c>
      <c r="K5175" s="381">
        <v>0.0</v>
      </c>
      <c r="L5175" s="382">
        <v>1.0</v>
      </c>
    </row>
    <row r="5176">
      <c r="A5176" s="380" t="s">
        <v>6050</v>
      </c>
      <c r="B5176" s="380" t="str">
        <f>IFERROR(__xludf.DUMMYFUNCTION("""COMPUTED_VALUE"""),"Cilindro Fren Tra Der S/PG N200 24512236")</f>
        <v>Cilindro Fren Tra Der S/PG N200 24512236</v>
      </c>
      <c r="C5176" s="380" t="str">
        <f>IFERROR(__xludf.DUMMYFUNCTION("""COMPUTED_VALUE"""),"70000558")</f>
        <v>70000558</v>
      </c>
      <c r="D5176" s="380" t="s">
        <v>767</v>
      </c>
      <c r="E5176" s="380" t="s">
        <v>786</v>
      </c>
      <c r="F5176" s="380" t="s">
        <v>1017</v>
      </c>
      <c r="G5176" s="380" t="s">
        <v>1267</v>
      </c>
      <c r="H5176" s="380" t="s">
        <v>771</v>
      </c>
      <c r="I5176" s="380" t="s">
        <v>788</v>
      </c>
      <c r="J5176" s="380" t="s">
        <v>773</v>
      </c>
      <c r="K5176" s="381">
        <v>0.0</v>
      </c>
      <c r="L5176" s="382">
        <v>1.0</v>
      </c>
    </row>
    <row r="5177">
      <c r="A5177" s="380" t="s">
        <v>6051</v>
      </c>
      <c r="B5177" s="380" t="str">
        <f>IFERROR(__xludf.DUMMYFUNCTION("""COMPUTED_VALUE"""),"Kit Sellos Caja Dir Eag 2585853C91")</f>
        <v>Kit Sellos Caja Dir Eag 2585853C91</v>
      </c>
      <c r="C5177" s="380" t="str">
        <f>IFERROR(__xludf.DUMMYFUNCTION("""COMPUTED_VALUE"""),"70000559")</f>
        <v>70000559</v>
      </c>
      <c r="D5177" s="380" t="s">
        <v>767</v>
      </c>
      <c r="E5177" s="380" t="s">
        <v>786</v>
      </c>
      <c r="F5177" s="380" t="s">
        <v>1020</v>
      </c>
      <c r="G5177" s="380" t="s">
        <v>1267</v>
      </c>
      <c r="H5177" s="380" t="s">
        <v>771</v>
      </c>
      <c r="I5177" s="380" t="s">
        <v>788</v>
      </c>
      <c r="J5177" s="380" t="s">
        <v>773</v>
      </c>
      <c r="K5177" s="381">
        <v>0.0</v>
      </c>
      <c r="L5177" s="382">
        <v>1.0</v>
      </c>
    </row>
    <row r="5178">
      <c r="A5178" s="380" t="s">
        <v>6052</v>
      </c>
      <c r="B5178" s="380" t="str">
        <f>IFERROR(__xludf.DUMMYFUNCTION("""COMPUTED_VALUE"""),"Horquilla Embrague Npr 98/04 8971879360")</f>
        <v>Horquilla Embrague Npr 98/04 8971879360</v>
      </c>
      <c r="C5178" s="380" t="str">
        <f>IFERROR(__xludf.DUMMYFUNCTION("""COMPUTED_VALUE"""),"70000560")</f>
        <v>70000560</v>
      </c>
      <c r="D5178" s="380" t="s">
        <v>767</v>
      </c>
      <c r="E5178" s="380" t="s">
        <v>786</v>
      </c>
      <c r="F5178" s="380" t="s">
        <v>5661</v>
      </c>
      <c r="G5178" s="380" t="s">
        <v>1267</v>
      </c>
      <c r="H5178" s="380" t="s">
        <v>771</v>
      </c>
      <c r="I5178" s="380" t="s">
        <v>788</v>
      </c>
      <c r="J5178" s="380" t="s">
        <v>773</v>
      </c>
      <c r="K5178" s="381">
        <v>0.0</v>
      </c>
      <c r="L5178" s="382">
        <v>1.0</v>
      </c>
    </row>
    <row r="5179">
      <c r="A5179" s="380" t="s">
        <v>6053</v>
      </c>
      <c r="B5179" s="380" t="str">
        <f>IFERROR(__xludf.DUMMYFUNCTION("""COMPUTED_VALUE"""),"Panel Lateral Frontal Izq Nkr 8975824715")</f>
        <v>Panel Lateral Frontal Izq Nkr 8975824715</v>
      </c>
      <c r="C5179" s="380" t="str">
        <f>IFERROR(__xludf.DUMMYFUNCTION("""COMPUTED_VALUE"""),"70000561")</f>
        <v>70000561</v>
      </c>
      <c r="D5179" s="380" t="s">
        <v>767</v>
      </c>
      <c r="E5179" s="380" t="s">
        <v>786</v>
      </c>
      <c r="F5179" s="380" t="s">
        <v>792</v>
      </c>
      <c r="G5179" s="380" t="s">
        <v>1267</v>
      </c>
      <c r="H5179" s="380" t="s">
        <v>771</v>
      </c>
      <c r="I5179" s="380" t="s">
        <v>788</v>
      </c>
      <c r="J5179" s="380" t="s">
        <v>773</v>
      </c>
      <c r="K5179" s="381">
        <v>0.0</v>
      </c>
      <c r="L5179" s="382">
        <v>1.0</v>
      </c>
    </row>
    <row r="5180">
      <c r="A5180" s="380" t="s">
        <v>6054</v>
      </c>
      <c r="B5180" s="380" t="str">
        <f>IFERROR(__xludf.DUMMYFUNCTION("""COMPUTED_VALUE"""),"Platina Soporte Caja Vel Nkr 8970292860")</f>
        <v>Platina Soporte Caja Vel Nkr 8970292860</v>
      </c>
      <c r="C5180" s="380" t="str">
        <f>IFERROR(__xludf.DUMMYFUNCTION("""COMPUTED_VALUE"""),"70000562")</f>
        <v>70000562</v>
      </c>
      <c r="D5180" s="380" t="s">
        <v>767</v>
      </c>
      <c r="E5180" s="380" t="s">
        <v>786</v>
      </c>
      <c r="F5180" s="380" t="s">
        <v>928</v>
      </c>
      <c r="G5180" s="380" t="s">
        <v>1267</v>
      </c>
      <c r="H5180" s="380" t="s">
        <v>771</v>
      </c>
      <c r="I5180" s="380" t="s">
        <v>788</v>
      </c>
      <c r="J5180" s="380" t="s">
        <v>773</v>
      </c>
      <c r="K5180" s="381">
        <v>0.0</v>
      </c>
      <c r="L5180" s="382">
        <v>1.0</v>
      </c>
    </row>
    <row r="5181">
      <c r="A5181" s="380" t="s">
        <v>6055</v>
      </c>
      <c r="B5181" s="380" t="str">
        <f>IFERROR(__xludf.DUMMYFUNCTION("""COMPUTED_VALUE"""),"Clip Sujecion Moldura Nkr III 1099831610")</f>
        <v>Clip Sujecion Moldura Nkr III 1099831610</v>
      </c>
      <c r="C5181" s="380" t="str">
        <f>IFERROR(__xludf.DUMMYFUNCTION("""COMPUTED_VALUE"""),"70000563")</f>
        <v>70000563</v>
      </c>
      <c r="D5181" s="380" t="s">
        <v>767</v>
      </c>
      <c r="E5181" s="380" t="s">
        <v>786</v>
      </c>
      <c r="F5181" s="380" t="s">
        <v>792</v>
      </c>
      <c r="G5181" s="380" t="s">
        <v>1267</v>
      </c>
      <c r="H5181" s="380" t="s">
        <v>771</v>
      </c>
      <c r="I5181" s="380" t="s">
        <v>788</v>
      </c>
      <c r="J5181" s="380" t="s">
        <v>773</v>
      </c>
      <c r="K5181" s="381">
        <v>0.0</v>
      </c>
      <c r="L5181" s="382">
        <v>1.0</v>
      </c>
    </row>
    <row r="5182">
      <c r="A5182" s="380" t="s">
        <v>6056</v>
      </c>
      <c r="B5182" s="380" t="str">
        <f>IFERROR(__xludf.DUMMYFUNCTION("""COMPUTED_VALUE"""),"Tapa Soporte Espejo Nkr 2012 8980275522")</f>
        <v>Tapa Soporte Espejo Nkr 2012 8980275522</v>
      </c>
      <c r="C5182" s="380" t="str">
        <f>IFERROR(__xludf.DUMMYFUNCTION("""COMPUTED_VALUE"""),"70000564")</f>
        <v>70000564</v>
      </c>
      <c r="D5182" s="380" t="s">
        <v>767</v>
      </c>
      <c r="E5182" s="380" t="s">
        <v>786</v>
      </c>
      <c r="F5182" s="380" t="s">
        <v>792</v>
      </c>
      <c r="G5182" s="380" t="s">
        <v>1267</v>
      </c>
      <c r="H5182" s="380" t="s">
        <v>771</v>
      </c>
      <c r="I5182" s="380" t="s">
        <v>788</v>
      </c>
      <c r="J5182" s="380" t="s">
        <v>773</v>
      </c>
      <c r="K5182" s="381">
        <v>0.0</v>
      </c>
      <c r="L5182" s="382">
        <v>1.0</v>
      </c>
    </row>
    <row r="5183">
      <c r="A5183" s="380" t="s">
        <v>6057</v>
      </c>
      <c r="B5183" s="380" t="str">
        <f>IFERROR(__xludf.DUMMYFUNCTION("""COMPUTED_VALUE"""),"Clip Fijacion Tapiz Nkr 2012 8982213001")</f>
        <v>Clip Fijacion Tapiz Nkr 2012 8982213001</v>
      </c>
      <c r="C5183" s="380" t="str">
        <f>IFERROR(__xludf.DUMMYFUNCTION("""COMPUTED_VALUE"""),"70000565")</f>
        <v>70000565</v>
      </c>
      <c r="D5183" s="380" t="s">
        <v>767</v>
      </c>
      <c r="E5183" s="380" t="s">
        <v>786</v>
      </c>
      <c r="F5183" s="380" t="s">
        <v>792</v>
      </c>
      <c r="G5183" s="380" t="s">
        <v>1267</v>
      </c>
      <c r="H5183" s="380" t="s">
        <v>771</v>
      </c>
      <c r="I5183" s="380" t="s">
        <v>788</v>
      </c>
      <c r="J5183" s="380" t="s">
        <v>773</v>
      </c>
      <c r="K5183" s="381">
        <v>0.0</v>
      </c>
      <c r="L5183" s="382">
        <v>1.0</v>
      </c>
    </row>
    <row r="5184">
      <c r="A5184" s="380" t="s">
        <v>6058</v>
      </c>
      <c r="B5184" s="380" t="str">
        <f>IFERROR(__xludf.DUMMYFUNCTION("""COMPUTED_VALUE"""),"Soporte Bomper Der Nkr RW 8980252114")</f>
        <v>Soporte Bomper Der Nkr RW 8980252114</v>
      </c>
      <c r="C5184" s="380" t="str">
        <f>IFERROR(__xludf.DUMMYFUNCTION("""COMPUTED_VALUE"""),"70000566")</f>
        <v>70000566</v>
      </c>
      <c r="D5184" s="380" t="s">
        <v>767</v>
      </c>
      <c r="E5184" s="380" t="s">
        <v>786</v>
      </c>
      <c r="F5184" s="380" t="s">
        <v>792</v>
      </c>
      <c r="G5184" s="380" t="s">
        <v>1267</v>
      </c>
      <c r="H5184" s="380" t="s">
        <v>771</v>
      </c>
      <c r="I5184" s="380" t="s">
        <v>788</v>
      </c>
      <c r="J5184" s="380" t="s">
        <v>773</v>
      </c>
      <c r="K5184" s="381">
        <v>209333.0</v>
      </c>
      <c r="L5184" s="382">
        <v>1.0</v>
      </c>
    </row>
    <row r="5185">
      <c r="A5185" s="380" t="s">
        <v>6059</v>
      </c>
      <c r="B5185" s="380" t="str">
        <f>IFERROR(__xludf.DUMMYFUNCTION("""COMPUTED_VALUE"""),"Tapa Llenado Aceite N200 24540995")</f>
        <v>Tapa Llenado Aceite N200 24540995</v>
      </c>
      <c r="C5185" s="380" t="str">
        <f>IFERROR(__xludf.DUMMYFUNCTION("""COMPUTED_VALUE"""),"70000567")</f>
        <v>70000567</v>
      </c>
      <c r="D5185" s="380" t="s">
        <v>767</v>
      </c>
      <c r="E5185" s="380" t="s">
        <v>786</v>
      </c>
      <c r="F5185" s="380" t="s">
        <v>787</v>
      </c>
      <c r="G5185" s="380" t="s">
        <v>1267</v>
      </c>
      <c r="H5185" s="380" t="s">
        <v>771</v>
      </c>
      <c r="I5185" s="380" t="s">
        <v>788</v>
      </c>
      <c r="J5185" s="380" t="s">
        <v>773</v>
      </c>
      <c r="K5185" s="381">
        <v>0.0</v>
      </c>
      <c r="L5185" s="382">
        <v>1.0</v>
      </c>
    </row>
    <row r="5186">
      <c r="A5186" s="380" t="s">
        <v>6060</v>
      </c>
      <c r="B5186" s="380" t="str">
        <f>IFERROR(__xludf.DUMMYFUNCTION("""COMPUTED_VALUE"""),"Interruptor Vidrio Puerta N200 5498450")</f>
        <v>Interruptor Vidrio Puerta N200 5498450</v>
      </c>
      <c r="C5186" s="380" t="str">
        <f>IFERROR(__xludf.DUMMYFUNCTION("""COMPUTED_VALUE"""),"70000568")</f>
        <v>70000568</v>
      </c>
      <c r="D5186" s="380" t="s">
        <v>767</v>
      </c>
      <c r="E5186" s="380" t="s">
        <v>786</v>
      </c>
      <c r="F5186" s="380" t="s">
        <v>998</v>
      </c>
      <c r="G5186" s="380" t="s">
        <v>1267</v>
      </c>
      <c r="H5186" s="380" t="s">
        <v>771</v>
      </c>
      <c r="I5186" s="380" t="s">
        <v>788</v>
      </c>
      <c r="J5186" s="380" t="s">
        <v>773</v>
      </c>
      <c r="K5186" s="381">
        <v>0.0</v>
      </c>
      <c r="L5186" s="382">
        <v>1.0</v>
      </c>
    </row>
    <row r="5187">
      <c r="A5187" s="380" t="s">
        <v>6061</v>
      </c>
      <c r="B5187" s="380" t="str">
        <f>IFERROR(__xludf.DUMMYFUNCTION("""COMPUTED_VALUE"""),"Banda Freno Emergencia Nkr 8970429331")</f>
        <v>Banda Freno Emergencia Nkr 8970429331</v>
      </c>
      <c r="C5187" s="380" t="str">
        <f>IFERROR(__xludf.DUMMYFUNCTION("""COMPUTED_VALUE"""),"70000569")</f>
        <v>70000569</v>
      </c>
      <c r="D5187" s="380" t="s">
        <v>767</v>
      </c>
      <c r="E5187" s="380" t="s">
        <v>786</v>
      </c>
      <c r="F5187" s="380" t="s">
        <v>1017</v>
      </c>
      <c r="G5187" s="380" t="s">
        <v>1267</v>
      </c>
      <c r="H5187" s="380" t="s">
        <v>771</v>
      </c>
      <c r="I5187" s="380" t="s">
        <v>788</v>
      </c>
      <c r="J5187" s="380" t="s">
        <v>773</v>
      </c>
      <c r="K5187" s="381">
        <v>0.0</v>
      </c>
      <c r="L5187" s="382">
        <v>1.0</v>
      </c>
    </row>
    <row r="5188">
      <c r="A5188" s="380" t="s">
        <v>6062</v>
      </c>
      <c r="B5188" s="380" t="str">
        <f>IFERROR(__xludf.DUMMYFUNCTION("""COMPUTED_VALUE"""),"Inducido Arranque 42mt 1987989")</f>
        <v>Inducido Arranque 42mt 1987989</v>
      </c>
      <c r="C5188" s="380" t="str">
        <f>IFERROR(__xludf.DUMMYFUNCTION("""COMPUTED_VALUE"""),"70000570")</f>
        <v>70000570</v>
      </c>
      <c r="D5188" s="380" t="s">
        <v>767</v>
      </c>
      <c r="E5188" s="380" t="s">
        <v>786</v>
      </c>
      <c r="F5188" s="380" t="s">
        <v>998</v>
      </c>
      <c r="G5188" s="380" t="s">
        <v>1267</v>
      </c>
      <c r="H5188" s="380" t="s">
        <v>771</v>
      </c>
      <c r="I5188" s="380" t="s">
        <v>788</v>
      </c>
      <c r="J5188" s="380" t="s">
        <v>773</v>
      </c>
      <c r="K5188" s="381">
        <v>374255.0</v>
      </c>
      <c r="L5188" s="382">
        <v>1.0</v>
      </c>
    </row>
    <row r="5189">
      <c r="A5189" s="380" t="s">
        <v>6063</v>
      </c>
      <c r="B5189" s="380" t="str">
        <f>IFERROR(__xludf.DUMMYFUNCTION("""COMPUTED_VALUE"""),"Inyector Motor T Delta 2360059245")</f>
        <v>Inyector Motor T Delta 2360059245</v>
      </c>
      <c r="C5189" s="380" t="str">
        <f>IFERROR(__xludf.DUMMYFUNCTION("""COMPUTED_VALUE"""),"70000571")</f>
        <v>70000571</v>
      </c>
      <c r="D5189" s="380" t="s">
        <v>767</v>
      </c>
      <c r="E5189" s="380" t="s">
        <v>786</v>
      </c>
      <c r="F5189" s="380" t="s">
        <v>787</v>
      </c>
      <c r="G5189" s="380" t="s">
        <v>1267</v>
      </c>
      <c r="H5189" s="380" t="s">
        <v>771</v>
      </c>
      <c r="I5189" s="380" t="s">
        <v>788</v>
      </c>
      <c r="J5189" s="380" t="s">
        <v>773</v>
      </c>
      <c r="K5189" s="381">
        <v>0.0</v>
      </c>
      <c r="L5189" s="382">
        <v>1.0</v>
      </c>
    </row>
    <row r="5190">
      <c r="A5190" s="380" t="s">
        <v>6064</v>
      </c>
      <c r="B5190" s="380" t="str">
        <f>IFERROR(__xludf.DUMMYFUNCTION("""COMPUTED_VALUE"""),"Esparrago Rueda Del Izq Nhr 8971264871")</f>
        <v>Esparrago Rueda Del Izq Nhr 8971264871</v>
      </c>
      <c r="C5190" s="380" t="str">
        <f>IFERROR(__xludf.DUMMYFUNCTION("""COMPUTED_VALUE"""),"70000572")</f>
        <v>70000572</v>
      </c>
      <c r="D5190" s="380" t="s">
        <v>767</v>
      </c>
      <c r="E5190" s="380" t="s">
        <v>786</v>
      </c>
      <c r="F5190" s="380" t="s">
        <v>1039</v>
      </c>
      <c r="G5190" s="380" t="s">
        <v>1267</v>
      </c>
      <c r="H5190" s="380" t="s">
        <v>771</v>
      </c>
      <c r="I5190" s="380" t="s">
        <v>788</v>
      </c>
      <c r="J5190" s="380" t="s">
        <v>773</v>
      </c>
      <c r="K5190" s="381">
        <v>0.0</v>
      </c>
      <c r="L5190" s="382">
        <v>1.0</v>
      </c>
    </row>
    <row r="5191">
      <c r="A5191" s="380" t="s">
        <v>6065</v>
      </c>
      <c r="B5191" s="380" t="str">
        <f>IFERROR(__xludf.DUMMYFUNCTION("""COMPUTED_VALUE"""),"Filtro Comb Elem 876100931 Rw 8981628970")</f>
        <v>Filtro Comb Elem 876100931 Rw 8981628970</v>
      </c>
      <c r="C5191" s="380" t="str">
        <f>IFERROR(__xludf.DUMMYFUNCTION("""COMPUTED_VALUE"""),"70000573")</f>
        <v>70000573</v>
      </c>
      <c r="D5191" s="380" t="s">
        <v>767</v>
      </c>
      <c r="E5191" s="380" t="s">
        <v>786</v>
      </c>
      <c r="F5191" s="380" t="s">
        <v>5855</v>
      </c>
      <c r="G5191" s="380" t="s">
        <v>1267</v>
      </c>
      <c r="H5191" s="380" t="s">
        <v>771</v>
      </c>
      <c r="I5191" s="380" t="s">
        <v>788</v>
      </c>
      <c r="J5191" s="380" t="s">
        <v>773</v>
      </c>
      <c r="K5191" s="381">
        <v>0.0</v>
      </c>
      <c r="L5191" s="382">
        <v>1.0</v>
      </c>
    </row>
    <row r="5192">
      <c r="A5192" s="380" t="s">
        <v>6066</v>
      </c>
      <c r="B5192" s="380" t="str">
        <f>IFERROR(__xludf.DUMMYFUNCTION("""COMPUTED_VALUE"""),"Filtro Aceite Elem Nkr2012 8980188580")</f>
        <v>Filtro Aceite Elem Nkr2012 8980188580</v>
      </c>
      <c r="C5192" s="380" t="str">
        <f>IFERROR(__xludf.DUMMYFUNCTION("""COMPUTED_VALUE"""),"70000574")</f>
        <v>70000574</v>
      </c>
      <c r="D5192" s="380" t="s">
        <v>767</v>
      </c>
      <c r="E5192" s="380" t="s">
        <v>786</v>
      </c>
      <c r="F5192" s="380" t="s">
        <v>5855</v>
      </c>
      <c r="G5192" s="380" t="s">
        <v>1267</v>
      </c>
      <c r="H5192" s="380" t="s">
        <v>771</v>
      </c>
      <c r="I5192" s="380" t="s">
        <v>788</v>
      </c>
      <c r="J5192" s="380" t="s">
        <v>773</v>
      </c>
      <c r="K5192" s="381">
        <v>0.0</v>
      </c>
      <c r="L5192" s="382">
        <v>1.0</v>
      </c>
    </row>
    <row r="5193">
      <c r="A5193" s="380" t="s">
        <v>6067</v>
      </c>
      <c r="B5193" s="380" t="str">
        <f>IFERROR(__xludf.DUMMYFUNCTION("""COMPUTED_VALUE"""),"Buje Bisagra Capot Freigh 1714250000")</f>
        <v>Buje Bisagra Capot Freigh 1714250000</v>
      </c>
      <c r="C5193" s="380" t="str">
        <f>IFERROR(__xludf.DUMMYFUNCTION("""COMPUTED_VALUE"""),"70000575")</f>
        <v>70000575</v>
      </c>
      <c r="D5193" s="380" t="s">
        <v>767</v>
      </c>
      <c r="E5193" s="380" t="s">
        <v>786</v>
      </c>
      <c r="F5193" s="380" t="s">
        <v>792</v>
      </c>
      <c r="G5193" s="380" t="s">
        <v>1267</v>
      </c>
      <c r="H5193" s="380" t="s">
        <v>771</v>
      </c>
      <c r="I5193" s="380" t="s">
        <v>788</v>
      </c>
      <c r="J5193" s="380" t="s">
        <v>773</v>
      </c>
      <c r="K5193" s="381">
        <v>0.0</v>
      </c>
      <c r="L5193" s="382">
        <v>1.0</v>
      </c>
    </row>
    <row r="5194">
      <c r="A5194" s="380" t="s">
        <v>6068</v>
      </c>
      <c r="B5194" s="380" t="str">
        <f>IFERROR(__xludf.DUMMYFUNCTION("""COMPUTED_VALUE"""),"Minifusible Aton De 10 A 30 Amperios")</f>
        <v>Minifusible Aton De 10 A 30 Amperios</v>
      </c>
      <c r="C5194" s="380" t="str">
        <f>IFERROR(__xludf.DUMMYFUNCTION("""COMPUTED_VALUE"""),"70000576")</f>
        <v>70000576</v>
      </c>
      <c r="D5194" s="380" t="s">
        <v>767</v>
      </c>
      <c r="E5194" s="380" t="s">
        <v>786</v>
      </c>
      <c r="F5194" s="380" t="s">
        <v>998</v>
      </c>
      <c r="G5194" s="380" t="s">
        <v>1267</v>
      </c>
      <c r="H5194" s="380" t="s">
        <v>771</v>
      </c>
      <c r="I5194" s="380" t="s">
        <v>788</v>
      </c>
      <c r="J5194" s="380" t="s">
        <v>773</v>
      </c>
      <c r="K5194" s="381">
        <v>0.0</v>
      </c>
      <c r="L5194" s="382">
        <v>1.0</v>
      </c>
    </row>
    <row r="5195">
      <c r="A5195" s="380" t="s">
        <v>6069</v>
      </c>
      <c r="B5195" s="380" t="str">
        <f>IFERROR(__xludf.DUMMYFUNCTION("""COMPUTED_VALUE"""),"Rejilla Ventilacion Cabina Eag 3529263C1")</f>
        <v>Rejilla Ventilacion Cabina Eag 3529263C1</v>
      </c>
      <c r="C5195" s="380" t="str">
        <f>IFERROR(__xludf.DUMMYFUNCTION("""COMPUTED_VALUE"""),"70000577")</f>
        <v>70000577</v>
      </c>
      <c r="D5195" s="380" t="s">
        <v>767</v>
      </c>
      <c r="E5195" s="380" t="s">
        <v>786</v>
      </c>
      <c r="F5195" s="380" t="s">
        <v>792</v>
      </c>
      <c r="G5195" s="380" t="s">
        <v>1267</v>
      </c>
      <c r="H5195" s="380" t="s">
        <v>771</v>
      </c>
      <c r="I5195" s="380" t="s">
        <v>788</v>
      </c>
      <c r="J5195" s="380" t="s">
        <v>773</v>
      </c>
      <c r="K5195" s="381">
        <v>107340.0</v>
      </c>
      <c r="L5195" s="382">
        <v>1.0</v>
      </c>
    </row>
    <row r="5196">
      <c r="A5196" s="380" t="s">
        <v>6070</v>
      </c>
      <c r="B5196" s="380" t="str">
        <f>IFERROR(__xludf.DUMMYFUNCTION("""COMPUTED_VALUE"""),"Anillo Bronce Sincro Hino 3303737050")</f>
        <v>Anillo Bronce Sincro Hino 3303737050</v>
      </c>
      <c r="C5196" s="380" t="str">
        <f>IFERROR(__xludf.DUMMYFUNCTION("""COMPUTED_VALUE"""),"70000578")</f>
        <v>70000578</v>
      </c>
      <c r="D5196" s="380" t="s">
        <v>767</v>
      </c>
      <c r="E5196" s="380" t="s">
        <v>786</v>
      </c>
      <c r="F5196" s="380" t="s">
        <v>928</v>
      </c>
      <c r="G5196" s="380" t="s">
        <v>1267</v>
      </c>
      <c r="H5196" s="380" t="s">
        <v>771</v>
      </c>
      <c r="I5196" s="380" t="s">
        <v>788</v>
      </c>
      <c r="J5196" s="380" t="s">
        <v>773</v>
      </c>
      <c r="K5196" s="381">
        <v>0.0</v>
      </c>
      <c r="L5196" s="382">
        <v>1.0</v>
      </c>
    </row>
    <row r="5197">
      <c r="A5197" s="380" t="s">
        <v>6071</v>
      </c>
      <c r="B5197" s="380" t="str">
        <f>IFERROR(__xludf.DUMMYFUNCTION("""COMPUTED_VALUE"""),"Piñon 3ra Hino 3304437020")</f>
        <v>Piñon 3ra Hino 3304437020</v>
      </c>
      <c r="C5197" s="380" t="str">
        <f>IFERROR(__xludf.DUMMYFUNCTION("""COMPUTED_VALUE"""),"70000579")</f>
        <v>70000579</v>
      </c>
      <c r="D5197" s="380" t="s">
        <v>767</v>
      </c>
      <c r="E5197" s="380" t="s">
        <v>786</v>
      </c>
      <c r="F5197" s="380" t="s">
        <v>928</v>
      </c>
      <c r="G5197" s="380" t="s">
        <v>1267</v>
      </c>
      <c r="H5197" s="380" t="s">
        <v>771</v>
      </c>
      <c r="I5197" s="380" t="s">
        <v>788</v>
      </c>
      <c r="J5197" s="380" t="s">
        <v>773</v>
      </c>
      <c r="K5197" s="381">
        <v>0.0</v>
      </c>
      <c r="L5197" s="382">
        <v>1.0</v>
      </c>
    </row>
    <row r="5198">
      <c r="A5198" s="380" t="s">
        <v>6072</v>
      </c>
      <c r="B5198" s="380" t="str">
        <f>IFERROR(__xludf.DUMMYFUNCTION("""COMPUTED_VALUE"""),"Interruptor Luces SB- V 3081574")</f>
        <v>Interruptor Luces SB- V 3081574</v>
      </c>
      <c r="C5198" s="380" t="str">
        <f>IFERROR(__xludf.DUMMYFUNCTION("""COMPUTED_VALUE"""),"70000580")</f>
        <v>70000580</v>
      </c>
      <c r="D5198" s="380" t="s">
        <v>767</v>
      </c>
      <c r="E5198" s="380" t="s">
        <v>786</v>
      </c>
      <c r="F5198" s="380" t="s">
        <v>998</v>
      </c>
      <c r="G5198" s="380" t="s">
        <v>1267</v>
      </c>
      <c r="H5198" s="380" t="s">
        <v>771</v>
      </c>
      <c r="I5198" s="380" t="s">
        <v>788</v>
      </c>
      <c r="J5198" s="380" t="s">
        <v>773</v>
      </c>
      <c r="K5198" s="381">
        <v>0.0</v>
      </c>
      <c r="L5198" s="382">
        <v>1.0</v>
      </c>
    </row>
    <row r="5199">
      <c r="A5199" s="380" t="s">
        <v>6073</v>
      </c>
      <c r="B5199" s="380" t="str">
        <f>IFERROR(__xludf.DUMMYFUNCTION("""COMPUTED_VALUE"""),"Cubo Sincro Hino 3336337060")</f>
        <v>Cubo Sincro Hino 3336337060</v>
      </c>
      <c r="C5199" s="380" t="str">
        <f>IFERROR(__xludf.DUMMYFUNCTION("""COMPUTED_VALUE"""),"70000581")</f>
        <v>70000581</v>
      </c>
      <c r="D5199" s="380" t="s">
        <v>767</v>
      </c>
      <c r="E5199" s="380" t="s">
        <v>786</v>
      </c>
      <c r="F5199" s="380" t="s">
        <v>928</v>
      </c>
      <c r="G5199" s="380" t="s">
        <v>1267</v>
      </c>
      <c r="H5199" s="380" t="s">
        <v>771</v>
      </c>
      <c r="I5199" s="380" t="s">
        <v>788</v>
      </c>
      <c r="J5199" s="380" t="s">
        <v>773</v>
      </c>
      <c r="K5199" s="381">
        <v>0.0</v>
      </c>
      <c r="L5199" s="382">
        <v>1.0</v>
      </c>
    </row>
    <row r="5200">
      <c r="A5200" s="380" t="s">
        <v>6074</v>
      </c>
      <c r="B5200" s="380" t="str">
        <f>IFERROR(__xludf.DUMMYFUNCTION("""COMPUTED_VALUE"""),"Cubo Sincro Hino 3339537030")</f>
        <v>Cubo Sincro Hino 3339537030</v>
      </c>
      <c r="C5200" s="380" t="str">
        <f>IFERROR(__xludf.DUMMYFUNCTION("""COMPUTED_VALUE"""),"70000582")</f>
        <v>70000582</v>
      </c>
      <c r="D5200" s="380" t="s">
        <v>767</v>
      </c>
      <c r="E5200" s="380" t="s">
        <v>786</v>
      </c>
      <c r="F5200" s="380" t="s">
        <v>928</v>
      </c>
      <c r="G5200" s="380" t="s">
        <v>1267</v>
      </c>
      <c r="H5200" s="380" t="s">
        <v>771</v>
      </c>
      <c r="I5200" s="380" t="s">
        <v>788</v>
      </c>
      <c r="J5200" s="380" t="s">
        <v>773</v>
      </c>
      <c r="K5200" s="381">
        <v>0.0</v>
      </c>
      <c r="L5200" s="382">
        <v>1.0</v>
      </c>
    </row>
    <row r="5201">
      <c r="A5201" s="380" t="s">
        <v>6075</v>
      </c>
      <c r="B5201" s="380" t="str">
        <f>IFERROR(__xludf.DUMMYFUNCTION("""COMPUTED_VALUE"""),"Fusible 30 Amperios Isx 3529690C1")</f>
        <v>Fusible 30 Amperios Isx 3529690C1</v>
      </c>
      <c r="C5201" s="380" t="str">
        <f>IFERROR(__xludf.DUMMYFUNCTION("""COMPUTED_VALUE"""),"70000583")</f>
        <v>70000583</v>
      </c>
      <c r="D5201" s="380" t="s">
        <v>767</v>
      </c>
      <c r="E5201" s="380" t="s">
        <v>786</v>
      </c>
      <c r="F5201" s="380" t="s">
        <v>998</v>
      </c>
      <c r="G5201" s="380" t="s">
        <v>1267</v>
      </c>
      <c r="H5201" s="380" t="s">
        <v>771</v>
      </c>
      <c r="I5201" s="380" t="s">
        <v>788</v>
      </c>
      <c r="J5201" s="380" t="s">
        <v>773</v>
      </c>
      <c r="K5201" s="381">
        <v>0.0</v>
      </c>
      <c r="L5201" s="382">
        <v>1.0</v>
      </c>
    </row>
    <row r="5202">
      <c r="A5202" s="380" t="s">
        <v>6076</v>
      </c>
      <c r="B5202" s="380" t="str">
        <f>IFERROR(__xludf.DUMMYFUNCTION("""COMPUTED_VALUE"""),"Fusible Termico 20 Amperio Isx 3529688C1")</f>
        <v>Fusible Termico 20 Amperio Isx 3529688C1</v>
      </c>
      <c r="C5202" s="380" t="str">
        <f>IFERROR(__xludf.DUMMYFUNCTION("""COMPUTED_VALUE"""),"70000584")</f>
        <v>70000584</v>
      </c>
      <c r="D5202" s="380" t="s">
        <v>767</v>
      </c>
      <c r="E5202" s="380" t="s">
        <v>786</v>
      </c>
      <c r="F5202" s="380" t="s">
        <v>998</v>
      </c>
      <c r="G5202" s="380" t="s">
        <v>1267</v>
      </c>
      <c r="H5202" s="380" t="s">
        <v>771</v>
      </c>
      <c r="I5202" s="380" t="s">
        <v>788</v>
      </c>
      <c r="J5202" s="380" t="s">
        <v>773</v>
      </c>
      <c r="K5202" s="381">
        <v>0.0</v>
      </c>
      <c r="L5202" s="382">
        <v>1.0</v>
      </c>
    </row>
    <row r="5203">
      <c r="A5203" s="380" t="s">
        <v>6077</v>
      </c>
      <c r="B5203" s="380" t="str">
        <f>IFERROR(__xludf.DUMMYFUNCTION("""COMPUTED_VALUE"""),"Oring Divisor De Potencia Eag 1670307C1")</f>
        <v>Oring Divisor De Potencia Eag 1670307C1</v>
      </c>
      <c r="C5203" s="380" t="str">
        <f>IFERROR(__xludf.DUMMYFUNCTION("""COMPUTED_VALUE"""),"70000585")</f>
        <v>70000585</v>
      </c>
      <c r="D5203" s="380" t="s">
        <v>767</v>
      </c>
      <c r="E5203" s="380" t="s">
        <v>786</v>
      </c>
      <c r="F5203" s="380" t="s">
        <v>5683</v>
      </c>
      <c r="G5203" s="380" t="s">
        <v>1267</v>
      </c>
      <c r="H5203" s="380" t="s">
        <v>771</v>
      </c>
      <c r="I5203" s="380" t="s">
        <v>788</v>
      </c>
      <c r="J5203" s="380" t="s">
        <v>773</v>
      </c>
      <c r="K5203" s="381">
        <v>0.0</v>
      </c>
      <c r="L5203" s="382">
        <v>1.0</v>
      </c>
    </row>
    <row r="5204">
      <c r="A5204" s="380" t="s">
        <v>6078</v>
      </c>
      <c r="B5204" s="380" t="str">
        <f>IFERROR(__xludf.DUMMYFUNCTION("""COMPUTED_VALUE"""),"Motor Arranque 24V Hino Dutro Wte2271A00")</f>
        <v>Motor Arranque 24V Hino Dutro Wte2271A00</v>
      </c>
      <c r="C5204" s="380" t="str">
        <f>IFERROR(__xludf.DUMMYFUNCTION("""COMPUTED_VALUE"""),"70000586")</f>
        <v>70000586</v>
      </c>
      <c r="D5204" s="380" t="s">
        <v>767</v>
      </c>
      <c r="E5204" s="380" t="s">
        <v>786</v>
      </c>
      <c r="F5204" s="380" t="s">
        <v>998</v>
      </c>
      <c r="G5204" s="380" t="s">
        <v>1267</v>
      </c>
      <c r="H5204" s="380" t="s">
        <v>771</v>
      </c>
      <c r="I5204" s="380" t="s">
        <v>788</v>
      </c>
      <c r="J5204" s="380" t="s">
        <v>773</v>
      </c>
      <c r="K5204" s="381">
        <v>0.0</v>
      </c>
      <c r="L5204" s="382">
        <v>1.0</v>
      </c>
    </row>
    <row r="5205">
      <c r="A5205" s="380" t="s">
        <v>6079</v>
      </c>
      <c r="B5205" s="380" t="str">
        <f>IFERROR(__xludf.DUMMYFUNCTION("""COMPUTED_VALUE"""),"Post Enfriador Aire Motor Eag 2596587C91")</f>
        <v>Post Enfriador Aire Motor Eag 2596587C91</v>
      </c>
      <c r="C5205" s="380" t="str">
        <f>IFERROR(__xludf.DUMMYFUNCTION("""COMPUTED_VALUE"""),"70000587")</f>
        <v>70000587</v>
      </c>
      <c r="D5205" s="380" t="s">
        <v>767</v>
      </c>
      <c r="E5205" s="380" t="s">
        <v>786</v>
      </c>
      <c r="F5205" s="380" t="s">
        <v>787</v>
      </c>
      <c r="G5205" s="380" t="s">
        <v>1267</v>
      </c>
      <c r="H5205" s="380" t="s">
        <v>771</v>
      </c>
      <c r="I5205" s="380" t="s">
        <v>788</v>
      </c>
      <c r="J5205" s="380" t="s">
        <v>773</v>
      </c>
      <c r="K5205" s="381">
        <v>0.0</v>
      </c>
      <c r="L5205" s="382">
        <v>1.0</v>
      </c>
    </row>
    <row r="5206">
      <c r="A5206" s="380" t="s">
        <v>6080</v>
      </c>
      <c r="B5206" s="380" t="str">
        <f>IFERROR(__xludf.DUMMYFUNCTION("""COMPUTED_VALUE"""),"Guardafango Izq Capo Hi 466 1657763C2")</f>
        <v>Guardafango Izq Capo Hi 466 1657763C2</v>
      </c>
      <c r="C5206" s="380" t="str">
        <f>IFERROR(__xludf.DUMMYFUNCTION("""COMPUTED_VALUE"""),"70000588")</f>
        <v>70000588</v>
      </c>
      <c r="D5206" s="380" t="s">
        <v>767</v>
      </c>
      <c r="E5206" s="380" t="s">
        <v>786</v>
      </c>
      <c r="F5206" s="380" t="s">
        <v>792</v>
      </c>
      <c r="G5206" s="380" t="s">
        <v>1267</v>
      </c>
      <c r="H5206" s="380" t="s">
        <v>771</v>
      </c>
      <c r="I5206" s="380" t="s">
        <v>788</v>
      </c>
      <c r="J5206" s="380" t="s">
        <v>773</v>
      </c>
      <c r="K5206" s="381">
        <v>0.0</v>
      </c>
      <c r="L5206" s="382">
        <v>1.0</v>
      </c>
    </row>
    <row r="5207">
      <c r="A5207" s="380" t="s">
        <v>6081</v>
      </c>
      <c r="B5207" s="380" t="str">
        <f>IFERROR(__xludf.DUMMYFUNCTION("""COMPUTED_VALUE"""),"Disco Separador Embrague Akt 200")</f>
        <v>Disco Separador Embrague Akt 200</v>
      </c>
      <c r="C5207" s="380" t="str">
        <f>IFERROR(__xludf.DUMMYFUNCTION("""COMPUTED_VALUE"""),"70000589")</f>
        <v>70000589</v>
      </c>
      <c r="D5207" s="380" t="s">
        <v>767</v>
      </c>
      <c r="E5207" s="380" t="s">
        <v>786</v>
      </c>
      <c r="F5207" s="380" t="s">
        <v>5661</v>
      </c>
      <c r="G5207" s="380" t="s">
        <v>1267</v>
      </c>
      <c r="H5207" s="380" t="s">
        <v>771</v>
      </c>
      <c r="I5207" s="380" t="s">
        <v>788</v>
      </c>
      <c r="J5207" s="380" t="s">
        <v>773</v>
      </c>
      <c r="K5207" s="381">
        <v>0.0</v>
      </c>
      <c r="L5207" s="382">
        <v>1.0</v>
      </c>
    </row>
    <row r="5208">
      <c r="A5208" s="380" t="s">
        <v>6082</v>
      </c>
      <c r="B5208" s="380" t="str">
        <f>IFERROR(__xludf.DUMMYFUNCTION("""COMPUTED_VALUE"""),"Guaya Clutch Akt 200")</f>
        <v>Guaya Clutch Akt 200</v>
      </c>
      <c r="C5208" s="380" t="str">
        <f>IFERROR(__xludf.DUMMYFUNCTION("""COMPUTED_VALUE"""),"70000590")</f>
        <v>70000590</v>
      </c>
      <c r="D5208" s="380" t="s">
        <v>767</v>
      </c>
      <c r="E5208" s="380" t="s">
        <v>786</v>
      </c>
      <c r="F5208" s="380" t="s">
        <v>5661</v>
      </c>
      <c r="G5208" s="380" t="s">
        <v>1267</v>
      </c>
      <c r="H5208" s="380" t="s">
        <v>771</v>
      </c>
      <c r="I5208" s="380" t="s">
        <v>788</v>
      </c>
      <c r="J5208" s="380" t="s">
        <v>773</v>
      </c>
      <c r="K5208" s="381">
        <v>0.0</v>
      </c>
      <c r="L5208" s="382">
        <v>1.0</v>
      </c>
    </row>
    <row r="5209">
      <c r="A5209" s="380" t="s">
        <v>6083</v>
      </c>
      <c r="B5209" s="380" t="str">
        <f>IFERROR(__xludf.DUMMYFUNCTION("""COMPUTED_VALUE"""),"Switch Freno Trasero Akt 200")</f>
        <v>Switch Freno Trasero Akt 200</v>
      </c>
      <c r="C5209" s="380" t="str">
        <f>IFERROR(__xludf.DUMMYFUNCTION("""COMPUTED_VALUE"""),"70000591")</f>
        <v>70000591</v>
      </c>
      <c r="D5209" s="380" t="s">
        <v>767</v>
      </c>
      <c r="E5209" s="380" t="s">
        <v>786</v>
      </c>
      <c r="F5209" s="380" t="s">
        <v>1017</v>
      </c>
      <c r="G5209" s="380" t="s">
        <v>1267</v>
      </c>
      <c r="H5209" s="380" t="s">
        <v>771</v>
      </c>
      <c r="I5209" s="380" t="s">
        <v>788</v>
      </c>
      <c r="J5209" s="380" t="s">
        <v>773</v>
      </c>
      <c r="K5209" s="381">
        <v>0.0</v>
      </c>
      <c r="L5209" s="382">
        <v>1.0</v>
      </c>
    </row>
    <row r="5210">
      <c r="A5210" s="380" t="s">
        <v>6084</v>
      </c>
      <c r="B5210" s="380" t="str">
        <f>IFERROR(__xludf.DUMMYFUNCTION("""COMPUTED_VALUE"""),"Buje Quinta Rueda Holland M-Nuevo 10605")</f>
        <v>Buje Quinta Rueda Holland M-Nuevo 10605</v>
      </c>
      <c r="C5210" s="380" t="str">
        <f>IFERROR(__xludf.DUMMYFUNCTION("""COMPUTED_VALUE"""),"70000592")</f>
        <v>70000592</v>
      </c>
      <c r="D5210" s="380" t="s">
        <v>767</v>
      </c>
      <c r="E5210" s="380" t="s">
        <v>786</v>
      </c>
      <c r="F5210" s="380" t="s">
        <v>792</v>
      </c>
      <c r="G5210" s="380" t="s">
        <v>1267</v>
      </c>
      <c r="H5210" s="380" t="s">
        <v>771</v>
      </c>
      <c r="I5210" s="380" t="s">
        <v>788</v>
      </c>
      <c r="J5210" s="380" t="s">
        <v>773</v>
      </c>
      <c r="K5210" s="381">
        <v>34272.0</v>
      </c>
      <c r="L5210" s="382">
        <v>1.0</v>
      </c>
    </row>
    <row r="5211">
      <c r="A5211" s="380" t="s">
        <v>6085</v>
      </c>
      <c r="B5211" s="380" t="str">
        <f>IFERROR(__xludf.DUMMYFUNCTION("""COMPUTED_VALUE"""),"Manguera De Alta 50Cm Isx Eagle 394372c2")</f>
        <v>Manguera De Alta 50Cm Isx Eagle 394372c2</v>
      </c>
      <c r="C5211" s="380" t="str">
        <f>IFERROR(__xludf.DUMMYFUNCTION("""COMPUTED_VALUE"""),"70000593")</f>
        <v>70000593</v>
      </c>
      <c r="D5211" s="380" t="s">
        <v>767</v>
      </c>
      <c r="E5211" s="380" t="s">
        <v>786</v>
      </c>
      <c r="F5211" s="380" t="s">
        <v>787</v>
      </c>
      <c r="G5211" s="380" t="s">
        <v>1267</v>
      </c>
      <c r="H5211" s="380" t="s">
        <v>771</v>
      </c>
      <c r="I5211" s="380" t="s">
        <v>788</v>
      </c>
      <c r="J5211" s="380" t="s">
        <v>773</v>
      </c>
      <c r="K5211" s="381">
        <v>0.0</v>
      </c>
      <c r="L5211" s="382">
        <v>1.0</v>
      </c>
    </row>
    <row r="5212">
      <c r="A5212" s="380" t="s">
        <v>6086</v>
      </c>
      <c r="B5212" s="380" t="str">
        <f>IFERROR(__xludf.DUMMYFUNCTION("""COMPUTED_VALUE"""),"Caucho Descansapie Moto Varias4355135500")</f>
        <v>Caucho Descansapie Moto Varias4355135500</v>
      </c>
      <c r="C5212" s="380" t="str">
        <f>IFERROR(__xludf.DUMMYFUNCTION("""COMPUTED_VALUE"""),"70000594")</f>
        <v>70000594</v>
      </c>
      <c r="D5212" s="380" t="s">
        <v>767</v>
      </c>
      <c r="E5212" s="380" t="s">
        <v>786</v>
      </c>
      <c r="F5212" s="380" t="s">
        <v>792</v>
      </c>
      <c r="G5212" s="380" t="s">
        <v>1267</v>
      </c>
      <c r="H5212" s="380" t="s">
        <v>771</v>
      </c>
      <c r="I5212" s="380" t="s">
        <v>788</v>
      </c>
      <c r="J5212" s="380" t="s">
        <v>773</v>
      </c>
      <c r="K5212" s="381">
        <v>0.0</v>
      </c>
      <c r="L5212" s="382">
        <v>1.0</v>
      </c>
    </row>
    <row r="5213">
      <c r="A5213" s="380" t="s">
        <v>6087</v>
      </c>
      <c r="B5213" s="380" t="str">
        <f>IFERROR(__xludf.DUMMYFUNCTION("""COMPUTED_VALUE"""),"Empaque Bomba Hidraulica 4700 5915597C2")</f>
        <v>Empaque Bomba Hidraulica 4700 5915597C2</v>
      </c>
      <c r="C5213" s="380" t="str">
        <f>IFERROR(__xludf.DUMMYFUNCTION("""COMPUTED_VALUE"""),"70000595")</f>
        <v>70000595</v>
      </c>
      <c r="D5213" s="380" t="s">
        <v>767</v>
      </c>
      <c r="E5213" s="380" t="s">
        <v>786</v>
      </c>
      <c r="F5213" s="380" t="s">
        <v>787</v>
      </c>
      <c r="G5213" s="380" t="s">
        <v>1267</v>
      </c>
      <c r="H5213" s="380" t="s">
        <v>771</v>
      </c>
      <c r="I5213" s="380" t="s">
        <v>788</v>
      </c>
      <c r="J5213" s="380" t="s">
        <v>773</v>
      </c>
      <c r="K5213" s="381">
        <v>0.0</v>
      </c>
      <c r="L5213" s="382">
        <v>1.0</v>
      </c>
    </row>
    <row r="5214">
      <c r="A5214" s="380" t="s">
        <v>6088</v>
      </c>
      <c r="B5214" s="380" t="str">
        <f>IFERROR(__xludf.DUMMYFUNCTION("""COMPUTED_VALUE"""),"Enfocado Radiador Nkr Mod2007 8970660110")</f>
        <v>Enfocado Radiador Nkr Mod2007 8970660110</v>
      </c>
      <c r="C5214" s="380" t="str">
        <f>IFERROR(__xludf.DUMMYFUNCTION("""COMPUTED_VALUE"""),"70000596")</f>
        <v>70000596</v>
      </c>
      <c r="D5214" s="380" t="s">
        <v>767</v>
      </c>
      <c r="E5214" s="380" t="s">
        <v>786</v>
      </c>
      <c r="F5214" s="380" t="s">
        <v>787</v>
      </c>
      <c r="G5214" s="380" t="s">
        <v>1267</v>
      </c>
      <c r="H5214" s="380" t="s">
        <v>771</v>
      </c>
      <c r="I5214" s="380" t="s">
        <v>788</v>
      </c>
      <c r="J5214" s="380" t="s">
        <v>773</v>
      </c>
      <c r="K5214" s="381">
        <v>0.0</v>
      </c>
      <c r="L5214" s="382">
        <v>1.0</v>
      </c>
    </row>
    <row r="5215">
      <c r="A5215" s="380" t="s">
        <v>6089</v>
      </c>
      <c r="B5215" s="380" t="str">
        <f>IFERROR(__xludf.DUMMYFUNCTION("""COMPUTED_VALUE"""),"Tubo Refrigeracion Turbo Nkr 8972079540")</f>
        <v>Tubo Refrigeracion Turbo Nkr 8972079540</v>
      </c>
      <c r="C5215" s="380" t="str">
        <f>IFERROR(__xludf.DUMMYFUNCTION("""COMPUTED_VALUE"""),"70000597")</f>
        <v>70000597</v>
      </c>
      <c r="D5215" s="380" t="s">
        <v>767</v>
      </c>
      <c r="E5215" s="380" t="s">
        <v>786</v>
      </c>
      <c r="F5215" s="380" t="s">
        <v>787</v>
      </c>
      <c r="G5215" s="380" t="s">
        <v>1267</v>
      </c>
      <c r="H5215" s="380" t="s">
        <v>771</v>
      </c>
      <c r="I5215" s="380" t="s">
        <v>788</v>
      </c>
      <c r="J5215" s="380" t="s">
        <v>773</v>
      </c>
      <c r="K5215" s="381">
        <v>0.0</v>
      </c>
      <c r="L5215" s="382">
        <v>1.0</v>
      </c>
    </row>
    <row r="5216">
      <c r="A5216" s="380" t="s">
        <v>6090</v>
      </c>
      <c r="B5216" s="380" t="str">
        <f>IFERROR(__xludf.DUMMYFUNCTION("""COMPUTED_VALUE"""),"Arandela Piñon 2da Nkr 5332710070")</f>
        <v>Arandela Piñon 2da Nkr 5332710070</v>
      </c>
      <c r="C5216" s="380" t="str">
        <f>IFERROR(__xludf.DUMMYFUNCTION("""COMPUTED_VALUE"""),"70000598")</f>
        <v>70000598</v>
      </c>
      <c r="D5216" s="380" t="s">
        <v>767</v>
      </c>
      <c r="E5216" s="380" t="s">
        <v>786</v>
      </c>
      <c r="F5216" s="380" t="s">
        <v>928</v>
      </c>
      <c r="G5216" s="380" t="s">
        <v>1267</v>
      </c>
      <c r="H5216" s="380" t="s">
        <v>771</v>
      </c>
      <c r="I5216" s="380" t="s">
        <v>788</v>
      </c>
      <c r="J5216" s="380" t="s">
        <v>773</v>
      </c>
      <c r="K5216" s="381">
        <v>0.0</v>
      </c>
      <c r="L5216" s="382">
        <v>1.0</v>
      </c>
    </row>
    <row r="5217">
      <c r="A5217" s="380" t="s">
        <v>6091</v>
      </c>
      <c r="B5217" s="380" t="str">
        <f>IFERROR(__xludf.DUMMYFUNCTION("""COMPUTED_VALUE"""),"Empaqueta Culata Del Nkr Rw 8973288282")</f>
        <v>Empaqueta Culata Del Nkr Rw 8973288282</v>
      </c>
      <c r="C5217" s="380" t="str">
        <f>IFERROR(__xludf.DUMMYFUNCTION("""COMPUTED_VALUE"""),"70000599")</f>
        <v>70000599</v>
      </c>
      <c r="D5217" s="380" t="s">
        <v>767</v>
      </c>
      <c r="E5217" s="380" t="s">
        <v>786</v>
      </c>
      <c r="F5217" s="380" t="s">
        <v>787</v>
      </c>
      <c r="G5217" s="380" t="s">
        <v>1267</v>
      </c>
      <c r="H5217" s="380" t="s">
        <v>771</v>
      </c>
      <c r="I5217" s="380" t="s">
        <v>788</v>
      </c>
      <c r="J5217" s="380" t="s">
        <v>773</v>
      </c>
      <c r="K5217" s="381">
        <v>273819.0</v>
      </c>
      <c r="L5217" s="382">
        <v>1.0</v>
      </c>
    </row>
    <row r="5218">
      <c r="A5218" s="380" t="s">
        <v>6092</v>
      </c>
      <c r="B5218" s="380" t="str">
        <f>IFERROR(__xludf.DUMMYFUNCTION("""COMPUTED_VALUE"""),"Interruptor Lampara Rev N200-24516990")</f>
        <v>Interruptor Lampara Rev N200-24516990</v>
      </c>
      <c r="C5218" s="380" t="str">
        <f>IFERROR(__xludf.DUMMYFUNCTION("""COMPUTED_VALUE"""),"70000600")</f>
        <v>70000600</v>
      </c>
      <c r="D5218" s="380" t="s">
        <v>767</v>
      </c>
      <c r="E5218" s="380" t="s">
        <v>786</v>
      </c>
      <c r="F5218" s="380" t="s">
        <v>998</v>
      </c>
      <c r="G5218" s="380" t="s">
        <v>1267</v>
      </c>
      <c r="H5218" s="380" t="s">
        <v>771</v>
      </c>
      <c r="I5218" s="380" t="s">
        <v>788</v>
      </c>
      <c r="J5218" s="380" t="s">
        <v>773</v>
      </c>
      <c r="K5218" s="381">
        <v>0.0</v>
      </c>
      <c r="L5218" s="382">
        <v>1.0</v>
      </c>
    </row>
    <row r="5219">
      <c r="A5219" s="380" t="s">
        <v>6093</v>
      </c>
      <c r="B5219" s="380" t="str">
        <f>IFERROR(__xludf.DUMMYFUNCTION("""COMPUTED_VALUE"""),"Kit Art Espejo Eagle 2508186C91")</f>
        <v>Kit Art Espejo Eagle 2508186C91</v>
      </c>
      <c r="C5219" s="380" t="str">
        <f>IFERROR(__xludf.DUMMYFUNCTION("""COMPUTED_VALUE"""),"70000601")</f>
        <v>70000601</v>
      </c>
      <c r="D5219" s="380" t="s">
        <v>767</v>
      </c>
      <c r="E5219" s="380" t="s">
        <v>786</v>
      </c>
      <c r="F5219" s="380" t="s">
        <v>792</v>
      </c>
      <c r="G5219" s="380" t="s">
        <v>1267</v>
      </c>
      <c r="H5219" s="380" t="s">
        <v>771</v>
      </c>
      <c r="I5219" s="380" t="s">
        <v>788</v>
      </c>
      <c r="J5219" s="380" t="s">
        <v>773</v>
      </c>
      <c r="K5219" s="381">
        <v>0.0</v>
      </c>
      <c r="L5219" s="382">
        <v>1.0</v>
      </c>
    </row>
    <row r="5220">
      <c r="A5220" s="380" t="s">
        <v>6094</v>
      </c>
      <c r="B5220" s="380" t="str">
        <f>IFERROR(__xludf.DUMMYFUNCTION("""COMPUTED_VALUE"""),"Brazo Espejo Ext Der Nkr Rw 8980705080")</f>
        <v>Brazo Espejo Ext Der Nkr Rw 8980705080</v>
      </c>
      <c r="C5220" s="380" t="str">
        <f>IFERROR(__xludf.DUMMYFUNCTION("""COMPUTED_VALUE"""),"70000602")</f>
        <v>70000602</v>
      </c>
      <c r="D5220" s="380" t="s">
        <v>767</v>
      </c>
      <c r="E5220" s="380" t="s">
        <v>786</v>
      </c>
      <c r="F5220" s="380" t="s">
        <v>792</v>
      </c>
      <c r="G5220" s="380" t="s">
        <v>1267</v>
      </c>
      <c r="H5220" s="380" t="s">
        <v>771</v>
      </c>
      <c r="I5220" s="380" t="s">
        <v>788</v>
      </c>
      <c r="J5220" s="380" t="s">
        <v>773</v>
      </c>
      <c r="K5220" s="381">
        <v>0.0</v>
      </c>
      <c r="L5220" s="382">
        <v>1.0</v>
      </c>
    </row>
    <row r="5221">
      <c r="A5221" s="380" t="s">
        <v>6095</v>
      </c>
      <c r="B5221" s="380" t="str">
        <f>IFERROR(__xludf.DUMMYFUNCTION("""COMPUTED_VALUE"""),"Manija Int Puerta Izq N200 9001818")</f>
        <v>Manija Int Puerta Izq N200 9001818</v>
      </c>
      <c r="C5221" s="380" t="str">
        <f>IFERROR(__xludf.DUMMYFUNCTION("""COMPUTED_VALUE"""),"70000603")</f>
        <v>70000603</v>
      </c>
      <c r="D5221" s="380" t="s">
        <v>767</v>
      </c>
      <c r="E5221" s="380" t="s">
        <v>786</v>
      </c>
      <c r="F5221" s="380" t="s">
        <v>792</v>
      </c>
      <c r="G5221" s="380" t="s">
        <v>1267</v>
      </c>
      <c r="H5221" s="380" t="s">
        <v>771</v>
      </c>
      <c r="I5221" s="380" t="s">
        <v>788</v>
      </c>
      <c r="J5221" s="380" t="s">
        <v>773</v>
      </c>
      <c r="K5221" s="381">
        <v>0.0</v>
      </c>
      <c r="L5221" s="382">
        <v>1.0</v>
      </c>
    </row>
    <row r="5222">
      <c r="A5222" s="380" t="s">
        <v>6096</v>
      </c>
      <c r="B5222" s="380" t="str">
        <f>IFERROR(__xludf.DUMMYFUNCTION("""COMPUTED_VALUE"""),"Manija Int Puerta Der N200 9001819")</f>
        <v>Manija Int Puerta Der N200 9001819</v>
      </c>
      <c r="C5222" s="380" t="str">
        <f>IFERROR(__xludf.DUMMYFUNCTION("""COMPUTED_VALUE"""),"70000604")</f>
        <v>70000604</v>
      </c>
      <c r="D5222" s="380" t="s">
        <v>767</v>
      </c>
      <c r="E5222" s="380" t="s">
        <v>786</v>
      </c>
      <c r="F5222" s="380" t="s">
        <v>792</v>
      </c>
      <c r="G5222" s="380" t="s">
        <v>1267</v>
      </c>
      <c r="H5222" s="380" t="s">
        <v>771</v>
      </c>
      <c r="I5222" s="380" t="s">
        <v>788</v>
      </c>
      <c r="J5222" s="380" t="s">
        <v>773</v>
      </c>
      <c r="K5222" s="381">
        <v>0.0</v>
      </c>
      <c r="L5222" s="382">
        <v>1.0</v>
      </c>
    </row>
    <row r="5223">
      <c r="A5223" s="380" t="s">
        <v>6097</v>
      </c>
      <c r="B5223" s="380" t="str">
        <f>IFERROR(__xludf.DUMMYFUNCTION("""COMPUTED_VALUE"""),"Tanque Aceite Hco Isx Eag 1680448C92")</f>
        <v>Tanque Aceite Hco Isx Eag 1680448C92</v>
      </c>
      <c r="C5223" s="380" t="str">
        <f>IFERROR(__xludf.DUMMYFUNCTION("""COMPUTED_VALUE"""),"70000605")</f>
        <v>70000605</v>
      </c>
      <c r="D5223" s="380" t="s">
        <v>767</v>
      </c>
      <c r="E5223" s="380" t="s">
        <v>786</v>
      </c>
      <c r="F5223" s="380" t="s">
        <v>1020</v>
      </c>
      <c r="G5223" s="380" t="s">
        <v>1267</v>
      </c>
      <c r="H5223" s="380" t="s">
        <v>771</v>
      </c>
      <c r="I5223" s="380" t="s">
        <v>788</v>
      </c>
      <c r="J5223" s="380" t="s">
        <v>773</v>
      </c>
      <c r="K5223" s="381">
        <v>0.0</v>
      </c>
      <c r="L5223" s="382">
        <v>1.0</v>
      </c>
    </row>
    <row r="5224">
      <c r="A5224" s="380" t="s">
        <v>6098</v>
      </c>
      <c r="B5224" s="380" t="str">
        <f>IFERROR(__xludf.DUMMYFUNCTION("""COMPUTED_VALUE"""),"Manguera Admision Isx Eagle 3539944C2")</f>
        <v>Manguera Admision Isx Eagle 3539944C2</v>
      </c>
      <c r="C5224" s="380" t="str">
        <f>IFERROR(__xludf.DUMMYFUNCTION("""COMPUTED_VALUE"""),"70000606")</f>
        <v>70000606</v>
      </c>
      <c r="D5224" s="380" t="s">
        <v>767</v>
      </c>
      <c r="E5224" s="380" t="s">
        <v>786</v>
      </c>
      <c r="F5224" s="380" t="s">
        <v>787</v>
      </c>
      <c r="G5224" s="380" t="s">
        <v>1267</v>
      </c>
      <c r="H5224" s="380" t="s">
        <v>771</v>
      </c>
      <c r="I5224" s="380" t="s">
        <v>788</v>
      </c>
      <c r="J5224" s="380" t="s">
        <v>773</v>
      </c>
      <c r="K5224" s="381">
        <v>0.0</v>
      </c>
      <c r="L5224" s="382">
        <v>1.0</v>
      </c>
    </row>
    <row r="5225">
      <c r="A5225" s="380" t="s">
        <v>6099</v>
      </c>
      <c r="B5225" s="380" t="str">
        <f>IFERROR(__xludf.DUMMYFUNCTION("""COMPUTED_VALUE"""),"Cauchos Inyector Isx Eagle 3330537")</f>
        <v>Cauchos Inyector Isx Eagle 3330537</v>
      </c>
      <c r="C5225" s="380" t="str">
        <f>IFERROR(__xludf.DUMMYFUNCTION("""COMPUTED_VALUE"""),"70000607")</f>
        <v>70000607</v>
      </c>
      <c r="D5225" s="380" t="s">
        <v>767</v>
      </c>
      <c r="E5225" s="380" t="s">
        <v>786</v>
      </c>
      <c r="F5225" s="380" t="s">
        <v>787</v>
      </c>
      <c r="G5225" s="380" t="s">
        <v>1267</v>
      </c>
      <c r="H5225" s="380" t="s">
        <v>771</v>
      </c>
      <c r="I5225" s="380" t="s">
        <v>788</v>
      </c>
      <c r="J5225" s="380" t="s">
        <v>773</v>
      </c>
      <c r="K5225" s="381">
        <v>0.0</v>
      </c>
      <c r="L5225" s="382">
        <v>1.0</v>
      </c>
    </row>
    <row r="5226">
      <c r="A5226" s="380" t="s">
        <v>6100</v>
      </c>
      <c r="B5226" s="380" t="str">
        <f>IFERROR(__xludf.DUMMYFUNCTION("""COMPUTED_VALUE"""),"Guardabarro Del Der N200 19246374")</f>
        <v>Guardabarro Del Der N200 19246374</v>
      </c>
      <c r="C5226" s="380" t="str">
        <f>IFERROR(__xludf.DUMMYFUNCTION("""COMPUTED_VALUE"""),"70000608")</f>
        <v>70000608</v>
      </c>
      <c r="D5226" s="380" t="s">
        <v>767</v>
      </c>
      <c r="E5226" s="380" t="s">
        <v>786</v>
      </c>
      <c r="F5226" s="380" t="s">
        <v>792</v>
      </c>
      <c r="G5226" s="380" t="s">
        <v>1267</v>
      </c>
      <c r="H5226" s="380" t="s">
        <v>771</v>
      </c>
      <c r="I5226" s="380" t="s">
        <v>788</v>
      </c>
      <c r="J5226" s="380" t="s">
        <v>773</v>
      </c>
      <c r="K5226" s="381">
        <v>0.0</v>
      </c>
      <c r="L5226" s="382">
        <v>1.0</v>
      </c>
    </row>
    <row r="5227">
      <c r="A5227" s="380" t="s">
        <v>6101</v>
      </c>
      <c r="B5227" s="380" t="str">
        <f>IFERROR(__xludf.DUMMYFUNCTION("""COMPUTED_VALUE"""),"Estribo Derecho Hino 5177137110")</f>
        <v>Estribo Derecho Hino 5177137110</v>
      </c>
      <c r="C5227" s="380" t="str">
        <f>IFERROR(__xludf.DUMMYFUNCTION("""COMPUTED_VALUE"""),"70000609")</f>
        <v>70000609</v>
      </c>
      <c r="D5227" s="380" t="s">
        <v>767</v>
      </c>
      <c r="E5227" s="380" t="s">
        <v>786</v>
      </c>
      <c r="F5227" s="380" t="s">
        <v>792</v>
      </c>
      <c r="G5227" s="380" t="s">
        <v>1267</v>
      </c>
      <c r="H5227" s="380" t="s">
        <v>771</v>
      </c>
      <c r="I5227" s="380" t="s">
        <v>788</v>
      </c>
      <c r="J5227" s="380" t="s">
        <v>773</v>
      </c>
      <c r="K5227" s="381">
        <v>0.0</v>
      </c>
      <c r="L5227" s="382">
        <v>1.0</v>
      </c>
    </row>
    <row r="5228">
      <c r="A5228" s="380" t="s">
        <v>6102</v>
      </c>
      <c r="B5228" s="380" t="str">
        <f>IFERROR(__xludf.DUMMYFUNCTION("""COMPUTED_VALUE"""),"Lampara Del Der N200 24552610")</f>
        <v>Lampara Del Der N200 24552610</v>
      </c>
      <c r="C5228" s="380" t="str">
        <f>IFERROR(__xludf.DUMMYFUNCTION("""COMPUTED_VALUE"""),"70000610")</f>
        <v>70000610</v>
      </c>
      <c r="D5228" s="380" t="s">
        <v>767</v>
      </c>
      <c r="E5228" s="380" t="s">
        <v>786</v>
      </c>
      <c r="F5228" s="380" t="s">
        <v>998</v>
      </c>
      <c r="G5228" s="380" t="s">
        <v>1267</v>
      </c>
      <c r="H5228" s="380" t="s">
        <v>771</v>
      </c>
      <c r="I5228" s="380" t="s">
        <v>788</v>
      </c>
      <c r="J5228" s="380" t="s">
        <v>773</v>
      </c>
      <c r="K5228" s="381">
        <v>0.0</v>
      </c>
      <c r="L5228" s="382">
        <v>1.0</v>
      </c>
    </row>
    <row r="5229">
      <c r="A5229" s="380" t="s">
        <v>6103</v>
      </c>
      <c r="B5229" s="380" t="str">
        <f>IFERROR(__xludf.DUMMYFUNCTION("""COMPUTED_VALUE"""),"Sensor Nivel Agua Isx Kw T800 86714A1")</f>
        <v>Sensor Nivel Agua Isx Kw T800 86714A1</v>
      </c>
      <c r="C5229" s="380" t="str">
        <f>IFERROR(__xludf.DUMMYFUNCTION("""COMPUTED_VALUE"""),"70000611")</f>
        <v>70000611</v>
      </c>
      <c r="D5229" s="380" t="s">
        <v>767</v>
      </c>
      <c r="E5229" s="380" t="s">
        <v>786</v>
      </c>
      <c r="F5229" s="380" t="s">
        <v>998</v>
      </c>
      <c r="G5229" s="380" t="s">
        <v>1267</v>
      </c>
      <c r="H5229" s="380" t="s">
        <v>771</v>
      </c>
      <c r="I5229" s="380" t="s">
        <v>788</v>
      </c>
      <c r="J5229" s="380" t="s">
        <v>773</v>
      </c>
      <c r="K5229" s="381">
        <v>0.0</v>
      </c>
      <c r="L5229" s="382">
        <v>1.0</v>
      </c>
    </row>
    <row r="5230">
      <c r="A5230" s="380" t="s">
        <v>6104</v>
      </c>
      <c r="B5230" s="380" t="str">
        <f>IFERROR(__xludf.DUMMYFUNCTION("""COMPUTED_VALUE"""),"Abrazadera Cremallera 28")</f>
        <v>Abrazadera Cremallera 28</v>
      </c>
      <c r="C5230" s="380" t="str">
        <f>IFERROR(__xludf.DUMMYFUNCTION("""COMPUTED_VALUE"""),"70000612")</f>
        <v>70000612</v>
      </c>
      <c r="D5230" s="380" t="s">
        <v>767</v>
      </c>
      <c r="E5230" s="380" t="s">
        <v>786</v>
      </c>
      <c r="F5230" s="380" t="s">
        <v>989</v>
      </c>
      <c r="G5230" s="380" t="s">
        <v>1267</v>
      </c>
      <c r="H5230" s="380" t="s">
        <v>771</v>
      </c>
      <c r="I5230" s="380" t="s">
        <v>788</v>
      </c>
      <c r="J5230" s="380" t="s">
        <v>773</v>
      </c>
      <c r="K5230" s="381">
        <v>3342.0</v>
      </c>
      <c r="L5230" s="382">
        <v>1.0</v>
      </c>
    </row>
    <row r="5231">
      <c r="A5231" s="380" t="s">
        <v>6105</v>
      </c>
      <c r="B5231" s="380" t="str">
        <f>IFERROR(__xludf.DUMMYFUNCTION("""COMPUTED_VALUE"""),"Arandela Leva Exterior 1 1/2""1 1/2""")</f>
        <v>Arandela Leva Exterior 1 1/2"1 1/2"</v>
      </c>
      <c r="C5231" s="380" t="str">
        <f>IFERROR(__xludf.DUMMYFUNCTION("""COMPUTED_VALUE"""),"70000613")</f>
        <v>70000613</v>
      </c>
      <c r="D5231" s="380" t="s">
        <v>767</v>
      </c>
      <c r="E5231" s="380" t="s">
        <v>786</v>
      </c>
      <c r="F5231" s="380" t="s">
        <v>1017</v>
      </c>
      <c r="G5231" s="380" t="s">
        <v>1267</v>
      </c>
      <c r="H5231" s="380" t="s">
        <v>771</v>
      </c>
      <c r="I5231" s="380" t="s">
        <v>788</v>
      </c>
      <c r="J5231" s="380" t="s">
        <v>773</v>
      </c>
      <c r="K5231" s="381">
        <v>0.0</v>
      </c>
      <c r="L5231" s="382">
        <v>1.0</v>
      </c>
    </row>
    <row r="5232">
      <c r="A5232" s="380" t="s">
        <v>6106</v>
      </c>
      <c r="B5232" s="380" t="str">
        <f>IFERROR(__xludf.DUMMYFUNCTION("""COMPUTED_VALUE"""),"Soporte Trasero Cabina Npr 8980215611")</f>
        <v>Soporte Trasero Cabina Npr 8980215611</v>
      </c>
      <c r="C5232" s="380" t="str">
        <f>IFERROR(__xludf.DUMMYFUNCTION("""COMPUTED_VALUE"""),"70000614")</f>
        <v>70000614</v>
      </c>
      <c r="D5232" s="380" t="s">
        <v>767</v>
      </c>
      <c r="E5232" s="380" t="s">
        <v>786</v>
      </c>
      <c r="F5232" s="380" t="s">
        <v>792</v>
      </c>
      <c r="G5232" s="380" t="s">
        <v>1267</v>
      </c>
      <c r="H5232" s="380" t="s">
        <v>771</v>
      </c>
      <c r="I5232" s="380" t="s">
        <v>788</v>
      </c>
      <c r="J5232" s="380" t="s">
        <v>773</v>
      </c>
      <c r="K5232" s="381">
        <v>0.0</v>
      </c>
      <c r="L5232" s="382">
        <v>1.0</v>
      </c>
    </row>
    <row r="5233">
      <c r="A5233" s="380" t="s">
        <v>6107</v>
      </c>
      <c r="B5233" s="380" t="str">
        <f>IFERROR(__xludf.DUMMYFUNCTION("""COMPUTED_VALUE"""),"Soporte Sup Pta Der Tras N200 24543797")</f>
        <v>Soporte Sup Pta Der Tras N200 24543797</v>
      </c>
      <c r="C5233" s="380" t="str">
        <f>IFERROR(__xludf.DUMMYFUNCTION("""COMPUTED_VALUE"""),"70000615")</f>
        <v>70000615</v>
      </c>
      <c r="D5233" s="380" t="s">
        <v>767</v>
      </c>
      <c r="E5233" s="380" t="s">
        <v>786</v>
      </c>
      <c r="F5233" s="380" t="s">
        <v>792</v>
      </c>
      <c r="G5233" s="380" t="s">
        <v>1267</v>
      </c>
      <c r="H5233" s="380" t="s">
        <v>771</v>
      </c>
      <c r="I5233" s="380" t="s">
        <v>788</v>
      </c>
      <c r="J5233" s="380" t="s">
        <v>773</v>
      </c>
      <c r="K5233" s="381">
        <v>0.0</v>
      </c>
      <c r="L5233" s="382">
        <v>1.0</v>
      </c>
    </row>
    <row r="5234">
      <c r="A5234" s="380" t="s">
        <v>6108</v>
      </c>
      <c r="B5234" s="380" t="str">
        <f>IFERROR(__xludf.DUMMYFUNCTION("""COMPUTED_VALUE"""),"Biela Motor Nkr III Reward 8973889212")</f>
        <v>Biela Motor Nkr III Reward 8973889212</v>
      </c>
      <c r="C5234" s="380" t="str">
        <f>IFERROR(__xludf.DUMMYFUNCTION("""COMPUTED_VALUE"""),"70000616")</f>
        <v>70000616</v>
      </c>
      <c r="D5234" s="380" t="s">
        <v>767</v>
      </c>
      <c r="E5234" s="380" t="s">
        <v>786</v>
      </c>
      <c r="F5234" s="380" t="s">
        <v>787</v>
      </c>
      <c r="G5234" s="380" t="s">
        <v>1267</v>
      </c>
      <c r="H5234" s="380" t="s">
        <v>771</v>
      </c>
      <c r="I5234" s="380" t="s">
        <v>788</v>
      </c>
      <c r="J5234" s="380" t="s">
        <v>773</v>
      </c>
      <c r="K5234" s="381">
        <v>0.0</v>
      </c>
      <c r="L5234" s="382">
        <v>1.0</v>
      </c>
    </row>
    <row r="5235">
      <c r="A5235" s="380" t="s">
        <v>6109</v>
      </c>
      <c r="B5235" s="380" t="str">
        <f>IFERROR(__xludf.DUMMYFUNCTION("""COMPUTED_VALUE"""),"Jgo Cables Alta 24531323/26 N200")</f>
        <v>Jgo Cables Alta 24531323/26 N200</v>
      </c>
      <c r="C5235" s="380" t="str">
        <f>IFERROR(__xludf.DUMMYFUNCTION("""COMPUTED_VALUE"""),"70000617")</f>
        <v>70000617</v>
      </c>
      <c r="D5235" s="380" t="s">
        <v>767</v>
      </c>
      <c r="E5235" s="380" t="s">
        <v>786</v>
      </c>
      <c r="F5235" s="380" t="s">
        <v>998</v>
      </c>
      <c r="G5235" s="380" t="s">
        <v>1267</v>
      </c>
      <c r="H5235" s="380" t="s">
        <v>771</v>
      </c>
      <c r="I5235" s="380" t="s">
        <v>788</v>
      </c>
      <c r="J5235" s="380" t="s">
        <v>773</v>
      </c>
      <c r="K5235" s="381">
        <v>0.0</v>
      </c>
      <c r="L5235" s="382">
        <v>1.0</v>
      </c>
    </row>
    <row r="5236">
      <c r="A5236" s="380" t="s">
        <v>6110</v>
      </c>
      <c r="B5236" s="380" t="str">
        <f>IFERROR(__xludf.DUMMYFUNCTION("""COMPUTED_VALUE"""),"Bujia Motor 9002811 N200")</f>
        <v>Bujia Motor 9002811 N200</v>
      </c>
      <c r="C5236" s="380" t="str">
        <f>IFERROR(__xludf.DUMMYFUNCTION("""COMPUTED_VALUE"""),"70000618")</f>
        <v>70000618</v>
      </c>
      <c r="D5236" s="380" t="s">
        <v>767</v>
      </c>
      <c r="E5236" s="380" t="s">
        <v>786</v>
      </c>
      <c r="F5236" s="380" t="s">
        <v>787</v>
      </c>
      <c r="G5236" s="380" t="s">
        <v>1267</v>
      </c>
      <c r="H5236" s="380" t="s">
        <v>771</v>
      </c>
      <c r="I5236" s="380" t="s">
        <v>788</v>
      </c>
      <c r="J5236" s="380" t="s">
        <v>773</v>
      </c>
      <c r="K5236" s="381">
        <v>0.0</v>
      </c>
      <c r="L5236" s="382">
        <v>1.0</v>
      </c>
    </row>
    <row r="5237">
      <c r="A5237" s="380" t="s">
        <v>6111</v>
      </c>
      <c r="B5237" s="380" t="str">
        <f>IFERROR(__xludf.DUMMYFUNCTION("""COMPUTED_VALUE"""),"Rodamiento Ext Piñon Entr Npr 5098120621")</f>
        <v>Rodamiento Ext Piñon Entr Npr 5098120621</v>
      </c>
      <c r="C5237" s="380" t="str">
        <f>IFERROR(__xludf.DUMMYFUNCTION("""COMPUTED_VALUE"""),"70000619")</f>
        <v>70000619</v>
      </c>
      <c r="D5237" s="380" t="s">
        <v>767</v>
      </c>
      <c r="E5237" s="380" t="s">
        <v>786</v>
      </c>
      <c r="F5237" s="380" t="s">
        <v>5683</v>
      </c>
      <c r="G5237" s="380" t="s">
        <v>1267</v>
      </c>
      <c r="H5237" s="380" t="s">
        <v>771</v>
      </c>
      <c r="I5237" s="380" t="s">
        <v>788</v>
      </c>
      <c r="J5237" s="380" t="s">
        <v>773</v>
      </c>
      <c r="K5237" s="381">
        <v>130302.0</v>
      </c>
      <c r="L5237" s="382">
        <v>1.0</v>
      </c>
    </row>
    <row r="5238">
      <c r="A5238" s="380" t="s">
        <v>6112</v>
      </c>
      <c r="B5238" s="380" t="str">
        <f>IFERROR(__xludf.DUMMYFUNCTION("""COMPUTED_VALUE"""),"Buje Balancin Muelle Tras S N200 5497019")</f>
        <v>Buje Balancin Muelle Tras S N200 5497019</v>
      </c>
      <c r="C5238" s="380" t="str">
        <f>IFERROR(__xludf.DUMMYFUNCTION("""COMPUTED_VALUE"""),"70000620")</f>
        <v>70000620</v>
      </c>
      <c r="D5238" s="380" t="s">
        <v>767</v>
      </c>
      <c r="E5238" s="380" t="s">
        <v>786</v>
      </c>
      <c r="F5238" s="380" t="s">
        <v>1039</v>
      </c>
      <c r="G5238" s="380" t="s">
        <v>1267</v>
      </c>
      <c r="H5238" s="380" t="s">
        <v>771</v>
      </c>
      <c r="I5238" s="380" t="s">
        <v>788</v>
      </c>
      <c r="J5238" s="380" t="s">
        <v>773</v>
      </c>
      <c r="K5238" s="381">
        <v>0.0</v>
      </c>
      <c r="L5238" s="382">
        <v>1.0</v>
      </c>
    </row>
    <row r="5239">
      <c r="A5239" s="380" t="s">
        <v>6113</v>
      </c>
      <c r="B5239" s="380" t="str">
        <f>IFERROR(__xludf.DUMMYFUNCTION("""COMPUTED_VALUE"""),"Buje Balancin Muelle Tras I N200 5497024")</f>
        <v>Buje Balancin Muelle Tras I N200 5497024</v>
      </c>
      <c r="C5239" s="380" t="str">
        <f>IFERROR(__xludf.DUMMYFUNCTION("""COMPUTED_VALUE"""),"70000621")</f>
        <v>70000621</v>
      </c>
      <c r="D5239" s="380" t="s">
        <v>767</v>
      </c>
      <c r="E5239" s="380" t="s">
        <v>786</v>
      </c>
      <c r="F5239" s="380" t="s">
        <v>1039</v>
      </c>
      <c r="G5239" s="380" t="s">
        <v>1267</v>
      </c>
      <c r="H5239" s="380" t="s">
        <v>771</v>
      </c>
      <c r="I5239" s="380" t="s">
        <v>788</v>
      </c>
      <c r="J5239" s="380" t="s">
        <v>773</v>
      </c>
      <c r="K5239" s="381">
        <v>0.0</v>
      </c>
      <c r="L5239" s="382">
        <v>1.0</v>
      </c>
    </row>
    <row r="5240">
      <c r="A5240" s="380" t="s">
        <v>6114</v>
      </c>
      <c r="B5240" s="380" t="str">
        <f>IFERROR(__xludf.DUMMYFUNCTION("""COMPUTED_VALUE"""),"Carcasa Termostato Nkr 8971396031")</f>
        <v>Carcasa Termostato Nkr 8971396031</v>
      </c>
      <c r="C5240" s="380" t="str">
        <f>IFERROR(__xludf.DUMMYFUNCTION("""COMPUTED_VALUE"""),"70000622")</f>
        <v>70000622</v>
      </c>
      <c r="D5240" s="380" t="s">
        <v>767</v>
      </c>
      <c r="E5240" s="380" t="s">
        <v>786</v>
      </c>
      <c r="F5240" s="380" t="s">
        <v>787</v>
      </c>
      <c r="G5240" s="380" t="s">
        <v>1267</v>
      </c>
      <c r="H5240" s="380" t="s">
        <v>771</v>
      </c>
      <c r="I5240" s="380" t="s">
        <v>788</v>
      </c>
      <c r="J5240" s="380" t="s">
        <v>773</v>
      </c>
      <c r="K5240" s="381">
        <v>0.0</v>
      </c>
      <c r="L5240" s="382">
        <v>1.0</v>
      </c>
    </row>
    <row r="5241">
      <c r="A5241" s="380" t="s">
        <v>6115</v>
      </c>
      <c r="B5241" s="380" t="str">
        <f>IFERROR(__xludf.DUMMYFUNCTION("""COMPUTED_VALUE"""),"Piñon Rev Caja Hino 3342537020")</f>
        <v>Piñon Rev Caja Hino 3342537020</v>
      </c>
      <c r="C5241" s="380" t="str">
        <f>IFERROR(__xludf.DUMMYFUNCTION("""COMPUTED_VALUE"""),"70000623")</f>
        <v>70000623</v>
      </c>
      <c r="D5241" s="380" t="s">
        <v>767</v>
      </c>
      <c r="E5241" s="380" t="s">
        <v>786</v>
      </c>
      <c r="F5241" s="380" t="s">
        <v>928</v>
      </c>
      <c r="G5241" s="380" t="s">
        <v>1267</v>
      </c>
      <c r="H5241" s="380" t="s">
        <v>771</v>
      </c>
      <c r="I5241" s="380" t="s">
        <v>788</v>
      </c>
      <c r="J5241" s="380" t="s">
        <v>773</v>
      </c>
      <c r="K5241" s="381">
        <v>0.0</v>
      </c>
      <c r="L5241" s="382">
        <v>1.0</v>
      </c>
    </row>
    <row r="5242">
      <c r="A5242" s="380" t="s">
        <v>6116</v>
      </c>
      <c r="B5242" s="380" t="str">
        <f>IFERROR(__xludf.DUMMYFUNCTION("""COMPUTED_VALUE"""),"Manzana Rueda Delantera N-200 5497147")</f>
        <v>Manzana Rueda Delantera N-200 5497147</v>
      </c>
      <c r="C5242" s="380" t="str">
        <f>IFERROR(__xludf.DUMMYFUNCTION("""COMPUTED_VALUE"""),"70000624")</f>
        <v>70000624</v>
      </c>
      <c r="D5242" s="380" t="s">
        <v>767</v>
      </c>
      <c r="E5242" s="380" t="s">
        <v>786</v>
      </c>
      <c r="F5242" s="380" t="s">
        <v>1039</v>
      </c>
      <c r="G5242" s="380" t="s">
        <v>1267</v>
      </c>
      <c r="H5242" s="380" t="s">
        <v>771</v>
      </c>
      <c r="I5242" s="380" t="s">
        <v>788</v>
      </c>
      <c r="J5242" s="380" t="s">
        <v>773</v>
      </c>
      <c r="K5242" s="381">
        <v>0.0</v>
      </c>
      <c r="L5242" s="382">
        <v>1.0</v>
      </c>
    </row>
    <row r="5243">
      <c r="A5243" s="380" t="s">
        <v>6117</v>
      </c>
      <c r="B5243" s="380" t="str">
        <f>IFERROR(__xludf.DUMMYFUNCTION("""COMPUTED_VALUE"""),"Buje Selector Cambio T Delta 9004386041")</f>
        <v>Buje Selector Cambio T Delta 9004386041</v>
      </c>
      <c r="C5243" s="380" t="str">
        <f>IFERROR(__xludf.DUMMYFUNCTION("""COMPUTED_VALUE"""),"70000625")</f>
        <v>70000625</v>
      </c>
      <c r="D5243" s="380" t="s">
        <v>767</v>
      </c>
      <c r="E5243" s="380" t="s">
        <v>786</v>
      </c>
      <c r="F5243" s="380" t="s">
        <v>928</v>
      </c>
      <c r="G5243" s="380" t="s">
        <v>1267</v>
      </c>
      <c r="H5243" s="380" t="s">
        <v>771</v>
      </c>
      <c r="I5243" s="380" t="s">
        <v>788</v>
      </c>
      <c r="J5243" s="380" t="s">
        <v>773</v>
      </c>
      <c r="K5243" s="381">
        <v>0.0</v>
      </c>
      <c r="L5243" s="382">
        <v>1.0</v>
      </c>
    </row>
    <row r="5244">
      <c r="A5244" s="380" t="s">
        <v>6118</v>
      </c>
      <c r="B5244" s="380" t="str">
        <f>IFERROR(__xludf.DUMMYFUNCTION("""COMPUTED_VALUE"""),"Kit Buje Central Bastidor Eag H30437000l")</f>
        <v>Kit Buje Central Bastidor Eag H30437000l</v>
      </c>
      <c r="C5244" s="380" t="str">
        <f>IFERROR(__xludf.DUMMYFUNCTION("""COMPUTED_VALUE"""),"70000626")</f>
        <v>70000626</v>
      </c>
      <c r="D5244" s="380" t="s">
        <v>767</v>
      </c>
      <c r="E5244" s="380" t="s">
        <v>786</v>
      </c>
      <c r="F5244" s="380" t="s">
        <v>787</v>
      </c>
      <c r="G5244" s="380" t="s">
        <v>1267</v>
      </c>
      <c r="H5244" s="380" t="s">
        <v>771</v>
      </c>
      <c r="I5244" s="380" t="s">
        <v>788</v>
      </c>
      <c r="J5244" s="380" t="s">
        <v>773</v>
      </c>
      <c r="K5244" s="381">
        <v>0.0</v>
      </c>
      <c r="L5244" s="382">
        <v>1.0</v>
      </c>
    </row>
    <row r="5245">
      <c r="A5245" s="380" t="s">
        <v>6119</v>
      </c>
      <c r="B5245" s="380" t="str">
        <f>IFERROR(__xludf.DUMMYFUNCTION("""COMPUTED_VALUE"""),"Kit Buje Lateral Bastidor Eag H34013088l")</f>
        <v>Kit Buje Lateral Bastidor Eag H34013088l</v>
      </c>
      <c r="C5245" s="380" t="str">
        <f>IFERROR(__xludf.DUMMYFUNCTION("""COMPUTED_VALUE"""),"70000627")</f>
        <v>70000627</v>
      </c>
      <c r="D5245" s="380" t="s">
        <v>767</v>
      </c>
      <c r="E5245" s="380" t="s">
        <v>786</v>
      </c>
      <c r="F5245" s="380" t="s">
        <v>787</v>
      </c>
      <c r="G5245" s="380" t="s">
        <v>1267</v>
      </c>
      <c r="H5245" s="380" t="s">
        <v>771</v>
      </c>
      <c r="I5245" s="380" t="s">
        <v>788</v>
      </c>
      <c r="J5245" s="380" t="s">
        <v>773</v>
      </c>
      <c r="K5245" s="381">
        <v>0.0</v>
      </c>
      <c r="L5245" s="382">
        <v>1.0</v>
      </c>
    </row>
    <row r="5246">
      <c r="A5246" s="380" t="s">
        <v>6120</v>
      </c>
      <c r="B5246" s="380" t="str">
        <f>IFERROR(__xludf.DUMMYFUNCTION("""COMPUTED_VALUE"""),"Lampara Interior Cabina Eagle 2005463C91")</f>
        <v>Lampara Interior Cabina Eagle 2005463C91</v>
      </c>
      <c r="C5246" s="380" t="str">
        <f>IFERROR(__xludf.DUMMYFUNCTION("""COMPUTED_VALUE"""),"70000628")</f>
        <v>70000628</v>
      </c>
      <c r="D5246" s="380" t="s">
        <v>767</v>
      </c>
      <c r="E5246" s="380" t="s">
        <v>786</v>
      </c>
      <c r="F5246" s="380" t="s">
        <v>792</v>
      </c>
      <c r="G5246" s="380" t="s">
        <v>1267</v>
      </c>
      <c r="H5246" s="380" t="s">
        <v>771</v>
      </c>
      <c r="I5246" s="380" t="s">
        <v>788</v>
      </c>
      <c r="J5246" s="380" t="s">
        <v>773</v>
      </c>
      <c r="K5246" s="381">
        <v>231324.0</v>
      </c>
      <c r="L5246" s="382">
        <v>1.0</v>
      </c>
    </row>
    <row r="5247">
      <c r="A5247" s="380" t="s">
        <v>6121</v>
      </c>
      <c r="B5247" s="380" t="str">
        <f>IFERROR(__xludf.DUMMYFUNCTION("""COMPUTED_VALUE"""),"Paral Tras Der Cabina Eagle 3616403C91")</f>
        <v>Paral Tras Der Cabina Eagle 3616403C91</v>
      </c>
      <c r="C5247" s="380" t="str">
        <f>IFERROR(__xludf.DUMMYFUNCTION("""COMPUTED_VALUE"""),"70000629")</f>
        <v>70000629</v>
      </c>
      <c r="D5247" s="380" t="s">
        <v>767</v>
      </c>
      <c r="E5247" s="380" t="s">
        <v>786</v>
      </c>
      <c r="F5247" s="380" t="s">
        <v>792</v>
      </c>
      <c r="G5247" s="380" t="s">
        <v>1267</v>
      </c>
      <c r="H5247" s="380" t="s">
        <v>771</v>
      </c>
      <c r="I5247" s="380" t="s">
        <v>788</v>
      </c>
      <c r="J5247" s="380" t="s">
        <v>773</v>
      </c>
      <c r="K5247" s="381">
        <v>2412539.0</v>
      </c>
      <c r="L5247" s="382">
        <v>1.0</v>
      </c>
    </row>
    <row r="5248">
      <c r="A5248" s="380" t="s">
        <v>6122</v>
      </c>
      <c r="B5248" s="380" t="str">
        <f>IFERROR(__xludf.DUMMYFUNCTION("""COMPUTED_VALUE"""),"Pasador Sus Bombona 1 1/8X10-9093")</f>
        <v>Pasador Sus Bombona 1 1/8X10-9093</v>
      </c>
      <c r="C5248" s="380" t="str">
        <f>IFERROR(__xludf.DUMMYFUNCTION("""COMPUTED_VALUE"""),"70000630")</f>
        <v>70000630</v>
      </c>
      <c r="D5248" s="380" t="s">
        <v>767</v>
      </c>
      <c r="E5248" s="380" t="s">
        <v>786</v>
      </c>
      <c r="F5248" s="380" t="s">
        <v>1039</v>
      </c>
      <c r="G5248" s="380" t="s">
        <v>1267</v>
      </c>
      <c r="H5248" s="380" t="s">
        <v>771</v>
      </c>
      <c r="I5248" s="380" t="s">
        <v>788</v>
      </c>
      <c r="J5248" s="380" t="s">
        <v>773</v>
      </c>
      <c r="K5248" s="381">
        <v>0.0</v>
      </c>
      <c r="L5248" s="382">
        <v>1.0</v>
      </c>
    </row>
    <row r="5249">
      <c r="A5249" s="380" t="s">
        <v>6123</v>
      </c>
      <c r="B5249" s="380" t="str">
        <f>IFERROR(__xludf.DUMMYFUNCTION("""COMPUTED_VALUE"""),"Anillo Piston Nkr III 2012 8980535790")</f>
        <v>Anillo Piston Nkr III 2012 8980535790</v>
      </c>
      <c r="C5249" s="380" t="str">
        <f>IFERROR(__xludf.DUMMYFUNCTION("""COMPUTED_VALUE"""),"70000631")</f>
        <v>70000631</v>
      </c>
      <c r="D5249" s="380" t="s">
        <v>767</v>
      </c>
      <c r="E5249" s="380" t="s">
        <v>786</v>
      </c>
      <c r="F5249" s="380" t="s">
        <v>787</v>
      </c>
      <c r="G5249" s="380" t="s">
        <v>1267</v>
      </c>
      <c r="H5249" s="380" t="s">
        <v>771</v>
      </c>
      <c r="I5249" s="380" t="s">
        <v>788</v>
      </c>
      <c r="J5249" s="380" t="s">
        <v>773</v>
      </c>
      <c r="K5249" s="381">
        <v>0.0</v>
      </c>
      <c r="L5249" s="382">
        <v>1.0</v>
      </c>
    </row>
    <row r="5250">
      <c r="A5250" s="380" t="s">
        <v>6124</v>
      </c>
      <c r="B5250" s="380" t="str">
        <f>IFERROR(__xludf.DUMMYFUNCTION("""COMPUTED_VALUE"""),"Empaque Culata Nkr III 2012 8981359550")</f>
        <v>Empaque Culata Nkr III 2012 8981359550</v>
      </c>
      <c r="C5250" s="380" t="str">
        <f>IFERROR(__xludf.DUMMYFUNCTION("""COMPUTED_VALUE"""),"70000632")</f>
        <v>70000632</v>
      </c>
      <c r="D5250" s="380" t="s">
        <v>767</v>
      </c>
      <c r="E5250" s="380" t="s">
        <v>786</v>
      </c>
      <c r="F5250" s="380" t="s">
        <v>787</v>
      </c>
      <c r="G5250" s="380" t="s">
        <v>1267</v>
      </c>
      <c r="H5250" s="380" t="s">
        <v>771</v>
      </c>
      <c r="I5250" s="380" t="s">
        <v>788</v>
      </c>
      <c r="J5250" s="380" t="s">
        <v>773</v>
      </c>
      <c r="K5250" s="381">
        <v>0.0</v>
      </c>
      <c r="L5250" s="382">
        <v>1.0</v>
      </c>
    </row>
    <row r="5251">
      <c r="A5251" s="380" t="s">
        <v>6125</v>
      </c>
      <c r="B5251" s="380" t="str">
        <f>IFERROR(__xludf.DUMMYFUNCTION("""COMPUTED_VALUE"""),"Tapa cubo Rda Del Foton 1039 1023981101")</f>
        <v>Tapa cubo Rda Del Foton 1039 1023981101</v>
      </c>
      <c r="C5251" s="380" t="str">
        <f>IFERROR(__xludf.DUMMYFUNCTION("""COMPUTED_VALUE"""),"70000633")</f>
        <v>70000633</v>
      </c>
      <c r="D5251" s="380" t="s">
        <v>767</v>
      </c>
      <c r="E5251" s="380" t="s">
        <v>786</v>
      </c>
      <c r="F5251" s="380" t="s">
        <v>1039</v>
      </c>
      <c r="G5251" s="380" t="s">
        <v>1267</v>
      </c>
      <c r="H5251" s="380" t="s">
        <v>771</v>
      </c>
      <c r="I5251" s="380" t="s">
        <v>788</v>
      </c>
      <c r="J5251" s="380" t="s">
        <v>773</v>
      </c>
      <c r="K5251" s="381">
        <v>0.0</v>
      </c>
      <c r="L5251" s="382">
        <v>1.0</v>
      </c>
    </row>
    <row r="5252">
      <c r="A5252" s="380" t="s">
        <v>6126</v>
      </c>
      <c r="B5252" s="380" t="str">
        <f>IFERROR(__xludf.DUMMYFUNCTION("""COMPUTED_VALUE"""),"Abrazadera Tanque Aceite Hco Eagle Fabr")</f>
        <v>Abrazadera Tanque Aceite Hco Eagle Fabr</v>
      </c>
      <c r="C5252" s="380" t="str">
        <f>IFERROR(__xludf.DUMMYFUNCTION("""COMPUTED_VALUE"""),"70000634")</f>
        <v>70000634</v>
      </c>
      <c r="D5252" s="380" t="s">
        <v>767</v>
      </c>
      <c r="E5252" s="380" t="s">
        <v>786</v>
      </c>
      <c r="F5252" s="380" t="s">
        <v>1020</v>
      </c>
      <c r="G5252" s="380" t="s">
        <v>1267</v>
      </c>
      <c r="H5252" s="380" t="s">
        <v>771</v>
      </c>
      <c r="I5252" s="380" t="s">
        <v>788</v>
      </c>
      <c r="J5252" s="380" t="s">
        <v>773</v>
      </c>
      <c r="K5252" s="381">
        <v>0.0</v>
      </c>
      <c r="L5252" s="382">
        <v>1.0</v>
      </c>
    </row>
    <row r="5253">
      <c r="A5253" s="380" t="s">
        <v>6127</v>
      </c>
      <c r="B5253" s="380" t="str">
        <f>IFERROR(__xludf.DUMMYFUNCTION("""COMPUTED_VALUE"""),"Soporte Exosto Hi Eagle 9400 3542132c1")</f>
        <v>Soporte Exosto Hi Eagle 9400 3542132c1</v>
      </c>
      <c r="C5253" s="380" t="str">
        <f>IFERROR(__xludf.DUMMYFUNCTION("""COMPUTED_VALUE"""),"70000635")</f>
        <v>70000635</v>
      </c>
      <c r="D5253" s="380" t="s">
        <v>767</v>
      </c>
      <c r="E5253" s="380" t="s">
        <v>786</v>
      </c>
      <c r="F5253" s="380" t="s">
        <v>792</v>
      </c>
      <c r="G5253" s="380" t="s">
        <v>1267</v>
      </c>
      <c r="H5253" s="380" t="s">
        <v>771</v>
      </c>
      <c r="I5253" s="380" t="s">
        <v>788</v>
      </c>
      <c r="J5253" s="380" t="s">
        <v>773</v>
      </c>
      <c r="K5253" s="381">
        <v>0.0</v>
      </c>
      <c r="L5253" s="382">
        <v>1.0</v>
      </c>
    </row>
    <row r="5254">
      <c r="A5254" s="380" t="s">
        <v>6128</v>
      </c>
      <c r="B5254" s="380" t="str">
        <f>IFERROR(__xludf.DUMMYFUNCTION("""COMPUTED_VALUE"""),"Hoja Resorte Trasera SB N14E 22705/7")</f>
        <v>Hoja Resorte Trasera SB N14E 22705/7</v>
      </c>
      <c r="C5254" s="380" t="str">
        <f>IFERROR(__xludf.DUMMYFUNCTION("""COMPUTED_VALUE"""),"70000636")</f>
        <v>70000636</v>
      </c>
      <c r="D5254" s="380" t="s">
        <v>767</v>
      </c>
      <c r="E5254" s="380" t="s">
        <v>786</v>
      </c>
      <c r="F5254" s="380" t="s">
        <v>1039</v>
      </c>
      <c r="G5254" s="380" t="s">
        <v>1267</v>
      </c>
      <c r="H5254" s="380" t="s">
        <v>771</v>
      </c>
      <c r="I5254" s="380" t="s">
        <v>788</v>
      </c>
      <c r="J5254" s="380" t="s">
        <v>773</v>
      </c>
      <c r="K5254" s="381">
        <v>0.0</v>
      </c>
      <c r="L5254" s="382">
        <v>1.0</v>
      </c>
    </row>
    <row r="5255">
      <c r="A5255" s="380" t="s">
        <v>6129</v>
      </c>
      <c r="B5255" s="380" t="str">
        <f>IFERROR(__xludf.DUMMYFUNCTION("""COMPUTED_VALUE"""),"Empaque Lateral T Cortina 105"" Pta 5377")</f>
        <v>Empaque Lateral T Cortina 105" Pta 5377</v>
      </c>
      <c r="C5255" s="380" t="str">
        <f>IFERROR(__xludf.DUMMYFUNCTION("""COMPUTED_VALUE"""),"70000637")</f>
        <v>70000637</v>
      </c>
      <c r="D5255" s="380" t="s">
        <v>767</v>
      </c>
      <c r="E5255" s="380" t="s">
        <v>786</v>
      </c>
      <c r="F5255" s="380" t="s">
        <v>792</v>
      </c>
      <c r="G5255" s="380" t="s">
        <v>1267</v>
      </c>
      <c r="H5255" s="380" t="s">
        <v>771</v>
      </c>
      <c r="I5255" s="380" t="s">
        <v>788</v>
      </c>
      <c r="J5255" s="380" t="s">
        <v>773</v>
      </c>
      <c r="K5255" s="381">
        <v>0.0</v>
      </c>
      <c r="L5255" s="382">
        <v>1.0</v>
      </c>
    </row>
    <row r="5256">
      <c r="A5256" s="380" t="s">
        <v>6130</v>
      </c>
      <c r="B5256" s="380" t="str">
        <f>IFERROR(__xludf.DUMMYFUNCTION("""COMPUTED_VALUE"""),"Pin Pasador Guaya T Cortina Pta 1010097")</f>
        <v>Pin Pasador Guaya T Cortina Pta 1010097</v>
      </c>
      <c r="C5256" s="380" t="str">
        <f>IFERROR(__xludf.DUMMYFUNCTION("""COMPUTED_VALUE"""),"70000638")</f>
        <v>70000638</v>
      </c>
      <c r="D5256" s="380" t="s">
        <v>767</v>
      </c>
      <c r="E5256" s="380" t="s">
        <v>786</v>
      </c>
      <c r="F5256" s="380" t="s">
        <v>792</v>
      </c>
      <c r="G5256" s="380" t="s">
        <v>1267</v>
      </c>
      <c r="H5256" s="380" t="s">
        <v>771</v>
      </c>
      <c r="I5256" s="380" t="s">
        <v>788</v>
      </c>
      <c r="J5256" s="380" t="s">
        <v>773</v>
      </c>
      <c r="K5256" s="381">
        <v>0.0</v>
      </c>
      <c r="L5256" s="382">
        <v>1.0</v>
      </c>
    </row>
    <row r="5257">
      <c r="A5257" s="380" t="s">
        <v>6131</v>
      </c>
      <c r="B5257" s="380" t="str">
        <f>IFERROR(__xludf.DUMMYFUNCTION("""COMPUTED_VALUE"""),"Caja Direccion N200 23885494")</f>
        <v>Caja Direccion N200 23885494</v>
      </c>
      <c r="C5257" s="380" t="str">
        <f>IFERROR(__xludf.DUMMYFUNCTION("""COMPUTED_VALUE"""),"70000639")</f>
        <v>70000639</v>
      </c>
      <c r="D5257" s="380" t="s">
        <v>767</v>
      </c>
      <c r="E5257" s="380" t="s">
        <v>786</v>
      </c>
      <c r="F5257" s="380" t="s">
        <v>1020</v>
      </c>
      <c r="G5257" s="380" t="s">
        <v>1267</v>
      </c>
      <c r="H5257" s="380" t="s">
        <v>771</v>
      </c>
      <c r="I5257" s="380" t="s">
        <v>788</v>
      </c>
      <c r="J5257" s="380" t="s">
        <v>773</v>
      </c>
      <c r="K5257" s="381">
        <v>0.0</v>
      </c>
      <c r="L5257" s="382">
        <v>1.0</v>
      </c>
    </row>
    <row r="5258">
      <c r="A5258" s="380" t="s">
        <v>6132</v>
      </c>
      <c r="B5258" s="380" t="str">
        <f>IFERROR(__xludf.DUMMYFUNCTION("""COMPUTED_VALUE"""),"Cauchos Inyector Isx Eagle 3347937")</f>
        <v>Cauchos Inyector Isx Eagle 3347937</v>
      </c>
      <c r="C5258" s="380" t="str">
        <f>IFERROR(__xludf.DUMMYFUNCTION("""COMPUTED_VALUE"""),"70000640")</f>
        <v>70000640</v>
      </c>
      <c r="D5258" s="380" t="s">
        <v>767</v>
      </c>
      <c r="E5258" s="380" t="s">
        <v>786</v>
      </c>
      <c r="F5258" s="380" t="s">
        <v>787</v>
      </c>
      <c r="G5258" s="380" t="s">
        <v>1267</v>
      </c>
      <c r="H5258" s="380" t="s">
        <v>771</v>
      </c>
      <c r="I5258" s="380" t="s">
        <v>788</v>
      </c>
      <c r="J5258" s="380" t="s">
        <v>773</v>
      </c>
      <c r="K5258" s="381">
        <v>0.0</v>
      </c>
      <c r="L5258" s="382">
        <v>1.0</v>
      </c>
    </row>
    <row r="5259">
      <c r="A5259" s="380" t="s">
        <v>6133</v>
      </c>
      <c r="B5259" s="380" t="str">
        <f>IFERROR(__xludf.DUMMYFUNCTION("""COMPUTED_VALUE"""),"Cauchos Inyector Isx Eagle 3330538")</f>
        <v>Cauchos Inyector Isx Eagle 3330538</v>
      </c>
      <c r="C5259" s="380" t="str">
        <f>IFERROR(__xludf.DUMMYFUNCTION("""COMPUTED_VALUE"""),"70000641")</f>
        <v>70000641</v>
      </c>
      <c r="D5259" s="380" t="s">
        <v>767</v>
      </c>
      <c r="E5259" s="380" t="s">
        <v>786</v>
      </c>
      <c r="F5259" s="380" t="s">
        <v>787</v>
      </c>
      <c r="G5259" s="380" t="s">
        <v>1267</v>
      </c>
      <c r="H5259" s="380" t="s">
        <v>771</v>
      </c>
      <c r="I5259" s="380" t="s">
        <v>788</v>
      </c>
      <c r="J5259" s="380" t="s">
        <v>773</v>
      </c>
      <c r="K5259" s="381">
        <v>0.0</v>
      </c>
      <c r="L5259" s="382">
        <v>1.0</v>
      </c>
    </row>
    <row r="5260">
      <c r="A5260" s="380" t="s">
        <v>6134</v>
      </c>
      <c r="B5260" s="380" t="str">
        <f>IFERROR(__xludf.DUMMYFUNCTION("""COMPUTED_VALUE"""),"Cauchos Inyector Isx Eagle 3347939")</f>
        <v>Cauchos Inyector Isx Eagle 3347939</v>
      </c>
      <c r="C5260" s="380" t="str">
        <f>IFERROR(__xludf.DUMMYFUNCTION("""COMPUTED_VALUE"""),"70000642")</f>
        <v>70000642</v>
      </c>
      <c r="D5260" s="380" t="s">
        <v>767</v>
      </c>
      <c r="E5260" s="380" t="s">
        <v>786</v>
      </c>
      <c r="F5260" s="380" t="s">
        <v>787</v>
      </c>
      <c r="G5260" s="380" t="s">
        <v>1267</v>
      </c>
      <c r="H5260" s="380" t="s">
        <v>771</v>
      </c>
      <c r="I5260" s="380" t="s">
        <v>788</v>
      </c>
      <c r="J5260" s="380" t="s">
        <v>773</v>
      </c>
      <c r="K5260" s="381">
        <v>0.0</v>
      </c>
      <c r="L5260" s="382">
        <v>1.0</v>
      </c>
    </row>
    <row r="5261">
      <c r="A5261" s="380" t="s">
        <v>6135</v>
      </c>
      <c r="B5261" s="380" t="str">
        <f>IFERROR(__xludf.DUMMYFUNCTION("""COMPUTED_VALUE"""),"Tuerca Campana Freno Inter Npr 911105220")</f>
        <v>Tuerca Campana Freno Inter Npr 911105220</v>
      </c>
      <c r="C5261" s="380" t="str">
        <f>IFERROR(__xludf.DUMMYFUNCTION("""COMPUTED_VALUE"""),"70000643")</f>
        <v>70000643</v>
      </c>
      <c r="D5261" s="380" t="s">
        <v>767</v>
      </c>
      <c r="E5261" s="380" t="s">
        <v>786</v>
      </c>
      <c r="F5261" s="380" t="s">
        <v>1017</v>
      </c>
      <c r="G5261" s="380" t="s">
        <v>1267</v>
      </c>
      <c r="H5261" s="380" t="s">
        <v>771</v>
      </c>
      <c r="I5261" s="380" t="s">
        <v>788</v>
      </c>
      <c r="J5261" s="380" t="s">
        <v>773</v>
      </c>
      <c r="K5261" s="381">
        <v>0.0</v>
      </c>
      <c r="L5261" s="382">
        <v>1.0</v>
      </c>
    </row>
    <row r="5262">
      <c r="A5262" s="380" t="s">
        <v>6136</v>
      </c>
      <c r="B5262" s="380" t="str">
        <f>IFERROR(__xludf.DUMMYFUNCTION("""COMPUTED_VALUE"""),"Base Caucho Palanca Cambio Eag 3540459C1")</f>
        <v>Base Caucho Palanca Cambio Eag 3540459C1</v>
      </c>
      <c r="C5262" s="380" t="str">
        <f>IFERROR(__xludf.DUMMYFUNCTION("""COMPUTED_VALUE"""),"70000644")</f>
        <v>70000644</v>
      </c>
      <c r="D5262" s="380" t="s">
        <v>767</v>
      </c>
      <c r="E5262" s="380" t="s">
        <v>786</v>
      </c>
      <c r="F5262" s="380" t="s">
        <v>928</v>
      </c>
      <c r="G5262" s="380" t="s">
        <v>1267</v>
      </c>
      <c r="H5262" s="380" t="s">
        <v>771</v>
      </c>
      <c r="I5262" s="380" t="s">
        <v>788</v>
      </c>
      <c r="J5262" s="380" t="s">
        <v>773</v>
      </c>
      <c r="K5262" s="381">
        <v>0.0</v>
      </c>
      <c r="L5262" s="382">
        <v>1.0</v>
      </c>
    </row>
    <row r="5263">
      <c r="A5263" s="380" t="s">
        <v>6137</v>
      </c>
      <c r="B5263" s="380" t="str">
        <f>IFERROR(__xludf.DUMMYFUNCTION("""COMPUTED_VALUE"""),"Carter Aceite Motor Nkr RW 8973830673")</f>
        <v>Carter Aceite Motor Nkr RW 8973830673</v>
      </c>
      <c r="C5263" s="380" t="str">
        <f>IFERROR(__xludf.DUMMYFUNCTION("""COMPUTED_VALUE"""),"70000645")</f>
        <v>70000645</v>
      </c>
      <c r="D5263" s="380" t="s">
        <v>767</v>
      </c>
      <c r="E5263" s="380" t="s">
        <v>786</v>
      </c>
      <c r="F5263" s="380" t="s">
        <v>787</v>
      </c>
      <c r="G5263" s="380" t="s">
        <v>1267</v>
      </c>
      <c r="H5263" s="380" t="s">
        <v>771</v>
      </c>
      <c r="I5263" s="380" t="s">
        <v>788</v>
      </c>
      <c r="J5263" s="380" t="s">
        <v>773</v>
      </c>
      <c r="K5263" s="381">
        <v>0.0</v>
      </c>
      <c r="L5263" s="382">
        <v>1.0</v>
      </c>
    </row>
    <row r="5264">
      <c r="A5264" s="380" t="s">
        <v>6138</v>
      </c>
      <c r="B5264" s="380" t="str">
        <f>IFERROR(__xludf.DUMMYFUNCTION("""COMPUTED_VALUE"""),"Manija Puerta Izq N200 24529019")</f>
        <v>Manija Puerta Izq N200 24529019</v>
      </c>
      <c r="C5264" s="380" t="str">
        <f>IFERROR(__xludf.DUMMYFUNCTION("""COMPUTED_VALUE"""),"70000646")</f>
        <v>70000646</v>
      </c>
      <c r="D5264" s="380" t="s">
        <v>767</v>
      </c>
      <c r="E5264" s="380" t="s">
        <v>786</v>
      </c>
      <c r="F5264" s="380" t="s">
        <v>792</v>
      </c>
      <c r="G5264" s="380" t="s">
        <v>1267</v>
      </c>
      <c r="H5264" s="380" t="s">
        <v>771</v>
      </c>
      <c r="I5264" s="380" t="s">
        <v>788</v>
      </c>
      <c r="J5264" s="380" t="s">
        <v>773</v>
      </c>
      <c r="K5264" s="381">
        <v>0.0</v>
      </c>
      <c r="L5264" s="382">
        <v>1.0</v>
      </c>
    </row>
    <row r="5265">
      <c r="A5265" s="380" t="s">
        <v>6139</v>
      </c>
      <c r="B5265" s="380" t="str">
        <f>IFERROR(__xludf.DUMMYFUNCTION("""COMPUTED_VALUE"""),"Piñon 3ra 33 Dientes Nhr Turb 8943167610")</f>
        <v>Piñon 3ra 33 Dientes Nhr Turb 8943167610</v>
      </c>
      <c r="C5265" s="380" t="str">
        <f>IFERROR(__xludf.DUMMYFUNCTION("""COMPUTED_VALUE"""),"70000647")</f>
        <v>70000647</v>
      </c>
      <c r="D5265" s="380" t="s">
        <v>767</v>
      </c>
      <c r="E5265" s="380" t="s">
        <v>786</v>
      </c>
      <c r="F5265" s="380" t="s">
        <v>928</v>
      </c>
      <c r="G5265" s="380" t="s">
        <v>1267</v>
      </c>
      <c r="H5265" s="380" t="s">
        <v>771</v>
      </c>
      <c r="I5265" s="380" t="s">
        <v>788</v>
      </c>
      <c r="J5265" s="380" t="s">
        <v>773</v>
      </c>
      <c r="K5265" s="381">
        <v>0.0</v>
      </c>
      <c r="L5265" s="382">
        <v>1.0</v>
      </c>
    </row>
    <row r="5266">
      <c r="A5266" s="380" t="s">
        <v>6140</v>
      </c>
      <c r="B5266" s="380" t="str">
        <f>IFERROR(__xludf.DUMMYFUNCTION("""COMPUTED_VALUE"""),"Clip Aro Enf Rad Nkr-Npr-Nhr 8970888100")</f>
        <v>Clip Aro Enf Rad Nkr-Npr-Nhr 8970888100</v>
      </c>
      <c r="C5266" s="380" t="str">
        <f>IFERROR(__xludf.DUMMYFUNCTION("""COMPUTED_VALUE"""),"70000648")</f>
        <v>70000648</v>
      </c>
      <c r="D5266" s="380" t="s">
        <v>767</v>
      </c>
      <c r="E5266" s="380" t="s">
        <v>786</v>
      </c>
      <c r="F5266" s="380" t="s">
        <v>792</v>
      </c>
      <c r="G5266" s="380" t="s">
        <v>1267</v>
      </c>
      <c r="H5266" s="380" t="s">
        <v>771</v>
      </c>
      <c r="I5266" s="380" t="s">
        <v>788</v>
      </c>
      <c r="J5266" s="380" t="s">
        <v>773</v>
      </c>
      <c r="K5266" s="381">
        <v>0.0</v>
      </c>
      <c r="L5266" s="382">
        <v>1.0</v>
      </c>
    </row>
    <row r="5267">
      <c r="A5267" s="380" t="s">
        <v>6141</v>
      </c>
      <c r="B5267" s="380" t="str">
        <f>IFERROR(__xludf.DUMMYFUNCTION("""COMPUTED_VALUE"""),"Recibidor Chapa Puerta Npr-Delta")</f>
        <v>Recibidor Chapa Puerta Npr-Delta</v>
      </c>
      <c r="C5267" s="380" t="str">
        <f>IFERROR(__xludf.DUMMYFUNCTION("""COMPUTED_VALUE"""),"70000649")</f>
        <v>70000649</v>
      </c>
      <c r="D5267" s="380" t="s">
        <v>767</v>
      </c>
      <c r="E5267" s="380" t="s">
        <v>786</v>
      </c>
      <c r="F5267" s="380" t="s">
        <v>792</v>
      </c>
      <c r="G5267" s="380" t="s">
        <v>1267</v>
      </c>
      <c r="H5267" s="380" t="s">
        <v>771</v>
      </c>
      <c r="I5267" s="380" t="s">
        <v>788</v>
      </c>
      <c r="J5267" s="380" t="s">
        <v>773</v>
      </c>
      <c r="K5267" s="381">
        <v>0.0</v>
      </c>
      <c r="L5267" s="382">
        <v>1.0</v>
      </c>
    </row>
    <row r="5268">
      <c r="A5268" s="380" t="s">
        <v>6142</v>
      </c>
      <c r="B5268" s="380" t="str">
        <f>IFERROR(__xludf.DUMMYFUNCTION("""COMPUTED_VALUE"""),"Guaya Embrague N200 24561046-24525676")</f>
        <v>Guaya Embrague N200 24561046-24525676</v>
      </c>
      <c r="C5268" s="380" t="str">
        <f>IFERROR(__xludf.DUMMYFUNCTION("""COMPUTED_VALUE"""),"70000650")</f>
        <v>70000650</v>
      </c>
      <c r="D5268" s="380" t="s">
        <v>767</v>
      </c>
      <c r="E5268" s="380" t="s">
        <v>786</v>
      </c>
      <c r="F5268" s="380" t="s">
        <v>5661</v>
      </c>
      <c r="G5268" s="380" t="s">
        <v>1267</v>
      </c>
      <c r="H5268" s="380" t="s">
        <v>771</v>
      </c>
      <c r="I5268" s="380" t="s">
        <v>788</v>
      </c>
      <c r="J5268" s="380" t="s">
        <v>773</v>
      </c>
      <c r="K5268" s="381">
        <v>0.0</v>
      </c>
      <c r="L5268" s="382">
        <v>1.0</v>
      </c>
    </row>
    <row r="5269">
      <c r="A5269" s="380" t="s">
        <v>6143</v>
      </c>
      <c r="B5269" s="380" t="str">
        <f>IFERROR(__xludf.DUMMYFUNCTION("""COMPUTED_VALUE"""),"Interruptor Luces Parqueo Nkr 8972024790")</f>
        <v>Interruptor Luces Parqueo Nkr 8972024790</v>
      </c>
      <c r="C5269" s="380" t="str">
        <f>IFERROR(__xludf.DUMMYFUNCTION("""COMPUTED_VALUE"""),"70000651")</f>
        <v>70000651</v>
      </c>
      <c r="D5269" s="380" t="s">
        <v>767</v>
      </c>
      <c r="E5269" s="380" t="s">
        <v>786</v>
      </c>
      <c r="F5269" s="380" t="s">
        <v>998</v>
      </c>
      <c r="G5269" s="380" t="s">
        <v>1267</v>
      </c>
      <c r="H5269" s="380" t="s">
        <v>771</v>
      </c>
      <c r="I5269" s="380" t="s">
        <v>788</v>
      </c>
      <c r="J5269" s="380" t="s">
        <v>773</v>
      </c>
      <c r="K5269" s="381">
        <v>0.0</v>
      </c>
      <c r="L5269" s="382">
        <v>1.0</v>
      </c>
    </row>
    <row r="5270">
      <c r="A5270" s="380" t="s">
        <v>6144</v>
      </c>
      <c r="B5270" s="380" t="str">
        <f>IFERROR(__xludf.DUMMYFUNCTION("""COMPUTED_VALUE"""),"Pasador Punta Muelle Delantero Nkr 6103")</f>
        <v>Pasador Punta Muelle Delantero Nkr 6103</v>
      </c>
      <c r="C5270" s="380" t="str">
        <f>IFERROR(__xludf.DUMMYFUNCTION("""COMPUTED_VALUE"""),"70000652")</f>
        <v>70000652</v>
      </c>
      <c r="D5270" s="380" t="s">
        <v>767</v>
      </c>
      <c r="E5270" s="380" t="s">
        <v>786</v>
      </c>
      <c r="F5270" s="380" t="s">
        <v>1039</v>
      </c>
      <c r="G5270" s="380" t="s">
        <v>1267</v>
      </c>
      <c r="H5270" s="380" t="s">
        <v>771</v>
      </c>
      <c r="I5270" s="380" t="s">
        <v>788</v>
      </c>
      <c r="J5270" s="380" t="s">
        <v>773</v>
      </c>
      <c r="K5270" s="381">
        <v>0.0</v>
      </c>
      <c r="L5270" s="382">
        <v>1.0</v>
      </c>
    </row>
    <row r="5271">
      <c r="A5271" s="380" t="s">
        <v>6145</v>
      </c>
      <c r="B5271" s="380" t="str">
        <f>IFERROR(__xludf.DUMMYFUNCTION("""COMPUTED_VALUE"""),"Hoja Resorte Trasera SB N14E 22705/4")</f>
        <v>Hoja Resorte Trasera SB N14E 22705/4</v>
      </c>
      <c r="C5271" s="380" t="str">
        <f>IFERROR(__xludf.DUMMYFUNCTION("""COMPUTED_VALUE"""),"70000653")</f>
        <v>70000653</v>
      </c>
      <c r="D5271" s="380" t="s">
        <v>767</v>
      </c>
      <c r="E5271" s="380" t="s">
        <v>786</v>
      </c>
      <c r="F5271" s="380" t="s">
        <v>1039</v>
      </c>
      <c r="G5271" s="380" t="s">
        <v>1267</v>
      </c>
      <c r="H5271" s="380" t="s">
        <v>771</v>
      </c>
      <c r="I5271" s="380" t="s">
        <v>788</v>
      </c>
      <c r="J5271" s="380" t="s">
        <v>773</v>
      </c>
      <c r="K5271" s="381">
        <v>0.0</v>
      </c>
      <c r="L5271" s="382">
        <v>1.0</v>
      </c>
    </row>
    <row r="5272">
      <c r="A5272" s="380" t="s">
        <v>6146</v>
      </c>
      <c r="B5272" s="380" t="str">
        <f>IFERROR(__xludf.DUMMYFUNCTION("""COMPUTED_VALUE"""),"Cartucho Secador Aire Isx Core BX107794X")</f>
        <v>Cartucho Secador Aire Isx Core BX107794X</v>
      </c>
      <c r="C5272" s="380" t="str">
        <f>IFERROR(__xludf.DUMMYFUNCTION("""COMPUTED_VALUE"""),"70000654")</f>
        <v>70000654</v>
      </c>
      <c r="D5272" s="380" t="s">
        <v>767</v>
      </c>
      <c r="E5272" s="380" t="s">
        <v>786</v>
      </c>
      <c r="F5272" s="380" t="s">
        <v>1017</v>
      </c>
      <c r="G5272" s="380" t="s">
        <v>1267</v>
      </c>
      <c r="H5272" s="380" t="s">
        <v>771</v>
      </c>
      <c r="I5272" s="380" t="s">
        <v>788</v>
      </c>
      <c r="J5272" s="380" t="s">
        <v>773</v>
      </c>
      <c r="K5272" s="381">
        <v>0.0</v>
      </c>
      <c r="L5272" s="382">
        <v>1.0</v>
      </c>
    </row>
    <row r="5273">
      <c r="A5273" s="380" t="s">
        <v>6147</v>
      </c>
      <c r="B5273" s="380" t="str">
        <f>IFERROR(__xludf.DUMMYFUNCTION("""COMPUTED_VALUE"""),"Panel Torpedo Cab Pta Izq Eag 3558749C1")</f>
        <v>Panel Torpedo Cab Pta Izq Eag 3558749C1</v>
      </c>
      <c r="C5273" s="380" t="str">
        <f>IFERROR(__xludf.DUMMYFUNCTION("""COMPUTED_VALUE"""),"70000655")</f>
        <v>70000655</v>
      </c>
      <c r="D5273" s="380" t="s">
        <v>767</v>
      </c>
      <c r="E5273" s="380" t="s">
        <v>786</v>
      </c>
      <c r="F5273" s="380" t="s">
        <v>792</v>
      </c>
      <c r="G5273" s="380" t="s">
        <v>1267</v>
      </c>
      <c r="H5273" s="380" t="s">
        <v>771</v>
      </c>
      <c r="I5273" s="380" t="s">
        <v>788</v>
      </c>
      <c r="J5273" s="380" t="s">
        <v>773</v>
      </c>
      <c r="K5273" s="381">
        <v>0.0</v>
      </c>
      <c r="L5273" s="382">
        <v>1.0</v>
      </c>
    </row>
    <row r="5274">
      <c r="A5274" s="380" t="s">
        <v>6148</v>
      </c>
      <c r="B5274" s="380" t="str">
        <f>IFERROR(__xludf.DUMMYFUNCTION("""COMPUTED_VALUE"""),"Conjunto Pedal Acelerador Npr 8978591000")</f>
        <v>Conjunto Pedal Acelerador Npr 8978591000</v>
      </c>
      <c r="C5274" s="380" t="str">
        <f>IFERROR(__xludf.DUMMYFUNCTION("""COMPUTED_VALUE"""),"70000656")</f>
        <v>70000656</v>
      </c>
      <c r="D5274" s="380" t="s">
        <v>767</v>
      </c>
      <c r="E5274" s="380" t="s">
        <v>786</v>
      </c>
      <c r="F5274" s="380" t="s">
        <v>792</v>
      </c>
      <c r="G5274" s="380" t="s">
        <v>1267</v>
      </c>
      <c r="H5274" s="380" t="s">
        <v>771</v>
      </c>
      <c r="I5274" s="380" t="s">
        <v>788</v>
      </c>
      <c r="J5274" s="380" t="s">
        <v>773</v>
      </c>
      <c r="K5274" s="381">
        <v>0.0</v>
      </c>
      <c r="L5274" s="382">
        <v>1.0</v>
      </c>
    </row>
    <row r="5275">
      <c r="A5275" s="380" t="s">
        <v>6149</v>
      </c>
      <c r="B5275" s="380" t="str">
        <f>IFERROR(__xludf.DUMMYFUNCTION("""COMPUTED_VALUE"""),"Puerta Izq Eagle 3544586C96")</f>
        <v>Puerta Izq Eagle 3544586C96</v>
      </c>
      <c r="C5275" s="380" t="str">
        <f>IFERROR(__xludf.DUMMYFUNCTION("""COMPUTED_VALUE"""),"70000657")</f>
        <v>70000657</v>
      </c>
      <c r="D5275" s="380" t="s">
        <v>767</v>
      </c>
      <c r="E5275" s="380" t="s">
        <v>786</v>
      </c>
      <c r="F5275" s="380" t="s">
        <v>792</v>
      </c>
      <c r="G5275" s="380" t="s">
        <v>1267</v>
      </c>
      <c r="H5275" s="380" t="s">
        <v>771</v>
      </c>
      <c r="I5275" s="380" t="s">
        <v>788</v>
      </c>
      <c r="J5275" s="380" t="s">
        <v>773</v>
      </c>
      <c r="K5275" s="381">
        <v>0.0</v>
      </c>
      <c r="L5275" s="382">
        <v>1.0</v>
      </c>
    </row>
    <row r="5276">
      <c r="A5276" s="380" t="s">
        <v>6150</v>
      </c>
      <c r="B5276" s="380" t="str">
        <f>IFERROR(__xludf.DUMMYFUNCTION("""COMPUTED_VALUE"""),"Arandela Housing Inca COA 017601")</f>
        <v>Arandela Housing Inca COA 017601</v>
      </c>
      <c r="C5276" s="380" t="str">
        <f>IFERROR(__xludf.DUMMYFUNCTION("""COMPUTED_VALUE"""),"70000658")</f>
        <v>70000658</v>
      </c>
      <c r="D5276" s="380" t="s">
        <v>767</v>
      </c>
      <c r="E5276" s="380" t="s">
        <v>786</v>
      </c>
      <c r="F5276" s="380" t="s">
        <v>5683</v>
      </c>
      <c r="G5276" s="380" t="s">
        <v>1267</v>
      </c>
      <c r="H5276" s="380" t="s">
        <v>771</v>
      </c>
      <c r="I5276" s="380" t="s">
        <v>788</v>
      </c>
      <c r="J5276" s="380" t="s">
        <v>773</v>
      </c>
      <c r="K5276" s="381">
        <v>0.0</v>
      </c>
      <c r="L5276" s="382">
        <v>1.0</v>
      </c>
    </row>
    <row r="5277">
      <c r="A5277" s="380" t="s">
        <v>6151</v>
      </c>
      <c r="B5277" s="380" t="str">
        <f>IFERROR(__xludf.DUMMYFUNCTION("""COMPUTED_VALUE"""),"Hoja Resorte Trasera SB N14E 22705/5")</f>
        <v>Hoja Resorte Trasera SB N14E 22705/5</v>
      </c>
      <c r="C5277" s="380" t="str">
        <f>IFERROR(__xludf.DUMMYFUNCTION("""COMPUTED_VALUE"""),"70000659")</f>
        <v>70000659</v>
      </c>
      <c r="D5277" s="380" t="s">
        <v>767</v>
      </c>
      <c r="E5277" s="380" t="s">
        <v>786</v>
      </c>
      <c r="F5277" s="380" t="s">
        <v>1039</v>
      </c>
      <c r="G5277" s="380" t="s">
        <v>1267</v>
      </c>
      <c r="H5277" s="380" t="s">
        <v>771</v>
      </c>
      <c r="I5277" s="380" t="s">
        <v>788</v>
      </c>
      <c r="J5277" s="380" t="s">
        <v>773</v>
      </c>
      <c r="K5277" s="381">
        <v>0.0</v>
      </c>
      <c r="L5277" s="382">
        <v>1.0</v>
      </c>
    </row>
    <row r="5278">
      <c r="A5278" s="380" t="s">
        <v>6152</v>
      </c>
      <c r="B5278" s="380" t="str">
        <f>IFERROR(__xludf.DUMMYFUNCTION("""COMPUTED_VALUE"""),"Mang A/C Compre -Conden Eag 3626418C91")</f>
        <v>Mang A/C Compre -Conden Eag 3626418C91</v>
      </c>
      <c r="C5278" s="380" t="str">
        <f>IFERROR(__xludf.DUMMYFUNCTION("""COMPUTED_VALUE"""),"70000660")</f>
        <v>70000660</v>
      </c>
      <c r="D5278" s="380" t="s">
        <v>767</v>
      </c>
      <c r="E5278" s="380" t="s">
        <v>786</v>
      </c>
      <c r="F5278" s="380" t="s">
        <v>1031</v>
      </c>
      <c r="G5278" s="380" t="s">
        <v>1267</v>
      </c>
      <c r="H5278" s="380" t="s">
        <v>771</v>
      </c>
      <c r="I5278" s="380" t="s">
        <v>788</v>
      </c>
      <c r="J5278" s="380" t="s">
        <v>773</v>
      </c>
      <c r="K5278" s="381">
        <v>0.0</v>
      </c>
      <c r="L5278" s="382">
        <v>1.0</v>
      </c>
    </row>
    <row r="5279">
      <c r="A5279" s="380" t="s">
        <v>6153</v>
      </c>
      <c r="B5279" s="380" t="str">
        <f>IFERROR(__xludf.DUMMYFUNCTION("""COMPUTED_VALUE"""),"Pasador Piston Nkr Model 2012 8980151931")</f>
        <v>Pasador Piston Nkr Model 2012 8980151931</v>
      </c>
      <c r="C5279" s="380" t="str">
        <f>IFERROR(__xludf.DUMMYFUNCTION("""COMPUTED_VALUE"""),"70000661")</f>
        <v>70000661</v>
      </c>
      <c r="D5279" s="380" t="s">
        <v>767</v>
      </c>
      <c r="E5279" s="380" t="s">
        <v>786</v>
      </c>
      <c r="F5279" s="380" t="s">
        <v>787</v>
      </c>
      <c r="G5279" s="380" t="s">
        <v>1267</v>
      </c>
      <c r="H5279" s="380" t="s">
        <v>771</v>
      </c>
      <c r="I5279" s="380" t="s">
        <v>788</v>
      </c>
      <c r="J5279" s="380" t="s">
        <v>773</v>
      </c>
      <c r="K5279" s="381">
        <v>0.0</v>
      </c>
      <c r="L5279" s="382">
        <v>1.0</v>
      </c>
    </row>
    <row r="5280">
      <c r="A5280" s="380" t="s">
        <v>6154</v>
      </c>
      <c r="B5280" s="380" t="str">
        <f>IFERROR(__xludf.DUMMYFUNCTION("""COMPUTED_VALUE"""),"Piston Motor Grado B Nkr 2012 8980437040")</f>
        <v>Piston Motor Grado B Nkr 2012 8980437040</v>
      </c>
      <c r="C5280" s="380" t="str">
        <f>IFERROR(__xludf.DUMMYFUNCTION("""COMPUTED_VALUE"""),"70000662")</f>
        <v>70000662</v>
      </c>
      <c r="D5280" s="380" t="s">
        <v>767</v>
      </c>
      <c r="E5280" s="380" t="s">
        <v>786</v>
      </c>
      <c r="F5280" s="380" t="s">
        <v>787</v>
      </c>
      <c r="G5280" s="380" t="s">
        <v>1267</v>
      </c>
      <c r="H5280" s="380" t="s">
        <v>771</v>
      </c>
      <c r="I5280" s="380" t="s">
        <v>788</v>
      </c>
      <c r="J5280" s="380" t="s">
        <v>773</v>
      </c>
      <c r="K5280" s="381">
        <v>0.0</v>
      </c>
      <c r="L5280" s="382">
        <v>1.0</v>
      </c>
    </row>
    <row r="5281">
      <c r="A5281" s="380" t="s">
        <v>6155</v>
      </c>
      <c r="B5281" s="380" t="str">
        <f>IFERROR(__xludf.DUMMYFUNCTION("""COMPUTED_VALUE"""),"Empaque Vidrio Hi 4700-449683c2")</f>
        <v>Empaque Vidrio Hi 4700-449683c2</v>
      </c>
      <c r="C5281" s="380" t="str">
        <f>IFERROR(__xludf.DUMMYFUNCTION("""COMPUTED_VALUE"""),"70000663")</f>
        <v>70000663</v>
      </c>
      <c r="D5281" s="380" t="s">
        <v>767</v>
      </c>
      <c r="E5281" s="380" t="s">
        <v>786</v>
      </c>
      <c r="F5281" s="380" t="s">
        <v>792</v>
      </c>
      <c r="G5281" s="380" t="s">
        <v>1267</v>
      </c>
      <c r="H5281" s="380" t="s">
        <v>771</v>
      </c>
      <c r="I5281" s="380" t="s">
        <v>788</v>
      </c>
      <c r="J5281" s="380" t="s">
        <v>773</v>
      </c>
      <c r="K5281" s="381">
        <v>0.0</v>
      </c>
      <c r="L5281" s="382">
        <v>1.0</v>
      </c>
    </row>
    <row r="5282">
      <c r="A5282" s="380" t="s">
        <v>6156</v>
      </c>
      <c r="B5282" s="380" t="str">
        <f>IFERROR(__xludf.DUMMYFUNCTION("""COMPUTED_VALUE"""),"Horquilla 1ra Y 2da Volswagen 3344414")</f>
        <v>Horquilla 1ra Y 2da Volswagen 3344414</v>
      </c>
      <c r="C5282" s="380" t="str">
        <f>IFERROR(__xludf.DUMMYFUNCTION("""COMPUTED_VALUE"""),"70000664")</f>
        <v>70000664</v>
      </c>
      <c r="D5282" s="380" t="s">
        <v>767</v>
      </c>
      <c r="E5282" s="380" t="s">
        <v>786</v>
      </c>
      <c r="F5282" s="380" t="s">
        <v>928</v>
      </c>
      <c r="G5282" s="380" t="s">
        <v>1267</v>
      </c>
      <c r="H5282" s="380" t="s">
        <v>771</v>
      </c>
      <c r="I5282" s="380" t="s">
        <v>788</v>
      </c>
      <c r="J5282" s="380" t="s">
        <v>773</v>
      </c>
      <c r="K5282" s="381">
        <v>0.0</v>
      </c>
      <c r="L5282" s="382">
        <v>1.0</v>
      </c>
    </row>
    <row r="5283">
      <c r="A5283" s="380" t="s">
        <v>6157</v>
      </c>
      <c r="B5283" s="380" t="str">
        <f>IFERROR(__xludf.DUMMYFUNCTION("""COMPUTED_VALUE"""),"Caja Direccion KW Tas85062aexch")</f>
        <v>Caja Direccion KW Tas85062aexch</v>
      </c>
      <c r="C5283" s="380" t="str">
        <f>IFERROR(__xludf.DUMMYFUNCTION("""COMPUTED_VALUE"""),"70000665")</f>
        <v>70000665</v>
      </c>
      <c r="D5283" s="380" t="s">
        <v>767</v>
      </c>
      <c r="E5283" s="380" t="s">
        <v>786</v>
      </c>
      <c r="F5283" s="380" t="s">
        <v>1020</v>
      </c>
      <c r="G5283" s="380" t="s">
        <v>1267</v>
      </c>
      <c r="H5283" s="380" t="s">
        <v>771</v>
      </c>
      <c r="I5283" s="380" t="s">
        <v>788</v>
      </c>
      <c r="J5283" s="380" t="s">
        <v>773</v>
      </c>
      <c r="K5283" s="381">
        <v>0.0</v>
      </c>
      <c r="L5283" s="382">
        <v>1.0</v>
      </c>
    </row>
    <row r="5284">
      <c r="A5284" s="380" t="s">
        <v>6158</v>
      </c>
      <c r="B5284" s="380" t="str">
        <f>IFERROR(__xludf.DUMMYFUNCTION("""COMPUTED_VALUE"""),"Manija Exte Pta Der Np-Nh-Nkr 8978677211")</f>
        <v>Manija Exte Pta Der Np-Nh-Nkr 8978677211</v>
      </c>
      <c r="C5284" s="380" t="str">
        <f>IFERROR(__xludf.DUMMYFUNCTION("""COMPUTED_VALUE"""),"70000666")</f>
        <v>70000666</v>
      </c>
      <c r="D5284" s="380" t="s">
        <v>767</v>
      </c>
      <c r="E5284" s="380" t="s">
        <v>786</v>
      </c>
      <c r="F5284" s="380" t="s">
        <v>792</v>
      </c>
      <c r="G5284" s="380" t="s">
        <v>1267</v>
      </c>
      <c r="H5284" s="380" t="s">
        <v>771</v>
      </c>
      <c r="I5284" s="380" t="s">
        <v>788</v>
      </c>
      <c r="J5284" s="380" t="s">
        <v>773</v>
      </c>
      <c r="K5284" s="381">
        <v>140419.0</v>
      </c>
      <c r="L5284" s="382">
        <v>1.0</v>
      </c>
    </row>
    <row r="5285">
      <c r="A5285" s="380" t="s">
        <v>6159</v>
      </c>
      <c r="B5285" s="380" t="str">
        <f>IFERROR(__xludf.DUMMYFUNCTION("""COMPUTED_VALUE"""),"Sensor Velocimetro Akt 200")</f>
        <v>Sensor Velocimetro Akt 200</v>
      </c>
      <c r="C5285" s="380" t="str">
        <f>IFERROR(__xludf.DUMMYFUNCTION("""COMPUTED_VALUE"""),"70000667")</f>
        <v>70000667</v>
      </c>
      <c r="D5285" s="380" t="s">
        <v>767</v>
      </c>
      <c r="E5285" s="380" t="s">
        <v>786</v>
      </c>
      <c r="F5285" s="380" t="s">
        <v>998</v>
      </c>
      <c r="G5285" s="380" t="s">
        <v>1267</v>
      </c>
      <c r="H5285" s="380" t="s">
        <v>771</v>
      </c>
      <c r="I5285" s="380" t="s">
        <v>788</v>
      </c>
      <c r="J5285" s="380" t="s">
        <v>773</v>
      </c>
      <c r="K5285" s="381">
        <v>0.0</v>
      </c>
      <c r="L5285" s="382">
        <v>1.0</v>
      </c>
    </row>
    <row r="5286">
      <c r="A5286" s="380" t="s">
        <v>6160</v>
      </c>
      <c r="B5286" s="380" t="str">
        <f>IFERROR(__xludf.DUMMYFUNCTION("""COMPUTED_VALUE"""),"Codo Admision Aire Culata Isx 3680742")</f>
        <v>Codo Admision Aire Culata Isx 3680742</v>
      </c>
      <c r="C5286" s="380" t="str">
        <f>IFERROR(__xludf.DUMMYFUNCTION("""COMPUTED_VALUE"""),"70000668")</f>
        <v>70000668</v>
      </c>
      <c r="D5286" s="380" t="s">
        <v>767</v>
      </c>
      <c r="E5286" s="380" t="s">
        <v>786</v>
      </c>
      <c r="F5286" s="380" t="s">
        <v>787</v>
      </c>
      <c r="G5286" s="380" t="s">
        <v>1267</v>
      </c>
      <c r="H5286" s="380" t="s">
        <v>771</v>
      </c>
      <c r="I5286" s="380" t="s">
        <v>788</v>
      </c>
      <c r="J5286" s="380" t="s">
        <v>773</v>
      </c>
      <c r="K5286" s="381">
        <v>0.0</v>
      </c>
      <c r="L5286" s="382">
        <v>1.0</v>
      </c>
    </row>
    <row r="5287">
      <c r="A5287" s="380" t="s">
        <v>6161</v>
      </c>
      <c r="B5287" s="380" t="str">
        <f>IFERROR(__xludf.DUMMYFUNCTION("""COMPUTED_VALUE"""),"Empaquetadura Motor T Delta 411187348")</f>
        <v>Empaquetadura Motor T Delta 411187348</v>
      </c>
      <c r="C5287" s="380" t="str">
        <f>IFERROR(__xludf.DUMMYFUNCTION("""COMPUTED_VALUE"""),"70000669")</f>
        <v>70000669</v>
      </c>
      <c r="D5287" s="380" t="s">
        <v>767</v>
      </c>
      <c r="E5287" s="380" t="s">
        <v>786</v>
      </c>
      <c r="F5287" s="380" t="s">
        <v>787</v>
      </c>
      <c r="G5287" s="380" t="s">
        <v>1267</v>
      </c>
      <c r="H5287" s="380" t="s">
        <v>771</v>
      </c>
      <c r="I5287" s="380" t="s">
        <v>788</v>
      </c>
      <c r="J5287" s="380" t="s">
        <v>773</v>
      </c>
      <c r="K5287" s="381">
        <v>0.0</v>
      </c>
      <c r="L5287" s="382">
        <v>1.0</v>
      </c>
    </row>
    <row r="5288">
      <c r="A5288" s="380" t="s">
        <v>6162</v>
      </c>
      <c r="B5288" s="380" t="str">
        <f>IFERROR(__xludf.DUMMYFUNCTION("""COMPUTED_VALUE"""),"Tapa Radiador T Delta 1640167150")</f>
        <v>Tapa Radiador T Delta 1640167150</v>
      </c>
      <c r="C5288" s="380" t="str">
        <f>IFERROR(__xludf.DUMMYFUNCTION("""COMPUTED_VALUE"""),"70000670")</f>
        <v>70000670</v>
      </c>
      <c r="D5288" s="380" t="s">
        <v>767</v>
      </c>
      <c r="E5288" s="380" t="s">
        <v>786</v>
      </c>
      <c r="F5288" s="380" t="s">
        <v>787</v>
      </c>
      <c r="G5288" s="380" t="s">
        <v>1267</v>
      </c>
      <c r="H5288" s="380" t="s">
        <v>771</v>
      </c>
      <c r="I5288" s="380" t="s">
        <v>788</v>
      </c>
      <c r="J5288" s="380" t="s">
        <v>773</v>
      </c>
      <c r="K5288" s="381">
        <v>13920.0</v>
      </c>
      <c r="L5288" s="382">
        <v>1.0</v>
      </c>
    </row>
    <row r="5289">
      <c r="A5289" s="380" t="s">
        <v>6163</v>
      </c>
      <c r="B5289" s="380" t="str">
        <f>IFERROR(__xludf.DUMMYFUNCTION("""COMPUTED_VALUE"""),"Amortiguador T Delta 4853087315")</f>
        <v>Amortiguador T Delta 4853087315</v>
      </c>
      <c r="C5289" s="380" t="str">
        <f>IFERROR(__xludf.DUMMYFUNCTION("""COMPUTED_VALUE"""),"70000671")</f>
        <v>70000671</v>
      </c>
      <c r="D5289" s="380" t="s">
        <v>767</v>
      </c>
      <c r="E5289" s="380" t="s">
        <v>786</v>
      </c>
      <c r="F5289" s="380" t="s">
        <v>1039</v>
      </c>
      <c r="G5289" s="380" t="s">
        <v>1267</v>
      </c>
      <c r="H5289" s="380" t="s">
        <v>771</v>
      </c>
      <c r="I5289" s="380" t="s">
        <v>788</v>
      </c>
      <c r="J5289" s="380" t="s">
        <v>773</v>
      </c>
      <c r="K5289" s="381">
        <v>0.0</v>
      </c>
      <c r="L5289" s="382">
        <v>1.0</v>
      </c>
    </row>
    <row r="5290">
      <c r="A5290" s="380" t="s">
        <v>6164</v>
      </c>
      <c r="B5290" s="380" t="str">
        <f>IFERROR(__xludf.DUMMYFUNCTION("""COMPUTED_VALUE"""),"Manguera Radiador Curva Toyota 626156012")</f>
        <v>Manguera Radiador Curva Toyota 626156012</v>
      </c>
      <c r="C5290" s="380" t="str">
        <f>IFERROR(__xludf.DUMMYFUNCTION("""COMPUTED_VALUE"""),"70000672")</f>
        <v>70000672</v>
      </c>
      <c r="D5290" s="380" t="s">
        <v>767</v>
      </c>
      <c r="E5290" s="380" t="s">
        <v>786</v>
      </c>
      <c r="F5290" s="380" t="s">
        <v>787</v>
      </c>
      <c r="G5290" s="380" t="s">
        <v>1267</v>
      </c>
      <c r="H5290" s="380" t="s">
        <v>771</v>
      </c>
      <c r="I5290" s="380" t="s">
        <v>788</v>
      </c>
      <c r="J5290" s="380" t="s">
        <v>773</v>
      </c>
      <c r="K5290" s="381">
        <v>0.0</v>
      </c>
      <c r="L5290" s="382">
        <v>1.0</v>
      </c>
    </row>
    <row r="5291">
      <c r="A5291" s="380" t="s">
        <v>6165</v>
      </c>
      <c r="B5291" s="380" t="str">
        <f>IFERROR(__xludf.DUMMYFUNCTION("""COMPUTED_VALUE"""),"Empaque Multiple Admision Nkr")</f>
        <v>Empaque Multiple Admision Nkr</v>
      </c>
      <c r="C5291" s="380" t="str">
        <f>IFERROR(__xludf.DUMMYFUNCTION("""COMPUTED_VALUE"""),"70000673")</f>
        <v>70000673</v>
      </c>
      <c r="D5291" s="380" t="s">
        <v>767</v>
      </c>
      <c r="E5291" s="380" t="s">
        <v>786</v>
      </c>
      <c r="F5291" s="380" t="s">
        <v>787</v>
      </c>
      <c r="G5291" s="380" t="s">
        <v>1267</v>
      </c>
      <c r="H5291" s="380" t="s">
        <v>771</v>
      </c>
      <c r="I5291" s="380" t="s">
        <v>788</v>
      </c>
      <c r="J5291" s="380" t="s">
        <v>773</v>
      </c>
      <c r="K5291" s="381">
        <v>42761.0</v>
      </c>
      <c r="L5291" s="382">
        <v>1.0</v>
      </c>
    </row>
    <row r="5292">
      <c r="A5292" s="380" t="s">
        <v>6166</v>
      </c>
      <c r="B5292" s="380" t="str">
        <f>IFERROR(__xludf.DUMMYFUNCTION("""COMPUTED_VALUE"""),"Sincro 5ta Y Rev Nhr 8973731440")</f>
        <v>Sincro 5ta Y Rev Nhr 8973731440</v>
      </c>
      <c r="C5292" s="380" t="str">
        <f>IFERROR(__xludf.DUMMYFUNCTION("""COMPUTED_VALUE"""),"70000674")</f>
        <v>70000674</v>
      </c>
      <c r="D5292" s="380" t="s">
        <v>767</v>
      </c>
      <c r="E5292" s="380" t="s">
        <v>786</v>
      </c>
      <c r="F5292" s="380" t="s">
        <v>928</v>
      </c>
      <c r="G5292" s="380" t="s">
        <v>1267</v>
      </c>
      <c r="H5292" s="380" t="s">
        <v>771</v>
      </c>
      <c r="I5292" s="380" t="s">
        <v>788</v>
      </c>
      <c r="J5292" s="380" t="s">
        <v>773</v>
      </c>
      <c r="K5292" s="381">
        <v>0.0</v>
      </c>
      <c r="L5292" s="382">
        <v>1.0</v>
      </c>
    </row>
    <row r="5293">
      <c r="A5293" s="380" t="s">
        <v>6167</v>
      </c>
      <c r="B5293" s="380" t="str">
        <f>IFERROR(__xludf.DUMMYFUNCTION("""COMPUTED_VALUE"""),"Pasador 5ta Y Rev Nhr 8973731440")</f>
        <v>Pasador 5ta Y Rev Nhr 8973731440</v>
      </c>
      <c r="C5293" s="380" t="str">
        <f>IFERROR(__xludf.DUMMYFUNCTION("""COMPUTED_VALUE"""),"70000675")</f>
        <v>70000675</v>
      </c>
      <c r="D5293" s="380" t="s">
        <v>767</v>
      </c>
      <c r="E5293" s="380" t="s">
        <v>786</v>
      </c>
      <c r="F5293" s="380" t="s">
        <v>928</v>
      </c>
      <c r="G5293" s="380" t="s">
        <v>1267</v>
      </c>
      <c r="H5293" s="380" t="s">
        <v>771</v>
      </c>
      <c r="I5293" s="380" t="s">
        <v>788</v>
      </c>
      <c r="J5293" s="380" t="s">
        <v>773</v>
      </c>
      <c r="K5293" s="381">
        <v>0.0</v>
      </c>
      <c r="L5293" s="382">
        <v>1.0</v>
      </c>
    </row>
    <row r="5294">
      <c r="A5294" s="380" t="s">
        <v>6168</v>
      </c>
      <c r="B5294" s="380" t="str">
        <f>IFERROR(__xludf.DUMMYFUNCTION("""COMPUTED_VALUE"""),"Pasador Horquilla 1ra/2da Nhr 8970113701")</f>
        <v>Pasador Horquilla 1ra/2da Nhr 8970113701</v>
      </c>
      <c r="C5294" s="380" t="str">
        <f>IFERROR(__xludf.DUMMYFUNCTION("""COMPUTED_VALUE"""),"70000676")</f>
        <v>70000676</v>
      </c>
      <c r="D5294" s="380" t="s">
        <v>767</v>
      </c>
      <c r="E5294" s="380" t="s">
        <v>786</v>
      </c>
      <c r="F5294" s="380" t="s">
        <v>928</v>
      </c>
      <c r="G5294" s="380" t="s">
        <v>1267</v>
      </c>
      <c r="H5294" s="380" t="s">
        <v>771</v>
      </c>
      <c r="I5294" s="380" t="s">
        <v>788</v>
      </c>
      <c r="J5294" s="380" t="s">
        <v>773</v>
      </c>
      <c r="K5294" s="381">
        <v>0.0</v>
      </c>
      <c r="L5294" s="382">
        <v>1.0</v>
      </c>
    </row>
    <row r="5295">
      <c r="A5295" s="380" t="s">
        <v>6169</v>
      </c>
      <c r="B5295" s="380" t="str">
        <f>IFERROR(__xludf.DUMMYFUNCTION("""COMPUTED_VALUE"""),"Pasador Horquilla 3ra Nhr Tur 8970113711")</f>
        <v>Pasador Horquilla 3ra Nhr Tur 8970113711</v>
      </c>
      <c r="C5295" s="380" t="str">
        <f>IFERROR(__xludf.DUMMYFUNCTION("""COMPUTED_VALUE"""),"70000677")</f>
        <v>70000677</v>
      </c>
      <c r="D5295" s="380" t="s">
        <v>767</v>
      </c>
      <c r="E5295" s="380" t="s">
        <v>786</v>
      </c>
      <c r="F5295" s="380" t="s">
        <v>928</v>
      </c>
      <c r="G5295" s="380" t="s">
        <v>1267</v>
      </c>
      <c r="H5295" s="380" t="s">
        <v>771</v>
      </c>
      <c r="I5295" s="380" t="s">
        <v>788</v>
      </c>
      <c r="J5295" s="380" t="s">
        <v>773</v>
      </c>
      <c r="K5295" s="381">
        <v>0.0</v>
      </c>
      <c r="L5295" s="382">
        <v>1.0</v>
      </c>
    </row>
    <row r="5296">
      <c r="A5296" s="380" t="s">
        <v>6170</v>
      </c>
      <c r="B5296" s="380" t="str">
        <f>IFERROR(__xludf.DUMMYFUNCTION("""COMPUTED_VALUE"""),"Eje Toma 30 Dientes Nhr Turb 8971036320")</f>
        <v>Eje Toma 30 Dientes Nhr Turb 8971036320</v>
      </c>
      <c r="C5296" s="380" t="str">
        <f>IFERROR(__xludf.DUMMYFUNCTION("""COMPUTED_VALUE"""),"70000678")</f>
        <v>70000678</v>
      </c>
      <c r="D5296" s="380" t="s">
        <v>767</v>
      </c>
      <c r="E5296" s="380" t="s">
        <v>786</v>
      </c>
      <c r="F5296" s="380" t="s">
        <v>928</v>
      </c>
      <c r="G5296" s="380" t="s">
        <v>1267</v>
      </c>
      <c r="H5296" s="380" t="s">
        <v>771</v>
      </c>
      <c r="I5296" s="380" t="s">
        <v>788</v>
      </c>
      <c r="J5296" s="380" t="s">
        <v>773</v>
      </c>
      <c r="K5296" s="381">
        <v>0.0</v>
      </c>
      <c r="L5296" s="382">
        <v>1.0</v>
      </c>
    </row>
    <row r="5297">
      <c r="A5297" s="380" t="s">
        <v>6171</v>
      </c>
      <c r="B5297" s="380" t="str">
        <f>IFERROR(__xludf.DUMMYFUNCTION("""COMPUTED_VALUE"""),"Jgo Pasta Freno Tras R Master 7701206763")</f>
        <v>Jgo Pasta Freno Tras R Master 7701206763</v>
      </c>
      <c r="C5297" s="380" t="str">
        <f>IFERROR(__xludf.DUMMYFUNCTION("""COMPUTED_VALUE"""),"70000679")</f>
        <v>70000679</v>
      </c>
      <c r="D5297" s="380" t="s">
        <v>767</v>
      </c>
      <c r="E5297" s="380" t="s">
        <v>786</v>
      </c>
      <c r="F5297" s="380" t="s">
        <v>1017</v>
      </c>
      <c r="G5297" s="380" t="s">
        <v>1267</v>
      </c>
      <c r="H5297" s="380" t="s">
        <v>771</v>
      </c>
      <c r="I5297" s="380" t="s">
        <v>788</v>
      </c>
      <c r="J5297" s="380" t="s">
        <v>773</v>
      </c>
      <c r="K5297" s="381">
        <v>237001.0</v>
      </c>
      <c r="L5297" s="382">
        <v>1.0</v>
      </c>
    </row>
    <row r="5298">
      <c r="A5298" s="380" t="s">
        <v>6172</v>
      </c>
      <c r="B5298" s="380" t="str">
        <f>IFERROR(__xludf.DUMMYFUNCTION("""COMPUTED_VALUE"""),"Mang Sup Radiador T Delta 1657187327")</f>
        <v>Mang Sup Radiador T Delta 1657187327</v>
      </c>
      <c r="C5298" s="380" t="str">
        <f>IFERROR(__xludf.DUMMYFUNCTION("""COMPUTED_VALUE"""),"70000680")</f>
        <v>70000680</v>
      </c>
      <c r="D5298" s="380" t="s">
        <v>767</v>
      </c>
      <c r="E5298" s="380" t="s">
        <v>786</v>
      </c>
      <c r="F5298" s="380" t="s">
        <v>787</v>
      </c>
      <c r="G5298" s="380" t="s">
        <v>1267</v>
      </c>
      <c r="H5298" s="380" t="s">
        <v>771</v>
      </c>
      <c r="I5298" s="380" t="s">
        <v>788</v>
      </c>
      <c r="J5298" s="380" t="s">
        <v>773</v>
      </c>
      <c r="K5298" s="381">
        <v>0.0</v>
      </c>
      <c r="L5298" s="382">
        <v>1.0</v>
      </c>
    </row>
    <row r="5299">
      <c r="A5299" s="380" t="s">
        <v>6173</v>
      </c>
      <c r="B5299" s="380" t="str">
        <f>IFERROR(__xludf.DUMMYFUNCTION("""COMPUTED_VALUE"""),"Mang Inf Radiador T Delta 1657387311")</f>
        <v>Mang Inf Radiador T Delta 1657387311</v>
      </c>
      <c r="C5299" s="380" t="str">
        <f>IFERROR(__xludf.DUMMYFUNCTION("""COMPUTED_VALUE"""),"70000681")</f>
        <v>70000681</v>
      </c>
      <c r="D5299" s="380" t="s">
        <v>767</v>
      </c>
      <c r="E5299" s="380" t="s">
        <v>786</v>
      </c>
      <c r="F5299" s="380" t="s">
        <v>787</v>
      </c>
      <c r="G5299" s="380" t="s">
        <v>1267</v>
      </c>
      <c r="H5299" s="380" t="s">
        <v>771</v>
      </c>
      <c r="I5299" s="380" t="s">
        <v>788</v>
      </c>
      <c r="J5299" s="380" t="s">
        <v>773</v>
      </c>
      <c r="K5299" s="381">
        <v>0.0</v>
      </c>
      <c r="L5299" s="382">
        <v>1.0</v>
      </c>
    </row>
    <row r="5300">
      <c r="A5300" s="380" t="s">
        <v>6174</v>
      </c>
      <c r="B5300" s="380" t="str">
        <f>IFERROR(__xludf.DUMMYFUNCTION("""COMPUTED_VALUE"""),"Motor Deposito Limpbrisas Eag 2585375C91")</f>
        <v>Motor Deposito Limpbrisas Eag 2585375C91</v>
      </c>
      <c r="C5300" s="380" t="str">
        <f>IFERROR(__xludf.DUMMYFUNCTION("""COMPUTED_VALUE"""),"70000682")</f>
        <v>70000682</v>
      </c>
      <c r="D5300" s="380" t="s">
        <v>767</v>
      </c>
      <c r="E5300" s="380" t="s">
        <v>786</v>
      </c>
      <c r="F5300" s="380" t="s">
        <v>998</v>
      </c>
      <c r="G5300" s="380" t="s">
        <v>1267</v>
      </c>
      <c r="H5300" s="380" t="s">
        <v>771</v>
      </c>
      <c r="I5300" s="380" t="s">
        <v>788</v>
      </c>
      <c r="J5300" s="380" t="s">
        <v>773</v>
      </c>
      <c r="K5300" s="381">
        <v>0.0</v>
      </c>
      <c r="L5300" s="382">
        <v>1.0</v>
      </c>
    </row>
    <row r="5301">
      <c r="A5301" s="380" t="s">
        <v>6175</v>
      </c>
      <c r="B5301" s="380" t="str">
        <f>IFERROR(__xludf.DUMMYFUNCTION("""COMPUTED_VALUE"""),"Tapon Tapa Rueda Bocin Eagle 902071")</f>
        <v>Tapon Tapa Rueda Bocin Eagle 902071</v>
      </c>
      <c r="C5301" s="380" t="str">
        <f>IFERROR(__xludf.DUMMYFUNCTION("""COMPUTED_VALUE"""),"70000683")</f>
        <v>70000683</v>
      </c>
      <c r="D5301" s="380" t="s">
        <v>767</v>
      </c>
      <c r="E5301" s="380" t="s">
        <v>786</v>
      </c>
      <c r="F5301" s="380" t="s">
        <v>1017</v>
      </c>
      <c r="G5301" s="380" t="s">
        <v>1267</v>
      </c>
      <c r="H5301" s="380" t="s">
        <v>771</v>
      </c>
      <c r="I5301" s="380" t="s">
        <v>788</v>
      </c>
      <c r="J5301" s="380" t="s">
        <v>773</v>
      </c>
      <c r="K5301" s="381">
        <v>9620.0</v>
      </c>
      <c r="L5301" s="382">
        <v>1.0</v>
      </c>
    </row>
    <row r="5302">
      <c r="A5302" s="380" t="s">
        <v>6176</v>
      </c>
      <c r="B5302" s="380" t="str">
        <f>IFERROR(__xludf.DUMMYFUNCTION("""COMPUTED_VALUE"""),"Kit Pasador Pedal Eagle 9400-1681938C92")</f>
        <v>Kit Pasador Pedal Eagle 9400-1681938C92</v>
      </c>
      <c r="C5302" s="380" t="str">
        <f>IFERROR(__xludf.DUMMYFUNCTION("""COMPUTED_VALUE"""),"70000684")</f>
        <v>70000684</v>
      </c>
      <c r="D5302" s="380" t="s">
        <v>767</v>
      </c>
      <c r="E5302" s="380" t="s">
        <v>786</v>
      </c>
      <c r="F5302" s="380" t="s">
        <v>787</v>
      </c>
      <c r="G5302" s="380" t="s">
        <v>1267</v>
      </c>
      <c r="H5302" s="380" t="s">
        <v>771</v>
      </c>
      <c r="I5302" s="380" t="s">
        <v>788</v>
      </c>
      <c r="J5302" s="380" t="s">
        <v>773</v>
      </c>
      <c r="K5302" s="381">
        <v>0.0</v>
      </c>
      <c r="L5302" s="382">
        <v>1.0</v>
      </c>
    </row>
    <row r="5303">
      <c r="A5303" s="380" t="s">
        <v>6177</v>
      </c>
      <c r="B5303" s="380" t="str">
        <f>IFERROR(__xludf.DUMMYFUNCTION("""COMPUTED_VALUE"""),"Hoja Resorte Trasera Hi 9400-55119/1")</f>
        <v>Hoja Resorte Trasera Hi 9400-55119/1</v>
      </c>
      <c r="C5303" s="380" t="str">
        <f>IFERROR(__xludf.DUMMYFUNCTION("""COMPUTED_VALUE"""),"70000685")</f>
        <v>70000685</v>
      </c>
      <c r="D5303" s="380" t="s">
        <v>767</v>
      </c>
      <c r="E5303" s="380" t="s">
        <v>786</v>
      </c>
      <c r="F5303" s="380" t="s">
        <v>1039</v>
      </c>
      <c r="G5303" s="380" t="s">
        <v>1267</v>
      </c>
      <c r="H5303" s="380" t="s">
        <v>771</v>
      </c>
      <c r="I5303" s="380" t="s">
        <v>788</v>
      </c>
      <c r="J5303" s="380" t="s">
        <v>773</v>
      </c>
      <c r="K5303" s="381">
        <v>0.0</v>
      </c>
      <c r="L5303" s="382">
        <v>1.0</v>
      </c>
    </row>
    <row r="5304">
      <c r="A5304" s="380" t="s">
        <v>6178</v>
      </c>
      <c r="B5304" s="380" t="str">
        <f>IFERROR(__xludf.DUMMYFUNCTION("""COMPUTED_VALUE"""),"Deposito Agua Limpiabrisas N200-24521111")</f>
        <v>Deposito Agua Limpiabrisas N200-24521111</v>
      </c>
      <c r="C5304" s="380" t="str">
        <f>IFERROR(__xludf.DUMMYFUNCTION("""COMPUTED_VALUE"""),"70000686")</f>
        <v>70000686</v>
      </c>
      <c r="D5304" s="380" t="s">
        <v>767</v>
      </c>
      <c r="E5304" s="380" t="s">
        <v>786</v>
      </c>
      <c r="F5304" s="380" t="s">
        <v>792</v>
      </c>
      <c r="G5304" s="380" t="s">
        <v>1267</v>
      </c>
      <c r="H5304" s="380" t="s">
        <v>771</v>
      </c>
      <c r="I5304" s="380" t="s">
        <v>788</v>
      </c>
      <c r="J5304" s="380" t="s">
        <v>773</v>
      </c>
      <c r="K5304" s="381">
        <v>0.0</v>
      </c>
      <c r="L5304" s="382">
        <v>1.0</v>
      </c>
    </row>
    <row r="5305">
      <c r="A5305" s="380" t="s">
        <v>6179</v>
      </c>
      <c r="B5305" s="380" t="str">
        <f>IFERROR(__xludf.DUMMYFUNCTION("""COMPUTED_VALUE"""),"Oring Soport Filtro Aceite Npr 943993990")</f>
        <v>Oring Soport Filtro Aceite Npr 943993990</v>
      </c>
      <c r="C5305" s="380" t="str">
        <f>IFERROR(__xludf.DUMMYFUNCTION("""COMPUTED_VALUE"""),"70000687")</f>
        <v>70000687</v>
      </c>
      <c r="D5305" s="380" t="s">
        <v>767</v>
      </c>
      <c r="E5305" s="380" t="s">
        <v>786</v>
      </c>
      <c r="F5305" s="380" t="s">
        <v>787</v>
      </c>
      <c r="G5305" s="380" t="s">
        <v>1267</v>
      </c>
      <c r="H5305" s="380" t="s">
        <v>771</v>
      </c>
      <c r="I5305" s="380" t="s">
        <v>788</v>
      </c>
      <c r="J5305" s="380" t="s">
        <v>773</v>
      </c>
      <c r="K5305" s="381">
        <v>0.0</v>
      </c>
      <c r="L5305" s="382">
        <v>1.0</v>
      </c>
    </row>
    <row r="5306">
      <c r="A5306" s="380" t="s">
        <v>6180</v>
      </c>
      <c r="B5306" s="380" t="str">
        <f>IFERROR(__xludf.DUMMYFUNCTION("""COMPUTED_VALUE"""),"Brazo Corto Dir Eagle 9400 3564389C91")</f>
        <v>Brazo Corto Dir Eagle 9400 3564389C91</v>
      </c>
      <c r="C5306" s="380" t="str">
        <f>IFERROR(__xludf.DUMMYFUNCTION("""COMPUTED_VALUE"""),"70000688")</f>
        <v>70000688</v>
      </c>
      <c r="D5306" s="380" t="s">
        <v>767</v>
      </c>
      <c r="E5306" s="380" t="s">
        <v>786</v>
      </c>
      <c r="F5306" s="380" t="s">
        <v>1020</v>
      </c>
      <c r="G5306" s="380" t="s">
        <v>1267</v>
      </c>
      <c r="H5306" s="380" t="s">
        <v>771</v>
      </c>
      <c r="I5306" s="380" t="s">
        <v>788</v>
      </c>
      <c r="J5306" s="380" t="s">
        <v>773</v>
      </c>
      <c r="K5306" s="381">
        <v>0.0</v>
      </c>
      <c r="L5306" s="382">
        <v>1.0</v>
      </c>
    </row>
    <row r="5307">
      <c r="A5307" s="380" t="s">
        <v>6181</v>
      </c>
      <c r="B5307" s="380" t="str">
        <f>IFERROR(__xludf.DUMMYFUNCTION("""COMPUTED_VALUE"""),"Guia Tope Capo Isx 3559239C3")</f>
        <v>Guia Tope Capo Isx 3559239C3</v>
      </c>
      <c r="C5307" s="380" t="str">
        <f>IFERROR(__xludf.DUMMYFUNCTION("""COMPUTED_VALUE"""),"70000689")</f>
        <v>70000689</v>
      </c>
      <c r="D5307" s="380" t="s">
        <v>767</v>
      </c>
      <c r="E5307" s="380" t="s">
        <v>786</v>
      </c>
      <c r="F5307" s="380" t="s">
        <v>792</v>
      </c>
      <c r="G5307" s="380" t="s">
        <v>1267</v>
      </c>
      <c r="H5307" s="380" t="s">
        <v>771</v>
      </c>
      <c r="I5307" s="380" t="s">
        <v>788</v>
      </c>
      <c r="J5307" s="380" t="s">
        <v>773</v>
      </c>
      <c r="K5307" s="381">
        <v>0.0</v>
      </c>
      <c r="L5307" s="382">
        <v>1.0</v>
      </c>
    </row>
    <row r="5308">
      <c r="A5308" s="380" t="s">
        <v>6182</v>
      </c>
      <c r="B5308" s="380" t="str">
        <f>IFERROR(__xludf.DUMMYFUNCTION("""COMPUTED_VALUE"""),"Cruceta Cardan Nkr III 8972111350")</f>
        <v>Cruceta Cardan Nkr III 8972111350</v>
      </c>
      <c r="C5308" s="380" t="str">
        <f>IFERROR(__xludf.DUMMYFUNCTION("""COMPUTED_VALUE"""),"70000690")</f>
        <v>70000690</v>
      </c>
      <c r="D5308" s="380" t="s">
        <v>767</v>
      </c>
      <c r="E5308" s="380" t="s">
        <v>786</v>
      </c>
      <c r="F5308" s="380" t="s">
        <v>5683</v>
      </c>
      <c r="G5308" s="380" t="s">
        <v>1267</v>
      </c>
      <c r="H5308" s="380" t="s">
        <v>771</v>
      </c>
      <c r="I5308" s="380" t="s">
        <v>788</v>
      </c>
      <c r="J5308" s="380" t="s">
        <v>773</v>
      </c>
      <c r="K5308" s="381">
        <v>0.0</v>
      </c>
      <c r="L5308" s="382">
        <v>1.0</v>
      </c>
    </row>
    <row r="5309">
      <c r="A5309" s="380" t="s">
        <v>6183</v>
      </c>
      <c r="B5309" s="380" t="str">
        <f>IFERROR(__xludf.DUMMYFUNCTION("""COMPUTED_VALUE"""),"Tapa Deposito Agua Exp N200 93288274")</f>
        <v>Tapa Deposito Agua Exp N200 93288274</v>
      </c>
      <c r="C5309" s="380" t="str">
        <f>IFERROR(__xludf.DUMMYFUNCTION("""COMPUTED_VALUE"""),"70000691")</f>
        <v>70000691</v>
      </c>
      <c r="D5309" s="380" t="s">
        <v>767</v>
      </c>
      <c r="E5309" s="380" t="s">
        <v>786</v>
      </c>
      <c r="F5309" s="380" t="s">
        <v>787</v>
      </c>
      <c r="G5309" s="380" t="s">
        <v>1267</v>
      </c>
      <c r="H5309" s="380" t="s">
        <v>771</v>
      </c>
      <c r="I5309" s="380" t="s">
        <v>788</v>
      </c>
      <c r="J5309" s="380" t="s">
        <v>773</v>
      </c>
      <c r="K5309" s="381">
        <v>40912.0</v>
      </c>
      <c r="L5309" s="382">
        <v>1.0</v>
      </c>
    </row>
    <row r="5310">
      <c r="A5310" s="380" t="s">
        <v>6184</v>
      </c>
      <c r="B5310" s="380" t="str">
        <f>IFERROR(__xludf.DUMMYFUNCTION("""COMPUTED_VALUE"""),"Hoja Resorte Del T Delta 07078/2cv")</f>
        <v>Hoja Resorte Del T Delta 07078/2cv</v>
      </c>
      <c r="C5310" s="380" t="str">
        <f>IFERROR(__xludf.DUMMYFUNCTION("""COMPUTED_VALUE"""),"70000692")</f>
        <v>70000692</v>
      </c>
      <c r="D5310" s="380" t="s">
        <v>767</v>
      </c>
      <c r="E5310" s="380" t="s">
        <v>786</v>
      </c>
      <c r="F5310" s="380" t="s">
        <v>1039</v>
      </c>
      <c r="G5310" s="380" t="s">
        <v>1267</v>
      </c>
      <c r="H5310" s="380" t="s">
        <v>771</v>
      </c>
      <c r="I5310" s="380" t="s">
        <v>788</v>
      </c>
      <c r="J5310" s="380" t="s">
        <v>773</v>
      </c>
      <c r="K5310" s="381">
        <v>0.0</v>
      </c>
      <c r="L5310" s="382">
        <v>1.0</v>
      </c>
    </row>
    <row r="5311">
      <c r="A5311" s="380" t="s">
        <v>6185</v>
      </c>
      <c r="B5311" s="380" t="str">
        <f>IFERROR(__xludf.DUMMYFUNCTION("""COMPUTED_VALUE"""),"Zapa Muelle Trasera Trasera Hi 481223c1")</f>
        <v>Zapa Muelle Trasera Trasera Hi 481223c1</v>
      </c>
      <c r="C5311" s="380" t="str">
        <f>IFERROR(__xludf.DUMMYFUNCTION("""COMPUTED_VALUE"""),"70000693")</f>
        <v>70000693</v>
      </c>
      <c r="D5311" s="380" t="s">
        <v>767</v>
      </c>
      <c r="E5311" s="380" t="s">
        <v>786</v>
      </c>
      <c r="F5311" s="380" t="s">
        <v>1039</v>
      </c>
      <c r="G5311" s="380" t="s">
        <v>1267</v>
      </c>
      <c r="H5311" s="380" t="s">
        <v>771</v>
      </c>
      <c r="I5311" s="380" t="s">
        <v>788</v>
      </c>
      <c r="J5311" s="380" t="s">
        <v>773</v>
      </c>
      <c r="K5311" s="381">
        <v>0.0</v>
      </c>
      <c r="L5311" s="382">
        <v>1.0</v>
      </c>
    </row>
    <row r="5312">
      <c r="A5312" s="380" t="s">
        <v>6186</v>
      </c>
      <c r="B5312" s="380" t="str">
        <f>IFERROR(__xludf.DUMMYFUNCTION("""COMPUTED_VALUE"""),"Caña Direccion Isx 3819792c91")</f>
        <v>Caña Direccion Isx 3819792c91</v>
      </c>
      <c r="C5312" s="380" t="str">
        <f>IFERROR(__xludf.DUMMYFUNCTION("""COMPUTED_VALUE"""),"70000694")</f>
        <v>70000694</v>
      </c>
      <c r="D5312" s="380" t="s">
        <v>767</v>
      </c>
      <c r="E5312" s="380" t="s">
        <v>786</v>
      </c>
      <c r="F5312" s="380" t="s">
        <v>1020</v>
      </c>
      <c r="G5312" s="380" t="s">
        <v>1267</v>
      </c>
      <c r="H5312" s="380" t="s">
        <v>771</v>
      </c>
      <c r="I5312" s="380" t="s">
        <v>788</v>
      </c>
      <c r="J5312" s="380" t="s">
        <v>773</v>
      </c>
      <c r="K5312" s="381">
        <v>0.0</v>
      </c>
      <c r="L5312" s="382">
        <v>1.0</v>
      </c>
    </row>
    <row r="5313">
      <c r="A5313" s="380" t="s">
        <v>6187</v>
      </c>
      <c r="B5313" s="380" t="str">
        <f>IFERROR(__xludf.DUMMYFUNCTION("""COMPUTED_VALUE"""),"Hoja Resorte Tras Hi Aux 43185/1")</f>
        <v>Hoja Resorte Tras Hi Aux 43185/1</v>
      </c>
      <c r="C5313" s="380" t="str">
        <f>IFERROR(__xludf.DUMMYFUNCTION("""COMPUTED_VALUE"""),"70000695")</f>
        <v>70000695</v>
      </c>
      <c r="D5313" s="380" t="s">
        <v>767</v>
      </c>
      <c r="E5313" s="380" t="s">
        <v>786</v>
      </c>
      <c r="F5313" s="380" t="s">
        <v>1039</v>
      </c>
      <c r="G5313" s="380" t="s">
        <v>1267</v>
      </c>
      <c r="H5313" s="380" t="s">
        <v>771</v>
      </c>
      <c r="I5313" s="380" t="s">
        <v>788</v>
      </c>
      <c r="J5313" s="380" t="s">
        <v>773</v>
      </c>
      <c r="K5313" s="381">
        <v>164220.0</v>
      </c>
      <c r="L5313" s="382">
        <v>1.0</v>
      </c>
    </row>
    <row r="5314">
      <c r="A5314" s="380" t="s">
        <v>6188</v>
      </c>
      <c r="B5314" s="380" t="str">
        <f>IFERROR(__xludf.DUMMYFUNCTION("""COMPUTED_VALUE"""),"Retenedor Leva Frenos Eagle A1205V1556")</f>
        <v>Retenedor Leva Frenos Eagle A1205V1556</v>
      </c>
      <c r="C5314" s="380" t="str">
        <f>IFERROR(__xludf.DUMMYFUNCTION("""COMPUTED_VALUE"""),"70000696")</f>
        <v>70000696</v>
      </c>
      <c r="D5314" s="380" t="s">
        <v>767</v>
      </c>
      <c r="E5314" s="380" t="s">
        <v>786</v>
      </c>
      <c r="F5314" s="380" t="s">
        <v>1017</v>
      </c>
      <c r="G5314" s="380" t="s">
        <v>1267</v>
      </c>
      <c r="H5314" s="380" t="s">
        <v>771</v>
      </c>
      <c r="I5314" s="380" t="s">
        <v>788</v>
      </c>
      <c r="J5314" s="380" t="s">
        <v>773</v>
      </c>
      <c r="K5314" s="381">
        <v>0.0</v>
      </c>
      <c r="L5314" s="382">
        <v>1.0</v>
      </c>
    </row>
    <row r="5315">
      <c r="A5315" s="380" t="s">
        <v>6189</v>
      </c>
      <c r="B5315" s="380" t="str">
        <f>IFERROR(__xludf.DUMMYFUNCTION("""COMPUTED_VALUE"""),"Manguera Engrase Rodillo Cluth 586529c1")</f>
        <v>Manguera Engrase Rodillo Cluth 586529c1</v>
      </c>
      <c r="C5315" s="380" t="str">
        <f>IFERROR(__xludf.DUMMYFUNCTION("""COMPUTED_VALUE"""),"70000697")</f>
        <v>70000697</v>
      </c>
      <c r="D5315" s="380" t="s">
        <v>767</v>
      </c>
      <c r="E5315" s="380" t="s">
        <v>786</v>
      </c>
      <c r="F5315" s="380" t="s">
        <v>928</v>
      </c>
      <c r="G5315" s="380" t="s">
        <v>1267</v>
      </c>
      <c r="H5315" s="380" t="s">
        <v>771</v>
      </c>
      <c r="I5315" s="380" t="s">
        <v>788</v>
      </c>
      <c r="J5315" s="380" t="s">
        <v>773</v>
      </c>
      <c r="K5315" s="381">
        <v>0.0</v>
      </c>
      <c r="L5315" s="382">
        <v>1.0</v>
      </c>
    </row>
    <row r="5316">
      <c r="A5316" s="380" t="s">
        <v>6190</v>
      </c>
      <c r="B5316" s="380" t="str">
        <f>IFERROR(__xludf.DUMMYFUNCTION("""COMPUTED_VALUE"""),"Hoja Resorte Tras Hi Eagle S60 59007/1")</f>
        <v>Hoja Resorte Tras Hi Eagle S60 59007/1</v>
      </c>
      <c r="C5316" s="380" t="str">
        <f>IFERROR(__xludf.DUMMYFUNCTION("""COMPUTED_VALUE"""),"70000698")</f>
        <v>70000698</v>
      </c>
      <c r="D5316" s="380" t="s">
        <v>767</v>
      </c>
      <c r="E5316" s="380" t="s">
        <v>786</v>
      </c>
      <c r="F5316" s="380" t="s">
        <v>1039</v>
      </c>
      <c r="G5316" s="380" t="s">
        <v>1267</v>
      </c>
      <c r="H5316" s="380" t="s">
        <v>771</v>
      </c>
      <c r="I5316" s="380" t="s">
        <v>788</v>
      </c>
      <c r="J5316" s="380" t="s">
        <v>773</v>
      </c>
      <c r="K5316" s="381">
        <v>0.0</v>
      </c>
      <c r="L5316" s="382">
        <v>1.0</v>
      </c>
    </row>
    <row r="5317">
      <c r="A5317" s="380" t="s">
        <v>6191</v>
      </c>
      <c r="B5317" s="380" t="str">
        <f>IFERROR(__xludf.DUMMYFUNCTION("""COMPUTED_VALUE"""),"Culata Compr Isx Eagle 4309440-4936225")</f>
        <v>Culata Compr Isx Eagle 4309440-4936225</v>
      </c>
      <c r="C5317" s="380" t="str">
        <f>IFERROR(__xludf.DUMMYFUNCTION("""COMPUTED_VALUE"""),"70000699")</f>
        <v>70000699</v>
      </c>
      <c r="D5317" s="380" t="s">
        <v>767</v>
      </c>
      <c r="E5317" s="380" t="s">
        <v>786</v>
      </c>
      <c r="F5317" s="380" t="s">
        <v>787</v>
      </c>
      <c r="G5317" s="380" t="s">
        <v>1267</v>
      </c>
      <c r="H5317" s="380" t="s">
        <v>771</v>
      </c>
      <c r="I5317" s="380" t="s">
        <v>788</v>
      </c>
      <c r="J5317" s="380" t="s">
        <v>773</v>
      </c>
      <c r="K5317" s="381">
        <v>0.0</v>
      </c>
      <c r="L5317" s="382">
        <v>1.0</v>
      </c>
    </row>
    <row r="5318">
      <c r="A5318" s="380" t="s">
        <v>6192</v>
      </c>
      <c r="B5318" s="380" t="str">
        <f>IFERROR(__xludf.DUMMYFUNCTION("""COMPUTED_VALUE"""),"Stop Trasero Der N200 5496716")</f>
        <v>Stop Trasero Der N200 5496716</v>
      </c>
      <c r="C5318" s="380" t="str">
        <f>IFERROR(__xludf.DUMMYFUNCTION("""COMPUTED_VALUE"""),"70000700")</f>
        <v>70000700</v>
      </c>
      <c r="D5318" s="380" t="s">
        <v>767</v>
      </c>
      <c r="E5318" s="380" t="s">
        <v>786</v>
      </c>
      <c r="F5318" s="380" t="s">
        <v>998</v>
      </c>
      <c r="G5318" s="380" t="s">
        <v>1267</v>
      </c>
      <c r="H5318" s="380" t="s">
        <v>771</v>
      </c>
      <c r="I5318" s="380" t="s">
        <v>788</v>
      </c>
      <c r="J5318" s="380" t="s">
        <v>773</v>
      </c>
      <c r="K5318" s="381">
        <v>0.0</v>
      </c>
      <c r="L5318" s="382">
        <v>1.0</v>
      </c>
    </row>
    <row r="5319">
      <c r="A5319" s="380" t="s">
        <v>6193</v>
      </c>
      <c r="B5319" s="380" t="str">
        <f>IFERROR(__xludf.DUMMYFUNCTION("""COMPUTED_VALUE"""),"Soporte Cardan Isx 9400-2008 S7926")</f>
        <v>Soporte Cardan Isx 9400-2008 S7926</v>
      </c>
      <c r="C5319" s="380" t="str">
        <f>IFERROR(__xludf.DUMMYFUNCTION("""COMPUTED_VALUE"""),"70000701")</f>
        <v>70000701</v>
      </c>
      <c r="D5319" s="380" t="s">
        <v>767</v>
      </c>
      <c r="E5319" s="380" t="s">
        <v>786</v>
      </c>
      <c r="F5319" s="380" t="s">
        <v>5683</v>
      </c>
      <c r="G5319" s="380" t="s">
        <v>1267</v>
      </c>
      <c r="H5319" s="380" t="s">
        <v>771</v>
      </c>
      <c r="I5319" s="380" t="s">
        <v>788</v>
      </c>
      <c r="J5319" s="380" t="s">
        <v>773</v>
      </c>
      <c r="K5319" s="381">
        <v>0.0</v>
      </c>
      <c r="L5319" s="382">
        <v>1.0</v>
      </c>
    </row>
    <row r="5320">
      <c r="A5320" s="380" t="s">
        <v>6194</v>
      </c>
      <c r="B5320" s="380" t="str">
        <f>IFERROR(__xludf.DUMMYFUNCTION("""COMPUTED_VALUE"""),"Bombillo Halogeno 71255 N200 H7 12V 55W")</f>
        <v>Bombillo Halogeno 71255 N200 H7 12V 55W</v>
      </c>
      <c r="C5320" s="380" t="str">
        <f>IFERROR(__xludf.DUMMYFUNCTION("""COMPUTED_VALUE"""),"70000702")</f>
        <v>70000702</v>
      </c>
      <c r="D5320" s="380" t="s">
        <v>767</v>
      </c>
      <c r="E5320" s="380" t="s">
        <v>786</v>
      </c>
      <c r="F5320" s="380" t="s">
        <v>998</v>
      </c>
      <c r="G5320" s="380" t="s">
        <v>1267</v>
      </c>
      <c r="H5320" s="380" t="s">
        <v>771</v>
      </c>
      <c r="I5320" s="380" t="s">
        <v>788</v>
      </c>
      <c r="J5320" s="380" t="s">
        <v>773</v>
      </c>
      <c r="K5320" s="381">
        <v>17610.0</v>
      </c>
      <c r="L5320" s="382">
        <v>1.0</v>
      </c>
    </row>
    <row r="5321">
      <c r="A5321" s="380" t="s">
        <v>6195</v>
      </c>
      <c r="B5321" s="380" t="str">
        <f>IFERROR(__xludf.DUMMYFUNCTION("""COMPUTED_VALUE"""),"Varilla Control Cambio T Delta 385087311")</f>
        <v>Varilla Control Cambio T Delta 385087311</v>
      </c>
      <c r="C5321" s="380" t="str">
        <f>IFERROR(__xludf.DUMMYFUNCTION("""COMPUTED_VALUE"""),"70000703")</f>
        <v>70000703</v>
      </c>
      <c r="D5321" s="380" t="s">
        <v>767</v>
      </c>
      <c r="E5321" s="380" t="s">
        <v>786</v>
      </c>
      <c r="F5321" s="380" t="s">
        <v>1017</v>
      </c>
      <c r="G5321" s="380" t="s">
        <v>1267</v>
      </c>
      <c r="H5321" s="380" t="s">
        <v>771</v>
      </c>
      <c r="I5321" s="380" t="s">
        <v>788</v>
      </c>
      <c r="J5321" s="380" t="s">
        <v>773</v>
      </c>
      <c r="K5321" s="381">
        <v>0.0</v>
      </c>
      <c r="L5321" s="382">
        <v>1.0</v>
      </c>
    </row>
    <row r="5322">
      <c r="A5322" s="380" t="s">
        <v>6196</v>
      </c>
      <c r="B5322" s="380" t="str">
        <f>IFERROR(__xludf.DUMMYFUNCTION("""COMPUTED_VALUE"""),"Esparrago Bomba Agua Nkr II 9041106180")</f>
        <v>Esparrago Bomba Agua Nkr II 9041106180</v>
      </c>
      <c r="C5322" s="380" t="str">
        <f>IFERROR(__xludf.DUMMYFUNCTION("""COMPUTED_VALUE"""),"70000704")</f>
        <v>70000704</v>
      </c>
      <c r="D5322" s="380" t="s">
        <v>767</v>
      </c>
      <c r="E5322" s="380" t="s">
        <v>786</v>
      </c>
      <c r="F5322" s="380" t="s">
        <v>787</v>
      </c>
      <c r="G5322" s="380" t="s">
        <v>1267</v>
      </c>
      <c r="H5322" s="380" t="s">
        <v>771</v>
      </c>
      <c r="I5322" s="380" t="s">
        <v>788</v>
      </c>
      <c r="J5322" s="380" t="s">
        <v>773</v>
      </c>
      <c r="K5322" s="381">
        <v>0.0</v>
      </c>
      <c r="L5322" s="382">
        <v>1.0</v>
      </c>
    </row>
    <row r="5323">
      <c r="A5323" s="380" t="s">
        <v>6197</v>
      </c>
      <c r="B5323" s="380" t="str">
        <f>IFERROR(__xludf.DUMMYFUNCTION("""COMPUTED_VALUE"""),"Arandela Plana De Caucho Isx 3936876")</f>
        <v>Arandela Plana De Caucho Isx 3936876</v>
      </c>
      <c r="C5323" s="380" t="str">
        <f>IFERROR(__xludf.DUMMYFUNCTION("""COMPUTED_VALUE"""),"70000705")</f>
        <v>70000705</v>
      </c>
      <c r="D5323" s="380" t="s">
        <v>767</v>
      </c>
      <c r="E5323" s="380" t="s">
        <v>786</v>
      </c>
      <c r="F5323" s="380" t="s">
        <v>787</v>
      </c>
      <c r="G5323" s="380" t="s">
        <v>1267</v>
      </c>
      <c r="H5323" s="380" t="s">
        <v>771</v>
      </c>
      <c r="I5323" s="380" t="s">
        <v>788</v>
      </c>
      <c r="J5323" s="380" t="s">
        <v>773</v>
      </c>
      <c r="K5323" s="381">
        <v>0.0</v>
      </c>
      <c r="L5323" s="382">
        <v>1.0</v>
      </c>
    </row>
    <row r="5324">
      <c r="A5324" s="380" t="s">
        <v>6198</v>
      </c>
      <c r="B5324" s="380" t="str">
        <f>IFERROR(__xludf.DUMMYFUNCTION("""COMPUTED_VALUE"""),"Tubo Llenado De Aceite Isx 3914738")</f>
        <v>Tubo Llenado De Aceite Isx 3914738</v>
      </c>
      <c r="C5324" s="380" t="str">
        <f>IFERROR(__xludf.DUMMYFUNCTION("""COMPUTED_VALUE"""),"70000706")</f>
        <v>70000706</v>
      </c>
      <c r="D5324" s="380" t="s">
        <v>767</v>
      </c>
      <c r="E5324" s="380" t="s">
        <v>786</v>
      </c>
      <c r="F5324" s="380" t="s">
        <v>787</v>
      </c>
      <c r="G5324" s="380" t="s">
        <v>1267</v>
      </c>
      <c r="H5324" s="380" t="s">
        <v>771</v>
      </c>
      <c r="I5324" s="380" t="s">
        <v>788</v>
      </c>
      <c r="J5324" s="380" t="s">
        <v>773</v>
      </c>
      <c r="K5324" s="381">
        <v>0.0</v>
      </c>
      <c r="L5324" s="382">
        <v>1.0</v>
      </c>
    </row>
    <row r="5325">
      <c r="A5325" s="380" t="s">
        <v>6199</v>
      </c>
      <c r="B5325" s="380" t="str">
        <f>IFERROR(__xludf.DUMMYFUNCTION("""COMPUTED_VALUE"""),"Buje Balancin Porta Contenedor T-5524")</f>
        <v>Buje Balancin Porta Contenedor T-5524</v>
      </c>
      <c r="C5325" s="380" t="str">
        <f>IFERROR(__xludf.DUMMYFUNCTION("""COMPUTED_VALUE"""),"70000707")</f>
        <v>70000707</v>
      </c>
      <c r="D5325" s="380" t="s">
        <v>767</v>
      </c>
      <c r="E5325" s="380" t="s">
        <v>786</v>
      </c>
      <c r="F5325" s="380" t="s">
        <v>1039</v>
      </c>
      <c r="G5325" s="380" t="s">
        <v>1267</v>
      </c>
      <c r="H5325" s="380" t="s">
        <v>771</v>
      </c>
      <c r="I5325" s="380" t="s">
        <v>788</v>
      </c>
      <c r="J5325" s="380" t="s">
        <v>773</v>
      </c>
      <c r="K5325" s="381">
        <v>0.0</v>
      </c>
      <c r="L5325" s="382">
        <v>1.0</v>
      </c>
    </row>
    <row r="5326">
      <c r="A5326" s="380" t="s">
        <v>6200</v>
      </c>
      <c r="B5326" s="380" t="str">
        <f>IFERROR(__xludf.DUMMYFUNCTION("""COMPUTED_VALUE"""),"Direccional G/Barro Freight A064013100")</f>
        <v>Direccional G/Barro Freight A064013100</v>
      </c>
      <c r="C5326" s="380" t="str">
        <f>IFERROR(__xludf.DUMMYFUNCTION("""COMPUTED_VALUE"""),"70000708")</f>
        <v>70000708</v>
      </c>
      <c r="D5326" s="380" t="s">
        <v>767</v>
      </c>
      <c r="E5326" s="380" t="s">
        <v>786</v>
      </c>
      <c r="F5326" s="380" t="s">
        <v>998</v>
      </c>
      <c r="G5326" s="380" t="s">
        <v>1267</v>
      </c>
      <c r="H5326" s="380" t="s">
        <v>771</v>
      </c>
      <c r="I5326" s="380" t="s">
        <v>788</v>
      </c>
      <c r="J5326" s="380" t="s">
        <v>773</v>
      </c>
      <c r="K5326" s="381">
        <v>0.0</v>
      </c>
      <c r="L5326" s="382">
        <v>1.0</v>
      </c>
    </row>
    <row r="5327">
      <c r="A5327" s="380" t="s">
        <v>6201</v>
      </c>
      <c r="B5327" s="380" t="str">
        <f>IFERROR(__xludf.DUMMYFUNCTION("""COMPUTED_VALUE"""),"Sello Reten Caja Veloc Delta 9031135023")</f>
        <v>Sello Reten Caja Veloc Delta 9031135023</v>
      </c>
      <c r="C5327" s="380" t="str">
        <f>IFERROR(__xludf.DUMMYFUNCTION("""COMPUTED_VALUE"""),"70000709")</f>
        <v>70000709</v>
      </c>
      <c r="D5327" s="380" t="s">
        <v>767</v>
      </c>
      <c r="E5327" s="380" t="s">
        <v>786</v>
      </c>
      <c r="F5327" s="380" t="s">
        <v>928</v>
      </c>
      <c r="G5327" s="380" t="s">
        <v>1267</v>
      </c>
      <c r="H5327" s="380" t="s">
        <v>771</v>
      </c>
      <c r="I5327" s="380" t="s">
        <v>788</v>
      </c>
      <c r="J5327" s="380" t="s">
        <v>773</v>
      </c>
      <c r="K5327" s="381">
        <v>0.0</v>
      </c>
      <c r="L5327" s="382">
        <v>1.0</v>
      </c>
    </row>
    <row r="5328">
      <c r="A5328" s="380" t="s">
        <v>6202</v>
      </c>
      <c r="B5328" s="380" t="str">
        <f>IFERROR(__xludf.DUMMYFUNCTION("""COMPUTED_VALUE"""),"Cilindro Freno T/Der S Pga Hino 56036200")</f>
        <v>Cilindro Freno T/Der S Pga Hino 56036200</v>
      </c>
      <c r="C5328" s="380" t="str">
        <f>IFERROR(__xludf.DUMMYFUNCTION("""COMPUTED_VALUE"""),"70000710")</f>
        <v>70000710</v>
      </c>
      <c r="D5328" s="380" t="s">
        <v>767</v>
      </c>
      <c r="E5328" s="380" t="s">
        <v>786</v>
      </c>
      <c r="F5328" s="380" t="s">
        <v>1017</v>
      </c>
      <c r="G5328" s="380" t="s">
        <v>1267</v>
      </c>
      <c r="H5328" s="380" t="s">
        <v>771</v>
      </c>
      <c r="I5328" s="380" t="s">
        <v>788</v>
      </c>
      <c r="J5328" s="380" t="s">
        <v>773</v>
      </c>
      <c r="K5328" s="381">
        <v>0.0</v>
      </c>
      <c r="L5328" s="382">
        <v>1.0</v>
      </c>
    </row>
    <row r="5329">
      <c r="A5329" s="380" t="s">
        <v>6203</v>
      </c>
      <c r="B5329" s="380" t="str">
        <f>IFERROR(__xludf.DUMMYFUNCTION("""COMPUTED_VALUE"""),"Tubo Retorno Aceite Eagle S60 23518514")</f>
        <v>Tubo Retorno Aceite Eagle S60 23518514</v>
      </c>
      <c r="C5329" s="380" t="str">
        <f>IFERROR(__xludf.DUMMYFUNCTION("""COMPUTED_VALUE"""),"70000711")</f>
        <v>70000711</v>
      </c>
      <c r="D5329" s="380" t="s">
        <v>767</v>
      </c>
      <c r="E5329" s="380" t="s">
        <v>786</v>
      </c>
      <c r="F5329" s="380" t="s">
        <v>787</v>
      </c>
      <c r="G5329" s="380" t="s">
        <v>1267</v>
      </c>
      <c r="H5329" s="380" t="s">
        <v>771</v>
      </c>
      <c r="I5329" s="380" t="s">
        <v>788</v>
      </c>
      <c r="J5329" s="380" t="s">
        <v>773</v>
      </c>
      <c r="K5329" s="381">
        <v>0.0</v>
      </c>
      <c r="L5329" s="382">
        <v>1.0</v>
      </c>
    </row>
    <row r="5330">
      <c r="A5330" s="380" t="s">
        <v>6204</v>
      </c>
      <c r="B5330" s="380" t="str">
        <f>IFERROR(__xludf.DUMMYFUNCTION("""COMPUTED_VALUE"""),"Pacha Conector Sensor Vel Nkr 8971297040")</f>
        <v>Pacha Conector Sensor Vel Nkr 8971297040</v>
      </c>
      <c r="C5330" s="380" t="str">
        <f>IFERROR(__xludf.DUMMYFUNCTION("""COMPUTED_VALUE"""),"70000712")</f>
        <v>70000712</v>
      </c>
      <c r="D5330" s="380" t="s">
        <v>767</v>
      </c>
      <c r="E5330" s="380" t="s">
        <v>786</v>
      </c>
      <c r="F5330" s="380" t="s">
        <v>998</v>
      </c>
      <c r="G5330" s="380" t="s">
        <v>1267</v>
      </c>
      <c r="H5330" s="380" t="s">
        <v>771</v>
      </c>
      <c r="I5330" s="380" t="s">
        <v>788</v>
      </c>
      <c r="J5330" s="380" t="s">
        <v>773</v>
      </c>
      <c r="K5330" s="381">
        <v>0.0</v>
      </c>
      <c r="L5330" s="382">
        <v>1.0</v>
      </c>
    </row>
    <row r="5331">
      <c r="A5331" s="380" t="s">
        <v>6205</v>
      </c>
      <c r="B5331" s="380" t="str">
        <f>IFERROR(__xludf.DUMMYFUNCTION("""COMPUTED_VALUE"""),"Resorte Horquilla Embrague Nkr 898025314")</f>
        <v>Resorte Horquilla Embrague Nkr 898025314</v>
      </c>
      <c r="C5331" s="380" t="str">
        <f>IFERROR(__xludf.DUMMYFUNCTION("""COMPUTED_VALUE"""),"70000713")</f>
        <v>70000713</v>
      </c>
      <c r="D5331" s="380" t="s">
        <v>767</v>
      </c>
      <c r="E5331" s="380" t="s">
        <v>786</v>
      </c>
      <c r="F5331" s="380" t="s">
        <v>5661</v>
      </c>
      <c r="G5331" s="380" t="s">
        <v>1267</v>
      </c>
      <c r="H5331" s="380" t="s">
        <v>771</v>
      </c>
      <c r="I5331" s="380" t="s">
        <v>788</v>
      </c>
      <c r="J5331" s="380" t="s">
        <v>773</v>
      </c>
      <c r="K5331" s="381">
        <v>0.0</v>
      </c>
      <c r="L5331" s="382">
        <v>1.0</v>
      </c>
    </row>
    <row r="5332">
      <c r="A5332" s="380" t="s">
        <v>6206</v>
      </c>
      <c r="B5332" s="380" t="str">
        <f>IFERROR(__xludf.DUMMYFUNCTION("""COMPUTED_VALUE"""),"Tensor Correa Ventilador Isx 2871292")</f>
        <v>Tensor Correa Ventilador Isx 2871292</v>
      </c>
      <c r="C5332" s="380" t="str">
        <f>IFERROR(__xludf.DUMMYFUNCTION("""COMPUTED_VALUE"""),"70000714")</f>
        <v>70000714</v>
      </c>
      <c r="D5332" s="380" t="s">
        <v>767</v>
      </c>
      <c r="E5332" s="380" t="s">
        <v>786</v>
      </c>
      <c r="F5332" s="380" t="s">
        <v>787</v>
      </c>
      <c r="G5332" s="380" t="s">
        <v>1267</v>
      </c>
      <c r="H5332" s="380" t="s">
        <v>771</v>
      </c>
      <c r="I5332" s="380" t="s">
        <v>788</v>
      </c>
      <c r="J5332" s="380" t="s">
        <v>773</v>
      </c>
      <c r="K5332" s="381">
        <v>0.0</v>
      </c>
      <c r="L5332" s="382">
        <v>1.0</v>
      </c>
    </row>
    <row r="5333">
      <c r="A5333" s="380" t="s">
        <v>6207</v>
      </c>
      <c r="B5333" s="380" t="str">
        <f>IFERROR(__xludf.DUMMYFUNCTION("""COMPUTED_VALUE"""),"Amortiguador Del Izq Van200 5496831")</f>
        <v>Amortiguador Del Izq Van200 5496831</v>
      </c>
      <c r="C5333" s="380" t="str">
        <f>IFERROR(__xludf.DUMMYFUNCTION("""COMPUTED_VALUE"""),"70000715")</f>
        <v>70000715</v>
      </c>
      <c r="D5333" s="380" t="s">
        <v>767</v>
      </c>
      <c r="E5333" s="380" t="s">
        <v>786</v>
      </c>
      <c r="F5333" s="380" t="s">
        <v>1039</v>
      </c>
      <c r="G5333" s="380" t="s">
        <v>1267</v>
      </c>
      <c r="H5333" s="380" t="s">
        <v>771</v>
      </c>
      <c r="I5333" s="380" t="s">
        <v>788</v>
      </c>
      <c r="J5333" s="380" t="s">
        <v>773</v>
      </c>
      <c r="K5333" s="381">
        <v>0.0</v>
      </c>
      <c r="L5333" s="382">
        <v>1.0</v>
      </c>
    </row>
    <row r="5334">
      <c r="A5334" s="380" t="s">
        <v>6208</v>
      </c>
      <c r="B5334" s="380" t="str">
        <f>IFERROR(__xludf.DUMMYFUNCTION("""COMPUTED_VALUE"""),"Amortiguador Del Der Van200 5496832")</f>
        <v>Amortiguador Del Der Van200 5496832</v>
      </c>
      <c r="C5334" s="380" t="str">
        <f>IFERROR(__xludf.DUMMYFUNCTION("""COMPUTED_VALUE"""),"70000716")</f>
        <v>70000716</v>
      </c>
      <c r="D5334" s="380" t="s">
        <v>767</v>
      </c>
      <c r="E5334" s="380" t="s">
        <v>786</v>
      </c>
      <c r="F5334" s="380" t="s">
        <v>1039</v>
      </c>
      <c r="G5334" s="380" t="s">
        <v>1267</v>
      </c>
      <c r="H5334" s="380" t="s">
        <v>771</v>
      </c>
      <c r="I5334" s="380" t="s">
        <v>788</v>
      </c>
      <c r="J5334" s="380" t="s">
        <v>773</v>
      </c>
      <c r="K5334" s="381">
        <v>0.0</v>
      </c>
      <c r="L5334" s="382">
        <v>1.0</v>
      </c>
    </row>
    <row r="5335">
      <c r="A5335" s="380" t="s">
        <v>6209</v>
      </c>
      <c r="B5335" s="380" t="str">
        <f>IFERROR(__xludf.DUMMYFUNCTION("""COMPUTED_VALUE"""),"Tijera Inferior Del Izq N200 5497127")</f>
        <v>Tijera Inferior Del Izq N200 5497127</v>
      </c>
      <c r="C5335" s="380" t="str">
        <f>IFERROR(__xludf.DUMMYFUNCTION("""COMPUTED_VALUE"""),"70000717")</f>
        <v>70000717</v>
      </c>
      <c r="D5335" s="380" t="s">
        <v>767</v>
      </c>
      <c r="E5335" s="380" t="s">
        <v>786</v>
      </c>
      <c r="F5335" s="380" t="s">
        <v>1039</v>
      </c>
      <c r="G5335" s="380" t="s">
        <v>1267</v>
      </c>
      <c r="H5335" s="380" t="s">
        <v>771</v>
      </c>
      <c r="I5335" s="380" t="s">
        <v>788</v>
      </c>
      <c r="J5335" s="380" t="s">
        <v>773</v>
      </c>
      <c r="K5335" s="381">
        <v>0.0</v>
      </c>
      <c r="L5335" s="382">
        <v>1.0</v>
      </c>
    </row>
    <row r="5336">
      <c r="A5336" s="380" t="s">
        <v>6210</v>
      </c>
      <c r="B5336" s="380" t="str">
        <f>IFERROR(__xludf.DUMMYFUNCTION("""COMPUTED_VALUE"""),"Sensor Bomba Inyeccion Nkr 8943433070")</f>
        <v>Sensor Bomba Inyeccion Nkr 8943433070</v>
      </c>
      <c r="C5336" s="380" t="str">
        <f>IFERROR(__xludf.DUMMYFUNCTION("""COMPUTED_VALUE"""),"70000718")</f>
        <v>70000718</v>
      </c>
      <c r="D5336" s="380" t="s">
        <v>767</v>
      </c>
      <c r="E5336" s="380" t="s">
        <v>786</v>
      </c>
      <c r="F5336" s="380" t="s">
        <v>998</v>
      </c>
      <c r="G5336" s="380" t="s">
        <v>1267</v>
      </c>
      <c r="H5336" s="380" t="s">
        <v>771</v>
      </c>
      <c r="I5336" s="380" t="s">
        <v>788</v>
      </c>
      <c r="J5336" s="380" t="s">
        <v>773</v>
      </c>
      <c r="K5336" s="381">
        <v>0.0</v>
      </c>
      <c r="L5336" s="382">
        <v>1.0</v>
      </c>
    </row>
    <row r="5337">
      <c r="A5337" s="380" t="s">
        <v>6211</v>
      </c>
      <c r="B5337" s="380" t="str">
        <f>IFERROR(__xludf.DUMMYFUNCTION("""COMPUTED_VALUE"""),"Correa Ventilador Hino Sz91049181 Jgo X2")</f>
        <v>Correa Ventilador Hino Sz91049181 Jgo X2</v>
      </c>
      <c r="C5337" s="380" t="str">
        <f>IFERROR(__xludf.DUMMYFUNCTION("""COMPUTED_VALUE"""),"70000719")</f>
        <v>70000719</v>
      </c>
      <c r="D5337" s="380" t="s">
        <v>767</v>
      </c>
      <c r="E5337" s="380" t="s">
        <v>786</v>
      </c>
      <c r="F5337" s="380" t="s">
        <v>787</v>
      </c>
      <c r="G5337" s="380" t="s">
        <v>1267</v>
      </c>
      <c r="H5337" s="380" t="s">
        <v>771</v>
      </c>
      <c r="I5337" s="380" t="s">
        <v>788</v>
      </c>
      <c r="J5337" s="380" t="s">
        <v>773</v>
      </c>
      <c r="K5337" s="381">
        <v>0.0</v>
      </c>
      <c r="L5337" s="382">
        <v>1.0</v>
      </c>
    </row>
    <row r="5338">
      <c r="A5338" s="380" t="s">
        <v>6212</v>
      </c>
      <c r="B5338" s="380" t="str">
        <f>IFERROR(__xludf.DUMMYFUNCTION("""COMPUTED_VALUE"""),"Cuña Sincro 3ra/4ta Nkr 5332630010")</f>
        <v>Cuña Sincro 3ra/4ta Nkr 5332630010</v>
      </c>
      <c r="C5338" s="380" t="str">
        <f>IFERROR(__xludf.DUMMYFUNCTION("""COMPUTED_VALUE"""),"70000720")</f>
        <v>70000720</v>
      </c>
      <c r="D5338" s="380" t="s">
        <v>767</v>
      </c>
      <c r="E5338" s="380" t="s">
        <v>786</v>
      </c>
      <c r="F5338" s="380" t="s">
        <v>928</v>
      </c>
      <c r="G5338" s="380" t="s">
        <v>1267</v>
      </c>
      <c r="H5338" s="380" t="s">
        <v>771</v>
      </c>
      <c r="I5338" s="380" t="s">
        <v>788</v>
      </c>
      <c r="J5338" s="380" t="s">
        <v>773</v>
      </c>
      <c r="K5338" s="381">
        <v>0.0</v>
      </c>
      <c r="L5338" s="382">
        <v>1.0</v>
      </c>
    </row>
    <row r="5339">
      <c r="A5339" s="380" t="s">
        <v>6213</v>
      </c>
      <c r="B5339" s="380" t="str">
        <f>IFERROR(__xludf.DUMMYFUNCTION("""COMPUTED_VALUE"""),"Pin Seguro Sincro Nkr 8970237100")</f>
        <v>Pin Seguro Sincro Nkr 8970237100</v>
      </c>
      <c r="C5339" s="380" t="str">
        <f>IFERROR(__xludf.DUMMYFUNCTION("""COMPUTED_VALUE"""),"70000721")</f>
        <v>70000721</v>
      </c>
      <c r="D5339" s="380" t="s">
        <v>767</v>
      </c>
      <c r="E5339" s="380" t="s">
        <v>786</v>
      </c>
      <c r="F5339" s="380" t="s">
        <v>928</v>
      </c>
      <c r="G5339" s="380" t="s">
        <v>1267</v>
      </c>
      <c r="H5339" s="380" t="s">
        <v>771</v>
      </c>
      <c r="I5339" s="380" t="s">
        <v>788</v>
      </c>
      <c r="J5339" s="380" t="s">
        <v>773</v>
      </c>
      <c r="K5339" s="381">
        <v>0.0</v>
      </c>
      <c r="L5339" s="382">
        <v>1.0</v>
      </c>
    </row>
    <row r="5340">
      <c r="A5340" s="380" t="s">
        <v>6214</v>
      </c>
      <c r="B5340" s="380" t="str">
        <f>IFERROR(__xludf.DUMMYFUNCTION("""COMPUTED_VALUE"""),"Pin Eje Caja 9091800320 Nkr")</f>
        <v>Pin Eje Caja 9091800320 Nkr</v>
      </c>
      <c r="C5340" s="380" t="str">
        <f>IFERROR(__xludf.DUMMYFUNCTION("""COMPUTED_VALUE"""),"70000722")</f>
        <v>70000722</v>
      </c>
      <c r="D5340" s="380" t="s">
        <v>767</v>
      </c>
      <c r="E5340" s="380" t="s">
        <v>786</v>
      </c>
      <c r="F5340" s="380" t="s">
        <v>928</v>
      </c>
      <c r="G5340" s="380" t="s">
        <v>1267</v>
      </c>
      <c r="H5340" s="380" t="s">
        <v>771</v>
      </c>
      <c r="I5340" s="380" t="s">
        <v>788</v>
      </c>
      <c r="J5340" s="380" t="s">
        <v>773</v>
      </c>
      <c r="K5340" s="381">
        <v>0.0</v>
      </c>
      <c r="L5340" s="382">
        <v>1.0</v>
      </c>
    </row>
    <row r="5341">
      <c r="A5341" s="380" t="s">
        <v>6215</v>
      </c>
      <c r="B5341" s="380" t="str">
        <f>IFERROR(__xludf.DUMMYFUNCTION("""COMPUTED_VALUE"""),"Rodillo Agujas 1ra Nkr 8970105470")</f>
        <v>Rodillo Agujas 1ra Nkr 8970105470</v>
      </c>
      <c r="C5341" s="380" t="str">
        <f>IFERROR(__xludf.DUMMYFUNCTION("""COMPUTED_VALUE"""),"70000723")</f>
        <v>70000723</v>
      </c>
      <c r="D5341" s="380" t="s">
        <v>767</v>
      </c>
      <c r="E5341" s="380" t="s">
        <v>786</v>
      </c>
      <c r="F5341" s="380" t="s">
        <v>928</v>
      </c>
      <c r="G5341" s="380" t="s">
        <v>1267</v>
      </c>
      <c r="H5341" s="380" t="s">
        <v>771</v>
      </c>
      <c r="I5341" s="380" t="s">
        <v>788</v>
      </c>
      <c r="J5341" s="380" t="s">
        <v>773</v>
      </c>
      <c r="K5341" s="381">
        <v>0.0</v>
      </c>
      <c r="L5341" s="382">
        <v>1.0</v>
      </c>
    </row>
    <row r="5342">
      <c r="A5342" s="380" t="s">
        <v>6216</v>
      </c>
      <c r="B5342" s="380" t="str">
        <f>IFERROR(__xludf.DUMMYFUNCTION("""COMPUTED_VALUE"""),"Rodillo Agujas 2da Nkr 5098110140")</f>
        <v>Rodillo Agujas 2da Nkr 5098110140</v>
      </c>
      <c r="C5342" s="380" t="str">
        <f>IFERROR(__xludf.DUMMYFUNCTION("""COMPUTED_VALUE"""),"70000724")</f>
        <v>70000724</v>
      </c>
      <c r="D5342" s="380" t="s">
        <v>767</v>
      </c>
      <c r="E5342" s="380" t="s">
        <v>786</v>
      </c>
      <c r="F5342" s="380" t="s">
        <v>928</v>
      </c>
      <c r="G5342" s="380" t="s">
        <v>1267</v>
      </c>
      <c r="H5342" s="380" t="s">
        <v>771</v>
      </c>
      <c r="I5342" s="380" t="s">
        <v>788</v>
      </c>
      <c r="J5342" s="380" t="s">
        <v>773</v>
      </c>
      <c r="K5342" s="381">
        <v>0.0</v>
      </c>
      <c r="L5342" s="382">
        <v>1.0</v>
      </c>
    </row>
    <row r="5343">
      <c r="A5343" s="380" t="s">
        <v>6217</v>
      </c>
      <c r="B5343" s="380" t="str">
        <f>IFERROR(__xludf.DUMMYFUNCTION("""COMPUTED_VALUE"""),"Rodamiento Agujas 3ra Nkr 8943171580")</f>
        <v>Rodamiento Agujas 3ra Nkr 8943171580</v>
      </c>
      <c r="C5343" s="380" t="str">
        <f>IFERROR(__xludf.DUMMYFUNCTION("""COMPUTED_VALUE"""),"70000725")</f>
        <v>70000725</v>
      </c>
      <c r="D5343" s="380" t="s">
        <v>767</v>
      </c>
      <c r="E5343" s="380" t="s">
        <v>786</v>
      </c>
      <c r="F5343" s="380" t="s">
        <v>928</v>
      </c>
      <c r="G5343" s="380" t="s">
        <v>1267</v>
      </c>
      <c r="H5343" s="380" t="s">
        <v>771</v>
      </c>
      <c r="I5343" s="380" t="s">
        <v>788</v>
      </c>
      <c r="J5343" s="380" t="s">
        <v>773</v>
      </c>
      <c r="K5343" s="381">
        <v>0.0</v>
      </c>
      <c r="L5343" s="382">
        <v>1.0</v>
      </c>
    </row>
    <row r="5344">
      <c r="A5344" s="380" t="s">
        <v>6218</v>
      </c>
      <c r="B5344" s="380" t="str">
        <f>IFERROR(__xludf.DUMMYFUNCTION("""COMPUTED_VALUE"""),"Soporte enfriador Aceite Eag 2591599C1")</f>
        <v>Soporte enfriador Aceite Eag 2591599C1</v>
      </c>
      <c r="C5344" s="380" t="str">
        <f>IFERROR(__xludf.DUMMYFUNCTION("""COMPUTED_VALUE"""),"70000726")</f>
        <v>70000726</v>
      </c>
      <c r="D5344" s="380" t="s">
        <v>767</v>
      </c>
      <c r="E5344" s="380" t="s">
        <v>786</v>
      </c>
      <c r="F5344" s="380" t="s">
        <v>787</v>
      </c>
      <c r="G5344" s="380" t="s">
        <v>1267</v>
      </c>
      <c r="H5344" s="380" t="s">
        <v>771</v>
      </c>
      <c r="I5344" s="380" t="s">
        <v>788</v>
      </c>
      <c r="J5344" s="380" t="s">
        <v>773</v>
      </c>
      <c r="K5344" s="381">
        <v>0.0</v>
      </c>
      <c r="L5344" s="382">
        <v>1.0</v>
      </c>
    </row>
    <row r="5345">
      <c r="A5345" s="380" t="s">
        <v>6219</v>
      </c>
      <c r="B5345" s="380" t="str">
        <f>IFERROR(__xludf.DUMMYFUNCTION("""COMPUTED_VALUE"""),"Kit Soporte Radiador Eagle 2591574C91")</f>
        <v>Kit Soporte Radiador Eagle 2591574C91</v>
      </c>
      <c r="C5345" s="380" t="str">
        <f>IFERROR(__xludf.DUMMYFUNCTION("""COMPUTED_VALUE"""),"70000727")</f>
        <v>70000727</v>
      </c>
      <c r="D5345" s="380" t="s">
        <v>767</v>
      </c>
      <c r="E5345" s="380" t="s">
        <v>786</v>
      </c>
      <c r="F5345" s="380" t="s">
        <v>787</v>
      </c>
      <c r="G5345" s="380" t="s">
        <v>1267</v>
      </c>
      <c r="H5345" s="380" t="s">
        <v>771</v>
      </c>
      <c r="I5345" s="380" t="s">
        <v>788</v>
      </c>
      <c r="J5345" s="380" t="s">
        <v>773</v>
      </c>
      <c r="K5345" s="381">
        <v>0.0</v>
      </c>
      <c r="L5345" s="382">
        <v>1.0</v>
      </c>
    </row>
    <row r="5346">
      <c r="A5346" s="380" t="s">
        <v>6220</v>
      </c>
      <c r="B5346" s="380" t="str">
        <f>IFERROR(__xludf.DUMMYFUNCTION("""COMPUTED_VALUE"""),"Tubo Sup Radiador Isx Eagle 3605242C1")</f>
        <v>Tubo Sup Radiador Isx Eagle 3605242C1</v>
      </c>
      <c r="C5346" s="380" t="str">
        <f>IFERROR(__xludf.DUMMYFUNCTION("""COMPUTED_VALUE"""),"70000728")</f>
        <v>70000728</v>
      </c>
      <c r="D5346" s="380" t="s">
        <v>767</v>
      </c>
      <c r="E5346" s="380" t="s">
        <v>786</v>
      </c>
      <c r="F5346" s="380" t="s">
        <v>787</v>
      </c>
      <c r="G5346" s="380" t="s">
        <v>1267</v>
      </c>
      <c r="H5346" s="380" t="s">
        <v>771</v>
      </c>
      <c r="I5346" s="380" t="s">
        <v>788</v>
      </c>
      <c r="J5346" s="380" t="s">
        <v>773</v>
      </c>
      <c r="K5346" s="381">
        <v>0.0</v>
      </c>
      <c r="L5346" s="382">
        <v>1.0</v>
      </c>
    </row>
    <row r="5347">
      <c r="A5347" s="380" t="s">
        <v>6221</v>
      </c>
      <c r="B5347" s="380" t="str">
        <f>IFERROR(__xludf.DUMMYFUNCTION("""COMPUTED_VALUE"""),"Retenedo Cigueñal Tras FRL-A025997504")</f>
        <v>Retenedo Cigueñal Tras FRL-A025997504</v>
      </c>
      <c r="C5347" s="380" t="str">
        <f>IFERROR(__xludf.DUMMYFUNCTION("""COMPUTED_VALUE"""),"70000729")</f>
        <v>70000729</v>
      </c>
      <c r="D5347" s="380" t="s">
        <v>767</v>
      </c>
      <c r="E5347" s="380" t="s">
        <v>786</v>
      </c>
      <c r="F5347" s="380" t="s">
        <v>787</v>
      </c>
      <c r="G5347" s="380" t="s">
        <v>1267</v>
      </c>
      <c r="H5347" s="380" t="s">
        <v>771</v>
      </c>
      <c r="I5347" s="380" t="s">
        <v>788</v>
      </c>
      <c r="J5347" s="380" t="s">
        <v>773</v>
      </c>
      <c r="K5347" s="381">
        <v>0.0</v>
      </c>
      <c r="L5347" s="382">
        <v>1.0</v>
      </c>
    </row>
    <row r="5348">
      <c r="A5348" s="380" t="s">
        <v>6222</v>
      </c>
      <c r="B5348" s="380" t="str">
        <f>IFERROR(__xludf.DUMMYFUNCTION("""COMPUTED_VALUE"""),"Hoja Resorte Trasera Hi 55029/3")</f>
        <v>Hoja Resorte Trasera Hi 55029/3</v>
      </c>
      <c r="C5348" s="380" t="str">
        <f>IFERROR(__xludf.DUMMYFUNCTION("""COMPUTED_VALUE"""),"70000730")</f>
        <v>70000730</v>
      </c>
      <c r="D5348" s="380" t="s">
        <v>767</v>
      </c>
      <c r="E5348" s="380" t="s">
        <v>786</v>
      </c>
      <c r="F5348" s="380" t="s">
        <v>1039</v>
      </c>
      <c r="G5348" s="380" t="s">
        <v>1267</v>
      </c>
      <c r="H5348" s="380" t="s">
        <v>771</v>
      </c>
      <c r="I5348" s="380" t="s">
        <v>788</v>
      </c>
      <c r="J5348" s="380" t="s">
        <v>773</v>
      </c>
      <c r="K5348" s="381">
        <v>0.0</v>
      </c>
      <c r="L5348" s="382">
        <v>1.0</v>
      </c>
    </row>
    <row r="5349">
      <c r="A5349" s="380" t="s">
        <v>6223</v>
      </c>
      <c r="B5349" s="380" t="str">
        <f>IFERROR(__xludf.DUMMYFUNCTION("""COMPUTED_VALUE"""),"Deposito Agua Radiador Freitg R052304500")</f>
        <v>Deposito Agua Radiador Freitg R052304500</v>
      </c>
      <c r="C5349" s="380" t="str">
        <f>IFERROR(__xludf.DUMMYFUNCTION("""COMPUTED_VALUE"""),"70000731")</f>
        <v>70000731</v>
      </c>
      <c r="D5349" s="380" t="s">
        <v>767</v>
      </c>
      <c r="E5349" s="380" t="s">
        <v>786</v>
      </c>
      <c r="F5349" s="380" t="s">
        <v>787</v>
      </c>
      <c r="G5349" s="380" t="s">
        <v>1267</v>
      </c>
      <c r="H5349" s="380" t="s">
        <v>771</v>
      </c>
      <c r="I5349" s="380" t="s">
        <v>788</v>
      </c>
      <c r="J5349" s="380" t="s">
        <v>773</v>
      </c>
      <c r="K5349" s="381">
        <v>0.0</v>
      </c>
      <c r="L5349" s="382">
        <v>1.0</v>
      </c>
    </row>
    <row r="5350">
      <c r="A5350" s="380" t="s">
        <v>6224</v>
      </c>
      <c r="B5350" s="380" t="str">
        <f>IFERROR(__xludf.DUMMYFUNCTION("""COMPUTED_VALUE"""),"Pin Piñon Copa Caja 16918 Eagle 4303424")</f>
        <v>Pin Piñon Copa Caja 16918 Eagle 4303424</v>
      </c>
      <c r="C5350" s="380" t="str">
        <f>IFERROR(__xludf.DUMMYFUNCTION("""COMPUTED_VALUE"""),"70000732")</f>
        <v>70000732</v>
      </c>
      <c r="D5350" s="380" t="s">
        <v>767</v>
      </c>
      <c r="E5350" s="380" t="s">
        <v>786</v>
      </c>
      <c r="F5350" s="380" t="s">
        <v>928</v>
      </c>
      <c r="G5350" s="380" t="s">
        <v>1267</v>
      </c>
      <c r="H5350" s="380" t="s">
        <v>771</v>
      </c>
      <c r="I5350" s="380" t="s">
        <v>788</v>
      </c>
      <c r="J5350" s="380" t="s">
        <v>773</v>
      </c>
      <c r="K5350" s="381">
        <v>0.0</v>
      </c>
      <c r="L5350" s="382">
        <v>1.0</v>
      </c>
    </row>
    <row r="5351">
      <c r="A5351" s="380" t="s">
        <v>6225</v>
      </c>
      <c r="B5351" s="380" t="str">
        <f>IFERROR(__xludf.DUMMYFUNCTION("""COMPUTED_VALUE"""),"Sensor Carter Temp Aceite Isx 4088750")</f>
        <v>Sensor Carter Temp Aceite Isx 4088750</v>
      </c>
      <c r="C5351" s="380" t="str">
        <f>IFERROR(__xludf.DUMMYFUNCTION("""COMPUTED_VALUE"""),"70000733")</f>
        <v>70000733</v>
      </c>
      <c r="D5351" s="380" t="s">
        <v>767</v>
      </c>
      <c r="E5351" s="380" t="s">
        <v>786</v>
      </c>
      <c r="F5351" s="380" t="s">
        <v>998</v>
      </c>
      <c r="G5351" s="380" t="s">
        <v>1267</v>
      </c>
      <c r="H5351" s="380" t="s">
        <v>771</v>
      </c>
      <c r="I5351" s="380" t="s">
        <v>788</v>
      </c>
      <c r="J5351" s="380" t="s">
        <v>773</v>
      </c>
      <c r="K5351" s="381">
        <v>0.0</v>
      </c>
      <c r="L5351" s="382">
        <v>1.0</v>
      </c>
    </row>
    <row r="5352">
      <c r="A5352" s="380" t="s">
        <v>6226</v>
      </c>
      <c r="B5352" s="380" t="str">
        <f>IFERROR(__xludf.DUMMYFUNCTION("""COMPUTED_VALUE"""),"Tapa Llenado Depo Radiador N200 24527665")</f>
        <v>Tapa Llenado Depo Radiador N200 24527665</v>
      </c>
      <c r="C5352" s="380" t="str">
        <f>IFERROR(__xludf.DUMMYFUNCTION("""COMPUTED_VALUE"""),"70000734")</f>
        <v>70000734</v>
      </c>
      <c r="D5352" s="380" t="s">
        <v>767</v>
      </c>
      <c r="E5352" s="380" t="s">
        <v>786</v>
      </c>
      <c r="F5352" s="380" t="s">
        <v>787</v>
      </c>
      <c r="G5352" s="380" t="s">
        <v>1267</v>
      </c>
      <c r="H5352" s="380" t="s">
        <v>771</v>
      </c>
      <c r="I5352" s="380" t="s">
        <v>788</v>
      </c>
      <c r="J5352" s="380" t="s">
        <v>773</v>
      </c>
      <c r="K5352" s="381">
        <v>0.0</v>
      </c>
      <c r="L5352" s="382">
        <v>1.0</v>
      </c>
    </row>
    <row r="5353">
      <c r="A5353" s="380" t="s">
        <v>6227</v>
      </c>
      <c r="B5353" s="380" t="str">
        <f>IFERROR(__xludf.DUMMYFUNCTION("""COMPUTED_VALUE"""),"Carter Aceite Motor N 200 9052786")</f>
        <v>Carter Aceite Motor N 200 9052786</v>
      </c>
      <c r="C5353" s="380" t="str">
        <f>IFERROR(__xludf.DUMMYFUNCTION("""COMPUTED_VALUE"""),"70000735")</f>
        <v>70000735</v>
      </c>
      <c r="D5353" s="380" t="s">
        <v>767</v>
      </c>
      <c r="E5353" s="380" t="s">
        <v>786</v>
      </c>
      <c r="F5353" s="380" t="s">
        <v>787</v>
      </c>
      <c r="G5353" s="380" t="s">
        <v>1267</v>
      </c>
      <c r="H5353" s="380" t="s">
        <v>771</v>
      </c>
      <c r="I5353" s="380" t="s">
        <v>788</v>
      </c>
      <c r="J5353" s="380" t="s">
        <v>773</v>
      </c>
      <c r="K5353" s="381">
        <v>0.0</v>
      </c>
      <c r="L5353" s="382">
        <v>1.0</v>
      </c>
    </row>
    <row r="5354">
      <c r="A5354" s="380" t="s">
        <v>6228</v>
      </c>
      <c r="B5354" s="380" t="str">
        <f>IFERROR(__xludf.DUMMYFUNCTION("""COMPUTED_VALUE"""),"Switch parqueo 24560593 N200 5496017")</f>
        <v>Switch parqueo 24560593 N200 5496017</v>
      </c>
      <c r="C5354" s="380" t="str">
        <f>IFERROR(__xludf.DUMMYFUNCTION("""COMPUTED_VALUE"""),"70000736")</f>
        <v>70000736</v>
      </c>
      <c r="D5354" s="380" t="s">
        <v>767</v>
      </c>
      <c r="E5354" s="380" t="s">
        <v>786</v>
      </c>
      <c r="F5354" s="380" t="s">
        <v>998</v>
      </c>
      <c r="G5354" s="380" t="s">
        <v>1267</v>
      </c>
      <c r="H5354" s="380" t="s">
        <v>771</v>
      </c>
      <c r="I5354" s="380" t="s">
        <v>788</v>
      </c>
      <c r="J5354" s="380" t="s">
        <v>773</v>
      </c>
      <c r="K5354" s="381">
        <v>0.0</v>
      </c>
      <c r="L5354" s="382">
        <v>1.0</v>
      </c>
    </row>
    <row r="5355">
      <c r="A5355" s="380" t="s">
        <v>6229</v>
      </c>
      <c r="B5355" s="380" t="str">
        <f>IFERROR(__xludf.DUMMYFUNCTION("""COMPUTED_VALUE"""),"Resorte Bandas Freno Nkr III 9099410621")</f>
        <v>Resorte Bandas Freno Nkr III 9099410621</v>
      </c>
      <c r="C5355" s="380" t="str">
        <f>IFERROR(__xludf.DUMMYFUNCTION("""COMPUTED_VALUE"""),"70000737")</f>
        <v>70000737</v>
      </c>
      <c r="D5355" s="380" t="s">
        <v>767</v>
      </c>
      <c r="E5355" s="380" t="s">
        <v>786</v>
      </c>
      <c r="F5355" s="380" t="s">
        <v>1017</v>
      </c>
      <c r="G5355" s="380" t="s">
        <v>1267</v>
      </c>
      <c r="H5355" s="380" t="s">
        <v>771</v>
      </c>
      <c r="I5355" s="380" t="s">
        <v>788</v>
      </c>
      <c r="J5355" s="380" t="s">
        <v>773</v>
      </c>
      <c r="K5355" s="381">
        <v>0.0</v>
      </c>
      <c r="L5355" s="382">
        <v>1.0</v>
      </c>
    </row>
    <row r="5356">
      <c r="A5356" s="380" t="s">
        <v>6230</v>
      </c>
      <c r="B5356" s="380" t="str">
        <f>IFERROR(__xludf.DUMMYFUNCTION("""COMPUTED_VALUE"""),"Resorte Freno Emerg NkrIII 9099423401")</f>
        <v>Resorte Freno Emerg NkrIII 9099423401</v>
      </c>
      <c r="C5356" s="380" t="str">
        <f>IFERROR(__xludf.DUMMYFUNCTION("""COMPUTED_VALUE"""),"70000738")</f>
        <v>70000738</v>
      </c>
      <c r="D5356" s="380" t="s">
        <v>767</v>
      </c>
      <c r="E5356" s="380" t="s">
        <v>786</v>
      </c>
      <c r="F5356" s="380" t="s">
        <v>1017</v>
      </c>
      <c r="G5356" s="380" t="s">
        <v>1267</v>
      </c>
      <c r="H5356" s="380" t="s">
        <v>771</v>
      </c>
      <c r="I5356" s="380" t="s">
        <v>788</v>
      </c>
      <c r="J5356" s="380" t="s">
        <v>773</v>
      </c>
      <c r="K5356" s="381">
        <v>0.0</v>
      </c>
      <c r="L5356" s="382">
        <v>1.0</v>
      </c>
    </row>
    <row r="5357">
      <c r="A5357" s="380" t="s">
        <v>6231</v>
      </c>
      <c r="B5357" s="380" t="str">
        <f>IFERROR(__xludf.DUMMYFUNCTION("""COMPUTED_VALUE"""),"Pasador Puntilla Freno NkrIII 9471620340")</f>
        <v>Pasador Puntilla Freno NkrIII 9471620340</v>
      </c>
      <c r="C5357" s="380" t="str">
        <f>IFERROR(__xludf.DUMMYFUNCTION("""COMPUTED_VALUE"""),"70000739")</f>
        <v>70000739</v>
      </c>
      <c r="D5357" s="380" t="s">
        <v>767</v>
      </c>
      <c r="E5357" s="380" t="s">
        <v>786</v>
      </c>
      <c r="F5357" s="380" t="s">
        <v>1017</v>
      </c>
      <c r="G5357" s="380" t="s">
        <v>1267</v>
      </c>
      <c r="H5357" s="380" t="s">
        <v>771</v>
      </c>
      <c r="I5357" s="380" t="s">
        <v>788</v>
      </c>
      <c r="J5357" s="380" t="s">
        <v>773</v>
      </c>
      <c r="K5357" s="381">
        <v>0.0</v>
      </c>
      <c r="L5357" s="382">
        <v>1.0</v>
      </c>
    </row>
    <row r="5358">
      <c r="A5358" s="380" t="s">
        <v>6232</v>
      </c>
      <c r="B5358" s="380" t="str">
        <f>IFERROR(__xludf.DUMMYFUNCTION("""COMPUTED_VALUE"""),"Aro Sincroc 1a/3a Caja Nkr 8970746193")</f>
        <v>Aro Sincroc 1a/3a Caja Nkr 8970746193</v>
      </c>
      <c r="C5358" s="380" t="str">
        <f>IFERROR(__xludf.DUMMYFUNCTION("""COMPUTED_VALUE"""),"70000740")</f>
        <v>70000740</v>
      </c>
      <c r="D5358" s="380" t="s">
        <v>767</v>
      </c>
      <c r="E5358" s="380" t="s">
        <v>786</v>
      </c>
      <c r="F5358" s="380" t="s">
        <v>928</v>
      </c>
      <c r="G5358" s="380" t="s">
        <v>1267</v>
      </c>
      <c r="H5358" s="380" t="s">
        <v>771</v>
      </c>
      <c r="I5358" s="380" t="s">
        <v>788</v>
      </c>
      <c r="J5358" s="380" t="s">
        <v>773</v>
      </c>
      <c r="K5358" s="381">
        <v>0.0</v>
      </c>
      <c r="L5358" s="382">
        <v>1.0</v>
      </c>
    </row>
    <row r="5359">
      <c r="A5359" s="380" t="s">
        <v>6233</v>
      </c>
      <c r="B5359" s="380" t="str">
        <f>IFERROR(__xludf.DUMMYFUNCTION("""COMPUTED_VALUE"""),"Lente Luz Techo Cabina Eag Isx1665532C1")</f>
        <v>Lente Luz Techo Cabina Eag Isx1665532C1</v>
      </c>
      <c r="C5359" s="380" t="str">
        <f>IFERROR(__xludf.DUMMYFUNCTION("""COMPUTED_VALUE"""),"70000741")</f>
        <v>70000741</v>
      </c>
      <c r="D5359" s="380" t="s">
        <v>767</v>
      </c>
      <c r="E5359" s="380" t="s">
        <v>786</v>
      </c>
      <c r="F5359" s="380" t="s">
        <v>792</v>
      </c>
      <c r="G5359" s="380" t="s">
        <v>1267</v>
      </c>
      <c r="H5359" s="380" t="s">
        <v>771</v>
      </c>
      <c r="I5359" s="380" t="s">
        <v>788</v>
      </c>
      <c r="J5359" s="380" t="s">
        <v>773</v>
      </c>
      <c r="K5359" s="381">
        <v>0.0</v>
      </c>
      <c r="L5359" s="382">
        <v>1.0</v>
      </c>
    </row>
    <row r="5360">
      <c r="A5360" s="380" t="s">
        <v>6234</v>
      </c>
      <c r="B5360" s="380" t="str">
        <f>IFERROR(__xludf.DUMMYFUNCTION("""COMPUTED_VALUE"""),"Filtro Comb Elem Renault 7701208613")</f>
        <v>Filtro Comb Elem Renault 7701208613</v>
      </c>
      <c r="C5360" s="380" t="str">
        <f>IFERROR(__xludf.DUMMYFUNCTION("""COMPUTED_VALUE"""),"70000742")</f>
        <v>70000742</v>
      </c>
      <c r="D5360" s="380" t="s">
        <v>767</v>
      </c>
      <c r="E5360" s="380" t="s">
        <v>786</v>
      </c>
      <c r="F5360" s="380" t="s">
        <v>5855</v>
      </c>
      <c r="G5360" s="380" t="s">
        <v>1267</v>
      </c>
      <c r="H5360" s="380" t="s">
        <v>771</v>
      </c>
      <c r="I5360" s="380" t="s">
        <v>788</v>
      </c>
      <c r="J5360" s="380" t="s">
        <v>773</v>
      </c>
      <c r="K5360" s="381">
        <v>0.0</v>
      </c>
      <c r="L5360" s="382">
        <v>1.0</v>
      </c>
    </row>
    <row r="5361">
      <c r="A5361" s="380" t="s">
        <v>6235</v>
      </c>
      <c r="B5361" s="380" t="str">
        <f>IFERROR(__xludf.DUMMYFUNCTION("""COMPUTED_VALUE"""),"Filtro Aceite Elem Renault 7701479124")</f>
        <v>Filtro Aceite Elem Renault 7701479124</v>
      </c>
      <c r="C5361" s="380" t="str">
        <f>IFERROR(__xludf.DUMMYFUNCTION("""COMPUTED_VALUE"""),"70000743")</f>
        <v>70000743</v>
      </c>
      <c r="D5361" s="380" t="s">
        <v>767</v>
      </c>
      <c r="E5361" s="380" t="s">
        <v>786</v>
      </c>
      <c r="F5361" s="380" t="s">
        <v>5855</v>
      </c>
      <c r="G5361" s="380" t="s">
        <v>1267</v>
      </c>
      <c r="H5361" s="380" t="s">
        <v>771</v>
      </c>
      <c r="I5361" s="380" t="s">
        <v>788</v>
      </c>
      <c r="J5361" s="380" t="s">
        <v>773</v>
      </c>
      <c r="K5361" s="381">
        <v>0.0</v>
      </c>
      <c r="L5361" s="382">
        <v>1.0</v>
      </c>
    </row>
    <row r="5362">
      <c r="A5362" s="380" t="s">
        <v>6236</v>
      </c>
      <c r="B5362" s="380" t="str">
        <f>IFERROR(__xludf.DUMMYFUNCTION("""COMPUTED_VALUE"""),"Filtro Aire Motor Renault 8200505566")</f>
        <v>Filtro Aire Motor Renault 8200505566</v>
      </c>
      <c r="C5362" s="380" t="str">
        <f>IFERROR(__xludf.DUMMYFUNCTION("""COMPUTED_VALUE"""),"70000744")</f>
        <v>70000744</v>
      </c>
      <c r="D5362" s="380" t="s">
        <v>767</v>
      </c>
      <c r="E5362" s="380" t="s">
        <v>786</v>
      </c>
      <c r="F5362" s="380" t="s">
        <v>5855</v>
      </c>
      <c r="G5362" s="380" t="s">
        <v>1267</v>
      </c>
      <c r="H5362" s="380" t="s">
        <v>771</v>
      </c>
      <c r="I5362" s="380" t="s">
        <v>788</v>
      </c>
      <c r="J5362" s="380" t="s">
        <v>773</v>
      </c>
      <c r="K5362" s="381">
        <v>0.0</v>
      </c>
      <c r="L5362" s="382">
        <v>1.0</v>
      </c>
    </row>
    <row r="5363">
      <c r="A5363" s="380" t="s">
        <v>6237</v>
      </c>
      <c r="B5363" s="380" t="str">
        <f>IFERROR(__xludf.DUMMYFUNCTION("""COMPUTED_VALUE"""),"Guaya Corta Bomba Inyec Npr 8971157300")</f>
        <v>Guaya Corta Bomba Inyec Npr 8971157300</v>
      </c>
      <c r="C5363" s="380" t="str">
        <f>IFERROR(__xludf.DUMMYFUNCTION("""COMPUTED_VALUE"""),"70000745")</f>
        <v>70000745</v>
      </c>
      <c r="D5363" s="380" t="s">
        <v>767</v>
      </c>
      <c r="E5363" s="380" t="s">
        <v>786</v>
      </c>
      <c r="F5363" s="380" t="s">
        <v>787</v>
      </c>
      <c r="G5363" s="380" t="s">
        <v>1267</v>
      </c>
      <c r="H5363" s="380" t="s">
        <v>771</v>
      </c>
      <c r="I5363" s="380" t="s">
        <v>788</v>
      </c>
      <c r="J5363" s="380" t="s">
        <v>773</v>
      </c>
      <c r="K5363" s="381">
        <v>0.0</v>
      </c>
      <c r="L5363" s="382">
        <v>1.0</v>
      </c>
    </row>
    <row r="5364">
      <c r="A5364" s="380" t="s">
        <v>6238</v>
      </c>
      <c r="B5364" s="380" t="str">
        <f>IFERROR(__xludf.DUMMYFUNCTION("""COMPUTED_VALUE"""),"Piñon Rev Trans Nkr 8972060060")</f>
        <v>Piñon Rev Trans Nkr 8972060060</v>
      </c>
      <c r="C5364" s="380" t="str">
        <f>IFERROR(__xludf.DUMMYFUNCTION("""COMPUTED_VALUE"""),"70000746")</f>
        <v>70000746</v>
      </c>
      <c r="D5364" s="380" t="s">
        <v>767</v>
      </c>
      <c r="E5364" s="380" t="s">
        <v>786</v>
      </c>
      <c r="F5364" s="380" t="s">
        <v>5683</v>
      </c>
      <c r="G5364" s="380" t="s">
        <v>1267</v>
      </c>
      <c r="H5364" s="380" t="s">
        <v>771</v>
      </c>
      <c r="I5364" s="380" t="s">
        <v>788</v>
      </c>
      <c r="J5364" s="380" t="s">
        <v>773</v>
      </c>
      <c r="K5364" s="381">
        <v>0.0</v>
      </c>
      <c r="L5364" s="382">
        <v>1.0</v>
      </c>
    </row>
    <row r="5365">
      <c r="A5365" s="380" t="s">
        <v>6239</v>
      </c>
      <c r="B5365" s="380" t="str">
        <f>IFERROR(__xludf.DUMMYFUNCTION("""COMPUTED_VALUE"""),"Soporte Radiador Isx Eag 9400 3560217C1")</f>
        <v>Soporte Radiador Isx Eag 9400 3560217C1</v>
      </c>
      <c r="C5365" s="380" t="str">
        <f>IFERROR(__xludf.DUMMYFUNCTION("""COMPUTED_VALUE"""),"70000747")</f>
        <v>70000747</v>
      </c>
      <c r="D5365" s="380" t="s">
        <v>767</v>
      </c>
      <c r="E5365" s="380" t="s">
        <v>786</v>
      </c>
      <c r="F5365" s="380" t="s">
        <v>787</v>
      </c>
      <c r="G5365" s="380" t="s">
        <v>1267</v>
      </c>
      <c r="H5365" s="380" t="s">
        <v>771</v>
      </c>
      <c r="I5365" s="380" t="s">
        <v>788</v>
      </c>
      <c r="J5365" s="380" t="s">
        <v>773</v>
      </c>
      <c r="K5365" s="381">
        <v>102400.0</v>
      </c>
      <c r="L5365" s="382">
        <v>1.0</v>
      </c>
    </row>
    <row r="5366">
      <c r="A5366" s="380" t="s">
        <v>6240</v>
      </c>
      <c r="B5366" s="380" t="str">
        <f>IFERROR(__xludf.DUMMYFUNCTION("""COMPUTED_VALUE"""),"Fan Cluth Hyundai H100 Porter")</f>
        <v>Fan Cluth Hyundai H100 Porter</v>
      </c>
      <c r="C5366" s="380" t="str">
        <f>IFERROR(__xludf.DUMMYFUNCTION("""COMPUTED_VALUE"""),"70000748")</f>
        <v>70000748</v>
      </c>
      <c r="D5366" s="380" t="s">
        <v>767</v>
      </c>
      <c r="E5366" s="380" t="s">
        <v>786</v>
      </c>
      <c r="F5366" s="380" t="s">
        <v>787</v>
      </c>
      <c r="G5366" s="380" t="s">
        <v>1267</v>
      </c>
      <c r="H5366" s="380" t="s">
        <v>771</v>
      </c>
      <c r="I5366" s="380" t="s">
        <v>788</v>
      </c>
      <c r="J5366" s="380" t="s">
        <v>773</v>
      </c>
      <c r="K5366" s="381">
        <v>0.0</v>
      </c>
      <c r="L5366" s="382">
        <v>1.0</v>
      </c>
    </row>
    <row r="5367">
      <c r="A5367" s="380" t="s">
        <v>6241</v>
      </c>
      <c r="B5367" s="380" t="str">
        <f>IFERROR(__xludf.DUMMYFUNCTION("""COMPUTED_VALUE"""),"Hoja Resorte Trasera Hi 55029/1")</f>
        <v>Hoja Resorte Trasera Hi 55029/1</v>
      </c>
      <c r="C5367" s="380" t="str">
        <f>IFERROR(__xludf.DUMMYFUNCTION("""COMPUTED_VALUE"""),"70000749")</f>
        <v>70000749</v>
      </c>
      <c r="D5367" s="380" t="s">
        <v>767</v>
      </c>
      <c r="E5367" s="380" t="s">
        <v>786</v>
      </c>
      <c r="F5367" s="380" t="s">
        <v>1039</v>
      </c>
      <c r="G5367" s="380" t="s">
        <v>1267</v>
      </c>
      <c r="H5367" s="380" t="s">
        <v>771</v>
      </c>
      <c r="I5367" s="380" t="s">
        <v>788</v>
      </c>
      <c r="J5367" s="380" t="s">
        <v>773</v>
      </c>
      <c r="K5367" s="381">
        <v>0.0</v>
      </c>
      <c r="L5367" s="382">
        <v>1.0</v>
      </c>
    </row>
    <row r="5368">
      <c r="A5368" s="380" t="s">
        <v>6242</v>
      </c>
      <c r="B5368" s="380" t="str">
        <f>IFERROR(__xludf.DUMMYFUNCTION("""COMPUTED_VALUE"""),"Tornillo Tubo rociador NkrIII 5096750430")</f>
        <v>Tornillo Tubo rociador NkrIII 5096750430</v>
      </c>
      <c r="C5368" s="380" t="str">
        <f>IFERROR(__xludf.DUMMYFUNCTION("""COMPUTED_VALUE"""),"70000750")</f>
        <v>70000750</v>
      </c>
      <c r="D5368" s="380" t="s">
        <v>767</v>
      </c>
      <c r="E5368" s="380" t="s">
        <v>786</v>
      </c>
      <c r="F5368" s="380" t="s">
        <v>787</v>
      </c>
      <c r="G5368" s="380" t="s">
        <v>1267</v>
      </c>
      <c r="H5368" s="380" t="s">
        <v>771</v>
      </c>
      <c r="I5368" s="380" t="s">
        <v>788</v>
      </c>
      <c r="J5368" s="380" t="s">
        <v>773</v>
      </c>
      <c r="K5368" s="381">
        <v>0.0</v>
      </c>
      <c r="L5368" s="382">
        <v>1.0</v>
      </c>
    </row>
    <row r="5369">
      <c r="A5369" s="380" t="s">
        <v>6243</v>
      </c>
      <c r="B5369" s="380" t="str">
        <f>IFERROR(__xludf.DUMMYFUNCTION("""COMPUTED_VALUE"""),"Parabrisas Laminado Hino")</f>
        <v>Parabrisas Laminado Hino</v>
      </c>
      <c r="C5369" s="380" t="str">
        <f>IFERROR(__xludf.DUMMYFUNCTION("""COMPUTED_VALUE"""),"70000751")</f>
        <v>70000751</v>
      </c>
      <c r="D5369" s="380" t="s">
        <v>767</v>
      </c>
      <c r="E5369" s="380" t="s">
        <v>786</v>
      </c>
      <c r="F5369" s="380" t="s">
        <v>792</v>
      </c>
      <c r="G5369" s="380" t="s">
        <v>1267</v>
      </c>
      <c r="H5369" s="380" t="s">
        <v>771</v>
      </c>
      <c r="I5369" s="380" t="s">
        <v>788</v>
      </c>
      <c r="J5369" s="380" t="s">
        <v>773</v>
      </c>
      <c r="K5369" s="381">
        <v>0.0</v>
      </c>
      <c r="L5369" s="382">
        <v>1.0</v>
      </c>
    </row>
    <row r="5370">
      <c r="A5370" s="380" t="s">
        <v>6244</v>
      </c>
      <c r="B5370" s="380" t="str">
        <f>IFERROR(__xludf.DUMMYFUNCTION("""COMPUTED_VALUE"""),"Jgo Pastas Freno Del R Master 7701207339")</f>
        <v>Jgo Pastas Freno Del R Master 7701207339</v>
      </c>
      <c r="C5370" s="380" t="str">
        <f>IFERROR(__xludf.DUMMYFUNCTION("""COMPUTED_VALUE"""),"70000752")</f>
        <v>70000752</v>
      </c>
      <c r="D5370" s="380" t="s">
        <v>767</v>
      </c>
      <c r="E5370" s="380" t="s">
        <v>786</v>
      </c>
      <c r="F5370" s="380" t="s">
        <v>1017</v>
      </c>
      <c r="G5370" s="380" t="s">
        <v>1267</v>
      </c>
      <c r="H5370" s="380" t="s">
        <v>771</v>
      </c>
      <c r="I5370" s="380" t="s">
        <v>788</v>
      </c>
      <c r="J5370" s="380" t="s">
        <v>773</v>
      </c>
      <c r="K5370" s="381">
        <v>238000.0</v>
      </c>
      <c r="L5370" s="382">
        <v>1.0</v>
      </c>
    </row>
    <row r="5371">
      <c r="A5371" s="380" t="s">
        <v>6245</v>
      </c>
      <c r="B5371" s="380" t="str">
        <f>IFERROR(__xludf.DUMMYFUNCTION("""COMPUTED_VALUE"""),"Kit Soporte Inf Radiador Eag 2591572C92")</f>
        <v>Kit Soporte Inf Radiador Eag 2591572C92</v>
      </c>
      <c r="C5371" s="380" t="str">
        <f>IFERROR(__xludf.DUMMYFUNCTION("""COMPUTED_VALUE"""),"70000753")</f>
        <v>70000753</v>
      </c>
      <c r="D5371" s="380" t="s">
        <v>767</v>
      </c>
      <c r="E5371" s="380" t="s">
        <v>786</v>
      </c>
      <c r="F5371" s="380" t="s">
        <v>787</v>
      </c>
      <c r="G5371" s="380" t="s">
        <v>1267</v>
      </c>
      <c r="H5371" s="380" t="s">
        <v>771</v>
      </c>
      <c r="I5371" s="380" t="s">
        <v>788</v>
      </c>
      <c r="J5371" s="380" t="s">
        <v>773</v>
      </c>
      <c r="K5371" s="381">
        <v>0.0</v>
      </c>
      <c r="L5371" s="382">
        <v>1.0</v>
      </c>
    </row>
    <row r="5372">
      <c r="A5372" s="380" t="s">
        <v>6246</v>
      </c>
      <c r="B5372" s="380" t="str">
        <f>IFERROR(__xludf.DUMMYFUNCTION("""COMPUTED_VALUE"""),"Kit Soporte Radiador Der Eag 2591567C91")</f>
        <v>Kit Soporte Radiador Der Eag 2591567C91</v>
      </c>
      <c r="C5372" s="380" t="str">
        <f>IFERROR(__xludf.DUMMYFUNCTION("""COMPUTED_VALUE"""),"70000754")</f>
        <v>70000754</v>
      </c>
      <c r="D5372" s="380" t="s">
        <v>767</v>
      </c>
      <c r="E5372" s="380" t="s">
        <v>786</v>
      </c>
      <c r="F5372" s="380" t="s">
        <v>787</v>
      </c>
      <c r="G5372" s="380" t="s">
        <v>1267</v>
      </c>
      <c r="H5372" s="380" t="s">
        <v>771</v>
      </c>
      <c r="I5372" s="380" t="s">
        <v>788</v>
      </c>
      <c r="J5372" s="380" t="s">
        <v>773</v>
      </c>
      <c r="K5372" s="381">
        <v>0.0</v>
      </c>
      <c r="L5372" s="382">
        <v>1.0</v>
      </c>
    </row>
    <row r="5373">
      <c r="A5373" s="380" t="s">
        <v>6247</v>
      </c>
      <c r="B5373" s="380" t="str">
        <f>IFERROR(__xludf.DUMMYFUNCTION("""COMPUTED_VALUE"""),"Kit Soporte Sup Radiador Eag 2591570C91")</f>
        <v>Kit Soporte Sup Radiador Eag 2591570C91</v>
      </c>
      <c r="C5373" s="380" t="str">
        <f>IFERROR(__xludf.DUMMYFUNCTION("""COMPUTED_VALUE"""),"70000755")</f>
        <v>70000755</v>
      </c>
      <c r="D5373" s="380" t="s">
        <v>767</v>
      </c>
      <c r="E5373" s="380" t="s">
        <v>786</v>
      </c>
      <c r="F5373" s="380" t="s">
        <v>787</v>
      </c>
      <c r="G5373" s="380" t="s">
        <v>1267</v>
      </c>
      <c r="H5373" s="380" t="s">
        <v>771</v>
      </c>
      <c r="I5373" s="380" t="s">
        <v>788</v>
      </c>
      <c r="J5373" s="380" t="s">
        <v>773</v>
      </c>
      <c r="K5373" s="381">
        <v>0.0</v>
      </c>
      <c r="L5373" s="382">
        <v>1.0</v>
      </c>
    </row>
    <row r="5374">
      <c r="A5374" s="380" t="s">
        <v>6248</v>
      </c>
      <c r="B5374" s="380" t="str">
        <f>IFERROR(__xludf.DUMMYFUNCTION("""COMPUTED_VALUE"""),"Hoja Resorte Trasera Hi 55029/2 Vu")</f>
        <v>Hoja Resorte Trasera Hi 55029/2 Vu</v>
      </c>
      <c r="C5374" s="380" t="str">
        <f>IFERROR(__xludf.DUMMYFUNCTION("""COMPUTED_VALUE"""),"70000756")</f>
        <v>70000756</v>
      </c>
      <c r="D5374" s="380" t="s">
        <v>767</v>
      </c>
      <c r="E5374" s="380" t="s">
        <v>786</v>
      </c>
      <c r="F5374" s="380" t="s">
        <v>1039</v>
      </c>
      <c r="G5374" s="380" t="s">
        <v>1267</v>
      </c>
      <c r="H5374" s="380" t="s">
        <v>771</v>
      </c>
      <c r="I5374" s="380" t="s">
        <v>788</v>
      </c>
      <c r="J5374" s="380" t="s">
        <v>773</v>
      </c>
      <c r="K5374" s="381">
        <v>0.0</v>
      </c>
      <c r="L5374" s="382">
        <v>1.0</v>
      </c>
    </row>
    <row r="5375">
      <c r="A5375" s="380" t="s">
        <v>6249</v>
      </c>
      <c r="B5375" s="380" t="str">
        <f>IFERROR(__xludf.DUMMYFUNCTION("""COMPUTED_VALUE"""),"Kit Soporte Radiador Izq Eag 2591564C91")</f>
        <v>Kit Soporte Radiador Izq Eag 2591564C91</v>
      </c>
      <c r="C5375" s="380" t="str">
        <f>IFERROR(__xludf.DUMMYFUNCTION("""COMPUTED_VALUE"""),"70000757")</f>
        <v>70000757</v>
      </c>
      <c r="D5375" s="380" t="s">
        <v>767</v>
      </c>
      <c r="E5375" s="380" t="s">
        <v>786</v>
      </c>
      <c r="F5375" s="380" t="s">
        <v>787</v>
      </c>
      <c r="G5375" s="380" t="s">
        <v>1267</v>
      </c>
      <c r="H5375" s="380" t="s">
        <v>771</v>
      </c>
      <c r="I5375" s="380" t="s">
        <v>788</v>
      </c>
      <c r="J5375" s="380" t="s">
        <v>773</v>
      </c>
      <c r="K5375" s="381">
        <v>0.0</v>
      </c>
      <c r="L5375" s="382">
        <v>1.0</v>
      </c>
    </row>
    <row r="5376">
      <c r="A5376" s="380" t="s">
        <v>6250</v>
      </c>
      <c r="B5376" s="380" t="str">
        <f>IFERROR(__xludf.DUMMYFUNCTION("""COMPUTED_VALUE"""),"Empaque Descarga Turbo Isx 3680324")</f>
        <v>Empaque Descarga Turbo Isx 3680324</v>
      </c>
      <c r="C5376" s="380" t="str">
        <f>IFERROR(__xludf.DUMMYFUNCTION("""COMPUTED_VALUE"""),"70000758")</f>
        <v>70000758</v>
      </c>
      <c r="D5376" s="380" t="s">
        <v>767</v>
      </c>
      <c r="E5376" s="380" t="s">
        <v>786</v>
      </c>
      <c r="F5376" s="380" t="s">
        <v>787</v>
      </c>
      <c r="G5376" s="380" t="s">
        <v>1267</v>
      </c>
      <c r="H5376" s="380" t="s">
        <v>771</v>
      </c>
      <c r="I5376" s="380" t="s">
        <v>788</v>
      </c>
      <c r="J5376" s="380" t="s">
        <v>773</v>
      </c>
      <c r="K5376" s="381">
        <v>0.0</v>
      </c>
      <c r="L5376" s="382">
        <v>1.0</v>
      </c>
    </row>
    <row r="5377">
      <c r="A5377" s="380" t="s">
        <v>6251</v>
      </c>
      <c r="B5377" s="380" t="str">
        <f>IFERROR(__xludf.DUMMYFUNCTION("""COMPUTED_VALUE"""),"Kit Motor 4h L:1xC:Std Npr 4hg1 95630904")</f>
        <v>Kit Motor 4h L:1xC:Std Npr 4hg1 95630904</v>
      </c>
      <c r="C5377" s="380" t="str">
        <f>IFERROR(__xludf.DUMMYFUNCTION("""COMPUTED_VALUE"""),"70000759")</f>
        <v>70000759</v>
      </c>
      <c r="D5377" s="380" t="s">
        <v>767</v>
      </c>
      <c r="E5377" s="380" t="s">
        <v>786</v>
      </c>
      <c r="F5377" s="380" t="s">
        <v>787</v>
      </c>
      <c r="G5377" s="380" t="s">
        <v>1267</v>
      </c>
      <c r="H5377" s="380" t="s">
        <v>771</v>
      </c>
      <c r="I5377" s="380" t="s">
        <v>788</v>
      </c>
      <c r="J5377" s="380" t="s">
        <v>773</v>
      </c>
      <c r="K5377" s="381">
        <v>0.0</v>
      </c>
      <c r="L5377" s="382">
        <v>1.0</v>
      </c>
    </row>
    <row r="5378">
      <c r="A5378" s="380" t="s">
        <v>6252</v>
      </c>
      <c r="B5378" s="380" t="str">
        <f>IFERROR(__xludf.DUMMYFUNCTION("""COMPUTED_VALUE"""),"Parabrisas Laminado N-200 5496874")</f>
        <v>Parabrisas Laminado N-200 5496874</v>
      </c>
      <c r="C5378" s="380" t="str">
        <f>IFERROR(__xludf.DUMMYFUNCTION("""COMPUTED_VALUE"""),"70000760")</f>
        <v>70000760</v>
      </c>
      <c r="D5378" s="380" t="s">
        <v>767</v>
      </c>
      <c r="E5378" s="380" t="s">
        <v>786</v>
      </c>
      <c r="F5378" s="380" t="s">
        <v>792</v>
      </c>
      <c r="G5378" s="380" t="s">
        <v>1267</v>
      </c>
      <c r="H5378" s="380" t="s">
        <v>771</v>
      </c>
      <c r="I5378" s="380" t="s">
        <v>788</v>
      </c>
      <c r="J5378" s="380" t="s">
        <v>773</v>
      </c>
      <c r="K5378" s="381">
        <v>0.0</v>
      </c>
      <c r="L5378" s="382">
        <v>1.0</v>
      </c>
    </row>
    <row r="5379">
      <c r="A5379" s="380" t="s">
        <v>6253</v>
      </c>
      <c r="B5379" s="380" t="str">
        <f>IFERROR(__xludf.DUMMYFUNCTION("""COMPUTED_VALUE"""),"Bomba Aceite Motor Npr-4hg1 8971473384")</f>
        <v>Bomba Aceite Motor Npr-4hg1 8971473384</v>
      </c>
      <c r="C5379" s="380" t="str">
        <f>IFERROR(__xludf.DUMMYFUNCTION("""COMPUTED_VALUE"""),"70000761")</f>
        <v>70000761</v>
      </c>
      <c r="D5379" s="380" t="s">
        <v>767</v>
      </c>
      <c r="E5379" s="380" t="s">
        <v>786</v>
      </c>
      <c r="F5379" s="380" t="s">
        <v>787</v>
      </c>
      <c r="G5379" s="380" t="s">
        <v>1267</v>
      </c>
      <c r="H5379" s="380" t="s">
        <v>771</v>
      </c>
      <c r="I5379" s="380" t="s">
        <v>788</v>
      </c>
      <c r="J5379" s="380" t="s">
        <v>773</v>
      </c>
      <c r="K5379" s="381">
        <v>0.0</v>
      </c>
      <c r="L5379" s="382">
        <v>1.0</v>
      </c>
    </row>
    <row r="5380">
      <c r="A5380" s="380" t="s">
        <v>6254</v>
      </c>
      <c r="B5380" s="380" t="str">
        <f>IFERROR(__xludf.DUMMYFUNCTION("""COMPUTED_VALUE"""),"Tope Suspension Cabina Isx 2501303C1")</f>
        <v>Tope Suspension Cabina Isx 2501303C1</v>
      </c>
      <c r="C5380" s="380" t="str">
        <f>IFERROR(__xludf.DUMMYFUNCTION("""COMPUTED_VALUE"""),"70000762")</f>
        <v>70000762</v>
      </c>
      <c r="D5380" s="380" t="s">
        <v>767</v>
      </c>
      <c r="E5380" s="380" t="s">
        <v>786</v>
      </c>
      <c r="F5380" s="380" t="s">
        <v>792</v>
      </c>
      <c r="G5380" s="380" t="s">
        <v>1267</v>
      </c>
      <c r="H5380" s="380" t="s">
        <v>771</v>
      </c>
      <c r="I5380" s="380" t="s">
        <v>788</v>
      </c>
      <c r="J5380" s="380" t="s">
        <v>773</v>
      </c>
      <c r="K5380" s="381">
        <v>0.0</v>
      </c>
      <c r="L5380" s="382">
        <v>1.0</v>
      </c>
    </row>
    <row r="5381">
      <c r="A5381" s="380" t="s">
        <v>6255</v>
      </c>
      <c r="B5381" s="380" t="str">
        <f>IFERROR(__xludf.DUMMYFUNCTION("""COMPUTED_VALUE"""),"Espejo Completo Der Eag 9400 3573713C93")</f>
        <v>Espejo Completo Der Eag 9400 3573713C93</v>
      </c>
      <c r="C5381" s="380" t="str">
        <f>IFERROR(__xludf.DUMMYFUNCTION("""COMPUTED_VALUE"""),"70000763")</f>
        <v>70000763</v>
      </c>
      <c r="D5381" s="380" t="s">
        <v>767</v>
      </c>
      <c r="E5381" s="380" t="s">
        <v>786</v>
      </c>
      <c r="F5381" s="380" t="s">
        <v>792</v>
      </c>
      <c r="G5381" s="380" t="s">
        <v>1267</v>
      </c>
      <c r="H5381" s="380" t="s">
        <v>771</v>
      </c>
      <c r="I5381" s="380" t="s">
        <v>788</v>
      </c>
      <c r="J5381" s="380" t="s">
        <v>773</v>
      </c>
      <c r="K5381" s="381">
        <v>0.0</v>
      </c>
      <c r="L5381" s="382">
        <v>1.0</v>
      </c>
    </row>
    <row r="5382">
      <c r="A5382" s="380" t="s">
        <v>6256</v>
      </c>
      <c r="B5382" s="380" t="str">
        <f>IFERROR(__xludf.DUMMYFUNCTION("""COMPUTED_VALUE"""),"Silenciador Mofle Eagle 9400 3511320C2")</f>
        <v>Silenciador Mofle Eagle 9400 3511320C2</v>
      </c>
      <c r="C5382" s="380" t="str">
        <f>IFERROR(__xludf.DUMMYFUNCTION("""COMPUTED_VALUE"""),"70000764")</f>
        <v>70000764</v>
      </c>
      <c r="D5382" s="380" t="s">
        <v>767</v>
      </c>
      <c r="E5382" s="380" t="s">
        <v>786</v>
      </c>
      <c r="F5382" s="380" t="s">
        <v>792</v>
      </c>
      <c r="G5382" s="380" t="s">
        <v>1267</v>
      </c>
      <c r="H5382" s="380" t="s">
        <v>771</v>
      </c>
      <c r="I5382" s="380" t="s">
        <v>788</v>
      </c>
      <c r="J5382" s="380" t="s">
        <v>773</v>
      </c>
      <c r="K5382" s="381">
        <v>0.0</v>
      </c>
      <c r="L5382" s="382">
        <v>1.0</v>
      </c>
    </row>
    <row r="5383">
      <c r="A5383" s="380" t="s">
        <v>6257</v>
      </c>
      <c r="B5383" s="380" t="str">
        <f>IFERROR(__xludf.DUMMYFUNCTION("""COMPUTED_VALUE"""),"Caja Direccion Npr 8973050476")</f>
        <v>Caja Direccion Npr 8973050476</v>
      </c>
      <c r="C5383" s="380" t="str">
        <f>IFERROR(__xludf.DUMMYFUNCTION("""COMPUTED_VALUE"""),"70000765")</f>
        <v>70000765</v>
      </c>
      <c r="D5383" s="380" t="s">
        <v>767</v>
      </c>
      <c r="E5383" s="380" t="s">
        <v>786</v>
      </c>
      <c r="F5383" s="380" t="s">
        <v>1020</v>
      </c>
      <c r="G5383" s="380" t="s">
        <v>1267</v>
      </c>
      <c r="H5383" s="380" t="s">
        <v>771</v>
      </c>
      <c r="I5383" s="380" t="s">
        <v>788</v>
      </c>
      <c r="J5383" s="380" t="s">
        <v>773</v>
      </c>
      <c r="K5383" s="381">
        <v>0.0</v>
      </c>
      <c r="L5383" s="382">
        <v>1.0</v>
      </c>
    </row>
    <row r="5384">
      <c r="A5384" s="380" t="s">
        <v>6258</v>
      </c>
      <c r="B5384" s="380" t="str">
        <f>IFERROR(__xludf.DUMMYFUNCTION("""COMPUTED_VALUE"""),"Soporte Eje Leva Freno Gran Danes 2288")</f>
        <v>Soporte Eje Leva Freno Gran Danes 2288</v>
      </c>
      <c r="C5384" s="380" t="str">
        <f>IFERROR(__xludf.DUMMYFUNCTION("""COMPUTED_VALUE"""),"70000766")</f>
        <v>70000766</v>
      </c>
      <c r="D5384" s="380" t="s">
        <v>767</v>
      </c>
      <c r="E5384" s="380" t="s">
        <v>786</v>
      </c>
      <c r="F5384" s="380" t="s">
        <v>1017</v>
      </c>
      <c r="G5384" s="380" t="s">
        <v>1267</v>
      </c>
      <c r="H5384" s="380" t="s">
        <v>771</v>
      </c>
      <c r="I5384" s="380" t="s">
        <v>788</v>
      </c>
      <c r="J5384" s="380" t="s">
        <v>773</v>
      </c>
      <c r="K5384" s="381">
        <v>0.0</v>
      </c>
      <c r="L5384" s="382">
        <v>1.0</v>
      </c>
    </row>
    <row r="5385">
      <c r="A5385" s="380" t="s">
        <v>6259</v>
      </c>
      <c r="B5385" s="380" t="str">
        <f>IFERROR(__xludf.DUMMYFUNCTION("""COMPUTED_VALUE"""),"Valvula Seguridad Mv3 Eag S60-800516")</f>
        <v>Valvula Seguridad Mv3 Eag S60-800516</v>
      </c>
      <c r="C5385" s="380" t="str">
        <f>IFERROR(__xludf.DUMMYFUNCTION("""COMPUTED_VALUE"""),"70000767")</f>
        <v>70000767</v>
      </c>
      <c r="D5385" s="380" t="s">
        <v>767</v>
      </c>
      <c r="E5385" s="380" t="s">
        <v>786</v>
      </c>
      <c r="F5385" s="380" t="s">
        <v>792</v>
      </c>
      <c r="G5385" s="380" t="s">
        <v>1267</v>
      </c>
      <c r="H5385" s="380" t="s">
        <v>771</v>
      </c>
      <c r="I5385" s="380" t="s">
        <v>788</v>
      </c>
      <c r="J5385" s="380" t="s">
        <v>773</v>
      </c>
      <c r="K5385" s="381">
        <v>0.0</v>
      </c>
      <c r="L5385" s="382">
        <v>1.0</v>
      </c>
    </row>
    <row r="5386">
      <c r="A5386" s="380" t="s">
        <v>6260</v>
      </c>
      <c r="B5386" s="380" t="str">
        <f>IFERROR(__xludf.DUMMYFUNCTION("""COMPUTED_VALUE"""),"Yoke Divisor KW T 800 1425041011")</f>
        <v>Yoke Divisor KW T 800 1425041011</v>
      </c>
      <c r="C5386" s="380" t="str">
        <f>IFERROR(__xludf.DUMMYFUNCTION("""COMPUTED_VALUE"""),"70000768")</f>
        <v>70000768</v>
      </c>
      <c r="D5386" s="380" t="s">
        <v>767</v>
      </c>
      <c r="E5386" s="380" t="s">
        <v>786</v>
      </c>
      <c r="F5386" s="380" t="s">
        <v>5683</v>
      </c>
      <c r="G5386" s="380" t="s">
        <v>1267</v>
      </c>
      <c r="H5386" s="380" t="s">
        <v>771</v>
      </c>
      <c r="I5386" s="380" t="s">
        <v>788</v>
      </c>
      <c r="J5386" s="380" t="s">
        <v>773</v>
      </c>
      <c r="K5386" s="381">
        <v>0.0</v>
      </c>
      <c r="L5386" s="382">
        <v>1.0</v>
      </c>
    </row>
    <row r="5387">
      <c r="A5387" s="380" t="s">
        <v>6261</v>
      </c>
      <c r="B5387" s="380" t="str">
        <f>IFERROR(__xludf.DUMMYFUNCTION("""COMPUTED_VALUE"""),"Base Filtro Combustible Hino 2330078252")</f>
        <v>Base Filtro Combustible Hino 2330078252</v>
      </c>
      <c r="C5387" s="380" t="str">
        <f>IFERROR(__xludf.DUMMYFUNCTION("""COMPUTED_VALUE"""),"70000769")</f>
        <v>70000769</v>
      </c>
      <c r="D5387" s="380" t="s">
        <v>767</v>
      </c>
      <c r="E5387" s="380" t="s">
        <v>786</v>
      </c>
      <c r="F5387" s="380" t="s">
        <v>787</v>
      </c>
      <c r="G5387" s="380" t="s">
        <v>1267</v>
      </c>
      <c r="H5387" s="380" t="s">
        <v>771</v>
      </c>
      <c r="I5387" s="380" t="s">
        <v>788</v>
      </c>
      <c r="J5387" s="380" t="s">
        <v>773</v>
      </c>
      <c r="K5387" s="381">
        <v>0.0</v>
      </c>
      <c r="L5387" s="382">
        <v>1.0</v>
      </c>
    </row>
    <row r="5388">
      <c r="A5388" s="380" t="s">
        <v>6262</v>
      </c>
      <c r="B5388" s="380" t="str">
        <f>IFERROR(__xludf.DUMMYFUNCTION("""COMPUTED_VALUE"""),"Kit Arrastre Akt 200")</f>
        <v>Kit Arrastre Akt 200</v>
      </c>
      <c r="C5388" s="380" t="str">
        <f>IFERROR(__xludf.DUMMYFUNCTION("""COMPUTED_VALUE"""),"70000770")</f>
        <v>70000770</v>
      </c>
      <c r="D5388" s="380" t="s">
        <v>767</v>
      </c>
      <c r="E5388" s="380" t="s">
        <v>786</v>
      </c>
      <c r="F5388" s="380" t="s">
        <v>5683</v>
      </c>
      <c r="G5388" s="380" t="s">
        <v>1267</v>
      </c>
      <c r="H5388" s="380" t="s">
        <v>771</v>
      </c>
      <c r="I5388" s="380" t="s">
        <v>788</v>
      </c>
      <c r="J5388" s="380" t="s">
        <v>773</v>
      </c>
      <c r="K5388" s="381">
        <v>0.0</v>
      </c>
      <c r="L5388" s="382">
        <v>1.0</v>
      </c>
    </row>
    <row r="5389">
      <c r="A5389" s="380" t="s">
        <v>6263</v>
      </c>
      <c r="B5389" s="380" t="str">
        <f>IFERROR(__xludf.DUMMYFUNCTION("""COMPUTED_VALUE"""),"Manigueta Freno Delantero Akt 200")</f>
        <v>Manigueta Freno Delantero Akt 200</v>
      </c>
      <c r="C5389" s="380" t="str">
        <f>IFERROR(__xludf.DUMMYFUNCTION("""COMPUTED_VALUE"""),"70000771")</f>
        <v>70000771</v>
      </c>
      <c r="D5389" s="380" t="s">
        <v>767</v>
      </c>
      <c r="E5389" s="380" t="s">
        <v>786</v>
      </c>
      <c r="F5389" s="380" t="s">
        <v>1017</v>
      </c>
      <c r="G5389" s="380" t="s">
        <v>1267</v>
      </c>
      <c r="H5389" s="380" t="s">
        <v>771</v>
      </c>
      <c r="I5389" s="380" t="s">
        <v>788</v>
      </c>
      <c r="J5389" s="380" t="s">
        <v>773</v>
      </c>
      <c r="K5389" s="381">
        <v>0.0</v>
      </c>
      <c r="L5389" s="382">
        <v>1.0</v>
      </c>
    </row>
    <row r="5390">
      <c r="A5390" s="380" t="s">
        <v>6264</v>
      </c>
      <c r="B5390" s="380" t="str">
        <f>IFERROR(__xludf.DUMMYFUNCTION("""COMPUTED_VALUE"""),"Juego Pastas Freno Trasero Akt 200")</f>
        <v>Juego Pastas Freno Trasero Akt 200</v>
      </c>
      <c r="C5390" s="380" t="str">
        <f>IFERROR(__xludf.DUMMYFUNCTION("""COMPUTED_VALUE"""),"70000772")</f>
        <v>70000772</v>
      </c>
      <c r="D5390" s="380" t="s">
        <v>767</v>
      </c>
      <c r="E5390" s="380" t="s">
        <v>786</v>
      </c>
      <c r="F5390" s="380" t="s">
        <v>1017</v>
      </c>
      <c r="G5390" s="380" t="s">
        <v>1267</v>
      </c>
      <c r="H5390" s="380" t="s">
        <v>771</v>
      </c>
      <c r="I5390" s="380" t="s">
        <v>788</v>
      </c>
      <c r="J5390" s="380" t="s">
        <v>773</v>
      </c>
      <c r="K5390" s="381">
        <v>0.0</v>
      </c>
      <c r="L5390" s="382">
        <v>1.0</v>
      </c>
    </row>
    <row r="5391">
      <c r="A5391" s="380" t="s">
        <v>6265</v>
      </c>
      <c r="B5391" s="380" t="str">
        <f>IFERROR(__xludf.DUMMYFUNCTION("""COMPUTED_VALUE"""),"Enfocador Radiador KW T800 K2162007")</f>
        <v>Enfocador Radiador KW T800 K2162007</v>
      </c>
      <c r="C5391" s="380" t="str">
        <f>IFERROR(__xludf.DUMMYFUNCTION("""COMPUTED_VALUE"""),"70000773")</f>
        <v>70000773</v>
      </c>
      <c r="D5391" s="380" t="s">
        <v>767</v>
      </c>
      <c r="E5391" s="380" t="s">
        <v>786</v>
      </c>
      <c r="F5391" s="380" t="s">
        <v>787</v>
      </c>
      <c r="G5391" s="380" t="s">
        <v>1267</v>
      </c>
      <c r="H5391" s="380" t="s">
        <v>771</v>
      </c>
      <c r="I5391" s="380" t="s">
        <v>788</v>
      </c>
      <c r="J5391" s="380" t="s">
        <v>773</v>
      </c>
      <c r="K5391" s="381">
        <v>0.0</v>
      </c>
      <c r="L5391" s="382">
        <v>1.0</v>
      </c>
    </row>
    <row r="5392">
      <c r="A5392" s="380" t="s">
        <v>6266</v>
      </c>
      <c r="B5392" s="380" t="str">
        <f>IFERROR(__xludf.DUMMYFUNCTION("""COMPUTED_VALUE"""),"Eje De Leva Valvulas Motor Isx 4059333")</f>
        <v>Eje De Leva Valvulas Motor Isx 4059333</v>
      </c>
      <c r="C5392" s="380" t="str">
        <f>IFERROR(__xludf.DUMMYFUNCTION("""COMPUTED_VALUE"""),"70000774")</f>
        <v>70000774</v>
      </c>
      <c r="D5392" s="380" t="s">
        <v>767</v>
      </c>
      <c r="E5392" s="380" t="s">
        <v>786</v>
      </c>
      <c r="F5392" s="380" t="s">
        <v>787</v>
      </c>
      <c r="G5392" s="380" t="s">
        <v>1267</v>
      </c>
      <c r="H5392" s="380" t="s">
        <v>771</v>
      </c>
      <c r="I5392" s="380" t="s">
        <v>788</v>
      </c>
      <c r="J5392" s="380" t="s">
        <v>773</v>
      </c>
      <c r="K5392" s="381">
        <v>0.0</v>
      </c>
      <c r="L5392" s="382">
        <v>1.0</v>
      </c>
    </row>
    <row r="5393">
      <c r="A5393" s="380" t="s">
        <v>6267</v>
      </c>
      <c r="B5393" s="380" t="str">
        <f>IFERROR(__xludf.DUMMYFUNCTION("""COMPUTED_VALUE"""),"Caucho T/Fron eje Levas Tri Isx 5719778")</f>
        <v>Caucho T/Fron eje Levas Tri Isx 5719778</v>
      </c>
      <c r="C5393" s="380" t="str">
        <f>IFERROR(__xludf.DUMMYFUNCTION("""COMPUTED_VALUE"""),"70000775")</f>
        <v>70000775</v>
      </c>
      <c r="D5393" s="380" t="s">
        <v>767</v>
      </c>
      <c r="E5393" s="380" t="s">
        <v>786</v>
      </c>
      <c r="F5393" s="380" t="s">
        <v>787</v>
      </c>
      <c r="G5393" s="380" t="s">
        <v>1267</v>
      </c>
      <c r="H5393" s="380" t="s">
        <v>771</v>
      </c>
      <c r="I5393" s="380" t="s">
        <v>788</v>
      </c>
      <c r="J5393" s="380" t="s">
        <v>773</v>
      </c>
      <c r="K5393" s="381">
        <v>0.0</v>
      </c>
      <c r="L5393" s="382">
        <v>1.0</v>
      </c>
    </row>
    <row r="5394">
      <c r="A5394" s="380" t="s">
        <v>6268</v>
      </c>
      <c r="B5394" s="380" t="str">
        <f>IFERROR(__xludf.DUMMYFUNCTION("""COMPUTED_VALUE"""),"Caucho T/Fron eje Levas Red Isx 4299125")</f>
        <v>Caucho T/Fron eje Levas Red Isx 4299125</v>
      </c>
      <c r="C5394" s="380" t="str">
        <f>IFERROR(__xludf.DUMMYFUNCTION("""COMPUTED_VALUE"""),"70000776")</f>
        <v>70000776</v>
      </c>
      <c r="D5394" s="380" t="s">
        <v>767</v>
      </c>
      <c r="E5394" s="380" t="s">
        <v>786</v>
      </c>
      <c r="F5394" s="380" t="s">
        <v>787</v>
      </c>
      <c r="G5394" s="380" t="s">
        <v>1267</v>
      </c>
      <c r="H5394" s="380" t="s">
        <v>771</v>
      </c>
      <c r="I5394" s="380" t="s">
        <v>788</v>
      </c>
      <c r="J5394" s="380" t="s">
        <v>773</v>
      </c>
      <c r="K5394" s="381">
        <v>0.0</v>
      </c>
      <c r="L5394" s="382">
        <v>1.0</v>
      </c>
    </row>
    <row r="5395">
      <c r="A5395" s="380" t="s">
        <v>6269</v>
      </c>
      <c r="B5395" s="380" t="str">
        <f>IFERROR(__xludf.DUMMYFUNCTION("""COMPUTED_VALUE"""),"Empaque Tapa Distr Super Isx 4962721")</f>
        <v>Empaque Tapa Distr Super Isx 4962721</v>
      </c>
      <c r="C5395" s="380" t="str">
        <f>IFERROR(__xludf.DUMMYFUNCTION("""COMPUTED_VALUE"""),"70000777")</f>
        <v>70000777</v>
      </c>
      <c r="D5395" s="380" t="s">
        <v>767</v>
      </c>
      <c r="E5395" s="380" t="s">
        <v>786</v>
      </c>
      <c r="F5395" s="380" t="s">
        <v>787</v>
      </c>
      <c r="G5395" s="380" t="s">
        <v>1267</v>
      </c>
      <c r="H5395" s="380" t="s">
        <v>771</v>
      </c>
      <c r="I5395" s="380" t="s">
        <v>788</v>
      </c>
      <c r="J5395" s="380" t="s">
        <v>773</v>
      </c>
      <c r="K5395" s="381">
        <v>0.0</v>
      </c>
      <c r="L5395" s="382">
        <v>1.0</v>
      </c>
    </row>
    <row r="5396">
      <c r="A5396" s="380" t="s">
        <v>6270</v>
      </c>
      <c r="B5396" s="380" t="str">
        <f>IFERROR(__xludf.DUMMYFUNCTION("""COMPUTED_VALUE"""),"Balancin Admision Isx 5484230-4972818")</f>
        <v>Balancin Admision Isx 5484230-4972818</v>
      </c>
      <c r="C5396" s="380" t="str">
        <f>IFERROR(__xludf.DUMMYFUNCTION("""COMPUTED_VALUE"""),"70000778")</f>
        <v>70000778</v>
      </c>
      <c r="D5396" s="380" t="s">
        <v>767</v>
      </c>
      <c r="E5396" s="380" t="s">
        <v>786</v>
      </c>
      <c r="F5396" s="380" t="s">
        <v>787</v>
      </c>
      <c r="G5396" s="380" t="s">
        <v>1267</v>
      </c>
      <c r="H5396" s="380" t="s">
        <v>771</v>
      </c>
      <c r="I5396" s="380" t="s">
        <v>788</v>
      </c>
      <c r="J5396" s="380" t="s">
        <v>773</v>
      </c>
      <c r="K5396" s="381">
        <v>0.0</v>
      </c>
      <c r="L5396" s="382">
        <v>1.0</v>
      </c>
    </row>
    <row r="5397">
      <c r="A5397" s="380" t="s">
        <v>6271</v>
      </c>
      <c r="B5397" s="380" t="str">
        <f>IFERROR(__xludf.DUMMYFUNCTION("""COMPUTED_VALUE"""),"Barra Base Susp Cabina Eagle 2507760C1")</f>
        <v>Barra Base Susp Cabina Eagle 2507760C1</v>
      </c>
      <c r="C5397" s="380" t="str">
        <f>IFERROR(__xludf.DUMMYFUNCTION("""COMPUTED_VALUE"""),"70000779")</f>
        <v>70000779</v>
      </c>
      <c r="D5397" s="380" t="s">
        <v>767</v>
      </c>
      <c r="E5397" s="380" t="s">
        <v>786</v>
      </c>
      <c r="F5397" s="380" t="s">
        <v>792</v>
      </c>
      <c r="G5397" s="380" t="s">
        <v>1267</v>
      </c>
      <c r="H5397" s="380" t="s">
        <v>771</v>
      </c>
      <c r="I5397" s="380" t="s">
        <v>788</v>
      </c>
      <c r="J5397" s="380" t="s">
        <v>773</v>
      </c>
      <c r="K5397" s="381">
        <v>360070.0</v>
      </c>
      <c r="L5397" s="382">
        <v>1.0</v>
      </c>
    </row>
    <row r="5398">
      <c r="A5398" s="380" t="s">
        <v>6272</v>
      </c>
      <c r="B5398" s="380" t="str">
        <f>IFERROR(__xludf.DUMMYFUNCTION("""COMPUTED_VALUE"""),"Arandela Caja 14718 4300382")</f>
        <v>Arandela Caja 14718 4300382</v>
      </c>
      <c r="C5398" s="380" t="str">
        <f>IFERROR(__xludf.DUMMYFUNCTION("""COMPUTED_VALUE"""),"70000780")</f>
        <v>70000780</v>
      </c>
      <c r="D5398" s="380" t="s">
        <v>767</v>
      </c>
      <c r="E5398" s="380" t="s">
        <v>786</v>
      </c>
      <c r="F5398" s="380" t="s">
        <v>5683</v>
      </c>
      <c r="G5398" s="380" t="s">
        <v>1267</v>
      </c>
      <c r="H5398" s="380" t="s">
        <v>771</v>
      </c>
      <c r="I5398" s="380" t="s">
        <v>788</v>
      </c>
      <c r="J5398" s="380" t="s">
        <v>773</v>
      </c>
      <c r="K5398" s="381">
        <v>0.0</v>
      </c>
      <c r="L5398" s="382">
        <v>1.0</v>
      </c>
    </row>
    <row r="5399">
      <c r="A5399" s="380" t="s">
        <v>6273</v>
      </c>
      <c r="B5399" s="380" t="str">
        <f>IFERROR(__xludf.DUMMYFUNCTION("""COMPUTED_VALUE"""),"Hoja Resorte Trailer 2463/10")</f>
        <v>Hoja Resorte Trailer 2463/10</v>
      </c>
      <c r="C5399" s="380" t="str">
        <f>IFERROR(__xludf.DUMMYFUNCTION("""COMPUTED_VALUE"""),"70000781")</f>
        <v>70000781</v>
      </c>
      <c r="D5399" s="380" t="s">
        <v>767</v>
      </c>
      <c r="E5399" s="380" t="s">
        <v>786</v>
      </c>
      <c r="F5399" s="380" t="s">
        <v>1039</v>
      </c>
      <c r="G5399" s="380" t="s">
        <v>1267</v>
      </c>
      <c r="H5399" s="380" t="s">
        <v>771</v>
      </c>
      <c r="I5399" s="380" t="s">
        <v>788</v>
      </c>
      <c r="J5399" s="380" t="s">
        <v>773</v>
      </c>
      <c r="K5399" s="381">
        <v>0.0</v>
      </c>
      <c r="L5399" s="382">
        <v>1.0</v>
      </c>
    </row>
    <row r="5400">
      <c r="A5400" s="380" t="s">
        <v>6274</v>
      </c>
      <c r="B5400" s="380" t="str">
        <f>IFERROR(__xludf.DUMMYFUNCTION("""COMPUTED_VALUE"""),"Stop Trasero Derecho Renault 8200171478")</f>
        <v>Stop Trasero Derecho Renault 8200171478</v>
      </c>
      <c r="C5400" s="380" t="str">
        <f>IFERROR(__xludf.DUMMYFUNCTION("""COMPUTED_VALUE"""),"70000782")</f>
        <v>70000782</v>
      </c>
      <c r="D5400" s="380" t="s">
        <v>767</v>
      </c>
      <c r="E5400" s="380" t="s">
        <v>786</v>
      </c>
      <c r="F5400" s="380" t="s">
        <v>998</v>
      </c>
      <c r="G5400" s="380" t="s">
        <v>1267</v>
      </c>
      <c r="H5400" s="380" t="s">
        <v>771</v>
      </c>
      <c r="I5400" s="380" t="s">
        <v>788</v>
      </c>
      <c r="J5400" s="380" t="s">
        <v>773</v>
      </c>
      <c r="K5400" s="381">
        <v>242760.0</v>
      </c>
      <c r="L5400" s="382">
        <v>1.0</v>
      </c>
    </row>
    <row r="5401">
      <c r="A5401" s="380" t="s">
        <v>6275</v>
      </c>
      <c r="B5401" s="380" t="str">
        <f>IFERROR(__xludf.DUMMYFUNCTION("""COMPUTED_VALUE"""),"Tijera Inferior Del Der N200 5497128")</f>
        <v>Tijera Inferior Del Der N200 5497128</v>
      </c>
      <c r="C5401" s="380" t="str">
        <f>IFERROR(__xludf.DUMMYFUNCTION("""COMPUTED_VALUE"""),"70000783")</f>
        <v>70000783</v>
      </c>
      <c r="D5401" s="380" t="s">
        <v>767</v>
      </c>
      <c r="E5401" s="380" t="s">
        <v>786</v>
      </c>
      <c r="F5401" s="380" t="s">
        <v>1039</v>
      </c>
      <c r="G5401" s="380" t="s">
        <v>1267</v>
      </c>
      <c r="H5401" s="380" t="s">
        <v>771</v>
      </c>
      <c r="I5401" s="380" t="s">
        <v>788</v>
      </c>
      <c r="J5401" s="380" t="s">
        <v>773</v>
      </c>
      <c r="K5401" s="381">
        <v>0.0</v>
      </c>
      <c r="L5401" s="382">
        <v>1.0</v>
      </c>
    </row>
    <row r="5402">
      <c r="A5402" s="380" t="s">
        <v>6276</v>
      </c>
      <c r="B5402" s="380" t="str">
        <f>IFERROR(__xludf.DUMMYFUNCTION("""COMPUTED_VALUE"""),"Aro De Tono Isx 3681194")</f>
        <v>Aro De Tono Isx 3681194</v>
      </c>
      <c r="C5402" s="380" t="str">
        <f>IFERROR(__xludf.DUMMYFUNCTION("""COMPUTED_VALUE"""),"70000784")</f>
        <v>70000784</v>
      </c>
      <c r="D5402" s="380" t="s">
        <v>767</v>
      </c>
      <c r="E5402" s="380" t="s">
        <v>786</v>
      </c>
      <c r="F5402" s="380" t="s">
        <v>787</v>
      </c>
      <c r="G5402" s="380" t="s">
        <v>1267</v>
      </c>
      <c r="H5402" s="380" t="s">
        <v>771</v>
      </c>
      <c r="I5402" s="380" t="s">
        <v>788</v>
      </c>
      <c r="J5402" s="380" t="s">
        <v>773</v>
      </c>
      <c r="K5402" s="381">
        <v>0.0</v>
      </c>
      <c r="L5402" s="382">
        <v>1.0</v>
      </c>
    </row>
    <row r="5403">
      <c r="A5403" s="380" t="s">
        <v>6277</v>
      </c>
      <c r="B5403" s="380" t="str">
        <f>IFERROR(__xludf.DUMMYFUNCTION("""COMPUTED_VALUE"""),"Jgo Casquete Biela X2 Isx Ser 79 4089405")</f>
        <v>Jgo Casquete Biela X2 Isx Ser 79 4089405</v>
      </c>
      <c r="C5403" s="380" t="str">
        <f>IFERROR(__xludf.DUMMYFUNCTION("""COMPUTED_VALUE"""),"70000785")</f>
        <v>70000785</v>
      </c>
      <c r="D5403" s="380" t="s">
        <v>767</v>
      </c>
      <c r="E5403" s="380" t="s">
        <v>786</v>
      </c>
      <c r="F5403" s="380" t="s">
        <v>787</v>
      </c>
      <c r="G5403" s="380" t="s">
        <v>1267</v>
      </c>
      <c r="H5403" s="380" t="s">
        <v>771</v>
      </c>
      <c r="I5403" s="380" t="s">
        <v>788</v>
      </c>
      <c r="J5403" s="380" t="s">
        <v>773</v>
      </c>
      <c r="K5403" s="381">
        <v>0.0</v>
      </c>
      <c r="L5403" s="382">
        <v>1.0</v>
      </c>
    </row>
    <row r="5404">
      <c r="A5404" s="380" t="s">
        <v>6278</v>
      </c>
      <c r="B5404" s="380" t="str">
        <f>IFERROR(__xludf.DUMMYFUNCTION("""COMPUTED_VALUE"""),"Jgo Casquete Bancada Std X7 Isx 5406110")</f>
        <v>Jgo Casquete Bancada Std X7 Isx 5406110</v>
      </c>
      <c r="C5404" s="380" t="str">
        <f>IFERROR(__xludf.DUMMYFUNCTION("""COMPUTED_VALUE"""),"70000786")</f>
        <v>70000786</v>
      </c>
      <c r="D5404" s="380" t="s">
        <v>767</v>
      </c>
      <c r="E5404" s="380" t="s">
        <v>786</v>
      </c>
      <c r="F5404" s="380" t="s">
        <v>787</v>
      </c>
      <c r="G5404" s="380" t="s">
        <v>1267</v>
      </c>
      <c r="H5404" s="380" t="s">
        <v>771</v>
      </c>
      <c r="I5404" s="380" t="s">
        <v>788</v>
      </c>
      <c r="J5404" s="380" t="s">
        <v>773</v>
      </c>
      <c r="K5404" s="381">
        <v>0.0</v>
      </c>
      <c r="L5404" s="382">
        <v>1.0</v>
      </c>
    </row>
    <row r="5405">
      <c r="A5405" s="380" t="s">
        <v>6279</v>
      </c>
      <c r="B5405" s="380" t="str">
        <f>IFERROR(__xludf.DUMMYFUNCTION("""COMPUTED_VALUE"""),"Empaquetadura Inferior Isx 4955590")</f>
        <v>Empaquetadura Inferior Isx 4955590</v>
      </c>
      <c r="C5405" s="380" t="str">
        <f>IFERROR(__xludf.DUMMYFUNCTION("""COMPUTED_VALUE"""),"70000787")</f>
        <v>70000787</v>
      </c>
      <c r="D5405" s="380" t="s">
        <v>767</v>
      </c>
      <c r="E5405" s="380" t="s">
        <v>786</v>
      </c>
      <c r="F5405" s="380" t="s">
        <v>787</v>
      </c>
      <c r="G5405" s="380" t="s">
        <v>1267</v>
      </c>
      <c r="H5405" s="380" t="s">
        <v>771</v>
      </c>
      <c r="I5405" s="380" t="s">
        <v>788</v>
      </c>
      <c r="J5405" s="380" t="s">
        <v>773</v>
      </c>
      <c r="K5405" s="381">
        <v>0.0</v>
      </c>
      <c r="L5405" s="382">
        <v>1.0</v>
      </c>
    </row>
    <row r="5406">
      <c r="A5406" s="380" t="s">
        <v>6280</v>
      </c>
      <c r="B5406" s="380" t="str">
        <f>IFERROR(__xludf.DUMMYFUNCTION("""COMPUTED_VALUE"""),"Caucho T/Fron eje Leva Tri Isx 5658176")</f>
        <v>Caucho T/Fron eje Leva Tri Isx 5658176</v>
      </c>
      <c r="C5406" s="380" t="str">
        <f>IFERROR(__xludf.DUMMYFUNCTION("""COMPUTED_VALUE"""),"70000788")</f>
        <v>70000788</v>
      </c>
      <c r="D5406" s="380" t="s">
        <v>767</v>
      </c>
      <c r="E5406" s="380" t="s">
        <v>786</v>
      </c>
      <c r="F5406" s="380" t="s">
        <v>787</v>
      </c>
      <c r="G5406" s="380" t="s">
        <v>1267</v>
      </c>
      <c r="H5406" s="380" t="s">
        <v>771</v>
      </c>
      <c r="I5406" s="380" t="s">
        <v>788</v>
      </c>
      <c r="J5406" s="380" t="s">
        <v>773</v>
      </c>
      <c r="K5406" s="381">
        <v>0.0</v>
      </c>
      <c r="L5406" s="382">
        <v>1.0</v>
      </c>
    </row>
    <row r="5407">
      <c r="A5407" s="380" t="s">
        <v>6281</v>
      </c>
      <c r="B5407" s="380" t="str">
        <f>IFERROR(__xludf.DUMMYFUNCTION("""COMPUTED_VALUE"""),"Caucho T/Fron eje Leva Isx Red 4299124")</f>
        <v>Caucho T/Fron eje Leva Isx Red 4299124</v>
      </c>
      <c r="C5407" s="380" t="str">
        <f>IFERROR(__xludf.DUMMYFUNCTION("""COMPUTED_VALUE"""),"70000789")</f>
        <v>70000789</v>
      </c>
      <c r="D5407" s="380" t="s">
        <v>767</v>
      </c>
      <c r="E5407" s="380" t="s">
        <v>786</v>
      </c>
      <c r="F5407" s="380" t="s">
        <v>787</v>
      </c>
      <c r="G5407" s="380" t="s">
        <v>1267</v>
      </c>
      <c r="H5407" s="380" t="s">
        <v>771</v>
      </c>
      <c r="I5407" s="380" t="s">
        <v>788</v>
      </c>
      <c r="J5407" s="380" t="s">
        <v>773</v>
      </c>
      <c r="K5407" s="381">
        <v>0.0</v>
      </c>
      <c r="L5407" s="382">
        <v>1.0</v>
      </c>
    </row>
    <row r="5408">
      <c r="A5408" s="380" t="s">
        <v>6282</v>
      </c>
      <c r="B5408" s="380" t="str">
        <f>IFERROR(__xludf.DUMMYFUNCTION("""COMPUTED_VALUE"""),"Valvula Moduladora Abs Isx 801481")</f>
        <v>Valvula Moduladora Abs Isx 801481</v>
      </c>
      <c r="C5408" s="380" t="str">
        <f>IFERROR(__xludf.DUMMYFUNCTION("""COMPUTED_VALUE"""),"70000790")</f>
        <v>70000790</v>
      </c>
      <c r="D5408" s="380" t="s">
        <v>767</v>
      </c>
      <c r="E5408" s="380" t="s">
        <v>786</v>
      </c>
      <c r="F5408" s="380" t="s">
        <v>792</v>
      </c>
      <c r="G5408" s="380" t="s">
        <v>1267</v>
      </c>
      <c r="H5408" s="380" t="s">
        <v>771</v>
      </c>
      <c r="I5408" s="380" t="s">
        <v>788</v>
      </c>
      <c r="J5408" s="380" t="s">
        <v>773</v>
      </c>
      <c r="K5408" s="381">
        <v>0.0</v>
      </c>
      <c r="L5408" s="382">
        <v>1.0</v>
      </c>
    </row>
    <row r="5409">
      <c r="A5409" s="380" t="s">
        <v>6283</v>
      </c>
      <c r="B5409" s="380" t="str">
        <f>IFERROR(__xludf.DUMMYFUNCTION("""COMPUTED_VALUE"""),"Valvula Control Sus Cabina Eag 2507757C1")</f>
        <v>Valvula Control Sus Cabina Eag 2507757C1</v>
      </c>
      <c r="C5409" s="380" t="str">
        <f>IFERROR(__xludf.DUMMYFUNCTION("""COMPUTED_VALUE"""),"70000791")</f>
        <v>70000791</v>
      </c>
      <c r="D5409" s="380" t="s">
        <v>767</v>
      </c>
      <c r="E5409" s="380" t="s">
        <v>786</v>
      </c>
      <c r="F5409" s="380" t="s">
        <v>792</v>
      </c>
      <c r="G5409" s="380" t="s">
        <v>1267</v>
      </c>
      <c r="H5409" s="380" t="s">
        <v>771</v>
      </c>
      <c r="I5409" s="380" t="s">
        <v>788</v>
      </c>
      <c r="J5409" s="380" t="s">
        <v>773</v>
      </c>
      <c r="K5409" s="381">
        <v>716285.0</v>
      </c>
      <c r="L5409" s="382">
        <v>1.0</v>
      </c>
    </row>
    <row r="5410">
      <c r="A5410" s="380" t="s">
        <v>6284</v>
      </c>
      <c r="B5410" s="380" t="str">
        <f>IFERROR(__xludf.DUMMYFUNCTION("""COMPUTED_VALUE"""),"Hoja Resorte Trailer 2463/7")</f>
        <v>Hoja Resorte Trailer 2463/7</v>
      </c>
      <c r="C5410" s="380" t="str">
        <f>IFERROR(__xludf.DUMMYFUNCTION("""COMPUTED_VALUE"""),"70000792")</f>
        <v>70000792</v>
      </c>
      <c r="D5410" s="380" t="s">
        <v>767</v>
      </c>
      <c r="E5410" s="380" t="s">
        <v>786</v>
      </c>
      <c r="F5410" s="380" t="s">
        <v>1039</v>
      </c>
      <c r="G5410" s="380" t="s">
        <v>1267</v>
      </c>
      <c r="H5410" s="380" t="s">
        <v>771</v>
      </c>
      <c r="I5410" s="380" t="s">
        <v>788</v>
      </c>
      <c r="J5410" s="380" t="s">
        <v>773</v>
      </c>
      <c r="K5410" s="381">
        <v>0.0</v>
      </c>
      <c r="L5410" s="382">
        <v>1.0</v>
      </c>
    </row>
    <row r="5411">
      <c r="A5411" s="380" t="s">
        <v>6285</v>
      </c>
      <c r="B5411" s="380" t="str">
        <f>IFERROR(__xludf.DUMMYFUNCTION("""COMPUTED_VALUE"""),"Hoja Resorte Trasera KW 59009/3")</f>
        <v>Hoja Resorte Trasera KW 59009/3</v>
      </c>
      <c r="C5411" s="380" t="str">
        <f>IFERROR(__xludf.DUMMYFUNCTION("""COMPUTED_VALUE"""),"70000793")</f>
        <v>70000793</v>
      </c>
      <c r="D5411" s="380" t="s">
        <v>767</v>
      </c>
      <c r="E5411" s="380" t="s">
        <v>786</v>
      </c>
      <c r="F5411" s="380" t="s">
        <v>1039</v>
      </c>
      <c r="G5411" s="380" t="s">
        <v>1267</v>
      </c>
      <c r="H5411" s="380" t="s">
        <v>771</v>
      </c>
      <c r="I5411" s="380" t="s">
        <v>788</v>
      </c>
      <c r="J5411" s="380" t="s">
        <v>773</v>
      </c>
      <c r="K5411" s="381">
        <v>0.0</v>
      </c>
      <c r="L5411" s="382">
        <v>1.0</v>
      </c>
    </row>
    <row r="5412">
      <c r="A5412" s="380" t="s">
        <v>6286</v>
      </c>
      <c r="B5412" s="380" t="str">
        <f>IFERROR(__xludf.DUMMYFUNCTION("""COMPUTED_VALUE"""),"Hoja Resorte Trasera KW 59009/5")</f>
        <v>Hoja Resorte Trasera KW 59009/5</v>
      </c>
      <c r="C5412" s="380" t="str">
        <f>IFERROR(__xludf.DUMMYFUNCTION("""COMPUTED_VALUE"""),"70000794")</f>
        <v>70000794</v>
      </c>
      <c r="D5412" s="380" t="s">
        <v>767</v>
      </c>
      <c r="E5412" s="380" t="s">
        <v>786</v>
      </c>
      <c r="F5412" s="380" t="s">
        <v>1039</v>
      </c>
      <c r="G5412" s="380" t="s">
        <v>1267</v>
      </c>
      <c r="H5412" s="380" t="s">
        <v>771</v>
      </c>
      <c r="I5412" s="380" t="s">
        <v>788</v>
      </c>
      <c r="J5412" s="380" t="s">
        <v>773</v>
      </c>
      <c r="K5412" s="381">
        <v>0.0</v>
      </c>
      <c r="L5412" s="382">
        <v>1.0</v>
      </c>
    </row>
    <row r="5413">
      <c r="A5413" s="380" t="s">
        <v>6287</v>
      </c>
      <c r="B5413" s="380" t="str">
        <f>IFERROR(__xludf.DUMMYFUNCTION("""COMPUTED_VALUE"""),"Hoja Resorte Trasera KW 59009/6")</f>
        <v>Hoja Resorte Trasera KW 59009/6</v>
      </c>
      <c r="C5413" s="380" t="str">
        <f>IFERROR(__xludf.DUMMYFUNCTION("""COMPUTED_VALUE"""),"70000795")</f>
        <v>70000795</v>
      </c>
      <c r="D5413" s="380" t="s">
        <v>767</v>
      </c>
      <c r="E5413" s="380" t="s">
        <v>786</v>
      </c>
      <c r="F5413" s="380" t="s">
        <v>1039</v>
      </c>
      <c r="G5413" s="380" t="s">
        <v>1267</v>
      </c>
      <c r="H5413" s="380" t="s">
        <v>771</v>
      </c>
      <c r="I5413" s="380" t="s">
        <v>788</v>
      </c>
      <c r="J5413" s="380" t="s">
        <v>773</v>
      </c>
      <c r="K5413" s="381">
        <v>0.0</v>
      </c>
      <c r="L5413" s="382">
        <v>1.0</v>
      </c>
    </row>
    <row r="5414">
      <c r="A5414" s="380" t="s">
        <v>6288</v>
      </c>
      <c r="B5414" s="380" t="str">
        <f>IFERROR(__xludf.DUMMYFUNCTION("""COMPUTED_VALUE"""),"Correa Bomba Direc Hca Npr-Nkr8970851310")</f>
        <v>Correa Bomba Direc Hca Npr-Nkr8970851310</v>
      </c>
      <c r="C5414" s="380" t="str">
        <f>IFERROR(__xludf.DUMMYFUNCTION("""COMPUTED_VALUE"""),"70000796")</f>
        <v>70000796</v>
      </c>
      <c r="D5414" s="380" t="s">
        <v>767</v>
      </c>
      <c r="E5414" s="380" t="s">
        <v>786</v>
      </c>
      <c r="F5414" s="380" t="s">
        <v>1020</v>
      </c>
      <c r="G5414" s="380" t="s">
        <v>1267</v>
      </c>
      <c r="H5414" s="380" t="s">
        <v>771</v>
      </c>
      <c r="I5414" s="380" t="s">
        <v>788</v>
      </c>
      <c r="J5414" s="380" t="s">
        <v>773</v>
      </c>
      <c r="K5414" s="381">
        <v>0.0</v>
      </c>
      <c r="L5414" s="382">
        <v>1.0</v>
      </c>
    </row>
    <row r="5415">
      <c r="A5415" s="380" t="s">
        <v>6289</v>
      </c>
      <c r="B5415" s="380" t="str">
        <f>IFERROR(__xludf.DUMMYFUNCTION("""COMPUTED_VALUE"""),"Bomba Aux Clutch T Delta 3147087311")</f>
        <v>Bomba Aux Clutch T Delta 3147087311</v>
      </c>
      <c r="C5415" s="380" t="str">
        <f>IFERROR(__xludf.DUMMYFUNCTION("""COMPUTED_VALUE"""),"70000797")</f>
        <v>70000797</v>
      </c>
      <c r="D5415" s="380" t="s">
        <v>767</v>
      </c>
      <c r="E5415" s="380" t="s">
        <v>786</v>
      </c>
      <c r="F5415" s="380" t="s">
        <v>5661</v>
      </c>
      <c r="G5415" s="380" t="s">
        <v>1267</v>
      </c>
      <c r="H5415" s="380" t="s">
        <v>771</v>
      </c>
      <c r="I5415" s="380" t="s">
        <v>788</v>
      </c>
      <c r="J5415" s="380" t="s">
        <v>773</v>
      </c>
      <c r="K5415" s="381">
        <v>0.0</v>
      </c>
      <c r="L5415" s="382">
        <v>1.0</v>
      </c>
    </row>
    <row r="5416">
      <c r="A5416" s="380" t="s">
        <v>6290</v>
      </c>
      <c r="B5416" s="380" t="str">
        <f>IFERROR(__xludf.DUMMYFUNCTION("""COMPUTED_VALUE"""),"Bisagra Exter Puerta Tipo Cortina Nkr-52")</f>
        <v>Bisagra Exter Puerta Tipo Cortina Nkr-52</v>
      </c>
      <c r="C5416" s="380" t="str">
        <f>IFERROR(__xludf.DUMMYFUNCTION("""COMPUTED_VALUE"""),"70000798")</f>
        <v>70000798</v>
      </c>
      <c r="D5416" s="380" t="s">
        <v>767</v>
      </c>
      <c r="E5416" s="380" t="s">
        <v>786</v>
      </c>
      <c r="F5416" s="380" t="s">
        <v>792</v>
      </c>
      <c r="G5416" s="380" t="s">
        <v>1267</v>
      </c>
      <c r="H5416" s="380" t="s">
        <v>771</v>
      </c>
      <c r="I5416" s="380" t="s">
        <v>788</v>
      </c>
      <c r="J5416" s="380" t="s">
        <v>773</v>
      </c>
      <c r="K5416" s="381">
        <v>0.0</v>
      </c>
      <c r="L5416" s="382">
        <v>1.0</v>
      </c>
    </row>
    <row r="5417">
      <c r="A5417" s="380" t="s">
        <v>6291</v>
      </c>
      <c r="B5417" s="380" t="str">
        <f>IFERROR(__xludf.DUMMYFUNCTION("""COMPUTED_VALUE"""),"Tapa Rodamiento Puerta Cortina Nkr 54")</f>
        <v>Tapa Rodamiento Puerta Cortina Nkr 54</v>
      </c>
      <c r="C5417" s="380" t="str">
        <f>IFERROR(__xludf.DUMMYFUNCTION("""COMPUTED_VALUE"""),"70000799")</f>
        <v>70000799</v>
      </c>
      <c r="D5417" s="380" t="s">
        <v>767</v>
      </c>
      <c r="E5417" s="380" t="s">
        <v>786</v>
      </c>
      <c r="F5417" s="380" t="s">
        <v>792</v>
      </c>
      <c r="G5417" s="380" t="s">
        <v>1267</v>
      </c>
      <c r="H5417" s="380" t="s">
        <v>771</v>
      </c>
      <c r="I5417" s="380" t="s">
        <v>788</v>
      </c>
      <c r="J5417" s="380" t="s">
        <v>773</v>
      </c>
      <c r="K5417" s="381">
        <v>0.0</v>
      </c>
      <c r="L5417" s="382">
        <v>1.0</v>
      </c>
    </row>
    <row r="5418">
      <c r="A5418" s="380" t="s">
        <v>6292</v>
      </c>
      <c r="B5418" s="380" t="str">
        <f>IFERROR(__xludf.DUMMYFUNCTION("""COMPUTED_VALUE"""),"Flasher Direcional Eagle 9400 1680870C1")</f>
        <v>Flasher Direcional Eagle 9400 1680870C1</v>
      </c>
      <c r="C5418" s="380" t="str">
        <f>IFERROR(__xludf.DUMMYFUNCTION("""COMPUTED_VALUE"""),"70000800")</f>
        <v>70000800</v>
      </c>
      <c r="D5418" s="380" t="s">
        <v>767</v>
      </c>
      <c r="E5418" s="380" t="s">
        <v>786</v>
      </c>
      <c r="F5418" s="380" t="s">
        <v>998</v>
      </c>
      <c r="G5418" s="380" t="s">
        <v>1267</v>
      </c>
      <c r="H5418" s="380" t="s">
        <v>771</v>
      </c>
      <c r="I5418" s="380" t="s">
        <v>788</v>
      </c>
      <c r="J5418" s="380" t="s">
        <v>773</v>
      </c>
      <c r="K5418" s="381">
        <v>0.0</v>
      </c>
      <c r="L5418" s="382">
        <v>1.0</v>
      </c>
    </row>
    <row r="5419">
      <c r="A5419" s="380" t="s">
        <v>6293</v>
      </c>
      <c r="B5419" s="380" t="str">
        <f>IFERROR(__xludf.DUMMYFUNCTION("""COMPUTED_VALUE"""),"Manguera Superi Radiador 1"" Hyundai H100")</f>
        <v>Manguera Superi Radiador 1" Hyundai H100</v>
      </c>
      <c r="C5419" s="380" t="str">
        <f>IFERROR(__xludf.DUMMYFUNCTION("""COMPUTED_VALUE"""),"70000801")</f>
        <v>70000801</v>
      </c>
      <c r="D5419" s="380" t="s">
        <v>767</v>
      </c>
      <c r="E5419" s="380" t="s">
        <v>786</v>
      </c>
      <c r="F5419" s="380" t="s">
        <v>787</v>
      </c>
      <c r="G5419" s="380" t="s">
        <v>1267</v>
      </c>
      <c r="H5419" s="380" t="s">
        <v>771</v>
      </c>
      <c r="I5419" s="380" t="s">
        <v>788</v>
      </c>
      <c r="J5419" s="380" t="s">
        <v>773</v>
      </c>
      <c r="K5419" s="381">
        <v>0.0</v>
      </c>
      <c r="L5419" s="382">
        <v>1.0</v>
      </c>
    </row>
    <row r="5420">
      <c r="A5420" s="380" t="s">
        <v>6294</v>
      </c>
      <c r="B5420" s="380" t="str">
        <f>IFERROR(__xludf.DUMMYFUNCTION("""COMPUTED_VALUE"""),"Switch Limpiaparabrisas Eagle 3534329C1")</f>
        <v>Switch Limpiaparabrisas Eagle 3534329C1</v>
      </c>
      <c r="C5420" s="380" t="str">
        <f>IFERROR(__xludf.DUMMYFUNCTION("""COMPUTED_VALUE"""),"70000802")</f>
        <v>70000802</v>
      </c>
      <c r="D5420" s="380" t="s">
        <v>767</v>
      </c>
      <c r="E5420" s="380" t="s">
        <v>786</v>
      </c>
      <c r="F5420" s="380" t="s">
        <v>998</v>
      </c>
      <c r="G5420" s="380" t="s">
        <v>1267</v>
      </c>
      <c r="H5420" s="380" t="s">
        <v>771</v>
      </c>
      <c r="I5420" s="380" t="s">
        <v>788</v>
      </c>
      <c r="J5420" s="380" t="s">
        <v>773</v>
      </c>
      <c r="K5420" s="381">
        <v>0.0</v>
      </c>
      <c r="L5420" s="382">
        <v>1.0</v>
      </c>
    </row>
    <row r="5421">
      <c r="A5421" s="380" t="s">
        <v>6295</v>
      </c>
      <c r="B5421" s="380" t="str">
        <f>IFERROR(__xludf.DUMMYFUNCTION("""COMPUTED_VALUE"""),"Sensor Posicion Ism Motor Isx 4921599")</f>
        <v>Sensor Posicion Ism Motor Isx 4921599</v>
      </c>
      <c r="C5421" s="380" t="str">
        <f>IFERROR(__xludf.DUMMYFUNCTION("""COMPUTED_VALUE"""),"70000803")</f>
        <v>70000803</v>
      </c>
      <c r="D5421" s="380" t="s">
        <v>767</v>
      </c>
      <c r="E5421" s="380" t="s">
        <v>786</v>
      </c>
      <c r="F5421" s="380" t="s">
        <v>998</v>
      </c>
      <c r="G5421" s="380" t="s">
        <v>1267</v>
      </c>
      <c r="H5421" s="380" t="s">
        <v>771</v>
      </c>
      <c r="I5421" s="380" t="s">
        <v>788</v>
      </c>
      <c r="J5421" s="380" t="s">
        <v>773</v>
      </c>
      <c r="K5421" s="381">
        <v>0.0</v>
      </c>
      <c r="L5421" s="382">
        <v>1.0</v>
      </c>
    </row>
    <row r="5422">
      <c r="A5422" s="380" t="s">
        <v>6296</v>
      </c>
      <c r="B5422" s="380" t="str">
        <f>IFERROR(__xludf.DUMMYFUNCTION("""COMPUTED_VALUE"""),"Tubo Bomba Inyeccion N-1 Nkr 8972239231")</f>
        <v>Tubo Bomba Inyeccion N-1 Nkr 8972239231</v>
      </c>
      <c r="C5422" s="380" t="str">
        <f>IFERROR(__xludf.DUMMYFUNCTION("""COMPUTED_VALUE"""),"70000804")</f>
        <v>70000804</v>
      </c>
      <c r="D5422" s="380" t="s">
        <v>767</v>
      </c>
      <c r="E5422" s="380" t="s">
        <v>786</v>
      </c>
      <c r="F5422" s="380" t="s">
        <v>787</v>
      </c>
      <c r="G5422" s="380" t="s">
        <v>1267</v>
      </c>
      <c r="H5422" s="380" t="s">
        <v>771</v>
      </c>
      <c r="I5422" s="380" t="s">
        <v>788</v>
      </c>
      <c r="J5422" s="380" t="s">
        <v>773</v>
      </c>
      <c r="K5422" s="381">
        <v>0.0</v>
      </c>
      <c r="L5422" s="382">
        <v>1.0</v>
      </c>
    </row>
    <row r="5423">
      <c r="A5423" s="380" t="s">
        <v>6297</v>
      </c>
      <c r="B5423" s="380" t="str">
        <f>IFERROR(__xludf.DUMMYFUNCTION("""COMPUTED_VALUE"""),"Hoja Resorte Trailer 2463/9")</f>
        <v>Hoja Resorte Trailer 2463/9</v>
      </c>
      <c r="C5423" s="380" t="str">
        <f>IFERROR(__xludf.DUMMYFUNCTION("""COMPUTED_VALUE"""),"70000805")</f>
        <v>70000805</v>
      </c>
      <c r="D5423" s="380" t="s">
        <v>767</v>
      </c>
      <c r="E5423" s="380" t="s">
        <v>786</v>
      </c>
      <c r="F5423" s="380" t="s">
        <v>1039</v>
      </c>
      <c r="G5423" s="380" t="s">
        <v>1267</v>
      </c>
      <c r="H5423" s="380" t="s">
        <v>771</v>
      </c>
      <c r="I5423" s="380" t="s">
        <v>788</v>
      </c>
      <c r="J5423" s="380" t="s">
        <v>773</v>
      </c>
      <c r="K5423" s="381">
        <v>0.0</v>
      </c>
      <c r="L5423" s="382">
        <v>1.0</v>
      </c>
    </row>
    <row r="5424">
      <c r="A5424" s="380" t="s">
        <v>6298</v>
      </c>
      <c r="B5424" s="380" t="str">
        <f>IFERROR(__xludf.DUMMYFUNCTION("""COMPUTED_VALUE"""),"Mang Entrada Bomba Dir Nkr 8971075241")</f>
        <v>Mang Entrada Bomba Dir Nkr 8971075241</v>
      </c>
      <c r="C5424" s="380" t="str">
        <f>IFERROR(__xludf.DUMMYFUNCTION("""COMPUTED_VALUE"""),"70000806")</f>
        <v>70000806</v>
      </c>
      <c r="D5424" s="380" t="s">
        <v>767</v>
      </c>
      <c r="E5424" s="380" t="s">
        <v>786</v>
      </c>
      <c r="F5424" s="380" t="s">
        <v>787</v>
      </c>
      <c r="G5424" s="380" t="s">
        <v>1267</v>
      </c>
      <c r="H5424" s="380" t="s">
        <v>771</v>
      </c>
      <c r="I5424" s="380" t="s">
        <v>788</v>
      </c>
      <c r="J5424" s="380" t="s">
        <v>773</v>
      </c>
      <c r="K5424" s="381">
        <v>0.0</v>
      </c>
      <c r="L5424" s="382">
        <v>1.0</v>
      </c>
    </row>
    <row r="5425">
      <c r="A5425" s="380" t="s">
        <v>6299</v>
      </c>
      <c r="B5425" s="380" t="str">
        <f>IFERROR(__xludf.DUMMYFUNCTION("""COMPUTED_VALUE"""),"Hoja Resorte Trailer 2463/4")</f>
        <v>Hoja Resorte Trailer 2463/4</v>
      </c>
      <c r="C5425" s="380" t="str">
        <f>IFERROR(__xludf.DUMMYFUNCTION("""COMPUTED_VALUE"""),"70000807")</f>
        <v>70000807</v>
      </c>
      <c r="D5425" s="380" t="s">
        <v>767</v>
      </c>
      <c r="E5425" s="380" t="s">
        <v>786</v>
      </c>
      <c r="F5425" s="380" t="s">
        <v>1039</v>
      </c>
      <c r="G5425" s="380" t="s">
        <v>1267</v>
      </c>
      <c r="H5425" s="380" t="s">
        <v>771</v>
      </c>
      <c r="I5425" s="380" t="s">
        <v>788</v>
      </c>
      <c r="J5425" s="380" t="s">
        <v>773</v>
      </c>
      <c r="K5425" s="381">
        <v>0.0</v>
      </c>
      <c r="L5425" s="382">
        <v>1.0</v>
      </c>
    </row>
    <row r="5426">
      <c r="A5426" s="380" t="s">
        <v>6300</v>
      </c>
      <c r="B5426" s="380" t="str">
        <f>IFERROR(__xludf.DUMMYFUNCTION("""COMPUTED_VALUE"""),"Barra Transversal Tensora Eag 3581270C1")</f>
        <v>Barra Transversal Tensora Eag 3581270C1</v>
      </c>
      <c r="C5426" s="380" t="str">
        <f>IFERROR(__xludf.DUMMYFUNCTION("""COMPUTED_VALUE"""),"70000808")</f>
        <v>70000808</v>
      </c>
      <c r="D5426" s="380" t="s">
        <v>767</v>
      </c>
      <c r="E5426" s="380" t="s">
        <v>786</v>
      </c>
      <c r="F5426" s="380" t="s">
        <v>1039</v>
      </c>
      <c r="G5426" s="380" t="s">
        <v>1267</v>
      </c>
      <c r="H5426" s="380" t="s">
        <v>771</v>
      </c>
      <c r="I5426" s="380" t="s">
        <v>788</v>
      </c>
      <c r="J5426" s="380" t="s">
        <v>773</v>
      </c>
      <c r="K5426" s="381">
        <v>896713.0</v>
      </c>
      <c r="L5426" s="382">
        <v>1.0</v>
      </c>
    </row>
    <row r="5427">
      <c r="A5427" s="380" t="s">
        <v>6301</v>
      </c>
      <c r="B5427" s="380" t="str">
        <f>IFERROR(__xludf.DUMMYFUNCTION("""COMPUTED_VALUE"""),"Tubo Telesco Amorti SuzkAx100-51511H2345")</f>
        <v>Tubo Telesco Amorti SuzkAx100-51511H2345</v>
      </c>
      <c r="C5427" s="380" t="str">
        <f>IFERROR(__xludf.DUMMYFUNCTION("""COMPUTED_VALUE"""),"70000809")</f>
        <v>70000809</v>
      </c>
      <c r="D5427" s="380" t="s">
        <v>767</v>
      </c>
      <c r="E5427" s="380" t="s">
        <v>786</v>
      </c>
      <c r="F5427" s="380" t="s">
        <v>1039</v>
      </c>
      <c r="G5427" s="380" t="s">
        <v>1267</v>
      </c>
      <c r="H5427" s="380" t="s">
        <v>771</v>
      </c>
      <c r="I5427" s="380" t="s">
        <v>788</v>
      </c>
      <c r="J5427" s="380" t="s">
        <v>773</v>
      </c>
      <c r="K5427" s="381">
        <v>0.0</v>
      </c>
      <c r="L5427" s="382">
        <v>1.0</v>
      </c>
    </row>
    <row r="5428">
      <c r="A5428" s="380" t="s">
        <v>6302</v>
      </c>
      <c r="B5428" s="380" t="str">
        <f>IFERROR(__xludf.DUMMYFUNCTION("""COMPUTED_VALUE"""),"Hoja Resorte Trailer 2463/5")</f>
        <v>Hoja Resorte Trailer 2463/5</v>
      </c>
      <c r="C5428" s="380" t="str">
        <f>IFERROR(__xludf.DUMMYFUNCTION("""COMPUTED_VALUE"""),"70000810")</f>
        <v>70000810</v>
      </c>
      <c r="D5428" s="380" t="s">
        <v>767</v>
      </c>
      <c r="E5428" s="380" t="s">
        <v>786</v>
      </c>
      <c r="F5428" s="380" t="s">
        <v>1039</v>
      </c>
      <c r="G5428" s="380" t="s">
        <v>1267</v>
      </c>
      <c r="H5428" s="380" t="s">
        <v>771</v>
      </c>
      <c r="I5428" s="380" t="s">
        <v>788</v>
      </c>
      <c r="J5428" s="380" t="s">
        <v>773</v>
      </c>
      <c r="K5428" s="381">
        <v>0.0</v>
      </c>
      <c r="L5428" s="382">
        <v>1.0</v>
      </c>
    </row>
    <row r="5429">
      <c r="A5429" s="380" t="s">
        <v>6303</v>
      </c>
      <c r="B5429" s="380" t="str">
        <f>IFERROR(__xludf.DUMMYFUNCTION("""COMPUTED_VALUE"""),"Tapon Carter Npr")</f>
        <v>Tapon Carter Npr</v>
      </c>
      <c r="C5429" s="380" t="str">
        <f>IFERROR(__xludf.DUMMYFUNCTION("""COMPUTED_VALUE"""),"70000811")</f>
        <v>70000811</v>
      </c>
      <c r="D5429" s="380" t="s">
        <v>767</v>
      </c>
      <c r="E5429" s="380" t="s">
        <v>786</v>
      </c>
      <c r="F5429" s="380" t="s">
        <v>787</v>
      </c>
      <c r="G5429" s="380" t="s">
        <v>1267</v>
      </c>
      <c r="H5429" s="380" t="s">
        <v>771</v>
      </c>
      <c r="I5429" s="380" t="s">
        <v>788</v>
      </c>
      <c r="J5429" s="380" t="s">
        <v>773</v>
      </c>
      <c r="K5429" s="381">
        <v>0.0</v>
      </c>
      <c r="L5429" s="382">
        <v>1.0</v>
      </c>
    </row>
    <row r="5430">
      <c r="A5430" s="380" t="s">
        <v>6304</v>
      </c>
      <c r="B5430" s="380" t="str">
        <f>IFERROR(__xludf.DUMMYFUNCTION("""COMPUTED_VALUE"""),"Harnes Sensor Temp Difere Isx 3539065C92")</f>
        <v>Harnes Sensor Temp Difere Isx 3539065C92</v>
      </c>
      <c r="C5430" s="380" t="str">
        <f>IFERROR(__xludf.DUMMYFUNCTION("""COMPUTED_VALUE"""),"70000812")</f>
        <v>70000812</v>
      </c>
      <c r="D5430" s="380" t="s">
        <v>767</v>
      </c>
      <c r="E5430" s="380" t="s">
        <v>786</v>
      </c>
      <c r="F5430" s="380" t="s">
        <v>5683</v>
      </c>
      <c r="G5430" s="380" t="s">
        <v>1267</v>
      </c>
      <c r="H5430" s="380" t="s">
        <v>771</v>
      </c>
      <c r="I5430" s="380" t="s">
        <v>788</v>
      </c>
      <c r="J5430" s="380" t="s">
        <v>773</v>
      </c>
      <c r="K5430" s="381">
        <v>138485.0</v>
      </c>
      <c r="L5430" s="382">
        <v>1.0</v>
      </c>
    </row>
    <row r="5431">
      <c r="A5431" s="380" t="s">
        <v>6305</v>
      </c>
      <c r="B5431" s="380" t="str">
        <f>IFERROR(__xludf.DUMMYFUNCTION("""COMPUTED_VALUE"""),"Toberas Inyector Sin Turbo Nhr 897109671")</f>
        <v>Toberas Inyector Sin Turbo Nhr 897109671</v>
      </c>
      <c r="C5431" s="380" t="str">
        <f>IFERROR(__xludf.DUMMYFUNCTION("""COMPUTED_VALUE"""),"70000813")</f>
        <v>70000813</v>
      </c>
      <c r="D5431" s="380" t="s">
        <v>767</v>
      </c>
      <c r="E5431" s="380" t="s">
        <v>786</v>
      </c>
      <c r="F5431" s="380" t="s">
        <v>787</v>
      </c>
      <c r="G5431" s="380" t="s">
        <v>1267</v>
      </c>
      <c r="H5431" s="380" t="s">
        <v>771</v>
      </c>
      <c r="I5431" s="380" t="s">
        <v>788</v>
      </c>
      <c r="J5431" s="380" t="s">
        <v>773</v>
      </c>
      <c r="K5431" s="381">
        <v>0.0</v>
      </c>
      <c r="L5431" s="382">
        <v>1.0</v>
      </c>
    </row>
    <row r="5432">
      <c r="A5432" s="380" t="s">
        <v>6306</v>
      </c>
      <c r="B5432" s="380" t="str">
        <f>IFERROR(__xludf.DUMMYFUNCTION("""COMPUTED_VALUE"""),"Kit Arrastre Moto Suzuki Dr650")</f>
        <v>Kit Arrastre Moto Suzuki Dr650</v>
      </c>
      <c r="C5432" s="380" t="str">
        <f>IFERROR(__xludf.DUMMYFUNCTION("""COMPUTED_VALUE"""),"70000814")</f>
        <v>70000814</v>
      </c>
      <c r="D5432" s="380" t="s">
        <v>767</v>
      </c>
      <c r="E5432" s="380" t="s">
        <v>786</v>
      </c>
      <c r="F5432" s="380" t="s">
        <v>5683</v>
      </c>
      <c r="G5432" s="380" t="s">
        <v>1267</v>
      </c>
      <c r="H5432" s="380" t="s">
        <v>771</v>
      </c>
      <c r="I5432" s="380" t="s">
        <v>788</v>
      </c>
      <c r="J5432" s="380" t="s">
        <v>773</v>
      </c>
      <c r="K5432" s="381">
        <v>0.0</v>
      </c>
      <c r="L5432" s="382">
        <v>1.0</v>
      </c>
    </row>
    <row r="5433">
      <c r="A5433" s="380" t="s">
        <v>6307</v>
      </c>
      <c r="B5433" s="380" t="str">
        <f>IFERROR(__xludf.DUMMYFUNCTION("""COMPUTED_VALUE"""),"Hoja Resorte Trailer 2463/6")</f>
        <v>Hoja Resorte Trailer 2463/6</v>
      </c>
      <c r="C5433" s="380" t="str">
        <f>IFERROR(__xludf.DUMMYFUNCTION("""COMPUTED_VALUE"""),"70000815")</f>
        <v>70000815</v>
      </c>
      <c r="D5433" s="380" t="s">
        <v>767</v>
      </c>
      <c r="E5433" s="380" t="s">
        <v>786</v>
      </c>
      <c r="F5433" s="380" t="s">
        <v>1039</v>
      </c>
      <c r="G5433" s="380" t="s">
        <v>1267</v>
      </c>
      <c r="H5433" s="380" t="s">
        <v>771</v>
      </c>
      <c r="I5433" s="380" t="s">
        <v>788</v>
      </c>
      <c r="J5433" s="380" t="s">
        <v>773</v>
      </c>
      <c r="K5433" s="381">
        <v>0.0</v>
      </c>
      <c r="L5433" s="382">
        <v>1.0</v>
      </c>
    </row>
    <row r="5434">
      <c r="A5434" s="380" t="s">
        <v>6308</v>
      </c>
      <c r="B5434" s="380" t="str">
        <f>IFERROR(__xludf.DUMMYFUNCTION("""COMPUTED_VALUE"""),"Tornillo Volante Motor Nkr 8970659841")</f>
        <v>Tornillo Volante Motor Nkr 8970659841</v>
      </c>
      <c r="C5434" s="380" t="str">
        <f>IFERROR(__xludf.DUMMYFUNCTION("""COMPUTED_VALUE"""),"70000816")</f>
        <v>70000816</v>
      </c>
      <c r="D5434" s="380" t="s">
        <v>767</v>
      </c>
      <c r="E5434" s="380" t="s">
        <v>786</v>
      </c>
      <c r="F5434" s="380" t="s">
        <v>787</v>
      </c>
      <c r="G5434" s="380" t="s">
        <v>1267</v>
      </c>
      <c r="H5434" s="380" t="s">
        <v>771</v>
      </c>
      <c r="I5434" s="380" t="s">
        <v>788</v>
      </c>
      <c r="J5434" s="380" t="s">
        <v>773</v>
      </c>
      <c r="K5434" s="381">
        <v>0.0</v>
      </c>
      <c r="L5434" s="382">
        <v>1.0</v>
      </c>
    </row>
    <row r="5435">
      <c r="A5435" s="380" t="s">
        <v>6309</v>
      </c>
      <c r="B5435" s="380" t="str">
        <f>IFERROR(__xludf.DUMMYFUNCTION("""COMPUTED_VALUE"""),"Juego Pastas Freno N200 19245629")</f>
        <v>Juego Pastas Freno N200 19245629</v>
      </c>
      <c r="C5435" s="380" t="str">
        <f>IFERROR(__xludf.DUMMYFUNCTION("""COMPUTED_VALUE"""),"70000817")</f>
        <v>70000817</v>
      </c>
      <c r="D5435" s="380" t="s">
        <v>767</v>
      </c>
      <c r="E5435" s="380" t="s">
        <v>786</v>
      </c>
      <c r="F5435" s="380" t="s">
        <v>1017</v>
      </c>
      <c r="G5435" s="380" t="s">
        <v>1267</v>
      </c>
      <c r="H5435" s="380" t="s">
        <v>771</v>
      </c>
      <c r="I5435" s="380" t="s">
        <v>788</v>
      </c>
      <c r="J5435" s="380" t="s">
        <v>773</v>
      </c>
      <c r="K5435" s="381">
        <v>0.0</v>
      </c>
      <c r="L5435" s="382">
        <v>1.0</v>
      </c>
    </row>
    <row r="5436">
      <c r="A5436" s="380" t="s">
        <v>6310</v>
      </c>
      <c r="B5436" s="380" t="str">
        <f>IFERROR(__xludf.DUMMYFUNCTION("""COMPUTED_VALUE"""),"Resorte Freno Del Eagle Isx 2258Y1273")</f>
        <v>Resorte Freno Del Eagle Isx 2258Y1273</v>
      </c>
      <c r="C5436" s="380" t="str">
        <f>IFERROR(__xludf.DUMMYFUNCTION("""COMPUTED_VALUE"""),"70000818")</f>
        <v>70000818</v>
      </c>
      <c r="D5436" s="380" t="s">
        <v>767</v>
      </c>
      <c r="E5436" s="380" t="s">
        <v>786</v>
      </c>
      <c r="F5436" s="380" t="s">
        <v>1017</v>
      </c>
      <c r="G5436" s="380" t="s">
        <v>1267</v>
      </c>
      <c r="H5436" s="380" t="s">
        <v>771</v>
      </c>
      <c r="I5436" s="380" t="s">
        <v>788</v>
      </c>
      <c r="J5436" s="380" t="s">
        <v>773</v>
      </c>
      <c r="K5436" s="381">
        <v>15708.0</v>
      </c>
      <c r="L5436" s="382">
        <v>1.0</v>
      </c>
    </row>
    <row r="5437">
      <c r="A5437" s="380" t="s">
        <v>6311</v>
      </c>
      <c r="B5437" s="380" t="str">
        <f>IFERROR(__xludf.DUMMYFUNCTION("""COMPUTED_VALUE"""),"Enfriador Aceite Motor Isx 2508699C91")</f>
        <v>Enfriador Aceite Motor Isx 2508699C91</v>
      </c>
      <c r="C5437" s="380" t="str">
        <f>IFERROR(__xludf.DUMMYFUNCTION("""COMPUTED_VALUE"""),"70000819")</f>
        <v>70000819</v>
      </c>
      <c r="D5437" s="380" t="s">
        <v>767</v>
      </c>
      <c r="E5437" s="380" t="s">
        <v>786</v>
      </c>
      <c r="F5437" s="380" t="s">
        <v>787</v>
      </c>
      <c r="G5437" s="380" t="s">
        <v>1267</v>
      </c>
      <c r="H5437" s="380" t="s">
        <v>771</v>
      </c>
      <c r="I5437" s="380" t="s">
        <v>788</v>
      </c>
      <c r="J5437" s="380" t="s">
        <v>773</v>
      </c>
      <c r="K5437" s="381">
        <v>0.0</v>
      </c>
      <c r="L5437" s="382">
        <v>1.0</v>
      </c>
    </row>
    <row r="5438">
      <c r="A5438" s="380" t="s">
        <v>6312</v>
      </c>
      <c r="B5438" s="380" t="str">
        <f>IFERROR(__xludf.DUMMYFUNCTION("""COMPUTED_VALUE"""),"Cubierta Direccion T Delta 4528787313")</f>
        <v>Cubierta Direccion T Delta 4528787313</v>
      </c>
      <c r="C5438" s="380" t="str">
        <f>IFERROR(__xludf.DUMMYFUNCTION("""COMPUTED_VALUE"""),"70000820")</f>
        <v>70000820</v>
      </c>
      <c r="D5438" s="380" t="s">
        <v>767</v>
      </c>
      <c r="E5438" s="380" t="s">
        <v>786</v>
      </c>
      <c r="F5438" s="380" t="s">
        <v>1020</v>
      </c>
      <c r="G5438" s="380" t="s">
        <v>1267</v>
      </c>
      <c r="H5438" s="380" t="s">
        <v>771</v>
      </c>
      <c r="I5438" s="380" t="s">
        <v>788</v>
      </c>
      <c r="J5438" s="380" t="s">
        <v>773</v>
      </c>
      <c r="K5438" s="381">
        <v>0.0</v>
      </c>
      <c r="L5438" s="382">
        <v>1.0</v>
      </c>
    </row>
    <row r="5439">
      <c r="A5439" s="380" t="s">
        <v>6313</v>
      </c>
      <c r="B5439" s="380" t="str">
        <f>IFERROR(__xludf.DUMMYFUNCTION("""COMPUTED_VALUE"""),"Muelle Delantero KW T-800 59400")</f>
        <v>Muelle Delantero KW T-800 59400</v>
      </c>
      <c r="C5439" s="380" t="str">
        <f>IFERROR(__xludf.DUMMYFUNCTION("""COMPUTED_VALUE"""),"70000821")</f>
        <v>70000821</v>
      </c>
      <c r="D5439" s="380" t="s">
        <v>767</v>
      </c>
      <c r="E5439" s="380" t="s">
        <v>786</v>
      </c>
      <c r="F5439" s="380" t="s">
        <v>1039</v>
      </c>
      <c r="G5439" s="380" t="s">
        <v>1267</v>
      </c>
      <c r="H5439" s="380" t="s">
        <v>771</v>
      </c>
      <c r="I5439" s="380" t="s">
        <v>788</v>
      </c>
      <c r="J5439" s="380" t="s">
        <v>773</v>
      </c>
      <c r="K5439" s="381">
        <v>3032825.0</v>
      </c>
      <c r="L5439" s="382">
        <v>1.0</v>
      </c>
    </row>
    <row r="5440">
      <c r="A5440" s="380" t="s">
        <v>6314</v>
      </c>
      <c r="B5440" s="380" t="str">
        <f>IFERROR(__xludf.DUMMYFUNCTION("""COMPUTED_VALUE"""),"Racor En T Sistema Freno Eag 3520923C1")</f>
        <v>Racor En T Sistema Freno Eag 3520923C1</v>
      </c>
      <c r="C5440" s="380" t="str">
        <f>IFERROR(__xludf.DUMMYFUNCTION("""COMPUTED_VALUE"""),"70000822")</f>
        <v>70000822</v>
      </c>
      <c r="D5440" s="380" t="s">
        <v>767</v>
      </c>
      <c r="E5440" s="380" t="s">
        <v>786</v>
      </c>
      <c r="F5440" s="380" t="s">
        <v>787</v>
      </c>
      <c r="G5440" s="380" t="s">
        <v>1267</v>
      </c>
      <c r="H5440" s="380" t="s">
        <v>771</v>
      </c>
      <c r="I5440" s="380" t="s">
        <v>788</v>
      </c>
      <c r="J5440" s="380" t="s">
        <v>773</v>
      </c>
      <c r="K5440" s="381">
        <v>115763.0</v>
      </c>
      <c r="L5440" s="382">
        <v>1.0</v>
      </c>
    </row>
    <row r="5441">
      <c r="A5441" s="380" t="s">
        <v>6315</v>
      </c>
      <c r="B5441" s="380" t="str">
        <f>IFERROR(__xludf.DUMMYFUNCTION("""COMPUTED_VALUE"""),"Sello Manguera Cabina Eag 3/4 3543882C1")</f>
        <v>Sello Manguera Cabina Eag 3/4 3543882C1</v>
      </c>
      <c r="C5441" s="380" t="str">
        <f>IFERROR(__xludf.DUMMYFUNCTION("""COMPUTED_VALUE"""),"70000823")</f>
        <v>70000823</v>
      </c>
      <c r="D5441" s="380" t="s">
        <v>767</v>
      </c>
      <c r="E5441" s="380" t="s">
        <v>786</v>
      </c>
      <c r="F5441" s="380" t="s">
        <v>792</v>
      </c>
      <c r="G5441" s="380" t="s">
        <v>1267</v>
      </c>
      <c r="H5441" s="380" t="s">
        <v>771</v>
      </c>
      <c r="I5441" s="380" t="s">
        <v>788</v>
      </c>
      <c r="J5441" s="380" t="s">
        <v>773</v>
      </c>
      <c r="K5441" s="381">
        <v>0.0</v>
      </c>
      <c r="L5441" s="382">
        <v>1.0</v>
      </c>
    </row>
    <row r="5442">
      <c r="A5442" s="380" t="s">
        <v>6316</v>
      </c>
      <c r="B5442" s="380" t="str">
        <f>IFERROR(__xludf.DUMMYFUNCTION("""COMPUTED_VALUE"""),"Hoja Resorte Ppal Trailer 2463/1")</f>
        <v>Hoja Resorte Ppal Trailer 2463/1</v>
      </c>
      <c r="C5442" s="380" t="str">
        <f>IFERROR(__xludf.DUMMYFUNCTION("""COMPUTED_VALUE"""),"70000824")</f>
        <v>70000824</v>
      </c>
      <c r="D5442" s="380" t="s">
        <v>767</v>
      </c>
      <c r="E5442" s="380" t="s">
        <v>786</v>
      </c>
      <c r="F5442" s="380" t="s">
        <v>1039</v>
      </c>
      <c r="G5442" s="380" t="s">
        <v>1267</v>
      </c>
      <c r="H5442" s="380" t="s">
        <v>771</v>
      </c>
      <c r="I5442" s="380" t="s">
        <v>788</v>
      </c>
      <c r="J5442" s="380" t="s">
        <v>773</v>
      </c>
      <c r="K5442" s="381">
        <v>264488.0</v>
      </c>
      <c r="L5442" s="382">
        <v>1.0</v>
      </c>
    </row>
    <row r="5443">
      <c r="A5443" s="380" t="s">
        <v>6317</v>
      </c>
      <c r="B5443" s="380" t="str">
        <f>IFERROR(__xludf.DUMMYFUNCTION("""COMPUTED_VALUE"""),"Tubo Inferior Radiadior Eag Isx3605235C1")</f>
        <v>Tubo Inferior Radiadior Eag Isx3605235C1</v>
      </c>
      <c r="C5443" s="380" t="str">
        <f>IFERROR(__xludf.DUMMYFUNCTION("""COMPUTED_VALUE"""),"70000825")</f>
        <v>70000825</v>
      </c>
      <c r="D5443" s="380" t="s">
        <v>767</v>
      </c>
      <c r="E5443" s="380" t="s">
        <v>786</v>
      </c>
      <c r="F5443" s="380" t="s">
        <v>792</v>
      </c>
      <c r="G5443" s="380" t="s">
        <v>1267</v>
      </c>
      <c r="H5443" s="380" t="s">
        <v>771</v>
      </c>
      <c r="I5443" s="380" t="s">
        <v>788</v>
      </c>
      <c r="J5443" s="380" t="s">
        <v>773</v>
      </c>
      <c r="K5443" s="381">
        <v>0.0</v>
      </c>
      <c r="L5443" s="382">
        <v>1.0</v>
      </c>
    </row>
    <row r="5444">
      <c r="A5444" s="380" t="s">
        <v>6318</v>
      </c>
      <c r="B5444" s="380" t="str">
        <f>IFERROR(__xludf.DUMMYFUNCTION("""COMPUTED_VALUE"""),"Abrazadera Manguera Eagle Isx 3519061C1")</f>
        <v>Abrazadera Manguera Eagle Isx 3519061C1</v>
      </c>
      <c r="C5444" s="380" t="str">
        <f>IFERROR(__xludf.DUMMYFUNCTION("""COMPUTED_VALUE"""),"70000826")</f>
        <v>70000826</v>
      </c>
      <c r="D5444" s="380" t="s">
        <v>767</v>
      </c>
      <c r="E5444" s="380" t="s">
        <v>786</v>
      </c>
      <c r="F5444" s="380" t="s">
        <v>792</v>
      </c>
      <c r="G5444" s="380" t="s">
        <v>1267</v>
      </c>
      <c r="H5444" s="380" t="s">
        <v>771</v>
      </c>
      <c r="I5444" s="380" t="s">
        <v>788</v>
      </c>
      <c r="J5444" s="380" t="s">
        <v>773</v>
      </c>
      <c r="K5444" s="381">
        <v>0.0</v>
      </c>
      <c r="L5444" s="382">
        <v>1.0</v>
      </c>
    </row>
    <row r="5445">
      <c r="A5445" s="380" t="s">
        <v>6319</v>
      </c>
      <c r="B5445" s="380" t="str">
        <f>IFERROR(__xludf.DUMMYFUNCTION("""COMPUTED_VALUE"""),"Acople Recto Mang ACPM 5/8"" Eag 559214C2")</f>
        <v>Acople Recto Mang ACPM 5/8" Eag 559214C2</v>
      </c>
      <c r="C5445" s="380" t="str">
        <f>IFERROR(__xludf.DUMMYFUNCTION("""COMPUTED_VALUE"""),"70000827")</f>
        <v>70000827</v>
      </c>
      <c r="D5445" s="380" t="s">
        <v>767</v>
      </c>
      <c r="E5445" s="380" t="s">
        <v>786</v>
      </c>
      <c r="F5445" s="380" t="s">
        <v>787</v>
      </c>
      <c r="G5445" s="380" t="s">
        <v>1267</v>
      </c>
      <c r="H5445" s="380" t="s">
        <v>771</v>
      </c>
      <c r="I5445" s="380" t="s">
        <v>788</v>
      </c>
      <c r="J5445" s="380" t="s">
        <v>773</v>
      </c>
      <c r="K5445" s="381">
        <v>107738.0</v>
      </c>
      <c r="L5445" s="382">
        <v>1.0</v>
      </c>
    </row>
    <row r="5446">
      <c r="A5446" s="380" t="s">
        <v>6320</v>
      </c>
      <c r="B5446" s="380" t="str">
        <f>IFERROR(__xludf.DUMMYFUNCTION("""COMPUTED_VALUE"""),"Bisagras Capo Eagle Isx 3555176C3")</f>
        <v>Bisagras Capo Eagle Isx 3555176C3</v>
      </c>
      <c r="C5446" s="380" t="str">
        <f>IFERROR(__xludf.DUMMYFUNCTION("""COMPUTED_VALUE"""),"70000828")</f>
        <v>70000828</v>
      </c>
      <c r="D5446" s="380" t="s">
        <v>767</v>
      </c>
      <c r="E5446" s="380" t="s">
        <v>786</v>
      </c>
      <c r="F5446" s="380" t="s">
        <v>792</v>
      </c>
      <c r="G5446" s="380" t="s">
        <v>1267</v>
      </c>
      <c r="H5446" s="380" t="s">
        <v>771</v>
      </c>
      <c r="I5446" s="380" t="s">
        <v>788</v>
      </c>
      <c r="J5446" s="380" t="s">
        <v>773</v>
      </c>
      <c r="K5446" s="381">
        <v>0.0</v>
      </c>
      <c r="L5446" s="382">
        <v>1.0</v>
      </c>
    </row>
    <row r="5447">
      <c r="A5447" s="380" t="s">
        <v>6321</v>
      </c>
      <c r="B5447" s="380" t="str">
        <f>IFERROR(__xludf.DUMMYFUNCTION("""COMPUTED_VALUE"""),"Empaque Caja Termostatica Eag 3684336")</f>
        <v>Empaque Caja Termostatica Eag 3684336</v>
      </c>
      <c r="C5447" s="380" t="str">
        <f>IFERROR(__xludf.DUMMYFUNCTION("""COMPUTED_VALUE"""),"70000829")</f>
        <v>70000829</v>
      </c>
      <c r="D5447" s="380" t="s">
        <v>767</v>
      </c>
      <c r="E5447" s="380" t="s">
        <v>786</v>
      </c>
      <c r="F5447" s="380" t="s">
        <v>787</v>
      </c>
      <c r="G5447" s="380" t="s">
        <v>1267</v>
      </c>
      <c r="H5447" s="380" t="s">
        <v>771</v>
      </c>
      <c r="I5447" s="380" t="s">
        <v>788</v>
      </c>
      <c r="J5447" s="380" t="s">
        <v>773</v>
      </c>
      <c r="K5447" s="381">
        <v>0.0</v>
      </c>
      <c r="L5447" s="382">
        <v>1.0</v>
      </c>
    </row>
    <row r="5448">
      <c r="A5448" s="380" t="s">
        <v>6322</v>
      </c>
      <c r="B5448" s="380" t="str">
        <f>IFERROR(__xludf.DUMMYFUNCTION("""COMPUTED_VALUE"""),"Empaque Caja Termostatica Eag 3682673")</f>
        <v>Empaque Caja Termostatica Eag 3682673</v>
      </c>
      <c r="C5448" s="380" t="str">
        <f>IFERROR(__xludf.DUMMYFUNCTION("""COMPUTED_VALUE"""),"70000830")</f>
        <v>70000830</v>
      </c>
      <c r="D5448" s="380" t="s">
        <v>767</v>
      </c>
      <c r="E5448" s="380" t="s">
        <v>786</v>
      </c>
      <c r="F5448" s="380" t="s">
        <v>787</v>
      </c>
      <c r="G5448" s="380" t="s">
        <v>1267</v>
      </c>
      <c r="H5448" s="380" t="s">
        <v>771</v>
      </c>
      <c r="I5448" s="380" t="s">
        <v>788</v>
      </c>
      <c r="J5448" s="380" t="s">
        <v>773</v>
      </c>
      <c r="K5448" s="381">
        <v>0.0</v>
      </c>
      <c r="L5448" s="382">
        <v>1.0</v>
      </c>
    </row>
    <row r="5449">
      <c r="A5449" s="380" t="s">
        <v>6323</v>
      </c>
      <c r="B5449" s="380" t="str">
        <f>IFERROR(__xludf.DUMMYFUNCTION("""COMPUTED_VALUE"""),"Mang Radiador Eagle Isx 2 1/2 GY57240")</f>
        <v>Mang Radiador Eagle Isx 2 1/2 GY57240</v>
      </c>
      <c r="C5449" s="380" t="str">
        <f>IFERROR(__xludf.DUMMYFUNCTION("""COMPUTED_VALUE"""),"70000831")</f>
        <v>70000831</v>
      </c>
      <c r="D5449" s="380" t="s">
        <v>767</v>
      </c>
      <c r="E5449" s="380" t="s">
        <v>786</v>
      </c>
      <c r="F5449" s="380" t="s">
        <v>787</v>
      </c>
      <c r="G5449" s="380" t="s">
        <v>1267</v>
      </c>
      <c r="H5449" s="380" t="s">
        <v>771</v>
      </c>
      <c r="I5449" s="380" t="s">
        <v>788</v>
      </c>
      <c r="J5449" s="380" t="s">
        <v>773</v>
      </c>
      <c r="K5449" s="381">
        <v>0.0</v>
      </c>
      <c r="L5449" s="382">
        <v>1.0</v>
      </c>
    </row>
    <row r="5450">
      <c r="A5450" s="380" t="s">
        <v>6324</v>
      </c>
      <c r="B5450" s="380" t="str">
        <f>IFERROR(__xludf.DUMMYFUNCTION("""COMPUTED_VALUE"""),"Hoja Resorte Tercera Trailer 2463/3")</f>
        <v>Hoja Resorte Tercera Trailer 2463/3</v>
      </c>
      <c r="C5450" s="380" t="str">
        <f>IFERROR(__xludf.DUMMYFUNCTION("""COMPUTED_VALUE"""),"70000832")</f>
        <v>70000832</v>
      </c>
      <c r="D5450" s="380" t="s">
        <v>767</v>
      </c>
      <c r="E5450" s="380" t="s">
        <v>786</v>
      </c>
      <c r="F5450" s="380" t="s">
        <v>1039</v>
      </c>
      <c r="G5450" s="380" t="s">
        <v>1267</v>
      </c>
      <c r="H5450" s="380" t="s">
        <v>771</v>
      </c>
      <c r="I5450" s="380" t="s">
        <v>788</v>
      </c>
      <c r="J5450" s="380" t="s">
        <v>773</v>
      </c>
      <c r="K5450" s="381">
        <v>211820.0</v>
      </c>
      <c r="L5450" s="382">
        <v>1.0</v>
      </c>
    </row>
    <row r="5451">
      <c r="A5451" s="380" t="s">
        <v>6325</v>
      </c>
      <c r="B5451" s="380" t="str">
        <f>IFERROR(__xludf.DUMMYFUNCTION("""COMPUTED_VALUE"""),"Motor Deposito Agua Limpiabrisas KW")</f>
        <v>Motor Deposito Agua Limpiabrisas KW</v>
      </c>
      <c r="C5451" s="380" t="str">
        <f>IFERROR(__xludf.DUMMYFUNCTION("""COMPUTED_VALUE"""),"70000833")</f>
        <v>70000833</v>
      </c>
      <c r="D5451" s="380" t="s">
        <v>767</v>
      </c>
      <c r="E5451" s="380" t="s">
        <v>786</v>
      </c>
      <c r="F5451" s="380" t="s">
        <v>998</v>
      </c>
      <c r="G5451" s="380" t="s">
        <v>1267</v>
      </c>
      <c r="H5451" s="380" t="s">
        <v>771</v>
      </c>
      <c r="I5451" s="380" t="s">
        <v>788</v>
      </c>
      <c r="J5451" s="380" t="s">
        <v>773</v>
      </c>
      <c r="K5451" s="381">
        <v>0.0</v>
      </c>
      <c r="L5451" s="382">
        <v>1.0</v>
      </c>
    </row>
    <row r="5452">
      <c r="A5452" s="380" t="s">
        <v>6326</v>
      </c>
      <c r="B5452" s="380" t="str">
        <f>IFERROR(__xludf.DUMMYFUNCTION("""COMPUTED_VALUE"""),"Modulo Control Ecm Motor Isx 3408501RX")</f>
        <v>Modulo Control Ecm Motor Isx 3408501RX</v>
      </c>
      <c r="C5452" s="380" t="str">
        <f>IFERROR(__xludf.DUMMYFUNCTION("""COMPUTED_VALUE"""),"70000834")</f>
        <v>70000834</v>
      </c>
      <c r="D5452" s="380" t="s">
        <v>767</v>
      </c>
      <c r="E5452" s="380" t="s">
        <v>786</v>
      </c>
      <c r="F5452" s="380" t="s">
        <v>787</v>
      </c>
      <c r="G5452" s="380" t="s">
        <v>1267</v>
      </c>
      <c r="H5452" s="380" t="s">
        <v>771</v>
      </c>
      <c r="I5452" s="380" t="s">
        <v>788</v>
      </c>
      <c r="J5452" s="380" t="s">
        <v>773</v>
      </c>
      <c r="K5452" s="381">
        <v>0.0</v>
      </c>
      <c r="L5452" s="382">
        <v>1.0</v>
      </c>
    </row>
    <row r="5453">
      <c r="A5453" s="380" t="s">
        <v>6327</v>
      </c>
      <c r="B5453" s="380" t="str">
        <f>IFERROR(__xludf.DUMMYFUNCTION("""COMPUTED_VALUE"""),"Manguera Compresor Dt408 Hi466 1821023C1")</f>
        <v>Manguera Compresor Dt408 Hi466 1821023C1</v>
      </c>
      <c r="C5453" s="380" t="str">
        <f>IFERROR(__xludf.DUMMYFUNCTION("""COMPUTED_VALUE"""),"70000835")</f>
        <v>70000835</v>
      </c>
      <c r="D5453" s="380" t="s">
        <v>767</v>
      </c>
      <c r="E5453" s="380" t="s">
        <v>786</v>
      </c>
      <c r="F5453" s="380" t="s">
        <v>787</v>
      </c>
      <c r="G5453" s="380" t="s">
        <v>1267</v>
      </c>
      <c r="H5453" s="380" t="s">
        <v>771</v>
      </c>
      <c r="I5453" s="380" t="s">
        <v>788</v>
      </c>
      <c r="J5453" s="380" t="s">
        <v>773</v>
      </c>
      <c r="K5453" s="381">
        <v>0.0</v>
      </c>
      <c r="L5453" s="382">
        <v>1.0</v>
      </c>
    </row>
    <row r="5454">
      <c r="A5454" s="380" t="s">
        <v>6328</v>
      </c>
      <c r="B5454" s="380" t="str">
        <f>IFERROR(__xludf.DUMMYFUNCTION("""COMPUTED_VALUE"""),"Lampara Direccion Del Der Hino8161037130")</f>
        <v>Lampara Direccion Del Der Hino8161037130</v>
      </c>
      <c r="C5454" s="380" t="str">
        <f>IFERROR(__xludf.DUMMYFUNCTION("""COMPUTED_VALUE"""),"70000836")</f>
        <v>70000836</v>
      </c>
      <c r="D5454" s="380" t="s">
        <v>767</v>
      </c>
      <c r="E5454" s="380" t="s">
        <v>786</v>
      </c>
      <c r="F5454" s="380" t="s">
        <v>998</v>
      </c>
      <c r="G5454" s="380" t="s">
        <v>1267</v>
      </c>
      <c r="H5454" s="380" t="s">
        <v>771</v>
      </c>
      <c r="I5454" s="380" t="s">
        <v>788</v>
      </c>
      <c r="J5454" s="380" t="s">
        <v>773</v>
      </c>
      <c r="K5454" s="381">
        <v>0.0</v>
      </c>
      <c r="L5454" s="382">
        <v>1.0</v>
      </c>
    </row>
    <row r="5455">
      <c r="A5455" s="380" t="s">
        <v>6329</v>
      </c>
      <c r="B5455" s="380" t="str">
        <f>IFERROR(__xludf.DUMMYFUNCTION("""COMPUTED_VALUE"""),"Resistencia Velocidad A/C Eag 2503727C1")</f>
        <v>Resistencia Velocidad A/C Eag 2503727C1</v>
      </c>
      <c r="C5455" s="380" t="str">
        <f>IFERROR(__xludf.DUMMYFUNCTION("""COMPUTED_VALUE"""),"70000837")</f>
        <v>70000837</v>
      </c>
      <c r="D5455" s="380" t="s">
        <v>767</v>
      </c>
      <c r="E5455" s="380" t="s">
        <v>786</v>
      </c>
      <c r="F5455" s="380" t="s">
        <v>787</v>
      </c>
      <c r="G5455" s="380" t="s">
        <v>1267</v>
      </c>
      <c r="H5455" s="380" t="s">
        <v>771</v>
      </c>
      <c r="I5455" s="380" t="s">
        <v>788</v>
      </c>
      <c r="J5455" s="380" t="s">
        <v>773</v>
      </c>
      <c r="K5455" s="381">
        <v>50809.0</v>
      </c>
      <c r="L5455" s="382">
        <v>1.0</v>
      </c>
    </row>
    <row r="5456">
      <c r="A5456" s="380" t="s">
        <v>6330</v>
      </c>
      <c r="B5456" s="380" t="str">
        <f>IFERROR(__xludf.DUMMYFUNCTION("""COMPUTED_VALUE"""),"Amortiguador Delantero T Delta")</f>
        <v>Amortiguador Delantero T Delta</v>
      </c>
      <c r="C5456" s="380" t="str">
        <f>IFERROR(__xludf.DUMMYFUNCTION("""COMPUTED_VALUE"""),"70000838")</f>
        <v>70000838</v>
      </c>
      <c r="D5456" s="380" t="s">
        <v>767</v>
      </c>
      <c r="E5456" s="380" t="s">
        <v>786</v>
      </c>
      <c r="F5456" s="380" t="s">
        <v>1039</v>
      </c>
      <c r="G5456" s="380" t="s">
        <v>1267</v>
      </c>
      <c r="H5456" s="380" t="s">
        <v>771</v>
      </c>
      <c r="I5456" s="380" t="s">
        <v>788</v>
      </c>
      <c r="J5456" s="380" t="s">
        <v>773</v>
      </c>
      <c r="K5456" s="381">
        <v>0.0</v>
      </c>
      <c r="L5456" s="382">
        <v>1.0</v>
      </c>
    </row>
    <row r="5457">
      <c r="A5457" s="380" t="s">
        <v>6331</v>
      </c>
      <c r="B5457" s="380" t="str">
        <f>IFERROR(__xludf.DUMMYFUNCTION("""COMPUTED_VALUE"""),"Grapa Muelle Del Tuerca Eagle 465916C1")</f>
        <v>Grapa Muelle Del Tuerca Eagle 465916C1</v>
      </c>
      <c r="C5457" s="380" t="str">
        <f>IFERROR(__xludf.DUMMYFUNCTION("""COMPUTED_VALUE"""),"70000839")</f>
        <v>70000839</v>
      </c>
      <c r="D5457" s="380" t="s">
        <v>767</v>
      </c>
      <c r="E5457" s="380" t="s">
        <v>786</v>
      </c>
      <c r="F5457" s="380" t="s">
        <v>1039</v>
      </c>
      <c r="G5457" s="380" t="s">
        <v>1267</v>
      </c>
      <c r="H5457" s="380" t="s">
        <v>771</v>
      </c>
      <c r="I5457" s="380" t="s">
        <v>788</v>
      </c>
      <c r="J5457" s="380" t="s">
        <v>773</v>
      </c>
      <c r="K5457" s="381">
        <v>0.0</v>
      </c>
      <c r="L5457" s="382">
        <v>1.0</v>
      </c>
    </row>
    <row r="5458">
      <c r="A5458" s="380" t="s">
        <v>6332</v>
      </c>
      <c r="B5458" s="380" t="str">
        <f>IFERROR(__xludf.DUMMYFUNCTION("""COMPUTED_VALUE"""),"Soporte Amortiguador Del Eag 3661382C1")</f>
        <v>Soporte Amortiguador Del Eag 3661382C1</v>
      </c>
      <c r="C5458" s="380" t="str">
        <f>IFERROR(__xludf.DUMMYFUNCTION("""COMPUTED_VALUE"""),"70000840")</f>
        <v>70000840</v>
      </c>
      <c r="D5458" s="380" t="s">
        <v>767</v>
      </c>
      <c r="E5458" s="380" t="s">
        <v>786</v>
      </c>
      <c r="F5458" s="380" t="s">
        <v>1039</v>
      </c>
      <c r="G5458" s="380" t="s">
        <v>1267</v>
      </c>
      <c r="H5458" s="380" t="s">
        <v>771</v>
      </c>
      <c r="I5458" s="380" t="s">
        <v>788</v>
      </c>
      <c r="J5458" s="380" t="s">
        <v>773</v>
      </c>
      <c r="K5458" s="381">
        <v>0.0</v>
      </c>
      <c r="L5458" s="382">
        <v>1.0</v>
      </c>
    </row>
    <row r="5459">
      <c r="A5459" s="380" t="s">
        <v>6333</v>
      </c>
      <c r="B5459" s="380" t="str">
        <f>IFERROR(__xludf.DUMMYFUNCTION("""COMPUTED_VALUE"""),"Emblema Compuerta Trasera N200 24520317")</f>
        <v>Emblema Compuerta Trasera N200 24520317</v>
      </c>
      <c r="C5459" s="380" t="str">
        <f>IFERROR(__xludf.DUMMYFUNCTION("""COMPUTED_VALUE"""),"70000841")</f>
        <v>70000841</v>
      </c>
      <c r="D5459" s="380" t="s">
        <v>767</v>
      </c>
      <c r="E5459" s="380" t="s">
        <v>786</v>
      </c>
      <c r="F5459" s="380" t="s">
        <v>792</v>
      </c>
      <c r="G5459" s="380" t="s">
        <v>1267</v>
      </c>
      <c r="H5459" s="380" t="s">
        <v>771</v>
      </c>
      <c r="I5459" s="380" t="s">
        <v>788</v>
      </c>
      <c r="J5459" s="380" t="s">
        <v>773</v>
      </c>
      <c r="K5459" s="381">
        <v>0.0</v>
      </c>
      <c r="L5459" s="382">
        <v>1.0</v>
      </c>
    </row>
    <row r="5460">
      <c r="A5460" s="380" t="s">
        <v>6334</v>
      </c>
      <c r="B5460" s="380" t="str">
        <f>IFERROR(__xludf.DUMMYFUNCTION("""COMPUTED_VALUE"""),"Arandela Caja 14718 4303603")</f>
        <v>Arandela Caja 14718 4303603</v>
      </c>
      <c r="C5460" s="380" t="str">
        <f>IFERROR(__xludf.DUMMYFUNCTION("""COMPUTED_VALUE"""),"70000842")</f>
        <v>70000842</v>
      </c>
      <c r="D5460" s="380" t="s">
        <v>767</v>
      </c>
      <c r="E5460" s="380" t="s">
        <v>786</v>
      </c>
      <c r="F5460" s="380" t="s">
        <v>5683</v>
      </c>
      <c r="G5460" s="380" t="s">
        <v>1267</v>
      </c>
      <c r="H5460" s="380" t="s">
        <v>771</v>
      </c>
      <c r="I5460" s="380" t="s">
        <v>788</v>
      </c>
      <c r="J5460" s="380" t="s">
        <v>773</v>
      </c>
      <c r="K5460" s="381">
        <v>0.0</v>
      </c>
      <c r="L5460" s="382">
        <v>1.0</v>
      </c>
    </row>
    <row r="5461">
      <c r="A5461" s="380" t="s">
        <v>6335</v>
      </c>
      <c r="B5461" s="380" t="str">
        <f>IFERROR(__xludf.DUMMYFUNCTION("""COMPUTED_VALUE"""),"Tornillo Largo Soporte Isx 3681057")</f>
        <v>Tornillo Largo Soporte Isx 3681057</v>
      </c>
      <c r="C5461" s="380" t="str">
        <f>IFERROR(__xludf.DUMMYFUNCTION("""COMPUTED_VALUE"""),"70000843")</f>
        <v>70000843</v>
      </c>
      <c r="D5461" s="380" t="s">
        <v>767</v>
      </c>
      <c r="E5461" s="380" t="s">
        <v>786</v>
      </c>
      <c r="F5461" s="380" t="s">
        <v>787</v>
      </c>
      <c r="G5461" s="380" t="s">
        <v>1267</v>
      </c>
      <c r="H5461" s="380" t="s">
        <v>771</v>
      </c>
      <c r="I5461" s="380" t="s">
        <v>788</v>
      </c>
      <c r="J5461" s="380" t="s">
        <v>773</v>
      </c>
      <c r="K5461" s="381">
        <v>0.0</v>
      </c>
      <c r="L5461" s="382">
        <v>1.0</v>
      </c>
    </row>
    <row r="5462">
      <c r="A5462" s="380" t="s">
        <v>6336</v>
      </c>
      <c r="B5462" s="380" t="str">
        <f>IFERROR(__xludf.DUMMYFUNCTION("""COMPUTED_VALUE"""),"Soporte Motor N14 - 9400- 503580C1")</f>
        <v>Soporte Motor N14 - 9400- 503580C1</v>
      </c>
      <c r="C5462" s="380" t="str">
        <f>IFERROR(__xludf.DUMMYFUNCTION("""COMPUTED_VALUE"""),"70000844")</f>
        <v>70000844</v>
      </c>
      <c r="D5462" s="380" t="s">
        <v>767</v>
      </c>
      <c r="E5462" s="380" t="s">
        <v>786</v>
      </c>
      <c r="F5462" s="380" t="s">
        <v>787</v>
      </c>
      <c r="G5462" s="380" t="s">
        <v>1267</v>
      </c>
      <c r="H5462" s="380" t="s">
        <v>771</v>
      </c>
      <c r="I5462" s="380" t="s">
        <v>788</v>
      </c>
      <c r="J5462" s="380" t="s">
        <v>773</v>
      </c>
      <c r="K5462" s="381">
        <v>0.0</v>
      </c>
      <c r="L5462" s="382">
        <v>1.0</v>
      </c>
    </row>
    <row r="5463">
      <c r="A5463" s="380" t="s">
        <v>6337</v>
      </c>
      <c r="B5463" s="380" t="str">
        <f>IFERROR(__xludf.DUMMYFUNCTION("""COMPUTED_VALUE"""),"Empaque Carcasa Volante Isx 4393176")</f>
        <v>Empaque Carcasa Volante Isx 4393176</v>
      </c>
      <c r="C5463" s="380" t="str">
        <f>IFERROR(__xludf.DUMMYFUNCTION("""COMPUTED_VALUE"""),"70000845")</f>
        <v>70000845</v>
      </c>
      <c r="D5463" s="380" t="s">
        <v>767</v>
      </c>
      <c r="E5463" s="380" t="s">
        <v>786</v>
      </c>
      <c r="F5463" s="380" t="s">
        <v>787</v>
      </c>
      <c r="G5463" s="380" t="s">
        <v>1267</v>
      </c>
      <c r="H5463" s="380" t="s">
        <v>771</v>
      </c>
      <c r="I5463" s="380" t="s">
        <v>788</v>
      </c>
      <c r="J5463" s="380" t="s">
        <v>773</v>
      </c>
      <c r="K5463" s="381">
        <v>0.0</v>
      </c>
      <c r="L5463" s="382">
        <v>1.0</v>
      </c>
    </row>
    <row r="5464">
      <c r="A5464" s="380" t="s">
        <v>6338</v>
      </c>
      <c r="B5464" s="380" t="str">
        <f>IFERROR(__xludf.DUMMYFUNCTION("""COMPUTED_VALUE"""),"Motor Limpiabrisas Nkr-Nhr 8972163500")</f>
        <v>Motor Limpiabrisas Nkr-Nhr 8972163500</v>
      </c>
      <c r="C5464" s="380" t="str">
        <f>IFERROR(__xludf.DUMMYFUNCTION("""COMPUTED_VALUE"""),"70000846")</f>
        <v>70000846</v>
      </c>
      <c r="D5464" s="380" t="s">
        <v>767</v>
      </c>
      <c r="E5464" s="380" t="s">
        <v>786</v>
      </c>
      <c r="F5464" s="380" t="s">
        <v>998</v>
      </c>
      <c r="G5464" s="380" t="s">
        <v>1267</v>
      </c>
      <c r="H5464" s="380" t="s">
        <v>771</v>
      </c>
      <c r="I5464" s="380" t="s">
        <v>788</v>
      </c>
      <c r="J5464" s="380" t="s">
        <v>773</v>
      </c>
      <c r="K5464" s="381">
        <v>0.0</v>
      </c>
      <c r="L5464" s="382">
        <v>1.0</v>
      </c>
    </row>
    <row r="5465">
      <c r="A5465" s="380" t="s">
        <v>6339</v>
      </c>
      <c r="B5465" s="380" t="str">
        <f>IFERROR(__xludf.DUMMYFUNCTION("""COMPUTED_VALUE"""),"Tornillo Culata Motor Nkr-Nhr 8971334161")</f>
        <v>Tornillo Culata Motor Nkr-Nhr 8971334161</v>
      </c>
      <c r="C5465" s="380" t="str">
        <f>IFERROR(__xludf.DUMMYFUNCTION("""COMPUTED_VALUE"""),"70000847")</f>
        <v>70000847</v>
      </c>
      <c r="D5465" s="380" t="s">
        <v>767</v>
      </c>
      <c r="E5465" s="380" t="s">
        <v>786</v>
      </c>
      <c r="F5465" s="380" t="s">
        <v>787</v>
      </c>
      <c r="G5465" s="380" t="s">
        <v>1267</v>
      </c>
      <c r="H5465" s="380" t="s">
        <v>771</v>
      </c>
      <c r="I5465" s="380" t="s">
        <v>788</v>
      </c>
      <c r="J5465" s="380" t="s">
        <v>773</v>
      </c>
      <c r="K5465" s="381">
        <v>0.0</v>
      </c>
      <c r="L5465" s="382">
        <v>1.0</v>
      </c>
    </row>
    <row r="5466">
      <c r="A5466" s="380" t="s">
        <v>6340</v>
      </c>
      <c r="B5466" s="380" t="str">
        <f>IFERROR(__xludf.DUMMYFUNCTION("""COMPUTED_VALUE"""),"Hoja Resorte Tras Tensora Hi 0755029/12")</f>
        <v>Hoja Resorte Tras Tensora Hi 0755029/12</v>
      </c>
      <c r="C5466" s="380" t="str">
        <f>IFERROR(__xludf.DUMMYFUNCTION("""COMPUTED_VALUE"""),"70000848")</f>
        <v>70000848</v>
      </c>
      <c r="D5466" s="380" t="s">
        <v>767</v>
      </c>
      <c r="E5466" s="380" t="s">
        <v>786</v>
      </c>
      <c r="F5466" s="380" t="s">
        <v>1039</v>
      </c>
      <c r="G5466" s="380" t="s">
        <v>1267</v>
      </c>
      <c r="H5466" s="380" t="s">
        <v>771</v>
      </c>
      <c r="I5466" s="380" t="s">
        <v>788</v>
      </c>
      <c r="J5466" s="380" t="s">
        <v>773</v>
      </c>
      <c r="K5466" s="381">
        <v>0.0</v>
      </c>
      <c r="L5466" s="382">
        <v>1.0</v>
      </c>
    </row>
    <row r="5467">
      <c r="A5467" s="380" t="s">
        <v>6341</v>
      </c>
      <c r="B5467" s="380" t="str">
        <f>IFERROR(__xludf.DUMMYFUNCTION("""COMPUTED_VALUE"""),"Racor Reduccion 3/8 X 1/2 Tuerca")</f>
        <v>Racor Reduccion 3/8 X 1/2 Tuerca</v>
      </c>
      <c r="C5467" s="380" t="str">
        <f>IFERROR(__xludf.DUMMYFUNCTION("""COMPUTED_VALUE"""),"70000849")</f>
        <v>70000849</v>
      </c>
      <c r="D5467" s="380" t="s">
        <v>767</v>
      </c>
      <c r="E5467" s="380" t="s">
        <v>786</v>
      </c>
      <c r="F5467" s="380" t="s">
        <v>989</v>
      </c>
      <c r="G5467" s="380" t="s">
        <v>1267</v>
      </c>
      <c r="H5467" s="380" t="s">
        <v>771</v>
      </c>
      <c r="I5467" s="380" t="s">
        <v>788</v>
      </c>
      <c r="J5467" s="380" t="s">
        <v>773</v>
      </c>
      <c r="K5467" s="381">
        <v>0.0</v>
      </c>
      <c r="L5467" s="382">
        <v>1.0</v>
      </c>
    </row>
    <row r="5468">
      <c r="A5468" s="380" t="s">
        <v>6342</v>
      </c>
      <c r="B5468" s="380" t="str">
        <f>IFERROR(__xludf.DUMMYFUNCTION("""COMPUTED_VALUE"""),"Tuerca perno Rda Tras Izq Nhr 8980079060")</f>
        <v>Tuerca perno Rda Tras Izq Nhr 8980079060</v>
      </c>
      <c r="C5468" s="380" t="str">
        <f>IFERROR(__xludf.DUMMYFUNCTION("""COMPUTED_VALUE"""),"70000850")</f>
        <v>70000850</v>
      </c>
      <c r="D5468" s="380" t="s">
        <v>767</v>
      </c>
      <c r="E5468" s="380" t="s">
        <v>786</v>
      </c>
      <c r="F5468" s="380" t="s">
        <v>1039</v>
      </c>
      <c r="G5468" s="380" t="s">
        <v>1267</v>
      </c>
      <c r="H5468" s="380" t="s">
        <v>771</v>
      </c>
      <c r="I5468" s="380" t="s">
        <v>788</v>
      </c>
      <c r="J5468" s="380" t="s">
        <v>773</v>
      </c>
      <c r="K5468" s="381">
        <v>0.0</v>
      </c>
      <c r="L5468" s="382">
        <v>1.0</v>
      </c>
    </row>
    <row r="5469">
      <c r="A5469" s="380" t="s">
        <v>6343</v>
      </c>
      <c r="B5469" s="380" t="str">
        <f>IFERROR(__xludf.DUMMYFUNCTION("""COMPUTED_VALUE"""),"Perno Rda Tras Izq Nhr 8971264890")</f>
        <v>Perno Rda Tras Izq Nhr 8971264890</v>
      </c>
      <c r="C5469" s="380" t="str">
        <f>IFERROR(__xludf.DUMMYFUNCTION("""COMPUTED_VALUE"""),"70000851")</f>
        <v>70000851</v>
      </c>
      <c r="D5469" s="380" t="s">
        <v>767</v>
      </c>
      <c r="E5469" s="380" t="s">
        <v>786</v>
      </c>
      <c r="F5469" s="380" t="s">
        <v>1039</v>
      </c>
      <c r="G5469" s="380" t="s">
        <v>1267</v>
      </c>
      <c r="H5469" s="380" t="s">
        <v>771</v>
      </c>
      <c r="I5469" s="380" t="s">
        <v>788</v>
      </c>
      <c r="J5469" s="380" t="s">
        <v>773</v>
      </c>
      <c r="K5469" s="381">
        <v>0.0</v>
      </c>
      <c r="L5469" s="382">
        <v>1.0</v>
      </c>
    </row>
    <row r="5470">
      <c r="A5470" s="380" t="s">
        <v>6344</v>
      </c>
      <c r="B5470" s="380" t="str">
        <f>IFERROR(__xludf.DUMMYFUNCTION("""COMPUTED_VALUE"""),"Seguro Tanque Acpm Aluminio")</f>
        <v>Seguro Tanque Acpm Aluminio</v>
      </c>
      <c r="C5470" s="380" t="str">
        <f>IFERROR(__xludf.DUMMYFUNCTION("""COMPUTED_VALUE"""),"70000852")</f>
        <v>70000852</v>
      </c>
      <c r="D5470" s="380" t="s">
        <v>767</v>
      </c>
      <c r="E5470" s="380" t="s">
        <v>786</v>
      </c>
      <c r="F5470" s="380" t="s">
        <v>792</v>
      </c>
      <c r="G5470" s="380" t="s">
        <v>1267</v>
      </c>
      <c r="H5470" s="380" t="s">
        <v>771</v>
      </c>
      <c r="I5470" s="380" t="s">
        <v>788</v>
      </c>
      <c r="J5470" s="380" t="s">
        <v>773</v>
      </c>
      <c r="K5470" s="381">
        <v>142822.0</v>
      </c>
      <c r="L5470" s="382">
        <v>1.0</v>
      </c>
    </row>
    <row r="5471">
      <c r="A5471" s="380" t="s">
        <v>6345</v>
      </c>
      <c r="B5471" s="380" t="str">
        <f>IFERROR(__xludf.DUMMYFUNCTION("""COMPUTED_VALUE"""),"Puente Capo Eagle 9400 Isx 3501453C1")</f>
        <v>Puente Capo Eagle 9400 Isx 3501453C1</v>
      </c>
      <c r="C5471" s="380" t="str">
        <f>IFERROR(__xludf.DUMMYFUNCTION("""COMPUTED_VALUE"""),"70000853")</f>
        <v>70000853</v>
      </c>
      <c r="D5471" s="380" t="s">
        <v>767</v>
      </c>
      <c r="E5471" s="380" t="s">
        <v>786</v>
      </c>
      <c r="F5471" s="380" t="s">
        <v>792</v>
      </c>
      <c r="G5471" s="380" t="s">
        <v>1267</v>
      </c>
      <c r="H5471" s="380" t="s">
        <v>771</v>
      </c>
      <c r="I5471" s="380" t="s">
        <v>788</v>
      </c>
      <c r="J5471" s="380" t="s">
        <v>773</v>
      </c>
      <c r="K5471" s="381">
        <v>0.0</v>
      </c>
      <c r="L5471" s="382">
        <v>1.0</v>
      </c>
    </row>
    <row r="5472">
      <c r="A5472" s="380" t="s">
        <v>6346</v>
      </c>
      <c r="B5472" s="380" t="str">
        <f>IFERROR(__xludf.DUMMYFUNCTION("""COMPUTED_VALUE"""),"Clip Cable Cambios Grande Npr 8972110110")</f>
        <v>Clip Cable Cambios Grande Npr 8972110110</v>
      </c>
      <c r="C5472" s="380" t="str">
        <f>IFERROR(__xludf.DUMMYFUNCTION("""COMPUTED_VALUE"""),"70000854")</f>
        <v>70000854</v>
      </c>
      <c r="D5472" s="380" t="s">
        <v>767</v>
      </c>
      <c r="E5472" s="380" t="s">
        <v>786</v>
      </c>
      <c r="F5472" s="380" t="s">
        <v>928</v>
      </c>
      <c r="G5472" s="380" t="s">
        <v>1267</v>
      </c>
      <c r="H5472" s="380" t="s">
        <v>771</v>
      </c>
      <c r="I5472" s="380" t="s">
        <v>788</v>
      </c>
      <c r="J5472" s="380" t="s">
        <v>773</v>
      </c>
      <c r="K5472" s="381">
        <v>0.0</v>
      </c>
      <c r="L5472" s="382">
        <v>1.0</v>
      </c>
    </row>
    <row r="5473">
      <c r="A5473" s="380" t="s">
        <v>6347</v>
      </c>
      <c r="B5473" s="380" t="str">
        <f>IFERROR(__xludf.DUMMYFUNCTION("""COMPUTED_VALUE"""),"Hoja Resorte Delantera Sb N14e- 22502/3")</f>
        <v>Hoja Resorte Delantera Sb N14e- 22502/3</v>
      </c>
      <c r="C5473" s="380" t="str">
        <f>IFERROR(__xludf.DUMMYFUNCTION("""COMPUTED_VALUE"""),"70000855")</f>
        <v>70000855</v>
      </c>
      <c r="D5473" s="380" t="s">
        <v>767</v>
      </c>
      <c r="E5473" s="380" t="s">
        <v>786</v>
      </c>
      <c r="F5473" s="380" t="s">
        <v>1039</v>
      </c>
      <c r="G5473" s="380" t="s">
        <v>1267</v>
      </c>
      <c r="H5473" s="380" t="s">
        <v>771</v>
      </c>
      <c r="I5473" s="380" t="s">
        <v>788</v>
      </c>
      <c r="J5473" s="380" t="s">
        <v>773</v>
      </c>
      <c r="K5473" s="381">
        <v>228480.0</v>
      </c>
      <c r="L5473" s="382">
        <v>1.0</v>
      </c>
    </row>
    <row r="5474">
      <c r="A5474" s="380" t="s">
        <v>6348</v>
      </c>
      <c r="B5474" s="380" t="str">
        <f>IFERROR(__xludf.DUMMYFUNCTION("""COMPUTED_VALUE"""),"Carcasa Switch Encendido 4300 4545580C1")</f>
        <v>Carcasa Switch Encendido 4300 4545580C1</v>
      </c>
      <c r="C5474" s="380" t="str">
        <f>IFERROR(__xludf.DUMMYFUNCTION("""COMPUTED_VALUE"""),"70000856")</f>
        <v>70000856</v>
      </c>
      <c r="D5474" s="380" t="s">
        <v>767</v>
      </c>
      <c r="E5474" s="380" t="s">
        <v>786</v>
      </c>
      <c r="F5474" s="380" t="s">
        <v>998</v>
      </c>
      <c r="G5474" s="380" t="s">
        <v>1267</v>
      </c>
      <c r="H5474" s="380" t="s">
        <v>771</v>
      </c>
      <c r="I5474" s="380" t="s">
        <v>788</v>
      </c>
      <c r="J5474" s="380" t="s">
        <v>773</v>
      </c>
      <c r="K5474" s="381">
        <v>0.0</v>
      </c>
      <c r="L5474" s="382">
        <v>1.0</v>
      </c>
    </row>
    <row r="5475">
      <c r="A5475" s="380" t="s">
        <v>6349</v>
      </c>
      <c r="B5475" s="380" t="str">
        <f>IFERROR(__xludf.DUMMYFUNCTION("""COMPUTED_VALUE"""),"Cable Encauchetado 2 X 16")</f>
        <v>Cable Encauchetado 2 X 16</v>
      </c>
      <c r="C5475" s="380" t="str">
        <f>IFERROR(__xludf.DUMMYFUNCTION("""COMPUTED_VALUE"""),"70000857")</f>
        <v>70000857</v>
      </c>
      <c r="D5475" s="380" t="s">
        <v>767</v>
      </c>
      <c r="E5475" s="380" t="s">
        <v>786</v>
      </c>
      <c r="F5475" s="380" t="s">
        <v>998</v>
      </c>
      <c r="G5475" s="380" t="s">
        <v>1267</v>
      </c>
      <c r="H5475" s="380" t="s">
        <v>771</v>
      </c>
      <c r="I5475" s="380" t="s">
        <v>788</v>
      </c>
      <c r="J5475" s="380" t="s">
        <v>773</v>
      </c>
      <c r="K5475" s="381">
        <v>3784.0</v>
      </c>
      <c r="L5475" s="382">
        <v>1.0</v>
      </c>
    </row>
    <row r="5476">
      <c r="A5476" s="380" t="s">
        <v>6350</v>
      </c>
      <c r="B5476" s="380" t="str">
        <f>IFERROR(__xludf.DUMMYFUNCTION("""COMPUTED_VALUE"""),"Valvula Pivote Freno Aire Trailer 109389")</f>
        <v>Valvula Pivote Freno Aire Trailer 109389</v>
      </c>
      <c r="C5476" s="380" t="str">
        <f>IFERROR(__xludf.DUMMYFUNCTION("""COMPUTED_VALUE"""),"70000858")</f>
        <v>70000858</v>
      </c>
      <c r="D5476" s="380" t="s">
        <v>767</v>
      </c>
      <c r="E5476" s="380" t="s">
        <v>786</v>
      </c>
      <c r="F5476" s="380" t="s">
        <v>1017</v>
      </c>
      <c r="G5476" s="380" t="s">
        <v>1267</v>
      </c>
      <c r="H5476" s="380" t="s">
        <v>771</v>
      </c>
      <c r="I5476" s="380" t="s">
        <v>788</v>
      </c>
      <c r="J5476" s="380" t="s">
        <v>773</v>
      </c>
      <c r="K5476" s="381">
        <v>0.0</v>
      </c>
      <c r="L5476" s="382">
        <v>1.0</v>
      </c>
    </row>
    <row r="5477">
      <c r="A5477" s="380" t="s">
        <v>6351</v>
      </c>
      <c r="B5477" s="380" t="str">
        <f>IFERROR(__xludf.DUMMYFUNCTION("""COMPUTED_VALUE"""),"Empaque Tapa Tanque Acpm De 3"" 941218")</f>
        <v>Empaque Tapa Tanque Acpm De 3" 941218</v>
      </c>
      <c r="C5477" s="380" t="str">
        <f>IFERROR(__xludf.DUMMYFUNCTION("""COMPUTED_VALUE"""),"70000859")</f>
        <v>70000859</v>
      </c>
      <c r="D5477" s="380" t="s">
        <v>767</v>
      </c>
      <c r="E5477" s="380" t="s">
        <v>786</v>
      </c>
      <c r="F5477" s="380" t="s">
        <v>792</v>
      </c>
      <c r="G5477" s="380" t="s">
        <v>1267</v>
      </c>
      <c r="H5477" s="380" t="s">
        <v>771</v>
      </c>
      <c r="I5477" s="380" t="s">
        <v>788</v>
      </c>
      <c r="J5477" s="380" t="s">
        <v>773</v>
      </c>
      <c r="K5477" s="381">
        <v>15546.0</v>
      </c>
      <c r="L5477" s="382">
        <v>1.0</v>
      </c>
    </row>
    <row r="5478">
      <c r="A5478" s="380" t="s">
        <v>6352</v>
      </c>
      <c r="B5478" s="380" t="str">
        <f>IFERROR(__xludf.DUMMYFUNCTION("""COMPUTED_VALUE"""),"Harnes Freno Motor Eagle Isx 4331306")</f>
        <v>Harnes Freno Motor Eagle Isx 4331306</v>
      </c>
      <c r="C5478" s="380" t="str">
        <f>IFERROR(__xludf.DUMMYFUNCTION("""COMPUTED_VALUE"""),"70000860")</f>
        <v>70000860</v>
      </c>
      <c r="D5478" s="380" t="s">
        <v>767</v>
      </c>
      <c r="E5478" s="380" t="s">
        <v>786</v>
      </c>
      <c r="F5478" s="380" t="s">
        <v>787</v>
      </c>
      <c r="G5478" s="380" t="s">
        <v>1267</v>
      </c>
      <c r="H5478" s="380" t="s">
        <v>771</v>
      </c>
      <c r="I5478" s="380" t="s">
        <v>788</v>
      </c>
      <c r="J5478" s="380" t="s">
        <v>773</v>
      </c>
      <c r="K5478" s="381">
        <v>0.0</v>
      </c>
      <c r="L5478" s="382">
        <v>1.0</v>
      </c>
    </row>
    <row r="5479">
      <c r="A5479" s="380" t="s">
        <v>6353</v>
      </c>
      <c r="B5479" s="380" t="str">
        <f>IFERROR(__xludf.DUMMYFUNCTION("""COMPUTED_VALUE"""),"Caja Velocidad T Prado")</f>
        <v>Caja Velocidad T Prado</v>
      </c>
      <c r="C5479" s="380" t="str">
        <f>IFERROR(__xludf.DUMMYFUNCTION("""COMPUTED_VALUE"""),"70000861")</f>
        <v>70000861</v>
      </c>
      <c r="D5479" s="380" t="s">
        <v>767</v>
      </c>
      <c r="E5479" s="380" t="s">
        <v>786</v>
      </c>
      <c r="F5479" s="380" t="s">
        <v>928</v>
      </c>
      <c r="G5479" s="380" t="s">
        <v>1267</v>
      </c>
      <c r="H5479" s="380" t="s">
        <v>771</v>
      </c>
      <c r="I5479" s="380" t="s">
        <v>788</v>
      </c>
      <c r="J5479" s="380" t="s">
        <v>773</v>
      </c>
      <c r="K5479" s="381">
        <v>0.0</v>
      </c>
      <c r="L5479" s="382">
        <v>1.0</v>
      </c>
    </row>
    <row r="5480">
      <c r="A5480" s="380" t="s">
        <v>6354</v>
      </c>
      <c r="B5480" s="380" t="str">
        <f>IFERROR(__xludf.DUMMYFUNCTION("""COMPUTED_VALUE"""),"Mang Retorno Bomba Vacio Nhr 8970739202")</f>
        <v>Mang Retorno Bomba Vacio Nhr 8970739202</v>
      </c>
      <c r="C5480" s="380" t="str">
        <f>IFERROR(__xludf.DUMMYFUNCTION("""COMPUTED_VALUE"""),"70000862")</f>
        <v>70000862</v>
      </c>
      <c r="D5480" s="380" t="s">
        <v>767</v>
      </c>
      <c r="E5480" s="380" t="s">
        <v>786</v>
      </c>
      <c r="F5480" s="380" t="s">
        <v>787</v>
      </c>
      <c r="G5480" s="380" t="s">
        <v>1267</v>
      </c>
      <c r="H5480" s="380" t="s">
        <v>771</v>
      </c>
      <c r="I5480" s="380" t="s">
        <v>788</v>
      </c>
      <c r="J5480" s="380" t="s">
        <v>773</v>
      </c>
      <c r="K5480" s="381">
        <v>0.0</v>
      </c>
      <c r="L5480" s="382">
        <v>1.0</v>
      </c>
    </row>
    <row r="5481">
      <c r="A5481" s="380" t="s">
        <v>6355</v>
      </c>
      <c r="B5481" s="380" t="str">
        <f>IFERROR(__xludf.DUMMYFUNCTION("""COMPUTED_VALUE"""),"Soporte Gancho Capo KW L030001")</f>
        <v>Soporte Gancho Capo KW L030001</v>
      </c>
      <c r="C5481" s="380" t="str">
        <f>IFERROR(__xludf.DUMMYFUNCTION("""COMPUTED_VALUE"""),"70000863")</f>
        <v>70000863</v>
      </c>
      <c r="D5481" s="380" t="s">
        <v>767</v>
      </c>
      <c r="E5481" s="380" t="s">
        <v>786</v>
      </c>
      <c r="F5481" s="380" t="s">
        <v>792</v>
      </c>
      <c r="G5481" s="380" t="s">
        <v>1267</v>
      </c>
      <c r="H5481" s="380" t="s">
        <v>771</v>
      </c>
      <c r="I5481" s="380" t="s">
        <v>788</v>
      </c>
      <c r="J5481" s="380" t="s">
        <v>773</v>
      </c>
      <c r="K5481" s="381">
        <v>0.0</v>
      </c>
      <c r="L5481" s="382">
        <v>1.0</v>
      </c>
    </row>
    <row r="5482">
      <c r="A5482" s="380" t="s">
        <v>6356</v>
      </c>
      <c r="B5482" s="380" t="str">
        <f>IFERROR(__xludf.DUMMYFUNCTION("""COMPUTED_VALUE"""),"Buje Largo Muelle Delantero Volsw H30")</f>
        <v>Buje Largo Muelle Delantero Volsw H30</v>
      </c>
      <c r="C5482" s="380" t="str">
        <f>IFERROR(__xludf.DUMMYFUNCTION("""COMPUTED_VALUE"""),"70000864")</f>
        <v>70000864</v>
      </c>
      <c r="D5482" s="380" t="s">
        <v>767</v>
      </c>
      <c r="E5482" s="380" t="s">
        <v>786</v>
      </c>
      <c r="F5482" s="380" t="s">
        <v>1039</v>
      </c>
      <c r="G5482" s="380" t="s">
        <v>1267</v>
      </c>
      <c r="H5482" s="380" t="s">
        <v>771</v>
      </c>
      <c r="I5482" s="380" t="s">
        <v>788</v>
      </c>
      <c r="J5482" s="380" t="s">
        <v>773</v>
      </c>
      <c r="K5482" s="381">
        <v>0.0</v>
      </c>
      <c r="L5482" s="382">
        <v>1.0</v>
      </c>
    </row>
    <row r="5483">
      <c r="A5483" s="380" t="s">
        <v>6357</v>
      </c>
      <c r="B5483" s="380" t="str">
        <f>IFERROR(__xludf.DUMMYFUNCTION("""COMPUTED_VALUE"""),"Switch Luces Parqueo Volswagen 2RD953235")</f>
        <v>Switch Luces Parqueo Volswagen 2RD953235</v>
      </c>
      <c r="C5483" s="380" t="str">
        <f>IFERROR(__xludf.DUMMYFUNCTION("""COMPUTED_VALUE"""),"70000865")</f>
        <v>70000865</v>
      </c>
      <c r="D5483" s="380" t="s">
        <v>767</v>
      </c>
      <c r="E5483" s="380" t="s">
        <v>786</v>
      </c>
      <c r="F5483" s="380" t="s">
        <v>998</v>
      </c>
      <c r="G5483" s="380" t="s">
        <v>1267</v>
      </c>
      <c r="H5483" s="380" t="s">
        <v>771</v>
      </c>
      <c r="I5483" s="380" t="s">
        <v>788</v>
      </c>
      <c r="J5483" s="380" t="s">
        <v>773</v>
      </c>
      <c r="K5483" s="381">
        <v>0.0</v>
      </c>
      <c r="L5483" s="382">
        <v>1.0</v>
      </c>
    </row>
    <row r="5484">
      <c r="A5484" s="380" t="s">
        <v>6358</v>
      </c>
      <c r="B5484" s="380" t="str">
        <f>IFERROR(__xludf.DUMMYFUNCTION("""COMPUTED_VALUE"""),"Radiador Motor Isx Hi 9400 435 19""")</f>
        <v>Radiador Motor Isx Hi 9400 435 19"</v>
      </c>
      <c r="C5484" s="380" t="str">
        <f>IFERROR(__xludf.DUMMYFUNCTION("""COMPUTED_VALUE"""),"70000866")</f>
        <v>70000866</v>
      </c>
      <c r="D5484" s="380" t="s">
        <v>767</v>
      </c>
      <c r="E5484" s="380" t="s">
        <v>786</v>
      </c>
      <c r="F5484" s="380" t="s">
        <v>787</v>
      </c>
      <c r="G5484" s="380" t="s">
        <v>1267</v>
      </c>
      <c r="H5484" s="380" t="s">
        <v>771</v>
      </c>
      <c r="I5484" s="380" t="s">
        <v>788</v>
      </c>
      <c r="J5484" s="380" t="s">
        <v>773</v>
      </c>
      <c r="K5484" s="381">
        <v>0.0</v>
      </c>
      <c r="L5484" s="382">
        <v>1.0</v>
      </c>
    </row>
    <row r="5485">
      <c r="A5485" s="380" t="s">
        <v>6359</v>
      </c>
      <c r="B5485" s="380" t="str">
        <f>IFERROR(__xludf.DUMMYFUNCTION("""COMPUTED_VALUE"""),"Stop Trasero Izq N200 5496715")</f>
        <v>Stop Trasero Izq N200 5496715</v>
      </c>
      <c r="C5485" s="380" t="str">
        <f>IFERROR(__xludf.DUMMYFUNCTION("""COMPUTED_VALUE"""),"70000867")</f>
        <v>70000867</v>
      </c>
      <c r="D5485" s="380" t="s">
        <v>767</v>
      </c>
      <c r="E5485" s="380" t="s">
        <v>786</v>
      </c>
      <c r="F5485" s="380" t="s">
        <v>998</v>
      </c>
      <c r="G5485" s="380" t="s">
        <v>1267</v>
      </c>
      <c r="H5485" s="380" t="s">
        <v>771</v>
      </c>
      <c r="I5485" s="380" t="s">
        <v>788</v>
      </c>
      <c r="J5485" s="380" t="s">
        <v>773</v>
      </c>
      <c r="K5485" s="381">
        <v>0.0</v>
      </c>
      <c r="L5485" s="382">
        <v>1.0</v>
      </c>
    </row>
    <row r="5486">
      <c r="A5486" s="380" t="s">
        <v>6360</v>
      </c>
      <c r="B5486" s="380" t="str">
        <f>IFERROR(__xludf.DUMMYFUNCTION("""COMPUTED_VALUE"""),"Lampara Principal Del Der N200 24521374")</f>
        <v>Lampara Principal Del Der N200 24521374</v>
      </c>
      <c r="C5486" s="380" t="str">
        <f>IFERROR(__xludf.DUMMYFUNCTION("""COMPUTED_VALUE"""),"70000868")</f>
        <v>70000868</v>
      </c>
      <c r="D5486" s="380" t="s">
        <v>767</v>
      </c>
      <c r="E5486" s="380" t="s">
        <v>786</v>
      </c>
      <c r="F5486" s="380" t="s">
        <v>998</v>
      </c>
      <c r="G5486" s="380" t="s">
        <v>1267</v>
      </c>
      <c r="H5486" s="380" t="s">
        <v>771</v>
      </c>
      <c r="I5486" s="380" t="s">
        <v>788</v>
      </c>
      <c r="J5486" s="380" t="s">
        <v>773</v>
      </c>
      <c r="K5486" s="381">
        <v>0.0</v>
      </c>
      <c r="L5486" s="382">
        <v>1.0</v>
      </c>
    </row>
    <row r="5487">
      <c r="A5487" s="380" t="s">
        <v>6361</v>
      </c>
      <c r="B5487" s="380" t="str">
        <f>IFERROR(__xludf.DUMMYFUNCTION("""COMPUTED_VALUE"""),"Banda Freno Tras Eagle Isx 4707d")</f>
        <v>Banda Freno Tras Eagle Isx 4707d</v>
      </c>
      <c r="C5487" s="380" t="str">
        <f>IFERROR(__xludf.DUMMYFUNCTION("""COMPUTED_VALUE"""),"70000869")</f>
        <v>70000869</v>
      </c>
      <c r="D5487" s="380" t="s">
        <v>767</v>
      </c>
      <c r="E5487" s="380" t="s">
        <v>786</v>
      </c>
      <c r="F5487" s="380" t="s">
        <v>1017</v>
      </c>
      <c r="G5487" s="380" t="s">
        <v>1267</v>
      </c>
      <c r="H5487" s="380" t="s">
        <v>771</v>
      </c>
      <c r="I5487" s="380" t="s">
        <v>788</v>
      </c>
      <c r="J5487" s="380" t="s">
        <v>773</v>
      </c>
      <c r="K5487" s="381">
        <v>191697.0</v>
      </c>
      <c r="L5487" s="382">
        <v>1.0</v>
      </c>
    </row>
    <row r="5488">
      <c r="A5488" s="380" t="s">
        <v>6362</v>
      </c>
      <c r="B5488" s="380" t="str">
        <f>IFERROR(__xludf.DUMMYFUNCTION("""COMPUTED_VALUE"""),"Pin Balinera Tren Fijo Npr 1095881770")</f>
        <v>Pin Balinera Tren Fijo Npr 1095881770</v>
      </c>
      <c r="C5488" s="380" t="str">
        <f>IFERROR(__xludf.DUMMYFUNCTION("""COMPUTED_VALUE"""),"70000870")</f>
        <v>70000870</v>
      </c>
      <c r="D5488" s="380" t="s">
        <v>767</v>
      </c>
      <c r="E5488" s="380" t="s">
        <v>786</v>
      </c>
      <c r="F5488" s="380" t="s">
        <v>928</v>
      </c>
      <c r="G5488" s="380" t="s">
        <v>1267</v>
      </c>
      <c r="H5488" s="380" t="s">
        <v>771</v>
      </c>
      <c r="I5488" s="380" t="s">
        <v>788</v>
      </c>
      <c r="J5488" s="380" t="s">
        <v>773</v>
      </c>
      <c r="K5488" s="381">
        <v>0.0</v>
      </c>
      <c r="L5488" s="382">
        <v>1.0</v>
      </c>
    </row>
    <row r="5489">
      <c r="A5489" s="380" t="s">
        <v>6363</v>
      </c>
      <c r="B5489" s="380" t="str">
        <f>IFERROR(__xludf.DUMMYFUNCTION("""COMPUTED_VALUE"""),"Pin Balinera Prop Caja Npr 8970350400")</f>
        <v>Pin Balinera Prop Caja Npr 8970350400</v>
      </c>
      <c r="C5489" s="380" t="str">
        <f>IFERROR(__xludf.DUMMYFUNCTION("""COMPUTED_VALUE"""),"70000871")</f>
        <v>70000871</v>
      </c>
      <c r="D5489" s="380" t="s">
        <v>767</v>
      </c>
      <c r="E5489" s="380" t="s">
        <v>786</v>
      </c>
      <c r="F5489" s="380" t="s">
        <v>928</v>
      </c>
      <c r="G5489" s="380" t="s">
        <v>1267</v>
      </c>
      <c r="H5489" s="380" t="s">
        <v>771</v>
      </c>
      <c r="I5489" s="380" t="s">
        <v>788</v>
      </c>
      <c r="J5489" s="380" t="s">
        <v>773</v>
      </c>
      <c r="K5489" s="381">
        <v>0.0</v>
      </c>
      <c r="L5489" s="382">
        <v>1.0</v>
      </c>
    </row>
    <row r="5490">
      <c r="A5490" s="380" t="s">
        <v>6364</v>
      </c>
      <c r="B5490" s="380" t="str">
        <f>IFERROR(__xludf.DUMMYFUNCTION("""COMPUTED_VALUE"""),"Balinera Propulsor Caja Npr 8970350470")</f>
        <v>Balinera Propulsor Caja Npr 8970350470</v>
      </c>
      <c r="C5490" s="380" t="str">
        <f>IFERROR(__xludf.DUMMYFUNCTION("""COMPUTED_VALUE"""),"70000872")</f>
        <v>70000872</v>
      </c>
      <c r="D5490" s="380" t="s">
        <v>767</v>
      </c>
      <c r="E5490" s="380" t="s">
        <v>786</v>
      </c>
      <c r="F5490" s="380" t="s">
        <v>928</v>
      </c>
      <c r="G5490" s="380" t="s">
        <v>1267</v>
      </c>
      <c r="H5490" s="380" t="s">
        <v>771</v>
      </c>
      <c r="I5490" s="380" t="s">
        <v>788</v>
      </c>
      <c r="J5490" s="380" t="s">
        <v>773</v>
      </c>
      <c r="K5490" s="381">
        <v>308465.0</v>
      </c>
      <c r="L5490" s="382">
        <v>1.0</v>
      </c>
    </row>
    <row r="5491">
      <c r="A5491" s="380" t="s">
        <v>6365</v>
      </c>
      <c r="B5491" s="380" t="str">
        <f>IFERROR(__xludf.DUMMYFUNCTION("""COMPUTED_VALUE"""),"Balinera Del T/Fijo Caja Npr 8970350480")</f>
        <v>Balinera Del T/Fijo Caja Npr 8970350480</v>
      </c>
      <c r="C5491" s="380" t="str">
        <f>IFERROR(__xludf.DUMMYFUNCTION("""COMPUTED_VALUE"""),"70000873")</f>
        <v>70000873</v>
      </c>
      <c r="D5491" s="380" t="s">
        <v>767</v>
      </c>
      <c r="E5491" s="380" t="s">
        <v>786</v>
      </c>
      <c r="F5491" s="380" t="s">
        <v>928</v>
      </c>
      <c r="G5491" s="380" t="s">
        <v>1267</v>
      </c>
      <c r="H5491" s="380" t="s">
        <v>771</v>
      </c>
      <c r="I5491" s="380" t="s">
        <v>788</v>
      </c>
      <c r="J5491" s="380" t="s">
        <v>773</v>
      </c>
      <c r="K5491" s="381">
        <v>0.0</v>
      </c>
      <c r="L5491" s="382">
        <v>1.0</v>
      </c>
    </row>
    <row r="5492">
      <c r="A5492" s="380" t="s">
        <v>6366</v>
      </c>
      <c r="B5492" s="380" t="str">
        <f>IFERROR(__xludf.DUMMYFUNCTION("""COMPUTED_VALUE"""),"Camara Freno Escape Nkr-Npr 8971733270")</f>
        <v>Camara Freno Escape Nkr-Npr 8971733270</v>
      </c>
      <c r="C5492" s="380" t="str">
        <f>IFERROR(__xludf.DUMMYFUNCTION("""COMPUTED_VALUE"""),"70000874")</f>
        <v>70000874</v>
      </c>
      <c r="D5492" s="380" t="s">
        <v>767</v>
      </c>
      <c r="E5492" s="380" t="s">
        <v>786</v>
      </c>
      <c r="F5492" s="380" t="s">
        <v>1017</v>
      </c>
      <c r="G5492" s="380" t="s">
        <v>1267</v>
      </c>
      <c r="H5492" s="380" t="s">
        <v>771</v>
      </c>
      <c r="I5492" s="380" t="s">
        <v>788</v>
      </c>
      <c r="J5492" s="380" t="s">
        <v>773</v>
      </c>
      <c r="K5492" s="381">
        <v>0.0</v>
      </c>
      <c r="L5492" s="382">
        <v>1.0</v>
      </c>
    </row>
    <row r="5493">
      <c r="A5493" s="380" t="s">
        <v>6367</v>
      </c>
      <c r="B5493" s="380" t="str">
        <f>IFERROR(__xludf.DUMMYFUNCTION("""COMPUTED_VALUE"""),"Racor Torpedo Codo 45dg-1/2 2029565C1")</f>
        <v>Racor Torpedo Codo 45dg-1/2 2029565C1</v>
      </c>
      <c r="C5493" s="380" t="str">
        <f>IFERROR(__xludf.DUMMYFUNCTION("""COMPUTED_VALUE"""),"70000875")</f>
        <v>70000875</v>
      </c>
      <c r="D5493" s="380" t="s">
        <v>767</v>
      </c>
      <c r="E5493" s="380" t="s">
        <v>786</v>
      </c>
      <c r="F5493" s="380" t="s">
        <v>1017</v>
      </c>
      <c r="G5493" s="380" t="s">
        <v>1267</v>
      </c>
      <c r="H5493" s="380" t="s">
        <v>771</v>
      </c>
      <c r="I5493" s="380" t="s">
        <v>788</v>
      </c>
      <c r="J5493" s="380" t="s">
        <v>773</v>
      </c>
      <c r="K5493" s="381">
        <v>0.0</v>
      </c>
      <c r="L5493" s="382">
        <v>1.0</v>
      </c>
    </row>
    <row r="5494">
      <c r="A5494" s="380" t="s">
        <v>6368</v>
      </c>
      <c r="B5494" s="380" t="str">
        <f>IFERROR(__xludf.DUMMYFUNCTION("""COMPUTED_VALUE"""),"Campana Freno Delantero KW T800 160")</f>
        <v>Campana Freno Delantero KW T800 160</v>
      </c>
      <c r="C5494" s="380" t="str">
        <f>IFERROR(__xludf.DUMMYFUNCTION("""COMPUTED_VALUE"""),"70000876")</f>
        <v>70000876</v>
      </c>
      <c r="D5494" s="380" t="s">
        <v>767</v>
      </c>
      <c r="E5494" s="380" t="s">
        <v>786</v>
      </c>
      <c r="F5494" s="380" t="s">
        <v>1017</v>
      </c>
      <c r="G5494" s="380" t="s">
        <v>1267</v>
      </c>
      <c r="H5494" s="380" t="s">
        <v>771</v>
      </c>
      <c r="I5494" s="380" t="s">
        <v>788</v>
      </c>
      <c r="J5494" s="380" t="s">
        <v>773</v>
      </c>
      <c r="K5494" s="381">
        <v>385500.0</v>
      </c>
      <c r="L5494" s="382">
        <v>1.0</v>
      </c>
    </row>
    <row r="5495">
      <c r="A5495" s="380" t="s">
        <v>6369</v>
      </c>
      <c r="B5495" s="380" t="str">
        <f>IFERROR(__xludf.DUMMYFUNCTION("""COMPUTED_VALUE"""),"Ramal Encendido Motor Npr 8970882680")</f>
        <v>Ramal Encendido Motor Npr 8970882680</v>
      </c>
      <c r="C5495" s="380" t="str">
        <f>IFERROR(__xludf.DUMMYFUNCTION("""COMPUTED_VALUE"""),"70000877")</f>
        <v>70000877</v>
      </c>
      <c r="D5495" s="380" t="s">
        <v>767</v>
      </c>
      <c r="E5495" s="380" t="s">
        <v>786</v>
      </c>
      <c r="F5495" s="380" t="s">
        <v>998</v>
      </c>
      <c r="G5495" s="380" t="s">
        <v>1267</v>
      </c>
      <c r="H5495" s="380" t="s">
        <v>771</v>
      </c>
      <c r="I5495" s="380" t="s">
        <v>788</v>
      </c>
      <c r="J5495" s="380" t="s">
        <v>773</v>
      </c>
      <c r="K5495" s="381">
        <v>0.0</v>
      </c>
      <c r="L5495" s="382">
        <v>1.0</v>
      </c>
    </row>
    <row r="5496">
      <c r="A5496" s="380" t="s">
        <v>6370</v>
      </c>
      <c r="B5496" s="380" t="str">
        <f>IFERROR(__xludf.DUMMYFUNCTION("""COMPUTED_VALUE"""),"Cojineria Nkr Completo")</f>
        <v>Cojineria Nkr Completo</v>
      </c>
      <c r="C5496" s="380" t="str">
        <f>IFERROR(__xludf.DUMMYFUNCTION("""COMPUTED_VALUE"""),"70000878")</f>
        <v>70000878</v>
      </c>
      <c r="D5496" s="380" t="s">
        <v>767</v>
      </c>
      <c r="E5496" s="380" t="s">
        <v>786</v>
      </c>
      <c r="F5496" s="380" t="s">
        <v>792</v>
      </c>
      <c r="G5496" s="380" t="s">
        <v>1267</v>
      </c>
      <c r="H5496" s="380" t="s">
        <v>771</v>
      </c>
      <c r="I5496" s="380" t="s">
        <v>788</v>
      </c>
      <c r="J5496" s="380" t="s">
        <v>773</v>
      </c>
      <c r="K5496" s="381">
        <v>0.0</v>
      </c>
      <c r="L5496" s="382">
        <v>1.0</v>
      </c>
    </row>
    <row r="5497">
      <c r="A5497" s="380" t="s">
        <v>6371</v>
      </c>
      <c r="B5497" s="380" t="str">
        <f>IFERROR(__xludf.DUMMYFUNCTION("""COMPUTED_VALUE"""),"Cable Encauchetado 4 X 14")</f>
        <v>Cable Encauchetado 4 X 14</v>
      </c>
      <c r="C5497" s="380" t="str">
        <f>IFERROR(__xludf.DUMMYFUNCTION("""COMPUTED_VALUE"""),"70000879")</f>
        <v>70000879</v>
      </c>
      <c r="D5497" s="380" t="s">
        <v>767</v>
      </c>
      <c r="E5497" s="380" t="s">
        <v>786</v>
      </c>
      <c r="F5497" s="380" t="s">
        <v>998</v>
      </c>
      <c r="G5497" s="380" t="s">
        <v>1267</v>
      </c>
      <c r="H5497" s="380" t="s">
        <v>771</v>
      </c>
      <c r="I5497" s="380" t="s">
        <v>788</v>
      </c>
      <c r="J5497" s="380" t="s">
        <v>773</v>
      </c>
      <c r="K5497" s="381">
        <v>0.0</v>
      </c>
      <c r="L5497" s="382">
        <v>1.0</v>
      </c>
    </row>
    <row r="5498">
      <c r="A5498" s="380" t="s">
        <v>6372</v>
      </c>
      <c r="B5498" s="380" t="str">
        <f>IFERROR(__xludf.DUMMYFUNCTION("""COMPUTED_VALUE"""),"Flauta Balancin Valvula Tras Isx 2882571")</f>
        <v>Flauta Balancin Valvula Tras Isx 2882571</v>
      </c>
      <c r="C5498" s="380" t="str">
        <f>IFERROR(__xludf.DUMMYFUNCTION("""COMPUTED_VALUE"""),"70000880")</f>
        <v>70000880</v>
      </c>
      <c r="D5498" s="380" t="s">
        <v>767</v>
      </c>
      <c r="E5498" s="380" t="s">
        <v>786</v>
      </c>
      <c r="F5498" s="380" t="s">
        <v>787</v>
      </c>
      <c r="G5498" s="380" t="s">
        <v>1267</v>
      </c>
      <c r="H5498" s="380" t="s">
        <v>771</v>
      </c>
      <c r="I5498" s="380" t="s">
        <v>788</v>
      </c>
      <c r="J5498" s="380" t="s">
        <v>773</v>
      </c>
      <c r="K5498" s="381">
        <v>0.0</v>
      </c>
      <c r="L5498" s="382">
        <v>1.0</v>
      </c>
    </row>
    <row r="5499">
      <c r="A5499" s="380" t="s">
        <v>6373</v>
      </c>
      <c r="B5499" s="380" t="str">
        <f>IFERROR(__xludf.DUMMYFUNCTION("""COMPUTED_VALUE"""),"Flauta Balancin Valvula Del Isx 2882592")</f>
        <v>Flauta Balancin Valvula Del Isx 2882592</v>
      </c>
      <c r="C5499" s="380" t="str">
        <f>IFERROR(__xludf.DUMMYFUNCTION("""COMPUTED_VALUE"""),"70000881")</f>
        <v>70000881</v>
      </c>
      <c r="D5499" s="380" t="s">
        <v>767</v>
      </c>
      <c r="E5499" s="380" t="s">
        <v>786</v>
      </c>
      <c r="F5499" s="380" t="s">
        <v>787</v>
      </c>
      <c r="G5499" s="380" t="s">
        <v>1267</v>
      </c>
      <c r="H5499" s="380" t="s">
        <v>771</v>
      </c>
      <c r="I5499" s="380" t="s">
        <v>788</v>
      </c>
      <c r="J5499" s="380" t="s">
        <v>773</v>
      </c>
      <c r="K5499" s="381">
        <v>0.0</v>
      </c>
      <c r="L5499" s="382">
        <v>1.0</v>
      </c>
    </row>
    <row r="5500">
      <c r="A5500" s="380" t="s">
        <v>6374</v>
      </c>
      <c r="B5500" s="380" t="str">
        <f>IFERROR(__xludf.DUMMYFUNCTION("""COMPUTED_VALUE"""),"Campana Freno Delantero Npr 129502")</f>
        <v>Campana Freno Delantero Npr 129502</v>
      </c>
      <c r="C5500" s="380" t="str">
        <f>IFERROR(__xludf.DUMMYFUNCTION("""COMPUTED_VALUE"""),"70000882")</f>
        <v>70000882</v>
      </c>
      <c r="D5500" s="380" t="s">
        <v>767</v>
      </c>
      <c r="E5500" s="380" t="s">
        <v>786</v>
      </c>
      <c r="F5500" s="380" t="s">
        <v>1017</v>
      </c>
      <c r="G5500" s="380" t="s">
        <v>1267</v>
      </c>
      <c r="H5500" s="380" t="s">
        <v>771</v>
      </c>
      <c r="I5500" s="380" t="s">
        <v>788</v>
      </c>
      <c r="J5500" s="380" t="s">
        <v>773</v>
      </c>
      <c r="K5500" s="381">
        <v>0.0</v>
      </c>
      <c r="L5500" s="382">
        <v>1.0</v>
      </c>
    </row>
    <row r="5501">
      <c r="A5501" s="380" t="s">
        <v>6375</v>
      </c>
      <c r="B5501" s="380" t="str">
        <f>IFERROR(__xludf.DUMMYFUNCTION("""COMPUTED_VALUE"""),"Tuerca Troque Trailer Dyte 4494974")</f>
        <v>Tuerca Troque Trailer Dyte 4494974</v>
      </c>
      <c r="C5501" s="380" t="str">
        <f>IFERROR(__xludf.DUMMYFUNCTION("""COMPUTED_VALUE"""),"70000883")</f>
        <v>70000883</v>
      </c>
      <c r="D5501" s="380" t="s">
        <v>767</v>
      </c>
      <c r="E5501" s="380" t="s">
        <v>786</v>
      </c>
      <c r="F5501" s="380" t="s">
        <v>1039</v>
      </c>
      <c r="G5501" s="380" t="s">
        <v>1267</v>
      </c>
      <c r="H5501" s="380" t="s">
        <v>771</v>
      </c>
      <c r="I5501" s="380" t="s">
        <v>788</v>
      </c>
      <c r="J5501" s="380" t="s">
        <v>773</v>
      </c>
      <c r="K5501" s="381">
        <v>0.0</v>
      </c>
      <c r="L5501" s="382">
        <v>1.0</v>
      </c>
    </row>
    <row r="5502">
      <c r="A5502" s="380" t="s">
        <v>6376</v>
      </c>
      <c r="B5502" s="380" t="str">
        <f>IFERROR(__xludf.DUMMYFUNCTION("""COMPUTED_VALUE"""),"Correa Bomba Hidraulico Nkr III 17335")</f>
        <v>Correa Bomba Hidraulico Nkr III 17335</v>
      </c>
      <c r="C5502" s="380" t="str">
        <f>IFERROR(__xludf.DUMMYFUNCTION("""COMPUTED_VALUE"""),"70000884")</f>
        <v>70000884</v>
      </c>
      <c r="D5502" s="380" t="s">
        <v>767</v>
      </c>
      <c r="E5502" s="380" t="s">
        <v>786</v>
      </c>
      <c r="F5502" s="380" t="s">
        <v>787</v>
      </c>
      <c r="G5502" s="380" t="s">
        <v>1267</v>
      </c>
      <c r="H5502" s="380" t="s">
        <v>771</v>
      </c>
      <c r="I5502" s="380" t="s">
        <v>788</v>
      </c>
      <c r="J5502" s="380" t="s">
        <v>773</v>
      </c>
      <c r="K5502" s="381">
        <v>32147.0</v>
      </c>
      <c r="L5502" s="382">
        <v>1.0</v>
      </c>
    </row>
    <row r="5503">
      <c r="A5503" s="380" t="s">
        <v>6377</v>
      </c>
      <c r="B5503" s="380" t="str">
        <f>IFERROR(__xludf.DUMMYFUNCTION("""COMPUTED_VALUE"""),"Clip Cable Cambios Pequeño Npr 897011448")</f>
        <v>Clip Cable Cambios Pequeño Npr 897011448</v>
      </c>
      <c r="C5503" s="380" t="str">
        <f>IFERROR(__xludf.DUMMYFUNCTION("""COMPUTED_VALUE"""),"70000885")</f>
        <v>70000885</v>
      </c>
      <c r="D5503" s="380" t="s">
        <v>767</v>
      </c>
      <c r="E5503" s="380" t="s">
        <v>786</v>
      </c>
      <c r="F5503" s="380" t="s">
        <v>928</v>
      </c>
      <c r="G5503" s="380" t="s">
        <v>1267</v>
      </c>
      <c r="H5503" s="380" t="s">
        <v>771</v>
      </c>
      <c r="I5503" s="380" t="s">
        <v>788</v>
      </c>
      <c r="J5503" s="380" t="s">
        <v>773</v>
      </c>
      <c r="K5503" s="381">
        <v>0.0</v>
      </c>
      <c r="L5503" s="382">
        <v>1.0</v>
      </c>
    </row>
    <row r="5504">
      <c r="A5504" s="380" t="s">
        <v>6378</v>
      </c>
      <c r="B5504" s="380" t="str">
        <f>IFERROR(__xludf.DUMMYFUNCTION("""COMPUTED_VALUE"""),"Anillo Sincro Caja T Delta 3A-3303936010")</f>
        <v>Anillo Sincro Caja T Delta 3A-3303936010</v>
      </c>
      <c r="C5504" s="380" t="str">
        <f>IFERROR(__xludf.DUMMYFUNCTION("""COMPUTED_VALUE"""),"70000886")</f>
        <v>70000886</v>
      </c>
      <c r="D5504" s="380" t="s">
        <v>767</v>
      </c>
      <c r="E5504" s="380" t="s">
        <v>786</v>
      </c>
      <c r="F5504" s="380" t="s">
        <v>787</v>
      </c>
      <c r="G5504" s="380" t="s">
        <v>1267</v>
      </c>
      <c r="H5504" s="380" t="s">
        <v>771</v>
      </c>
      <c r="I5504" s="380" t="s">
        <v>788</v>
      </c>
      <c r="J5504" s="380" t="s">
        <v>773</v>
      </c>
      <c r="K5504" s="381">
        <v>0.0</v>
      </c>
      <c r="L5504" s="382">
        <v>1.0</v>
      </c>
    </row>
    <row r="5505">
      <c r="A5505" s="380" t="s">
        <v>6379</v>
      </c>
      <c r="B5505" s="380" t="str">
        <f>IFERROR(__xludf.DUMMYFUNCTION("""COMPUTED_VALUE"""),"Refuerzo Espaldar KW T800 R391081")</f>
        <v>Refuerzo Espaldar KW T800 R391081</v>
      </c>
      <c r="C5505" s="380" t="str">
        <f>IFERROR(__xludf.DUMMYFUNCTION("""COMPUTED_VALUE"""),"70000887")</f>
        <v>70000887</v>
      </c>
      <c r="D5505" s="380" t="s">
        <v>767</v>
      </c>
      <c r="E5505" s="380" t="s">
        <v>786</v>
      </c>
      <c r="F5505" s="380" t="s">
        <v>792</v>
      </c>
      <c r="G5505" s="380" t="s">
        <v>1267</v>
      </c>
      <c r="H5505" s="380" t="s">
        <v>771</v>
      </c>
      <c r="I5505" s="380" t="s">
        <v>788</v>
      </c>
      <c r="J5505" s="380" t="s">
        <v>773</v>
      </c>
      <c r="K5505" s="381">
        <v>612025.0</v>
      </c>
      <c r="L5505" s="382">
        <v>1.0</v>
      </c>
    </row>
    <row r="5506">
      <c r="A5506" s="380" t="s">
        <v>6380</v>
      </c>
      <c r="B5506" s="380" t="str">
        <f>IFERROR(__xludf.DUMMYFUNCTION("""COMPUTED_VALUE"""),"Arandela Caja 14718 4302398")</f>
        <v>Arandela Caja 14718 4302398</v>
      </c>
      <c r="C5506" s="380" t="str">
        <f>IFERROR(__xludf.DUMMYFUNCTION("""COMPUTED_VALUE"""),"70000888")</f>
        <v>70000888</v>
      </c>
      <c r="D5506" s="380" t="s">
        <v>767</v>
      </c>
      <c r="E5506" s="380" t="s">
        <v>786</v>
      </c>
      <c r="F5506" s="380" t="s">
        <v>5683</v>
      </c>
      <c r="G5506" s="380" t="s">
        <v>1267</v>
      </c>
      <c r="H5506" s="380" t="s">
        <v>771</v>
      </c>
      <c r="I5506" s="380" t="s">
        <v>788</v>
      </c>
      <c r="J5506" s="380" t="s">
        <v>773</v>
      </c>
      <c r="K5506" s="381">
        <v>0.0</v>
      </c>
      <c r="L5506" s="382">
        <v>1.0</v>
      </c>
    </row>
    <row r="5507">
      <c r="A5507" s="380" t="s">
        <v>6381</v>
      </c>
      <c r="B5507" s="380" t="str">
        <f>IFERROR(__xludf.DUMMYFUNCTION("""COMPUTED_VALUE"""),"Sopor Pasamano Sup Izq KW T800 K2755473")</f>
        <v>Sopor Pasamano Sup Izq KW T800 K2755473</v>
      </c>
      <c r="C5507" s="380" t="str">
        <f>IFERROR(__xludf.DUMMYFUNCTION("""COMPUTED_VALUE"""),"70000889")</f>
        <v>70000889</v>
      </c>
      <c r="D5507" s="380" t="s">
        <v>767</v>
      </c>
      <c r="E5507" s="380" t="s">
        <v>786</v>
      </c>
      <c r="F5507" s="380" t="s">
        <v>792</v>
      </c>
      <c r="G5507" s="380" t="s">
        <v>1267</v>
      </c>
      <c r="H5507" s="380" t="s">
        <v>771</v>
      </c>
      <c r="I5507" s="380" t="s">
        <v>788</v>
      </c>
      <c r="J5507" s="380" t="s">
        <v>773</v>
      </c>
      <c r="K5507" s="381">
        <v>0.0</v>
      </c>
      <c r="L5507" s="382">
        <v>1.0</v>
      </c>
    </row>
    <row r="5508">
      <c r="A5508" s="380" t="s">
        <v>6382</v>
      </c>
      <c r="B5508" s="380" t="str">
        <f>IFERROR(__xludf.DUMMYFUNCTION("""COMPUTED_VALUE"""),"Brazo Limpiabrisas T Delta B5222PD008")</f>
        <v>Brazo Limpiabrisas T Delta B5222PD008</v>
      </c>
      <c r="C5508" s="380" t="str">
        <f>IFERROR(__xludf.DUMMYFUNCTION("""COMPUTED_VALUE"""),"70000890")</f>
        <v>70000890</v>
      </c>
      <c r="D5508" s="380" t="s">
        <v>767</v>
      </c>
      <c r="E5508" s="380" t="s">
        <v>786</v>
      </c>
      <c r="F5508" s="380" t="s">
        <v>792</v>
      </c>
      <c r="G5508" s="380" t="s">
        <v>1267</v>
      </c>
      <c r="H5508" s="380" t="s">
        <v>771</v>
      </c>
      <c r="I5508" s="380" t="s">
        <v>788</v>
      </c>
      <c r="J5508" s="380" t="s">
        <v>773</v>
      </c>
      <c r="K5508" s="381">
        <v>0.0</v>
      </c>
      <c r="L5508" s="382">
        <v>1.0</v>
      </c>
    </row>
    <row r="5509">
      <c r="A5509" s="380" t="s">
        <v>6383</v>
      </c>
      <c r="B5509" s="380" t="str">
        <f>IFERROR(__xludf.DUMMYFUNCTION("""COMPUTED_VALUE"""),"Base Gancho Capot KW T800 K277304")</f>
        <v>Base Gancho Capot KW T800 K277304</v>
      </c>
      <c r="C5509" s="380" t="str">
        <f>IFERROR(__xludf.DUMMYFUNCTION("""COMPUTED_VALUE"""),"70000891")</f>
        <v>70000891</v>
      </c>
      <c r="D5509" s="380" t="s">
        <v>767</v>
      </c>
      <c r="E5509" s="380" t="s">
        <v>786</v>
      </c>
      <c r="F5509" s="380" t="s">
        <v>792</v>
      </c>
      <c r="G5509" s="380" t="s">
        <v>1267</v>
      </c>
      <c r="H5509" s="380" t="s">
        <v>771</v>
      </c>
      <c r="I5509" s="380" t="s">
        <v>788</v>
      </c>
      <c r="J5509" s="380" t="s">
        <v>773</v>
      </c>
      <c r="K5509" s="381">
        <v>0.0</v>
      </c>
      <c r="L5509" s="382">
        <v>1.0</v>
      </c>
    </row>
    <row r="5510">
      <c r="A5510" s="380" t="s">
        <v>6384</v>
      </c>
      <c r="B5510" s="380" t="str">
        <f>IFERROR(__xludf.DUMMYFUNCTION("""COMPUTED_VALUE"""),"Talco Direccional Cab Volkswa 2TA953161")</f>
        <v>Talco Direccional Cab Volkswa 2TA953161</v>
      </c>
      <c r="C5510" s="380" t="str">
        <f>IFERROR(__xludf.DUMMYFUNCTION("""COMPUTED_VALUE"""),"70000892")</f>
        <v>70000892</v>
      </c>
      <c r="D5510" s="380" t="s">
        <v>767</v>
      </c>
      <c r="E5510" s="380" t="s">
        <v>786</v>
      </c>
      <c r="F5510" s="380" t="s">
        <v>998</v>
      </c>
      <c r="G5510" s="380" t="s">
        <v>1267</v>
      </c>
      <c r="H5510" s="380" t="s">
        <v>771</v>
      </c>
      <c r="I5510" s="380" t="s">
        <v>788</v>
      </c>
      <c r="J5510" s="380" t="s">
        <v>773</v>
      </c>
      <c r="K5510" s="381">
        <v>0.0</v>
      </c>
      <c r="L5510" s="382">
        <v>1.0</v>
      </c>
    </row>
    <row r="5511">
      <c r="A5511" s="380" t="s">
        <v>6385</v>
      </c>
      <c r="B5511" s="380" t="str">
        <f>IFERROR(__xludf.DUMMYFUNCTION("""COMPUTED_VALUE"""),"Cubierta Espejo Exter Der Nkr 8975828315")</f>
        <v>Cubierta Espejo Exter Der Nkr 8975828315</v>
      </c>
      <c r="C5511" s="380" t="str">
        <f>IFERROR(__xludf.DUMMYFUNCTION("""COMPUTED_VALUE"""),"70000893")</f>
        <v>70000893</v>
      </c>
      <c r="D5511" s="380" t="s">
        <v>767</v>
      </c>
      <c r="E5511" s="380" t="s">
        <v>786</v>
      </c>
      <c r="F5511" s="380" t="s">
        <v>792</v>
      </c>
      <c r="G5511" s="380" t="s">
        <v>1267</v>
      </c>
      <c r="H5511" s="380" t="s">
        <v>771</v>
      </c>
      <c r="I5511" s="380" t="s">
        <v>788</v>
      </c>
      <c r="J5511" s="380" t="s">
        <v>773</v>
      </c>
      <c r="K5511" s="381">
        <v>0.0</v>
      </c>
      <c r="L5511" s="382">
        <v>1.0</v>
      </c>
    </row>
    <row r="5512">
      <c r="A5512" s="380" t="s">
        <v>6386</v>
      </c>
      <c r="B5512" s="380" t="str">
        <f>IFERROR(__xludf.DUMMYFUNCTION("""COMPUTED_VALUE"""),"Tapa Brazo Ext Espejo Nkr III 8975816312")</f>
        <v>Tapa Brazo Ext Espejo Nkr III 8975816312</v>
      </c>
      <c r="C5512" s="380" t="str">
        <f>IFERROR(__xludf.DUMMYFUNCTION("""COMPUTED_VALUE"""),"70000894")</f>
        <v>70000894</v>
      </c>
      <c r="D5512" s="380" t="s">
        <v>767</v>
      </c>
      <c r="E5512" s="380" t="s">
        <v>786</v>
      </c>
      <c r="F5512" s="380" t="s">
        <v>792</v>
      </c>
      <c r="G5512" s="380" t="s">
        <v>1267</v>
      </c>
      <c r="H5512" s="380" t="s">
        <v>771</v>
      </c>
      <c r="I5512" s="380" t="s">
        <v>788</v>
      </c>
      <c r="J5512" s="380" t="s">
        <v>773</v>
      </c>
      <c r="K5512" s="381">
        <v>0.0</v>
      </c>
      <c r="L5512" s="382">
        <v>1.0</v>
      </c>
    </row>
    <row r="5513">
      <c r="A5513" s="380" t="s">
        <v>6387</v>
      </c>
      <c r="B5513" s="380" t="str">
        <f>IFERROR(__xludf.DUMMYFUNCTION("""COMPUTED_VALUE"""),"Tapa Caja Baterias KW T800 K0972704")</f>
        <v>Tapa Caja Baterias KW T800 K0972704</v>
      </c>
      <c r="C5513" s="380" t="str">
        <f>IFERROR(__xludf.DUMMYFUNCTION("""COMPUTED_VALUE"""),"70000895")</f>
        <v>70000895</v>
      </c>
      <c r="D5513" s="380" t="s">
        <v>767</v>
      </c>
      <c r="E5513" s="380" t="s">
        <v>786</v>
      </c>
      <c r="F5513" s="380" t="s">
        <v>792</v>
      </c>
      <c r="G5513" s="380" t="s">
        <v>1267</v>
      </c>
      <c r="H5513" s="380" t="s">
        <v>771</v>
      </c>
      <c r="I5513" s="380" t="s">
        <v>788</v>
      </c>
      <c r="J5513" s="380" t="s">
        <v>773</v>
      </c>
      <c r="K5513" s="381">
        <v>0.0</v>
      </c>
      <c r="L5513" s="382">
        <v>1.0</v>
      </c>
    </row>
    <row r="5514">
      <c r="A5514" s="380" t="s">
        <v>6388</v>
      </c>
      <c r="B5514" s="380" t="str">
        <f>IFERROR(__xludf.DUMMYFUNCTION("""COMPUTED_VALUE"""),"Lampara Direccional KW T800 K256554")</f>
        <v>Lampara Direccional KW T800 K256554</v>
      </c>
      <c r="C5514" s="380" t="str">
        <f>IFERROR(__xludf.DUMMYFUNCTION("""COMPUTED_VALUE"""),"70000896")</f>
        <v>70000896</v>
      </c>
      <c r="D5514" s="380" t="s">
        <v>767</v>
      </c>
      <c r="E5514" s="380" t="s">
        <v>786</v>
      </c>
      <c r="F5514" s="380" t="s">
        <v>998</v>
      </c>
      <c r="G5514" s="380" t="s">
        <v>1267</v>
      </c>
      <c r="H5514" s="380" t="s">
        <v>771</v>
      </c>
      <c r="I5514" s="380" t="s">
        <v>788</v>
      </c>
      <c r="J5514" s="380" t="s">
        <v>773</v>
      </c>
      <c r="K5514" s="381">
        <v>0.0</v>
      </c>
      <c r="L5514" s="382">
        <v>1.0</v>
      </c>
    </row>
    <row r="5515">
      <c r="A5515" s="380" t="s">
        <v>6389</v>
      </c>
      <c r="B5515" s="380" t="str">
        <f>IFERROR(__xludf.DUMMYFUNCTION("""COMPUTED_VALUE"""),"Rodamiento Eje Corredizo Npr 8941787310")</f>
        <v>Rodamiento Eje Corredizo Npr 8941787310</v>
      </c>
      <c r="C5515" s="380" t="str">
        <f>IFERROR(__xludf.DUMMYFUNCTION("""COMPUTED_VALUE"""),"70000897")</f>
        <v>70000897</v>
      </c>
      <c r="D5515" s="380" t="s">
        <v>767</v>
      </c>
      <c r="E5515" s="380" t="s">
        <v>786</v>
      </c>
      <c r="F5515" s="380" t="s">
        <v>928</v>
      </c>
      <c r="G5515" s="380" t="s">
        <v>1267</v>
      </c>
      <c r="H5515" s="380" t="s">
        <v>771</v>
      </c>
      <c r="I5515" s="380" t="s">
        <v>788</v>
      </c>
      <c r="J5515" s="380" t="s">
        <v>773</v>
      </c>
      <c r="K5515" s="381">
        <v>0.0</v>
      </c>
      <c r="L5515" s="382">
        <v>1.0</v>
      </c>
    </row>
    <row r="5516">
      <c r="A5516" s="380" t="s">
        <v>6390</v>
      </c>
      <c r="B5516" s="380" t="str">
        <f>IFERROR(__xludf.DUMMYFUNCTION("""COMPUTED_VALUE"""),"Propulsor Caja Velocidad Npr 8971689800")</f>
        <v>Propulsor Caja Velocidad Npr 8971689800</v>
      </c>
      <c r="C5516" s="380" t="str">
        <f>IFERROR(__xludf.DUMMYFUNCTION("""COMPUTED_VALUE"""),"70000898")</f>
        <v>70000898</v>
      </c>
      <c r="D5516" s="380" t="s">
        <v>767</v>
      </c>
      <c r="E5516" s="380" t="s">
        <v>786</v>
      </c>
      <c r="F5516" s="380" t="s">
        <v>928</v>
      </c>
      <c r="G5516" s="380" t="s">
        <v>1267</v>
      </c>
      <c r="H5516" s="380" t="s">
        <v>771</v>
      </c>
      <c r="I5516" s="380" t="s">
        <v>788</v>
      </c>
      <c r="J5516" s="380" t="s">
        <v>773</v>
      </c>
      <c r="K5516" s="381">
        <v>0.0</v>
      </c>
      <c r="L5516" s="382">
        <v>1.0</v>
      </c>
    </row>
    <row r="5517">
      <c r="A5517" s="380" t="s">
        <v>6391</v>
      </c>
      <c r="B5517" s="380" t="str">
        <f>IFERROR(__xludf.DUMMYFUNCTION("""COMPUTED_VALUE"""),"Balinera Caja Npr 6306-2RS D25 C3")</f>
        <v>Balinera Caja Npr 6306-2RS D25 C3</v>
      </c>
      <c r="C5517" s="380" t="str">
        <f>IFERROR(__xludf.DUMMYFUNCTION("""COMPUTED_VALUE"""),"70000899")</f>
        <v>70000899</v>
      </c>
      <c r="D5517" s="380" t="s">
        <v>767</v>
      </c>
      <c r="E5517" s="380" t="s">
        <v>786</v>
      </c>
      <c r="F5517" s="380" t="s">
        <v>928</v>
      </c>
      <c r="G5517" s="380" t="s">
        <v>1267</v>
      </c>
      <c r="H5517" s="380" t="s">
        <v>771</v>
      </c>
      <c r="I5517" s="380" t="s">
        <v>788</v>
      </c>
      <c r="J5517" s="380" t="s">
        <v>773</v>
      </c>
      <c r="K5517" s="381">
        <v>41659.0</v>
      </c>
      <c r="L5517" s="382">
        <v>1.0</v>
      </c>
    </row>
    <row r="5518">
      <c r="A5518" s="380" t="s">
        <v>6392</v>
      </c>
      <c r="B5518" s="380" t="str">
        <f>IFERROR(__xludf.DUMMYFUNCTION("""COMPUTED_VALUE"""),"Empaque Parabrisas Curvo KW T800 R421098")</f>
        <v>Empaque Parabrisas Curvo KW T800 R421098</v>
      </c>
      <c r="C5518" s="380" t="str">
        <f>IFERROR(__xludf.DUMMYFUNCTION("""COMPUTED_VALUE"""),"70000900")</f>
        <v>70000900</v>
      </c>
      <c r="D5518" s="380" t="s">
        <v>767</v>
      </c>
      <c r="E5518" s="380" t="s">
        <v>786</v>
      </c>
      <c r="F5518" s="380" t="s">
        <v>792</v>
      </c>
      <c r="G5518" s="380" t="s">
        <v>1267</v>
      </c>
      <c r="H5518" s="380" t="s">
        <v>771</v>
      </c>
      <c r="I5518" s="380" t="s">
        <v>788</v>
      </c>
      <c r="J5518" s="380" t="s">
        <v>773</v>
      </c>
      <c r="K5518" s="381">
        <v>583100.0</v>
      </c>
      <c r="L5518" s="382">
        <v>1.0</v>
      </c>
    </row>
    <row r="5519">
      <c r="A5519" s="380" t="s">
        <v>6393</v>
      </c>
      <c r="B5519" s="380" t="str">
        <f>IFERROR(__xludf.DUMMYFUNCTION("""COMPUTED_VALUE"""),"Pistoncillo Freno Motor Isx 3413129")</f>
        <v>Pistoncillo Freno Motor Isx 3413129</v>
      </c>
      <c r="C5519" s="380" t="str">
        <f>IFERROR(__xludf.DUMMYFUNCTION("""COMPUTED_VALUE"""),"70000901")</f>
        <v>70000901</v>
      </c>
      <c r="D5519" s="380" t="s">
        <v>767</v>
      </c>
      <c r="E5519" s="380" t="s">
        <v>786</v>
      </c>
      <c r="F5519" s="380" t="s">
        <v>787</v>
      </c>
      <c r="G5519" s="380" t="s">
        <v>1267</v>
      </c>
      <c r="H5519" s="380" t="s">
        <v>771</v>
      </c>
      <c r="I5519" s="380" t="s">
        <v>788</v>
      </c>
      <c r="J5519" s="380" t="s">
        <v>773</v>
      </c>
      <c r="K5519" s="381">
        <v>0.0</v>
      </c>
      <c r="L5519" s="382">
        <v>1.0</v>
      </c>
    </row>
    <row r="5520">
      <c r="A5520" s="380" t="s">
        <v>6394</v>
      </c>
      <c r="B5520" s="380" t="str">
        <f>IFERROR(__xludf.DUMMYFUNCTION("""COMPUTED_VALUE"""),"Sensor Temp Agua Volkswague TE3919501")</f>
        <v>Sensor Temp Agua Volkswague TE3919501</v>
      </c>
      <c r="C5520" s="380" t="str">
        <f>IFERROR(__xludf.DUMMYFUNCTION("""COMPUTED_VALUE"""),"70000902")</f>
        <v>70000902</v>
      </c>
      <c r="D5520" s="380" t="s">
        <v>767</v>
      </c>
      <c r="E5520" s="380" t="s">
        <v>786</v>
      </c>
      <c r="F5520" s="380" t="s">
        <v>998</v>
      </c>
      <c r="G5520" s="380" t="s">
        <v>1267</v>
      </c>
      <c r="H5520" s="380" t="s">
        <v>771</v>
      </c>
      <c r="I5520" s="380" t="s">
        <v>788</v>
      </c>
      <c r="J5520" s="380" t="s">
        <v>773</v>
      </c>
      <c r="K5520" s="381">
        <v>0.0</v>
      </c>
      <c r="L5520" s="382">
        <v>1.0</v>
      </c>
    </row>
    <row r="5521">
      <c r="A5521" s="380" t="s">
        <v>6395</v>
      </c>
      <c r="B5521" s="380" t="str">
        <f>IFERROR(__xludf.DUMMYFUNCTION("""COMPUTED_VALUE"""),"Filtro De Combustible N 200-5496962")</f>
        <v>Filtro De Combustible N 200-5496962</v>
      </c>
      <c r="C5521" s="380" t="str">
        <f>IFERROR(__xludf.DUMMYFUNCTION("""COMPUTED_VALUE"""),"70000903")</f>
        <v>70000903</v>
      </c>
      <c r="D5521" s="380" t="s">
        <v>767</v>
      </c>
      <c r="E5521" s="380" t="s">
        <v>786</v>
      </c>
      <c r="F5521" s="380" t="s">
        <v>5855</v>
      </c>
      <c r="G5521" s="380" t="s">
        <v>1267</v>
      </c>
      <c r="H5521" s="380" t="s">
        <v>771</v>
      </c>
      <c r="I5521" s="380" t="s">
        <v>788</v>
      </c>
      <c r="J5521" s="380" t="s">
        <v>773</v>
      </c>
      <c r="K5521" s="381">
        <v>53312.0</v>
      </c>
      <c r="L5521" s="382">
        <v>1.0</v>
      </c>
    </row>
    <row r="5522">
      <c r="A5522" s="380" t="s">
        <v>6396</v>
      </c>
      <c r="B5522" s="380" t="str">
        <f>IFERROR(__xludf.DUMMYFUNCTION("""COMPUTED_VALUE"""),"Filtro Aire Motor N 200-24512521")</f>
        <v>Filtro Aire Motor N 200-24512521</v>
      </c>
      <c r="C5522" s="380" t="str">
        <f>IFERROR(__xludf.DUMMYFUNCTION("""COMPUTED_VALUE"""),"70000904")</f>
        <v>70000904</v>
      </c>
      <c r="D5522" s="380" t="s">
        <v>767</v>
      </c>
      <c r="E5522" s="380" t="s">
        <v>786</v>
      </c>
      <c r="F5522" s="380" t="s">
        <v>5855</v>
      </c>
      <c r="G5522" s="380" t="s">
        <v>1267</v>
      </c>
      <c r="H5522" s="380" t="s">
        <v>771</v>
      </c>
      <c r="I5522" s="380" t="s">
        <v>788</v>
      </c>
      <c r="J5522" s="380" t="s">
        <v>773</v>
      </c>
      <c r="K5522" s="381">
        <v>23086.0</v>
      </c>
      <c r="L5522" s="382">
        <v>1.0</v>
      </c>
    </row>
    <row r="5523">
      <c r="A5523" s="380" t="s">
        <v>6397</v>
      </c>
      <c r="B5523" s="380" t="str">
        <f>IFERROR(__xludf.DUMMYFUNCTION("""COMPUTED_VALUE"""),"Valvula Magnetica Npr 8973741601")</f>
        <v>Valvula Magnetica Npr 8973741601</v>
      </c>
      <c r="C5523" s="380" t="str">
        <f>IFERROR(__xludf.DUMMYFUNCTION("""COMPUTED_VALUE"""),"70000905")</f>
        <v>70000905</v>
      </c>
      <c r="D5523" s="380" t="s">
        <v>767</v>
      </c>
      <c r="E5523" s="380" t="s">
        <v>786</v>
      </c>
      <c r="F5523" s="380" t="s">
        <v>787</v>
      </c>
      <c r="G5523" s="380" t="s">
        <v>1267</v>
      </c>
      <c r="H5523" s="380" t="s">
        <v>771</v>
      </c>
      <c r="I5523" s="380" t="s">
        <v>788</v>
      </c>
      <c r="J5523" s="380" t="s">
        <v>773</v>
      </c>
      <c r="K5523" s="381">
        <v>541688.0</v>
      </c>
      <c r="L5523" s="382">
        <v>1.0</v>
      </c>
    </row>
    <row r="5524">
      <c r="A5524" s="380" t="s">
        <v>6398</v>
      </c>
      <c r="B5524" s="380" t="str">
        <f>IFERROR(__xludf.DUMMYFUNCTION("""COMPUTED_VALUE"""),"Enflanche Divisor Del 46 Dientes KW800")</f>
        <v>Enflanche Divisor Del 46 Dientes KW800</v>
      </c>
      <c r="C5524" s="380" t="str">
        <f>IFERROR(__xludf.DUMMYFUNCTION("""COMPUTED_VALUE"""),"70000906")</f>
        <v>70000906</v>
      </c>
      <c r="D5524" s="380" t="s">
        <v>767</v>
      </c>
      <c r="E5524" s="380" t="s">
        <v>786</v>
      </c>
      <c r="F5524" s="380" t="s">
        <v>5683</v>
      </c>
      <c r="G5524" s="380" t="s">
        <v>1267</v>
      </c>
      <c r="H5524" s="380" t="s">
        <v>771</v>
      </c>
      <c r="I5524" s="380" t="s">
        <v>788</v>
      </c>
      <c r="J5524" s="380" t="s">
        <v>773</v>
      </c>
      <c r="K5524" s="381">
        <v>0.0</v>
      </c>
      <c r="L5524" s="382">
        <v>1.0</v>
      </c>
    </row>
    <row r="5525">
      <c r="A5525" s="380" t="s">
        <v>6399</v>
      </c>
      <c r="B5525" s="380" t="str">
        <f>IFERROR(__xludf.DUMMYFUNCTION("""COMPUTED_VALUE"""),"Manija Paral Cabina Nhr 8978672091")</f>
        <v>Manija Paral Cabina Nhr 8978672091</v>
      </c>
      <c r="C5525" s="380" t="str">
        <f>IFERROR(__xludf.DUMMYFUNCTION("""COMPUTED_VALUE"""),"70000907")</f>
        <v>70000907</v>
      </c>
      <c r="D5525" s="380" t="s">
        <v>767</v>
      </c>
      <c r="E5525" s="380" t="s">
        <v>786</v>
      </c>
      <c r="F5525" s="380" t="s">
        <v>792</v>
      </c>
      <c r="G5525" s="380" t="s">
        <v>1267</v>
      </c>
      <c r="H5525" s="380" t="s">
        <v>771</v>
      </c>
      <c r="I5525" s="380" t="s">
        <v>788</v>
      </c>
      <c r="J5525" s="380" t="s">
        <v>773</v>
      </c>
      <c r="K5525" s="381">
        <v>0.0</v>
      </c>
      <c r="L5525" s="382">
        <v>1.0</v>
      </c>
    </row>
    <row r="5526">
      <c r="A5526" s="380" t="s">
        <v>6400</v>
      </c>
      <c r="B5526" s="380" t="str">
        <f>IFERROR(__xludf.DUMMYFUNCTION("""COMPUTED_VALUE"""),"Kit Empaque Turbo Hi DT 466E-1823181C92")</f>
        <v>Kit Empaque Turbo Hi DT 466E-1823181C92</v>
      </c>
      <c r="C5526" s="380" t="str">
        <f>IFERROR(__xludf.DUMMYFUNCTION("""COMPUTED_VALUE"""),"70000908")</f>
        <v>70000908</v>
      </c>
      <c r="D5526" s="380" t="s">
        <v>767</v>
      </c>
      <c r="E5526" s="380" t="s">
        <v>786</v>
      </c>
      <c r="F5526" s="380" t="s">
        <v>787</v>
      </c>
      <c r="G5526" s="380" t="s">
        <v>1267</v>
      </c>
      <c r="H5526" s="380" t="s">
        <v>771</v>
      </c>
      <c r="I5526" s="380" t="s">
        <v>788</v>
      </c>
      <c r="J5526" s="380" t="s">
        <v>773</v>
      </c>
      <c r="K5526" s="381">
        <v>0.0</v>
      </c>
      <c r="L5526" s="382">
        <v>1.0</v>
      </c>
    </row>
    <row r="5527">
      <c r="A5527" s="380" t="s">
        <v>6401</v>
      </c>
      <c r="B5527" s="380" t="str">
        <f>IFERROR(__xludf.DUMMYFUNCTION("""COMPUTED_VALUE"""),"Direccional Del Izq Hino 8162125020")</f>
        <v>Direccional Del Izq Hino 8162125020</v>
      </c>
      <c r="C5527" s="380" t="str">
        <f>IFERROR(__xludf.DUMMYFUNCTION("""COMPUTED_VALUE"""),"70000909")</f>
        <v>70000909</v>
      </c>
      <c r="D5527" s="380" t="s">
        <v>767</v>
      </c>
      <c r="E5527" s="380" t="s">
        <v>786</v>
      </c>
      <c r="F5527" s="380" t="s">
        <v>998</v>
      </c>
      <c r="G5527" s="380" t="s">
        <v>1267</v>
      </c>
      <c r="H5527" s="380" t="s">
        <v>771</v>
      </c>
      <c r="I5527" s="380" t="s">
        <v>788</v>
      </c>
      <c r="J5527" s="380" t="s">
        <v>773</v>
      </c>
      <c r="K5527" s="381">
        <v>0.0</v>
      </c>
      <c r="L5527" s="382">
        <v>1.0</v>
      </c>
    </row>
    <row r="5528">
      <c r="A5528" s="380" t="s">
        <v>6402</v>
      </c>
      <c r="B5528" s="380" t="str">
        <f>IFERROR(__xludf.DUMMYFUNCTION("""COMPUTED_VALUE"""),"Rodamiento Speed Diferencial Nkr 8100090")</f>
        <v>Rodamiento Speed Diferencial Nkr 8100090</v>
      </c>
      <c r="C5528" s="380" t="str">
        <f>IFERROR(__xludf.DUMMYFUNCTION("""COMPUTED_VALUE"""),"70000910")</f>
        <v>70000910</v>
      </c>
      <c r="D5528" s="380" t="s">
        <v>767</v>
      </c>
      <c r="E5528" s="380" t="s">
        <v>786</v>
      </c>
      <c r="F5528" s="380" t="s">
        <v>5683</v>
      </c>
      <c r="G5528" s="380" t="s">
        <v>1267</v>
      </c>
      <c r="H5528" s="380" t="s">
        <v>771</v>
      </c>
      <c r="I5528" s="380" t="s">
        <v>788</v>
      </c>
      <c r="J5528" s="380" t="s">
        <v>773</v>
      </c>
      <c r="K5528" s="381">
        <v>0.0</v>
      </c>
      <c r="L5528" s="382">
        <v>1.0</v>
      </c>
    </row>
    <row r="5529">
      <c r="A5529" s="380" t="s">
        <v>6403</v>
      </c>
      <c r="B5529" s="380" t="str">
        <f>IFERROR(__xludf.DUMMYFUNCTION("""COMPUTED_VALUE"""),"Arandela Aju Speed Difer Nkr 9415626010")</f>
        <v>Arandela Aju Speed Difer Nkr 9415626010</v>
      </c>
      <c r="C5529" s="380" t="str">
        <f>IFERROR(__xludf.DUMMYFUNCTION("""COMPUTED_VALUE"""),"70000911")</f>
        <v>70000911</v>
      </c>
      <c r="D5529" s="380" t="s">
        <v>767</v>
      </c>
      <c r="E5529" s="380" t="s">
        <v>786</v>
      </c>
      <c r="F5529" s="380" t="s">
        <v>5683</v>
      </c>
      <c r="G5529" s="380" t="s">
        <v>1267</v>
      </c>
      <c r="H5529" s="380" t="s">
        <v>771</v>
      </c>
      <c r="I5529" s="380" t="s">
        <v>788</v>
      </c>
      <c r="J5529" s="380" t="s">
        <v>773</v>
      </c>
      <c r="K5529" s="381">
        <v>0.0</v>
      </c>
      <c r="L5529" s="382">
        <v>1.0</v>
      </c>
    </row>
    <row r="5530">
      <c r="A5530" s="380" t="s">
        <v>6404</v>
      </c>
      <c r="B5530" s="380" t="str">
        <f>IFERROR(__xludf.DUMMYFUNCTION("""COMPUTED_VALUE"""),"Engrane Planetario Difer Nkr 8973625990")</f>
        <v>Engrane Planetario Difer Nkr 8973625990</v>
      </c>
      <c r="C5530" s="380" t="str">
        <f>IFERROR(__xludf.DUMMYFUNCTION("""COMPUTED_VALUE"""),"70000912")</f>
        <v>70000912</v>
      </c>
      <c r="D5530" s="380" t="s">
        <v>767</v>
      </c>
      <c r="E5530" s="380" t="s">
        <v>786</v>
      </c>
      <c r="F5530" s="380" t="s">
        <v>5683</v>
      </c>
      <c r="G5530" s="380" t="s">
        <v>1267</v>
      </c>
      <c r="H5530" s="380" t="s">
        <v>771</v>
      </c>
      <c r="I5530" s="380" t="s">
        <v>788</v>
      </c>
      <c r="J5530" s="380" t="s">
        <v>773</v>
      </c>
      <c r="K5530" s="381">
        <v>0.0</v>
      </c>
      <c r="L5530" s="382">
        <v>1.0</v>
      </c>
    </row>
    <row r="5531">
      <c r="A5531" s="380" t="s">
        <v>6405</v>
      </c>
      <c r="B5531" s="380" t="str">
        <f>IFERROR(__xludf.DUMMYFUNCTION("""COMPUTED_VALUE"""),"Piñon Planetario Difer Nkr 8980152020")</f>
        <v>Piñon Planetario Difer Nkr 8980152020</v>
      </c>
      <c r="C5531" s="380" t="str">
        <f>IFERROR(__xludf.DUMMYFUNCTION("""COMPUTED_VALUE"""),"70000913")</f>
        <v>70000913</v>
      </c>
      <c r="D5531" s="380" t="s">
        <v>767</v>
      </c>
      <c r="E5531" s="380" t="s">
        <v>786</v>
      </c>
      <c r="F5531" s="380" t="s">
        <v>5683</v>
      </c>
      <c r="G5531" s="380" t="s">
        <v>1267</v>
      </c>
      <c r="H5531" s="380" t="s">
        <v>771</v>
      </c>
      <c r="I5531" s="380" t="s">
        <v>788</v>
      </c>
      <c r="J5531" s="380" t="s">
        <v>773</v>
      </c>
      <c r="K5531" s="381">
        <v>0.0</v>
      </c>
      <c r="L5531" s="382">
        <v>1.0</v>
      </c>
    </row>
    <row r="5532">
      <c r="A5532" s="380" t="s">
        <v>6406</v>
      </c>
      <c r="B5532" s="380" t="str">
        <f>IFERROR(__xludf.DUMMYFUNCTION("""COMPUTED_VALUE"""),"Reten Speed Eje/Tr Difer Nkr 8944080830")</f>
        <v>Reten Speed Eje/Tr Difer Nkr 8944080830</v>
      </c>
      <c r="C5532" s="380" t="str">
        <f>IFERROR(__xludf.DUMMYFUNCTION("""COMPUTED_VALUE"""),"70000914")</f>
        <v>70000914</v>
      </c>
      <c r="D5532" s="380" t="s">
        <v>767</v>
      </c>
      <c r="E5532" s="380" t="s">
        <v>786</v>
      </c>
      <c r="F5532" s="380" t="s">
        <v>5683</v>
      </c>
      <c r="G5532" s="380" t="s">
        <v>1267</v>
      </c>
      <c r="H5532" s="380" t="s">
        <v>771</v>
      </c>
      <c r="I5532" s="380" t="s">
        <v>788</v>
      </c>
      <c r="J5532" s="380" t="s">
        <v>773</v>
      </c>
      <c r="K5532" s="381">
        <v>45333.0</v>
      </c>
      <c r="L5532" s="382">
        <v>1.0</v>
      </c>
    </row>
    <row r="5533">
      <c r="A5533" s="380" t="s">
        <v>6407</v>
      </c>
      <c r="B5533" s="380" t="str">
        <f>IFERROR(__xludf.DUMMYFUNCTION("""COMPUTED_VALUE"""),"Soporte Caja T Delta 1237187309")</f>
        <v>Soporte Caja T Delta 1237187309</v>
      </c>
      <c r="C5533" s="380" t="str">
        <f>IFERROR(__xludf.DUMMYFUNCTION("""COMPUTED_VALUE"""),"70000915")</f>
        <v>70000915</v>
      </c>
      <c r="D5533" s="380" t="s">
        <v>767</v>
      </c>
      <c r="E5533" s="380" t="s">
        <v>786</v>
      </c>
      <c r="F5533" s="380" t="s">
        <v>928</v>
      </c>
      <c r="G5533" s="380" t="s">
        <v>1267</v>
      </c>
      <c r="H5533" s="380" t="s">
        <v>771</v>
      </c>
      <c r="I5533" s="380" t="s">
        <v>788</v>
      </c>
      <c r="J5533" s="380" t="s">
        <v>773</v>
      </c>
      <c r="K5533" s="381">
        <v>0.0</v>
      </c>
      <c r="L5533" s="382">
        <v>1.0</v>
      </c>
    </row>
    <row r="5534">
      <c r="A5534" s="380" t="s">
        <v>6408</v>
      </c>
      <c r="B5534" s="380" t="str">
        <f>IFERROR(__xludf.DUMMYFUNCTION("""COMPUTED_VALUE"""),"Bocin Rueda Delera Nhr 8970347690")</f>
        <v>Bocin Rueda Delera Nhr 8970347690</v>
      </c>
      <c r="C5534" s="380" t="str">
        <f>IFERROR(__xludf.DUMMYFUNCTION("""COMPUTED_VALUE"""),"70000916")</f>
        <v>70000916</v>
      </c>
      <c r="D5534" s="380" t="s">
        <v>767</v>
      </c>
      <c r="E5534" s="380" t="s">
        <v>786</v>
      </c>
      <c r="F5534" s="380" t="s">
        <v>1017</v>
      </c>
      <c r="G5534" s="380" t="s">
        <v>1267</v>
      </c>
      <c r="H5534" s="380" t="s">
        <v>771</v>
      </c>
      <c r="I5534" s="380" t="s">
        <v>788</v>
      </c>
      <c r="J5534" s="380" t="s">
        <v>773</v>
      </c>
      <c r="K5534" s="381">
        <v>0.0</v>
      </c>
      <c r="L5534" s="382">
        <v>1.0</v>
      </c>
    </row>
    <row r="5535">
      <c r="A5535" s="380" t="s">
        <v>6409</v>
      </c>
      <c r="B5535" s="380" t="str">
        <f>IFERROR(__xludf.DUMMYFUNCTION("""COMPUTED_VALUE"""),"Vidrio Trasero Cabina Eagle 9400")</f>
        <v>Vidrio Trasero Cabina Eagle 9400</v>
      </c>
      <c r="C5535" s="380" t="str">
        <f>IFERROR(__xludf.DUMMYFUNCTION("""COMPUTED_VALUE"""),"70000917")</f>
        <v>70000917</v>
      </c>
      <c r="D5535" s="380" t="s">
        <v>767</v>
      </c>
      <c r="E5535" s="380" t="s">
        <v>786</v>
      </c>
      <c r="F5535" s="380" t="s">
        <v>792</v>
      </c>
      <c r="G5535" s="380" t="s">
        <v>1267</v>
      </c>
      <c r="H5535" s="380" t="s">
        <v>771</v>
      </c>
      <c r="I5535" s="380" t="s">
        <v>788</v>
      </c>
      <c r="J5535" s="380" t="s">
        <v>773</v>
      </c>
      <c r="K5535" s="381">
        <v>0.0</v>
      </c>
      <c r="L5535" s="382">
        <v>1.0</v>
      </c>
    </row>
    <row r="5536">
      <c r="A5536" s="380" t="s">
        <v>6410</v>
      </c>
      <c r="B5536" s="380" t="str">
        <f>IFERROR(__xludf.DUMMYFUNCTION("""COMPUTED_VALUE"""),"Platina Muelle Del/Tra Eag 3525664C1")</f>
        <v>Platina Muelle Del/Tra Eag 3525664C1</v>
      </c>
      <c r="C5536" s="380" t="str">
        <f>IFERROR(__xludf.DUMMYFUNCTION("""COMPUTED_VALUE"""),"70000918")</f>
        <v>70000918</v>
      </c>
      <c r="D5536" s="380" t="s">
        <v>767</v>
      </c>
      <c r="E5536" s="380" t="s">
        <v>786</v>
      </c>
      <c r="F5536" s="380" t="s">
        <v>1039</v>
      </c>
      <c r="G5536" s="380" t="s">
        <v>1267</v>
      </c>
      <c r="H5536" s="380" t="s">
        <v>771</v>
      </c>
      <c r="I5536" s="380" t="s">
        <v>788</v>
      </c>
      <c r="J5536" s="380" t="s">
        <v>773</v>
      </c>
      <c r="K5536" s="381">
        <v>0.0</v>
      </c>
      <c r="L5536" s="382">
        <v>1.0</v>
      </c>
    </row>
    <row r="5537">
      <c r="A5537" s="380" t="s">
        <v>6411</v>
      </c>
      <c r="B5537" s="380" t="str">
        <f>IFERROR(__xludf.DUMMYFUNCTION("""COMPUTED_VALUE"""),"Empaquetadura Motor Nkr 5878151752")</f>
        <v>Empaquetadura Motor Nkr 5878151752</v>
      </c>
      <c r="C5537" s="380" t="str">
        <f>IFERROR(__xludf.DUMMYFUNCTION("""COMPUTED_VALUE"""),"70000919")</f>
        <v>70000919</v>
      </c>
      <c r="D5537" s="380" t="s">
        <v>767</v>
      </c>
      <c r="E5537" s="380" t="s">
        <v>786</v>
      </c>
      <c r="F5537" s="380" t="s">
        <v>787</v>
      </c>
      <c r="G5537" s="380" t="s">
        <v>1267</v>
      </c>
      <c r="H5537" s="380" t="s">
        <v>771</v>
      </c>
      <c r="I5537" s="380" t="s">
        <v>788</v>
      </c>
      <c r="J5537" s="380" t="s">
        <v>773</v>
      </c>
      <c r="K5537" s="381">
        <v>0.0</v>
      </c>
      <c r="L5537" s="382">
        <v>1.0</v>
      </c>
    </row>
    <row r="5538">
      <c r="A5538" s="380" t="s">
        <v>6412</v>
      </c>
      <c r="B5538" s="380" t="str">
        <f>IFERROR(__xludf.DUMMYFUNCTION("""COMPUTED_VALUE"""),"Horquilla 3ra Y 4ta Volkswagen 3344343")</f>
        <v>Horquilla 3ra Y 4ta Volkswagen 3344343</v>
      </c>
      <c r="C5538" s="380" t="str">
        <f>IFERROR(__xludf.DUMMYFUNCTION("""COMPUTED_VALUE"""),"70000920")</f>
        <v>70000920</v>
      </c>
      <c r="D5538" s="380" t="s">
        <v>767</v>
      </c>
      <c r="E5538" s="380" t="s">
        <v>786</v>
      </c>
      <c r="F5538" s="380" t="s">
        <v>928</v>
      </c>
      <c r="G5538" s="380" t="s">
        <v>1267</v>
      </c>
      <c r="H5538" s="380" t="s">
        <v>771</v>
      </c>
      <c r="I5538" s="380" t="s">
        <v>788</v>
      </c>
      <c r="J5538" s="380" t="s">
        <v>773</v>
      </c>
      <c r="K5538" s="381">
        <v>0.0</v>
      </c>
      <c r="L5538" s="382">
        <v>1.0</v>
      </c>
    </row>
    <row r="5539">
      <c r="A5539" s="380" t="s">
        <v>6413</v>
      </c>
      <c r="B5539" s="380" t="str">
        <f>IFERROR(__xludf.DUMMYFUNCTION("""COMPUTED_VALUE"""),"Anillo Sincr 3ra/4ta Volkswagen 3344220")</f>
        <v>Anillo Sincr 3ra/4ta Volkswagen 3344220</v>
      </c>
      <c r="C5539" s="380" t="str">
        <f>IFERROR(__xludf.DUMMYFUNCTION("""COMPUTED_VALUE"""),"70000921")</f>
        <v>70000921</v>
      </c>
      <c r="D5539" s="380" t="s">
        <v>767</v>
      </c>
      <c r="E5539" s="380" t="s">
        <v>786</v>
      </c>
      <c r="F5539" s="380" t="s">
        <v>928</v>
      </c>
      <c r="G5539" s="380" t="s">
        <v>1267</v>
      </c>
      <c r="H5539" s="380" t="s">
        <v>771</v>
      </c>
      <c r="I5539" s="380" t="s">
        <v>788</v>
      </c>
      <c r="J5539" s="380" t="s">
        <v>773</v>
      </c>
      <c r="K5539" s="381">
        <v>0.0</v>
      </c>
      <c r="L5539" s="382">
        <v>1.0</v>
      </c>
    </row>
    <row r="5540">
      <c r="A5540" s="380" t="s">
        <v>6414</v>
      </c>
      <c r="B5540" s="380" t="str">
        <f>IFERROR(__xludf.DUMMYFUNCTION("""COMPUTED_VALUE"""),"Anillo Sincr 3ra/4ta Volkswagen 3344328")</f>
        <v>Anillo Sincr 3ra/4ta Volkswagen 3344328</v>
      </c>
      <c r="C5540" s="380" t="str">
        <f>IFERROR(__xludf.DUMMYFUNCTION("""COMPUTED_VALUE"""),"70000922")</f>
        <v>70000922</v>
      </c>
      <c r="D5540" s="380" t="s">
        <v>767</v>
      </c>
      <c r="E5540" s="380" t="s">
        <v>786</v>
      </c>
      <c r="F5540" s="380" t="s">
        <v>928</v>
      </c>
      <c r="G5540" s="380" t="s">
        <v>1267</v>
      </c>
      <c r="H5540" s="380" t="s">
        <v>771</v>
      </c>
      <c r="I5540" s="380" t="s">
        <v>788</v>
      </c>
      <c r="J5540" s="380" t="s">
        <v>773</v>
      </c>
      <c r="K5540" s="381">
        <v>0.0</v>
      </c>
      <c r="L5540" s="382">
        <v>1.0</v>
      </c>
    </row>
    <row r="5541">
      <c r="A5541" s="380" t="s">
        <v>6415</v>
      </c>
      <c r="B5541" s="380" t="str">
        <f>IFERROR(__xludf.DUMMYFUNCTION("""COMPUTED_VALUE"""),"Anillo Sincro Rev Volkswgen 3341371")</f>
        <v>Anillo Sincro Rev Volkswgen 3341371</v>
      </c>
      <c r="C5541" s="380" t="str">
        <f>IFERROR(__xludf.DUMMYFUNCTION("""COMPUTED_VALUE"""),"70000923")</f>
        <v>70000923</v>
      </c>
      <c r="D5541" s="380" t="s">
        <v>767</v>
      </c>
      <c r="E5541" s="380" t="s">
        <v>786</v>
      </c>
      <c r="F5541" s="380" t="s">
        <v>928</v>
      </c>
      <c r="G5541" s="380" t="s">
        <v>1267</v>
      </c>
      <c r="H5541" s="380" t="s">
        <v>771</v>
      </c>
      <c r="I5541" s="380" t="s">
        <v>788</v>
      </c>
      <c r="J5541" s="380" t="s">
        <v>773</v>
      </c>
      <c r="K5541" s="381">
        <v>0.0</v>
      </c>
      <c r="L5541" s="382">
        <v>1.0</v>
      </c>
    </row>
    <row r="5542">
      <c r="A5542" s="380" t="s">
        <v>6416</v>
      </c>
      <c r="B5542" s="380" t="str">
        <f>IFERROR(__xludf.DUMMYFUNCTION("""COMPUTED_VALUE"""),"Anillo Sincro 1ra/2da Volkswgen 3344274")</f>
        <v>Anillo Sincro 1ra/2da Volkswgen 3344274</v>
      </c>
      <c r="C5542" s="380" t="str">
        <f>IFERROR(__xludf.DUMMYFUNCTION("""COMPUTED_VALUE"""),"70000924")</f>
        <v>70000924</v>
      </c>
      <c r="D5542" s="380" t="s">
        <v>767</v>
      </c>
      <c r="E5542" s="380" t="s">
        <v>786</v>
      </c>
      <c r="F5542" s="380" t="s">
        <v>928</v>
      </c>
      <c r="G5542" s="380" t="s">
        <v>1267</v>
      </c>
      <c r="H5542" s="380" t="s">
        <v>771</v>
      </c>
      <c r="I5542" s="380" t="s">
        <v>788</v>
      </c>
      <c r="J5542" s="380" t="s">
        <v>773</v>
      </c>
      <c r="K5542" s="381">
        <v>0.0</v>
      </c>
      <c r="L5542" s="382">
        <v>1.0</v>
      </c>
    </row>
    <row r="5543">
      <c r="A5543" s="380" t="s">
        <v>6417</v>
      </c>
      <c r="B5543" s="380" t="str">
        <f>IFERROR(__xludf.DUMMYFUNCTION("""COMPUTED_VALUE"""),"Piñon 5ta Corredizo Volkswagen 3344769")</f>
        <v>Piñon 5ta Corredizo Volkswagen 3344769</v>
      </c>
      <c r="C5543" s="380" t="str">
        <f>IFERROR(__xludf.DUMMYFUNCTION("""COMPUTED_VALUE"""),"70000925")</f>
        <v>70000925</v>
      </c>
      <c r="D5543" s="380" t="s">
        <v>767</v>
      </c>
      <c r="E5543" s="380" t="s">
        <v>786</v>
      </c>
      <c r="F5543" s="380" t="s">
        <v>928</v>
      </c>
      <c r="G5543" s="380" t="s">
        <v>1267</v>
      </c>
      <c r="H5543" s="380" t="s">
        <v>771</v>
      </c>
      <c r="I5543" s="380" t="s">
        <v>788</v>
      </c>
      <c r="J5543" s="380" t="s">
        <v>773</v>
      </c>
      <c r="K5543" s="381">
        <v>0.0</v>
      </c>
      <c r="L5543" s="382">
        <v>1.0</v>
      </c>
    </row>
    <row r="5544">
      <c r="A5544" s="380" t="s">
        <v>6418</v>
      </c>
      <c r="B5544" s="380" t="str">
        <f>IFERROR(__xludf.DUMMYFUNCTION("""COMPUTED_VALUE"""),"Sincro 5ta/Rev Volkswagen 3344243")</f>
        <v>Sincro 5ta/Rev Volkswagen 3344243</v>
      </c>
      <c r="C5544" s="380" t="str">
        <f>IFERROR(__xludf.DUMMYFUNCTION("""COMPUTED_VALUE"""),"70000926")</f>
        <v>70000926</v>
      </c>
      <c r="D5544" s="380" t="s">
        <v>767</v>
      </c>
      <c r="E5544" s="380" t="s">
        <v>786</v>
      </c>
      <c r="F5544" s="380" t="s">
        <v>928</v>
      </c>
      <c r="G5544" s="380" t="s">
        <v>1267</v>
      </c>
      <c r="H5544" s="380" t="s">
        <v>771</v>
      </c>
      <c r="I5544" s="380" t="s">
        <v>788</v>
      </c>
      <c r="J5544" s="380" t="s">
        <v>773</v>
      </c>
      <c r="K5544" s="381">
        <v>0.0</v>
      </c>
      <c r="L5544" s="382">
        <v>1.0</v>
      </c>
    </row>
    <row r="5545">
      <c r="A5545" s="380" t="s">
        <v>6419</v>
      </c>
      <c r="B5545" s="380" t="str">
        <f>IFERROR(__xludf.DUMMYFUNCTION("""COMPUTED_VALUE"""),"Carreta Compuerta Contenedor Fabricada")</f>
        <v>Carreta Compuerta Contenedor Fabricada</v>
      </c>
      <c r="C5545" s="380" t="str">
        <f>IFERROR(__xludf.DUMMYFUNCTION("""COMPUTED_VALUE"""),"70000927")</f>
        <v>70000927</v>
      </c>
      <c r="D5545" s="380" t="s">
        <v>767</v>
      </c>
      <c r="E5545" s="380" t="s">
        <v>786</v>
      </c>
      <c r="F5545" s="380" t="s">
        <v>792</v>
      </c>
      <c r="G5545" s="380" t="s">
        <v>1267</v>
      </c>
      <c r="H5545" s="380" t="s">
        <v>771</v>
      </c>
      <c r="I5545" s="380" t="s">
        <v>788</v>
      </c>
      <c r="J5545" s="380" t="s">
        <v>773</v>
      </c>
      <c r="K5545" s="381">
        <v>45208.0</v>
      </c>
      <c r="L5545" s="382">
        <v>1.0</v>
      </c>
    </row>
    <row r="5546">
      <c r="A5546" s="380" t="s">
        <v>6420</v>
      </c>
      <c r="B5546" s="380" t="str">
        <f>IFERROR(__xludf.DUMMYFUNCTION("""COMPUTED_VALUE"""),"Tornillo Bal Muelle Del Eag1669965C1")</f>
        <v>Tornillo Bal Muelle Del Eag1669965C1</v>
      </c>
      <c r="C5546" s="380" t="str">
        <f>IFERROR(__xludf.DUMMYFUNCTION("""COMPUTED_VALUE"""),"70000928")</f>
        <v>70000928</v>
      </c>
      <c r="D5546" s="380" t="s">
        <v>767</v>
      </c>
      <c r="E5546" s="380" t="s">
        <v>786</v>
      </c>
      <c r="F5546" s="380" t="s">
        <v>1039</v>
      </c>
      <c r="G5546" s="380" t="s">
        <v>1267</v>
      </c>
      <c r="H5546" s="380" t="s">
        <v>771</v>
      </c>
      <c r="I5546" s="380" t="s">
        <v>788</v>
      </c>
      <c r="J5546" s="380" t="s">
        <v>773</v>
      </c>
      <c r="K5546" s="381">
        <v>0.0</v>
      </c>
      <c r="L5546" s="382">
        <v>1.0</v>
      </c>
    </row>
    <row r="5547">
      <c r="A5547" s="380" t="s">
        <v>6421</v>
      </c>
      <c r="B5547" s="380" t="str">
        <f>IFERROR(__xludf.DUMMYFUNCTION("""COMPUTED_VALUE"""),"Termostato Agua Motor Isx 4318947")</f>
        <v>Termostato Agua Motor Isx 4318947</v>
      </c>
      <c r="C5547" s="380" t="str">
        <f>IFERROR(__xludf.DUMMYFUNCTION("""COMPUTED_VALUE"""),"70000929")</f>
        <v>70000929</v>
      </c>
      <c r="D5547" s="380" t="s">
        <v>767</v>
      </c>
      <c r="E5547" s="380" t="s">
        <v>786</v>
      </c>
      <c r="F5547" s="380" t="s">
        <v>787</v>
      </c>
      <c r="G5547" s="380" t="s">
        <v>1267</v>
      </c>
      <c r="H5547" s="380" t="s">
        <v>771</v>
      </c>
      <c r="I5547" s="380" t="s">
        <v>788</v>
      </c>
      <c r="J5547" s="380" t="s">
        <v>773</v>
      </c>
      <c r="K5547" s="381">
        <v>0.0</v>
      </c>
      <c r="L5547" s="382">
        <v>1.0</v>
      </c>
    </row>
    <row r="5548">
      <c r="A5548" s="380" t="s">
        <v>6422</v>
      </c>
      <c r="B5548" s="380" t="str">
        <f>IFERROR(__xludf.DUMMYFUNCTION("""COMPUTED_VALUE"""),"Turbo Alimentador Motor Nkr 95627480")</f>
        <v>Turbo Alimentador Motor Nkr 95627480</v>
      </c>
      <c r="C5548" s="380" t="str">
        <f>IFERROR(__xludf.DUMMYFUNCTION("""COMPUTED_VALUE"""),"70000930")</f>
        <v>70000930</v>
      </c>
      <c r="D5548" s="380" t="s">
        <v>767</v>
      </c>
      <c r="E5548" s="380" t="s">
        <v>786</v>
      </c>
      <c r="F5548" s="380" t="s">
        <v>787</v>
      </c>
      <c r="G5548" s="380" t="s">
        <v>1267</v>
      </c>
      <c r="H5548" s="380" t="s">
        <v>771</v>
      </c>
      <c r="I5548" s="380" t="s">
        <v>788</v>
      </c>
      <c r="J5548" s="380" t="s">
        <v>773</v>
      </c>
      <c r="K5548" s="381">
        <v>0.0</v>
      </c>
      <c r="L5548" s="382">
        <v>1.0</v>
      </c>
    </row>
    <row r="5549">
      <c r="A5549" s="380" t="s">
        <v>6423</v>
      </c>
      <c r="B5549" s="380" t="str">
        <f>IFERROR(__xludf.DUMMYFUNCTION("""COMPUTED_VALUE"""),"Soporte Central Capo Eagle 3514021C6")</f>
        <v>Soporte Central Capo Eagle 3514021C6</v>
      </c>
      <c r="C5549" s="380" t="str">
        <f>IFERROR(__xludf.DUMMYFUNCTION("""COMPUTED_VALUE"""),"70000931")</f>
        <v>70000931</v>
      </c>
      <c r="D5549" s="380" t="s">
        <v>767</v>
      </c>
      <c r="E5549" s="380" t="s">
        <v>786</v>
      </c>
      <c r="F5549" s="380" t="s">
        <v>792</v>
      </c>
      <c r="G5549" s="380" t="s">
        <v>1267</v>
      </c>
      <c r="H5549" s="380" t="s">
        <v>771</v>
      </c>
      <c r="I5549" s="380" t="s">
        <v>788</v>
      </c>
      <c r="J5549" s="380" t="s">
        <v>773</v>
      </c>
      <c r="K5549" s="381">
        <v>0.0</v>
      </c>
      <c r="L5549" s="382">
        <v>1.0</v>
      </c>
    </row>
    <row r="5550">
      <c r="A5550" s="380" t="s">
        <v>6424</v>
      </c>
      <c r="B5550" s="380" t="str">
        <f>IFERROR(__xludf.DUMMYFUNCTION("""COMPUTED_VALUE"""),"Bujia Precalentamiento Nhr 8941751581")</f>
        <v>Bujia Precalentamiento Nhr 8941751581</v>
      </c>
      <c r="C5550" s="380" t="str">
        <f>IFERROR(__xludf.DUMMYFUNCTION("""COMPUTED_VALUE"""),"70000932")</f>
        <v>70000932</v>
      </c>
      <c r="D5550" s="380" t="s">
        <v>767</v>
      </c>
      <c r="E5550" s="380" t="s">
        <v>786</v>
      </c>
      <c r="F5550" s="380" t="s">
        <v>787</v>
      </c>
      <c r="G5550" s="380" t="s">
        <v>1267</v>
      </c>
      <c r="H5550" s="380" t="s">
        <v>771</v>
      </c>
      <c r="I5550" s="380" t="s">
        <v>788</v>
      </c>
      <c r="J5550" s="380" t="s">
        <v>773</v>
      </c>
      <c r="K5550" s="381">
        <v>0.0</v>
      </c>
      <c r="L5550" s="382">
        <v>1.0</v>
      </c>
    </row>
    <row r="5551">
      <c r="A5551" s="380" t="s">
        <v>6425</v>
      </c>
      <c r="B5551" s="380" t="str">
        <f>IFERROR(__xludf.DUMMYFUNCTION("""COMPUTED_VALUE"""),"Cruceta Cardan 330 Nkr 1099338A")</f>
        <v>Cruceta Cardan 330 Nkr 1099338A</v>
      </c>
      <c r="C5551" s="380" t="str">
        <f>IFERROR(__xludf.DUMMYFUNCTION("""COMPUTED_VALUE"""),"70000933")</f>
        <v>70000933</v>
      </c>
      <c r="D5551" s="380" t="s">
        <v>767</v>
      </c>
      <c r="E5551" s="380" t="s">
        <v>786</v>
      </c>
      <c r="F5551" s="380" t="s">
        <v>5683</v>
      </c>
      <c r="G5551" s="380" t="s">
        <v>1267</v>
      </c>
      <c r="H5551" s="380" t="s">
        <v>771</v>
      </c>
      <c r="I5551" s="380" t="s">
        <v>788</v>
      </c>
      <c r="J5551" s="380" t="s">
        <v>773</v>
      </c>
      <c r="K5551" s="381">
        <v>0.0</v>
      </c>
      <c r="L5551" s="382">
        <v>1.0</v>
      </c>
    </row>
    <row r="5552">
      <c r="A5552" s="380" t="s">
        <v>6426</v>
      </c>
      <c r="B5552" s="380" t="str">
        <f>IFERROR(__xludf.DUMMYFUNCTION("""COMPUTED_VALUE"""),"Cuna Infer Direc Uteco Agility503022H6-0")</f>
        <v>Cuna Infer Direc Uteco Agility503022H6-0</v>
      </c>
      <c r="C5552" s="380" t="str">
        <f>IFERROR(__xludf.DUMMYFUNCTION("""COMPUTED_VALUE"""),"70000934")</f>
        <v>70000934</v>
      </c>
      <c r="D5552" s="380" t="s">
        <v>767</v>
      </c>
      <c r="E5552" s="380" t="s">
        <v>786</v>
      </c>
      <c r="F5552" s="380" t="s">
        <v>1020</v>
      </c>
      <c r="G5552" s="380" t="s">
        <v>1267</v>
      </c>
      <c r="H5552" s="380" t="s">
        <v>771</v>
      </c>
      <c r="I5552" s="380" t="s">
        <v>788</v>
      </c>
      <c r="J5552" s="380" t="s">
        <v>773</v>
      </c>
      <c r="K5552" s="381">
        <v>0.0</v>
      </c>
      <c r="L5552" s="382">
        <v>1.0</v>
      </c>
    </row>
    <row r="5553">
      <c r="A5553" s="380" t="s">
        <v>6427</v>
      </c>
      <c r="B5553" s="380" t="str">
        <f>IFERROR(__xludf.DUMMYFUNCTION("""COMPUTED_VALUE"""),"Cuna Espiga Dire Uteco Agility532122l500")</f>
        <v>Cuna Espiga Dire Uteco Agility532122l500</v>
      </c>
      <c r="C5553" s="380" t="str">
        <f>IFERROR(__xludf.DUMMYFUNCTION("""COMPUTED_VALUE"""),"70000935")</f>
        <v>70000935</v>
      </c>
      <c r="D5553" s="380" t="s">
        <v>767</v>
      </c>
      <c r="E5553" s="380" t="s">
        <v>786</v>
      </c>
      <c r="F5553" s="380" t="s">
        <v>1020</v>
      </c>
      <c r="G5553" s="380" t="s">
        <v>1267</v>
      </c>
      <c r="H5553" s="380" t="s">
        <v>771</v>
      </c>
      <c r="I5553" s="380" t="s">
        <v>788</v>
      </c>
      <c r="J5553" s="380" t="s">
        <v>773</v>
      </c>
      <c r="K5553" s="381">
        <v>0.0</v>
      </c>
      <c r="L5553" s="382">
        <v>1.0</v>
      </c>
    </row>
    <row r="5554">
      <c r="A5554" s="380" t="s">
        <v>6428</v>
      </c>
      <c r="B5554" s="380" t="str">
        <f>IFERROR(__xludf.DUMMYFUNCTION("""COMPUTED_VALUE"""),"Brazo Plumilla Limpiabrisa Eag 3527221C1")</f>
        <v>Brazo Plumilla Limpiabrisa Eag 3527221C1</v>
      </c>
      <c r="C5554" s="380" t="str">
        <f>IFERROR(__xludf.DUMMYFUNCTION("""COMPUTED_VALUE"""),"70000936")</f>
        <v>70000936</v>
      </c>
      <c r="D5554" s="380" t="s">
        <v>767</v>
      </c>
      <c r="E5554" s="380" t="s">
        <v>786</v>
      </c>
      <c r="F5554" s="380" t="s">
        <v>792</v>
      </c>
      <c r="G5554" s="380" t="s">
        <v>1267</v>
      </c>
      <c r="H5554" s="380" t="s">
        <v>771</v>
      </c>
      <c r="I5554" s="380" t="s">
        <v>788</v>
      </c>
      <c r="J5554" s="380" t="s">
        <v>773</v>
      </c>
      <c r="K5554" s="381">
        <v>0.0</v>
      </c>
      <c r="L5554" s="382">
        <v>1.0</v>
      </c>
    </row>
    <row r="5555">
      <c r="A5555" s="380" t="s">
        <v>6429</v>
      </c>
      <c r="B5555" s="380" t="str">
        <f>IFERROR(__xludf.DUMMYFUNCTION("""COMPUTED_VALUE"""),"Filtro Aire Volkswagen Goby AG971031A")</f>
        <v>Filtro Aire Volkswagen Goby AG971031A</v>
      </c>
      <c r="C5555" s="380" t="str">
        <f>IFERROR(__xludf.DUMMYFUNCTION("""COMPUTED_VALUE"""),"70000937")</f>
        <v>70000937</v>
      </c>
      <c r="D5555" s="380" t="s">
        <v>767</v>
      </c>
      <c r="E5555" s="380" t="s">
        <v>786</v>
      </c>
      <c r="F5555" s="380" t="s">
        <v>5855</v>
      </c>
      <c r="G5555" s="380" t="s">
        <v>1267</v>
      </c>
      <c r="H5555" s="380" t="s">
        <v>771</v>
      </c>
      <c r="I5555" s="380" t="s">
        <v>788</v>
      </c>
      <c r="J5555" s="380" t="s">
        <v>773</v>
      </c>
      <c r="K5555" s="381">
        <v>0.0</v>
      </c>
      <c r="L5555" s="382">
        <v>1.0</v>
      </c>
    </row>
    <row r="5556">
      <c r="A5556" s="380" t="s">
        <v>6430</v>
      </c>
      <c r="B5556" s="380" t="str">
        <f>IFERROR(__xludf.DUMMYFUNCTION("""COMPUTED_VALUE"""),"Filtro Aire Hino Dutro Goby AG971048A")</f>
        <v>Filtro Aire Hino Dutro Goby AG971048A</v>
      </c>
      <c r="C5556" s="380" t="str">
        <f>IFERROR(__xludf.DUMMYFUNCTION("""COMPUTED_VALUE"""),"70000938")</f>
        <v>70000938</v>
      </c>
      <c r="D5556" s="380" t="s">
        <v>767</v>
      </c>
      <c r="E5556" s="380" t="s">
        <v>786</v>
      </c>
      <c r="F5556" s="380" t="s">
        <v>5855</v>
      </c>
      <c r="G5556" s="380" t="s">
        <v>1267</v>
      </c>
      <c r="H5556" s="380" t="s">
        <v>771</v>
      </c>
      <c r="I5556" s="380" t="s">
        <v>788</v>
      </c>
      <c r="J5556" s="380" t="s">
        <v>773</v>
      </c>
      <c r="K5556" s="381">
        <v>85854.0</v>
      </c>
      <c r="L5556" s="382">
        <v>1.0</v>
      </c>
    </row>
    <row r="5557">
      <c r="A5557" s="380" t="s">
        <v>6431</v>
      </c>
      <c r="B5557" s="380" t="str">
        <f>IFERROR(__xludf.DUMMYFUNCTION("""COMPUTED_VALUE"""),"Buje Piñon Bajo Caja 16918 4301844")</f>
        <v>Buje Piñon Bajo Caja 16918 4301844</v>
      </c>
      <c r="C5557" s="380" t="str">
        <f>IFERROR(__xludf.DUMMYFUNCTION("""COMPUTED_VALUE"""),"70000939")</f>
        <v>70000939</v>
      </c>
      <c r="D5557" s="380" t="s">
        <v>767</v>
      </c>
      <c r="E5557" s="380" t="s">
        <v>786</v>
      </c>
      <c r="F5557" s="380" t="s">
        <v>928</v>
      </c>
      <c r="G5557" s="380" t="s">
        <v>1267</v>
      </c>
      <c r="H5557" s="380" t="s">
        <v>771</v>
      </c>
      <c r="I5557" s="380" t="s">
        <v>788</v>
      </c>
      <c r="J5557" s="380" t="s">
        <v>773</v>
      </c>
      <c r="K5557" s="381">
        <v>0.0</v>
      </c>
      <c r="L5557" s="382">
        <v>1.0</v>
      </c>
    </row>
    <row r="5558">
      <c r="A5558" s="380" t="s">
        <v>6432</v>
      </c>
      <c r="B5558" s="380" t="str">
        <f>IFERROR(__xludf.DUMMYFUNCTION("""COMPUTED_VALUE"""),"Empaque Bomba Alta Pres KW T800-2872195")</f>
        <v>Empaque Bomba Alta Pres KW T800-2872195</v>
      </c>
      <c r="C5558" s="380" t="str">
        <f>IFERROR(__xludf.DUMMYFUNCTION("""COMPUTED_VALUE"""),"70000940")</f>
        <v>70000940</v>
      </c>
      <c r="D5558" s="380" t="s">
        <v>767</v>
      </c>
      <c r="E5558" s="380" t="s">
        <v>786</v>
      </c>
      <c r="F5558" s="380" t="s">
        <v>787</v>
      </c>
      <c r="G5558" s="380" t="s">
        <v>1267</v>
      </c>
      <c r="H5558" s="380" t="s">
        <v>771</v>
      </c>
      <c r="I5558" s="380" t="s">
        <v>788</v>
      </c>
      <c r="J5558" s="380" t="s">
        <v>773</v>
      </c>
      <c r="K5558" s="381">
        <v>0.0</v>
      </c>
      <c r="L5558" s="382">
        <v>1.0</v>
      </c>
    </row>
    <row r="5559">
      <c r="A5559" s="380" t="s">
        <v>6433</v>
      </c>
      <c r="B5559" s="380" t="str">
        <f>IFERROR(__xludf.DUMMYFUNCTION("""COMPUTED_VALUE"""),"Talco Direc Del Der Nkr M2003-8978551280")</f>
        <v>Talco Direc Del Der Nkr M2003-8978551280</v>
      </c>
      <c r="C5559" s="380" t="str">
        <f>IFERROR(__xludf.DUMMYFUNCTION("""COMPUTED_VALUE"""),"70000941")</f>
        <v>70000941</v>
      </c>
      <c r="D5559" s="380" t="s">
        <v>767</v>
      </c>
      <c r="E5559" s="380" t="s">
        <v>786</v>
      </c>
      <c r="F5559" s="380" t="s">
        <v>998</v>
      </c>
      <c r="G5559" s="380" t="s">
        <v>1267</v>
      </c>
      <c r="H5559" s="380" t="s">
        <v>771</v>
      </c>
      <c r="I5559" s="380" t="s">
        <v>788</v>
      </c>
      <c r="J5559" s="380" t="s">
        <v>773</v>
      </c>
      <c r="K5559" s="381">
        <v>0.0</v>
      </c>
      <c r="L5559" s="382">
        <v>1.0</v>
      </c>
    </row>
    <row r="5560">
      <c r="A5560" s="380" t="s">
        <v>6434</v>
      </c>
      <c r="B5560" s="380" t="str">
        <f>IFERROR(__xludf.DUMMYFUNCTION("""COMPUTED_VALUE"""),"Talco Direc Del Izq Nkr M2003-8978551310")</f>
        <v>Talco Direc Del Izq Nkr M2003-8978551310</v>
      </c>
      <c r="C5560" s="380" t="str">
        <f>IFERROR(__xludf.DUMMYFUNCTION("""COMPUTED_VALUE"""),"70000942")</f>
        <v>70000942</v>
      </c>
      <c r="D5560" s="380" t="s">
        <v>767</v>
      </c>
      <c r="E5560" s="380" t="s">
        <v>786</v>
      </c>
      <c r="F5560" s="380" t="s">
        <v>998</v>
      </c>
      <c r="G5560" s="380" t="s">
        <v>1267</v>
      </c>
      <c r="H5560" s="380" t="s">
        <v>771</v>
      </c>
      <c r="I5560" s="380" t="s">
        <v>788</v>
      </c>
      <c r="J5560" s="380" t="s">
        <v>773</v>
      </c>
      <c r="K5560" s="381">
        <v>0.0</v>
      </c>
      <c r="L5560" s="382">
        <v>1.0</v>
      </c>
    </row>
    <row r="5561">
      <c r="A5561" s="380" t="s">
        <v>6435</v>
      </c>
      <c r="B5561" s="380" t="str">
        <f>IFERROR(__xludf.DUMMYFUNCTION("""COMPUTED_VALUE"""),"Portadiodo Alternador Npr- IHR 783299")</f>
        <v>Portadiodo Alternador Npr- IHR 783299</v>
      </c>
      <c r="C5561" s="380" t="str">
        <f>IFERROR(__xludf.DUMMYFUNCTION("""COMPUTED_VALUE"""),"70000943")</f>
        <v>70000943</v>
      </c>
      <c r="D5561" s="380" t="s">
        <v>767</v>
      </c>
      <c r="E5561" s="380" t="s">
        <v>786</v>
      </c>
      <c r="F5561" s="380" t="s">
        <v>998</v>
      </c>
      <c r="G5561" s="380" t="s">
        <v>1267</v>
      </c>
      <c r="H5561" s="380" t="s">
        <v>771</v>
      </c>
      <c r="I5561" s="380" t="s">
        <v>788</v>
      </c>
      <c r="J5561" s="380" t="s">
        <v>773</v>
      </c>
      <c r="K5561" s="381">
        <v>0.0</v>
      </c>
      <c r="L5561" s="382">
        <v>1.0</v>
      </c>
    </row>
    <row r="5562">
      <c r="A5562" s="380" t="s">
        <v>6436</v>
      </c>
      <c r="B5562" s="380" t="str">
        <f>IFERROR(__xludf.DUMMYFUNCTION("""COMPUTED_VALUE"""),"Porta Escobillas Alternador Npr 841206")</f>
        <v>Porta Escobillas Alternador Npr 841206</v>
      </c>
      <c r="C5562" s="380" t="str">
        <f>IFERROR(__xludf.DUMMYFUNCTION("""COMPUTED_VALUE"""),"70000944")</f>
        <v>70000944</v>
      </c>
      <c r="D5562" s="380" t="s">
        <v>767</v>
      </c>
      <c r="E5562" s="380" t="s">
        <v>786</v>
      </c>
      <c r="F5562" s="380" t="s">
        <v>998</v>
      </c>
      <c r="G5562" s="380" t="s">
        <v>1267</v>
      </c>
      <c r="H5562" s="380" t="s">
        <v>771</v>
      </c>
      <c r="I5562" s="380" t="s">
        <v>788</v>
      </c>
      <c r="J5562" s="380" t="s">
        <v>773</v>
      </c>
      <c r="K5562" s="381">
        <v>0.0</v>
      </c>
      <c r="L5562" s="382">
        <v>1.0</v>
      </c>
    </row>
    <row r="5563">
      <c r="A5563" s="380" t="s">
        <v>6437</v>
      </c>
      <c r="B5563" s="380" t="str">
        <f>IFERROR(__xludf.DUMMYFUNCTION("""COMPUTED_VALUE"""),"Regulador Alternador Npr- IH 7833079")</f>
        <v>Regulador Alternador Npr- IH 7833079</v>
      </c>
      <c r="C5563" s="380" t="str">
        <f>IFERROR(__xludf.DUMMYFUNCTION("""COMPUTED_VALUE"""),"70000945")</f>
        <v>70000945</v>
      </c>
      <c r="D5563" s="380" t="s">
        <v>767</v>
      </c>
      <c r="E5563" s="380" t="s">
        <v>786</v>
      </c>
      <c r="F5563" s="380" t="s">
        <v>998</v>
      </c>
      <c r="G5563" s="380" t="s">
        <v>1267</v>
      </c>
      <c r="H5563" s="380" t="s">
        <v>771</v>
      </c>
      <c r="I5563" s="380" t="s">
        <v>788</v>
      </c>
      <c r="J5563" s="380" t="s">
        <v>773</v>
      </c>
      <c r="K5563" s="381">
        <v>0.0</v>
      </c>
      <c r="L5563" s="382">
        <v>1.0</v>
      </c>
    </row>
    <row r="5564">
      <c r="A5564" s="380" t="s">
        <v>6438</v>
      </c>
      <c r="B5564" s="380" t="str">
        <f>IFERROR(__xludf.DUMMYFUNCTION("""COMPUTED_VALUE"""),"Fusible De 10 Amperios")</f>
        <v>Fusible De 10 Amperios</v>
      </c>
      <c r="C5564" s="380" t="str">
        <f>IFERROR(__xludf.DUMMYFUNCTION("""COMPUTED_VALUE"""),"70000946")</f>
        <v>70000946</v>
      </c>
      <c r="D5564" s="380" t="s">
        <v>767</v>
      </c>
      <c r="E5564" s="380" t="s">
        <v>786</v>
      </c>
      <c r="F5564" s="380" t="s">
        <v>998</v>
      </c>
      <c r="G5564" s="380" t="s">
        <v>1267</v>
      </c>
      <c r="H5564" s="380" t="s">
        <v>771</v>
      </c>
      <c r="I5564" s="380" t="s">
        <v>788</v>
      </c>
      <c r="J5564" s="380" t="s">
        <v>773</v>
      </c>
      <c r="K5564" s="381">
        <v>0.0</v>
      </c>
      <c r="L5564" s="382">
        <v>1.0</v>
      </c>
    </row>
    <row r="5565">
      <c r="A5565" s="380" t="s">
        <v>6439</v>
      </c>
      <c r="B5565" s="380" t="str">
        <f>IFERROR(__xludf.DUMMYFUNCTION("""COMPUTED_VALUE"""),"Balancin Valvula Motor Isx KWor5484231")</f>
        <v>Balancin Valvula Motor Isx KWor5484231</v>
      </c>
      <c r="C5565" s="380" t="str">
        <f>IFERROR(__xludf.DUMMYFUNCTION("""COMPUTED_VALUE"""),"70000947")</f>
        <v>70000947</v>
      </c>
      <c r="D5565" s="380" t="s">
        <v>767</v>
      </c>
      <c r="E5565" s="380" t="s">
        <v>786</v>
      </c>
      <c r="F5565" s="380" t="s">
        <v>787</v>
      </c>
      <c r="G5565" s="380" t="s">
        <v>1267</v>
      </c>
      <c r="H5565" s="380" t="s">
        <v>771</v>
      </c>
      <c r="I5565" s="380" t="s">
        <v>788</v>
      </c>
      <c r="J5565" s="380" t="s">
        <v>773</v>
      </c>
      <c r="K5565" s="381">
        <v>0.0</v>
      </c>
      <c r="L5565" s="382">
        <v>1.0</v>
      </c>
    </row>
    <row r="5566">
      <c r="A5566" s="380" t="s">
        <v>6440</v>
      </c>
      <c r="B5566" s="380" t="str">
        <f>IFERROR(__xludf.DUMMYFUNCTION("""COMPUTED_VALUE"""),"Motor Limpiabrisas 9400 Isx 2597906C91")</f>
        <v>Motor Limpiabrisas 9400 Isx 2597906C91</v>
      </c>
      <c r="C5566" s="380" t="str">
        <f>IFERROR(__xludf.DUMMYFUNCTION("""COMPUTED_VALUE"""),"70000948")</f>
        <v>70000948</v>
      </c>
      <c r="D5566" s="380" t="s">
        <v>767</v>
      </c>
      <c r="E5566" s="380" t="s">
        <v>786</v>
      </c>
      <c r="F5566" s="380" t="s">
        <v>998</v>
      </c>
      <c r="G5566" s="380" t="s">
        <v>1267</v>
      </c>
      <c r="H5566" s="380" t="s">
        <v>771</v>
      </c>
      <c r="I5566" s="380" t="s">
        <v>788</v>
      </c>
      <c r="J5566" s="380" t="s">
        <v>773</v>
      </c>
      <c r="K5566" s="381">
        <v>0.0</v>
      </c>
      <c r="L5566" s="382">
        <v>1.0</v>
      </c>
    </row>
    <row r="5567">
      <c r="A5567" s="380" t="s">
        <v>6441</v>
      </c>
      <c r="B5567" s="380" t="str">
        <f>IFERROR(__xludf.DUMMYFUNCTION("""COMPUTED_VALUE"""),"Buje Muelle Del/Tras Eag 3525665C1")</f>
        <v>Buje Muelle Del/Tras Eag 3525665C1</v>
      </c>
      <c r="C5567" s="380" t="str">
        <f>IFERROR(__xludf.DUMMYFUNCTION("""COMPUTED_VALUE"""),"70000949")</f>
        <v>70000949</v>
      </c>
      <c r="D5567" s="380" t="s">
        <v>767</v>
      </c>
      <c r="E5567" s="380" t="s">
        <v>786</v>
      </c>
      <c r="F5567" s="380" t="s">
        <v>1039</v>
      </c>
      <c r="G5567" s="380" t="s">
        <v>1267</v>
      </c>
      <c r="H5567" s="380" t="s">
        <v>771</v>
      </c>
      <c r="I5567" s="380" t="s">
        <v>788</v>
      </c>
      <c r="J5567" s="380" t="s">
        <v>773</v>
      </c>
      <c r="K5567" s="381">
        <v>144242.0</v>
      </c>
      <c r="L5567" s="382">
        <v>1.0</v>
      </c>
    </row>
    <row r="5568">
      <c r="A5568" s="380" t="s">
        <v>6442</v>
      </c>
      <c r="B5568" s="380" t="str">
        <f>IFERROR(__xludf.DUMMYFUNCTION("""COMPUTED_VALUE"""),"Kit Aislador Radiador Eagle 2594821C91")</f>
        <v>Kit Aislador Radiador Eagle 2594821C91</v>
      </c>
      <c r="C5568" s="380" t="str">
        <f>IFERROR(__xludf.DUMMYFUNCTION("""COMPUTED_VALUE"""),"70000950")</f>
        <v>70000950</v>
      </c>
      <c r="D5568" s="380" t="s">
        <v>767</v>
      </c>
      <c r="E5568" s="380" t="s">
        <v>786</v>
      </c>
      <c r="F5568" s="380" t="s">
        <v>787</v>
      </c>
      <c r="G5568" s="380" t="s">
        <v>1267</v>
      </c>
      <c r="H5568" s="380" t="s">
        <v>771</v>
      </c>
      <c r="I5568" s="380" t="s">
        <v>788</v>
      </c>
      <c r="J5568" s="380" t="s">
        <v>773</v>
      </c>
      <c r="K5568" s="381">
        <v>0.0</v>
      </c>
      <c r="L5568" s="382">
        <v>1.0</v>
      </c>
    </row>
    <row r="5569">
      <c r="A5569" s="380" t="s">
        <v>6443</v>
      </c>
      <c r="B5569" s="380" t="str">
        <f>IFERROR(__xludf.DUMMYFUNCTION("""COMPUTED_VALUE"""),"Inyector Motor Npr 8972005703")</f>
        <v>Inyector Motor Npr 8972005703</v>
      </c>
      <c r="C5569" s="380" t="str">
        <f>IFERROR(__xludf.DUMMYFUNCTION("""COMPUTED_VALUE"""),"70000951")</f>
        <v>70000951</v>
      </c>
      <c r="D5569" s="380" t="s">
        <v>767</v>
      </c>
      <c r="E5569" s="380" t="s">
        <v>786</v>
      </c>
      <c r="F5569" s="380" t="s">
        <v>787</v>
      </c>
      <c r="G5569" s="380" t="s">
        <v>1267</v>
      </c>
      <c r="H5569" s="380" t="s">
        <v>771</v>
      </c>
      <c r="I5569" s="380" t="s">
        <v>788</v>
      </c>
      <c r="J5569" s="380" t="s">
        <v>773</v>
      </c>
      <c r="K5569" s="381">
        <v>0.0</v>
      </c>
      <c r="L5569" s="382">
        <v>1.0</v>
      </c>
    </row>
    <row r="5570">
      <c r="A5570" s="380" t="s">
        <v>6444</v>
      </c>
      <c r="B5570" s="380" t="str">
        <f>IFERROR(__xludf.DUMMYFUNCTION("""COMPUTED_VALUE"""),"Bomper Del Freightliner M2RA21281840")</f>
        <v>Bomper Del Freightliner M2RA21281840</v>
      </c>
      <c r="C5570" s="380" t="str">
        <f>IFERROR(__xludf.DUMMYFUNCTION("""COMPUTED_VALUE"""),"70000952")</f>
        <v>70000952</v>
      </c>
      <c r="D5570" s="380" t="s">
        <v>767</v>
      </c>
      <c r="E5570" s="380" t="s">
        <v>786</v>
      </c>
      <c r="F5570" s="380" t="s">
        <v>792</v>
      </c>
      <c r="G5570" s="380" t="s">
        <v>1267</v>
      </c>
      <c r="H5570" s="380" t="s">
        <v>771</v>
      </c>
      <c r="I5570" s="380" t="s">
        <v>788</v>
      </c>
      <c r="J5570" s="380" t="s">
        <v>773</v>
      </c>
      <c r="K5570" s="381">
        <v>0.0</v>
      </c>
      <c r="L5570" s="382">
        <v>1.0</v>
      </c>
    </row>
    <row r="5571">
      <c r="A5571" s="380" t="s">
        <v>6445</v>
      </c>
      <c r="B5571" s="380" t="str">
        <f>IFERROR(__xludf.DUMMYFUNCTION("""COMPUTED_VALUE"""),"Tapa Tanque Expans Freightlin R051722300")</f>
        <v>Tapa Tanque Expans Freightlin R051722300</v>
      </c>
      <c r="C5571" s="380" t="str">
        <f>IFERROR(__xludf.DUMMYFUNCTION("""COMPUTED_VALUE"""),"70000953")</f>
        <v>70000953</v>
      </c>
      <c r="D5571" s="380" t="s">
        <v>767</v>
      </c>
      <c r="E5571" s="380" t="s">
        <v>786</v>
      </c>
      <c r="F5571" s="380" t="s">
        <v>787</v>
      </c>
      <c r="G5571" s="380" t="s">
        <v>1267</v>
      </c>
      <c r="H5571" s="380" t="s">
        <v>771</v>
      </c>
      <c r="I5571" s="380" t="s">
        <v>788</v>
      </c>
      <c r="J5571" s="380" t="s">
        <v>773</v>
      </c>
      <c r="K5571" s="381">
        <v>0.0</v>
      </c>
      <c r="L5571" s="382">
        <v>1.0</v>
      </c>
    </row>
    <row r="5572">
      <c r="A5572" s="380" t="s">
        <v>6446</v>
      </c>
      <c r="B5572" s="380" t="str">
        <f>IFERROR(__xludf.DUMMYFUNCTION("""COMPUTED_VALUE"""),"Alternador Motor Nkr Generico")</f>
        <v>Alternador Motor Nkr Generico</v>
      </c>
      <c r="C5572" s="380" t="str">
        <f>IFERROR(__xludf.DUMMYFUNCTION("""COMPUTED_VALUE"""),"70000954")</f>
        <v>70000954</v>
      </c>
      <c r="D5572" s="380" t="s">
        <v>767</v>
      </c>
      <c r="E5572" s="380" t="s">
        <v>786</v>
      </c>
      <c r="F5572" s="380" t="s">
        <v>998</v>
      </c>
      <c r="G5572" s="380" t="s">
        <v>1267</v>
      </c>
      <c r="H5572" s="380" t="s">
        <v>771</v>
      </c>
      <c r="I5572" s="380" t="s">
        <v>788</v>
      </c>
      <c r="J5572" s="380" t="s">
        <v>773</v>
      </c>
      <c r="K5572" s="381">
        <v>0.0</v>
      </c>
      <c r="L5572" s="382">
        <v>1.0</v>
      </c>
    </row>
    <row r="5573">
      <c r="A5573" s="380" t="s">
        <v>6447</v>
      </c>
      <c r="B5573" s="380" t="str">
        <f>IFERROR(__xludf.DUMMYFUNCTION("""COMPUTED_VALUE"""),"Sop Guardapo Del Izq Nkr-Nhr 8972252721")</f>
        <v>Sop Guardapo Del Izq Nkr-Nhr 8972252721</v>
      </c>
      <c r="C5573" s="380" t="str">
        <f>IFERROR(__xludf.DUMMYFUNCTION("""COMPUTED_VALUE"""),"70000955")</f>
        <v>70000955</v>
      </c>
      <c r="D5573" s="380" t="s">
        <v>767</v>
      </c>
      <c r="E5573" s="380" t="s">
        <v>786</v>
      </c>
      <c r="F5573" s="380" t="s">
        <v>792</v>
      </c>
      <c r="G5573" s="380" t="s">
        <v>1267</v>
      </c>
      <c r="H5573" s="380" t="s">
        <v>771</v>
      </c>
      <c r="I5573" s="380" t="s">
        <v>788</v>
      </c>
      <c r="J5573" s="380" t="s">
        <v>773</v>
      </c>
      <c r="K5573" s="381">
        <v>0.0</v>
      </c>
      <c r="L5573" s="382">
        <v>1.0</v>
      </c>
    </row>
    <row r="5574">
      <c r="A5574" s="380" t="s">
        <v>6448</v>
      </c>
      <c r="B5574" s="380" t="str">
        <f>IFERROR(__xludf.DUMMYFUNCTION("""COMPUTED_VALUE"""),"Farola Capo Izq Hi Eagle3502928C95")</f>
        <v>Farola Capo Izq Hi Eagle3502928C95</v>
      </c>
      <c r="C5574" s="380" t="str">
        <f>IFERROR(__xludf.DUMMYFUNCTION("""COMPUTED_VALUE"""),"70000956")</f>
        <v>70000956</v>
      </c>
      <c r="D5574" s="380" t="s">
        <v>767</v>
      </c>
      <c r="E5574" s="380" t="s">
        <v>786</v>
      </c>
      <c r="F5574" s="380" t="s">
        <v>998</v>
      </c>
      <c r="G5574" s="380" t="s">
        <v>1267</v>
      </c>
      <c r="H5574" s="380" t="s">
        <v>771</v>
      </c>
      <c r="I5574" s="380" t="s">
        <v>788</v>
      </c>
      <c r="J5574" s="380" t="s">
        <v>773</v>
      </c>
      <c r="K5574" s="381">
        <v>0.0</v>
      </c>
      <c r="L5574" s="382">
        <v>1.0</v>
      </c>
    </row>
    <row r="5575">
      <c r="A5575" s="380" t="s">
        <v>6449</v>
      </c>
      <c r="B5575" s="380" t="str">
        <f>IFERROR(__xludf.DUMMYFUNCTION("""COMPUTED_VALUE"""),"Empaqu Carcaza Pto Mack Anthem2330004649")</f>
        <v>Empaqu Carcaza Pto Mack Anthem2330004649</v>
      </c>
      <c r="C5575" s="380" t="str">
        <f>IFERROR(__xludf.DUMMYFUNCTION("""COMPUTED_VALUE"""),"70000957")</f>
        <v>70000957</v>
      </c>
      <c r="D5575" s="380" t="s">
        <v>767</v>
      </c>
      <c r="E5575" s="380" t="s">
        <v>786</v>
      </c>
      <c r="F5575" s="380" t="s">
        <v>787</v>
      </c>
      <c r="G5575" s="380" t="s">
        <v>1267</v>
      </c>
      <c r="H5575" s="380" t="s">
        <v>771</v>
      </c>
      <c r="I5575" s="380" t="s">
        <v>788</v>
      </c>
      <c r="J5575" s="380" t="s">
        <v>773</v>
      </c>
      <c r="K5575" s="381">
        <v>0.0</v>
      </c>
      <c r="L5575" s="382">
        <v>1.0</v>
      </c>
    </row>
    <row r="5576">
      <c r="A5576" s="380" t="s">
        <v>6450</v>
      </c>
      <c r="B5576" s="380" t="str">
        <f>IFERROR(__xludf.DUMMYFUNCTION("""COMPUTED_VALUE"""),"Hoja Resorte Tras Eagle 759007/3")</f>
        <v>Hoja Resorte Tras Eagle 759007/3</v>
      </c>
      <c r="C5576" s="380" t="str">
        <f>IFERROR(__xludf.DUMMYFUNCTION("""COMPUTED_VALUE"""),"70000958")</f>
        <v>70000958</v>
      </c>
      <c r="D5576" s="380" t="s">
        <v>767</v>
      </c>
      <c r="E5576" s="380" t="s">
        <v>786</v>
      </c>
      <c r="F5576" s="380" t="s">
        <v>1039</v>
      </c>
      <c r="G5576" s="380" t="s">
        <v>1267</v>
      </c>
      <c r="H5576" s="380" t="s">
        <v>771</v>
      </c>
      <c r="I5576" s="380" t="s">
        <v>788</v>
      </c>
      <c r="J5576" s="380" t="s">
        <v>773</v>
      </c>
      <c r="K5576" s="381">
        <v>0.0</v>
      </c>
      <c r="L5576" s="382">
        <v>1.0</v>
      </c>
    </row>
    <row r="5577">
      <c r="A5577" s="380" t="s">
        <v>6451</v>
      </c>
      <c r="B5577" s="380" t="str">
        <f>IFERROR(__xludf.DUMMYFUNCTION("""COMPUTED_VALUE"""),"Varil Contr Cambi Cort T Dta3387087304")</f>
        <v>Varil Contr Cambi Cort T Dta3387087304</v>
      </c>
      <c r="C5577" s="380" t="str">
        <f>IFERROR(__xludf.DUMMYFUNCTION("""COMPUTED_VALUE"""),"70000959")</f>
        <v>70000959</v>
      </c>
      <c r="D5577" s="380" t="s">
        <v>767</v>
      </c>
      <c r="E5577" s="380" t="s">
        <v>786</v>
      </c>
      <c r="F5577" s="380" t="s">
        <v>1020</v>
      </c>
      <c r="G5577" s="380" t="s">
        <v>1267</v>
      </c>
      <c r="H5577" s="380" t="s">
        <v>771</v>
      </c>
      <c r="I5577" s="380" t="s">
        <v>788</v>
      </c>
      <c r="J5577" s="380" t="s">
        <v>773</v>
      </c>
      <c r="K5577" s="381">
        <v>0.0</v>
      </c>
      <c r="L5577" s="382">
        <v>1.0</v>
      </c>
    </row>
    <row r="5578">
      <c r="A5578" s="380" t="s">
        <v>6452</v>
      </c>
      <c r="B5578" s="380" t="str">
        <f>IFERROR(__xludf.DUMMYFUNCTION("""COMPUTED_VALUE"""),"Terminal Varilla Embrague Izq KW K124122")</f>
        <v>Terminal Varilla Embrague Izq KW K124122</v>
      </c>
      <c r="C5578" s="380" t="str">
        <f>IFERROR(__xludf.DUMMYFUNCTION("""COMPUTED_VALUE"""),"70000960")</f>
        <v>70000960</v>
      </c>
      <c r="D5578" s="380" t="s">
        <v>767</v>
      </c>
      <c r="E5578" s="380" t="s">
        <v>786</v>
      </c>
      <c r="F5578" s="380" t="s">
        <v>5661</v>
      </c>
      <c r="G5578" s="380" t="s">
        <v>1267</v>
      </c>
      <c r="H5578" s="380" t="s">
        <v>771</v>
      </c>
      <c r="I5578" s="380" t="s">
        <v>788</v>
      </c>
      <c r="J5578" s="380" t="s">
        <v>773</v>
      </c>
      <c r="K5578" s="381">
        <v>0.0</v>
      </c>
      <c r="L5578" s="382">
        <v>1.0</v>
      </c>
    </row>
    <row r="5579">
      <c r="A5579" s="380" t="s">
        <v>6453</v>
      </c>
      <c r="B5579" s="380" t="str">
        <f>IFERROR(__xludf.DUMMYFUNCTION("""COMPUTED_VALUE"""),"Manguera Turbo Cargador Nkr-Nhr")</f>
        <v>Manguera Turbo Cargador Nkr-Nhr</v>
      </c>
      <c r="C5579" s="380" t="str">
        <f>IFERROR(__xludf.DUMMYFUNCTION("""COMPUTED_VALUE"""),"70000961")</f>
        <v>70000961</v>
      </c>
      <c r="D5579" s="380" t="s">
        <v>767</v>
      </c>
      <c r="E5579" s="380" t="s">
        <v>786</v>
      </c>
      <c r="F5579" s="380" t="s">
        <v>787</v>
      </c>
      <c r="G5579" s="380" t="s">
        <v>1267</v>
      </c>
      <c r="H5579" s="380" t="s">
        <v>771</v>
      </c>
      <c r="I5579" s="380" t="s">
        <v>788</v>
      </c>
      <c r="J5579" s="380" t="s">
        <v>773</v>
      </c>
      <c r="K5579" s="381">
        <v>0.0</v>
      </c>
      <c r="L5579" s="382">
        <v>1.0</v>
      </c>
    </row>
    <row r="5580">
      <c r="A5580" s="380" t="s">
        <v>6454</v>
      </c>
      <c r="B5580" s="380" t="str">
        <f>IFERROR(__xludf.DUMMYFUNCTION("""COMPUTED_VALUE"""),"Caja Dir Eagle 9400 Isx 3558088C91")</f>
        <v>Caja Dir Eagle 9400 Isx 3558088C91</v>
      </c>
      <c r="C5580" s="380" t="str">
        <f>IFERROR(__xludf.DUMMYFUNCTION("""COMPUTED_VALUE"""),"70000962")</f>
        <v>70000962</v>
      </c>
      <c r="D5580" s="380" t="s">
        <v>767</v>
      </c>
      <c r="E5580" s="380" t="s">
        <v>786</v>
      </c>
      <c r="F5580" s="380" t="s">
        <v>1020</v>
      </c>
      <c r="G5580" s="380" t="s">
        <v>1267</v>
      </c>
      <c r="H5580" s="380" t="s">
        <v>771</v>
      </c>
      <c r="I5580" s="380" t="s">
        <v>788</v>
      </c>
      <c r="J5580" s="380" t="s">
        <v>773</v>
      </c>
      <c r="K5580" s="381">
        <v>0.0</v>
      </c>
      <c r="L5580" s="382">
        <v>1.0</v>
      </c>
    </row>
    <row r="5581">
      <c r="A5581" s="380" t="s">
        <v>6455</v>
      </c>
      <c r="B5581" s="380" t="str">
        <f>IFERROR(__xludf.DUMMYFUNCTION("""COMPUTED_VALUE"""),"Aspa Ventilador Cal Nkr Nhr 8970960670")</f>
        <v>Aspa Ventilador Cal Nkr Nhr 8970960670</v>
      </c>
      <c r="C5581" s="380" t="str">
        <f>IFERROR(__xludf.DUMMYFUNCTION("""COMPUTED_VALUE"""),"70000963")</f>
        <v>70000963</v>
      </c>
      <c r="D5581" s="380" t="s">
        <v>767</v>
      </c>
      <c r="E5581" s="380" t="s">
        <v>786</v>
      </c>
      <c r="F5581" s="380" t="s">
        <v>792</v>
      </c>
      <c r="G5581" s="380" t="s">
        <v>1267</v>
      </c>
      <c r="H5581" s="380" t="s">
        <v>771</v>
      </c>
      <c r="I5581" s="380" t="s">
        <v>788</v>
      </c>
      <c r="J5581" s="380" t="s">
        <v>773</v>
      </c>
      <c r="K5581" s="381">
        <v>0.0</v>
      </c>
      <c r="L5581" s="382">
        <v>1.0</v>
      </c>
    </row>
    <row r="5582">
      <c r="A5582" s="380" t="s">
        <v>6456</v>
      </c>
      <c r="B5582" s="380" t="str">
        <f>IFERROR(__xludf.DUMMYFUNCTION("""COMPUTED_VALUE"""),"Banda Trasera Uteco Agility 4312akudu9")</f>
        <v>Banda Trasera Uteco Agility 4312akudu9</v>
      </c>
      <c r="C5582" s="380" t="str">
        <f>IFERROR(__xludf.DUMMYFUNCTION("""COMPUTED_VALUE"""),"70000964")</f>
        <v>70000964</v>
      </c>
      <c r="D5582" s="380" t="s">
        <v>767</v>
      </c>
      <c r="E5582" s="380" t="s">
        <v>786</v>
      </c>
      <c r="F5582" s="380" t="s">
        <v>1017</v>
      </c>
      <c r="G5582" s="380" t="s">
        <v>1267</v>
      </c>
      <c r="H5582" s="380" t="s">
        <v>771</v>
      </c>
      <c r="I5582" s="380" t="s">
        <v>788</v>
      </c>
      <c r="J5582" s="380" t="s">
        <v>773</v>
      </c>
      <c r="K5582" s="381">
        <v>0.0</v>
      </c>
      <c r="L5582" s="382">
        <v>1.0</v>
      </c>
    </row>
    <row r="5583">
      <c r="A5583" s="380" t="s">
        <v>6457</v>
      </c>
      <c r="B5583" s="380" t="str">
        <f>IFERROR(__xludf.DUMMYFUNCTION("""COMPUTED_VALUE"""),"Cuna Super Direc Uteco Agility50301glmo0")</f>
        <v>Cuna Super Direc Uteco Agility50301glmo0</v>
      </c>
      <c r="C5583" s="380" t="str">
        <f>IFERROR(__xludf.DUMMYFUNCTION("""COMPUTED_VALUE"""),"70000965")</f>
        <v>70000965</v>
      </c>
      <c r="D5583" s="380" t="s">
        <v>767</v>
      </c>
      <c r="E5583" s="380" t="s">
        <v>786</v>
      </c>
      <c r="F5583" s="380" t="s">
        <v>1020</v>
      </c>
      <c r="G5583" s="380" t="s">
        <v>1267</v>
      </c>
      <c r="H5583" s="380" t="s">
        <v>771</v>
      </c>
      <c r="I5583" s="380" t="s">
        <v>788</v>
      </c>
      <c r="J5583" s="380" t="s">
        <v>773</v>
      </c>
      <c r="K5583" s="381">
        <v>0.0</v>
      </c>
      <c r="L5583" s="382">
        <v>1.0</v>
      </c>
    </row>
    <row r="5584">
      <c r="A5584" s="380" t="s">
        <v>6458</v>
      </c>
      <c r="B5584" s="380" t="str">
        <f>IFERROR(__xludf.DUMMYFUNCTION("""COMPUTED_VALUE"""),"Piñon 2da Eje T/Fijo Caja 16918-Ful21264")</f>
        <v>Piñon 2da Eje T/Fijo Caja 16918-Ful21264</v>
      </c>
      <c r="C5584" s="380" t="str">
        <f>IFERROR(__xludf.DUMMYFUNCTION("""COMPUTED_VALUE"""),"70000966")</f>
        <v>70000966</v>
      </c>
      <c r="D5584" s="380" t="s">
        <v>767</v>
      </c>
      <c r="E5584" s="380" t="s">
        <v>786</v>
      </c>
      <c r="F5584" s="380" t="s">
        <v>928</v>
      </c>
      <c r="G5584" s="380" t="s">
        <v>1267</v>
      </c>
      <c r="H5584" s="380" t="s">
        <v>771</v>
      </c>
      <c r="I5584" s="380" t="s">
        <v>788</v>
      </c>
      <c r="J5584" s="380" t="s">
        <v>773</v>
      </c>
      <c r="K5584" s="381">
        <v>0.0</v>
      </c>
      <c r="L5584" s="382">
        <v>1.0</v>
      </c>
    </row>
    <row r="5585">
      <c r="A5585" s="380" t="s">
        <v>6459</v>
      </c>
      <c r="B5585" s="380" t="str">
        <f>IFERROR(__xludf.DUMMYFUNCTION("""COMPUTED_VALUE"""),"Piñon Eje T/Fijo Caja 16918 4304508")</f>
        <v>Piñon Eje T/Fijo Caja 16918 4304508</v>
      </c>
      <c r="C5585" s="380" t="str">
        <f>IFERROR(__xludf.DUMMYFUNCTION("""COMPUTED_VALUE"""),"70000967")</f>
        <v>70000967</v>
      </c>
      <c r="D5585" s="380" t="s">
        <v>767</v>
      </c>
      <c r="E5585" s="380" t="s">
        <v>786</v>
      </c>
      <c r="F5585" s="380" t="s">
        <v>928</v>
      </c>
      <c r="G5585" s="380" t="s">
        <v>1267</v>
      </c>
      <c r="H5585" s="380" t="s">
        <v>771</v>
      </c>
      <c r="I5585" s="380" t="s">
        <v>788</v>
      </c>
      <c r="J5585" s="380" t="s">
        <v>773</v>
      </c>
      <c r="K5585" s="381">
        <v>0.0</v>
      </c>
      <c r="L5585" s="382">
        <v>1.0</v>
      </c>
    </row>
    <row r="5586">
      <c r="A5586" s="380" t="s">
        <v>6460</v>
      </c>
      <c r="B5586" s="380" t="str">
        <f>IFERROR(__xludf.DUMMYFUNCTION("""COMPUTED_VALUE"""),"Rodillo T/Fijo Caja 16918 4304599")</f>
        <v>Rodillo T/Fijo Caja 16918 4304599</v>
      </c>
      <c r="C5586" s="380" t="str">
        <f>IFERROR(__xludf.DUMMYFUNCTION("""COMPUTED_VALUE"""),"70000968")</f>
        <v>70000968</v>
      </c>
      <c r="D5586" s="380" t="s">
        <v>767</v>
      </c>
      <c r="E5586" s="380" t="s">
        <v>786</v>
      </c>
      <c r="F5586" s="380" t="s">
        <v>928</v>
      </c>
      <c r="G5586" s="380" t="s">
        <v>1267</v>
      </c>
      <c r="H5586" s="380" t="s">
        <v>771</v>
      </c>
      <c r="I5586" s="380" t="s">
        <v>788</v>
      </c>
      <c r="J5586" s="380" t="s">
        <v>773</v>
      </c>
      <c r="K5586" s="381">
        <v>0.0</v>
      </c>
      <c r="L5586" s="382">
        <v>1.0</v>
      </c>
    </row>
    <row r="5587">
      <c r="A5587" s="380" t="s">
        <v>6461</v>
      </c>
      <c r="B5587" s="380" t="str">
        <f>IFERROR(__xludf.DUMMYFUNCTION("""COMPUTED_VALUE"""),"Piñon 3ra T/Fijo Caja 16918-4304060")</f>
        <v>Piñon 3ra T/Fijo Caja 16918-4304060</v>
      </c>
      <c r="C5587" s="380" t="str">
        <f>IFERROR(__xludf.DUMMYFUNCTION("""COMPUTED_VALUE"""),"70000969")</f>
        <v>70000969</v>
      </c>
      <c r="D5587" s="380" t="s">
        <v>767</v>
      </c>
      <c r="E5587" s="380" t="s">
        <v>786</v>
      </c>
      <c r="F5587" s="380" t="s">
        <v>928</v>
      </c>
      <c r="G5587" s="380" t="s">
        <v>1267</v>
      </c>
      <c r="H5587" s="380" t="s">
        <v>771</v>
      </c>
      <c r="I5587" s="380" t="s">
        <v>788</v>
      </c>
      <c r="J5587" s="380" t="s">
        <v>773</v>
      </c>
      <c r="K5587" s="381">
        <v>0.0</v>
      </c>
      <c r="L5587" s="382">
        <v>1.0</v>
      </c>
    </row>
    <row r="5588">
      <c r="A5588" s="380" t="s">
        <v>6462</v>
      </c>
      <c r="B5588" s="380" t="str">
        <f>IFERROR(__xludf.DUMMYFUNCTION("""COMPUTED_VALUE"""),"Horquilla Caja Full A7012-16718b 4304710")</f>
        <v>Horquilla Caja Full A7012-16718b 4304710</v>
      </c>
      <c r="C5588" s="380" t="str">
        <f>IFERROR(__xludf.DUMMYFUNCTION("""COMPUTED_VALUE"""),"70000970")</f>
        <v>70000970</v>
      </c>
      <c r="D5588" s="380" t="s">
        <v>767</v>
      </c>
      <c r="E5588" s="380" t="s">
        <v>786</v>
      </c>
      <c r="F5588" s="380" t="s">
        <v>928</v>
      </c>
      <c r="G5588" s="380" t="s">
        <v>1267</v>
      </c>
      <c r="H5588" s="380" t="s">
        <v>771</v>
      </c>
      <c r="I5588" s="380" t="s">
        <v>788</v>
      </c>
      <c r="J5588" s="380" t="s">
        <v>773</v>
      </c>
      <c r="K5588" s="381">
        <v>0.0</v>
      </c>
      <c r="L5588" s="382">
        <v>1.0</v>
      </c>
    </row>
    <row r="5589">
      <c r="A5589" s="380" t="s">
        <v>6463</v>
      </c>
      <c r="B5589" s="380" t="str">
        <f>IFERROR(__xludf.DUMMYFUNCTION("""COMPUTED_VALUE"""),"Tapon Carter Isx 492656500")</f>
        <v>Tapon Carter Isx 492656500</v>
      </c>
      <c r="C5589" s="380" t="str">
        <f>IFERROR(__xludf.DUMMYFUNCTION("""COMPUTED_VALUE"""),"70000971")</f>
        <v>70000971</v>
      </c>
      <c r="D5589" s="380" t="s">
        <v>767</v>
      </c>
      <c r="E5589" s="380" t="s">
        <v>786</v>
      </c>
      <c r="F5589" s="380" t="s">
        <v>787</v>
      </c>
      <c r="G5589" s="380" t="s">
        <v>1267</v>
      </c>
      <c r="H5589" s="380" t="s">
        <v>771</v>
      </c>
      <c r="I5589" s="380" t="s">
        <v>788</v>
      </c>
      <c r="J5589" s="380" t="s">
        <v>773</v>
      </c>
      <c r="K5589" s="381">
        <v>266448.0</v>
      </c>
      <c r="L5589" s="382">
        <v>1.0</v>
      </c>
    </row>
    <row r="5590">
      <c r="A5590" s="380" t="s">
        <v>6464</v>
      </c>
      <c r="B5590" s="380" t="str">
        <f>IFERROR(__xludf.DUMMYFUNCTION("""COMPUTED_VALUE"""),"Leva Control Cambios Nkr 8970362210")</f>
        <v>Leva Control Cambios Nkr 8970362210</v>
      </c>
      <c r="C5590" s="380" t="str">
        <f>IFERROR(__xludf.DUMMYFUNCTION("""COMPUTED_VALUE"""),"70000972")</f>
        <v>70000972</v>
      </c>
      <c r="D5590" s="380" t="s">
        <v>767</v>
      </c>
      <c r="E5590" s="380" t="s">
        <v>786</v>
      </c>
      <c r="F5590" s="380" t="s">
        <v>928</v>
      </c>
      <c r="G5590" s="380" t="s">
        <v>1267</v>
      </c>
      <c r="H5590" s="380" t="s">
        <v>771</v>
      </c>
      <c r="I5590" s="380" t="s">
        <v>788</v>
      </c>
      <c r="J5590" s="380" t="s">
        <v>773</v>
      </c>
      <c r="K5590" s="381">
        <v>0.0</v>
      </c>
      <c r="L5590" s="382">
        <v>1.0</v>
      </c>
    </row>
    <row r="5591">
      <c r="A5591" s="380" t="s">
        <v>6465</v>
      </c>
      <c r="B5591" s="380" t="str">
        <f>IFERROR(__xludf.DUMMYFUNCTION("""COMPUTED_VALUE"""),"Hoja Resorte Auxiliar Tras Nkr 22905/1")</f>
        <v>Hoja Resorte Auxiliar Tras Nkr 22905/1</v>
      </c>
      <c r="C5591" s="380" t="str">
        <f>IFERROR(__xludf.DUMMYFUNCTION("""COMPUTED_VALUE"""),"70000973")</f>
        <v>70000973</v>
      </c>
      <c r="D5591" s="380" t="s">
        <v>767</v>
      </c>
      <c r="E5591" s="380" t="s">
        <v>786</v>
      </c>
      <c r="F5591" s="380" t="s">
        <v>1039</v>
      </c>
      <c r="G5591" s="380" t="s">
        <v>1267</v>
      </c>
      <c r="H5591" s="380" t="s">
        <v>771</v>
      </c>
      <c r="I5591" s="380" t="s">
        <v>788</v>
      </c>
      <c r="J5591" s="380" t="s">
        <v>773</v>
      </c>
      <c r="K5591" s="381">
        <v>0.0</v>
      </c>
      <c r="L5591" s="382">
        <v>1.0</v>
      </c>
    </row>
    <row r="5592">
      <c r="A5592" s="380" t="s">
        <v>6466</v>
      </c>
      <c r="B5592" s="380" t="str">
        <f>IFERROR(__xludf.DUMMYFUNCTION("""COMPUTED_VALUE"""),"Hoja Resorte Auxiliar Tras Nkr 22905/2")</f>
        <v>Hoja Resorte Auxiliar Tras Nkr 22905/2</v>
      </c>
      <c r="C5592" s="380" t="str">
        <f>IFERROR(__xludf.DUMMYFUNCTION("""COMPUTED_VALUE"""),"70000974")</f>
        <v>70000974</v>
      </c>
      <c r="D5592" s="380" t="s">
        <v>767</v>
      </c>
      <c r="E5592" s="380" t="s">
        <v>786</v>
      </c>
      <c r="F5592" s="380" t="s">
        <v>1039</v>
      </c>
      <c r="G5592" s="380" t="s">
        <v>1267</v>
      </c>
      <c r="H5592" s="380" t="s">
        <v>771</v>
      </c>
      <c r="I5592" s="380" t="s">
        <v>788</v>
      </c>
      <c r="J5592" s="380" t="s">
        <v>773</v>
      </c>
      <c r="K5592" s="381">
        <v>0.0</v>
      </c>
      <c r="L5592" s="382">
        <v>1.0</v>
      </c>
    </row>
    <row r="5593">
      <c r="A5593" s="380" t="s">
        <v>6467</v>
      </c>
      <c r="B5593" s="380" t="str">
        <f>IFERROR(__xludf.DUMMYFUNCTION("""COMPUTED_VALUE"""),"Hoja Resorte Auxiliar Tras Nkr 22905/3")</f>
        <v>Hoja Resorte Auxiliar Tras Nkr 22905/3</v>
      </c>
      <c r="C5593" s="380" t="str">
        <f>IFERROR(__xludf.DUMMYFUNCTION("""COMPUTED_VALUE"""),"70000975")</f>
        <v>70000975</v>
      </c>
      <c r="D5593" s="380" t="s">
        <v>767</v>
      </c>
      <c r="E5593" s="380" t="s">
        <v>786</v>
      </c>
      <c r="F5593" s="380" t="s">
        <v>1039</v>
      </c>
      <c r="G5593" s="380" t="s">
        <v>1267</v>
      </c>
      <c r="H5593" s="380" t="s">
        <v>771</v>
      </c>
      <c r="I5593" s="380" t="s">
        <v>788</v>
      </c>
      <c r="J5593" s="380" t="s">
        <v>773</v>
      </c>
      <c r="K5593" s="381">
        <v>0.0</v>
      </c>
      <c r="L5593" s="382">
        <v>1.0</v>
      </c>
    </row>
    <row r="5594">
      <c r="A5594" s="380" t="s">
        <v>6468</v>
      </c>
      <c r="B5594" s="380" t="str">
        <f>IFERROR(__xludf.DUMMYFUNCTION("""COMPUTED_VALUE"""),"Hoja Resorte Auxiliar Tras Nkr 22905/4")</f>
        <v>Hoja Resorte Auxiliar Tras Nkr 22905/4</v>
      </c>
      <c r="C5594" s="380" t="str">
        <f>IFERROR(__xludf.DUMMYFUNCTION("""COMPUTED_VALUE"""),"70000976")</f>
        <v>70000976</v>
      </c>
      <c r="D5594" s="380" t="s">
        <v>767</v>
      </c>
      <c r="E5594" s="380" t="s">
        <v>786</v>
      </c>
      <c r="F5594" s="380" t="s">
        <v>1039</v>
      </c>
      <c r="G5594" s="380" t="s">
        <v>1267</v>
      </c>
      <c r="H5594" s="380" t="s">
        <v>771</v>
      </c>
      <c r="I5594" s="380" t="s">
        <v>788</v>
      </c>
      <c r="J5594" s="380" t="s">
        <v>773</v>
      </c>
      <c r="K5594" s="381">
        <v>0.0</v>
      </c>
      <c r="L5594" s="382">
        <v>1.0</v>
      </c>
    </row>
    <row r="5595">
      <c r="A5595" s="380" t="s">
        <v>6469</v>
      </c>
      <c r="B5595" s="380" t="str">
        <f>IFERROR(__xludf.DUMMYFUNCTION("""COMPUTED_VALUE"""),"Barra Direccion Corta T Delta 4544087327")</f>
        <v>Barra Direccion Corta T Delta 4544087327</v>
      </c>
      <c r="C5595" s="380" t="str">
        <f>IFERROR(__xludf.DUMMYFUNCTION("""COMPUTED_VALUE"""),"70000977")</f>
        <v>70000977</v>
      </c>
      <c r="D5595" s="380" t="s">
        <v>767</v>
      </c>
      <c r="E5595" s="380" t="s">
        <v>786</v>
      </c>
      <c r="F5595" s="380" t="s">
        <v>1020</v>
      </c>
      <c r="G5595" s="380" t="s">
        <v>1267</v>
      </c>
      <c r="H5595" s="380" t="s">
        <v>771</v>
      </c>
      <c r="I5595" s="380" t="s">
        <v>788</v>
      </c>
      <c r="J5595" s="380" t="s">
        <v>773</v>
      </c>
      <c r="K5595" s="381">
        <v>0.0</v>
      </c>
      <c r="L5595" s="382">
        <v>1.0</v>
      </c>
    </row>
    <row r="5596">
      <c r="A5596" s="380" t="s">
        <v>6470</v>
      </c>
      <c r="B5596" s="380" t="str">
        <f>IFERROR(__xludf.DUMMYFUNCTION("""COMPUTED_VALUE"""),"Banda Freno Emerg T Delta 4653087307")</f>
        <v>Banda Freno Emerg T Delta 4653087307</v>
      </c>
      <c r="C5596" s="380" t="str">
        <f>IFERROR(__xludf.DUMMYFUNCTION("""COMPUTED_VALUE"""),"70000978")</f>
        <v>70000978</v>
      </c>
      <c r="D5596" s="380" t="s">
        <v>767</v>
      </c>
      <c r="E5596" s="380" t="s">
        <v>786</v>
      </c>
      <c r="F5596" s="380" t="s">
        <v>1017</v>
      </c>
      <c r="G5596" s="380" t="s">
        <v>1267</v>
      </c>
      <c r="H5596" s="380" t="s">
        <v>771</v>
      </c>
      <c r="I5596" s="380" t="s">
        <v>788</v>
      </c>
      <c r="J5596" s="380" t="s">
        <v>773</v>
      </c>
      <c r="K5596" s="381">
        <v>0.0</v>
      </c>
      <c r="L5596" s="382">
        <v>1.0</v>
      </c>
    </row>
    <row r="5597">
      <c r="A5597" s="380" t="s">
        <v>6471</v>
      </c>
      <c r="B5597" s="380" t="str">
        <f>IFERROR(__xludf.DUMMYFUNCTION("""COMPUTED_VALUE"""),"Tapon Caja Velocidades Nkr 8943407181")</f>
        <v>Tapon Caja Velocidades Nkr 8943407181</v>
      </c>
      <c r="C5597" s="380" t="str">
        <f>IFERROR(__xludf.DUMMYFUNCTION("""COMPUTED_VALUE"""),"70000979")</f>
        <v>70000979</v>
      </c>
      <c r="D5597" s="380" t="s">
        <v>767</v>
      </c>
      <c r="E5597" s="380" t="s">
        <v>786</v>
      </c>
      <c r="F5597" s="380" t="s">
        <v>928</v>
      </c>
      <c r="G5597" s="380" t="s">
        <v>1267</v>
      </c>
      <c r="H5597" s="380" t="s">
        <v>771</v>
      </c>
      <c r="I5597" s="380" t="s">
        <v>788</v>
      </c>
      <c r="J5597" s="380" t="s">
        <v>773</v>
      </c>
      <c r="K5597" s="381">
        <v>0.0</v>
      </c>
      <c r="L5597" s="382">
        <v>1.0</v>
      </c>
    </row>
    <row r="5598">
      <c r="A5598" s="380" t="s">
        <v>6472</v>
      </c>
      <c r="B5598" s="380" t="str">
        <f>IFERROR(__xludf.DUMMYFUNCTION("""COMPUTED_VALUE"""),"Tornillo Multiple Escape Nkr 8971315971")</f>
        <v>Tornillo Multiple Escape Nkr 8971315971</v>
      </c>
      <c r="C5598" s="380" t="str">
        <f>IFERROR(__xludf.DUMMYFUNCTION("""COMPUTED_VALUE"""),"70000980")</f>
        <v>70000980</v>
      </c>
      <c r="D5598" s="380" t="s">
        <v>767</v>
      </c>
      <c r="E5598" s="380" t="s">
        <v>786</v>
      </c>
      <c r="F5598" s="380" t="s">
        <v>787</v>
      </c>
      <c r="G5598" s="380" t="s">
        <v>1267</v>
      </c>
      <c r="H5598" s="380" t="s">
        <v>771</v>
      </c>
      <c r="I5598" s="380" t="s">
        <v>788</v>
      </c>
      <c r="J5598" s="380" t="s">
        <v>773</v>
      </c>
      <c r="K5598" s="381">
        <v>0.0</v>
      </c>
      <c r="L5598" s="382">
        <v>1.0</v>
      </c>
    </row>
    <row r="5599">
      <c r="A5599" s="380" t="s">
        <v>6473</v>
      </c>
      <c r="B5599" s="380" t="str">
        <f>IFERROR(__xludf.DUMMYFUNCTION("""COMPUTED_VALUE"""),"Stop Tras Izq Nkr-Nhr 414813")</f>
        <v>Stop Tras Izq Nkr-Nhr 414813</v>
      </c>
      <c r="C5599" s="380" t="str">
        <f>IFERROR(__xludf.DUMMYFUNCTION("""COMPUTED_VALUE"""),"70000981")</f>
        <v>70000981</v>
      </c>
      <c r="D5599" s="380" t="s">
        <v>767</v>
      </c>
      <c r="E5599" s="380" t="s">
        <v>786</v>
      </c>
      <c r="F5599" s="380" t="s">
        <v>998</v>
      </c>
      <c r="G5599" s="380" t="s">
        <v>1267</v>
      </c>
      <c r="H5599" s="380" t="s">
        <v>771</v>
      </c>
      <c r="I5599" s="380" t="s">
        <v>788</v>
      </c>
      <c r="J5599" s="380" t="s">
        <v>773</v>
      </c>
      <c r="K5599" s="381">
        <v>0.0</v>
      </c>
      <c r="L5599" s="382">
        <v>1.0</v>
      </c>
    </row>
    <row r="5600">
      <c r="A5600" s="380" t="s">
        <v>6474</v>
      </c>
      <c r="B5600" s="380" t="str">
        <f>IFERROR(__xludf.DUMMYFUNCTION("""COMPUTED_VALUE"""),"Mang Admision Turbo Codo eagle 546687C1")</f>
        <v>Mang Admision Turbo Codo eagle 546687C1</v>
      </c>
      <c r="C5600" s="380" t="str">
        <f>IFERROR(__xludf.DUMMYFUNCTION("""COMPUTED_VALUE"""),"70000982")</f>
        <v>70000982</v>
      </c>
      <c r="D5600" s="380" t="s">
        <v>767</v>
      </c>
      <c r="E5600" s="380" t="s">
        <v>786</v>
      </c>
      <c r="F5600" s="380" t="s">
        <v>787</v>
      </c>
      <c r="G5600" s="380" t="s">
        <v>1267</v>
      </c>
      <c r="H5600" s="380" t="s">
        <v>771</v>
      </c>
      <c r="I5600" s="380" t="s">
        <v>788</v>
      </c>
      <c r="J5600" s="380" t="s">
        <v>773</v>
      </c>
      <c r="K5600" s="381">
        <v>0.0</v>
      </c>
      <c r="L5600" s="382">
        <v>1.0</v>
      </c>
    </row>
    <row r="5601">
      <c r="A5601" s="380" t="s">
        <v>6475</v>
      </c>
      <c r="B5601" s="380" t="str">
        <f>IFERROR(__xludf.DUMMYFUNCTION("""COMPUTED_VALUE"""),"Amortiguador Cabina Eagle 2008-2508327C1")</f>
        <v>Amortiguador Cabina Eagle 2008-2508327C1</v>
      </c>
      <c r="C5601" s="380" t="str">
        <f>IFERROR(__xludf.DUMMYFUNCTION("""COMPUTED_VALUE"""),"70000983")</f>
        <v>70000983</v>
      </c>
      <c r="D5601" s="380" t="s">
        <v>767</v>
      </c>
      <c r="E5601" s="380" t="s">
        <v>786</v>
      </c>
      <c r="F5601" s="380" t="s">
        <v>792</v>
      </c>
      <c r="G5601" s="380" t="s">
        <v>1267</v>
      </c>
      <c r="H5601" s="380" t="s">
        <v>771</v>
      </c>
      <c r="I5601" s="380" t="s">
        <v>788</v>
      </c>
      <c r="J5601" s="380" t="s">
        <v>773</v>
      </c>
      <c r="K5601" s="381">
        <v>375855.0</v>
      </c>
      <c r="L5601" s="382">
        <v>1.0</v>
      </c>
    </row>
    <row r="5602">
      <c r="A5602" s="380" t="s">
        <v>6476</v>
      </c>
      <c r="B5602" s="380" t="str">
        <f>IFERROR(__xludf.DUMMYFUNCTION("""COMPUTED_VALUE"""),"Actuador Tiempo Motor KW T800-408998100")</f>
        <v>Actuador Tiempo Motor KW T800-408998100</v>
      </c>
      <c r="C5602" s="380" t="str">
        <f>IFERROR(__xludf.DUMMYFUNCTION("""COMPUTED_VALUE"""),"70000984")</f>
        <v>70000984</v>
      </c>
      <c r="D5602" s="380" t="s">
        <v>767</v>
      </c>
      <c r="E5602" s="380" t="s">
        <v>786</v>
      </c>
      <c r="F5602" s="380" t="s">
        <v>787</v>
      </c>
      <c r="G5602" s="380" t="s">
        <v>1267</v>
      </c>
      <c r="H5602" s="380" t="s">
        <v>771</v>
      </c>
      <c r="I5602" s="380" t="s">
        <v>788</v>
      </c>
      <c r="J5602" s="380" t="s">
        <v>773</v>
      </c>
      <c r="K5602" s="381">
        <v>3451000.0</v>
      </c>
      <c r="L5602" s="382">
        <v>1.0</v>
      </c>
    </row>
    <row r="5603">
      <c r="A5603" s="380" t="s">
        <v>6477</v>
      </c>
      <c r="B5603" s="380" t="str">
        <f>IFERROR(__xludf.DUMMYFUNCTION("""COMPUTED_VALUE"""),"Zapa Muelle Tras Tras Npr-SSX021SC")</f>
        <v>Zapa Muelle Tras Tras Npr-SSX021SC</v>
      </c>
      <c r="C5603" s="380" t="str">
        <f>IFERROR(__xludf.DUMMYFUNCTION("""COMPUTED_VALUE"""),"70000985")</f>
        <v>70000985</v>
      </c>
      <c r="D5603" s="380" t="s">
        <v>767</v>
      </c>
      <c r="E5603" s="380" t="s">
        <v>786</v>
      </c>
      <c r="F5603" s="380" t="s">
        <v>1039</v>
      </c>
      <c r="G5603" s="380" t="s">
        <v>1267</v>
      </c>
      <c r="H5603" s="380" t="s">
        <v>771</v>
      </c>
      <c r="I5603" s="380" t="s">
        <v>788</v>
      </c>
      <c r="J5603" s="380" t="s">
        <v>773</v>
      </c>
      <c r="K5603" s="381">
        <v>0.0</v>
      </c>
      <c r="L5603" s="382">
        <v>1.0</v>
      </c>
    </row>
    <row r="5604">
      <c r="A5604" s="380" t="s">
        <v>6478</v>
      </c>
      <c r="B5604" s="380" t="str">
        <f>IFERROR(__xludf.DUMMYFUNCTION("""COMPUTED_VALUE"""),"Diafragma Filtro Aire Nkr 8941601870")</f>
        <v>Diafragma Filtro Aire Nkr 8941601870</v>
      </c>
      <c r="C5604" s="380" t="str">
        <f>IFERROR(__xludf.DUMMYFUNCTION("""COMPUTED_VALUE"""),"70000986")</f>
        <v>70000986</v>
      </c>
      <c r="D5604" s="380" t="s">
        <v>767</v>
      </c>
      <c r="E5604" s="380" t="s">
        <v>786</v>
      </c>
      <c r="F5604" s="380" t="s">
        <v>787</v>
      </c>
      <c r="G5604" s="380" t="s">
        <v>1267</v>
      </c>
      <c r="H5604" s="380" t="s">
        <v>771</v>
      </c>
      <c r="I5604" s="380" t="s">
        <v>788</v>
      </c>
      <c r="J5604" s="380" t="s">
        <v>773</v>
      </c>
      <c r="K5604" s="381">
        <v>0.0</v>
      </c>
      <c r="L5604" s="382">
        <v>1.0</v>
      </c>
    </row>
    <row r="5605">
      <c r="A5605" s="380" t="s">
        <v>6479</v>
      </c>
      <c r="B5605" s="380" t="str">
        <f>IFERROR(__xludf.DUMMYFUNCTION("""COMPUTED_VALUE"""),"Stop Trasero Derecho Nkr 51120101")</f>
        <v>Stop Trasero Derecho Nkr 51120101</v>
      </c>
      <c r="C5605" s="380" t="str">
        <f>IFERROR(__xludf.DUMMYFUNCTION("""COMPUTED_VALUE"""),"70000987")</f>
        <v>70000987</v>
      </c>
      <c r="D5605" s="380" t="s">
        <v>767</v>
      </c>
      <c r="E5605" s="380" t="s">
        <v>786</v>
      </c>
      <c r="F5605" s="380" t="s">
        <v>998</v>
      </c>
      <c r="G5605" s="380" t="s">
        <v>1267</v>
      </c>
      <c r="H5605" s="380" t="s">
        <v>771</v>
      </c>
      <c r="I5605" s="380" t="s">
        <v>788</v>
      </c>
      <c r="J5605" s="380" t="s">
        <v>773</v>
      </c>
      <c r="K5605" s="381">
        <v>0.0</v>
      </c>
      <c r="L5605" s="382">
        <v>1.0</v>
      </c>
    </row>
    <row r="5606">
      <c r="A5606" s="380" t="s">
        <v>6480</v>
      </c>
      <c r="B5606" s="380" t="str">
        <f>IFERROR(__xludf.DUMMYFUNCTION("""COMPUTED_VALUE"""),"Leva Freno Trailer Der ""Z""-COA006804")</f>
        <v>Leva Freno Trailer Der "Z"-COA006804</v>
      </c>
      <c r="C5606" s="380" t="str">
        <f>IFERROR(__xludf.DUMMYFUNCTION("""COMPUTED_VALUE"""),"70000988")</f>
        <v>70000988</v>
      </c>
      <c r="D5606" s="380" t="s">
        <v>767</v>
      </c>
      <c r="E5606" s="380" t="s">
        <v>786</v>
      </c>
      <c r="F5606" s="380" t="s">
        <v>1017</v>
      </c>
      <c r="G5606" s="380" t="s">
        <v>1267</v>
      </c>
      <c r="H5606" s="380" t="s">
        <v>771</v>
      </c>
      <c r="I5606" s="380" t="s">
        <v>788</v>
      </c>
      <c r="J5606" s="380" t="s">
        <v>773</v>
      </c>
      <c r="K5606" s="381">
        <v>0.0</v>
      </c>
      <c r="L5606" s="382">
        <v>1.0</v>
      </c>
    </row>
    <row r="5607">
      <c r="A5607" s="380" t="s">
        <v>6481</v>
      </c>
      <c r="B5607" s="380" t="str">
        <f>IFERROR(__xludf.DUMMYFUNCTION("""COMPUTED_VALUE"""),"Leva Freno Trailer Izq ""S""-COA006803")</f>
        <v>Leva Freno Trailer Izq "S"-COA006803</v>
      </c>
      <c r="C5607" s="380" t="str">
        <f>IFERROR(__xludf.DUMMYFUNCTION("""COMPUTED_VALUE"""),"70000989")</f>
        <v>70000989</v>
      </c>
      <c r="D5607" s="380" t="s">
        <v>767</v>
      </c>
      <c r="E5607" s="380" t="s">
        <v>786</v>
      </c>
      <c r="F5607" s="380" t="s">
        <v>1017</v>
      </c>
      <c r="G5607" s="380" t="s">
        <v>1267</v>
      </c>
      <c r="H5607" s="380" t="s">
        <v>771</v>
      </c>
      <c r="I5607" s="380" t="s">
        <v>788</v>
      </c>
      <c r="J5607" s="380" t="s">
        <v>773</v>
      </c>
      <c r="K5607" s="381">
        <v>0.0</v>
      </c>
      <c r="L5607" s="382">
        <v>1.0</v>
      </c>
    </row>
    <row r="5608">
      <c r="A5608" s="380" t="s">
        <v>6482</v>
      </c>
      <c r="B5608" s="380" t="str">
        <f>IFERROR(__xludf.DUMMYFUNCTION("""COMPUTED_VALUE"""),"Rotor Alternador Npr")</f>
        <v>Rotor Alternador Npr</v>
      </c>
      <c r="C5608" s="380" t="str">
        <f>IFERROR(__xludf.DUMMYFUNCTION("""COMPUTED_VALUE"""),"70000990")</f>
        <v>70000990</v>
      </c>
      <c r="D5608" s="380" t="s">
        <v>767</v>
      </c>
      <c r="E5608" s="380" t="s">
        <v>786</v>
      </c>
      <c r="F5608" s="380" t="s">
        <v>998</v>
      </c>
      <c r="G5608" s="380" t="s">
        <v>1267</v>
      </c>
      <c r="H5608" s="380" t="s">
        <v>771</v>
      </c>
      <c r="I5608" s="380" t="s">
        <v>788</v>
      </c>
      <c r="J5608" s="380" t="s">
        <v>773</v>
      </c>
      <c r="K5608" s="381">
        <v>0.0</v>
      </c>
      <c r="L5608" s="382">
        <v>1.0</v>
      </c>
    </row>
    <row r="5609">
      <c r="A5609" s="380" t="s">
        <v>6483</v>
      </c>
      <c r="B5609" s="380" t="str">
        <f>IFERROR(__xludf.DUMMYFUNCTION("""COMPUTED_VALUE"""),"Base Soporte Fan Clutch Eagle 2509385C91")</f>
        <v>Base Soporte Fan Clutch Eagle 2509385C91</v>
      </c>
      <c r="C5609" s="380" t="str">
        <f>IFERROR(__xludf.DUMMYFUNCTION("""COMPUTED_VALUE"""),"70000991")</f>
        <v>70000991</v>
      </c>
      <c r="D5609" s="380" t="s">
        <v>767</v>
      </c>
      <c r="E5609" s="380" t="s">
        <v>786</v>
      </c>
      <c r="F5609" s="380" t="s">
        <v>787</v>
      </c>
      <c r="G5609" s="380" t="s">
        <v>1267</v>
      </c>
      <c r="H5609" s="380" t="s">
        <v>771</v>
      </c>
      <c r="I5609" s="380" t="s">
        <v>788</v>
      </c>
      <c r="J5609" s="380" t="s">
        <v>773</v>
      </c>
      <c r="K5609" s="381">
        <v>0.0</v>
      </c>
      <c r="L5609" s="382">
        <v>1.0</v>
      </c>
    </row>
    <row r="5610">
      <c r="A5610" s="380" t="s">
        <v>6484</v>
      </c>
      <c r="B5610" s="380" t="str">
        <f>IFERROR(__xludf.DUMMYFUNCTION("""COMPUTED_VALUE"""),"Hoja Resorte Del Nkr 22934/2pal")</f>
        <v>Hoja Resorte Del Nkr 22934/2pal</v>
      </c>
      <c r="C5610" s="380" t="str">
        <f>IFERROR(__xludf.DUMMYFUNCTION("""COMPUTED_VALUE"""),"70000992")</f>
        <v>70000992</v>
      </c>
      <c r="D5610" s="380" t="s">
        <v>767</v>
      </c>
      <c r="E5610" s="380" t="s">
        <v>786</v>
      </c>
      <c r="F5610" s="380" t="s">
        <v>1039</v>
      </c>
      <c r="G5610" s="380" t="s">
        <v>1267</v>
      </c>
      <c r="H5610" s="380" t="s">
        <v>771</v>
      </c>
      <c r="I5610" s="380" t="s">
        <v>788</v>
      </c>
      <c r="J5610" s="380" t="s">
        <v>773</v>
      </c>
      <c r="K5610" s="381">
        <v>0.0</v>
      </c>
      <c r="L5610" s="382">
        <v>1.0</v>
      </c>
    </row>
    <row r="5611">
      <c r="A5611" s="380" t="s">
        <v>6485</v>
      </c>
      <c r="B5611" s="380" t="str">
        <f>IFERROR(__xludf.DUMMYFUNCTION("""COMPUTED_VALUE"""),"Carcasa Distribución Motor Nkr8972190014")</f>
        <v>Carcasa Distribución Motor Nkr8972190014</v>
      </c>
      <c r="C5611" s="380" t="str">
        <f>IFERROR(__xludf.DUMMYFUNCTION("""COMPUTED_VALUE"""),"70000993")</f>
        <v>70000993</v>
      </c>
      <c r="D5611" s="380" t="s">
        <v>767</v>
      </c>
      <c r="E5611" s="380" t="s">
        <v>786</v>
      </c>
      <c r="F5611" s="380" t="s">
        <v>787</v>
      </c>
      <c r="G5611" s="380" t="s">
        <v>1267</v>
      </c>
      <c r="H5611" s="380" t="s">
        <v>771</v>
      </c>
      <c r="I5611" s="380" t="s">
        <v>788</v>
      </c>
      <c r="J5611" s="380" t="s">
        <v>773</v>
      </c>
      <c r="K5611" s="381">
        <v>0.0</v>
      </c>
      <c r="L5611" s="382">
        <v>1.0</v>
      </c>
    </row>
    <row r="5612">
      <c r="A5612" s="380" t="s">
        <v>6486</v>
      </c>
      <c r="B5612" s="380" t="str">
        <f>IFERROR(__xludf.DUMMYFUNCTION("""COMPUTED_VALUE"""),"Empaque Central Mult Escp KW Isx 4907448")</f>
        <v>Empaque Central Mult Escp KW Isx 4907448</v>
      </c>
      <c r="C5612" s="380" t="str">
        <f>IFERROR(__xludf.DUMMYFUNCTION("""COMPUTED_VALUE"""),"70000994")</f>
        <v>70000994</v>
      </c>
      <c r="D5612" s="380" t="s">
        <v>767</v>
      </c>
      <c r="E5612" s="380" t="s">
        <v>786</v>
      </c>
      <c r="F5612" s="380" t="s">
        <v>787</v>
      </c>
      <c r="G5612" s="380" t="s">
        <v>1267</v>
      </c>
      <c r="H5612" s="380" t="s">
        <v>771</v>
      </c>
      <c r="I5612" s="380" t="s">
        <v>788</v>
      </c>
      <c r="J5612" s="380" t="s">
        <v>773</v>
      </c>
      <c r="K5612" s="381">
        <v>0.0</v>
      </c>
      <c r="L5612" s="382">
        <v>1.0</v>
      </c>
    </row>
    <row r="5613">
      <c r="A5613" s="380" t="s">
        <v>6487</v>
      </c>
      <c r="B5613" s="380" t="str">
        <f>IFERROR(__xludf.DUMMYFUNCTION("""COMPUTED_VALUE"""),"Empaque Mult Escp KW Isx 4907447")</f>
        <v>Empaque Mult Escp KW Isx 4907447</v>
      </c>
      <c r="C5613" s="380" t="str">
        <f>IFERROR(__xludf.DUMMYFUNCTION("""COMPUTED_VALUE"""),"70000995")</f>
        <v>70000995</v>
      </c>
      <c r="D5613" s="380" t="s">
        <v>767</v>
      </c>
      <c r="E5613" s="380" t="s">
        <v>786</v>
      </c>
      <c r="F5613" s="380" t="s">
        <v>787</v>
      </c>
      <c r="G5613" s="380" t="s">
        <v>1267</v>
      </c>
      <c r="H5613" s="380" t="s">
        <v>771</v>
      </c>
      <c r="I5613" s="380" t="s">
        <v>788</v>
      </c>
      <c r="J5613" s="380" t="s">
        <v>773</v>
      </c>
      <c r="K5613" s="381">
        <v>0.0</v>
      </c>
      <c r="L5613" s="382">
        <v>1.0</v>
      </c>
    </row>
    <row r="5614">
      <c r="A5614" s="380" t="s">
        <v>6488</v>
      </c>
      <c r="B5614" s="380" t="str">
        <f>IFERROR(__xludf.DUMMYFUNCTION("""COMPUTED_VALUE"""),"Arandela Alumin Solar Diferenc Tras43271")</f>
        <v>Arandela Alumin Solar Diferenc Tras43271</v>
      </c>
      <c r="C5614" s="380" t="str">
        <f>IFERROR(__xludf.DUMMYFUNCTION("""COMPUTED_VALUE"""),"70000996")</f>
        <v>70000996</v>
      </c>
      <c r="D5614" s="380" t="s">
        <v>767</v>
      </c>
      <c r="E5614" s="380" t="s">
        <v>786</v>
      </c>
      <c r="F5614" s="380" t="s">
        <v>5683</v>
      </c>
      <c r="G5614" s="380" t="s">
        <v>1267</v>
      </c>
      <c r="H5614" s="380" t="s">
        <v>771</v>
      </c>
      <c r="I5614" s="380" t="s">
        <v>788</v>
      </c>
      <c r="J5614" s="380" t="s">
        <v>773</v>
      </c>
      <c r="K5614" s="381">
        <v>0.0</v>
      </c>
      <c r="L5614" s="382">
        <v>1.0</v>
      </c>
    </row>
    <row r="5615">
      <c r="A5615" s="380" t="s">
        <v>6489</v>
      </c>
      <c r="B5615" s="380" t="str">
        <f>IFERROR(__xludf.DUMMYFUNCTION("""COMPUTED_VALUE"""),"Cerrojo Puerta Tipo Cortina Furgon 0060")</f>
        <v>Cerrojo Puerta Tipo Cortina Furgon 0060</v>
      </c>
      <c r="C5615" s="380" t="str">
        <f>IFERROR(__xludf.DUMMYFUNCTION("""COMPUTED_VALUE"""),"70000997")</f>
        <v>70000997</v>
      </c>
      <c r="D5615" s="380" t="s">
        <v>767</v>
      </c>
      <c r="E5615" s="380" t="s">
        <v>786</v>
      </c>
      <c r="F5615" s="380" t="s">
        <v>792</v>
      </c>
      <c r="G5615" s="380" t="s">
        <v>1267</v>
      </c>
      <c r="H5615" s="380" t="s">
        <v>771</v>
      </c>
      <c r="I5615" s="380" t="s">
        <v>788</v>
      </c>
      <c r="J5615" s="380" t="s">
        <v>773</v>
      </c>
      <c r="K5615" s="381">
        <v>0.0</v>
      </c>
      <c r="L5615" s="382">
        <v>1.0</v>
      </c>
    </row>
    <row r="5616">
      <c r="A5616" s="380" t="s">
        <v>6490</v>
      </c>
      <c r="B5616" s="380" t="str">
        <f>IFERROR(__xludf.DUMMYFUNCTION("""COMPUTED_VALUE"""),"Piñon Eje Propuls Caja 16918b-Ful4304510")</f>
        <v>Piñon Eje Propuls Caja 16918b-Ful4304510</v>
      </c>
      <c r="C5616" s="380" t="str">
        <f>IFERROR(__xludf.DUMMYFUNCTION("""COMPUTED_VALUE"""),"70000998")</f>
        <v>70000998</v>
      </c>
      <c r="D5616" s="380" t="s">
        <v>767</v>
      </c>
      <c r="E5616" s="380" t="s">
        <v>786</v>
      </c>
      <c r="F5616" s="380" t="s">
        <v>928</v>
      </c>
      <c r="G5616" s="380" t="s">
        <v>1267</v>
      </c>
      <c r="H5616" s="380" t="s">
        <v>771</v>
      </c>
      <c r="I5616" s="380" t="s">
        <v>788</v>
      </c>
      <c r="J5616" s="380" t="s">
        <v>773</v>
      </c>
      <c r="K5616" s="381">
        <v>0.0</v>
      </c>
      <c r="L5616" s="382">
        <v>1.0</v>
      </c>
    </row>
    <row r="5617">
      <c r="A5617" s="380" t="s">
        <v>6491</v>
      </c>
      <c r="B5617" s="380" t="str">
        <f>IFERROR(__xludf.DUMMYFUNCTION("""COMPUTED_VALUE"""),"Lampara Vicera T600 KW 19200Y")</f>
        <v>Lampara Vicera T600 KW 19200Y</v>
      </c>
      <c r="C5617" s="380" t="str">
        <f>IFERROR(__xludf.DUMMYFUNCTION("""COMPUTED_VALUE"""),"70000999")</f>
        <v>70000999</v>
      </c>
      <c r="D5617" s="380" t="s">
        <v>767</v>
      </c>
      <c r="E5617" s="380" t="s">
        <v>786</v>
      </c>
      <c r="F5617" s="380" t="s">
        <v>998</v>
      </c>
      <c r="G5617" s="380" t="s">
        <v>1267</v>
      </c>
      <c r="H5617" s="380" t="s">
        <v>771</v>
      </c>
      <c r="I5617" s="380" t="s">
        <v>788</v>
      </c>
      <c r="J5617" s="380" t="s">
        <v>773</v>
      </c>
      <c r="K5617" s="381">
        <v>0.0</v>
      </c>
      <c r="L5617" s="382">
        <v>1.0</v>
      </c>
    </row>
    <row r="5618">
      <c r="A5618" s="380" t="s">
        <v>6492</v>
      </c>
      <c r="B5618" s="380" t="str">
        <f>IFERROR(__xludf.DUMMYFUNCTION("""COMPUTED_VALUE"""),"Retenedor Cigüeñal Tras NHR 8970715611")</f>
        <v>Retenedor Cigüeñal Tras NHR 8970715611</v>
      </c>
      <c r="C5618" s="380" t="str">
        <f>IFERROR(__xludf.DUMMYFUNCTION("""COMPUTED_VALUE"""),"70001000")</f>
        <v>70001000</v>
      </c>
      <c r="D5618" s="380" t="s">
        <v>767</v>
      </c>
      <c r="E5618" s="380" t="s">
        <v>786</v>
      </c>
      <c r="F5618" s="380" t="s">
        <v>787</v>
      </c>
      <c r="G5618" s="380" t="s">
        <v>1267</v>
      </c>
      <c r="H5618" s="380" t="s">
        <v>771</v>
      </c>
      <c r="I5618" s="380" t="s">
        <v>788</v>
      </c>
      <c r="J5618" s="380" t="s">
        <v>773</v>
      </c>
      <c r="K5618" s="381">
        <v>0.0</v>
      </c>
      <c r="L5618" s="382">
        <v>1.0</v>
      </c>
    </row>
    <row r="5619">
      <c r="A5619" s="380" t="s">
        <v>6493</v>
      </c>
      <c r="B5619" s="380" t="str">
        <f>IFERROR(__xludf.DUMMYFUNCTION("""COMPUTED_VALUE"""),"Bomba Ppal Embrague T Delta 31410B3020")</f>
        <v>Bomba Ppal Embrague T Delta 31410B3020</v>
      </c>
      <c r="C5619" s="380" t="str">
        <f>IFERROR(__xludf.DUMMYFUNCTION("""COMPUTED_VALUE"""),"70001001")</f>
        <v>70001001</v>
      </c>
      <c r="D5619" s="380" t="s">
        <v>767</v>
      </c>
      <c r="E5619" s="380" t="s">
        <v>786</v>
      </c>
      <c r="F5619" s="380" t="s">
        <v>5661</v>
      </c>
      <c r="G5619" s="380" t="s">
        <v>1267</v>
      </c>
      <c r="H5619" s="380" t="s">
        <v>771</v>
      </c>
      <c r="I5619" s="380" t="s">
        <v>788</v>
      </c>
      <c r="J5619" s="380" t="s">
        <v>773</v>
      </c>
      <c r="K5619" s="381">
        <v>0.0</v>
      </c>
      <c r="L5619" s="382">
        <v>1.0</v>
      </c>
    </row>
    <row r="5620">
      <c r="A5620" s="380" t="s">
        <v>6494</v>
      </c>
      <c r="B5620" s="380" t="str">
        <f>IFERROR(__xludf.DUMMYFUNCTION("""COMPUTED_VALUE"""),"Panel Instru Cabina Eagle 3562568C92")</f>
        <v>Panel Instru Cabina Eagle 3562568C92</v>
      </c>
      <c r="C5620" s="380" t="str">
        <f>IFERROR(__xludf.DUMMYFUNCTION("""COMPUTED_VALUE"""),"70001002")</f>
        <v>70001002</v>
      </c>
      <c r="D5620" s="380" t="s">
        <v>767</v>
      </c>
      <c r="E5620" s="380" t="s">
        <v>786</v>
      </c>
      <c r="F5620" s="380" t="s">
        <v>792</v>
      </c>
      <c r="G5620" s="380" t="s">
        <v>1267</v>
      </c>
      <c r="H5620" s="380" t="s">
        <v>771</v>
      </c>
      <c r="I5620" s="380" t="s">
        <v>788</v>
      </c>
      <c r="J5620" s="380" t="s">
        <v>773</v>
      </c>
      <c r="K5620" s="381">
        <v>0.0</v>
      </c>
      <c r="L5620" s="382">
        <v>1.0</v>
      </c>
    </row>
    <row r="5621">
      <c r="A5621" s="380" t="s">
        <v>6495</v>
      </c>
      <c r="B5621" s="380" t="str">
        <f>IFERROR(__xludf.DUMMYFUNCTION("""COMPUTED_VALUE"""),"Bomba Freno Volswaguen 1138190")</f>
        <v>Bomba Freno Volswaguen 1138190</v>
      </c>
      <c r="C5621" s="380" t="str">
        <f>IFERROR(__xludf.DUMMYFUNCTION("""COMPUTED_VALUE"""),"70001003")</f>
        <v>70001003</v>
      </c>
      <c r="D5621" s="380" t="s">
        <v>767</v>
      </c>
      <c r="E5621" s="380" t="s">
        <v>786</v>
      </c>
      <c r="F5621" s="380" t="s">
        <v>1017</v>
      </c>
      <c r="G5621" s="380" t="s">
        <v>1267</v>
      </c>
      <c r="H5621" s="380" t="s">
        <v>771</v>
      </c>
      <c r="I5621" s="380" t="s">
        <v>788</v>
      </c>
      <c r="J5621" s="380" t="s">
        <v>773</v>
      </c>
      <c r="K5621" s="381">
        <v>0.0</v>
      </c>
      <c r="L5621" s="382">
        <v>1.0</v>
      </c>
    </row>
    <row r="5622">
      <c r="A5622" s="380" t="s">
        <v>6496</v>
      </c>
      <c r="B5622" s="380" t="str">
        <f>IFERROR(__xludf.DUMMYFUNCTION("""COMPUTED_VALUE"""),"Rodillo Rda Tras Inter T Delta 30212")</f>
        <v>Rodillo Rda Tras Inter T Delta 30212</v>
      </c>
      <c r="C5622" s="380" t="str">
        <f>IFERROR(__xludf.DUMMYFUNCTION("""COMPUTED_VALUE"""),"70001004")</f>
        <v>70001004</v>
      </c>
      <c r="D5622" s="380" t="s">
        <v>767</v>
      </c>
      <c r="E5622" s="380" t="s">
        <v>786</v>
      </c>
      <c r="F5622" s="380" t="s">
        <v>5683</v>
      </c>
      <c r="G5622" s="380" t="s">
        <v>1267</v>
      </c>
      <c r="H5622" s="380" t="s">
        <v>771</v>
      </c>
      <c r="I5622" s="380" t="s">
        <v>788</v>
      </c>
      <c r="J5622" s="380" t="s">
        <v>773</v>
      </c>
      <c r="K5622" s="381">
        <v>0.0</v>
      </c>
      <c r="L5622" s="382">
        <v>1.0</v>
      </c>
    </row>
    <row r="5623">
      <c r="A5623" s="380" t="s">
        <v>6497</v>
      </c>
      <c r="B5623" s="380" t="str">
        <f>IFERROR(__xludf.DUMMYFUNCTION("""COMPUTED_VALUE"""),"Arande Ajuste Rda Tras Delta 9004214003")</f>
        <v>Arande Ajuste Rda Tras Delta 9004214003</v>
      </c>
      <c r="C5623" s="380" t="str">
        <f>IFERROR(__xludf.DUMMYFUNCTION("""COMPUTED_VALUE"""),"70001005")</f>
        <v>70001005</v>
      </c>
      <c r="D5623" s="380" t="s">
        <v>767</v>
      </c>
      <c r="E5623" s="380" t="s">
        <v>786</v>
      </c>
      <c r="F5623" s="380" t="s">
        <v>5683</v>
      </c>
      <c r="G5623" s="380" t="s">
        <v>1267</v>
      </c>
      <c r="H5623" s="380" t="s">
        <v>771</v>
      </c>
      <c r="I5623" s="380" t="s">
        <v>788</v>
      </c>
      <c r="J5623" s="380" t="s">
        <v>773</v>
      </c>
      <c r="K5623" s="381">
        <v>0.0</v>
      </c>
      <c r="L5623" s="382">
        <v>1.0</v>
      </c>
    </row>
    <row r="5624">
      <c r="A5624" s="380" t="s">
        <v>6498</v>
      </c>
      <c r="B5624" s="380" t="str">
        <f>IFERROR(__xludf.DUMMYFUNCTION("""COMPUTED_VALUE"""),"Enfocador Radiador Nhr 97223685")</f>
        <v>Enfocador Radiador Nhr 97223685</v>
      </c>
      <c r="C5624" s="380" t="str">
        <f>IFERROR(__xludf.DUMMYFUNCTION("""COMPUTED_VALUE"""),"70001006")</f>
        <v>70001006</v>
      </c>
      <c r="D5624" s="380" t="s">
        <v>767</v>
      </c>
      <c r="E5624" s="380" t="s">
        <v>786</v>
      </c>
      <c r="F5624" s="380" t="s">
        <v>787</v>
      </c>
      <c r="G5624" s="380" t="s">
        <v>1267</v>
      </c>
      <c r="H5624" s="380" t="s">
        <v>771</v>
      </c>
      <c r="I5624" s="380" t="s">
        <v>788</v>
      </c>
      <c r="J5624" s="380" t="s">
        <v>773</v>
      </c>
      <c r="K5624" s="381">
        <v>0.0</v>
      </c>
      <c r="L5624" s="382">
        <v>1.0</v>
      </c>
    </row>
    <row r="5625">
      <c r="A5625" s="380" t="s">
        <v>6499</v>
      </c>
      <c r="B5625" s="380" t="str">
        <f>IFERROR(__xludf.DUMMYFUNCTION("""COMPUTED_VALUE"""),"Soporte Cardan Eagle 9400 DS10094142")</f>
        <v>Soporte Cardan Eagle 9400 DS10094142</v>
      </c>
      <c r="C5625" s="380" t="str">
        <f>IFERROR(__xludf.DUMMYFUNCTION("""COMPUTED_VALUE"""),"70001007")</f>
        <v>70001007</v>
      </c>
      <c r="D5625" s="380" t="s">
        <v>767</v>
      </c>
      <c r="E5625" s="380" t="s">
        <v>786</v>
      </c>
      <c r="F5625" s="380" t="s">
        <v>5683</v>
      </c>
      <c r="G5625" s="380" t="s">
        <v>1267</v>
      </c>
      <c r="H5625" s="380" t="s">
        <v>771</v>
      </c>
      <c r="I5625" s="380" t="s">
        <v>788</v>
      </c>
      <c r="J5625" s="380" t="s">
        <v>773</v>
      </c>
      <c r="K5625" s="381">
        <v>0.0</v>
      </c>
      <c r="L5625" s="382">
        <v>1.0</v>
      </c>
    </row>
    <row r="5626">
      <c r="A5626" s="380" t="s">
        <v>6500</v>
      </c>
      <c r="B5626" s="380" t="str">
        <f>IFERROR(__xludf.DUMMYFUNCTION("""COMPUTED_VALUE"""),"Caja Soporte Muelle Trailer Dite")</f>
        <v>Caja Soporte Muelle Trailer Dite</v>
      </c>
      <c r="C5626" s="380" t="str">
        <f>IFERROR(__xludf.DUMMYFUNCTION("""COMPUTED_VALUE"""),"70001008")</f>
        <v>70001008</v>
      </c>
      <c r="D5626" s="380" t="s">
        <v>767</v>
      </c>
      <c r="E5626" s="380" t="s">
        <v>786</v>
      </c>
      <c r="F5626" s="380" t="s">
        <v>1039</v>
      </c>
      <c r="G5626" s="380" t="s">
        <v>1267</v>
      </c>
      <c r="H5626" s="380" t="s">
        <v>771</v>
      </c>
      <c r="I5626" s="380" t="s">
        <v>788</v>
      </c>
      <c r="J5626" s="380" t="s">
        <v>773</v>
      </c>
      <c r="K5626" s="381">
        <v>0.0</v>
      </c>
      <c r="L5626" s="382">
        <v>1.0</v>
      </c>
    </row>
    <row r="5627">
      <c r="A5627" s="380" t="s">
        <v>6501</v>
      </c>
      <c r="B5627" s="380" t="str">
        <f>IFERROR(__xludf.DUMMYFUNCTION("""COMPUTED_VALUE"""),"Tapa Soporte Muelle Trailer Dite")</f>
        <v>Tapa Soporte Muelle Trailer Dite</v>
      </c>
      <c r="C5627" s="380" t="str">
        <f>IFERROR(__xludf.DUMMYFUNCTION("""COMPUTED_VALUE"""),"70001009")</f>
        <v>70001009</v>
      </c>
      <c r="D5627" s="380" t="s">
        <v>767</v>
      </c>
      <c r="E5627" s="380" t="s">
        <v>786</v>
      </c>
      <c r="F5627" s="380" t="s">
        <v>1039</v>
      </c>
      <c r="G5627" s="380" t="s">
        <v>1267</v>
      </c>
      <c r="H5627" s="380" t="s">
        <v>771</v>
      </c>
      <c r="I5627" s="380" t="s">
        <v>788</v>
      </c>
      <c r="J5627" s="380" t="s">
        <v>773</v>
      </c>
      <c r="K5627" s="381">
        <v>0.0</v>
      </c>
      <c r="L5627" s="382">
        <v>1.0</v>
      </c>
    </row>
    <row r="5628">
      <c r="A5628" s="380" t="s">
        <v>6502</v>
      </c>
      <c r="B5628" s="380" t="str">
        <f>IFERROR(__xludf.DUMMYFUNCTION("""COMPUTED_VALUE"""),"Chumasera Con Vena Trailer Dite")</f>
        <v>Chumasera Con Vena Trailer Dite</v>
      </c>
      <c r="C5628" s="380" t="str">
        <f>IFERROR(__xludf.DUMMYFUNCTION("""COMPUTED_VALUE"""),"70001010")</f>
        <v>70001010</v>
      </c>
      <c r="D5628" s="380" t="s">
        <v>767</v>
      </c>
      <c r="E5628" s="380" t="s">
        <v>786</v>
      </c>
      <c r="F5628" s="380" t="s">
        <v>1039</v>
      </c>
      <c r="G5628" s="380" t="s">
        <v>1267</v>
      </c>
      <c r="H5628" s="380" t="s">
        <v>771</v>
      </c>
      <c r="I5628" s="380" t="s">
        <v>788</v>
      </c>
      <c r="J5628" s="380" t="s">
        <v>773</v>
      </c>
      <c r="K5628" s="381">
        <v>0.0</v>
      </c>
      <c r="L5628" s="382">
        <v>1.0</v>
      </c>
    </row>
    <row r="5629">
      <c r="A5629" s="380" t="s">
        <v>6503</v>
      </c>
      <c r="B5629" s="380" t="str">
        <f>IFERROR(__xludf.DUMMYFUNCTION("""COMPUTED_VALUE"""),"Base Fija Eje Cuadrado Trailer Dite")</f>
        <v>Base Fija Eje Cuadrado Trailer Dite</v>
      </c>
      <c r="C5629" s="380" t="str">
        <f>IFERROR(__xludf.DUMMYFUNCTION("""COMPUTED_VALUE"""),"70001011")</f>
        <v>70001011</v>
      </c>
      <c r="D5629" s="380" t="s">
        <v>767</v>
      </c>
      <c r="E5629" s="380" t="s">
        <v>786</v>
      </c>
      <c r="F5629" s="380" t="s">
        <v>1039</v>
      </c>
      <c r="G5629" s="380" t="s">
        <v>1267</v>
      </c>
      <c r="H5629" s="380" t="s">
        <v>771</v>
      </c>
      <c r="I5629" s="380" t="s">
        <v>788</v>
      </c>
      <c r="J5629" s="380" t="s">
        <v>773</v>
      </c>
      <c r="K5629" s="381">
        <v>0.0</v>
      </c>
      <c r="L5629" s="382">
        <v>1.0</v>
      </c>
    </row>
    <row r="5630">
      <c r="A5630" s="380" t="s">
        <v>6504</v>
      </c>
      <c r="B5630" s="380" t="str">
        <f>IFERROR(__xludf.DUMMYFUNCTION("""COMPUTED_VALUE"""),"Placa Alineacion Base Eje Trailer Dite")</f>
        <v>Placa Alineacion Base Eje Trailer Dite</v>
      </c>
      <c r="C5630" s="380" t="str">
        <f>IFERROR(__xludf.DUMMYFUNCTION("""COMPUTED_VALUE"""),"70001012")</f>
        <v>70001012</v>
      </c>
      <c r="D5630" s="380" t="s">
        <v>767</v>
      </c>
      <c r="E5630" s="380" t="s">
        <v>786</v>
      </c>
      <c r="F5630" s="380" t="s">
        <v>1039</v>
      </c>
      <c r="G5630" s="380" t="s">
        <v>1267</v>
      </c>
      <c r="H5630" s="380" t="s">
        <v>771</v>
      </c>
      <c r="I5630" s="380" t="s">
        <v>788</v>
      </c>
      <c r="J5630" s="380" t="s">
        <v>773</v>
      </c>
      <c r="K5630" s="381">
        <v>0.0</v>
      </c>
      <c r="L5630" s="382">
        <v>1.0</v>
      </c>
    </row>
    <row r="5631">
      <c r="A5631" s="380" t="s">
        <v>6505</v>
      </c>
      <c r="B5631" s="380" t="str">
        <f>IFERROR(__xludf.DUMMYFUNCTION("""COMPUTED_VALUE"""),"Empaque Codo Turbo Foton 1128 1023513616")</f>
        <v>Empaque Codo Turbo Foton 1128 1023513616</v>
      </c>
      <c r="C5631" s="380" t="str">
        <f>IFERROR(__xludf.DUMMYFUNCTION("""COMPUTED_VALUE"""),"70001013")</f>
        <v>70001013</v>
      </c>
      <c r="D5631" s="380" t="s">
        <v>767</v>
      </c>
      <c r="E5631" s="380" t="s">
        <v>786</v>
      </c>
      <c r="F5631" s="380" t="s">
        <v>787</v>
      </c>
      <c r="G5631" s="380" t="s">
        <v>1267</v>
      </c>
      <c r="H5631" s="380" t="s">
        <v>771</v>
      </c>
      <c r="I5631" s="380" t="s">
        <v>788</v>
      </c>
      <c r="J5631" s="380" t="s">
        <v>773</v>
      </c>
      <c r="K5631" s="381">
        <v>0.0</v>
      </c>
      <c r="L5631" s="382">
        <v>1.0</v>
      </c>
    </row>
    <row r="5632">
      <c r="A5632" s="380" t="s">
        <v>6506</v>
      </c>
      <c r="B5632" s="380" t="str">
        <f>IFERROR(__xludf.DUMMYFUNCTION("""COMPUTED_VALUE"""),"Empaque Tapa Valvula Motor Isx 310439200")</f>
        <v>Empaque Tapa Valvula Motor Isx 310439200</v>
      </c>
      <c r="C5632" s="380" t="str">
        <f>IFERROR(__xludf.DUMMYFUNCTION("""COMPUTED_VALUE"""),"70001014")</f>
        <v>70001014</v>
      </c>
      <c r="D5632" s="380" t="s">
        <v>767</v>
      </c>
      <c r="E5632" s="380" t="s">
        <v>786</v>
      </c>
      <c r="F5632" s="380" t="s">
        <v>787</v>
      </c>
      <c r="G5632" s="380" t="s">
        <v>1267</v>
      </c>
      <c r="H5632" s="380" t="s">
        <v>771</v>
      </c>
      <c r="I5632" s="380" t="s">
        <v>788</v>
      </c>
      <c r="J5632" s="380" t="s">
        <v>773</v>
      </c>
      <c r="K5632" s="381">
        <v>0.0</v>
      </c>
      <c r="L5632" s="382">
        <v>1.0</v>
      </c>
    </row>
    <row r="5633">
      <c r="A5633" s="380" t="s">
        <v>6507</v>
      </c>
      <c r="B5633" s="380" t="str">
        <f>IFERROR(__xludf.DUMMYFUNCTION("""COMPUTED_VALUE"""),"Brazo Direccion Pitman Nhr 8971753230")</f>
        <v>Brazo Direccion Pitman Nhr 8971753230</v>
      </c>
      <c r="C5633" s="380" t="str">
        <f>IFERROR(__xludf.DUMMYFUNCTION("""COMPUTED_VALUE"""),"70001015")</f>
        <v>70001015</v>
      </c>
      <c r="D5633" s="380" t="s">
        <v>767</v>
      </c>
      <c r="E5633" s="380" t="s">
        <v>786</v>
      </c>
      <c r="F5633" s="380" t="s">
        <v>1020</v>
      </c>
      <c r="G5633" s="380" t="s">
        <v>1267</v>
      </c>
      <c r="H5633" s="380" t="s">
        <v>771</v>
      </c>
      <c r="I5633" s="380" t="s">
        <v>788</v>
      </c>
      <c r="J5633" s="380" t="s">
        <v>773</v>
      </c>
      <c r="K5633" s="381">
        <v>0.0</v>
      </c>
      <c r="L5633" s="382">
        <v>1.0</v>
      </c>
    </row>
    <row r="5634">
      <c r="A5634" s="380" t="s">
        <v>6508</v>
      </c>
      <c r="B5634" s="380" t="str">
        <f>IFERROR(__xludf.DUMMYFUNCTION("""COMPUTED_VALUE"""),"Oring Tapa Del Reparticion Nkr8972876940")</f>
        <v>Oring Tapa Del Reparticion Nkr8972876940</v>
      </c>
      <c r="C5634" s="380" t="str">
        <f>IFERROR(__xludf.DUMMYFUNCTION("""COMPUTED_VALUE"""),"70001016")</f>
        <v>70001016</v>
      </c>
      <c r="D5634" s="380" t="s">
        <v>767</v>
      </c>
      <c r="E5634" s="380" t="s">
        <v>786</v>
      </c>
      <c r="F5634" s="380" t="s">
        <v>787</v>
      </c>
      <c r="G5634" s="380" t="s">
        <v>1267</v>
      </c>
      <c r="H5634" s="380" t="s">
        <v>771</v>
      </c>
      <c r="I5634" s="380" t="s">
        <v>788</v>
      </c>
      <c r="J5634" s="380" t="s">
        <v>773</v>
      </c>
      <c r="K5634" s="381">
        <v>0.0</v>
      </c>
      <c r="L5634" s="382">
        <v>1.0</v>
      </c>
    </row>
    <row r="5635">
      <c r="A5635" s="380" t="s">
        <v>6509</v>
      </c>
      <c r="B5635" s="380" t="str">
        <f>IFERROR(__xludf.DUMMYFUNCTION("""COMPUTED_VALUE"""),"Filtro Aire Npr-Nkr RW Goby AG961007R")</f>
        <v>Filtro Aire Npr-Nkr RW Goby AG961007R</v>
      </c>
      <c r="C5635" s="380" t="str">
        <f>IFERROR(__xludf.DUMMYFUNCTION("""COMPUTED_VALUE"""),"70001017")</f>
        <v>70001017</v>
      </c>
      <c r="D5635" s="380" t="s">
        <v>767</v>
      </c>
      <c r="E5635" s="380" t="s">
        <v>786</v>
      </c>
      <c r="F5635" s="380" t="s">
        <v>5855</v>
      </c>
      <c r="G5635" s="380" t="s">
        <v>1267</v>
      </c>
      <c r="H5635" s="380" t="s">
        <v>771</v>
      </c>
      <c r="I5635" s="380" t="s">
        <v>788</v>
      </c>
      <c r="J5635" s="380" t="s">
        <v>773</v>
      </c>
      <c r="K5635" s="381">
        <v>83035.0</v>
      </c>
      <c r="L5635" s="382">
        <v>1.0</v>
      </c>
    </row>
    <row r="5636">
      <c r="A5636" s="380" t="s">
        <v>6510</v>
      </c>
      <c r="B5636" s="380" t="str">
        <f>IFERROR(__xludf.DUMMYFUNCTION("""COMPUTED_VALUE"""),"Radiador Motor T Delta Turbo 1640087360")</f>
        <v>Radiador Motor T Delta Turbo 1640087360</v>
      </c>
      <c r="C5636" s="380" t="str">
        <f>IFERROR(__xludf.DUMMYFUNCTION("""COMPUTED_VALUE"""),"70001018")</f>
        <v>70001018</v>
      </c>
      <c r="D5636" s="380" t="s">
        <v>767</v>
      </c>
      <c r="E5636" s="380" t="s">
        <v>786</v>
      </c>
      <c r="F5636" s="380" t="s">
        <v>787</v>
      </c>
      <c r="G5636" s="380" t="s">
        <v>1267</v>
      </c>
      <c r="H5636" s="380" t="s">
        <v>771</v>
      </c>
      <c r="I5636" s="380" t="s">
        <v>788</v>
      </c>
      <c r="J5636" s="380" t="s">
        <v>773</v>
      </c>
      <c r="K5636" s="381">
        <v>0.0</v>
      </c>
      <c r="L5636" s="382">
        <v>1.0</v>
      </c>
    </row>
    <row r="5637">
      <c r="A5637" s="380" t="s">
        <v>6511</v>
      </c>
      <c r="B5637" s="380" t="str">
        <f>IFERROR(__xludf.DUMMYFUNCTION("""COMPUTED_VALUE"""),"Arandela Ajuste Bastidor Eagle 2022655C2")</f>
        <v>Arandela Ajuste Bastidor Eagle 2022655C2</v>
      </c>
      <c r="C5637" s="380" t="str">
        <f>IFERROR(__xludf.DUMMYFUNCTION("""COMPUTED_VALUE"""),"70001019")</f>
        <v>70001019</v>
      </c>
      <c r="D5637" s="380" t="s">
        <v>767</v>
      </c>
      <c r="E5637" s="380" t="s">
        <v>786</v>
      </c>
      <c r="F5637" s="380" t="s">
        <v>1039</v>
      </c>
      <c r="G5637" s="380" t="s">
        <v>1267</v>
      </c>
      <c r="H5637" s="380" t="s">
        <v>771</v>
      </c>
      <c r="I5637" s="380" t="s">
        <v>788</v>
      </c>
      <c r="J5637" s="380" t="s">
        <v>773</v>
      </c>
      <c r="K5637" s="381">
        <v>0.0</v>
      </c>
      <c r="L5637" s="382">
        <v>1.0</v>
      </c>
    </row>
    <row r="5638">
      <c r="A5638" s="380" t="s">
        <v>6512</v>
      </c>
      <c r="B5638" s="380" t="str">
        <f>IFERROR(__xludf.DUMMYFUNCTION("""COMPUTED_VALUE"""),"Carter Aceite Motor Nkr 8980001230")</f>
        <v>Carter Aceite Motor Nkr 8980001230</v>
      </c>
      <c r="C5638" s="380" t="str">
        <f>IFERROR(__xludf.DUMMYFUNCTION("""COMPUTED_VALUE"""),"70001020")</f>
        <v>70001020</v>
      </c>
      <c r="D5638" s="380" t="s">
        <v>767</v>
      </c>
      <c r="E5638" s="380" t="s">
        <v>786</v>
      </c>
      <c r="F5638" s="380" t="s">
        <v>787</v>
      </c>
      <c r="G5638" s="380" t="s">
        <v>1267</v>
      </c>
      <c r="H5638" s="380" t="s">
        <v>771</v>
      </c>
      <c r="I5638" s="380" t="s">
        <v>788</v>
      </c>
      <c r="J5638" s="380" t="s">
        <v>773</v>
      </c>
      <c r="K5638" s="381">
        <v>0.0</v>
      </c>
      <c r="L5638" s="382">
        <v>1.0</v>
      </c>
    </row>
    <row r="5639">
      <c r="A5639" s="380" t="s">
        <v>6513</v>
      </c>
      <c r="B5639" s="380" t="str">
        <f>IFERROR(__xludf.DUMMYFUNCTION("""COMPUTED_VALUE"""),"Bendix Motor Arranque Nkr")</f>
        <v>Bendix Motor Arranque Nkr</v>
      </c>
      <c r="C5639" s="380" t="str">
        <f>IFERROR(__xludf.DUMMYFUNCTION("""COMPUTED_VALUE"""),"70001021")</f>
        <v>70001021</v>
      </c>
      <c r="D5639" s="380" t="s">
        <v>767</v>
      </c>
      <c r="E5639" s="380" t="s">
        <v>786</v>
      </c>
      <c r="F5639" s="380" t="s">
        <v>998</v>
      </c>
      <c r="G5639" s="380" t="s">
        <v>1267</v>
      </c>
      <c r="H5639" s="380" t="s">
        <v>771</v>
      </c>
      <c r="I5639" s="380" t="s">
        <v>788</v>
      </c>
      <c r="J5639" s="380" t="s">
        <v>773</v>
      </c>
      <c r="K5639" s="381">
        <v>0.0</v>
      </c>
      <c r="L5639" s="382">
        <v>1.0</v>
      </c>
    </row>
    <row r="5640">
      <c r="A5640" s="380" t="s">
        <v>6514</v>
      </c>
      <c r="B5640" s="380" t="str">
        <f>IFERROR(__xludf.DUMMYFUNCTION("""COMPUTED_VALUE"""),"Horquilla Embrague Nkr II 8970337010")</f>
        <v>Horquilla Embrague Nkr II 8970337010</v>
      </c>
      <c r="C5640" s="380" t="str">
        <f>IFERROR(__xludf.DUMMYFUNCTION("""COMPUTED_VALUE"""),"70001022")</f>
        <v>70001022</v>
      </c>
      <c r="D5640" s="380" t="s">
        <v>767</v>
      </c>
      <c r="E5640" s="380" t="s">
        <v>786</v>
      </c>
      <c r="F5640" s="380" t="s">
        <v>5661</v>
      </c>
      <c r="G5640" s="380" t="s">
        <v>1267</v>
      </c>
      <c r="H5640" s="380" t="s">
        <v>771</v>
      </c>
      <c r="I5640" s="380" t="s">
        <v>788</v>
      </c>
      <c r="J5640" s="380" t="s">
        <v>773</v>
      </c>
      <c r="K5640" s="381">
        <v>0.0</v>
      </c>
      <c r="L5640" s="382">
        <v>1.0</v>
      </c>
    </row>
    <row r="5641">
      <c r="A5641" s="380" t="s">
        <v>6515</v>
      </c>
      <c r="B5641" s="380" t="str">
        <f>IFERROR(__xludf.DUMMYFUNCTION("""COMPUTED_VALUE"""),"Boquilla Mang Parabrisas Eagle 2588068C1")</f>
        <v>Boquilla Mang Parabrisas Eagle 2588068C1</v>
      </c>
      <c r="C5641" s="380" t="str">
        <f>IFERROR(__xludf.DUMMYFUNCTION("""COMPUTED_VALUE"""),"70001023")</f>
        <v>70001023</v>
      </c>
      <c r="D5641" s="380" t="s">
        <v>767</v>
      </c>
      <c r="E5641" s="380" t="s">
        <v>786</v>
      </c>
      <c r="F5641" s="380" t="s">
        <v>792</v>
      </c>
      <c r="G5641" s="380" t="s">
        <v>1267</v>
      </c>
      <c r="H5641" s="380" t="s">
        <v>771</v>
      </c>
      <c r="I5641" s="380" t="s">
        <v>788</v>
      </c>
      <c r="J5641" s="380" t="s">
        <v>773</v>
      </c>
      <c r="K5641" s="381">
        <v>0.0</v>
      </c>
      <c r="L5641" s="382">
        <v>1.0</v>
      </c>
    </row>
    <row r="5642">
      <c r="A5642" s="380" t="s">
        <v>6516</v>
      </c>
      <c r="B5642" s="380" t="str">
        <f>IFERROR(__xludf.DUMMYFUNCTION("""COMPUTED_VALUE"""),"Trampa Combustible Nkr 8970818140")</f>
        <v>Trampa Combustible Nkr 8970818140</v>
      </c>
      <c r="C5642" s="380" t="str">
        <f>IFERROR(__xludf.DUMMYFUNCTION("""COMPUTED_VALUE"""),"70001024")</f>
        <v>70001024</v>
      </c>
      <c r="D5642" s="380" t="s">
        <v>767</v>
      </c>
      <c r="E5642" s="380" t="s">
        <v>786</v>
      </c>
      <c r="F5642" s="380" t="s">
        <v>787</v>
      </c>
      <c r="G5642" s="380" t="s">
        <v>1267</v>
      </c>
      <c r="H5642" s="380" t="s">
        <v>771</v>
      </c>
      <c r="I5642" s="380" t="s">
        <v>788</v>
      </c>
      <c r="J5642" s="380" t="s">
        <v>773</v>
      </c>
      <c r="K5642" s="381">
        <v>0.0</v>
      </c>
      <c r="L5642" s="382">
        <v>1.0</v>
      </c>
    </row>
    <row r="5643">
      <c r="A5643" s="380" t="s">
        <v>6517</v>
      </c>
      <c r="B5643" s="380" t="str">
        <f>IFERROR(__xludf.DUMMYFUNCTION("""COMPUTED_VALUE"""),"Kit Reparacion Turbo Isx Eag-KW HX55W")</f>
        <v>Kit Reparacion Turbo Isx Eag-KW HX55W</v>
      </c>
      <c r="C5643" s="380" t="str">
        <f>IFERROR(__xludf.DUMMYFUNCTION("""COMPUTED_VALUE"""),"70001025")</f>
        <v>70001025</v>
      </c>
      <c r="D5643" s="380" t="s">
        <v>767</v>
      </c>
      <c r="E5643" s="380" t="s">
        <v>786</v>
      </c>
      <c r="F5643" s="380" t="s">
        <v>787</v>
      </c>
      <c r="G5643" s="380" t="s">
        <v>1267</v>
      </c>
      <c r="H5643" s="380" t="s">
        <v>771</v>
      </c>
      <c r="I5643" s="380" t="s">
        <v>788</v>
      </c>
      <c r="J5643" s="380" t="s">
        <v>773</v>
      </c>
      <c r="K5643" s="381">
        <v>440300.0</v>
      </c>
      <c r="L5643" s="382">
        <v>1.0</v>
      </c>
    </row>
    <row r="5644">
      <c r="A5644" s="380" t="s">
        <v>6518</v>
      </c>
      <c r="B5644" s="380" t="str">
        <f>IFERROR(__xludf.DUMMYFUNCTION("""COMPUTED_VALUE"""),"Guantera Derecha Cabina Eagle 3562561C92")</f>
        <v>Guantera Derecha Cabina Eagle 3562561C92</v>
      </c>
      <c r="C5644" s="380" t="str">
        <f>IFERROR(__xludf.DUMMYFUNCTION("""COMPUTED_VALUE"""),"70001026")</f>
        <v>70001026</v>
      </c>
      <c r="D5644" s="380" t="s">
        <v>767</v>
      </c>
      <c r="E5644" s="380" t="s">
        <v>786</v>
      </c>
      <c r="F5644" s="380" t="s">
        <v>792</v>
      </c>
      <c r="G5644" s="380" t="s">
        <v>1267</v>
      </c>
      <c r="H5644" s="380" t="s">
        <v>771</v>
      </c>
      <c r="I5644" s="380" t="s">
        <v>788</v>
      </c>
      <c r="J5644" s="380" t="s">
        <v>773</v>
      </c>
      <c r="K5644" s="381">
        <v>0.0</v>
      </c>
      <c r="L5644" s="382">
        <v>1.0</v>
      </c>
    </row>
    <row r="5645">
      <c r="A5645" s="380" t="s">
        <v>6519</v>
      </c>
      <c r="B5645" s="380" t="str">
        <f>IFERROR(__xludf.DUMMYFUNCTION("""COMPUTED_VALUE"""),"Mang Admision Compresor KW-Eagle 4972995")</f>
        <v>Mang Admision Compresor KW-Eagle 4972995</v>
      </c>
      <c r="C5645" s="380" t="str">
        <f>IFERROR(__xludf.DUMMYFUNCTION("""COMPUTED_VALUE"""),"70001027")</f>
        <v>70001027</v>
      </c>
      <c r="D5645" s="380" t="s">
        <v>767</v>
      </c>
      <c r="E5645" s="380" t="s">
        <v>786</v>
      </c>
      <c r="F5645" s="380" t="s">
        <v>787</v>
      </c>
      <c r="G5645" s="380" t="s">
        <v>1267</v>
      </c>
      <c r="H5645" s="380" t="s">
        <v>771</v>
      </c>
      <c r="I5645" s="380" t="s">
        <v>788</v>
      </c>
      <c r="J5645" s="380" t="s">
        <v>773</v>
      </c>
      <c r="K5645" s="381">
        <v>0.0</v>
      </c>
      <c r="L5645" s="382">
        <v>1.0</v>
      </c>
    </row>
    <row r="5646">
      <c r="A5646" s="380" t="s">
        <v>6520</v>
      </c>
      <c r="B5646" s="380" t="str">
        <f>IFERROR(__xludf.DUMMYFUNCTION("""COMPUTED_VALUE"""),"Piñon Desplazable Caja 16918b-Ful4304514")</f>
        <v>Piñon Desplazable Caja 16918b-Ful4304514</v>
      </c>
      <c r="C5646" s="380" t="str">
        <f>IFERROR(__xludf.DUMMYFUNCTION("""COMPUTED_VALUE"""),"70001028")</f>
        <v>70001028</v>
      </c>
      <c r="D5646" s="380" t="s">
        <v>767</v>
      </c>
      <c r="E5646" s="380" t="s">
        <v>786</v>
      </c>
      <c r="F5646" s="380" t="s">
        <v>928</v>
      </c>
      <c r="G5646" s="380" t="s">
        <v>1267</v>
      </c>
      <c r="H5646" s="380" t="s">
        <v>771</v>
      </c>
      <c r="I5646" s="380" t="s">
        <v>788</v>
      </c>
      <c r="J5646" s="380" t="s">
        <v>773</v>
      </c>
      <c r="K5646" s="381">
        <v>0.0</v>
      </c>
      <c r="L5646" s="382">
        <v>1.0</v>
      </c>
    </row>
    <row r="5647">
      <c r="A5647" s="380" t="s">
        <v>6521</v>
      </c>
      <c r="B5647" s="380" t="str">
        <f>IFERROR(__xludf.DUMMYFUNCTION("""COMPUTED_VALUE"""),"Baline Tras Eje T/Fijo-16918b-Ful4302712")</f>
        <v>Baline Tras Eje T/Fijo-16918b-Ful4302712</v>
      </c>
      <c r="C5647" s="380" t="str">
        <f>IFERROR(__xludf.DUMMYFUNCTION("""COMPUTED_VALUE"""),"70001029")</f>
        <v>70001029</v>
      </c>
      <c r="D5647" s="380" t="s">
        <v>767</v>
      </c>
      <c r="E5647" s="380" t="s">
        <v>786</v>
      </c>
      <c r="F5647" s="380" t="s">
        <v>928</v>
      </c>
      <c r="G5647" s="380" t="s">
        <v>1267</v>
      </c>
      <c r="H5647" s="380" t="s">
        <v>771</v>
      </c>
      <c r="I5647" s="380" t="s">
        <v>788</v>
      </c>
      <c r="J5647" s="380" t="s">
        <v>773</v>
      </c>
      <c r="K5647" s="381">
        <v>0.0</v>
      </c>
      <c r="L5647" s="382">
        <v>1.0</v>
      </c>
    </row>
    <row r="5648">
      <c r="A5648" s="380" t="s">
        <v>6522</v>
      </c>
      <c r="B5648" s="380" t="str">
        <f>IFERROR(__xludf.DUMMYFUNCTION("""COMPUTED_VALUE"""),"Eje Toma Caja Cambios Nkr 8970915581")</f>
        <v>Eje Toma Caja Cambios Nkr 8970915581</v>
      </c>
      <c r="C5648" s="380" t="str">
        <f>IFERROR(__xludf.DUMMYFUNCTION("""COMPUTED_VALUE"""),"70001030")</f>
        <v>70001030</v>
      </c>
      <c r="D5648" s="380" t="s">
        <v>767</v>
      </c>
      <c r="E5648" s="380" t="s">
        <v>786</v>
      </c>
      <c r="F5648" s="380" t="s">
        <v>928</v>
      </c>
      <c r="G5648" s="380" t="s">
        <v>1267</v>
      </c>
      <c r="H5648" s="380" t="s">
        <v>771</v>
      </c>
      <c r="I5648" s="380" t="s">
        <v>788</v>
      </c>
      <c r="J5648" s="380" t="s">
        <v>773</v>
      </c>
      <c r="K5648" s="381">
        <v>0.0</v>
      </c>
      <c r="L5648" s="382">
        <v>1.0</v>
      </c>
    </row>
    <row r="5649">
      <c r="A5649" s="380" t="s">
        <v>6523</v>
      </c>
      <c r="B5649" s="380" t="str">
        <f>IFERROR(__xludf.DUMMYFUNCTION("""COMPUTED_VALUE"""),"Sincro 5taY Rev Caja Nkr 8972060100")</f>
        <v>Sincro 5taY Rev Caja Nkr 8972060100</v>
      </c>
      <c r="C5649" s="380" t="str">
        <f>IFERROR(__xludf.DUMMYFUNCTION("""COMPUTED_VALUE"""),"70001031")</f>
        <v>70001031</v>
      </c>
      <c r="D5649" s="380" t="s">
        <v>767</v>
      </c>
      <c r="E5649" s="380" t="s">
        <v>786</v>
      </c>
      <c r="F5649" s="380" t="s">
        <v>928</v>
      </c>
      <c r="G5649" s="380" t="s">
        <v>1267</v>
      </c>
      <c r="H5649" s="380" t="s">
        <v>771</v>
      </c>
      <c r="I5649" s="380" t="s">
        <v>788</v>
      </c>
      <c r="J5649" s="380" t="s">
        <v>773</v>
      </c>
      <c r="K5649" s="381">
        <v>0.0</v>
      </c>
      <c r="L5649" s="382">
        <v>1.0</v>
      </c>
    </row>
    <row r="5650">
      <c r="A5650" s="380" t="s">
        <v>6524</v>
      </c>
      <c r="B5650" s="380" t="str">
        <f>IFERROR(__xludf.DUMMYFUNCTION("""COMPUTED_VALUE"""),"Sincro 1raY 2da Caja Nkr 8970487480")</f>
        <v>Sincro 1raY 2da Caja Nkr 8970487480</v>
      </c>
      <c r="C5650" s="380" t="str">
        <f>IFERROR(__xludf.DUMMYFUNCTION("""COMPUTED_VALUE"""),"70001032")</f>
        <v>70001032</v>
      </c>
      <c r="D5650" s="380" t="s">
        <v>767</v>
      </c>
      <c r="E5650" s="380" t="s">
        <v>786</v>
      </c>
      <c r="F5650" s="380" t="s">
        <v>928</v>
      </c>
      <c r="G5650" s="380" t="s">
        <v>1267</v>
      </c>
      <c r="H5650" s="380" t="s">
        <v>771</v>
      </c>
      <c r="I5650" s="380" t="s">
        <v>788</v>
      </c>
      <c r="J5650" s="380" t="s">
        <v>773</v>
      </c>
      <c r="K5650" s="381">
        <v>0.0</v>
      </c>
      <c r="L5650" s="382">
        <v>1.0</v>
      </c>
    </row>
    <row r="5651">
      <c r="A5651" s="380" t="s">
        <v>6525</v>
      </c>
      <c r="B5651" s="380" t="str">
        <f>IFERROR(__xludf.DUMMYFUNCTION("""COMPUTED_VALUE"""),"Sensor Temp Caja Nkr 8941211521")</f>
        <v>Sensor Temp Caja Nkr 8941211521</v>
      </c>
      <c r="C5651" s="380" t="str">
        <f>IFERROR(__xludf.DUMMYFUNCTION("""COMPUTED_VALUE"""),"70001033")</f>
        <v>70001033</v>
      </c>
      <c r="D5651" s="380" t="s">
        <v>767</v>
      </c>
      <c r="E5651" s="380" t="s">
        <v>786</v>
      </c>
      <c r="F5651" s="380" t="s">
        <v>998</v>
      </c>
      <c r="G5651" s="380" t="s">
        <v>1267</v>
      </c>
      <c r="H5651" s="380" t="s">
        <v>771</v>
      </c>
      <c r="I5651" s="380" t="s">
        <v>788</v>
      </c>
      <c r="J5651" s="380" t="s">
        <v>773</v>
      </c>
      <c r="K5651" s="381">
        <v>0.0</v>
      </c>
      <c r="L5651" s="382">
        <v>1.0</v>
      </c>
    </row>
    <row r="5652">
      <c r="A5652" s="380" t="s">
        <v>6526</v>
      </c>
      <c r="B5652" s="380" t="str">
        <f>IFERROR(__xludf.DUMMYFUNCTION("""COMPUTED_VALUE"""),"Sensor Pres Aceite Motor Nkr 8970729470")</f>
        <v>Sensor Pres Aceite Motor Nkr 8970729470</v>
      </c>
      <c r="C5652" s="380" t="str">
        <f>IFERROR(__xludf.DUMMYFUNCTION("""COMPUTED_VALUE"""),"70001034")</f>
        <v>70001034</v>
      </c>
      <c r="D5652" s="380" t="s">
        <v>767</v>
      </c>
      <c r="E5652" s="380" t="s">
        <v>786</v>
      </c>
      <c r="F5652" s="380" t="s">
        <v>998</v>
      </c>
      <c r="G5652" s="380" t="s">
        <v>1267</v>
      </c>
      <c r="H5652" s="380" t="s">
        <v>771</v>
      </c>
      <c r="I5652" s="380" t="s">
        <v>788</v>
      </c>
      <c r="J5652" s="380" t="s">
        <v>773</v>
      </c>
      <c r="K5652" s="381">
        <v>0.0</v>
      </c>
      <c r="L5652" s="382">
        <v>1.0</v>
      </c>
    </row>
    <row r="5653">
      <c r="A5653" s="380" t="s">
        <v>6527</v>
      </c>
      <c r="B5653" s="380" t="str">
        <f>IFERROR(__xludf.DUMMYFUNCTION("""COMPUTED_VALUE"""),"Buje Roscado Balancin Del KW")</f>
        <v>Buje Roscado Balancin Del KW</v>
      </c>
      <c r="C5653" s="380" t="str">
        <f>IFERROR(__xludf.DUMMYFUNCTION("""COMPUTED_VALUE"""),"70001035")</f>
        <v>70001035</v>
      </c>
      <c r="D5653" s="380" t="s">
        <v>767</v>
      </c>
      <c r="E5653" s="380" t="s">
        <v>786</v>
      </c>
      <c r="F5653" s="380" t="s">
        <v>1039</v>
      </c>
      <c r="G5653" s="380" t="s">
        <v>1267</v>
      </c>
      <c r="H5653" s="380" t="s">
        <v>771</v>
      </c>
      <c r="I5653" s="380" t="s">
        <v>788</v>
      </c>
      <c r="J5653" s="380" t="s">
        <v>773</v>
      </c>
      <c r="K5653" s="381">
        <v>0.0</v>
      </c>
      <c r="L5653" s="382">
        <v>1.0</v>
      </c>
    </row>
    <row r="5654">
      <c r="A5654" s="380" t="s">
        <v>6528</v>
      </c>
      <c r="B5654" s="380" t="str">
        <f>IFERROR(__xludf.DUMMYFUNCTION("""COMPUTED_VALUE"""),"Guaya Tanque Aire Hi 1658609")</f>
        <v>Guaya Tanque Aire Hi 1658609</v>
      </c>
      <c r="C5654" s="380" t="str">
        <f>IFERROR(__xludf.DUMMYFUNCTION("""COMPUTED_VALUE"""),"70001036")</f>
        <v>70001036</v>
      </c>
      <c r="D5654" s="380" t="s">
        <v>767</v>
      </c>
      <c r="E5654" s="380" t="s">
        <v>786</v>
      </c>
      <c r="F5654" s="380" t="s">
        <v>792</v>
      </c>
      <c r="G5654" s="380" t="s">
        <v>1267</v>
      </c>
      <c r="H5654" s="380" t="s">
        <v>771</v>
      </c>
      <c r="I5654" s="380" t="s">
        <v>788</v>
      </c>
      <c r="J5654" s="380" t="s">
        <v>773</v>
      </c>
      <c r="K5654" s="381">
        <v>0.0</v>
      </c>
      <c r="L5654" s="382">
        <v>1.0</v>
      </c>
    </row>
    <row r="5655">
      <c r="A5655" s="380" t="s">
        <v>6529</v>
      </c>
      <c r="B5655" s="380" t="str">
        <f>IFERROR(__xludf.DUMMYFUNCTION("""COMPUTED_VALUE"""),"Clip Cubierta Tensor Pta Nkr 8942799890")</f>
        <v>Clip Cubierta Tensor Pta Nkr 8942799890</v>
      </c>
      <c r="C5655" s="380" t="str">
        <f>IFERROR(__xludf.DUMMYFUNCTION("""COMPUTED_VALUE"""),"70001037")</f>
        <v>70001037</v>
      </c>
      <c r="D5655" s="380" t="s">
        <v>767</v>
      </c>
      <c r="E5655" s="380" t="s">
        <v>786</v>
      </c>
      <c r="F5655" s="380" t="s">
        <v>792</v>
      </c>
      <c r="G5655" s="380" t="s">
        <v>1267</v>
      </c>
      <c r="H5655" s="380" t="s">
        <v>771</v>
      </c>
      <c r="I5655" s="380" t="s">
        <v>788</v>
      </c>
      <c r="J5655" s="380" t="s">
        <v>773</v>
      </c>
      <c r="K5655" s="381">
        <v>0.0</v>
      </c>
      <c r="L5655" s="382">
        <v>1.0</v>
      </c>
    </row>
    <row r="5656">
      <c r="A5656" s="380" t="s">
        <v>6530</v>
      </c>
      <c r="B5656" s="380" t="str">
        <f>IFERROR(__xludf.DUMMYFUNCTION("""COMPUTED_VALUE"""),"Manguera Descargue Tubo Nkr 8971761410")</f>
        <v>Manguera Descargue Tubo Nkr 8971761410</v>
      </c>
      <c r="C5656" s="380" t="str">
        <f>IFERROR(__xludf.DUMMYFUNCTION("""COMPUTED_VALUE"""),"70001038")</f>
        <v>70001038</v>
      </c>
      <c r="D5656" s="380" t="s">
        <v>767</v>
      </c>
      <c r="E5656" s="380" t="s">
        <v>786</v>
      </c>
      <c r="F5656" s="380" t="s">
        <v>787</v>
      </c>
      <c r="G5656" s="380" t="s">
        <v>1267</v>
      </c>
      <c r="H5656" s="380" t="s">
        <v>771</v>
      </c>
      <c r="I5656" s="380" t="s">
        <v>788</v>
      </c>
      <c r="J5656" s="380" t="s">
        <v>773</v>
      </c>
      <c r="K5656" s="381">
        <v>0.0</v>
      </c>
      <c r="L5656" s="382">
        <v>1.0</v>
      </c>
    </row>
    <row r="5657">
      <c r="A5657" s="380" t="s">
        <v>6531</v>
      </c>
      <c r="B5657" s="380" t="str">
        <f>IFERROR(__xludf.DUMMYFUNCTION("""COMPUTED_VALUE"""),"Sensor Freno Parqueo Nkr 8979958281")</f>
        <v>Sensor Freno Parqueo Nkr 8979958281</v>
      </c>
      <c r="C5657" s="380" t="str">
        <f>IFERROR(__xludf.DUMMYFUNCTION("""COMPUTED_VALUE"""),"70001039")</f>
        <v>70001039</v>
      </c>
      <c r="D5657" s="380" t="s">
        <v>767</v>
      </c>
      <c r="E5657" s="380" t="s">
        <v>786</v>
      </c>
      <c r="F5657" s="380" t="s">
        <v>998</v>
      </c>
      <c r="G5657" s="380" t="s">
        <v>1267</v>
      </c>
      <c r="H5657" s="380" t="s">
        <v>771</v>
      </c>
      <c r="I5657" s="380" t="s">
        <v>788</v>
      </c>
      <c r="J5657" s="380" t="s">
        <v>773</v>
      </c>
      <c r="K5657" s="381">
        <v>0.0</v>
      </c>
      <c r="L5657" s="382">
        <v>1.0</v>
      </c>
    </row>
    <row r="5658">
      <c r="A5658" s="380" t="s">
        <v>6532</v>
      </c>
      <c r="B5658" s="380" t="str">
        <f>IFERROR(__xludf.DUMMYFUNCTION("""COMPUTED_VALUE"""),"Carcasa Enfriador Aceite Isx 4965896")</f>
        <v>Carcasa Enfriador Aceite Isx 4965896</v>
      </c>
      <c r="C5658" s="380" t="str">
        <f>IFERROR(__xludf.DUMMYFUNCTION("""COMPUTED_VALUE"""),"70001040")</f>
        <v>70001040</v>
      </c>
      <c r="D5658" s="380" t="s">
        <v>767</v>
      </c>
      <c r="E5658" s="380" t="s">
        <v>786</v>
      </c>
      <c r="F5658" s="380" t="s">
        <v>787</v>
      </c>
      <c r="G5658" s="380" t="s">
        <v>1267</v>
      </c>
      <c r="H5658" s="380" t="s">
        <v>771</v>
      </c>
      <c r="I5658" s="380" t="s">
        <v>788</v>
      </c>
      <c r="J5658" s="380" t="s">
        <v>773</v>
      </c>
      <c r="K5658" s="381">
        <v>0.0</v>
      </c>
      <c r="L5658" s="382">
        <v>1.0</v>
      </c>
    </row>
    <row r="5659">
      <c r="A5659" s="380" t="s">
        <v>6533</v>
      </c>
      <c r="B5659" s="380" t="str">
        <f>IFERROR(__xludf.DUMMYFUNCTION("""COMPUTED_VALUE"""),"Grapa Muelle Trasero 5/8 X 3 X 11 nkr")</f>
        <v>Grapa Muelle Trasero 5/8 X 3 X 11 nkr</v>
      </c>
      <c r="C5659" s="380" t="str">
        <f>IFERROR(__xludf.DUMMYFUNCTION("""COMPUTED_VALUE"""),"70001041")</f>
        <v>70001041</v>
      </c>
      <c r="D5659" s="380" t="s">
        <v>767</v>
      </c>
      <c r="E5659" s="380" t="s">
        <v>786</v>
      </c>
      <c r="F5659" s="380" t="s">
        <v>1039</v>
      </c>
      <c r="G5659" s="380" t="s">
        <v>1267</v>
      </c>
      <c r="H5659" s="380" t="s">
        <v>771</v>
      </c>
      <c r="I5659" s="380" t="s">
        <v>788</v>
      </c>
      <c r="J5659" s="380" t="s">
        <v>773</v>
      </c>
      <c r="K5659" s="381">
        <v>0.0</v>
      </c>
      <c r="L5659" s="382">
        <v>1.0</v>
      </c>
    </row>
    <row r="5660">
      <c r="A5660" s="380" t="s">
        <v>6534</v>
      </c>
      <c r="B5660" s="380" t="str">
        <f>IFERROR(__xludf.DUMMYFUNCTION("""COMPUTED_VALUE"""),"Kit Enfriador Aceite KW Isx 400-4955830")</f>
        <v>Kit Enfriador Aceite KW Isx 400-4955830</v>
      </c>
      <c r="C5660" s="380" t="str">
        <f>IFERROR(__xludf.DUMMYFUNCTION("""COMPUTED_VALUE"""),"70001042")</f>
        <v>70001042</v>
      </c>
      <c r="D5660" s="380" t="s">
        <v>767</v>
      </c>
      <c r="E5660" s="380" t="s">
        <v>786</v>
      </c>
      <c r="F5660" s="380" t="s">
        <v>787</v>
      </c>
      <c r="G5660" s="380" t="s">
        <v>1267</v>
      </c>
      <c r="H5660" s="380" t="s">
        <v>771</v>
      </c>
      <c r="I5660" s="380" t="s">
        <v>788</v>
      </c>
      <c r="J5660" s="380" t="s">
        <v>773</v>
      </c>
      <c r="K5660" s="381">
        <v>2383663.0</v>
      </c>
      <c r="L5660" s="382">
        <v>1.0</v>
      </c>
    </row>
    <row r="5661">
      <c r="A5661" s="380" t="s">
        <v>6535</v>
      </c>
      <c r="B5661" s="380" t="str">
        <f>IFERROR(__xludf.DUMMYFUNCTION("""COMPUTED_VALUE"""),"Buje Capo Eagle 1668950C1")</f>
        <v>Buje Capo Eagle 1668950C1</v>
      </c>
      <c r="C5661" s="380" t="str">
        <f>IFERROR(__xludf.DUMMYFUNCTION("""COMPUTED_VALUE"""),"70001043")</f>
        <v>70001043</v>
      </c>
      <c r="D5661" s="380" t="s">
        <v>767</v>
      </c>
      <c r="E5661" s="380" t="s">
        <v>786</v>
      </c>
      <c r="F5661" s="380" t="s">
        <v>792</v>
      </c>
      <c r="G5661" s="380" t="s">
        <v>1267</v>
      </c>
      <c r="H5661" s="380" t="s">
        <v>771</v>
      </c>
      <c r="I5661" s="380" t="s">
        <v>788</v>
      </c>
      <c r="J5661" s="380" t="s">
        <v>773</v>
      </c>
      <c r="K5661" s="381">
        <v>124415.0</v>
      </c>
      <c r="L5661" s="382">
        <v>1.0</v>
      </c>
    </row>
    <row r="5662">
      <c r="A5662" s="380" t="s">
        <v>6536</v>
      </c>
      <c r="B5662" s="380" t="str">
        <f>IFERROR(__xludf.DUMMYFUNCTION("""COMPUTED_VALUE"""),"Buje Espaciador Capo Eagle 1668955C2")</f>
        <v>Buje Espaciador Capo Eagle 1668955C2</v>
      </c>
      <c r="C5662" s="380" t="str">
        <f>IFERROR(__xludf.DUMMYFUNCTION("""COMPUTED_VALUE"""),"70001044")</f>
        <v>70001044</v>
      </c>
      <c r="D5662" s="380" t="s">
        <v>767</v>
      </c>
      <c r="E5662" s="380" t="s">
        <v>786</v>
      </c>
      <c r="F5662" s="380" t="s">
        <v>792</v>
      </c>
      <c r="G5662" s="380" t="s">
        <v>1267</v>
      </c>
      <c r="H5662" s="380" t="s">
        <v>771</v>
      </c>
      <c r="I5662" s="380" t="s">
        <v>788</v>
      </c>
      <c r="J5662" s="380" t="s">
        <v>773</v>
      </c>
      <c r="K5662" s="381">
        <v>0.0</v>
      </c>
      <c r="L5662" s="382">
        <v>1.0</v>
      </c>
    </row>
    <row r="5663">
      <c r="A5663" s="380" t="s">
        <v>6537</v>
      </c>
      <c r="B5663" s="380" t="str">
        <f>IFERROR(__xludf.DUMMYFUNCTION("""COMPUTED_VALUE"""),"Muelle Delantero Eagle 38006667C91")</f>
        <v>Muelle Delantero Eagle 38006667C91</v>
      </c>
      <c r="C5663" s="380" t="str">
        <f>IFERROR(__xludf.DUMMYFUNCTION("""COMPUTED_VALUE"""),"70001045")</f>
        <v>70001045</v>
      </c>
      <c r="D5663" s="380" t="s">
        <v>767</v>
      </c>
      <c r="E5663" s="380" t="s">
        <v>786</v>
      </c>
      <c r="F5663" s="380" t="s">
        <v>1039</v>
      </c>
      <c r="G5663" s="380" t="s">
        <v>1267</v>
      </c>
      <c r="H5663" s="380" t="s">
        <v>771</v>
      </c>
      <c r="I5663" s="380" t="s">
        <v>788</v>
      </c>
      <c r="J5663" s="380" t="s">
        <v>773</v>
      </c>
      <c r="K5663" s="381">
        <v>0.0</v>
      </c>
      <c r="L5663" s="382">
        <v>1.0</v>
      </c>
    </row>
    <row r="5664">
      <c r="A5664" s="380" t="s">
        <v>6538</v>
      </c>
      <c r="B5664" s="380" t="str">
        <f>IFERROR(__xludf.DUMMYFUNCTION("""COMPUTED_VALUE"""),"Chapa Puerta Del Der T Delta 6931087301")</f>
        <v>Chapa Puerta Del Der T Delta 6931087301</v>
      </c>
      <c r="C5664" s="380" t="str">
        <f>IFERROR(__xludf.DUMMYFUNCTION("""COMPUTED_VALUE"""),"70001046")</f>
        <v>70001046</v>
      </c>
      <c r="D5664" s="380" t="s">
        <v>767</v>
      </c>
      <c r="E5664" s="380" t="s">
        <v>786</v>
      </c>
      <c r="F5664" s="380" t="s">
        <v>792</v>
      </c>
      <c r="G5664" s="380" t="s">
        <v>1267</v>
      </c>
      <c r="H5664" s="380" t="s">
        <v>771</v>
      </c>
      <c r="I5664" s="380" t="s">
        <v>788</v>
      </c>
      <c r="J5664" s="380" t="s">
        <v>773</v>
      </c>
      <c r="K5664" s="381">
        <v>0.0</v>
      </c>
      <c r="L5664" s="382">
        <v>1.0</v>
      </c>
    </row>
    <row r="5665">
      <c r="A5665" s="380" t="s">
        <v>6539</v>
      </c>
      <c r="B5665" s="380" t="str">
        <f>IFERROR(__xludf.DUMMYFUNCTION("""COMPUTED_VALUE"""),"Anillo Soncronizador T Delta 3303836010")</f>
        <v>Anillo Soncronizador T Delta 3303836010</v>
      </c>
      <c r="C5665" s="380" t="str">
        <f>IFERROR(__xludf.DUMMYFUNCTION("""COMPUTED_VALUE"""),"70001047")</f>
        <v>70001047</v>
      </c>
      <c r="D5665" s="380" t="s">
        <v>767</v>
      </c>
      <c r="E5665" s="380" t="s">
        <v>786</v>
      </c>
      <c r="F5665" s="380" t="s">
        <v>928</v>
      </c>
      <c r="G5665" s="380" t="s">
        <v>1267</v>
      </c>
      <c r="H5665" s="380" t="s">
        <v>771</v>
      </c>
      <c r="I5665" s="380" t="s">
        <v>788</v>
      </c>
      <c r="J5665" s="380" t="s">
        <v>773</v>
      </c>
      <c r="K5665" s="381">
        <v>0.0</v>
      </c>
      <c r="L5665" s="382">
        <v>1.0</v>
      </c>
    </row>
    <row r="5666">
      <c r="A5666" s="380" t="s">
        <v>6540</v>
      </c>
      <c r="B5666" s="380" t="str">
        <f>IFERROR(__xludf.DUMMYFUNCTION("""COMPUTED_VALUE"""),"Filtro Aire Motor KW Goby AG841015R")</f>
        <v>Filtro Aire Motor KW Goby AG841015R</v>
      </c>
      <c r="C5666" s="380" t="str">
        <f>IFERROR(__xludf.DUMMYFUNCTION("""COMPUTED_VALUE"""),"70001048")</f>
        <v>70001048</v>
      </c>
      <c r="D5666" s="380" t="s">
        <v>767</v>
      </c>
      <c r="E5666" s="380" t="s">
        <v>786</v>
      </c>
      <c r="F5666" s="380" t="s">
        <v>5855</v>
      </c>
      <c r="G5666" s="380" t="s">
        <v>1267</v>
      </c>
      <c r="H5666" s="380" t="s">
        <v>771</v>
      </c>
      <c r="I5666" s="380" t="s">
        <v>788</v>
      </c>
      <c r="J5666" s="380" t="s">
        <v>773</v>
      </c>
      <c r="K5666" s="381">
        <v>193462.0</v>
      </c>
      <c r="L5666" s="382">
        <v>1.0</v>
      </c>
    </row>
    <row r="5667">
      <c r="A5667" s="380" t="s">
        <v>6541</v>
      </c>
      <c r="B5667" s="380" t="str">
        <f>IFERROR(__xludf.DUMMYFUNCTION("""COMPUTED_VALUE"""),"Asiento Inferior Valvula Nkr 5125630010")</f>
        <v>Asiento Inferior Valvula Nkr 5125630010</v>
      </c>
      <c r="C5667" s="380" t="str">
        <f>IFERROR(__xludf.DUMMYFUNCTION("""COMPUTED_VALUE"""),"70001049")</f>
        <v>70001049</v>
      </c>
      <c r="D5667" s="380" t="s">
        <v>767</v>
      </c>
      <c r="E5667" s="380" t="s">
        <v>786</v>
      </c>
      <c r="F5667" s="380" t="s">
        <v>787</v>
      </c>
      <c r="G5667" s="380" t="s">
        <v>1267</v>
      </c>
      <c r="H5667" s="380" t="s">
        <v>771</v>
      </c>
      <c r="I5667" s="380" t="s">
        <v>788</v>
      </c>
      <c r="J5667" s="380" t="s">
        <v>773</v>
      </c>
      <c r="K5667" s="381">
        <v>0.0</v>
      </c>
      <c r="L5667" s="382">
        <v>1.0</v>
      </c>
    </row>
    <row r="5668">
      <c r="A5668" s="380" t="s">
        <v>6542</v>
      </c>
      <c r="B5668" s="380" t="str">
        <f>IFERROR(__xludf.DUMMYFUNCTION("""COMPUTED_VALUE"""),"Kit Motor 4J Nkr 95630910")</f>
        <v>Kit Motor 4J Nkr 95630910</v>
      </c>
      <c r="C5668" s="380" t="str">
        <f>IFERROR(__xludf.DUMMYFUNCTION("""COMPUTED_VALUE"""),"70001050")</f>
        <v>70001050</v>
      </c>
      <c r="D5668" s="380" t="s">
        <v>767</v>
      </c>
      <c r="E5668" s="380" t="s">
        <v>786</v>
      </c>
      <c r="F5668" s="380" t="s">
        <v>787</v>
      </c>
      <c r="G5668" s="380" t="s">
        <v>1267</v>
      </c>
      <c r="H5668" s="380" t="s">
        <v>771</v>
      </c>
      <c r="I5668" s="380" t="s">
        <v>788</v>
      </c>
      <c r="J5668" s="380" t="s">
        <v>773</v>
      </c>
      <c r="K5668" s="381">
        <v>0.0</v>
      </c>
      <c r="L5668" s="382">
        <v>1.0</v>
      </c>
    </row>
    <row r="5669">
      <c r="A5669" s="380" t="s">
        <v>6543</v>
      </c>
      <c r="B5669" s="380" t="str">
        <f>IFERROR(__xludf.DUMMYFUNCTION("""COMPUTED_VALUE"""),"Pin Pasador Horquilla Rev Eagle 10019")</f>
        <v>Pin Pasador Horquilla Rev Eagle 10019</v>
      </c>
      <c r="C5669" s="380" t="str">
        <f>IFERROR(__xludf.DUMMYFUNCTION("""COMPUTED_VALUE"""),"70001051")</f>
        <v>70001051</v>
      </c>
      <c r="D5669" s="380" t="s">
        <v>767</v>
      </c>
      <c r="E5669" s="380" t="s">
        <v>786</v>
      </c>
      <c r="F5669" s="380" t="s">
        <v>928</v>
      </c>
      <c r="G5669" s="380" t="s">
        <v>1267</v>
      </c>
      <c r="H5669" s="380" t="s">
        <v>771</v>
      </c>
      <c r="I5669" s="380" t="s">
        <v>788</v>
      </c>
      <c r="J5669" s="380" t="s">
        <v>773</v>
      </c>
      <c r="K5669" s="381">
        <v>0.0</v>
      </c>
      <c r="L5669" s="382">
        <v>1.0</v>
      </c>
    </row>
    <row r="5670">
      <c r="A5670" s="380" t="s">
        <v>6544</v>
      </c>
      <c r="B5670" s="380" t="str">
        <f>IFERROR(__xludf.DUMMYFUNCTION("""COMPUTED_VALUE"""),"Resorte Horquilla Rev Eagle 6392")</f>
        <v>Resorte Horquilla Rev Eagle 6392</v>
      </c>
      <c r="C5670" s="380" t="str">
        <f>IFERROR(__xludf.DUMMYFUNCTION("""COMPUTED_VALUE"""),"70001052")</f>
        <v>70001052</v>
      </c>
      <c r="D5670" s="380" t="s">
        <v>767</v>
      </c>
      <c r="E5670" s="380" t="s">
        <v>786</v>
      </c>
      <c r="F5670" s="380" t="s">
        <v>928</v>
      </c>
      <c r="G5670" s="380" t="s">
        <v>1267</v>
      </c>
      <c r="H5670" s="380" t="s">
        <v>771</v>
      </c>
      <c r="I5670" s="380" t="s">
        <v>788</v>
      </c>
      <c r="J5670" s="380" t="s">
        <v>773</v>
      </c>
      <c r="K5670" s="381">
        <v>0.0</v>
      </c>
      <c r="L5670" s="382">
        <v>1.0</v>
      </c>
    </row>
    <row r="5671">
      <c r="A5671" s="380" t="s">
        <v>6545</v>
      </c>
      <c r="B5671" s="380" t="str">
        <f>IFERROR(__xludf.DUMMYFUNCTION("""COMPUTED_VALUE"""),"Tapon Horquilla Rev Eagle 8968")</f>
        <v>Tapon Horquilla Rev Eagle 8968</v>
      </c>
      <c r="C5671" s="380" t="str">
        <f>IFERROR(__xludf.DUMMYFUNCTION("""COMPUTED_VALUE"""),"70001053")</f>
        <v>70001053</v>
      </c>
      <c r="D5671" s="380" t="s">
        <v>767</v>
      </c>
      <c r="E5671" s="380" t="s">
        <v>786</v>
      </c>
      <c r="F5671" s="380" t="s">
        <v>928</v>
      </c>
      <c r="G5671" s="380" t="s">
        <v>1267</v>
      </c>
      <c r="H5671" s="380" t="s">
        <v>771</v>
      </c>
      <c r="I5671" s="380" t="s">
        <v>788</v>
      </c>
      <c r="J5671" s="380" t="s">
        <v>773</v>
      </c>
      <c r="K5671" s="381">
        <v>0.0</v>
      </c>
      <c r="L5671" s="382">
        <v>1.0</v>
      </c>
    </row>
    <row r="5672">
      <c r="A5672" s="380" t="s">
        <v>6546</v>
      </c>
      <c r="B5672" s="380" t="str">
        <f>IFERROR(__xludf.DUMMYFUNCTION("""COMPUTED_VALUE"""),"Rodillo Agujas EjeToma Cj Nkr 9000966060")</f>
        <v>Rodillo Agujas EjeToma Cj Nkr 9000966060</v>
      </c>
      <c r="C5672" s="380" t="str">
        <f>IFERROR(__xludf.DUMMYFUNCTION("""COMPUTED_VALUE"""),"70001054")</f>
        <v>70001054</v>
      </c>
      <c r="D5672" s="380" t="s">
        <v>767</v>
      </c>
      <c r="E5672" s="380" t="s">
        <v>786</v>
      </c>
      <c r="F5672" s="380" t="s">
        <v>928</v>
      </c>
      <c r="G5672" s="380" t="s">
        <v>1267</v>
      </c>
      <c r="H5672" s="380" t="s">
        <v>771</v>
      </c>
      <c r="I5672" s="380" t="s">
        <v>788</v>
      </c>
      <c r="J5672" s="380" t="s">
        <v>773</v>
      </c>
      <c r="K5672" s="381">
        <v>0.0</v>
      </c>
      <c r="L5672" s="382">
        <v>1.0</v>
      </c>
    </row>
    <row r="5673">
      <c r="A5673" s="380" t="s">
        <v>6547</v>
      </c>
      <c r="B5673" s="380" t="str">
        <f>IFERROR(__xludf.DUMMYFUNCTION("""COMPUTED_VALUE"""),"Trenfijo Caja Nkr 8970308710")</f>
        <v>Trenfijo Caja Nkr 8970308710</v>
      </c>
      <c r="C5673" s="380" t="str">
        <f>IFERROR(__xludf.DUMMYFUNCTION("""COMPUTED_VALUE"""),"70001055")</f>
        <v>70001055</v>
      </c>
      <c r="D5673" s="380" t="s">
        <v>767</v>
      </c>
      <c r="E5673" s="380" t="s">
        <v>786</v>
      </c>
      <c r="F5673" s="380" t="s">
        <v>928</v>
      </c>
      <c r="G5673" s="380" t="s">
        <v>1267</v>
      </c>
      <c r="H5673" s="380" t="s">
        <v>771</v>
      </c>
      <c r="I5673" s="380" t="s">
        <v>788</v>
      </c>
      <c r="J5673" s="380" t="s">
        <v>773</v>
      </c>
      <c r="K5673" s="381">
        <v>0.0</v>
      </c>
      <c r="L5673" s="382">
        <v>1.0</v>
      </c>
    </row>
    <row r="5674">
      <c r="A5674" s="380" t="s">
        <v>6548</v>
      </c>
      <c r="B5674" s="380" t="str">
        <f>IFERROR(__xludf.DUMMYFUNCTION("""COMPUTED_VALUE"""),"Pin Pasador Horquilla Caj Nkr 8941357710")</f>
        <v>Pin Pasador Horquilla Caj Nkr 8941357710</v>
      </c>
      <c r="C5674" s="380" t="str">
        <f>IFERROR(__xludf.DUMMYFUNCTION("""COMPUTED_VALUE"""),"70001056")</f>
        <v>70001056</v>
      </c>
      <c r="D5674" s="380" t="s">
        <v>767</v>
      </c>
      <c r="E5674" s="380" t="s">
        <v>786</v>
      </c>
      <c r="F5674" s="380" t="s">
        <v>928</v>
      </c>
      <c r="G5674" s="380" t="s">
        <v>1267</v>
      </c>
      <c r="H5674" s="380" t="s">
        <v>771</v>
      </c>
      <c r="I5674" s="380" t="s">
        <v>788</v>
      </c>
      <c r="J5674" s="380" t="s">
        <v>773</v>
      </c>
      <c r="K5674" s="381">
        <v>0.0</v>
      </c>
      <c r="L5674" s="382">
        <v>1.0</v>
      </c>
    </row>
    <row r="5675">
      <c r="A5675" s="380" t="s">
        <v>6549</v>
      </c>
      <c r="B5675" s="380" t="str">
        <f>IFERROR(__xludf.DUMMYFUNCTION("""COMPUTED_VALUE"""),"Anillo Sincro 3raY4ta Nkr 8970746191")</f>
        <v>Anillo Sincro 3raY4ta Nkr 8970746191</v>
      </c>
      <c r="C5675" s="380" t="str">
        <f>IFERROR(__xludf.DUMMYFUNCTION("""COMPUTED_VALUE"""),"70001057")</f>
        <v>70001057</v>
      </c>
      <c r="D5675" s="380" t="s">
        <v>767</v>
      </c>
      <c r="E5675" s="380" t="s">
        <v>786</v>
      </c>
      <c r="F5675" s="380" t="s">
        <v>928</v>
      </c>
      <c r="G5675" s="380" t="s">
        <v>1267</v>
      </c>
      <c r="H5675" s="380" t="s">
        <v>771</v>
      </c>
      <c r="I5675" s="380" t="s">
        <v>788</v>
      </c>
      <c r="J5675" s="380" t="s">
        <v>773</v>
      </c>
      <c r="K5675" s="381">
        <v>0.0</v>
      </c>
      <c r="L5675" s="382">
        <v>1.0</v>
      </c>
    </row>
    <row r="5676">
      <c r="A5676" s="380" t="s">
        <v>6550</v>
      </c>
      <c r="B5676" s="380" t="str">
        <f>IFERROR(__xludf.DUMMYFUNCTION("""COMPUTED_VALUE"""),"Pin Plato Tren Fijo Caja Nkr 8941464830")</f>
        <v>Pin Plato Tren Fijo Caja Nkr 8941464830</v>
      </c>
      <c r="C5676" s="380" t="str">
        <f>IFERROR(__xludf.DUMMYFUNCTION("""COMPUTED_VALUE"""),"70001058")</f>
        <v>70001058</v>
      </c>
      <c r="D5676" s="380" t="s">
        <v>767</v>
      </c>
      <c r="E5676" s="380" t="s">
        <v>786</v>
      </c>
      <c r="F5676" s="380" t="s">
        <v>928</v>
      </c>
      <c r="G5676" s="380" t="s">
        <v>1267</v>
      </c>
      <c r="H5676" s="380" t="s">
        <v>771</v>
      </c>
      <c r="I5676" s="380" t="s">
        <v>788</v>
      </c>
      <c r="J5676" s="380" t="s">
        <v>773</v>
      </c>
      <c r="K5676" s="381">
        <v>0.0</v>
      </c>
      <c r="L5676" s="382">
        <v>1.0</v>
      </c>
    </row>
    <row r="5677">
      <c r="A5677" s="380" t="s">
        <v>6551</v>
      </c>
      <c r="B5677" s="380" t="str">
        <f>IFERROR(__xludf.DUMMYFUNCTION("""COMPUTED_VALUE"""),"Pin Eje Corredizo Caja Nkr 8941515220")</f>
        <v>Pin Eje Corredizo Caja Nkr 8941515220</v>
      </c>
      <c r="C5677" s="380" t="str">
        <f>IFERROR(__xludf.DUMMYFUNCTION("""COMPUTED_VALUE"""),"70001059")</f>
        <v>70001059</v>
      </c>
      <c r="D5677" s="380" t="s">
        <v>767</v>
      </c>
      <c r="E5677" s="380" t="s">
        <v>786</v>
      </c>
      <c r="F5677" s="380" t="s">
        <v>928</v>
      </c>
      <c r="G5677" s="380" t="s">
        <v>1267</v>
      </c>
      <c r="H5677" s="380" t="s">
        <v>771</v>
      </c>
      <c r="I5677" s="380" t="s">
        <v>788</v>
      </c>
      <c r="J5677" s="380" t="s">
        <v>773</v>
      </c>
      <c r="K5677" s="381">
        <v>0.0</v>
      </c>
      <c r="L5677" s="382">
        <v>1.0</v>
      </c>
    </row>
    <row r="5678">
      <c r="A5678" s="380" t="s">
        <v>6552</v>
      </c>
      <c r="B5678" s="380" t="str">
        <f>IFERROR(__xludf.DUMMYFUNCTION("""COMPUTED_VALUE"""),"Abrazadera T44")</f>
        <v>Abrazadera T44</v>
      </c>
      <c r="C5678" s="380" t="str">
        <f>IFERROR(__xludf.DUMMYFUNCTION("""COMPUTED_VALUE"""),"70001060")</f>
        <v>70001060</v>
      </c>
      <c r="D5678" s="380" t="s">
        <v>767</v>
      </c>
      <c r="E5678" s="380" t="s">
        <v>786</v>
      </c>
      <c r="F5678" s="380" t="s">
        <v>989</v>
      </c>
      <c r="G5678" s="380" t="s">
        <v>1267</v>
      </c>
      <c r="H5678" s="380" t="s">
        <v>771</v>
      </c>
      <c r="I5678" s="380" t="s">
        <v>788</v>
      </c>
      <c r="J5678" s="380" t="s">
        <v>773</v>
      </c>
      <c r="K5678" s="381">
        <v>0.0</v>
      </c>
      <c r="L5678" s="382">
        <v>1.0</v>
      </c>
    </row>
    <row r="5679">
      <c r="A5679" s="380" t="s">
        <v>6553</v>
      </c>
      <c r="B5679" s="380" t="str">
        <f>IFERROR(__xludf.DUMMYFUNCTION("""COMPUTED_VALUE"""),"Abrazadera Cremallera 24")</f>
        <v>Abrazadera Cremallera 24</v>
      </c>
      <c r="C5679" s="380" t="str">
        <f>IFERROR(__xludf.DUMMYFUNCTION("""COMPUTED_VALUE"""),"70001061")</f>
        <v>70001061</v>
      </c>
      <c r="D5679" s="380" t="s">
        <v>767</v>
      </c>
      <c r="E5679" s="380" t="s">
        <v>786</v>
      </c>
      <c r="F5679" s="380" t="s">
        <v>989</v>
      </c>
      <c r="G5679" s="380" t="s">
        <v>1267</v>
      </c>
      <c r="H5679" s="380" t="s">
        <v>771</v>
      </c>
      <c r="I5679" s="380" t="s">
        <v>788</v>
      </c>
      <c r="J5679" s="380" t="s">
        <v>773</v>
      </c>
      <c r="K5679" s="381">
        <v>3094.0</v>
      </c>
      <c r="L5679" s="382">
        <v>1.0</v>
      </c>
    </row>
    <row r="5680">
      <c r="A5680" s="380" t="s">
        <v>6554</v>
      </c>
      <c r="B5680" s="380" t="str">
        <f>IFERROR(__xludf.DUMMYFUNCTION("""COMPUTED_VALUE"""),"Guaya Acelerador AKT 200")</f>
        <v>Guaya Acelerador AKT 200</v>
      </c>
      <c r="C5680" s="380" t="str">
        <f>IFERROR(__xludf.DUMMYFUNCTION("""COMPUTED_VALUE"""),"70001062")</f>
        <v>70001062</v>
      </c>
      <c r="D5680" s="380" t="s">
        <v>767</v>
      </c>
      <c r="E5680" s="380" t="s">
        <v>786</v>
      </c>
      <c r="F5680" s="380" t="s">
        <v>1017</v>
      </c>
      <c r="G5680" s="380" t="s">
        <v>1267</v>
      </c>
      <c r="H5680" s="380" t="s">
        <v>771</v>
      </c>
      <c r="I5680" s="380" t="s">
        <v>788</v>
      </c>
      <c r="J5680" s="380" t="s">
        <v>773</v>
      </c>
      <c r="K5680" s="381">
        <v>0.0</v>
      </c>
      <c r="L5680" s="382">
        <v>1.0</v>
      </c>
    </row>
    <row r="5681">
      <c r="A5681" s="380" t="s">
        <v>6555</v>
      </c>
      <c r="B5681" s="380" t="str">
        <f>IFERROR(__xludf.DUMMYFUNCTION("""COMPUTED_VALUE"""),"Tapizado Techo Cabina Fabricado N200")</f>
        <v>Tapizado Techo Cabina Fabricado N200</v>
      </c>
      <c r="C5681" s="380" t="str">
        <f>IFERROR(__xludf.DUMMYFUNCTION("""COMPUTED_VALUE"""),"70001063")</f>
        <v>70001063</v>
      </c>
      <c r="D5681" s="380" t="s">
        <v>767</v>
      </c>
      <c r="E5681" s="380" t="s">
        <v>786</v>
      </c>
      <c r="F5681" s="380" t="s">
        <v>792</v>
      </c>
      <c r="G5681" s="380" t="s">
        <v>1267</v>
      </c>
      <c r="H5681" s="380" t="s">
        <v>771</v>
      </c>
      <c r="I5681" s="380" t="s">
        <v>788</v>
      </c>
      <c r="J5681" s="380" t="s">
        <v>773</v>
      </c>
      <c r="K5681" s="381">
        <v>0.0</v>
      </c>
      <c r="L5681" s="382">
        <v>1.0</v>
      </c>
    </row>
    <row r="5682">
      <c r="A5682" s="380" t="s">
        <v>6556</v>
      </c>
      <c r="B5682" s="380" t="str">
        <f>IFERROR(__xludf.DUMMYFUNCTION("""COMPUTED_VALUE"""),"Estribo Plast Izq T Delta 5177295406")</f>
        <v>Estribo Plast Izq T Delta 5177295406</v>
      </c>
      <c r="C5682" s="380" t="str">
        <f>IFERROR(__xludf.DUMMYFUNCTION("""COMPUTED_VALUE"""),"70001064")</f>
        <v>70001064</v>
      </c>
      <c r="D5682" s="380" t="s">
        <v>767</v>
      </c>
      <c r="E5682" s="380" t="s">
        <v>786</v>
      </c>
      <c r="F5682" s="380" t="s">
        <v>792</v>
      </c>
      <c r="G5682" s="380" t="s">
        <v>1267</v>
      </c>
      <c r="H5682" s="380" t="s">
        <v>771</v>
      </c>
      <c r="I5682" s="380" t="s">
        <v>788</v>
      </c>
      <c r="J5682" s="380" t="s">
        <v>773</v>
      </c>
      <c r="K5682" s="381">
        <v>0.0</v>
      </c>
      <c r="L5682" s="382">
        <v>1.0</v>
      </c>
    </row>
    <row r="5683">
      <c r="A5683" s="380" t="s">
        <v>6557</v>
      </c>
      <c r="B5683" s="380" t="str">
        <f>IFERROR(__xludf.DUMMYFUNCTION("""COMPUTED_VALUE"""),"Espejo Int Cabina T Delta 8781095418")</f>
        <v>Espejo Int Cabina T Delta 8781095418</v>
      </c>
      <c r="C5683" s="380" t="str">
        <f>IFERROR(__xludf.DUMMYFUNCTION("""COMPUTED_VALUE"""),"70001065")</f>
        <v>70001065</v>
      </c>
      <c r="D5683" s="380" t="s">
        <v>767</v>
      </c>
      <c r="E5683" s="380" t="s">
        <v>786</v>
      </c>
      <c r="F5683" s="380" t="s">
        <v>792</v>
      </c>
      <c r="G5683" s="380" t="s">
        <v>1267</v>
      </c>
      <c r="H5683" s="380" t="s">
        <v>771</v>
      </c>
      <c r="I5683" s="380" t="s">
        <v>788</v>
      </c>
      <c r="J5683" s="380" t="s">
        <v>773</v>
      </c>
      <c r="K5683" s="381">
        <v>136850.0</v>
      </c>
      <c r="L5683" s="382">
        <v>1.0</v>
      </c>
    </row>
    <row r="5684">
      <c r="A5684" s="380" t="s">
        <v>6558</v>
      </c>
      <c r="B5684" s="380" t="str">
        <f>IFERROR(__xludf.DUMMYFUNCTION("""COMPUTED_VALUE"""),"Filtro Aire Motor Nhr-Nkr Goby AG971003A")</f>
        <v>Filtro Aire Motor Nhr-Nkr Goby AG971003A</v>
      </c>
      <c r="C5684" s="380" t="str">
        <f>IFERROR(__xludf.DUMMYFUNCTION("""COMPUTED_VALUE"""),"70001066")</f>
        <v>70001066</v>
      </c>
      <c r="D5684" s="380" t="s">
        <v>767</v>
      </c>
      <c r="E5684" s="380" t="s">
        <v>786</v>
      </c>
      <c r="F5684" s="380" t="s">
        <v>5855</v>
      </c>
      <c r="G5684" s="380" t="s">
        <v>1267</v>
      </c>
      <c r="H5684" s="380" t="s">
        <v>771</v>
      </c>
      <c r="I5684" s="380" t="s">
        <v>788</v>
      </c>
      <c r="J5684" s="380" t="s">
        <v>773</v>
      </c>
      <c r="K5684" s="381">
        <v>85021.0</v>
      </c>
      <c r="L5684" s="382">
        <v>1.0</v>
      </c>
    </row>
    <row r="5685">
      <c r="A5685" s="380" t="s">
        <v>6559</v>
      </c>
      <c r="B5685" s="380" t="str">
        <f>IFERROR(__xludf.DUMMYFUNCTION("""COMPUTED_VALUE"""),"Tubo Bomba Inyeccion N2 NKR 8972239241")</f>
        <v>Tubo Bomba Inyeccion N2 NKR 8972239241</v>
      </c>
      <c r="C5685" s="380" t="str">
        <f>IFERROR(__xludf.DUMMYFUNCTION("""COMPUTED_VALUE"""),"70001067")</f>
        <v>70001067</v>
      </c>
      <c r="D5685" s="380" t="s">
        <v>767</v>
      </c>
      <c r="E5685" s="380" t="s">
        <v>786</v>
      </c>
      <c r="F5685" s="380" t="s">
        <v>787</v>
      </c>
      <c r="G5685" s="380" t="s">
        <v>1267</v>
      </c>
      <c r="H5685" s="380" t="s">
        <v>771</v>
      </c>
      <c r="I5685" s="380" t="s">
        <v>788</v>
      </c>
      <c r="J5685" s="380" t="s">
        <v>773</v>
      </c>
      <c r="K5685" s="381">
        <v>0.0</v>
      </c>
      <c r="L5685" s="382">
        <v>1.0</v>
      </c>
    </row>
    <row r="5686">
      <c r="A5686" s="380" t="s">
        <v>6560</v>
      </c>
      <c r="B5686" s="380" t="str">
        <f>IFERROR(__xludf.DUMMYFUNCTION("""COMPUTED_VALUE"""),"Tapon Llenado Trans Carry 6910032830")</f>
        <v>Tapon Llenado Trans Carry 6910032830</v>
      </c>
      <c r="C5686" s="380" t="str">
        <f>IFERROR(__xludf.DUMMYFUNCTION("""COMPUTED_VALUE"""),"70001068")</f>
        <v>70001068</v>
      </c>
      <c r="D5686" s="380" t="s">
        <v>767</v>
      </c>
      <c r="E5686" s="380" t="s">
        <v>786</v>
      </c>
      <c r="F5686" s="380" t="s">
        <v>5683</v>
      </c>
      <c r="G5686" s="380" t="s">
        <v>1267</v>
      </c>
      <c r="H5686" s="380" t="s">
        <v>771</v>
      </c>
      <c r="I5686" s="380" t="s">
        <v>788</v>
      </c>
      <c r="J5686" s="380" t="s">
        <v>773</v>
      </c>
      <c r="K5686" s="381">
        <v>0.0</v>
      </c>
      <c r="L5686" s="382">
        <v>1.0</v>
      </c>
    </row>
    <row r="5687">
      <c r="A5687" s="380" t="s">
        <v>6561</v>
      </c>
      <c r="B5687" s="380" t="str">
        <f>IFERROR(__xludf.DUMMYFUNCTION("""COMPUTED_VALUE"""),"Guaya Conector Apagado Npr 8971260380")</f>
        <v>Guaya Conector Apagado Npr 8971260380</v>
      </c>
      <c r="C5687" s="380" t="str">
        <f>IFERROR(__xludf.DUMMYFUNCTION("""COMPUTED_VALUE"""),"70001069")</f>
        <v>70001069</v>
      </c>
      <c r="D5687" s="380" t="s">
        <v>767</v>
      </c>
      <c r="E5687" s="380" t="s">
        <v>786</v>
      </c>
      <c r="F5687" s="380" t="s">
        <v>998</v>
      </c>
      <c r="G5687" s="380" t="s">
        <v>1267</v>
      </c>
      <c r="H5687" s="380" t="s">
        <v>771</v>
      </c>
      <c r="I5687" s="380" t="s">
        <v>788</v>
      </c>
      <c r="J5687" s="380" t="s">
        <v>773</v>
      </c>
      <c r="K5687" s="381">
        <v>0.0</v>
      </c>
      <c r="L5687" s="382">
        <v>1.0</v>
      </c>
    </row>
    <row r="5688">
      <c r="A5688" s="380" t="s">
        <v>6562</v>
      </c>
      <c r="B5688" s="380" t="str">
        <f>IFERROR(__xludf.DUMMYFUNCTION("""COMPUTED_VALUE"""),"Retenedor Trasero Caja SB 20807")</f>
        <v>Retenedor Trasero Caja SB 20807</v>
      </c>
      <c r="C5688" s="380" t="str">
        <f>IFERROR(__xludf.DUMMYFUNCTION("""COMPUTED_VALUE"""),"70001070")</f>
        <v>70001070</v>
      </c>
      <c r="D5688" s="380" t="s">
        <v>767</v>
      </c>
      <c r="E5688" s="380" t="s">
        <v>786</v>
      </c>
      <c r="F5688" s="380" t="s">
        <v>928</v>
      </c>
      <c r="G5688" s="380" t="s">
        <v>1267</v>
      </c>
      <c r="H5688" s="380" t="s">
        <v>771</v>
      </c>
      <c r="I5688" s="380" t="s">
        <v>788</v>
      </c>
      <c r="J5688" s="380" t="s">
        <v>773</v>
      </c>
      <c r="K5688" s="381">
        <v>0.0</v>
      </c>
      <c r="L5688" s="382">
        <v>1.0</v>
      </c>
    </row>
    <row r="5689">
      <c r="A5689" s="380" t="s">
        <v>6563</v>
      </c>
      <c r="B5689" s="380" t="str">
        <f>IFERROR(__xludf.DUMMYFUNCTION("""COMPUTED_VALUE"""),"Filtro Air Prim Isx Eagle Goby AG961010R")</f>
        <v>Filtro Air Prim Isx Eagle Goby AG961010R</v>
      </c>
      <c r="C5689" s="380" t="str">
        <f>IFERROR(__xludf.DUMMYFUNCTION("""COMPUTED_VALUE"""),"70001071")</f>
        <v>70001071</v>
      </c>
      <c r="D5689" s="380" t="s">
        <v>767</v>
      </c>
      <c r="E5689" s="380" t="s">
        <v>786</v>
      </c>
      <c r="F5689" s="380" t="s">
        <v>5855</v>
      </c>
      <c r="G5689" s="380" t="s">
        <v>1267</v>
      </c>
      <c r="H5689" s="380" t="s">
        <v>771</v>
      </c>
      <c r="I5689" s="380" t="s">
        <v>788</v>
      </c>
      <c r="J5689" s="380" t="s">
        <v>773</v>
      </c>
      <c r="K5689" s="381">
        <v>187307.0</v>
      </c>
      <c r="L5689" s="382">
        <v>1.0</v>
      </c>
    </row>
    <row r="5690">
      <c r="A5690" s="380" t="s">
        <v>6564</v>
      </c>
      <c r="B5690" s="380" t="str">
        <f>IFERROR(__xludf.DUMMYFUNCTION("""COMPUTED_VALUE"""),"Sensor Velocimetro KW Q216005")</f>
        <v>Sensor Velocimetro KW Q216005</v>
      </c>
      <c r="C5690" s="380" t="str">
        <f>IFERROR(__xludf.DUMMYFUNCTION("""COMPUTED_VALUE"""),"70001072")</f>
        <v>70001072</v>
      </c>
      <c r="D5690" s="380" t="s">
        <v>767</v>
      </c>
      <c r="E5690" s="380" t="s">
        <v>786</v>
      </c>
      <c r="F5690" s="380" t="s">
        <v>998</v>
      </c>
      <c r="G5690" s="380" t="s">
        <v>1267</v>
      </c>
      <c r="H5690" s="380" t="s">
        <v>771</v>
      </c>
      <c r="I5690" s="380" t="s">
        <v>788</v>
      </c>
      <c r="J5690" s="380" t="s">
        <v>773</v>
      </c>
      <c r="K5690" s="381">
        <v>249900.0</v>
      </c>
      <c r="L5690" s="382">
        <v>1.0</v>
      </c>
    </row>
    <row r="5691">
      <c r="A5691" s="380" t="s">
        <v>6565</v>
      </c>
      <c r="B5691" s="380" t="str">
        <f>IFERROR(__xludf.DUMMYFUNCTION("""COMPUTED_VALUE"""),"Harness Sensor Velocimetro KW P921571060")</f>
        <v>Harness Sensor Velocimetro KW P921571060</v>
      </c>
      <c r="C5691" s="380" t="str">
        <f>IFERROR(__xludf.DUMMYFUNCTION("""COMPUTED_VALUE"""),"70001073")</f>
        <v>70001073</v>
      </c>
      <c r="D5691" s="380" t="s">
        <v>767</v>
      </c>
      <c r="E5691" s="380" t="s">
        <v>786</v>
      </c>
      <c r="F5691" s="380" t="s">
        <v>787</v>
      </c>
      <c r="G5691" s="380" t="s">
        <v>1267</v>
      </c>
      <c r="H5691" s="380" t="s">
        <v>771</v>
      </c>
      <c r="I5691" s="380" t="s">
        <v>788</v>
      </c>
      <c r="J5691" s="380" t="s">
        <v>773</v>
      </c>
      <c r="K5691" s="381">
        <v>385374.0</v>
      </c>
      <c r="L5691" s="382">
        <v>1.0</v>
      </c>
    </row>
    <row r="5692">
      <c r="A5692" s="380" t="s">
        <v>6566</v>
      </c>
      <c r="B5692" s="380" t="str">
        <f>IFERROR(__xludf.DUMMYFUNCTION("""COMPUTED_VALUE"""),"Filtro Air Prim H466 Meca Goby AG971005A")</f>
        <v>Filtro Air Prim H466 Meca Goby AG971005A</v>
      </c>
      <c r="C5692" s="380" t="str">
        <f>IFERROR(__xludf.DUMMYFUNCTION("""COMPUTED_VALUE"""),"70001074")</f>
        <v>70001074</v>
      </c>
      <c r="D5692" s="380" t="s">
        <v>767</v>
      </c>
      <c r="E5692" s="380" t="s">
        <v>786</v>
      </c>
      <c r="F5692" s="380" t="s">
        <v>5855</v>
      </c>
      <c r="G5692" s="380" t="s">
        <v>1267</v>
      </c>
      <c r="H5692" s="380" t="s">
        <v>771</v>
      </c>
      <c r="I5692" s="380" t="s">
        <v>788</v>
      </c>
      <c r="J5692" s="380" t="s">
        <v>773</v>
      </c>
      <c r="K5692" s="381">
        <v>0.0</v>
      </c>
      <c r="L5692" s="382">
        <v>1.0</v>
      </c>
    </row>
    <row r="5693">
      <c r="A5693" s="380" t="s">
        <v>6567</v>
      </c>
      <c r="B5693" s="380" t="str">
        <f>IFERROR(__xludf.DUMMYFUNCTION("""COMPUTED_VALUE"""),"Lampara Direc Der Tras AKT125 06-1910-35")</f>
        <v>Lampara Direc Der Tras AKT125 06-1910-35</v>
      </c>
      <c r="C5693" s="380" t="str">
        <f>IFERROR(__xludf.DUMMYFUNCTION("""COMPUTED_VALUE"""),"70001075")</f>
        <v>70001075</v>
      </c>
      <c r="D5693" s="380" t="s">
        <v>767</v>
      </c>
      <c r="E5693" s="380" t="s">
        <v>786</v>
      </c>
      <c r="F5693" s="380" t="s">
        <v>998</v>
      </c>
      <c r="G5693" s="380" t="s">
        <v>1267</v>
      </c>
      <c r="H5693" s="380" t="s">
        <v>771</v>
      </c>
      <c r="I5693" s="380" t="s">
        <v>788</v>
      </c>
      <c r="J5693" s="380" t="s">
        <v>773</v>
      </c>
      <c r="K5693" s="381">
        <v>0.0</v>
      </c>
      <c r="L5693" s="382">
        <v>1.0</v>
      </c>
    </row>
    <row r="5694">
      <c r="A5694" s="380" t="s">
        <v>6568</v>
      </c>
      <c r="B5694" s="380" t="str">
        <f>IFERROR(__xludf.DUMMYFUNCTION("""COMPUTED_VALUE"""),"Manguera A/C Compresor Eagle 3626421C1")</f>
        <v>Manguera A/C Compresor Eagle 3626421C1</v>
      </c>
      <c r="C5694" s="380" t="str">
        <f>IFERROR(__xludf.DUMMYFUNCTION("""COMPUTED_VALUE"""),"70001076")</f>
        <v>70001076</v>
      </c>
      <c r="D5694" s="380" t="s">
        <v>767</v>
      </c>
      <c r="E5694" s="380" t="s">
        <v>786</v>
      </c>
      <c r="F5694" s="380" t="s">
        <v>1031</v>
      </c>
      <c r="G5694" s="380" t="s">
        <v>1267</v>
      </c>
      <c r="H5694" s="380" t="s">
        <v>771</v>
      </c>
      <c r="I5694" s="380" t="s">
        <v>788</v>
      </c>
      <c r="J5694" s="380" t="s">
        <v>773</v>
      </c>
      <c r="K5694" s="381">
        <v>0.0</v>
      </c>
      <c r="L5694" s="382">
        <v>1.0</v>
      </c>
    </row>
    <row r="5695">
      <c r="A5695" s="380" t="s">
        <v>6569</v>
      </c>
      <c r="B5695" s="380" t="str">
        <f>IFERROR(__xludf.DUMMYFUNCTION("""COMPUTED_VALUE"""),"Pelicula Seguridad Parabrisas")</f>
        <v>Pelicula Seguridad Parabrisas</v>
      </c>
      <c r="C5695" s="380" t="str">
        <f>IFERROR(__xludf.DUMMYFUNCTION("""COMPUTED_VALUE"""),"70001077")</f>
        <v>70001077</v>
      </c>
      <c r="D5695" s="380" t="s">
        <v>767</v>
      </c>
      <c r="E5695" s="380" t="s">
        <v>786</v>
      </c>
      <c r="F5695" s="380" t="s">
        <v>1031</v>
      </c>
      <c r="G5695" s="380" t="s">
        <v>1267</v>
      </c>
      <c r="H5695" s="380" t="s">
        <v>771</v>
      </c>
      <c r="I5695" s="380" t="s">
        <v>788</v>
      </c>
      <c r="J5695" s="380" t="s">
        <v>773</v>
      </c>
      <c r="K5695" s="381">
        <v>0.0</v>
      </c>
      <c r="L5695" s="382">
        <v>1.0</v>
      </c>
    </row>
    <row r="5696">
      <c r="A5696" s="380" t="s">
        <v>6570</v>
      </c>
      <c r="B5696" s="380" t="str">
        <f>IFERROR(__xludf.DUMMYFUNCTION("""COMPUTED_VALUE"""),"Valvula Expancion A/C Eagle 2501794C92")</f>
        <v>Valvula Expancion A/C Eagle 2501794C92</v>
      </c>
      <c r="C5696" s="380" t="str">
        <f>IFERROR(__xludf.DUMMYFUNCTION("""COMPUTED_VALUE"""),"70001078")</f>
        <v>70001078</v>
      </c>
      <c r="D5696" s="380" t="s">
        <v>767</v>
      </c>
      <c r="E5696" s="380" t="s">
        <v>786</v>
      </c>
      <c r="F5696" s="380" t="s">
        <v>1031</v>
      </c>
      <c r="G5696" s="380" t="s">
        <v>1267</v>
      </c>
      <c r="H5696" s="380" t="s">
        <v>771</v>
      </c>
      <c r="I5696" s="380" t="s">
        <v>788</v>
      </c>
      <c r="J5696" s="380" t="s">
        <v>773</v>
      </c>
      <c r="K5696" s="381">
        <v>127149.0</v>
      </c>
      <c r="L5696" s="382">
        <v>1.0</v>
      </c>
    </row>
    <row r="5697">
      <c r="A5697" s="380" t="s">
        <v>6571</v>
      </c>
      <c r="B5697" s="380" t="str">
        <f>IFERROR(__xludf.DUMMYFUNCTION("""COMPUTED_VALUE"""),"Motor Calefaccion Aire KW T800 HB1610")</f>
        <v>Motor Calefaccion Aire KW T800 HB1610</v>
      </c>
      <c r="C5697" s="380" t="str">
        <f>IFERROR(__xludf.DUMMYFUNCTION("""COMPUTED_VALUE"""),"70001079")</f>
        <v>70001079</v>
      </c>
      <c r="D5697" s="380" t="s">
        <v>767</v>
      </c>
      <c r="E5697" s="380" t="s">
        <v>786</v>
      </c>
      <c r="F5697" s="380" t="s">
        <v>1031</v>
      </c>
      <c r="G5697" s="380" t="s">
        <v>1267</v>
      </c>
      <c r="H5697" s="380" t="s">
        <v>771</v>
      </c>
      <c r="I5697" s="380" t="s">
        <v>788</v>
      </c>
      <c r="J5697" s="380" t="s">
        <v>773</v>
      </c>
      <c r="K5697" s="381">
        <v>0.0</v>
      </c>
      <c r="L5697" s="382">
        <v>1.0</v>
      </c>
    </row>
    <row r="5698">
      <c r="A5698" s="380" t="s">
        <v>6572</v>
      </c>
      <c r="B5698" s="380" t="str">
        <f>IFERROR(__xludf.DUMMYFUNCTION("""COMPUTED_VALUE"""),"Manguera A/C Isx Eagle 3590900C91")</f>
        <v>Manguera A/C Isx Eagle 3590900C91</v>
      </c>
      <c r="C5698" s="380" t="str">
        <f>IFERROR(__xludf.DUMMYFUNCTION("""COMPUTED_VALUE"""),"70001080")</f>
        <v>70001080</v>
      </c>
      <c r="D5698" s="380" t="s">
        <v>767</v>
      </c>
      <c r="E5698" s="380" t="s">
        <v>786</v>
      </c>
      <c r="F5698" s="380" t="s">
        <v>1031</v>
      </c>
      <c r="G5698" s="380" t="s">
        <v>1267</v>
      </c>
      <c r="H5698" s="380" t="s">
        <v>771</v>
      </c>
      <c r="I5698" s="380" t="s">
        <v>788</v>
      </c>
      <c r="J5698" s="380" t="s">
        <v>773</v>
      </c>
      <c r="K5698" s="381">
        <v>0.0</v>
      </c>
      <c r="L5698" s="382">
        <v>1.0</v>
      </c>
    </row>
    <row r="5699">
      <c r="A5699" s="380" t="s">
        <v>6573</v>
      </c>
      <c r="B5699" s="380" t="str">
        <f>IFERROR(__xludf.DUMMYFUNCTION("""COMPUTED_VALUE"""),"Termostato A/C Isx 2607881C1")</f>
        <v>Termostato A/C Isx 2607881C1</v>
      </c>
      <c r="C5699" s="380" t="str">
        <f>IFERROR(__xludf.DUMMYFUNCTION("""COMPUTED_VALUE"""),"70001081")</f>
        <v>70001081</v>
      </c>
      <c r="D5699" s="380" t="s">
        <v>767</v>
      </c>
      <c r="E5699" s="380" t="s">
        <v>786</v>
      </c>
      <c r="F5699" s="380" t="s">
        <v>1031</v>
      </c>
      <c r="G5699" s="380" t="s">
        <v>1267</v>
      </c>
      <c r="H5699" s="380" t="s">
        <v>771</v>
      </c>
      <c r="I5699" s="380" t="s">
        <v>788</v>
      </c>
      <c r="J5699" s="380" t="s">
        <v>773</v>
      </c>
      <c r="K5699" s="381">
        <v>465183.0</v>
      </c>
      <c r="L5699" s="382">
        <v>1.0</v>
      </c>
    </row>
    <row r="5700">
      <c r="A5700" s="380" t="s">
        <v>6574</v>
      </c>
      <c r="B5700" s="380" t="str">
        <f>IFERROR(__xludf.DUMMYFUNCTION("""COMPUTED_VALUE"""),"Control Electronico A/C 3518702C93")</f>
        <v>Control Electronico A/C 3518702C93</v>
      </c>
      <c r="C5700" s="380" t="str">
        <f>IFERROR(__xludf.DUMMYFUNCTION("""COMPUTED_VALUE"""),"70001082")</f>
        <v>70001082</v>
      </c>
      <c r="D5700" s="380" t="s">
        <v>767</v>
      </c>
      <c r="E5700" s="380" t="s">
        <v>786</v>
      </c>
      <c r="F5700" s="380" t="s">
        <v>1031</v>
      </c>
      <c r="G5700" s="380" t="s">
        <v>1267</v>
      </c>
      <c r="H5700" s="380" t="s">
        <v>771</v>
      </c>
      <c r="I5700" s="380" t="s">
        <v>788</v>
      </c>
      <c r="J5700" s="380" t="s">
        <v>773</v>
      </c>
      <c r="K5700" s="381">
        <v>0.0</v>
      </c>
      <c r="L5700" s="382">
        <v>1.0</v>
      </c>
    </row>
    <row r="5701">
      <c r="A5701" s="380" t="s">
        <v>6575</v>
      </c>
      <c r="B5701" s="380" t="str">
        <f>IFERROR(__xludf.DUMMYFUNCTION("""COMPUTED_VALUE"""),"Tubo Entrada Radiador RMaster 8200243677")</f>
        <v>Tubo Entrada Radiador RMaster 8200243677</v>
      </c>
      <c r="C5701" s="380" t="str">
        <f>IFERROR(__xludf.DUMMYFUNCTION("""COMPUTED_VALUE"""),"70001083")</f>
        <v>70001083</v>
      </c>
      <c r="D5701" s="380" t="s">
        <v>767</v>
      </c>
      <c r="E5701" s="380" t="s">
        <v>786</v>
      </c>
      <c r="F5701" s="380" t="s">
        <v>1031</v>
      </c>
      <c r="G5701" s="380" t="s">
        <v>1267</v>
      </c>
      <c r="H5701" s="380" t="s">
        <v>771</v>
      </c>
      <c r="I5701" s="380" t="s">
        <v>788</v>
      </c>
      <c r="J5701" s="380" t="s">
        <v>773</v>
      </c>
      <c r="K5701" s="381">
        <v>0.0</v>
      </c>
      <c r="L5701" s="382">
        <v>1.0</v>
      </c>
    </row>
    <row r="5702">
      <c r="A5702" s="380" t="s">
        <v>6576</v>
      </c>
      <c r="B5702" s="380" t="str">
        <f>IFERROR(__xludf.DUMMYFUNCTION("""COMPUTED_VALUE"""),"Tubo Entrada cabina R Master 8200261961")</f>
        <v>Tubo Entrada cabina R Master 8200261961</v>
      </c>
      <c r="C5702" s="380" t="str">
        <f>IFERROR(__xludf.DUMMYFUNCTION("""COMPUTED_VALUE"""),"70001084")</f>
        <v>70001084</v>
      </c>
      <c r="D5702" s="380" t="s">
        <v>767</v>
      </c>
      <c r="E5702" s="380" t="s">
        <v>786</v>
      </c>
      <c r="F5702" s="380" t="s">
        <v>1031</v>
      </c>
      <c r="G5702" s="380" t="s">
        <v>1267</v>
      </c>
      <c r="H5702" s="380" t="s">
        <v>771</v>
      </c>
      <c r="I5702" s="380" t="s">
        <v>788</v>
      </c>
      <c r="J5702" s="380" t="s">
        <v>773</v>
      </c>
      <c r="K5702" s="381">
        <v>0.0</v>
      </c>
      <c r="L5702" s="382">
        <v>1.0</v>
      </c>
    </row>
    <row r="5703">
      <c r="A5703" s="380" t="s">
        <v>6577</v>
      </c>
      <c r="B5703" s="380" t="str">
        <f>IFERROR(__xludf.DUMMYFUNCTION("""COMPUTED_VALUE"""),"Evaporador A/C Isx 1699950C1")</f>
        <v>Evaporador A/C Isx 1699950C1</v>
      </c>
      <c r="C5703" s="380" t="str">
        <f>IFERROR(__xludf.DUMMYFUNCTION("""COMPUTED_VALUE"""),"70001085")</f>
        <v>70001085</v>
      </c>
      <c r="D5703" s="380" t="s">
        <v>767</v>
      </c>
      <c r="E5703" s="380" t="s">
        <v>786</v>
      </c>
      <c r="F5703" s="380" t="s">
        <v>1031</v>
      </c>
      <c r="G5703" s="380" t="s">
        <v>1267</v>
      </c>
      <c r="H5703" s="380" t="s">
        <v>771</v>
      </c>
      <c r="I5703" s="380" t="s">
        <v>788</v>
      </c>
      <c r="J5703" s="380" t="s">
        <v>773</v>
      </c>
      <c r="K5703" s="381">
        <v>2062475.0</v>
      </c>
      <c r="L5703" s="382">
        <v>1.0</v>
      </c>
    </row>
    <row r="5704">
      <c r="A5704" s="380" t="s">
        <v>6578</v>
      </c>
      <c r="B5704" s="380" t="str">
        <f>IFERROR(__xludf.DUMMYFUNCTION("""COMPUTED_VALUE"""),"Compresor A/C Freight ABP8330454")</f>
        <v>Compresor A/C Freight ABP8330454</v>
      </c>
      <c r="C5704" s="380" t="str">
        <f>IFERROR(__xludf.DUMMYFUNCTION("""COMPUTED_VALUE"""),"70001086")</f>
        <v>70001086</v>
      </c>
      <c r="D5704" s="380" t="s">
        <v>767</v>
      </c>
      <c r="E5704" s="380" t="s">
        <v>786</v>
      </c>
      <c r="F5704" s="380" t="s">
        <v>1031</v>
      </c>
      <c r="G5704" s="380" t="s">
        <v>1267</v>
      </c>
      <c r="H5704" s="380" t="s">
        <v>771</v>
      </c>
      <c r="I5704" s="380" t="s">
        <v>788</v>
      </c>
      <c r="J5704" s="380" t="s">
        <v>773</v>
      </c>
      <c r="K5704" s="381">
        <v>0.0</v>
      </c>
      <c r="L5704" s="382">
        <v>1.0</v>
      </c>
    </row>
    <row r="5705">
      <c r="A5705" s="380" t="s">
        <v>6579</v>
      </c>
      <c r="B5705" s="380" t="str">
        <f>IFERROR(__xludf.DUMMYFUNCTION("""COMPUTED_VALUE"""),"Balinera Compresor A/C Eagle 35BG05S1G")</f>
        <v>Balinera Compresor A/C Eagle 35BG05S1G</v>
      </c>
      <c r="C5705" s="380" t="str">
        <f>IFERROR(__xludf.DUMMYFUNCTION("""COMPUTED_VALUE"""),"70001087")</f>
        <v>70001087</v>
      </c>
      <c r="D5705" s="380" t="s">
        <v>767</v>
      </c>
      <c r="E5705" s="380" t="s">
        <v>786</v>
      </c>
      <c r="F5705" s="380" t="s">
        <v>1031</v>
      </c>
      <c r="G5705" s="380" t="s">
        <v>1267</v>
      </c>
      <c r="H5705" s="380" t="s">
        <v>771</v>
      </c>
      <c r="I5705" s="380" t="s">
        <v>788</v>
      </c>
      <c r="J5705" s="380" t="s">
        <v>773</v>
      </c>
      <c r="K5705" s="381">
        <v>0.0</v>
      </c>
      <c r="L5705" s="382">
        <v>1.0</v>
      </c>
    </row>
    <row r="5706">
      <c r="A5706" s="380" t="s">
        <v>6580</v>
      </c>
      <c r="B5706" s="380" t="str">
        <f>IFERROR(__xludf.DUMMYFUNCTION("""COMPUTED_VALUE"""),"Actuador Motor Ventilador A/C Eagle Isx")</f>
        <v>Actuador Motor Ventilador A/C Eagle Isx</v>
      </c>
      <c r="C5706" s="380" t="str">
        <f>IFERROR(__xludf.DUMMYFUNCTION("""COMPUTED_VALUE"""),"70001088")</f>
        <v>70001088</v>
      </c>
      <c r="D5706" s="380" t="s">
        <v>767</v>
      </c>
      <c r="E5706" s="380" t="s">
        <v>786</v>
      </c>
      <c r="F5706" s="380" t="s">
        <v>1031</v>
      </c>
      <c r="G5706" s="380" t="s">
        <v>1267</v>
      </c>
      <c r="H5706" s="380" t="s">
        <v>771</v>
      </c>
      <c r="I5706" s="380" t="s">
        <v>788</v>
      </c>
      <c r="J5706" s="380" t="s">
        <v>773</v>
      </c>
      <c r="K5706" s="381">
        <v>0.0</v>
      </c>
      <c r="L5706" s="382">
        <v>1.0</v>
      </c>
    </row>
    <row r="5707">
      <c r="A5707" s="380" t="s">
        <v>6581</v>
      </c>
      <c r="B5707" s="380" t="str">
        <f>IFERROR(__xludf.DUMMYFUNCTION("""COMPUTED_VALUE"""),"Cable Bateria Int 4700 2001939C91")</f>
        <v>Cable Bateria Int 4700 2001939C91</v>
      </c>
      <c r="C5707" s="380" t="str">
        <f>IFERROR(__xludf.DUMMYFUNCTION("""COMPUTED_VALUE"""),"70001089")</f>
        <v>70001089</v>
      </c>
      <c r="D5707" s="380" t="s">
        <v>767</v>
      </c>
      <c r="E5707" s="380" t="s">
        <v>786</v>
      </c>
      <c r="F5707" s="380" t="s">
        <v>998</v>
      </c>
      <c r="G5707" s="380" t="s">
        <v>1267</v>
      </c>
      <c r="H5707" s="380" t="s">
        <v>771</v>
      </c>
      <c r="I5707" s="380" t="s">
        <v>788</v>
      </c>
      <c r="J5707" s="380" t="s">
        <v>773</v>
      </c>
      <c r="K5707" s="381">
        <v>0.0</v>
      </c>
      <c r="L5707" s="382">
        <v>1.0</v>
      </c>
    </row>
    <row r="5708">
      <c r="A5708" s="380" t="s">
        <v>6582</v>
      </c>
      <c r="B5708" s="380" t="str">
        <f>IFERROR(__xludf.DUMMYFUNCTION("""COMPUTED_VALUE"""),"Filtro Combustible Full Pro Mac 70052020")</f>
        <v>Filtro Combustible Full Pro Mac 70052020</v>
      </c>
      <c r="C5708" s="380" t="str">
        <f>IFERROR(__xludf.DUMMYFUNCTION("""COMPUTED_VALUE"""),"70001090")</f>
        <v>70001090</v>
      </c>
      <c r="D5708" s="380" t="s">
        <v>767</v>
      </c>
      <c r="E5708" s="380" t="s">
        <v>786</v>
      </c>
      <c r="F5708" s="380" t="s">
        <v>5855</v>
      </c>
      <c r="G5708" s="380" t="s">
        <v>1267</v>
      </c>
      <c r="H5708" s="380" t="s">
        <v>771</v>
      </c>
      <c r="I5708" s="380" t="s">
        <v>788</v>
      </c>
      <c r="J5708" s="380" t="s">
        <v>773</v>
      </c>
      <c r="K5708" s="381">
        <v>0.0</v>
      </c>
      <c r="L5708" s="382">
        <v>1.0</v>
      </c>
    </row>
    <row r="5709">
      <c r="A5709" s="380" t="s">
        <v>6583</v>
      </c>
      <c r="B5709" s="380" t="str">
        <f>IFERROR(__xludf.DUMMYFUNCTION("""COMPUTED_VALUE"""),"Tramo Madera 28x1220x2440mm")</f>
        <v>Tramo Madera 28x1220x2440mm</v>
      </c>
      <c r="C5709" s="380" t="str">
        <f>IFERROR(__xludf.DUMMYFUNCTION("""COMPUTED_VALUE"""),"70001091")</f>
        <v>70001091</v>
      </c>
      <c r="D5709" s="380" t="s">
        <v>767</v>
      </c>
      <c r="E5709" s="380" t="s">
        <v>786</v>
      </c>
      <c r="F5709" s="380" t="s">
        <v>792</v>
      </c>
      <c r="G5709" s="380" t="s">
        <v>1267</v>
      </c>
      <c r="H5709" s="380" t="s">
        <v>771</v>
      </c>
      <c r="I5709" s="380" t="s">
        <v>788</v>
      </c>
      <c r="J5709" s="380" t="s">
        <v>773</v>
      </c>
      <c r="K5709" s="381">
        <v>0.0</v>
      </c>
      <c r="L5709" s="382">
        <v>1.0</v>
      </c>
    </row>
    <row r="5710">
      <c r="A5710" s="380" t="s">
        <v>6584</v>
      </c>
      <c r="B5710" s="380" t="str">
        <f>IFERROR(__xludf.DUMMYFUNCTION("""COMPUTED_VALUE"""),"Interrup Indicador Neu Reward 8982421731")</f>
        <v>Interrup Indicador Neu Reward 8982421731</v>
      </c>
      <c r="C5710" s="380" t="str">
        <f>IFERROR(__xludf.DUMMYFUNCTION("""COMPUTED_VALUE"""),"70001092")</f>
        <v>70001092</v>
      </c>
      <c r="D5710" s="380" t="s">
        <v>767</v>
      </c>
      <c r="E5710" s="380" t="s">
        <v>786</v>
      </c>
      <c r="F5710" s="380" t="s">
        <v>998</v>
      </c>
      <c r="G5710" s="380" t="s">
        <v>1267</v>
      </c>
      <c r="H5710" s="380" t="s">
        <v>771</v>
      </c>
      <c r="I5710" s="380" t="s">
        <v>788</v>
      </c>
      <c r="J5710" s="380" t="s">
        <v>773</v>
      </c>
      <c r="K5710" s="381">
        <v>0.0</v>
      </c>
      <c r="L5710" s="382">
        <v>1.0</v>
      </c>
    </row>
    <row r="5711">
      <c r="A5711" s="380" t="s">
        <v>6585</v>
      </c>
      <c r="B5711" s="380" t="str">
        <f>IFERROR(__xludf.DUMMYFUNCTION("""COMPUTED_VALUE"""),"Rodillo Caja Nkr Redward HTF045.7.N")</f>
        <v>Rodillo Caja Nkr Redward HTF045.7.N</v>
      </c>
      <c r="C5711" s="380" t="str">
        <f>IFERROR(__xludf.DUMMYFUNCTION("""COMPUTED_VALUE"""),"70001093")</f>
        <v>70001093</v>
      </c>
      <c r="D5711" s="380" t="s">
        <v>767</v>
      </c>
      <c r="E5711" s="380" t="s">
        <v>786</v>
      </c>
      <c r="F5711" s="380" t="s">
        <v>928</v>
      </c>
      <c r="G5711" s="380" t="s">
        <v>1267</v>
      </c>
      <c r="H5711" s="380" t="s">
        <v>771</v>
      </c>
      <c r="I5711" s="380" t="s">
        <v>788</v>
      </c>
      <c r="J5711" s="380" t="s">
        <v>773</v>
      </c>
      <c r="K5711" s="381">
        <v>0.0</v>
      </c>
      <c r="L5711" s="382">
        <v>1.0</v>
      </c>
    </row>
    <row r="5712">
      <c r="A5712" s="380" t="s">
        <v>6586</v>
      </c>
      <c r="B5712" s="380" t="str">
        <f>IFERROR(__xludf.DUMMYFUNCTION("""COMPUTED_VALUE"""),"Tubo Entrada Agua Nkr Redward 8973816500")</f>
        <v>Tubo Entrada Agua Nkr Redward 8973816500</v>
      </c>
      <c r="C5712" s="380" t="str">
        <f>IFERROR(__xludf.DUMMYFUNCTION("""COMPUTED_VALUE"""),"70001094")</f>
        <v>70001094</v>
      </c>
      <c r="D5712" s="380" t="s">
        <v>767</v>
      </c>
      <c r="E5712" s="380" t="s">
        <v>786</v>
      </c>
      <c r="F5712" s="380" t="s">
        <v>787</v>
      </c>
      <c r="G5712" s="380" t="s">
        <v>1267</v>
      </c>
      <c r="H5712" s="380" t="s">
        <v>771</v>
      </c>
      <c r="I5712" s="380" t="s">
        <v>788</v>
      </c>
      <c r="J5712" s="380" t="s">
        <v>773</v>
      </c>
      <c r="K5712" s="381">
        <v>0.0</v>
      </c>
      <c r="L5712" s="382">
        <v>1.0</v>
      </c>
    </row>
    <row r="5713">
      <c r="A5713" s="380" t="s">
        <v>6587</v>
      </c>
      <c r="B5713" s="380" t="str">
        <f>IFERROR(__xludf.DUMMYFUNCTION("""COMPUTED_VALUE"""),"Caña Direc Parte Inferior N-200 23913667")</f>
        <v>Caña Direc Parte Inferior N-200 23913667</v>
      </c>
      <c r="C5713" s="380" t="str">
        <f>IFERROR(__xludf.DUMMYFUNCTION("""COMPUTED_VALUE"""),"70001095")</f>
        <v>70001095</v>
      </c>
      <c r="D5713" s="380" t="s">
        <v>767</v>
      </c>
      <c r="E5713" s="380" t="s">
        <v>786</v>
      </c>
      <c r="F5713" s="380" t="s">
        <v>1020</v>
      </c>
      <c r="G5713" s="380" t="s">
        <v>1267</v>
      </c>
      <c r="H5713" s="380" t="s">
        <v>771</v>
      </c>
      <c r="I5713" s="380" t="s">
        <v>788</v>
      </c>
      <c r="J5713" s="380" t="s">
        <v>773</v>
      </c>
      <c r="K5713" s="381">
        <v>0.0</v>
      </c>
      <c r="L5713" s="382">
        <v>1.0</v>
      </c>
    </row>
    <row r="5714">
      <c r="A5714" s="380" t="s">
        <v>6588</v>
      </c>
      <c r="B5714" s="380" t="str">
        <f>IFERROR(__xludf.DUMMYFUNCTION("""COMPUTED_VALUE"""),"Kit Sellos Inyector Isx 402506300")</f>
        <v>Kit Sellos Inyector Isx 402506300</v>
      </c>
      <c r="C5714" s="380" t="str">
        <f>IFERROR(__xludf.DUMMYFUNCTION("""COMPUTED_VALUE"""),"70001096")</f>
        <v>70001096</v>
      </c>
      <c r="D5714" s="380" t="s">
        <v>767</v>
      </c>
      <c r="E5714" s="380" t="s">
        <v>786</v>
      </c>
      <c r="F5714" s="380" t="s">
        <v>787</v>
      </c>
      <c r="G5714" s="380" t="s">
        <v>1267</v>
      </c>
      <c r="H5714" s="380" t="s">
        <v>771</v>
      </c>
      <c r="I5714" s="380" t="s">
        <v>788</v>
      </c>
      <c r="J5714" s="380" t="s">
        <v>773</v>
      </c>
      <c r="K5714" s="381">
        <v>0.0</v>
      </c>
      <c r="L5714" s="382">
        <v>1.0</v>
      </c>
    </row>
    <row r="5715">
      <c r="A5715" s="380" t="s">
        <v>6589</v>
      </c>
      <c r="B5715" s="380" t="str">
        <f>IFERROR(__xludf.DUMMYFUNCTION("""COMPUTED_VALUE"""),"Kit Enfriador De Aceite Kewort 289230400")</f>
        <v>Kit Enfriador De Aceite Kewort 289230400</v>
      </c>
      <c r="C5715" s="380" t="str">
        <f>IFERROR(__xludf.DUMMYFUNCTION("""COMPUTED_VALUE"""),"70001097")</f>
        <v>70001097</v>
      </c>
      <c r="D5715" s="380" t="s">
        <v>767</v>
      </c>
      <c r="E5715" s="380" t="s">
        <v>786</v>
      </c>
      <c r="F5715" s="380" t="s">
        <v>787</v>
      </c>
      <c r="G5715" s="380" t="s">
        <v>1267</v>
      </c>
      <c r="H5715" s="380" t="s">
        <v>771</v>
      </c>
      <c r="I5715" s="380" t="s">
        <v>788</v>
      </c>
      <c r="J5715" s="380" t="s">
        <v>773</v>
      </c>
      <c r="K5715" s="381">
        <v>0.0</v>
      </c>
      <c r="L5715" s="382">
        <v>1.0</v>
      </c>
    </row>
    <row r="5716">
      <c r="A5716" s="380" t="s">
        <v>6590</v>
      </c>
      <c r="B5716" s="380" t="str">
        <f>IFERROR(__xludf.DUMMYFUNCTION("""COMPUTED_VALUE"""),"Kit Piston Motor Isx 4376241")</f>
        <v>Kit Piston Motor Isx 4376241</v>
      </c>
      <c r="C5716" s="380" t="str">
        <f>IFERROR(__xludf.DUMMYFUNCTION("""COMPUTED_VALUE"""),"70001098")</f>
        <v>70001098</v>
      </c>
      <c r="D5716" s="380" t="s">
        <v>767</v>
      </c>
      <c r="E5716" s="380" t="s">
        <v>786</v>
      </c>
      <c r="F5716" s="380" t="s">
        <v>787</v>
      </c>
      <c r="G5716" s="380" t="s">
        <v>1267</v>
      </c>
      <c r="H5716" s="380" t="s">
        <v>771</v>
      </c>
      <c r="I5716" s="380" t="s">
        <v>788</v>
      </c>
      <c r="J5716" s="380" t="s">
        <v>773</v>
      </c>
      <c r="K5716" s="381">
        <v>0.0</v>
      </c>
      <c r="L5716" s="382">
        <v>1.0</v>
      </c>
    </row>
    <row r="5717">
      <c r="A5717" s="380" t="s">
        <v>6591</v>
      </c>
      <c r="B5717" s="380" t="str">
        <f>IFERROR(__xludf.DUMMYFUNCTION("""COMPUTED_VALUE"""),"Kit Bujes Motor Isx 4309097")</f>
        <v>Kit Bujes Motor Isx 4309097</v>
      </c>
      <c r="C5717" s="380" t="str">
        <f>IFERROR(__xludf.DUMMYFUNCTION("""COMPUTED_VALUE"""),"70001099")</f>
        <v>70001099</v>
      </c>
      <c r="D5717" s="380" t="s">
        <v>767</v>
      </c>
      <c r="E5717" s="380" t="s">
        <v>786</v>
      </c>
      <c r="F5717" s="380" t="s">
        <v>787</v>
      </c>
      <c r="G5717" s="380" t="s">
        <v>1267</v>
      </c>
      <c r="H5717" s="380" t="s">
        <v>771</v>
      </c>
      <c r="I5717" s="380" t="s">
        <v>788</v>
      </c>
      <c r="J5717" s="380" t="s">
        <v>773</v>
      </c>
      <c r="K5717" s="381">
        <v>0.0</v>
      </c>
      <c r="L5717" s="382">
        <v>1.0</v>
      </c>
    </row>
    <row r="5718">
      <c r="A5718" s="380" t="s">
        <v>6592</v>
      </c>
      <c r="B5718" s="380" t="str">
        <f>IFERROR(__xludf.DUMMYFUNCTION("""COMPUTED_VALUE"""),"Cauchos Camisa Motor Isx Azul 3685234")</f>
        <v>Cauchos Camisa Motor Isx Azul 3685234</v>
      </c>
      <c r="C5718" s="380" t="str">
        <f>IFERROR(__xludf.DUMMYFUNCTION("""COMPUTED_VALUE"""),"70001100")</f>
        <v>70001100</v>
      </c>
      <c r="D5718" s="380" t="s">
        <v>767</v>
      </c>
      <c r="E5718" s="380" t="s">
        <v>786</v>
      </c>
      <c r="F5718" s="380" t="s">
        <v>787</v>
      </c>
      <c r="G5718" s="380" t="s">
        <v>1267</v>
      </c>
      <c r="H5718" s="380" t="s">
        <v>771</v>
      </c>
      <c r="I5718" s="380" t="s">
        <v>788</v>
      </c>
      <c r="J5718" s="380" t="s">
        <v>773</v>
      </c>
      <c r="K5718" s="381">
        <v>0.0</v>
      </c>
      <c r="L5718" s="382">
        <v>1.0</v>
      </c>
    </row>
    <row r="5719">
      <c r="A5719" s="380" t="s">
        <v>6593</v>
      </c>
      <c r="B5719" s="380" t="str">
        <f>IFERROR(__xludf.DUMMYFUNCTION("""COMPUTED_VALUE"""),"Kit Casqueteria Motor Isx 2882087")</f>
        <v>Kit Casqueteria Motor Isx 2882087</v>
      </c>
      <c r="C5719" s="380" t="str">
        <f>IFERROR(__xludf.DUMMYFUNCTION("""COMPUTED_VALUE"""),"70001101")</f>
        <v>70001101</v>
      </c>
      <c r="D5719" s="380" t="s">
        <v>767</v>
      </c>
      <c r="E5719" s="380" t="s">
        <v>786</v>
      </c>
      <c r="F5719" s="380" t="s">
        <v>787</v>
      </c>
      <c r="G5719" s="380" t="s">
        <v>1267</v>
      </c>
      <c r="H5719" s="380" t="s">
        <v>771</v>
      </c>
      <c r="I5719" s="380" t="s">
        <v>788</v>
      </c>
      <c r="J5719" s="380" t="s">
        <v>773</v>
      </c>
      <c r="K5719" s="381">
        <v>0.0</v>
      </c>
      <c r="L5719" s="382">
        <v>1.0</v>
      </c>
    </row>
    <row r="5720">
      <c r="A5720" s="380" t="s">
        <v>6594</v>
      </c>
      <c r="B5720" s="380" t="str">
        <f>IFERROR(__xludf.DUMMYFUNCTION("""COMPUTED_VALUE"""),"Tuerca Eje Corred Trans Npr 3973604100")</f>
        <v>Tuerca Eje Corred Trans Npr 3973604100</v>
      </c>
      <c r="C5720" s="380" t="str">
        <f>IFERROR(__xludf.DUMMYFUNCTION("""COMPUTED_VALUE"""),"70001102")</f>
        <v>70001102</v>
      </c>
      <c r="D5720" s="380" t="s">
        <v>767</v>
      </c>
      <c r="E5720" s="380" t="s">
        <v>786</v>
      </c>
      <c r="F5720" s="380" t="s">
        <v>5683</v>
      </c>
      <c r="G5720" s="380" t="s">
        <v>1267</v>
      </c>
      <c r="H5720" s="380" t="s">
        <v>771</v>
      </c>
      <c r="I5720" s="380" t="s">
        <v>788</v>
      </c>
      <c r="J5720" s="380" t="s">
        <v>773</v>
      </c>
      <c r="K5720" s="381">
        <v>0.0</v>
      </c>
      <c r="L5720" s="382">
        <v>1.0</v>
      </c>
    </row>
    <row r="5721">
      <c r="A5721" s="380" t="s">
        <v>6595</v>
      </c>
      <c r="B5721" s="380" t="str">
        <f>IFERROR(__xludf.DUMMYFUNCTION("""COMPUTED_VALUE"""),"Kit Camisa Motor Isx Kw T-800 4376392")</f>
        <v>Kit Camisa Motor Isx Kw T-800 4376392</v>
      </c>
      <c r="C5721" s="380" t="str">
        <f>IFERROR(__xludf.DUMMYFUNCTION("""COMPUTED_VALUE"""),"70001103")</f>
        <v>70001103</v>
      </c>
      <c r="D5721" s="380" t="s">
        <v>767</v>
      </c>
      <c r="E5721" s="380" t="s">
        <v>786</v>
      </c>
      <c r="F5721" s="380" t="s">
        <v>787</v>
      </c>
      <c r="G5721" s="380" t="s">
        <v>1267</v>
      </c>
      <c r="H5721" s="380" t="s">
        <v>771</v>
      </c>
      <c r="I5721" s="380" t="s">
        <v>788</v>
      </c>
      <c r="J5721" s="380" t="s">
        <v>773</v>
      </c>
      <c r="K5721" s="381">
        <v>0.0</v>
      </c>
      <c r="L5721" s="382">
        <v>1.0</v>
      </c>
    </row>
    <row r="5722">
      <c r="A5722" s="380" t="s">
        <v>6596</v>
      </c>
      <c r="B5722" s="380" t="str">
        <f>IFERROR(__xludf.DUMMYFUNCTION("""COMPUTED_VALUE"""),"Barra Direccion Corta Hino300 4544039216")</f>
        <v>Barra Direccion Corta Hino300 4544039216</v>
      </c>
      <c r="C5722" s="380" t="str">
        <f>IFERROR(__xludf.DUMMYFUNCTION("""COMPUTED_VALUE"""),"70001104")</f>
        <v>70001104</v>
      </c>
      <c r="D5722" s="380" t="s">
        <v>767</v>
      </c>
      <c r="E5722" s="380" t="s">
        <v>786</v>
      </c>
      <c r="F5722" s="380" t="s">
        <v>1020</v>
      </c>
      <c r="G5722" s="380" t="s">
        <v>1267</v>
      </c>
      <c r="H5722" s="380" t="s">
        <v>771</v>
      </c>
      <c r="I5722" s="380" t="s">
        <v>788</v>
      </c>
      <c r="J5722" s="380" t="s">
        <v>773</v>
      </c>
      <c r="K5722" s="381">
        <v>460000.0</v>
      </c>
      <c r="L5722" s="382">
        <v>1.0</v>
      </c>
    </row>
    <row r="5723">
      <c r="A5723" s="380" t="s">
        <v>6597</v>
      </c>
      <c r="B5723" s="380" t="str">
        <f>IFERROR(__xludf.DUMMYFUNCTION("""COMPUTED_VALUE"""),"Abrazadera Cremallera 40")</f>
        <v>Abrazadera Cremallera 40</v>
      </c>
      <c r="C5723" s="380" t="str">
        <f>IFERROR(__xludf.DUMMYFUNCTION("""COMPUTED_VALUE"""),"70001105")</f>
        <v>70001105</v>
      </c>
      <c r="D5723" s="380" t="s">
        <v>767</v>
      </c>
      <c r="E5723" s="380" t="s">
        <v>786</v>
      </c>
      <c r="F5723" s="380" t="s">
        <v>989</v>
      </c>
      <c r="G5723" s="380" t="s">
        <v>1267</v>
      </c>
      <c r="H5723" s="380" t="s">
        <v>771</v>
      </c>
      <c r="I5723" s="380" t="s">
        <v>788</v>
      </c>
      <c r="J5723" s="380" t="s">
        <v>773</v>
      </c>
      <c r="K5723" s="381">
        <v>3927.0</v>
      </c>
      <c r="L5723" s="382">
        <v>1.0</v>
      </c>
    </row>
    <row r="5724">
      <c r="A5724" s="380" t="s">
        <v>6598</v>
      </c>
      <c r="B5724" s="380" t="str">
        <f>IFERROR(__xludf.DUMMYFUNCTION("""COMPUTED_VALUE"""),"Medidor De Combustible Prostar3864401C91")</f>
        <v>Medidor De Combustible Prostar3864401C91</v>
      </c>
      <c r="C5724" s="380" t="str">
        <f>IFERROR(__xludf.DUMMYFUNCTION("""COMPUTED_VALUE"""),"70001106")</f>
        <v>70001106</v>
      </c>
      <c r="D5724" s="380" t="s">
        <v>767</v>
      </c>
      <c r="E5724" s="380" t="s">
        <v>786</v>
      </c>
      <c r="F5724" s="380" t="s">
        <v>998</v>
      </c>
      <c r="G5724" s="380" t="s">
        <v>1267</v>
      </c>
      <c r="H5724" s="380" t="s">
        <v>771</v>
      </c>
      <c r="I5724" s="380" t="s">
        <v>788</v>
      </c>
      <c r="J5724" s="380" t="s">
        <v>773</v>
      </c>
      <c r="K5724" s="381">
        <v>0.0</v>
      </c>
      <c r="L5724" s="382">
        <v>1.0</v>
      </c>
    </row>
    <row r="5725">
      <c r="A5725" s="380" t="s">
        <v>6599</v>
      </c>
      <c r="B5725" s="380" t="str">
        <f>IFERROR(__xludf.DUMMYFUNCTION("""COMPUTED_VALUE"""),"Filtro Aceite Nhr Nkr Con Turb5876100210")</f>
        <v>Filtro Aceite Nhr Nkr Con Turb5876100210</v>
      </c>
      <c r="C5725" s="380" t="str">
        <f>IFERROR(__xludf.DUMMYFUNCTION("""COMPUTED_VALUE"""),"70001107")</f>
        <v>70001107</v>
      </c>
      <c r="D5725" s="380" t="s">
        <v>767</v>
      </c>
      <c r="E5725" s="380" t="s">
        <v>786</v>
      </c>
      <c r="F5725" s="380" t="s">
        <v>5855</v>
      </c>
      <c r="G5725" s="380" t="s">
        <v>1267</v>
      </c>
      <c r="H5725" s="380" t="s">
        <v>771</v>
      </c>
      <c r="I5725" s="380" t="s">
        <v>788</v>
      </c>
      <c r="J5725" s="380" t="s">
        <v>773</v>
      </c>
      <c r="K5725" s="381">
        <v>84751.0</v>
      </c>
      <c r="L5725" s="382">
        <v>1.0</v>
      </c>
    </row>
    <row r="5726">
      <c r="A5726" s="380" t="s">
        <v>6600</v>
      </c>
      <c r="B5726" s="380" t="str">
        <f>IFERROR(__xludf.DUMMYFUNCTION("""COMPUTED_VALUE"""),"Valvula Pcv Aire Motor Van N200 24516476")</f>
        <v>Valvula Pcv Aire Motor Van N200 24516476</v>
      </c>
      <c r="C5726" s="380" t="str">
        <f>IFERROR(__xludf.DUMMYFUNCTION("""COMPUTED_VALUE"""),"70001108")</f>
        <v>70001108</v>
      </c>
      <c r="D5726" s="380" t="s">
        <v>767</v>
      </c>
      <c r="E5726" s="380" t="s">
        <v>786</v>
      </c>
      <c r="F5726" s="380" t="s">
        <v>787</v>
      </c>
      <c r="G5726" s="380" t="s">
        <v>1267</v>
      </c>
      <c r="H5726" s="380" t="s">
        <v>771</v>
      </c>
      <c r="I5726" s="380" t="s">
        <v>788</v>
      </c>
      <c r="J5726" s="380" t="s">
        <v>773</v>
      </c>
      <c r="K5726" s="381">
        <v>0.0</v>
      </c>
      <c r="L5726" s="382">
        <v>1.0</v>
      </c>
    </row>
    <row r="5727">
      <c r="A5727" s="380" t="s">
        <v>6601</v>
      </c>
      <c r="B5727" s="380" t="str">
        <f>IFERROR(__xludf.DUMMYFUNCTION("""COMPUTED_VALUE"""),"Amortig Tras Motofurgon 3W180 1023504867")</f>
        <v>Amortig Tras Motofurgon 3W180 1023504867</v>
      </c>
      <c r="C5727" s="380" t="str">
        <f>IFERROR(__xludf.DUMMYFUNCTION("""COMPUTED_VALUE"""),"70001109")</f>
        <v>70001109</v>
      </c>
      <c r="D5727" s="380" t="s">
        <v>767</v>
      </c>
      <c r="E5727" s="380" t="s">
        <v>786</v>
      </c>
      <c r="F5727" s="380" t="s">
        <v>1039</v>
      </c>
      <c r="G5727" s="380" t="s">
        <v>1267</v>
      </c>
      <c r="H5727" s="380" t="s">
        <v>771</v>
      </c>
      <c r="I5727" s="380" t="s">
        <v>788</v>
      </c>
      <c r="J5727" s="380" t="s">
        <v>773</v>
      </c>
      <c r="K5727" s="381">
        <v>0.0</v>
      </c>
      <c r="L5727" s="382">
        <v>1.0</v>
      </c>
    </row>
    <row r="5728">
      <c r="A5728" s="380" t="s">
        <v>6602</v>
      </c>
      <c r="B5728" s="380" t="str">
        <f>IFERROR(__xludf.DUMMYFUNCTION("""COMPUTED_VALUE"""),"Correa Motor 6BT Planta Electrica3911560")</f>
        <v>Correa Motor 6BT Planta Electrica3911560</v>
      </c>
      <c r="C5728" s="380" t="str">
        <f>IFERROR(__xludf.DUMMYFUNCTION("""COMPUTED_VALUE"""),"70001110")</f>
        <v>70001110</v>
      </c>
      <c r="D5728" s="380" t="s">
        <v>767</v>
      </c>
      <c r="E5728" s="380" t="s">
        <v>786</v>
      </c>
      <c r="F5728" s="380" t="s">
        <v>787</v>
      </c>
      <c r="G5728" s="380" t="s">
        <v>1267</v>
      </c>
      <c r="H5728" s="380" t="s">
        <v>771</v>
      </c>
      <c r="I5728" s="380" t="s">
        <v>788</v>
      </c>
      <c r="J5728" s="380" t="s">
        <v>773</v>
      </c>
      <c r="K5728" s="381">
        <v>0.0</v>
      </c>
      <c r="L5728" s="382">
        <v>1.0</v>
      </c>
    </row>
    <row r="5729">
      <c r="A5729" s="380" t="s">
        <v>6603</v>
      </c>
      <c r="B5729" s="380" t="str">
        <f>IFERROR(__xludf.DUMMYFUNCTION("""COMPUTED_VALUE"""),"Empaq Vidrio Panor Hino Dutro 5612125040")</f>
        <v>Empaq Vidrio Panor Hino Dutro 5612125040</v>
      </c>
      <c r="C5729" s="380" t="str">
        <f>IFERROR(__xludf.DUMMYFUNCTION("""COMPUTED_VALUE"""),"70001111")</f>
        <v>70001111</v>
      </c>
      <c r="D5729" s="380" t="s">
        <v>767</v>
      </c>
      <c r="E5729" s="380" t="s">
        <v>786</v>
      </c>
      <c r="F5729" s="380" t="s">
        <v>792</v>
      </c>
      <c r="G5729" s="380" t="s">
        <v>1267</v>
      </c>
      <c r="H5729" s="380" t="s">
        <v>771</v>
      </c>
      <c r="I5729" s="380" t="s">
        <v>788</v>
      </c>
      <c r="J5729" s="380" t="s">
        <v>773</v>
      </c>
      <c r="K5729" s="381">
        <v>0.0</v>
      </c>
      <c r="L5729" s="382">
        <v>1.0</v>
      </c>
    </row>
    <row r="5730">
      <c r="A5730" s="380" t="s">
        <v>6604</v>
      </c>
      <c r="B5730" s="380" t="str">
        <f>IFERROR(__xludf.DUMMYFUNCTION("""COMPUTED_VALUE"""),"Soporte Motor Izq N200 24539460")</f>
        <v>Soporte Motor Izq N200 24539460</v>
      </c>
      <c r="C5730" s="380" t="str">
        <f>IFERROR(__xludf.DUMMYFUNCTION("""COMPUTED_VALUE"""),"70001112")</f>
        <v>70001112</v>
      </c>
      <c r="D5730" s="380" t="s">
        <v>767</v>
      </c>
      <c r="E5730" s="380" t="s">
        <v>786</v>
      </c>
      <c r="F5730" s="380" t="s">
        <v>787</v>
      </c>
      <c r="G5730" s="380" t="s">
        <v>1267</v>
      </c>
      <c r="H5730" s="380" t="s">
        <v>771</v>
      </c>
      <c r="I5730" s="380" t="s">
        <v>788</v>
      </c>
      <c r="J5730" s="380" t="s">
        <v>773</v>
      </c>
      <c r="K5730" s="381">
        <v>0.0</v>
      </c>
      <c r="L5730" s="382">
        <v>1.0</v>
      </c>
    </row>
    <row r="5731">
      <c r="A5731" s="380" t="s">
        <v>6605</v>
      </c>
      <c r="B5731" s="380" t="str">
        <f>IFERROR(__xludf.DUMMYFUNCTION("""COMPUTED_VALUE"""),"Bomba Freno Ssabs Mt Master 7701208176")</f>
        <v>Bomba Freno Ssabs Mt Master 7701208176</v>
      </c>
      <c r="C5731" s="380" t="str">
        <f>IFERROR(__xludf.DUMMYFUNCTION("""COMPUTED_VALUE"""),"70001113")</f>
        <v>70001113</v>
      </c>
      <c r="D5731" s="380" t="s">
        <v>767</v>
      </c>
      <c r="E5731" s="380" t="s">
        <v>786</v>
      </c>
      <c r="F5731" s="380" t="s">
        <v>1017</v>
      </c>
      <c r="G5731" s="380" t="s">
        <v>1267</v>
      </c>
      <c r="H5731" s="380" t="s">
        <v>771</v>
      </c>
      <c r="I5731" s="380" t="s">
        <v>788</v>
      </c>
      <c r="J5731" s="380" t="s">
        <v>773</v>
      </c>
      <c r="K5731" s="381">
        <v>641320.0</v>
      </c>
      <c r="L5731" s="382">
        <v>1.0</v>
      </c>
    </row>
    <row r="5732">
      <c r="A5732" s="380" t="s">
        <v>6606</v>
      </c>
      <c r="B5732" s="380" t="str">
        <f>IFERROR(__xludf.DUMMYFUNCTION("""COMPUTED_VALUE"""),"Polea Cigueñal Motor R Master 8200802666")</f>
        <v>Polea Cigueñal Motor R Master 8200802666</v>
      </c>
      <c r="C5732" s="380" t="str">
        <f>IFERROR(__xludf.DUMMYFUNCTION("""COMPUTED_VALUE"""),"70001114")</f>
        <v>70001114</v>
      </c>
      <c r="D5732" s="380" t="s">
        <v>767</v>
      </c>
      <c r="E5732" s="380" t="s">
        <v>786</v>
      </c>
      <c r="F5732" s="380" t="s">
        <v>787</v>
      </c>
      <c r="G5732" s="380" t="s">
        <v>1267</v>
      </c>
      <c r="H5732" s="380" t="s">
        <v>771</v>
      </c>
      <c r="I5732" s="380" t="s">
        <v>788</v>
      </c>
      <c r="J5732" s="380" t="s">
        <v>773</v>
      </c>
      <c r="K5732" s="381">
        <v>0.0</v>
      </c>
      <c r="L5732" s="382">
        <v>1.0</v>
      </c>
    </row>
    <row r="5733">
      <c r="A5733" s="380" t="s">
        <v>6607</v>
      </c>
      <c r="B5733" s="380" t="str">
        <f>IFERROR(__xludf.DUMMYFUNCTION("""COMPUTED_VALUE"""),"Valvula Susp Cabina Prostar 2591915C1")</f>
        <v>Valvula Susp Cabina Prostar 2591915C1</v>
      </c>
      <c r="C5733" s="380" t="str">
        <f>IFERROR(__xludf.DUMMYFUNCTION("""COMPUTED_VALUE"""),"70001115")</f>
        <v>70001115</v>
      </c>
      <c r="D5733" s="380" t="s">
        <v>767</v>
      </c>
      <c r="E5733" s="380" t="s">
        <v>786</v>
      </c>
      <c r="F5733" s="380" t="s">
        <v>792</v>
      </c>
      <c r="G5733" s="380" t="s">
        <v>1267</v>
      </c>
      <c r="H5733" s="380" t="s">
        <v>771</v>
      </c>
      <c r="I5733" s="380" t="s">
        <v>788</v>
      </c>
      <c r="J5733" s="380" t="s">
        <v>773</v>
      </c>
      <c r="K5733" s="381">
        <v>0.0</v>
      </c>
      <c r="L5733" s="382">
        <v>1.0</v>
      </c>
    </row>
    <row r="5734">
      <c r="A5734" s="380" t="s">
        <v>6608</v>
      </c>
      <c r="B5734" s="380" t="str">
        <f>IFERROR(__xludf.DUMMYFUNCTION("""COMPUTED_VALUE"""),"Bisel Manija Puerta Izq Prostar3613326C2")</f>
        <v>Bisel Manija Puerta Izq Prostar3613326C2</v>
      </c>
      <c r="C5734" s="380" t="str">
        <f>IFERROR(__xludf.DUMMYFUNCTION("""COMPUTED_VALUE"""),"70001116")</f>
        <v>70001116</v>
      </c>
      <c r="D5734" s="380" t="s">
        <v>767</v>
      </c>
      <c r="E5734" s="380" t="s">
        <v>786</v>
      </c>
      <c r="F5734" s="380" t="s">
        <v>792</v>
      </c>
      <c r="G5734" s="380" t="s">
        <v>1267</v>
      </c>
      <c r="H5734" s="380" t="s">
        <v>771</v>
      </c>
      <c r="I5734" s="380" t="s">
        <v>788</v>
      </c>
      <c r="J5734" s="380" t="s">
        <v>773</v>
      </c>
      <c r="K5734" s="381">
        <v>0.0</v>
      </c>
      <c r="L5734" s="382">
        <v>1.0</v>
      </c>
    </row>
    <row r="5735">
      <c r="A5735" s="380" t="s">
        <v>6609</v>
      </c>
      <c r="B5735" s="380" t="str">
        <f>IFERROR(__xludf.DUMMYFUNCTION("""COMPUTED_VALUE"""),"Buje Eje Horquilla Van N200 24555398")</f>
        <v>Buje Eje Horquilla Van N200 24555398</v>
      </c>
      <c r="C5735" s="380" t="str">
        <f>IFERROR(__xludf.DUMMYFUNCTION("""COMPUTED_VALUE"""),"70001117")</f>
        <v>70001117</v>
      </c>
      <c r="D5735" s="380" t="s">
        <v>767</v>
      </c>
      <c r="E5735" s="380" t="s">
        <v>786</v>
      </c>
      <c r="F5735" s="380" t="s">
        <v>928</v>
      </c>
      <c r="G5735" s="380" t="s">
        <v>1267</v>
      </c>
      <c r="H5735" s="380" t="s">
        <v>771</v>
      </c>
      <c r="I5735" s="380" t="s">
        <v>788</v>
      </c>
      <c r="J5735" s="380" t="s">
        <v>773</v>
      </c>
      <c r="K5735" s="381">
        <v>0.0</v>
      </c>
      <c r="L5735" s="382">
        <v>1.0</v>
      </c>
    </row>
    <row r="5736">
      <c r="A5736" s="380" t="s">
        <v>6610</v>
      </c>
      <c r="B5736" s="380" t="str">
        <f>IFERROR(__xludf.DUMMYFUNCTION("""COMPUTED_VALUE"""),"Bombona Susp Cabina Prostar 2591909C2")</f>
        <v>Bombona Susp Cabina Prostar 2591909C2</v>
      </c>
      <c r="C5736" s="380" t="str">
        <f>IFERROR(__xludf.DUMMYFUNCTION("""COMPUTED_VALUE"""),"70001118")</f>
        <v>70001118</v>
      </c>
      <c r="D5736" s="380" t="s">
        <v>767</v>
      </c>
      <c r="E5736" s="380" t="s">
        <v>786</v>
      </c>
      <c r="F5736" s="380" t="s">
        <v>792</v>
      </c>
      <c r="G5736" s="380" t="s">
        <v>1267</v>
      </c>
      <c r="H5736" s="380" t="s">
        <v>771</v>
      </c>
      <c r="I5736" s="380" t="s">
        <v>788</v>
      </c>
      <c r="J5736" s="380" t="s">
        <v>773</v>
      </c>
      <c r="K5736" s="381">
        <v>548419.0</v>
      </c>
      <c r="L5736" s="382">
        <v>1.0</v>
      </c>
    </row>
    <row r="5737">
      <c r="A5737" s="380" t="s">
        <v>6611</v>
      </c>
      <c r="B5737" s="380" t="str">
        <f>IFERROR(__xludf.DUMMYFUNCTION("""COMPUTED_VALUE"""),"Filtro Combustible Mack 20972295")</f>
        <v>Filtro Combustible Mack 20972295</v>
      </c>
      <c r="C5737" s="380" t="str">
        <f>IFERROR(__xludf.DUMMYFUNCTION("""COMPUTED_VALUE"""),"70001119")</f>
        <v>70001119</v>
      </c>
      <c r="D5737" s="380" t="s">
        <v>767</v>
      </c>
      <c r="E5737" s="380" t="s">
        <v>786</v>
      </c>
      <c r="F5737" s="380" t="s">
        <v>5855</v>
      </c>
      <c r="G5737" s="380" t="s">
        <v>1267</v>
      </c>
      <c r="H5737" s="380" t="s">
        <v>771</v>
      </c>
      <c r="I5737" s="380" t="s">
        <v>788</v>
      </c>
      <c r="J5737" s="380" t="s">
        <v>773</v>
      </c>
      <c r="K5737" s="381">
        <v>160800.0</v>
      </c>
      <c r="L5737" s="382">
        <v>1.0</v>
      </c>
    </row>
    <row r="5738">
      <c r="A5738" s="380" t="s">
        <v>6612</v>
      </c>
      <c r="B5738" s="380" t="str">
        <f>IFERROR(__xludf.DUMMYFUNCTION("""COMPUTED_VALUE"""),"Filtro Aceite Mack 21707135")</f>
        <v>Filtro Aceite Mack 21707135</v>
      </c>
      <c r="C5738" s="380" t="str">
        <f>IFERROR(__xludf.DUMMYFUNCTION("""COMPUTED_VALUE"""),"70001120")</f>
        <v>70001120</v>
      </c>
      <c r="D5738" s="380" t="s">
        <v>767</v>
      </c>
      <c r="E5738" s="380" t="s">
        <v>786</v>
      </c>
      <c r="F5738" s="380" t="s">
        <v>5855</v>
      </c>
      <c r="G5738" s="380" t="s">
        <v>1267</v>
      </c>
      <c r="H5738" s="380" t="s">
        <v>771</v>
      </c>
      <c r="I5738" s="380" t="s">
        <v>788</v>
      </c>
      <c r="J5738" s="380" t="s">
        <v>773</v>
      </c>
      <c r="K5738" s="381">
        <v>136120.0</v>
      </c>
      <c r="L5738" s="382">
        <v>1.0</v>
      </c>
    </row>
    <row r="5739">
      <c r="A5739" s="380" t="s">
        <v>6613</v>
      </c>
      <c r="B5739" s="380" t="str">
        <f>IFERROR(__xludf.DUMMYFUNCTION("""COMPUTED_VALUE"""),"Filtro Aceite Mack 23658111 21707136")</f>
        <v>Filtro Aceite Mack 23658111 21707136</v>
      </c>
      <c r="C5739" s="380" t="str">
        <f>IFERROR(__xludf.DUMMYFUNCTION("""COMPUTED_VALUE"""),"70001121")</f>
        <v>70001121</v>
      </c>
      <c r="D5739" s="380" t="s">
        <v>767</v>
      </c>
      <c r="E5739" s="380" t="s">
        <v>786</v>
      </c>
      <c r="F5739" s="380" t="s">
        <v>5855</v>
      </c>
      <c r="G5739" s="380" t="s">
        <v>1267</v>
      </c>
      <c r="H5739" s="380" t="s">
        <v>771</v>
      </c>
      <c r="I5739" s="380" t="s">
        <v>788</v>
      </c>
      <c r="J5739" s="380" t="s">
        <v>773</v>
      </c>
      <c r="K5739" s="381">
        <v>110452.0</v>
      </c>
      <c r="L5739" s="382">
        <v>1.0</v>
      </c>
    </row>
    <row r="5740">
      <c r="A5740" s="380" t="s">
        <v>6614</v>
      </c>
      <c r="B5740" s="380" t="str">
        <f>IFERROR(__xludf.DUMMYFUNCTION("""COMPUTED_VALUE"""),"Empaq Metal Carcaz Dist Nkr Rw8979452980")</f>
        <v>Empaq Metal Carcaz Dist Nkr Rw8979452980</v>
      </c>
      <c r="C5740" s="380" t="str">
        <f>IFERROR(__xludf.DUMMYFUNCTION("""COMPUTED_VALUE"""),"70001122")</f>
        <v>70001122</v>
      </c>
      <c r="D5740" s="380" t="s">
        <v>767</v>
      </c>
      <c r="E5740" s="380" t="s">
        <v>786</v>
      </c>
      <c r="F5740" s="380" t="s">
        <v>787</v>
      </c>
      <c r="G5740" s="380" t="s">
        <v>1267</v>
      </c>
      <c r="H5740" s="380" t="s">
        <v>771</v>
      </c>
      <c r="I5740" s="380" t="s">
        <v>788</v>
      </c>
      <c r="J5740" s="380" t="s">
        <v>773</v>
      </c>
      <c r="K5740" s="381">
        <v>0.0</v>
      </c>
      <c r="L5740" s="382">
        <v>1.0</v>
      </c>
    </row>
    <row r="5741">
      <c r="A5741" s="380" t="s">
        <v>6615</v>
      </c>
      <c r="B5741" s="380" t="str">
        <f>IFERROR(__xludf.DUMMYFUNCTION("""COMPUTED_VALUE"""),"Filtro Aire AC Prostar 3670134C1")</f>
        <v>Filtro Aire AC Prostar 3670134C1</v>
      </c>
      <c r="C5741" s="380" t="str">
        <f>IFERROR(__xludf.DUMMYFUNCTION("""COMPUTED_VALUE"""),"70001123")</f>
        <v>70001123</v>
      </c>
      <c r="D5741" s="380" t="s">
        <v>767</v>
      </c>
      <c r="E5741" s="380" t="s">
        <v>786</v>
      </c>
      <c r="F5741" s="380" t="s">
        <v>5855</v>
      </c>
      <c r="G5741" s="380" t="s">
        <v>1267</v>
      </c>
      <c r="H5741" s="380" t="s">
        <v>771</v>
      </c>
      <c r="I5741" s="380" t="s">
        <v>788</v>
      </c>
      <c r="J5741" s="380" t="s">
        <v>773</v>
      </c>
      <c r="K5741" s="381">
        <v>98400.0</v>
      </c>
      <c r="L5741" s="382">
        <v>1.0</v>
      </c>
    </row>
    <row r="5742">
      <c r="A5742" s="380" t="s">
        <v>6616</v>
      </c>
      <c r="B5742" s="380" t="str">
        <f>IFERROR(__xludf.DUMMYFUNCTION("""COMPUTED_VALUE"""),"Rejilla Guardamofle Prostar 1647828C2")</f>
        <v>Rejilla Guardamofle Prostar 1647828C2</v>
      </c>
      <c r="C5742" s="380" t="str">
        <f>IFERROR(__xludf.DUMMYFUNCTION("""COMPUTED_VALUE"""),"70001124")</f>
        <v>70001124</v>
      </c>
      <c r="D5742" s="380" t="s">
        <v>767</v>
      </c>
      <c r="E5742" s="380" t="s">
        <v>786</v>
      </c>
      <c r="F5742" s="380" t="s">
        <v>792</v>
      </c>
      <c r="G5742" s="380" t="s">
        <v>1267</v>
      </c>
      <c r="H5742" s="380" t="s">
        <v>771</v>
      </c>
      <c r="I5742" s="380" t="s">
        <v>788</v>
      </c>
      <c r="J5742" s="380" t="s">
        <v>773</v>
      </c>
      <c r="K5742" s="381">
        <v>0.0</v>
      </c>
      <c r="L5742" s="382">
        <v>1.0</v>
      </c>
    </row>
    <row r="5743">
      <c r="A5743" s="380" t="s">
        <v>6617</v>
      </c>
      <c r="B5743" s="380" t="str">
        <f>IFERROR(__xludf.DUMMYFUNCTION("""COMPUTED_VALUE"""),"Tubo Escape Motor Nkr 8971026690")</f>
        <v>Tubo Escape Motor Nkr 8971026690</v>
      </c>
      <c r="C5743" s="380" t="str">
        <f>IFERROR(__xludf.DUMMYFUNCTION("""COMPUTED_VALUE"""),"70001125")</f>
        <v>70001125</v>
      </c>
      <c r="D5743" s="380" t="s">
        <v>767</v>
      </c>
      <c r="E5743" s="380" t="s">
        <v>786</v>
      </c>
      <c r="F5743" s="380" t="s">
        <v>787</v>
      </c>
      <c r="G5743" s="380" t="s">
        <v>1267</v>
      </c>
      <c r="H5743" s="380" t="s">
        <v>771</v>
      </c>
      <c r="I5743" s="380" t="s">
        <v>788</v>
      </c>
      <c r="J5743" s="380" t="s">
        <v>773</v>
      </c>
      <c r="K5743" s="381">
        <v>0.0</v>
      </c>
      <c r="L5743" s="382">
        <v>1.0</v>
      </c>
    </row>
    <row r="5744">
      <c r="A5744" s="380" t="s">
        <v>6618</v>
      </c>
      <c r="B5744" s="380" t="str">
        <f>IFERROR(__xludf.DUMMYFUNCTION("""COMPUTED_VALUE"""),"Hoja Resorte Trasera Eagle 59009/9")</f>
        <v>Hoja Resorte Trasera Eagle 59009/9</v>
      </c>
      <c r="C5744" s="380" t="str">
        <f>IFERROR(__xludf.DUMMYFUNCTION("""COMPUTED_VALUE"""),"70001126")</f>
        <v>70001126</v>
      </c>
      <c r="D5744" s="380" t="s">
        <v>767</v>
      </c>
      <c r="E5744" s="380" t="s">
        <v>786</v>
      </c>
      <c r="F5744" s="380" t="s">
        <v>1039</v>
      </c>
      <c r="G5744" s="380" t="s">
        <v>1267</v>
      </c>
      <c r="H5744" s="380" t="s">
        <v>771</v>
      </c>
      <c r="I5744" s="380" t="s">
        <v>788</v>
      </c>
      <c r="J5744" s="380" t="s">
        <v>773</v>
      </c>
      <c r="K5744" s="381">
        <v>0.0</v>
      </c>
      <c r="L5744" s="382">
        <v>1.0</v>
      </c>
    </row>
    <row r="5745">
      <c r="A5745" s="380" t="s">
        <v>6619</v>
      </c>
      <c r="B5745" s="380" t="str">
        <f>IFERROR(__xludf.DUMMYFUNCTION("""COMPUTED_VALUE"""),"Amort Susp Cab Prostar29910069 2595314C1")</f>
        <v>Amort Susp Cab Prostar29910069 2595314C1</v>
      </c>
      <c r="C5745" s="380" t="str">
        <f>IFERROR(__xludf.DUMMYFUNCTION("""COMPUTED_VALUE"""),"70001127")</f>
        <v>70001127</v>
      </c>
      <c r="D5745" s="380" t="s">
        <v>767</v>
      </c>
      <c r="E5745" s="380" t="s">
        <v>786</v>
      </c>
      <c r="F5745" s="380" t="s">
        <v>792</v>
      </c>
      <c r="G5745" s="380" t="s">
        <v>1267</v>
      </c>
      <c r="H5745" s="380" t="s">
        <v>771</v>
      </c>
      <c r="I5745" s="380" t="s">
        <v>788</v>
      </c>
      <c r="J5745" s="380" t="s">
        <v>773</v>
      </c>
      <c r="K5745" s="381">
        <v>0.0</v>
      </c>
      <c r="L5745" s="382">
        <v>1.0</v>
      </c>
    </row>
    <row r="5746">
      <c r="A5746" s="380" t="s">
        <v>6620</v>
      </c>
      <c r="B5746" s="380" t="str">
        <f>IFERROR(__xludf.DUMMYFUNCTION("""COMPUTED_VALUE"""),"Soporte Cabina Del Prostar 3595976C5")</f>
        <v>Soporte Cabina Del Prostar 3595976C5</v>
      </c>
      <c r="C5746" s="380" t="str">
        <f>IFERROR(__xludf.DUMMYFUNCTION("""COMPUTED_VALUE"""),"70001128")</f>
        <v>70001128</v>
      </c>
      <c r="D5746" s="380" t="s">
        <v>767</v>
      </c>
      <c r="E5746" s="380" t="s">
        <v>786</v>
      </c>
      <c r="F5746" s="380" t="s">
        <v>792</v>
      </c>
      <c r="G5746" s="380" t="s">
        <v>1267</v>
      </c>
      <c r="H5746" s="380" t="s">
        <v>771</v>
      </c>
      <c r="I5746" s="380" t="s">
        <v>788</v>
      </c>
      <c r="J5746" s="380" t="s">
        <v>773</v>
      </c>
      <c r="K5746" s="381">
        <v>233433.0</v>
      </c>
      <c r="L5746" s="382">
        <v>1.0</v>
      </c>
    </row>
    <row r="5747">
      <c r="A5747" s="380" t="s">
        <v>6621</v>
      </c>
      <c r="B5747" s="380" t="str">
        <f>IFERROR(__xludf.DUMMYFUNCTION("""COMPUTED_VALUE"""),"Cardan Completo Nhr Sin Turbo 95621659")</f>
        <v>Cardan Completo Nhr Sin Turbo 95621659</v>
      </c>
      <c r="C5747" s="380" t="str">
        <f>IFERROR(__xludf.DUMMYFUNCTION("""COMPUTED_VALUE"""),"70001129")</f>
        <v>70001129</v>
      </c>
      <c r="D5747" s="380" t="s">
        <v>767</v>
      </c>
      <c r="E5747" s="380" t="s">
        <v>786</v>
      </c>
      <c r="F5747" s="380" t="s">
        <v>5683</v>
      </c>
      <c r="G5747" s="380" t="s">
        <v>1267</v>
      </c>
      <c r="H5747" s="380" t="s">
        <v>771</v>
      </c>
      <c r="I5747" s="380" t="s">
        <v>788</v>
      </c>
      <c r="J5747" s="380" t="s">
        <v>773</v>
      </c>
      <c r="K5747" s="381">
        <v>0.0</v>
      </c>
      <c r="L5747" s="382">
        <v>1.0</v>
      </c>
    </row>
    <row r="5748">
      <c r="A5748" s="380" t="s">
        <v>6622</v>
      </c>
      <c r="B5748" s="380" t="str">
        <f>IFERROR(__xludf.DUMMYFUNCTION("""COMPUTED_VALUE"""),"Barra Templete Tandem Mack 3972682")</f>
        <v>Barra Templete Tandem Mack 3972682</v>
      </c>
      <c r="C5748" s="380" t="str">
        <f>IFERROR(__xludf.DUMMYFUNCTION("""COMPUTED_VALUE"""),"70001130")</f>
        <v>70001130</v>
      </c>
      <c r="D5748" s="380" t="s">
        <v>767</v>
      </c>
      <c r="E5748" s="380" t="s">
        <v>786</v>
      </c>
      <c r="F5748" s="380" t="s">
        <v>1039</v>
      </c>
      <c r="G5748" s="380" t="s">
        <v>1267</v>
      </c>
      <c r="H5748" s="380" t="s">
        <v>771</v>
      </c>
      <c r="I5748" s="380" t="s">
        <v>788</v>
      </c>
      <c r="J5748" s="380" t="s">
        <v>773</v>
      </c>
      <c r="K5748" s="381">
        <v>0.0</v>
      </c>
      <c r="L5748" s="382">
        <v>1.0</v>
      </c>
    </row>
    <row r="5749">
      <c r="A5749" s="380" t="s">
        <v>6623</v>
      </c>
      <c r="B5749" s="380" t="str">
        <f>IFERROR(__xludf.DUMMYFUNCTION("""COMPUTED_VALUE"""),"Sensor Pres Aire De 0 A 150Psi Kw-Q21104")</f>
        <v>Sensor Pres Aire De 0 A 150Psi Kw-Q21104</v>
      </c>
      <c r="C5749" s="380" t="str">
        <f>IFERROR(__xludf.DUMMYFUNCTION("""COMPUTED_VALUE"""),"70001131")</f>
        <v>70001131</v>
      </c>
      <c r="D5749" s="380" t="s">
        <v>767</v>
      </c>
      <c r="E5749" s="380" t="s">
        <v>786</v>
      </c>
      <c r="F5749" s="380" t="s">
        <v>998</v>
      </c>
      <c r="G5749" s="380" t="s">
        <v>1267</v>
      </c>
      <c r="H5749" s="380" t="s">
        <v>771</v>
      </c>
      <c r="I5749" s="380" t="s">
        <v>788</v>
      </c>
      <c r="J5749" s="380" t="s">
        <v>773</v>
      </c>
      <c r="K5749" s="381">
        <v>0.0</v>
      </c>
      <c r="L5749" s="382">
        <v>1.0</v>
      </c>
    </row>
    <row r="5750">
      <c r="A5750" s="380" t="s">
        <v>6624</v>
      </c>
      <c r="B5750" s="380" t="str">
        <f>IFERROR(__xludf.DUMMYFUNCTION("""COMPUTED_VALUE"""),"Amortiguador Trasero Mack 65484")</f>
        <v>Amortiguador Trasero Mack 65484</v>
      </c>
      <c r="C5750" s="380" t="str">
        <f>IFERROR(__xludf.DUMMYFUNCTION("""COMPUTED_VALUE"""),"70001132")</f>
        <v>70001132</v>
      </c>
      <c r="D5750" s="380" t="s">
        <v>767</v>
      </c>
      <c r="E5750" s="380" t="s">
        <v>786</v>
      </c>
      <c r="F5750" s="380" t="s">
        <v>1039</v>
      </c>
      <c r="G5750" s="380" t="s">
        <v>1267</v>
      </c>
      <c r="H5750" s="380" t="s">
        <v>771</v>
      </c>
      <c r="I5750" s="380" t="s">
        <v>788</v>
      </c>
      <c r="J5750" s="380" t="s">
        <v>773</v>
      </c>
      <c r="K5750" s="381">
        <v>0.0</v>
      </c>
      <c r="L5750" s="382">
        <v>1.0</v>
      </c>
    </row>
    <row r="5751">
      <c r="A5751" s="380" t="s">
        <v>6625</v>
      </c>
      <c r="B5751" s="380" t="str">
        <f>IFERROR(__xludf.DUMMYFUNCTION("""COMPUTED_VALUE"""),"Eje Horqui Mono Caja 16918 Eagle 4303596")</f>
        <v>Eje Horqui Mono Caja 16918 Eagle 4303596</v>
      </c>
      <c r="C5751" s="380" t="str">
        <f>IFERROR(__xludf.DUMMYFUNCTION("""COMPUTED_VALUE"""),"70001133")</f>
        <v>70001133</v>
      </c>
      <c r="D5751" s="380" t="s">
        <v>767</v>
      </c>
      <c r="E5751" s="380" t="s">
        <v>786</v>
      </c>
      <c r="F5751" s="380" t="s">
        <v>928</v>
      </c>
      <c r="G5751" s="380" t="s">
        <v>1267</v>
      </c>
      <c r="H5751" s="380" t="s">
        <v>771</v>
      </c>
      <c r="I5751" s="380" t="s">
        <v>788</v>
      </c>
      <c r="J5751" s="380" t="s">
        <v>773</v>
      </c>
      <c r="K5751" s="381">
        <v>0.0</v>
      </c>
      <c r="L5751" s="382">
        <v>1.0</v>
      </c>
    </row>
    <row r="5752">
      <c r="A5752" s="380" t="s">
        <v>6626</v>
      </c>
      <c r="B5752" s="380" t="str">
        <f>IFERROR(__xludf.DUMMYFUNCTION("""COMPUTED_VALUE"""),"Balinera Propulsor Nkr III 6308 ZNR C3")</f>
        <v>Balinera Propulsor Nkr III 6308 ZNR C3</v>
      </c>
      <c r="C5752" s="380" t="str">
        <f>IFERROR(__xludf.DUMMYFUNCTION("""COMPUTED_VALUE"""),"70001134")</f>
        <v>70001134</v>
      </c>
      <c r="D5752" s="380" t="s">
        <v>767</v>
      </c>
      <c r="E5752" s="380" t="s">
        <v>786</v>
      </c>
      <c r="F5752" s="380" t="s">
        <v>928</v>
      </c>
      <c r="G5752" s="380" t="s">
        <v>1267</v>
      </c>
      <c r="H5752" s="380" t="s">
        <v>771</v>
      </c>
      <c r="I5752" s="380" t="s">
        <v>788</v>
      </c>
      <c r="J5752" s="380" t="s">
        <v>773</v>
      </c>
      <c r="K5752" s="381">
        <v>0.0</v>
      </c>
      <c r="L5752" s="382">
        <v>1.0</v>
      </c>
    </row>
    <row r="5753">
      <c r="A5753" s="380" t="s">
        <v>6627</v>
      </c>
      <c r="B5753" s="380" t="str">
        <f>IFERROR(__xludf.DUMMYFUNCTION("""COMPUTED_VALUE"""),"Tornillo Tapa Bancada Motor Isx 3678506")</f>
        <v>Tornillo Tapa Bancada Motor Isx 3678506</v>
      </c>
      <c r="C5753" s="380" t="str">
        <f>IFERROR(__xludf.DUMMYFUNCTION("""COMPUTED_VALUE"""),"70001135")</f>
        <v>70001135</v>
      </c>
      <c r="D5753" s="380" t="s">
        <v>767</v>
      </c>
      <c r="E5753" s="380" t="s">
        <v>786</v>
      </c>
      <c r="F5753" s="380" t="s">
        <v>787</v>
      </c>
      <c r="G5753" s="380" t="s">
        <v>1267</v>
      </c>
      <c r="H5753" s="380" t="s">
        <v>771</v>
      </c>
      <c r="I5753" s="380" t="s">
        <v>788</v>
      </c>
      <c r="J5753" s="380" t="s">
        <v>773</v>
      </c>
      <c r="K5753" s="381">
        <v>109680.0</v>
      </c>
      <c r="L5753" s="382">
        <v>1.0</v>
      </c>
    </row>
    <row r="5754">
      <c r="A5754" s="380" t="s">
        <v>6628</v>
      </c>
      <c r="B5754" s="380" t="str">
        <f>IFERROR(__xludf.DUMMYFUNCTION("""COMPUTED_VALUE"""),"Tornillo Culata Motor Isx 3678804")</f>
        <v>Tornillo Culata Motor Isx 3678804</v>
      </c>
      <c r="C5754" s="380" t="str">
        <f>IFERROR(__xludf.DUMMYFUNCTION("""COMPUTED_VALUE"""),"70001136")</f>
        <v>70001136</v>
      </c>
      <c r="D5754" s="380" t="s">
        <v>767</v>
      </c>
      <c r="E5754" s="380" t="s">
        <v>786</v>
      </c>
      <c r="F5754" s="380" t="s">
        <v>787</v>
      </c>
      <c r="G5754" s="380" t="s">
        <v>1267</v>
      </c>
      <c r="H5754" s="380" t="s">
        <v>771</v>
      </c>
      <c r="I5754" s="380" t="s">
        <v>788</v>
      </c>
      <c r="J5754" s="380" t="s">
        <v>773</v>
      </c>
      <c r="K5754" s="381">
        <v>0.0</v>
      </c>
      <c r="L5754" s="382">
        <v>1.0</v>
      </c>
    </row>
    <row r="5755">
      <c r="A5755" s="380" t="s">
        <v>6629</v>
      </c>
      <c r="B5755" s="380" t="str">
        <f>IFERROR(__xludf.DUMMYFUNCTION("""COMPUTED_VALUE"""),"Malacate Llanta Repuesto FRR 8980363830")</f>
        <v>Malacate Llanta Repuesto FRR 8980363830</v>
      </c>
      <c r="C5755" s="380" t="str">
        <f>IFERROR(__xludf.DUMMYFUNCTION("""COMPUTED_VALUE"""),"70001137")</f>
        <v>70001137</v>
      </c>
      <c r="D5755" s="380" t="s">
        <v>767</v>
      </c>
      <c r="E5755" s="380" t="s">
        <v>786</v>
      </c>
      <c r="F5755" s="380" t="s">
        <v>792</v>
      </c>
      <c r="G5755" s="380" t="s">
        <v>1267</v>
      </c>
      <c r="H5755" s="380" t="s">
        <v>771</v>
      </c>
      <c r="I5755" s="380" t="s">
        <v>788</v>
      </c>
      <c r="J5755" s="380" t="s">
        <v>773</v>
      </c>
      <c r="K5755" s="381">
        <v>0.0</v>
      </c>
      <c r="L5755" s="382">
        <v>1.0</v>
      </c>
    </row>
    <row r="5756">
      <c r="A5756" s="380" t="s">
        <v>6630</v>
      </c>
      <c r="B5756" s="380" t="str">
        <f>IFERROR(__xludf.DUMMYFUNCTION("""COMPUTED_VALUE"""),"Empaque Culata Nkr Reward G2 8982916840")</f>
        <v>Empaque Culata Nkr Reward G2 8982916840</v>
      </c>
      <c r="C5756" s="380" t="str">
        <f>IFERROR(__xludf.DUMMYFUNCTION("""COMPUTED_VALUE"""),"70001138")</f>
        <v>70001138</v>
      </c>
      <c r="D5756" s="380" t="s">
        <v>767</v>
      </c>
      <c r="E5756" s="380" t="s">
        <v>786</v>
      </c>
      <c r="F5756" s="380" t="s">
        <v>787</v>
      </c>
      <c r="G5756" s="380" t="s">
        <v>1267</v>
      </c>
      <c r="H5756" s="380" t="s">
        <v>771</v>
      </c>
      <c r="I5756" s="380" t="s">
        <v>788</v>
      </c>
      <c r="J5756" s="380" t="s">
        <v>773</v>
      </c>
      <c r="K5756" s="381">
        <v>0.0</v>
      </c>
      <c r="L5756" s="382">
        <v>1.0</v>
      </c>
    </row>
    <row r="5757">
      <c r="A5757" s="380" t="s">
        <v>6631</v>
      </c>
      <c r="B5757" s="380" t="str">
        <f>IFERROR(__xludf.DUMMYFUNCTION("""COMPUTED_VALUE"""),"Amortiguador Delantero Prostar 3606859C2")</f>
        <v>Amortiguador Delantero Prostar 3606859C2</v>
      </c>
      <c r="C5757" s="380" t="str">
        <f>IFERROR(__xludf.DUMMYFUNCTION("""COMPUTED_VALUE"""),"70001139")</f>
        <v>70001139</v>
      </c>
      <c r="D5757" s="380" t="s">
        <v>767</v>
      </c>
      <c r="E5757" s="380" t="s">
        <v>786</v>
      </c>
      <c r="F5757" s="380" t="s">
        <v>1039</v>
      </c>
      <c r="G5757" s="380" t="s">
        <v>1267</v>
      </c>
      <c r="H5757" s="380" t="s">
        <v>771</v>
      </c>
      <c r="I5757" s="380" t="s">
        <v>788</v>
      </c>
      <c r="J5757" s="380" t="s">
        <v>773</v>
      </c>
      <c r="K5757" s="381">
        <v>0.0</v>
      </c>
      <c r="L5757" s="382">
        <v>1.0</v>
      </c>
    </row>
    <row r="5758">
      <c r="A5758" s="380" t="s">
        <v>6632</v>
      </c>
      <c r="B5758" s="380" t="str">
        <f>IFERROR(__xludf.DUMMYFUNCTION("""COMPUTED_VALUE"""),"Cardan Completo Tras Eagle")</f>
        <v>Cardan Completo Tras Eagle</v>
      </c>
      <c r="C5758" s="380" t="str">
        <f>IFERROR(__xludf.DUMMYFUNCTION("""COMPUTED_VALUE"""),"70001140")</f>
        <v>70001140</v>
      </c>
      <c r="D5758" s="380" t="s">
        <v>767</v>
      </c>
      <c r="E5758" s="380" t="s">
        <v>786</v>
      </c>
      <c r="F5758" s="380" t="s">
        <v>5683</v>
      </c>
      <c r="G5758" s="380" t="s">
        <v>1267</v>
      </c>
      <c r="H5758" s="380" t="s">
        <v>771</v>
      </c>
      <c r="I5758" s="380" t="s">
        <v>788</v>
      </c>
      <c r="J5758" s="380" t="s">
        <v>773</v>
      </c>
      <c r="K5758" s="381">
        <v>0.0</v>
      </c>
      <c r="L5758" s="382">
        <v>1.0</v>
      </c>
    </row>
    <row r="5759">
      <c r="A5759" s="380" t="s">
        <v>6633</v>
      </c>
      <c r="B5759" s="380" t="str">
        <f>IFERROR(__xludf.DUMMYFUNCTION("""COMPUTED_VALUE"""),"Valv Control Aire Susp Eagle 2505183C92")</f>
        <v>Valv Control Aire Susp Eagle 2505183C92</v>
      </c>
      <c r="C5759" s="380" t="str">
        <f>IFERROR(__xludf.DUMMYFUNCTION("""COMPUTED_VALUE"""),"70001141")</f>
        <v>70001141</v>
      </c>
      <c r="D5759" s="380" t="s">
        <v>767</v>
      </c>
      <c r="E5759" s="380" t="s">
        <v>786</v>
      </c>
      <c r="F5759" s="380" t="s">
        <v>1039</v>
      </c>
      <c r="G5759" s="380" t="s">
        <v>1267</v>
      </c>
      <c r="H5759" s="380" t="s">
        <v>771</v>
      </c>
      <c r="I5759" s="380" t="s">
        <v>788</v>
      </c>
      <c r="J5759" s="380" t="s">
        <v>773</v>
      </c>
      <c r="K5759" s="381">
        <v>0.0</v>
      </c>
      <c r="L5759" s="382">
        <v>1.0</v>
      </c>
    </row>
    <row r="5760">
      <c r="A5760" s="380" t="s">
        <v>6634</v>
      </c>
      <c r="B5760" s="380" t="str">
        <f>IFERROR(__xludf.DUMMYFUNCTION("""COMPUTED_VALUE"""),"Muelle Trasero Nkr III 22395")</f>
        <v>Muelle Trasero Nkr III 22395</v>
      </c>
      <c r="C5760" s="380" t="str">
        <f>IFERROR(__xludf.DUMMYFUNCTION("""COMPUTED_VALUE"""),"70001142")</f>
        <v>70001142</v>
      </c>
      <c r="D5760" s="380" t="s">
        <v>767</v>
      </c>
      <c r="E5760" s="380" t="s">
        <v>786</v>
      </c>
      <c r="F5760" s="380" t="s">
        <v>1039</v>
      </c>
      <c r="G5760" s="380" t="s">
        <v>1267</v>
      </c>
      <c r="H5760" s="380" t="s">
        <v>771</v>
      </c>
      <c r="I5760" s="380" t="s">
        <v>788</v>
      </c>
      <c r="J5760" s="380" t="s">
        <v>773</v>
      </c>
      <c r="K5760" s="381">
        <v>0.0</v>
      </c>
      <c r="L5760" s="382">
        <v>1.0</v>
      </c>
    </row>
    <row r="5761">
      <c r="A5761" s="380" t="s">
        <v>6635</v>
      </c>
      <c r="B5761" s="380" t="str">
        <f>IFERROR(__xludf.DUMMYFUNCTION("""COMPUTED_VALUE"""),"Amortig Tras 1-3/4 Prostar HD60675003")</f>
        <v>Amortig Tras 1-3/4 Prostar HD60675003</v>
      </c>
      <c r="C5761" s="380" t="str">
        <f>IFERROR(__xludf.DUMMYFUNCTION("""COMPUTED_VALUE"""),"70001143")</f>
        <v>70001143</v>
      </c>
      <c r="D5761" s="380" t="s">
        <v>767</v>
      </c>
      <c r="E5761" s="380" t="s">
        <v>786</v>
      </c>
      <c r="F5761" s="380" t="s">
        <v>1039</v>
      </c>
      <c r="G5761" s="380" t="s">
        <v>1267</v>
      </c>
      <c r="H5761" s="380" t="s">
        <v>771</v>
      </c>
      <c r="I5761" s="380" t="s">
        <v>788</v>
      </c>
      <c r="J5761" s="380" t="s">
        <v>773</v>
      </c>
      <c r="K5761" s="381">
        <v>0.0</v>
      </c>
      <c r="L5761" s="382">
        <v>1.0</v>
      </c>
    </row>
    <row r="5762">
      <c r="A5762" s="380" t="s">
        <v>6636</v>
      </c>
      <c r="B5762" s="380" t="str">
        <f>IFERROR(__xludf.DUMMYFUNCTION("""COMPUTED_VALUE"""),"Calefactor Cabina Hino DP 8701037300")</f>
        <v>Calefactor Cabina Hino DP 8701037300</v>
      </c>
      <c r="C5762" s="380" t="str">
        <f>IFERROR(__xludf.DUMMYFUNCTION("""COMPUTED_VALUE"""),"70001144")</f>
        <v>70001144</v>
      </c>
      <c r="D5762" s="380" t="s">
        <v>767</v>
      </c>
      <c r="E5762" s="380" t="s">
        <v>786</v>
      </c>
      <c r="F5762" s="380" t="s">
        <v>792</v>
      </c>
      <c r="G5762" s="380" t="s">
        <v>1267</v>
      </c>
      <c r="H5762" s="380" t="s">
        <v>771</v>
      </c>
      <c r="I5762" s="380" t="s">
        <v>788</v>
      </c>
      <c r="J5762" s="380" t="s">
        <v>773</v>
      </c>
      <c r="K5762" s="381">
        <v>0.0</v>
      </c>
      <c r="L5762" s="382">
        <v>1.0</v>
      </c>
    </row>
    <row r="5763">
      <c r="A5763" s="380" t="s">
        <v>6637</v>
      </c>
      <c r="B5763" s="380" t="str">
        <f>IFERROR(__xludf.DUMMYFUNCTION("""COMPUTED_VALUE"""),"Tapa Tanque Hidraulico Hino S443051260")</f>
        <v>Tapa Tanque Hidraulico Hino S443051260</v>
      </c>
      <c r="C5763" s="380" t="str">
        <f>IFERROR(__xludf.DUMMYFUNCTION("""COMPUTED_VALUE"""),"70001145")</f>
        <v>70001145</v>
      </c>
      <c r="D5763" s="380" t="s">
        <v>767</v>
      </c>
      <c r="E5763" s="380" t="s">
        <v>786</v>
      </c>
      <c r="F5763" s="380" t="s">
        <v>1020</v>
      </c>
      <c r="G5763" s="380" t="s">
        <v>1267</v>
      </c>
      <c r="H5763" s="380" t="s">
        <v>771</v>
      </c>
      <c r="I5763" s="380" t="s">
        <v>788</v>
      </c>
      <c r="J5763" s="380" t="s">
        <v>773</v>
      </c>
      <c r="K5763" s="381">
        <v>0.0</v>
      </c>
      <c r="L5763" s="382">
        <v>1.0</v>
      </c>
    </row>
    <row r="5764">
      <c r="A5764" s="380" t="s">
        <v>6638</v>
      </c>
      <c r="B5764" s="380" t="str">
        <f>IFERROR(__xludf.DUMMYFUNCTION("""COMPUTED_VALUE"""),"Yugo Deslizante Cardan Nkr 8972111310")</f>
        <v>Yugo Deslizante Cardan Nkr 8972111310</v>
      </c>
      <c r="C5764" s="380" t="str">
        <f>IFERROR(__xludf.DUMMYFUNCTION("""COMPUTED_VALUE"""),"70001146")</f>
        <v>70001146</v>
      </c>
      <c r="D5764" s="380" t="s">
        <v>767</v>
      </c>
      <c r="E5764" s="380" t="s">
        <v>786</v>
      </c>
      <c r="F5764" s="380" t="s">
        <v>5683</v>
      </c>
      <c r="G5764" s="380" t="s">
        <v>1267</v>
      </c>
      <c r="H5764" s="380" t="s">
        <v>771</v>
      </c>
      <c r="I5764" s="380" t="s">
        <v>788</v>
      </c>
      <c r="J5764" s="380" t="s">
        <v>773</v>
      </c>
      <c r="K5764" s="381">
        <v>0.0</v>
      </c>
      <c r="L5764" s="382">
        <v>1.0</v>
      </c>
    </row>
    <row r="5765">
      <c r="A5765" s="380" t="s">
        <v>6639</v>
      </c>
      <c r="B5765" s="380" t="str">
        <f>IFERROR(__xludf.DUMMYFUNCTION("""COMPUTED_VALUE"""),"Brazo Espejo Ext Der Nkr III 8980395721")</f>
        <v>Brazo Espejo Ext Der Nkr III 8980395721</v>
      </c>
      <c r="C5765" s="380" t="str">
        <f>IFERROR(__xludf.DUMMYFUNCTION("""COMPUTED_VALUE"""),"70001147")</f>
        <v>70001147</v>
      </c>
      <c r="D5765" s="380" t="s">
        <v>767</v>
      </c>
      <c r="E5765" s="380" t="s">
        <v>786</v>
      </c>
      <c r="F5765" s="380" t="s">
        <v>792</v>
      </c>
      <c r="G5765" s="380" t="s">
        <v>1267</v>
      </c>
      <c r="H5765" s="380" t="s">
        <v>771</v>
      </c>
      <c r="I5765" s="380" t="s">
        <v>788</v>
      </c>
      <c r="J5765" s="380" t="s">
        <v>773</v>
      </c>
      <c r="K5765" s="381">
        <v>0.0</v>
      </c>
      <c r="L5765" s="382">
        <v>1.0</v>
      </c>
    </row>
    <row r="5766">
      <c r="A5766" s="380" t="s">
        <v>6640</v>
      </c>
      <c r="B5766" s="380" t="str">
        <f>IFERROR(__xludf.DUMMYFUNCTION("""COMPUTED_VALUE"""),"Correa Ventilador FRR 8980202470")</f>
        <v>Correa Ventilador FRR 8980202470</v>
      </c>
      <c r="C5766" s="380" t="str">
        <f>IFERROR(__xludf.DUMMYFUNCTION("""COMPUTED_VALUE"""),"70001148")</f>
        <v>70001148</v>
      </c>
      <c r="D5766" s="380" t="s">
        <v>767</v>
      </c>
      <c r="E5766" s="380" t="s">
        <v>786</v>
      </c>
      <c r="F5766" s="380" t="s">
        <v>787</v>
      </c>
      <c r="G5766" s="380" t="s">
        <v>1267</v>
      </c>
      <c r="H5766" s="380" t="s">
        <v>771</v>
      </c>
      <c r="I5766" s="380" t="s">
        <v>788</v>
      </c>
      <c r="J5766" s="380" t="s">
        <v>773</v>
      </c>
      <c r="K5766" s="381">
        <v>0.0</v>
      </c>
      <c r="L5766" s="382">
        <v>1.0</v>
      </c>
    </row>
    <row r="5767">
      <c r="A5767" s="380" t="s">
        <v>6641</v>
      </c>
      <c r="B5767" s="380" t="str">
        <f>IFERROR(__xludf.DUMMYFUNCTION("""COMPUTED_VALUE"""),"Manija Puerta Der Ext Prostar 2594006C1")</f>
        <v>Manija Puerta Der Ext Prostar 2594006C1</v>
      </c>
      <c r="C5767" s="380" t="str">
        <f>IFERROR(__xludf.DUMMYFUNCTION("""COMPUTED_VALUE"""),"70001149")</f>
        <v>70001149</v>
      </c>
      <c r="D5767" s="380" t="s">
        <v>767</v>
      </c>
      <c r="E5767" s="380" t="s">
        <v>786</v>
      </c>
      <c r="F5767" s="380" t="s">
        <v>792</v>
      </c>
      <c r="G5767" s="380" t="s">
        <v>1267</v>
      </c>
      <c r="H5767" s="380" t="s">
        <v>771</v>
      </c>
      <c r="I5767" s="380" t="s">
        <v>788</v>
      </c>
      <c r="J5767" s="380" t="s">
        <v>773</v>
      </c>
      <c r="K5767" s="381">
        <v>0.0</v>
      </c>
      <c r="L5767" s="382">
        <v>1.0</v>
      </c>
    </row>
    <row r="5768">
      <c r="A5768" s="380" t="s">
        <v>6642</v>
      </c>
      <c r="B5768" s="380" t="str">
        <f>IFERROR(__xludf.DUMMYFUNCTION("""COMPUTED_VALUE"""),"Filtro Elem Aire A/C Prostar DONP614221")</f>
        <v>Filtro Elem Aire A/C Prostar DONP614221</v>
      </c>
      <c r="C5768" s="380" t="str">
        <f>IFERROR(__xludf.DUMMYFUNCTION("""COMPUTED_VALUE"""),"70001150")</f>
        <v>70001150</v>
      </c>
      <c r="D5768" s="380" t="s">
        <v>767</v>
      </c>
      <c r="E5768" s="380" t="s">
        <v>786</v>
      </c>
      <c r="F5768" s="380" t="s">
        <v>5855</v>
      </c>
      <c r="G5768" s="380" t="s">
        <v>1267</v>
      </c>
      <c r="H5768" s="380" t="s">
        <v>771</v>
      </c>
      <c r="I5768" s="380" t="s">
        <v>788</v>
      </c>
      <c r="J5768" s="380" t="s">
        <v>773</v>
      </c>
      <c r="K5768" s="381">
        <v>0.0</v>
      </c>
      <c r="L5768" s="382">
        <v>1.0</v>
      </c>
    </row>
    <row r="5769">
      <c r="A5769" s="380" t="s">
        <v>6643</v>
      </c>
      <c r="B5769" s="380" t="str">
        <f>IFERROR(__xludf.DUMMYFUNCTION("""COMPUTED_VALUE"""),"Motor Limpiabrisas Eagle 4300 2594086C91")</f>
        <v>Motor Limpiabrisas Eagle 4300 2594086C91</v>
      </c>
      <c r="C5769" s="380" t="str">
        <f>IFERROR(__xludf.DUMMYFUNCTION("""COMPUTED_VALUE"""),"70001151")</f>
        <v>70001151</v>
      </c>
      <c r="D5769" s="380" t="s">
        <v>767</v>
      </c>
      <c r="E5769" s="380" t="s">
        <v>786</v>
      </c>
      <c r="F5769" s="380" t="s">
        <v>998</v>
      </c>
      <c r="G5769" s="380" t="s">
        <v>1267</v>
      </c>
      <c r="H5769" s="380" t="s">
        <v>771</v>
      </c>
      <c r="I5769" s="380" t="s">
        <v>788</v>
      </c>
      <c r="J5769" s="380" t="s">
        <v>773</v>
      </c>
      <c r="K5769" s="381">
        <v>0.0</v>
      </c>
      <c r="L5769" s="382">
        <v>1.0</v>
      </c>
    </row>
    <row r="5770">
      <c r="A5770" s="380" t="s">
        <v>6644</v>
      </c>
      <c r="B5770" s="380" t="str">
        <f>IFERROR(__xludf.DUMMYFUNCTION("""COMPUTED_VALUE"""),"Talco Stop Hin Dutro Pro (Kia)")</f>
        <v>Talco Stop Hin Dutro Pro (Kia)</v>
      </c>
      <c r="C5770" s="380" t="str">
        <f>IFERROR(__xludf.DUMMYFUNCTION("""COMPUTED_VALUE"""),"70001152")</f>
        <v>70001152</v>
      </c>
      <c r="D5770" s="380" t="s">
        <v>767</v>
      </c>
      <c r="E5770" s="380" t="s">
        <v>786</v>
      </c>
      <c r="F5770" s="380" t="s">
        <v>792</v>
      </c>
      <c r="G5770" s="380" t="s">
        <v>1267</v>
      </c>
      <c r="H5770" s="380" t="s">
        <v>771</v>
      </c>
      <c r="I5770" s="380" t="s">
        <v>788</v>
      </c>
      <c r="J5770" s="380" t="s">
        <v>773</v>
      </c>
      <c r="K5770" s="381">
        <v>8000.0</v>
      </c>
      <c r="L5770" s="382">
        <v>1.0</v>
      </c>
    </row>
    <row r="5771">
      <c r="A5771" s="380" t="s">
        <v>6645</v>
      </c>
      <c r="B5771" s="380" t="str">
        <f>IFERROR(__xludf.DUMMYFUNCTION("""COMPUTED_VALUE"""),"Empaq Tapa Distrib Nkr Reward 8973122212")</f>
        <v>Empaq Tapa Distrib Nkr Reward 8973122212</v>
      </c>
      <c r="C5771" s="380" t="str">
        <f>IFERROR(__xludf.DUMMYFUNCTION("""COMPUTED_VALUE"""),"70001153")</f>
        <v>70001153</v>
      </c>
      <c r="D5771" s="380" t="s">
        <v>767</v>
      </c>
      <c r="E5771" s="380" t="s">
        <v>786</v>
      </c>
      <c r="F5771" s="380" t="s">
        <v>787</v>
      </c>
      <c r="G5771" s="380" t="s">
        <v>1267</v>
      </c>
      <c r="H5771" s="380" t="s">
        <v>771</v>
      </c>
      <c r="I5771" s="380" t="s">
        <v>788</v>
      </c>
      <c r="J5771" s="380" t="s">
        <v>773</v>
      </c>
      <c r="K5771" s="381">
        <v>0.0</v>
      </c>
      <c r="L5771" s="382">
        <v>1.0</v>
      </c>
    </row>
    <row r="5772">
      <c r="A5772" s="380" t="s">
        <v>6646</v>
      </c>
      <c r="B5772" s="380" t="str">
        <f>IFERROR(__xludf.DUMMYFUNCTION("""COMPUTED_VALUE"""),"Valvula Expan Aire AC Prostar 3660853C2")</f>
        <v>Valvula Expan Aire AC Prostar 3660853C2</v>
      </c>
      <c r="C5772" s="380" t="str">
        <f>IFERROR(__xludf.DUMMYFUNCTION("""COMPUTED_VALUE"""),"70001154")</f>
        <v>70001154</v>
      </c>
      <c r="D5772" s="380" t="s">
        <v>767</v>
      </c>
      <c r="E5772" s="380" t="s">
        <v>786</v>
      </c>
      <c r="F5772" s="380" t="s">
        <v>1031</v>
      </c>
      <c r="G5772" s="380" t="s">
        <v>1267</v>
      </c>
      <c r="H5772" s="380" t="s">
        <v>771</v>
      </c>
      <c r="I5772" s="380" t="s">
        <v>788</v>
      </c>
      <c r="J5772" s="380" t="s">
        <v>773</v>
      </c>
      <c r="K5772" s="381">
        <v>0.0</v>
      </c>
      <c r="L5772" s="382">
        <v>1.0</v>
      </c>
    </row>
    <row r="5773">
      <c r="A5773" s="380" t="s">
        <v>6647</v>
      </c>
      <c r="B5773" s="380" t="str">
        <f>IFERROR(__xludf.DUMMYFUNCTION("""COMPUTED_VALUE"""),"Mang AC Comp A Cond Prostar 3612296C92")</f>
        <v>Mang AC Comp A Cond Prostar 3612296C92</v>
      </c>
      <c r="C5773" s="380" t="str">
        <f>IFERROR(__xludf.DUMMYFUNCTION("""COMPUTED_VALUE"""),"70001155")</f>
        <v>70001155</v>
      </c>
      <c r="D5773" s="380" t="s">
        <v>767</v>
      </c>
      <c r="E5773" s="380" t="s">
        <v>786</v>
      </c>
      <c r="F5773" s="380" t="s">
        <v>1031</v>
      </c>
      <c r="G5773" s="380" t="s">
        <v>1267</v>
      </c>
      <c r="H5773" s="380" t="s">
        <v>771</v>
      </c>
      <c r="I5773" s="380" t="s">
        <v>788</v>
      </c>
      <c r="J5773" s="380" t="s">
        <v>773</v>
      </c>
      <c r="K5773" s="381">
        <v>0.0</v>
      </c>
      <c r="L5773" s="382">
        <v>1.0</v>
      </c>
    </row>
    <row r="5774">
      <c r="A5774" s="380" t="s">
        <v>6648</v>
      </c>
      <c r="B5774" s="380" t="str">
        <f>IFERROR(__xludf.DUMMYFUNCTION("""COMPUTED_VALUE"""),"Juego Parlante X2 Radio Pasac 6"" TS-1631")</f>
        <v>Juego Parlante X2 Radio Pasac 6" TS-1631</v>
      </c>
      <c r="C5774" s="380" t="str">
        <f>IFERROR(__xludf.DUMMYFUNCTION("""COMPUTED_VALUE"""),"70001156")</f>
        <v>70001156</v>
      </c>
      <c r="D5774" s="380" t="s">
        <v>767</v>
      </c>
      <c r="E5774" s="380" t="s">
        <v>786</v>
      </c>
      <c r="F5774" s="380" t="s">
        <v>1031</v>
      </c>
      <c r="G5774" s="380" t="s">
        <v>1267</v>
      </c>
      <c r="H5774" s="380" t="s">
        <v>771</v>
      </c>
      <c r="I5774" s="380" t="s">
        <v>788</v>
      </c>
      <c r="J5774" s="380" t="s">
        <v>773</v>
      </c>
      <c r="K5774" s="381">
        <v>0.0</v>
      </c>
      <c r="L5774" s="382">
        <v>1.0</v>
      </c>
    </row>
    <row r="5775">
      <c r="A5775" s="380" t="s">
        <v>6649</v>
      </c>
      <c r="B5775" s="380" t="str">
        <f>IFERROR(__xludf.DUMMYFUNCTION("""COMPUTED_VALUE"""),"Tapa Base Radio Pasacinta Eagle1649506C1")</f>
        <v>Tapa Base Radio Pasacinta Eagle1649506C1</v>
      </c>
      <c r="C5775" s="380" t="str">
        <f>IFERROR(__xludf.DUMMYFUNCTION("""COMPUTED_VALUE"""),"70001157")</f>
        <v>70001157</v>
      </c>
      <c r="D5775" s="380" t="s">
        <v>767</v>
      </c>
      <c r="E5775" s="380" t="s">
        <v>786</v>
      </c>
      <c r="F5775" s="380" t="s">
        <v>1031</v>
      </c>
      <c r="G5775" s="380" t="s">
        <v>1267</v>
      </c>
      <c r="H5775" s="380" t="s">
        <v>771</v>
      </c>
      <c r="I5775" s="380" t="s">
        <v>788</v>
      </c>
      <c r="J5775" s="380" t="s">
        <v>773</v>
      </c>
      <c r="K5775" s="381">
        <v>0.0</v>
      </c>
      <c r="L5775" s="382">
        <v>1.0</v>
      </c>
    </row>
    <row r="5776">
      <c r="A5776" s="380" t="s">
        <v>6650</v>
      </c>
      <c r="B5776" s="380" t="str">
        <f>IFERROR(__xludf.DUMMYFUNCTION("""COMPUTED_VALUE"""),"Bicel Tapa Base Radi Pasa Eagle1649502C1")</f>
        <v>Bicel Tapa Base Radi Pasa Eagle1649502C1</v>
      </c>
      <c r="C5776" s="380" t="str">
        <f>IFERROR(__xludf.DUMMYFUNCTION("""COMPUTED_VALUE"""),"70001158")</f>
        <v>70001158</v>
      </c>
      <c r="D5776" s="380" t="s">
        <v>767</v>
      </c>
      <c r="E5776" s="380" t="s">
        <v>786</v>
      </c>
      <c r="F5776" s="380" t="s">
        <v>1031</v>
      </c>
      <c r="G5776" s="380" t="s">
        <v>1267</v>
      </c>
      <c r="H5776" s="380" t="s">
        <v>771</v>
      </c>
      <c r="I5776" s="380" t="s">
        <v>788</v>
      </c>
      <c r="J5776" s="380" t="s">
        <v>773</v>
      </c>
      <c r="K5776" s="381">
        <v>0.0</v>
      </c>
      <c r="L5776" s="382">
        <v>1.0</v>
      </c>
    </row>
    <row r="5777">
      <c r="A5777" s="380" t="s">
        <v>6651</v>
      </c>
      <c r="B5777" s="380" t="str">
        <f>IFERROR(__xludf.DUMMYFUNCTION("""COMPUTED_VALUE"""),"Condesador Aire A/C T800 K122-125")</f>
        <v>Condesador Aire A/C T800 K122-125</v>
      </c>
      <c r="C5777" s="380" t="str">
        <f>IFERROR(__xludf.DUMMYFUNCTION("""COMPUTED_VALUE"""),"70001159")</f>
        <v>70001159</v>
      </c>
      <c r="D5777" s="380" t="s">
        <v>767</v>
      </c>
      <c r="E5777" s="380" t="s">
        <v>786</v>
      </c>
      <c r="F5777" s="380" t="s">
        <v>1031</v>
      </c>
      <c r="G5777" s="380" t="s">
        <v>1267</v>
      </c>
      <c r="H5777" s="380" t="s">
        <v>771</v>
      </c>
      <c r="I5777" s="380" t="s">
        <v>788</v>
      </c>
      <c r="J5777" s="380" t="s">
        <v>773</v>
      </c>
      <c r="K5777" s="381">
        <v>0.0</v>
      </c>
      <c r="L5777" s="382">
        <v>1.0</v>
      </c>
    </row>
    <row r="5778">
      <c r="A5778" s="380" t="s">
        <v>6652</v>
      </c>
      <c r="B5778" s="380" t="str">
        <f>IFERROR(__xludf.DUMMYFUNCTION("""COMPUTED_VALUE"""),"Polea Estriada Aire AC Eagle Isx 3689465")</f>
        <v>Polea Estriada Aire AC Eagle Isx 3689465</v>
      </c>
      <c r="C5778" s="380" t="str">
        <f>IFERROR(__xludf.DUMMYFUNCTION("""COMPUTED_VALUE"""),"70001160")</f>
        <v>70001160</v>
      </c>
      <c r="D5778" s="380" t="s">
        <v>767</v>
      </c>
      <c r="E5778" s="380" t="s">
        <v>786</v>
      </c>
      <c r="F5778" s="380" t="s">
        <v>1031</v>
      </c>
      <c r="G5778" s="380" t="s">
        <v>1267</v>
      </c>
      <c r="H5778" s="380" t="s">
        <v>771</v>
      </c>
      <c r="I5778" s="380" t="s">
        <v>788</v>
      </c>
      <c r="J5778" s="380" t="s">
        <v>773</v>
      </c>
      <c r="K5778" s="381">
        <v>0.0</v>
      </c>
      <c r="L5778" s="382">
        <v>1.0</v>
      </c>
    </row>
    <row r="5779">
      <c r="A5779" s="380" t="s">
        <v>6653</v>
      </c>
      <c r="B5779" s="380" t="str">
        <f>IFERROR(__xludf.DUMMYFUNCTION("""COMPUTED_VALUE"""),"Persiana Mack CXU-613 804013")</f>
        <v>Persiana Mack CXU-613 804013</v>
      </c>
      <c r="C5779" s="380" t="str">
        <f>IFERROR(__xludf.DUMMYFUNCTION("""COMPUTED_VALUE"""),"70001161")</f>
        <v>70001161</v>
      </c>
      <c r="D5779" s="380" t="s">
        <v>767</v>
      </c>
      <c r="E5779" s="380" t="s">
        <v>786</v>
      </c>
      <c r="F5779" s="380" t="s">
        <v>1031</v>
      </c>
      <c r="G5779" s="380" t="s">
        <v>1267</v>
      </c>
      <c r="H5779" s="380" t="s">
        <v>771</v>
      </c>
      <c r="I5779" s="380" t="s">
        <v>788</v>
      </c>
      <c r="J5779" s="380" t="s">
        <v>773</v>
      </c>
      <c r="K5779" s="381">
        <v>0.0</v>
      </c>
      <c r="L5779" s="382">
        <v>1.0</v>
      </c>
    </row>
    <row r="5780">
      <c r="A5780" s="380" t="s">
        <v>6654</v>
      </c>
      <c r="B5780" s="380" t="str">
        <f>IFERROR(__xludf.DUMMYFUNCTION("""COMPUTED_VALUE"""),"Radio Pasacinta Nuevo")</f>
        <v>Radio Pasacinta Nuevo</v>
      </c>
      <c r="C5780" s="380" t="str">
        <f>IFERROR(__xludf.DUMMYFUNCTION("""COMPUTED_VALUE"""),"70001162")</f>
        <v>70001162</v>
      </c>
      <c r="D5780" s="380" t="s">
        <v>767</v>
      </c>
      <c r="E5780" s="380" t="s">
        <v>786</v>
      </c>
      <c r="F5780" s="380" t="s">
        <v>1031</v>
      </c>
      <c r="G5780" s="380" t="s">
        <v>1267</v>
      </c>
      <c r="H5780" s="380" t="s">
        <v>771</v>
      </c>
      <c r="I5780" s="380" t="s">
        <v>788</v>
      </c>
      <c r="J5780" s="380" t="s">
        <v>773</v>
      </c>
      <c r="K5780" s="381">
        <v>353430.0</v>
      </c>
      <c r="L5780" s="382">
        <v>1.0</v>
      </c>
    </row>
    <row r="5781">
      <c r="A5781" s="380" t="s">
        <v>6655</v>
      </c>
      <c r="B5781" s="380" t="str">
        <f>IFERROR(__xludf.DUMMYFUNCTION("""COMPUTED_VALUE"""),"Control A/C Kenworth F21101321000")</f>
        <v>Control A/C Kenworth F21101321000</v>
      </c>
      <c r="C5781" s="380" t="str">
        <f>IFERROR(__xludf.DUMMYFUNCTION("""COMPUTED_VALUE"""),"70001163")</f>
        <v>70001163</v>
      </c>
      <c r="D5781" s="380" t="s">
        <v>767</v>
      </c>
      <c r="E5781" s="380" t="s">
        <v>786</v>
      </c>
      <c r="F5781" s="380" t="s">
        <v>1031</v>
      </c>
      <c r="G5781" s="380" t="s">
        <v>1267</v>
      </c>
      <c r="H5781" s="380" t="s">
        <v>771</v>
      </c>
      <c r="I5781" s="380" t="s">
        <v>788</v>
      </c>
      <c r="J5781" s="380" t="s">
        <v>773</v>
      </c>
      <c r="K5781" s="381">
        <v>0.0</v>
      </c>
      <c r="L5781" s="382">
        <v>1.0</v>
      </c>
    </row>
    <row r="5782">
      <c r="A5782" s="380" t="s">
        <v>6656</v>
      </c>
      <c r="B5782" s="380" t="str">
        <f>IFERROR(__xludf.DUMMYFUNCTION("""COMPUTED_VALUE"""),"Empaq Multiple Adm Nkr Reward 8982129990")</f>
        <v>Empaq Multiple Adm Nkr Reward 8982129990</v>
      </c>
      <c r="C5782" s="380" t="str">
        <f>IFERROR(__xludf.DUMMYFUNCTION("""COMPUTED_VALUE"""),"70001164")</f>
        <v>70001164</v>
      </c>
      <c r="D5782" s="380" t="s">
        <v>767</v>
      </c>
      <c r="E5782" s="380" t="s">
        <v>786</v>
      </c>
      <c r="F5782" s="380" t="s">
        <v>787</v>
      </c>
      <c r="G5782" s="380" t="s">
        <v>1267</v>
      </c>
      <c r="H5782" s="380" t="s">
        <v>771</v>
      </c>
      <c r="I5782" s="380" t="s">
        <v>788</v>
      </c>
      <c r="J5782" s="380" t="s">
        <v>773</v>
      </c>
      <c r="K5782" s="381">
        <v>0.0</v>
      </c>
      <c r="L5782" s="382">
        <v>1.0</v>
      </c>
    </row>
    <row r="5783">
      <c r="A5783" s="380" t="s">
        <v>6657</v>
      </c>
      <c r="B5783" s="380" t="str">
        <f>IFERROR(__xludf.DUMMYFUNCTION("""COMPUTED_VALUE"""),"Switch Plataforma De 2 Posiciones")</f>
        <v>Switch Plataforma De 2 Posiciones</v>
      </c>
      <c r="C5783" s="380" t="str">
        <f>IFERROR(__xludf.DUMMYFUNCTION("""COMPUTED_VALUE"""),"70001165")</f>
        <v>70001165</v>
      </c>
      <c r="D5783" s="380" t="s">
        <v>767</v>
      </c>
      <c r="E5783" s="380" t="s">
        <v>786</v>
      </c>
      <c r="F5783" s="380" t="s">
        <v>998</v>
      </c>
      <c r="G5783" s="380" t="s">
        <v>1267</v>
      </c>
      <c r="H5783" s="380" t="s">
        <v>771</v>
      </c>
      <c r="I5783" s="380" t="s">
        <v>788</v>
      </c>
      <c r="J5783" s="380" t="s">
        <v>773</v>
      </c>
      <c r="K5783" s="381">
        <v>0.0</v>
      </c>
      <c r="L5783" s="382">
        <v>1.0</v>
      </c>
    </row>
    <row r="5784">
      <c r="A5784" s="380" t="s">
        <v>6658</v>
      </c>
      <c r="B5784" s="380" t="str">
        <f>IFERROR(__xludf.DUMMYFUNCTION("""COMPUTED_VALUE"""),"Depos Aux Radiador Nkr Reward 8981781790")</f>
        <v>Depos Aux Radiador Nkr Reward 8981781790</v>
      </c>
      <c r="C5784" s="380" t="str">
        <f>IFERROR(__xludf.DUMMYFUNCTION("""COMPUTED_VALUE"""),"70001166")</f>
        <v>70001166</v>
      </c>
      <c r="D5784" s="380" t="s">
        <v>767</v>
      </c>
      <c r="E5784" s="380" t="s">
        <v>786</v>
      </c>
      <c r="F5784" s="380" t="s">
        <v>787</v>
      </c>
      <c r="G5784" s="380" t="s">
        <v>1267</v>
      </c>
      <c r="H5784" s="380" t="s">
        <v>771</v>
      </c>
      <c r="I5784" s="380" t="s">
        <v>788</v>
      </c>
      <c r="J5784" s="380" t="s">
        <v>773</v>
      </c>
      <c r="K5784" s="381">
        <v>0.0</v>
      </c>
      <c r="L5784" s="382">
        <v>1.0</v>
      </c>
    </row>
    <row r="5785">
      <c r="A5785" s="380" t="s">
        <v>6659</v>
      </c>
      <c r="B5785" s="380" t="str">
        <f>IFERROR(__xludf.DUMMYFUNCTION("""COMPUTED_VALUE"""),"Switch Espejo Hi Prostar 2505204C1")</f>
        <v>Switch Espejo Hi Prostar 2505204C1</v>
      </c>
      <c r="C5785" s="380" t="str">
        <f>IFERROR(__xludf.DUMMYFUNCTION("""COMPUTED_VALUE"""),"70001167")</f>
        <v>70001167</v>
      </c>
      <c r="D5785" s="380" t="s">
        <v>767</v>
      </c>
      <c r="E5785" s="380" t="s">
        <v>786</v>
      </c>
      <c r="F5785" s="380" t="s">
        <v>998</v>
      </c>
      <c r="G5785" s="380" t="s">
        <v>1267</v>
      </c>
      <c r="H5785" s="380" t="s">
        <v>771</v>
      </c>
      <c r="I5785" s="380" t="s">
        <v>788</v>
      </c>
      <c r="J5785" s="380" t="s">
        <v>773</v>
      </c>
      <c r="K5785" s="381">
        <v>0.0</v>
      </c>
      <c r="L5785" s="382">
        <v>1.0</v>
      </c>
    </row>
    <row r="5786">
      <c r="A5786" s="380" t="s">
        <v>6660</v>
      </c>
      <c r="B5786" s="380" t="str">
        <f>IFERROR(__xludf.DUMMYFUNCTION("""COMPUTED_VALUE"""),"Harnes Sensor Temp Dif Prostar3609846C92")</f>
        <v>Harnes Sensor Temp Dif Prostar3609846C92</v>
      </c>
      <c r="C5786" s="380" t="str">
        <f>IFERROR(__xludf.DUMMYFUNCTION("""COMPUTED_VALUE"""),"70001168")</f>
        <v>70001168</v>
      </c>
      <c r="D5786" s="380" t="s">
        <v>767</v>
      </c>
      <c r="E5786" s="380" t="s">
        <v>786</v>
      </c>
      <c r="F5786" s="380" t="s">
        <v>5683</v>
      </c>
      <c r="G5786" s="380" t="s">
        <v>1267</v>
      </c>
      <c r="H5786" s="380" t="s">
        <v>771</v>
      </c>
      <c r="I5786" s="380" t="s">
        <v>788</v>
      </c>
      <c r="J5786" s="380" t="s">
        <v>773</v>
      </c>
      <c r="K5786" s="381">
        <v>97808.0</v>
      </c>
      <c r="L5786" s="382">
        <v>1.0</v>
      </c>
    </row>
    <row r="5787">
      <c r="A5787" s="380" t="s">
        <v>6661</v>
      </c>
      <c r="B5787" s="380" t="str">
        <f>IFERROR(__xludf.DUMMYFUNCTION("""COMPUTED_VALUE"""),"Sensor Temp Diferencial Prostar3536822C1")</f>
        <v>Sensor Temp Diferencial Prostar3536822C1</v>
      </c>
      <c r="C5787" s="380" t="str">
        <f>IFERROR(__xludf.DUMMYFUNCTION("""COMPUTED_VALUE"""),"70001169")</f>
        <v>70001169</v>
      </c>
      <c r="D5787" s="380" t="s">
        <v>767</v>
      </c>
      <c r="E5787" s="380" t="s">
        <v>786</v>
      </c>
      <c r="F5787" s="380" t="s">
        <v>5683</v>
      </c>
      <c r="G5787" s="380" t="s">
        <v>1267</v>
      </c>
      <c r="H5787" s="380" t="s">
        <v>771</v>
      </c>
      <c r="I5787" s="380" t="s">
        <v>788</v>
      </c>
      <c r="J5787" s="380" t="s">
        <v>773</v>
      </c>
      <c r="K5787" s="381">
        <v>135547.0</v>
      </c>
      <c r="L5787" s="382">
        <v>1.0</v>
      </c>
    </row>
    <row r="5788">
      <c r="A5788" s="380" t="s">
        <v>6662</v>
      </c>
      <c r="B5788" s="380" t="str">
        <f>IFERROR(__xludf.DUMMYFUNCTION("""COMPUTED_VALUE"""),"Soporte Llanta Repuesto Nkr 8972303550")</f>
        <v>Soporte Llanta Repuesto Nkr 8972303550</v>
      </c>
      <c r="C5788" s="380" t="str">
        <f>IFERROR(__xludf.DUMMYFUNCTION("""COMPUTED_VALUE"""),"70001170")</f>
        <v>70001170</v>
      </c>
      <c r="D5788" s="380" t="s">
        <v>767</v>
      </c>
      <c r="E5788" s="380" t="s">
        <v>786</v>
      </c>
      <c r="F5788" s="380" t="s">
        <v>792</v>
      </c>
      <c r="G5788" s="380" t="s">
        <v>1267</v>
      </c>
      <c r="H5788" s="380" t="s">
        <v>771</v>
      </c>
      <c r="I5788" s="380" t="s">
        <v>788</v>
      </c>
      <c r="J5788" s="380" t="s">
        <v>773</v>
      </c>
      <c r="K5788" s="381">
        <v>0.0</v>
      </c>
      <c r="L5788" s="382">
        <v>1.0</v>
      </c>
    </row>
    <row r="5789">
      <c r="A5789" s="380" t="s">
        <v>6663</v>
      </c>
      <c r="B5789" s="380" t="str">
        <f>IFERROR(__xludf.DUMMYFUNCTION("""COMPUTED_VALUE"""),"Empaq Culata Distrib Nkr Rewar8973316312")</f>
        <v>Empaq Culata Distrib Nkr Rewar8973316312</v>
      </c>
      <c r="C5789" s="380" t="str">
        <f>IFERROR(__xludf.DUMMYFUNCTION("""COMPUTED_VALUE"""),"70001171")</f>
        <v>70001171</v>
      </c>
      <c r="D5789" s="380" t="s">
        <v>767</v>
      </c>
      <c r="E5789" s="380" t="s">
        <v>786</v>
      </c>
      <c r="F5789" s="380" t="s">
        <v>787</v>
      </c>
      <c r="G5789" s="380" t="s">
        <v>1267</v>
      </c>
      <c r="H5789" s="380" t="s">
        <v>771</v>
      </c>
      <c r="I5789" s="380" t="s">
        <v>788</v>
      </c>
      <c r="J5789" s="380" t="s">
        <v>773</v>
      </c>
      <c r="K5789" s="381">
        <v>0.0</v>
      </c>
      <c r="L5789" s="382">
        <v>1.0</v>
      </c>
    </row>
    <row r="5790">
      <c r="A5790" s="380" t="s">
        <v>6664</v>
      </c>
      <c r="B5790" s="380" t="str">
        <f>IFERROR(__xludf.DUMMYFUNCTION("""COMPUTED_VALUE"""),"Valvula Descar Chasis 802744 Eagle802744")</f>
        <v>Valvula Descar Chasis 802744 Eagle802744</v>
      </c>
      <c r="C5790" s="380" t="str">
        <f>IFERROR(__xludf.DUMMYFUNCTION("""COMPUTED_VALUE"""),"70001172")</f>
        <v>70001172</v>
      </c>
      <c r="D5790" s="380" t="s">
        <v>767</v>
      </c>
      <c r="E5790" s="380" t="s">
        <v>786</v>
      </c>
      <c r="F5790" s="380" t="s">
        <v>1017</v>
      </c>
      <c r="G5790" s="380" t="s">
        <v>1267</v>
      </c>
      <c r="H5790" s="380" t="s">
        <v>771</v>
      </c>
      <c r="I5790" s="380" t="s">
        <v>788</v>
      </c>
      <c r="J5790" s="380" t="s">
        <v>773</v>
      </c>
      <c r="K5790" s="381">
        <v>0.0</v>
      </c>
      <c r="L5790" s="382">
        <v>1.0</v>
      </c>
    </row>
    <row r="5791">
      <c r="A5791" s="380" t="s">
        <v>6665</v>
      </c>
      <c r="B5791" s="380" t="str">
        <f>IFERROR(__xludf.DUMMYFUNCTION("""COMPUTED_VALUE"""),"Gancho Remolque Bomper Eagle 503505C1")</f>
        <v>Gancho Remolque Bomper Eagle 503505C1</v>
      </c>
      <c r="C5791" s="380" t="str">
        <f>IFERROR(__xludf.DUMMYFUNCTION("""COMPUTED_VALUE"""),"70001173")</f>
        <v>70001173</v>
      </c>
      <c r="D5791" s="380" t="s">
        <v>767</v>
      </c>
      <c r="E5791" s="380" t="s">
        <v>786</v>
      </c>
      <c r="F5791" s="380" t="s">
        <v>792</v>
      </c>
      <c r="G5791" s="380" t="s">
        <v>1267</v>
      </c>
      <c r="H5791" s="380" t="s">
        <v>771</v>
      </c>
      <c r="I5791" s="380" t="s">
        <v>788</v>
      </c>
      <c r="J5791" s="380" t="s">
        <v>773</v>
      </c>
      <c r="K5791" s="381">
        <v>0.0</v>
      </c>
      <c r="L5791" s="382">
        <v>1.0</v>
      </c>
    </row>
    <row r="5792">
      <c r="A5792" s="380" t="s">
        <v>6666</v>
      </c>
      <c r="B5792" s="380" t="str">
        <f>IFERROR(__xludf.DUMMYFUNCTION("""COMPUTED_VALUE"""),"Stop Trasero Izq Nkr Rw SJ410")</f>
        <v>Stop Trasero Izq Nkr Rw SJ410</v>
      </c>
      <c r="C5792" s="380" t="str">
        <f>IFERROR(__xludf.DUMMYFUNCTION("""COMPUTED_VALUE"""),"70001174")</f>
        <v>70001174</v>
      </c>
      <c r="D5792" s="380" t="s">
        <v>767</v>
      </c>
      <c r="E5792" s="380" t="s">
        <v>786</v>
      </c>
      <c r="F5792" s="380" t="s">
        <v>998</v>
      </c>
      <c r="G5792" s="380" t="s">
        <v>1267</v>
      </c>
      <c r="H5792" s="380" t="s">
        <v>771</v>
      </c>
      <c r="I5792" s="380" t="s">
        <v>788</v>
      </c>
      <c r="J5792" s="380" t="s">
        <v>773</v>
      </c>
      <c r="K5792" s="381">
        <v>0.0</v>
      </c>
      <c r="L5792" s="382">
        <v>1.0</v>
      </c>
    </row>
    <row r="5793">
      <c r="A5793" s="380" t="s">
        <v>6667</v>
      </c>
      <c r="B5793" s="380" t="str">
        <f>IFERROR(__xludf.DUMMYFUNCTION("""COMPUTED_VALUE"""),"Stop Trasero Derecho Nkr Rw SJ410")</f>
        <v>Stop Trasero Derecho Nkr Rw SJ410</v>
      </c>
      <c r="C5793" s="380" t="str">
        <f>IFERROR(__xludf.DUMMYFUNCTION("""COMPUTED_VALUE"""),"70001175")</f>
        <v>70001175</v>
      </c>
      <c r="D5793" s="380" t="s">
        <v>767</v>
      </c>
      <c r="E5793" s="380" t="s">
        <v>786</v>
      </c>
      <c r="F5793" s="380" t="s">
        <v>998</v>
      </c>
      <c r="G5793" s="380" t="s">
        <v>1267</v>
      </c>
      <c r="H5793" s="380" t="s">
        <v>771</v>
      </c>
      <c r="I5793" s="380" t="s">
        <v>788</v>
      </c>
      <c r="J5793" s="380" t="s">
        <v>773</v>
      </c>
      <c r="K5793" s="381">
        <v>0.0</v>
      </c>
      <c r="L5793" s="382">
        <v>1.0</v>
      </c>
    </row>
    <row r="5794">
      <c r="A5794" s="380" t="s">
        <v>6668</v>
      </c>
      <c r="B5794" s="380" t="str">
        <f>IFERROR(__xludf.DUMMYFUNCTION("""COMPUTED_VALUE"""),"Parabrisas Laminado Hi Prostar")</f>
        <v>Parabrisas Laminado Hi Prostar</v>
      </c>
      <c r="C5794" s="380" t="str">
        <f>IFERROR(__xludf.DUMMYFUNCTION("""COMPUTED_VALUE"""),"70001176")</f>
        <v>70001176</v>
      </c>
      <c r="D5794" s="380" t="s">
        <v>767</v>
      </c>
      <c r="E5794" s="380" t="s">
        <v>786</v>
      </c>
      <c r="F5794" s="380" t="s">
        <v>792</v>
      </c>
      <c r="G5794" s="380" t="s">
        <v>1267</v>
      </c>
      <c r="H5794" s="380" t="s">
        <v>771</v>
      </c>
      <c r="I5794" s="380" t="s">
        <v>788</v>
      </c>
      <c r="J5794" s="380" t="s">
        <v>773</v>
      </c>
      <c r="K5794" s="381">
        <v>0.0</v>
      </c>
      <c r="L5794" s="382">
        <v>1.0</v>
      </c>
    </row>
    <row r="5795">
      <c r="A5795" s="380" t="s">
        <v>6669</v>
      </c>
      <c r="B5795" s="380" t="str">
        <f>IFERROR(__xludf.DUMMYFUNCTION("""COMPUTED_VALUE"""),"Espejo Inferior Derecho FRR 8983097250")</f>
        <v>Espejo Inferior Derecho FRR 8983097250</v>
      </c>
      <c r="C5795" s="380" t="str">
        <f>IFERROR(__xludf.DUMMYFUNCTION("""COMPUTED_VALUE"""),"70001177")</f>
        <v>70001177</v>
      </c>
      <c r="D5795" s="380" t="s">
        <v>767</v>
      </c>
      <c r="E5795" s="380" t="s">
        <v>786</v>
      </c>
      <c r="F5795" s="380" t="s">
        <v>792</v>
      </c>
      <c r="G5795" s="380" t="s">
        <v>1267</v>
      </c>
      <c r="H5795" s="380" t="s">
        <v>771</v>
      </c>
      <c r="I5795" s="380" t="s">
        <v>788</v>
      </c>
      <c r="J5795" s="380" t="s">
        <v>773</v>
      </c>
      <c r="K5795" s="381">
        <v>276556.0</v>
      </c>
      <c r="L5795" s="382">
        <v>1.0</v>
      </c>
    </row>
    <row r="5796">
      <c r="A5796" s="380" t="s">
        <v>6670</v>
      </c>
      <c r="B5796" s="380" t="str">
        <f>IFERROR(__xludf.DUMMYFUNCTION("""COMPUTED_VALUE"""),"Filtro Aire Mack Granite Goby AG961125R")</f>
        <v>Filtro Aire Mack Granite Goby AG961125R</v>
      </c>
      <c r="C5796" s="380" t="str">
        <f>IFERROR(__xludf.DUMMYFUNCTION("""COMPUTED_VALUE"""),"70001178")</f>
        <v>70001178</v>
      </c>
      <c r="D5796" s="380" t="s">
        <v>767</v>
      </c>
      <c r="E5796" s="380" t="s">
        <v>786</v>
      </c>
      <c r="F5796" s="380" t="s">
        <v>5855</v>
      </c>
      <c r="G5796" s="380" t="s">
        <v>1267</v>
      </c>
      <c r="H5796" s="380" t="s">
        <v>771</v>
      </c>
      <c r="I5796" s="380" t="s">
        <v>788</v>
      </c>
      <c r="J5796" s="380" t="s">
        <v>773</v>
      </c>
      <c r="K5796" s="381">
        <v>170123.0</v>
      </c>
      <c r="L5796" s="382">
        <v>1.0</v>
      </c>
    </row>
    <row r="5797">
      <c r="A5797" s="380" t="s">
        <v>6671</v>
      </c>
      <c r="B5797" s="380" t="str">
        <f>IFERROR(__xludf.DUMMYFUNCTION("""COMPUTED_VALUE"""),"Filtro Aire Motor Prostar Isx MAG961020R")</f>
        <v>Filtro Aire Motor Prostar Isx MAG961020R</v>
      </c>
      <c r="C5797" s="380" t="str">
        <f>IFERROR(__xludf.DUMMYFUNCTION("""COMPUTED_VALUE"""),"70001179")</f>
        <v>70001179</v>
      </c>
      <c r="D5797" s="380" t="s">
        <v>767</v>
      </c>
      <c r="E5797" s="380" t="s">
        <v>786</v>
      </c>
      <c r="F5797" s="380" t="s">
        <v>5855</v>
      </c>
      <c r="G5797" s="380" t="s">
        <v>1267</v>
      </c>
      <c r="H5797" s="380" t="s">
        <v>771</v>
      </c>
      <c r="I5797" s="380" t="s">
        <v>788</v>
      </c>
      <c r="J5797" s="380" t="s">
        <v>773</v>
      </c>
      <c r="K5797" s="381">
        <v>210416.0</v>
      </c>
      <c r="L5797" s="382">
        <v>1.0</v>
      </c>
    </row>
    <row r="5798">
      <c r="A5798" s="380" t="s">
        <v>6672</v>
      </c>
      <c r="B5798" s="380" t="str">
        <f>IFERROR(__xludf.DUMMYFUNCTION("""COMPUTED_VALUE"""),"Eje De Leva Motor Isx KW 4298627")</f>
        <v>Eje De Leva Motor Isx KW 4298627</v>
      </c>
      <c r="C5798" s="380" t="str">
        <f>IFERROR(__xludf.DUMMYFUNCTION("""COMPUTED_VALUE"""),"70001180")</f>
        <v>70001180</v>
      </c>
      <c r="D5798" s="380" t="s">
        <v>767</v>
      </c>
      <c r="E5798" s="380" t="s">
        <v>786</v>
      </c>
      <c r="F5798" s="380" t="s">
        <v>787</v>
      </c>
      <c r="G5798" s="380" t="s">
        <v>1267</v>
      </c>
      <c r="H5798" s="380" t="s">
        <v>771</v>
      </c>
      <c r="I5798" s="380" t="s">
        <v>788</v>
      </c>
      <c r="J5798" s="380" t="s">
        <v>773</v>
      </c>
      <c r="K5798" s="381">
        <v>0.0</v>
      </c>
      <c r="L5798" s="382">
        <v>1.0</v>
      </c>
    </row>
    <row r="5799">
      <c r="A5799" s="380" t="s">
        <v>6673</v>
      </c>
      <c r="B5799" s="380" t="str">
        <f>IFERROR(__xludf.DUMMYFUNCTION("""COMPUTED_VALUE"""),"Marco Pta Izq Cabina Nkr Rewar8975860478")</f>
        <v>Marco Pta Izq Cabina Nkr Rewar8975860478</v>
      </c>
      <c r="C5799" s="380" t="str">
        <f>IFERROR(__xludf.DUMMYFUNCTION("""COMPUTED_VALUE"""),"70001181")</f>
        <v>70001181</v>
      </c>
      <c r="D5799" s="380" t="s">
        <v>767</v>
      </c>
      <c r="E5799" s="380" t="s">
        <v>786</v>
      </c>
      <c r="F5799" s="380" t="s">
        <v>792</v>
      </c>
      <c r="G5799" s="380" t="s">
        <v>1267</v>
      </c>
      <c r="H5799" s="380" t="s">
        <v>771</v>
      </c>
      <c r="I5799" s="380" t="s">
        <v>788</v>
      </c>
      <c r="J5799" s="380" t="s">
        <v>773</v>
      </c>
      <c r="K5799" s="381">
        <v>0.0</v>
      </c>
      <c r="L5799" s="382">
        <v>1.0</v>
      </c>
    </row>
    <row r="5800">
      <c r="A5800" s="380" t="s">
        <v>6674</v>
      </c>
      <c r="B5800" s="380" t="str">
        <f>IFERROR(__xludf.DUMMYFUNCTION("""COMPUTED_VALUE"""),"Persiana Capo Inter Prostar 3612816C93")</f>
        <v>Persiana Capo Inter Prostar 3612816C93</v>
      </c>
      <c r="C5800" s="380" t="str">
        <f>IFERROR(__xludf.DUMMYFUNCTION("""COMPUTED_VALUE"""),"70001182")</f>
        <v>70001182</v>
      </c>
      <c r="D5800" s="380" t="s">
        <v>767</v>
      </c>
      <c r="E5800" s="380" t="s">
        <v>786</v>
      </c>
      <c r="F5800" s="380" t="s">
        <v>792</v>
      </c>
      <c r="G5800" s="380" t="s">
        <v>1267</v>
      </c>
      <c r="H5800" s="380" t="s">
        <v>771</v>
      </c>
      <c r="I5800" s="380" t="s">
        <v>788</v>
      </c>
      <c r="J5800" s="380" t="s">
        <v>773</v>
      </c>
      <c r="K5800" s="381">
        <v>0.0</v>
      </c>
      <c r="L5800" s="382">
        <v>1.0</v>
      </c>
    </row>
    <row r="5801">
      <c r="A5801" s="380" t="s">
        <v>6675</v>
      </c>
      <c r="B5801" s="380" t="str">
        <f>IFERROR(__xludf.DUMMYFUNCTION("""COMPUTED_VALUE"""),"Balancin Escape Tras Isx - T800 4298640")</f>
        <v>Balancin Escape Tras Isx - T800 4298640</v>
      </c>
      <c r="C5801" s="380" t="str">
        <f>IFERROR(__xludf.DUMMYFUNCTION("""COMPUTED_VALUE"""),"70001183")</f>
        <v>70001183</v>
      </c>
      <c r="D5801" s="380" t="s">
        <v>767</v>
      </c>
      <c r="E5801" s="380" t="s">
        <v>786</v>
      </c>
      <c r="F5801" s="380" t="s">
        <v>787</v>
      </c>
      <c r="G5801" s="380" t="s">
        <v>1267</v>
      </c>
      <c r="H5801" s="380" t="s">
        <v>771</v>
      </c>
      <c r="I5801" s="380" t="s">
        <v>788</v>
      </c>
      <c r="J5801" s="380" t="s">
        <v>773</v>
      </c>
      <c r="K5801" s="381">
        <v>0.0</v>
      </c>
      <c r="L5801" s="382">
        <v>1.0</v>
      </c>
    </row>
    <row r="5802">
      <c r="A5802" s="380" t="s">
        <v>6676</v>
      </c>
      <c r="B5802" s="380" t="str">
        <f>IFERROR(__xludf.DUMMYFUNCTION("""COMPUTED_VALUE"""),"Cubo Sincroniz Caja Hino Dutro3336237030")</f>
        <v>Cubo Sincroniz Caja Hino Dutro3336237030</v>
      </c>
      <c r="C5802" s="380" t="str">
        <f>IFERROR(__xludf.DUMMYFUNCTION("""COMPUTED_VALUE"""),"70001184")</f>
        <v>70001184</v>
      </c>
      <c r="D5802" s="380" t="s">
        <v>767</v>
      </c>
      <c r="E5802" s="380" t="s">
        <v>786</v>
      </c>
      <c r="F5802" s="380" t="s">
        <v>1020</v>
      </c>
      <c r="G5802" s="380" t="s">
        <v>1267</v>
      </c>
      <c r="H5802" s="380" t="s">
        <v>771</v>
      </c>
      <c r="I5802" s="380" t="s">
        <v>788</v>
      </c>
      <c r="J5802" s="380" t="s">
        <v>773</v>
      </c>
      <c r="K5802" s="381">
        <v>0.0</v>
      </c>
      <c r="L5802" s="382">
        <v>1.0</v>
      </c>
    </row>
    <row r="5803">
      <c r="A5803" s="380" t="s">
        <v>6677</v>
      </c>
      <c r="B5803" s="380" t="str">
        <f>IFERROR(__xludf.DUMMYFUNCTION("""COMPUTED_VALUE"""),"Nucleo De 2daY3ra Cja Dir Hino3336437052")</f>
        <v>Nucleo De 2daY3ra Cja Dir Hino3336437052</v>
      </c>
      <c r="C5803" s="380" t="str">
        <f>IFERROR(__xludf.DUMMYFUNCTION("""COMPUTED_VALUE"""),"70001185")</f>
        <v>70001185</v>
      </c>
      <c r="D5803" s="380" t="s">
        <v>767</v>
      </c>
      <c r="E5803" s="380" t="s">
        <v>786</v>
      </c>
      <c r="F5803" s="380" t="s">
        <v>1020</v>
      </c>
      <c r="G5803" s="380" t="s">
        <v>1267</v>
      </c>
      <c r="H5803" s="380" t="s">
        <v>771</v>
      </c>
      <c r="I5803" s="380" t="s">
        <v>788</v>
      </c>
      <c r="J5803" s="380" t="s">
        <v>773</v>
      </c>
      <c r="K5803" s="381">
        <v>0.0</v>
      </c>
      <c r="L5803" s="382">
        <v>1.0</v>
      </c>
    </row>
    <row r="5804">
      <c r="A5804" s="380" t="s">
        <v>6678</v>
      </c>
      <c r="B5804" s="380" t="str">
        <f>IFERROR(__xludf.DUMMYFUNCTION("""COMPUTED_VALUE"""),"Sincroniz De 5ta Caja Dir Hino3339636010")</f>
        <v>Sincroniz De 5ta Caja Dir Hino3339636010</v>
      </c>
      <c r="C5804" s="380" t="str">
        <f>IFERROR(__xludf.DUMMYFUNCTION("""COMPUTED_VALUE"""),"70001186")</f>
        <v>70001186</v>
      </c>
      <c r="D5804" s="380" t="s">
        <v>767</v>
      </c>
      <c r="E5804" s="380" t="s">
        <v>786</v>
      </c>
      <c r="F5804" s="380" t="s">
        <v>1020</v>
      </c>
      <c r="G5804" s="380" t="s">
        <v>1267</v>
      </c>
      <c r="H5804" s="380" t="s">
        <v>771</v>
      </c>
      <c r="I5804" s="380" t="s">
        <v>788</v>
      </c>
      <c r="J5804" s="380" t="s">
        <v>773</v>
      </c>
      <c r="K5804" s="381">
        <v>0.0</v>
      </c>
      <c r="L5804" s="382">
        <v>1.0</v>
      </c>
    </row>
    <row r="5805">
      <c r="A5805" s="380" t="s">
        <v>6679</v>
      </c>
      <c r="B5805" s="380" t="str">
        <f>IFERROR(__xludf.DUMMYFUNCTION("""COMPUTED_VALUE"""),"Pasador Balanc Muelle Del T800 MR894-Aut")</f>
        <v>Pasador Balanc Muelle Del T800 MR894-Aut</v>
      </c>
      <c r="C5805" s="380" t="str">
        <f>IFERROR(__xludf.DUMMYFUNCTION("""COMPUTED_VALUE"""),"70001187")</f>
        <v>70001187</v>
      </c>
      <c r="D5805" s="380" t="s">
        <v>767</v>
      </c>
      <c r="E5805" s="380" t="s">
        <v>786</v>
      </c>
      <c r="F5805" s="380" t="s">
        <v>1039</v>
      </c>
      <c r="G5805" s="380" t="s">
        <v>1267</v>
      </c>
      <c r="H5805" s="380" t="s">
        <v>771</v>
      </c>
      <c r="I5805" s="380" t="s">
        <v>788</v>
      </c>
      <c r="J5805" s="380" t="s">
        <v>773</v>
      </c>
      <c r="K5805" s="381">
        <v>0.0</v>
      </c>
      <c r="L5805" s="382">
        <v>1.0</v>
      </c>
    </row>
    <row r="5806">
      <c r="A5806" s="380" t="s">
        <v>6680</v>
      </c>
      <c r="B5806" s="380" t="str">
        <f>IFERROR(__xludf.DUMMYFUNCTION("""COMPUTED_VALUE"""),"Riel Central Puerta Lat N200 Izq24520526")</f>
        <v>Riel Central Puerta Lat N200 Izq24520526</v>
      </c>
      <c r="C5806" s="380" t="str">
        <f>IFERROR(__xludf.DUMMYFUNCTION("""COMPUTED_VALUE"""),"70001188")</f>
        <v>70001188</v>
      </c>
      <c r="D5806" s="380" t="s">
        <v>767</v>
      </c>
      <c r="E5806" s="380" t="s">
        <v>786</v>
      </c>
      <c r="F5806" s="380" t="s">
        <v>792</v>
      </c>
      <c r="G5806" s="380" t="s">
        <v>1267</v>
      </c>
      <c r="H5806" s="380" t="s">
        <v>771</v>
      </c>
      <c r="I5806" s="380" t="s">
        <v>788</v>
      </c>
      <c r="J5806" s="380" t="s">
        <v>773</v>
      </c>
      <c r="K5806" s="381">
        <v>0.0</v>
      </c>
      <c r="L5806" s="382">
        <v>1.0</v>
      </c>
    </row>
    <row r="5807">
      <c r="A5807" s="380" t="s">
        <v>6681</v>
      </c>
      <c r="B5807" s="380" t="str">
        <f>IFERROR(__xludf.DUMMYFUNCTION("""COMPUTED_VALUE"""),"Caucho Gancho Tapa Cja Bateria 777812C91")</f>
        <v>Caucho Gancho Tapa Cja Bateria 777812C91</v>
      </c>
      <c r="C5807" s="380" t="str">
        <f>IFERROR(__xludf.DUMMYFUNCTION("""COMPUTED_VALUE"""),"70001189")</f>
        <v>70001189</v>
      </c>
      <c r="D5807" s="380" t="s">
        <v>767</v>
      </c>
      <c r="E5807" s="380" t="s">
        <v>786</v>
      </c>
      <c r="F5807" s="380" t="s">
        <v>792</v>
      </c>
      <c r="G5807" s="380" t="s">
        <v>1267</v>
      </c>
      <c r="H5807" s="380" t="s">
        <v>771</v>
      </c>
      <c r="I5807" s="380" t="s">
        <v>788</v>
      </c>
      <c r="J5807" s="380" t="s">
        <v>773</v>
      </c>
      <c r="K5807" s="381">
        <v>0.0</v>
      </c>
      <c r="L5807" s="382">
        <v>1.0</v>
      </c>
    </row>
    <row r="5808">
      <c r="A5808" s="380" t="s">
        <v>6682</v>
      </c>
      <c r="B5808" s="380" t="str">
        <f>IFERROR(__xludf.DUMMYFUNCTION("""COMPUTED_VALUE"""),"Pin Tuerca Eje Delantero KW T800 4504837")</f>
        <v>Pin Tuerca Eje Delantero KW T800 4504837</v>
      </c>
      <c r="C5808" s="380" t="str">
        <f>IFERROR(__xludf.DUMMYFUNCTION("""COMPUTED_VALUE"""),"70001190")</f>
        <v>70001190</v>
      </c>
      <c r="D5808" s="380" t="s">
        <v>767</v>
      </c>
      <c r="E5808" s="380" t="s">
        <v>786</v>
      </c>
      <c r="F5808" s="380" t="s">
        <v>1039</v>
      </c>
      <c r="G5808" s="380" t="s">
        <v>1267</v>
      </c>
      <c r="H5808" s="380" t="s">
        <v>771</v>
      </c>
      <c r="I5808" s="380" t="s">
        <v>788</v>
      </c>
      <c r="J5808" s="380" t="s">
        <v>773</v>
      </c>
      <c r="K5808" s="381">
        <v>0.0</v>
      </c>
      <c r="L5808" s="382">
        <v>1.0</v>
      </c>
    </row>
    <row r="5809">
      <c r="A5809" s="380" t="s">
        <v>6683</v>
      </c>
      <c r="B5809" s="380" t="str">
        <f>IFERROR(__xludf.DUMMYFUNCTION("""COMPUTED_VALUE"""),"Brazo Plumilla Der Freightlin A227200900")</f>
        <v>Brazo Plumilla Der Freightlin A227200900</v>
      </c>
      <c r="C5809" s="380" t="str">
        <f>IFERROR(__xludf.DUMMYFUNCTION("""COMPUTED_VALUE"""),"70001191")</f>
        <v>70001191</v>
      </c>
      <c r="D5809" s="380" t="s">
        <v>767</v>
      </c>
      <c r="E5809" s="380" t="s">
        <v>786</v>
      </c>
      <c r="F5809" s="380" t="s">
        <v>792</v>
      </c>
      <c r="G5809" s="380" t="s">
        <v>1267</v>
      </c>
      <c r="H5809" s="380" t="s">
        <v>771</v>
      </c>
      <c r="I5809" s="380" t="s">
        <v>788</v>
      </c>
      <c r="J5809" s="380" t="s">
        <v>773</v>
      </c>
      <c r="K5809" s="381">
        <v>271320.0</v>
      </c>
      <c r="L5809" s="382">
        <v>1.0</v>
      </c>
    </row>
    <row r="5810">
      <c r="A5810" s="380" t="s">
        <v>6684</v>
      </c>
      <c r="B5810" s="380" t="str">
        <f>IFERROR(__xludf.DUMMYFUNCTION("""COMPUTED_VALUE"""),"Valvula Segurid Tque Aire Eagle3820172C1")</f>
        <v>Valvula Segurid Tque Aire Eagle3820172C1</v>
      </c>
      <c r="C5810" s="380" t="str">
        <f>IFERROR(__xludf.DUMMYFUNCTION("""COMPUTED_VALUE"""),"70001192")</f>
        <v>70001192</v>
      </c>
      <c r="D5810" s="380" t="s">
        <v>767</v>
      </c>
      <c r="E5810" s="380" t="s">
        <v>786</v>
      </c>
      <c r="F5810" s="380" t="s">
        <v>792</v>
      </c>
      <c r="G5810" s="380" t="s">
        <v>1267</v>
      </c>
      <c r="H5810" s="380" t="s">
        <v>771</v>
      </c>
      <c r="I5810" s="380" t="s">
        <v>788</v>
      </c>
      <c r="J5810" s="380" t="s">
        <v>773</v>
      </c>
      <c r="K5810" s="381">
        <v>0.0</v>
      </c>
      <c r="L5810" s="382">
        <v>1.0</v>
      </c>
    </row>
    <row r="5811">
      <c r="A5811" s="380" t="s">
        <v>6685</v>
      </c>
      <c r="B5811" s="380" t="str">
        <f>IFERROR(__xludf.DUMMYFUNCTION("""COMPUTED_VALUE"""),"Manguera Sup Freno Del N200 23912219")</f>
        <v>Manguera Sup Freno Del N200 23912219</v>
      </c>
      <c r="C5811" s="380" t="str">
        <f>IFERROR(__xludf.DUMMYFUNCTION("""COMPUTED_VALUE"""),"70001193")</f>
        <v>70001193</v>
      </c>
      <c r="D5811" s="380" t="s">
        <v>767</v>
      </c>
      <c r="E5811" s="380" t="s">
        <v>786</v>
      </c>
      <c r="F5811" s="380" t="s">
        <v>1017</v>
      </c>
      <c r="G5811" s="380" t="s">
        <v>1267</v>
      </c>
      <c r="H5811" s="380" t="s">
        <v>771</v>
      </c>
      <c r="I5811" s="380" t="s">
        <v>788</v>
      </c>
      <c r="J5811" s="380" t="s">
        <v>773</v>
      </c>
      <c r="K5811" s="381">
        <v>0.0</v>
      </c>
      <c r="L5811" s="382">
        <v>1.0</v>
      </c>
    </row>
    <row r="5812">
      <c r="A5812" s="380" t="s">
        <v>6686</v>
      </c>
      <c r="B5812" s="380" t="str">
        <f>IFERROR(__xludf.DUMMYFUNCTION("""COMPUTED_VALUE"""),"Bomba De Gasolina N200 9050418")</f>
        <v>Bomba De Gasolina N200 9050418</v>
      </c>
      <c r="C5812" s="380" t="str">
        <f>IFERROR(__xludf.DUMMYFUNCTION("""COMPUTED_VALUE"""),"70001194")</f>
        <v>70001194</v>
      </c>
      <c r="D5812" s="380" t="s">
        <v>767</v>
      </c>
      <c r="E5812" s="380" t="s">
        <v>786</v>
      </c>
      <c r="F5812" s="380" t="s">
        <v>787</v>
      </c>
      <c r="G5812" s="380" t="s">
        <v>1267</v>
      </c>
      <c r="H5812" s="380" t="s">
        <v>771</v>
      </c>
      <c r="I5812" s="380" t="s">
        <v>788</v>
      </c>
      <c r="J5812" s="380" t="s">
        <v>773</v>
      </c>
      <c r="K5812" s="381">
        <v>0.0</v>
      </c>
      <c r="L5812" s="382">
        <v>1.0</v>
      </c>
    </row>
    <row r="5813">
      <c r="A5813" s="380" t="s">
        <v>6687</v>
      </c>
      <c r="B5813" s="380" t="str">
        <f>IFERROR(__xludf.DUMMYFUNCTION("""COMPUTED_VALUE"""),"Muelle Delantero Nkr 22934")</f>
        <v>Muelle Delantero Nkr 22934</v>
      </c>
      <c r="C5813" s="380" t="str">
        <f>IFERROR(__xludf.DUMMYFUNCTION("""COMPUTED_VALUE"""),"70001195")</f>
        <v>70001195</v>
      </c>
      <c r="D5813" s="380" t="s">
        <v>767</v>
      </c>
      <c r="E5813" s="380" t="s">
        <v>786</v>
      </c>
      <c r="F5813" s="380" t="s">
        <v>1039</v>
      </c>
      <c r="G5813" s="380" t="s">
        <v>1267</v>
      </c>
      <c r="H5813" s="380" t="s">
        <v>771</v>
      </c>
      <c r="I5813" s="380" t="s">
        <v>788</v>
      </c>
      <c r="J5813" s="380" t="s">
        <v>773</v>
      </c>
      <c r="K5813" s="381">
        <v>0.0</v>
      </c>
      <c r="L5813" s="382">
        <v>1.0</v>
      </c>
    </row>
    <row r="5814">
      <c r="A5814" s="380" t="s">
        <v>6688</v>
      </c>
      <c r="B5814" s="380" t="str">
        <f>IFERROR(__xludf.DUMMYFUNCTION("""COMPUTED_VALUE"""),"Soporte Inf Panel Cabina Der 3502890C1")</f>
        <v>Soporte Inf Panel Cabina Der 3502890C1</v>
      </c>
      <c r="C5814" s="380" t="str">
        <f>IFERROR(__xludf.DUMMYFUNCTION("""COMPUTED_VALUE"""),"70001196")</f>
        <v>70001196</v>
      </c>
      <c r="D5814" s="380" t="s">
        <v>767</v>
      </c>
      <c r="E5814" s="380" t="s">
        <v>786</v>
      </c>
      <c r="F5814" s="380" t="s">
        <v>792</v>
      </c>
      <c r="G5814" s="380" t="s">
        <v>1267</v>
      </c>
      <c r="H5814" s="380" t="s">
        <v>771</v>
      </c>
      <c r="I5814" s="380" t="s">
        <v>788</v>
      </c>
      <c r="J5814" s="380" t="s">
        <v>773</v>
      </c>
      <c r="K5814" s="381">
        <v>0.0</v>
      </c>
      <c r="L5814" s="382">
        <v>1.0</v>
      </c>
    </row>
    <row r="5815">
      <c r="A5815" s="380" t="s">
        <v>6689</v>
      </c>
      <c r="B5815" s="380" t="str">
        <f>IFERROR(__xludf.DUMMYFUNCTION("""COMPUTED_VALUE"""),"Filtro Deposito Hidraulic Nkr 8970947320")</f>
        <v>Filtro Deposito Hidraulic Nkr 8970947320</v>
      </c>
      <c r="C5815" s="380" t="str">
        <f>IFERROR(__xludf.DUMMYFUNCTION("""COMPUTED_VALUE"""),"70001197")</f>
        <v>70001197</v>
      </c>
      <c r="D5815" s="380" t="s">
        <v>767</v>
      </c>
      <c r="E5815" s="380" t="s">
        <v>786</v>
      </c>
      <c r="F5815" s="380" t="s">
        <v>5855</v>
      </c>
      <c r="G5815" s="380" t="s">
        <v>1267</v>
      </c>
      <c r="H5815" s="380" t="s">
        <v>771</v>
      </c>
      <c r="I5815" s="380" t="s">
        <v>788</v>
      </c>
      <c r="J5815" s="380" t="s">
        <v>773</v>
      </c>
      <c r="K5815" s="381">
        <v>69608.0</v>
      </c>
      <c r="L5815" s="382">
        <v>1.0</v>
      </c>
    </row>
    <row r="5816">
      <c r="A5816" s="380" t="s">
        <v>6690</v>
      </c>
      <c r="B5816" s="380" t="str">
        <f>IFERROR(__xludf.DUMMYFUNCTION("""COMPUTED_VALUE"""),"Soporte Bomba Inyeccion Nkr 8941337611")</f>
        <v>Soporte Bomba Inyeccion Nkr 8941337611</v>
      </c>
      <c r="C5816" s="380" t="str">
        <f>IFERROR(__xludf.DUMMYFUNCTION("""COMPUTED_VALUE"""),"70001198")</f>
        <v>70001198</v>
      </c>
      <c r="D5816" s="380" t="s">
        <v>767</v>
      </c>
      <c r="E5816" s="380" t="s">
        <v>786</v>
      </c>
      <c r="F5816" s="380" t="s">
        <v>787</v>
      </c>
      <c r="G5816" s="380" t="s">
        <v>1267</v>
      </c>
      <c r="H5816" s="380" t="s">
        <v>771</v>
      </c>
      <c r="I5816" s="380" t="s">
        <v>788</v>
      </c>
      <c r="J5816" s="380" t="s">
        <v>773</v>
      </c>
      <c r="K5816" s="381">
        <v>0.0</v>
      </c>
      <c r="L5816" s="382">
        <v>1.0</v>
      </c>
    </row>
    <row r="5817">
      <c r="A5817" s="380" t="s">
        <v>6691</v>
      </c>
      <c r="B5817" s="380" t="str">
        <f>IFERROR(__xludf.DUMMYFUNCTION("""COMPUTED_VALUE"""),"Soporte Bba Iny Al Bloque Nkr 8941337622")</f>
        <v>Soporte Bba Iny Al Bloque Nkr 8941337622</v>
      </c>
      <c r="C5817" s="380" t="str">
        <f>IFERROR(__xludf.DUMMYFUNCTION("""COMPUTED_VALUE"""),"70001199")</f>
        <v>70001199</v>
      </c>
      <c r="D5817" s="380" t="s">
        <v>767</v>
      </c>
      <c r="E5817" s="380" t="s">
        <v>786</v>
      </c>
      <c r="F5817" s="380" t="s">
        <v>787</v>
      </c>
      <c r="G5817" s="380" t="s">
        <v>1267</v>
      </c>
      <c r="H5817" s="380" t="s">
        <v>771</v>
      </c>
      <c r="I5817" s="380" t="s">
        <v>788</v>
      </c>
      <c r="J5817" s="380" t="s">
        <v>773</v>
      </c>
      <c r="K5817" s="381">
        <v>0.0</v>
      </c>
      <c r="L5817" s="382">
        <v>1.0</v>
      </c>
    </row>
    <row r="5818">
      <c r="A5818" s="380" t="s">
        <v>6692</v>
      </c>
      <c r="B5818" s="380" t="str">
        <f>IFERROR(__xludf.DUMMYFUNCTION("""COMPUTED_VALUE"""),"Porta Rodillo Mono Caja 16918 4304499")</f>
        <v>Porta Rodillo Mono Caja 16918 4304499</v>
      </c>
      <c r="C5818" s="380" t="str">
        <f>IFERROR(__xludf.DUMMYFUNCTION("""COMPUTED_VALUE"""),"70001200")</f>
        <v>70001200</v>
      </c>
      <c r="D5818" s="380" t="s">
        <v>767</v>
      </c>
      <c r="E5818" s="380" t="s">
        <v>786</v>
      </c>
      <c r="F5818" s="380" t="s">
        <v>928</v>
      </c>
      <c r="G5818" s="380" t="s">
        <v>1267</v>
      </c>
      <c r="H5818" s="380" t="s">
        <v>771</v>
      </c>
      <c r="I5818" s="380" t="s">
        <v>788</v>
      </c>
      <c r="J5818" s="380" t="s">
        <v>773</v>
      </c>
      <c r="K5818" s="381">
        <v>0.0</v>
      </c>
      <c r="L5818" s="382">
        <v>1.0</v>
      </c>
    </row>
    <row r="5819">
      <c r="A5819" s="380" t="s">
        <v>6693</v>
      </c>
      <c r="B5819" s="380" t="str">
        <f>IFERROR(__xludf.DUMMYFUNCTION("""COMPUTED_VALUE"""),"Inyect Aceite Caden Repart Rew8973560611")</f>
        <v>Inyect Aceite Caden Repart Rew8973560611</v>
      </c>
      <c r="C5819" s="380" t="str">
        <f>IFERROR(__xludf.DUMMYFUNCTION("""COMPUTED_VALUE"""),"70001201")</f>
        <v>70001201</v>
      </c>
      <c r="D5819" s="380" t="s">
        <v>767</v>
      </c>
      <c r="E5819" s="380" t="s">
        <v>786</v>
      </c>
      <c r="F5819" s="380" t="s">
        <v>787</v>
      </c>
      <c r="G5819" s="380" t="s">
        <v>1267</v>
      </c>
      <c r="H5819" s="380" t="s">
        <v>771</v>
      </c>
      <c r="I5819" s="380" t="s">
        <v>788</v>
      </c>
      <c r="J5819" s="380" t="s">
        <v>773</v>
      </c>
      <c r="K5819" s="381">
        <v>0.0</v>
      </c>
      <c r="L5819" s="382">
        <v>1.0</v>
      </c>
    </row>
    <row r="5820">
      <c r="A5820" s="380" t="s">
        <v>6694</v>
      </c>
      <c r="B5820" s="380" t="str">
        <f>IFERROR(__xludf.DUMMYFUNCTION("""COMPUTED_VALUE"""),"Jgo Separ Hombro Qta Rueda HollandPKPKT2")</f>
        <v>Jgo Separ Hombro Qta Rueda HollandPKPKT2</v>
      </c>
      <c r="C5820" s="380" t="str">
        <f>IFERROR(__xludf.DUMMYFUNCTION("""COMPUTED_VALUE"""),"70001202")</f>
        <v>70001202</v>
      </c>
      <c r="D5820" s="380" t="s">
        <v>767</v>
      </c>
      <c r="E5820" s="380" t="s">
        <v>786</v>
      </c>
      <c r="F5820" s="380" t="s">
        <v>792</v>
      </c>
      <c r="G5820" s="380" t="s">
        <v>1267</v>
      </c>
      <c r="H5820" s="380" t="s">
        <v>771</v>
      </c>
      <c r="I5820" s="380" t="s">
        <v>788</v>
      </c>
      <c r="J5820" s="380" t="s">
        <v>773</v>
      </c>
      <c r="K5820" s="381">
        <v>0.0</v>
      </c>
      <c r="L5820" s="382">
        <v>1.0</v>
      </c>
    </row>
    <row r="5821">
      <c r="A5821" s="380" t="s">
        <v>6695</v>
      </c>
      <c r="B5821" s="380" t="str">
        <f>IFERROR(__xludf.DUMMYFUNCTION("""COMPUTED_VALUE"""),"Valv Contr Alt Susp Inter LT 2505186C91")</f>
        <v>Valv Contr Alt Susp Inter LT 2505186C91</v>
      </c>
      <c r="C5821" s="380" t="str">
        <f>IFERROR(__xludf.DUMMYFUNCTION("""COMPUTED_VALUE"""),"70001203")</f>
        <v>70001203</v>
      </c>
      <c r="D5821" s="380" t="s">
        <v>767</v>
      </c>
      <c r="E5821" s="380" t="s">
        <v>786</v>
      </c>
      <c r="F5821" s="380" t="s">
        <v>1039</v>
      </c>
      <c r="G5821" s="380" t="s">
        <v>1267</v>
      </c>
      <c r="H5821" s="380" t="s">
        <v>771</v>
      </c>
      <c r="I5821" s="380" t="s">
        <v>788</v>
      </c>
      <c r="J5821" s="380" t="s">
        <v>773</v>
      </c>
      <c r="K5821" s="381">
        <v>0.0</v>
      </c>
      <c r="L5821" s="382">
        <v>1.0</v>
      </c>
    </row>
    <row r="5822">
      <c r="A5822" s="380" t="s">
        <v>6696</v>
      </c>
      <c r="B5822" s="380" t="str">
        <f>IFERROR(__xludf.DUMMYFUNCTION("""COMPUTED_VALUE"""),"Retenedor Rueda Trasera Externo FTR")</f>
        <v>Retenedor Rueda Trasera Externo FTR</v>
      </c>
      <c r="C5822" s="380" t="str">
        <f>IFERROR(__xludf.DUMMYFUNCTION("""COMPUTED_VALUE"""),"70001204")</f>
        <v>70001204</v>
      </c>
      <c r="D5822" s="380" t="s">
        <v>767</v>
      </c>
      <c r="E5822" s="380" t="s">
        <v>786</v>
      </c>
      <c r="F5822" s="380" t="s">
        <v>1039</v>
      </c>
      <c r="G5822" s="380" t="s">
        <v>1267</v>
      </c>
      <c r="H5822" s="380" t="s">
        <v>771</v>
      </c>
      <c r="I5822" s="380" t="s">
        <v>788</v>
      </c>
      <c r="J5822" s="380" t="s">
        <v>773</v>
      </c>
      <c r="K5822" s="381">
        <v>0.0</v>
      </c>
      <c r="L5822" s="382">
        <v>1.0</v>
      </c>
    </row>
    <row r="5823">
      <c r="A5823" s="380" t="s">
        <v>6697</v>
      </c>
      <c r="B5823" s="380" t="str">
        <f>IFERROR(__xludf.DUMMYFUNCTION("""COMPUTED_VALUE"""),"Kit Reparacion Culata Isx")</f>
        <v>Kit Reparacion Culata Isx</v>
      </c>
      <c r="C5823" s="380" t="str">
        <f>IFERROR(__xludf.DUMMYFUNCTION("""COMPUTED_VALUE"""),"70001205")</f>
        <v>70001205</v>
      </c>
      <c r="D5823" s="380" t="s">
        <v>767</v>
      </c>
      <c r="E5823" s="380" t="s">
        <v>786</v>
      </c>
      <c r="F5823" s="380" t="s">
        <v>787</v>
      </c>
      <c r="G5823" s="380" t="s">
        <v>1267</v>
      </c>
      <c r="H5823" s="380" t="s">
        <v>771</v>
      </c>
      <c r="I5823" s="380" t="s">
        <v>788</v>
      </c>
      <c r="J5823" s="380" t="s">
        <v>773</v>
      </c>
      <c r="K5823" s="381">
        <v>0.0</v>
      </c>
      <c r="L5823" s="382">
        <v>1.0</v>
      </c>
    </row>
    <row r="5824">
      <c r="A5824" s="380" t="s">
        <v>6698</v>
      </c>
      <c r="B5824" s="380" t="str">
        <f>IFERROR(__xludf.DUMMYFUNCTION("""COMPUTED_VALUE"""),"Filtro Aceite 4Y Convertidor Montacarga")</f>
        <v>Filtro Aceite 4Y Convertidor Montacarga</v>
      </c>
      <c r="C5824" s="380" t="str">
        <f>IFERROR(__xludf.DUMMYFUNCTION("""COMPUTED_VALUE"""),"70001206")</f>
        <v>70001206</v>
      </c>
      <c r="D5824" s="380" t="s">
        <v>767</v>
      </c>
      <c r="E5824" s="380" t="s">
        <v>786</v>
      </c>
      <c r="F5824" s="380" t="s">
        <v>787</v>
      </c>
      <c r="G5824" s="380" t="s">
        <v>1267</v>
      </c>
      <c r="H5824" s="380" t="s">
        <v>771</v>
      </c>
      <c r="I5824" s="380" t="s">
        <v>788</v>
      </c>
      <c r="J5824" s="380" t="s">
        <v>773</v>
      </c>
      <c r="K5824" s="381">
        <v>0.0</v>
      </c>
      <c r="L5824" s="382">
        <v>1.0</v>
      </c>
    </row>
    <row r="5825">
      <c r="A5825" s="380" t="s">
        <v>6699</v>
      </c>
      <c r="B5825" s="380" t="str">
        <f>IFERROR(__xludf.DUMMYFUNCTION("""COMPUTED_VALUE"""),"Rache Freno Automatico 6 0"" X 28 Izq")</f>
        <v>Rache Freno Automatico 6 0" X 28 Izq</v>
      </c>
      <c r="C5825" s="380" t="str">
        <f>IFERROR(__xludf.DUMMYFUNCTION("""COMPUTED_VALUE"""),"70001207")</f>
        <v>70001207</v>
      </c>
      <c r="D5825" s="380" t="s">
        <v>767</v>
      </c>
      <c r="E5825" s="380" t="s">
        <v>786</v>
      </c>
      <c r="F5825" s="380" t="s">
        <v>1017</v>
      </c>
      <c r="G5825" s="380" t="s">
        <v>1267</v>
      </c>
      <c r="H5825" s="380" t="s">
        <v>771</v>
      </c>
      <c r="I5825" s="380" t="s">
        <v>788</v>
      </c>
      <c r="J5825" s="380" t="s">
        <v>773</v>
      </c>
      <c r="K5825" s="381">
        <v>0.0</v>
      </c>
      <c r="L5825" s="382">
        <v>1.0</v>
      </c>
    </row>
    <row r="5826">
      <c r="A5826" s="380" t="s">
        <v>6700</v>
      </c>
      <c r="B5826" s="380" t="str">
        <f>IFERROR(__xludf.DUMMYFUNCTION("""COMPUTED_VALUE"""),"Guaya Select De Cambios Hino33830-37640")</f>
        <v>Guaya Select De Cambios Hino33830-37640</v>
      </c>
      <c r="C5826" s="380" t="str">
        <f>IFERROR(__xludf.DUMMYFUNCTION("""COMPUTED_VALUE"""),"70001208")</f>
        <v>70001208</v>
      </c>
      <c r="D5826" s="380" t="s">
        <v>767</v>
      </c>
      <c r="E5826" s="380" t="s">
        <v>786</v>
      </c>
      <c r="F5826" s="380" t="s">
        <v>1017</v>
      </c>
      <c r="G5826" s="380" t="s">
        <v>1267</v>
      </c>
      <c r="H5826" s="380" t="s">
        <v>771</v>
      </c>
      <c r="I5826" s="380" t="s">
        <v>788</v>
      </c>
      <c r="J5826" s="380" t="s">
        <v>773</v>
      </c>
      <c r="K5826" s="381">
        <v>1175666.0</v>
      </c>
      <c r="L5826" s="382">
        <v>1.0</v>
      </c>
    </row>
    <row r="5827">
      <c r="A5827" s="380" t="s">
        <v>6701</v>
      </c>
      <c r="B5827" s="380" t="str">
        <f>IFERROR(__xludf.DUMMYFUNCTION("""COMPUTED_VALUE"""),"Retenedor Rued Del FTR 1096250410")</f>
        <v>Retenedor Rued Del FTR 1096250410</v>
      </c>
      <c r="C5827" s="380" t="str">
        <f>IFERROR(__xludf.DUMMYFUNCTION("""COMPUTED_VALUE"""),"70001209")</f>
        <v>70001209</v>
      </c>
      <c r="D5827" s="380" t="s">
        <v>767</v>
      </c>
      <c r="E5827" s="380" t="s">
        <v>786</v>
      </c>
      <c r="F5827" s="380" t="s">
        <v>1039</v>
      </c>
      <c r="G5827" s="380" t="s">
        <v>1267</v>
      </c>
      <c r="H5827" s="380" t="s">
        <v>771</v>
      </c>
      <c r="I5827" s="380" t="s">
        <v>788</v>
      </c>
      <c r="J5827" s="380" t="s">
        <v>773</v>
      </c>
      <c r="K5827" s="381">
        <v>0.0</v>
      </c>
      <c r="L5827" s="382">
        <v>1.0</v>
      </c>
    </row>
    <row r="5828">
      <c r="A5828" s="380" t="s">
        <v>6702</v>
      </c>
      <c r="B5828" s="380" t="str">
        <f>IFERROR(__xludf.DUMMYFUNCTION("""COMPUTED_VALUE"""),"Cremall Elevav Elec Izq Eagle3662377C91")</f>
        <v>Cremall Elevav Elec Izq Eagle3662377C91</v>
      </c>
      <c r="C5828" s="380" t="str">
        <f>IFERROR(__xludf.DUMMYFUNCTION("""COMPUTED_VALUE"""),"70001210")</f>
        <v>70001210</v>
      </c>
      <c r="D5828" s="380" t="s">
        <v>767</v>
      </c>
      <c r="E5828" s="380" t="s">
        <v>786</v>
      </c>
      <c r="F5828" s="380" t="s">
        <v>998</v>
      </c>
      <c r="G5828" s="380" t="s">
        <v>1267</v>
      </c>
      <c r="H5828" s="380" t="s">
        <v>771</v>
      </c>
      <c r="I5828" s="380" t="s">
        <v>788</v>
      </c>
      <c r="J5828" s="380" t="s">
        <v>773</v>
      </c>
      <c r="K5828" s="381">
        <v>0.0</v>
      </c>
      <c r="L5828" s="382">
        <v>1.0</v>
      </c>
    </row>
    <row r="5829">
      <c r="A5829" s="380" t="s">
        <v>6703</v>
      </c>
      <c r="B5829" s="380" t="str">
        <f>IFERROR(__xludf.DUMMYFUNCTION("""COMPUTED_VALUE"""),"Empaque Puerta Corrediza N200 24546374")</f>
        <v>Empaque Puerta Corrediza N200 24546374</v>
      </c>
      <c r="C5829" s="380" t="str">
        <f>IFERROR(__xludf.DUMMYFUNCTION("""COMPUTED_VALUE"""),"70001211")</f>
        <v>70001211</v>
      </c>
      <c r="D5829" s="380" t="s">
        <v>767</v>
      </c>
      <c r="E5829" s="380" t="s">
        <v>786</v>
      </c>
      <c r="F5829" s="380" t="s">
        <v>792</v>
      </c>
      <c r="G5829" s="380" t="s">
        <v>1267</v>
      </c>
      <c r="H5829" s="380" t="s">
        <v>771</v>
      </c>
      <c r="I5829" s="380" t="s">
        <v>788</v>
      </c>
      <c r="J5829" s="380" t="s">
        <v>773</v>
      </c>
      <c r="K5829" s="381">
        <v>0.0</v>
      </c>
      <c r="L5829" s="382">
        <v>1.0</v>
      </c>
    </row>
    <row r="5830">
      <c r="A5830" s="380" t="s">
        <v>6704</v>
      </c>
      <c r="B5830" s="380" t="str">
        <f>IFERROR(__xludf.DUMMYFUNCTION("""COMPUTED_VALUE"""),"Recibidor Puerta Trasera N200 24523933")</f>
        <v>Recibidor Puerta Trasera N200 24523933</v>
      </c>
      <c r="C5830" s="380" t="str">
        <f>IFERROR(__xludf.DUMMYFUNCTION("""COMPUTED_VALUE"""),"70001212")</f>
        <v>70001212</v>
      </c>
      <c r="D5830" s="380" t="s">
        <v>767</v>
      </c>
      <c r="E5830" s="380" t="s">
        <v>786</v>
      </c>
      <c r="F5830" s="380" t="s">
        <v>792</v>
      </c>
      <c r="G5830" s="380" t="s">
        <v>1267</v>
      </c>
      <c r="H5830" s="380" t="s">
        <v>771</v>
      </c>
      <c r="I5830" s="380" t="s">
        <v>788</v>
      </c>
      <c r="J5830" s="380" t="s">
        <v>773</v>
      </c>
      <c r="K5830" s="381">
        <v>48000.0</v>
      </c>
      <c r="L5830" s="382">
        <v>1.0</v>
      </c>
    </row>
    <row r="5831">
      <c r="A5831" s="380" t="s">
        <v>6705</v>
      </c>
      <c r="B5831" s="380" t="str">
        <f>IFERROR(__xludf.DUMMYFUNCTION("""COMPUTED_VALUE"""),"Enfocador Ventilador Refrig N200 5497096")</f>
        <v>Enfocador Ventilador Refrig N200 5497096</v>
      </c>
      <c r="C5831" s="380" t="str">
        <f>IFERROR(__xludf.DUMMYFUNCTION("""COMPUTED_VALUE"""),"70001213")</f>
        <v>70001213</v>
      </c>
      <c r="D5831" s="380" t="s">
        <v>767</v>
      </c>
      <c r="E5831" s="380" t="s">
        <v>786</v>
      </c>
      <c r="F5831" s="380" t="s">
        <v>787</v>
      </c>
      <c r="G5831" s="380" t="s">
        <v>1267</v>
      </c>
      <c r="H5831" s="380" t="s">
        <v>771</v>
      </c>
      <c r="I5831" s="380" t="s">
        <v>788</v>
      </c>
      <c r="J5831" s="380" t="s">
        <v>773</v>
      </c>
      <c r="K5831" s="381">
        <v>0.0</v>
      </c>
      <c r="L5831" s="382">
        <v>1.0</v>
      </c>
    </row>
    <row r="5832">
      <c r="A5832" s="380" t="s">
        <v>6706</v>
      </c>
      <c r="B5832" s="380" t="str">
        <f>IFERROR(__xludf.DUMMYFUNCTION("""COMPUTED_VALUE"""),"Pasador Punta Muelle Tras FTR")</f>
        <v>Pasador Punta Muelle Tras FTR</v>
      </c>
      <c r="C5832" s="380" t="str">
        <f>IFERROR(__xludf.DUMMYFUNCTION("""COMPUTED_VALUE"""),"70001214")</f>
        <v>70001214</v>
      </c>
      <c r="D5832" s="380" t="s">
        <v>767</v>
      </c>
      <c r="E5832" s="380" t="s">
        <v>786</v>
      </c>
      <c r="F5832" s="380" t="s">
        <v>1039</v>
      </c>
      <c r="G5832" s="380" t="s">
        <v>1267</v>
      </c>
      <c r="H5832" s="380" t="s">
        <v>771</v>
      </c>
      <c r="I5832" s="380" t="s">
        <v>788</v>
      </c>
      <c r="J5832" s="380" t="s">
        <v>773</v>
      </c>
      <c r="K5832" s="381">
        <v>0.0</v>
      </c>
      <c r="L5832" s="382">
        <v>1.0</v>
      </c>
    </row>
    <row r="5833">
      <c r="A5833" s="380" t="s">
        <v>6707</v>
      </c>
      <c r="B5833" s="380" t="str">
        <f>IFERROR(__xludf.DUMMYFUNCTION("""COMPUTED_VALUE"""),"Buje Muelle Trasero FTR")</f>
        <v>Buje Muelle Trasero FTR</v>
      </c>
      <c r="C5833" s="380" t="str">
        <f>IFERROR(__xludf.DUMMYFUNCTION("""COMPUTED_VALUE"""),"70001215")</f>
        <v>70001215</v>
      </c>
      <c r="D5833" s="380" t="s">
        <v>767</v>
      </c>
      <c r="E5833" s="380" t="s">
        <v>786</v>
      </c>
      <c r="F5833" s="380" t="s">
        <v>1039</v>
      </c>
      <c r="G5833" s="380" t="s">
        <v>1267</v>
      </c>
      <c r="H5833" s="380" t="s">
        <v>771</v>
      </c>
      <c r="I5833" s="380" t="s">
        <v>788</v>
      </c>
      <c r="J5833" s="380" t="s">
        <v>773</v>
      </c>
      <c r="K5833" s="381">
        <v>0.0</v>
      </c>
      <c r="L5833" s="382">
        <v>1.0</v>
      </c>
    </row>
    <row r="5834">
      <c r="A5834" s="380" t="s">
        <v>6708</v>
      </c>
      <c r="B5834" s="380" t="str">
        <f>IFERROR(__xludf.DUMMYFUNCTION("""COMPUTED_VALUE"""),"Pasador Central Muelle Tras FTR 12X300mm")</f>
        <v>Pasador Central Muelle Tras FTR 12X300mm</v>
      </c>
      <c r="C5834" s="380" t="str">
        <f>IFERROR(__xludf.DUMMYFUNCTION("""COMPUTED_VALUE"""),"70001216")</f>
        <v>70001216</v>
      </c>
      <c r="D5834" s="380" t="s">
        <v>767</v>
      </c>
      <c r="E5834" s="380" t="s">
        <v>786</v>
      </c>
      <c r="F5834" s="380" t="s">
        <v>1039</v>
      </c>
      <c r="G5834" s="380" t="s">
        <v>1267</v>
      </c>
      <c r="H5834" s="380" t="s">
        <v>771</v>
      </c>
      <c r="I5834" s="380" t="s">
        <v>788</v>
      </c>
      <c r="J5834" s="380" t="s">
        <v>773</v>
      </c>
      <c r="K5834" s="381">
        <v>0.0</v>
      </c>
      <c r="L5834" s="382">
        <v>1.0</v>
      </c>
    </row>
    <row r="5835">
      <c r="A5835" s="380" t="s">
        <v>6709</v>
      </c>
      <c r="B5835" s="380" t="str">
        <f>IFERROR(__xludf.DUMMYFUNCTION("""COMPUTED_VALUE"""),"Empaquetadura Sup Motor Isx KW 4352144")</f>
        <v>Empaquetadura Sup Motor Isx KW 4352144</v>
      </c>
      <c r="C5835" s="380" t="str">
        <f>IFERROR(__xludf.DUMMYFUNCTION("""COMPUTED_VALUE"""),"70001217")</f>
        <v>70001217</v>
      </c>
      <c r="D5835" s="380" t="s">
        <v>767</v>
      </c>
      <c r="E5835" s="380" t="s">
        <v>786</v>
      </c>
      <c r="F5835" s="380" t="s">
        <v>787</v>
      </c>
      <c r="G5835" s="380" t="s">
        <v>1267</v>
      </c>
      <c r="H5835" s="380" t="s">
        <v>771</v>
      </c>
      <c r="I5835" s="380" t="s">
        <v>788</v>
      </c>
      <c r="J5835" s="380" t="s">
        <v>773</v>
      </c>
      <c r="K5835" s="381">
        <v>0.0</v>
      </c>
      <c r="L5835" s="382">
        <v>1.0</v>
      </c>
    </row>
    <row r="5836">
      <c r="A5836" s="380" t="s">
        <v>6710</v>
      </c>
      <c r="B5836" s="380" t="str">
        <f>IFERROR(__xludf.DUMMYFUNCTION("""COMPUTED_VALUE"""),"Balancin Corto Trailer 17")</f>
        <v>Balancin Corto Trailer 17</v>
      </c>
      <c r="C5836" s="380" t="str">
        <f>IFERROR(__xludf.DUMMYFUNCTION("""COMPUTED_VALUE"""),"70001218")</f>
        <v>70001218</v>
      </c>
      <c r="D5836" s="380" t="s">
        <v>767</v>
      </c>
      <c r="E5836" s="380" t="s">
        <v>786</v>
      </c>
      <c r="F5836" s="380" t="s">
        <v>1039</v>
      </c>
      <c r="G5836" s="380" t="s">
        <v>1267</v>
      </c>
      <c r="H5836" s="380" t="s">
        <v>771</v>
      </c>
      <c r="I5836" s="380" t="s">
        <v>788</v>
      </c>
      <c r="J5836" s="380" t="s">
        <v>773</v>
      </c>
      <c r="K5836" s="381">
        <v>0.0</v>
      </c>
      <c r="L5836" s="382">
        <v>1.0</v>
      </c>
    </row>
    <row r="5837">
      <c r="A5837" s="380" t="s">
        <v>6711</v>
      </c>
      <c r="B5837" s="380" t="str">
        <f>IFERROR(__xludf.DUMMYFUNCTION("""COMPUTED_VALUE"""),"Motor Arranque Renault Master 8200634602")</f>
        <v>Motor Arranque Renault Master 8200634602</v>
      </c>
      <c r="C5837" s="380" t="str">
        <f>IFERROR(__xludf.DUMMYFUNCTION("""COMPUTED_VALUE"""),"70001219")</f>
        <v>70001219</v>
      </c>
      <c r="D5837" s="380" t="s">
        <v>767</v>
      </c>
      <c r="E5837" s="380" t="s">
        <v>786</v>
      </c>
      <c r="F5837" s="380" t="s">
        <v>998</v>
      </c>
      <c r="G5837" s="380" t="s">
        <v>1267</v>
      </c>
      <c r="H5837" s="380" t="s">
        <v>771</v>
      </c>
      <c r="I5837" s="380" t="s">
        <v>788</v>
      </c>
      <c r="J5837" s="380" t="s">
        <v>773</v>
      </c>
      <c r="K5837" s="381">
        <v>0.0</v>
      </c>
      <c r="L5837" s="382">
        <v>1.0</v>
      </c>
    </row>
    <row r="5838">
      <c r="A5838" s="380" t="s">
        <v>6712</v>
      </c>
      <c r="B5838" s="380" t="str">
        <f>IFERROR(__xludf.DUMMYFUNCTION("""COMPUTED_VALUE"""),"Vaso Filtro Sedimentador FTR 8980924821")</f>
        <v>Vaso Filtro Sedimentador FTR 8980924821</v>
      </c>
      <c r="C5838" s="380" t="str">
        <f>IFERROR(__xludf.DUMMYFUNCTION("""COMPUTED_VALUE"""),"70001220")</f>
        <v>70001220</v>
      </c>
      <c r="D5838" s="380" t="s">
        <v>767</v>
      </c>
      <c r="E5838" s="380" t="s">
        <v>786</v>
      </c>
      <c r="F5838" s="380" t="s">
        <v>787</v>
      </c>
      <c r="G5838" s="380" t="s">
        <v>1267</v>
      </c>
      <c r="H5838" s="380" t="s">
        <v>771</v>
      </c>
      <c r="I5838" s="380" t="s">
        <v>788</v>
      </c>
      <c r="J5838" s="380" t="s">
        <v>773</v>
      </c>
      <c r="K5838" s="381">
        <v>0.0</v>
      </c>
      <c r="L5838" s="382">
        <v>1.0</v>
      </c>
    </row>
    <row r="5839">
      <c r="A5839" s="380" t="s">
        <v>6713</v>
      </c>
      <c r="B5839" s="380" t="str">
        <f>IFERROR(__xludf.DUMMYFUNCTION("""COMPUTED_VALUE"""),"Switch Exploradora FTR 8973870314")</f>
        <v>Switch Exploradora FTR 8973870314</v>
      </c>
      <c r="C5839" s="380" t="str">
        <f>IFERROR(__xludf.DUMMYFUNCTION("""COMPUTED_VALUE"""),"70001221")</f>
        <v>70001221</v>
      </c>
      <c r="D5839" s="380" t="s">
        <v>767</v>
      </c>
      <c r="E5839" s="380" t="s">
        <v>786</v>
      </c>
      <c r="F5839" s="380" t="s">
        <v>998</v>
      </c>
      <c r="G5839" s="380" t="s">
        <v>1267</v>
      </c>
      <c r="H5839" s="380" t="s">
        <v>771</v>
      </c>
      <c r="I5839" s="380" t="s">
        <v>788</v>
      </c>
      <c r="J5839" s="380" t="s">
        <v>773</v>
      </c>
      <c r="K5839" s="381">
        <v>0.0</v>
      </c>
      <c r="L5839" s="382">
        <v>1.0</v>
      </c>
    </row>
    <row r="5840">
      <c r="A5840" s="380" t="s">
        <v>6714</v>
      </c>
      <c r="B5840" s="380" t="str">
        <f>IFERROR(__xludf.DUMMYFUNCTION("""COMPUTED_VALUE"""),"Purificador Aire Motor Hino 1770078281")</f>
        <v>Purificador Aire Motor Hino 1770078281</v>
      </c>
      <c r="C5840" s="380" t="str">
        <f>IFERROR(__xludf.DUMMYFUNCTION("""COMPUTED_VALUE"""),"70001222")</f>
        <v>70001222</v>
      </c>
      <c r="D5840" s="380" t="s">
        <v>767</v>
      </c>
      <c r="E5840" s="380" t="s">
        <v>786</v>
      </c>
      <c r="F5840" s="380" t="s">
        <v>787</v>
      </c>
      <c r="G5840" s="380" t="s">
        <v>1267</v>
      </c>
      <c r="H5840" s="380" t="s">
        <v>771</v>
      </c>
      <c r="I5840" s="380" t="s">
        <v>788</v>
      </c>
      <c r="J5840" s="380" t="s">
        <v>773</v>
      </c>
      <c r="K5840" s="381">
        <v>0.0</v>
      </c>
      <c r="L5840" s="382">
        <v>1.0</v>
      </c>
    </row>
    <row r="5841">
      <c r="A5841" s="380" t="s">
        <v>6715</v>
      </c>
      <c r="B5841" s="380" t="str">
        <f>IFERROR(__xludf.DUMMYFUNCTION("""COMPUTED_VALUE"""),"Trapecio Limpiabrisas N200 5496063")</f>
        <v>Trapecio Limpiabrisas N200 5496063</v>
      </c>
      <c r="C5841" s="380" t="str">
        <f>IFERROR(__xludf.DUMMYFUNCTION("""COMPUTED_VALUE"""),"70001223")</f>
        <v>70001223</v>
      </c>
      <c r="D5841" s="380" t="s">
        <v>767</v>
      </c>
      <c r="E5841" s="380" t="s">
        <v>786</v>
      </c>
      <c r="F5841" s="380" t="s">
        <v>792</v>
      </c>
      <c r="G5841" s="380" t="s">
        <v>1267</v>
      </c>
      <c r="H5841" s="380" t="s">
        <v>771</v>
      </c>
      <c r="I5841" s="380" t="s">
        <v>788</v>
      </c>
      <c r="J5841" s="380" t="s">
        <v>773</v>
      </c>
      <c r="K5841" s="381">
        <v>0.0</v>
      </c>
      <c r="L5841" s="382">
        <v>1.0</v>
      </c>
    </row>
    <row r="5842">
      <c r="A5842" s="380" t="s">
        <v>6716</v>
      </c>
      <c r="B5842" s="380" t="str">
        <f>IFERROR(__xludf.DUMMYFUNCTION("""COMPUTED_VALUE"""),"Valv Alivio Bba Aceite Nhr Nkr8973119761")</f>
        <v>Valv Alivio Bba Aceite Nhr Nkr8973119761</v>
      </c>
      <c r="C5842" s="380" t="str">
        <f>IFERROR(__xludf.DUMMYFUNCTION("""COMPUTED_VALUE"""),"70001224")</f>
        <v>70001224</v>
      </c>
      <c r="D5842" s="380" t="s">
        <v>767</v>
      </c>
      <c r="E5842" s="380" t="s">
        <v>786</v>
      </c>
      <c r="F5842" s="380" t="s">
        <v>787</v>
      </c>
      <c r="G5842" s="380" t="s">
        <v>1267</v>
      </c>
      <c r="H5842" s="380" t="s">
        <v>771</v>
      </c>
      <c r="I5842" s="380" t="s">
        <v>788</v>
      </c>
      <c r="J5842" s="380" t="s">
        <v>773</v>
      </c>
      <c r="K5842" s="381">
        <v>0.0</v>
      </c>
      <c r="L5842" s="382">
        <v>1.0</v>
      </c>
    </row>
    <row r="5843">
      <c r="A5843" s="380" t="s">
        <v>6717</v>
      </c>
      <c r="B5843" s="380" t="str">
        <f>IFERROR(__xludf.DUMMYFUNCTION("""COMPUTED_VALUE"""),"Kit Embrague Nkr Reward 52034053")</f>
        <v>Kit Embrague Nkr Reward 52034053</v>
      </c>
      <c r="C5843" s="380" t="str">
        <f>IFERROR(__xludf.DUMMYFUNCTION("""COMPUTED_VALUE"""),"70001225")</f>
        <v>70001225</v>
      </c>
      <c r="D5843" s="380" t="s">
        <v>767</v>
      </c>
      <c r="E5843" s="380" t="s">
        <v>786</v>
      </c>
      <c r="F5843" s="380" t="s">
        <v>5661</v>
      </c>
      <c r="G5843" s="380" t="s">
        <v>1267</v>
      </c>
      <c r="H5843" s="380" t="s">
        <v>771</v>
      </c>
      <c r="I5843" s="380" t="s">
        <v>788</v>
      </c>
      <c r="J5843" s="380" t="s">
        <v>773</v>
      </c>
      <c r="K5843" s="381">
        <v>0.0</v>
      </c>
      <c r="L5843" s="382">
        <v>1.0</v>
      </c>
    </row>
    <row r="5844">
      <c r="A5844" s="380" t="s">
        <v>6718</v>
      </c>
      <c r="B5844" s="380" t="str">
        <f>IFERROR(__xludf.DUMMYFUNCTION("""COMPUTED_VALUE"""),"Correa Alternador Monta Carga 9001A96003")</f>
        <v>Correa Alternador Monta Carga 9001A96003</v>
      </c>
      <c r="C5844" s="380" t="str">
        <f>IFERROR(__xludf.DUMMYFUNCTION("""COMPUTED_VALUE"""),"70001226")</f>
        <v>70001226</v>
      </c>
      <c r="D5844" s="380" t="s">
        <v>767</v>
      </c>
      <c r="E5844" s="380" t="s">
        <v>786</v>
      </c>
      <c r="F5844" s="380" t="s">
        <v>787</v>
      </c>
      <c r="G5844" s="380" t="s">
        <v>1267</v>
      </c>
      <c r="H5844" s="380" t="s">
        <v>771</v>
      </c>
      <c r="I5844" s="380" t="s">
        <v>788</v>
      </c>
      <c r="J5844" s="380" t="s">
        <v>773</v>
      </c>
      <c r="K5844" s="381">
        <v>0.0</v>
      </c>
      <c r="L5844" s="382">
        <v>1.0</v>
      </c>
    </row>
    <row r="5845">
      <c r="A5845" s="380" t="s">
        <v>6719</v>
      </c>
      <c r="B5845" s="380" t="str">
        <f>IFERROR(__xludf.DUMMYFUNCTION("""COMPUTED_VALUE"""),"Switch Elevavidros KW T800 Izq P271069")</f>
        <v>Switch Elevavidros KW T800 Izq P271069</v>
      </c>
      <c r="C5845" s="380" t="str">
        <f>IFERROR(__xludf.DUMMYFUNCTION("""COMPUTED_VALUE"""),"70001227")</f>
        <v>70001227</v>
      </c>
      <c r="D5845" s="380" t="s">
        <v>767</v>
      </c>
      <c r="E5845" s="380" t="s">
        <v>786</v>
      </c>
      <c r="F5845" s="380" t="s">
        <v>998</v>
      </c>
      <c r="G5845" s="380" t="s">
        <v>1267</v>
      </c>
      <c r="H5845" s="380" t="s">
        <v>771</v>
      </c>
      <c r="I5845" s="380" t="s">
        <v>788</v>
      </c>
      <c r="J5845" s="380" t="s">
        <v>773</v>
      </c>
      <c r="K5845" s="381">
        <v>0.0</v>
      </c>
      <c r="L5845" s="382">
        <v>1.0</v>
      </c>
    </row>
    <row r="5846">
      <c r="A5846" s="380" t="s">
        <v>6720</v>
      </c>
      <c r="B5846" s="380" t="str">
        <f>IFERROR(__xludf.DUMMYFUNCTION("""COMPUTED_VALUE"""),"Abrazadera Turbo Motor 3529852 Isx")</f>
        <v>Abrazadera Turbo Motor 3529852 Isx</v>
      </c>
      <c r="C5846" s="380" t="str">
        <f>IFERROR(__xludf.DUMMYFUNCTION("""COMPUTED_VALUE"""),"70001228")</f>
        <v>70001228</v>
      </c>
      <c r="D5846" s="380" t="s">
        <v>767</v>
      </c>
      <c r="E5846" s="380" t="s">
        <v>786</v>
      </c>
      <c r="F5846" s="380" t="s">
        <v>787</v>
      </c>
      <c r="G5846" s="380" t="s">
        <v>1267</v>
      </c>
      <c r="H5846" s="380" t="s">
        <v>771</v>
      </c>
      <c r="I5846" s="380" t="s">
        <v>788</v>
      </c>
      <c r="J5846" s="380" t="s">
        <v>773</v>
      </c>
      <c r="K5846" s="381">
        <v>0.0</v>
      </c>
      <c r="L5846" s="382">
        <v>1.0</v>
      </c>
    </row>
    <row r="5847">
      <c r="A5847" s="380" t="s">
        <v>6721</v>
      </c>
      <c r="B5847" s="380" t="str">
        <f>IFERROR(__xludf.DUMMYFUNCTION("""COMPUTED_VALUE"""),"Buje Hoja Trasero 9513510400 FTR")</f>
        <v>Buje Hoja Trasero 9513510400 FTR</v>
      </c>
      <c r="C5847" s="380" t="str">
        <f>IFERROR(__xludf.DUMMYFUNCTION("""COMPUTED_VALUE"""),"70001229")</f>
        <v>70001229</v>
      </c>
      <c r="D5847" s="380" t="s">
        <v>767</v>
      </c>
      <c r="E5847" s="380" t="s">
        <v>786</v>
      </c>
      <c r="F5847" s="380" t="s">
        <v>1039</v>
      </c>
      <c r="G5847" s="380" t="s">
        <v>1267</v>
      </c>
      <c r="H5847" s="380" t="s">
        <v>771</v>
      </c>
      <c r="I5847" s="380" t="s">
        <v>788</v>
      </c>
      <c r="J5847" s="380" t="s">
        <v>773</v>
      </c>
      <c r="K5847" s="381">
        <v>0.0</v>
      </c>
      <c r="L5847" s="382">
        <v>1.0</v>
      </c>
    </row>
    <row r="5848">
      <c r="A5848" s="380" t="s">
        <v>6722</v>
      </c>
      <c r="B5848" s="380" t="str">
        <f>IFERROR(__xludf.DUMMYFUNCTION("""COMPUTED_VALUE"""),"Banda Freno Delantero FRR 9318 Nueva")</f>
        <v>Banda Freno Delantero FRR 9318 Nueva</v>
      </c>
      <c r="C5848" s="380" t="str">
        <f>IFERROR(__xludf.DUMMYFUNCTION("""COMPUTED_VALUE"""),"70001230")</f>
        <v>70001230</v>
      </c>
      <c r="D5848" s="380" t="s">
        <v>767</v>
      </c>
      <c r="E5848" s="380" t="s">
        <v>786</v>
      </c>
      <c r="F5848" s="380" t="s">
        <v>1017</v>
      </c>
      <c r="G5848" s="380" t="s">
        <v>1267</v>
      </c>
      <c r="H5848" s="380" t="s">
        <v>771</v>
      </c>
      <c r="I5848" s="380" t="s">
        <v>788</v>
      </c>
      <c r="J5848" s="380" t="s">
        <v>773</v>
      </c>
      <c r="K5848" s="381">
        <v>0.0</v>
      </c>
      <c r="L5848" s="382">
        <v>1.0</v>
      </c>
    </row>
    <row r="5849">
      <c r="A5849" s="380" t="s">
        <v>6723</v>
      </c>
      <c r="B5849" s="380" t="str">
        <f>IFERROR(__xludf.DUMMYFUNCTION("""COMPUTED_VALUE"""),"Banda Freno Trasero FRR 9217 Nueva")</f>
        <v>Banda Freno Trasero FRR 9217 Nueva</v>
      </c>
      <c r="C5849" s="380" t="str">
        <f>IFERROR(__xludf.DUMMYFUNCTION("""COMPUTED_VALUE"""),"70001231")</f>
        <v>70001231</v>
      </c>
      <c r="D5849" s="380" t="s">
        <v>767</v>
      </c>
      <c r="E5849" s="380" t="s">
        <v>786</v>
      </c>
      <c r="F5849" s="380" t="s">
        <v>1017</v>
      </c>
      <c r="G5849" s="380" t="s">
        <v>1267</v>
      </c>
      <c r="H5849" s="380" t="s">
        <v>771</v>
      </c>
      <c r="I5849" s="380" t="s">
        <v>788</v>
      </c>
      <c r="J5849" s="380" t="s">
        <v>773</v>
      </c>
      <c r="K5849" s="381">
        <v>183040.0</v>
      </c>
      <c r="L5849" s="382">
        <v>1.0</v>
      </c>
    </row>
    <row r="5850">
      <c r="A5850" s="380" t="s">
        <v>6724</v>
      </c>
      <c r="B5850" s="380" t="str">
        <f>IFERROR(__xludf.DUMMYFUNCTION("""COMPUTED_VALUE"""),"Resorte Banda Freno Delantero FRR RE2044")</f>
        <v>Resorte Banda Freno Delantero FRR RE2044</v>
      </c>
      <c r="C5850" s="380" t="str">
        <f>IFERROR(__xludf.DUMMYFUNCTION("""COMPUTED_VALUE"""),"70001232")</f>
        <v>70001232</v>
      </c>
      <c r="D5850" s="380" t="s">
        <v>767</v>
      </c>
      <c r="E5850" s="380" t="s">
        <v>786</v>
      </c>
      <c r="F5850" s="380" t="s">
        <v>1017</v>
      </c>
      <c r="G5850" s="380" t="s">
        <v>1267</v>
      </c>
      <c r="H5850" s="380" t="s">
        <v>771</v>
      </c>
      <c r="I5850" s="380" t="s">
        <v>788</v>
      </c>
      <c r="J5850" s="380" t="s">
        <v>773</v>
      </c>
      <c r="K5850" s="381">
        <v>8208.0</v>
      </c>
      <c r="L5850" s="382">
        <v>1.0</v>
      </c>
    </row>
    <row r="5851">
      <c r="A5851" s="380" t="s">
        <v>6725</v>
      </c>
      <c r="B5851" s="380" t="str">
        <f>IFERROR(__xludf.DUMMYFUNCTION("""COMPUTED_VALUE"""),"Oring Tapa Caja Velocidad 4301211 SB")</f>
        <v>Oring Tapa Caja Velocidad 4301211 SB</v>
      </c>
      <c r="C5851" s="380" t="str">
        <f>IFERROR(__xludf.DUMMYFUNCTION("""COMPUTED_VALUE"""),"70001233")</f>
        <v>70001233</v>
      </c>
      <c r="D5851" s="380" t="s">
        <v>767</v>
      </c>
      <c r="E5851" s="380" t="s">
        <v>786</v>
      </c>
      <c r="F5851" s="380" t="s">
        <v>928</v>
      </c>
      <c r="G5851" s="380" t="s">
        <v>1267</v>
      </c>
      <c r="H5851" s="380" t="s">
        <v>771</v>
      </c>
      <c r="I5851" s="380" t="s">
        <v>788</v>
      </c>
      <c r="J5851" s="380" t="s">
        <v>773</v>
      </c>
      <c r="K5851" s="381">
        <v>0.0</v>
      </c>
      <c r="L5851" s="382">
        <v>1.0</v>
      </c>
    </row>
    <row r="5852">
      <c r="A5852" s="380" t="s">
        <v>6726</v>
      </c>
      <c r="B5852" s="380" t="str">
        <f>IFERROR(__xludf.DUMMYFUNCTION("""COMPUTED_VALUE"""),"Resorte Banda Freno Trasero FRR")</f>
        <v>Resorte Banda Freno Trasero FRR</v>
      </c>
      <c r="C5852" s="380" t="str">
        <f>IFERROR(__xludf.DUMMYFUNCTION("""COMPUTED_VALUE"""),"70001234")</f>
        <v>70001234</v>
      </c>
      <c r="D5852" s="380" t="s">
        <v>767</v>
      </c>
      <c r="E5852" s="380" t="s">
        <v>786</v>
      </c>
      <c r="F5852" s="380" t="s">
        <v>1017</v>
      </c>
      <c r="G5852" s="380" t="s">
        <v>1267</v>
      </c>
      <c r="H5852" s="380" t="s">
        <v>771</v>
      </c>
      <c r="I5852" s="380" t="s">
        <v>788</v>
      </c>
      <c r="J5852" s="380" t="s">
        <v>773</v>
      </c>
      <c r="K5852" s="381">
        <v>0.0</v>
      </c>
      <c r="L5852" s="382">
        <v>1.0</v>
      </c>
    </row>
    <row r="5853">
      <c r="A5853" s="380" t="s">
        <v>6727</v>
      </c>
      <c r="B5853" s="380" t="str">
        <f>IFERROR(__xludf.DUMMYFUNCTION("""COMPUTED_VALUE"""),"Juego Cilindros Pta Encendo Hino")</f>
        <v>Juego Cilindros Pta Encendo Hino</v>
      </c>
      <c r="C5853" s="380" t="str">
        <f>IFERROR(__xludf.DUMMYFUNCTION("""COMPUTED_VALUE"""),"70001235")</f>
        <v>70001235</v>
      </c>
      <c r="D5853" s="380" t="s">
        <v>767</v>
      </c>
      <c r="E5853" s="380" t="s">
        <v>786</v>
      </c>
      <c r="F5853" s="380" t="s">
        <v>792</v>
      </c>
      <c r="G5853" s="380" t="s">
        <v>1267</v>
      </c>
      <c r="H5853" s="380" t="s">
        <v>771</v>
      </c>
      <c r="I5853" s="380" t="s">
        <v>788</v>
      </c>
      <c r="J5853" s="380" t="s">
        <v>773</v>
      </c>
      <c r="K5853" s="381">
        <v>0.0</v>
      </c>
      <c r="L5853" s="382">
        <v>1.0</v>
      </c>
    </row>
    <row r="5854">
      <c r="A5854" s="380" t="s">
        <v>6728</v>
      </c>
      <c r="B5854" s="380" t="str">
        <f>IFERROR(__xludf.DUMMYFUNCTION("""COMPUTED_VALUE"""),"Trinquete Seguro Cabin Nkr Rew8971209400")</f>
        <v>Trinquete Seguro Cabin Nkr Rew8971209400</v>
      </c>
      <c r="C5854" s="380" t="str">
        <f>IFERROR(__xludf.DUMMYFUNCTION("""COMPUTED_VALUE"""),"70001236")</f>
        <v>70001236</v>
      </c>
      <c r="D5854" s="380" t="s">
        <v>767</v>
      </c>
      <c r="E5854" s="380" t="s">
        <v>786</v>
      </c>
      <c r="F5854" s="380" t="s">
        <v>792</v>
      </c>
      <c r="G5854" s="380" t="s">
        <v>1267</v>
      </c>
      <c r="H5854" s="380" t="s">
        <v>771</v>
      </c>
      <c r="I5854" s="380" t="s">
        <v>788</v>
      </c>
      <c r="J5854" s="380" t="s">
        <v>773</v>
      </c>
      <c r="K5854" s="381">
        <v>0.0</v>
      </c>
      <c r="L5854" s="382">
        <v>1.0</v>
      </c>
    </row>
    <row r="5855">
      <c r="A5855" s="380" t="s">
        <v>6729</v>
      </c>
      <c r="B5855" s="380" t="str">
        <f>IFERROR(__xludf.DUMMYFUNCTION("""COMPUTED_VALUE"""),"Puerta Del Izq Nkr Reward 8982605940")</f>
        <v>Puerta Del Izq Nkr Reward 8982605940</v>
      </c>
      <c r="C5855" s="380" t="str">
        <f>IFERROR(__xludf.DUMMYFUNCTION("""COMPUTED_VALUE"""),"70001237")</f>
        <v>70001237</v>
      </c>
      <c r="D5855" s="380" t="s">
        <v>767</v>
      </c>
      <c r="E5855" s="380" t="s">
        <v>786</v>
      </c>
      <c r="F5855" s="380" t="s">
        <v>792</v>
      </c>
      <c r="G5855" s="380" t="s">
        <v>1267</v>
      </c>
      <c r="H5855" s="380" t="s">
        <v>771</v>
      </c>
      <c r="I5855" s="380" t="s">
        <v>788</v>
      </c>
      <c r="J5855" s="380" t="s">
        <v>773</v>
      </c>
      <c r="K5855" s="381">
        <v>0.0</v>
      </c>
      <c r="L5855" s="382">
        <v>1.0</v>
      </c>
    </row>
    <row r="5856">
      <c r="A5856" s="380" t="s">
        <v>6730</v>
      </c>
      <c r="B5856" s="380" t="str">
        <f>IFERROR(__xludf.DUMMYFUNCTION("""COMPUTED_VALUE"""),"Moldura Parabrisas Externa FTR8982221590")</f>
        <v>Moldura Parabrisas Externa FTR8982221590</v>
      </c>
      <c r="C5856" s="380" t="str">
        <f>IFERROR(__xludf.DUMMYFUNCTION("""COMPUTED_VALUE"""),"70001238")</f>
        <v>70001238</v>
      </c>
      <c r="D5856" s="380" t="s">
        <v>767</v>
      </c>
      <c r="E5856" s="380" t="s">
        <v>786</v>
      </c>
      <c r="F5856" s="380" t="s">
        <v>792</v>
      </c>
      <c r="G5856" s="380" t="s">
        <v>1267</v>
      </c>
      <c r="H5856" s="380" t="s">
        <v>771</v>
      </c>
      <c r="I5856" s="380" t="s">
        <v>788</v>
      </c>
      <c r="J5856" s="380" t="s">
        <v>773</v>
      </c>
      <c r="K5856" s="381">
        <v>0.0</v>
      </c>
      <c r="L5856" s="382">
        <v>1.0</v>
      </c>
    </row>
    <row r="5857">
      <c r="A5857" s="380" t="s">
        <v>6731</v>
      </c>
      <c r="B5857" s="380" t="str">
        <f>IFERROR(__xludf.DUMMYFUNCTION("""COMPUTED_VALUE"""),"Cubierta Bomba Agua N200 23864518")</f>
        <v>Cubierta Bomba Agua N200 23864518</v>
      </c>
      <c r="C5857" s="380" t="str">
        <f>IFERROR(__xludf.DUMMYFUNCTION("""COMPUTED_VALUE"""),"70001239")</f>
        <v>70001239</v>
      </c>
      <c r="D5857" s="380" t="s">
        <v>767</v>
      </c>
      <c r="E5857" s="380" t="s">
        <v>786</v>
      </c>
      <c r="F5857" s="380" t="s">
        <v>787</v>
      </c>
      <c r="G5857" s="380" t="s">
        <v>1267</v>
      </c>
      <c r="H5857" s="380" t="s">
        <v>771</v>
      </c>
      <c r="I5857" s="380" t="s">
        <v>788</v>
      </c>
      <c r="J5857" s="380" t="s">
        <v>773</v>
      </c>
      <c r="K5857" s="381">
        <v>0.0</v>
      </c>
      <c r="L5857" s="382">
        <v>1.0</v>
      </c>
    </row>
    <row r="5858">
      <c r="A5858" s="380" t="s">
        <v>6732</v>
      </c>
      <c r="B5858" s="380" t="str">
        <f>IFERROR(__xludf.DUMMYFUNCTION("""COMPUTED_VALUE"""),"Platina Soporte Cardan Isx 485163C1")</f>
        <v>Platina Soporte Cardan Isx 485163C1</v>
      </c>
      <c r="C5858" s="380" t="str">
        <f>IFERROR(__xludf.DUMMYFUNCTION("""COMPUTED_VALUE"""),"70001240")</f>
        <v>70001240</v>
      </c>
      <c r="D5858" s="380" t="s">
        <v>767</v>
      </c>
      <c r="E5858" s="380" t="s">
        <v>786</v>
      </c>
      <c r="F5858" s="380" t="s">
        <v>5683</v>
      </c>
      <c r="G5858" s="380" t="s">
        <v>1267</v>
      </c>
      <c r="H5858" s="380" t="s">
        <v>771</v>
      </c>
      <c r="I5858" s="380" t="s">
        <v>788</v>
      </c>
      <c r="J5858" s="380" t="s">
        <v>773</v>
      </c>
      <c r="K5858" s="381">
        <v>286909.0</v>
      </c>
      <c r="L5858" s="382">
        <v>1.0</v>
      </c>
    </row>
    <row r="5859">
      <c r="A5859" s="380" t="s">
        <v>6733</v>
      </c>
      <c r="B5859" s="380" t="str">
        <f>IFERROR(__xludf.DUMMYFUNCTION("""COMPUTED_VALUE"""),"Rejilla Guarda Mofle Isx 557279C3")</f>
        <v>Rejilla Guarda Mofle Isx 557279C3</v>
      </c>
      <c r="C5859" s="380" t="str">
        <f>IFERROR(__xludf.DUMMYFUNCTION("""COMPUTED_VALUE"""),"70001241")</f>
        <v>70001241</v>
      </c>
      <c r="D5859" s="380" t="s">
        <v>767</v>
      </c>
      <c r="E5859" s="380" t="s">
        <v>786</v>
      </c>
      <c r="F5859" s="380" t="s">
        <v>792</v>
      </c>
      <c r="G5859" s="380" t="s">
        <v>1267</v>
      </c>
      <c r="H5859" s="380" t="s">
        <v>771</v>
      </c>
      <c r="I5859" s="380" t="s">
        <v>788</v>
      </c>
      <c r="J5859" s="380" t="s">
        <v>773</v>
      </c>
      <c r="K5859" s="381">
        <v>0.0</v>
      </c>
      <c r="L5859" s="382">
        <v>1.0</v>
      </c>
    </row>
    <row r="5860">
      <c r="A5860" s="380" t="s">
        <v>6734</v>
      </c>
      <c r="B5860" s="380" t="str">
        <f>IFERROR(__xludf.DUMMYFUNCTION("""COMPUTED_VALUE"""),"Hoja Resorte Ppal Del Nkr Reward 22076/1")</f>
        <v>Hoja Resorte Ppal Del Nkr Reward 22076/1</v>
      </c>
      <c r="C5860" s="380" t="str">
        <f>IFERROR(__xludf.DUMMYFUNCTION("""COMPUTED_VALUE"""),"70001242")</f>
        <v>70001242</v>
      </c>
      <c r="D5860" s="380" t="s">
        <v>767</v>
      </c>
      <c r="E5860" s="380" t="s">
        <v>786</v>
      </c>
      <c r="F5860" s="380" t="s">
        <v>1039</v>
      </c>
      <c r="G5860" s="380" t="s">
        <v>1267</v>
      </c>
      <c r="H5860" s="380" t="s">
        <v>771</v>
      </c>
      <c r="I5860" s="380" t="s">
        <v>788</v>
      </c>
      <c r="J5860" s="380" t="s">
        <v>773</v>
      </c>
      <c r="K5860" s="381">
        <v>0.0</v>
      </c>
      <c r="L5860" s="382">
        <v>1.0</v>
      </c>
    </row>
    <row r="5861">
      <c r="A5861" s="380" t="s">
        <v>6735</v>
      </c>
      <c r="B5861" s="380" t="str">
        <f>IFERROR(__xludf.DUMMYFUNCTION("""COMPUTED_VALUE"""),"Embrag Termico o F Clutch Hino 1,63E+255")</f>
        <v>Embrag Termico o F Clutch Hino 1,63E+255</v>
      </c>
      <c r="C5861" s="380" t="str">
        <f>IFERROR(__xludf.DUMMYFUNCTION("""COMPUTED_VALUE"""),"70001243")</f>
        <v>70001243</v>
      </c>
      <c r="D5861" s="380" t="s">
        <v>767</v>
      </c>
      <c r="E5861" s="380" t="s">
        <v>786</v>
      </c>
      <c r="F5861" s="380" t="s">
        <v>787</v>
      </c>
      <c r="G5861" s="380" t="s">
        <v>1267</v>
      </c>
      <c r="H5861" s="380" t="s">
        <v>771</v>
      </c>
      <c r="I5861" s="380" t="s">
        <v>788</v>
      </c>
      <c r="J5861" s="380" t="s">
        <v>773</v>
      </c>
      <c r="K5861" s="381">
        <v>0.0</v>
      </c>
      <c r="L5861" s="382">
        <v>1.0</v>
      </c>
    </row>
    <row r="5862">
      <c r="A5862" s="380" t="s">
        <v>6736</v>
      </c>
      <c r="B5862" s="380" t="str">
        <f>IFERROR(__xludf.DUMMYFUNCTION("""COMPUTED_VALUE"""),"Ventilador Radiador Hino Dutro1636178100")</f>
        <v>Ventilador Radiador Hino Dutro1636178100</v>
      </c>
      <c r="C5862" s="380" t="str">
        <f>IFERROR(__xludf.DUMMYFUNCTION("""COMPUTED_VALUE"""),"70001244")</f>
        <v>70001244</v>
      </c>
      <c r="D5862" s="380" t="s">
        <v>767</v>
      </c>
      <c r="E5862" s="380" t="s">
        <v>786</v>
      </c>
      <c r="F5862" s="380" t="s">
        <v>787</v>
      </c>
      <c r="G5862" s="380" t="s">
        <v>1267</v>
      </c>
      <c r="H5862" s="380" t="s">
        <v>771</v>
      </c>
      <c r="I5862" s="380" t="s">
        <v>788</v>
      </c>
      <c r="J5862" s="380" t="s">
        <v>773</v>
      </c>
      <c r="K5862" s="381">
        <v>0.0</v>
      </c>
      <c r="L5862" s="382">
        <v>1.0</v>
      </c>
    </row>
    <row r="5863">
      <c r="A5863" s="380" t="s">
        <v>6737</v>
      </c>
      <c r="B5863" s="380" t="str">
        <f>IFERROR(__xludf.DUMMYFUNCTION("""COMPUTED_VALUE"""),"Cremallera Elevavid Delta Izq 6982087301")</f>
        <v>Cremallera Elevavid Delta Izq 6982087301</v>
      </c>
      <c r="C5863" s="380" t="str">
        <f>IFERROR(__xludf.DUMMYFUNCTION("""COMPUTED_VALUE"""),"70001245")</f>
        <v>70001245</v>
      </c>
      <c r="D5863" s="380" t="s">
        <v>767</v>
      </c>
      <c r="E5863" s="380" t="s">
        <v>786</v>
      </c>
      <c r="F5863" s="380" t="s">
        <v>792</v>
      </c>
      <c r="G5863" s="380" t="s">
        <v>1267</v>
      </c>
      <c r="H5863" s="380" t="s">
        <v>771</v>
      </c>
      <c r="I5863" s="380" t="s">
        <v>788</v>
      </c>
      <c r="J5863" s="380" t="s">
        <v>773</v>
      </c>
      <c r="K5863" s="381">
        <v>172550.0</v>
      </c>
      <c r="L5863" s="382">
        <v>1.0</v>
      </c>
    </row>
    <row r="5864">
      <c r="A5864" s="380" t="s">
        <v>6738</v>
      </c>
      <c r="B5864" s="380" t="str">
        <f>IFERROR(__xludf.DUMMYFUNCTION("""COMPUTED_VALUE"""),"Refuerzo Hombro Quinta Rueda 9400 14677")</f>
        <v>Refuerzo Hombro Quinta Rueda 9400 14677</v>
      </c>
      <c r="C5864" s="380" t="str">
        <f>IFERROR(__xludf.DUMMYFUNCTION("""COMPUTED_VALUE"""),"70001246")</f>
        <v>70001246</v>
      </c>
      <c r="D5864" s="380" t="s">
        <v>767</v>
      </c>
      <c r="E5864" s="380" t="s">
        <v>786</v>
      </c>
      <c r="F5864" s="380" t="s">
        <v>792</v>
      </c>
      <c r="G5864" s="380" t="s">
        <v>1267</v>
      </c>
      <c r="H5864" s="380" t="s">
        <v>771</v>
      </c>
      <c r="I5864" s="380" t="s">
        <v>788</v>
      </c>
      <c r="J5864" s="380" t="s">
        <v>773</v>
      </c>
      <c r="K5864" s="381">
        <v>0.0</v>
      </c>
      <c r="L5864" s="382">
        <v>1.0</v>
      </c>
    </row>
    <row r="5865">
      <c r="A5865" s="380" t="s">
        <v>6739</v>
      </c>
      <c r="B5865" s="380" t="str">
        <f>IFERROR(__xludf.DUMMYFUNCTION("""COMPUTED_VALUE"""),"Oring Piñon Central Caja 17453 SB N")</f>
        <v>Oring Piñon Central Caja 17453 SB N</v>
      </c>
      <c r="C5865" s="380" t="str">
        <f>IFERROR(__xludf.DUMMYFUNCTION("""COMPUTED_VALUE"""),"70001247")</f>
        <v>70001247</v>
      </c>
      <c r="D5865" s="380" t="s">
        <v>767</v>
      </c>
      <c r="E5865" s="380" t="s">
        <v>786</v>
      </c>
      <c r="F5865" s="380" t="s">
        <v>928</v>
      </c>
      <c r="G5865" s="380" t="s">
        <v>1267</v>
      </c>
      <c r="H5865" s="380" t="s">
        <v>771</v>
      </c>
      <c r="I5865" s="380" t="s">
        <v>788</v>
      </c>
      <c r="J5865" s="380" t="s">
        <v>773</v>
      </c>
      <c r="K5865" s="381">
        <v>0.0</v>
      </c>
      <c r="L5865" s="382">
        <v>1.0</v>
      </c>
    </row>
    <row r="5866">
      <c r="A5866" s="380" t="s">
        <v>6740</v>
      </c>
      <c r="B5866" s="380" t="str">
        <f>IFERROR(__xludf.DUMMYFUNCTION("""COMPUTED_VALUE"""),"Varilla Pedal Clutch 9400 3541947C1")</f>
        <v>Varilla Pedal Clutch 9400 3541947C1</v>
      </c>
      <c r="C5866" s="380" t="str">
        <f>IFERROR(__xludf.DUMMYFUNCTION("""COMPUTED_VALUE"""),"70001248")</f>
        <v>70001248</v>
      </c>
      <c r="D5866" s="380" t="s">
        <v>767</v>
      </c>
      <c r="E5866" s="380" t="s">
        <v>786</v>
      </c>
      <c r="F5866" s="380" t="s">
        <v>5661</v>
      </c>
      <c r="G5866" s="380" t="s">
        <v>1267</v>
      </c>
      <c r="H5866" s="380" t="s">
        <v>771</v>
      </c>
      <c r="I5866" s="380" t="s">
        <v>788</v>
      </c>
      <c r="J5866" s="380" t="s">
        <v>773</v>
      </c>
      <c r="K5866" s="381">
        <v>0.0</v>
      </c>
      <c r="L5866" s="382">
        <v>1.0</v>
      </c>
    </row>
    <row r="5867">
      <c r="A5867" s="380" t="s">
        <v>6741</v>
      </c>
      <c r="B5867" s="380" t="str">
        <f>IFERROR(__xludf.DUMMYFUNCTION("""COMPUTED_VALUE"""),"Marco Puerta Der Nkr Reward 8975860306")</f>
        <v>Marco Puerta Der Nkr Reward 8975860306</v>
      </c>
      <c r="C5867" s="380" t="str">
        <f>IFERROR(__xludf.DUMMYFUNCTION("""COMPUTED_VALUE"""),"70001249")</f>
        <v>70001249</v>
      </c>
      <c r="D5867" s="380" t="s">
        <v>767</v>
      </c>
      <c r="E5867" s="380" t="s">
        <v>786</v>
      </c>
      <c r="F5867" s="380" t="s">
        <v>792</v>
      </c>
      <c r="G5867" s="380" t="s">
        <v>1267</v>
      </c>
      <c r="H5867" s="380" t="s">
        <v>771</v>
      </c>
      <c r="I5867" s="380" t="s">
        <v>788</v>
      </c>
      <c r="J5867" s="380" t="s">
        <v>773</v>
      </c>
      <c r="K5867" s="381">
        <v>0.0</v>
      </c>
      <c r="L5867" s="382">
        <v>1.0</v>
      </c>
    </row>
    <row r="5868">
      <c r="A5868" s="380" t="s">
        <v>6742</v>
      </c>
      <c r="B5868" s="380" t="str">
        <f>IFERROR(__xludf.DUMMYFUNCTION("""COMPUTED_VALUE"""),"Parasol Cabina Derecho Npr 8978683422")</f>
        <v>Parasol Cabina Derecho Npr 8978683422</v>
      </c>
      <c r="C5868" s="380" t="str">
        <f>IFERROR(__xludf.DUMMYFUNCTION("""COMPUTED_VALUE"""),"70001250")</f>
        <v>70001250</v>
      </c>
      <c r="D5868" s="380" t="s">
        <v>767</v>
      </c>
      <c r="E5868" s="380" t="s">
        <v>786</v>
      </c>
      <c r="F5868" s="380" t="s">
        <v>792</v>
      </c>
      <c r="G5868" s="380" t="s">
        <v>1267</v>
      </c>
      <c r="H5868" s="380" t="s">
        <v>771</v>
      </c>
      <c r="I5868" s="380" t="s">
        <v>788</v>
      </c>
      <c r="J5868" s="380" t="s">
        <v>773</v>
      </c>
      <c r="K5868" s="381">
        <v>0.0</v>
      </c>
      <c r="L5868" s="382">
        <v>1.0</v>
      </c>
    </row>
    <row r="5869">
      <c r="A5869" s="380" t="s">
        <v>6743</v>
      </c>
      <c r="B5869" s="380" t="str">
        <f>IFERROR(__xludf.DUMMYFUNCTION("""COMPUTED_VALUE"""),"Parasol Cabina Izq Npr 8978683431")</f>
        <v>Parasol Cabina Izq Npr 8978683431</v>
      </c>
      <c r="C5869" s="380" t="str">
        <f>IFERROR(__xludf.DUMMYFUNCTION("""COMPUTED_VALUE"""),"70001251")</f>
        <v>70001251</v>
      </c>
      <c r="D5869" s="380" t="s">
        <v>767</v>
      </c>
      <c r="E5869" s="380" t="s">
        <v>786</v>
      </c>
      <c r="F5869" s="380" t="s">
        <v>792</v>
      </c>
      <c r="G5869" s="380" t="s">
        <v>1267</v>
      </c>
      <c r="H5869" s="380" t="s">
        <v>771</v>
      </c>
      <c r="I5869" s="380" t="s">
        <v>788</v>
      </c>
      <c r="J5869" s="380" t="s">
        <v>773</v>
      </c>
      <c r="K5869" s="381">
        <v>0.0</v>
      </c>
      <c r="L5869" s="382">
        <v>1.0</v>
      </c>
    </row>
    <row r="5870">
      <c r="A5870" s="380" t="s">
        <v>6744</v>
      </c>
      <c r="B5870" s="380" t="str">
        <f>IFERROR(__xludf.DUMMYFUNCTION("""COMPUTED_VALUE"""),"Estribo Lado Izq FTR 1534141810")</f>
        <v>Estribo Lado Izq FTR 1534141810</v>
      </c>
      <c r="C5870" s="380" t="str">
        <f>IFERROR(__xludf.DUMMYFUNCTION("""COMPUTED_VALUE"""),"70001252")</f>
        <v>70001252</v>
      </c>
      <c r="D5870" s="380" t="s">
        <v>767</v>
      </c>
      <c r="E5870" s="380" t="s">
        <v>786</v>
      </c>
      <c r="F5870" s="380" t="s">
        <v>792</v>
      </c>
      <c r="G5870" s="380" t="s">
        <v>1267</v>
      </c>
      <c r="H5870" s="380" t="s">
        <v>771</v>
      </c>
      <c r="I5870" s="380" t="s">
        <v>788</v>
      </c>
      <c r="J5870" s="380" t="s">
        <v>773</v>
      </c>
      <c r="K5870" s="381">
        <v>0.0</v>
      </c>
      <c r="L5870" s="382">
        <v>1.0</v>
      </c>
    </row>
    <row r="5871">
      <c r="A5871" s="380" t="s">
        <v>6745</v>
      </c>
      <c r="B5871" s="380" t="str">
        <f>IFERROR(__xludf.DUMMYFUNCTION("""COMPUTED_VALUE"""),"Estribo Lado Der FTR 1435141800")</f>
        <v>Estribo Lado Der FTR 1435141800</v>
      </c>
      <c r="C5871" s="380" t="str">
        <f>IFERROR(__xludf.DUMMYFUNCTION("""COMPUTED_VALUE"""),"70001253")</f>
        <v>70001253</v>
      </c>
      <c r="D5871" s="380" t="s">
        <v>767</v>
      </c>
      <c r="E5871" s="380" t="s">
        <v>786</v>
      </c>
      <c r="F5871" s="380" t="s">
        <v>792</v>
      </c>
      <c r="G5871" s="380" t="s">
        <v>1267</v>
      </c>
      <c r="H5871" s="380" t="s">
        <v>771</v>
      </c>
      <c r="I5871" s="380" t="s">
        <v>788</v>
      </c>
      <c r="J5871" s="380" t="s">
        <v>773</v>
      </c>
      <c r="K5871" s="381">
        <v>0.0</v>
      </c>
      <c r="L5871" s="382">
        <v>1.0</v>
      </c>
    </row>
    <row r="5872">
      <c r="A5872" s="380" t="s">
        <v>6746</v>
      </c>
      <c r="B5872" s="380" t="str">
        <f>IFERROR(__xludf.DUMMYFUNCTION("""COMPUTED_VALUE"""),"Manilla Izq Capot FTR 8980365651")</f>
        <v>Manilla Izq Capot FTR 8980365651</v>
      </c>
      <c r="C5872" s="380" t="str">
        <f>IFERROR(__xludf.DUMMYFUNCTION("""COMPUTED_VALUE"""),"70001254")</f>
        <v>70001254</v>
      </c>
      <c r="D5872" s="380" t="s">
        <v>767</v>
      </c>
      <c r="E5872" s="380" t="s">
        <v>786</v>
      </c>
      <c r="F5872" s="380" t="s">
        <v>792</v>
      </c>
      <c r="G5872" s="380" t="s">
        <v>1267</v>
      </c>
      <c r="H5872" s="380" t="s">
        <v>771</v>
      </c>
      <c r="I5872" s="380" t="s">
        <v>788</v>
      </c>
      <c r="J5872" s="380" t="s">
        <v>773</v>
      </c>
      <c r="K5872" s="381">
        <v>0.0</v>
      </c>
      <c r="L5872" s="382">
        <v>1.0</v>
      </c>
    </row>
    <row r="5873">
      <c r="A5873" s="380" t="s">
        <v>6747</v>
      </c>
      <c r="B5873" s="380" t="str">
        <f>IFERROR(__xludf.DUMMYFUNCTION("""COMPUTED_VALUE"""),"Manilla Der Capot FTR 8980365661")</f>
        <v>Manilla Der Capot FTR 8980365661</v>
      </c>
      <c r="C5873" s="380" t="str">
        <f>IFERROR(__xludf.DUMMYFUNCTION("""COMPUTED_VALUE"""),"70001255")</f>
        <v>70001255</v>
      </c>
      <c r="D5873" s="380" t="s">
        <v>767</v>
      </c>
      <c r="E5873" s="380" t="s">
        <v>786</v>
      </c>
      <c r="F5873" s="380" t="s">
        <v>792</v>
      </c>
      <c r="G5873" s="380" t="s">
        <v>1267</v>
      </c>
      <c r="H5873" s="380" t="s">
        <v>771</v>
      </c>
      <c r="I5873" s="380" t="s">
        <v>788</v>
      </c>
      <c r="J5873" s="380" t="s">
        <v>773</v>
      </c>
      <c r="K5873" s="381">
        <v>0.0</v>
      </c>
      <c r="L5873" s="382">
        <v>1.0</v>
      </c>
    </row>
    <row r="5874">
      <c r="A5874" s="380" t="s">
        <v>6748</v>
      </c>
      <c r="B5874" s="380" t="str">
        <f>IFERROR(__xludf.DUMMYFUNCTION("""COMPUTED_VALUE"""),"Platina Estribo Principal FTR 8980175363")</f>
        <v>Platina Estribo Principal FTR 8980175363</v>
      </c>
      <c r="C5874" s="380" t="str">
        <f>IFERROR(__xludf.DUMMYFUNCTION("""COMPUTED_VALUE"""),"70001256")</f>
        <v>70001256</v>
      </c>
      <c r="D5874" s="380" t="s">
        <v>767</v>
      </c>
      <c r="E5874" s="380" t="s">
        <v>786</v>
      </c>
      <c r="F5874" s="380" t="s">
        <v>792</v>
      </c>
      <c r="G5874" s="380" t="s">
        <v>1267</v>
      </c>
      <c r="H5874" s="380" t="s">
        <v>771</v>
      </c>
      <c r="I5874" s="380" t="s">
        <v>788</v>
      </c>
      <c r="J5874" s="380" t="s">
        <v>773</v>
      </c>
      <c r="K5874" s="381">
        <v>0.0</v>
      </c>
      <c r="L5874" s="382">
        <v>1.0</v>
      </c>
    </row>
    <row r="5875">
      <c r="A5875" s="380" t="s">
        <v>6749</v>
      </c>
      <c r="B5875" s="380" t="str">
        <f>IFERROR(__xludf.DUMMYFUNCTION("""COMPUTED_VALUE"""),"Farola Del Izq Nkr Reward 8982413280")</f>
        <v>Farola Del Izq Nkr Reward 8982413280</v>
      </c>
      <c r="C5875" s="380" t="str">
        <f>IFERROR(__xludf.DUMMYFUNCTION("""COMPUTED_VALUE"""),"70001257")</f>
        <v>70001257</v>
      </c>
      <c r="D5875" s="380" t="s">
        <v>767</v>
      </c>
      <c r="E5875" s="380" t="s">
        <v>786</v>
      </c>
      <c r="F5875" s="380" t="s">
        <v>998</v>
      </c>
      <c r="G5875" s="380" t="s">
        <v>1267</v>
      </c>
      <c r="H5875" s="380" t="s">
        <v>771</v>
      </c>
      <c r="I5875" s="380" t="s">
        <v>788</v>
      </c>
      <c r="J5875" s="380" t="s">
        <v>773</v>
      </c>
      <c r="K5875" s="381">
        <v>0.0</v>
      </c>
      <c r="L5875" s="382">
        <v>1.0</v>
      </c>
    </row>
    <row r="5876">
      <c r="A5876" s="380" t="s">
        <v>6750</v>
      </c>
      <c r="B5876" s="380" t="str">
        <f>IFERROR(__xludf.DUMMYFUNCTION("""COMPUTED_VALUE"""),"Lampara Señal Del Izq FTR 8974101813")</f>
        <v>Lampara Señal Del Izq FTR 8974101813</v>
      </c>
      <c r="C5876" s="380" t="str">
        <f>IFERROR(__xludf.DUMMYFUNCTION("""COMPUTED_VALUE"""),"70001258")</f>
        <v>70001258</v>
      </c>
      <c r="D5876" s="380" t="s">
        <v>767</v>
      </c>
      <c r="E5876" s="380" t="s">
        <v>786</v>
      </c>
      <c r="F5876" s="380" t="s">
        <v>792</v>
      </c>
      <c r="G5876" s="380" t="s">
        <v>1267</v>
      </c>
      <c r="H5876" s="380" t="s">
        <v>771</v>
      </c>
      <c r="I5876" s="380" t="s">
        <v>788</v>
      </c>
      <c r="J5876" s="380" t="s">
        <v>773</v>
      </c>
      <c r="K5876" s="381">
        <v>0.0</v>
      </c>
      <c r="L5876" s="382">
        <v>1.0</v>
      </c>
    </row>
    <row r="5877">
      <c r="A5877" s="380" t="s">
        <v>6751</v>
      </c>
      <c r="B5877" s="380" t="str">
        <f>IFERROR(__xludf.DUMMYFUNCTION("""COMPUTED_VALUE"""),"Bisel Izq Parachoque Del FTR 8976115312")</f>
        <v>Bisel Izq Parachoque Del FTR 8976115312</v>
      </c>
      <c r="C5877" s="380" t="str">
        <f>IFERROR(__xludf.DUMMYFUNCTION("""COMPUTED_VALUE"""),"70001259")</f>
        <v>70001259</v>
      </c>
      <c r="D5877" s="380" t="s">
        <v>767</v>
      </c>
      <c r="E5877" s="380" t="s">
        <v>786</v>
      </c>
      <c r="F5877" s="380" t="s">
        <v>792</v>
      </c>
      <c r="G5877" s="380" t="s">
        <v>1267</v>
      </c>
      <c r="H5877" s="380" t="s">
        <v>771</v>
      </c>
      <c r="I5877" s="380" t="s">
        <v>788</v>
      </c>
      <c r="J5877" s="380" t="s">
        <v>773</v>
      </c>
      <c r="K5877" s="381">
        <v>0.0</v>
      </c>
      <c r="L5877" s="382">
        <v>1.0</v>
      </c>
    </row>
    <row r="5878">
      <c r="A5878" s="380" t="s">
        <v>6752</v>
      </c>
      <c r="B5878" s="380" t="str">
        <f>IFERROR(__xludf.DUMMYFUNCTION("""COMPUTED_VALUE"""),"Moldura Paso Rda Ext Izq FTR 8980413993")</f>
        <v>Moldura Paso Rda Ext Izq FTR 8980413993</v>
      </c>
      <c r="C5878" s="380" t="str">
        <f>IFERROR(__xludf.DUMMYFUNCTION("""COMPUTED_VALUE"""),"70001260")</f>
        <v>70001260</v>
      </c>
      <c r="D5878" s="380" t="s">
        <v>767</v>
      </c>
      <c r="E5878" s="380" t="s">
        <v>786</v>
      </c>
      <c r="F5878" s="380" t="s">
        <v>792</v>
      </c>
      <c r="G5878" s="380" t="s">
        <v>1267</v>
      </c>
      <c r="H5878" s="380" t="s">
        <v>771</v>
      </c>
      <c r="I5878" s="380" t="s">
        <v>788</v>
      </c>
      <c r="J5878" s="380" t="s">
        <v>773</v>
      </c>
      <c r="K5878" s="381">
        <v>0.0</v>
      </c>
      <c r="L5878" s="382">
        <v>1.0</v>
      </c>
    </row>
    <row r="5879">
      <c r="A5879" s="380" t="s">
        <v>6753</v>
      </c>
      <c r="B5879" s="380" t="str">
        <f>IFERROR(__xludf.DUMMYFUNCTION("""COMPUTED_VALUE"""),"Oring Caja Direc Chepa M100 S60 2210342")</f>
        <v>Oring Caja Direc Chepa M100 S60 2210342</v>
      </c>
      <c r="C5879" s="380" t="str">
        <f>IFERROR(__xludf.DUMMYFUNCTION("""COMPUTED_VALUE"""),"70001261")</f>
        <v>70001261</v>
      </c>
      <c r="D5879" s="380" t="s">
        <v>767</v>
      </c>
      <c r="E5879" s="380" t="s">
        <v>786</v>
      </c>
      <c r="F5879" s="380" t="s">
        <v>1020</v>
      </c>
      <c r="G5879" s="380" t="s">
        <v>1267</v>
      </c>
      <c r="H5879" s="380" t="s">
        <v>771</v>
      </c>
      <c r="I5879" s="380" t="s">
        <v>788</v>
      </c>
      <c r="J5879" s="380" t="s">
        <v>773</v>
      </c>
      <c r="K5879" s="381">
        <v>0.0</v>
      </c>
      <c r="L5879" s="382">
        <v>1.0</v>
      </c>
    </row>
    <row r="5880">
      <c r="A5880" s="380" t="s">
        <v>6754</v>
      </c>
      <c r="B5880" s="380" t="str">
        <f>IFERROR(__xludf.DUMMYFUNCTION("""COMPUTED_VALUE"""),"Lampara Delantera Izq FTR 8982386310")</f>
        <v>Lampara Delantera Izq FTR 8982386310</v>
      </c>
      <c r="C5880" s="380" t="str">
        <f>IFERROR(__xludf.DUMMYFUNCTION("""COMPUTED_VALUE"""),"70001262")</f>
        <v>70001262</v>
      </c>
      <c r="D5880" s="380" t="s">
        <v>767</v>
      </c>
      <c r="E5880" s="380" t="s">
        <v>786</v>
      </c>
      <c r="F5880" s="380" t="s">
        <v>792</v>
      </c>
      <c r="G5880" s="380" t="s">
        <v>1267</v>
      </c>
      <c r="H5880" s="380" t="s">
        <v>771</v>
      </c>
      <c r="I5880" s="380" t="s">
        <v>788</v>
      </c>
      <c r="J5880" s="380" t="s">
        <v>773</v>
      </c>
      <c r="K5880" s="381">
        <v>0.0</v>
      </c>
      <c r="L5880" s="382">
        <v>1.0</v>
      </c>
    </row>
    <row r="5881">
      <c r="A5881" s="380" t="s">
        <v>6755</v>
      </c>
      <c r="B5881" s="380" t="str">
        <f>IFERROR(__xludf.DUMMYFUNCTION("""COMPUTED_VALUE"""),"Clip Fijacion Varios FTR FRR 8982419840")</f>
        <v>Clip Fijacion Varios FTR FRR 8982419840</v>
      </c>
      <c r="C5881" s="380" t="str">
        <f>IFERROR(__xludf.DUMMYFUNCTION("""COMPUTED_VALUE"""),"70001263")</f>
        <v>70001263</v>
      </c>
      <c r="D5881" s="380" t="s">
        <v>767</v>
      </c>
      <c r="E5881" s="380" t="s">
        <v>786</v>
      </c>
      <c r="F5881" s="380" t="s">
        <v>792</v>
      </c>
      <c r="G5881" s="380" t="s">
        <v>1267</v>
      </c>
      <c r="H5881" s="380" t="s">
        <v>771</v>
      </c>
      <c r="I5881" s="380" t="s">
        <v>788</v>
      </c>
      <c r="J5881" s="380" t="s">
        <v>773</v>
      </c>
      <c r="K5881" s="381">
        <v>0.0</v>
      </c>
      <c r="L5881" s="382">
        <v>1.0</v>
      </c>
    </row>
    <row r="5882">
      <c r="A5882" s="380" t="s">
        <v>6756</v>
      </c>
      <c r="B5882" s="380" t="str">
        <f>IFERROR(__xludf.DUMMYFUNCTION("""COMPUTED_VALUE"""),"Sopor Tras Cabina Izq Nkr Rewa8980014442")</f>
        <v>Sopor Tras Cabina Izq Nkr Rewa8980014442</v>
      </c>
      <c r="C5882" s="380" t="str">
        <f>IFERROR(__xludf.DUMMYFUNCTION("""COMPUTED_VALUE"""),"70001264")</f>
        <v>70001264</v>
      </c>
      <c r="D5882" s="380" t="s">
        <v>767</v>
      </c>
      <c r="E5882" s="380" t="s">
        <v>786</v>
      </c>
      <c r="F5882" s="380" t="s">
        <v>792</v>
      </c>
      <c r="G5882" s="380" t="s">
        <v>1267</v>
      </c>
      <c r="H5882" s="380" t="s">
        <v>771</v>
      </c>
      <c r="I5882" s="380" t="s">
        <v>788</v>
      </c>
      <c r="J5882" s="380" t="s">
        <v>773</v>
      </c>
      <c r="K5882" s="381">
        <v>0.0</v>
      </c>
      <c r="L5882" s="382">
        <v>1.0</v>
      </c>
    </row>
    <row r="5883">
      <c r="A5883" s="380" t="s">
        <v>6757</v>
      </c>
      <c r="B5883" s="380" t="str">
        <f>IFERROR(__xludf.DUMMYFUNCTION("""COMPUTED_VALUE"""),"Chapa Capo Van N200 24534862S")</f>
        <v>Chapa Capo Van N200 24534862S</v>
      </c>
      <c r="C5883" s="380" t="str">
        <f>IFERROR(__xludf.DUMMYFUNCTION("""COMPUTED_VALUE"""),"70001265")</f>
        <v>70001265</v>
      </c>
      <c r="D5883" s="380" t="s">
        <v>767</v>
      </c>
      <c r="E5883" s="380" t="s">
        <v>786</v>
      </c>
      <c r="F5883" s="380" t="s">
        <v>792</v>
      </c>
      <c r="G5883" s="380" t="s">
        <v>1267</v>
      </c>
      <c r="H5883" s="380" t="s">
        <v>771</v>
      </c>
      <c r="I5883" s="380" t="s">
        <v>788</v>
      </c>
      <c r="J5883" s="380" t="s">
        <v>773</v>
      </c>
      <c r="K5883" s="381">
        <v>0.0</v>
      </c>
      <c r="L5883" s="382">
        <v>1.0</v>
      </c>
    </row>
    <row r="5884">
      <c r="A5884" s="380" t="s">
        <v>6758</v>
      </c>
      <c r="B5884" s="380" t="str">
        <f>IFERROR(__xludf.DUMMYFUNCTION("""COMPUTED_VALUE"""),"Retenedor Cigüeñal Trasero N200 9052783")</f>
        <v>Retenedor Cigüeñal Trasero N200 9052783</v>
      </c>
      <c r="C5884" s="380" t="str">
        <f>IFERROR(__xludf.DUMMYFUNCTION("""COMPUTED_VALUE"""),"70001266")</f>
        <v>70001266</v>
      </c>
      <c r="D5884" s="380" t="s">
        <v>767</v>
      </c>
      <c r="E5884" s="380" t="s">
        <v>786</v>
      </c>
      <c r="F5884" s="380" t="s">
        <v>787</v>
      </c>
      <c r="G5884" s="380" t="s">
        <v>1267</v>
      </c>
      <c r="H5884" s="380" t="s">
        <v>771</v>
      </c>
      <c r="I5884" s="380" t="s">
        <v>788</v>
      </c>
      <c r="J5884" s="380" t="s">
        <v>773</v>
      </c>
      <c r="K5884" s="381">
        <v>0.0</v>
      </c>
      <c r="L5884" s="382">
        <v>1.0</v>
      </c>
    </row>
    <row r="5885">
      <c r="A5885" s="380" t="s">
        <v>6759</v>
      </c>
      <c r="B5885" s="380" t="str">
        <f>IFERROR(__xludf.DUMMYFUNCTION("""COMPUTED_VALUE"""),"Pasad Buje Mue Sus Del Nkr Nhr8941179001")</f>
        <v>Pasad Buje Mue Sus Del Nkr Nhr8941179001</v>
      </c>
      <c r="C5885" s="380" t="str">
        <f>IFERROR(__xludf.DUMMYFUNCTION("""COMPUTED_VALUE"""),"70001267")</f>
        <v>70001267</v>
      </c>
      <c r="D5885" s="380" t="s">
        <v>767</v>
      </c>
      <c r="E5885" s="380" t="s">
        <v>786</v>
      </c>
      <c r="F5885" s="380" t="s">
        <v>1039</v>
      </c>
      <c r="G5885" s="380" t="s">
        <v>1267</v>
      </c>
      <c r="H5885" s="380" t="s">
        <v>771</v>
      </c>
      <c r="I5885" s="380" t="s">
        <v>788</v>
      </c>
      <c r="J5885" s="380" t="s">
        <v>773</v>
      </c>
      <c r="K5885" s="381">
        <v>0.0</v>
      </c>
      <c r="L5885" s="382">
        <v>1.0</v>
      </c>
    </row>
    <row r="5886">
      <c r="A5886" s="380" t="s">
        <v>6760</v>
      </c>
      <c r="B5886" s="380" t="str">
        <f>IFERROR(__xludf.DUMMYFUNCTION("""COMPUTED_VALUE"""),"Alternador Nkr Reward 24 V")</f>
        <v>Alternador Nkr Reward 24 V</v>
      </c>
      <c r="C5886" s="380" t="str">
        <f>IFERROR(__xludf.DUMMYFUNCTION("""COMPUTED_VALUE"""),"70001268")</f>
        <v>70001268</v>
      </c>
      <c r="D5886" s="380" t="s">
        <v>767</v>
      </c>
      <c r="E5886" s="380" t="s">
        <v>786</v>
      </c>
      <c r="F5886" s="380" t="s">
        <v>998</v>
      </c>
      <c r="G5886" s="380" t="s">
        <v>1267</v>
      </c>
      <c r="H5886" s="380" t="s">
        <v>771</v>
      </c>
      <c r="I5886" s="380" t="s">
        <v>788</v>
      </c>
      <c r="J5886" s="380" t="s">
        <v>773</v>
      </c>
      <c r="K5886" s="381">
        <v>799085.0</v>
      </c>
      <c r="L5886" s="382">
        <v>1.0</v>
      </c>
    </row>
    <row r="5887">
      <c r="A5887" s="380" t="s">
        <v>6761</v>
      </c>
      <c r="B5887" s="380" t="str">
        <f>IFERROR(__xludf.DUMMYFUNCTION("""COMPUTED_VALUE"""),"Cilindro Encendido 6905737120 Hino")</f>
        <v>Cilindro Encendido 6905737120 Hino</v>
      </c>
      <c r="C5887" s="380" t="str">
        <f>IFERROR(__xludf.DUMMYFUNCTION("""COMPUTED_VALUE"""),"70001269")</f>
        <v>70001269</v>
      </c>
      <c r="D5887" s="380" t="s">
        <v>767</v>
      </c>
      <c r="E5887" s="380" t="s">
        <v>786</v>
      </c>
      <c r="F5887" s="380" t="s">
        <v>792</v>
      </c>
      <c r="G5887" s="380" t="s">
        <v>1267</v>
      </c>
      <c r="H5887" s="380" t="s">
        <v>771</v>
      </c>
      <c r="I5887" s="380" t="s">
        <v>788</v>
      </c>
      <c r="J5887" s="380" t="s">
        <v>773</v>
      </c>
      <c r="K5887" s="381">
        <v>297976.0</v>
      </c>
      <c r="L5887" s="382">
        <v>1.0</v>
      </c>
    </row>
    <row r="5888">
      <c r="A5888" s="380" t="s">
        <v>6762</v>
      </c>
      <c r="B5888" s="380" t="str">
        <f>IFERROR(__xludf.DUMMYFUNCTION("""COMPUTED_VALUE"""),"Ramal Encendido 8445037161 Hino")</f>
        <v>Ramal Encendido 8445037161 Hino</v>
      </c>
      <c r="C5888" s="380" t="str">
        <f>IFERROR(__xludf.DUMMYFUNCTION("""COMPUTED_VALUE"""),"70001270")</f>
        <v>70001270</v>
      </c>
      <c r="D5888" s="380" t="s">
        <v>767</v>
      </c>
      <c r="E5888" s="380" t="s">
        <v>786</v>
      </c>
      <c r="F5888" s="380" t="s">
        <v>998</v>
      </c>
      <c r="G5888" s="380" t="s">
        <v>1267</v>
      </c>
      <c r="H5888" s="380" t="s">
        <v>771</v>
      </c>
      <c r="I5888" s="380" t="s">
        <v>788</v>
      </c>
      <c r="J5888" s="380" t="s">
        <v>773</v>
      </c>
      <c r="K5888" s="381">
        <v>0.0</v>
      </c>
      <c r="L5888" s="382">
        <v>1.0</v>
      </c>
    </row>
    <row r="5889">
      <c r="A5889" s="380" t="s">
        <v>6763</v>
      </c>
      <c r="B5889" s="380" t="str">
        <f>IFERROR(__xludf.DUMMYFUNCTION("""COMPUTED_VALUE"""),"Cuerpo Aceleracion N200 24556341")</f>
        <v>Cuerpo Aceleracion N200 24556341</v>
      </c>
      <c r="C5889" s="380" t="str">
        <f>IFERROR(__xludf.DUMMYFUNCTION("""COMPUTED_VALUE"""),"70001271")</f>
        <v>70001271</v>
      </c>
      <c r="D5889" s="380" t="s">
        <v>767</v>
      </c>
      <c r="E5889" s="380" t="s">
        <v>786</v>
      </c>
      <c r="F5889" s="380" t="s">
        <v>787</v>
      </c>
      <c r="G5889" s="380" t="s">
        <v>1267</v>
      </c>
      <c r="H5889" s="380" t="s">
        <v>771</v>
      </c>
      <c r="I5889" s="380" t="s">
        <v>788</v>
      </c>
      <c r="J5889" s="380" t="s">
        <v>773</v>
      </c>
      <c r="K5889" s="381">
        <v>0.0</v>
      </c>
      <c r="L5889" s="382">
        <v>1.0</v>
      </c>
    </row>
    <row r="5890">
      <c r="A5890" s="380" t="s">
        <v>6764</v>
      </c>
      <c r="B5890" s="380" t="str">
        <f>IFERROR(__xludf.DUMMYFUNCTION("""COMPUTED_VALUE"""),"Pivote Rev Cja Full16918 Eagl15899-15898")</f>
        <v>Pivote Rev Cja Full16918 Eagl15899-15898</v>
      </c>
      <c r="C5890" s="380" t="str">
        <f>IFERROR(__xludf.DUMMYFUNCTION("""COMPUTED_VALUE"""),"70001272")</f>
        <v>70001272</v>
      </c>
      <c r="D5890" s="380" t="s">
        <v>767</v>
      </c>
      <c r="E5890" s="380" t="s">
        <v>786</v>
      </c>
      <c r="F5890" s="380" t="s">
        <v>928</v>
      </c>
      <c r="G5890" s="380" t="s">
        <v>1267</v>
      </c>
      <c r="H5890" s="380" t="s">
        <v>771</v>
      </c>
      <c r="I5890" s="380" t="s">
        <v>788</v>
      </c>
      <c r="J5890" s="380" t="s">
        <v>773</v>
      </c>
      <c r="K5890" s="381">
        <v>0.0</v>
      </c>
      <c r="L5890" s="382">
        <v>1.0</v>
      </c>
    </row>
    <row r="5891">
      <c r="A5891" s="380" t="s">
        <v>6765</v>
      </c>
      <c r="B5891" s="380" t="str">
        <f>IFERROR(__xludf.DUMMYFUNCTION("""COMPUTED_VALUE"""),"Set Rod Rda Del Int33210J Hino9036650069")</f>
        <v>Set Rod Rda Del Int33210J Hino9036650069</v>
      </c>
      <c r="C5891" s="380" t="str">
        <f>IFERROR(__xludf.DUMMYFUNCTION("""COMPUTED_VALUE"""),"70001273")</f>
        <v>70001273</v>
      </c>
      <c r="D5891" s="380" t="s">
        <v>767</v>
      </c>
      <c r="E5891" s="380" t="s">
        <v>786</v>
      </c>
      <c r="F5891" s="380" t="s">
        <v>1039</v>
      </c>
      <c r="G5891" s="380" t="s">
        <v>1267</v>
      </c>
      <c r="H5891" s="380" t="s">
        <v>771</v>
      </c>
      <c r="I5891" s="380" t="s">
        <v>788</v>
      </c>
      <c r="J5891" s="380" t="s">
        <v>773</v>
      </c>
      <c r="K5891" s="381">
        <v>0.0</v>
      </c>
      <c r="L5891" s="382">
        <v>1.0</v>
      </c>
    </row>
    <row r="5892">
      <c r="A5892" s="380" t="s">
        <v>6766</v>
      </c>
      <c r="B5892" s="380" t="str">
        <f>IFERROR(__xludf.DUMMYFUNCTION("""COMPUTED_VALUE"""),"Porta Repuesto Hino 5190037160")</f>
        <v>Porta Repuesto Hino 5190037160</v>
      </c>
      <c r="C5892" s="380" t="str">
        <f>IFERROR(__xludf.DUMMYFUNCTION("""COMPUTED_VALUE"""),"70001274")</f>
        <v>70001274</v>
      </c>
      <c r="D5892" s="380" t="s">
        <v>767</v>
      </c>
      <c r="E5892" s="380" t="s">
        <v>786</v>
      </c>
      <c r="F5892" s="380" t="s">
        <v>792</v>
      </c>
      <c r="G5892" s="380" t="s">
        <v>1267</v>
      </c>
      <c r="H5892" s="380" t="s">
        <v>771</v>
      </c>
      <c r="I5892" s="380" t="s">
        <v>788</v>
      </c>
      <c r="J5892" s="380" t="s">
        <v>773</v>
      </c>
      <c r="K5892" s="381">
        <v>0.0</v>
      </c>
      <c r="L5892" s="382">
        <v>1.0</v>
      </c>
    </row>
    <row r="5893">
      <c r="A5893" s="380" t="s">
        <v>6767</v>
      </c>
      <c r="B5893" s="380" t="str">
        <f>IFERROR(__xludf.DUMMYFUNCTION("""COMPUTED_VALUE"""),"Actuador Seguro Puerta KWR566012")</f>
        <v>Actuador Seguro Puerta KWR566012</v>
      </c>
      <c r="C5893" s="380" t="str">
        <f>IFERROR(__xludf.DUMMYFUNCTION("""COMPUTED_VALUE"""),"70001275")</f>
        <v>70001275</v>
      </c>
      <c r="D5893" s="380" t="s">
        <v>767</v>
      </c>
      <c r="E5893" s="380" t="s">
        <v>786</v>
      </c>
      <c r="F5893" s="380" t="s">
        <v>998</v>
      </c>
      <c r="G5893" s="380" t="s">
        <v>1267</v>
      </c>
      <c r="H5893" s="380" t="s">
        <v>771</v>
      </c>
      <c r="I5893" s="380" t="s">
        <v>788</v>
      </c>
      <c r="J5893" s="380" t="s">
        <v>773</v>
      </c>
      <c r="K5893" s="381">
        <v>0.0</v>
      </c>
      <c r="L5893" s="382">
        <v>1.0</v>
      </c>
    </row>
    <row r="5894">
      <c r="A5894" s="380" t="s">
        <v>6768</v>
      </c>
      <c r="B5894" s="380" t="str">
        <f>IFERROR(__xludf.DUMMYFUNCTION("""COMPUTED_VALUE"""),"Kit Clutch N200 19315183")</f>
        <v>Kit Clutch N200 19315183</v>
      </c>
      <c r="C5894" s="380" t="str">
        <f>IFERROR(__xludf.DUMMYFUNCTION("""COMPUTED_VALUE"""),"70001276")</f>
        <v>70001276</v>
      </c>
      <c r="D5894" s="380" t="s">
        <v>767</v>
      </c>
      <c r="E5894" s="380" t="s">
        <v>786</v>
      </c>
      <c r="F5894" s="380" t="s">
        <v>5661</v>
      </c>
      <c r="G5894" s="380" t="s">
        <v>1267</v>
      </c>
      <c r="H5894" s="380" t="s">
        <v>771</v>
      </c>
      <c r="I5894" s="380" t="s">
        <v>788</v>
      </c>
      <c r="J5894" s="380" t="s">
        <v>773</v>
      </c>
      <c r="K5894" s="381">
        <v>0.0</v>
      </c>
      <c r="L5894" s="382">
        <v>1.0</v>
      </c>
    </row>
    <row r="5895">
      <c r="A5895" s="380" t="s">
        <v>6769</v>
      </c>
      <c r="B5895" s="380" t="str">
        <f>IFERROR(__xludf.DUMMYFUNCTION("""COMPUTED_VALUE"""),"Tapa Depos Aux Radiador Nkr Rew898178074")</f>
        <v>Tapa Depos Aux Radiador Nkr Rew898178074</v>
      </c>
      <c r="C5895" s="380" t="str">
        <f>IFERROR(__xludf.DUMMYFUNCTION("""COMPUTED_VALUE"""),"70001277")</f>
        <v>70001277</v>
      </c>
      <c r="D5895" s="380" t="s">
        <v>767</v>
      </c>
      <c r="E5895" s="380" t="s">
        <v>786</v>
      </c>
      <c r="F5895" s="380" t="s">
        <v>787</v>
      </c>
      <c r="G5895" s="380" t="s">
        <v>1267</v>
      </c>
      <c r="H5895" s="380" t="s">
        <v>771</v>
      </c>
      <c r="I5895" s="380" t="s">
        <v>788</v>
      </c>
      <c r="J5895" s="380" t="s">
        <v>773</v>
      </c>
      <c r="K5895" s="381">
        <v>0.0</v>
      </c>
      <c r="L5895" s="382">
        <v>1.0</v>
      </c>
    </row>
    <row r="5896">
      <c r="A5896" s="380" t="s">
        <v>6770</v>
      </c>
      <c r="B5896" s="380" t="str">
        <f>IFERROR(__xludf.DUMMYFUNCTION("""COMPUTED_VALUE"""),"Manija Ext Puerta Izq T Delta 6922095400")</f>
        <v>Manija Ext Puerta Izq T Delta 6922095400</v>
      </c>
      <c r="C5896" s="380" t="str">
        <f>IFERROR(__xludf.DUMMYFUNCTION("""COMPUTED_VALUE"""),"70001278")</f>
        <v>70001278</v>
      </c>
      <c r="D5896" s="380" t="s">
        <v>767</v>
      </c>
      <c r="E5896" s="380" t="s">
        <v>786</v>
      </c>
      <c r="F5896" s="380" t="s">
        <v>792</v>
      </c>
      <c r="G5896" s="380" t="s">
        <v>1267</v>
      </c>
      <c r="H5896" s="380" t="s">
        <v>771</v>
      </c>
      <c r="I5896" s="380" t="s">
        <v>788</v>
      </c>
      <c r="J5896" s="380" t="s">
        <v>773</v>
      </c>
      <c r="K5896" s="381">
        <v>0.0</v>
      </c>
      <c r="L5896" s="382">
        <v>1.0</v>
      </c>
    </row>
    <row r="5897">
      <c r="A5897" s="380" t="s">
        <v>6771</v>
      </c>
      <c r="B5897" s="380" t="str">
        <f>IFERROR(__xludf.DUMMYFUNCTION("""COMPUTED_VALUE"""),"Relay Motor Arranq Nkr Rew24V 8981671730")</f>
        <v>Relay Motor Arranq Nkr Rew24V 8981671730</v>
      </c>
      <c r="C5897" s="380" t="str">
        <f>IFERROR(__xludf.DUMMYFUNCTION("""COMPUTED_VALUE"""),"70001279")</f>
        <v>70001279</v>
      </c>
      <c r="D5897" s="380" t="s">
        <v>767</v>
      </c>
      <c r="E5897" s="380" t="s">
        <v>786</v>
      </c>
      <c r="F5897" s="380" t="s">
        <v>998</v>
      </c>
      <c r="G5897" s="380" t="s">
        <v>1267</v>
      </c>
      <c r="H5897" s="380" t="s">
        <v>771</v>
      </c>
      <c r="I5897" s="380" t="s">
        <v>788</v>
      </c>
      <c r="J5897" s="380" t="s">
        <v>773</v>
      </c>
      <c r="K5897" s="381">
        <v>0.0</v>
      </c>
      <c r="L5897" s="382">
        <v>1.0</v>
      </c>
    </row>
    <row r="5898">
      <c r="A5898" s="380" t="s">
        <v>6772</v>
      </c>
      <c r="B5898" s="380" t="str">
        <f>IFERROR(__xludf.DUMMYFUNCTION("""COMPUTED_VALUE"""),"Gorro Economizador Culata N200 24517862")</f>
        <v>Gorro Economizador Culata N200 24517862</v>
      </c>
      <c r="C5898" s="380" t="str">
        <f>IFERROR(__xludf.DUMMYFUNCTION("""COMPUTED_VALUE"""),"70001280")</f>
        <v>70001280</v>
      </c>
      <c r="D5898" s="380" t="s">
        <v>767</v>
      </c>
      <c r="E5898" s="380" t="s">
        <v>786</v>
      </c>
      <c r="F5898" s="380" t="s">
        <v>787</v>
      </c>
      <c r="G5898" s="380" t="s">
        <v>1267</v>
      </c>
      <c r="H5898" s="380" t="s">
        <v>771</v>
      </c>
      <c r="I5898" s="380" t="s">
        <v>788</v>
      </c>
      <c r="J5898" s="380" t="s">
        <v>773</v>
      </c>
      <c r="K5898" s="381">
        <v>0.0</v>
      </c>
      <c r="L5898" s="382">
        <v>1.0</v>
      </c>
    </row>
    <row r="5899">
      <c r="A5899" s="380" t="s">
        <v>6773</v>
      </c>
      <c r="B5899" s="380" t="str">
        <f>IFERROR(__xludf.DUMMYFUNCTION("""COMPUTED_VALUE"""),"Bombillo Halogeno H11 24v T Osram Hino")</f>
        <v>Bombillo Halogeno H11 24v T Osram Hino</v>
      </c>
      <c r="C5899" s="380" t="str">
        <f>IFERROR(__xludf.DUMMYFUNCTION("""COMPUTED_VALUE"""),"70001281")</f>
        <v>70001281</v>
      </c>
      <c r="D5899" s="380" t="s">
        <v>767</v>
      </c>
      <c r="E5899" s="380" t="s">
        <v>786</v>
      </c>
      <c r="F5899" s="380" t="s">
        <v>998</v>
      </c>
      <c r="G5899" s="380" t="s">
        <v>1267</v>
      </c>
      <c r="H5899" s="380" t="s">
        <v>771</v>
      </c>
      <c r="I5899" s="380" t="s">
        <v>788</v>
      </c>
      <c r="J5899" s="380" t="s">
        <v>773</v>
      </c>
      <c r="K5899" s="381">
        <v>40460.0</v>
      </c>
      <c r="L5899" s="382">
        <v>1.0</v>
      </c>
    </row>
    <row r="5900">
      <c r="A5900" s="380" t="s">
        <v>6774</v>
      </c>
      <c r="B5900" s="380" t="str">
        <f>IFERROR(__xludf.DUMMYFUNCTION("""COMPUTED_VALUE"""),"Kit Anillos Piston Van N200 24545481")</f>
        <v>Kit Anillos Piston Van N200 24545481</v>
      </c>
      <c r="C5900" s="380" t="str">
        <f>IFERROR(__xludf.DUMMYFUNCTION("""COMPUTED_VALUE"""),"70001282")</f>
        <v>70001282</v>
      </c>
      <c r="D5900" s="380" t="s">
        <v>767</v>
      </c>
      <c r="E5900" s="380" t="s">
        <v>786</v>
      </c>
      <c r="F5900" s="380" t="s">
        <v>787</v>
      </c>
      <c r="G5900" s="380" t="s">
        <v>1267</v>
      </c>
      <c r="H5900" s="380" t="s">
        <v>771</v>
      </c>
      <c r="I5900" s="380" t="s">
        <v>788</v>
      </c>
      <c r="J5900" s="380" t="s">
        <v>773</v>
      </c>
      <c r="K5900" s="381">
        <v>0.0</v>
      </c>
      <c r="L5900" s="382">
        <v>1.0</v>
      </c>
    </row>
    <row r="5901">
      <c r="A5901" s="380" t="s">
        <v>6775</v>
      </c>
      <c r="B5901" s="380" t="str">
        <f>IFERROR(__xludf.DUMMYFUNCTION("""COMPUTED_VALUE"""),"Guardafango Delantero Der N200 5496702")</f>
        <v>Guardafango Delantero Der N200 5496702</v>
      </c>
      <c r="C5901" s="380" t="str">
        <f>IFERROR(__xludf.DUMMYFUNCTION("""COMPUTED_VALUE"""),"70001283")</f>
        <v>70001283</v>
      </c>
      <c r="D5901" s="380" t="s">
        <v>767</v>
      </c>
      <c r="E5901" s="380" t="s">
        <v>786</v>
      </c>
      <c r="F5901" s="380" t="s">
        <v>792</v>
      </c>
      <c r="G5901" s="380" t="s">
        <v>1267</v>
      </c>
      <c r="H5901" s="380" t="s">
        <v>771</v>
      </c>
      <c r="I5901" s="380" t="s">
        <v>788</v>
      </c>
      <c r="J5901" s="380" t="s">
        <v>773</v>
      </c>
      <c r="K5901" s="381">
        <v>0.0</v>
      </c>
      <c r="L5901" s="382">
        <v>1.0</v>
      </c>
    </row>
    <row r="5902">
      <c r="A5902" s="380" t="s">
        <v>6776</v>
      </c>
      <c r="B5902" s="380" t="str">
        <f>IFERROR(__xludf.DUMMYFUNCTION("""COMPUTED_VALUE"""),"Talco Stop Trasero FTR FVR 2131907RL")</f>
        <v>Talco Stop Trasero FTR FVR 2131907RL</v>
      </c>
      <c r="C5902" s="380" t="str">
        <f>IFERROR(__xludf.DUMMYFUNCTION("""COMPUTED_VALUE"""),"70001284")</f>
        <v>70001284</v>
      </c>
      <c r="D5902" s="380" t="s">
        <v>767</v>
      </c>
      <c r="E5902" s="380" t="s">
        <v>786</v>
      </c>
      <c r="F5902" s="380" t="s">
        <v>998</v>
      </c>
      <c r="G5902" s="380" t="s">
        <v>1267</v>
      </c>
      <c r="H5902" s="380" t="s">
        <v>771</v>
      </c>
      <c r="I5902" s="380" t="s">
        <v>788</v>
      </c>
      <c r="J5902" s="380" t="s">
        <v>773</v>
      </c>
      <c r="K5902" s="381">
        <v>0.0</v>
      </c>
      <c r="L5902" s="382">
        <v>1.0</v>
      </c>
    </row>
    <row r="5903">
      <c r="A5903" s="380" t="s">
        <v>6777</v>
      </c>
      <c r="B5903" s="380" t="str">
        <f>IFERROR(__xludf.DUMMYFUNCTION("""COMPUTED_VALUE"""),"Filtro Aire Motor Hino FC 2015 AG961051R")</f>
        <v>Filtro Aire Motor Hino FC 2015 AG961051R</v>
      </c>
      <c r="C5903" s="380" t="str">
        <f>IFERROR(__xludf.DUMMYFUNCTION("""COMPUTED_VALUE"""),"70001285")</f>
        <v>70001285</v>
      </c>
      <c r="D5903" s="380" t="s">
        <v>767</v>
      </c>
      <c r="E5903" s="380" t="s">
        <v>786</v>
      </c>
      <c r="F5903" s="380" t="s">
        <v>5855</v>
      </c>
      <c r="G5903" s="380" t="s">
        <v>1267</v>
      </c>
      <c r="H5903" s="380" t="s">
        <v>771</v>
      </c>
      <c r="I5903" s="380" t="s">
        <v>788</v>
      </c>
      <c r="J5903" s="380" t="s">
        <v>773</v>
      </c>
      <c r="K5903" s="381">
        <v>0.0</v>
      </c>
      <c r="L5903" s="382">
        <v>1.0</v>
      </c>
    </row>
    <row r="5904">
      <c r="A5904" s="380" t="s">
        <v>6778</v>
      </c>
      <c r="B5904" s="380" t="str">
        <f>IFERROR(__xludf.DUMMYFUNCTION("""COMPUTED_VALUE"""),"Rejilla Calandria Mt R.Master 8200426365")</f>
        <v>Rejilla Calandria Mt R.Master 8200426365</v>
      </c>
      <c r="C5904" s="380" t="str">
        <f>IFERROR(__xludf.DUMMYFUNCTION("""COMPUTED_VALUE"""),"70001286")</f>
        <v>70001286</v>
      </c>
      <c r="D5904" s="380" t="s">
        <v>767</v>
      </c>
      <c r="E5904" s="380" t="s">
        <v>786</v>
      </c>
      <c r="F5904" s="380" t="s">
        <v>792</v>
      </c>
      <c r="G5904" s="380" t="s">
        <v>1267</v>
      </c>
      <c r="H5904" s="380" t="s">
        <v>771</v>
      </c>
      <c r="I5904" s="380" t="s">
        <v>788</v>
      </c>
      <c r="J5904" s="380" t="s">
        <v>773</v>
      </c>
      <c r="K5904" s="381">
        <v>0.0</v>
      </c>
      <c r="L5904" s="382">
        <v>1.0</v>
      </c>
    </row>
    <row r="5905">
      <c r="A5905" s="380" t="s">
        <v>6779</v>
      </c>
      <c r="B5905" s="380" t="str">
        <f>IFERROR(__xludf.DUMMYFUNCTION("""COMPUTED_VALUE"""),"Persiana Mt Renault Master 7701065760")</f>
        <v>Persiana Mt Renault Master 7701065760</v>
      </c>
      <c r="C5905" s="380" t="str">
        <f>IFERROR(__xludf.DUMMYFUNCTION("""COMPUTED_VALUE"""),"70001287")</f>
        <v>70001287</v>
      </c>
      <c r="D5905" s="380" t="s">
        <v>767</v>
      </c>
      <c r="E5905" s="380" t="s">
        <v>786</v>
      </c>
      <c r="F5905" s="380" t="s">
        <v>792</v>
      </c>
      <c r="G5905" s="380" t="s">
        <v>1267</v>
      </c>
      <c r="H5905" s="380" t="s">
        <v>771</v>
      </c>
      <c r="I5905" s="380" t="s">
        <v>788</v>
      </c>
      <c r="J5905" s="380" t="s">
        <v>773</v>
      </c>
      <c r="K5905" s="381">
        <v>0.0</v>
      </c>
      <c r="L5905" s="382">
        <v>1.0</v>
      </c>
    </row>
    <row r="5906">
      <c r="A5906" s="380" t="s">
        <v>6780</v>
      </c>
      <c r="B5906" s="380" t="str">
        <f>IFERROR(__xludf.DUMMYFUNCTION("""COMPUTED_VALUE"""),"Interrupt Vidrio Puerta Der N200 5498451")</f>
        <v>Interrupt Vidrio Puerta Der N200 5498451</v>
      </c>
      <c r="C5906" s="380" t="str">
        <f>IFERROR(__xludf.DUMMYFUNCTION("""COMPUTED_VALUE"""),"70001288")</f>
        <v>70001288</v>
      </c>
      <c r="D5906" s="380" t="s">
        <v>767</v>
      </c>
      <c r="E5906" s="380" t="s">
        <v>786</v>
      </c>
      <c r="F5906" s="380" t="s">
        <v>998</v>
      </c>
      <c r="G5906" s="380" t="s">
        <v>1267</v>
      </c>
      <c r="H5906" s="380" t="s">
        <v>771</v>
      </c>
      <c r="I5906" s="380" t="s">
        <v>788</v>
      </c>
      <c r="J5906" s="380" t="s">
        <v>773</v>
      </c>
      <c r="K5906" s="381">
        <v>0.0</v>
      </c>
      <c r="L5906" s="382">
        <v>1.0</v>
      </c>
    </row>
    <row r="5907">
      <c r="A5907" s="380" t="s">
        <v>6781</v>
      </c>
      <c r="B5907" s="380" t="str">
        <f>IFERROR(__xludf.DUMMYFUNCTION("""COMPUTED_VALUE"""),"Platina Soporte Der Capo Eagle 3531123C2")</f>
        <v>Platina Soporte Der Capo Eagle 3531123C2</v>
      </c>
      <c r="C5907" s="380" t="str">
        <f>IFERROR(__xludf.DUMMYFUNCTION("""COMPUTED_VALUE"""),"70001289")</f>
        <v>70001289</v>
      </c>
      <c r="D5907" s="380" t="s">
        <v>767</v>
      </c>
      <c r="E5907" s="380" t="s">
        <v>786</v>
      </c>
      <c r="F5907" s="380" t="s">
        <v>792</v>
      </c>
      <c r="G5907" s="380" t="s">
        <v>1267</v>
      </c>
      <c r="H5907" s="380" t="s">
        <v>771</v>
      </c>
      <c r="I5907" s="380" t="s">
        <v>788</v>
      </c>
      <c r="J5907" s="380" t="s">
        <v>773</v>
      </c>
      <c r="K5907" s="381">
        <v>0.0</v>
      </c>
      <c r="L5907" s="382">
        <v>1.0</v>
      </c>
    </row>
    <row r="5908">
      <c r="A5908" s="380" t="s">
        <v>6782</v>
      </c>
      <c r="B5908" s="380" t="str">
        <f>IFERROR(__xludf.DUMMYFUNCTION("""COMPUTED_VALUE"""),"Electro Valv 4 Vias Del Bajo A121977910")</f>
        <v>Electro Valv 4 Vias Del Bajo A121977910</v>
      </c>
      <c r="C5908" s="380" t="str">
        <f>IFERROR(__xludf.DUMMYFUNCTION("""COMPUTED_VALUE"""),"70001290")</f>
        <v>70001290</v>
      </c>
      <c r="D5908" s="380" t="s">
        <v>767</v>
      </c>
      <c r="E5908" s="380" t="s">
        <v>786</v>
      </c>
      <c r="F5908" s="380" t="s">
        <v>5683</v>
      </c>
      <c r="G5908" s="380" t="s">
        <v>1267</v>
      </c>
      <c r="H5908" s="380" t="s">
        <v>771</v>
      </c>
      <c r="I5908" s="380" t="s">
        <v>788</v>
      </c>
      <c r="J5908" s="380" t="s">
        <v>773</v>
      </c>
      <c r="K5908" s="381">
        <v>0.0</v>
      </c>
      <c r="L5908" s="382">
        <v>1.0</v>
      </c>
    </row>
    <row r="5909">
      <c r="A5909" s="380" t="s">
        <v>6783</v>
      </c>
      <c r="B5909" s="380" t="str">
        <f>IFERROR(__xludf.DUMMYFUNCTION("""COMPUTED_VALUE"""),"Arandela Rodam Ext Trans Nkr 9098532140")</f>
        <v>Arandela Rodam Ext Trans Nkr 9098532140</v>
      </c>
      <c r="C5909" s="380" t="str">
        <f>IFERROR(__xludf.DUMMYFUNCTION("""COMPUTED_VALUE"""),"70001291")</f>
        <v>70001291</v>
      </c>
      <c r="D5909" s="380" t="s">
        <v>767</v>
      </c>
      <c r="E5909" s="380" t="s">
        <v>786</v>
      </c>
      <c r="F5909" s="380" t="s">
        <v>5683</v>
      </c>
      <c r="G5909" s="380" t="s">
        <v>1267</v>
      </c>
      <c r="H5909" s="380" t="s">
        <v>771</v>
      </c>
      <c r="I5909" s="380" t="s">
        <v>788</v>
      </c>
      <c r="J5909" s="380" t="s">
        <v>773</v>
      </c>
      <c r="K5909" s="381">
        <v>0.0</v>
      </c>
      <c r="L5909" s="382">
        <v>1.0</v>
      </c>
    </row>
    <row r="5910">
      <c r="A5910" s="380" t="s">
        <v>6784</v>
      </c>
      <c r="B5910" s="380" t="str">
        <f>IFERROR(__xludf.DUMMYFUNCTION("""COMPUTED_VALUE"""),"Bateria T Tornillo 31-1250 Duncan")</f>
        <v>Bateria T Tornillo 31-1250 Duncan</v>
      </c>
      <c r="C5910" s="380" t="str">
        <f>IFERROR(__xludf.DUMMYFUNCTION("""COMPUTED_VALUE"""),"70001292")</f>
        <v>70001292</v>
      </c>
      <c r="D5910" s="380" t="s">
        <v>767</v>
      </c>
      <c r="E5910" s="380" t="s">
        <v>786</v>
      </c>
      <c r="F5910" s="380" t="s">
        <v>998</v>
      </c>
      <c r="G5910" s="380" t="s">
        <v>1267</v>
      </c>
      <c r="H5910" s="380" t="s">
        <v>771</v>
      </c>
      <c r="I5910" s="380" t="s">
        <v>788</v>
      </c>
      <c r="J5910" s="380" t="s">
        <v>773</v>
      </c>
      <c r="K5910" s="381">
        <v>0.0</v>
      </c>
      <c r="L5910" s="382">
        <v>1.0</v>
      </c>
    </row>
    <row r="5911">
      <c r="A5911" s="380" t="s">
        <v>6785</v>
      </c>
      <c r="B5911" s="380" t="str">
        <f>IFERROR(__xludf.DUMMYFUNCTION("""COMPUTED_VALUE"""),"Soporte Buje Caña Direccion KWR131014")</f>
        <v>Soporte Buje Caña Direccion KWR131014</v>
      </c>
      <c r="C5911" s="380" t="str">
        <f>IFERROR(__xludf.DUMMYFUNCTION("""COMPUTED_VALUE"""),"70001293")</f>
        <v>70001293</v>
      </c>
      <c r="D5911" s="380" t="s">
        <v>767</v>
      </c>
      <c r="E5911" s="380" t="s">
        <v>786</v>
      </c>
      <c r="F5911" s="380" t="s">
        <v>1020</v>
      </c>
      <c r="G5911" s="380" t="s">
        <v>1267</v>
      </c>
      <c r="H5911" s="380" t="s">
        <v>771</v>
      </c>
      <c r="I5911" s="380" t="s">
        <v>788</v>
      </c>
      <c r="J5911" s="380" t="s">
        <v>773</v>
      </c>
      <c r="K5911" s="381">
        <v>0.0</v>
      </c>
      <c r="L5911" s="382">
        <v>1.0</v>
      </c>
    </row>
    <row r="5912">
      <c r="A5912" s="380" t="s">
        <v>6786</v>
      </c>
      <c r="B5912" s="380" t="str">
        <f>IFERROR(__xludf.DUMMYFUNCTION("""COMPUTED_VALUE"""),"Motor Arranque 39mt Ketworth")</f>
        <v>Motor Arranque 39mt Ketworth</v>
      </c>
      <c r="C5912" s="380" t="str">
        <f>IFERROR(__xludf.DUMMYFUNCTION("""COMPUTED_VALUE"""),"70001294")</f>
        <v>70001294</v>
      </c>
      <c r="D5912" s="380" t="s">
        <v>767</v>
      </c>
      <c r="E5912" s="380" t="s">
        <v>786</v>
      </c>
      <c r="F5912" s="380" t="s">
        <v>998</v>
      </c>
      <c r="G5912" s="380" t="s">
        <v>1267</v>
      </c>
      <c r="H5912" s="380" t="s">
        <v>771</v>
      </c>
      <c r="I5912" s="380" t="s">
        <v>788</v>
      </c>
      <c r="J5912" s="380" t="s">
        <v>773</v>
      </c>
      <c r="K5912" s="381">
        <v>0.0</v>
      </c>
      <c r="L5912" s="382">
        <v>1.0</v>
      </c>
    </row>
    <row r="5913">
      <c r="A5913" s="380" t="s">
        <v>6787</v>
      </c>
      <c r="B5913" s="380" t="str">
        <f>IFERROR(__xludf.DUMMYFUNCTION("""COMPUTED_VALUE"""),"Empaq Culata Motor Cummins Isx4926316-FP")</f>
        <v>Empaq Culata Motor Cummins Isx4926316-FP</v>
      </c>
      <c r="C5913" s="380" t="str">
        <f>IFERROR(__xludf.DUMMYFUNCTION("""COMPUTED_VALUE"""),"70001295")</f>
        <v>70001295</v>
      </c>
      <c r="D5913" s="380" t="s">
        <v>767</v>
      </c>
      <c r="E5913" s="380" t="s">
        <v>786</v>
      </c>
      <c r="F5913" s="380" t="s">
        <v>787</v>
      </c>
      <c r="G5913" s="380" t="s">
        <v>1267</v>
      </c>
      <c r="H5913" s="380" t="s">
        <v>771</v>
      </c>
      <c r="I5913" s="380" t="s">
        <v>788</v>
      </c>
      <c r="J5913" s="380" t="s">
        <v>773</v>
      </c>
      <c r="K5913" s="381">
        <v>0.0</v>
      </c>
      <c r="L5913" s="382">
        <v>1.0</v>
      </c>
    </row>
    <row r="5914">
      <c r="A5914" s="380" t="s">
        <v>6788</v>
      </c>
      <c r="B5914" s="380" t="str">
        <f>IFERROR(__xludf.DUMMYFUNCTION("""COMPUTED_VALUE"""),"Relay Caja Fusible Nkr Reward 8971730351")</f>
        <v>Relay Caja Fusible Nkr Reward 8971730351</v>
      </c>
      <c r="C5914" s="380" t="str">
        <f>IFERROR(__xludf.DUMMYFUNCTION("""COMPUTED_VALUE"""),"70001296")</f>
        <v>70001296</v>
      </c>
      <c r="D5914" s="380" t="s">
        <v>767</v>
      </c>
      <c r="E5914" s="380" t="s">
        <v>786</v>
      </c>
      <c r="F5914" s="380" t="s">
        <v>998</v>
      </c>
      <c r="G5914" s="380" t="s">
        <v>1267</v>
      </c>
      <c r="H5914" s="380" t="s">
        <v>771</v>
      </c>
      <c r="I5914" s="380" t="s">
        <v>788</v>
      </c>
      <c r="J5914" s="380" t="s">
        <v>773</v>
      </c>
      <c r="K5914" s="381">
        <v>0.0</v>
      </c>
      <c r="L5914" s="382">
        <v>1.0</v>
      </c>
    </row>
    <row r="5915">
      <c r="A5915" s="380" t="s">
        <v>6789</v>
      </c>
      <c r="B5915" s="380" t="str">
        <f>IFERROR(__xludf.DUMMYFUNCTION("""COMPUTED_VALUE"""),"Rodillo Y Pista De Agujas 81212 MR122012")</f>
        <v>Rodillo Y Pista De Agujas 81212 MR122012</v>
      </c>
      <c r="C5915" s="380" t="str">
        <f>IFERROR(__xludf.DUMMYFUNCTION("""COMPUTED_VALUE"""),"70001297")</f>
        <v>70001297</v>
      </c>
      <c r="D5915" s="380" t="s">
        <v>767</v>
      </c>
      <c r="E5915" s="380" t="s">
        <v>786</v>
      </c>
      <c r="F5915" s="380" t="s">
        <v>5683</v>
      </c>
      <c r="G5915" s="380" t="s">
        <v>1267</v>
      </c>
      <c r="H5915" s="380" t="s">
        <v>771</v>
      </c>
      <c r="I5915" s="380" t="s">
        <v>788</v>
      </c>
      <c r="J5915" s="380" t="s">
        <v>773</v>
      </c>
      <c r="K5915" s="381">
        <v>0.0</v>
      </c>
      <c r="L5915" s="382">
        <v>1.0</v>
      </c>
    </row>
    <row r="5916">
      <c r="A5916" s="380" t="s">
        <v>6790</v>
      </c>
      <c r="B5916" s="380" t="str">
        <f>IFERROR(__xludf.DUMMYFUNCTION("""COMPUTED_VALUE"""),"Deposito Hidraulico KW91410J")</f>
        <v>Deposito Hidraulico KW91410J</v>
      </c>
      <c r="C5916" s="380" t="str">
        <f>IFERROR(__xludf.DUMMYFUNCTION("""COMPUTED_VALUE"""),"70001298")</f>
        <v>70001298</v>
      </c>
      <c r="D5916" s="380" t="s">
        <v>767</v>
      </c>
      <c r="E5916" s="380" t="s">
        <v>786</v>
      </c>
      <c r="F5916" s="380" t="s">
        <v>1020</v>
      </c>
      <c r="G5916" s="380" t="s">
        <v>1267</v>
      </c>
      <c r="H5916" s="380" t="s">
        <v>771</v>
      </c>
      <c r="I5916" s="380" t="s">
        <v>788</v>
      </c>
      <c r="J5916" s="380" t="s">
        <v>773</v>
      </c>
      <c r="K5916" s="381">
        <v>0.0</v>
      </c>
      <c r="L5916" s="382">
        <v>1.0</v>
      </c>
    </row>
    <row r="5917">
      <c r="A5917" s="380" t="s">
        <v>6791</v>
      </c>
      <c r="B5917" s="380" t="str">
        <f>IFERROR(__xludf.DUMMYFUNCTION("""COMPUTED_VALUE"""),"Moldura Tapizado Techo Npr 8978676114")</f>
        <v>Moldura Tapizado Techo Npr 8978676114</v>
      </c>
      <c r="C5917" s="380" t="str">
        <f>IFERROR(__xludf.DUMMYFUNCTION("""COMPUTED_VALUE"""),"70001299")</f>
        <v>70001299</v>
      </c>
      <c r="D5917" s="380" t="s">
        <v>767</v>
      </c>
      <c r="E5917" s="380" t="s">
        <v>786</v>
      </c>
      <c r="F5917" s="380" t="s">
        <v>792</v>
      </c>
      <c r="G5917" s="380" t="s">
        <v>1267</v>
      </c>
      <c r="H5917" s="380" t="s">
        <v>771</v>
      </c>
      <c r="I5917" s="380" t="s">
        <v>788</v>
      </c>
      <c r="J5917" s="380" t="s">
        <v>773</v>
      </c>
      <c r="K5917" s="381">
        <v>0.0</v>
      </c>
      <c r="L5917" s="382">
        <v>1.0</v>
      </c>
    </row>
    <row r="5918">
      <c r="A5918" s="380" t="s">
        <v>6792</v>
      </c>
      <c r="B5918" s="380" t="str">
        <f>IFERROR(__xludf.DUMMYFUNCTION("""COMPUTED_VALUE"""),"Moldura Marco Pta Izq Nkr Rew 8980227411")</f>
        <v>Moldura Marco Pta Izq Nkr Rew 8980227411</v>
      </c>
      <c r="C5918" s="380" t="str">
        <f>IFERROR(__xludf.DUMMYFUNCTION("""COMPUTED_VALUE"""),"70001300")</f>
        <v>70001300</v>
      </c>
      <c r="D5918" s="380" t="s">
        <v>767</v>
      </c>
      <c r="E5918" s="380" t="s">
        <v>786</v>
      </c>
      <c r="F5918" s="380" t="s">
        <v>792</v>
      </c>
      <c r="G5918" s="380" t="s">
        <v>1267</v>
      </c>
      <c r="H5918" s="380" t="s">
        <v>771</v>
      </c>
      <c r="I5918" s="380" t="s">
        <v>788</v>
      </c>
      <c r="J5918" s="380" t="s">
        <v>773</v>
      </c>
      <c r="K5918" s="381">
        <v>0.0</v>
      </c>
      <c r="L5918" s="382">
        <v>1.0</v>
      </c>
    </row>
    <row r="5919">
      <c r="A5919" s="380" t="s">
        <v>6793</v>
      </c>
      <c r="B5919" s="380" t="str">
        <f>IFERROR(__xludf.DUMMYFUNCTION("""COMPUTED_VALUE"""),"Valvula Susp Kenw T800-Nuevas KD1099097")</f>
        <v>Valvula Susp Kenw T800-Nuevas KD1099097</v>
      </c>
      <c r="C5919" s="380" t="str">
        <f>IFERROR(__xludf.DUMMYFUNCTION("""COMPUTED_VALUE"""),"70001301")</f>
        <v>70001301</v>
      </c>
      <c r="D5919" s="380" t="s">
        <v>767</v>
      </c>
      <c r="E5919" s="380" t="s">
        <v>786</v>
      </c>
      <c r="F5919" s="380" t="s">
        <v>1039</v>
      </c>
      <c r="G5919" s="380" t="s">
        <v>1267</v>
      </c>
      <c r="H5919" s="380" t="s">
        <v>771</v>
      </c>
      <c r="I5919" s="380" t="s">
        <v>788</v>
      </c>
      <c r="J5919" s="380" t="s">
        <v>773</v>
      </c>
      <c r="K5919" s="381">
        <v>0.0</v>
      </c>
      <c r="L5919" s="382">
        <v>1.0</v>
      </c>
    </row>
    <row r="5920">
      <c r="A5920" s="380" t="s">
        <v>6794</v>
      </c>
      <c r="B5920" s="380" t="str">
        <f>IFERROR(__xludf.DUMMYFUNCTION("""COMPUTED_VALUE"""),"Pin Sincronizador Caja N200 24517046")</f>
        <v>Pin Sincronizador Caja N200 24517046</v>
      </c>
      <c r="C5920" s="380" t="str">
        <f>IFERROR(__xludf.DUMMYFUNCTION("""COMPUTED_VALUE"""),"70001302")</f>
        <v>70001302</v>
      </c>
      <c r="D5920" s="380" t="s">
        <v>767</v>
      </c>
      <c r="E5920" s="380" t="s">
        <v>786</v>
      </c>
      <c r="F5920" s="380" t="s">
        <v>928</v>
      </c>
      <c r="G5920" s="380" t="s">
        <v>1267</v>
      </c>
      <c r="H5920" s="380" t="s">
        <v>771</v>
      </c>
      <c r="I5920" s="380" t="s">
        <v>788</v>
      </c>
      <c r="J5920" s="380" t="s">
        <v>773</v>
      </c>
      <c r="K5920" s="381">
        <v>0.0</v>
      </c>
      <c r="L5920" s="382">
        <v>1.0</v>
      </c>
    </row>
    <row r="5921">
      <c r="A5921" s="380" t="s">
        <v>6795</v>
      </c>
      <c r="B5921" s="380" t="str">
        <f>IFERROR(__xludf.DUMMYFUNCTION("""COMPUTED_VALUE"""),"Rodamiento Agujas Caja T Delta9036454003")</f>
        <v>Rodamiento Agujas Caja T Delta9036454003</v>
      </c>
      <c r="C5921" s="380" t="str">
        <f>IFERROR(__xludf.DUMMYFUNCTION("""COMPUTED_VALUE"""),"70001303")</f>
        <v>70001303</v>
      </c>
      <c r="D5921" s="380" t="s">
        <v>767</v>
      </c>
      <c r="E5921" s="380" t="s">
        <v>786</v>
      </c>
      <c r="F5921" s="380" t="s">
        <v>928</v>
      </c>
      <c r="G5921" s="380" t="s">
        <v>1267</v>
      </c>
      <c r="H5921" s="380" t="s">
        <v>771</v>
      </c>
      <c r="I5921" s="380" t="s">
        <v>788</v>
      </c>
      <c r="J5921" s="380" t="s">
        <v>773</v>
      </c>
      <c r="K5921" s="381">
        <v>0.0</v>
      </c>
      <c r="L5921" s="382">
        <v>1.0</v>
      </c>
    </row>
    <row r="5922">
      <c r="A5922" s="380" t="s">
        <v>6796</v>
      </c>
      <c r="B5922" s="380" t="str">
        <f>IFERROR(__xludf.DUMMYFUNCTION("""COMPUTED_VALUE"""),"Harnes Direccional Cummins Isx3530094C96")</f>
        <v>Harnes Direccional Cummins Isx3530094C96</v>
      </c>
      <c r="C5922" s="380" t="str">
        <f>IFERROR(__xludf.DUMMYFUNCTION("""COMPUTED_VALUE"""),"70001304")</f>
        <v>70001304</v>
      </c>
      <c r="D5922" s="380" t="s">
        <v>767</v>
      </c>
      <c r="E5922" s="380" t="s">
        <v>786</v>
      </c>
      <c r="F5922" s="380" t="s">
        <v>998</v>
      </c>
      <c r="G5922" s="380" t="s">
        <v>1267</v>
      </c>
      <c r="H5922" s="380" t="s">
        <v>771</v>
      </c>
      <c r="I5922" s="380" t="s">
        <v>788</v>
      </c>
      <c r="J5922" s="380" t="s">
        <v>773</v>
      </c>
      <c r="K5922" s="381">
        <v>0.0</v>
      </c>
      <c r="L5922" s="382">
        <v>1.0</v>
      </c>
    </row>
    <row r="5923">
      <c r="A5923" s="380" t="s">
        <v>6797</v>
      </c>
      <c r="B5923" s="380" t="str">
        <f>IFERROR(__xludf.DUMMYFUNCTION("""COMPUTED_VALUE"""),"Harnes Motor Cummins Isx 3599424C92")</f>
        <v>Harnes Motor Cummins Isx 3599424C92</v>
      </c>
      <c r="C5923" s="380" t="str">
        <f>IFERROR(__xludf.DUMMYFUNCTION("""COMPUTED_VALUE"""),"70001305")</f>
        <v>70001305</v>
      </c>
      <c r="D5923" s="380" t="s">
        <v>767</v>
      </c>
      <c r="E5923" s="380" t="s">
        <v>786</v>
      </c>
      <c r="F5923" s="380" t="s">
        <v>998</v>
      </c>
      <c r="G5923" s="380" t="s">
        <v>1267</v>
      </c>
      <c r="H5923" s="380" t="s">
        <v>771</v>
      </c>
      <c r="I5923" s="380" t="s">
        <v>788</v>
      </c>
      <c r="J5923" s="380" t="s">
        <v>773</v>
      </c>
      <c r="K5923" s="381">
        <v>4138635.0</v>
      </c>
      <c r="L5923" s="382">
        <v>1.0</v>
      </c>
    </row>
    <row r="5924">
      <c r="A5924" s="380" t="s">
        <v>6798</v>
      </c>
      <c r="B5924" s="380" t="str">
        <f>IFERROR(__xludf.DUMMYFUNCTION("""COMPUTED_VALUE"""),"Panel Lateral Frontal Der Nkr 8975824555")</f>
        <v>Panel Lateral Frontal Der Nkr 8975824555</v>
      </c>
      <c r="C5924" s="380" t="str">
        <f>IFERROR(__xludf.DUMMYFUNCTION("""COMPUTED_VALUE"""),"70001306")</f>
        <v>70001306</v>
      </c>
      <c r="D5924" s="380" t="s">
        <v>767</v>
      </c>
      <c r="E5924" s="380" t="s">
        <v>786</v>
      </c>
      <c r="F5924" s="380" t="s">
        <v>792</v>
      </c>
      <c r="G5924" s="380" t="s">
        <v>1267</v>
      </c>
      <c r="H5924" s="380" t="s">
        <v>771</v>
      </c>
      <c r="I5924" s="380" t="s">
        <v>788</v>
      </c>
      <c r="J5924" s="380" t="s">
        <v>773</v>
      </c>
      <c r="K5924" s="381">
        <v>0.0</v>
      </c>
      <c r="L5924" s="382">
        <v>1.0</v>
      </c>
    </row>
    <row r="5925">
      <c r="A5925" s="380" t="s">
        <v>6799</v>
      </c>
      <c r="B5925" s="380" t="str">
        <f>IFERROR(__xludf.DUMMYFUNCTION("""COMPUTED_VALUE"""),"Racor Codo 90º 5/8 PTC X3/8NPT 2017516C1")</f>
        <v>Racor Codo 90º 5/8 PTC X3/8NPT 2017516C1</v>
      </c>
      <c r="C5925" s="380" t="str">
        <f>IFERROR(__xludf.DUMMYFUNCTION("""COMPUTED_VALUE"""),"70001307")</f>
        <v>70001307</v>
      </c>
      <c r="D5925" s="380" t="s">
        <v>767</v>
      </c>
      <c r="E5925" s="380" t="s">
        <v>786</v>
      </c>
      <c r="F5925" s="380" t="s">
        <v>1017</v>
      </c>
      <c r="G5925" s="380" t="s">
        <v>1267</v>
      </c>
      <c r="H5925" s="380" t="s">
        <v>771</v>
      </c>
      <c r="I5925" s="380" t="s">
        <v>788</v>
      </c>
      <c r="J5925" s="380" t="s">
        <v>773</v>
      </c>
      <c r="K5925" s="381">
        <v>0.0</v>
      </c>
      <c r="L5925" s="382">
        <v>1.0</v>
      </c>
    </row>
    <row r="5926">
      <c r="A5926" s="380" t="s">
        <v>6800</v>
      </c>
      <c r="B5926" s="380" t="str">
        <f>IFERROR(__xludf.DUMMYFUNCTION("""COMPUTED_VALUE"""),"Buje Resort Pedal Embr Nkr Npr8942385960")</f>
        <v>Buje Resort Pedal Embr Nkr Npr8942385960</v>
      </c>
      <c r="C5926" s="380" t="str">
        <f>IFERROR(__xludf.DUMMYFUNCTION("""COMPUTED_VALUE"""),"70001308")</f>
        <v>70001308</v>
      </c>
      <c r="D5926" s="380" t="s">
        <v>767</v>
      </c>
      <c r="E5926" s="380" t="s">
        <v>786</v>
      </c>
      <c r="F5926" s="380" t="s">
        <v>5661</v>
      </c>
      <c r="G5926" s="380" t="s">
        <v>1267</v>
      </c>
      <c r="H5926" s="380" t="s">
        <v>771</v>
      </c>
      <c r="I5926" s="380" t="s">
        <v>788</v>
      </c>
      <c r="J5926" s="380" t="s">
        <v>773</v>
      </c>
      <c r="K5926" s="381">
        <v>0.0</v>
      </c>
      <c r="L5926" s="382">
        <v>1.0</v>
      </c>
    </row>
    <row r="5927">
      <c r="A5927" s="380" t="s">
        <v>6801</v>
      </c>
      <c r="B5927" s="380" t="str">
        <f>IFERROR(__xludf.DUMMYFUNCTION("""COMPUTED_VALUE"""),"Buje Pedal Embrague Nkr Npr 8978536190")</f>
        <v>Buje Pedal Embrague Nkr Npr 8978536190</v>
      </c>
      <c r="C5927" s="380" t="str">
        <f>IFERROR(__xludf.DUMMYFUNCTION("""COMPUTED_VALUE"""),"70001309")</f>
        <v>70001309</v>
      </c>
      <c r="D5927" s="380" t="s">
        <v>767</v>
      </c>
      <c r="E5927" s="380" t="s">
        <v>786</v>
      </c>
      <c r="F5927" s="380" t="s">
        <v>5661</v>
      </c>
      <c r="G5927" s="380" t="s">
        <v>1267</v>
      </c>
      <c r="H5927" s="380" t="s">
        <v>771</v>
      </c>
      <c r="I5927" s="380" t="s">
        <v>788</v>
      </c>
      <c r="J5927" s="380" t="s">
        <v>773</v>
      </c>
      <c r="K5927" s="381">
        <v>0.0</v>
      </c>
      <c r="L5927" s="382">
        <v>1.0</v>
      </c>
    </row>
    <row r="5928">
      <c r="A5928" s="380" t="s">
        <v>6802</v>
      </c>
      <c r="B5928" s="380" t="str">
        <f>IFERROR(__xludf.DUMMYFUNCTION("""COMPUTED_VALUE"""),"Soporte Base Filtro Comb Isx 3589207C3")</f>
        <v>Soporte Base Filtro Comb Isx 3589207C3</v>
      </c>
      <c r="C5928" s="380" t="str">
        <f>IFERROR(__xludf.DUMMYFUNCTION("""COMPUTED_VALUE"""),"70001310")</f>
        <v>70001310</v>
      </c>
      <c r="D5928" s="380" t="s">
        <v>767</v>
      </c>
      <c r="E5928" s="380" t="s">
        <v>786</v>
      </c>
      <c r="F5928" s="380" t="s">
        <v>787</v>
      </c>
      <c r="G5928" s="380" t="s">
        <v>1267</v>
      </c>
      <c r="H5928" s="380" t="s">
        <v>771</v>
      </c>
      <c r="I5928" s="380" t="s">
        <v>788</v>
      </c>
      <c r="J5928" s="380" t="s">
        <v>773</v>
      </c>
      <c r="K5928" s="381">
        <v>0.0</v>
      </c>
      <c r="L5928" s="382">
        <v>1.0</v>
      </c>
    </row>
    <row r="5929">
      <c r="A5929" s="380" t="s">
        <v>6803</v>
      </c>
      <c r="B5929" s="380" t="str">
        <f>IFERROR(__xludf.DUMMYFUNCTION("""COMPUTED_VALUE"""),"Empaque Multiple Escape N200 24539878")</f>
        <v>Empaque Multiple Escape N200 24539878</v>
      </c>
      <c r="C5929" s="380" t="str">
        <f>IFERROR(__xludf.DUMMYFUNCTION("""COMPUTED_VALUE"""),"70001311")</f>
        <v>70001311</v>
      </c>
      <c r="D5929" s="380" t="s">
        <v>767</v>
      </c>
      <c r="E5929" s="380" t="s">
        <v>786</v>
      </c>
      <c r="F5929" s="380" t="s">
        <v>787</v>
      </c>
      <c r="G5929" s="380" t="s">
        <v>1267</v>
      </c>
      <c r="H5929" s="380" t="s">
        <v>771</v>
      </c>
      <c r="I5929" s="380" t="s">
        <v>788</v>
      </c>
      <c r="J5929" s="380" t="s">
        <v>773</v>
      </c>
      <c r="K5929" s="381">
        <v>0.0</v>
      </c>
      <c r="L5929" s="382">
        <v>1.0</v>
      </c>
    </row>
    <row r="5930">
      <c r="A5930" s="380" t="s">
        <v>6804</v>
      </c>
      <c r="B5930" s="380" t="str">
        <f>IFERROR(__xludf.DUMMYFUNCTION("""COMPUTED_VALUE"""),"Rac Cod Tanq Aire Isx 1/2 X5/8 2017519C1")</f>
        <v>Rac Cod Tanq Aire Isx 1/2 X5/8 2017519C1</v>
      </c>
      <c r="C5930" s="380" t="str">
        <f>IFERROR(__xludf.DUMMYFUNCTION("""COMPUTED_VALUE"""),"70001312")</f>
        <v>70001312</v>
      </c>
      <c r="D5930" s="380" t="s">
        <v>767</v>
      </c>
      <c r="E5930" s="380" t="s">
        <v>786</v>
      </c>
      <c r="F5930" s="380" t="s">
        <v>787</v>
      </c>
      <c r="G5930" s="380" t="s">
        <v>1267</v>
      </c>
      <c r="H5930" s="380" t="s">
        <v>771</v>
      </c>
      <c r="I5930" s="380" t="s">
        <v>788</v>
      </c>
      <c r="J5930" s="380" t="s">
        <v>773</v>
      </c>
      <c r="K5930" s="381">
        <v>0.0</v>
      </c>
      <c r="L5930" s="382">
        <v>1.0</v>
      </c>
    </row>
    <row r="5931">
      <c r="A5931" s="380" t="s">
        <v>6805</v>
      </c>
      <c r="B5931" s="380" t="str">
        <f>IFERROR(__xludf.DUMMYFUNCTION("""COMPUTED_VALUE"""),"Filtro Aceite Eagle y Kentwort LF14000NN")</f>
        <v>Filtro Aceite Eagle y Kentwort LF14000NN</v>
      </c>
      <c r="C5931" s="380" t="str">
        <f>IFERROR(__xludf.DUMMYFUNCTION("""COMPUTED_VALUE"""),"70001313")</f>
        <v>70001313</v>
      </c>
      <c r="D5931" s="380" t="s">
        <v>767</v>
      </c>
      <c r="E5931" s="380" t="s">
        <v>786</v>
      </c>
      <c r="F5931" s="380" t="s">
        <v>5855</v>
      </c>
      <c r="G5931" s="380" t="s">
        <v>1267</v>
      </c>
      <c r="H5931" s="380" t="s">
        <v>771</v>
      </c>
      <c r="I5931" s="380" t="s">
        <v>788</v>
      </c>
      <c r="J5931" s="380" t="s">
        <v>773</v>
      </c>
      <c r="K5931" s="381">
        <v>123271.0</v>
      </c>
      <c r="L5931" s="382">
        <v>1.0</v>
      </c>
    </row>
    <row r="5932">
      <c r="A5932" s="380" t="s">
        <v>6806</v>
      </c>
      <c r="B5932" s="380" t="str">
        <f>IFERROR(__xludf.DUMMYFUNCTION("""COMPUTED_VALUE"""),"Sensor Pedal Acelerador 2587164C91Eagle")</f>
        <v>Sensor Pedal Acelerador 2587164C91Eagle</v>
      </c>
      <c r="C5932" s="380" t="str">
        <f>IFERROR(__xludf.DUMMYFUNCTION("""COMPUTED_VALUE"""),"70001314")</f>
        <v>70001314</v>
      </c>
      <c r="D5932" s="380" t="s">
        <v>767</v>
      </c>
      <c r="E5932" s="380" t="s">
        <v>786</v>
      </c>
      <c r="F5932" s="380" t="s">
        <v>998</v>
      </c>
      <c r="G5932" s="380" t="s">
        <v>1267</v>
      </c>
      <c r="H5932" s="380" t="s">
        <v>771</v>
      </c>
      <c r="I5932" s="380" t="s">
        <v>788</v>
      </c>
      <c r="J5932" s="380" t="s">
        <v>773</v>
      </c>
      <c r="K5932" s="381">
        <v>0.0</v>
      </c>
      <c r="L5932" s="382">
        <v>1.0</v>
      </c>
    </row>
    <row r="5933">
      <c r="A5933" s="380" t="s">
        <v>6807</v>
      </c>
      <c r="B5933" s="380" t="str">
        <f>IFERROR(__xludf.DUMMYFUNCTION("""COMPUTED_VALUE"""),"Soporte En U Para Cardan Isx 2015412C2")</f>
        <v>Soporte En U Para Cardan Isx 2015412C2</v>
      </c>
      <c r="C5933" s="380" t="str">
        <f>IFERROR(__xludf.DUMMYFUNCTION("""COMPUTED_VALUE"""),"70001315")</f>
        <v>70001315</v>
      </c>
      <c r="D5933" s="380" t="s">
        <v>767</v>
      </c>
      <c r="E5933" s="380" t="s">
        <v>786</v>
      </c>
      <c r="F5933" s="380" t="s">
        <v>5683</v>
      </c>
      <c r="G5933" s="380" t="s">
        <v>1267</v>
      </c>
      <c r="H5933" s="380" t="s">
        <v>771</v>
      </c>
      <c r="I5933" s="380" t="s">
        <v>788</v>
      </c>
      <c r="J5933" s="380" t="s">
        <v>773</v>
      </c>
      <c r="K5933" s="381">
        <v>119357.0</v>
      </c>
      <c r="L5933" s="382">
        <v>1.0</v>
      </c>
    </row>
    <row r="5934">
      <c r="A5934" s="380" t="s">
        <v>6808</v>
      </c>
      <c r="B5934" s="380" t="str">
        <f>IFERROR(__xludf.DUMMYFUNCTION("""COMPUTED_VALUE"""),"Bombona Suspension KW68357-Con")</f>
        <v>Bombona Suspension KW68357-Con</v>
      </c>
      <c r="C5934" s="380" t="str">
        <f>IFERROR(__xludf.DUMMYFUNCTION("""COMPUTED_VALUE"""),"70001316")</f>
        <v>70001316</v>
      </c>
      <c r="D5934" s="380" t="s">
        <v>767</v>
      </c>
      <c r="E5934" s="380" t="s">
        <v>786</v>
      </c>
      <c r="F5934" s="380" t="s">
        <v>1039</v>
      </c>
      <c r="G5934" s="380" t="s">
        <v>1267</v>
      </c>
      <c r="H5934" s="380" t="s">
        <v>771</v>
      </c>
      <c r="I5934" s="380" t="s">
        <v>788</v>
      </c>
      <c r="J5934" s="380" t="s">
        <v>773</v>
      </c>
      <c r="K5934" s="381">
        <v>0.0</v>
      </c>
      <c r="L5934" s="382">
        <v>1.0</v>
      </c>
    </row>
    <row r="5935">
      <c r="A5935" s="380" t="s">
        <v>6809</v>
      </c>
      <c r="B5935" s="380" t="str">
        <f>IFERROR(__xludf.DUMMYFUNCTION("""COMPUTED_VALUE"""),"Tapa Espejo Lado Izq FTR 8980318032")</f>
        <v>Tapa Espejo Lado Izq FTR 8980318032</v>
      </c>
      <c r="C5935" s="380" t="str">
        <f>IFERROR(__xludf.DUMMYFUNCTION("""COMPUTED_VALUE"""),"70001317")</f>
        <v>70001317</v>
      </c>
      <c r="D5935" s="380" t="s">
        <v>767</v>
      </c>
      <c r="E5935" s="380" t="s">
        <v>786</v>
      </c>
      <c r="F5935" s="380" t="s">
        <v>792</v>
      </c>
      <c r="G5935" s="380" t="s">
        <v>1267</v>
      </c>
      <c r="H5935" s="380" t="s">
        <v>771</v>
      </c>
      <c r="I5935" s="380" t="s">
        <v>788</v>
      </c>
      <c r="J5935" s="380" t="s">
        <v>773</v>
      </c>
      <c r="K5935" s="381">
        <v>0.0</v>
      </c>
      <c r="L5935" s="382">
        <v>1.0</v>
      </c>
    </row>
    <row r="5936">
      <c r="A5936" s="380" t="s">
        <v>6810</v>
      </c>
      <c r="B5936" s="380" t="str">
        <f>IFERROR(__xludf.DUMMYFUNCTION("""COMPUTED_VALUE"""),"Cubierta Espejo Ext Lado Der 8980318050")</f>
        <v>Cubierta Espejo Ext Lado Der 8980318050</v>
      </c>
      <c r="C5936" s="380" t="str">
        <f>IFERROR(__xludf.DUMMYFUNCTION("""COMPUTED_VALUE"""),"70001318")</f>
        <v>70001318</v>
      </c>
      <c r="D5936" s="380" t="s">
        <v>767</v>
      </c>
      <c r="E5936" s="380" t="s">
        <v>786</v>
      </c>
      <c r="F5936" s="380" t="s">
        <v>792</v>
      </c>
      <c r="G5936" s="380" t="s">
        <v>1267</v>
      </c>
      <c r="H5936" s="380" t="s">
        <v>771</v>
      </c>
      <c r="I5936" s="380" t="s">
        <v>788</v>
      </c>
      <c r="J5936" s="380" t="s">
        <v>773</v>
      </c>
      <c r="K5936" s="381">
        <v>0.0</v>
      </c>
      <c r="L5936" s="382">
        <v>1.0</v>
      </c>
    </row>
    <row r="5937">
      <c r="A5937" s="380" t="s">
        <v>6811</v>
      </c>
      <c r="B5937" s="380" t="str">
        <f>IFERROR(__xludf.DUMMYFUNCTION("""COMPUTED_VALUE"""),"Soporte Frontal Motor Eagle 3508218C1")</f>
        <v>Soporte Frontal Motor Eagle 3508218C1</v>
      </c>
      <c r="C5937" s="380" t="str">
        <f>IFERROR(__xludf.DUMMYFUNCTION("""COMPUTED_VALUE"""),"70001319")</f>
        <v>70001319</v>
      </c>
      <c r="D5937" s="380" t="s">
        <v>767</v>
      </c>
      <c r="E5937" s="380" t="s">
        <v>786</v>
      </c>
      <c r="F5937" s="380" t="s">
        <v>787</v>
      </c>
      <c r="G5937" s="380" t="s">
        <v>1267</v>
      </c>
      <c r="H5937" s="380" t="s">
        <v>771</v>
      </c>
      <c r="I5937" s="380" t="s">
        <v>788</v>
      </c>
      <c r="J5937" s="380" t="s">
        <v>773</v>
      </c>
      <c r="K5937" s="381">
        <v>0.0</v>
      </c>
      <c r="L5937" s="382">
        <v>1.0</v>
      </c>
    </row>
    <row r="5938">
      <c r="A5938" s="380" t="s">
        <v>6812</v>
      </c>
      <c r="B5938" s="380" t="str">
        <f>IFERROR(__xludf.DUMMYFUNCTION("""COMPUTED_VALUE"""),"Kit Sopor Radiador Ang Izq Isx2591563C91")</f>
        <v>Kit Sopor Radiador Ang Izq Isx2591563C91</v>
      </c>
      <c r="C5938" s="380" t="str">
        <f>IFERROR(__xludf.DUMMYFUNCTION("""COMPUTED_VALUE"""),"70001320")</f>
        <v>70001320</v>
      </c>
      <c r="D5938" s="380" t="s">
        <v>767</v>
      </c>
      <c r="E5938" s="380" t="s">
        <v>786</v>
      </c>
      <c r="F5938" s="380" t="s">
        <v>787</v>
      </c>
      <c r="G5938" s="380" t="s">
        <v>1267</v>
      </c>
      <c r="H5938" s="380" t="s">
        <v>771</v>
      </c>
      <c r="I5938" s="380" t="s">
        <v>788</v>
      </c>
      <c r="J5938" s="380" t="s">
        <v>773</v>
      </c>
      <c r="K5938" s="381">
        <v>0.0</v>
      </c>
      <c r="L5938" s="382">
        <v>1.0</v>
      </c>
    </row>
    <row r="5939">
      <c r="A5939" s="380" t="s">
        <v>6813</v>
      </c>
      <c r="B5939" s="380" t="str">
        <f>IFERROR(__xludf.DUMMYFUNCTION("""COMPUTED_VALUE"""),"Espejo Retrovis Completo Der 857514-2RO")</f>
        <v>Espejo Retrovis Completo Der 857514-2RO</v>
      </c>
      <c r="C5939" s="380" t="str">
        <f>IFERROR(__xludf.DUMMYFUNCTION("""COMPUTED_VALUE"""),"70001321")</f>
        <v>70001321</v>
      </c>
      <c r="D5939" s="380" t="s">
        <v>767</v>
      </c>
      <c r="E5939" s="380" t="s">
        <v>786</v>
      </c>
      <c r="F5939" s="380" t="s">
        <v>792</v>
      </c>
      <c r="G5939" s="380" t="s">
        <v>1267</v>
      </c>
      <c r="H5939" s="380" t="s">
        <v>771</v>
      </c>
      <c r="I5939" s="380" t="s">
        <v>788</v>
      </c>
      <c r="J5939" s="380" t="s">
        <v>773</v>
      </c>
      <c r="K5939" s="381">
        <v>0.0</v>
      </c>
      <c r="L5939" s="382">
        <v>1.0</v>
      </c>
    </row>
    <row r="5940">
      <c r="A5940" s="380" t="s">
        <v>6814</v>
      </c>
      <c r="B5940" s="380" t="str">
        <f>IFERROR(__xludf.DUMMYFUNCTION("""COMPUTED_VALUE"""),"Cadena Reparticion Motor N200 24518546")</f>
        <v>Cadena Reparticion Motor N200 24518546</v>
      </c>
      <c r="C5940" s="380" t="str">
        <f>IFERROR(__xludf.DUMMYFUNCTION("""COMPUTED_VALUE"""),"70001322")</f>
        <v>70001322</v>
      </c>
      <c r="D5940" s="380" t="s">
        <v>767</v>
      </c>
      <c r="E5940" s="380" t="s">
        <v>786</v>
      </c>
      <c r="F5940" s="380" t="s">
        <v>787</v>
      </c>
      <c r="G5940" s="380" t="s">
        <v>1267</v>
      </c>
      <c r="H5940" s="380" t="s">
        <v>771</v>
      </c>
      <c r="I5940" s="380" t="s">
        <v>788</v>
      </c>
      <c r="J5940" s="380" t="s">
        <v>773</v>
      </c>
      <c r="K5940" s="381">
        <v>0.0</v>
      </c>
      <c r="L5940" s="382">
        <v>1.0</v>
      </c>
    </row>
    <row r="5941">
      <c r="A5941" s="380" t="s">
        <v>6815</v>
      </c>
      <c r="B5941" s="380" t="str">
        <f>IFERROR(__xludf.DUMMYFUNCTION("""COMPUTED_VALUE"""),"Tensor Correa Repart Motor N200 96416303")</f>
        <v>Tensor Correa Repart Motor N200 96416303</v>
      </c>
      <c r="C5941" s="380" t="str">
        <f>IFERROR(__xludf.DUMMYFUNCTION("""COMPUTED_VALUE"""),"70001323")</f>
        <v>70001323</v>
      </c>
      <c r="D5941" s="380" t="s">
        <v>767</v>
      </c>
      <c r="E5941" s="380" t="s">
        <v>786</v>
      </c>
      <c r="F5941" s="380" t="s">
        <v>787</v>
      </c>
      <c r="G5941" s="380" t="s">
        <v>1267</v>
      </c>
      <c r="H5941" s="380" t="s">
        <v>771</v>
      </c>
      <c r="I5941" s="380" t="s">
        <v>788</v>
      </c>
      <c r="J5941" s="380" t="s">
        <v>773</v>
      </c>
      <c r="K5941" s="381">
        <v>0.0</v>
      </c>
      <c r="L5941" s="382">
        <v>1.0</v>
      </c>
    </row>
    <row r="5942">
      <c r="A5942" s="380" t="s">
        <v>6816</v>
      </c>
      <c r="B5942" s="380" t="str">
        <f>IFERROR(__xludf.DUMMYFUNCTION("""COMPUTED_VALUE"""),"Guardapolvo Barra Cambios N200 5496059")</f>
        <v>Guardapolvo Barra Cambios N200 5496059</v>
      </c>
      <c r="C5942" s="380" t="str">
        <f>IFERROR(__xludf.DUMMYFUNCTION("""COMPUTED_VALUE"""),"70001324")</f>
        <v>70001324</v>
      </c>
      <c r="D5942" s="380" t="s">
        <v>767</v>
      </c>
      <c r="E5942" s="380" t="s">
        <v>786</v>
      </c>
      <c r="F5942" s="380" t="s">
        <v>792</v>
      </c>
      <c r="G5942" s="380" t="s">
        <v>1267</v>
      </c>
      <c r="H5942" s="380" t="s">
        <v>771</v>
      </c>
      <c r="I5942" s="380" t="s">
        <v>788</v>
      </c>
      <c r="J5942" s="380" t="s">
        <v>773</v>
      </c>
      <c r="K5942" s="381">
        <v>0.0</v>
      </c>
      <c r="L5942" s="382">
        <v>1.0</v>
      </c>
    </row>
    <row r="5943">
      <c r="A5943" s="380" t="s">
        <v>6817</v>
      </c>
      <c r="B5943" s="380" t="str">
        <f>IFERROR(__xludf.DUMMYFUNCTION("""COMPUTED_VALUE"""),"Gancho Cierre Capo Izq Freightl155553000")</f>
        <v>Gancho Cierre Capo Izq Freightl155553000</v>
      </c>
      <c r="C5943" s="380" t="str">
        <f>IFERROR(__xludf.DUMMYFUNCTION("""COMPUTED_VALUE"""),"70001325")</f>
        <v>70001325</v>
      </c>
      <c r="D5943" s="380" t="s">
        <v>767</v>
      </c>
      <c r="E5943" s="380" t="s">
        <v>786</v>
      </c>
      <c r="F5943" s="380" t="s">
        <v>792</v>
      </c>
      <c r="G5943" s="380" t="s">
        <v>1267</v>
      </c>
      <c r="H5943" s="380" t="s">
        <v>771</v>
      </c>
      <c r="I5943" s="380" t="s">
        <v>788</v>
      </c>
      <c r="J5943" s="380" t="s">
        <v>773</v>
      </c>
      <c r="K5943" s="381">
        <v>0.0</v>
      </c>
      <c r="L5943" s="382">
        <v>1.0</v>
      </c>
    </row>
    <row r="5944">
      <c r="A5944" s="380" t="s">
        <v>6818</v>
      </c>
      <c r="B5944" s="380" t="str">
        <f>IFERROR(__xludf.DUMMYFUNCTION("""COMPUTED_VALUE"""),"Filtro Combustible Hino 500 23304EV360")</f>
        <v>Filtro Combustible Hino 500 23304EV360</v>
      </c>
      <c r="C5944" s="380" t="str">
        <f>IFERROR(__xludf.DUMMYFUNCTION("""COMPUTED_VALUE"""),"70001326")</f>
        <v>70001326</v>
      </c>
      <c r="D5944" s="380" t="s">
        <v>767</v>
      </c>
      <c r="E5944" s="380" t="s">
        <v>786</v>
      </c>
      <c r="F5944" s="380" t="s">
        <v>5855</v>
      </c>
      <c r="G5944" s="380" t="s">
        <v>1267</v>
      </c>
      <c r="H5944" s="380" t="s">
        <v>771</v>
      </c>
      <c r="I5944" s="380" t="s">
        <v>788</v>
      </c>
      <c r="J5944" s="380" t="s">
        <v>773</v>
      </c>
      <c r="K5944" s="381">
        <v>0.0</v>
      </c>
      <c r="L5944" s="382">
        <v>1.0</v>
      </c>
    </row>
    <row r="5945">
      <c r="A5945" s="380" t="s">
        <v>6819</v>
      </c>
      <c r="B5945" s="380" t="str">
        <f>IFERROR(__xludf.DUMMYFUNCTION("""COMPUTED_VALUE"""),"Filtro Aceite Hino 500 S156072051")</f>
        <v>Filtro Aceite Hino 500 S156072051</v>
      </c>
      <c r="C5945" s="380" t="str">
        <f>IFERROR(__xludf.DUMMYFUNCTION("""COMPUTED_VALUE"""),"70001327")</f>
        <v>70001327</v>
      </c>
      <c r="D5945" s="380" t="s">
        <v>767</v>
      </c>
      <c r="E5945" s="380" t="s">
        <v>786</v>
      </c>
      <c r="F5945" s="380" t="s">
        <v>5855</v>
      </c>
      <c r="G5945" s="380" t="s">
        <v>1267</v>
      </c>
      <c r="H5945" s="380" t="s">
        <v>771</v>
      </c>
      <c r="I5945" s="380" t="s">
        <v>788</v>
      </c>
      <c r="J5945" s="380" t="s">
        <v>773</v>
      </c>
      <c r="K5945" s="381">
        <v>0.0</v>
      </c>
      <c r="L5945" s="382">
        <v>1.0</v>
      </c>
    </row>
    <row r="5946">
      <c r="A5946" s="380" t="s">
        <v>6820</v>
      </c>
      <c r="B5946" s="380" t="str">
        <f>IFERROR(__xludf.DUMMYFUNCTION("""COMPUTED_VALUE"""),"Empaquetadura Motor Nkr Reward5878168781")</f>
        <v>Empaquetadura Motor Nkr Reward5878168781</v>
      </c>
      <c r="C5946" s="380" t="str">
        <f>IFERROR(__xludf.DUMMYFUNCTION("""COMPUTED_VALUE"""),"70001328")</f>
        <v>70001328</v>
      </c>
      <c r="D5946" s="380" t="s">
        <v>767</v>
      </c>
      <c r="E5946" s="380" t="s">
        <v>786</v>
      </c>
      <c r="F5946" s="380" t="s">
        <v>787</v>
      </c>
      <c r="G5946" s="380" t="s">
        <v>1267</v>
      </c>
      <c r="H5946" s="380" t="s">
        <v>771</v>
      </c>
      <c r="I5946" s="380" t="s">
        <v>788</v>
      </c>
      <c r="J5946" s="380" t="s">
        <v>773</v>
      </c>
      <c r="K5946" s="381">
        <v>0.0</v>
      </c>
      <c r="L5946" s="382">
        <v>1.0</v>
      </c>
    </row>
    <row r="5947">
      <c r="A5947" s="380" t="s">
        <v>6821</v>
      </c>
      <c r="B5947" s="380" t="str">
        <f>IFERROR(__xludf.DUMMYFUNCTION("""COMPUTED_VALUE"""),"Cubiert Protec Inf Pta Nkr Rew8980227611")</f>
        <v>Cubiert Protec Inf Pta Nkr Rew8980227611</v>
      </c>
      <c r="C5947" s="380" t="str">
        <f>IFERROR(__xludf.DUMMYFUNCTION("""COMPUTED_VALUE"""),"70001329")</f>
        <v>70001329</v>
      </c>
      <c r="D5947" s="380" t="s">
        <v>767</v>
      </c>
      <c r="E5947" s="380" t="s">
        <v>786</v>
      </c>
      <c r="F5947" s="380" t="s">
        <v>792</v>
      </c>
      <c r="G5947" s="380" t="s">
        <v>1267</v>
      </c>
      <c r="H5947" s="380" t="s">
        <v>771</v>
      </c>
      <c r="I5947" s="380" t="s">
        <v>788</v>
      </c>
      <c r="J5947" s="380" t="s">
        <v>773</v>
      </c>
      <c r="K5947" s="381">
        <v>0.0</v>
      </c>
      <c r="L5947" s="382">
        <v>1.0</v>
      </c>
    </row>
    <row r="5948">
      <c r="A5948" s="380" t="s">
        <v>6822</v>
      </c>
      <c r="B5948" s="380" t="str">
        <f>IFERROR(__xludf.DUMMYFUNCTION("""COMPUTED_VALUE"""),"Kit Embrague FTR 52034056")</f>
        <v>Kit Embrague FTR 52034056</v>
      </c>
      <c r="C5948" s="380" t="str">
        <f>IFERROR(__xludf.DUMMYFUNCTION("""COMPUTED_VALUE"""),"70001330")</f>
        <v>70001330</v>
      </c>
      <c r="D5948" s="380" t="s">
        <v>767</v>
      </c>
      <c r="E5948" s="380" t="s">
        <v>786</v>
      </c>
      <c r="F5948" s="380" t="s">
        <v>5661</v>
      </c>
      <c r="G5948" s="380" t="s">
        <v>1267</v>
      </c>
      <c r="H5948" s="380" t="s">
        <v>771</v>
      </c>
      <c r="I5948" s="380" t="s">
        <v>788</v>
      </c>
      <c r="J5948" s="380" t="s">
        <v>773</v>
      </c>
      <c r="K5948" s="381">
        <v>0.0</v>
      </c>
      <c r="L5948" s="382">
        <v>1.0</v>
      </c>
    </row>
    <row r="5949">
      <c r="A5949" s="380" t="s">
        <v>6823</v>
      </c>
      <c r="B5949" s="380" t="str">
        <f>IFERROR(__xludf.DUMMYFUNCTION("""COMPUTED_VALUE"""),"Balinera Embrague FTR 1313100260")</f>
        <v>Balinera Embrague FTR 1313100260</v>
      </c>
      <c r="C5949" s="380" t="str">
        <f>IFERROR(__xludf.DUMMYFUNCTION("""COMPUTED_VALUE"""),"70001331")</f>
        <v>70001331</v>
      </c>
      <c r="D5949" s="380" t="s">
        <v>767</v>
      </c>
      <c r="E5949" s="380" t="s">
        <v>786</v>
      </c>
      <c r="F5949" s="380" t="s">
        <v>5661</v>
      </c>
      <c r="G5949" s="380" t="s">
        <v>1267</v>
      </c>
      <c r="H5949" s="380" t="s">
        <v>771</v>
      </c>
      <c r="I5949" s="380" t="s">
        <v>788</v>
      </c>
      <c r="J5949" s="380" t="s">
        <v>773</v>
      </c>
      <c r="K5949" s="381">
        <v>0.0</v>
      </c>
      <c r="L5949" s="382">
        <v>1.0</v>
      </c>
    </row>
    <row r="5950">
      <c r="A5950" s="380" t="s">
        <v>6824</v>
      </c>
      <c r="B5950" s="380" t="str">
        <f>IFERROR(__xludf.DUMMYFUNCTION("""COMPUTED_VALUE"""),"Plato Y Acces Freno Emergencia T Delta")</f>
        <v>Plato Y Acces Freno Emergencia T Delta</v>
      </c>
      <c r="C5950" s="380" t="str">
        <f>IFERROR(__xludf.DUMMYFUNCTION("""COMPUTED_VALUE"""),"70001332")</f>
        <v>70001332</v>
      </c>
      <c r="D5950" s="380" t="s">
        <v>767</v>
      </c>
      <c r="E5950" s="380" t="s">
        <v>786</v>
      </c>
      <c r="F5950" s="380" t="s">
        <v>1017</v>
      </c>
      <c r="G5950" s="380" t="s">
        <v>1267</v>
      </c>
      <c r="H5950" s="380" t="s">
        <v>771</v>
      </c>
      <c r="I5950" s="380" t="s">
        <v>788</v>
      </c>
      <c r="J5950" s="380" t="s">
        <v>773</v>
      </c>
      <c r="K5950" s="381">
        <v>0.0</v>
      </c>
      <c r="L5950" s="382">
        <v>1.0</v>
      </c>
    </row>
    <row r="5951">
      <c r="A5951" s="380" t="s">
        <v>6825</v>
      </c>
      <c r="B5951" s="380" t="str">
        <f>IFERROR(__xludf.DUMMYFUNCTION("""COMPUTED_VALUE"""),"Resort Pistoncillo Fren Motor Isx2892986")</f>
        <v>Resort Pistoncillo Fren Motor Isx2892986</v>
      </c>
      <c r="C5951" s="380" t="str">
        <f>IFERROR(__xludf.DUMMYFUNCTION("""COMPUTED_VALUE"""),"70001333")</f>
        <v>70001333</v>
      </c>
      <c r="D5951" s="380" t="s">
        <v>767</v>
      </c>
      <c r="E5951" s="380" t="s">
        <v>786</v>
      </c>
      <c r="F5951" s="380" t="s">
        <v>787</v>
      </c>
      <c r="G5951" s="380" t="s">
        <v>1267</v>
      </c>
      <c r="H5951" s="380" t="s">
        <v>771</v>
      </c>
      <c r="I5951" s="380" t="s">
        <v>788</v>
      </c>
      <c r="J5951" s="380" t="s">
        <v>773</v>
      </c>
      <c r="K5951" s="381">
        <v>0.0</v>
      </c>
      <c r="L5951" s="382">
        <v>1.0</v>
      </c>
    </row>
    <row r="5952">
      <c r="A5952" s="380" t="s">
        <v>6826</v>
      </c>
      <c r="B5952" s="380" t="str">
        <f>IFERROR(__xludf.DUMMYFUNCTION("""COMPUTED_VALUE"""),"Muelle Trailer 2463")</f>
        <v>Muelle Trailer 2463</v>
      </c>
      <c r="C5952" s="380" t="str">
        <f>IFERROR(__xludf.DUMMYFUNCTION("""COMPUTED_VALUE"""),"70001334")</f>
        <v>70001334</v>
      </c>
      <c r="D5952" s="380" t="s">
        <v>767</v>
      </c>
      <c r="E5952" s="380" t="s">
        <v>786</v>
      </c>
      <c r="F5952" s="380" t="s">
        <v>1039</v>
      </c>
      <c r="G5952" s="380" t="s">
        <v>1267</v>
      </c>
      <c r="H5952" s="380" t="s">
        <v>771</v>
      </c>
      <c r="I5952" s="380" t="s">
        <v>788</v>
      </c>
      <c r="J5952" s="380" t="s">
        <v>773</v>
      </c>
      <c r="K5952" s="381">
        <v>0.0</v>
      </c>
      <c r="L5952" s="382">
        <v>1.0</v>
      </c>
    </row>
    <row r="5953">
      <c r="A5953" s="380" t="s">
        <v>6827</v>
      </c>
      <c r="B5953" s="380" t="str">
        <f>IFERROR(__xludf.DUMMYFUNCTION("""COMPUTED_VALUE"""),"Anillos Motor Std N200 93744884")</f>
        <v>Anillos Motor Std N200 93744884</v>
      </c>
      <c r="C5953" s="380" t="str">
        <f>IFERROR(__xludf.DUMMYFUNCTION("""COMPUTED_VALUE"""),"70001335")</f>
        <v>70001335</v>
      </c>
      <c r="D5953" s="380" t="s">
        <v>767</v>
      </c>
      <c r="E5953" s="380" t="s">
        <v>786</v>
      </c>
      <c r="F5953" s="380" t="s">
        <v>787</v>
      </c>
      <c r="G5953" s="380" t="s">
        <v>1267</v>
      </c>
      <c r="H5953" s="380" t="s">
        <v>771</v>
      </c>
      <c r="I5953" s="380" t="s">
        <v>788</v>
      </c>
      <c r="J5953" s="380" t="s">
        <v>773</v>
      </c>
      <c r="K5953" s="381">
        <v>196350.0</v>
      </c>
      <c r="L5953" s="382">
        <v>1.0</v>
      </c>
    </row>
    <row r="5954">
      <c r="A5954" s="380" t="s">
        <v>6828</v>
      </c>
      <c r="B5954" s="380" t="str">
        <f>IFERROR(__xludf.DUMMYFUNCTION("""COMPUTED_VALUE"""),"Casquetes Bancada Std N200 9002793")</f>
        <v>Casquetes Bancada Std N200 9002793</v>
      </c>
      <c r="C5954" s="380" t="str">
        <f>IFERROR(__xludf.DUMMYFUNCTION("""COMPUTED_VALUE"""),"70001336")</f>
        <v>70001336</v>
      </c>
      <c r="D5954" s="380" t="s">
        <v>767</v>
      </c>
      <c r="E5954" s="380" t="s">
        <v>786</v>
      </c>
      <c r="F5954" s="380" t="s">
        <v>787</v>
      </c>
      <c r="G5954" s="380" t="s">
        <v>1267</v>
      </c>
      <c r="H5954" s="380" t="s">
        <v>771</v>
      </c>
      <c r="I5954" s="380" t="s">
        <v>788</v>
      </c>
      <c r="J5954" s="380" t="s">
        <v>773</v>
      </c>
      <c r="K5954" s="381">
        <v>0.0</v>
      </c>
      <c r="L5954" s="382">
        <v>1.0</v>
      </c>
    </row>
    <row r="5955">
      <c r="A5955" s="380" t="s">
        <v>6829</v>
      </c>
      <c r="B5955" s="380" t="str">
        <f>IFERROR(__xludf.DUMMYFUNCTION("""COMPUTED_VALUE"""),"Casquetes Biela Std N200 9002792")</f>
        <v>Casquetes Biela Std N200 9002792</v>
      </c>
      <c r="C5955" s="380" t="str">
        <f>IFERROR(__xludf.DUMMYFUNCTION("""COMPUTED_VALUE"""),"70001337")</f>
        <v>70001337</v>
      </c>
      <c r="D5955" s="380" t="s">
        <v>767</v>
      </c>
      <c r="E5955" s="380" t="s">
        <v>786</v>
      </c>
      <c r="F5955" s="380" t="s">
        <v>787</v>
      </c>
      <c r="G5955" s="380" t="s">
        <v>1267</v>
      </c>
      <c r="H5955" s="380" t="s">
        <v>771</v>
      </c>
      <c r="I5955" s="380" t="s">
        <v>788</v>
      </c>
      <c r="J5955" s="380" t="s">
        <v>773</v>
      </c>
      <c r="K5955" s="381">
        <v>0.0</v>
      </c>
      <c r="L5955" s="382">
        <v>1.0</v>
      </c>
    </row>
    <row r="5956">
      <c r="A5956" s="380" t="s">
        <v>6830</v>
      </c>
      <c r="B5956" s="380" t="str">
        <f>IFERROR(__xludf.DUMMYFUNCTION("""COMPUTED_VALUE"""),"Tubo De Liga Frenos Npr 8971922150")</f>
        <v>Tubo De Liga Frenos Npr 8971922150</v>
      </c>
      <c r="C5956" s="380" t="str">
        <f>IFERROR(__xludf.DUMMYFUNCTION("""COMPUTED_VALUE"""),"70001338")</f>
        <v>70001338</v>
      </c>
      <c r="D5956" s="380" t="s">
        <v>767</v>
      </c>
      <c r="E5956" s="380" t="s">
        <v>786</v>
      </c>
      <c r="F5956" s="380" t="s">
        <v>1017</v>
      </c>
      <c r="G5956" s="380" t="s">
        <v>1267</v>
      </c>
      <c r="H5956" s="380" t="s">
        <v>771</v>
      </c>
      <c r="I5956" s="380" t="s">
        <v>788</v>
      </c>
      <c r="J5956" s="380" t="s">
        <v>773</v>
      </c>
      <c r="K5956" s="381">
        <v>0.0</v>
      </c>
      <c r="L5956" s="382">
        <v>1.0</v>
      </c>
    </row>
    <row r="5957">
      <c r="A5957" s="380" t="s">
        <v>6831</v>
      </c>
      <c r="B5957" s="380" t="str">
        <f>IFERROR(__xludf.DUMMYFUNCTION("""COMPUTED_VALUE"""),"Impulsador Varilla Valvula Nkr8944383051")</f>
        <v>Impulsador Varilla Valvula Nkr8944383051</v>
      </c>
      <c r="C5957" s="380" t="str">
        <f>IFERROR(__xludf.DUMMYFUNCTION("""COMPUTED_VALUE"""),"70001339")</f>
        <v>70001339</v>
      </c>
      <c r="D5957" s="380" t="s">
        <v>767</v>
      </c>
      <c r="E5957" s="380" t="s">
        <v>786</v>
      </c>
      <c r="F5957" s="380" t="s">
        <v>787</v>
      </c>
      <c r="G5957" s="380" t="s">
        <v>1267</v>
      </c>
      <c r="H5957" s="380" t="s">
        <v>771</v>
      </c>
      <c r="I5957" s="380" t="s">
        <v>788</v>
      </c>
      <c r="J5957" s="380" t="s">
        <v>773</v>
      </c>
      <c r="K5957" s="381">
        <v>0.0</v>
      </c>
      <c r="L5957" s="382">
        <v>1.0</v>
      </c>
    </row>
    <row r="5958">
      <c r="A5958" s="380" t="s">
        <v>6832</v>
      </c>
      <c r="B5958" s="380" t="str">
        <f>IFERROR(__xludf.DUMMYFUNCTION("""COMPUTED_VALUE"""),"Soport Amortig Del Der Sup Nkr8973160151")</f>
        <v>Soport Amortig Del Der Sup Nkr8973160151</v>
      </c>
      <c r="C5958" s="380" t="str">
        <f>IFERROR(__xludf.DUMMYFUNCTION("""COMPUTED_VALUE"""),"70001340")</f>
        <v>70001340</v>
      </c>
      <c r="D5958" s="380" t="s">
        <v>767</v>
      </c>
      <c r="E5958" s="380" t="s">
        <v>786</v>
      </c>
      <c r="F5958" s="380" t="s">
        <v>1039</v>
      </c>
      <c r="G5958" s="380" t="s">
        <v>1267</v>
      </c>
      <c r="H5958" s="380" t="s">
        <v>771</v>
      </c>
      <c r="I5958" s="380" t="s">
        <v>788</v>
      </c>
      <c r="J5958" s="380" t="s">
        <v>773</v>
      </c>
      <c r="K5958" s="381">
        <v>0.0</v>
      </c>
      <c r="L5958" s="382">
        <v>1.0</v>
      </c>
    </row>
    <row r="5959">
      <c r="A5959" s="380" t="s">
        <v>6833</v>
      </c>
      <c r="B5959" s="380" t="str">
        <f>IFERROR(__xludf.DUMMYFUNCTION("""COMPUTED_VALUE"""),"Muelle Del Principal Eagle 1690075C91")</f>
        <v>Muelle Del Principal Eagle 1690075C91</v>
      </c>
      <c r="C5959" s="380" t="str">
        <f>IFERROR(__xludf.DUMMYFUNCTION("""COMPUTED_VALUE"""),"70001341")</f>
        <v>70001341</v>
      </c>
      <c r="D5959" s="380" t="s">
        <v>767</v>
      </c>
      <c r="E5959" s="380" t="s">
        <v>786</v>
      </c>
      <c r="F5959" s="380" t="s">
        <v>1039</v>
      </c>
      <c r="G5959" s="380" t="s">
        <v>1267</v>
      </c>
      <c r="H5959" s="380" t="s">
        <v>771</v>
      </c>
      <c r="I5959" s="380" t="s">
        <v>788</v>
      </c>
      <c r="J5959" s="380" t="s">
        <v>773</v>
      </c>
      <c r="K5959" s="381">
        <v>0.0</v>
      </c>
      <c r="L5959" s="382">
        <v>1.0</v>
      </c>
    </row>
    <row r="5960">
      <c r="A5960" s="380" t="s">
        <v>6834</v>
      </c>
      <c r="B5960" s="380" t="str">
        <f>IFERROR(__xludf.DUMMYFUNCTION("""COMPUTED_VALUE"""),"Balancin Freno Motor Isx 4298199")</f>
        <v>Balancin Freno Motor Isx 4298199</v>
      </c>
      <c r="C5960" s="380" t="str">
        <f>IFERROR(__xludf.DUMMYFUNCTION("""COMPUTED_VALUE"""),"70001342")</f>
        <v>70001342</v>
      </c>
      <c r="D5960" s="380" t="s">
        <v>767</v>
      </c>
      <c r="E5960" s="380" t="s">
        <v>786</v>
      </c>
      <c r="F5960" s="380" t="s">
        <v>787</v>
      </c>
      <c r="G5960" s="380" t="s">
        <v>1267</v>
      </c>
      <c r="H5960" s="380" t="s">
        <v>771</v>
      </c>
      <c r="I5960" s="380" t="s">
        <v>788</v>
      </c>
      <c r="J5960" s="380" t="s">
        <v>773</v>
      </c>
      <c r="K5960" s="381">
        <v>0.0</v>
      </c>
      <c r="L5960" s="382">
        <v>1.0</v>
      </c>
    </row>
    <row r="5961">
      <c r="A5961" s="380" t="s">
        <v>6835</v>
      </c>
      <c r="B5961" s="380" t="str">
        <f>IFERROR(__xludf.DUMMYFUNCTION("""COMPUTED_VALUE"""),"Empaque Lateral Torpedo Isx 3572512C1")</f>
        <v>Empaque Lateral Torpedo Isx 3572512C1</v>
      </c>
      <c r="C5961" s="380" t="str">
        <f>IFERROR(__xludf.DUMMYFUNCTION("""COMPUTED_VALUE"""),"70001343")</f>
        <v>70001343</v>
      </c>
      <c r="D5961" s="380" t="s">
        <v>767</v>
      </c>
      <c r="E5961" s="380" t="s">
        <v>786</v>
      </c>
      <c r="F5961" s="380" t="s">
        <v>792</v>
      </c>
      <c r="G5961" s="380" t="s">
        <v>1267</v>
      </c>
      <c r="H5961" s="380" t="s">
        <v>771</v>
      </c>
      <c r="I5961" s="380" t="s">
        <v>788</v>
      </c>
      <c r="J5961" s="380" t="s">
        <v>773</v>
      </c>
      <c r="K5961" s="381">
        <v>0.0</v>
      </c>
      <c r="L5961" s="382">
        <v>1.0</v>
      </c>
    </row>
    <row r="5962">
      <c r="A5962" s="380" t="s">
        <v>6836</v>
      </c>
      <c r="B5962" s="380" t="str">
        <f>IFERROR(__xludf.DUMMYFUNCTION("""COMPUTED_VALUE"""),"Moldu Ext Vidr Pta Izq Nkr Rew8980291931")</f>
        <v>Moldu Ext Vidr Pta Izq Nkr Rew8980291931</v>
      </c>
      <c r="C5962" s="380" t="str">
        <f>IFERROR(__xludf.DUMMYFUNCTION("""COMPUTED_VALUE"""),"70001344")</f>
        <v>70001344</v>
      </c>
      <c r="D5962" s="380" t="s">
        <v>767</v>
      </c>
      <c r="E5962" s="380" t="s">
        <v>786</v>
      </c>
      <c r="F5962" s="380" t="s">
        <v>792</v>
      </c>
      <c r="G5962" s="380" t="s">
        <v>1267</v>
      </c>
      <c r="H5962" s="380" t="s">
        <v>771</v>
      </c>
      <c r="I5962" s="380" t="s">
        <v>788</v>
      </c>
      <c r="J5962" s="380" t="s">
        <v>773</v>
      </c>
      <c r="K5962" s="381">
        <v>0.0</v>
      </c>
      <c r="L5962" s="382">
        <v>1.0</v>
      </c>
    </row>
    <row r="5963">
      <c r="A5963" s="380" t="s">
        <v>6837</v>
      </c>
      <c r="B5963" s="380" t="str">
        <f>IFERROR(__xludf.DUMMYFUNCTION("""COMPUTED_VALUE"""),"Manija Ext Pta Izq Nkr Reward 8980371002")</f>
        <v>Manija Ext Pta Izq Nkr Reward 8980371002</v>
      </c>
      <c r="C5963" s="380" t="str">
        <f>IFERROR(__xludf.DUMMYFUNCTION("""COMPUTED_VALUE"""),"70001345")</f>
        <v>70001345</v>
      </c>
      <c r="D5963" s="380" t="s">
        <v>767</v>
      </c>
      <c r="E5963" s="380" t="s">
        <v>786</v>
      </c>
      <c r="F5963" s="380" t="s">
        <v>792</v>
      </c>
      <c r="G5963" s="380" t="s">
        <v>1267</v>
      </c>
      <c r="H5963" s="380" t="s">
        <v>771</v>
      </c>
      <c r="I5963" s="380" t="s">
        <v>788</v>
      </c>
      <c r="J5963" s="380" t="s">
        <v>773</v>
      </c>
      <c r="K5963" s="381">
        <v>0.0</v>
      </c>
      <c r="L5963" s="382">
        <v>1.0</v>
      </c>
    </row>
    <row r="5964">
      <c r="A5964" s="380" t="s">
        <v>6838</v>
      </c>
      <c r="B5964" s="380" t="str">
        <f>IFERROR(__xludf.DUMMYFUNCTION("""COMPUTED_VALUE"""),"Interruptor Vacio 9091012076 T Delta")</f>
        <v>Interruptor Vacio 9091012076 T Delta</v>
      </c>
      <c r="C5964" s="380" t="str">
        <f>IFERROR(__xludf.DUMMYFUNCTION("""COMPUTED_VALUE"""),"70001346")</f>
        <v>70001346</v>
      </c>
      <c r="D5964" s="380" t="s">
        <v>767</v>
      </c>
      <c r="E5964" s="380" t="s">
        <v>786</v>
      </c>
      <c r="F5964" s="380" t="s">
        <v>998</v>
      </c>
      <c r="G5964" s="380" t="s">
        <v>1267</v>
      </c>
      <c r="H5964" s="380" t="s">
        <v>771</v>
      </c>
      <c r="I5964" s="380" t="s">
        <v>788</v>
      </c>
      <c r="J5964" s="380" t="s">
        <v>773</v>
      </c>
      <c r="K5964" s="381">
        <v>0.0</v>
      </c>
      <c r="L5964" s="382">
        <v>1.0</v>
      </c>
    </row>
    <row r="5965">
      <c r="A5965" s="380" t="s">
        <v>6839</v>
      </c>
      <c r="B5965" s="380" t="str">
        <f>IFERROR(__xludf.DUMMYFUNCTION("""COMPUTED_VALUE"""),"Unidad Licuadora Raya 4416 12V 30W")</f>
        <v>Unidad Licuadora Raya 4416 12V 30W</v>
      </c>
      <c r="C5965" s="380" t="str">
        <f>IFERROR(__xludf.DUMMYFUNCTION("""COMPUTED_VALUE"""),"70001347")</f>
        <v>70001347</v>
      </c>
      <c r="D5965" s="380" t="s">
        <v>767</v>
      </c>
      <c r="E5965" s="380" t="s">
        <v>786</v>
      </c>
      <c r="F5965" s="380" t="s">
        <v>792</v>
      </c>
      <c r="G5965" s="380" t="s">
        <v>1267</v>
      </c>
      <c r="H5965" s="380" t="s">
        <v>771</v>
      </c>
      <c r="I5965" s="380" t="s">
        <v>788</v>
      </c>
      <c r="J5965" s="380" t="s">
        <v>773</v>
      </c>
      <c r="K5965" s="381">
        <v>0.0</v>
      </c>
      <c r="L5965" s="382">
        <v>1.0</v>
      </c>
    </row>
    <row r="5966">
      <c r="A5966" s="380" t="s">
        <v>6840</v>
      </c>
      <c r="B5966" s="380" t="str">
        <f>IFERROR(__xludf.DUMMYFUNCTION("""COMPUTED_VALUE"""),"Tubo Sup Enfriador Aceite Nkr 8980660891")</f>
        <v>Tubo Sup Enfriador Aceite Nkr 8980660891</v>
      </c>
      <c r="C5966" s="380" t="str">
        <f>IFERROR(__xludf.DUMMYFUNCTION("""COMPUTED_VALUE"""),"70001348")</f>
        <v>70001348</v>
      </c>
      <c r="D5966" s="380" t="s">
        <v>767</v>
      </c>
      <c r="E5966" s="380" t="s">
        <v>786</v>
      </c>
      <c r="F5966" s="380" t="s">
        <v>787</v>
      </c>
      <c r="G5966" s="380" t="s">
        <v>1267</v>
      </c>
      <c r="H5966" s="380" t="s">
        <v>771</v>
      </c>
      <c r="I5966" s="380" t="s">
        <v>788</v>
      </c>
      <c r="J5966" s="380" t="s">
        <v>773</v>
      </c>
      <c r="K5966" s="381">
        <v>0.0</v>
      </c>
      <c r="L5966" s="382">
        <v>1.0</v>
      </c>
    </row>
    <row r="5967">
      <c r="A5967" s="380" t="s">
        <v>6841</v>
      </c>
      <c r="B5967" s="380" t="str">
        <f>IFERROR(__xludf.DUMMYFUNCTION("""COMPUTED_VALUE"""),"Filtro Combustible Hino 2330478091")</f>
        <v>Filtro Combustible Hino 2330478091</v>
      </c>
      <c r="C5967" s="380" t="str">
        <f>IFERROR(__xludf.DUMMYFUNCTION("""COMPUTED_VALUE"""),"70001349")</f>
        <v>70001349</v>
      </c>
      <c r="D5967" s="380" t="s">
        <v>767</v>
      </c>
      <c r="E5967" s="380" t="s">
        <v>786</v>
      </c>
      <c r="F5967" s="380" t="s">
        <v>5855</v>
      </c>
      <c r="G5967" s="380" t="s">
        <v>1267</v>
      </c>
      <c r="H5967" s="380" t="s">
        <v>771</v>
      </c>
      <c r="I5967" s="380" t="s">
        <v>788</v>
      </c>
      <c r="J5967" s="380" t="s">
        <v>773</v>
      </c>
      <c r="K5967" s="381">
        <v>0.0</v>
      </c>
      <c r="L5967" s="382">
        <v>1.0</v>
      </c>
    </row>
    <row r="5968">
      <c r="A5968" s="380" t="s">
        <v>6842</v>
      </c>
      <c r="B5968" s="380" t="str">
        <f>IFERROR(__xludf.DUMMYFUNCTION("""COMPUTED_VALUE"""),"Cremallera Elevavidrio Der N200 5496079")</f>
        <v>Cremallera Elevavidrio Der N200 5496079</v>
      </c>
      <c r="C5968" s="380" t="str">
        <f>IFERROR(__xludf.DUMMYFUNCTION("""COMPUTED_VALUE"""),"70001350")</f>
        <v>70001350</v>
      </c>
      <c r="D5968" s="380" t="s">
        <v>767</v>
      </c>
      <c r="E5968" s="380" t="s">
        <v>786</v>
      </c>
      <c r="F5968" s="380" t="s">
        <v>792</v>
      </c>
      <c r="G5968" s="380" t="s">
        <v>1267</v>
      </c>
      <c r="H5968" s="380" t="s">
        <v>771</v>
      </c>
      <c r="I5968" s="380" t="s">
        <v>788</v>
      </c>
      <c r="J5968" s="380" t="s">
        <v>773</v>
      </c>
      <c r="K5968" s="381">
        <v>0.0</v>
      </c>
      <c r="L5968" s="382">
        <v>1.0</v>
      </c>
    </row>
    <row r="5969">
      <c r="A5969" s="380" t="s">
        <v>6843</v>
      </c>
      <c r="B5969" s="380" t="str">
        <f>IFERROR(__xludf.DUMMYFUNCTION("""COMPUTED_VALUE"""),"Tapa Cabrilla Direccion Isx 2010921C1")</f>
        <v>Tapa Cabrilla Direccion Isx 2010921C1</v>
      </c>
      <c r="C5969" s="380" t="str">
        <f>IFERROR(__xludf.DUMMYFUNCTION("""COMPUTED_VALUE"""),"70001351")</f>
        <v>70001351</v>
      </c>
      <c r="D5969" s="380" t="s">
        <v>767</v>
      </c>
      <c r="E5969" s="380" t="s">
        <v>786</v>
      </c>
      <c r="F5969" s="380" t="s">
        <v>792</v>
      </c>
      <c r="G5969" s="380" t="s">
        <v>1267</v>
      </c>
      <c r="H5969" s="380" t="s">
        <v>771</v>
      </c>
      <c r="I5969" s="380" t="s">
        <v>788</v>
      </c>
      <c r="J5969" s="380" t="s">
        <v>773</v>
      </c>
      <c r="K5969" s="381">
        <v>0.0</v>
      </c>
      <c r="L5969" s="382">
        <v>1.0</v>
      </c>
    </row>
    <row r="5970">
      <c r="A5970" s="380" t="s">
        <v>6844</v>
      </c>
      <c r="B5970" s="380" t="str">
        <f>IFERROR(__xludf.DUMMYFUNCTION("""COMPUTED_VALUE"""),"Tapa Columna Direccion Isx 2024431C2")</f>
        <v>Tapa Columna Direccion Isx 2024431C2</v>
      </c>
      <c r="C5970" s="380" t="str">
        <f>IFERROR(__xludf.DUMMYFUNCTION("""COMPUTED_VALUE"""),"70001352")</f>
        <v>70001352</v>
      </c>
      <c r="D5970" s="380" t="s">
        <v>767</v>
      </c>
      <c r="E5970" s="380" t="s">
        <v>786</v>
      </c>
      <c r="F5970" s="380" t="s">
        <v>792</v>
      </c>
      <c r="G5970" s="380" t="s">
        <v>1267</v>
      </c>
      <c r="H5970" s="380" t="s">
        <v>771</v>
      </c>
      <c r="I5970" s="380" t="s">
        <v>788</v>
      </c>
      <c r="J5970" s="380" t="s">
        <v>773</v>
      </c>
      <c r="K5970" s="381">
        <v>0.0</v>
      </c>
      <c r="L5970" s="382">
        <v>1.0</v>
      </c>
    </row>
    <row r="5971">
      <c r="A5971" s="380" t="s">
        <v>6845</v>
      </c>
      <c r="B5971" s="380" t="str">
        <f>IFERROR(__xludf.DUMMYFUNCTION("""COMPUTED_VALUE"""),"Sensor Alarma Refrigerante Nkr8970845520")</f>
        <v>Sensor Alarma Refrigerante Nkr8970845520</v>
      </c>
      <c r="C5971" s="380" t="str">
        <f>IFERROR(__xludf.DUMMYFUNCTION("""COMPUTED_VALUE"""),"70001353")</f>
        <v>70001353</v>
      </c>
      <c r="D5971" s="380" t="s">
        <v>767</v>
      </c>
      <c r="E5971" s="380" t="s">
        <v>786</v>
      </c>
      <c r="F5971" s="380" t="s">
        <v>998</v>
      </c>
      <c r="G5971" s="380" t="s">
        <v>1267</v>
      </c>
      <c r="H5971" s="380" t="s">
        <v>771</v>
      </c>
      <c r="I5971" s="380" t="s">
        <v>788</v>
      </c>
      <c r="J5971" s="380" t="s">
        <v>773</v>
      </c>
      <c r="K5971" s="381">
        <v>0.0</v>
      </c>
      <c r="L5971" s="382">
        <v>1.0</v>
      </c>
    </row>
    <row r="5972">
      <c r="A5972" s="380" t="s">
        <v>6846</v>
      </c>
      <c r="B5972" s="380" t="str">
        <f>IFERROR(__xludf.DUMMYFUNCTION("""COMPUTED_VALUE"""),"Cableado Motor Isx Eagle 4952742")</f>
        <v>Cableado Motor Isx Eagle 4952742</v>
      </c>
      <c r="C5972" s="380" t="str">
        <f>IFERROR(__xludf.DUMMYFUNCTION("""COMPUTED_VALUE"""),"70001354")</f>
        <v>70001354</v>
      </c>
      <c r="D5972" s="380" t="s">
        <v>767</v>
      </c>
      <c r="E5972" s="380" t="s">
        <v>786</v>
      </c>
      <c r="F5972" s="380" t="s">
        <v>998</v>
      </c>
      <c r="G5972" s="380" t="s">
        <v>1267</v>
      </c>
      <c r="H5972" s="380" t="s">
        <v>771</v>
      </c>
      <c r="I5972" s="380" t="s">
        <v>788</v>
      </c>
      <c r="J5972" s="380" t="s">
        <v>773</v>
      </c>
      <c r="K5972" s="381">
        <v>0.0</v>
      </c>
      <c r="L5972" s="382">
        <v>1.0</v>
      </c>
    </row>
    <row r="5973">
      <c r="A5973" s="380" t="s">
        <v>6847</v>
      </c>
      <c r="B5973" s="380" t="str">
        <f>IFERROR(__xludf.DUMMYFUNCTION("""COMPUTED_VALUE"""),"Empaque Compresor Isx Eagle 4965690")</f>
        <v>Empaque Compresor Isx Eagle 4965690</v>
      </c>
      <c r="C5973" s="380" t="str">
        <f>IFERROR(__xludf.DUMMYFUNCTION("""COMPUTED_VALUE"""),"70001355")</f>
        <v>70001355</v>
      </c>
      <c r="D5973" s="380" t="s">
        <v>767</v>
      </c>
      <c r="E5973" s="380" t="s">
        <v>786</v>
      </c>
      <c r="F5973" s="380" t="s">
        <v>787</v>
      </c>
      <c r="G5973" s="380" t="s">
        <v>1267</v>
      </c>
      <c r="H5973" s="380" t="s">
        <v>771</v>
      </c>
      <c r="I5973" s="380" t="s">
        <v>788</v>
      </c>
      <c r="J5973" s="380" t="s">
        <v>773</v>
      </c>
      <c r="K5973" s="381">
        <v>0.0</v>
      </c>
      <c r="L5973" s="382">
        <v>1.0</v>
      </c>
    </row>
    <row r="5974">
      <c r="A5974" s="380" t="s">
        <v>6848</v>
      </c>
      <c r="B5974" s="380" t="str">
        <f>IFERROR(__xludf.DUMMYFUNCTION("""COMPUTED_VALUE"""),"Refuerzo Bomper Isx 3577813C2")</f>
        <v>Refuerzo Bomper Isx 3577813C2</v>
      </c>
      <c r="C5974" s="380" t="str">
        <f>IFERROR(__xludf.DUMMYFUNCTION("""COMPUTED_VALUE"""),"70001356")</f>
        <v>70001356</v>
      </c>
      <c r="D5974" s="380" t="s">
        <v>767</v>
      </c>
      <c r="E5974" s="380" t="s">
        <v>786</v>
      </c>
      <c r="F5974" s="380" t="s">
        <v>792</v>
      </c>
      <c r="G5974" s="380" t="s">
        <v>1267</v>
      </c>
      <c r="H5974" s="380" t="s">
        <v>771</v>
      </c>
      <c r="I5974" s="380" t="s">
        <v>788</v>
      </c>
      <c r="J5974" s="380" t="s">
        <v>773</v>
      </c>
      <c r="K5974" s="381">
        <v>978694.0</v>
      </c>
      <c r="L5974" s="382">
        <v>1.0</v>
      </c>
    </row>
    <row r="5975">
      <c r="A5975" s="380" t="s">
        <v>6849</v>
      </c>
      <c r="B5975" s="380" t="str">
        <f>IFERROR(__xludf.DUMMYFUNCTION("""COMPUTED_VALUE"""),"Corbatin Barra Tensora Kentwoht 836940")</f>
        <v>Corbatin Barra Tensora Kentwoht 836940</v>
      </c>
      <c r="C5975" s="380" t="str">
        <f>IFERROR(__xludf.DUMMYFUNCTION("""COMPUTED_VALUE"""),"70001357")</f>
        <v>70001357</v>
      </c>
      <c r="D5975" s="380" t="s">
        <v>767</v>
      </c>
      <c r="E5975" s="380" t="s">
        <v>786</v>
      </c>
      <c r="F5975" s="380" t="s">
        <v>1039</v>
      </c>
      <c r="G5975" s="380" t="s">
        <v>1267</v>
      </c>
      <c r="H5975" s="380" t="s">
        <v>771</v>
      </c>
      <c r="I5975" s="380" t="s">
        <v>788</v>
      </c>
      <c r="J5975" s="380" t="s">
        <v>773</v>
      </c>
      <c r="K5975" s="381">
        <v>0.0</v>
      </c>
      <c r="L5975" s="382">
        <v>1.0</v>
      </c>
    </row>
    <row r="5976">
      <c r="A5976" s="380" t="s">
        <v>6850</v>
      </c>
      <c r="B5976" s="380" t="str">
        <f>IFERROR(__xludf.DUMMYFUNCTION("""COMPUTED_VALUE"""),"Emblema Capo Parte Frontal Isx 3550916C1")</f>
        <v>Emblema Capo Parte Frontal Isx 3550916C1</v>
      </c>
      <c r="C5976" s="380" t="str">
        <f>IFERROR(__xludf.DUMMYFUNCTION("""COMPUTED_VALUE"""),"70001358")</f>
        <v>70001358</v>
      </c>
      <c r="D5976" s="380" t="s">
        <v>767</v>
      </c>
      <c r="E5976" s="380" t="s">
        <v>786</v>
      </c>
      <c r="F5976" s="380" t="s">
        <v>792</v>
      </c>
      <c r="G5976" s="380" t="s">
        <v>1267</v>
      </c>
      <c r="H5976" s="380" t="s">
        <v>771</v>
      </c>
      <c r="I5976" s="380" t="s">
        <v>788</v>
      </c>
      <c r="J5976" s="380" t="s">
        <v>773</v>
      </c>
      <c r="K5976" s="381">
        <v>0.0</v>
      </c>
      <c r="L5976" s="382">
        <v>1.0</v>
      </c>
    </row>
    <row r="5977">
      <c r="A5977" s="380" t="s">
        <v>6851</v>
      </c>
      <c r="B5977" s="380" t="str">
        <f>IFERROR(__xludf.DUMMYFUNCTION("""COMPUTED_VALUE"""),"Amortig Tras Tipo Corbat KW T800 85937gb")</f>
        <v>Amortig Tras Tipo Corbat KW T800 85937gb</v>
      </c>
      <c r="C5977" s="380" t="str">
        <f>IFERROR(__xludf.DUMMYFUNCTION("""COMPUTED_VALUE"""),"70001359")</f>
        <v>70001359</v>
      </c>
      <c r="D5977" s="380" t="s">
        <v>767</v>
      </c>
      <c r="E5977" s="380" t="s">
        <v>786</v>
      </c>
      <c r="F5977" s="380" t="s">
        <v>1039</v>
      </c>
      <c r="G5977" s="380" t="s">
        <v>1267</v>
      </c>
      <c r="H5977" s="380" t="s">
        <v>771</v>
      </c>
      <c r="I5977" s="380" t="s">
        <v>788</v>
      </c>
      <c r="J5977" s="380" t="s">
        <v>773</v>
      </c>
      <c r="K5977" s="381">
        <v>0.0</v>
      </c>
      <c r="L5977" s="382">
        <v>1.0</v>
      </c>
    </row>
    <row r="5978">
      <c r="A5978" s="380" t="s">
        <v>6852</v>
      </c>
      <c r="B5978" s="380" t="str">
        <f>IFERROR(__xludf.DUMMYFUNCTION("""COMPUTED_VALUE"""),"Guardapolv Botella Y Espigo KW 211959XSP")</f>
        <v>Guardapolv Botella Y Espigo KW 211959XSP</v>
      </c>
      <c r="C5978" s="380" t="str">
        <f>IFERROR(__xludf.DUMMYFUNCTION("""COMPUTED_VALUE"""),"70001360")</f>
        <v>70001360</v>
      </c>
      <c r="D5978" s="380" t="s">
        <v>767</v>
      </c>
      <c r="E5978" s="380" t="s">
        <v>786</v>
      </c>
      <c r="F5978" s="380" t="s">
        <v>5683</v>
      </c>
      <c r="G5978" s="380" t="s">
        <v>1267</v>
      </c>
      <c r="H5978" s="380" t="s">
        <v>771</v>
      </c>
      <c r="I5978" s="380" t="s">
        <v>788</v>
      </c>
      <c r="J5978" s="380" t="s">
        <v>773</v>
      </c>
      <c r="K5978" s="381">
        <v>0.0</v>
      </c>
      <c r="L5978" s="382">
        <v>1.0</v>
      </c>
    </row>
    <row r="5979">
      <c r="A5979" s="380" t="s">
        <v>6853</v>
      </c>
      <c r="B5979" s="380" t="str">
        <f>IFERROR(__xludf.DUMMYFUNCTION("""COMPUTED_VALUE"""),"Arandela Leva Interior 1 5/8""")</f>
        <v>Arandela Leva Interior 1 5/8"</v>
      </c>
      <c r="C5979" s="380" t="str">
        <f>IFERROR(__xludf.DUMMYFUNCTION("""COMPUTED_VALUE"""),"70001361")</f>
        <v>70001361</v>
      </c>
      <c r="D5979" s="380" t="s">
        <v>767</v>
      </c>
      <c r="E5979" s="380" t="s">
        <v>786</v>
      </c>
      <c r="F5979" s="380" t="s">
        <v>1017</v>
      </c>
      <c r="G5979" s="380" t="s">
        <v>1267</v>
      </c>
      <c r="H5979" s="380" t="s">
        <v>771</v>
      </c>
      <c r="I5979" s="380" t="s">
        <v>788</v>
      </c>
      <c r="J5979" s="380" t="s">
        <v>773</v>
      </c>
      <c r="K5979" s="381">
        <v>0.0</v>
      </c>
      <c r="L5979" s="382">
        <v>1.0</v>
      </c>
    </row>
    <row r="5980">
      <c r="A5980" s="380" t="s">
        <v>6854</v>
      </c>
      <c r="B5980" s="380" t="str">
        <f>IFERROR(__xludf.DUMMYFUNCTION("""COMPUTED_VALUE"""),"Guaya Freno Parqueo Nkr Rewar 8980571124")</f>
        <v>Guaya Freno Parqueo Nkr Rewar 8980571124</v>
      </c>
      <c r="C5980" s="380" t="str">
        <f>IFERROR(__xludf.DUMMYFUNCTION("""COMPUTED_VALUE"""),"70001362")</f>
        <v>70001362</v>
      </c>
      <c r="D5980" s="380" t="s">
        <v>767</v>
      </c>
      <c r="E5980" s="380" t="s">
        <v>786</v>
      </c>
      <c r="F5980" s="380" t="s">
        <v>1017</v>
      </c>
      <c r="G5980" s="380" t="s">
        <v>1267</v>
      </c>
      <c r="H5980" s="380" t="s">
        <v>771</v>
      </c>
      <c r="I5980" s="380" t="s">
        <v>788</v>
      </c>
      <c r="J5980" s="380" t="s">
        <v>773</v>
      </c>
      <c r="K5980" s="381">
        <v>0.0</v>
      </c>
      <c r="L5980" s="382">
        <v>1.0</v>
      </c>
    </row>
    <row r="5981">
      <c r="A5981" s="380" t="s">
        <v>6855</v>
      </c>
      <c r="B5981" s="380" t="str">
        <f>IFERROR(__xludf.DUMMYFUNCTION("""COMPUTED_VALUE"""),"Sensor Velocimetro T Delta")</f>
        <v>Sensor Velocimetro T Delta</v>
      </c>
      <c r="C5981" s="380" t="str">
        <f>IFERROR(__xludf.DUMMYFUNCTION("""COMPUTED_VALUE"""),"70001363")</f>
        <v>70001363</v>
      </c>
      <c r="D5981" s="380" t="s">
        <v>767</v>
      </c>
      <c r="E5981" s="380" t="s">
        <v>786</v>
      </c>
      <c r="F5981" s="380" t="s">
        <v>998</v>
      </c>
      <c r="G5981" s="380" t="s">
        <v>1267</v>
      </c>
      <c r="H5981" s="380" t="s">
        <v>771</v>
      </c>
      <c r="I5981" s="380" t="s">
        <v>788</v>
      </c>
      <c r="J5981" s="380" t="s">
        <v>773</v>
      </c>
      <c r="K5981" s="381">
        <v>0.0</v>
      </c>
      <c r="L5981" s="382">
        <v>1.0</v>
      </c>
    </row>
    <row r="5982">
      <c r="A5982" s="380" t="s">
        <v>6856</v>
      </c>
      <c r="B5982" s="380" t="str">
        <f>IFERROR(__xludf.DUMMYFUNCTION("""COMPUTED_VALUE"""),"Switch Control Crucero Isx 2007303C1")</f>
        <v>Switch Control Crucero Isx 2007303C1</v>
      </c>
      <c r="C5982" s="380" t="str">
        <f>IFERROR(__xludf.DUMMYFUNCTION("""COMPUTED_VALUE"""),"70001364")</f>
        <v>70001364</v>
      </c>
      <c r="D5982" s="380" t="s">
        <v>767</v>
      </c>
      <c r="E5982" s="380" t="s">
        <v>786</v>
      </c>
      <c r="F5982" s="380" t="s">
        <v>787</v>
      </c>
      <c r="G5982" s="380" t="s">
        <v>1267</v>
      </c>
      <c r="H5982" s="380" t="s">
        <v>771</v>
      </c>
      <c r="I5982" s="380" t="s">
        <v>788</v>
      </c>
      <c r="J5982" s="380" t="s">
        <v>773</v>
      </c>
      <c r="K5982" s="381">
        <v>272541.0</v>
      </c>
      <c r="L5982" s="382">
        <v>1.0</v>
      </c>
    </row>
    <row r="5983">
      <c r="A5983" s="380" t="s">
        <v>6857</v>
      </c>
      <c r="B5983" s="380" t="str">
        <f>IFERROR(__xludf.DUMMYFUNCTION("""COMPUTED_VALUE"""),"Swtich Desempañante Espejo KWP271098004")</f>
        <v>Swtich Desempañante Espejo KWP271098004</v>
      </c>
      <c r="C5983" s="380" t="str">
        <f>IFERROR(__xludf.DUMMYFUNCTION("""COMPUTED_VALUE"""),"70001365")</f>
        <v>70001365</v>
      </c>
      <c r="D5983" s="380" t="s">
        <v>767</v>
      </c>
      <c r="E5983" s="380" t="s">
        <v>786</v>
      </c>
      <c r="F5983" s="380" t="s">
        <v>998</v>
      </c>
      <c r="G5983" s="380" t="s">
        <v>1267</v>
      </c>
      <c r="H5983" s="380" t="s">
        <v>771</v>
      </c>
      <c r="I5983" s="380" t="s">
        <v>788</v>
      </c>
      <c r="J5983" s="380" t="s">
        <v>773</v>
      </c>
      <c r="K5983" s="381">
        <v>0.0</v>
      </c>
      <c r="L5983" s="382">
        <v>1.0</v>
      </c>
    </row>
    <row r="5984">
      <c r="A5984" s="380" t="s">
        <v>6858</v>
      </c>
      <c r="B5984" s="380" t="str">
        <f>IFERROR(__xludf.DUMMYFUNCTION("""COMPUTED_VALUE"""),"Tornillo Tapa Valvula Motor Isx 3100895")</f>
        <v>Tornillo Tapa Valvula Motor Isx 3100895</v>
      </c>
      <c r="C5984" s="380" t="str">
        <f>IFERROR(__xludf.DUMMYFUNCTION("""COMPUTED_VALUE"""),"70001366")</f>
        <v>70001366</v>
      </c>
      <c r="D5984" s="380" t="s">
        <v>767</v>
      </c>
      <c r="E5984" s="380" t="s">
        <v>786</v>
      </c>
      <c r="F5984" s="380" t="s">
        <v>787</v>
      </c>
      <c r="G5984" s="380" t="s">
        <v>1267</v>
      </c>
      <c r="H5984" s="380" t="s">
        <v>771</v>
      </c>
      <c r="I5984" s="380" t="s">
        <v>788</v>
      </c>
      <c r="J5984" s="380" t="s">
        <v>773</v>
      </c>
      <c r="K5984" s="381">
        <v>0.0</v>
      </c>
      <c r="L5984" s="382">
        <v>1.0</v>
      </c>
    </row>
    <row r="5985">
      <c r="A5985" s="380" t="s">
        <v>6859</v>
      </c>
      <c r="B5985" s="380" t="str">
        <f>IFERROR(__xludf.DUMMYFUNCTION("""COMPUTED_VALUE"""),"Filtro Comb Hino 23304-EV390 2330478091")</f>
        <v>Filtro Comb Hino 23304-EV390 2330478091</v>
      </c>
      <c r="C5985" s="380" t="str">
        <f>IFERROR(__xludf.DUMMYFUNCTION("""COMPUTED_VALUE"""),"70001367")</f>
        <v>70001367</v>
      </c>
      <c r="D5985" s="380" t="s">
        <v>767</v>
      </c>
      <c r="E5985" s="380" t="s">
        <v>786</v>
      </c>
      <c r="F5985" s="380" t="s">
        <v>5855</v>
      </c>
      <c r="G5985" s="380" t="s">
        <v>1267</v>
      </c>
      <c r="H5985" s="380" t="s">
        <v>771</v>
      </c>
      <c r="I5985" s="380" t="s">
        <v>788</v>
      </c>
      <c r="J5985" s="380" t="s">
        <v>773</v>
      </c>
      <c r="K5985" s="381">
        <v>74964.0</v>
      </c>
      <c r="L5985" s="382">
        <v>1.0</v>
      </c>
    </row>
    <row r="5986">
      <c r="A5986" s="380" t="s">
        <v>6860</v>
      </c>
      <c r="B5986" s="380" t="str">
        <f>IFERROR(__xludf.DUMMYFUNCTION("""COMPUTED_VALUE"""),"Antidesgast Cuadr Later Capot KW K274181")</f>
        <v>Antidesgast Cuadr Later Capot KW K274181</v>
      </c>
      <c r="C5986" s="380" t="str">
        <f>IFERROR(__xludf.DUMMYFUNCTION("""COMPUTED_VALUE"""),"70001368")</f>
        <v>70001368</v>
      </c>
      <c r="D5986" s="380" t="s">
        <v>767</v>
      </c>
      <c r="E5986" s="380" t="s">
        <v>786</v>
      </c>
      <c r="F5986" s="380" t="s">
        <v>792</v>
      </c>
      <c r="G5986" s="380" t="s">
        <v>1267</v>
      </c>
      <c r="H5986" s="380" t="s">
        <v>771</v>
      </c>
      <c r="I5986" s="380" t="s">
        <v>788</v>
      </c>
      <c r="J5986" s="380" t="s">
        <v>773</v>
      </c>
      <c r="K5986" s="381">
        <v>0.0</v>
      </c>
      <c r="L5986" s="382">
        <v>1.0</v>
      </c>
    </row>
    <row r="5987">
      <c r="A5987" s="380" t="s">
        <v>6861</v>
      </c>
      <c r="B5987" s="380" t="str">
        <f>IFERROR(__xludf.DUMMYFUNCTION("""COMPUTED_VALUE"""),"Tub Agua Sal Turb Refr Nkr Rew8981137100")</f>
        <v>Tub Agua Sal Turb Refr Nkr Rew8981137100</v>
      </c>
      <c r="C5987" s="380" t="str">
        <f>IFERROR(__xludf.DUMMYFUNCTION("""COMPUTED_VALUE"""),"70001369")</f>
        <v>70001369</v>
      </c>
      <c r="D5987" s="380" t="s">
        <v>767</v>
      </c>
      <c r="E5987" s="380" t="s">
        <v>786</v>
      </c>
      <c r="F5987" s="380" t="s">
        <v>787</v>
      </c>
      <c r="G5987" s="380" t="s">
        <v>1267</v>
      </c>
      <c r="H5987" s="380" t="s">
        <v>771</v>
      </c>
      <c r="I5987" s="380" t="s">
        <v>788</v>
      </c>
      <c r="J5987" s="380" t="s">
        <v>773</v>
      </c>
      <c r="K5987" s="381">
        <v>0.0</v>
      </c>
      <c r="L5987" s="382">
        <v>1.0</v>
      </c>
    </row>
    <row r="5988">
      <c r="A5988" s="380" t="s">
        <v>6862</v>
      </c>
      <c r="B5988" s="380" t="str">
        <f>IFERROR(__xludf.DUMMYFUNCTION("""COMPUTED_VALUE"""),"Parabrisas Laminado FRR")</f>
        <v>Parabrisas Laminado FRR</v>
      </c>
      <c r="C5988" s="380" t="str">
        <f>IFERROR(__xludf.DUMMYFUNCTION("""COMPUTED_VALUE"""),"70001370")</f>
        <v>70001370</v>
      </c>
      <c r="D5988" s="380" t="s">
        <v>767</v>
      </c>
      <c r="E5988" s="380" t="s">
        <v>786</v>
      </c>
      <c r="F5988" s="380" t="s">
        <v>792</v>
      </c>
      <c r="G5988" s="380" t="s">
        <v>1267</v>
      </c>
      <c r="H5988" s="380" t="s">
        <v>771</v>
      </c>
      <c r="I5988" s="380" t="s">
        <v>788</v>
      </c>
      <c r="J5988" s="380" t="s">
        <v>773</v>
      </c>
      <c r="K5988" s="381">
        <v>0.0</v>
      </c>
      <c r="L5988" s="382">
        <v>1.0</v>
      </c>
    </row>
    <row r="5989">
      <c r="A5989" s="380" t="s">
        <v>6863</v>
      </c>
      <c r="B5989" s="380" t="str">
        <f>IFERROR(__xludf.DUMMYFUNCTION("""COMPUTED_VALUE"""),"Moldura Vidrio Parabrisas FRR")</f>
        <v>Moldura Vidrio Parabrisas FRR</v>
      </c>
      <c r="C5989" s="380" t="str">
        <f>IFERROR(__xludf.DUMMYFUNCTION("""COMPUTED_VALUE"""),"70001371")</f>
        <v>70001371</v>
      </c>
      <c r="D5989" s="380" t="s">
        <v>767</v>
      </c>
      <c r="E5989" s="380" t="s">
        <v>786</v>
      </c>
      <c r="F5989" s="380" t="s">
        <v>792</v>
      </c>
      <c r="G5989" s="380" t="s">
        <v>1267</v>
      </c>
      <c r="H5989" s="380" t="s">
        <v>771</v>
      </c>
      <c r="I5989" s="380" t="s">
        <v>788</v>
      </c>
      <c r="J5989" s="380" t="s">
        <v>773</v>
      </c>
      <c r="K5989" s="381">
        <v>0.0</v>
      </c>
      <c r="L5989" s="382">
        <v>1.0</v>
      </c>
    </row>
    <row r="5990">
      <c r="A5990" s="380" t="s">
        <v>6864</v>
      </c>
      <c r="B5990" s="380" t="str">
        <f>IFERROR(__xludf.DUMMYFUNCTION("""COMPUTED_VALUE"""),"Motor Arranque Hino 2810078113")</f>
        <v>Motor Arranque Hino 2810078113</v>
      </c>
      <c r="C5990" s="380" t="str">
        <f>IFERROR(__xludf.DUMMYFUNCTION("""COMPUTED_VALUE"""),"70001372")</f>
        <v>70001372</v>
      </c>
      <c r="D5990" s="380" t="s">
        <v>767</v>
      </c>
      <c r="E5990" s="380" t="s">
        <v>786</v>
      </c>
      <c r="F5990" s="380" t="s">
        <v>998</v>
      </c>
      <c r="G5990" s="380" t="s">
        <v>1267</v>
      </c>
      <c r="H5990" s="380" t="s">
        <v>771</v>
      </c>
      <c r="I5990" s="380" t="s">
        <v>788</v>
      </c>
      <c r="J5990" s="380" t="s">
        <v>773</v>
      </c>
      <c r="K5990" s="381">
        <v>0.0</v>
      </c>
      <c r="L5990" s="382">
        <v>1.0</v>
      </c>
    </row>
    <row r="5991">
      <c r="A5991" s="380" t="s">
        <v>6865</v>
      </c>
      <c r="B5991" s="380" t="str">
        <f>IFERROR(__xludf.DUMMYFUNCTION("""COMPUTED_VALUE"""),"Varilla Medid Aceite Nkr Rewar8981127771")</f>
        <v>Varilla Medid Aceite Nkr Rewar8981127771</v>
      </c>
      <c r="C5991" s="380" t="str">
        <f>IFERROR(__xludf.DUMMYFUNCTION("""COMPUTED_VALUE"""),"70001373")</f>
        <v>70001373</v>
      </c>
      <c r="D5991" s="380" t="s">
        <v>767</v>
      </c>
      <c r="E5991" s="380" t="s">
        <v>786</v>
      </c>
      <c r="F5991" s="380" t="s">
        <v>787</v>
      </c>
      <c r="G5991" s="380" t="s">
        <v>1267</v>
      </c>
      <c r="H5991" s="380" t="s">
        <v>771</v>
      </c>
      <c r="I5991" s="380" t="s">
        <v>788</v>
      </c>
      <c r="J5991" s="380" t="s">
        <v>773</v>
      </c>
      <c r="K5991" s="381">
        <v>0.0</v>
      </c>
      <c r="L5991" s="382">
        <v>1.0</v>
      </c>
    </row>
    <row r="5992">
      <c r="A5992" s="380" t="s">
        <v>6866</v>
      </c>
      <c r="B5992" s="380" t="str">
        <f>IFERROR(__xludf.DUMMYFUNCTION("""COMPUTED_VALUE"""),"Brazo Direccion Corto Npr 8971701601")</f>
        <v>Brazo Direccion Corto Npr 8971701601</v>
      </c>
      <c r="C5992" s="380" t="str">
        <f>IFERROR(__xludf.DUMMYFUNCTION("""COMPUTED_VALUE"""),"70001374")</f>
        <v>70001374</v>
      </c>
      <c r="D5992" s="380" t="s">
        <v>767</v>
      </c>
      <c r="E5992" s="380" t="s">
        <v>786</v>
      </c>
      <c r="F5992" s="380" t="s">
        <v>1020</v>
      </c>
      <c r="G5992" s="380" t="s">
        <v>1267</v>
      </c>
      <c r="H5992" s="380" t="s">
        <v>771</v>
      </c>
      <c r="I5992" s="380" t="s">
        <v>788</v>
      </c>
      <c r="J5992" s="380" t="s">
        <v>773</v>
      </c>
      <c r="K5992" s="381">
        <v>311334.0</v>
      </c>
      <c r="L5992" s="382">
        <v>1.0</v>
      </c>
    </row>
    <row r="5993">
      <c r="A5993" s="380" t="s">
        <v>6867</v>
      </c>
      <c r="B5993" s="380" t="str">
        <f>IFERROR(__xludf.DUMMYFUNCTION("""COMPUTED_VALUE"""),"Alternador Motor N200 24538278")</f>
        <v>Alternador Motor N200 24538278</v>
      </c>
      <c r="C5993" s="380" t="str">
        <f>IFERROR(__xludf.DUMMYFUNCTION("""COMPUTED_VALUE"""),"70001375")</f>
        <v>70001375</v>
      </c>
      <c r="D5993" s="380" t="s">
        <v>767</v>
      </c>
      <c r="E5993" s="380" t="s">
        <v>786</v>
      </c>
      <c r="F5993" s="380" t="s">
        <v>998</v>
      </c>
      <c r="G5993" s="380" t="s">
        <v>1267</v>
      </c>
      <c r="H5993" s="380" t="s">
        <v>771</v>
      </c>
      <c r="I5993" s="380" t="s">
        <v>788</v>
      </c>
      <c r="J5993" s="380" t="s">
        <v>773</v>
      </c>
      <c r="K5993" s="381">
        <v>0.0</v>
      </c>
      <c r="L5993" s="382">
        <v>1.0</v>
      </c>
    </row>
    <row r="5994">
      <c r="A5994" s="380" t="s">
        <v>6868</v>
      </c>
      <c r="B5994" s="380" t="str">
        <f>IFERROR(__xludf.DUMMYFUNCTION("""COMPUTED_VALUE"""),"Tornillo Tope De Direccion Isx 1665529C1")</f>
        <v>Tornillo Tope De Direccion Isx 1665529C1</v>
      </c>
      <c r="C5994" s="380" t="str">
        <f>IFERROR(__xludf.DUMMYFUNCTION("""COMPUTED_VALUE"""),"70001376")</f>
        <v>70001376</v>
      </c>
      <c r="D5994" s="380" t="s">
        <v>767</v>
      </c>
      <c r="E5994" s="380" t="s">
        <v>786</v>
      </c>
      <c r="F5994" s="380" t="s">
        <v>1020</v>
      </c>
      <c r="G5994" s="380" t="s">
        <v>1267</v>
      </c>
      <c r="H5994" s="380" t="s">
        <v>771</v>
      </c>
      <c r="I5994" s="380" t="s">
        <v>788</v>
      </c>
      <c r="J5994" s="380" t="s">
        <v>773</v>
      </c>
      <c r="K5994" s="381">
        <v>0.0</v>
      </c>
      <c r="L5994" s="382">
        <v>1.0</v>
      </c>
    </row>
    <row r="5995">
      <c r="A5995" s="380" t="s">
        <v>6869</v>
      </c>
      <c r="B5995" s="380" t="str">
        <f>IFERROR(__xludf.DUMMYFUNCTION("""COMPUTED_VALUE"""),"Tornillo Cacho Direccion Isx 1668561C1")</f>
        <v>Tornillo Cacho Direccion Isx 1668561C1</v>
      </c>
      <c r="C5995" s="380" t="str">
        <f>IFERROR(__xludf.DUMMYFUNCTION("""COMPUTED_VALUE"""),"70001377")</f>
        <v>70001377</v>
      </c>
      <c r="D5995" s="380" t="s">
        <v>767</v>
      </c>
      <c r="E5995" s="380" t="s">
        <v>786</v>
      </c>
      <c r="F5995" s="380" t="s">
        <v>1020</v>
      </c>
      <c r="G5995" s="380" t="s">
        <v>1267</v>
      </c>
      <c r="H5995" s="380" t="s">
        <v>771</v>
      </c>
      <c r="I5995" s="380" t="s">
        <v>788</v>
      </c>
      <c r="J5995" s="380" t="s">
        <v>773</v>
      </c>
      <c r="K5995" s="381">
        <v>0.0</v>
      </c>
      <c r="L5995" s="382">
        <v>1.0</v>
      </c>
    </row>
    <row r="5996">
      <c r="A5996" s="380" t="s">
        <v>6870</v>
      </c>
      <c r="B5996" s="380" t="str">
        <f>IFERROR(__xludf.DUMMYFUNCTION("""COMPUTED_VALUE"""),"Bomper Delantero FTR 8974099031")</f>
        <v>Bomper Delantero FTR 8974099031</v>
      </c>
      <c r="C5996" s="380" t="str">
        <f>IFERROR(__xludf.DUMMYFUNCTION("""COMPUTED_VALUE"""),"70001378")</f>
        <v>70001378</v>
      </c>
      <c r="D5996" s="380" t="s">
        <v>767</v>
      </c>
      <c r="E5996" s="380" t="s">
        <v>786</v>
      </c>
      <c r="F5996" s="380" t="s">
        <v>792</v>
      </c>
      <c r="G5996" s="380" t="s">
        <v>1267</v>
      </c>
      <c r="H5996" s="380" t="s">
        <v>771</v>
      </c>
      <c r="I5996" s="380" t="s">
        <v>788</v>
      </c>
      <c r="J5996" s="380" t="s">
        <v>773</v>
      </c>
      <c r="K5996" s="381">
        <v>0.0</v>
      </c>
      <c r="L5996" s="382">
        <v>1.0</v>
      </c>
    </row>
    <row r="5997">
      <c r="A5997" s="380" t="s">
        <v>6871</v>
      </c>
      <c r="B5997" s="380" t="str">
        <f>IFERROR(__xludf.DUMMYFUNCTION("""COMPUTED_VALUE"""),"Tubo Inf Enfriador Aceite Nkr 8980096763")</f>
        <v>Tubo Inf Enfriador Aceite Nkr 8980096763</v>
      </c>
      <c r="C5997" s="380" t="str">
        <f>IFERROR(__xludf.DUMMYFUNCTION("""COMPUTED_VALUE"""),"70001379")</f>
        <v>70001379</v>
      </c>
      <c r="D5997" s="380" t="s">
        <v>767</v>
      </c>
      <c r="E5997" s="380" t="s">
        <v>786</v>
      </c>
      <c r="F5997" s="380" t="s">
        <v>787</v>
      </c>
      <c r="G5997" s="380" t="s">
        <v>1267</v>
      </c>
      <c r="H5997" s="380" t="s">
        <v>771</v>
      </c>
      <c r="I5997" s="380" t="s">
        <v>788</v>
      </c>
      <c r="J5997" s="380" t="s">
        <v>773</v>
      </c>
      <c r="K5997" s="381">
        <v>0.0</v>
      </c>
      <c r="L5997" s="382">
        <v>1.0</v>
      </c>
    </row>
    <row r="5998">
      <c r="A5998" s="380" t="s">
        <v>6872</v>
      </c>
      <c r="B5998" s="380" t="str">
        <f>IFERROR(__xludf.DUMMYFUNCTION("""COMPUTED_VALUE"""),"Racor Valvula Tanque Aire Eagle3826346C1")</f>
        <v>Racor Valvula Tanque Aire Eagle3826346C1</v>
      </c>
      <c r="C5998" s="380" t="str">
        <f>IFERROR(__xludf.DUMMYFUNCTION("""COMPUTED_VALUE"""),"70001380")</f>
        <v>70001380</v>
      </c>
      <c r="D5998" s="380" t="s">
        <v>767</v>
      </c>
      <c r="E5998" s="380" t="s">
        <v>786</v>
      </c>
      <c r="F5998" s="380" t="s">
        <v>787</v>
      </c>
      <c r="G5998" s="380" t="s">
        <v>1267</v>
      </c>
      <c r="H5998" s="380" t="s">
        <v>771</v>
      </c>
      <c r="I5998" s="380" t="s">
        <v>788</v>
      </c>
      <c r="J5998" s="380" t="s">
        <v>773</v>
      </c>
      <c r="K5998" s="381">
        <v>0.0</v>
      </c>
      <c r="L5998" s="382">
        <v>1.0</v>
      </c>
    </row>
    <row r="5999">
      <c r="A5999" s="380" t="s">
        <v>6873</v>
      </c>
      <c r="B5999" s="380" t="str">
        <f>IFERROR(__xludf.DUMMYFUNCTION("""COMPUTED_VALUE"""),"Micro Switch 1 Contac SW7102l SMW512 Gps")</f>
        <v>Micro Switch 1 Contac SW7102l SMW512 Gps</v>
      </c>
      <c r="C5999" s="380" t="str">
        <f>IFERROR(__xludf.DUMMYFUNCTION("""COMPUTED_VALUE"""),"70001382")</f>
        <v>70001382</v>
      </c>
      <c r="D5999" s="380" t="s">
        <v>767</v>
      </c>
      <c r="E5999" s="380" t="s">
        <v>786</v>
      </c>
      <c r="F5999" s="380" t="s">
        <v>998</v>
      </c>
      <c r="G5999" s="380" t="s">
        <v>1267</v>
      </c>
      <c r="H5999" s="380" t="s">
        <v>771</v>
      </c>
      <c r="I5999" s="380" t="s">
        <v>788</v>
      </c>
      <c r="J5999" s="380" t="s">
        <v>773</v>
      </c>
      <c r="K5999" s="381">
        <v>0.0</v>
      </c>
      <c r="L5999" s="382">
        <v>1.0</v>
      </c>
    </row>
    <row r="6000">
      <c r="A6000" s="380" t="s">
        <v>6874</v>
      </c>
      <c r="B6000" s="380" t="str">
        <f>IFERROR(__xludf.DUMMYFUNCTION("""COMPUTED_VALUE"""),"Bocin Rueda Delantera N200 23866120")</f>
        <v>Bocin Rueda Delantera N200 23866120</v>
      </c>
      <c r="C6000" s="380" t="str">
        <f>IFERROR(__xludf.DUMMYFUNCTION("""COMPUTED_VALUE"""),"70001383")</f>
        <v>70001383</v>
      </c>
      <c r="D6000" s="380" t="s">
        <v>767</v>
      </c>
      <c r="E6000" s="380" t="s">
        <v>786</v>
      </c>
      <c r="F6000" s="380" t="s">
        <v>1017</v>
      </c>
      <c r="G6000" s="380" t="s">
        <v>1267</v>
      </c>
      <c r="H6000" s="380" t="s">
        <v>771</v>
      </c>
      <c r="I6000" s="380" t="s">
        <v>788</v>
      </c>
      <c r="J6000" s="380" t="s">
        <v>773</v>
      </c>
      <c r="K6000" s="381">
        <v>0.0</v>
      </c>
      <c r="L6000" s="382">
        <v>1.0</v>
      </c>
    </row>
    <row r="6001">
      <c r="A6001" s="380" t="s">
        <v>6875</v>
      </c>
      <c r="B6001" s="380" t="str">
        <f>IFERROR(__xludf.DUMMYFUNCTION("""COMPUTED_VALUE"""),"Sincronismo 2daY3ra Nkr Reward8982582790")</f>
        <v>Sincronismo 2daY3ra Nkr Reward8982582790</v>
      </c>
      <c r="C6001" s="380" t="str">
        <f>IFERROR(__xludf.DUMMYFUNCTION("""COMPUTED_VALUE"""),"70001384")</f>
        <v>70001384</v>
      </c>
      <c r="D6001" s="380" t="s">
        <v>767</v>
      </c>
      <c r="E6001" s="380" t="s">
        <v>786</v>
      </c>
      <c r="F6001" s="380" t="s">
        <v>928</v>
      </c>
      <c r="G6001" s="380" t="s">
        <v>1267</v>
      </c>
      <c r="H6001" s="380" t="s">
        <v>771</v>
      </c>
      <c r="I6001" s="380" t="s">
        <v>788</v>
      </c>
      <c r="J6001" s="380" t="s">
        <v>773</v>
      </c>
      <c r="K6001" s="381">
        <v>0.0</v>
      </c>
      <c r="L6001" s="382">
        <v>1.0</v>
      </c>
    </row>
    <row r="6002">
      <c r="A6002" s="380" t="s">
        <v>6876</v>
      </c>
      <c r="B6002" s="380" t="str">
        <f>IFERROR(__xludf.DUMMYFUNCTION("""COMPUTED_VALUE"""),"Automatico Motor Arranque 42MT 1115593")</f>
        <v>Automatico Motor Arranque 42MT 1115593</v>
      </c>
      <c r="C6002" s="380" t="str">
        <f>IFERROR(__xludf.DUMMYFUNCTION("""COMPUTED_VALUE"""),"70001385")</f>
        <v>70001385</v>
      </c>
      <c r="D6002" s="380" t="s">
        <v>767</v>
      </c>
      <c r="E6002" s="380" t="s">
        <v>786</v>
      </c>
      <c r="F6002" s="380" t="s">
        <v>998</v>
      </c>
      <c r="G6002" s="380" t="s">
        <v>1267</v>
      </c>
      <c r="H6002" s="380" t="s">
        <v>771</v>
      </c>
      <c r="I6002" s="380" t="s">
        <v>788</v>
      </c>
      <c r="J6002" s="380" t="s">
        <v>773</v>
      </c>
      <c r="K6002" s="381">
        <v>0.0</v>
      </c>
      <c r="L6002" s="382">
        <v>1.0</v>
      </c>
    </row>
    <row r="6003">
      <c r="A6003" s="380" t="s">
        <v>6877</v>
      </c>
      <c r="B6003" s="380" t="str">
        <f>IFERROR(__xludf.DUMMYFUNCTION("""COMPUTED_VALUE"""),"Microswi Freno Motor 2-Cables Hi 1622366")</f>
        <v>Microswi Freno Motor 2-Cables Hi 1622366</v>
      </c>
      <c r="C6003" s="380" t="str">
        <f>IFERROR(__xludf.DUMMYFUNCTION("""COMPUTED_VALUE"""),"70001386")</f>
        <v>70001386</v>
      </c>
      <c r="D6003" s="380" t="s">
        <v>767</v>
      </c>
      <c r="E6003" s="380" t="s">
        <v>786</v>
      </c>
      <c r="F6003" s="380" t="s">
        <v>998</v>
      </c>
      <c r="G6003" s="380" t="s">
        <v>1267</v>
      </c>
      <c r="H6003" s="380" t="s">
        <v>771</v>
      </c>
      <c r="I6003" s="380" t="s">
        <v>788</v>
      </c>
      <c r="J6003" s="380" t="s">
        <v>773</v>
      </c>
      <c r="K6003" s="381">
        <v>416500.0</v>
      </c>
      <c r="L6003" s="382">
        <v>1.0</v>
      </c>
    </row>
    <row r="6004">
      <c r="A6004" s="380" t="s">
        <v>6878</v>
      </c>
      <c r="B6004" s="380" t="str">
        <f>IFERROR(__xludf.DUMMYFUNCTION("""COMPUTED_VALUE"""),"Guaya Control Cambios Hino 33820-37m7")</f>
        <v>Guaya Control Cambios Hino 33820-37m7</v>
      </c>
      <c r="C6004" s="380" t="str">
        <f>IFERROR(__xludf.DUMMYFUNCTION("""COMPUTED_VALUE"""),"70001387")</f>
        <v>70001387</v>
      </c>
      <c r="D6004" s="380" t="s">
        <v>767</v>
      </c>
      <c r="E6004" s="380" t="s">
        <v>786</v>
      </c>
      <c r="F6004" s="380" t="s">
        <v>5661</v>
      </c>
      <c r="G6004" s="380" t="s">
        <v>1267</v>
      </c>
      <c r="H6004" s="380" t="s">
        <v>771</v>
      </c>
      <c r="I6004" s="380" t="s">
        <v>788</v>
      </c>
      <c r="J6004" s="380" t="s">
        <v>773</v>
      </c>
      <c r="K6004" s="381">
        <v>1840663.0</v>
      </c>
      <c r="L6004" s="382">
        <v>1.0</v>
      </c>
    </row>
    <row r="6005">
      <c r="A6005" s="380" t="s">
        <v>6879</v>
      </c>
      <c r="B6005" s="380" t="str">
        <f>IFERROR(__xludf.DUMMYFUNCTION("""COMPUTED_VALUE"""),"Jgo Cilindros Pta Encend Nkr 8970956852")</f>
        <v>Jgo Cilindros Pta Encend Nkr 8970956852</v>
      </c>
      <c r="C6005" s="380" t="str">
        <f>IFERROR(__xludf.DUMMYFUNCTION("""COMPUTED_VALUE"""),"70001388")</f>
        <v>70001388</v>
      </c>
      <c r="D6005" s="380" t="s">
        <v>767</v>
      </c>
      <c r="E6005" s="380" t="s">
        <v>786</v>
      </c>
      <c r="F6005" s="380" t="s">
        <v>792</v>
      </c>
      <c r="G6005" s="380" t="s">
        <v>1267</v>
      </c>
      <c r="H6005" s="380" t="s">
        <v>771</v>
      </c>
      <c r="I6005" s="380" t="s">
        <v>788</v>
      </c>
      <c r="J6005" s="380" t="s">
        <v>773</v>
      </c>
      <c r="K6005" s="381">
        <v>84999.0</v>
      </c>
      <c r="L6005" s="382">
        <v>1.0</v>
      </c>
    </row>
    <row r="6006">
      <c r="A6006" s="380" t="s">
        <v>6880</v>
      </c>
      <c r="B6006" s="380" t="str">
        <f>IFERROR(__xludf.DUMMYFUNCTION("""COMPUTED_VALUE"""),"Parabrisas Laminado Nhr-Rewar")</f>
        <v>Parabrisas Laminado Nhr-Rewar</v>
      </c>
      <c r="C6006" s="380" t="str">
        <f>IFERROR(__xludf.DUMMYFUNCTION("""COMPUTED_VALUE"""),"70001389")</f>
        <v>70001389</v>
      </c>
      <c r="D6006" s="380" t="s">
        <v>767</v>
      </c>
      <c r="E6006" s="380" t="s">
        <v>786</v>
      </c>
      <c r="F6006" s="380" t="s">
        <v>792</v>
      </c>
      <c r="G6006" s="380" t="s">
        <v>1267</v>
      </c>
      <c r="H6006" s="380" t="s">
        <v>771</v>
      </c>
      <c r="I6006" s="380" t="s">
        <v>788</v>
      </c>
      <c r="J6006" s="380" t="s">
        <v>773</v>
      </c>
      <c r="K6006" s="381">
        <v>0.0</v>
      </c>
      <c r="L6006" s="382">
        <v>1.0</v>
      </c>
    </row>
    <row r="6007">
      <c r="A6007" s="380" t="s">
        <v>6881</v>
      </c>
      <c r="B6007" s="380" t="str">
        <f>IFERROR(__xludf.DUMMYFUNCTION("""COMPUTED_VALUE"""),"Filtro Hco Kemworth 9424-LF634")</f>
        <v>Filtro Hco Kemworth 9424-LF634</v>
      </c>
      <c r="C6007" s="380" t="str">
        <f>IFERROR(__xludf.DUMMYFUNCTION("""COMPUTED_VALUE"""),"70001390")</f>
        <v>70001390</v>
      </c>
      <c r="D6007" s="380" t="s">
        <v>767</v>
      </c>
      <c r="E6007" s="380" t="s">
        <v>786</v>
      </c>
      <c r="F6007" s="380" t="s">
        <v>5855</v>
      </c>
      <c r="G6007" s="380" t="s">
        <v>1267</v>
      </c>
      <c r="H6007" s="380" t="s">
        <v>771</v>
      </c>
      <c r="I6007" s="380" t="s">
        <v>788</v>
      </c>
      <c r="J6007" s="380" t="s">
        <v>773</v>
      </c>
      <c r="K6007" s="381">
        <v>0.0</v>
      </c>
      <c r="L6007" s="382">
        <v>1.0</v>
      </c>
    </row>
    <row r="6008">
      <c r="A6008" s="380" t="s">
        <v>6882</v>
      </c>
      <c r="B6008" s="380" t="str">
        <f>IFERROR(__xludf.DUMMYFUNCTION("""COMPUTED_VALUE"""),"Lampara Direcc Lateral Izq N200 23887173")</f>
        <v>Lampara Direcc Lateral Izq N200 23887173</v>
      </c>
      <c r="C6008" s="380" t="str">
        <f>IFERROR(__xludf.DUMMYFUNCTION("""COMPUTED_VALUE"""),"70001391")</f>
        <v>70001391</v>
      </c>
      <c r="D6008" s="380" t="s">
        <v>767</v>
      </c>
      <c r="E6008" s="380" t="s">
        <v>786</v>
      </c>
      <c r="F6008" s="380" t="s">
        <v>998</v>
      </c>
      <c r="G6008" s="380" t="s">
        <v>1267</v>
      </c>
      <c r="H6008" s="380" t="s">
        <v>771</v>
      </c>
      <c r="I6008" s="380" t="s">
        <v>788</v>
      </c>
      <c r="J6008" s="380" t="s">
        <v>773</v>
      </c>
      <c r="K6008" s="381">
        <v>0.0</v>
      </c>
      <c r="L6008" s="382">
        <v>1.0</v>
      </c>
    </row>
    <row r="6009">
      <c r="A6009" s="380" t="s">
        <v>6883</v>
      </c>
      <c r="B6009" s="380" t="str">
        <f>IFERROR(__xludf.DUMMYFUNCTION("""COMPUTED_VALUE"""),"Lampara Direcc Lateral Der N200 23887174")</f>
        <v>Lampara Direcc Lateral Der N200 23887174</v>
      </c>
      <c r="C6009" s="380" t="str">
        <f>IFERROR(__xludf.DUMMYFUNCTION("""COMPUTED_VALUE"""),"70001392")</f>
        <v>70001392</v>
      </c>
      <c r="D6009" s="380" t="s">
        <v>767</v>
      </c>
      <c r="E6009" s="380" t="s">
        <v>786</v>
      </c>
      <c r="F6009" s="380" t="s">
        <v>998</v>
      </c>
      <c r="G6009" s="380" t="s">
        <v>1267</v>
      </c>
      <c r="H6009" s="380" t="s">
        <v>771</v>
      </c>
      <c r="I6009" s="380" t="s">
        <v>788</v>
      </c>
      <c r="J6009" s="380" t="s">
        <v>773</v>
      </c>
      <c r="K6009" s="381">
        <v>0.0</v>
      </c>
      <c r="L6009" s="382">
        <v>1.0</v>
      </c>
    </row>
    <row r="6010">
      <c r="A6010" s="380" t="s">
        <v>6884</v>
      </c>
      <c r="B6010" s="380" t="str">
        <f>IFERROR(__xludf.DUMMYFUNCTION("""COMPUTED_VALUE"""),"Bomba Freno 3624400C91 Isx 800629")</f>
        <v>Bomba Freno 3624400C91 Isx 800629</v>
      </c>
      <c r="C6010" s="380" t="str">
        <f>IFERROR(__xludf.DUMMYFUNCTION("""COMPUTED_VALUE"""),"70001393")</f>
        <v>70001393</v>
      </c>
      <c r="D6010" s="380" t="s">
        <v>767</v>
      </c>
      <c r="E6010" s="380" t="s">
        <v>786</v>
      </c>
      <c r="F6010" s="380" t="s">
        <v>1017</v>
      </c>
      <c r="G6010" s="380" t="s">
        <v>1267</v>
      </c>
      <c r="H6010" s="380" t="s">
        <v>771</v>
      </c>
      <c r="I6010" s="380" t="s">
        <v>788</v>
      </c>
      <c r="J6010" s="380" t="s">
        <v>773</v>
      </c>
      <c r="K6010" s="381">
        <v>0.0</v>
      </c>
      <c r="L6010" s="382">
        <v>1.0</v>
      </c>
    </row>
    <row r="6011">
      <c r="A6011" s="380" t="s">
        <v>6885</v>
      </c>
      <c r="B6011" s="380" t="str">
        <f>IFERROR(__xludf.DUMMYFUNCTION("""COMPUTED_VALUE"""),"Horqui Cambio 1raY2da Cja Nkr 8970113651")</f>
        <v>Horqui Cambio 1raY2da Cja Nkr 8970113651</v>
      </c>
      <c r="C6011" s="380" t="str">
        <f>IFERROR(__xludf.DUMMYFUNCTION("""COMPUTED_VALUE"""),"70001394")</f>
        <v>70001394</v>
      </c>
      <c r="D6011" s="380" t="s">
        <v>767</v>
      </c>
      <c r="E6011" s="380" t="s">
        <v>786</v>
      </c>
      <c r="F6011" s="380" t="s">
        <v>5661</v>
      </c>
      <c r="G6011" s="380" t="s">
        <v>1267</v>
      </c>
      <c r="H6011" s="380" t="s">
        <v>771</v>
      </c>
      <c r="I6011" s="380" t="s">
        <v>788</v>
      </c>
      <c r="J6011" s="380" t="s">
        <v>773</v>
      </c>
      <c r="K6011" s="381">
        <v>0.0</v>
      </c>
      <c r="L6011" s="382">
        <v>1.0</v>
      </c>
    </row>
    <row r="6012">
      <c r="A6012" s="380" t="s">
        <v>6886</v>
      </c>
      <c r="B6012" s="380" t="str">
        <f>IFERROR(__xludf.DUMMYFUNCTION("""COMPUTED_VALUE"""),"Swtich Freno Mtor Isx2007306C1")</f>
        <v>Swtich Freno Mtor Isx2007306C1</v>
      </c>
      <c r="C6012" s="380" t="str">
        <f>IFERROR(__xludf.DUMMYFUNCTION("""COMPUTED_VALUE"""),"70001395")</f>
        <v>70001395</v>
      </c>
      <c r="D6012" s="380" t="s">
        <v>767</v>
      </c>
      <c r="E6012" s="380" t="s">
        <v>786</v>
      </c>
      <c r="F6012" s="380" t="s">
        <v>787</v>
      </c>
      <c r="G6012" s="380" t="s">
        <v>1267</v>
      </c>
      <c r="H6012" s="380" t="s">
        <v>771</v>
      </c>
      <c r="I6012" s="380" t="s">
        <v>788</v>
      </c>
      <c r="J6012" s="380" t="s">
        <v>773</v>
      </c>
      <c r="K6012" s="381">
        <v>0.0</v>
      </c>
      <c r="L6012" s="382">
        <v>1.0</v>
      </c>
    </row>
    <row r="6013">
      <c r="A6013" s="380" t="s">
        <v>6887</v>
      </c>
      <c r="B6013" s="380" t="str">
        <f>IFERROR(__xludf.DUMMYFUNCTION("""COMPUTED_VALUE"""),"Reten Difer Rockwell Eagle 1205A2731")</f>
        <v>Reten Difer Rockwell Eagle 1205A2731</v>
      </c>
      <c r="C6013" s="380" t="str">
        <f>IFERROR(__xludf.DUMMYFUNCTION("""COMPUTED_VALUE"""),"70001396")</f>
        <v>70001396</v>
      </c>
      <c r="D6013" s="380" t="s">
        <v>767</v>
      </c>
      <c r="E6013" s="380" t="s">
        <v>786</v>
      </c>
      <c r="F6013" s="380" t="s">
        <v>5683</v>
      </c>
      <c r="G6013" s="380" t="s">
        <v>1267</v>
      </c>
      <c r="H6013" s="380" t="s">
        <v>771</v>
      </c>
      <c r="I6013" s="380" t="s">
        <v>788</v>
      </c>
      <c r="J6013" s="380" t="s">
        <v>773</v>
      </c>
      <c r="K6013" s="381">
        <v>0.0</v>
      </c>
      <c r="L6013" s="382">
        <v>1.0</v>
      </c>
    </row>
    <row r="6014">
      <c r="A6014" s="380" t="s">
        <v>6888</v>
      </c>
      <c r="B6014" s="380" t="str">
        <f>IFERROR(__xludf.DUMMYFUNCTION("""COMPUTED_VALUE"""),"Palanca Freno Emerg Nkr Nhr 8974275430")</f>
        <v>Palanca Freno Emerg Nkr Nhr 8974275430</v>
      </c>
      <c r="C6014" s="380" t="str">
        <f>IFERROR(__xludf.DUMMYFUNCTION("""COMPUTED_VALUE"""),"70001397")</f>
        <v>70001397</v>
      </c>
      <c r="D6014" s="380" t="s">
        <v>767</v>
      </c>
      <c r="E6014" s="380" t="s">
        <v>786</v>
      </c>
      <c r="F6014" s="380" t="s">
        <v>1017</v>
      </c>
      <c r="G6014" s="380" t="s">
        <v>1267</v>
      </c>
      <c r="H6014" s="380" t="s">
        <v>771</v>
      </c>
      <c r="I6014" s="380" t="s">
        <v>788</v>
      </c>
      <c r="J6014" s="380" t="s">
        <v>773</v>
      </c>
      <c r="K6014" s="381">
        <v>0.0</v>
      </c>
      <c r="L6014" s="382">
        <v>1.0</v>
      </c>
    </row>
    <row r="6015">
      <c r="A6015" s="380" t="s">
        <v>6889</v>
      </c>
      <c r="B6015" s="380" t="str">
        <f>IFERROR(__xludf.DUMMYFUNCTION("""COMPUTED_VALUE"""),"Perilla Palanca Cambios N200 5496508")</f>
        <v>Perilla Palanca Cambios N200 5496508</v>
      </c>
      <c r="C6015" s="380" t="str">
        <f>IFERROR(__xludf.DUMMYFUNCTION("""COMPUTED_VALUE"""),"70001398")</f>
        <v>70001398</v>
      </c>
      <c r="D6015" s="380" t="s">
        <v>767</v>
      </c>
      <c r="E6015" s="380" t="s">
        <v>786</v>
      </c>
      <c r="F6015" s="380" t="s">
        <v>928</v>
      </c>
      <c r="G6015" s="380" t="s">
        <v>1267</v>
      </c>
      <c r="H6015" s="380" t="s">
        <v>771</v>
      </c>
      <c r="I6015" s="380" t="s">
        <v>788</v>
      </c>
      <c r="J6015" s="380" t="s">
        <v>773</v>
      </c>
      <c r="K6015" s="381">
        <v>0.0</v>
      </c>
      <c r="L6015" s="382">
        <v>1.0</v>
      </c>
    </row>
    <row r="6016">
      <c r="A6016" s="380" t="s">
        <v>6890</v>
      </c>
      <c r="B6016" s="380" t="str">
        <f>IFERROR(__xludf.DUMMYFUNCTION("""COMPUTED_VALUE"""),"Tuerca Eje Tras Eagle 9400 2591985C91")</f>
        <v>Tuerca Eje Tras Eagle 9400 2591985C91</v>
      </c>
      <c r="C6016" s="380" t="str">
        <f>IFERROR(__xludf.DUMMYFUNCTION("""COMPUTED_VALUE"""),"70001399")</f>
        <v>70001399</v>
      </c>
      <c r="D6016" s="380" t="s">
        <v>767</v>
      </c>
      <c r="E6016" s="380" t="s">
        <v>786</v>
      </c>
      <c r="F6016" s="380" t="s">
        <v>1039</v>
      </c>
      <c r="G6016" s="380" t="s">
        <v>1267</v>
      </c>
      <c r="H6016" s="380" t="s">
        <v>771</v>
      </c>
      <c r="I6016" s="380" t="s">
        <v>788</v>
      </c>
      <c r="J6016" s="380" t="s">
        <v>773</v>
      </c>
      <c r="K6016" s="381">
        <v>0.0</v>
      </c>
      <c r="L6016" s="382">
        <v>1.0</v>
      </c>
    </row>
    <row r="6017">
      <c r="A6017" s="380" t="s">
        <v>6891</v>
      </c>
      <c r="B6017" s="380" t="str">
        <f>IFERROR(__xludf.DUMMYFUNCTION("""COMPUTED_VALUE"""),"Overhaul Motor Isx 4089405")</f>
        <v>Overhaul Motor Isx 4089405</v>
      </c>
      <c r="C6017" s="380" t="str">
        <f>IFERROR(__xludf.DUMMYFUNCTION("""COMPUTED_VALUE"""),"70001400")</f>
        <v>70001400</v>
      </c>
      <c r="D6017" s="380" t="s">
        <v>767</v>
      </c>
      <c r="E6017" s="380" t="s">
        <v>786</v>
      </c>
      <c r="F6017" s="380" t="s">
        <v>787</v>
      </c>
      <c r="G6017" s="380" t="s">
        <v>1267</v>
      </c>
      <c r="H6017" s="380" t="s">
        <v>771</v>
      </c>
      <c r="I6017" s="380" t="s">
        <v>788</v>
      </c>
      <c r="J6017" s="380" t="s">
        <v>773</v>
      </c>
      <c r="K6017" s="381">
        <v>0.0</v>
      </c>
      <c r="L6017" s="382">
        <v>1.0</v>
      </c>
    </row>
    <row r="6018">
      <c r="A6018" s="380" t="s">
        <v>6892</v>
      </c>
      <c r="B6018" s="380" t="str">
        <f>IFERROR(__xludf.DUMMYFUNCTION("""COMPUTED_VALUE"""),"Esparrago Eje Rueda Tras Eagle 588760C1")</f>
        <v>Esparrago Eje Rueda Tras Eagle 588760C1</v>
      </c>
      <c r="C6018" s="380" t="str">
        <f>IFERROR(__xludf.DUMMYFUNCTION("""COMPUTED_VALUE"""),"70001401")</f>
        <v>70001401</v>
      </c>
      <c r="D6018" s="380" t="s">
        <v>767</v>
      </c>
      <c r="E6018" s="380" t="s">
        <v>786</v>
      </c>
      <c r="F6018" s="380" t="s">
        <v>1039</v>
      </c>
      <c r="G6018" s="380" t="s">
        <v>1267</v>
      </c>
      <c r="H6018" s="380" t="s">
        <v>771</v>
      </c>
      <c r="I6018" s="380" t="s">
        <v>788</v>
      </c>
      <c r="J6018" s="380" t="s">
        <v>773</v>
      </c>
      <c r="K6018" s="381">
        <v>0.0</v>
      </c>
      <c r="L6018" s="382">
        <v>1.0</v>
      </c>
    </row>
    <row r="6019">
      <c r="A6019" s="380" t="s">
        <v>6893</v>
      </c>
      <c r="B6019" s="380" t="str">
        <f>IFERROR(__xludf.DUMMYFUNCTION("""COMPUTED_VALUE"""),"Empaque Multiple Escape Hino S171041880")</f>
        <v>Empaque Multiple Escape Hino S171041880</v>
      </c>
      <c r="C6019" s="380" t="str">
        <f>IFERROR(__xludf.DUMMYFUNCTION("""COMPUTED_VALUE"""),"70001402")</f>
        <v>70001402</v>
      </c>
      <c r="D6019" s="380" t="s">
        <v>767</v>
      </c>
      <c r="E6019" s="380" t="s">
        <v>786</v>
      </c>
      <c r="F6019" s="380" t="s">
        <v>787</v>
      </c>
      <c r="G6019" s="380" t="s">
        <v>1267</v>
      </c>
      <c r="H6019" s="380" t="s">
        <v>771</v>
      </c>
      <c r="I6019" s="380" t="s">
        <v>788</v>
      </c>
      <c r="J6019" s="380" t="s">
        <v>773</v>
      </c>
      <c r="K6019" s="381">
        <v>0.0</v>
      </c>
      <c r="L6019" s="382">
        <v>1.0</v>
      </c>
    </row>
    <row r="6020">
      <c r="A6020" s="380" t="s">
        <v>6894</v>
      </c>
      <c r="B6020" s="380" t="str">
        <f>IFERROR(__xludf.DUMMYFUNCTION("""COMPUTED_VALUE"""),"Eje Levas Inyector Motor Isx 4101476")</f>
        <v>Eje Levas Inyector Motor Isx 4101476</v>
      </c>
      <c r="C6020" s="380" t="str">
        <f>IFERROR(__xludf.DUMMYFUNCTION("""COMPUTED_VALUE"""),"70001403")</f>
        <v>70001403</v>
      </c>
      <c r="D6020" s="380" t="s">
        <v>767</v>
      </c>
      <c r="E6020" s="380" t="s">
        <v>786</v>
      </c>
      <c r="F6020" s="380" t="s">
        <v>787</v>
      </c>
      <c r="G6020" s="380" t="s">
        <v>1267</v>
      </c>
      <c r="H6020" s="380" t="s">
        <v>771</v>
      </c>
      <c r="I6020" s="380" t="s">
        <v>788</v>
      </c>
      <c r="J6020" s="380" t="s">
        <v>773</v>
      </c>
      <c r="K6020" s="381">
        <v>0.0</v>
      </c>
      <c r="L6020" s="382">
        <v>1.0</v>
      </c>
    </row>
    <row r="6021">
      <c r="A6021" s="380" t="s">
        <v>6895</v>
      </c>
      <c r="B6021" s="380" t="str">
        <f>IFERROR(__xludf.DUMMYFUNCTION("""COMPUTED_VALUE"""),"Filtro Aire Motor Hino M2015 AG961231R")</f>
        <v>Filtro Aire Motor Hino M2015 AG961231R</v>
      </c>
      <c r="C6021" s="380" t="str">
        <f>IFERROR(__xludf.DUMMYFUNCTION("""COMPUTED_VALUE"""),"70001404")</f>
        <v>70001404</v>
      </c>
      <c r="D6021" s="380" t="s">
        <v>767</v>
      </c>
      <c r="E6021" s="380" t="s">
        <v>786</v>
      </c>
      <c r="F6021" s="380" t="s">
        <v>5855</v>
      </c>
      <c r="G6021" s="380" t="s">
        <v>1267</v>
      </c>
      <c r="H6021" s="380" t="s">
        <v>771</v>
      </c>
      <c r="I6021" s="380" t="s">
        <v>788</v>
      </c>
      <c r="J6021" s="380" t="s">
        <v>773</v>
      </c>
      <c r="K6021" s="381">
        <v>98185.0</v>
      </c>
      <c r="L6021" s="382">
        <v>1.0</v>
      </c>
    </row>
    <row r="6022">
      <c r="A6022" s="380" t="s">
        <v>6896</v>
      </c>
      <c r="B6022" s="380" t="str">
        <f>IFERROR(__xludf.DUMMYFUNCTION("""COMPUTED_VALUE"""),"Balancin Inyector Motor Isx 4311990")</f>
        <v>Balancin Inyector Motor Isx 4311990</v>
      </c>
      <c r="C6022" s="380" t="str">
        <f>IFERROR(__xludf.DUMMYFUNCTION("""COMPUTED_VALUE"""),"70001405")</f>
        <v>70001405</v>
      </c>
      <c r="D6022" s="380" t="s">
        <v>767</v>
      </c>
      <c r="E6022" s="380" t="s">
        <v>786</v>
      </c>
      <c r="F6022" s="380" t="s">
        <v>787</v>
      </c>
      <c r="G6022" s="380" t="s">
        <v>1267</v>
      </c>
      <c r="H6022" s="380" t="s">
        <v>771</v>
      </c>
      <c r="I6022" s="380" t="s">
        <v>788</v>
      </c>
      <c r="J6022" s="380" t="s">
        <v>773</v>
      </c>
      <c r="K6022" s="381">
        <v>0.0</v>
      </c>
      <c r="L6022" s="382">
        <v>1.0</v>
      </c>
    </row>
    <row r="6023">
      <c r="A6023" s="380" t="s">
        <v>6897</v>
      </c>
      <c r="B6023" s="380" t="str">
        <f>IFERROR(__xludf.DUMMYFUNCTION("""COMPUTED_VALUE"""),"Manguera Calefactor Nkr 8972390840")</f>
        <v>Manguera Calefactor Nkr 8972390840</v>
      </c>
      <c r="C6023" s="380" t="str">
        <f>IFERROR(__xludf.DUMMYFUNCTION("""COMPUTED_VALUE"""),"70001406")</f>
        <v>70001406</v>
      </c>
      <c r="D6023" s="380" t="s">
        <v>767</v>
      </c>
      <c r="E6023" s="380" t="s">
        <v>786</v>
      </c>
      <c r="F6023" s="380" t="s">
        <v>787</v>
      </c>
      <c r="G6023" s="380" t="s">
        <v>1267</v>
      </c>
      <c r="H6023" s="380" t="s">
        <v>771</v>
      </c>
      <c r="I6023" s="380" t="s">
        <v>788</v>
      </c>
      <c r="J6023" s="380" t="s">
        <v>773</v>
      </c>
      <c r="K6023" s="381">
        <v>0.0</v>
      </c>
      <c r="L6023" s="382">
        <v>1.0</v>
      </c>
    </row>
    <row r="6024">
      <c r="A6024" s="380" t="s">
        <v>6898</v>
      </c>
      <c r="B6024" s="380" t="str">
        <f>IFERROR(__xludf.DUMMYFUNCTION("""COMPUTED_VALUE"""),"Multiple Escape Npr 8943662470")</f>
        <v>Multiple Escape Npr 8943662470</v>
      </c>
      <c r="C6024" s="380" t="str">
        <f>IFERROR(__xludf.DUMMYFUNCTION("""COMPUTED_VALUE"""),"70001407")</f>
        <v>70001407</v>
      </c>
      <c r="D6024" s="380" t="s">
        <v>767</v>
      </c>
      <c r="E6024" s="380" t="s">
        <v>786</v>
      </c>
      <c r="F6024" s="380" t="s">
        <v>787</v>
      </c>
      <c r="G6024" s="380" t="s">
        <v>1267</v>
      </c>
      <c r="H6024" s="380" t="s">
        <v>771</v>
      </c>
      <c r="I6024" s="380" t="s">
        <v>788</v>
      </c>
      <c r="J6024" s="380" t="s">
        <v>773</v>
      </c>
      <c r="K6024" s="381">
        <v>0.0</v>
      </c>
      <c r="L6024" s="382">
        <v>1.0</v>
      </c>
    </row>
    <row r="6025">
      <c r="A6025" s="380" t="s">
        <v>6899</v>
      </c>
      <c r="B6025" s="380" t="str">
        <f>IFERROR(__xludf.DUMMYFUNCTION("""COMPUTED_VALUE"""),"Base Caja Bateria Isx 1666473c6")</f>
        <v>Base Caja Bateria Isx 1666473c6</v>
      </c>
      <c r="C6025" s="380" t="str">
        <f>IFERROR(__xludf.DUMMYFUNCTION("""COMPUTED_VALUE"""),"70001408")</f>
        <v>70001408</v>
      </c>
      <c r="D6025" s="380" t="s">
        <v>767</v>
      </c>
      <c r="E6025" s="380" t="s">
        <v>786</v>
      </c>
      <c r="F6025" s="380" t="s">
        <v>792</v>
      </c>
      <c r="G6025" s="380" t="s">
        <v>1267</v>
      </c>
      <c r="H6025" s="380" t="s">
        <v>771</v>
      </c>
      <c r="I6025" s="380" t="s">
        <v>788</v>
      </c>
      <c r="J6025" s="380" t="s">
        <v>773</v>
      </c>
      <c r="K6025" s="381">
        <v>0.0</v>
      </c>
      <c r="L6025" s="382">
        <v>1.0</v>
      </c>
    </row>
    <row r="6026">
      <c r="A6026" s="380" t="s">
        <v>6900</v>
      </c>
      <c r="B6026" s="380" t="str">
        <f>IFERROR(__xludf.DUMMYFUNCTION("""COMPUTED_VALUE"""),"Micro Switch Freno Motor 1218")</f>
        <v>Micro Switch Freno Motor 1218</v>
      </c>
      <c r="C6026" s="380" t="str">
        <f>IFERROR(__xludf.DUMMYFUNCTION("""COMPUTED_VALUE"""),"70001409")</f>
        <v>70001409</v>
      </c>
      <c r="D6026" s="380" t="s">
        <v>767</v>
      </c>
      <c r="E6026" s="380" t="s">
        <v>786</v>
      </c>
      <c r="F6026" s="380" t="s">
        <v>998</v>
      </c>
      <c r="G6026" s="380" t="s">
        <v>1267</v>
      </c>
      <c r="H6026" s="380" t="s">
        <v>771</v>
      </c>
      <c r="I6026" s="380" t="s">
        <v>788</v>
      </c>
      <c r="J6026" s="380" t="s">
        <v>773</v>
      </c>
      <c r="K6026" s="381">
        <v>154700.0</v>
      </c>
      <c r="L6026" s="382">
        <v>1.0</v>
      </c>
    </row>
    <row r="6027">
      <c r="A6027" s="380" t="s">
        <v>6901</v>
      </c>
      <c r="B6027" s="380" t="str">
        <f>IFERROR(__xludf.DUMMYFUNCTION("""COMPUTED_VALUE"""),"Soporte Lat Izq Cja Bateria Isx1515928C2")</f>
        <v>Soporte Lat Izq Cja Bateria Isx1515928C2</v>
      </c>
      <c r="C6027" s="380" t="str">
        <f>IFERROR(__xludf.DUMMYFUNCTION("""COMPUTED_VALUE"""),"70001410")</f>
        <v>70001410</v>
      </c>
      <c r="D6027" s="380" t="s">
        <v>767</v>
      </c>
      <c r="E6027" s="380" t="s">
        <v>786</v>
      </c>
      <c r="F6027" s="380" t="s">
        <v>792</v>
      </c>
      <c r="G6027" s="380" t="s">
        <v>1267</v>
      </c>
      <c r="H6027" s="380" t="s">
        <v>771</v>
      </c>
      <c r="I6027" s="380" t="s">
        <v>788</v>
      </c>
      <c r="J6027" s="380" t="s">
        <v>773</v>
      </c>
      <c r="K6027" s="381">
        <v>0.0</v>
      </c>
      <c r="L6027" s="382">
        <v>1.0</v>
      </c>
    </row>
    <row r="6028">
      <c r="A6028" s="380" t="s">
        <v>6902</v>
      </c>
      <c r="B6028" s="380" t="str">
        <f>IFERROR(__xludf.DUMMYFUNCTION("""COMPUTED_VALUE"""),"Soporte Lat Der Cja Bateria Isx1517004C2")</f>
        <v>Soporte Lat Der Cja Bateria Isx1517004C2</v>
      </c>
      <c r="C6028" s="380" t="str">
        <f>IFERROR(__xludf.DUMMYFUNCTION("""COMPUTED_VALUE"""),"70001411")</f>
        <v>70001411</v>
      </c>
      <c r="D6028" s="380" t="s">
        <v>767</v>
      </c>
      <c r="E6028" s="380" t="s">
        <v>786</v>
      </c>
      <c r="F6028" s="380" t="s">
        <v>792</v>
      </c>
      <c r="G6028" s="380" t="s">
        <v>1267</v>
      </c>
      <c r="H6028" s="380" t="s">
        <v>771</v>
      </c>
      <c r="I6028" s="380" t="s">
        <v>788</v>
      </c>
      <c r="J6028" s="380" t="s">
        <v>773</v>
      </c>
      <c r="K6028" s="381">
        <v>0.0</v>
      </c>
      <c r="L6028" s="382">
        <v>1.0</v>
      </c>
    </row>
    <row r="6029">
      <c r="A6029" s="380" t="s">
        <v>6903</v>
      </c>
      <c r="B6029" s="380" t="str">
        <f>IFERROR(__xludf.DUMMYFUNCTION("""COMPUTED_VALUE"""),"Empaq Cubierta Tapa Valvul N200 24527955")</f>
        <v>Empaq Cubierta Tapa Valvul N200 24527955</v>
      </c>
      <c r="C6029" s="380" t="str">
        <f>IFERROR(__xludf.DUMMYFUNCTION("""COMPUTED_VALUE"""),"70001412")</f>
        <v>70001412</v>
      </c>
      <c r="D6029" s="380" t="s">
        <v>767</v>
      </c>
      <c r="E6029" s="380" t="s">
        <v>786</v>
      </c>
      <c r="F6029" s="380" t="s">
        <v>787</v>
      </c>
      <c r="G6029" s="380" t="s">
        <v>1267</v>
      </c>
      <c r="H6029" s="380" t="s">
        <v>771</v>
      </c>
      <c r="I6029" s="380" t="s">
        <v>788</v>
      </c>
      <c r="J6029" s="380" t="s">
        <v>773</v>
      </c>
      <c r="K6029" s="381">
        <v>0.0</v>
      </c>
      <c r="L6029" s="382">
        <v>1.0</v>
      </c>
    </row>
    <row r="6030">
      <c r="A6030" s="380" t="s">
        <v>6904</v>
      </c>
      <c r="B6030" s="380" t="str">
        <f>IFERROR(__xludf.DUMMYFUNCTION("""COMPUTED_VALUE"""),"Tensor Correa Alternador N200 96416331")</f>
        <v>Tensor Correa Alternador N200 96416331</v>
      </c>
      <c r="C6030" s="380" t="str">
        <f>IFERROR(__xludf.DUMMYFUNCTION("""COMPUTED_VALUE"""),"70001413")</f>
        <v>70001413</v>
      </c>
      <c r="D6030" s="380" t="s">
        <v>767</v>
      </c>
      <c r="E6030" s="380" t="s">
        <v>786</v>
      </c>
      <c r="F6030" s="380" t="s">
        <v>787</v>
      </c>
      <c r="G6030" s="380" t="s">
        <v>1267</v>
      </c>
      <c r="H6030" s="380" t="s">
        <v>771</v>
      </c>
      <c r="I6030" s="380" t="s">
        <v>788</v>
      </c>
      <c r="J6030" s="380" t="s">
        <v>773</v>
      </c>
      <c r="K6030" s="381">
        <v>0.0</v>
      </c>
      <c r="L6030" s="382">
        <v>1.0</v>
      </c>
    </row>
    <row r="6031">
      <c r="A6031" s="380" t="s">
        <v>6905</v>
      </c>
      <c r="B6031" s="380" t="str">
        <f>IFERROR(__xludf.DUMMYFUNCTION("""COMPUTED_VALUE"""),"Retenedor Cigueñal Del N-200 9020305")</f>
        <v>Retenedor Cigueñal Del N-200 9020305</v>
      </c>
      <c r="C6031" s="380" t="str">
        <f>IFERROR(__xludf.DUMMYFUNCTION("""COMPUTED_VALUE"""),"70001414")</f>
        <v>70001414</v>
      </c>
      <c r="D6031" s="380" t="s">
        <v>767</v>
      </c>
      <c r="E6031" s="380" t="s">
        <v>786</v>
      </c>
      <c r="F6031" s="380" t="s">
        <v>787</v>
      </c>
      <c r="G6031" s="380" t="s">
        <v>1267</v>
      </c>
      <c r="H6031" s="380" t="s">
        <v>771</v>
      </c>
      <c r="I6031" s="380" t="s">
        <v>788</v>
      </c>
      <c r="J6031" s="380" t="s">
        <v>773</v>
      </c>
      <c r="K6031" s="381">
        <v>0.0</v>
      </c>
      <c r="L6031" s="382">
        <v>1.0</v>
      </c>
    </row>
    <row r="6032">
      <c r="A6032" s="380" t="s">
        <v>6906</v>
      </c>
      <c r="B6032" s="380" t="str">
        <f>IFERROR(__xludf.DUMMYFUNCTION("""COMPUTED_VALUE"""),"Muelle Delantero T Delta 901492")</f>
        <v>Muelle Delantero T Delta 901492</v>
      </c>
      <c r="C6032" s="380" t="str">
        <f>IFERROR(__xludf.DUMMYFUNCTION("""COMPUTED_VALUE"""),"70001415")</f>
        <v>70001415</v>
      </c>
      <c r="D6032" s="380" t="s">
        <v>767</v>
      </c>
      <c r="E6032" s="380" t="s">
        <v>786</v>
      </c>
      <c r="F6032" s="380" t="s">
        <v>1039</v>
      </c>
      <c r="G6032" s="380" t="s">
        <v>1267</v>
      </c>
      <c r="H6032" s="380" t="s">
        <v>771</v>
      </c>
      <c r="I6032" s="380" t="s">
        <v>788</v>
      </c>
      <c r="J6032" s="380" t="s">
        <v>773</v>
      </c>
      <c r="K6032" s="381">
        <v>0.0</v>
      </c>
      <c r="L6032" s="382">
        <v>1.0</v>
      </c>
    </row>
    <row r="6033">
      <c r="A6033" s="380" t="s">
        <v>6907</v>
      </c>
      <c r="B6033" s="380" t="str">
        <f>IFERROR(__xludf.DUMMYFUNCTION("""COMPUTED_VALUE"""),"Cerradura Pta Tras Ren Master 7700352464")</f>
        <v>Cerradura Pta Tras Ren Master 7700352464</v>
      </c>
      <c r="C6033" s="380" t="str">
        <f>IFERROR(__xludf.DUMMYFUNCTION("""COMPUTED_VALUE"""),"70001416")</f>
        <v>70001416</v>
      </c>
      <c r="D6033" s="380" t="s">
        <v>767</v>
      </c>
      <c r="E6033" s="380" t="s">
        <v>786</v>
      </c>
      <c r="F6033" s="380" t="s">
        <v>792</v>
      </c>
      <c r="G6033" s="380" t="s">
        <v>1267</v>
      </c>
      <c r="H6033" s="380" t="s">
        <v>771</v>
      </c>
      <c r="I6033" s="380" t="s">
        <v>788</v>
      </c>
      <c r="J6033" s="380" t="s">
        <v>773</v>
      </c>
      <c r="K6033" s="381">
        <v>0.0</v>
      </c>
      <c r="L6033" s="382">
        <v>1.0</v>
      </c>
    </row>
    <row r="6034">
      <c r="A6034" s="380" t="s">
        <v>6908</v>
      </c>
      <c r="B6034" s="380" t="str">
        <f>IFERROR(__xludf.DUMMYFUNCTION("""COMPUTED_VALUE"""),"Manija Ext Pta Der Ren Master 7700352489")</f>
        <v>Manija Ext Pta Der Ren Master 7700352489</v>
      </c>
      <c r="C6034" s="380" t="str">
        <f>IFERROR(__xludf.DUMMYFUNCTION("""COMPUTED_VALUE"""),"70001417")</f>
        <v>70001417</v>
      </c>
      <c r="D6034" s="380" t="s">
        <v>767</v>
      </c>
      <c r="E6034" s="380" t="s">
        <v>786</v>
      </c>
      <c r="F6034" s="380" t="s">
        <v>792</v>
      </c>
      <c r="G6034" s="380" t="s">
        <v>1267</v>
      </c>
      <c r="H6034" s="380" t="s">
        <v>771</v>
      </c>
      <c r="I6034" s="380" t="s">
        <v>788</v>
      </c>
      <c r="J6034" s="380" t="s">
        <v>773</v>
      </c>
      <c r="K6034" s="381">
        <v>0.0</v>
      </c>
      <c r="L6034" s="382">
        <v>1.0</v>
      </c>
    </row>
    <row r="6035">
      <c r="A6035" s="380" t="s">
        <v>6909</v>
      </c>
      <c r="B6035" s="380" t="str">
        <f>IFERROR(__xludf.DUMMYFUNCTION("""COMPUTED_VALUE"""),"Terminal Axial Cja Dir Der N200 19245641")</f>
        <v>Terminal Axial Cja Dir Der N200 19245641</v>
      </c>
      <c r="C6035" s="380" t="str">
        <f>IFERROR(__xludf.DUMMYFUNCTION("""COMPUTED_VALUE"""),"70001418")</f>
        <v>70001418</v>
      </c>
      <c r="D6035" s="380" t="s">
        <v>767</v>
      </c>
      <c r="E6035" s="380" t="s">
        <v>786</v>
      </c>
      <c r="F6035" s="380" t="s">
        <v>928</v>
      </c>
      <c r="G6035" s="380" t="s">
        <v>1267</v>
      </c>
      <c r="H6035" s="380" t="s">
        <v>771</v>
      </c>
      <c r="I6035" s="380" t="s">
        <v>788</v>
      </c>
      <c r="J6035" s="380" t="s">
        <v>773</v>
      </c>
      <c r="K6035" s="381">
        <v>0.0</v>
      </c>
      <c r="L6035" s="382">
        <v>1.0</v>
      </c>
    </row>
    <row r="6036">
      <c r="A6036" s="380" t="s">
        <v>6910</v>
      </c>
      <c r="B6036" s="380" t="str">
        <f>IFERROR(__xludf.DUMMYFUNCTION("""COMPUTED_VALUE"""),"Terminal Axial Cja Dir Izq N200 23870236")</f>
        <v>Terminal Axial Cja Dir Izq N200 23870236</v>
      </c>
      <c r="C6036" s="380" t="str">
        <f>IFERROR(__xludf.DUMMYFUNCTION("""COMPUTED_VALUE"""),"70001419")</f>
        <v>70001419</v>
      </c>
      <c r="D6036" s="380" t="s">
        <v>767</v>
      </c>
      <c r="E6036" s="380" t="s">
        <v>786</v>
      </c>
      <c r="F6036" s="380" t="s">
        <v>928</v>
      </c>
      <c r="G6036" s="380" t="s">
        <v>1267</v>
      </c>
      <c r="H6036" s="380" t="s">
        <v>771</v>
      </c>
      <c r="I6036" s="380" t="s">
        <v>788</v>
      </c>
      <c r="J6036" s="380" t="s">
        <v>773</v>
      </c>
      <c r="K6036" s="381">
        <v>0.0</v>
      </c>
      <c r="L6036" s="382">
        <v>1.0</v>
      </c>
    </row>
    <row r="6037">
      <c r="A6037" s="380" t="s">
        <v>6911</v>
      </c>
      <c r="B6037" s="380" t="str">
        <f>IFERROR(__xludf.DUMMYFUNCTION("""COMPUTED_VALUE"""),"Acople Eje Caja 16718 Isx 4304500")</f>
        <v>Acople Eje Caja 16718 Isx 4304500</v>
      </c>
      <c r="C6037" s="380" t="str">
        <f>IFERROR(__xludf.DUMMYFUNCTION("""COMPUTED_VALUE"""),"70001420")</f>
        <v>70001420</v>
      </c>
      <c r="D6037" s="380" t="s">
        <v>767</v>
      </c>
      <c r="E6037" s="380" t="s">
        <v>786</v>
      </c>
      <c r="F6037" s="380" t="s">
        <v>928</v>
      </c>
      <c r="G6037" s="380" t="s">
        <v>1267</v>
      </c>
      <c r="H6037" s="380" t="s">
        <v>771</v>
      </c>
      <c r="I6037" s="380" t="s">
        <v>788</v>
      </c>
      <c r="J6037" s="380" t="s">
        <v>773</v>
      </c>
      <c r="K6037" s="381">
        <v>0.0</v>
      </c>
      <c r="L6037" s="382">
        <v>1.0</v>
      </c>
    </row>
    <row r="6038">
      <c r="A6038" s="380" t="s">
        <v>6912</v>
      </c>
      <c r="B6038" s="380" t="str">
        <f>IFERROR(__xludf.DUMMYFUNCTION("""COMPUTED_VALUE"""),"Parasol Izq Isx 3571948C1")</f>
        <v>Parasol Izq Isx 3571948C1</v>
      </c>
      <c r="C6038" s="380" t="str">
        <f>IFERROR(__xludf.DUMMYFUNCTION("""COMPUTED_VALUE"""),"70001421")</f>
        <v>70001421</v>
      </c>
      <c r="D6038" s="380" t="s">
        <v>767</v>
      </c>
      <c r="E6038" s="380" t="s">
        <v>786</v>
      </c>
      <c r="F6038" s="380" t="s">
        <v>792</v>
      </c>
      <c r="G6038" s="380" t="s">
        <v>1267</v>
      </c>
      <c r="H6038" s="380" t="s">
        <v>771</v>
      </c>
      <c r="I6038" s="380" t="s">
        <v>788</v>
      </c>
      <c r="J6038" s="380" t="s">
        <v>773</v>
      </c>
      <c r="K6038" s="381">
        <v>0.0</v>
      </c>
      <c r="L6038" s="382">
        <v>1.0</v>
      </c>
    </row>
    <row r="6039">
      <c r="A6039" s="380" t="s">
        <v>6913</v>
      </c>
      <c r="B6039" s="380" t="str">
        <f>IFERROR(__xludf.DUMMYFUNCTION("""COMPUTED_VALUE"""),"Bisagra Puerta Delantera Nkr 8981913020")</f>
        <v>Bisagra Puerta Delantera Nkr 8981913020</v>
      </c>
      <c r="C6039" s="380" t="str">
        <f>IFERROR(__xludf.DUMMYFUNCTION("""COMPUTED_VALUE"""),"70001422")</f>
        <v>70001422</v>
      </c>
      <c r="D6039" s="380" t="s">
        <v>767</v>
      </c>
      <c r="E6039" s="380" t="s">
        <v>786</v>
      </c>
      <c r="F6039" s="380" t="s">
        <v>792</v>
      </c>
      <c r="G6039" s="380" t="s">
        <v>1267</v>
      </c>
      <c r="H6039" s="380" t="s">
        <v>771</v>
      </c>
      <c r="I6039" s="380" t="s">
        <v>788</v>
      </c>
      <c r="J6039" s="380" t="s">
        <v>773</v>
      </c>
      <c r="K6039" s="381">
        <v>0.0</v>
      </c>
      <c r="L6039" s="382">
        <v>1.0</v>
      </c>
    </row>
    <row r="6040">
      <c r="A6040" s="380" t="s">
        <v>6914</v>
      </c>
      <c r="B6040" s="380" t="str">
        <f>IFERROR(__xludf.DUMMYFUNCTION("""COMPUTED_VALUE"""),"Carcaza Termostato Nhr 8942546011")</f>
        <v>Carcaza Termostato Nhr 8942546011</v>
      </c>
      <c r="C6040" s="380" t="str">
        <f>IFERROR(__xludf.DUMMYFUNCTION("""COMPUTED_VALUE"""),"70001423")</f>
        <v>70001423</v>
      </c>
      <c r="D6040" s="380" t="s">
        <v>767</v>
      </c>
      <c r="E6040" s="380" t="s">
        <v>786</v>
      </c>
      <c r="F6040" s="380" t="s">
        <v>787</v>
      </c>
      <c r="G6040" s="380" t="s">
        <v>1267</v>
      </c>
      <c r="H6040" s="380" t="s">
        <v>771</v>
      </c>
      <c r="I6040" s="380" t="s">
        <v>788</v>
      </c>
      <c r="J6040" s="380" t="s">
        <v>773</v>
      </c>
      <c r="K6040" s="381">
        <v>0.0</v>
      </c>
      <c r="L6040" s="382">
        <v>1.0</v>
      </c>
    </row>
    <row r="6041">
      <c r="A6041" s="380" t="s">
        <v>6915</v>
      </c>
      <c r="B6041" s="380" t="str">
        <f>IFERROR(__xludf.DUMMYFUNCTION("""COMPUTED_VALUE"""),"Buje Soporte Cabina Nkr Rewar 8980070371")</f>
        <v>Buje Soporte Cabina Nkr Rewar 8980070371</v>
      </c>
      <c r="C6041" s="380" t="str">
        <f>IFERROR(__xludf.DUMMYFUNCTION("""COMPUTED_VALUE"""),"70001424")</f>
        <v>70001424</v>
      </c>
      <c r="D6041" s="380" t="s">
        <v>767</v>
      </c>
      <c r="E6041" s="380" t="s">
        <v>786</v>
      </c>
      <c r="F6041" s="380" t="s">
        <v>792</v>
      </c>
      <c r="G6041" s="380" t="s">
        <v>1267</v>
      </c>
      <c r="H6041" s="380" t="s">
        <v>771</v>
      </c>
      <c r="I6041" s="380" t="s">
        <v>788</v>
      </c>
      <c r="J6041" s="380" t="s">
        <v>773</v>
      </c>
      <c r="K6041" s="381">
        <v>0.0</v>
      </c>
      <c r="L6041" s="382">
        <v>1.0</v>
      </c>
    </row>
    <row r="6042">
      <c r="A6042" s="380" t="s">
        <v>6916</v>
      </c>
      <c r="B6042" s="380" t="str">
        <f>IFERROR(__xludf.DUMMYFUNCTION("""COMPUTED_VALUE"""),"Bomba Aceite Isx 5680039")</f>
        <v>Bomba Aceite Isx 5680039</v>
      </c>
      <c r="C6042" s="380" t="str">
        <f>IFERROR(__xludf.DUMMYFUNCTION("""COMPUTED_VALUE"""),"70001425")</f>
        <v>70001425</v>
      </c>
      <c r="D6042" s="380" t="s">
        <v>767</v>
      </c>
      <c r="E6042" s="380" t="s">
        <v>786</v>
      </c>
      <c r="F6042" s="380" t="s">
        <v>787</v>
      </c>
      <c r="G6042" s="380" t="s">
        <v>1267</v>
      </c>
      <c r="H6042" s="380" t="s">
        <v>771</v>
      </c>
      <c r="I6042" s="380" t="s">
        <v>788</v>
      </c>
      <c r="J6042" s="380" t="s">
        <v>773</v>
      </c>
      <c r="K6042" s="381">
        <v>0.0</v>
      </c>
      <c r="L6042" s="382">
        <v>1.0</v>
      </c>
    </row>
    <row r="6043">
      <c r="A6043" s="380" t="s">
        <v>6917</v>
      </c>
      <c r="B6043" s="380" t="str">
        <f>IFERROR(__xludf.DUMMYFUNCTION("""COMPUTED_VALUE"""),"Oring Tubo Succion Aceite Isx 3678756")</f>
        <v>Oring Tubo Succion Aceite Isx 3678756</v>
      </c>
      <c r="C6043" s="380" t="str">
        <f>IFERROR(__xludf.DUMMYFUNCTION("""COMPUTED_VALUE"""),"70001426")</f>
        <v>70001426</v>
      </c>
      <c r="D6043" s="380" t="s">
        <v>767</v>
      </c>
      <c r="E6043" s="380" t="s">
        <v>786</v>
      </c>
      <c r="F6043" s="380" t="s">
        <v>787</v>
      </c>
      <c r="G6043" s="380" t="s">
        <v>1267</v>
      </c>
      <c r="H6043" s="380" t="s">
        <v>771</v>
      </c>
      <c r="I6043" s="380" t="s">
        <v>788</v>
      </c>
      <c r="J6043" s="380" t="s">
        <v>773</v>
      </c>
      <c r="K6043" s="381">
        <v>47419.0</v>
      </c>
      <c r="L6043" s="382">
        <v>1.0</v>
      </c>
    </row>
    <row r="6044">
      <c r="A6044" s="380" t="s">
        <v>6918</v>
      </c>
      <c r="B6044" s="380" t="str">
        <f>IFERROR(__xludf.DUMMYFUNCTION("""COMPUTED_VALUE"""),"Rodillo Speed Difer Rockwell Eagle 9278")</f>
        <v>Rodillo Speed Difer Rockwell Eagle 9278</v>
      </c>
      <c r="C6044" s="380" t="str">
        <f>IFERROR(__xludf.DUMMYFUNCTION("""COMPUTED_VALUE"""),"70001427")</f>
        <v>70001427</v>
      </c>
      <c r="D6044" s="380" t="s">
        <v>767</v>
      </c>
      <c r="E6044" s="380" t="s">
        <v>786</v>
      </c>
      <c r="F6044" s="380" t="s">
        <v>5683</v>
      </c>
      <c r="G6044" s="380" t="s">
        <v>1267</v>
      </c>
      <c r="H6044" s="380" t="s">
        <v>771</v>
      </c>
      <c r="I6044" s="380" t="s">
        <v>788</v>
      </c>
      <c r="J6044" s="380" t="s">
        <v>773</v>
      </c>
      <c r="K6044" s="381">
        <v>0.0</v>
      </c>
      <c r="L6044" s="382">
        <v>1.0</v>
      </c>
    </row>
    <row r="6045">
      <c r="A6045" s="380" t="s">
        <v>6919</v>
      </c>
      <c r="B6045" s="380" t="str">
        <f>IFERROR(__xludf.DUMMYFUNCTION("""COMPUTED_VALUE"""),"Soporte Cabina Eagle 3502888C1")</f>
        <v>Soporte Cabina Eagle 3502888C1</v>
      </c>
      <c r="C6045" s="380" t="str">
        <f>IFERROR(__xludf.DUMMYFUNCTION("""COMPUTED_VALUE"""),"70001428")</f>
        <v>70001428</v>
      </c>
      <c r="D6045" s="380" t="s">
        <v>767</v>
      </c>
      <c r="E6045" s="380" t="s">
        <v>786</v>
      </c>
      <c r="F6045" s="380" t="s">
        <v>792</v>
      </c>
      <c r="G6045" s="380" t="s">
        <v>1267</v>
      </c>
      <c r="H6045" s="380" t="s">
        <v>771</v>
      </c>
      <c r="I6045" s="380" t="s">
        <v>788</v>
      </c>
      <c r="J6045" s="380" t="s">
        <v>773</v>
      </c>
      <c r="K6045" s="381">
        <v>0.0</v>
      </c>
      <c r="L6045" s="382">
        <v>1.0</v>
      </c>
    </row>
    <row r="6046">
      <c r="A6046" s="380" t="s">
        <v>6920</v>
      </c>
      <c r="B6046" s="380" t="str">
        <f>IFERROR(__xludf.DUMMYFUNCTION("""COMPUTED_VALUE"""),"Empaque Block Motor Nkr Rewar 8973316322")</f>
        <v>Empaque Block Motor Nkr Rewar 8973316322</v>
      </c>
      <c r="C6046" s="380" t="str">
        <f>IFERROR(__xludf.DUMMYFUNCTION("""COMPUTED_VALUE"""),"70001429")</f>
        <v>70001429</v>
      </c>
      <c r="D6046" s="380" t="s">
        <v>767</v>
      </c>
      <c r="E6046" s="380" t="s">
        <v>786</v>
      </c>
      <c r="F6046" s="380" t="s">
        <v>787</v>
      </c>
      <c r="G6046" s="380" t="s">
        <v>1267</v>
      </c>
      <c r="H6046" s="380" t="s">
        <v>771</v>
      </c>
      <c r="I6046" s="380" t="s">
        <v>788</v>
      </c>
      <c r="J6046" s="380" t="s">
        <v>773</v>
      </c>
      <c r="K6046" s="381">
        <v>160523.0</v>
      </c>
      <c r="L6046" s="382">
        <v>1.0</v>
      </c>
    </row>
    <row r="6047">
      <c r="A6047" s="380" t="s">
        <v>6921</v>
      </c>
      <c r="B6047" s="380" t="str">
        <f>IFERROR(__xludf.DUMMYFUNCTION("""COMPUTED_VALUE"""),"Empaque Culata Motor Nkr Rewar8982410390")</f>
        <v>Empaque Culata Motor Nkr Rewar8982410390</v>
      </c>
      <c r="C6047" s="380" t="str">
        <f>IFERROR(__xludf.DUMMYFUNCTION("""COMPUTED_VALUE"""),"70001430")</f>
        <v>70001430</v>
      </c>
      <c r="D6047" s="380" t="s">
        <v>767</v>
      </c>
      <c r="E6047" s="380" t="s">
        <v>786</v>
      </c>
      <c r="F6047" s="380" t="s">
        <v>787</v>
      </c>
      <c r="G6047" s="380" t="s">
        <v>1267</v>
      </c>
      <c r="H6047" s="380" t="s">
        <v>771</v>
      </c>
      <c r="I6047" s="380" t="s">
        <v>788</v>
      </c>
      <c r="J6047" s="380" t="s">
        <v>773</v>
      </c>
      <c r="K6047" s="381">
        <v>0.0</v>
      </c>
      <c r="L6047" s="382">
        <v>1.0</v>
      </c>
    </row>
    <row r="6048">
      <c r="A6048" s="380" t="s">
        <v>6922</v>
      </c>
      <c r="B6048" s="380" t="str">
        <f>IFERROR(__xludf.DUMMYFUNCTION("""COMPUTED_VALUE"""),"Tornillo Corto Soporte Isx 3681056")</f>
        <v>Tornillo Corto Soporte Isx 3681056</v>
      </c>
      <c r="C6048" s="380" t="str">
        <f>IFERROR(__xludf.DUMMYFUNCTION("""COMPUTED_VALUE"""),"70001431")</f>
        <v>70001431</v>
      </c>
      <c r="D6048" s="380" t="s">
        <v>767</v>
      </c>
      <c r="E6048" s="380" t="s">
        <v>786</v>
      </c>
      <c r="F6048" s="380" t="s">
        <v>787</v>
      </c>
      <c r="G6048" s="380" t="s">
        <v>1267</v>
      </c>
      <c r="H6048" s="380" t="s">
        <v>771</v>
      </c>
      <c r="I6048" s="380" t="s">
        <v>788</v>
      </c>
      <c r="J6048" s="380" t="s">
        <v>773</v>
      </c>
      <c r="K6048" s="381">
        <v>0.0</v>
      </c>
      <c r="L6048" s="382">
        <v>1.0</v>
      </c>
    </row>
    <row r="6049">
      <c r="A6049" s="380" t="s">
        <v>6923</v>
      </c>
      <c r="B6049" s="380" t="str">
        <f>IFERROR(__xludf.DUMMYFUNCTION("""COMPUTED_VALUE"""),"Retenedor Trasero Semieje Nkr 8982029110")</f>
        <v>Retenedor Trasero Semieje Nkr 8982029110</v>
      </c>
      <c r="C6049" s="380" t="str">
        <f>IFERROR(__xludf.DUMMYFUNCTION("""COMPUTED_VALUE"""),"70001432")</f>
        <v>70001432</v>
      </c>
      <c r="D6049" s="380" t="s">
        <v>767</v>
      </c>
      <c r="E6049" s="380" t="s">
        <v>786</v>
      </c>
      <c r="F6049" s="380" t="s">
        <v>5683</v>
      </c>
      <c r="G6049" s="380" t="s">
        <v>1267</v>
      </c>
      <c r="H6049" s="380" t="s">
        <v>771</v>
      </c>
      <c r="I6049" s="380" t="s">
        <v>788</v>
      </c>
      <c r="J6049" s="380" t="s">
        <v>773</v>
      </c>
      <c r="K6049" s="381">
        <v>0.0</v>
      </c>
      <c r="L6049" s="382">
        <v>1.0</v>
      </c>
    </row>
    <row r="6050">
      <c r="A6050" s="380" t="s">
        <v>6924</v>
      </c>
      <c r="B6050" s="380" t="str">
        <f>IFERROR(__xludf.DUMMYFUNCTION("""COMPUTED_VALUE"""),"Terminal Direccion Izq Eagle R230068")</f>
        <v>Terminal Direccion Izq Eagle R230068</v>
      </c>
      <c r="C6050" s="380" t="str">
        <f>IFERROR(__xludf.DUMMYFUNCTION("""COMPUTED_VALUE"""),"70001433")</f>
        <v>70001433</v>
      </c>
      <c r="D6050" s="380" t="s">
        <v>767</v>
      </c>
      <c r="E6050" s="380" t="s">
        <v>786</v>
      </c>
      <c r="F6050" s="380" t="s">
        <v>1020</v>
      </c>
      <c r="G6050" s="380" t="s">
        <v>1267</v>
      </c>
      <c r="H6050" s="380" t="s">
        <v>771</v>
      </c>
      <c r="I6050" s="380" t="s">
        <v>788</v>
      </c>
      <c r="J6050" s="380" t="s">
        <v>773</v>
      </c>
      <c r="K6050" s="381">
        <v>0.0</v>
      </c>
      <c r="L6050" s="382">
        <v>1.0</v>
      </c>
    </row>
    <row r="6051">
      <c r="A6051" s="380" t="s">
        <v>6925</v>
      </c>
      <c r="B6051" s="380" t="str">
        <f>IFERROR(__xludf.DUMMYFUNCTION("""COMPUTED_VALUE"""),"Terminal Direccion Der Eagle R230069")</f>
        <v>Terminal Direccion Der Eagle R230069</v>
      </c>
      <c r="C6051" s="380" t="str">
        <f>IFERROR(__xludf.DUMMYFUNCTION("""COMPUTED_VALUE"""),"70001434")</f>
        <v>70001434</v>
      </c>
      <c r="D6051" s="380" t="s">
        <v>767</v>
      </c>
      <c r="E6051" s="380" t="s">
        <v>786</v>
      </c>
      <c r="F6051" s="380" t="s">
        <v>1020</v>
      </c>
      <c r="G6051" s="380" t="s">
        <v>1267</v>
      </c>
      <c r="H6051" s="380" t="s">
        <v>771</v>
      </c>
      <c r="I6051" s="380" t="s">
        <v>788</v>
      </c>
      <c r="J6051" s="380" t="s">
        <v>773</v>
      </c>
      <c r="K6051" s="381">
        <v>0.0</v>
      </c>
      <c r="L6051" s="382">
        <v>1.0</v>
      </c>
    </row>
    <row r="6052">
      <c r="A6052" s="380" t="s">
        <v>6926</v>
      </c>
      <c r="B6052" s="380" t="str">
        <f>IFERROR(__xludf.DUMMYFUNCTION("""COMPUTED_VALUE"""),"Retenedor Caja 24516979 N200")</f>
        <v>Retenedor Caja 24516979 N200</v>
      </c>
      <c r="C6052" s="380" t="str">
        <f>IFERROR(__xludf.DUMMYFUNCTION("""COMPUTED_VALUE"""),"70001435")</f>
        <v>70001435</v>
      </c>
      <c r="D6052" s="380" t="s">
        <v>767</v>
      </c>
      <c r="E6052" s="380" t="s">
        <v>786</v>
      </c>
      <c r="F6052" s="380" t="s">
        <v>928</v>
      </c>
      <c r="G6052" s="380" t="s">
        <v>1267</v>
      </c>
      <c r="H6052" s="380" t="s">
        <v>771</v>
      </c>
      <c r="I6052" s="380" t="s">
        <v>788</v>
      </c>
      <c r="J6052" s="380" t="s">
        <v>773</v>
      </c>
      <c r="K6052" s="381">
        <v>0.0</v>
      </c>
      <c r="L6052" s="382">
        <v>1.0</v>
      </c>
    </row>
    <row r="6053">
      <c r="A6053" s="380" t="s">
        <v>6927</v>
      </c>
      <c r="B6053" s="380" t="str">
        <f>IFERROR(__xludf.DUMMYFUNCTION("""COMPUTED_VALUE"""),"Rodamiento Eje Del Caja N200 24517022")</f>
        <v>Rodamiento Eje Del Caja N200 24517022</v>
      </c>
      <c r="C6053" s="380" t="str">
        <f>IFERROR(__xludf.DUMMYFUNCTION("""COMPUTED_VALUE"""),"70001436")</f>
        <v>70001436</v>
      </c>
      <c r="D6053" s="380" t="s">
        <v>767</v>
      </c>
      <c r="E6053" s="380" t="s">
        <v>786</v>
      </c>
      <c r="F6053" s="380" t="s">
        <v>928</v>
      </c>
      <c r="G6053" s="380" t="s">
        <v>1267</v>
      </c>
      <c r="H6053" s="380" t="s">
        <v>771</v>
      </c>
      <c r="I6053" s="380" t="s">
        <v>788</v>
      </c>
      <c r="J6053" s="380" t="s">
        <v>773</v>
      </c>
      <c r="K6053" s="381">
        <v>0.0</v>
      </c>
      <c r="L6053" s="382">
        <v>1.0</v>
      </c>
    </row>
    <row r="6054">
      <c r="A6054" s="380" t="s">
        <v>6928</v>
      </c>
      <c r="B6054" s="380" t="str">
        <f>IFERROR(__xludf.DUMMYFUNCTION("""COMPUTED_VALUE"""),"Lampara Direccional Der Nkr 8980539770")</f>
        <v>Lampara Direccional Der Nkr 8980539770</v>
      </c>
      <c r="C6054" s="380" t="str">
        <f>IFERROR(__xludf.DUMMYFUNCTION("""COMPUTED_VALUE"""),"70001437")</f>
        <v>70001437</v>
      </c>
      <c r="D6054" s="380" t="s">
        <v>767</v>
      </c>
      <c r="E6054" s="380" t="s">
        <v>786</v>
      </c>
      <c r="F6054" s="380" t="s">
        <v>998</v>
      </c>
      <c r="G6054" s="380" t="s">
        <v>1267</v>
      </c>
      <c r="H6054" s="380" t="s">
        <v>771</v>
      </c>
      <c r="I6054" s="380" t="s">
        <v>788</v>
      </c>
      <c r="J6054" s="380" t="s">
        <v>773</v>
      </c>
      <c r="K6054" s="381">
        <v>172550.0</v>
      </c>
      <c r="L6054" s="382">
        <v>1.0</v>
      </c>
    </row>
    <row r="6055">
      <c r="A6055" s="380" t="s">
        <v>6929</v>
      </c>
      <c r="B6055" s="380" t="str">
        <f>IFERROR(__xludf.DUMMYFUNCTION("""COMPUTED_VALUE"""),"Pedal Embrague Npr 8978579842")</f>
        <v>Pedal Embrague Npr 8978579842</v>
      </c>
      <c r="C6055" s="380" t="str">
        <f>IFERROR(__xludf.DUMMYFUNCTION("""COMPUTED_VALUE"""),"70001438")</f>
        <v>70001438</v>
      </c>
      <c r="D6055" s="380" t="s">
        <v>767</v>
      </c>
      <c r="E6055" s="380" t="s">
        <v>786</v>
      </c>
      <c r="F6055" s="380" t="s">
        <v>5661</v>
      </c>
      <c r="G6055" s="380" t="s">
        <v>1267</v>
      </c>
      <c r="H6055" s="380" t="s">
        <v>771</v>
      </c>
      <c r="I6055" s="380" t="s">
        <v>788</v>
      </c>
      <c r="J6055" s="380" t="s">
        <v>773</v>
      </c>
      <c r="K6055" s="381">
        <v>0.0</v>
      </c>
      <c r="L6055" s="382">
        <v>1.0</v>
      </c>
    </row>
    <row r="6056">
      <c r="A6056" s="380" t="s">
        <v>6930</v>
      </c>
      <c r="B6056" s="380" t="str">
        <f>IFERROR(__xludf.DUMMYFUNCTION("""COMPUTED_VALUE"""),"Valvula Admision Culata N200 24530497")</f>
        <v>Valvula Admision Culata N200 24530497</v>
      </c>
      <c r="C6056" s="380" t="str">
        <f>IFERROR(__xludf.DUMMYFUNCTION("""COMPUTED_VALUE"""),"70001439")</f>
        <v>70001439</v>
      </c>
      <c r="D6056" s="380" t="s">
        <v>767</v>
      </c>
      <c r="E6056" s="380" t="s">
        <v>786</v>
      </c>
      <c r="F6056" s="380" t="s">
        <v>787</v>
      </c>
      <c r="G6056" s="380" t="s">
        <v>1267</v>
      </c>
      <c r="H6056" s="380" t="s">
        <v>771</v>
      </c>
      <c r="I6056" s="380" t="s">
        <v>788</v>
      </c>
      <c r="J6056" s="380" t="s">
        <v>773</v>
      </c>
      <c r="K6056" s="381">
        <v>0.0</v>
      </c>
      <c r="L6056" s="382">
        <v>1.0</v>
      </c>
    </row>
    <row r="6057">
      <c r="A6057" s="380" t="s">
        <v>6931</v>
      </c>
      <c r="B6057" s="380" t="str">
        <f>IFERROR(__xludf.DUMMYFUNCTION("""COMPUTED_VALUE"""),"Valvula Escape Culata N200 9002817")</f>
        <v>Valvula Escape Culata N200 9002817</v>
      </c>
      <c r="C6057" s="380" t="str">
        <f>IFERROR(__xludf.DUMMYFUNCTION("""COMPUTED_VALUE"""),"70001440")</f>
        <v>70001440</v>
      </c>
      <c r="D6057" s="380" t="s">
        <v>767</v>
      </c>
      <c r="E6057" s="380" t="s">
        <v>786</v>
      </c>
      <c r="F6057" s="380" t="s">
        <v>787</v>
      </c>
      <c r="G6057" s="380" t="s">
        <v>1267</v>
      </c>
      <c r="H6057" s="380" t="s">
        <v>771</v>
      </c>
      <c r="I6057" s="380" t="s">
        <v>788</v>
      </c>
      <c r="J6057" s="380" t="s">
        <v>773</v>
      </c>
      <c r="K6057" s="381">
        <v>0.0</v>
      </c>
      <c r="L6057" s="382">
        <v>1.0</v>
      </c>
    </row>
    <row r="6058">
      <c r="A6058" s="380" t="s">
        <v>6932</v>
      </c>
      <c r="B6058" s="380" t="str">
        <f>IFERROR(__xludf.DUMMYFUNCTION("""COMPUTED_VALUE"""),"Card Yoke Larg Del Sr1810 Eagl429DTL1165")</f>
        <v>Card Yoke Larg Del Sr1810 Eagl429DTL1165</v>
      </c>
      <c r="C6058" s="380" t="str">
        <f>IFERROR(__xludf.DUMMYFUNCTION("""COMPUTED_VALUE"""),"70001441")</f>
        <v>70001441</v>
      </c>
      <c r="D6058" s="380" t="s">
        <v>767</v>
      </c>
      <c r="E6058" s="380" t="s">
        <v>786</v>
      </c>
      <c r="F6058" s="380" t="s">
        <v>5683</v>
      </c>
      <c r="G6058" s="380" t="s">
        <v>1267</v>
      </c>
      <c r="H6058" s="380" t="s">
        <v>771</v>
      </c>
      <c r="I6058" s="380" t="s">
        <v>788</v>
      </c>
      <c r="J6058" s="380" t="s">
        <v>773</v>
      </c>
      <c r="K6058" s="381">
        <v>0.0</v>
      </c>
      <c r="L6058" s="382">
        <v>1.0</v>
      </c>
    </row>
    <row r="6059">
      <c r="A6059" s="380" t="s">
        <v>6933</v>
      </c>
      <c r="B6059" s="380" t="str">
        <f>IFERROR(__xludf.DUMMYFUNCTION("""COMPUTED_VALUE"""),"Fan Clutch Nkr Reward 8980246840")</f>
        <v>Fan Clutch Nkr Reward 8980246840</v>
      </c>
      <c r="C6059" s="380" t="str">
        <f>IFERROR(__xludf.DUMMYFUNCTION("""COMPUTED_VALUE"""),"70001442")</f>
        <v>70001442</v>
      </c>
      <c r="D6059" s="380" t="s">
        <v>767</v>
      </c>
      <c r="E6059" s="380" t="s">
        <v>786</v>
      </c>
      <c r="F6059" s="380" t="s">
        <v>787</v>
      </c>
      <c r="G6059" s="380" t="s">
        <v>1267</v>
      </c>
      <c r="H6059" s="380" t="s">
        <v>771</v>
      </c>
      <c r="I6059" s="380" t="s">
        <v>788</v>
      </c>
      <c r="J6059" s="380" t="s">
        <v>773</v>
      </c>
      <c r="K6059" s="381">
        <v>0.0</v>
      </c>
      <c r="L6059" s="382">
        <v>1.0</v>
      </c>
    </row>
    <row r="6060">
      <c r="A6060" s="380" t="s">
        <v>6934</v>
      </c>
      <c r="B6060" s="380" t="str">
        <f>IFERROR(__xludf.DUMMYFUNCTION("""COMPUTED_VALUE"""),"Tren Fijo Caja Rtlo-16918 Eagle K-2947")</f>
        <v>Tren Fijo Caja Rtlo-16918 Eagle K-2947</v>
      </c>
      <c r="C6060" s="380" t="str">
        <f>IFERROR(__xludf.DUMMYFUNCTION("""COMPUTED_VALUE"""),"70001443")</f>
        <v>70001443</v>
      </c>
      <c r="D6060" s="380" t="s">
        <v>767</v>
      </c>
      <c r="E6060" s="380" t="s">
        <v>786</v>
      </c>
      <c r="F6060" s="380" t="s">
        <v>928</v>
      </c>
      <c r="G6060" s="380" t="s">
        <v>1267</v>
      </c>
      <c r="H6060" s="380" t="s">
        <v>771</v>
      </c>
      <c r="I6060" s="380" t="s">
        <v>788</v>
      </c>
      <c r="J6060" s="380" t="s">
        <v>773</v>
      </c>
      <c r="K6060" s="381">
        <v>0.0</v>
      </c>
      <c r="L6060" s="382">
        <v>1.0</v>
      </c>
    </row>
    <row r="6061">
      <c r="A6061" s="380" t="s">
        <v>6935</v>
      </c>
      <c r="B6061" s="380" t="str">
        <f>IFERROR(__xludf.DUMMYFUNCTION("""COMPUTED_VALUE"""),"Tapa Control Cambios Nkr 8943401450")</f>
        <v>Tapa Control Cambios Nkr 8943401450</v>
      </c>
      <c r="C6061" s="380" t="str">
        <f>IFERROR(__xludf.DUMMYFUNCTION("""COMPUTED_VALUE"""),"70001444")</f>
        <v>70001444</v>
      </c>
      <c r="D6061" s="380" t="s">
        <v>767</v>
      </c>
      <c r="E6061" s="380" t="s">
        <v>786</v>
      </c>
      <c r="F6061" s="380" t="s">
        <v>928</v>
      </c>
      <c r="G6061" s="380" t="s">
        <v>1267</v>
      </c>
      <c r="H6061" s="380" t="s">
        <v>771</v>
      </c>
      <c r="I6061" s="380" t="s">
        <v>788</v>
      </c>
      <c r="J6061" s="380" t="s">
        <v>773</v>
      </c>
      <c r="K6061" s="381">
        <v>0.0</v>
      </c>
      <c r="L6061" s="382">
        <v>1.0</v>
      </c>
    </row>
    <row r="6062">
      <c r="A6062" s="380" t="s">
        <v>6936</v>
      </c>
      <c r="B6062" s="380" t="str">
        <f>IFERROR(__xludf.DUMMYFUNCTION("""COMPUTED_VALUE"""),"Tapa Portavasos Isx 3526814C2")</f>
        <v>Tapa Portavasos Isx 3526814C2</v>
      </c>
      <c r="C6062" s="380" t="str">
        <f>IFERROR(__xludf.DUMMYFUNCTION("""COMPUTED_VALUE"""),"70001445")</f>
        <v>70001445</v>
      </c>
      <c r="D6062" s="380" t="s">
        <v>767</v>
      </c>
      <c r="E6062" s="380" t="s">
        <v>786</v>
      </c>
      <c r="F6062" s="380" t="s">
        <v>792</v>
      </c>
      <c r="G6062" s="380" t="s">
        <v>1267</v>
      </c>
      <c r="H6062" s="380" t="s">
        <v>771</v>
      </c>
      <c r="I6062" s="380" t="s">
        <v>788</v>
      </c>
      <c r="J6062" s="380" t="s">
        <v>773</v>
      </c>
      <c r="K6062" s="381">
        <v>0.0</v>
      </c>
      <c r="L6062" s="382">
        <v>1.0</v>
      </c>
    </row>
    <row r="6063">
      <c r="A6063" s="380" t="s">
        <v>6937</v>
      </c>
      <c r="B6063" s="380" t="str">
        <f>IFERROR(__xludf.DUMMYFUNCTION("""COMPUTED_VALUE"""),"Balinera Cardan Hino 3720137020")</f>
        <v>Balinera Cardan Hino 3720137020</v>
      </c>
      <c r="C6063" s="380" t="str">
        <f>IFERROR(__xludf.DUMMYFUNCTION("""COMPUTED_VALUE"""),"70001446")</f>
        <v>70001446</v>
      </c>
      <c r="D6063" s="380" t="s">
        <v>767</v>
      </c>
      <c r="E6063" s="380" t="s">
        <v>786</v>
      </c>
      <c r="F6063" s="380" t="s">
        <v>5683</v>
      </c>
      <c r="G6063" s="380" t="s">
        <v>1267</v>
      </c>
      <c r="H6063" s="380" t="s">
        <v>771</v>
      </c>
      <c r="I6063" s="380" t="s">
        <v>788</v>
      </c>
      <c r="J6063" s="380" t="s">
        <v>773</v>
      </c>
      <c r="K6063" s="381">
        <v>0.0</v>
      </c>
      <c r="L6063" s="382">
        <v>1.0</v>
      </c>
    </row>
    <row r="6064">
      <c r="A6064" s="380" t="s">
        <v>6938</v>
      </c>
      <c r="B6064" s="380" t="str">
        <f>IFERROR(__xludf.DUMMYFUNCTION("""COMPUTED_VALUE"""),"Caucho Cardan Hino 3723537030")</f>
        <v>Caucho Cardan Hino 3723537030</v>
      </c>
      <c r="C6064" s="380" t="str">
        <f>IFERROR(__xludf.DUMMYFUNCTION("""COMPUTED_VALUE"""),"70001447")</f>
        <v>70001447</v>
      </c>
      <c r="D6064" s="380" t="s">
        <v>767</v>
      </c>
      <c r="E6064" s="380" t="s">
        <v>786</v>
      </c>
      <c r="F6064" s="380" t="s">
        <v>5683</v>
      </c>
      <c r="G6064" s="380" t="s">
        <v>1267</v>
      </c>
      <c r="H6064" s="380" t="s">
        <v>771</v>
      </c>
      <c r="I6064" s="380" t="s">
        <v>788</v>
      </c>
      <c r="J6064" s="380" t="s">
        <v>773</v>
      </c>
      <c r="K6064" s="381">
        <v>0.0</v>
      </c>
      <c r="L6064" s="382">
        <v>1.0</v>
      </c>
    </row>
    <row r="6065">
      <c r="A6065" s="380" t="s">
        <v>6939</v>
      </c>
      <c r="B6065" s="380" t="str">
        <f>IFERROR(__xludf.DUMMYFUNCTION("""COMPUTED_VALUE"""),"Bombona Aire Cabina Freightli R182991900")</f>
        <v>Bombona Aire Cabina Freightli R182991900</v>
      </c>
      <c r="C6065" s="380" t="str">
        <f>IFERROR(__xludf.DUMMYFUNCTION("""COMPUTED_VALUE"""),"70001448")</f>
        <v>70001448</v>
      </c>
      <c r="D6065" s="380" t="s">
        <v>767</v>
      </c>
      <c r="E6065" s="380" t="s">
        <v>786</v>
      </c>
      <c r="F6065" s="380" t="s">
        <v>792</v>
      </c>
      <c r="G6065" s="380" t="s">
        <v>1267</v>
      </c>
      <c r="H6065" s="380" t="s">
        <v>771</v>
      </c>
      <c r="I6065" s="380" t="s">
        <v>788</v>
      </c>
      <c r="J6065" s="380" t="s">
        <v>773</v>
      </c>
      <c r="K6065" s="381">
        <v>0.0</v>
      </c>
      <c r="L6065" s="382">
        <v>1.0</v>
      </c>
    </row>
    <row r="6066">
      <c r="A6066" s="380" t="s">
        <v>6940</v>
      </c>
      <c r="B6066" s="380" t="str">
        <f>IFERROR(__xludf.DUMMYFUNCTION("""COMPUTED_VALUE"""),"Refuerzo Montaje Capot Isx 3577816C2")</f>
        <v>Refuerzo Montaje Capot Isx 3577816C2</v>
      </c>
      <c r="C6066" s="380" t="str">
        <f>IFERROR(__xludf.DUMMYFUNCTION("""COMPUTED_VALUE"""),"70001449")</f>
        <v>70001449</v>
      </c>
      <c r="D6066" s="380" t="s">
        <v>767</v>
      </c>
      <c r="E6066" s="380" t="s">
        <v>786</v>
      </c>
      <c r="F6066" s="380" t="s">
        <v>792</v>
      </c>
      <c r="G6066" s="380" t="s">
        <v>1267</v>
      </c>
      <c r="H6066" s="380" t="s">
        <v>771</v>
      </c>
      <c r="I6066" s="380" t="s">
        <v>788</v>
      </c>
      <c r="J6066" s="380" t="s">
        <v>773</v>
      </c>
      <c r="K6066" s="381">
        <v>0.0</v>
      </c>
      <c r="L6066" s="382">
        <v>1.0</v>
      </c>
    </row>
    <row r="6067">
      <c r="A6067" s="380" t="s">
        <v>6941</v>
      </c>
      <c r="B6067" s="380" t="str">
        <f>IFERROR(__xludf.DUMMYFUNCTION("""COMPUTED_VALUE"""),"Platina Soporte Frontal Der Isx3606437C1")</f>
        <v>Platina Soporte Frontal Der Isx3606437C1</v>
      </c>
      <c r="C6067" s="380" t="str">
        <f>IFERROR(__xludf.DUMMYFUNCTION("""COMPUTED_VALUE"""),"70001450")</f>
        <v>70001450</v>
      </c>
      <c r="D6067" s="380" t="s">
        <v>767</v>
      </c>
      <c r="E6067" s="380" t="s">
        <v>786</v>
      </c>
      <c r="F6067" s="380" t="s">
        <v>792</v>
      </c>
      <c r="G6067" s="380" t="s">
        <v>1267</v>
      </c>
      <c r="H6067" s="380" t="s">
        <v>771</v>
      </c>
      <c r="I6067" s="380" t="s">
        <v>788</v>
      </c>
      <c r="J6067" s="380" t="s">
        <v>773</v>
      </c>
      <c r="K6067" s="381">
        <v>0.0</v>
      </c>
      <c r="L6067" s="382">
        <v>1.0</v>
      </c>
    </row>
    <row r="6068">
      <c r="A6068" s="380" t="s">
        <v>6942</v>
      </c>
      <c r="B6068" s="380" t="str">
        <f>IFERROR(__xludf.DUMMYFUNCTION("""COMPUTED_VALUE"""),"Tornillo Tabiq Y Flanc Cja Vel8971096961")</f>
        <v>Tornillo Tabiq Y Flanc Cja Vel8971096961</v>
      </c>
      <c r="C6068" s="380" t="str">
        <f>IFERROR(__xludf.DUMMYFUNCTION("""COMPUTED_VALUE"""),"70001451")</f>
        <v>70001451</v>
      </c>
      <c r="D6068" s="380" t="s">
        <v>767</v>
      </c>
      <c r="E6068" s="380" t="s">
        <v>786</v>
      </c>
      <c r="F6068" s="380" t="s">
        <v>928</v>
      </c>
      <c r="G6068" s="380" t="s">
        <v>1267</v>
      </c>
      <c r="H6068" s="380" t="s">
        <v>771</v>
      </c>
      <c r="I6068" s="380" t="s">
        <v>788</v>
      </c>
      <c r="J6068" s="380" t="s">
        <v>773</v>
      </c>
      <c r="K6068" s="381">
        <v>0.0</v>
      </c>
      <c r="L6068" s="382">
        <v>1.0</v>
      </c>
    </row>
    <row r="6069">
      <c r="A6069" s="380" t="s">
        <v>6943</v>
      </c>
      <c r="B6069" s="380" t="str">
        <f>IFERROR(__xludf.DUMMYFUNCTION("""COMPUTED_VALUE"""),"Soporte Frontal Motor Isx 3102796")</f>
        <v>Soporte Frontal Motor Isx 3102796</v>
      </c>
      <c r="C6069" s="380" t="str">
        <f>IFERROR(__xludf.DUMMYFUNCTION("""COMPUTED_VALUE"""),"70001452")</f>
        <v>70001452</v>
      </c>
      <c r="D6069" s="380" t="s">
        <v>767</v>
      </c>
      <c r="E6069" s="380" t="s">
        <v>786</v>
      </c>
      <c r="F6069" s="380" t="s">
        <v>787</v>
      </c>
      <c r="G6069" s="380" t="s">
        <v>1267</v>
      </c>
      <c r="H6069" s="380" t="s">
        <v>771</v>
      </c>
      <c r="I6069" s="380" t="s">
        <v>788</v>
      </c>
      <c r="J6069" s="380" t="s">
        <v>773</v>
      </c>
      <c r="K6069" s="381">
        <v>0.0</v>
      </c>
      <c r="L6069" s="382">
        <v>1.0</v>
      </c>
    </row>
    <row r="6070">
      <c r="A6070" s="380" t="s">
        <v>6944</v>
      </c>
      <c r="B6070" s="380" t="str">
        <f>IFERROR(__xludf.DUMMYFUNCTION("""COMPUTED_VALUE"""),"Switch Encend Motofurgon 3W180 84205003W")</f>
        <v>Switch Encend Motofurgon 3W180 84205003W</v>
      </c>
      <c r="C6070" s="380" t="str">
        <f>IFERROR(__xludf.DUMMYFUNCTION("""COMPUTED_VALUE"""),"70001453")</f>
        <v>70001453</v>
      </c>
      <c r="D6070" s="380" t="s">
        <v>767</v>
      </c>
      <c r="E6070" s="380" t="s">
        <v>786</v>
      </c>
      <c r="F6070" s="380" t="s">
        <v>998</v>
      </c>
      <c r="G6070" s="380" t="s">
        <v>1267</v>
      </c>
      <c r="H6070" s="380" t="s">
        <v>771</v>
      </c>
      <c r="I6070" s="380" t="s">
        <v>788</v>
      </c>
      <c r="J6070" s="380" t="s">
        <v>773</v>
      </c>
      <c r="K6070" s="381">
        <v>0.0</v>
      </c>
      <c r="L6070" s="382">
        <v>1.0</v>
      </c>
    </row>
    <row r="6071">
      <c r="A6071" s="380" t="s">
        <v>6945</v>
      </c>
      <c r="B6071" s="380" t="str">
        <f>IFERROR(__xludf.DUMMYFUNCTION("""COMPUTED_VALUE"""),"Cabrilla Direccion Eagle 9400 2017594C2")</f>
        <v>Cabrilla Direccion Eagle 9400 2017594C2</v>
      </c>
      <c r="C6071" s="380" t="str">
        <f>IFERROR(__xludf.DUMMYFUNCTION("""COMPUTED_VALUE"""),"70001454")</f>
        <v>70001454</v>
      </c>
      <c r="D6071" s="380" t="s">
        <v>767</v>
      </c>
      <c r="E6071" s="380" t="s">
        <v>786</v>
      </c>
      <c r="F6071" s="380" t="s">
        <v>792</v>
      </c>
      <c r="G6071" s="380" t="s">
        <v>1267</v>
      </c>
      <c r="H6071" s="380" t="s">
        <v>771</v>
      </c>
      <c r="I6071" s="380" t="s">
        <v>788</v>
      </c>
      <c r="J6071" s="380" t="s">
        <v>773</v>
      </c>
      <c r="K6071" s="381">
        <v>0.0</v>
      </c>
      <c r="L6071" s="382">
        <v>1.0</v>
      </c>
    </row>
    <row r="6072">
      <c r="A6072" s="380" t="s">
        <v>6946</v>
      </c>
      <c r="B6072" s="380" t="str">
        <f>IFERROR(__xludf.DUMMYFUNCTION("""COMPUTED_VALUE"""),"Correa Alternad 7PK1030 Reward8980031870")</f>
        <v>Correa Alternad 7PK1030 Reward8980031870</v>
      </c>
      <c r="C6072" s="380" t="str">
        <f>IFERROR(__xludf.DUMMYFUNCTION("""COMPUTED_VALUE"""),"70001455")</f>
        <v>70001455</v>
      </c>
      <c r="D6072" s="380" t="s">
        <v>767</v>
      </c>
      <c r="E6072" s="380" t="s">
        <v>786</v>
      </c>
      <c r="F6072" s="380" t="s">
        <v>787</v>
      </c>
      <c r="G6072" s="380" t="s">
        <v>1267</v>
      </c>
      <c r="H6072" s="380" t="s">
        <v>771</v>
      </c>
      <c r="I6072" s="380" t="s">
        <v>788</v>
      </c>
      <c r="J6072" s="380" t="s">
        <v>773</v>
      </c>
      <c r="K6072" s="381">
        <v>56180.0</v>
      </c>
      <c r="L6072" s="382">
        <v>1.0</v>
      </c>
    </row>
    <row r="6073">
      <c r="A6073" s="380" t="s">
        <v>6947</v>
      </c>
      <c r="B6073" s="380" t="str">
        <f>IFERROR(__xludf.DUMMYFUNCTION("""COMPUTED_VALUE"""),"Empaquetadura Transmisión Nkr 5878319820")</f>
        <v>Empaquetadura Transmisión Nkr 5878319820</v>
      </c>
      <c r="C6073" s="380" t="str">
        <f>IFERROR(__xludf.DUMMYFUNCTION("""COMPUTED_VALUE"""),"70001456")</f>
        <v>70001456</v>
      </c>
      <c r="D6073" s="380" t="s">
        <v>767</v>
      </c>
      <c r="E6073" s="380" t="s">
        <v>786</v>
      </c>
      <c r="F6073" s="380" t="s">
        <v>5683</v>
      </c>
      <c r="G6073" s="380" t="s">
        <v>1267</v>
      </c>
      <c r="H6073" s="380" t="s">
        <v>771</v>
      </c>
      <c r="I6073" s="380" t="s">
        <v>788</v>
      </c>
      <c r="J6073" s="380" t="s">
        <v>773</v>
      </c>
      <c r="K6073" s="381">
        <v>0.0</v>
      </c>
      <c r="L6073" s="382">
        <v>1.0</v>
      </c>
    </row>
    <row r="6074">
      <c r="A6074" s="380" t="s">
        <v>6948</v>
      </c>
      <c r="B6074" s="380" t="str">
        <f>IFERROR(__xludf.DUMMYFUNCTION("""COMPUTED_VALUE"""),"Hoja Muelle Tras Nkr Reward 22007/4")</f>
        <v>Hoja Muelle Tras Nkr Reward 22007/4</v>
      </c>
      <c r="C6074" s="380" t="str">
        <f>IFERROR(__xludf.DUMMYFUNCTION("""COMPUTED_VALUE"""),"70001457")</f>
        <v>70001457</v>
      </c>
      <c r="D6074" s="380" t="s">
        <v>767</v>
      </c>
      <c r="E6074" s="380" t="s">
        <v>786</v>
      </c>
      <c r="F6074" s="380" t="s">
        <v>1039</v>
      </c>
      <c r="G6074" s="380" t="s">
        <v>1267</v>
      </c>
      <c r="H6074" s="380" t="s">
        <v>771</v>
      </c>
      <c r="I6074" s="380" t="s">
        <v>788</v>
      </c>
      <c r="J6074" s="380" t="s">
        <v>773</v>
      </c>
      <c r="K6074" s="381">
        <v>0.0</v>
      </c>
      <c r="L6074" s="382">
        <v>1.0</v>
      </c>
    </row>
    <row r="6075">
      <c r="A6075" s="380" t="s">
        <v>6949</v>
      </c>
      <c r="B6075" s="380" t="str">
        <f>IFERROR(__xludf.DUMMYFUNCTION("""COMPUTED_VALUE"""),"Comando Plumillas Y Direccion KW P271067")</f>
        <v>Comando Plumillas Y Direccion KW P271067</v>
      </c>
      <c r="C6075" s="380" t="str">
        <f>IFERROR(__xludf.DUMMYFUNCTION("""COMPUTED_VALUE"""),"70001458")</f>
        <v>70001458</v>
      </c>
      <c r="D6075" s="380" t="s">
        <v>767</v>
      </c>
      <c r="E6075" s="380" t="s">
        <v>786</v>
      </c>
      <c r="F6075" s="380" t="s">
        <v>792</v>
      </c>
      <c r="G6075" s="380" t="s">
        <v>1267</v>
      </c>
      <c r="H6075" s="380" t="s">
        <v>771</v>
      </c>
      <c r="I6075" s="380" t="s">
        <v>788</v>
      </c>
      <c r="J6075" s="380" t="s">
        <v>773</v>
      </c>
      <c r="K6075" s="381">
        <v>0.0</v>
      </c>
      <c r="L6075" s="382">
        <v>1.0</v>
      </c>
    </row>
    <row r="6076">
      <c r="A6076" s="380" t="s">
        <v>6950</v>
      </c>
      <c r="B6076" s="380" t="str">
        <f>IFERROR(__xludf.DUMMYFUNCTION("""COMPUTED_VALUE"""),"Cremall Elevav Electr Der Eagl3662378C91")</f>
        <v>Cremall Elevav Electr Der Eagl3662378C91</v>
      </c>
      <c r="C6076" s="380" t="str">
        <f>IFERROR(__xludf.DUMMYFUNCTION("""COMPUTED_VALUE"""),"70001459")</f>
        <v>70001459</v>
      </c>
      <c r="D6076" s="380" t="s">
        <v>767</v>
      </c>
      <c r="E6076" s="380" t="s">
        <v>786</v>
      </c>
      <c r="F6076" s="380" t="s">
        <v>998</v>
      </c>
      <c r="G6076" s="380" t="s">
        <v>1267</v>
      </c>
      <c r="H6076" s="380" t="s">
        <v>771</v>
      </c>
      <c r="I6076" s="380" t="s">
        <v>788</v>
      </c>
      <c r="J6076" s="380" t="s">
        <v>773</v>
      </c>
      <c r="K6076" s="381">
        <v>2304364.0</v>
      </c>
      <c r="L6076" s="382">
        <v>1.0</v>
      </c>
    </row>
    <row r="6077">
      <c r="A6077" s="380" t="s">
        <v>6951</v>
      </c>
      <c r="B6077" s="380" t="str">
        <f>IFERROR(__xludf.DUMMYFUNCTION("""COMPUTED_VALUE"""),"Lampara Direccional Der FTR 8982386300")</f>
        <v>Lampara Direccional Der FTR 8982386300</v>
      </c>
      <c r="C6077" s="380" t="str">
        <f>IFERROR(__xludf.DUMMYFUNCTION("""COMPUTED_VALUE"""),"70001460")</f>
        <v>70001460</v>
      </c>
      <c r="D6077" s="380" t="s">
        <v>767</v>
      </c>
      <c r="E6077" s="380" t="s">
        <v>786</v>
      </c>
      <c r="F6077" s="380" t="s">
        <v>792</v>
      </c>
      <c r="G6077" s="380" t="s">
        <v>1267</v>
      </c>
      <c r="H6077" s="380" t="s">
        <v>771</v>
      </c>
      <c r="I6077" s="380" t="s">
        <v>788</v>
      </c>
      <c r="J6077" s="380" t="s">
        <v>773</v>
      </c>
      <c r="K6077" s="381">
        <v>0.0</v>
      </c>
      <c r="L6077" s="382">
        <v>1.0</v>
      </c>
    </row>
    <row r="6078">
      <c r="A6078" s="380" t="s">
        <v>6952</v>
      </c>
      <c r="B6078" s="380" t="str">
        <f>IFERROR(__xludf.DUMMYFUNCTION("""COMPUTED_VALUE"""),"Lampara Principal Derecha FTR 8982256240")</f>
        <v>Lampara Principal Derecha FTR 8982256240</v>
      </c>
      <c r="C6078" s="380" t="str">
        <f>IFERROR(__xludf.DUMMYFUNCTION("""COMPUTED_VALUE"""),"70001461")</f>
        <v>70001461</v>
      </c>
      <c r="D6078" s="380" t="s">
        <v>767</v>
      </c>
      <c r="E6078" s="380" t="s">
        <v>786</v>
      </c>
      <c r="F6078" s="380" t="s">
        <v>792</v>
      </c>
      <c r="G6078" s="380" t="s">
        <v>1267</v>
      </c>
      <c r="H6078" s="380" t="s">
        <v>771</v>
      </c>
      <c r="I6078" s="380" t="s">
        <v>788</v>
      </c>
      <c r="J6078" s="380" t="s">
        <v>773</v>
      </c>
      <c r="K6078" s="381">
        <v>0.0</v>
      </c>
      <c r="L6078" s="382">
        <v>1.0</v>
      </c>
    </row>
    <row r="6079">
      <c r="A6079" s="380" t="s">
        <v>6953</v>
      </c>
      <c r="B6079" s="380" t="str">
        <f>IFERROR(__xludf.DUMMYFUNCTION("""COMPUTED_VALUE"""),"Panel Inferior Izq Cabina Eagle3563690C2")</f>
        <v>Panel Inferior Izq Cabina Eagle3563690C2</v>
      </c>
      <c r="C6079" s="380" t="str">
        <f>IFERROR(__xludf.DUMMYFUNCTION("""COMPUTED_VALUE"""),"70001462")</f>
        <v>70001462</v>
      </c>
      <c r="D6079" s="380" t="s">
        <v>767</v>
      </c>
      <c r="E6079" s="380" t="s">
        <v>786</v>
      </c>
      <c r="F6079" s="380" t="s">
        <v>792</v>
      </c>
      <c r="G6079" s="380" t="s">
        <v>1267</v>
      </c>
      <c r="H6079" s="380" t="s">
        <v>771</v>
      </c>
      <c r="I6079" s="380" t="s">
        <v>788</v>
      </c>
      <c r="J6079" s="380" t="s">
        <v>773</v>
      </c>
      <c r="K6079" s="381">
        <v>0.0</v>
      </c>
      <c r="L6079" s="382">
        <v>1.0</v>
      </c>
    </row>
    <row r="6080">
      <c r="A6080" s="380" t="s">
        <v>6954</v>
      </c>
      <c r="B6080" s="380" t="str">
        <f>IFERROR(__xludf.DUMMYFUNCTION("""COMPUTED_VALUE"""),"Panel Aislad Izq Cabina Eagle 3563698C91")</f>
        <v>Panel Aislad Izq Cabina Eagle 3563698C91</v>
      </c>
      <c r="C6080" s="380" t="str">
        <f>IFERROR(__xludf.DUMMYFUNCTION("""COMPUTED_VALUE"""),"70001463")</f>
        <v>70001463</v>
      </c>
      <c r="D6080" s="380" t="s">
        <v>767</v>
      </c>
      <c r="E6080" s="380" t="s">
        <v>786</v>
      </c>
      <c r="F6080" s="380" t="s">
        <v>792</v>
      </c>
      <c r="G6080" s="380" t="s">
        <v>1267</v>
      </c>
      <c r="H6080" s="380" t="s">
        <v>771</v>
      </c>
      <c r="I6080" s="380" t="s">
        <v>788</v>
      </c>
      <c r="J6080" s="380" t="s">
        <v>773</v>
      </c>
      <c r="K6080" s="381">
        <v>0.0</v>
      </c>
      <c r="L6080" s="382">
        <v>1.0</v>
      </c>
    </row>
    <row r="6081">
      <c r="A6081" s="380" t="s">
        <v>6955</v>
      </c>
      <c r="B6081" s="380" t="str">
        <f>IFERROR(__xludf.DUMMYFUNCTION("""COMPUTED_VALUE"""),"Bomba Tanque Agua Limpiabr Hi 3604375C1")</f>
        <v>Bomba Tanque Agua Limpiabr Hi 3604375C1</v>
      </c>
      <c r="C6081" s="380" t="str">
        <f>IFERROR(__xludf.DUMMYFUNCTION("""COMPUTED_VALUE"""),"70001464")</f>
        <v>70001464</v>
      </c>
      <c r="D6081" s="380" t="s">
        <v>767</v>
      </c>
      <c r="E6081" s="380" t="s">
        <v>786</v>
      </c>
      <c r="F6081" s="380" t="s">
        <v>998</v>
      </c>
      <c r="G6081" s="380" t="s">
        <v>1267</v>
      </c>
      <c r="H6081" s="380" t="s">
        <v>771</v>
      </c>
      <c r="I6081" s="380" t="s">
        <v>788</v>
      </c>
      <c r="J6081" s="380" t="s">
        <v>773</v>
      </c>
      <c r="K6081" s="381">
        <v>131526.0</v>
      </c>
      <c r="L6081" s="382">
        <v>1.0</v>
      </c>
    </row>
    <row r="6082">
      <c r="A6082" s="380" t="s">
        <v>6956</v>
      </c>
      <c r="B6082" s="380" t="str">
        <f>IFERROR(__xludf.DUMMYFUNCTION("""COMPUTED_VALUE"""),"Sopor Clip Vidrio Pta Nkr Rew 8982117620")</f>
        <v>Sopor Clip Vidrio Pta Nkr Rew 8982117620</v>
      </c>
      <c r="C6082" s="380" t="str">
        <f>IFERROR(__xludf.DUMMYFUNCTION("""COMPUTED_VALUE"""),"70001465")</f>
        <v>70001465</v>
      </c>
      <c r="D6082" s="380" t="s">
        <v>767</v>
      </c>
      <c r="E6082" s="380" t="s">
        <v>786</v>
      </c>
      <c r="F6082" s="380" t="s">
        <v>792</v>
      </c>
      <c r="G6082" s="380" t="s">
        <v>1267</v>
      </c>
      <c r="H6082" s="380" t="s">
        <v>771</v>
      </c>
      <c r="I6082" s="380" t="s">
        <v>788</v>
      </c>
      <c r="J6082" s="380" t="s">
        <v>773</v>
      </c>
      <c r="K6082" s="381">
        <v>0.0</v>
      </c>
      <c r="L6082" s="382">
        <v>1.0</v>
      </c>
    </row>
    <row r="6083">
      <c r="A6083" s="380" t="s">
        <v>6957</v>
      </c>
      <c r="B6083" s="380" t="str">
        <f>IFERROR(__xludf.DUMMYFUNCTION("""COMPUTED_VALUE"""),"Sensor Posición Cigüeñal N200 8982117620")</f>
        <v>Sensor Posición Cigüeñal N200 8982117620</v>
      </c>
      <c r="C6083" s="380" t="str">
        <f>IFERROR(__xludf.DUMMYFUNCTION("""COMPUTED_VALUE"""),"70001466")</f>
        <v>70001466</v>
      </c>
      <c r="D6083" s="380" t="s">
        <v>767</v>
      </c>
      <c r="E6083" s="380" t="s">
        <v>786</v>
      </c>
      <c r="F6083" s="380" t="s">
        <v>787</v>
      </c>
      <c r="G6083" s="380" t="s">
        <v>1267</v>
      </c>
      <c r="H6083" s="380" t="s">
        <v>771</v>
      </c>
      <c r="I6083" s="380" t="s">
        <v>788</v>
      </c>
      <c r="J6083" s="380" t="s">
        <v>773</v>
      </c>
      <c r="K6083" s="381">
        <v>0.0</v>
      </c>
      <c r="L6083" s="382">
        <v>1.0</v>
      </c>
    </row>
    <row r="6084">
      <c r="A6084" s="380" t="s">
        <v>6958</v>
      </c>
      <c r="B6084" s="380" t="str">
        <f>IFERROR(__xludf.DUMMYFUNCTION("""COMPUTED_VALUE"""),"Lampara Lateral Puerta Der FTR8974101804")</f>
        <v>Lampara Lateral Puerta Der FTR8974101804</v>
      </c>
      <c r="C6084" s="380" t="str">
        <f>IFERROR(__xludf.DUMMYFUNCTION("""COMPUTED_VALUE"""),"70001467")</f>
        <v>70001467</v>
      </c>
      <c r="D6084" s="380" t="s">
        <v>767</v>
      </c>
      <c r="E6084" s="380" t="s">
        <v>786</v>
      </c>
      <c r="F6084" s="380" t="s">
        <v>792</v>
      </c>
      <c r="G6084" s="380" t="s">
        <v>1267</v>
      </c>
      <c r="H6084" s="380" t="s">
        <v>771</v>
      </c>
      <c r="I6084" s="380" t="s">
        <v>788</v>
      </c>
      <c r="J6084" s="380" t="s">
        <v>773</v>
      </c>
      <c r="K6084" s="381">
        <v>0.0</v>
      </c>
      <c r="L6084" s="382">
        <v>1.0</v>
      </c>
    </row>
    <row r="6085">
      <c r="A6085" s="380" t="s">
        <v>6959</v>
      </c>
      <c r="B6085" s="380" t="str">
        <f>IFERROR(__xludf.DUMMYFUNCTION("""COMPUTED_VALUE"""),"Tapa Espejo Lado Derecho FTR 8980318022")</f>
        <v>Tapa Espejo Lado Derecho FTR 8980318022</v>
      </c>
      <c r="C6085" s="380" t="str">
        <f>IFERROR(__xludf.DUMMYFUNCTION("""COMPUTED_VALUE"""),"70001468")</f>
        <v>70001468</v>
      </c>
      <c r="D6085" s="380" t="s">
        <v>767</v>
      </c>
      <c r="E6085" s="380" t="s">
        <v>786</v>
      </c>
      <c r="F6085" s="380" t="s">
        <v>792</v>
      </c>
      <c r="G6085" s="380" t="s">
        <v>1267</v>
      </c>
      <c r="H6085" s="380" t="s">
        <v>771</v>
      </c>
      <c r="I6085" s="380" t="s">
        <v>788</v>
      </c>
      <c r="J6085" s="380" t="s">
        <v>773</v>
      </c>
      <c r="K6085" s="381">
        <v>0.0</v>
      </c>
      <c r="L6085" s="382">
        <v>1.0</v>
      </c>
    </row>
    <row r="6086">
      <c r="A6086" s="380" t="s">
        <v>6960</v>
      </c>
      <c r="B6086" s="380" t="str">
        <f>IFERROR(__xludf.DUMMYFUNCTION("""COMPUTED_VALUE"""),"Deposito Refrigerante N200 24539203")</f>
        <v>Deposito Refrigerante N200 24539203</v>
      </c>
      <c r="C6086" s="380" t="str">
        <f>IFERROR(__xludf.DUMMYFUNCTION("""COMPUTED_VALUE"""),"70001469")</f>
        <v>70001469</v>
      </c>
      <c r="D6086" s="380" t="s">
        <v>767</v>
      </c>
      <c r="E6086" s="380" t="s">
        <v>786</v>
      </c>
      <c r="F6086" s="380" t="s">
        <v>787</v>
      </c>
      <c r="G6086" s="380" t="s">
        <v>1267</v>
      </c>
      <c r="H6086" s="380" t="s">
        <v>771</v>
      </c>
      <c r="I6086" s="380" t="s">
        <v>788</v>
      </c>
      <c r="J6086" s="380" t="s">
        <v>773</v>
      </c>
      <c r="K6086" s="381">
        <v>0.0</v>
      </c>
      <c r="L6086" s="382">
        <v>1.0</v>
      </c>
    </row>
    <row r="6087">
      <c r="A6087" s="380" t="s">
        <v>6961</v>
      </c>
      <c r="B6087" s="380" t="str">
        <f>IFERROR(__xludf.DUMMYFUNCTION("""COMPUTED_VALUE"""),"Rodamiento Piñon Diferenc N200 24528005")</f>
        <v>Rodamiento Piñon Diferenc N200 24528005</v>
      </c>
      <c r="C6087" s="380" t="str">
        <f>IFERROR(__xludf.DUMMYFUNCTION("""COMPUTED_VALUE"""),"70001470")</f>
        <v>70001470</v>
      </c>
      <c r="D6087" s="380" t="s">
        <v>767</v>
      </c>
      <c r="E6087" s="380" t="s">
        <v>786</v>
      </c>
      <c r="F6087" s="380" t="s">
        <v>5683</v>
      </c>
      <c r="G6087" s="380" t="s">
        <v>1267</v>
      </c>
      <c r="H6087" s="380" t="s">
        <v>771</v>
      </c>
      <c r="I6087" s="380" t="s">
        <v>788</v>
      </c>
      <c r="J6087" s="380" t="s">
        <v>773</v>
      </c>
      <c r="K6087" s="381">
        <v>0.0</v>
      </c>
      <c r="L6087" s="382">
        <v>1.0</v>
      </c>
    </row>
    <row r="6088">
      <c r="A6088" s="380" t="s">
        <v>6962</v>
      </c>
      <c r="B6088" s="380" t="str">
        <f>IFERROR(__xludf.DUMMYFUNCTION("""COMPUTED_VALUE"""),"Rodamiento Diferencial N200 24528006")</f>
        <v>Rodamiento Diferencial N200 24528006</v>
      </c>
      <c r="C6088" s="380" t="str">
        <f>IFERROR(__xludf.DUMMYFUNCTION("""COMPUTED_VALUE"""),"70001471")</f>
        <v>70001471</v>
      </c>
      <c r="D6088" s="380" t="s">
        <v>767</v>
      </c>
      <c r="E6088" s="380" t="s">
        <v>786</v>
      </c>
      <c r="F6088" s="380" t="s">
        <v>5683</v>
      </c>
      <c r="G6088" s="380" t="s">
        <v>1267</v>
      </c>
      <c r="H6088" s="380" t="s">
        <v>771</v>
      </c>
      <c r="I6088" s="380" t="s">
        <v>788</v>
      </c>
      <c r="J6088" s="380" t="s">
        <v>773</v>
      </c>
      <c r="K6088" s="381">
        <v>0.0</v>
      </c>
      <c r="L6088" s="382">
        <v>1.0</v>
      </c>
    </row>
    <row r="6089">
      <c r="A6089" s="380" t="s">
        <v>6963</v>
      </c>
      <c r="B6089" s="380" t="str">
        <f>IFERROR(__xludf.DUMMYFUNCTION("""COMPUTED_VALUE"""),"Kit Sopor Radiador Ang Der Isx2591568C91")</f>
        <v>Kit Sopor Radiador Ang Der Isx2591568C91</v>
      </c>
      <c r="C6089" s="380" t="str">
        <f>IFERROR(__xludf.DUMMYFUNCTION("""COMPUTED_VALUE"""),"70001472")</f>
        <v>70001472</v>
      </c>
      <c r="D6089" s="380" t="s">
        <v>767</v>
      </c>
      <c r="E6089" s="380" t="s">
        <v>786</v>
      </c>
      <c r="F6089" s="380" t="s">
        <v>787</v>
      </c>
      <c r="G6089" s="380" t="s">
        <v>1267</v>
      </c>
      <c r="H6089" s="380" t="s">
        <v>771</v>
      </c>
      <c r="I6089" s="380" t="s">
        <v>788</v>
      </c>
      <c r="J6089" s="380" t="s">
        <v>773</v>
      </c>
      <c r="K6089" s="381">
        <v>0.0</v>
      </c>
      <c r="L6089" s="382">
        <v>1.0</v>
      </c>
    </row>
    <row r="6090">
      <c r="A6090" s="380" t="s">
        <v>6964</v>
      </c>
      <c r="B6090" s="380" t="str">
        <f>IFERROR(__xludf.DUMMYFUNCTION("""COMPUTED_VALUE"""),"Amortiguador Trasero N-200 24540456")</f>
        <v>Amortiguador Trasero N-200 24540456</v>
      </c>
      <c r="C6090" s="380" t="str">
        <f>IFERROR(__xludf.DUMMYFUNCTION("""COMPUTED_VALUE"""),"70001473")</f>
        <v>70001473</v>
      </c>
      <c r="D6090" s="380" t="s">
        <v>767</v>
      </c>
      <c r="E6090" s="380" t="s">
        <v>786</v>
      </c>
      <c r="F6090" s="380" t="s">
        <v>1039</v>
      </c>
      <c r="G6090" s="380" t="s">
        <v>1267</v>
      </c>
      <c r="H6090" s="380" t="s">
        <v>771</v>
      </c>
      <c r="I6090" s="380" t="s">
        <v>788</v>
      </c>
      <c r="J6090" s="380" t="s">
        <v>773</v>
      </c>
      <c r="K6090" s="381">
        <v>0.0</v>
      </c>
      <c r="L6090" s="382">
        <v>1.0</v>
      </c>
    </row>
    <row r="6091">
      <c r="A6091" s="380" t="s">
        <v>6965</v>
      </c>
      <c r="B6091" s="380" t="str">
        <f>IFERROR(__xludf.DUMMYFUNCTION("""COMPUTED_VALUE"""),"Balancin Muelle Trasero N-200 5497022")</f>
        <v>Balancin Muelle Trasero N-200 5497022</v>
      </c>
      <c r="C6091" s="380" t="str">
        <f>IFERROR(__xludf.DUMMYFUNCTION("""COMPUTED_VALUE"""),"70001474")</f>
        <v>70001474</v>
      </c>
      <c r="D6091" s="380" t="s">
        <v>767</v>
      </c>
      <c r="E6091" s="380" t="s">
        <v>786</v>
      </c>
      <c r="F6091" s="380" t="s">
        <v>1039</v>
      </c>
      <c r="G6091" s="380" t="s">
        <v>1267</v>
      </c>
      <c r="H6091" s="380" t="s">
        <v>771</v>
      </c>
      <c r="I6091" s="380" t="s">
        <v>788</v>
      </c>
      <c r="J6091" s="380" t="s">
        <v>773</v>
      </c>
      <c r="K6091" s="381">
        <v>0.0</v>
      </c>
      <c r="L6091" s="382">
        <v>1.0</v>
      </c>
    </row>
    <row r="6092">
      <c r="A6092" s="380" t="s">
        <v>6966</v>
      </c>
      <c r="B6092" s="380" t="str">
        <f>IFERROR(__xludf.DUMMYFUNCTION("""COMPUTED_VALUE"""),"Base Soporte Cabina Eagle 9400 3508249C3")</f>
        <v>Base Soporte Cabina Eagle 9400 3508249C3</v>
      </c>
      <c r="C6092" s="380" t="str">
        <f>IFERROR(__xludf.DUMMYFUNCTION("""COMPUTED_VALUE"""),"70001475")</f>
        <v>70001475</v>
      </c>
      <c r="D6092" s="380" t="s">
        <v>767</v>
      </c>
      <c r="E6092" s="380" t="s">
        <v>786</v>
      </c>
      <c r="F6092" s="380" t="s">
        <v>792</v>
      </c>
      <c r="G6092" s="380" t="s">
        <v>1267</v>
      </c>
      <c r="H6092" s="380" t="s">
        <v>771</v>
      </c>
      <c r="I6092" s="380" t="s">
        <v>788</v>
      </c>
      <c r="J6092" s="380" t="s">
        <v>773</v>
      </c>
      <c r="K6092" s="381">
        <v>1975281.0</v>
      </c>
      <c r="L6092" s="382">
        <v>1.0</v>
      </c>
    </row>
    <row r="6093">
      <c r="A6093" s="380" t="s">
        <v>6967</v>
      </c>
      <c r="B6093" s="380" t="str">
        <f>IFERROR(__xludf.DUMMYFUNCTION("""COMPUTED_VALUE"""),"Rodillo Tren Fijo Npr 8972531051")</f>
        <v>Rodillo Tren Fijo Npr 8972531051</v>
      </c>
      <c r="C6093" s="380" t="str">
        <f>IFERROR(__xludf.DUMMYFUNCTION("""COMPUTED_VALUE"""),"70001476")</f>
        <v>70001476</v>
      </c>
      <c r="D6093" s="380" t="s">
        <v>767</v>
      </c>
      <c r="E6093" s="380" t="s">
        <v>786</v>
      </c>
      <c r="F6093" s="380" t="s">
        <v>928</v>
      </c>
      <c r="G6093" s="380" t="s">
        <v>1267</v>
      </c>
      <c r="H6093" s="380" t="s">
        <v>771</v>
      </c>
      <c r="I6093" s="380" t="s">
        <v>788</v>
      </c>
      <c r="J6093" s="380" t="s">
        <v>773</v>
      </c>
      <c r="K6093" s="381">
        <v>0.0</v>
      </c>
      <c r="L6093" s="382">
        <v>1.0</v>
      </c>
    </row>
    <row r="6094">
      <c r="A6094" s="380" t="s">
        <v>6968</v>
      </c>
      <c r="B6094" s="380" t="str">
        <f>IFERROR(__xludf.DUMMYFUNCTION("""COMPUTED_VALUE"""),"Retenedor Eje Toma Npr 8972535500")</f>
        <v>Retenedor Eje Toma Npr 8972535500</v>
      </c>
      <c r="C6094" s="380" t="str">
        <f>IFERROR(__xludf.DUMMYFUNCTION("""COMPUTED_VALUE"""),"70001477")</f>
        <v>70001477</v>
      </c>
      <c r="D6094" s="380" t="s">
        <v>767</v>
      </c>
      <c r="E6094" s="380" t="s">
        <v>786</v>
      </c>
      <c r="F6094" s="380" t="s">
        <v>928</v>
      </c>
      <c r="G6094" s="380" t="s">
        <v>1267</v>
      </c>
      <c r="H6094" s="380" t="s">
        <v>771</v>
      </c>
      <c r="I6094" s="380" t="s">
        <v>788</v>
      </c>
      <c r="J6094" s="380" t="s">
        <v>773</v>
      </c>
      <c r="K6094" s="381">
        <v>0.0</v>
      </c>
      <c r="L6094" s="382">
        <v>1.0</v>
      </c>
    </row>
    <row r="6095">
      <c r="A6095" s="380" t="s">
        <v>6969</v>
      </c>
      <c r="B6095" s="380" t="str">
        <f>IFERROR(__xludf.DUMMYFUNCTION("""COMPUTED_VALUE"""),"Retenedor Extencion Caja Npr 8972535521")</f>
        <v>Retenedor Extencion Caja Npr 8972535521</v>
      </c>
      <c r="C6095" s="380" t="str">
        <f>IFERROR(__xludf.DUMMYFUNCTION("""COMPUTED_VALUE"""),"70001478")</f>
        <v>70001478</v>
      </c>
      <c r="D6095" s="380" t="s">
        <v>767</v>
      </c>
      <c r="E6095" s="380" t="s">
        <v>786</v>
      </c>
      <c r="F6095" s="380" t="s">
        <v>928</v>
      </c>
      <c r="G6095" s="380" t="s">
        <v>1267</v>
      </c>
      <c r="H6095" s="380" t="s">
        <v>771</v>
      </c>
      <c r="I6095" s="380" t="s">
        <v>788</v>
      </c>
      <c r="J6095" s="380" t="s">
        <v>773</v>
      </c>
      <c r="K6095" s="381">
        <v>0.0</v>
      </c>
      <c r="L6095" s="382">
        <v>1.0</v>
      </c>
    </row>
    <row r="6096">
      <c r="A6096" s="380" t="s">
        <v>6970</v>
      </c>
      <c r="B6096" s="380" t="str">
        <f>IFERROR(__xludf.DUMMYFUNCTION("""COMPUTED_VALUE"""),"Cubo Sincroni Caja 2daY3ra Npr8972412961")</f>
        <v>Cubo Sincroni Caja 2daY3ra Npr8972412961</v>
      </c>
      <c r="C6096" s="380" t="str">
        <f>IFERROR(__xludf.DUMMYFUNCTION("""COMPUTED_VALUE"""),"70001479")</f>
        <v>70001479</v>
      </c>
      <c r="D6096" s="380" t="s">
        <v>767</v>
      </c>
      <c r="E6096" s="380" t="s">
        <v>786</v>
      </c>
      <c r="F6096" s="380" t="s">
        <v>928</v>
      </c>
      <c r="G6096" s="380" t="s">
        <v>1267</v>
      </c>
      <c r="H6096" s="380" t="s">
        <v>771</v>
      </c>
      <c r="I6096" s="380" t="s">
        <v>788</v>
      </c>
      <c r="J6096" s="380" t="s">
        <v>773</v>
      </c>
      <c r="K6096" s="381">
        <v>0.0</v>
      </c>
      <c r="L6096" s="382">
        <v>1.0</v>
      </c>
    </row>
    <row r="6097">
      <c r="A6097" s="380" t="s">
        <v>6971</v>
      </c>
      <c r="B6097" s="380" t="str">
        <f>IFERROR(__xludf.DUMMYFUNCTION("""COMPUTED_VALUE"""),"Horquilla Embrague Npr 8972553030")</f>
        <v>Horquilla Embrague Npr 8972553030</v>
      </c>
      <c r="C6097" s="380" t="str">
        <f>IFERROR(__xludf.DUMMYFUNCTION("""COMPUTED_VALUE"""),"70001480")</f>
        <v>70001480</v>
      </c>
      <c r="D6097" s="380" t="s">
        <v>767</v>
      </c>
      <c r="E6097" s="380" t="s">
        <v>786</v>
      </c>
      <c r="F6097" s="380" t="s">
        <v>928</v>
      </c>
      <c r="G6097" s="380" t="s">
        <v>1267</v>
      </c>
      <c r="H6097" s="380" t="s">
        <v>771</v>
      </c>
      <c r="I6097" s="380" t="s">
        <v>788</v>
      </c>
      <c r="J6097" s="380" t="s">
        <v>773</v>
      </c>
      <c r="K6097" s="381">
        <v>0.0</v>
      </c>
      <c r="L6097" s="382">
        <v>1.0</v>
      </c>
    </row>
    <row r="6098">
      <c r="A6098" s="380" t="s">
        <v>6972</v>
      </c>
      <c r="B6098" s="380" t="str">
        <f>IFERROR(__xludf.DUMMYFUNCTION("""COMPUTED_VALUE"""),"Balin Sincroniz 1ra Y 2da Npr 8972529350")</f>
        <v>Balin Sincroniz 1ra Y 2da Npr 8972529350</v>
      </c>
      <c r="C6098" s="380" t="str">
        <f>IFERROR(__xludf.DUMMYFUNCTION("""COMPUTED_VALUE"""),"70001481")</f>
        <v>70001481</v>
      </c>
      <c r="D6098" s="380" t="s">
        <v>767</v>
      </c>
      <c r="E6098" s="380" t="s">
        <v>786</v>
      </c>
      <c r="F6098" s="380" t="s">
        <v>928</v>
      </c>
      <c r="G6098" s="380" t="s">
        <v>1267</v>
      </c>
      <c r="H6098" s="380" t="s">
        <v>771</v>
      </c>
      <c r="I6098" s="380" t="s">
        <v>788</v>
      </c>
      <c r="J6098" s="380" t="s">
        <v>773</v>
      </c>
      <c r="K6098" s="381">
        <v>0.0</v>
      </c>
      <c r="L6098" s="382">
        <v>1.0</v>
      </c>
    </row>
    <row r="6099">
      <c r="A6099" s="380" t="s">
        <v>6973</v>
      </c>
      <c r="B6099" s="380" t="str">
        <f>IFERROR(__xludf.DUMMYFUNCTION("""COMPUTED_VALUE"""),"Rodillo Interno Toma Caja Npr 8972531021")</f>
        <v>Rodillo Interno Toma Caja Npr 8972531021</v>
      </c>
      <c r="C6099" s="380" t="str">
        <f>IFERROR(__xludf.DUMMYFUNCTION("""COMPUTED_VALUE"""),"70001482")</f>
        <v>70001482</v>
      </c>
      <c r="D6099" s="380" t="s">
        <v>767</v>
      </c>
      <c r="E6099" s="380" t="s">
        <v>786</v>
      </c>
      <c r="F6099" s="380" t="s">
        <v>928</v>
      </c>
      <c r="G6099" s="380" t="s">
        <v>1267</v>
      </c>
      <c r="H6099" s="380" t="s">
        <v>771</v>
      </c>
      <c r="I6099" s="380" t="s">
        <v>788</v>
      </c>
      <c r="J6099" s="380" t="s">
        <v>773</v>
      </c>
      <c r="K6099" s="381">
        <v>0.0</v>
      </c>
      <c r="L6099" s="382">
        <v>1.0</v>
      </c>
    </row>
    <row r="6100">
      <c r="A6100" s="380" t="s">
        <v>6974</v>
      </c>
      <c r="B6100" s="380" t="str">
        <f>IFERROR(__xludf.DUMMYFUNCTION("""COMPUTED_VALUE"""),"Pin Piñon 3ra Caja Npr 8972547430")</f>
        <v>Pin Piñon 3ra Caja Npr 8972547430</v>
      </c>
      <c r="C6100" s="380" t="str">
        <f>IFERROR(__xludf.DUMMYFUNCTION("""COMPUTED_VALUE"""),"70001483")</f>
        <v>70001483</v>
      </c>
      <c r="D6100" s="380" t="s">
        <v>767</v>
      </c>
      <c r="E6100" s="380" t="s">
        <v>786</v>
      </c>
      <c r="F6100" s="380" t="s">
        <v>928</v>
      </c>
      <c r="G6100" s="380" t="s">
        <v>1267</v>
      </c>
      <c r="H6100" s="380" t="s">
        <v>771</v>
      </c>
      <c r="I6100" s="380" t="s">
        <v>788</v>
      </c>
      <c r="J6100" s="380" t="s">
        <v>773</v>
      </c>
      <c r="K6100" s="381">
        <v>0.0</v>
      </c>
      <c r="L6100" s="382">
        <v>1.0</v>
      </c>
    </row>
    <row r="6101">
      <c r="A6101" s="380" t="s">
        <v>6975</v>
      </c>
      <c r="B6101" s="380" t="str">
        <f>IFERROR(__xludf.DUMMYFUNCTION("""COMPUTED_VALUE"""),"Pin Rodillo Inter Toma Cja Npr8972547280")</f>
        <v>Pin Rodillo Inter Toma Cja Npr8972547280</v>
      </c>
      <c r="C6101" s="380" t="str">
        <f>IFERROR(__xludf.DUMMYFUNCTION("""COMPUTED_VALUE"""),"70001484")</f>
        <v>70001484</v>
      </c>
      <c r="D6101" s="380" t="s">
        <v>767</v>
      </c>
      <c r="E6101" s="380" t="s">
        <v>786</v>
      </c>
      <c r="F6101" s="380" t="s">
        <v>928</v>
      </c>
      <c r="G6101" s="380" t="s">
        <v>1267</v>
      </c>
      <c r="H6101" s="380" t="s">
        <v>771</v>
      </c>
      <c r="I6101" s="380" t="s">
        <v>788</v>
      </c>
      <c r="J6101" s="380" t="s">
        <v>773</v>
      </c>
      <c r="K6101" s="381">
        <v>0.0</v>
      </c>
      <c r="L6101" s="382">
        <v>1.0</v>
      </c>
    </row>
    <row r="6102">
      <c r="A6102" s="380" t="s">
        <v>6976</v>
      </c>
      <c r="B6102" s="380" t="str">
        <f>IFERROR(__xludf.DUMMYFUNCTION("""COMPUTED_VALUE"""),"Anillo Sinc Plat Int 2dY3r Npr8972413091")</f>
        <v>Anillo Sinc Plat Int 2dY3r Npr8972413091</v>
      </c>
      <c r="C6102" s="380" t="str">
        <f>IFERROR(__xludf.DUMMYFUNCTION("""COMPUTED_VALUE"""),"70001485")</f>
        <v>70001485</v>
      </c>
      <c r="D6102" s="380" t="s">
        <v>767</v>
      </c>
      <c r="E6102" s="380" t="s">
        <v>786</v>
      </c>
      <c r="F6102" s="380" t="s">
        <v>928</v>
      </c>
      <c r="G6102" s="380" t="s">
        <v>1267</v>
      </c>
      <c r="H6102" s="380" t="s">
        <v>771</v>
      </c>
      <c r="I6102" s="380" t="s">
        <v>788</v>
      </c>
      <c r="J6102" s="380" t="s">
        <v>773</v>
      </c>
      <c r="K6102" s="381">
        <v>102102.0</v>
      </c>
      <c r="L6102" s="382">
        <v>1.0</v>
      </c>
    </row>
    <row r="6103">
      <c r="A6103" s="380" t="s">
        <v>6977</v>
      </c>
      <c r="B6103" s="380" t="str">
        <f>IFERROR(__xludf.DUMMYFUNCTION("""COMPUTED_VALUE"""),"Jgo Puntilla Banda Freno Todos")</f>
        <v>Jgo Puntilla Banda Freno Todos</v>
      </c>
      <c r="C6103" s="380" t="str">
        <f>IFERROR(__xludf.DUMMYFUNCTION("""COMPUTED_VALUE"""),"70001486")</f>
        <v>70001486</v>
      </c>
      <c r="D6103" s="380" t="s">
        <v>767</v>
      </c>
      <c r="E6103" s="380" t="s">
        <v>786</v>
      </c>
      <c r="F6103" s="380" t="s">
        <v>1017</v>
      </c>
      <c r="G6103" s="380" t="s">
        <v>1267</v>
      </c>
      <c r="H6103" s="380" t="s">
        <v>771</v>
      </c>
      <c r="I6103" s="380" t="s">
        <v>788</v>
      </c>
      <c r="J6103" s="380" t="s">
        <v>773</v>
      </c>
      <c r="K6103" s="381">
        <v>0.0</v>
      </c>
      <c r="L6103" s="382">
        <v>1.0</v>
      </c>
    </row>
    <row r="6104">
      <c r="A6104" s="380" t="s">
        <v>6978</v>
      </c>
      <c r="B6104" s="380" t="str">
        <f>IFERROR(__xludf.DUMMYFUNCTION("""COMPUTED_VALUE"""),"Guaya Ppal Freno Emergencia 3W180")</f>
        <v>Guaya Ppal Freno Emergencia 3W180</v>
      </c>
      <c r="C6104" s="380" t="str">
        <f>IFERROR(__xludf.DUMMYFUNCTION("""COMPUTED_VALUE"""),"70001487")</f>
        <v>70001487</v>
      </c>
      <c r="D6104" s="380" t="s">
        <v>767</v>
      </c>
      <c r="E6104" s="380" t="s">
        <v>786</v>
      </c>
      <c r="F6104" s="380" t="s">
        <v>1017</v>
      </c>
      <c r="G6104" s="380" t="s">
        <v>1267</v>
      </c>
      <c r="H6104" s="380" t="s">
        <v>771</v>
      </c>
      <c r="I6104" s="380" t="s">
        <v>788</v>
      </c>
      <c r="J6104" s="380" t="s">
        <v>773</v>
      </c>
      <c r="K6104" s="381">
        <v>0.0</v>
      </c>
      <c r="L6104" s="382">
        <v>1.0</v>
      </c>
    </row>
    <row r="6105">
      <c r="A6105" s="380" t="s">
        <v>6979</v>
      </c>
      <c r="B6105" s="380" t="str">
        <f>IFERROR(__xludf.DUMMYFUNCTION("""COMPUTED_VALUE"""),"Kit Buje Central Susp Neumatic KWC131007")</f>
        <v>Kit Buje Central Susp Neumatic KWC131007</v>
      </c>
      <c r="C6105" s="380" t="str">
        <f>IFERROR(__xludf.DUMMYFUNCTION("""COMPUTED_VALUE"""),"70001488")</f>
        <v>70001488</v>
      </c>
      <c r="D6105" s="380" t="s">
        <v>767</v>
      </c>
      <c r="E6105" s="380" t="s">
        <v>786</v>
      </c>
      <c r="F6105" s="380" t="s">
        <v>1039</v>
      </c>
      <c r="G6105" s="380" t="s">
        <v>1267</v>
      </c>
      <c r="H6105" s="380" t="s">
        <v>771</v>
      </c>
      <c r="I6105" s="380" t="s">
        <v>788</v>
      </c>
      <c r="J6105" s="380" t="s">
        <v>773</v>
      </c>
      <c r="K6105" s="381">
        <v>0.0</v>
      </c>
      <c r="L6105" s="382">
        <v>1.0</v>
      </c>
    </row>
    <row r="6106">
      <c r="A6106" s="380" t="s">
        <v>6980</v>
      </c>
      <c r="B6106" s="380" t="str">
        <f>IFERROR(__xludf.DUMMYFUNCTION("""COMPUTED_VALUE"""),"Corbatin Suspensión Neumatica KW839310")</f>
        <v>Corbatin Suspensión Neumatica KW839310</v>
      </c>
      <c r="C6106" s="380" t="str">
        <f>IFERROR(__xludf.DUMMYFUNCTION("""COMPUTED_VALUE"""),"70001489")</f>
        <v>70001489</v>
      </c>
      <c r="D6106" s="380" t="s">
        <v>767</v>
      </c>
      <c r="E6106" s="380" t="s">
        <v>786</v>
      </c>
      <c r="F6106" s="380" t="s">
        <v>1039</v>
      </c>
      <c r="G6106" s="380" t="s">
        <v>1267</v>
      </c>
      <c r="H6106" s="380" t="s">
        <v>771</v>
      </c>
      <c r="I6106" s="380" t="s">
        <v>788</v>
      </c>
      <c r="J6106" s="380" t="s">
        <v>773</v>
      </c>
      <c r="K6106" s="381">
        <v>0.0</v>
      </c>
      <c r="L6106" s="382">
        <v>1.0</v>
      </c>
    </row>
    <row r="6107">
      <c r="A6107" s="380" t="s">
        <v>6981</v>
      </c>
      <c r="B6107" s="380" t="str">
        <f>IFERROR(__xludf.DUMMYFUNCTION("""COMPUTED_VALUE"""),"Inducido Motor Arranque Hino")</f>
        <v>Inducido Motor Arranque Hino</v>
      </c>
      <c r="C6107" s="380" t="str">
        <f>IFERROR(__xludf.DUMMYFUNCTION("""COMPUTED_VALUE"""),"70001490")</f>
        <v>70001490</v>
      </c>
      <c r="D6107" s="380" t="s">
        <v>767</v>
      </c>
      <c r="E6107" s="380" t="s">
        <v>786</v>
      </c>
      <c r="F6107" s="380" t="s">
        <v>998</v>
      </c>
      <c r="G6107" s="380" t="s">
        <v>1267</v>
      </c>
      <c r="H6107" s="380" t="s">
        <v>771</v>
      </c>
      <c r="I6107" s="380" t="s">
        <v>788</v>
      </c>
      <c r="J6107" s="380" t="s">
        <v>773</v>
      </c>
      <c r="K6107" s="381">
        <v>0.0</v>
      </c>
      <c r="L6107" s="382">
        <v>1.0</v>
      </c>
    </row>
    <row r="6108">
      <c r="A6108" s="380" t="s">
        <v>6982</v>
      </c>
      <c r="B6108" s="380" t="str">
        <f>IFERROR(__xludf.DUMMYFUNCTION("""COMPUTED_VALUE"""),"Panel Lat Cabina Lado Der FTR 8974082464")</f>
        <v>Panel Lat Cabina Lado Der FTR 8974082464</v>
      </c>
      <c r="C6108" s="380" t="str">
        <f>IFERROR(__xludf.DUMMYFUNCTION("""COMPUTED_VALUE"""),"70001491")</f>
        <v>70001491</v>
      </c>
      <c r="D6108" s="380" t="s">
        <v>767</v>
      </c>
      <c r="E6108" s="380" t="s">
        <v>786</v>
      </c>
      <c r="F6108" s="380" t="s">
        <v>792</v>
      </c>
      <c r="G6108" s="380" t="s">
        <v>1267</v>
      </c>
      <c r="H6108" s="380" t="s">
        <v>771</v>
      </c>
      <c r="I6108" s="380" t="s">
        <v>788</v>
      </c>
      <c r="J6108" s="380" t="s">
        <v>773</v>
      </c>
      <c r="K6108" s="381">
        <v>0.0</v>
      </c>
      <c r="L6108" s="382">
        <v>1.0</v>
      </c>
    </row>
    <row r="6109">
      <c r="A6109" s="380" t="s">
        <v>6983</v>
      </c>
      <c r="B6109" s="380" t="str">
        <f>IFERROR(__xludf.DUMMYFUNCTION("""COMPUTED_VALUE"""),"Trapecio Clutch Eagle 9400 3541949C1")</f>
        <v>Trapecio Clutch Eagle 9400 3541949C1</v>
      </c>
      <c r="C6109" s="380" t="str">
        <f>IFERROR(__xludf.DUMMYFUNCTION("""COMPUTED_VALUE"""),"70001492")</f>
        <v>70001492</v>
      </c>
      <c r="D6109" s="380" t="s">
        <v>767</v>
      </c>
      <c r="E6109" s="380" t="s">
        <v>786</v>
      </c>
      <c r="F6109" s="380" t="s">
        <v>5661</v>
      </c>
      <c r="G6109" s="380" t="s">
        <v>1267</v>
      </c>
      <c r="H6109" s="380" t="s">
        <v>771</v>
      </c>
      <c r="I6109" s="380" t="s">
        <v>788</v>
      </c>
      <c r="J6109" s="380" t="s">
        <v>773</v>
      </c>
      <c r="K6109" s="381">
        <v>0.0</v>
      </c>
      <c r="L6109" s="382">
        <v>1.0</v>
      </c>
    </row>
    <row r="6110">
      <c r="A6110" s="380" t="s">
        <v>6984</v>
      </c>
      <c r="B6110" s="380" t="str">
        <f>IFERROR(__xludf.DUMMYFUNCTION("""COMPUTED_VALUE"""),"Cremallera Eleva Der Elec KWR21-1005")</f>
        <v>Cremallera Eleva Der Elec KWR21-1005</v>
      </c>
      <c r="C6110" s="380" t="str">
        <f>IFERROR(__xludf.DUMMYFUNCTION("""COMPUTED_VALUE"""),"70001493")</f>
        <v>70001493</v>
      </c>
      <c r="D6110" s="380" t="s">
        <v>767</v>
      </c>
      <c r="E6110" s="380" t="s">
        <v>786</v>
      </c>
      <c r="F6110" s="380" t="s">
        <v>792</v>
      </c>
      <c r="G6110" s="380" t="s">
        <v>1267</v>
      </c>
      <c r="H6110" s="380" t="s">
        <v>771</v>
      </c>
      <c r="I6110" s="380" t="s">
        <v>788</v>
      </c>
      <c r="J6110" s="380" t="s">
        <v>773</v>
      </c>
      <c r="K6110" s="381">
        <v>0.0</v>
      </c>
      <c r="L6110" s="382">
        <v>1.0</v>
      </c>
    </row>
    <row r="6111">
      <c r="A6111" s="380" t="s">
        <v>6985</v>
      </c>
      <c r="B6111" s="380" t="str">
        <f>IFERROR(__xludf.DUMMYFUNCTION("""COMPUTED_VALUE"""),"Rodillo Tras Tren Fijo Cj Nkr 8981897440")</f>
        <v>Rodillo Tras Tren Fijo Cj Nkr 8981897440</v>
      </c>
      <c r="C6111" s="380" t="str">
        <f>IFERROR(__xludf.DUMMYFUNCTION("""COMPUTED_VALUE"""),"70001494")</f>
        <v>70001494</v>
      </c>
      <c r="D6111" s="380" t="s">
        <v>767</v>
      </c>
      <c r="E6111" s="380" t="s">
        <v>786</v>
      </c>
      <c r="F6111" s="380" t="s">
        <v>928</v>
      </c>
      <c r="G6111" s="380" t="s">
        <v>1267</v>
      </c>
      <c r="H6111" s="380" t="s">
        <v>771</v>
      </c>
      <c r="I6111" s="380" t="s">
        <v>788</v>
      </c>
      <c r="J6111" s="380" t="s">
        <v>773</v>
      </c>
      <c r="K6111" s="381">
        <v>0.0</v>
      </c>
      <c r="L6111" s="382">
        <v>1.0</v>
      </c>
    </row>
    <row r="6112">
      <c r="A6112" s="380" t="s">
        <v>6986</v>
      </c>
      <c r="B6112" s="380" t="str">
        <f>IFERROR(__xludf.DUMMYFUNCTION("""COMPUTED_VALUE"""),"Eje Divis Difer Rockwel Eagle AMA3297X11")</f>
        <v>Eje Divis Difer Rockwel Eagle AMA3297X11</v>
      </c>
      <c r="C6112" s="380" t="str">
        <f>IFERROR(__xludf.DUMMYFUNCTION("""COMPUTED_VALUE"""),"70001495")</f>
        <v>70001495</v>
      </c>
      <c r="D6112" s="380" t="s">
        <v>767</v>
      </c>
      <c r="E6112" s="380" t="s">
        <v>786</v>
      </c>
      <c r="F6112" s="380" t="s">
        <v>5683</v>
      </c>
      <c r="G6112" s="380" t="s">
        <v>1267</v>
      </c>
      <c r="H6112" s="380" t="s">
        <v>771</v>
      </c>
      <c r="I6112" s="380" t="s">
        <v>788</v>
      </c>
      <c r="J6112" s="380" t="s">
        <v>773</v>
      </c>
      <c r="K6112" s="381">
        <v>0.0</v>
      </c>
      <c r="L6112" s="382">
        <v>1.0</v>
      </c>
    </row>
    <row r="6113">
      <c r="A6113" s="380" t="s">
        <v>6987</v>
      </c>
      <c r="B6113" s="380" t="str">
        <f>IFERROR(__xludf.DUMMYFUNCTION("""COMPUTED_VALUE"""),"Espaciad Ajus Speed Rockw EaglAM1244W176")</f>
        <v>Espaciad Ajus Speed Rockw EaglAM1244W176</v>
      </c>
      <c r="C6113" s="380" t="str">
        <f>IFERROR(__xludf.DUMMYFUNCTION("""COMPUTED_VALUE"""),"70001496")</f>
        <v>70001496</v>
      </c>
      <c r="D6113" s="380" t="s">
        <v>767</v>
      </c>
      <c r="E6113" s="380" t="s">
        <v>786</v>
      </c>
      <c r="F6113" s="380" t="s">
        <v>5683</v>
      </c>
      <c r="G6113" s="380" t="s">
        <v>1267</v>
      </c>
      <c r="H6113" s="380" t="s">
        <v>771</v>
      </c>
      <c r="I6113" s="380" t="s">
        <v>788</v>
      </c>
      <c r="J6113" s="380" t="s">
        <v>773</v>
      </c>
      <c r="K6113" s="381">
        <v>0.0</v>
      </c>
      <c r="L6113" s="382">
        <v>1.0</v>
      </c>
    </row>
    <row r="6114">
      <c r="A6114" s="380" t="s">
        <v>6988</v>
      </c>
      <c r="B6114" s="380" t="str">
        <f>IFERROR(__xludf.DUMMYFUNCTION("""COMPUTED_VALUE"""),"Shim Ajuste Difer Rockwe Eagle1670293C1")</f>
        <v>Shim Ajuste Difer Rockwe Eagle1670293C1</v>
      </c>
      <c r="C6114" s="380" t="str">
        <f>IFERROR(__xludf.DUMMYFUNCTION("""COMPUTED_VALUE"""),"70001497")</f>
        <v>70001497</v>
      </c>
      <c r="D6114" s="380" t="s">
        <v>767</v>
      </c>
      <c r="E6114" s="380" t="s">
        <v>786</v>
      </c>
      <c r="F6114" s="380" t="s">
        <v>5683</v>
      </c>
      <c r="G6114" s="380" t="s">
        <v>1267</v>
      </c>
      <c r="H6114" s="380" t="s">
        <v>771</v>
      </c>
      <c r="I6114" s="380" t="s">
        <v>788</v>
      </c>
      <c r="J6114" s="380" t="s">
        <v>773</v>
      </c>
      <c r="K6114" s="381">
        <v>0.0</v>
      </c>
      <c r="L6114" s="382">
        <v>1.0</v>
      </c>
    </row>
    <row r="6115">
      <c r="A6115" s="380" t="s">
        <v>6989</v>
      </c>
      <c r="B6115" s="380" t="str">
        <f>IFERROR(__xludf.DUMMYFUNCTION("""COMPUTED_VALUE"""),"Baline Divis Pot Dif Rockw EaglJLM714149")</f>
        <v>Baline Divis Pot Dif Rockw EaglJLM714149</v>
      </c>
      <c r="C6115" s="380" t="str">
        <f>IFERROR(__xludf.DUMMYFUNCTION("""COMPUTED_VALUE"""),"70001498")</f>
        <v>70001498</v>
      </c>
      <c r="D6115" s="380" t="s">
        <v>767</v>
      </c>
      <c r="E6115" s="380" t="s">
        <v>786</v>
      </c>
      <c r="F6115" s="380" t="s">
        <v>5683</v>
      </c>
      <c r="G6115" s="380" t="s">
        <v>1267</v>
      </c>
      <c r="H6115" s="380" t="s">
        <v>771</v>
      </c>
      <c r="I6115" s="380" t="s">
        <v>788</v>
      </c>
      <c r="J6115" s="380" t="s">
        <v>773</v>
      </c>
      <c r="K6115" s="381">
        <v>0.0</v>
      </c>
      <c r="L6115" s="382">
        <v>1.0</v>
      </c>
    </row>
    <row r="6116">
      <c r="A6116" s="380" t="s">
        <v>6990</v>
      </c>
      <c r="B6116" s="380" t="str">
        <f>IFERROR(__xludf.DUMMYFUNCTION("""COMPUTED_VALUE"""),"Kit Baliner Y Cuna Dif JLM714149/714110")</f>
        <v>Kit Baliner Y Cuna Dif JLM714149/714110</v>
      </c>
      <c r="C6116" s="380" t="str">
        <f>IFERROR(__xludf.DUMMYFUNCTION("""COMPUTED_VALUE"""),"70001499")</f>
        <v>70001499</v>
      </c>
      <c r="D6116" s="380" t="s">
        <v>767</v>
      </c>
      <c r="E6116" s="380" t="s">
        <v>786</v>
      </c>
      <c r="F6116" s="380" t="s">
        <v>5683</v>
      </c>
      <c r="G6116" s="380" t="s">
        <v>1267</v>
      </c>
      <c r="H6116" s="380" t="s">
        <v>771</v>
      </c>
      <c r="I6116" s="380" t="s">
        <v>788</v>
      </c>
      <c r="J6116" s="380" t="s">
        <v>773</v>
      </c>
      <c r="K6116" s="381">
        <v>0.0</v>
      </c>
      <c r="L6116" s="382">
        <v>1.0</v>
      </c>
    </row>
    <row r="6117">
      <c r="A6117" s="380" t="s">
        <v>6991</v>
      </c>
      <c r="B6117" s="380" t="str">
        <f>IFERROR(__xludf.DUMMYFUNCTION("""COMPUTED_VALUE"""),"Kit Balinera Cuna Dif HM813843/813810")</f>
        <v>Kit Balinera Cuna Dif HM813843/813810</v>
      </c>
      <c r="C6117" s="380" t="str">
        <f>IFERROR(__xludf.DUMMYFUNCTION("""COMPUTED_VALUE"""),"70001500")</f>
        <v>70001500</v>
      </c>
      <c r="D6117" s="380" t="s">
        <v>767</v>
      </c>
      <c r="E6117" s="380" t="s">
        <v>786</v>
      </c>
      <c r="F6117" s="380" t="s">
        <v>5683</v>
      </c>
      <c r="G6117" s="380" t="s">
        <v>1267</v>
      </c>
      <c r="H6117" s="380" t="s">
        <v>771</v>
      </c>
      <c r="I6117" s="380" t="s">
        <v>788</v>
      </c>
      <c r="J6117" s="380" t="s">
        <v>773</v>
      </c>
      <c r="K6117" s="381">
        <v>0.0</v>
      </c>
      <c r="L6117" s="382">
        <v>1.0</v>
      </c>
    </row>
    <row r="6118">
      <c r="A6118" s="380" t="s">
        <v>6992</v>
      </c>
      <c r="B6118" s="380" t="str">
        <f>IFERROR(__xludf.DUMMYFUNCTION("""COMPUTED_VALUE"""),"Eje Dif Rockwel Larg 43"" EagleAM3202Z912")</f>
        <v>Eje Dif Rockwel Larg 43" EagleAM3202Z912</v>
      </c>
      <c r="C6118" s="380" t="str">
        <f>IFERROR(__xludf.DUMMYFUNCTION("""COMPUTED_VALUE"""),"70001501")</f>
        <v>70001501</v>
      </c>
      <c r="D6118" s="380" t="s">
        <v>767</v>
      </c>
      <c r="E6118" s="380" t="s">
        <v>786</v>
      </c>
      <c r="F6118" s="380" t="s">
        <v>5683</v>
      </c>
      <c r="G6118" s="380" t="s">
        <v>1267</v>
      </c>
      <c r="H6118" s="380" t="s">
        <v>771</v>
      </c>
      <c r="I6118" s="380" t="s">
        <v>788</v>
      </c>
      <c r="J6118" s="380" t="s">
        <v>773</v>
      </c>
      <c r="K6118" s="381">
        <v>0.0</v>
      </c>
      <c r="L6118" s="382">
        <v>1.0</v>
      </c>
    </row>
    <row r="6119">
      <c r="A6119" s="380" t="s">
        <v>6993</v>
      </c>
      <c r="B6119" s="380" t="str">
        <f>IFERROR(__xludf.DUMMYFUNCTION("""COMPUTED_VALUE"""),"Anillo Sincr Inter 2daY3ra Npr8972413121")</f>
        <v>Anillo Sincr Inter 2daY3ra Npr8972413121</v>
      </c>
      <c r="C6119" s="380" t="str">
        <f>IFERROR(__xludf.DUMMYFUNCTION("""COMPUTED_VALUE"""),"70001502")</f>
        <v>70001502</v>
      </c>
      <c r="D6119" s="380" t="s">
        <v>767</v>
      </c>
      <c r="E6119" s="380" t="s">
        <v>786</v>
      </c>
      <c r="F6119" s="380" t="s">
        <v>928</v>
      </c>
      <c r="G6119" s="380" t="s">
        <v>1267</v>
      </c>
      <c r="H6119" s="380" t="s">
        <v>771</v>
      </c>
      <c r="I6119" s="380" t="s">
        <v>788</v>
      </c>
      <c r="J6119" s="380" t="s">
        <v>773</v>
      </c>
      <c r="K6119" s="381">
        <v>0.0</v>
      </c>
      <c r="L6119" s="382">
        <v>1.0</v>
      </c>
    </row>
    <row r="6120">
      <c r="A6120" s="380" t="s">
        <v>6994</v>
      </c>
      <c r="B6120" s="380" t="str">
        <f>IFERROR(__xludf.DUMMYFUNCTION("""COMPUTED_VALUE"""),"Bronce Sincro 1,2d,3ra Npr FTR8972413061")</f>
        <v>Bronce Sincro 1,2d,3ra Npr FTR8972413061</v>
      </c>
      <c r="C6120" s="380" t="str">
        <f>IFERROR(__xludf.DUMMYFUNCTION("""COMPUTED_VALUE"""),"70001503")</f>
        <v>70001503</v>
      </c>
      <c r="D6120" s="380" t="s">
        <v>767</v>
      </c>
      <c r="E6120" s="380" t="s">
        <v>786</v>
      </c>
      <c r="F6120" s="380" t="s">
        <v>928</v>
      </c>
      <c r="G6120" s="380" t="s">
        <v>1267</v>
      </c>
      <c r="H6120" s="380" t="s">
        <v>771</v>
      </c>
      <c r="I6120" s="380" t="s">
        <v>788</v>
      </c>
      <c r="J6120" s="380" t="s">
        <v>773</v>
      </c>
      <c r="K6120" s="381">
        <v>0.0</v>
      </c>
      <c r="L6120" s="382">
        <v>1.0</v>
      </c>
    </row>
    <row r="6121">
      <c r="A6121" s="380" t="s">
        <v>6995</v>
      </c>
      <c r="B6121" s="380" t="str">
        <f>IFERROR(__xludf.DUMMYFUNCTION("""COMPUTED_VALUE"""),"Bronce Sincroniz 4taY5ta Npr 8973095320")</f>
        <v>Bronce Sincroniz 4taY5ta Npr 8973095320</v>
      </c>
      <c r="C6121" s="380" t="str">
        <f>IFERROR(__xludf.DUMMYFUNCTION("""COMPUTED_VALUE"""),"70001504")</f>
        <v>70001504</v>
      </c>
      <c r="D6121" s="380" t="s">
        <v>767</v>
      </c>
      <c r="E6121" s="380" t="s">
        <v>786</v>
      </c>
      <c r="F6121" s="380" t="s">
        <v>928</v>
      </c>
      <c r="G6121" s="380" t="s">
        <v>1267</v>
      </c>
      <c r="H6121" s="380" t="s">
        <v>771</v>
      </c>
      <c r="I6121" s="380" t="s">
        <v>788</v>
      </c>
      <c r="J6121" s="380" t="s">
        <v>773</v>
      </c>
      <c r="K6121" s="381">
        <v>0.0</v>
      </c>
      <c r="L6121" s="382">
        <v>1.0</v>
      </c>
    </row>
    <row r="6122">
      <c r="A6122" s="380" t="s">
        <v>6996</v>
      </c>
      <c r="B6122" s="380" t="str">
        <f>IFERROR(__xludf.DUMMYFUNCTION("""COMPUTED_VALUE"""),"Piñon De 2da Eje Corredizo Npr8972412371")</f>
        <v>Piñon De 2da Eje Corredizo Npr8972412371</v>
      </c>
      <c r="C6122" s="380" t="str">
        <f>IFERROR(__xludf.DUMMYFUNCTION("""COMPUTED_VALUE"""),"70001505")</f>
        <v>70001505</v>
      </c>
      <c r="D6122" s="380" t="s">
        <v>767</v>
      </c>
      <c r="E6122" s="380" t="s">
        <v>786</v>
      </c>
      <c r="F6122" s="380" t="s">
        <v>928</v>
      </c>
      <c r="G6122" s="380" t="s">
        <v>1267</v>
      </c>
      <c r="H6122" s="380" t="s">
        <v>771</v>
      </c>
      <c r="I6122" s="380" t="s">
        <v>788</v>
      </c>
      <c r="J6122" s="380" t="s">
        <v>773</v>
      </c>
      <c r="K6122" s="381">
        <v>0.0</v>
      </c>
      <c r="L6122" s="382">
        <v>1.0</v>
      </c>
    </row>
    <row r="6123">
      <c r="A6123" s="380" t="s">
        <v>6997</v>
      </c>
      <c r="B6123" s="380" t="str">
        <f>IFERROR(__xludf.DUMMYFUNCTION("""COMPUTED_VALUE"""),"Rodillo Eje Toma Npr 8972530981")</f>
        <v>Rodillo Eje Toma Npr 8972530981</v>
      </c>
      <c r="C6123" s="380" t="str">
        <f>IFERROR(__xludf.DUMMYFUNCTION("""COMPUTED_VALUE"""),"70001506")</f>
        <v>70001506</v>
      </c>
      <c r="D6123" s="380" t="s">
        <v>767</v>
      </c>
      <c r="E6123" s="380" t="s">
        <v>786</v>
      </c>
      <c r="F6123" s="380" t="s">
        <v>928</v>
      </c>
      <c r="G6123" s="380" t="s">
        <v>1267</v>
      </c>
      <c r="H6123" s="380" t="s">
        <v>771</v>
      </c>
      <c r="I6123" s="380" t="s">
        <v>788</v>
      </c>
      <c r="J6123" s="380" t="s">
        <v>773</v>
      </c>
      <c r="K6123" s="381">
        <v>0.0</v>
      </c>
      <c r="L6123" s="382">
        <v>1.0</v>
      </c>
    </row>
    <row r="6124">
      <c r="A6124" s="380" t="s">
        <v>6998</v>
      </c>
      <c r="B6124" s="380" t="str">
        <f>IFERROR(__xludf.DUMMYFUNCTION("""COMPUTED_VALUE"""),"Rodillo Eje Corredizo Npr 8972531051")</f>
        <v>Rodillo Eje Corredizo Npr 8972531051</v>
      </c>
      <c r="C6124" s="380" t="str">
        <f>IFERROR(__xludf.DUMMYFUNCTION("""COMPUTED_VALUE"""),"70001507")</f>
        <v>70001507</v>
      </c>
      <c r="D6124" s="380" t="s">
        <v>767</v>
      </c>
      <c r="E6124" s="380" t="s">
        <v>786</v>
      </c>
      <c r="F6124" s="380" t="s">
        <v>928</v>
      </c>
      <c r="G6124" s="380" t="s">
        <v>1267</v>
      </c>
      <c r="H6124" s="380" t="s">
        <v>771</v>
      </c>
      <c r="I6124" s="380" t="s">
        <v>788</v>
      </c>
      <c r="J6124" s="380" t="s">
        <v>773</v>
      </c>
      <c r="K6124" s="381">
        <v>0.0</v>
      </c>
      <c r="L6124" s="382">
        <v>1.0</v>
      </c>
    </row>
    <row r="6125">
      <c r="A6125" s="380" t="s">
        <v>6999</v>
      </c>
      <c r="B6125" s="380" t="str">
        <f>IFERROR(__xludf.DUMMYFUNCTION("""COMPUTED_VALUE"""),"Flasher 3 Patas Nkr STO303")</f>
        <v>Flasher 3 Patas Nkr STO303</v>
      </c>
      <c r="C6125" s="380" t="str">
        <f>IFERROR(__xludf.DUMMYFUNCTION("""COMPUTED_VALUE"""),"70001508")</f>
        <v>70001508</v>
      </c>
      <c r="D6125" s="380" t="s">
        <v>767</v>
      </c>
      <c r="E6125" s="380" t="s">
        <v>786</v>
      </c>
      <c r="F6125" s="380" t="s">
        <v>998</v>
      </c>
      <c r="G6125" s="380" t="s">
        <v>1267</v>
      </c>
      <c r="H6125" s="380" t="s">
        <v>771</v>
      </c>
      <c r="I6125" s="380" t="s">
        <v>788</v>
      </c>
      <c r="J6125" s="380" t="s">
        <v>773</v>
      </c>
      <c r="K6125" s="381">
        <v>45518.0</v>
      </c>
      <c r="L6125" s="382">
        <v>1.0</v>
      </c>
    </row>
    <row r="6126">
      <c r="A6126" s="380" t="s">
        <v>7000</v>
      </c>
      <c r="B6126" s="380" t="str">
        <f>IFERROR(__xludf.DUMMYFUNCTION("""COMPUTED_VALUE"""),"Tubo Inyeccion Nkr Rewarth 8980116080")</f>
        <v>Tubo Inyeccion Nkr Rewarth 8980116080</v>
      </c>
      <c r="C6126" s="380" t="str">
        <f>IFERROR(__xludf.DUMMYFUNCTION("""COMPUTED_VALUE"""),"70001509")</f>
        <v>70001509</v>
      </c>
      <c r="D6126" s="380" t="s">
        <v>767</v>
      </c>
      <c r="E6126" s="380" t="s">
        <v>786</v>
      </c>
      <c r="F6126" s="380" t="s">
        <v>787</v>
      </c>
      <c r="G6126" s="380" t="s">
        <v>1267</v>
      </c>
      <c r="H6126" s="380" t="s">
        <v>771</v>
      </c>
      <c r="I6126" s="380" t="s">
        <v>788</v>
      </c>
      <c r="J6126" s="380" t="s">
        <v>773</v>
      </c>
      <c r="K6126" s="381">
        <v>0.0</v>
      </c>
      <c r="L6126" s="382">
        <v>1.0</v>
      </c>
    </row>
    <row r="6127">
      <c r="A6127" s="380" t="s">
        <v>7001</v>
      </c>
      <c r="B6127" s="380" t="str">
        <f>IFERROR(__xludf.DUMMYFUNCTION("""COMPUTED_VALUE"""),"Chapa Inter Puerta Der KW T800 R56-1122")</f>
        <v>Chapa Inter Puerta Der KW T800 R56-1122</v>
      </c>
      <c r="C6127" s="380" t="str">
        <f>IFERROR(__xludf.DUMMYFUNCTION("""COMPUTED_VALUE"""),"70001510")</f>
        <v>70001510</v>
      </c>
      <c r="D6127" s="380" t="s">
        <v>767</v>
      </c>
      <c r="E6127" s="380" t="s">
        <v>786</v>
      </c>
      <c r="F6127" s="380" t="s">
        <v>792</v>
      </c>
      <c r="G6127" s="380" t="s">
        <v>1267</v>
      </c>
      <c r="H6127" s="380" t="s">
        <v>771</v>
      </c>
      <c r="I6127" s="380" t="s">
        <v>788</v>
      </c>
      <c r="J6127" s="380" t="s">
        <v>773</v>
      </c>
      <c r="K6127" s="381">
        <v>535500.0</v>
      </c>
      <c r="L6127" s="382">
        <v>1.0</v>
      </c>
    </row>
    <row r="6128">
      <c r="A6128" s="380" t="s">
        <v>7002</v>
      </c>
      <c r="B6128" s="380" t="str">
        <f>IFERROR(__xludf.DUMMYFUNCTION("""COMPUTED_VALUE"""),"Espejo Retrovisor FTR 8980559921")</f>
        <v>Espejo Retrovisor FTR 8980559921</v>
      </c>
      <c r="C6128" s="380" t="str">
        <f>IFERROR(__xludf.DUMMYFUNCTION("""COMPUTED_VALUE"""),"70001511")</f>
        <v>70001511</v>
      </c>
      <c r="D6128" s="380" t="s">
        <v>767</v>
      </c>
      <c r="E6128" s="380" t="s">
        <v>786</v>
      </c>
      <c r="F6128" s="380" t="s">
        <v>792</v>
      </c>
      <c r="G6128" s="380" t="s">
        <v>1267</v>
      </c>
      <c r="H6128" s="380" t="s">
        <v>771</v>
      </c>
      <c r="I6128" s="380" t="s">
        <v>788</v>
      </c>
      <c r="J6128" s="380" t="s">
        <v>773</v>
      </c>
      <c r="K6128" s="381">
        <v>0.0</v>
      </c>
      <c r="L6128" s="382">
        <v>1.0</v>
      </c>
    </row>
    <row r="6129">
      <c r="A6129" s="380" t="s">
        <v>7003</v>
      </c>
      <c r="B6129" s="380" t="str">
        <f>IFERROR(__xludf.DUMMYFUNCTION("""COMPUTED_VALUE"""),"Tubo Drenaje Turbo Isx 3412353")</f>
        <v>Tubo Drenaje Turbo Isx 3412353</v>
      </c>
      <c r="C6129" s="380" t="str">
        <f>IFERROR(__xludf.DUMMYFUNCTION("""COMPUTED_VALUE"""),"70001512")</f>
        <v>70001512</v>
      </c>
      <c r="D6129" s="380" t="s">
        <v>767</v>
      </c>
      <c r="E6129" s="380" t="s">
        <v>786</v>
      </c>
      <c r="F6129" s="380" t="s">
        <v>787</v>
      </c>
      <c r="G6129" s="380" t="s">
        <v>1267</v>
      </c>
      <c r="H6129" s="380" t="s">
        <v>771</v>
      </c>
      <c r="I6129" s="380" t="s">
        <v>788</v>
      </c>
      <c r="J6129" s="380" t="s">
        <v>773</v>
      </c>
      <c r="K6129" s="381">
        <v>0.0</v>
      </c>
      <c r="L6129" s="382">
        <v>1.0</v>
      </c>
    </row>
    <row r="6130">
      <c r="A6130" s="380" t="s">
        <v>7004</v>
      </c>
      <c r="B6130" s="380" t="str">
        <f>IFERROR(__xludf.DUMMYFUNCTION("""COMPUTED_VALUE"""),"Manivela Patin")</f>
        <v>Manivela Patin</v>
      </c>
      <c r="C6130" s="380" t="str">
        <f>IFERROR(__xludf.DUMMYFUNCTION("""COMPUTED_VALUE"""),"70001513")</f>
        <v>70001513</v>
      </c>
      <c r="D6130" s="380" t="s">
        <v>767</v>
      </c>
      <c r="E6130" s="380" t="s">
        <v>786</v>
      </c>
      <c r="F6130" s="380" t="s">
        <v>792</v>
      </c>
      <c r="G6130" s="380" t="s">
        <v>1267</v>
      </c>
      <c r="H6130" s="380" t="s">
        <v>771</v>
      </c>
      <c r="I6130" s="380" t="s">
        <v>788</v>
      </c>
      <c r="J6130" s="380" t="s">
        <v>773</v>
      </c>
      <c r="K6130" s="381">
        <v>53550.0</v>
      </c>
      <c r="L6130" s="382">
        <v>1.0</v>
      </c>
    </row>
    <row r="6131">
      <c r="A6131" s="380" t="s">
        <v>7005</v>
      </c>
      <c r="B6131" s="380" t="str">
        <f>IFERROR(__xludf.DUMMYFUNCTION("""COMPUTED_VALUE"""),"Parabrisas Laminado FTR")</f>
        <v>Parabrisas Laminado FTR</v>
      </c>
      <c r="C6131" s="380" t="str">
        <f>IFERROR(__xludf.DUMMYFUNCTION("""COMPUTED_VALUE"""),"70001514")</f>
        <v>70001514</v>
      </c>
      <c r="D6131" s="380" t="s">
        <v>767</v>
      </c>
      <c r="E6131" s="380" t="s">
        <v>786</v>
      </c>
      <c r="F6131" s="380" t="s">
        <v>792</v>
      </c>
      <c r="G6131" s="380" t="s">
        <v>1267</v>
      </c>
      <c r="H6131" s="380" t="s">
        <v>771</v>
      </c>
      <c r="I6131" s="380" t="s">
        <v>788</v>
      </c>
      <c r="J6131" s="380" t="s">
        <v>773</v>
      </c>
      <c r="K6131" s="381">
        <v>0.0</v>
      </c>
      <c r="L6131" s="382">
        <v>1.0</v>
      </c>
    </row>
    <row r="6132">
      <c r="A6132" s="380" t="s">
        <v>7006</v>
      </c>
      <c r="B6132" s="380" t="str">
        <f>IFERROR(__xludf.DUMMYFUNCTION("""COMPUTED_VALUE"""),"Valvula Descargue Aire Para Trayler 3591")</f>
        <v>Valvula Descargue Aire Para Trayler 3591</v>
      </c>
      <c r="C6132" s="380" t="str">
        <f>IFERROR(__xludf.DUMMYFUNCTION("""COMPUTED_VALUE"""),"70001515")</f>
        <v>70001515</v>
      </c>
      <c r="D6132" s="380" t="s">
        <v>767</v>
      </c>
      <c r="E6132" s="380" t="s">
        <v>786</v>
      </c>
      <c r="F6132" s="380" t="s">
        <v>1017</v>
      </c>
      <c r="G6132" s="380" t="s">
        <v>1267</v>
      </c>
      <c r="H6132" s="380" t="s">
        <v>771</v>
      </c>
      <c r="I6132" s="380" t="s">
        <v>788</v>
      </c>
      <c r="J6132" s="380" t="s">
        <v>773</v>
      </c>
      <c r="K6132" s="381">
        <v>0.0</v>
      </c>
      <c r="L6132" s="382">
        <v>1.0</v>
      </c>
    </row>
    <row r="6133">
      <c r="A6133" s="380" t="s">
        <v>7007</v>
      </c>
      <c r="B6133" s="380" t="str">
        <f>IFERROR(__xludf.DUMMYFUNCTION("""COMPUTED_VALUE"""),"Bombillo Direccional 24vol Nkr 17649")</f>
        <v>Bombillo Direccional 24vol Nkr 17649</v>
      </c>
      <c r="C6133" s="380" t="str">
        <f>IFERROR(__xludf.DUMMYFUNCTION("""COMPUTED_VALUE"""),"70001516")</f>
        <v>70001516</v>
      </c>
      <c r="D6133" s="380" t="s">
        <v>767</v>
      </c>
      <c r="E6133" s="380" t="s">
        <v>786</v>
      </c>
      <c r="F6133" s="380" t="s">
        <v>998</v>
      </c>
      <c r="G6133" s="380" t="s">
        <v>1267</v>
      </c>
      <c r="H6133" s="380" t="s">
        <v>771</v>
      </c>
      <c r="I6133" s="380" t="s">
        <v>788</v>
      </c>
      <c r="J6133" s="380" t="s">
        <v>773</v>
      </c>
      <c r="K6133" s="381">
        <v>6878.0</v>
      </c>
      <c r="L6133" s="382">
        <v>1.0</v>
      </c>
    </row>
    <row r="6134">
      <c r="A6134" s="380" t="s">
        <v>7008</v>
      </c>
      <c r="B6134" s="380" t="str">
        <f>IFERROR(__xludf.DUMMYFUNCTION("""COMPUTED_VALUE"""),"Brazo Plumilla R-23102913 Kew")</f>
        <v>Brazo Plumilla R-23102913 Kew</v>
      </c>
      <c r="C6134" s="380" t="str">
        <f>IFERROR(__xludf.DUMMYFUNCTION("""COMPUTED_VALUE"""),"70001517")</f>
        <v>70001517</v>
      </c>
      <c r="D6134" s="380" t="s">
        <v>767</v>
      </c>
      <c r="E6134" s="380" t="s">
        <v>786</v>
      </c>
      <c r="F6134" s="380" t="s">
        <v>792</v>
      </c>
      <c r="G6134" s="380" t="s">
        <v>1267</v>
      </c>
      <c r="H6134" s="380" t="s">
        <v>771</v>
      </c>
      <c r="I6134" s="380" t="s">
        <v>788</v>
      </c>
      <c r="J6134" s="380" t="s">
        <v>773</v>
      </c>
      <c r="K6134" s="381">
        <v>0.0</v>
      </c>
      <c r="L6134" s="382">
        <v>1.0</v>
      </c>
    </row>
    <row r="6135">
      <c r="A6135" s="380" t="s">
        <v>7009</v>
      </c>
      <c r="B6135" s="380" t="str">
        <f>IFERROR(__xludf.DUMMYFUNCTION("""COMPUTED_VALUE"""),"Mano Acople Aire Trailer 24-272")</f>
        <v>Mano Acople Aire Trailer 24-272</v>
      </c>
      <c r="C6135" s="380" t="str">
        <f>IFERROR(__xludf.DUMMYFUNCTION("""COMPUTED_VALUE"""),"70001518")</f>
        <v>70001518</v>
      </c>
      <c r="D6135" s="380" t="s">
        <v>767</v>
      </c>
      <c r="E6135" s="380" t="s">
        <v>786</v>
      </c>
      <c r="F6135" s="380" t="s">
        <v>998</v>
      </c>
      <c r="G6135" s="380" t="s">
        <v>1267</v>
      </c>
      <c r="H6135" s="380" t="s">
        <v>771</v>
      </c>
      <c r="I6135" s="380" t="s">
        <v>788</v>
      </c>
      <c r="J6135" s="380" t="s">
        <v>773</v>
      </c>
      <c r="K6135" s="381">
        <v>14315.0</v>
      </c>
      <c r="L6135" s="382">
        <v>1.0</v>
      </c>
    </row>
    <row r="6136">
      <c r="A6136" s="380" t="s">
        <v>7010</v>
      </c>
      <c r="B6136" s="380" t="str">
        <f>IFERROR(__xludf.DUMMYFUNCTION("""COMPUTED_VALUE"""),"Discos Freno Del Van N200 9053749")</f>
        <v>Discos Freno Del Van N200 9053749</v>
      </c>
      <c r="C6136" s="380" t="str">
        <f>IFERROR(__xludf.DUMMYFUNCTION("""COMPUTED_VALUE"""),"70001519")</f>
        <v>70001519</v>
      </c>
      <c r="D6136" s="380" t="s">
        <v>767</v>
      </c>
      <c r="E6136" s="380" t="s">
        <v>786</v>
      </c>
      <c r="F6136" s="380" t="s">
        <v>1017</v>
      </c>
      <c r="G6136" s="380" t="s">
        <v>1267</v>
      </c>
      <c r="H6136" s="380" t="s">
        <v>771</v>
      </c>
      <c r="I6136" s="380" t="s">
        <v>788</v>
      </c>
      <c r="J6136" s="380" t="s">
        <v>773</v>
      </c>
      <c r="K6136" s="381">
        <v>0.0</v>
      </c>
      <c r="L6136" s="382">
        <v>1.0</v>
      </c>
    </row>
    <row r="6137">
      <c r="A6137" s="380" t="s">
        <v>7011</v>
      </c>
      <c r="B6137" s="380" t="str">
        <f>IFERROR(__xludf.DUMMYFUNCTION("""COMPUTED_VALUE"""),"Harnes Stop Trasero Isx 1515172C91")</f>
        <v>Harnes Stop Trasero Isx 1515172C91</v>
      </c>
      <c r="C6137" s="380" t="str">
        <f>IFERROR(__xludf.DUMMYFUNCTION("""COMPUTED_VALUE"""),"70001520")</f>
        <v>70001520</v>
      </c>
      <c r="D6137" s="380" t="s">
        <v>767</v>
      </c>
      <c r="E6137" s="380" t="s">
        <v>786</v>
      </c>
      <c r="F6137" s="380" t="s">
        <v>998</v>
      </c>
      <c r="G6137" s="380" t="s">
        <v>1267</v>
      </c>
      <c r="H6137" s="380" t="s">
        <v>771</v>
      </c>
      <c r="I6137" s="380" t="s">
        <v>788</v>
      </c>
      <c r="J6137" s="380" t="s">
        <v>773</v>
      </c>
      <c r="K6137" s="381">
        <v>0.0</v>
      </c>
      <c r="L6137" s="382">
        <v>1.0</v>
      </c>
    </row>
    <row r="6138">
      <c r="A6138" s="380" t="s">
        <v>7012</v>
      </c>
      <c r="B6138" s="380" t="str">
        <f>IFERROR(__xludf.DUMMYFUNCTION("""COMPUTED_VALUE"""),"Soporte Punta Chasis Izq Isx 3563986C2")</f>
        <v>Soporte Punta Chasis Izq Isx 3563986C2</v>
      </c>
      <c r="C6138" s="380" t="str">
        <f>IFERROR(__xludf.DUMMYFUNCTION("""COMPUTED_VALUE"""),"70001521")</f>
        <v>70001521</v>
      </c>
      <c r="D6138" s="380" t="s">
        <v>767</v>
      </c>
      <c r="E6138" s="380" t="s">
        <v>786</v>
      </c>
      <c r="F6138" s="380" t="s">
        <v>792</v>
      </c>
      <c r="G6138" s="380" t="s">
        <v>1267</v>
      </c>
      <c r="H6138" s="380" t="s">
        <v>771</v>
      </c>
      <c r="I6138" s="380" t="s">
        <v>788</v>
      </c>
      <c r="J6138" s="380" t="s">
        <v>773</v>
      </c>
      <c r="K6138" s="381">
        <v>0.0</v>
      </c>
      <c r="L6138" s="382">
        <v>1.0</v>
      </c>
    </row>
    <row r="6139">
      <c r="A6139" s="380" t="s">
        <v>7013</v>
      </c>
      <c r="B6139" s="380" t="str">
        <f>IFERROR(__xludf.DUMMYFUNCTION("""COMPUTED_VALUE"""),"Soporte Punta Chasis Der Isx 3563987C2")</f>
        <v>Soporte Punta Chasis Der Isx 3563987C2</v>
      </c>
      <c r="C6139" s="380" t="str">
        <f>IFERROR(__xludf.DUMMYFUNCTION("""COMPUTED_VALUE"""),"70001522")</f>
        <v>70001522</v>
      </c>
      <c r="D6139" s="380" t="s">
        <v>767</v>
      </c>
      <c r="E6139" s="380" t="s">
        <v>786</v>
      </c>
      <c r="F6139" s="380" t="s">
        <v>792</v>
      </c>
      <c r="G6139" s="380" t="s">
        <v>1267</v>
      </c>
      <c r="H6139" s="380" t="s">
        <v>771</v>
      </c>
      <c r="I6139" s="380" t="s">
        <v>788</v>
      </c>
      <c r="J6139" s="380" t="s">
        <v>773</v>
      </c>
      <c r="K6139" s="381">
        <v>0.0</v>
      </c>
      <c r="L6139" s="382">
        <v>1.0</v>
      </c>
    </row>
    <row r="6140">
      <c r="A6140" s="380" t="s">
        <v>7014</v>
      </c>
      <c r="B6140" s="380" t="str">
        <f>IFERROR(__xludf.DUMMYFUNCTION("""COMPUTED_VALUE"""),"Pedal Clutch Embrague Eagle 2024427C1")</f>
        <v>Pedal Clutch Embrague Eagle 2024427C1</v>
      </c>
      <c r="C6140" s="380" t="str">
        <f>IFERROR(__xludf.DUMMYFUNCTION("""COMPUTED_VALUE"""),"70001523")</f>
        <v>70001523</v>
      </c>
      <c r="D6140" s="380" t="s">
        <v>767</v>
      </c>
      <c r="E6140" s="380" t="s">
        <v>786</v>
      </c>
      <c r="F6140" s="380" t="s">
        <v>5661</v>
      </c>
      <c r="G6140" s="380" t="s">
        <v>1267</v>
      </c>
      <c r="H6140" s="380" t="s">
        <v>771</v>
      </c>
      <c r="I6140" s="380" t="s">
        <v>788</v>
      </c>
      <c r="J6140" s="380" t="s">
        <v>773</v>
      </c>
      <c r="K6140" s="381">
        <v>0.0</v>
      </c>
      <c r="L6140" s="382">
        <v>1.0</v>
      </c>
    </row>
    <row r="6141">
      <c r="A6141" s="380" t="s">
        <v>7015</v>
      </c>
      <c r="B6141" s="380" t="str">
        <f>IFERROR(__xludf.DUMMYFUNCTION("""COMPUTED_VALUE"""),"Soport Barra Transv Susp EagleHD22186000")</f>
        <v>Soport Barra Transv Susp EagleHD22186000</v>
      </c>
      <c r="C6141" s="380" t="str">
        <f>IFERROR(__xludf.DUMMYFUNCTION("""COMPUTED_VALUE"""),"70001524")</f>
        <v>70001524</v>
      </c>
      <c r="D6141" s="380" t="s">
        <v>767</v>
      </c>
      <c r="E6141" s="380" t="s">
        <v>786</v>
      </c>
      <c r="F6141" s="380" t="s">
        <v>1039</v>
      </c>
      <c r="G6141" s="380" t="s">
        <v>1267</v>
      </c>
      <c r="H6141" s="380" t="s">
        <v>771</v>
      </c>
      <c r="I6141" s="380" t="s">
        <v>788</v>
      </c>
      <c r="J6141" s="380" t="s">
        <v>773</v>
      </c>
      <c r="K6141" s="381">
        <v>82415.0</v>
      </c>
      <c r="L6141" s="382">
        <v>1.0</v>
      </c>
    </row>
    <row r="6142">
      <c r="A6142" s="380" t="s">
        <v>7016</v>
      </c>
      <c r="B6142" s="380" t="str">
        <f>IFERROR(__xludf.DUMMYFUNCTION("""COMPUTED_VALUE"""),"Horquilla Del Mono Caja 16918 Isx 22823")</f>
        <v>Horquilla Del Mono Caja 16918 Isx 22823</v>
      </c>
      <c r="C6142" s="380" t="str">
        <f>IFERROR(__xludf.DUMMYFUNCTION("""COMPUTED_VALUE"""),"70001525")</f>
        <v>70001525</v>
      </c>
      <c r="D6142" s="380" t="s">
        <v>767</v>
      </c>
      <c r="E6142" s="380" t="s">
        <v>786</v>
      </c>
      <c r="F6142" s="380" t="s">
        <v>928</v>
      </c>
      <c r="G6142" s="380" t="s">
        <v>1267</v>
      </c>
      <c r="H6142" s="380" t="s">
        <v>771</v>
      </c>
      <c r="I6142" s="380" t="s">
        <v>788</v>
      </c>
      <c r="J6142" s="380" t="s">
        <v>773</v>
      </c>
      <c r="K6142" s="381">
        <v>0.0</v>
      </c>
      <c r="L6142" s="382">
        <v>1.0</v>
      </c>
    </row>
    <row r="6143">
      <c r="A6143" s="380" t="s">
        <v>7017</v>
      </c>
      <c r="B6143" s="380" t="str">
        <f>IFERROR(__xludf.DUMMYFUNCTION("""COMPUTED_VALUE"""),"Piñon Cj Fuller 4302242 16718 Isx S-2501")</f>
        <v>Piñon Cj Fuller 4302242 16718 Isx S-2501</v>
      </c>
      <c r="C6143" s="380" t="str">
        <f>IFERROR(__xludf.DUMMYFUNCTION("""COMPUTED_VALUE"""),"70001526")</f>
        <v>70001526</v>
      </c>
      <c r="D6143" s="380" t="s">
        <v>767</v>
      </c>
      <c r="E6143" s="380" t="s">
        <v>786</v>
      </c>
      <c r="F6143" s="380" t="s">
        <v>928</v>
      </c>
      <c r="G6143" s="380" t="s">
        <v>1267</v>
      </c>
      <c r="H6143" s="380" t="s">
        <v>771</v>
      </c>
      <c r="I6143" s="380" t="s">
        <v>788</v>
      </c>
      <c r="J6143" s="380" t="s">
        <v>773</v>
      </c>
      <c r="K6143" s="381">
        <v>0.0</v>
      </c>
      <c r="L6143" s="382">
        <v>1.0</v>
      </c>
    </row>
    <row r="6144">
      <c r="A6144" s="380" t="s">
        <v>7018</v>
      </c>
      <c r="B6144" s="380" t="str">
        <f>IFERROR(__xludf.DUMMYFUNCTION("""COMPUTED_VALUE"""),"Guaya Freno Tras Parque Der N200 9026132")</f>
        <v>Guaya Freno Tras Parque Der N200 9026132</v>
      </c>
      <c r="C6144" s="380" t="str">
        <f>IFERROR(__xludf.DUMMYFUNCTION("""COMPUTED_VALUE"""),"70001527")</f>
        <v>70001527</v>
      </c>
      <c r="D6144" s="380" t="s">
        <v>767</v>
      </c>
      <c r="E6144" s="380" t="s">
        <v>786</v>
      </c>
      <c r="F6144" s="380" t="s">
        <v>1017</v>
      </c>
      <c r="G6144" s="380" t="s">
        <v>1267</v>
      </c>
      <c r="H6144" s="380" t="s">
        <v>771</v>
      </c>
      <c r="I6144" s="380" t="s">
        <v>788</v>
      </c>
      <c r="J6144" s="380" t="s">
        <v>773</v>
      </c>
      <c r="K6144" s="381">
        <v>0.0</v>
      </c>
      <c r="L6144" s="382">
        <v>1.0</v>
      </c>
    </row>
    <row r="6145">
      <c r="A6145" s="380" t="s">
        <v>7019</v>
      </c>
      <c r="B6145" s="380" t="str">
        <f>IFERROR(__xludf.DUMMYFUNCTION("""COMPUTED_VALUE"""),"Cerradura Pta Corred Izq N200 24525626")</f>
        <v>Cerradura Pta Corred Izq N200 24525626</v>
      </c>
      <c r="C6145" s="380" t="str">
        <f>IFERROR(__xludf.DUMMYFUNCTION("""COMPUTED_VALUE"""),"70001528")</f>
        <v>70001528</v>
      </c>
      <c r="D6145" s="380" t="s">
        <v>767</v>
      </c>
      <c r="E6145" s="380" t="s">
        <v>786</v>
      </c>
      <c r="F6145" s="380" t="s">
        <v>792</v>
      </c>
      <c r="G6145" s="380" t="s">
        <v>1267</v>
      </c>
      <c r="H6145" s="380" t="s">
        <v>771</v>
      </c>
      <c r="I6145" s="380" t="s">
        <v>788</v>
      </c>
      <c r="J6145" s="380" t="s">
        <v>773</v>
      </c>
      <c r="K6145" s="381">
        <v>0.0</v>
      </c>
      <c r="L6145" s="382">
        <v>1.0</v>
      </c>
    </row>
    <row r="6146">
      <c r="A6146" s="380" t="s">
        <v>7020</v>
      </c>
      <c r="B6146" s="380" t="str">
        <f>IFERROR(__xludf.DUMMYFUNCTION("""COMPUTED_VALUE"""),"Cerradura Pta Corrediz Der N200 24525625")</f>
        <v>Cerradura Pta Corrediz Der N200 24525625</v>
      </c>
      <c r="C6146" s="380" t="str">
        <f>IFERROR(__xludf.DUMMYFUNCTION("""COMPUTED_VALUE"""),"70001529")</f>
        <v>70001529</v>
      </c>
      <c r="D6146" s="380" t="s">
        <v>767</v>
      </c>
      <c r="E6146" s="380" t="s">
        <v>786</v>
      </c>
      <c r="F6146" s="380" t="s">
        <v>792</v>
      </c>
      <c r="G6146" s="380" t="s">
        <v>1267</v>
      </c>
      <c r="H6146" s="380" t="s">
        <v>771</v>
      </c>
      <c r="I6146" s="380" t="s">
        <v>788</v>
      </c>
      <c r="J6146" s="380" t="s">
        <v>773</v>
      </c>
      <c r="K6146" s="381">
        <v>0.0</v>
      </c>
      <c r="L6146" s="382">
        <v>1.0</v>
      </c>
    </row>
    <row r="6147">
      <c r="A6147" s="380" t="s">
        <v>7021</v>
      </c>
      <c r="B6147" s="380" t="str">
        <f>IFERROR(__xludf.DUMMYFUNCTION("""COMPUTED_VALUE"""),"Estribo Plastico Izq Hino 5177237091")</f>
        <v>Estribo Plastico Izq Hino 5177237091</v>
      </c>
      <c r="C6147" s="380" t="str">
        <f>IFERROR(__xludf.DUMMYFUNCTION("""COMPUTED_VALUE"""),"70001530")</f>
        <v>70001530</v>
      </c>
      <c r="D6147" s="380" t="s">
        <v>767</v>
      </c>
      <c r="E6147" s="380" t="s">
        <v>786</v>
      </c>
      <c r="F6147" s="380" t="s">
        <v>792</v>
      </c>
      <c r="G6147" s="380" t="s">
        <v>1267</v>
      </c>
      <c r="H6147" s="380" t="s">
        <v>771</v>
      </c>
      <c r="I6147" s="380" t="s">
        <v>788</v>
      </c>
      <c r="J6147" s="380" t="s">
        <v>773</v>
      </c>
      <c r="K6147" s="381">
        <v>0.0</v>
      </c>
      <c r="L6147" s="382">
        <v>1.0</v>
      </c>
    </row>
    <row r="6148">
      <c r="A6148" s="380" t="s">
        <v>7022</v>
      </c>
      <c r="B6148" s="380" t="str">
        <f>IFERROR(__xludf.DUMMYFUNCTION("""COMPUTED_VALUE"""),"Ccaza Porta Reten Eag Cja16918B FULS2809")</f>
        <v>Ccaza Porta Reten Eag Cja16918B FULS2809</v>
      </c>
      <c r="C6148" s="380" t="str">
        <f>IFERROR(__xludf.DUMMYFUNCTION("""COMPUTED_VALUE"""),"70001531")</f>
        <v>70001531</v>
      </c>
      <c r="D6148" s="380" t="s">
        <v>767</v>
      </c>
      <c r="E6148" s="380" t="s">
        <v>786</v>
      </c>
      <c r="F6148" s="380" t="s">
        <v>928</v>
      </c>
      <c r="G6148" s="380" t="s">
        <v>1267</v>
      </c>
      <c r="H6148" s="380" t="s">
        <v>771</v>
      </c>
      <c r="I6148" s="380" t="s">
        <v>788</v>
      </c>
      <c r="J6148" s="380" t="s">
        <v>773</v>
      </c>
      <c r="K6148" s="381">
        <v>0.0</v>
      </c>
      <c r="L6148" s="382">
        <v>1.0</v>
      </c>
    </row>
    <row r="6149">
      <c r="A6149" s="380" t="s">
        <v>7023</v>
      </c>
      <c r="B6149" s="380" t="str">
        <f>IFERROR(__xludf.DUMMYFUNCTION("""COMPUTED_VALUE"""),"Switch Lamp Luz Int Cabina KW P-27104010")</f>
        <v>Switch Lamp Luz Int Cabina KW P-27104010</v>
      </c>
      <c r="C6149" s="380" t="str">
        <f>IFERROR(__xludf.DUMMYFUNCTION("""COMPUTED_VALUE"""),"70001532")</f>
        <v>70001532</v>
      </c>
      <c r="D6149" s="380" t="s">
        <v>767</v>
      </c>
      <c r="E6149" s="380" t="s">
        <v>786</v>
      </c>
      <c r="F6149" s="380" t="s">
        <v>998</v>
      </c>
      <c r="G6149" s="380" t="s">
        <v>1267</v>
      </c>
      <c r="H6149" s="380" t="s">
        <v>771</v>
      </c>
      <c r="I6149" s="380" t="s">
        <v>788</v>
      </c>
      <c r="J6149" s="380" t="s">
        <v>773</v>
      </c>
      <c r="K6149" s="381">
        <v>0.0</v>
      </c>
      <c r="L6149" s="382">
        <v>1.0</v>
      </c>
    </row>
    <row r="6150">
      <c r="A6150" s="380" t="s">
        <v>7024</v>
      </c>
      <c r="B6150" s="380" t="str">
        <f>IFERROR(__xludf.DUMMYFUNCTION("""COMPUTED_VALUE"""),"Guaya Control Cambios N200 24528069")</f>
        <v>Guaya Control Cambios N200 24528069</v>
      </c>
      <c r="C6150" s="380" t="str">
        <f>IFERROR(__xludf.DUMMYFUNCTION("""COMPUTED_VALUE"""),"70001533")</f>
        <v>70001533</v>
      </c>
      <c r="D6150" s="380" t="s">
        <v>767</v>
      </c>
      <c r="E6150" s="380" t="s">
        <v>786</v>
      </c>
      <c r="F6150" s="380" t="s">
        <v>5661</v>
      </c>
      <c r="G6150" s="380" t="s">
        <v>1267</v>
      </c>
      <c r="H6150" s="380" t="s">
        <v>771</v>
      </c>
      <c r="I6150" s="380" t="s">
        <v>788</v>
      </c>
      <c r="J6150" s="380" t="s">
        <v>773</v>
      </c>
      <c r="K6150" s="381">
        <v>0.0</v>
      </c>
      <c r="L6150" s="382">
        <v>1.0</v>
      </c>
    </row>
    <row r="6151">
      <c r="A6151" s="380" t="s">
        <v>7025</v>
      </c>
      <c r="B6151" s="380" t="str">
        <f>IFERROR(__xludf.DUMMYFUNCTION("""COMPUTED_VALUE"""),"Piñon Velocimetro Caja Hino 3348239225")</f>
        <v>Piñon Velocimetro Caja Hino 3348239225</v>
      </c>
      <c r="C6151" s="380" t="str">
        <f>IFERROR(__xludf.DUMMYFUNCTION("""COMPUTED_VALUE"""),"70001534")</f>
        <v>70001534</v>
      </c>
      <c r="D6151" s="380" t="s">
        <v>767</v>
      </c>
      <c r="E6151" s="380" t="s">
        <v>786</v>
      </c>
      <c r="F6151" s="380" t="s">
        <v>928</v>
      </c>
      <c r="G6151" s="380" t="s">
        <v>1267</v>
      </c>
      <c r="H6151" s="380" t="s">
        <v>771</v>
      </c>
      <c r="I6151" s="380" t="s">
        <v>788</v>
      </c>
      <c r="J6151" s="380" t="s">
        <v>773</v>
      </c>
      <c r="K6151" s="381">
        <v>0.0</v>
      </c>
      <c r="L6151" s="382">
        <v>1.0</v>
      </c>
    </row>
    <row r="6152">
      <c r="A6152" s="380" t="s">
        <v>7026</v>
      </c>
      <c r="B6152" s="380" t="str">
        <f>IFERROR(__xludf.DUMMYFUNCTION("""COMPUTED_VALUE"""),"Soporte Cardan Hino S372321150")</f>
        <v>Soporte Cardan Hino S372321150</v>
      </c>
      <c r="C6152" s="380" t="str">
        <f>IFERROR(__xludf.DUMMYFUNCTION("""COMPUTED_VALUE"""),"70001535")</f>
        <v>70001535</v>
      </c>
      <c r="D6152" s="380" t="s">
        <v>767</v>
      </c>
      <c r="E6152" s="380" t="s">
        <v>786</v>
      </c>
      <c r="F6152" s="380" t="s">
        <v>5683</v>
      </c>
      <c r="G6152" s="380" t="s">
        <v>1267</v>
      </c>
      <c r="H6152" s="380" t="s">
        <v>771</v>
      </c>
      <c r="I6152" s="380" t="s">
        <v>788</v>
      </c>
      <c r="J6152" s="380" t="s">
        <v>773</v>
      </c>
      <c r="K6152" s="381">
        <v>0.0</v>
      </c>
      <c r="L6152" s="382">
        <v>1.0</v>
      </c>
    </row>
    <row r="6153">
      <c r="A6153" s="380" t="s">
        <v>7027</v>
      </c>
      <c r="B6153" s="380" t="str">
        <f>IFERROR(__xludf.DUMMYFUNCTION("""COMPUTED_VALUE"""),"Tapa Porta Reten Caja Isx 16918 4305830")</f>
        <v>Tapa Porta Reten Caja Isx 16918 4305830</v>
      </c>
      <c r="C6153" s="380" t="str">
        <f>IFERROR(__xludf.DUMMYFUNCTION("""COMPUTED_VALUE"""),"70001536")</f>
        <v>70001536</v>
      </c>
      <c r="D6153" s="380" t="s">
        <v>767</v>
      </c>
      <c r="E6153" s="380" t="s">
        <v>786</v>
      </c>
      <c r="F6153" s="380" t="s">
        <v>928</v>
      </c>
      <c r="G6153" s="380" t="s">
        <v>1267</v>
      </c>
      <c r="H6153" s="380" t="s">
        <v>771</v>
      </c>
      <c r="I6153" s="380" t="s">
        <v>788</v>
      </c>
      <c r="J6153" s="380" t="s">
        <v>773</v>
      </c>
      <c r="K6153" s="381">
        <v>0.0</v>
      </c>
      <c r="L6153" s="382">
        <v>1.0</v>
      </c>
    </row>
    <row r="6154">
      <c r="A6154" s="380" t="s">
        <v>7028</v>
      </c>
      <c r="B6154" s="380" t="str">
        <f>IFERROR(__xludf.DUMMYFUNCTION("""COMPUTED_VALUE"""),"Boton Interrup Luces Parq Hino8433237090")</f>
        <v>Boton Interrup Luces Parq Hino8433237090</v>
      </c>
      <c r="C6154" s="380" t="str">
        <f>IFERROR(__xludf.DUMMYFUNCTION("""COMPUTED_VALUE"""),"70001537")</f>
        <v>70001537</v>
      </c>
      <c r="D6154" s="380" t="s">
        <v>767</v>
      </c>
      <c r="E6154" s="380" t="s">
        <v>786</v>
      </c>
      <c r="F6154" s="380" t="s">
        <v>998</v>
      </c>
      <c r="G6154" s="380" t="s">
        <v>1267</v>
      </c>
      <c r="H6154" s="380" t="s">
        <v>771</v>
      </c>
      <c r="I6154" s="380" t="s">
        <v>788</v>
      </c>
      <c r="J6154" s="380" t="s">
        <v>773</v>
      </c>
      <c r="K6154" s="381">
        <v>0.0</v>
      </c>
      <c r="L6154" s="382">
        <v>1.0</v>
      </c>
    </row>
    <row r="6155">
      <c r="A6155" s="380" t="s">
        <v>7029</v>
      </c>
      <c r="B6155" s="380" t="str">
        <f>IFERROR(__xludf.DUMMYFUNCTION("""COMPUTED_VALUE"""),"Empaq Multiple Escape Nkr Rew 8982157520")</f>
        <v>Empaq Multiple Escape Nkr Rew 8982157520</v>
      </c>
      <c r="C6155" s="380" t="str">
        <f>IFERROR(__xludf.DUMMYFUNCTION("""COMPUTED_VALUE"""),"70001538")</f>
        <v>70001538</v>
      </c>
      <c r="D6155" s="380" t="s">
        <v>767</v>
      </c>
      <c r="E6155" s="380" t="s">
        <v>786</v>
      </c>
      <c r="F6155" s="380" t="s">
        <v>787</v>
      </c>
      <c r="G6155" s="380" t="s">
        <v>1267</v>
      </c>
      <c r="H6155" s="380" t="s">
        <v>771</v>
      </c>
      <c r="I6155" s="380" t="s">
        <v>788</v>
      </c>
      <c r="J6155" s="380" t="s">
        <v>773</v>
      </c>
      <c r="K6155" s="381">
        <v>0.0</v>
      </c>
      <c r="L6155" s="382">
        <v>1.0</v>
      </c>
    </row>
    <row r="6156">
      <c r="A6156" s="380" t="s">
        <v>7030</v>
      </c>
      <c r="B6156" s="380" t="str">
        <f>IFERROR(__xludf.DUMMYFUNCTION("""COMPUTED_VALUE"""),"Bujia Precalent Motor Nkr Rew 8943907775")</f>
        <v>Bujia Precalent Motor Nkr Rew 8943907775</v>
      </c>
      <c r="C6156" s="380" t="str">
        <f>IFERROR(__xludf.DUMMYFUNCTION("""COMPUTED_VALUE"""),"70001539")</f>
        <v>70001539</v>
      </c>
      <c r="D6156" s="380" t="s">
        <v>767</v>
      </c>
      <c r="E6156" s="380" t="s">
        <v>786</v>
      </c>
      <c r="F6156" s="380" t="s">
        <v>787</v>
      </c>
      <c r="G6156" s="380" t="s">
        <v>1267</v>
      </c>
      <c r="H6156" s="380" t="s">
        <v>771</v>
      </c>
      <c r="I6156" s="380" t="s">
        <v>788</v>
      </c>
      <c r="J6156" s="380" t="s">
        <v>773</v>
      </c>
      <c r="K6156" s="381">
        <v>0.0</v>
      </c>
      <c r="L6156" s="382">
        <v>1.0</v>
      </c>
    </row>
    <row r="6157">
      <c r="A6157" s="380" t="s">
        <v>7031</v>
      </c>
      <c r="B6157" s="380" t="str">
        <f>IFERROR(__xludf.DUMMYFUNCTION("""COMPUTED_VALUE"""),"Sincronizador 4ta Y 5ta Npr 8973665260")</f>
        <v>Sincronizador 4ta Y 5ta Npr 8973665260</v>
      </c>
      <c r="C6157" s="380" t="str">
        <f>IFERROR(__xludf.DUMMYFUNCTION("""COMPUTED_VALUE"""),"70001540")</f>
        <v>70001540</v>
      </c>
      <c r="D6157" s="380" t="s">
        <v>767</v>
      </c>
      <c r="E6157" s="380" t="s">
        <v>786</v>
      </c>
      <c r="F6157" s="380" t="s">
        <v>928</v>
      </c>
      <c r="G6157" s="380" t="s">
        <v>1267</v>
      </c>
      <c r="H6157" s="380" t="s">
        <v>771</v>
      </c>
      <c r="I6157" s="380" t="s">
        <v>788</v>
      </c>
      <c r="J6157" s="380" t="s">
        <v>773</v>
      </c>
      <c r="K6157" s="381">
        <v>0.0</v>
      </c>
      <c r="L6157" s="382">
        <v>1.0</v>
      </c>
    </row>
    <row r="6158">
      <c r="A6158" s="380" t="s">
        <v>7032</v>
      </c>
      <c r="B6158" s="380" t="str">
        <f>IFERROR(__xludf.DUMMYFUNCTION("""COMPUTED_VALUE"""),"Piñon Veloc Eje Corredizo Npr 8970348740")</f>
        <v>Piñon Veloc Eje Corredizo Npr 8970348740</v>
      </c>
      <c r="C6158" s="380" t="str">
        <f>IFERROR(__xludf.DUMMYFUNCTION("""COMPUTED_VALUE"""),"70001541")</f>
        <v>70001541</v>
      </c>
      <c r="D6158" s="380" t="s">
        <v>767</v>
      </c>
      <c r="E6158" s="380" t="s">
        <v>786</v>
      </c>
      <c r="F6158" s="380" t="s">
        <v>928</v>
      </c>
      <c r="G6158" s="380" t="s">
        <v>1267</v>
      </c>
      <c r="H6158" s="380" t="s">
        <v>771</v>
      </c>
      <c r="I6158" s="380" t="s">
        <v>788</v>
      </c>
      <c r="J6158" s="380" t="s">
        <v>773</v>
      </c>
      <c r="K6158" s="381">
        <v>0.0</v>
      </c>
      <c r="L6158" s="382">
        <v>1.0</v>
      </c>
    </row>
    <row r="6159">
      <c r="A6159" s="380" t="s">
        <v>7033</v>
      </c>
      <c r="B6159" s="380" t="str">
        <f>IFERROR(__xludf.DUMMYFUNCTION("""COMPUTED_VALUE"""),"Cruceta Cardan Largo Eagle SD5676X281")</f>
        <v>Cruceta Cardan Largo Eagle SD5676X281</v>
      </c>
      <c r="C6159" s="380" t="str">
        <f>IFERROR(__xludf.DUMMYFUNCTION("""COMPUTED_VALUE"""),"70001542")</f>
        <v>70001542</v>
      </c>
      <c r="D6159" s="380" t="s">
        <v>767</v>
      </c>
      <c r="E6159" s="380" t="s">
        <v>786</v>
      </c>
      <c r="F6159" s="380" t="s">
        <v>5683</v>
      </c>
      <c r="G6159" s="380" t="s">
        <v>1267</v>
      </c>
      <c r="H6159" s="380" t="s">
        <v>771</v>
      </c>
      <c r="I6159" s="380" t="s">
        <v>788</v>
      </c>
      <c r="J6159" s="380" t="s">
        <v>773</v>
      </c>
      <c r="K6159" s="381">
        <v>261830.0</v>
      </c>
      <c r="L6159" s="382">
        <v>1.0</v>
      </c>
    </row>
    <row r="6160">
      <c r="A6160" s="380" t="s">
        <v>7034</v>
      </c>
      <c r="B6160" s="380" t="str">
        <f>IFERROR(__xludf.DUMMYFUNCTION("""COMPUTED_VALUE"""),"Bobina Encendido Motor N200 24531916")</f>
        <v>Bobina Encendido Motor N200 24531916</v>
      </c>
      <c r="C6160" s="380" t="str">
        <f>IFERROR(__xludf.DUMMYFUNCTION("""COMPUTED_VALUE"""),"70001543")</f>
        <v>70001543</v>
      </c>
      <c r="D6160" s="380" t="s">
        <v>767</v>
      </c>
      <c r="E6160" s="380" t="s">
        <v>786</v>
      </c>
      <c r="F6160" s="380" t="s">
        <v>998</v>
      </c>
      <c r="G6160" s="380" t="s">
        <v>1267</v>
      </c>
      <c r="H6160" s="380" t="s">
        <v>771</v>
      </c>
      <c r="I6160" s="380" t="s">
        <v>788</v>
      </c>
      <c r="J6160" s="380" t="s">
        <v>773</v>
      </c>
      <c r="K6160" s="381">
        <v>0.0</v>
      </c>
      <c r="L6160" s="382">
        <v>1.0</v>
      </c>
    </row>
    <row r="6161">
      <c r="A6161" s="380" t="s">
        <v>7035</v>
      </c>
      <c r="B6161" s="380" t="str">
        <f>IFERROR(__xludf.DUMMYFUNCTION("""COMPUTED_VALUE"""),"Culata Motor N200 24542619")</f>
        <v>Culata Motor N200 24542619</v>
      </c>
      <c r="C6161" s="380" t="str">
        <f>IFERROR(__xludf.DUMMYFUNCTION("""COMPUTED_VALUE"""),"70001544")</f>
        <v>70001544</v>
      </c>
      <c r="D6161" s="380" t="s">
        <v>767</v>
      </c>
      <c r="E6161" s="380" t="s">
        <v>786</v>
      </c>
      <c r="F6161" s="380" t="s">
        <v>787</v>
      </c>
      <c r="G6161" s="380" t="s">
        <v>1267</v>
      </c>
      <c r="H6161" s="380" t="s">
        <v>771</v>
      </c>
      <c r="I6161" s="380" t="s">
        <v>788</v>
      </c>
      <c r="J6161" s="380" t="s">
        <v>773</v>
      </c>
      <c r="K6161" s="381">
        <v>0.0</v>
      </c>
      <c r="L6161" s="382">
        <v>1.0</v>
      </c>
    </row>
    <row r="6162">
      <c r="A6162" s="380" t="s">
        <v>7036</v>
      </c>
      <c r="B6162" s="380" t="str">
        <f>IFERROR(__xludf.DUMMYFUNCTION("""COMPUTED_VALUE"""),"Empaque Culata N200 25184663")</f>
        <v>Empaque Culata N200 25184663</v>
      </c>
      <c r="C6162" s="380" t="str">
        <f>IFERROR(__xludf.DUMMYFUNCTION("""COMPUTED_VALUE"""),"70001545")</f>
        <v>70001545</v>
      </c>
      <c r="D6162" s="380" t="s">
        <v>767</v>
      </c>
      <c r="E6162" s="380" t="s">
        <v>786</v>
      </c>
      <c r="F6162" s="380" t="s">
        <v>787</v>
      </c>
      <c r="G6162" s="380" t="s">
        <v>1267</v>
      </c>
      <c r="H6162" s="380" t="s">
        <v>771</v>
      </c>
      <c r="I6162" s="380" t="s">
        <v>788</v>
      </c>
      <c r="J6162" s="380" t="s">
        <v>773</v>
      </c>
      <c r="K6162" s="381">
        <v>0.0</v>
      </c>
      <c r="L6162" s="382">
        <v>1.0</v>
      </c>
    </row>
    <row r="6163">
      <c r="A6163" s="380" t="s">
        <v>7037</v>
      </c>
      <c r="B6163" s="380" t="str">
        <f>IFERROR(__xludf.DUMMYFUNCTION("""COMPUTED_VALUE"""),"Motor Bloqueo Puerta Kenworth")</f>
        <v>Motor Bloqueo Puerta Kenworth</v>
      </c>
      <c r="C6163" s="380" t="str">
        <f>IFERROR(__xludf.DUMMYFUNCTION("""COMPUTED_VALUE"""),"70001546")</f>
        <v>70001546</v>
      </c>
      <c r="D6163" s="380" t="s">
        <v>767</v>
      </c>
      <c r="E6163" s="380" t="s">
        <v>786</v>
      </c>
      <c r="F6163" s="380" t="s">
        <v>792</v>
      </c>
      <c r="G6163" s="380" t="s">
        <v>1267</v>
      </c>
      <c r="H6163" s="380" t="s">
        <v>771</v>
      </c>
      <c r="I6163" s="380" t="s">
        <v>788</v>
      </c>
      <c r="J6163" s="380" t="s">
        <v>773</v>
      </c>
      <c r="K6163" s="381">
        <v>0.0</v>
      </c>
      <c r="L6163" s="382">
        <v>1.0</v>
      </c>
    </row>
    <row r="6164">
      <c r="A6164" s="380" t="s">
        <v>7038</v>
      </c>
      <c r="B6164" s="380" t="str">
        <f>IFERROR(__xludf.DUMMYFUNCTION("""COMPUTED_VALUE"""),"Canal Vidrio Puerta Nkr-Npr 8978984250")</f>
        <v>Canal Vidrio Puerta Nkr-Npr 8978984250</v>
      </c>
      <c r="C6164" s="380" t="str">
        <f>IFERROR(__xludf.DUMMYFUNCTION("""COMPUTED_VALUE"""),"70001547")</f>
        <v>70001547</v>
      </c>
      <c r="D6164" s="380" t="s">
        <v>767</v>
      </c>
      <c r="E6164" s="380" t="s">
        <v>786</v>
      </c>
      <c r="F6164" s="380" t="s">
        <v>792</v>
      </c>
      <c r="G6164" s="380" t="s">
        <v>1267</v>
      </c>
      <c r="H6164" s="380" t="s">
        <v>771</v>
      </c>
      <c r="I6164" s="380" t="s">
        <v>788</v>
      </c>
      <c r="J6164" s="380" t="s">
        <v>773</v>
      </c>
      <c r="K6164" s="381">
        <v>0.0</v>
      </c>
      <c r="L6164" s="382">
        <v>1.0</v>
      </c>
    </row>
    <row r="6165">
      <c r="A6165" s="380" t="s">
        <v>7039</v>
      </c>
      <c r="B6165" s="380" t="str">
        <f>IFERROR(__xludf.DUMMYFUNCTION("""COMPUTED_VALUE"""),"Empaq Tapa Volante Akt Carguer7701023459")</f>
        <v>Empaq Tapa Volante Akt Carguer7701023459</v>
      </c>
      <c r="C6165" s="380" t="str">
        <f>IFERROR(__xludf.DUMMYFUNCTION("""COMPUTED_VALUE"""),"70001548")</f>
        <v>70001548</v>
      </c>
      <c r="D6165" s="380" t="s">
        <v>767</v>
      </c>
      <c r="E6165" s="380" t="s">
        <v>786</v>
      </c>
      <c r="F6165" s="380" t="s">
        <v>787</v>
      </c>
      <c r="G6165" s="380" t="s">
        <v>1267</v>
      </c>
      <c r="H6165" s="380" t="s">
        <v>771</v>
      </c>
      <c r="I6165" s="380" t="s">
        <v>788</v>
      </c>
      <c r="J6165" s="380" t="s">
        <v>773</v>
      </c>
      <c r="K6165" s="381">
        <v>0.0</v>
      </c>
      <c r="L6165" s="382">
        <v>1.0</v>
      </c>
    </row>
    <row r="6166">
      <c r="A6166" s="380" t="s">
        <v>7040</v>
      </c>
      <c r="B6166" s="380" t="str">
        <f>IFERROR(__xludf.DUMMYFUNCTION("""COMPUTED_VALUE"""),"Filtro Aire Acondicionado KWh103817")</f>
        <v>Filtro Aire Acondicionado KWh103817</v>
      </c>
      <c r="C6166" s="380" t="str">
        <f>IFERROR(__xludf.DUMMYFUNCTION("""COMPUTED_VALUE"""),"70001549")</f>
        <v>70001549</v>
      </c>
      <c r="D6166" s="380" t="s">
        <v>767</v>
      </c>
      <c r="E6166" s="380" t="s">
        <v>786</v>
      </c>
      <c r="F6166" s="380" t="s">
        <v>5855</v>
      </c>
      <c r="G6166" s="380" t="s">
        <v>1267</v>
      </c>
      <c r="H6166" s="380" t="s">
        <v>771</v>
      </c>
      <c r="I6166" s="380" t="s">
        <v>788</v>
      </c>
      <c r="J6166" s="380" t="s">
        <v>773</v>
      </c>
      <c r="K6166" s="381">
        <v>0.0</v>
      </c>
      <c r="L6166" s="382">
        <v>1.0</v>
      </c>
    </row>
    <row r="6167">
      <c r="A6167" s="380" t="s">
        <v>7041</v>
      </c>
      <c r="B6167" s="380" t="str">
        <f>IFERROR(__xludf.DUMMYFUNCTION("""COMPUTED_VALUE"""),"Manguera Valvula Gama Eagle FULL55528")</f>
        <v>Manguera Valvula Gama Eagle FULL55528</v>
      </c>
      <c r="C6167" s="380" t="str">
        <f>IFERROR(__xludf.DUMMYFUNCTION("""COMPUTED_VALUE"""),"70001550")</f>
        <v>70001550</v>
      </c>
      <c r="D6167" s="380" t="s">
        <v>767</v>
      </c>
      <c r="E6167" s="380" t="s">
        <v>786</v>
      </c>
      <c r="F6167" s="380" t="s">
        <v>5683</v>
      </c>
      <c r="G6167" s="380" t="s">
        <v>1267</v>
      </c>
      <c r="H6167" s="380" t="s">
        <v>771</v>
      </c>
      <c r="I6167" s="380" t="s">
        <v>788</v>
      </c>
      <c r="J6167" s="380" t="s">
        <v>773</v>
      </c>
      <c r="K6167" s="381">
        <v>0.0</v>
      </c>
      <c r="L6167" s="382">
        <v>1.0</v>
      </c>
    </row>
    <row r="6168">
      <c r="A6168" s="380" t="s">
        <v>7042</v>
      </c>
      <c r="B6168" s="380" t="str">
        <f>IFERROR(__xludf.DUMMYFUNCTION("""COMPUTED_VALUE"""),"Emblema Persiana Hino 7531537022")</f>
        <v>Emblema Persiana Hino 7531537022</v>
      </c>
      <c r="C6168" s="380" t="str">
        <f>IFERROR(__xludf.DUMMYFUNCTION("""COMPUTED_VALUE"""),"70001551")</f>
        <v>70001551</v>
      </c>
      <c r="D6168" s="380" t="s">
        <v>767</v>
      </c>
      <c r="E6168" s="380" t="s">
        <v>786</v>
      </c>
      <c r="F6168" s="380" t="s">
        <v>792</v>
      </c>
      <c r="G6168" s="380" t="s">
        <v>1267</v>
      </c>
      <c r="H6168" s="380" t="s">
        <v>771</v>
      </c>
      <c r="I6168" s="380" t="s">
        <v>788</v>
      </c>
      <c r="J6168" s="380" t="s">
        <v>773</v>
      </c>
      <c r="K6168" s="381">
        <v>0.0</v>
      </c>
      <c r="L6168" s="382">
        <v>1.0</v>
      </c>
    </row>
    <row r="6169">
      <c r="A6169" s="380" t="s">
        <v>7043</v>
      </c>
      <c r="B6169" s="380" t="str">
        <f>IFERROR(__xludf.DUMMYFUNCTION("""COMPUTED_VALUE"""),"Guaya Fren Tras Parqueo Izq N200 9026131")</f>
        <v>Guaya Fren Tras Parqueo Izq N200 9026131</v>
      </c>
      <c r="C6169" s="380" t="str">
        <f>IFERROR(__xludf.DUMMYFUNCTION("""COMPUTED_VALUE"""),"70001552")</f>
        <v>70001552</v>
      </c>
      <c r="D6169" s="380" t="s">
        <v>767</v>
      </c>
      <c r="E6169" s="380" t="s">
        <v>786</v>
      </c>
      <c r="F6169" s="380" t="s">
        <v>1017</v>
      </c>
      <c r="G6169" s="380" t="s">
        <v>1267</v>
      </c>
      <c r="H6169" s="380" t="s">
        <v>771</v>
      </c>
      <c r="I6169" s="380" t="s">
        <v>788</v>
      </c>
      <c r="J6169" s="380" t="s">
        <v>773</v>
      </c>
      <c r="K6169" s="381">
        <v>0.0</v>
      </c>
      <c r="L6169" s="382">
        <v>1.0</v>
      </c>
    </row>
    <row r="6170">
      <c r="A6170" s="380" t="s">
        <v>7044</v>
      </c>
      <c r="B6170" s="380" t="str">
        <f>IFERROR(__xludf.DUMMYFUNCTION("""COMPUTED_VALUE"""),"Abrazadera Cremallera 36")</f>
        <v>Abrazadera Cremallera 36</v>
      </c>
      <c r="C6170" s="380" t="str">
        <f>IFERROR(__xludf.DUMMYFUNCTION("""COMPUTED_VALUE"""),"70001553")</f>
        <v>70001553</v>
      </c>
      <c r="D6170" s="380" t="s">
        <v>767</v>
      </c>
      <c r="E6170" s="380" t="s">
        <v>786</v>
      </c>
      <c r="F6170" s="380" t="s">
        <v>989</v>
      </c>
      <c r="G6170" s="380" t="s">
        <v>1267</v>
      </c>
      <c r="H6170" s="380" t="s">
        <v>771</v>
      </c>
      <c r="I6170" s="380" t="s">
        <v>788</v>
      </c>
      <c r="J6170" s="380" t="s">
        <v>773</v>
      </c>
      <c r="K6170" s="381">
        <v>0.0</v>
      </c>
      <c r="L6170" s="382">
        <v>1.0</v>
      </c>
    </row>
    <row r="6171">
      <c r="A6171" s="380" t="s">
        <v>7045</v>
      </c>
      <c r="B6171" s="380" t="str">
        <f>IFERROR(__xludf.DUMMYFUNCTION("""COMPUTED_VALUE"""),"Enfocador Radiador Nkr Rewar 8973870811")</f>
        <v>Enfocador Radiador Nkr Rewar 8973870811</v>
      </c>
      <c r="C6171" s="380" t="str">
        <f>IFERROR(__xludf.DUMMYFUNCTION("""COMPUTED_VALUE"""),"70001554")</f>
        <v>70001554</v>
      </c>
      <c r="D6171" s="380" t="s">
        <v>767</v>
      </c>
      <c r="E6171" s="380" t="s">
        <v>786</v>
      </c>
      <c r="F6171" s="380" t="s">
        <v>787</v>
      </c>
      <c r="G6171" s="380" t="s">
        <v>1267</v>
      </c>
      <c r="H6171" s="380" t="s">
        <v>771</v>
      </c>
      <c r="I6171" s="380" t="s">
        <v>788</v>
      </c>
      <c r="J6171" s="380" t="s">
        <v>773</v>
      </c>
      <c r="K6171" s="381">
        <v>0.0</v>
      </c>
      <c r="L6171" s="382">
        <v>1.0</v>
      </c>
    </row>
    <row r="6172">
      <c r="A6172" s="380" t="s">
        <v>7046</v>
      </c>
      <c r="B6172" s="380" t="str">
        <f>IFERROR(__xludf.DUMMYFUNCTION("""COMPUTED_VALUE"""),"Caucho Enfocador Nkr Rewar 8973870851")</f>
        <v>Caucho Enfocador Nkr Rewar 8973870851</v>
      </c>
      <c r="C6172" s="380" t="str">
        <f>IFERROR(__xludf.DUMMYFUNCTION("""COMPUTED_VALUE"""),"70001555")</f>
        <v>70001555</v>
      </c>
      <c r="D6172" s="380" t="s">
        <v>767</v>
      </c>
      <c r="E6172" s="380" t="s">
        <v>786</v>
      </c>
      <c r="F6172" s="380" t="s">
        <v>787</v>
      </c>
      <c r="G6172" s="380" t="s">
        <v>1267</v>
      </c>
      <c r="H6172" s="380" t="s">
        <v>771</v>
      </c>
      <c r="I6172" s="380" t="s">
        <v>788</v>
      </c>
      <c r="J6172" s="380" t="s">
        <v>773</v>
      </c>
      <c r="K6172" s="381">
        <v>0.0</v>
      </c>
      <c r="L6172" s="382">
        <v>1.0</v>
      </c>
    </row>
    <row r="6173">
      <c r="A6173" s="380" t="s">
        <v>7047</v>
      </c>
      <c r="B6173" s="380" t="str">
        <f>IFERROR(__xludf.DUMMYFUNCTION("""COMPUTED_VALUE"""),"Harnes Medidor Comb KW T800 P927180065")</f>
        <v>Harnes Medidor Comb KW T800 P927180065</v>
      </c>
      <c r="C6173" s="380" t="str">
        <f>IFERROR(__xludf.DUMMYFUNCTION("""COMPUTED_VALUE"""),"70001557")</f>
        <v>70001557</v>
      </c>
      <c r="D6173" s="380" t="s">
        <v>767</v>
      </c>
      <c r="E6173" s="380" t="s">
        <v>786</v>
      </c>
      <c r="F6173" s="380" t="s">
        <v>998</v>
      </c>
      <c r="G6173" s="380" t="s">
        <v>1267</v>
      </c>
      <c r="H6173" s="380" t="s">
        <v>771</v>
      </c>
      <c r="I6173" s="380" t="s">
        <v>788</v>
      </c>
      <c r="J6173" s="380" t="s">
        <v>773</v>
      </c>
      <c r="K6173" s="381">
        <v>0.0</v>
      </c>
      <c r="L6173" s="382">
        <v>1.0</v>
      </c>
    </row>
    <row r="6174">
      <c r="A6174" s="380" t="s">
        <v>7048</v>
      </c>
      <c r="B6174" s="380" t="str">
        <f>IFERROR(__xludf.DUMMYFUNCTION("""COMPUTED_VALUE"""),"Sensor Temperatura Agua N200 9052862")</f>
        <v>Sensor Temperatura Agua N200 9052862</v>
      </c>
      <c r="C6174" s="380" t="str">
        <f>IFERROR(__xludf.DUMMYFUNCTION("""COMPUTED_VALUE"""),"70001558")</f>
        <v>70001558</v>
      </c>
      <c r="D6174" s="380" t="s">
        <v>767</v>
      </c>
      <c r="E6174" s="380" t="s">
        <v>786</v>
      </c>
      <c r="F6174" s="380" t="s">
        <v>998</v>
      </c>
      <c r="G6174" s="380" t="s">
        <v>1267</v>
      </c>
      <c r="H6174" s="380" t="s">
        <v>771</v>
      </c>
      <c r="I6174" s="380" t="s">
        <v>788</v>
      </c>
      <c r="J6174" s="380" t="s">
        <v>773</v>
      </c>
      <c r="K6174" s="381">
        <v>0.0</v>
      </c>
      <c r="L6174" s="382">
        <v>1.0</v>
      </c>
    </row>
    <row r="6175">
      <c r="A6175" s="380" t="s">
        <v>7049</v>
      </c>
      <c r="B6175" s="380" t="str">
        <f>IFERROR(__xludf.DUMMYFUNCTION("""COMPUTED_VALUE"""),"Tobera Limpiabrisas Hino 8538137020")</f>
        <v>Tobera Limpiabrisas Hino 8538137020</v>
      </c>
      <c r="C6175" s="380" t="str">
        <f>IFERROR(__xludf.DUMMYFUNCTION("""COMPUTED_VALUE"""),"70001559")</f>
        <v>70001559</v>
      </c>
      <c r="D6175" s="380" t="s">
        <v>767</v>
      </c>
      <c r="E6175" s="380" t="s">
        <v>786</v>
      </c>
      <c r="F6175" s="380" t="s">
        <v>792</v>
      </c>
      <c r="G6175" s="380" t="s">
        <v>1267</v>
      </c>
      <c r="H6175" s="380" t="s">
        <v>771</v>
      </c>
      <c r="I6175" s="380" t="s">
        <v>788</v>
      </c>
      <c r="J6175" s="380" t="s">
        <v>773</v>
      </c>
      <c r="K6175" s="381">
        <v>238000.0</v>
      </c>
      <c r="L6175" s="382">
        <v>1.0</v>
      </c>
    </row>
    <row r="6176">
      <c r="A6176" s="380" t="s">
        <v>7050</v>
      </c>
      <c r="B6176" s="380" t="str">
        <f>IFERROR(__xludf.DUMMYFUNCTION("""COMPUTED_VALUE"""),"Deposito Exp Agua Radiador N200-5497104")</f>
        <v>Deposito Exp Agua Radiador N200-5497104</v>
      </c>
      <c r="C6176" s="380" t="str">
        <f>IFERROR(__xludf.DUMMYFUNCTION("""COMPUTED_VALUE"""),"70001560")</f>
        <v>70001560</v>
      </c>
      <c r="D6176" s="380" t="s">
        <v>767</v>
      </c>
      <c r="E6176" s="380" t="s">
        <v>786</v>
      </c>
      <c r="F6176" s="380" t="s">
        <v>787</v>
      </c>
      <c r="G6176" s="380" t="s">
        <v>1267</v>
      </c>
      <c r="H6176" s="380" t="s">
        <v>771</v>
      </c>
      <c r="I6176" s="380" t="s">
        <v>788</v>
      </c>
      <c r="J6176" s="380" t="s">
        <v>773</v>
      </c>
      <c r="K6176" s="381">
        <v>0.0</v>
      </c>
      <c r="L6176" s="382">
        <v>1.0</v>
      </c>
    </row>
    <row r="6177">
      <c r="A6177" s="380" t="s">
        <v>7051</v>
      </c>
      <c r="B6177" s="380" t="str">
        <f>IFERROR(__xludf.DUMMYFUNCTION("""COMPUTED_VALUE"""),"Tubo Manguera Bba Aux Embr Nkr8970637562")</f>
        <v>Tubo Manguera Bba Aux Embr Nkr8970637562</v>
      </c>
      <c r="C6177" s="380" t="str">
        <f>IFERROR(__xludf.DUMMYFUNCTION("""COMPUTED_VALUE"""),"70001561")</f>
        <v>70001561</v>
      </c>
      <c r="D6177" s="380" t="s">
        <v>767</v>
      </c>
      <c r="E6177" s="380" t="s">
        <v>786</v>
      </c>
      <c r="F6177" s="380" t="s">
        <v>5661</v>
      </c>
      <c r="G6177" s="380" t="s">
        <v>1267</v>
      </c>
      <c r="H6177" s="380" t="s">
        <v>771</v>
      </c>
      <c r="I6177" s="380" t="s">
        <v>788</v>
      </c>
      <c r="J6177" s="380" t="s">
        <v>773</v>
      </c>
      <c r="K6177" s="381">
        <v>0.0</v>
      </c>
      <c r="L6177" s="382">
        <v>1.0</v>
      </c>
    </row>
    <row r="6178">
      <c r="A6178" s="380" t="s">
        <v>7052</v>
      </c>
      <c r="B6178" s="380" t="str">
        <f>IFERROR(__xludf.DUMMYFUNCTION("""COMPUTED_VALUE"""),"Hoja Resorte Trasera Isx 55119/5")</f>
        <v>Hoja Resorte Trasera Isx 55119/5</v>
      </c>
      <c r="C6178" s="380" t="str">
        <f>IFERROR(__xludf.DUMMYFUNCTION("""COMPUTED_VALUE"""),"70001562")</f>
        <v>70001562</v>
      </c>
      <c r="D6178" s="380" t="s">
        <v>767</v>
      </c>
      <c r="E6178" s="380" t="s">
        <v>786</v>
      </c>
      <c r="F6178" s="380" t="s">
        <v>1039</v>
      </c>
      <c r="G6178" s="380" t="s">
        <v>1267</v>
      </c>
      <c r="H6178" s="380" t="s">
        <v>771</v>
      </c>
      <c r="I6178" s="380" t="s">
        <v>788</v>
      </c>
      <c r="J6178" s="380" t="s">
        <v>773</v>
      </c>
      <c r="K6178" s="381">
        <v>0.0</v>
      </c>
      <c r="L6178" s="382">
        <v>1.0</v>
      </c>
    </row>
    <row r="6179">
      <c r="A6179" s="380" t="s">
        <v>7053</v>
      </c>
      <c r="B6179" s="380" t="str">
        <f>IFERROR(__xludf.DUMMYFUNCTION("""COMPUTED_VALUE"""),"Valvula Pedal Freno Eagle Isx BX802753")</f>
        <v>Valvula Pedal Freno Eagle Isx BX802753</v>
      </c>
      <c r="C6179" s="380" t="str">
        <f>IFERROR(__xludf.DUMMYFUNCTION("""COMPUTED_VALUE"""),"70001563")</f>
        <v>70001563</v>
      </c>
      <c r="D6179" s="380" t="s">
        <v>767</v>
      </c>
      <c r="E6179" s="380" t="s">
        <v>786</v>
      </c>
      <c r="F6179" s="380" t="s">
        <v>1017</v>
      </c>
      <c r="G6179" s="380" t="s">
        <v>1267</v>
      </c>
      <c r="H6179" s="380" t="s">
        <v>771</v>
      </c>
      <c r="I6179" s="380" t="s">
        <v>788</v>
      </c>
      <c r="J6179" s="380" t="s">
        <v>773</v>
      </c>
      <c r="K6179" s="381">
        <v>0.0</v>
      </c>
      <c r="L6179" s="382">
        <v>1.0</v>
      </c>
    </row>
    <row r="6180">
      <c r="A6180" s="380" t="s">
        <v>7054</v>
      </c>
      <c r="B6180" s="380" t="str">
        <f>IFERROR(__xludf.DUMMYFUNCTION("""COMPUTED_VALUE"""),"Varilla Tijera Inferior Der N200 9027321")</f>
        <v>Varilla Tijera Inferior Der N200 9027321</v>
      </c>
      <c r="C6180" s="380" t="str">
        <f>IFERROR(__xludf.DUMMYFUNCTION("""COMPUTED_VALUE"""),"70001564")</f>
        <v>70001564</v>
      </c>
      <c r="D6180" s="380" t="s">
        <v>767</v>
      </c>
      <c r="E6180" s="380" t="s">
        <v>786</v>
      </c>
      <c r="F6180" s="380" t="s">
        <v>1039</v>
      </c>
      <c r="G6180" s="380" t="s">
        <v>1267</v>
      </c>
      <c r="H6180" s="380" t="s">
        <v>771</v>
      </c>
      <c r="I6180" s="380" t="s">
        <v>788</v>
      </c>
      <c r="J6180" s="380" t="s">
        <v>773</v>
      </c>
      <c r="K6180" s="381">
        <v>0.0</v>
      </c>
      <c r="L6180" s="382">
        <v>1.0</v>
      </c>
    </row>
    <row r="6181">
      <c r="A6181" s="380" t="s">
        <v>7055</v>
      </c>
      <c r="B6181" s="380" t="str">
        <f>IFERROR(__xludf.DUMMYFUNCTION("""COMPUTED_VALUE"""),"Terminal Inter Caja Direc N200 24512554")</f>
        <v>Terminal Inter Caja Direc N200 24512554</v>
      </c>
      <c r="C6181" s="380" t="str">
        <f>IFERROR(__xludf.DUMMYFUNCTION("""COMPUTED_VALUE"""),"70001565")</f>
        <v>70001565</v>
      </c>
      <c r="D6181" s="380" t="s">
        <v>767</v>
      </c>
      <c r="E6181" s="380" t="s">
        <v>786</v>
      </c>
      <c r="F6181" s="380" t="s">
        <v>1020</v>
      </c>
      <c r="G6181" s="380" t="s">
        <v>1267</v>
      </c>
      <c r="H6181" s="380" t="s">
        <v>771</v>
      </c>
      <c r="I6181" s="380" t="s">
        <v>788</v>
      </c>
      <c r="J6181" s="380" t="s">
        <v>773</v>
      </c>
      <c r="K6181" s="381">
        <v>0.0</v>
      </c>
      <c r="L6181" s="382">
        <v>1.0</v>
      </c>
    </row>
    <row r="6182">
      <c r="A6182" s="380" t="s">
        <v>7056</v>
      </c>
      <c r="B6182" s="380" t="str">
        <f>IFERROR(__xludf.DUMMYFUNCTION("""COMPUTED_VALUE"""),"Sensor Freno Tras Moto Furgon 7701023734")</f>
        <v>Sensor Freno Tras Moto Furgon 7701023734</v>
      </c>
      <c r="C6182" s="380" t="str">
        <f>IFERROR(__xludf.DUMMYFUNCTION("""COMPUTED_VALUE"""),"70001566")</f>
        <v>70001566</v>
      </c>
      <c r="D6182" s="380" t="s">
        <v>767</v>
      </c>
      <c r="E6182" s="380" t="s">
        <v>786</v>
      </c>
      <c r="F6182" s="380" t="s">
        <v>1017</v>
      </c>
      <c r="G6182" s="380" t="s">
        <v>1267</v>
      </c>
      <c r="H6182" s="380" t="s">
        <v>771</v>
      </c>
      <c r="I6182" s="380" t="s">
        <v>788</v>
      </c>
      <c r="J6182" s="380" t="s">
        <v>773</v>
      </c>
      <c r="K6182" s="381">
        <v>0.0</v>
      </c>
      <c r="L6182" s="382">
        <v>1.0</v>
      </c>
    </row>
    <row r="6183">
      <c r="A6183" s="380" t="s">
        <v>7057</v>
      </c>
      <c r="B6183" s="380" t="str">
        <f>IFERROR(__xludf.DUMMYFUNCTION("""COMPUTED_VALUE"""),"Muelle Trasero Completo Super Carry")</f>
        <v>Muelle Trasero Completo Super Carry</v>
      </c>
      <c r="C6183" s="380" t="str">
        <f>IFERROR(__xludf.DUMMYFUNCTION("""COMPUTED_VALUE"""),"70001567")</f>
        <v>70001567</v>
      </c>
      <c r="D6183" s="380" t="s">
        <v>767</v>
      </c>
      <c r="E6183" s="380" t="s">
        <v>786</v>
      </c>
      <c r="F6183" s="380" t="s">
        <v>1039</v>
      </c>
      <c r="G6183" s="380" t="s">
        <v>1267</v>
      </c>
      <c r="H6183" s="380" t="s">
        <v>771</v>
      </c>
      <c r="I6183" s="380" t="s">
        <v>788</v>
      </c>
      <c r="J6183" s="380" t="s">
        <v>773</v>
      </c>
      <c r="K6183" s="381">
        <v>0.0</v>
      </c>
      <c r="L6183" s="382">
        <v>1.0</v>
      </c>
    </row>
    <row r="6184">
      <c r="A6184" s="380" t="s">
        <v>7058</v>
      </c>
      <c r="B6184" s="380" t="str">
        <f>IFERROR(__xludf.DUMMYFUNCTION("""COMPUTED_VALUE"""),"Buje Barra Tensora KW839310")</f>
        <v>Buje Barra Tensora KW839310</v>
      </c>
      <c r="C6184" s="380" t="str">
        <f>IFERROR(__xludf.DUMMYFUNCTION("""COMPUTED_VALUE"""),"70001568")</f>
        <v>70001568</v>
      </c>
      <c r="D6184" s="380" t="s">
        <v>767</v>
      </c>
      <c r="E6184" s="380" t="s">
        <v>786</v>
      </c>
      <c r="F6184" s="380" t="s">
        <v>1039</v>
      </c>
      <c r="G6184" s="380" t="s">
        <v>1267</v>
      </c>
      <c r="H6184" s="380" t="s">
        <v>771</v>
      </c>
      <c r="I6184" s="380" t="s">
        <v>788</v>
      </c>
      <c r="J6184" s="380" t="s">
        <v>773</v>
      </c>
      <c r="K6184" s="381">
        <v>0.0</v>
      </c>
      <c r="L6184" s="382">
        <v>1.0</v>
      </c>
    </row>
    <row r="6185">
      <c r="A6185" s="380" t="s">
        <v>7059</v>
      </c>
      <c r="B6185" s="380" t="str">
        <f>IFERROR(__xludf.DUMMYFUNCTION("""COMPUTED_VALUE"""),"Sincronizador 1raY Rev Npr8970914340")</f>
        <v>Sincronizador 1raY Rev Npr8970914340</v>
      </c>
      <c r="C6185" s="380" t="str">
        <f>IFERROR(__xludf.DUMMYFUNCTION("""COMPUTED_VALUE"""),"70001569")</f>
        <v>70001569</v>
      </c>
      <c r="D6185" s="380" t="s">
        <v>767</v>
      </c>
      <c r="E6185" s="380" t="s">
        <v>786</v>
      </c>
      <c r="F6185" s="380" t="s">
        <v>928</v>
      </c>
      <c r="G6185" s="380" t="s">
        <v>1267</v>
      </c>
      <c r="H6185" s="380" t="s">
        <v>771</v>
      </c>
      <c r="I6185" s="380" t="s">
        <v>788</v>
      </c>
      <c r="J6185" s="380" t="s">
        <v>773</v>
      </c>
      <c r="K6185" s="381">
        <v>0.0</v>
      </c>
      <c r="L6185" s="382">
        <v>1.0</v>
      </c>
    </row>
    <row r="6186">
      <c r="A6186" s="380" t="s">
        <v>7060</v>
      </c>
      <c r="B6186" s="380" t="str">
        <f>IFERROR(__xludf.DUMMYFUNCTION("""COMPUTED_VALUE"""),"Piñon 1ra Eje Corredizo Npr 8970843771")</f>
        <v>Piñon 1ra Eje Corredizo Npr 8970843771</v>
      </c>
      <c r="C6186" s="380" t="str">
        <f>IFERROR(__xludf.DUMMYFUNCTION("""COMPUTED_VALUE"""),"70001570")</f>
        <v>70001570</v>
      </c>
      <c r="D6186" s="380" t="s">
        <v>767</v>
      </c>
      <c r="E6186" s="380" t="s">
        <v>786</v>
      </c>
      <c r="F6186" s="380" t="s">
        <v>928</v>
      </c>
      <c r="G6186" s="380" t="s">
        <v>1267</v>
      </c>
      <c r="H6186" s="380" t="s">
        <v>771</v>
      </c>
      <c r="I6186" s="380" t="s">
        <v>788</v>
      </c>
      <c r="J6186" s="380" t="s">
        <v>773</v>
      </c>
      <c r="K6186" s="381">
        <v>0.0</v>
      </c>
      <c r="L6186" s="382">
        <v>1.0</v>
      </c>
    </row>
    <row r="6187">
      <c r="A6187" s="380" t="s">
        <v>7061</v>
      </c>
      <c r="B6187" s="380" t="str">
        <f>IFERROR(__xludf.DUMMYFUNCTION("""COMPUTED_VALUE"""),"Anillo Bronce Sincronizad 8970617520 Npr")</f>
        <v>Anillo Bronce Sincronizad 8970617520 Npr</v>
      </c>
      <c r="C6187" s="380" t="str">
        <f>IFERROR(__xludf.DUMMYFUNCTION("""COMPUTED_VALUE"""),"70001571")</f>
        <v>70001571</v>
      </c>
      <c r="D6187" s="380" t="s">
        <v>767</v>
      </c>
      <c r="E6187" s="380" t="s">
        <v>786</v>
      </c>
      <c r="F6187" s="380" t="s">
        <v>928</v>
      </c>
      <c r="G6187" s="380" t="s">
        <v>1267</v>
      </c>
      <c r="H6187" s="380" t="s">
        <v>771</v>
      </c>
      <c r="I6187" s="380" t="s">
        <v>788</v>
      </c>
      <c r="J6187" s="380" t="s">
        <v>773</v>
      </c>
      <c r="K6187" s="381">
        <v>0.0</v>
      </c>
      <c r="L6187" s="382">
        <v>1.0</v>
      </c>
    </row>
    <row r="6188">
      <c r="A6188" s="380" t="s">
        <v>7062</v>
      </c>
      <c r="B6188" s="380" t="str">
        <f>IFERROR(__xludf.DUMMYFUNCTION("""COMPUTED_VALUE"""),"Cubierta Sello Difusor Nkr Rew8980375430")</f>
        <v>Cubierta Sello Difusor Nkr Rew8980375430</v>
      </c>
      <c r="C6188" s="380" t="str">
        <f>IFERROR(__xludf.DUMMYFUNCTION("""COMPUTED_VALUE"""),"70001572")</f>
        <v>70001572</v>
      </c>
      <c r="D6188" s="380" t="s">
        <v>767</v>
      </c>
      <c r="E6188" s="380" t="s">
        <v>786</v>
      </c>
      <c r="F6188" s="380" t="s">
        <v>787</v>
      </c>
      <c r="G6188" s="380" t="s">
        <v>1267</v>
      </c>
      <c r="H6188" s="380" t="s">
        <v>771</v>
      </c>
      <c r="I6188" s="380" t="s">
        <v>788</v>
      </c>
      <c r="J6188" s="380" t="s">
        <v>773</v>
      </c>
      <c r="K6188" s="381">
        <v>0.0</v>
      </c>
      <c r="L6188" s="382">
        <v>1.0</v>
      </c>
    </row>
    <row r="6189">
      <c r="A6189" s="380" t="s">
        <v>7063</v>
      </c>
      <c r="B6189" s="380" t="str">
        <f>IFERROR(__xludf.DUMMYFUNCTION("""COMPUTED_VALUE"""),"Empaq Cierre Eje d Leva Nkr Rw8982162690")</f>
        <v>Empaq Cierre Eje d Leva Nkr Rw8982162690</v>
      </c>
      <c r="C6189" s="380" t="str">
        <f>IFERROR(__xludf.DUMMYFUNCTION("""COMPUTED_VALUE"""),"70001573")</f>
        <v>70001573</v>
      </c>
      <c r="D6189" s="380" t="s">
        <v>767</v>
      </c>
      <c r="E6189" s="380" t="s">
        <v>786</v>
      </c>
      <c r="F6189" s="380" t="s">
        <v>787</v>
      </c>
      <c r="G6189" s="380" t="s">
        <v>1267</v>
      </c>
      <c r="H6189" s="380" t="s">
        <v>771</v>
      </c>
      <c r="I6189" s="380" t="s">
        <v>788</v>
      </c>
      <c r="J6189" s="380" t="s">
        <v>773</v>
      </c>
      <c r="K6189" s="381">
        <v>0.0</v>
      </c>
      <c r="L6189" s="382">
        <v>1.0</v>
      </c>
    </row>
    <row r="6190">
      <c r="A6190" s="380" t="s">
        <v>7064</v>
      </c>
      <c r="B6190" s="380" t="str">
        <f>IFERROR(__xludf.DUMMYFUNCTION("""COMPUTED_VALUE"""),"Empaq Inyector Comb Nkr Rewar 9095661110")</f>
        <v>Empaq Inyector Comb Nkr Rewar 9095661110</v>
      </c>
      <c r="C6190" s="380" t="str">
        <f>IFERROR(__xludf.DUMMYFUNCTION("""COMPUTED_VALUE"""),"70001574")</f>
        <v>70001574</v>
      </c>
      <c r="D6190" s="380" t="s">
        <v>767</v>
      </c>
      <c r="E6190" s="380" t="s">
        <v>786</v>
      </c>
      <c r="F6190" s="380" t="s">
        <v>787</v>
      </c>
      <c r="G6190" s="380" t="s">
        <v>1267</v>
      </c>
      <c r="H6190" s="380" t="s">
        <v>771</v>
      </c>
      <c r="I6190" s="380" t="s">
        <v>788</v>
      </c>
      <c r="J6190" s="380" t="s">
        <v>773</v>
      </c>
      <c r="K6190" s="381">
        <v>0.0</v>
      </c>
      <c r="L6190" s="382">
        <v>1.0</v>
      </c>
    </row>
    <row r="6191">
      <c r="A6191" s="380" t="s">
        <v>7065</v>
      </c>
      <c r="B6191" s="380" t="str">
        <f>IFERROR(__xludf.DUMMYFUNCTION("""COMPUTED_VALUE"""),"Manija Agarradera Pta Der Nkr 8975823091")</f>
        <v>Manija Agarradera Pta Der Nkr 8975823091</v>
      </c>
      <c r="C6191" s="380" t="str">
        <f>IFERROR(__xludf.DUMMYFUNCTION("""COMPUTED_VALUE"""),"70001575")</f>
        <v>70001575</v>
      </c>
      <c r="D6191" s="380" t="s">
        <v>767</v>
      </c>
      <c r="E6191" s="380" t="s">
        <v>786</v>
      </c>
      <c r="F6191" s="380" t="s">
        <v>792</v>
      </c>
      <c r="G6191" s="380" t="s">
        <v>1267</v>
      </c>
      <c r="H6191" s="380" t="s">
        <v>771</v>
      </c>
      <c r="I6191" s="380" t="s">
        <v>788</v>
      </c>
      <c r="J6191" s="380" t="s">
        <v>773</v>
      </c>
      <c r="K6191" s="381">
        <v>0.0</v>
      </c>
      <c r="L6191" s="382">
        <v>1.0</v>
      </c>
    </row>
    <row r="6192">
      <c r="A6192" s="380" t="s">
        <v>7066</v>
      </c>
      <c r="B6192" s="380" t="str">
        <f>IFERROR(__xludf.DUMMYFUNCTION("""COMPUTED_VALUE"""),"Oring Base Filtro Npr 8943993390")</f>
        <v>Oring Base Filtro Npr 8943993390</v>
      </c>
      <c r="C6192" s="380" t="str">
        <f>IFERROR(__xludf.DUMMYFUNCTION("""COMPUTED_VALUE"""),"70001576")</f>
        <v>70001576</v>
      </c>
      <c r="D6192" s="380" t="s">
        <v>767</v>
      </c>
      <c r="E6192" s="380" t="s">
        <v>786</v>
      </c>
      <c r="F6192" s="380" t="s">
        <v>787</v>
      </c>
      <c r="G6192" s="380" t="s">
        <v>1267</v>
      </c>
      <c r="H6192" s="380" t="s">
        <v>771</v>
      </c>
      <c r="I6192" s="380" t="s">
        <v>788</v>
      </c>
      <c r="J6192" s="380" t="s">
        <v>773</v>
      </c>
      <c r="K6192" s="381">
        <v>0.0</v>
      </c>
      <c r="L6192" s="382">
        <v>1.0</v>
      </c>
    </row>
    <row r="6193">
      <c r="A6193" s="380" t="s">
        <v>7067</v>
      </c>
      <c r="B6193" s="380" t="str">
        <f>IFERROR(__xludf.DUMMYFUNCTION("""COMPUTED_VALUE"""),"Sensor Velocimet 24v Nkr-Rewar8973280581")</f>
        <v>Sensor Velocimet 24v Nkr-Rewar8973280581</v>
      </c>
      <c r="C6193" s="380" t="str">
        <f>IFERROR(__xludf.DUMMYFUNCTION("""COMPUTED_VALUE"""),"70001577")</f>
        <v>70001577</v>
      </c>
      <c r="D6193" s="380" t="s">
        <v>767</v>
      </c>
      <c r="E6193" s="380" t="s">
        <v>786</v>
      </c>
      <c r="F6193" s="380" t="s">
        <v>998</v>
      </c>
      <c r="G6193" s="380" t="s">
        <v>1267</v>
      </c>
      <c r="H6193" s="380" t="s">
        <v>771</v>
      </c>
      <c r="I6193" s="380" t="s">
        <v>788</v>
      </c>
      <c r="J6193" s="380" t="s">
        <v>773</v>
      </c>
      <c r="K6193" s="381">
        <v>424172.0</v>
      </c>
      <c r="L6193" s="382">
        <v>1.0</v>
      </c>
    </row>
    <row r="6194">
      <c r="A6194" s="380" t="s">
        <v>7068</v>
      </c>
      <c r="B6194" s="380" t="str">
        <f>IFERROR(__xludf.DUMMYFUNCTION("""COMPUTED_VALUE"""),"Motor Arranque Nkr Reward 8982220181")</f>
        <v>Motor Arranque Nkr Reward 8982220181</v>
      </c>
      <c r="C6194" s="380" t="str">
        <f>IFERROR(__xludf.DUMMYFUNCTION("""COMPUTED_VALUE"""),"70001578")</f>
        <v>70001578</v>
      </c>
      <c r="D6194" s="380" t="s">
        <v>767</v>
      </c>
      <c r="E6194" s="380" t="s">
        <v>786</v>
      </c>
      <c r="F6194" s="380" t="s">
        <v>998</v>
      </c>
      <c r="G6194" s="380" t="s">
        <v>1267</v>
      </c>
      <c r="H6194" s="380" t="s">
        <v>771</v>
      </c>
      <c r="I6194" s="380" t="s">
        <v>788</v>
      </c>
      <c r="J6194" s="380" t="s">
        <v>773</v>
      </c>
      <c r="K6194" s="381">
        <v>576555.0</v>
      </c>
      <c r="L6194" s="382">
        <v>1.0</v>
      </c>
    </row>
    <row r="6195">
      <c r="A6195" s="380" t="s">
        <v>7069</v>
      </c>
      <c r="B6195" s="380" t="str">
        <f>IFERROR(__xludf.DUMMYFUNCTION("""COMPUTED_VALUE"""),"Disco Clucth Motocarguero Akt 180")</f>
        <v>Disco Clucth Motocarguero Akt 180</v>
      </c>
      <c r="C6195" s="380" t="str">
        <f>IFERROR(__xludf.DUMMYFUNCTION("""COMPUTED_VALUE"""),"70001579")</f>
        <v>70001579</v>
      </c>
      <c r="D6195" s="380" t="s">
        <v>767</v>
      </c>
      <c r="E6195" s="380" t="s">
        <v>786</v>
      </c>
      <c r="F6195" s="380" t="s">
        <v>5661</v>
      </c>
      <c r="G6195" s="380" t="s">
        <v>1267</v>
      </c>
      <c r="H6195" s="380" t="s">
        <v>771</v>
      </c>
      <c r="I6195" s="380" t="s">
        <v>788</v>
      </c>
      <c r="J6195" s="380" t="s">
        <v>773</v>
      </c>
      <c r="K6195" s="381">
        <v>0.0</v>
      </c>
      <c r="L6195" s="382">
        <v>1.0</v>
      </c>
    </row>
    <row r="6196">
      <c r="A6196" s="380" t="s">
        <v>7070</v>
      </c>
      <c r="B6196" s="380" t="str">
        <f>IFERROR(__xludf.DUMMYFUNCTION("""COMPUTED_VALUE"""),"Lente Nkr Reward 8980544310")</f>
        <v>Lente Nkr Reward 8980544310</v>
      </c>
      <c r="C6196" s="380" t="str">
        <f>IFERROR(__xludf.DUMMYFUNCTION("""COMPUTED_VALUE"""),"70001580")</f>
        <v>70001580</v>
      </c>
      <c r="D6196" s="380" t="s">
        <v>767</v>
      </c>
      <c r="E6196" s="380" t="s">
        <v>786</v>
      </c>
      <c r="F6196" s="380" t="s">
        <v>792</v>
      </c>
      <c r="G6196" s="380" t="s">
        <v>1267</v>
      </c>
      <c r="H6196" s="380" t="s">
        <v>771</v>
      </c>
      <c r="I6196" s="380" t="s">
        <v>788</v>
      </c>
      <c r="J6196" s="380" t="s">
        <v>773</v>
      </c>
      <c r="K6196" s="381">
        <v>0.0</v>
      </c>
      <c r="L6196" s="382">
        <v>1.0</v>
      </c>
    </row>
    <row r="6197">
      <c r="A6197" s="380" t="s">
        <v>7071</v>
      </c>
      <c r="B6197" s="380" t="str">
        <f>IFERROR(__xludf.DUMMYFUNCTION("""COMPUTED_VALUE"""),"Vaso Filtro Aceite Nkr-Rewar 8980188620")</f>
        <v>Vaso Filtro Aceite Nkr-Rewar 8980188620</v>
      </c>
      <c r="C6197" s="380" t="str">
        <f>IFERROR(__xludf.DUMMYFUNCTION("""COMPUTED_VALUE"""),"70001581")</f>
        <v>70001581</v>
      </c>
      <c r="D6197" s="380" t="s">
        <v>767</v>
      </c>
      <c r="E6197" s="380" t="s">
        <v>786</v>
      </c>
      <c r="F6197" s="380" t="s">
        <v>5855</v>
      </c>
      <c r="G6197" s="380" t="s">
        <v>1267</v>
      </c>
      <c r="H6197" s="380" t="s">
        <v>771</v>
      </c>
      <c r="I6197" s="380" t="s">
        <v>788</v>
      </c>
      <c r="J6197" s="380" t="s">
        <v>773</v>
      </c>
      <c r="K6197" s="381">
        <v>0.0</v>
      </c>
      <c r="L6197" s="382">
        <v>1.0</v>
      </c>
    </row>
    <row r="6198">
      <c r="A6198" s="380" t="s">
        <v>7072</v>
      </c>
      <c r="B6198" s="380" t="str">
        <f>IFERROR(__xludf.DUMMYFUNCTION("""COMPUTED_VALUE"""),"Pin Pasador Horqui Cja Volswag 1JMO-3528")</f>
        <v>Pin Pasador Horqui Cja Volswag 1JMO-3528</v>
      </c>
      <c r="C6198" s="380" t="str">
        <f>IFERROR(__xludf.DUMMYFUNCTION("""COMPUTED_VALUE"""),"70001582")</f>
        <v>70001582</v>
      </c>
      <c r="D6198" s="380" t="s">
        <v>767</v>
      </c>
      <c r="E6198" s="380" t="s">
        <v>786</v>
      </c>
      <c r="F6198" s="380" t="s">
        <v>928</v>
      </c>
      <c r="G6198" s="380" t="s">
        <v>1267</v>
      </c>
      <c r="H6198" s="380" t="s">
        <v>771</v>
      </c>
      <c r="I6198" s="380" t="s">
        <v>788</v>
      </c>
      <c r="J6198" s="380" t="s">
        <v>773</v>
      </c>
      <c r="K6198" s="381">
        <v>0.0</v>
      </c>
      <c r="L6198" s="382">
        <v>1.0</v>
      </c>
    </row>
    <row r="6199">
      <c r="A6199" s="380" t="s">
        <v>7073</v>
      </c>
      <c r="B6199" s="380" t="str">
        <f>IFERROR(__xludf.DUMMYFUNCTION("""COMPUTED_VALUE"""),"Pin Pasador Horqui Cja Volswag 1JMO-6028")</f>
        <v>Pin Pasador Horqui Cja Volswag 1JMO-6028</v>
      </c>
      <c r="C6199" s="380" t="str">
        <f>IFERROR(__xludf.DUMMYFUNCTION("""COMPUTED_VALUE"""),"70001583")</f>
        <v>70001583</v>
      </c>
      <c r="D6199" s="380" t="s">
        <v>767</v>
      </c>
      <c r="E6199" s="380" t="s">
        <v>786</v>
      </c>
      <c r="F6199" s="380" t="s">
        <v>928</v>
      </c>
      <c r="G6199" s="380" t="s">
        <v>1267</v>
      </c>
      <c r="H6199" s="380" t="s">
        <v>771</v>
      </c>
      <c r="I6199" s="380" t="s">
        <v>788</v>
      </c>
      <c r="J6199" s="380" t="s">
        <v>773</v>
      </c>
      <c r="K6199" s="381">
        <v>0.0</v>
      </c>
      <c r="L6199" s="382">
        <v>1.0</v>
      </c>
    </row>
    <row r="6200">
      <c r="A6200" s="380" t="s">
        <v>7074</v>
      </c>
      <c r="B6200" s="380" t="str">
        <f>IFERROR(__xludf.DUMMYFUNCTION("""COMPUTED_VALUE"""),"Guaya Freno Mano Hino 4643037570")</f>
        <v>Guaya Freno Mano Hino 4643037570</v>
      </c>
      <c r="C6200" s="380" t="str">
        <f>IFERROR(__xludf.DUMMYFUNCTION("""COMPUTED_VALUE"""),"70001584")</f>
        <v>70001584</v>
      </c>
      <c r="D6200" s="380" t="s">
        <v>767</v>
      </c>
      <c r="E6200" s="380" t="s">
        <v>786</v>
      </c>
      <c r="F6200" s="380" t="s">
        <v>1017</v>
      </c>
      <c r="G6200" s="380" t="s">
        <v>1267</v>
      </c>
      <c r="H6200" s="380" t="s">
        <v>771</v>
      </c>
      <c r="I6200" s="380" t="s">
        <v>788</v>
      </c>
      <c r="J6200" s="380" t="s">
        <v>773</v>
      </c>
      <c r="K6200" s="381">
        <v>0.0</v>
      </c>
      <c r="L6200" s="382">
        <v>1.0</v>
      </c>
    </row>
    <row r="6201">
      <c r="A6201" s="380" t="s">
        <v>7075</v>
      </c>
      <c r="B6201" s="380" t="str">
        <f>IFERROR(__xludf.DUMMYFUNCTION("""COMPUTED_VALUE"""),"Arandela Tapon Carter S413506 Montacarga")</f>
        <v>Arandela Tapon Carter S413506 Montacarga</v>
      </c>
      <c r="C6201" s="380" t="str">
        <f>IFERROR(__xludf.DUMMYFUNCTION("""COMPUTED_VALUE"""),"70001585")</f>
        <v>70001585</v>
      </c>
      <c r="D6201" s="380" t="s">
        <v>767</v>
      </c>
      <c r="E6201" s="380" t="s">
        <v>786</v>
      </c>
      <c r="F6201" s="380" t="s">
        <v>787</v>
      </c>
      <c r="G6201" s="380" t="s">
        <v>1267</v>
      </c>
      <c r="H6201" s="380" t="s">
        <v>771</v>
      </c>
      <c r="I6201" s="380" t="s">
        <v>788</v>
      </c>
      <c r="J6201" s="380" t="s">
        <v>773</v>
      </c>
      <c r="K6201" s="381">
        <v>0.0</v>
      </c>
      <c r="L6201" s="382">
        <v>1.0</v>
      </c>
    </row>
    <row r="6202">
      <c r="A6202" s="380" t="s">
        <v>7076</v>
      </c>
      <c r="B6202" s="380" t="str">
        <f>IFERROR(__xludf.DUMMYFUNCTION("""COMPUTED_VALUE"""),"Filtro Aceite Motor Montacarga")</f>
        <v>Filtro Aceite Motor Montacarga</v>
      </c>
      <c r="C6202" s="380" t="str">
        <f>IFERROR(__xludf.DUMMYFUNCTION("""COMPUTED_VALUE"""),"70001586")</f>
        <v>70001586</v>
      </c>
      <c r="D6202" s="380" t="s">
        <v>767</v>
      </c>
      <c r="E6202" s="380" t="s">
        <v>786</v>
      </c>
      <c r="F6202" s="380" t="s">
        <v>5855</v>
      </c>
      <c r="G6202" s="380" t="s">
        <v>1267</v>
      </c>
      <c r="H6202" s="380" t="s">
        <v>771</v>
      </c>
      <c r="I6202" s="380" t="s">
        <v>788</v>
      </c>
      <c r="J6202" s="380" t="s">
        <v>773</v>
      </c>
      <c r="K6202" s="381">
        <v>0.0</v>
      </c>
      <c r="L6202" s="382">
        <v>1.0</v>
      </c>
    </row>
    <row r="6203">
      <c r="A6203" s="380" t="s">
        <v>7077</v>
      </c>
      <c r="B6203" s="380" t="str">
        <f>IFERROR(__xludf.DUMMYFUNCTION("""COMPUTED_VALUE"""),"Manguera Hidraulica S413507 Montacarga")</f>
        <v>Manguera Hidraulica S413507 Montacarga</v>
      </c>
      <c r="C6203" s="380" t="str">
        <f>IFERROR(__xludf.DUMMYFUNCTION("""COMPUTED_VALUE"""),"70001587")</f>
        <v>70001587</v>
      </c>
      <c r="D6203" s="380" t="s">
        <v>767</v>
      </c>
      <c r="E6203" s="380" t="s">
        <v>786</v>
      </c>
      <c r="F6203" s="380" t="s">
        <v>1020</v>
      </c>
      <c r="G6203" s="380" t="s">
        <v>1267</v>
      </c>
      <c r="H6203" s="380" t="s">
        <v>771</v>
      </c>
      <c r="I6203" s="380" t="s">
        <v>788</v>
      </c>
      <c r="J6203" s="380" t="s">
        <v>773</v>
      </c>
      <c r="K6203" s="381">
        <v>0.0</v>
      </c>
      <c r="L6203" s="382">
        <v>1.0</v>
      </c>
    </row>
    <row r="6204">
      <c r="A6204" s="380" t="s">
        <v>7078</v>
      </c>
      <c r="B6204" s="380" t="str">
        <f>IFERROR(__xludf.DUMMYFUNCTION("""COMPUTED_VALUE"""),"Yoke Acople Cardan 6 5-4-3591-1 Eagle")</f>
        <v>Yoke Acople Cardan 6 5-4-3591-1 Eagle</v>
      </c>
      <c r="C6204" s="380" t="str">
        <f>IFERROR(__xludf.DUMMYFUNCTION("""COMPUTED_VALUE"""),"70001588")</f>
        <v>70001588</v>
      </c>
      <c r="D6204" s="380" t="s">
        <v>767</v>
      </c>
      <c r="E6204" s="380" t="s">
        <v>786</v>
      </c>
      <c r="F6204" s="380" t="s">
        <v>5683</v>
      </c>
      <c r="G6204" s="380" t="s">
        <v>1267</v>
      </c>
      <c r="H6204" s="380" t="s">
        <v>771</v>
      </c>
      <c r="I6204" s="380" t="s">
        <v>788</v>
      </c>
      <c r="J6204" s="380" t="s">
        <v>773</v>
      </c>
      <c r="K6204" s="381">
        <v>535500.0</v>
      </c>
      <c r="L6204" s="382">
        <v>1.0</v>
      </c>
    </row>
    <row r="6205">
      <c r="A6205" s="380" t="s">
        <v>7079</v>
      </c>
      <c r="B6205" s="380" t="str">
        <f>IFERROR(__xludf.DUMMYFUNCTION("""COMPUTED_VALUE"""),"Acople Fijo Cardan(Oreja)Eagle6 5-28-117")</f>
        <v>Acople Fijo Cardan(Oreja)Eagle6 5-28-117</v>
      </c>
      <c r="C6205" s="380" t="str">
        <f>IFERROR(__xludf.DUMMYFUNCTION("""COMPUTED_VALUE"""),"70001590")</f>
        <v>70001590</v>
      </c>
      <c r="D6205" s="380" t="s">
        <v>767</v>
      </c>
      <c r="E6205" s="380" t="s">
        <v>786</v>
      </c>
      <c r="F6205" s="380" t="s">
        <v>5683</v>
      </c>
      <c r="G6205" s="380" t="s">
        <v>1267</v>
      </c>
      <c r="H6205" s="380" t="s">
        <v>771</v>
      </c>
      <c r="I6205" s="380" t="s">
        <v>788</v>
      </c>
      <c r="J6205" s="380" t="s">
        <v>773</v>
      </c>
      <c r="K6205" s="381">
        <v>0.0</v>
      </c>
      <c r="L6205" s="382">
        <v>1.0</v>
      </c>
    </row>
    <row r="6206">
      <c r="A6206" s="380" t="s">
        <v>7080</v>
      </c>
      <c r="B6206" s="380" t="str">
        <f>IFERROR(__xludf.DUMMYFUNCTION("""COMPUTED_VALUE"""),"Empaq Sello Ext Vidrio Pta N200-5496231")</f>
        <v>Empaq Sello Ext Vidrio Pta N200-5496231</v>
      </c>
      <c r="C6206" s="380" t="str">
        <f>IFERROR(__xludf.DUMMYFUNCTION("""COMPUTED_VALUE"""),"70001591")</f>
        <v>70001591</v>
      </c>
      <c r="D6206" s="380" t="s">
        <v>767</v>
      </c>
      <c r="E6206" s="380" t="s">
        <v>786</v>
      </c>
      <c r="F6206" s="380" t="s">
        <v>792</v>
      </c>
      <c r="G6206" s="380" t="s">
        <v>1267</v>
      </c>
      <c r="H6206" s="380" t="s">
        <v>771</v>
      </c>
      <c r="I6206" s="380" t="s">
        <v>788</v>
      </c>
      <c r="J6206" s="380" t="s">
        <v>773</v>
      </c>
      <c r="K6206" s="381">
        <v>0.0</v>
      </c>
      <c r="L6206" s="382">
        <v>1.0</v>
      </c>
    </row>
    <row r="6207">
      <c r="A6207" s="380" t="s">
        <v>7081</v>
      </c>
      <c r="B6207" s="380" t="str">
        <f>IFERROR(__xludf.DUMMYFUNCTION("""COMPUTED_VALUE"""),"Cremallera Puerta Izq Eagle 3515114C91")</f>
        <v>Cremallera Puerta Izq Eagle 3515114C91</v>
      </c>
      <c r="C6207" s="380" t="str">
        <f>IFERROR(__xludf.DUMMYFUNCTION("""COMPUTED_VALUE"""),"70001592")</f>
        <v>70001592</v>
      </c>
      <c r="D6207" s="380" t="s">
        <v>767</v>
      </c>
      <c r="E6207" s="380" t="s">
        <v>786</v>
      </c>
      <c r="F6207" s="380" t="s">
        <v>792</v>
      </c>
      <c r="G6207" s="380" t="s">
        <v>1267</v>
      </c>
      <c r="H6207" s="380" t="s">
        <v>771</v>
      </c>
      <c r="I6207" s="380" t="s">
        <v>788</v>
      </c>
      <c r="J6207" s="380" t="s">
        <v>773</v>
      </c>
      <c r="K6207" s="381">
        <v>0.0</v>
      </c>
      <c r="L6207" s="382">
        <v>1.0</v>
      </c>
    </row>
    <row r="6208">
      <c r="A6208" s="380" t="s">
        <v>7082</v>
      </c>
      <c r="B6208" s="380" t="str">
        <f>IFERROR(__xludf.DUMMYFUNCTION("""COMPUTED_VALUE"""),"Piñon Rev Corredizo 16918 Isx 16756")</f>
        <v>Piñon Rev Corredizo 16918 Isx 16756</v>
      </c>
      <c r="C6208" s="380" t="str">
        <f>IFERROR(__xludf.DUMMYFUNCTION("""COMPUTED_VALUE"""),"70001593")</f>
        <v>70001593</v>
      </c>
      <c r="D6208" s="380" t="s">
        <v>767</v>
      </c>
      <c r="E6208" s="380" t="s">
        <v>786</v>
      </c>
      <c r="F6208" s="380" t="s">
        <v>928</v>
      </c>
      <c r="G6208" s="380" t="s">
        <v>1267</v>
      </c>
      <c r="H6208" s="380" t="s">
        <v>771</v>
      </c>
      <c r="I6208" s="380" t="s">
        <v>788</v>
      </c>
      <c r="J6208" s="380" t="s">
        <v>773</v>
      </c>
      <c r="K6208" s="381">
        <v>0.0</v>
      </c>
      <c r="L6208" s="382">
        <v>1.0</v>
      </c>
    </row>
    <row r="6209">
      <c r="A6209" s="380" t="s">
        <v>7083</v>
      </c>
      <c r="B6209" s="380" t="str">
        <f>IFERROR(__xludf.DUMMYFUNCTION("""COMPUTED_VALUE"""),"Pasador Clutch Largo 16918 Isx Hi-210888")</f>
        <v>Pasador Clutch Largo 16918 Isx Hi-210888</v>
      </c>
      <c r="C6209" s="380" t="str">
        <f>IFERROR(__xludf.DUMMYFUNCTION("""COMPUTED_VALUE"""),"70001594")</f>
        <v>70001594</v>
      </c>
      <c r="D6209" s="380" t="s">
        <v>767</v>
      </c>
      <c r="E6209" s="380" t="s">
        <v>786</v>
      </c>
      <c r="F6209" s="380" t="s">
        <v>5661</v>
      </c>
      <c r="G6209" s="380" t="s">
        <v>1267</v>
      </c>
      <c r="H6209" s="380" t="s">
        <v>771</v>
      </c>
      <c r="I6209" s="380" t="s">
        <v>788</v>
      </c>
      <c r="J6209" s="380" t="s">
        <v>773</v>
      </c>
      <c r="K6209" s="381">
        <v>0.0</v>
      </c>
      <c r="L6209" s="382">
        <v>1.0</v>
      </c>
    </row>
    <row r="6210">
      <c r="A6210" s="380" t="s">
        <v>7084</v>
      </c>
      <c r="B6210" s="380" t="str">
        <f>IFERROR(__xludf.DUMMYFUNCTION("""COMPUTED_VALUE"""),"Pasador Clutch Corto 16918 Isx C-1142")</f>
        <v>Pasador Clutch Corto 16918 Isx C-1142</v>
      </c>
      <c r="C6210" s="380" t="str">
        <f>IFERROR(__xludf.DUMMYFUNCTION("""COMPUTED_VALUE"""),"70001595")</f>
        <v>70001595</v>
      </c>
      <c r="D6210" s="380" t="s">
        <v>767</v>
      </c>
      <c r="E6210" s="380" t="s">
        <v>786</v>
      </c>
      <c r="F6210" s="380" t="s">
        <v>5661</v>
      </c>
      <c r="G6210" s="380" t="s">
        <v>1267</v>
      </c>
      <c r="H6210" s="380" t="s">
        <v>771</v>
      </c>
      <c r="I6210" s="380" t="s">
        <v>788</v>
      </c>
      <c r="J6210" s="380" t="s">
        <v>773</v>
      </c>
      <c r="K6210" s="381">
        <v>0.0</v>
      </c>
      <c r="L6210" s="382">
        <v>1.0</v>
      </c>
    </row>
    <row r="6211">
      <c r="A6211" s="380" t="s">
        <v>7085</v>
      </c>
      <c r="B6211" s="380" t="str">
        <f>IFERROR(__xludf.DUMMYFUNCTION("""COMPUTED_VALUE"""),"Panel Plywo 0.3X2.40 Pta Cort PU-80874/4")</f>
        <v>Panel Plywo 0.3X2.40 Pta Cort PU-80874/4</v>
      </c>
      <c r="C6211" s="380" t="str">
        <f>IFERROR(__xludf.DUMMYFUNCTION("""COMPUTED_VALUE"""),"70001596")</f>
        <v>70001596</v>
      </c>
      <c r="D6211" s="380" t="s">
        <v>767</v>
      </c>
      <c r="E6211" s="380" t="s">
        <v>786</v>
      </c>
      <c r="F6211" s="380" t="s">
        <v>792</v>
      </c>
      <c r="G6211" s="380" t="s">
        <v>1267</v>
      </c>
      <c r="H6211" s="380" t="s">
        <v>771</v>
      </c>
      <c r="I6211" s="380" t="s">
        <v>788</v>
      </c>
      <c r="J6211" s="380" t="s">
        <v>773</v>
      </c>
      <c r="K6211" s="381">
        <v>0.0</v>
      </c>
      <c r="L6211" s="382">
        <v>1.0</v>
      </c>
    </row>
    <row r="6212">
      <c r="A6212" s="380" t="s">
        <v>7086</v>
      </c>
      <c r="B6212" s="380" t="str">
        <f>IFERROR(__xludf.DUMMYFUNCTION("""COMPUTED_VALUE"""),"Guardapolv Del Der Eag-Prostar3557926C92")</f>
        <v>Guardapolv Del Der Eag-Prostar3557926C92</v>
      </c>
      <c r="C6212" s="380" t="str">
        <f>IFERROR(__xludf.DUMMYFUNCTION("""COMPUTED_VALUE"""),"70001597")</f>
        <v>70001597</v>
      </c>
      <c r="D6212" s="380" t="s">
        <v>767</v>
      </c>
      <c r="E6212" s="380" t="s">
        <v>786</v>
      </c>
      <c r="F6212" s="380" t="s">
        <v>792</v>
      </c>
      <c r="G6212" s="380" t="s">
        <v>1267</v>
      </c>
      <c r="H6212" s="380" t="s">
        <v>771</v>
      </c>
      <c r="I6212" s="380" t="s">
        <v>788</v>
      </c>
      <c r="J6212" s="380" t="s">
        <v>773</v>
      </c>
      <c r="K6212" s="381">
        <v>0.0</v>
      </c>
      <c r="L6212" s="382">
        <v>1.0</v>
      </c>
    </row>
    <row r="6213">
      <c r="A6213" s="380" t="s">
        <v>7087</v>
      </c>
      <c r="B6213" s="380" t="str">
        <f>IFERROR(__xludf.DUMMYFUNCTION("""COMPUTED_VALUE"""),"Reloj Aire Eagle 2023358C1")</f>
        <v>Reloj Aire Eagle 2023358C1</v>
      </c>
      <c r="C6213" s="380" t="str">
        <f>IFERROR(__xludf.DUMMYFUNCTION("""COMPUTED_VALUE"""),"70001598")</f>
        <v>70001598</v>
      </c>
      <c r="D6213" s="380" t="s">
        <v>767</v>
      </c>
      <c r="E6213" s="380" t="s">
        <v>786</v>
      </c>
      <c r="F6213" s="380" t="s">
        <v>998</v>
      </c>
      <c r="G6213" s="380" t="s">
        <v>1267</v>
      </c>
      <c r="H6213" s="380" t="s">
        <v>771</v>
      </c>
      <c r="I6213" s="380" t="s">
        <v>788</v>
      </c>
      <c r="J6213" s="380" t="s">
        <v>773</v>
      </c>
      <c r="K6213" s="381">
        <v>0.0</v>
      </c>
      <c r="L6213" s="382">
        <v>1.0</v>
      </c>
    </row>
    <row r="6214">
      <c r="A6214" s="380" t="s">
        <v>7088</v>
      </c>
      <c r="B6214" s="380" t="str">
        <f>IFERROR(__xludf.DUMMYFUNCTION("""COMPUTED_VALUE"""),"Sensor Velocimetro Hino 8318137120")</f>
        <v>Sensor Velocimetro Hino 8318137120</v>
      </c>
      <c r="C6214" s="380" t="str">
        <f>IFERROR(__xludf.DUMMYFUNCTION("""COMPUTED_VALUE"""),"70001599")</f>
        <v>70001599</v>
      </c>
      <c r="D6214" s="380" t="s">
        <v>767</v>
      </c>
      <c r="E6214" s="380" t="s">
        <v>786</v>
      </c>
      <c r="F6214" s="380" t="s">
        <v>998</v>
      </c>
      <c r="G6214" s="380" t="s">
        <v>1267</v>
      </c>
      <c r="H6214" s="380" t="s">
        <v>771</v>
      </c>
      <c r="I6214" s="380" t="s">
        <v>788</v>
      </c>
      <c r="J6214" s="380" t="s">
        <v>773</v>
      </c>
      <c r="K6214" s="381">
        <v>0.0</v>
      </c>
      <c r="L6214" s="382">
        <v>1.0</v>
      </c>
    </row>
    <row r="6215">
      <c r="A6215" s="380" t="s">
        <v>7089</v>
      </c>
      <c r="B6215" s="380" t="str">
        <f>IFERROR(__xludf.DUMMYFUNCTION("""COMPUTED_VALUE"""),"Banda Freno Emergencia Hino 4653037030")</f>
        <v>Banda Freno Emergencia Hino 4653037030</v>
      </c>
      <c r="C6215" s="380" t="str">
        <f>IFERROR(__xludf.DUMMYFUNCTION("""COMPUTED_VALUE"""),"70001600")</f>
        <v>70001600</v>
      </c>
      <c r="D6215" s="380" t="s">
        <v>767</v>
      </c>
      <c r="E6215" s="380" t="s">
        <v>786</v>
      </c>
      <c r="F6215" s="380" t="s">
        <v>1017</v>
      </c>
      <c r="G6215" s="380" t="s">
        <v>1267</v>
      </c>
      <c r="H6215" s="380" t="s">
        <v>771</v>
      </c>
      <c r="I6215" s="380" t="s">
        <v>788</v>
      </c>
      <c r="J6215" s="380" t="s">
        <v>773</v>
      </c>
      <c r="K6215" s="381">
        <v>95000.0</v>
      </c>
      <c r="L6215" s="382">
        <v>1.0</v>
      </c>
    </row>
    <row r="6216">
      <c r="A6216" s="380" t="s">
        <v>7090</v>
      </c>
      <c r="B6216" s="380" t="str">
        <f>IFERROR(__xludf.DUMMYFUNCTION("""COMPUTED_VALUE"""),"Asiento Grapa Muelle Trailer Generico")</f>
        <v>Asiento Grapa Muelle Trailer Generico</v>
      </c>
      <c r="C6216" s="380" t="str">
        <f>IFERROR(__xludf.DUMMYFUNCTION("""COMPUTED_VALUE"""),"70001601")</f>
        <v>70001601</v>
      </c>
      <c r="D6216" s="380" t="s">
        <v>767</v>
      </c>
      <c r="E6216" s="380" t="s">
        <v>786</v>
      </c>
      <c r="F6216" s="380" t="s">
        <v>1039</v>
      </c>
      <c r="G6216" s="380" t="s">
        <v>1267</v>
      </c>
      <c r="H6216" s="380" t="s">
        <v>771</v>
      </c>
      <c r="I6216" s="380" t="s">
        <v>788</v>
      </c>
      <c r="J6216" s="380" t="s">
        <v>773</v>
      </c>
      <c r="K6216" s="381">
        <v>0.0</v>
      </c>
      <c r="L6216" s="382">
        <v>1.0</v>
      </c>
    </row>
    <row r="6217">
      <c r="A6217" s="380" t="s">
        <v>7091</v>
      </c>
      <c r="B6217" s="380" t="str">
        <f>IFERROR(__xludf.DUMMYFUNCTION("""COMPUTED_VALUE"""),"Manguera Turbo Tubo Salida 2014134C2")</f>
        <v>Manguera Turbo Tubo Salida 2014134C2</v>
      </c>
      <c r="C6217" s="380" t="str">
        <f>IFERROR(__xludf.DUMMYFUNCTION("""COMPUTED_VALUE"""),"70001602")</f>
        <v>70001602</v>
      </c>
      <c r="D6217" s="380" t="s">
        <v>767</v>
      </c>
      <c r="E6217" s="380" t="s">
        <v>786</v>
      </c>
      <c r="F6217" s="380" t="s">
        <v>787</v>
      </c>
      <c r="G6217" s="380" t="s">
        <v>1267</v>
      </c>
      <c r="H6217" s="380" t="s">
        <v>771</v>
      </c>
      <c r="I6217" s="380" t="s">
        <v>788</v>
      </c>
      <c r="J6217" s="380" t="s">
        <v>773</v>
      </c>
      <c r="K6217" s="381">
        <v>0.0</v>
      </c>
      <c r="L6217" s="382">
        <v>1.0</v>
      </c>
    </row>
    <row r="6218">
      <c r="A6218" s="380" t="s">
        <v>7092</v>
      </c>
      <c r="B6218" s="380" t="str">
        <f>IFERROR(__xludf.DUMMYFUNCTION("""COMPUTED_VALUE"""),"Sello Inyector Nkr Reward 1096390340")</f>
        <v>Sello Inyector Nkr Reward 1096390340</v>
      </c>
      <c r="C6218" s="380" t="str">
        <f>IFERROR(__xludf.DUMMYFUNCTION("""COMPUTED_VALUE"""),"70001603")</f>
        <v>70001603</v>
      </c>
      <c r="D6218" s="380" t="s">
        <v>767</v>
      </c>
      <c r="E6218" s="380" t="s">
        <v>786</v>
      </c>
      <c r="F6218" s="380" t="s">
        <v>787</v>
      </c>
      <c r="G6218" s="380" t="s">
        <v>1267</v>
      </c>
      <c r="H6218" s="380" t="s">
        <v>771</v>
      </c>
      <c r="I6218" s="380" t="s">
        <v>788</v>
      </c>
      <c r="J6218" s="380" t="s">
        <v>773</v>
      </c>
      <c r="K6218" s="381">
        <v>0.0</v>
      </c>
      <c r="L6218" s="382">
        <v>1.0</v>
      </c>
    </row>
    <row r="6219">
      <c r="A6219" s="380" t="s">
        <v>7093</v>
      </c>
      <c r="B6219" s="380" t="str">
        <f>IFERROR(__xludf.DUMMYFUNCTION("""COMPUTED_VALUE"""),"Racor Acople Rapido Isx 2029563C1")</f>
        <v>Racor Acople Rapido Isx 2029563C1</v>
      </c>
      <c r="C6219" s="380" t="str">
        <f>IFERROR(__xludf.DUMMYFUNCTION("""COMPUTED_VALUE"""),"70001604")</f>
        <v>70001604</v>
      </c>
      <c r="D6219" s="380" t="s">
        <v>767</v>
      </c>
      <c r="E6219" s="380" t="s">
        <v>786</v>
      </c>
      <c r="F6219" s="380" t="s">
        <v>1017</v>
      </c>
      <c r="G6219" s="380" t="s">
        <v>1267</v>
      </c>
      <c r="H6219" s="380" t="s">
        <v>771</v>
      </c>
      <c r="I6219" s="380" t="s">
        <v>788</v>
      </c>
      <c r="J6219" s="380" t="s">
        <v>773</v>
      </c>
      <c r="K6219" s="381">
        <v>0.0</v>
      </c>
      <c r="L6219" s="382">
        <v>1.0</v>
      </c>
    </row>
    <row r="6220">
      <c r="A6220" s="380" t="s">
        <v>7094</v>
      </c>
      <c r="B6220" s="380" t="str">
        <f>IFERROR(__xludf.DUMMYFUNCTION("""COMPUTED_VALUE"""),"Racor Conec Aire Torped Cab Isx2029564C1")</f>
        <v>Racor Conec Aire Torped Cab Isx2029564C1</v>
      </c>
      <c r="C6220" s="380" t="str">
        <f>IFERROR(__xludf.DUMMYFUNCTION("""COMPUTED_VALUE"""),"70001606")</f>
        <v>70001606</v>
      </c>
      <c r="D6220" s="380" t="s">
        <v>767</v>
      </c>
      <c r="E6220" s="380" t="s">
        <v>786</v>
      </c>
      <c r="F6220" s="380" t="s">
        <v>1017</v>
      </c>
      <c r="G6220" s="380" t="s">
        <v>1267</v>
      </c>
      <c r="H6220" s="380" t="s">
        <v>771</v>
      </c>
      <c r="I6220" s="380" t="s">
        <v>788</v>
      </c>
      <c r="J6220" s="380" t="s">
        <v>773</v>
      </c>
      <c r="K6220" s="381">
        <v>0.0</v>
      </c>
      <c r="L6220" s="382">
        <v>1.0</v>
      </c>
    </row>
    <row r="6221">
      <c r="A6221" s="380" t="s">
        <v>7095</v>
      </c>
      <c r="B6221" s="380" t="str">
        <f>IFERROR(__xludf.DUMMYFUNCTION("""COMPUTED_VALUE"""),"Soporte Pedal Embrague Nkr-Npr8978928513")</f>
        <v>Soporte Pedal Embrague Nkr-Npr8978928513</v>
      </c>
      <c r="C6221" s="380" t="str">
        <f>IFERROR(__xludf.DUMMYFUNCTION("""COMPUTED_VALUE"""),"70001607")</f>
        <v>70001607</v>
      </c>
      <c r="D6221" s="380" t="s">
        <v>767</v>
      </c>
      <c r="E6221" s="380" t="s">
        <v>786</v>
      </c>
      <c r="F6221" s="380" t="s">
        <v>5661</v>
      </c>
      <c r="G6221" s="380" t="s">
        <v>1267</v>
      </c>
      <c r="H6221" s="380" t="s">
        <v>771</v>
      </c>
      <c r="I6221" s="380" t="s">
        <v>788</v>
      </c>
      <c r="J6221" s="380" t="s">
        <v>773</v>
      </c>
      <c r="K6221" s="381">
        <v>0.0</v>
      </c>
      <c r="L6221" s="382">
        <v>1.0</v>
      </c>
    </row>
    <row r="6222">
      <c r="A6222" s="380" t="s">
        <v>7096</v>
      </c>
      <c r="B6222" s="380" t="str">
        <f>IFERROR(__xludf.DUMMYFUNCTION("""COMPUTED_VALUE"""),"Valvula Reg Bomba Freno Eagle 3530140C1")</f>
        <v>Valvula Reg Bomba Freno Eagle 3530140C1</v>
      </c>
      <c r="C6222" s="380" t="str">
        <f>IFERROR(__xludf.DUMMYFUNCTION("""COMPUTED_VALUE"""),"70001608")</f>
        <v>70001608</v>
      </c>
      <c r="D6222" s="380" t="s">
        <v>767</v>
      </c>
      <c r="E6222" s="380" t="s">
        <v>786</v>
      </c>
      <c r="F6222" s="380" t="s">
        <v>1017</v>
      </c>
      <c r="G6222" s="380" t="s">
        <v>1267</v>
      </c>
      <c r="H6222" s="380" t="s">
        <v>771</v>
      </c>
      <c r="I6222" s="380" t="s">
        <v>788</v>
      </c>
      <c r="J6222" s="380" t="s">
        <v>773</v>
      </c>
      <c r="K6222" s="381">
        <v>0.0</v>
      </c>
      <c r="L6222" s="382">
        <v>1.0</v>
      </c>
    </row>
    <row r="6223">
      <c r="A6223" s="380" t="s">
        <v>7097</v>
      </c>
      <c r="B6223" s="380" t="str">
        <f>IFERROR(__xludf.DUMMYFUNCTION("""COMPUTED_VALUE"""),"Valv Dren Cheque Tanq Aire Eagl3825830C1")</f>
        <v>Valv Dren Cheque Tanq Aire Eagl3825830C1</v>
      </c>
      <c r="C6223" s="380" t="str">
        <f>IFERROR(__xludf.DUMMYFUNCTION("""COMPUTED_VALUE"""),"70001609")</f>
        <v>70001609</v>
      </c>
      <c r="D6223" s="380" t="s">
        <v>767</v>
      </c>
      <c r="E6223" s="380" t="s">
        <v>786</v>
      </c>
      <c r="F6223" s="380" t="s">
        <v>1017</v>
      </c>
      <c r="G6223" s="380" t="s">
        <v>1267</v>
      </c>
      <c r="H6223" s="380" t="s">
        <v>771</v>
      </c>
      <c r="I6223" s="380" t="s">
        <v>788</v>
      </c>
      <c r="J6223" s="380" t="s">
        <v>773</v>
      </c>
      <c r="K6223" s="381">
        <v>109549.0</v>
      </c>
      <c r="L6223" s="382">
        <v>1.0</v>
      </c>
    </row>
    <row r="6224">
      <c r="A6224" s="380" t="s">
        <v>7098</v>
      </c>
      <c r="B6224" s="380" t="str">
        <f>IFERROR(__xludf.DUMMYFUNCTION("""COMPUTED_VALUE"""),"Disco Embrague Nkr Reward 8980370042")</f>
        <v>Disco Embrague Nkr Reward 8980370042</v>
      </c>
      <c r="C6224" s="380" t="str">
        <f>IFERROR(__xludf.DUMMYFUNCTION("""COMPUTED_VALUE"""),"70001610")</f>
        <v>70001610</v>
      </c>
      <c r="D6224" s="380" t="s">
        <v>767</v>
      </c>
      <c r="E6224" s="380" t="s">
        <v>786</v>
      </c>
      <c r="F6224" s="380" t="s">
        <v>5661</v>
      </c>
      <c r="G6224" s="380" t="s">
        <v>1267</v>
      </c>
      <c r="H6224" s="380" t="s">
        <v>771</v>
      </c>
      <c r="I6224" s="380" t="s">
        <v>788</v>
      </c>
      <c r="J6224" s="380" t="s">
        <v>773</v>
      </c>
      <c r="K6224" s="381">
        <v>0.0</v>
      </c>
      <c r="L6224" s="382">
        <v>1.0</v>
      </c>
    </row>
    <row r="6225">
      <c r="A6225" s="380" t="s">
        <v>7099</v>
      </c>
      <c r="B6225" s="380" t="str">
        <f>IFERROR(__xludf.DUMMYFUNCTION("""COMPUTED_VALUE"""),"Camisa Cilind Piston Nkr Rewar8971767000")</f>
        <v>Camisa Cilind Piston Nkr Rewar8971767000</v>
      </c>
      <c r="C6225" s="380" t="str">
        <f>IFERROR(__xludf.DUMMYFUNCTION("""COMPUTED_VALUE"""),"70001611")</f>
        <v>70001611</v>
      </c>
      <c r="D6225" s="380" t="s">
        <v>767</v>
      </c>
      <c r="E6225" s="380" t="s">
        <v>786</v>
      </c>
      <c r="F6225" s="380" t="s">
        <v>787</v>
      </c>
      <c r="G6225" s="380" t="s">
        <v>1267</v>
      </c>
      <c r="H6225" s="380" t="s">
        <v>771</v>
      </c>
      <c r="I6225" s="380" t="s">
        <v>788</v>
      </c>
      <c r="J6225" s="380" t="s">
        <v>773</v>
      </c>
      <c r="K6225" s="381">
        <v>0.0</v>
      </c>
      <c r="L6225" s="382">
        <v>1.0</v>
      </c>
    </row>
    <row r="6226">
      <c r="A6226" s="380" t="s">
        <v>7100</v>
      </c>
      <c r="B6226" s="380" t="str">
        <f>IFERROR(__xludf.DUMMYFUNCTION("""COMPUTED_VALUE"""),"Reten Cigueñal Del Nkr Reward 8981581100")</f>
        <v>Reten Cigueñal Del Nkr Reward 8981581100</v>
      </c>
      <c r="C6226" s="380" t="str">
        <f>IFERROR(__xludf.DUMMYFUNCTION("""COMPUTED_VALUE"""),"70001612")</f>
        <v>70001612</v>
      </c>
      <c r="D6226" s="380" t="s">
        <v>767</v>
      </c>
      <c r="E6226" s="380" t="s">
        <v>786</v>
      </c>
      <c r="F6226" s="380" t="s">
        <v>787</v>
      </c>
      <c r="G6226" s="380" t="s">
        <v>1267</v>
      </c>
      <c r="H6226" s="380" t="s">
        <v>771</v>
      </c>
      <c r="I6226" s="380" t="s">
        <v>788</v>
      </c>
      <c r="J6226" s="380" t="s">
        <v>773</v>
      </c>
      <c r="K6226" s="381">
        <v>0.0</v>
      </c>
      <c r="L6226" s="382">
        <v>1.0</v>
      </c>
    </row>
    <row r="6227">
      <c r="A6227" s="380" t="s">
        <v>7101</v>
      </c>
      <c r="B6227" s="380" t="str">
        <f>IFERROR(__xludf.DUMMYFUNCTION("""COMPUTED_VALUE"""),"Valvula Purga Secador Freno Isx BX800405")</f>
        <v>Valvula Purga Secador Freno Isx BX800405</v>
      </c>
      <c r="C6227" s="380" t="str">
        <f>IFERROR(__xludf.DUMMYFUNCTION("""COMPUTED_VALUE"""),"70001613")</f>
        <v>70001613</v>
      </c>
      <c r="D6227" s="380" t="s">
        <v>767</v>
      </c>
      <c r="E6227" s="380" t="s">
        <v>786</v>
      </c>
      <c r="F6227" s="380" t="s">
        <v>1017</v>
      </c>
      <c r="G6227" s="380" t="s">
        <v>1267</v>
      </c>
      <c r="H6227" s="380" t="s">
        <v>771</v>
      </c>
      <c r="I6227" s="380" t="s">
        <v>788</v>
      </c>
      <c r="J6227" s="380" t="s">
        <v>773</v>
      </c>
      <c r="K6227" s="381">
        <v>1011429.0</v>
      </c>
      <c r="L6227" s="382">
        <v>1.0</v>
      </c>
    </row>
    <row r="6228">
      <c r="A6228" s="380" t="s">
        <v>7102</v>
      </c>
      <c r="B6228" s="380" t="str">
        <f>IFERROR(__xludf.DUMMYFUNCTION("""COMPUTED_VALUE"""),"Tornillo Enfr Aceite Motor Isx 4965483")</f>
        <v>Tornillo Enfr Aceite Motor Isx 4965483</v>
      </c>
      <c r="C6228" s="380" t="str">
        <f>IFERROR(__xludf.DUMMYFUNCTION("""COMPUTED_VALUE"""),"70001614")</f>
        <v>70001614</v>
      </c>
      <c r="D6228" s="380" t="s">
        <v>767</v>
      </c>
      <c r="E6228" s="380" t="s">
        <v>786</v>
      </c>
      <c r="F6228" s="380" t="s">
        <v>787</v>
      </c>
      <c r="G6228" s="380" t="s">
        <v>1267</v>
      </c>
      <c r="H6228" s="380" t="s">
        <v>771</v>
      </c>
      <c r="I6228" s="380" t="s">
        <v>788</v>
      </c>
      <c r="J6228" s="380" t="s">
        <v>773</v>
      </c>
      <c r="K6228" s="381">
        <v>0.0</v>
      </c>
      <c r="L6228" s="382">
        <v>1.0</v>
      </c>
    </row>
    <row r="6229">
      <c r="A6229" s="380" t="s">
        <v>7103</v>
      </c>
      <c r="B6229" s="380" t="str">
        <f>IFERROR(__xludf.DUMMYFUNCTION("""COMPUTED_VALUE"""),"Oring Enfriador Aceite Motor Isx 4966084")</f>
        <v>Oring Enfriador Aceite Motor Isx 4966084</v>
      </c>
      <c r="C6229" s="380" t="str">
        <f>IFERROR(__xludf.DUMMYFUNCTION("""COMPUTED_VALUE"""),"70001616")</f>
        <v>70001616</v>
      </c>
      <c r="D6229" s="380" t="s">
        <v>767</v>
      </c>
      <c r="E6229" s="380" t="s">
        <v>786</v>
      </c>
      <c r="F6229" s="380" t="s">
        <v>787</v>
      </c>
      <c r="G6229" s="380" t="s">
        <v>1267</v>
      </c>
      <c r="H6229" s="380" t="s">
        <v>771</v>
      </c>
      <c r="I6229" s="380" t="s">
        <v>788</v>
      </c>
      <c r="J6229" s="380" t="s">
        <v>773</v>
      </c>
      <c r="K6229" s="381">
        <v>0.0</v>
      </c>
      <c r="L6229" s="382">
        <v>1.0</v>
      </c>
    </row>
    <row r="6230">
      <c r="A6230" s="380" t="s">
        <v>7104</v>
      </c>
      <c r="B6230" s="380" t="str">
        <f>IFERROR(__xludf.DUMMYFUNCTION("""COMPUTED_VALUE"""),"Lampara Principal Del Izq Nkr 8973695713")</f>
        <v>Lampara Principal Del Izq Nkr 8973695713</v>
      </c>
      <c r="C6230" s="380" t="str">
        <f>IFERROR(__xludf.DUMMYFUNCTION("""COMPUTED_VALUE"""),"70001617")</f>
        <v>70001617</v>
      </c>
      <c r="D6230" s="380" t="s">
        <v>767</v>
      </c>
      <c r="E6230" s="380" t="s">
        <v>786</v>
      </c>
      <c r="F6230" s="380" t="s">
        <v>998</v>
      </c>
      <c r="G6230" s="380" t="s">
        <v>1267</v>
      </c>
      <c r="H6230" s="380" t="s">
        <v>771</v>
      </c>
      <c r="I6230" s="380" t="s">
        <v>788</v>
      </c>
      <c r="J6230" s="380" t="s">
        <v>773</v>
      </c>
      <c r="K6230" s="381">
        <v>0.0</v>
      </c>
      <c r="L6230" s="382">
        <v>1.0</v>
      </c>
    </row>
    <row r="6231">
      <c r="A6231" s="380" t="s">
        <v>7105</v>
      </c>
      <c r="B6231" s="380" t="str">
        <f>IFERROR(__xludf.DUMMYFUNCTION("""COMPUTED_VALUE"""),"Sensor Cigüeñal Nkr III 89731121081")</f>
        <v>Sensor Cigüeñal Nkr III 89731121081</v>
      </c>
      <c r="C6231" s="380" t="str">
        <f>IFERROR(__xludf.DUMMYFUNCTION("""COMPUTED_VALUE"""),"70001618")</f>
        <v>70001618</v>
      </c>
      <c r="D6231" s="380" t="s">
        <v>767</v>
      </c>
      <c r="E6231" s="380" t="s">
        <v>786</v>
      </c>
      <c r="F6231" s="380" t="s">
        <v>787</v>
      </c>
      <c r="G6231" s="380" t="s">
        <v>1267</v>
      </c>
      <c r="H6231" s="380" t="s">
        <v>771</v>
      </c>
      <c r="I6231" s="380" t="s">
        <v>788</v>
      </c>
      <c r="J6231" s="380" t="s">
        <v>773</v>
      </c>
      <c r="K6231" s="381">
        <v>0.0</v>
      </c>
      <c r="L6231" s="382">
        <v>1.0</v>
      </c>
    </row>
    <row r="6232">
      <c r="A6232" s="380" t="s">
        <v>7106</v>
      </c>
      <c r="B6232" s="380" t="str">
        <f>IFERROR(__xludf.DUMMYFUNCTION("""COMPUTED_VALUE"""),"Soporte Depos Hidraulico Eagle 3667192C1")</f>
        <v>Soporte Depos Hidraulico Eagle 3667192C1</v>
      </c>
      <c r="C6232" s="380" t="str">
        <f>IFERROR(__xludf.DUMMYFUNCTION("""COMPUTED_VALUE"""),"70001619")</f>
        <v>70001619</v>
      </c>
      <c r="D6232" s="380" t="s">
        <v>767</v>
      </c>
      <c r="E6232" s="380" t="s">
        <v>786</v>
      </c>
      <c r="F6232" s="380" t="s">
        <v>1020</v>
      </c>
      <c r="G6232" s="380" t="s">
        <v>1267</v>
      </c>
      <c r="H6232" s="380" t="s">
        <v>771</v>
      </c>
      <c r="I6232" s="380" t="s">
        <v>788</v>
      </c>
      <c r="J6232" s="380" t="s">
        <v>773</v>
      </c>
      <c r="K6232" s="381">
        <v>0.0</v>
      </c>
      <c r="L6232" s="382">
        <v>1.0</v>
      </c>
    </row>
    <row r="6233">
      <c r="A6233" s="380" t="s">
        <v>7107</v>
      </c>
      <c r="B6233" s="380" t="str">
        <f>IFERROR(__xludf.DUMMYFUNCTION("""COMPUTED_VALUE"""),"Moldura Parabrisas Nkr Reward 8980290781")</f>
        <v>Moldura Parabrisas Nkr Reward 8980290781</v>
      </c>
      <c r="C6233" s="380" t="str">
        <f>IFERROR(__xludf.DUMMYFUNCTION("""COMPUTED_VALUE"""),"70001620")</f>
        <v>70001620</v>
      </c>
      <c r="D6233" s="380" t="s">
        <v>767</v>
      </c>
      <c r="E6233" s="380" t="s">
        <v>786</v>
      </c>
      <c r="F6233" s="380" t="s">
        <v>792</v>
      </c>
      <c r="G6233" s="380" t="s">
        <v>1267</v>
      </c>
      <c r="H6233" s="380" t="s">
        <v>771</v>
      </c>
      <c r="I6233" s="380" t="s">
        <v>788</v>
      </c>
      <c r="J6233" s="380" t="s">
        <v>773</v>
      </c>
      <c r="K6233" s="381">
        <v>0.0</v>
      </c>
      <c r="L6233" s="382">
        <v>1.0</v>
      </c>
    </row>
    <row r="6234">
      <c r="A6234" s="380" t="s">
        <v>7108</v>
      </c>
      <c r="B6234" s="380" t="str">
        <f>IFERROR(__xludf.DUMMYFUNCTION("""COMPUTED_VALUE"""),"Puerta Del Derecha Nkr Reward 8981712200")</f>
        <v>Puerta Del Derecha Nkr Reward 8981712200</v>
      </c>
      <c r="C6234" s="380" t="str">
        <f>IFERROR(__xludf.DUMMYFUNCTION("""COMPUTED_VALUE"""),"70001621")</f>
        <v>70001621</v>
      </c>
      <c r="D6234" s="380" t="s">
        <v>767</v>
      </c>
      <c r="E6234" s="380" t="s">
        <v>786</v>
      </c>
      <c r="F6234" s="380" t="s">
        <v>792</v>
      </c>
      <c r="G6234" s="380" t="s">
        <v>1267</v>
      </c>
      <c r="H6234" s="380" t="s">
        <v>771</v>
      </c>
      <c r="I6234" s="380" t="s">
        <v>788</v>
      </c>
      <c r="J6234" s="380" t="s">
        <v>773</v>
      </c>
      <c r="K6234" s="381">
        <v>0.0</v>
      </c>
      <c r="L6234" s="382">
        <v>1.0</v>
      </c>
    </row>
    <row r="6235">
      <c r="A6235" s="380" t="s">
        <v>7109</v>
      </c>
      <c r="B6235" s="380" t="str">
        <f>IFERROR(__xludf.DUMMYFUNCTION("""COMPUTED_VALUE"""),"Unidad Lampara Direc Nkr Rewar8980514190")</f>
        <v>Unidad Lampara Direc Nkr Rewar8980514190</v>
      </c>
      <c r="C6235" s="380" t="str">
        <f>IFERROR(__xludf.DUMMYFUNCTION("""COMPUTED_VALUE"""),"70001622")</f>
        <v>70001622</v>
      </c>
      <c r="D6235" s="380" t="s">
        <v>767</v>
      </c>
      <c r="E6235" s="380" t="s">
        <v>786</v>
      </c>
      <c r="F6235" s="380" t="s">
        <v>998</v>
      </c>
      <c r="G6235" s="380" t="s">
        <v>1267</v>
      </c>
      <c r="H6235" s="380" t="s">
        <v>771</v>
      </c>
      <c r="I6235" s="380" t="s">
        <v>788</v>
      </c>
      <c r="J6235" s="380" t="s">
        <v>773</v>
      </c>
      <c r="K6235" s="381">
        <v>299994.0</v>
      </c>
      <c r="L6235" s="382">
        <v>1.0</v>
      </c>
    </row>
    <row r="6236">
      <c r="A6236" s="380" t="s">
        <v>7110</v>
      </c>
      <c r="B6236" s="380" t="str">
        <f>IFERROR(__xludf.DUMMYFUNCTION("""COMPUTED_VALUE"""),"Freno Ahogo Con Chapola Nkr 8971023723")</f>
        <v>Freno Ahogo Con Chapola Nkr 8971023723</v>
      </c>
      <c r="C6236" s="380" t="str">
        <f>IFERROR(__xludf.DUMMYFUNCTION("""COMPUTED_VALUE"""),"70001624")</f>
        <v>70001624</v>
      </c>
      <c r="D6236" s="380" t="s">
        <v>767</v>
      </c>
      <c r="E6236" s="380" t="s">
        <v>786</v>
      </c>
      <c r="F6236" s="380" t="s">
        <v>1017</v>
      </c>
      <c r="G6236" s="380" t="s">
        <v>1267</v>
      </c>
      <c r="H6236" s="380" t="s">
        <v>771</v>
      </c>
      <c r="I6236" s="380" t="s">
        <v>788</v>
      </c>
      <c r="J6236" s="380" t="s">
        <v>773</v>
      </c>
      <c r="K6236" s="381">
        <v>0.0</v>
      </c>
      <c r="L6236" s="382">
        <v>1.0</v>
      </c>
    </row>
    <row r="6237">
      <c r="A6237" s="380" t="s">
        <v>7111</v>
      </c>
      <c r="B6237" s="380" t="str">
        <f>IFERROR(__xludf.DUMMYFUNCTION("""COMPUTED_VALUE"""),"Pedal Acelerador Eagle Isx 3525640C92")</f>
        <v>Pedal Acelerador Eagle Isx 3525640C92</v>
      </c>
      <c r="C6237" s="380" t="str">
        <f>IFERROR(__xludf.DUMMYFUNCTION("""COMPUTED_VALUE"""),"70001625")</f>
        <v>70001625</v>
      </c>
      <c r="D6237" s="380" t="s">
        <v>767</v>
      </c>
      <c r="E6237" s="380" t="s">
        <v>786</v>
      </c>
      <c r="F6237" s="380" t="s">
        <v>792</v>
      </c>
      <c r="G6237" s="380" t="s">
        <v>1267</v>
      </c>
      <c r="H6237" s="380" t="s">
        <v>771</v>
      </c>
      <c r="I6237" s="380" t="s">
        <v>788</v>
      </c>
      <c r="J6237" s="380" t="s">
        <v>773</v>
      </c>
      <c r="K6237" s="381">
        <v>0.0</v>
      </c>
      <c r="L6237" s="382">
        <v>1.0</v>
      </c>
    </row>
    <row r="6238">
      <c r="A6238" s="380" t="s">
        <v>7112</v>
      </c>
      <c r="B6238" s="380" t="str">
        <f>IFERROR(__xludf.DUMMYFUNCTION("""COMPUTED_VALUE"""),"Balancin Muelle Del Eagle Isx 3613592C1")</f>
        <v>Balancin Muelle Del Eagle Isx 3613592C1</v>
      </c>
      <c r="C6238" s="380" t="str">
        <f>IFERROR(__xludf.DUMMYFUNCTION("""COMPUTED_VALUE"""),"70001626")</f>
        <v>70001626</v>
      </c>
      <c r="D6238" s="380" t="s">
        <v>767</v>
      </c>
      <c r="E6238" s="380" t="s">
        <v>786</v>
      </c>
      <c r="F6238" s="380" t="s">
        <v>1039</v>
      </c>
      <c r="G6238" s="380" t="s">
        <v>1267</v>
      </c>
      <c r="H6238" s="380" t="s">
        <v>771</v>
      </c>
      <c r="I6238" s="380" t="s">
        <v>788</v>
      </c>
      <c r="J6238" s="380" t="s">
        <v>773</v>
      </c>
      <c r="K6238" s="381">
        <v>52980.0</v>
      </c>
      <c r="L6238" s="382">
        <v>1.0</v>
      </c>
    </row>
    <row r="6239">
      <c r="A6239" s="380" t="s">
        <v>7113</v>
      </c>
      <c r="B6239" s="380" t="str">
        <f>IFERROR(__xludf.DUMMYFUNCTION("""COMPUTED_VALUE"""),"Racor Codo Caja Dir Hidr Isx 3613592C1")</f>
        <v>Racor Codo Caja Dir Hidr Isx 3613592C1</v>
      </c>
      <c r="C6239" s="380" t="str">
        <f>IFERROR(__xludf.DUMMYFUNCTION("""COMPUTED_VALUE"""),"70001628")</f>
        <v>70001628</v>
      </c>
      <c r="D6239" s="380" t="s">
        <v>767</v>
      </c>
      <c r="E6239" s="380" t="s">
        <v>786</v>
      </c>
      <c r="F6239" s="380" t="s">
        <v>1020</v>
      </c>
      <c r="G6239" s="380" t="s">
        <v>1267</v>
      </c>
      <c r="H6239" s="380" t="s">
        <v>771</v>
      </c>
      <c r="I6239" s="380" t="s">
        <v>788</v>
      </c>
      <c r="J6239" s="380" t="s">
        <v>773</v>
      </c>
      <c r="K6239" s="381">
        <v>0.0</v>
      </c>
      <c r="L6239" s="382">
        <v>1.0</v>
      </c>
    </row>
    <row r="6240">
      <c r="A6240" s="380" t="s">
        <v>7114</v>
      </c>
      <c r="B6240" s="380" t="str">
        <f>IFERROR(__xludf.DUMMYFUNCTION("""COMPUTED_VALUE"""),"Brazo Espejo Der Nkr T/Nuevo 8978567358")</f>
        <v>Brazo Espejo Der Nkr T/Nuevo 8978567358</v>
      </c>
      <c r="C6240" s="380" t="str">
        <f>IFERROR(__xludf.DUMMYFUNCTION("""COMPUTED_VALUE"""),"70001629")</f>
        <v>70001629</v>
      </c>
      <c r="D6240" s="380" t="s">
        <v>767</v>
      </c>
      <c r="E6240" s="380" t="s">
        <v>786</v>
      </c>
      <c r="F6240" s="380" t="s">
        <v>792</v>
      </c>
      <c r="G6240" s="380" t="s">
        <v>1267</v>
      </c>
      <c r="H6240" s="380" t="s">
        <v>771</v>
      </c>
      <c r="I6240" s="380" t="s">
        <v>788</v>
      </c>
      <c r="J6240" s="380" t="s">
        <v>773</v>
      </c>
      <c r="K6240" s="381">
        <v>0.0</v>
      </c>
      <c r="L6240" s="382">
        <v>1.0</v>
      </c>
    </row>
    <row r="6241">
      <c r="A6241" s="380" t="s">
        <v>7115</v>
      </c>
      <c r="B6241" s="380" t="str">
        <f>IFERROR(__xludf.DUMMYFUNCTION("""COMPUTED_VALUE"""),"Soporte Amortig Dir Nkr Rewar 8980727970")</f>
        <v>Soporte Amortig Dir Nkr Rewar 8980727970</v>
      </c>
      <c r="C6241" s="380" t="str">
        <f>IFERROR(__xludf.DUMMYFUNCTION("""COMPUTED_VALUE"""),"70001630")</f>
        <v>70001630</v>
      </c>
      <c r="D6241" s="380" t="s">
        <v>767</v>
      </c>
      <c r="E6241" s="380" t="s">
        <v>786</v>
      </c>
      <c r="F6241" s="380" t="s">
        <v>1020</v>
      </c>
      <c r="G6241" s="380" t="s">
        <v>1267</v>
      </c>
      <c r="H6241" s="380" t="s">
        <v>771</v>
      </c>
      <c r="I6241" s="380" t="s">
        <v>788</v>
      </c>
      <c r="J6241" s="380" t="s">
        <v>773</v>
      </c>
      <c r="K6241" s="381">
        <v>0.0</v>
      </c>
      <c r="L6241" s="382">
        <v>1.0</v>
      </c>
    </row>
    <row r="6242">
      <c r="A6242" s="380" t="s">
        <v>7116</v>
      </c>
      <c r="B6242" s="380" t="str">
        <f>IFERROR(__xludf.DUMMYFUNCTION("""COMPUTED_VALUE"""),"Transmision 9x41 Del Completa KWor 2da")</f>
        <v>Transmision 9x41 Del Completa KWor 2da</v>
      </c>
      <c r="C6242" s="380" t="str">
        <f>IFERROR(__xludf.DUMMYFUNCTION("""COMPUTED_VALUE"""),"70001631")</f>
        <v>70001631</v>
      </c>
      <c r="D6242" s="380" t="s">
        <v>767</v>
      </c>
      <c r="E6242" s="380" t="s">
        <v>786</v>
      </c>
      <c r="F6242" s="380" t="s">
        <v>5683</v>
      </c>
      <c r="G6242" s="380" t="s">
        <v>1267</v>
      </c>
      <c r="H6242" s="380" t="s">
        <v>771</v>
      </c>
      <c r="I6242" s="380" t="s">
        <v>788</v>
      </c>
      <c r="J6242" s="380" t="s">
        <v>773</v>
      </c>
      <c r="K6242" s="381">
        <v>0.0</v>
      </c>
      <c r="L6242" s="382">
        <v>1.0</v>
      </c>
    </row>
    <row r="6243">
      <c r="A6243" s="380" t="s">
        <v>7117</v>
      </c>
      <c r="B6243" s="380" t="str">
        <f>IFERROR(__xludf.DUMMYFUNCTION("""COMPUTED_VALUE"""),"Clip Puntera Npr-Reward 8980213001")</f>
        <v>Clip Puntera Npr-Reward 8980213001</v>
      </c>
      <c r="C6243" s="380" t="str">
        <f>IFERROR(__xludf.DUMMYFUNCTION("""COMPUTED_VALUE"""),"70001632")</f>
        <v>70001632</v>
      </c>
      <c r="D6243" s="380" t="s">
        <v>767</v>
      </c>
      <c r="E6243" s="380" t="s">
        <v>786</v>
      </c>
      <c r="F6243" s="380" t="s">
        <v>792</v>
      </c>
      <c r="G6243" s="380" t="s">
        <v>1267</v>
      </c>
      <c r="H6243" s="380" t="s">
        <v>771</v>
      </c>
      <c r="I6243" s="380" t="s">
        <v>788</v>
      </c>
      <c r="J6243" s="380" t="s">
        <v>773</v>
      </c>
      <c r="K6243" s="381">
        <v>0.0</v>
      </c>
      <c r="L6243" s="382">
        <v>1.0</v>
      </c>
    </row>
    <row r="6244">
      <c r="A6244" s="380" t="s">
        <v>7118</v>
      </c>
      <c r="B6244" s="380" t="str">
        <f>IFERROR(__xludf.DUMMYFUNCTION("""COMPUTED_VALUE"""),"Reloj Fuel 2674 Hi 4700 1690273C1")</f>
        <v>Reloj Fuel 2674 Hi 4700 1690273C1</v>
      </c>
      <c r="C6244" s="380" t="str">
        <f>IFERROR(__xludf.DUMMYFUNCTION("""COMPUTED_VALUE"""),"70001633")</f>
        <v>70001633</v>
      </c>
      <c r="D6244" s="380" t="s">
        <v>767</v>
      </c>
      <c r="E6244" s="380" t="s">
        <v>786</v>
      </c>
      <c r="F6244" s="380" t="s">
        <v>998</v>
      </c>
      <c r="G6244" s="380" t="s">
        <v>1267</v>
      </c>
      <c r="H6244" s="380" t="s">
        <v>771</v>
      </c>
      <c r="I6244" s="380" t="s">
        <v>788</v>
      </c>
      <c r="J6244" s="380" t="s">
        <v>773</v>
      </c>
      <c r="K6244" s="381">
        <v>354885.0</v>
      </c>
      <c r="L6244" s="382">
        <v>1.0</v>
      </c>
    </row>
    <row r="6245">
      <c r="A6245" s="380" t="s">
        <v>7119</v>
      </c>
      <c r="B6245" s="380" t="str">
        <f>IFERROR(__xludf.DUMMYFUNCTION("""COMPUTED_VALUE"""),"Fusible 15 Amp Luz Media Eagle 3529687C1")</f>
        <v>Fusible 15 Amp Luz Media Eagle 3529687C1</v>
      </c>
      <c r="C6245" s="380" t="str">
        <f>IFERROR(__xludf.DUMMYFUNCTION("""COMPUTED_VALUE"""),"70001634")</f>
        <v>70001634</v>
      </c>
      <c r="D6245" s="380" t="s">
        <v>767</v>
      </c>
      <c r="E6245" s="380" t="s">
        <v>786</v>
      </c>
      <c r="F6245" s="380" t="s">
        <v>998</v>
      </c>
      <c r="G6245" s="380" t="s">
        <v>1267</v>
      </c>
      <c r="H6245" s="380" t="s">
        <v>771</v>
      </c>
      <c r="I6245" s="380" t="s">
        <v>788</v>
      </c>
      <c r="J6245" s="380" t="s">
        <v>773</v>
      </c>
      <c r="K6245" s="381">
        <v>0.0</v>
      </c>
      <c r="L6245" s="382">
        <v>1.0</v>
      </c>
    </row>
    <row r="6246">
      <c r="A6246" s="380" t="s">
        <v>7120</v>
      </c>
      <c r="B6246" s="380" t="str">
        <f>IFERROR(__xludf.DUMMYFUNCTION("""COMPUTED_VALUE"""),"Valvula Drenaje Tanq Aire Eagle545906C91")</f>
        <v>Valvula Drenaje Tanq Aire Eagle545906C91</v>
      </c>
      <c r="C6246" s="380" t="str">
        <f>IFERROR(__xludf.DUMMYFUNCTION("""COMPUTED_VALUE"""),"70001635")</f>
        <v>70001635</v>
      </c>
      <c r="D6246" s="380" t="s">
        <v>767</v>
      </c>
      <c r="E6246" s="380" t="s">
        <v>786</v>
      </c>
      <c r="F6246" s="380" t="s">
        <v>1017</v>
      </c>
      <c r="G6246" s="380" t="s">
        <v>1267</v>
      </c>
      <c r="H6246" s="380" t="s">
        <v>771</v>
      </c>
      <c r="I6246" s="380" t="s">
        <v>788</v>
      </c>
      <c r="J6246" s="380" t="s">
        <v>773</v>
      </c>
      <c r="K6246" s="381">
        <v>0.0</v>
      </c>
      <c r="L6246" s="382">
        <v>1.0</v>
      </c>
    </row>
    <row r="6247">
      <c r="A6247" s="380" t="s">
        <v>7121</v>
      </c>
      <c r="B6247" s="380" t="str">
        <f>IFERROR(__xludf.DUMMYFUNCTION("""COMPUTED_VALUE"""),"Tapa Filtro Comb Full Pro Eagle1694754C1")</f>
        <v>Tapa Filtro Comb Full Pro Eagle1694754C1</v>
      </c>
      <c r="C6247" s="380" t="str">
        <f>IFERROR(__xludf.DUMMYFUNCTION("""COMPUTED_VALUE"""),"70001636")</f>
        <v>70001636</v>
      </c>
      <c r="D6247" s="380" t="s">
        <v>767</v>
      </c>
      <c r="E6247" s="380" t="s">
        <v>786</v>
      </c>
      <c r="F6247" s="380" t="s">
        <v>787</v>
      </c>
      <c r="G6247" s="380" t="s">
        <v>1267</v>
      </c>
      <c r="H6247" s="380" t="s">
        <v>771</v>
      </c>
      <c r="I6247" s="380" t="s">
        <v>788</v>
      </c>
      <c r="J6247" s="380" t="s">
        <v>773</v>
      </c>
      <c r="K6247" s="381">
        <v>0.0</v>
      </c>
      <c r="L6247" s="382">
        <v>1.0</v>
      </c>
    </row>
    <row r="6248">
      <c r="A6248" s="380" t="s">
        <v>7122</v>
      </c>
      <c r="B6248" s="380" t="str">
        <f>IFERROR(__xludf.DUMMYFUNCTION("""COMPUTED_VALUE"""),"Lampara Lat Pta Der Nhr Rewar 8974101844")</f>
        <v>Lampara Lat Pta Der Nhr Rewar 8974101844</v>
      </c>
      <c r="C6248" s="380" t="str">
        <f>IFERROR(__xludf.DUMMYFUNCTION("""COMPUTED_VALUE"""),"70001638")</f>
        <v>70001638</v>
      </c>
      <c r="D6248" s="380" t="s">
        <v>767</v>
      </c>
      <c r="E6248" s="380" t="s">
        <v>786</v>
      </c>
      <c r="F6248" s="380" t="s">
        <v>998</v>
      </c>
      <c r="G6248" s="380" t="s">
        <v>1267</v>
      </c>
      <c r="H6248" s="380" t="s">
        <v>771</v>
      </c>
      <c r="I6248" s="380" t="s">
        <v>788</v>
      </c>
      <c r="J6248" s="380" t="s">
        <v>773</v>
      </c>
      <c r="K6248" s="381">
        <v>0.0</v>
      </c>
      <c r="L6248" s="382">
        <v>1.0</v>
      </c>
    </row>
    <row r="6249">
      <c r="A6249" s="380" t="s">
        <v>7123</v>
      </c>
      <c r="B6249" s="380" t="str">
        <f>IFERROR(__xludf.DUMMYFUNCTION("""COMPUTED_VALUE"""),"Lampara Lat Pta Izq FRR FTR 8974101853")</f>
        <v>Lampara Lat Pta Izq FRR FTR 8974101853</v>
      </c>
      <c r="C6249" s="380" t="str">
        <f>IFERROR(__xludf.DUMMYFUNCTION("""COMPUTED_VALUE"""),"70001639")</f>
        <v>70001639</v>
      </c>
      <c r="D6249" s="380" t="s">
        <v>767</v>
      </c>
      <c r="E6249" s="380" t="s">
        <v>786</v>
      </c>
      <c r="F6249" s="380" t="s">
        <v>998</v>
      </c>
      <c r="G6249" s="380" t="s">
        <v>1267</v>
      </c>
      <c r="H6249" s="380" t="s">
        <v>771</v>
      </c>
      <c r="I6249" s="380" t="s">
        <v>788</v>
      </c>
      <c r="J6249" s="380" t="s">
        <v>773</v>
      </c>
      <c r="K6249" s="381">
        <v>0.0</v>
      </c>
      <c r="L6249" s="382">
        <v>1.0</v>
      </c>
    </row>
    <row r="6250">
      <c r="A6250" s="380" t="s">
        <v>7124</v>
      </c>
      <c r="B6250" s="380" t="str">
        <f>IFERROR(__xludf.DUMMYFUNCTION("""COMPUTED_VALUE"""),"Sensor Temperatura Motor Isx 4954905")</f>
        <v>Sensor Temperatura Motor Isx 4954905</v>
      </c>
      <c r="C6250" s="380" t="str">
        <f>IFERROR(__xludf.DUMMYFUNCTION("""COMPUTED_VALUE"""),"70001640")</f>
        <v>70001640</v>
      </c>
      <c r="D6250" s="380" t="s">
        <v>767</v>
      </c>
      <c r="E6250" s="380" t="s">
        <v>786</v>
      </c>
      <c r="F6250" s="380" t="s">
        <v>998</v>
      </c>
      <c r="G6250" s="380" t="s">
        <v>1267</v>
      </c>
      <c r="H6250" s="380" t="s">
        <v>771</v>
      </c>
      <c r="I6250" s="380" t="s">
        <v>788</v>
      </c>
      <c r="J6250" s="380" t="s">
        <v>773</v>
      </c>
      <c r="K6250" s="381">
        <v>0.0</v>
      </c>
      <c r="L6250" s="382">
        <v>1.0</v>
      </c>
    </row>
    <row r="6251">
      <c r="A6251" s="380" t="s">
        <v>7125</v>
      </c>
      <c r="B6251" s="380" t="str">
        <f>IFERROR(__xludf.DUMMYFUNCTION("""COMPUTED_VALUE"""),"Guaya Selectora Cambio Van-N200-24528068")</f>
        <v>Guaya Selectora Cambio Van-N200-24528068</v>
      </c>
      <c r="C6251" s="380" t="str">
        <f>IFERROR(__xludf.DUMMYFUNCTION("""COMPUTED_VALUE"""),"70001641")</f>
        <v>70001641</v>
      </c>
      <c r="D6251" s="380" t="s">
        <v>767</v>
      </c>
      <c r="E6251" s="380" t="s">
        <v>786</v>
      </c>
      <c r="F6251" s="380" t="s">
        <v>928</v>
      </c>
      <c r="G6251" s="380" t="s">
        <v>1267</v>
      </c>
      <c r="H6251" s="380" t="s">
        <v>771</v>
      </c>
      <c r="I6251" s="380" t="s">
        <v>788</v>
      </c>
      <c r="J6251" s="380" t="s">
        <v>773</v>
      </c>
      <c r="K6251" s="381">
        <v>0.0</v>
      </c>
      <c r="L6251" s="382">
        <v>1.0</v>
      </c>
    </row>
    <row r="6252">
      <c r="A6252" s="380" t="s">
        <v>7126</v>
      </c>
      <c r="B6252" s="380" t="str">
        <f>IFERROR(__xludf.DUMMYFUNCTION("""COMPUTED_VALUE"""),"Campana Trailer Romarco 10 Hcos 16 5""X8""")</f>
        <v>Campana Trailer Romarco 10 Hcos 16 5"X8"</v>
      </c>
      <c r="C6252" s="380" t="str">
        <f>IFERROR(__xludf.DUMMYFUNCTION("""COMPUTED_VALUE"""),"70001642")</f>
        <v>70001642</v>
      </c>
      <c r="D6252" s="380" t="s">
        <v>767</v>
      </c>
      <c r="E6252" s="380" t="s">
        <v>786</v>
      </c>
      <c r="F6252" s="380" t="s">
        <v>1017</v>
      </c>
      <c r="G6252" s="380" t="s">
        <v>1267</v>
      </c>
      <c r="H6252" s="380" t="s">
        <v>771</v>
      </c>
      <c r="I6252" s="380" t="s">
        <v>788</v>
      </c>
      <c r="J6252" s="380" t="s">
        <v>773</v>
      </c>
      <c r="K6252" s="381">
        <v>351000.0</v>
      </c>
      <c r="L6252" s="382">
        <v>1.0</v>
      </c>
    </row>
    <row r="6253">
      <c r="A6253" s="380" t="s">
        <v>7127</v>
      </c>
      <c r="B6253" s="380" t="str">
        <f>IFERROR(__xludf.DUMMYFUNCTION("""COMPUTED_VALUE"""),"Bocin Eje Trailer Rom Pro Par ET621-3003")</f>
        <v>Bocin Eje Trailer Rom Pro Par ET621-3003</v>
      </c>
      <c r="C6253" s="380" t="str">
        <f>IFERROR(__xludf.DUMMYFUNCTION("""COMPUTED_VALUE"""),"70001643")</f>
        <v>70001643</v>
      </c>
      <c r="D6253" s="380" t="s">
        <v>767</v>
      </c>
      <c r="E6253" s="380" t="s">
        <v>786</v>
      </c>
      <c r="F6253" s="380" t="s">
        <v>1017</v>
      </c>
      <c r="G6253" s="380" t="s">
        <v>1267</v>
      </c>
      <c r="H6253" s="380" t="s">
        <v>771</v>
      </c>
      <c r="I6253" s="380" t="s">
        <v>788</v>
      </c>
      <c r="J6253" s="380" t="s">
        <v>773</v>
      </c>
      <c r="K6253" s="381">
        <v>0.0</v>
      </c>
      <c r="L6253" s="382">
        <v>1.0</v>
      </c>
    </row>
    <row r="6254">
      <c r="A6254" s="380" t="s">
        <v>7128</v>
      </c>
      <c r="B6254" s="380" t="str">
        <f>IFERROR(__xludf.DUMMYFUNCTION("""COMPUTED_VALUE"""),"Tapa Inf Cab C Porta Vaso Eagl3573297C91")</f>
        <v>Tapa Inf Cab C Porta Vaso Eagl3573297C91</v>
      </c>
      <c r="C6254" s="380" t="str">
        <f>IFERROR(__xludf.DUMMYFUNCTION("""COMPUTED_VALUE"""),"70001645")</f>
        <v>70001645</v>
      </c>
      <c r="D6254" s="380" t="s">
        <v>767</v>
      </c>
      <c r="E6254" s="380" t="s">
        <v>786</v>
      </c>
      <c r="F6254" s="380" t="s">
        <v>792</v>
      </c>
      <c r="G6254" s="380" t="s">
        <v>1267</v>
      </c>
      <c r="H6254" s="380" t="s">
        <v>771</v>
      </c>
      <c r="I6254" s="380" t="s">
        <v>788</v>
      </c>
      <c r="J6254" s="380" t="s">
        <v>773</v>
      </c>
      <c r="K6254" s="381">
        <v>0.0</v>
      </c>
      <c r="L6254" s="382">
        <v>1.0</v>
      </c>
    </row>
    <row r="6255">
      <c r="A6255" s="380" t="s">
        <v>7129</v>
      </c>
      <c r="B6255" s="380" t="str">
        <f>IFERROR(__xludf.DUMMYFUNCTION("""COMPUTED_VALUE"""),"Buje Terminal Barra Estab N200-24540490")</f>
        <v>Buje Terminal Barra Estab N200-24540490</v>
      </c>
      <c r="C6255" s="380" t="str">
        <f>IFERROR(__xludf.DUMMYFUNCTION("""COMPUTED_VALUE"""),"70001646")</f>
        <v>70001646</v>
      </c>
      <c r="D6255" s="380" t="s">
        <v>767</v>
      </c>
      <c r="E6255" s="380" t="s">
        <v>786</v>
      </c>
      <c r="F6255" s="380" t="s">
        <v>1039</v>
      </c>
      <c r="G6255" s="380" t="s">
        <v>1267</v>
      </c>
      <c r="H6255" s="380" t="s">
        <v>771</v>
      </c>
      <c r="I6255" s="380" t="s">
        <v>788</v>
      </c>
      <c r="J6255" s="380" t="s">
        <v>773</v>
      </c>
      <c r="K6255" s="381">
        <v>0.0</v>
      </c>
      <c r="L6255" s="382">
        <v>1.0</v>
      </c>
    </row>
    <row r="6256">
      <c r="A6256" s="380" t="s">
        <v>7130</v>
      </c>
      <c r="B6256" s="380" t="str">
        <f>IFERROR(__xludf.DUMMYFUNCTION("""COMPUTED_VALUE"""),"Emblema Compuerta Trasera N200 24542613")</f>
        <v>Emblema Compuerta Trasera N200 24542613</v>
      </c>
      <c r="C6256" s="380" t="str">
        <f>IFERROR(__xludf.DUMMYFUNCTION("""COMPUTED_VALUE"""),"70001647")</f>
        <v>70001647</v>
      </c>
      <c r="D6256" s="380" t="s">
        <v>767</v>
      </c>
      <c r="E6256" s="380" t="s">
        <v>786</v>
      </c>
      <c r="F6256" s="380" t="s">
        <v>792</v>
      </c>
      <c r="G6256" s="380" t="s">
        <v>1267</v>
      </c>
      <c r="H6256" s="380" t="s">
        <v>771</v>
      </c>
      <c r="I6256" s="380" t="s">
        <v>788</v>
      </c>
      <c r="J6256" s="380" t="s">
        <v>773</v>
      </c>
      <c r="K6256" s="381">
        <v>0.0</v>
      </c>
      <c r="L6256" s="382">
        <v>1.0</v>
      </c>
    </row>
    <row r="6257">
      <c r="A6257" s="380" t="s">
        <v>7131</v>
      </c>
      <c r="B6257" s="380" t="str">
        <f>IFERROR(__xludf.DUMMYFUNCTION("""COMPUTED_VALUE"""),"Buje Delantero Tijera Inf N200 24568641")</f>
        <v>Buje Delantero Tijera Inf N200 24568641</v>
      </c>
      <c r="C6257" s="380" t="str">
        <f>IFERROR(__xludf.DUMMYFUNCTION("""COMPUTED_VALUE"""),"70001648")</f>
        <v>70001648</v>
      </c>
      <c r="D6257" s="380" t="s">
        <v>767</v>
      </c>
      <c r="E6257" s="380" t="s">
        <v>786</v>
      </c>
      <c r="F6257" s="380" t="s">
        <v>1039</v>
      </c>
      <c r="G6257" s="380" t="s">
        <v>1267</v>
      </c>
      <c r="H6257" s="380" t="s">
        <v>771</v>
      </c>
      <c r="I6257" s="380" t="s">
        <v>788</v>
      </c>
      <c r="J6257" s="380" t="s">
        <v>773</v>
      </c>
      <c r="K6257" s="381">
        <v>0.0</v>
      </c>
      <c r="L6257" s="382">
        <v>1.0</v>
      </c>
    </row>
    <row r="6258">
      <c r="A6258" s="380" t="s">
        <v>7132</v>
      </c>
      <c r="B6258" s="380" t="str">
        <f>IFERROR(__xludf.DUMMYFUNCTION("""COMPUTED_VALUE"""),"Buje Muelle Tras Parte Tras N200 5497025")</f>
        <v>Buje Muelle Tras Parte Tras N200 5497025</v>
      </c>
      <c r="C6258" s="380" t="str">
        <f>IFERROR(__xludf.DUMMYFUNCTION("""COMPUTED_VALUE"""),"70001649")</f>
        <v>70001649</v>
      </c>
      <c r="D6258" s="380" t="s">
        <v>767</v>
      </c>
      <c r="E6258" s="380" t="s">
        <v>786</v>
      </c>
      <c r="F6258" s="380" t="s">
        <v>1039</v>
      </c>
      <c r="G6258" s="380" t="s">
        <v>1267</v>
      </c>
      <c r="H6258" s="380" t="s">
        <v>771</v>
      </c>
      <c r="I6258" s="380" t="s">
        <v>788</v>
      </c>
      <c r="J6258" s="380" t="s">
        <v>773</v>
      </c>
      <c r="K6258" s="381">
        <v>0.0</v>
      </c>
      <c r="L6258" s="382">
        <v>1.0</v>
      </c>
    </row>
    <row r="6259">
      <c r="A6259" s="380" t="s">
        <v>7133</v>
      </c>
      <c r="B6259" s="380" t="str">
        <f>IFERROR(__xludf.DUMMYFUNCTION("""COMPUTED_VALUE"""),"Tuerca Terminal Barra Tensora Isx 95205")</f>
        <v>Tuerca Terminal Barra Tensora Isx 95205</v>
      </c>
      <c r="C6259" s="380" t="str">
        <f>IFERROR(__xludf.DUMMYFUNCTION("""COMPUTED_VALUE"""),"70001650")</f>
        <v>70001650</v>
      </c>
      <c r="D6259" s="380" t="s">
        <v>767</v>
      </c>
      <c r="E6259" s="380" t="s">
        <v>786</v>
      </c>
      <c r="F6259" s="380" t="s">
        <v>1039</v>
      </c>
      <c r="G6259" s="380" t="s">
        <v>1267</v>
      </c>
      <c r="H6259" s="380" t="s">
        <v>771</v>
      </c>
      <c r="I6259" s="380" t="s">
        <v>788</v>
      </c>
      <c r="J6259" s="380" t="s">
        <v>773</v>
      </c>
      <c r="K6259" s="381">
        <v>17850.0</v>
      </c>
      <c r="L6259" s="382">
        <v>1.0</v>
      </c>
    </row>
    <row r="6260">
      <c r="A6260" s="380" t="s">
        <v>7134</v>
      </c>
      <c r="B6260" s="380" t="str">
        <f>IFERROR(__xludf.DUMMYFUNCTION("""COMPUTED_VALUE"""),"Clip Moldura Techo Nhr-Nkr 8978672400")</f>
        <v>Clip Moldura Techo Nhr-Nkr 8978672400</v>
      </c>
      <c r="C6260" s="380" t="str">
        <f>IFERROR(__xludf.DUMMYFUNCTION("""COMPUTED_VALUE"""),"70001651")</f>
        <v>70001651</v>
      </c>
      <c r="D6260" s="380" t="s">
        <v>767</v>
      </c>
      <c r="E6260" s="380" t="s">
        <v>786</v>
      </c>
      <c r="F6260" s="380" t="s">
        <v>792</v>
      </c>
      <c r="G6260" s="380" t="s">
        <v>1267</v>
      </c>
      <c r="H6260" s="380" t="s">
        <v>771</v>
      </c>
      <c r="I6260" s="380" t="s">
        <v>788</v>
      </c>
      <c r="J6260" s="380" t="s">
        <v>773</v>
      </c>
      <c r="K6260" s="381">
        <v>0.0</v>
      </c>
      <c r="L6260" s="382">
        <v>1.0</v>
      </c>
    </row>
    <row r="6261">
      <c r="A6261" s="380" t="s">
        <v>7135</v>
      </c>
      <c r="B6261" s="380" t="str">
        <f>IFERROR(__xludf.DUMMYFUNCTION("""COMPUTED_VALUE"""),"Angulo Montaje Puerta Tip Cortina PU6196")</f>
        <v>Angulo Montaje Puerta Tip Cortina PU6196</v>
      </c>
      <c r="C6261" s="380" t="str">
        <f>IFERROR(__xludf.DUMMYFUNCTION("""COMPUTED_VALUE"""),"70001653")</f>
        <v>70001653</v>
      </c>
      <c r="D6261" s="380" t="s">
        <v>767</v>
      </c>
      <c r="E6261" s="380" t="s">
        <v>786</v>
      </c>
      <c r="F6261" s="380" t="s">
        <v>792</v>
      </c>
      <c r="G6261" s="380" t="s">
        <v>1267</v>
      </c>
      <c r="H6261" s="380" t="s">
        <v>771</v>
      </c>
      <c r="I6261" s="380" t="s">
        <v>788</v>
      </c>
      <c r="J6261" s="380" t="s">
        <v>773</v>
      </c>
      <c r="K6261" s="381">
        <v>0.0</v>
      </c>
      <c r="L6261" s="382">
        <v>1.0</v>
      </c>
    </row>
    <row r="6262">
      <c r="A6262" s="380" t="s">
        <v>7136</v>
      </c>
      <c r="B6262" s="380" t="str">
        <f>IFERROR(__xludf.DUMMYFUNCTION("""COMPUTED_VALUE"""),"Manguera Alimentador Hco Nkr 8972056350")</f>
        <v>Manguera Alimentador Hco Nkr 8972056350</v>
      </c>
      <c r="C6262" s="380" t="str">
        <f>IFERROR(__xludf.DUMMYFUNCTION("""COMPUTED_VALUE"""),"70001654")</f>
        <v>70001654</v>
      </c>
      <c r="D6262" s="380" t="s">
        <v>767</v>
      </c>
      <c r="E6262" s="380" t="s">
        <v>786</v>
      </c>
      <c r="F6262" s="380" t="s">
        <v>1020</v>
      </c>
      <c r="G6262" s="380" t="s">
        <v>1267</v>
      </c>
      <c r="H6262" s="380" t="s">
        <v>771</v>
      </c>
      <c r="I6262" s="380" t="s">
        <v>788</v>
      </c>
      <c r="J6262" s="380" t="s">
        <v>773</v>
      </c>
      <c r="K6262" s="381">
        <v>0.0</v>
      </c>
      <c r="L6262" s="382">
        <v>1.0</v>
      </c>
    </row>
    <row r="6263">
      <c r="A6263" s="380" t="s">
        <v>7137</v>
      </c>
      <c r="B6263" s="380" t="str">
        <f>IFERROR(__xludf.DUMMYFUNCTION("""COMPUTED_VALUE"""),"Tubo Entrada Bomba Agua N200 9052481")</f>
        <v>Tubo Entrada Bomba Agua N200 9052481</v>
      </c>
      <c r="C6263" s="380" t="str">
        <f>IFERROR(__xludf.DUMMYFUNCTION("""COMPUTED_VALUE"""),"70001655")</f>
        <v>70001655</v>
      </c>
      <c r="D6263" s="380" t="s">
        <v>767</v>
      </c>
      <c r="E6263" s="380" t="s">
        <v>786</v>
      </c>
      <c r="F6263" s="380" t="s">
        <v>787</v>
      </c>
      <c r="G6263" s="380" t="s">
        <v>1267</v>
      </c>
      <c r="H6263" s="380" t="s">
        <v>771</v>
      </c>
      <c r="I6263" s="380" t="s">
        <v>788</v>
      </c>
      <c r="J6263" s="380" t="s">
        <v>773</v>
      </c>
      <c r="K6263" s="381">
        <v>0.0</v>
      </c>
      <c r="L6263" s="382">
        <v>1.0</v>
      </c>
    </row>
    <row r="6264">
      <c r="A6264" s="380" t="s">
        <v>7138</v>
      </c>
      <c r="B6264" s="380" t="str">
        <f>IFERROR(__xludf.DUMMYFUNCTION("""COMPUTED_VALUE"""),"Bomba Agua Con Polea N200 9052806")</f>
        <v>Bomba Agua Con Polea N200 9052806</v>
      </c>
      <c r="C6264" s="380" t="str">
        <f>IFERROR(__xludf.DUMMYFUNCTION("""COMPUTED_VALUE"""),"70001656")</f>
        <v>70001656</v>
      </c>
      <c r="D6264" s="380" t="s">
        <v>767</v>
      </c>
      <c r="E6264" s="380" t="s">
        <v>786</v>
      </c>
      <c r="F6264" s="380" t="s">
        <v>787</v>
      </c>
      <c r="G6264" s="380" t="s">
        <v>1267</v>
      </c>
      <c r="H6264" s="380" t="s">
        <v>771</v>
      </c>
      <c r="I6264" s="380" t="s">
        <v>788</v>
      </c>
      <c r="J6264" s="380" t="s">
        <v>773</v>
      </c>
      <c r="K6264" s="381">
        <v>0.0</v>
      </c>
      <c r="L6264" s="382">
        <v>1.0</v>
      </c>
    </row>
    <row r="6265">
      <c r="A6265" s="380" t="s">
        <v>7139</v>
      </c>
      <c r="B6265" s="380" t="str">
        <f>IFERROR(__xludf.DUMMYFUNCTION("""COMPUTED_VALUE"""),"Cruceta Cardan 19"" 1/2 Columbi 5-281 XSP")</f>
        <v>Cruceta Cardan 19" 1/2 Columbi 5-281 XSP</v>
      </c>
      <c r="C6265" s="380" t="str">
        <f>IFERROR(__xludf.DUMMYFUNCTION("""COMPUTED_VALUE"""),"70001657")</f>
        <v>70001657</v>
      </c>
      <c r="D6265" s="380" t="s">
        <v>767</v>
      </c>
      <c r="E6265" s="380" t="s">
        <v>786</v>
      </c>
      <c r="F6265" s="380" t="s">
        <v>5683</v>
      </c>
      <c r="G6265" s="380" t="s">
        <v>1267</v>
      </c>
      <c r="H6265" s="380" t="s">
        <v>771</v>
      </c>
      <c r="I6265" s="380" t="s">
        <v>788</v>
      </c>
      <c r="J6265" s="380" t="s">
        <v>773</v>
      </c>
      <c r="K6265" s="381">
        <v>0.0</v>
      </c>
      <c r="L6265" s="382">
        <v>1.0</v>
      </c>
    </row>
    <row r="6266">
      <c r="A6266" s="380" t="s">
        <v>7140</v>
      </c>
      <c r="B6266" s="380" t="str">
        <f>IFERROR(__xludf.DUMMYFUNCTION("""COMPUTED_VALUE"""),"Sensor Rev Caja Fuller M2 22940 FULL")</f>
        <v>Sensor Rev Caja Fuller M2 22940 FULL</v>
      </c>
      <c r="C6266" s="380" t="str">
        <f>IFERROR(__xludf.DUMMYFUNCTION("""COMPUTED_VALUE"""),"70001658")</f>
        <v>70001658</v>
      </c>
      <c r="D6266" s="380" t="s">
        <v>767</v>
      </c>
      <c r="E6266" s="380" t="s">
        <v>786</v>
      </c>
      <c r="F6266" s="380" t="s">
        <v>998</v>
      </c>
      <c r="G6266" s="380" t="s">
        <v>1267</v>
      </c>
      <c r="H6266" s="380" t="s">
        <v>771</v>
      </c>
      <c r="I6266" s="380" t="s">
        <v>788</v>
      </c>
      <c r="J6266" s="380" t="s">
        <v>773</v>
      </c>
      <c r="K6266" s="381">
        <v>0.0</v>
      </c>
      <c r="L6266" s="382">
        <v>1.0</v>
      </c>
    </row>
    <row r="6267">
      <c r="A6267" s="380" t="s">
        <v>7141</v>
      </c>
      <c r="B6267" s="380" t="str">
        <f>IFERROR(__xludf.DUMMYFUNCTION("""COMPUTED_VALUE"""),"Secador De Aire KW801147")</f>
        <v>Secador De Aire KW801147</v>
      </c>
      <c r="C6267" s="380" t="str">
        <f>IFERROR(__xludf.DUMMYFUNCTION("""COMPUTED_VALUE"""),"70001659")</f>
        <v>70001659</v>
      </c>
      <c r="D6267" s="380" t="s">
        <v>767</v>
      </c>
      <c r="E6267" s="380" t="s">
        <v>786</v>
      </c>
      <c r="F6267" s="380" t="s">
        <v>1017</v>
      </c>
      <c r="G6267" s="380" t="s">
        <v>1267</v>
      </c>
      <c r="H6267" s="380" t="s">
        <v>771</v>
      </c>
      <c r="I6267" s="380" t="s">
        <v>788</v>
      </c>
      <c r="J6267" s="380" t="s">
        <v>773</v>
      </c>
      <c r="K6267" s="381">
        <v>0.0</v>
      </c>
      <c r="L6267" s="382">
        <v>1.0</v>
      </c>
    </row>
    <row r="6268">
      <c r="A6268" s="380" t="s">
        <v>7142</v>
      </c>
      <c r="B6268" s="380" t="str">
        <f>IFERROR(__xludf.DUMMYFUNCTION("""COMPUTED_VALUE"""),"Modulo Luz Dia Isx 3613356C1")</f>
        <v>Modulo Luz Dia Isx 3613356C1</v>
      </c>
      <c r="C6268" s="380" t="str">
        <f>IFERROR(__xludf.DUMMYFUNCTION("""COMPUTED_VALUE"""),"70001660")</f>
        <v>70001660</v>
      </c>
      <c r="D6268" s="380" t="s">
        <v>767</v>
      </c>
      <c r="E6268" s="380" t="s">
        <v>786</v>
      </c>
      <c r="F6268" s="380" t="s">
        <v>998</v>
      </c>
      <c r="G6268" s="380" t="s">
        <v>1267</v>
      </c>
      <c r="H6268" s="380" t="s">
        <v>771</v>
      </c>
      <c r="I6268" s="380" t="s">
        <v>788</v>
      </c>
      <c r="J6268" s="380" t="s">
        <v>773</v>
      </c>
      <c r="K6268" s="381">
        <v>0.0</v>
      </c>
      <c r="L6268" s="382">
        <v>1.0</v>
      </c>
    </row>
    <row r="6269">
      <c r="A6269" s="380" t="s">
        <v>7143</v>
      </c>
      <c r="B6269" s="380" t="str">
        <f>IFERROR(__xludf.DUMMYFUNCTION("""COMPUTED_VALUE"""),"Reten Del Caja Direc Nkr-Nhr 8970173500")</f>
        <v>Reten Del Caja Direc Nkr-Nhr 8970173500</v>
      </c>
      <c r="C6269" s="380" t="str">
        <f>IFERROR(__xludf.DUMMYFUNCTION("""COMPUTED_VALUE"""),"70001661")</f>
        <v>70001661</v>
      </c>
      <c r="D6269" s="380" t="s">
        <v>767</v>
      </c>
      <c r="E6269" s="380" t="s">
        <v>786</v>
      </c>
      <c r="F6269" s="380" t="s">
        <v>1020</v>
      </c>
      <c r="G6269" s="380" t="s">
        <v>1267</v>
      </c>
      <c r="H6269" s="380" t="s">
        <v>771</v>
      </c>
      <c r="I6269" s="380" t="s">
        <v>788</v>
      </c>
      <c r="J6269" s="380" t="s">
        <v>773</v>
      </c>
      <c r="K6269" s="381">
        <v>24990.0</v>
      </c>
      <c r="L6269" s="382">
        <v>1.0</v>
      </c>
    </row>
    <row r="6270">
      <c r="A6270" s="380" t="s">
        <v>7144</v>
      </c>
      <c r="B6270" s="380" t="str">
        <f>IFERROR(__xludf.DUMMYFUNCTION("""COMPUTED_VALUE"""),"Tanque Combustible Nkr Reward 94771195")</f>
        <v>Tanque Combustible Nkr Reward 94771195</v>
      </c>
      <c r="C6270" s="380" t="str">
        <f>IFERROR(__xludf.DUMMYFUNCTION("""COMPUTED_VALUE"""),"70001662")</f>
        <v>70001662</v>
      </c>
      <c r="D6270" s="380" t="s">
        <v>767</v>
      </c>
      <c r="E6270" s="380" t="s">
        <v>786</v>
      </c>
      <c r="F6270" s="380" t="s">
        <v>792</v>
      </c>
      <c r="G6270" s="380" t="s">
        <v>1267</v>
      </c>
      <c r="H6270" s="380" t="s">
        <v>771</v>
      </c>
      <c r="I6270" s="380" t="s">
        <v>788</v>
      </c>
      <c r="J6270" s="380" t="s">
        <v>773</v>
      </c>
      <c r="K6270" s="381">
        <v>0.0</v>
      </c>
      <c r="L6270" s="382">
        <v>1.0</v>
      </c>
    </row>
    <row r="6271">
      <c r="A6271" s="380" t="s">
        <v>7145</v>
      </c>
      <c r="B6271" s="380" t="str">
        <f>IFERROR(__xludf.DUMMYFUNCTION("""COMPUTED_VALUE"""),"Piston Maestro Freno Motor Isx 2882738")</f>
        <v>Piston Maestro Freno Motor Isx 2882738</v>
      </c>
      <c r="C6271" s="380" t="str">
        <f>IFERROR(__xludf.DUMMYFUNCTION("""COMPUTED_VALUE"""),"70001663")</f>
        <v>70001663</v>
      </c>
      <c r="D6271" s="380" t="s">
        <v>767</v>
      </c>
      <c r="E6271" s="380" t="s">
        <v>786</v>
      </c>
      <c r="F6271" s="380" t="s">
        <v>787</v>
      </c>
      <c r="G6271" s="380" t="s">
        <v>1267</v>
      </c>
      <c r="H6271" s="380" t="s">
        <v>771</v>
      </c>
      <c r="I6271" s="380" t="s">
        <v>788</v>
      </c>
      <c r="J6271" s="380" t="s">
        <v>773</v>
      </c>
      <c r="K6271" s="381">
        <v>0.0</v>
      </c>
      <c r="L6271" s="382">
        <v>1.0</v>
      </c>
    </row>
    <row r="6272">
      <c r="A6272" s="380" t="s">
        <v>7146</v>
      </c>
      <c r="B6272" s="380" t="str">
        <f>IFERROR(__xludf.DUMMYFUNCTION("""COMPUTED_VALUE"""),"Manija Ext Pta Izq T Delta")</f>
        <v>Manija Ext Pta Izq T Delta</v>
      </c>
      <c r="C6272" s="380" t="str">
        <f>IFERROR(__xludf.DUMMYFUNCTION("""COMPUTED_VALUE"""),"70001664")</f>
        <v>70001664</v>
      </c>
      <c r="D6272" s="380" t="s">
        <v>767</v>
      </c>
      <c r="E6272" s="380" t="s">
        <v>786</v>
      </c>
      <c r="F6272" s="380" t="s">
        <v>792</v>
      </c>
      <c r="G6272" s="380" t="s">
        <v>1267</v>
      </c>
      <c r="H6272" s="380" t="s">
        <v>771</v>
      </c>
      <c r="I6272" s="380" t="s">
        <v>788</v>
      </c>
      <c r="J6272" s="380" t="s">
        <v>773</v>
      </c>
      <c r="K6272" s="381">
        <v>0.0</v>
      </c>
      <c r="L6272" s="382">
        <v>1.0</v>
      </c>
    </row>
    <row r="6273">
      <c r="A6273" s="380" t="s">
        <v>7147</v>
      </c>
      <c r="B6273" s="380" t="str">
        <f>IFERROR(__xludf.DUMMYFUNCTION("""COMPUTED_VALUE"""),"Kit Rodamiento Dl Trm Isx 46-160 KIT4423")</f>
        <v>Kit Rodamiento Dl Trm Isx 46-160 KIT4423</v>
      </c>
      <c r="C6273" s="380" t="str">
        <f>IFERROR(__xludf.DUMMYFUNCTION("""COMPUTED_VALUE"""),"70001665")</f>
        <v>70001665</v>
      </c>
      <c r="D6273" s="380" t="s">
        <v>767</v>
      </c>
      <c r="E6273" s="380" t="s">
        <v>786</v>
      </c>
      <c r="F6273" s="380" t="s">
        <v>5683</v>
      </c>
      <c r="G6273" s="380" t="s">
        <v>1267</v>
      </c>
      <c r="H6273" s="380" t="s">
        <v>771</v>
      </c>
      <c r="I6273" s="380" t="s">
        <v>788</v>
      </c>
      <c r="J6273" s="380" t="s">
        <v>773</v>
      </c>
      <c r="K6273" s="381">
        <v>0.0</v>
      </c>
      <c r="L6273" s="382">
        <v>1.0</v>
      </c>
    </row>
    <row r="6274">
      <c r="A6274" s="380" t="s">
        <v>7148</v>
      </c>
      <c r="B6274" s="380" t="str">
        <f>IFERROR(__xludf.DUMMYFUNCTION("""COMPUTED_VALUE"""),"Tuerca Eje Salida Trm Isx KIT2637")</f>
        <v>Tuerca Eje Salida Trm Isx KIT2637</v>
      </c>
      <c r="C6274" s="380" t="str">
        <f>IFERROR(__xludf.DUMMYFUNCTION("""COMPUTED_VALUE"""),"70001666")</f>
        <v>70001666</v>
      </c>
      <c r="D6274" s="380" t="s">
        <v>767</v>
      </c>
      <c r="E6274" s="380" t="s">
        <v>786</v>
      </c>
      <c r="F6274" s="380" t="s">
        <v>5683</v>
      </c>
      <c r="G6274" s="380" t="s">
        <v>1267</v>
      </c>
      <c r="H6274" s="380" t="s">
        <v>771</v>
      </c>
      <c r="I6274" s="380" t="s">
        <v>788</v>
      </c>
      <c r="J6274" s="380" t="s">
        <v>773</v>
      </c>
      <c r="K6274" s="381">
        <v>0.0</v>
      </c>
      <c r="L6274" s="382">
        <v>1.0</v>
      </c>
    </row>
    <row r="6275">
      <c r="A6275" s="380" t="s">
        <v>7149</v>
      </c>
      <c r="B6275" s="380" t="str">
        <f>IFERROR(__xludf.DUMMYFUNCTION("""COMPUTED_VALUE"""),"Juego Shims Divisor 46160 Isx KIT2429")</f>
        <v>Juego Shims Divisor 46160 Isx KIT2429</v>
      </c>
      <c r="C6275" s="380" t="str">
        <f>IFERROR(__xludf.DUMMYFUNCTION("""COMPUTED_VALUE"""),"70001667")</f>
        <v>70001667</v>
      </c>
      <c r="D6275" s="380" t="s">
        <v>767</v>
      </c>
      <c r="E6275" s="380" t="s">
        <v>786</v>
      </c>
      <c r="F6275" s="380" t="s">
        <v>5683</v>
      </c>
      <c r="G6275" s="380" t="s">
        <v>1267</v>
      </c>
      <c r="H6275" s="380" t="s">
        <v>771</v>
      </c>
      <c r="I6275" s="380" t="s">
        <v>788</v>
      </c>
      <c r="J6275" s="380" t="s">
        <v>773</v>
      </c>
      <c r="K6275" s="381">
        <v>0.0</v>
      </c>
      <c r="L6275" s="382">
        <v>1.0</v>
      </c>
    </row>
    <row r="6276">
      <c r="A6276" s="380" t="s">
        <v>7150</v>
      </c>
      <c r="B6276" s="380" t="str">
        <f>IFERROR(__xludf.DUMMYFUNCTION("""COMPUTED_VALUE"""),"Canastilla Divisor Isx A13235A239")</f>
        <v>Canastilla Divisor Isx A13235A239</v>
      </c>
      <c r="C6276" s="380" t="str">
        <f>IFERROR(__xludf.DUMMYFUNCTION("""COMPUTED_VALUE"""),"70001668")</f>
        <v>70001668</v>
      </c>
      <c r="D6276" s="380" t="s">
        <v>767</v>
      </c>
      <c r="E6276" s="380" t="s">
        <v>786</v>
      </c>
      <c r="F6276" s="380" t="s">
        <v>5683</v>
      </c>
      <c r="G6276" s="380" t="s">
        <v>1267</v>
      </c>
      <c r="H6276" s="380" t="s">
        <v>771</v>
      </c>
      <c r="I6276" s="380" t="s">
        <v>788</v>
      </c>
      <c r="J6276" s="380" t="s">
        <v>773</v>
      </c>
      <c r="K6276" s="381">
        <v>0.0</v>
      </c>
      <c r="L6276" s="382">
        <v>1.0</v>
      </c>
    </row>
    <row r="6277">
      <c r="A6277" s="380" t="s">
        <v>7151</v>
      </c>
      <c r="B6277" s="380" t="str">
        <f>IFERROR(__xludf.DUMMYFUNCTION("""COMPUTED_VALUE"""),"Satelites Divisor 46160 Isx 2233K245")</f>
        <v>Satelites Divisor 46160 Isx 2233K245</v>
      </c>
      <c r="C6277" s="380" t="str">
        <f>IFERROR(__xludf.DUMMYFUNCTION("""COMPUTED_VALUE"""),"70001669")</f>
        <v>70001669</v>
      </c>
      <c r="D6277" s="380" t="s">
        <v>767</v>
      </c>
      <c r="E6277" s="380" t="s">
        <v>786</v>
      </c>
      <c r="F6277" s="380" t="s">
        <v>5683</v>
      </c>
      <c r="G6277" s="380" t="s">
        <v>1267</v>
      </c>
      <c r="H6277" s="380" t="s">
        <v>771</v>
      </c>
      <c r="I6277" s="380" t="s">
        <v>788</v>
      </c>
      <c r="J6277" s="380" t="s">
        <v>773</v>
      </c>
      <c r="K6277" s="381">
        <v>0.0</v>
      </c>
      <c r="L6277" s="382">
        <v>1.0</v>
      </c>
    </row>
    <row r="6278">
      <c r="A6278" s="380" t="s">
        <v>7152</v>
      </c>
      <c r="B6278" s="380" t="str">
        <f>IFERROR(__xludf.DUMMYFUNCTION("""COMPUTED_VALUE"""),"Arandela Planetario 46160 Isx 1229l3002")</f>
        <v>Arandela Planetario 46160 Isx 1229l3002</v>
      </c>
      <c r="C6278" s="380" t="str">
        <f>IFERROR(__xludf.DUMMYFUNCTION("""COMPUTED_VALUE"""),"70001670")</f>
        <v>70001670</v>
      </c>
      <c r="D6278" s="380" t="s">
        <v>767</v>
      </c>
      <c r="E6278" s="380" t="s">
        <v>786</v>
      </c>
      <c r="F6278" s="380" t="s">
        <v>5683</v>
      </c>
      <c r="G6278" s="380" t="s">
        <v>1267</v>
      </c>
      <c r="H6278" s="380" t="s">
        <v>771</v>
      </c>
      <c r="I6278" s="380" t="s">
        <v>788</v>
      </c>
      <c r="J6278" s="380" t="s">
        <v>773</v>
      </c>
      <c r="K6278" s="381">
        <v>0.0</v>
      </c>
      <c r="L6278" s="382">
        <v>1.0</v>
      </c>
    </row>
    <row r="6279">
      <c r="A6279" s="380" t="s">
        <v>7153</v>
      </c>
      <c r="B6279" s="380" t="str">
        <f>IFERROR(__xludf.DUMMYFUNCTION("""COMPUTED_VALUE"""),"Arandela Satelite Escualiz Isx 1229K3001")</f>
        <v>Arandela Satelite Escualiz Isx 1229K3001</v>
      </c>
      <c r="C6279" s="380" t="str">
        <f>IFERROR(__xludf.DUMMYFUNCTION("""COMPUTED_VALUE"""),"70001671")</f>
        <v>70001671</v>
      </c>
      <c r="D6279" s="380" t="s">
        <v>767</v>
      </c>
      <c r="E6279" s="380" t="s">
        <v>786</v>
      </c>
      <c r="F6279" s="380" t="s">
        <v>5683</v>
      </c>
      <c r="G6279" s="380" t="s">
        <v>1267</v>
      </c>
      <c r="H6279" s="380" t="s">
        <v>771</v>
      </c>
      <c r="I6279" s="380" t="s">
        <v>788</v>
      </c>
      <c r="J6279" s="380" t="s">
        <v>773</v>
      </c>
      <c r="K6279" s="381">
        <v>0.0</v>
      </c>
      <c r="L6279" s="382">
        <v>1.0</v>
      </c>
    </row>
    <row r="6280">
      <c r="A6280" s="380" t="s">
        <v>7154</v>
      </c>
      <c r="B6280" s="380" t="str">
        <f>IFERROR(__xludf.DUMMYFUNCTION("""COMPUTED_VALUE"""),"Arandela Bronce Divi Isx 46160-1229S4985")</f>
        <v>Arandela Bronce Divi Isx 46160-1229S4985</v>
      </c>
      <c r="C6280" s="380" t="str">
        <f>IFERROR(__xludf.DUMMYFUNCTION("""COMPUTED_VALUE"""),"70001672")</f>
        <v>70001672</v>
      </c>
      <c r="D6280" s="380" t="s">
        <v>767</v>
      </c>
      <c r="E6280" s="380" t="s">
        <v>786</v>
      </c>
      <c r="F6280" s="380" t="s">
        <v>5683</v>
      </c>
      <c r="G6280" s="380" t="s">
        <v>1267</v>
      </c>
      <c r="H6280" s="380" t="s">
        <v>771</v>
      </c>
      <c r="I6280" s="380" t="s">
        <v>788</v>
      </c>
      <c r="J6280" s="380" t="s">
        <v>773</v>
      </c>
      <c r="K6280" s="381">
        <v>0.0</v>
      </c>
      <c r="L6280" s="382">
        <v>1.0</v>
      </c>
    </row>
    <row r="6281">
      <c r="A6281" s="380" t="s">
        <v>7155</v>
      </c>
      <c r="B6281" s="380" t="str">
        <f>IFERROR(__xludf.DUMMYFUNCTION("""COMPUTED_VALUE"""),"Corona Y Speed Delantera Isx9*41-A398821")</f>
        <v>Corona Y Speed Delantera Isx9*41-A398821</v>
      </c>
      <c r="C6281" s="380" t="str">
        <f>IFERROR(__xludf.DUMMYFUNCTION("""COMPUTED_VALUE"""),"70001673")</f>
        <v>70001673</v>
      </c>
      <c r="D6281" s="380" t="s">
        <v>767</v>
      </c>
      <c r="E6281" s="380" t="s">
        <v>786</v>
      </c>
      <c r="F6281" s="380" t="s">
        <v>5683</v>
      </c>
      <c r="G6281" s="380" t="s">
        <v>1267</v>
      </c>
      <c r="H6281" s="380" t="s">
        <v>771</v>
      </c>
      <c r="I6281" s="380" t="s">
        <v>788</v>
      </c>
      <c r="J6281" s="380" t="s">
        <v>773</v>
      </c>
      <c r="K6281" s="381">
        <v>0.0</v>
      </c>
      <c r="L6281" s="382">
        <v>1.0</v>
      </c>
    </row>
    <row r="6282">
      <c r="A6282" s="380" t="s">
        <v>7156</v>
      </c>
      <c r="B6282" s="380" t="str">
        <f>IFERROR(__xludf.DUMMYFUNCTION("""COMPUTED_VALUE"""),"Cruceta Escualizacion Tras,Isx 3278W335")</f>
        <v>Cruceta Escualizacion Tras,Isx 3278W335</v>
      </c>
      <c r="C6282" s="380" t="str">
        <f>IFERROR(__xludf.DUMMYFUNCTION("""COMPUTED_VALUE"""),"70001674")</f>
        <v>70001674</v>
      </c>
      <c r="D6282" s="380" t="s">
        <v>767</v>
      </c>
      <c r="E6282" s="380" t="s">
        <v>786</v>
      </c>
      <c r="F6282" s="380" t="s">
        <v>5683</v>
      </c>
      <c r="G6282" s="380" t="s">
        <v>1267</v>
      </c>
      <c r="H6282" s="380" t="s">
        <v>771</v>
      </c>
      <c r="I6282" s="380" t="s">
        <v>788</v>
      </c>
      <c r="J6282" s="380" t="s">
        <v>773</v>
      </c>
      <c r="K6282" s="381">
        <v>0.0</v>
      </c>
      <c r="L6282" s="382">
        <v>1.0</v>
      </c>
    </row>
    <row r="6283">
      <c r="A6283" s="380" t="s">
        <v>7157</v>
      </c>
      <c r="B6283" s="380" t="str">
        <f>IFERROR(__xludf.DUMMYFUNCTION("""COMPUTED_VALUE"""),"Planetario Escualizac Isx Ppal 2234C1069")</f>
        <v>Planetario Escualizac Isx Ppal 2234C1069</v>
      </c>
      <c r="C6283" s="380" t="str">
        <f>IFERROR(__xludf.DUMMYFUNCTION("""COMPUTED_VALUE"""),"70001675")</f>
        <v>70001675</v>
      </c>
      <c r="D6283" s="380" t="s">
        <v>767</v>
      </c>
      <c r="E6283" s="380" t="s">
        <v>786</v>
      </c>
      <c r="F6283" s="380" t="s">
        <v>5683</v>
      </c>
      <c r="G6283" s="380" t="s">
        <v>1267</v>
      </c>
      <c r="H6283" s="380" t="s">
        <v>771</v>
      </c>
      <c r="I6283" s="380" t="s">
        <v>788</v>
      </c>
      <c r="J6283" s="380" t="s">
        <v>773</v>
      </c>
      <c r="K6283" s="381">
        <v>0.0</v>
      </c>
      <c r="L6283" s="382">
        <v>1.0</v>
      </c>
    </row>
    <row r="6284">
      <c r="A6284" s="380" t="s">
        <v>7158</v>
      </c>
      <c r="B6284" s="380" t="str">
        <f>IFERROR(__xludf.DUMMYFUNCTION("""COMPUTED_VALUE"""),"Satelite Escualizacion Ppal Isx2233M1001")</f>
        <v>Satelite Escualizacion Ppal Isx2233M1001</v>
      </c>
      <c r="C6284" s="380" t="str">
        <f>IFERROR(__xludf.DUMMYFUNCTION("""COMPUTED_VALUE"""),"70001676")</f>
        <v>70001676</v>
      </c>
      <c r="D6284" s="380" t="s">
        <v>767</v>
      </c>
      <c r="E6284" s="380" t="s">
        <v>786</v>
      </c>
      <c r="F6284" s="380" t="s">
        <v>5683</v>
      </c>
      <c r="G6284" s="380" t="s">
        <v>1267</v>
      </c>
      <c r="H6284" s="380" t="s">
        <v>771</v>
      </c>
      <c r="I6284" s="380" t="s">
        <v>788</v>
      </c>
      <c r="J6284" s="380" t="s">
        <v>773</v>
      </c>
      <c r="K6284" s="381">
        <v>0.0</v>
      </c>
      <c r="L6284" s="382">
        <v>1.0</v>
      </c>
    </row>
    <row r="6285">
      <c r="A6285" s="380" t="s">
        <v>7159</v>
      </c>
      <c r="B6285" s="380" t="str">
        <f>IFERROR(__xludf.DUMMYFUNCTION("""COMPUTED_VALUE"""),"Bomba Aceite Divisor Del Isx A3303P1030")</f>
        <v>Bomba Aceite Divisor Del Isx A3303P1030</v>
      </c>
      <c r="C6285" s="380" t="str">
        <f>IFERROR(__xludf.DUMMYFUNCTION("""COMPUTED_VALUE"""),"70001677")</f>
        <v>70001677</v>
      </c>
      <c r="D6285" s="380" t="s">
        <v>767</v>
      </c>
      <c r="E6285" s="380" t="s">
        <v>786</v>
      </c>
      <c r="F6285" s="380" t="s">
        <v>5683</v>
      </c>
      <c r="G6285" s="380" t="s">
        <v>1267</v>
      </c>
      <c r="H6285" s="380" t="s">
        <v>771</v>
      </c>
      <c r="I6285" s="380" t="s">
        <v>788</v>
      </c>
      <c r="J6285" s="380" t="s">
        <v>773</v>
      </c>
      <c r="K6285" s="381">
        <v>0.0</v>
      </c>
      <c r="L6285" s="382">
        <v>1.0</v>
      </c>
    </row>
    <row r="6286">
      <c r="A6286" s="380" t="s">
        <v>7160</v>
      </c>
      <c r="B6286" s="380" t="str">
        <f>IFERROR(__xludf.DUMMYFUNCTION("""COMPUTED_VALUE"""),"Retenedor Eje Salida Del Isx A11205Y272")</f>
        <v>Retenedor Eje Salida Del Isx A11205Y272</v>
      </c>
      <c r="C6286" s="380" t="str">
        <f>IFERROR(__xludf.DUMMYFUNCTION("""COMPUTED_VALUE"""),"70001678")</f>
        <v>70001678</v>
      </c>
      <c r="D6286" s="380" t="s">
        <v>767</v>
      </c>
      <c r="E6286" s="380" t="s">
        <v>786</v>
      </c>
      <c r="F6286" s="380" t="s">
        <v>5683</v>
      </c>
      <c r="G6286" s="380" t="s">
        <v>1267</v>
      </c>
      <c r="H6286" s="380" t="s">
        <v>771</v>
      </c>
      <c r="I6286" s="380" t="s">
        <v>788</v>
      </c>
      <c r="J6286" s="380" t="s">
        <v>773</v>
      </c>
      <c r="K6286" s="381">
        <v>169373.0</v>
      </c>
      <c r="L6286" s="382">
        <v>1.0</v>
      </c>
    </row>
    <row r="6287">
      <c r="A6287" s="380" t="s">
        <v>7161</v>
      </c>
      <c r="B6287" s="380" t="str">
        <f>IFERROR(__xludf.DUMMYFUNCTION("""COMPUTED_VALUE"""),"Riel Control Pta Corred N200Der 24520527")</f>
        <v>Riel Control Pta Corred N200Der 24520527</v>
      </c>
      <c r="C6287" s="380" t="str">
        <f>IFERROR(__xludf.DUMMYFUNCTION("""COMPUTED_VALUE"""),"70001679")</f>
        <v>70001679</v>
      </c>
      <c r="D6287" s="380" t="s">
        <v>767</v>
      </c>
      <c r="E6287" s="380" t="s">
        <v>786</v>
      </c>
      <c r="F6287" s="380" t="s">
        <v>792</v>
      </c>
      <c r="G6287" s="380" t="s">
        <v>1267</v>
      </c>
      <c r="H6287" s="380" t="s">
        <v>771</v>
      </c>
      <c r="I6287" s="380" t="s">
        <v>788</v>
      </c>
      <c r="J6287" s="380" t="s">
        <v>773</v>
      </c>
      <c r="K6287" s="381">
        <v>0.0</v>
      </c>
      <c r="L6287" s="382">
        <v>1.0</v>
      </c>
    </row>
    <row r="6288">
      <c r="A6288" s="380" t="s">
        <v>7162</v>
      </c>
      <c r="B6288" s="380" t="str">
        <f>IFERROR(__xludf.DUMMYFUNCTION("""COMPUTED_VALUE"""),"Motor Arranque Delta 12 Vol STR6067")</f>
        <v>Motor Arranque Delta 12 Vol STR6067</v>
      </c>
      <c r="C6288" s="380" t="str">
        <f>IFERROR(__xludf.DUMMYFUNCTION("""COMPUTED_VALUE"""),"70001680")</f>
        <v>70001680</v>
      </c>
      <c r="D6288" s="380" t="s">
        <v>767</v>
      </c>
      <c r="E6288" s="380" t="s">
        <v>786</v>
      </c>
      <c r="F6288" s="380" t="s">
        <v>998</v>
      </c>
      <c r="G6288" s="380" t="s">
        <v>1267</v>
      </c>
      <c r="H6288" s="380" t="s">
        <v>771</v>
      </c>
      <c r="I6288" s="380" t="s">
        <v>788</v>
      </c>
      <c r="J6288" s="380" t="s">
        <v>773</v>
      </c>
      <c r="K6288" s="381">
        <v>0.0</v>
      </c>
      <c r="L6288" s="382">
        <v>1.0</v>
      </c>
    </row>
    <row r="6289">
      <c r="A6289" s="380" t="s">
        <v>7163</v>
      </c>
      <c r="B6289" s="380" t="str">
        <f>IFERROR(__xludf.DUMMYFUNCTION("""COMPUTED_VALUE"""),"Arand Piñon Extra Cja 16918 Isx 4301843")</f>
        <v>Arand Piñon Extra Cja 16918 Isx 4301843</v>
      </c>
      <c r="C6289" s="380" t="str">
        <f>IFERROR(__xludf.DUMMYFUNCTION("""COMPUTED_VALUE"""),"70001681")</f>
        <v>70001681</v>
      </c>
      <c r="D6289" s="380" t="s">
        <v>767</v>
      </c>
      <c r="E6289" s="380" t="s">
        <v>786</v>
      </c>
      <c r="F6289" s="380" t="s">
        <v>928</v>
      </c>
      <c r="G6289" s="380" t="s">
        <v>1267</v>
      </c>
      <c r="H6289" s="380" t="s">
        <v>771</v>
      </c>
      <c r="I6289" s="380" t="s">
        <v>788</v>
      </c>
      <c r="J6289" s="380" t="s">
        <v>773</v>
      </c>
      <c r="K6289" s="381">
        <v>0.0</v>
      </c>
      <c r="L6289" s="382">
        <v>1.0</v>
      </c>
    </row>
    <row r="6290">
      <c r="A6290" s="380" t="s">
        <v>7164</v>
      </c>
      <c r="B6290" s="380" t="str">
        <f>IFERROR(__xludf.DUMMYFUNCTION("""COMPUTED_VALUE"""),"Rele Alambr Carga Alternad Nkr8970634412")</f>
        <v>Rele Alambr Carga Alternad Nkr8970634412</v>
      </c>
      <c r="C6290" s="380" t="str">
        <f>IFERROR(__xludf.DUMMYFUNCTION("""COMPUTED_VALUE"""),"70001682")</f>
        <v>70001682</v>
      </c>
      <c r="D6290" s="380" t="s">
        <v>767</v>
      </c>
      <c r="E6290" s="380" t="s">
        <v>786</v>
      </c>
      <c r="F6290" s="380" t="s">
        <v>998</v>
      </c>
      <c r="G6290" s="380" t="s">
        <v>1267</v>
      </c>
      <c r="H6290" s="380" t="s">
        <v>771</v>
      </c>
      <c r="I6290" s="380" t="s">
        <v>788</v>
      </c>
      <c r="J6290" s="380" t="s">
        <v>773</v>
      </c>
      <c r="K6290" s="381">
        <v>0.0</v>
      </c>
      <c r="L6290" s="382">
        <v>1.0</v>
      </c>
    </row>
    <row r="6291">
      <c r="A6291" s="380" t="s">
        <v>7165</v>
      </c>
      <c r="B6291" s="380" t="str">
        <f>IFERROR(__xludf.DUMMYFUNCTION("""COMPUTED_VALUE"""),"Tablero Puerta Lado Derecho Nkr II")</f>
        <v>Tablero Puerta Lado Derecho Nkr II</v>
      </c>
      <c r="C6291" s="380" t="str">
        <f>IFERROR(__xludf.DUMMYFUNCTION("""COMPUTED_VALUE"""),"70001683")</f>
        <v>70001683</v>
      </c>
      <c r="D6291" s="380" t="s">
        <v>767</v>
      </c>
      <c r="E6291" s="380" t="s">
        <v>786</v>
      </c>
      <c r="F6291" s="380" t="s">
        <v>792</v>
      </c>
      <c r="G6291" s="380" t="s">
        <v>1267</v>
      </c>
      <c r="H6291" s="380" t="s">
        <v>771</v>
      </c>
      <c r="I6291" s="380" t="s">
        <v>788</v>
      </c>
      <c r="J6291" s="380" t="s">
        <v>773</v>
      </c>
      <c r="K6291" s="381">
        <v>0.0</v>
      </c>
      <c r="L6291" s="382">
        <v>1.0</v>
      </c>
    </row>
    <row r="6292">
      <c r="A6292" s="380" t="s">
        <v>7166</v>
      </c>
      <c r="B6292" s="380" t="str">
        <f>IFERROR(__xludf.DUMMYFUNCTION("""COMPUTED_VALUE"""),"Tapa Tanque Acpm Nkr- Rewar 8981460140")</f>
        <v>Tapa Tanque Acpm Nkr- Rewar 8981460140</v>
      </c>
      <c r="C6292" s="380" t="str">
        <f>IFERROR(__xludf.DUMMYFUNCTION("""COMPUTED_VALUE"""),"70001684")</f>
        <v>70001684</v>
      </c>
      <c r="D6292" s="380" t="s">
        <v>767</v>
      </c>
      <c r="E6292" s="380" t="s">
        <v>786</v>
      </c>
      <c r="F6292" s="380" t="s">
        <v>792</v>
      </c>
      <c r="G6292" s="380" t="s">
        <v>1267</v>
      </c>
      <c r="H6292" s="380" t="s">
        <v>771</v>
      </c>
      <c r="I6292" s="380" t="s">
        <v>788</v>
      </c>
      <c r="J6292" s="380" t="s">
        <v>773</v>
      </c>
      <c r="K6292" s="381">
        <v>0.0</v>
      </c>
      <c r="L6292" s="382">
        <v>1.0</v>
      </c>
    </row>
    <row r="6293">
      <c r="A6293" s="380" t="s">
        <v>7167</v>
      </c>
      <c r="B6293" s="380" t="str">
        <f>IFERROR(__xludf.DUMMYFUNCTION("""COMPUTED_VALUE"""),"Kit Repar Bba Inyec Nkr Rewar8981455011")</f>
        <v>Kit Repar Bba Inyec Nkr Rewar8981455011</v>
      </c>
      <c r="C6293" s="380" t="str">
        <f>IFERROR(__xludf.DUMMYFUNCTION("""COMPUTED_VALUE"""),"70001685")</f>
        <v>70001685</v>
      </c>
      <c r="D6293" s="380" t="s">
        <v>767</v>
      </c>
      <c r="E6293" s="380" t="s">
        <v>786</v>
      </c>
      <c r="F6293" s="380" t="s">
        <v>787</v>
      </c>
      <c r="G6293" s="380" t="s">
        <v>1267</v>
      </c>
      <c r="H6293" s="380" t="s">
        <v>771</v>
      </c>
      <c r="I6293" s="380" t="s">
        <v>788</v>
      </c>
      <c r="J6293" s="380" t="s">
        <v>773</v>
      </c>
      <c r="K6293" s="381">
        <v>0.0</v>
      </c>
      <c r="L6293" s="382">
        <v>1.0</v>
      </c>
    </row>
    <row r="6294">
      <c r="A6294" s="380" t="s">
        <v>7168</v>
      </c>
      <c r="B6294" s="380" t="str">
        <f>IFERROR(__xludf.DUMMYFUNCTION("""COMPUTED_VALUE"""),"Manguera Hidraulica R-5 1/2 Larga")</f>
        <v>Manguera Hidraulica R-5 1/2 Larga</v>
      </c>
      <c r="C6294" s="380" t="str">
        <f>IFERROR(__xludf.DUMMYFUNCTION("""COMPUTED_VALUE"""),"70001686")</f>
        <v>70001686</v>
      </c>
      <c r="D6294" s="380" t="s">
        <v>767</v>
      </c>
      <c r="E6294" s="380" t="s">
        <v>786</v>
      </c>
      <c r="F6294" s="380" t="s">
        <v>989</v>
      </c>
      <c r="G6294" s="380" t="s">
        <v>1267</v>
      </c>
      <c r="H6294" s="380" t="s">
        <v>771</v>
      </c>
      <c r="I6294" s="380" t="s">
        <v>788</v>
      </c>
      <c r="J6294" s="380" t="s">
        <v>773</v>
      </c>
      <c r="K6294" s="381">
        <v>0.0</v>
      </c>
      <c r="L6294" s="382">
        <v>1.0</v>
      </c>
    </row>
    <row r="6295">
      <c r="A6295" s="380" t="s">
        <v>7169</v>
      </c>
      <c r="B6295" s="380" t="str">
        <f>IFERROR(__xludf.DUMMYFUNCTION("""COMPUTED_VALUE"""),"Guardafango Izq Cabina Reward 8980040304")</f>
        <v>Guardafango Izq Cabina Reward 8980040304</v>
      </c>
      <c r="C6295" s="380" t="str">
        <f>IFERROR(__xludf.DUMMYFUNCTION("""COMPUTED_VALUE"""),"70001687")</f>
        <v>70001687</v>
      </c>
      <c r="D6295" s="380" t="s">
        <v>767</v>
      </c>
      <c r="E6295" s="380" t="s">
        <v>786</v>
      </c>
      <c r="F6295" s="380" t="s">
        <v>792</v>
      </c>
      <c r="G6295" s="380" t="s">
        <v>1267</v>
      </c>
      <c r="H6295" s="380" t="s">
        <v>771</v>
      </c>
      <c r="I6295" s="380" t="s">
        <v>788</v>
      </c>
      <c r="J6295" s="380" t="s">
        <v>773</v>
      </c>
      <c r="K6295" s="381">
        <v>0.0</v>
      </c>
      <c r="L6295" s="382">
        <v>1.0</v>
      </c>
    </row>
    <row r="6296">
      <c r="A6296" s="380" t="s">
        <v>7170</v>
      </c>
      <c r="B6296" s="380" t="str">
        <f>IFERROR(__xludf.DUMMYFUNCTION("""COMPUTED_VALUE"""),"Silenciador Escape N-200 Chev 24519272")</f>
        <v>Silenciador Escape N-200 Chev 24519272</v>
      </c>
      <c r="C6296" s="380" t="str">
        <f>IFERROR(__xludf.DUMMYFUNCTION("""COMPUTED_VALUE"""),"70001688")</f>
        <v>70001688</v>
      </c>
      <c r="D6296" s="380" t="s">
        <v>767</v>
      </c>
      <c r="E6296" s="380" t="s">
        <v>786</v>
      </c>
      <c r="F6296" s="380" t="s">
        <v>792</v>
      </c>
      <c r="G6296" s="380" t="s">
        <v>1267</v>
      </c>
      <c r="H6296" s="380" t="s">
        <v>771</v>
      </c>
      <c r="I6296" s="380" t="s">
        <v>788</v>
      </c>
      <c r="J6296" s="380" t="s">
        <v>773</v>
      </c>
      <c r="K6296" s="381">
        <v>0.0</v>
      </c>
      <c r="L6296" s="382">
        <v>1.0</v>
      </c>
    </row>
    <row r="6297">
      <c r="A6297" s="380" t="s">
        <v>7171</v>
      </c>
      <c r="B6297" s="380" t="str">
        <f>IFERROR(__xludf.DUMMYFUNCTION("""COMPUTED_VALUE"""),"Guaya Selectora Cambio Nkr 8980217002")</f>
        <v>Guaya Selectora Cambio Nkr 8980217002</v>
      </c>
      <c r="C6297" s="380" t="str">
        <f>IFERROR(__xludf.DUMMYFUNCTION("""COMPUTED_VALUE"""),"70001689")</f>
        <v>70001689</v>
      </c>
      <c r="D6297" s="380" t="s">
        <v>767</v>
      </c>
      <c r="E6297" s="380" t="s">
        <v>786</v>
      </c>
      <c r="F6297" s="380" t="s">
        <v>928</v>
      </c>
      <c r="G6297" s="380" t="s">
        <v>1267</v>
      </c>
      <c r="H6297" s="380" t="s">
        <v>771</v>
      </c>
      <c r="I6297" s="380" t="s">
        <v>788</v>
      </c>
      <c r="J6297" s="380" t="s">
        <v>773</v>
      </c>
      <c r="K6297" s="381">
        <v>0.0</v>
      </c>
      <c r="L6297" s="382">
        <v>1.0</v>
      </c>
    </row>
    <row r="6298">
      <c r="A6298" s="380" t="s">
        <v>7172</v>
      </c>
      <c r="B6298" s="380" t="str">
        <f>IFERROR(__xludf.DUMMYFUNCTION("""COMPUTED_VALUE"""),"Resorte Pedal Embrague Nkr 8978532211")</f>
        <v>Resorte Pedal Embrague Nkr 8978532211</v>
      </c>
      <c r="C6298" s="380" t="str">
        <f>IFERROR(__xludf.DUMMYFUNCTION("""COMPUTED_VALUE"""),"70001690")</f>
        <v>70001690</v>
      </c>
      <c r="D6298" s="380" t="s">
        <v>767</v>
      </c>
      <c r="E6298" s="380" t="s">
        <v>786</v>
      </c>
      <c r="F6298" s="380" t="s">
        <v>5661</v>
      </c>
      <c r="G6298" s="380" t="s">
        <v>1267</v>
      </c>
      <c r="H6298" s="380" t="s">
        <v>771</v>
      </c>
      <c r="I6298" s="380" t="s">
        <v>788</v>
      </c>
      <c r="J6298" s="380" t="s">
        <v>773</v>
      </c>
      <c r="K6298" s="381">
        <v>0.0</v>
      </c>
      <c r="L6298" s="382">
        <v>1.0</v>
      </c>
    </row>
    <row r="6299">
      <c r="A6299" s="380" t="s">
        <v>7173</v>
      </c>
      <c r="B6299" s="380" t="str">
        <f>IFERROR(__xludf.DUMMYFUNCTION("""COMPUTED_VALUE"""),"Acople Cono Diferencial Nkr 8944267874")</f>
        <v>Acople Cono Diferencial Nkr 8944267874</v>
      </c>
      <c r="C6299" s="380" t="str">
        <f>IFERROR(__xludf.DUMMYFUNCTION("""COMPUTED_VALUE"""),"70001691")</f>
        <v>70001691</v>
      </c>
      <c r="D6299" s="380" t="s">
        <v>767</v>
      </c>
      <c r="E6299" s="380" t="s">
        <v>786</v>
      </c>
      <c r="F6299" s="380" t="s">
        <v>5683</v>
      </c>
      <c r="G6299" s="380" t="s">
        <v>1267</v>
      </c>
      <c r="H6299" s="380" t="s">
        <v>771</v>
      </c>
      <c r="I6299" s="380" t="s">
        <v>788</v>
      </c>
      <c r="J6299" s="380" t="s">
        <v>773</v>
      </c>
      <c r="K6299" s="381">
        <v>0.0</v>
      </c>
      <c r="L6299" s="382">
        <v>1.0</v>
      </c>
    </row>
    <row r="6300">
      <c r="A6300" s="380" t="s">
        <v>7174</v>
      </c>
      <c r="B6300" s="380" t="str">
        <f>IFERROR(__xludf.DUMMYFUNCTION("""COMPUTED_VALUE"""),"Filtro Aceite Hco Eagle Goby HG971001")</f>
        <v>Filtro Aceite Hco Eagle Goby HG971001</v>
      </c>
      <c r="C6300" s="380" t="str">
        <f>IFERROR(__xludf.DUMMYFUNCTION("""COMPUTED_VALUE"""),"70001692")</f>
        <v>70001692</v>
      </c>
      <c r="D6300" s="380" t="s">
        <v>767</v>
      </c>
      <c r="E6300" s="380" t="s">
        <v>786</v>
      </c>
      <c r="F6300" s="380" t="s">
        <v>5855</v>
      </c>
      <c r="G6300" s="380" t="s">
        <v>1267</v>
      </c>
      <c r="H6300" s="380" t="s">
        <v>771</v>
      </c>
      <c r="I6300" s="380" t="s">
        <v>788</v>
      </c>
      <c r="J6300" s="380" t="s">
        <v>773</v>
      </c>
      <c r="K6300" s="381">
        <v>55865.0</v>
      </c>
      <c r="L6300" s="382">
        <v>1.0</v>
      </c>
    </row>
    <row r="6301">
      <c r="A6301" s="380" t="s">
        <v>7175</v>
      </c>
      <c r="B6301" s="380" t="str">
        <f>IFERROR(__xludf.DUMMYFUNCTION("""COMPUTED_VALUE"""),"Cuerpo Acelerado Nkr 8980400034")</f>
        <v>Cuerpo Acelerado Nkr 8980400034</v>
      </c>
      <c r="C6301" s="380" t="str">
        <f>IFERROR(__xludf.DUMMYFUNCTION("""COMPUTED_VALUE"""),"70001693")</f>
        <v>70001693</v>
      </c>
      <c r="D6301" s="380" t="s">
        <v>767</v>
      </c>
      <c r="E6301" s="380" t="s">
        <v>786</v>
      </c>
      <c r="F6301" s="380" t="s">
        <v>787</v>
      </c>
      <c r="G6301" s="380" t="s">
        <v>1267</v>
      </c>
      <c r="H6301" s="380" t="s">
        <v>771</v>
      </c>
      <c r="I6301" s="380" t="s">
        <v>788</v>
      </c>
      <c r="J6301" s="380" t="s">
        <v>773</v>
      </c>
      <c r="K6301" s="381">
        <v>0.0</v>
      </c>
      <c r="L6301" s="382">
        <v>1.0</v>
      </c>
    </row>
    <row r="6302">
      <c r="A6302" s="380" t="s">
        <v>7176</v>
      </c>
      <c r="B6302" s="380" t="str">
        <f>IFERROR(__xludf.DUMMYFUNCTION("""COMPUTED_VALUE"""),"Conjunto Motor Ventilador N200 5496980")</f>
        <v>Conjunto Motor Ventilador N200 5496980</v>
      </c>
      <c r="C6302" s="380" t="str">
        <f>IFERROR(__xludf.DUMMYFUNCTION("""COMPUTED_VALUE"""),"70001694")</f>
        <v>70001694</v>
      </c>
      <c r="D6302" s="380" t="s">
        <v>767</v>
      </c>
      <c r="E6302" s="380" t="s">
        <v>786</v>
      </c>
      <c r="F6302" s="380" t="s">
        <v>787</v>
      </c>
      <c r="G6302" s="380" t="s">
        <v>1267</v>
      </c>
      <c r="H6302" s="380" t="s">
        <v>771</v>
      </c>
      <c r="I6302" s="380" t="s">
        <v>788</v>
      </c>
      <c r="J6302" s="380" t="s">
        <v>773</v>
      </c>
      <c r="K6302" s="381">
        <v>0.0</v>
      </c>
      <c r="L6302" s="382">
        <v>1.0</v>
      </c>
    </row>
    <row r="6303">
      <c r="A6303" s="380" t="s">
        <v>7177</v>
      </c>
      <c r="B6303" s="380" t="str">
        <f>IFERROR(__xludf.DUMMYFUNCTION("""COMPUTED_VALUE"""),"Zapa Mlle Tras Parte Tras Isx SS0645CHE")</f>
        <v>Zapa Mlle Tras Parte Tras Isx SS0645CHE</v>
      </c>
      <c r="C6303" s="380" t="str">
        <f>IFERROR(__xludf.DUMMYFUNCTION("""COMPUTED_VALUE"""),"70001695")</f>
        <v>70001695</v>
      </c>
      <c r="D6303" s="380" t="s">
        <v>767</v>
      </c>
      <c r="E6303" s="380" t="s">
        <v>786</v>
      </c>
      <c r="F6303" s="380" t="s">
        <v>1039</v>
      </c>
      <c r="G6303" s="380" t="s">
        <v>1267</v>
      </c>
      <c r="H6303" s="380" t="s">
        <v>771</v>
      </c>
      <c r="I6303" s="380" t="s">
        <v>788</v>
      </c>
      <c r="J6303" s="380" t="s">
        <v>773</v>
      </c>
      <c r="K6303" s="381">
        <v>0.0</v>
      </c>
      <c r="L6303" s="382">
        <v>1.0</v>
      </c>
    </row>
    <row r="6304">
      <c r="A6304" s="380" t="s">
        <v>7178</v>
      </c>
      <c r="B6304" s="380" t="str">
        <f>IFERROR(__xludf.DUMMYFUNCTION("""COMPUTED_VALUE"""),"Manguera Mono Ship 32"" Eaton 25674")</f>
        <v>Manguera Mono Ship 32" Eaton 25674</v>
      </c>
      <c r="C6304" s="380" t="str">
        <f>IFERROR(__xludf.DUMMYFUNCTION("""COMPUTED_VALUE"""),"70001696")</f>
        <v>70001696</v>
      </c>
      <c r="D6304" s="380" t="s">
        <v>767</v>
      </c>
      <c r="E6304" s="380" t="s">
        <v>786</v>
      </c>
      <c r="F6304" s="380" t="s">
        <v>928</v>
      </c>
      <c r="G6304" s="380" t="s">
        <v>1267</v>
      </c>
      <c r="H6304" s="380" t="s">
        <v>771</v>
      </c>
      <c r="I6304" s="380" t="s">
        <v>788</v>
      </c>
      <c r="J6304" s="380" t="s">
        <v>773</v>
      </c>
      <c r="K6304" s="381">
        <v>0.0</v>
      </c>
      <c r="L6304" s="382">
        <v>1.0</v>
      </c>
    </row>
    <row r="6305">
      <c r="A6305" s="380" t="s">
        <v>7179</v>
      </c>
      <c r="B6305" s="380" t="str">
        <f>IFERROR(__xludf.DUMMYFUNCTION("""COMPUTED_VALUE"""),"Carcaza Termostato Motor N200 9052872")</f>
        <v>Carcaza Termostato Motor N200 9052872</v>
      </c>
      <c r="C6305" s="380" t="str">
        <f>IFERROR(__xludf.DUMMYFUNCTION("""COMPUTED_VALUE"""),"70001697")</f>
        <v>70001697</v>
      </c>
      <c r="D6305" s="380" t="s">
        <v>767</v>
      </c>
      <c r="E6305" s="380" t="s">
        <v>786</v>
      </c>
      <c r="F6305" s="380" t="s">
        <v>787</v>
      </c>
      <c r="G6305" s="380" t="s">
        <v>1267</v>
      </c>
      <c r="H6305" s="380" t="s">
        <v>771</v>
      </c>
      <c r="I6305" s="380" t="s">
        <v>788</v>
      </c>
      <c r="J6305" s="380" t="s">
        <v>773</v>
      </c>
      <c r="K6305" s="381">
        <v>0.0</v>
      </c>
      <c r="L6305" s="382">
        <v>1.0</v>
      </c>
    </row>
    <row r="6306">
      <c r="A6306" s="380" t="s">
        <v>7180</v>
      </c>
      <c r="B6306" s="380" t="str">
        <f>IFERROR(__xludf.DUMMYFUNCTION("""COMPUTED_VALUE"""),"Pivote Horquilla Embrague Nkr 8970728270")</f>
        <v>Pivote Horquilla Embrague Nkr 8970728270</v>
      </c>
      <c r="C6306" s="380" t="str">
        <f>IFERROR(__xludf.DUMMYFUNCTION("""COMPUTED_VALUE"""),"70001698")</f>
        <v>70001698</v>
      </c>
      <c r="D6306" s="380" t="s">
        <v>767</v>
      </c>
      <c r="E6306" s="380" t="s">
        <v>786</v>
      </c>
      <c r="F6306" s="380" t="s">
        <v>5661</v>
      </c>
      <c r="G6306" s="380" t="s">
        <v>1267</v>
      </c>
      <c r="H6306" s="380" t="s">
        <v>771</v>
      </c>
      <c r="I6306" s="380" t="s">
        <v>788</v>
      </c>
      <c r="J6306" s="380" t="s">
        <v>773</v>
      </c>
      <c r="K6306" s="381">
        <v>0.0</v>
      </c>
      <c r="L6306" s="382">
        <v>1.0</v>
      </c>
    </row>
    <row r="6307">
      <c r="A6307" s="380" t="s">
        <v>7181</v>
      </c>
      <c r="B6307" s="380" t="str">
        <f>IFERROR(__xludf.DUMMYFUNCTION("""COMPUTED_VALUE"""),"Juego Cilindros Puerta Van N200 24547984")</f>
        <v>Juego Cilindros Puerta Van N200 24547984</v>
      </c>
      <c r="C6307" s="380" t="str">
        <f>IFERROR(__xludf.DUMMYFUNCTION("""COMPUTED_VALUE"""),"70001699")</f>
        <v>70001699</v>
      </c>
      <c r="D6307" s="380" t="s">
        <v>767</v>
      </c>
      <c r="E6307" s="380" t="s">
        <v>786</v>
      </c>
      <c r="F6307" s="380" t="s">
        <v>792</v>
      </c>
      <c r="G6307" s="380" t="s">
        <v>1267</v>
      </c>
      <c r="H6307" s="380" t="s">
        <v>771</v>
      </c>
      <c r="I6307" s="380" t="s">
        <v>788</v>
      </c>
      <c r="J6307" s="380" t="s">
        <v>773</v>
      </c>
      <c r="K6307" s="381">
        <v>135360.0</v>
      </c>
      <c r="L6307" s="382">
        <v>1.0</v>
      </c>
    </row>
    <row r="6308">
      <c r="A6308" s="380" t="s">
        <v>7182</v>
      </c>
      <c r="B6308" s="380" t="str">
        <f>IFERROR(__xludf.DUMMYFUNCTION("""COMPUTED_VALUE"""),"Manguera Hidraulica R5 13/32"" Corta")</f>
        <v>Manguera Hidraulica R5 13/32" Corta</v>
      </c>
      <c r="C6308" s="380" t="str">
        <f>IFERROR(__xludf.DUMMYFUNCTION("""COMPUTED_VALUE"""),"70001700")</f>
        <v>70001700</v>
      </c>
      <c r="D6308" s="380" t="s">
        <v>767</v>
      </c>
      <c r="E6308" s="380" t="s">
        <v>786</v>
      </c>
      <c r="F6308" s="380" t="s">
        <v>989</v>
      </c>
      <c r="G6308" s="380" t="s">
        <v>1267</v>
      </c>
      <c r="H6308" s="380" t="s">
        <v>771</v>
      </c>
      <c r="I6308" s="380" t="s">
        <v>788</v>
      </c>
      <c r="J6308" s="380" t="s">
        <v>773</v>
      </c>
      <c r="K6308" s="381">
        <v>0.0</v>
      </c>
      <c r="L6308" s="382">
        <v>1.0</v>
      </c>
    </row>
    <row r="6309">
      <c r="A6309" s="380" t="s">
        <v>7183</v>
      </c>
      <c r="B6309" s="380" t="str">
        <f>IFERROR(__xludf.DUMMYFUNCTION("""COMPUTED_VALUE"""),"Deposito Aceite Hidr Direc Nkr8971079870")</f>
        <v>Deposito Aceite Hidr Direc Nkr8971079870</v>
      </c>
      <c r="C6309" s="380" t="str">
        <f>IFERROR(__xludf.DUMMYFUNCTION("""COMPUTED_VALUE"""),"70001701")</f>
        <v>70001701</v>
      </c>
      <c r="D6309" s="380" t="s">
        <v>767</v>
      </c>
      <c r="E6309" s="380" t="s">
        <v>786</v>
      </c>
      <c r="F6309" s="380" t="s">
        <v>1020</v>
      </c>
      <c r="G6309" s="380" t="s">
        <v>1267</v>
      </c>
      <c r="H6309" s="380" t="s">
        <v>771</v>
      </c>
      <c r="I6309" s="380" t="s">
        <v>788</v>
      </c>
      <c r="J6309" s="380" t="s">
        <v>773</v>
      </c>
      <c r="K6309" s="381">
        <v>0.0</v>
      </c>
      <c r="L6309" s="382">
        <v>1.0</v>
      </c>
    </row>
    <row r="6310">
      <c r="A6310" s="380" t="s">
        <v>7184</v>
      </c>
      <c r="B6310" s="380" t="str">
        <f>IFERROR(__xludf.DUMMYFUNCTION("""COMPUTED_VALUE"""),"Disyuntor 4patas D/Nal 70amp 12V2270 Kw")</f>
        <v>Disyuntor 4patas D/Nal 70amp 12V2270 Kw</v>
      </c>
      <c r="C6310" s="380" t="str">
        <f>IFERROR(__xludf.DUMMYFUNCTION("""COMPUTED_VALUE"""),"70001702")</f>
        <v>70001702</v>
      </c>
      <c r="D6310" s="380" t="s">
        <v>767</v>
      </c>
      <c r="E6310" s="380" t="s">
        <v>786</v>
      </c>
      <c r="F6310" s="380" t="s">
        <v>998</v>
      </c>
      <c r="G6310" s="380" t="s">
        <v>1267</v>
      </c>
      <c r="H6310" s="380" t="s">
        <v>771</v>
      </c>
      <c r="I6310" s="380" t="s">
        <v>788</v>
      </c>
      <c r="J6310" s="380" t="s">
        <v>773</v>
      </c>
      <c r="K6310" s="381">
        <v>0.0</v>
      </c>
      <c r="L6310" s="382">
        <v>1.0</v>
      </c>
    </row>
    <row r="6311">
      <c r="A6311" s="380" t="s">
        <v>7185</v>
      </c>
      <c r="B6311" s="380" t="str">
        <f>IFERROR(__xludf.DUMMYFUNCTION("""COMPUTED_VALUE"""),"Cilindro Freno Trasero Hyundai")</f>
        <v>Cilindro Freno Trasero Hyundai</v>
      </c>
      <c r="C6311" s="380" t="str">
        <f>IFERROR(__xludf.DUMMYFUNCTION("""COMPUTED_VALUE"""),"70001703")</f>
        <v>70001703</v>
      </c>
      <c r="D6311" s="380" t="s">
        <v>767</v>
      </c>
      <c r="E6311" s="380" t="s">
        <v>786</v>
      </c>
      <c r="F6311" s="380" t="s">
        <v>1017</v>
      </c>
      <c r="G6311" s="380" t="s">
        <v>1267</v>
      </c>
      <c r="H6311" s="380" t="s">
        <v>771</v>
      </c>
      <c r="I6311" s="380" t="s">
        <v>788</v>
      </c>
      <c r="J6311" s="380" t="s">
        <v>773</v>
      </c>
      <c r="K6311" s="381">
        <v>0.0</v>
      </c>
      <c r="L6311" s="382">
        <v>1.0</v>
      </c>
    </row>
    <row r="6312">
      <c r="A6312" s="380" t="s">
        <v>7186</v>
      </c>
      <c r="B6312" s="380" t="str">
        <f>IFERROR(__xludf.DUMMYFUNCTION("""COMPUTED_VALUE"""),"Interrup Pedal Freno Nkr-Rewar8980000280")</f>
        <v>Interrup Pedal Freno Nkr-Rewar8980000280</v>
      </c>
      <c r="C6312" s="380" t="str">
        <f>IFERROR(__xludf.DUMMYFUNCTION("""COMPUTED_VALUE"""),"70001704")</f>
        <v>70001704</v>
      </c>
      <c r="D6312" s="380" t="s">
        <v>767</v>
      </c>
      <c r="E6312" s="380" t="s">
        <v>786</v>
      </c>
      <c r="F6312" s="380" t="s">
        <v>998</v>
      </c>
      <c r="G6312" s="380" t="s">
        <v>1267</v>
      </c>
      <c r="H6312" s="380" t="s">
        <v>771</v>
      </c>
      <c r="I6312" s="380" t="s">
        <v>788</v>
      </c>
      <c r="J6312" s="380" t="s">
        <v>773</v>
      </c>
      <c r="K6312" s="381">
        <v>0.0</v>
      </c>
      <c r="L6312" s="382">
        <v>1.0</v>
      </c>
    </row>
    <row r="6313">
      <c r="A6313" s="380" t="s">
        <v>7187</v>
      </c>
      <c r="B6313" s="380" t="str">
        <f>IFERROR(__xludf.DUMMYFUNCTION("""COMPUTED_VALUE"""),"Multiple Admision Nkr II 8971923271")</f>
        <v>Multiple Admision Nkr II 8971923271</v>
      </c>
      <c r="C6313" s="380" t="str">
        <f>IFERROR(__xludf.DUMMYFUNCTION("""COMPUTED_VALUE"""),"70001705")</f>
        <v>70001705</v>
      </c>
      <c r="D6313" s="380" t="s">
        <v>767</v>
      </c>
      <c r="E6313" s="380" t="s">
        <v>786</v>
      </c>
      <c r="F6313" s="380" t="s">
        <v>787</v>
      </c>
      <c r="G6313" s="380" t="s">
        <v>1267</v>
      </c>
      <c r="H6313" s="380" t="s">
        <v>771</v>
      </c>
      <c r="I6313" s="380" t="s">
        <v>788</v>
      </c>
      <c r="J6313" s="380" t="s">
        <v>773</v>
      </c>
      <c r="K6313" s="381">
        <v>0.0</v>
      </c>
      <c r="L6313" s="382">
        <v>1.0</v>
      </c>
    </row>
    <row r="6314">
      <c r="A6314" s="380" t="s">
        <v>7188</v>
      </c>
      <c r="B6314" s="380" t="str">
        <f>IFERROR(__xludf.DUMMYFUNCTION("""COMPUTED_VALUE"""),"Polea Damper Cigüeñal Nkr II 8972042040")</f>
        <v>Polea Damper Cigüeñal Nkr II 8972042040</v>
      </c>
      <c r="C6314" s="380" t="str">
        <f>IFERROR(__xludf.DUMMYFUNCTION("""COMPUTED_VALUE"""),"70001706")</f>
        <v>70001706</v>
      </c>
      <c r="D6314" s="380" t="s">
        <v>767</v>
      </c>
      <c r="E6314" s="380" t="s">
        <v>786</v>
      </c>
      <c r="F6314" s="380" t="s">
        <v>787</v>
      </c>
      <c r="G6314" s="380" t="s">
        <v>1267</v>
      </c>
      <c r="H6314" s="380" t="s">
        <v>771</v>
      </c>
      <c r="I6314" s="380" t="s">
        <v>788</v>
      </c>
      <c r="J6314" s="380" t="s">
        <v>773</v>
      </c>
      <c r="K6314" s="381">
        <v>0.0</v>
      </c>
      <c r="L6314" s="382">
        <v>1.0</v>
      </c>
    </row>
    <row r="6315">
      <c r="A6315" s="380" t="s">
        <v>7189</v>
      </c>
      <c r="B6315" s="380" t="str">
        <f>IFERROR(__xludf.DUMMYFUNCTION("""COMPUTED_VALUE"""),"Kit Buje Leva Trasero Volsw KIT-8042")</f>
        <v>Kit Buje Leva Trasero Volsw KIT-8042</v>
      </c>
      <c r="C6315" s="380" t="str">
        <f>IFERROR(__xludf.DUMMYFUNCTION("""COMPUTED_VALUE"""),"70001707")</f>
        <v>70001707</v>
      </c>
      <c r="D6315" s="380" t="s">
        <v>767</v>
      </c>
      <c r="E6315" s="380" t="s">
        <v>786</v>
      </c>
      <c r="F6315" s="380" t="s">
        <v>928</v>
      </c>
      <c r="G6315" s="380" t="s">
        <v>1267</v>
      </c>
      <c r="H6315" s="380" t="s">
        <v>771</v>
      </c>
      <c r="I6315" s="380" t="s">
        <v>788</v>
      </c>
      <c r="J6315" s="380" t="s">
        <v>773</v>
      </c>
      <c r="K6315" s="381">
        <v>0.0</v>
      </c>
      <c r="L6315" s="382">
        <v>1.0</v>
      </c>
    </row>
    <row r="6316">
      <c r="A6316" s="380" t="s">
        <v>7190</v>
      </c>
      <c r="B6316" s="380" t="str">
        <f>IFERROR(__xludf.DUMMYFUNCTION("""COMPUTED_VALUE"""),"Portadiodo Alternador 33 SI10512371")</f>
        <v>Portadiodo Alternador 33 SI10512371</v>
      </c>
      <c r="C6316" s="380" t="str">
        <f>IFERROR(__xludf.DUMMYFUNCTION("""COMPUTED_VALUE"""),"70001708")</f>
        <v>70001708</v>
      </c>
      <c r="D6316" s="380" t="s">
        <v>767</v>
      </c>
      <c r="E6316" s="380" t="s">
        <v>786</v>
      </c>
      <c r="F6316" s="380" t="s">
        <v>998</v>
      </c>
      <c r="G6316" s="380" t="s">
        <v>1267</v>
      </c>
      <c r="H6316" s="380" t="s">
        <v>771</v>
      </c>
      <c r="I6316" s="380" t="s">
        <v>788</v>
      </c>
      <c r="J6316" s="380" t="s">
        <v>773</v>
      </c>
      <c r="K6316" s="381">
        <v>0.0</v>
      </c>
      <c r="L6316" s="382">
        <v>1.0</v>
      </c>
    </row>
    <row r="6317">
      <c r="A6317" s="380" t="s">
        <v>7191</v>
      </c>
      <c r="B6317" s="380" t="str">
        <f>IFERROR(__xludf.DUMMYFUNCTION("""COMPUTED_VALUE"""),"Piñon Overdrive Tr Fijo 16918 Isx4303666")</f>
        <v>Piñon Overdrive Tr Fijo 16918 Isx4303666</v>
      </c>
      <c r="C6317" s="380" t="str">
        <f>IFERROR(__xludf.DUMMYFUNCTION("""COMPUTED_VALUE"""),"70001709")</f>
        <v>70001709</v>
      </c>
      <c r="D6317" s="380" t="s">
        <v>767</v>
      </c>
      <c r="E6317" s="380" t="s">
        <v>786</v>
      </c>
      <c r="F6317" s="380" t="s">
        <v>928</v>
      </c>
      <c r="G6317" s="380" t="s">
        <v>1267</v>
      </c>
      <c r="H6317" s="380" t="s">
        <v>771</v>
      </c>
      <c r="I6317" s="380" t="s">
        <v>788</v>
      </c>
      <c r="J6317" s="380" t="s">
        <v>773</v>
      </c>
      <c r="K6317" s="381">
        <v>0.0</v>
      </c>
      <c r="L6317" s="382">
        <v>1.0</v>
      </c>
    </row>
    <row r="6318">
      <c r="A6318" s="380" t="s">
        <v>7192</v>
      </c>
      <c r="B6318" s="380" t="str">
        <f>IFERROR(__xludf.DUMMYFUNCTION("""COMPUTED_VALUE"""),"Arandela Caja 16918 Isx 4303185")</f>
        <v>Arandela Caja 16918 Isx 4303185</v>
      </c>
      <c r="C6318" s="380" t="str">
        <f>IFERROR(__xludf.DUMMYFUNCTION("""COMPUTED_VALUE"""),"70001710")</f>
        <v>70001710</v>
      </c>
      <c r="D6318" s="380" t="s">
        <v>767</v>
      </c>
      <c r="E6318" s="380" t="s">
        <v>786</v>
      </c>
      <c r="F6318" s="380" t="s">
        <v>928</v>
      </c>
      <c r="G6318" s="380" t="s">
        <v>1267</v>
      </c>
      <c r="H6318" s="380" t="s">
        <v>771</v>
      </c>
      <c r="I6318" s="380" t="s">
        <v>788</v>
      </c>
      <c r="J6318" s="380" t="s">
        <v>773</v>
      </c>
      <c r="K6318" s="381">
        <v>0.0</v>
      </c>
      <c r="L6318" s="382">
        <v>1.0</v>
      </c>
    </row>
    <row r="6319">
      <c r="A6319" s="380" t="s">
        <v>7193</v>
      </c>
      <c r="B6319" s="380" t="str">
        <f>IFERROR(__xludf.DUMMYFUNCTION("""COMPUTED_VALUE"""),"Manguera Hidraulica R-5 1/2 Corta 1/2""")</f>
        <v>Manguera Hidraulica R-5 1/2 Corta 1/2"</v>
      </c>
      <c r="C6319" s="380" t="str">
        <f>IFERROR(__xludf.DUMMYFUNCTION("""COMPUTED_VALUE"""),"70001711")</f>
        <v>70001711</v>
      </c>
      <c r="D6319" s="380" t="s">
        <v>767</v>
      </c>
      <c r="E6319" s="380" t="s">
        <v>786</v>
      </c>
      <c r="F6319" s="380" t="s">
        <v>989</v>
      </c>
      <c r="G6319" s="380" t="s">
        <v>1267</v>
      </c>
      <c r="H6319" s="380" t="s">
        <v>771</v>
      </c>
      <c r="I6319" s="380" t="s">
        <v>788</v>
      </c>
      <c r="J6319" s="380" t="s">
        <v>773</v>
      </c>
      <c r="K6319" s="381">
        <v>0.0</v>
      </c>
      <c r="L6319" s="382">
        <v>1.0</v>
      </c>
    </row>
    <row r="6320">
      <c r="A6320" s="380" t="s">
        <v>7194</v>
      </c>
      <c r="B6320" s="380" t="str">
        <f>IFERROR(__xludf.DUMMYFUNCTION("""COMPUTED_VALUE"""),"Resorte Valv Pizarra Cja 16918 Isx 21268")</f>
        <v>Resorte Valv Pizarra Cja 16918 Isx 21268</v>
      </c>
      <c r="C6320" s="380" t="str">
        <f>IFERROR(__xludf.DUMMYFUNCTION("""COMPUTED_VALUE"""),"70001712")</f>
        <v>70001712</v>
      </c>
      <c r="D6320" s="380" t="s">
        <v>767</v>
      </c>
      <c r="E6320" s="380" t="s">
        <v>786</v>
      </c>
      <c r="F6320" s="380" t="s">
        <v>928</v>
      </c>
      <c r="G6320" s="380" t="s">
        <v>1267</v>
      </c>
      <c r="H6320" s="380" t="s">
        <v>771</v>
      </c>
      <c r="I6320" s="380" t="s">
        <v>788</v>
      </c>
      <c r="J6320" s="380" t="s">
        <v>773</v>
      </c>
      <c r="K6320" s="381">
        <v>0.0</v>
      </c>
      <c r="L6320" s="382">
        <v>1.0</v>
      </c>
    </row>
    <row r="6321">
      <c r="A6321" s="380" t="s">
        <v>7195</v>
      </c>
      <c r="B6321" s="380" t="str">
        <f>IFERROR(__xludf.DUMMYFUNCTION("""COMPUTED_VALUE"""),"Caucho Aislador Exosto Inf Nkr8944572781")</f>
        <v>Caucho Aislador Exosto Inf Nkr8944572781</v>
      </c>
      <c r="C6321" s="380" t="str">
        <f>IFERROR(__xludf.DUMMYFUNCTION("""COMPUTED_VALUE"""),"70001713")</f>
        <v>70001713</v>
      </c>
      <c r="D6321" s="380" t="s">
        <v>767</v>
      </c>
      <c r="E6321" s="380" t="s">
        <v>786</v>
      </c>
      <c r="F6321" s="380" t="s">
        <v>792</v>
      </c>
      <c r="G6321" s="380" t="s">
        <v>1267</v>
      </c>
      <c r="H6321" s="380" t="s">
        <v>771</v>
      </c>
      <c r="I6321" s="380" t="s">
        <v>788</v>
      </c>
      <c r="J6321" s="380" t="s">
        <v>773</v>
      </c>
      <c r="K6321" s="381">
        <v>0.0</v>
      </c>
      <c r="L6321" s="382">
        <v>1.0</v>
      </c>
    </row>
    <row r="6322">
      <c r="A6322" s="380" t="s">
        <v>7196</v>
      </c>
      <c r="B6322" s="380" t="str">
        <f>IFERROR(__xludf.DUMMYFUNCTION("""COMPUTED_VALUE"""),"Buje Barra Torsion Eagle Isx HD44697000")</f>
        <v>Buje Barra Torsion Eagle Isx HD44697000</v>
      </c>
      <c r="C6322" s="380" t="str">
        <f>IFERROR(__xludf.DUMMYFUNCTION("""COMPUTED_VALUE"""),"70001714")</f>
        <v>70001714</v>
      </c>
      <c r="D6322" s="380" t="s">
        <v>767</v>
      </c>
      <c r="E6322" s="380" t="s">
        <v>786</v>
      </c>
      <c r="F6322" s="380" t="s">
        <v>1039</v>
      </c>
      <c r="G6322" s="380" t="s">
        <v>1267</v>
      </c>
      <c r="H6322" s="380" t="s">
        <v>771</v>
      </c>
      <c r="I6322" s="380" t="s">
        <v>788</v>
      </c>
      <c r="J6322" s="380" t="s">
        <v>773</v>
      </c>
      <c r="K6322" s="381">
        <v>0.0</v>
      </c>
      <c r="L6322" s="382">
        <v>1.0</v>
      </c>
    </row>
    <row r="6323">
      <c r="A6323" s="380" t="s">
        <v>7197</v>
      </c>
      <c r="B6323" s="380" t="str">
        <f>IFERROR(__xludf.DUMMYFUNCTION("""COMPUTED_VALUE"""),"Automatico Motor Arranqu Nkr-Nhr MAAU016")</f>
        <v>Automatico Motor Arranqu Nkr-Nhr MAAU016</v>
      </c>
      <c r="C6323" s="380" t="str">
        <f>IFERROR(__xludf.DUMMYFUNCTION("""COMPUTED_VALUE"""),"70001716")</f>
        <v>70001716</v>
      </c>
      <c r="D6323" s="380" t="s">
        <v>767</v>
      </c>
      <c r="E6323" s="380" t="s">
        <v>786</v>
      </c>
      <c r="F6323" s="380" t="s">
        <v>998</v>
      </c>
      <c r="G6323" s="380" t="s">
        <v>1267</v>
      </c>
      <c r="H6323" s="380" t="s">
        <v>771</v>
      </c>
      <c r="I6323" s="380" t="s">
        <v>788</v>
      </c>
      <c r="J6323" s="380" t="s">
        <v>773</v>
      </c>
      <c r="K6323" s="381">
        <v>0.0</v>
      </c>
      <c r="L6323" s="382">
        <v>1.0</v>
      </c>
    </row>
    <row r="6324">
      <c r="A6324" s="380" t="s">
        <v>7198</v>
      </c>
      <c r="B6324" s="380" t="str">
        <f>IFERROR(__xludf.DUMMYFUNCTION("""COMPUTED_VALUE"""),"Manguera Aire Freno 3/8 Trailer 13/13""")</f>
        <v>Manguera Aire Freno 3/8 Trailer 13/13"</v>
      </c>
      <c r="C6324" s="380" t="str">
        <f>IFERROR(__xludf.DUMMYFUNCTION("""COMPUTED_VALUE"""),"70001717")</f>
        <v>70001717</v>
      </c>
      <c r="D6324" s="380" t="s">
        <v>767</v>
      </c>
      <c r="E6324" s="380" t="s">
        <v>786</v>
      </c>
      <c r="F6324" s="380" t="s">
        <v>1017</v>
      </c>
      <c r="G6324" s="380" t="s">
        <v>1267</v>
      </c>
      <c r="H6324" s="380" t="s">
        <v>771</v>
      </c>
      <c r="I6324" s="380" t="s">
        <v>788</v>
      </c>
      <c r="J6324" s="380" t="s">
        <v>773</v>
      </c>
      <c r="K6324" s="381">
        <v>0.0</v>
      </c>
      <c r="L6324" s="382">
        <v>1.0</v>
      </c>
    </row>
    <row r="6325">
      <c r="A6325" s="380" t="s">
        <v>7199</v>
      </c>
      <c r="B6325" s="380" t="str">
        <f>IFERROR(__xludf.DUMMYFUNCTION("""COMPUTED_VALUE"""),"Hoja Resorte Delantera Delta 07078-1")</f>
        <v>Hoja Resorte Delantera Delta 07078-1</v>
      </c>
      <c r="C6325" s="380" t="str">
        <f>IFERROR(__xludf.DUMMYFUNCTION("""COMPUTED_VALUE"""),"70001718")</f>
        <v>70001718</v>
      </c>
      <c r="D6325" s="380" t="s">
        <v>767</v>
      </c>
      <c r="E6325" s="380" t="s">
        <v>786</v>
      </c>
      <c r="F6325" s="380" t="s">
        <v>1039</v>
      </c>
      <c r="G6325" s="380" t="s">
        <v>1267</v>
      </c>
      <c r="H6325" s="380" t="s">
        <v>771</v>
      </c>
      <c r="I6325" s="380" t="s">
        <v>788</v>
      </c>
      <c r="J6325" s="380" t="s">
        <v>773</v>
      </c>
      <c r="K6325" s="381">
        <v>0.0</v>
      </c>
      <c r="L6325" s="382">
        <v>1.0</v>
      </c>
    </row>
    <row r="6326">
      <c r="A6326" s="380" t="s">
        <v>7200</v>
      </c>
      <c r="B6326" s="380" t="str">
        <f>IFERROR(__xludf.DUMMYFUNCTION("""COMPUTED_VALUE"""),"Bocin Rueda Del Nkr Rewar 8943654590")</f>
        <v>Bocin Rueda Del Nkr Rewar 8943654590</v>
      </c>
      <c r="C6326" s="380" t="str">
        <f>IFERROR(__xludf.DUMMYFUNCTION("""COMPUTED_VALUE"""),"70001719")</f>
        <v>70001719</v>
      </c>
      <c r="D6326" s="380" t="s">
        <v>767</v>
      </c>
      <c r="E6326" s="380" t="s">
        <v>786</v>
      </c>
      <c r="F6326" s="380" t="s">
        <v>1017</v>
      </c>
      <c r="G6326" s="380" t="s">
        <v>1267</v>
      </c>
      <c r="H6326" s="380" t="s">
        <v>771</v>
      </c>
      <c r="I6326" s="380" t="s">
        <v>788</v>
      </c>
      <c r="J6326" s="380" t="s">
        <v>773</v>
      </c>
      <c r="K6326" s="381">
        <v>0.0</v>
      </c>
      <c r="L6326" s="382">
        <v>1.0</v>
      </c>
    </row>
    <row r="6327">
      <c r="A6327" s="380" t="s">
        <v>7201</v>
      </c>
      <c r="B6327" s="380" t="str">
        <f>IFERROR(__xludf.DUMMYFUNCTION("""COMPUTED_VALUE"""),"Exosto Nkr Rewar 8972549790")</f>
        <v>Exosto Nkr Rewar 8972549790</v>
      </c>
      <c r="C6327" s="380" t="str">
        <f>IFERROR(__xludf.DUMMYFUNCTION("""COMPUTED_VALUE"""),"70001720")</f>
        <v>70001720</v>
      </c>
      <c r="D6327" s="380" t="s">
        <v>767</v>
      </c>
      <c r="E6327" s="380" t="s">
        <v>786</v>
      </c>
      <c r="F6327" s="380" t="s">
        <v>787</v>
      </c>
      <c r="G6327" s="380" t="s">
        <v>1267</v>
      </c>
      <c r="H6327" s="380" t="s">
        <v>771</v>
      </c>
      <c r="I6327" s="380" t="s">
        <v>788</v>
      </c>
      <c r="J6327" s="380" t="s">
        <v>773</v>
      </c>
      <c r="K6327" s="381">
        <v>0.0</v>
      </c>
      <c r="L6327" s="382">
        <v>1.0</v>
      </c>
    </row>
    <row r="6328">
      <c r="A6328" s="380" t="s">
        <v>7202</v>
      </c>
      <c r="B6328" s="380" t="str">
        <f>IFERROR(__xludf.DUMMYFUNCTION("""COMPUTED_VALUE"""),"Camara Freno Ahogo Motor Nkr Rew 07078-1")</f>
        <v>Camara Freno Ahogo Motor Nkr Rew 07078-1</v>
      </c>
      <c r="C6328" s="380" t="str">
        <f>IFERROR(__xludf.DUMMYFUNCTION("""COMPUTED_VALUE"""),"70001721")</f>
        <v>70001721</v>
      </c>
      <c r="D6328" s="380" t="s">
        <v>767</v>
      </c>
      <c r="E6328" s="380" t="s">
        <v>786</v>
      </c>
      <c r="F6328" s="380" t="s">
        <v>1017</v>
      </c>
      <c r="G6328" s="380" t="s">
        <v>1267</v>
      </c>
      <c r="H6328" s="380" t="s">
        <v>771</v>
      </c>
      <c r="I6328" s="380" t="s">
        <v>788</v>
      </c>
      <c r="J6328" s="380" t="s">
        <v>773</v>
      </c>
      <c r="K6328" s="381">
        <v>0.0</v>
      </c>
      <c r="L6328" s="382">
        <v>1.0</v>
      </c>
    </row>
    <row r="6329">
      <c r="A6329" s="380" t="s">
        <v>7203</v>
      </c>
      <c r="B6329" s="380" t="str">
        <f>IFERROR(__xludf.DUMMYFUNCTION("""COMPUTED_VALUE"""),"Soporte Filtro Aire Nkr Rewar 8971071390")</f>
        <v>Soporte Filtro Aire Nkr Rewar 8971071390</v>
      </c>
      <c r="C6329" s="380" t="str">
        <f>IFERROR(__xludf.DUMMYFUNCTION("""COMPUTED_VALUE"""),"70001722")</f>
        <v>70001722</v>
      </c>
      <c r="D6329" s="380" t="s">
        <v>767</v>
      </c>
      <c r="E6329" s="380" t="s">
        <v>786</v>
      </c>
      <c r="F6329" s="380" t="s">
        <v>792</v>
      </c>
      <c r="G6329" s="380" t="s">
        <v>1267</v>
      </c>
      <c r="H6329" s="380" t="s">
        <v>771</v>
      </c>
      <c r="I6329" s="380" t="s">
        <v>788</v>
      </c>
      <c r="J6329" s="380" t="s">
        <v>773</v>
      </c>
      <c r="K6329" s="381">
        <v>0.0</v>
      </c>
      <c r="L6329" s="382">
        <v>1.0</v>
      </c>
    </row>
    <row r="6330">
      <c r="A6330" s="380" t="s">
        <v>7204</v>
      </c>
      <c r="B6330" s="380" t="str">
        <f>IFERROR(__xludf.DUMMYFUNCTION("""COMPUTED_VALUE"""),"Talco Stop Tricolor Nkr (SJ410) 12181905")</f>
        <v>Talco Stop Tricolor Nkr (SJ410) 12181905</v>
      </c>
      <c r="C6330" s="380" t="str">
        <f>IFERROR(__xludf.DUMMYFUNCTION("""COMPUTED_VALUE"""),"70001723")</f>
        <v>70001723</v>
      </c>
      <c r="D6330" s="380" t="s">
        <v>767</v>
      </c>
      <c r="E6330" s="380" t="s">
        <v>786</v>
      </c>
      <c r="F6330" s="380" t="s">
        <v>792</v>
      </c>
      <c r="G6330" s="380" t="s">
        <v>1267</v>
      </c>
      <c r="H6330" s="380" t="s">
        <v>771</v>
      </c>
      <c r="I6330" s="380" t="s">
        <v>788</v>
      </c>
      <c r="J6330" s="380" t="s">
        <v>773</v>
      </c>
      <c r="K6330" s="381">
        <v>0.0</v>
      </c>
      <c r="L6330" s="382">
        <v>1.0</v>
      </c>
    </row>
    <row r="6331">
      <c r="A6331" s="380" t="s">
        <v>7205</v>
      </c>
      <c r="B6331" s="380" t="str">
        <f>IFERROR(__xludf.DUMMYFUNCTION("""COMPUTED_VALUE"""),"Soporte Guia Capot Isx 3560567C3")</f>
        <v>Soporte Guia Capot Isx 3560567C3</v>
      </c>
      <c r="C6331" s="380" t="str">
        <f>IFERROR(__xludf.DUMMYFUNCTION("""COMPUTED_VALUE"""),"70001724")</f>
        <v>70001724</v>
      </c>
      <c r="D6331" s="380" t="s">
        <v>767</v>
      </c>
      <c r="E6331" s="380" t="s">
        <v>786</v>
      </c>
      <c r="F6331" s="380" t="s">
        <v>792</v>
      </c>
      <c r="G6331" s="380" t="s">
        <v>1267</v>
      </c>
      <c r="H6331" s="380" t="s">
        <v>771</v>
      </c>
      <c r="I6331" s="380" t="s">
        <v>788</v>
      </c>
      <c r="J6331" s="380" t="s">
        <v>773</v>
      </c>
      <c r="K6331" s="381">
        <v>0.0</v>
      </c>
      <c r="L6331" s="382">
        <v>1.0</v>
      </c>
    </row>
    <row r="6332">
      <c r="A6332" s="380" t="s">
        <v>7206</v>
      </c>
      <c r="B6332" s="380" t="str">
        <f>IFERROR(__xludf.DUMMYFUNCTION("""COMPUTED_VALUE"""),"Cilin Fre Del Der C.Purga Hino4751036170")</f>
        <v>Cilin Fre Del Der C.Purga Hino4751036170</v>
      </c>
      <c r="C6332" s="380" t="str">
        <f>IFERROR(__xludf.DUMMYFUNCTION("""COMPUTED_VALUE"""),"70001725")</f>
        <v>70001725</v>
      </c>
      <c r="D6332" s="380" t="s">
        <v>767</v>
      </c>
      <c r="E6332" s="380" t="s">
        <v>786</v>
      </c>
      <c r="F6332" s="380" t="s">
        <v>1017</v>
      </c>
      <c r="G6332" s="380" t="s">
        <v>1267</v>
      </c>
      <c r="H6332" s="380" t="s">
        <v>771</v>
      </c>
      <c r="I6332" s="380" t="s">
        <v>788</v>
      </c>
      <c r="J6332" s="380" t="s">
        <v>773</v>
      </c>
      <c r="K6332" s="381">
        <v>0.0</v>
      </c>
      <c r="L6332" s="382">
        <v>1.0</v>
      </c>
    </row>
    <row r="6333">
      <c r="A6333" s="380" t="s">
        <v>7207</v>
      </c>
      <c r="B6333" s="380" t="str">
        <f>IFERROR(__xludf.DUMMYFUNCTION("""COMPUTED_VALUE"""),"Cilin Fre Del Der S.Purga Hino4752036180")</f>
        <v>Cilin Fre Del Der S.Purga Hino4752036180</v>
      </c>
      <c r="C6333" s="380" t="str">
        <f>IFERROR(__xludf.DUMMYFUNCTION("""COMPUTED_VALUE"""),"70001726")</f>
        <v>70001726</v>
      </c>
      <c r="D6333" s="380" t="s">
        <v>767</v>
      </c>
      <c r="E6333" s="380" t="s">
        <v>786</v>
      </c>
      <c r="F6333" s="380" t="s">
        <v>1017</v>
      </c>
      <c r="G6333" s="380" t="s">
        <v>1267</v>
      </c>
      <c r="H6333" s="380" t="s">
        <v>771</v>
      </c>
      <c r="I6333" s="380" t="s">
        <v>788</v>
      </c>
      <c r="J6333" s="380" t="s">
        <v>773</v>
      </c>
      <c r="K6333" s="381">
        <v>0.0</v>
      </c>
      <c r="L6333" s="382">
        <v>1.0</v>
      </c>
    </row>
    <row r="6334">
      <c r="A6334" s="380" t="s">
        <v>7208</v>
      </c>
      <c r="B6334" s="380" t="str">
        <f>IFERROR(__xludf.DUMMYFUNCTION("""COMPUTED_VALUE"""),"Empaque Multiple Admision N200 9052825")</f>
        <v>Empaque Multiple Admision N200 9052825</v>
      </c>
      <c r="C6334" s="380" t="str">
        <f>IFERROR(__xludf.DUMMYFUNCTION("""COMPUTED_VALUE"""),"70001727")</f>
        <v>70001727</v>
      </c>
      <c r="D6334" s="380" t="s">
        <v>767</v>
      </c>
      <c r="E6334" s="380" t="s">
        <v>786</v>
      </c>
      <c r="F6334" s="380" t="s">
        <v>787</v>
      </c>
      <c r="G6334" s="380" t="s">
        <v>1267</v>
      </c>
      <c r="H6334" s="380" t="s">
        <v>771</v>
      </c>
      <c r="I6334" s="380" t="s">
        <v>788</v>
      </c>
      <c r="J6334" s="380" t="s">
        <v>773</v>
      </c>
      <c r="K6334" s="381">
        <v>0.0</v>
      </c>
      <c r="L6334" s="382">
        <v>1.0</v>
      </c>
    </row>
    <row r="6335">
      <c r="A6335" s="380" t="s">
        <v>7209</v>
      </c>
      <c r="B6335" s="380" t="str">
        <f>IFERROR(__xludf.DUMMYFUNCTION("""COMPUTED_VALUE"""),"Manguera Bypass Motor N200 24527700")</f>
        <v>Manguera Bypass Motor N200 24527700</v>
      </c>
      <c r="C6335" s="380" t="str">
        <f>IFERROR(__xludf.DUMMYFUNCTION("""COMPUTED_VALUE"""),"70001728")</f>
        <v>70001728</v>
      </c>
      <c r="D6335" s="380" t="s">
        <v>767</v>
      </c>
      <c r="E6335" s="380" t="s">
        <v>786</v>
      </c>
      <c r="F6335" s="380" t="s">
        <v>787</v>
      </c>
      <c r="G6335" s="380" t="s">
        <v>1267</v>
      </c>
      <c r="H6335" s="380" t="s">
        <v>771</v>
      </c>
      <c r="I6335" s="380" t="s">
        <v>788</v>
      </c>
      <c r="J6335" s="380" t="s">
        <v>773</v>
      </c>
      <c r="K6335" s="381">
        <v>0.0</v>
      </c>
      <c r="L6335" s="382">
        <v>1.0</v>
      </c>
    </row>
    <row r="6336">
      <c r="A6336" s="380" t="s">
        <v>7210</v>
      </c>
      <c r="B6336" s="380" t="str">
        <f>IFERROR(__xludf.DUMMYFUNCTION("""COMPUTED_VALUE"""),"Pasador Trapecio Embrague Isx 2005334C1")</f>
        <v>Pasador Trapecio Embrague Isx 2005334C1</v>
      </c>
      <c r="C6336" s="380" t="str">
        <f>IFERROR(__xludf.DUMMYFUNCTION("""COMPUTED_VALUE"""),"70001730")</f>
        <v>70001730</v>
      </c>
      <c r="D6336" s="380" t="s">
        <v>767</v>
      </c>
      <c r="E6336" s="380" t="s">
        <v>786</v>
      </c>
      <c r="F6336" s="380" t="s">
        <v>5661</v>
      </c>
      <c r="G6336" s="380" t="s">
        <v>1267</v>
      </c>
      <c r="H6336" s="380" t="s">
        <v>771</v>
      </c>
      <c r="I6336" s="380" t="s">
        <v>788</v>
      </c>
      <c r="J6336" s="380" t="s">
        <v>773</v>
      </c>
      <c r="K6336" s="381">
        <v>177667.0</v>
      </c>
      <c r="L6336" s="382">
        <v>1.0</v>
      </c>
    </row>
    <row r="6337">
      <c r="A6337" s="380" t="s">
        <v>7211</v>
      </c>
      <c r="B6337" s="380" t="str">
        <f>IFERROR(__xludf.DUMMYFUNCTION("""COMPUTED_VALUE"""),"Tubo Abatible Cabina Nkr III 8973284851")</f>
        <v>Tubo Abatible Cabina Nkr III 8973284851</v>
      </c>
      <c r="C6337" s="380" t="str">
        <f>IFERROR(__xludf.DUMMYFUNCTION("""COMPUTED_VALUE"""),"70001731")</f>
        <v>70001731</v>
      </c>
      <c r="D6337" s="380" t="s">
        <v>767</v>
      </c>
      <c r="E6337" s="380" t="s">
        <v>786</v>
      </c>
      <c r="F6337" s="380" t="s">
        <v>792</v>
      </c>
      <c r="G6337" s="380" t="s">
        <v>1267</v>
      </c>
      <c r="H6337" s="380" t="s">
        <v>771</v>
      </c>
      <c r="I6337" s="380" t="s">
        <v>788</v>
      </c>
      <c r="J6337" s="380" t="s">
        <v>773</v>
      </c>
      <c r="K6337" s="381">
        <v>0.0</v>
      </c>
      <c r="L6337" s="382">
        <v>1.0</v>
      </c>
    </row>
    <row r="6338">
      <c r="A6338" s="380" t="s">
        <v>7212</v>
      </c>
      <c r="B6338" s="380" t="str">
        <f>IFERROR(__xludf.DUMMYFUNCTION("""COMPUTED_VALUE"""),"Caña Terminal Direccion Nkr 8971420230")</f>
        <v>Caña Terminal Direccion Nkr 8971420230</v>
      </c>
      <c r="C6338" s="380" t="str">
        <f>IFERROR(__xludf.DUMMYFUNCTION("""COMPUTED_VALUE"""),"70001732")</f>
        <v>70001732</v>
      </c>
      <c r="D6338" s="380" t="s">
        <v>767</v>
      </c>
      <c r="E6338" s="380" t="s">
        <v>786</v>
      </c>
      <c r="F6338" s="380" t="s">
        <v>1020</v>
      </c>
      <c r="G6338" s="380" t="s">
        <v>1267</v>
      </c>
      <c r="H6338" s="380" t="s">
        <v>771</v>
      </c>
      <c r="I6338" s="380" t="s">
        <v>788</v>
      </c>
      <c r="J6338" s="380" t="s">
        <v>773</v>
      </c>
      <c r="K6338" s="381">
        <v>0.0</v>
      </c>
      <c r="L6338" s="382">
        <v>1.0</v>
      </c>
    </row>
    <row r="6339">
      <c r="A6339" s="380" t="s">
        <v>7213</v>
      </c>
      <c r="B6339" s="380" t="str">
        <f>IFERROR(__xludf.DUMMYFUNCTION("""COMPUTED_VALUE"""),"Tanque Vacio Freno Nkr III 8971298871")</f>
        <v>Tanque Vacio Freno Nkr III 8971298871</v>
      </c>
      <c r="C6339" s="380" t="str">
        <f>IFERROR(__xludf.DUMMYFUNCTION("""COMPUTED_VALUE"""),"70001734")</f>
        <v>70001734</v>
      </c>
      <c r="D6339" s="380" t="s">
        <v>767</v>
      </c>
      <c r="E6339" s="380" t="s">
        <v>786</v>
      </c>
      <c r="F6339" s="380" t="s">
        <v>1017</v>
      </c>
      <c r="G6339" s="380" t="s">
        <v>1267</v>
      </c>
      <c r="H6339" s="380" t="s">
        <v>771</v>
      </c>
      <c r="I6339" s="380" t="s">
        <v>788</v>
      </c>
      <c r="J6339" s="380" t="s">
        <v>773</v>
      </c>
      <c r="K6339" s="381">
        <v>0.0</v>
      </c>
      <c r="L6339" s="382">
        <v>1.0</v>
      </c>
    </row>
    <row r="6340">
      <c r="A6340" s="380" t="s">
        <v>7214</v>
      </c>
      <c r="B6340" s="380" t="str">
        <f>IFERROR(__xludf.DUMMYFUNCTION("""COMPUTED_VALUE"""),"Gancho Riel Compuerta Contenedor 80023")</f>
        <v>Gancho Riel Compuerta Contenedor 80023</v>
      </c>
      <c r="C6340" s="380" t="str">
        <f>IFERROR(__xludf.DUMMYFUNCTION("""COMPUTED_VALUE"""),"70001735")</f>
        <v>70001735</v>
      </c>
      <c r="D6340" s="380" t="s">
        <v>767</v>
      </c>
      <c r="E6340" s="380" t="s">
        <v>786</v>
      </c>
      <c r="F6340" s="380" t="s">
        <v>792</v>
      </c>
      <c r="G6340" s="380" t="s">
        <v>1267</v>
      </c>
      <c r="H6340" s="380" t="s">
        <v>771</v>
      </c>
      <c r="I6340" s="380" t="s">
        <v>788</v>
      </c>
      <c r="J6340" s="380" t="s">
        <v>773</v>
      </c>
      <c r="K6340" s="381">
        <v>0.0</v>
      </c>
      <c r="L6340" s="382">
        <v>1.0</v>
      </c>
    </row>
    <row r="6341">
      <c r="A6341" s="380" t="s">
        <v>7215</v>
      </c>
      <c r="B6341" s="380" t="str">
        <f>IFERROR(__xludf.DUMMYFUNCTION("""COMPUTED_VALUE"""),"Cardan Nkr III 2010 Largo 8972116610")</f>
        <v>Cardan Nkr III 2010 Largo 8972116610</v>
      </c>
      <c r="C6341" s="380" t="str">
        <f>IFERROR(__xludf.DUMMYFUNCTION("""COMPUTED_VALUE"""),"70001736")</f>
        <v>70001736</v>
      </c>
      <c r="D6341" s="380" t="s">
        <v>767</v>
      </c>
      <c r="E6341" s="380" t="s">
        <v>786</v>
      </c>
      <c r="F6341" s="380" t="s">
        <v>5683</v>
      </c>
      <c r="G6341" s="380" t="s">
        <v>1267</v>
      </c>
      <c r="H6341" s="380" t="s">
        <v>771</v>
      </c>
      <c r="I6341" s="380" t="s">
        <v>788</v>
      </c>
      <c r="J6341" s="380" t="s">
        <v>773</v>
      </c>
      <c r="K6341" s="381">
        <v>0.0</v>
      </c>
      <c r="L6341" s="382">
        <v>1.0</v>
      </c>
    </row>
    <row r="6342">
      <c r="A6342" s="380" t="s">
        <v>7216</v>
      </c>
      <c r="B6342" s="380" t="str">
        <f>IFERROR(__xludf.DUMMYFUNCTION("""COMPUTED_VALUE"""),"Soporte Tanque Comb Largo Isx 3525130C5")</f>
        <v>Soporte Tanque Comb Largo Isx 3525130C5</v>
      </c>
      <c r="C6342" s="380" t="str">
        <f>IFERROR(__xludf.DUMMYFUNCTION("""COMPUTED_VALUE"""),"70001737")</f>
        <v>70001737</v>
      </c>
      <c r="D6342" s="380" t="s">
        <v>767</v>
      </c>
      <c r="E6342" s="380" t="s">
        <v>786</v>
      </c>
      <c r="F6342" s="380" t="s">
        <v>792</v>
      </c>
      <c r="G6342" s="380" t="s">
        <v>1267</v>
      </c>
      <c r="H6342" s="380" t="s">
        <v>771</v>
      </c>
      <c r="I6342" s="380" t="s">
        <v>788</v>
      </c>
      <c r="J6342" s="380" t="s">
        <v>773</v>
      </c>
      <c r="K6342" s="381">
        <v>0.0</v>
      </c>
      <c r="L6342" s="382">
        <v>1.0</v>
      </c>
    </row>
    <row r="6343">
      <c r="A6343" s="380" t="s">
        <v>7217</v>
      </c>
      <c r="B6343" s="380" t="str">
        <f>IFERROR(__xludf.DUMMYFUNCTION("""COMPUTED_VALUE"""),"Soporte Tanque Combustible Isx 3524666C3")</f>
        <v>Soporte Tanque Combustible Isx 3524666C3</v>
      </c>
      <c r="C6343" s="380" t="str">
        <f>IFERROR(__xludf.DUMMYFUNCTION("""COMPUTED_VALUE"""),"70001738")</f>
        <v>70001738</v>
      </c>
      <c r="D6343" s="380" t="s">
        <v>767</v>
      </c>
      <c r="E6343" s="380" t="s">
        <v>786</v>
      </c>
      <c r="F6343" s="380" t="s">
        <v>792</v>
      </c>
      <c r="G6343" s="380" t="s">
        <v>1267</v>
      </c>
      <c r="H6343" s="380" t="s">
        <v>771</v>
      </c>
      <c r="I6343" s="380" t="s">
        <v>788</v>
      </c>
      <c r="J6343" s="380" t="s">
        <v>773</v>
      </c>
      <c r="K6343" s="381">
        <v>779926.0</v>
      </c>
      <c r="L6343" s="382">
        <v>1.0</v>
      </c>
    </row>
    <row r="6344">
      <c r="A6344" s="380" t="s">
        <v>7218</v>
      </c>
      <c r="B6344" s="380" t="str">
        <f>IFERROR(__xludf.DUMMYFUNCTION("""COMPUTED_VALUE"""),"Soporte Tanque Comb Redondo Isx3524670C3")</f>
        <v>Soporte Tanque Comb Redondo Isx3524670C3</v>
      </c>
      <c r="C6344" s="380" t="str">
        <f>IFERROR(__xludf.DUMMYFUNCTION("""COMPUTED_VALUE"""),"70001739")</f>
        <v>70001739</v>
      </c>
      <c r="D6344" s="380" t="s">
        <v>767</v>
      </c>
      <c r="E6344" s="380" t="s">
        <v>786</v>
      </c>
      <c r="F6344" s="380" t="s">
        <v>792</v>
      </c>
      <c r="G6344" s="380" t="s">
        <v>1267</v>
      </c>
      <c r="H6344" s="380" t="s">
        <v>771</v>
      </c>
      <c r="I6344" s="380" t="s">
        <v>788</v>
      </c>
      <c r="J6344" s="380" t="s">
        <v>773</v>
      </c>
      <c r="K6344" s="381">
        <v>0.0</v>
      </c>
      <c r="L6344" s="382">
        <v>1.0</v>
      </c>
    </row>
    <row r="6345">
      <c r="A6345" s="380" t="s">
        <v>7219</v>
      </c>
      <c r="B6345" s="380" t="str">
        <f>IFERROR(__xludf.DUMMYFUNCTION("""COMPUTED_VALUE"""),"Flang Card Eag 6.5-4-2711-1XR 3595283C91")</f>
        <v>Flang Card Eag 6.5-4-2711-1XR 3595283C91</v>
      </c>
      <c r="C6345" s="380" t="str">
        <f>IFERROR(__xludf.DUMMYFUNCTION("""COMPUTED_VALUE"""),"70001740")</f>
        <v>70001740</v>
      </c>
      <c r="D6345" s="380" t="s">
        <v>767</v>
      </c>
      <c r="E6345" s="380" t="s">
        <v>786</v>
      </c>
      <c r="F6345" s="380" t="s">
        <v>5683</v>
      </c>
      <c r="G6345" s="380" t="s">
        <v>1267</v>
      </c>
      <c r="H6345" s="380" t="s">
        <v>771</v>
      </c>
      <c r="I6345" s="380" t="s">
        <v>788</v>
      </c>
      <c r="J6345" s="380" t="s">
        <v>773</v>
      </c>
      <c r="K6345" s="381">
        <v>0.0</v>
      </c>
      <c r="L6345" s="382">
        <v>1.0</v>
      </c>
    </row>
    <row r="6346">
      <c r="A6346" s="380" t="s">
        <v>7220</v>
      </c>
      <c r="B6346" s="380" t="str">
        <f>IFERROR(__xludf.DUMMYFUNCTION("""COMPUTED_VALUE"""),"Kit Tuerca Arandela Difer Eagle KIT2638")</f>
        <v>Kit Tuerca Arandela Difer Eagle KIT2638</v>
      </c>
      <c r="C6346" s="380" t="str">
        <f>IFERROR(__xludf.DUMMYFUNCTION("""COMPUTED_VALUE"""),"70001741")</f>
        <v>70001741</v>
      </c>
      <c r="D6346" s="380" t="s">
        <v>767</v>
      </c>
      <c r="E6346" s="380" t="s">
        <v>786</v>
      </c>
      <c r="F6346" s="380" t="s">
        <v>5683</v>
      </c>
      <c r="G6346" s="380" t="s">
        <v>1267</v>
      </c>
      <c r="H6346" s="380" t="s">
        <v>771</v>
      </c>
      <c r="I6346" s="380" t="s">
        <v>788</v>
      </c>
      <c r="J6346" s="380" t="s">
        <v>773</v>
      </c>
      <c r="K6346" s="381">
        <v>0.0</v>
      </c>
      <c r="L6346" s="382">
        <v>1.0</v>
      </c>
    </row>
    <row r="6347">
      <c r="A6347" s="380" t="s">
        <v>7221</v>
      </c>
      <c r="B6347" s="380" t="str">
        <f>IFERROR(__xludf.DUMMYFUNCTION("""COMPUTED_VALUE"""),"Reten Divisor Difer Eagle Isx A11205X272")</f>
        <v>Reten Divisor Difer Eagle Isx A11205X272</v>
      </c>
      <c r="C6347" s="380" t="str">
        <f>IFERROR(__xludf.DUMMYFUNCTION("""COMPUTED_VALUE"""),"70001742")</f>
        <v>70001742</v>
      </c>
      <c r="D6347" s="380" t="s">
        <v>767</v>
      </c>
      <c r="E6347" s="380" t="s">
        <v>786</v>
      </c>
      <c r="F6347" s="380" t="s">
        <v>5683</v>
      </c>
      <c r="G6347" s="380" t="s">
        <v>1267</v>
      </c>
      <c r="H6347" s="380" t="s">
        <v>771</v>
      </c>
      <c r="I6347" s="380" t="s">
        <v>788</v>
      </c>
      <c r="J6347" s="380" t="s">
        <v>773</v>
      </c>
      <c r="K6347" s="381">
        <v>0.0</v>
      </c>
      <c r="L6347" s="382">
        <v>1.0</v>
      </c>
    </row>
    <row r="6348">
      <c r="A6348" s="380" t="s">
        <v>7222</v>
      </c>
      <c r="B6348" s="380" t="str">
        <f>IFERROR(__xludf.DUMMYFUNCTION("""COMPUTED_VALUE"""),"Caucho Aislador Exosto Sup Nkr8944572771")</f>
        <v>Caucho Aislador Exosto Sup Nkr8944572771</v>
      </c>
      <c r="C6348" s="380" t="str">
        <f>IFERROR(__xludf.DUMMYFUNCTION("""COMPUTED_VALUE"""),"70001744")</f>
        <v>70001744</v>
      </c>
      <c r="D6348" s="380" t="s">
        <v>767</v>
      </c>
      <c r="E6348" s="380" t="s">
        <v>786</v>
      </c>
      <c r="F6348" s="380" t="s">
        <v>792</v>
      </c>
      <c r="G6348" s="380" t="s">
        <v>1267</v>
      </c>
      <c r="H6348" s="380" t="s">
        <v>771</v>
      </c>
      <c r="I6348" s="380" t="s">
        <v>788</v>
      </c>
      <c r="J6348" s="380" t="s">
        <v>773</v>
      </c>
      <c r="K6348" s="381">
        <v>0.0</v>
      </c>
      <c r="L6348" s="382">
        <v>1.0</v>
      </c>
    </row>
    <row r="6349">
      <c r="A6349" s="380" t="s">
        <v>7223</v>
      </c>
      <c r="B6349" s="380" t="str">
        <f>IFERROR(__xludf.DUMMYFUNCTION("""COMPUTED_VALUE"""),"Manguera Codo Radiador Eagle 485794 C1")</f>
        <v>Manguera Codo Radiador Eagle 485794 C1</v>
      </c>
      <c r="C6349" s="380" t="str">
        <f>IFERROR(__xludf.DUMMYFUNCTION("""COMPUTED_VALUE"""),"70001745")</f>
        <v>70001745</v>
      </c>
      <c r="D6349" s="380" t="s">
        <v>767</v>
      </c>
      <c r="E6349" s="380" t="s">
        <v>786</v>
      </c>
      <c r="F6349" s="380" t="s">
        <v>787</v>
      </c>
      <c r="G6349" s="380" t="s">
        <v>1267</v>
      </c>
      <c r="H6349" s="380" t="s">
        <v>771</v>
      </c>
      <c r="I6349" s="380" t="s">
        <v>788</v>
      </c>
      <c r="J6349" s="380" t="s">
        <v>773</v>
      </c>
      <c r="K6349" s="381">
        <v>0.0</v>
      </c>
      <c r="L6349" s="382">
        <v>1.0</v>
      </c>
    </row>
    <row r="6350">
      <c r="A6350" s="380" t="s">
        <v>7224</v>
      </c>
      <c r="B6350" s="380" t="str">
        <f>IFERROR(__xludf.DUMMYFUNCTION("""COMPUTED_VALUE"""),"Freno Ahog Con Chapola Nkr-Rew8980332001")</f>
        <v>Freno Ahog Con Chapola Nkr-Rew8980332001</v>
      </c>
      <c r="C6350" s="380" t="str">
        <f>IFERROR(__xludf.DUMMYFUNCTION("""COMPUTED_VALUE"""),"70001746")</f>
        <v>70001746</v>
      </c>
      <c r="D6350" s="380" t="s">
        <v>767</v>
      </c>
      <c r="E6350" s="380" t="s">
        <v>786</v>
      </c>
      <c r="F6350" s="380" t="s">
        <v>1017</v>
      </c>
      <c r="G6350" s="380" t="s">
        <v>1267</v>
      </c>
      <c r="H6350" s="380" t="s">
        <v>771</v>
      </c>
      <c r="I6350" s="380" t="s">
        <v>788</v>
      </c>
      <c r="J6350" s="380" t="s">
        <v>773</v>
      </c>
      <c r="K6350" s="381">
        <v>0.0</v>
      </c>
      <c r="L6350" s="382">
        <v>1.0</v>
      </c>
    </row>
    <row r="6351">
      <c r="A6351" s="380" t="s">
        <v>7225</v>
      </c>
      <c r="B6351" s="380" t="str">
        <f>IFERROR(__xludf.DUMMYFUNCTION("""COMPUTED_VALUE"""),"Brazo Plumilla Derecho Nkr 8980537870")</f>
        <v>Brazo Plumilla Derecho Nkr 8980537870</v>
      </c>
      <c r="C6351" s="380" t="str">
        <f>IFERROR(__xludf.DUMMYFUNCTION("""COMPUTED_VALUE"""),"70001747")</f>
        <v>70001747</v>
      </c>
      <c r="D6351" s="380" t="s">
        <v>767</v>
      </c>
      <c r="E6351" s="380" t="s">
        <v>786</v>
      </c>
      <c r="F6351" s="380" t="s">
        <v>792</v>
      </c>
      <c r="G6351" s="380" t="s">
        <v>1267</v>
      </c>
      <c r="H6351" s="380" t="s">
        <v>771</v>
      </c>
      <c r="I6351" s="380" t="s">
        <v>788</v>
      </c>
      <c r="J6351" s="380" t="s">
        <v>773</v>
      </c>
      <c r="K6351" s="381">
        <v>0.0</v>
      </c>
      <c r="L6351" s="382">
        <v>1.0</v>
      </c>
    </row>
    <row r="6352">
      <c r="A6352" s="380" t="s">
        <v>7226</v>
      </c>
      <c r="B6352" s="380" t="str">
        <f>IFERROR(__xludf.DUMMYFUNCTION("""COMPUTED_VALUE"""),"Brazo Plumilla Izq Nkr 8980537860")</f>
        <v>Brazo Plumilla Izq Nkr 8980537860</v>
      </c>
      <c r="C6352" s="380" t="str">
        <f>IFERROR(__xludf.DUMMYFUNCTION("""COMPUTED_VALUE"""),"70001748")</f>
        <v>70001748</v>
      </c>
      <c r="D6352" s="380" t="s">
        <v>767</v>
      </c>
      <c r="E6352" s="380" t="s">
        <v>786</v>
      </c>
      <c r="F6352" s="380" t="s">
        <v>792</v>
      </c>
      <c r="G6352" s="380" t="s">
        <v>1267</v>
      </c>
      <c r="H6352" s="380" t="s">
        <v>771</v>
      </c>
      <c r="I6352" s="380" t="s">
        <v>788</v>
      </c>
      <c r="J6352" s="380" t="s">
        <v>773</v>
      </c>
      <c r="K6352" s="381">
        <v>117625.0</v>
      </c>
      <c r="L6352" s="382">
        <v>1.0</v>
      </c>
    </row>
    <row r="6353">
      <c r="A6353" s="380" t="s">
        <v>7227</v>
      </c>
      <c r="B6353" s="380" t="str">
        <f>IFERROR(__xludf.DUMMYFUNCTION("""COMPUTED_VALUE"""),"Tubo Freno Delantero Nkr Rewar8970192250")</f>
        <v>Tubo Freno Delantero Nkr Rewar8970192250</v>
      </c>
      <c r="C6353" s="380" t="str">
        <f>IFERROR(__xludf.DUMMYFUNCTION("""COMPUTED_VALUE"""),"70001749")</f>
        <v>70001749</v>
      </c>
      <c r="D6353" s="380" t="s">
        <v>767</v>
      </c>
      <c r="E6353" s="380" t="s">
        <v>786</v>
      </c>
      <c r="F6353" s="380" t="s">
        <v>1017</v>
      </c>
      <c r="G6353" s="380" t="s">
        <v>1267</v>
      </c>
      <c r="H6353" s="380" t="s">
        <v>771</v>
      </c>
      <c r="I6353" s="380" t="s">
        <v>788</v>
      </c>
      <c r="J6353" s="380" t="s">
        <v>773</v>
      </c>
      <c r="K6353" s="381">
        <v>0.0</v>
      </c>
      <c r="L6353" s="382">
        <v>1.0</v>
      </c>
    </row>
    <row r="6354">
      <c r="A6354" s="380" t="s">
        <v>7228</v>
      </c>
      <c r="B6354" s="380" t="str">
        <f>IFERROR(__xludf.DUMMYFUNCTION("""COMPUTED_VALUE"""),"Manguera Comb 1/2"" Corta 1/2"" Acopl")</f>
        <v>Manguera Comb 1/2" Corta 1/2" Acopl</v>
      </c>
      <c r="C6354" s="380" t="str">
        <f>IFERROR(__xludf.DUMMYFUNCTION("""COMPUTED_VALUE"""),"70001750")</f>
        <v>70001750</v>
      </c>
      <c r="D6354" s="380" t="s">
        <v>767</v>
      </c>
      <c r="E6354" s="380" t="s">
        <v>786</v>
      </c>
      <c r="F6354" s="380" t="s">
        <v>989</v>
      </c>
      <c r="G6354" s="380" t="s">
        <v>1267</v>
      </c>
      <c r="H6354" s="380" t="s">
        <v>771</v>
      </c>
      <c r="I6354" s="380" t="s">
        <v>788</v>
      </c>
      <c r="J6354" s="380" t="s">
        <v>773</v>
      </c>
      <c r="K6354" s="381">
        <v>0.0</v>
      </c>
      <c r="L6354" s="382">
        <v>1.0</v>
      </c>
    </row>
    <row r="6355">
      <c r="A6355" s="380" t="s">
        <v>7229</v>
      </c>
      <c r="B6355" s="380" t="str">
        <f>IFERROR(__xludf.DUMMYFUNCTION("""COMPUTED_VALUE"""),"Inyector Combustible Nkr 8980116045")</f>
        <v>Inyector Combustible Nkr 8980116045</v>
      </c>
      <c r="C6355" s="380" t="str">
        <f>IFERROR(__xludf.DUMMYFUNCTION("""COMPUTED_VALUE"""),"70001751")</f>
        <v>70001751</v>
      </c>
      <c r="D6355" s="380" t="s">
        <v>767</v>
      </c>
      <c r="E6355" s="380" t="s">
        <v>786</v>
      </c>
      <c r="F6355" s="380" t="s">
        <v>787</v>
      </c>
      <c r="G6355" s="380" t="s">
        <v>1267</v>
      </c>
      <c r="H6355" s="380" t="s">
        <v>771</v>
      </c>
      <c r="I6355" s="380" t="s">
        <v>788</v>
      </c>
      <c r="J6355" s="380" t="s">
        <v>773</v>
      </c>
      <c r="K6355" s="381">
        <v>0.0</v>
      </c>
      <c r="L6355" s="382">
        <v>1.0</v>
      </c>
    </row>
    <row r="6356">
      <c r="A6356" s="380" t="s">
        <v>7230</v>
      </c>
      <c r="B6356" s="380" t="str">
        <f>IFERROR(__xludf.DUMMYFUNCTION("""COMPUTED_VALUE"""),"Manguera Enfr Aceite Nkr S T 8970223140")</f>
        <v>Manguera Enfr Aceite Nkr S T 8970223140</v>
      </c>
      <c r="C6356" s="380" t="str">
        <f>IFERROR(__xludf.DUMMYFUNCTION("""COMPUTED_VALUE"""),"70001752")</f>
        <v>70001752</v>
      </c>
      <c r="D6356" s="380" t="s">
        <v>767</v>
      </c>
      <c r="E6356" s="380" t="s">
        <v>786</v>
      </c>
      <c r="F6356" s="380" t="s">
        <v>787</v>
      </c>
      <c r="G6356" s="380" t="s">
        <v>1267</v>
      </c>
      <c r="H6356" s="380" t="s">
        <v>771</v>
      </c>
      <c r="I6356" s="380" t="s">
        <v>788</v>
      </c>
      <c r="J6356" s="380" t="s">
        <v>773</v>
      </c>
      <c r="K6356" s="381">
        <v>0.0</v>
      </c>
      <c r="L6356" s="382">
        <v>1.0</v>
      </c>
    </row>
    <row r="6357">
      <c r="A6357" s="380" t="s">
        <v>7231</v>
      </c>
      <c r="B6357" s="380" t="str">
        <f>IFERROR(__xludf.DUMMYFUNCTION("""COMPUTED_VALUE"""),"Caja Direccion Hidraulica Nkr 8971734660")</f>
        <v>Caja Direccion Hidraulica Nkr 8971734660</v>
      </c>
      <c r="C6357" s="380" t="str">
        <f>IFERROR(__xludf.DUMMYFUNCTION("""COMPUTED_VALUE"""),"70001753")</f>
        <v>70001753</v>
      </c>
      <c r="D6357" s="380" t="s">
        <v>767</v>
      </c>
      <c r="E6357" s="380" t="s">
        <v>786</v>
      </c>
      <c r="F6357" s="380" t="s">
        <v>1020</v>
      </c>
      <c r="G6357" s="380" t="s">
        <v>1267</v>
      </c>
      <c r="H6357" s="380" t="s">
        <v>771</v>
      </c>
      <c r="I6357" s="380" t="s">
        <v>788</v>
      </c>
      <c r="J6357" s="380" t="s">
        <v>773</v>
      </c>
      <c r="K6357" s="381">
        <v>0.0</v>
      </c>
      <c r="L6357" s="382">
        <v>1.0</v>
      </c>
    </row>
    <row r="6358">
      <c r="A6358" s="380" t="s">
        <v>7232</v>
      </c>
      <c r="B6358" s="380" t="str">
        <f>IFERROR(__xludf.DUMMYFUNCTION("""COMPUTED_VALUE"""),"Bomba Direccion Hidraulica Nkr8973547301")</f>
        <v>Bomba Direccion Hidraulica Nkr8973547301</v>
      </c>
      <c r="C6358" s="380" t="str">
        <f>IFERROR(__xludf.DUMMYFUNCTION("""COMPUTED_VALUE"""),"70001754")</f>
        <v>70001754</v>
      </c>
      <c r="D6358" s="380" t="s">
        <v>767</v>
      </c>
      <c r="E6358" s="380" t="s">
        <v>786</v>
      </c>
      <c r="F6358" s="380" t="s">
        <v>1020</v>
      </c>
      <c r="G6358" s="380" t="s">
        <v>1267</v>
      </c>
      <c r="H6358" s="380" t="s">
        <v>771</v>
      </c>
      <c r="I6358" s="380" t="s">
        <v>788</v>
      </c>
      <c r="J6358" s="380" t="s">
        <v>773</v>
      </c>
      <c r="K6358" s="381">
        <v>0.0</v>
      </c>
      <c r="L6358" s="382">
        <v>1.0</v>
      </c>
    </row>
    <row r="6359">
      <c r="A6359" s="380" t="s">
        <v>7233</v>
      </c>
      <c r="B6359" s="380" t="str">
        <f>IFERROR(__xludf.DUMMYFUNCTION("""COMPUTED_VALUE"""),"Carevaca Caja Nkr 8970348792")</f>
        <v>Carevaca Caja Nkr 8970348792</v>
      </c>
      <c r="C6359" s="380" t="str">
        <f>IFERROR(__xludf.DUMMYFUNCTION("""COMPUTED_VALUE"""),"70001755")</f>
        <v>70001755</v>
      </c>
      <c r="D6359" s="380" t="s">
        <v>767</v>
      </c>
      <c r="E6359" s="380" t="s">
        <v>786</v>
      </c>
      <c r="F6359" s="380" t="s">
        <v>928</v>
      </c>
      <c r="G6359" s="380" t="s">
        <v>1267</v>
      </c>
      <c r="H6359" s="380" t="s">
        <v>771</v>
      </c>
      <c r="I6359" s="380" t="s">
        <v>788</v>
      </c>
      <c r="J6359" s="380" t="s">
        <v>773</v>
      </c>
      <c r="K6359" s="381">
        <v>0.0</v>
      </c>
      <c r="L6359" s="382">
        <v>1.0</v>
      </c>
    </row>
    <row r="6360">
      <c r="A6360" s="380" t="s">
        <v>7234</v>
      </c>
      <c r="B6360" s="380" t="str">
        <f>IFERROR(__xludf.DUMMYFUNCTION("""COMPUTED_VALUE"""),"Manguera Conexion Aire JgoX 2-11950-Roja")</f>
        <v>Manguera Conexion Aire JgoX 2-11950-Roja</v>
      </c>
      <c r="C6360" s="380" t="str">
        <f>IFERROR(__xludf.DUMMYFUNCTION("""COMPUTED_VALUE"""),"70001756")</f>
        <v>70001756</v>
      </c>
      <c r="D6360" s="380" t="s">
        <v>767</v>
      </c>
      <c r="E6360" s="380" t="s">
        <v>786</v>
      </c>
      <c r="F6360" s="380" t="s">
        <v>1017</v>
      </c>
      <c r="G6360" s="380" t="s">
        <v>1267</v>
      </c>
      <c r="H6360" s="380" t="s">
        <v>771</v>
      </c>
      <c r="I6360" s="380" t="s">
        <v>788</v>
      </c>
      <c r="J6360" s="380" t="s">
        <v>773</v>
      </c>
      <c r="K6360" s="381">
        <v>169439.0</v>
      </c>
      <c r="L6360" s="382">
        <v>1.0</v>
      </c>
    </row>
    <row r="6361">
      <c r="A6361" s="380" t="s">
        <v>7235</v>
      </c>
      <c r="B6361" s="380" t="str">
        <f>IFERROR(__xludf.DUMMYFUNCTION("""COMPUTED_VALUE"""),"Motor Limpiabrisas 24544087 N 200")</f>
        <v>Motor Limpiabrisas 24544087 N 200</v>
      </c>
      <c r="C6361" s="380" t="str">
        <f>IFERROR(__xludf.DUMMYFUNCTION("""COMPUTED_VALUE"""),"70001757")</f>
        <v>70001757</v>
      </c>
      <c r="D6361" s="380" t="s">
        <v>767</v>
      </c>
      <c r="E6361" s="380" t="s">
        <v>786</v>
      </c>
      <c r="F6361" s="380" t="s">
        <v>998</v>
      </c>
      <c r="G6361" s="380" t="s">
        <v>1267</v>
      </c>
      <c r="H6361" s="380" t="s">
        <v>771</v>
      </c>
      <c r="I6361" s="380" t="s">
        <v>788</v>
      </c>
      <c r="J6361" s="380" t="s">
        <v>773</v>
      </c>
      <c r="K6361" s="381">
        <v>0.0</v>
      </c>
      <c r="L6361" s="382">
        <v>1.0</v>
      </c>
    </row>
    <row r="6362">
      <c r="A6362" s="380" t="s">
        <v>7236</v>
      </c>
      <c r="B6362" s="380" t="str">
        <f>IFERROR(__xludf.DUMMYFUNCTION("""COMPUTED_VALUE"""),"Tubo Succion Motor Isx 4918022")</f>
        <v>Tubo Succion Motor Isx 4918022</v>
      </c>
      <c r="C6362" s="380" t="str">
        <f>IFERROR(__xludf.DUMMYFUNCTION("""COMPUTED_VALUE"""),"70001758")</f>
        <v>70001758</v>
      </c>
      <c r="D6362" s="380" t="s">
        <v>767</v>
      </c>
      <c r="E6362" s="380" t="s">
        <v>786</v>
      </c>
      <c r="F6362" s="380" t="s">
        <v>787</v>
      </c>
      <c r="G6362" s="380" t="s">
        <v>1267</v>
      </c>
      <c r="H6362" s="380" t="s">
        <v>771</v>
      </c>
      <c r="I6362" s="380" t="s">
        <v>788</v>
      </c>
      <c r="J6362" s="380" t="s">
        <v>773</v>
      </c>
      <c r="K6362" s="381">
        <v>0.0</v>
      </c>
      <c r="L6362" s="382">
        <v>1.0</v>
      </c>
    </row>
    <row r="6363">
      <c r="A6363" s="380" t="s">
        <v>7237</v>
      </c>
      <c r="B6363" s="380" t="str">
        <f>IFERROR(__xludf.DUMMYFUNCTION("""COMPUTED_VALUE"""),"Sensor Freno N200 5498452")</f>
        <v>Sensor Freno N200 5498452</v>
      </c>
      <c r="C6363" s="380" t="str">
        <f>IFERROR(__xludf.DUMMYFUNCTION("""COMPUTED_VALUE"""),"70001760")</f>
        <v>70001760</v>
      </c>
      <c r="D6363" s="380" t="s">
        <v>767</v>
      </c>
      <c r="E6363" s="380" t="s">
        <v>786</v>
      </c>
      <c r="F6363" s="380" t="s">
        <v>1017</v>
      </c>
      <c r="G6363" s="380" t="s">
        <v>1267</v>
      </c>
      <c r="H6363" s="380" t="s">
        <v>771</v>
      </c>
      <c r="I6363" s="380" t="s">
        <v>788</v>
      </c>
      <c r="J6363" s="380" t="s">
        <v>773</v>
      </c>
      <c r="K6363" s="381">
        <v>0.0</v>
      </c>
      <c r="L6363" s="382">
        <v>1.0</v>
      </c>
    </row>
    <row r="6364">
      <c r="A6364" s="380" t="s">
        <v>7238</v>
      </c>
      <c r="B6364" s="380" t="str">
        <f>IFERROR(__xludf.DUMMYFUNCTION("""COMPUTED_VALUE"""),"Cubierta Panel Sup Izq Nkr-Rew8980365203")</f>
        <v>Cubierta Panel Sup Izq Nkr-Rew8980365203</v>
      </c>
      <c r="C6364" s="380" t="str">
        <f>IFERROR(__xludf.DUMMYFUNCTION("""COMPUTED_VALUE"""),"70001761")</f>
        <v>70001761</v>
      </c>
      <c r="D6364" s="380" t="s">
        <v>767</v>
      </c>
      <c r="E6364" s="380" t="s">
        <v>786</v>
      </c>
      <c r="F6364" s="380" t="s">
        <v>792</v>
      </c>
      <c r="G6364" s="380" t="s">
        <v>1267</v>
      </c>
      <c r="H6364" s="380" t="s">
        <v>771</v>
      </c>
      <c r="I6364" s="380" t="s">
        <v>788</v>
      </c>
      <c r="J6364" s="380" t="s">
        <v>773</v>
      </c>
      <c r="K6364" s="381">
        <v>0.0</v>
      </c>
      <c r="L6364" s="382">
        <v>1.0</v>
      </c>
    </row>
    <row r="6365">
      <c r="A6365" s="380" t="s">
        <v>7239</v>
      </c>
      <c r="B6365" s="380" t="str">
        <f>IFERROR(__xludf.DUMMYFUNCTION("""COMPUTED_VALUE"""),"Tanque Vacio Nkr-Rewar 8980091241")</f>
        <v>Tanque Vacio Nkr-Rewar 8980091241</v>
      </c>
      <c r="C6365" s="380" t="str">
        <f>IFERROR(__xludf.DUMMYFUNCTION("""COMPUTED_VALUE"""),"70001762")</f>
        <v>70001762</v>
      </c>
      <c r="D6365" s="380" t="s">
        <v>767</v>
      </c>
      <c r="E6365" s="380" t="s">
        <v>786</v>
      </c>
      <c r="F6365" s="380" t="s">
        <v>1017</v>
      </c>
      <c r="G6365" s="380" t="s">
        <v>1267</v>
      </c>
      <c r="H6365" s="380" t="s">
        <v>771</v>
      </c>
      <c r="I6365" s="380" t="s">
        <v>788</v>
      </c>
      <c r="J6365" s="380" t="s">
        <v>773</v>
      </c>
      <c r="K6365" s="381">
        <v>0.0</v>
      </c>
      <c r="L6365" s="382">
        <v>1.0</v>
      </c>
    </row>
    <row r="6366">
      <c r="A6366" s="380" t="s">
        <v>7240</v>
      </c>
      <c r="B6366" s="380" t="str">
        <f>IFERROR(__xludf.DUMMYFUNCTION("""COMPUTED_VALUE"""),"Tanque Limpiabrizas Nkr-Rewar 8980291362")</f>
        <v>Tanque Limpiabrizas Nkr-Rewar 8980291362</v>
      </c>
      <c r="C6366" s="380" t="str">
        <f>IFERROR(__xludf.DUMMYFUNCTION("""COMPUTED_VALUE"""),"70001763")</f>
        <v>70001763</v>
      </c>
      <c r="D6366" s="380" t="s">
        <v>767</v>
      </c>
      <c r="E6366" s="380" t="s">
        <v>786</v>
      </c>
      <c r="F6366" s="380" t="s">
        <v>792</v>
      </c>
      <c r="G6366" s="380" t="s">
        <v>1267</v>
      </c>
      <c r="H6366" s="380" t="s">
        <v>771</v>
      </c>
      <c r="I6366" s="380" t="s">
        <v>788</v>
      </c>
      <c r="J6366" s="380" t="s">
        <v>773</v>
      </c>
      <c r="K6366" s="381">
        <v>0.0</v>
      </c>
      <c r="L6366" s="382">
        <v>1.0</v>
      </c>
    </row>
    <row r="6367">
      <c r="A6367" s="380" t="s">
        <v>7241</v>
      </c>
      <c r="B6367" s="380" t="str">
        <f>IFERROR(__xludf.DUMMYFUNCTION("""COMPUTED_VALUE"""),"Cubierta Palan Camb Nkr-Rewar 8974116750")</f>
        <v>Cubierta Palan Camb Nkr-Rewar 8974116750</v>
      </c>
      <c r="C6367" s="380" t="str">
        <f>IFERROR(__xludf.DUMMYFUNCTION("""COMPUTED_VALUE"""),"70001764")</f>
        <v>70001764</v>
      </c>
      <c r="D6367" s="380" t="s">
        <v>767</v>
      </c>
      <c r="E6367" s="380" t="s">
        <v>786</v>
      </c>
      <c r="F6367" s="380" t="s">
        <v>792</v>
      </c>
      <c r="G6367" s="380" t="s">
        <v>1267</v>
      </c>
      <c r="H6367" s="380" t="s">
        <v>771</v>
      </c>
      <c r="I6367" s="380" t="s">
        <v>788</v>
      </c>
      <c r="J6367" s="380" t="s">
        <v>773</v>
      </c>
      <c r="K6367" s="381">
        <v>0.0</v>
      </c>
      <c r="L6367" s="382">
        <v>1.0</v>
      </c>
    </row>
    <row r="6368">
      <c r="A6368" s="380" t="s">
        <v>7242</v>
      </c>
      <c r="B6368" s="380" t="str">
        <f>IFERROR(__xludf.DUMMYFUNCTION("""COMPUTED_VALUE"""),"Bocel Pisa Alfombra Nkr-Rewar 8974053891")</f>
        <v>Bocel Pisa Alfombra Nkr-Rewar 8974053891</v>
      </c>
      <c r="C6368" s="380" t="str">
        <f>IFERROR(__xludf.DUMMYFUNCTION("""COMPUTED_VALUE"""),"70001765")</f>
        <v>70001765</v>
      </c>
      <c r="D6368" s="380" t="s">
        <v>767</v>
      </c>
      <c r="E6368" s="380" t="s">
        <v>786</v>
      </c>
      <c r="F6368" s="380" t="s">
        <v>792</v>
      </c>
      <c r="G6368" s="380" t="s">
        <v>1267</v>
      </c>
      <c r="H6368" s="380" t="s">
        <v>771</v>
      </c>
      <c r="I6368" s="380" t="s">
        <v>788</v>
      </c>
      <c r="J6368" s="380" t="s">
        <v>773</v>
      </c>
      <c r="K6368" s="381">
        <v>0.0</v>
      </c>
      <c r="L6368" s="382">
        <v>1.0</v>
      </c>
    </row>
    <row r="6369">
      <c r="A6369" s="380" t="s">
        <v>7243</v>
      </c>
      <c r="B6369" s="380" t="str">
        <f>IFERROR(__xludf.DUMMYFUNCTION("""COMPUTED_VALUE"""),"Protect Guardab Der Nkr-Rewar 8980107411")</f>
        <v>Protect Guardab Der Nkr-Rewar 8980107411</v>
      </c>
      <c r="C6369" s="380" t="str">
        <f>IFERROR(__xludf.DUMMYFUNCTION("""COMPUTED_VALUE"""),"70001766")</f>
        <v>70001766</v>
      </c>
      <c r="D6369" s="380" t="s">
        <v>767</v>
      </c>
      <c r="E6369" s="380" t="s">
        <v>786</v>
      </c>
      <c r="F6369" s="380" t="s">
        <v>792</v>
      </c>
      <c r="G6369" s="380" t="s">
        <v>1267</v>
      </c>
      <c r="H6369" s="380" t="s">
        <v>771</v>
      </c>
      <c r="I6369" s="380" t="s">
        <v>788</v>
      </c>
      <c r="J6369" s="380" t="s">
        <v>773</v>
      </c>
      <c r="K6369" s="381">
        <v>50443.0</v>
      </c>
      <c r="L6369" s="382">
        <v>1.0</v>
      </c>
    </row>
    <row r="6370">
      <c r="A6370" s="380" t="s">
        <v>7244</v>
      </c>
      <c r="B6370" s="380" t="str">
        <f>IFERROR(__xludf.DUMMYFUNCTION("""COMPUTED_VALUE"""),"Guardap Guard Der Nkr-Rewar 8980556202")</f>
        <v>Guardap Guard Der Nkr-Rewar 8980556202</v>
      </c>
      <c r="C6370" s="380" t="str">
        <f>IFERROR(__xludf.DUMMYFUNCTION("""COMPUTED_VALUE"""),"70001767")</f>
        <v>70001767</v>
      </c>
      <c r="D6370" s="380" t="s">
        <v>767</v>
      </c>
      <c r="E6370" s="380" t="s">
        <v>786</v>
      </c>
      <c r="F6370" s="380" t="s">
        <v>792</v>
      </c>
      <c r="G6370" s="380" t="s">
        <v>1267</v>
      </c>
      <c r="H6370" s="380" t="s">
        <v>771</v>
      </c>
      <c r="I6370" s="380" t="s">
        <v>788</v>
      </c>
      <c r="J6370" s="380" t="s">
        <v>773</v>
      </c>
      <c r="K6370" s="381">
        <v>0.0</v>
      </c>
      <c r="L6370" s="382">
        <v>1.0</v>
      </c>
    </row>
    <row r="6371">
      <c r="A6371" s="380" t="s">
        <v>7245</v>
      </c>
      <c r="B6371" s="380" t="str">
        <f>IFERROR(__xludf.DUMMYFUNCTION("""COMPUTED_VALUE"""),"Prensa Embrague Dutro 3121036310")</f>
        <v>Prensa Embrague Dutro 3121036310</v>
      </c>
      <c r="C6371" s="380" t="str">
        <f>IFERROR(__xludf.DUMMYFUNCTION("""COMPUTED_VALUE"""),"70001768")</f>
        <v>70001768</v>
      </c>
      <c r="D6371" s="380" t="s">
        <v>767</v>
      </c>
      <c r="E6371" s="380" t="s">
        <v>786</v>
      </c>
      <c r="F6371" s="380" t="s">
        <v>5661</v>
      </c>
      <c r="G6371" s="380" t="s">
        <v>1267</v>
      </c>
      <c r="H6371" s="380" t="s">
        <v>771</v>
      </c>
      <c r="I6371" s="380" t="s">
        <v>788</v>
      </c>
      <c r="J6371" s="380" t="s">
        <v>773</v>
      </c>
      <c r="K6371" s="381">
        <v>0.0</v>
      </c>
      <c r="L6371" s="382">
        <v>1.0</v>
      </c>
    </row>
    <row r="6372">
      <c r="A6372" s="380" t="s">
        <v>7246</v>
      </c>
      <c r="B6372" s="380" t="str">
        <f>IFERROR(__xludf.DUMMYFUNCTION("""COMPUTED_VALUE"""),"Disco Embrague Dutr 3125037170")</f>
        <v>Disco Embrague Dutr 3125037170</v>
      </c>
      <c r="C6372" s="380" t="str">
        <f>IFERROR(__xludf.DUMMYFUNCTION("""COMPUTED_VALUE"""),"70001769")</f>
        <v>70001769</v>
      </c>
      <c r="D6372" s="380" t="s">
        <v>767</v>
      </c>
      <c r="E6372" s="380" t="s">
        <v>786</v>
      </c>
      <c r="F6372" s="380" t="s">
        <v>5661</v>
      </c>
      <c r="G6372" s="380" t="s">
        <v>1267</v>
      </c>
      <c r="H6372" s="380" t="s">
        <v>771</v>
      </c>
      <c r="I6372" s="380" t="s">
        <v>788</v>
      </c>
      <c r="J6372" s="380" t="s">
        <v>773</v>
      </c>
      <c r="K6372" s="381">
        <v>0.0</v>
      </c>
      <c r="L6372" s="382">
        <v>1.0</v>
      </c>
    </row>
    <row r="6373">
      <c r="A6373" s="380" t="s">
        <v>7247</v>
      </c>
      <c r="B6373" s="380" t="str">
        <f>IFERROR(__xludf.DUMMYFUNCTION("""COMPUTED_VALUE"""),"Retenedor Cerrojo Tipo Cortina 61")</f>
        <v>Retenedor Cerrojo Tipo Cortina 61</v>
      </c>
      <c r="C6373" s="380" t="str">
        <f>IFERROR(__xludf.DUMMYFUNCTION("""COMPUTED_VALUE"""),"70001770")</f>
        <v>70001770</v>
      </c>
      <c r="D6373" s="380" t="s">
        <v>767</v>
      </c>
      <c r="E6373" s="380" t="s">
        <v>786</v>
      </c>
      <c r="F6373" s="380" t="s">
        <v>792</v>
      </c>
      <c r="G6373" s="380" t="s">
        <v>1267</v>
      </c>
      <c r="H6373" s="380" t="s">
        <v>771</v>
      </c>
      <c r="I6373" s="380" t="s">
        <v>788</v>
      </c>
      <c r="J6373" s="380" t="s">
        <v>773</v>
      </c>
      <c r="K6373" s="381">
        <v>0.0</v>
      </c>
      <c r="L6373" s="382">
        <v>1.0</v>
      </c>
    </row>
    <row r="6374">
      <c r="A6374" s="380" t="s">
        <v>7248</v>
      </c>
      <c r="B6374" s="380" t="str">
        <f>IFERROR(__xludf.DUMMYFUNCTION("""COMPUTED_VALUE"""),"Tornillo Volante Motor Hino S134551820")</f>
        <v>Tornillo Volante Motor Hino S134551820</v>
      </c>
      <c r="C6374" s="380" t="str">
        <f>IFERROR(__xludf.DUMMYFUNCTION("""COMPUTED_VALUE"""),"70001771")</f>
        <v>70001771</v>
      </c>
      <c r="D6374" s="380" t="s">
        <v>767</v>
      </c>
      <c r="E6374" s="380" t="s">
        <v>786</v>
      </c>
      <c r="F6374" s="380" t="s">
        <v>787</v>
      </c>
      <c r="G6374" s="380" t="s">
        <v>1267</v>
      </c>
      <c r="H6374" s="380" t="s">
        <v>771</v>
      </c>
      <c r="I6374" s="380" t="s">
        <v>788</v>
      </c>
      <c r="J6374" s="380" t="s">
        <v>773</v>
      </c>
      <c r="K6374" s="381">
        <v>0.0</v>
      </c>
      <c r="L6374" s="382">
        <v>1.0</v>
      </c>
    </row>
    <row r="6375">
      <c r="A6375" s="380" t="s">
        <v>7249</v>
      </c>
      <c r="B6375" s="380" t="str">
        <f>IFERROR(__xludf.DUMMYFUNCTION("""COMPUTED_VALUE"""),"Balinera Volante Motor Hino SZ37117009")</f>
        <v>Balinera Volante Motor Hino SZ37117009</v>
      </c>
      <c r="C6375" s="380" t="str">
        <f>IFERROR(__xludf.DUMMYFUNCTION("""COMPUTED_VALUE"""),"70001772")</f>
        <v>70001772</v>
      </c>
      <c r="D6375" s="380" t="s">
        <v>767</v>
      </c>
      <c r="E6375" s="380" t="s">
        <v>786</v>
      </c>
      <c r="F6375" s="380" t="s">
        <v>787</v>
      </c>
      <c r="G6375" s="380" t="s">
        <v>1267</v>
      </c>
      <c r="H6375" s="380" t="s">
        <v>771</v>
      </c>
      <c r="I6375" s="380" t="s">
        <v>788</v>
      </c>
      <c r="J6375" s="380" t="s">
        <v>773</v>
      </c>
      <c r="K6375" s="381">
        <v>0.0</v>
      </c>
      <c r="L6375" s="382">
        <v>1.0</v>
      </c>
    </row>
    <row r="6376">
      <c r="A6376" s="380" t="s">
        <v>7250</v>
      </c>
      <c r="B6376" s="380" t="str">
        <f>IFERROR(__xludf.DUMMYFUNCTION("""COMPUTED_VALUE"""),"Tapa Muerto Motor Isx 3526818C5")</f>
        <v>Tapa Muerto Motor Isx 3526818C5</v>
      </c>
      <c r="C6376" s="380" t="str">
        <f>IFERROR(__xludf.DUMMYFUNCTION("""COMPUTED_VALUE"""),"70001773")</f>
        <v>70001773</v>
      </c>
      <c r="D6376" s="380" t="s">
        <v>767</v>
      </c>
      <c r="E6376" s="380" t="s">
        <v>786</v>
      </c>
      <c r="F6376" s="380" t="s">
        <v>792</v>
      </c>
      <c r="G6376" s="380" t="s">
        <v>1267</v>
      </c>
      <c r="H6376" s="380" t="s">
        <v>771</v>
      </c>
      <c r="I6376" s="380" t="s">
        <v>788</v>
      </c>
      <c r="J6376" s="380" t="s">
        <v>773</v>
      </c>
      <c r="K6376" s="381">
        <v>0.0</v>
      </c>
      <c r="L6376" s="382">
        <v>1.0</v>
      </c>
    </row>
    <row r="6377">
      <c r="A6377" s="380" t="s">
        <v>7251</v>
      </c>
      <c r="B6377" s="380" t="str">
        <f>IFERROR(__xludf.DUMMYFUNCTION("""COMPUTED_VALUE"""),"Resorte Oscil T Cortina Fabricado Izq 40")</f>
        <v>Resorte Oscil T Cortina Fabricado Izq 40</v>
      </c>
      <c r="C6377" s="380" t="str">
        <f>IFERROR(__xludf.DUMMYFUNCTION("""COMPUTED_VALUE"""),"70001774")</f>
        <v>70001774</v>
      </c>
      <c r="D6377" s="380" t="s">
        <v>767</v>
      </c>
      <c r="E6377" s="380" t="s">
        <v>786</v>
      </c>
      <c r="F6377" s="380" t="s">
        <v>792</v>
      </c>
      <c r="G6377" s="380" t="s">
        <v>1267</v>
      </c>
      <c r="H6377" s="380" t="s">
        <v>771</v>
      </c>
      <c r="I6377" s="380" t="s">
        <v>788</v>
      </c>
      <c r="J6377" s="380" t="s">
        <v>773</v>
      </c>
      <c r="K6377" s="381">
        <v>95200.0</v>
      </c>
      <c r="L6377" s="382">
        <v>1.0</v>
      </c>
    </row>
    <row r="6378">
      <c r="A6378" s="380" t="s">
        <v>7252</v>
      </c>
      <c r="B6378" s="380" t="str">
        <f>IFERROR(__xludf.DUMMYFUNCTION("""COMPUTED_VALUE"""),"Valvula Descargue Rapido Trailer 229859")</f>
        <v>Valvula Descargue Rapido Trailer 229859</v>
      </c>
      <c r="C6378" s="380" t="str">
        <f>IFERROR(__xludf.DUMMYFUNCTION("""COMPUTED_VALUE"""),"70001775")</f>
        <v>70001775</v>
      </c>
      <c r="D6378" s="380" t="s">
        <v>767</v>
      </c>
      <c r="E6378" s="380" t="s">
        <v>786</v>
      </c>
      <c r="F6378" s="380" t="s">
        <v>1017</v>
      </c>
      <c r="G6378" s="380" t="s">
        <v>1267</v>
      </c>
      <c r="H6378" s="380" t="s">
        <v>771</v>
      </c>
      <c r="I6378" s="380" t="s">
        <v>788</v>
      </c>
      <c r="J6378" s="380" t="s">
        <v>773</v>
      </c>
      <c r="K6378" s="381">
        <v>0.0</v>
      </c>
      <c r="L6378" s="382">
        <v>1.0</v>
      </c>
    </row>
    <row r="6379">
      <c r="A6379" s="380" t="s">
        <v>7253</v>
      </c>
      <c r="B6379" s="380" t="str">
        <f>IFERROR(__xludf.DUMMYFUNCTION("""COMPUTED_VALUE"""),"Polea Damper Motor Isx 3682627")</f>
        <v>Polea Damper Motor Isx 3682627</v>
      </c>
      <c r="C6379" s="380" t="str">
        <f>IFERROR(__xludf.DUMMYFUNCTION("""COMPUTED_VALUE"""),"70001776")</f>
        <v>70001776</v>
      </c>
      <c r="D6379" s="380" t="s">
        <v>767</v>
      </c>
      <c r="E6379" s="380" t="s">
        <v>786</v>
      </c>
      <c r="F6379" s="380" t="s">
        <v>787</v>
      </c>
      <c r="G6379" s="380" t="s">
        <v>1267</v>
      </c>
      <c r="H6379" s="380" t="s">
        <v>771</v>
      </c>
      <c r="I6379" s="380" t="s">
        <v>788</v>
      </c>
      <c r="J6379" s="380" t="s">
        <v>773</v>
      </c>
      <c r="K6379" s="381">
        <v>0.0</v>
      </c>
      <c r="L6379" s="382">
        <v>1.0</v>
      </c>
    </row>
    <row r="6380">
      <c r="A6380" s="380" t="s">
        <v>7254</v>
      </c>
      <c r="B6380" s="380" t="str">
        <f>IFERROR(__xludf.DUMMYFUNCTION("""COMPUTED_VALUE"""),"Puntera Trasera Cabina Isx 598537C2")</f>
        <v>Puntera Trasera Cabina Isx 598537C2</v>
      </c>
      <c r="C6380" s="380" t="str">
        <f>IFERROR(__xludf.DUMMYFUNCTION("""COMPUTED_VALUE"""),"70001777")</f>
        <v>70001777</v>
      </c>
      <c r="D6380" s="380" t="s">
        <v>767</v>
      </c>
      <c r="E6380" s="380" t="s">
        <v>786</v>
      </c>
      <c r="F6380" s="380" t="s">
        <v>792</v>
      </c>
      <c r="G6380" s="380" t="s">
        <v>1267</v>
      </c>
      <c r="H6380" s="380" t="s">
        <v>771</v>
      </c>
      <c r="I6380" s="380" t="s">
        <v>788</v>
      </c>
      <c r="J6380" s="380" t="s">
        <v>773</v>
      </c>
      <c r="K6380" s="381">
        <v>0.0</v>
      </c>
      <c r="L6380" s="382">
        <v>1.0</v>
      </c>
    </row>
    <row r="6381">
      <c r="A6381" s="380" t="s">
        <v>7255</v>
      </c>
      <c r="B6381" s="380" t="str">
        <f>IFERROR(__xludf.DUMMYFUNCTION("""COMPUTED_VALUE"""),"Correa Premiun Puerta Tipo Cortina Nkr")</f>
        <v>Correa Premiun Puerta Tipo Cortina Nkr</v>
      </c>
      <c r="C6381" s="380" t="str">
        <f>IFERROR(__xludf.DUMMYFUNCTION("""COMPUTED_VALUE"""),"70001778")</f>
        <v>70001778</v>
      </c>
      <c r="D6381" s="380" t="s">
        <v>767</v>
      </c>
      <c r="E6381" s="380" t="s">
        <v>786</v>
      </c>
      <c r="F6381" s="380" t="s">
        <v>792</v>
      </c>
      <c r="G6381" s="380" t="s">
        <v>1267</v>
      </c>
      <c r="H6381" s="380" t="s">
        <v>771</v>
      </c>
      <c r="I6381" s="380" t="s">
        <v>788</v>
      </c>
      <c r="J6381" s="380" t="s">
        <v>773</v>
      </c>
      <c r="K6381" s="381">
        <v>40520.0</v>
      </c>
      <c r="L6381" s="382">
        <v>1.0</v>
      </c>
    </row>
    <row r="6382">
      <c r="A6382" s="380" t="s">
        <v>7256</v>
      </c>
      <c r="B6382" s="380" t="str">
        <f>IFERROR(__xludf.DUMMYFUNCTION("""COMPUTED_VALUE"""),"Varilla Medid Aceite Motor FTR8980926000")</f>
        <v>Varilla Medid Aceite Motor FTR8980926000</v>
      </c>
      <c r="C6382" s="380" t="str">
        <f>IFERROR(__xludf.DUMMYFUNCTION("""COMPUTED_VALUE"""),"70001779")</f>
        <v>70001779</v>
      </c>
      <c r="D6382" s="380" t="s">
        <v>767</v>
      </c>
      <c r="E6382" s="380" t="s">
        <v>786</v>
      </c>
      <c r="F6382" s="380" t="s">
        <v>787</v>
      </c>
      <c r="G6382" s="380" t="s">
        <v>1267</v>
      </c>
      <c r="H6382" s="380" t="s">
        <v>771</v>
      </c>
      <c r="I6382" s="380" t="s">
        <v>788</v>
      </c>
      <c r="J6382" s="380" t="s">
        <v>773</v>
      </c>
      <c r="K6382" s="381">
        <v>0.0</v>
      </c>
      <c r="L6382" s="382">
        <v>1.0</v>
      </c>
    </row>
    <row r="6383">
      <c r="A6383" s="380" t="s">
        <v>7257</v>
      </c>
      <c r="B6383" s="380" t="str">
        <f>IFERROR(__xludf.DUMMYFUNCTION("""COMPUTED_VALUE"""),"Tubo Pasamanos Exosto Isx 3571682C2")</f>
        <v>Tubo Pasamanos Exosto Isx 3571682C2</v>
      </c>
      <c r="C6383" s="380" t="str">
        <f>IFERROR(__xludf.DUMMYFUNCTION("""COMPUTED_VALUE"""),"70001780")</f>
        <v>70001780</v>
      </c>
      <c r="D6383" s="380" t="s">
        <v>767</v>
      </c>
      <c r="E6383" s="380" t="s">
        <v>786</v>
      </c>
      <c r="F6383" s="380" t="s">
        <v>792</v>
      </c>
      <c r="G6383" s="380" t="s">
        <v>1267</v>
      </c>
      <c r="H6383" s="380" t="s">
        <v>771</v>
      </c>
      <c r="I6383" s="380" t="s">
        <v>788</v>
      </c>
      <c r="J6383" s="380" t="s">
        <v>773</v>
      </c>
      <c r="K6383" s="381">
        <v>0.0</v>
      </c>
      <c r="L6383" s="382">
        <v>1.0</v>
      </c>
    </row>
    <row r="6384">
      <c r="A6384" s="380" t="s">
        <v>7258</v>
      </c>
      <c r="B6384" s="380" t="str">
        <f>IFERROR(__xludf.DUMMYFUNCTION("""COMPUTED_VALUE"""),"Carburador Moto Varias")</f>
        <v>Carburador Moto Varias</v>
      </c>
      <c r="C6384" s="380" t="str">
        <f>IFERROR(__xludf.DUMMYFUNCTION("""COMPUTED_VALUE"""),"70001782")</f>
        <v>70001782</v>
      </c>
      <c r="D6384" s="380" t="s">
        <v>767</v>
      </c>
      <c r="E6384" s="380" t="s">
        <v>786</v>
      </c>
      <c r="F6384" s="380" t="s">
        <v>787</v>
      </c>
      <c r="G6384" s="380" t="s">
        <v>1267</v>
      </c>
      <c r="H6384" s="380" t="s">
        <v>771</v>
      </c>
      <c r="I6384" s="380" t="s">
        <v>788</v>
      </c>
      <c r="J6384" s="380" t="s">
        <v>773</v>
      </c>
      <c r="K6384" s="381">
        <v>0.0</v>
      </c>
      <c r="L6384" s="382">
        <v>1.0</v>
      </c>
    </row>
    <row r="6385">
      <c r="A6385" s="380" t="s">
        <v>7259</v>
      </c>
      <c r="B6385" s="380" t="str">
        <f>IFERROR(__xludf.DUMMYFUNCTION("""COMPUTED_VALUE"""),"Tablero Tacom Veloc Eagle 3670057C93")</f>
        <v>Tablero Tacom Veloc Eagle 3670057C93</v>
      </c>
      <c r="C6385" s="380" t="str">
        <f>IFERROR(__xludf.DUMMYFUNCTION("""COMPUTED_VALUE"""),"70001783")</f>
        <v>70001783</v>
      </c>
      <c r="D6385" s="380" t="s">
        <v>767</v>
      </c>
      <c r="E6385" s="380" t="s">
        <v>786</v>
      </c>
      <c r="F6385" s="380" t="s">
        <v>792</v>
      </c>
      <c r="G6385" s="380" t="s">
        <v>1267</v>
      </c>
      <c r="H6385" s="380" t="s">
        <v>771</v>
      </c>
      <c r="I6385" s="380" t="s">
        <v>788</v>
      </c>
      <c r="J6385" s="380" t="s">
        <v>773</v>
      </c>
      <c r="K6385" s="381">
        <v>0.0</v>
      </c>
      <c r="L6385" s="382">
        <v>1.0</v>
      </c>
    </row>
    <row r="6386">
      <c r="A6386" s="380" t="s">
        <v>7260</v>
      </c>
      <c r="B6386" s="380" t="str">
        <f>IFERROR(__xludf.DUMMYFUNCTION("""COMPUTED_VALUE"""),"Clip Mascarilla Radiad Nkr-Rew8980256980")</f>
        <v>Clip Mascarilla Radiad Nkr-Rew8980256980</v>
      </c>
      <c r="C6386" s="380" t="str">
        <f>IFERROR(__xludf.DUMMYFUNCTION("""COMPUTED_VALUE"""),"70001784")</f>
        <v>70001784</v>
      </c>
      <c r="D6386" s="380" t="s">
        <v>767</v>
      </c>
      <c r="E6386" s="380" t="s">
        <v>786</v>
      </c>
      <c r="F6386" s="380" t="s">
        <v>792</v>
      </c>
      <c r="G6386" s="380" t="s">
        <v>1267</v>
      </c>
      <c r="H6386" s="380" t="s">
        <v>771</v>
      </c>
      <c r="I6386" s="380" t="s">
        <v>788</v>
      </c>
      <c r="J6386" s="380" t="s">
        <v>773</v>
      </c>
      <c r="K6386" s="381">
        <v>0.0</v>
      </c>
      <c r="L6386" s="382">
        <v>1.0</v>
      </c>
    </row>
    <row r="6387">
      <c r="A6387" s="380" t="s">
        <v>7261</v>
      </c>
      <c r="B6387" s="380" t="str">
        <f>IFERROR(__xludf.DUMMYFUNCTION("""COMPUTED_VALUE"""),"Bombillo Cabina 204136 Nkr-Rew 10x31 24v")</f>
        <v>Bombillo Cabina 204136 Nkr-Rew 10x31 24v</v>
      </c>
      <c r="C6387" s="380" t="str">
        <f>IFERROR(__xludf.DUMMYFUNCTION("""COMPUTED_VALUE"""),"70001785")</f>
        <v>70001785</v>
      </c>
      <c r="D6387" s="380" t="s">
        <v>767</v>
      </c>
      <c r="E6387" s="380" t="s">
        <v>786</v>
      </c>
      <c r="F6387" s="380" t="s">
        <v>998</v>
      </c>
      <c r="G6387" s="380" t="s">
        <v>1267</v>
      </c>
      <c r="H6387" s="380" t="s">
        <v>771</v>
      </c>
      <c r="I6387" s="380" t="s">
        <v>788</v>
      </c>
      <c r="J6387" s="380" t="s">
        <v>773</v>
      </c>
      <c r="K6387" s="381">
        <v>5376.0</v>
      </c>
      <c r="L6387" s="382">
        <v>1.0</v>
      </c>
    </row>
    <row r="6388">
      <c r="A6388" s="380" t="s">
        <v>7262</v>
      </c>
      <c r="B6388" s="380" t="str">
        <f>IFERROR(__xludf.DUMMYFUNCTION("""COMPUTED_VALUE"""),"Embolo Motor Arranque 37-41-42mt 661607")</f>
        <v>Embolo Motor Arranque 37-41-42mt 661607</v>
      </c>
      <c r="C6388" s="380" t="str">
        <f>IFERROR(__xludf.DUMMYFUNCTION("""COMPUTED_VALUE"""),"70001787")</f>
        <v>70001787</v>
      </c>
      <c r="D6388" s="380" t="s">
        <v>767</v>
      </c>
      <c r="E6388" s="380" t="s">
        <v>786</v>
      </c>
      <c r="F6388" s="380" t="s">
        <v>998</v>
      </c>
      <c r="G6388" s="380" t="s">
        <v>1267</v>
      </c>
      <c r="H6388" s="380" t="s">
        <v>771</v>
      </c>
      <c r="I6388" s="380" t="s">
        <v>788</v>
      </c>
      <c r="J6388" s="380" t="s">
        <v>773</v>
      </c>
      <c r="K6388" s="381">
        <v>25387.0</v>
      </c>
      <c r="L6388" s="382">
        <v>1.0</v>
      </c>
    </row>
    <row r="6389">
      <c r="A6389" s="380" t="s">
        <v>7263</v>
      </c>
      <c r="B6389" s="380" t="str">
        <f>IFERROR(__xludf.DUMMYFUNCTION("""COMPUTED_VALUE"""),"Manguera Inf Radiador Nkr-Rewa8973838141")</f>
        <v>Manguera Inf Radiador Nkr-Rewa8973838141</v>
      </c>
      <c r="C6389" s="380" t="str">
        <f>IFERROR(__xludf.DUMMYFUNCTION("""COMPUTED_VALUE"""),"70001788")</f>
        <v>70001788</v>
      </c>
      <c r="D6389" s="380" t="s">
        <v>767</v>
      </c>
      <c r="E6389" s="380" t="s">
        <v>786</v>
      </c>
      <c r="F6389" s="380" t="s">
        <v>787</v>
      </c>
      <c r="G6389" s="380" t="s">
        <v>1267</v>
      </c>
      <c r="H6389" s="380" t="s">
        <v>771</v>
      </c>
      <c r="I6389" s="380" t="s">
        <v>788</v>
      </c>
      <c r="J6389" s="380" t="s">
        <v>773</v>
      </c>
      <c r="K6389" s="381">
        <v>0.0</v>
      </c>
      <c r="L6389" s="382">
        <v>1.0</v>
      </c>
    </row>
    <row r="6390">
      <c r="A6390" s="380" t="s">
        <v>7264</v>
      </c>
      <c r="B6390" s="380" t="str">
        <f>IFERROR(__xludf.DUMMYFUNCTION("""COMPUTED_VALUE"""),"Soporte Bomper Izq Nkr-Rewar 8980252124")</f>
        <v>Soporte Bomper Izq Nkr-Rewar 8980252124</v>
      </c>
      <c r="C6390" s="380" t="str">
        <f>IFERROR(__xludf.DUMMYFUNCTION("""COMPUTED_VALUE"""),"70001789")</f>
        <v>70001789</v>
      </c>
      <c r="D6390" s="380" t="s">
        <v>767</v>
      </c>
      <c r="E6390" s="380" t="s">
        <v>786</v>
      </c>
      <c r="F6390" s="380" t="s">
        <v>792</v>
      </c>
      <c r="G6390" s="380" t="s">
        <v>1267</v>
      </c>
      <c r="H6390" s="380" t="s">
        <v>771</v>
      </c>
      <c r="I6390" s="380" t="s">
        <v>788</v>
      </c>
      <c r="J6390" s="380" t="s">
        <v>773</v>
      </c>
      <c r="K6390" s="381">
        <v>0.0</v>
      </c>
      <c r="L6390" s="382">
        <v>1.0</v>
      </c>
    </row>
    <row r="6391">
      <c r="A6391" s="380" t="s">
        <v>7265</v>
      </c>
      <c r="B6391" s="380" t="str">
        <f>IFERROR(__xludf.DUMMYFUNCTION("""COMPUTED_VALUE"""),"Horquilla Cja Cambio 3Y4ta N200 23865104")</f>
        <v>Horquilla Cja Cambio 3Y4ta N200 23865104</v>
      </c>
      <c r="C6391" s="380" t="str">
        <f>IFERROR(__xludf.DUMMYFUNCTION("""COMPUTED_VALUE"""),"70001790")</f>
        <v>70001790</v>
      </c>
      <c r="D6391" s="380" t="s">
        <v>767</v>
      </c>
      <c r="E6391" s="380" t="s">
        <v>786</v>
      </c>
      <c r="F6391" s="380" t="s">
        <v>928</v>
      </c>
      <c r="G6391" s="380" t="s">
        <v>1267</v>
      </c>
      <c r="H6391" s="380" t="s">
        <v>771</v>
      </c>
      <c r="I6391" s="380" t="s">
        <v>788</v>
      </c>
      <c r="J6391" s="380" t="s">
        <v>773</v>
      </c>
      <c r="K6391" s="381">
        <v>0.0</v>
      </c>
      <c r="L6391" s="382">
        <v>1.0</v>
      </c>
    </row>
    <row r="6392">
      <c r="A6392" s="380" t="s">
        <v>7266</v>
      </c>
      <c r="B6392" s="380" t="str">
        <f>IFERROR(__xludf.DUMMYFUNCTION("""COMPUTED_VALUE"""),"Guardap Barra Cambios Nkr-Rew8970662872")</f>
        <v>Guardap Barra Cambios Nkr-Rew8970662872</v>
      </c>
      <c r="C6392" s="380" t="str">
        <f>IFERROR(__xludf.DUMMYFUNCTION("""COMPUTED_VALUE"""),"70001792")</f>
        <v>70001792</v>
      </c>
      <c r="D6392" s="380" t="s">
        <v>767</v>
      </c>
      <c r="E6392" s="380" t="s">
        <v>786</v>
      </c>
      <c r="F6392" s="380" t="s">
        <v>1020</v>
      </c>
      <c r="G6392" s="380" t="s">
        <v>1267</v>
      </c>
      <c r="H6392" s="380" t="s">
        <v>771</v>
      </c>
      <c r="I6392" s="380" t="s">
        <v>788</v>
      </c>
      <c r="J6392" s="380" t="s">
        <v>773</v>
      </c>
      <c r="K6392" s="381">
        <v>101284.0</v>
      </c>
      <c r="L6392" s="382">
        <v>1.0</v>
      </c>
    </row>
    <row r="6393">
      <c r="A6393" s="380" t="s">
        <v>7267</v>
      </c>
      <c r="B6393" s="380" t="str">
        <f>IFERROR(__xludf.DUMMYFUNCTION("""COMPUTED_VALUE"""),"Rele Elevavidrios N-200 24525342")</f>
        <v>Rele Elevavidrios N-200 24525342</v>
      </c>
      <c r="C6393" s="380" t="str">
        <f>IFERROR(__xludf.DUMMYFUNCTION("""COMPUTED_VALUE"""),"70001794")</f>
        <v>70001794</v>
      </c>
      <c r="D6393" s="380" t="s">
        <v>767</v>
      </c>
      <c r="E6393" s="380" t="s">
        <v>786</v>
      </c>
      <c r="F6393" s="380" t="s">
        <v>792</v>
      </c>
      <c r="G6393" s="380" t="s">
        <v>1267</v>
      </c>
      <c r="H6393" s="380" t="s">
        <v>771</v>
      </c>
      <c r="I6393" s="380" t="s">
        <v>788</v>
      </c>
      <c r="J6393" s="380" t="s">
        <v>773</v>
      </c>
      <c r="K6393" s="381">
        <v>43792.0</v>
      </c>
      <c r="L6393" s="382">
        <v>1.0</v>
      </c>
    </row>
    <row r="6394">
      <c r="A6394" s="380" t="s">
        <v>7268</v>
      </c>
      <c r="B6394" s="380" t="str">
        <f>IFERROR(__xludf.DUMMYFUNCTION("""COMPUTED_VALUE"""),"Cabina 700p Nkr-Rewar 8982292390")</f>
        <v>Cabina 700p Nkr-Rewar 8982292390</v>
      </c>
      <c r="C6394" s="380" t="str">
        <f>IFERROR(__xludf.DUMMYFUNCTION("""COMPUTED_VALUE"""),"70001795")</f>
        <v>70001795</v>
      </c>
      <c r="D6394" s="380" t="s">
        <v>767</v>
      </c>
      <c r="E6394" s="380" t="s">
        <v>786</v>
      </c>
      <c r="F6394" s="380" t="s">
        <v>792</v>
      </c>
      <c r="G6394" s="380" t="s">
        <v>1267</v>
      </c>
      <c r="H6394" s="380" t="s">
        <v>771</v>
      </c>
      <c r="I6394" s="380" t="s">
        <v>788</v>
      </c>
      <c r="J6394" s="380" t="s">
        <v>773</v>
      </c>
      <c r="K6394" s="381">
        <v>0.0</v>
      </c>
      <c r="L6394" s="382">
        <v>1.0</v>
      </c>
    </row>
    <row r="6395">
      <c r="A6395" s="380" t="s">
        <v>7269</v>
      </c>
      <c r="B6395" s="380" t="str">
        <f>IFERROR(__xludf.DUMMYFUNCTION("""COMPUTED_VALUE"""),"Tornillo Volante Motor Isx 3678740")</f>
        <v>Tornillo Volante Motor Isx 3678740</v>
      </c>
      <c r="C6395" s="380" t="str">
        <f>IFERROR(__xludf.DUMMYFUNCTION("""COMPUTED_VALUE"""),"70001796")</f>
        <v>70001796</v>
      </c>
      <c r="D6395" s="380" t="s">
        <v>767</v>
      </c>
      <c r="E6395" s="380" t="s">
        <v>786</v>
      </c>
      <c r="F6395" s="380" t="s">
        <v>787</v>
      </c>
      <c r="G6395" s="380" t="s">
        <v>1267</v>
      </c>
      <c r="H6395" s="380" t="s">
        <v>771</v>
      </c>
      <c r="I6395" s="380" t="s">
        <v>788</v>
      </c>
      <c r="J6395" s="380" t="s">
        <v>773</v>
      </c>
      <c r="K6395" s="381">
        <v>0.0</v>
      </c>
      <c r="L6395" s="382">
        <v>1.0</v>
      </c>
    </row>
    <row r="6396">
      <c r="A6396" s="380" t="s">
        <v>7270</v>
      </c>
      <c r="B6396" s="380" t="str">
        <f>IFERROR(__xludf.DUMMYFUNCTION("""COMPUTED_VALUE"""),"Unidad Control Cabina Nkr-Rewa8974110043")</f>
        <v>Unidad Control Cabina Nkr-Rewa8974110043</v>
      </c>
      <c r="C6396" s="380" t="str">
        <f>IFERROR(__xludf.DUMMYFUNCTION("""COMPUTED_VALUE"""),"70001798")</f>
        <v>70001798</v>
      </c>
      <c r="D6396" s="380" t="s">
        <v>767</v>
      </c>
      <c r="E6396" s="380" t="s">
        <v>786</v>
      </c>
      <c r="F6396" s="380" t="s">
        <v>792</v>
      </c>
      <c r="G6396" s="380" t="s">
        <v>1267</v>
      </c>
      <c r="H6396" s="380" t="s">
        <v>771</v>
      </c>
      <c r="I6396" s="380" t="s">
        <v>788</v>
      </c>
      <c r="J6396" s="380" t="s">
        <v>773</v>
      </c>
      <c r="K6396" s="381">
        <v>0.0</v>
      </c>
      <c r="L6396" s="382">
        <v>1.0</v>
      </c>
    </row>
    <row r="6397">
      <c r="A6397" s="380" t="s">
        <v>7271</v>
      </c>
      <c r="B6397" s="380" t="str">
        <f>IFERROR(__xludf.DUMMYFUNCTION("""COMPUTED_VALUE"""),"Gorro Valvula Culata Nkr Rewar8973286470")</f>
        <v>Gorro Valvula Culata Nkr Rewar8973286470</v>
      </c>
      <c r="C6397" s="380" t="str">
        <f>IFERROR(__xludf.DUMMYFUNCTION("""COMPUTED_VALUE"""),"70001799")</f>
        <v>70001799</v>
      </c>
      <c r="D6397" s="380" t="s">
        <v>767</v>
      </c>
      <c r="E6397" s="380" t="s">
        <v>786</v>
      </c>
      <c r="F6397" s="380" t="s">
        <v>787</v>
      </c>
      <c r="G6397" s="380" t="s">
        <v>1267</v>
      </c>
      <c r="H6397" s="380" t="s">
        <v>771</v>
      </c>
      <c r="I6397" s="380" t="s">
        <v>788</v>
      </c>
      <c r="J6397" s="380" t="s">
        <v>773</v>
      </c>
      <c r="K6397" s="381">
        <v>0.0</v>
      </c>
      <c r="L6397" s="382">
        <v>1.0</v>
      </c>
    </row>
    <row r="6398">
      <c r="A6398" s="380" t="s">
        <v>7272</v>
      </c>
      <c r="B6398" s="380" t="str">
        <f>IFERROR(__xludf.DUMMYFUNCTION("""COMPUTED_VALUE"""),"Valvula Admis Culata Nkr Rewar8980169730")</f>
        <v>Valvula Admis Culata Nkr Rewar8980169730</v>
      </c>
      <c r="C6398" s="380" t="str">
        <f>IFERROR(__xludf.DUMMYFUNCTION("""COMPUTED_VALUE"""),"70001800")</f>
        <v>70001800</v>
      </c>
      <c r="D6398" s="380" t="s">
        <v>767</v>
      </c>
      <c r="E6398" s="380" t="s">
        <v>786</v>
      </c>
      <c r="F6398" s="380" t="s">
        <v>787</v>
      </c>
      <c r="G6398" s="380" t="s">
        <v>1267</v>
      </c>
      <c r="H6398" s="380" t="s">
        <v>771</v>
      </c>
      <c r="I6398" s="380" t="s">
        <v>788</v>
      </c>
      <c r="J6398" s="380" t="s">
        <v>773</v>
      </c>
      <c r="K6398" s="381">
        <v>0.0</v>
      </c>
      <c r="L6398" s="382">
        <v>1.0</v>
      </c>
    </row>
    <row r="6399">
      <c r="A6399" s="380" t="s">
        <v>7273</v>
      </c>
      <c r="B6399" s="380" t="str">
        <f>IFERROR(__xludf.DUMMYFUNCTION("""COMPUTED_VALUE"""),"Valvula Escape Culata Nkr Rewa8980169741")</f>
        <v>Valvula Escape Culata Nkr Rewa8980169741</v>
      </c>
      <c r="C6399" s="380" t="str">
        <f>IFERROR(__xludf.DUMMYFUNCTION("""COMPUTED_VALUE"""),"70001801")</f>
        <v>70001801</v>
      </c>
      <c r="D6399" s="380" t="s">
        <v>767</v>
      </c>
      <c r="E6399" s="380" t="s">
        <v>786</v>
      </c>
      <c r="F6399" s="380" t="s">
        <v>787</v>
      </c>
      <c r="G6399" s="380" t="s">
        <v>1267</v>
      </c>
      <c r="H6399" s="380" t="s">
        <v>771</v>
      </c>
      <c r="I6399" s="380" t="s">
        <v>788</v>
      </c>
      <c r="J6399" s="380" t="s">
        <v>773</v>
      </c>
      <c r="K6399" s="381">
        <v>0.0</v>
      </c>
      <c r="L6399" s="382">
        <v>1.0</v>
      </c>
    </row>
    <row r="6400">
      <c r="A6400" s="380" t="s">
        <v>7274</v>
      </c>
      <c r="B6400" s="380" t="str">
        <f>IFERROR(__xludf.DUMMYFUNCTION("""COMPUTED_VALUE"""),"Empaq Tapa Valv Motor R.Master7701472450")</f>
        <v>Empaq Tapa Valv Motor R.Master7701472450</v>
      </c>
      <c r="C6400" s="380" t="str">
        <f>IFERROR(__xludf.DUMMYFUNCTION("""COMPUTED_VALUE"""),"70001803")</f>
        <v>70001803</v>
      </c>
      <c r="D6400" s="380" t="s">
        <v>767</v>
      </c>
      <c r="E6400" s="380" t="s">
        <v>786</v>
      </c>
      <c r="F6400" s="380" t="s">
        <v>787</v>
      </c>
      <c r="G6400" s="380" t="s">
        <v>1267</v>
      </c>
      <c r="H6400" s="380" t="s">
        <v>771</v>
      </c>
      <c r="I6400" s="380" t="s">
        <v>788</v>
      </c>
      <c r="J6400" s="380" t="s">
        <v>773</v>
      </c>
      <c r="K6400" s="381">
        <v>0.0</v>
      </c>
      <c r="L6400" s="382">
        <v>1.0</v>
      </c>
    </row>
    <row r="6401">
      <c r="A6401" s="380" t="s">
        <v>7275</v>
      </c>
      <c r="B6401" s="380" t="str">
        <f>IFERROR(__xludf.DUMMYFUNCTION("""COMPUTED_VALUE"""),"Filtro Combustib Full Pro Goby AG-971001")</f>
        <v>Filtro Combustib Full Pro Goby AG-971001</v>
      </c>
      <c r="C6401" s="380" t="str">
        <f>IFERROR(__xludf.DUMMYFUNCTION("""COMPUTED_VALUE"""),"70001804")</f>
        <v>70001804</v>
      </c>
      <c r="D6401" s="380" t="s">
        <v>767</v>
      </c>
      <c r="E6401" s="380" t="s">
        <v>786</v>
      </c>
      <c r="F6401" s="380" t="s">
        <v>5855</v>
      </c>
      <c r="G6401" s="380" t="s">
        <v>1267</v>
      </c>
      <c r="H6401" s="380" t="s">
        <v>771</v>
      </c>
      <c r="I6401" s="380" t="s">
        <v>788</v>
      </c>
      <c r="J6401" s="380" t="s">
        <v>773</v>
      </c>
      <c r="K6401" s="381">
        <v>55416.0</v>
      </c>
      <c r="L6401" s="382">
        <v>1.0</v>
      </c>
    </row>
    <row r="6402">
      <c r="A6402" s="380" t="s">
        <v>7276</v>
      </c>
      <c r="B6402" s="380" t="str">
        <f>IFERROR(__xludf.DUMMYFUNCTION("""COMPUTED_VALUE"""),"Lampara Led Rda 2 1/2 12v Cauch 8l-113-A")</f>
        <v>Lampara Led Rda 2 1/2 12v Cauch 8l-113-A</v>
      </c>
      <c r="C6402" s="380" t="str">
        <f>IFERROR(__xludf.DUMMYFUNCTION("""COMPUTED_VALUE"""),"70001805")</f>
        <v>70001805</v>
      </c>
      <c r="D6402" s="380" t="s">
        <v>767</v>
      </c>
      <c r="E6402" s="380" t="s">
        <v>786</v>
      </c>
      <c r="F6402" s="380" t="s">
        <v>998</v>
      </c>
      <c r="G6402" s="380" t="s">
        <v>1267</v>
      </c>
      <c r="H6402" s="380" t="s">
        <v>771</v>
      </c>
      <c r="I6402" s="380" t="s">
        <v>788</v>
      </c>
      <c r="J6402" s="380" t="s">
        <v>773</v>
      </c>
      <c r="K6402" s="381">
        <v>17870.0</v>
      </c>
      <c r="L6402" s="382">
        <v>1.0</v>
      </c>
    </row>
    <row r="6403">
      <c r="A6403" s="380" t="s">
        <v>7277</v>
      </c>
      <c r="B6403" s="380" t="str">
        <f>IFERROR(__xludf.DUMMYFUNCTION("""COMPUTED_VALUE"""),"Panel Superior Tablero Izq Isx 3562521C3")</f>
        <v>Panel Superior Tablero Izq Isx 3562521C3</v>
      </c>
      <c r="C6403" s="380" t="str">
        <f>IFERROR(__xludf.DUMMYFUNCTION("""COMPUTED_VALUE"""),"70001806")</f>
        <v>70001806</v>
      </c>
      <c r="D6403" s="380" t="s">
        <v>767</v>
      </c>
      <c r="E6403" s="380" t="s">
        <v>786</v>
      </c>
      <c r="F6403" s="380" t="s">
        <v>792</v>
      </c>
      <c r="G6403" s="380" t="s">
        <v>1267</v>
      </c>
      <c r="H6403" s="380" t="s">
        <v>771</v>
      </c>
      <c r="I6403" s="380" t="s">
        <v>788</v>
      </c>
      <c r="J6403" s="380" t="s">
        <v>773</v>
      </c>
      <c r="K6403" s="381">
        <v>0.0</v>
      </c>
      <c r="L6403" s="382">
        <v>1.0</v>
      </c>
    </row>
    <row r="6404">
      <c r="A6404" s="380" t="s">
        <v>7278</v>
      </c>
      <c r="B6404" s="380" t="str">
        <f>IFERROR(__xludf.DUMMYFUNCTION("""COMPUTED_VALUE"""),"Panel Superior Tablero Der Isx 3562522C3")</f>
        <v>Panel Superior Tablero Der Isx 3562522C3</v>
      </c>
      <c r="C6404" s="380" t="str">
        <f>IFERROR(__xludf.DUMMYFUNCTION("""COMPUTED_VALUE"""),"70001807")</f>
        <v>70001807</v>
      </c>
      <c r="D6404" s="380" t="s">
        <v>767</v>
      </c>
      <c r="E6404" s="380" t="s">
        <v>786</v>
      </c>
      <c r="F6404" s="380" t="s">
        <v>792</v>
      </c>
      <c r="G6404" s="380" t="s">
        <v>1267</v>
      </c>
      <c r="H6404" s="380" t="s">
        <v>771</v>
      </c>
      <c r="I6404" s="380" t="s">
        <v>788</v>
      </c>
      <c r="J6404" s="380" t="s">
        <v>773</v>
      </c>
      <c r="K6404" s="381">
        <v>0.0</v>
      </c>
      <c r="L6404" s="382">
        <v>1.0</v>
      </c>
    </row>
    <row r="6405">
      <c r="A6405" s="380" t="s">
        <v>7279</v>
      </c>
      <c r="B6405" s="380" t="str">
        <f>IFERROR(__xludf.DUMMYFUNCTION("""COMPUTED_VALUE"""),"Terminal Barra Estabiliz N200 23868732")</f>
        <v>Terminal Barra Estabiliz N200 23868732</v>
      </c>
      <c r="C6405" s="380" t="str">
        <f>IFERROR(__xludf.DUMMYFUNCTION("""COMPUTED_VALUE"""),"70001809")</f>
        <v>70001809</v>
      </c>
      <c r="D6405" s="380" t="s">
        <v>767</v>
      </c>
      <c r="E6405" s="380" t="s">
        <v>786</v>
      </c>
      <c r="F6405" s="380" t="s">
        <v>1020</v>
      </c>
      <c r="G6405" s="380" t="s">
        <v>1267</v>
      </c>
      <c r="H6405" s="380" t="s">
        <v>771</v>
      </c>
      <c r="I6405" s="380" t="s">
        <v>788</v>
      </c>
      <c r="J6405" s="380" t="s">
        <v>773</v>
      </c>
      <c r="K6405" s="381">
        <v>0.0</v>
      </c>
      <c r="L6405" s="382">
        <v>1.0</v>
      </c>
    </row>
    <row r="6406">
      <c r="A6406" s="380" t="s">
        <v>7280</v>
      </c>
      <c r="B6406" s="380" t="str">
        <f>IFERROR(__xludf.DUMMYFUNCTION("""COMPUTED_VALUE"""),"Sensor Presion Aire Freno Eagle2035007C2")</f>
        <v>Sensor Presion Aire Freno Eagle2035007C2</v>
      </c>
      <c r="C6406" s="380" t="str">
        <f>IFERROR(__xludf.DUMMYFUNCTION("""COMPUTED_VALUE"""),"70001810")</f>
        <v>70001810</v>
      </c>
      <c r="D6406" s="380" t="s">
        <v>767</v>
      </c>
      <c r="E6406" s="380" t="s">
        <v>786</v>
      </c>
      <c r="F6406" s="380" t="s">
        <v>1017</v>
      </c>
      <c r="G6406" s="380" t="s">
        <v>1267</v>
      </c>
      <c r="H6406" s="380" t="s">
        <v>771</v>
      </c>
      <c r="I6406" s="380" t="s">
        <v>788</v>
      </c>
      <c r="J6406" s="380" t="s">
        <v>773</v>
      </c>
      <c r="K6406" s="381">
        <v>137457.0</v>
      </c>
      <c r="L6406" s="382">
        <v>1.0</v>
      </c>
    </row>
    <row r="6407">
      <c r="A6407" s="380" t="s">
        <v>7281</v>
      </c>
      <c r="B6407" s="380" t="str">
        <f>IFERROR(__xludf.DUMMYFUNCTION("""COMPUTED_VALUE"""),"Baline Eje Prop Cja16918 Eagl FUL4301417")</f>
        <v>Baline Eje Prop Cja16918 Eagl FUL4301417</v>
      </c>
      <c r="C6407" s="380" t="str">
        <f>IFERROR(__xludf.DUMMYFUNCTION("""COMPUTED_VALUE"""),"70001811")</f>
        <v>70001811</v>
      </c>
      <c r="D6407" s="380" t="s">
        <v>767</v>
      </c>
      <c r="E6407" s="380" t="s">
        <v>786</v>
      </c>
      <c r="F6407" s="380" t="s">
        <v>928</v>
      </c>
      <c r="G6407" s="380" t="s">
        <v>1267</v>
      </c>
      <c r="H6407" s="380" t="s">
        <v>771</v>
      </c>
      <c r="I6407" s="380" t="s">
        <v>788</v>
      </c>
      <c r="J6407" s="380" t="s">
        <v>773</v>
      </c>
      <c r="K6407" s="381">
        <v>0.0</v>
      </c>
      <c r="L6407" s="382">
        <v>1.0</v>
      </c>
    </row>
    <row r="6408">
      <c r="A6408" s="380" t="s">
        <v>7282</v>
      </c>
      <c r="B6408" s="380" t="str">
        <f>IFERROR(__xludf.DUMMYFUNCTION("""COMPUTED_VALUE"""),"Volante Motor Isx 3680922")</f>
        <v>Volante Motor Isx 3680922</v>
      </c>
      <c r="C6408" s="380" t="str">
        <f>IFERROR(__xludf.DUMMYFUNCTION("""COMPUTED_VALUE"""),"70001813")</f>
        <v>70001813</v>
      </c>
      <c r="D6408" s="380" t="s">
        <v>767</v>
      </c>
      <c r="E6408" s="380" t="s">
        <v>786</v>
      </c>
      <c r="F6408" s="380" t="s">
        <v>787</v>
      </c>
      <c r="G6408" s="380" t="s">
        <v>1267</v>
      </c>
      <c r="H6408" s="380" t="s">
        <v>771</v>
      </c>
      <c r="I6408" s="380" t="s">
        <v>788</v>
      </c>
      <c r="J6408" s="380" t="s">
        <v>773</v>
      </c>
      <c r="K6408" s="381">
        <v>0.0</v>
      </c>
      <c r="L6408" s="382">
        <v>1.0</v>
      </c>
    </row>
    <row r="6409">
      <c r="A6409" s="380" t="s">
        <v>7283</v>
      </c>
      <c r="B6409" s="380" t="str">
        <f>IFERROR(__xludf.DUMMYFUNCTION("""COMPUTED_VALUE"""),"Vaso Filtro Comb Tramp Nkr Rew8980960040")</f>
        <v>Vaso Filtro Comb Tramp Nkr Rew8980960040</v>
      </c>
      <c r="C6409" s="380" t="str">
        <f>IFERROR(__xludf.DUMMYFUNCTION("""COMPUTED_VALUE"""),"70001814")</f>
        <v>70001814</v>
      </c>
      <c r="D6409" s="380" t="s">
        <v>767</v>
      </c>
      <c r="E6409" s="380" t="s">
        <v>786</v>
      </c>
      <c r="F6409" s="380" t="s">
        <v>787</v>
      </c>
      <c r="G6409" s="380" t="s">
        <v>1267</v>
      </c>
      <c r="H6409" s="380" t="s">
        <v>771</v>
      </c>
      <c r="I6409" s="380" t="s">
        <v>788</v>
      </c>
      <c r="J6409" s="380" t="s">
        <v>773</v>
      </c>
      <c r="K6409" s="381">
        <v>0.0</v>
      </c>
      <c r="L6409" s="382">
        <v>1.0</v>
      </c>
    </row>
    <row r="6410">
      <c r="A6410" s="380" t="s">
        <v>7284</v>
      </c>
      <c r="B6410" s="380" t="str">
        <f>IFERROR(__xludf.DUMMYFUNCTION("""COMPUTED_VALUE"""),"Empaque Tapa Valvulas Nkr 8979453380")</f>
        <v>Empaque Tapa Valvulas Nkr 8979453380</v>
      </c>
      <c r="C6410" s="380" t="str">
        <f>IFERROR(__xludf.DUMMYFUNCTION("""COMPUTED_VALUE"""),"70001815")</f>
        <v>70001815</v>
      </c>
      <c r="D6410" s="380" t="s">
        <v>767</v>
      </c>
      <c r="E6410" s="380" t="s">
        <v>786</v>
      </c>
      <c r="F6410" s="380" t="s">
        <v>787</v>
      </c>
      <c r="G6410" s="380" t="s">
        <v>1267</v>
      </c>
      <c r="H6410" s="380" t="s">
        <v>771</v>
      </c>
      <c r="I6410" s="380" t="s">
        <v>788</v>
      </c>
      <c r="J6410" s="380" t="s">
        <v>773</v>
      </c>
      <c r="K6410" s="381">
        <v>0.0</v>
      </c>
      <c r="L6410" s="382">
        <v>1.0</v>
      </c>
    </row>
    <row r="6411">
      <c r="A6411" s="380" t="s">
        <v>7285</v>
      </c>
      <c r="B6411" s="380" t="str">
        <f>IFERROR(__xludf.DUMMYFUNCTION("""COMPUTED_VALUE"""),"Sello Loza Bomba Agua Eagle 302909900")</f>
        <v>Sello Loza Bomba Agua Eagle 302909900</v>
      </c>
      <c r="C6411" s="380" t="str">
        <f>IFERROR(__xludf.DUMMYFUNCTION("""COMPUTED_VALUE"""),"70001817")</f>
        <v>70001817</v>
      </c>
      <c r="D6411" s="380" t="s">
        <v>767</v>
      </c>
      <c r="E6411" s="380" t="s">
        <v>786</v>
      </c>
      <c r="F6411" s="380" t="s">
        <v>787</v>
      </c>
      <c r="G6411" s="380" t="s">
        <v>1267</v>
      </c>
      <c r="H6411" s="380" t="s">
        <v>771</v>
      </c>
      <c r="I6411" s="380" t="s">
        <v>788</v>
      </c>
      <c r="J6411" s="380" t="s">
        <v>773</v>
      </c>
      <c r="K6411" s="381">
        <v>0.0</v>
      </c>
      <c r="L6411" s="382">
        <v>1.0</v>
      </c>
    </row>
    <row r="6412">
      <c r="A6412" s="380" t="s">
        <v>7286</v>
      </c>
      <c r="B6412" s="380" t="str">
        <f>IFERROR(__xludf.DUMMYFUNCTION("""COMPUTED_VALUE"""),"Soporte Lampara Ovalada Fabricada")</f>
        <v>Soporte Lampara Ovalada Fabricada</v>
      </c>
      <c r="C6412" s="380" t="str">
        <f>IFERROR(__xludf.DUMMYFUNCTION("""COMPUTED_VALUE"""),"70001818")</f>
        <v>70001818</v>
      </c>
      <c r="D6412" s="380" t="s">
        <v>767</v>
      </c>
      <c r="E6412" s="380" t="s">
        <v>786</v>
      </c>
      <c r="F6412" s="380" t="s">
        <v>792</v>
      </c>
      <c r="G6412" s="380" t="s">
        <v>1267</v>
      </c>
      <c r="H6412" s="380" t="s">
        <v>771</v>
      </c>
      <c r="I6412" s="380" t="s">
        <v>788</v>
      </c>
      <c r="J6412" s="380" t="s">
        <v>773</v>
      </c>
      <c r="K6412" s="381">
        <v>0.0</v>
      </c>
      <c r="L6412" s="382">
        <v>1.0</v>
      </c>
    </row>
    <row r="6413">
      <c r="A6413" s="380" t="s">
        <v>7287</v>
      </c>
      <c r="B6413" s="380" t="str">
        <f>IFERROR(__xludf.DUMMYFUNCTION("""COMPUTED_VALUE"""),"Turbo Descargad Foton 1120-7705946175685")</f>
        <v>Turbo Descargad Foton 1120-7705946175685</v>
      </c>
      <c r="C6413" s="380" t="str">
        <f>IFERROR(__xludf.DUMMYFUNCTION("""COMPUTED_VALUE"""),"70001819")</f>
        <v>70001819</v>
      </c>
      <c r="D6413" s="380" t="s">
        <v>767</v>
      </c>
      <c r="E6413" s="380" t="s">
        <v>786</v>
      </c>
      <c r="F6413" s="380" t="s">
        <v>787</v>
      </c>
      <c r="G6413" s="380" t="s">
        <v>1267</v>
      </c>
      <c r="H6413" s="380" t="s">
        <v>771</v>
      </c>
      <c r="I6413" s="380" t="s">
        <v>788</v>
      </c>
      <c r="J6413" s="380" t="s">
        <v>773</v>
      </c>
      <c r="K6413" s="381">
        <v>0.0</v>
      </c>
      <c r="L6413" s="382">
        <v>1.0</v>
      </c>
    </row>
    <row r="6414">
      <c r="A6414" s="380" t="s">
        <v>7288</v>
      </c>
      <c r="B6414" s="380" t="str">
        <f>IFERROR(__xludf.DUMMYFUNCTION("""COMPUTED_VALUE"""),"Caja Direccion Nkr Reward 8981012981")</f>
        <v>Caja Direccion Nkr Reward 8981012981</v>
      </c>
      <c r="C6414" s="380" t="str">
        <f>IFERROR(__xludf.DUMMYFUNCTION("""COMPUTED_VALUE"""),"70001820")</f>
        <v>70001820</v>
      </c>
      <c r="D6414" s="380" t="s">
        <v>767</v>
      </c>
      <c r="E6414" s="380" t="s">
        <v>786</v>
      </c>
      <c r="F6414" s="380" t="s">
        <v>1020</v>
      </c>
      <c r="G6414" s="380" t="s">
        <v>1267</v>
      </c>
      <c r="H6414" s="380" t="s">
        <v>771</v>
      </c>
      <c r="I6414" s="380" t="s">
        <v>788</v>
      </c>
      <c r="J6414" s="380" t="s">
        <v>773</v>
      </c>
      <c r="K6414" s="381">
        <v>0.0</v>
      </c>
      <c r="L6414" s="382">
        <v>1.0</v>
      </c>
    </row>
    <row r="6415">
      <c r="A6415" s="380" t="s">
        <v>7289</v>
      </c>
      <c r="B6415" s="380" t="str">
        <f>IFERROR(__xludf.DUMMYFUNCTION("""COMPUTED_VALUE"""),"Barra Torcion Cabina Nkr-Rewar 898020954")</f>
        <v>Barra Torcion Cabina Nkr-Rewar 898020954</v>
      </c>
      <c r="C6415" s="380" t="str">
        <f>IFERROR(__xludf.DUMMYFUNCTION("""COMPUTED_VALUE"""),"70001821")</f>
        <v>70001821</v>
      </c>
      <c r="D6415" s="380" t="s">
        <v>767</v>
      </c>
      <c r="E6415" s="380" t="s">
        <v>786</v>
      </c>
      <c r="F6415" s="380" t="s">
        <v>792</v>
      </c>
      <c r="G6415" s="380" t="s">
        <v>1267</v>
      </c>
      <c r="H6415" s="380" t="s">
        <v>771</v>
      </c>
      <c r="I6415" s="380" t="s">
        <v>788</v>
      </c>
      <c r="J6415" s="380" t="s">
        <v>773</v>
      </c>
      <c r="K6415" s="381">
        <v>0.0</v>
      </c>
      <c r="L6415" s="382">
        <v>1.0</v>
      </c>
    </row>
    <row r="6416">
      <c r="A6416" s="380" t="s">
        <v>7290</v>
      </c>
      <c r="B6416" s="380" t="str">
        <f>IFERROR(__xludf.DUMMYFUNCTION("""COMPUTED_VALUE"""),"Eje Barra Torcion Cab Nkr-Rew 8980210330")</f>
        <v>Eje Barra Torcion Cab Nkr-Rew 8980210330</v>
      </c>
      <c r="C6416" s="380" t="str">
        <f>IFERROR(__xludf.DUMMYFUNCTION("""COMPUTED_VALUE"""),"70001822")</f>
        <v>70001822</v>
      </c>
      <c r="D6416" s="380" t="s">
        <v>767</v>
      </c>
      <c r="E6416" s="380" t="s">
        <v>786</v>
      </c>
      <c r="F6416" s="380" t="s">
        <v>792</v>
      </c>
      <c r="G6416" s="380" t="s">
        <v>1267</v>
      </c>
      <c r="H6416" s="380" t="s">
        <v>771</v>
      </c>
      <c r="I6416" s="380" t="s">
        <v>788</v>
      </c>
      <c r="J6416" s="380" t="s">
        <v>773</v>
      </c>
      <c r="K6416" s="381">
        <v>0.0</v>
      </c>
      <c r="L6416" s="382">
        <v>1.0</v>
      </c>
    </row>
    <row r="6417">
      <c r="A6417" s="380" t="s">
        <v>7291</v>
      </c>
      <c r="B6417" s="380" t="str">
        <f>IFERROR(__xludf.DUMMYFUNCTION("""COMPUTED_VALUE"""),"Soport Montaje Cab Der Nkr-Rew8980214095")</f>
        <v>Soport Montaje Cab Der Nkr-Rew8980214095</v>
      </c>
      <c r="C6417" s="380" t="str">
        <f>IFERROR(__xludf.DUMMYFUNCTION("""COMPUTED_VALUE"""),"70001823")</f>
        <v>70001823</v>
      </c>
      <c r="D6417" s="380" t="s">
        <v>767</v>
      </c>
      <c r="E6417" s="380" t="s">
        <v>786</v>
      </c>
      <c r="F6417" s="380" t="s">
        <v>792</v>
      </c>
      <c r="G6417" s="380" t="s">
        <v>1267</v>
      </c>
      <c r="H6417" s="380" t="s">
        <v>771</v>
      </c>
      <c r="I6417" s="380" t="s">
        <v>788</v>
      </c>
      <c r="J6417" s="380" t="s">
        <v>773</v>
      </c>
      <c r="K6417" s="381">
        <v>0.0</v>
      </c>
      <c r="L6417" s="382">
        <v>1.0</v>
      </c>
    </row>
    <row r="6418">
      <c r="A6418" s="380" t="s">
        <v>7292</v>
      </c>
      <c r="B6418" s="380" t="str">
        <f>IFERROR(__xludf.DUMMYFUNCTION("""COMPUTED_VALUE"""),"Soport Montaje Cab Izq Nkr-Rew8980214085")</f>
        <v>Soport Montaje Cab Izq Nkr-Rew8980214085</v>
      </c>
      <c r="C6418" s="380" t="str">
        <f>IFERROR(__xludf.DUMMYFUNCTION("""COMPUTED_VALUE"""),"70001824")</f>
        <v>70001824</v>
      </c>
      <c r="D6418" s="380" t="s">
        <v>767</v>
      </c>
      <c r="E6418" s="380" t="s">
        <v>786</v>
      </c>
      <c r="F6418" s="380" t="s">
        <v>792</v>
      </c>
      <c r="G6418" s="380" t="s">
        <v>1267</v>
      </c>
      <c r="H6418" s="380" t="s">
        <v>771</v>
      </c>
      <c r="I6418" s="380" t="s">
        <v>788</v>
      </c>
      <c r="J6418" s="380" t="s">
        <v>773</v>
      </c>
      <c r="K6418" s="381">
        <v>0.0</v>
      </c>
      <c r="L6418" s="382">
        <v>1.0</v>
      </c>
    </row>
    <row r="6419">
      <c r="A6419" s="380" t="s">
        <v>7293</v>
      </c>
      <c r="B6419" s="380" t="str">
        <f>IFERROR(__xludf.DUMMYFUNCTION("""COMPUTED_VALUE"""),"Tapa Torre Mono Caja 16918 Eagle 4302320")</f>
        <v>Tapa Torre Mono Caja 16918 Eagle 4302320</v>
      </c>
      <c r="C6419" s="380" t="str">
        <f>IFERROR(__xludf.DUMMYFUNCTION("""COMPUTED_VALUE"""),"70001825")</f>
        <v>70001825</v>
      </c>
      <c r="D6419" s="380" t="s">
        <v>767</v>
      </c>
      <c r="E6419" s="380" t="s">
        <v>786</v>
      </c>
      <c r="F6419" s="380" t="s">
        <v>928</v>
      </c>
      <c r="G6419" s="380" t="s">
        <v>1267</v>
      </c>
      <c r="H6419" s="380" t="s">
        <v>771</v>
      </c>
      <c r="I6419" s="380" t="s">
        <v>788</v>
      </c>
      <c r="J6419" s="380" t="s">
        <v>773</v>
      </c>
      <c r="K6419" s="381">
        <v>0.0</v>
      </c>
      <c r="L6419" s="382">
        <v>1.0</v>
      </c>
    </row>
    <row r="6420">
      <c r="A6420" s="380" t="s">
        <v>7294</v>
      </c>
      <c r="B6420" s="380" t="str">
        <f>IFERROR(__xludf.DUMMYFUNCTION("""COMPUTED_VALUE"""),"Manguera Aire 1/4 150PSI Acopl X14Mts")</f>
        <v>Manguera Aire 1/4 150PSI Acopl X14Mts</v>
      </c>
      <c r="C6420" s="380" t="str">
        <f>IFERROR(__xludf.DUMMYFUNCTION("""COMPUTED_VALUE"""),"70001826")</f>
        <v>70001826</v>
      </c>
      <c r="D6420" s="380" t="s">
        <v>767</v>
      </c>
      <c r="E6420" s="380" t="s">
        <v>786</v>
      </c>
      <c r="F6420" s="380" t="s">
        <v>989</v>
      </c>
      <c r="G6420" s="380" t="s">
        <v>1267</v>
      </c>
      <c r="H6420" s="380" t="s">
        <v>771</v>
      </c>
      <c r="I6420" s="380" t="s">
        <v>788</v>
      </c>
      <c r="J6420" s="380" t="s">
        <v>773</v>
      </c>
      <c r="K6420" s="381">
        <v>0.0</v>
      </c>
      <c r="L6420" s="382">
        <v>1.0</v>
      </c>
    </row>
    <row r="6421">
      <c r="A6421" s="380" t="s">
        <v>7295</v>
      </c>
      <c r="B6421" s="380" t="str">
        <f>IFERROR(__xludf.DUMMYFUNCTION("""COMPUTED_VALUE"""),"Eje Corredizo Caja Nkr 8973688370")</f>
        <v>Eje Corredizo Caja Nkr 8973688370</v>
      </c>
      <c r="C6421" s="380" t="str">
        <f>IFERROR(__xludf.DUMMYFUNCTION("""COMPUTED_VALUE"""),"70001827")</f>
        <v>70001827</v>
      </c>
      <c r="D6421" s="380" t="s">
        <v>767</v>
      </c>
      <c r="E6421" s="380" t="s">
        <v>786</v>
      </c>
      <c r="F6421" s="380" t="s">
        <v>928</v>
      </c>
      <c r="G6421" s="380" t="s">
        <v>1267</v>
      </c>
      <c r="H6421" s="380" t="s">
        <v>771</v>
      </c>
      <c r="I6421" s="380" t="s">
        <v>788</v>
      </c>
      <c r="J6421" s="380" t="s">
        <v>773</v>
      </c>
      <c r="K6421" s="381">
        <v>0.0</v>
      </c>
      <c r="L6421" s="382">
        <v>1.0</v>
      </c>
    </row>
    <row r="6422">
      <c r="A6422" s="380" t="s">
        <v>7296</v>
      </c>
      <c r="B6422" s="380" t="str">
        <f>IFERROR(__xludf.DUMMYFUNCTION("""COMPUTED_VALUE"""),"Relay Luz Parqueo N200 9053268")</f>
        <v>Relay Luz Parqueo N200 9053268</v>
      </c>
      <c r="C6422" s="380" t="str">
        <f>IFERROR(__xludf.DUMMYFUNCTION("""COMPUTED_VALUE"""),"70001828")</f>
        <v>70001828</v>
      </c>
      <c r="D6422" s="380" t="s">
        <v>767</v>
      </c>
      <c r="E6422" s="380" t="s">
        <v>786</v>
      </c>
      <c r="F6422" s="380" t="s">
        <v>998</v>
      </c>
      <c r="G6422" s="380" t="s">
        <v>1267</v>
      </c>
      <c r="H6422" s="380" t="s">
        <v>771</v>
      </c>
      <c r="I6422" s="380" t="s">
        <v>788</v>
      </c>
      <c r="J6422" s="380" t="s">
        <v>773</v>
      </c>
      <c r="K6422" s="381">
        <v>0.0</v>
      </c>
      <c r="L6422" s="382">
        <v>1.0</v>
      </c>
    </row>
    <row r="6423">
      <c r="A6423" s="380" t="s">
        <v>7297</v>
      </c>
      <c r="B6423" s="380" t="str">
        <f>IFERROR(__xludf.DUMMYFUNCTION("""COMPUTED_VALUE"""),"Exploradora Retangular Hella 450")</f>
        <v>Exploradora Retangular Hella 450</v>
      </c>
      <c r="C6423" s="380" t="str">
        <f>IFERROR(__xludf.DUMMYFUNCTION("""COMPUTED_VALUE"""),"70001829")</f>
        <v>70001829</v>
      </c>
      <c r="D6423" s="380" t="s">
        <v>767</v>
      </c>
      <c r="E6423" s="380" t="s">
        <v>786</v>
      </c>
      <c r="F6423" s="380" t="s">
        <v>998</v>
      </c>
      <c r="G6423" s="380" t="s">
        <v>1267</v>
      </c>
      <c r="H6423" s="380" t="s">
        <v>771</v>
      </c>
      <c r="I6423" s="380" t="s">
        <v>788</v>
      </c>
      <c r="J6423" s="380" t="s">
        <v>773</v>
      </c>
      <c r="K6423" s="381">
        <v>0.0</v>
      </c>
      <c r="L6423" s="382">
        <v>1.0</v>
      </c>
    </row>
    <row r="6424">
      <c r="A6424" s="380" t="s">
        <v>7298</v>
      </c>
      <c r="B6424" s="380" t="str">
        <f>IFERROR(__xludf.DUMMYFUNCTION("""COMPUTED_VALUE"""),"Bombillo Exploradora H3 24 Volt 48700")</f>
        <v>Bombillo Exploradora H3 24 Volt 48700</v>
      </c>
      <c r="C6424" s="380" t="str">
        <f>IFERROR(__xludf.DUMMYFUNCTION("""COMPUTED_VALUE"""),"70001830")</f>
        <v>70001830</v>
      </c>
      <c r="D6424" s="380" t="s">
        <v>767</v>
      </c>
      <c r="E6424" s="380" t="s">
        <v>786</v>
      </c>
      <c r="F6424" s="380" t="s">
        <v>998</v>
      </c>
      <c r="G6424" s="380" t="s">
        <v>1267</v>
      </c>
      <c r="H6424" s="380" t="s">
        <v>771</v>
      </c>
      <c r="I6424" s="380" t="s">
        <v>788</v>
      </c>
      <c r="J6424" s="380" t="s">
        <v>773</v>
      </c>
      <c r="K6424" s="381">
        <v>0.0</v>
      </c>
      <c r="L6424" s="382">
        <v>1.0</v>
      </c>
    </row>
    <row r="6425">
      <c r="A6425" s="380" t="s">
        <v>7299</v>
      </c>
      <c r="B6425" s="380" t="str">
        <f>IFERROR(__xludf.DUMMYFUNCTION("""COMPUTED_VALUE"""),"Acople Cruceta Cardan Nkr 8972111160")</f>
        <v>Acople Cruceta Cardan Nkr 8972111160</v>
      </c>
      <c r="C6425" s="380" t="str">
        <f>IFERROR(__xludf.DUMMYFUNCTION("""COMPUTED_VALUE"""),"70001831")</f>
        <v>70001831</v>
      </c>
      <c r="D6425" s="380" t="s">
        <v>767</v>
      </c>
      <c r="E6425" s="380" t="s">
        <v>786</v>
      </c>
      <c r="F6425" s="380" t="s">
        <v>5683</v>
      </c>
      <c r="G6425" s="380" t="s">
        <v>1267</v>
      </c>
      <c r="H6425" s="380" t="s">
        <v>771</v>
      </c>
      <c r="I6425" s="380" t="s">
        <v>788</v>
      </c>
      <c r="J6425" s="380" t="s">
        <v>773</v>
      </c>
      <c r="K6425" s="381">
        <v>0.0</v>
      </c>
      <c r="L6425" s="382">
        <v>1.0</v>
      </c>
    </row>
    <row r="6426">
      <c r="A6426" s="380" t="s">
        <v>7300</v>
      </c>
      <c r="B6426" s="380" t="str">
        <f>IFERROR(__xludf.DUMMYFUNCTION("""COMPUTED_VALUE"""),"Manguera Aire Presion 1/2 1/2"" Acopl")</f>
        <v>Manguera Aire Presion 1/2 1/2" Acopl</v>
      </c>
      <c r="C6426" s="380" t="str">
        <f>IFERROR(__xludf.DUMMYFUNCTION("""COMPUTED_VALUE"""),"70001832")</f>
        <v>70001832</v>
      </c>
      <c r="D6426" s="380" t="s">
        <v>767</v>
      </c>
      <c r="E6426" s="380" t="s">
        <v>786</v>
      </c>
      <c r="F6426" s="380" t="s">
        <v>989</v>
      </c>
      <c r="G6426" s="380" t="s">
        <v>1267</v>
      </c>
      <c r="H6426" s="380" t="s">
        <v>771</v>
      </c>
      <c r="I6426" s="380" t="s">
        <v>788</v>
      </c>
      <c r="J6426" s="380" t="s">
        <v>773</v>
      </c>
      <c r="K6426" s="381">
        <v>99365.0</v>
      </c>
      <c r="L6426" s="382">
        <v>1.0</v>
      </c>
    </row>
    <row r="6427">
      <c r="A6427" s="380" t="s">
        <v>7301</v>
      </c>
      <c r="B6427" s="380" t="str">
        <f>IFERROR(__xludf.DUMMYFUNCTION("""COMPUTED_VALUE"""),"Piñon Reduc Media Cja 16718 Eagle4301795")</f>
        <v>Piñon Reduc Media Cja 16718 Eagle4301795</v>
      </c>
      <c r="C6427" s="380" t="str">
        <f>IFERROR(__xludf.DUMMYFUNCTION("""COMPUTED_VALUE"""),"70001833")</f>
        <v>70001833</v>
      </c>
      <c r="D6427" s="380" t="s">
        <v>767</v>
      </c>
      <c r="E6427" s="380" t="s">
        <v>786</v>
      </c>
      <c r="F6427" s="380" t="s">
        <v>928</v>
      </c>
      <c r="G6427" s="380" t="s">
        <v>1267</v>
      </c>
      <c r="H6427" s="380" t="s">
        <v>771</v>
      </c>
      <c r="I6427" s="380" t="s">
        <v>788</v>
      </c>
      <c r="J6427" s="380" t="s">
        <v>773</v>
      </c>
      <c r="K6427" s="381">
        <v>0.0</v>
      </c>
      <c r="L6427" s="382">
        <v>1.0</v>
      </c>
    </row>
    <row r="6428">
      <c r="A6428" s="380" t="s">
        <v>7302</v>
      </c>
      <c r="B6428" s="380" t="str">
        <f>IFERROR(__xludf.DUMMYFUNCTION("""COMPUTED_VALUE"""),"Hoja Muelle Del Principal T 07078/1")</f>
        <v>Hoja Muelle Del Principal T 07078/1</v>
      </c>
      <c r="C6428" s="380" t="str">
        <f>IFERROR(__xludf.DUMMYFUNCTION("""COMPUTED_VALUE"""),"70001834")</f>
        <v>70001834</v>
      </c>
      <c r="D6428" s="380" t="s">
        <v>767</v>
      </c>
      <c r="E6428" s="380" t="s">
        <v>786</v>
      </c>
      <c r="F6428" s="380" t="s">
        <v>1039</v>
      </c>
      <c r="G6428" s="380" t="s">
        <v>1267</v>
      </c>
      <c r="H6428" s="380" t="s">
        <v>771</v>
      </c>
      <c r="I6428" s="380" t="s">
        <v>788</v>
      </c>
      <c r="J6428" s="380" t="s">
        <v>773</v>
      </c>
      <c r="K6428" s="381">
        <v>0.0</v>
      </c>
      <c r="L6428" s="382">
        <v>1.0</v>
      </c>
    </row>
    <row r="6429">
      <c r="A6429" s="380" t="s">
        <v>7303</v>
      </c>
      <c r="B6429" s="380" t="str">
        <f>IFERROR(__xludf.DUMMYFUNCTION("""COMPUTED_VALUE"""),"Espiral Amortiguador Del N200 24536569")</f>
        <v>Espiral Amortiguador Del N200 24536569</v>
      </c>
      <c r="C6429" s="380" t="str">
        <f>IFERROR(__xludf.DUMMYFUNCTION("""COMPUTED_VALUE"""),"70001835")</f>
        <v>70001835</v>
      </c>
      <c r="D6429" s="380" t="s">
        <v>767</v>
      </c>
      <c r="E6429" s="380" t="s">
        <v>786</v>
      </c>
      <c r="F6429" s="380" t="s">
        <v>1039</v>
      </c>
      <c r="G6429" s="380" t="s">
        <v>1267</v>
      </c>
      <c r="H6429" s="380" t="s">
        <v>771</v>
      </c>
      <c r="I6429" s="380" t="s">
        <v>788</v>
      </c>
      <c r="J6429" s="380" t="s">
        <v>773</v>
      </c>
      <c r="K6429" s="381">
        <v>0.0</v>
      </c>
      <c r="L6429" s="382">
        <v>1.0</v>
      </c>
    </row>
    <row r="6430">
      <c r="A6430" s="380" t="s">
        <v>7304</v>
      </c>
      <c r="B6430" s="380" t="str">
        <f>IFERROR(__xludf.DUMMYFUNCTION("""COMPUTED_VALUE"""),"Bombona Aire Silla Eagle 1696990C91")</f>
        <v>Bombona Aire Silla Eagle 1696990C91</v>
      </c>
      <c r="C6430" s="380" t="str">
        <f>IFERROR(__xludf.DUMMYFUNCTION("""COMPUTED_VALUE"""),"70001836")</f>
        <v>70001836</v>
      </c>
      <c r="D6430" s="380" t="s">
        <v>767</v>
      </c>
      <c r="E6430" s="380" t="s">
        <v>786</v>
      </c>
      <c r="F6430" s="380" t="s">
        <v>792</v>
      </c>
      <c r="G6430" s="380" t="s">
        <v>1267</v>
      </c>
      <c r="H6430" s="380" t="s">
        <v>771</v>
      </c>
      <c r="I6430" s="380" t="s">
        <v>788</v>
      </c>
      <c r="J6430" s="380" t="s">
        <v>773</v>
      </c>
      <c r="K6430" s="381">
        <v>341911.0</v>
      </c>
      <c r="L6430" s="382">
        <v>1.0</v>
      </c>
    </row>
    <row r="6431">
      <c r="A6431" s="380" t="s">
        <v>7305</v>
      </c>
      <c r="B6431" s="380" t="str">
        <f>IFERROR(__xludf.DUMMYFUNCTION("""COMPUTED_VALUE"""),"Manguera Blindada 1/2""")</f>
        <v>Manguera Blindada 1/2"</v>
      </c>
      <c r="C6431" s="380" t="str">
        <f>IFERROR(__xludf.DUMMYFUNCTION("""COMPUTED_VALUE"""),"70001837")</f>
        <v>70001837</v>
      </c>
      <c r="D6431" s="380" t="s">
        <v>767</v>
      </c>
      <c r="E6431" s="380" t="s">
        <v>786</v>
      </c>
      <c r="F6431" s="380" t="s">
        <v>989</v>
      </c>
      <c r="G6431" s="380" t="s">
        <v>1267</v>
      </c>
      <c r="H6431" s="380" t="s">
        <v>771</v>
      </c>
      <c r="I6431" s="380" t="s">
        <v>788</v>
      </c>
      <c r="J6431" s="380" t="s">
        <v>773</v>
      </c>
      <c r="K6431" s="381">
        <v>188556.0</v>
      </c>
      <c r="L6431" s="382">
        <v>1.0</v>
      </c>
    </row>
    <row r="6432">
      <c r="A6432" s="380" t="s">
        <v>7306</v>
      </c>
      <c r="B6432" s="380" t="str">
        <f>IFERROR(__xludf.DUMMYFUNCTION("""COMPUTED_VALUE"""),"Tensor Cadena Shimano 307480 Bicifurgon")</f>
        <v>Tensor Cadena Shimano 307480 Bicifurgon</v>
      </c>
      <c r="C6432" s="380" t="str">
        <f>IFERROR(__xludf.DUMMYFUNCTION("""COMPUTED_VALUE"""),"70001838")</f>
        <v>70001838</v>
      </c>
      <c r="D6432" s="380" t="s">
        <v>767</v>
      </c>
      <c r="E6432" s="380" t="s">
        <v>786</v>
      </c>
      <c r="F6432" s="380" t="s">
        <v>1039</v>
      </c>
      <c r="G6432" s="380" t="s">
        <v>1267</v>
      </c>
      <c r="H6432" s="380" t="s">
        <v>771</v>
      </c>
      <c r="I6432" s="380" t="s">
        <v>788</v>
      </c>
      <c r="J6432" s="380" t="s">
        <v>773</v>
      </c>
      <c r="K6432" s="381">
        <v>0.0</v>
      </c>
      <c r="L6432" s="382">
        <v>1.0</v>
      </c>
    </row>
    <row r="6433">
      <c r="A6433" s="380" t="s">
        <v>7307</v>
      </c>
      <c r="B6433" s="380" t="str">
        <f>IFERROR(__xludf.DUMMYFUNCTION("""COMPUTED_VALUE"""),"Cadenilla Bicifurgon")</f>
        <v>Cadenilla Bicifurgon</v>
      </c>
      <c r="C6433" s="380" t="str">
        <f>IFERROR(__xludf.DUMMYFUNCTION("""COMPUTED_VALUE"""),"70001839")</f>
        <v>70001839</v>
      </c>
      <c r="D6433" s="380" t="s">
        <v>767</v>
      </c>
      <c r="E6433" s="380" t="s">
        <v>786</v>
      </c>
      <c r="F6433" s="380" t="s">
        <v>1039</v>
      </c>
      <c r="G6433" s="380" t="s">
        <v>1267</v>
      </c>
      <c r="H6433" s="380" t="s">
        <v>771</v>
      </c>
      <c r="I6433" s="380" t="s">
        <v>788</v>
      </c>
      <c r="J6433" s="380" t="s">
        <v>773</v>
      </c>
      <c r="K6433" s="381">
        <v>0.0</v>
      </c>
      <c r="L6433" s="382">
        <v>1.0</v>
      </c>
    </row>
    <row r="6434">
      <c r="A6434" s="380" t="s">
        <v>7308</v>
      </c>
      <c r="B6434" s="380" t="str">
        <f>IFERROR(__xludf.DUMMYFUNCTION("""COMPUTED_VALUE"""),"Enfriador Aceite Caja Isx 2508806C92")</f>
        <v>Enfriador Aceite Caja Isx 2508806C92</v>
      </c>
      <c r="C6434" s="380" t="str">
        <f>IFERROR(__xludf.DUMMYFUNCTION("""COMPUTED_VALUE"""),"70001840")</f>
        <v>70001840</v>
      </c>
      <c r="D6434" s="380" t="s">
        <v>767</v>
      </c>
      <c r="E6434" s="380" t="s">
        <v>786</v>
      </c>
      <c r="F6434" s="380" t="s">
        <v>928</v>
      </c>
      <c r="G6434" s="380" t="s">
        <v>1267</v>
      </c>
      <c r="H6434" s="380" t="s">
        <v>771</v>
      </c>
      <c r="I6434" s="380" t="s">
        <v>788</v>
      </c>
      <c r="J6434" s="380" t="s">
        <v>773</v>
      </c>
      <c r="K6434" s="381">
        <v>0.0</v>
      </c>
      <c r="L6434" s="382">
        <v>1.0</v>
      </c>
    </row>
    <row r="6435">
      <c r="A6435" s="380" t="s">
        <v>7309</v>
      </c>
      <c r="B6435" s="380" t="str">
        <f>IFERROR(__xludf.DUMMYFUNCTION("""COMPUTED_VALUE"""),"Pacha Conec Sensor Trasmis EaglePA66111B")</f>
        <v>Pacha Conec Sensor Trasmis EaglePA66111B</v>
      </c>
      <c r="C6435" s="380" t="str">
        <f>IFERROR(__xludf.DUMMYFUNCTION("""COMPUTED_VALUE"""),"70001841")</f>
        <v>70001841</v>
      </c>
      <c r="D6435" s="380" t="s">
        <v>767</v>
      </c>
      <c r="E6435" s="380" t="s">
        <v>786</v>
      </c>
      <c r="F6435" s="380" t="s">
        <v>998</v>
      </c>
      <c r="G6435" s="380" t="s">
        <v>1267</v>
      </c>
      <c r="H6435" s="380" t="s">
        <v>771</v>
      </c>
      <c r="I6435" s="380" t="s">
        <v>788</v>
      </c>
      <c r="J6435" s="380" t="s">
        <v>773</v>
      </c>
      <c r="K6435" s="381">
        <v>0.0</v>
      </c>
      <c r="L6435" s="382">
        <v>1.0</v>
      </c>
    </row>
    <row r="6436">
      <c r="A6436" s="380" t="s">
        <v>7310</v>
      </c>
      <c r="B6436" s="380" t="str">
        <f>IFERROR(__xludf.DUMMYFUNCTION("""COMPUTED_VALUE"""),"Manija Pta Der Eagle(Descanzab)3518424C1")</f>
        <v>Manija Pta Der Eagle(Descanzab)3518424C1</v>
      </c>
      <c r="C6436" s="380" t="str">
        <f>IFERROR(__xludf.DUMMYFUNCTION("""COMPUTED_VALUE"""),"70001842")</f>
        <v>70001842</v>
      </c>
      <c r="D6436" s="380" t="s">
        <v>767</v>
      </c>
      <c r="E6436" s="380" t="s">
        <v>786</v>
      </c>
      <c r="F6436" s="380" t="s">
        <v>792</v>
      </c>
      <c r="G6436" s="380" t="s">
        <v>1267</v>
      </c>
      <c r="H6436" s="380" t="s">
        <v>771</v>
      </c>
      <c r="I6436" s="380" t="s">
        <v>788</v>
      </c>
      <c r="J6436" s="380" t="s">
        <v>773</v>
      </c>
      <c r="K6436" s="381">
        <v>0.0</v>
      </c>
      <c r="L6436" s="382">
        <v>1.0</v>
      </c>
    </row>
    <row r="6437">
      <c r="A6437" s="380" t="s">
        <v>7311</v>
      </c>
      <c r="B6437" s="380" t="str">
        <f>IFERROR(__xludf.DUMMYFUNCTION("""COMPUTED_VALUE"""),"Kit Empaque Motor Hino 300 041117C061")</f>
        <v>Kit Empaque Motor Hino 300 041117C061</v>
      </c>
      <c r="C6437" s="380" t="str">
        <f>IFERROR(__xludf.DUMMYFUNCTION("""COMPUTED_VALUE"""),"70001843")</f>
        <v>70001843</v>
      </c>
      <c r="D6437" s="380" t="s">
        <v>767</v>
      </c>
      <c r="E6437" s="380" t="s">
        <v>786</v>
      </c>
      <c r="F6437" s="380" t="s">
        <v>787</v>
      </c>
      <c r="G6437" s="380" t="s">
        <v>1267</v>
      </c>
      <c r="H6437" s="380" t="s">
        <v>771</v>
      </c>
      <c r="I6437" s="380" t="s">
        <v>788</v>
      </c>
      <c r="J6437" s="380" t="s">
        <v>773</v>
      </c>
      <c r="K6437" s="381">
        <v>0.0</v>
      </c>
      <c r="L6437" s="382">
        <v>1.0</v>
      </c>
    </row>
    <row r="6438">
      <c r="A6438" s="380" t="s">
        <v>7312</v>
      </c>
      <c r="B6438" s="380" t="str">
        <f>IFERROR(__xludf.DUMMYFUNCTION("""COMPUTED_VALUE"""),"Bomba De Agua Hino 16100-E0780")</f>
        <v>Bomba De Agua Hino 16100-E0780</v>
      </c>
      <c r="C6438" s="380" t="str">
        <f>IFERROR(__xludf.DUMMYFUNCTION("""COMPUTED_VALUE"""),"70001844")</f>
        <v>70001844</v>
      </c>
      <c r="D6438" s="380" t="s">
        <v>767</v>
      </c>
      <c r="E6438" s="380" t="s">
        <v>786</v>
      </c>
      <c r="F6438" s="380" t="s">
        <v>787</v>
      </c>
      <c r="G6438" s="380" t="s">
        <v>1267</v>
      </c>
      <c r="H6438" s="380" t="s">
        <v>771</v>
      </c>
      <c r="I6438" s="380" t="s">
        <v>788</v>
      </c>
      <c r="J6438" s="380" t="s">
        <v>773</v>
      </c>
      <c r="K6438" s="381">
        <v>0.0</v>
      </c>
      <c r="L6438" s="382">
        <v>1.0</v>
      </c>
    </row>
    <row r="6439">
      <c r="A6439" s="380" t="s">
        <v>7313</v>
      </c>
      <c r="B6439" s="380" t="str">
        <f>IFERROR(__xludf.DUMMYFUNCTION("""COMPUTED_VALUE"""),"Valvula Retorno Comb Nhr Nkr 8972145090")</f>
        <v>Valvula Retorno Comb Nhr Nkr 8972145090</v>
      </c>
      <c r="C6439" s="380" t="str">
        <f>IFERROR(__xludf.DUMMYFUNCTION("""COMPUTED_VALUE"""),"70001845")</f>
        <v>70001845</v>
      </c>
      <c r="D6439" s="380" t="s">
        <v>767</v>
      </c>
      <c r="E6439" s="380" t="s">
        <v>786</v>
      </c>
      <c r="F6439" s="380" t="s">
        <v>787</v>
      </c>
      <c r="G6439" s="380" t="s">
        <v>1267</v>
      </c>
      <c r="H6439" s="380" t="s">
        <v>771</v>
      </c>
      <c r="I6439" s="380" t="s">
        <v>788</v>
      </c>
      <c r="J6439" s="380" t="s">
        <v>773</v>
      </c>
      <c r="K6439" s="381">
        <v>0.0</v>
      </c>
      <c r="L6439" s="382">
        <v>1.0</v>
      </c>
    </row>
    <row r="6440">
      <c r="A6440" s="380" t="s">
        <v>7314</v>
      </c>
      <c r="B6440" s="380" t="str">
        <f>IFERROR(__xludf.DUMMYFUNCTION("""COMPUTED_VALUE"""),"Tapa Frontal Motor Hino 11310E0150")</f>
        <v>Tapa Frontal Motor Hino 11310E0150</v>
      </c>
      <c r="C6440" s="380" t="str">
        <f>IFERROR(__xludf.DUMMYFUNCTION("""COMPUTED_VALUE"""),"70001846")</f>
        <v>70001846</v>
      </c>
      <c r="D6440" s="380" t="s">
        <v>767</v>
      </c>
      <c r="E6440" s="380" t="s">
        <v>786</v>
      </c>
      <c r="F6440" s="380" t="s">
        <v>787</v>
      </c>
      <c r="G6440" s="380" t="s">
        <v>1267</v>
      </c>
      <c r="H6440" s="380" t="s">
        <v>771</v>
      </c>
      <c r="I6440" s="380" t="s">
        <v>788</v>
      </c>
      <c r="J6440" s="380" t="s">
        <v>773</v>
      </c>
      <c r="K6440" s="381">
        <v>0.0</v>
      </c>
      <c r="L6440" s="382">
        <v>1.0</v>
      </c>
    </row>
    <row r="6441">
      <c r="A6441" s="380" t="s">
        <v>7315</v>
      </c>
      <c r="B6441" s="380" t="str">
        <f>IFERROR(__xludf.DUMMYFUNCTION("""COMPUTED_VALUE"""),"Casquete Biela Hino 13041E0610")</f>
        <v>Casquete Biela Hino 13041E0610</v>
      </c>
      <c r="C6441" s="380" t="str">
        <f>IFERROR(__xludf.DUMMYFUNCTION("""COMPUTED_VALUE"""),"70001847")</f>
        <v>70001847</v>
      </c>
      <c r="D6441" s="380" t="s">
        <v>767</v>
      </c>
      <c r="E6441" s="380" t="s">
        <v>786</v>
      </c>
      <c r="F6441" s="380" t="s">
        <v>787</v>
      </c>
      <c r="G6441" s="380" t="s">
        <v>1267</v>
      </c>
      <c r="H6441" s="380" t="s">
        <v>771</v>
      </c>
      <c r="I6441" s="380" t="s">
        <v>788</v>
      </c>
      <c r="J6441" s="380" t="s">
        <v>773</v>
      </c>
      <c r="K6441" s="381">
        <v>0.0</v>
      </c>
      <c r="L6441" s="382">
        <v>1.0</v>
      </c>
    </row>
    <row r="6442">
      <c r="A6442" s="380" t="s">
        <v>7316</v>
      </c>
      <c r="B6442" s="380" t="str">
        <f>IFERROR(__xludf.DUMMYFUNCTION("""COMPUTED_VALUE"""),"Camisa Hino 13041E0610")</f>
        <v>Camisa Hino 13041E0610</v>
      </c>
      <c r="C6442" s="380" t="str">
        <f>IFERROR(__xludf.DUMMYFUNCTION("""COMPUTED_VALUE"""),"70001848")</f>
        <v>70001848</v>
      </c>
      <c r="D6442" s="380" t="s">
        <v>767</v>
      </c>
      <c r="E6442" s="380" t="s">
        <v>786</v>
      </c>
      <c r="F6442" s="380" t="s">
        <v>787</v>
      </c>
      <c r="G6442" s="380" t="s">
        <v>1267</v>
      </c>
      <c r="H6442" s="380" t="s">
        <v>771</v>
      </c>
      <c r="I6442" s="380" t="s">
        <v>788</v>
      </c>
      <c r="J6442" s="380" t="s">
        <v>773</v>
      </c>
      <c r="K6442" s="381">
        <v>0.0</v>
      </c>
      <c r="L6442" s="382">
        <v>1.0</v>
      </c>
    </row>
    <row r="6443">
      <c r="A6443" s="380" t="s">
        <v>7317</v>
      </c>
      <c r="B6443" s="380" t="str">
        <f>IFERROR(__xludf.DUMMYFUNCTION("""COMPUTED_VALUE"""),"Piston + Anillo Hino 13041E0610")</f>
        <v>Piston + Anillo Hino 13041E0610</v>
      </c>
      <c r="C6443" s="380" t="str">
        <f>IFERROR(__xludf.DUMMYFUNCTION("""COMPUTED_VALUE"""),"70001849")</f>
        <v>70001849</v>
      </c>
      <c r="D6443" s="380" t="s">
        <v>767</v>
      </c>
      <c r="E6443" s="380" t="s">
        <v>786</v>
      </c>
      <c r="F6443" s="380" t="s">
        <v>787</v>
      </c>
      <c r="G6443" s="380" t="s">
        <v>1267</v>
      </c>
      <c r="H6443" s="380" t="s">
        <v>771</v>
      </c>
      <c r="I6443" s="380" t="s">
        <v>788</v>
      </c>
      <c r="J6443" s="380" t="s">
        <v>773</v>
      </c>
      <c r="K6443" s="381">
        <v>0.0</v>
      </c>
      <c r="L6443" s="382">
        <v>1.0</v>
      </c>
    </row>
    <row r="6444">
      <c r="A6444" s="380" t="s">
        <v>7318</v>
      </c>
      <c r="B6444" s="380" t="str">
        <f>IFERROR(__xludf.DUMMYFUNCTION("""COMPUTED_VALUE"""),"Bomba Hidraulica Direc Volswagen451572RO")</f>
        <v>Bomba Hidraulica Direc Volswagen451572RO</v>
      </c>
      <c r="C6444" s="380" t="str">
        <f>IFERROR(__xludf.DUMMYFUNCTION("""COMPUTED_VALUE"""),"70001850")</f>
        <v>70001850</v>
      </c>
      <c r="D6444" s="380" t="s">
        <v>767</v>
      </c>
      <c r="E6444" s="380" t="s">
        <v>786</v>
      </c>
      <c r="F6444" s="380" t="s">
        <v>1020</v>
      </c>
      <c r="G6444" s="380" t="s">
        <v>1267</v>
      </c>
      <c r="H6444" s="380" t="s">
        <v>771</v>
      </c>
      <c r="I6444" s="380" t="s">
        <v>788</v>
      </c>
      <c r="J6444" s="380" t="s">
        <v>773</v>
      </c>
      <c r="K6444" s="381">
        <v>0.0</v>
      </c>
      <c r="L6444" s="382">
        <v>1.0</v>
      </c>
    </row>
    <row r="6445">
      <c r="A6445" s="380" t="s">
        <v>7319</v>
      </c>
      <c r="B6445" s="380" t="str">
        <f>IFERROR(__xludf.DUMMYFUNCTION("""COMPUTED_VALUE"""),"Manguera Admis Turbo Hi 466E-1658485C1")</f>
        <v>Manguera Admis Turbo Hi 466E-1658485C1</v>
      </c>
      <c r="C6445" s="380" t="str">
        <f>IFERROR(__xludf.DUMMYFUNCTION("""COMPUTED_VALUE"""),"70001851")</f>
        <v>70001851</v>
      </c>
      <c r="D6445" s="380" t="s">
        <v>767</v>
      </c>
      <c r="E6445" s="380" t="s">
        <v>786</v>
      </c>
      <c r="F6445" s="380" t="s">
        <v>787</v>
      </c>
      <c r="G6445" s="380" t="s">
        <v>1267</v>
      </c>
      <c r="H6445" s="380" t="s">
        <v>771</v>
      </c>
      <c r="I6445" s="380" t="s">
        <v>788</v>
      </c>
      <c r="J6445" s="380" t="s">
        <v>773</v>
      </c>
      <c r="K6445" s="381">
        <v>0.0</v>
      </c>
      <c r="L6445" s="382">
        <v>1.0</v>
      </c>
    </row>
    <row r="6446">
      <c r="A6446" s="380" t="s">
        <v>7320</v>
      </c>
      <c r="B6446" s="380" t="str">
        <f>IFERROR(__xludf.DUMMYFUNCTION("""COMPUTED_VALUE"""),"Perno Rueda Del Der Nkr 8943834362")</f>
        <v>Perno Rueda Del Der Nkr 8943834362</v>
      </c>
      <c r="C6446" s="380" t="str">
        <f>IFERROR(__xludf.DUMMYFUNCTION("""COMPUTED_VALUE"""),"70001852")</f>
        <v>70001852</v>
      </c>
      <c r="D6446" s="380" t="s">
        <v>767</v>
      </c>
      <c r="E6446" s="380" t="s">
        <v>786</v>
      </c>
      <c r="F6446" s="380" t="s">
        <v>1039</v>
      </c>
      <c r="G6446" s="380" t="s">
        <v>1267</v>
      </c>
      <c r="H6446" s="380" t="s">
        <v>771</v>
      </c>
      <c r="I6446" s="380" t="s">
        <v>788</v>
      </c>
      <c r="J6446" s="380" t="s">
        <v>773</v>
      </c>
      <c r="K6446" s="381">
        <v>0.0</v>
      </c>
      <c r="L6446" s="382">
        <v>1.0</v>
      </c>
    </row>
    <row r="6447">
      <c r="A6447" s="380" t="s">
        <v>7321</v>
      </c>
      <c r="B6447" s="380" t="str">
        <f>IFERROR(__xludf.DUMMYFUNCTION("""COMPUTED_VALUE"""),"Tuerca Perno Rueda Del Der Nkr8980079070")</f>
        <v>Tuerca Perno Rueda Del Der Nkr8980079070</v>
      </c>
      <c r="C6447" s="380" t="str">
        <f>IFERROR(__xludf.DUMMYFUNCTION("""COMPUTED_VALUE"""),"70001853")</f>
        <v>70001853</v>
      </c>
      <c r="D6447" s="380" t="s">
        <v>767</v>
      </c>
      <c r="E6447" s="380" t="s">
        <v>786</v>
      </c>
      <c r="F6447" s="380" t="s">
        <v>1039</v>
      </c>
      <c r="G6447" s="380" t="s">
        <v>1267</v>
      </c>
      <c r="H6447" s="380" t="s">
        <v>771</v>
      </c>
      <c r="I6447" s="380" t="s">
        <v>788</v>
      </c>
      <c r="J6447" s="380" t="s">
        <v>773</v>
      </c>
      <c r="K6447" s="381">
        <v>0.0</v>
      </c>
      <c r="L6447" s="382">
        <v>1.0</v>
      </c>
    </row>
    <row r="6448">
      <c r="A6448" s="380" t="s">
        <v>7322</v>
      </c>
      <c r="B6448" s="380" t="str">
        <f>IFERROR(__xludf.DUMMYFUNCTION("""COMPUTED_VALUE"""),"Manguera Enfri Interculer Nkr 8972286571")</f>
        <v>Manguera Enfri Interculer Nkr 8972286571</v>
      </c>
      <c r="C6448" s="380" t="str">
        <f>IFERROR(__xludf.DUMMYFUNCTION("""COMPUTED_VALUE"""),"70001854")</f>
        <v>70001854</v>
      </c>
      <c r="D6448" s="380" t="s">
        <v>767</v>
      </c>
      <c r="E6448" s="380" t="s">
        <v>786</v>
      </c>
      <c r="F6448" s="380" t="s">
        <v>787</v>
      </c>
      <c r="G6448" s="380" t="s">
        <v>1267</v>
      </c>
      <c r="H6448" s="380" t="s">
        <v>771</v>
      </c>
      <c r="I6448" s="380" t="s">
        <v>788</v>
      </c>
      <c r="J6448" s="380" t="s">
        <v>773</v>
      </c>
      <c r="K6448" s="381">
        <v>0.0</v>
      </c>
      <c r="L6448" s="382">
        <v>1.0</v>
      </c>
    </row>
    <row r="6449">
      <c r="A6449" s="380" t="s">
        <v>7323</v>
      </c>
      <c r="B6449" s="380" t="str">
        <f>IFERROR(__xludf.DUMMYFUNCTION("""COMPUTED_VALUE"""),"Pastillas Freno Nissan Urvan")</f>
        <v>Pastillas Freno Nissan Urvan</v>
      </c>
      <c r="C6449" s="380" t="str">
        <f>IFERROR(__xludf.DUMMYFUNCTION("""COMPUTED_VALUE"""),"70001855")</f>
        <v>70001855</v>
      </c>
      <c r="D6449" s="380" t="s">
        <v>767</v>
      </c>
      <c r="E6449" s="380" t="s">
        <v>786</v>
      </c>
      <c r="F6449" s="380" t="s">
        <v>1017</v>
      </c>
      <c r="G6449" s="380" t="s">
        <v>1267</v>
      </c>
      <c r="H6449" s="380" t="s">
        <v>771</v>
      </c>
      <c r="I6449" s="380" t="s">
        <v>788</v>
      </c>
      <c r="J6449" s="380" t="s">
        <v>773</v>
      </c>
      <c r="K6449" s="381">
        <v>0.0</v>
      </c>
      <c r="L6449" s="382">
        <v>1.0</v>
      </c>
    </row>
    <row r="6450">
      <c r="A6450" s="380" t="s">
        <v>7324</v>
      </c>
      <c r="B6450" s="380" t="str">
        <f>IFERROR(__xludf.DUMMYFUNCTION("""COMPUTED_VALUE"""),"Disco Freno Nissan Urvan")</f>
        <v>Disco Freno Nissan Urvan</v>
      </c>
      <c r="C6450" s="380" t="str">
        <f>IFERROR(__xludf.DUMMYFUNCTION("""COMPUTED_VALUE"""),"70001856")</f>
        <v>70001856</v>
      </c>
      <c r="D6450" s="380" t="s">
        <v>767</v>
      </c>
      <c r="E6450" s="380" t="s">
        <v>786</v>
      </c>
      <c r="F6450" s="380" t="s">
        <v>1017</v>
      </c>
      <c r="G6450" s="380" t="s">
        <v>1267</v>
      </c>
      <c r="H6450" s="380" t="s">
        <v>771</v>
      </c>
      <c r="I6450" s="380" t="s">
        <v>788</v>
      </c>
      <c r="J6450" s="380" t="s">
        <v>773</v>
      </c>
      <c r="K6450" s="381">
        <v>0.0</v>
      </c>
      <c r="L6450" s="382">
        <v>1.0</v>
      </c>
    </row>
    <row r="6451">
      <c r="A6451" s="380" t="s">
        <v>7325</v>
      </c>
      <c r="B6451" s="380" t="str">
        <f>IFERROR(__xludf.DUMMYFUNCTION("""COMPUTED_VALUE"""),"Vidrio Puerta Lado Der Izq Nkr-Rew")</f>
        <v>Vidrio Puerta Lado Der Izq Nkr-Rew</v>
      </c>
      <c r="C6451" s="380" t="str">
        <f>IFERROR(__xludf.DUMMYFUNCTION("""COMPUTED_VALUE"""),"70001857")</f>
        <v>70001857</v>
      </c>
      <c r="D6451" s="380" t="s">
        <v>767</v>
      </c>
      <c r="E6451" s="380" t="s">
        <v>786</v>
      </c>
      <c r="F6451" s="380" t="s">
        <v>792</v>
      </c>
      <c r="G6451" s="380" t="s">
        <v>1267</v>
      </c>
      <c r="H6451" s="380" t="s">
        <v>771</v>
      </c>
      <c r="I6451" s="380" t="s">
        <v>788</v>
      </c>
      <c r="J6451" s="380" t="s">
        <v>773</v>
      </c>
      <c r="K6451" s="381">
        <v>0.0</v>
      </c>
      <c r="L6451" s="382">
        <v>1.0</v>
      </c>
    </row>
    <row r="6452">
      <c r="A6452" s="380" t="s">
        <v>7326</v>
      </c>
      <c r="B6452" s="380" t="str">
        <f>IFERROR(__xludf.DUMMYFUNCTION("""COMPUTED_VALUE"""),"Tubo Silenciador Parte Delantera Nkr III")</f>
        <v>Tubo Silenciador Parte Delantera Nkr III</v>
      </c>
      <c r="C6452" s="380" t="str">
        <f>IFERROR(__xludf.DUMMYFUNCTION("""COMPUTED_VALUE"""),"70001858")</f>
        <v>70001858</v>
      </c>
      <c r="D6452" s="380" t="s">
        <v>767</v>
      </c>
      <c r="E6452" s="380" t="s">
        <v>786</v>
      </c>
      <c r="F6452" s="380" t="s">
        <v>792</v>
      </c>
      <c r="G6452" s="380" t="s">
        <v>1267</v>
      </c>
      <c r="H6452" s="380" t="s">
        <v>771</v>
      </c>
      <c r="I6452" s="380" t="s">
        <v>788</v>
      </c>
      <c r="J6452" s="380" t="s">
        <v>773</v>
      </c>
      <c r="K6452" s="381">
        <v>0.0</v>
      </c>
      <c r="L6452" s="382">
        <v>1.0</v>
      </c>
    </row>
    <row r="6453">
      <c r="A6453" s="380" t="s">
        <v>7327</v>
      </c>
      <c r="B6453" s="380" t="str">
        <f>IFERROR(__xludf.DUMMYFUNCTION("""COMPUTED_VALUE"""),"Capuch Espar Rda Tras Izq Nkr 8943651441")</f>
        <v>Capuch Espar Rda Tras Izq Nkr 8943651441</v>
      </c>
      <c r="C6453" s="380" t="str">
        <f>IFERROR(__xludf.DUMMYFUNCTION("""COMPUTED_VALUE"""),"70001859")</f>
        <v>70001859</v>
      </c>
      <c r="D6453" s="380" t="s">
        <v>767</v>
      </c>
      <c r="E6453" s="380" t="s">
        <v>786</v>
      </c>
      <c r="F6453" s="380" t="s">
        <v>1039</v>
      </c>
      <c r="G6453" s="380" t="s">
        <v>1267</v>
      </c>
      <c r="H6453" s="380" t="s">
        <v>771</v>
      </c>
      <c r="I6453" s="380" t="s">
        <v>788</v>
      </c>
      <c r="J6453" s="380" t="s">
        <v>773</v>
      </c>
      <c r="K6453" s="381">
        <v>0.0</v>
      </c>
      <c r="L6453" s="382">
        <v>1.0</v>
      </c>
    </row>
    <row r="6454">
      <c r="A6454" s="380" t="s">
        <v>7328</v>
      </c>
      <c r="B6454" s="380" t="str">
        <f>IFERROR(__xludf.DUMMYFUNCTION("""COMPUTED_VALUE"""),"Capuch Espar Rda Tras Der Nkr 8943651431")</f>
        <v>Capuch Espar Rda Tras Der Nkr 8943651431</v>
      </c>
      <c r="C6454" s="380" t="str">
        <f>IFERROR(__xludf.DUMMYFUNCTION("""COMPUTED_VALUE"""),"70001860")</f>
        <v>70001860</v>
      </c>
      <c r="D6454" s="380" t="s">
        <v>767</v>
      </c>
      <c r="E6454" s="380" t="s">
        <v>786</v>
      </c>
      <c r="F6454" s="380" t="s">
        <v>1039</v>
      </c>
      <c r="G6454" s="380" t="s">
        <v>1267</v>
      </c>
      <c r="H6454" s="380" t="s">
        <v>771</v>
      </c>
      <c r="I6454" s="380" t="s">
        <v>788</v>
      </c>
      <c r="J6454" s="380" t="s">
        <v>773</v>
      </c>
      <c r="K6454" s="381">
        <v>0.0</v>
      </c>
      <c r="L6454" s="382">
        <v>1.0</v>
      </c>
    </row>
    <row r="6455">
      <c r="A6455" s="380" t="s">
        <v>7329</v>
      </c>
      <c r="B6455" s="380" t="str">
        <f>IFERROR(__xludf.DUMMYFUNCTION("""COMPUTED_VALUE"""),"Sensor Velocidad Lado Caja N200 9053592")</f>
        <v>Sensor Velocidad Lado Caja N200 9053592</v>
      </c>
      <c r="C6455" s="380" t="str">
        <f>IFERROR(__xludf.DUMMYFUNCTION("""COMPUTED_VALUE"""),"70001861")</f>
        <v>70001861</v>
      </c>
      <c r="D6455" s="380" t="s">
        <v>767</v>
      </c>
      <c r="E6455" s="380" t="s">
        <v>786</v>
      </c>
      <c r="F6455" s="380" t="s">
        <v>998</v>
      </c>
      <c r="G6455" s="380" t="s">
        <v>1267</v>
      </c>
      <c r="H6455" s="380" t="s">
        <v>771</v>
      </c>
      <c r="I6455" s="380" t="s">
        <v>788</v>
      </c>
      <c r="J6455" s="380" t="s">
        <v>773</v>
      </c>
      <c r="K6455" s="381">
        <v>0.0</v>
      </c>
      <c r="L6455" s="382">
        <v>1.0</v>
      </c>
    </row>
    <row r="6456">
      <c r="A6456" s="380" t="s">
        <v>7330</v>
      </c>
      <c r="B6456" s="380" t="str">
        <f>IFERROR(__xludf.DUMMYFUNCTION("""COMPUTED_VALUE"""),"Chapa Exterior Puerta Eagle 3550930C91")</f>
        <v>Chapa Exterior Puerta Eagle 3550930C91</v>
      </c>
      <c r="C6456" s="380" t="str">
        <f>IFERROR(__xludf.DUMMYFUNCTION("""COMPUTED_VALUE"""),"70001862")</f>
        <v>70001862</v>
      </c>
      <c r="D6456" s="380" t="s">
        <v>767</v>
      </c>
      <c r="E6456" s="380" t="s">
        <v>786</v>
      </c>
      <c r="F6456" s="380" t="s">
        <v>792</v>
      </c>
      <c r="G6456" s="380" t="s">
        <v>1267</v>
      </c>
      <c r="H6456" s="380" t="s">
        <v>771</v>
      </c>
      <c r="I6456" s="380" t="s">
        <v>788</v>
      </c>
      <c r="J6456" s="380" t="s">
        <v>773</v>
      </c>
      <c r="K6456" s="381">
        <v>0.0</v>
      </c>
      <c r="L6456" s="382">
        <v>1.0</v>
      </c>
    </row>
    <row r="6457">
      <c r="A6457" s="380" t="s">
        <v>7331</v>
      </c>
      <c r="B6457" s="380" t="str">
        <f>IFERROR(__xludf.DUMMYFUNCTION("""COMPUTED_VALUE"""),"Filtro Elemento Sedimentador FTR52059227")</f>
        <v>Filtro Elemento Sedimentador FTR52059227</v>
      </c>
      <c r="C6457" s="380" t="str">
        <f>IFERROR(__xludf.DUMMYFUNCTION("""COMPUTED_VALUE"""),"70001863")</f>
        <v>70001863</v>
      </c>
      <c r="D6457" s="380" t="s">
        <v>767</v>
      </c>
      <c r="E6457" s="380" t="s">
        <v>786</v>
      </c>
      <c r="F6457" s="380" t="s">
        <v>5855</v>
      </c>
      <c r="G6457" s="380" t="s">
        <v>1267</v>
      </c>
      <c r="H6457" s="380" t="s">
        <v>771</v>
      </c>
      <c r="I6457" s="380" t="s">
        <v>788</v>
      </c>
      <c r="J6457" s="380" t="s">
        <v>773</v>
      </c>
      <c r="K6457" s="381">
        <v>0.0</v>
      </c>
      <c r="L6457" s="382">
        <v>1.0</v>
      </c>
    </row>
    <row r="6458">
      <c r="A6458" s="380" t="s">
        <v>7332</v>
      </c>
      <c r="B6458" s="380" t="str">
        <f>IFERROR(__xludf.DUMMYFUNCTION("""COMPUTED_VALUE"""),"Filtro Combustible FTR 8982035990")</f>
        <v>Filtro Combustible FTR 8982035990</v>
      </c>
      <c r="C6458" s="380" t="str">
        <f>IFERROR(__xludf.DUMMYFUNCTION("""COMPUTED_VALUE"""),"70001864")</f>
        <v>70001864</v>
      </c>
      <c r="D6458" s="380" t="s">
        <v>767</v>
      </c>
      <c r="E6458" s="380" t="s">
        <v>786</v>
      </c>
      <c r="F6458" s="380" t="s">
        <v>5855</v>
      </c>
      <c r="G6458" s="380" t="s">
        <v>1267</v>
      </c>
      <c r="H6458" s="380" t="s">
        <v>771</v>
      </c>
      <c r="I6458" s="380" t="s">
        <v>788</v>
      </c>
      <c r="J6458" s="380" t="s">
        <v>773</v>
      </c>
      <c r="K6458" s="381">
        <v>0.0</v>
      </c>
      <c r="L6458" s="382">
        <v>1.0</v>
      </c>
    </row>
    <row r="6459">
      <c r="A6459" s="380" t="s">
        <v>7333</v>
      </c>
      <c r="B6459" s="380" t="str">
        <f>IFERROR(__xludf.DUMMYFUNCTION("""COMPUTED_VALUE"""),"Vidrio Trasero Cabina Nhr-Rewar")</f>
        <v>Vidrio Trasero Cabina Nhr-Rewar</v>
      </c>
      <c r="C6459" s="380" t="str">
        <f>IFERROR(__xludf.DUMMYFUNCTION("""COMPUTED_VALUE"""),"70001865")</f>
        <v>70001865</v>
      </c>
      <c r="D6459" s="380" t="s">
        <v>767</v>
      </c>
      <c r="E6459" s="380" t="s">
        <v>786</v>
      </c>
      <c r="F6459" s="380" t="s">
        <v>792</v>
      </c>
      <c r="G6459" s="380" t="s">
        <v>1267</v>
      </c>
      <c r="H6459" s="380" t="s">
        <v>771</v>
      </c>
      <c r="I6459" s="380" t="s">
        <v>788</v>
      </c>
      <c r="J6459" s="380" t="s">
        <v>773</v>
      </c>
      <c r="K6459" s="381">
        <v>0.0</v>
      </c>
      <c r="L6459" s="382">
        <v>1.0</v>
      </c>
    </row>
    <row r="6460">
      <c r="A6460" s="380" t="s">
        <v>7334</v>
      </c>
      <c r="B6460" s="380" t="str">
        <f>IFERROR(__xludf.DUMMYFUNCTION("""COMPUTED_VALUE"""),"Relay Bujia Precalent Nkr Rew 8971739470")</f>
        <v>Relay Bujia Precalent Nkr Rew 8971739470</v>
      </c>
      <c r="C6460" s="380" t="str">
        <f>IFERROR(__xludf.DUMMYFUNCTION("""COMPUTED_VALUE"""),"70001866")</f>
        <v>70001866</v>
      </c>
      <c r="D6460" s="380" t="s">
        <v>767</v>
      </c>
      <c r="E6460" s="380" t="s">
        <v>786</v>
      </c>
      <c r="F6460" s="380" t="s">
        <v>998</v>
      </c>
      <c r="G6460" s="380" t="s">
        <v>1267</v>
      </c>
      <c r="H6460" s="380" t="s">
        <v>771</v>
      </c>
      <c r="I6460" s="380" t="s">
        <v>788</v>
      </c>
      <c r="J6460" s="380" t="s">
        <v>773</v>
      </c>
      <c r="K6460" s="381">
        <v>0.0</v>
      </c>
      <c r="L6460" s="382">
        <v>1.0</v>
      </c>
    </row>
    <row r="6461">
      <c r="A6461" s="380" t="s">
        <v>7335</v>
      </c>
      <c r="B6461" s="380" t="str">
        <f>IFERROR(__xludf.DUMMYFUNCTION("""COMPUTED_VALUE"""),"Relay Ppal Ecm 24V Nkr Reward 8978339870")</f>
        <v>Relay Ppal Ecm 24V Nkr Reward 8978339870</v>
      </c>
      <c r="C6461" s="380" t="str">
        <f>IFERROR(__xludf.DUMMYFUNCTION("""COMPUTED_VALUE"""),"70001867")</f>
        <v>70001867</v>
      </c>
      <c r="D6461" s="380" t="s">
        <v>767</v>
      </c>
      <c r="E6461" s="380" t="s">
        <v>786</v>
      </c>
      <c r="F6461" s="380" t="s">
        <v>998</v>
      </c>
      <c r="G6461" s="380" t="s">
        <v>1267</v>
      </c>
      <c r="H6461" s="380" t="s">
        <v>771</v>
      </c>
      <c r="I6461" s="380" t="s">
        <v>788</v>
      </c>
      <c r="J6461" s="380" t="s">
        <v>773</v>
      </c>
      <c r="K6461" s="381">
        <v>0.0</v>
      </c>
      <c r="L6461" s="382">
        <v>1.0</v>
      </c>
    </row>
    <row r="6462">
      <c r="A6462" s="380" t="s">
        <v>7336</v>
      </c>
      <c r="B6462" s="380" t="str">
        <f>IFERROR(__xludf.DUMMYFUNCTION("""COMPUTED_VALUE"""),"Relay Motor De Partida Nkr Rew8972649470")</f>
        <v>Relay Motor De Partida Nkr Rew8972649470</v>
      </c>
      <c r="C6462" s="380" t="str">
        <f>IFERROR(__xludf.DUMMYFUNCTION("""COMPUTED_VALUE"""),"70001868")</f>
        <v>70001868</v>
      </c>
      <c r="D6462" s="380" t="s">
        <v>767</v>
      </c>
      <c r="E6462" s="380" t="s">
        <v>786</v>
      </c>
      <c r="F6462" s="380" t="s">
        <v>998</v>
      </c>
      <c r="G6462" s="380" t="s">
        <v>1267</v>
      </c>
      <c r="H6462" s="380" t="s">
        <v>771</v>
      </c>
      <c r="I6462" s="380" t="s">
        <v>788</v>
      </c>
      <c r="J6462" s="380" t="s">
        <v>773</v>
      </c>
      <c r="K6462" s="381">
        <v>0.0</v>
      </c>
      <c r="L6462" s="382">
        <v>1.0</v>
      </c>
    </row>
    <row r="6463">
      <c r="A6463" s="380" t="s">
        <v>7337</v>
      </c>
      <c r="B6463" s="380" t="str">
        <f>IFERROR(__xludf.DUMMYFUNCTION("""COMPUTED_VALUE"""),"Tapa Cja Fusib Y Relay Nkr Rew8980813670")</f>
        <v>Tapa Cja Fusib Y Relay Nkr Rew8980813670</v>
      </c>
      <c r="C6463" s="380" t="str">
        <f>IFERROR(__xludf.DUMMYFUNCTION("""COMPUTED_VALUE"""),"70001869")</f>
        <v>70001869</v>
      </c>
      <c r="D6463" s="380" t="s">
        <v>767</v>
      </c>
      <c r="E6463" s="380" t="s">
        <v>786</v>
      </c>
      <c r="F6463" s="380" t="s">
        <v>998</v>
      </c>
      <c r="G6463" s="380" t="s">
        <v>1267</v>
      </c>
      <c r="H6463" s="380" t="s">
        <v>771</v>
      </c>
      <c r="I6463" s="380" t="s">
        <v>788</v>
      </c>
      <c r="J6463" s="380" t="s">
        <v>773</v>
      </c>
      <c r="K6463" s="381">
        <v>0.0</v>
      </c>
      <c r="L6463" s="382">
        <v>1.0</v>
      </c>
    </row>
    <row r="6464">
      <c r="A6464" s="380" t="s">
        <v>7338</v>
      </c>
      <c r="B6464" s="380" t="str">
        <f>IFERROR(__xludf.DUMMYFUNCTION("""COMPUTED_VALUE"""),"Juego Escobilla Arranque Nkr IR1058A")</f>
        <v>Juego Escobilla Arranque Nkr IR1058A</v>
      </c>
      <c r="C6464" s="380" t="str">
        <f>IFERROR(__xludf.DUMMYFUNCTION("""COMPUTED_VALUE"""),"70001870")</f>
        <v>70001870</v>
      </c>
      <c r="D6464" s="380" t="s">
        <v>767</v>
      </c>
      <c r="E6464" s="380" t="s">
        <v>786</v>
      </c>
      <c r="F6464" s="380" t="s">
        <v>998</v>
      </c>
      <c r="G6464" s="380" t="s">
        <v>1267</v>
      </c>
      <c r="H6464" s="380" t="s">
        <v>771</v>
      </c>
      <c r="I6464" s="380" t="s">
        <v>788</v>
      </c>
      <c r="J6464" s="380" t="s">
        <v>773</v>
      </c>
      <c r="K6464" s="381">
        <v>29538.0</v>
      </c>
      <c r="L6464" s="382">
        <v>1.0</v>
      </c>
    </row>
    <row r="6465">
      <c r="A6465" s="380" t="s">
        <v>7339</v>
      </c>
      <c r="B6465" s="380" t="str">
        <f>IFERROR(__xludf.DUMMYFUNCTION("""COMPUTED_VALUE"""),"Contacto M Arranque Abier Nkr Jgo X 2")</f>
        <v>Contacto M Arranque Abier Nkr Jgo X 2</v>
      </c>
      <c r="C6465" s="380" t="str">
        <f>IFERROR(__xludf.DUMMYFUNCTION("""COMPUTED_VALUE"""),"70001871")</f>
        <v>70001871</v>
      </c>
      <c r="D6465" s="380" t="s">
        <v>767</v>
      </c>
      <c r="E6465" s="380" t="s">
        <v>786</v>
      </c>
      <c r="F6465" s="380" t="s">
        <v>998</v>
      </c>
      <c r="G6465" s="380" t="s">
        <v>1267</v>
      </c>
      <c r="H6465" s="380" t="s">
        <v>771</v>
      </c>
      <c r="I6465" s="380" t="s">
        <v>788</v>
      </c>
      <c r="J6465" s="380" t="s">
        <v>773</v>
      </c>
      <c r="K6465" s="381">
        <v>0.0</v>
      </c>
      <c r="L6465" s="382">
        <v>1.0</v>
      </c>
    </row>
    <row r="6466">
      <c r="A6466" s="380" t="s">
        <v>7340</v>
      </c>
      <c r="B6466" s="380" t="str">
        <f>IFERROR(__xludf.DUMMYFUNCTION("""COMPUTED_VALUE"""),"Cabina Sin Puertas Eagle Shell")</f>
        <v>Cabina Sin Puertas Eagle Shell</v>
      </c>
      <c r="C6466" s="380" t="str">
        <f>IFERROR(__xludf.DUMMYFUNCTION("""COMPUTED_VALUE"""),"70001872")</f>
        <v>70001872</v>
      </c>
      <c r="D6466" s="380" t="s">
        <v>767</v>
      </c>
      <c r="E6466" s="380" t="s">
        <v>786</v>
      </c>
      <c r="F6466" s="380" t="s">
        <v>792</v>
      </c>
      <c r="G6466" s="380" t="s">
        <v>1267</v>
      </c>
      <c r="H6466" s="380" t="s">
        <v>771</v>
      </c>
      <c r="I6466" s="380" t="s">
        <v>788</v>
      </c>
      <c r="J6466" s="380" t="s">
        <v>773</v>
      </c>
      <c r="K6466" s="381">
        <v>0.0</v>
      </c>
      <c r="L6466" s="382">
        <v>1.0</v>
      </c>
    </row>
    <row r="6467">
      <c r="A6467" s="380" t="s">
        <v>7341</v>
      </c>
      <c r="B6467" s="380" t="str">
        <f>IFERROR(__xludf.DUMMYFUNCTION("""COMPUTED_VALUE"""),"Chapa Puerta Del Derecha N200 24525622")</f>
        <v>Chapa Puerta Del Derecha N200 24525622</v>
      </c>
      <c r="C6467" s="380" t="str">
        <f>IFERROR(__xludf.DUMMYFUNCTION("""COMPUTED_VALUE"""),"70001873")</f>
        <v>70001873</v>
      </c>
      <c r="D6467" s="380" t="s">
        <v>767</v>
      </c>
      <c r="E6467" s="380" t="s">
        <v>786</v>
      </c>
      <c r="F6467" s="380" t="s">
        <v>792</v>
      </c>
      <c r="G6467" s="380" t="s">
        <v>1267</v>
      </c>
      <c r="H6467" s="380" t="s">
        <v>771</v>
      </c>
      <c r="I6467" s="380" t="s">
        <v>788</v>
      </c>
      <c r="J6467" s="380" t="s">
        <v>773</v>
      </c>
      <c r="K6467" s="381">
        <v>0.0</v>
      </c>
      <c r="L6467" s="382">
        <v>1.0</v>
      </c>
    </row>
    <row r="6468">
      <c r="A6468" s="380" t="s">
        <v>7342</v>
      </c>
      <c r="B6468" s="380" t="str">
        <f>IFERROR(__xludf.DUMMYFUNCTION("""COMPUTED_VALUE"""),"Manija Ext Puerta Del Der N200 24529020")</f>
        <v>Manija Ext Puerta Del Der N200 24529020</v>
      </c>
      <c r="C6468" s="380" t="str">
        <f>IFERROR(__xludf.DUMMYFUNCTION("""COMPUTED_VALUE"""),"70001874")</f>
        <v>70001874</v>
      </c>
      <c r="D6468" s="380" t="s">
        <v>767</v>
      </c>
      <c r="E6468" s="380" t="s">
        <v>786</v>
      </c>
      <c r="F6468" s="380" t="s">
        <v>792</v>
      </c>
      <c r="G6468" s="380" t="s">
        <v>1267</v>
      </c>
      <c r="H6468" s="380" t="s">
        <v>771</v>
      </c>
      <c r="I6468" s="380" t="s">
        <v>788</v>
      </c>
      <c r="J6468" s="380" t="s">
        <v>773</v>
      </c>
      <c r="K6468" s="381">
        <v>0.0</v>
      </c>
      <c r="L6468" s="382">
        <v>1.0</v>
      </c>
    </row>
    <row r="6469">
      <c r="A6469" s="380" t="s">
        <v>7343</v>
      </c>
      <c r="B6469" s="380" t="str">
        <f>IFERROR(__xludf.DUMMYFUNCTION("""COMPUTED_VALUE"""),"Soporte Eje Balancin Isx Eagle 367942700")</f>
        <v>Soporte Eje Balancin Isx Eagle 367942700</v>
      </c>
      <c r="C6469" s="380" t="str">
        <f>IFERROR(__xludf.DUMMYFUNCTION("""COMPUTED_VALUE"""),"70001875")</f>
        <v>70001875</v>
      </c>
      <c r="D6469" s="380" t="s">
        <v>767</v>
      </c>
      <c r="E6469" s="380" t="s">
        <v>786</v>
      </c>
      <c r="F6469" s="380" t="s">
        <v>787</v>
      </c>
      <c r="G6469" s="380" t="s">
        <v>1267</v>
      </c>
      <c r="H6469" s="380" t="s">
        <v>771</v>
      </c>
      <c r="I6469" s="380" t="s">
        <v>788</v>
      </c>
      <c r="J6469" s="380" t="s">
        <v>773</v>
      </c>
      <c r="K6469" s="381">
        <v>0.0</v>
      </c>
      <c r="L6469" s="382">
        <v>1.0</v>
      </c>
    </row>
    <row r="6470">
      <c r="A6470" s="380" t="s">
        <v>7344</v>
      </c>
      <c r="B6470" s="380" t="str">
        <f>IFERROR(__xludf.DUMMYFUNCTION("""COMPUTED_VALUE"""),"Bomba Hidraulica Direc KWPS251613R1")</f>
        <v>Bomba Hidraulica Direc KWPS251613R1</v>
      </c>
      <c r="C6470" s="380" t="str">
        <f>IFERROR(__xludf.DUMMYFUNCTION("""COMPUTED_VALUE"""),"70001876")</f>
        <v>70001876</v>
      </c>
      <c r="D6470" s="380" t="s">
        <v>767</v>
      </c>
      <c r="E6470" s="380" t="s">
        <v>786</v>
      </c>
      <c r="F6470" s="380" t="s">
        <v>1020</v>
      </c>
      <c r="G6470" s="380" t="s">
        <v>1267</v>
      </c>
      <c r="H6470" s="380" t="s">
        <v>771</v>
      </c>
      <c r="I6470" s="380" t="s">
        <v>788</v>
      </c>
      <c r="J6470" s="380" t="s">
        <v>773</v>
      </c>
      <c r="K6470" s="381">
        <v>0.0</v>
      </c>
      <c r="L6470" s="382">
        <v>1.0</v>
      </c>
    </row>
    <row r="6471">
      <c r="A6471" s="380" t="s">
        <v>7345</v>
      </c>
      <c r="B6471" s="380" t="str">
        <f>IFERROR(__xludf.DUMMYFUNCTION("""COMPUTED_VALUE"""),"Conex Tubo Llen Aceite Motor Isx 4962605")</f>
        <v>Conex Tubo Llen Aceite Motor Isx 4962605</v>
      </c>
      <c r="C6471" s="380" t="str">
        <f>IFERROR(__xludf.DUMMYFUNCTION("""COMPUTED_VALUE"""),"70001877")</f>
        <v>70001877</v>
      </c>
      <c r="D6471" s="380" t="s">
        <v>767</v>
      </c>
      <c r="E6471" s="380" t="s">
        <v>786</v>
      </c>
      <c r="F6471" s="380" t="s">
        <v>787</v>
      </c>
      <c r="G6471" s="380" t="s">
        <v>1267</v>
      </c>
      <c r="H6471" s="380" t="s">
        <v>771</v>
      </c>
      <c r="I6471" s="380" t="s">
        <v>788</v>
      </c>
      <c r="J6471" s="380" t="s">
        <v>773</v>
      </c>
      <c r="K6471" s="381">
        <v>0.0</v>
      </c>
      <c r="L6471" s="382">
        <v>1.0</v>
      </c>
    </row>
    <row r="6472">
      <c r="A6472" s="380" t="s">
        <v>7346</v>
      </c>
      <c r="B6472" s="380" t="str">
        <f>IFERROR(__xludf.DUMMYFUNCTION("""COMPUTED_VALUE"""),"Filtro Comb Nhr-Rew5876101570-8980374810")</f>
        <v>Filtro Comb Nhr-Rew5876101570-8980374810</v>
      </c>
      <c r="C6472" s="380" t="str">
        <f>IFERROR(__xludf.DUMMYFUNCTION("""COMPUTED_VALUE"""),"70001878")</f>
        <v>70001878</v>
      </c>
      <c r="D6472" s="380" t="s">
        <v>767</v>
      </c>
      <c r="E6472" s="380" t="s">
        <v>786</v>
      </c>
      <c r="F6472" s="380" t="s">
        <v>5855</v>
      </c>
      <c r="G6472" s="380" t="s">
        <v>1267</v>
      </c>
      <c r="H6472" s="380" t="s">
        <v>771</v>
      </c>
      <c r="I6472" s="380" t="s">
        <v>788</v>
      </c>
      <c r="J6472" s="380" t="s">
        <v>773</v>
      </c>
      <c r="K6472" s="381">
        <v>0.0</v>
      </c>
      <c r="L6472" s="382">
        <v>1.0</v>
      </c>
    </row>
    <row r="6473">
      <c r="A6473" s="380" t="s">
        <v>7347</v>
      </c>
      <c r="B6473" s="380" t="str">
        <f>IFERROR(__xludf.DUMMYFUNCTION("""COMPUTED_VALUE"""),"Relay Tablero Instrumentos Nkr8971855200")</f>
        <v>Relay Tablero Instrumentos Nkr8971855200</v>
      </c>
      <c r="C6473" s="380" t="str">
        <f>IFERROR(__xludf.DUMMYFUNCTION("""COMPUTED_VALUE"""),"70001879")</f>
        <v>70001879</v>
      </c>
      <c r="D6473" s="380" t="s">
        <v>767</v>
      </c>
      <c r="E6473" s="380" t="s">
        <v>786</v>
      </c>
      <c r="F6473" s="380" t="s">
        <v>998</v>
      </c>
      <c r="G6473" s="380" t="s">
        <v>1267</v>
      </c>
      <c r="H6473" s="380" t="s">
        <v>771</v>
      </c>
      <c r="I6473" s="380" t="s">
        <v>788</v>
      </c>
      <c r="J6473" s="380" t="s">
        <v>773</v>
      </c>
      <c r="K6473" s="381">
        <v>0.0</v>
      </c>
      <c r="L6473" s="382">
        <v>1.0</v>
      </c>
    </row>
    <row r="6474">
      <c r="A6474" s="380" t="s">
        <v>7348</v>
      </c>
      <c r="B6474" s="380" t="str">
        <f>IFERROR(__xludf.DUMMYFUNCTION("""COMPUTED_VALUE"""),"Tapon Caja Fuller 16918 KW4304023")</f>
        <v>Tapon Caja Fuller 16918 KW4304023</v>
      </c>
      <c r="C6474" s="380" t="str">
        <f>IFERROR(__xludf.DUMMYFUNCTION("""COMPUTED_VALUE"""),"70001880")</f>
        <v>70001880</v>
      </c>
      <c r="D6474" s="380" t="s">
        <v>767</v>
      </c>
      <c r="E6474" s="380" t="s">
        <v>786</v>
      </c>
      <c r="F6474" s="380" t="s">
        <v>928</v>
      </c>
      <c r="G6474" s="380" t="s">
        <v>1267</v>
      </c>
      <c r="H6474" s="380" t="s">
        <v>771</v>
      </c>
      <c r="I6474" s="380" t="s">
        <v>788</v>
      </c>
      <c r="J6474" s="380" t="s">
        <v>773</v>
      </c>
      <c r="K6474" s="381">
        <v>0.0</v>
      </c>
      <c r="L6474" s="382">
        <v>1.0</v>
      </c>
    </row>
    <row r="6475">
      <c r="A6475" s="380" t="s">
        <v>7349</v>
      </c>
      <c r="B6475" s="380" t="str">
        <f>IFERROR(__xludf.DUMMYFUNCTION("""COMPUTED_VALUE"""),"Panel Esquin Front Der Nkr-Rew8974056218")</f>
        <v>Panel Esquin Front Der Nkr-Rew8974056218</v>
      </c>
      <c r="C6475" s="380" t="str">
        <f>IFERROR(__xludf.DUMMYFUNCTION("""COMPUTED_VALUE"""),"70001881")</f>
        <v>70001881</v>
      </c>
      <c r="D6475" s="380" t="s">
        <v>767</v>
      </c>
      <c r="E6475" s="380" t="s">
        <v>786</v>
      </c>
      <c r="F6475" s="380" t="s">
        <v>792</v>
      </c>
      <c r="G6475" s="380" t="s">
        <v>1267</v>
      </c>
      <c r="H6475" s="380" t="s">
        <v>771</v>
      </c>
      <c r="I6475" s="380" t="s">
        <v>788</v>
      </c>
      <c r="J6475" s="380" t="s">
        <v>773</v>
      </c>
      <c r="K6475" s="381">
        <v>0.0</v>
      </c>
      <c r="L6475" s="382">
        <v>1.0</v>
      </c>
    </row>
    <row r="6476">
      <c r="A6476" s="380" t="s">
        <v>7350</v>
      </c>
      <c r="B6476" s="380" t="str">
        <f>IFERROR(__xludf.DUMMYFUNCTION("""COMPUTED_VALUE"""),"Cubiert Lat Espejo Der Nkr-Rew8980365213")</f>
        <v>Cubiert Lat Espejo Der Nkr-Rew8980365213</v>
      </c>
      <c r="C6476" s="380" t="str">
        <f>IFERROR(__xludf.DUMMYFUNCTION("""COMPUTED_VALUE"""),"70001882")</f>
        <v>70001882</v>
      </c>
      <c r="D6476" s="380" t="s">
        <v>767</v>
      </c>
      <c r="E6476" s="380" t="s">
        <v>786</v>
      </c>
      <c r="F6476" s="380" t="s">
        <v>792</v>
      </c>
      <c r="G6476" s="380" t="s">
        <v>1267</v>
      </c>
      <c r="H6476" s="380" t="s">
        <v>771</v>
      </c>
      <c r="I6476" s="380" t="s">
        <v>788</v>
      </c>
      <c r="J6476" s="380" t="s">
        <v>773</v>
      </c>
      <c r="K6476" s="381">
        <v>0.0</v>
      </c>
      <c r="L6476" s="382">
        <v>1.0</v>
      </c>
    </row>
    <row r="6477">
      <c r="A6477" s="380" t="s">
        <v>7351</v>
      </c>
      <c r="B6477" s="380" t="str">
        <f>IFERROR(__xludf.DUMMYFUNCTION("""COMPUTED_VALUE"""),"Kit Embrague Nkr Reward 95631143")</f>
        <v>Kit Embrague Nkr Reward 95631143</v>
      </c>
      <c r="C6477" s="380" t="str">
        <f>IFERROR(__xludf.DUMMYFUNCTION("""COMPUTED_VALUE"""),"70001883")</f>
        <v>70001883</v>
      </c>
      <c r="D6477" s="380" t="s">
        <v>767</v>
      </c>
      <c r="E6477" s="380" t="s">
        <v>786</v>
      </c>
      <c r="F6477" s="380" t="s">
        <v>5661</v>
      </c>
      <c r="G6477" s="380" t="s">
        <v>1267</v>
      </c>
      <c r="H6477" s="380" t="s">
        <v>771</v>
      </c>
      <c r="I6477" s="380" t="s">
        <v>788</v>
      </c>
      <c r="J6477" s="380" t="s">
        <v>773</v>
      </c>
      <c r="K6477" s="381">
        <v>0.0</v>
      </c>
      <c r="L6477" s="382">
        <v>1.0</v>
      </c>
    </row>
    <row r="6478">
      <c r="A6478" s="380" t="s">
        <v>7352</v>
      </c>
      <c r="B6478" s="380" t="str">
        <f>IFERROR(__xludf.DUMMYFUNCTION("""COMPUTED_VALUE"""),"Tapa Carcaza Mono Caja 16918 KW 4303926")</f>
        <v>Tapa Carcaza Mono Caja 16918 KW 4303926</v>
      </c>
      <c r="C6478" s="380" t="str">
        <f>IFERROR(__xludf.DUMMYFUNCTION("""COMPUTED_VALUE"""),"70001884")</f>
        <v>70001884</v>
      </c>
      <c r="D6478" s="380" t="s">
        <v>767</v>
      </c>
      <c r="E6478" s="380" t="s">
        <v>786</v>
      </c>
      <c r="F6478" s="380" t="s">
        <v>928</v>
      </c>
      <c r="G6478" s="380" t="s">
        <v>1267</v>
      </c>
      <c r="H6478" s="380" t="s">
        <v>771</v>
      </c>
      <c r="I6478" s="380" t="s">
        <v>788</v>
      </c>
      <c r="J6478" s="380" t="s">
        <v>773</v>
      </c>
      <c r="K6478" s="381">
        <v>0.0</v>
      </c>
      <c r="L6478" s="382">
        <v>1.0</v>
      </c>
    </row>
    <row r="6479">
      <c r="A6479" s="380" t="s">
        <v>7353</v>
      </c>
      <c r="B6479" s="380" t="str">
        <f>IFERROR(__xludf.DUMMYFUNCTION("""COMPUTED_VALUE"""),"Carter Motor Ixs Eagle 3687414")</f>
        <v>Carter Motor Ixs Eagle 3687414</v>
      </c>
      <c r="C6479" s="380" t="str">
        <f>IFERROR(__xludf.DUMMYFUNCTION("""COMPUTED_VALUE"""),"70001885")</f>
        <v>70001885</v>
      </c>
      <c r="D6479" s="380" t="s">
        <v>767</v>
      </c>
      <c r="E6479" s="380" t="s">
        <v>786</v>
      </c>
      <c r="F6479" s="380" t="s">
        <v>787</v>
      </c>
      <c r="G6479" s="380" t="s">
        <v>1267</v>
      </c>
      <c r="H6479" s="380" t="s">
        <v>771</v>
      </c>
      <c r="I6479" s="380" t="s">
        <v>788</v>
      </c>
      <c r="J6479" s="380" t="s">
        <v>773</v>
      </c>
      <c r="K6479" s="381">
        <v>0.0</v>
      </c>
      <c r="L6479" s="382">
        <v>1.0</v>
      </c>
    </row>
    <row r="6480">
      <c r="A6480" s="380" t="s">
        <v>7354</v>
      </c>
      <c r="B6480" s="380" t="str">
        <f>IFERROR(__xludf.DUMMYFUNCTION("""COMPUTED_VALUE"""),"Contacto Tapa Pito Nkr III 8970766881")</f>
        <v>Contacto Tapa Pito Nkr III 8970766881</v>
      </c>
      <c r="C6480" s="380" t="str">
        <f>IFERROR(__xludf.DUMMYFUNCTION("""COMPUTED_VALUE"""),"70001886")</f>
        <v>70001886</v>
      </c>
      <c r="D6480" s="380" t="s">
        <v>767</v>
      </c>
      <c r="E6480" s="380" t="s">
        <v>786</v>
      </c>
      <c r="F6480" s="380" t="s">
        <v>998</v>
      </c>
      <c r="G6480" s="380" t="s">
        <v>1267</v>
      </c>
      <c r="H6480" s="380" t="s">
        <v>771</v>
      </c>
      <c r="I6480" s="380" t="s">
        <v>788</v>
      </c>
      <c r="J6480" s="380" t="s">
        <v>773</v>
      </c>
      <c r="K6480" s="381">
        <v>0.0</v>
      </c>
      <c r="L6480" s="382">
        <v>1.0</v>
      </c>
    </row>
    <row r="6481">
      <c r="A6481" s="380" t="s">
        <v>7355</v>
      </c>
      <c r="B6481" s="380" t="str">
        <f>IFERROR(__xludf.DUMMYFUNCTION("""COMPUTED_VALUE"""),"Balancin Muelle Del Kw T800-600")</f>
        <v>Balancin Muelle Del Kw T800-600</v>
      </c>
      <c r="C6481" s="380" t="str">
        <f>IFERROR(__xludf.DUMMYFUNCTION("""COMPUTED_VALUE"""),"70001887")</f>
        <v>70001887</v>
      </c>
      <c r="D6481" s="380" t="s">
        <v>767</v>
      </c>
      <c r="E6481" s="380" t="s">
        <v>786</v>
      </c>
      <c r="F6481" s="380" t="s">
        <v>1039</v>
      </c>
      <c r="G6481" s="380" t="s">
        <v>1267</v>
      </c>
      <c r="H6481" s="380" t="s">
        <v>771</v>
      </c>
      <c r="I6481" s="380" t="s">
        <v>788</v>
      </c>
      <c r="J6481" s="380" t="s">
        <v>773</v>
      </c>
      <c r="K6481" s="381">
        <v>0.0</v>
      </c>
      <c r="L6481" s="382">
        <v>1.0</v>
      </c>
    </row>
    <row r="6482">
      <c r="A6482" s="380" t="s">
        <v>7356</v>
      </c>
      <c r="B6482" s="380" t="str">
        <f>IFERROR(__xludf.DUMMYFUNCTION("""COMPUTED_VALUE"""),"Zapa Muelle Del Par Tras KW T800 MK19625")</f>
        <v>Zapa Muelle Del Par Tras KW T800 MK19625</v>
      </c>
      <c r="C6482" s="380" t="str">
        <f>IFERROR(__xludf.DUMMYFUNCTION("""COMPUTED_VALUE"""),"70001888")</f>
        <v>70001888</v>
      </c>
      <c r="D6482" s="380" t="s">
        <v>767</v>
      </c>
      <c r="E6482" s="380" t="s">
        <v>786</v>
      </c>
      <c r="F6482" s="380" t="s">
        <v>1039</v>
      </c>
      <c r="G6482" s="380" t="s">
        <v>1267</v>
      </c>
      <c r="H6482" s="380" t="s">
        <v>771</v>
      </c>
      <c r="I6482" s="380" t="s">
        <v>788</v>
      </c>
      <c r="J6482" s="380" t="s">
        <v>773</v>
      </c>
      <c r="K6482" s="381">
        <v>0.0</v>
      </c>
      <c r="L6482" s="382">
        <v>1.0</v>
      </c>
    </row>
    <row r="6483">
      <c r="A6483" s="380" t="s">
        <v>7357</v>
      </c>
      <c r="B6483" s="380" t="str">
        <f>IFERROR(__xludf.DUMMYFUNCTION("""COMPUTED_VALUE"""),"Pisa Alfombra Lat Izq Nkr III 8974094790")</f>
        <v>Pisa Alfombra Lat Izq Nkr III 8974094790</v>
      </c>
      <c r="C6483" s="380" t="str">
        <f>IFERROR(__xludf.DUMMYFUNCTION("""COMPUTED_VALUE"""),"70001889")</f>
        <v>70001889</v>
      </c>
      <c r="D6483" s="380" t="s">
        <v>767</v>
      </c>
      <c r="E6483" s="380" t="s">
        <v>786</v>
      </c>
      <c r="F6483" s="380" t="s">
        <v>792</v>
      </c>
      <c r="G6483" s="380" t="s">
        <v>1267</v>
      </c>
      <c r="H6483" s="380" t="s">
        <v>771</v>
      </c>
      <c r="I6483" s="380" t="s">
        <v>788</v>
      </c>
      <c r="J6483" s="380" t="s">
        <v>773</v>
      </c>
      <c r="K6483" s="381">
        <v>0.0</v>
      </c>
      <c r="L6483" s="382">
        <v>1.0</v>
      </c>
    </row>
    <row r="6484">
      <c r="A6484" s="380" t="s">
        <v>7358</v>
      </c>
      <c r="B6484" s="380" t="str">
        <f>IFERROR(__xludf.DUMMYFUNCTION("""COMPUTED_VALUE"""),"Puerta Delantera Izq Nkr III 8975814432")</f>
        <v>Puerta Delantera Izq Nkr III 8975814432</v>
      </c>
      <c r="C6484" s="380" t="str">
        <f>IFERROR(__xludf.DUMMYFUNCTION("""COMPUTED_VALUE"""),"70001890")</f>
        <v>70001890</v>
      </c>
      <c r="D6484" s="380" t="s">
        <v>767</v>
      </c>
      <c r="E6484" s="380" t="s">
        <v>786</v>
      </c>
      <c r="F6484" s="380" t="s">
        <v>792</v>
      </c>
      <c r="G6484" s="380" t="s">
        <v>1267</v>
      </c>
      <c r="H6484" s="380" t="s">
        <v>771</v>
      </c>
      <c r="I6484" s="380" t="s">
        <v>788</v>
      </c>
      <c r="J6484" s="380" t="s">
        <v>773</v>
      </c>
      <c r="K6484" s="381">
        <v>0.0</v>
      </c>
      <c r="L6484" s="382">
        <v>1.0</v>
      </c>
    </row>
    <row r="6485">
      <c r="A6485" s="380" t="s">
        <v>7359</v>
      </c>
      <c r="B6485" s="380" t="str">
        <f>IFERROR(__xludf.DUMMYFUNCTION("""COMPUTED_VALUE"""),"Brazo Espejo Ext Izq Nkr III 8980395761")</f>
        <v>Brazo Espejo Ext Izq Nkr III 8980395761</v>
      </c>
      <c r="C6485" s="380" t="str">
        <f>IFERROR(__xludf.DUMMYFUNCTION("""COMPUTED_VALUE"""),"70001891")</f>
        <v>70001891</v>
      </c>
      <c r="D6485" s="380" t="s">
        <v>767</v>
      </c>
      <c r="E6485" s="380" t="s">
        <v>786</v>
      </c>
      <c r="F6485" s="380" t="s">
        <v>792</v>
      </c>
      <c r="G6485" s="380" t="s">
        <v>1267</v>
      </c>
      <c r="H6485" s="380" t="s">
        <v>771</v>
      </c>
      <c r="I6485" s="380" t="s">
        <v>788</v>
      </c>
      <c r="J6485" s="380" t="s">
        <v>773</v>
      </c>
      <c r="K6485" s="381">
        <v>0.0</v>
      </c>
      <c r="L6485" s="382">
        <v>1.0</v>
      </c>
    </row>
    <row r="6486">
      <c r="A6486" s="380" t="s">
        <v>7360</v>
      </c>
      <c r="B6486" s="380" t="str">
        <f>IFERROR(__xludf.DUMMYFUNCTION("""COMPUTED_VALUE"""),"Emblema ""Tecnologia Isuzu"" Nkr 95629429")</f>
        <v>Emblema "Tecnologia Isuzu" Nkr 95629429</v>
      </c>
      <c r="C6486" s="380" t="str">
        <f>IFERROR(__xludf.DUMMYFUNCTION("""COMPUTED_VALUE"""),"70001892")</f>
        <v>70001892</v>
      </c>
      <c r="D6486" s="380" t="s">
        <v>767</v>
      </c>
      <c r="E6486" s="380" t="s">
        <v>786</v>
      </c>
      <c r="F6486" s="380" t="s">
        <v>792</v>
      </c>
      <c r="G6486" s="380" t="s">
        <v>1267</v>
      </c>
      <c r="H6486" s="380" t="s">
        <v>771</v>
      </c>
      <c r="I6486" s="380" t="s">
        <v>788</v>
      </c>
      <c r="J6486" s="380" t="s">
        <v>773</v>
      </c>
      <c r="K6486" s="381">
        <v>0.0</v>
      </c>
      <c r="L6486" s="382">
        <v>1.0</v>
      </c>
    </row>
    <row r="6487">
      <c r="A6487" s="380" t="s">
        <v>7361</v>
      </c>
      <c r="B6487" s="380" t="str">
        <f>IFERROR(__xludf.DUMMYFUNCTION("""COMPUTED_VALUE"""),"Horquilla Embrague Volswagen 141857")</f>
        <v>Horquilla Embrague Volswagen 141857</v>
      </c>
      <c r="C6487" s="380" t="str">
        <f>IFERROR(__xludf.DUMMYFUNCTION("""COMPUTED_VALUE"""),"70001893")</f>
        <v>70001893</v>
      </c>
      <c r="D6487" s="380" t="s">
        <v>767</v>
      </c>
      <c r="E6487" s="380" t="s">
        <v>786</v>
      </c>
      <c r="F6487" s="380" t="s">
        <v>5661</v>
      </c>
      <c r="G6487" s="380" t="s">
        <v>1267</v>
      </c>
      <c r="H6487" s="380" t="s">
        <v>771</v>
      </c>
      <c r="I6487" s="380" t="s">
        <v>788</v>
      </c>
      <c r="J6487" s="380" t="s">
        <v>773</v>
      </c>
      <c r="K6487" s="381">
        <v>0.0</v>
      </c>
      <c r="L6487" s="382">
        <v>1.0</v>
      </c>
    </row>
    <row r="6488">
      <c r="A6488" s="380" t="s">
        <v>7362</v>
      </c>
      <c r="B6488" s="380" t="str">
        <f>IFERROR(__xludf.DUMMYFUNCTION("""COMPUTED_VALUE"""),"Piñon Engranaje Motor Isx 3681674")</f>
        <v>Piñon Engranaje Motor Isx 3681674</v>
      </c>
      <c r="C6488" s="380" t="str">
        <f>IFERROR(__xludf.DUMMYFUNCTION("""COMPUTED_VALUE"""),"70001894")</f>
        <v>70001894</v>
      </c>
      <c r="D6488" s="380" t="s">
        <v>767</v>
      </c>
      <c r="E6488" s="380" t="s">
        <v>786</v>
      </c>
      <c r="F6488" s="380" t="s">
        <v>787</v>
      </c>
      <c r="G6488" s="380" t="s">
        <v>1267</v>
      </c>
      <c r="H6488" s="380" t="s">
        <v>771</v>
      </c>
      <c r="I6488" s="380" t="s">
        <v>788</v>
      </c>
      <c r="J6488" s="380" t="s">
        <v>773</v>
      </c>
      <c r="K6488" s="381">
        <v>0.0</v>
      </c>
      <c r="L6488" s="382">
        <v>1.0</v>
      </c>
    </row>
    <row r="6489">
      <c r="A6489" s="380" t="s">
        <v>7363</v>
      </c>
      <c r="B6489" s="380" t="str">
        <f>IFERROR(__xludf.DUMMYFUNCTION("""COMPUTED_VALUE"""),"Manguera Sup Radiador Nkr-Rew 8973838121")</f>
        <v>Manguera Sup Radiador Nkr-Rew 8973838121</v>
      </c>
      <c r="C6489" s="380" t="str">
        <f>IFERROR(__xludf.DUMMYFUNCTION("""COMPUTED_VALUE"""),"70001895")</f>
        <v>70001895</v>
      </c>
      <c r="D6489" s="380" t="s">
        <v>767</v>
      </c>
      <c r="E6489" s="380" t="s">
        <v>786</v>
      </c>
      <c r="F6489" s="380" t="s">
        <v>787</v>
      </c>
      <c r="G6489" s="380" t="s">
        <v>1267</v>
      </c>
      <c r="H6489" s="380" t="s">
        <v>771</v>
      </c>
      <c r="I6489" s="380" t="s">
        <v>788</v>
      </c>
      <c r="J6489" s="380" t="s">
        <v>773</v>
      </c>
      <c r="K6489" s="381">
        <v>0.0</v>
      </c>
      <c r="L6489" s="382">
        <v>1.0</v>
      </c>
    </row>
    <row r="6490">
      <c r="A6490" s="380" t="s">
        <v>7364</v>
      </c>
      <c r="B6490" s="380" t="str">
        <f>IFERROR(__xludf.DUMMYFUNCTION("""COMPUTED_VALUE"""),"Farola Ppal Del Der FTR FRR RW8980984832")</f>
        <v>Farola Ppal Del Der FTR FRR RW8980984832</v>
      </c>
      <c r="C6490" s="380" t="str">
        <f>IFERROR(__xludf.DUMMYFUNCTION("""COMPUTED_VALUE"""),"70001896")</f>
        <v>70001896</v>
      </c>
      <c r="D6490" s="380" t="s">
        <v>767</v>
      </c>
      <c r="E6490" s="380" t="s">
        <v>786</v>
      </c>
      <c r="F6490" s="380" t="s">
        <v>998</v>
      </c>
      <c r="G6490" s="380" t="s">
        <v>1267</v>
      </c>
      <c r="H6490" s="380" t="s">
        <v>771</v>
      </c>
      <c r="I6490" s="380" t="s">
        <v>788</v>
      </c>
      <c r="J6490" s="380" t="s">
        <v>773</v>
      </c>
      <c r="K6490" s="381">
        <v>0.0</v>
      </c>
      <c r="L6490" s="382">
        <v>1.0</v>
      </c>
    </row>
    <row r="6491">
      <c r="A6491" s="380" t="s">
        <v>7365</v>
      </c>
      <c r="B6491" s="380" t="str">
        <f>IFERROR(__xludf.DUMMYFUNCTION("""COMPUTED_VALUE"""),"Asiento Tornillo Eje Balancin Isx3679427")</f>
        <v>Asiento Tornillo Eje Balancin Isx3679427</v>
      </c>
      <c r="C6491" s="380" t="str">
        <f>IFERROR(__xludf.DUMMYFUNCTION("""COMPUTED_VALUE"""),"70001897")</f>
        <v>70001897</v>
      </c>
      <c r="D6491" s="380" t="s">
        <v>767</v>
      </c>
      <c r="E6491" s="380" t="s">
        <v>786</v>
      </c>
      <c r="F6491" s="380" t="s">
        <v>787</v>
      </c>
      <c r="G6491" s="380" t="s">
        <v>1267</v>
      </c>
      <c r="H6491" s="380" t="s">
        <v>771</v>
      </c>
      <c r="I6491" s="380" t="s">
        <v>788</v>
      </c>
      <c r="J6491" s="380" t="s">
        <v>773</v>
      </c>
      <c r="K6491" s="381">
        <v>0.0</v>
      </c>
      <c r="L6491" s="382">
        <v>1.0</v>
      </c>
    </row>
    <row r="6492">
      <c r="A6492" s="380" t="s">
        <v>7366</v>
      </c>
      <c r="B6492" s="380" t="str">
        <f>IFERROR(__xludf.DUMMYFUNCTION("""COMPUTED_VALUE"""),"Persiana Radiador Nk Reward 8980254653")</f>
        <v>Persiana Radiador Nk Reward 8980254653</v>
      </c>
      <c r="C6492" s="380" t="str">
        <f>IFERROR(__xludf.DUMMYFUNCTION("""COMPUTED_VALUE"""),"70001898")</f>
        <v>70001898</v>
      </c>
      <c r="D6492" s="380" t="s">
        <v>767</v>
      </c>
      <c r="E6492" s="380" t="s">
        <v>786</v>
      </c>
      <c r="F6492" s="380" t="s">
        <v>792</v>
      </c>
      <c r="G6492" s="380" t="s">
        <v>1267</v>
      </c>
      <c r="H6492" s="380" t="s">
        <v>771</v>
      </c>
      <c r="I6492" s="380" t="s">
        <v>788</v>
      </c>
      <c r="J6492" s="380" t="s">
        <v>773</v>
      </c>
      <c r="K6492" s="381">
        <v>0.0</v>
      </c>
      <c r="L6492" s="382">
        <v>1.0</v>
      </c>
    </row>
    <row r="6493">
      <c r="A6493" s="380" t="s">
        <v>7367</v>
      </c>
      <c r="B6493" s="380" t="str">
        <f>IFERROR(__xludf.DUMMYFUNCTION("""COMPUTED_VALUE"""),"Filtro Combust Principal Columbia FF5206")</f>
        <v>Filtro Combust Principal Columbia FF5206</v>
      </c>
      <c r="C6493" s="380" t="str">
        <f>IFERROR(__xludf.DUMMYFUNCTION("""COMPUTED_VALUE"""),"70001899")</f>
        <v>70001899</v>
      </c>
      <c r="D6493" s="380" t="s">
        <v>767</v>
      </c>
      <c r="E6493" s="380" t="s">
        <v>786</v>
      </c>
      <c r="F6493" s="380" t="s">
        <v>5855</v>
      </c>
      <c r="G6493" s="380" t="s">
        <v>1267</v>
      </c>
      <c r="H6493" s="380" t="s">
        <v>771</v>
      </c>
      <c r="I6493" s="380" t="s">
        <v>788</v>
      </c>
      <c r="J6493" s="380" t="s">
        <v>773</v>
      </c>
      <c r="K6493" s="381">
        <v>0.0</v>
      </c>
      <c r="L6493" s="382">
        <v>1.0</v>
      </c>
    </row>
    <row r="6494">
      <c r="A6494" s="380" t="s">
        <v>7368</v>
      </c>
      <c r="B6494" s="380" t="str">
        <f>IFERROR(__xludf.DUMMYFUNCTION("""COMPUTED_VALUE"""),"Empaq Carcaza Engranaje Motor Isx4985562")</f>
        <v>Empaq Carcaza Engranaje Motor Isx4985562</v>
      </c>
      <c r="C6494" s="380" t="str">
        <f>IFERROR(__xludf.DUMMYFUNCTION("""COMPUTED_VALUE"""),"70001900")</f>
        <v>70001900</v>
      </c>
      <c r="D6494" s="380" t="s">
        <v>767</v>
      </c>
      <c r="E6494" s="380" t="s">
        <v>786</v>
      </c>
      <c r="F6494" s="380" t="s">
        <v>787</v>
      </c>
      <c r="G6494" s="380" t="s">
        <v>1267</v>
      </c>
      <c r="H6494" s="380" t="s">
        <v>771</v>
      </c>
      <c r="I6494" s="380" t="s">
        <v>788</v>
      </c>
      <c r="J6494" s="380" t="s">
        <v>773</v>
      </c>
      <c r="K6494" s="381">
        <v>0.0</v>
      </c>
      <c r="L6494" s="382">
        <v>1.0</v>
      </c>
    </row>
    <row r="6495">
      <c r="A6495" s="380" t="s">
        <v>7369</v>
      </c>
      <c r="B6495" s="380" t="str">
        <f>IFERROR(__xludf.DUMMYFUNCTION("""COMPUTED_VALUE"""),"Ventilador Radiador Eagle Isx 3625639C1")</f>
        <v>Ventilador Radiador Eagle Isx 3625639C1</v>
      </c>
      <c r="C6495" s="380" t="str">
        <f>IFERROR(__xludf.DUMMYFUNCTION("""COMPUTED_VALUE"""),"70001901")</f>
        <v>70001901</v>
      </c>
      <c r="D6495" s="380" t="s">
        <v>767</v>
      </c>
      <c r="E6495" s="380" t="s">
        <v>786</v>
      </c>
      <c r="F6495" s="380" t="s">
        <v>787</v>
      </c>
      <c r="G6495" s="380" t="s">
        <v>1267</v>
      </c>
      <c r="H6495" s="380" t="s">
        <v>771</v>
      </c>
      <c r="I6495" s="380" t="s">
        <v>788</v>
      </c>
      <c r="J6495" s="380" t="s">
        <v>773</v>
      </c>
      <c r="K6495" s="381">
        <v>482436.0</v>
      </c>
      <c r="L6495" s="382">
        <v>1.0</v>
      </c>
    </row>
    <row r="6496">
      <c r="A6496" s="380" t="s">
        <v>7370</v>
      </c>
      <c r="B6496" s="380" t="str">
        <f>IFERROR(__xludf.DUMMYFUNCTION("""COMPUTED_VALUE"""),"Filtro Aire Motor FTR 3571552C1")</f>
        <v>Filtro Aire Motor FTR 3571552C1</v>
      </c>
      <c r="C6496" s="380" t="str">
        <f>IFERROR(__xludf.DUMMYFUNCTION("""COMPUTED_VALUE"""),"70001902")</f>
        <v>70001902</v>
      </c>
      <c r="D6496" s="380" t="s">
        <v>767</v>
      </c>
      <c r="E6496" s="380" t="s">
        <v>786</v>
      </c>
      <c r="F6496" s="380" t="s">
        <v>5855</v>
      </c>
      <c r="G6496" s="380" t="s">
        <v>1267</v>
      </c>
      <c r="H6496" s="380" t="s">
        <v>771</v>
      </c>
      <c r="I6496" s="380" t="s">
        <v>788</v>
      </c>
      <c r="J6496" s="380" t="s">
        <v>773</v>
      </c>
      <c r="K6496" s="381">
        <v>88288.0</v>
      </c>
      <c r="L6496" s="382">
        <v>1.0</v>
      </c>
    </row>
    <row r="6497">
      <c r="A6497" s="380" t="s">
        <v>7371</v>
      </c>
      <c r="B6497" s="380" t="str">
        <f>IFERROR(__xludf.DUMMYFUNCTION("""COMPUTED_VALUE"""),"Mangu Freno Del Cincovias Nkr 8971710310")</f>
        <v>Mangu Freno Del Cincovias Nkr 8971710310</v>
      </c>
      <c r="C6497" s="380" t="str">
        <f>IFERROR(__xludf.DUMMYFUNCTION("""COMPUTED_VALUE"""),"70001903")</f>
        <v>70001903</v>
      </c>
      <c r="D6497" s="380" t="s">
        <v>767</v>
      </c>
      <c r="E6497" s="380" t="s">
        <v>786</v>
      </c>
      <c r="F6497" s="380" t="s">
        <v>1017</v>
      </c>
      <c r="G6497" s="380" t="s">
        <v>1267</v>
      </c>
      <c r="H6497" s="380" t="s">
        <v>771</v>
      </c>
      <c r="I6497" s="380" t="s">
        <v>788</v>
      </c>
      <c r="J6497" s="380" t="s">
        <v>773</v>
      </c>
      <c r="K6497" s="381">
        <v>0.0</v>
      </c>
      <c r="L6497" s="382">
        <v>1.0</v>
      </c>
    </row>
    <row r="6498">
      <c r="A6498" s="380" t="s">
        <v>7372</v>
      </c>
      <c r="B6498" s="380" t="str">
        <f>IFERROR(__xludf.DUMMYFUNCTION("""COMPUTED_VALUE"""),"Oring Tapa Del Eje Levas Iny Isx 4299125")</f>
        <v>Oring Tapa Del Eje Levas Iny Isx 4299125</v>
      </c>
      <c r="C6498" s="380" t="str">
        <f>IFERROR(__xludf.DUMMYFUNCTION("""COMPUTED_VALUE"""),"70001904")</f>
        <v>70001904</v>
      </c>
      <c r="D6498" s="380" t="s">
        <v>767</v>
      </c>
      <c r="E6498" s="380" t="s">
        <v>786</v>
      </c>
      <c r="F6498" s="380" t="s">
        <v>787</v>
      </c>
      <c r="G6498" s="380" t="s">
        <v>1267</v>
      </c>
      <c r="H6498" s="380" t="s">
        <v>771</v>
      </c>
      <c r="I6498" s="380" t="s">
        <v>788</v>
      </c>
      <c r="J6498" s="380" t="s">
        <v>773</v>
      </c>
      <c r="K6498" s="381">
        <v>0.0</v>
      </c>
      <c r="L6498" s="382">
        <v>1.0</v>
      </c>
    </row>
    <row r="6499">
      <c r="A6499" s="380" t="s">
        <v>7373</v>
      </c>
      <c r="B6499" s="380" t="str">
        <f>IFERROR(__xludf.DUMMYFUNCTION("""COMPUTED_VALUE"""),"Kit Lainas Transmision Del Eagle 2429")</f>
        <v>Kit Lainas Transmision Del Eagle 2429</v>
      </c>
      <c r="C6499" s="380" t="str">
        <f>IFERROR(__xludf.DUMMYFUNCTION("""COMPUTED_VALUE"""),"70001905")</f>
        <v>70001905</v>
      </c>
      <c r="D6499" s="380" t="s">
        <v>767</v>
      </c>
      <c r="E6499" s="380" t="s">
        <v>786</v>
      </c>
      <c r="F6499" s="380" t="s">
        <v>5683</v>
      </c>
      <c r="G6499" s="380" t="s">
        <v>1267</v>
      </c>
      <c r="H6499" s="380" t="s">
        <v>771</v>
      </c>
      <c r="I6499" s="380" t="s">
        <v>788</v>
      </c>
      <c r="J6499" s="380" t="s">
        <v>773</v>
      </c>
      <c r="K6499" s="381">
        <v>0.0</v>
      </c>
      <c r="L6499" s="382">
        <v>1.0</v>
      </c>
    </row>
    <row r="6500">
      <c r="A6500" s="380" t="s">
        <v>7374</v>
      </c>
      <c r="B6500" s="380" t="str">
        <f>IFERROR(__xludf.DUMMYFUNCTION("""COMPUTED_VALUE"""),"Secador De Aire Eagle 9400 BX065225")</f>
        <v>Secador De Aire Eagle 9400 BX065225</v>
      </c>
      <c r="C6500" s="380" t="str">
        <f>IFERROR(__xludf.DUMMYFUNCTION("""COMPUTED_VALUE"""),"70001906")</f>
        <v>70001906</v>
      </c>
      <c r="D6500" s="380" t="s">
        <v>767</v>
      </c>
      <c r="E6500" s="380" t="s">
        <v>786</v>
      </c>
      <c r="F6500" s="380" t="s">
        <v>1017</v>
      </c>
      <c r="G6500" s="380" t="s">
        <v>1267</v>
      </c>
      <c r="H6500" s="380" t="s">
        <v>771</v>
      </c>
      <c r="I6500" s="380" t="s">
        <v>788</v>
      </c>
      <c r="J6500" s="380" t="s">
        <v>773</v>
      </c>
      <c r="K6500" s="381">
        <v>0.0</v>
      </c>
      <c r="L6500" s="382">
        <v>1.0</v>
      </c>
    </row>
    <row r="6501">
      <c r="A6501" s="380" t="s">
        <v>7375</v>
      </c>
      <c r="B6501" s="380" t="str">
        <f>IFERROR(__xludf.DUMMYFUNCTION("""COMPUTED_VALUE"""),"Farola Derecha Foton 1030 7705946718813")</f>
        <v>Farola Derecha Foton 1030 7705946718813</v>
      </c>
      <c r="C6501" s="380" t="str">
        <f>IFERROR(__xludf.DUMMYFUNCTION("""COMPUTED_VALUE"""),"70001907")</f>
        <v>70001907</v>
      </c>
      <c r="D6501" s="380" t="s">
        <v>767</v>
      </c>
      <c r="E6501" s="380" t="s">
        <v>786</v>
      </c>
      <c r="F6501" s="380" t="s">
        <v>998</v>
      </c>
      <c r="G6501" s="380" t="s">
        <v>1267</v>
      </c>
      <c r="H6501" s="380" t="s">
        <v>771</v>
      </c>
      <c r="I6501" s="380" t="s">
        <v>788</v>
      </c>
      <c r="J6501" s="380" t="s">
        <v>773</v>
      </c>
      <c r="K6501" s="381">
        <v>0.0</v>
      </c>
      <c r="L6501" s="382">
        <v>1.0</v>
      </c>
    </row>
    <row r="6502">
      <c r="A6502" s="380" t="s">
        <v>7376</v>
      </c>
      <c r="B6502" s="380" t="str">
        <f>IFERROR(__xludf.DUMMYFUNCTION("""COMPUTED_VALUE"""),"Porta Diodo Alternador 34SI DR-5186")</f>
        <v>Porta Diodo Alternador 34SI DR-5186</v>
      </c>
      <c r="C6502" s="380" t="str">
        <f>IFERROR(__xludf.DUMMYFUNCTION("""COMPUTED_VALUE"""),"70001908")</f>
        <v>70001908</v>
      </c>
      <c r="D6502" s="380" t="s">
        <v>767</v>
      </c>
      <c r="E6502" s="380" t="s">
        <v>786</v>
      </c>
      <c r="F6502" s="380" t="s">
        <v>998</v>
      </c>
      <c r="G6502" s="380" t="s">
        <v>1267</v>
      </c>
      <c r="H6502" s="380" t="s">
        <v>771</v>
      </c>
      <c r="I6502" s="380" t="s">
        <v>788</v>
      </c>
      <c r="J6502" s="380" t="s">
        <v>773</v>
      </c>
      <c r="K6502" s="381">
        <v>0.0</v>
      </c>
      <c r="L6502" s="382">
        <v>1.0</v>
      </c>
    </row>
    <row r="6503">
      <c r="A6503" s="380" t="s">
        <v>7377</v>
      </c>
      <c r="B6503" s="380" t="str">
        <f>IFERROR(__xludf.DUMMYFUNCTION("""COMPUTED_VALUE"""),"Bandas Freno Del Hino Nueva 449436210")</f>
        <v>Bandas Freno Del Hino Nueva 449436210</v>
      </c>
      <c r="C6503" s="380" t="str">
        <f>IFERROR(__xludf.DUMMYFUNCTION("""COMPUTED_VALUE"""),"70001909")</f>
        <v>70001909</v>
      </c>
      <c r="D6503" s="380" t="s">
        <v>767</v>
      </c>
      <c r="E6503" s="380" t="s">
        <v>786</v>
      </c>
      <c r="F6503" s="380" t="s">
        <v>1017</v>
      </c>
      <c r="G6503" s="380" t="s">
        <v>1267</v>
      </c>
      <c r="H6503" s="380" t="s">
        <v>771</v>
      </c>
      <c r="I6503" s="380" t="s">
        <v>788</v>
      </c>
      <c r="J6503" s="380" t="s">
        <v>773</v>
      </c>
      <c r="K6503" s="381">
        <v>0.0</v>
      </c>
      <c r="L6503" s="382">
        <v>1.0</v>
      </c>
    </row>
    <row r="6504">
      <c r="A6504" s="380" t="s">
        <v>7378</v>
      </c>
      <c r="B6504" s="380" t="str">
        <f>IFERROR(__xludf.DUMMYFUNCTION("""COMPUTED_VALUE"""),"Guaya Freno Mano Nhr-Nkr GMCFP1961")</f>
        <v>Guaya Freno Mano Nhr-Nkr GMCFP1961</v>
      </c>
      <c r="C6504" s="380" t="str">
        <f>IFERROR(__xludf.DUMMYFUNCTION("""COMPUTED_VALUE"""),"70001910")</f>
        <v>70001910</v>
      </c>
      <c r="D6504" s="380" t="s">
        <v>767</v>
      </c>
      <c r="E6504" s="380" t="s">
        <v>786</v>
      </c>
      <c r="F6504" s="380" t="s">
        <v>1017</v>
      </c>
      <c r="G6504" s="380" t="s">
        <v>1267</v>
      </c>
      <c r="H6504" s="380" t="s">
        <v>771</v>
      </c>
      <c r="I6504" s="380" t="s">
        <v>788</v>
      </c>
      <c r="J6504" s="380" t="s">
        <v>773</v>
      </c>
      <c r="K6504" s="381">
        <v>0.0</v>
      </c>
      <c r="L6504" s="382">
        <v>1.0</v>
      </c>
    </row>
    <row r="6505">
      <c r="A6505" s="380" t="s">
        <v>7379</v>
      </c>
      <c r="B6505" s="380" t="str">
        <f>IFERROR(__xludf.DUMMYFUNCTION("""COMPUTED_VALUE"""),"Polea Bomba Hidraulica Nkr 8941288660")</f>
        <v>Polea Bomba Hidraulica Nkr 8941288660</v>
      </c>
      <c r="C6505" s="380" t="str">
        <f>IFERROR(__xludf.DUMMYFUNCTION("""COMPUTED_VALUE"""),"70001911")</f>
        <v>70001911</v>
      </c>
      <c r="D6505" s="380" t="s">
        <v>767</v>
      </c>
      <c r="E6505" s="380" t="s">
        <v>786</v>
      </c>
      <c r="F6505" s="380" t="s">
        <v>787</v>
      </c>
      <c r="G6505" s="380" t="s">
        <v>1267</v>
      </c>
      <c r="H6505" s="380" t="s">
        <v>771</v>
      </c>
      <c r="I6505" s="380" t="s">
        <v>788</v>
      </c>
      <c r="J6505" s="380" t="s">
        <v>773</v>
      </c>
      <c r="K6505" s="381">
        <v>0.0</v>
      </c>
      <c r="L6505" s="382">
        <v>1.0</v>
      </c>
    </row>
    <row r="6506">
      <c r="A6506" s="380" t="s">
        <v>7380</v>
      </c>
      <c r="B6506" s="380" t="str">
        <f>IFERROR(__xludf.DUMMYFUNCTION("""COMPUTED_VALUE"""),"Valvula Control Flujo Aire N200 9017509")</f>
        <v>Valvula Control Flujo Aire N200 9017509</v>
      </c>
      <c r="C6506" s="380" t="str">
        <f>IFERROR(__xludf.DUMMYFUNCTION("""COMPUTED_VALUE"""),"70001912")</f>
        <v>70001912</v>
      </c>
      <c r="D6506" s="380" t="s">
        <v>767</v>
      </c>
      <c r="E6506" s="380" t="s">
        <v>786</v>
      </c>
      <c r="F6506" s="380" t="s">
        <v>787</v>
      </c>
      <c r="G6506" s="380" t="s">
        <v>1267</v>
      </c>
      <c r="H6506" s="380" t="s">
        <v>771</v>
      </c>
      <c r="I6506" s="380" t="s">
        <v>788</v>
      </c>
      <c r="J6506" s="380" t="s">
        <v>773</v>
      </c>
      <c r="K6506" s="381">
        <v>0.0</v>
      </c>
      <c r="L6506" s="382">
        <v>1.0</v>
      </c>
    </row>
    <row r="6507">
      <c r="A6507" s="380" t="s">
        <v>7381</v>
      </c>
      <c r="B6507" s="380" t="str">
        <f>IFERROR(__xludf.DUMMYFUNCTION("""COMPUTED_VALUE"""),"Tornillo Tubo Turbo Nkr 8943328311")</f>
        <v>Tornillo Tubo Turbo Nkr 8943328311</v>
      </c>
      <c r="C6507" s="380" t="str">
        <f>IFERROR(__xludf.DUMMYFUNCTION("""COMPUTED_VALUE"""),"70001913")</f>
        <v>70001913</v>
      </c>
      <c r="D6507" s="380" t="s">
        <v>767</v>
      </c>
      <c r="E6507" s="380" t="s">
        <v>786</v>
      </c>
      <c r="F6507" s="380" t="s">
        <v>787</v>
      </c>
      <c r="G6507" s="380" t="s">
        <v>1267</v>
      </c>
      <c r="H6507" s="380" t="s">
        <v>771</v>
      </c>
      <c r="I6507" s="380" t="s">
        <v>788</v>
      </c>
      <c r="J6507" s="380" t="s">
        <v>773</v>
      </c>
      <c r="K6507" s="381">
        <v>0.0</v>
      </c>
      <c r="L6507" s="382">
        <v>1.0</v>
      </c>
    </row>
    <row r="6508">
      <c r="A6508" s="380" t="s">
        <v>7382</v>
      </c>
      <c r="B6508" s="380" t="str">
        <f>IFERROR(__xludf.DUMMYFUNCTION("""COMPUTED_VALUE"""),"Retenedor Cigueñal Delantero Isx 4955383")</f>
        <v>Retenedor Cigueñal Delantero Isx 4955383</v>
      </c>
      <c r="C6508" s="380" t="str">
        <f>IFERROR(__xludf.DUMMYFUNCTION("""COMPUTED_VALUE"""),"70001914")</f>
        <v>70001914</v>
      </c>
      <c r="D6508" s="380" t="s">
        <v>767</v>
      </c>
      <c r="E6508" s="380" t="s">
        <v>786</v>
      </c>
      <c r="F6508" s="380" t="s">
        <v>787</v>
      </c>
      <c r="G6508" s="380" t="s">
        <v>1267</v>
      </c>
      <c r="H6508" s="380" t="s">
        <v>771</v>
      </c>
      <c r="I6508" s="380" t="s">
        <v>788</v>
      </c>
      <c r="J6508" s="380" t="s">
        <v>773</v>
      </c>
      <c r="K6508" s="381">
        <v>0.0</v>
      </c>
      <c r="L6508" s="382">
        <v>1.0</v>
      </c>
    </row>
    <row r="6509">
      <c r="A6509" s="380" t="s">
        <v>7383</v>
      </c>
      <c r="B6509" s="380" t="str">
        <f>IFERROR(__xludf.DUMMYFUNCTION("""COMPUTED_VALUE"""),"Empaque Tapa Reparticion Inf Isx 4962722")</f>
        <v>Empaque Tapa Reparticion Inf Isx 4962722</v>
      </c>
      <c r="C6509" s="380" t="str">
        <f>IFERROR(__xludf.DUMMYFUNCTION("""COMPUTED_VALUE"""),"70001915")</f>
        <v>70001915</v>
      </c>
      <c r="D6509" s="380" t="s">
        <v>767</v>
      </c>
      <c r="E6509" s="380" t="s">
        <v>786</v>
      </c>
      <c r="F6509" s="380" t="s">
        <v>787</v>
      </c>
      <c r="G6509" s="380" t="s">
        <v>1267</v>
      </c>
      <c r="H6509" s="380" t="s">
        <v>771</v>
      </c>
      <c r="I6509" s="380" t="s">
        <v>788</v>
      </c>
      <c r="J6509" s="380" t="s">
        <v>773</v>
      </c>
      <c r="K6509" s="381">
        <v>0.0</v>
      </c>
      <c r="L6509" s="382">
        <v>1.0</v>
      </c>
    </row>
    <row r="6510">
      <c r="A6510" s="380" t="s">
        <v>7384</v>
      </c>
      <c r="B6510" s="380" t="str">
        <f>IFERROR(__xludf.DUMMYFUNCTION("""COMPUTED_VALUE"""),"Piñon Eje Levas Iny Motor Isx 4101852")</f>
        <v>Piñon Eje Levas Iny Motor Isx 4101852</v>
      </c>
      <c r="C6510" s="380" t="str">
        <f>IFERROR(__xludf.DUMMYFUNCTION("""COMPUTED_VALUE"""),"70001916")</f>
        <v>70001916</v>
      </c>
      <c r="D6510" s="380" t="s">
        <v>767</v>
      </c>
      <c r="E6510" s="380" t="s">
        <v>786</v>
      </c>
      <c r="F6510" s="380" t="s">
        <v>787</v>
      </c>
      <c r="G6510" s="380" t="s">
        <v>1267</v>
      </c>
      <c r="H6510" s="380" t="s">
        <v>771</v>
      </c>
      <c r="I6510" s="380" t="s">
        <v>788</v>
      </c>
      <c r="J6510" s="380" t="s">
        <v>773</v>
      </c>
      <c r="K6510" s="381">
        <v>0.0</v>
      </c>
      <c r="L6510" s="382">
        <v>1.0</v>
      </c>
    </row>
    <row r="6511">
      <c r="A6511" s="380" t="s">
        <v>7385</v>
      </c>
      <c r="B6511" s="380" t="str">
        <f>IFERROR(__xludf.DUMMYFUNCTION("""COMPUTED_VALUE"""),"Buje Balancin Del Tras T Delta9004385181")</f>
        <v>Buje Balancin Del Tras T Delta9004385181</v>
      </c>
      <c r="C6511" s="380" t="str">
        <f>IFERROR(__xludf.DUMMYFUNCTION("""COMPUTED_VALUE"""),"70001917")</f>
        <v>70001917</v>
      </c>
      <c r="D6511" s="380" t="s">
        <v>767</v>
      </c>
      <c r="E6511" s="380" t="s">
        <v>786</v>
      </c>
      <c r="F6511" s="380" t="s">
        <v>1039</v>
      </c>
      <c r="G6511" s="380" t="s">
        <v>1267</v>
      </c>
      <c r="H6511" s="380" t="s">
        <v>771</v>
      </c>
      <c r="I6511" s="380" t="s">
        <v>788</v>
      </c>
      <c r="J6511" s="380" t="s">
        <v>773</v>
      </c>
      <c r="K6511" s="381">
        <v>26591.0</v>
      </c>
      <c r="L6511" s="382">
        <v>1.0</v>
      </c>
    </row>
    <row r="6512">
      <c r="A6512" s="380" t="s">
        <v>7386</v>
      </c>
      <c r="B6512" s="380" t="str">
        <f>IFERROR(__xludf.DUMMYFUNCTION("""COMPUTED_VALUE"""),"Kit Sinfín Caja Direcc Eagle M2502494C9")</f>
        <v>Kit Sinfín Caja Direcc Eagle M2502494C9</v>
      </c>
      <c r="C6512" s="380" t="str">
        <f>IFERROR(__xludf.DUMMYFUNCTION("""COMPUTED_VALUE"""),"70001918")</f>
        <v>70001918</v>
      </c>
      <c r="D6512" s="380" t="s">
        <v>767</v>
      </c>
      <c r="E6512" s="380" t="s">
        <v>786</v>
      </c>
      <c r="F6512" s="380" t="s">
        <v>1020</v>
      </c>
      <c r="G6512" s="380" t="s">
        <v>1267</v>
      </c>
      <c r="H6512" s="380" t="s">
        <v>771</v>
      </c>
      <c r="I6512" s="380" t="s">
        <v>788</v>
      </c>
      <c r="J6512" s="380" t="s">
        <v>773</v>
      </c>
      <c r="K6512" s="381">
        <v>0.0</v>
      </c>
      <c r="L6512" s="382">
        <v>1.0</v>
      </c>
    </row>
    <row r="6513">
      <c r="A6513" s="380" t="s">
        <v>7387</v>
      </c>
      <c r="B6513" s="380" t="str">
        <f>IFERROR(__xludf.DUMMYFUNCTION("""COMPUTED_VALUE"""),"Sello Anillo Tapa Llen Aceit Eagl4962610")</f>
        <v>Sello Anillo Tapa Llen Aceit Eagl4962610</v>
      </c>
      <c r="C6513" s="380" t="str">
        <f>IFERROR(__xludf.DUMMYFUNCTION("""COMPUTED_VALUE"""),"70001919")</f>
        <v>70001919</v>
      </c>
      <c r="D6513" s="380" t="s">
        <v>767</v>
      </c>
      <c r="E6513" s="380" t="s">
        <v>786</v>
      </c>
      <c r="F6513" s="380" t="s">
        <v>787</v>
      </c>
      <c r="G6513" s="380" t="s">
        <v>1267</v>
      </c>
      <c r="H6513" s="380" t="s">
        <v>771</v>
      </c>
      <c r="I6513" s="380" t="s">
        <v>788</v>
      </c>
      <c r="J6513" s="380" t="s">
        <v>773</v>
      </c>
      <c r="K6513" s="381">
        <v>0.0</v>
      </c>
      <c r="L6513" s="382">
        <v>1.0</v>
      </c>
    </row>
    <row r="6514">
      <c r="A6514" s="380" t="s">
        <v>7388</v>
      </c>
      <c r="B6514" s="380" t="str">
        <f>IFERROR(__xludf.DUMMYFUNCTION("""COMPUTED_VALUE"""),"Guaya Control Selec Cambio Nkr8973504360")</f>
        <v>Guaya Control Selec Cambio Nkr8973504360</v>
      </c>
      <c r="C6514" s="380" t="str">
        <f>IFERROR(__xludf.DUMMYFUNCTION("""COMPUTED_VALUE"""),"70001920")</f>
        <v>70001920</v>
      </c>
      <c r="D6514" s="380" t="s">
        <v>767</v>
      </c>
      <c r="E6514" s="380" t="s">
        <v>786</v>
      </c>
      <c r="F6514" s="380" t="s">
        <v>1017</v>
      </c>
      <c r="G6514" s="380" t="s">
        <v>1267</v>
      </c>
      <c r="H6514" s="380" t="s">
        <v>771</v>
      </c>
      <c r="I6514" s="380" t="s">
        <v>788</v>
      </c>
      <c r="J6514" s="380" t="s">
        <v>773</v>
      </c>
      <c r="K6514" s="381">
        <v>0.0</v>
      </c>
      <c r="L6514" s="382">
        <v>1.0</v>
      </c>
    </row>
    <row r="6515">
      <c r="A6515" s="380" t="s">
        <v>7389</v>
      </c>
      <c r="B6515" s="380" t="str">
        <f>IFERROR(__xludf.DUMMYFUNCTION("""COMPUTED_VALUE"""),"Motor Arranque 24538276 N-200")</f>
        <v>Motor Arranque 24538276 N-200</v>
      </c>
      <c r="C6515" s="380" t="str">
        <f>IFERROR(__xludf.DUMMYFUNCTION("""COMPUTED_VALUE"""),"70001921")</f>
        <v>70001921</v>
      </c>
      <c r="D6515" s="380" t="s">
        <v>767</v>
      </c>
      <c r="E6515" s="380" t="s">
        <v>786</v>
      </c>
      <c r="F6515" s="380" t="s">
        <v>998</v>
      </c>
      <c r="G6515" s="380" t="s">
        <v>1267</v>
      </c>
      <c r="H6515" s="380" t="s">
        <v>771</v>
      </c>
      <c r="I6515" s="380" t="s">
        <v>788</v>
      </c>
      <c r="J6515" s="380" t="s">
        <v>773</v>
      </c>
      <c r="K6515" s="381">
        <v>0.0</v>
      </c>
      <c r="L6515" s="382">
        <v>1.0</v>
      </c>
    </row>
    <row r="6516">
      <c r="A6516" s="380" t="s">
        <v>7390</v>
      </c>
      <c r="B6516" s="380" t="str">
        <f>IFERROR(__xludf.DUMMYFUNCTION("""COMPUTED_VALUE"""),"Tuerca Eje Trasero Nhr 8941782780")</f>
        <v>Tuerca Eje Trasero Nhr 8941782780</v>
      </c>
      <c r="C6516" s="380" t="str">
        <f>IFERROR(__xludf.DUMMYFUNCTION("""COMPUTED_VALUE"""),"70001922")</f>
        <v>70001922</v>
      </c>
      <c r="D6516" s="380" t="s">
        <v>767</v>
      </c>
      <c r="E6516" s="380" t="s">
        <v>786</v>
      </c>
      <c r="F6516" s="380" t="s">
        <v>1039</v>
      </c>
      <c r="G6516" s="380" t="s">
        <v>1267</v>
      </c>
      <c r="H6516" s="380" t="s">
        <v>771</v>
      </c>
      <c r="I6516" s="380" t="s">
        <v>788</v>
      </c>
      <c r="J6516" s="380" t="s">
        <v>773</v>
      </c>
      <c r="K6516" s="381">
        <v>0.0</v>
      </c>
      <c r="L6516" s="382">
        <v>1.0</v>
      </c>
    </row>
    <row r="6517">
      <c r="A6517" s="380" t="s">
        <v>7391</v>
      </c>
      <c r="B6517" s="380" t="str">
        <f>IFERROR(__xludf.DUMMYFUNCTION("""COMPUTED_VALUE"""),"Tuerca Ajuste Chumacera Dif Isx2214J1128")</f>
        <v>Tuerca Ajuste Chumacera Dif Isx2214J1128</v>
      </c>
      <c r="C6517" s="380" t="str">
        <f>IFERROR(__xludf.DUMMYFUNCTION("""COMPUTED_VALUE"""),"70001923")</f>
        <v>70001923</v>
      </c>
      <c r="D6517" s="380" t="s">
        <v>767</v>
      </c>
      <c r="E6517" s="380" t="s">
        <v>786</v>
      </c>
      <c r="F6517" s="380" t="s">
        <v>5683</v>
      </c>
      <c r="G6517" s="380" t="s">
        <v>1267</v>
      </c>
      <c r="H6517" s="380" t="s">
        <v>771</v>
      </c>
      <c r="I6517" s="380" t="s">
        <v>788</v>
      </c>
      <c r="J6517" s="380" t="s">
        <v>773</v>
      </c>
      <c r="K6517" s="381">
        <v>0.0</v>
      </c>
      <c r="L6517" s="382">
        <v>1.0</v>
      </c>
    </row>
    <row r="6518">
      <c r="A6518" s="380" t="s">
        <v>7392</v>
      </c>
      <c r="B6518" s="380" t="str">
        <f>IFERROR(__xludf.DUMMYFUNCTION("""COMPUTED_VALUE"""),"Pin Canastilla Divisor Dif Isx 2297S5349")</f>
        <v>Pin Canastilla Divisor Dif Isx 2297S5349</v>
      </c>
      <c r="C6518" s="380" t="str">
        <f>IFERROR(__xludf.DUMMYFUNCTION("""COMPUTED_VALUE"""),"70001924")</f>
        <v>70001924</v>
      </c>
      <c r="D6518" s="380" t="s">
        <v>767</v>
      </c>
      <c r="E6518" s="380" t="s">
        <v>786</v>
      </c>
      <c r="F6518" s="380" t="s">
        <v>5683</v>
      </c>
      <c r="G6518" s="380" t="s">
        <v>1267</v>
      </c>
      <c r="H6518" s="380" t="s">
        <v>771</v>
      </c>
      <c r="I6518" s="380" t="s">
        <v>788</v>
      </c>
      <c r="J6518" s="380" t="s">
        <v>773</v>
      </c>
      <c r="K6518" s="381">
        <v>0.0</v>
      </c>
      <c r="L6518" s="382">
        <v>1.0</v>
      </c>
    </row>
    <row r="6519">
      <c r="A6519" s="380" t="s">
        <v>7393</v>
      </c>
      <c r="B6519" s="380" t="str">
        <f>IFERROR(__xludf.DUMMYFUNCTION("""COMPUTED_VALUE"""),"Ventilador Calefaccion Eagle 1699947C1")</f>
        <v>Ventilador Calefaccion Eagle 1699947C1</v>
      </c>
      <c r="C6519" s="380" t="str">
        <f>IFERROR(__xludf.DUMMYFUNCTION("""COMPUTED_VALUE"""),"70001925")</f>
        <v>70001925</v>
      </c>
      <c r="D6519" s="380" t="s">
        <v>767</v>
      </c>
      <c r="E6519" s="380" t="s">
        <v>786</v>
      </c>
      <c r="F6519" s="380" t="s">
        <v>998</v>
      </c>
      <c r="G6519" s="380" t="s">
        <v>1267</v>
      </c>
      <c r="H6519" s="380" t="s">
        <v>771</v>
      </c>
      <c r="I6519" s="380" t="s">
        <v>788</v>
      </c>
      <c r="J6519" s="380" t="s">
        <v>773</v>
      </c>
      <c r="K6519" s="381">
        <v>74723.0</v>
      </c>
      <c r="L6519" s="382">
        <v>1.0</v>
      </c>
    </row>
    <row r="6520">
      <c r="A6520" s="380" t="s">
        <v>7394</v>
      </c>
      <c r="B6520" s="380" t="str">
        <f>IFERROR(__xludf.DUMMYFUNCTION("""COMPUTED_VALUE"""),"Carcaza Ventilador Calef Eagle1699948C1")</f>
        <v>Carcaza Ventilador Calef Eagle1699948C1</v>
      </c>
      <c r="C6520" s="380" t="str">
        <f>IFERROR(__xludf.DUMMYFUNCTION("""COMPUTED_VALUE"""),"70001926")</f>
        <v>70001926</v>
      </c>
      <c r="D6520" s="380" t="s">
        <v>767</v>
      </c>
      <c r="E6520" s="380" t="s">
        <v>786</v>
      </c>
      <c r="F6520" s="380" t="s">
        <v>998</v>
      </c>
      <c r="G6520" s="380" t="s">
        <v>1267</v>
      </c>
      <c r="H6520" s="380" t="s">
        <v>771</v>
      </c>
      <c r="I6520" s="380" t="s">
        <v>788</v>
      </c>
      <c r="J6520" s="380" t="s">
        <v>773</v>
      </c>
      <c r="K6520" s="381">
        <v>0.0</v>
      </c>
      <c r="L6520" s="382">
        <v>1.0</v>
      </c>
    </row>
    <row r="6521">
      <c r="A6521" s="380" t="s">
        <v>7395</v>
      </c>
      <c r="B6521" s="380" t="str">
        <f>IFERROR(__xludf.DUMMYFUNCTION("""COMPUTED_VALUE"""),"Porta Corona Dif Rokwel Eagle A2323E2111")</f>
        <v>Porta Corona Dif Rokwel Eagle A2323E2111</v>
      </c>
      <c r="C6521" s="380" t="str">
        <f>IFERROR(__xludf.DUMMYFUNCTION("""COMPUTED_VALUE"""),"70001927")</f>
        <v>70001927</v>
      </c>
      <c r="D6521" s="380" t="s">
        <v>767</v>
      </c>
      <c r="E6521" s="380" t="s">
        <v>786</v>
      </c>
      <c r="F6521" s="380" t="s">
        <v>5683</v>
      </c>
      <c r="G6521" s="380" t="s">
        <v>1267</v>
      </c>
      <c r="H6521" s="380" t="s">
        <v>771</v>
      </c>
      <c r="I6521" s="380" t="s">
        <v>788</v>
      </c>
      <c r="J6521" s="380" t="s">
        <v>773</v>
      </c>
      <c r="K6521" s="381">
        <v>0.0</v>
      </c>
      <c r="L6521" s="382">
        <v>1.0</v>
      </c>
    </row>
    <row r="6522">
      <c r="A6522" s="380" t="s">
        <v>7396</v>
      </c>
      <c r="B6522" s="380" t="str">
        <f>IFERROR(__xludf.DUMMYFUNCTION("""COMPUTED_VALUE"""),"Rodillo Speed Dif Rokwel Eag 9400 65237")</f>
        <v>Rodillo Speed Dif Rokwel Eag 9400 65237</v>
      </c>
      <c r="C6522" s="380" t="str">
        <f>IFERROR(__xludf.DUMMYFUNCTION("""COMPUTED_VALUE"""),"70001928")</f>
        <v>70001928</v>
      </c>
      <c r="D6522" s="380" t="s">
        <v>767</v>
      </c>
      <c r="E6522" s="380" t="s">
        <v>786</v>
      </c>
      <c r="F6522" s="380" t="s">
        <v>5683</v>
      </c>
      <c r="G6522" s="380" t="s">
        <v>1267</v>
      </c>
      <c r="H6522" s="380" t="s">
        <v>771</v>
      </c>
      <c r="I6522" s="380" t="s">
        <v>788</v>
      </c>
      <c r="J6522" s="380" t="s">
        <v>773</v>
      </c>
      <c r="K6522" s="381">
        <v>0.0</v>
      </c>
      <c r="L6522" s="382">
        <v>1.0</v>
      </c>
    </row>
    <row r="6523">
      <c r="A6523" s="380" t="s">
        <v>7397</v>
      </c>
      <c r="B6523" s="380" t="str">
        <f>IFERROR(__xludf.DUMMYFUNCTION("""COMPUTED_VALUE"""),"Cuna Speed Dif Rokwel Eag 9400 65500")</f>
        <v>Cuna Speed Dif Rokwel Eag 9400 65500</v>
      </c>
      <c r="C6523" s="380" t="str">
        <f>IFERROR(__xludf.DUMMYFUNCTION("""COMPUTED_VALUE"""),"70001929")</f>
        <v>70001929</v>
      </c>
      <c r="D6523" s="380" t="s">
        <v>767</v>
      </c>
      <c r="E6523" s="380" t="s">
        <v>786</v>
      </c>
      <c r="F6523" s="380" t="s">
        <v>5683</v>
      </c>
      <c r="G6523" s="380" t="s">
        <v>1267</v>
      </c>
      <c r="H6523" s="380" t="s">
        <v>771</v>
      </c>
      <c r="I6523" s="380" t="s">
        <v>788</v>
      </c>
      <c r="J6523" s="380" t="s">
        <v>773</v>
      </c>
      <c r="K6523" s="381">
        <v>0.0</v>
      </c>
      <c r="L6523" s="382">
        <v>1.0</v>
      </c>
    </row>
    <row r="6524">
      <c r="A6524" s="380" t="s">
        <v>7398</v>
      </c>
      <c r="B6524" s="380" t="str">
        <f>IFERROR(__xludf.DUMMYFUNCTION("""COMPUTED_VALUE"""),"Rodillo Speed Dif Rokwel Eag 9400 715343")</f>
        <v>Rodillo Speed Dif Rokwel Eag 9400 715343</v>
      </c>
      <c r="C6524" s="380" t="str">
        <f>IFERROR(__xludf.DUMMYFUNCTION("""COMPUTED_VALUE"""),"70001930")</f>
        <v>70001930</v>
      </c>
      <c r="D6524" s="380" t="s">
        <v>767</v>
      </c>
      <c r="E6524" s="380" t="s">
        <v>786</v>
      </c>
      <c r="F6524" s="380" t="s">
        <v>5683</v>
      </c>
      <c r="G6524" s="380" t="s">
        <v>1267</v>
      </c>
      <c r="H6524" s="380" t="s">
        <v>771</v>
      </c>
      <c r="I6524" s="380" t="s">
        <v>788</v>
      </c>
      <c r="J6524" s="380" t="s">
        <v>773</v>
      </c>
      <c r="K6524" s="381">
        <v>0.0</v>
      </c>
      <c r="L6524" s="382">
        <v>1.0</v>
      </c>
    </row>
    <row r="6525">
      <c r="A6525" s="380" t="s">
        <v>7399</v>
      </c>
      <c r="B6525" s="380" t="str">
        <f>IFERROR(__xludf.DUMMYFUNCTION("""COMPUTED_VALUE"""),"Cuna Speed Dif Rokwel Eag 9400 715311")</f>
        <v>Cuna Speed Dif Rokwel Eag 9400 715311</v>
      </c>
      <c r="C6525" s="380" t="str">
        <f>IFERROR(__xludf.DUMMYFUNCTION("""COMPUTED_VALUE"""),"70001931")</f>
        <v>70001931</v>
      </c>
      <c r="D6525" s="380" t="s">
        <v>767</v>
      </c>
      <c r="E6525" s="380" t="s">
        <v>786</v>
      </c>
      <c r="F6525" s="380" t="s">
        <v>5683</v>
      </c>
      <c r="G6525" s="380" t="s">
        <v>1267</v>
      </c>
      <c r="H6525" s="380" t="s">
        <v>771</v>
      </c>
      <c r="I6525" s="380" t="s">
        <v>788</v>
      </c>
      <c r="J6525" s="380" t="s">
        <v>773</v>
      </c>
      <c r="K6525" s="381">
        <v>0.0</v>
      </c>
      <c r="L6525" s="382">
        <v>1.0</v>
      </c>
    </row>
    <row r="6526">
      <c r="A6526" s="380" t="s">
        <v>7400</v>
      </c>
      <c r="B6526" s="380" t="str">
        <f>IFERROR(__xludf.DUMMYFUNCTION("""COMPUTED_VALUE"""),"Bloque Motor Nkr Nuevo 4JB1")</f>
        <v>Bloque Motor Nkr Nuevo 4JB1</v>
      </c>
      <c r="C6526" s="380" t="str">
        <f>IFERROR(__xludf.DUMMYFUNCTION("""COMPUTED_VALUE"""),"70001932")</f>
        <v>70001932</v>
      </c>
      <c r="D6526" s="380" t="s">
        <v>767</v>
      </c>
      <c r="E6526" s="380" t="s">
        <v>786</v>
      </c>
      <c r="F6526" s="380" t="s">
        <v>787</v>
      </c>
      <c r="G6526" s="380" t="s">
        <v>1267</v>
      </c>
      <c r="H6526" s="380" t="s">
        <v>771</v>
      </c>
      <c r="I6526" s="380" t="s">
        <v>788</v>
      </c>
      <c r="J6526" s="380" t="s">
        <v>773</v>
      </c>
      <c r="K6526" s="381">
        <v>0.0</v>
      </c>
      <c r="L6526" s="382">
        <v>1.0</v>
      </c>
    </row>
    <row r="6527">
      <c r="A6527" s="380" t="s">
        <v>7401</v>
      </c>
      <c r="B6527" s="380" t="str">
        <f>IFERROR(__xludf.DUMMYFUNCTION("""COMPUTED_VALUE"""),"Muelle Trasero Eagle H47057000")</f>
        <v>Muelle Trasero Eagle H47057000</v>
      </c>
      <c r="C6527" s="380" t="str">
        <f>IFERROR(__xludf.DUMMYFUNCTION("""COMPUTED_VALUE"""),"70001934")</f>
        <v>70001934</v>
      </c>
      <c r="D6527" s="380" t="s">
        <v>767</v>
      </c>
      <c r="E6527" s="380" t="s">
        <v>786</v>
      </c>
      <c r="F6527" s="380" t="s">
        <v>1039</v>
      </c>
      <c r="G6527" s="380" t="s">
        <v>1267</v>
      </c>
      <c r="H6527" s="380" t="s">
        <v>771</v>
      </c>
      <c r="I6527" s="380" t="s">
        <v>788</v>
      </c>
      <c r="J6527" s="380" t="s">
        <v>773</v>
      </c>
      <c r="K6527" s="381">
        <v>0.0</v>
      </c>
      <c r="L6527" s="382">
        <v>1.0</v>
      </c>
    </row>
    <row r="6528">
      <c r="A6528" s="380" t="s">
        <v>7402</v>
      </c>
      <c r="B6528" s="380" t="str">
        <f>IFERROR(__xludf.DUMMYFUNCTION("""COMPUTED_VALUE"""),"Bomba Aux Embr Nkr Nhr Md2000 8980412921")</f>
        <v>Bomba Aux Embr Nkr Nhr Md2000 8980412921</v>
      </c>
      <c r="C6528" s="380" t="str">
        <f>IFERROR(__xludf.DUMMYFUNCTION("""COMPUTED_VALUE"""),"70001935")</f>
        <v>70001935</v>
      </c>
      <c r="D6528" s="380" t="s">
        <v>767</v>
      </c>
      <c r="E6528" s="380" t="s">
        <v>786</v>
      </c>
      <c r="F6528" s="380" t="s">
        <v>5661</v>
      </c>
      <c r="G6528" s="380" t="s">
        <v>1267</v>
      </c>
      <c r="H6528" s="380" t="s">
        <v>771</v>
      </c>
      <c r="I6528" s="380" t="s">
        <v>788</v>
      </c>
      <c r="J6528" s="380" t="s">
        <v>773</v>
      </c>
      <c r="K6528" s="381">
        <v>0.0</v>
      </c>
      <c r="L6528" s="382">
        <v>1.0</v>
      </c>
    </row>
    <row r="6529">
      <c r="A6529" s="380" t="s">
        <v>7403</v>
      </c>
      <c r="B6529" s="380" t="str">
        <f>IFERROR(__xludf.DUMMYFUNCTION("""COMPUTED_VALUE"""),"Bocin Rueda Tras Isx 2596612C91 Perno5/8")</f>
        <v>Bocin Rueda Tras Isx 2596612C91 Perno5/8</v>
      </c>
      <c r="C6529" s="380" t="str">
        <f>IFERROR(__xludf.DUMMYFUNCTION("""COMPUTED_VALUE"""),"70001936")</f>
        <v>70001936</v>
      </c>
      <c r="D6529" s="380" t="s">
        <v>767</v>
      </c>
      <c r="E6529" s="380" t="s">
        <v>786</v>
      </c>
      <c r="F6529" s="380" t="s">
        <v>1017</v>
      </c>
      <c r="G6529" s="380" t="s">
        <v>1267</v>
      </c>
      <c r="H6529" s="380" t="s">
        <v>771</v>
      </c>
      <c r="I6529" s="380" t="s">
        <v>788</v>
      </c>
      <c r="J6529" s="380" t="s">
        <v>773</v>
      </c>
      <c r="K6529" s="381">
        <v>0.0</v>
      </c>
      <c r="L6529" s="382">
        <v>1.0</v>
      </c>
    </row>
    <row r="6530">
      <c r="A6530" s="380" t="s">
        <v>7404</v>
      </c>
      <c r="B6530" s="380" t="str">
        <f>IFERROR(__xludf.DUMMYFUNCTION("""COMPUTED_VALUE"""),"Kit Amortiguador Tras Nkr-RW 52036352")</f>
        <v>Kit Amortiguador Tras Nkr-RW 52036352</v>
      </c>
      <c r="C6530" s="380" t="str">
        <f>IFERROR(__xludf.DUMMYFUNCTION("""COMPUTED_VALUE"""),"70001937")</f>
        <v>70001937</v>
      </c>
      <c r="D6530" s="380" t="s">
        <v>767</v>
      </c>
      <c r="E6530" s="380" t="s">
        <v>786</v>
      </c>
      <c r="F6530" s="380" t="s">
        <v>1039</v>
      </c>
      <c r="G6530" s="380" t="s">
        <v>1267</v>
      </c>
      <c r="H6530" s="380" t="s">
        <v>771</v>
      </c>
      <c r="I6530" s="380" t="s">
        <v>788</v>
      </c>
      <c r="J6530" s="380" t="s">
        <v>773</v>
      </c>
      <c r="K6530" s="381">
        <v>0.0</v>
      </c>
      <c r="L6530" s="382">
        <v>1.0</v>
      </c>
    </row>
    <row r="6531">
      <c r="A6531" s="380" t="s">
        <v>7405</v>
      </c>
      <c r="B6531" s="380" t="str">
        <f>IFERROR(__xludf.DUMMYFUNCTION("""COMPUTED_VALUE"""),"Inyector Motor Isx 4088327 PX")</f>
        <v>Inyector Motor Isx 4088327 PX</v>
      </c>
      <c r="C6531" s="380" t="str">
        <f>IFERROR(__xludf.DUMMYFUNCTION("""COMPUTED_VALUE"""),"70001938")</f>
        <v>70001938</v>
      </c>
      <c r="D6531" s="380" t="s">
        <v>767</v>
      </c>
      <c r="E6531" s="380" t="s">
        <v>786</v>
      </c>
      <c r="F6531" s="380" t="s">
        <v>787</v>
      </c>
      <c r="G6531" s="380" t="s">
        <v>1267</v>
      </c>
      <c r="H6531" s="380" t="s">
        <v>771</v>
      </c>
      <c r="I6531" s="380" t="s">
        <v>788</v>
      </c>
      <c r="J6531" s="380" t="s">
        <v>773</v>
      </c>
      <c r="K6531" s="381">
        <v>0.0</v>
      </c>
      <c r="L6531" s="382">
        <v>1.0</v>
      </c>
    </row>
    <row r="6532">
      <c r="A6532" s="380" t="s">
        <v>7406</v>
      </c>
      <c r="B6532" s="380" t="str">
        <f>IFERROR(__xludf.DUMMYFUNCTION("""COMPUTED_VALUE"""),"Caucho Bobina Exhosto KW K221-3684")</f>
        <v>Caucho Bobina Exhosto KW K221-3684</v>
      </c>
      <c r="C6532" s="380" t="str">
        <f>IFERROR(__xludf.DUMMYFUNCTION("""COMPUTED_VALUE"""),"70001939")</f>
        <v>70001939</v>
      </c>
      <c r="D6532" s="380" t="s">
        <v>767</v>
      </c>
      <c r="E6532" s="380" t="s">
        <v>786</v>
      </c>
      <c r="F6532" s="380" t="s">
        <v>792</v>
      </c>
      <c r="G6532" s="380" t="s">
        <v>1267</v>
      </c>
      <c r="H6532" s="380" t="s">
        <v>771</v>
      </c>
      <c r="I6532" s="380" t="s">
        <v>788</v>
      </c>
      <c r="J6532" s="380" t="s">
        <v>773</v>
      </c>
      <c r="K6532" s="381">
        <v>0.0</v>
      </c>
      <c r="L6532" s="382">
        <v>1.0</v>
      </c>
    </row>
    <row r="6533">
      <c r="A6533" s="380" t="s">
        <v>7407</v>
      </c>
      <c r="B6533" s="380" t="str">
        <f>IFERROR(__xludf.DUMMYFUNCTION("""COMPUTED_VALUE"""),"Soporte Exhosto Cabina KW K054-2150")</f>
        <v>Soporte Exhosto Cabina KW K054-2150</v>
      </c>
      <c r="C6533" s="380" t="str">
        <f>IFERROR(__xludf.DUMMYFUNCTION("""COMPUTED_VALUE"""),"70001940")</f>
        <v>70001940</v>
      </c>
      <c r="D6533" s="380" t="s">
        <v>767</v>
      </c>
      <c r="E6533" s="380" t="s">
        <v>786</v>
      </c>
      <c r="F6533" s="380" t="s">
        <v>792</v>
      </c>
      <c r="G6533" s="380" t="s">
        <v>1267</v>
      </c>
      <c r="H6533" s="380" t="s">
        <v>771</v>
      </c>
      <c r="I6533" s="380" t="s">
        <v>788</v>
      </c>
      <c r="J6533" s="380" t="s">
        <v>773</v>
      </c>
      <c r="K6533" s="381">
        <v>0.0</v>
      </c>
      <c r="L6533" s="382">
        <v>1.0</v>
      </c>
    </row>
    <row r="6534">
      <c r="A6534" s="380" t="s">
        <v>7408</v>
      </c>
      <c r="B6534" s="380" t="str">
        <f>IFERROR(__xludf.DUMMYFUNCTION("""COMPUTED_VALUE"""),"Cremallera Elevavidrio Izq N200 5496078")</f>
        <v>Cremallera Elevavidrio Izq N200 5496078</v>
      </c>
      <c r="C6534" s="380" t="str">
        <f>IFERROR(__xludf.DUMMYFUNCTION("""COMPUTED_VALUE"""),"70001941")</f>
        <v>70001941</v>
      </c>
      <c r="D6534" s="380" t="s">
        <v>767</v>
      </c>
      <c r="E6534" s="380" t="s">
        <v>786</v>
      </c>
      <c r="F6534" s="380" t="s">
        <v>792</v>
      </c>
      <c r="G6534" s="380" t="s">
        <v>1267</v>
      </c>
      <c r="H6534" s="380" t="s">
        <v>771</v>
      </c>
      <c r="I6534" s="380" t="s">
        <v>788</v>
      </c>
      <c r="J6534" s="380" t="s">
        <v>773</v>
      </c>
      <c r="K6534" s="381">
        <v>0.0</v>
      </c>
      <c r="L6534" s="382">
        <v>1.0</v>
      </c>
    </row>
    <row r="6535">
      <c r="A6535" s="380" t="s">
        <v>7409</v>
      </c>
      <c r="B6535" s="380" t="str">
        <f>IFERROR(__xludf.DUMMYFUNCTION("""COMPUTED_VALUE"""),"Base Enfriador Aceite Nkr 8971664971")</f>
        <v>Base Enfriador Aceite Nkr 8971664971</v>
      </c>
      <c r="C6535" s="380" t="str">
        <f>IFERROR(__xludf.DUMMYFUNCTION("""COMPUTED_VALUE"""),"70001942")</f>
        <v>70001942</v>
      </c>
      <c r="D6535" s="380" t="s">
        <v>767</v>
      </c>
      <c r="E6535" s="380" t="s">
        <v>786</v>
      </c>
      <c r="F6535" s="380" t="s">
        <v>787</v>
      </c>
      <c r="G6535" s="380" t="s">
        <v>1267</v>
      </c>
      <c r="H6535" s="380" t="s">
        <v>771</v>
      </c>
      <c r="I6535" s="380" t="s">
        <v>788</v>
      </c>
      <c r="J6535" s="380" t="s">
        <v>773</v>
      </c>
      <c r="K6535" s="381">
        <v>0.0</v>
      </c>
      <c r="L6535" s="382">
        <v>1.0</v>
      </c>
    </row>
    <row r="6536">
      <c r="A6536" s="380" t="s">
        <v>7410</v>
      </c>
      <c r="B6536" s="380" t="str">
        <f>IFERROR(__xludf.DUMMYFUNCTION("""COMPUTED_VALUE"""),"Lampara Techo Cab Volkswag 2T09471053")</f>
        <v>Lampara Techo Cab Volkswag 2T09471053</v>
      </c>
      <c r="C6536" s="380" t="str">
        <f>IFERROR(__xludf.DUMMYFUNCTION("""COMPUTED_VALUE"""),"70001943")</f>
        <v>70001943</v>
      </c>
      <c r="D6536" s="380" t="s">
        <v>767</v>
      </c>
      <c r="E6536" s="380" t="s">
        <v>786</v>
      </c>
      <c r="F6536" s="380" t="s">
        <v>998</v>
      </c>
      <c r="G6536" s="380" t="s">
        <v>1267</v>
      </c>
      <c r="H6536" s="380" t="s">
        <v>771</v>
      </c>
      <c r="I6536" s="380" t="s">
        <v>788</v>
      </c>
      <c r="J6536" s="380" t="s">
        <v>773</v>
      </c>
      <c r="K6536" s="381">
        <v>0.0</v>
      </c>
      <c r="L6536" s="382">
        <v>1.0</v>
      </c>
    </row>
    <row r="6537">
      <c r="A6537" s="380" t="s">
        <v>7411</v>
      </c>
      <c r="B6537" s="380" t="str">
        <f>IFERROR(__xludf.DUMMYFUNCTION("""COMPUTED_VALUE"""),"Culata Motor Isx 5658283")</f>
        <v>Culata Motor Isx 5658283</v>
      </c>
      <c r="C6537" s="380" t="str">
        <f>IFERROR(__xludf.DUMMYFUNCTION("""COMPUTED_VALUE"""),"70001944")</f>
        <v>70001944</v>
      </c>
      <c r="D6537" s="380" t="s">
        <v>767</v>
      </c>
      <c r="E6537" s="380" t="s">
        <v>786</v>
      </c>
      <c r="F6537" s="380" t="s">
        <v>787</v>
      </c>
      <c r="G6537" s="380" t="s">
        <v>1267</v>
      </c>
      <c r="H6537" s="380" t="s">
        <v>771</v>
      </c>
      <c r="I6537" s="380" t="s">
        <v>788</v>
      </c>
      <c r="J6537" s="380" t="s">
        <v>773</v>
      </c>
      <c r="K6537" s="381">
        <v>0.0</v>
      </c>
      <c r="L6537" s="382">
        <v>1.0</v>
      </c>
    </row>
    <row r="6538">
      <c r="A6538" s="380" t="s">
        <v>7412</v>
      </c>
      <c r="B6538" s="380" t="str">
        <f>IFERROR(__xludf.DUMMYFUNCTION("""COMPUTED_VALUE"""),"Espejo Int Techo Np Nk Nhr 8975829262")</f>
        <v>Espejo Int Techo Np Nk Nhr 8975829262</v>
      </c>
      <c r="C6538" s="380" t="str">
        <f>IFERROR(__xludf.DUMMYFUNCTION("""COMPUTED_VALUE"""),"70001945")</f>
        <v>70001945</v>
      </c>
      <c r="D6538" s="380" t="s">
        <v>767</v>
      </c>
      <c r="E6538" s="380" t="s">
        <v>786</v>
      </c>
      <c r="F6538" s="380" t="s">
        <v>998</v>
      </c>
      <c r="G6538" s="380" t="s">
        <v>1267</v>
      </c>
      <c r="H6538" s="380" t="s">
        <v>771</v>
      </c>
      <c r="I6538" s="380" t="s">
        <v>788</v>
      </c>
      <c r="J6538" s="380" t="s">
        <v>773</v>
      </c>
      <c r="K6538" s="381">
        <v>0.0</v>
      </c>
      <c r="L6538" s="382">
        <v>1.0</v>
      </c>
    </row>
    <row r="6539">
      <c r="A6539" s="380" t="s">
        <v>7413</v>
      </c>
      <c r="B6539" s="380" t="str">
        <f>IFERROR(__xludf.DUMMYFUNCTION("""COMPUTED_VALUE"""),"Interruptor Bujia Precal Nkr 8944575110")</f>
        <v>Interruptor Bujia Precal Nkr 8944575110</v>
      </c>
      <c r="C6539" s="380" t="str">
        <f>IFERROR(__xludf.DUMMYFUNCTION("""COMPUTED_VALUE"""),"70001946")</f>
        <v>70001946</v>
      </c>
      <c r="D6539" s="380" t="s">
        <v>767</v>
      </c>
      <c r="E6539" s="380" t="s">
        <v>786</v>
      </c>
      <c r="F6539" s="380" t="s">
        <v>998</v>
      </c>
      <c r="G6539" s="380" t="s">
        <v>1267</v>
      </c>
      <c r="H6539" s="380" t="s">
        <v>771</v>
      </c>
      <c r="I6539" s="380" t="s">
        <v>788</v>
      </c>
      <c r="J6539" s="380" t="s">
        <v>773</v>
      </c>
      <c r="K6539" s="381">
        <v>0.0</v>
      </c>
      <c r="L6539" s="382">
        <v>1.0</v>
      </c>
    </row>
    <row r="6540">
      <c r="A6540" s="380" t="s">
        <v>7414</v>
      </c>
      <c r="B6540" s="380" t="str">
        <f>IFERROR(__xludf.DUMMYFUNCTION("""COMPUTED_VALUE"""),"Corbatin Barra Trasv Tens Isx HD44694000")</f>
        <v>Corbatin Barra Trasv Tens Isx HD44694000</v>
      </c>
      <c r="C6540" s="380" t="str">
        <f>IFERROR(__xludf.DUMMYFUNCTION("""COMPUTED_VALUE"""),"70001947")</f>
        <v>70001947</v>
      </c>
      <c r="D6540" s="380" t="s">
        <v>767</v>
      </c>
      <c r="E6540" s="380" t="s">
        <v>786</v>
      </c>
      <c r="F6540" s="380" t="s">
        <v>1039</v>
      </c>
      <c r="G6540" s="380" t="s">
        <v>1267</v>
      </c>
      <c r="H6540" s="380" t="s">
        <v>771</v>
      </c>
      <c r="I6540" s="380" t="s">
        <v>788</v>
      </c>
      <c r="J6540" s="380" t="s">
        <v>773</v>
      </c>
      <c r="K6540" s="381">
        <v>0.0</v>
      </c>
      <c r="L6540" s="382">
        <v>1.0</v>
      </c>
    </row>
    <row r="6541">
      <c r="A6541" s="380" t="s">
        <v>7415</v>
      </c>
      <c r="B6541" s="380" t="str">
        <f>IFERROR(__xludf.DUMMYFUNCTION("""COMPUTED_VALUE"""),"Harnes Modulo Ecm Isx 3526642C91")</f>
        <v>Harnes Modulo Ecm Isx 3526642C91</v>
      </c>
      <c r="C6541" s="380" t="str">
        <f>IFERROR(__xludf.DUMMYFUNCTION("""COMPUTED_VALUE"""),"70001948")</f>
        <v>70001948</v>
      </c>
      <c r="D6541" s="380" t="s">
        <v>767</v>
      </c>
      <c r="E6541" s="380" t="s">
        <v>786</v>
      </c>
      <c r="F6541" s="380" t="s">
        <v>787</v>
      </c>
      <c r="G6541" s="380" t="s">
        <v>1267</v>
      </c>
      <c r="H6541" s="380" t="s">
        <v>771</v>
      </c>
      <c r="I6541" s="380" t="s">
        <v>788</v>
      </c>
      <c r="J6541" s="380" t="s">
        <v>773</v>
      </c>
      <c r="K6541" s="381">
        <v>0.0</v>
      </c>
      <c r="L6541" s="382">
        <v>1.0</v>
      </c>
    </row>
    <row r="6542">
      <c r="A6542" s="380" t="s">
        <v>7416</v>
      </c>
      <c r="B6542" s="380" t="str">
        <f>IFERROR(__xludf.DUMMYFUNCTION("""COMPUTED_VALUE"""),"Kit Chupa Cilind Fren Tras Nkr5878316210")</f>
        <v>Kit Chupa Cilind Fren Tras Nkr5878316210</v>
      </c>
      <c r="C6542" s="380" t="str">
        <f>IFERROR(__xludf.DUMMYFUNCTION("""COMPUTED_VALUE"""),"70001949")</f>
        <v>70001949</v>
      </c>
      <c r="D6542" s="380" t="s">
        <v>767</v>
      </c>
      <c r="E6542" s="380" t="s">
        <v>786</v>
      </c>
      <c r="F6542" s="380" t="s">
        <v>1017</v>
      </c>
      <c r="G6542" s="380" t="s">
        <v>1267</v>
      </c>
      <c r="H6542" s="380" t="s">
        <v>771</v>
      </c>
      <c r="I6542" s="380" t="s">
        <v>788</v>
      </c>
      <c r="J6542" s="380" t="s">
        <v>773</v>
      </c>
      <c r="K6542" s="381">
        <v>0.0</v>
      </c>
      <c r="L6542" s="382">
        <v>1.0</v>
      </c>
    </row>
    <row r="6543">
      <c r="A6543" s="380" t="s">
        <v>7417</v>
      </c>
      <c r="B6543" s="380" t="str">
        <f>IFERROR(__xludf.DUMMYFUNCTION("""COMPUTED_VALUE"""),"Cilindro Ppal Embrague Hino 3142037141")</f>
        <v>Cilindro Ppal Embrague Hino 3142037141</v>
      </c>
      <c r="C6543" s="380" t="str">
        <f>IFERROR(__xludf.DUMMYFUNCTION("""COMPUTED_VALUE"""),"70001950")</f>
        <v>70001950</v>
      </c>
      <c r="D6543" s="380" t="s">
        <v>767</v>
      </c>
      <c r="E6543" s="380" t="s">
        <v>786</v>
      </c>
      <c r="F6543" s="380" t="s">
        <v>5661</v>
      </c>
      <c r="G6543" s="380" t="s">
        <v>1267</v>
      </c>
      <c r="H6543" s="380" t="s">
        <v>771</v>
      </c>
      <c r="I6543" s="380" t="s">
        <v>788</v>
      </c>
      <c r="J6543" s="380" t="s">
        <v>773</v>
      </c>
      <c r="K6543" s="381">
        <v>0.0</v>
      </c>
      <c r="L6543" s="382">
        <v>1.0</v>
      </c>
    </row>
    <row r="6544">
      <c r="A6544" s="380" t="s">
        <v>7418</v>
      </c>
      <c r="B6544" s="380" t="str">
        <f>IFERROR(__xludf.DUMMYFUNCTION("""COMPUTED_VALUE"""),"Palanca Freno Parqueo Npr 8978904390")</f>
        <v>Palanca Freno Parqueo Npr 8978904390</v>
      </c>
      <c r="C6544" s="380" t="str">
        <f>IFERROR(__xludf.DUMMYFUNCTION("""COMPUTED_VALUE"""),"70001951")</f>
        <v>70001951</v>
      </c>
      <c r="D6544" s="380" t="s">
        <v>767</v>
      </c>
      <c r="E6544" s="380" t="s">
        <v>786</v>
      </c>
      <c r="F6544" s="380" t="s">
        <v>1017</v>
      </c>
      <c r="G6544" s="380" t="s">
        <v>1267</v>
      </c>
      <c r="H6544" s="380" t="s">
        <v>771</v>
      </c>
      <c r="I6544" s="380" t="s">
        <v>788</v>
      </c>
      <c r="J6544" s="380" t="s">
        <v>773</v>
      </c>
      <c r="K6544" s="381">
        <v>0.0</v>
      </c>
      <c r="L6544" s="382">
        <v>1.0</v>
      </c>
    </row>
    <row r="6545">
      <c r="A6545" s="380" t="s">
        <v>7419</v>
      </c>
      <c r="B6545" s="380" t="str">
        <f>IFERROR(__xludf.DUMMYFUNCTION("""COMPUTED_VALUE"""),"Cremallera Elevavid Der Volksw 8375022RO")</f>
        <v>Cremallera Elevavid Der Volksw 8375022RO</v>
      </c>
      <c r="C6545" s="380" t="str">
        <f>IFERROR(__xludf.DUMMYFUNCTION("""COMPUTED_VALUE"""),"70001952")</f>
        <v>70001952</v>
      </c>
      <c r="D6545" s="380" t="s">
        <v>767</v>
      </c>
      <c r="E6545" s="380" t="s">
        <v>786</v>
      </c>
      <c r="F6545" s="380" t="s">
        <v>792</v>
      </c>
      <c r="G6545" s="380" t="s">
        <v>1267</v>
      </c>
      <c r="H6545" s="380" t="s">
        <v>771</v>
      </c>
      <c r="I6545" s="380" t="s">
        <v>788</v>
      </c>
      <c r="J6545" s="380" t="s">
        <v>773</v>
      </c>
      <c r="K6545" s="381">
        <v>0.0</v>
      </c>
      <c r="L6545" s="382">
        <v>1.0</v>
      </c>
    </row>
    <row r="6546">
      <c r="A6546" s="380" t="s">
        <v>7420</v>
      </c>
      <c r="B6546" s="380" t="str">
        <f>IFERROR(__xludf.DUMMYFUNCTION("""COMPUTED_VALUE"""),"Amortiguador Delantero Hino 4851180119")</f>
        <v>Amortiguador Delantero Hino 4851180119</v>
      </c>
      <c r="C6546" s="380" t="str">
        <f>IFERROR(__xludf.DUMMYFUNCTION("""COMPUTED_VALUE"""),"70001953")</f>
        <v>70001953</v>
      </c>
      <c r="D6546" s="380" t="s">
        <v>767</v>
      </c>
      <c r="E6546" s="380" t="s">
        <v>786</v>
      </c>
      <c r="F6546" s="380" t="s">
        <v>1039</v>
      </c>
      <c r="G6546" s="380" t="s">
        <v>1267</v>
      </c>
      <c r="H6546" s="380" t="s">
        <v>771</v>
      </c>
      <c r="I6546" s="380" t="s">
        <v>788</v>
      </c>
      <c r="J6546" s="380" t="s">
        <v>773</v>
      </c>
      <c r="K6546" s="381">
        <v>0.0</v>
      </c>
      <c r="L6546" s="382">
        <v>1.0</v>
      </c>
    </row>
    <row r="6547">
      <c r="A6547" s="380" t="s">
        <v>7421</v>
      </c>
      <c r="B6547" s="380" t="str">
        <f>IFERROR(__xludf.DUMMYFUNCTION("""COMPUTED_VALUE"""),"Empaque Motor Nhr Sin Turbo 5878128929")</f>
        <v>Empaque Motor Nhr Sin Turbo 5878128929</v>
      </c>
      <c r="C6547" s="380" t="str">
        <f>IFERROR(__xludf.DUMMYFUNCTION("""COMPUTED_VALUE"""),"70001954")</f>
        <v>70001954</v>
      </c>
      <c r="D6547" s="380" t="s">
        <v>767</v>
      </c>
      <c r="E6547" s="380" t="s">
        <v>786</v>
      </c>
      <c r="F6547" s="380" t="s">
        <v>787</v>
      </c>
      <c r="G6547" s="380" t="s">
        <v>1267</v>
      </c>
      <c r="H6547" s="380" t="s">
        <v>771</v>
      </c>
      <c r="I6547" s="380" t="s">
        <v>788</v>
      </c>
      <c r="J6547" s="380" t="s">
        <v>773</v>
      </c>
      <c r="K6547" s="381">
        <v>0.0</v>
      </c>
      <c r="L6547" s="382">
        <v>1.0</v>
      </c>
    </row>
    <row r="6548">
      <c r="A6548" s="380" t="s">
        <v>7422</v>
      </c>
      <c r="B6548" s="380" t="str">
        <f>IFERROR(__xludf.DUMMYFUNCTION("""COMPUTED_VALUE"""),"Oring Bomba Inye Nh Nkr S/Tur 5156191560")</f>
        <v>Oring Bomba Inye Nh Nkr S/Tur 5156191560</v>
      </c>
      <c r="C6548" s="380" t="str">
        <f>IFERROR(__xludf.DUMMYFUNCTION("""COMPUTED_VALUE"""),"70001955")</f>
        <v>70001955</v>
      </c>
      <c r="D6548" s="380" t="s">
        <v>767</v>
      </c>
      <c r="E6548" s="380" t="s">
        <v>786</v>
      </c>
      <c r="F6548" s="380" t="s">
        <v>787</v>
      </c>
      <c r="G6548" s="380" t="s">
        <v>1267</v>
      </c>
      <c r="H6548" s="380" t="s">
        <v>771</v>
      </c>
      <c r="I6548" s="380" t="s">
        <v>788</v>
      </c>
      <c r="J6548" s="380" t="s">
        <v>773</v>
      </c>
      <c r="K6548" s="381">
        <v>0.0</v>
      </c>
      <c r="L6548" s="382">
        <v>1.0</v>
      </c>
    </row>
    <row r="6549">
      <c r="A6549" s="380" t="s">
        <v>7423</v>
      </c>
      <c r="B6549" s="380" t="str">
        <f>IFERROR(__xludf.DUMMYFUNCTION("""COMPUTED_VALUE"""),"Amortiguador Dir Nkr RW 8980467412")</f>
        <v>Amortiguador Dir Nkr RW 8980467412</v>
      </c>
      <c r="C6549" s="380" t="str">
        <f>IFERROR(__xludf.DUMMYFUNCTION("""COMPUTED_VALUE"""),"70001956")</f>
        <v>70001956</v>
      </c>
      <c r="D6549" s="380" t="s">
        <v>767</v>
      </c>
      <c r="E6549" s="380" t="s">
        <v>786</v>
      </c>
      <c r="F6549" s="380" t="s">
        <v>1020</v>
      </c>
      <c r="G6549" s="380" t="s">
        <v>1267</v>
      </c>
      <c r="H6549" s="380" t="s">
        <v>771</v>
      </c>
      <c r="I6549" s="380" t="s">
        <v>788</v>
      </c>
      <c r="J6549" s="380" t="s">
        <v>773</v>
      </c>
      <c r="K6549" s="381">
        <v>0.0</v>
      </c>
      <c r="L6549" s="382">
        <v>1.0</v>
      </c>
    </row>
    <row r="6550">
      <c r="A6550" s="380" t="s">
        <v>7424</v>
      </c>
      <c r="B6550" s="380" t="str">
        <f>IFERROR(__xludf.DUMMYFUNCTION("""COMPUTED_VALUE"""),"Piñon Loco Rev Caja N200 24512549")</f>
        <v>Piñon Loco Rev Caja N200 24512549</v>
      </c>
      <c r="C6550" s="380" t="str">
        <f>IFERROR(__xludf.DUMMYFUNCTION("""COMPUTED_VALUE"""),"70001957")</f>
        <v>70001957</v>
      </c>
      <c r="D6550" s="380" t="s">
        <v>767</v>
      </c>
      <c r="E6550" s="380" t="s">
        <v>786</v>
      </c>
      <c r="F6550" s="380" t="s">
        <v>928</v>
      </c>
      <c r="G6550" s="380" t="s">
        <v>1267</v>
      </c>
      <c r="H6550" s="380" t="s">
        <v>771</v>
      </c>
      <c r="I6550" s="380" t="s">
        <v>788</v>
      </c>
      <c r="J6550" s="380" t="s">
        <v>773</v>
      </c>
      <c r="K6550" s="381">
        <v>160650.0</v>
      </c>
      <c r="L6550" s="382">
        <v>1.0</v>
      </c>
    </row>
    <row r="6551">
      <c r="A6551" s="380" t="s">
        <v>7425</v>
      </c>
      <c r="B6551" s="380" t="str">
        <f>IFERROR(__xludf.DUMMYFUNCTION("""COMPUTED_VALUE"""),"Balinera Eje Entrada Caja N200 24516986")</f>
        <v>Balinera Eje Entrada Caja N200 24516986</v>
      </c>
      <c r="C6551" s="380" t="str">
        <f>IFERROR(__xludf.DUMMYFUNCTION("""COMPUTED_VALUE"""),"70001958")</f>
        <v>70001958</v>
      </c>
      <c r="D6551" s="380" t="s">
        <v>767</v>
      </c>
      <c r="E6551" s="380" t="s">
        <v>786</v>
      </c>
      <c r="F6551" s="380" t="s">
        <v>928</v>
      </c>
      <c r="G6551" s="380" t="s">
        <v>1267</v>
      </c>
      <c r="H6551" s="380" t="s">
        <v>771</v>
      </c>
      <c r="I6551" s="380" t="s">
        <v>788</v>
      </c>
      <c r="J6551" s="380" t="s">
        <v>773</v>
      </c>
      <c r="K6551" s="381">
        <v>0.0</v>
      </c>
      <c r="L6551" s="382">
        <v>1.0</v>
      </c>
    </row>
    <row r="6552">
      <c r="A6552" s="380" t="s">
        <v>7426</v>
      </c>
      <c r="B6552" s="380" t="str">
        <f>IFERROR(__xludf.DUMMYFUNCTION("""COMPUTED_VALUE"""),"Pin Sincronizador Caja N200 24517015")</f>
        <v>Pin Sincronizador Caja N200 24517015</v>
      </c>
      <c r="C6552" s="380" t="str">
        <f>IFERROR(__xludf.DUMMYFUNCTION("""COMPUTED_VALUE"""),"70001959")</f>
        <v>70001959</v>
      </c>
      <c r="D6552" s="380" t="s">
        <v>767</v>
      </c>
      <c r="E6552" s="380" t="s">
        <v>786</v>
      </c>
      <c r="F6552" s="380" t="s">
        <v>928</v>
      </c>
      <c r="G6552" s="380" t="s">
        <v>1267</v>
      </c>
      <c r="H6552" s="380" t="s">
        <v>771</v>
      </c>
      <c r="I6552" s="380" t="s">
        <v>788</v>
      </c>
      <c r="J6552" s="380" t="s">
        <v>773</v>
      </c>
      <c r="K6552" s="381">
        <v>0.0</v>
      </c>
      <c r="L6552" s="382">
        <v>1.0</v>
      </c>
    </row>
    <row r="6553">
      <c r="A6553" s="380" t="s">
        <v>7427</v>
      </c>
      <c r="B6553" s="380" t="str">
        <f>IFERROR(__xludf.DUMMYFUNCTION("""COMPUTED_VALUE"""),"Piñon De 3ra Caja N200 24517016")</f>
        <v>Piñon De 3ra Caja N200 24517016</v>
      </c>
      <c r="C6553" s="380" t="str">
        <f>IFERROR(__xludf.DUMMYFUNCTION("""COMPUTED_VALUE"""),"70001960")</f>
        <v>70001960</v>
      </c>
      <c r="D6553" s="380" t="s">
        <v>767</v>
      </c>
      <c r="E6553" s="380" t="s">
        <v>786</v>
      </c>
      <c r="F6553" s="380" t="s">
        <v>928</v>
      </c>
      <c r="G6553" s="380" t="s">
        <v>1267</v>
      </c>
      <c r="H6553" s="380" t="s">
        <v>771</v>
      </c>
      <c r="I6553" s="380" t="s">
        <v>788</v>
      </c>
      <c r="J6553" s="380" t="s">
        <v>773</v>
      </c>
      <c r="K6553" s="381">
        <v>0.0</v>
      </c>
      <c r="L6553" s="382">
        <v>1.0</v>
      </c>
    </row>
    <row r="6554">
      <c r="A6554" s="380" t="s">
        <v>7428</v>
      </c>
      <c r="B6554" s="380" t="str">
        <f>IFERROR(__xludf.DUMMYFUNCTION("""COMPUTED_VALUE"""),"Sincronizador Piñon De 3ra N200 24517020")</f>
        <v>Sincronizador Piñon De 3ra N200 24517020</v>
      </c>
      <c r="C6554" s="380" t="str">
        <f>IFERROR(__xludf.DUMMYFUNCTION("""COMPUTED_VALUE"""),"70001961")</f>
        <v>70001961</v>
      </c>
      <c r="D6554" s="380" t="s">
        <v>767</v>
      </c>
      <c r="E6554" s="380" t="s">
        <v>786</v>
      </c>
      <c r="F6554" s="380" t="s">
        <v>928</v>
      </c>
      <c r="G6554" s="380" t="s">
        <v>1267</v>
      </c>
      <c r="H6554" s="380" t="s">
        <v>771</v>
      </c>
      <c r="I6554" s="380" t="s">
        <v>788</v>
      </c>
      <c r="J6554" s="380" t="s">
        <v>773</v>
      </c>
      <c r="K6554" s="381">
        <v>0.0</v>
      </c>
      <c r="L6554" s="382">
        <v>1.0</v>
      </c>
    </row>
    <row r="6555">
      <c r="A6555" s="380" t="s">
        <v>7429</v>
      </c>
      <c r="B6555" s="380" t="str">
        <f>IFERROR(__xludf.DUMMYFUNCTION("""COMPUTED_VALUE"""),"Balinera Eje Primario Tras N200 24517023")</f>
        <v>Balinera Eje Primario Tras N200 24517023</v>
      </c>
      <c r="C6555" s="380" t="str">
        <f>IFERROR(__xludf.DUMMYFUNCTION("""COMPUTED_VALUE"""),"70001962")</f>
        <v>70001962</v>
      </c>
      <c r="D6555" s="380" t="s">
        <v>767</v>
      </c>
      <c r="E6555" s="380" t="s">
        <v>786</v>
      </c>
      <c r="F6555" s="380" t="s">
        <v>928</v>
      </c>
      <c r="G6555" s="380" t="s">
        <v>1267</v>
      </c>
      <c r="H6555" s="380" t="s">
        <v>771</v>
      </c>
      <c r="I6555" s="380" t="s">
        <v>788</v>
      </c>
      <c r="J6555" s="380" t="s">
        <v>773</v>
      </c>
      <c r="K6555" s="381">
        <v>33320.0</v>
      </c>
      <c r="L6555" s="382">
        <v>1.0</v>
      </c>
    </row>
    <row r="6556">
      <c r="A6556" s="380" t="s">
        <v>7430</v>
      </c>
      <c r="B6556" s="380" t="str">
        <f>IFERROR(__xludf.DUMMYFUNCTION("""COMPUTED_VALUE"""),"Balinera Eje Del Caja N200 24517029")</f>
        <v>Balinera Eje Del Caja N200 24517029</v>
      </c>
      <c r="C6556" s="380" t="str">
        <f>IFERROR(__xludf.DUMMYFUNCTION("""COMPUTED_VALUE"""),"70001963")</f>
        <v>70001963</v>
      </c>
      <c r="D6556" s="380" t="s">
        <v>767</v>
      </c>
      <c r="E6556" s="380" t="s">
        <v>786</v>
      </c>
      <c r="F6556" s="380" t="s">
        <v>928</v>
      </c>
      <c r="G6556" s="380" t="s">
        <v>1267</v>
      </c>
      <c r="H6556" s="380" t="s">
        <v>771</v>
      </c>
      <c r="I6556" s="380" t="s">
        <v>788</v>
      </c>
      <c r="J6556" s="380" t="s">
        <v>773</v>
      </c>
      <c r="K6556" s="381">
        <v>0.0</v>
      </c>
      <c r="L6556" s="382">
        <v>1.0</v>
      </c>
    </row>
    <row r="6557">
      <c r="A6557" s="380" t="s">
        <v>7431</v>
      </c>
      <c r="B6557" s="380" t="str">
        <f>IFERROR(__xludf.DUMMYFUNCTION("""COMPUTED_VALUE"""),"Piñon 1ra Caja N200 24517031")</f>
        <v>Piñon 1ra Caja N200 24517031</v>
      </c>
      <c r="C6557" s="380" t="str">
        <f>IFERROR(__xludf.DUMMYFUNCTION("""COMPUTED_VALUE"""),"70001964")</f>
        <v>70001964</v>
      </c>
      <c r="D6557" s="380" t="s">
        <v>767</v>
      </c>
      <c r="E6557" s="380" t="s">
        <v>786</v>
      </c>
      <c r="F6557" s="380" t="s">
        <v>928</v>
      </c>
      <c r="G6557" s="380" t="s">
        <v>1267</v>
      </c>
      <c r="H6557" s="380" t="s">
        <v>771</v>
      </c>
      <c r="I6557" s="380" t="s">
        <v>788</v>
      </c>
      <c r="J6557" s="380" t="s">
        <v>773</v>
      </c>
      <c r="K6557" s="381">
        <v>0.0</v>
      </c>
      <c r="L6557" s="382">
        <v>1.0</v>
      </c>
    </row>
    <row r="6558">
      <c r="A6558" s="380" t="s">
        <v>7432</v>
      </c>
      <c r="B6558" s="380" t="str">
        <f>IFERROR(__xludf.DUMMYFUNCTION("""COMPUTED_VALUE"""),"Sincronizador Piñon De 2da N200 24517043")</f>
        <v>Sincronizador Piñon De 2da N200 24517043</v>
      </c>
      <c r="C6558" s="380" t="str">
        <f>IFERROR(__xludf.DUMMYFUNCTION("""COMPUTED_VALUE"""),"70001965")</f>
        <v>70001965</v>
      </c>
      <c r="D6558" s="380" t="s">
        <v>767</v>
      </c>
      <c r="E6558" s="380" t="s">
        <v>786</v>
      </c>
      <c r="F6558" s="380" t="s">
        <v>928</v>
      </c>
      <c r="G6558" s="380" t="s">
        <v>1267</v>
      </c>
      <c r="H6558" s="380" t="s">
        <v>771</v>
      </c>
      <c r="I6558" s="380" t="s">
        <v>788</v>
      </c>
      <c r="J6558" s="380" t="s">
        <v>773</v>
      </c>
      <c r="K6558" s="381">
        <v>0.0</v>
      </c>
      <c r="L6558" s="382">
        <v>1.0</v>
      </c>
    </row>
    <row r="6559">
      <c r="A6559" s="380" t="s">
        <v>7433</v>
      </c>
      <c r="B6559" s="380" t="str">
        <f>IFERROR(__xludf.DUMMYFUNCTION("""COMPUTED_VALUE"""),"Balinera Eje Primario Tras N200 24517051")</f>
        <v>Balinera Eje Primario Tras N200 24517051</v>
      </c>
      <c r="C6559" s="380" t="str">
        <f>IFERROR(__xludf.DUMMYFUNCTION("""COMPUTED_VALUE"""),"70001966")</f>
        <v>70001966</v>
      </c>
      <c r="D6559" s="380" t="s">
        <v>767</v>
      </c>
      <c r="E6559" s="380" t="s">
        <v>786</v>
      </c>
      <c r="F6559" s="380" t="s">
        <v>928</v>
      </c>
      <c r="G6559" s="380" t="s">
        <v>1267</v>
      </c>
      <c r="H6559" s="380" t="s">
        <v>771</v>
      </c>
      <c r="I6559" s="380" t="s">
        <v>788</v>
      </c>
      <c r="J6559" s="380" t="s">
        <v>773</v>
      </c>
      <c r="K6559" s="381">
        <v>0.0</v>
      </c>
      <c r="L6559" s="382">
        <v>1.0</v>
      </c>
    </row>
    <row r="6560">
      <c r="A6560" s="380" t="s">
        <v>7434</v>
      </c>
      <c r="B6560" s="380" t="str">
        <f>IFERROR(__xludf.DUMMYFUNCTION("""COMPUTED_VALUE"""),"Piñon 2da Caja N200 24531245")</f>
        <v>Piñon 2da Caja N200 24531245</v>
      </c>
      <c r="C6560" s="380" t="str">
        <f>IFERROR(__xludf.DUMMYFUNCTION("""COMPUTED_VALUE"""),"70001967")</f>
        <v>70001967</v>
      </c>
      <c r="D6560" s="380" t="s">
        <v>767</v>
      </c>
      <c r="E6560" s="380" t="s">
        <v>786</v>
      </c>
      <c r="F6560" s="380" t="s">
        <v>928</v>
      </c>
      <c r="G6560" s="380" t="s">
        <v>1267</v>
      </c>
      <c r="H6560" s="380" t="s">
        <v>771</v>
      </c>
      <c r="I6560" s="380" t="s">
        <v>788</v>
      </c>
      <c r="J6560" s="380" t="s">
        <v>773</v>
      </c>
      <c r="K6560" s="381">
        <v>0.0</v>
      </c>
      <c r="L6560" s="382">
        <v>1.0</v>
      </c>
    </row>
    <row r="6561">
      <c r="A6561" s="380" t="s">
        <v>7435</v>
      </c>
      <c r="B6561" s="380" t="str">
        <f>IFERROR(__xludf.DUMMYFUNCTION("""COMPUTED_VALUE"""),"Cilindro Aux Embrague Hino 31470-E0042")</f>
        <v>Cilindro Aux Embrague Hino 31470-E0042</v>
      </c>
      <c r="C6561" s="380" t="str">
        <f>IFERROR(__xludf.DUMMYFUNCTION("""COMPUTED_VALUE"""),"70001968")</f>
        <v>70001968</v>
      </c>
      <c r="D6561" s="380" t="s">
        <v>767</v>
      </c>
      <c r="E6561" s="380" t="s">
        <v>786</v>
      </c>
      <c r="F6561" s="380" t="s">
        <v>5661</v>
      </c>
      <c r="G6561" s="380" t="s">
        <v>1267</v>
      </c>
      <c r="H6561" s="380" t="s">
        <v>771</v>
      </c>
      <c r="I6561" s="380" t="s">
        <v>788</v>
      </c>
      <c r="J6561" s="380" t="s">
        <v>773</v>
      </c>
      <c r="K6561" s="381">
        <v>0.0</v>
      </c>
      <c r="L6561" s="382">
        <v>1.0</v>
      </c>
    </row>
    <row r="6562">
      <c r="A6562" s="380" t="s">
        <v>7436</v>
      </c>
      <c r="B6562" s="380" t="str">
        <f>IFERROR(__xludf.DUMMYFUNCTION("""COMPUTED_VALUE"""),"Tope Muelle Delantero Npr 8944223804")</f>
        <v>Tope Muelle Delantero Npr 8944223804</v>
      </c>
      <c r="C6562" s="380" t="str">
        <f>IFERROR(__xludf.DUMMYFUNCTION("""COMPUTED_VALUE"""),"70001969")</f>
        <v>70001969</v>
      </c>
      <c r="D6562" s="380" t="s">
        <v>767</v>
      </c>
      <c r="E6562" s="380" t="s">
        <v>786</v>
      </c>
      <c r="F6562" s="380" t="s">
        <v>1039</v>
      </c>
      <c r="G6562" s="380" t="s">
        <v>1267</v>
      </c>
      <c r="H6562" s="380" t="s">
        <v>771</v>
      </c>
      <c r="I6562" s="380" t="s">
        <v>788</v>
      </c>
      <c r="J6562" s="380" t="s">
        <v>773</v>
      </c>
      <c r="K6562" s="381">
        <v>0.0</v>
      </c>
      <c r="L6562" s="382">
        <v>1.0</v>
      </c>
    </row>
    <row r="6563">
      <c r="A6563" s="380" t="s">
        <v>7437</v>
      </c>
      <c r="B6563" s="380" t="str">
        <f>IFERROR(__xludf.DUMMYFUNCTION("""COMPUTED_VALUE"""),"Soporte Puente Motor Del Nkr 8942461277")</f>
        <v>Soporte Puente Motor Del Nkr 8942461277</v>
      </c>
      <c r="C6563" s="380" t="str">
        <f>IFERROR(__xludf.DUMMYFUNCTION("""COMPUTED_VALUE"""),"70001970")</f>
        <v>70001970</v>
      </c>
      <c r="D6563" s="380" t="s">
        <v>767</v>
      </c>
      <c r="E6563" s="380" t="s">
        <v>786</v>
      </c>
      <c r="F6563" s="380" t="s">
        <v>792</v>
      </c>
      <c r="G6563" s="380" t="s">
        <v>1267</v>
      </c>
      <c r="H6563" s="380" t="s">
        <v>771</v>
      </c>
      <c r="I6563" s="380" t="s">
        <v>788</v>
      </c>
      <c r="J6563" s="380" t="s">
        <v>773</v>
      </c>
      <c r="K6563" s="381">
        <v>0.0</v>
      </c>
      <c r="L6563" s="382">
        <v>1.0</v>
      </c>
    </row>
    <row r="6564">
      <c r="A6564" s="380" t="s">
        <v>7438</v>
      </c>
      <c r="B6564" s="380" t="str">
        <f>IFERROR(__xludf.DUMMYFUNCTION("""COMPUTED_VALUE"""),"Esparrago Carter Motor Nkr 8941339732")</f>
        <v>Esparrago Carter Motor Nkr 8941339732</v>
      </c>
      <c r="C6564" s="380" t="str">
        <f>IFERROR(__xludf.DUMMYFUNCTION("""COMPUTED_VALUE"""),"70001971")</f>
        <v>70001971</v>
      </c>
      <c r="D6564" s="380" t="s">
        <v>767</v>
      </c>
      <c r="E6564" s="380" t="s">
        <v>786</v>
      </c>
      <c r="F6564" s="380" t="s">
        <v>787</v>
      </c>
      <c r="G6564" s="380" t="s">
        <v>1267</v>
      </c>
      <c r="H6564" s="380" t="s">
        <v>771</v>
      </c>
      <c r="I6564" s="380" t="s">
        <v>788</v>
      </c>
      <c r="J6564" s="380" t="s">
        <v>773</v>
      </c>
      <c r="K6564" s="381">
        <v>0.0</v>
      </c>
      <c r="L6564" s="382">
        <v>1.0</v>
      </c>
    </row>
    <row r="6565">
      <c r="A6565" s="380" t="s">
        <v>7439</v>
      </c>
      <c r="B6565" s="380" t="str">
        <f>IFERROR(__xludf.DUMMYFUNCTION("""COMPUTED_VALUE"""),"Plato Empuje Eje Levas Nkr 8941104801")</f>
        <v>Plato Empuje Eje Levas Nkr 8941104801</v>
      </c>
      <c r="C6565" s="380" t="str">
        <f>IFERROR(__xludf.DUMMYFUNCTION("""COMPUTED_VALUE"""),"70001972")</f>
        <v>70001972</v>
      </c>
      <c r="D6565" s="380" t="s">
        <v>767</v>
      </c>
      <c r="E6565" s="380" t="s">
        <v>786</v>
      </c>
      <c r="F6565" s="380" t="s">
        <v>787</v>
      </c>
      <c r="G6565" s="380" t="s">
        <v>1267</v>
      </c>
      <c r="H6565" s="380" t="s">
        <v>771</v>
      </c>
      <c r="I6565" s="380" t="s">
        <v>788</v>
      </c>
      <c r="J6565" s="380" t="s">
        <v>773</v>
      </c>
      <c r="K6565" s="381">
        <v>0.0</v>
      </c>
      <c r="L6565" s="382">
        <v>1.0</v>
      </c>
    </row>
    <row r="6566">
      <c r="A6566" s="380" t="s">
        <v>7440</v>
      </c>
      <c r="B6566" s="380" t="str">
        <f>IFERROR(__xludf.DUMMYFUNCTION("""COMPUTED_VALUE"""),"Direccional Pta Der Nkr RW8980397762")</f>
        <v>Direccional Pta Der Nkr RW8980397762</v>
      </c>
      <c r="C6566" s="380" t="str">
        <f>IFERROR(__xludf.DUMMYFUNCTION("""COMPUTED_VALUE"""),"70001973")</f>
        <v>70001973</v>
      </c>
      <c r="D6566" s="380" t="s">
        <v>767</v>
      </c>
      <c r="E6566" s="380" t="s">
        <v>786</v>
      </c>
      <c r="F6566" s="380" t="s">
        <v>998</v>
      </c>
      <c r="G6566" s="380" t="s">
        <v>1267</v>
      </c>
      <c r="H6566" s="380" t="s">
        <v>771</v>
      </c>
      <c r="I6566" s="380" t="s">
        <v>788</v>
      </c>
      <c r="J6566" s="380" t="s">
        <v>773</v>
      </c>
      <c r="K6566" s="381">
        <v>0.0</v>
      </c>
      <c r="L6566" s="382">
        <v>1.0</v>
      </c>
    </row>
    <row r="6567">
      <c r="A6567" s="380" t="s">
        <v>7441</v>
      </c>
      <c r="B6567" s="380" t="str">
        <f>IFERROR(__xludf.DUMMYFUNCTION("""COMPUTED_VALUE"""),"Switch Luces Parqueo Npr 8972024760")</f>
        <v>Switch Luces Parqueo Npr 8972024760</v>
      </c>
      <c r="C6567" s="380" t="str">
        <f>IFERROR(__xludf.DUMMYFUNCTION("""COMPUTED_VALUE"""),"70001974")</f>
        <v>70001974</v>
      </c>
      <c r="D6567" s="380" t="s">
        <v>767</v>
      </c>
      <c r="E6567" s="380" t="s">
        <v>786</v>
      </c>
      <c r="F6567" s="380" t="s">
        <v>998</v>
      </c>
      <c r="G6567" s="380" t="s">
        <v>1267</v>
      </c>
      <c r="H6567" s="380" t="s">
        <v>771</v>
      </c>
      <c r="I6567" s="380" t="s">
        <v>788</v>
      </c>
      <c r="J6567" s="380" t="s">
        <v>773</v>
      </c>
      <c r="K6567" s="381">
        <v>0.0</v>
      </c>
      <c r="L6567" s="382">
        <v>1.0</v>
      </c>
    </row>
    <row r="6568">
      <c r="A6568" s="380" t="s">
        <v>7442</v>
      </c>
      <c r="B6568" s="380" t="str">
        <f>IFERROR(__xludf.DUMMYFUNCTION("""COMPUTED_VALUE"""),"Empaques Bomba Agua Nkr RW 8973121560")</f>
        <v>Empaques Bomba Agua Nkr RW 8973121560</v>
      </c>
      <c r="C6568" s="380" t="str">
        <f>IFERROR(__xludf.DUMMYFUNCTION("""COMPUTED_VALUE"""),"70001975")</f>
        <v>70001975</v>
      </c>
      <c r="D6568" s="380" t="s">
        <v>767</v>
      </c>
      <c r="E6568" s="380" t="s">
        <v>786</v>
      </c>
      <c r="F6568" s="380" t="s">
        <v>787</v>
      </c>
      <c r="G6568" s="380" t="s">
        <v>1267</v>
      </c>
      <c r="H6568" s="380" t="s">
        <v>771</v>
      </c>
      <c r="I6568" s="380" t="s">
        <v>788</v>
      </c>
      <c r="J6568" s="380" t="s">
        <v>773</v>
      </c>
      <c r="K6568" s="381">
        <v>0.0</v>
      </c>
      <c r="L6568" s="382">
        <v>1.0</v>
      </c>
    </row>
    <row r="6569">
      <c r="A6569" s="380" t="s">
        <v>7443</v>
      </c>
      <c r="B6569" s="380" t="str">
        <f>IFERROR(__xludf.DUMMYFUNCTION("""COMPUTED_VALUE"""),"Embolo Motor Arranque Nkr 6682603")</f>
        <v>Embolo Motor Arranque Nkr 6682603</v>
      </c>
      <c r="C6569" s="380" t="str">
        <f>IFERROR(__xludf.DUMMYFUNCTION("""COMPUTED_VALUE"""),"70001976")</f>
        <v>70001976</v>
      </c>
      <c r="D6569" s="380" t="s">
        <v>767</v>
      </c>
      <c r="E6569" s="380" t="s">
        <v>786</v>
      </c>
      <c r="F6569" s="380" t="s">
        <v>998</v>
      </c>
      <c r="G6569" s="380" t="s">
        <v>1267</v>
      </c>
      <c r="H6569" s="380" t="s">
        <v>771</v>
      </c>
      <c r="I6569" s="380" t="s">
        <v>788</v>
      </c>
      <c r="J6569" s="380" t="s">
        <v>773</v>
      </c>
      <c r="K6569" s="381">
        <v>15209.0</v>
      </c>
      <c r="L6569" s="382">
        <v>1.0</v>
      </c>
    </row>
    <row r="6570">
      <c r="A6570" s="380" t="s">
        <v>7444</v>
      </c>
      <c r="B6570" s="380" t="str">
        <f>IFERROR(__xludf.DUMMYFUNCTION("""COMPUTED_VALUE"""),"Cilindro Fre Del Izq C/P Hino 4753036170")</f>
        <v>Cilindro Fre Del Izq C/P Hino 4753036170</v>
      </c>
      <c r="C6570" s="380" t="str">
        <f>IFERROR(__xludf.DUMMYFUNCTION("""COMPUTED_VALUE"""),"70001977")</f>
        <v>70001977</v>
      </c>
      <c r="D6570" s="380" t="s">
        <v>767</v>
      </c>
      <c r="E6570" s="380" t="s">
        <v>786</v>
      </c>
      <c r="F6570" s="380" t="s">
        <v>1017</v>
      </c>
      <c r="G6570" s="380" t="s">
        <v>1267</v>
      </c>
      <c r="H6570" s="380" t="s">
        <v>771</v>
      </c>
      <c r="I6570" s="380" t="s">
        <v>788</v>
      </c>
      <c r="J6570" s="380" t="s">
        <v>773</v>
      </c>
      <c r="K6570" s="381">
        <v>0.0</v>
      </c>
      <c r="L6570" s="382">
        <v>1.0</v>
      </c>
    </row>
    <row r="6571">
      <c r="A6571" s="380" t="s">
        <v>7445</v>
      </c>
      <c r="B6571" s="380" t="str">
        <f>IFERROR(__xludf.DUMMYFUNCTION("""COMPUTED_VALUE"""),"Cilindro Fre Del Izq S/P Hino 4754036180")</f>
        <v>Cilindro Fre Del Izq S/P Hino 4754036180</v>
      </c>
      <c r="C6571" s="380" t="str">
        <f>IFERROR(__xludf.DUMMYFUNCTION("""COMPUTED_VALUE"""),"70001978")</f>
        <v>70001978</v>
      </c>
      <c r="D6571" s="380" t="s">
        <v>767</v>
      </c>
      <c r="E6571" s="380" t="s">
        <v>786</v>
      </c>
      <c r="F6571" s="380" t="s">
        <v>1017</v>
      </c>
      <c r="G6571" s="380" t="s">
        <v>1267</v>
      </c>
      <c r="H6571" s="380" t="s">
        <v>771</v>
      </c>
      <c r="I6571" s="380" t="s">
        <v>788</v>
      </c>
      <c r="J6571" s="380" t="s">
        <v>773</v>
      </c>
      <c r="K6571" s="381">
        <v>0.0</v>
      </c>
      <c r="L6571" s="382">
        <v>1.0</v>
      </c>
    </row>
    <row r="6572">
      <c r="A6572" s="380" t="s">
        <v>7446</v>
      </c>
      <c r="B6572" s="380" t="str">
        <f>IFERROR(__xludf.DUMMYFUNCTION("""COMPUTED_VALUE"""),"Balinera Embrague Hino 3123036200")</f>
        <v>Balinera Embrague Hino 3123036200</v>
      </c>
      <c r="C6572" s="380" t="str">
        <f>IFERROR(__xludf.DUMMYFUNCTION("""COMPUTED_VALUE"""),"70001979")</f>
        <v>70001979</v>
      </c>
      <c r="D6572" s="380" t="s">
        <v>767</v>
      </c>
      <c r="E6572" s="380" t="s">
        <v>786</v>
      </c>
      <c r="F6572" s="380" t="s">
        <v>5661</v>
      </c>
      <c r="G6572" s="380" t="s">
        <v>1267</v>
      </c>
      <c r="H6572" s="380" t="s">
        <v>771</v>
      </c>
      <c r="I6572" s="380" t="s">
        <v>788</v>
      </c>
      <c r="J6572" s="380" t="s">
        <v>773</v>
      </c>
      <c r="K6572" s="381">
        <v>0.0</v>
      </c>
      <c r="L6572" s="382">
        <v>1.0</v>
      </c>
    </row>
    <row r="6573">
      <c r="A6573" s="380" t="s">
        <v>7447</v>
      </c>
      <c r="B6573" s="380" t="str">
        <f>IFERROR(__xludf.DUMMYFUNCTION("""COMPUTED_VALUE"""),"Balancin Muelle Trasero Toyota 100331")</f>
        <v>Balancin Muelle Trasero Toyota 100331</v>
      </c>
      <c r="C6573" s="380" t="str">
        <f>IFERROR(__xludf.DUMMYFUNCTION("""COMPUTED_VALUE"""),"70001980")</f>
        <v>70001980</v>
      </c>
      <c r="D6573" s="380" t="s">
        <v>767</v>
      </c>
      <c r="E6573" s="380" t="s">
        <v>786</v>
      </c>
      <c r="F6573" s="380" t="s">
        <v>1039</v>
      </c>
      <c r="G6573" s="380" t="s">
        <v>1267</v>
      </c>
      <c r="H6573" s="380" t="s">
        <v>771</v>
      </c>
      <c r="I6573" s="380" t="s">
        <v>788</v>
      </c>
      <c r="J6573" s="380" t="s">
        <v>773</v>
      </c>
      <c r="K6573" s="381">
        <v>0.0</v>
      </c>
      <c r="L6573" s="382">
        <v>1.0</v>
      </c>
    </row>
    <row r="6574">
      <c r="A6574" s="380" t="s">
        <v>7448</v>
      </c>
      <c r="B6574" s="380" t="str">
        <f>IFERROR(__xludf.DUMMYFUNCTION("""COMPUTED_VALUE"""),"Retenedor Speed Transmision N200 9026270")</f>
        <v>Retenedor Speed Transmision N200 9026270</v>
      </c>
      <c r="C6574" s="380" t="str">
        <f>IFERROR(__xludf.DUMMYFUNCTION("""COMPUTED_VALUE"""),"70001981")</f>
        <v>70001981</v>
      </c>
      <c r="D6574" s="380" t="s">
        <v>767</v>
      </c>
      <c r="E6574" s="380" t="s">
        <v>786</v>
      </c>
      <c r="F6574" s="380" t="s">
        <v>5683</v>
      </c>
      <c r="G6574" s="380" t="s">
        <v>1267</v>
      </c>
      <c r="H6574" s="380" t="s">
        <v>771</v>
      </c>
      <c r="I6574" s="380" t="s">
        <v>788</v>
      </c>
      <c r="J6574" s="380" t="s">
        <v>773</v>
      </c>
      <c r="K6574" s="381">
        <v>0.0</v>
      </c>
      <c r="L6574" s="382">
        <v>1.0</v>
      </c>
    </row>
    <row r="6575">
      <c r="A6575" s="380" t="s">
        <v>7449</v>
      </c>
      <c r="B6575" s="380" t="str">
        <f>IFERROR(__xludf.DUMMYFUNCTION("""COMPUTED_VALUE"""),"Buje Balancin Resorte Tra Nhr 8941133232")</f>
        <v>Buje Balancin Resorte Tra Nhr 8941133232</v>
      </c>
      <c r="C6575" s="380" t="str">
        <f>IFERROR(__xludf.DUMMYFUNCTION("""COMPUTED_VALUE"""),"70001982")</f>
        <v>70001982</v>
      </c>
      <c r="D6575" s="380" t="s">
        <v>767</v>
      </c>
      <c r="E6575" s="380" t="s">
        <v>786</v>
      </c>
      <c r="F6575" s="380" t="s">
        <v>1039</v>
      </c>
      <c r="G6575" s="380" t="s">
        <v>1267</v>
      </c>
      <c r="H6575" s="380" t="s">
        <v>771</v>
      </c>
      <c r="I6575" s="380" t="s">
        <v>788</v>
      </c>
      <c r="J6575" s="380" t="s">
        <v>773</v>
      </c>
      <c r="K6575" s="381">
        <v>0.0</v>
      </c>
      <c r="L6575" s="382">
        <v>1.0</v>
      </c>
    </row>
    <row r="6576">
      <c r="A6576" s="380" t="s">
        <v>7450</v>
      </c>
      <c r="B6576" s="380" t="str">
        <f>IFERROR(__xludf.DUMMYFUNCTION("""COMPUTED_VALUE"""),"Tapa Tanque Combustible Hino 6905837080")</f>
        <v>Tapa Tanque Combustible Hino 6905837080</v>
      </c>
      <c r="C6576" s="380" t="str">
        <f>IFERROR(__xludf.DUMMYFUNCTION("""COMPUTED_VALUE"""),"70001983")</f>
        <v>70001983</v>
      </c>
      <c r="D6576" s="380" t="s">
        <v>767</v>
      </c>
      <c r="E6576" s="380" t="s">
        <v>786</v>
      </c>
      <c r="F6576" s="380" t="s">
        <v>792</v>
      </c>
      <c r="G6576" s="380" t="s">
        <v>1267</v>
      </c>
      <c r="H6576" s="380" t="s">
        <v>771</v>
      </c>
      <c r="I6576" s="380" t="s">
        <v>788</v>
      </c>
      <c r="J6576" s="380" t="s">
        <v>773</v>
      </c>
      <c r="K6576" s="381">
        <v>0.0</v>
      </c>
      <c r="L6576" s="382">
        <v>1.0</v>
      </c>
    </row>
    <row r="6577">
      <c r="A6577" s="380" t="s">
        <v>7451</v>
      </c>
      <c r="B6577" s="380" t="str">
        <f>IFERROR(__xludf.DUMMYFUNCTION("""COMPUTED_VALUE"""),"Kit CauchoRodamiento Cardan Nkr 232615KX")</f>
        <v>Kit CauchoRodamiento Cardan Nkr 232615KX</v>
      </c>
      <c r="C6577" s="380" t="str">
        <f>IFERROR(__xludf.DUMMYFUNCTION("""COMPUTED_VALUE"""),"70001984")</f>
        <v>70001984</v>
      </c>
      <c r="D6577" s="380" t="s">
        <v>767</v>
      </c>
      <c r="E6577" s="380" t="s">
        <v>786</v>
      </c>
      <c r="F6577" s="380" t="s">
        <v>5683</v>
      </c>
      <c r="G6577" s="380" t="s">
        <v>1267</v>
      </c>
      <c r="H6577" s="380" t="s">
        <v>771</v>
      </c>
      <c r="I6577" s="380" t="s">
        <v>788</v>
      </c>
      <c r="J6577" s="380" t="s">
        <v>773</v>
      </c>
      <c r="K6577" s="381">
        <v>0.0</v>
      </c>
      <c r="L6577" s="382">
        <v>1.0</v>
      </c>
    </row>
    <row r="6578">
      <c r="A6578" s="380" t="s">
        <v>7452</v>
      </c>
      <c r="B6578" s="380" t="str">
        <f>IFERROR(__xludf.DUMMYFUNCTION("""COMPUTED_VALUE"""),"Pin Eje Caja 14915 Sb-N14 21652")</f>
        <v>Pin Eje Caja 14915 Sb-N14 21652</v>
      </c>
      <c r="C6578" s="380" t="str">
        <f>IFERROR(__xludf.DUMMYFUNCTION("""COMPUTED_VALUE"""),"70001985")</f>
        <v>70001985</v>
      </c>
      <c r="D6578" s="380" t="s">
        <v>767</v>
      </c>
      <c r="E6578" s="380" t="s">
        <v>786</v>
      </c>
      <c r="F6578" s="380" t="s">
        <v>928</v>
      </c>
      <c r="G6578" s="380" t="s">
        <v>1267</v>
      </c>
      <c r="H6578" s="380" t="s">
        <v>771</v>
      </c>
      <c r="I6578" s="380" t="s">
        <v>788</v>
      </c>
      <c r="J6578" s="380" t="s">
        <v>773</v>
      </c>
      <c r="K6578" s="381">
        <v>0.0</v>
      </c>
      <c r="L6578" s="382">
        <v>1.0</v>
      </c>
    </row>
    <row r="6579">
      <c r="A6579" s="380" t="s">
        <v>7453</v>
      </c>
      <c r="B6579" s="380" t="str">
        <f>IFERROR(__xludf.DUMMYFUNCTION("""COMPUTED_VALUE"""),"Tuerca Grapa Muelle Del Eagle HD49685000")</f>
        <v>Tuerca Grapa Muelle Del Eagle HD49685000</v>
      </c>
      <c r="C6579" s="380" t="str">
        <f>IFERROR(__xludf.DUMMYFUNCTION("""COMPUTED_VALUE"""),"70001986")</f>
        <v>70001986</v>
      </c>
      <c r="D6579" s="380" t="s">
        <v>767</v>
      </c>
      <c r="E6579" s="380" t="s">
        <v>786</v>
      </c>
      <c r="F6579" s="380" t="s">
        <v>1039</v>
      </c>
      <c r="G6579" s="380" t="s">
        <v>1267</v>
      </c>
      <c r="H6579" s="380" t="s">
        <v>771</v>
      </c>
      <c r="I6579" s="380" t="s">
        <v>788</v>
      </c>
      <c r="J6579" s="380" t="s">
        <v>773</v>
      </c>
      <c r="K6579" s="381">
        <v>0.0</v>
      </c>
      <c r="L6579" s="382">
        <v>1.0</v>
      </c>
    </row>
    <row r="6580">
      <c r="A6580" s="380" t="s">
        <v>7454</v>
      </c>
      <c r="B6580" s="380" t="str">
        <f>IFERROR(__xludf.DUMMYFUNCTION("""COMPUTED_VALUE"""),"Cruceta Cardan Nkr RW 95615969")</f>
        <v>Cruceta Cardan Nkr RW 95615969</v>
      </c>
      <c r="C6580" s="380" t="str">
        <f>IFERROR(__xludf.DUMMYFUNCTION("""COMPUTED_VALUE"""),"70001987")</f>
        <v>70001987</v>
      </c>
      <c r="D6580" s="380" t="s">
        <v>767</v>
      </c>
      <c r="E6580" s="380" t="s">
        <v>786</v>
      </c>
      <c r="F6580" s="380" t="s">
        <v>5683</v>
      </c>
      <c r="G6580" s="380" t="s">
        <v>1267</v>
      </c>
      <c r="H6580" s="380" t="s">
        <v>771</v>
      </c>
      <c r="I6580" s="380" t="s">
        <v>788</v>
      </c>
      <c r="J6580" s="380" t="s">
        <v>773</v>
      </c>
      <c r="K6580" s="381">
        <v>84981.0</v>
      </c>
      <c r="L6580" s="382">
        <v>1.0</v>
      </c>
    </row>
    <row r="6581">
      <c r="A6581" s="380" t="s">
        <v>7455</v>
      </c>
      <c r="B6581" s="380" t="str">
        <f>IFERROR(__xludf.DUMMYFUNCTION("""COMPUTED_VALUE"""),"Soporte Caucho Radiador KW M500-70NR")</f>
        <v>Soporte Caucho Radiador KW M500-70NR</v>
      </c>
      <c r="C6581" s="380" t="str">
        <f>IFERROR(__xludf.DUMMYFUNCTION("""COMPUTED_VALUE"""),"70001988")</f>
        <v>70001988</v>
      </c>
      <c r="D6581" s="380" t="s">
        <v>767</v>
      </c>
      <c r="E6581" s="380" t="s">
        <v>786</v>
      </c>
      <c r="F6581" s="380" t="s">
        <v>787</v>
      </c>
      <c r="G6581" s="380" t="s">
        <v>1267</v>
      </c>
      <c r="H6581" s="380" t="s">
        <v>771</v>
      </c>
      <c r="I6581" s="380" t="s">
        <v>788</v>
      </c>
      <c r="J6581" s="380" t="s">
        <v>773</v>
      </c>
      <c r="K6581" s="381">
        <v>0.0</v>
      </c>
      <c r="L6581" s="382">
        <v>1.0</v>
      </c>
    </row>
    <row r="6582">
      <c r="A6582" s="380" t="s">
        <v>7456</v>
      </c>
      <c r="B6582" s="380" t="str">
        <f>IFERROR(__xludf.DUMMYFUNCTION("""COMPUTED_VALUE"""),"Palanca Emergencia N-200 24530914")</f>
        <v>Palanca Emergencia N-200 24530914</v>
      </c>
      <c r="C6582" s="380" t="str">
        <f>IFERROR(__xludf.DUMMYFUNCTION("""COMPUTED_VALUE"""),"70001989")</f>
        <v>70001989</v>
      </c>
      <c r="D6582" s="380" t="s">
        <v>767</v>
      </c>
      <c r="E6582" s="380" t="s">
        <v>786</v>
      </c>
      <c r="F6582" s="380" t="s">
        <v>1017</v>
      </c>
      <c r="G6582" s="380" t="s">
        <v>1267</v>
      </c>
      <c r="H6582" s="380" t="s">
        <v>771</v>
      </c>
      <c r="I6582" s="380" t="s">
        <v>788</v>
      </c>
      <c r="J6582" s="380" t="s">
        <v>773</v>
      </c>
      <c r="K6582" s="381">
        <v>0.0</v>
      </c>
      <c r="L6582" s="382">
        <v>1.0</v>
      </c>
    </row>
    <row r="6583">
      <c r="A6583" s="380" t="s">
        <v>7457</v>
      </c>
      <c r="B6583" s="380" t="str">
        <f>IFERROR(__xludf.DUMMYFUNCTION("""COMPUTED_VALUE"""),"Pasador Roscado Muelle Del KW 6250")</f>
        <v>Pasador Roscado Muelle Del KW 6250</v>
      </c>
      <c r="C6583" s="380" t="str">
        <f>IFERROR(__xludf.DUMMYFUNCTION("""COMPUTED_VALUE"""),"70001990")</f>
        <v>70001990</v>
      </c>
      <c r="D6583" s="380" t="s">
        <v>767</v>
      </c>
      <c r="E6583" s="380" t="s">
        <v>786</v>
      </c>
      <c r="F6583" s="380" t="s">
        <v>1039</v>
      </c>
      <c r="G6583" s="380" t="s">
        <v>1267</v>
      </c>
      <c r="H6583" s="380" t="s">
        <v>771</v>
      </c>
      <c r="I6583" s="380" t="s">
        <v>788</v>
      </c>
      <c r="J6583" s="380" t="s">
        <v>773</v>
      </c>
      <c r="K6583" s="381">
        <v>71400.0</v>
      </c>
      <c r="L6583" s="382">
        <v>1.0</v>
      </c>
    </row>
    <row r="6584">
      <c r="A6584" s="380" t="s">
        <v>7458</v>
      </c>
      <c r="B6584" s="380" t="str">
        <f>IFERROR(__xludf.DUMMYFUNCTION("""COMPUTED_VALUE"""),"Asiento Eje Redondo Trailer 454877")</f>
        <v>Asiento Eje Redondo Trailer 454877</v>
      </c>
      <c r="C6584" s="380" t="str">
        <f>IFERROR(__xludf.DUMMYFUNCTION("""COMPUTED_VALUE"""),"70001991")</f>
        <v>70001991</v>
      </c>
      <c r="D6584" s="380" t="s">
        <v>767</v>
      </c>
      <c r="E6584" s="380" t="s">
        <v>786</v>
      </c>
      <c r="F6584" s="380" t="s">
        <v>792</v>
      </c>
      <c r="G6584" s="380" t="s">
        <v>1267</v>
      </c>
      <c r="H6584" s="380" t="s">
        <v>771</v>
      </c>
      <c r="I6584" s="380" t="s">
        <v>788</v>
      </c>
      <c r="J6584" s="380" t="s">
        <v>773</v>
      </c>
      <c r="K6584" s="381">
        <v>0.0</v>
      </c>
      <c r="L6584" s="382">
        <v>1.0</v>
      </c>
    </row>
    <row r="6585">
      <c r="A6585" s="380" t="s">
        <v>7459</v>
      </c>
      <c r="B6585" s="380" t="str">
        <f>IFERROR(__xludf.DUMMYFUNCTION("""COMPUTED_VALUE"""),"Guardapolvo Inter Capo Izq Isx 3502327C3")</f>
        <v>Guardapolvo Inter Capo Izq Isx 3502327C3</v>
      </c>
      <c r="C6585" s="380" t="str">
        <f>IFERROR(__xludf.DUMMYFUNCTION("""COMPUTED_VALUE"""),"70001992")</f>
        <v>70001992</v>
      </c>
      <c r="D6585" s="380" t="s">
        <v>767</v>
      </c>
      <c r="E6585" s="380" t="s">
        <v>786</v>
      </c>
      <c r="F6585" s="380" t="s">
        <v>792</v>
      </c>
      <c r="G6585" s="380" t="s">
        <v>1267</v>
      </c>
      <c r="H6585" s="380" t="s">
        <v>771</v>
      </c>
      <c r="I6585" s="380" t="s">
        <v>788</v>
      </c>
      <c r="J6585" s="380" t="s">
        <v>773</v>
      </c>
      <c r="K6585" s="381">
        <v>0.0</v>
      </c>
      <c r="L6585" s="382">
        <v>1.0</v>
      </c>
    </row>
    <row r="6586">
      <c r="A6586" s="380" t="s">
        <v>7460</v>
      </c>
      <c r="B6586" s="380" t="str">
        <f>IFERROR(__xludf.DUMMYFUNCTION("""COMPUTED_VALUE"""),"Guardapolvo Inter Capo Der Isx 3565256C3")</f>
        <v>Guardapolvo Inter Capo Der Isx 3565256C3</v>
      </c>
      <c r="C6586" s="380" t="str">
        <f>IFERROR(__xludf.DUMMYFUNCTION("""COMPUTED_VALUE"""),"70001993")</f>
        <v>70001993</v>
      </c>
      <c r="D6586" s="380" t="s">
        <v>767</v>
      </c>
      <c r="E6586" s="380" t="s">
        <v>786</v>
      </c>
      <c r="F6586" s="380" t="s">
        <v>792</v>
      </c>
      <c r="G6586" s="380" t="s">
        <v>1267</v>
      </c>
      <c r="H6586" s="380" t="s">
        <v>771</v>
      </c>
      <c r="I6586" s="380" t="s">
        <v>788</v>
      </c>
      <c r="J6586" s="380" t="s">
        <v>773</v>
      </c>
      <c r="K6586" s="381">
        <v>0.0</v>
      </c>
      <c r="L6586" s="382">
        <v>1.0</v>
      </c>
    </row>
    <row r="6587">
      <c r="A6587" s="380" t="s">
        <v>7461</v>
      </c>
      <c r="B6587" s="380" t="str">
        <f>IFERROR(__xludf.DUMMYFUNCTION("""COMPUTED_VALUE"""),"Extension Capo Lado Izq Isx M3518979C3")</f>
        <v>Extension Capo Lado Izq Isx M3518979C3</v>
      </c>
      <c r="C6587" s="380" t="str">
        <f>IFERROR(__xludf.DUMMYFUNCTION("""COMPUTED_VALUE"""),"70001994")</f>
        <v>70001994</v>
      </c>
      <c r="D6587" s="380" t="s">
        <v>767</v>
      </c>
      <c r="E6587" s="380" t="s">
        <v>786</v>
      </c>
      <c r="F6587" s="380" t="s">
        <v>792</v>
      </c>
      <c r="G6587" s="380" t="s">
        <v>1267</v>
      </c>
      <c r="H6587" s="380" t="s">
        <v>771</v>
      </c>
      <c r="I6587" s="380" t="s">
        <v>788</v>
      </c>
      <c r="J6587" s="380" t="s">
        <v>773</v>
      </c>
      <c r="K6587" s="381">
        <v>0.0</v>
      </c>
      <c r="L6587" s="382">
        <v>1.0</v>
      </c>
    </row>
    <row r="6588">
      <c r="A6588" s="380" t="s">
        <v>7462</v>
      </c>
      <c r="B6588" s="380" t="str">
        <f>IFERROR(__xludf.DUMMYFUNCTION("""COMPUTED_VALUE"""),"Cartera Puerta Vehiculo Fabricada")</f>
        <v>Cartera Puerta Vehiculo Fabricada</v>
      </c>
      <c r="C6588" s="380" t="str">
        <f>IFERROR(__xludf.DUMMYFUNCTION("""COMPUTED_VALUE"""),"70001995")</f>
        <v>70001995</v>
      </c>
      <c r="D6588" s="380" t="s">
        <v>767</v>
      </c>
      <c r="E6588" s="380" t="s">
        <v>786</v>
      </c>
      <c r="F6588" s="380" t="s">
        <v>792</v>
      </c>
      <c r="G6588" s="380" t="s">
        <v>1267</v>
      </c>
      <c r="H6588" s="380" t="s">
        <v>771</v>
      </c>
      <c r="I6588" s="380" t="s">
        <v>788</v>
      </c>
      <c r="J6588" s="380" t="s">
        <v>773</v>
      </c>
      <c r="K6588" s="381">
        <v>0.0</v>
      </c>
      <c r="L6588" s="382">
        <v>1.0</v>
      </c>
    </row>
    <row r="6589">
      <c r="A6589" s="380" t="s">
        <v>7463</v>
      </c>
      <c r="B6589" s="380" t="str">
        <f>IFERROR(__xludf.DUMMYFUNCTION("""COMPUTED_VALUE"""),"Buje Barra Estab Dir Volkswag 2RF411041")</f>
        <v>Buje Barra Estab Dir Volkswag 2RF411041</v>
      </c>
      <c r="C6589" s="380" t="str">
        <f>IFERROR(__xludf.DUMMYFUNCTION("""COMPUTED_VALUE"""),"70001996")</f>
        <v>70001996</v>
      </c>
      <c r="D6589" s="380" t="s">
        <v>767</v>
      </c>
      <c r="E6589" s="380" t="s">
        <v>786</v>
      </c>
      <c r="F6589" s="380" t="s">
        <v>1039</v>
      </c>
      <c r="G6589" s="380" t="s">
        <v>1267</v>
      </c>
      <c r="H6589" s="380" t="s">
        <v>771</v>
      </c>
      <c r="I6589" s="380" t="s">
        <v>788</v>
      </c>
      <c r="J6589" s="380" t="s">
        <v>773</v>
      </c>
      <c r="K6589" s="381">
        <v>0.0</v>
      </c>
      <c r="L6589" s="382">
        <v>1.0</v>
      </c>
    </row>
    <row r="6590">
      <c r="A6590" s="380" t="s">
        <v>7464</v>
      </c>
      <c r="B6590" s="380" t="str">
        <f>IFERROR(__xludf.DUMMYFUNCTION("""COMPUTED_VALUE"""),"Amortiguador Delantero Volkswagen 12040")</f>
        <v>Amortiguador Delantero Volkswagen 12040</v>
      </c>
      <c r="C6590" s="380" t="str">
        <f>IFERROR(__xludf.DUMMYFUNCTION("""COMPUTED_VALUE"""),"70001997")</f>
        <v>70001997</v>
      </c>
      <c r="D6590" s="380" t="s">
        <v>767</v>
      </c>
      <c r="E6590" s="380" t="s">
        <v>786</v>
      </c>
      <c r="F6590" s="380" t="s">
        <v>1039</v>
      </c>
      <c r="G6590" s="380" t="s">
        <v>1267</v>
      </c>
      <c r="H6590" s="380" t="s">
        <v>771</v>
      </c>
      <c r="I6590" s="380" t="s">
        <v>788</v>
      </c>
      <c r="J6590" s="380" t="s">
        <v>773</v>
      </c>
      <c r="K6590" s="381">
        <v>0.0</v>
      </c>
      <c r="L6590" s="382">
        <v>1.0</v>
      </c>
    </row>
    <row r="6591">
      <c r="A6591" s="380" t="s">
        <v>7465</v>
      </c>
      <c r="B6591" s="380" t="str">
        <f>IFERROR(__xludf.DUMMYFUNCTION("""COMPUTED_VALUE"""),"Amortiguador Trasero Volkswagen 66812")</f>
        <v>Amortiguador Trasero Volkswagen 66812</v>
      </c>
      <c r="C6591" s="380" t="str">
        <f>IFERROR(__xludf.DUMMYFUNCTION("""COMPUTED_VALUE"""),"70001998")</f>
        <v>70001998</v>
      </c>
      <c r="D6591" s="380" t="s">
        <v>767</v>
      </c>
      <c r="E6591" s="380" t="s">
        <v>786</v>
      </c>
      <c r="F6591" s="380" t="s">
        <v>1039</v>
      </c>
      <c r="G6591" s="380" t="s">
        <v>1267</v>
      </c>
      <c r="H6591" s="380" t="s">
        <v>771</v>
      </c>
      <c r="I6591" s="380" t="s">
        <v>788</v>
      </c>
      <c r="J6591" s="380" t="s">
        <v>773</v>
      </c>
      <c r="K6591" s="381">
        <v>0.0</v>
      </c>
      <c r="L6591" s="382">
        <v>1.0</v>
      </c>
    </row>
    <row r="6592">
      <c r="A6592" s="380" t="s">
        <v>7466</v>
      </c>
      <c r="B6592" s="380" t="str">
        <f>IFERROR(__xludf.DUMMYFUNCTION("""COMPUTED_VALUE"""),"Terminal Dir Der Volkswagen T06415712")</f>
        <v>Terminal Dir Der Volkswagen T06415712</v>
      </c>
      <c r="C6592" s="380" t="str">
        <f>IFERROR(__xludf.DUMMYFUNCTION("""COMPUTED_VALUE"""),"70001999")</f>
        <v>70001999</v>
      </c>
      <c r="D6592" s="380" t="s">
        <v>767</v>
      </c>
      <c r="E6592" s="380" t="s">
        <v>786</v>
      </c>
      <c r="F6592" s="380" t="s">
        <v>1039</v>
      </c>
      <c r="G6592" s="380" t="s">
        <v>1267</v>
      </c>
      <c r="H6592" s="380" t="s">
        <v>771</v>
      </c>
      <c r="I6592" s="380" t="s">
        <v>788</v>
      </c>
      <c r="J6592" s="380" t="s">
        <v>773</v>
      </c>
      <c r="K6592" s="381">
        <v>0.0</v>
      </c>
      <c r="L6592" s="382">
        <v>1.0</v>
      </c>
    </row>
    <row r="6593">
      <c r="A6593" s="380" t="s">
        <v>7467</v>
      </c>
      <c r="B6593" s="380" t="str">
        <f>IFERROR(__xludf.DUMMYFUNCTION("""COMPUTED_VALUE"""),"Araña Rueda 6 Esparragos")</f>
        <v>Araña Rueda 6 Esparragos</v>
      </c>
      <c r="C6593" s="380" t="str">
        <f>IFERROR(__xludf.DUMMYFUNCTION("""COMPUTED_VALUE"""),"70002000")</f>
        <v>70002000</v>
      </c>
      <c r="D6593" s="380" t="s">
        <v>767</v>
      </c>
      <c r="E6593" s="380" t="s">
        <v>786</v>
      </c>
      <c r="F6593" s="380" t="s">
        <v>1039</v>
      </c>
      <c r="G6593" s="380" t="s">
        <v>1267</v>
      </c>
      <c r="H6593" s="380" t="s">
        <v>771</v>
      </c>
      <c r="I6593" s="380" t="s">
        <v>788</v>
      </c>
      <c r="J6593" s="380" t="s">
        <v>773</v>
      </c>
      <c r="K6593" s="381">
        <v>0.0</v>
      </c>
      <c r="L6593" s="382">
        <v>1.0</v>
      </c>
    </row>
    <row r="6594">
      <c r="A6594" s="380" t="s">
        <v>7468</v>
      </c>
      <c r="B6594" s="380" t="str">
        <f>IFERROR(__xludf.DUMMYFUNCTION("""COMPUTED_VALUE"""),"Tuberia Refrigerante Motor N200 24527514")</f>
        <v>Tuberia Refrigerante Motor N200 24527514</v>
      </c>
      <c r="C6594" s="380" t="str">
        <f>IFERROR(__xludf.DUMMYFUNCTION("""COMPUTED_VALUE"""),"70002001")</f>
        <v>70002001</v>
      </c>
      <c r="D6594" s="380" t="s">
        <v>767</v>
      </c>
      <c r="E6594" s="380" t="s">
        <v>786</v>
      </c>
      <c r="F6594" s="380" t="s">
        <v>787</v>
      </c>
      <c r="G6594" s="380" t="s">
        <v>1267</v>
      </c>
      <c r="H6594" s="380" t="s">
        <v>771</v>
      </c>
      <c r="I6594" s="380" t="s">
        <v>788</v>
      </c>
      <c r="J6594" s="380" t="s">
        <v>773</v>
      </c>
      <c r="K6594" s="381">
        <v>0.0</v>
      </c>
      <c r="L6594" s="382">
        <v>1.0</v>
      </c>
    </row>
    <row r="6595">
      <c r="A6595" s="380" t="s">
        <v>7469</v>
      </c>
      <c r="B6595" s="380" t="str">
        <f>IFERROR(__xludf.DUMMYFUNCTION("""COMPUTED_VALUE"""),"Cigüeñal Motor Isx 4393462")</f>
        <v>Cigüeñal Motor Isx 4393462</v>
      </c>
      <c r="C6595" s="380" t="str">
        <f>IFERROR(__xludf.DUMMYFUNCTION("""COMPUTED_VALUE"""),"70002002")</f>
        <v>70002002</v>
      </c>
      <c r="D6595" s="380" t="s">
        <v>767</v>
      </c>
      <c r="E6595" s="380" t="s">
        <v>786</v>
      </c>
      <c r="F6595" s="380" t="s">
        <v>787</v>
      </c>
      <c r="G6595" s="380" t="s">
        <v>1267</v>
      </c>
      <c r="H6595" s="380" t="s">
        <v>771</v>
      </c>
      <c r="I6595" s="380" t="s">
        <v>788</v>
      </c>
      <c r="J6595" s="380" t="s">
        <v>773</v>
      </c>
      <c r="K6595" s="381">
        <v>0.0</v>
      </c>
      <c r="L6595" s="382">
        <v>1.0</v>
      </c>
    </row>
    <row r="6596">
      <c r="A6596" s="380" t="s">
        <v>7470</v>
      </c>
      <c r="B6596" s="380" t="str">
        <f>IFERROR(__xludf.DUMMYFUNCTION("""COMPUTED_VALUE"""),"Hoja Muelle Trasero Volkswagen 98007/1")</f>
        <v>Hoja Muelle Trasero Volkswagen 98007/1</v>
      </c>
      <c r="C6596" s="380" t="str">
        <f>IFERROR(__xludf.DUMMYFUNCTION("""COMPUTED_VALUE"""),"70002003")</f>
        <v>70002003</v>
      </c>
      <c r="D6596" s="380" t="s">
        <v>767</v>
      </c>
      <c r="E6596" s="380" t="s">
        <v>786</v>
      </c>
      <c r="F6596" s="380" t="s">
        <v>1039</v>
      </c>
      <c r="G6596" s="380" t="s">
        <v>1267</v>
      </c>
      <c r="H6596" s="380" t="s">
        <v>771</v>
      </c>
      <c r="I6596" s="380" t="s">
        <v>788</v>
      </c>
      <c r="J6596" s="380" t="s">
        <v>773</v>
      </c>
      <c r="K6596" s="381">
        <v>0.0</v>
      </c>
      <c r="L6596" s="382">
        <v>1.0</v>
      </c>
    </row>
    <row r="6597">
      <c r="A6597" s="380" t="s">
        <v>7471</v>
      </c>
      <c r="B6597" s="380" t="str">
        <f>IFERROR(__xludf.DUMMYFUNCTION("""COMPUTED_VALUE"""),"Hoja Muelle Trasero Volkswagen 98007/2")</f>
        <v>Hoja Muelle Trasero Volkswagen 98007/2</v>
      </c>
      <c r="C6597" s="380" t="str">
        <f>IFERROR(__xludf.DUMMYFUNCTION("""COMPUTED_VALUE"""),"70002004")</f>
        <v>70002004</v>
      </c>
      <c r="D6597" s="380" t="s">
        <v>767</v>
      </c>
      <c r="E6597" s="380" t="s">
        <v>786</v>
      </c>
      <c r="F6597" s="380" t="s">
        <v>1039</v>
      </c>
      <c r="G6597" s="380" t="s">
        <v>1267</v>
      </c>
      <c r="H6597" s="380" t="s">
        <v>771</v>
      </c>
      <c r="I6597" s="380" t="s">
        <v>788</v>
      </c>
      <c r="J6597" s="380" t="s">
        <v>773</v>
      </c>
      <c r="K6597" s="381">
        <v>0.0</v>
      </c>
      <c r="L6597" s="382">
        <v>1.0</v>
      </c>
    </row>
    <row r="6598">
      <c r="A6598" s="380" t="s">
        <v>7472</v>
      </c>
      <c r="B6598" s="380" t="str">
        <f>IFERROR(__xludf.DUMMYFUNCTION("""COMPUTED_VALUE"""),"Hoja Muelle Trasero Volkswagen 98007/3")</f>
        <v>Hoja Muelle Trasero Volkswagen 98007/3</v>
      </c>
      <c r="C6598" s="380" t="str">
        <f>IFERROR(__xludf.DUMMYFUNCTION("""COMPUTED_VALUE"""),"70002005")</f>
        <v>70002005</v>
      </c>
      <c r="D6598" s="380" t="s">
        <v>767</v>
      </c>
      <c r="E6598" s="380" t="s">
        <v>786</v>
      </c>
      <c r="F6598" s="380" t="s">
        <v>1039</v>
      </c>
      <c r="G6598" s="380" t="s">
        <v>1267</v>
      </c>
      <c r="H6598" s="380" t="s">
        <v>771</v>
      </c>
      <c r="I6598" s="380" t="s">
        <v>788</v>
      </c>
      <c r="J6598" s="380" t="s">
        <v>773</v>
      </c>
      <c r="K6598" s="381">
        <v>0.0</v>
      </c>
      <c r="L6598" s="382">
        <v>1.0</v>
      </c>
    </row>
    <row r="6599">
      <c r="A6599" s="380" t="s">
        <v>7473</v>
      </c>
      <c r="B6599" s="380" t="str">
        <f>IFERROR(__xludf.DUMMYFUNCTION("""COMPUTED_VALUE"""),"Rociador De Aceite Motor Isx 3687058")</f>
        <v>Rociador De Aceite Motor Isx 3687058</v>
      </c>
      <c r="C6599" s="380" t="str">
        <f>IFERROR(__xludf.DUMMYFUNCTION("""COMPUTED_VALUE"""),"70002006")</f>
        <v>70002006</v>
      </c>
      <c r="D6599" s="380" t="s">
        <v>767</v>
      </c>
      <c r="E6599" s="380" t="s">
        <v>786</v>
      </c>
      <c r="F6599" s="380" t="s">
        <v>787</v>
      </c>
      <c r="G6599" s="380" t="s">
        <v>1267</v>
      </c>
      <c r="H6599" s="380" t="s">
        <v>771</v>
      </c>
      <c r="I6599" s="380" t="s">
        <v>788</v>
      </c>
      <c r="J6599" s="380" t="s">
        <v>773</v>
      </c>
      <c r="K6599" s="381">
        <v>0.0</v>
      </c>
      <c r="L6599" s="382">
        <v>1.0</v>
      </c>
    </row>
    <row r="6600">
      <c r="A6600" s="380" t="s">
        <v>7474</v>
      </c>
      <c r="B6600" s="380" t="str">
        <f>IFERROR(__xludf.DUMMYFUNCTION("""COMPUTED_VALUE"""),"Caucho Camisa Motor Isx 3678738 Rosado")</f>
        <v>Caucho Camisa Motor Isx 3678738 Rosado</v>
      </c>
      <c r="C6600" s="380" t="str">
        <f>IFERROR(__xludf.DUMMYFUNCTION("""COMPUTED_VALUE"""),"70002007")</f>
        <v>70002007</v>
      </c>
      <c r="D6600" s="380" t="s">
        <v>767</v>
      </c>
      <c r="E6600" s="380" t="s">
        <v>786</v>
      </c>
      <c r="F6600" s="380" t="s">
        <v>787</v>
      </c>
      <c r="G6600" s="380" t="s">
        <v>1267</v>
      </c>
      <c r="H6600" s="380" t="s">
        <v>771</v>
      </c>
      <c r="I6600" s="380" t="s">
        <v>788</v>
      </c>
      <c r="J6600" s="380" t="s">
        <v>773</v>
      </c>
      <c r="K6600" s="381">
        <v>0.0</v>
      </c>
      <c r="L6600" s="382">
        <v>1.0</v>
      </c>
    </row>
    <row r="6601">
      <c r="A6601" s="380" t="s">
        <v>7475</v>
      </c>
      <c r="B6601" s="380" t="str">
        <f>IFERROR(__xludf.DUMMYFUNCTION("""COMPUTED_VALUE"""),"Sensor Temp Motor Nkr RW 8980237170")</f>
        <v>Sensor Temp Motor Nkr RW 8980237170</v>
      </c>
      <c r="C6601" s="380" t="str">
        <f>IFERROR(__xludf.DUMMYFUNCTION("""COMPUTED_VALUE"""),"70002008")</f>
        <v>70002008</v>
      </c>
      <c r="D6601" s="380" t="s">
        <v>767</v>
      </c>
      <c r="E6601" s="380" t="s">
        <v>786</v>
      </c>
      <c r="F6601" s="380" t="s">
        <v>998</v>
      </c>
      <c r="G6601" s="380" t="s">
        <v>1267</v>
      </c>
      <c r="H6601" s="380" t="s">
        <v>771</v>
      </c>
      <c r="I6601" s="380" t="s">
        <v>788</v>
      </c>
      <c r="J6601" s="380" t="s">
        <v>773</v>
      </c>
      <c r="K6601" s="381">
        <v>0.0</v>
      </c>
      <c r="L6601" s="382">
        <v>1.0</v>
      </c>
    </row>
    <row r="6602">
      <c r="A6602" s="380" t="s">
        <v>7476</v>
      </c>
      <c r="B6602" s="380" t="str">
        <f>IFERROR(__xludf.DUMMYFUNCTION("""COMPUTED_VALUE"""),"Anillo Sincro 3ra/4ta/5ta N200 24517013")</f>
        <v>Anillo Sincro 3ra/4ta/5ta N200 24517013</v>
      </c>
      <c r="C6602" s="380" t="str">
        <f>IFERROR(__xludf.DUMMYFUNCTION("""COMPUTED_VALUE"""),"70002009")</f>
        <v>70002009</v>
      </c>
      <c r="D6602" s="380" t="s">
        <v>767</v>
      </c>
      <c r="E6602" s="380" t="s">
        <v>786</v>
      </c>
      <c r="F6602" s="380" t="s">
        <v>787</v>
      </c>
      <c r="G6602" s="380" t="s">
        <v>1267</v>
      </c>
      <c r="H6602" s="380" t="s">
        <v>771</v>
      </c>
      <c r="I6602" s="380" t="s">
        <v>788</v>
      </c>
      <c r="J6602" s="380" t="s">
        <v>773</v>
      </c>
      <c r="K6602" s="381">
        <v>0.0</v>
      </c>
      <c r="L6602" s="382">
        <v>1.0</v>
      </c>
    </row>
    <row r="6603">
      <c r="A6603" s="380" t="s">
        <v>7477</v>
      </c>
      <c r="B6603" s="380" t="str">
        <f>IFERROR(__xludf.DUMMYFUNCTION("""COMPUTED_VALUE"""),"Anillo Sincro 1ra/2da N200 24517047")</f>
        <v>Anillo Sincro 1ra/2da N200 24517047</v>
      </c>
      <c r="C6603" s="380" t="str">
        <f>IFERROR(__xludf.DUMMYFUNCTION("""COMPUTED_VALUE"""),"70002010")</f>
        <v>70002010</v>
      </c>
      <c r="D6603" s="380" t="s">
        <v>767</v>
      </c>
      <c r="E6603" s="380" t="s">
        <v>786</v>
      </c>
      <c r="F6603" s="380" t="s">
        <v>787</v>
      </c>
      <c r="G6603" s="380" t="s">
        <v>1267</v>
      </c>
      <c r="H6603" s="380" t="s">
        <v>771</v>
      </c>
      <c r="I6603" s="380" t="s">
        <v>788</v>
      </c>
      <c r="J6603" s="380" t="s">
        <v>773</v>
      </c>
      <c r="K6603" s="381">
        <v>0.0</v>
      </c>
      <c r="L6603" s="382">
        <v>1.0</v>
      </c>
    </row>
    <row r="6604">
      <c r="A6604" s="380" t="s">
        <v>7478</v>
      </c>
      <c r="B6604" s="380" t="str">
        <f>IFERROR(__xludf.DUMMYFUNCTION("""COMPUTED_VALUE"""),"Hoja Resorte Delantera Npr 22916/1")</f>
        <v>Hoja Resorte Delantera Npr 22916/1</v>
      </c>
      <c r="C6604" s="380" t="str">
        <f>IFERROR(__xludf.DUMMYFUNCTION("""COMPUTED_VALUE"""),"70002011")</f>
        <v>70002011</v>
      </c>
      <c r="D6604" s="380" t="s">
        <v>767</v>
      </c>
      <c r="E6604" s="380" t="s">
        <v>786</v>
      </c>
      <c r="F6604" s="380" t="s">
        <v>1039</v>
      </c>
      <c r="G6604" s="380" t="s">
        <v>1267</v>
      </c>
      <c r="H6604" s="380" t="s">
        <v>771</v>
      </c>
      <c r="I6604" s="380" t="s">
        <v>788</v>
      </c>
      <c r="J6604" s="380" t="s">
        <v>773</v>
      </c>
      <c r="K6604" s="381">
        <v>0.0</v>
      </c>
      <c r="L6604" s="382">
        <v>1.0</v>
      </c>
    </row>
    <row r="6605">
      <c r="A6605" s="380" t="s">
        <v>7479</v>
      </c>
      <c r="B6605" s="380" t="str">
        <f>IFERROR(__xludf.DUMMYFUNCTION("""COMPUTED_VALUE"""),"Bomba Aceite Caja 16918 Sb-N14 K-3367")</f>
        <v>Bomba Aceite Caja 16918 Sb-N14 K-3367</v>
      </c>
      <c r="C6605" s="380" t="str">
        <f>IFERROR(__xludf.DUMMYFUNCTION("""COMPUTED_VALUE"""),"70002012")</f>
        <v>70002012</v>
      </c>
      <c r="D6605" s="380" t="s">
        <v>767</v>
      </c>
      <c r="E6605" s="380" t="s">
        <v>786</v>
      </c>
      <c r="F6605" s="380" t="s">
        <v>928</v>
      </c>
      <c r="G6605" s="380" t="s">
        <v>1267</v>
      </c>
      <c r="H6605" s="380" t="s">
        <v>771</v>
      </c>
      <c r="I6605" s="380" t="s">
        <v>788</v>
      </c>
      <c r="J6605" s="380" t="s">
        <v>773</v>
      </c>
      <c r="K6605" s="381">
        <v>0.0</v>
      </c>
      <c r="L6605" s="382">
        <v>1.0</v>
      </c>
    </row>
    <row r="6606">
      <c r="A6606" s="380" t="s">
        <v>7480</v>
      </c>
      <c r="B6606" s="380" t="str">
        <f>IFERROR(__xludf.DUMMYFUNCTION("""COMPUTED_VALUE"""),"Piñon De Rev Caja 11615-12515 SB-16949")</f>
        <v>Piñon De Rev Caja 11615-12515 SB-16949</v>
      </c>
      <c r="C6606" s="380" t="str">
        <f>IFERROR(__xludf.DUMMYFUNCTION("""COMPUTED_VALUE"""),"70002013")</f>
        <v>70002013</v>
      </c>
      <c r="D6606" s="380" t="s">
        <v>767</v>
      </c>
      <c r="E6606" s="380" t="s">
        <v>786</v>
      </c>
      <c r="F6606" s="380" t="s">
        <v>928</v>
      </c>
      <c r="G6606" s="380" t="s">
        <v>1267</v>
      </c>
      <c r="H6606" s="380" t="s">
        <v>771</v>
      </c>
      <c r="I6606" s="380" t="s">
        <v>788</v>
      </c>
      <c r="J6606" s="380" t="s">
        <v>773</v>
      </c>
      <c r="K6606" s="381">
        <v>0.0</v>
      </c>
      <c r="L6606" s="382">
        <v>1.0</v>
      </c>
    </row>
    <row r="6607">
      <c r="A6607" s="380" t="s">
        <v>7481</v>
      </c>
      <c r="B6607" s="380" t="str">
        <f>IFERROR(__xludf.DUMMYFUNCTION("""COMPUTED_VALUE"""),"Torre Mono 14915 Sb-N14 A6848")</f>
        <v>Torre Mono 14915 Sb-N14 A6848</v>
      </c>
      <c r="C6607" s="380" t="str">
        <f>IFERROR(__xludf.DUMMYFUNCTION("""COMPUTED_VALUE"""),"70002014")</f>
        <v>70002014</v>
      </c>
      <c r="D6607" s="380" t="s">
        <v>767</v>
      </c>
      <c r="E6607" s="380" t="s">
        <v>786</v>
      </c>
      <c r="F6607" s="380" t="s">
        <v>928</v>
      </c>
      <c r="G6607" s="380" t="s">
        <v>1267</v>
      </c>
      <c r="H6607" s="380" t="s">
        <v>771</v>
      </c>
      <c r="I6607" s="380" t="s">
        <v>788</v>
      </c>
      <c r="J6607" s="380" t="s">
        <v>773</v>
      </c>
      <c r="K6607" s="381">
        <v>0.0</v>
      </c>
      <c r="L6607" s="382">
        <v>1.0</v>
      </c>
    </row>
    <row r="6608">
      <c r="A6608" s="380" t="s">
        <v>7482</v>
      </c>
      <c r="B6608" s="380" t="str">
        <f>IFERROR(__xludf.DUMMYFUNCTION("""COMPUTED_VALUE"""),"Piñon Mono 14915 Sb-N14 21319")</f>
        <v>Piñon Mono 14915 Sb-N14 21319</v>
      </c>
      <c r="C6608" s="380" t="str">
        <f>IFERROR(__xludf.DUMMYFUNCTION("""COMPUTED_VALUE"""),"70002015")</f>
        <v>70002015</v>
      </c>
      <c r="D6608" s="380" t="s">
        <v>767</v>
      </c>
      <c r="E6608" s="380" t="s">
        <v>786</v>
      </c>
      <c r="F6608" s="380" t="s">
        <v>928</v>
      </c>
      <c r="G6608" s="380" t="s">
        <v>1267</v>
      </c>
      <c r="H6608" s="380" t="s">
        <v>771</v>
      </c>
      <c r="I6608" s="380" t="s">
        <v>788</v>
      </c>
      <c r="J6608" s="380" t="s">
        <v>773</v>
      </c>
      <c r="K6608" s="381">
        <v>0.0</v>
      </c>
      <c r="L6608" s="382">
        <v>1.0</v>
      </c>
    </row>
    <row r="6609">
      <c r="A6609" s="380" t="s">
        <v>7483</v>
      </c>
      <c r="B6609" s="380" t="str">
        <f>IFERROR(__xludf.DUMMYFUNCTION("""COMPUTED_VALUE"""),"Chorote Mono 14915 Sb-N14 A5156")</f>
        <v>Chorote Mono 14915 Sb-N14 A5156</v>
      </c>
      <c r="C6609" s="380" t="str">
        <f>IFERROR(__xludf.DUMMYFUNCTION("""COMPUTED_VALUE"""),"70002016")</f>
        <v>70002016</v>
      </c>
      <c r="D6609" s="380" t="s">
        <v>767</v>
      </c>
      <c r="E6609" s="380" t="s">
        <v>786</v>
      </c>
      <c r="F6609" s="380" t="s">
        <v>928</v>
      </c>
      <c r="G6609" s="380" t="s">
        <v>1267</v>
      </c>
      <c r="H6609" s="380" t="s">
        <v>771</v>
      </c>
      <c r="I6609" s="380" t="s">
        <v>788</v>
      </c>
      <c r="J6609" s="380" t="s">
        <v>773</v>
      </c>
      <c r="K6609" s="381">
        <v>0.0</v>
      </c>
      <c r="L6609" s="382">
        <v>1.0</v>
      </c>
    </row>
    <row r="6610">
      <c r="A6610" s="380" t="s">
        <v>7484</v>
      </c>
      <c r="B6610" s="380" t="str">
        <f>IFERROR(__xludf.DUMMYFUNCTION("""COMPUTED_VALUE"""),"Empaque Tubo Llenado Aceite Motor Isx")</f>
        <v>Empaque Tubo Llenado Aceite Motor Isx</v>
      </c>
      <c r="C6610" s="380" t="str">
        <f>IFERROR(__xludf.DUMMYFUNCTION("""COMPUTED_VALUE"""),"70002017")</f>
        <v>70002017</v>
      </c>
      <c r="D6610" s="380" t="s">
        <v>767</v>
      </c>
      <c r="E6610" s="380" t="s">
        <v>786</v>
      </c>
      <c r="F6610" s="380" t="s">
        <v>787</v>
      </c>
      <c r="G6610" s="380" t="s">
        <v>1267</v>
      </c>
      <c r="H6610" s="380" t="s">
        <v>771</v>
      </c>
      <c r="I6610" s="380" t="s">
        <v>788</v>
      </c>
      <c r="J6610" s="380" t="s">
        <v>773</v>
      </c>
      <c r="K6610" s="381">
        <v>6467.0</v>
      </c>
      <c r="L6610" s="382">
        <v>1.0</v>
      </c>
    </row>
    <row r="6611">
      <c r="A6611" s="380" t="s">
        <v>7485</v>
      </c>
      <c r="B6611" s="380" t="str">
        <f>IFERROR(__xludf.DUMMYFUNCTION("""COMPUTED_VALUE"""),"Gorro Valvula Culata Motor Isx 4026791")</f>
        <v>Gorro Valvula Culata Motor Isx 4026791</v>
      </c>
      <c r="C6611" s="380" t="str">
        <f>IFERROR(__xludf.DUMMYFUNCTION("""COMPUTED_VALUE"""),"70002018")</f>
        <v>70002018</v>
      </c>
      <c r="D6611" s="380" t="s">
        <v>767</v>
      </c>
      <c r="E6611" s="380" t="s">
        <v>786</v>
      </c>
      <c r="F6611" s="380" t="s">
        <v>787</v>
      </c>
      <c r="G6611" s="380" t="s">
        <v>1267</v>
      </c>
      <c r="H6611" s="380" t="s">
        <v>771</v>
      </c>
      <c r="I6611" s="380" t="s">
        <v>788</v>
      </c>
      <c r="J6611" s="380" t="s">
        <v>773</v>
      </c>
      <c r="K6611" s="381">
        <v>0.0</v>
      </c>
      <c r="L6611" s="382">
        <v>1.0</v>
      </c>
    </row>
    <row r="6612">
      <c r="A6612" s="380" t="s">
        <v>7486</v>
      </c>
      <c r="B6612" s="380" t="str">
        <f>IFERROR(__xludf.DUMMYFUNCTION("""COMPUTED_VALUE"""),"Pin Eje T/Fijo Caja 14915 Eag 4302082")</f>
        <v>Pin Eje T/Fijo Caja 14915 Eag 4302082</v>
      </c>
      <c r="C6612" s="380" t="str">
        <f>IFERROR(__xludf.DUMMYFUNCTION("""COMPUTED_VALUE"""),"70002019")</f>
        <v>70002019</v>
      </c>
      <c r="D6612" s="380" t="s">
        <v>767</v>
      </c>
      <c r="E6612" s="380" t="s">
        <v>786</v>
      </c>
      <c r="F6612" s="380" t="s">
        <v>928</v>
      </c>
      <c r="G6612" s="380" t="s">
        <v>1267</v>
      </c>
      <c r="H6612" s="380" t="s">
        <v>771</v>
      </c>
      <c r="I6612" s="380" t="s">
        <v>788</v>
      </c>
      <c r="J6612" s="380" t="s">
        <v>773</v>
      </c>
      <c r="K6612" s="381">
        <v>0.0</v>
      </c>
      <c r="L6612" s="382">
        <v>1.0</v>
      </c>
    </row>
    <row r="6613">
      <c r="A6613" s="380" t="s">
        <v>7487</v>
      </c>
      <c r="B6613" s="380" t="str">
        <f>IFERROR(__xludf.DUMMYFUNCTION("""COMPUTED_VALUE"""),"Camisa Motor Nkr 8971766870-50")</f>
        <v>Camisa Motor Nkr 8971766870-50</v>
      </c>
      <c r="C6613" s="380" t="str">
        <f>IFERROR(__xludf.DUMMYFUNCTION("""COMPUTED_VALUE"""),"70002020")</f>
        <v>70002020</v>
      </c>
      <c r="D6613" s="380" t="s">
        <v>767</v>
      </c>
      <c r="E6613" s="380" t="s">
        <v>786</v>
      </c>
      <c r="F6613" s="380" t="s">
        <v>787</v>
      </c>
      <c r="G6613" s="380" t="s">
        <v>1267</v>
      </c>
      <c r="H6613" s="380" t="s">
        <v>771</v>
      </c>
      <c r="I6613" s="380" t="s">
        <v>788</v>
      </c>
      <c r="J6613" s="380" t="s">
        <v>773</v>
      </c>
      <c r="K6613" s="381">
        <v>0.0</v>
      </c>
      <c r="L6613" s="382">
        <v>1.0</v>
      </c>
    </row>
    <row r="6614">
      <c r="A6614" s="380" t="s">
        <v>7488</v>
      </c>
      <c r="B6614" s="380" t="str">
        <f>IFERROR(__xludf.DUMMYFUNCTION("""COMPUTED_VALUE"""),"Balancin Trailer Utility 9116")</f>
        <v>Balancin Trailer Utility 9116</v>
      </c>
      <c r="C6614" s="380" t="str">
        <f>IFERROR(__xludf.DUMMYFUNCTION("""COMPUTED_VALUE"""),"70002021")</f>
        <v>70002021</v>
      </c>
      <c r="D6614" s="380" t="s">
        <v>767</v>
      </c>
      <c r="E6614" s="380" t="s">
        <v>786</v>
      </c>
      <c r="F6614" s="380" t="s">
        <v>1039</v>
      </c>
      <c r="G6614" s="380" t="s">
        <v>1267</v>
      </c>
      <c r="H6614" s="380" t="s">
        <v>771</v>
      </c>
      <c r="I6614" s="380" t="s">
        <v>788</v>
      </c>
      <c r="J6614" s="380" t="s">
        <v>773</v>
      </c>
      <c r="K6614" s="381">
        <v>0.0</v>
      </c>
      <c r="L6614" s="382">
        <v>1.0</v>
      </c>
    </row>
    <row r="6615">
      <c r="A6615" s="380" t="s">
        <v>7489</v>
      </c>
      <c r="B6615" s="380" t="str">
        <f>IFERROR(__xludf.DUMMYFUNCTION("""COMPUTED_VALUE"""),"Buje Balancin Utility 1 1/8 Ref 9955")</f>
        <v>Buje Balancin Utility 1 1/8 Ref 9955</v>
      </c>
      <c r="C6615" s="380" t="str">
        <f>IFERROR(__xludf.DUMMYFUNCTION("""COMPUTED_VALUE"""),"70002022")</f>
        <v>70002022</v>
      </c>
      <c r="D6615" s="380" t="s">
        <v>767</v>
      </c>
      <c r="E6615" s="380" t="s">
        <v>786</v>
      </c>
      <c r="F6615" s="380" t="s">
        <v>1039</v>
      </c>
      <c r="G6615" s="380" t="s">
        <v>1267</v>
      </c>
      <c r="H6615" s="380" t="s">
        <v>771</v>
      </c>
      <c r="I6615" s="380" t="s">
        <v>788</v>
      </c>
      <c r="J6615" s="380" t="s">
        <v>773</v>
      </c>
      <c r="K6615" s="381">
        <v>0.0</v>
      </c>
      <c r="L6615" s="382">
        <v>1.0</v>
      </c>
    </row>
    <row r="6616">
      <c r="A6616" s="380" t="s">
        <v>7490</v>
      </c>
      <c r="B6616" s="380" t="str">
        <f>IFERROR(__xludf.DUMMYFUNCTION("""COMPUTED_VALUE"""),"Grapa Muelle 7/8X5X15 Trailer Recta 1826")</f>
        <v>Grapa Muelle 7/8X5X15 Trailer Recta 1826</v>
      </c>
      <c r="C6616" s="380" t="str">
        <f>IFERROR(__xludf.DUMMYFUNCTION("""COMPUTED_VALUE"""),"70002023")</f>
        <v>70002023</v>
      </c>
      <c r="D6616" s="380" t="s">
        <v>767</v>
      </c>
      <c r="E6616" s="380" t="s">
        <v>786</v>
      </c>
      <c r="F6616" s="380" t="s">
        <v>1039</v>
      </c>
      <c r="G6616" s="380" t="s">
        <v>1267</v>
      </c>
      <c r="H6616" s="380" t="s">
        <v>771</v>
      </c>
      <c r="I6616" s="380" t="s">
        <v>788</v>
      </c>
      <c r="J6616" s="380" t="s">
        <v>773</v>
      </c>
      <c r="K6616" s="381">
        <v>0.0</v>
      </c>
      <c r="L6616" s="382">
        <v>1.0</v>
      </c>
    </row>
    <row r="6617">
      <c r="A6617" s="380" t="s">
        <v>7491</v>
      </c>
      <c r="B6617" s="380" t="str">
        <f>IFERROR(__xludf.DUMMYFUNCTION("""COMPUTED_VALUE"""),"Abrazdera Tanque Acpm Isx 3566134C1")</f>
        <v>Abrazdera Tanque Acpm Isx 3566134C1</v>
      </c>
      <c r="C6617" s="380" t="str">
        <f>IFERROR(__xludf.DUMMYFUNCTION("""COMPUTED_VALUE"""),"70002024")</f>
        <v>70002024</v>
      </c>
      <c r="D6617" s="380" t="s">
        <v>767</v>
      </c>
      <c r="E6617" s="380" t="s">
        <v>786</v>
      </c>
      <c r="F6617" s="380" t="s">
        <v>792</v>
      </c>
      <c r="G6617" s="380" t="s">
        <v>1267</v>
      </c>
      <c r="H6617" s="380" t="s">
        <v>771</v>
      </c>
      <c r="I6617" s="380" t="s">
        <v>788</v>
      </c>
      <c r="J6617" s="380" t="s">
        <v>773</v>
      </c>
      <c r="K6617" s="381">
        <v>0.0</v>
      </c>
      <c r="L6617" s="382">
        <v>1.0</v>
      </c>
    </row>
    <row r="6618">
      <c r="A6618" s="380" t="s">
        <v>7492</v>
      </c>
      <c r="B6618" s="380" t="str">
        <f>IFERROR(__xludf.DUMMYFUNCTION("""COMPUTED_VALUE"""),"Tubo Suministro Aceite Turbo Isx 3681718")</f>
        <v>Tubo Suministro Aceite Turbo Isx 3681718</v>
      </c>
      <c r="C6618" s="380" t="str">
        <f>IFERROR(__xludf.DUMMYFUNCTION("""COMPUTED_VALUE"""),"70002025")</f>
        <v>70002025</v>
      </c>
      <c r="D6618" s="380" t="s">
        <v>767</v>
      </c>
      <c r="E6618" s="380" t="s">
        <v>786</v>
      </c>
      <c r="F6618" s="380" t="s">
        <v>787</v>
      </c>
      <c r="G6618" s="380" t="s">
        <v>1267</v>
      </c>
      <c r="H6618" s="380" t="s">
        <v>771</v>
      </c>
      <c r="I6618" s="380" t="s">
        <v>788</v>
      </c>
      <c r="J6618" s="380" t="s">
        <v>773</v>
      </c>
      <c r="K6618" s="381">
        <v>0.0</v>
      </c>
      <c r="L6618" s="382">
        <v>1.0</v>
      </c>
    </row>
    <row r="6619">
      <c r="A6619" s="380" t="s">
        <v>7493</v>
      </c>
      <c r="B6619" s="380" t="str">
        <f>IFERROR(__xludf.DUMMYFUNCTION("""COMPUTED_VALUE"""),"Hoja Resorte Trasera Isx 55119/2V")</f>
        <v>Hoja Resorte Trasera Isx 55119/2V</v>
      </c>
      <c r="C6619" s="380" t="str">
        <f>IFERROR(__xludf.DUMMYFUNCTION("""COMPUTED_VALUE"""),"70002026")</f>
        <v>70002026</v>
      </c>
      <c r="D6619" s="380" t="s">
        <v>767</v>
      </c>
      <c r="E6619" s="380" t="s">
        <v>786</v>
      </c>
      <c r="F6619" s="380" t="s">
        <v>1039</v>
      </c>
      <c r="G6619" s="380" t="s">
        <v>1267</v>
      </c>
      <c r="H6619" s="380" t="s">
        <v>771</v>
      </c>
      <c r="I6619" s="380" t="s">
        <v>788</v>
      </c>
      <c r="J6619" s="380" t="s">
        <v>773</v>
      </c>
      <c r="K6619" s="381">
        <v>0.0</v>
      </c>
      <c r="L6619" s="382">
        <v>1.0</v>
      </c>
    </row>
    <row r="6620">
      <c r="A6620" s="380" t="s">
        <v>7494</v>
      </c>
      <c r="B6620" s="380" t="str">
        <f>IFERROR(__xludf.DUMMYFUNCTION("""COMPUTED_VALUE"""),"Balinera Cardan T S374041061")</f>
        <v>Balinera Cardan T S374041061</v>
      </c>
      <c r="C6620" s="380" t="str">
        <f>IFERROR(__xludf.DUMMYFUNCTION("""COMPUTED_VALUE"""),"70002027")</f>
        <v>70002027</v>
      </c>
      <c r="D6620" s="380" t="s">
        <v>767</v>
      </c>
      <c r="E6620" s="380" t="s">
        <v>786</v>
      </c>
      <c r="F6620" s="380" t="s">
        <v>5683</v>
      </c>
      <c r="G6620" s="380" t="s">
        <v>1267</v>
      </c>
      <c r="H6620" s="380" t="s">
        <v>771</v>
      </c>
      <c r="I6620" s="380" t="s">
        <v>788</v>
      </c>
      <c r="J6620" s="380" t="s">
        <v>773</v>
      </c>
      <c r="K6620" s="381">
        <v>0.0</v>
      </c>
      <c r="L6620" s="382">
        <v>1.0</v>
      </c>
    </row>
    <row r="6621">
      <c r="A6621" s="380" t="s">
        <v>7495</v>
      </c>
      <c r="B6621" s="380" t="str">
        <f>IFERROR(__xludf.DUMMYFUNCTION("""COMPUTED_VALUE"""),"Kit Corona/Speed Trasm N200 24528000")</f>
        <v>Kit Corona/Speed Trasm N200 24528000</v>
      </c>
      <c r="C6621" s="380" t="str">
        <f>IFERROR(__xludf.DUMMYFUNCTION("""COMPUTED_VALUE"""),"70002028")</f>
        <v>70002028</v>
      </c>
      <c r="D6621" s="380" t="s">
        <v>767</v>
      </c>
      <c r="E6621" s="380" t="s">
        <v>786</v>
      </c>
      <c r="F6621" s="380" t="s">
        <v>5683</v>
      </c>
      <c r="G6621" s="380" t="s">
        <v>1267</v>
      </c>
      <c r="H6621" s="380" t="s">
        <v>771</v>
      </c>
      <c r="I6621" s="380" t="s">
        <v>788</v>
      </c>
      <c r="J6621" s="380" t="s">
        <v>773</v>
      </c>
      <c r="K6621" s="381">
        <v>0.0</v>
      </c>
      <c r="L6621" s="382">
        <v>1.0</v>
      </c>
    </row>
    <row r="6622">
      <c r="A6622" s="380" t="s">
        <v>7496</v>
      </c>
      <c r="B6622" s="380" t="str">
        <f>IFERROR(__xludf.DUMMYFUNCTION("""COMPUTED_VALUE"""),"Tubo Rociador Aceite M Nkr 8944697093")</f>
        <v>Tubo Rociador Aceite M Nkr 8944697093</v>
      </c>
      <c r="C6622" s="380" t="str">
        <f>IFERROR(__xludf.DUMMYFUNCTION("""COMPUTED_VALUE"""),"70002029")</f>
        <v>70002029</v>
      </c>
      <c r="D6622" s="380" t="s">
        <v>767</v>
      </c>
      <c r="E6622" s="380" t="s">
        <v>786</v>
      </c>
      <c r="F6622" s="380" t="s">
        <v>787</v>
      </c>
      <c r="G6622" s="380" t="s">
        <v>1267</v>
      </c>
      <c r="H6622" s="380" t="s">
        <v>771</v>
      </c>
      <c r="I6622" s="380" t="s">
        <v>788</v>
      </c>
      <c r="J6622" s="380" t="s">
        <v>773</v>
      </c>
      <c r="K6622" s="381">
        <v>0.0</v>
      </c>
      <c r="L6622" s="382">
        <v>1.0</v>
      </c>
    </row>
    <row r="6623">
      <c r="A6623" s="380" t="s">
        <v>7497</v>
      </c>
      <c r="B6623" s="380" t="str">
        <f>IFERROR(__xludf.DUMMYFUNCTION("""COMPUTED_VALUE"""),"Juego Anillos Piston Nkr 5873110820")</f>
        <v>Juego Anillos Piston Nkr 5873110820</v>
      </c>
      <c r="C6623" s="380" t="str">
        <f>IFERROR(__xludf.DUMMYFUNCTION("""COMPUTED_VALUE"""),"70002030")</f>
        <v>70002030</v>
      </c>
      <c r="D6623" s="380" t="s">
        <v>767</v>
      </c>
      <c r="E6623" s="380" t="s">
        <v>786</v>
      </c>
      <c r="F6623" s="380" t="s">
        <v>787</v>
      </c>
      <c r="G6623" s="380" t="s">
        <v>1267</v>
      </c>
      <c r="H6623" s="380" t="s">
        <v>771</v>
      </c>
      <c r="I6623" s="380" t="s">
        <v>788</v>
      </c>
      <c r="J6623" s="380" t="s">
        <v>773</v>
      </c>
      <c r="K6623" s="381">
        <v>0.0</v>
      </c>
      <c r="L6623" s="382">
        <v>1.0</v>
      </c>
    </row>
    <row r="6624">
      <c r="A6624" s="380" t="s">
        <v>7498</v>
      </c>
      <c r="B6624" s="380" t="str">
        <f>IFERROR(__xludf.DUMMYFUNCTION("""COMPUTED_VALUE"""),"Biela Motor Isx 405942900RX")</f>
        <v>Biela Motor Isx 405942900RX</v>
      </c>
      <c r="C6624" s="380" t="str">
        <f>IFERROR(__xludf.DUMMYFUNCTION("""COMPUTED_VALUE"""),"70002031")</f>
        <v>70002031</v>
      </c>
      <c r="D6624" s="380" t="s">
        <v>767</v>
      </c>
      <c r="E6624" s="380" t="s">
        <v>786</v>
      </c>
      <c r="F6624" s="380" t="s">
        <v>787</v>
      </c>
      <c r="G6624" s="380" t="s">
        <v>1267</v>
      </c>
      <c r="H6624" s="380" t="s">
        <v>771</v>
      </c>
      <c r="I6624" s="380" t="s">
        <v>788</v>
      </c>
      <c r="J6624" s="380" t="s">
        <v>773</v>
      </c>
      <c r="K6624" s="381">
        <v>0.0</v>
      </c>
      <c r="L6624" s="382">
        <v>1.0</v>
      </c>
    </row>
    <row r="6625">
      <c r="A6625" s="380" t="s">
        <v>7499</v>
      </c>
      <c r="B6625" s="380" t="str">
        <f>IFERROR(__xludf.DUMMYFUNCTION("""COMPUTED_VALUE"""),"Cacho Cardan Toyota 3723537020")</f>
        <v>Cacho Cardan Toyota 3723537020</v>
      </c>
      <c r="C6625" s="380" t="str">
        <f>IFERROR(__xludf.DUMMYFUNCTION("""COMPUTED_VALUE"""),"70002032")</f>
        <v>70002032</v>
      </c>
      <c r="D6625" s="380" t="s">
        <v>767</v>
      </c>
      <c r="E6625" s="380" t="s">
        <v>786</v>
      </c>
      <c r="F6625" s="380" t="s">
        <v>5683</v>
      </c>
      <c r="G6625" s="380" t="s">
        <v>1267</v>
      </c>
      <c r="H6625" s="380" t="s">
        <v>771</v>
      </c>
      <c r="I6625" s="380" t="s">
        <v>788</v>
      </c>
      <c r="J6625" s="380" t="s">
        <v>773</v>
      </c>
      <c r="K6625" s="381">
        <v>0.0</v>
      </c>
      <c r="L6625" s="382">
        <v>1.0</v>
      </c>
    </row>
    <row r="6626">
      <c r="A6626" s="380" t="s">
        <v>7500</v>
      </c>
      <c r="B6626" s="380" t="str">
        <f>IFERROR(__xludf.DUMMYFUNCTION("""COMPUTED_VALUE"""),"Caucho Soporte Tanque Acpm Eag 3547709C2")</f>
        <v>Caucho Soporte Tanque Acpm Eag 3547709C2</v>
      </c>
      <c r="C6626" s="380" t="str">
        <f>IFERROR(__xludf.DUMMYFUNCTION("""COMPUTED_VALUE"""),"70002033")</f>
        <v>70002033</v>
      </c>
      <c r="D6626" s="380" t="s">
        <v>767</v>
      </c>
      <c r="E6626" s="380" t="s">
        <v>786</v>
      </c>
      <c r="F6626" s="380" t="s">
        <v>792</v>
      </c>
      <c r="G6626" s="380" t="s">
        <v>1267</v>
      </c>
      <c r="H6626" s="380" t="s">
        <v>771</v>
      </c>
      <c r="I6626" s="380" t="s">
        <v>788</v>
      </c>
      <c r="J6626" s="380" t="s">
        <v>773</v>
      </c>
      <c r="K6626" s="381">
        <v>0.0</v>
      </c>
      <c r="L6626" s="382">
        <v>1.0</v>
      </c>
    </row>
    <row r="6627">
      <c r="A6627" s="380" t="s">
        <v>7501</v>
      </c>
      <c r="B6627" s="380" t="str">
        <f>IFERROR(__xludf.DUMMYFUNCTION("""COMPUTED_VALUE"""),"Kit Lock Porta Contenedor 628")</f>
        <v>Kit Lock Porta Contenedor 628</v>
      </c>
      <c r="C6627" s="380" t="str">
        <f>IFERROR(__xludf.DUMMYFUNCTION("""COMPUTED_VALUE"""),"70002034")</f>
        <v>70002034</v>
      </c>
      <c r="D6627" s="380" t="s">
        <v>767</v>
      </c>
      <c r="E6627" s="380" t="s">
        <v>786</v>
      </c>
      <c r="F6627" s="380" t="s">
        <v>792</v>
      </c>
      <c r="G6627" s="380" t="s">
        <v>1267</v>
      </c>
      <c r="H6627" s="380" t="s">
        <v>771</v>
      </c>
      <c r="I6627" s="380" t="s">
        <v>788</v>
      </c>
      <c r="J6627" s="380" t="s">
        <v>773</v>
      </c>
      <c r="K6627" s="381">
        <v>0.0</v>
      </c>
      <c r="L6627" s="382">
        <v>1.0</v>
      </c>
    </row>
    <row r="6628">
      <c r="A6628" s="380" t="s">
        <v>7502</v>
      </c>
      <c r="B6628" s="380" t="str">
        <f>IFERROR(__xludf.DUMMYFUNCTION("""COMPUTED_VALUE"""),"Panel Lateral Inf Cabina Eag 598536P4")</f>
        <v>Panel Lateral Inf Cabina Eag 598536P4</v>
      </c>
      <c r="C6628" s="380" t="str">
        <f>IFERROR(__xludf.DUMMYFUNCTION("""COMPUTED_VALUE"""),"70002035")</f>
        <v>70002035</v>
      </c>
      <c r="D6628" s="380" t="s">
        <v>767</v>
      </c>
      <c r="E6628" s="380" t="s">
        <v>786</v>
      </c>
      <c r="F6628" s="380" t="s">
        <v>792</v>
      </c>
      <c r="G6628" s="380" t="s">
        <v>1267</v>
      </c>
      <c r="H6628" s="380" t="s">
        <v>771</v>
      </c>
      <c r="I6628" s="380" t="s">
        <v>788</v>
      </c>
      <c r="J6628" s="380" t="s">
        <v>773</v>
      </c>
      <c r="K6628" s="381">
        <v>201943.0</v>
      </c>
      <c r="L6628" s="382">
        <v>1.0</v>
      </c>
    </row>
    <row r="6629">
      <c r="A6629" s="380" t="s">
        <v>7503</v>
      </c>
      <c r="B6629" s="380" t="str">
        <f>IFERROR(__xludf.DUMMYFUNCTION("""COMPUTED_VALUE"""),"Lampara Luz Puerta Isx 1658560C91")</f>
        <v>Lampara Luz Puerta Isx 1658560C91</v>
      </c>
      <c r="C6629" s="380" t="str">
        <f>IFERROR(__xludf.DUMMYFUNCTION("""COMPUTED_VALUE"""),"70002036")</f>
        <v>70002036</v>
      </c>
      <c r="D6629" s="380" t="s">
        <v>767</v>
      </c>
      <c r="E6629" s="380" t="s">
        <v>786</v>
      </c>
      <c r="F6629" s="380" t="s">
        <v>998</v>
      </c>
      <c r="G6629" s="380" t="s">
        <v>1267</v>
      </c>
      <c r="H6629" s="380" t="s">
        <v>771</v>
      </c>
      <c r="I6629" s="380" t="s">
        <v>788</v>
      </c>
      <c r="J6629" s="380" t="s">
        <v>773</v>
      </c>
      <c r="K6629" s="381">
        <v>0.0</v>
      </c>
      <c r="L6629" s="382">
        <v>1.0</v>
      </c>
    </row>
    <row r="6630">
      <c r="A6630" s="380" t="s">
        <v>7504</v>
      </c>
      <c r="B6630" s="380" t="str">
        <f>IFERROR(__xludf.DUMMYFUNCTION("""COMPUTED_VALUE"""),"Empaque Inf Tipo Cortina Nkr PU-5735")</f>
        <v>Empaque Inf Tipo Cortina Nkr PU-5735</v>
      </c>
      <c r="C6630" s="380" t="str">
        <f>IFERROR(__xludf.DUMMYFUNCTION("""COMPUTED_VALUE"""),"70002037")</f>
        <v>70002037</v>
      </c>
      <c r="D6630" s="380" t="s">
        <v>767</v>
      </c>
      <c r="E6630" s="380" t="s">
        <v>786</v>
      </c>
      <c r="F6630" s="380" t="s">
        <v>792</v>
      </c>
      <c r="G6630" s="380" t="s">
        <v>1267</v>
      </c>
      <c r="H6630" s="380" t="s">
        <v>771</v>
      </c>
      <c r="I6630" s="380" t="s">
        <v>788</v>
      </c>
      <c r="J6630" s="380" t="s">
        <v>773</v>
      </c>
      <c r="K6630" s="381">
        <v>0.0</v>
      </c>
      <c r="L6630" s="382">
        <v>1.0</v>
      </c>
    </row>
    <row r="6631">
      <c r="A6631" s="380" t="s">
        <v>7505</v>
      </c>
      <c r="B6631" s="380" t="str">
        <f>IFERROR(__xludf.DUMMYFUNCTION("""COMPUTED_VALUE"""),"Bisagra Central Tipo Cortina Nkr PU-15")</f>
        <v>Bisagra Central Tipo Cortina Nkr PU-15</v>
      </c>
      <c r="C6631" s="380" t="str">
        <f>IFERROR(__xludf.DUMMYFUNCTION("""COMPUTED_VALUE"""),"70002038")</f>
        <v>70002038</v>
      </c>
      <c r="D6631" s="380" t="s">
        <v>767</v>
      </c>
      <c r="E6631" s="380" t="s">
        <v>786</v>
      </c>
      <c r="F6631" s="380" t="s">
        <v>792</v>
      </c>
      <c r="G6631" s="380" t="s">
        <v>1267</v>
      </c>
      <c r="H6631" s="380" t="s">
        <v>771</v>
      </c>
      <c r="I6631" s="380" t="s">
        <v>788</v>
      </c>
      <c r="J6631" s="380" t="s">
        <v>773</v>
      </c>
      <c r="K6631" s="381">
        <v>0.0</v>
      </c>
      <c r="L6631" s="382">
        <v>1.0</v>
      </c>
    </row>
    <row r="6632">
      <c r="A6632" s="380" t="s">
        <v>7506</v>
      </c>
      <c r="B6632" s="380" t="str">
        <f>IFERROR(__xludf.DUMMYFUNCTION("""COMPUTED_VALUE"""),"Rache Freno Del Izq Eagle Isx R802688")</f>
        <v>Rache Freno Del Izq Eagle Isx R802688</v>
      </c>
      <c r="C6632" s="380" t="str">
        <f>IFERROR(__xludf.DUMMYFUNCTION("""COMPUTED_VALUE"""),"70002039")</f>
        <v>70002039</v>
      </c>
      <c r="D6632" s="380" t="s">
        <v>767</v>
      </c>
      <c r="E6632" s="380" t="s">
        <v>786</v>
      </c>
      <c r="F6632" s="380" t="s">
        <v>1017</v>
      </c>
      <c r="G6632" s="380" t="s">
        <v>1267</v>
      </c>
      <c r="H6632" s="380" t="s">
        <v>771</v>
      </c>
      <c r="I6632" s="380" t="s">
        <v>788</v>
      </c>
      <c r="J6632" s="380" t="s">
        <v>773</v>
      </c>
      <c r="K6632" s="381">
        <v>0.0</v>
      </c>
      <c r="L6632" s="382">
        <v>1.0</v>
      </c>
    </row>
    <row r="6633">
      <c r="A6633" s="380" t="s">
        <v>7507</v>
      </c>
      <c r="B6633" s="380" t="str">
        <f>IFERROR(__xludf.DUMMYFUNCTION("""COMPUTED_VALUE"""),"Rache Freno Del Der Eagle Isx R802689")</f>
        <v>Rache Freno Del Der Eagle Isx R802689</v>
      </c>
      <c r="C6633" s="380" t="str">
        <f>IFERROR(__xludf.DUMMYFUNCTION("""COMPUTED_VALUE"""),"70002040")</f>
        <v>70002040</v>
      </c>
      <c r="D6633" s="380" t="s">
        <v>767</v>
      </c>
      <c r="E6633" s="380" t="s">
        <v>786</v>
      </c>
      <c r="F6633" s="380" t="s">
        <v>1017</v>
      </c>
      <c r="G6633" s="380" t="s">
        <v>1267</v>
      </c>
      <c r="H6633" s="380" t="s">
        <v>771</v>
      </c>
      <c r="I6633" s="380" t="s">
        <v>788</v>
      </c>
      <c r="J6633" s="380" t="s">
        <v>773</v>
      </c>
      <c r="K6633" s="381">
        <v>0.0</v>
      </c>
      <c r="L6633" s="382">
        <v>1.0</v>
      </c>
    </row>
    <row r="6634">
      <c r="A6634" s="380" t="s">
        <v>7508</v>
      </c>
      <c r="B6634" s="380" t="str">
        <f>IFERROR(__xludf.DUMMYFUNCTION("""COMPUTED_VALUE"""),"Leva Freno Tras Izq Eagle Isx 2210W7537")</f>
        <v>Leva Freno Tras Izq Eagle Isx 2210W7537</v>
      </c>
      <c r="C6634" s="380" t="str">
        <f>IFERROR(__xludf.DUMMYFUNCTION("""COMPUTED_VALUE"""),"70002041")</f>
        <v>70002041</v>
      </c>
      <c r="D6634" s="380" t="s">
        <v>767</v>
      </c>
      <c r="E6634" s="380" t="s">
        <v>786</v>
      </c>
      <c r="F6634" s="380" t="s">
        <v>1017</v>
      </c>
      <c r="G6634" s="380" t="s">
        <v>1267</v>
      </c>
      <c r="H6634" s="380" t="s">
        <v>771</v>
      </c>
      <c r="I6634" s="380" t="s">
        <v>788</v>
      </c>
      <c r="J6634" s="380" t="s">
        <v>773</v>
      </c>
      <c r="K6634" s="381">
        <v>150000.0</v>
      </c>
      <c r="L6634" s="382">
        <v>1.0</v>
      </c>
    </row>
    <row r="6635">
      <c r="A6635" s="380" t="s">
        <v>7509</v>
      </c>
      <c r="B6635" s="380" t="str">
        <f>IFERROR(__xludf.DUMMYFUNCTION("""COMPUTED_VALUE"""),"Piñon T/Fijo Caja 16918 Sb N14 20840")</f>
        <v>Piñon T/Fijo Caja 16918 Sb N14 20840</v>
      </c>
      <c r="C6635" s="380" t="str">
        <f>IFERROR(__xludf.DUMMYFUNCTION("""COMPUTED_VALUE"""),"70002042")</f>
        <v>70002042</v>
      </c>
      <c r="D6635" s="380" t="s">
        <v>767</v>
      </c>
      <c r="E6635" s="380" t="s">
        <v>786</v>
      </c>
      <c r="F6635" s="380" t="s">
        <v>928</v>
      </c>
      <c r="G6635" s="380" t="s">
        <v>1267</v>
      </c>
      <c r="H6635" s="380" t="s">
        <v>771</v>
      </c>
      <c r="I6635" s="380" t="s">
        <v>788</v>
      </c>
      <c r="J6635" s="380" t="s">
        <v>773</v>
      </c>
      <c r="K6635" s="381">
        <v>0.0</v>
      </c>
      <c r="L6635" s="382">
        <v>1.0</v>
      </c>
    </row>
    <row r="6636">
      <c r="A6636" s="380" t="s">
        <v>7510</v>
      </c>
      <c r="B6636" s="380" t="str">
        <f>IFERROR(__xludf.DUMMYFUNCTION("""COMPUTED_VALUE"""),"Panel Frontal Cabina Hino 5570037120")</f>
        <v>Panel Frontal Cabina Hino 5570037120</v>
      </c>
      <c r="C6636" s="380" t="str">
        <f>IFERROR(__xludf.DUMMYFUNCTION("""COMPUTED_VALUE"""),"70002043")</f>
        <v>70002043</v>
      </c>
      <c r="D6636" s="380" t="s">
        <v>767</v>
      </c>
      <c r="E6636" s="380" t="s">
        <v>786</v>
      </c>
      <c r="F6636" s="380" t="s">
        <v>792</v>
      </c>
      <c r="G6636" s="380" t="s">
        <v>1267</v>
      </c>
      <c r="H6636" s="380" t="s">
        <v>771</v>
      </c>
      <c r="I6636" s="380" t="s">
        <v>788</v>
      </c>
      <c r="J6636" s="380" t="s">
        <v>773</v>
      </c>
      <c r="K6636" s="381">
        <v>0.0</v>
      </c>
      <c r="L6636" s="382">
        <v>1.0</v>
      </c>
    </row>
    <row r="6637">
      <c r="A6637" s="380" t="s">
        <v>7511</v>
      </c>
      <c r="B6637" s="380" t="str">
        <f>IFERROR(__xludf.DUMMYFUNCTION("""COMPUTED_VALUE"""),"Racor Acople Rapido Isx 3825833C1")</f>
        <v>Racor Acople Rapido Isx 3825833C1</v>
      </c>
      <c r="C6637" s="380" t="str">
        <f>IFERROR(__xludf.DUMMYFUNCTION("""COMPUTED_VALUE"""),"70002044")</f>
        <v>70002044</v>
      </c>
      <c r="D6637" s="380" t="s">
        <v>767</v>
      </c>
      <c r="E6637" s="380" t="s">
        <v>786</v>
      </c>
      <c r="F6637" s="380" t="s">
        <v>1017</v>
      </c>
      <c r="G6637" s="380" t="s">
        <v>1267</v>
      </c>
      <c r="H6637" s="380" t="s">
        <v>771</v>
      </c>
      <c r="I6637" s="380" t="s">
        <v>788</v>
      </c>
      <c r="J6637" s="380" t="s">
        <v>773</v>
      </c>
      <c r="K6637" s="381">
        <v>0.0</v>
      </c>
      <c r="L6637" s="382">
        <v>1.0</v>
      </c>
    </row>
    <row r="6638">
      <c r="A6638" s="380" t="s">
        <v>7512</v>
      </c>
      <c r="B6638" s="380" t="str">
        <f>IFERROR(__xludf.DUMMYFUNCTION("""COMPUTED_VALUE"""),"Valvula Escape Culata Motor Isx 4101454")</f>
        <v>Valvula Escape Culata Motor Isx 4101454</v>
      </c>
      <c r="C6638" s="380" t="str">
        <f>IFERROR(__xludf.DUMMYFUNCTION("""COMPUTED_VALUE"""),"70002045")</f>
        <v>70002045</v>
      </c>
      <c r="D6638" s="380" t="s">
        <v>767</v>
      </c>
      <c r="E6638" s="380" t="s">
        <v>786</v>
      </c>
      <c r="F6638" s="380" t="s">
        <v>787</v>
      </c>
      <c r="G6638" s="380" t="s">
        <v>1267</v>
      </c>
      <c r="H6638" s="380" t="s">
        <v>771</v>
      </c>
      <c r="I6638" s="380" t="s">
        <v>788</v>
      </c>
      <c r="J6638" s="380" t="s">
        <v>773</v>
      </c>
      <c r="K6638" s="381">
        <v>0.0</v>
      </c>
      <c r="L6638" s="382">
        <v>1.0</v>
      </c>
    </row>
    <row r="6639">
      <c r="A6639" s="380" t="s">
        <v>7513</v>
      </c>
      <c r="B6639" s="380" t="str">
        <f>IFERROR(__xludf.DUMMYFUNCTION("""COMPUTED_VALUE"""),"Valvula Admision Culata Isx 4965868")</f>
        <v>Valvula Admision Culata Isx 4965868</v>
      </c>
      <c r="C6639" s="380" t="str">
        <f>IFERROR(__xludf.DUMMYFUNCTION("""COMPUTED_VALUE"""),"70002046")</f>
        <v>70002046</v>
      </c>
      <c r="D6639" s="380" t="s">
        <v>767</v>
      </c>
      <c r="E6639" s="380" t="s">
        <v>786</v>
      </c>
      <c r="F6639" s="380" t="s">
        <v>787</v>
      </c>
      <c r="G6639" s="380" t="s">
        <v>1267</v>
      </c>
      <c r="H6639" s="380" t="s">
        <v>771</v>
      </c>
      <c r="I6639" s="380" t="s">
        <v>788</v>
      </c>
      <c r="J6639" s="380" t="s">
        <v>773</v>
      </c>
      <c r="K6639" s="381">
        <v>0.0</v>
      </c>
      <c r="L6639" s="382">
        <v>1.0</v>
      </c>
    </row>
    <row r="6640">
      <c r="A6640" s="380" t="s">
        <v>7514</v>
      </c>
      <c r="B6640" s="380" t="str">
        <f>IFERROR(__xludf.DUMMYFUNCTION("""COMPUTED_VALUE"""),"Conector Arnes Modulo Cab Isx 598332C1")</f>
        <v>Conector Arnes Modulo Cab Isx 598332C1</v>
      </c>
      <c r="C6640" s="380" t="str">
        <f>IFERROR(__xludf.DUMMYFUNCTION("""COMPUTED_VALUE"""),"70002047")</f>
        <v>70002047</v>
      </c>
      <c r="D6640" s="380" t="s">
        <v>767</v>
      </c>
      <c r="E6640" s="380" t="s">
        <v>786</v>
      </c>
      <c r="F6640" s="380" t="s">
        <v>998</v>
      </c>
      <c r="G6640" s="380" t="s">
        <v>1267</v>
      </c>
      <c r="H6640" s="380" t="s">
        <v>771</v>
      </c>
      <c r="I6640" s="380" t="s">
        <v>788</v>
      </c>
      <c r="J6640" s="380" t="s">
        <v>773</v>
      </c>
      <c r="K6640" s="381">
        <v>0.0</v>
      </c>
      <c r="L6640" s="382">
        <v>1.0</v>
      </c>
    </row>
    <row r="6641">
      <c r="A6641" s="380" t="s">
        <v>7515</v>
      </c>
      <c r="B6641" s="380" t="str">
        <f>IFERROR(__xludf.DUMMYFUNCTION("""COMPUTED_VALUE"""),"Abrazadera Cremallera 32")</f>
        <v>Abrazadera Cremallera 32</v>
      </c>
      <c r="C6641" s="380" t="str">
        <f>IFERROR(__xludf.DUMMYFUNCTION("""COMPUTED_VALUE"""),"70002048")</f>
        <v>70002048</v>
      </c>
      <c r="D6641" s="380" t="s">
        <v>767</v>
      </c>
      <c r="E6641" s="380" t="s">
        <v>786</v>
      </c>
      <c r="F6641" s="380" t="s">
        <v>989</v>
      </c>
      <c r="G6641" s="380" t="s">
        <v>1267</v>
      </c>
      <c r="H6641" s="380" t="s">
        <v>771</v>
      </c>
      <c r="I6641" s="380" t="s">
        <v>788</v>
      </c>
      <c r="J6641" s="380" t="s">
        <v>773</v>
      </c>
      <c r="K6641" s="381">
        <v>3518.0</v>
      </c>
      <c r="L6641" s="382">
        <v>1.0</v>
      </c>
    </row>
    <row r="6642">
      <c r="A6642" s="380" t="s">
        <v>7516</v>
      </c>
      <c r="B6642" s="380" t="str">
        <f>IFERROR(__xludf.DUMMYFUNCTION("""COMPUTED_VALUE"""),"Correa Bomba Hidraulica Hyundai")</f>
        <v>Correa Bomba Hidraulica Hyundai</v>
      </c>
      <c r="C6642" s="380" t="str">
        <f>IFERROR(__xludf.DUMMYFUNCTION("""COMPUTED_VALUE"""),"70002049")</f>
        <v>70002049</v>
      </c>
      <c r="D6642" s="380" t="s">
        <v>767</v>
      </c>
      <c r="E6642" s="380" t="s">
        <v>786</v>
      </c>
      <c r="F6642" s="380" t="s">
        <v>787</v>
      </c>
      <c r="G6642" s="380" t="s">
        <v>1267</v>
      </c>
      <c r="H6642" s="380" t="s">
        <v>771</v>
      </c>
      <c r="I6642" s="380" t="s">
        <v>788</v>
      </c>
      <c r="J6642" s="380" t="s">
        <v>773</v>
      </c>
      <c r="K6642" s="381">
        <v>0.0</v>
      </c>
      <c r="L6642" s="382">
        <v>1.0</v>
      </c>
    </row>
    <row r="6643">
      <c r="A6643" s="380" t="s">
        <v>7517</v>
      </c>
      <c r="B6643" s="380" t="str">
        <f>IFERROR(__xludf.DUMMYFUNCTION("""COMPUTED_VALUE"""),"Barra Direccion Larga Eagle AM-A3102P3")</f>
        <v>Barra Direccion Larga Eagle AM-A3102P3</v>
      </c>
      <c r="C6643" s="380" t="str">
        <f>IFERROR(__xludf.DUMMYFUNCTION("""COMPUTED_VALUE"""),"70002050")</f>
        <v>70002050</v>
      </c>
      <c r="D6643" s="380" t="s">
        <v>767</v>
      </c>
      <c r="E6643" s="380" t="s">
        <v>786</v>
      </c>
      <c r="F6643" s="380" t="s">
        <v>1020</v>
      </c>
      <c r="G6643" s="380" t="s">
        <v>1267</v>
      </c>
      <c r="H6643" s="380" t="s">
        <v>771</v>
      </c>
      <c r="I6643" s="380" t="s">
        <v>788</v>
      </c>
      <c r="J6643" s="380" t="s">
        <v>773</v>
      </c>
      <c r="K6643" s="381">
        <v>0.0</v>
      </c>
      <c r="L6643" s="382">
        <v>1.0</v>
      </c>
    </row>
    <row r="6644">
      <c r="A6644" s="380" t="s">
        <v>7518</v>
      </c>
      <c r="B6644" s="380" t="str">
        <f>IFERROR(__xludf.DUMMYFUNCTION("""COMPUTED_VALUE"""),"Abrazade Exosto Eagle Isx 503310C1")</f>
        <v>Abrazade Exosto Eagle Isx 503310C1</v>
      </c>
      <c r="C6644" s="380" t="str">
        <f>IFERROR(__xludf.DUMMYFUNCTION("""COMPUTED_VALUE"""),"70002051")</f>
        <v>70002051</v>
      </c>
      <c r="D6644" s="380" t="s">
        <v>767</v>
      </c>
      <c r="E6644" s="380" t="s">
        <v>786</v>
      </c>
      <c r="F6644" s="380" t="s">
        <v>792</v>
      </c>
      <c r="G6644" s="380" t="s">
        <v>1267</v>
      </c>
      <c r="H6644" s="380" t="s">
        <v>771</v>
      </c>
      <c r="I6644" s="380" t="s">
        <v>788</v>
      </c>
      <c r="J6644" s="380" t="s">
        <v>773</v>
      </c>
      <c r="K6644" s="381">
        <v>0.0</v>
      </c>
      <c r="L6644" s="382">
        <v>1.0</v>
      </c>
    </row>
    <row r="6645">
      <c r="A6645" s="380" t="s">
        <v>7519</v>
      </c>
      <c r="B6645" s="380" t="str">
        <f>IFERROR(__xludf.DUMMYFUNCTION("""COMPUTED_VALUE"""),"Tubo Compresor Motor Eagle Isx 3525307C6")</f>
        <v>Tubo Compresor Motor Eagle Isx 3525307C6</v>
      </c>
      <c r="C6645" s="380" t="str">
        <f>IFERROR(__xludf.DUMMYFUNCTION("""COMPUTED_VALUE"""),"70002052")</f>
        <v>70002052</v>
      </c>
      <c r="D6645" s="380" t="s">
        <v>767</v>
      </c>
      <c r="E6645" s="380" t="s">
        <v>786</v>
      </c>
      <c r="F6645" s="380" t="s">
        <v>787</v>
      </c>
      <c r="G6645" s="380" t="s">
        <v>1267</v>
      </c>
      <c r="H6645" s="380" t="s">
        <v>771</v>
      </c>
      <c r="I6645" s="380" t="s">
        <v>788</v>
      </c>
      <c r="J6645" s="380" t="s">
        <v>773</v>
      </c>
      <c r="K6645" s="381">
        <v>0.0</v>
      </c>
      <c r="L6645" s="382">
        <v>1.0</v>
      </c>
    </row>
    <row r="6646">
      <c r="A6646" s="380" t="s">
        <v>7520</v>
      </c>
      <c r="B6646" s="380" t="str">
        <f>IFERROR(__xludf.DUMMYFUNCTION("""COMPUTED_VALUE"""),"Tubo Aire Turbo Eagle Isx 3589401C1")</f>
        <v>Tubo Aire Turbo Eagle Isx 3589401C1</v>
      </c>
      <c r="C6646" s="380" t="str">
        <f>IFERROR(__xludf.DUMMYFUNCTION("""COMPUTED_VALUE"""),"70002053")</f>
        <v>70002053</v>
      </c>
      <c r="D6646" s="380" t="s">
        <v>767</v>
      </c>
      <c r="E6646" s="380" t="s">
        <v>786</v>
      </c>
      <c r="F6646" s="380" t="s">
        <v>787</v>
      </c>
      <c r="G6646" s="380" t="s">
        <v>1267</v>
      </c>
      <c r="H6646" s="380" t="s">
        <v>771</v>
      </c>
      <c r="I6646" s="380" t="s">
        <v>788</v>
      </c>
      <c r="J6646" s="380" t="s">
        <v>773</v>
      </c>
      <c r="K6646" s="381">
        <v>0.0</v>
      </c>
      <c r="L6646" s="382">
        <v>1.0</v>
      </c>
    </row>
    <row r="6647">
      <c r="A6647" s="380" t="s">
        <v>7521</v>
      </c>
      <c r="B6647" s="380" t="str">
        <f>IFERROR(__xludf.DUMMYFUNCTION("""COMPUTED_VALUE"""),"Codo Turbo Eagle Isx 3682674")</f>
        <v>Codo Turbo Eagle Isx 3682674</v>
      </c>
      <c r="C6647" s="380" t="str">
        <f>IFERROR(__xludf.DUMMYFUNCTION("""COMPUTED_VALUE"""),"70002054")</f>
        <v>70002054</v>
      </c>
      <c r="D6647" s="380" t="s">
        <v>767</v>
      </c>
      <c r="E6647" s="380" t="s">
        <v>786</v>
      </c>
      <c r="F6647" s="380" t="s">
        <v>787</v>
      </c>
      <c r="G6647" s="380" t="s">
        <v>1267</v>
      </c>
      <c r="H6647" s="380" t="s">
        <v>771</v>
      </c>
      <c r="I6647" s="380" t="s">
        <v>788</v>
      </c>
      <c r="J6647" s="380" t="s">
        <v>773</v>
      </c>
      <c r="K6647" s="381">
        <v>0.0</v>
      </c>
      <c r="L6647" s="382">
        <v>1.0</v>
      </c>
    </row>
    <row r="6648">
      <c r="A6648" s="380" t="s">
        <v>7522</v>
      </c>
      <c r="B6648" s="380" t="str">
        <f>IFERROR(__xludf.DUMMYFUNCTION("""COMPUTED_VALUE"""),"Leva Freno Del Izq Eagle Isx 2210l7500")</f>
        <v>Leva Freno Del Izq Eagle Isx 2210l7500</v>
      </c>
      <c r="C6648" s="380" t="str">
        <f>IFERROR(__xludf.DUMMYFUNCTION("""COMPUTED_VALUE"""),"70002055")</f>
        <v>70002055</v>
      </c>
      <c r="D6648" s="380" t="s">
        <v>767</v>
      </c>
      <c r="E6648" s="380" t="s">
        <v>786</v>
      </c>
      <c r="F6648" s="380" t="s">
        <v>1017</v>
      </c>
      <c r="G6648" s="380" t="s">
        <v>1267</v>
      </c>
      <c r="H6648" s="380" t="s">
        <v>771</v>
      </c>
      <c r="I6648" s="380" t="s">
        <v>788</v>
      </c>
      <c r="J6648" s="380" t="s">
        <v>773</v>
      </c>
      <c r="K6648" s="381">
        <v>220717.0</v>
      </c>
      <c r="L6648" s="382">
        <v>1.0</v>
      </c>
    </row>
    <row r="6649">
      <c r="A6649" s="380" t="s">
        <v>7523</v>
      </c>
      <c r="B6649" s="380" t="str">
        <f>IFERROR(__xludf.DUMMYFUNCTION("""COMPUTED_VALUE"""),"Leva Freno Del Der Eagle Isx 5907717C1")</f>
        <v>Leva Freno Del Der Eagle Isx 5907717C1</v>
      </c>
      <c r="C6649" s="380" t="str">
        <f>IFERROR(__xludf.DUMMYFUNCTION("""COMPUTED_VALUE"""),"70002056")</f>
        <v>70002056</v>
      </c>
      <c r="D6649" s="380" t="s">
        <v>767</v>
      </c>
      <c r="E6649" s="380" t="s">
        <v>786</v>
      </c>
      <c r="F6649" s="380" t="s">
        <v>1017</v>
      </c>
      <c r="G6649" s="380" t="s">
        <v>1267</v>
      </c>
      <c r="H6649" s="380" t="s">
        <v>771</v>
      </c>
      <c r="I6649" s="380" t="s">
        <v>788</v>
      </c>
      <c r="J6649" s="380" t="s">
        <v>773</v>
      </c>
      <c r="K6649" s="381">
        <v>0.0</v>
      </c>
      <c r="L6649" s="382">
        <v>1.0</v>
      </c>
    </row>
    <row r="6650">
      <c r="A6650" s="380" t="s">
        <v>7524</v>
      </c>
      <c r="B6650" s="380" t="str">
        <f>IFERROR(__xludf.DUMMYFUNCTION("""COMPUTED_VALUE"""),"Piñon 4ta Ftr 8981685000")</f>
        <v>Piñon 4ta Ftr 8981685000</v>
      </c>
      <c r="C6650" s="380" t="str">
        <f>IFERROR(__xludf.DUMMYFUNCTION("""COMPUTED_VALUE"""),"70002057")</f>
        <v>70002057</v>
      </c>
      <c r="D6650" s="380" t="s">
        <v>767</v>
      </c>
      <c r="E6650" s="380" t="s">
        <v>786</v>
      </c>
      <c r="F6650" s="380" t="s">
        <v>928</v>
      </c>
      <c r="G6650" s="380" t="s">
        <v>1267</v>
      </c>
      <c r="H6650" s="380" t="s">
        <v>771</v>
      </c>
      <c r="I6650" s="380" t="s">
        <v>788</v>
      </c>
      <c r="J6650" s="380" t="s">
        <v>773</v>
      </c>
      <c r="K6650" s="381">
        <v>0.0</v>
      </c>
      <c r="L6650" s="382">
        <v>1.0</v>
      </c>
    </row>
    <row r="6651">
      <c r="A6651" s="380" t="s">
        <v>7525</v>
      </c>
      <c r="B6651" s="380" t="str">
        <f>IFERROR(__xludf.DUMMYFUNCTION("""COMPUTED_VALUE"""),"Piñon 3ra Ftr 8981684990")</f>
        <v>Piñon 3ra Ftr 8981684990</v>
      </c>
      <c r="C6651" s="380" t="str">
        <f>IFERROR(__xludf.DUMMYFUNCTION("""COMPUTED_VALUE"""),"70002058")</f>
        <v>70002058</v>
      </c>
      <c r="D6651" s="380" t="s">
        <v>767</v>
      </c>
      <c r="E6651" s="380" t="s">
        <v>786</v>
      </c>
      <c r="F6651" s="380" t="s">
        <v>928</v>
      </c>
      <c r="G6651" s="380" t="s">
        <v>1267</v>
      </c>
      <c r="H6651" s="380" t="s">
        <v>771</v>
      </c>
      <c r="I6651" s="380" t="s">
        <v>788</v>
      </c>
      <c r="J6651" s="380" t="s">
        <v>773</v>
      </c>
      <c r="K6651" s="381">
        <v>0.0</v>
      </c>
      <c r="L6651" s="382">
        <v>1.0</v>
      </c>
    </row>
    <row r="6652">
      <c r="A6652" s="380" t="s">
        <v>7526</v>
      </c>
      <c r="B6652" s="380" t="str">
        <f>IFERROR(__xludf.DUMMYFUNCTION("""COMPUTED_VALUE"""),"Manga 1 Y 2 Ftr 8982584790")</f>
        <v>Manga 1 Y 2 Ftr 8982584790</v>
      </c>
      <c r="C6652" s="380" t="str">
        <f>IFERROR(__xludf.DUMMYFUNCTION("""COMPUTED_VALUE"""),"70002059")</f>
        <v>70002059</v>
      </c>
      <c r="D6652" s="380" t="s">
        <v>767</v>
      </c>
      <c r="E6652" s="380" t="s">
        <v>786</v>
      </c>
      <c r="F6652" s="380" t="s">
        <v>928</v>
      </c>
      <c r="G6652" s="380" t="s">
        <v>1267</v>
      </c>
      <c r="H6652" s="380" t="s">
        <v>771</v>
      </c>
      <c r="I6652" s="380" t="s">
        <v>788</v>
      </c>
      <c r="J6652" s="380" t="s">
        <v>773</v>
      </c>
      <c r="K6652" s="381">
        <v>0.0</v>
      </c>
      <c r="L6652" s="382">
        <v>1.0</v>
      </c>
    </row>
    <row r="6653">
      <c r="A6653" s="380" t="s">
        <v>7527</v>
      </c>
      <c r="B6653" s="380" t="str">
        <f>IFERROR(__xludf.DUMMYFUNCTION("""COMPUTED_VALUE"""),"Manija Ext Pta Der Nkr Rewar 8980371012")</f>
        <v>Manija Ext Pta Der Nkr Rewar 8980371012</v>
      </c>
      <c r="C6653" s="380" t="str">
        <f>IFERROR(__xludf.DUMMYFUNCTION("""COMPUTED_VALUE"""),"70002060")</f>
        <v>70002060</v>
      </c>
      <c r="D6653" s="380" t="s">
        <v>767</v>
      </c>
      <c r="E6653" s="380" t="s">
        <v>786</v>
      </c>
      <c r="F6653" s="380" t="s">
        <v>792</v>
      </c>
      <c r="G6653" s="380" t="s">
        <v>1267</v>
      </c>
      <c r="H6653" s="380" t="s">
        <v>771</v>
      </c>
      <c r="I6653" s="380" t="s">
        <v>788</v>
      </c>
      <c r="J6653" s="380" t="s">
        <v>773</v>
      </c>
      <c r="K6653" s="381">
        <v>0.0</v>
      </c>
      <c r="L6653" s="382">
        <v>1.0</v>
      </c>
    </row>
    <row r="6654">
      <c r="A6654" s="380" t="s">
        <v>7528</v>
      </c>
      <c r="B6654" s="380" t="str">
        <f>IFERROR(__xludf.DUMMYFUNCTION("""COMPUTED_VALUE"""),"Carpa Techo Fabricada Trailer Aluminio")</f>
        <v>Carpa Techo Fabricada Trailer Aluminio</v>
      </c>
      <c r="C6654" s="380" t="str">
        <f>IFERROR(__xludf.DUMMYFUNCTION("""COMPUTED_VALUE"""),"70002061")</f>
        <v>70002061</v>
      </c>
      <c r="D6654" s="380" t="s">
        <v>767</v>
      </c>
      <c r="E6654" s="380" t="s">
        <v>786</v>
      </c>
      <c r="F6654" s="380" t="s">
        <v>792</v>
      </c>
      <c r="G6654" s="380" t="s">
        <v>1267</v>
      </c>
      <c r="H6654" s="380" t="s">
        <v>771</v>
      </c>
      <c r="I6654" s="380" t="s">
        <v>788</v>
      </c>
      <c r="J6654" s="380" t="s">
        <v>773</v>
      </c>
      <c r="K6654" s="381">
        <v>0.0</v>
      </c>
      <c r="L6654" s="382">
        <v>1.0</v>
      </c>
    </row>
    <row r="6655">
      <c r="A6655" s="380" t="s">
        <v>7529</v>
      </c>
      <c r="B6655" s="380" t="str">
        <f>IFERROR(__xludf.DUMMYFUNCTION("""COMPUTED_VALUE"""),"Puerta Shell Izq Foton 1039 7701023079")</f>
        <v>Puerta Shell Izq Foton 1039 7701023079</v>
      </c>
      <c r="C6655" s="380" t="str">
        <f>IFERROR(__xludf.DUMMYFUNCTION("""COMPUTED_VALUE"""),"70002062")</f>
        <v>70002062</v>
      </c>
      <c r="D6655" s="380" t="s">
        <v>767</v>
      </c>
      <c r="E6655" s="380" t="s">
        <v>786</v>
      </c>
      <c r="F6655" s="380" t="s">
        <v>792</v>
      </c>
      <c r="G6655" s="380" t="s">
        <v>1267</v>
      </c>
      <c r="H6655" s="380" t="s">
        <v>771</v>
      </c>
      <c r="I6655" s="380" t="s">
        <v>788</v>
      </c>
      <c r="J6655" s="380" t="s">
        <v>773</v>
      </c>
      <c r="K6655" s="381">
        <v>0.0</v>
      </c>
      <c r="L6655" s="382">
        <v>1.0</v>
      </c>
    </row>
    <row r="6656">
      <c r="A6656" s="380" t="s">
        <v>7530</v>
      </c>
      <c r="B6656" s="380" t="str">
        <f>IFERROR(__xludf.DUMMYFUNCTION("""COMPUTED_VALUE"""),"Bomper Frontal Foton 1039 7701023554")</f>
        <v>Bomper Frontal Foton 1039 7701023554</v>
      </c>
      <c r="C6656" s="380" t="str">
        <f>IFERROR(__xludf.DUMMYFUNCTION("""COMPUTED_VALUE"""),"70002063")</f>
        <v>70002063</v>
      </c>
      <c r="D6656" s="380" t="s">
        <v>767</v>
      </c>
      <c r="E6656" s="380" t="s">
        <v>786</v>
      </c>
      <c r="F6656" s="380" t="s">
        <v>792</v>
      </c>
      <c r="G6656" s="380" t="s">
        <v>1267</v>
      </c>
      <c r="H6656" s="380" t="s">
        <v>771</v>
      </c>
      <c r="I6656" s="380" t="s">
        <v>788</v>
      </c>
      <c r="J6656" s="380" t="s">
        <v>773</v>
      </c>
      <c r="K6656" s="381">
        <v>0.0</v>
      </c>
      <c r="L6656" s="382">
        <v>1.0</v>
      </c>
    </row>
    <row r="6657">
      <c r="A6657" s="380" t="s">
        <v>7531</v>
      </c>
      <c r="B6657" s="380" t="str">
        <f>IFERROR(__xludf.DUMMYFUNCTION("""COMPUTED_VALUE"""),"Estribo Izq Foton 1039 7701023164030")</f>
        <v>Estribo Izq Foton 1039 7701023164030</v>
      </c>
      <c r="C6657" s="380" t="str">
        <f>IFERROR(__xludf.DUMMYFUNCTION("""COMPUTED_VALUE"""),"70002064")</f>
        <v>70002064</v>
      </c>
      <c r="D6657" s="380" t="s">
        <v>767</v>
      </c>
      <c r="E6657" s="380" t="s">
        <v>786</v>
      </c>
      <c r="F6657" s="380" t="s">
        <v>792</v>
      </c>
      <c r="G6657" s="380" t="s">
        <v>1267</v>
      </c>
      <c r="H6657" s="380" t="s">
        <v>771</v>
      </c>
      <c r="I6657" s="380" t="s">
        <v>788</v>
      </c>
      <c r="J6657" s="380" t="s">
        <v>773</v>
      </c>
      <c r="K6657" s="381">
        <v>96060.0</v>
      </c>
      <c r="L6657" s="382">
        <v>1.0</v>
      </c>
    </row>
    <row r="6658">
      <c r="A6658" s="380" t="s">
        <v>7532</v>
      </c>
      <c r="B6658" s="380" t="str">
        <f>IFERROR(__xludf.DUMMYFUNCTION("""COMPUTED_VALUE"""),"Bisagra Puerta Izq Foton 1039 7701023695")</f>
        <v>Bisagra Puerta Izq Foton 1039 7701023695</v>
      </c>
      <c r="C6658" s="380" t="str">
        <f>IFERROR(__xludf.DUMMYFUNCTION("""COMPUTED_VALUE"""),"70002065")</f>
        <v>70002065</v>
      </c>
      <c r="D6658" s="380" t="s">
        <v>767</v>
      </c>
      <c r="E6658" s="380" t="s">
        <v>786</v>
      </c>
      <c r="F6658" s="380" t="s">
        <v>792</v>
      </c>
      <c r="G6658" s="380" t="s">
        <v>1267</v>
      </c>
      <c r="H6658" s="380" t="s">
        <v>771</v>
      </c>
      <c r="I6658" s="380" t="s">
        <v>788</v>
      </c>
      <c r="J6658" s="380" t="s">
        <v>773</v>
      </c>
      <c r="K6658" s="381">
        <v>0.0</v>
      </c>
      <c r="L6658" s="382">
        <v>1.0</v>
      </c>
    </row>
    <row r="6659">
      <c r="A6659" s="380" t="s">
        <v>7533</v>
      </c>
      <c r="B6659" s="380" t="str">
        <f>IFERROR(__xludf.DUMMYFUNCTION("""COMPUTED_VALUE"""),"Vidrio Tras Cabina Nkr")</f>
        <v>Vidrio Tras Cabina Nkr</v>
      </c>
      <c r="C6659" s="380" t="str">
        <f>IFERROR(__xludf.DUMMYFUNCTION("""COMPUTED_VALUE"""),"70002066")</f>
        <v>70002066</v>
      </c>
      <c r="D6659" s="380" t="s">
        <v>767</v>
      </c>
      <c r="E6659" s="380" t="s">
        <v>786</v>
      </c>
      <c r="F6659" s="380" t="s">
        <v>792</v>
      </c>
      <c r="G6659" s="380" t="s">
        <v>1267</v>
      </c>
      <c r="H6659" s="380" t="s">
        <v>771</v>
      </c>
      <c r="I6659" s="380" t="s">
        <v>788</v>
      </c>
      <c r="J6659" s="380" t="s">
        <v>773</v>
      </c>
      <c r="K6659" s="381">
        <v>0.0</v>
      </c>
      <c r="L6659" s="382">
        <v>1.0</v>
      </c>
    </row>
    <row r="6660">
      <c r="A6660" s="380" t="s">
        <v>7534</v>
      </c>
      <c r="B6660" s="380" t="str">
        <f>IFERROR(__xludf.DUMMYFUNCTION("""COMPUTED_VALUE"""),"Tapa Combustible Foton 1039 7705946322")</f>
        <v>Tapa Combustible Foton 1039 7705946322</v>
      </c>
      <c r="C6660" s="380" t="str">
        <f>IFERROR(__xludf.DUMMYFUNCTION("""COMPUTED_VALUE"""),"70002067")</f>
        <v>70002067</v>
      </c>
      <c r="D6660" s="380" t="s">
        <v>767</v>
      </c>
      <c r="E6660" s="380" t="s">
        <v>786</v>
      </c>
      <c r="F6660" s="380" t="s">
        <v>792</v>
      </c>
      <c r="G6660" s="380" t="s">
        <v>1267</v>
      </c>
      <c r="H6660" s="380" t="s">
        <v>771</v>
      </c>
      <c r="I6660" s="380" t="s">
        <v>788</v>
      </c>
      <c r="J6660" s="380" t="s">
        <v>773</v>
      </c>
      <c r="K6660" s="381">
        <v>0.0</v>
      </c>
      <c r="L6660" s="382">
        <v>1.0</v>
      </c>
    </row>
    <row r="6661">
      <c r="A6661" s="380" t="s">
        <v>7535</v>
      </c>
      <c r="B6661" s="380" t="str">
        <f>IFERROR(__xludf.DUMMYFUNCTION("""COMPUTED_VALUE"""),"Parabrisas Laminado Foton 1039")</f>
        <v>Parabrisas Laminado Foton 1039</v>
      </c>
      <c r="C6661" s="380" t="str">
        <f>IFERROR(__xludf.DUMMYFUNCTION("""COMPUTED_VALUE"""),"70002068")</f>
        <v>70002068</v>
      </c>
      <c r="D6661" s="380" t="s">
        <v>767</v>
      </c>
      <c r="E6661" s="380" t="s">
        <v>786</v>
      </c>
      <c r="F6661" s="380" t="s">
        <v>792</v>
      </c>
      <c r="G6661" s="380" t="s">
        <v>1267</v>
      </c>
      <c r="H6661" s="380" t="s">
        <v>771</v>
      </c>
      <c r="I6661" s="380" t="s">
        <v>788</v>
      </c>
      <c r="J6661" s="380" t="s">
        <v>773</v>
      </c>
      <c r="K6661" s="381">
        <v>0.0</v>
      </c>
      <c r="L6661" s="382">
        <v>1.0</v>
      </c>
    </row>
    <row r="6662">
      <c r="A6662" s="380" t="s">
        <v>7536</v>
      </c>
      <c r="B6662" s="380" t="str">
        <f>IFERROR(__xludf.DUMMYFUNCTION("""COMPUTED_VALUE"""),"Crem Pta Der Eagle Isx Md2007 3515115C91")</f>
        <v>Crem Pta Der Eagle Isx Md2007 3515115C91</v>
      </c>
      <c r="C6662" s="380" t="str">
        <f>IFERROR(__xludf.DUMMYFUNCTION("""COMPUTED_VALUE"""),"70002069")</f>
        <v>70002069</v>
      </c>
      <c r="D6662" s="380" t="s">
        <v>767</v>
      </c>
      <c r="E6662" s="380" t="s">
        <v>786</v>
      </c>
      <c r="F6662" s="380" t="s">
        <v>792</v>
      </c>
      <c r="G6662" s="380" t="s">
        <v>1267</v>
      </c>
      <c r="H6662" s="380" t="s">
        <v>771</v>
      </c>
      <c r="I6662" s="380" t="s">
        <v>788</v>
      </c>
      <c r="J6662" s="380" t="s">
        <v>773</v>
      </c>
      <c r="K6662" s="381">
        <v>595676.0</v>
      </c>
      <c r="L6662" s="382">
        <v>1.0</v>
      </c>
    </row>
    <row r="6663">
      <c r="A6663" s="380" t="s">
        <v>7537</v>
      </c>
      <c r="B6663" s="380" t="str">
        <f>IFERROR(__xludf.DUMMYFUNCTION("""COMPUTED_VALUE"""),"Parabrisas Laminado Foton 1186")</f>
        <v>Parabrisas Laminado Foton 1186</v>
      </c>
      <c r="C6663" s="380" t="str">
        <f>IFERROR(__xludf.DUMMYFUNCTION("""COMPUTED_VALUE"""),"70002070")</f>
        <v>70002070</v>
      </c>
      <c r="D6663" s="380" t="s">
        <v>767</v>
      </c>
      <c r="E6663" s="380" t="s">
        <v>786</v>
      </c>
      <c r="F6663" s="380" t="s">
        <v>792</v>
      </c>
      <c r="G6663" s="380" t="s">
        <v>1267</v>
      </c>
      <c r="H6663" s="380" t="s">
        <v>771</v>
      </c>
      <c r="I6663" s="380" t="s">
        <v>788</v>
      </c>
      <c r="J6663" s="380" t="s">
        <v>773</v>
      </c>
      <c r="K6663" s="381">
        <v>0.0</v>
      </c>
      <c r="L6663" s="382">
        <v>1.0</v>
      </c>
    </row>
    <row r="6664">
      <c r="A6664" s="380" t="s">
        <v>7538</v>
      </c>
      <c r="B6664" s="380" t="str">
        <f>IFERROR(__xludf.DUMMYFUNCTION("""COMPUTED_VALUE"""),"Persiana Frontal MV5 Foton 7705946036405")</f>
        <v>Persiana Frontal MV5 Foton 7705946036405</v>
      </c>
      <c r="C6664" s="380" t="str">
        <f>IFERROR(__xludf.DUMMYFUNCTION("""COMPUTED_VALUE"""),"70002071")</f>
        <v>70002071</v>
      </c>
      <c r="D6664" s="380" t="s">
        <v>767</v>
      </c>
      <c r="E6664" s="380" t="s">
        <v>786</v>
      </c>
      <c r="F6664" s="380" t="s">
        <v>792</v>
      </c>
      <c r="G6664" s="380" t="s">
        <v>1267</v>
      </c>
      <c r="H6664" s="380" t="s">
        <v>771</v>
      </c>
      <c r="I6664" s="380" t="s">
        <v>788</v>
      </c>
      <c r="J6664" s="380" t="s">
        <v>773</v>
      </c>
      <c r="K6664" s="381">
        <v>0.0</v>
      </c>
      <c r="L6664" s="382">
        <v>1.0</v>
      </c>
    </row>
    <row r="6665">
      <c r="A6665" s="380" t="s">
        <v>7539</v>
      </c>
      <c r="B6665" s="380" t="str">
        <f>IFERROR(__xludf.DUMMYFUNCTION("""COMPUTED_VALUE"""),"Silla Copiloto Foton 1039 7705946305037")</f>
        <v>Silla Copiloto Foton 1039 7705946305037</v>
      </c>
      <c r="C6665" s="380" t="str">
        <f>IFERROR(__xludf.DUMMYFUNCTION("""COMPUTED_VALUE"""),"70002072")</f>
        <v>70002072</v>
      </c>
      <c r="D6665" s="380" t="s">
        <v>767</v>
      </c>
      <c r="E6665" s="380" t="s">
        <v>786</v>
      </c>
      <c r="F6665" s="380" t="s">
        <v>792</v>
      </c>
      <c r="G6665" s="380" t="s">
        <v>1267</v>
      </c>
      <c r="H6665" s="380" t="s">
        <v>771</v>
      </c>
      <c r="I6665" s="380" t="s">
        <v>788</v>
      </c>
      <c r="J6665" s="380" t="s">
        <v>773</v>
      </c>
      <c r="K6665" s="381">
        <v>0.0</v>
      </c>
      <c r="L6665" s="382">
        <v>1.0</v>
      </c>
    </row>
    <row r="6666">
      <c r="A6666" s="380" t="s">
        <v>7540</v>
      </c>
      <c r="B6666" s="380" t="str">
        <f>IFERROR(__xludf.DUMMYFUNCTION("""COMPUTED_VALUE"""),"Abrazadera Depos Aceite Hidraul Eagle-KW")</f>
        <v>Abrazadera Depos Aceite Hidraul Eagle-KW</v>
      </c>
      <c r="C6666" s="380" t="str">
        <f>IFERROR(__xludf.DUMMYFUNCTION("""COMPUTED_VALUE"""),"70002073")</f>
        <v>70002073</v>
      </c>
      <c r="D6666" s="380" t="s">
        <v>767</v>
      </c>
      <c r="E6666" s="380" t="s">
        <v>786</v>
      </c>
      <c r="F6666" s="380" t="s">
        <v>792</v>
      </c>
      <c r="G6666" s="380" t="s">
        <v>1267</v>
      </c>
      <c r="H6666" s="380" t="s">
        <v>771</v>
      </c>
      <c r="I6666" s="380" t="s">
        <v>788</v>
      </c>
      <c r="J6666" s="380" t="s">
        <v>773</v>
      </c>
      <c r="K6666" s="381">
        <v>0.0</v>
      </c>
      <c r="L6666" s="382">
        <v>1.0</v>
      </c>
    </row>
    <row r="6667">
      <c r="A6667" s="380" t="s">
        <v>7541</v>
      </c>
      <c r="B6667" s="380" t="str">
        <f>IFERROR(__xludf.DUMMYFUNCTION("""COMPUTED_VALUE"""),"Soporte Bisagra Capo Izq KW T800 A851242")</f>
        <v>Soporte Bisagra Capo Izq KW T800 A851242</v>
      </c>
      <c r="C6667" s="380" t="str">
        <f>IFERROR(__xludf.DUMMYFUNCTION("""COMPUTED_VALUE"""),"70002074")</f>
        <v>70002074</v>
      </c>
      <c r="D6667" s="380" t="s">
        <v>767</v>
      </c>
      <c r="E6667" s="380" t="s">
        <v>786</v>
      </c>
      <c r="F6667" s="380" t="s">
        <v>792</v>
      </c>
      <c r="G6667" s="380" t="s">
        <v>1267</v>
      </c>
      <c r="H6667" s="380" t="s">
        <v>771</v>
      </c>
      <c r="I6667" s="380" t="s">
        <v>788</v>
      </c>
      <c r="J6667" s="380" t="s">
        <v>773</v>
      </c>
      <c r="K6667" s="381">
        <v>0.0</v>
      </c>
      <c r="L6667" s="382">
        <v>1.0</v>
      </c>
    </row>
    <row r="6668">
      <c r="A6668" s="380" t="s">
        <v>7542</v>
      </c>
      <c r="B6668" s="380" t="str">
        <f>IFERROR(__xludf.DUMMYFUNCTION("""COMPUTED_VALUE"""),"Soporte Bisagra Der Capot KWh A851242R")</f>
        <v>Soporte Bisagra Der Capot KWh A851242R</v>
      </c>
      <c r="C6668" s="380" t="str">
        <f>IFERROR(__xludf.DUMMYFUNCTION("""COMPUTED_VALUE"""),"70002075")</f>
        <v>70002075</v>
      </c>
      <c r="D6668" s="380" t="s">
        <v>767</v>
      </c>
      <c r="E6668" s="380" t="s">
        <v>786</v>
      </c>
      <c r="F6668" s="380" t="s">
        <v>792</v>
      </c>
      <c r="G6668" s="380" t="s">
        <v>1267</v>
      </c>
      <c r="H6668" s="380" t="s">
        <v>771</v>
      </c>
      <c r="I6668" s="380" t="s">
        <v>788</v>
      </c>
      <c r="J6668" s="380" t="s">
        <v>773</v>
      </c>
      <c r="K6668" s="381">
        <v>0.0</v>
      </c>
      <c r="L6668" s="382">
        <v>1.0</v>
      </c>
    </row>
    <row r="6669">
      <c r="A6669" s="380" t="s">
        <v>7543</v>
      </c>
      <c r="B6669" s="380" t="str">
        <f>IFERROR(__xludf.DUMMYFUNCTION("""COMPUTED_VALUE"""),"Empaque Luneta Vidrio Tras Nkr")</f>
        <v>Empaque Luneta Vidrio Tras Nkr</v>
      </c>
      <c r="C6669" s="380" t="str">
        <f>IFERROR(__xludf.DUMMYFUNCTION("""COMPUTED_VALUE"""),"70002076")</f>
        <v>70002076</v>
      </c>
      <c r="D6669" s="380" t="s">
        <v>767</v>
      </c>
      <c r="E6669" s="380" t="s">
        <v>786</v>
      </c>
      <c r="F6669" s="380" t="s">
        <v>792</v>
      </c>
      <c r="G6669" s="380" t="s">
        <v>1267</v>
      </c>
      <c r="H6669" s="380" t="s">
        <v>771</v>
      </c>
      <c r="I6669" s="380" t="s">
        <v>788</v>
      </c>
      <c r="J6669" s="380" t="s">
        <v>773</v>
      </c>
      <c r="K6669" s="381">
        <v>0.0</v>
      </c>
      <c r="L6669" s="382">
        <v>1.0</v>
      </c>
    </row>
    <row r="6670">
      <c r="A6670" s="380" t="s">
        <v>7544</v>
      </c>
      <c r="B6670" s="380" t="str">
        <f>IFERROR(__xludf.DUMMYFUNCTION("""COMPUTED_VALUE"""),"Canal Vidrio Puerta Der Nhr 8981884180")</f>
        <v>Canal Vidrio Puerta Der Nhr 8981884180</v>
      </c>
      <c r="C6670" s="380" t="str">
        <f>IFERROR(__xludf.DUMMYFUNCTION("""COMPUTED_VALUE"""),"70002077")</f>
        <v>70002077</v>
      </c>
      <c r="D6670" s="380" t="s">
        <v>767</v>
      </c>
      <c r="E6670" s="380" t="s">
        <v>786</v>
      </c>
      <c r="F6670" s="380" t="s">
        <v>792</v>
      </c>
      <c r="G6670" s="380" t="s">
        <v>1267</v>
      </c>
      <c r="H6670" s="380" t="s">
        <v>771</v>
      </c>
      <c r="I6670" s="380" t="s">
        <v>788</v>
      </c>
      <c r="J6670" s="380" t="s">
        <v>773</v>
      </c>
      <c r="K6670" s="381">
        <v>0.0</v>
      </c>
      <c r="L6670" s="382">
        <v>1.0</v>
      </c>
    </row>
    <row r="6671">
      <c r="A6671" s="380" t="s">
        <v>7545</v>
      </c>
      <c r="B6671" s="380" t="str">
        <f>IFERROR(__xludf.DUMMYFUNCTION("""COMPUTED_VALUE"""),"Rodillo Pata Trailer T - 127")</f>
        <v>Rodillo Pata Trailer T - 127</v>
      </c>
      <c r="C6671" s="380" t="str">
        <f>IFERROR(__xludf.DUMMYFUNCTION("""COMPUTED_VALUE"""),"70002078")</f>
        <v>70002078</v>
      </c>
      <c r="D6671" s="380" t="s">
        <v>767</v>
      </c>
      <c r="E6671" s="380" t="s">
        <v>786</v>
      </c>
      <c r="F6671" s="380" t="s">
        <v>792</v>
      </c>
      <c r="G6671" s="380" t="s">
        <v>1267</v>
      </c>
      <c r="H6671" s="380" t="s">
        <v>771</v>
      </c>
      <c r="I6671" s="380" t="s">
        <v>788</v>
      </c>
      <c r="J6671" s="380" t="s">
        <v>773</v>
      </c>
      <c r="K6671" s="381">
        <v>237940.0</v>
      </c>
      <c r="L6671" s="382">
        <v>1.0</v>
      </c>
    </row>
    <row r="6672">
      <c r="A6672" s="380" t="s">
        <v>7546</v>
      </c>
      <c r="B6672" s="380" t="str">
        <f>IFERROR(__xludf.DUMMYFUNCTION("""COMPUTED_VALUE"""),"Rodillo Puerta Trailer Hk 1212B")</f>
        <v>Rodillo Puerta Trailer Hk 1212B</v>
      </c>
      <c r="C6672" s="380" t="str">
        <f>IFERROR(__xludf.DUMMYFUNCTION("""COMPUTED_VALUE"""),"70002079")</f>
        <v>70002079</v>
      </c>
      <c r="D6672" s="380" t="s">
        <v>767</v>
      </c>
      <c r="E6672" s="380" t="s">
        <v>786</v>
      </c>
      <c r="F6672" s="380" t="s">
        <v>792</v>
      </c>
      <c r="G6672" s="380" t="s">
        <v>1267</v>
      </c>
      <c r="H6672" s="380" t="s">
        <v>771</v>
      </c>
      <c r="I6672" s="380" t="s">
        <v>788</v>
      </c>
      <c r="J6672" s="380" t="s">
        <v>773</v>
      </c>
      <c r="K6672" s="381">
        <v>0.0</v>
      </c>
      <c r="L6672" s="382">
        <v>1.0</v>
      </c>
    </row>
    <row r="6673">
      <c r="A6673" s="380" t="s">
        <v>7547</v>
      </c>
      <c r="B6673" s="380" t="str">
        <f>IFERROR(__xludf.DUMMYFUNCTION("""COMPUTED_VALUE"""),"Brazo Espejo Izq Hino Dutro 700016827")</f>
        <v>Brazo Espejo Izq Hino Dutro 700016827</v>
      </c>
      <c r="C6673" s="380" t="str">
        <f>IFERROR(__xludf.DUMMYFUNCTION("""COMPUTED_VALUE"""),"70002080")</f>
        <v>70002080</v>
      </c>
      <c r="D6673" s="380" t="s">
        <v>767</v>
      </c>
      <c r="E6673" s="380" t="s">
        <v>786</v>
      </c>
      <c r="F6673" s="380" t="s">
        <v>792</v>
      </c>
      <c r="G6673" s="380" t="s">
        <v>1267</v>
      </c>
      <c r="H6673" s="380" t="s">
        <v>771</v>
      </c>
      <c r="I6673" s="380" t="s">
        <v>788</v>
      </c>
      <c r="J6673" s="380" t="s">
        <v>773</v>
      </c>
      <c r="K6673" s="381">
        <v>1972792.0</v>
      </c>
      <c r="L6673" s="382">
        <v>1.0</v>
      </c>
    </row>
    <row r="6674">
      <c r="A6674" s="380" t="s">
        <v>7548</v>
      </c>
      <c r="B6674" s="380" t="str">
        <f>IFERROR(__xludf.DUMMYFUNCTION("""COMPUTED_VALUE"""),"Cilindro Puerta Izq Nkr Rewar 8982013540")</f>
        <v>Cilindro Puerta Izq Nkr Rewar 8982013540</v>
      </c>
      <c r="C6674" s="380" t="str">
        <f>IFERROR(__xludf.DUMMYFUNCTION("""COMPUTED_VALUE"""),"70002081")</f>
        <v>70002081</v>
      </c>
      <c r="D6674" s="380" t="s">
        <v>767</v>
      </c>
      <c r="E6674" s="380" t="s">
        <v>786</v>
      </c>
      <c r="F6674" s="380" t="s">
        <v>792</v>
      </c>
      <c r="G6674" s="380" t="s">
        <v>1267</v>
      </c>
      <c r="H6674" s="380" t="s">
        <v>771</v>
      </c>
      <c r="I6674" s="380" t="s">
        <v>788</v>
      </c>
      <c r="J6674" s="380" t="s">
        <v>773</v>
      </c>
      <c r="K6674" s="381">
        <v>0.0</v>
      </c>
      <c r="L6674" s="382">
        <v>1.0</v>
      </c>
    </row>
    <row r="6675">
      <c r="A6675" s="380" t="s">
        <v>7549</v>
      </c>
      <c r="B6675" s="380" t="str">
        <f>IFERROR(__xludf.DUMMYFUNCTION("""COMPUTED_VALUE"""),"Cilindro Puerta Der Nkr Rewar 8902013530")</f>
        <v>Cilindro Puerta Der Nkr Rewar 8902013530</v>
      </c>
      <c r="C6675" s="380" t="str">
        <f>IFERROR(__xludf.DUMMYFUNCTION("""COMPUTED_VALUE"""),"70002082")</f>
        <v>70002082</v>
      </c>
      <c r="D6675" s="380" t="s">
        <v>767</v>
      </c>
      <c r="E6675" s="380" t="s">
        <v>786</v>
      </c>
      <c r="F6675" s="380" t="s">
        <v>792</v>
      </c>
      <c r="G6675" s="380" t="s">
        <v>1267</v>
      </c>
      <c r="H6675" s="380" t="s">
        <v>771</v>
      </c>
      <c r="I6675" s="380" t="s">
        <v>788</v>
      </c>
      <c r="J6675" s="380" t="s">
        <v>773</v>
      </c>
      <c r="K6675" s="381">
        <v>0.0</v>
      </c>
      <c r="L6675" s="382">
        <v>1.0</v>
      </c>
    </row>
    <row r="6676">
      <c r="A6676" s="380" t="s">
        <v>7550</v>
      </c>
      <c r="B6676" s="380" t="str">
        <f>IFERROR(__xludf.DUMMYFUNCTION("""COMPUTED_VALUE"""),"Buje Capo Prostar 3839701C1")</f>
        <v>Buje Capo Prostar 3839701C1</v>
      </c>
      <c r="C6676" s="380" t="str">
        <f>IFERROR(__xludf.DUMMYFUNCTION("""COMPUTED_VALUE"""),"70002083")</f>
        <v>70002083</v>
      </c>
      <c r="D6676" s="380" t="s">
        <v>767</v>
      </c>
      <c r="E6676" s="380" t="s">
        <v>786</v>
      </c>
      <c r="F6676" s="380" t="s">
        <v>792</v>
      </c>
      <c r="G6676" s="380" t="s">
        <v>1267</v>
      </c>
      <c r="H6676" s="380" t="s">
        <v>771</v>
      </c>
      <c r="I6676" s="380" t="s">
        <v>788</v>
      </c>
      <c r="J6676" s="380" t="s">
        <v>773</v>
      </c>
      <c r="K6676" s="381">
        <v>240332.0</v>
      </c>
      <c r="L6676" s="382">
        <v>1.0</v>
      </c>
    </row>
    <row r="6677">
      <c r="A6677" s="380" t="s">
        <v>7551</v>
      </c>
      <c r="B6677" s="380" t="str">
        <f>IFERROR(__xludf.DUMMYFUNCTION("""COMPUTED_VALUE"""),"Bomper Eagle Petrolera 3502873C1")</f>
        <v>Bomper Eagle Petrolera 3502873C1</v>
      </c>
      <c r="C6677" s="380" t="str">
        <f>IFERROR(__xludf.DUMMYFUNCTION("""COMPUTED_VALUE"""),"70002084")</f>
        <v>70002084</v>
      </c>
      <c r="D6677" s="380" t="s">
        <v>767</v>
      </c>
      <c r="E6677" s="380" t="s">
        <v>786</v>
      </c>
      <c r="F6677" s="380" t="s">
        <v>792</v>
      </c>
      <c r="G6677" s="380" t="s">
        <v>1267</v>
      </c>
      <c r="H6677" s="380" t="s">
        <v>771</v>
      </c>
      <c r="I6677" s="380" t="s">
        <v>788</v>
      </c>
      <c r="J6677" s="380" t="s">
        <v>773</v>
      </c>
      <c r="K6677" s="381">
        <v>0.0</v>
      </c>
      <c r="L6677" s="382">
        <v>1.0</v>
      </c>
    </row>
    <row r="6678">
      <c r="A6678" s="380" t="s">
        <v>7552</v>
      </c>
      <c r="B6678" s="380" t="str">
        <f>IFERROR(__xludf.DUMMYFUNCTION("""COMPUTED_VALUE"""),"Mold Manij Int Pta Del Izq N200 24520558")</f>
        <v>Mold Manij Int Pta Del Izq N200 24520558</v>
      </c>
      <c r="C6678" s="380" t="str">
        <f>IFERROR(__xludf.DUMMYFUNCTION("""COMPUTED_VALUE"""),"70002085")</f>
        <v>70002085</v>
      </c>
      <c r="D6678" s="380" t="s">
        <v>767</v>
      </c>
      <c r="E6678" s="380" t="s">
        <v>786</v>
      </c>
      <c r="F6678" s="380" t="s">
        <v>792</v>
      </c>
      <c r="G6678" s="380" t="s">
        <v>1267</v>
      </c>
      <c r="H6678" s="380" t="s">
        <v>771</v>
      </c>
      <c r="I6678" s="380" t="s">
        <v>788</v>
      </c>
      <c r="J6678" s="380" t="s">
        <v>773</v>
      </c>
      <c r="K6678" s="381">
        <v>0.0</v>
      </c>
      <c r="L6678" s="382">
        <v>1.0</v>
      </c>
    </row>
    <row r="6679">
      <c r="A6679" s="380" t="s">
        <v>7553</v>
      </c>
      <c r="B6679" s="380" t="str">
        <f>IFERROR(__xludf.DUMMYFUNCTION("""COMPUTED_VALUE"""),"Manija Izq Pta Corrediz Foton 7010234866")</f>
        <v>Manija Izq Pta Corrediz Foton 7010234866</v>
      </c>
      <c r="C6679" s="380" t="str">
        <f>IFERROR(__xludf.DUMMYFUNCTION("""COMPUTED_VALUE"""),"70002086")</f>
        <v>70002086</v>
      </c>
      <c r="D6679" s="380" t="s">
        <v>767</v>
      </c>
      <c r="E6679" s="380" t="s">
        <v>786</v>
      </c>
      <c r="F6679" s="380" t="s">
        <v>792</v>
      </c>
      <c r="G6679" s="380" t="s">
        <v>1267</v>
      </c>
      <c r="H6679" s="380" t="s">
        <v>771</v>
      </c>
      <c r="I6679" s="380" t="s">
        <v>788</v>
      </c>
      <c r="J6679" s="380" t="s">
        <v>773</v>
      </c>
      <c r="K6679" s="381">
        <v>0.0</v>
      </c>
      <c r="L6679" s="382">
        <v>1.0</v>
      </c>
    </row>
    <row r="6680">
      <c r="A6680" s="380" t="s">
        <v>7554</v>
      </c>
      <c r="B6680" s="380" t="str">
        <f>IFERROR(__xludf.DUMMYFUNCTION("""COMPUTED_VALUE"""),"Conjunto Casco Esqui Der Jack 5302200LE0")</f>
        <v>Conjunto Casco Esqui Der Jack 5302200LE0</v>
      </c>
      <c r="C6680" s="380" t="str">
        <f>IFERROR(__xludf.DUMMYFUNCTION("""COMPUTED_VALUE"""),"70002087")</f>
        <v>70002087</v>
      </c>
      <c r="D6680" s="380" t="s">
        <v>767</v>
      </c>
      <c r="E6680" s="380" t="s">
        <v>786</v>
      </c>
      <c r="F6680" s="380" t="s">
        <v>792</v>
      </c>
      <c r="G6680" s="380" t="s">
        <v>1267</v>
      </c>
      <c r="H6680" s="380" t="s">
        <v>771</v>
      </c>
      <c r="I6680" s="380" t="s">
        <v>788</v>
      </c>
      <c r="J6680" s="380" t="s">
        <v>773</v>
      </c>
      <c r="K6680" s="381">
        <v>0.0</v>
      </c>
      <c r="L6680" s="382">
        <v>1.0</v>
      </c>
    </row>
    <row r="6681">
      <c r="A6681" s="380" t="s">
        <v>7555</v>
      </c>
      <c r="B6681" s="380" t="str">
        <f>IFERROR(__xludf.DUMMYFUNCTION("""COMPUTED_VALUE"""),"Estribo Der Jack 8405200LD010")</f>
        <v>Estribo Der Jack 8405200LD010</v>
      </c>
      <c r="C6681" s="380" t="str">
        <f>IFERROR(__xludf.DUMMYFUNCTION("""COMPUTED_VALUE"""),"70002088")</f>
        <v>70002088</v>
      </c>
      <c r="D6681" s="380" t="s">
        <v>767</v>
      </c>
      <c r="E6681" s="380" t="s">
        <v>786</v>
      </c>
      <c r="F6681" s="380" t="s">
        <v>792</v>
      </c>
      <c r="G6681" s="380" t="s">
        <v>1267</v>
      </c>
      <c r="H6681" s="380" t="s">
        <v>771</v>
      </c>
      <c r="I6681" s="380" t="s">
        <v>788</v>
      </c>
      <c r="J6681" s="380" t="s">
        <v>773</v>
      </c>
      <c r="K6681" s="381">
        <v>0.0</v>
      </c>
      <c r="L6681" s="382">
        <v>1.0</v>
      </c>
    </row>
    <row r="6682">
      <c r="A6682" s="380" t="s">
        <v>7556</v>
      </c>
      <c r="B6682" s="380" t="str">
        <f>IFERROR(__xludf.DUMMYFUNCTION("""COMPUTED_VALUE"""),"Lampara Direc Der Jack 4111020LE1")</f>
        <v>Lampara Direc Der Jack 4111020LE1</v>
      </c>
      <c r="C6682" s="380" t="str">
        <f>IFERROR(__xludf.DUMMYFUNCTION("""COMPUTED_VALUE"""),"70002089")</f>
        <v>70002089</v>
      </c>
      <c r="D6682" s="380" t="s">
        <v>767</v>
      </c>
      <c r="E6682" s="380" t="s">
        <v>786</v>
      </c>
      <c r="F6682" s="380" t="s">
        <v>792</v>
      </c>
      <c r="G6682" s="380" t="s">
        <v>1267</v>
      </c>
      <c r="H6682" s="380" t="s">
        <v>771</v>
      </c>
      <c r="I6682" s="380" t="s">
        <v>788</v>
      </c>
      <c r="J6682" s="380" t="s">
        <v>773</v>
      </c>
      <c r="K6682" s="381">
        <v>0.0</v>
      </c>
      <c r="L6682" s="382">
        <v>1.0</v>
      </c>
    </row>
    <row r="6683">
      <c r="A6683" s="380" t="s">
        <v>7557</v>
      </c>
      <c r="B6683" s="380" t="str">
        <f>IFERROR(__xludf.DUMMYFUNCTION("""COMPUTED_VALUE"""),"Tapa Tanque Comb Hino Dutro500 77310E024")</f>
        <v>Tapa Tanque Comb Hino Dutro500 77310E024</v>
      </c>
      <c r="C6683" s="380" t="str">
        <f>IFERROR(__xludf.DUMMYFUNCTION("""COMPUTED_VALUE"""),"70002090")</f>
        <v>70002090</v>
      </c>
      <c r="D6683" s="380" t="s">
        <v>767</v>
      </c>
      <c r="E6683" s="380" t="s">
        <v>786</v>
      </c>
      <c r="F6683" s="380" t="s">
        <v>792</v>
      </c>
      <c r="G6683" s="380" t="s">
        <v>1267</v>
      </c>
      <c r="H6683" s="380" t="s">
        <v>771</v>
      </c>
      <c r="I6683" s="380" t="s">
        <v>788</v>
      </c>
      <c r="J6683" s="380" t="s">
        <v>773</v>
      </c>
      <c r="K6683" s="381">
        <v>0.0</v>
      </c>
      <c r="L6683" s="382">
        <v>1.0</v>
      </c>
    </row>
    <row r="6684">
      <c r="A6684" s="380" t="s">
        <v>7558</v>
      </c>
      <c r="B6684" s="380" t="str">
        <f>IFERROR(__xludf.DUMMYFUNCTION("""COMPUTED_VALUE"""),"Clip Manija Ext Puerta Izq Nkr8978526521")</f>
        <v>Clip Manija Ext Puerta Izq Nkr8978526521</v>
      </c>
      <c r="C6684" s="380" t="str">
        <f>IFERROR(__xludf.DUMMYFUNCTION("""COMPUTED_VALUE"""),"70002091")</f>
        <v>70002091</v>
      </c>
      <c r="D6684" s="380" t="s">
        <v>767</v>
      </c>
      <c r="E6684" s="380" t="s">
        <v>786</v>
      </c>
      <c r="F6684" s="380" t="s">
        <v>792</v>
      </c>
      <c r="G6684" s="380" t="s">
        <v>1267</v>
      </c>
      <c r="H6684" s="380" t="s">
        <v>771</v>
      </c>
      <c r="I6684" s="380" t="s">
        <v>788</v>
      </c>
      <c r="J6684" s="380" t="s">
        <v>773</v>
      </c>
      <c r="K6684" s="381">
        <v>0.0</v>
      </c>
      <c r="L6684" s="382">
        <v>1.0</v>
      </c>
    </row>
    <row r="6685">
      <c r="A6685" s="380" t="s">
        <v>7559</v>
      </c>
      <c r="B6685" s="380" t="str">
        <f>IFERROR(__xludf.DUMMYFUNCTION("""COMPUTED_VALUE"""),"Guaya Select Cambio Jac 1042 1703200LD3")</f>
        <v>Guaya Select Cambio Jac 1042 1703200LD3</v>
      </c>
      <c r="C6685" s="380" t="str">
        <f>IFERROR(__xludf.DUMMYFUNCTION("""COMPUTED_VALUE"""),"70002092")</f>
        <v>70002092</v>
      </c>
      <c r="D6685" s="380" t="s">
        <v>767</v>
      </c>
      <c r="E6685" s="380" t="s">
        <v>786</v>
      </c>
      <c r="F6685" s="380" t="s">
        <v>928</v>
      </c>
      <c r="G6685" s="380" t="s">
        <v>1267</v>
      </c>
      <c r="H6685" s="380" t="s">
        <v>771</v>
      </c>
      <c r="I6685" s="380" t="s">
        <v>788</v>
      </c>
      <c r="J6685" s="380" t="s">
        <v>773</v>
      </c>
      <c r="K6685" s="381">
        <v>0.0</v>
      </c>
      <c r="L6685" s="382">
        <v>1.0</v>
      </c>
    </row>
    <row r="6686">
      <c r="A6686" s="380" t="s">
        <v>7560</v>
      </c>
      <c r="B6686" s="380" t="str">
        <f>IFERROR(__xludf.DUMMYFUNCTION("""COMPUTED_VALUE"""),"Soporte Base Bombona Prostar 2593809C1")</f>
        <v>Soporte Base Bombona Prostar 2593809C1</v>
      </c>
      <c r="C6686" s="380" t="str">
        <f>IFERROR(__xludf.DUMMYFUNCTION("""COMPUTED_VALUE"""),"70002093")</f>
        <v>70002093</v>
      </c>
      <c r="D6686" s="380" t="s">
        <v>767</v>
      </c>
      <c r="E6686" s="380" t="s">
        <v>786</v>
      </c>
      <c r="F6686" s="380" t="s">
        <v>792</v>
      </c>
      <c r="G6686" s="380" t="s">
        <v>1267</v>
      </c>
      <c r="H6686" s="380" t="s">
        <v>771</v>
      </c>
      <c r="I6686" s="380" t="s">
        <v>788</v>
      </c>
      <c r="J6686" s="380" t="s">
        <v>773</v>
      </c>
      <c r="K6686" s="381">
        <v>0.0</v>
      </c>
      <c r="L6686" s="382">
        <v>1.0</v>
      </c>
    </row>
    <row r="6687">
      <c r="A6687" s="380" t="s">
        <v>7561</v>
      </c>
      <c r="B6687" s="380" t="str">
        <f>IFERROR(__xludf.DUMMYFUNCTION("""COMPUTED_VALUE"""),"Silla Conductor Npr/Nkr 8973827262")</f>
        <v>Silla Conductor Npr/Nkr 8973827262</v>
      </c>
      <c r="C6687" s="380" t="str">
        <f>IFERROR(__xludf.DUMMYFUNCTION("""COMPUTED_VALUE"""),"70002094")</f>
        <v>70002094</v>
      </c>
      <c r="D6687" s="380" t="s">
        <v>767</v>
      </c>
      <c r="E6687" s="380" t="s">
        <v>786</v>
      </c>
      <c r="F6687" s="380" t="s">
        <v>792</v>
      </c>
      <c r="G6687" s="380" t="s">
        <v>1267</v>
      </c>
      <c r="H6687" s="380" t="s">
        <v>771</v>
      </c>
      <c r="I6687" s="380" t="s">
        <v>788</v>
      </c>
      <c r="J6687" s="380" t="s">
        <v>773</v>
      </c>
      <c r="K6687" s="381">
        <v>0.0</v>
      </c>
      <c r="L6687" s="382">
        <v>1.0</v>
      </c>
    </row>
    <row r="6688">
      <c r="A6688" s="380" t="s">
        <v>7562</v>
      </c>
      <c r="B6688" s="380" t="str">
        <f>IFERROR(__xludf.DUMMYFUNCTION("""COMPUTED_VALUE"""),"Silenciador Mofle Nkr 95621565")</f>
        <v>Silenciador Mofle Nkr 95621565</v>
      </c>
      <c r="C6688" s="380" t="str">
        <f>IFERROR(__xludf.DUMMYFUNCTION("""COMPUTED_VALUE"""),"70002095")</f>
        <v>70002095</v>
      </c>
      <c r="D6688" s="380" t="s">
        <v>767</v>
      </c>
      <c r="E6688" s="380" t="s">
        <v>786</v>
      </c>
      <c r="F6688" s="380" t="s">
        <v>792</v>
      </c>
      <c r="G6688" s="380" t="s">
        <v>1267</v>
      </c>
      <c r="H6688" s="380" t="s">
        <v>771</v>
      </c>
      <c r="I6688" s="380" t="s">
        <v>788</v>
      </c>
      <c r="J6688" s="380" t="s">
        <v>773</v>
      </c>
      <c r="K6688" s="381">
        <v>0.0</v>
      </c>
      <c r="L6688" s="382">
        <v>1.0</v>
      </c>
    </row>
    <row r="6689">
      <c r="A6689" s="380" t="s">
        <v>7563</v>
      </c>
      <c r="B6689" s="380" t="str">
        <f>IFERROR(__xludf.DUMMYFUNCTION("""COMPUTED_VALUE"""),"Espejo Ext Der N200 D06243007R")</f>
        <v>Espejo Ext Der N200 D06243007R</v>
      </c>
      <c r="C6689" s="380" t="str">
        <f>IFERROR(__xludf.DUMMYFUNCTION("""COMPUTED_VALUE"""),"70002096")</f>
        <v>70002096</v>
      </c>
      <c r="D6689" s="380" t="s">
        <v>767</v>
      </c>
      <c r="E6689" s="380" t="s">
        <v>786</v>
      </c>
      <c r="F6689" s="380" t="s">
        <v>792</v>
      </c>
      <c r="G6689" s="380" t="s">
        <v>1267</v>
      </c>
      <c r="H6689" s="380" t="s">
        <v>771</v>
      </c>
      <c r="I6689" s="380" t="s">
        <v>788</v>
      </c>
      <c r="J6689" s="380" t="s">
        <v>773</v>
      </c>
      <c r="K6689" s="381">
        <v>169932.0</v>
      </c>
      <c r="L6689" s="382">
        <v>1.0</v>
      </c>
    </row>
    <row r="6690">
      <c r="A6690" s="380" t="s">
        <v>7564</v>
      </c>
      <c r="B6690" s="380" t="str">
        <f>IFERROR(__xludf.DUMMYFUNCTION("""COMPUTED_VALUE"""),"Puerta Corrediza Izq N200")</f>
        <v>Puerta Corrediza Izq N200</v>
      </c>
      <c r="C6690" s="380" t="str">
        <f>IFERROR(__xludf.DUMMYFUNCTION("""COMPUTED_VALUE"""),"70002097")</f>
        <v>70002097</v>
      </c>
      <c r="D6690" s="380" t="s">
        <v>767</v>
      </c>
      <c r="E6690" s="380" t="s">
        <v>786</v>
      </c>
      <c r="F6690" s="380" t="s">
        <v>792</v>
      </c>
      <c r="G6690" s="380" t="s">
        <v>1267</v>
      </c>
      <c r="H6690" s="380" t="s">
        <v>771</v>
      </c>
      <c r="I6690" s="380" t="s">
        <v>788</v>
      </c>
      <c r="J6690" s="380" t="s">
        <v>773</v>
      </c>
      <c r="K6690" s="381">
        <v>0.0</v>
      </c>
      <c r="L6690" s="382">
        <v>1.0</v>
      </c>
    </row>
    <row r="6691">
      <c r="A6691" s="380" t="s">
        <v>7565</v>
      </c>
      <c r="B6691" s="380" t="str">
        <f>IFERROR(__xludf.DUMMYFUNCTION("""COMPUTED_VALUE"""),"Puerta Corrediza Der N200")</f>
        <v>Puerta Corrediza Der N200</v>
      </c>
      <c r="C6691" s="380" t="str">
        <f>IFERROR(__xludf.DUMMYFUNCTION("""COMPUTED_VALUE"""),"70002098")</f>
        <v>70002098</v>
      </c>
      <c r="D6691" s="380" t="s">
        <v>767</v>
      </c>
      <c r="E6691" s="380" t="s">
        <v>786</v>
      </c>
      <c r="F6691" s="380" t="s">
        <v>792</v>
      </c>
      <c r="G6691" s="380" t="s">
        <v>1267</v>
      </c>
      <c r="H6691" s="380" t="s">
        <v>771</v>
      </c>
      <c r="I6691" s="380" t="s">
        <v>788</v>
      </c>
      <c r="J6691" s="380" t="s">
        <v>773</v>
      </c>
      <c r="K6691" s="381">
        <v>0.0</v>
      </c>
      <c r="L6691" s="382">
        <v>1.0</v>
      </c>
    </row>
    <row r="6692">
      <c r="A6692" s="380" t="s">
        <v>7566</v>
      </c>
      <c r="B6692" s="380" t="str">
        <f>IFERROR(__xludf.DUMMYFUNCTION("""COMPUTED_VALUE"""),"Puerta Del Izq N200")</f>
        <v>Puerta Del Izq N200</v>
      </c>
      <c r="C6692" s="380" t="str">
        <f>IFERROR(__xludf.DUMMYFUNCTION("""COMPUTED_VALUE"""),"70002099")</f>
        <v>70002099</v>
      </c>
      <c r="D6692" s="380" t="s">
        <v>767</v>
      </c>
      <c r="E6692" s="380" t="s">
        <v>786</v>
      </c>
      <c r="F6692" s="380" t="s">
        <v>792</v>
      </c>
      <c r="G6692" s="380" t="s">
        <v>1267</v>
      </c>
      <c r="H6692" s="380" t="s">
        <v>771</v>
      </c>
      <c r="I6692" s="380" t="s">
        <v>788</v>
      </c>
      <c r="J6692" s="380" t="s">
        <v>773</v>
      </c>
      <c r="K6692" s="381">
        <v>0.0</v>
      </c>
      <c r="L6692" s="382">
        <v>1.0</v>
      </c>
    </row>
    <row r="6693">
      <c r="A6693" s="380" t="s">
        <v>7567</v>
      </c>
      <c r="B6693" s="380" t="str">
        <f>IFERROR(__xludf.DUMMYFUNCTION("""COMPUTED_VALUE"""),"Manija Apertura Capo 9035850 N 200")</f>
        <v>Manija Apertura Capo 9035850 N 200</v>
      </c>
      <c r="C6693" s="380" t="str">
        <f>IFERROR(__xludf.DUMMYFUNCTION("""COMPUTED_VALUE"""),"70002100")</f>
        <v>70002100</v>
      </c>
      <c r="D6693" s="380" t="s">
        <v>767</v>
      </c>
      <c r="E6693" s="380" t="s">
        <v>786</v>
      </c>
      <c r="F6693" s="380" t="s">
        <v>792</v>
      </c>
      <c r="G6693" s="380" t="s">
        <v>1267</v>
      </c>
      <c r="H6693" s="380" t="s">
        <v>771</v>
      </c>
      <c r="I6693" s="380" t="s">
        <v>788</v>
      </c>
      <c r="J6693" s="380" t="s">
        <v>773</v>
      </c>
      <c r="K6693" s="381">
        <v>0.0</v>
      </c>
      <c r="L6693" s="382">
        <v>1.0</v>
      </c>
    </row>
    <row r="6694">
      <c r="A6694" s="380" t="s">
        <v>7568</v>
      </c>
      <c r="B6694" s="380" t="str">
        <f>IFERROR(__xludf.DUMMYFUNCTION("""COMPUTED_VALUE"""),"Puntera Chasis Izq KW B111026")</f>
        <v>Puntera Chasis Izq KW B111026</v>
      </c>
      <c r="C6694" s="380" t="str">
        <f>IFERROR(__xludf.DUMMYFUNCTION("""COMPUTED_VALUE"""),"70002101")</f>
        <v>70002101</v>
      </c>
      <c r="D6694" s="380" t="s">
        <v>767</v>
      </c>
      <c r="E6694" s="380" t="s">
        <v>786</v>
      </c>
      <c r="F6694" s="380" t="s">
        <v>792</v>
      </c>
      <c r="G6694" s="380" t="s">
        <v>1267</v>
      </c>
      <c r="H6694" s="380" t="s">
        <v>771</v>
      </c>
      <c r="I6694" s="380" t="s">
        <v>788</v>
      </c>
      <c r="J6694" s="380" t="s">
        <v>773</v>
      </c>
      <c r="K6694" s="381">
        <v>0.0</v>
      </c>
      <c r="L6694" s="382">
        <v>1.0</v>
      </c>
    </row>
    <row r="6695">
      <c r="A6695" s="380" t="s">
        <v>7569</v>
      </c>
      <c r="B6695" s="380" t="str">
        <f>IFERROR(__xludf.DUMMYFUNCTION("""COMPUTED_VALUE"""),"Puntera Chasis Der KW B111026")</f>
        <v>Puntera Chasis Der KW B111026</v>
      </c>
      <c r="C6695" s="380" t="str">
        <f>IFERROR(__xludf.DUMMYFUNCTION("""COMPUTED_VALUE"""),"70002102")</f>
        <v>70002102</v>
      </c>
      <c r="D6695" s="380" t="s">
        <v>767</v>
      </c>
      <c r="E6695" s="380" t="s">
        <v>786</v>
      </c>
      <c r="F6695" s="380" t="s">
        <v>792</v>
      </c>
      <c r="G6695" s="380" t="s">
        <v>1267</v>
      </c>
      <c r="H6695" s="380" t="s">
        <v>771</v>
      </c>
      <c r="I6695" s="380" t="s">
        <v>788</v>
      </c>
      <c r="J6695" s="380" t="s">
        <v>773</v>
      </c>
      <c r="K6695" s="381">
        <v>0.0</v>
      </c>
      <c r="L6695" s="382">
        <v>1.0</v>
      </c>
    </row>
    <row r="6696">
      <c r="A6696" s="380" t="s">
        <v>7570</v>
      </c>
      <c r="B6696" s="380" t="str">
        <f>IFERROR(__xludf.DUMMYFUNCTION("""COMPUTED_VALUE"""),"Cable Aire Tanque Prostar 455415C1")</f>
        <v>Cable Aire Tanque Prostar 455415C1</v>
      </c>
      <c r="C6696" s="380" t="str">
        <f>IFERROR(__xludf.DUMMYFUNCTION("""COMPUTED_VALUE"""),"70002103")</f>
        <v>70002103</v>
      </c>
      <c r="D6696" s="380" t="s">
        <v>767</v>
      </c>
      <c r="E6696" s="380" t="s">
        <v>786</v>
      </c>
      <c r="F6696" s="380" t="s">
        <v>792</v>
      </c>
      <c r="G6696" s="380" t="s">
        <v>1267</v>
      </c>
      <c r="H6696" s="380" t="s">
        <v>771</v>
      </c>
      <c r="I6696" s="380" t="s">
        <v>788</v>
      </c>
      <c r="J6696" s="380" t="s">
        <v>773</v>
      </c>
      <c r="K6696" s="381">
        <v>174335.0</v>
      </c>
      <c r="L6696" s="382">
        <v>1.0</v>
      </c>
    </row>
    <row r="6697">
      <c r="A6697" s="380" t="s">
        <v>7571</v>
      </c>
      <c r="B6697" s="380" t="str">
        <f>IFERROR(__xludf.DUMMYFUNCTION("""COMPUTED_VALUE"""),"Tanque Aire Prim Y Sec Prostar 3832973C1")</f>
        <v>Tanque Aire Prim Y Sec Prostar 3832973C1</v>
      </c>
      <c r="C6697" s="380" t="str">
        <f>IFERROR(__xludf.DUMMYFUNCTION("""COMPUTED_VALUE"""),"70002104")</f>
        <v>70002104</v>
      </c>
      <c r="D6697" s="380" t="s">
        <v>767</v>
      </c>
      <c r="E6697" s="380" t="s">
        <v>786</v>
      </c>
      <c r="F6697" s="380" t="s">
        <v>792</v>
      </c>
      <c r="G6697" s="380" t="s">
        <v>1267</v>
      </c>
      <c r="H6697" s="380" t="s">
        <v>771</v>
      </c>
      <c r="I6697" s="380" t="s">
        <v>788</v>
      </c>
      <c r="J6697" s="380" t="s">
        <v>773</v>
      </c>
      <c r="K6697" s="381">
        <v>1522716.0</v>
      </c>
      <c r="L6697" s="382">
        <v>1.0</v>
      </c>
    </row>
    <row r="6698">
      <c r="A6698" s="380" t="s">
        <v>7572</v>
      </c>
      <c r="B6698" s="380" t="str">
        <f>IFERROR(__xludf.DUMMYFUNCTION("""COMPUTED_VALUE"""),"Bomper Kenworth T800")</f>
        <v>Bomper Kenworth T800</v>
      </c>
      <c r="C6698" s="380" t="str">
        <f>IFERROR(__xludf.DUMMYFUNCTION("""COMPUTED_VALUE"""),"70002105")</f>
        <v>70002105</v>
      </c>
      <c r="D6698" s="380" t="s">
        <v>767</v>
      </c>
      <c r="E6698" s="380" t="s">
        <v>786</v>
      </c>
      <c r="F6698" s="380" t="s">
        <v>792</v>
      </c>
      <c r="G6698" s="380" t="s">
        <v>1267</v>
      </c>
      <c r="H6698" s="380" t="s">
        <v>771</v>
      </c>
      <c r="I6698" s="380" t="s">
        <v>788</v>
      </c>
      <c r="J6698" s="380" t="s">
        <v>773</v>
      </c>
      <c r="K6698" s="381">
        <v>0.0</v>
      </c>
      <c r="L6698" s="382">
        <v>1.0</v>
      </c>
    </row>
    <row r="6699">
      <c r="A6699" s="380" t="s">
        <v>7573</v>
      </c>
      <c r="B6699" s="380" t="str">
        <f>IFERROR(__xludf.DUMMYFUNCTION("""COMPUTED_VALUE"""),"Cinta Reflectiva Roja Metros")</f>
        <v>Cinta Reflectiva Roja Metros</v>
      </c>
      <c r="C6699" s="380" t="str">
        <f>IFERROR(__xludf.DUMMYFUNCTION("""COMPUTED_VALUE"""),"70002106")</f>
        <v>70002106</v>
      </c>
      <c r="D6699" s="380" t="s">
        <v>767</v>
      </c>
      <c r="E6699" s="380" t="s">
        <v>786</v>
      </c>
      <c r="F6699" s="380" t="s">
        <v>792</v>
      </c>
      <c r="G6699" s="380" t="s">
        <v>1267</v>
      </c>
      <c r="H6699" s="380" t="s">
        <v>771</v>
      </c>
      <c r="I6699" s="380" t="s">
        <v>788</v>
      </c>
      <c r="J6699" s="380" t="s">
        <v>773</v>
      </c>
      <c r="K6699" s="381">
        <v>0.0</v>
      </c>
      <c r="L6699" s="382">
        <v>1.0</v>
      </c>
    </row>
    <row r="6700">
      <c r="A6700" s="380" t="s">
        <v>7574</v>
      </c>
      <c r="B6700" s="380" t="str">
        <f>IFERROR(__xludf.DUMMYFUNCTION("""COMPUTED_VALUE"""),"Valvula Suspens Cabina Prostar LCV3409")</f>
        <v>Valvula Suspens Cabina Prostar LCV3409</v>
      </c>
      <c r="C6700" s="380" t="str">
        <f>IFERROR(__xludf.DUMMYFUNCTION("""COMPUTED_VALUE"""),"70002107")</f>
        <v>70002107</v>
      </c>
      <c r="D6700" s="380" t="s">
        <v>767</v>
      </c>
      <c r="E6700" s="380" t="s">
        <v>786</v>
      </c>
      <c r="F6700" s="380" t="s">
        <v>792</v>
      </c>
      <c r="G6700" s="380" t="s">
        <v>1267</v>
      </c>
      <c r="H6700" s="380" t="s">
        <v>771</v>
      </c>
      <c r="I6700" s="380" t="s">
        <v>788</v>
      </c>
      <c r="J6700" s="380" t="s">
        <v>773</v>
      </c>
      <c r="K6700" s="381">
        <v>0.0</v>
      </c>
      <c r="L6700" s="382">
        <v>1.0</v>
      </c>
    </row>
    <row r="6701">
      <c r="A6701" s="380" t="s">
        <v>7575</v>
      </c>
      <c r="B6701" s="380" t="str">
        <f>IFERROR(__xludf.DUMMYFUNCTION("""COMPUTED_VALUE"""),"Horquilla Rango Media Caja 16915 A-5159")</f>
        <v>Horquilla Rango Media Caja 16915 A-5159</v>
      </c>
      <c r="C6701" s="380" t="str">
        <f>IFERROR(__xludf.DUMMYFUNCTION("""COMPUTED_VALUE"""),"70002108")</f>
        <v>70002108</v>
      </c>
      <c r="D6701" s="380" t="s">
        <v>767</v>
      </c>
      <c r="E6701" s="380" t="s">
        <v>786</v>
      </c>
      <c r="F6701" s="380" t="s">
        <v>928</v>
      </c>
      <c r="G6701" s="380" t="s">
        <v>1267</v>
      </c>
      <c r="H6701" s="380" t="s">
        <v>771</v>
      </c>
      <c r="I6701" s="380" t="s">
        <v>788</v>
      </c>
      <c r="J6701" s="380" t="s">
        <v>773</v>
      </c>
      <c r="K6701" s="381">
        <v>0.0</v>
      </c>
      <c r="L6701" s="382">
        <v>1.0</v>
      </c>
    </row>
    <row r="6702">
      <c r="A6702" s="380" t="s">
        <v>7576</v>
      </c>
      <c r="B6702" s="380" t="str">
        <f>IFERROR(__xludf.DUMMYFUNCTION("""COMPUTED_VALUE"""),"Pin Eje Corredizo Caja 16915 62054")</f>
        <v>Pin Eje Corredizo Caja 16915 62054</v>
      </c>
      <c r="C6702" s="380" t="str">
        <f>IFERROR(__xludf.DUMMYFUNCTION("""COMPUTED_VALUE"""),"70002109")</f>
        <v>70002109</v>
      </c>
      <c r="D6702" s="380" t="s">
        <v>767</v>
      </c>
      <c r="E6702" s="380" t="s">
        <v>786</v>
      </c>
      <c r="F6702" s="380" t="s">
        <v>928</v>
      </c>
      <c r="G6702" s="380" t="s">
        <v>1267</v>
      </c>
      <c r="H6702" s="380" t="s">
        <v>771</v>
      </c>
      <c r="I6702" s="380" t="s">
        <v>788</v>
      </c>
      <c r="J6702" s="380" t="s">
        <v>773</v>
      </c>
      <c r="K6702" s="381">
        <v>0.0</v>
      </c>
      <c r="L6702" s="382">
        <v>1.0</v>
      </c>
    </row>
    <row r="6703">
      <c r="A6703" s="380" t="s">
        <v>7577</v>
      </c>
      <c r="B6703" s="380" t="str">
        <f>IFERROR(__xludf.DUMMYFUNCTION("""COMPUTED_VALUE"""),"Engranaje Primera Caja 16915 4305905")</f>
        <v>Engranaje Primera Caja 16915 4305905</v>
      </c>
      <c r="C6703" s="380" t="str">
        <f>IFERROR(__xludf.DUMMYFUNCTION("""COMPUTED_VALUE"""),"70002110")</f>
        <v>70002110</v>
      </c>
      <c r="D6703" s="380" t="s">
        <v>767</v>
      </c>
      <c r="E6703" s="380" t="s">
        <v>786</v>
      </c>
      <c r="F6703" s="380" t="s">
        <v>928</v>
      </c>
      <c r="G6703" s="380" t="s">
        <v>1267</v>
      </c>
      <c r="H6703" s="380" t="s">
        <v>771</v>
      </c>
      <c r="I6703" s="380" t="s">
        <v>788</v>
      </c>
      <c r="J6703" s="380" t="s">
        <v>773</v>
      </c>
      <c r="K6703" s="381">
        <v>0.0</v>
      </c>
      <c r="L6703" s="382">
        <v>1.0</v>
      </c>
    </row>
    <row r="6704">
      <c r="A6704" s="380" t="s">
        <v>7578</v>
      </c>
      <c r="B6704" s="380" t="str">
        <f>IFERROR(__xludf.DUMMYFUNCTION("""COMPUTED_VALUE"""),"Pin Guaya Selec Cambi Nkr Rew 1097012091")</f>
        <v>Pin Guaya Selec Cambi Nkr Rew 1097012091</v>
      </c>
      <c r="C6704" s="380" t="str">
        <f>IFERROR(__xludf.DUMMYFUNCTION("""COMPUTED_VALUE"""),"70002111")</f>
        <v>70002111</v>
      </c>
      <c r="D6704" s="380" t="s">
        <v>767</v>
      </c>
      <c r="E6704" s="380" t="s">
        <v>786</v>
      </c>
      <c r="F6704" s="380" t="s">
        <v>928</v>
      </c>
      <c r="G6704" s="380" t="s">
        <v>1267</v>
      </c>
      <c r="H6704" s="380" t="s">
        <v>771</v>
      </c>
      <c r="I6704" s="380" t="s">
        <v>788</v>
      </c>
      <c r="J6704" s="380" t="s">
        <v>773</v>
      </c>
      <c r="K6704" s="381">
        <v>0.0</v>
      </c>
      <c r="L6704" s="382">
        <v>1.0</v>
      </c>
    </row>
    <row r="6705">
      <c r="A6705" s="380" t="s">
        <v>7579</v>
      </c>
      <c r="B6705" s="380" t="str">
        <f>IFERROR(__xludf.DUMMYFUNCTION("""COMPUTED_VALUE"""),"Carcasa Media Caja 16918 Eagle 4303586")</f>
        <v>Carcasa Media Caja 16918 Eagle 4303586</v>
      </c>
      <c r="C6705" s="380" t="str">
        <f>IFERROR(__xludf.DUMMYFUNCTION("""COMPUTED_VALUE"""),"70002112")</f>
        <v>70002112</v>
      </c>
      <c r="D6705" s="380" t="s">
        <v>767</v>
      </c>
      <c r="E6705" s="380" t="s">
        <v>786</v>
      </c>
      <c r="F6705" s="380" t="s">
        <v>928</v>
      </c>
      <c r="G6705" s="380" t="s">
        <v>1267</v>
      </c>
      <c r="H6705" s="380" t="s">
        <v>771</v>
      </c>
      <c r="I6705" s="380" t="s">
        <v>788</v>
      </c>
      <c r="J6705" s="380" t="s">
        <v>773</v>
      </c>
      <c r="K6705" s="381">
        <v>0.0</v>
      </c>
      <c r="L6705" s="382">
        <v>1.0</v>
      </c>
    </row>
    <row r="6706">
      <c r="A6706" s="380" t="s">
        <v>7580</v>
      </c>
      <c r="B6706" s="380" t="str">
        <f>IFERROR(__xludf.DUMMYFUNCTION("""COMPUTED_VALUE"""),"Cubo Desliz Sincron Nkr Rewar 8972412983")</f>
        <v>Cubo Desliz Sincron Nkr Rewar 8972412983</v>
      </c>
      <c r="C6706" s="380" t="str">
        <f>IFERROR(__xludf.DUMMYFUNCTION("""COMPUTED_VALUE"""),"70002113")</f>
        <v>70002113</v>
      </c>
      <c r="D6706" s="380" t="s">
        <v>767</v>
      </c>
      <c r="E6706" s="380" t="s">
        <v>786</v>
      </c>
      <c r="F6706" s="380" t="s">
        <v>928</v>
      </c>
      <c r="G6706" s="380" t="s">
        <v>1267</v>
      </c>
      <c r="H6706" s="380" t="s">
        <v>771</v>
      </c>
      <c r="I6706" s="380" t="s">
        <v>788</v>
      </c>
      <c r="J6706" s="380" t="s">
        <v>773</v>
      </c>
      <c r="K6706" s="381">
        <v>0.0</v>
      </c>
      <c r="L6706" s="382">
        <v>1.0</v>
      </c>
    </row>
    <row r="6707">
      <c r="A6707" s="380" t="s">
        <v>7581</v>
      </c>
      <c r="B6707" s="380" t="str">
        <f>IFERROR(__xludf.DUMMYFUNCTION("""COMPUTED_VALUE"""),"Kit Rodilleria Caja Fuller 16915 K3233")</f>
        <v>Kit Rodilleria Caja Fuller 16915 K3233</v>
      </c>
      <c r="C6707" s="380" t="str">
        <f>IFERROR(__xludf.DUMMYFUNCTION("""COMPUTED_VALUE"""),"70002114")</f>
        <v>70002114</v>
      </c>
      <c r="D6707" s="380" t="s">
        <v>767</v>
      </c>
      <c r="E6707" s="380" t="s">
        <v>786</v>
      </c>
      <c r="F6707" s="380" t="s">
        <v>928</v>
      </c>
      <c r="G6707" s="380" t="s">
        <v>1267</v>
      </c>
      <c r="H6707" s="380" t="s">
        <v>771</v>
      </c>
      <c r="I6707" s="380" t="s">
        <v>788</v>
      </c>
      <c r="J6707" s="380" t="s">
        <v>773</v>
      </c>
      <c r="K6707" s="381">
        <v>0.0</v>
      </c>
      <c r="L6707" s="382">
        <v>1.0</v>
      </c>
    </row>
    <row r="6708">
      <c r="A6708" s="380" t="s">
        <v>7582</v>
      </c>
      <c r="B6708" s="380" t="str">
        <f>IFERROR(__xludf.DUMMYFUNCTION("""COMPUTED_VALUE"""),"Rodillo Propul Caja Nkr Rewar 8972530981")</f>
        <v>Rodillo Propul Caja Nkr Rewar 8972530981</v>
      </c>
      <c r="C6708" s="380" t="str">
        <f>IFERROR(__xludf.DUMMYFUNCTION("""COMPUTED_VALUE"""),"70002115")</f>
        <v>70002115</v>
      </c>
      <c r="D6708" s="380" t="s">
        <v>767</v>
      </c>
      <c r="E6708" s="380" t="s">
        <v>786</v>
      </c>
      <c r="F6708" s="380" t="s">
        <v>928</v>
      </c>
      <c r="G6708" s="380" t="s">
        <v>1267</v>
      </c>
      <c r="H6708" s="380" t="s">
        <v>771</v>
      </c>
      <c r="I6708" s="380" t="s">
        <v>788</v>
      </c>
      <c r="J6708" s="380" t="s">
        <v>773</v>
      </c>
      <c r="K6708" s="381">
        <v>0.0</v>
      </c>
      <c r="L6708" s="382">
        <v>1.0</v>
      </c>
    </row>
    <row r="6709">
      <c r="A6709" s="380" t="s">
        <v>7583</v>
      </c>
      <c r="B6709" s="380" t="str">
        <f>IFERROR(__xludf.DUMMYFUNCTION("""COMPUTED_VALUE"""),"Horquilla 3 Y 4 FTR FRR 8983098610")</f>
        <v>Horquilla 3 Y 4 FTR FRR 8983098610</v>
      </c>
      <c r="C6709" s="380" t="str">
        <f>IFERROR(__xludf.DUMMYFUNCTION("""COMPUTED_VALUE"""),"70002116")</f>
        <v>70002116</v>
      </c>
      <c r="D6709" s="380" t="s">
        <v>767</v>
      </c>
      <c r="E6709" s="380" t="s">
        <v>786</v>
      </c>
      <c r="F6709" s="380" t="s">
        <v>928</v>
      </c>
      <c r="G6709" s="380" t="s">
        <v>1267</v>
      </c>
      <c r="H6709" s="380" t="s">
        <v>771</v>
      </c>
      <c r="I6709" s="380" t="s">
        <v>788</v>
      </c>
      <c r="J6709" s="380" t="s">
        <v>773</v>
      </c>
      <c r="K6709" s="381">
        <v>0.0</v>
      </c>
      <c r="L6709" s="382">
        <v>1.0</v>
      </c>
    </row>
    <row r="6710">
      <c r="A6710" s="380" t="s">
        <v>7584</v>
      </c>
      <c r="B6710" s="380" t="str">
        <f>IFERROR(__xludf.DUMMYFUNCTION("""COMPUTED_VALUE"""),"Guardap Pal Cambio Foton BJ50 1023489065")</f>
        <v>Guardap Pal Cambio Foton BJ50 1023489065</v>
      </c>
      <c r="C6710" s="380" t="str">
        <f>IFERROR(__xludf.DUMMYFUNCTION("""COMPUTED_VALUE"""),"70002117")</f>
        <v>70002117</v>
      </c>
      <c r="D6710" s="380" t="s">
        <v>767</v>
      </c>
      <c r="E6710" s="380" t="s">
        <v>786</v>
      </c>
      <c r="F6710" s="380" t="s">
        <v>928</v>
      </c>
      <c r="G6710" s="380" t="s">
        <v>1267</v>
      </c>
      <c r="H6710" s="380" t="s">
        <v>771</v>
      </c>
      <c r="I6710" s="380" t="s">
        <v>788</v>
      </c>
      <c r="J6710" s="380" t="s">
        <v>773</v>
      </c>
      <c r="K6710" s="381">
        <v>0.0</v>
      </c>
      <c r="L6710" s="382">
        <v>1.0</v>
      </c>
    </row>
    <row r="6711">
      <c r="A6711" s="380" t="s">
        <v>7585</v>
      </c>
      <c r="B6711" s="380" t="str">
        <f>IFERROR(__xludf.DUMMYFUNCTION("""COMPUTED_VALUE"""),"Guaya Control Cambio Jac1120 1703040LE70")</f>
        <v>Guaya Control Cambio Jac1120 1703040LE70</v>
      </c>
      <c r="C6711" s="380" t="str">
        <f>IFERROR(__xludf.DUMMYFUNCTION("""COMPUTED_VALUE"""),"70002118")</f>
        <v>70002118</v>
      </c>
      <c r="D6711" s="380" t="s">
        <v>767</v>
      </c>
      <c r="E6711" s="380" t="s">
        <v>786</v>
      </c>
      <c r="F6711" s="380" t="s">
        <v>928</v>
      </c>
      <c r="G6711" s="380" t="s">
        <v>1267</v>
      </c>
      <c r="H6711" s="380" t="s">
        <v>771</v>
      </c>
      <c r="I6711" s="380" t="s">
        <v>788</v>
      </c>
      <c r="J6711" s="380" t="s">
        <v>773</v>
      </c>
      <c r="K6711" s="381">
        <v>0.0</v>
      </c>
      <c r="L6711" s="382">
        <v>1.0</v>
      </c>
    </row>
    <row r="6712">
      <c r="A6712" s="380" t="s">
        <v>7586</v>
      </c>
      <c r="B6712" s="380" t="str">
        <f>IFERROR(__xludf.DUMMYFUNCTION("""COMPUTED_VALUE"""),"Guaya Neutro(Ojo/Ojo)Fot 1039 5946205177")</f>
        <v>Guaya Neutro(Ojo/Ojo)Fot 1039 5946205177</v>
      </c>
      <c r="C6712" s="380" t="str">
        <f>IFERROR(__xludf.DUMMYFUNCTION("""COMPUTED_VALUE"""),"70002119")</f>
        <v>70002119</v>
      </c>
      <c r="D6712" s="380" t="s">
        <v>767</v>
      </c>
      <c r="E6712" s="380" t="s">
        <v>786</v>
      </c>
      <c r="F6712" s="380" t="s">
        <v>928</v>
      </c>
      <c r="G6712" s="380" t="s">
        <v>1267</v>
      </c>
      <c r="H6712" s="380" t="s">
        <v>771</v>
      </c>
      <c r="I6712" s="380" t="s">
        <v>788</v>
      </c>
      <c r="J6712" s="380" t="s">
        <v>773</v>
      </c>
      <c r="K6712" s="381">
        <v>0.0</v>
      </c>
      <c r="L6712" s="382">
        <v>1.0</v>
      </c>
    </row>
    <row r="6713">
      <c r="A6713" s="380" t="s">
        <v>7587</v>
      </c>
      <c r="B6713" s="380" t="str">
        <f>IFERROR(__xludf.DUMMYFUNCTION("""COMPUTED_VALUE"""),"Guaya Selec Cambio Foton 1039 1023145183")</f>
        <v>Guaya Selec Cambio Foton 1039 1023145183</v>
      </c>
      <c r="C6713" s="380" t="str">
        <f>IFERROR(__xludf.DUMMYFUNCTION("""COMPUTED_VALUE"""),"70002120")</f>
        <v>70002120</v>
      </c>
      <c r="D6713" s="380" t="s">
        <v>767</v>
      </c>
      <c r="E6713" s="380" t="s">
        <v>786</v>
      </c>
      <c r="F6713" s="380" t="s">
        <v>928</v>
      </c>
      <c r="G6713" s="380" t="s">
        <v>1267</v>
      </c>
      <c r="H6713" s="380" t="s">
        <v>771</v>
      </c>
      <c r="I6713" s="380" t="s">
        <v>788</v>
      </c>
      <c r="J6713" s="380" t="s">
        <v>773</v>
      </c>
      <c r="K6713" s="381">
        <v>0.0</v>
      </c>
      <c r="L6713" s="382">
        <v>1.0</v>
      </c>
    </row>
    <row r="6714">
      <c r="A6714" s="380" t="s">
        <v>7588</v>
      </c>
      <c r="B6714" s="380" t="str">
        <f>IFERROR(__xludf.DUMMYFUNCTION("""COMPUTED_VALUE"""),"Mangu Aire Rango Bajo Fuller 16918 55509")</f>
        <v>Mangu Aire Rango Bajo Fuller 16918 55509</v>
      </c>
      <c r="C6714" s="380" t="str">
        <f>IFERROR(__xludf.DUMMYFUNCTION("""COMPUTED_VALUE"""),"70002121")</f>
        <v>70002121</v>
      </c>
      <c r="D6714" s="380" t="s">
        <v>767</v>
      </c>
      <c r="E6714" s="380" t="s">
        <v>786</v>
      </c>
      <c r="F6714" s="380" t="s">
        <v>928</v>
      </c>
      <c r="G6714" s="380" t="s">
        <v>1267</v>
      </c>
      <c r="H6714" s="380" t="s">
        <v>771</v>
      </c>
      <c r="I6714" s="380" t="s">
        <v>788</v>
      </c>
      <c r="J6714" s="380" t="s">
        <v>773</v>
      </c>
      <c r="K6714" s="381">
        <v>0.0</v>
      </c>
      <c r="L6714" s="382">
        <v>1.0</v>
      </c>
    </row>
    <row r="6715">
      <c r="A6715" s="380" t="s">
        <v>7589</v>
      </c>
      <c r="B6715" s="380" t="str">
        <f>IFERROR(__xludf.DUMMYFUNCTION("""COMPUTED_VALUE"""),"Mecan Palan Cambios Foton1129 1023110549")</f>
        <v>Mecan Palan Cambios Foton1129 1023110549</v>
      </c>
      <c r="C6715" s="380" t="str">
        <f>IFERROR(__xludf.DUMMYFUNCTION("""COMPUTED_VALUE"""),"70002122")</f>
        <v>70002122</v>
      </c>
      <c r="D6715" s="380" t="s">
        <v>767</v>
      </c>
      <c r="E6715" s="380" t="s">
        <v>786</v>
      </c>
      <c r="F6715" s="380" t="s">
        <v>928</v>
      </c>
      <c r="G6715" s="380" t="s">
        <v>1267</v>
      </c>
      <c r="H6715" s="380" t="s">
        <v>771</v>
      </c>
      <c r="I6715" s="380" t="s">
        <v>788</v>
      </c>
      <c r="J6715" s="380" t="s">
        <v>773</v>
      </c>
      <c r="K6715" s="381">
        <v>0.0</v>
      </c>
      <c r="L6715" s="382">
        <v>1.0</v>
      </c>
    </row>
    <row r="6716">
      <c r="A6716" s="380" t="s">
        <v>7590</v>
      </c>
      <c r="B6716" s="380" t="str">
        <f>IFERROR(__xludf.DUMMYFUNCTION("""COMPUTED_VALUE"""),"Guaya Control Cambios Jac1042 1703300LD3")</f>
        <v>Guaya Control Cambios Jac1042 1703300LD3</v>
      </c>
      <c r="C6716" s="380" t="str">
        <f>IFERROR(__xludf.DUMMYFUNCTION("""COMPUTED_VALUE"""),"70002123")</f>
        <v>70002123</v>
      </c>
      <c r="D6716" s="380" t="s">
        <v>767</v>
      </c>
      <c r="E6716" s="380" t="s">
        <v>786</v>
      </c>
      <c r="F6716" s="380" t="s">
        <v>928</v>
      </c>
      <c r="G6716" s="380" t="s">
        <v>1267</v>
      </c>
      <c r="H6716" s="380" t="s">
        <v>771</v>
      </c>
      <c r="I6716" s="380" t="s">
        <v>788</v>
      </c>
      <c r="J6716" s="380" t="s">
        <v>773</v>
      </c>
      <c r="K6716" s="381">
        <v>0.0</v>
      </c>
      <c r="L6716" s="382">
        <v>1.0</v>
      </c>
    </row>
    <row r="6717">
      <c r="A6717" s="380" t="s">
        <v>7591</v>
      </c>
      <c r="B6717" s="380" t="str">
        <f>IFERROR(__xludf.DUMMYFUNCTION("""COMPUTED_VALUE"""),"Piñon Copa 34D 16975 Eagle 4303357")</f>
        <v>Piñon Copa 34D 16975 Eagle 4303357</v>
      </c>
      <c r="C6717" s="380" t="str">
        <f>IFERROR(__xludf.DUMMYFUNCTION("""COMPUTED_VALUE"""),"70002124")</f>
        <v>70002124</v>
      </c>
      <c r="D6717" s="380" t="s">
        <v>767</v>
      </c>
      <c r="E6717" s="380" t="s">
        <v>786</v>
      </c>
      <c r="F6717" s="380" t="s">
        <v>928</v>
      </c>
      <c r="G6717" s="380" t="s">
        <v>1267</v>
      </c>
      <c r="H6717" s="380" t="s">
        <v>771</v>
      </c>
      <c r="I6717" s="380" t="s">
        <v>788</v>
      </c>
      <c r="J6717" s="380" t="s">
        <v>773</v>
      </c>
      <c r="K6717" s="381">
        <v>0.0</v>
      </c>
      <c r="L6717" s="382">
        <v>1.0</v>
      </c>
    </row>
    <row r="6718">
      <c r="A6718" s="380" t="s">
        <v>7592</v>
      </c>
      <c r="B6718" s="380" t="str">
        <f>IFERROR(__xludf.DUMMYFUNCTION("""COMPUTED_VALUE"""),"Soporte Guardap Palan Camb Nkr8970662881")</f>
        <v>Soporte Guardap Palan Camb Nkr8970662881</v>
      </c>
      <c r="C6718" s="380" t="str">
        <f>IFERROR(__xludf.DUMMYFUNCTION("""COMPUTED_VALUE"""),"70002125")</f>
        <v>70002125</v>
      </c>
      <c r="D6718" s="380" t="s">
        <v>767</v>
      </c>
      <c r="E6718" s="380" t="s">
        <v>786</v>
      </c>
      <c r="F6718" s="380" t="s">
        <v>928</v>
      </c>
      <c r="G6718" s="380" t="s">
        <v>1267</v>
      </c>
      <c r="H6718" s="380" t="s">
        <v>771</v>
      </c>
      <c r="I6718" s="380" t="s">
        <v>788</v>
      </c>
      <c r="J6718" s="380" t="s">
        <v>773</v>
      </c>
      <c r="K6718" s="381">
        <v>0.0</v>
      </c>
      <c r="L6718" s="382">
        <v>1.0</v>
      </c>
    </row>
    <row r="6719">
      <c r="A6719" s="380" t="s">
        <v>7593</v>
      </c>
      <c r="B6719" s="380" t="str">
        <f>IFERROR(__xludf.DUMMYFUNCTION("""COMPUTED_VALUE"""),"Guaya Controlcambios Hino 500 33820E0Y51")</f>
        <v>Guaya Controlcambios Hino 500 33820E0Y51</v>
      </c>
      <c r="C6719" s="380" t="str">
        <f>IFERROR(__xludf.DUMMYFUNCTION("""COMPUTED_VALUE"""),"70002126")</f>
        <v>70002126</v>
      </c>
      <c r="D6719" s="380" t="s">
        <v>767</v>
      </c>
      <c r="E6719" s="380" t="s">
        <v>786</v>
      </c>
      <c r="F6719" s="380" t="s">
        <v>928</v>
      </c>
      <c r="G6719" s="380" t="s">
        <v>1267</v>
      </c>
      <c r="H6719" s="380" t="s">
        <v>771</v>
      </c>
      <c r="I6719" s="380" t="s">
        <v>788</v>
      </c>
      <c r="J6719" s="380" t="s">
        <v>773</v>
      </c>
      <c r="K6719" s="381">
        <v>0.0</v>
      </c>
      <c r="L6719" s="382">
        <v>1.0</v>
      </c>
    </row>
    <row r="6720">
      <c r="A6720" s="380" t="s">
        <v>7594</v>
      </c>
      <c r="B6720" s="380" t="str">
        <f>IFERROR(__xludf.DUMMYFUNCTION("""COMPUTED_VALUE"""),"Caja Velocidad Nkr Rewar 8973738980")</f>
        <v>Caja Velocidad Nkr Rewar 8973738980</v>
      </c>
      <c r="C6720" s="380" t="str">
        <f>IFERROR(__xludf.DUMMYFUNCTION("""COMPUTED_VALUE"""),"70002127")</f>
        <v>70002127</v>
      </c>
      <c r="D6720" s="380" t="s">
        <v>767</v>
      </c>
      <c r="E6720" s="380" t="s">
        <v>786</v>
      </c>
      <c r="F6720" s="380" t="s">
        <v>928</v>
      </c>
      <c r="G6720" s="380" t="s">
        <v>1267</v>
      </c>
      <c r="H6720" s="380" t="s">
        <v>771</v>
      </c>
      <c r="I6720" s="380" t="s">
        <v>788</v>
      </c>
      <c r="J6720" s="380" t="s">
        <v>773</v>
      </c>
      <c r="K6720" s="381">
        <v>0.0</v>
      </c>
      <c r="L6720" s="382">
        <v>1.0</v>
      </c>
    </row>
    <row r="6721">
      <c r="A6721" s="380" t="s">
        <v>7595</v>
      </c>
      <c r="B6721" s="380" t="str">
        <f>IFERROR(__xludf.DUMMYFUNCTION("""COMPUTED_VALUE"""),"Arandela Lisa Mono 14715 Eagle 21358")</f>
        <v>Arandela Lisa Mono 14715 Eagle 21358</v>
      </c>
      <c r="C6721" s="380" t="str">
        <f>IFERROR(__xludf.DUMMYFUNCTION("""COMPUTED_VALUE"""),"70002128")</f>
        <v>70002128</v>
      </c>
      <c r="D6721" s="380" t="s">
        <v>767</v>
      </c>
      <c r="E6721" s="380" t="s">
        <v>786</v>
      </c>
      <c r="F6721" s="380" t="s">
        <v>928</v>
      </c>
      <c r="G6721" s="380" t="s">
        <v>1267</v>
      </c>
      <c r="H6721" s="380" t="s">
        <v>771</v>
      </c>
      <c r="I6721" s="380" t="s">
        <v>788</v>
      </c>
      <c r="J6721" s="380" t="s">
        <v>773</v>
      </c>
      <c r="K6721" s="381">
        <v>0.0</v>
      </c>
      <c r="L6721" s="382">
        <v>1.0</v>
      </c>
    </row>
    <row r="6722">
      <c r="A6722" s="380" t="s">
        <v>7596</v>
      </c>
      <c r="B6722" s="380" t="str">
        <f>IFERROR(__xludf.DUMMYFUNCTION("""COMPUTED_VALUE"""),"Carreta Mono 14715 Eagle 21360")</f>
        <v>Carreta Mono 14715 Eagle 21360</v>
      </c>
      <c r="C6722" s="380" t="str">
        <f>IFERROR(__xludf.DUMMYFUNCTION("""COMPUTED_VALUE"""),"70002129")</f>
        <v>70002129</v>
      </c>
      <c r="D6722" s="380" t="s">
        <v>767</v>
      </c>
      <c r="E6722" s="380" t="s">
        <v>786</v>
      </c>
      <c r="F6722" s="380" t="s">
        <v>928</v>
      </c>
      <c r="G6722" s="380" t="s">
        <v>1267</v>
      </c>
      <c r="H6722" s="380" t="s">
        <v>771</v>
      </c>
      <c r="I6722" s="380" t="s">
        <v>788</v>
      </c>
      <c r="J6722" s="380" t="s">
        <v>773</v>
      </c>
      <c r="K6722" s="381">
        <v>0.0</v>
      </c>
      <c r="L6722" s="382">
        <v>1.0</v>
      </c>
    </row>
    <row r="6723">
      <c r="A6723" s="380" t="s">
        <v>7597</v>
      </c>
      <c r="B6723" s="380" t="str">
        <f>IFERROR(__xludf.DUMMYFUNCTION("""COMPUTED_VALUE"""),"Arandela Dentada Mono 14715 Eagle 21350")</f>
        <v>Arandela Dentada Mono 14715 Eagle 21350</v>
      </c>
      <c r="C6723" s="380" t="str">
        <f>IFERROR(__xludf.DUMMYFUNCTION("""COMPUTED_VALUE"""),"70002130")</f>
        <v>70002130</v>
      </c>
      <c r="D6723" s="380" t="s">
        <v>767</v>
      </c>
      <c r="E6723" s="380" t="s">
        <v>786</v>
      </c>
      <c r="F6723" s="380" t="s">
        <v>928</v>
      </c>
      <c r="G6723" s="380" t="s">
        <v>1267</v>
      </c>
      <c r="H6723" s="380" t="s">
        <v>771</v>
      </c>
      <c r="I6723" s="380" t="s">
        <v>788</v>
      </c>
      <c r="J6723" s="380" t="s">
        <v>773</v>
      </c>
      <c r="K6723" s="381">
        <v>0.0</v>
      </c>
      <c r="L6723" s="382">
        <v>1.0</v>
      </c>
    </row>
    <row r="6724">
      <c r="A6724" s="380" t="s">
        <v>7598</v>
      </c>
      <c r="B6724" s="380" t="str">
        <f>IFERROR(__xludf.DUMMYFUNCTION("""COMPUTED_VALUE"""),"Rodillo Torre 14715(21343) Eagle 4302074")</f>
        <v>Rodillo Torre 14715(21343) Eagle 4302074</v>
      </c>
      <c r="C6724" s="380" t="str">
        <f>IFERROR(__xludf.DUMMYFUNCTION("""COMPUTED_VALUE"""),"21343")</f>
        <v>21343</v>
      </c>
      <c r="D6724" s="380" t="s">
        <v>767</v>
      </c>
      <c r="E6724" s="380" t="s">
        <v>786</v>
      </c>
      <c r="F6724" s="380" t="s">
        <v>928</v>
      </c>
      <c r="G6724" s="380" t="s">
        <v>1267</v>
      </c>
      <c r="H6724" s="380" t="s">
        <v>771</v>
      </c>
      <c r="I6724" s="380" t="s">
        <v>788</v>
      </c>
      <c r="J6724" s="380" t="s">
        <v>773</v>
      </c>
      <c r="K6724" s="381">
        <v>0.0</v>
      </c>
      <c r="L6724" s="382">
        <v>1.0</v>
      </c>
    </row>
    <row r="6725">
      <c r="A6725" s="380" t="s">
        <v>7599</v>
      </c>
      <c r="B6725" s="380" t="str">
        <f>IFERROR(__xludf.DUMMYFUNCTION("""COMPUTED_VALUE"""),"Arandela Torre Mono 14715 Eagle 21342")</f>
        <v>Arandela Torre Mono 14715 Eagle 21342</v>
      </c>
      <c r="C6725" s="380" t="str">
        <f>IFERROR(__xludf.DUMMYFUNCTION("""COMPUTED_VALUE"""),"70002132")</f>
        <v>70002132</v>
      </c>
      <c r="D6725" s="380" t="s">
        <v>767</v>
      </c>
      <c r="E6725" s="380" t="s">
        <v>786</v>
      </c>
      <c r="F6725" s="380" t="s">
        <v>928</v>
      </c>
      <c r="G6725" s="380" t="s">
        <v>1267</v>
      </c>
      <c r="H6725" s="380" t="s">
        <v>771</v>
      </c>
      <c r="I6725" s="380" t="s">
        <v>788</v>
      </c>
      <c r="J6725" s="380" t="s">
        <v>773</v>
      </c>
      <c r="K6725" s="381">
        <v>0.0</v>
      </c>
      <c r="L6725" s="382">
        <v>1.0</v>
      </c>
    </row>
    <row r="6726">
      <c r="A6726" s="380" t="s">
        <v>7600</v>
      </c>
      <c r="B6726" s="380" t="str">
        <f>IFERROR(__xludf.DUMMYFUNCTION("""COMPUTED_VALUE"""),"Arandela Piñon Mono Eagle 21354")</f>
        <v>Arandela Piñon Mono Eagle 21354</v>
      </c>
      <c r="C6726" s="380" t="str">
        <f>IFERROR(__xludf.DUMMYFUNCTION("""COMPUTED_VALUE"""),"70002133")</f>
        <v>70002133</v>
      </c>
      <c r="D6726" s="380" t="s">
        <v>767</v>
      </c>
      <c r="E6726" s="380" t="s">
        <v>786</v>
      </c>
      <c r="F6726" s="380" t="s">
        <v>928</v>
      </c>
      <c r="G6726" s="380" t="s">
        <v>1267</v>
      </c>
      <c r="H6726" s="380" t="s">
        <v>771</v>
      </c>
      <c r="I6726" s="380" t="s">
        <v>788</v>
      </c>
      <c r="J6726" s="380" t="s">
        <v>773</v>
      </c>
      <c r="K6726" s="381">
        <v>0.0</v>
      </c>
      <c r="L6726" s="382">
        <v>1.0</v>
      </c>
    </row>
    <row r="6727">
      <c r="A6727" s="380" t="s">
        <v>7601</v>
      </c>
      <c r="B6727" s="380" t="str">
        <f>IFERROR(__xludf.DUMMYFUNCTION("""COMPUTED_VALUE"""),"Guaya Selectora Foton 1129 1023077903")</f>
        <v>Guaya Selectora Foton 1129 1023077903</v>
      </c>
      <c r="C6727" s="380" t="str">
        <f>IFERROR(__xludf.DUMMYFUNCTION("""COMPUTED_VALUE"""),"70002134")</f>
        <v>70002134</v>
      </c>
      <c r="D6727" s="380" t="s">
        <v>767</v>
      </c>
      <c r="E6727" s="380" t="s">
        <v>786</v>
      </c>
      <c r="F6727" s="380" t="s">
        <v>928</v>
      </c>
      <c r="G6727" s="380" t="s">
        <v>1267</v>
      </c>
      <c r="H6727" s="380" t="s">
        <v>771</v>
      </c>
      <c r="I6727" s="380" t="s">
        <v>788</v>
      </c>
      <c r="J6727" s="380" t="s">
        <v>773</v>
      </c>
      <c r="K6727" s="381">
        <v>106960.0</v>
      </c>
      <c r="L6727" s="382">
        <v>1.0</v>
      </c>
    </row>
    <row r="6728">
      <c r="A6728" s="380" t="s">
        <v>7602</v>
      </c>
      <c r="B6728" s="380" t="str">
        <f>IFERROR(__xludf.DUMMYFUNCTION("""COMPUTED_VALUE"""),"Sincronizador 2y 3 Nkr III 8971909920")</f>
        <v>Sincronizador 2y 3 Nkr III 8971909920</v>
      </c>
      <c r="C6728" s="380" t="str">
        <f>IFERROR(__xludf.DUMMYFUNCTION("""COMPUTED_VALUE"""),"70002135")</f>
        <v>70002135</v>
      </c>
      <c r="D6728" s="380" t="s">
        <v>767</v>
      </c>
      <c r="E6728" s="380" t="s">
        <v>786</v>
      </c>
      <c r="F6728" s="380" t="s">
        <v>928</v>
      </c>
      <c r="G6728" s="380" t="s">
        <v>1267</v>
      </c>
      <c r="H6728" s="380" t="s">
        <v>771</v>
      </c>
      <c r="I6728" s="380" t="s">
        <v>788</v>
      </c>
      <c r="J6728" s="380" t="s">
        <v>773</v>
      </c>
      <c r="K6728" s="381">
        <v>0.0</v>
      </c>
      <c r="L6728" s="382">
        <v>1.0</v>
      </c>
    </row>
    <row r="6729">
      <c r="A6729" s="380" t="s">
        <v>7603</v>
      </c>
      <c r="B6729" s="380" t="str">
        <f>IFERROR(__xludf.DUMMYFUNCTION("""COMPUTED_VALUE"""),"Piñon 3 Eje Corredizo 38D Nkr 8972080210")</f>
        <v>Piñon 3 Eje Corredizo 38D Nkr 8972080210</v>
      </c>
      <c r="C6729" s="380" t="str">
        <f>IFERROR(__xludf.DUMMYFUNCTION("""COMPUTED_VALUE"""),"70002136")</f>
        <v>70002136</v>
      </c>
      <c r="D6729" s="380" t="s">
        <v>767</v>
      </c>
      <c r="E6729" s="380" t="s">
        <v>786</v>
      </c>
      <c r="F6729" s="380" t="s">
        <v>928</v>
      </c>
      <c r="G6729" s="380" t="s">
        <v>1267</v>
      </c>
      <c r="H6729" s="380" t="s">
        <v>771</v>
      </c>
      <c r="I6729" s="380" t="s">
        <v>788</v>
      </c>
      <c r="J6729" s="380" t="s">
        <v>773</v>
      </c>
      <c r="K6729" s="381">
        <v>0.0</v>
      </c>
      <c r="L6729" s="382">
        <v>1.0</v>
      </c>
    </row>
    <row r="6730">
      <c r="A6730" s="380" t="s">
        <v>7604</v>
      </c>
      <c r="B6730" s="380" t="str">
        <f>IFERROR(__xludf.DUMMYFUNCTION("""COMPUTED_VALUE"""),"Balinera Eje Toma Nkr III SB0910")</f>
        <v>Balinera Eje Toma Nkr III SB0910</v>
      </c>
      <c r="C6730" s="380" t="str">
        <f>IFERROR(__xludf.DUMMYFUNCTION("""COMPUTED_VALUE"""),"70002137")</f>
        <v>70002137</v>
      </c>
      <c r="D6730" s="380" t="s">
        <v>767</v>
      </c>
      <c r="E6730" s="380" t="s">
        <v>786</v>
      </c>
      <c r="F6730" s="380" t="s">
        <v>928</v>
      </c>
      <c r="G6730" s="380" t="s">
        <v>1267</v>
      </c>
      <c r="H6730" s="380" t="s">
        <v>771</v>
      </c>
      <c r="I6730" s="380" t="s">
        <v>788</v>
      </c>
      <c r="J6730" s="380" t="s">
        <v>773</v>
      </c>
      <c r="K6730" s="381">
        <v>0.0</v>
      </c>
      <c r="L6730" s="382">
        <v>1.0</v>
      </c>
    </row>
    <row r="6731">
      <c r="A6731" s="380" t="s">
        <v>7605</v>
      </c>
      <c r="B6731" s="380" t="str">
        <f>IFERROR(__xludf.DUMMYFUNCTION("""COMPUTED_VALUE"""),"Retenedor Extension Caja Nkr 8981894430")</f>
        <v>Retenedor Extension Caja Nkr 8981894430</v>
      </c>
      <c r="C6731" s="380" t="str">
        <f>IFERROR(__xludf.DUMMYFUNCTION("""COMPUTED_VALUE"""),"70002138")</f>
        <v>70002138</v>
      </c>
      <c r="D6731" s="380" t="s">
        <v>767</v>
      </c>
      <c r="E6731" s="380" t="s">
        <v>786</v>
      </c>
      <c r="F6731" s="380" t="s">
        <v>928</v>
      </c>
      <c r="G6731" s="380" t="s">
        <v>1267</v>
      </c>
      <c r="H6731" s="380" t="s">
        <v>771</v>
      </c>
      <c r="I6731" s="380" t="s">
        <v>788</v>
      </c>
      <c r="J6731" s="380" t="s">
        <v>773</v>
      </c>
      <c r="K6731" s="381">
        <v>0.0</v>
      </c>
      <c r="L6731" s="382">
        <v>1.0</v>
      </c>
    </row>
    <row r="6732">
      <c r="A6732" s="380" t="s">
        <v>7606</v>
      </c>
      <c r="B6732" s="380" t="str">
        <f>IFERROR(__xludf.DUMMYFUNCTION("""COMPUTED_VALUE"""),"Eje Corredizo Caja N200 24531244")</f>
        <v>Eje Corredizo Caja N200 24531244</v>
      </c>
      <c r="C6732" s="380" t="str">
        <f>IFERROR(__xludf.DUMMYFUNCTION("""COMPUTED_VALUE"""),"70002139")</f>
        <v>70002139</v>
      </c>
      <c r="D6732" s="380" t="s">
        <v>767</v>
      </c>
      <c r="E6732" s="380" t="s">
        <v>786</v>
      </c>
      <c r="F6732" s="380" t="s">
        <v>928</v>
      </c>
      <c r="G6732" s="380" t="s">
        <v>1267</v>
      </c>
      <c r="H6732" s="380" t="s">
        <v>771</v>
      </c>
      <c r="I6732" s="380" t="s">
        <v>788</v>
      </c>
      <c r="J6732" s="380" t="s">
        <v>773</v>
      </c>
      <c r="K6732" s="381">
        <v>0.0</v>
      </c>
      <c r="L6732" s="382">
        <v>1.0</v>
      </c>
    </row>
    <row r="6733">
      <c r="A6733" s="380" t="s">
        <v>7607</v>
      </c>
      <c r="B6733" s="380" t="str">
        <f>IFERROR(__xludf.DUMMYFUNCTION("""COMPUTED_VALUE"""),"Pin Pasador Horquilla N200 24517068")</f>
        <v>Pin Pasador Horquilla N200 24517068</v>
      </c>
      <c r="C6733" s="380" t="str">
        <f>IFERROR(__xludf.DUMMYFUNCTION("""COMPUTED_VALUE"""),"70002140")</f>
        <v>70002140</v>
      </c>
      <c r="D6733" s="380" t="s">
        <v>767</v>
      </c>
      <c r="E6733" s="380" t="s">
        <v>786</v>
      </c>
      <c r="F6733" s="380" t="s">
        <v>928</v>
      </c>
      <c r="G6733" s="380" t="s">
        <v>1267</v>
      </c>
      <c r="H6733" s="380" t="s">
        <v>771</v>
      </c>
      <c r="I6733" s="380" t="s">
        <v>788</v>
      </c>
      <c r="J6733" s="380" t="s">
        <v>773</v>
      </c>
      <c r="K6733" s="381">
        <v>0.0</v>
      </c>
      <c r="L6733" s="382">
        <v>1.0</v>
      </c>
    </row>
    <row r="6734">
      <c r="A6734" s="380" t="s">
        <v>7608</v>
      </c>
      <c r="B6734" s="380" t="str">
        <f>IFERROR(__xludf.DUMMYFUNCTION("""COMPUTED_VALUE"""),"Retenedor Extension Caja N200 24516993")</f>
        <v>Retenedor Extension Caja N200 24516993</v>
      </c>
      <c r="C6734" s="380" t="str">
        <f>IFERROR(__xludf.DUMMYFUNCTION("""COMPUTED_VALUE"""),"70002141")</f>
        <v>70002141</v>
      </c>
      <c r="D6734" s="380" t="s">
        <v>767</v>
      </c>
      <c r="E6734" s="380" t="s">
        <v>786</v>
      </c>
      <c r="F6734" s="380" t="s">
        <v>928</v>
      </c>
      <c r="G6734" s="380" t="s">
        <v>1267</v>
      </c>
      <c r="H6734" s="380" t="s">
        <v>771</v>
      </c>
      <c r="I6734" s="380" t="s">
        <v>788</v>
      </c>
      <c r="J6734" s="380" t="s">
        <v>773</v>
      </c>
      <c r="K6734" s="381">
        <v>0.0</v>
      </c>
      <c r="L6734" s="382">
        <v>1.0</v>
      </c>
    </row>
    <row r="6735">
      <c r="A6735" s="380" t="s">
        <v>7609</v>
      </c>
      <c r="B6735" s="380" t="str">
        <f>IFERROR(__xludf.DUMMYFUNCTION("""COMPUTED_VALUE"""),"Reten Tapa Tras Caja FotonMV5 1023485081")</f>
        <v>Reten Tapa Tras Caja FotonMV5 1023485081</v>
      </c>
      <c r="C6735" s="380" t="str">
        <f>IFERROR(__xludf.DUMMYFUNCTION("""COMPUTED_VALUE"""),"70002142")</f>
        <v>70002142</v>
      </c>
      <c r="D6735" s="380" t="s">
        <v>767</v>
      </c>
      <c r="E6735" s="380" t="s">
        <v>786</v>
      </c>
      <c r="F6735" s="380" t="s">
        <v>928</v>
      </c>
      <c r="G6735" s="380" t="s">
        <v>1267</v>
      </c>
      <c r="H6735" s="380" t="s">
        <v>771</v>
      </c>
      <c r="I6735" s="380" t="s">
        <v>788</v>
      </c>
      <c r="J6735" s="380" t="s">
        <v>773</v>
      </c>
      <c r="K6735" s="381">
        <v>0.0</v>
      </c>
      <c r="L6735" s="382">
        <v>1.0</v>
      </c>
    </row>
    <row r="6736">
      <c r="A6736" s="380" t="s">
        <v>7610</v>
      </c>
      <c r="B6736" s="380" t="str">
        <f>IFERROR(__xludf.DUMMYFUNCTION("""COMPUTED_VALUE"""),"Roda Fron Propul Cja FotonMV5 1023482561")</f>
        <v>Roda Fron Propul Cja FotonMV5 1023482561</v>
      </c>
      <c r="C6736" s="380" t="str">
        <f>IFERROR(__xludf.DUMMYFUNCTION("""COMPUTED_VALUE"""),"70002143")</f>
        <v>70002143</v>
      </c>
      <c r="D6736" s="380" t="s">
        <v>767</v>
      </c>
      <c r="E6736" s="380" t="s">
        <v>786</v>
      </c>
      <c r="F6736" s="380" t="s">
        <v>928</v>
      </c>
      <c r="G6736" s="380" t="s">
        <v>1267</v>
      </c>
      <c r="H6736" s="380" t="s">
        <v>771</v>
      </c>
      <c r="I6736" s="380" t="s">
        <v>788</v>
      </c>
      <c r="J6736" s="380" t="s">
        <v>773</v>
      </c>
      <c r="K6736" s="381">
        <v>0.0</v>
      </c>
      <c r="L6736" s="382">
        <v>1.0</v>
      </c>
    </row>
    <row r="6737">
      <c r="A6737" s="380" t="s">
        <v>7611</v>
      </c>
      <c r="B6737" s="380" t="str">
        <f>IFERROR(__xludf.DUMMYFUNCTION("""COMPUTED_VALUE"""),"Rodami Frontal Caja Foton MV5 1023048259")</f>
        <v>Rodami Frontal Caja Foton MV5 1023048259</v>
      </c>
      <c r="C6737" s="380" t="str">
        <f>IFERROR(__xludf.DUMMYFUNCTION("""COMPUTED_VALUE"""),"70002144")</f>
        <v>70002144</v>
      </c>
      <c r="D6737" s="380" t="s">
        <v>767</v>
      </c>
      <c r="E6737" s="380" t="s">
        <v>786</v>
      </c>
      <c r="F6737" s="380" t="s">
        <v>928</v>
      </c>
      <c r="G6737" s="380" t="s">
        <v>1267</v>
      </c>
      <c r="H6737" s="380" t="s">
        <v>771</v>
      </c>
      <c r="I6737" s="380" t="s">
        <v>788</v>
      </c>
      <c r="J6737" s="380" t="s">
        <v>773</v>
      </c>
      <c r="K6737" s="381">
        <v>0.0</v>
      </c>
      <c r="L6737" s="382">
        <v>1.0</v>
      </c>
    </row>
    <row r="6738">
      <c r="A6738" s="380" t="s">
        <v>7612</v>
      </c>
      <c r="B6738" s="380" t="str">
        <f>IFERROR(__xludf.DUMMYFUNCTION("""COMPUTED_VALUE"""),"Anillo De Ara Sincr 5 Fot MV5 1023482127")</f>
        <v>Anillo De Ara Sincr 5 Fot MV5 1023482127</v>
      </c>
      <c r="C6738" s="380" t="str">
        <f>IFERROR(__xludf.DUMMYFUNCTION("""COMPUTED_VALUE"""),"70002145")</f>
        <v>70002145</v>
      </c>
      <c r="D6738" s="380" t="s">
        <v>767</v>
      </c>
      <c r="E6738" s="380" t="s">
        <v>786</v>
      </c>
      <c r="F6738" s="380" t="s">
        <v>928</v>
      </c>
      <c r="G6738" s="380" t="s">
        <v>1267</v>
      </c>
      <c r="H6738" s="380" t="s">
        <v>771</v>
      </c>
      <c r="I6738" s="380" t="s">
        <v>788</v>
      </c>
      <c r="J6738" s="380" t="s">
        <v>773</v>
      </c>
      <c r="K6738" s="381">
        <v>0.0</v>
      </c>
      <c r="L6738" s="382">
        <v>1.0</v>
      </c>
    </row>
    <row r="6739">
      <c r="A6739" s="380" t="s">
        <v>7613</v>
      </c>
      <c r="B6739" s="380" t="str">
        <f>IFERROR(__xludf.DUMMYFUNCTION("""COMPUTED_VALUE"""),"Rodam Front Tr Fijo Foton MV5 1023484701")</f>
        <v>Rodam Front Tr Fijo Foton MV5 1023484701</v>
      </c>
      <c r="C6739" s="380" t="str">
        <f>IFERROR(__xludf.DUMMYFUNCTION("""COMPUTED_VALUE"""),"70002146")</f>
        <v>70002146</v>
      </c>
      <c r="D6739" s="380" t="s">
        <v>767</v>
      </c>
      <c r="E6739" s="380" t="s">
        <v>786</v>
      </c>
      <c r="F6739" s="380" t="s">
        <v>928</v>
      </c>
      <c r="G6739" s="380" t="s">
        <v>1267</v>
      </c>
      <c r="H6739" s="380" t="s">
        <v>771</v>
      </c>
      <c r="I6739" s="380" t="s">
        <v>788</v>
      </c>
      <c r="J6739" s="380" t="s">
        <v>773</v>
      </c>
      <c r="K6739" s="381">
        <v>0.0</v>
      </c>
      <c r="L6739" s="382">
        <v>1.0</v>
      </c>
    </row>
    <row r="6740">
      <c r="A6740" s="380" t="s">
        <v>7614</v>
      </c>
      <c r="B6740" s="380" t="str">
        <f>IFERROR(__xludf.DUMMYFUNCTION("""COMPUTED_VALUE"""),"Pin Sincronismo Baja FotonMV5 1023484756")</f>
        <v>Pin Sincronismo Baja FotonMV5 1023484756</v>
      </c>
      <c r="C6740" s="380" t="str">
        <f>IFERROR(__xludf.DUMMYFUNCTION("""COMPUTED_VALUE"""),"70002147")</f>
        <v>70002147</v>
      </c>
      <c r="D6740" s="380" t="s">
        <v>767</v>
      </c>
      <c r="E6740" s="380" t="s">
        <v>786</v>
      </c>
      <c r="F6740" s="380" t="s">
        <v>928</v>
      </c>
      <c r="G6740" s="380" t="s">
        <v>1267</v>
      </c>
      <c r="H6740" s="380" t="s">
        <v>771</v>
      </c>
      <c r="I6740" s="380" t="s">
        <v>788</v>
      </c>
      <c r="J6740" s="380" t="s">
        <v>773</v>
      </c>
      <c r="K6740" s="381">
        <v>0.0</v>
      </c>
      <c r="L6740" s="382">
        <v>1.0</v>
      </c>
    </row>
    <row r="6741">
      <c r="A6741" s="380" t="s">
        <v>7615</v>
      </c>
      <c r="B6741" s="380" t="str">
        <f>IFERROR(__xludf.DUMMYFUNCTION("""COMPUTED_VALUE"""),"Sincronismo Baja Foton MV5 5946039918")</f>
        <v>Sincronismo Baja Foton MV5 5946039918</v>
      </c>
      <c r="C6741" s="380" t="str">
        <f>IFERROR(__xludf.DUMMYFUNCTION("""COMPUTED_VALUE"""),"70002148")</f>
        <v>70002148</v>
      </c>
      <c r="D6741" s="380" t="s">
        <v>767</v>
      </c>
      <c r="E6741" s="380" t="s">
        <v>786</v>
      </c>
      <c r="F6741" s="380" t="s">
        <v>928</v>
      </c>
      <c r="G6741" s="380" t="s">
        <v>1267</v>
      </c>
      <c r="H6741" s="380" t="s">
        <v>771</v>
      </c>
      <c r="I6741" s="380" t="s">
        <v>788</v>
      </c>
      <c r="J6741" s="380" t="s">
        <v>773</v>
      </c>
      <c r="K6741" s="381">
        <v>0.0</v>
      </c>
      <c r="L6741" s="382">
        <v>1.0</v>
      </c>
    </row>
    <row r="6742">
      <c r="A6742" s="380" t="s">
        <v>7616</v>
      </c>
      <c r="B6742" s="380" t="str">
        <f>IFERROR(__xludf.DUMMYFUNCTION("""COMPUTED_VALUE"""),"Pin Sincronismo 5ta Foton MV5 1023482202")</f>
        <v>Pin Sincronismo 5ta Foton MV5 1023482202</v>
      </c>
      <c r="C6742" s="380" t="str">
        <f>IFERROR(__xludf.DUMMYFUNCTION("""COMPUTED_VALUE"""),"70002149")</f>
        <v>70002149</v>
      </c>
      <c r="D6742" s="380" t="s">
        <v>767</v>
      </c>
      <c r="E6742" s="380" t="s">
        <v>786</v>
      </c>
      <c r="F6742" s="380" t="s">
        <v>928</v>
      </c>
      <c r="G6742" s="380" t="s">
        <v>1267</v>
      </c>
      <c r="H6742" s="380" t="s">
        <v>771</v>
      </c>
      <c r="I6742" s="380" t="s">
        <v>788</v>
      </c>
      <c r="J6742" s="380" t="s">
        <v>773</v>
      </c>
      <c r="K6742" s="381">
        <v>0.0</v>
      </c>
      <c r="L6742" s="382">
        <v>1.0</v>
      </c>
    </row>
    <row r="6743">
      <c r="A6743" s="380" t="s">
        <v>7617</v>
      </c>
      <c r="B6743" s="380" t="str">
        <f>IFERROR(__xludf.DUMMYFUNCTION("""COMPUTED_VALUE"""),"Rodam Tras Tr Fijo Foton MV5 1023484800")</f>
        <v>Rodam Tras Tr Fijo Foton MV5 1023484800</v>
      </c>
      <c r="C6743" s="380" t="str">
        <f>IFERROR(__xludf.DUMMYFUNCTION("""COMPUTED_VALUE"""),"70002150")</f>
        <v>70002150</v>
      </c>
      <c r="D6743" s="380" t="s">
        <v>767</v>
      </c>
      <c r="E6743" s="380" t="s">
        <v>786</v>
      </c>
      <c r="F6743" s="380" t="s">
        <v>928</v>
      </c>
      <c r="G6743" s="380" t="s">
        <v>1267</v>
      </c>
      <c r="H6743" s="380" t="s">
        <v>771</v>
      </c>
      <c r="I6743" s="380" t="s">
        <v>788</v>
      </c>
      <c r="J6743" s="380" t="s">
        <v>773</v>
      </c>
      <c r="K6743" s="381">
        <v>0.0</v>
      </c>
      <c r="L6743" s="382">
        <v>1.0</v>
      </c>
    </row>
    <row r="6744">
      <c r="A6744" s="380" t="s">
        <v>7618</v>
      </c>
      <c r="B6744" s="380" t="str">
        <f>IFERROR(__xludf.DUMMYFUNCTION("""COMPUTED_VALUE"""),"Piñon De 2da Foton MV5 1023484763")</f>
        <v>Piñon De 2da Foton MV5 1023484763</v>
      </c>
      <c r="C6744" s="380" t="str">
        <f>IFERROR(__xludf.DUMMYFUNCTION("""COMPUTED_VALUE"""),"70002151")</f>
        <v>70002151</v>
      </c>
      <c r="D6744" s="380" t="s">
        <v>767</v>
      </c>
      <c r="E6744" s="380" t="s">
        <v>786</v>
      </c>
      <c r="F6744" s="380" t="s">
        <v>928</v>
      </c>
      <c r="G6744" s="380" t="s">
        <v>1267</v>
      </c>
      <c r="H6744" s="380" t="s">
        <v>771</v>
      </c>
      <c r="I6744" s="380" t="s">
        <v>788</v>
      </c>
      <c r="J6744" s="380" t="s">
        <v>773</v>
      </c>
      <c r="K6744" s="381">
        <v>0.0</v>
      </c>
      <c r="L6744" s="382">
        <v>1.0</v>
      </c>
    </row>
    <row r="6745">
      <c r="A6745" s="380" t="s">
        <v>7619</v>
      </c>
      <c r="B6745" s="380" t="str">
        <f>IFERROR(__xludf.DUMMYFUNCTION("""COMPUTED_VALUE"""),"Rodamiento Tras Foton MV5 1023484688")</f>
        <v>Rodamiento Tras Foton MV5 1023484688</v>
      </c>
      <c r="C6745" s="380" t="str">
        <f>IFERROR(__xludf.DUMMYFUNCTION("""COMPUTED_VALUE"""),"70002152")</f>
        <v>70002152</v>
      </c>
      <c r="D6745" s="380" t="s">
        <v>767</v>
      </c>
      <c r="E6745" s="380" t="s">
        <v>786</v>
      </c>
      <c r="F6745" s="380" t="s">
        <v>928</v>
      </c>
      <c r="G6745" s="380" t="s">
        <v>1267</v>
      </c>
      <c r="H6745" s="380" t="s">
        <v>771</v>
      </c>
      <c r="I6745" s="380" t="s">
        <v>788</v>
      </c>
      <c r="J6745" s="380" t="s">
        <v>773</v>
      </c>
      <c r="K6745" s="381">
        <v>0.0</v>
      </c>
      <c r="L6745" s="382">
        <v>1.0</v>
      </c>
    </row>
    <row r="6746">
      <c r="A6746" s="380" t="s">
        <v>7620</v>
      </c>
      <c r="B6746" s="380" t="str">
        <f>IFERROR(__xludf.DUMMYFUNCTION("""COMPUTED_VALUE"""),"Reten Del Propulsor Foton MV5 1023482585")</f>
        <v>Reten Del Propulsor Foton MV5 1023482585</v>
      </c>
      <c r="C6746" s="380" t="str">
        <f>IFERROR(__xludf.DUMMYFUNCTION("""COMPUTED_VALUE"""),"70002153")</f>
        <v>70002153</v>
      </c>
      <c r="D6746" s="380" t="s">
        <v>767</v>
      </c>
      <c r="E6746" s="380" t="s">
        <v>786</v>
      </c>
      <c r="F6746" s="380" t="s">
        <v>928</v>
      </c>
      <c r="G6746" s="380" t="s">
        <v>1267</v>
      </c>
      <c r="H6746" s="380" t="s">
        <v>771</v>
      </c>
      <c r="I6746" s="380" t="s">
        <v>788</v>
      </c>
      <c r="J6746" s="380" t="s">
        <v>773</v>
      </c>
      <c r="K6746" s="381">
        <v>0.0</v>
      </c>
      <c r="L6746" s="382">
        <v>1.0</v>
      </c>
    </row>
    <row r="6747">
      <c r="A6747" s="380" t="s">
        <v>7621</v>
      </c>
      <c r="B6747" s="380" t="str">
        <f>IFERROR(__xludf.DUMMYFUNCTION("""COMPUTED_VALUE"""),"Arande Sincron Baja Foton MV5 1023484749")</f>
        <v>Arande Sincron Baja Foton MV5 1023484749</v>
      </c>
      <c r="C6747" s="380" t="str">
        <f>IFERROR(__xludf.DUMMYFUNCTION("""COMPUTED_VALUE"""),"70002154")</f>
        <v>70002154</v>
      </c>
      <c r="D6747" s="380" t="s">
        <v>767</v>
      </c>
      <c r="E6747" s="380" t="s">
        <v>786</v>
      </c>
      <c r="F6747" s="380" t="s">
        <v>928</v>
      </c>
      <c r="G6747" s="380" t="s">
        <v>1267</v>
      </c>
      <c r="H6747" s="380" t="s">
        <v>771</v>
      </c>
      <c r="I6747" s="380" t="s">
        <v>788</v>
      </c>
      <c r="J6747" s="380" t="s">
        <v>773</v>
      </c>
      <c r="K6747" s="381">
        <v>0.0</v>
      </c>
      <c r="L6747" s="382">
        <v>1.0</v>
      </c>
    </row>
    <row r="6748">
      <c r="A6748" s="380" t="s">
        <v>7622</v>
      </c>
      <c r="B6748" s="380" t="str">
        <f>IFERROR(__xludf.DUMMYFUNCTION("""COMPUTED_VALUE"""),"Carcaza Ppal Caja 16918 Eagle 4304498")</f>
        <v>Carcaza Ppal Caja 16918 Eagle 4304498</v>
      </c>
      <c r="C6748" s="380" t="str">
        <f>IFERROR(__xludf.DUMMYFUNCTION("""COMPUTED_VALUE"""),"70002155")</f>
        <v>70002155</v>
      </c>
      <c r="D6748" s="380" t="s">
        <v>767</v>
      </c>
      <c r="E6748" s="380" t="s">
        <v>786</v>
      </c>
      <c r="F6748" s="380" t="s">
        <v>928</v>
      </c>
      <c r="G6748" s="380" t="s">
        <v>1267</v>
      </c>
      <c r="H6748" s="380" t="s">
        <v>771</v>
      </c>
      <c r="I6748" s="380" t="s">
        <v>788</v>
      </c>
      <c r="J6748" s="380" t="s">
        <v>773</v>
      </c>
      <c r="K6748" s="381">
        <v>0.0</v>
      </c>
      <c r="L6748" s="382">
        <v>1.0</v>
      </c>
    </row>
    <row r="6749">
      <c r="A6749" s="380" t="s">
        <v>7623</v>
      </c>
      <c r="B6749" s="380" t="str">
        <f>IFERROR(__xludf.DUMMYFUNCTION("""COMPUTED_VALUE"""),"Compresor Aire AC 4546")</f>
        <v>Compresor Aire AC 4546</v>
      </c>
      <c r="C6749" s="380" t="str">
        <f>IFERROR(__xludf.DUMMYFUNCTION("""COMPUTED_VALUE"""),"70002156")</f>
        <v>70002156</v>
      </c>
      <c r="D6749" s="380" t="s">
        <v>767</v>
      </c>
      <c r="E6749" s="380" t="s">
        <v>786</v>
      </c>
      <c r="F6749" s="380" t="s">
        <v>1031</v>
      </c>
      <c r="G6749" s="380" t="s">
        <v>1267</v>
      </c>
      <c r="H6749" s="380" t="s">
        <v>771</v>
      </c>
      <c r="I6749" s="380" t="s">
        <v>788</v>
      </c>
      <c r="J6749" s="380" t="s">
        <v>773</v>
      </c>
      <c r="K6749" s="381">
        <v>0.0</v>
      </c>
      <c r="L6749" s="382">
        <v>1.0</v>
      </c>
    </row>
    <row r="6750">
      <c r="A6750" s="380" t="s">
        <v>7624</v>
      </c>
      <c r="B6750" s="380" t="str">
        <f>IFERROR(__xludf.DUMMYFUNCTION("""COMPUTED_VALUE"""),"Suiche Cabi Alta Pres A/C Eagle2614390C1")</f>
        <v>Suiche Cabi Alta Pres A/C Eagle2614390C1</v>
      </c>
      <c r="C6750" s="380" t="str">
        <f>IFERROR(__xludf.DUMMYFUNCTION("""COMPUTED_VALUE"""),"70002157")</f>
        <v>70002157</v>
      </c>
      <c r="D6750" s="380" t="s">
        <v>767</v>
      </c>
      <c r="E6750" s="380" t="s">
        <v>786</v>
      </c>
      <c r="F6750" s="380" t="s">
        <v>1031</v>
      </c>
      <c r="G6750" s="380" t="s">
        <v>1267</v>
      </c>
      <c r="H6750" s="380" t="s">
        <v>771</v>
      </c>
      <c r="I6750" s="380" t="s">
        <v>788</v>
      </c>
      <c r="J6750" s="380" t="s">
        <v>773</v>
      </c>
      <c r="K6750" s="381">
        <v>282397.0</v>
      </c>
      <c r="L6750" s="382">
        <v>1.0</v>
      </c>
    </row>
    <row r="6751">
      <c r="A6751" s="380" t="s">
        <v>7625</v>
      </c>
      <c r="B6751" s="380" t="str">
        <f>IFERROR(__xludf.DUMMYFUNCTION("""COMPUTED_VALUE"""),"Correa Aire AC Fot BJ1039 7701023521147")</f>
        <v>Correa Aire AC Fot BJ1039 7701023521147</v>
      </c>
      <c r="C6751" s="380" t="str">
        <f>IFERROR(__xludf.DUMMYFUNCTION("""COMPUTED_VALUE"""),"70002158")</f>
        <v>70002158</v>
      </c>
      <c r="D6751" s="380" t="s">
        <v>767</v>
      </c>
      <c r="E6751" s="380" t="s">
        <v>786</v>
      </c>
      <c r="F6751" s="380" t="s">
        <v>1031</v>
      </c>
      <c r="G6751" s="380" t="s">
        <v>1267</v>
      </c>
      <c r="H6751" s="380" t="s">
        <v>771</v>
      </c>
      <c r="I6751" s="380" t="s">
        <v>788</v>
      </c>
      <c r="J6751" s="380" t="s">
        <v>773</v>
      </c>
      <c r="K6751" s="381">
        <v>47680.0</v>
      </c>
      <c r="L6751" s="382">
        <v>1.0</v>
      </c>
    </row>
    <row r="6752">
      <c r="A6752" s="380" t="s">
        <v>7626</v>
      </c>
      <c r="B6752" s="380" t="str">
        <f>IFERROR(__xludf.DUMMYFUNCTION("""COMPUTED_VALUE"""),"Sensor Aire AC KW T800 652578")</f>
        <v>Sensor Aire AC KW T800 652578</v>
      </c>
      <c r="C6752" s="380" t="str">
        <f>IFERROR(__xludf.DUMMYFUNCTION("""COMPUTED_VALUE"""),"70002159")</f>
        <v>70002159</v>
      </c>
      <c r="D6752" s="380" t="s">
        <v>767</v>
      </c>
      <c r="E6752" s="380" t="s">
        <v>786</v>
      </c>
      <c r="F6752" s="380" t="s">
        <v>1031</v>
      </c>
      <c r="G6752" s="380" t="s">
        <v>1267</v>
      </c>
      <c r="H6752" s="380" t="s">
        <v>771</v>
      </c>
      <c r="I6752" s="380" t="s">
        <v>788</v>
      </c>
      <c r="J6752" s="380" t="s">
        <v>773</v>
      </c>
      <c r="K6752" s="381">
        <v>0.0</v>
      </c>
      <c r="L6752" s="382">
        <v>1.0</v>
      </c>
    </row>
    <row r="6753">
      <c r="A6753" s="380" t="s">
        <v>7627</v>
      </c>
      <c r="B6753" s="380" t="str">
        <f>IFERROR(__xludf.DUMMYFUNCTION("""COMPUTED_VALUE"""),"Tapiz Cabina")</f>
        <v>Tapiz Cabina</v>
      </c>
      <c r="C6753" s="380" t="str">
        <f>IFERROR(__xludf.DUMMYFUNCTION("""COMPUTED_VALUE"""),"70002160")</f>
        <v>70002160</v>
      </c>
      <c r="D6753" s="380" t="s">
        <v>767</v>
      </c>
      <c r="E6753" s="380" t="s">
        <v>786</v>
      </c>
      <c r="F6753" s="380" t="s">
        <v>1031</v>
      </c>
      <c r="G6753" s="380" t="s">
        <v>1267</v>
      </c>
      <c r="H6753" s="380" t="s">
        <v>771</v>
      </c>
      <c r="I6753" s="380" t="s">
        <v>788</v>
      </c>
      <c r="J6753" s="380" t="s">
        <v>773</v>
      </c>
      <c r="K6753" s="381">
        <v>34561.0</v>
      </c>
      <c r="L6753" s="382">
        <v>1.0</v>
      </c>
    </row>
    <row r="6754">
      <c r="A6754" s="380" t="s">
        <v>7628</v>
      </c>
      <c r="B6754" s="380" t="str">
        <f>IFERROR(__xludf.DUMMYFUNCTION("""COMPUTED_VALUE"""),"Guaya Selec Cambios Foton MV5 7705946325")</f>
        <v>Guaya Selec Cambios Foton MV5 7705946325</v>
      </c>
      <c r="C6754" s="380" t="str">
        <f>IFERROR(__xludf.DUMMYFUNCTION("""COMPUTED_VALUE"""),"70002161")</f>
        <v>70002161</v>
      </c>
      <c r="D6754" s="380" t="s">
        <v>767</v>
      </c>
      <c r="E6754" s="380" t="s">
        <v>786</v>
      </c>
      <c r="F6754" s="380" t="s">
        <v>928</v>
      </c>
      <c r="G6754" s="380" t="s">
        <v>1267</v>
      </c>
      <c r="H6754" s="380" t="s">
        <v>771</v>
      </c>
      <c r="I6754" s="380" t="s">
        <v>788</v>
      </c>
      <c r="J6754" s="380" t="s">
        <v>773</v>
      </c>
      <c r="K6754" s="381">
        <v>0.0</v>
      </c>
      <c r="L6754" s="382">
        <v>1.0</v>
      </c>
    </row>
    <row r="6755">
      <c r="A6755" s="380" t="s">
        <v>7629</v>
      </c>
      <c r="B6755" s="380" t="str">
        <f>IFERROR(__xludf.DUMMYFUNCTION("""COMPUTED_VALUE"""),"Guardapolvo Palanca Cambios Delta")</f>
        <v>Guardapolvo Palanca Cambios Delta</v>
      </c>
      <c r="C6755" s="380" t="str">
        <f>IFERROR(__xludf.DUMMYFUNCTION("""COMPUTED_VALUE"""),"70002162")</f>
        <v>70002162</v>
      </c>
      <c r="D6755" s="380" t="s">
        <v>767</v>
      </c>
      <c r="E6755" s="380" t="s">
        <v>786</v>
      </c>
      <c r="F6755" s="380" t="s">
        <v>928</v>
      </c>
      <c r="G6755" s="380" t="s">
        <v>1267</v>
      </c>
      <c r="H6755" s="380" t="s">
        <v>771</v>
      </c>
      <c r="I6755" s="380" t="s">
        <v>788</v>
      </c>
      <c r="J6755" s="380" t="s">
        <v>773</v>
      </c>
      <c r="K6755" s="381">
        <v>0.0</v>
      </c>
      <c r="L6755" s="382">
        <v>1.0</v>
      </c>
    </row>
    <row r="6756">
      <c r="A6756" s="380" t="s">
        <v>7630</v>
      </c>
      <c r="B6756" s="380" t="str">
        <f>IFERROR(__xludf.DUMMYFUNCTION("""COMPUTED_VALUE"""),"Piñon Conductor Velocimet Nkr 8972535621")</f>
        <v>Piñon Conductor Velocimet Nkr 8972535621</v>
      </c>
      <c r="C6756" s="380" t="str">
        <f>IFERROR(__xludf.DUMMYFUNCTION("""COMPUTED_VALUE"""),"70002163")</f>
        <v>70002163</v>
      </c>
      <c r="D6756" s="380" t="s">
        <v>767</v>
      </c>
      <c r="E6756" s="380" t="s">
        <v>786</v>
      </c>
      <c r="F6756" s="380" t="s">
        <v>928</v>
      </c>
      <c r="G6756" s="380" t="s">
        <v>1267</v>
      </c>
      <c r="H6756" s="380" t="s">
        <v>771</v>
      </c>
      <c r="I6756" s="380" t="s">
        <v>788</v>
      </c>
      <c r="J6756" s="380" t="s">
        <v>773</v>
      </c>
      <c r="K6756" s="381">
        <v>0.0</v>
      </c>
      <c r="L6756" s="382">
        <v>1.0</v>
      </c>
    </row>
    <row r="6757">
      <c r="A6757" s="380" t="s">
        <v>7631</v>
      </c>
      <c r="B6757" s="380" t="str">
        <f>IFERROR(__xludf.DUMMYFUNCTION("""COMPUTED_VALUE"""),"Buje Piñon Impulsor Veloc Nkr 8962531250")</f>
        <v>Buje Piñon Impulsor Veloc Nkr 8962531250</v>
      </c>
      <c r="C6757" s="380" t="str">
        <f>IFERROR(__xludf.DUMMYFUNCTION("""COMPUTED_VALUE"""),"70002164")</f>
        <v>70002164</v>
      </c>
      <c r="D6757" s="380" t="s">
        <v>767</v>
      </c>
      <c r="E6757" s="380" t="s">
        <v>786</v>
      </c>
      <c r="F6757" s="380" t="s">
        <v>928</v>
      </c>
      <c r="G6757" s="380" t="s">
        <v>1267</v>
      </c>
      <c r="H6757" s="380" t="s">
        <v>771</v>
      </c>
      <c r="I6757" s="380" t="s">
        <v>788</v>
      </c>
      <c r="J6757" s="380" t="s">
        <v>773</v>
      </c>
      <c r="K6757" s="381">
        <v>0.0</v>
      </c>
      <c r="L6757" s="382">
        <v>1.0</v>
      </c>
    </row>
    <row r="6758">
      <c r="A6758" s="380" t="s">
        <v>7632</v>
      </c>
      <c r="B6758" s="380" t="str">
        <f>IFERROR(__xludf.DUMMYFUNCTION("""COMPUTED_VALUE"""),"Piñon De 5 Eje Corredizo Npr 8970348560")</f>
        <v>Piñon De 5 Eje Corredizo Npr 8970348560</v>
      </c>
      <c r="C6758" s="380" t="str">
        <f>IFERROR(__xludf.DUMMYFUNCTION("""COMPUTED_VALUE"""),"70002165")</f>
        <v>70002165</v>
      </c>
      <c r="D6758" s="380" t="s">
        <v>767</v>
      </c>
      <c r="E6758" s="380" t="s">
        <v>786</v>
      </c>
      <c r="F6758" s="380" t="s">
        <v>928</v>
      </c>
      <c r="G6758" s="380" t="s">
        <v>1267</v>
      </c>
      <c r="H6758" s="380" t="s">
        <v>771</v>
      </c>
      <c r="I6758" s="380" t="s">
        <v>788</v>
      </c>
      <c r="J6758" s="380" t="s">
        <v>773</v>
      </c>
      <c r="K6758" s="381">
        <v>0.0</v>
      </c>
      <c r="L6758" s="382">
        <v>1.0</v>
      </c>
    </row>
    <row r="6759">
      <c r="A6759" s="380" t="s">
        <v>7633</v>
      </c>
      <c r="B6759" s="380" t="str">
        <f>IFERROR(__xludf.DUMMYFUNCTION("""COMPUTED_VALUE"""),"Rodillo Tren Fijo Hi 4300 25590")</f>
        <v>Rodillo Tren Fijo Hi 4300 25590</v>
      </c>
      <c r="C6759" s="380" t="str">
        <f>IFERROR(__xludf.DUMMYFUNCTION("""COMPUTED_VALUE"""),"70002166")</f>
        <v>70002166</v>
      </c>
      <c r="D6759" s="380" t="s">
        <v>767</v>
      </c>
      <c r="E6759" s="380" t="s">
        <v>786</v>
      </c>
      <c r="F6759" s="380" t="s">
        <v>928</v>
      </c>
      <c r="G6759" s="380" t="s">
        <v>1267</v>
      </c>
      <c r="H6759" s="380" t="s">
        <v>771</v>
      </c>
      <c r="I6759" s="380" t="s">
        <v>788</v>
      </c>
      <c r="J6759" s="380" t="s">
        <v>773</v>
      </c>
      <c r="K6759" s="381">
        <v>0.0</v>
      </c>
      <c r="L6759" s="382">
        <v>1.0</v>
      </c>
    </row>
    <row r="6760">
      <c r="A6760" s="380" t="s">
        <v>7634</v>
      </c>
      <c r="B6760" s="380" t="str">
        <f>IFERROR(__xludf.DUMMYFUNCTION("""COMPUTED_VALUE"""),"Soporte Caja N200 24518496")</f>
        <v>Soporte Caja N200 24518496</v>
      </c>
      <c r="C6760" s="380" t="str">
        <f>IFERROR(__xludf.DUMMYFUNCTION("""COMPUTED_VALUE"""),"70002167")</f>
        <v>70002167</v>
      </c>
      <c r="D6760" s="380" t="s">
        <v>767</v>
      </c>
      <c r="E6760" s="380" t="s">
        <v>786</v>
      </c>
      <c r="F6760" s="380" t="s">
        <v>928</v>
      </c>
      <c r="G6760" s="380" t="s">
        <v>1267</v>
      </c>
      <c r="H6760" s="380" t="s">
        <v>771</v>
      </c>
      <c r="I6760" s="380" t="s">
        <v>788</v>
      </c>
      <c r="J6760" s="380" t="s">
        <v>773</v>
      </c>
      <c r="K6760" s="381">
        <v>0.0</v>
      </c>
      <c r="L6760" s="382">
        <v>1.0</v>
      </c>
    </row>
    <row r="6761">
      <c r="A6761" s="380" t="s">
        <v>7635</v>
      </c>
      <c r="B6761" s="380" t="str">
        <f>IFERROR(__xludf.DUMMYFUNCTION("""COMPUTED_VALUE"""),"Rodamiento Tras Tren Fijo FTR 8973779571")</f>
        <v>Rodamiento Tras Tren Fijo FTR 8973779571</v>
      </c>
      <c r="C6761" s="380" t="str">
        <f>IFERROR(__xludf.DUMMYFUNCTION("""COMPUTED_VALUE"""),"70002168")</f>
        <v>70002168</v>
      </c>
      <c r="D6761" s="380" t="s">
        <v>767</v>
      </c>
      <c r="E6761" s="380" t="s">
        <v>786</v>
      </c>
      <c r="F6761" s="380" t="s">
        <v>928</v>
      </c>
      <c r="G6761" s="380" t="s">
        <v>1267</v>
      </c>
      <c r="H6761" s="380" t="s">
        <v>771</v>
      </c>
      <c r="I6761" s="380" t="s">
        <v>788</v>
      </c>
      <c r="J6761" s="380" t="s">
        <v>773</v>
      </c>
      <c r="K6761" s="381">
        <v>0.0</v>
      </c>
      <c r="L6761" s="382">
        <v>1.0</v>
      </c>
    </row>
    <row r="6762">
      <c r="A6762" s="380" t="s">
        <v>7636</v>
      </c>
      <c r="B6762" s="380" t="str">
        <f>IFERROR(__xludf.DUMMYFUNCTION("""COMPUTED_VALUE"""),"Eje De Toma Cja Camb Nkr Rewar8973500060")</f>
        <v>Eje De Toma Cja Camb Nkr Rewar8973500060</v>
      </c>
      <c r="C6762" s="380" t="str">
        <f>IFERROR(__xludf.DUMMYFUNCTION("""COMPUTED_VALUE"""),"70002169")</f>
        <v>70002169</v>
      </c>
      <c r="D6762" s="380" t="s">
        <v>767</v>
      </c>
      <c r="E6762" s="380" t="s">
        <v>786</v>
      </c>
      <c r="F6762" s="380" t="s">
        <v>928</v>
      </c>
      <c r="G6762" s="380" t="s">
        <v>1267</v>
      </c>
      <c r="H6762" s="380" t="s">
        <v>771</v>
      </c>
      <c r="I6762" s="380" t="s">
        <v>788</v>
      </c>
      <c r="J6762" s="380" t="s">
        <v>773</v>
      </c>
      <c r="K6762" s="381">
        <v>0.0</v>
      </c>
      <c r="L6762" s="382">
        <v>1.0</v>
      </c>
    </row>
    <row r="6763">
      <c r="A6763" s="380" t="s">
        <v>7637</v>
      </c>
      <c r="B6763" s="380" t="str">
        <f>IFERROR(__xludf.DUMMYFUNCTION("""COMPUTED_VALUE"""),"Pin Rodillo Tren Fijo Eagle 4304080P")</f>
        <v>Pin Rodillo Tren Fijo Eagle 4304080P</v>
      </c>
      <c r="C6763" s="380" t="str">
        <f>IFERROR(__xludf.DUMMYFUNCTION("""COMPUTED_VALUE"""),"70002170")</f>
        <v>70002170</v>
      </c>
      <c r="D6763" s="380" t="s">
        <v>767</v>
      </c>
      <c r="E6763" s="380" t="s">
        <v>786</v>
      </c>
      <c r="F6763" s="380" t="s">
        <v>928</v>
      </c>
      <c r="G6763" s="380" t="s">
        <v>1267</v>
      </c>
      <c r="H6763" s="380" t="s">
        <v>771</v>
      </c>
      <c r="I6763" s="380" t="s">
        <v>788</v>
      </c>
      <c r="J6763" s="380" t="s">
        <v>773</v>
      </c>
      <c r="K6763" s="381">
        <v>0.0</v>
      </c>
      <c r="L6763" s="382">
        <v>1.0</v>
      </c>
    </row>
    <row r="6764">
      <c r="A6764" s="380" t="s">
        <v>7638</v>
      </c>
      <c r="B6764" s="380" t="str">
        <f>IFERROR(__xludf.DUMMYFUNCTION("""COMPUTED_VALUE"""),"Horquilla De 5ta Y Revso N200 24563212")</f>
        <v>Horquilla De 5ta Y Revso N200 24563212</v>
      </c>
      <c r="C6764" s="380" t="str">
        <f>IFERROR(__xludf.DUMMYFUNCTION("""COMPUTED_VALUE"""),"70002171")</f>
        <v>70002171</v>
      </c>
      <c r="D6764" s="380" t="s">
        <v>767</v>
      </c>
      <c r="E6764" s="380" t="s">
        <v>786</v>
      </c>
      <c r="F6764" s="380" t="s">
        <v>928</v>
      </c>
      <c r="G6764" s="380" t="s">
        <v>1267</v>
      </c>
      <c r="H6764" s="380" t="s">
        <v>771</v>
      </c>
      <c r="I6764" s="380" t="s">
        <v>788</v>
      </c>
      <c r="J6764" s="380" t="s">
        <v>773</v>
      </c>
      <c r="K6764" s="381">
        <v>0.0</v>
      </c>
      <c r="L6764" s="382">
        <v>1.0</v>
      </c>
    </row>
    <row r="6765">
      <c r="A6765" s="380" t="s">
        <v>7639</v>
      </c>
      <c r="B6765" s="380" t="str">
        <f>IFERROR(__xludf.DUMMYFUNCTION("""COMPUTED_VALUE"""),"Actuador A/C Valvula Heater 651261")</f>
        <v>Actuador A/C Valvula Heater 651261</v>
      </c>
      <c r="C6765" s="380" t="str">
        <f>IFERROR(__xludf.DUMMYFUNCTION("""COMPUTED_VALUE"""),"70002172")</f>
        <v>70002172</v>
      </c>
      <c r="D6765" s="380" t="s">
        <v>767</v>
      </c>
      <c r="E6765" s="380" t="s">
        <v>786</v>
      </c>
      <c r="F6765" s="380" t="s">
        <v>1031</v>
      </c>
      <c r="G6765" s="380" t="s">
        <v>1267</v>
      </c>
      <c r="H6765" s="380" t="s">
        <v>771</v>
      </c>
      <c r="I6765" s="380" t="s">
        <v>788</v>
      </c>
      <c r="J6765" s="380" t="s">
        <v>773</v>
      </c>
      <c r="K6765" s="381">
        <v>0.0</v>
      </c>
      <c r="L6765" s="382">
        <v>1.0</v>
      </c>
    </row>
    <row r="6766">
      <c r="A6766" s="380" t="s">
        <v>7640</v>
      </c>
      <c r="B6766" s="380" t="str">
        <f>IFERROR(__xludf.DUMMYFUNCTION("""COMPUTED_VALUE"""),"Tubo Aire AC Pres Baja Prostar3670136C91")</f>
        <v>Tubo Aire AC Pres Baja Prostar3670136C91</v>
      </c>
      <c r="C6766" s="380" t="str">
        <f>IFERROR(__xludf.DUMMYFUNCTION("""COMPUTED_VALUE"""),"70002173")</f>
        <v>70002173</v>
      </c>
      <c r="D6766" s="380" t="s">
        <v>767</v>
      </c>
      <c r="E6766" s="380" t="s">
        <v>786</v>
      </c>
      <c r="F6766" s="380" t="s">
        <v>1031</v>
      </c>
      <c r="G6766" s="380" t="s">
        <v>1267</v>
      </c>
      <c r="H6766" s="380" t="s">
        <v>771</v>
      </c>
      <c r="I6766" s="380" t="s">
        <v>788</v>
      </c>
      <c r="J6766" s="380" t="s">
        <v>773</v>
      </c>
      <c r="K6766" s="381">
        <v>1383294.0</v>
      </c>
      <c r="L6766" s="382">
        <v>1.0</v>
      </c>
    </row>
    <row r="6767">
      <c r="A6767" s="380" t="s">
        <v>7641</v>
      </c>
      <c r="B6767" s="380" t="str">
        <f>IFERROR(__xludf.DUMMYFUNCTION("""COMPUTED_VALUE"""),"Sensor Presion Aire AC Prostar R134A")</f>
        <v>Sensor Presion Aire AC Prostar R134A</v>
      </c>
      <c r="C6767" s="380" t="str">
        <f>IFERROR(__xludf.DUMMYFUNCTION("""COMPUTED_VALUE"""),"70002174")</f>
        <v>70002174</v>
      </c>
      <c r="D6767" s="380" t="s">
        <v>767</v>
      </c>
      <c r="E6767" s="380" t="s">
        <v>786</v>
      </c>
      <c r="F6767" s="380" t="s">
        <v>1031</v>
      </c>
      <c r="G6767" s="380" t="s">
        <v>1267</v>
      </c>
      <c r="H6767" s="380" t="s">
        <v>771</v>
      </c>
      <c r="I6767" s="380" t="s">
        <v>788</v>
      </c>
      <c r="J6767" s="380" t="s">
        <v>773</v>
      </c>
      <c r="K6767" s="381">
        <v>0.0</v>
      </c>
      <c r="L6767" s="382">
        <v>1.0</v>
      </c>
    </row>
    <row r="6768">
      <c r="A6768" s="380" t="s">
        <v>7642</v>
      </c>
      <c r="B6768" s="380" t="str">
        <f>IFERROR(__xludf.DUMMYFUNCTION("""COMPUTED_VALUE"""),"Sensor Presion Aire AC KWh P271051")</f>
        <v>Sensor Presion Aire AC KWh P271051</v>
      </c>
      <c r="C6768" s="380" t="str">
        <f>IFERROR(__xludf.DUMMYFUNCTION("""COMPUTED_VALUE"""),"70002175")</f>
        <v>70002175</v>
      </c>
      <c r="D6768" s="380" t="s">
        <v>767</v>
      </c>
      <c r="E6768" s="380" t="s">
        <v>786</v>
      </c>
      <c r="F6768" s="380" t="s">
        <v>1031</v>
      </c>
      <c r="G6768" s="380" t="s">
        <v>1267</v>
      </c>
      <c r="H6768" s="380" t="s">
        <v>771</v>
      </c>
      <c r="I6768" s="380" t="s">
        <v>788</v>
      </c>
      <c r="J6768" s="380" t="s">
        <v>773</v>
      </c>
      <c r="K6768" s="381">
        <v>0.0</v>
      </c>
      <c r="L6768" s="382">
        <v>1.0</v>
      </c>
    </row>
    <row r="6769">
      <c r="A6769" s="380" t="s">
        <v>7643</v>
      </c>
      <c r="B6769" s="380" t="str">
        <f>IFERROR(__xludf.DUMMYFUNCTION("""COMPUTED_VALUE"""),"Motor Ventilador Aire AC T800 205780/Hb1")</f>
        <v>Motor Ventilador Aire AC T800 205780/Hb1</v>
      </c>
      <c r="C6769" s="380" t="str">
        <f>IFERROR(__xludf.DUMMYFUNCTION("""COMPUTED_VALUE"""),"70002176")</f>
        <v>70002176</v>
      </c>
      <c r="D6769" s="380" t="s">
        <v>767</v>
      </c>
      <c r="E6769" s="380" t="s">
        <v>786</v>
      </c>
      <c r="F6769" s="380" t="s">
        <v>1031</v>
      </c>
      <c r="G6769" s="380" t="s">
        <v>1267</v>
      </c>
      <c r="H6769" s="380" t="s">
        <v>771</v>
      </c>
      <c r="I6769" s="380" t="s">
        <v>788</v>
      </c>
      <c r="J6769" s="380" t="s">
        <v>773</v>
      </c>
      <c r="K6769" s="381">
        <v>1094800.0</v>
      </c>
      <c r="L6769" s="382">
        <v>1.0</v>
      </c>
    </row>
    <row r="6770">
      <c r="A6770" s="380" t="s">
        <v>7644</v>
      </c>
      <c r="B6770" s="380" t="str">
        <f>IFERROR(__xludf.DUMMYFUNCTION("""COMPUTED_VALUE"""),"Manguera Aire AC KW T800 F501142001")</f>
        <v>Manguera Aire AC KW T800 F501142001</v>
      </c>
      <c r="C6770" s="380" t="str">
        <f>IFERROR(__xludf.DUMMYFUNCTION("""COMPUTED_VALUE"""),"70002177")</f>
        <v>70002177</v>
      </c>
      <c r="D6770" s="380" t="s">
        <v>767</v>
      </c>
      <c r="E6770" s="380" t="s">
        <v>786</v>
      </c>
      <c r="F6770" s="380" t="s">
        <v>1031</v>
      </c>
      <c r="G6770" s="380" t="s">
        <v>1267</v>
      </c>
      <c r="H6770" s="380" t="s">
        <v>771</v>
      </c>
      <c r="I6770" s="380" t="s">
        <v>788</v>
      </c>
      <c r="J6770" s="380" t="s">
        <v>773</v>
      </c>
      <c r="K6770" s="381">
        <v>0.0</v>
      </c>
      <c r="L6770" s="382">
        <v>1.0</v>
      </c>
    </row>
    <row r="6771">
      <c r="A6771" s="380" t="s">
        <v>7645</v>
      </c>
      <c r="B6771" s="380" t="str">
        <f>IFERROR(__xludf.DUMMYFUNCTION("""COMPUTED_VALUE"""),"Condensador Aire AC KW102345")</f>
        <v>Condensador Aire AC KW102345</v>
      </c>
      <c r="C6771" s="380" t="str">
        <f>IFERROR(__xludf.DUMMYFUNCTION("""COMPUTED_VALUE"""),"70002178")</f>
        <v>70002178</v>
      </c>
      <c r="D6771" s="380" t="s">
        <v>767</v>
      </c>
      <c r="E6771" s="380" t="s">
        <v>786</v>
      </c>
      <c r="F6771" s="380" t="s">
        <v>1031</v>
      </c>
      <c r="G6771" s="380" t="s">
        <v>1267</v>
      </c>
      <c r="H6771" s="380" t="s">
        <v>771</v>
      </c>
      <c r="I6771" s="380" t="s">
        <v>788</v>
      </c>
      <c r="J6771" s="380" t="s">
        <v>773</v>
      </c>
      <c r="K6771" s="381">
        <v>535984.0</v>
      </c>
      <c r="L6771" s="382">
        <v>1.0</v>
      </c>
    </row>
    <row r="6772">
      <c r="A6772" s="380" t="s">
        <v>7646</v>
      </c>
      <c r="B6772" s="380" t="str">
        <f>IFERROR(__xludf.DUMMYFUNCTION("""COMPUTED_VALUE"""),"Socket Dos Contactos Bombillo1034")</f>
        <v>Socket Dos Contactos Bombillo1034</v>
      </c>
      <c r="C6772" s="380" t="str">
        <f>IFERROR(__xludf.DUMMYFUNCTION("""COMPUTED_VALUE"""),"70002179")</f>
        <v>70002179</v>
      </c>
      <c r="D6772" s="380" t="s">
        <v>767</v>
      </c>
      <c r="E6772" s="380" t="s">
        <v>786</v>
      </c>
      <c r="F6772" s="380" t="s">
        <v>998</v>
      </c>
      <c r="G6772" s="380" t="s">
        <v>1267</v>
      </c>
      <c r="H6772" s="380" t="s">
        <v>771</v>
      </c>
      <c r="I6772" s="380" t="s">
        <v>788</v>
      </c>
      <c r="J6772" s="380" t="s">
        <v>773</v>
      </c>
      <c r="K6772" s="381">
        <v>0.0</v>
      </c>
      <c r="L6772" s="382">
        <v>1.0</v>
      </c>
    </row>
    <row r="6773">
      <c r="A6773" s="380" t="s">
        <v>7647</v>
      </c>
      <c r="B6773" s="380" t="str">
        <f>IFERROR(__xludf.DUMMYFUNCTION("""COMPUTED_VALUE"""),"Socket Un Contacto Bombillo 1141")</f>
        <v>Socket Un Contacto Bombillo 1141</v>
      </c>
      <c r="C6773" s="380" t="str">
        <f>IFERROR(__xludf.DUMMYFUNCTION("""COMPUTED_VALUE"""),"70002180")</f>
        <v>70002180</v>
      </c>
      <c r="D6773" s="380" t="s">
        <v>767</v>
      </c>
      <c r="E6773" s="380" t="s">
        <v>786</v>
      </c>
      <c r="F6773" s="380" t="s">
        <v>998</v>
      </c>
      <c r="G6773" s="380" t="s">
        <v>1267</v>
      </c>
      <c r="H6773" s="380" t="s">
        <v>771</v>
      </c>
      <c r="I6773" s="380" t="s">
        <v>788</v>
      </c>
      <c r="J6773" s="380" t="s">
        <v>773</v>
      </c>
      <c r="K6773" s="381">
        <v>0.0</v>
      </c>
      <c r="L6773" s="382">
        <v>1.0</v>
      </c>
    </row>
    <row r="6774">
      <c r="A6774" s="380" t="s">
        <v>7648</v>
      </c>
      <c r="B6774" s="380" t="str">
        <f>IFERROR(__xludf.DUMMYFUNCTION("""COMPUTED_VALUE"""),"Socket Bombillo Gotera 17177")</f>
        <v>Socket Bombillo Gotera 17177</v>
      </c>
      <c r="C6774" s="380" t="str">
        <f>IFERROR(__xludf.DUMMYFUNCTION("""COMPUTED_VALUE"""),"70002181")</f>
        <v>70002181</v>
      </c>
      <c r="D6774" s="380" t="s">
        <v>767</v>
      </c>
      <c r="E6774" s="380" t="s">
        <v>786</v>
      </c>
      <c r="F6774" s="380" t="s">
        <v>998</v>
      </c>
      <c r="G6774" s="380" t="s">
        <v>1267</v>
      </c>
      <c r="H6774" s="380" t="s">
        <v>771</v>
      </c>
      <c r="I6774" s="380" t="s">
        <v>788</v>
      </c>
      <c r="J6774" s="380" t="s">
        <v>773</v>
      </c>
      <c r="K6774" s="381">
        <v>0.0</v>
      </c>
      <c r="L6774" s="382">
        <v>1.0</v>
      </c>
    </row>
    <row r="6775">
      <c r="A6775" s="380" t="s">
        <v>7649</v>
      </c>
      <c r="B6775" s="380" t="str">
        <f>IFERROR(__xludf.DUMMYFUNCTION("""COMPUTED_VALUE"""),"Valvula Cheque Impacto 1 1/2""")</f>
        <v>Valvula Cheque Impacto 1 1/2"</v>
      </c>
      <c r="C6775" s="380" t="str">
        <f>IFERROR(__xludf.DUMMYFUNCTION("""COMPUTED_VALUE"""),"70002182")</f>
        <v>70002182</v>
      </c>
      <c r="D6775" s="380" t="s">
        <v>767</v>
      </c>
      <c r="E6775" s="380" t="s">
        <v>786</v>
      </c>
      <c r="F6775" s="380" t="s">
        <v>989</v>
      </c>
      <c r="G6775" s="380" t="s">
        <v>1267</v>
      </c>
      <c r="H6775" s="380" t="s">
        <v>771</v>
      </c>
      <c r="I6775" s="380" t="s">
        <v>788</v>
      </c>
      <c r="J6775" s="380" t="s">
        <v>773</v>
      </c>
      <c r="K6775" s="381">
        <v>0.0</v>
      </c>
      <c r="L6775" s="382">
        <v>1.0</v>
      </c>
    </row>
    <row r="6776">
      <c r="A6776" s="380" t="s">
        <v>7650</v>
      </c>
      <c r="B6776" s="380" t="str">
        <f>IFERROR(__xludf.DUMMYFUNCTION("""COMPUTED_VALUE"""),"Balinera Alternador 6305 2RS")</f>
        <v>Balinera Alternador 6305 2RS</v>
      </c>
      <c r="C6776" s="380" t="str">
        <f>IFERROR(__xludf.DUMMYFUNCTION("""COMPUTED_VALUE"""),"70002183")</f>
        <v>70002183</v>
      </c>
      <c r="D6776" s="380" t="s">
        <v>767</v>
      </c>
      <c r="E6776" s="380" t="s">
        <v>786</v>
      </c>
      <c r="F6776" s="380" t="s">
        <v>998</v>
      </c>
      <c r="G6776" s="380" t="s">
        <v>1267</v>
      </c>
      <c r="H6776" s="380" t="s">
        <v>771</v>
      </c>
      <c r="I6776" s="380" t="s">
        <v>788</v>
      </c>
      <c r="J6776" s="380" t="s">
        <v>773</v>
      </c>
      <c r="K6776" s="381">
        <v>23681.0</v>
      </c>
      <c r="L6776" s="382">
        <v>1.0</v>
      </c>
    </row>
    <row r="6777">
      <c r="A6777" s="380" t="s">
        <v>7651</v>
      </c>
      <c r="B6777" s="380" t="str">
        <f>IFERROR(__xludf.DUMMYFUNCTION("""COMPUTED_VALUE"""),"Deposito Aux Radiador KW T800 Crmn534600")</f>
        <v>Deposito Aux Radiador KW T800 Crmn534600</v>
      </c>
      <c r="C6777" s="380" t="str">
        <f>IFERROR(__xludf.DUMMYFUNCTION("""COMPUTED_VALUE"""),"70002184")</f>
        <v>70002184</v>
      </c>
      <c r="D6777" s="380" t="s">
        <v>767</v>
      </c>
      <c r="E6777" s="380" t="s">
        <v>786</v>
      </c>
      <c r="F6777" s="380" t="s">
        <v>787</v>
      </c>
      <c r="G6777" s="380" t="s">
        <v>1267</v>
      </c>
      <c r="H6777" s="380" t="s">
        <v>771</v>
      </c>
      <c r="I6777" s="380" t="s">
        <v>788</v>
      </c>
      <c r="J6777" s="380" t="s">
        <v>773</v>
      </c>
      <c r="K6777" s="381">
        <v>0.0</v>
      </c>
      <c r="L6777" s="382">
        <v>1.0</v>
      </c>
    </row>
    <row r="6778">
      <c r="A6778" s="380" t="s">
        <v>7652</v>
      </c>
      <c r="B6778" s="380" t="str">
        <f>IFERROR(__xludf.DUMMYFUNCTION("""COMPUTED_VALUE"""),"Reten Eje Rueda Del Volkswage 4002010059")</f>
        <v>Reten Eje Rueda Del Volkswage 4002010059</v>
      </c>
      <c r="C6778" s="380" t="str">
        <f>IFERROR(__xludf.DUMMYFUNCTION("""COMPUTED_VALUE"""),"70002185")</f>
        <v>70002185</v>
      </c>
      <c r="D6778" s="380" t="s">
        <v>767</v>
      </c>
      <c r="E6778" s="380" t="s">
        <v>786</v>
      </c>
      <c r="F6778" s="380" t="s">
        <v>1039</v>
      </c>
      <c r="G6778" s="380" t="s">
        <v>1267</v>
      </c>
      <c r="H6778" s="380" t="s">
        <v>771</v>
      </c>
      <c r="I6778" s="380" t="s">
        <v>788</v>
      </c>
      <c r="J6778" s="380" t="s">
        <v>773</v>
      </c>
      <c r="K6778" s="381">
        <v>0.0</v>
      </c>
      <c r="L6778" s="382">
        <v>1.0</v>
      </c>
    </row>
    <row r="6779">
      <c r="A6779" s="380" t="s">
        <v>7653</v>
      </c>
      <c r="B6779" s="380" t="str">
        <f>IFERROR(__xludf.DUMMYFUNCTION("""COMPUTED_VALUE"""),"Empaque Base Compres Sup FRR 1191150150")</f>
        <v>Empaque Base Compres Sup FRR 1191150150</v>
      </c>
      <c r="C6779" s="380" t="str">
        <f>IFERROR(__xludf.DUMMYFUNCTION("""COMPUTED_VALUE"""),"70002186")</f>
        <v>70002186</v>
      </c>
      <c r="D6779" s="380" t="s">
        <v>767</v>
      </c>
      <c r="E6779" s="380" t="s">
        <v>786</v>
      </c>
      <c r="F6779" s="380" t="s">
        <v>787</v>
      </c>
      <c r="G6779" s="380" t="s">
        <v>1267</v>
      </c>
      <c r="H6779" s="380" t="s">
        <v>771</v>
      </c>
      <c r="I6779" s="380" t="s">
        <v>788</v>
      </c>
      <c r="J6779" s="380" t="s">
        <v>773</v>
      </c>
      <c r="K6779" s="381">
        <v>0.0</v>
      </c>
      <c r="L6779" s="382">
        <v>1.0</v>
      </c>
    </row>
    <row r="6780">
      <c r="A6780" s="380" t="s">
        <v>7654</v>
      </c>
      <c r="B6780" s="380" t="str">
        <f>IFERROR(__xludf.DUMMYFUNCTION("""COMPUTED_VALUE"""),"Empaq Base Compresor Inf FRR 1191150160")</f>
        <v>Empaq Base Compresor Inf FRR 1191150160</v>
      </c>
      <c r="C6780" s="380" t="str">
        <f>IFERROR(__xludf.DUMMYFUNCTION("""COMPUTED_VALUE"""),"70002187")</f>
        <v>70002187</v>
      </c>
      <c r="D6780" s="380" t="s">
        <v>767</v>
      </c>
      <c r="E6780" s="380" t="s">
        <v>786</v>
      </c>
      <c r="F6780" s="380" t="s">
        <v>787</v>
      </c>
      <c r="G6780" s="380" t="s">
        <v>1267</v>
      </c>
      <c r="H6780" s="380" t="s">
        <v>771</v>
      </c>
      <c r="I6780" s="380" t="s">
        <v>788</v>
      </c>
      <c r="J6780" s="380" t="s">
        <v>773</v>
      </c>
      <c r="K6780" s="381">
        <v>0.0</v>
      </c>
      <c r="L6780" s="382">
        <v>1.0</v>
      </c>
    </row>
    <row r="6781">
      <c r="A6781" s="380" t="s">
        <v>7655</v>
      </c>
      <c r="B6781" s="380" t="str">
        <f>IFERROR(__xludf.DUMMYFUNCTION("""COMPUTED_VALUE"""),"Suiche Clutch Prostar 2505658C91")</f>
        <v>Suiche Clutch Prostar 2505658C91</v>
      </c>
      <c r="C6781" s="380" t="str">
        <f>IFERROR(__xludf.DUMMYFUNCTION("""COMPUTED_VALUE"""),"70002188")</f>
        <v>70002188</v>
      </c>
      <c r="D6781" s="380" t="s">
        <v>767</v>
      </c>
      <c r="E6781" s="380" t="s">
        <v>786</v>
      </c>
      <c r="F6781" s="380" t="s">
        <v>998</v>
      </c>
      <c r="G6781" s="380" t="s">
        <v>1267</v>
      </c>
      <c r="H6781" s="380" t="s">
        <v>771</v>
      </c>
      <c r="I6781" s="380" t="s">
        <v>788</v>
      </c>
      <c r="J6781" s="380" t="s">
        <v>773</v>
      </c>
      <c r="K6781" s="381">
        <v>0.0</v>
      </c>
      <c r="L6781" s="382">
        <v>1.0</v>
      </c>
    </row>
    <row r="6782">
      <c r="A6782" s="380" t="s">
        <v>7656</v>
      </c>
      <c r="B6782" s="380" t="str">
        <f>IFERROR(__xludf.DUMMYFUNCTION("""COMPUTED_VALUE"""),"Mang Sal Dep Agua Radiador N200 24527524")</f>
        <v>Mang Sal Dep Agua Radiador N200 24527524</v>
      </c>
      <c r="C6782" s="380" t="str">
        <f>IFERROR(__xludf.DUMMYFUNCTION("""COMPUTED_VALUE"""),"70002189")</f>
        <v>70002189</v>
      </c>
      <c r="D6782" s="380" t="s">
        <v>767</v>
      </c>
      <c r="E6782" s="380" t="s">
        <v>786</v>
      </c>
      <c r="F6782" s="380" t="s">
        <v>787</v>
      </c>
      <c r="G6782" s="380" t="s">
        <v>1267</v>
      </c>
      <c r="H6782" s="380" t="s">
        <v>771</v>
      </c>
      <c r="I6782" s="380" t="s">
        <v>788</v>
      </c>
      <c r="J6782" s="380" t="s">
        <v>773</v>
      </c>
      <c r="K6782" s="381">
        <v>0.0</v>
      </c>
      <c r="L6782" s="382">
        <v>1.0</v>
      </c>
    </row>
    <row r="6783">
      <c r="A6783" s="380" t="s">
        <v>7657</v>
      </c>
      <c r="B6783" s="380" t="str">
        <f>IFERROR(__xludf.DUMMYFUNCTION("""COMPUTED_VALUE"""),"Varilla Acelerador Montacarga Ref 2601")</f>
        <v>Varilla Acelerador Montacarga Ref 2601</v>
      </c>
      <c r="C6783" s="380" t="str">
        <f>IFERROR(__xludf.DUMMYFUNCTION("""COMPUTED_VALUE"""),"70002190")</f>
        <v>70002190</v>
      </c>
      <c r="D6783" s="380" t="s">
        <v>767</v>
      </c>
      <c r="E6783" s="380" t="s">
        <v>786</v>
      </c>
      <c r="F6783" s="380" t="s">
        <v>787</v>
      </c>
      <c r="G6783" s="380" t="s">
        <v>1267</v>
      </c>
      <c r="H6783" s="380" t="s">
        <v>771</v>
      </c>
      <c r="I6783" s="380" t="s">
        <v>788</v>
      </c>
      <c r="J6783" s="380" t="s">
        <v>773</v>
      </c>
      <c r="K6783" s="381">
        <v>0.0</v>
      </c>
      <c r="L6783" s="382">
        <v>1.0</v>
      </c>
    </row>
    <row r="6784">
      <c r="A6784" s="380" t="s">
        <v>7658</v>
      </c>
      <c r="B6784" s="380" t="str">
        <f>IFERROR(__xludf.DUMMYFUNCTION("""COMPUTED_VALUE"""),"Separad Speed Dif Tras Meritor 2803H2504")</f>
        <v>Separad Speed Dif Tras Meritor 2803H2504</v>
      </c>
      <c r="C6784" s="380" t="str">
        <f>IFERROR(__xludf.DUMMYFUNCTION("""COMPUTED_VALUE"""),"70002191")</f>
        <v>70002191</v>
      </c>
      <c r="D6784" s="380" t="s">
        <v>767</v>
      </c>
      <c r="E6784" s="380" t="s">
        <v>786</v>
      </c>
      <c r="F6784" s="380" t="s">
        <v>5683</v>
      </c>
      <c r="G6784" s="380" t="s">
        <v>1267</v>
      </c>
      <c r="H6784" s="380" t="s">
        <v>771</v>
      </c>
      <c r="I6784" s="380" t="s">
        <v>788</v>
      </c>
      <c r="J6784" s="380" t="s">
        <v>773</v>
      </c>
      <c r="K6784" s="381">
        <v>0.0</v>
      </c>
      <c r="L6784" s="382">
        <v>1.0</v>
      </c>
    </row>
    <row r="6785">
      <c r="A6785" s="380" t="s">
        <v>7659</v>
      </c>
      <c r="B6785" s="380" t="str">
        <f>IFERROR(__xludf.DUMMYFUNCTION("""COMPUTED_VALUE"""),"Retenedor Eje Trasero Nhr 8942481161")</f>
        <v>Retenedor Eje Trasero Nhr 8942481161</v>
      </c>
      <c r="C6785" s="380" t="str">
        <f>IFERROR(__xludf.DUMMYFUNCTION("""COMPUTED_VALUE"""),"70002192")</f>
        <v>70002192</v>
      </c>
      <c r="D6785" s="380" t="s">
        <v>767</v>
      </c>
      <c r="E6785" s="380" t="s">
        <v>786</v>
      </c>
      <c r="F6785" s="380" t="s">
        <v>1039</v>
      </c>
      <c r="G6785" s="380" t="s">
        <v>1267</v>
      </c>
      <c r="H6785" s="380" t="s">
        <v>771</v>
      </c>
      <c r="I6785" s="380" t="s">
        <v>788</v>
      </c>
      <c r="J6785" s="380" t="s">
        <v>773</v>
      </c>
      <c r="K6785" s="381">
        <v>0.0</v>
      </c>
      <c r="L6785" s="382">
        <v>1.0</v>
      </c>
    </row>
    <row r="6786">
      <c r="A6786" s="380" t="s">
        <v>7660</v>
      </c>
      <c r="B6786" s="380" t="str">
        <f>IFERROR(__xludf.DUMMYFUNCTION("""COMPUTED_VALUE"""),"TP-5 Valvula De Proteccion Eagle 800024")</f>
        <v>TP-5 Valvula De Proteccion Eagle 800024</v>
      </c>
      <c r="C6786" s="380" t="str">
        <f>IFERROR(__xludf.DUMMYFUNCTION("""COMPUTED_VALUE"""),"70002193")</f>
        <v>70002193</v>
      </c>
      <c r="D6786" s="380" t="s">
        <v>767</v>
      </c>
      <c r="E6786" s="380" t="s">
        <v>786</v>
      </c>
      <c r="F6786" s="380" t="s">
        <v>1017</v>
      </c>
      <c r="G6786" s="380" t="s">
        <v>1267</v>
      </c>
      <c r="H6786" s="380" t="s">
        <v>771</v>
      </c>
      <c r="I6786" s="380" t="s">
        <v>788</v>
      </c>
      <c r="J6786" s="380" t="s">
        <v>773</v>
      </c>
      <c r="K6786" s="381">
        <v>0.0</v>
      </c>
      <c r="L6786" s="382">
        <v>1.0</v>
      </c>
    </row>
    <row r="6787">
      <c r="A6787" s="380" t="s">
        <v>7661</v>
      </c>
      <c r="B6787" s="380" t="str">
        <f>IFERROR(__xludf.DUMMYFUNCTION("""COMPUTED_VALUE"""),"Mangera Bomba De Agua N200 9052482")</f>
        <v>Mangera Bomba De Agua N200 9052482</v>
      </c>
      <c r="C6787" s="380" t="str">
        <f>IFERROR(__xludf.DUMMYFUNCTION("""COMPUTED_VALUE"""),"70002194")</f>
        <v>70002194</v>
      </c>
      <c r="D6787" s="380" t="s">
        <v>767</v>
      </c>
      <c r="E6787" s="380" t="s">
        <v>786</v>
      </c>
      <c r="F6787" s="380" t="s">
        <v>787</v>
      </c>
      <c r="G6787" s="380" t="s">
        <v>1267</v>
      </c>
      <c r="H6787" s="380" t="s">
        <v>771</v>
      </c>
      <c r="I6787" s="380" t="s">
        <v>788</v>
      </c>
      <c r="J6787" s="380" t="s">
        <v>773</v>
      </c>
      <c r="K6787" s="381">
        <v>0.0</v>
      </c>
      <c r="L6787" s="382">
        <v>1.0</v>
      </c>
    </row>
    <row r="6788">
      <c r="A6788" s="380" t="s">
        <v>7662</v>
      </c>
      <c r="B6788" s="380" t="str">
        <f>IFERROR(__xludf.DUMMYFUNCTION("""COMPUTED_VALUE"""),"Bateria NS60-650T Willard Foton")</f>
        <v>Bateria NS60-650T Willard Foton</v>
      </c>
      <c r="C6788" s="380" t="str">
        <f>IFERROR(__xludf.DUMMYFUNCTION("""COMPUTED_VALUE"""),"70002195")</f>
        <v>70002195</v>
      </c>
      <c r="D6788" s="380" t="s">
        <v>767</v>
      </c>
      <c r="E6788" s="380" t="s">
        <v>786</v>
      </c>
      <c r="F6788" s="380" t="s">
        <v>998</v>
      </c>
      <c r="G6788" s="380" t="s">
        <v>1267</v>
      </c>
      <c r="H6788" s="380" t="s">
        <v>771</v>
      </c>
      <c r="I6788" s="380" t="s">
        <v>788</v>
      </c>
      <c r="J6788" s="380" t="s">
        <v>773</v>
      </c>
      <c r="K6788" s="381">
        <v>302536.0</v>
      </c>
      <c r="L6788" s="382">
        <v>1.0</v>
      </c>
    </row>
    <row r="6789">
      <c r="A6789" s="380" t="s">
        <v>7663</v>
      </c>
      <c r="B6789" s="380" t="str">
        <f>IFERROR(__xludf.DUMMYFUNCTION("""COMPUTED_VALUE"""),"Secador Aire Completo FTR 1481902871")</f>
        <v>Secador Aire Completo FTR 1481902871</v>
      </c>
      <c r="C6789" s="380" t="str">
        <f>IFERROR(__xludf.DUMMYFUNCTION("""COMPUTED_VALUE"""),"70002196")</f>
        <v>70002196</v>
      </c>
      <c r="D6789" s="380" t="s">
        <v>767</v>
      </c>
      <c r="E6789" s="380" t="s">
        <v>786</v>
      </c>
      <c r="F6789" s="380" t="s">
        <v>1017</v>
      </c>
      <c r="G6789" s="380" t="s">
        <v>1267</v>
      </c>
      <c r="H6789" s="380" t="s">
        <v>771</v>
      </c>
      <c r="I6789" s="380" t="s">
        <v>788</v>
      </c>
      <c r="J6789" s="380" t="s">
        <v>773</v>
      </c>
      <c r="K6789" s="381">
        <v>0.0</v>
      </c>
      <c r="L6789" s="382">
        <v>1.0</v>
      </c>
    </row>
    <row r="6790">
      <c r="A6790" s="380" t="s">
        <v>7664</v>
      </c>
      <c r="B6790" s="380" t="str">
        <f>IFERROR(__xludf.DUMMYFUNCTION("""COMPUTED_VALUE"""),"Templete Cxu Mack 3972682")</f>
        <v>Templete Cxu Mack 3972682</v>
      </c>
      <c r="C6790" s="380" t="str">
        <f>IFERROR(__xludf.DUMMYFUNCTION("""COMPUTED_VALUE"""),"70002197")</f>
        <v>70002197</v>
      </c>
      <c r="D6790" s="380" t="s">
        <v>767</v>
      </c>
      <c r="E6790" s="380" t="s">
        <v>786</v>
      </c>
      <c r="F6790" s="380" t="s">
        <v>1039</v>
      </c>
      <c r="G6790" s="380" t="s">
        <v>1267</v>
      </c>
      <c r="H6790" s="380" t="s">
        <v>771</v>
      </c>
      <c r="I6790" s="380" t="s">
        <v>788</v>
      </c>
      <c r="J6790" s="380" t="s">
        <v>773</v>
      </c>
      <c r="K6790" s="381">
        <v>0.0</v>
      </c>
      <c r="L6790" s="382">
        <v>1.0</v>
      </c>
    </row>
    <row r="6791">
      <c r="A6791" s="380" t="s">
        <v>7665</v>
      </c>
      <c r="B6791" s="380" t="str">
        <f>IFERROR(__xludf.DUMMYFUNCTION("""COMPUTED_VALUE"""),"Radiador Foton -MV3 5946025492")</f>
        <v>Radiador Foton -MV3 5946025492</v>
      </c>
      <c r="C6791" s="380" t="str">
        <f>IFERROR(__xludf.DUMMYFUNCTION("""COMPUTED_VALUE"""),"70002198")</f>
        <v>70002198</v>
      </c>
      <c r="D6791" s="380" t="s">
        <v>767</v>
      </c>
      <c r="E6791" s="380" t="s">
        <v>786</v>
      </c>
      <c r="F6791" s="380" t="s">
        <v>787</v>
      </c>
      <c r="G6791" s="380" t="s">
        <v>1267</v>
      </c>
      <c r="H6791" s="380" t="s">
        <v>771</v>
      </c>
      <c r="I6791" s="380" t="s">
        <v>788</v>
      </c>
      <c r="J6791" s="380" t="s">
        <v>773</v>
      </c>
      <c r="K6791" s="381">
        <v>0.0</v>
      </c>
      <c r="L6791" s="382">
        <v>1.0</v>
      </c>
    </row>
    <row r="6792">
      <c r="A6792" s="380" t="s">
        <v>7666</v>
      </c>
      <c r="B6792" s="380" t="str">
        <f>IFERROR(__xludf.DUMMYFUNCTION("""COMPUTED_VALUE"""),"Cubier Lat Dep Liq Fren Nkr Rw8974060031")</f>
        <v>Cubier Lat Dep Liq Fren Nkr Rw8974060031</v>
      </c>
      <c r="C6792" s="380" t="str">
        <f>IFERROR(__xludf.DUMMYFUNCTION("""COMPUTED_VALUE"""),"70002199")</f>
        <v>70002199</v>
      </c>
      <c r="D6792" s="380" t="s">
        <v>767</v>
      </c>
      <c r="E6792" s="380" t="s">
        <v>786</v>
      </c>
      <c r="F6792" s="380" t="s">
        <v>1017</v>
      </c>
      <c r="G6792" s="380" t="s">
        <v>1267</v>
      </c>
      <c r="H6792" s="380" t="s">
        <v>771</v>
      </c>
      <c r="I6792" s="380" t="s">
        <v>788</v>
      </c>
      <c r="J6792" s="380" t="s">
        <v>773</v>
      </c>
      <c r="K6792" s="381">
        <v>0.0</v>
      </c>
      <c r="L6792" s="382">
        <v>1.0</v>
      </c>
    </row>
    <row r="6793">
      <c r="A6793" s="380" t="s">
        <v>7667</v>
      </c>
      <c r="B6793" s="380" t="str">
        <f>IFERROR(__xludf.DUMMYFUNCTION("""COMPUTED_VALUE"""),"Turbo Alimentador FRR 8983520881")</f>
        <v>Turbo Alimentador FRR 8983520881</v>
      </c>
      <c r="C6793" s="380" t="str">
        <f>IFERROR(__xludf.DUMMYFUNCTION("""COMPUTED_VALUE"""),"70002200")</f>
        <v>70002200</v>
      </c>
      <c r="D6793" s="380" t="s">
        <v>767</v>
      </c>
      <c r="E6793" s="380" t="s">
        <v>786</v>
      </c>
      <c r="F6793" s="380" t="s">
        <v>787</v>
      </c>
      <c r="G6793" s="380" t="s">
        <v>1267</v>
      </c>
      <c r="H6793" s="380" t="s">
        <v>771</v>
      </c>
      <c r="I6793" s="380" t="s">
        <v>788</v>
      </c>
      <c r="J6793" s="380" t="s">
        <v>773</v>
      </c>
      <c r="K6793" s="381">
        <v>0.0</v>
      </c>
      <c r="L6793" s="382">
        <v>1.0</v>
      </c>
    </row>
    <row r="6794">
      <c r="A6794" s="380" t="s">
        <v>7668</v>
      </c>
      <c r="B6794" s="380" t="str">
        <f>IFERROR(__xludf.DUMMYFUNCTION("""COMPUTED_VALUE"""),"Radiador Foton MV5 58cm 7701023488")</f>
        <v>Radiador Foton MV5 58cm 7701023488</v>
      </c>
      <c r="C6794" s="380" t="str">
        <f>IFERROR(__xludf.DUMMYFUNCTION("""COMPUTED_VALUE"""),"70002201")</f>
        <v>70002201</v>
      </c>
      <c r="D6794" s="380" t="s">
        <v>767</v>
      </c>
      <c r="E6794" s="380" t="s">
        <v>786</v>
      </c>
      <c r="F6794" s="380" t="s">
        <v>787</v>
      </c>
      <c r="G6794" s="380" t="s">
        <v>1267</v>
      </c>
      <c r="H6794" s="380" t="s">
        <v>771</v>
      </c>
      <c r="I6794" s="380" t="s">
        <v>788</v>
      </c>
      <c r="J6794" s="380" t="s">
        <v>773</v>
      </c>
      <c r="K6794" s="381">
        <v>0.0</v>
      </c>
      <c r="L6794" s="382">
        <v>1.0</v>
      </c>
    </row>
    <row r="6795">
      <c r="A6795" s="380" t="s">
        <v>7669</v>
      </c>
      <c r="B6795" s="380" t="str">
        <f>IFERROR(__xludf.DUMMYFUNCTION("""COMPUTED_VALUE"""),"Lamp Techo Univer Led Nkr-T Delta1000952")</f>
        <v>Lamp Techo Univer Led Nkr-T Delta1000952</v>
      </c>
      <c r="C6795" s="380" t="str">
        <f>IFERROR(__xludf.DUMMYFUNCTION("""COMPUTED_VALUE"""),"70002202")</f>
        <v>70002202</v>
      </c>
      <c r="D6795" s="380" t="s">
        <v>767</v>
      </c>
      <c r="E6795" s="380" t="s">
        <v>786</v>
      </c>
      <c r="F6795" s="380" t="s">
        <v>998</v>
      </c>
      <c r="G6795" s="380" t="s">
        <v>1267</v>
      </c>
      <c r="H6795" s="380" t="s">
        <v>771</v>
      </c>
      <c r="I6795" s="380" t="s">
        <v>788</v>
      </c>
      <c r="J6795" s="380" t="s">
        <v>773</v>
      </c>
      <c r="K6795" s="381">
        <v>0.0</v>
      </c>
      <c r="L6795" s="382">
        <v>1.0</v>
      </c>
    </row>
    <row r="6796">
      <c r="A6796" s="380" t="s">
        <v>7670</v>
      </c>
      <c r="B6796" s="380" t="str">
        <f>IFERROR(__xludf.DUMMYFUNCTION("""COMPUTED_VALUE"""),"Rodillo Reserva Caja Eagle 14287")</f>
        <v>Rodillo Reserva Caja Eagle 14287</v>
      </c>
      <c r="C6796" s="380" t="str">
        <f>IFERROR(__xludf.DUMMYFUNCTION("""COMPUTED_VALUE"""),"70002203")</f>
        <v>70002203</v>
      </c>
      <c r="D6796" s="380" t="s">
        <v>767</v>
      </c>
      <c r="E6796" s="380" t="s">
        <v>786</v>
      </c>
      <c r="F6796" s="380" t="s">
        <v>928</v>
      </c>
      <c r="G6796" s="380" t="s">
        <v>1267</v>
      </c>
      <c r="H6796" s="380" t="s">
        <v>771</v>
      </c>
      <c r="I6796" s="380" t="s">
        <v>788</v>
      </c>
      <c r="J6796" s="380" t="s">
        <v>773</v>
      </c>
      <c r="K6796" s="381">
        <v>0.0</v>
      </c>
      <c r="L6796" s="382">
        <v>1.0</v>
      </c>
    </row>
    <row r="6797">
      <c r="A6797" s="380" t="s">
        <v>7671</v>
      </c>
      <c r="B6797" s="380" t="str">
        <f>IFERROR(__xludf.DUMMYFUNCTION("""COMPUTED_VALUE"""),"Alternador Hino Dutro 300 2706078210")</f>
        <v>Alternador Hino Dutro 300 2706078210</v>
      </c>
      <c r="C6797" s="380" t="str">
        <f>IFERROR(__xludf.DUMMYFUNCTION("""COMPUTED_VALUE"""),"70002204")</f>
        <v>70002204</v>
      </c>
      <c r="D6797" s="380" t="s">
        <v>767</v>
      </c>
      <c r="E6797" s="380" t="s">
        <v>786</v>
      </c>
      <c r="F6797" s="380" t="s">
        <v>998</v>
      </c>
      <c r="G6797" s="380" t="s">
        <v>1267</v>
      </c>
      <c r="H6797" s="380" t="s">
        <v>771</v>
      </c>
      <c r="I6797" s="380" t="s">
        <v>788</v>
      </c>
      <c r="J6797" s="380" t="s">
        <v>773</v>
      </c>
      <c r="K6797" s="381">
        <v>0.0</v>
      </c>
      <c r="L6797" s="382">
        <v>1.0</v>
      </c>
    </row>
    <row r="6798">
      <c r="A6798" s="380" t="s">
        <v>7672</v>
      </c>
      <c r="B6798" s="380" t="str">
        <f>IFERROR(__xludf.DUMMYFUNCTION("""COMPUTED_VALUE"""),"Pin Tren Fijo 14715 Eagle 19198")</f>
        <v>Pin Tren Fijo 14715 Eagle 19198</v>
      </c>
      <c r="C6798" s="380" t="str">
        <f>IFERROR(__xludf.DUMMYFUNCTION("""COMPUTED_VALUE"""),"70002205")</f>
        <v>70002205</v>
      </c>
      <c r="D6798" s="380" t="s">
        <v>767</v>
      </c>
      <c r="E6798" s="380" t="s">
        <v>786</v>
      </c>
      <c r="F6798" s="380" t="s">
        <v>928</v>
      </c>
      <c r="G6798" s="380" t="s">
        <v>1267</v>
      </c>
      <c r="H6798" s="380" t="s">
        <v>771</v>
      </c>
      <c r="I6798" s="380" t="s">
        <v>788</v>
      </c>
      <c r="J6798" s="380" t="s">
        <v>773</v>
      </c>
      <c r="K6798" s="381">
        <v>0.0</v>
      </c>
      <c r="L6798" s="382">
        <v>1.0</v>
      </c>
    </row>
    <row r="6799">
      <c r="A6799" s="380" t="s">
        <v>7673</v>
      </c>
      <c r="B6799" s="380" t="str">
        <f>IFERROR(__xludf.DUMMYFUNCTION("""COMPUTED_VALUE"""),"Diferencial Completa Nkr 2da 7x43")</f>
        <v>Diferencial Completa Nkr 2da 7x43</v>
      </c>
      <c r="C6799" s="380" t="str">
        <f>IFERROR(__xludf.DUMMYFUNCTION("""COMPUTED_VALUE"""),"70002206")</f>
        <v>70002206</v>
      </c>
      <c r="D6799" s="380" t="s">
        <v>767</v>
      </c>
      <c r="E6799" s="380" t="s">
        <v>786</v>
      </c>
      <c r="F6799" s="380" t="s">
        <v>5683</v>
      </c>
      <c r="G6799" s="380" t="s">
        <v>1267</v>
      </c>
      <c r="H6799" s="380" t="s">
        <v>771</v>
      </c>
      <c r="I6799" s="380" t="s">
        <v>788</v>
      </c>
      <c r="J6799" s="380" t="s">
        <v>773</v>
      </c>
      <c r="K6799" s="381">
        <v>0.0</v>
      </c>
      <c r="L6799" s="382">
        <v>1.0</v>
      </c>
    </row>
    <row r="6800">
      <c r="A6800" s="380" t="s">
        <v>7674</v>
      </c>
      <c r="B6800" s="380" t="str">
        <f>IFERROR(__xludf.DUMMYFUNCTION("""COMPUTED_VALUE"""),"Bobina De Ignicion Foton 7705946023146")</f>
        <v>Bobina De Ignicion Foton 7705946023146</v>
      </c>
      <c r="C6800" s="380" t="str">
        <f>IFERROR(__xludf.DUMMYFUNCTION("""COMPUTED_VALUE"""),"70002207")</f>
        <v>70002207</v>
      </c>
      <c r="D6800" s="380" t="s">
        <v>767</v>
      </c>
      <c r="E6800" s="380" t="s">
        <v>786</v>
      </c>
      <c r="F6800" s="380" t="s">
        <v>998</v>
      </c>
      <c r="G6800" s="380" t="s">
        <v>1267</v>
      </c>
      <c r="H6800" s="380" t="s">
        <v>771</v>
      </c>
      <c r="I6800" s="380" t="s">
        <v>788</v>
      </c>
      <c r="J6800" s="380" t="s">
        <v>773</v>
      </c>
      <c r="K6800" s="381">
        <v>0.0</v>
      </c>
      <c r="L6800" s="382">
        <v>1.0</v>
      </c>
    </row>
    <row r="6801">
      <c r="A6801" s="380" t="s">
        <v>7675</v>
      </c>
      <c r="B6801" s="380" t="str">
        <f>IFERROR(__xludf.DUMMYFUNCTION("""COMPUTED_VALUE"""),"Reten Divisor Tras Del SB N14 210737-119")</f>
        <v>Reten Divisor Tras Del SB N14 210737-119</v>
      </c>
      <c r="C6801" s="380" t="str">
        <f>IFERROR(__xludf.DUMMYFUNCTION("""COMPUTED_VALUE"""),"70002208")</f>
        <v>70002208</v>
      </c>
      <c r="D6801" s="380" t="s">
        <v>767</v>
      </c>
      <c r="E6801" s="380" t="s">
        <v>786</v>
      </c>
      <c r="F6801" s="380" t="s">
        <v>5683</v>
      </c>
      <c r="G6801" s="380" t="s">
        <v>1267</v>
      </c>
      <c r="H6801" s="380" t="s">
        <v>771</v>
      </c>
      <c r="I6801" s="380" t="s">
        <v>788</v>
      </c>
      <c r="J6801" s="380" t="s">
        <v>773</v>
      </c>
      <c r="K6801" s="381">
        <v>0.0</v>
      </c>
      <c r="L6801" s="382">
        <v>1.0</v>
      </c>
    </row>
    <row r="6802">
      <c r="A6802" s="380" t="s">
        <v>7676</v>
      </c>
      <c r="B6802" s="380" t="str">
        <f>IFERROR(__xludf.DUMMYFUNCTION("""COMPUTED_VALUE"""),"Cilindro Freno Trasero Ts 7705946261227")</f>
        <v>Cilindro Freno Trasero Ts 7705946261227</v>
      </c>
      <c r="C6802" s="380" t="str">
        <f>IFERROR(__xludf.DUMMYFUNCTION("""COMPUTED_VALUE"""),"70002209")</f>
        <v>70002209</v>
      </c>
      <c r="D6802" s="380" t="s">
        <v>767</v>
      </c>
      <c r="E6802" s="380" t="s">
        <v>786</v>
      </c>
      <c r="F6802" s="380" t="s">
        <v>1017</v>
      </c>
      <c r="G6802" s="380" t="s">
        <v>1267</v>
      </c>
      <c r="H6802" s="380" t="s">
        <v>771</v>
      </c>
      <c r="I6802" s="380" t="s">
        <v>788</v>
      </c>
      <c r="J6802" s="380" t="s">
        <v>773</v>
      </c>
      <c r="K6802" s="381">
        <v>0.0</v>
      </c>
      <c r="L6802" s="382">
        <v>1.0</v>
      </c>
    </row>
    <row r="6803">
      <c r="A6803" s="380" t="s">
        <v>7677</v>
      </c>
      <c r="B6803" s="380" t="str">
        <f>IFERROR(__xludf.DUMMYFUNCTION("""COMPUTED_VALUE"""),"Valvula Reguladora Freno N200 5496970")</f>
        <v>Valvula Reguladora Freno N200 5496970</v>
      </c>
      <c r="C6803" s="380" t="str">
        <f>IFERROR(__xludf.DUMMYFUNCTION("""COMPUTED_VALUE"""),"70002210")</f>
        <v>70002210</v>
      </c>
      <c r="D6803" s="380" t="s">
        <v>767</v>
      </c>
      <c r="E6803" s="380" t="s">
        <v>786</v>
      </c>
      <c r="F6803" s="380" t="s">
        <v>1017</v>
      </c>
      <c r="G6803" s="380" t="s">
        <v>1267</v>
      </c>
      <c r="H6803" s="380" t="s">
        <v>771</v>
      </c>
      <c r="I6803" s="380" t="s">
        <v>788</v>
      </c>
      <c r="J6803" s="380" t="s">
        <v>773</v>
      </c>
      <c r="K6803" s="381">
        <v>0.0</v>
      </c>
      <c r="L6803" s="382">
        <v>1.0</v>
      </c>
    </row>
    <row r="6804">
      <c r="A6804" s="380" t="s">
        <v>7678</v>
      </c>
      <c r="B6804" s="380" t="str">
        <f>IFERROR(__xludf.DUMMYFUNCTION("""COMPUTED_VALUE"""),"Enfriador De Aceite KW T800 K3478")</f>
        <v>Enfriador De Aceite KW T800 K3478</v>
      </c>
      <c r="C6804" s="380" t="str">
        <f>IFERROR(__xludf.DUMMYFUNCTION("""COMPUTED_VALUE"""),"70002211")</f>
        <v>70002211</v>
      </c>
      <c r="D6804" s="380" t="s">
        <v>767</v>
      </c>
      <c r="E6804" s="380" t="s">
        <v>786</v>
      </c>
      <c r="F6804" s="380" t="s">
        <v>787</v>
      </c>
      <c r="G6804" s="380" t="s">
        <v>1267</v>
      </c>
      <c r="H6804" s="380" t="s">
        <v>771</v>
      </c>
      <c r="I6804" s="380" t="s">
        <v>788</v>
      </c>
      <c r="J6804" s="380" t="s">
        <v>773</v>
      </c>
      <c r="K6804" s="381">
        <v>0.0</v>
      </c>
      <c r="L6804" s="382">
        <v>1.0</v>
      </c>
    </row>
    <row r="6805">
      <c r="A6805" s="380" t="s">
        <v>7679</v>
      </c>
      <c r="B6805" s="380" t="str">
        <f>IFERROR(__xludf.DUMMYFUNCTION("""COMPUTED_VALUE"""),"Tope Muelle KW T800 C831036")</f>
        <v>Tope Muelle KW T800 C831036</v>
      </c>
      <c r="C6805" s="380" t="str">
        <f>IFERROR(__xludf.DUMMYFUNCTION("""COMPUTED_VALUE"""),"70002212")</f>
        <v>70002212</v>
      </c>
      <c r="D6805" s="380" t="s">
        <v>767</v>
      </c>
      <c r="E6805" s="380" t="s">
        <v>786</v>
      </c>
      <c r="F6805" s="380" t="s">
        <v>1039</v>
      </c>
      <c r="G6805" s="380" t="s">
        <v>1267</v>
      </c>
      <c r="H6805" s="380" t="s">
        <v>771</v>
      </c>
      <c r="I6805" s="380" t="s">
        <v>788</v>
      </c>
      <c r="J6805" s="380" t="s">
        <v>773</v>
      </c>
      <c r="K6805" s="381">
        <v>0.0</v>
      </c>
      <c r="L6805" s="382">
        <v>1.0</v>
      </c>
    </row>
    <row r="6806">
      <c r="A6806" s="380" t="s">
        <v>7680</v>
      </c>
      <c r="B6806" s="380" t="str">
        <f>IFERROR(__xludf.DUMMYFUNCTION("""COMPUTED_VALUE"""),"Barra Tensora Suspension KW T800 C651009")</f>
        <v>Barra Tensora Suspension KW T800 C651009</v>
      </c>
      <c r="C6806" s="380" t="str">
        <f>IFERROR(__xludf.DUMMYFUNCTION("""COMPUTED_VALUE"""),"70002213")</f>
        <v>70002213</v>
      </c>
      <c r="D6806" s="380" t="s">
        <v>767</v>
      </c>
      <c r="E6806" s="380" t="s">
        <v>786</v>
      </c>
      <c r="F6806" s="380" t="s">
        <v>1039</v>
      </c>
      <c r="G6806" s="380" t="s">
        <v>1267</v>
      </c>
      <c r="H6806" s="380" t="s">
        <v>771</v>
      </c>
      <c r="I6806" s="380" t="s">
        <v>788</v>
      </c>
      <c r="J6806" s="380" t="s">
        <v>773</v>
      </c>
      <c r="K6806" s="381">
        <v>0.0</v>
      </c>
      <c r="L6806" s="382">
        <v>1.0</v>
      </c>
    </row>
    <row r="6807">
      <c r="A6807" s="380" t="s">
        <v>7681</v>
      </c>
      <c r="B6807" s="380" t="str">
        <f>IFERROR(__xludf.DUMMYFUNCTION("""COMPUTED_VALUE"""),"Suiche Direccional Prostar 3587009C92")</f>
        <v>Suiche Direccional Prostar 3587009C92</v>
      </c>
      <c r="C6807" s="380" t="str">
        <f>IFERROR(__xludf.DUMMYFUNCTION("""COMPUTED_VALUE"""),"70002214")</f>
        <v>70002214</v>
      </c>
      <c r="D6807" s="380" t="s">
        <v>767</v>
      </c>
      <c r="E6807" s="380" t="s">
        <v>786</v>
      </c>
      <c r="F6807" s="380" t="s">
        <v>998</v>
      </c>
      <c r="G6807" s="380" t="s">
        <v>1267</v>
      </c>
      <c r="H6807" s="380" t="s">
        <v>771</v>
      </c>
      <c r="I6807" s="380" t="s">
        <v>788</v>
      </c>
      <c r="J6807" s="380" t="s">
        <v>773</v>
      </c>
      <c r="K6807" s="381">
        <v>728142.0</v>
      </c>
      <c r="L6807" s="382">
        <v>1.0</v>
      </c>
    </row>
    <row r="6808">
      <c r="A6808" s="380" t="s">
        <v>7682</v>
      </c>
      <c r="B6808" s="380" t="str">
        <f>IFERROR(__xludf.DUMMYFUNCTION("""COMPUTED_VALUE"""),"Interruptor Combinado 7701023489386")</f>
        <v>Interruptor Combinado 7701023489386</v>
      </c>
      <c r="C6808" s="380" t="str">
        <f>IFERROR(__xludf.DUMMYFUNCTION("""COMPUTED_VALUE"""),"70002215")</f>
        <v>70002215</v>
      </c>
      <c r="D6808" s="380" t="s">
        <v>767</v>
      </c>
      <c r="E6808" s="380" t="s">
        <v>786</v>
      </c>
      <c r="F6808" s="380" t="s">
        <v>998</v>
      </c>
      <c r="G6808" s="380" t="s">
        <v>1267</v>
      </c>
      <c r="H6808" s="380" t="s">
        <v>771</v>
      </c>
      <c r="I6808" s="380" t="s">
        <v>788</v>
      </c>
      <c r="J6808" s="380" t="s">
        <v>773</v>
      </c>
      <c r="K6808" s="381">
        <v>0.0</v>
      </c>
      <c r="L6808" s="382">
        <v>1.0</v>
      </c>
    </row>
    <row r="6809">
      <c r="A6809" s="380" t="s">
        <v>7683</v>
      </c>
      <c r="B6809" s="380" t="str">
        <f>IFERROR(__xludf.DUMMYFUNCTION("""COMPUTED_VALUE"""),"Tornillo Piñon Bomba Combu Eagle 3330022")</f>
        <v>Tornillo Piñon Bomba Combu Eagle 3330022</v>
      </c>
      <c r="C6809" s="380" t="str">
        <f>IFERROR(__xludf.DUMMYFUNCTION("""COMPUTED_VALUE"""),"70002216")</f>
        <v>70002216</v>
      </c>
      <c r="D6809" s="380" t="s">
        <v>767</v>
      </c>
      <c r="E6809" s="380" t="s">
        <v>786</v>
      </c>
      <c r="F6809" s="380" t="s">
        <v>787</v>
      </c>
      <c r="G6809" s="380" t="s">
        <v>1267</v>
      </c>
      <c r="H6809" s="380" t="s">
        <v>771</v>
      </c>
      <c r="I6809" s="380" t="s">
        <v>788</v>
      </c>
      <c r="J6809" s="380" t="s">
        <v>773</v>
      </c>
      <c r="K6809" s="381">
        <v>0.0</v>
      </c>
      <c r="L6809" s="382">
        <v>1.0</v>
      </c>
    </row>
    <row r="6810">
      <c r="A6810" s="380" t="s">
        <v>7684</v>
      </c>
      <c r="B6810" s="380" t="str">
        <f>IFERROR(__xludf.DUMMYFUNCTION("""COMPUTED_VALUE"""),"Bateria 27-1000 Willard")</f>
        <v>Bateria 27-1000 Willard</v>
      </c>
      <c r="C6810" s="380" t="str">
        <f>IFERROR(__xludf.DUMMYFUNCTION("""COMPUTED_VALUE"""),"70002217")</f>
        <v>70002217</v>
      </c>
      <c r="D6810" s="380" t="s">
        <v>767</v>
      </c>
      <c r="E6810" s="380" t="s">
        <v>786</v>
      </c>
      <c r="F6810" s="380" t="s">
        <v>998</v>
      </c>
      <c r="G6810" s="380" t="s">
        <v>1267</v>
      </c>
      <c r="H6810" s="380" t="s">
        <v>771</v>
      </c>
      <c r="I6810" s="380" t="s">
        <v>788</v>
      </c>
      <c r="J6810" s="380" t="s">
        <v>773</v>
      </c>
      <c r="K6810" s="381">
        <v>381114.0</v>
      </c>
      <c r="L6810" s="382">
        <v>1.0</v>
      </c>
    </row>
    <row r="6811">
      <c r="A6811" s="380" t="s">
        <v>7685</v>
      </c>
      <c r="B6811" s="380" t="str">
        <f>IFERROR(__xludf.DUMMYFUNCTION("""COMPUTED_VALUE"""),"Bateria 31h - 1150 T/P Willard")</f>
        <v>Bateria 31h - 1150 T/P Willard</v>
      </c>
      <c r="C6811" s="380" t="str">
        <f>IFERROR(__xludf.DUMMYFUNCTION("""COMPUTED_VALUE"""),"70002218")</f>
        <v>70002218</v>
      </c>
      <c r="D6811" s="380" t="s">
        <v>767</v>
      </c>
      <c r="E6811" s="380" t="s">
        <v>786</v>
      </c>
      <c r="F6811" s="380" t="s">
        <v>998</v>
      </c>
      <c r="G6811" s="380" t="s">
        <v>1267</v>
      </c>
      <c r="H6811" s="380" t="s">
        <v>771</v>
      </c>
      <c r="I6811" s="380" t="s">
        <v>788</v>
      </c>
      <c r="J6811" s="380" t="s">
        <v>773</v>
      </c>
      <c r="K6811" s="381">
        <v>422023.0</v>
      </c>
      <c r="L6811" s="382">
        <v>1.0</v>
      </c>
    </row>
    <row r="6812">
      <c r="A6812" s="380" t="s">
        <v>7686</v>
      </c>
      <c r="B6812" s="380" t="str">
        <f>IFERROR(__xludf.DUMMYFUNCTION("""COMPUTED_VALUE"""),"Mangu Bypass Salida Motor FRR 8980105732")</f>
        <v>Mangu Bypass Salida Motor FRR 8980105732</v>
      </c>
      <c r="C6812" s="380" t="str">
        <f>IFERROR(__xludf.DUMMYFUNCTION("""COMPUTED_VALUE"""),"70002219")</f>
        <v>70002219</v>
      </c>
      <c r="D6812" s="380" t="s">
        <v>767</v>
      </c>
      <c r="E6812" s="380" t="s">
        <v>786</v>
      </c>
      <c r="F6812" s="380" t="s">
        <v>787</v>
      </c>
      <c r="G6812" s="380" t="s">
        <v>1267</v>
      </c>
      <c r="H6812" s="380" t="s">
        <v>771</v>
      </c>
      <c r="I6812" s="380" t="s">
        <v>788</v>
      </c>
      <c r="J6812" s="380" t="s">
        <v>773</v>
      </c>
      <c r="K6812" s="381">
        <v>0.0</v>
      </c>
      <c r="L6812" s="382">
        <v>1.0</v>
      </c>
    </row>
    <row r="6813">
      <c r="A6813" s="380" t="s">
        <v>7687</v>
      </c>
      <c r="B6813" s="380" t="str">
        <f>IFERROR(__xludf.DUMMYFUNCTION("""COMPUTED_VALUE"""),"Manguera Salida Radiado Van N200 9053362")</f>
        <v>Manguera Salida Radiado Van N200 9053362</v>
      </c>
      <c r="C6813" s="380" t="str">
        <f>IFERROR(__xludf.DUMMYFUNCTION("""COMPUTED_VALUE"""),"70002220")</f>
        <v>70002220</v>
      </c>
      <c r="D6813" s="380" t="s">
        <v>767</v>
      </c>
      <c r="E6813" s="380" t="s">
        <v>786</v>
      </c>
      <c r="F6813" s="380" t="s">
        <v>787</v>
      </c>
      <c r="G6813" s="380" t="s">
        <v>1267</v>
      </c>
      <c r="H6813" s="380" t="s">
        <v>771</v>
      </c>
      <c r="I6813" s="380" t="s">
        <v>788</v>
      </c>
      <c r="J6813" s="380" t="s">
        <v>773</v>
      </c>
      <c r="K6813" s="381">
        <v>0.0</v>
      </c>
      <c r="L6813" s="382">
        <v>1.0</v>
      </c>
    </row>
    <row r="6814">
      <c r="A6814" s="380" t="s">
        <v>7688</v>
      </c>
      <c r="B6814" s="380" t="str">
        <f>IFERROR(__xludf.DUMMYFUNCTION("""COMPUTED_VALUE"""),"Lamp Farola Izq 7705946041256 Foton MV5")</f>
        <v>Lamp Farola Izq 7705946041256 Foton MV5</v>
      </c>
      <c r="C6814" s="380" t="str">
        <f>IFERROR(__xludf.DUMMYFUNCTION("""COMPUTED_VALUE"""),"70002221")</f>
        <v>70002221</v>
      </c>
      <c r="D6814" s="380" t="s">
        <v>767</v>
      </c>
      <c r="E6814" s="380" t="s">
        <v>786</v>
      </c>
      <c r="F6814" s="380" t="s">
        <v>998</v>
      </c>
      <c r="G6814" s="380" t="s">
        <v>1267</v>
      </c>
      <c r="H6814" s="380" t="s">
        <v>771</v>
      </c>
      <c r="I6814" s="380" t="s">
        <v>788</v>
      </c>
      <c r="J6814" s="380" t="s">
        <v>773</v>
      </c>
      <c r="K6814" s="381">
        <v>0.0</v>
      </c>
      <c r="L6814" s="382">
        <v>1.0</v>
      </c>
    </row>
    <row r="6815">
      <c r="A6815" s="380" t="s">
        <v>7689</v>
      </c>
      <c r="B6815" s="380" t="str">
        <f>IFERROR(__xludf.DUMMYFUNCTION("""COMPUTED_VALUE"""),"Bateria Montacarga 55D-700 Willard")</f>
        <v>Bateria Montacarga 55D-700 Willard</v>
      </c>
      <c r="C6815" s="380" t="str">
        <f>IFERROR(__xludf.DUMMYFUNCTION("""COMPUTED_VALUE"""),"70002222")</f>
        <v>70002222</v>
      </c>
      <c r="D6815" s="380" t="s">
        <v>767</v>
      </c>
      <c r="E6815" s="380" t="s">
        <v>786</v>
      </c>
      <c r="F6815" s="380" t="s">
        <v>998</v>
      </c>
      <c r="G6815" s="380" t="s">
        <v>1267</v>
      </c>
      <c r="H6815" s="380" t="s">
        <v>771</v>
      </c>
      <c r="I6815" s="380" t="s">
        <v>788</v>
      </c>
      <c r="J6815" s="380" t="s">
        <v>773</v>
      </c>
      <c r="K6815" s="381">
        <v>0.0</v>
      </c>
      <c r="L6815" s="382">
        <v>1.0</v>
      </c>
    </row>
    <row r="6816">
      <c r="A6816" s="380" t="s">
        <v>7690</v>
      </c>
      <c r="B6816" s="380" t="str">
        <f>IFERROR(__xludf.DUMMYFUNCTION("""COMPUTED_VALUE"""),"Patin Tens Correa Venti KW T800 Cmr89440")</f>
        <v>Patin Tens Correa Venti KW T800 Cmr89440</v>
      </c>
      <c r="C6816" s="380" t="str">
        <f>IFERROR(__xludf.DUMMYFUNCTION("""COMPUTED_VALUE"""),"70002223")</f>
        <v>70002223</v>
      </c>
      <c r="D6816" s="380" t="s">
        <v>767</v>
      </c>
      <c r="E6816" s="380" t="s">
        <v>786</v>
      </c>
      <c r="F6816" s="380" t="s">
        <v>787</v>
      </c>
      <c r="G6816" s="380" t="s">
        <v>1267</v>
      </c>
      <c r="H6816" s="380" t="s">
        <v>771</v>
      </c>
      <c r="I6816" s="380" t="s">
        <v>788</v>
      </c>
      <c r="J6816" s="380" t="s">
        <v>773</v>
      </c>
      <c r="K6816" s="381">
        <v>0.0</v>
      </c>
      <c r="L6816" s="382">
        <v>1.0</v>
      </c>
    </row>
    <row r="6817">
      <c r="A6817" s="380" t="s">
        <v>7691</v>
      </c>
      <c r="B6817" s="380" t="str">
        <f>IFERROR(__xludf.DUMMYFUNCTION("""COMPUTED_VALUE"""),"Esquinero Alumin Furgon Vehiculo Mediano")</f>
        <v>Esquinero Alumin Furgon Vehiculo Mediano</v>
      </c>
      <c r="C6817" s="380" t="str">
        <f>IFERROR(__xludf.DUMMYFUNCTION("""COMPUTED_VALUE"""),"70002224")</f>
        <v>70002224</v>
      </c>
      <c r="D6817" s="380" t="s">
        <v>767</v>
      </c>
      <c r="E6817" s="380" t="s">
        <v>786</v>
      </c>
      <c r="F6817" s="380" t="s">
        <v>792</v>
      </c>
      <c r="G6817" s="380" t="s">
        <v>1267</v>
      </c>
      <c r="H6817" s="380" t="s">
        <v>771</v>
      </c>
      <c r="I6817" s="380" t="s">
        <v>788</v>
      </c>
      <c r="J6817" s="380" t="s">
        <v>773</v>
      </c>
      <c r="K6817" s="381">
        <v>178500.0</v>
      </c>
      <c r="L6817" s="382">
        <v>1.0</v>
      </c>
    </row>
    <row r="6818">
      <c r="A6818" s="380" t="s">
        <v>7692</v>
      </c>
      <c r="B6818" s="380" t="str">
        <f>IFERROR(__xludf.DUMMYFUNCTION("""COMPUTED_VALUE"""),"Perfil Aerodinam Furgon Vehiculo Mediano")</f>
        <v>Perfil Aerodinam Furgon Vehiculo Mediano</v>
      </c>
      <c r="C6818" s="380" t="str">
        <f>IFERROR(__xludf.DUMMYFUNCTION("""COMPUTED_VALUE"""),"70002225")</f>
        <v>70002225</v>
      </c>
      <c r="D6818" s="380" t="s">
        <v>767</v>
      </c>
      <c r="E6818" s="380" t="s">
        <v>786</v>
      </c>
      <c r="F6818" s="380" t="s">
        <v>792</v>
      </c>
      <c r="G6818" s="380" t="s">
        <v>1267</v>
      </c>
      <c r="H6818" s="380" t="s">
        <v>771</v>
      </c>
      <c r="I6818" s="380" t="s">
        <v>788</v>
      </c>
      <c r="J6818" s="380" t="s">
        <v>773</v>
      </c>
      <c r="K6818" s="381">
        <v>210586.0</v>
      </c>
      <c r="L6818" s="382">
        <v>1.0</v>
      </c>
    </row>
    <row r="6819">
      <c r="A6819" s="380" t="s">
        <v>7693</v>
      </c>
      <c r="B6819" s="380" t="str">
        <f>IFERROR(__xludf.DUMMYFUNCTION("""COMPUTED_VALUE"""),"Sensor Rev 7701023485197 Foton MV5")</f>
        <v>Sensor Rev 7701023485197 Foton MV5</v>
      </c>
      <c r="C6819" s="380" t="str">
        <f>IFERROR(__xludf.DUMMYFUNCTION("""COMPUTED_VALUE"""),"70002226")</f>
        <v>70002226</v>
      </c>
      <c r="D6819" s="380" t="s">
        <v>767</v>
      </c>
      <c r="E6819" s="380" t="s">
        <v>786</v>
      </c>
      <c r="F6819" s="380" t="s">
        <v>998</v>
      </c>
      <c r="G6819" s="380" t="s">
        <v>1267</v>
      </c>
      <c r="H6819" s="380" t="s">
        <v>771</v>
      </c>
      <c r="I6819" s="380" t="s">
        <v>788</v>
      </c>
      <c r="J6819" s="380" t="s">
        <v>773</v>
      </c>
      <c r="K6819" s="381">
        <v>0.0</v>
      </c>
      <c r="L6819" s="382">
        <v>1.0</v>
      </c>
    </row>
    <row r="6820">
      <c r="A6820" s="380" t="s">
        <v>7694</v>
      </c>
      <c r="B6820" s="380" t="str">
        <f>IFERROR(__xludf.DUMMYFUNCTION("""COMPUTED_VALUE"""),"Farola Derecha Foton MV5 5946041248")</f>
        <v>Farola Derecha Foton MV5 5946041248</v>
      </c>
      <c r="C6820" s="380" t="str">
        <f>IFERROR(__xludf.DUMMYFUNCTION("""COMPUTED_VALUE"""),"70002227")</f>
        <v>70002227</v>
      </c>
      <c r="D6820" s="380" t="s">
        <v>767</v>
      </c>
      <c r="E6820" s="380" t="s">
        <v>786</v>
      </c>
      <c r="F6820" s="380" t="s">
        <v>998</v>
      </c>
      <c r="G6820" s="380" t="s">
        <v>1267</v>
      </c>
      <c r="H6820" s="380" t="s">
        <v>771</v>
      </c>
      <c r="I6820" s="380" t="s">
        <v>788</v>
      </c>
      <c r="J6820" s="380" t="s">
        <v>773</v>
      </c>
      <c r="K6820" s="381">
        <v>0.0</v>
      </c>
      <c r="L6820" s="382">
        <v>1.0</v>
      </c>
    </row>
    <row r="6821">
      <c r="A6821" s="380" t="s">
        <v>7695</v>
      </c>
      <c r="B6821" s="380" t="str">
        <f>IFERROR(__xludf.DUMMYFUNCTION("""COMPUTED_VALUE"""),"Capo Foton MV5 7705946040")</f>
        <v>Capo Foton MV5 7705946040</v>
      </c>
      <c r="C6821" s="380" t="str">
        <f>IFERROR(__xludf.DUMMYFUNCTION("""COMPUTED_VALUE"""),"70002228")</f>
        <v>70002228</v>
      </c>
      <c r="D6821" s="380" t="s">
        <v>767</v>
      </c>
      <c r="E6821" s="380" t="s">
        <v>786</v>
      </c>
      <c r="F6821" s="380" t="s">
        <v>792</v>
      </c>
      <c r="G6821" s="380" t="s">
        <v>1267</v>
      </c>
      <c r="H6821" s="380" t="s">
        <v>771</v>
      </c>
      <c r="I6821" s="380" t="s">
        <v>788</v>
      </c>
      <c r="J6821" s="380" t="s">
        <v>773</v>
      </c>
      <c r="K6821" s="381">
        <v>0.0</v>
      </c>
      <c r="L6821" s="382">
        <v>1.0</v>
      </c>
    </row>
    <row r="6822">
      <c r="A6822" s="380" t="s">
        <v>7696</v>
      </c>
      <c r="B6822" s="380" t="str">
        <f>IFERROR(__xludf.DUMMYFUNCTION("""COMPUTED_VALUE"""),"Condensador Del A/C Foton MV5 7705946194")</f>
        <v>Condensador Del A/C Foton MV5 7705946194</v>
      </c>
      <c r="C6822" s="380" t="str">
        <f>IFERROR(__xludf.DUMMYFUNCTION("""COMPUTED_VALUE"""),"70002229")</f>
        <v>70002229</v>
      </c>
      <c r="D6822" s="380" t="s">
        <v>767</v>
      </c>
      <c r="E6822" s="380" t="s">
        <v>786</v>
      </c>
      <c r="F6822" s="380" t="s">
        <v>792</v>
      </c>
      <c r="G6822" s="380" t="s">
        <v>1267</v>
      </c>
      <c r="H6822" s="380" t="s">
        <v>771</v>
      </c>
      <c r="I6822" s="380" t="s">
        <v>788</v>
      </c>
      <c r="J6822" s="380" t="s">
        <v>773</v>
      </c>
      <c r="K6822" s="381">
        <v>0.0</v>
      </c>
      <c r="L6822" s="382">
        <v>1.0</v>
      </c>
    </row>
    <row r="6823">
      <c r="A6823" s="380" t="s">
        <v>7697</v>
      </c>
      <c r="B6823" s="380" t="str">
        <f>IFERROR(__xludf.DUMMYFUNCTION("""COMPUTED_VALUE"""),"Resorte Retor Pedal Freno Nhr 8978532121")</f>
        <v>Resorte Retor Pedal Freno Nhr 8978532121</v>
      </c>
      <c r="C6823" s="380" t="str">
        <f>IFERROR(__xludf.DUMMYFUNCTION("""COMPUTED_VALUE"""),"70002230")</f>
        <v>70002230</v>
      </c>
      <c r="D6823" s="380" t="s">
        <v>767</v>
      </c>
      <c r="E6823" s="380" t="s">
        <v>786</v>
      </c>
      <c r="F6823" s="380" t="s">
        <v>1017</v>
      </c>
      <c r="G6823" s="380" t="s">
        <v>1267</v>
      </c>
      <c r="H6823" s="380" t="s">
        <v>771</v>
      </c>
      <c r="I6823" s="380" t="s">
        <v>788</v>
      </c>
      <c r="J6823" s="380" t="s">
        <v>773</v>
      </c>
      <c r="K6823" s="381">
        <v>0.0</v>
      </c>
      <c r="L6823" s="382">
        <v>1.0</v>
      </c>
    </row>
    <row r="6824">
      <c r="A6824" s="380" t="s">
        <v>7698</v>
      </c>
      <c r="B6824" s="380" t="str">
        <f>IFERROR(__xludf.DUMMYFUNCTION("""COMPUTED_VALUE"""),"Barra Tens Sistema Neum KW T800 C651001")</f>
        <v>Barra Tens Sistema Neum KW T800 C651001</v>
      </c>
      <c r="C6824" s="380" t="str">
        <f>IFERROR(__xludf.DUMMYFUNCTION("""COMPUTED_VALUE"""),"70002231")</f>
        <v>70002231</v>
      </c>
      <c r="D6824" s="380" t="s">
        <v>767</v>
      </c>
      <c r="E6824" s="380" t="s">
        <v>786</v>
      </c>
      <c r="F6824" s="380" t="s">
        <v>1039</v>
      </c>
      <c r="G6824" s="380" t="s">
        <v>1267</v>
      </c>
      <c r="H6824" s="380" t="s">
        <v>771</v>
      </c>
      <c r="I6824" s="380" t="s">
        <v>788</v>
      </c>
      <c r="J6824" s="380" t="s">
        <v>773</v>
      </c>
      <c r="K6824" s="381">
        <v>4637430.0</v>
      </c>
      <c r="L6824" s="382">
        <v>1.0</v>
      </c>
    </row>
    <row r="6825">
      <c r="A6825" s="380" t="s">
        <v>7699</v>
      </c>
      <c r="B6825" s="380" t="str">
        <f>IFERROR(__xludf.DUMMYFUNCTION("""COMPUTED_VALUE"""),"Lamevidrio Puerta Der Hi 9400 3513547C1")</f>
        <v>Lamevidrio Puerta Der Hi 9400 3513547C1</v>
      </c>
      <c r="C6825" s="380" t="str">
        <f>IFERROR(__xludf.DUMMYFUNCTION("""COMPUTED_VALUE"""),"70002232")</f>
        <v>70002232</v>
      </c>
      <c r="D6825" s="380" t="s">
        <v>767</v>
      </c>
      <c r="E6825" s="380" t="s">
        <v>786</v>
      </c>
      <c r="F6825" s="380" t="s">
        <v>792</v>
      </c>
      <c r="G6825" s="380" t="s">
        <v>1267</v>
      </c>
      <c r="H6825" s="380" t="s">
        <v>771</v>
      </c>
      <c r="I6825" s="380" t="s">
        <v>788</v>
      </c>
      <c r="J6825" s="380" t="s">
        <v>773</v>
      </c>
      <c r="K6825" s="381">
        <v>0.0</v>
      </c>
      <c r="L6825" s="382">
        <v>1.0</v>
      </c>
    </row>
    <row r="6826">
      <c r="A6826" s="380" t="s">
        <v>7700</v>
      </c>
      <c r="B6826" s="380" t="str">
        <f>IFERROR(__xludf.DUMMYFUNCTION("""COMPUTED_VALUE"""),"Codo Silicon Intercool KW T800 D1024494")</f>
        <v>Codo Silicon Intercool KW T800 D1024494</v>
      </c>
      <c r="C6826" s="380" t="str">
        <f>IFERROR(__xludf.DUMMYFUNCTION("""COMPUTED_VALUE"""),"70002233")</f>
        <v>70002233</v>
      </c>
      <c r="D6826" s="380" t="s">
        <v>767</v>
      </c>
      <c r="E6826" s="380" t="s">
        <v>786</v>
      </c>
      <c r="F6826" s="380" t="s">
        <v>787</v>
      </c>
      <c r="G6826" s="380" t="s">
        <v>1267</v>
      </c>
      <c r="H6826" s="380" t="s">
        <v>771</v>
      </c>
      <c r="I6826" s="380" t="s">
        <v>788</v>
      </c>
      <c r="J6826" s="380" t="s">
        <v>773</v>
      </c>
      <c r="K6826" s="381">
        <v>0.0</v>
      </c>
      <c r="L6826" s="382">
        <v>1.0</v>
      </c>
    </row>
    <row r="6827">
      <c r="A6827" s="380" t="s">
        <v>7701</v>
      </c>
      <c r="B6827" s="380" t="str">
        <f>IFERROR(__xludf.DUMMYFUNCTION("""COMPUTED_VALUE"""),"Aline Buj Zapa Susp Neum EagleSAF9000812")</f>
        <v>Aline Buj Zapa Susp Neum EagleSAF9000812</v>
      </c>
      <c r="C6827" s="380" t="str">
        <f>IFERROR(__xludf.DUMMYFUNCTION("""COMPUTED_VALUE"""),"70002234")</f>
        <v>70002234</v>
      </c>
      <c r="D6827" s="380" t="s">
        <v>767</v>
      </c>
      <c r="E6827" s="380" t="s">
        <v>786</v>
      </c>
      <c r="F6827" s="380" t="s">
        <v>1039</v>
      </c>
      <c r="G6827" s="380" t="s">
        <v>1267</v>
      </c>
      <c r="H6827" s="380" t="s">
        <v>771</v>
      </c>
      <c r="I6827" s="380" t="s">
        <v>788</v>
      </c>
      <c r="J6827" s="380" t="s">
        <v>773</v>
      </c>
      <c r="K6827" s="381">
        <v>0.0</v>
      </c>
      <c r="L6827" s="382">
        <v>1.0</v>
      </c>
    </row>
    <row r="6828">
      <c r="A6828" s="380" t="s">
        <v>7702</v>
      </c>
      <c r="B6828" s="380" t="str">
        <f>IFERROR(__xludf.DUMMYFUNCTION("""COMPUTED_VALUE"""),"Interrup Luz Parqueo Nkr Rewar8973869221")</f>
        <v>Interrup Luz Parqueo Nkr Rewar8973869221</v>
      </c>
      <c r="C6828" s="380" t="str">
        <f>IFERROR(__xludf.DUMMYFUNCTION("""COMPUTED_VALUE"""),"70002235")</f>
        <v>70002235</v>
      </c>
      <c r="D6828" s="380" t="s">
        <v>767</v>
      </c>
      <c r="E6828" s="380" t="s">
        <v>786</v>
      </c>
      <c r="F6828" s="380" t="s">
        <v>998</v>
      </c>
      <c r="G6828" s="380" t="s">
        <v>1267</v>
      </c>
      <c r="H6828" s="380" t="s">
        <v>771</v>
      </c>
      <c r="I6828" s="380" t="s">
        <v>788</v>
      </c>
      <c r="J6828" s="380" t="s">
        <v>773</v>
      </c>
      <c r="K6828" s="381">
        <v>0.0</v>
      </c>
      <c r="L6828" s="382">
        <v>1.0</v>
      </c>
    </row>
    <row r="6829">
      <c r="A6829" s="380" t="s">
        <v>7703</v>
      </c>
      <c r="B6829" s="380" t="str">
        <f>IFERROR(__xludf.DUMMYFUNCTION("""COMPUTED_VALUE"""),"Parabrisas Laminado Jack")</f>
        <v>Parabrisas Laminado Jack</v>
      </c>
      <c r="C6829" s="380" t="str">
        <f>IFERROR(__xludf.DUMMYFUNCTION("""COMPUTED_VALUE"""),"70002236")</f>
        <v>70002236</v>
      </c>
      <c r="D6829" s="380" t="s">
        <v>767</v>
      </c>
      <c r="E6829" s="380" t="s">
        <v>786</v>
      </c>
      <c r="F6829" s="380" t="s">
        <v>792</v>
      </c>
      <c r="G6829" s="380" t="s">
        <v>1267</v>
      </c>
      <c r="H6829" s="380" t="s">
        <v>771</v>
      </c>
      <c r="I6829" s="380" t="s">
        <v>788</v>
      </c>
      <c r="J6829" s="380" t="s">
        <v>773</v>
      </c>
      <c r="K6829" s="381">
        <v>0.0</v>
      </c>
      <c r="L6829" s="382">
        <v>1.0</v>
      </c>
    </row>
    <row r="6830">
      <c r="A6830" s="380" t="s">
        <v>7704</v>
      </c>
      <c r="B6830" s="380" t="str">
        <f>IFERROR(__xludf.DUMMYFUNCTION("""COMPUTED_VALUE"""),"Balinera Volante 6203 2RS 6203 LLU C")</f>
        <v>Balinera Volante 6203 2RS 6203 LLU C</v>
      </c>
      <c r="C6830" s="380" t="str">
        <f>IFERROR(__xludf.DUMMYFUNCTION("""COMPUTED_VALUE"""),"70002237")</f>
        <v>70002237</v>
      </c>
      <c r="D6830" s="380" t="s">
        <v>767</v>
      </c>
      <c r="E6830" s="380" t="s">
        <v>786</v>
      </c>
      <c r="F6830" s="380" t="s">
        <v>787</v>
      </c>
      <c r="G6830" s="380" t="s">
        <v>1267</v>
      </c>
      <c r="H6830" s="380" t="s">
        <v>771</v>
      </c>
      <c r="I6830" s="380" t="s">
        <v>788</v>
      </c>
      <c r="J6830" s="380" t="s">
        <v>773</v>
      </c>
      <c r="K6830" s="381">
        <v>7498.0</v>
      </c>
      <c r="L6830" s="382">
        <v>1.0</v>
      </c>
    </row>
    <row r="6831">
      <c r="A6831" s="380" t="s">
        <v>7705</v>
      </c>
      <c r="B6831" s="380" t="str">
        <f>IFERROR(__xludf.DUMMYFUNCTION("""COMPUTED_VALUE"""),"Hoja Muel Tras Ppal Inter Prostar50389/1")</f>
        <v>Hoja Muel Tras Ppal Inter Prostar50389/1</v>
      </c>
      <c r="C6831" s="380" t="str">
        <f>IFERROR(__xludf.DUMMYFUNCTION("""COMPUTED_VALUE"""),"70002238")</f>
        <v>70002238</v>
      </c>
      <c r="D6831" s="380" t="s">
        <v>767</v>
      </c>
      <c r="E6831" s="380" t="s">
        <v>786</v>
      </c>
      <c r="F6831" s="380" t="s">
        <v>1039</v>
      </c>
      <c r="G6831" s="380" t="s">
        <v>1267</v>
      </c>
      <c r="H6831" s="380" t="s">
        <v>771</v>
      </c>
      <c r="I6831" s="380" t="s">
        <v>788</v>
      </c>
      <c r="J6831" s="380" t="s">
        <v>773</v>
      </c>
      <c r="K6831" s="381">
        <v>0.0</v>
      </c>
      <c r="L6831" s="382">
        <v>1.0</v>
      </c>
    </row>
    <row r="6832">
      <c r="A6832" s="380" t="s">
        <v>7706</v>
      </c>
      <c r="B6832" s="380" t="str">
        <f>IFERROR(__xludf.DUMMYFUNCTION("""COMPUTED_VALUE"""),"Tuerca Caja Hino 9017936007")</f>
        <v>Tuerca Caja Hino 9017936007</v>
      </c>
      <c r="C6832" s="380" t="str">
        <f>IFERROR(__xludf.DUMMYFUNCTION("""COMPUTED_VALUE"""),"70002239")</f>
        <v>70002239</v>
      </c>
      <c r="D6832" s="380" t="s">
        <v>767</v>
      </c>
      <c r="E6832" s="380" t="s">
        <v>786</v>
      </c>
      <c r="F6832" s="380" t="s">
        <v>928</v>
      </c>
      <c r="G6832" s="380" t="s">
        <v>1267</v>
      </c>
      <c r="H6832" s="380" t="s">
        <v>771</v>
      </c>
      <c r="I6832" s="380" t="s">
        <v>788</v>
      </c>
      <c r="J6832" s="380" t="s">
        <v>773</v>
      </c>
      <c r="K6832" s="381">
        <v>0.0</v>
      </c>
      <c r="L6832" s="382">
        <v>1.0</v>
      </c>
    </row>
    <row r="6833">
      <c r="A6833" s="380" t="s">
        <v>7707</v>
      </c>
      <c r="B6833" s="380" t="str">
        <f>IFERROR(__xludf.DUMMYFUNCTION("""COMPUTED_VALUE"""),"Base Piñon Vel Hino Dutro Pack3340436020")</f>
        <v>Base Piñon Vel Hino Dutro Pack3340436020</v>
      </c>
      <c r="C6833" s="380" t="str">
        <f>IFERROR(__xludf.DUMMYFUNCTION("""COMPUTED_VALUE"""),"70002240")</f>
        <v>70002240</v>
      </c>
      <c r="D6833" s="380" t="s">
        <v>767</v>
      </c>
      <c r="E6833" s="380" t="s">
        <v>786</v>
      </c>
      <c r="F6833" s="380" t="s">
        <v>928</v>
      </c>
      <c r="G6833" s="380" t="s">
        <v>1267</v>
      </c>
      <c r="H6833" s="380" t="s">
        <v>771</v>
      </c>
      <c r="I6833" s="380" t="s">
        <v>788</v>
      </c>
      <c r="J6833" s="380" t="s">
        <v>773</v>
      </c>
      <c r="K6833" s="381">
        <v>0.0</v>
      </c>
      <c r="L6833" s="382">
        <v>1.0</v>
      </c>
    </row>
    <row r="6834">
      <c r="A6834" s="380" t="s">
        <v>7708</v>
      </c>
      <c r="B6834" s="380" t="str">
        <f>IFERROR(__xludf.DUMMYFUNCTION("""COMPUTED_VALUE"""),"Resorte Tapa Caja Veloc Verde 15918-1591")</f>
        <v>Resorte Tapa Caja Veloc Verde 15918-1591</v>
      </c>
      <c r="C6834" s="380" t="str">
        <f>IFERROR(__xludf.DUMMYFUNCTION("""COMPUTED_VALUE"""),"70002241")</f>
        <v>70002241</v>
      </c>
      <c r="D6834" s="380" t="s">
        <v>767</v>
      </c>
      <c r="E6834" s="380" t="s">
        <v>786</v>
      </c>
      <c r="F6834" s="380" t="s">
        <v>928</v>
      </c>
      <c r="G6834" s="380" t="s">
        <v>1267</v>
      </c>
      <c r="H6834" s="380" t="s">
        <v>771</v>
      </c>
      <c r="I6834" s="380" t="s">
        <v>788</v>
      </c>
      <c r="J6834" s="380" t="s">
        <v>773</v>
      </c>
      <c r="K6834" s="381">
        <v>0.0</v>
      </c>
      <c r="L6834" s="382">
        <v>1.0</v>
      </c>
    </row>
    <row r="6835">
      <c r="A6835" s="380" t="s">
        <v>7709</v>
      </c>
      <c r="B6835" s="380" t="str">
        <f>IFERROR(__xludf.DUMMYFUNCTION("""COMPUTED_VALUE"""),"Kit Respiradero Difer Eagle 2604307C91")</f>
        <v>Kit Respiradero Difer Eagle 2604307C91</v>
      </c>
      <c r="C6835" s="380" t="str">
        <f>IFERROR(__xludf.DUMMYFUNCTION("""COMPUTED_VALUE"""),"70002242")</f>
        <v>70002242</v>
      </c>
      <c r="D6835" s="380" t="s">
        <v>767</v>
      </c>
      <c r="E6835" s="380" t="s">
        <v>786</v>
      </c>
      <c r="F6835" s="380" t="s">
        <v>5683</v>
      </c>
      <c r="G6835" s="380" t="s">
        <v>1267</v>
      </c>
      <c r="H6835" s="380" t="s">
        <v>771</v>
      </c>
      <c r="I6835" s="380" t="s">
        <v>788</v>
      </c>
      <c r="J6835" s="380" t="s">
        <v>773</v>
      </c>
      <c r="K6835" s="381">
        <v>0.0</v>
      </c>
      <c r="L6835" s="382">
        <v>1.0</v>
      </c>
    </row>
    <row r="6836">
      <c r="A6836" s="380" t="s">
        <v>7710</v>
      </c>
      <c r="B6836" s="380" t="str">
        <f>IFERROR(__xludf.DUMMYFUNCTION("""COMPUTED_VALUE"""),"Resorte Picaporte Bloqueo Puerta Grande")</f>
        <v>Resorte Picaporte Bloqueo Puerta Grande</v>
      </c>
      <c r="C6836" s="380" t="str">
        <f>IFERROR(__xludf.DUMMYFUNCTION("""COMPUTED_VALUE"""),"70002243")</f>
        <v>70002243</v>
      </c>
      <c r="D6836" s="380" t="s">
        <v>767</v>
      </c>
      <c r="E6836" s="380" t="s">
        <v>786</v>
      </c>
      <c r="F6836" s="380" t="s">
        <v>792</v>
      </c>
      <c r="G6836" s="380" t="s">
        <v>1267</v>
      </c>
      <c r="H6836" s="380" t="s">
        <v>771</v>
      </c>
      <c r="I6836" s="380" t="s">
        <v>788</v>
      </c>
      <c r="J6836" s="380" t="s">
        <v>773</v>
      </c>
      <c r="K6836" s="381">
        <v>0.0</v>
      </c>
      <c r="L6836" s="382">
        <v>1.0</v>
      </c>
    </row>
    <row r="6837">
      <c r="A6837" s="380" t="s">
        <v>7711</v>
      </c>
      <c r="B6837" s="380" t="str">
        <f>IFERROR(__xludf.DUMMYFUNCTION("""COMPUTED_VALUE"""),"Correa Aire Acondicionado Foton 4PK875")</f>
        <v>Correa Aire Acondicionado Foton 4PK875</v>
      </c>
      <c r="C6837" s="380" t="str">
        <f>IFERROR(__xludf.DUMMYFUNCTION("""COMPUTED_VALUE"""),"70002244")</f>
        <v>70002244</v>
      </c>
      <c r="D6837" s="380" t="s">
        <v>767</v>
      </c>
      <c r="E6837" s="380" t="s">
        <v>786</v>
      </c>
      <c r="F6837" s="380" t="s">
        <v>787</v>
      </c>
      <c r="G6837" s="380" t="s">
        <v>1267</v>
      </c>
      <c r="H6837" s="380" t="s">
        <v>771</v>
      </c>
      <c r="I6837" s="380" t="s">
        <v>788</v>
      </c>
      <c r="J6837" s="380" t="s">
        <v>773</v>
      </c>
      <c r="K6837" s="381">
        <v>41022.0</v>
      </c>
      <c r="L6837" s="382">
        <v>1.0</v>
      </c>
    </row>
    <row r="6838">
      <c r="A6838" s="380" t="s">
        <v>7712</v>
      </c>
      <c r="B6838" s="380" t="str">
        <f>IFERROR(__xludf.DUMMYFUNCTION("""COMPUTED_VALUE"""),"Enfriad Aceite Lado Cja KW T800 Crm18025")</f>
        <v>Enfriad Aceite Lado Cja KW T800 Crm18025</v>
      </c>
      <c r="C6838" s="380" t="str">
        <f>IFERROR(__xludf.DUMMYFUNCTION("""COMPUTED_VALUE"""),"70002245")</f>
        <v>70002245</v>
      </c>
      <c r="D6838" s="380" t="s">
        <v>767</v>
      </c>
      <c r="E6838" s="380" t="s">
        <v>786</v>
      </c>
      <c r="F6838" s="380" t="s">
        <v>928</v>
      </c>
      <c r="G6838" s="380" t="s">
        <v>1267</v>
      </c>
      <c r="H6838" s="380" t="s">
        <v>771</v>
      </c>
      <c r="I6838" s="380" t="s">
        <v>788</v>
      </c>
      <c r="J6838" s="380" t="s">
        <v>773</v>
      </c>
      <c r="K6838" s="381">
        <v>0.0</v>
      </c>
      <c r="L6838" s="382">
        <v>1.0</v>
      </c>
    </row>
    <row r="6839">
      <c r="A6839" s="380" t="s">
        <v>7713</v>
      </c>
      <c r="B6839" s="380" t="str">
        <f>IFERROR(__xludf.DUMMYFUNCTION("""COMPUTED_VALUE"""),"Resorte Banda F900")</f>
        <v>Resorte Banda F900</v>
      </c>
      <c r="C6839" s="380" t="str">
        <f>IFERROR(__xludf.DUMMYFUNCTION("""COMPUTED_VALUE"""),"70002246")</f>
        <v>70002246</v>
      </c>
      <c r="D6839" s="380" t="s">
        <v>767</v>
      </c>
      <c r="E6839" s="380" t="s">
        <v>786</v>
      </c>
      <c r="F6839" s="380" t="s">
        <v>1017</v>
      </c>
      <c r="G6839" s="380" t="s">
        <v>1267</v>
      </c>
      <c r="H6839" s="380" t="s">
        <v>771</v>
      </c>
      <c r="I6839" s="380" t="s">
        <v>788</v>
      </c>
      <c r="J6839" s="380" t="s">
        <v>773</v>
      </c>
      <c r="K6839" s="381">
        <v>13760.0</v>
      </c>
      <c r="L6839" s="382">
        <v>1.0</v>
      </c>
    </row>
    <row r="6840">
      <c r="A6840" s="380" t="s">
        <v>7714</v>
      </c>
      <c r="B6840" s="380" t="str">
        <f>IFERROR(__xludf.DUMMYFUNCTION("""COMPUTED_VALUE"""),"Resorte Banda Corto Sb/Eagle")</f>
        <v>Resorte Banda Corto Sb/Eagle</v>
      </c>
      <c r="C6840" s="380" t="str">
        <f>IFERROR(__xludf.DUMMYFUNCTION("""COMPUTED_VALUE"""),"70002247")</f>
        <v>70002247</v>
      </c>
      <c r="D6840" s="380" t="s">
        <v>767</v>
      </c>
      <c r="E6840" s="380" t="s">
        <v>786</v>
      </c>
      <c r="F6840" s="380" t="s">
        <v>1017</v>
      </c>
      <c r="G6840" s="380" t="s">
        <v>1267</v>
      </c>
      <c r="H6840" s="380" t="s">
        <v>771</v>
      </c>
      <c r="I6840" s="380" t="s">
        <v>788</v>
      </c>
      <c r="J6840" s="380" t="s">
        <v>773</v>
      </c>
      <c r="K6840" s="381">
        <v>3204.0</v>
      </c>
      <c r="L6840" s="382">
        <v>1.0</v>
      </c>
    </row>
    <row r="6841">
      <c r="A6841" s="380" t="s">
        <v>7715</v>
      </c>
      <c r="B6841" s="380" t="str">
        <f>IFERROR(__xludf.DUMMYFUNCTION("""COMPUTED_VALUE"""),"Anillo De Sello Mack 21780376")</f>
        <v>Anillo De Sello Mack 21780376</v>
      </c>
      <c r="C6841" s="380" t="str">
        <f>IFERROR(__xludf.DUMMYFUNCTION("""COMPUTED_VALUE"""),"70002248")</f>
        <v>70002248</v>
      </c>
      <c r="D6841" s="380" t="s">
        <v>767</v>
      </c>
      <c r="E6841" s="380" t="s">
        <v>786</v>
      </c>
      <c r="F6841" s="380" t="s">
        <v>787</v>
      </c>
      <c r="G6841" s="380" t="s">
        <v>1267</v>
      </c>
      <c r="H6841" s="380" t="s">
        <v>771</v>
      </c>
      <c r="I6841" s="380" t="s">
        <v>788</v>
      </c>
      <c r="J6841" s="380" t="s">
        <v>773</v>
      </c>
      <c r="K6841" s="381">
        <v>0.0</v>
      </c>
      <c r="L6841" s="382">
        <v>1.0</v>
      </c>
    </row>
    <row r="6842">
      <c r="A6842" s="380" t="s">
        <v>7716</v>
      </c>
      <c r="B6842" s="380" t="str">
        <f>IFERROR(__xludf.DUMMYFUNCTION("""COMPUTED_VALUE"""),"Resorte Banda Freno Delantero FA-1012 SB")</f>
        <v>Resorte Banda Freno Delantero FA-1012 SB</v>
      </c>
      <c r="C6842" s="380" t="str">
        <f>IFERROR(__xludf.DUMMYFUNCTION("""COMPUTED_VALUE"""),"70002249")</f>
        <v>70002249</v>
      </c>
      <c r="D6842" s="380" t="s">
        <v>767</v>
      </c>
      <c r="E6842" s="380" t="s">
        <v>786</v>
      </c>
      <c r="F6842" s="380" t="s">
        <v>1017</v>
      </c>
      <c r="G6842" s="380" t="s">
        <v>1267</v>
      </c>
      <c r="H6842" s="380" t="s">
        <v>771</v>
      </c>
      <c r="I6842" s="380" t="s">
        <v>788</v>
      </c>
      <c r="J6842" s="380" t="s">
        <v>773</v>
      </c>
      <c r="K6842" s="381">
        <v>0.0</v>
      </c>
      <c r="L6842" s="382">
        <v>1.0</v>
      </c>
    </row>
    <row r="6843">
      <c r="A6843" s="380" t="s">
        <v>7717</v>
      </c>
      <c r="B6843" s="380" t="str">
        <f>IFERROR(__xludf.DUMMYFUNCTION("""COMPUTED_VALUE"""),"Balinera Volante Hi 6206 ZZ")</f>
        <v>Balinera Volante Hi 6206 ZZ</v>
      </c>
      <c r="C6843" s="380" t="str">
        <f>IFERROR(__xludf.DUMMYFUNCTION("""COMPUTED_VALUE"""),"70002250")</f>
        <v>70002250</v>
      </c>
      <c r="D6843" s="380" t="s">
        <v>767</v>
      </c>
      <c r="E6843" s="380" t="s">
        <v>786</v>
      </c>
      <c r="F6843" s="380" t="s">
        <v>787</v>
      </c>
      <c r="G6843" s="380" t="s">
        <v>1267</v>
      </c>
      <c r="H6843" s="380" t="s">
        <v>771</v>
      </c>
      <c r="I6843" s="380" t="s">
        <v>788</v>
      </c>
      <c r="J6843" s="380" t="s">
        <v>773</v>
      </c>
      <c r="K6843" s="381">
        <v>0.0</v>
      </c>
      <c r="L6843" s="382">
        <v>1.0</v>
      </c>
    </row>
    <row r="6844">
      <c r="A6844" s="380" t="s">
        <v>7718</v>
      </c>
      <c r="B6844" s="380" t="str">
        <f>IFERROR(__xludf.DUMMYFUNCTION("""COMPUTED_VALUE"""),"Resorte Banda Trailer Largo CR-1152/10")</f>
        <v>Resorte Banda Trailer Largo CR-1152/10</v>
      </c>
      <c r="C6844" s="380" t="str">
        <f>IFERROR(__xludf.DUMMYFUNCTION("""COMPUTED_VALUE"""),"70002251")</f>
        <v>70002251</v>
      </c>
      <c r="D6844" s="380" t="s">
        <v>767</v>
      </c>
      <c r="E6844" s="380" t="s">
        <v>786</v>
      </c>
      <c r="F6844" s="380" t="s">
        <v>1017</v>
      </c>
      <c r="G6844" s="380" t="s">
        <v>1267</v>
      </c>
      <c r="H6844" s="380" t="s">
        <v>771</v>
      </c>
      <c r="I6844" s="380" t="s">
        <v>788</v>
      </c>
      <c r="J6844" s="380" t="s">
        <v>773</v>
      </c>
      <c r="K6844" s="381">
        <v>4760.0</v>
      </c>
      <c r="L6844" s="382">
        <v>1.0</v>
      </c>
    </row>
    <row r="6845">
      <c r="A6845" s="380" t="s">
        <v>7719</v>
      </c>
      <c r="B6845" s="380" t="str">
        <f>IFERROR(__xludf.DUMMYFUNCTION("""COMPUTED_VALUE"""),"Empaque Carter Mack 21293367")</f>
        <v>Empaque Carter Mack 21293367</v>
      </c>
      <c r="C6845" s="380" t="str">
        <f>IFERROR(__xludf.DUMMYFUNCTION("""COMPUTED_VALUE"""),"70002252")</f>
        <v>70002252</v>
      </c>
      <c r="D6845" s="380" t="s">
        <v>767</v>
      </c>
      <c r="E6845" s="380" t="s">
        <v>786</v>
      </c>
      <c r="F6845" s="380" t="s">
        <v>787</v>
      </c>
      <c r="G6845" s="380" t="s">
        <v>1267</v>
      </c>
      <c r="H6845" s="380" t="s">
        <v>771</v>
      </c>
      <c r="I6845" s="380" t="s">
        <v>788</v>
      </c>
      <c r="J6845" s="380" t="s">
        <v>773</v>
      </c>
      <c r="K6845" s="381">
        <v>0.0</v>
      </c>
      <c r="L6845" s="382">
        <v>1.0</v>
      </c>
    </row>
    <row r="6846">
      <c r="A6846" s="380" t="s">
        <v>7720</v>
      </c>
      <c r="B6846" s="380" t="str">
        <f>IFERROR(__xludf.DUMMYFUNCTION("""COMPUTED_VALUE"""),"Retenedor Cigueñal Del Mack 21347087")</f>
        <v>Retenedor Cigueñal Del Mack 21347087</v>
      </c>
      <c r="C6846" s="380" t="str">
        <f>IFERROR(__xludf.DUMMYFUNCTION("""COMPUTED_VALUE"""),"70002253")</f>
        <v>70002253</v>
      </c>
      <c r="D6846" s="380" t="s">
        <v>767</v>
      </c>
      <c r="E6846" s="380" t="s">
        <v>786</v>
      </c>
      <c r="F6846" s="380" t="s">
        <v>787</v>
      </c>
      <c r="G6846" s="380" t="s">
        <v>1267</v>
      </c>
      <c r="H6846" s="380" t="s">
        <v>771</v>
      </c>
      <c r="I6846" s="380" t="s">
        <v>788</v>
      </c>
      <c r="J6846" s="380" t="s">
        <v>773</v>
      </c>
      <c r="K6846" s="381">
        <v>0.0</v>
      </c>
      <c r="L6846" s="382">
        <v>1.0</v>
      </c>
    </row>
    <row r="6847">
      <c r="A6847" s="380" t="s">
        <v>7721</v>
      </c>
      <c r="B6847" s="380" t="str">
        <f>IFERROR(__xludf.DUMMYFUNCTION("""COMPUTED_VALUE"""),"Resorte Banda Tras Corto Kenw ETN 081972")</f>
        <v>Resorte Banda Tras Corto Kenw ETN 081972</v>
      </c>
      <c r="C6847" s="380" t="str">
        <f>IFERROR(__xludf.DUMMYFUNCTION("""COMPUTED_VALUE"""),"70002254")</f>
        <v>70002254</v>
      </c>
      <c r="D6847" s="380" t="s">
        <v>767</v>
      </c>
      <c r="E6847" s="380" t="s">
        <v>786</v>
      </c>
      <c r="F6847" s="380" t="s">
        <v>1017</v>
      </c>
      <c r="G6847" s="380" t="s">
        <v>1267</v>
      </c>
      <c r="H6847" s="380" t="s">
        <v>771</v>
      </c>
      <c r="I6847" s="380" t="s">
        <v>788</v>
      </c>
      <c r="J6847" s="380" t="s">
        <v>773</v>
      </c>
      <c r="K6847" s="381">
        <v>14280.0</v>
      </c>
      <c r="L6847" s="382">
        <v>1.0</v>
      </c>
    </row>
    <row r="6848">
      <c r="A6848" s="380" t="s">
        <v>7722</v>
      </c>
      <c r="B6848" s="380" t="str">
        <f>IFERROR(__xludf.DUMMYFUNCTION("""COMPUTED_VALUE"""),"Valv Prot Fre TP5 Inter Prostar BX802926")</f>
        <v>Valv Prot Fre TP5 Inter Prostar BX802926</v>
      </c>
      <c r="C6848" s="380" t="str">
        <f>IFERROR(__xludf.DUMMYFUNCTION("""COMPUTED_VALUE"""),"70002255")</f>
        <v>70002255</v>
      </c>
      <c r="D6848" s="380" t="s">
        <v>767</v>
      </c>
      <c r="E6848" s="380" t="s">
        <v>786</v>
      </c>
      <c r="F6848" s="380" t="s">
        <v>1017</v>
      </c>
      <c r="G6848" s="380" t="s">
        <v>1267</v>
      </c>
      <c r="H6848" s="380" t="s">
        <v>771</v>
      </c>
      <c r="I6848" s="380" t="s">
        <v>788</v>
      </c>
      <c r="J6848" s="380" t="s">
        <v>773</v>
      </c>
      <c r="K6848" s="381">
        <v>0.0</v>
      </c>
      <c r="L6848" s="382">
        <v>1.0</v>
      </c>
    </row>
    <row r="6849">
      <c r="A6849" s="380" t="s">
        <v>7723</v>
      </c>
      <c r="B6849" s="380" t="str">
        <f>IFERROR(__xludf.DUMMYFUNCTION("""COMPUTED_VALUE"""),"Cabina Completa Remanufactur Eagle 9400")</f>
        <v>Cabina Completa Remanufactur Eagle 9400</v>
      </c>
      <c r="C6849" s="380" t="str">
        <f>IFERROR(__xludf.DUMMYFUNCTION("""COMPUTED_VALUE"""),"70002256")</f>
        <v>70002256</v>
      </c>
      <c r="D6849" s="380" t="s">
        <v>767</v>
      </c>
      <c r="E6849" s="380" t="s">
        <v>786</v>
      </c>
      <c r="F6849" s="380" t="s">
        <v>792</v>
      </c>
      <c r="G6849" s="380" t="s">
        <v>1267</v>
      </c>
      <c r="H6849" s="380" t="s">
        <v>771</v>
      </c>
      <c r="I6849" s="380" t="s">
        <v>788</v>
      </c>
      <c r="J6849" s="380" t="s">
        <v>773</v>
      </c>
      <c r="K6849" s="381">
        <v>0.0</v>
      </c>
      <c r="L6849" s="382">
        <v>1.0</v>
      </c>
    </row>
    <row r="6850">
      <c r="A6850" s="380" t="s">
        <v>7724</v>
      </c>
      <c r="B6850" s="380" t="str">
        <f>IFERROR(__xludf.DUMMYFUNCTION("""COMPUTED_VALUE"""),"Resorte Banda Tras Eagle Inter 1693182C1")</f>
        <v>Resorte Banda Tras Eagle Inter 1693182C1</v>
      </c>
      <c r="C6850" s="380" t="str">
        <f>IFERROR(__xludf.DUMMYFUNCTION("""COMPUTED_VALUE"""),"70002257")</f>
        <v>70002257</v>
      </c>
      <c r="D6850" s="380" t="s">
        <v>767</v>
      </c>
      <c r="E6850" s="380" t="s">
        <v>786</v>
      </c>
      <c r="F6850" s="380" t="s">
        <v>1017</v>
      </c>
      <c r="G6850" s="380" t="s">
        <v>1267</v>
      </c>
      <c r="H6850" s="380" t="s">
        <v>771</v>
      </c>
      <c r="I6850" s="380" t="s">
        <v>788</v>
      </c>
      <c r="J6850" s="380" t="s">
        <v>773</v>
      </c>
      <c r="K6850" s="381">
        <v>23691.0</v>
      </c>
      <c r="L6850" s="382">
        <v>1.0</v>
      </c>
    </row>
    <row r="6851">
      <c r="A6851" s="380" t="s">
        <v>7725</v>
      </c>
      <c r="B6851" s="380" t="str">
        <f>IFERROR(__xludf.DUMMYFUNCTION("""COMPUTED_VALUE"""),"Valvula Relay Eagle 9400 294859")</f>
        <v>Valvula Relay Eagle 9400 294859</v>
      </c>
      <c r="C6851" s="380" t="str">
        <f>IFERROR(__xludf.DUMMYFUNCTION("""COMPUTED_VALUE"""),"70002258")</f>
        <v>70002258</v>
      </c>
      <c r="D6851" s="380" t="s">
        <v>767</v>
      </c>
      <c r="E6851" s="380" t="s">
        <v>786</v>
      </c>
      <c r="F6851" s="380" t="s">
        <v>1017</v>
      </c>
      <c r="G6851" s="380" t="s">
        <v>1267</v>
      </c>
      <c r="H6851" s="380" t="s">
        <v>771</v>
      </c>
      <c r="I6851" s="380" t="s">
        <v>788</v>
      </c>
      <c r="J6851" s="380" t="s">
        <v>773</v>
      </c>
      <c r="K6851" s="381">
        <v>556977.0</v>
      </c>
      <c r="L6851" s="382">
        <v>1.0</v>
      </c>
    </row>
    <row r="6852">
      <c r="A6852" s="380" t="s">
        <v>7726</v>
      </c>
      <c r="B6852" s="380" t="str">
        <f>IFERROR(__xludf.DUMMYFUNCTION("""COMPUTED_VALUE"""),"Retenedor Dif Hino Dutro Pack 9030114802")</f>
        <v>Retenedor Dif Hino Dutro Pack 9030114802</v>
      </c>
      <c r="C6852" s="380" t="str">
        <f>IFERROR(__xludf.DUMMYFUNCTION("""COMPUTED_VALUE"""),"70002259")</f>
        <v>70002259</v>
      </c>
      <c r="D6852" s="380" t="s">
        <v>767</v>
      </c>
      <c r="E6852" s="380" t="s">
        <v>786</v>
      </c>
      <c r="F6852" s="380" t="s">
        <v>5683</v>
      </c>
      <c r="G6852" s="380" t="s">
        <v>1267</v>
      </c>
      <c r="H6852" s="380" t="s">
        <v>771</v>
      </c>
      <c r="I6852" s="380" t="s">
        <v>788</v>
      </c>
      <c r="J6852" s="380" t="s">
        <v>773</v>
      </c>
      <c r="K6852" s="381">
        <v>0.0</v>
      </c>
      <c r="L6852" s="382">
        <v>1.0</v>
      </c>
    </row>
    <row r="6853">
      <c r="A6853" s="380" t="s">
        <v>7727</v>
      </c>
      <c r="B6853" s="380" t="str">
        <f>IFERROR(__xludf.DUMMYFUNCTION("""COMPUTED_VALUE"""),"Soporte Fan Clutch Prostar 2591652C91")</f>
        <v>Soporte Fan Clutch Prostar 2591652C91</v>
      </c>
      <c r="C6853" s="380" t="str">
        <f>IFERROR(__xludf.DUMMYFUNCTION("""COMPUTED_VALUE"""),"70002260")</f>
        <v>70002260</v>
      </c>
      <c r="D6853" s="380" t="s">
        <v>767</v>
      </c>
      <c r="E6853" s="380" t="s">
        <v>786</v>
      </c>
      <c r="F6853" s="380" t="s">
        <v>787</v>
      </c>
      <c r="G6853" s="380" t="s">
        <v>1267</v>
      </c>
      <c r="H6853" s="380" t="s">
        <v>771</v>
      </c>
      <c r="I6853" s="380" t="s">
        <v>788</v>
      </c>
      <c r="J6853" s="380" t="s">
        <v>773</v>
      </c>
      <c r="K6853" s="381">
        <v>0.0</v>
      </c>
      <c r="L6853" s="382">
        <v>1.0</v>
      </c>
    </row>
    <row r="6854">
      <c r="A6854" s="380" t="s">
        <v>7728</v>
      </c>
      <c r="B6854" s="380" t="str">
        <f>IFERROR(__xludf.DUMMYFUNCTION("""COMPUTED_VALUE"""),"Resorte Banda Trasero Eagle ETN 081827")</f>
        <v>Resorte Banda Trasero Eagle ETN 081827</v>
      </c>
      <c r="C6854" s="380" t="str">
        <f>IFERROR(__xludf.DUMMYFUNCTION("""COMPUTED_VALUE"""),"70002261")</f>
        <v>70002261</v>
      </c>
      <c r="D6854" s="380" t="s">
        <v>767</v>
      </c>
      <c r="E6854" s="380" t="s">
        <v>786</v>
      </c>
      <c r="F6854" s="380" t="s">
        <v>1017</v>
      </c>
      <c r="G6854" s="380" t="s">
        <v>1267</v>
      </c>
      <c r="H6854" s="380" t="s">
        <v>771</v>
      </c>
      <c r="I6854" s="380" t="s">
        <v>788</v>
      </c>
      <c r="J6854" s="380" t="s">
        <v>773</v>
      </c>
      <c r="K6854" s="381">
        <v>0.0</v>
      </c>
      <c r="L6854" s="382">
        <v>1.0</v>
      </c>
    </row>
    <row r="6855">
      <c r="A6855" s="380" t="s">
        <v>7729</v>
      </c>
      <c r="B6855" s="380" t="str">
        <f>IFERROR(__xludf.DUMMYFUNCTION("""COMPUTED_VALUE"""),"Grapa Corred Vidrio Nkr Reward8981341940")</f>
        <v>Grapa Corred Vidrio Nkr Reward8981341940</v>
      </c>
      <c r="C6855" s="380" t="str">
        <f>IFERROR(__xludf.DUMMYFUNCTION("""COMPUTED_VALUE"""),"70002262")</f>
        <v>70002262</v>
      </c>
      <c r="D6855" s="380" t="s">
        <v>767</v>
      </c>
      <c r="E6855" s="380" t="s">
        <v>786</v>
      </c>
      <c r="F6855" s="380" t="s">
        <v>792</v>
      </c>
      <c r="G6855" s="380" t="s">
        <v>1267</v>
      </c>
      <c r="H6855" s="380" t="s">
        <v>771</v>
      </c>
      <c r="I6855" s="380" t="s">
        <v>788</v>
      </c>
      <c r="J6855" s="380" t="s">
        <v>773</v>
      </c>
      <c r="K6855" s="381">
        <v>0.0</v>
      </c>
      <c r="L6855" s="382">
        <v>1.0</v>
      </c>
    </row>
    <row r="6856">
      <c r="A6856" s="380" t="s">
        <v>7730</v>
      </c>
      <c r="B6856" s="380" t="str">
        <f>IFERROR(__xludf.DUMMYFUNCTION("""COMPUTED_VALUE"""),"Manguera Freno Delantero N200 23978257")</f>
        <v>Manguera Freno Delantero N200 23978257</v>
      </c>
      <c r="C6856" s="380" t="str">
        <f>IFERROR(__xludf.DUMMYFUNCTION("""COMPUTED_VALUE"""),"70002263")</f>
        <v>70002263</v>
      </c>
      <c r="D6856" s="380" t="s">
        <v>767</v>
      </c>
      <c r="E6856" s="380" t="s">
        <v>786</v>
      </c>
      <c r="F6856" s="380" t="s">
        <v>1017</v>
      </c>
      <c r="G6856" s="380" t="s">
        <v>1267</v>
      </c>
      <c r="H6856" s="380" t="s">
        <v>771</v>
      </c>
      <c r="I6856" s="380" t="s">
        <v>788</v>
      </c>
      <c r="J6856" s="380" t="s">
        <v>773</v>
      </c>
      <c r="K6856" s="381">
        <v>0.0</v>
      </c>
      <c r="L6856" s="382">
        <v>1.0</v>
      </c>
    </row>
    <row r="6857">
      <c r="A6857" s="380" t="s">
        <v>7731</v>
      </c>
      <c r="B6857" s="380" t="str">
        <f>IFERROR(__xludf.DUMMYFUNCTION("""COMPUTED_VALUE"""),"Bomba Principal Freno N200 9054148")</f>
        <v>Bomba Principal Freno N200 9054148</v>
      </c>
      <c r="C6857" s="380" t="str">
        <f>IFERROR(__xludf.DUMMYFUNCTION("""COMPUTED_VALUE"""),"70002264")</f>
        <v>70002264</v>
      </c>
      <c r="D6857" s="380" t="s">
        <v>767</v>
      </c>
      <c r="E6857" s="380" t="s">
        <v>786</v>
      </c>
      <c r="F6857" s="380" t="s">
        <v>1017</v>
      </c>
      <c r="G6857" s="380" t="s">
        <v>1267</v>
      </c>
      <c r="H6857" s="380" t="s">
        <v>771</v>
      </c>
      <c r="I6857" s="380" t="s">
        <v>788</v>
      </c>
      <c r="J6857" s="380" t="s">
        <v>773</v>
      </c>
      <c r="K6857" s="381">
        <v>0.0</v>
      </c>
      <c r="L6857" s="382">
        <v>1.0</v>
      </c>
    </row>
    <row r="6858">
      <c r="A6858" s="380" t="s">
        <v>7732</v>
      </c>
      <c r="B6858" s="380" t="str">
        <f>IFERROR(__xludf.DUMMYFUNCTION("""COMPUTED_VALUE"""),"Buje Balan Muelle Tras Volksw8150 511181")</f>
        <v>Buje Balan Muelle Tras Volksw8150 511181</v>
      </c>
      <c r="C6858" s="380" t="str">
        <f>IFERROR(__xludf.DUMMYFUNCTION("""COMPUTED_VALUE"""),"70002265")</f>
        <v>70002265</v>
      </c>
      <c r="D6858" s="380" t="s">
        <v>767</v>
      </c>
      <c r="E6858" s="380" t="s">
        <v>786</v>
      </c>
      <c r="F6858" s="380" t="s">
        <v>1039</v>
      </c>
      <c r="G6858" s="380" t="s">
        <v>1267</v>
      </c>
      <c r="H6858" s="380" t="s">
        <v>771</v>
      </c>
      <c r="I6858" s="380" t="s">
        <v>788</v>
      </c>
      <c r="J6858" s="380" t="s">
        <v>773</v>
      </c>
      <c r="K6858" s="381">
        <v>0.0</v>
      </c>
      <c r="L6858" s="382">
        <v>1.0</v>
      </c>
    </row>
    <row r="6859">
      <c r="A6859" s="380" t="s">
        <v>7733</v>
      </c>
      <c r="B6859" s="380" t="str">
        <f>IFERROR(__xludf.DUMMYFUNCTION("""COMPUTED_VALUE"""),"Filtro Secad AD-9 BX Freight Colum(Compl")</f>
        <v>Filtro Secad AD-9 BX Freight Colum(Compl</v>
      </c>
      <c r="C6859" s="380" t="str">
        <f>IFERROR(__xludf.DUMMYFUNCTION("""COMPUTED_VALUE"""),"70002266")</f>
        <v>70002266</v>
      </c>
      <c r="D6859" s="380" t="s">
        <v>767</v>
      </c>
      <c r="E6859" s="380" t="s">
        <v>786</v>
      </c>
      <c r="F6859" s="380" t="s">
        <v>5855</v>
      </c>
      <c r="G6859" s="380" t="s">
        <v>1267</v>
      </c>
      <c r="H6859" s="380" t="s">
        <v>771</v>
      </c>
      <c r="I6859" s="380" t="s">
        <v>788</v>
      </c>
      <c r="J6859" s="380" t="s">
        <v>773</v>
      </c>
      <c r="K6859" s="381">
        <v>0.0</v>
      </c>
      <c r="L6859" s="382">
        <v>1.0</v>
      </c>
    </row>
    <row r="6860">
      <c r="A6860" s="380" t="s">
        <v>7734</v>
      </c>
      <c r="B6860" s="380" t="str">
        <f>IFERROR(__xludf.DUMMYFUNCTION("""COMPUTED_VALUE"""),"Tornillo Damper Isx Eagle 9400 3680750")</f>
        <v>Tornillo Damper Isx Eagle 9400 3680750</v>
      </c>
      <c r="C6860" s="380" t="str">
        <f>IFERROR(__xludf.DUMMYFUNCTION("""COMPUTED_VALUE"""),"70002267")</f>
        <v>70002267</v>
      </c>
      <c r="D6860" s="380" t="s">
        <v>767</v>
      </c>
      <c r="E6860" s="380" t="s">
        <v>786</v>
      </c>
      <c r="F6860" s="380" t="s">
        <v>787</v>
      </c>
      <c r="G6860" s="380" t="s">
        <v>1267</v>
      </c>
      <c r="H6860" s="380" t="s">
        <v>771</v>
      </c>
      <c r="I6860" s="380" t="s">
        <v>788</v>
      </c>
      <c r="J6860" s="380" t="s">
        <v>773</v>
      </c>
      <c r="K6860" s="381">
        <v>0.0</v>
      </c>
      <c r="L6860" s="382">
        <v>1.0</v>
      </c>
    </row>
    <row r="6861">
      <c r="A6861" s="380" t="s">
        <v>7735</v>
      </c>
      <c r="B6861" s="380" t="str">
        <f>IFERROR(__xludf.DUMMYFUNCTION("""COMPUTED_VALUE"""),"Lampar Farola Der7705946041249 Foton MV5")</f>
        <v>Lampar Farola Der7705946041249 Foton MV5</v>
      </c>
      <c r="C6861" s="380" t="str">
        <f>IFERROR(__xludf.DUMMYFUNCTION("""COMPUTED_VALUE"""),"70002268")</f>
        <v>70002268</v>
      </c>
      <c r="D6861" s="380" t="s">
        <v>767</v>
      </c>
      <c r="E6861" s="380" t="s">
        <v>786</v>
      </c>
      <c r="F6861" s="380" t="s">
        <v>998</v>
      </c>
      <c r="G6861" s="380" t="s">
        <v>1267</v>
      </c>
      <c r="H6861" s="380" t="s">
        <v>771</v>
      </c>
      <c r="I6861" s="380" t="s">
        <v>788</v>
      </c>
      <c r="J6861" s="380" t="s">
        <v>773</v>
      </c>
      <c r="K6861" s="381">
        <v>0.0</v>
      </c>
      <c r="L6861" s="382">
        <v>1.0</v>
      </c>
    </row>
    <row r="6862">
      <c r="A6862" s="380" t="s">
        <v>7736</v>
      </c>
      <c r="B6862" s="380" t="str">
        <f>IFERROR(__xludf.DUMMYFUNCTION("""COMPUTED_VALUE"""),"Manguera Freno Tras Nkr Npr 8970890610")</f>
        <v>Manguera Freno Tras Nkr Npr 8970890610</v>
      </c>
      <c r="C6862" s="380" t="str">
        <f>IFERROR(__xludf.DUMMYFUNCTION("""COMPUTED_VALUE"""),"70002269")</f>
        <v>70002269</v>
      </c>
      <c r="D6862" s="380" t="s">
        <v>767</v>
      </c>
      <c r="E6862" s="380" t="s">
        <v>786</v>
      </c>
      <c r="F6862" s="380" t="s">
        <v>1017</v>
      </c>
      <c r="G6862" s="380" t="s">
        <v>1267</v>
      </c>
      <c r="H6862" s="380" t="s">
        <v>771</v>
      </c>
      <c r="I6862" s="380" t="s">
        <v>788</v>
      </c>
      <c r="J6862" s="380" t="s">
        <v>773</v>
      </c>
      <c r="K6862" s="381">
        <v>0.0</v>
      </c>
      <c r="L6862" s="382">
        <v>1.0</v>
      </c>
    </row>
    <row r="6863">
      <c r="A6863" s="380" t="s">
        <v>7737</v>
      </c>
      <c r="B6863" s="380" t="str">
        <f>IFERROR(__xludf.DUMMYFUNCTION("""COMPUTED_VALUE"""),"Reten Rda Tras Ext Hino Dutro 903103803")</f>
        <v>Reten Rda Tras Ext Hino Dutro 903103803</v>
      </c>
      <c r="C6863" s="380" t="str">
        <f>IFERROR(__xludf.DUMMYFUNCTION("""COMPUTED_VALUE"""),"70002270")</f>
        <v>70002270</v>
      </c>
      <c r="D6863" s="380" t="s">
        <v>767</v>
      </c>
      <c r="E6863" s="380" t="s">
        <v>786</v>
      </c>
      <c r="F6863" s="380" t="s">
        <v>1039</v>
      </c>
      <c r="G6863" s="380" t="s">
        <v>1267</v>
      </c>
      <c r="H6863" s="380" t="s">
        <v>771</v>
      </c>
      <c r="I6863" s="380" t="s">
        <v>788</v>
      </c>
      <c r="J6863" s="380" t="s">
        <v>773</v>
      </c>
      <c r="K6863" s="381">
        <v>0.0</v>
      </c>
      <c r="L6863" s="382">
        <v>1.0</v>
      </c>
    </row>
    <row r="6864">
      <c r="A6864" s="380" t="s">
        <v>7738</v>
      </c>
      <c r="B6864" s="380" t="str">
        <f>IFERROR(__xludf.DUMMYFUNCTION("""COMPUTED_VALUE"""),"Guaya Cluch Foton MV3 MV5, 7705946025072")</f>
        <v>Guaya Cluch Foton MV3 MV5, 7705946025072</v>
      </c>
      <c r="C6864" s="380" t="str">
        <f>IFERROR(__xludf.DUMMYFUNCTION("""COMPUTED_VALUE"""),"70002271")</f>
        <v>70002271</v>
      </c>
      <c r="D6864" s="380" t="s">
        <v>767</v>
      </c>
      <c r="E6864" s="380" t="s">
        <v>786</v>
      </c>
      <c r="F6864" s="380" t="s">
        <v>5661</v>
      </c>
      <c r="G6864" s="380" t="s">
        <v>1267</v>
      </c>
      <c r="H6864" s="380" t="s">
        <v>771</v>
      </c>
      <c r="I6864" s="380" t="s">
        <v>788</v>
      </c>
      <c r="J6864" s="380" t="s">
        <v>773</v>
      </c>
      <c r="K6864" s="381">
        <v>62080.0</v>
      </c>
      <c r="L6864" s="382">
        <v>1.0</v>
      </c>
    </row>
    <row r="6865">
      <c r="A6865" s="380" t="s">
        <v>7739</v>
      </c>
      <c r="B6865" s="380" t="str">
        <f>IFERROR(__xludf.DUMMYFUNCTION("""COMPUTED_VALUE"""),"Balinera Volante Y Bba De Agua 6306LLU C")</f>
        <v>Balinera Volante Y Bba De Agua 6306LLU C</v>
      </c>
      <c r="C6865" s="380" t="str">
        <f>IFERROR(__xludf.DUMMYFUNCTION("""COMPUTED_VALUE"""),"70002272")</f>
        <v>70002272</v>
      </c>
      <c r="D6865" s="380" t="s">
        <v>767</v>
      </c>
      <c r="E6865" s="380" t="s">
        <v>786</v>
      </c>
      <c r="F6865" s="380" t="s">
        <v>787</v>
      </c>
      <c r="G6865" s="380" t="s">
        <v>1267</v>
      </c>
      <c r="H6865" s="380" t="s">
        <v>771</v>
      </c>
      <c r="I6865" s="380" t="s">
        <v>788</v>
      </c>
      <c r="J6865" s="380" t="s">
        <v>773</v>
      </c>
      <c r="K6865" s="381">
        <v>35998.0</v>
      </c>
      <c r="L6865" s="382">
        <v>1.0</v>
      </c>
    </row>
    <row r="6866">
      <c r="A6866" s="380" t="s">
        <v>7740</v>
      </c>
      <c r="B6866" s="380" t="str">
        <f>IFERROR(__xludf.DUMMYFUNCTION("""COMPUTED_VALUE"""),"Parabrisas Delantero Foton MV5")</f>
        <v>Parabrisas Delantero Foton MV5</v>
      </c>
      <c r="C6866" s="380" t="str">
        <f>IFERROR(__xludf.DUMMYFUNCTION("""COMPUTED_VALUE"""),"70002273")</f>
        <v>70002273</v>
      </c>
      <c r="D6866" s="380" t="s">
        <v>767</v>
      </c>
      <c r="E6866" s="380" t="s">
        <v>786</v>
      </c>
      <c r="F6866" s="380" t="s">
        <v>792</v>
      </c>
      <c r="G6866" s="380" t="s">
        <v>1267</v>
      </c>
      <c r="H6866" s="380" t="s">
        <v>771</v>
      </c>
      <c r="I6866" s="380" t="s">
        <v>788</v>
      </c>
      <c r="J6866" s="380" t="s">
        <v>773</v>
      </c>
      <c r="K6866" s="381">
        <v>0.0</v>
      </c>
      <c r="L6866" s="382">
        <v>1.0</v>
      </c>
    </row>
    <row r="6867">
      <c r="A6867" s="380" t="s">
        <v>7741</v>
      </c>
      <c r="B6867" s="380" t="str">
        <f>IFERROR(__xludf.DUMMYFUNCTION("""COMPUTED_VALUE"""),"Vidrio Trasero Cabina Kenworth T800")</f>
        <v>Vidrio Trasero Cabina Kenworth T800</v>
      </c>
      <c r="C6867" s="380" t="str">
        <f>IFERROR(__xludf.DUMMYFUNCTION("""COMPUTED_VALUE"""),"70002274")</f>
        <v>70002274</v>
      </c>
      <c r="D6867" s="380" t="s">
        <v>767</v>
      </c>
      <c r="E6867" s="380" t="s">
        <v>786</v>
      </c>
      <c r="F6867" s="380" t="s">
        <v>792</v>
      </c>
      <c r="G6867" s="380" t="s">
        <v>1267</v>
      </c>
      <c r="H6867" s="380" t="s">
        <v>771</v>
      </c>
      <c r="I6867" s="380" t="s">
        <v>788</v>
      </c>
      <c r="J6867" s="380" t="s">
        <v>773</v>
      </c>
      <c r="K6867" s="381">
        <v>0.0</v>
      </c>
      <c r="L6867" s="382">
        <v>1.0</v>
      </c>
    </row>
    <row r="6868">
      <c r="A6868" s="380" t="s">
        <v>7742</v>
      </c>
      <c r="B6868" s="380" t="str">
        <f>IFERROR(__xludf.DUMMYFUNCTION("""COMPUTED_VALUE"""),"Racor Recto B68R 3/8 Sinflex X 3/8 NPT")</f>
        <v>Racor Recto B68R 3/8 Sinflex X 3/8 NPT</v>
      </c>
      <c r="C6868" s="380" t="str">
        <f>IFERROR(__xludf.DUMMYFUNCTION("""COMPUTED_VALUE"""),"70002275")</f>
        <v>70002275</v>
      </c>
      <c r="D6868" s="380" t="s">
        <v>767</v>
      </c>
      <c r="E6868" s="380" t="s">
        <v>786</v>
      </c>
      <c r="F6868" s="380" t="s">
        <v>989</v>
      </c>
      <c r="G6868" s="380" t="s">
        <v>1267</v>
      </c>
      <c r="H6868" s="380" t="s">
        <v>771</v>
      </c>
      <c r="I6868" s="380" t="s">
        <v>788</v>
      </c>
      <c r="J6868" s="380" t="s">
        <v>773</v>
      </c>
      <c r="K6868" s="381">
        <v>0.0</v>
      </c>
      <c r="L6868" s="382">
        <v>1.0</v>
      </c>
    </row>
    <row r="6869">
      <c r="A6869" s="380" t="s">
        <v>7743</v>
      </c>
      <c r="B6869" s="380" t="str">
        <f>IFERROR(__xludf.DUMMYFUNCTION("""COMPUTED_VALUE"""),"Tubo Mofle 5"" Eagle 9400")</f>
        <v>Tubo Mofle 5" Eagle 9400</v>
      </c>
      <c r="C6869" s="380" t="str">
        <f>IFERROR(__xludf.DUMMYFUNCTION("""COMPUTED_VALUE"""),"70002276")</f>
        <v>70002276</v>
      </c>
      <c r="D6869" s="380" t="s">
        <v>767</v>
      </c>
      <c r="E6869" s="380" t="s">
        <v>786</v>
      </c>
      <c r="F6869" s="380" t="s">
        <v>792</v>
      </c>
      <c r="G6869" s="380" t="s">
        <v>1267</v>
      </c>
      <c r="H6869" s="380" t="s">
        <v>771</v>
      </c>
      <c r="I6869" s="380" t="s">
        <v>788</v>
      </c>
      <c r="J6869" s="380" t="s">
        <v>773</v>
      </c>
      <c r="K6869" s="381">
        <v>0.0</v>
      </c>
      <c r="L6869" s="382">
        <v>1.0</v>
      </c>
    </row>
    <row r="6870">
      <c r="A6870" s="380" t="s">
        <v>7744</v>
      </c>
      <c r="B6870" s="380" t="str">
        <f>IFERROR(__xludf.DUMMYFUNCTION("""COMPUTED_VALUE"""),"Guay Del Fren Man FotonMV5 7705946043083")</f>
        <v>Guay Del Fren Man FotonMV5 7705946043083</v>
      </c>
      <c r="C6870" s="380" t="str">
        <f>IFERROR(__xludf.DUMMYFUNCTION("""COMPUTED_VALUE"""),"70002277")</f>
        <v>70002277</v>
      </c>
      <c r="D6870" s="380" t="s">
        <v>767</v>
      </c>
      <c r="E6870" s="380" t="s">
        <v>786</v>
      </c>
      <c r="F6870" s="380" t="s">
        <v>1017</v>
      </c>
      <c r="G6870" s="380" t="s">
        <v>1267</v>
      </c>
      <c r="H6870" s="380" t="s">
        <v>771</v>
      </c>
      <c r="I6870" s="380" t="s">
        <v>788</v>
      </c>
      <c r="J6870" s="380" t="s">
        <v>773</v>
      </c>
      <c r="K6870" s="381">
        <v>43898.0</v>
      </c>
      <c r="L6870" s="382">
        <v>1.0</v>
      </c>
    </row>
    <row r="6871">
      <c r="A6871" s="380" t="s">
        <v>7745</v>
      </c>
      <c r="B6871" s="380" t="str">
        <f>IFERROR(__xludf.DUMMYFUNCTION("""COMPUTED_VALUE"""),"Correa Alternador Foton 5946023085")</f>
        <v>Correa Alternador Foton 5946023085</v>
      </c>
      <c r="C6871" s="380" t="str">
        <f>IFERROR(__xludf.DUMMYFUNCTION("""COMPUTED_VALUE"""),"70002278")</f>
        <v>70002278</v>
      </c>
      <c r="D6871" s="380" t="s">
        <v>767</v>
      </c>
      <c r="E6871" s="380" t="s">
        <v>786</v>
      </c>
      <c r="F6871" s="380" t="s">
        <v>787</v>
      </c>
      <c r="G6871" s="380" t="s">
        <v>1267</v>
      </c>
      <c r="H6871" s="380" t="s">
        <v>771</v>
      </c>
      <c r="I6871" s="380" t="s">
        <v>788</v>
      </c>
      <c r="J6871" s="380" t="s">
        <v>773</v>
      </c>
      <c r="K6871" s="381">
        <v>0.0</v>
      </c>
      <c r="L6871" s="382">
        <v>1.0</v>
      </c>
    </row>
    <row r="6872">
      <c r="A6872" s="380" t="s">
        <v>7746</v>
      </c>
      <c r="B6872" s="380" t="str">
        <f>IFERROR(__xludf.DUMMYFUNCTION("""COMPUTED_VALUE"""),"Lampara Direc Lateral Izq FRR 8874101813")</f>
        <v>Lampara Direc Lateral Izq FRR 8874101813</v>
      </c>
      <c r="C6872" s="380" t="str">
        <f>IFERROR(__xludf.DUMMYFUNCTION("""COMPUTED_VALUE"""),"70002279")</f>
        <v>70002279</v>
      </c>
      <c r="D6872" s="380" t="s">
        <v>767</v>
      </c>
      <c r="E6872" s="380" t="s">
        <v>786</v>
      </c>
      <c r="F6872" s="380" t="s">
        <v>998</v>
      </c>
      <c r="G6872" s="380" t="s">
        <v>1267</v>
      </c>
      <c r="H6872" s="380" t="s">
        <v>771</v>
      </c>
      <c r="I6872" s="380" t="s">
        <v>788</v>
      </c>
      <c r="J6872" s="380" t="s">
        <v>773</v>
      </c>
      <c r="K6872" s="381">
        <v>0.0</v>
      </c>
      <c r="L6872" s="382">
        <v>1.0</v>
      </c>
    </row>
    <row r="6873">
      <c r="A6873" s="380" t="s">
        <v>7747</v>
      </c>
      <c r="B6873" s="380" t="str">
        <f>IFERROR(__xludf.DUMMYFUNCTION("""COMPUTED_VALUE"""),"Sensor Rev 815/04 Volksw9.150 1552088HUA")</f>
        <v>Sensor Rev 815/04 Volksw9.150 1552088HUA</v>
      </c>
      <c r="C6873" s="380" t="str">
        <f>IFERROR(__xludf.DUMMYFUNCTION("""COMPUTED_VALUE"""),"70002280")</f>
        <v>70002280</v>
      </c>
      <c r="D6873" s="380" t="s">
        <v>767</v>
      </c>
      <c r="E6873" s="380" t="s">
        <v>786</v>
      </c>
      <c r="F6873" s="380" t="s">
        <v>998</v>
      </c>
      <c r="G6873" s="380" t="s">
        <v>1267</v>
      </c>
      <c r="H6873" s="380" t="s">
        <v>771</v>
      </c>
      <c r="I6873" s="380" t="s">
        <v>788</v>
      </c>
      <c r="J6873" s="380" t="s">
        <v>773</v>
      </c>
      <c r="K6873" s="381">
        <v>0.0</v>
      </c>
      <c r="L6873" s="382">
        <v>1.0</v>
      </c>
    </row>
    <row r="6874">
      <c r="A6874" s="380" t="s">
        <v>7748</v>
      </c>
      <c r="B6874" s="380" t="str">
        <f>IFERROR(__xludf.DUMMYFUNCTION("""COMPUTED_VALUE"""),"Balinera Volante Generico 6205 ZZ")</f>
        <v>Balinera Volante Generico 6205 ZZ</v>
      </c>
      <c r="C6874" s="380" t="str">
        <f>IFERROR(__xludf.DUMMYFUNCTION("""COMPUTED_VALUE"""),"70002281")</f>
        <v>70002281</v>
      </c>
      <c r="D6874" s="380" t="s">
        <v>767</v>
      </c>
      <c r="E6874" s="380" t="s">
        <v>786</v>
      </c>
      <c r="F6874" s="380" t="s">
        <v>787</v>
      </c>
      <c r="G6874" s="380" t="s">
        <v>1267</v>
      </c>
      <c r="H6874" s="380" t="s">
        <v>771</v>
      </c>
      <c r="I6874" s="380" t="s">
        <v>788</v>
      </c>
      <c r="J6874" s="380" t="s">
        <v>773</v>
      </c>
      <c r="K6874" s="381">
        <v>0.0</v>
      </c>
      <c r="L6874" s="382">
        <v>1.0</v>
      </c>
    </row>
    <row r="6875">
      <c r="A6875" s="380" t="s">
        <v>7749</v>
      </c>
      <c r="B6875" s="380" t="str">
        <f>IFERROR(__xludf.DUMMYFUNCTION("""COMPUTED_VALUE"""),"Termostato Enfr Aceite Isx(215F)4952631")</f>
        <v>Termostato Enfr Aceite Isx(215F)4952631</v>
      </c>
      <c r="C6875" s="380" t="str">
        <f>IFERROR(__xludf.DUMMYFUNCTION("""COMPUTED_VALUE"""),"70002282")</f>
        <v>70002282</v>
      </c>
      <c r="D6875" s="380" t="s">
        <v>767</v>
      </c>
      <c r="E6875" s="380" t="s">
        <v>786</v>
      </c>
      <c r="F6875" s="380" t="s">
        <v>787</v>
      </c>
      <c r="G6875" s="380" t="s">
        <v>1267</v>
      </c>
      <c r="H6875" s="380" t="s">
        <v>771</v>
      </c>
      <c r="I6875" s="380" t="s">
        <v>788</v>
      </c>
      <c r="J6875" s="380" t="s">
        <v>773</v>
      </c>
      <c r="K6875" s="381">
        <v>0.0</v>
      </c>
      <c r="L6875" s="382">
        <v>1.0</v>
      </c>
    </row>
    <row r="6876">
      <c r="A6876" s="380" t="s">
        <v>7750</v>
      </c>
      <c r="B6876" s="380" t="str">
        <f>IFERROR(__xludf.DUMMYFUNCTION("""COMPUTED_VALUE"""),"Retenedor Rueda Tras Int FRR 8971229370")</f>
        <v>Retenedor Rueda Tras Int FRR 8971229370</v>
      </c>
      <c r="C6876" s="380" t="str">
        <f>IFERROR(__xludf.DUMMYFUNCTION("""COMPUTED_VALUE"""),"70002283")</f>
        <v>70002283</v>
      </c>
      <c r="D6876" s="380" t="s">
        <v>767</v>
      </c>
      <c r="E6876" s="380" t="s">
        <v>786</v>
      </c>
      <c r="F6876" s="380" t="s">
        <v>1039</v>
      </c>
      <c r="G6876" s="380" t="s">
        <v>1267</v>
      </c>
      <c r="H6876" s="380" t="s">
        <v>771</v>
      </c>
      <c r="I6876" s="380" t="s">
        <v>788</v>
      </c>
      <c r="J6876" s="380" t="s">
        <v>773</v>
      </c>
      <c r="K6876" s="381">
        <v>0.0</v>
      </c>
      <c r="L6876" s="382">
        <v>1.0</v>
      </c>
    </row>
    <row r="6877">
      <c r="A6877" s="380" t="s">
        <v>7751</v>
      </c>
      <c r="B6877" s="380" t="str">
        <f>IFERROR(__xludf.DUMMYFUNCTION("""COMPUTED_VALUE"""),"Terminal Direcc Lado Izq N200 24512555")</f>
        <v>Terminal Direcc Lado Izq N200 24512555</v>
      </c>
      <c r="C6877" s="380" t="str">
        <f>IFERROR(__xludf.DUMMYFUNCTION("""COMPUTED_VALUE"""),"70002284")</f>
        <v>70002284</v>
      </c>
      <c r="D6877" s="380" t="s">
        <v>767</v>
      </c>
      <c r="E6877" s="380" t="s">
        <v>786</v>
      </c>
      <c r="F6877" s="380" t="s">
        <v>1020</v>
      </c>
      <c r="G6877" s="380" t="s">
        <v>1267</v>
      </c>
      <c r="H6877" s="380" t="s">
        <v>771</v>
      </c>
      <c r="I6877" s="380" t="s">
        <v>788</v>
      </c>
      <c r="J6877" s="380" t="s">
        <v>773</v>
      </c>
      <c r="K6877" s="381">
        <v>0.0</v>
      </c>
      <c r="L6877" s="382">
        <v>1.0</v>
      </c>
    </row>
    <row r="6878">
      <c r="A6878" s="380" t="s">
        <v>7752</v>
      </c>
      <c r="B6878" s="380" t="str">
        <f>IFERROR(__xludf.DUMMYFUNCTION("""COMPUTED_VALUE"""),"Palanca Ctrol Cambios Nkr-Npr 8972045080")</f>
        <v>Palanca Ctrol Cambios Nkr-Npr 8972045080</v>
      </c>
      <c r="C6878" s="380" t="str">
        <f>IFERROR(__xludf.DUMMYFUNCTION("""COMPUTED_VALUE"""),"70002285")</f>
        <v>70002285</v>
      </c>
      <c r="D6878" s="380" t="s">
        <v>767</v>
      </c>
      <c r="E6878" s="380" t="s">
        <v>786</v>
      </c>
      <c r="F6878" s="380" t="s">
        <v>1020</v>
      </c>
      <c r="G6878" s="380" t="s">
        <v>1267</v>
      </c>
      <c r="H6878" s="380" t="s">
        <v>771</v>
      </c>
      <c r="I6878" s="380" t="s">
        <v>788</v>
      </c>
      <c r="J6878" s="380" t="s">
        <v>773</v>
      </c>
      <c r="K6878" s="381">
        <v>0.0</v>
      </c>
      <c r="L6878" s="382">
        <v>1.0</v>
      </c>
    </row>
    <row r="6879">
      <c r="A6879" s="380" t="s">
        <v>7753</v>
      </c>
      <c r="B6879" s="380" t="str">
        <f>IFERROR(__xludf.DUMMYFUNCTION("""COMPUTED_VALUE"""),"Bomper Frontal Foton MV3 7705946036375")</f>
        <v>Bomper Frontal Foton MV3 7705946036375</v>
      </c>
      <c r="C6879" s="380" t="str">
        <f>IFERROR(__xludf.DUMMYFUNCTION("""COMPUTED_VALUE"""),"70002286")</f>
        <v>70002286</v>
      </c>
      <c r="D6879" s="380" t="s">
        <v>767</v>
      </c>
      <c r="E6879" s="380" t="s">
        <v>786</v>
      </c>
      <c r="F6879" s="380" t="s">
        <v>792</v>
      </c>
      <c r="G6879" s="380" t="s">
        <v>1267</v>
      </c>
      <c r="H6879" s="380" t="s">
        <v>771</v>
      </c>
      <c r="I6879" s="380" t="s">
        <v>788</v>
      </c>
      <c r="J6879" s="380" t="s">
        <v>773</v>
      </c>
      <c r="K6879" s="381">
        <v>0.0</v>
      </c>
      <c r="L6879" s="382">
        <v>1.0</v>
      </c>
    </row>
    <row r="6880">
      <c r="A6880" s="380" t="s">
        <v>7754</v>
      </c>
      <c r="B6880" s="380" t="str">
        <f>IFERROR(__xludf.DUMMYFUNCTION("""COMPUTED_VALUE"""),"Direccional Del Izq R Master 5511609LUE")</f>
        <v>Direccional Del Izq R Master 5511609LUE</v>
      </c>
      <c r="C6880" s="380" t="str">
        <f>IFERROR(__xludf.DUMMYFUNCTION("""COMPUTED_VALUE"""),"70002287")</f>
        <v>70002287</v>
      </c>
      <c r="D6880" s="380" t="s">
        <v>767</v>
      </c>
      <c r="E6880" s="380" t="s">
        <v>786</v>
      </c>
      <c r="F6880" s="380" t="s">
        <v>998</v>
      </c>
      <c r="G6880" s="380" t="s">
        <v>1267</v>
      </c>
      <c r="H6880" s="380" t="s">
        <v>771</v>
      </c>
      <c r="I6880" s="380" t="s">
        <v>788</v>
      </c>
      <c r="J6880" s="380" t="s">
        <v>773</v>
      </c>
      <c r="K6880" s="381">
        <v>190400.0</v>
      </c>
      <c r="L6880" s="382">
        <v>1.0</v>
      </c>
    </row>
    <row r="6881">
      <c r="A6881" s="380" t="s">
        <v>7755</v>
      </c>
      <c r="B6881" s="380" t="str">
        <f>IFERROR(__xludf.DUMMYFUNCTION("""COMPUTED_VALUE"""),"Emp Ducto Esca A Turbo Nkr Rew8980151163")</f>
        <v>Emp Ducto Esca A Turbo Nkr Rew8980151163</v>
      </c>
      <c r="C6881" s="380" t="str">
        <f>IFERROR(__xludf.DUMMYFUNCTION("""COMPUTED_VALUE"""),"70002288")</f>
        <v>70002288</v>
      </c>
      <c r="D6881" s="380" t="s">
        <v>767</v>
      </c>
      <c r="E6881" s="380" t="s">
        <v>786</v>
      </c>
      <c r="F6881" s="380" t="s">
        <v>787</v>
      </c>
      <c r="G6881" s="380" t="s">
        <v>1267</v>
      </c>
      <c r="H6881" s="380" t="s">
        <v>771</v>
      </c>
      <c r="I6881" s="380" t="s">
        <v>788</v>
      </c>
      <c r="J6881" s="380" t="s">
        <v>773</v>
      </c>
      <c r="K6881" s="381">
        <v>66640.0</v>
      </c>
      <c r="L6881" s="382">
        <v>1.0</v>
      </c>
    </row>
    <row r="6882">
      <c r="A6882" s="380" t="s">
        <v>7756</v>
      </c>
      <c r="B6882" s="380" t="str">
        <f>IFERROR(__xludf.DUMMYFUNCTION("""COMPUTED_VALUE"""),"Mecanis Seg Pta Tras FotonMV3 5946024433")</f>
        <v>Mecanis Seg Pta Tras FotonMV3 5946024433</v>
      </c>
      <c r="C6882" s="380" t="str">
        <f>IFERROR(__xludf.DUMMYFUNCTION("""COMPUTED_VALUE"""),"70002289")</f>
        <v>70002289</v>
      </c>
      <c r="D6882" s="380" t="s">
        <v>767</v>
      </c>
      <c r="E6882" s="380" t="s">
        <v>786</v>
      </c>
      <c r="F6882" s="380" t="s">
        <v>792</v>
      </c>
      <c r="G6882" s="380" t="s">
        <v>1267</v>
      </c>
      <c r="H6882" s="380" t="s">
        <v>771</v>
      </c>
      <c r="I6882" s="380" t="s">
        <v>788</v>
      </c>
      <c r="J6882" s="380" t="s">
        <v>773</v>
      </c>
      <c r="K6882" s="381">
        <v>0.0</v>
      </c>
      <c r="L6882" s="382">
        <v>1.0</v>
      </c>
    </row>
    <row r="6883">
      <c r="A6883" s="380" t="s">
        <v>7757</v>
      </c>
      <c r="B6883" s="380" t="str">
        <f>IFERROR(__xludf.DUMMYFUNCTION("""COMPUTED_VALUE"""),"Sopor Bomp Der Front FotonMV3 5946036429")</f>
        <v>Sopor Bomp Der Front FotonMV3 5946036429</v>
      </c>
      <c r="C6883" s="380" t="str">
        <f>IFERROR(__xludf.DUMMYFUNCTION("""COMPUTED_VALUE"""),"70002290")</f>
        <v>70002290</v>
      </c>
      <c r="D6883" s="380" t="s">
        <v>767</v>
      </c>
      <c r="E6883" s="380" t="s">
        <v>786</v>
      </c>
      <c r="F6883" s="380" t="s">
        <v>792</v>
      </c>
      <c r="G6883" s="380" t="s">
        <v>1267</v>
      </c>
      <c r="H6883" s="380" t="s">
        <v>771</v>
      </c>
      <c r="I6883" s="380" t="s">
        <v>788</v>
      </c>
      <c r="J6883" s="380" t="s">
        <v>773</v>
      </c>
      <c r="K6883" s="381">
        <v>0.0</v>
      </c>
      <c r="L6883" s="382">
        <v>1.0</v>
      </c>
    </row>
    <row r="6884">
      <c r="A6884" s="380" t="s">
        <v>7758</v>
      </c>
      <c r="B6884" s="380" t="str">
        <f>IFERROR(__xludf.DUMMYFUNCTION("""COMPUTED_VALUE"""),"Caucho Soporte Mofle Tipo B Ren Master")</f>
        <v>Caucho Soporte Mofle Tipo B Ren Master</v>
      </c>
      <c r="C6884" s="380" t="str">
        <f>IFERROR(__xludf.DUMMYFUNCTION("""COMPUTED_VALUE"""),"70002291")</f>
        <v>70002291</v>
      </c>
      <c r="D6884" s="380" t="s">
        <v>767</v>
      </c>
      <c r="E6884" s="380" t="s">
        <v>786</v>
      </c>
      <c r="F6884" s="380" t="s">
        <v>1039</v>
      </c>
      <c r="G6884" s="380" t="s">
        <v>1267</v>
      </c>
      <c r="H6884" s="380" t="s">
        <v>771</v>
      </c>
      <c r="I6884" s="380" t="s">
        <v>788</v>
      </c>
      <c r="J6884" s="380" t="s">
        <v>773</v>
      </c>
      <c r="K6884" s="381">
        <v>25705.0</v>
      </c>
      <c r="L6884" s="382">
        <v>1.0</v>
      </c>
    </row>
    <row r="6885">
      <c r="A6885" s="380" t="s">
        <v>7759</v>
      </c>
      <c r="B6885" s="380" t="str">
        <f>IFERROR(__xludf.DUMMYFUNCTION("""COMPUTED_VALUE"""),"Tornillo Soporte Bobina De Campo Eagle")</f>
        <v>Tornillo Soporte Bobina De Campo Eagle</v>
      </c>
      <c r="C6885" s="380" t="str">
        <f>IFERROR(__xludf.DUMMYFUNCTION("""COMPUTED_VALUE"""),"70002292")</f>
        <v>70002292</v>
      </c>
      <c r="D6885" s="380" t="s">
        <v>767</v>
      </c>
      <c r="E6885" s="380" t="s">
        <v>786</v>
      </c>
      <c r="F6885" s="380" t="s">
        <v>998</v>
      </c>
      <c r="G6885" s="380" t="s">
        <v>1267</v>
      </c>
      <c r="H6885" s="380" t="s">
        <v>771</v>
      </c>
      <c r="I6885" s="380" t="s">
        <v>788</v>
      </c>
      <c r="J6885" s="380" t="s">
        <v>773</v>
      </c>
      <c r="K6885" s="381">
        <v>0.0</v>
      </c>
      <c r="L6885" s="382">
        <v>1.0</v>
      </c>
    </row>
    <row r="6886">
      <c r="A6886" s="380" t="s">
        <v>7760</v>
      </c>
      <c r="B6886" s="380" t="str">
        <f>IFERROR(__xludf.DUMMYFUNCTION("""COMPUTED_VALUE"""),"Retenedor Inter Rueda Tras FRR1096255690")</f>
        <v>Retenedor Inter Rueda Tras FRR1096255690</v>
      </c>
      <c r="C6886" s="380" t="str">
        <f>IFERROR(__xludf.DUMMYFUNCTION("""COMPUTED_VALUE"""),"70002293")</f>
        <v>70002293</v>
      </c>
      <c r="D6886" s="380" t="s">
        <v>767</v>
      </c>
      <c r="E6886" s="380" t="s">
        <v>786</v>
      </c>
      <c r="F6886" s="380" t="s">
        <v>1039</v>
      </c>
      <c r="G6886" s="380" t="s">
        <v>1267</v>
      </c>
      <c r="H6886" s="380" t="s">
        <v>771</v>
      </c>
      <c r="I6886" s="380" t="s">
        <v>788</v>
      </c>
      <c r="J6886" s="380" t="s">
        <v>773</v>
      </c>
      <c r="K6886" s="381">
        <v>43002.0</v>
      </c>
      <c r="L6886" s="382">
        <v>1.0</v>
      </c>
    </row>
    <row r="6887">
      <c r="A6887" s="380" t="s">
        <v>7761</v>
      </c>
      <c r="B6887" s="380" t="str">
        <f>IFERROR(__xludf.DUMMYFUNCTION("""COMPUTED_VALUE"""),"Bomba De Gasolina Van N200 19237645")</f>
        <v>Bomba De Gasolina Van N200 19237645</v>
      </c>
      <c r="C6887" s="380" t="str">
        <f>IFERROR(__xludf.DUMMYFUNCTION("""COMPUTED_VALUE"""),"70002294")</f>
        <v>70002294</v>
      </c>
      <c r="D6887" s="380" t="s">
        <v>767</v>
      </c>
      <c r="E6887" s="380" t="s">
        <v>786</v>
      </c>
      <c r="F6887" s="380" t="s">
        <v>787</v>
      </c>
      <c r="G6887" s="380" t="s">
        <v>1267</v>
      </c>
      <c r="H6887" s="380" t="s">
        <v>771</v>
      </c>
      <c r="I6887" s="380" t="s">
        <v>788</v>
      </c>
      <c r="J6887" s="380" t="s">
        <v>773</v>
      </c>
      <c r="K6887" s="381">
        <v>428400.0</v>
      </c>
      <c r="L6887" s="382">
        <v>1.0</v>
      </c>
    </row>
    <row r="6888">
      <c r="A6888" s="380" t="s">
        <v>7762</v>
      </c>
      <c r="B6888" s="380" t="str">
        <f>IFERROR(__xludf.DUMMYFUNCTION("""COMPUTED_VALUE"""),"Tapa Radiador TR 33 Titan FRR")</f>
        <v>Tapa Radiador TR 33 Titan FRR</v>
      </c>
      <c r="C6888" s="380" t="str">
        <f>IFERROR(__xludf.DUMMYFUNCTION("""COMPUTED_VALUE"""),"70002295")</f>
        <v>70002295</v>
      </c>
      <c r="D6888" s="380" t="s">
        <v>767</v>
      </c>
      <c r="E6888" s="380" t="s">
        <v>786</v>
      </c>
      <c r="F6888" s="380" t="s">
        <v>787</v>
      </c>
      <c r="G6888" s="380" t="s">
        <v>1267</v>
      </c>
      <c r="H6888" s="380" t="s">
        <v>771</v>
      </c>
      <c r="I6888" s="380" t="s">
        <v>788</v>
      </c>
      <c r="J6888" s="380" t="s">
        <v>773</v>
      </c>
      <c r="K6888" s="381">
        <v>33354.0</v>
      </c>
      <c r="L6888" s="382">
        <v>1.0</v>
      </c>
    </row>
    <row r="6889">
      <c r="A6889" s="380" t="s">
        <v>7763</v>
      </c>
      <c r="B6889" s="380" t="str">
        <f>IFERROR(__xludf.DUMMYFUNCTION("""COMPUTED_VALUE"""),"Perilla Palanca Cambios Eagle FULA6918")</f>
        <v>Perilla Palanca Cambios Eagle FULA6918</v>
      </c>
      <c r="C6889" s="380" t="str">
        <f>IFERROR(__xludf.DUMMYFUNCTION("""COMPUTED_VALUE"""),"70002296")</f>
        <v>70002296</v>
      </c>
      <c r="D6889" s="380" t="s">
        <v>767</v>
      </c>
      <c r="E6889" s="380" t="s">
        <v>786</v>
      </c>
      <c r="F6889" s="380" t="s">
        <v>928</v>
      </c>
      <c r="G6889" s="380" t="s">
        <v>1267</v>
      </c>
      <c r="H6889" s="380" t="s">
        <v>771</v>
      </c>
      <c r="I6889" s="380" t="s">
        <v>788</v>
      </c>
      <c r="J6889" s="380" t="s">
        <v>773</v>
      </c>
      <c r="K6889" s="381">
        <v>0.0</v>
      </c>
      <c r="L6889" s="382">
        <v>1.0</v>
      </c>
    </row>
    <row r="6890">
      <c r="A6890" s="380" t="s">
        <v>7764</v>
      </c>
      <c r="B6890" s="380" t="str">
        <f>IFERROR(__xludf.DUMMYFUNCTION("""COMPUTED_VALUE"""),"Suiche Elevav Puerta Der Eagle 3536495C1")</f>
        <v>Suiche Elevav Puerta Der Eagle 3536495C1</v>
      </c>
      <c r="C6890" s="380" t="str">
        <f>IFERROR(__xludf.DUMMYFUNCTION("""COMPUTED_VALUE"""),"70002297")</f>
        <v>70002297</v>
      </c>
      <c r="D6890" s="380" t="s">
        <v>767</v>
      </c>
      <c r="E6890" s="380" t="s">
        <v>786</v>
      </c>
      <c r="F6890" s="380" t="s">
        <v>998</v>
      </c>
      <c r="G6890" s="380" t="s">
        <v>1267</v>
      </c>
      <c r="H6890" s="380" t="s">
        <v>771</v>
      </c>
      <c r="I6890" s="380" t="s">
        <v>788</v>
      </c>
      <c r="J6890" s="380" t="s">
        <v>773</v>
      </c>
      <c r="K6890" s="381">
        <v>0.0</v>
      </c>
      <c r="L6890" s="382">
        <v>1.0</v>
      </c>
    </row>
    <row r="6891">
      <c r="A6891" s="380" t="s">
        <v>7765</v>
      </c>
      <c r="B6891" s="380" t="str">
        <f>IFERROR(__xludf.DUMMYFUNCTION("""COMPUTED_VALUE"""),"Regulador Alternador Sb Hi 1116433")</f>
        <v>Regulador Alternador Sb Hi 1116433</v>
      </c>
      <c r="C6891" s="380" t="str">
        <f>IFERROR(__xludf.DUMMYFUNCTION("""COMPUTED_VALUE"""),"70002298")</f>
        <v>70002298</v>
      </c>
      <c r="D6891" s="380" t="s">
        <v>767</v>
      </c>
      <c r="E6891" s="380" t="s">
        <v>786</v>
      </c>
      <c r="F6891" s="380" t="s">
        <v>998</v>
      </c>
      <c r="G6891" s="380" t="s">
        <v>1267</v>
      </c>
      <c r="H6891" s="380" t="s">
        <v>771</v>
      </c>
      <c r="I6891" s="380" t="s">
        <v>788</v>
      </c>
      <c r="J6891" s="380" t="s">
        <v>773</v>
      </c>
      <c r="K6891" s="381">
        <v>0.0</v>
      </c>
      <c r="L6891" s="382">
        <v>1.0</v>
      </c>
    </row>
    <row r="6892">
      <c r="A6892" s="380" t="s">
        <v>7766</v>
      </c>
      <c r="B6892" s="380" t="str">
        <f>IFERROR(__xludf.DUMMYFUNCTION("""COMPUTED_VALUE"""),"Filtro Aceite BD50000 Kenworth T800")</f>
        <v>Filtro Aceite BD50000 Kenworth T800</v>
      </c>
      <c r="C6892" s="380" t="str">
        <f>IFERROR(__xludf.DUMMYFUNCTION("""COMPUTED_VALUE"""),"70002299")</f>
        <v>70002299</v>
      </c>
      <c r="D6892" s="380" t="s">
        <v>767</v>
      </c>
      <c r="E6892" s="380" t="s">
        <v>786</v>
      </c>
      <c r="F6892" s="380" t="s">
        <v>5855</v>
      </c>
      <c r="G6892" s="380" t="s">
        <v>1267</v>
      </c>
      <c r="H6892" s="380" t="s">
        <v>771</v>
      </c>
      <c r="I6892" s="380" t="s">
        <v>788</v>
      </c>
      <c r="J6892" s="380" t="s">
        <v>773</v>
      </c>
      <c r="K6892" s="381">
        <v>0.0</v>
      </c>
      <c r="L6892" s="382">
        <v>1.0</v>
      </c>
    </row>
    <row r="6893">
      <c r="A6893" s="380" t="s">
        <v>7767</v>
      </c>
      <c r="B6893" s="380" t="str">
        <f>IFERROR(__xludf.DUMMYFUNCTION("""COMPUTED_VALUE"""),"Chupas Freno Npr Trasero 5878320510")</f>
        <v>Chupas Freno Npr Trasero 5878320510</v>
      </c>
      <c r="C6893" s="380" t="str">
        <f>IFERROR(__xludf.DUMMYFUNCTION("""COMPUTED_VALUE"""),"70002300")</f>
        <v>70002300</v>
      </c>
      <c r="D6893" s="380" t="s">
        <v>767</v>
      </c>
      <c r="E6893" s="380" t="s">
        <v>786</v>
      </c>
      <c r="F6893" s="380" t="s">
        <v>1017</v>
      </c>
      <c r="G6893" s="380" t="s">
        <v>1267</v>
      </c>
      <c r="H6893" s="380" t="s">
        <v>771</v>
      </c>
      <c r="I6893" s="380" t="s">
        <v>788</v>
      </c>
      <c r="J6893" s="380" t="s">
        <v>773</v>
      </c>
      <c r="K6893" s="381">
        <v>0.0</v>
      </c>
      <c r="L6893" s="382">
        <v>1.0</v>
      </c>
    </row>
    <row r="6894">
      <c r="A6894" s="380" t="s">
        <v>7768</v>
      </c>
      <c r="B6894" s="380" t="str">
        <f>IFERROR(__xludf.DUMMYFUNCTION("""COMPUTED_VALUE"""),"Bomba De Embrague Nkr Rw 8981176430")</f>
        <v>Bomba De Embrague Nkr Rw 8981176430</v>
      </c>
      <c r="C6894" s="380" t="str">
        <f>IFERROR(__xludf.DUMMYFUNCTION("""COMPUTED_VALUE"""),"70002301")</f>
        <v>70002301</v>
      </c>
      <c r="D6894" s="380" t="s">
        <v>767</v>
      </c>
      <c r="E6894" s="380" t="s">
        <v>786</v>
      </c>
      <c r="F6894" s="380" t="s">
        <v>5661</v>
      </c>
      <c r="G6894" s="380" t="s">
        <v>1267</v>
      </c>
      <c r="H6894" s="380" t="s">
        <v>771</v>
      </c>
      <c r="I6894" s="380" t="s">
        <v>788</v>
      </c>
      <c r="J6894" s="380" t="s">
        <v>773</v>
      </c>
      <c r="K6894" s="381">
        <v>0.0</v>
      </c>
      <c r="L6894" s="382">
        <v>1.0</v>
      </c>
    </row>
    <row r="6895">
      <c r="A6895" s="380" t="s">
        <v>7769</v>
      </c>
      <c r="B6895" s="380" t="str">
        <f>IFERROR(__xludf.DUMMYFUNCTION("""COMPUTED_VALUE"""),"Pasador Pedal Embrague Nkr Rw 8981476570")</f>
        <v>Pasador Pedal Embrague Nkr Rw 8981476570</v>
      </c>
      <c r="C6895" s="380" t="str">
        <f>IFERROR(__xludf.DUMMYFUNCTION("""COMPUTED_VALUE"""),"70002302")</f>
        <v>70002302</v>
      </c>
      <c r="D6895" s="380" t="s">
        <v>767</v>
      </c>
      <c r="E6895" s="380" t="s">
        <v>786</v>
      </c>
      <c r="F6895" s="380" t="s">
        <v>5661</v>
      </c>
      <c r="G6895" s="380" t="s">
        <v>1267</v>
      </c>
      <c r="H6895" s="380" t="s">
        <v>771</v>
      </c>
      <c r="I6895" s="380" t="s">
        <v>788</v>
      </c>
      <c r="J6895" s="380" t="s">
        <v>773</v>
      </c>
      <c r="K6895" s="381">
        <v>0.0</v>
      </c>
      <c r="L6895" s="382">
        <v>1.0</v>
      </c>
    </row>
    <row r="6896">
      <c r="A6896" s="380" t="s">
        <v>7770</v>
      </c>
      <c r="B6896" s="380" t="str">
        <f>IFERROR(__xludf.DUMMYFUNCTION("""COMPUTED_VALUE"""),"Pedal Embrague Nkr Rw 8983744340")</f>
        <v>Pedal Embrague Nkr Rw 8983744340</v>
      </c>
      <c r="C6896" s="380" t="str">
        <f>IFERROR(__xludf.DUMMYFUNCTION("""COMPUTED_VALUE"""),"70002303")</f>
        <v>70002303</v>
      </c>
      <c r="D6896" s="380" t="s">
        <v>767</v>
      </c>
      <c r="E6896" s="380" t="s">
        <v>786</v>
      </c>
      <c r="F6896" s="380" t="s">
        <v>5661</v>
      </c>
      <c r="G6896" s="380" t="s">
        <v>1267</v>
      </c>
      <c r="H6896" s="380" t="s">
        <v>771</v>
      </c>
      <c r="I6896" s="380" t="s">
        <v>788</v>
      </c>
      <c r="J6896" s="380" t="s">
        <v>773</v>
      </c>
      <c r="K6896" s="381">
        <v>0.0</v>
      </c>
      <c r="L6896" s="382">
        <v>1.0</v>
      </c>
    </row>
    <row r="6897">
      <c r="A6897" s="380" t="s">
        <v>7771</v>
      </c>
      <c r="B6897" s="380" t="str">
        <f>IFERROR(__xludf.DUMMYFUNCTION("""COMPUTED_VALUE"""),"Polea Balanc Cigueñal Nkr Rw 8981549431")</f>
        <v>Polea Balanc Cigueñal Nkr Rw 8981549431</v>
      </c>
      <c r="C6897" s="380" t="str">
        <f>IFERROR(__xludf.DUMMYFUNCTION("""COMPUTED_VALUE"""),"70002304")</f>
        <v>70002304</v>
      </c>
      <c r="D6897" s="380" t="s">
        <v>767</v>
      </c>
      <c r="E6897" s="380" t="s">
        <v>786</v>
      </c>
      <c r="F6897" s="380" t="s">
        <v>787</v>
      </c>
      <c r="G6897" s="380" t="s">
        <v>1267</v>
      </c>
      <c r="H6897" s="380" t="s">
        <v>771</v>
      </c>
      <c r="I6897" s="380" t="s">
        <v>788</v>
      </c>
      <c r="J6897" s="380" t="s">
        <v>773</v>
      </c>
      <c r="K6897" s="381">
        <v>0.0</v>
      </c>
      <c r="L6897" s="382">
        <v>1.0</v>
      </c>
    </row>
    <row r="6898">
      <c r="A6898" s="380" t="s">
        <v>7772</v>
      </c>
      <c r="B6898" s="380" t="str">
        <f>IFERROR(__xludf.DUMMYFUNCTION("""COMPUTED_VALUE"""),"Bomper Frontal Foton MV3 5946024013")</f>
        <v>Bomper Frontal Foton MV3 5946024013</v>
      </c>
      <c r="C6898" s="380" t="str">
        <f>IFERROR(__xludf.DUMMYFUNCTION("""COMPUTED_VALUE"""),"70002305")</f>
        <v>70002305</v>
      </c>
      <c r="D6898" s="380" t="s">
        <v>767</v>
      </c>
      <c r="E6898" s="380" t="s">
        <v>786</v>
      </c>
      <c r="F6898" s="380" t="s">
        <v>792</v>
      </c>
      <c r="G6898" s="380" t="s">
        <v>1267</v>
      </c>
      <c r="H6898" s="380" t="s">
        <v>771</v>
      </c>
      <c r="I6898" s="380" t="s">
        <v>788</v>
      </c>
      <c r="J6898" s="380" t="s">
        <v>773</v>
      </c>
      <c r="K6898" s="381">
        <v>0.0</v>
      </c>
      <c r="L6898" s="382">
        <v>1.0</v>
      </c>
    </row>
    <row r="6899">
      <c r="A6899" s="380" t="s">
        <v>7773</v>
      </c>
      <c r="B6899" s="380" t="str">
        <f>IFERROR(__xludf.DUMMYFUNCTION("""COMPUTED_VALUE"""),"Esquin RH Nave Foton MV3-MV5 5946040488")</f>
        <v>Esquin RH Nave Foton MV3-MV5 5946040488</v>
      </c>
      <c r="C6899" s="380" t="str">
        <f>IFERROR(__xludf.DUMMYFUNCTION("""COMPUTED_VALUE"""),"70002306")</f>
        <v>70002306</v>
      </c>
      <c r="D6899" s="380" t="s">
        <v>767</v>
      </c>
      <c r="E6899" s="380" t="s">
        <v>786</v>
      </c>
      <c r="F6899" s="380" t="s">
        <v>792</v>
      </c>
      <c r="G6899" s="380" t="s">
        <v>1267</v>
      </c>
      <c r="H6899" s="380" t="s">
        <v>771</v>
      </c>
      <c r="I6899" s="380" t="s">
        <v>788</v>
      </c>
      <c r="J6899" s="380" t="s">
        <v>773</v>
      </c>
      <c r="K6899" s="381">
        <v>0.0</v>
      </c>
      <c r="L6899" s="382">
        <v>1.0</v>
      </c>
    </row>
    <row r="6900">
      <c r="A6900" s="380" t="s">
        <v>7774</v>
      </c>
      <c r="B6900" s="380" t="str">
        <f>IFERROR(__xludf.DUMMYFUNCTION("""COMPUTED_VALUE"""),"Bomper Trasero Foton MV3 5946024068")</f>
        <v>Bomper Trasero Foton MV3 5946024068</v>
      </c>
      <c r="C6900" s="380" t="str">
        <f>IFERROR(__xludf.DUMMYFUNCTION("""COMPUTED_VALUE"""),"70002307")</f>
        <v>70002307</v>
      </c>
      <c r="D6900" s="380" t="s">
        <v>767</v>
      </c>
      <c r="E6900" s="380" t="s">
        <v>786</v>
      </c>
      <c r="F6900" s="380" t="s">
        <v>792</v>
      </c>
      <c r="G6900" s="380" t="s">
        <v>1267</v>
      </c>
      <c r="H6900" s="380" t="s">
        <v>771</v>
      </c>
      <c r="I6900" s="380" t="s">
        <v>788</v>
      </c>
      <c r="J6900" s="380" t="s">
        <v>773</v>
      </c>
      <c r="K6900" s="381">
        <v>0.0</v>
      </c>
      <c r="L6900" s="382">
        <v>1.0</v>
      </c>
    </row>
    <row r="6901">
      <c r="A6901" s="380" t="s">
        <v>7775</v>
      </c>
      <c r="B6901" s="380" t="str">
        <f>IFERROR(__xludf.DUMMYFUNCTION("""COMPUTED_VALUE"""),"Brazo Limpiabrisas Izq Kenwor R23102912V")</f>
        <v>Brazo Limpiabrisas Izq Kenwor R23102912V</v>
      </c>
      <c r="C6901" s="380" t="str">
        <f>IFERROR(__xludf.DUMMYFUNCTION("""COMPUTED_VALUE"""),"70002308")</f>
        <v>70002308</v>
      </c>
      <c r="D6901" s="380" t="s">
        <v>767</v>
      </c>
      <c r="E6901" s="380" t="s">
        <v>786</v>
      </c>
      <c r="F6901" s="380" t="s">
        <v>792</v>
      </c>
      <c r="G6901" s="380" t="s">
        <v>1267</v>
      </c>
      <c r="H6901" s="380" t="s">
        <v>771</v>
      </c>
      <c r="I6901" s="380" t="s">
        <v>788</v>
      </c>
      <c r="J6901" s="380" t="s">
        <v>773</v>
      </c>
      <c r="K6901" s="381">
        <v>172550.0</v>
      </c>
      <c r="L6901" s="382">
        <v>1.0</v>
      </c>
    </row>
    <row r="6902">
      <c r="A6902" s="380" t="s">
        <v>7776</v>
      </c>
      <c r="B6902" s="380" t="str">
        <f>IFERROR(__xludf.DUMMYFUNCTION("""COMPUTED_VALUE"""),"Brazo Limpiabrisas Der Kenwor R23102913V")</f>
        <v>Brazo Limpiabrisas Der Kenwor R23102913V</v>
      </c>
      <c r="C6902" s="380" t="str">
        <f>IFERROR(__xludf.DUMMYFUNCTION("""COMPUTED_VALUE"""),"70002309")</f>
        <v>70002309</v>
      </c>
      <c r="D6902" s="380" t="s">
        <v>767</v>
      </c>
      <c r="E6902" s="380" t="s">
        <v>786</v>
      </c>
      <c r="F6902" s="380" t="s">
        <v>792</v>
      </c>
      <c r="G6902" s="380" t="s">
        <v>1267</v>
      </c>
      <c r="H6902" s="380" t="s">
        <v>771</v>
      </c>
      <c r="I6902" s="380" t="s">
        <v>788</v>
      </c>
      <c r="J6902" s="380" t="s">
        <v>773</v>
      </c>
      <c r="K6902" s="381">
        <v>172550.0</v>
      </c>
      <c r="L6902" s="382">
        <v>1.0</v>
      </c>
    </row>
    <row r="6903">
      <c r="A6903" s="380" t="s">
        <v>7777</v>
      </c>
      <c r="B6903" s="380" t="str">
        <f>IFERROR(__xludf.DUMMYFUNCTION("""COMPUTED_VALUE"""),"Vidrio Trasero Foton MV5 Nl 5946175395")</f>
        <v>Vidrio Trasero Foton MV5 Nl 5946175395</v>
      </c>
      <c r="C6903" s="380" t="str">
        <f>IFERROR(__xludf.DUMMYFUNCTION("""COMPUTED_VALUE"""),"70002310")</f>
        <v>70002310</v>
      </c>
      <c r="D6903" s="380" t="s">
        <v>767</v>
      </c>
      <c r="E6903" s="380" t="s">
        <v>786</v>
      </c>
      <c r="F6903" s="380" t="s">
        <v>792</v>
      </c>
      <c r="G6903" s="380" t="s">
        <v>1267</v>
      </c>
      <c r="H6903" s="380" t="s">
        <v>771</v>
      </c>
      <c r="I6903" s="380" t="s">
        <v>788</v>
      </c>
      <c r="J6903" s="380" t="s">
        <v>773</v>
      </c>
      <c r="K6903" s="381">
        <v>0.0</v>
      </c>
      <c r="L6903" s="382">
        <v>1.0</v>
      </c>
    </row>
    <row r="6904">
      <c r="A6904" s="380" t="s">
        <v>7778</v>
      </c>
      <c r="B6904" s="380" t="str">
        <f>IFERROR(__xludf.DUMMYFUNCTION("""COMPUTED_VALUE"""),"Puerta Trasera Foton MV3 5946024372")</f>
        <v>Puerta Trasera Foton MV3 5946024372</v>
      </c>
      <c r="C6904" s="380" t="str">
        <f>IFERROR(__xludf.DUMMYFUNCTION("""COMPUTED_VALUE"""),"70002311")</f>
        <v>70002311</v>
      </c>
      <c r="D6904" s="380" t="s">
        <v>767</v>
      </c>
      <c r="E6904" s="380" t="s">
        <v>786</v>
      </c>
      <c r="F6904" s="380" t="s">
        <v>792</v>
      </c>
      <c r="G6904" s="380" t="s">
        <v>1267</v>
      </c>
      <c r="H6904" s="380" t="s">
        <v>771</v>
      </c>
      <c r="I6904" s="380" t="s">
        <v>788</v>
      </c>
      <c r="J6904" s="380" t="s">
        <v>773</v>
      </c>
      <c r="K6904" s="381">
        <v>0.0</v>
      </c>
      <c r="L6904" s="382">
        <v>1.0</v>
      </c>
    </row>
    <row r="6905">
      <c r="A6905" s="380" t="s">
        <v>7779</v>
      </c>
      <c r="B6905" s="380" t="str">
        <f>IFERROR(__xludf.DUMMYFUNCTION("""COMPUTED_VALUE"""),"Manguera Inf Radiador Eagle 3840364C1")</f>
        <v>Manguera Inf Radiador Eagle 3840364C1</v>
      </c>
      <c r="C6905" s="380" t="str">
        <f>IFERROR(__xludf.DUMMYFUNCTION("""COMPUTED_VALUE"""),"70002312")</f>
        <v>70002312</v>
      </c>
      <c r="D6905" s="380" t="s">
        <v>767</v>
      </c>
      <c r="E6905" s="380" t="s">
        <v>786</v>
      </c>
      <c r="F6905" s="380" t="s">
        <v>787</v>
      </c>
      <c r="G6905" s="380" t="s">
        <v>1267</v>
      </c>
      <c r="H6905" s="380" t="s">
        <v>771</v>
      </c>
      <c r="I6905" s="380" t="s">
        <v>788</v>
      </c>
      <c r="J6905" s="380" t="s">
        <v>773</v>
      </c>
      <c r="K6905" s="381">
        <v>0.0</v>
      </c>
      <c r="L6905" s="382">
        <v>1.0</v>
      </c>
    </row>
    <row r="6906">
      <c r="A6906" s="380" t="s">
        <v>7780</v>
      </c>
      <c r="B6906" s="380" t="str">
        <f>IFERROR(__xludf.DUMMYFUNCTION("""COMPUTED_VALUE"""),"Trapecio Brazo Limpiab Prostar3554255C96")</f>
        <v>Trapecio Brazo Limpiab Prostar3554255C96</v>
      </c>
      <c r="C6906" s="380" t="str">
        <f>IFERROR(__xludf.DUMMYFUNCTION("""COMPUTED_VALUE"""),"70002313")</f>
        <v>70002313</v>
      </c>
      <c r="D6906" s="380" t="s">
        <v>767</v>
      </c>
      <c r="E6906" s="380" t="s">
        <v>786</v>
      </c>
      <c r="F6906" s="380" t="s">
        <v>792</v>
      </c>
      <c r="G6906" s="380" t="s">
        <v>1267</v>
      </c>
      <c r="H6906" s="380" t="s">
        <v>771</v>
      </c>
      <c r="I6906" s="380" t="s">
        <v>788</v>
      </c>
      <c r="J6906" s="380" t="s">
        <v>773</v>
      </c>
      <c r="K6906" s="381">
        <v>1692589.0</v>
      </c>
      <c r="L6906" s="382">
        <v>1.0</v>
      </c>
    </row>
    <row r="6907">
      <c r="A6907" s="380" t="s">
        <v>7781</v>
      </c>
      <c r="B6907" s="380" t="str">
        <f>IFERROR(__xludf.DUMMYFUNCTION("""COMPUTED_VALUE"""),"Pin Select Cambios Transm FRR 8970115962")</f>
        <v>Pin Select Cambios Transm FRR 8970115962</v>
      </c>
      <c r="C6907" s="380" t="str">
        <f>IFERROR(__xludf.DUMMYFUNCTION("""COMPUTED_VALUE"""),"70002314")</f>
        <v>70002314</v>
      </c>
      <c r="D6907" s="380" t="s">
        <v>767</v>
      </c>
      <c r="E6907" s="380" t="s">
        <v>786</v>
      </c>
      <c r="F6907" s="380" t="s">
        <v>928</v>
      </c>
      <c r="G6907" s="380" t="s">
        <v>1267</v>
      </c>
      <c r="H6907" s="380" t="s">
        <v>771</v>
      </c>
      <c r="I6907" s="380" t="s">
        <v>788</v>
      </c>
      <c r="J6907" s="380" t="s">
        <v>773</v>
      </c>
      <c r="K6907" s="381">
        <v>0.0</v>
      </c>
      <c r="L6907" s="382">
        <v>1.0</v>
      </c>
    </row>
    <row r="6908">
      <c r="A6908" s="380" t="s">
        <v>7782</v>
      </c>
      <c r="B6908" s="380" t="str">
        <f>IFERROR(__xludf.DUMMYFUNCTION("""COMPUTED_VALUE"""),"Rodillo Propulsor Npr 6309000")</f>
        <v>Rodillo Propulsor Npr 6309000</v>
      </c>
      <c r="C6908" s="380" t="str">
        <f>IFERROR(__xludf.DUMMYFUNCTION("""COMPUTED_VALUE"""),"70002315")</f>
        <v>70002315</v>
      </c>
      <c r="D6908" s="380" t="s">
        <v>767</v>
      </c>
      <c r="E6908" s="380" t="s">
        <v>786</v>
      </c>
      <c r="F6908" s="380" t="s">
        <v>928</v>
      </c>
      <c r="G6908" s="380" t="s">
        <v>1267</v>
      </c>
      <c r="H6908" s="380" t="s">
        <v>771</v>
      </c>
      <c r="I6908" s="380" t="s">
        <v>788</v>
      </c>
      <c r="J6908" s="380" t="s">
        <v>773</v>
      </c>
      <c r="K6908" s="381">
        <v>0.0</v>
      </c>
      <c r="L6908" s="382">
        <v>1.0</v>
      </c>
    </row>
    <row r="6909">
      <c r="A6909" s="380" t="s">
        <v>7783</v>
      </c>
      <c r="B6909" s="380" t="str">
        <f>IFERROR(__xludf.DUMMYFUNCTION("""COMPUTED_VALUE"""),"Racor Reduccion De 3/4 X 1/2")</f>
        <v>Racor Reduccion De 3/4 X 1/2</v>
      </c>
      <c r="C6909" s="380" t="str">
        <f>IFERROR(__xludf.DUMMYFUNCTION("""COMPUTED_VALUE"""),"70002316")</f>
        <v>70002316</v>
      </c>
      <c r="D6909" s="380" t="s">
        <v>767</v>
      </c>
      <c r="E6909" s="380" t="s">
        <v>786</v>
      </c>
      <c r="F6909" s="380" t="s">
        <v>989</v>
      </c>
      <c r="G6909" s="380" t="s">
        <v>1267</v>
      </c>
      <c r="H6909" s="380" t="s">
        <v>771</v>
      </c>
      <c r="I6909" s="380" t="s">
        <v>788</v>
      </c>
      <c r="J6909" s="380" t="s">
        <v>773</v>
      </c>
      <c r="K6909" s="381">
        <v>0.0</v>
      </c>
      <c r="L6909" s="382">
        <v>1.0</v>
      </c>
    </row>
    <row r="6910">
      <c r="A6910" s="380" t="s">
        <v>7784</v>
      </c>
      <c r="B6910" s="380" t="str">
        <f>IFERROR(__xludf.DUMMYFUNCTION("""COMPUTED_VALUE"""),"Kit Cilind Pta Ignici C Llave 3546619C91")</f>
        <v>Kit Cilind Pta Ignici C Llave 3546619C91</v>
      </c>
      <c r="C6910" s="380" t="str">
        <f>IFERROR(__xludf.DUMMYFUNCTION("""COMPUTED_VALUE"""),"70002317")</f>
        <v>70002317</v>
      </c>
      <c r="D6910" s="380" t="s">
        <v>767</v>
      </c>
      <c r="E6910" s="380" t="s">
        <v>786</v>
      </c>
      <c r="F6910" s="380" t="s">
        <v>998</v>
      </c>
      <c r="G6910" s="380" t="s">
        <v>1267</v>
      </c>
      <c r="H6910" s="380" t="s">
        <v>771</v>
      </c>
      <c r="I6910" s="380" t="s">
        <v>788</v>
      </c>
      <c r="J6910" s="380" t="s">
        <v>773</v>
      </c>
      <c r="K6910" s="381">
        <v>0.0</v>
      </c>
      <c r="L6910" s="382">
        <v>1.0</v>
      </c>
    </row>
    <row r="6911">
      <c r="A6911" s="380" t="s">
        <v>7785</v>
      </c>
      <c r="B6911" s="380" t="str">
        <f>IFERROR(__xludf.DUMMYFUNCTION("""COMPUTED_VALUE"""),"Bocin Rueda Del Renaul Master 8200807882")</f>
        <v>Bocin Rueda Del Renaul Master 8200807882</v>
      </c>
      <c r="C6911" s="380" t="str">
        <f>IFERROR(__xludf.DUMMYFUNCTION("""COMPUTED_VALUE"""),"70002318")</f>
        <v>70002318</v>
      </c>
      <c r="D6911" s="380" t="s">
        <v>767</v>
      </c>
      <c r="E6911" s="380" t="s">
        <v>786</v>
      </c>
      <c r="F6911" s="380" t="s">
        <v>1017</v>
      </c>
      <c r="G6911" s="380" t="s">
        <v>1267</v>
      </c>
      <c r="H6911" s="380" t="s">
        <v>771</v>
      </c>
      <c r="I6911" s="380" t="s">
        <v>788</v>
      </c>
      <c r="J6911" s="380" t="s">
        <v>773</v>
      </c>
      <c r="K6911" s="381">
        <v>707442.0</v>
      </c>
      <c r="L6911" s="382">
        <v>1.0</v>
      </c>
    </row>
    <row r="6912">
      <c r="A6912" s="380" t="s">
        <v>7786</v>
      </c>
      <c r="B6912" s="380" t="str">
        <f>IFERROR(__xludf.DUMMYFUNCTION("""COMPUTED_VALUE"""),"Kit Lainas Divisor Difer Kw T800 78920")</f>
        <v>Kit Lainas Divisor Difer Kw T800 78920</v>
      </c>
      <c r="C6912" s="380" t="str">
        <f>IFERROR(__xludf.DUMMYFUNCTION("""COMPUTED_VALUE"""),"70002319")</f>
        <v>70002319</v>
      </c>
      <c r="D6912" s="380" t="s">
        <v>767</v>
      </c>
      <c r="E6912" s="380" t="s">
        <v>786</v>
      </c>
      <c r="F6912" s="380" t="s">
        <v>5683</v>
      </c>
      <c r="G6912" s="380" t="s">
        <v>1267</v>
      </c>
      <c r="H6912" s="380" t="s">
        <v>771</v>
      </c>
      <c r="I6912" s="380" t="s">
        <v>788</v>
      </c>
      <c r="J6912" s="380" t="s">
        <v>773</v>
      </c>
      <c r="K6912" s="381">
        <v>0.0</v>
      </c>
      <c r="L6912" s="382">
        <v>1.0</v>
      </c>
    </row>
    <row r="6913">
      <c r="A6913" s="380" t="s">
        <v>7787</v>
      </c>
      <c r="B6913" s="380" t="str">
        <f>IFERROR(__xludf.DUMMYFUNCTION("""COMPUTED_VALUE"""),"Planetario Divis Rockwel 46160 2234T1190")</f>
        <v>Planetario Divis Rockwel 46160 2234T1190</v>
      </c>
      <c r="C6913" s="380" t="str">
        <f>IFERROR(__xludf.DUMMYFUNCTION("""COMPUTED_VALUE"""),"70002320")</f>
        <v>70002320</v>
      </c>
      <c r="D6913" s="380" t="s">
        <v>767</v>
      </c>
      <c r="E6913" s="380" t="s">
        <v>786</v>
      </c>
      <c r="F6913" s="380" t="s">
        <v>5683</v>
      </c>
      <c r="G6913" s="380" t="s">
        <v>1267</v>
      </c>
      <c r="H6913" s="380" t="s">
        <v>771</v>
      </c>
      <c r="I6913" s="380" t="s">
        <v>788</v>
      </c>
      <c r="J6913" s="380" t="s">
        <v>773</v>
      </c>
      <c r="K6913" s="381">
        <v>0.0</v>
      </c>
      <c r="L6913" s="382">
        <v>1.0</v>
      </c>
    </row>
    <row r="6914">
      <c r="A6914" s="380" t="s">
        <v>7788</v>
      </c>
      <c r="B6914" s="380" t="str">
        <f>IFERROR(__xludf.DUMMYFUNCTION("""COMPUTED_VALUE"""),"Eje Lat Recto Dif Corto Eagle 3202Y9125")</f>
        <v>Eje Lat Recto Dif Corto Eagle 3202Y9125</v>
      </c>
      <c r="C6914" s="380" t="str">
        <f>IFERROR(__xludf.DUMMYFUNCTION("""COMPUTED_VALUE"""),"70002321")</f>
        <v>70002321</v>
      </c>
      <c r="D6914" s="380" t="s">
        <v>767</v>
      </c>
      <c r="E6914" s="380" t="s">
        <v>786</v>
      </c>
      <c r="F6914" s="380" t="s">
        <v>5683</v>
      </c>
      <c r="G6914" s="380" t="s">
        <v>1267</v>
      </c>
      <c r="H6914" s="380" t="s">
        <v>771</v>
      </c>
      <c r="I6914" s="380" t="s">
        <v>788</v>
      </c>
      <c r="J6914" s="380" t="s">
        <v>773</v>
      </c>
      <c r="K6914" s="381">
        <v>0.0</v>
      </c>
      <c r="L6914" s="382">
        <v>1.0</v>
      </c>
    </row>
    <row r="6915">
      <c r="A6915" s="380" t="s">
        <v>7789</v>
      </c>
      <c r="B6915" s="380" t="str">
        <f>IFERROR(__xludf.DUMMYFUNCTION("""COMPUTED_VALUE"""),"Booster Freno 9054154 Van N200")</f>
        <v>Booster Freno 9054154 Van N200</v>
      </c>
      <c r="C6915" s="380" t="str">
        <f>IFERROR(__xludf.DUMMYFUNCTION("""COMPUTED_VALUE"""),"70002322")</f>
        <v>70002322</v>
      </c>
      <c r="D6915" s="380" t="s">
        <v>767</v>
      </c>
      <c r="E6915" s="380" t="s">
        <v>786</v>
      </c>
      <c r="F6915" s="380" t="s">
        <v>1017</v>
      </c>
      <c r="G6915" s="380" t="s">
        <v>1267</v>
      </c>
      <c r="H6915" s="380" t="s">
        <v>771</v>
      </c>
      <c r="I6915" s="380" t="s">
        <v>788</v>
      </c>
      <c r="J6915" s="380" t="s">
        <v>773</v>
      </c>
      <c r="K6915" s="381">
        <v>0.0</v>
      </c>
      <c r="L6915" s="382">
        <v>1.0</v>
      </c>
    </row>
    <row r="6916">
      <c r="A6916" s="380" t="s">
        <v>7790</v>
      </c>
      <c r="B6916" s="380" t="str">
        <f>IFERROR(__xludf.DUMMYFUNCTION("""COMPUTED_VALUE"""),"Buje Termi Barra Estabi Van N200 5497133")</f>
        <v>Buje Termi Barra Estabi Van N200 5497133</v>
      </c>
      <c r="C6916" s="380" t="str">
        <f>IFERROR(__xludf.DUMMYFUNCTION("""COMPUTED_VALUE"""),"70002323")</f>
        <v>70002323</v>
      </c>
      <c r="D6916" s="380" t="s">
        <v>767</v>
      </c>
      <c r="E6916" s="380" t="s">
        <v>786</v>
      </c>
      <c r="F6916" s="380" t="s">
        <v>1039</v>
      </c>
      <c r="G6916" s="380" t="s">
        <v>1267</v>
      </c>
      <c r="H6916" s="380" t="s">
        <v>771</v>
      </c>
      <c r="I6916" s="380" t="s">
        <v>788</v>
      </c>
      <c r="J6916" s="380" t="s">
        <v>773</v>
      </c>
      <c r="K6916" s="381">
        <v>0.0</v>
      </c>
      <c r="L6916" s="382">
        <v>1.0</v>
      </c>
    </row>
    <row r="6917">
      <c r="A6917" s="380" t="s">
        <v>7791</v>
      </c>
      <c r="B6917" s="380" t="str">
        <f>IFERROR(__xludf.DUMMYFUNCTION("""COMPUTED_VALUE"""),"Stop Izq Foton 7705946041")</f>
        <v>Stop Izq Foton 7705946041</v>
      </c>
      <c r="C6917" s="380" t="str">
        <f>IFERROR(__xludf.DUMMYFUNCTION("""COMPUTED_VALUE"""),"70002324")</f>
        <v>70002324</v>
      </c>
      <c r="D6917" s="380" t="s">
        <v>767</v>
      </c>
      <c r="E6917" s="380" t="s">
        <v>786</v>
      </c>
      <c r="F6917" s="380" t="s">
        <v>998</v>
      </c>
      <c r="G6917" s="380" t="s">
        <v>1267</v>
      </c>
      <c r="H6917" s="380" t="s">
        <v>771</v>
      </c>
      <c r="I6917" s="380" t="s">
        <v>788</v>
      </c>
      <c r="J6917" s="380" t="s">
        <v>773</v>
      </c>
      <c r="K6917" s="381">
        <v>0.0</v>
      </c>
      <c r="L6917" s="382">
        <v>1.0</v>
      </c>
    </row>
    <row r="6918">
      <c r="A6918" s="380" t="s">
        <v>7792</v>
      </c>
      <c r="B6918" s="380" t="str">
        <f>IFERROR(__xludf.DUMMYFUNCTION("""COMPUTED_VALUE"""),"Reflectivo Trasero Izq Foton 5946041287")</f>
        <v>Reflectivo Trasero Izq Foton 5946041287</v>
      </c>
      <c r="C6918" s="380" t="str">
        <f>IFERROR(__xludf.DUMMYFUNCTION("""COMPUTED_VALUE"""),"70002325")</f>
        <v>70002325</v>
      </c>
      <c r="D6918" s="380" t="s">
        <v>767</v>
      </c>
      <c r="E6918" s="380" t="s">
        <v>786</v>
      </c>
      <c r="F6918" s="380" t="s">
        <v>998</v>
      </c>
      <c r="G6918" s="380" t="s">
        <v>1267</v>
      </c>
      <c r="H6918" s="380" t="s">
        <v>771</v>
      </c>
      <c r="I6918" s="380" t="s">
        <v>788</v>
      </c>
      <c r="J6918" s="380" t="s">
        <v>773</v>
      </c>
      <c r="K6918" s="381">
        <v>0.0</v>
      </c>
      <c r="L6918" s="382">
        <v>1.0</v>
      </c>
    </row>
    <row r="6919">
      <c r="A6919" s="380" t="s">
        <v>7793</v>
      </c>
      <c r="B6919" s="380" t="str">
        <f>IFERROR(__xludf.DUMMYFUNCTION("""COMPUTED_VALUE"""),"Panel Frontal Derecho Nhr 8978966530")</f>
        <v>Panel Frontal Derecho Nhr 8978966530</v>
      </c>
      <c r="C6919" s="380" t="str">
        <f>IFERROR(__xludf.DUMMYFUNCTION("""COMPUTED_VALUE"""),"70002326")</f>
        <v>70002326</v>
      </c>
      <c r="D6919" s="380" t="s">
        <v>767</v>
      </c>
      <c r="E6919" s="380" t="s">
        <v>786</v>
      </c>
      <c r="F6919" s="380" t="s">
        <v>792</v>
      </c>
      <c r="G6919" s="380" t="s">
        <v>1267</v>
      </c>
      <c r="H6919" s="380" t="s">
        <v>771</v>
      </c>
      <c r="I6919" s="380" t="s">
        <v>788</v>
      </c>
      <c r="J6919" s="380" t="s">
        <v>773</v>
      </c>
      <c r="K6919" s="381">
        <v>0.0</v>
      </c>
      <c r="L6919" s="382">
        <v>1.0</v>
      </c>
    </row>
    <row r="6920">
      <c r="A6920" s="380" t="s">
        <v>7794</v>
      </c>
      <c r="B6920" s="380" t="str">
        <f>IFERROR(__xludf.DUMMYFUNCTION("""COMPUTED_VALUE"""),"Vidrio Puerta Lado Derecho N200")</f>
        <v>Vidrio Puerta Lado Derecho N200</v>
      </c>
      <c r="C6920" s="380" t="str">
        <f>IFERROR(__xludf.DUMMYFUNCTION("""COMPUTED_VALUE"""),"70002327")</f>
        <v>70002327</v>
      </c>
      <c r="D6920" s="380" t="s">
        <v>767</v>
      </c>
      <c r="E6920" s="380" t="s">
        <v>786</v>
      </c>
      <c r="F6920" s="380" t="s">
        <v>792</v>
      </c>
      <c r="G6920" s="380" t="s">
        <v>1267</v>
      </c>
      <c r="H6920" s="380" t="s">
        <v>771</v>
      </c>
      <c r="I6920" s="380" t="s">
        <v>788</v>
      </c>
      <c r="J6920" s="380" t="s">
        <v>773</v>
      </c>
      <c r="K6920" s="381">
        <v>0.0</v>
      </c>
      <c r="L6920" s="382">
        <v>1.0</v>
      </c>
    </row>
    <row r="6921">
      <c r="A6921" s="380" t="s">
        <v>7795</v>
      </c>
      <c r="B6921" s="380" t="str">
        <f>IFERROR(__xludf.DUMMYFUNCTION("""COMPUTED_VALUE"""),"Canastilla Piñon De Sexta Npr 8971475720")</f>
        <v>Canastilla Piñon De Sexta Npr 8971475720</v>
      </c>
      <c r="C6921" s="380" t="str">
        <f>IFERROR(__xludf.DUMMYFUNCTION("""COMPUTED_VALUE"""),"70002328")</f>
        <v>70002328</v>
      </c>
      <c r="D6921" s="380" t="s">
        <v>767</v>
      </c>
      <c r="E6921" s="380" t="s">
        <v>786</v>
      </c>
      <c r="F6921" s="380" t="s">
        <v>928</v>
      </c>
      <c r="G6921" s="380" t="s">
        <v>1267</v>
      </c>
      <c r="H6921" s="380" t="s">
        <v>771</v>
      </c>
      <c r="I6921" s="380" t="s">
        <v>788</v>
      </c>
      <c r="J6921" s="380" t="s">
        <v>773</v>
      </c>
      <c r="K6921" s="381">
        <v>0.0</v>
      </c>
      <c r="L6921" s="382">
        <v>1.0</v>
      </c>
    </row>
    <row r="6922">
      <c r="A6922" s="380" t="s">
        <v>7796</v>
      </c>
      <c r="B6922" s="380" t="str">
        <f>IFERROR(__xludf.DUMMYFUNCTION("""COMPUTED_VALUE"""),"Tanque Lava Parabrisas Eagle 3596180C95")</f>
        <v>Tanque Lava Parabrisas Eagle 3596180C95</v>
      </c>
      <c r="C6922" s="380" t="str">
        <f>IFERROR(__xludf.DUMMYFUNCTION("""COMPUTED_VALUE"""),"70002329")</f>
        <v>70002329</v>
      </c>
      <c r="D6922" s="380" t="s">
        <v>767</v>
      </c>
      <c r="E6922" s="380" t="s">
        <v>786</v>
      </c>
      <c r="F6922" s="380" t="s">
        <v>792</v>
      </c>
      <c r="G6922" s="380" t="s">
        <v>1267</v>
      </c>
      <c r="H6922" s="380" t="s">
        <v>771</v>
      </c>
      <c r="I6922" s="380" t="s">
        <v>788</v>
      </c>
      <c r="J6922" s="380" t="s">
        <v>773</v>
      </c>
      <c r="K6922" s="381">
        <v>0.0</v>
      </c>
      <c r="L6922" s="382">
        <v>1.0</v>
      </c>
    </row>
    <row r="6923">
      <c r="A6923" s="380" t="s">
        <v>7797</v>
      </c>
      <c r="B6923" s="380" t="str">
        <f>IFERROR(__xludf.DUMMYFUNCTION("""COMPUTED_VALUE"""),"Manija Externa Del Izq Foton 1023486590")</f>
        <v>Manija Externa Del Izq Foton 1023486590</v>
      </c>
      <c r="C6923" s="380" t="str">
        <f>IFERROR(__xludf.DUMMYFUNCTION("""COMPUTED_VALUE"""),"70002330")</f>
        <v>70002330</v>
      </c>
      <c r="D6923" s="380" t="s">
        <v>767</v>
      </c>
      <c r="E6923" s="380" t="s">
        <v>786</v>
      </c>
      <c r="F6923" s="380" t="s">
        <v>792</v>
      </c>
      <c r="G6923" s="380" t="s">
        <v>1267</v>
      </c>
      <c r="H6923" s="380" t="s">
        <v>771</v>
      </c>
      <c r="I6923" s="380" t="s">
        <v>788</v>
      </c>
      <c r="J6923" s="380" t="s">
        <v>773</v>
      </c>
      <c r="K6923" s="381">
        <v>0.0</v>
      </c>
      <c r="L6923" s="382">
        <v>1.0</v>
      </c>
    </row>
    <row r="6924">
      <c r="A6924" s="380" t="s">
        <v>7798</v>
      </c>
      <c r="B6924" s="380" t="str">
        <f>IFERROR(__xludf.DUMMYFUNCTION("""COMPUTED_VALUE"""),"Balinera Seguro Puerta 6202 RS LLU C")</f>
        <v>Balinera Seguro Puerta 6202 RS LLU C</v>
      </c>
      <c r="C6924" s="380" t="str">
        <f>IFERROR(__xludf.DUMMYFUNCTION("""COMPUTED_VALUE"""),"70002331")</f>
        <v>70002331</v>
      </c>
      <c r="D6924" s="380" t="s">
        <v>767</v>
      </c>
      <c r="E6924" s="380" t="s">
        <v>786</v>
      </c>
      <c r="F6924" s="380" t="s">
        <v>792</v>
      </c>
      <c r="G6924" s="380" t="s">
        <v>1267</v>
      </c>
      <c r="H6924" s="380" t="s">
        <v>771</v>
      </c>
      <c r="I6924" s="380" t="s">
        <v>788</v>
      </c>
      <c r="J6924" s="380" t="s">
        <v>773</v>
      </c>
      <c r="K6924" s="381">
        <v>0.0</v>
      </c>
      <c r="L6924" s="382">
        <v>1.0</v>
      </c>
    </row>
    <row r="6925">
      <c r="A6925" s="380" t="s">
        <v>7799</v>
      </c>
      <c r="B6925" s="380" t="str">
        <f>IFERROR(__xludf.DUMMYFUNCTION("""COMPUTED_VALUE"""),"Rodami Axial Trans Nkr Reward 8972531231")</f>
        <v>Rodami Axial Trans Nkr Reward 8972531231</v>
      </c>
      <c r="C6925" s="380" t="str">
        <f>IFERROR(__xludf.DUMMYFUNCTION("""COMPUTED_VALUE"""),"70002332")</f>
        <v>70002332</v>
      </c>
      <c r="D6925" s="380" t="s">
        <v>767</v>
      </c>
      <c r="E6925" s="380" t="s">
        <v>786</v>
      </c>
      <c r="F6925" s="380" t="s">
        <v>5683</v>
      </c>
      <c r="G6925" s="380" t="s">
        <v>1267</v>
      </c>
      <c r="H6925" s="380" t="s">
        <v>771</v>
      </c>
      <c r="I6925" s="380" t="s">
        <v>788</v>
      </c>
      <c r="J6925" s="380" t="s">
        <v>773</v>
      </c>
      <c r="K6925" s="381">
        <v>0.0</v>
      </c>
      <c r="L6925" s="382">
        <v>1.0</v>
      </c>
    </row>
    <row r="6926">
      <c r="A6926" s="380" t="s">
        <v>7800</v>
      </c>
      <c r="B6926" s="380" t="str">
        <f>IFERROR(__xludf.DUMMYFUNCTION("""COMPUTED_VALUE"""),"Tuer Despla Y T Fijo Nkr Rewar8973604100")</f>
        <v>Tuer Despla Y T Fijo Nkr Rewar8973604100</v>
      </c>
      <c r="C6926" s="380" t="str">
        <f>IFERROR(__xludf.DUMMYFUNCTION("""COMPUTED_VALUE"""),"70002333")</f>
        <v>70002333</v>
      </c>
      <c r="D6926" s="380" t="s">
        <v>767</v>
      </c>
      <c r="E6926" s="380" t="s">
        <v>786</v>
      </c>
      <c r="F6926" s="380" t="s">
        <v>5683</v>
      </c>
      <c r="G6926" s="380" t="s">
        <v>1267</v>
      </c>
      <c r="H6926" s="380" t="s">
        <v>771</v>
      </c>
      <c r="I6926" s="380" t="s">
        <v>788</v>
      </c>
      <c r="J6926" s="380" t="s">
        <v>773</v>
      </c>
      <c r="K6926" s="381">
        <v>0.0</v>
      </c>
      <c r="L6926" s="382">
        <v>1.0</v>
      </c>
    </row>
    <row r="6927">
      <c r="A6927" s="380" t="s">
        <v>7801</v>
      </c>
      <c r="B6927" s="380" t="str">
        <f>IFERROR(__xludf.DUMMYFUNCTION("""COMPUTED_VALUE"""),"Automatico Arranqu 39MT Prostar 10511408")</f>
        <v>Automatico Arranqu 39MT Prostar 10511408</v>
      </c>
      <c r="C6927" s="380" t="str">
        <f>IFERROR(__xludf.DUMMYFUNCTION("""COMPUTED_VALUE"""),"70002334")</f>
        <v>70002334</v>
      </c>
      <c r="D6927" s="380" t="s">
        <v>767</v>
      </c>
      <c r="E6927" s="380" t="s">
        <v>786</v>
      </c>
      <c r="F6927" s="380" t="s">
        <v>998</v>
      </c>
      <c r="G6927" s="380" t="s">
        <v>1267</v>
      </c>
      <c r="H6927" s="380" t="s">
        <v>771</v>
      </c>
      <c r="I6927" s="380" t="s">
        <v>788</v>
      </c>
      <c r="J6927" s="380" t="s">
        <v>773</v>
      </c>
      <c r="K6927" s="381">
        <v>0.0</v>
      </c>
      <c r="L6927" s="382">
        <v>1.0</v>
      </c>
    </row>
    <row r="6928">
      <c r="A6928" s="380" t="s">
        <v>7802</v>
      </c>
      <c r="B6928" s="380" t="str">
        <f>IFERROR(__xludf.DUMMYFUNCTION("""COMPUTED_VALUE"""),"Amortiguador Delantero FTR 8980633680")</f>
        <v>Amortiguador Delantero FTR 8980633680</v>
      </c>
      <c r="C6928" s="380" t="str">
        <f>IFERROR(__xludf.DUMMYFUNCTION("""COMPUTED_VALUE"""),"70002335")</f>
        <v>70002335</v>
      </c>
      <c r="D6928" s="380" t="s">
        <v>767</v>
      </c>
      <c r="E6928" s="380" t="s">
        <v>786</v>
      </c>
      <c r="F6928" s="380" t="s">
        <v>1039</v>
      </c>
      <c r="G6928" s="380" t="s">
        <v>1267</v>
      </c>
      <c r="H6928" s="380" t="s">
        <v>771</v>
      </c>
      <c r="I6928" s="380" t="s">
        <v>788</v>
      </c>
      <c r="J6928" s="380" t="s">
        <v>773</v>
      </c>
      <c r="K6928" s="381">
        <v>0.0</v>
      </c>
      <c r="L6928" s="382">
        <v>1.0</v>
      </c>
    </row>
    <row r="6929">
      <c r="A6929" s="380" t="s">
        <v>7803</v>
      </c>
      <c r="B6929" s="380" t="str">
        <f>IFERROR(__xludf.DUMMYFUNCTION("""COMPUTED_VALUE"""),"Recibidor Templete Capot 671123801")</f>
        <v>Recibidor Templete Capot 671123801</v>
      </c>
      <c r="C6929" s="380" t="str">
        <f>IFERROR(__xludf.DUMMYFUNCTION("""COMPUTED_VALUE"""),"70002336")</f>
        <v>70002336</v>
      </c>
      <c r="D6929" s="380" t="s">
        <v>767</v>
      </c>
      <c r="E6929" s="380" t="s">
        <v>786</v>
      </c>
      <c r="F6929" s="380" t="s">
        <v>792</v>
      </c>
      <c r="G6929" s="380" t="s">
        <v>1267</v>
      </c>
      <c r="H6929" s="380" t="s">
        <v>771</v>
      </c>
      <c r="I6929" s="380" t="s">
        <v>788</v>
      </c>
      <c r="J6929" s="380" t="s">
        <v>773</v>
      </c>
      <c r="K6929" s="381">
        <v>78436.0</v>
      </c>
      <c r="L6929" s="382">
        <v>1.0</v>
      </c>
    </row>
    <row r="6930">
      <c r="A6930" s="380" t="s">
        <v>7804</v>
      </c>
      <c r="B6930" s="380" t="str">
        <f>IFERROR(__xludf.DUMMYFUNCTION("""COMPUTED_VALUE"""),"Sensor Acelerador Nkr Reward 8981312630")</f>
        <v>Sensor Acelerador Nkr Reward 8981312630</v>
      </c>
      <c r="C6930" s="380" t="str">
        <f>IFERROR(__xludf.DUMMYFUNCTION("""COMPUTED_VALUE"""),"70002337")</f>
        <v>70002337</v>
      </c>
      <c r="D6930" s="380" t="s">
        <v>767</v>
      </c>
      <c r="E6930" s="380" t="s">
        <v>786</v>
      </c>
      <c r="F6930" s="380" t="s">
        <v>998</v>
      </c>
      <c r="G6930" s="380" t="s">
        <v>1267</v>
      </c>
      <c r="H6930" s="380" t="s">
        <v>771</v>
      </c>
      <c r="I6930" s="380" t="s">
        <v>788</v>
      </c>
      <c r="J6930" s="380" t="s">
        <v>773</v>
      </c>
      <c r="K6930" s="381">
        <v>535585.0</v>
      </c>
      <c r="L6930" s="382">
        <v>1.0</v>
      </c>
    </row>
    <row r="6931">
      <c r="A6931" s="380" t="s">
        <v>7805</v>
      </c>
      <c r="B6931" s="380" t="str">
        <f>IFERROR(__xludf.DUMMYFUNCTION("""COMPUTED_VALUE"""),"Empaque Freno Ahogo Nkr Reward8943283540")</f>
        <v>Empaque Freno Ahogo Nkr Reward8943283540</v>
      </c>
      <c r="C6931" s="380" t="str">
        <f>IFERROR(__xludf.DUMMYFUNCTION("""COMPUTED_VALUE"""),"70002338")</f>
        <v>70002338</v>
      </c>
      <c r="D6931" s="380" t="s">
        <v>767</v>
      </c>
      <c r="E6931" s="380" t="s">
        <v>786</v>
      </c>
      <c r="F6931" s="380" t="s">
        <v>1017</v>
      </c>
      <c r="G6931" s="380" t="s">
        <v>1267</v>
      </c>
      <c r="H6931" s="380" t="s">
        <v>771</v>
      </c>
      <c r="I6931" s="380" t="s">
        <v>788</v>
      </c>
      <c r="J6931" s="380" t="s">
        <v>773</v>
      </c>
      <c r="K6931" s="381">
        <v>0.0</v>
      </c>
      <c r="L6931" s="382">
        <v>1.0</v>
      </c>
    </row>
    <row r="6932">
      <c r="A6932" s="380" t="s">
        <v>7806</v>
      </c>
      <c r="B6932" s="380" t="str">
        <f>IFERROR(__xludf.DUMMYFUNCTION("""COMPUTED_VALUE"""),"Cone Sens Tem Aceit Cja Prostar3803848C1")</f>
        <v>Cone Sens Tem Aceit Cja Prostar3803848C1</v>
      </c>
      <c r="C6932" s="380" t="str">
        <f>IFERROR(__xludf.DUMMYFUNCTION("""COMPUTED_VALUE"""),"70002339")</f>
        <v>70002339</v>
      </c>
      <c r="D6932" s="380" t="s">
        <v>767</v>
      </c>
      <c r="E6932" s="380" t="s">
        <v>786</v>
      </c>
      <c r="F6932" s="380" t="s">
        <v>998</v>
      </c>
      <c r="G6932" s="380" t="s">
        <v>1267</v>
      </c>
      <c r="H6932" s="380" t="s">
        <v>771</v>
      </c>
      <c r="I6932" s="380" t="s">
        <v>788</v>
      </c>
      <c r="J6932" s="380" t="s">
        <v>773</v>
      </c>
      <c r="K6932" s="381">
        <v>155288.0</v>
      </c>
      <c r="L6932" s="382">
        <v>1.0</v>
      </c>
    </row>
    <row r="6933">
      <c r="A6933" s="380" t="s">
        <v>7807</v>
      </c>
      <c r="B6933" s="380" t="str">
        <f>IFERROR(__xludf.DUMMYFUNCTION("""COMPUTED_VALUE"""),"Cigueñal Motor Nkr 8973318530")</f>
        <v>Cigueñal Motor Nkr 8973318530</v>
      </c>
      <c r="C6933" s="380" t="str">
        <f>IFERROR(__xludf.DUMMYFUNCTION("""COMPUTED_VALUE"""),"70002340")</f>
        <v>70002340</v>
      </c>
      <c r="D6933" s="380" t="s">
        <v>767</v>
      </c>
      <c r="E6933" s="380" t="s">
        <v>786</v>
      </c>
      <c r="F6933" s="380" t="s">
        <v>787</v>
      </c>
      <c r="G6933" s="380" t="s">
        <v>1267</v>
      </c>
      <c r="H6933" s="380" t="s">
        <v>771</v>
      </c>
      <c r="I6933" s="380" t="s">
        <v>788</v>
      </c>
      <c r="J6933" s="380" t="s">
        <v>773</v>
      </c>
      <c r="K6933" s="381">
        <v>0.0</v>
      </c>
      <c r="L6933" s="382">
        <v>1.0</v>
      </c>
    </row>
    <row r="6934">
      <c r="A6934" s="380" t="s">
        <v>7808</v>
      </c>
      <c r="B6934" s="380" t="str">
        <f>IFERROR(__xludf.DUMMYFUNCTION("""COMPUTED_VALUE"""),"Conec Brazo Cja Dir Nkr Reward8980220721")</f>
        <v>Conec Brazo Cja Dir Nkr Reward8980220721</v>
      </c>
      <c r="C6934" s="380" t="str">
        <f>IFERROR(__xludf.DUMMYFUNCTION("""COMPUTED_VALUE"""),"70002341")</f>
        <v>70002341</v>
      </c>
      <c r="D6934" s="380" t="s">
        <v>767</v>
      </c>
      <c r="E6934" s="380" t="s">
        <v>786</v>
      </c>
      <c r="F6934" s="380" t="s">
        <v>1020</v>
      </c>
      <c r="G6934" s="380" t="s">
        <v>1267</v>
      </c>
      <c r="H6934" s="380" t="s">
        <v>771</v>
      </c>
      <c r="I6934" s="380" t="s">
        <v>788</v>
      </c>
      <c r="J6934" s="380" t="s">
        <v>773</v>
      </c>
      <c r="K6934" s="381">
        <v>0.0</v>
      </c>
      <c r="L6934" s="382">
        <v>1.0</v>
      </c>
    </row>
    <row r="6935">
      <c r="A6935" s="380" t="s">
        <v>7809</v>
      </c>
      <c r="B6935" s="380" t="str">
        <f>IFERROR(__xludf.DUMMYFUNCTION("""COMPUTED_VALUE"""),"Rache Estria Menuda Trailer K-44041")</f>
        <v>Rache Estria Menuda Trailer K-44041</v>
      </c>
      <c r="C6935" s="380" t="str">
        <f>IFERROR(__xludf.DUMMYFUNCTION("""COMPUTED_VALUE"""),"70002342")</f>
        <v>70002342</v>
      </c>
      <c r="D6935" s="380" t="s">
        <v>767</v>
      </c>
      <c r="E6935" s="380" t="s">
        <v>786</v>
      </c>
      <c r="F6935" s="380" t="s">
        <v>1017</v>
      </c>
      <c r="G6935" s="380" t="s">
        <v>1267</v>
      </c>
      <c r="H6935" s="380" t="s">
        <v>771</v>
      </c>
      <c r="I6935" s="380" t="s">
        <v>788</v>
      </c>
      <c r="J6935" s="380" t="s">
        <v>773</v>
      </c>
      <c r="K6935" s="381">
        <v>50927.0</v>
      </c>
      <c r="L6935" s="382">
        <v>1.0</v>
      </c>
    </row>
    <row r="6936">
      <c r="A6936" s="380" t="s">
        <v>7810</v>
      </c>
      <c r="B6936" s="380" t="str">
        <f>IFERROR(__xludf.DUMMYFUNCTION("""COMPUTED_VALUE"""),"Kit Swit Baja Pres A/C Cab Isx2611208C91")</f>
        <v>Kit Swit Baja Pres A/C Cab Isx2611208C91</v>
      </c>
      <c r="C6936" s="380" t="str">
        <f>IFERROR(__xludf.DUMMYFUNCTION("""COMPUTED_VALUE"""),"70002343")</f>
        <v>70002343</v>
      </c>
      <c r="D6936" s="380" t="s">
        <v>767</v>
      </c>
      <c r="E6936" s="380" t="s">
        <v>786</v>
      </c>
      <c r="F6936" s="380" t="s">
        <v>998</v>
      </c>
      <c r="G6936" s="380" t="s">
        <v>1267</v>
      </c>
      <c r="H6936" s="380" t="s">
        <v>771</v>
      </c>
      <c r="I6936" s="380" t="s">
        <v>788</v>
      </c>
      <c r="J6936" s="380" t="s">
        <v>773</v>
      </c>
      <c r="K6936" s="381">
        <v>0.0</v>
      </c>
      <c r="L6936" s="382">
        <v>1.0</v>
      </c>
    </row>
    <row r="6937">
      <c r="A6937" s="380" t="s">
        <v>7811</v>
      </c>
      <c r="B6937" s="380" t="str">
        <f>IFERROR(__xludf.DUMMYFUNCTION("""COMPUTED_VALUE"""),"Kit Brazo Tens Bomper Prostar 3720641C1")</f>
        <v>Kit Brazo Tens Bomper Prostar 3720641C1</v>
      </c>
      <c r="C6937" s="380" t="str">
        <f>IFERROR(__xludf.DUMMYFUNCTION("""COMPUTED_VALUE"""),"70002344")</f>
        <v>70002344</v>
      </c>
      <c r="D6937" s="380" t="s">
        <v>767</v>
      </c>
      <c r="E6937" s="380" t="s">
        <v>786</v>
      </c>
      <c r="F6937" s="380" t="s">
        <v>792</v>
      </c>
      <c r="G6937" s="380" t="s">
        <v>1267</v>
      </c>
      <c r="H6937" s="380" t="s">
        <v>771</v>
      </c>
      <c r="I6937" s="380" t="s">
        <v>788</v>
      </c>
      <c r="J6937" s="380" t="s">
        <v>773</v>
      </c>
      <c r="K6937" s="381">
        <v>0.0</v>
      </c>
      <c r="L6937" s="382">
        <v>1.0</v>
      </c>
    </row>
    <row r="6938">
      <c r="A6938" s="380" t="s">
        <v>7812</v>
      </c>
      <c r="B6938" s="380" t="str">
        <f>IFERROR(__xludf.DUMMYFUNCTION("""COMPUTED_VALUE"""),"Kit Brazo Tens Bomper Prostar 3720642C1")</f>
        <v>Kit Brazo Tens Bomper Prostar 3720642C1</v>
      </c>
      <c r="C6938" s="380" t="str">
        <f>IFERROR(__xludf.DUMMYFUNCTION("""COMPUTED_VALUE"""),"70002345")</f>
        <v>70002345</v>
      </c>
      <c r="D6938" s="380" t="s">
        <v>767</v>
      </c>
      <c r="E6938" s="380" t="s">
        <v>786</v>
      </c>
      <c r="F6938" s="380" t="s">
        <v>792</v>
      </c>
      <c r="G6938" s="380" t="s">
        <v>1267</v>
      </c>
      <c r="H6938" s="380" t="s">
        <v>771</v>
      </c>
      <c r="I6938" s="380" t="s">
        <v>788</v>
      </c>
      <c r="J6938" s="380" t="s">
        <v>773</v>
      </c>
      <c r="K6938" s="381">
        <v>0.0</v>
      </c>
      <c r="L6938" s="382">
        <v>1.0</v>
      </c>
    </row>
    <row r="6939">
      <c r="A6939" s="380" t="s">
        <v>7813</v>
      </c>
      <c r="B6939" s="380" t="str">
        <f>IFERROR(__xludf.DUMMYFUNCTION("""COMPUTED_VALUE"""),"Kit Brazo Tens Bomper Prostar 3720643C3")</f>
        <v>Kit Brazo Tens Bomper Prostar 3720643C3</v>
      </c>
      <c r="C6939" s="380" t="str">
        <f>IFERROR(__xludf.DUMMYFUNCTION("""COMPUTED_VALUE"""),"70002346")</f>
        <v>70002346</v>
      </c>
      <c r="D6939" s="380" t="s">
        <v>767</v>
      </c>
      <c r="E6939" s="380" t="s">
        <v>786</v>
      </c>
      <c r="F6939" s="380" t="s">
        <v>792</v>
      </c>
      <c r="G6939" s="380" t="s">
        <v>1267</v>
      </c>
      <c r="H6939" s="380" t="s">
        <v>771</v>
      </c>
      <c r="I6939" s="380" t="s">
        <v>788</v>
      </c>
      <c r="J6939" s="380" t="s">
        <v>773</v>
      </c>
      <c r="K6939" s="381">
        <v>0.0</v>
      </c>
      <c r="L6939" s="382">
        <v>1.0</v>
      </c>
    </row>
    <row r="6940">
      <c r="A6940" s="380" t="s">
        <v>7814</v>
      </c>
      <c r="B6940" s="380" t="str">
        <f>IFERROR(__xludf.DUMMYFUNCTION("""COMPUTED_VALUE"""),"Espejo Derecho Hino 500 8,79E+75")</f>
        <v>Espejo Derecho Hino 500 8,79E+75</v>
      </c>
      <c r="C6940" s="380" t="str">
        <f>IFERROR(__xludf.DUMMYFUNCTION("""COMPUTED_VALUE"""),"70002347")</f>
        <v>70002347</v>
      </c>
      <c r="D6940" s="380" t="s">
        <v>767</v>
      </c>
      <c r="E6940" s="380" t="s">
        <v>786</v>
      </c>
      <c r="F6940" s="380" t="s">
        <v>792</v>
      </c>
      <c r="G6940" s="380" t="s">
        <v>1267</v>
      </c>
      <c r="H6940" s="380" t="s">
        <v>771</v>
      </c>
      <c r="I6940" s="380" t="s">
        <v>788</v>
      </c>
      <c r="J6940" s="380" t="s">
        <v>773</v>
      </c>
      <c r="K6940" s="381">
        <v>0.0</v>
      </c>
      <c r="L6940" s="382">
        <v>1.0</v>
      </c>
    </row>
    <row r="6941">
      <c r="A6941" s="380" t="s">
        <v>7815</v>
      </c>
      <c r="B6941" s="380" t="str">
        <f>IFERROR(__xludf.DUMMYFUNCTION("""COMPUTED_VALUE"""),"Soporte Sup Amortiguador N200 23972563")</f>
        <v>Soporte Sup Amortiguador N200 23972563</v>
      </c>
      <c r="C6941" s="380" t="str">
        <f>IFERROR(__xludf.DUMMYFUNCTION("""COMPUTED_VALUE"""),"70002348")</f>
        <v>70002348</v>
      </c>
      <c r="D6941" s="380" t="s">
        <v>767</v>
      </c>
      <c r="E6941" s="380" t="s">
        <v>786</v>
      </c>
      <c r="F6941" s="380" t="s">
        <v>1039</v>
      </c>
      <c r="G6941" s="380" t="s">
        <v>1267</v>
      </c>
      <c r="H6941" s="380" t="s">
        <v>771</v>
      </c>
      <c r="I6941" s="380" t="s">
        <v>788</v>
      </c>
      <c r="J6941" s="380" t="s">
        <v>773</v>
      </c>
      <c r="K6941" s="381">
        <v>0.0</v>
      </c>
      <c r="L6941" s="382">
        <v>1.0</v>
      </c>
    </row>
    <row r="6942">
      <c r="A6942" s="380" t="s">
        <v>7816</v>
      </c>
      <c r="B6942" s="380" t="str">
        <f>IFERROR(__xludf.DUMMYFUNCTION("""COMPUTED_VALUE"""),"Filtro Aceite HCX2977A Veh Jac 1010301FA")</f>
        <v>Filtro Aceite HCX2977A Veh Jac 1010301FA</v>
      </c>
      <c r="C6942" s="380" t="str">
        <f>IFERROR(__xludf.DUMMYFUNCTION("""COMPUTED_VALUE"""),"70002349")</f>
        <v>70002349</v>
      </c>
      <c r="D6942" s="380" t="s">
        <v>767</v>
      </c>
      <c r="E6942" s="380" t="s">
        <v>786</v>
      </c>
      <c r="F6942" s="380" t="s">
        <v>5855</v>
      </c>
      <c r="G6942" s="380" t="s">
        <v>1267</v>
      </c>
      <c r="H6942" s="380" t="s">
        <v>771</v>
      </c>
      <c r="I6942" s="380" t="s">
        <v>788</v>
      </c>
      <c r="J6942" s="380" t="s">
        <v>773</v>
      </c>
      <c r="K6942" s="381">
        <v>37662.0</v>
      </c>
      <c r="L6942" s="382">
        <v>1.0</v>
      </c>
    </row>
    <row r="6943">
      <c r="A6943" s="380" t="s">
        <v>7817</v>
      </c>
      <c r="B6943" s="380" t="str">
        <f>IFERROR(__xludf.DUMMYFUNCTION("""COMPUTED_VALUE"""),"Filtro Aceite 1010320FE010 Jac")</f>
        <v>Filtro Aceite 1010320FE010 Jac</v>
      </c>
      <c r="C6943" s="380" t="str">
        <f>IFERROR(__xludf.DUMMYFUNCTION("""COMPUTED_VALUE"""),"70002350")</f>
        <v>70002350</v>
      </c>
      <c r="D6943" s="380" t="s">
        <v>767</v>
      </c>
      <c r="E6943" s="380" t="s">
        <v>786</v>
      </c>
      <c r="F6943" s="380" t="s">
        <v>5855</v>
      </c>
      <c r="G6943" s="380" t="s">
        <v>1267</v>
      </c>
      <c r="H6943" s="380" t="s">
        <v>771</v>
      </c>
      <c r="I6943" s="380" t="s">
        <v>788</v>
      </c>
      <c r="J6943" s="380" t="s">
        <v>773</v>
      </c>
      <c r="K6943" s="381">
        <v>30970.0</v>
      </c>
      <c r="L6943" s="382">
        <v>1.0</v>
      </c>
    </row>
    <row r="6944">
      <c r="A6944" s="380" t="s">
        <v>7818</v>
      </c>
      <c r="B6944" s="380" t="str">
        <f>IFERROR(__xludf.DUMMYFUNCTION("""COMPUTED_VALUE"""),"Filtro Comb Ev 110 Jac 1105102LD300")</f>
        <v>Filtro Comb Ev 110 Jac 1105102LD300</v>
      </c>
      <c r="C6944" s="380" t="str">
        <f>IFERROR(__xludf.DUMMYFUNCTION("""COMPUTED_VALUE"""),"70002351")</f>
        <v>70002351</v>
      </c>
      <c r="D6944" s="380" t="s">
        <v>767</v>
      </c>
      <c r="E6944" s="380" t="s">
        <v>786</v>
      </c>
      <c r="F6944" s="380" t="s">
        <v>5855</v>
      </c>
      <c r="G6944" s="380" t="s">
        <v>1267</v>
      </c>
      <c r="H6944" s="380" t="s">
        <v>771</v>
      </c>
      <c r="I6944" s="380" t="s">
        <v>788</v>
      </c>
      <c r="J6944" s="380" t="s">
        <v>773</v>
      </c>
      <c r="K6944" s="381">
        <v>44982.0</v>
      </c>
      <c r="L6944" s="382">
        <v>1.0</v>
      </c>
    </row>
    <row r="6945">
      <c r="A6945" s="380" t="s">
        <v>7819</v>
      </c>
      <c r="B6945" s="380" t="str">
        <f>IFERROR(__xludf.DUMMYFUNCTION("""COMPUTED_VALUE"""),"Filtro Aire 1035 1109130B Jac")</f>
        <v>Filtro Aire 1035 1109130B Jac</v>
      </c>
      <c r="C6945" s="380" t="str">
        <f>IFERROR(__xludf.DUMMYFUNCTION("""COMPUTED_VALUE"""),"70002352")</f>
        <v>70002352</v>
      </c>
      <c r="D6945" s="380" t="s">
        <v>767</v>
      </c>
      <c r="E6945" s="380" t="s">
        <v>786</v>
      </c>
      <c r="F6945" s="380" t="s">
        <v>5855</v>
      </c>
      <c r="G6945" s="380" t="s">
        <v>1267</v>
      </c>
      <c r="H6945" s="380" t="s">
        <v>771</v>
      </c>
      <c r="I6945" s="380" t="s">
        <v>788</v>
      </c>
      <c r="J6945" s="380" t="s">
        <v>773</v>
      </c>
      <c r="K6945" s="381">
        <v>74891.0</v>
      </c>
      <c r="L6945" s="382">
        <v>1.0</v>
      </c>
    </row>
    <row r="6946">
      <c r="A6946" s="380" t="s">
        <v>7820</v>
      </c>
      <c r="B6946" s="380" t="str">
        <f>IFERROR(__xludf.DUMMYFUNCTION("""COMPUTED_VALUE"""),"Filtro Separador Agua 1105100LD393 Jac")</f>
        <v>Filtro Separador Agua 1105100LD393 Jac</v>
      </c>
      <c r="C6946" s="380" t="str">
        <f>IFERROR(__xludf.DUMMYFUNCTION("""COMPUTED_VALUE"""),"70002353")</f>
        <v>70002353</v>
      </c>
      <c r="D6946" s="380" t="s">
        <v>767</v>
      </c>
      <c r="E6946" s="380" t="s">
        <v>786</v>
      </c>
      <c r="F6946" s="380" t="s">
        <v>5855</v>
      </c>
      <c r="G6946" s="380" t="s">
        <v>1267</v>
      </c>
      <c r="H6946" s="380" t="s">
        <v>771</v>
      </c>
      <c r="I6946" s="380" t="s">
        <v>788</v>
      </c>
      <c r="J6946" s="380" t="s">
        <v>773</v>
      </c>
      <c r="K6946" s="381">
        <v>0.0</v>
      </c>
      <c r="L6946" s="382">
        <v>1.0</v>
      </c>
    </row>
    <row r="6947">
      <c r="A6947" s="380" t="s">
        <v>7821</v>
      </c>
      <c r="B6947" s="380" t="str">
        <f>IFERROR(__xludf.DUMMYFUNCTION("""COMPUTED_VALUE"""),"Filtro Aspir Crafstman 9-17816 / 9-38754")</f>
        <v>Filtro Aspir Crafstman 9-17816 / 9-38754</v>
      </c>
      <c r="C6947" s="380" t="str">
        <f>IFERROR(__xludf.DUMMYFUNCTION("""COMPUTED_VALUE"""),"70002354")</f>
        <v>70002354</v>
      </c>
      <c r="D6947" s="380" t="s">
        <v>767</v>
      </c>
      <c r="E6947" s="380" t="s">
        <v>786</v>
      </c>
      <c r="F6947" s="380" t="s">
        <v>5855</v>
      </c>
      <c r="G6947" s="380" t="s">
        <v>1267</v>
      </c>
      <c r="H6947" s="380" t="s">
        <v>771</v>
      </c>
      <c r="I6947" s="380" t="s">
        <v>788</v>
      </c>
      <c r="J6947" s="380" t="s">
        <v>773</v>
      </c>
      <c r="K6947" s="381">
        <v>0.0</v>
      </c>
      <c r="L6947" s="382">
        <v>1.0</v>
      </c>
    </row>
    <row r="6948">
      <c r="A6948" s="380" t="s">
        <v>7822</v>
      </c>
      <c r="B6948" s="380" t="str">
        <f>IFERROR(__xludf.DUMMYFUNCTION("""COMPUTED_VALUE"""),"Filtro Secador Aire Eagle 9400 SA474")</f>
        <v>Filtro Secador Aire Eagle 9400 SA474</v>
      </c>
      <c r="C6948" s="380" t="str">
        <f>IFERROR(__xludf.DUMMYFUNCTION("""COMPUTED_VALUE"""),"70002355")</f>
        <v>70002355</v>
      </c>
      <c r="D6948" s="380" t="s">
        <v>767</v>
      </c>
      <c r="E6948" s="380" t="s">
        <v>786</v>
      </c>
      <c r="F6948" s="380" t="s">
        <v>5855</v>
      </c>
      <c r="G6948" s="380" t="s">
        <v>1267</v>
      </c>
      <c r="H6948" s="380" t="s">
        <v>771</v>
      </c>
      <c r="I6948" s="380" t="s">
        <v>788</v>
      </c>
      <c r="J6948" s="380" t="s">
        <v>773</v>
      </c>
      <c r="K6948" s="381">
        <v>118476.0</v>
      </c>
      <c r="L6948" s="382">
        <v>1.0</v>
      </c>
    </row>
    <row r="6949">
      <c r="A6949" s="380" t="s">
        <v>7823</v>
      </c>
      <c r="B6949" s="380" t="str">
        <f>IFERROR(__xludf.DUMMYFUNCTION("""COMPUTED_VALUE"""),"Kit Embrague Foton MV3-MV5 7705946335")</f>
        <v>Kit Embrague Foton MV3-MV5 7705946335</v>
      </c>
      <c r="C6949" s="380" t="str">
        <f>IFERROR(__xludf.DUMMYFUNCTION("""COMPUTED_VALUE"""),"70002356")</f>
        <v>70002356</v>
      </c>
      <c r="D6949" s="380" t="s">
        <v>767</v>
      </c>
      <c r="E6949" s="380" t="s">
        <v>786</v>
      </c>
      <c r="F6949" s="380" t="s">
        <v>5661</v>
      </c>
      <c r="G6949" s="380" t="s">
        <v>1267</v>
      </c>
      <c r="H6949" s="380" t="s">
        <v>771</v>
      </c>
      <c r="I6949" s="380" t="s">
        <v>788</v>
      </c>
      <c r="J6949" s="380" t="s">
        <v>773</v>
      </c>
      <c r="K6949" s="381">
        <v>487320.0</v>
      </c>
      <c r="L6949" s="382">
        <v>1.0</v>
      </c>
    </row>
    <row r="6950">
      <c r="A6950" s="380" t="s">
        <v>7824</v>
      </c>
      <c r="B6950" s="380" t="str">
        <f>IFERROR(__xludf.DUMMYFUNCTION("""COMPUTED_VALUE"""),"Tornillo Rociador Motor Isx 3679037")</f>
        <v>Tornillo Rociador Motor Isx 3679037</v>
      </c>
      <c r="C6950" s="380" t="str">
        <f>IFERROR(__xludf.DUMMYFUNCTION("""COMPUTED_VALUE"""),"70002357")</f>
        <v>70002357</v>
      </c>
      <c r="D6950" s="380" t="s">
        <v>767</v>
      </c>
      <c r="E6950" s="380" t="s">
        <v>786</v>
      </c>
      <c r="F6950" s="380" t="s">
        <v>787</v>
      </c>
      <c r="G6950" s="380" t="s">
        <v>1267</v>
      </c>
      <c r="H6950" s="380" t="s">
        <v>771</v>
      </c>
      <c r="I6950" s="380" t="s">
        <v>788</v>
      </c>
      <c r="J6950" s="380" t="s">
        <v>773</v>
      </c>
      <c r="K6950" s="381">
        <v>0.0</v>
      </c>
      <c r="L6950" s="382">
        <v>1.0</v>
      </c>
    </row>
    <row r="6951">
      <c r="A6951" s="380" t="s">
        <v>7825</v>
      </c>
      <c r="B6951" s="380" t="str">
        <f>IFERROR(__xludf.DUMMYFUNCTION("""COMPUTED_VALUE"""),"Cremallera Electrica Izq KW T800 R211004")</f>
        <v>Cremallera Electrica Izq KW T800 R211004</v>
      </c>
      <c r="C6951" s="380" t="str">
        <f>IFERROR(__xludf.DUMMYFUNCTION("""COMPUTED_VALUE"""),"70002358")</f>
        <v>70002358</v>
      </c>
      <c r="D6951" s="380" t="s">
        <v>767</v>
      </c>
      <c r="E6951" s="380" t="s">
        <v>786</v>
      </c>
      <c r="F6951" s="380" t="s">
        <v>792</v>
      </c>
      <c r="G6951" s="380" t="s">
        <v>1267</v>
      </c>
      <c r="H6951" s="380" t="s">
        <v>771</v>
      </c>
      <c r="I6951" s="380" t="s">
        <v>788</v>
      </c>
      <c r="J6951" s="380" t="s">
        <v>773</v>
      </c>
      <c r="K6951" s="381">
        <v>0.0</v>
      </c>
      <c r="L6951" s="382">
        <v>1.0</v>
      </c>
    </row>
    <row r="6952">
      <c r="A6952" s="380" t="s">
        <v>7826</v>
      </c>
      <c r="B6952" s="380" t="str">
        <f>IFERROR(__xludf.DUMMYFUNCTION("""COMPUTED_VALUE"""),"Disco De Freno Foton BJ5 7705946315")</f>
        <v>Disco De Freno Foton BJ5 7705946315</v>
      </c>
      <c r="C6952" s="380" t="str">
        <f>IFERROR(__xludf.DUMMYFUNCTION("""COMPUTED_VALUE"""),"70002360")</f>
        <v>70002360</v>
      </c>
      <c r="D6952" s="380" t="s">
        <v>767</v>
      </c>
      <c r="E6952" s="380" t="s">
        <v>786</v>
      </c>
      <c r="F6952" s="380" t="s">
        <v>1017</v>
      </c>
      <c r="G6952" s="380" t="s">
        <v>1267</v>
      </c>
      <c r="H6952" s="380" t="s">
        <v>771</v>
      </c>
      <c r="I6952" s="380" t="s">
        <v>788</v>
      </c>
      <c r="J6952" s="380" t="s">
        <v>773</v>
      </c>
      <c r="K6952" s="381">
        <v>0.0</v>
      </c>
      <c r="L6952" s="382">
        <v>1.0</v>
      </c>
    </row>
    <row r="6953">
      <c r="A6953" s="380" t="s">
        <v>7827</v>
      </c>
      <c r="B6953" s="380" t="str">
        <f>IFERROR(__xludf.DUMMYFUNCTION("""COMPUTED_VALUE"""),"Cabrilla Direccion Nkr III E 8974125561")</f>
        <v>Cabrilla Direccion Nkr III E 8974125561</v>
      </c>
      <c r="C6953" s="380" t="str">
        <f>IFERROR(__xludf.DUMMYFUNCTION("""COMPUTED_VALUE"""),"70002361")</f>
        <v>70002361</v>
      </c>
      <c r="D6953" s="380" t="s">
        <v>767</v>
      </c>
      <c r="E6953" s="380" t="s">
        <v>786</v>
      </c>
      <c r="F6953" s="380" t="s">
        <v>1020</v>
      </c>
      <c r="G6953" s="380" t="s">
        <v>1267</v>
      </c>
      <c r="H6953" s="380" t="s">
        <v>771</v>
      </c>
      <c r="I6953" s="380" t="s">
        <v>788</v>
      </c>
      <c r="J6953" s="380" t="s">
        <v>773</v>
      </c>
      <c r="K6953" s="381">
        <v>0.0</v>
      </c>
      <c r="L6953" s="382">
        <v>1.0</v>
      </c>
    </row>
    <row r="6954">
      <c r="A6954" s="380" t="s">
        <v>7828</v>
      </c>
      <c r="B6954" s="380" t="str">
        <f>IFERROR(__xludf.DUMMYFUNCTION("""COMPUTED_VALUE"""),"Pin Eje De Salida Eagle 9400 1229W413")</f>
        <v>Pin Eje De Salida Eagle 9400 1229W413</v>
      </c>
      <c r="C6954" s="380" t="str">
        <f>IFERROR(__xludf.DUMMYFUNCTION("""COMPUTED_VALUE"""),"70002362")</f>
        <v>70002362</v>
      </c>
      <c r="D6954" s="380" t="s">
        <v>767</v>
      </c>
      <c r="E6954" s="380" t="s">
        <v>786</v>
      </c>
      <c r="F6954" s="380" t="s">
        <v>5683</v>
      </c>
      <c r="G6954" s="380" t="s">
        <v>1267</v>
      </c>
      <c r="H6954" s="380" t="s">
        <v>771</v>
      </c>
      <c r="I6954" s="380" t="s">
        <v>788</v>
      </c>
      <c r="J6954" s="380" t="s">
        <v>773</v>
      </c>
      <c r="K6954" s="381">
        <v>0.0</v>
      </c>
      <c r="L6954" s="382">
        <v>1.0</v>
      </c>
    </row>
    <row r="6955">
      <c r="A6955" s="380" t="s">
        <v>7829</v>
      </c>
      <c r="B6955" s="380" t="str">
        <f>IFERROR(__xludf.DUMMYFUNCTION("""COMPUTED_VALUE"""),"Pin De Rodillo Eje Salida Eagle1229P2590")</f>
        <v>Pin De Rodillo Eje Salida Eagle1229P2590</v>
      </c>
      <c r="C6955" s="380" t="str">
        <f>IFERROR(__xludf.DUMMYFUNCTION("""COMPUTED_VALUE"""),"70002363")</f>
        <v>70002363</v>
      </c>
      <c r="D6955" s="380" t="s">
        <v>767</v>
      </c>
      <c r="E6955" s="380" t="s">
        <v>786</v>
      </c>
      <c r="F6955" s="380" t="s">
        <v>5683</v>
      </c>
      <c r="G6955" s="380" t="s">
        <v>1267</v>
      </c>
      <c r="H6955" s="380" t="s">
        <v>771</v>
      </c>
      <c r="I6955" s="380" t="s">
        <v>788</v>
      </c>
      <c r="J6955" s="380" t="s">
        <v>773</v>
      </c>
      <c r="K6955" s="381">
        <v>0.0</v>
      </c>
      <c r="L6955" s="382">
        <v>1.0</v>
      </c>
    </row>
    <row r="6956">
      <c r="A6956" s="380" t="s">
        <v>7830</v>
      </c>
      <c r="B6956" s="380" t="str">
        <f>IFERROR(__xludf.DUMMYFUNCTION("""COMPUTED_VALUE"""),"Eje De Salida Divisor Eagle 3297V1010")</f>
        <v>Eje De Salida Divisor Eagle 3297V1010</v>
      </c>
      <c r="C6956" s="380" t="str">
        <f>IFERROR(__xludf.DUMMYFUNCTION("""COMPUTED_VALUE"""),"70002364")</f>
        <v>70002364</v>
      </c>
      <c r="D6956" s="380" t="s">
        <v>767</v>
      </c>
      <c r="E6956" s="380" t="s">
        <v>786</v>
      </c>
      <c r="F6956" s="380" t="s">
        <v>5683</v>
      </c>
      <c r="G6956" s="380" t="s">
        <v>1267</v>
      </c>
      <c r="H6956" s="380" t="s">
        <v>771</v>
      </c>
      <c r="I6956" s="380" t="s">
        <v>788</v>
      </c>
      <c r="J6956" s="380" t="s">
        <v>773</v>
      </c>
      <c r="K6956" s="381">
        <v>0.0</v>
      </c>
      <c r="L6956" s="382">
        <v>1.0</v>
      </c>
    </row>
    <row r="6957">
      <c r="A6957" s="380" t="s">
        <v>7831</v>
      </c>
      <c r="B6957" s="380" t="str">
        <f>IFERROR(__xludf.DUMMYFUNCTION("""COMPUTED_VALUE"""),"Empaq Turbo Cargad Nkr Reward 8944336050")</f>
        <v>Empaq Turbo Cargad Nkr Reward 8944336050</v>
      </c>
      <c r="C6957" s="380" t="str">
        <f>IFERROR(__xludf.DUMMYFUNCTION("""COMPUTED_VALUE"""),"70002365")</f>
        <v>70002365</v>
      </c>
      <c r="D6957" s="380" t="s">
        <v>767</v>
      </c>
      <c r="E6957" s="380" t="s">
        <v>786</v>
      </c>
      <c r="F6957" s="380" t="s">
        <v>787</v>
      </c>
      <c r="G6957" s="380" t="s">
        <v>1267</v>
      </c>
      <c r="H6957" s="380" t="s">
        <v>771</v>
      </c>
      <c r="I6957" s="380" t="s">
        <v>788</v>
      </c>
      <c r="J6957" s="380" t="s">
        <v>773</v>
      </c>
      <c r="K6957" s="381">
        <v>0.0</v>
      </c>
      <c r="L6957" s="382">
        <v>1.0</v>
      </c>
    </row>
    <row r="6958">
      <c r="A6958" s="380" t="s">
        <v>7832</v>
      </c>
      <c r="B6958" s="380" t="str">
        <f>IFERROR(__xludf.DUMMYFUNCTION("""COMPUTED_VALUE"""),"Abrazadera Cremallera 52")</f>
        <v>Abrazadera Cremallera 52</v>
      </c>
      <c r="C6958" s="380" t="str">
        <f>IFERROR(__xludf.DUMMYFUNCTION("""COMPUTED_VALUE"""),"70002366")</f>
        <v>70002366</v>
      </c>
      <c r="D6958" s="380" t="s">
        <v>767</v>
      </c>
      <c r="E6958" s="380" t="s">
        <v>786</v>
      </c>
      <c r="F6958" s="380" t="s">
        <v>989</v>
      </c>
      <c r="G6958" s="380" t="s">
        <v>1267</v>
      </c>
      <c r="H6958" s="380" t="s">
        <v>771</v>
      </c>
      <c r="I6958" s="380" t="s">
        <v>788</v>
      </c>
      <c r="J6958" s="380" t="s">
        <v>773</v>
      </c>
      <c r="K6958" s="381">
        <v>0.0</v>
      </c>
      <c r="L6958" s="382">
        <v>1.0</v>
      </c>
    </row>
    <row r="6959">
      <c r="A6959" s="380" t="s">
        <v>7833</v>
      </c>
      <c r="B6959" s="380" t="str">
        <f>IFERROR(__xludf.DUMMYFUNCTION("""COMPUTED_VALUE"""),"Balinera Puerta Trailer 6202ZZ 6202 LLU")</f>
        <v>Balinera Puerta Trailer 6202ZZ 6202 LLU</v>
      </c>
      <c r="C6959" s="380" t="str">
        <f>IFERROR(__xludf.DUMMYFUNCTION("""COMPUTED_VALUE"""),"70002367")</f>
        <v>70002367</v>
      </c>
      <c r="D6959" s="380" t="s">
        <v>767</v>
      </c>
      <c r="E6959" s="380" t="s">
        <v>786</v>
      </c>
      <c r="F6959" s="380" t="s">
        <v>792</v>
      </c>
      <c r="G6959" s="380" t="s">
        <v>1267</v>
      </c>
      <c r="H6959" s="380" t="s">
        <v>771</v>
      </c>
      <c r="I6959" s="380" t="s">
        <v>788</v>
      </c>
      <c r="J6959" s="380" t="s">
        <v>773</v>
      </c>
      <c r="K6959" s="381">
        <v>6756.0</v>
      </c>
      <c r="L6959" s="382">
        <v>1.0</v>
      </c>
    </row>
    <row r="6960">
      <c r="A6960" s="380" t="s">
        <v>7834</v>
      </c>
      <c r="B6960" s="380" t="str">
        <f>IFERROR(__xludf.DUMMYFUNCTION("""COMPUTED_VALUE"""),"Rache Tras Estria Gruesa SB 47001")</f>
        <v>Rache Tras Estria Gruesa SB 47001</v>
      </c>
      <c r="C6960" s="380" t="str">
        <f>IFERROR(__xludf.DUMMYFUNCTION("""COMPUTED_VALUE"""),"70002368")</f>
        <v>70002368</v>
      </c>
      <c r="D6960" s="380" t="s">
        <v>767</v>
      </c>
      <c r="E6960" s="380" t="s">
        <v>786</v>
      </c>
      <c r="F6960" s="380" t="s">
        <v>1017</v>
      </c>
      <c r="G6960" s="380" t="s">
        <v>1267</v>
      </c>
      <c r="H6960" s="380" t="s">
        <v>771</v>
      </c>
      <c r="I6960" s="380" t="s">
        <v>788</v>
      </c>
      <c r="J6960" s="380" t="s">
        <v>773</v>
      </c>
      <c r="K6960" s="381">
        <v>52009.0</v>
      </c>
      <c r="L6960" s="382">
        <v>1.0</v>
      </c>
    </row>
    <row r="6961">
      <c r="A6961" s="380" t="s">
        <v>7835</v>
      </c>
      <c r="B6961" s="380" t="str">
        <f>IFERROR(__xludf.DUMMYFUNCTION("""COMPUTED_VALUE"""),"Bomper Central Prostar 3720614C2")</f>
        <v>Bomper Central Prostar 3720614C2</v>
      </c>
      <c r="C6961" s="380" t="str">
        <f>IFERROR(__xludf.DUMMYFUNCTION("""COMPUTED_VALUE"""),"70002369")</f>
        <v>70002369</v>
      </c>
      <c r="D6961" s="380" t="s">
        <v>767</v>
      </c>
      <c r="E6961" s="380" t="s">
        <v>786</v>
      </c>
      <c r="F6961" s="380" t="s">
        <v>792</v>
      </c>
      <c r="G6961" s="380" t="s">
        <v>1267</v>
      </c>
      <c r="H6961" s="380" t="s">
        <v>771</v>
      </c>
      <c r="I6961" s="380" t="s">
        <v>788</v>
      </c>
      <c r="J6961" s="380" t="s">
        <v>773</v>
      </c>
      <c r="K6961" s="381">
        <v>0.0</v>
      </c>
      <c r="L6961" s="382">
        <v>1.0</v>
      </c>
    </row>
    <row r="6962">
      <c r="A6962" s="380" t="s">
        <v>7836</v>
      </c>
      <c r="B6962" s="380" t="str">
        <f>IFERROR(__xludf.DUMMYFUNCTION("""COMPUTED_VALUE"""),"Espiga Botella Carda 7 1/2 Eagle 6540191")</f>
        <v>Espiga Botella Carda 7 1/2 Eagle 6540191</v>
      </c>
      <c r="C6962" s="380" t="str">
        <f>IFERROR(__xludf.DUMMYFUNCTION("""COMPUTED_VALUE"""),"70002370")</f>
        <v>70002370</v>
      </c>
      <c r="D6962" s="380" t="s">
        <v>767</v>
      </c>
      <c r="E6962" s="380" t="s">
        <v>786</v>
      </c>
      <c r="F6962" s="380" t="s">
        <v>5683</v>
      </c>
      <c r="G6962" s="380" t="s">
        <v>1267</v>
      </c>
      <c r="H6962" s="380" t="s">
        <v>771</v>
      </c>
      <c r="I6962" s="380" t="s">
        <v>788</v>
      </c>
      <c r="J6962" s="380" t="s">
        <v>773</v>
      </c>
      <c r="K6962" s="381">
        <v>0.0</v>
      </c>
      <c r="L6962" s="382">
        <v>1.0</v>
      </c>
    </row>
    <row r="6963">
      <c r="A6963" s="380" t="s">
        <v>7837</v>
      </c>
      <c r="B6963" s="380" t="str">
        <f>IFERROR(__xludf.DUMMYFUNCTION("""COMPUTED_VALUE"""),"Rache Tras Estria Menuda Sb-Hi 44051-28")</f>
        <v>Rache Tras Estria Menuda Sb-Hi 44051-28</v>
      </c>
      <c r="C6963" s="380" t="str">
        <f>IFERROR(__xludf.DUMMYFUNCTION("""COMPUTED_VALUE"""),"70002371")</f>
        <v>70002371</v>
      </c>
      <c r="D6963" s="380" t="s">
        <v>767</v>
      </c>
      <c r="E6963" s="380" t="s">
        <v>786</v>
      </c>
      <c r="F6963" s="380" t="s">
        <v>1017</v>
      </c>
      <c r="G6963" s="380" t="s">
        <v>1267</v>
      </c>
      <c r="H6963" s="380" t="s">
        <v>771</v>
      </c>
      <c r="I6963" s="380" t="s">
        <v>788</v>
      </c>
      <c r="J6963" s="380" t="s">
        <v>773</v>
      </c>
      <c r="K6963" s="381">
        <v>45921.0</v>
      </c>
      <c r="L6963" s="382">
        <v>1.0</v>
      </c>
    </row>
    <row r="6964">
      <c r="A6964" s="380" t="s">
        <v>7838</v>
      </c>
      <c r="B6964" s="380" t="str">
        <f>IFERROR(__xludf.DUMMYFUNCTION("""COMPUTED_VALUE"""),"Valvula Niveladora Trailer Inca 9005400")</f>
        <v>Valvula Niveladora Trailer Inca 9005400</v>
      </c>
      <c r="C6964" s="380" t="str">
        <f>IFERROR(__xludf.DUMMYFUNCTION("""COMPUTED_VALUE"""),"70002372")</f>
        <v>70002372</v>
      </c>
      <c r="D6964" s="380" t="s">
        <v>767</v>
      </c>
      <c r="E6964" s="380" t="s">
        <v>786</v>
      </c>
      <c r="F6964" s="380" t="s">
        <v>1039</v>
      </c>
      <c r="G6964" s="380" t="s">
        <v>1267</v>
      </c>
      <c r="H6964" s="380" t="s">
        <v>771</v>
      </c>
      <c r="I6964" s="380" t="s">
        <v>788</v>
      </c>
      <c r="J6964" s="380" t="s">
        <v>773</v>
      </c>
      <c r="K6964" s="381">
        <v>0.0</v>
      </c>
      <c r="L6964" s="382">
        <v>1.0</v>
      </c>
    </row>
    <row r="6965">
      <c r="A6965" s="380" t="s">
        <v>7839</v>
      </c>
      <c r="B6965" s="380" t="str">
        <f>IFERROR(__xludf.DUMMYFUNCTION("""COMPUTED_VALUE"""),"Puntera Bomper Derecha Prostar 3720618C2")</f>
        <v>Puntera Bomper Derecha Prostar 3720618C2</v>
      </c>
      <c r="C6965" s="380" t="str">
        <f>IFERROR(__xludf.DUMMYFUNCTION("""COMPUTED_VALUE"""),"70002373")</f>
        <v>70002373</v>
      </c>
      <c r="D6965" s="380" t="s">
        <v>767</v>
      </c>
      <c r="E6965" s="380" t="s">
        <v>786</v>
      </c>
      <c r="F6965" s="380" t="s">
        <v>792</v>
      </c>
      <c r="G6965" s="380" t="s">
        <v>1267</v>
      </c>
      <c r="H6965" s="380" t="s">
        <v>771</v>
      </c>
      <c r="I6965" s="380" t="s">
        <v>788</v>
      </c>
      <c r="J6965" s="380" t="s">
        <v>773</v>
      </c>
      <c r="K6965" s="381">
        <v>0.0</v>
      </c>
      <c r="L6965" s="382">
        <v>1.0</v>
      </c>
    </row>
    <row r="6966">
      <c r="A6966" s="380" t="s">
        <v>7840</v>
      </c>
      <c r="B6966" s="380" t="str">
        <f>IFERROR(__xludf.DUMMYFUNCTION("""COMPUTED_VALUE"""),"Camara De Freno Tras Cargo Wolkswa24-20C")</f>
        <v>Camara De Freno Tras Cargo Wolkswa24-20C</v>
      </c>
      <c r="C6966" s="380" t="str">
        <f>IFERROR(__xludf.DUMMYFUNCTION("""COMPUTED_VALUE"""),"70002374")</f>
        <v>70002374</v>
      </c>
      <c r="D6966" s="380" t="s">
        <v>767</v>
      </c>
      <c r="E6966" s="380" t="s">
        <v>786</v>
      </c>
      <c r="F6966" s="380" t="s">
        <v>1017</v>
      </c>
      <c r="G6966" s="380" t="s">
        <v>1267</v>
      </c>
      <c r="H6966" s="380" t="s">
        <v>771</v>
      </c>
      <c r="I6966" s="380" t="s">
        <v>788</v>
      </c>
      <c r="J6966" s="380" t="s">
        <v>773</v>
      </c>
      <c r="K6966" s="381">
        <v>0.0</v>
      </c>
      <c r="L6966" s="382">
        <v>1.0</v>
      </c>
    </row>
    <row r="6967">
      <c r="A6967" s="380" t="s">
        <v>7841</v>
      </c>
      <c r="B6967" s="380" t="str">
        <f>IFERROR(__xludf.DUMMYFUNCTION("""COMPUTED_VALUE"""),"Racor Tapon 540 3/8""")</f>
        <v>Racor Tapon 540 3/8"</v>
      </c>
      <c r="C6967" s="380" t="str">
        <f>IFERROR(__xludf.DUMMYFUNCTION("""COMPUTED_VALUE"""),"70002375")</f>
        <v>70002375</v>
      </c>
      <c r="D6967" s="380" t="s">
        <v>767</v>
      </c>
      <c r="E6967" s="380" t="s">
        <v>786</v>
      </c>
      <c r="F6967" s="380" t="s">
        <v>989</v>
      </c>
      <c r="G6967" s="380" t="s">
        <v>1267</v>
      </c>
      <c r="H6967" s="380" t="s">
        <v>771</v>
      </c>
      <c r="I6967" s="380" t="s">
        <v>788</v>
      </c>
      <c r="J6967" s="380" t="s">
        <v>773</v>
      </c>
      <c r="K6967" s="381">
        <v>0.0</v>
      </c>
      <c r="L6967" s="382">
        <v>1.0</v>
      </c>
    </row>
    <row r="6968">
      <c r="A6968" s="380" t="s">
        <v>7842</v>
      </c>
      <c r="B6968" s="380" t="str">
        <f>IFERROR(__xludf.DUMMYFUNCTION("""COMPUTED_VALUE"""),"Inyector Hino 23670-79027")</f>
        <v>Inyector Hino 23670-79027</v>
      </c>
      <c r="C6968" s="380" t="str">
        <f>IFERROR(__xludf.DUMMYFUNCTION("""COMPUTED_VALUE"""),"70002376")</f>
        <v>70002376</v>
      </c>
      <c r="D6968" s="380" t="s">
        <v>767</v>
      </c>
      <c r="E6968" s="380" t="s">
        <v>786</v>
      </c>
      <c r="F6968" s="380" t="s">
        <v>787</v>
      </c>
      <c r="G6968" s="380" t="s">
        <v>1267</v>
      </c>
      <c r="H6968" s="380" t="s">
        <v>771</v>
      </c>
      <c r="I6968" s="380" t="s">
        <v>788</v>
      </c>
      <c r="J6968" s="380" t="s">
        <v>773</v>
      </c>
      <c r="K6968" s="381">
        <v>0.0</v>
      </c>
      <c r="L6968" s="382">
        <v>1.0</v>
      </c>
    </row>
    <row r="6969">
      <c r="A6969" s="380" t="s">
        <v>7843</v>
      </c>
      <c r="B6969" s="380" t="str">
        <f>IFERROR(__xludf.DUMMYFUNCTION("""COMPUTED_VALUE"""),"Racor Tapon 540 1/4""")</f>
        <v>Racor Tapon 540 1/4"</v>
      </c>
      <c r="C6969" s="380" t="str">
        <f>IFERROR(__xludf.DUMMYFUNCTION("""COMPUTED_VALUE"""),"70002377")</f>
        <v>70002377</v>
      </c>
      <c r="D6969" s="380" t="s">
        <v>767</v>
      </c>
      <c r="E6969" s="380" t="s">
        <v>786</v>
      </c>
      <c r="F6969" s="380" t="s">
        <v>989</v>
      </c>
      <c r="G6969" s="380" t="s">
        <v>1267</v>
      </c>
      <c r="H6969" s="380" t="s">
        <v>771</v>
      </c>
      <c r="I6969" s="380" t="s">
        <v>788</v>
      </c>
      <c r="J6969" s="380" t="s">
        <v>773</v>
      </c>
      <c r="K6969" s="381">
        <v>0.0</v>
      </c>
      <c r="L6969" s="382">
        <v>1.0</v>
      </c>
    </row>
    <row r="6970">
      <c r="A6970" s="380" t="s">
        <v>7844</v>
      </c>
      <c r="B6970" s="380" t="str">
        <f>IFERROR(__xludf.DUMMYFUNCTION("""COMPUTED_VALUE"""),"Racor Union Rapido 3/8""")</f>
        <v>Racor Union Rapido 3/8"</v>
      </c>
      <c r="C6970" s="380" t="str">
        <f>IFERROR(__xludf.DUMMYFUNCTION("""COMPUTED_VALUE"""),"70002378")</f>
        <v>70002378</v>
      </c>
      <c r="D6970" s="380" t="s">
        <v>767</v>
      </c>
      <c r="E6970" s="380" t="s">
        <v>786</v>
      </c>
      <c r="F6970" s="380" t="s">
        <v>989</v>
      </c>
      <c r="G6970" s="380" t="s">
        <v>1267</v>
      </c>
      <c r="H6970" s="380" t="s">
        <v>771</v>
      </c>
      <c r="I6970" s="380" t="s">
        <v>788</v>
      </c>
      <c r="J6970" s="380" t="s">
        <v>773</v>
      </c>
      <c r="K6970" s="381">
        <v>0.0</v>
      </c>
      <c r="L6970" s="382">
        <v>1.0</v>
      </c>
    </row>
    <row r="6971">
      <c r="A6971" s="380" t="s">
        <v>7845</v>
      </c>
      <c r="B6971" s="380" t="str">
        <f>IFERROR(__xludf.DUMMYFUNCTION("""COMPUTED_VALUE"""),"Perno Mixto Generico 5/8 X 4 1/2")</f>
        <v>Perno Mixto Generico 5/8 X 4 1/2</v>
      </c>
      <c r="C6971" s="380" t="str">
        <f>IFERROR(__xludf.DUMMYFUNCTION("""COMPUTED_VALUE"""),"70002379")</f>
        <v>70002379</v>
      </c>
      <c r="D6971" s="380" t="s">
        <v>767</v>
      </c>
      <c r="E6971" s="380" t="s">
        <v>786</v>
      </c>
      <c r="F6971" s="380" t="s">
        <v>1039</v>
      </c>
      <c r="G6971" s="380" t="s">
        <v>1267</v>
      </c>
      <c r="H6971" s="380" t="s">
        <v>771</v>
      </c>
      <c r="I6971" s="380" t="s">
        <v>788</v>
      </c>
      <c r="J6971" s="380" t="s">
        <v>773</v>
      </c>
      <c r="K6971" s="381">
        <v>0.0</v>
      </c>
      <c r="L6971" s="382">
        <v>1.0</v>
      </c>
    </row>
    <row r="6972">
      <c r="A6972" s="380" t="s">
        <v>7846</v>
      </c>
      <c r="B6972" s="380" t="str">
        <f>IFERROR(__xludf.DUMMYFUNCTION("""COMPUTED_VALUE"""),"Filtro Aceite Renault Master 152093920R")</f>
        <v>Filtro Aceite Renault Master 152093920R</v>
      </c>
      <c r="C6972" s="380" t="str">
        <f>IFERROR(__xludf.DUMMYFUNCTION("""COMPUTED_VALUE"""),"70002380")</f>
        <v>70002380</v>
      </c>
      <c r="D6972" s="380" t="s">
        <v>767</v>
      </c>
      <c r="E6972" s="380" t="s">
        <v>786</v>
      </c>
      <c r="F6972" s="380" t="s">
        <v>5855</v>
      </c>
      <c r="G6972" s="380" t="s">
        <v>1267</v>
      </c>
      <c r="H6972" s="380" t="s">
        <v>771</v>
      </c>
      <c r="I6972" s="380" t="s">
        <v>788</v>
      </c>
      <c r="J6972" s="380" t="s">
        <v>773</v>
      </c>
      <c r="K6972" s="381">
        <v>0.0</v>
      </c>
      <c r="L6972" s="382">
        <v>1.0</v>
      </c>
    </row>
    <row r="6973">
      <c r="A6973" s="380" t="s">
        <v>7847</v>
      </c>
      <c r="B6973" s="380" t="str">
        <f>IFERROR(__xludf.DUMMYFUNCTION("""COMPUTED_VALUE"""),"Filtro Comb Renault Master 164039587R")</f>
        <v>Filtro Comb Renault Master 164039587R</v>
      </c>
      <c r="C6973" s="380" t="str">
        <f>IFERROR(__xludf.DUMMYFUNCTION("""COMPUTED_VALUE"""),"70002381")</f>
        <v>70002381</v>
      </c>
      <c r="D6973" s="380" t="s">
        <v>767</v>
      </c>
      <c r="E6973" s="380" t="s">
        <v>786</v>
      </c>
      <c r="F6973" s="380" t="s">
        <v>5855</v>
      </c>
      <c r="G6973" s="380" t="s">
        <v>1267</v>
      </c>
      <c r="H6973" s="380" t="s">
        <v>771</v>
      </c>
      <c r="I6973" s="380" t="s">
        <v>788</v>
      </c>
      <c r="J6973" s="380" t="s">
        <v>773</v>
      </c>
      <c r="K6973" s="381">
        <v>0.0</v>
      </c>
      <c r="L6973" s="382">
        <v>1.0</v>
      </c>
    </row>
    <row r="6974">
      <c r="A6974" s="380" t="s">
        <v>7848</v>
      </c>
      <c r="B6974" s="380" t="str">
        <f>IFERROR(__xludf.DUMMYFUNCTION("""COMPUTED_VALUE"""),"Filtro Aire Renault Master 165465171R")</f>
        <v>Filtro Aire Renault Master 165465171R</v>
      </c>
      <c r="C6974" s="380" t="str">
        <f>IFERROR(__xludf.DUMMYFUNCTION("""COMPUTED_VALUE"""),"70002382")</f>
        <v>70002382</v>
      </c>
      <c r="D6974" s="380" t="s">
        <v>767</v>
      </c>
      <c r="E6974" s="380" t="s">
        <v>786</v>
      </c>
      <c r="F6974" s="380" t="s">
        <v>5855</v>
      </c>
      <c r="G6974" s="380" t="s">
        <v>1267</v>
      </c>
      <c r="H6974" s="380" t="s">
        <v>771</v>
      </c>
      <c r="I6974" s="380" t="s">
        <v>788</v>
      </c>
      <c r="J6974" s="380" t="s">
        <v>773</v>
      </c>
      <c r="K6974" s="381">
        <v>158428.0</v>
      </c>
      <c r="L6974" s="382">
        <v>1.0</v>
      </c>
    </row>
    <row r="6975">
      <c r="A6975" s="380" t="s">
        <v>7849</v>
      </c>
      <c r="B6975" s="380" t="str">
        <f>IFERROR(__xludf.DUMMYFUNCTION("""COMPUTED_VALUE"""),"Racor Union Rapido De 1/2""")</f>
        <v>Racor Union Rapido De 1/2"</v>
      </c>
      <c r="C6975" s="380" t="str">
        <f>IFERROR(__xludf.DUMMYFUNCTION("""COMPUTED_VALUE"""),"70002383")</f>
        <v>70002383</v>
      </c>
      <c r="D6975" s="380" t="s">
        <v>767</v>
      </c>
      <c r="E6975" s="380" t="s">
        <v>786</v>
      </c>
      <c r="F6975" s="380" t="s">
        <v>989</v>
      </c>
      <c r="G6975" s="380" t="s">
        <v>1267</v>
      </c>
      <c r="H6975" s="380" t="s">
        <v>771</v>
      </c>
      <c r="I6975" s="380" t="s">
        <v>788</v>
      </c>
      <c r="J6975" s="380" t="s">
        <v>773</v>
      </c>
      <c r="K6975" s="381">
        <v>0.0</v>
      </c>
      <c r="L6975" s="382">
        <v>1.0</v>
      </c>
    </row>
    <row r="6976">
      <c r="A6976" s="380" t="s">
        <v>7850</v>
      </c>
      <c r="B6976" s="380" t="str">
        <f>IFERROR(__xludf.DUMMYFUNCTION("""COMPUTED_VALUE"""),"Pivote Embrague Nkr Reward 8972553841")</f>
        <v>Pivote Embrague Nkr Reward 8972553841</v>
      </c>
      <c r="C6976" s="380" t="str">
        <f>IFERROR(__xludf.DUMMYFUNCTION("""COMPUTED_VALUE"""),"70002384")</f>
        <v>70002384</v>
      </c>
      <c r="D6976" s="380" t="s">
        <v>767</v>
      </c>
      <c r="E6976" s="380" t="s">
        <v>786</v>
      </c>
      <c r="F6976" s="380" t="s">
        <v>5661</v>
      </c>
      <c r="G6976" s="380" t="s">
        <v>1267</v>
      </c>
      <c r="H6976" s="380" t="s">
        <v>771</v>
      </c>
      <c r="I6976" s="380" t="s">
        <v>788</v>
      </c>
      <c r="J6976" s="380" t="s">
        <v>773</v>
      </c>
      <c r="K6976" s="381">
        <v>0.0</v>
      </c>
      <c r="L6976" s="382">
        <v>1.0</v>
      </c>
    </row>
    <row r="6977">
      <c r="A6977" s="380" t="s">
        <v>7851</v>
      </c>
      <c r="B6977" s="380" t="str">
        <f>IFERROR(__xludf.DUMMYFUNCTION("""COMPUTED_VALUE"""),"Racor Union Rapido De 1/4""")</f>
        <v>Racor Union Rapido De 1/4"</v>
      </c>
      <c r="C6977" s="380" t="str">
        <f>IFERROR(__xludf.DUMMYFUNCTION("""COMPUTED_VALUE"""),"70002385")</f>
        <v>70002385</v>
      </c>
      <c r="D6977" s="380" t="s">
        <v>767</v>
      </c>
      <c r="E6977" s="380" t="s">
        <v>786</v>
      </c>
      <c r="F6977" s="380" t="s">
        <v>989</v>
      </c>
      <c r="G6977" s="380" t="s">
        <v>1267</v>
      </c>
      <c r="H6977" s="380" t="s">
        <v>771</v>
      </c>
      <c r="I6977" s="380" t="s">
        <v>788</v>
      </c>
      <c r="J6977" s="380" t="s">
        <v>773</v>
      </c>
      <c r="K6977" s="381">
        <v>0.0</v>
      </c>
      <c r="L6977" s="382">
        <v>1.0</v>
      </c>
    </row>
    <row r="6978">
      <c r="A6978" s="380" t="s">
        <v>7852</v>
      </c>
      <c r="B6978" s="380" t="str">
        <f>IFERROR(__xludf.DUMMYFUNCTION("""COMPUTED_VALUE"""),"Biela Piston Motor Nhr S Turbo8980126072")</f>
        <v>Biela Piston Motor Nhr S Turbo8980126072</v>
      </c>
      <c r="C6978" s="380" t="str">
        <f>IFERROR(__xludf.DUMMYFUNCTION("""COMPUTED_VALUE"""),"70002386")</f>
        <v>70002386</v>
      </c>
      <c r="D6978" s="380" t="s">
        <v>767</v>
      </c>
      <c r="E6978" s="380" t="s">
        <v>786</v>
      </c>
      <c r="F6978" s="380" t="s">
        <v>787</v>
      </c>
      <c r="G6978" s="380" t="s">
        <v>1267</v>
      </c>
      <c r="H6978" s="380" t="s">
        <v>771</v>
      </c>
      <c r="I6978" s="380" t="s">
        <v>788</v>
      </c>
      <c r="J6978" s="380" t="s">
        <v>773</v>
      </c>
      <c r="K6978" s="381">
        <v>0.0</v>
      </c>
      <c r="L6978" s="382">
        <v>1.0</v>
      </c>
    </row>
    <row r="6979">
      <c r="A6979" s="380" t="s">
        <v>7853</v>
      </c>
      <c r="B6979" s="380" t="str">
        <f>IFERROR(__xludf.DUMMYFUNCTION("""COMPUTED_VALUE"""),"Interrup Lampara Luz Freno FTR8980108570")</f>
        <v>Interrup Lampara Luz Freno FTR8980108570</v>
      </c>
      <c r="C6979" s="380" t="str">
        <f>IFERROR(__xludf.DUMMYFUNCTION("""COMPUTED_VALUE"""),"70002387")</f>
        <v>70002387</v>
      </c>
      <c r="D6979" s="380" t="s">
        <v>767</v>
      </c>
      <c r="E6979" s="380" t="s">
        <v>786</v>
      </c>
      <c r="F6979" s="380" t="s">
        <v>998</v>
      </c>
      <c r="G6979" s="380" t="s">
        <v>1267</v>
      </c>
      <c r="H6979" s="380" t="s">
        <v>771</v>
      </c>
      <c r="I6979" s="380" t="s">
        <v>788</v>
      </c>
      <c r="J6979" s="380" t="s">
        <v>773</v>
      </c>
      <c r="K6979" s="381">
        <v>0.0</v>
      </c>
      <c r="L6979" s="382">
        <v>1.0</v>
      </c>
    </row>
    <row r="6980">
      <c r="A6980" s="380" t="s">
        <v>7854</v>
      </c>
      <c r="B6980" s="380" t="str">
        <f>IFERROR(__xludf.DUMMYFUNCTION("""COMPUTED_VALUE"""),"Cilind Freno Del Der C P Hino 47510EV100")</f>
        <v>Cilind Freno Del Der C P Hino 47510EV100</v>
      </c>
      <c r="C6980" s="380" t="str">
        <f>IFERROR(__xludf.DUMMYFUNCTION("""COMPUTED_VALUE"""),"70002388")</f>
        <v>70002388</v>
      </c>
      <c r="D6980" s="380" t="s">
        <v>767</v>
      </c>
      <c r="E6980" s="380" t="s">
        <v>786</v>
      </c>
      <c r="F6980" s="380" t="s">
        <v>1017</v>
      </c>
      <c r="G6980" s="380" t="s">
        <v>1267</v>
      </c>
      <c r="H6980" s="380" t="s">
        <v>771</v>
      </c>
      <c r="I6980" s="380" t="s">
        <v>788</v>
      </c>
      <c r="J6980" s="380" t="s">
        <v>773</v>
      </c>
      <c r="K6980" s="381">
        <v>0.0</v>
      </c>
      <c r="L6980" s="382">
        <v>1.0</v>
      </c>
    </row>
    <row r="6981">
      <c r="A6981" s="380" t="s">
        <v>7855</v>
      </c>
      <c r="B6981" s="380" t="str">
        <f>IFERROR(__xludf.DUMMYFUNCTION("""COMPUTED_VALUE"""),"Cilind Freno Del Der S P Hino 47520EV040")</f>
        <v>Cilind Freno Del Der S P Hino 47520EV040</v>
      </c>
      <c r="C6981" s="380" t="str">
        <f>IFERROR(__xludf.DUMMYFUNCTION("""COMPUTED_VALUE"""),"70002389")</f>
        <v>70002389</v>
      </c>
      <c r="D6981" s="380" t="s">
        <v>767</v>
      </c>
      <c r="E6981" s="380" t="s">
        <v>786</v>
      </c>
      <c r="F6981" s="380" t="s">
        <v>1017</v>
      </c>
      <c r="G6981" s="380" t="s">
        <v>1267</v>
      </c>
      <c r="H6981" s="380" t="s">
        <v>771</v>
      </c>
      <c r="I6981" s="380" t="s">
        <v>788</v>
      </c>
      <c r="J6981" s="380" t="s">
        <v>773</v>
      </c>
      <c r="K6981" s="381">
        <v>0.0</v>
      </c>
      <c r="L6981" s="382">
        <v>1.0</v>
      </c>
    </row>
    <row r="6982">
      <c r="A6982" s="380" t="s">
        <v>7856</v>
      </c>
      <c r="B6982" s="380" t="str">
        <f>IFERROR(__xludf.DUMMYFUNCTION("""COMPUTED_VALUE"""),"Codo Superior Radiador KW T800 F04-6006")</f>
        <v>Codo Superior Radiador KW T800 F04-6006</v>
      </c>
      <c r="C6982" s="380" t="str">
        <f>IFERROR(__xludf.DUMMYFUNCTION("""COMPUTED_VALUE"""),"70002390")</f>
        <v>70002390</v>
      </c>
      <c r="D6982" s="380" t="s">
        <v>767</v>
      </c>
      <c r="E6982" s="380" t="s">
        <v>786</v>
      </c>
      <c r="F6982" s="380" t="s">
        <v>787</v>
      </c>
      <c r="G6982" s="380" t="s">
        <v>1267</v>
      </c>
      <c r="H6982" s="380" t="s">
        <v>771</v>
      </c>
      <c r="I6982" s="380" t="s">
        <v>788</v>
      </c>
      <c r="J6982" s="380" t="s">
        <v>773</v>
      </c>
      <c r="K6982" s="381">
        <v>0.0</v>
      </c>
      <c r="L6982" s="382">
        <v>1.0</v>
      </c>
    </row>
    <row r="6983">
      <c r="A6983" s="380" t="s">
        <v>7857</v>
      </c>
      <c r="B6983" s="380" t="str">
        <f>IFERROR(__xludf.DUMMYFUNCTION("""COMPUTED_VALUE"""),"Rejilla Plastica Bomper Prostar3720638C1")</f>
        <v>Rejilla Plastica Bomper Prostar3720638C1</v>
      </c>
      <c r="C6983" s="380" t="str">
        <f>IFERROR(__xludf.DUMMYFUNCTION("""COMPUTED_VALUE"""),"70002391")</f>
        <v>70002391</v>
      </c>
      <c r="D6983" s="380" t="s">
        <v>767</v>
      </c>
      <c r="E6983" s="380" t="s">
        <v>786</v>
      </c>
      <c r="F6983" s="380" t="s">
        <v>792</v>
      </c>
      <c r="G6983" s="380" t="s">
        <v>1267</v>
      </c>
      <c r="H6983" s="380" t="s">
        <v>771</v>
      </c>
      <c r="I6983" s="380" t="s">
        <v>788</v>
      </c>
      <c r="J6983" s="380" t="s">
        <v>773</v>
      </c>
      <c r="K6983" s="381">
        <v>0.0</v>
      </c>
      <c r="L6983" s="382">
        <v>1.0</v>
      </c>
    </row>
    <row r="6984">
      <c r="A6984" s="380" t="s">
        <v>7858</v>
      </c>
      <c r="B6984" s="380" t="str">
        <f>IFERROR(__xludf.DUMMYFUNCTION("""COMPUTED_VALUE"""),"Rodamie Tras Eje Corredizo Nkr8981897420")</f>
        <v>Rodamie Tras Eje Corredizo Nkr8981897420</v>
      </c>
      <c r="C6984" s="380" t="str">
        <f>IFERROR(__xludf.DUMMYFUNCTION("""COMPUTED_VALUE"""),"70002392")</f>
        <v>70002392</v>
      </c>
      <c r="D6984" s="380" t="s">
        <v>767</v>
      </c>
      <c r="E6984" s="380" t="s">
        <v>786</v>
      </c>
      <c r="F6984" s="380" t="s">
        <v>928</v>
      </c>
      <c r="G6984" s="380" t="s">
        <v>1267</v>
      </c>
      <c r="H6984" s="380" t="s">
        <v>771</v>
      </c>
      <c r="I6984" s="380" t="s">
        <v>788</v>
      </c>
      <c r="J6984" s="380" t="s">
        <v>773</v>
      </c>
      <c r="K6984" s="381">
        <v>158423.0</v>
      </c>
      <c r="L6984" s="382">
        <v>1.0</v>
      </c>
    </row>
    <row r="6985">
      <c r="A6985" s="380" t="s">
        <v>7859</v>
      </c>
      <c r="B6985" s="380" t="str">
        <f>IFERROR(__xludf.DUMMYFUNCTION("""COMPUTED_VALUE"""),"Rodamie Eje Corredizo Caja Nkr8981897430")</f>
        <v>Rodamie Eje Corredizo Caja Nkr8981897430</v>
      </c>
      <c r="C6985" s="380" t="str">
        <f>IFERROR(__xludf.DUMMYFUNCTION("""COMPUTED_VALUE"""),"70002393")</f>
        <v>70002393</v>
      </c>
      <c r="D6985" s="380" t="s">
        <v>767</v>
      </c>
      <c r="E6985" s="380" t="s">
        <v>786</v>
      </c>
      <c r="F6985" s="380" t="s">
        <v>928</v>
      </c>
      <c r="G6985" s="380" t="s">
        <v>1267</v>
      </c>
      <c r="H6985" s="380" t="s">
        <v>771</v>
      </c>
      <c r="I6985" s="380" t="s">
        <v>788</v>
      </c>
      <c r="J6985" s="380" t="s">
        <v>773</v>
      </c>
      <c r="K6985" s="381">
        <v>0.0</v>
      </c>
      <c r="L6985" s="382">
        <v>1.0</v>
      </c>
    </row>
    <row r="6986">
      <c r="A6986" s="380" t="s">
        <v>7860</v>
      </c>
      <c r="B6986" s="380" t="str">
        <f>IFERROR(__xludf.DUMMYFUNCTION("""COMPUTED_VALUE"""),"Balinera Del Tren Fijo Nkr 8981897450")</f>
        <v>Balinera Del Tren Fijo Nkr 8981897450</v>
      </c>
      <c r="C6986" s="380" t="str">
        <f>IFERROR(__xludf.DUMMYFUNCTION("""COMPUTED_VALUE"""),"70002394")</f>
        <v>70002394</v>
      </c>
      <c r="D6986" s="380" t="s">
        <v>767</v>
      </c>
      <c r="E6986" s="380" t="s">
        <v>786</v>
      </c>
      <c r="F6986" s="380" t="s">
        <v>928</v>
      </c>
      <c r="G6986" s="380" t="s">
        <v>1267</v>
      </c>
      <c r="H6986" s="380" t="s">
        <v>771</v>
      </c>
      <c r="I6986" s="380" t="s">
        <v>788</v>
      </c>
      <c r="J6986" s="380" t="s">
        <v>773</v>
      </c>
      <c r="K6986" s="381">
        <v>0.0</v>
      </c>
      <c r="L6986" s="382">
        <v>1.0</v>
      </c>
    </row>
    <row r="6987">
      <c r="A6987" s="380" t="s">
        <v>7861</v>
      </c>
      <c r="B6987" s="380" t="str">
        <f>IFERROR(__xludf.DUMMYFUNCTION("""COMPUTED_VALUE"""),"Anillo Sincron Baja Y 2da Nkr8981904280")</f>
        <v>Anillo Sincron Baja Y 2da Nkr8981904280</v>
      </c>
      <c r="C6987" s="380" t="str">
        <f>IFERROR(__xludf.DUMMYFUNCTION("""COMPUTED_VALUE"""),"70002395")</f>
        <v>70002395</v>
      </c>
      <c r="D6987" s="380" t="s">
        <v>767</v>
      </c>
      <c r="E6987" s="380" t="s">
        <v>786</v>
      </c>
      <c r="F6987" s="380" t="s">
        <v>928</v>
      </c>
      <c r="G6987" s="380" t="s">
        <v>1267</v>
      </c>
      <c r="H6987" s="380" t="s">
        <v>771</v>
      </c>
      <c r="I6987" s="380" t="s">
        <v>788</v>
      </c>
      <c r="J6987" s="380" t="s">
        <v>773</v>
      </c>
      <c r="K6987" s="381">
        <v>0.0</v>
      </c>
      <c r="L6987" s="382">
        <v>1.0</v>
      </c>
    </row>
    <row r="6988">
      <c r="A6988" s="380" t="s">
        <v>7862</v>
      </c>
      <c r="B6988" s="380" t="str">
        <f>IFERROR(__xludf.DUMMYFUNCTION("""COMPUTED_VALUE"""),"Kit Empaquetadura Hino SDS40100")</f>
        <v>Kit Empaquetadura Hino SDS40100</v>
      </c>
      <c r="C6988" s="380" t="str">
        <f>IFERROR(__xludf.DUMMYFUNCTION("""COMPUTED_VALUE"""),"70002396")</f>
        <v>70002396</v>
      </c>
      <c r="D6988" s="380" t="s">
        <v>767</v>
      </c>
      <c r="E6988" s="380" t="s">
        <v>786</v>
      </c>
      <c r="F6988" s="380" t="s">
        <v>787</v>
      </c>
      <c r="G6988" s="380" t="s">
        <v>1267</v>
      </c>
      <c r="H6988" s="380" t="s">
        <v>771</v>
      </c>
      <c r="I6988" s="380" t="s">
        <v>788</v>
      </c>
      <c r="J6988" s="380" t="s">
        <v>773</v>
      </c>
      <c r="K6988" s="381">
        <v>0.0</v>
      </c>
      <c r="L6988" s="382">
        <v>1.0</v>
      </c>
    </row>
    <row r="6989">
      <c r="A6989" s="380" t="s">
        <v>7863</v>
      </c>
      <c r="B6989" s="380" t="str">
        <f>IFERROR(__xludf.DUMMYFUNCTION("""COMPUTED_VALUE"""),"Pin Recibi Pta Izq/Der Hi 4300 3509094C1")</f>
        <v>Pin Recibi Pta Izq/Der Hi 4300 3509094C1</v>
      </c>
      <c r="C6989" s="380" t="str">
        <f>IFERROR(__xludf.DUMMYFUNCTION("""COMPUTED_VALUE"""),"70002397")</f>
        <v>70002397</v>
      </c>
      <c r="D6989" s="380" t="s">
        <v>767</v>
      </c>
      <c r="E6989" s="380" t="s">
        <v>786</v>
      </c>
      <c r="F6989" s="380" t="s">
        <v>792</v>
      </c>
      <c r="G6989" s="380" t="s">
        <v>1267</v>
      </c>
      <c r="H6989" s="380" t="s">
        <v>771</v>
      </c>
      <c r="I6989" s="380" t="s">
        <v>788</v>
      </c>
      <c r="J6989" s="380" t="s">
        <v>773</v>
      </c>
      <c r="K6989" s="381">
        <v>175152.0</v>
      </c>
      <c r="L6989" s="382">
        <v>1.0</v>
      </c>
    </row>
    <row r="6990">
      <c r="A6990" s="380" t="s">
        <v>7864</v>
      </c>
      <c r="B6990" s="380" t="str">
        <f>IFERROR(__xludf.DUMMYFUNCTION("""COMPUTED_VALUE"""),"Panel Frontal Hino 5571137110")</f>
        <v>Panel Frontal Hino 5571137110</v>
      </c>
      <c r="C6990" s="380" t="str">
        <f>IFERROR(__xludf.DUMMYFUNCTION("""COMPUTED_VALUE"""),"70002398")</f>
        <v>70002398</v>
      </c>
      <c r="D6990" s="380" t="s">
        <v>767</v>
      </c>
      <c r="E6990" s="380" t="s">
        <v>786</v>
      </c>
      <c r="F6990" s="380" t="s">
        <v>792</v>
      </c>
      <c r="G6990" s="380" t="s">
        <v>1267</v>
      </c>
      <c r="H6990" s="380" t="s">
        <v>771</v>
      </c>
      <c r="I6990" s="380" t="s">
        <v>788</v>
      </c>
      <c r="J6990" s="380" t="s">
        <v>773</v>
      </c>
      <c r="K6990" s="381">
        <v>0.0</v>
      </c>
      <c r="L6990" s="382">
        <v>1.0</v>
      </c>
    </row>
    <row r="6991">
      <c r="A6991" s="380" t="s">
        <v>7865</v>
      </c>
      <c r="B6991" s="380" t="str">
        <f>IFERROR(__xludf.DUMMYFUNCTION("""COMPUTED_VALUE"""),"Guia Valvula Hino S111221220")</f>
        <v>Guia Valvula Hino S111221220</v>
      </c>
      <c r="C6991" s="380" t="str">
        <f>IFERROR(__xludf.DUMMYFUNCTION("""COMPUTED_VALUE"""),"70002399")</f>
        <v>70002399</v>
      </c>
      <c r="D6991" s="380" t="s">
        <v>767</v>
      </c>
      <c r="E6991" s="380" t="s">
        <v>786</v>
      </c>
      <c r="F6991" s="380" t="s">
        <v>787</v>
      </c>
      <c r="G6991" s="380" t="s">
        <v>1267</v>
      </c>
      <c r="H6991" s="380" t="s">
        <v>771</v>
      </c>
      <c r="I6991" s="380" t="s">
        <v>788</v>
      </c>
      <c r="J6991" s="380" t="s">
        <v>773</v>
      </c>
      <c r="K6991" s="381">
        <v>0.0</v>
      </c>
      <c r="L6991" s="382">
        <v>1.0</v>
      </c>
    </row>
    <row r="6992">
      <c r="A6992" s="380" t="s">
        <v>7866</v>
      </c>
      <c r="B6992" s="380" t="str">
        <f>IFERROR(__xludf.DUMMYFUNCTION("""COMPUTED_VALUE"""),"Sello Aceite Valvula Hino S137191470")</f>
        <v>Sello Aceite Valvula Hino S137191470</v>
      </c>
      <c r="C6992" s="380" t="str">
        <f>IFERROR(__xludf.DUMMYFUNCTION("""COMPUTED_VALUE"""),"70002400")</f>
        <v>70002400</v>
      </c>
      <c r="D6992" s="380" t="s">
        <v>767</v>
      </c>
      <c r="E6992" s="380" t="s">
        <v>786</v>
      </c>
      <c r="F6992" s="380" t="s">
        <v>787</v>
      </c>
      <c r="G6992" s="380" t="s">
        <v>1267</v>
      </c>
      <c r="H6992" s="380" t="s">
        <v>771</v>
      </c>
      <c r="I6992" s="380" t="s">
        <v>788</v>
      </c>
      <c r="J6992" s="380" t="s">
        <v>773</v>
      </c>
      <c r="K6992" s="381">
        <v>0.0</v>
      </c>
      <c r="L6992" s="382">
        <v>1.0</v>
      </c>
    </row>
    <row r="6993">
      <c r="A6993" s="380" t="s">
        <v>7867</v>
      </c>
      <c r="B6993" s="380" t="str">
        <f>IFERROR(__xludf.DUMMYFUNCTION("""COMPUTED_VALUE"""),"Banda Freno Tras Foton BJ5-Vulcaniz 8124")</f>
        <v>Banda Freno Tras Foton BJ5-Vulcaniz 8124</v>
      </c>
      <c r="C6993" s="380" t="str">
        <f>IFERROR(__xludf.DUMMYFUNCTION("""COMPUTED_VALUE"""),"70002401")</f>
        <v>70002401</v>
      </c>
      <c r="D6993" s="380" t="s">
        <v>767</v>
      </c>
      <c r="E6993" s="380" t="s">
        <v>786</v>
      </c>
      <c r="F6993" s="380" t="s">
        <v>1017</v>
      </c>
      <c r="G6993" s="380" t="s">
        <v>1267</v>
      </c>
      <c r="H6993" s="380" t="s">
        <v>771</v>
      </c>
      <c r="I6993" s="380" t="s">
        <v>788</v>
      </c>
      <c r="J6993" s="380" t="s">
        <v>773</v>
      </c>
      <c r="K6993" s="381">
        <v>39039.0</v>
      </c>
      <c r="L6993" s="382">
        <v>1.0</v>
      </c>
    </row>
    <row r="6994">
      <c r="A6994" s="380" t="s">
        <v>7868</v>
      </c>
      <c r="B6994" s="380" t="str">
        <f>IFERROR(__xludf.DUMMYFUNCTION("""COMPUTED_VALUE"""),"Racor Tapon 540 1/2""")</f>
        <v>Racor Tapon 540 1/2"</v>
      </c>
      <c r="C6994" s="380" t="str">
        <f>IFERROR(__xludf.DUMMYFUNCTION("""COMPUTED_VALUE"""),"70002402")</f>
        <v>70002402</v>
      </c>
      <c r="D6994" s="380" t="s">
        <v>767</v>
      </c>
      <c r="E6994" s="380" t="s">
        <v>786</v>
      </c>
      <c r="F6994" s="380" t="s">
        <v>989</v>
      </c>
      <c r="G6994" s="380" t="s">
        <v>1267</v>
      </c>
      <c r="H6994" s="380" t="s">
        <v>771</v>
      </c>
      <c r="I6994" s="380" t="s">
        <v>788</v>
      </c>
      <c r="J6994" s="380" t="s">
        <v>773</v>
      </c>
      <c r="K6994" s="381">
        <v>0.0</v>
      </c>
      <c r="L6994" s="382">
        <v>1.0</v>
      </c>
    </row>
    <row r="6995">
      <c r="A6995" s="380" t="s">
        <v>7869</v>
      </c>
      <c r="B6995" s="380" t="str">
        <f>IFERROR(__xludf.DUMMYFUNCTION("""COMPUTED_VALUE"""),"Sopor Muelle Del Izq Nkr Rewar8980291260")</f>
        <v>Sopor Muelle Del Izq Nkr Rewar8980291260</v>
      </c>
      <c r="C6995" s="380" t="str">
        <f>IFERROR(__xludf.DUMMYFUNCTION("""COMPUTED_VALUE"""),"70002403")</f>
        <v>70002403</v>
      </c>
      <c r="D6995" s="380" t="s">
        <v>767</v>
      </c>
      <c r="E6995" s="380" t="s">
        <v>786</v>
      </c>
      <c r="F6995" s="380" t="s">
        <v>1039</v>
      </c>
      <c r="G6995" s="380" t="s">
        <v>1267</v>
      </c>
      <c r="H6995" s="380" t="s">
        <v>771</v>
      </c>
      <c r="I6995" s="380" t="s">
        <v>788</v>
      </c>
      <c r="J6995" s="380" t="s">
        <v>773</v>
      </c>
      <c r="K6995" s="381">
        <v>0.0</v>
      </c>
      <c r="L6995" s="382">
        <v>1.0</v>
      </c>
    </row>
    <row r="6996">
      <c r="A6996" s="380" t="s">
        <v>7870</v>
      </c>
      <c r="B6996" s="380" t="str">
        <f>IFERROR(__xludf.DUMMYFUNCTION("""COMPUTED_VALUE"""),"Racor Tapon 540 1/8""")</f>
        <v>Racor Tapon 540 1/8"</v>
      </c>
      <c r="C6996" s="380" t="str">
        <f>IFERROR(__xludf.DUMMYFUNCTION("""COMPUTED_VALUE"""),"70002404")</f>
        <v>70002404</v>
      </c>
      <c r="D6996" s="380" t="s">
        <v>767</v>
      </c>
      <c r="E6996" s="380" t="s">
        <v>786</v>
      </c>
      <c r="F6996" s="380" t="s">
        <v>989</v>
      </c>
      <c r="G6996" s="380" t="s">
        <v>1267</v>
      </c>
      <c r="H6996" s="380" t="s">
        <v>771</v>
      </c>
      <c r="I6996" s="380" t="s">
        <v>788</v>
      </c>
      <c r="J6996" s="380" t="s">
        <v>773</v>
      </c>
      <c r="K6996" s="381">
        <v>0.0</v>
      </c>
      <c r="L6996" s="382">
        <v>1.0</v>
      </c>
    </row>
    <row r="6997">
      <c r="A6997" s="380" t="s">
        <v>7871</v>
      </c>
      <c r="B6997" s="380" t="str">
        <f>IFERROR(__xludf.DUMMYFUNCTION("""COMPUTED_VALUE"""),"Portaleva Izq Trasera Eagle E823299P62")</f>
        <v>Portaleva Izq Trasera Eagle E823299P62</v>
      </c>
      <c r="C6997" s="380" t="str">
        <f>IFERROR(__xludf.DUMMYFUNCTION("""COMPUTED_VALUE"""),"70002405")</f>
        <v>70002405</v>
      </c>
      <c r="D6997" s="380" t="s">
        <v>767</v>
      </c>
      <c r="E6997" s="380" t="s">
        <v>786</v>
      </c>
      <c r="F6997" s="380" t="s">
        <v>1017</v>
      </c>
      <c r="G6997" s="380" t="s">
        <v>1267</v>
      </c>
      <c r="H6997" s="380" t="s">
        <v>771</v>
      </c>
      <c r="I6997" s="380" t="s">
        <v>788</v>
      </c>
      <c r="J6997" s="380" t="s">
        <v>773</v>
      </c>
      <c r="K6997" s="381">
        <v>0.0</v>
      </c>
      <c r="L6997" s="382">
        <v>1.0</v>
      </c>
    </row>
    <row r="6998">
      <c r="A6998" s="380" t="s">
        <v>7872</v>
      </c>
      <c r="B6998" s="380" t="str">
        <f>IFERROR(__xludf.DUMMYFUNCTION("""COMPUTED_VALUE"""),"Persiana O Grilla Radiador FRR8974078675")</f>
        <v>Persiana O Grilla Radiador FRR8974078675</v>
      </c>
      <c r="C6998" s="380" t="str">
        <f>IFERROR(__xludf.DUMMYFUNCTION("""COMPUTED_VALUE"""),"70002406")</f>
        <v>70002406</v>
      </c>
      <c r="D6998" s="380" t="s">
        <v>767</v>
      </c>
      <c r="E6998" s="380" t="s">
        <v>786</v>
      </c>
      <c r="F6998" s="380" t="s">
        <v>792</v>
      </c>
      <c r="G6998" s="380" t="s">
        <v>1267</v>
      </c>
      <c r="H6998" s="380" t="s">
        <v>771</v>
      </c>
      <c r="I6998" s="380" t="s">
        <v>788</v>
      </c>
      <c r="J6998" s="380" t="s">
        <v>773</v>
      </c>
      <c r="K6998" s="381">
        <v>0.0</v>
      </c>
      <c r="L6998" s="382">
        <v>1.0</v>
      </c>
    </row>
    <row r="6999">
      <c r="A6999" s="380" t="s">
        <v>7873</v>
      </c>
      <c r="B6999" s="380" t="str">
        <f>IFERROR(__xludf.DUMMYFUNCTION("""COMPUTED_VALUE"""),"Racor Recto 507 1/2 X 1/2""")</f>
        <v>Racor Recto 507 1/2 X 1/2"</v>
      </c>
      <c r="C6999" s="380" t="str">
        <f>IFERROR(__xludf.DUMMYFUNCTION("""COMPUTED_VALUE"""),"70002407")</f>
        <v>70002407</v>
      </c>
      <c r="D6999" s="380" t="s">
        <v>767</v>
      </c>
      <c r="E6999" s="380" t="s">
        <v>786</v>
      </c>
      <c r="F6999" s="380" t="s">
        <v>989</v>
      </c>
      <c r="G6999" s="380" t="s">
        <v>1267</v>
      </c>
      <c r="H6999" s="380" t="s">
        <v>771</v>
      </c>
      <c r="I6999" s="380" t="s">
        <v>788</v>
      </c>
      <c r="J6999" s="380" t="s">
        <v>773</v>
      </c>
      <c r="K6999" s="381">
        <v>0.0</v>
      </c>
      <c r="L6999" s="382">
        <v>1.0</v>
      </c>
    </row>
    <row r="7000">
      <c r="A7000" s="380" t="s">
        <v>7874</v>
      </c>
      <c r="B7000" s="380" t="str">
        <f>IFERROR(__xludf.DUMMYFUNCTION("""COMPUTED_VALUE"""),"Estribo Izq FRR 8980373293")</f>
        <v>Estribo Izq FRR 8980373293</v>
      </c>
      <c r="C7000" s="380" t="str">
        <f>IFERROR(__xludf.DUMMYFUNCTION("""COMPUTED_VALUE"""),"70002408")</f>
        <v>70002408</v>
      </c>
      <c r="D7000" s="380" t="s">
        <v>767</v>
      </c>
      <c r="E7000" s="380" t="s">
        <v>786</v>
      </c>
      <c r="F7000" s="380" t="s">
        <v>792</v>
      </c>
      <c r="G7000" s="380" t="s">
        <v>1267</v>
      </c>
      <c r="H7000" s="380" t="s">
        <v>771</v>
      </c>
      <c r="I7000" s="380" t="s">
        <v>788</v>
      </c>
      <c r="J7000" s="380" t="s">
        <v>773</v>
      </c>
      <c r="K7000" s="381">
        <v>0.0</v>
      </c>
      <c r="L7000" s="382">
        <v>1.0</v>
      </c>
    </row>
    <row r="7001">
      <c r="A7001" s="380" t="s">
        <v>7875</v>
      </c>
      <c r="B7001" s="380" t="str">
        <f>IFERROR(__xludf.DUMMYFUNCTION("""COMPUTED_VALUE"""),"Banda Freno Trasero Foton BJ5 7705946031")</f>
        <v>Banda Freno Trasero Foton BJ5 7705946031</v>
      </c>
      <c r="C7001" s="380" t="str">
        <f>IFERROR(__xludf.DUMMYFUNCTION("""COMPUTED_VALUE"""),"70002409")</f>
        <v>70002409</v>
      </c>
      <c r="D7001" s="380" t="s">
        <v>767</v>
      </c>
      <c r="E7001" s="380" t="s">
        <v>786</v>
      </c>
      <c r="F7001" s="380" t="s">
        <v>1017</v>
      </c>
      <c r="G7001" s="380" t="s">
        <v>1267</v>
      </c>
      <c r="H7001" s="380" t="s">
        <v>771</v>
      </c>
      <c r="I7001" s="380" t="s">
        <v>788</v>
      </c>
      <c r="J7001" s="380" t="s">
        <v>773</v>
      </c>
      <c r="K7001" s="381">
        <v>83920.0</v>
      </c>
      <c r="L7001" s="382">
        <v>1.0</v>
      </c>
    </row>
    <row r="7002">
      <c r="A7002" s="380" t="s">
        <v>7876</v>
      </c>
      <c r="B7002" s="380" t="str">
        <f>IFERROR(__xludf.DUMMYFUNCTION("""COMPUTED_VALUE"""),"Racor Recto 507 3/8 X 1/2""")</f>
        <v>Racor Recto 507 3/8 X 1/2"</v>
      </c>
      <c r="C7002" s="380" t="str">
        <f>IFERROR(__xludf.DUMMYFUNCTION("""COMPUTED_VALUE"""),"70002410")</f>
        <v>70002410</v>
      </c>
      <c r="D7002" s="380" t="s">
        <v>767</v>
      </c>
      <c r="E7002" s="380" t="s">
        <v>786</v>
      </c>
      <c r="F7002" s="380" t="s">
        <v>989</v>
      </c>
      <c r="G7002" s="380" t="s">
        <v>1267</v>
      </c>
      <c r="H7002" s="380" t="s">
        <v>771</v>
      </c>
      <c r="I7002" s="380" t="s">
        <v>788</v>
      </c>
      <c r="J7002" s="380" t="s">
        <v>773</v>
      </c>
      <c r="K7002" s="381">
        <v>0.0</v>
      </c>
      <c r="L7002" s="382">
        <v>1.0</v>
      </c>
    </row>
    <row r="7003">
      <c r="A7003" s="380" t="s">
        <v>7877</v>
      </c>
      <c r="B7003" s="380" t="str">
        <f>IFERROR(__xludf.DUMMYFUNCTION("""COMPUTED_VALUE"""),"Freno De Ahogo Motor FRR 8980541728")</f>
        <v>Freno De Ahogo Motor FRR 8980541728</v>
      </c>
      <c r="C7003" s="380" t="str">
        <f>IFERROR(__xludf.DUMMYFUNCTION("""COMPUTED_VALUE"""),"70002411")</f>
        <v>70002411</v>
      </c>
      <c r="D7003" s="380" t="s">
        <v>767</v>
      </c>
      <c r="E7003" s="380" t="s">
        <v>786</v>
      </c>
      <c r="F7003" s="380" t="s">
        <v>1017</v>
      </c>
      <c r="G7003" s="380" t="s">
        <v>1267</v>
      </c>
      <c r="H7003" s="380" t="s">
        <v>771</v>
      </c>
      <c r="I7003" s="380" t="s">
        <v>788</v>
      </c>
      <c r="J7003" s="380" t="s">
        <v>773</v>
      </c>
      <c r="K7003" s="381">
        <v>0.0</v>
      </c>
      <c r="L7003" s="382">
        <v>1.0</v>
      </c>
    </row>
    <row r="7004">
      <c r="A7004" s="380" t="s">
        <v>7878</v>
      </c>
      <c r="B7004" s="380" t="str">
        <f>IFERROR(__xludf.DUMMYFUNCTION("""COMPUTED_VALUE"""),"Panel Frontal Cabina Izq FRR 8974099014")</f>
        <v>Panel Frontal Cabina Izq FRR 8974099014</v>
      </c>
      <c r="C7004" s="380" t="str">
        <f>IFERROR(__xludf.DUMMYFUNCTION("""COMPUTED_VALUE"""),"70002412")</f>
        <v>70002412</v>
      </c>
      <c r="D7004" s="380" t="s">
        <v>767</v>
      </c>
      <c r="E7004" s="380" t="s">
        <v>786</v>
      </c>
      <c r="F7004" s="380" t="s">
        <v>792</v>
      </c>
      <c r="G7004" s="380" t="s">
        <v>1267</v>
      </c>
      <c r="H7004" s="380" t="s">
        <v>771</v>
      </c>
      <c r="I7004" s="380" t="s">
        <v>788</v>
      </c>
      <c r="J7004" s="380" t="s">
        <v>773</v>
      </c>
      <c r="K7004" s="381">
        <v>0.0</v>
      </c>
      <c r="L7004" s="382">
        <v>1.0</v>
      </c>
    </row>
    <row r="7005">
      <c r="A7005" s="380" t="s">
        <v>7879</v>
      </c>
      <c r="B7005" s="380" t="str">
        <f>IFERROR(__xludf.DUMMYFUNCTION("""COMPUTED_VALUE"""),"Racor Recto 507 3/8 X 3/8""")</f>
        <v>Racor Recto 507 3/8 X 3/8"</v>
      </c>
      <c r="C7005" s="380" t="str">
        <f>IFERROR(__xludf.DUMMYFUNCTION("""COMPUTED_VALUE"""),"70002413")</f>
        <v>70002413</v>
      </c>
      <c r="D7005" s="380" t="s">
        <v>767</v>
      </c>
      <c r="E7005" s="380" t="s">
        <v>786</v>
      </c>
      <c r="F7005" s="380" t="s">
        <v>989</v>
      </c>
      <c r="G7005" s="380" t="s">
        <v>1267</v>
      </c>
      <c r="H7005" s="380" t="s">
        <v>771</v>
      </c>
      <c r="I7005" s="380" t="s">
        <v>788</v>
      </c>
      <c r="J7005" s="380" t="s">
        <v>773</v>
      </c>
      <c r="K7005" s="381">
        <v>0.0</v>
      </c>
      <c r="L7005" s="382">
        <v>1.0</v>
      </c>
    </row>
    <row r="7006">
      <c r="A7006" s="380" t="s">
        <v>7880</v>
      </c>
      <c r="B7006" s="380" t="str">
        <f>IFERROR(__xludf.DUMMYFUNCTION("""COMPUTED_VALUE"""),"Bombona Suspension Prostar HD57122002")</f>
        <v>Bombona Suspension Prostar HD57122002</v>
      </c>
      <c r="C7006" s="380" t="str">
        <f>IFERROR(__xludf.DUMMYFUNCTION("""COMPUTED_VALUE"""),"70002414")</f>
        <v>70002414</v>
      </c>
      <c r="D7006" s="380" t="s">
        <v>767</v>
      </c>
      <c r="E7006" s="380" t="s">
        <v>786</v>
      </c>
      <c r="F7006" s="380" t="s">
        <v>1039</v>
      </c>
      <c r="G7006" s="380" t="s">
        <v>1267</v>
      </c>
      <c r="H7006" s="380" t="s">
        <v>771</v>
      </c>
      <c r="I7006" s="380" t="s">
        <v>788</v>
      </c>
      <c r="J7006" s="380" t="s">
        <v>773</v>
      </c>
      <c r="K7006" s="381">
        <v>0.0</v>
      </c>
      <c r="L7006" s="382">
        <v>1.0</v>
      </c>
    </row>
    <row r="7007">
      <c r="A7007" s="380" t="s">
        <v>7881</v>
      </c>
      <c r="B7007" s="380" t="str">
        <f>IFERROR(__xludf.DUMMYFUNCTION("""COMPUTED_VALUE"""),"Tuerca Grapa Tras Eagle 9400 144425H")</f>
        <v>Tuerca Grapa Tras Eagle 9400 144425H</v>
      </c>
      <c r="C7007" s="380" t="str">
        <f>IFERROR(__xludf.DUMMYFUNCTION("""COMPUTED_VALUE"""),"70002415")</f>
        <v>70002415</v>
      </c>
      <c r="D7007" s="380" t="s">
        <v>767</v>
      </c>
      <c r="E7007" s="380" t="s">
        <v>786</v>
      </c>
      <c r="F7007" s="380" t="s">
        <v>1039</v>
      </c>
      <c r="G7007" s="380" t="s">
        <v>1267</v>
      </c>
      <c r="H7007" s="380" t="s">
        <v>771</v>
      </c>
      <c r="I7007" s="380" t="s">
        <v>788</v>
      </c>
      <c r="J7007" s="380" t="s">
        <v>773</v>
      </c>
      <c r="K7007" s="381">
        <v>0.0</v>
      </c>
      <c r="L7007" s="382">
        <v>1.0</v>
      </c>
    </row>
    <row r="7008">
      <c r="A7008" s="380" t="s">
        <v>7882</v>
      </c>
      <c r="B7008" s="380" t="str">
        <f>IFERROR(__xludf.DUMMYFUNCTION("""COMPUTED_VALUE"""),"Grapa Suspension Eagle 9400 H47417008")</f>
        <v>Grapa Suspension Eagle 9400 H47417008</v>
      </c>
      <c r="C7008" s="380" t="str">
        <f>IFERROR(__xludf.DUMMYFUNCTION("""COMPUTED_VALUE"""),"70002416")</f>
        <v>70002416</v>
      </c>
      <c r="D7008" s="380" t="s">
        <v>767</v>
      </c>
      <c r="E7008" s="380" t="s">
        <v>786</v>
      </c>
      <c r="F7008" s="380" t="s">
        <v>1039</v>
      </c>
      <c r="G7008" s="380" t="s">
        <v>1267</v>
      </c>
      <c r="H7008" s="380" t="s">
        <v>771</v>
      </c>
      <c r="I7008" s="380" t="s">
        <v>788</v>
      </c>
      <c r="J7008" s="380" t="s">
        <v>773</v>
      </c>
      <c r="K7008" s="381">
        <v>0.0</v>
      </c>
      <c r="L7008" s="382">
        <v>1.0</v>
      </c>
    </row>
    <row r="7009">
      <c r="A7009" s="380" t="s">
        <v>7883</v>
      </c>
      <c r="B7009" s="380" t="str">
        <f>IFERROR(__xludf.DUMMYFUNCTION("""COMPUTED_VALUE"""),"Arandela Conica De Ajuste EagleH48574000")</f>
        <v>Arandela Conica De Ajuste EagleH48574000</v>
      </c>
      <c r="C7009" s="380" t="str">
        <f>IFERROR(__xludf.DUMMYFUNCTION("""COMPUTED_VALUE"""),"70002417")</f>
        <v>70002417</v>
      </c>
      <c r="D7009" s="380" t="s">
        <v>767</v>
      </c>
      <c r="E7009" s="380" t="s">
        <v>786</v>
      </c>
      <c r="F7009" s="380" t="s">
        <v>1039</v>
      </c>
      <c r="G7009" s="380" t="s">
        <v>1267</v>
      </c>
      <c r="H7009" s="380" t="s">
        <v>771</v>
      </c>
      <c r="I7009" s="380" t="s">
        <v>788</v>
      </c>
      <c r="J7009" s="380" t="s">
        <v>773</v>
      </c>
      <c r="K7009" s="381">
        <v>0.0</v>
      </c>
      <c r="L7009" s="382">
        <v>1.0</v>
      </c>
    </row>
    <row r="7010">
      <c r="A7010" s="380" t="s">
        <v>7884</v>
      </c>
      <c r="B7010" s="380" t="str">
        <f>IFERROR(__xludf.DUMMYFUNCTION("""COMPUTED_VALUE"""),"Racor Recto B68R 1/4 Sinflex X 3/8 Npt")</f>
        <v>Racor Recto B68R 1/4 Sinflex X 3/8 Npt</v>
      </c>
      <c r="C7010" s="380" t="str">
        <f>IFERROR(__xludf.DUMMYFUNCTION("""COMPUTED_VALUE"""),"70002418")</f>
        <v>70002418</v>
      </c>
      <c r="D7010" s="380" t="s">
        <v>767</v>
      </c>
      <c r="E7010" s="380" t="s">
        <v>786</v>
      </c>
      <c r="F7010" s="380" t="s">
        <v>989</v>
      </c>
      <c r="G7010" s="380" t="s">
        <v>1267</v>
      </c>
      <c r="H7010" s="380" t="s">
        <v>771</v>
      </c>
      <c r="I7010" s="380" t="s">
        <v>788</v>
      </c>
      <c r="J7010" s="380" t="s">
        <v>773</v>
      </c>
      <c r="K7010" s="381">
        <v>0.0</v>
      </c>
      <c r="L7010" s="382">
        <v>1.0</v>
      </c>
    </row>
    <row r="7011">
      <c r="A7011" s="380" t="s">
        <v>7885</v>
      </c>
      <c r="B7011" s="380" t="str">
        <f>IFERROR(__xludf.DUMMYFUNCTION("""COMPUTED_VALUE"""),"Racor Recto B68R 1/4 Sinflex X 1/4 Npt")</f>
        <v>Racor Recto B68R 1/4 Sinflex X 1/4 Npt</v>
      </c>
      <c r="C7011" s="380" t="str">
        <f>IFERROR(__xludf.DUMMYFUNCTION("""COMPUTED_VALUE"""),"70002419")</f>
        <v>70002419</v>
      </c>
      <c r="D7011" s="380" t="s">
        <v>767</v>
      </c>
      <c r="E7011" s="380" t="s">
        <v>786</v>
      </c>
      <c r="F7011" s="380" t="s">
        <v>989</v>
      </c>
      <c r="G7011" s="380" t="s">
        <v>1267</v>
      </c>
      <c r="H7011" s="380" t="s">
        <v>771</v>
      </c>
      <c r="I7011" s="380" t="s">
        <v>788</v>
      </c>
      <c r="J7011" s="380" t="s">
        <v>773</v>
      </c>
      <c r="K7011" s="381">
        <v>0.0</v>
      </c>
      <c r="L7011" s="382">
        <v>1.0</v>
      </c>
    </row>
    <row r="7012">
      <c r="A7012" s="380" t="s">
        <v>7886</v>
      </c>
      <c r="B7012" s="380" t="str">
        <f>IFERROR(__xludf.DUMMYFUNCTION("""COMPUTED_VALUE"""),"Corona Speed 9 X 41plana Del Kw 122337")</f>
        <v>Corona Speed 9 X 41plana Del Kw 122337</v>
      </c>
      <c r="C7012" s="380" t="str">
        <f>IFERROR(__xludf.DUMMYFUNCTION("""COMPUTED_VALUE"""),"70002420")</f>
        <v>70002420</v>
      </c>
      <c r="D7012" s="380" t="s">
        <v>767</v>
      </c>
      <c r="E7012" s="380" t="s">
        <v>786</v>
      </c>
      <c r="F7012" s="380" t="s">
        <v>5683</v>
      </c>
      <c r="G7012" s="380" t="s">
        <v>1267</v>
      </c>
      <c r="H7012" s="380" t="s">
        <v>771</v>
      </c>
      <c r="I7012" s="380" t="s">
        <v>788</v>
      </c>
      <c r="J7012" s="380" t="s">
        <v>773</v>
      </c>
      <c r="K7012" s="381">
        <v>0.0</v>
      </c>
      <c r="L7012" s="382">
        <v>1.0</v>
      </c>
    </row>
    <row r="7013">
      <c r="A7013" s="380" t="s">
        <v>7887</v>
      </c>
      <c r="B7013" s="380" t="str">
        <f>IFERROR(__xludf.DUMMYFUNCTION("""COMPUTED_VALUE"""),"Racor Reduccion Tuerca 1/2 X 1/4")</f>
        <v>Racor Reduccion Tuerca 1/2 X 1/4</v>
      </c>
      <c r="C7013" s="380" t="str">
        <f>IFERROR(__xludf.DUMMYFUNCTION("""COMPUTED_VALUE"""),"70002421")</f>
        <v>70002421</v>
      </c>
      <c r="D7013" s="380" t="s">
        <v>767</v>
      </c>
      <c r="E7013" s="380" t="s">
        <v>786</v>
      </c>
      <c r="F7013" s="380" t="s">
        <v>989</v>
      </c>
      <c r="G7013" s="380" t="s">
        <v>1267</v>
      </c>
      <c r="H7013" s="380" t="s">
        <v>771</v>
      </c>
      <c r="I7013" s="380" t="s">
        <v>788</v>
      </c>
      <c r="J7013" s="380" t="s">
        <v>773</v>
      </c>
      <c r="K7013" s="381">
        <v>0.0</v>
      </c>
      <c r="L7013" s="382">
        <v>1.0</v>
      </c>
    </row>
    <row r="7014">
      <c r="A7014" s="380" t="s">
        <v>7888</v>
      </c>
      <c r="B7014" s="380" t="str">
        <f>IFERROR(__xludf.DUMMYFUNCTION("""COMPUTED_VALUE"""),"Turbo Alimentad Nkr Rw Euro4 8981654483")</f>
        <v>Turbo Alimentad Nkr Rw Euro4 8981654483</v>
      </c>
      <c r="C7014" s="380" t="str">
        <f>IFERROR(__xludf.DUMMYFUNCTION("""COMPUTED_VALUE"""),"70002422")</f>
        <v>70002422</v>
      </c>
      <c r="D7014" s="380" t="s">
        <v>767</v>
      </c>
      <c r="E7014" s="380" t="s">
        <v>786</v>
      </c>
      <c r="F7014" s="380" t="s">
        <v>787</v>
      </c>
      <c r="G7014" s="380" t="s">
        <v>1267</v>
      </c>
      <c r="H7014" s="380" t="s">
        <v>771</v>
      </c>
      <c r="I7014" s="380" t="s">
        <v>788</v>
      </c>
      <c r="J7014" s="380" t="s">
        <v>773</v>
      </c>
      <c r="K7014" s="381">
        <v>0.0</v>
      </c>
      <c r="L7014" s="382">
        <v>1.0</v>
      </c>
    </row>
    <row r="7015">
      <c r="A7015" s="380" t="s">
        <v>7889</v>
      </c>
      <c r="B7015" s="380" t="str">
        <f>IFERROR(__xludf.DUMMYFUNCTION("""COMPUTED_VALUE"""),"Switch Bloqueo Puerta Eagle 3536496C1")</f>
        <v>Switch Bloqueo Puerta Eagle 3536496C1</v>
      </c>
      <c r="C7015" s="380" t="str">
        <f>IFERROR(__xludf.DUMMYFUNCTION("""COMPUTED_VALUE"""),"70002423")</f>
        <v>70002423</v>
      </c>
      <c r="D7015" s="380" t="s">
        <v>767</v>
      </c>
      <c r="E7015" s="380" t="s">
        <v>786</v>
      </c>
      <c r="F7015" s="380" t="s">
        <v>998</v>
      </c>
      <c r="G7015" s="380" t="s">
        <v>1267</v>
      </c>
      <c r="H7015" s="380" t="s">
        <v>771</v>
      </c>
      <c r="I7015" s="380" t="s">
        <v>788</v>
      </c>
      <c r="J7015" s="380" t="s">
        <v>773</v>
      </c>
      <c r="K7015" s="381">
        <v>0.0</v>
      </c>
      <c r="L7015" s="382">
        <v>1.0</v>
      </c>
    </row>
    <row r="7016">
      <c r="A7016" s="380" t="s">
        <v>7890</v>
      </c>
      <c r="B7016" s="380" t="str">
        <f>IFERROR(__xludf.DUMMYFUNCTION("""COMPUTED_VALUE"""),"Switch Puerta Isx 3536493C1")</f>
        <v>Switch Puerta Isx 3536493C1</v>
      </c>
      <c r="C7016" s="380" t="str">
        <f>IFERROR(__xludf.DUMMYFUNCTION("""COMPUTED_VALUE"""),"70002424")</f>
        <v>70002424</v>
      </c>
      <c r="D7016" s="380" t="s">
        <v>767</v>
      </c>
      <c r="E7016" s="380" t="s">
        <v>786</v>
      </c>
      <c r="F7016" s="380" t="s">
        <v>998</v>
      </c>
      <c r="G7016" s="380" t="s">
        <v>1267</v>
      </c>
      <c r="H7016" s="380" t="s">
        <v>771</v>
      </c>
      <c r="I7016" s="380" t="s">
        <v>788</v>
      </c>
      <c r="J7016" s="380" t="s">
        <v>773</v>
      </c>
      <c r="K7016" s="381">
        <v>0.0</v>
      </c>
      <c r="L7016" s="382">
        <v>1.0</v>
      </c>
    </row>
    <row r="7017">
      <c r="A7017" s="380" t="s">
        <v>7891</v>
      </c>
      <c r="B7017" s="380" t="str">
        <f>IFERROR(__xludf.DUMMYFUNCTION("""COMPUTED_VALUE"""),"Racor En T 536 1/4""")</f>
        <v>Racor En T 536 1/4"</v>
      </c>
      <c r="C7017" s="380" t="str">
        <f>IFERROR(__xludf.DUMMYFUNCTION("""COMPUTED_VALUE"""),"70002425")</f>
        <v>70002425</v>
      </c>
      <c r="D7017" s="380" t="s">
        <v>767</v>
      </c>
      <c r="E7017" s="380" t="s">
        <v>786</v>
      </c>
      <c r="F7017" s="380" t="s">
        <v>989</v>
      </c>
      <c r="G7017" s="380" t="s">
        <v>1267</v>
      </c>
      <c r="H7017" s="380" t="s">
        <v>771</v>
      </c>
      <c r="I7017" s="380" t="s">
        <v>788</v>
      </c>
      <c r="J7017" s="380" t="s">
        <v>773</v>
      </c>
      <c r="K7017" s="381">
        <v>0.0</v>
      </c>
      <c r="L7017" s="382">
        <v>1.0</v>
      </c>
    </row>
    <row r="7018">
      <c r="A7018" s="380" t="s">
        <v>7892</v>
      </c>
      <c r="B7018" s="380" t="str">
        <f>IFERROR(__xludf.DUMMYFUNCTION("""COMPUTED_VALUE"""),"Pin Termostato Motor Isx 341188100")</f>
        <v>Pin Termostato Motor Isx 341188100</v>
      </c>
      <c r="C7018" s="380" t="str">
        <f>IFERROR(__xludf.DUMMYFUNCTION("""COMPUTED_VALUE"""),"70002426")</f>
        <v>70002426</v>
      </c>
      <c r="D7018" s="380" t="s">
        <v>767</v>
      </c>
      <c r="E7018" s="380" t="s">
        <v>786</v>
      </c>
      <c r="F7018" s="380" t="s">
        <v>787</v>
      </c>
      <c r="G7018" s="380" t="s">
        <v>1267</v>
      </c>
      <c r="H7018" s="380" t="s">
        <v>771</v>
      </c>
      <c r="I7018" s="380" t="s">
        <v>788</v>
      </c>
      <c r="J7018" s="380" t="s">
        <v>773</v>
      </c>
      <c r="K7018" s="381">
        <v>0.0</v>
      </c>
      <c r="L7018" s="382">
        <v>1.0</v>
      </c>
    </row>
    <row r="7019">
      <c r="A7019" s="380" t="s">
        <v>7893</v>
      </c>
      <c r="B7019" s="380" t="str">
        <f>IFERROR(__xludf.DUMMYFUNCTION("""COMPUTED_VALUE"""),"Suiche Puerta Eagle 9400 3536494C1")</f>
        <v>Suiche Puerta Eagle 9400 3536494C1</v>
      </c>
      <c r="C7019" s="380" t="str">
        <f>IFERROR(__xludf.DUMMYFUNCTION("""COMPUTED_VALUE"""),"70002427")</f>
        <v>70002427</v>
      </c>
      <c r="D7019" s="380" t="s">
        <v>767</v>
      </c>
      <c r="E7019" s="380" t="s">
        <v>786</v>
      </c>
      <c r="F7019" s="380" t="s">
        <v>792</v>
      </c>
      <c r="G7019" s="380" t="s">
        <v>1267</v>
      </c>
      <c r="H7019" s="380" t="s">
        <v>771</v>
      </c>
      <c r="I7019" s="380" t="s">
        <v>788</v>
      </c>
      <c r="J7019" s="380" t="s">
        <v>773</v>
      </c>
      <c r="K7019" s="381">
        <v>0.0</v>
      </c>
      <c r="L7019" s="382">
        <v>1.0</v>
      </c>
    </row>
    <row r="7020">
      <c r="A7020" s="380" t="s">
        <v>7894</v>
      </c>
      <c r="B7020" s="380" t="str">
        <f>IFERROR(__xludf.DUMMYFUNCTION("""COMPUTED_VALUE"""),"Resorte Tapa Caja Fuller Naranja")</f>
        <v>Resorte Tapa Caja Fuller Naranja</v>
      </c>
      <c r="C7020" s="380" t="str">
        <f>IFERROR(__xludf.DUMMYFUNCTION("""COMPUTED_VALUE"""),"70002428")</f>
        <v>70002428</v>
      </c>
      <c r="D7020" s="380" t="s">
        <v>767</v>
      </c>
      <c r="E7020" s="380" t="s">
        <v>786</v>
      </c>
      <c r="F7020" s="380" t="s">
        <v>928</v>
      </c>
      <c r="G7020" s="380" t="s">
        <v>1267</v>
      </c>
      <c r="H7020" s="380" t="s">
        <v>771</v>
      </c>
      <c r="I7020" s="380" t="s">
        <v>788</v>
      </c>
      <c r="J7020" s="380" t="s">
        <v>773</v>
      </c>
      <c r="K7020" s="381">
        <v>0.0</v>
      </c>
      <c r="L7020" s="382">
        <v>1.0</v>
      </c>
    </row>
    <row r="7021">
      <c r="A7021" s="380" t="s">
        <v>7895</v>
      </c>
      <c r="B7021" s="380" t="str">
        <f>IFERROR(__xludf.DUMMYFUNCTION("""COMPUTED_VALUE"""),"Balinera Fan Clutch 6005 2RS S")</f>
        <v>Balinera Fan Clutch 6005 2RS S</v>
      </c>
      <c r="C7021" s="380" t="str">
        <f>IFERROR(__xludf.DUMMYFUNCTION("""COMPUTED_VALUE"""),"70002429")</f>
        <v>70002429</v>
      </c>
      <c r="D7021" s="380" t="s">
        <v>767</v>
      </c>
      <c r="E7021" s="380" t="s">
        <v>786</v>
      </c>
      <c r="F7021" s="380" t="s">
        <v>787</v>
      </c>
      <c r="G7021" s="380" t="s">
        <v>1267</v>
      </c>
      <c r="H7021" s="380" t="s">
        <v>771</v>
      </c>
      <c r="I7021" s="380" t="s">
        <v>788</v>
      </c>
      <c r="J7021" s="380" t="s">
        <v>773</v>
      </c>
      <c r="K7021" s="381">
        <v>9309.0</v>
      </c>
      <c r="L7021" s="382">
        <v>1.0</v>
      </c>
    </row>
    <row r="7022">
      <c r="A7022" s="380" t="s">
        <v>7896</v>
      </c>
      <c r="B7022" s="380" t="str">
        <f>IFERROR(__xludf.DUMMYFUNCTION("""COMPUTED_VALUE"""),"Racor En T B-101 1/2""")</f>
        <v>Racor En T B-101 1/2"</v>
      </c>
      <c r="C7022" s="380" t="str">
        <f>IFERROR(__xludf.DUMMYFUNCTION("""COMPUTED_VALUE"""),"70002430")</f>
        <v>70002430</v>
      </c>
      <c r="D7022" s="380" t="s">
        <v>767</v>
      </c>
      <c r="E7022" s="380" t="s">
        <v>786</v>
      </c>
      <c r="F7022" s="380" t="s">
        <v>989</v>
      </c>
      <c r="G7022" s="380" t="s">
        <v>1267</v>
      </c>
      <c r="H7022" s="380" t="s">
        <v>771</v>
      </c>
      <c r="I7022" s="380" t="s">
        <v>788</v>
      </c>
      <c r="J7022" s="380" t="s">
        <v>773</v>
      </c>
      <c r="K7022" s="381">
        <v>0.0</v>
      </c>
      <c r="L7022" s="382">
        <v>1.0</v>
      </c>
    </row>
    <row r="7023">
      <c r="A7023" s="380" t="s">
        <v>7897</v>
      </c>
      <c r="B7023" s="380" t="str">
        <f>IFERROR(__xludf.DUMMYFUNCTION("""COMPUTED_VALUE"""),"Medidor De Comb Nkr Reward 8980567030")</f>
        <v>Medidor De Comb Nkr Reward 8980567030</v>
      </c>
      <c r="C7023" s="380" t="str">
        <f>IFERROR(__xludf.DUMMYFUNCTION("""COMPUTED_VALUE"""),"70002431")</f>
        <v>70002431</v>
      </c>
      <c r="D7023" s="380" t="s">
        <v>767</v>
      </c>
      <c r="E7023" s="380" t="s">
        <v>786</v>
      </c>
      <c r="F7023" s="380" t="s">
        <v>998</v>
      </c>
      <c r="G7023" s="380" t="s">
        <v>1267</v>
      </c>
      <c r="H7023" s="380" t="s">
        <v>771</v>
      </c>
      <c r="I7023" s="380" t="s">
        <v>788</v>
      </c>
      <c r="J7023" s="380" t="s">
        <v>773</v>
      </c>
      <c r="K7023" s="381">
        <v>0.0</v>
      </c>
      <c r="L7023" s="382">
        <v>1.0</v>
      </c>
    </row>
    <row r="7024">
      <c r="A7024" s="380" t="s">
        <v>7898</v>
      </c>
      <c r="B7024" s="380" t="str">
        <f>IFERROR(__xludf.DUMMYFUNCTION("""COMPUTED_VALUE"""),"Pasador Muelle Delantero Nkr 36900046")</f>
        <v>Pasador Muelle Delantero Nkr 36900046</v>
      </c>
      <c r="C7024" s="380" t="str">
        <f>IFERROR(__xludf.DUMMYFUNCTION("""COMPUTED_VALUE"""),"70002432")</f>
        <v>70002432</v>
      </c>
      <c r="D7024" s="380" t="s">
        <v>767</v>
      </c>
      <c r="E7024" s="380" t="s">
        <v>786</v>
      </c>
      <c r="F7024" s="380" t="s">
        <v>1039</v>
      </c>
      <c r="G7024" s="380" t="s">
        <v>1267</v>
      </c>
      <c r="H7024" s="380" t="s">
        <v>771</v>
      </c>
      <c r="I7024" s="380" t="s">
        <v>788</v>
      </c>
      <c r="J7024" s="380" t="s">
        <v>773</v>
      </c>
      <c r="K7024" s="381">
        <v>0.0</v>
      </c>
      <c r="L7024" s="382">
        <v>1.0</v>
      </c>
    </row>
    <row r="7025">
      <c r="A7025" s="380" t="s">
        <v>7899</v>
      </c>
      <c r="B7025" s="380" t="str">
        <f>IFERROR(__xludf.DUMMYFUNCTION("""COMPUTED_VALUE"""),"Pasador Muelle Trasero Nkr 43820101")</f>
        <v>Pasador Muelle Trasero Nkr 43820101</v>
      </c>
      <c r="C7025" s="380" t="str">
        <f>IFERROR(__xludf.DUMMYFUNCTION("""COMPUTED_VALUE"""),"70002433")</f>
        <v>70002433</v>
      </c>
      <c r="D7025" s="380" t="s">
        <v>767</v>
      </c>
      <c r="E7025" s="380" t="s">
        <v>786</v>
      </c>
      <c r="F7025" s="380" t="s">
        <v>1039</v>
      </c>
      <c r="G7025" s="380" t="s">
        <v>1267</v>
      </c>
      <c r="H7025" s="380" t="s">
        <v>771</v>
      </c>
      <c r="I7025" s="380" t="s">
        <v>788</v>
      </c>
      <c r="J7025" s="380" t="s">
        <v>773</v>
      </c>
      <c r="K7025" s="381">
        <v>0.0</v>
      </c>
      <c r="L7025" s="382">
        <v>1.0</v>
      </c>
    </row>
    <row r="7026">
      <c r="A7026" s="380" t="s">
        <v>7900</v>
      </c>
      <c r="B7026" s="380" t="str">
        <f>IFERROR(__xludf.DUMMYFUNCTION("""COMPUTED_VALUE"""),"Vidrio Puerta Delantera Izq FRR 95629930")</f>
        <v>Vidrio Puerta Delantera Izq FRR 95629930</v>
      </c>
      <c r="C7026" s="380" t="str">
        <f>IFERROR(__xludf.DUMMYFUNCTION("""COMPUTED_VALUE"""),"70002434")</f>
        <v>70002434</v>
      </c>
      <c r="D7026" s="380" t="s">
        <v>767</v>
      </c>
      <c r="E7026" s="380" t="s">
        <v>786</v>
      </c>
      <c r="F7026" s="380" t="s">
        <v>792</v>
      </c>
      <c r="G7026" s="380" t="s">
        <v>1267</v>
      </c>
      <c r="H7026" s="380" t="s">
        <v>771</v>
      </c>
      <c r="I7026" s="380" t="s">
        <v>788</v>
      </c>
      <c r="J7026" s="380" t="s">
        <v>773</v>
      </c>
      <c r="K7026" s="381">
        <v>0.0</v>
      </c>
      <c r="L7026" s="382">
        <v>1.0</v>
      </c>
    </row>
    <row r="7027">
      <c r="A7027" s="380" t="s">
        <v>7901</v>
      </c>
      <c r="B7027" s="380" t="str">
        <f>IFERROR(__xludf.DUMMYFUNCTION("""COMPUTED_VALUE"""),"Racor Recto B68R 1/2 Sinflex X 1/4 Npt")</f>
        <v>Racor Recto B68R 1/2 Sinflex X 1/4 Npt</v>
      </c>
      <c r="C7027" s="380" t="str">
        <f>IFERROR(__xludf.DUMMYFUNCTION("""COMPUTED_VALUE"""),"70002435")</f>
        <v>70002435</v>
      </c>
      <c r="D7027" s="380" t="s">
        <v>767</v>
      </c>
      <c r="E7027" s="380" t="s">
        <v>786</v>
      </c>
      <c r="F7027" s="380" t="s">
        <v>989</v>
      </c>
      <c r="G7027" s="380" t="s">
        <v>1267</v>
      </c>
      <c r="H7027" s="380" t="s">
        <v>771</v>
      </c>
      <c r="I7027" s="380" t="s">
        <v>788</v>
      </c>
      <c r="J7027" s="380" t="s">
        <v>773</v>
      </c>
      <c r="K7027" s="381">
        <v>0.0</v>
      </c>
      <c r="L7027" s="382">
        <v>1.0</v>
      </c>
    </row>
    <row r="7028">
      <c r="A7028" s="380" t="s">
        <v>7902</v>
      </c>
      <c r="B7028" s="380" t="str">
        <f>IFERROR(__xludf.DUMMYFUNCTION("""COMPUTED_VALUE"""),"Clip Boceles Puerta FRR 1099831740")</f>
        <v>Clip Boceles Puerta FRR 1099831740</v>
      </c>
      <c r="C7028" s="380" t="str">
        <f>IFERROR(__xludf.DUMMYFUNCTION("""COMPUTED_VALUE"""),"70002436")</f>
        <v>70002436</v>
      </c>
      <c r="D7028" s="380" t="s">
        <v>767</v>
      </c>
      <c r="E7028" s="380" t="s">
        <v>786</v>
      </c>
      <c r="F7028" s="380" t="s">
        <v>792</v>
      </c>
      <c r="G7028" s="380" t="s">
        <v>1267</v>
      </c>
      <c r="H7028" s="380" t="s">
        <v>771</v>
      </c>
      <c r="I7028" s="380" t="s">
        <v>788</v>
      </c>
      <c r="J7028" s="380" t="s">
        <v>773</v>
      </c>
      <c r="K7028" s="381">
        <v>0.0</v>
      </c>
      <c r="L7028" s="382">
        <v>1.0</v>
      </c>
    </row>
    <row r="7029">
      <c r="A7029" s="380" t="s">
        <v>7903</v>
      </c>
      <c r="B7029" s="380" t="str">
        <f>IFERROR(__xludf.DUMMYFUNCTION("""COMPUTED_VALUE"""),"Cubierta Inf Izq Tapiz FRR 8974074131")</f>
        <v>Cubierta Inf Izq Tapiz FRR 8974074131</v>
      </c>
      <c r="C7029" s="380" t="str">
        <f>IFERROR(__xludf.DUMMYFUNCTION("""COMPUTED_VALUE"""),"70002437")</f>
        <v>70002437</v>
      </c>
      <c r="D7029" s="380" t="s">
        <v>767</v>
      </c>
      <c r="E7029" s="380" t="s">
        <v>786</v>
      </c>
      <c r="F7029" s="380" t="s">
        <v>792</v>
      </c>
      <c r="G7029" s="380" t="s">
        <v>1267</v>
      </c>
      <c r="H7029" s="380" t="s">
        <v>771</v>
      </c>
      <c r="I7029" s="380" t="s">
        <v>788</v>
      </c>
      <c r="J7029" s="380" t="s">
        <v>773</v>
      </c>
      <c r="K7029" s="381">
        <v>0.0</v>
      </c>
      <c r="L7029" s="382">
        <v>1.0</v>
      </c>
    </row>
    <row r="7030">
      <c r="A7030" s="380" t="s">
        <v>7904</v>
      </c>
      <c r="B7030" s="380" t="str">
        <f>IFERROR(__xludf.DUMMYFUNCTION("""COMPUTED_VALUE"""),"Cilin Freno LH H.Dutro C Purga4757037080")</f>
        <v>Cilin Freno LH H.Dutro C Purga4757037080</v>
      </c>
      <c r="C7030" s="380" t="str">
        <f>IFERROR(__xludf.DUMMYFUNCTION("""COMPUTED_VALUE"""),"70002438")</f>
        <v>70002438</v>
      </c>
      <c r="D7030" s="380" t="s">
        <v>767</v>
      </c>
      <c r="E7030" s="380" t="s">
        <v>786</v>
      </c>
      <c r="F7030" s="380" t="s">
        <v>1017</v>
      </c>
      <c r="G7030" s="380" t="s">
        <v>1267</v>
      </c>
      <c r="H7030" s="380" t="s">
        <v>771</v>
      </c>
      <c r="I7030" s="380" t="s">
        <v>788</v>
      </c>
      <c r="J7030" s="380" t="s">
        <v>773</v>
      </c>
      <c r="K7030" s="381">
        <v>0.0</v>
      </c>
      <c r="L7030" s="382">
        <v>1.0</v>
      </c>
    </row>
    <row r="7031">
      <c r="A7031" s="380" t="s">
        <v>7905</v>
      </c>
      <c r="B7031" s="380" t="str">
        <f>IFERROR(__xludf.DUMMYFUNCTION("""COMPUTED_VALUE"""),"Racor Codo B69R 90° 1/8 Sinflex X 3/8Npt")</f>
        <v>Racor Codo B69R 90° 1/8 Sinflex X 3/8Npt</v>
      </c>
      <c r="C7031" s="380" t="str">
        <f>IFERROR(__xludf.DUMMYFUNCTION("""COMPUTED_VALUE"""),"70002439")</f>
        <v>70002439</v>
      </c>
      <c r="D7031" s="380" t="s">
        <v>767</v>
      </c>
      <c r="E7031" s="380" t="s">
        <v>786</v>
      </c>
      <c r="F7031" s="380" t="s">
        <v>989</v>
      </c>
      <c r="G7031" s="380" t="s">
        <v>1267</v>
      </c>
      <c r="H7031" s="380" t="s">
        <v>771</v>
      </c>
      <c r="I7031" s="380" t="s">
        <v>788</v>
      </c>
      <c r="J7031" s="380" t="s">
        <v>773</v>
      </c>
      <c r="K7031" s="381">
        <v>0.0</v>
      </c>
      <c r="L7031" s="382">
        <v>1.0</v>
      </c>
    </row>
    <row r="7032">
      <c r="A7032" s="380" t="s">
        <v>7906</v>
      </c>
      <c r="B7032" s="380" t="str">
        <f>IFERROR(__xludf.DUMMYFUNCTION("""COMPUTED_VALUE"""),"Racor Rociador Piston Npr 8973296180")</f>
        <v>Racor Rociador Piston Npr 8973296180</v>
      </c>
      <c r="C7032" s="380" t="str">
        <f>IFERROR(__xludf.DUMMYFUNCTION("""COMPUTED_VALUE"""),"70002440")</f>
        <v>70002440</v>
      </c>
      <c r="D7032" s="380" t="s">
        <v>767</v>
      </c>
      <c r="E7032" s="380" t="s">
        <v>786</v>
      </c>
      <c r="F7032" s="380" t="s">
        <v>787</v>
      </c>
      <c r="G7032" s="380" t="s">
        <v>1267</v>
      </c>
      <c r="H7032" s="380" t="s">
        <v>771</v>
      </c>
      <c r="I7032" s="380" t="s">
        <v>788</v>
      </c>
      <c r="J7032" s="380" t="s">
        <v>773</v>
      </c>
      <c r="K7032" s="381">
        <v>0.0</v>
      </c>
      <c r="L7032" s="382">
        <v>1.0</v>
      </c>
    </row>
    <row r="7033">
      <c r="A7033" s="380" t="s">
        <v>7907</v>
      </c>
      <c r="B7033" s="380" t="str">
        <f>IFERROR(__xludf.DUMMYFUNCTION("""COMPUTED_VALUE"""),"Buje Quinta Rueda XB-0011-2")</f>
        <v>Buje Quinta Rueda XB-0011-2</v>
      </c>
      <c r="C7033" s="380" t="str">
        <f>IFERROR(__xludf.DUMMYFUNCTION("""COMPUTED_VALUE"""),"70002441")</f>
        <v>70002441</v>
      </c>
      <c r="D7033" s="380" t="s">
        <v>767</v>
      </c>
      <c r="E7033" s="380" t="s">
        <v>786</v>
      </c>
      <c r="F7033" s="380" t="s">
        <v>792</v>
      </c>
      <c r="G7033" s="380" t="s">
        <v>1267</v>
      </c>
      <c r="H7033" s="380" t="s">
        <v>771</v>
      </c>
      <c r="I7033" s="380" t="s">
        <v>788</v>
      </c>
      <c r="J7033" s="380" t="s">
        <v>773</v>
      </c>
      <c r="K7033" s="381">
        <v>0.0</v>
      </c>
      <c r="L7033" s="382">
        <v>1.0</v>
      </c>
    </row>
    <row r="7034">
      <c r="A7034" s="380" t="s">
        <v>7908</v>
      </c>
      <c r="B7034" s="380" t="str">
        <f>IFERROR(__xludf.DUMMYFUNCTION("""COMPUTED_VALUE"""),"Racor Codo B69R 90° 1/4 Sinflex X 1/4Npt")</f>
        <v>Racor Codo B69R 90° 1/4 Sinflex X 1/4Npt</v>
      </c>
      <c r="C7034" s="380" t="str">
        <f>IFERROR(__xludf.DUMMYFUNCTION("""COMPUTED_VALUE"""),"70002442")</f>
        <v>70002442</v>
      </c>
      <c r="D7034" s="380" t="s">
        <v>767</v>
      </c>
      <c r="E7034" s="380" t="s">
        <v>786</v>
      </c>
      <c r="F7034" s="380" t="s">
        <v>989</v>
      </c>
      <c r="G7034" s="380" t="s">
        <v>1267</v>
      </c>
      <c r="H7034" s="380" t="s">
        <v>771</v>
      </c>
      <c r="I7034" s="380" t="s">
        <v>788</v>
      </c>
      <c r="J7034" s="380" t="s">
        <v>773</v>
      </c>
      <c r="K7034" s="381">
        <v>0.0</v>
      </c>
      <c r="L7034" s="382">
        <v>1.0</v>
      </c>
    </row>
    <row r="7035">
      <c r="A7035" s="380" t="s">
        <v>7909</v>
      </c>
      <c r="B7035" s="380" t="str">
        <f>IFERROR(__xludf.DUMMYFUNCTION("""COMPUTED_VALUE"""),"Espejo Retrov Der Completo Mack 82713445")</f>
        <v>Espejo Retrov Der Completo Mack 82713445</v>
      </c>
      <c r="C7035" s="380" t="str">
        <f>IFERROR(__xludf.DUMMYFUNCTION("""COMPUTED_VALUE"""),"70002443")</f>
        <v>70002443</v>
      </c>
      <c r="D7035" s="380" t="s">
        <v>767</v>
      </c>
      <c r="E7035" s="380" t="s">
        <v>786</v>
      </c>
      <c r="F7035" s="380" t="s">
        <v>792</v>
      </c>
      <c r="G7035" s="380" t="s">
        <v>1267</v>
      </c>
      <c r="H7035" s="380" t="s">
        <v>771</v>
      </c>
      <c r="I7035" s="380" t="s">
        <v>788</v>
      </c>
      <c r="J7035" s="380" t="s">
        <v>773</v>
      </c>
      <c r="K7035" s="381">
        <v>0.0</v>
      </c>
      <c r="L7035" s="382">
        <v>1.0</v>
      </c>
    </row>
    <row r="7036">
      <c r="A7036" s="380" t="s">
        <v>7910</v>
      </c>
      <c r="B7036" s="380" t="str">
        <f>IFERROR(__xludf.DUMMYFUNCTION("""COMPUTED_VALUE"""),"Espejo Retrov LH MTG MV3 Foton7701023487")</f>
        <v>Espejo Retrov LH MTG MV3 Foton7701023487</v>
      </c>
      <c r="C7036" s="380" t="str">
        <f>IFERROR(__xludf.DUMMYFUNCTION("""COMPUTED_VALUE"""),"70002444")</f>
        <v>70002444</v>
      </c>
      <c r="D7036" s="380" t="s">
        <v>767</v>
      </c>
      <c r="E7036" s="380" t="s">
        <v>786</v>
      </c>
      <c r="F7036" s="380" t="s">
        <v>792</v>
      </c>
      <c r="G7036" s="380" t="s">
        <v>1267</v>
      </c>
      <c r="H7036" s="380" t="s">
        <v>771</v>
      </c>
      <c r="I7036" s="380" t="s">
        <v>788</v>
      </c>
      <c r="J7036" s="380" t="s">
        <v>773</v>
      </c>
      <c r="K7036" s="381">
        <v>0.0</v>
      </c>
      <c r="L7036" s="382">
        <v>1.0</v>
      </c>
    </row>
    <row r="7037">
      <c r="A7037" s="380" t="s">
        <v>7911</v>
      </c>
      <c r="B7037" s="380" t="str">
        <f>IFERROR(__xludf.DUMMYFUNCTION("""COMPUTED_VALUE"""),"Racor De Empalme 1/2""")</f>
        <v>Racor De Empalme 1/2"</v>
      </c>
      <c r="C7037" s="380" t="str">
        <f>IFERROR(__xludf.DUMMYFUNCTION("""COMPUTED_VALUE"""),"70002445")</f>
        <v>70002445</v>
      </c>
      <c r="D7037" s="380" t="s">
        <v>767</v>
      </c>
      <c r="E7037" s="380" t="s">
        <v>786</v>
      </c>
      <c r="F7037" s="380" t="s">
        <v>989</v>
      </c>
      <c r="G7037" s="380" t="s">
        <v>1267</v>
      </c>
      <c r="H7037" s="380" t="s">
        <v>771</v>
      </c>
      <c r="I7037" s="380" t="s">
        <v>788</v>
      </c>
      <c r="J7037" s="380" t="s">
        <v>773</v>
      </c>
      <c r="K7037" s="381">
        <v>0.0</v>
      </c>
      <c r="L7037" s="382">
        <v>1.0</v>
      </c>
    </row>
    <row r="7038">
      <c r="A7038" s="380" t="s">
        <v>7912</v>
      </c>
      <c r="B7038" s="380" t="str">
        <f>IFERROR(__xludf.DUMMYFUNCTION("""COMPUTED_VALUE"""),"Valvul Selen Fren Ahog H Dutro2769078140")</f>
        <v>Valvul Selen Fren Ahog H Dutro2769078140</v>
      </c>
      <c r="C7038" s="380" t="str">
        <f>IFERROR(__xludf.DUMMYFUNCTION("""COMPUTED_VALUE"""),"70002446")</f>
        <v>70002446</v>
      </c>
      <c r="D7038" s="380" t="s">
        <v>767</v>
      </c>
      <c r="E7038" s="380" t="s">
        <v>786</v>
      </c>
      <c r="F7038" s="380" t="s">
        <v>998</v>
      </c>
      <c r="G7038" s="380" t="s">
        <v>1267</v>
      </c>
      <c r="H7038" s="380" t="s">
        <v>771</v>
      </c>
      <c r="I7038" s="380" t="s">
        <v>788</v>
      </c>
      <c r="J7038" s="380" t="s">
        <v>773</v>
      </c>
      <c r="K7038" s="381">
        <v>0.0</v>
      </c>
      <c r="L7038" s="382">
        <v>1.0</v>
      </c>
    </row>
    <row r="7039">
      <c r="A7039" s="380" t="s">
        <v>7913</v>
      </c>
      <c r="B7039" s="380" t="str">
        <f>IFERROR(__xludf.DUMMYFUNCTION("""COMPUTED_VALUE"""),"Racor De Empalme B-62 5/8 B-62")</f>
        <v>Racor De Empalme B-62 5/8 B-62</v>
      </c>
      <c r="C7039" s="380" t="str">
        <f>IFERROR(__xludf.DUMMYFUNCTION("""COMPUTED_VALUE"""),"70002447")</f>
        <v>70002447</v>
      </c>
      <c r="D7039" s="380" t="s">
        <v>767</v>
      </c>
      <c r="E7039" s="380" t="s">
        <v>786</v>
      </c>
      <c r="F7039" s="380" t="s">
        <v>989</v>
      </c>
      <c r="G7039" s="380" t="s">
        <v>1267</v>
      </c>
      <c r="H7039" s="380" t="s">
        <v>771</v>
      </c>
      <c r="I7039" s="380" t="s">
        <v>788</v>
      </c>
      <c r="J7039" s="380" t="s">
        <v>773</v>
      </c>
      <c r="K7039" s="381">
        <v>0.0</v>
      </c>
      <c r="L7039" s="382">
        <v>1.0</v>
      </c>
    </row>
    <row r="7040">
      <c r="A7040" s="380" t="s">
        <v>7914</v>
      </c>
      <c r="B7040" s="380" t="str">
        <f>IFERROR(__xludf.DUMMYFUNCTION("""COMPUTED_VALUE"""),"Bombillo Exploradora 24v Hino 64216")</f>
        <v>Bombillo Exploradora 24v Hino 64216</v>
      </c>
      <c r="C7040" s="380" t="str">
        <f>IFERROR(__xludf.DUMMYFUNCTION("""COMPUTED_VALUE"""),"70002448")</f>
        <v>70002448</v>
      </c>
      <c r="D7040" s="380" t="s">
        <v>767</v>
      </c>
      <c r="E7040" s="380" t="s">
        <v>786</v>
      </c>
      <c r="F7040" s="380" t="s">
        <v>998</v>
      </c>
      <c r="G7040" s="380" t="s">
        <v>1267</v>
      </c>
      <c r="H7040" s="380" t="s">
        <v>771</v>
      </c>
      <c r="I7040" s="380" t="s">
        <v>788</v>
      </c>
      <c r="J7040" s="380" t="s">
        <v>773</v>
      </c>
      <c r="K7040" s="381">
        <v>0.0</v>
      </c>
      <c r="L7040" s="382">
        <v>1.0</v>
      </c>
    </row>
    <row r="7041">
      <c r="A7041" s="380" t="s">
        <v>7915</v>
      </c>
      <c r="B7041" s="380" t="str">
        <f>IFERROR(__xludf.DUMMYFUNCTION("""COMPUTED_VALUE"""),"Chapa Puerta Delantera Izq N200 24525621")</f>
        <v>Chapa Puerta Delantera Izq N200 24525621</v>
      </c>
      <c r="C7041" s="380" t="str">
        <f>IFERROR(__xludf.DUMMYFUNCTION("""COMPUTED_VALUE"""),"70002449")</f>
        <v>70002449</v>
      </c>
      <c r="D7041" s="380" t="s">
        <v>767</v>
      </c>
      <c r="E7041" s="380" t="s">
        <v>786</v>
      </c>
      <c r="F7041" s="380" t="s">
        <v>792</v>
      </c>
      <c r="G7041" s="380" t="s">
        <v>1267</v>
      </c>
      <c r="H7041" s="380" t="s">
        <v>771</v>
      </c>
      <c r="I7041" s="380" t="s">
        <v>788</v>
      </c>
      <c r="J7041" s="380" t="s">
        <v>773</v>
      </c>
      <c r="K7041" s="381">
        <v>0.0</v>
      </c>
      <c r="L7041" s="382">
        <v>1.0</v>
      </c>
    </row>
    <row r="7042">
      <c r="A7042" s="380" t="s">
        <v>7916</v>
      </c>
      <c r="B7042" s="380" t="str">
        <f>IFERROR(__xludf.DUMMYFUNCTION("""COMPUTED_VALUE"""),"Interr Direc Y Luces Nkr Rewar8982437480")</f>
        <v>Interr Direc Y Luces Nkr Rewar8982437480</v>
      </c>
      <c r="C7042" s="380" t="str">
        <f>IFERROR(__xludf.DUMMYFUNCTION("""COMPUTED_VALUE"""),"70002450")</f>
        <v>70002450</v>
      </c>
      <c r="D7042" s="380" t="s">
        <v>767</v>
      </c>
      <c r="E7042" s="380" t="s">
        <v>786</v>
      </c>
      <c r="F7042" s="380" t="s">
        <v>998</v>
      </c>
      <c r="G7042" s="380" t="s">
        <v>1267</v>
      </c>
      <c r="H7042" s="380" t="s">
        <v>771</v>
      </c>
      <c r="I7042" s="380" t="s">
        <v>788</v>
      </c>
      <c r="J7042" s="380" t="s">
        <v>773</v>
      </c>
      <c r="K7042" s="381">
        <v>543415.0</v>
      </c>
      <c r="L7042" s="382">
        <v>1.0</v>
      </c>
    </row>
    <row r="7043">
      <c r="A7043" s="380" t="s">
        <v>7917</v>
      </c>
      <c r="B7043" s="380" t="str">
        <f>IFERROR(__xludf.DUMMYFUNCTION("""COMPUTED_VALUE"""),"Racor Codo B69R 90° 1/8 Sinflex X 1/4Npt")</f>
        <v>Racor Codo B69R 90° 1/8 Sinflex X 1/4Npt</v>
      </c>
      <c r="C7043" s="380" t="str">
        <f>IFERROR(__xludf.DUMMYFUNCTION("""COMPUTED_VALUE"""),"70002451")</f>
        <v>70002451</v>
      </c>
      <c r="D7043" s="380" t="s">
        <v>767</v>
      </c>
      <c r="E7043" s="380" t="s">
        <v>786</v>
      </c>
      <c r="F7043" s="380" t="s">
        <v>989</v>
      </c>
      <c r="G7043" s="380" t="s">
        <v>1267</v>
      </c>
      <c r="H7043" s="380" t="s">
        <v>771</v>
      </c>
      <c r="I7043" s="380" t="s">
        <v>788</v>
      </c>
      <c r="J7043" s="380" t="s">
        <v>773</v>
      </c>
      <c r="K7043" s="381">
        <v>0.0</v>
      </c>
      <c r="L7043" s="382">
        <v>1.0</v>
      </c>
    </row>
    <row r="7044">
      <c r="A7044" s="380" t="s">
        <v>7918</v>
      </c>
      <c r="B7044" s="380" t="str">
        <f>IFERROR(__xludf.DUMMYFUNCTION("""COMPUTED_VALUE"""),"Palan Switch Direc Volksw8150 953513-2R0")</f>
        <v>Palan Switch Direc Volksw8150 953513-2R0</v>
      </c>
      <c r="C7044" s="380" t="str">
        <f>IFERROR(__xludf.DUMMYFUNCTION("""COMPUTED_VALUE"""),"70002452")</f>
        <v>70002452</v>
      </c>
      <c r="D7044" s="380" t="s">
        <v>767</v>
      </c>
      <c r="E7044" s="380" t="s">
        <v>786</v>
      </c>
      <c r="F7044" s="380" t="s">
        <v>998</v>
      </c>
      <c r="G7044" s="380" t="s">
        <v>1267</v>
      </c>
      <c r="H7044" s="380" t="s">
        <v>771</v>
      </c>
      <c r="I7044" s="380" t="s">
        <v>788</v>
      </c>
      <c r="J7044" s="380" t="s">
        <v>773</v>
      </c>
      <c r="K7044" s="381">
        <v>0.0</v>
      </c>
      <c r="L7044" s="382">
        <v>1.0</v>
      </c>
    </row>
    <row r="7045">
      <c r="A7045" s="380" t="s">
        <v>7919</v>
      </c>
      <c r="B7045" s="380" t="str">
        <f>IFERROR(__xludf.DUMMYFUNCTION("""COMPUTED_VALUE"""),"Mang Conect Purificad Aire FRR8980106433")</f>
        <v>Mang Conect Purificad Aire FRR8980106433</v>
      </c>
      <c r="C7045" s="380" t="str">
        <f>IFERROR(__xludf.DUMMYFUNCTION("""COMPUTED_VALUE"""),"70002453")</f>
        <v>70002453</v>
      </c>
      <c r="D7045" s="380" t="s">
        <v>767</v>
      </c>
      <c r="E7045" s="380" t="s">
        <v>786</v>
      </c>
      <c r="F7045" s="380" t="s">
        <v>787</v>
      </c>
      <c r="G7045" s="380" t="s">
        <v>1267</v>
      </c>
      <c r="H7045" s="380" t="s">
        <v>771</v>
      </c>
      <c r="I7045" s="380" t="s">
        <v>788</v>
      </c>
      <c r="J7045" s="380" t="s">
        <v>773</v>
      </c>
      <c r="K7045" s="381">
        <v>0.0</v>
      </c>
      <c r="L7045" s="382">
        <v>1.0</v>
      </c>
    </row>
    <row r="7046">
      <c r="A7046" s="380" t="s">
        <v>7920</v>
      </c>
      <c r="B7046" s="380" t="str">
        <f>IFERROR(__xludf.DUMMYFUNCTION("""COMPUTED_VALUE"""),"Tubo Retor Inyec N4 Nkr Reward8981610620")</f>
        <v>Tubo Retor Inyec N4 Nkr Reward8981610620</v>
      </c>
      <c r="C7046" s="380" t="str">
        <f>IFERROR(__xludf.DUMMYFUNCTION("""COMPUTED_VALUE"""),"70002454")</f>
        <v>70002454</v>
      </c>
      <c r="D7046" s="380" t="s">
        <v>767</v>
      </c>
      <c r="E7046" s="380" t="s">
        <v>786</v>
      </c>
      <c r="F7046" s="380" t="s">
        <v>787</v>
      </c>
      <c r="G7046" s="380" t="s">
        <v>1267</v>
      </c>
      <c r="H7046" s="380" t="s">
        <v>771</v>
      </c>
      <c r="I7046" s="380" t="s">
        <v>788</v>
      </c>
      <c r="J7046" s="380" t="s">
        <v>773</v>
      </c>
      <c r="K7046" s="381">
        <v>0.0</v>
      </c>
      <c r="L7046" s="382">
        <v>1.0</v>
      </c>
    </row>
    <row r="7047">
      <c r="A7047" s="380" t="s">
        <v>7921</v>
      </c>
      <c r="B7047" s="380" t="str">
        <f>IFERROR(__xludf.DUMMYFUNCTION("""COMPUTED_VALUE"""),"Tensor Cade De Tiempo Nkr Rewa8980397541")</f>
        <v>Tensor Cade De Tiempo Nkr Rewa8980397541</v>
      </c>
      <c r="C7047" s="380" t="str">
        <f>IFERROR(__xludf.DUMMYFUNCTION("""COMPUTED_VALUE"""),"70002455")</f>
        <v>70002455</v>
      </c>
      <c r="D7047" s="380" t="s">
        <v>767</v>
      </c>
      <c r="E7047" s="380" t="s">
        <v>786</v>
      </c>
      <c r="F7047" s="380" t="s">
        <v>787</v>
      </c>
      <c r="G7047" s="380" t="s">
        <v>1267</v>
      </c>
      <c r="H7047" s="380" t="s">
        <v>771</v>
      </c>
      <c r="I7047" s="380" t="s">
        <v>788</v>
      </c>
      <c r="J7047" s="380" t="s">
        <v>773</v>
      </c>
      <c r="K7047" s="381">
        <v>0.0</v>
      </c>
      <c r="L7047" s="382">
        <v>1.0</v>
      </c>
    </row>
    <row r="7048">
      <c r="A7048" s="380" t="s">
        <v>7922</v>
      </c>
      <c r="B7048" s="380" t="str">
        <f>IFERROR(__xludf.DUMMYFUNCTION("""COMPUTED_VALUE"""),"Balinera Fan Clucht 6209 2RS E")</f>
        <v>Balinera Fan Clucht 6209 2RS E</v>
      </c>
      <c r="C7048" s="380" t="str">
        <f>IFERROR(__xludf.DUMMYFUNCTION("""COMPUTED_VALUE"""),"70002456")</f>
        <v>70002456</v>
      </c>
      <c r="D7048" s="380" t="s">
        <v>767</v>
      </c>
      <c r="E7048" s="380" t="s">
        <v>786</v>
      </c>
      <c r="F7048" s="380" t="s">
        <v>787</v>
      </c>
      <c r="G7048" s="380" t="s">
        <v>1267</v>
      </c>
      <c r="H7048" s="380" t="s">
        <v>771</v>
      </c>
      <c r="I7048" s="380" t="s">
        <v>788</v>
      </c>
      <c r="J7048" s="380" t="s">
        <v>773</v>
      </c>
      <c r="K7048" s="381">
        <v>0.0</v>
      </c>
      <c r="L7048" s="382">
        <v>1.0</v>
      </c>
    </row>
    <row r="7049">
      <c r="A7049" s="380" t="s">
        <v>7923</v>
      </c>
      <c r="B7049" s="380" t="str">
        <f>IFERROR(__xludf.DUMMYFUNCTION("""COMPUTED_VALUE"""),"Racor Codo 3/8 X 3/8""")</f>
        <v>Racor Codo 3/8 X 3/8"</v>
      </c>
      <c r="C7049" s="380" t="str">
        <f>IFERROR(__xludf.DUMMYFUNCTION("""COMPUTED_VALUE"""),"70002457")</f>
        <v>70002457</v>
      </c>
      <c r="D7049" s="380" t="s">
        <v>767</v>
      </c>
      <c r="E7049" s="380" t="s">
        <v>786</v>
      </c>
      <c r="F7049" s="380" t="s">
        <v>989</v>
      </c>
      <c r="G7049" s="380" t="s">
        <v>1267</v>
      </c>
      <c r="H7049" s="380" t="s">
        <v>771</v>
      </c>
      <c r="I7049" s="380" t="s">
        <v>788</v>
      </c>
      <c r="J7049" s="380" t="s">
        <v>773</v>
      </c>
      <c r="K7049" s="381">
        <v>0.0</v>
      </c>
      <c r="L7049" s="382">
        <v>1.0</v>
      </c>
    </row>
    <row r="7050">
      <c r="A7050" s="380" t="s">
        <v>7924</v>
      </c>
      <c r="B7050" s="380" t="str">
        <f>IFERROR(__xludf.DUMMYFUNCTION("""COMPUTED_VALUE"""),"Filtro Secador Mack Granite R950068")</f>
        <v>Filtro Secador Mack Granite R950068</v>
      </c>
      <c r="C7050" s="380" t="str">
        <f>IFERROR(__xludf.DUMMYFUNCTION("""COMPUTED_VALUE"""),"70002458")</f>
        <v>70002458</v>
      </c>
      <c r="D7050" s="380" t="s">
        <v>767</v>
      </c>
      <c r="E7050" s="380" t="s">
        <v>786</v>
      </c>
      <c r="F7050" s="380" t="s">
        <v>5855</v>
      </c>
      <c r="G7050" s="380" t="s">
        <v>1267</v>
      </c>
      <c r="H7050" s="380" t="s">
        <v>771</v>
      </c>
      <c r="I7050" s="380" t="s">
        <v>788</v>
      </c>
      <c r="J7050" s="380" t="s">
        <v>773</v>
      </c>
      <c r="K7050" s="381">
        <v>0.0</v>
      </c>
      <c r="L7050" s="382">
        <v>1.0</v>
      </c>
    </row>
    <row r="7051">
      <c r="A7051" s="380" t="s">
        <v>7925</v>
      </c>
      <c r="B7051" s="380" t="str">
        <f>IFERROR(__xludf.DUMMYFUNCTION("""COMPUTED_VALUE"""),"Cable Batería Doble Fusible 3548966C92")</f>
        <v>Cable Batería Doble Fusible 3548966C92</v>
      </c>
      <c r="C7051" s="380" t="str">
        <f>IFERROR(__xludf.DUMMYFUNCTION("""COMPUTED_VALUE"""),"70002459")</f>
        <v>70002459</v>
      </c>
      <c r="D7051" s="380" t="s">
        <v>767</v>
      </c>
      <c r="E7051" s="380" t="s">
        <v>786</v>
      </c>
      <c r="F7051" s="380" t="s">
        <v>998</v>
      </c>
      <c r="G7051" s="380" t="s">
        <v>1267</v>
      </c>
      <c r="H7051" s="380" t="s">
        <v>771</v>
      </c>
      <c r="I7051" s="380" t="s">
        <v>788</v>
      </c>
      <c r="J7051" s="380" t="s">
        <v>773</v>
      </c>
      <c r="K7051" s="381">
        <v>481188.0</v>
      </c>
      <c r="L7051" s="382">
        <v>1.0</v>
      </c>
    </row>
    <row r="7052">
      <c r="A7052" s="380" t="s">
        <v>7926</v>
      </c>
      <c r="B7052" s="380" t="str">
        <f>IFERROR(__xludf.DUMMYFUNCTION("""COMPUTED_VALUE"""),"Cable Bateria Negativo 3545881C92")</f>
        <v>Cable Bateria Negativo 3545881C92</v>
      </c>
      <c r="C7052" s="380" t="str">
        <f>IFERROR(__xludf.DUMMYFUNCTION("""COMPUTED_VALUE"""),"70002460")</f>
        <v>70002460</v>
      </c>
      <c r="D7052" s="380" t="s">
        <v>767</v>
      </c>
      <c r="E7052" s="380" t="s">
        <v>786</v>
      </c>
      <c r="F7052" s="380" t="s">
        <v>998</v>
      </c>
      <c r="G7052" s="380" t="s">
        <v>1267</v>
      </c>
      <c r="H7052" s="380" t="s">
        <v>771</v>
      </c>
      <c r="I7052" s="380" t="s">
        <v>788</v>
      </c>
      <c r="J7052" s="380" t="s">
        <v>773</v>
      </c>
      <c r="K7052" s="381">
        <v>0.0</v>
      </c>
      <c r="L7052" s="382">
        <v>1.0</v>
      </c>
    </row>
    <row r="7053">
      <c r="A7053" s="380" t="s">
        <v>7927</v>
      </c>
      <c r="B7053" s="380" t="str">
        <f>IFERROR(__xludf.DUMMYFUNCTION("""COMPUTED_VALUE"""),"Botella Cardan Larga 5-580 633441-K")</f>
        <v>Botella Cardan Larga 5-580 633441-K</v>
      </c>
      <c r="C7053" s="380" t="str">
        <f>IFERROR(__xludf.DUMMYFUNCTION("""COMPUTED_VALUE"""),"70002461")</f>
        <v>70002461</v>
      </c>
      <c r="D7053" s="380" t="s">
        <v>767</v>
      </c>
      <c r="E7053" s="380" t="s">
        <v>786</v>
      </c>
      <c r="F7053" s="380" t="s">
        <v>5683</v>
      </c>
      <c r="G7053" s="380" t="s">
        <v>1267</v>
      </c>
      <c r="H7053" s="380" t="s">
        <v>771</v>
      </c>
      <c r="I7053" s="380" t="s">
        <v>788</v>
      </c>
      <c r="J7053" s="380" t="s">
        <v>773</v>
      </c>
      <c r="K7053" s="381">
        <v>0.0</v>
      </c>
      <c r="L7053" s="382">
        <v>1.0</v>
      </c>
    </row>
    <row r="7054">
      <c r="A7054" s="380" t="s">
        <v>7928</v>
      </c>
      <c r="B7054" s="380" t="str">
        <f>IFERROR(__xludf.DUMMYFUNCTION("""COMPUTED_VALUE"""),"Ventilador Motor Prostar 3809753C2")</f>
        <v>Ventilador Motor Prostar 3809753C2</v>
      </c>
      <c r="C7054" s="380" t="str">
        <f>IFERROR(__xludf.DUMMYFUNCTION("""COMPUTED_VALUE"""),"70002462")</f>
        <v>70002462</v>
      </c>
      <c r="D7054" s="380" t="s">
        <v>767</v>
      </c>
      <c r="E7054" s="380" t="s">
        <v>786</v>
      </c>
      <c r="F7054" s="380" t="s">
        <v>787</v>
      </c>
      <c r="G7054" s="380" t="s">
        <v>1267</v>
      </c>
      <c r="H7054" s="380" t="s">
        <v>771</v>
      </c>
      <c r="I7054" s="380" t="s">
        <v>788</v>
      </c>
      <c r="J7054" s="380" t="s">
        <v>773</v>
      </c>
      <c r="K7054" s="381">
        <v>0.0</v>
      </c>
      <c r="L7054" s="382">
        <v>1.0</v>
      </c>
    </row>
    <row r="7055">
      <c r="A7055" s="380" t="s">
        <v>7929</v>
      </c>
      <c r="B7055" s="380" t="str">
        <f>IFERROR(__xludf.DUMMYFUNCTION("""COMPUTED_VALUE"""),"Racor Codo 3/8 X 1/4""")</f>
        <v>Racor Codo 3/8 X 1/4"</v>
      </c>
      <c r="C7055" s="380" t="str">
        <f>IFERROR(__xludf.DUMMYFUNCTION("""COMPUTED_VALUE"""),"70002463")</f>
        <v>70002463</v>
      </c>
      <c r="D7055" s="380" t="s">
        <v>767</v>
      </c>
      <c r="E7055" s="380" t="s">
        <v>786</v>
      </c>
      <c r="F7055" s="380" t="s">
        <v>989</v>
      </c>
      <c r="G7055" s="380" t="s">
        <v>1267</v>
      </c>
      <c r="H7055" s="380" t="s">
        <v>771</v>
      </c>
      <c r="I7055" s="380" t="s">
        <v>788</v>
      </c>
      <c r="J7055" s="380" t="s">
        <v>773</v>
      </c>
      <c r="K7055" s="381">
        <v>0.0</v>
      </c>
      <c r="L7055" s="382">
        <v>1.0</v>
      </c>
    </row>
    <row r="7056">
      <c r="A7056" s="380" t="s">
        <v>7930</v>
      </c>
      <c r="B7056" s="380" t="str">
        <f>IFERROR(__xludf.DUMMYFUNCTION("""COMPUTED_VALUE"""),"Luna Espejo Retrovisor Prostar 2505818C2")</f>
        <v>Luna Espejo Retrovisor Prostar 2505818C2</v>
      </c>
      <c r="C7056" s="380" t="str">
        <f>IFERROR(__xludf.DUMMYFUNCTION("""COMPUTED_VALUE"""),"70002464")</f>
        <v>70002464</v>
      </c>
      <c r="D7056" s="380" t="s">
        <v>767</v>
      </c>
      <c r="E7056" s="380" t="s">
        <v>786</v>
      </c>
      <c r="F7056" s="380" t="s">
        <v>792</v>
      </c>
      <c r="G7056" s="380" t="s">
        <v>1267</v>
      </c>
      <c r="H7056" s="380" t="s">
        <v>771</v>
      </c>
      <c r="I7056" s="380" t="s">
        <v>788</v>
      </c>
      <c r="J7056" s="380" t="s">
        <v>773</v>
      </c>
      <c r="K7056" s="381">
        <v>411891.0</v>
      </c>
      <c r="L7056" s="382">
        <v>1.0</v>
      </c>
    </row>
    <row r="7057">
      <c r="A7057" s="380" t="s">
        <v>7931</v>
      </c>
      <c r="B7057" s="380" t="str">
        <f>IFERROR(__xludf.DUMMYFUNCTION("""COMPUTED_VALUE"""),"Bateria 24MR 1150 Duncan Toyota Prado")</f>
        <v>Bateria 24MR 1150 Duncan Toyota Prado</v>
      </c>
      <c r="C7057" s="380" t="str">
        <f>IFERROR(__xludf.DUMMYFUNCTION("""COMPUTED_VALUE"""),"70002465")</f>
        <v>70002465</v>
      </c>
      <c r="D7057" s="380" t="s">
        <v>767</v>
      </c>
      <c r="E7057" s="380" t="s">
        <v>786</v>
      </c>
      <c r="F7057" s="380" t="s">
        <v>998</v>
      </c>
      <c r="G7057" s="380" t="s">
        <v>1267</v>
      </c>
      <c r="H7057" s="380" t="s">
        <v>771</v>
      </c>
      <c r="I7057" s="380" t="s">
        <v>788</v>
      </c>
      <c r="J7057" s="380" t="s">
        <v>773</v>
      </c>
      <c r="K7057" s="381">
        <v>0.0</v>
      </c>
      <c r="L7057" s="382">
        <v>1.0</v>
      </c>
    </row>
    <row r="7058">
      <c r="A7058" s="380" t="s">
        <v>7932</v>
      </c>
      <c r="B7058" s="380" t="str">
        <f>IFERROR(__xludf.DUMMYFUNCTION("""COMPUTED_VALUE"""),"Racor Codo 1/2 X 1/4""")</f>
        <v>Racor Codo 1/2 X 1/4"</v>
      </c>
      <c r="C7058" s="380" t="str">
        <f>IFERROR(__xludf.DUMMYFUNCTION("""COMPUTED_VALUE"""),"70002466")</f>
        <v>70002466</v>
      </c>
      <c r="D7058" s="380" t="s">
        <v>767</v>
      </c>
      <c r="E7058" s="380" t="s">
        <v>786</v>
      </c>
      <c r="F7058" s="380" t="s">
        <v>989</v>
      </c>
      <c r="G7058" s="380" t="s">
        <v>1267</v>
      </c>
      <c r="H7058" s="380" t="s">
        <v>771</v>
      </c>
      <c r="I7058" s="380" t="s">
        <v>788</v>
      </c>
      <c r="J7058" s="380" t="s">
        <v>773</v>
      </c>
      <c r="K7058" s="381">
        <v>0.0</v>
      </c>
      <c r="L7058" s="382">
        <v>1.0</v>
      </c>
    </row>
    <row r="7059">
      <c r="A7059" s="380" t="s">
        <v>7933</v>
      </c>
      <c r="B7059" s="380" t="str">
        <f>IFERROR(__xludf.DUMMYFUNCTION("""COMPUTED_VALUE"""),"Interruptor Luz Rev Nkr Rewar 8982564180")</f>
        <v>Interruptor Luz Rev Nkr Rewar 8982564180</v>
      </c>
      <c r="C7059" s="380" t="str">
        <f>IFERROR(__xludf.DUMMYFUNCTION("""COMPUTED_VALUE"""),"70002467")</f>
        <v>70002467</v>
      </c>
      <c r="D7059" s="380" t="s">
        <v>767</v>
      </c>
      <c r="E7059" s="380" t="s">
        <v>786</v>
      </c>
      <c r="F7059" s="380" t="s">
        <v>998</v>
      </c>
      <c r="G7059" s="380" t="s">
        <v>1267</v>
      </c>
      <c r="H7059" s="380" t="s">
        <v>771</v>
      </c>
      <c r="I7059" s="380" t="s">
        <v>788</v>
      </c>
      <c r="J7059" s="380" t="s">
        <v>773</v>
      </c>
      <c r="K7059" s="381">
        <v>99141.0</v>
      </c>
      <c r="L7059" s="382">
        <v>1.0</v>
      </c>
    </row>
    <row r="7060">
      <c r="A7060" s="380" t="s">
        <v>7934</v>
      </c>
      <c r="B7060" s="380" t="str">
        <f>IFERROR(__xludf.DUMMYFUNCTION("""COMPUTED_VALUE"""),"Cilin Freno LH H.Dutro S Purga4758036200")</f>
        <v>Cilin Freno LH H.Dutro S Purga4758036200</v>
      </c>
      <c r="C7060" s="380" t="str">
        <f>IFERROR(__xludf.DUMMYFUNCTION("""COMPUTED_VALUE"""),"70002468")</f>
        <v>70002468</v>
      </c>
      <c r="D7060" s="380" t="s">
        <v>767</v>
      </c>
      <c r="E7060" s="380" t="s">
        <v>786</v>
      </c>
      <c r="F7060" s="380" t="s">
        <v>1017</v>
      </c>
      <c r="G7060" s="380" t="s">
        <v>1267</v>
      </c>
      <c r="H7060" s="380" t="s">
        <v>771</v>
      </c>
      <c r="I7060" s="380" t="s">
        <v>788</v>
      </c>
      <c r="J7060" s="380" t="s">
        <v>773</v>
      </c>
      <c r="K7060" s="381">
        <v>0.0</v>
      </c>
      <c r="L7060" s="382">
        <v>1.0</v>
      </c>
    </row>
    <row r="7061">
      <c r="A7061" s="380" t="s">
        <v>7935</v>
      </c>
      <c r="B7061" s="380" t="str">
        <f>IFERROR(__xludf.DUMMYFUNCTION("""COMPUTED_VALUE"""),"Cilindro Freno RH Hino Dutro 4755037120")</f>
        <v>Cilindro Freno RH Hino Dutro 4755037120</v>
      </c>
      <c r="C7061" s="380" t="str">
        <f>IFERROR(__xludf.DUMMYFUNCTION("""COMPUTED_VALUE"""),"70002469")</f>
        <v>70002469</v>
      </c>
      <c r="D7061" s="380" t="s">
        <v>767</v>
      </c>
      <c r="E7061" s="380" t="s">
        <v>786</v>
      </c>
      <c r="F7061" s="380" t="s">
        <v>1017</v>
      </c>
      <c r="G7061" s="380" t="s">
        <v>1267</v>
      </c>
      <c r="H7061" s="380" t="s">
        <v>771</v>
      </c>
      <c r="I7061" s="380" t="s">
        <v>788</v>
      </c>
      <c r="J7061" s="380" t="s">
        <v>773</v>
      </c>
      <c r="K7061" s="381">
        <v>0.0</v>
      </c>
      <c r="L7061" s="382">
        <v>1.0</v>
      </c>
    </row>
    <row r="7062">
      <c r="A7062" s="380" t="s">
        <v>7936</v>
      </c>
      <c r="B7062" s="380" t="str">
        <f>IFERROR(__xludf.DUMMYFUNCTION("""COMPUTED_VALUE"""),"Valvula Repartid Aire Prostar 3584247C1")</f>
        <v>Valvula Repartid Aire Prostar 3584247C1</v>
      </c>
      <c r="C7062" s="380" t="str">
        <f>IFERROR(__xludf.DUMMYFUNCTION("""COMPUTED_VALUE"""),"70002470")</f>
        <v>70002470</v>
      </c>
      <c r="D7062" s="380" t="s">
        <v>767</v>
      </c>
      <c r="E7062" s="380" t="s">
        <v>786</v>
      </c>
      <c r="F7062" s="380" t="s">
        <v>792</v>
      </c>
      <c r="G7062" s="380" t="s">
        <v>1267</v>
      </c>
      <c r="H7062" s="380" t="s">
        <v>771</v>
      </c>
      <c r="I7062" s="380" t="s">
        <v>788</v>
      </c>
      <c r="J7062" s="380" t="s">
        <v>773</v>
      </c>
      <c r="K7062" s="381">
        <v>0.0</v>
      </c>
      <c r="L7062" s="382">
        <v>1.0</v>
      </c>
    </row>
    <row r="7063">
      <c r="A7063" s="380" t="s">
        <v>7937</v>
      </c>
      <c r="B7063" s="380" t="str">
        <f>IFERROR(__xludf.DUMMYFUNCTION("""COMPUTED_VALUE"""),"Balinera Fan Clucht Y Eje Cja 6207 LLUC3")</f>
        <v>Balinera Fan Clucht Y Eje Cja 6207 LLUC3</v>
      </c>
      <c r="C7063" s="380" t="str">
        <f>IFERROR(__xludf.DUMMYFUNCTION("""COMPUTED_VALUE"""),"70002471")</f>
        <v>70002471</v>
      </c>
      <c r="D7063" s="380" t="s">
        <v>767</v>
      </c>
      <c r="E7063" s="380" t="s">
        <v>786</v>
      </c>
      <c r="F7063" s="380" t="s">
        <v>787</v>
      </c>
      <c r="G7063" s="380" t="s">
        <v>1267</v>
      </c>
      <c r="H7063" s="380" t="s">
        <v>771</v>
      </c>
      <c r="I7063" s="380" t="s">
        <v>788</v>
      </c>
      <c r="J7063" s="380" t="s">
        <v>773</v>
      </c>
      <c r="K7063" s="381">
        <v>72590.0</v>
      </c>
      <c r="L7063" s="382">
        <v>1.0</v>
      </c>
    </row>
    <row r="7064">
      <c r="A7064" s="380" t="s">
        <v>7938</v>
      </c>
      <c r="B7064" s="380" t="str">
        <f>IFERROR(__xludf.DUMMYFUNCTION("""COMPUTED_VALUE"""),"Valvula Relay Trailer 110415 1530110415")</f>
        <v>Valvula Relay Trailer 110415 1530110415</v>
      </c>
      <c r="C7064" s="380" t="str">
        <f>IFERROR(__xludf.DUMMYFUNCTION("""COMPUTED_VALUE"""),"70002472")</f>
        <v>70002472</v>
      </c>
      <c r="D7064" s="380" t="s">
        <v>767</v>
      </c>
      <c r="E7064" s="380" t="s">
        <v>786</v>
      </c>
      <c r="F7064" s="380" t="s">
        <v>1017</v>
      </c>
      <c r="G7064" s="380" t="s">
        <v>1267</v>
      </c>
      <c r="H7064" s="380" t="s">
        <v>771</v>
      </c>
      <c r="I7064" s="380" t="s">
        <v>788</v>
      </c>
      <c r="J7064" s="380" t="s">
        <v>773</v>
      </c>
      <c r="K7064" s="381">
        <v>0.0</v>
      </c>
      <c r="L7064" s="382">
        <v>1.0</v>
      </c>
    </row>
    <row r="7065">
      <c r="A7065" s="380" t="s">
        <v>7939</v>
      </c>
      <c r="B7065" s="380" t="str">
        <f>IFERROR(__xludf.DUMMYFUNCTION("""COMPUTED_VALUE"""),"Valvula Modulad Abs Tras Eagle 3600213C1")</f>
        <v>Valvula Modulad Abs Tras Eagle 3600213C1</v>
      </c>
      <c r="C7065" s="380" t="str">
        <f>IFERROR(__xludf.DUMMYFUNCTION("""COMPUTED_VALUE"""),"70002473")</f>
        <v>70002473</v>
      </c>
      <c r="D7065" s="380" t="s">
        <v>767</v>
      </c>
      <c r="E7065" s="380" t="s">
        <v>786</v>
      </c>
      <c r="F7065" s="380" t="s">
        <v>1017</v>
      </c>
      <c r="G7065" s="380" t="s">
        <v>1267</v>
      </c>
      <c r="H7065" s="380" t="s">
        <v>771</v>
      </c>
      <c r="I7065" s="380" t="s">
        <v>788</v>
      </c>
      <c r="J7065" s="380" t="s">
        <v>773</v>
      </c>
      <c r="K7065" s="381">
        <v>0.0</v>
      </c>
      <c r="L7065" s="382">
        <v>1.0</v>
      </c>
    </row>
    <row r="7066">
      <c r="A7066" s="380" t="s">
        <v>7940</v>
      </c>
      <c r="B7066" s="380" t="str">
        <f>IFERROR(__xludf.DUMMYFUNCTION("""COMPUTED_VALUE"""),"Eje Difer Tras De 23 Estrias 8970324960")</f>
        <v>Eje Difer Tras De 23 Estrias 8970324960</v>
      </c>
      <c r="C7066" s="380" t="str">
        <f>IFERROR(__xludf.DUMMYFUNCTION("""COMPUTED_VALUE"""),"70002474")</f>
        <v>70002474</v>
      </c>
      <c r="D7066" s="380" t="s">
        <v>767</v>
      </c>
      <c r="E7066" s="380" t="s">
        <v>786</v>
      </c>
      <c r="F7066" s="380" t="s">
        <v>5683</v>
      </c>
      <c r="G7066" s="380" t="s">
        <v>1267</v>
      </c>
      <c r="H7066" s="380" t="s">
        <v>771</v>
      </c>
      <c r="I7066" s="380" t="s">
        <v>788</v>
      </c>
      <c r="J7066" s="380" t="s">
        <v>773</v>
      </c>
      <c r="K7066" s="381">
        <v>0.0</v>
      </c>
      <c r="L7066" s="382">
        <v>1.0</v>
      </c>
    </row>
    <row r="7067">
      <c r="A7067" s="380" t="s">
        <v>7941</v>
      </c>
      <c r="B7067" s="380" t="str">
        <f>IFERROR(__xludf.DUMMYFUNCTION("""COMPUTED_VALUE"""),"Plato Freno Trasero Izq Nhr 8970786800")</f>
        <v>Plato Freno Trasero Izq Nhr 8970786800</v>
      </c>
      <c r="C7067" s="380" t="str">
        <f>IFERROR(__xludf.DUMMYFUNCTION("""COMPUTED_VALUE"""),"70002475")</f>
        <v>70002475</v>
      </c>
      <c r="D7067" s="380" t="s">
        <v>767</v>
      </c>
      <c r="E7067" s="380" t="s">
        <v>786</v>
      </c>
      <c r="F7067" s="380" t="s">
        <v>1017</v>
      </c>
      <c r="G7067" s="380" t="s">
        <v>1267</v>
      </c>
      <c r="H7067" s="380" t="s">
        <v>771</v>
      </c>
      <c r="I7067" s="380" t="s">
        <v>788</v>
      </c>
      <c r="J7067" s="380" t="s">
        <v>773</v>
      </c>
      <c r="K7067" s="381">
        <v>0.0</v>
      </c>
      <c r="L7067" s="382">
        <v>1.0</v>
      </c>
    </row>
    <row r="7068">
      <c r="A7068" s="380" t="s">
        <v>7942</v>
      </c>
      <c r="B7068" s="380" t="str">
        <f>IFERROR(__xludf.DUMMYFUNCTION("""COMPUTED_VALUE"""),"Bisagra Lado Izq FRR 8981913020")</f>
        <v>Bisagra Lado Izq FRR 8981913020</v>
      </c>
      <c r="C7068" s="380" t="str">
        <f>IFERROR(__xludf.DUMMYFUNCTION("""COMPUTED_VALUE"""),"70002476")</f>
        <v>70002476</v>
      </c>
      <c r="D7068" s="380" t="s">
        <v>767</v>
      </c>
      <c r="E7068" s="380" t="s">
        <v>786</v>
      </c>
      <c r="F7068" s="380" t="s">
        <v>792</v>
      </c>
      <c r="G7068" s="380" t="s">
        <v>1267</v>
      </c>
      <c r="H7068" s="380" t="s">
        <v>771</v>
      </c>
      <c r="I7068" s="380" t="s">
        <v>788</v>
      </c>
      <c r="J7068" s="380" t="s">
        <v>773</v>
      </c>
      <c r="K7068" s="381">
        <v>0.0</v>
      </c>
      <c r="L7068" s="382">
        <v>1.0</v>
      </c>
    </row>
    <row r="7069">
      <c r="A7069" s="380" t="s">
        <v>7943</v>
      </c>
      <c r="B7069" s="380" t="str">
        <f>IFERROR(__xludf.DUMMYFUNCTION("""COMPUTED_VALUE"""),"Manija Ext Del Der Foton 7701023486606")</f>
        <v>Manija Ext Del Der Foton 7701023486606</v>
      </c>
      <c r="C7069" s="380" t="str">
        <f>IFERROR(__xludf.DUMMYFUNCTION("""COMPUTED_VALUE"""),"70002477")</f>
        <v>70002477</v>
      </c>
      <c r="D7069" s="380" t="s">
        <v>767</v>
      </c>
      <c r="E7069" s="380" t="s">
        <v>786</v>
      </c>
      <c r="F7069" s="380" t="s">
        <v>792</v>
      </c>
      <c r="G7069" s="380" t="s">
        <v>1267</v>
      </c>
      <c r="H7069" s="380" t="s">
        <v>771</v>
      </c>
      <c r="I7069" s="380" t="s">
        <v>788</v>
      </c>
      <c r="J7069" s="380" t="s">
        <v>773</v>
      </c>
      <c r="K7069" s="381">
        <v>0.0</v>
      </c>
      <c r="L7069" s="382">
        <v>1.0</v>
      </c>
    </row>
    <row r="7070">
      <c r="A7070" s="380" t="s">
        <v>7944</v>
      </c>
      <c r="B7070" s="380" t="str">
        <f>IFERROR(__xludf.DUMMYFUNCTION("""COMPUTED_VALUE"""),"Automatico Auxiliar Arra Freightliner")</f>
        <v>Automatico Auxiliar Arra Freightliner</v>
      </c>
      <c r="C7070" s="380" t="str">
        <f>IFERROR(__xludf.DUMMYFUNCTION("""COMPUTED_VALUE"""),"70002478")</f>
        <v>70002478</v>
      </c>
      <c r="D7070" s="380" t="s">
        <v>767</v>
      </c>
      <c r="E7070" s="380" t="s">
        <v>786</v>
      </c>
      <c r="F7070" s="380" t="s">
        <v>998</v>
      </c>
      <c r="G7070" s="380" t="s">
        <v>1267</v>
      </c>
      <c r="H7070" s="380" t="s">
        <v>771</v>
      </c>
      <c r="I7070" s="380" t="s">
        <v>788</v>
      </c>
      <c r="J7070" s="380" t="s">
        <v>773</v>
      </c>
      <c r="K7070" s="381">
        <v>0.0</v>
      </c>
      <c r="L7070" s="382">
        <v>1.0</v>
      </c>
    </row>
    <row r="7071">
      <c r="A7071" s="380" t="s">
        <v>7945</v>
      </c>
      <c r="B7071" s="380" t="str">
        <f>IFERROR(__xludf.DUMMYFUNCTION("""COMPUTED_VALUE"""),"Cruceta Cardan Nkr 2001 Pin Inter XIS152")</f>
        <v>Cruceta Cardan Nkr 2001 Pin Inter XIS152</v>
      </c>
      <c r="C7071" s="380" t="str">
        <f>IFERROR(__xludf.DUMMYFUNCTION("""COMPUTED_VALUE"""),"70002479")</f>
        <v>70002479</v>
      </c>
      <c r="D7071" s="380" t="s">
        <v>767</v>
      </c>
      <c r="E7071" s="380" t="s">
        <v>786</v>
      </c>
      <c r="F7071" s="380" t="s">
        <v>5683</v>
      </c>
      <c r="G7071" s="380" t="s">
        <v>1267</v>
      </c>
      <c r="H7071" s="380" t="s">
        <v>771</v>
      </c>
      <c r="I7071" s="380" t="s">
        <v>788</v>
      </c>
      <c r="J7071" s="380" t="s">
        <v>773</v>
      </c>
      <c r="K7071" s="381">
        <v>0.0</v>
      </c>
      <c r="L7071" s="382">
        <v>1.0</v>
      </c>
    </row>
    <row r="7072">
      <c r="A7072" s="380" t="s">
        <v>7946</v>
      </c>
      <c r="B7072" s="380" t="str">
        <f>IFERROR(__xludf.DUMMYFUNCTION("""COMPUTED_VALUE"""),"Espejo Retrov Der Foton 7702023487498")</f>
        <v>Espejo Retrov Der Foton 7702023487498</v>
      </c>
      <c r="C7072" s="380" t="str">
        <f>IFERROR(__xludf.DUMMYFUNCTION("""COMPUTED_VALUE"""),"70002480")</f>
        <v>70002480</v>
      </c>
      <c r="D7072" s="380" t="s">
        <v>767</v>
      </c>
      <c r="E7072" s="380" t="s">
        <v>786</v>
      </c>
      <c r="F7072" s="380" t="s">
        <v>792</v>
      </c>
      <c r="G7072" s="380" t="s">
        <v>1267</v>
      </c>
      <c r="H7072" s="380" t="s">
        <v>771</v>
      </c>
      <c r="I7072" s="380" t="s">
        <v>788</v>
      </c>
      <c r="J7072" s="380" t="s">
        <v>773</v>
      </c>
      <c r="K7072" s="381">
        <v>0.0</v>
      </c>
      <c r="L7072" s="382">
        <v>1.0</v>
      </c>
    </row>
    <row r="7073">
      <c r="A7073" s="380" t="s">
        <v>7947</v>
      </c>
      <c r="B7073" s="380" t="str">
        <f>IFERROR(__xludf.DUMMYFUNCTION("""COMPUTED_VALUE"""),"Cable Bateria Rojo R106601036")</f>
        <v>Cable Bateria Rojo R106601036</v>
      </c>
      <c r="C7073" s="380" t="str">
        <f>IFERROR(__xludf.DUMMYFUNCTION("""COMPUTED_VALUE"""),"70002481")</f>
        <v>70002481</v>
      </c>
      <c r="D7073" s="380" t="s">
        <v>767</v>
      </c>
      <c r="E7073" s="380" t="s">
        <v>786</v>
      </c>
      <c r="F7073" s="380" t="s">
        <v>998</v>
      </c>
      <c r="G7073" s="380" t="s">
        <v>1267</v>
      </c>
      <c r="H7073" s="380" t="s">
        <v>771</v>
      </c>
      <c r="I7073" s="380" t="s">
        <v>788</v>
      </c>
      <c r="J7073" s="380" t="s">
        <v>773</v>
      </c>
      <c r="K7073" s="381">
        <v>0.0</v>
      </c>
      <c r="L7073" s="382">
        <v>1.0</v>
      </c>
    </row>
    <row r="7074">
      <c r="A7074" s="380" t="s">
        <v>7948</v>
      </c>
      <c r="B7074" s="380" t="str">
        <f>IFERROR(__xludf.DUMMYFUNCTION("""COMPUTED_VALUE"""),"Racor Recto B68R 1/2 Sinflex X 3/8 Npt")</f>
        <v>Racor Recto B68R 1/2 Sinflex X 3/8 Npt</v>
      </c>
      <c r="C7074" s="380" t="str">
        <f>IFERROR(__xludf.DUMMYFUNCTION("""COMPUTED_VALUE"""),"70002482")</f>
        <v>70002482</v>
      </c>
      <c r="D7074" s="380" t="s">
        <v>767</v>
      </c>
      <c r="E7074" s="380" t="s">
        <v>786</v>
      </c>
      <c r="F7074" s="380" t="s">
        <v>989</v>
      </c>
      <c r="G7074" s="380" t="s">
        <v>1267</v>
      </c>
      <c r="H7074" s="380" t="s">
        <v>771</v>
      </c>
      <c r="I7074" s="380" t="s">
        <v>788</v>
      </c>
      <c r="J7074" s="380" t="s">
        <v>773</v>
      </c>
      <c r="K7074" s="381">
        <v>0.0</v>
      </c>
      <c r="L7074" s="382">
        <v>1.0</v>
      </c>
    </row>
    <row r="7075">
      <c r="A7075" s="380" t="s">
        <v>7949</v>
      </c>
      <c r="B7075" s="380" t="str">
        <f>IFERROR(__xludf.DUMMYFUNCTION("""COMPUTED_VALUE"""),"Fusible 80 Ap 8943883051 Npr Nkr")</f>
        <v>Fusible 80 Ap 8943883051 Npr Nkr</v>
      </c>
      <c r="C7075" s="380" t="str">
        <f>IFERROR(__xludf.DUMMYFUNCTION("""COMPUTED_VALUE"""),"70002483")</f>
        <v>70002483</v>
      </c>
      <c r="D7075" s="380" t="s">
        <v>767</v>
      </c>
      <c r="E7075" s="380" t="s">
        <v>786</v>
      </c>
      <c r="F7075" s="380" t="s">
        <v>998</v>
      </c>
      <c r="G7075" s="380" t="s">
        <v>1267</v>
      </c>
      <c r="H7075" s="380" t="s">
        <v>771</v>
      </c>
      <c r="I7075" s="380" t="s">
        <v>788</v>
      </c>
      <c r="J7075" s="380" t="s">
        <v>773</v>
      </c>
      <c r="K7075" s="381">
        <v>0.0</v>
      </c>
      <c r="L7075" s="382">
        <v>1.0</v>
      </c>
    </row>
    <row r="7076">
      <c r="A7076" s="380" t="s">
        <v>7950</v>
      </c>
      <c r="B7076" s="380" t="str">
        <f>IFERROR(__xludf.DUMMYFUNCTION("""COMPUTED_VALUE"""),"Guia Cadena Repart Nkr Reward 8979450690")</f>
        <v>Guia Cadena Repart Nkr Reward 8979450690</v>
      </c>
      <c r="C7076" s="380" t="str">
        <f>IFERROR(__xludf.DUMMYFUNCTION("""COMPUTED_VALUE"""),"70002484")</f>
        <v>70002484</v>
      </c>
      <c r="D7076" s="380" t="s">
        <v>767</v>
      </c>
      <c r="E7076" s="380" t="s">
        <v>786</v>
      </c>
      <c r="F7076" s="380" t="s">
        <v>787</v>
      </c>
      <c r="G7076" s="380" t="s">
        <v>1267</v>
      </c>
      <c r="H7076" s="380" t="s">
        <v>771</v>
      </c>
      <c r="I7076" s="380" t="s">
        <v>788</v>
      </c>
      <c r="J7076" s="380" t="s">
        <v>773</v>
      </c>
      <c r="K7076" s="381">
        <v>0.0</v>
      </c>
      <c r="L7076" s="382">
        <v>1.0</v>
      </c>
    </row>
    <row r="7077">
      <c r="A7077" s="380" t="s">
        <v>7951</v>
      </c>
      <c r="B7077" s="380" t="str">
        <f>IFERROR(__xludf.DUMMYFUNCTION("""COMPUTED_VALUE"""),"Buje Amortiguador Del Conico Nkr Rw")</f>
        <v>Buje Amortiguador Del Conico Nkr Rw</v>
      </c>
      <c r="C7077" s="380" t="str">
        <f>IFERROR(__xludf.DUMMYFUNCTION("""COMPUTED_VALUE"""),"70002485")</f>
        <v>70002485</v>
      </c>
      <c r="D7077" s="380" t="s">
        <v>767</v>
      </c>
      <c r="E7077" s="380" t="s">
        <v>786</v>
      </c>
      <c r="F7077" s="380" t="s">
        <v>1039</v>
      </c>
      <c r="G7077" s="380" t="s">
        <v>1267</v>
      </c>
      <c r="H7077" s="380" t="s">
        <v>771</v>
      </c>
      <c r="I7077" s="380" t="s">
        <v>788</v>
      </c>
      <c r="J7077" s="380" t="s">
        <v>773</v>
      </c>
      <c r="K7077" s="381">
        <v>0.0</v>
      </c>
      <c r="L7077" s="382">
        <v>1.0</v>
      </c>
    </row>
    <row r="7078">
      <c r="A7078" s="380" t="s">
        <v>7952</v>
      </c>
      <c r="B7078" s="380" t="str">
        <f>IFERROR(__xludf.DUMMYFUNCTION("""COMPUTED_VALUE"""),"Buje Anclaje Suspens Tras FTR 8980818300")</f>
        <v>Buje Anclaje Suspens Tras FTR 8980818300</v>
      </c>
      <c r="C7078" s="380" t="str">
        <f>IFERROR(__xludf.DUMMYFUNCTION("""COMPUTED_VALUE"""),"70002486")</f>
        <v>70002486</v>
      </c>
      <c r="D7078" s="380" t="s">
        <v>767</v>
      </c>
      <c r="E7078" s="380" t="s">
        <v>786</v>
      </c>
      <c r="F7078" s="380" t="s">
        <v>1039</v>
      </c>
      <c r="G7078" s="380" t="s">
        <v>1267</v>
      </c>
      <c r="H7078" s="380" t="s">
        <v>771</v>
      </c>
      <c r="I7078" s="380" t="s">
        <v>788</v>
      </c>
      <c r="J7078" s="380" t="s">
        <v>773</v>
      </c>
      <c r="K7078" s="381">
        <v>0.0</v>
      </c>
      <c r="L7078" s="382">
        <v>1.0</v>
      </c>
    </row>
    <row r="7079">
      <c r="A7079" s="380" t="s">
        <v>7953</v>
      </c>
      <c r="B7079" s="380" t="str">
        <f>IFERROR(__xludf.DUMMYFUNCTION("""COMPUTED_VALUE"""),"Deposito Refriger Mack 23915461 22564837")</f>
        <v>Deposito Refriger Mack 23915461 22564837</v>
      </c>
      <c r="C7079" s="380" t="str">
        <f>IFERROR(__xludf.DUMMYFUNCTION("""COMPUTED_VALUE"""),"70002487")</f>
        <v>70002487</v>
      </c>
      <c r="D7079" s="380" t="s">
        <v>767</v>
      </c>
      <c r="E7079" s="380" t="s">
        <v>786</v>
      </c>
      <c r="F7079" s="380" t="s">
        <v>787</v>
      </c>
      <c r="G7079" s="380" t="s">
        <v>1267</v>
      </c>
      <c r="H7079" s="380" t="s">
        <v>771</v>
      </c>
      <c r="I7079" s="380" t="s">
        <v>788</v>
      </c>
      <c r="J7079" s="380" t="s">
        <v>773</v>
      </c>
      <c r="K7079" s="381">
        <v>0.0</v>
      </c>
      <c r="L7079" s="382">
        <v>1.0</v>
      </c>
    </row>
    <row r="7080">
      <c r="A7080" s="380" t="s">
        <v>7954</v>
      </c>
      <c r="B7080" s="380" t="str">
        <f>IFERROR(__xludf.DUMMYFUNCTION("""COMPUTED_VALUE"""),"Regulad Alter 24v Nkr Reward Hitac488100")</f>
        <v>Regulad Alter 24v Nkr Reward Hitac488100</v>
      </c>
      <c r="C7080" s="380" t="str">
        <f>IFERROR(__xludf.DUMMYFUNCTION("""COMPUTED_VALUE"""),"70002488")</f>
        <v>70002488</v>
      </c>
      <c r="D7080" s="380" t="s">
        <v>767</v>
      </c>
      <c r="E7080" s="380" t="s">
        <v>786</v>
      </c>
      <c r="F7080" s="380" t="s">
        <v>998</v>
      </c>
      <c r="G7080" s="380" t="s">
        <v>1267</v>
      </c>
      <c r="H7080" s="380" t="s">
        <v>771</v>
      </c>
      <c r="I7080" s="380" t="s">
        <v>788</v>
      </c>
      <c r="J7080" s="380" t="s">
        <v>773</v>
      </c>
      <c r="K7080" s="381">
        <v>0.0</v>
      </c>
      <c r="L7080" s="382">
        <v>1.0</v>
      </c>
    </row>
    <row r="7081">
      <c r="A7081" s="380" t="s">
        <v>7955</v>
      </c>
      <c r="B7081" s="380" t="str">
        <f>IFERROR(__xludf.DUMMYFUNCTION("""COMPUTED_VALUE"""),"Bomba Freno Npr 8972243720")</f>
        <v>Bomba Freno Npr 8972243720</v>
      </c>
      <c r="C7081" s="380" t="str">
        <f>IFERROR(__xludf.DUMMYFUNCTION("""COMPUTED_VALUE"""),"70002489")</f>
        <v>70002489</v>
      </c>
      <c r="D7081" s="380" t="s">
        <v>767</v>
      </c>
      <c r="E7081" s="380" t="s">
        <v>786</v>
      </c>
      <c r="F7081" s="380" t="s">
        <v>1017</v>
      </c>
      <c r="G7081" s="380" t="s">
        <v>1267</v>
      </c>
      <c r="H7081" s="380" t="s">
        <v>771</v>
      </c>
      <c r="I7081" s="380" t="s">
        <v>788</v>
      </c>
      <c r="J7081" s="380" t="s">
        <v>773</v>
      </c>
      <c r="K7081" s="381">
        <v>0.0</v>
      </c>
      <c r="L7081" s="382">
        <v>1.0</v>
      </c>
    </row>
    <row r="7082">
      <c r="A7082" s="380" t="s">
        <v>7956</v>
      </c>
      <c r="B7082" s="380" t="str">
        <f>IFERROR(__xludf.DUMMYFUNCTION("""COMPUTED_VALUE"""),"Tuerca Yoke Cardan Eagle 231502")</f>
        <v>Tuerca Yoke Cardan Eagle 231502</v>
      </c>
      <c r="C7082" s="380" t="str">
        <f>IFERROR(__xludf.DUMMYFUNCTION("""COMPUTED_VALUE"""),"70002490")</f>
        <v>70002490</v>
      </c>
      <c r="D7082" s="380" t="s">
        <v>767</v>
      </c>
      <c r="E7082" s="380" t="s">
        <v>786</v>
      </c>
      <c r="F7082" s="380" t="s">
        <v>5683</v>
      </c>
      <c r="G7082" s="380" t="s">
        <v>1267</v>
      </c>
      <c r="H7082" s="380" t="s">
        <v>771</v>
      </c>
      <c r="I7082" s="380" t="s">
        <v>788</v>
      </c>
      <c r="J7082" s="380" t="s">
        <v>773</v>
      </c>
      <c r="K7082" s="381">
        <v>0.0</v>
      </c>
      <c r="L7082" s="382">
        <v>1.0</v>
      </c>
    </row>
    <row r="7083">
      <c r="A7083" s="380" t="s">
        <v>7957</v>
      </c>
      <c r="B7083" s="380" t="str">
        <f>IFERROR(__xludf.DUMMYFUNCTION("""COMPUTED_VALUE"""),"Stop Rh Mv5 Foton 7705946041270 41270")</f>
        <v>Stop Rh Mv5 Foton 7705946041270 41270</v>
      </c>
      <c r="C7083" s="380" t="str">
        <f>IFERROR(__xludf.DUMMYFUNCTION("""COMPUTED_VALUE"""),"70002491")</f>
        <v>70002491</v>
      </c>
      <c r="D7083" s="380" t="s">
        <v>767</v>
      </c>
      <c r="E7083" s="380" t="s">
        <v>786</v>
      </c>
      <c r="F7083" s="380" t="s">
        <v>998</v>
      </c>
      <c r="G7083" s="380" t="s">
        <v>1267</v>
      </c>
      <c r="H7083" s="380" t="s">
        <v>771</v>
      </c>
      <c r="I7083" s="380" t="s">
        <v>788</v>
      </c>
      <c r="J7083" s="380" t="s">
        <v>773</v>
      </c>
      <c r="K7083" s="381">
        <v>0.0</v>
      </c>
      <c r="L7083" s="382">
        <v>1.0</v>
      </c>
    </row>
    <row r="7084">
      <c r="A7084" s="380" t="s">
        <v>7958</v>
      </c>
      <c r="B7084" s="380" t="str">
        <f>IFERROR(__xludf.DUMMYFUNCTION("""COMPUTED_VALUE"""),"Manija Ext Del Izq Foton 7701023486590")</f>
        <v>Manija Ext Del Izq Foton 7701023486590</v>
      </c>
      <c r="C7084" s="380" t="str">
        <f>IFERROR(__xludf.DUMMYFUNCTION("""COMPUTED_VALUE"""),"70002492")</f>
        <v>70002492</v>
      </c>
      <c r="D7084" s="380" t="s">
        <v>767</v>
      </c>
      <c r="E7084" s="380" t="s">
        <v>786</v>
      </c>
      <c r="F7084" s="380" t="s">
        <v>792</v>
      </c>
      <c r="G7084" s="380" t="s">
        <v>1267</v>
      </c>
      <c r="H7084" s="380" t="s">
        <v>771</v>
      </c>
      <c r="I7084" s="380" t="s">
        <v>788</v>
      </c>
      <c r="J7084" s="380" t="s">
        <v>773</v>
      </c>
      <c r="K7084" s="381">
        <v>0.0</v>
      </c>
      <c r="L7084" s="382">
        <v>1.0</v>
      </c>
    </row>
    <row r="7085">
      <c r="A7085" s="380" t="s">
        <v>7959</v>
      </c>
      <c r="B7085" s="380" t="str">
        <f>IFERROR(__xludf.DUMMYFUNCTION("""COMPUTED_VALUE"""),"Freno De Ahogo Motor Hino 4670037100")</f>
        <v>Freno De Ahogo Motor Hino 4670037100</v>
      </c>
      <c r="C7085" s="380" t="str">
        <f>IFERROR(__xludf.DUMMYFUNCTION("""COMPUTED_VALUE"""),"70002493")</f>
        <v>70002493</v>
      </c>
      <c r="D7085" s="380" t="s">
        <v>767</v>
      </c>
      <c r="E7085" s="380" t="s">
        <v>786</v>
      </c>
      <c r="F7085" s="380" t="s">
        <v>787</v>
      </c>
      <c r="G7085" s="380" t="s">
        <v>1267</v>
      </c>
      <c r="H7085" s="380" t="s">
        <v>771</v>
      </c>
      <c r="I7085" s="380" t="s">
        <v>788</v>
      </c>
      <c r="J7085" s="380" t="s">
        <v>773</v>
      </c>
      <c r="K7085" s="381">
        <v>0.0</v>
      </c>
      <c r="L7085" s="382">
        <v>1.0</v>
      </c>
    </row>
    <row r="7086">
      <c r="A7086" s="380" t="s">
        <v>7960</v>
      </c>
      <c r="B7086" s="380" t="str">
        <f>IFERROR(__xludf.DUMMYFUNCTION("""COMPUTED_VALUE"""),"Bocin Rda Tras Eagl Perno 3/4 2589468C91")</f>
        <v>Bocin Rda Tras Eagl Perno 3/4 2589468C91</v>
      </c>
      <c r="C7086" s="380" t="str">
        <f>IFERROR(__xludf.DUMMYFUNCTION("""COMPUTED_VALUE"""),"70002494")</f>
        <v>70002494</v>
      </c>
      <c r="D7086" s="380" t="s">
        <v>767</v>
      </c>
      <c r="E7086" s="380" t="s">
        <v>786</v>
      </c>
      <c r="F7086" s="380" t="s">
        <v>1017</v>
      </c>
      <c r="G7086" s="380" t="s">
        <v>1267</v>
      </c>
      <c r="H7086" s="380" t="s">
        <v>771</v>
      </c>
      <c r="I7086" s="380" t="s">
        <v>788</v>
      </c>
      <c r="J7086" s="380" t="s">
        <v>773</v>
      </c>
      <c r="K7086" s="381">
        <v>827876.0</v>
      </c>
      <c r="L7086" s="382">
        <v>1.0</v>
      </c>
    </row>
    <row r="7087">
      <c r="A7087" s="380" t="s">
        <v>7961</v>
      </c>
      <c r="B7087" s="380" t="str">
        <f>IFERROR(__xludf.DUMMYFUNCTION("""COMPUTED_VALUE"""),"Bomper Tras Foton 7705946036436")</f>
        <v>Bomper Tras Foton 7705946036436</v>
      </c>
      <c r="C7087" s="380" t="str">
        <f>IFERROR(__xludf.DUMMYFUNCTION("""COMPUTED_VALUE"""),"70002495")</f>
        <v>70002495</v>
      </c>
      <c r="D7087" s="380" t="s">
        <v>767</v>
      </c>
      <c r="E7087" s="380" t="s">
        <v>786</v>
      </c>
      <c r="F7087" s="380" t="s">
        <v>792</v>
      </c>
      <c r="G7087" s="380" t="s">
        <v>1267</v>
      </c>
      <c r="H7087" s="380" t="s">
        <v>771</v>
      </c>
      <c r="I7087" s="380" t="s">
        <v>788</v>
      </c>
      <c r="J7087" s="380" t="s">
        <v>773</v>
      </c>
      <c r="K7087" s="381">
        <v>0.0</v>
      </c>
      <c r="L7087" s="382">
        <v>1.0</v>
      </c>
    </row>
    <row r="7088">
      <c r="A7088" s="380" t="s">
        <v>7962</v>
      </c>
      <c r="B7088" s="380" t="str">
        <f>IFERROR(__xludf.DUMMYFUNCTION("""COMPUTED_VALUE"""),"Farola Derecha Hino Dutro Pro 81100-3712")</f>
        <v>Farola Derecha Hino Dutro Pro 81100-3712</v>
      </c>
      <c r="C7088" s="380" t="str">
        <f>IFERROR(__xludf.DUMMYFUNCTION("""COMPUTED_VALUE"""),"70002496")</f>
        <v>70002496</v>
      </c>
      <c r="D7088" s="380" t="s">
        <v>767</v>
      </c>
      <c r="E7088" s="380" t="s">
        <v>786</v>
      </c>
      <c r="F7088" s="380" t="s">
        <v>998</v>
      </c>
      <c r="G7088" s="380" t="s">
        <v>1267</v>
      </c>
      <c r="H7088" s="380" t="s">
        <v>771</v>
      </c>
      <c r="I7088" s="380" t="s">
        <v>788</v>
      </c>
      <c r="J7088" s="380" t="s">
        <v>773</v>
      </c>
      <c r="K7088" s="381">
        <v>0.0</v>
      </c>
      <c r="L7088" s="382">
        <v>1.0</v>
      </c>
    </row>
    <row r="7089">
      <c r="A7089" s="380" t="s">
        <v>7963</v>
      </c>
      <c r="B7089" s="380" t="str">
        <f>IFERROR(__xludf.DUMMYFUNCTION("""COMPUTED_VALUE"""),"Enflanche Cardan Nkr III 8972252540")</f>
        <v>Enflanche Cardan Nkr III 8972252540</v>
      </c>
      <c r="C7089" s="380" t="str">
        <f>IFERROR(__xludf.DUMMYFUNCTION("""COMPUTED_VALUE"""),"70002501")</f>
        <v>70002501</v>
      </c>
      <c r="D7089" s="380" t="s">
        <v>767</v>
      </c>
      <c r="E7089" s="380" t="s">
        <v>786</v>
      </c>
      <c r="F7089" s="380" t="s">
        <v>5683</v>
      </c>
      <c r="G7089" s="380" t="s">
        <v>1267</v>
      </c>
      <c r="H7089" s="380" t="s">
        <v>771</v>
      </c>
      <c r="I7089" s="380" t="s">
        <v>788</v>
      </c>
      <c r="J7089" s="380" t="s">
        <v>773</v>
      </c>
      <c r="K7089" s="381">
        <v>0.0</v>
      </c>
      <c r="L7089" s="382">
        <v>1.0</v>
      </c>
    </row>
    <row r="7090">
      <c r="A7090" s="380" t="s">
        <v>7964</v>
      </c>
      <c r="B7090" s="380" t="str">
        <f>IFERROR(__xludf.DUMMYFUNCTION("""COMPUTED_VALUE"""),"Buje Punta Bastidor Susp Neumat 90008252")</f>
        <v>Buje Punta Bastidor Susp Neumat 90008252</v>
      </c>
      <c r="C7090" s="380" t="str">
        <f>IFERROR(__xludf.DUMMYFUNCTION("""COMPUTED_VALUE"""),"70002502")</f>
        <v>70002502</v>
      </c>
      <c r="D7090" s="380" t="s">
        <v>767</v>
      </c>
      <c r="E7090" s="380" t="s">
        <v>786</v>
      </c>
      <c r="F7090" s="380" t="s">
        <v>1039</v>
      </c>
      <c r="G7090" s="380" t="s">
        <v>1267</v>
      </c>
      <c r="H7090" s="380" t="s">
        <v>771</v>
      </c>
      <c r="I7090" s="380" t="s">
        <v>788</v>
      </c>
      <c r="J7090" s="380" t="s">
        <v>773</v>
      </c>
      <c r="K7090" s="381">
        <v>0.0</v>
      </c>
      <c r="L7090" s="382">
        <v>1.0</v>
      </c>
    </row>
    <row r="7091">
      <c r="A7091" s="380" t="s">
        <v>7965</v>
      </c>
      <c r="B7091" s="380" t="str">
        <f>IFERROR(__xludf.DUMMYFUNCTION("""COMPUTED_VALUE"""),"Cremallera Vol Motor Hino Dpc 1,35E+84")</f>
        <v>Cremallera Vol Motor Hino Dpc 1,35E+84</v>
      </c>
      <c r="C7091" s="380" t="str">
        <f>IFERROR(__xludf.DUMMYFUNCTION("""COMPUTED_VALUE"""),"70002503")</f>
        <v>70002503</v>
      </c>
      <c r="D7091" s="380" t="s">
        <v>767</v>
      </c>
      <c r="E7091" s="380" t="s">
        <v>786</v>
      </c>
      <c r="F7091" s="380" t="s">
        <v>787</v>
      </c>
      <c r="G7091" s="380" t="s">
        <v>1267</v>
      </c>
      <c r="H7091" s="380" t="s">
        <v>771</v>
      </c>
      <c r="I7091" s="380" t="s">
        <v>788</v>
      </c>
      <c r="J7091" s="380" t="s">
        <v>773</v>
      </c>
      <c r="K7091" s="381">
        <v>0.0</v>
      </c>
      <c r="L7091" s="382">
        <v>1.0</v>
      </c>
    </row>
    <row r="7092">
      <c r="A7092" s="380" t="s">
        <v>7966</v>
      </c>
      <c r="B7092" s="380" t="str">
        <f>IFERROR(__xludf.DUMMYFUNCTION("""COMPUTED_VALUE"""),"Bendix Mt Arranq Hino Dpc 300 2801178111")</f>
        <v>Bendix Mt Arranq Hino Dpc 300 2801178111</v>
      </c>
      <c r="C7092" s="380" t="str">
        <f>IFERROR(__xludf.DUMMYFUNCTION("""COMPUTED_VALUE"""),"70002504")</f>
        <v>70002504</v>
      </c>
      <c r="D7092" s="380" t="s">
        <v>767</v>
      </c>
      <c r="E7092" s="380" t="s">
        <v>786</v>
      </c>
      <c r="F7092" s="380" t="s">
        <v>998</v>
      </c>
      <c r="G7092" s="380" t="s">
        <v>1267</v>
      </c>
      <c r="H7092" s="380" t="s">
        <v>771</v>
      </c>
      <c r="I7092" s="380" t="s">
        <v>788</v>
      </c>
      <c r="J7092" s="380" t="s">
        <v>773</v>
      </c>
      <c r="K7092" s="381">
        <v>0.0</v>
      </c>
      <c r="L7092" s="382">
        <v>1.0</v>
      </c>
    </row>
    <row r="7093">
      <c r="A7093" s="380" t="s">
        <v>7967</v>
      </c>
      <c r="B7093" s="380" t="str">
        <f>IFERROR(__xludf.DUMMYFUNCTION("""COMPUTED_VALUE"""),"Oring Enfriador De Aceite Npr 8980454470")</f>
        <v>Oring Enfriador De Aceite Npr 8980454470</v>
      </c>
      <c r="C7093" s="380" t="str">
        <f>IFERROR(__xludf.DUMMYFUNCTION("""COMPUTED_VALUE"""),"70002505")</f>
        <v>70002505</v>
      </c>
      <c r="D7093" s="380" t="s">
        <v>767</v>
      </c>
      <c r="E7093" s="380" t="s">
        <v>786</v>
      </c>
      <c r="F7093" s="380" t="s">
        <v>787</v>
      </c>
      <c r="G7093" s="380" t="s">
        <v>1267</v>
      </c>
      <c r="H7093" s="380" t="s">
        <v>771</v>
      </c>
      <c r="I7093" s="380" t="s">
        <v>788</v>
      </c>
      <c r="J7093" s="380" t="s">
        <v>773</v>
      </c>
      <c r="K7093" s="381">
        <v>0.0</v>
      </c>
      <c r="L7093" s="382">
        <v>1.0</v>
      </c>
    </row>
    <row r="7094">
      <c r="A7094" s="380" t="s">
        <v>7968</v>
      </c>
      <c r="B7094" s="380" t="str">
        <f>IFERROR(__xludf.DUMMYFUNCTION("""COMPUTED_VALUE"""),"Tuerca Eje Tren Fijo FTR 8980058940")</f>
        <v>Tuerca Eje Tren Fijo FTR 8980058940</v>
      </c>
      <c r="C7094" s="380" t="str">
        <f>IFERROR(__xludf.DUMMYFUNCTION("""COMPUTED_VALUE"""),"70002506")</f>
        <v>70002506</v>
      </c>
      <c r="D7094" s="380" t="s">
        <v>767</v>
      </c>
      <c r="E7094" s="380" t="s">
        <v>786</v>
      </c>
      <c r="F7094" s="380" t="s">
        <v>928</v>
      </c>
      <c r="G7094" s="380" t="s">
        <v>1267</v>
      </c>
      <c r="H7094" s="380" t="s">
        <v>771</v>
      </c>
      <c r="I7094" s="380" t="s">
        <v>788</v>
      </c>
      <c r="J7094" s="380" t="s">
        <v>773</v>
      </c>
      <c r="K7094" s="381">
        <v>0.0</v>
      </c>
      <c r="L7094" s="382">
        <v>1.0</v>
      </c>
    </row>
    <row r="7095">
      <c r="A7095" s="380" t="s">
        <v>7969</v>
      </c>
      <c r="B7095" s="380" t="str">
        <f>IFERROR(__xludf.DUMMYFUNCTION("""COMPUTED_VALUE"""),"Filtro Aceite Foton 7705946019552")</f>
        <v>Filtro Aceite Foton 7705946019552</v>
      </c>
      <c r="C7095" s="380" t="str">
        <f>IFERROR(__xludf.DUMMYFUNCTION("""COMPUTED_VALUE"""),"70002507")</f>
        <v>70002507</v>
      </c>
      <c r="D7095" s="380" t="s">
        <v>767</v>
      </c>
      <c r="E7095" s="380" t="s">
        <v>786</v>
      </c>
      <c r="F7095" s="380" t="s">
        <v>5855</v>
      </c>
      <c r="G7095" s="380" t="s">
        <v>1267</v>
      </c>
      <c r="H7095" s="380" t="s">
        <v>771</v>
      </c>
      <c r="I7095" s="380" t="s">
        <v>788</v>
      </c>
      <c r="J7095" s="380" t="s">
        <v>773</v>
      </c>
      <c r="K7095" s="381">
        <v>8480.0</v>
      </c>
      <c r="L7095" s="382">
        <v>1.0</v>
      </c>
    </row>
    <row r="7096">
      <c r="A7096" s="380" t="s">
        <v>7970</v>
      </c>
      <c r="B7096" s="380" t="str">
        <f>IFERROR(__xludf.DUMMYFUNCTION("""COMPUTED_VALUE"""),"Filtro Combustible Foton 7705946023832")</f>
        <v>Filtro Combustible Foton 7705946023832</v>
      </c>
      <c r="C7096" s="380" t="str">
        <f>IFERROR(__xludf.DUMMYFUNCTION("""COMPUTED_VALUE"""),"70002508")</f>
        <v>70002508</v>
      </c>
      <c r="D7096" s="380" t="s">
        <v>767</v>
      </c>
      <c r="E7096" s="380" t="s">
        <v>786</v>
      </c>
      <c r="F7096" s="380" t="s">
        <v>5855</v>
      </c>
      <c r="G7096" s="380" t="s">
        <v>1267</v>
      </c>
      <c r="H7096" s="380" t="s">
        <v>771</v>
      </c>
      <c r="I7096" s="380" t="s">
        <v>788</v>
      </c>
      <c r="J7096" s="380" t="s">
        <v>773</v>
      </c>
      <c r="K7096" s="381">
        <v>9439.0</v>
      </c>
      <c r="L7096" s="382">
        <v>1.0</v>
      </c>
    </row>
    <row r="7097">
      <c r="A7097" s="380" t="s">
        <v>7971</v>
      </c>
      <c r="B7097" s="380" t="str">
        <f>IFERROR(__xludf.DUMMYFUNCTION("""COMPUTED_VALUE"""),"Filtro Aire 6323222 Foton")</f>
        <v>Filtro Aire 6323222 Foton</v>
      </c>
      <c r="C7097" s="380" t="str">
        <f>IFERROR(__xludf.DUMMYFUNCTION("""COMPUTED_VALUE"""),"70002509")</f>
        <v>70002509</v>
      </c>
      <c r="D7097" s="380" t="s">
        <v>767</v>
      </c>
      <c r="E7097" s="380" t="s">
        <v>786</v>
      </c>
      <c r="F7097" s="380" t="s">
        <v>5855</v>
      </c>
      <c r="G7097" s="380" t="s">
        <v>1267</v>
      </c>
      <c r="H7097" s="380" t="s">
        <v>771</v>
      </c>
      <c r="I7097" s="380" t="s">
        <v>788</v>
      </c>
      <c r="J7097" s="380" t="s">
        <v>773</v>
      </c>
      <c r="K7097" s="381">
        <v>20960.0</v>
      </c>
      <c r="L7097" s="382">
        <v>1.0</v>
      </c>
    </row>
    <row r="7098">
      <c r="A7098" s="380" t="s">
        <v>7972</v>
      </c>
      <c r="B7098" s="380" t="str">
        <f>IFERROR(__xludf.DUMMYFUNCTION("""COMPUTED_VALUE"""),"Kit Valvula Bba Inyeccion FTR 8981454491")</f>
        <v>Kit Valvula Bba Inyeccion FTR 8981454491</v>
      </c>
      <c r="C7098" s="380" t="str">
        <f>IFERROR(__xludf.DUMMYFUNCTION("""COMPUTED_VALUE"""),"70002510")</f>
        <v>70002510</v>
      </c>
      <c r="D7098" s="380" t="s">
        <v>767</v>
      </c>
      <c r="E7098" s="380" t="s">
        <v>786</v>
      </c>
      <c r="F7098" s="380" t="s">
        <v>787</v>
      </c>
      <c r="G7098" s="380" t="s">
        <v>1267</v>
      </c>
      <c r="H7098" s="380" t="s">
        <v>771</v>
      </c>
      <c r="I7098" s="380" t="s">
        <v>788</v>
      </c>
      <c r="J7098" s="380" t="s">
        <v>773</v>
      </c>
      <c r="K7098" s="381">
        <v>0.0</v>
      </c>
      <c r="L7098" s="382">
        <v>1.0</v>
      </c>
    </row>
    <row r="7099">
      <c r="A7099" s="380" t="s">
        <v>7973</v>
      </c>
      <c r="B7099" s="380" t="str">
        <f>IFERROR(__xludf.DUMMYFUNCTION("""COMPUTED_VALUE"""),"Empaque Carter Npr Delgado 8973643860")</f>
        <v>Empaque Carter Npr Delgado 8973643860</v>
      </c>
      <c r="C7099" s="380" t="str">
        <f>IFERROR(__xludf.DUMMYFUNCTION("""COMPUTED_VALUE"""),"70002511")</f>
        <v>70002511</v>
      </c>
      <c r="D7099" s="380" t="s">
        <v>767</v>
      </c>
      <c r="E7099" s="380" t="s">
        <v>786</v>
      </c>
      <c r="F7099" s="380" t="s">
        <v>787</v>
      </c>
      <c r="G7099" s="380" t="s">
        <v>1267</v>
      </c>
      <c r="H7099" s="380" t="s">
        <v>771</v>
      </c>
      <c r="I7099" s="380" t="s">
        <v>788</v>
      </c>
      <c r="J7099" s="380" t="s">
        <v>773</v>
      </c>
      <c r="K7099" s="381">
        <v>0.0</v>
      </c>
      <c r="L7099" s="382">
        <v>1.0</v>
      </c>
    </row>
    <row r="7100">
      <c r="A7100" s="380" t="s">
        <v>7974</v>
      </c>
      <c r="B7100" s="380" t="str">
        <f>IFERROR(__xludf.DUMMYFUNCTION("""COMPUTED_VALUE"""),"Panel Enfriad Aceite Motor Npr8973341011")</f>
        <v>Panel Enfriad Aceite Motor Npr8973341011</v>
      </c>
      <c r="C7100" s="380" t="str">
        <f>IFERROR(__xludf.DUMMYFUNCTION("""COMPUTED_VALUE"""),"70002512")</f>
        <v>70002512</v>
      </c>
      <c r="D7100" s="380" t="s">
        <v>767</v>
      </c>
      <c r="E7100" s="380" t="s">
        <v>786</v>
      </c>
      <c r="F7100" s="380" t="s">
        <v>787</v>
      </c>
      <c r="G7100" s="380" t="s">
        <v>1267</v>
      </c>
      <c r="H7100" s="380" t="s">
        <v>771</v>
      </c>
      <c r="I7100" s="380" t="s">
        <v>788</v>
      </c>
      <c r="J7100" s="380" t="s">
        <v>773</v>
      </c>
      <c r="K7100" s="381">
        <v>0.0</v>
      </c>
      <c r="L7100" s="382">
        <v>1.0</v>
      </c>
    </row>
    <row r="7101">
      <c r="A7101" s="380" t="s">
        <v>7975</v>
      </c>
      <c r="B7101" s="380" t="str">
        <f>IFERROR(__xludf.DUMMYFUNCTION("""COMPUTED_VALUE"""),"Bateria N200 43R-700")</f>
        <v>Bateria N200 43R-700</v>
      </c>
      <c r="C7101" s="380" t="str">
        <f>IFERROR(__xludf.DUMMYFUNCTION("""COMPUTED_VALUE"""),"70002513")</f>
        <v>70002513</v>
      </c>
      <c r="D7101" s="380" t="s">
        <v>767</v>
      </c>
      <c r="E7101" s="380" t="s">
        <v>786</v>
      </c>
      <c r="F7101" s="380" t="s">
        <v>998</v>
      </c>
      <c r="G7101" s="380" t="s">
        <v>1267</v>
      </c>
      <c r="H7101" s="380" t="s">
        <v>771</v>
      </c>
      <c r="I7101" s="380" t="s">
        <v>788</v>
      </c>
      <c r="J7101" s="380" t="s">
        <v>773</v>
      </c>
      <c r="K7101" s="381">
        <v>0.0</v>
      </c>
      <c r="L7101" s="382">
        <v>1.0</v>
      </c>
    </row>
    <row r="7102">
      <c r="A7102" s="380" t="s">
        <v>7976</v>
      </c>
      <c r="B7102" s="380" t="str">
        <f>IFERROR(__xludf.DUMMYFUNCTION("""COMPUTED_VALUE"""),"Buje Rebote Muelle Tras ProstarH57989000")</f>
        <v>Buje Rebote Muelle Tras ProstarH57989000</v>
      </c>
      <c r="C7102" s="380" t="str">
        <f>IFERROR(__xludf.DUMMYFUNCTION("""COMPUTED_VALUE"""),"70002514")</f>
        <v>70002514</v>
      </c>
      <c r="D7102" s="380" t="s">
        <v>767</v>
      </c>
      <c r="E7102" s="380" t="s">
        <v>786</v>
      </c>
      <c r="F7102" s="380" t="s">
        <v>1039</v>
      </c>
      <c r="G7102" s="380" t="s">
        <v>1267</v>
      </c>
      <c r="H7102" s="380" t="s">
        <v>771</v>
      </c>
      <c r="I7102" s="380" t="s">
        <v>788</v>
      </c>
      <c r="J7102" s="380" t="s">
        <v>773</v>
      </c>
      <c r="K7102" s="381">
        <v>46827.0</v>
      </c>
      <c r="L7102" s="382">
        <v>1.0</v>
      </c>
    </row>
    <row r="7103">
      <c r="A7103" s="380" t="s">
        <v>7977</v>
      </c>
      <c r="B7103" s="380" t="str">
        <f>IFERROR(__xludf.DUMMYFUNCTION("""COMPUTED_VALUE"""),"Barra Tens Dif Prostar/Inter LT3580088C1")</f>
        <v>Barra Tens Dif Prostar/Inter LT3580088C1</v>
      </c>
      <c r="C7103" s="380" t="str">
        <f>IFERROR(__xludf.DUMMYFUNCTION("""COMPUTED_VALUE"""),"70002515")</f>
        <v>70002515</v>
      </c>
      <c r="D7103" s="380" t="s">
        <v>767</v>
      </c>
      <c r="E7103" s="380" t="s">
        <v>786</v>
      </c>
      <c r="F7103" s="380" t="s">
        <v>787</v>
      </c>
      <c r="G7103" s="380" t="s">
        <v>1267</v>
      </c>
      <c r="H7103" s="380" t="s">
        <v>771</v>
      </c>
      <c r="I7103" s="380" t="s">
        <v>788</v>
      </c>
      <c r="J7103" s="380" t="s">
        <v>773</v>
      </c>
      <c r="K7103" s="381">
        <v>0.0</v>
      </c>
      <c r="L7103" s="382">
        <v>1.0</v>
      </c>
    </row>
    <row r="7104">
      <c r="A7104" s="380" t="s">
        <v>7978</v>
      </c>
      <c r="B7104" s="380" t="str">
        <f>IFERROR(__xludf.DUMMYFUNCTION("""COMPUTED_VALUE"""),"Acople Yoke Divis Isx 46 Estr 6.5-4-3721")</f>
        <v>Acople Yoke Divis Isx 46 Estr 6.5-4-3721</v>
      </c>
      <c r="C7104" s="380" t="str">
        <f>IFERROR(__xludf.DUMMYFUNCTION("""COMPUTED_VALUE"""),"70002516")</f>
        <v>70002516</v>
      </c>
      <c r="D7104" s="380" t="s">
        <v>767</v>
      </c>
      <c r="E7104" s="380" t="s">
        <v>786</v>
      </c>
      <c r="F7104" s="380" t="s">
        <v>5683</v>
      </c>
      <c r="G7104" s="380" t="s">
        <v>1267</v>
      </c>
      <c r="H7104" s="380" t="s">
        <v>771</v>
      </c>
      <c r="I7104" s="380" t="s">
        <v>788</v>
      </c>
      <c r="J7104" s="380" t="s">
        <v>773</v>
      </c>
      <c r="K7104" s="381">
        <v>0.0</v>
      </c>
      <c r="L7104" s="382">
        <v>1.0</v>
      </c>
    </row>
    <row r="7105">
      <c r="A7105" s="380" t="s">
        <v>7979</v>
      </c>
      <c r="B7105" s="380" t="str">
        <f>IFERROR(__xludf.DUMMYFUNCTION("""COMPUTED_VALUE"""),"Pasador Balan Resorte Tras FTR1513610150")</f>
        <v>Pasador Balan Resorte Tras FTR1513610150</v>
      </c>
      <c r="C7105" s="380" t="str">
        <f>IFERROR(__xludf.DUMMYFUNCTION("""COMPUTED_VALUE"""),"70002517")</f>
        <v>70002517</v>
      </c>
      <c r="D7105" s="380" t="s">
        <v>767</v>
      </c>
      <c r="E7105" s="380" t="s">
        <v>786</v>
      </c>
      <c r="F7105" s="380" t="s">
        <v>1039</v>
      </c>
      <c r="G7105" s="380" t="s">
        <v>1267</v>
      </c>
      <c r="H7105" s="380" t="s">
        <v>771</v>
      </c>
      <c r="I7105" s="380" t="s">
        <v>788</v>
      </c>
      <c r="J7105" s="380" t="s">
        <v>773</v>
      </c>
      <c r="K7105" s="381">
        <v>0.0</v>
      </c>
      <c r="L7105" s="382">
        <v>1.0</v>
      </c>
    </row>
    <row r="7106">
      <c r="A7106" s="380" t="s">
        <v>7980</v>
      </c>
      <c r="B7106" s="380" t="str">
        <f>IFERROR(__xludf.DUMMYFUNCTION("""COMPUTED_VALUE"""),"Caucho Soporte Intercooler Kenw M20070NR")</f>
        <v>Caucho Soporte Intercooler Kenw M20070NR</v>
      </c>
      <c r="C7106" s="380" t="str">
        <f>IFERROR(__xludf.DUMMYFUNCTION("""COMPUTED_VALUE"""),"70002518")</f>
        <v>70002518</v>
      </c>
      <c r="D7106" s="380" t="s">
        <v>767</v>
      </c>
      <c r="E7106" s="380" t="s">
        <v>786</v>
      </c>
      <c r="F7106" s="380" t="s">
        <v>787</v>
      </c>
      <c r="G7106" s="380" t="s">
        <v>1267</v>
      </c>
      <c r="H7106" s="380" t="s">
        <v>771</v>
      </c>
      <c r="I7106" s="380" t="s">
        <v>788</v>
      </c>
      <c r="J7106" s="380" t="s">
        <v>773</v>
      </c>
      <c r="K7106" s="381">
        <v>0.0</v>
      </c>
      <c r="L7106" s="382">
        <v>1.0</v>
      </c>
    </row>
    <row r="7107">
      <c r="A7107" s="380" t="s">
        <v>7981</v>
      </c>
      <c r="B7107" s="380" t="str">
        <f>IFERROR(__xludf.DUMMYFUNCTION("""COMPUTED_VALUE"""),"Valvula Expans A/C Inter LT 2516574C91")</f>
        <v>Valvula Expans A/C Inter LT 2516574C91</v>
      </c>
      <c r="C7107" s="380" t="str">
        <f>IFERROR(__xludf.DUMMYFUNCTION("""COMPUTED_VALUE"""),"70002519")</f>
        <v>70002519</v>
      </c>
      <c r="D7107" s="380" t="s">
        <v>767</v>
      </c>
      <c r="E7107" s="380" t="s">
        <v>786</v>
      </c>
      <c r="F7107" s="380" t="s">
        <v>1031</v>
      </c>
      <c r="G7107" s="380" t="s">
        <v>1267</v>
      </c>
      <c r="H7107" s="380" t="s">
        <v>771</v>
      </c>
      <c r="I7107" s="380" t="s">
        <v>788</v>
      </c>
      <c r="J7107" s="380" t="s">
        <v>773</v>
      </c>
      <c r="K7107" s="381">
        <v>464852.0</v>
      </c>
      <c r="L7107" s="382">
        <v>1.0</v>
      </c>
    </row>
    <row r="7108">
      <c r="A7108" s="380" t="s">
        <v>7982</v>
      </c>
      <c r="B7108" s="380" t="str">
        <f>IFERROR(__xludf.DUMMYFUNCTION("""COMPUTED_VALUE"""),"Porta Escobilla Arranque 42MT N14-198812")</f>
        <v>Porta Escobilla Arranque 42MT N14-198812</v>
      </c>
      <c r="C7108" s="380" t="str">
        <f>IFERROR(__xludf.DUMMYFUNCTION("""COMPUTED_VALUE"""),"70002520")</f>
        <v>70002520</v>
      </c>
      <c r="D7108" s="380" t="s">
        <v>767</v>
      </c>
      <c r="E7108" s="380" t="s">
        <v>786</v>
      </c>
      <c r="F7108" s="380" t="s">
        <v>998</v>
      </c>
      <c r="G7108" s="380" t="s">
        <v>1267</v>
      </c>
      <c r="H7108" s="380" t="s">
        <v>771</v>
      </c>
      <c r="I7108" s="380" t="s">
        <v>788</v>
      </c>
      <c r="J7108" s="380" t="s">
        <v>773</v>
      </c>
      <c r="K7108" s="381">
        <v>0.0</v>
      </c>
      <c r="L7108" s="382">
        <v>1.0</v>
      </c>
    </row>
    <row r="7109">
      <c r="A7109" s="380" t="s">
        <v>7983</v>
      </c>
      <c r="B7109" s="380" t="str">
        <f>IFERROR(__xludf.DUMMYFUNCTION("""COMPUTED_VALUE"""),"Electro Valvula F.Clut KW T800 CMR993284")</f>
        <v>Electro Valvula F.Clut KW T800 CMR993284</v>
      </c>
      <c r="C7109" s="380" t="str">
        <f>IFERROR(__xludf.DUMMYFUNCTION("""COMPUTED_VALUE"""),"70002521")</f>
        <v>70002521</v>
      </c>
      <c r="D7109" s="380" t="s">
        <v>767</v>
      </c>
      <c r="E7109" s="380" t="s">
        <v>786</v>
      </c>
      <c r="F7109" s="380" t="s">
        <v>998</v>
      </c>
      <c r="G7109" s="380" t="s">
        <v>1267</v>
      </c>
      <c r="H7109" s="380" t="s">
        <v>771</v>
      </c>
      <c r="I7109" s="380" t="s">
        <v>788</v>
      </c>
      <c r="J7109" s="380" t="s">
        <v>773</v>
      </c>
      <c r="K7109" s="381">
        <v>0.0</v>
      </c>
      <c r="L7109" s="382">
        <v>1.0</v>
      </c>
    </row>
    <row r="7110">
      <c r="A7110" s="380" t="s">
        <v>7984</v>
      </c>
      <c r="B7110" s="380" t="str">
        <f>IFERROR(__xludf.DUMMYFUNCTION("""COMPUTED_VALUE"""),"Balinera Embrague Nhr 531314001")</f>
        <v>Balinera Embrague Nhr 531314001</v>
      </c>
      <c r="C7110" s="380" t="str">
        <f>IFERROR(__xludf.DUMMYFUNCTION("""COMPUTED_VALUE"""),"70002522")</f>
        <v>70002522</v>
      </c>
      <c r="D7110" s="380" t="s">
        <v>767</v>
      </c>
      <c r="E7110" s="380" t="s">
        <v>786</v>
      </c>
      <c r="F7110" s="380" t="s">
        <v>5661</v>
      </c>
      <c r="G7110" s="380" t="s">
        <v>1267</v>
      </c>
      <c r="H7110" s="380" t="s">
        <v>771</v>
      </c>
      <c r="I7110" s="380" t="s">
        <v>788</v>
      </c>
      <c r="J7110" s="380" t="s">
        <v>773</v>
      </c>
      <c r="K7110" s="381">
        <v>0.0</v>
      </c>
      <c r="L7110" s="382">
        <v>1.0</v>
      </c>
    </row>
    <row r="7111">
      <c r="A7111" s="380" t="s">
        <v>7985</v>
      </c>
      <c r="B7111" s="380" t="str">
        <f>IFERROR(__xludf.DUMMYFUNCTION("""COMPUTED_VALUE"""),"Rodillo Caja Velocidad FTR-FRR HTF03521G")</f>
        <v>Rodillo Caja Velocidad FTR-FRR HTF03521G</v>
      </c>
      <c r="C7111" s="380" t="str">
        <f>IFERROR(__xludf.DUMMYFUNCTION("""COMPUTED_VALUE"""),"70002523")</f>
        <v>70002523</v>
      </c>
      <c r="D7111" s="380" t="s">
        <v>767</v>
      </c>
      <c r="E7111" s="380" t="s">
        <v>786</v>
      </c>
      <c r="F7111" s="380" t="s">
        <v>928</v>
      </c>
      <c r="G7111" s="380" t="s">
        <v>1267</v>
      </c>
      <c r="H7111" s="380" t="s">
        <v>771</v>
      </c>
      <c r="I7111" s="380" t="s">
        <v>788</v>
      </c>
      <c r="J7111" s="380" t="s">
        <v>773</v>
      </c>
      <c r="K7111" s="381">
        <v>0.0</v>
      </c>
      <c r="L7111" s="382">
        <v>1.0</v>
      </c>
    </row>
    <row r="7112">
      <c r="A7112" s="380" t="s">
        <v>7986</v>
      </c>
      <c r="B7112" s="380" t="str">
        <f>IFERROR(__xludf.DUMMYFUNCTION("""COMPUTED_VALUE"""),"Correa Motor Kenworth T800 12PK2180")</f>
        <v>Correa Motor Kenworth T800 12PK2180</v>
      </c>
      <c r="C7112" s="380" t="str">
        <f>IFERROR(__xludf.DUMMYFUNCTION("""COMPUTED_VALUE"""),"70002524")</f>
        <v>70002524</v>
      </c>
      <c r="D7112" s="380" t="s">
        <v>767</v>
      </c>
      <c r="E7112" s="380" t="s">
        <v>786</v>
      </c>
      <c r="F7112" s="380" t="s">
        <v>787</v>
      </c>
      <c r="G7112" s="380" t="s">
        <v>1267</v>
      </c>
      <c r="H7112" s="380" t="s">
        <v>771</v>
      </c>
      <c r="I7112" s="380" t="s">
        <v>788</v>
      </c>
      <c r="J7112" s="380" t="s">
        <v>773</v>
      </c>
      <c r="K7112" s="381">
        <v>0.0</v>
      </c>
      <c r="L7112" s="382">
        <v>1.0</v>
      </c>
    </row>
    <row r="7113">
      <c r="A7113" s="380" t="s">
        <v>7987</v>
      </c>
      <c r="B7113" s="380" t="str">
        <f>IFERROR(__xludf.DUMMYFUNCTION("""COMPUTED_VALUE"""),"Conector Hembra Acople Rapido Aire 1/4")</f>
        <v>Conector Hembra Acople Rapido Aire 1/4</v>
      </c>
      <c r="C7113" s="380" t="str">
        <f>IFERROR(__xludf.DUMMYFUNCTION("""COMPUTED_VALUE"""),"70002525")</f>
        <v>70002525</v>
      </c>
      <c r="D7113" s="380" t="s">
        <v>767</v>
      </c>
      <c r="E7113" s="380" t="s">
        <v>786</v>
      </c>
      <c r="F7113" s="380" t="s">
        <v>989</v>
      </c>
      <c r="G7113" s="380" t="s">
        <v>1267</v>
      </c>
      <c r="H7113" s="380" t="s">
        <v>771</v>
      </c>
      <c r="I7113" s="380" t="s">
        <v>788</v>
      </c>
      <c r="J7113" s="380" t="s">
        <v>773</v>
      </c>
      <c r="K7113" s="381">
        <v>0.0</v>
      </c>
      <c r="L7113" s="382">
        <v>1.0</v>
      </c>
    </row>
    <row r="7114">
      <c r="A7114" s="380" t="s">
        <v>7988</v>
      </c>
      <c r="B7114" s="380" t="str">
        <f>IFERROR(__xludf.DUMMYFUNCTION("""COMPUTED_VALUE"""),"Acople Rapido Hidraulico 08 1/2")</f>
        <v>Acople Rapido Hidraulico 08 1/2</v>
      </c>
      <c r="C7114" s="380" t="str">
        <f>IFERROR(__xludf.DUMMYFUNCTION("""COMPUTED_VALUE"""),"70002526")</f>
        <v>70002526</v>
      </c>
      <c r="D7114" s="380" t="s">
        <v>767</v>
      </c>
      <c r="E7114" s="380" t="s">
        <v>786</v>
      </c>
      <c r="F7114" s="380" t="s">
        <v>989</v>
      </c>
      <c r="G7114" s="380" t="s">
        <v>1267</v>
      </c>
      <c r="H7114" s="380" t="s">
        <v>771</v>
      </c>
      <c r="I7114" s="380" t="s">
        <v>788</v>
      </c>
      <c r="J7114" s="380" t="s">
        <v>773</v>
      </c>
      <c r="K7114" s="381">
        <v>0.0</v>
      </c>
      <c r="L7114" s="382">
        <v>1.0</v>
      </c>
    </row>
    <row r="7115">
      <c r="A7115" s="380" t="s">
        <v>7989</v>
      </c>
      <c r="B7115" s="380" t="str">
        <f>IFERROR(__xludf.DUMMYFUNCTION("""COMPUTED_VALUE"""),"Valvula Niveladora Aire Kenworth KD2445")</f>
        <v>Valvula Niveladora Aire Kenworth KD2445</v>
      </c>
      <c r="C7115" s="380" t="str">
        <f>IFERROR(__xludf.DUMMYFUNCTION("""COMPUTED_VALUE"""),"70002527")</f>
        <v>70002527</v>
      </c>
      <c r="D7115" s="380" t="s">
        <v>767</v>
      </c>
      <c r="E7115" s="380" t="s">
        <v>786</v>
      </c>
      <c r="F7115" s="380" t="s">
        <v>1017</v>
      </c>
      <c r="G7115" s="380" t="s">
        <v>1267</v>
      </c>
      <c r="H7115" s="380" t="s">
        <v>771</v>
      </c>
      <c r="I7115" s="380" t="s">
        <v>788</v>
      </c>
      <c r="J7115" s="380" t="s">
        <v>773</v>
      </c>
      <c r="K7115" s="381">
        <v>0.0</v>
      </c>
      <c r="L7115" s="382">
        <v>1.0</v>
      </c>
    </row>
    <row r="7116">
      <c r="A7116" s="380" t="s">
        <v>7990</v>
      </c>
      <c r="B7116" s="380" t="str">
        <f>IFERROR(__xludf.DUMMYFUNCTION("""COMPUTED_VALUE"""),"Porta Escobillas Alternador 39104 Hi-S")</f>
        <v>Porta Escobillas Alternador 39104 Hi-S</v>
      </c>
      <c r="C7116" s="380" t="str">
        <f>IFERROR(__xludf.DUMMYFUNCTION("""COMPUTED_VALUE"""),"70002528")</f>
        <v>70002528</v>
      </c>
      <c r="D7116" s="380" t="s">
        <v>767</v>
      </c>
      <c r="E7116" s="380" t="s">
        <v>786</v>
      </c>
      <c r="F7116" s="380" t="s">
        <v>998</v>
      </c>
      <c r="G7116" s="380" t="s">
        <v>1267</v>
      </c>
      <c r="H7116" s="380" t="s">
        <v>771</v>
      </c>
      <c r="I7116" s="380" t="s">
        <v>788</v>
      </c>
      <c r="J7116" s="380" t="s">
        <v>773</v>
      </c>
      <c r="K7116" s="381">
        <v>0.0</v>
      </c>
      <c r="L7116" s="382">
        <v>1.0</v>
      </c>
    </row>
    <row r="7117">
      <c r="A7117" s="380" t="s">
        <v>7991</v>
      </c>
      <c r="B7117" s="380" t="str">
        <f>IFERROR(__xludf.DUMMYFUNCTION("""COMPUTED_VALUE"""),"Varilla Medidora Aceite FRR 8982455140")</f>
        <v>Varilla Medidora Aceite FRR 8982455140</v>
      </c>
      <c r="C7117" s="380" t="str">
        <f>IFERROR(__xludf.DUMMYFUNCTION("""COMPUTED_VALUE"""),"70002529")</f>
        <v>70002529</v>
      </c>
      <c r="D7117" s="380" t="s">
        <v>767</v>
      </c>
      <c r="E7117" s="380" t="s">
        <v>786</v>
      </c>
      <c r="F7117" s="380" t="s">
        <v>787</v>
      </c>
      <c r="G7117" s="380" t="s">
        <v>1267</v>
      </c>
      <c r="H7117" s="380" t="s">
        <v>771</v>
      </c>
      <c r="I7117" s="380" t="s">
        <v>788</v>
      </c>
      <c r="J7117" s="380" t="s">
        <v>773</v>
      </c>
      <c r="K7117" s="381">
        <v>0.0</v>
      </c>
      <c r="L7117" s="382">
        <v>1.0</v>
      </c>
    </row>
    <row r="7118">
      <c r="A7118" s="380" t="s">
        <v>7992</v>
      </c>
      <c r="B7118" s="380" t="str">
        <f>IFERROR(__xludf.DUMMYFUNCTION("""COMPUTED_VALUE"""),"Carcaza Cabeza De Vaca N200 23884355")</f>
        <v>Carcaza Cabeza De Vaca N200 23884355</v>
      </c>
      <c r="C7118" s="380" t="str">
        <f>IFERROR(__xludf.DUMMYFUNCTION("""COMPUTED_VALUE"""),"70002530")</f>
        <v>70002530</v>
      </c>
      <c r="D7118" s="380" t="s">
        <v>767</v>
      </c>
      <c r="E7118" s="380" t="s">
        <v>786</v>
      </c>
      <c r="F7118" s="380" t="s">
        <v>928</v>
      </c>
      <c r="G7118" s="380" t="s">
        <v>1267</v>
      </c>
      <c r="H7118" s="380" t="s">
        <v>771</v>
      </c>
      <c r="I7118" s="380" t="s">
        <v>788</v>
      </c>
      <c r="J7118" s="380" t="s">
        <v>773</v>
      </c>
      <c r="K7118" s="381">
        <v>820624.0</v>
      </c>
      <c r="L7118" s="382">
        <v>1.0</v>
      </c>
    </row>
    <row r="7119">
      <c r="A7119" s="380" t="s">
        <v>7993</v>
      </c>
      <c r="B7119" s="380" t="str">
        <f>IFERROR(__xludf.DUMMYFUNCTION("""COMPUTED_VALUE"""),"Guaya Emergencia N200 Izq 24558888")</f>
        <v>Guaya Emergencia N200 Izq 24558888</v>
      </c>
      <c r="C7119" s="380" t="str">
        <f>IFERROR(__xludf.DUMMYFUNCTION("""COMPUTED_VALUE"""),"70002531")</f>
        <v>70002531</v>
      </c>
      <c r="D7119" s="380" t="s">
        <v>767</v>
      </c>
      <c r="E7119" s="380" t="s">
        <v>786</v>
      </c>
      <c r="F7119" s="380" t="s">
        <v>1017</v>
      </c>
      <c r="G7119" s="380" t="s">
        <v>1267</v>
      </c>
      <c r="H7119" s="380" t="s">
        <v>771</v>
      </c>
      <c r="I7119" s="380" t="s">
        <v>788</v>
      </c>
      <c r="J7119" s="380" t="s">
        <v>773</v>
      </c>
      <c r="K7119" s="381">
        <v>0.0</v>
      </c>
      <c r="L7119" s="382">
        <v>1.0</v>
      </c>
    </row>
    <row r="7120">
      <c r="A7120" s="380" t="s">
        <v>7994</v>
      </c>
      <c r="B7120" s="380" t="str">
        <f>IFERROR(__xludf.DUMMYFUNCTION("""COMPUTED_VALUE"""),"Guaya Emergencia N200 23863657")</f>
        <v>Guaya Emergencia N200 23863657</v>
      </c>
      <c r="C7120" s="380" t="str">
        <f>IFERROR(__xludf.DUMMYFUNCTION("""COMPUTED_VALUE"""),"70002532")</f>
        <v>70002532</v>
      </c>
      <c r="D7120" s="380" t="s">
        <v>767</v>
      </c>
      <c r="E7120" s="380" t="s">
        <v>786</v>
      </c>
      <c r="F7120" s="380" t="s">
        <v>1017</v>
      </c>
      <c r="G7120" s="380" t="s">
        <v>1267</v>
      </c>
      <c r="H7120" s="380" t="s">
        <v>771</v>
      </c>
      <c r="I7120" s="380" t="s">
        <v>788</v>
      </c>
      <c r="J7120" s="380" t="s">
        <v>773</v>
      </c>
      <c r="K7120" s="381">
        <v>0.0</v>
      </c>
      <c r="L7120" s="382">
        <v>1.0</v>
      </c>
    </row>
    <row r="7121">
      <c r="A7121" s="380" t="s">
        <v>7995</v>
      </c>
      <c r="B7121" s="380" t="str">
        <f>IFERROR(__xludf.DUMMYFUNCTION("""COMPUTED_VALUE"""),"Porta Fusible Eaton Aereo 4119")</f>
        <v>Porta Fusible Eaton Aereo 4119</v>
      </c>
      <c r="C7121" s="380" t="str">
        <f>IFERROR(__xludf.DUMMYFUNCTION("""COMPUTED_VALUE"""),"70002533")</f>
        <v>70002533</v>
      </c>
      <c r="D7121" s="380" t="s">
        <v>767</v>
      </c>
      <c r="E7121" s="380" t="s">
        <v>786</v>
      </c>
      <c r="F7121" s="380" t="s">
        <v>998</v>
      </c>
      <c r="G7121" s="380" t="s">
        <v>1267</v>
      </c>
      <c r="H7121" s="380" t="s">
        <v>771</v>
      </c>
      <c r="I7121" s="380" t="s">
        <v>788</v>
      </c>
      <c r="J7121" s="380" t="s">
        <v>773</v>
      </c>
      <c r="K7121" s="381">
        <v>3540.0</v>
      </c>
      <c r="L7121" s="382">
        <v>1.0</v>
      </c>
    </row>
    <row r="7122">
      <c r="A7122" s="380" t="s">
        <v>7996</v>
      </c>
      <c r="B7122" s="380" t="str">
        <f>IFERROR(__xludf.DUMMYFUNCTION("""COMPUTED_VALUE"""),"Abrazadera Admision Motor Isx 2002612C1")</f>
        <v>Abrazadera Admision Motor Isx 2002612C1</v>
      </c>
      <c r="C7122" s="380" t="str">
        <f>IFERROR(__xludf.DUMMYFUNCTION("""COMPUTED_VALUE"""),"70002534")</f>
        <v>70002534</v>
      </c>
      <c r="D7122" s="380" t="s">
        <v>767</v>
      </c>
      <c r="E7122" s="380" t="s">
        <v>786</v>
      </c>
      <c r="F7122" s="380" t="s">
        <v>787</v>
      </c>
      <c r="G7122" s="380" t="s">
        <v>1267</v>
      </c>
      <c r="H7122" s="380" t="s">
        <v>771</v>
      </c>
      <c r="I7122" s="380" t="s">
        <v>788</v>
      </c>
      <c r="J7122" s="380" t="s">
        <v>773</v>
      </c>
      <c r="K7122" s="381">
        <v>0.0</v>
      </c>
      <c r="L7122" s="382">
        <v>1.0</v>
      </c>
    </row>
    <row r="7123">
      <c r="A7123" s="380" t="s">
        <v>7997</v>
      </c>
      <c r="B7123" s="380" t="str">
        <f>IFERROR(__xludf.DUMMYFUNCTION("""COMPUTED_VALUE"""),"Bomba Ppal De Embrag Prostar 3868300C92")</f>
        <v>Bomba Ppal De Embrag Prostar 3868300C92</v>
      </c>
      <c r="C7123" s="380" t="str">
        <f>IFERROR(__xludf.DUMMYFUNCTION("""COMPUTED_VALUE"""),"70002535")</f>
        <v>70002535</v>
      </c>
      <c r="D7123" s="380" t="s">
        <v>767</v>
      </c>
      <c r="E7123" s="380" t="s">
        <v>786</v>
      </c>
      <c r="F7123" s="380" t="s">
        <v>5661</v>
      </c>
      <c r="G7123" s="380" t="s">
        <v>1267</v>
      </c>
      <c r="H7123" s="380" t="s">
        <v>771</v>
      </c>
      <c r="I7123" s="380" t="s">
        <v>788</v>
      </c>
      <c r="J7123" s="380" t="s">
        <v>773</v>
      </c>
      <c r="K7123" s="381">
        <v>535344.0</v>
      </c>
      <c r="L7123" s="382">
        <v>1.0</v>
      </c>
    </row>
    <row r="7124">
      <c r="A7124" s="380" t="s">
        <v>7998</v>
      </c>
      <c r="B7124" s="380" t="str">
        <f>IFERROR(__xludf.DUMMYFUNCTION("""COMPUTED_VALUE"""),"Plumilla Limpiabrisa Bosch 18""")</f>
        <v>Plumilla Limpiabrisa Bosch 18"</v>
      </c>
      <c r="C7124" s="380" t="str">
        <f>IFERROR(__xludf.DUMMYFUNCTION("""COMPUTED_VALUE"""),"70002536")</f>
        <v>70002536</v>
      </c>
      <c r="D7124" s="380" t="s">
        <v>767</v>
      </c>
      <c r="E7124" s="380" t="s">
        <v>786</v>
      </c>
      <c r="F7124" s="380" t="s">
        <v>792</v>
      </c>
      <c r="G7124" s="380" t="s">
        <v>1267</v>
      </c>
      <c r="H7124" s="380" t="s">
        <v>771</v>
      </c>
      <c r="I7124" s="380" t="s">
        <v>788</v>
      </c>
      <c r="J7124" s="380" t="s">
        <v>773</v>
      </c>
      <c r="K7124" s="381">
        <v>13178.0</v>
      </c>
      <c r="L7124" s="382">
        <v>1.0</v>
      </c>
    </row>
    <row r="7125">
      <c r="A7125" s="380" t="s">
        <v>7999</v>
      </c>
      <c r="B7125" s="380" t="str">
        <f>IFERROR(__xludf.DUMMYFUNCTION("""COMPUTED_VALUE"""),"Juego Escualizable KW T800 K19708")</f>
        <v>Juego Escualizable KW T800 K19708</v>
      </c>
      <c r="C7125" s="380" t="str">
        <f>IFERROR(__xludf.DUMMYFUNCTION("""COMPUTED_VALUE"""),"70002537")</f>
        <v>70002537</v>
      </c>
      <c r="D7125" s="380" t="s">
        <v>767</v>
      </c>
      <c r="E7125" s="380" t="s">
        <v>786</v>
      </c>
      <c r="F7125" s="380" t="s">
        <v>792</v>
      </c>
      <c r="G7125" s="380" t="s">
        <v>1267</v>
      </c>
      <c r="H7125" s="380" t="s">
        <v>771</v>
      </c>
      <c r="I7125" s="380" t="s">
        <v>788</v>
      </c>
      <c r="J7125" s="380" t="s">
        <v>773</v>
      </c>
      <c r="K7125" s="381">
        <v>0.0</v>
      </c>
      <c r="L7125" s="382">
        <v>1.0</v>
      </c>
    </row>
    <row r="7126">
      <c r="A7126" s="380" t="s">
        <v>8000</v>
      </c>
      <c r="B7126" s="380" t="str">
        <f>IFERROR(__xludf.DUMMYFUNCTION("""COMPUTED_VALUE"""),"Adaptador 3/8 Tanque Comb Eagle3680926C1")</f>
        <v>Adaptador 3/8 Tanque Comb Eagle3680926C1</v>
      </c>
      <c r="C7126" s="380" t="str">
        <f>IFERROR(__xludf.DUMMYFUNCTION("""COMPUTED_VALUE"""),"70002538")</f>
        <v>70002538</v>
      </c>
      <c r="D7126" s="380" t="s">
        <v>767</v>
      </c>
      <c r="E7126" s="380" t="s">
        <v>786</v>
      </c>
      <c r="F7126" s="380" t="s">
        <v>792</v>
      </c>
      <c r="G7126" s="380" t="s">
        <v>1267</v>
      </c>
      <c r="H7126" s="380" t="s">
        <v>771</v>
      </c>
      <c r="I7126" s="380" t="s">
        <v>788</v>
      </c>
      <c r="J7126" s="380" t="s">
        <v>773</v>
      </c>
      <c r="K7126" s="381">
        <v>0.0</v>
      </c>
      <c r="L7126" s="382">
        <v>1.0</v>
      </c>
    </row>
    <row r="7127">
      <c r="A7127" s="380" t="s">
        <v>8001</v>
      </c>
      <c r="B7127" s="380" t="str">
        <f>IFERROR(__xludf.DUMMYFUNCTION("""COMPUTED_VALUE"""),"Adaptador Tanque Comb Eagle 3680923C1")</f>
        <v>Adaptador Tanque Comb Eagle 3680923C1</v>
      </c>
      <c r="C7127" s="380" t="str">
        <f>IFERROR(__xludf.DUMMYFUNCTION("""COMPUTED_VALUE"""),"70002539")</f>
        <v>70002539</v>
      </c>
      <c r="D7127" s="380" t="s">
        <v>767</v>
      </c>
      <c r="E7127" s="380" t="s">
        <v>786</v>
      </c>
      <c r="F7127" s="380" t="s">
        <v>792</v>
      </c>
      <c r="G7127" s="380" t="s">
        <v>1267</v>
      </c>
      <c r="H7127" s="380" t="s">
        <v>771</v>
      </c>
      <c r="I7127" s="380" t="s">
        <v>788</v>
      </c>
      <c r="J7127" s="380" t="s">
        <v>773</v>
      </c>
      <c r="K7127" s="381">
        <v>0.0</v>
      </c>
      <c r="L7127" s="382">
        <v>1.0</v>
      </c>
    </row>
    <row r="7128">
      <c r="A7128" s="380" t="s">
        <v>8002</v>
      </c>
      <c r="B7128" s="380" t="str">
        <f>IFERROR(__xludf.DUMMYFUNCTION("""COMPUTED_VALUE"""),"Cilin Chap Pta Del Izq Nkr-Npr8982013620")</f>
        <v>Cilin Chap Pta Del Izq Nkr-Npr8982013620</v>
      </c>
      <c r="C7128" s="380" t="str">
        <f>IFERROR(__xludf.DUMMYFUNCTION("""COMPUTED_VALUE"""),"70002540")</f>
        <v>70002540</v>
      </c>
      <c r="D7128" s="380" t="s">
        <v>767</v>
      </c>
      <c r="E7128" s="380" t="s">
        <v>786</v>
      </c>
      <c r="F7128" s="380" t="s">
        <v>792</v>
      </c>
      <c r="G7128" s="380" t="s">
        <v>1267</v>
      </c>
      <c r="H7128" s="380" t="s">
        <v>771</v>
      </c>
      <c r="I7128" s="380" t="s">
        <v>788</v>
      </c>
      <c r="J7128" s="380" t="s">
        <v>773</v>
      </c>
      <c r="K7128" s="381">
        <v>0.0</v>
      </c>
      <c r="L7128" s="382">
        <v>1.0</v>
      </c>
    </row>
    <row r="7129">
      <c r="A7129" s="380" t="s">
        <v>8003</v>
      </c>
      <c r="B7129" s="380" t="str">
        <f>IFERROR(__xludf.DUMMYFUNCTION("""COMPUTED_VALUE"""),"Cilin Chap Pta Del Der Nkr-Npr8980551610")</f>
        <v>Cilin Chap Pta Del Der Nkr-Npr8980551610</v>
      </c>
      <c r="C7129" s="380" t="str">
        <f>IFERROR(__xludf.DUMMYFUNCTION("""COMPUTED_VALUE"""),"70002541")</f>
        <v>70002541</v>
      </c>
      <c r="D7129" s="380" t="s">
        <v>767</v>
      </c>
      <c r="E7129" s="380" t="s">
        <v>786</v>
      </c>
      <c r="F7129" s="380" t="s">
        <v>792</v>
      </c>
      <c r="G7129" s="380" t="s">
        <v>1267</v>
      </c>
      <c r="H7129" s="380" t="s">
        <v>771</v>
      </c>
      <c r="I7129" s="380" t="s">
        <v>788</v>
      </c>
      <c r="J7129" s="380" t="s">
        <v>773</v>
      </c>
      <c r="K7129" s="381">
        <v>0.0</v>
      </c>
      <c r="L7129" s="382">
        <v>1.0</v>
      </c>
    </row>
    <row r="7130">
      <c r="A7130" s="380" t="s">
        <v>8004</v>
      </c>
      <c r="B7130" s="380" t="str">
        <f>IFERROR(__xludf.DUMMYFUNCTION("""COMPUTED_VALUE"""),"Cilin Fre Tras Der Npr S Purga8971398240")</f>
        <v>Cilin Fre Tras Der Npr S Purga8971398240</v>
      </c>
      <c r="C7130" s="380" t="str">
        <f>IFERROR(__xludf.DUMMYFUNCTION("""COMPUTED_VALUE"""),"70002542")</f>
        <v>70002542</v>
      </c>
      <c r="D7130" s="380" t="s">
        <v>767</v>
      </c>
      <c r="E7130" s="380" t="s">
        <v>786</v>
      </c>
      <c r="F7130" s="380" t="s">
        <v>1017</v>
      </c>
      <c r="G7130" s="380" t="s">
        <v>1267</v>
      </c>
      <c r="H7130" s="380" t="s">
        <v>771</v>
      </c>
      <c r="I7130" s="380" t="s">
        <v>788</v>
      </c>
      <c r="J7130" s="380" t="s">
        <v>773</v>
      </c>
      <c r="K7130" s="381">
        <v>0.0</v>
      </c>
      <c r="L7130" s="382">
        <v>1.0</v>
      </c>
    </row>
    <row r="7131">
      <c r="A7131" s="380" t="s">
        <v>8005</v>
      </c>
      <c r="B7131" s="380" t="str">
        <f>IFERROR(__xludf.DUMMYFUNCTION("""COMPUTED_VALUE"""),"Tornillo Brida Harness Isx 433670600")</f>
        <v>Tornillo Brida Harness Isx 433670600</v>
      </c>
      <c r="C7131" s="380" t="str">
        <f>IFERROR(__xludf.DUMMYFUNCTION("""COMPUTED_VALUE"""),"70002543")</f>
        <v>70002543</v>
      </c>
      <c r="D7131" s="380" t="s">
        <v>767</v>
      </c>
      <c r="E7131" s="380" t="s">
        <v>786</v>
      </c>
      <c r="F7131" s="380" t="s">
        <v>787</v>
      </c>
      <c r="G7131" s="380" t="s">
        <v>1267</v>
      </c>
      <c r="H7131" s="380" t="s">
        <v>771</v>
      </c>
      <c r="I7131" s="380" t="s">
        <v>788</v>
      </c>
      <c r="J7131" s="380" t="s">
        <v>773</v>
      </c>
      <c r="K7131" s="381">
        <v>0.0</v>
      </c>
      <c r="L7131" s="382">
        <v>1.0</v>
      </c>
    </row>
    <row r="7132">
      <c r="A7132" s="380" t="s">
        <v>8006</v>
      </c>
      <c r="B7132" s="380" t="str">
        <f>IFERROR(__xludf.DUMMYFUNCTION("""COMPUTED_VALUE"""),"Tuerca Brida Harness Isx 3902662")</f>
        <v>Tuerca Brida Harness Isx 3902662</v>
      </c>
      <c r="C7132" s="380" t="str">
        <f>IFERROR(__xludf.DUMMYFUNCTION("""COMPUTED_VALUE"""),"70002544")</f>
        <v>70002544</v>
      </c>
      <c r="D7132" s="380" t="s">
        <v>767</v>
      </c>
      <c r="E7132" s="380" t="s">
        <v>786</v>
      </c>
      <c r="F7132" s="380" t="s">
        <v>787</v>
      </c>
      <c r="G7132" s="380" t="s">
        <v>1267</v>
      </c>
      <c r="H7132" s="380" t="s">
        <v>771</v>
      </c>
      <c r="I7132" s="380" t="s">
        <v>788</v>
      </c>
      <c r="J7132" s="380" t="s">
        <v>773</v>
      </c>
      <c r="K7132" s="381">
        <v>0.0</v>
      </c>
      <c r="L7132" s="382">
        <v>1.0</v>
      </c>
    </row>
    <row r="7133">
      <c r="A7133" s="380" t="s">
        <v>8007</v>
      </c>
      <c r="B7133" s="380" t="str">
        <f>IFERROR(__xludf.DUMMYFUNCTION("""COMPUTED_VALUE"""),"Lampara Direccional Izq Npr98 2131518 LH")</f>
        <v>Lampara Direccional Izq Npr98 2131518 LH</v>
      </c>
      <c r="C7133" s="380" t="str">
        <f>IFERROR(__xludf.DUMMYFUNCTION("""COMPUTED_VALUE"""),"70002545")</f>
        <v>70002545</v>
      </c>
      <c r="D7133" s="380" t="s">
        <v>767</v>
      </c>
      <c r="E7133" s="380" t="s">
        <v>786</v>
      </c>
      <c r="F7133" s="380" t="s">
        <v>998</v>
      </c>
      <c r="G7133" s="380" t="s">
        <v>1267</v>
      </c>
      <c r="H7133" s="380" t="s">
        <v>771</v>
      </c>
      <c r="I7133" s="380" t="s">
        <v>788</v>
      </c>
      <c r="J7133" s="380" t="s">
        <v>773</v>
      </c>
      <c r="K7133" s="381">
        <v>0.0</v>
      </c>
      <c r="L7133" s="382">
        <v>1.0</v>
      </c>
    </row>
    <row r="7134">
      <c r="A7134" s="380" t="s">
        <v>8008</v>
      </c>
      <c r="B7134" s="380" t="str">
        <f>IFERROR(__xludf.DUMMYFUNCTION("""COMPUTED_VALUE"""),"Porta Diodo Alternador DR5080")</f>
        <v>Porta Diodo Alternador DR5080</v>
      </c>
      <c r="C7134" s="380" t="str">
        <f>IFERROR(__xludf.DUMMYFUNCTION("""COMPUTED_VALUE"""),"70002546")</f>
        <v>70002546</v>
      </c>
      <c r="D7134" s="380" t="s">
        <v>767</v>
      </c>
      <c r="E7134" s="380" t="s">
        <v>786</v>
      </c>
      <c r="F7134" s="380" t="s">
        <v>998</v>
      </c>
      <c r="G7134" s="380" t="s">
        <v>1267</v>
      </c>
      <c r="H7134" s="380" t="s">
        <v>771</v>
      </c>
      <c r="I7134" s="380" t="s">
        <v>788</v>
      </c>
      <c r="J7134" s="380" t="s">
        <v>773</v>
      </c>
      <c r="K7134" s="381">
        <v>0.0</v>
      </c>
      <c r="L7134" s="382">
        <v>1.0</v>
      </c>
    </row>
    <row r="7135">
      <c r="A7135" s="380" t="s">
        <v>8009</v>
      </c>
      <c r="B7135" s="380" t="str">
        <f>IFERROR(__xludf.DUMMYFUNCTION("""COMPUTED_VALUE"""),"Porta Disyuntor De Ramal AR-161")</f>
        <v>Porta Disyuntor De Ramal AR-161</v>
      </c>
      <c r="C7135" s="380" t="str">
        <f>IFERROR(__xludf.DUMMYFUNCTION("""COMPUTED_VALUE"""),"70002547")</f>
        <v>70002547</v>
      </c>
      <c r="D7135" s="380" t="s">
        <v>767</v>
      </c>
      <c r="E7135" s="380" t="s">
        <v>786</v>
      </c>
      <c r="F7135" s="380" t="s">
        <v>998</v>
      </c>
      <c r="G7135" s="380" t="s">
        <v>1267</v>
      </c>
      <c r="H7135" s="380" t="s">
        <v>771</v>
      </c>
      <c r="I7135" s="380" t="s">
        <v>788</v>
      </c>
      <c r="J7135" s="380" t="s">
        <v>773</v>
      </c>
      <c r="K7135" s="381">
        <v>3540.0</v>
      </c>
      <c r="L7135" s="382">
        <v>1.0</v>
      </c>
    </row>
    <row r="7136">
      <c r="A7136" s="380" t="s">
        <v>8010</v>
      </c>
      <c r="B7136" s="380" t="str">
        <f>IFERROR(__xludf.DUMMYFUNCTION("""COMPUTED_VALUE"""),"Bba Aux Cluch Nkr Reward /Npr 8980400431")</f>
        <v>Bba Aux Cluch Nkr Reward /Npr 8980400431</v>
      </c>
      <c r="C7136" s="380" t="str">
        <f>IFERROR(__xludf.DUMMYFUNCTION("""COMPUTED_VALUE"""),"70002548")</f>
        <v>70002548</v>
      </c>
      <c r="D7136" s="380" t="s">
        <v>767</v>
      </c>
      <c r="E7136" s="380" t="s">
        <v>786</v>
      </c>
      <c r="F7136" s="380" t="s">
        <v>5661</v>
      </c>
      <c r="G7136" s="380" t="s">
        <v>1267</v>
      </c>
      <c r="H7136" s="380" t="s">
        <v>771</v>
      </c>
      <c r="I7136" s="380" t="s">
        <v>788</v>
      </c>
      <c r="J7136" s="380" t="s">
        <v>773</v>
      </c>
      <c r="K7136" s="381">
        <v>0.0</v>
      </c>
      <c r="L7136" s="382">
        <v>1.0</v>
      </c>
    </row>
    <row r="7137">
      <c r="A7137" s="380" t="s">
        <v>8011</v>
      </c>
      <c r="B7137" s="380" t="str">
        <f>IFERROR(__xludf.DUMMYFUNCTION("""COMPUTED_VALUE"""),"Empaquetadura Secador Mack 8235R95001")</f>
        <v>Empaquetadura Secador Mack 8235R95001</v>
      </c>
      <c r="C7137" s="380" t="str">
        <f>IFERROR(__xludf.DUMMYFUNCTION("""COMPUTED_VALUE"""),"70002549")</f>
        <v>70002549</v>
      </c>
      <c r="D7137" s="380" t="s">
        <v>767</v>
      </c>
      <c r="E7137" s="380" t="s">
        <v>786</v>
      </c>
      <c r="F7137" s="380" t="s">
        <v>1017</v>
      </c>
      <c r="G7137" s="380" t="s">
        <v>1267</v>
      </c>
      <c r="H7137" s="380" t="s">
        <v>771</v>
      </c>
      <c r="I7137" s="380" t="s">
        <v>788</v>
      </c>
      <c r="J7137" s="380" t="s">
        <v>773</v>
      </c>
      <c r="K7137" s="381">
        <v>0.0</v>
      </c>
      <c r="L7137" s="382">
        <v>1.0</v>
      </c>
    </row>
    <row r="7138">
      <c r="A7138" s="380" t="s">
        <v>8012</v>
      </c>
      <c r="B7138" s="380" t="str">
        <f>IFERROR(__xludf.DUMMYFUNCTION("""COMPUTED_VALUE"""),"Farola Delantera Derecha FTR 8982413270")</f>
        <v>Farola Delantera Derecha FTR 8982413270</v>
      </c>
      <c r="C7138" s="380" t="str">
        <f>IFERROR(__xludf.DUMMYFUNCTION("""COMPUTED_VALUE"""),"70002550")</f>
        <v>70002550</v>
      </c>
      <c r="D7138" s="380" t="s">
        <v>767</v>
      </c>
      <c r="E7138" s="380" t="s">
        <v>786</v>
      </c>
      <c r="F7138" s="380" t="s">
        <v>998</v>
      </c>
      <c r="G7138" s="380" t="s">
        <v>1267</v>
      </c>
      <c r="H7138" s="380" t="s">
        <v>771</v>
      </c>
      <c r="I7138" s="380" t="s">
        <v>788</v>
      </c>
      <c r="J7138" s="380" t="s">
        <v>773</v>
      </c>
      <c r="K7138" s="381">
        <v>0.0</v>
      </c>
      <c r="L7138" s="382">
        <v>1.0</v>
      </c>
    </row>
    <row r="7139">
      <c r="A7139" s="380" t="s">
        <v>8013</v>
      </c>
      <c r="B7139" s="380" t="str">
        <f>IFERROR(__xludf.DUMMYFUNCTION("""COMPUTED_VALUE"""),"Grasera Eje Pedal Embrague FTR 903016100")</f>
        <v>Grasera Eje Pedal Embrague FTR 903016100</v>
      </c>
      <c r="C7139" s="380" t="str">
        <f>IFERROR(__xludf.DUMMYFUNCTION("""COMPUTED_VALUE"""),"70002551")</f>
        <v>70002551</v>
      </c>
      <c r="D7139" s="380" t="s">
        <v>767</v>
      </c>
      <c r="E7139" s="380" t="s">
        <v>786</v>
      </c>
      <c r="F7139" s="380" t="s">
        <v>5661</v>
      </c>
      <c r="G7139" s="380" t="s">
        <v>1267</v>
      </c>
      <c r="H7139" s="380" t="s">
        <v>771</v>
      </c>
      <c r="I7139" s="380" t="s">
        <v>788</v>
      </c>
      <c r="J7139" s="380" t="s">
        <v>773</v>
      </c>
      <c r="K7139" s="381">
        <v>0.0</v>
      </c>
      <c r="L7139" s="382">
        <v>1.0</v>
      </c>
    </row>
    <row r="7140">
      <c r="A7140" s="380" t="s">
        <v>8014</v>
      </c>
      <c r="B7140" s="380" t="str">
        <f>IFERROR(__xludf.DUMMYFUNCTION("""COMPUTED_VALUE"""),"Pin Articulacion Resorte FTR 1511610431")</f>
        <v>Pin Articulacion Resorte FTR 1511610431</v>
      </c>
      <c r="C7140" s="380" t="str">
        <f>IFERROR(__xludf.DUMMYFUNCTION("""COMPUTED_VALUE"""),"70002552")</f>
        <v>70002552</v>
      </c>
      <c r="D7140" s="380" t="s">
        <v>767</v>
      </c>
      <c r="E7140" s="380" t="s">
        <v>786</v>
      </c>
      <c r="F7140" s="380" t="s">
        <v>1039</v>
      </c>
      <c r="G7140" s="380" t="s">
        <v>1267</v>
      </c>
      <c r="H7140" s="380" t="s">
        <v>771</v>
      </c>
      <c r="I7140" s="380" t="s">
        <v>788</v>
      </c>
      <c r="J7140" s="380" t="s">
        <v>773</v>
      </c>
      <c r="K7140" s="381">
        <v>0.0</v>
      </c>
      <c r="L7140" s="382">
        <v>1.0</v>
      </c>
    </row>
    <row r="7141">
      <c r="A7141" s="380" t="s">
        <v>8015</v>
      </c>
      <c r="B7141" s="380" t="str">
        <f>IFERROR(__xludf.DUMMYFUNCTION("""COMPUTED_VALUE"""),"Balinera 6304 2RS")</f>
        <v>Balinera 6304 2RS</v>
      </c>
      <c r="C7141" s="380" t="str">
        <f>IFERROR(__xludf.DUMMYFUNCTION("""COMPUTED_VALUE"""),"70002553")</f>
        <v>70002553</v>
      </c>
      <c r="D7141" s="380" t="s">
        <v>767</v>
      </c>
      <c r="E7141" s="380" t="s">
        <v>786</v>
      </c>
      <c r="F7141" s="380" t="s">
        <v>787</v>
      </c>
      <c r="G7141" s="380" t="s">
        <v>1267</v>
      </c>
      <c r="H7141" s="380" t="s">
        <v>771</v>
      </c>
      <c r="I7141" s="380" t="s">
        <v>788</v>
      </c>
      <c r="J7141" s="380" t="s">
        <v>773</v>
      </c>
      <c r="K7141" s="381">
        <v>12894.0</v>
      </c>
      <c r="L7141" s="382">
        <v>1.0</v>
      </c>
    </row>
    <row r="7142">
      <c r="A7142" s="380" t="s">
        <v>8016</v>
      </c>
      <c r="B7142" s="380" t="str">
        <f>IFERROR(__xludf.DUMMYFUNCTION("""COMPUTED_VALUE"""),"Clip Boceles Puertas FTR")</f>
        <v>Clip Boceles Puertas FTR</v>
      </c>
      <c r="C7142" s="380" t="str">
        <f>IFERROR(__xludf.DUMMYFUNCTION("""COMPUTED_VALUE"""),"70002554")</f>
        <v>70002554</v>
      </c>
      <c r="D7142" s="380" t="s">
        <v>767</v>
      </c>
      <c r="E7142" s="380" t="s">
        <v>786</v>
      </c>
      <c r="F7142" s="380" t="s">
        <v>792</v>
      </c>
      <c r="G7142" s="380" t="s">
        <v>1267</v>
      </c>
      <c r="H7142" s="380" t="s">
        <v>771</v>
      </c>
      <c r="I7142" s="380" t="s">
        <v>788</v>
      </c>
      <c r="J7142" s="380" t="s">
        <v>773</v>
      </c>
      <c r="K7142" s="381">
        <v>0.0</v>
      </c>
      <c r="L7142" s="382">
        <v>1.0</v>
      </c>
    </row>
    <row r="7143">
      <c r="A7143" s="380" t="s">
        <v>8017</v>
      </c>
      <c r="B7143" s="380" t="str">
        <f>IFERROR(__xludf.DUMMYFUNCTION("""COMPUTED_VALUE"""),"Pañoleta De Chasis Sup KW T800 K1402468")</f>
        <v>Pañoleta De Chasis Sup KW T800 K1402468</v>
      </c>
      <c r="C7143" s="380" t="str">
        <f>IFERROR(__xludf.DUMMYFUNCTION("""COMPUTED_VALUE"""),"70002555")</f>
        <v>70002555</v>
      </c>
      <c r="D7143" s="380" t="s">
        <v>767</v>
      </c>
      <c r="E7143" s="380" t="s">
        <v>786</v>
      </c>
      <c r="F7143" s="380" t="s">
        <v>792</v>
      </c>
      <c r="G7143" s="380" t="s">
        <v>1267</v>
      </c>
      <c r="H7143" s="380" t="s">
        <v>771</v>
      </c>
      <c r="I7143" s="380" t="s">
        <v>788</v>
      </c>
      <c r="J7143" s="380" t="s">
        <v>773</v>
      </c>
      <c r="K7143" s="381">
        <v>0.0</v>
      </c>
      <c r="L7143" s="382">
        <v>1.0</v>
      </c>
    </row>
    <row r="7144">
      <c r="A7144" s="380" t="s">
        <v>8018</v>
      </c>
      <c r="B7144" s="380" t="str">
        <f>IFERROR(__xludf.DUMMYFUNCTION("""COMPUTED_VALUE"""),"Plumilla Limpiabrisa Bosch 16""")</f>
        <v>Plumilla Limpiabrisa Bosch 16"</v>
      </c>
      <c r="C7144" s="380" t="str">
        <f>IFERROR(__xludf.DUMMYFUNCTION("""COMPUTED_VALUE"""),"70002556")</f>
        <v>70002556</v>
      </c>
      <c r="D7144" s="380" t="s">
        <v>767</v>
      </c>
      <c r="E7144" s="380" t="s">
        <v>786</v>
      </c>
      <c r="F7144" s="380" t="s">
        <v>792</v>
      </c>
      <c r="G7144" s="380" t="s">
        <v>1267</v>
      </c>
      <c r="H7144" s="380" t="s">
        <v>771</v>
      </c>
      <c r="I7144" s="380" t="s">
        <v>788</v>
      </c>
      <c r="J7144" s="380" t="s">
        <v>773</v>
      </c>
      <c r="K7144" s="381">
        <v>0.0</v>
      </c>
      <c r="L7144" s="382">
        <v>1.0</v>
      </c>
    </row>
    <row r="7145">
      <c r="A7145" s="380" t="s">
        <v>8019</v>
      </c>
      <c r="B7145" s="380" t="str">
        <f>IFERROR(__xludf.DUMMYFUNCTION("""COMPUTED_VALUE"""),"Barra Torsion Nkr-Nhr 8972618730")</f>
        <v>Barra Torsion Nkr-Nhr 8972618730</v>
      </c>
      <c r="C7145" s="380" t="str">
        <f>IFERROR(__xludf.DUMMYFUNCTION("""COMPUTED_VALUE"""),"70002557")</f>
        <v>70002557</v>
      </c>
      <c r="D7145" s="380" t="s">
        <v>767</v>
      </c>
      <c r="E7145" s="380" t="s">
        <v>786</v>
      </c>
      <c r="F7145" s="380" t="s">
        <v>792</v>
      </c>
      <c r="G7145" s="380" t="s">
        <v>1267</v>
      </c>
      <c r="H7145" s="380" t="s">
        <v>771</v>
      </c>
      <c r="I7145" s="380" t="s">
        <v>788</v>
      </c>
      <c r="J7145" s="380" t="s">
        <v>773</v>
      </c>
      <c r="K7145" s="381">
        <v>0.0</v>
      </c>
      <c r="L7145" s="382">
        <v>1.0</v>
      </c>
    </row>
    <row r="7146">
      <c r="A7146" s="380" t="s">
        <v>8020</v>
      </c>
      <c r="B7146" s="380" t="str">
        <f>IFERROR(__xludf.DUMMYFUNCTION("""COMPUTED_VALUE"""),"Sensor Temp Motor H Dutro 300 S834201250")</f>
        <v>Sensor Temp Motor H Dutro 300 S834201250</v>
      </c>
      <c r="C7146" s="380" t="str">
        <f>IFERROR(__xludf.DUMMYFUNCTION("""COMPUTED_VALUE"""),"70002558")</f>
        <v>70002558</v>
      </c>
      <c r="D7146" s="380" t="s">
        <v>767</v>
      </c>
      <c r="E7146" s="380" t="s">
        <v>786</v>
      </c>
      <c r="F7146" s="380" t="s">
        <v>998</v>
      </c>
      <c r="G7146" s="380" t="s">
        <v>1267</v>
      </c>
      <c r="H7146" s="380" t="s">
        <v>771</v>
      </c>
      <c r="I7146" s="380" t="s">
        <v>788</v>
      </c>
      <c r="J7146" s="380" t="s">
        <v>773</v>
      </c>
      <c r="K7146" s="381">
        <v>0.0</v>
      </c>
      <c r="L7146" s="382">
        <v>1.0</v>
      </c>
    </row>
    <row r="7147">
      <c r="A7147" s="380" t="s">
        <v>8021</v>
      </c>
      <c r="B7147" s="380" t="str">
        <f>IFERROR(__xludf.DUMMYFUNCTION("""COMPUTED_VALUE"""),"Plumilla Limpiabrisa Bosch 20""")</f>
        <v>Plumilla Limpiabrisa Bosch 20"</v>
      </c>
      <c r="C7147" s="380" t="str">
        <f>IFERROR(__xludf.DUMMYFUNCTION("""COMPUTED_VALUE"""),"70002559")</f>
        <v>70002559</v>
      </c>
      <c r="D7147" s="380" t="s">
        <v>767</v>
      </c>
      <c r="E7147" s="380" t="s">
        <v>786</v>
      </c>
      <c r="F7147" s="380" t="s">
        <v>792</v>
      </c>
      <c r="G7147" s="380" t="s">
        <v>1267</v>
      </c>
      <c r="H7147" s="380" t="s">
        <v>771</v>
      </c>
      <c r="I7147" s="380" t="s">
        <v>788</v>
      </c>
      <c r="J7147" s="380" t="s">
        <v>773</v>
      </c>
      <c r="K7147" s="381">
        <v>13655.0</v>
      </c>
      <c r="L7147" s="382">
        <v>1.0</v>
      </c>
    </row>
    <row r="7148">
      <c r="A7148" s="380" t="s">
        <v>8022</v>
      </c>
      <c r="B7148" s="380" t="str">
        <f>IFERROR(__xludf.DUMMYFUNCTION("""COMPUTED_VALUE"""),"Trompo Rev Neutro Npr 8983248780")</f>
        <v>Trompo Rev Neutro Npr 8983248780</v>
      </c>
      <c r="C7148" s="380" t="str">
        <f>IFERROR(__xludf.DUMMYFUNCTION("""COMPUTED_VALUE"""),"70002560")</f>
        <v>70002560</v>
      </c>
      <c r="D7148" s="380" t="s">
        <v>767</v>
      </c>
      <c r="E7148" s="380" t="s">
        <v>786</v>
      </c>
      <c r="F7148" s="380" t="s">
        <v>998</v>
      </c>
      <c r="G7148" s="380" t="s">
        <v>1267</v>
      </c>
      <c r="H7148" s="380" t="s">
        <v>771</v>
      </c>
      <c r="I7148" s="380" t="s">
        <v>788</v>
      </c>
      <c r="J7148" s="380" t="s">
        <v>773</v>
      </c>
      <c r="K7148" s="381">
        <v>0.0</v>
      </c>
      <c r="L7148" s="382">
        <v>1.0</v>
      </c>
    </row>
    <row r="7149">
      <c r="A7149" s="380" t="s">
        <v>8023</v>
      </c>
      <c r="B7149" s="380" t="str">
        <f>IFERROR(__xludf.DUMMYFUNCTION("""COMPUTED_VALUE"""),"Tuerca Tren Corredizo Cja Npr 8980141400")</f>
        <v>Tuerca Tren Corredizo Cja Npr 8980141400</v>
      </c>
      <c r="C7149" s="380" t="str">
        <f>IFERROR(__xludf.DUMMYFUNCTION("""COMPUTED_VALUE"""),"70002561")</f>
        <v>70002561</v>
      </c>
      <c r="D7149" s="380" t="s">
        <v>767</v>
      </c>
      <c r="E7149" s="380" t="s">
        <v>786</v>
      </c>
      <c r="F7149" s="380" t="s">
        <v>928</v>
      </c>
      <c r="G7149" s="380" t="s">
        <v>1267</v>
      </c>
      <c r="H7149" s="380" t="s">
        <v>771</v>
      </c>
      <c r="I7149" s="380" t="s">
        <v>788</v>
      </c>
      <c r="J7149" s="380" t="s">
        <v>773</v>
      </c>
      <c r="K7149" s="381">
        <v>0.0</v>
      </c>
      <c r="L7149" s="382">
        <v>1.0</v>
      </c>
    </row>
    <row r="7150">
      <c r="A7150" s="380" t="s">
        <v>8024</v>
      </c>
      <c r="B7150" s="380" t="str">
        <f>IFERROR(__xludf.DUMMYFUNCTION("""COMPUTED_VALUE"""),"Rodamiento Tren Caja Npr 8973779760")</f>
        <v>Rodamiento Tren Caja Npr 8973779760</v>
      </c>
      <c r="C7150" s="380" t="str">
        <f>IFERROR(__xludf.DUMMYFUNCTION("""COMPUTED_VALUE"""),"70002562")</f>
        <v>70002562</v>
      </c>
      <c r="D7150" s="380" t="s">
        <v>767</v>
      </c>
      <c r="E7150" s="380" t="s">
        <v>786</v>
      </c>
      <c r="F7150" s="380" t="s">
        <v>928</v>
      </c>
      <c r="G7150" s="380" t="s">
        <v>1267</v>
      </c>
      <c r="H7150" s="380" t="s">
        <v>771</v>
      </c>
      <c r="I7150" s="380" t="s">
        <v>788</v>
      </c>
      <c r="J7150" s="380" t="s">
        <v>773</v>
      </c>
      <c r="K7150" s="381">
        <v>260984.0</v>
      </c>
      <c r="L7150" s="382">
        <v>1.0</v>
      </c>
    </row>
    <row r="7151">
      <c r="A7151" s="380" t="s">
        <v>8025</v>
      </c>
      <c r="B7151" s="380" t="str">
        <f>IFERROR(__xludf.DUMMYFUNCTION("""COMPUTED_VALUE"""),"Resorte Sincronizador Cja Npr 8980321970")</f>
        <v>Resorte Sincronizador Cja Npr 8980321970</v>
      </c>
      <c r="C7151" s="380" t="str">
        <f>IFERROR(__xludf.DUMMYFUNCTION("""COMPUTED_VALUE"""),"70002563")</f>
        <v>70002563</v>
      </c>
      <c r="D7151" s="380" t="s">
        <v>767</v>
      </c>
      <c r="E7151" s="380" t="s">
        <v>786</v>
      </c>
      <c r="F7151" s="380" t="s">
        <v>928</v>
      </c>
      <c r="G7151" s="380" t="s">
        <v>1267</v>
      </c>
      <c r="H7151" s="380" t="s">
        <v>771</v>
      </c>
      <c r="I7151" s="380" t="s">
        <v>788</v>
      </c>
      <c r="J7151" s="380" t="s">
        <v>773</v>
      </c>
      <c r="K7151" s="381">
        <v>0.0</v>
      </c>
      <c r="L7151" s="382">
        <v>1.0</v>
      </c>
    </row>
    <row r="7152">
      <c r="A7152" s="380" t="s">
        <v>8026</v>
      </c>
      <c r="B7152" s="380" t="str">
        <f>IFERROR(__xludf.DUMMYFUNCTION("""COMPUTED_VALUE"""),"Retenedor Tras Caja Npr FTR 8973779480")</f>
        <v>Retenedor Tras Caja Npr FTR 8973779480</v>
      </c>
      <c r="C7152" s="380" t="str">
        <f>IFERROR(__xludf.DUMMYFUNCTION("""COMPUTED_VALUE"""),"70002564")</f>
        <v>70002564</v>
      </c>
      <c r="D7152" s="380" t="s">
        <v>767</v>
      </c>
      <c r="E7152" s="380" t="s">
        <v>786</v>
      </c>
      <c r="F7152" s="380" t="s">
        <v>928</v>
      </c>
      <c r="G7152" s="380" t="s">
        <v>1267</v>
      </c>
      <c r="H7152" s="380" t="s">
        <v>771</v>
      </c>
      <c r="I7152" s="380" t="s">
        <v>788</v>
      </c>
      <c r="J7152" s="380" t="s">
        <v>773</v>
      </c>
      <c r="K7152" s="381">
        <v>0.0</v>
      </c>
      <c r="L7152" s="382">
        <v>1.0</v>
      </c>
    </row>
    <row r="7153">
      <c r="A7153" s="380" t="s">
        <v>8027</v>
      </c>
      <c r="B7153" s="380" t="str">
        <f>IFERROR(__xludf.DUMMYFUNCTION("""COMPUTED_VALUE"""),"Retenedor Del Caja Npr FTR 8973779470")</f>
        <v>Retenedor Del Caja Npr FTR 8973779470</v>
      </c>
      <c r="C7153" s="380" t="str">
        <f>IFERROR(__xludf.DUMMYFUNCTION("""COMPUTED_VALUE"""),"70002565")</f>
        <v>70002565</v>
      </c>
      <c r="D7153" s="380" t="s">
        <v>767</v>
      </c>
      <c r="E7153" s="380" t="s">
        <v>786</v>
      </c>
      <c r="F7153" s="380" t="s">
        <v>928</v>
      </c>
      <c r="G7153" s="380" t="s">
        <v>1267</v>
      </c>
      <c r="H7153" s="380" t="s">
        <v>771</v>
      </c>
      <c r="I7153" s="380" t="s">
        <v>788</v>
      </c>
      <c r="J7153" s="380" t="s">
        <v>773</v>
      </c>
      <c r="K7153" s="381">
        <v>0.0</v>
      </c>
      <c r="L7153" s="382">
        <v>1.0</v>
      </c>
    </row>
    <row r="7154">
      <c r="A7154" s="380" t="s">
        <v>8028</v>
      </c>
      <c r="B7154" s="380" t="str">
        <f>IFERROR(__xludf.DUMMYFUNCTION("""COMPUTED_VALUE"""),"Juego Cilindros Puerta Kenworth R5610650")</f>
        <v>Juego Cilindros Puerta Kenworth R5610650</v>
      </c>
      <c r="C7154" s="380" t="str">
        <f>IFERROR(__xludf.DUMMYFUNCTION("""COMPUTED_VALUE"""),"70002566")</f>
        <v>70002566</v>
      </c>
      <c r="D7154" s="380" t="s">
        <v>767</v>
      </c>
      <c r="E7154" s="380" t="s">
        <v>786</v>
      </c>
      <c r="F7154" s="380" t="s">
        <v>792</v>
      </c>
      <c r="G7154" s="380" t="s">
        <v>1267</v>
      </c>
      <c r="H7154" s="380" t="s">
        <v>771</v>
      </c>
      <c r="I7154" s="380" t="s">
        <v>788</v>
      </c>
      <c r="J7154" s="380" t="s">
        <v>773</v>
      </c>
      <c r="K7154" s="381">
        <v>634239.0</v>
      </c>
      <c r="L7154" s="382">
        <v>1.0</v>
      </c>
    </row>
    <row r="7155">
      <c r="A7155" s="380" t="s">
        <v>8029</v>
      </c>
      <c r="B7155" s="380" t="str">
        <f>IFERROR(__xludf.DUMMYFUNCTION("""COMPUTED_VALUE"""),"Panel De Instrument Nkr Reward8980980263")</f>
        <v>Panel De Instrument Nkr Reward8980980263</v>
      </c>
      <c r="C7155" s="380" t="str">
        <f>IFERROR(__xludf.DUMMYFUNCTION("""COMPUTED_VALUE"""),"70002567")</f>
        <v>70002567</v>
      </c>
      <c r="D7155" s="380" t="s">
        <v>767</v>
      </c>
      <c r="E7155" s="380" t="s">
        <v>786</v>
      </c>
      <c r="F7155" s="380" t="s">
        <v>792</v>
      </c>
      <c r="G7155" s="380" t="s">
        <v>1267</v>
      </c>
      <c r="H7155" s="380" t="s">
        <v>771</v>
      </c>
      <c r="I7155" s="380" t="s">
        <v>788</v>
      </c>
      <c r="J7155" s="380" t="s">
        <v>773</v>
      </c>
      <c r="K7155" s="381">
        <v>0.0</v>
      </c>
      <c r="L7155" s="382">
        <v>1.0</v>
      </c>
    </row>
    <row r="7156">
      <c r="A7156" s="380" t="s">
        <v>8030</v>
      </c>
      <c r="B7156" s="380" t="str">
        <f>IFERROR(__xludf.DUMMYFUNCTION("""COMPUTED_VALUE"""),"Guaya Control Camb Nhr Reward 8982235821")</f>
        <v>Guaya Control Camb Nhr Reward 8982235821</v>
      </c>
      <c r="C7156" s="380" t="str">
        <f>IFERROR(__xludf.DUMMYFUNCTION("""COMPUTED_VALUE"""),"70002568")</f>
        <v>70002568</v>
      </c>
      <c r="D7156" s="380" t="s">
        <v>767</v>
      </c>
      <c r="E7156" s="380" t="s">
        <v>786</v>
      </c>
      <c r="F7156" s="380" t="s">
        <v>1017</v>
      </c>
      <c r="G7156" s="380" t="s">
        <v>1267</v>
      </c>
      <c r="H7156" s="380" t="s">
        <v>771</v>
      </c>
      <c r="I7156" s="380" t="s">
        <v>788</v>
      </c>
      <c r="J7156" s="380" t="s">
        <v>773</v>
      </c>
      <c r="K7156" s="381">
        <v>0.0</v>
      </c>
      <c r="L7156" s="382">
        <v>1.0</v>
      </c>
    </row>
    <row r="7157">
      <c r="A7157" s="380" t="s">
        <v>8031</v>
      </c>
      <c r="B7157" s="380" t="str">
        <f>IFERROR(__xludf.DUMMYFUNCTION("""COMPUTED_VALUE"""),"Kit Embrague Renault Master 8201516550")</f>
        <v>Kit Embrague Renault Master 8201516550</v>
      </c>
      <c r="C7157" s="380" t="str">
        <f>IFERROR(__xludf.DUMMYFUNCTION("""COMPUTED_VALUE"""),"70002569")</f>
        <v>70002569</v>
      </c>
      <c r="D7157" s="380" t="s">
        <v>767</v>
      </c>
      <c r="E7157" s="380" t="s">
        <v>786</v>
      </c>
      <c r="F7157" s="380" t="s">
        <v>5661</v>
      </c>
      <c r="G7157" s="380" t="s">
        <v>1267</v>
      </c>
      <c r="H7157" s="380" t="s">
        <v>771</v>
      </c>
      <c r="I7157" s="380" t="s">
        <v>788</v>
      </c>
      <c r="J7157" s="380" t="s">
        <v>773</v>
      </c>
      <c r="K7157" s="381">
        <v>0.0</v>
      </c>
      <c r="L7157" s="382">
        <v>1.0</v>
      </c>
    </row>
    <row r="7158">
      <c r="A7158" s="380" t="s">
        <v>8032</v>
      </c>
      <c r="B7158" s="380" t="str">
        <f>IFERROR(__xludf.DUMMYFUNCTION("""COMPUTED_VALUE"""),"Reten Trasero Externo FRR 1096253312")</f>
        <v>Reten Trasero Externo FRR 1096253312</v>
      </c>
      <c r="C7158" s="380" t="str">
        <f>IFERROR(__xludf.DUMMYFUNCTION("""COMPUTED_VALUE"""),"70002570")</f>
        <v>70002570</v>
      </c>
      <c r="D7158" s="380" t="s">
        <v>767</v>
      </c>
      <c r="E7158" s="380" t="s">
        <v>786</v>
      </c>
      <c r="F7158" s="380" t="s">
        <v>5683</v>
      </c>
      <c r="G7158" s="380" t="s">
        <v>1267</v>
      </c>
      <c r="H7158" s="380" t="s">
        <v>771</v>
      </c>
      <c r="I7158" s="380" t="s">
        <v>788</v>
      </c>
      <c r="J7158" s="380" t="s">
        <v>773</v>
      </c>
      <c r="K7158" s="381">
        <v>0.0</v>
      </c>
      <c r="L7158" s="382">
        <v>1.0</v>
      </c>
    </row>
    <row r="7159">
      <c r="A7159" s="380" t="s">
        <v>8033</v>
      </c>
      <c r="B7159" s="380" t="str">
        <f>IFERROR(__xludf.DUMMYFUNCTION("""COMPUTED_VALUE"""),"Caja De Velocidad Van N200")</f>
        <v>Caja De Velocidad Van N200</v>
      </c>
      <c r="C7159" s="380" t="str">
        <f>IFERROR(__xludf.DUMMYFUNCTION("""COMPUTED_VALUE"""),"70002571")</f>
        <v>70002571</v>
      </c>
      <c r="D7159" s="380" t="s">
        <v>767</v>
      </c>
      <c r="E7159" s="380" t="s">
        <v>786</v>
      </c>
      <c r="F7159" s="380" t="s">
        <v>928</v>
      </c>
      <c r="G7159" s="380" t="s">
        <v>1267</v>
      </c>
      <c r="H7159" s="380" t="s">
        <v>771</v>
      </c>
      <c r="I7159" s="380" t="s">
        <v>788</v>
      </c>
      <c r="J7159" s="380" t="s">
        <v>773</v>
      </c>
      <c r="K7159" s="381">
        <v>0.0</v>
      </c>
      <c r="L7159" s="382">
        <v>1.0</v>
      </c>
    </row>
    <row r="7160">
      <c r="A7160" s="380" t="s">
        <v>8034</v>
      </c>
      <c r="B7160" s="380" t="str">
        <f>IFERROR(__xludf.DUMMYFUNCTION("""COMPUTED_VALUE"""),"Manguera Secador Aire Acoplada 1/2")</f>
        <v>Manguera Secador Aire Acoplada 1/2</v>
      </c>
      <c r="C7160" s="380" t="str">
        <f>IFERROR(__xludf.DUMMYFUNCTION("""COMPUTED_VALUE"""),"70002572")</f>
        <v>70002572</v>
      </c>
      <c r="D7160" s="380" t="s">
        <v>767</v>
      </c>
      <c r="E7160" s="380" t="s">
        <v>786</v>
      </c>
      <c r="F7160" s="380" t="s">
        <v>989</v>
      </c>
      <c r="G7160" s="380" t="s">
        <v>1267</v>
      </c>
      <c r="H7160" s="380" t="s">
        <v>771</v>
      </c>
      <c r="I7160" s="380" t="s">
        <v>788</v>
      </c>
      <c r="J7160" s="380" t="s">
        <v>773</v>
      </c>
      <c r="K7160" s="381">
        <v>0.0</v>
      </c>
      <c r="L7160" s="382">
        <v>1.0</v>
      </c>
    </row>
    <row r="7161">
      <c r="A7161" s="380" t="s">
        <v>8035</v>
      </c>
      <c r="B7161" s="380" t="str">
        <f>IFERROR(__xludf.DUMMYFUNCTION("""COMPUTED_VALUE"""),"Empaque Superior Puerta Tipo Cortina Nkr")</f>
        <v>Empaque Superior Puerta Tipo Cortina Nkr</v>
      </c>
      <c r="C7161" s="380" t="str">
        <f>IFERROR(__xludf.DUMMYFUNCTION("""COMPUTED_VALUE"""),"70002573")</f>
        <v>70002573</v>
      </c>
      <c r="D7161" s="380" t="s">
        <v>767</v>
      </c>
      <c r="E7161" s="380" t="s">
        <v>786</v>
      </c>
      <c r="F7161" s="380" t="s">
        <v>792</v>
      </c>
      <c r="G7161" s="380" t="s">
        <v>1267</v>
      </c>
      <c r="H7161" s="380" t="s">
        <v>771</v>
      </c>
      <c r="I7161" s="380" t="s">
        <v>788</v>
      </c>
      <c r="J7161" s="380" t="s">
        <v>773</v>
      </c>
      <c r="K7161" s="381">
        <v>0.0</v>
      </c>
      <c r="L7161" s="382">
        <v>1.0</v>
      </c>
    </row>
    <row r="7162">
      <c r="A7162" s="380" t="s">
        <v>8036</v>
      </c>
      <c r="B7162" s="380" t="str">
        <f>IFERROR(__xludf.DUMMYFUNCTION("""COMPUTED_VALUE"""),"Kit Valvula Tanque Aire Eag 2506990C91")</f>
        <v>Kit Valvula Tanque Aire Eag 2506990C91</v>
      </c>
      <c r="C7162" s="380" t="str">
        <f>IFERROR(__xludf.DUMMYFUNCTION("""COMPUTED_VALUE"""),"70002574")</f>
        <v>70002574</v>
      </c>
      <c r="D7162" s="380" t="s">
        <v>767</v>
      </c>
      <c r="E7162" s="380" t="s">
        <v>786</v>
      </c>
      <c r="F7162" s="380" t="s">
        <v>792</v>
      </c>
      <c r="G7162" s="380" t="s">
        <v>1267</v>
      </c>
      <c r="H7162" s="380" t="s">
        <v>771</v>
      </c>
      <c r="I7162" s="380" t="s">
        <v>788</v>
      </c>
      <c r="J7162" s="380" t="s">
        <v>773</v>
      </c>
      <c r="K7162" s="381">
        <v>0.0</v>
      </c>
      <c r="L7162" s="382">
        <v>1.0</v>
      </c>
    </row>
    <row r="7163">
      <c r="A7163" s="380" t="s">
        <v>8037</v>
      </c>
      <c r="B7163" s="380" t="str">
        <f>IFERROR(__xludf.DUMMYFUNCTION("""COMPUTED_VALUE"""),"Bateria 4D 1250 Duncan Planta Electrica")</f>
        <v>Bateria 4D 1250 Duncan Planta Electrica</v>
      </c>
      <c r="C7163" s="380" t="str">
        <f>IFERROR(__xludf.DUMMYFUNCTION("""COMPUTED_VALUE"""),"70002575")</f>
        <v>70002575</v>
      </c>
      <c r="D7163" s="380" t="s">
        <v>767</v>
      </c>
      <c r="E7163" s="380" t="s">
        <v>786</v>
      </c>
      <c r="F7163" s="380" t="s">
        <v>998</v>
      </c>
      <c r="G7163" s="380" t="s">
        <v>1267</v>
      </c>
      <c r="H7163" s="380" t="s">
        <v>771</v>
      </c>
      <c r="I7163" s="380" t="s">
        <v>788</v>
      </c>
      <c r="J7163" s="380" t="s">
        <v>773</v>
      </c>
      <c r="K7163" s="381">
        <v>0.0</v>
      </c>
      <c r="L7163" s="382">
        <v>1.0</v>
      </c>
    </row>
    <row r="7164">
      <c r="A7164" s="380" t="s">
        <v>8038</v>
      </c>
      <c r="B7164" s="380" t="str">
        <f>IFERROR(__xludf.DUMMYFUNCTION("""COMPUTED_VALUE"""),"Manija Agarrader Puerta Volkswagen 9.150")</f>
        <v>Manija Agarrader Puerta Volkswagen 9.150</v>
      </c>
      <c r="C7164" s="380" t="str">
        <f>IFERROR(__xludf.DUMMYFUNCTION("""COMPUTED_VALUE"""),"70002576")</f>
        <v>70002576</v>
      </c>
      <c r="D7164" s="380" t="s">
        <v>767</v>
      </c>
      <c r="E7164" s="380" t="s">
        <v>786</v>
      </c>
      <c r="F7164" s="380" t="s">
        <v>792</v>
      </c>
      <c r="G7164" s="380" t="s">
        <v>1267</v>
      </c>
      <c r="H7164" s="380" t="s">
        <v>771</v>
      </c>
      <c r="I7164" s="380" t="s">
        <v>788</v>
      </c>
      <c r="J7164" s="380" t="s">
        <v>773</v>
      </c>
      <c r="K7164" s="381">
        <v>0.0</v>
      </c>
      <c r="L7164" s="382">
        <v>1.0</v>
      </c>
    </row>
    <row r="7165">
      <c r="A7165" s="380" t="s">
        <v>8039</v>
      </c>
      <c r="B7165" s="380" t="str">
        <f>IFERROR(__xludf.DUMMYFUNCTION("""COMPUTED_VALUE"""),"Zapa Delantera Izq Nkr CH746OPO")</f>
        <v>Zapa Delantera Izq Nkr CH746OPO</v>
      </c>
      <c r="C7165" s="380" t="str">
        <f>IFERROR(__xludf.DUMMYFUNCTION("""COMPUTED_VALUE"""),"70002577")</f>
        <v>70002577</v>
      </c>
      <c r="D7165" s="380" t="s">
        <v>767</v>
      </c>
      <c r="E7165" s="380" t="s">
        <v>786</v>
      </c>
      <c r="F7165" s="380" t="s">
        <v>1039</v>
      </c>
      <c r="G7165" s="380" t="s">
        <v>1267</v>
      </c>
      <c r="H7165" s="380" t="s">
        <v>771</v>
      </c>
      <c r="I7165" s="380" t="s">
        <v>788</v>
      </c>
      <c r="J7165" s="380" t="s">
        <v>773</v>
      </c>
      <c r="K7165" s="381">
        <v>0.0</v>
      </c>
      <c r="L7165" s="382">
        <v>1.0</v>
      </c>
    </row>
    <row r="7166">
      <c r="A7166" s="380" t="s">
        <v>8040</v>
      </c>
      <c r="B7166" s="380" t="str">
        <f>IFERROR(__xludf.DUMMYFUNCTION("""COMPUTED_VALUE"""),"Zapa Delantera Derecha Nkr Ch745opor")</f>
        <v>Zapa Delantera Derecha Nkr Ch745opor</v>
      </c>
      <c r="C7166" s="380" t="str">
        <f>IFERROR(__xludf.DUMMYFUNCTION("""COMPUTED_VALUE"""),"70002578")</f>
        <v>70002578</v>
      </c>
      <c r="D7166" s="380" t="s">
        <v>767</v>
      </c>
      <c r="E7166" s="380" t="s">
        <v>786</v>
      </c>
      <c r="F7166" s="380" t="s">
        <v>1039</v>
      </c>
      <c r="G7166" s="380" t="s">
        <v>1267</v>
      </c>
      <c r="H7166" s="380" t="s">
        <v>771</v>
      </c>
      <c r="I7166" s="380" t="s">
        <v>788</v>
      </c>
      <c r="J7166" s="380" t="s">
        <v>773</v>
      </c>
      <c r="K7166" s="381">
        <v>0.0</v>
      </c>
      <c r="L7166" s="382">
        <v>1.0</v>
      </c>
    </row>
    <row r="7167">
      <c r="A7167" s="380" t="s">
        <v>8041</v>
      </c>
      <c r="B7167" s="380" t="str">
        <f>IFERROR(__xludf.DUMMYFUNCTION("""COMPUTED_VALUE"""),"Pito 12v 400hrz Hella 3Al0029520")</f>
        <v>Pito 12v 400hrz Hella 3Al0029520</v>
      </c>
      <c r="C7167" s="380" t="str">
        <f>IFERROR(__xludf.DUMMYFUNCTION("""COMPUTED_VALUE"""),"70002579")</f>
        <v>70002579</v>
      </c>
      <c r="D7167" s="380" t="s">
        <v>767</v>
      </c>
      <c r="E7167" s="380" t="s">
        <v>786</v>
      </c>
      <c r="F7167" s="380" t="s">
        <v>998</v>
      </c>
      <c r="G7167" s="380" t="s">
        <v>1267</v>
      </c>
      <c r="H7167" s="380" t="s">
        <v>771</v>
      </c>
      <c r="I7167" s="380" t="s">
        <v>788</v>
      </c>
      <c r="J7167" s="380" t="s">
        <v>773</v>
      </c>
      <c r="K7167" s="381">
        <v>31182.0</v>
      </c>
      <c r="L7167" s="382">
        <v>1.0</v>
      </c>
    </row>
    <row r="7168">
      <c r="A7168" s="380" t="s">
        <v>8042</v>
      </c>
      <c r="B7168" s="380" t="str">
        <f>IFERROR(__xludf.DUMMYFUNCTION("""COMPUTED_VALUE"""),"Extension Guardafango Der FTR 8974153641")</f>
        <v>Extension Guardafango Der FTR 8974153641</v>
      </c>
      <c r="C7168" s="380" t="str">
        <f>IFERROR(__xludf.DUMMYFUNCTION("""COMPUTED_VALUE"""),"70002580")</f>
        <v>70002580</v>
      </c>
      <c r="D7168" s="380" t="s">
        <v>767</v>
      </c>
      <c r="E7168" s="380" t="s">
        <v>786</v>
      </c>
      <c r="F7168" s="380" t="s">
        <v>792</v>
      </c>
      <c r="G7168" s="380" t="s">
        <v>1267</v>
      </c>
      <c r="H7168" s="380" t="s">
        <v>771</v>
      </c>
      <c r="I7168" s="380" t="s">
        <v>788</v>
      </c>
      <c r="J7168" s="380" t="s">
        <v>773</v>
      </c>
      <c r="K7168" s="381">
        <v>0.0</v>
      </c>
      <c r="L7168" s="382">
        <v>1.0</v>
      </c>
    </row>
    <row r="7169">
      <c r="A7169" s="380" t="s">
        <v>8043</v>
      </c>
      <c r="B7169" s="380" t="str">
        <f>IFERROR(__xludf.DUMMYFUNCTION("""COMPUTED_VALUE"""),"Buje Anclaje Suspension FTR 8980818290")</f>
        <v>Buje Anclaje Suspension FTR 8980818290</v>
      </c>
      <c r="C7169" s="380" t="str">
        <f>IFERROR(__xludf.DUMMYFUNCTION("""COMPUTED_VALUE"""),"70002581")</f>
        <v>70002581</v>
      </c>
      <c r="D7169" s="380" t="s">
        <v>767</v>
      </c>
      <c r="E7169" s="380" t="s">
        <v>786</v>
      </c>
      <c r="F7169" s="380" t="s">
        <v>1039</v>
      </c>
      <c r="G7169" s="380" t="s">
        <v>1267</v>
      </c>
      <c r="H7169" s="380" t="s">
        <v>771</v>
      </c>
      <c r="I7169" s="380" t="s">
        <v>788</v>
      </c>
      <c r="J7169" s="380" t="s">
        <v>773</v>
      </c>
      <c r="K7169" s="381">
        <v>0.0</v>
      </c>
      <c r="L7169" s="382">
        <v>1.0</v>
      </c>
    </row>
    <row r="7170">
      <c r="A7170" s="380" t="s">
        <v>8044</v>
      </c>
      <c r="B7170" s="380" t="str">
        <f>IFERROR(__xludf.DUMMYFUNCTION("""COMPUTED_VALUE"""),"Lampara Direc Der Nkr Npr 213-1530RH")</f>
        <v>Lampara Direc Der Nkr Npr 213-1530RH</v>
      </c>
      <c r="C7170" s="380" t="str">
        <f>IFERROR(__xludf.DUMMYFUNCTION("""COMPUTED_VALUE"""),"70002582")</f>
        <v>70002582</v>
      </c>
      <c r="D7170" s="380" t="s">
        <v>767</v>
      </c>
      <c r="E7170" s="380" t="s">
        <v>786</v>
      </c>
      <c r="F7170" s="380" t="s">
        <v>998</v>
      </c>
      <c r="G7170" s="380" t="s">
        <v>1267</v>
      </c>
      <c r="H7170" s="380" t="s">
        <v>771</v>
      </c>
      <c r="I7170" s="380" t="s">
        <v>788</v>
      </c>
      <c r="J7170" s="380" t="s">
        <v>773</v>
      </c>
      <c r="K7170" s="381">
        <v>0.0</v>
      </c>
      <c r="L7170" s="382">
        <v>1.0</v>
      </c>
    </row>
    <row r="7171">
      <c r="A7171" s="380" t="s">
        <v>8045</v>
      </c>
      <c r="B7171" s="380" t="str">
        <f>IFERROR(__xludf.DUMMYFUNCTION("""COMPUTED_VALUE"""),"Filtro Aire Planta Electrica 135326205")</f>
        <v>Filtro Aire Planta Electrica 135326205</v>
      </c>
      <c r="C7171" s="380" t="str">
        <f>IFERROR(__xludf.DUMMYFUNCTION("""COMPUTED_VALUE"""),"70002583")</f>
        <v>70002583</v>
      </c>
      <c r="D7171" s="380" t="s">
        <v>767</v>
      </c>
      <c r="E7171" s="380" t="s">
        <v>786</v>
      </c>
      <c r="F7171" s="380" t="s">
        <v>5855</v>
      </c>
      <c r="G7171" s="380" t="s">
        <v>1267</v>
      </c>
      <c r="H7171" s="380" t="s">
        <v>771</v>
      </c>
      <c r="I7171" s="380" t="s">
        <v>788</v>
      </c>
      <c r="J7171" s="380" t="s">
        <v>773</v>
      </c>
      <c r="K7171" s="381">
        <v>0.0</v>
      </c>
      <c r="L7171" s="382">
        <v>1.0</v>
      </c>
    </row>
    <row r="7172">
      <c r="A7172" s="380" t="s">
        <v>8046</v>
      </c>
      <c r="B7172" s="380" t="str">
        <f>IFERROR(__xludf.DUMMYFUNCTION("""COMPUTED_VALUE"""),"Filtro Aceite Planta Electrica 2654407")</f>
        <v>Filtro Aceite Planta Electrica 2654407</v>
      </c>
      <c r="C7172" s="380" t="str">
        <f>IFERROR(__xludf.DUMMYFUNCTION("""COMPUTED_VALUE"""),"70002584")</f>
        <v>70002584</v>
      </c>
      <c r="D7172" s="380" t="s">
        <v>767</v>
      </c>
      <c r="E7172" s="380" t="s">
        <v>786</v>
      </c>
      <c r="F7172" s="380" t="s">
        <v>5855</v>
      </c>
      <c r="G7172" s="380" t="s">
        <v>1267</v>
      </c>
      <c r="H7172" s="380" t="s">
        <v>771</v>
      </c>
      <c r="I7172" s="380" t="s">
        <v>788</v>
      </c>
      <c r="J7172" s="380" t="s">
        <v>773</v>
      </c>
      <c r="K7172" s="381">
        <v>0.0</v>
      </c>
      <c r="L7172" s="382">
        <v>1.0</v>
      </c>
    </row>
    <row r="7173">
      <c r="A7173" s="380" t="s">
        <v>8047</v>
      </c>
      <c r="B7173" s="380" t="str">
        <f>IFERROR(__xludf.DUMMYFUNCTION("""COMPUTED_VALUE"""),"Filtro Comb Planta Electrica 26561117")</f>
        <v>Filtro Comb Planta Electrica 26561117</v>
      </c>
      <c r="C7173" s="380" t="str">
        <f>IFERROR(__xludf.DUMMYFUNCTION("""COMPUTED_VALUE"""),"70002585")</f>
        <v>70002585</v>
      </c>
      <c r="D7173" s="380" t="s">
        <v>767</v>
      </c>
      <c r="E7173" s="380" t="s">
        <v>786</v>
      </c>
      <c r="F7173" s="380" t="s">
        <v>5855</v>
      </c>
      <c r="G7173" s="380" t="s">
        <v>1267</v>
      </c>
      <c r="H7173" s="380" t="s">
        <v>771</v>
      </c>
      <c r="I7173" s="380" t="s">
        <v>788</v>
      </c>
      <c r="J7173" s="380" t="s">
        <v>773</v>
      </c>
      <c r="K7173" s="381">
        <v>0.0</v>
      </c>
      <c r="L7173" s="382">
        <v>1.0</v>
      </c>
    </row>
    <row r="7174">
      <c r="A7174" s="380" t="s">
        <v>8048</v>
      </c>
      <c r="B7174" s="380" t="str">
        <f>IFERROR(__xludf.DUMMYFUNCTION("""COMPUTED_VALUE"""),"Buje Muelle Del Con Pasador Integ 482-Kw")</f>
        <v>Buje Muelle Del Con Pasador Integ 482-Kw</v>
      </c>
      <c r="C7174" s="380" t="str">
        <f>IFERROR(__xludf.DUMMYFUNCTION("""COMPUTED_VALUE"""),"70002586")</f>
        <v>70002586</v>
      </c>
      <c r="D7174" s="380" t="s">
        <v>767</v>
      </c>
      <c r="E7174" s="380" t="s">
        <v>786</v>
      </c>
      <c r="F7174" s="380" t="s">
        <v>1039</v>
      </c>
      <c r="G7174" s="380" t="s">
        <v>1267</v>
      </c>
      <c r="H7174" s="380" t="s">
        <v>771</v>
      </c>
      <c r="I7174" s="380" t="s">
        <v>788</v>
      </c>
      <c r="J7174" s="380" t="s">
        <v>773</v>
      </c>
      <c r="K7174" s="381">
        <v>0.0</v>
      </c>
      <c r="L7174" s="382">
        <v>1.0</v>
      </c>
    </row>
    <row r="7175">
      <c r="A7175" s="380" t="s">
        <v>8049</v>
      </c>
      <c r="B7175" s="380" t="str">
        <f>IFERROR(__xludf.DUMMYFUNCTION("""COMPUTED_VALUE"""),"Abrazadera Cremallera 48")</f>
        <v>Abrazadera Cremallera 48</v>
      </c>
      <c r="C7175" s="380" t="str">
        <f>IFERROR(__xludf.DUMMYFUNCTION("""COMPUTED_VALUE"""),"70002587")</f>
        <v>70002587</v>
      </c>
      <c r="D7175" s="380" t="s">
        <v>767</v>
      </c>
      <c r="E7175" s="380" t="s">
        <v>786</v>
      </c>
      <c r="F7175" s="380" t="s">
        <v>989</v>
      </c>
      <c r="G7175" s="380" t="s">
        <v>1267</v>
      </c>
      <c r="H7175" s="380" t="s">
        <v>771</v>
      </c>
      <c r="I7175" s="380" t="s">
        <v>788</v>
      </c>
      <c r="J7175" s="380" t="s">
        <v>773</v>
      </c>
      <c r="K7175" s="381">
        <v>0.0</v>
      </c>
      <c r="L7175" s="382">
        <v>1.0</v>
      </c>
    </row>
    <row r="7176">
      <c r="A7176" s="380" t="s">
        <v>8050</v>
      </c>
      <c r="B7176" s="380" t="str">
        <f>IFERROR(__xludf.DUMMYFUNCTION("""COMPUTED_VALUE"""),"Balinera Arranque 6002 2RSR")</f>
        <v>Balinera Arranque 6002 2RSR</v>
      </c>
      <c r="C7176" s="380" t="str">
        <f>IFERROR(__xludf.DUMMYFUNCTION("""COMPUTED_VALUE"""),"70002588")</f>
        <v>70002588</v>
      </c>
      <c r="D7176" s="380" t="s">
        <v>767</v>
      </c>
      <c r="E7176" s="380" t="s">
        <v>786</v>
      </c>
      <c r="F7176" s="380" t="s">
        <v>998</v>
      </c>
      <c r="G7176" s="380" t="s">
        <v>1267</v>
      </c>
      <c r="H7176" s="380" t="s">
        <v>771</v>
      </c>
      <c r="I7176" s="380" t="s">
        <v>788</v>
      </c>
      <c r="J7176" s="380" t="s">
        <v>773</v>
      </c>
      <c r="K7176" s="381">
        <v>18207.0</v>
      </c>
      <c r="L7176" s="382">
        <v>1.0</v>
      </c>
    </row>
    <row r="7177">
      <c r="A7177" s="380" t="s">
        <v>8051</v>
      </c>
      <c r="B7177" s="380" t="str">
        <f>IFERROR(__xludf.DUMMYFUNCTION("""COMPUTED_VALUE"""),"Anillo Diferencial Hino Dpc 4111537010")</f>
        <v>Anillo Diferencial Hino Dpc 4111537010</v>
      </c>
      <c r="C7177" s="380" t="str">
        <f>IFERROR(__xludf.DUMMYFUNCTION("""COMPUTED_VALUE"""),"70002589")</f>
        <v>70002589</v>
      </c>
      <c r="D7177" s="380" t="s">
        <v>767</v>
      </c>
      <c r="E7177" s="380" t="s">
        <v>786</v>
      </c>
      <c r="F7177" s="380" t="s">
        <v>5683</v>
      </c>
      <c r="G7177" s="380" t="s">
        <v>1267</v>
      </c>
      <c r="H7177" s="380" t="s">
        <v>771</v>
      </c>
      <c r="I7177" s="380" t="s">
        <v>788</v>
      </c>
      <c r="J7177" s="380" t="s">
        <v>773</v>
      </c>
      <c r="K7177" s="381">
        <v>0.0</v>
      </c>
      <c r="L7177" s="382">
        <v>1.0</v>
      </c>
    </row>
    <row r="7178">
      <c r="A7178" s="380" t="s">
        <v>8052</v>
      </c>
      <c r="B7178" s="380" t="str">
        <f>IFERROR(__xludf.DUMMYFUNCTION("""COMPUTED_VALUE"""),"Sensor Alta Presion A/C Kenw K301 - 401")</f>
        <v>Sensor Alta Presion A/C Kenw K301 - 401</v>
      </c>
      <c r="C7178" s="380" t="str">
        <f>IFERROR(__xludf.DUMMYFUNCTION("""COMPUTED_VALUE"""),"70002590")</f>
        <v>70002590</v>
      </c>
      <c r="D7178" s="380" t="s">
        <v>767</v>
      </c>
      <c r="E7178" s="380" t="s">
        <v>786</v>
      </c>
      <c r="F7178" s="380" t="s">
        <v>998</v>
      </c>
      <c r="G7178" s="380" t="s">
        <v>1267</v>
      </c>
      <c r="H7178" s="380" t="s">
        <v>771</v>
      </c>
      <c r="I7178" s="380" t="s">
        <v>788</v>
      </c>
      <c r="J7178" s="380" t="s">
        <v>773</v>
      </c>
      <c r="K7178" s="381">
        <v>201110.0</v>
      </c>
      <c r="L7178" s="382">
        <v>1.0</v>
      </c>
    </row>
    <row r="7179">
      <c r="A7179" s="380" t="s">
        <v>8053</v>
      </c>
      <c r="B7179" s="380" t="str">
        <f>IFERROR(__xludf.DUMMYFUNCTION("""COMPUTED_VALUE"""),"Switch Elevavidrios Mack 2105059")</f>
        <v>Switch Elevavidrios Mack 2105059</v>
      </c>
      <c r="C7179" s="380" t="str">
        <f>IFERROR(__xludf.DUMMYFUNCTION("""COMPUTED_VALUE"""),"70002591")</f>
        <v>70002591</v>
      </c>
      <c r="D7179" s="380" t="s">
        <v>767</v>
      </c>
      <c r="E7179" s="380" t="s">
        <v>786</v>
      </c>
      <c r="F7179" s="380" t="s">
        <v>998</v>
      </c>
      <c r="G7179" s="380" t="s">
        <v>1267</v>
      </c>
      <c r="H7179" s="380" t="s">
        <v>771</v>
      </c>
      <c r="I7179" s="380" t="s">
        <v>788</v>
      </c>
      <c r="J7179" s="380" t="s">
        <v>773</v>
      </c>
      <c r="K7179" s="381">
        <v>0.0</v>
      </c>
      <c r="L7179" s="382">
        <v>1.0</v>
      </c>
    </row>
    <row r="7180">
      <c r="A7180" s="380" t="s">
        <v>8054</v>
      </c>
      <c r="B7180" s="380" t="str">
        <f>IFERROR(__xludf.DUMMYFUNCTION("""COMPUTED_VALUE"""),"Filtro Aceite Elemento FTR 1876100640")</f>
        <v>Filtro Aceite Elemento FTR 1876100640</v>
      </c>
      <c r="C7180" s="380" t="str">
        <f>IFERROR(__xludf.DUMMYFUNCTION("""COMPUTED_VALUE"""),"70002592")</f>
        <v>70002592</v>
      </c>
      <c r="D7180" s="380" t="s">
        <v>767</v>
      </c>
      <c r="E7180" s="380" t="s">
        <v>786</v>
      </c>
      <c r="F7180" s="380" t="s">
        <v>5855</v>
      </c>
      <c r="G7180" s="380" t="s">
        <v>1267</v>
      </c>
      <c r="H7180" s="380" t="s">
        <v>771</v>
      </c>
      <c r="I7180" s="380" t="s">
        <v>788</v>
      </c>
      <c r="J7180" s="380" t="s">
        <v>773</v>
      </c>
      <c r="K7180" s="381">
        <v>115658.0</v>
      </c>
      <c r="L7180" s="382">
        <v>1.0</v>
      </c>
    </row>
    <row r="7181">
      <c r="A7181" s="380" t="s">
        <v>8055</v>
      </c>
      <c r="B7181" s="380" t="str">
        <f>IFERROR(__xludf.DUMMYFUNCTION("""COMPUTED_VALUE"""),"Valvu Desf Tapa Valv Motor Nkr8971198870")</f>
        <v>Valvu Desf Tapa Valv Motor Nkr8971198870</v>
      </c>
      <c r="C7181" s="380" t="str">
        <f>IFERROR(__xludf.DUMMYFUNCTION("""COMPUTED_VALUE"""),"70002593")</f>
        <v>70002593</v>
      </c>
      <c r="D7181" s="380" t="s">
        <v>767</v>
      </c>
      <c r="E7181" s="380" t="s">
        <v>786</v>
      </c>
      <c r="F7181" s="380" t="s">
        <v>787</v>
      </c>
      <c r="G7181" s="380" t="s">
        <v>1267</v>
      </c>
      <c r="H7181" s="380" t="s">
        <v>771</v>
      </c>
      <c r="I7181" s="380" t="s">
        <v>788</v>
      </c>
      <c r="J7181" s="380" t="s">
        <v>773</v>
      </c>
      <c r="K7181" s="381">
        <v>0.0</v>
      </c>
      <c r="L7181" s="382">
        <v>1.0</v>
      </c>
    </row>
    <row r="7182">
      <c r="A7182" s="380" t="s">
        <v>8056</v>
      </c>
      <c r="B7182" s="380" t="str">
        <f>IFERROR(__xludf.DUMMYFUNCTION("""COMPUTED_VALUE"""),"Cabrilla Direcc Chevrolet Nkr 8974003990")</f>
        <v>Cabrilla Direcc Chevrolet Nkr 8974003990</v>
      </c>
      <c r="C7182" s="380" t="str">
        <f>IFERROR(__xludf.DUMMYFUNCTION("""COMPUTED_VALUE"""),"70002594")</f>
        <v>70002594</v>
      </c>
      <c r="D7182" s="380" t="s">
        <v>767</v>
      </c>
      <c r="E7182" s="380" t="s">
        <v>786</v>
      </c>
      <c r="F7182" s="380" t="s">
        <v>792</v>
      </c>
      <c r="G7182" s="380" t="s">
        <v>1267</v>
      </c>
      <c r="H7182" s="380" t="s">
        <v>771</v>
      </c>
      <c r="I7182" s="380" t="s">
        <v>788</v>
      </c>
      <c r="J7182" s="380" t="s">
        <v>773</v>
      </c>
      <c r="K7182" s="381">
        <v>0.0</v>
      </c>
      <c r="L7182" s="382">
        <v>1.0</v>
      </c>
    </row>
    <row r="7183">
      <c r="A7183" s="380" t="s">
        <v>8057</v>
      </c>
      <c r="B7183" s="380" t="str">
        <f>IFERROR(__xludf.DUMMYFUNCTION("""COMPUTED_VALUE"""),"Bombona Aire Suspensión Mack T8 CXU613")</f>
        <v>Bombona Aire Suspensión Mack T8 CXU613</v>
      </c>
      <c r="C7183" s="380" t="str">
        <f>IFERROR(__xludf.DUMMYFUNCTION("""COMPUTED_VALUE"""),"70002595")</f>
        <v>70002595</v>
      </c>
      <c r="D7183" s="380" t="s">
        <v>767</v>
      </c>
      <c r="E7183" s="380" t="s">
        <v>786</v>
      </c>
      <c r="F7183" s="380" t="s">
        <v>1039</v>
      </c>
      <c r="G7183" s="380" t="s">
        <v>1267</v>
      </c>
      <c r="H7183" s="380" t="s">
        <v>771</v>
      </c>
      <c r="I7183" s="380" t="s">
        <v>788</v>
      </c>
      <c r="J7183" s="380" t="s">
        <v>773</v>
      </c>
      <c r="K7183" s="381">
        <v>0.0</v>
      </c>
      <c r="L7183" s="382">
        <v>1.0</v>
      </c>
    </row>
    <row r="7184">
      <c r="A7184" s="380" t="s">
        <v>8058</v>
      </c>
      <c r="B7184" s="380" t="str">
        <f>IFERROR(__xludf.DUMMYFUNCTION("""COMPUTED_VALUE"""),"Juego Splinder Kemworth M2012 R201309")</f>
        <v>Juego Splinder Kemworth M2012 R201309</v>
      </c>
      <c r="C7184" s="380" t="str">
        <f>IFERROR(__xludf.DUMMYFUNCTION("""COMPUTED_VALUE"""),"70002596")</f>
        <v>70002596</v>
      </c>
      <c r="D7184" s="380" t="s">
        <v>767</v>
      </c>
      <c r="E7184" s="380" t="s">
        <v>786</v>
      </c>
      <c r="F7184" s="380" t="s">
        <v>1039</v>
      </c>
      <c r="G7184" s="380" t="s">
        <v>1267</v>
      </c>
      <c r="H7184" s="380" t="s">
        <v>771</v>
      </c>
      <c r="I7184" s="380" t="s">
        <v>788</v>
      </c>
      <c r="J7184" s="380" t="s">
        <v>773</v>
      </c>
      <c r="K7184" s="381">
        <v>0.0</v>
      </c>
      <c r="L7184" s="382">
        <v>1.0</v>
      </c>
    </row>
    <row r="7185">
      <c r="A7185" s="380" t="s">
        <v>8059</v>
      </c>
      <c r="B7185" s="380" t="str">
        <f>IFERROR(__xludf.DUMMYFUNCTION("""COMPUTED_VALUE"""),"Sensor Posición Cigüeñal FTR 8976069430")</f>
        <v>Sensor Posición Cigüeñal FTR 8976069430</v>
      </c>
      <c r="C7185" s="380" t="str">
        <f>IFERROR(__xludf.DUMMYFUNCTION("""COMPUTED_VALUE"""),"70002597")</f>
        <v>70002597</v>
      </c>
      <c r="D7185" s="380" t="s">
        <v>767</v>
      </c>
      <c r="E7185" s="380" t="s">
        <v>786</v>
      </c>
      <c r="F7185" s="380" t="s">
        <v>787</v>
      </c>
      <c r="G7185" s="380" t="s">
        <v>1267</v>
      </c>
      <c r="H7185" s="380" t="s">
        <v>771</v>
      </c>
      <c r="I7185" s="380" t="s">
        <v>788</v>
      </c>
      <c r="J7185" s="380" t="s">
        <v>773</v>
      </c>
      <c r="K7185" s="381">
        <v>0.0</v>
      </c>
      <c r="L7185" s="382">
        <v>1.0</v>
      </c>
    </row>
    <row r="7186">
      <c r="A7186" s="380" t="s">
        <v>8060</v>
      </c>
      <c r="B7186" s="380" t="str">
        <f>IFERROR(__xludf.DUMMYFUNCTION("""COMPUTED_VALUE"""),"Espiga Centr 46 Estr Tubo 4 1/2 6553171X")</f>
        <v>Espiga Centr 46 Estr Tubo 4 1/2 6553171X</v>
      </c>
      <c r="C7186" s="380" t="str">
        <f>IFERROR(__xludf.DUMMYFUNCTION("""COMPUTED_VALUE"""),"70002598")</f>
        <v>70002598</v>
      </c>
      <c r="D7186" s="380" t="s">
        <v>767</v>
      </c>
      <c r="E7186" s="380" t="s">
        <v>786</v>
      </c>
      <c r="F7186" s="380" t="s">
        <v>5683</v>
      </c>
      <c r="G7186" s="380" t="s">
        <v>1267</v>
      </c>
      <c r="H7186" s="380" t="s">
        <v>771</v>
      </c>
      <c r="I7186" s="380" t="s">
        <v>788</v>
      </c>
      <c r="J7186" s="380" t="s">
        <v>773</v>
      </c>
      <c r="K7186" s="381">
        <v>0.0</v>
      </c>
      <c r="L7186" s="382">
        <v>1.0</v>
      </c>
    </row>
    <row r="7187">
      <c r="A7187" s="380" t="s">
        <v>8061</v>
      </c>
      <c r="B7187" s="380" t="str">
        <f>IFERROR(__xludf.DUMMYFUNCTION("""COMPUTED_VALUE"""),"Botella Cardan 7 1/2"" Eagle 6531371K")</f>
        <v>Botella Cardan 7 1/2" Eagle 6531371K</v>
      </c>
      <c r="C7187" s="380" t="str">
        <f>IFERROR(__xludf.DUMMYFUNCTION("""COMPUTED_VALUE"""),"70002599")</f>
        <v>70002599</v>
      </c>
      <c r="D7187" s="380" t="s">
        <v>767</v>
      </c>
      <c r="E7187" s="380" t="s">
        <v>786</v>
      </c>
      <c r="F7187" s="380" t="s">
        <v>5683</v>
      </c>
      <c r="G7187" s="380" t="s">
        <v>1267</v>
      </c>
      <c r="H7187" s="380" t="s">
        <v>771</v>
      </c>
      <c r="I7187" s="380" t="s">
        <v>788</v>
      </c>
      <c r="J7187" s="380" t="s">
        <v>773</v>
      </c>
      <c r="K7187" s="381">
        <v>0.0</v>
      </c>
      <c r="L7187" s="382">
        <v>1.0</v>
      </c>
    </row>
    <row r="7188">
      <c r="A7188" s="380" t="s">
        <v>8062</v>
      </c>
      <c r="B7188" s="380" t="str">
        <f>IFERROR(__xludf.DUMMYFUNCTION("""COMPUTED_VALUE"""),"Manguera Multiple Adm Nhr-Nkr 8972286582")</f>
        <v>Manguera Multiple Adm Nhr-Nkr 8972286582</v>
      </c>
      <c r="C7188" s="380" t="str">
        <f>IFERROR(__xludf.DUMMYFUNCTION("""COMPUTED_VALUE"""),"70002600")</f>
        <v>70002600</v>
      </c>
      <c r="D7188" s="380" t="s">
        <v>767</v>
      </c>
      <c r="E7188" s="380" t="s">
        <v>786</v>
      </c>
      <c r="F7188" s="380" t="s">
        <v>787</v>
      </c>
      <c r="G7188" s="380" t="s">
        <v>1267</v>
      </c>
      <c r="H7188" s="380" t="s">
        <v>771</v>
      </c>
      <c r="I7188" s="380" t="s">
        <v>788</v>
      </c>
      <c r="J7188" s="380" t="s">
        <v>773</v>
      </c>
      <c r="K7188" s="381">
        <v>0.0</v>
      </c>
      <c r="L7188" s="382">
        <v>1.0</v>
      </c>
    </row>
    <row r="7189">
      <c r="A7189" s="380" t="s">
        <v>8063</v>
      </c>
      <c r="B7189" s="380" t="str">
        <f>IFERROR(__xludf.DUMMYFUNCTION("""COMPUTED_VALUE"""),"Kit Chupas Freno Trasero Hino 04476-3705")</f>
        <v>Kit Chupas Freno Trasero Hino 04476-3705</v>
      </c>
      <c r="C7189" s="380" t="str">
        <f>IFERROR(__xludf.DUMMYFUNCTION("""COMPUTED_VALUE"""),"70002601")</f>
        <v>70002601</v>
      </c>
      <c r="D7189" s="380" t="s">
        <v>767</v>
      </c>
      <c r="E7189" s="380" t="s">
        <v>786</v>
      </c>
      <c r="F7189" s="380" t="s">
        <v>1017</v>
      </c>
      <c r="G7189" s="380" t="s">
        <v>1267</v>
      </c>
      <c r="H7189" s="380" t="s">
        <v>771</v>
      </c>
      <c r="I7189" s="380" t="s">
        <v>788</v>
      </c>
      <c r="J7189" s="380" t="s">
        <v>773</v>
      </c>
      <c r="K7189" s="381">
        <v>0.0</v>
      </c>
      <c r="L7189" s="382">
        <v>1.0</v>
      </c>
    </row>
    <row r="7190">
      <c r="A7190" s="380" t="s">
        <v>8064</v>
      </c>
      <c r="B7190" s="380" t="str">
        <f>IFERROR(__xludf.DUMMYFUNCTION("""COMPUTED_VALUE"""),"Base Filtro Agua Isx 438663")</f>
        <v>Base Filtro Agua Isx 438663</v>
      </c>
      <c r="C7190" s="380" t="str">
        <f>IFERROR(__xludf.DUMMYFUNCTION("""COMPUTED_VALUE"""),"70002602")</f>
        <v>70002602</v>
      </c>
      <c r="D7190" s="380" t="s">
        <v>767</v>
      </c>
      <c r="E7190" s="380" t="s">
        <v>786</v>
      </c>
      <c r="F7190" s="380" t="s">
        <v>787</v>
      </c>
      <c r="G7190" s="380" t="s">
        <v>1267</v>
      </c>
      <c r="H7190" s="380" t="s">
        <v>771</v>
      </c>
      <c r="I7190" s="380" t="s">
        <v>788</v>
      </c>
      <c r="J7190" s="380" t="s">
        <v>773</v>
      </c>
      <c r="K7190" s="381">
        <v>2862688.0</v>
      </c>
      <c r="L7190" s="382">
        <v>1.0</v>
      </c>
    </row>
    <row r="7191">
      <c r="A7191" s="380" t="s">
        <v>8065</v>
      </c>
      <c r="B7191" s="380" t="str">
        <f>IFERROR(__xludf.DUMMYFUNCTION("""COMPUTED_VALUE"""),"Kit Embrague Nkr Reward 52092444")</f>
        <v>Kit Embrague Nkr Reward 52092444</v>
      </c>
      <c r="C7191" s="380" t="str">
        <f>IFERROR(__xludf.DUMMYFUNCTION("""COMPUTED_VALUE"""),"70002603")</f>
        <v>70002603</v>
      </c>
      <c r="D7191" s="380" t="s">
        <v>767</v>
      </c>
      <c r="E7191" s="380" t="s">
        <v>786</v>
      </c>
      <c r="F7191" s="380" t="s">
        <v>5661</v>
      </c>
      <c r="G7191" s="380" t="s">
        <v>1267</v>
      </c>
      <c r="H7191" s="380" t="s">
        <v>771</v>
      </c>
      <c r="I7191" s="380" t="s">
        <v>788</v>
      </c>
      <c r="J7191" s="380" t="s">
        <v>773</v>
      </c>
      <c r="K7191" s="381">
        <v>1062500.0</v>
      </c>
      <c r="L7191" s="382">
        <v>1.0</v>
      </c>
    </row>
    <row r="7192">
      <c r="A7192" s="380" t="s">
        <v>8066</v>
      </c>
      <c r="B7192" s="380" t="str">
        <f>IFERROR(__xludf.DUMMYFUNCTION("""COMPUTED_VALUE"""),"Brazo Direccion Volkwagen 8007027003")</f>
        <v>Brazo Direccion Volkwagen 8007027003</v>
      </c>
      <c r="C7192" s="380" t="str">
        <f>IFERROR(__xludf.DUMMYFUNCTION("""COMPUTED_VALUE"""),"70002604")</f>
        <v>70002604</v>
      </c>
      <c r="D7192" s="380" t="s">
        <v>767</v>
      </c>
      <c r="E7192" s="380" t="s">
        <v>786</v>
      </c>
      <c r="F7192" s="380" t="s">
        <v>1020</v>
      </c>
      <c r="G7192" s="380" t="s">
        <v>1267</v>
      </c>
      <c r="H7192" s="380" t="s">
        <v>771</v>
      </c>
      <c r="I7192" s="380" t="s">
        <v>788</v>
      </c>
      <c r="J7192" s="380" t="s">
        <v>773</v>
      </c>
      <c r="K7192" s="381">
        <v>0.0</v>
      </c>
      <c r="L7192" s="382">
        <v>1.0</v>
      </c>
    </row>
    <row r="7193">
      <c r="A7193" s="380" t="s">
        <v>8067</v>
      </c>
      <c r="B7193" s="380" t="str">
        <f>IFERROR(__xludf.DUMMYFUNCTION("""COMPUTED_VALUE"""),"Conector Macho De 1/2 VHC817")</f>
        <v>Conector Macho De 1/2 VHC817</v>
      </c>
      <c r="C7193" s="380" t="str">
        <f>IFERROR(__xludf.DUMMYFUNCTION("""COMPUTED_VALUE"""),"70002605")</f>
        <v>70002605</v>
      </c>
      <c r="D7193" s="380" t="s">
        <v>767</v>
      </c>
      <c r="E7193" s="380" t="s">
        <v>786</v>
      </c>
      <c r="F7193" s="380" t="s">
        <v>998</v>
      </c>
      <c r="G7193" s="380" t="s">
        <v>1267</v>
      </c>
      <c r="H7193" s="380" t="s">
        <v>771</v>
      </c>
      <c r="I7193" s="380" t="s">
        <v>788</v>
      </c>
      <c r="J7193" s="380" t="s">
        <v>773</v>
      </c>
      <c r="K7193" s="381">
        <v>0.0</v>
      </c>
      <c r="L7193" s="382">
        <v>1.0</v>
      </c>
    </row>
    <row r="7194">
      <c r="A7194" s="380" t="s">
        <v>8068</v>
      </c>
      <c r="B7194" s="380" t="str">
        <f>IFERROR(__xludf.DUMMYFUNCTION("""COMPUTED_VALUE"""),"Tope Der Capo Prostar/Inter LT 3810979C4")</f>
        <v>Tope Der Capo Prostar/Inter LT 3810979C4</v>
      </c>
      <c r="C7194" s="380" t="str">
        <f>IFERROR(__xludf.DUMMYFUNCTION("""COMPUTED_VALUE"""),"70002606")</f>
        <v>70002606</v>
      </c>
      <c r="D7194" s="380" t="s">
        <v>767</v>
      </c>
      <c r="E7194" s="380" t="s">
        <v>786</v>
      </c>
      <c r="F7194" s="380" t="s">
        <v>792</v>
      </c>
      <c r="G7194" s="380" t="s">
        <v>1267</v>
      </c>
      <c r="H7194" s="380" t="s">
        <v>771</v>
      </c>
      <c r="I7194" s="380" t="s">
        <v>788</v>
      </c>
      <c r="J7194" s="380" t="s">
        <v>773</v>
      </c>
      <c r="K7194" s="381">
        <v>0.0</v>
      </c>
      <c r="L7194" s="382">
        <v>1.0</v>
      </c>
    </row>
    <row r="7195">
      <c r="A7195" s="380" t="s">
        <v>8069</v>
      </c>
      <c r="B7195" s="380" t="str">
        <f>IFERROR(__xludf.DUMMYFUNCTION("""COMPUTED_VALUE"""),"Tope Izq Capo Prostar/Inter LT 3810978C4")</f>
        <v>Tope Izq Capo Prostar/Inter LT 3810978C4</v>
      </c>
      <c r="C7195" s="380" t="str">
        <f>IFERROR(__xludf.DUMMYFUNCTION("""COMPUTED_VALUE"""),"70002607")</f>
        <v>70002607</v>
      </c>
      <c r="D7195" s="380" t="s">
        <v>767</v>
      </c>
      <c r="E7195" s="380" t="s">
        <v>786</v>
      </c>
      <c r="F7195" s="380" t="s">
        <v>792</v>
      </c>
      <c r="G7195" s="380" t="s">
        <v>1267</v>
      </c>
      <c r="H7195" s="380" t="s">
        <v>771</v>
      </c>
      <c r="I7195" s="380" t="s">
        <v>788</v>
      </c>
      <c r="J7195" s="380" t="s">
        <v>773</v>
      </c>
      <c r="K7195" s="381">
        <v>0.0</v>
      </c>
      <c r="L7195" s="382">
        <v>1.0</v>
      </c>
    </row>
    <row r="7196">
      <c r="A7196" s="380" t="s">
        <v>8070</v>
      </c>
      <c r="B7196" s="380" t="str">
        <f>IFERROR(__xludf.DUMMYFUNCTION("""COMPUTED_VALUE"""),"Sensor Aire Bombonas Mack 22443498")</f>
        <v>Sensor Aire Bombonas Mack 22443498</v>
      </c>
      <c r="C7196" s="380" t="str">
        <f>IFERROR(__xludf.DUMMYFUNCTION("""COMPUTED_VALUE"""),"70002608")</f>
        <v>70002608</v>
      </c>
      <c r="D7196" s="380" t="s">
        <v>767</v>
      </c>
      <c r="E7196" s="380" t="s">
        <v>786</v>
      </c>
      <c r="F7196" s="380" t="s">
        <v>1039</v>
      </c>
      <c r="G7196" s="380" t="s">
        <v>1267</v>
      </c>
      <c r="H7196" s="380" t="s">
        <v>771</v>
      </c>
      <c r="I7196" s="380" t="s">
        <v>788</v>
      </c>
      <c r="J7196" s="380" t="s">
        <v>773</v>
      </c>
      <c r="K7196" s="381">
        <v>0.0</v>
      </c>
      <c r="L7196" s="382">
        <v>1.0</v>
      </c>
    </row>
    <row r="7197">
      <c r="A7197" s="380" t="s">
        <v>8071</v>
      </c>
      <c r="B7197" s="380" t="str">
        <f>IFERROR(__xludf.DUMMYFUNCTION("""COMPUTED_VALUE"""),"Empaq Lamevid Pta Lat Izq N200 24544787")</f>
        <v>Empaq Lamevid Pta Lat Izq N200 24544787</v>
      </c>
      <c r="C7197" s="380" t="str">
        <f>IFERROR(__xludf.DUMMYFUNCTION("""COMPUTED_VALUE"""),"70002609")</f>
        <v>70002609</v>
      </c>
      <c r="D7197" s="380" t="s">
        <v>767</v>
      </c>
      <c r="E7197" s="380" t="s">
        <v>786</v>
      </c>
      <c r="F7197" s="380" t="s">
        <v>792</v>
      </c>
      <c r="G7197" s="380" t="s">
        <v>1267</v>
      </c>
      <c r="H7197" s="380" t="s">
        <v>771</v>
      </c>
      <c r="I7197" s="380" t="s">
        <v>788</v>
      </c>
      <c r="J7197" s="380" t="s">
        <v>773</v>
      </c>
      <c r="K7197" s="381">
        <v>0.0</v>
      </c>
      <c r="L7197" s="382">
        <v>1.0</v>
      </c>
    </row>
    <row r="7198">
      <c r="A7198" s="380" t="s">
        <v>8072</v>
      </c>
      <c r="B7198" s="380" t="str">
        <f>IFERROR(__xludf.DUMMYFUNCTION("""COMPUTED_VALUE"""),"Empaq Lamevid Pta Lat Der N200 24544788")</f>
        <v>Empaq Lamevid Pta Lat Der N200 24544788</v>
      </c>
      <c r="C7198" s="380" t="str">
        <f>IFERROR(__xludf.DUMMYFUNCTION("""COMPUTED_VALUE"""),"70002610")</f>
        <v>70002610</v>
      </c>
      <c r="D7198" s="380" t="s">
        <v>767</v>
      </c>
      <c r="E7198" s="380" t="s">
        <v>786</v>
      </c>
      <c r="F7198" s="380" t="s">
        <v>792</v>
      </c>
      <c r="G7198" s="380" t="s">
        <v>1267</v>
      </c>
      <c r="H7198" s="380" t="s">
        <v>771</v>
      </c>
      <c r="I7198" s="380" t="s">
        <v>788</v>
      </c>
      <c r="J7198" s="380" t="s">
        <v>773</v>
      </c>
      <c r="K7198" s="381">
        <v>0.0</v>
      </c>
      <c r="L7198" s="382">
        <v>1.0</v>
      </c>
    </row>
    <row r="7199">
      <c r="A7199" s="380" t="s">
        <v>8073</v>
      </c>
      <c r="B7199" s="380" t="str">
        <f>IFERROR(__xludf.DUMMYFUNCTION("""COMPUTED_VALUE"""),"Empaque Vidrio Pta Lat Izq N200 24544944")</f>
        <v>Empaque Vidrio Pta Lat Izq N200 24544944</v>
      </c>
      <c r="C7199" s="380" t="str">
        <f>IFERROR(__xludf.DUMMYFUNCTION("""COMPUTED_VALUE"""),"70002611")</f>
        <v>70002611</v>
      </c>
      <c r="D7199" s="380" t="s">
        <v>767</v>
      </c>
      <c r="E7199" s="380" t="s">
        <v>786</v>
      </c>
      <c r="F7199" s="380" t="s">
        <v>792</v>
      </c>
      <c r="G7199" s="380" t="s">
        <v>1267</v>
      </c>
      <c r="H7199" s="380" t="s">
        <v>771</v>
      </c>
      <c r="I7199" s="380" t="s">
        <v>788</v>
      </c>
      <c r="J7199" s="380" t="s">
        <v>773</v>
      </c>
      <c r="K7199" s="381">
        <v>0.0</v>
      </c>
      <c r="L7199" s="382">
        <v>1.0</v>
      </c>
    </row>
    <row r="7200">
      <c r="A7200" s="380" t="s">
        <v>8074</v>
      </c>
      <c r="B7200" s="380" t="str">
        <f>IFERROR(__xludf.DUMMYFUNCTION("""COMPUTED_VALUE"""),"Ventilador Radiador Nkr 8970946600")</f>
        <v>Ventilador Radiador Nkr 8970946600</v>
      </c>
      <c r="C7200" s="380" t="str">
        <f>IFERROR(__xludf.DUMMYFUNCTION("""COMPUTED_VALUE"""),"70002612")</f>
        <v>70002612</v>
      </c>
      <c r="D7200" s="380" t="s">
        <v>767</v>
      </c>
      <c r="E7200" s="380" t="s">
        <v>786</v>
      </c>
      <c r="F7200" s="380" t="s">
        <v>787</v>
      </c>
      <c r="G7200" s="380" t="s">
        <v>1267</v>
      </c>
      <c r="H7200" s="380" t="s">
        <v>771</v>
      </c>
      <c r="I7200" s="380" t="s">
        <v>788</v>
      </c>
      <c r="J7200" s="380" t="s">
        <v>773</v>
      </c>
      <c r="K7200" s="381">
        <v>0.0</v>
      </c>
      <c r="L7200" s="382">
        <v>1.0</v>
      </c>
    </row>
    <row r="7201">
      <c r="A7201" s="380" t="s">
        <v>8075</v>
      </c>
      <c r="B7201" s="380" t="str">
        <f>IFERROR(__xludf.DUMMYFUNCTION("""COMPUTED_VALUE"""),"Separador Speed Hino 300 4121437010")</f>
        <v>Separador Speed Hino 300 4121437010</v>
      </c>
      <c r="C7201" s="380" t="str">
        <f>IFERROR(__xludf.DUMMYFUNCTION("""COMPUTED_VALUE"""),"70002613")</f>
        <v>70002613</v>
      </c>
      <c r="D7201" s="380" t="s">
        <v>767</v>
      </c>
      <c r="E7201" s="380" t="s">
        <v>786</v>
      </c>
      <c r="F7201" s="380" t="s">
        <v>5683</v>
      </c>
      <c r="G7201" s="380" t="s">
        <v>1267</v>
      </c>
      <c r="H7201" s="380" t="s">
        <v>771</v>
      </c>
      <c r="I7201" s="380" t="s">
        <v>788</v>
      </c>
      <c r="J7201" s="380" t="s">
        <v>773</v>
      </c>
      <c r="K7201" s="381">
        <v>0.0</v>
      </c>
      <c r="L7201" s="382">
        <v>1.0</v>
      </c>
    </row>
    <row r="7202">
      <c r="A7202" s="380" t="s">
        <v>8076</v>
      </c>
      <c r="B7202" s="380" t="str">
        <f>IFERROR(__xludf.DUMMYFUNCTION("""COMPUTED_VALUE"""),"Interrup Luces Parqueo R Master25290488R")</f>
        <v>Interrup Luces Parqueo R Master25290488R</v>
      </c>
      <c r="C7202" s="380" t="str">
        <f>IFERROR(__xludf.DUMMYFUNCTION("""COMPUTED_VALUE"""),"70002614")</f>
        <v>70002614</v>
      </c>
      <c r="D7202" s="380" t="s">
        <v>767</v>
      </c>
      <c r="E7202" s="380" t="s">
        <v>786</v>
      </c>
      <c r="F7202" s="380" t="s">
        <v>998</v>
      </c>
      <c r="G7202" s="380" t="s">
        <v>1267</v>
      </c>
      <c r="H7202" s="380" t="s">
        <v>771</v>
      </c>
      <c r="I7202" s="380" t="s">
        <v>788</v>
      </c>
      <c r="J7202" s="380" t="s">
        <v>773</v>
      </c>
      <c r="K7202" s="381">
        <v>0.0</v>
      </c>
      <c r="L7202" s="382">
        <v>1.0</v>
      </c>
    </row>
    <row r="7203">
      <c r="A7203" s="380" t="s">
        <v>8077</v>
      </c>
      <c r="B7203" s="380" t="str">
        <f>IFERROR(__xludf.DUMMYFUNCTION("""COMPUTED_VALUE"""),"Punta Eje Izq Renault Master 3000485578")</f>
        <v>Punta Eje Izq Renault Master 3000485578</v>
      </c>
      <c r="C7203" s="380" t="str">
        <f>IFERROR(__xludf.DUMMYFUNCTION("""COMPUTED_VALUE"""),"70002615")</f>
        <v>70002615</v>
      </c>
      <c r="D7203" s="380" t="s">
        <v>767</v>
      </c>
      <c r="E7203" s="380" t="s">
        <v>786</v>
      </c>
      <c r="F7203" s="380" t="s">
        <v>1020</v>
      </c>
      <c r="G7203" s="380" t="s">
        <v>1267</v>
      </c>
      <c r="H7203" s="380" t="s">
        <v>771</v>
      </c>
      <c r="I7203" s="380" t="s">
        <v>788</v>
      </c>
      <c r="J7203" s="380" t="s">
        <v>773</v>
      </c>
      <c r="K7203" s="381">
        <v>0.0</v>
      </c>
      <c r="L7203" s="382">
        <v>1.0</v>
      </c>
    </row>
    <row r="7204">
      <c r="A7204" s="380" t="s">
        <v>8078</v>
      </c>
      <c r="B7204" s="380" t="str">
        <f>IFERROR(__xludf.DUMMYFUNCTION("""COMPUTED_VALUE"""),"Punta Eje Der Renault Master 3000499895")</f>
        <v>Punta Eje Der Renault Master 3000499895</v>
      </c>
      <c r="C7204" s="380" t="str">
        <f>IFERROR(__xludf.DUMMYFUNCTION("""COMPUTED_VALUE"""),"70002616")</f>
        <v>70002616</v>
      </c>
      <c r="D7204" s="380" t="s">
        <v>767</v>
      </c>
      <c r="E7204" s="380" t="s">
        <v>786</v>
      </c>
      <c r="F7204" s="380" t="s">
        <v>1020</v>
      </c>
      <c r="G7204" s="380" t="s">
        <v>1267</v>
      </c>
      <c r="H7204" s="380" t="s">
        <v>771</v>
      </c>
      <c r="I7204" s="380" t="s">
        <v>788</v>
      </c>
      <c r="J7204" s="380" t="s">
        <v>773</v>
      </c>
      <c r="K7204" s="381">
        <v>0.0</v>
      </c>
      <c r="L7204" s="382">
        <v>1.0</v>
      </c>
    </row>
    <row r="7205">
      <c r="A7205" s="380" t="s">
        <v>8079</v>
      </c>
      <c r="B7205" s="380" t="str">
        <f>IFERROR(__xludf.DUMMYFUNCTION("""COMPUTED_VALUE"""),"Pasador Central Con Tuerca 5/8 X 8""")</f>
        <v>Pasador Central Con Tuerca 5/8 X 8"</v>
      </c>
      <c r="C7205" s="380" t="str">
        <f>IFERROR(__xludf.DUMMYFUNCTION("""COMPUTED_VALUE"""),"70002617")</f>
        <v>70002617</v>
      </c>
      <c r="D7205" s="380" t="s">
        <v>767</v>
      </c>
      <c r="E7205" s="380" t="s">
        <v>786</v>
      </c>
      <c r="F7205" s="380" t="s">
        <v>1039</v>
      </c>
      <c r="G7205" s="380" t="s">
        <v>1267</v>
      </c>
      <c r="H7205" s="380" t="s">
        <v>771</v>
      </c>
      <c r="I7205" s="380" t="s">
        <v>788</v>
      </c>
      <c r="J7205" s="380" t="s">
        <v>773</v>
      </c>
      <c r="K7205" s="381">
        <v>0.0</v>
      </c>
      <c r="L7205" s="382">
        <v>1.0</v>
      </c>
    </row>
    <row r="7206">
      <c r="A7206" s="380" t="s">
        <v>8080</v>
      </c>
      <c r="B7206" s="380" t="str">
        <f>IFERROR(__xludf.DUMMYFUNCTION("""COMPUTED_VALUE"""),"Valvula Nivelad Cabina KW T-800 90555376")</f>
        <v>Valvula Nivelad Cabina KW T-800 90555376</v>
      </c>
      <c r="C7206" s="380" t="str">
        <f>IFERROR(__xludf.DUMMYFUNCTION("""COMPUTED_VALUE"""),"70002618")</f>
        <v>70002618</v>
      </c>
      <c r="D7206" s="380" t="s">
        <v>767</v>
      </c>
      <c r="E7206" s="380" t="s">
        <v>786</v>
      </c>
      <c r="F7206" s="380" t="s">
        <v>792</v>
      </c>
      <c r="G7206" s="380" t="s">
        <v>1267</v>
      </c>
      <c r="H7206" s="380" t="s">
        <v>771</v>
      </c>
      <c r="I7206" s="380" t="s">
        <v>788</v>
      </c>
      <c r="J7206" s="380" t="s">
        <v>773</v>
      </c>
      <c r="K7206" s="381">
        <v>515000.0</v>
      </c>
      <c r="L7206" s="382">
        <v>1.0</v>
      </c>
    </row>
    <row r="7207">
      <c r="A7207" s="380" t="s">
        <v>8081</v>
      </c>
      <c r="B7207" s="380" t="str">
        <f>IFERROR(__xludf.DUMMYFUNCTION("""COMPUTED_VALUE"""),"Guaya Fren Tras Parqueo DerN200 24558889")</f>
        <v>Guaya Fren Tras Parqueo DerN200 24558889</v>
      </c>
      <c r="C7207" s="380" t="str">
        <f>IFERROR(__xludf.DUMMYFUNCTION("""COMPUTED_VALUE"""),"70002619")</f>
        <v>70002619</v>
      </c>
      <c r="D7207" s="380" t="s">
        <v>767</v>
      </c>
      <c r="E7207" s="380" t="s">
        <v>786</v>
      </c>
      <c r="F7207" s="380" t="s">
        <v>1017</v>
      </c>
      <c r="G7207" s="380" t="s">
        <v>1267</v>
      </c>
      <c r="H7207" s="380" t="s">
        <v>771</v>
      </c>
      <c r="I7207" s="380" t="s">
        <v>788</v>
      </c>
      <c r="J7207" s="380" t="s">
        <v>773</v>
      </c>
      <c r="K7207" s="381">
        <v>0.0</v>
      </c>
      <c r="L7207" s="382">
        <v>1.0</v>
      </c>
    </row>
    <row r="7208">
      <c r="A7208" s="380" t="s">
        <v>8082</v>
      </c>
      <c r="B7208" s="380" t="str">
        <f>IFERROR(__xludf.DUMMYFUNCTION("""COMPUTED_VALUE"""),"Gancho Capo Mack CXU613 25159428")</f>
        <v>Gancho Capo Mack CXU613 25159428</v>
      </c>
      <c r="C7208" s="380" t="str">
        <f>IFERROR(__xludf.DUMMYFUNCTION("""COMPUTED_VALUE"""),"70002620")</f>
        <v>70002620</v>
      </c>
      <c r="D7208" s="380" t="s">
        <v>767</v>
      </c>
      <c r="E7208" s="380" t="s">
        <v>786</v>
      </c>
      <c r="F7208" s="380" t="s">
        <v>792</v>
      </c>
      <c r="G7208" s="380" t="s">
        <v>1267</v>
      </c>
      <c r="H7208" s="380" t="s">
        <v>771</v>
      </c>
      <c r="I7208" s="380" t="s">
        <v>788</v>
      </c>
      <c r="J7208" s="380" t="s">
        <v>773</v>
      </c>
      <c r="K7208" s="381">
        <v>0.0</v>
      </c>
      <c r="L7208" s="382">
        <v>1.0</v>
      </c>
    </row>
    <row r="7209">
      <c r="A7209" s="380" t="s">
        <v>8083</v>
      </c>
      <c r="B7209" s="380" t="str">
        <f>IFERROR(__xludf.DUMMYFUNCTION("""COMPUTED_VALUE"""),"Manguera Mono Ship Eaton 15"" 55527")</f>
        <v>Manguera Mono Ship Eaton 15" 55527</v>
      </c>
      <c r="C7209" s="380" t="str">
        <f>IFERROR(__xludf.DUMMYFUNCTION("""COMPUTED_VALUE"""),"70002621")</f>
        <v>70002621</v>
      </c>
      <c r="D7209" s="380" t="s">
        <v>767</v>
      </c>
      <c r="E7209" s="380" t="s">
        <v>786</v>
      </c>
      <c r="F7209" s="380" t="s">
        <v>928</v>
      </c>
      <c r="G7209" s="380" t="s">
        <v>1267</v>
      </c>
      <c r="H7209" s="380" t="s">
        <v>771</v>
      </c>
      <c r="I7209" s="380" t="s">
        <v>788</v>
      </c>
      <c r="J7209" s="380" t="s">
        <v>773</v>
      </c>
      <c r="K7209" s="381">
        <v>0.0</v>
      </c>
      <c r="L7209" s="382">
        <v>1.0</v>
      </c>
    </row>
    <row r="7210">
      <c r="A7210" s="380" t="s">
        <v>8084</v>
      </c>
      <c r="B7210" s="380" t="str">
        <f>IFERROR(__xludf.DUMMYFUNCTION("""COMPUTED_VALUE"""),"Juego Pastas Freno 10211 N200")</f>
        <v>Juego Pastas Freno 10211 N200</v>
      </c>
      <c r="C7210" s="380" t="str">
        <f>IFERROR(__xludf.DUMMYFUNCTION("""COMPUTED_VALUE"""),"70002622")</f>
        <v>70002622</v>
      </c>
      <c r="D7210" s="380" t="s">
        <v>767</v>
      </c>
      <c r="E7210" s="380" t="s">
        <v>786</v>
      </c>
      <c r="F7210" s="380" t="s">
        <v>1017</v>
      </c>
      <c r="G7210" s="380" t="s">
        <v>1267</v>
      </c>
      <c r="H7210" s="380" t="s">
        <v>771</v>
      </c>
      <c r="I7210" s="380" t="s">
        <v>788</v>
      </c>
      <c r="J7210" s="380" t="s">
        <v>773</v>
      </c>
      <c r="K7210" s="381">
        <v>0.0</v>
      </c>
      <c r="L7210" s="382">
        <v>1.0</v>
      </c>
    </row>
    <row r="7211">
      <c r="A7211" s="380" t="s">
        <v>8085</v>
      </c>
      <c r="B7211" s="380" t="str">
        <f>IFERROR(__xludf.DUMMYFUNCTION("""COMPUTED_VALUE"""),"Pulmon Lumbar Aire Silla Eagle 22779903")</f>
        <v>Pulmon Lumbar Aire Silla Eagle 22779903</v>
      </c>
      <c r="C7211" s="380" t="str">
        <f>IFERROR(__xludf.DUMMYFUNCTION("""COMPUTED_VALUE"""),"70002623")</f>
        <v>70002623</v>
      </c>
      <c r="D7211" s="380" t="s">
        <v>767</v>
      </c>
      <c r="E7211" s="380" t="s">
        <v>786</v>
      </c>
      <c r="F7211" s="380" t="s">
        <v>792</v>
      </c>
      <c r="G7211" s="380" t="s">
        <v>1267</v>
      </c>
      <c r="H7211" s="380" t="s">
        <v>771</v>
      </c>
      <c r="I7211" s="380" t="s">
        <v>788</v>
      </c>
      <c r="J7211" s="380" t="s">
        <v>773</v>
      </c>
      <c r="K7211" s="381">
        <v>0.0</v>
      </c>
      <c r="L7211" s="382">
        <v>1.0</v>
      </c>
    </row>
    <row r="7212">
      <c r="A7212" s="380" t="s">
        <v>8086</v>
      </c>
      <c r="B7212" s="380" t="str">
        <f>IFERROR(__xludf.DUMMYFUNCTION("""COMPUTED_VALUE"""),"Kit Terminal Direc Izq Y Der Npr94775022")</f>
        <v>Kit Terminal Direc Izq Y Der Npr94775022</v>
      </c>
      <c r="C7212" s="380" t="str">
        <f>IFERROR(__xludf.DUMMYFUNCTION("""COMPUTED_VALUE"""),"70002624")</f>
        <v>70002624</v>
      </c>
      <c r="D7212" s="380" t="s">
        <v>767</v>
      </c>
      <c r="E7212" s="380" t="s">
        <v>786</v>
      </c>
      <c r="F7212" s="380" t="s">
        <v>1020</v>
      </c>
      <c r="G7212" s="380" t="s">
        <v>1267</v>
      </c>
      <c r="H7212" s="380" t="s">
        <v>771</v>
      </c>
      <c r="I7212" s="380" t="s">
        <v>788</v>
      </c>
      <c r="J7212" s="380" t="s">
        <v>773</v>
      </c>
      <c r="K7212" s="381">
        <v>0.0</v>
      </c>
      <c r="L7212" s="382">
        <v>1.0</v>
      </c>
    </row>
    <row r="7213">
      <c r="A7213" s="380" t="s">
        <v>8087</v>
      </c>
      <c r="B7213" s="380" t="str">
        <f>IFERROR(__xludf.DUMMYFUNCTION("""COMPUTED_VALUE"""),"Interruptur Luz Rev Isx 2038062C1")</f>
        <v>Interruptur Luz Rev Isx 2038062C1</v>
      </c>
      <c r="C7213" s="380" t="str">
        <f>IFERROR(__xludf.DUMMYFUNCTION("""COMPUTED_VALUE"""),"70002625")</f>
        <v>70002625</v>
      </c>
      <c r="D7213" s="380" t="s">
        <v>767</v>
      </c>
      <c r="E7213" s="380" t="s">
        <v>786</v>
      </c>
      <c r="F7213" s="380" t="s">
        <v>998</v>
      </c>
      <c r="G7213" s="380" t="s">
        <v>1267</v>
      </c>
      <c r="H7213" s="380" t="s">
        <v>771</v>
      </c>
      <c r="I7213" s="380" t="s">
        <v>788</v>
      </c>
      <c r="J7213" s="380" t="s">
        <v>773</v>
      </c>
      <c r="K7213" s="381">
        <v>0.0</v>
      </c>
      <c r="L7213" s="382">
        <v>1.0</v>
      </c>
    </row>
    <row r="7214">
      <c r="A7214" s="380" t="s">
        <v>8088</v>
      </c>
      <c r="B7214" s="380" t="str">
        <f>IFERROR(__xludf.DUMMYFUNCTION("""COMPUTED_VALUE"""),"Kit Bujes Leva Freno R615002 Meritor")</f>
        <v>Kit Bujes Leva Freno R615002 Meritor</v>
      </c>
      <c r="C7214" s="380" t="str">
        <f>IFERROR(__xludf.DUMMYFUNCTION("""COMPUTED_VALUE"""),"70002626")</f>
        <v>70002626</v>
      </c>
      <c r="D7214" s="380" t="s">
        <v>767</v>
      </c>
      <c r="E7214" s="380" t="s">
        <v>786</v>
      </c>
      <c r="F7214" s="380" t="s">
        <v>1017</v>
      </c>
      <c r="G7214" s="380" t="s">
        <v>1267</v>
      </c>
      <c r="H7214" s="380" t="s">
        <v>771</v>
      </c>
      <c r="I7214" s="380" t="s">
        <v>788</v>
      </c>
      <c r="J7214" s="380" t="s">
        <v>773</v>
      </c>
      <c r="K7214" s="381">
        <v>71400.0</v>
      </c>
      <c r="L7214" s="382">
        <v>1.0</v>
      </c>
    </row>
    <row r="7215">
      <c r="A7215" s="380" t="s">
        <v>8089</v>
      </c>
      <c r="B7215" s="380" t="str">
        <f>IFERROR(__xludf.DUMMYFUNCTION("""COMPUTED_VALUE"""),"Espejo Auxiliar Prostar 2507272C1")</f>
        <v>Espejo Auxiliar Prostar 2507272C1</v>
      </c>
      <c r="C7215" s="380" t="str">
        <f>IFERROR(__xludf.DUMMYFUNCTION("""COMPUTED_VALUE"""),"70002627")</f>
        <v>70002627</v>
      </c>
      <c r="D7215" s="380" t="s">
        <v>767</v>
      </c>
      <c r="E7215" s="380" t="s">
        <v>786</v>
      </c>
      <c r="F7215" s="380" t="s">
        <v>792</v>
      </c>
      <c r="G7215" s="380" t="s">
        <v>1267</v>
      </c>
      <c r="H7215" s="380" t="s">
        <v>771</v>
      </c>
      <c r="I7215" s="380" t="s">
        <v>788</v>
      </c>
      <c r="J7215" s="380" t="s">
        <v>773</v>
      </c>
      <c r="K7215" s="381">
        <v>0.0</v>
      </c>
      <c r="L7215" s="382">
        <v>1.0</v>
      </c>
    </row>
    <row r="7216">
      <c r="A7216" s="380" t="s">
        <v>8090</v>
      </c>
      <c r="B7216" s="380" t="str">
        <f>IFERROR(__xludf.DUMMYFUNCTION("""COMPUTED_VALUE"""),"Farola Ppal Del Der FTR FRR RW8982413270")</f>
        <v>Farola Ppal Del Der FTR FRR RW8982413270</v>
      </c>
      <c r="C7216" s="380" t="str">
        <f>IFERROR(__xludf.DUMMYFUNCTION("""COMPUTED_VALUE"""),"70002628")</f>
        <v>70002628</v>
      </c>
      <c r="D7216" s="380" t="s">
        <v>767</v>
      </c>
      <c r="E7216" s="380" t="s">
        <v>786</v>
      </c>
      <c r="F7216" s="380" t="s">
        <v>998</v>
      </c>
      <c r="G7216" s="380" t="s">
        <v>1267</v>
      </c>
      <c r="H7216" s="380" t="s">
        <v>771</v>
      </c>
      <c r="I7216" s="380" t="s">
        <v>788</v>
      </c>
      <c r="J7216" s="380" t="s">
        <v>773</v>
      </c>
      <c r="K7216" s="381">
        <v>0.0</v>
      </c>
      <c r="L7216" s="382">
        <v>1.0</v>
      </c>
    </row>
    <row r="7217">
      <c r="A7217" s="380" t="s">
        <v>8091</v>
      </c>
      <c r="B7217" s="380" t="str">
        <f>IFERROR(__xludf.DUMMYFUNCTION("""COMPUTED_VALUE"""),"Parasol Cabina Izq Nkr 8979975050")</f>
        <v>Parasol Cabina Izq Nkr 8979975050</v>
      </c>
      <c r="C7217" s="380" t="str">
        <f>IFERROR(__xludf.DUMMYFUNCTION("""COMPUTED_VALUE"""),"70002629")</f>
        <v>70002629</v>
      </c>
      <c r="D7217" s="380" t="s">
        <v>767</v>
      </c>
      <c r="E7217" s="380" t="s">
        <v>786</v>
      </c>
      <c r="F7217" s="380" t="s">
        <v>792</v>
      </c>
      <c r="G7217" s="380" t="s">
        <v>1267</v>
      </c>
      <c r="H7217" s="380" t="s">
        <v>771</v>
      </c>
      <c r="I7217" s="380" t="s">
        <v>788</v>
      </c>
      <c r="J7217" s="380" t="s">
        <v>773</v>
      </c>
      <c r="K7217" s="381">
        <v>0.0</v>
      </c>
      <c r="L7217" s="382">
        <v>1.0</v>
      </c>
    </row>
    <row r="7218">
      <c r="A7218" s="380" t="s">
        <v>8092</v>
      </c>
      <c r="B7218" s="380" t="str">
        <f>IFERROR(__xludf.DUMMYFUNCTION("""COMPUTED_VALUE"""),"Cruceta Cardan 6"" Mixta Eagle SPL100-1X")</f>
        <v>Cruceta Cardan 6" Mixta Eagle SPL100-1X</v>
      </c>
      <c r="C7218" s="380" t="str">
        <f>IFERROR(__xludf.DUMMYFUNCTION("""COMPUTED_VALUE"""),"70002630")</f>
        <v>70002630</v>
      </c>
      <c r="D7218" s="380" t="s">
        <v>767</v>
      </c>
      <c r="E7218" s="380" t="s">
        <v>786</v>
      </c>
      <c r="F7218" s="380" t="s">
        <v>5683</v>
      </c>
      <c r="G7218" s="380" t="s">
        <v>1267</v>
      </c>
      <c r="H7218" s="380" t="s">
        <v>771</v>
      </c>
      <c r="I7218" s="380" t="s">
        <v>788</v>
      </c>
      <c r="J7218" s="380" t="s">
        <v>773</v>
      </c>
      <c r="K7218" s="381">
        <v>0.0</v>
      </c>
      <c r="L7218" s="382">
        <v>1.0</v>
      </c>
    </row>
    <row r="7219">
      <c r="A7219" s="380" t="s">
        <v>8093</v>
      </c>
      <c r="B7219" s="380" t="str">
        <f>IFERROR(__xludf.DUMMYFUNCTION("""COMPUTED_VALUE"""),"Parabrisas Laminado R Master 1W3022vvl7")</f>
        <v>Parabrisas Laminado R Master 1W3022vvl7</v>
      </c>
      <c r="C7219" s="380" t="str">
        <f>IFERROR(__xludf.DUMMYFUNCTION("""COMPUTED_VALUE"""),"70002631")</f>
        <v>70002631</v>
      </c>
      <c r="D7219" s="380" t="s">
        <v>767</v>
      </c>
      <c r="E7219" s="380" t="s">
        <v>786</v>
      </c>
      <c r="F7219" s="380" t="s">
        <v>792</v>
      </c>
      <c r="G7219" s="380" t="s">
        <v>1267</v>
      </c>
      <c r="H7219" s="380" t="s">
        <v>771</v>
      </c>
      <c r="I7219" s="380" t="s">
        <v>788</v>
      </c>
      <c r="J7219" s="380" t="s">
        <v>773</v>
      </c>
      <c r="K7219" s="381">
        <v>0.0</v>
      </c>
      <c r="L7219" s="382">
        <v>1.0</v>
      </c>
    </row>
    <row r="7220">
      <c r="A7220" s="380" t="s">
        <v>8094</v>
      </c>
      <c r="B7220" s="380" t="str">
        <f>IFERROR(__xludf.DUMMYFUNCTION("""COMPUTED_VALUE"""),"Cilin Fren Tras Der Del Nkr Rw8971398400")</f>
        <v>Cilin Fren Tras Der Del Nkr Rw8971398400</v>
      </c>
      <c r="C7220" s="380" t="str">
        <f>IFERROR(__xludf.DUMMYFUNCTION("""COMPUTED_VALUE"""),"70002632")</f>
        <v>70002632</v>
      </c>
      <c r="D7220" s="380" t="s">
        <v>767</v>
      </c>
      <c r="E7220" s="380" t="s">
        <v>786</v>
      </c>
      <c r="F7220" s="380" t="s">
        <v>1017</v>
      </c>
      <c r="G7220" s="380" t="s">
        <v>1267</v>
      </c>
      <c r="H7220" s="380" t="s">
        <v>771</v>
      </c>
      <c r="I7220" s="380" t="s">
        <v>788</v>
      </c>
      <c r="J7220" s="380" t="s">
        <v>773</v>
      </c>
      <c r="K7220" s="381">
        <v>0.0</v>
      </c>
      <c r="L7220" s="382">
        <v>1.0</v>
      </c>
    </row>
    <row r="7221">
      <c r="A7221" s="380" t="s">
        <v>8095</v>
      </c>
      <c r="B7221" s="380" t="str">
        <f>IFERROR(__xludf.DUMMYFUNCTION("""COMPUTED_VALUE"""),"Cilind Freno Tras Der Tras Rw 8971398410")</f>
        <v>Cilind Freno Tras Der Tras Rw 8971398410</v>
      </c>
      <c r="C7221" s="380" t="str">
        <f>IFERROR(__xludf.DUMMYFUNCTION("""COMPUTED_VALUE"""),"70002633")</f>
        <v>70002633</v>
      </c>
      <c r="D7221" s="380" t="s">
        <v>767</v>
      </c>
      <c r="E7221" s="380" t="s">
        <v>786</v>
      </c>
      <c r="F7221" s="380" t="s">
        <v>1017</v>
      </c>
      <c r="G7221" s="380" t="s">
        <v>1267</v>
      </c>
      <c r="H7221" s="380" t="s">
        <v>771</v>
      </c>
      <c r="I7221" s="380" t="s">
        <v>788</v>
      </c>
      <c r="J7221" s="380" t="s">
        <v>773</v>
      </c>
      <c r="K7221" s="381">
        <v>0.0</v>
      </c>
      <c r="L7221" s="382">
        <v>1.0</v>
      </c>
    </row>
    <row r="7222">
      <c r="A7222" s="380" t="s">
        <v>8096</v>
      </c>
      <c r="B7222" s="380" t="str">
        <f>IFERROR(__xludf.DUMMYFUNCTION("""COMPUTED_VALUE"""),"Soporte Platina Inf Exosto Isx 3539102C2")</f>
        <v>Soporte Platina Inf Exosto Isx 3539102C2</v>
      </c>
      <c r="C7222" s="380" t="str">
        <f>IFERROR(__xludf.DUMMYFUNCTION("""COMPUTED_VALUE"""),"70002634")</f>
        <v>70002634</v>
      </c>
      <c r="D7222" s="380" t="s">
        <v>767</v>
      </c>
      <c r="E7222" s="380" t="s">
        <v>786</v>
      </c>
      <c r="F7222" s="380" t="s">
        <v>792</v>
      </c>
      <c r="G7222" s="380" t="s">
        <v>1267</v>
      </c>
      <c r="H7222" s="380" t="s">
        <v>771</v>
      </c>
      <c r="I7222" s="380" t="s">
        <v>788</v>
      </c>
      <c r="J7222" s="380" t="s">
        <v>773</v>
      </c>
      <c r="K7222" s="381">
        <v>0.0</v>
      </c>
      <c r="L7222" s="382">
        <v>1.0</v>
      </c>
    </row>
    <row r="7223">
      <c r="A7223" s="380" t="s">
        <v>8097</v>
      </c>
      <c r="B7223" s="380" t="str">
        <f>IFERROR(__xludf.DUMMYFUNCTION("""COMPUTED_VALUE"""),"Caucho Abrazadera Tque Acpm Isx 596590C1")</f>
        <v>Caucho Abrazadera Tque Acpm Isx 596590C1</v>
      </c>
      <c r="C7223" s="380" t="str">
        <f>IFERROR(__xludf.DUMMYFUNCTION("""COMPUTED_VALUE"""),"70002635")</f>
        <v>70002635</v>
      </c>
      <c r="D7223" s="380" t="s">
        <v>767</v>
      </c>
      <c r="E7223" s="380" t="s">
        <v>786</v>
      </c>
      <c r="F7223" s="380" t="s">
        <v>792</v>
      </c>
      <c r="G7223" s="380" t="s">
        <v>1267</v>
      </c>
      <c r="H7223" s="380" t="s">
        <v>771</v>
      </c>
      <c r="I7223" s="380" t="s">
        <v>788</v>
      </c>
      <c r="J7223" s="380" t="s">
        <v>773</v>
      </c>
      <c r="K7223" s="381">
        <v>0.0</v>
      </c>
      <c r="L7223" s="382">
        <v>1.0</v>
      </c>
    </row>
    <row r="7224">
      <c r="A7224" s="380" t="s">
        <v>8098</v>
      </c>
      <c r="B7224" s="380" t="str">
        <f>IFERROR(__xludf.DUMMYFUNCTION("""COMPUTED_VALUE"""),"Pin Prensa Embrague Hi 04-2005")</f>
        <v>Pin Prensa Embrague Hi 04-2005</v>
      </c>
      <c r="C7224" s="380" t="str">
        <f>IFERROR(__xludf.DUMMYFUNCTION("""COMPUTED_VALUE"""),"70002636")</f>
        <v>70002636</v>
      </c>
      <c r="D7224" s="380" t="s">
        <v>767</v>
      </c>
      <c r="E7224" s="380" t="s">
        <v>786</v>
      </c>
      <c r="F7224" s="380" t="s">
        <v>5661</v>
      </c>
      <c r="G7224" s="380" t="s">
        <v>1267</v>
      </c>
      <c r="H7224" s="380" t="s">
        <v>771</v>
      </c>
      <c r="I7224" s="380" t="s">
        <v>788</v>
      </c>
      <c r="J7224" s="380" t="s">
        <v>773</v>
      </c>
      <c r="K7224" s="381">
        <v>0.0</v>
      </c>
      <c r="L7224" s="382">
        <v>1.0</v>
      </c>
    </row>
    <row r="7225">
      <c r="A7225" s="380" t="s">
        <v>8099</v>
      </c>
      <c r="B7225" s="380" t="str">
        <f>IFERROR(__xludf.DUMMYFUNCTION("""COMPUTED_VALUE"""),"Brazo Caja Direccion Kenworth L24VU8432B")</f>
        <v>Brazo Caja Direccion Kenworth L24VU8432B</v>
      </c>
      <c r="C7225" s="380" t="str">
        <f>IFERROR(__xludf.DUMMYFUNCTION("""COMPUTED_VALUE"""),"70002637")</f>
        <v>70002637</v>
      </c>
      <c r="D7225" s="380" t="s">
        <v>767</v>
      </c>
      <c r="E7225" s="380" t="s">
        <v>786</v>
      </c>
      <c r="F7225" s="380" t="s">
        <v>1020</v>
      </c>
      <c r="G7225" s="380" t="s">
        <v>1267</v>
      </c>
      <c r="H7225" s="380" t="s">
        <v>771</v>
      </c>
      <c r="I7225" s="380" t="s">
        <v>788</v>
      </c>
      <c r="J7225" s="380" t="s">
        <v>773</v>
      </c>
      <c r="K7225" s="381">
        <v>0.0</v>
      </c>
      <c r="L7225" s="382">
        <v>1.0</v>
      </c>
    </row>
    <row r="7226">
      <c r="A7226" s="380" t="s">
        <v>8100</v>
      </c>
      <c r="B7226" s="380" t="str">
        <f>IFERROR(__xludf.DUMMYFUNCTION("""COMPUTED_VALUE"""),"Tapizado Piso Toyota Delta")</f>
        <v>Tapizado Piso Toyota Delta</v>
      </c>
      <c r="C7226" s="380" t="str">
        <f>IFERROR(__xludf.DUMMYFUNCTION("""COMPUTED_VALUE"""),"70002638")</f>
        <v>70002638</v>
      </c>
      <c r="D7226" s="380" t="s">
        <v>767</v>
      </c>
      <c r="E7226" s="380" t="s">
        <v>786</v>
      </c>
      <c r="F7226" s="380" t="s">
        <v>792</v>
      </c>
      <c r="G7226" s="380" t="s">
        <v>1267</v>
      </c>
      <c r="H7226" s="380" t="s">
        <v>771</v>
      </c>
      <c r="I7226" s="380" t="s">
        <v>788</v>
      </c>
      <c r="J7226" s="380" t="s">
        <v>773</v>
      </c>
      <c r="K7226" s="381">
        <v>0.0</v>
      </c>
      <c r="L7226" s="382">
        <v>1.0</v>
      </c>
    </row>
    <row r="7227">
      <c r="A7227" s="380" t="s">
        <v>8101</v>
      </c>
      <c r="B7227" s="380" t="str">
        <f>IFERROR(__xludf.DUMMYFUNCTION("""COMPUTED_VALUE"""),"Cilin Fren Del Tras Der Nkr Rw8971398400")</f>
        <v>Cilin Fren Del Tras Der Nkr Rw8971398400</v>
      </c>
      <c r="C7227" s="380" t="str">
        <f>IFERROR(__xludf.DUMMYFUNCTION("""COMPUTED_VALUE"""),"70002639")</f>
        <v>70002639</v>
      </c>
      <c r="D7227" s="380" t="s">
        <v>767</v>
      </c>
      <c r="E7227" s="380" t="s">
        <v>786</v>
      </c>
      <c r="F7227" s="380" t="s">
        <v>1017</v>
      </c>
      <c r="G7227" s="380" t="s">
        <v>1267</v>
      </c>
      <c r="H7227" s="380" t="s">
        <v>771</v>
      </c>
      <c r="I7227" s="380" t="s">
        <v>788</v>
      </c>
      <c r="J7227" s="380" t="s">
        <v>773</v>
      </c>
      <c r="K7227" s="381">
        <v>0.0</v>
      </c>
      <c r="L7227" s="382">
        <v>1.0</v>
      </c>
    </row>
    <row r="7228">
      <c r="A7228" s="380" t="s">
        <v>8102</v>
      </c>
      <c r="B7228" s="380" t="str">
        <f>IFERROR(__xludf.DUMMYFUNCTION("""COMPUTED_VALUE"""),"Base Filtro Agua Isx - Kw 3681446")</f>
        <v>Base Filtro Agua Isx - Kw 3681446</v>
      </c>
      <c r="C7228" s="380" t="str">
        <f>IFERROR(__xludf.DUMMYFUNCTION("""COMPUTED_VALUE"""),"70002640")</f>
        <v>70002640</v>
      </c>
      <c r="D7228" s="380" t="s">
        <v>767</v>
      </c>
      <c r="E7228" s="380" t="s">
        <v>786</v>
      </c>
      <c r="F7228" s="380" t="s">
        <v>792</v>
      </c>
      <c r="G7228" s="380" t="s">
        <v>1267</v>
      </c>
      <c r="H7228" s="380" t="s">
        <v>771</v>
      </c>
      <c r="I7228" s="380" t="s">
        <v>788</v>
      </c>
      <c r="J7228" s="380" t="s">
        <v>773</v>
      </c>
      <c r="K7228" s="381">
        <v>0.0</v>
      </c>
      <c r="L7228" s="382">
        <v>1.0</v>
      </c>
    </row>
    <row r="7229">
      <c r="A7229" s="380" t="s">
        <v>8103</v>
      </c>
      <c r="B7229" s="380" t="str">
        <f>IFERROR(__xludf.DUMMYFUNCTION("""COMPUTED_VALUE"""),"Indicador Restrictor Aire Eagle3876780C1")</f>
        <v>Indicador Restrictor Aire Eagle3876780C1</v>
      </c>
      <c r="C7229" s="380" t="str">
        <f>IFERROR(__xludf.DUMMYFUNCTION("""COMPUTED_VALUE"""),"70002641")</f>
        <v>70002641</v>
      </c>
      <c r="D7229" s="380" t="s">
        <v>767</v>
      </c>
      <c r="E7229" s="380" t="s">
        <v>786</v>
      </c>
      <c r="F7229" s="380" t="s">
        <v>787</v>
      </c>
      <c r="G7229" s="380" t="s">
        <v>1267</v>
      </c>
      <c r="H7229" s="380" t="s">
        <v>771</v>
      </c>
      <c r="I7229" s="380" t="s">
        <v>788</v>
      </c>
      <c r="J7229" s="380" t="s">
        <v>773</v>
      </c>
      <c r="K7229" s="381">
        <v>0.0</v>
      </c>
      <c r="L7229" s="382">
        <v>1.0</v>
      </c>
    </row>
    <row r="7230">
      <c r="A7230" s="380" t="s">
        <v>8104</v>
      </c>
      <c r="B7230" s="380" t="str">
        <f>IFERROR(__xludf.DUMMYFUNCTION("""COMPUTED_VALUE"""),"Filtro Combustible Planta ElectricFF5088")</f>
        <v>Filtro Combustible Planta ElectricFF5088</v>
      </c>
      <c r="C7230" s="380" t="str">
        <f>IFERROR(__xludf.DUMMYFUNCTION("""COMPUTED_VALUE"""),"70002642")</f>
        <v>70002642</v>
      </c>
      <c r="D7230" s="380" t="s">
        <v>767</v>
      </c>
      <c r="E7230" s="380" t="s">
        <v>786</v>
      </c>
      <c r="F7230" s="380" t="s">
        <v>5855</v>
      </c>
      <c r="G7230" s="380" t="s">
        <v>1267</v>
      </c>
      <c r="H7230" s="380" t="s">
        <v>771</v>
      </c>
      <c r="I7230" s="380" t="s">
        <v>788</v>
      </c>
      <c r="J7230" s="380" t="s">
        <v>773</v>
      </c>
      <c r="K7230" s="381">
        <v>0.0</v>
      </c>
      <c r="L7230" s="382">
        <v>1.0</v>
      </c>
    </row>
    <row r="7231">
      <c r="A7231" s="380" t="s">
        <v>8105</v>
      </c>
      <c r="B7231" s="380" t="str">
        <f>IFERROR(__xludf.DUMMYFUNCTION("""COMPUTED_VALUE"""),"Varilla Transv Tensor Exosto 3539106C1")</f>
        <v>Varilla Transv Tensor Exosto 3539106C1</v>
      </c>
      <c r="C7231" s="380" t="str">
        <f>IFERROR(__xludf.DUMMYFUNCTION("""COMPUTED_VALUE"""),"70002643")</f>
        <v>70002643</v>
      </c>
      <c r="D7231" s="380" t="s">
        <v>767</v>
      </c>
      <c r="E7231" s="380" t="s">
        <v>786</v>
      </c>
      <c r="F7231" s="380" t="s">
        <v>792</v>
      </c>
      <c r="G7231" s="380" t="s">
        <v>1267</v>
      </c>
      <c r="H7231" s="380" t="s">
        <v>771</v>
      </c>
      <c r="I7231" s="380" t="s">
        <v>788</v>
      </c>
      <c r="J7231" s="380" t="s">
        <v>773</v>
      </c>
      <c r="K7231" s="381">
        <v>2817325.0</v>
      </c>
      <c r="L7231" s="382">
        <v>1.0</v>
      </c>
    </row>
    <row r="7232">
      <c r="A7232" s="380" t="s">
        <v>8106</v>
      </c>
      <c r="B7232" s="380" t="str">
        <f>IFERROR(__xludf.DUMMYFUNCTION("""COMPUTED_VALUE"""),"Tque Acpm Izq Alum Eagl 100gl M2611720C9")</f>
        <v>Tque Acpm Izq Alum Eagl 100gl M2611720C9</v>
      </c>
      <c r="C7232" s="380" t="str">
        <f>IFERROR(__xludf.DUMMYFUNCTION("""COMPUTED_VALUE"""),"70002644")</f>
        <v>70002644</v>
      </c>
      <c r="D7232" s="380" t="s">
        <v>767</v>
      </c>
      <c r="E7232" s="380" t="s">
        <v>786</v>
      </c>
      <c r="F7232" s="380" t="s">
        <v>792</v>
      </c>
      <c r="G7232" s="380" t="s">
        <v>1267</v>
      </c>
      <c r="H7232" s="380" t="s">
        <v>771</v>
      </c>
      <c r="I7232" s="380" t="s">
        <v>788</v>
      </c>
      <c r="J7232" s="380" t="s">
        <v>773</v>
      </c>
      <c r="K7232" s="381">
        <v>0.0</v>
      </c>
      <c r="L7232" s="382">
        <v>1.0</v>
      </c>
    </row>
    <row r="7233">
      <c r="A7233" s="380" t="s">
        <v>8107</v>
      </c>
      <c r="B7233" s="380" t="str">
        <f>IFERROR(__xludf.DUMMYFUNCTION("""COMPUTED_VALUE"""),"Tque Acpm Der Alum Eagl 100gl M3662315C9")</f>
        <v>Tque Acpm Der Alum Eagl 100gl M3662315C9</v>
      </c>
      <c r="C7233" s="380" t="str">
        <f>IFERROR(__xludf.DUMMYFUNCTION("""COMPUTED_VALUE"""),"70002645")</f>
        <v>70002645</v>
      </c>
      <c r="D7233" s="380" t="s">
        <v>767</v>
      </c>
      <c r="E7233" s="380" t="s">
        <v>786</v>
      </c>
      <c r="F7233" s="380" t="s">
        <v>792</v>
      </c>
      <c r="G7233" s="380" t="s">
        <v>1267</v>
      </c>
      <c r="H7233" s="380" t="s">
        <v>771</v>
      </c>
      <c r="I7233" s="380" t="s">
        <v>788</v>
      </c>
      <c r="J7233" s="380" t="s">
        <v>773</v>
      </c>
      <c r="K7233" s="381">
        <v>0.0</v>
      </c>
      <c r="L7233" s="382">
        <v>1.0</v>
      </c>
    </row>
    <row r="7234">
      <c r="A7234" s="380" t="s">
        <v>8108</v>
      </c>
      <c r="B7234" s="380" t="str">
        <f>IFERROR(__xludf.DUMMYFUNCTION("""COMPUTED_VALUE"""),"Juego Cables De Alta Montacarg8091976103")</f>
        <v>Juego Cables De Alta Montacarg8091976103</v>
      </c>
      <c r="C7234" s="380" t="str">
        <f>IFERROR(__xludf.DUMMYFUNCTION("""COMPUTED_VALUE"""),"70002646")</f>
        <v>70002646</v>
      </c>
      <c r="D7234" s="380" t="s">
        <v>767</v>
      </c>
      <c r="E7234" s="380" t="s">
        <v>786</v>
      </c>
      <c r="F7234" s="380" t="s">
        <v>998</v>
      </c>
      <c r="G7234" s="380" t="s">
        <v>1267</v>
      </c>
      <c r="H7234" s="380" t="s">
        <v>771</v>
      </c>
      <c r="I7234" s="380" t="s">
        <v>788</v>
      </c>
      <c r="J7234" s="380" t="s">
        <v>773</v>
      </c>
      <c r="K7234" s="381">
        <v>0.0</v>
      </c>
      <c r="L7234" s="382">
        <v>1.0</v>
      </c>
    </row>
    <row r="7235">
      <c r="A7235" s="380" t="s">
        <v>8109</v>
      </c>
      <c r="B7235" s="380" t="str">
        <f>IFERROR(__xludf.DUMMYFUNCTION("""COMPUTED_VALUE"""),"Pin De Ojo Generico")</f>
        <v>Pin De Ojo Generico</v>
      </c>
      <c r="C7235" s="380" t="str">
        <f>IFERROR(__xludf.DUMMYFUNCTION("""COMPUTED_VALUE"""),"70002647")</f>
        <v>70002647</v>
      </c>
      <c r="D7235" s="380" t="s">
        <v>767</v>
      </c>
      <c r="E7235" s="380" t="s">
        <v>786</v>
      </c>
      <c r="F7235" s="380" t="s">
        <v>1017</v>
      </c>
      <c r="G7235" s="380" t="s">
        <v>1267</v>
      </c>
      <c r="H7235" s="380" t="s">
        <v>771</v>
      </c>
      <c r="I7235" s="380" t="s">
        <v>788</v>
      </c>
      <c r="J7235" s="380" t="s">
        <v>773</v>
      </c>
      <c r="K7235" s="381">
        <v>0.0</v>
      </c>
      <c r="L7235" s="382">
        <v>1.0</v>
      </c>
    </row>
    <row r="7236">
      <c r="A7236" s="380" t="s">
        <v>8110</v>
      </c>
      <c r="B7236" s="380" t="str">
        <f>IFERROR(__xludf.DUMMYFUNCTION("""COMPUTED_VALUE"""),"Hoja Pricipal Muelle Auxiliar Tras Delta")</f>
        <v>Hoja Pricipal Muelle Auxiliar Tras Delta</v>
      </c>
      <c r="C7236" s="380" t="str">
        <f>IFERROR(__xludf.DUMMYFUNCTION("""COMPUTED_VALUE"""),"70002648")</f>
        <v>70002648</v>
      </c>
      <c r="D7236" s="380" t="s">
        <v>767</v>
      </c>
      <c r="E7236" s="380" t="s">
        <v>786</v>
      </c>
      <c r="F7236" s="380" t="s">
        <v>1039</v>
      </c>
      <c r="G7236" s="380" t="s">
        <v>1267</v>
      </c>
      <c r="H7236" s="380" t="s">
        <v>771</v>
      </c>
      <c r="I7236" s="380" t="s">
        <v>788</v>
      </c>
      <c r="J7236" s="380" t="s">
        <v>773</v>
      </c>
      <c r="K7236" s="381">
        <v>0.0</v>
      </c>
      <c r="L7236" s="382">
        <v>1.0</v>
      </c>
    </row>
    <row r="7237">
      <c r="A7237" s="380" t="s">
        <v>8111</v>
      </c>
      <c r="B7237" s="380" t="str">
        <f>IFERROR(__xludf.DUMMYFUNCTION("""COMPUTED_VALUE"""),"Hoja Tercera Muelle Aux Tras Delta")</f>
        <v>Hoja Tercera Muelle Aux Tras Delta</v>
      </c>
      <c r="C7237" s="380" t="str">
        <f>IFERROR(__xludf.DUMMYFUNCTION("""COMPUTED_VALUE"""),"70002649")</f>
        <v>70002649</v>
      </c>
      <c r="D7237" s="380" t="s">
        <v>767</v>
      </c>
      <c r="E7237" s="380" t="s">
        <v>786</v>
      </c>
      <c r="F7237" s="380" t="s">
        <v>1039</v>
      </c>
      <c r="G7237" s="380" t="s">
        <v>1267</v>
      </c>
      <c r="H7237" s="380" t="s">
        <v>771</v>
      </c>
      <c r="I7237" s="380" t="s">
        <v>788</v>
      </c>
      <c r="J7237" s="380" t="s">
        <v>773</v>
      </c>
      <c r="K7237" s="381">
        <v>0.0</v>
      </c>
      <c r="L7237" s="382">
        <v>1.0</v>
      </c>
    </row>
    <row r="7238">
      <c r="A7238" s="380" t="s">
        <v>8112</v>
      </c>
      <c r="B7238" s="380" t="str">
        <f>IFERROR(__xludf.DUMMYFUNCTION("""COMPUTED_VALUE"""),"Hoja Cuarta Muelle Aux Tras T")</f>
        <v>Hoja Cuarta Muelle Aux Tras T</v>
      </c>
      <c r="C7238" s="380" t="str">
        <f>IFERROR(__xludf.DUMMYFUNCTION("""COMPUTED_VALUE"""),"70002650")</f>
        <v>70002650</v>
      </c>
      <c r="D7238" s="380" t="s">
        <v>767</v>
      </c>
      <c r="E7238" s="380" t="s">
        <v>786</v>
      </c>
      <c r="F7238" s="380" t="s">
        <v>1039</v>
      </c>
      <c r="G7238" s="380" t="s">
        <v>1267</v>
      </c>
      <c r="H7238" s="380" t="s">
        <v>771</v>
      </c>
      <c r="I7238" s="380" t="s">
        <v>788</v>
      </c>
      <c r="J7238" s="380" t="s">
        <v>773</v>
      </c>
      <c r="K7238" s="381">
        <v>0.0</v>
      </c>
      <c r="L7238" s="382">
        <v>1.0</v>
      </c>
    </row>
    <row r="7239">
      <c r="A7239" s="380" t="s">
        <v>8113</v>
      </c>
      <c r="B7239" s="380" t="str">
        <f>IFERROR(__xludf.DUMMYFUNCTION("""COMPUTED_VALUE"""),"Pin Eje Patin Trailer 5/16""")</f>
        <v>Pin Eje Patin Trailer 5/16"</v>
      </c>
      <c r="C7239" s="380" t="str">
        <f>IFERROR(__xludf.DUMMYFUNCTION("""COMPUTED_VALUE"""),"70002651")</f>
        <v>70002651</v>
      </c>
      <c r="D7239" s="380" t="s">
        <v>767</v>
      </c>
      <c r="E7239" s="380" t="s">
        <v>786</v>
      </c>
      <c r="F7239" s="380" t="s">
        <v>792</v>
      </c>
      <c r="G7239" s="380" t="s">
        <v>1267</v>
      </c>
      <c r="H7239" s="380" t="s">
        <v>771</v>
      </c>
      <c r="I7239" s="380" t="s">
        <v>788</v>
      </c>
      <c r="J7239" s="380" t="s">
        <v>773</v>
      </c>
      <c r="K7239" s="381">
        <v>0.0</v>
      </c>
      <c r="L7239" s="382">
        <v>1.0</v>
      </c>
    </row>
    <row r="7240">
      <c r="A7240" s="380" t="s">
        <v>8114</v>
      </c>
      <c r="B7240" s="380" t="str">
        <f>IFERROR(__xludf.DUMMYFUNCTION("""COMPUTED_VALUE"""),"Hoja Resorte Trasera Toyota 4ta")</f>
        <v>Hoja Resorte Trasera Toyota 4ta</v>
      </c>
      <c r="C7240" s="380" t="str">
        <f>IFERROR(__xludf.DUMMYFUNCTION("""COMPUTED_VALUE"""),"70002652")</f>
        <v>70002652</v>
      </c>
      <c r="D7240" s="380" t="s">
        <v>767</v>
      </c>
      <c r="E7240" s="380" t="s">
        <v>786</v>
      </c>
      <c r="F7240" s="380" t="s">
        <v>1039</v>
      </c>
      <c r="G7240" s="380" t="s">
        <v>1267</v>
      </c>
      <c r="H7240" s="380" t="s">
        <v>771</v>
      </c>
      <c r="I7240" s="380" t="s">
        <v>788</v>
      </c>
      <c r="J7240" s="380" t="s">
        <v>773</v>
      </c>
      <c r="K7240" s="381">
        <v>0.0</v>
      </c>
      <c r="L7240" s="382">
        <v>1.0</v>
      </c>
    </row>
    <row r="7241">
      <c r="A7241" s="380" t="s">
        <v>8115</v>
      </c>
      <c r="B7241" s="380" t="str">
        <f>IFERROR(__xludf.DUMMYFUNCTION("""COMPUTED_VALUE"""),"Buje Muelle Tras Delan T Delta")</f>
        <v>Buje Muelle Tras Delan T Delta</v>
      </c>
      <c r="C7241" s="380" t="str">
        <f>IFERROR(__xludf.DUMMYFUNCTION("""COMPUTED_VALUE"""),"70002653")</f>
        <v>70002653</v>
      </c>
      <c r="D7241" s="380" t="s">
        <v>767</v>
      </c>
      <c r="E7241" s="380" t="s">
        <v>786</v>
      </c>
      <c r="F7241" s="380" t="s">
        <v>1039</v>
      </c>
      <c r="G7241" s="380" t="s">
        <v>1267</v>
      </c>
      <c r="H7241" s="380" t="s">
        <v>771</v>
      </c>
      <c r="I7241" s="380" t="s">
        <v>788</v>
      </c>
      <c r="J7241" s="380" t="s">
        <v>773</v>
      </c>
      <c r="K7241" s="381">
        <v>0.0</v>
      </c>
      <c r="L7241" s="382">
        <v>1.0</v>
      </c>
    </row>
    <row r="7242">
      <c r="A7242" s="380" t="s">
        <v>8116</v>
      </c>
      <c r="B7242" s="380" t="str">
        <f>IFERROR(__xludf.DUMMYFUNCTION("""COMPUTED_VALUE"""),"Retenedor Sinfin Cja Direc Nkr 22X35X7")</f>
        <v>Retenedor Sinfin Cja Direc Nkr 22X35X7</v>
      </c>
      <c r="C7242" s="380" t="str">
        <f>IFERROR(__xludf.DUMMYFUNCTION("""COMPUTED_VALUE"""),"70002654")</f>
        <v>70002654</v>
      </c>
      <c r="D7242" s="380" t="s">
        <v>767</v>
      </c>
      <c r="E7242" s="380" t="s">
        <v>786</v>
      </c>
      <c r="F7242" s="380" t="s">
        <v>1020</v>
      </c>
      <c r="G7242" s="380" t="s">
        <v>1267</v>
      </c>
      <c r="H7242" s="380" t="s">
        <v>771</v>
      </c>
      <c r="I7242" s="380" t="s">
        <v>788</v>
      </c>
      <c r="J7242" s="380" t="s">
        <v>773</v>
      </c>
      <c r="K7242" s="381">
        <v>0.0</v>
      </c>
      <c r="L7242" s="382">
        <v>1.0</v>
      </c>
    </row>
    <row r="7243">
      <c r="A7243" s="380" t="s">
        <v>8117</v>
      </c>
      <c r="B7243" s="380" t="str">
        <f>IFERROR(__xludf.DUMMYFUNCTION("""COMPUTED_VALUE"""),"Cruceta Cardan Nkr III 8979451010")</f>
        <v>Cruceta Cardan Nkr III 8979451010</v>
      </c>
      <c r="C7243" s="380" t="str">
        <f>IFERROR(__xludf.DUMMYFUNCTION("""COMPUTED_VALUE"""),"70002655")</f>
        <v>70002655</v>
      </c>
      <c r="D7243" s="380" t="s">
        <v>767</v>
      </c>
      <c r="E7243" s="380" t="s">
        <v>786</v>
      </c>
      <c r="F7243" s="380" t="s">
        <v>5683</v>
      </c>
      <c r="G7243" s="380" t="s">
        <v>1267</v>
      </c>
      <c r="H7243" s="380" t="s">
        <v>771</v>
      </c>
      <c r="I7243" s="380" t="s">
        <v>788</v>
      </c>
      <c r="J7243" s="380" t="s">
        <v>773</v>
      </c>
      <c r="K7243" s="381">
        <v>0.0</v>
      </c>
      <c r="L7243" s="382">
        <v>1.0</v>
      </c>
    </row>
    <row r="7244">
      <c r="A7244" s="380" t="s">
        <v>8118</v>
      </c>
      <c r="B7244" s="380" t="str">
        <f>IFERROR(__xludf.DUMMYFUNCTION("""COMPUTED_VALUE"""),"Guardapolvo Eje Del R Master 7701207566")</f>
        <v>Guardapolvo Eje Del R Master 7701207566</v>
      </c>
      <c r="C7244" s="380" t="str">
        <f>IFERROR(__xludf.DUMMYFUNCTION("""COMPUTED_VALUE"""),"70002656")</f>
        <v>70002656</v>
      </c>
      <c r="D7244" s="380" t="s">
        <v>767</v>
      </c>
      <c r="E7244" s="380" t="s">
        <v>786</v>
      </c>
      <c r="F7244" s="380" t="s">
        <v>787</v>
      </c>
      <c r="G7244" s="380" t="s">
        <v>1267</v>
      </c>
      <c r="H7244" s="380" t="s">
        <v>771</v>
      </c>
      <c r="I7244" s="380" t="s">
        <v>788</v>
      </c>
      <c r="J7244" s="380" t="s">
        <v>773</v>
      </c>
      <c r="K7244" s="381">
        <v>0.0</v>
      </c>
      <c r="L7244" s="382">
        <v>1.0</v>
      </c>
    </row>
    <row r="7245">
      <c r="A7245" s="380" t="s">
        <v>8119</v>
      </c>
      <c r="B7245" s="380" t="str">
        <f>IFERROR(__xludf.DUMMYFUNCTION("""COMPUTED_VALUE"""),"Guardapolvo Eje L R Master 7701472975")</f>
        <v>Guardapolvo Eje L R Master 7701472975</v>
      </c>
      <c r="C7245" s="380" t="str">
        <f>IFERROR(__xludf.DUMMYFUNCTION("""COMPUTED_VALUE"""),"70002657")</f>
        <v>70002657</v>
      </c>
      <c r="D7245" s="380" t="s">
        <v>767</v>
      </c>
      <c r="E7245" s="380" t="s">
        <v>786</v>
      </c>
      <c r="F7245" s="380" t="s">
        <v>787</v>
      </c>
      <c r="G7245" s="380" t="s">
        <v>1267</v>
      </c>
      <c r="H7245" s="380" t="s">
        <v>771</v>
      </c>
      <c r="I7245" s="380" t="s">
        <v>788</v>
      </c>
      <c r="J7245" s="380" t="s">
        <v>773</v>
      </c>
      <c r="K7245" s="381">
        <v>0.0</v>
      </c>
      <c r="L7245" s="382">
        <v>1.0</v>
      </c>
    </row>
    <row r="7246">
      <c r="A7246" s="380" t="s">
        <v>8120</v>
      </c>
      <c r="B7246" s="380" t="str">
        <f>IFERROR(__xludf.DUMMYFUNCTION("""COMPUTED_VALUE"""),"Terminal Direccion R Master 7701470363")</f>
        <v>Terminal Direccion R Master 7701470363</v>
      </c>
      <c r="C7246" s="380" t="str">
        <f>IFERROR(__xludf.DUMMYFUNCTION("""COMPUTED_VALUE"""),"70002658")</f>
        <v>70002658</v>
      </c>
      <c r="D7246" s="380" t="s">
        <v>767</v>
      </c>
      <c r="E7246" s="380" t="s">
        <v>786</v>
      </c>
      <c r="F7246" s="380" t="s">
        <v>787</v>
      </c>
      <c r="G7246" s="380" t="s">
        <v>1267</v>
      </c>
      <c r="H7246" s="380" t="s">
        <v>771</v>
      </c>
      <c r="I7246" s="380" t="s">
        <v>788</v>
      </c>
      <c r="J7246" s="380" t="s">
        <v>773</v>
      </c>
      <c r="K7246" s="381">
        <v>0.0</v>
      </c>
      <c r="L7246" s="382">
        <v>1.0</v>
      </c>
    </row>
    <row r="7247">
      <c r="A7247" s="380" t="s">
        <v>8121</v>
      </c>
      <c r="B7247" s="380" t="str">
        <f>IFERROR(__xludf.DUMMYFUNCTION("""COMPUTED_VALUE"""),"Tanque Aire Secundario Der Isx3546069C92")</f>
        <v>Tanque Aire Secundario Der Isx3546069C92</v>
      </c>
      <c r="C7247" s="380" t="str">
        <f>IFERROR(__xludf.DUMMYFUNCTION("""COMPUTED_VALUE"""),"70002659")</f>
        <v>70002659</v>
      </c>
      <c r="D7247" s="380" t="s">
        <v>767</v>
      </c>
      <c r="E7247" s="380" t="s">
        <v>786</v>
      </c>
      <c r="F7247" s="380" t="s">
        <v>792</v>
      </c>
      <c r="G7247" s="380" t="s">
        <v>1267</v>
      </c>
      <c r="H7247" s="380" t="s">
        <v>771</v>
      </c>
      <c r="I7247" s="380" t="s">
        <v>788</v>
      </c>
      <c r="J7247" s="380" t="s">
        <v>773</v>
      </c>
      <c r="K7247" s="381">
        <v>0.0</v>
      </c>
      <c r="L7247" s="382">
        <v>1.0</v>
      </c>
    </row>
    <row r="7248">
      <c r="A7248" s="380" t="s">
        <v>8122</v>
      </c>
      <c r="B7248" s="380" t="str">
        <f>IFERROR(__xludf.DUMMYFUNCTION("""COMPUTED_VALUE"""),"Lampara Jabonera Led")</f>
        <v>Lampara Jabonera Led</v>
      </c>
      <c r="C7248" s="380" t="str">
        <f>IFERROR(__xludf.DUMMYFUNCTION("""COMPUTED_VALUE"""),"70002660")</f>
        <v>70002660</v>
      </c>
      <c r="D7248" s="380" t="s">
        <v>767</v>
      </c>
      <c r="E7248" s="380" t="s">
        <v>786</v>
      </c>
      <c r="F7248" s="380" t="s">
        <v>998</v>
      </c>
      <c r="G7248" s="380" t="s">
        <v>1267</v>
      </c>
      <c r="H7248" s="380" t="s">
        <v>771</v>
      </c>
      <c r="I7248" s="380" t="s">
        <v>788</v>
      </c>
      <c r="J7248" s="380" t="s">
        <v>773</v>
      </c>
      <c r="K7248" s="381">
        <v>0.0</v>
      </c>
      <c r="L7248" s="382">
        <v>1.0</v>
      </c>
    </row>
    <row r="7249">
      <c r="A7249" s="380" t="s">
        <v>8123</v>
      </c>
      <c r="B7249" s="380" t="str">
        <f>IFERROR(__xludf.DUMMYFUNCTION("""COMPUTED_VALUE"""),"Acople Rapido Alta De 1/4 A/C")</f>
        <v>Acople Rapido Alta De 1/4 A/C</v>
      </c>
      <c r="C7249" s="380" t="str">
        <f>IFERROR(__xludf.DUMMYFUNCTION("""COMPUTED_VALUE"""),"70002661")</f>
        <v>70002661</v>
      </c>
      <c r="D7249" s="380" t="s">
        <v>767</v>
      </c>
      <c r="E7249" s="380" t="s">
        <v>786</v>
      </c>
      <c r="F7249" s="380" t="s">
        <v>989</v>
      </c>
      <c r="G7249" s="380" t="s">
        <v>1267</v>
      </c>
      <c r="H7249" s="380" t="s">
        <v>771</v>
      </c>
      <c r="I7249" s="380" t="s">
        <v>788</v>
      </c>
      <c r="J7249" s="380" t="s">
        <v>773</v>
      </c>
      <c r="K7249" s="381">
        <v>0.0</v>
      </c>
      <c r="L7249" s="382">
        <v>1.0</v>
      </c>
    </row>
    <row r="7250">
      <c r="A7250" s="380" t="s">
        <v>8124</v>
      </c>
      <c r="B7250" s="380" t="str">
        <f>IFERROR(__xludf.DUMMYFUNCTION("""COMPUTED_VALUE"""),"Tubo Aceite Bba Vacio Nkr Rw 8980389290")</f>
        <v>Tubo Aceite Bba Vacio Nkr Rw 8980389290</v>
      </c>
      <c r="C7250" s="380" t="str">
        <f>IFERROR(__xludf.DUMMYFUNCTION("""COMPUTED_VALUE"""),"70002662")</f>
        <v>70002662</v>
      </c>
      <c r="D7250" s="380" t="s">
        <v>767</v>
      </c>
      <c r="E7250" s="380" t="s">
        <v>786</v>
      </c>
      <c r="F7250" s="380" t="s">
        <v>787</v>
      </c>
      <c r="G7250" s="380" t="s">
        <v>1267</v>
      </c>
      <c r="H7250" s="380" t="s">
        <v>771</v>
      </c>
      <c r="I7250" s="380" t="s">
        <v>788</v>
      </c>
      <c r="J7250" s="380" t="s">
        <v>773</v>
      </c>
      <c r="K7250" s="381">
        <v>0.0</v>
      </c>
      <c r="L7250" s="382">
        <v>1.0</v>
      </c>
    </row>
    <row r="7251">
      <c r="A7251" s="380" t="s">
        <v>8125</v>
      </c>
      <c r="B7251" s="380" t="str">
        <f>IFERROR(__xludf.DUMMYFUNCTION("""COMPUTED_VALUE"""),"Soporte Difusor Radiad Nkr Rw 8943957660")</f>
        <v>Soporte Difusor Radiad Nkr Rw 8943957660</v>
      </c>
      <c r="C7251" s="380" t="str">
        <f>IFERROR(__xludf.DUMMYFUNCTION("""COMPUTED_VALUE"""),"70002663")</f>
        <v>70002663</v>
      </c>
      <c r="D7251" s="380" t="s">
        <v>767</v>
      </c>
      <c r="E7251" s="380" t="s">
        <v>786</v>
      </c>
      <c r="F7251" s="380" t="s">
        <v>787</v>
      </c>
      <c r="G7251" s="380" t="s">
        <v>1267</v>
      </c>
      <c r="H7251" s="380" t="s">
        <v>771</v>
      </c>
      <c r="I7251" s="380" t="s">
        <v>788</v>
      </c>
      <c r="J7251" s="380" t="s">
        <v>773</v>
      </c>
      <c r="K7251" s="381">
        <v>0.0</v>
      </c>
      <c r="L7251" s="382">
        <v>1.0</v>
      </c>
    </row>
    <row r="7252">
      <c r="A7252" s="380" t="s">
        <v>8126</v>
      </c>
      <c r="B7252" s="380" t="str">
        <f>IFERROR(__xludf.DUMMYFUNCTION("""COMPUTED_VALUE"""),"Empaque Culata Motor Hino 1,11E+34")</f>
        <v>Empaque Culata Motor Hino 1,11E+34</v>
      </c>
      <c r="C7252" s="380" t="str">
        <f>IFERROR(__xludf.DUMMYFUNCTION("""COMPUTED_VALUE"""),"70002664")</f>
        <v>70002664</v>
      </c>
      <c r="D7252" s="380" t="s">
        <v>767</v>
      </c>
      <c r="E7252" s="380" t="s">
        <v>786</v>
      </c>
      <c r="F7252" s="380" t="s">
        <v>787</v>
      </c>
      <c r="G7252" s="380" t="s">
        <v>1267</v>
      </c>
      <c r="H7252" s="380" t="s">
        <v>771</v>
      </c>
      <c r="I7252" s="380" t="s">
        <v>788</v>
      </c>
      <c r="J7252" s="380" t="s">
        <v>773</v>
      </c>
      <c r="K7252" s="381">
        <v>0.0</v>
      </c>
      <c r="L7252" s="382">
        <v>1.0</v>
      </c>
    </row>
    <row r="7253">
      <c r="A7253" s="380" t="s">
        <v>8127</v>
      </c>
      <c r="B7253" s="380" t="str">
        <f>IFERROR(__xludf.DUMMYFUNCTION("""COMPUTED_VALUE"""),"Brazo Caja Direccion FRR 1443803030")</f>
        <v>Brazo Caja Direccion FRR 1443803030</v>
      </c>
      <c r="C7253" s="380" t="str">
        <f>IFERROR(__xludf.DUMMYFUNCTION("""COMPUTED_VALUE"""),"70002665")</f>
        <v>70002665</v>
      </c>
      <c r="D7253" s="380" t="s">
        <v>767</v>
      </c>
      <c r="E7253" s="380" t="s">
        <v>786</v>
      </c>
      <c r="F7253" s="380" t="s">
        <v>1020</v>
      </c>
      <c r="G7253" s="380" t="s">
        <v>1267</v>
      </c>
      <c r="H7253" s="380" t="s">
        <v>771</v>
      </c>
      <c r="I7253" s="380" t="s">
        <v>788</v>
      </c>
      <c r="J7253" s="380" t="s">
        <v>773</v>
      </c>
      <c r="K7253" s="381">
        <v>0.0</v>
      </c>
      <c r="L7253" s="382">
        <v>1.0</v>
      </c>
    </row>
    <row r="7254">
      <c r="A7254" s="380" t="s">
        <v>8128</v>
      </c>
      <c r="B7254" s="380" t="str">
        <f>IFERROR(__xludf.DUMMYFUNCTION("""COMPUTED_VALUE"""),"Breakaway De 1"" Surtidor Acpm")</f>
        <v>Breakaway De 1" Surtidor Acpm</v>
      </c>
      <c r="C7254" s="380" t="str">
        <f>IFERROR(__xludf.DUMMYFUNCTION("""COMPUTED_VALUE"""),"70002666")</f>
        <v>70002666</v>
      </c>
      <c r="D7254" s="380" t="s">
        <v>767</v>
      </c>
      <c r="E7254" s="380" t="s">
        <v>786</v>
      </c>
      <c r="F7254" s="380" t="s">
        <v>989</v>
      </c>
      <c r="G7254" s="380" t="s">
        <v>1267</v>
      </c>
      <c r="H7254" s="380" t="s">
        <v>771</v>
      </c>
      <c r="I7254" s="380" t="s">
        <v>788</v>
      </c>
      <c r="J7254" s="380" t="s">
        <v>773</v>
      </c>
      <c r="K7254" s="381">
        <v>0.0</v>
      </c>
      <c r="L7254" s="382">
        <v>1.0</v>
      </c>
    </row>
    <row r="7255">
      <c r="A7255" s="380" t="s">
        <v>8129</v>
      </c>
      <c r="B7255" s="380" t="str">
        <f>IFERROR(__xludf.DUMMYFUNCTION("""COMPUTED_VALUE"""),"Cortafuego 3/4"" Surtidor Acpm")</f>
        <v>Cortafuego 3/4" Surtidor Acpm</v>
      </c>
      <c r="C7255" s="380" t="str">
        <f>IFERROR(__xludf.DUMMYFUNCTION("""COMPUTED_VALUE"""),"70002667")</f>
        <v>70002667</v>
      </c>
      <c r="D7255" s="380" t="s">
        <v>767</v>
      </c>
      <c r="E7255" s="380" t="s">
        <v>786</v>
      </c>
      <c r="F7255" s="380" t="s">
        <v>989</v>
      </c>
      <c r="G7255" s="380" t="s">
        <v>1267</v>
      </c>
      <c r="H7255" s="380" t="s">
        <v>771</v>
      </c>
      <c r="I7255" s="380" t="s">
        <v>788</v>
      </c>
      <c r="J7255" s="380" t="s">
        <v>773</v>
      </c>
      <c r="K7255" s="381">
        <v>0.0</v>
      </c>
      <c r="L7255" s="382">
        <v>1.0</v>
      </c>
    </row>
    <row r="7256">
      <c r="A7256" s="380" t="s">
        <v>8130</v>
      </c>
      <c r="B7256" s="380" t="str">
        <f>IFERROR(__xludf.DUMMYFUNCTION("""COMPUTED_VALUE"""),"Mang Conec Multip Admis Nkr Rw8980485400")</f>
        <v>Mang Conec Multip Admis Nkr Rw8980485400</v>
      </c>
      <c r="C7256" s="380" t="str">
        <f>IFERROR(__xludf.DUMMYFUNCTION("""COMPUTED_VALUE"""),"70002668")</f>
        <v>70002668</v>
      </c>
      <c r="D7256" s="380" t="s">
        <v>767</v>
      </c>
      <c r="E7256" s="380" t="s">
        <v>786</v>
      </c>
      <c r="F7256" s="380" t="s">
        <v>787</v>
      </c>
      <c r="G7256" s="380" t="s">
        <v>1267</v>
      </c>
      <c r="H7256" s="380" t="s">
        <v>771</v>
      </c>
      <c r="I7256" s="380" t="s">
        <v>788</v>
      </c>
      <c r="J7256" s="380" t="s">
        <v>773</v>
      </c>
      <c r="K7256" s="381">
        <v>773500.0</v>
      </c>
      <c r="L7256" s="382">
        <v>1.0</v>
      </c>
    </row>
    <row r="7257">
      <c r="A7257" s="380" t="s">
        <v>8131</v>
      </c>
      <c r="B7257" s="380" t="str">
        <f>IFERROR(__xludf.DUMMYFUNCTION("""COMPUTED_VALUE"""),"Mang Hidr Caja Direc Nkr Rw 8980950500")</f>
        <v>Mang Hidr Caja Direc Nkr Rw 8980950500</v>
      </c>
      <c r="C7257" s="380" t="str">
        <f>IFERROR(__xludf.DUMMYFUNCTION("""COMPUTED_VALUE"""),"70002669")</f>
        <v>70002669</v>
      </c>
      <c r="D7257" s="380" t="s">
        <v>767</v>
      </c>
      <c r="E7257" s="380" t="s">
        <v>786</v>
      </c>
      <c r="F7257" s="380" t="s">
        <v>1020</v>
      </c>
      <c r="G7257" s="380" t="s">
        <v>1267</v>
      </c>
      <c r="H7257" s="380" t="s">
        <v>771</v>
      </c>
      <c r="I7257" s="380" t="s">
        <v>788</v>
      </c>
      <c r="J7257" s="380" t="s">
        <v>773</v>
      </c>
      <c r="K7257" s="381">
        <v>0.0</v>
      </c>
      <c r="L7257" s="382">
        <v>1.0</v>
      </c>
    </row>
    <row r="7258">
      <c r="A7258" s="380" t="s">
        <v>8132</v>
      </c>
      <c r="B7258" s="380" t="str">
        <f>IFERROR(__xludf.DUMMYFUNCTION("""COMPUTED_VALUE"""),"Kit Amortiguador Trasero Reward 52036351")</f>
        <v>Kit Amortiguador Trasero Reward 52036351</v>
      </c>
      <c r="C7258" s="380" t="str">
        <f>IFERROR(__xludf.DUMMYFUNCTION("""COMPUTED_VALUE"""),"70002670")</f>
        <v>70002670</v>
      </c>
      <c r="D7258" s="380" t="s">
        <v>767</v>
      </c>
      <c r="E7258" s="380" t="s">
        <v>786</v>
      </c>
      <c r="F7258" s="380" t="s">
        <v>1039</v>
      </c>
      <c r="G7258" s="380" t="s">
        <v>1267</v>
      </c>
      <c r="H7258" s="380" t="s">
        <v>771</v>
      </c>
      <c r="I7258" s="380" t="s">
        <v>788</v>
      </c>
      <c r="J7258" s="380" t="s">
        <v>773</v>
      </c>
      <c r="K7258" s="381">
        <v>0.0</v>
      </c>
      <c r="L7258" s="382">
        <v>1.0</v>
      </c>
    </row>
    <row r="7259">
      <c r="A7259" s="380" t="s">
        <v>8133</v>
      </c>
      <c r="B7259" s="380" t="str">
        <f>IFERROR(__xludf.DUMMYFUNCTION("""COMPUTED_VALUE"""),"Filtro Aire Acondicionado KWh K251-571")</f>
        <v>Filtro Aire Acondicionado KWh K251-571</v>
      </c>
      <c r="C7259" s="380" t="str">
        <f>IFERROR(__xludf.DUMMYFUNCTION("""COMPUTED_VALUE"""),"70002671")</f>
        <v>70002671</v>
      </c>
      <c r="D7259" s="380" t="s">
        <v>767</v>
      </c>
      <c r="E7259" s="380" t="s">
        <v>786</v>
      </c>
      <c r="F7259" s="380" t="s">
        <v>5855</v>
      </c>
      <c r="G7259" s="380" t="s">
        <v>1267</v>
      </c>
      <c r="H7259" s="380" t="s">
        <v>771</v>
      </c>
      <c r="I7259" s="380" t="s">
        <v>788</v>
      </c>
      <c r="J7259" s="380" t="s">
        <v>773</v>
      </c>
      <c r="K7259" s="381">
        <v>191825.0</v>
      </c>
      <c r="L7259" s="382">
        <v>1.0</v>
      </c>
    </row>
    <row r="7260">
      <c r="A7260" s="380" t="s">
        <v>8134</v>
      </c>
      <c r="B7260" s="380" t="str">
        <f>IFERROR(__xludf.DUMMYFUNCTION("""COMPUTED_VALUE"""),"Gancho Cierre Capo Der Freightl 17-13815")</f>
        <v>Gancho Cierre Capo Der Freightl 17-13815</v>
      </c>
      <c r="C7260" s="380" t="str">
        <f>IFERROR(__xludf.DUMMYFUNCTION("""COMPUTED_VALUE"""),"70002672")</f>
        <v>70002672</v>
      </c>
      <c r="D7260" s="380" t="s">
        <v>767</v>
      </c>
      <c r="E7260" s="380" t="s">
        <v>786</v>
      </c>
      <c r="F7260" s="380" t="s">
        <v>792</v>
      </c>
      <c r="G7260" s="380" t="s">
        <v>1267</v>
      </c>
      <c r="H7260" s="380" t="s">
        <v>771</v>
      </c>
      <c r="I7260" s="380" t="s">
        <v>788</v>
      </c>
      <c r="J7260" s="380" t="s">
        <v>773</v>
      </c>
      <c r="K7260" s="381">
        <v>0.0</v>
      </c>
      <c r="L7260" s="382">
        <v>1.0</v>
      </c>
    </row>
    <row r="7261">
      <c r="A7261" s="380" t="s">
        <v>8135</v>
      </c>
      <c r="B7261" s="380" t="str">
        <f>IFERROR(__xludf.DUMMYFUNCTION("""COMPUTED_VALUE"""),"Oreja Cardan 6"" Tubo 4"" Eagle 5-280 X 4""")</f>
        <v>Oreja Cardan 6" Tubo 4" Eagle 5-280 X 4"</v>
      </c>
      <c r="C7261" s="380" t="str">
        <f>IFERROR(__xludf.DUMMYFUNCTION("""COMPUTED_VALUE"""),"70002673")</f>
        <v>70002673</v>
      </c>
      <c r="D7261" s="380" t="s">
        <v>767</v>
      </c>
      <c r="E7261" s="380" t="s">
        <v>786</v>
      </c>
      <c r="F7261" s="380" t="s">
        <v>5683</v>
      </c>
      <c r="G7261" s="380" t="s">
        <v>1267</v>
      </c>
      <c r="H7261" s="380" t="s">
        <v>771</v>
      </c>
      <c r="I7261" s="380" t="s">
        <v>788</v>
      </c>
      <c r="J7261" s="380" t="s">
        <v>773</v>
      </c>
      <c r="K7261" s="381">
        <v>0.0</v>
      </c>
      <c r="L7261" s="382">
        <v>1.0</v>
      </c>
    </row>
    <row r="7262">
      <c r="A7262" s="380" t="s">
        <v>8136</v>
      </c>
      <c r="B7262" s="380" t="str">
        <f>IFERROR(__xludf.DUMMYFUNCTION("""COMPUTED_VALUE"""),"Automat Arranq Npr/Nkr Reward 2012-2014R")</f>
        <v>Automat Arranq Npr/Nkr Reward 2012-2014R</v>
      </c>
      <c r="C7262" s="380" t="str">
        <f>IFERROR(__xludf.DUMMYFUNCTION("""COMPUTED_VALUE"""),"70002674")</f>
        <v>70002674</v>
      </c>
      <c r="D7262" s="380" t="s">
        <v>767</v>
      </c>
      <c r="E7262" s="380" t="s">
        <v>786</v>
      </c>
      <c r="F7262" s="380" t="s">
        <v>998</v>
      </c>
      <c r="G7262" s="380" t="s">
        <v>1267</v>
      </c>
      <c r="H7262" s="380" t="s">
        <v>771</v>
      </c>
      <c r="I7262" s="380" t="s">
        <v>788</v>
      </c>
      <c r="J7262" s="380" t="s">
        <v>773</v>
      </c>
      <c r="K7262" s="381">
        <v>0.0</v>
      </c>
      <c r="L7262" s="382">
        <v>1.0</v>
      </c>
    </row>
    <row r="7263">
      <c r="A7263" s="380" t="s">
        <v>8137</v>
      </c>
      <c r="B7263" s="380" t="str">
        <f>IFERROR(__xludf.DUMMYFUNCTION("""COMPUTED_VALUE"""),"Lampara Direccional Der Hino 8,15E+95")</f>
        <v>Lampara Direccional Der Hino 8,15E+95</v>
      </c>
      <c r="C7263" s="380" t="str">
        <f>IFERROR(__xludf.DUMMYFUNCTION("""COMPUTED_VALUE"""),"70002675")</f>
        <v>70002675</v>
      </c>
      <c r="D7263" s="380" t="s">
        <v>767</v>
      </c>
      <c r="E7263" s="380" t="s">
        <v>786</v>
      </c>
      <c r="F7263" s="380" t="s">
        <v>998</v>
      </c>
      <c r="G7263" s="380" t="s">
        <v>1267</v>
      </c>
      <c r="H7263" s="380" t="s">
        <v>771</v>
      </c>
      <c r="I7263" s="380" t="s">
        <v>788</v>
      </c>
      <c r="J7263" s="380" t="s">
        <v>773</v>
      </c>
      <c r="K7263" s="381">
        <v>627636.0</v>
      </c>
      <c r="L7263" s="382">
        <v>1.0</v>
      </c>
    </row>
    <row r="7264">
      <c r="A7264" s="380" t="s">
        <v>8138</v>
      </c>
      <c r="B7264" s="380" t="str">
        <f>IFERROR(__xludf.DUMMYFUNCTION("""COMPUTED_VALUE"""),"Torni De Paso Panel Puert Prem PU1010038")</f>
        <v>Torni De Paso Panel Puert Prem PU1010038</v>
      </c>
      <c r="C7264" s="380" t="str">
        <f>IFERROR(__xludf.DUMMYFUNCTION("""COMPUTED_VALUE"""),"70002676")</f>
        <v>70002676</v>
      </c>
      <c r="D7264" s="380" t="s">
        <v>767</v>
      </c>
      <c r="E7264" s="380" t="s">
        <v>786</v>
      </c>
      <c r="F7264" s="380" t="s">
        <v>792</v>
      </c>
      <c r="G7264" s="380" t="s">
        <v>1267</v>
      </c>
      <c r="H7264" s="380" t="s">
        <v>771</v>
      </c>
      <c r="I7264" s="380" t="s">
        <v>788</v>
      </c>
      <c r="J7264" s="380" t="s">
        <v>773</v>
      </c>
      <c r="K7264" s="381">
        <v>0.0</v>
      </c>
      <c r="L7264" s="382">
        <v>1.0</v>
      </c>
    </row>
    <row r="7265">
      <c r="A7265" s="380" t="s">
        <v>8139</v>
      </c>
      <c r="B7265" s="380" t="str">
        <f>IFERROR(__xludf.DUMMYFUNCTION("""COMPUTED_VALUE"""),"Radiador En Cobre Mack MT8")</f>
        <v>Radiador En Cobre Mack MT8</v>
      </c>
      <c r="C7265" s="380" t="str">
        <f>IFERROR(__xludf.DUMMYFUNCTION("""COMPUTED_VALUE"""),"70002677")</f>
        <v>70002677</v>
      </c>
      <c r="D7265" s="380" t="s">
        <v>767</v>
      </c>
      <c r="E7265" s="380" t="s">
        <v>786</v>
      </c>
      <c r="F7265" s="380" t="s">
        <v>787</v>
      </c>
      <c r="G7265" s="380" t="s">
        <v>1267</v>
      </c>
      <c r="H7265" s="380" t="s">
        <v>771</v>
      </c>
      <c r="I7265" s="380" t="s">
        <v>788</v>
      </c>
      <c r="J7265" s="380" t="s">
        <v>773</v>
      </c>
      <c r="K7265" s="381">
        <v>0.0</v>
      </c>
      <c r="L7265" s="382">
        <v>1.0</v>
      </c>
    </row>
    <row r="7266">
      <c r="A7266" s="380" t="s">
        <v>8140</v>
      </c>
      <c r="B7266" s="380" t="str">
        <f>IFERROR(__xludf.DUMMYFUNCTION("""COMPUTED_VALUE"""),"Kit Chupa Cilind Freno Del FRR1878313090")</f>
        <v>Kit Chupa Cilind Freno Del FRR1878313090</v>
      </c>
      <c r="C7266" s="380" t="str">
        <f>IFERROR(__xludf.DUMMYFUNCTION("""COMPUTED_VALUE"""),"70002678")</f>
        <v>70002678</v>
      </c>
      <c r="D7266" s="380" t="s">
        <v>767</v>
      </c>
      <c r="E7266" s="380" t="s">
        <v>786</v>
      </c>
      <c r="F7266" s="380" t="s">
        <v>1017</v>
      </c>
      <c r="G7266" s="380" t="s">
        <v>1267</v>
      </c>
      <c r="H7266" s="380" t="s">
        <v>771</v>
      </c>
      <c r="I7266" s="380" t="s">
        <v>788</v>
      </c>
      <c r="J7266" s="380" t="s">
        <v>773</v>
      </c>
      <c r="K7266" s="381">
        <v>0.0</v>
      </c>
      <c r="L7266" s="382">
        <v>1.0</v>
      </c>
    </row>
    <row r="7267">
      <c r="A7267" s="380" t="s">
        <v>8141</v>
      </c>
      <c r="B7267" s="380" t="str">
        <f>IFERROR(__xludf.DUMMYFUNCTION("""COMPUTED_VALUE"""),"Arandela Espaciadora Trm Isx SAF9001205")</f>
        <v>Arandela Espaciadora Trm Isx SAF9001205</v>
      </c>
      <c r="C7267" s="380" t="str">
        <f>IFERROR(__xludf.DUMMYFUNCTION("""COMPUTED_VALUE"""),"70002679")</f>
        <v>70002679</v>
      </c>
      <c r="D7267" s="380" t="s">
        <v>767</v>
      </c>
      <c r="E7267" s="380" t="s">
        <v>786</v>
      </c>
      <c r="F7267" s="380" t="s">
        <v>5683</v>
      </c>
      <c r="G7267" s="380" t="s">
        <v>1267</v>
      </c>
      <c r="H7267" s="380" t="s">
        <v>771</v>
      </c>
      <c r="I7267" s="380" t="s">
        <v>788</v>
      </c>
      <c r="J7267" s="380" t="s">
        <v>773</v>
      </c>
      <c r="K7267" s="381">
        <v>0.0</v>
      </c>
      <c r="L7267" s="382">
        <v>1.0</v>
      </c>
    </row>
    <row r="7268">
      <c r="A7268" s="380" t="s">
        <v>8142</v>
      </c>
      <c r="B7268" s="380" t="str">
        <f>IFERROR(__xludf.DUMMYFUNCTION("""COMPUTED_VALUE"""),"Lampara Aux Espejo Led T Delta")</f>
        <v>Lampara Aux Espejo Led T Delta</v>
      </c>
      <c r="C7268" s="380" t="str">
        <f>IFERROR(__xludf.DUMMYFUNCTION("""COMPUTED_VALUE"""),"70002680")</f>
        <v>70002680</v>
      </c>
      <c r="D7268" s="380" t="s">
        <v>767</v>
      </c>
      <c r="E7268" s="380" t="s">
        <v>786</v>
      </c>
      <c r="F7268" s="380" t="s">
        <v>998</v>
      </c>
      <c r="G7268" s="380" t="s">
        <v>1267</v>
      </c>
      <c r="H7268" s="380" t="s">
        <v>771</v>
      </c>
      <c r="I7268" s="380" t="s">
        <v>788</v>
      </c>
      <c r="J7268" s="380" t="s">
        <v>773</v>
      </c>
      <c r="K7268" s="381">
        <v>0.0</v>
      </c>
      <c r="L7268" s="382">
        <v>1.0</v>
      </c>
    </row>
    <row r="7269">
      <c r="A7269" s="380" t="s">
        <v>8143</v>
      </c>
      <c r="B7269" s="380" t="str">
        <f>IFERROR(__xludf.DUMMYFUNCTION("""COMPUTED_VALUE"""),"Carcaza Housing Trasera Nhr 8970479803")</f>
        <v>Carcaza Housing Trasera Nhr 8970479803</v>
      </c>
      <c r="C7269" s="380" t="str">
        <f>IFERROR(__xludf.DUMMYFUNCTION("""COMPUTED_VALUE"""),"70002681")</f>
        <v>70002681</v>
      </c>
      <c r="D7269" s="380" t="s">
        <v>767</v>
      </c>
      <c r="E7269" s="380" t="s">
        <v>786</v>
      </c>
      <c r="F7269" s="380" t="s">
        <v>5683</v>
      </c>
      <c r="G7269" s="380" t="s">
        <v>1267</v>
      </c>
      <c r="H7269" s="380" t="s">
        <v>771</v>
      </c>
      <c r="I7269" s="380" t="s">
        <v>788</v>
      </c>
      <c r="J7269" s="380" t="s">
        <v>773</v>
      </c>
      <c r="K7269" s="381">
        <v>0.0</v>
      </c>
      <c r="L7269" s="382">
        <v>1.0</v>
      </c>
    </row>
    <row r="7270">
      <c r="A7270" s="380" t="s">
        <v>8144</v>
      </c>
      <c r="B7270" s="380" t="str">
        <f>IFERROR(__xludf.DUMMYFUNCTION("""COMPUTED_VALUE"""),"Sensor Aire AC Kw T800 K-301-70")</f>
        <v>Sensor Aire AC Kw T800 K-301-70</v>
      </c>
      <c r="C7270" s="380" t="str">
        <f>IFERROR(__xludf.DUMMYFUNCTION("""COMPUTED_VALUE"""),"70002682")</f>
        <v>70002682</v>
      </c>
      <c r="D7270" s="380" t="s">
        <v>767</v>
      </c>
      <c r="E7270" s="380" t="s">
        <v>786</v>
      </c>
      <c r="F7270" s="380" t="s">
        <v>998</v>
      </c>
      <c r="G7270" s="380" t="s">
        <v>1267</v>
      </c>
      <c r="H7270" s="380" t="s">
        <v>771</v>
      </c>
      <c r="I7270" s="380" t="s">
        <v>788</v>
      </c>
      <c r="J7270" s="380" t="s">
        <v>773</v>
      </c>
      <c r="K7270" s="381">
        <v>292264.0</v>
      </c>
      <c r="L7270" s="382">
        <v>1.0</v>
      </c>
    </row>
    <row r="7271">
      <c r="A7271" s="380" t="s">
        <v>8145</v>
      </c>
      <c r="B7271" s="380" t="str">
        <f>IFERROR(__xludf.DUMMYFUNCTION("""COMPUTED_VALUE"""),"Transmision Completa Nhr")</f>
        <v>Transmision Completa Nhr</v>
      </c>
      <c r="C7271" s="380" t="str">
        <f>IFERROR(__xludf.DUMMYFUNCTION("""COMPUTED_VALUE"""),"70002683")</f>
        <v>70002683</v>
      </c>
      <c r="D7271" s="380" t="s">
        <v>767</v>
      </c>
      <c r="E7271" s="380" t="s">
        <v>786</v>
      </c>
      <c r="F7271" s="380" t="s">
        <v>5683</v>
      </c>
      <c r="G7271" s="380" t="s">
        <v>1267</v>
      </c>
      <c r="H7271" s="380" t="s">
        <v>771</v>
      </c>
      <c r="I7271" s="380" t="s">
        <v>788</v>
      </c>
      <c r="J7271" s="380" t="s">
        <v>773</v>
      </c>
      <c r="K7271" s="381">
        <v>0.0</v>
      </c>
      <c r="L7271" s="382">
        <v>1.0</v>
      </c>
    </row>
    <row r="7272">
      <c r="A7272" s="380" t="s">
        <v>8146</v>
      </c>
      <c r="B7272" s="380" t="str">
        <f>IFERROR(__xludf.DUMMYFUNCTION("""COMPUTED_VALUE"""),"Racor Union B68 1/4 X 1/8 Npt")</f>
        <v>Racor Union B68 1/4 X 1/8 Npt</v>
      </c>
      <c r="C7272" s="380" t="str">
        <f>IFERROR(__xludf.DUMMYFUNCTION("""COMPUTED_VALUE"""),"70002684")</f>
        <v>70002684</v>
      </c>
      <c r="D7272" s="380" t="s">
        <v>767</v>
      </c>
      <c r="E7272" s="380" t="s">
        <v>786</v>
      </c>
      <c r="F7272" s="380" t="s">
        <v>989</v>
      </c>
      <c r="G7272" s="380" t="s">
        <v>1267</v>
      </c>
      <c r="H7272" s="380" t="s">
        <v>771</v>
      </c>
      <c r="I7272" s="380" t="s">
        <v>788</v>
      </c>
      <c r="J7272" s="380" t="s">
        <v>773</v>
      </c>
      <c r="K7272" s="381">
        <v>0.0</v>
      </c>
      <c r="L7272" s="382">
        <v>1.0</v>
      </c>
    </row>
    <row r="7273">
      <c r="A7273" s="380" t="s">
        <v>8147</v>
      </c>
      <c r="B7273" s="380" t="str">
        <f>IFERROR(__xludf.DUMMYFUNCTION("""COMPUTED_VALUE"""),"Racor Union B103 1/8 Npt X 1/8 Npt")</f>
        <v>Racor Union B103 1/8 Npt X 1/8 Npt</v>
      </c>
      <c r="C7273" s="380" t="str">
        <f>IFERROR(__xludf.DUMMYFUNCTION("""COMPUTED_VALUE"""),"70002685")</f>
        <v>70002685</v>
      </c>
      <c r="D7273" s="380" t="s">
        <v>767</v>
      </c>
      <c r="E7273" s="380" t="s">
        <v>786</v>
      </c>
      <c r="F7273" s="380" t="s">
        <v>989</v>
      </c>
      <c r="G7273" s="380" t="s">
        <v>1267</v>
      </c>
      <c r="H7273" s="380" t="s">
        <v>771</v>
      </c>
      <c r="I7273" s="380" t="s">
        <v>788</v>
      </c>
      <c r="J7273" s="380" t="s">
        <v>773</v>
      </c>
      <c r="K7273" s="381">
        <v>0.0</v>
      </c>
      <c r="L7273" s="382">
        <v>1.0</v>
      </c>
    </row>
    <row r="7274">
      <c r="A7274" s="380" t="s">
        <v>8148</v>
      </c>
      <c r="B7274" s="380" t="str">
        <f>IFERROR(__xludf.DUMMYFUNCTION("""COMPUTED_VALUE"""),"Manguera Hidraulica R-5 1/4 L X Metros")</f>
        <v>Manguera Hidraulica R-5 1/4 L X Metros</v>
      </c>
      <c r="C7274" s="380" t="str">
        <f>IFERROR(__xludf.DUMMYFUNCTION("""COMPUTED_VALUE"""),"70002686")</f>
        <v>70002686</v>
      </c>
      <c r="D7274" s="380" t="s">
        <v>767</v>
      </c>
      <c r="E7274" s="380" t="s">
        <v>786</v>
      </c>
      <c r="F7274" s="380" t="s">
        <v>989</v>
      </c>
      <c r="G7274" s="380" t="s">
        <v>1267</v>
      </c>
      <c r="H7274" s="380" t="s">
        <v>771</v>
      </c>
      <c r="I7274" s="380" t="s">
        <v>788</v>
      </c>
      <c r="J7274" s="380" t="s">
        <v>773</v>
      </c>
      <c r="K7274" s="381">
        <v>49980.0</v>
      </c>
      <c r="L7274" s="382">
        <v>1.0</v>
      </c>
    </row>
    <row r="7275">
      <c r="A7275" s="380" t="s">
        <v>8149</v>
      </c>
      <c r="B7275" s="380" t="str">
        <f>IFERROR(__xludf.DUMMYFUNCTION("""COMPUTED_VALUE"""),"Tapa Deposito Hidr Nkr Reward 8971033940")</f>
        <v>Tapa Deposito Hidr Nkr Reward 8971033940</v>
      </c>
      <c r="C7275" s="380" t="str">
        <f>IFERROR(__xludf.DUMMYFUNCTION("""COMPUTED_VALUE"""),"70002687")</f>
        <v>70002687</v>
      </c>
      <c r="D7275" s="380" t="s">
        <v>767</v>
      </c>
      <c r="E7275" s="380" t="s">
        <v>786</v>
      </c>
      <c r="F7275" s="380" t="s">
        <v>1020</v>
      </c>
      <c r="G7275" s="380" t="s">
        <v>1267</v>
      </c>
      <c r="H7275" s="380" t="s">
        <v>771</v>
      </c>
      <c r="I7275" s="380" t="s">
        <v>788</v>
      </c>
      <c r="J7275" s="380" t="s">
        <v>773</v>
      </c>
      <c r="K7275" s="381">
        <v>0.0</v>
      </c>
      <c r="L7275" s="382">
        <v>1.0</v>
      </c>
    </row>
    <row r="7276">
      <c r="A7276" s="380" t="s">
        <v>8150</v>
      </c>
      <c r="B7276" s="380" t="str">
        <f>IFERROR(__xludf.DUMMYFUNCTION("""COMPUTED_VALUE"""),"Balinera Alternador 6204 2RS")</f>
        <v>Balinera Alternador 6204 2RS</v>
      </c>
      <c r="C7276" s="380" t="str">
        <f>IFERROR(__xludf.DUMMYFUNCTION("""COMPUTED_VALUE"""),"70002688")</f>
        <v>70002688</v>
      </c>
      <c r="D7276" s="380" t="s">
        <v>767</v>
      </c>
      <c r="E7276" s="380" t="s">
        <v>786</v>
      </c>
      <c r="F7276" s="380" t="s">
        <v>998</v>
      </c>
      <c r="G7276" s="380" t="s">
        <v>1267</v>
      </c>
      <c r="H7276" s="380" t="s">
        <v>771</v>
      </c>
      <c r="I7276" s="380" t="s">
        <v>788</v>
      </c>
      <c r="J7276" s="380" t="s">
        <v>773</v>
      </c>
      <c r="K7276" s="381">
        <v>24276.0</v>
      </c>
      <c r="L7276" s="382">
        <v>1.0</v>
      </c>
    </row>
    <row r="7277">
      <c r="A7277" s="380" t="s">
        <v>8151</v>
      </c>
      <c r="B7277" s="380" t="str">
        <f>IFERROR(__xludf.DUMMYFUNCTION("""COMPUTED_VALUE"""),"Chapa Interna Puerta Izq Kenwor R56-1114")</f>
        <v>Chapa Interna Puerta Izq Kenwor R56-1114</v>
      </c>
      <c r="C7277" s="380" t="str">
        <f>IFERROR(__xludf.DUMMYFUNCTION("""COMPUTED_VALUE"""),"70002689")</f>
        <v>70002689</v>
      </c>
      <c r="D7277" s="380" t="s">
        <v>767</v>
      </c>
      <c r="E7277" s="380" t="s">
        <v>786</v>
      </c>
      <c r="F7277" s="380" t="s">
        <v>792</v>
      </c>
      <c r="G7277" s="380" t="s">
        <v>1267</v>
      </c>
      <c r="H7277" s="380" t="s">
        <v>771</v>
      </c>
      <c r="I7277" s="380" t="s">
        <v>788</v>
      </c>
      <c r="J7277" s="380" t="s">
        <v>773</v>
      </c>
      <c r="K7277" s="381">
        <v>297500.0</v>
      </c>
      <c r="L7277" s="382">
        <v>1.0</v>
      </c>
    </row>
    <row r="7278">
      <c r="A7278" s="380" t="s">
        <v>8152</v>
      </c>
      <c r="B7278" s="380" t="str">
        <f>IFERROR(__xludf.DUMMYFUNCTION("""COMPUTED_VALUE"""),"Yoke Cardan Nhr TP-81055")</f>
        <v>Yoke Cardan Nhr TP-81055</v>
      </c>
      <c r="C7278" s="380" t="str">
        <f>IFERROR(__xludf.DUMMYFUNCTION("""COMPUTED_VALUE"""),"70002690")</f>
        <v>70002690</v>
      </c>
      <c r="D7278" s="380" t="s">
        <v>767</v>
      </c>
      <c r="E7278" s="380" t="s">
        <v>786</v>
      </c>
      <c r="F7278" s="380" t="s">
        <v>5683</v>
      </c>
      <c r="G7278" s="380" t="s">
        <v>1267</v>
      </c>
      <c r="H7278" s="380" t="s">
        <v>771</v>
      </c>
      <c r="I7278" s="380" t="s">
        <v>788</v>
      </c>
      <c r="J7278" s="380" t="s">
        <v>773</v>
      </c>
      <c r="K7278" s="381">
        <v>0.0</v>
      </c>
      <c r="L7278" s="382">
        <v>1.0</v>
      </c>
    </row>
    <row r="7279">
      <c r="A7279" s="380" t="s">
        <v>8153</v>
      </c>
      <c r="B7279" s="380" t="str">
        <f>IFERROR(__xludf.DUMMYFUNCTION("""COMPUTED_VALUE"""),"Cruceta Cardan Nhr 5-153/521")</f>
        <v>Cruceta Cardan Nhr 5-153/521</v>
      </c>
      <c r="C7279" s="380" t="str">
        <f>IFERROR(__xludf.DUMMYFUNCTION("""COMPUTED_VALUE"""),"70002691")</f>
        <v>70002691</v>
      </c>
      <c r="D7279" s="380" t="s">
        <v>767</v>
      </c>
      <c r="E7279" s="380" t="s">
        <v>786</v>
      </c>
      <c r="F7279" s="380" t="s">
        <v>5683</v>
      </c>
      <c r="G7279" s="380" t="s">
        <v>1267</v>
      </c>
      <c r="H7279" s="380" t="s">
        <v>771</v>
      </c>
      <c r="I7279" s="380" t="s">
        <v>788</v>
      </c>
      <c r="J7279" s="380" t="s">
        <v>773</v>
      </c>
      <c r="K7279" s="381">
        <v>0.0</v>
      </c>
      <c r="L7279" s="382">
        <v>1.0</v>
      </c>
    </row>
    <row r="7280">
      <c r="A7280" s="380" t="s">
        <v>8154</v>
      </c>
      <c r="B7280" s="380" t="str">
        <f>IFERROR(__xludf.DUMMYFUNCTION("""COMPUTED_VALUE"""),"Clip Aislad Panel Del Nkr Rw 8974107380")</f>
        <v>Clip Aislad Panel Del Nkr Rw 8974107380</v>
      </c>
      <c r="C7280" s="380" t="str">
        <f>IFERROR(__xludf.DUMMYFUNCTION("""COMPUTED_VALUE"""),"70002692")</f>
        <v>70002692</v>
      </c>
      <c r="D7280" s="380" t="s">
        <v>767</v>
      </c>
      <c r="E7280" s="380" t="s">
        <v>786</v>
      </c>
      <c r="F7280" s="380" t="s">
        <v>792</v>
      </c>
      <c r="G7280" s="380" t="s">
        <v>1267</v>
      </c>
      <c r="H7280" s="380" t="s">
        <v>771</v>
      </c>
      <c r="I7280" s="380" t="s">
        <v>788</v>
      </c>
      <c r="J7280" s="380" t="s">
        <v>773</v>
      </c>
      <c r="K7280" s="381">
        <v>0.0</v>
      </c>
      <c r="L7280" s="382">
        <v>1.0</v>
      </c>
    </row>
    <row r="7281">
      <c r="A7281" s="380" t="s">
        <v>8155</v>
      </c>
      <c r="B7281" s="380" t="str">
        <f>IFERROR(__xludf.DUMMYFUNCTION("""COMPUTED_VALUE"""),"Valvula Antipatinaje Eagle 9400")</f>
        <v>Valvula Antipatinaje Eagle 9400</v>
      </c>
      <c r="C7281" s="380" t="str">
        <f>IFERROR(__xludf.DUMMYFUNCTION("""COMPUTED_VALUE"""),"70002693")</f>
        <v>70002693</v>
      </c>
      <c r="D7281" s="380" t="s">
        <v>767</v>
      </c>
      <c r="E7281" s="380" t="s">
        <v>786</v>
      </c>
      <c r="F7281" s="380" t="s">
        <v>5683</v>
      </c>
      <c r="G7281" s="380" t="s">
        <v>1267</v>
      </c>
      <c r="H7281" s="380" t="s">
        <v>771</v>
      </c>
      <c r="I7281" s="380" t="s">
        <v>788</v>
      </c>
      <c r="J7281" s="380" t="s">
        <v>773</v>
      </c>
      <c r="K7281" s="381">
        <v>0.0</v>
      </c>
      <c r="L7281" s="382">
        <v>1.0</v>
      </c>
    </row>
    <row r="7282">
      <c r="A7282" s="380" t="s">
        <v>8156</v>
      </c>
      <c r="B7282" s="380" t="str">
        <f>IFERROR(__xludf.DUMMYFUNCTION("""COMPUTED_VALUE"""),"Piñon Reductor Eje Corto SXA 0202-1")</f>
        <v>Piñon Reductor Eje Corto SXA 0202-1</v>
      </c>
      <c r="C7282" s="380" t="str">
        <f>IFERROR(__xludf.DUMMYFUNCTION("""COMPUTED_VALUE"""),"70002694")</f>
        <v>70002694</v>
      </c>
      <c r="D7282" s="380" t="s">
        <v>767</v>
      </c>
      <c r="E7282" s="380" t="s">
        <v>786</v>
      </c>
      <c r="F7282" s="380" t="s">
        <v>792</v>
      </c>
      <c r="G7282" s="380" t="s">
        <v>1267</v>
      </c>
      <c r="H7282" s="380" t="s">
        <v>771</v>
      </c>
      <c r="I7282" s="380" t="s">
        <v>788</v>
      </c>
      <c r="J7282" s="380" t="s">
        <v>773</v>
      </c>
      <c r="K7282" s="381">
        <v>0.0</v>
      </c>
      <c r="L7282" s="382">
        <v>1.0</v>
      </c>
    </row>
    <row r="7283">
      <c r="A7283" s="380" t="s">
        <v>8157</v>
      </c>
      <c r="B7283" s="380" t="str">
        <f>IFERROR(__xludf.DUMMYFUNCTION("""COMPUTED_VALUE"""),"Balinera Cardan Nkr 95626906")</f>
        <v>Balinera Cardan Nkr 95626906</v>
      </c>
      <c r="C7283" s="380" t="str">
        <f>IFERROR(__xludf.DUMMYFUNCTION("""COMPUTED_VALUE"""),"70002695")</f>
        <v>70002695</v>
      </c>
      <c r="D7283" s="380" t="s">
        <v>767</v>
      </c>
      <c r="E7283" s="380" t="s">
        <v>786</v>
      </c>
      <c r="F7283" s="380" t="s">
        <v>5683</v>
      </c>
      <c r="G7283" s="380" t="s">
        <v>1267</v>
      </c>
      <c r="H7283" s="380" t="s">
        <v>771</v>
      </c>
      <c r="I7283" s="380" t="s">
        <v>788</v>
      </c>
      <c r="J7283" s="380" t="s">
        <v>773</v>
      </c>
      <c r="K7283" s="381">
        <v>0.0</v>
      </c>
      <c r="L7283" s="382">
        <v>1.0</v>
      </c>
    </row>
    <row r="7284">
      <c r="A7284" s="380" t="s">
        <v>8158</v>
      </c>
      <c r="B7284" s="380" t="str">
        <f>IFERROR(__xludf.DUMMYFUNCTION("""COMPUTED_VALUE"""),"Hoja Resorte Ppal Tras Hino 4820137F40")</f>
        <v>Hoja Resorte Ppal Tras Hino 4820137F40</v>
      </c>
      <c r="C7284" s="380" t="str">
        <f>IFERROR(__xludf.DUMMYFUNCTION("""COMPUTED_VALUE"""),"70002696")</f>
        <v>70002696</v>
      </c>
      <c r="D7284" s="380" t="s">
        <v>767</v>
      </c>
      <c r="E7284" s="380" t="s">
        <v>786</v>
      </c>
      <c r="F7284" s="380" t="s">
        <v>1039</v>
      </c>
      <c r="G7284" s="380" t="s">
        <v>1267</v>
      </c>
      <c r="H7284" s="380" t="s">
        <v>771</v>
      </c>
      <c r="I7284" s="380" t="s">
        <v>788</v>
      </c>
      <c r="J7284" s="380" t="s">
        <v>773</v>
      </c>
      <c r="K7284" s="381">
        <v>0.0</v>
      </c>
      <c r="L7284" s="382">
        <v>1.0</v>
      </c>
    </row>
    <row r="7285">
      <c r="A7285" s="380" t="s">
        <v>8159</v>
      </c>
      <c r="B7285" s="380" t="str">
        <f>IFERROR(__xludf.DUMMYFUNCTION("""COMPUTED_VALUE"""),"Buje Muelle Trasero Cauchometal Hino 391")</f>
        <v>Buje Muelle Trasero Cauchometal Hino 391</v>
      </c>
      <c r="C7285" s="380" t="str">
        <f>IFERROR(__xludf.DUMMYFUNCTION("""COMPUTED_VALUE"""),"70002697")</f>
        <v>70002697</v>
      </c>
      <c r="D7285" s="380" t="s">
        <v>767</v>
      </c>
      <c r="E7285" s="380" t="s">
        <v>786</v>
      </c>
      <c r="F7285" s="380" t="s">
        <v>1039</v>
      </c>
      <c r="G7285" s="380" t="s">
        <v>1267</v>
      </c>
      <c r="H7285" s="380" t="s">
        <v>771</v>
      </c>
      <c r="I7285" s="380" t="s">
        <v>788</v>
      </c>
      <c r="J7285" s="380" t="s">
        <v>773</v>
      </c>
      <c r="K7285" s="381">
        <v>0.0</v>
      </c>
      <c r="L7285" s="382">
        <v>1.0</v>
      </c>
    </row>
    <row r="7286">
      <c r="A7286" s="380" t="s">
        <v>8160</v>
      </c>
      <c r="B7286" s="380" t="str">
        <f>IFERROR(__xludf.DUMMYFUNCTION("""COMPUTED_VALUE"""),"Piñon Reductor Eje Trailer XD-V-06602")</f>
        <v>Piñon Reductor Eje Trailer XD-V-06602</v>
      </c>
      <c r="C7286" s="380" t="str">
        <f>IFERROR(__xludf.DUMMYFUNCTION("""COMPUTED_VALUE"""),"70002698")</f>
        <v>70002698</v>
      </c>
      <c r="D7286" s="380" t="s">
        <v>767</v>
      </c>
      <c r="E7286" s="380" t="s">
        <v>786</v>
      </c>
      <c r="F7286" s="380" t="s">
        <v>792</v>
      </c>
      <c r="G7286" s="380" t="s">
        <v>1267</v>
      </c>
      <c r="H7286" s="380" t="s">
        <v>771</v>
      </c>
      <c r="I7286" s="380" t="s">
        <v>788</v>
      </c>
      <c r="J7286" s="380" t="s">
        <v>773</v>
      </c>
      <c r="K7286" s="381">
        <v>0.0</v>
      </c>
      <c r="L7286" s="382">
        <v>1.0</v>
      </c>
    </row>
    <row r="7287">
      <c r="A7287" s="380" t="s">
        <v>8161</v>
      </c>
      <c r="B7287" s="380" t="str">
        <f>IFERROR(__xludf.DUMMYFUNCTION("""COMPUTED_VALUE"""),"Soporte Cardan FTR 8980208810")</f>
        <v>Soporte Cardan FTR 8980208810</v>
      </c>
      <c r="C7287" s="380" t="str">
        <f>IFERROR(__xludf.DUMMYFUNCTION("""COMPUTED_VALUE"""),"70002699")</f>
        <v>70002699</v>
      </c>
      <c r="D7287" s="380" t="s">
        <v>767</v>
      </c>
      <c r="E7287" s="380" t="s">
        <v>786</v>
      </c>
      <c r="F7287" s="380" t="s">
        <v>5683</v>
      </c>
      <c r="G7287" s="380" t="s">
        <v>1267</v>
      </c>
      <c r="H7287" s="380" t="s">
        <v>771</v>
      </c>
      <c r="I7287" s="380" t="s">
        <v>788</v>
      </c>
      <c r="J7287" s="380" t="s">
        <v>773</v>
      </c>
      <c r="K7287" s="381">
        <v>0.0</v>
      </c>
      <c r="L7287" s="382">
        <v>1.0</v>
      </c>
    </row>
    <row r="7288">
      <c r="A7288" s="380" t="s">
        <v>8162</v>
      </c>
      <c r="B7288" s="380" t="str">
        <f>IFERROR(__xludf.DUMMYFUNCTION("""COMPUTED_VALUE"""),"Manguera Superior Radiador Mack 22891948")</f>
        <v>Manguera Superior Radiador Mack 22891948</v>
      </c>
      <c r="C7288" s="380" t="str">
        <f>IFERROR(__xludf.DUMMYFUNCTION("""COMPUTED_VALUE"""),"70002700")</f>
        <v>70002700</v>
      </c>
      <c r="D7288" s="380" t="s">
        <v>767</v>
      </c>
      <c r="E7288" s="380" t="s">
        <v>786</v>
      </c>
      <c r="F7288" s="380" t="s">
        <v>787</v>
      </c>
      <c r="G7288" s="380" t="s">
        <v>1267</v>
      </c>
      <c r="H7288" s="380" t="s">
        <v>771</v>
      </c>
      <c r="I7288" s="380" t="s">
        <v>788</v>
      </c>
      <c r="J7288" s="380" t="s">
        <v>773</v>
      </c>
      <c r="K7288" s="381">
        <v>0.0</v>
      </c>
      <c r="L7288" s="382">
        <v>1.0</v>
      </c>
    </row>
    <row r="7289">
      <c r="A7289" s="380" t="s">
        <v>8163</v>
      </c>
      <c r="B7289" s="380" t="str">
        <f>IFERROR(__xludf.DUMMYFUNCTION("""COMPUTED_VALUE"""),"Sensor Nivel Refrigerante Mack 22564822")</f>
        <v>Sensor Nivel Refrigerante Mack 22564822</v>
      </c>
      <c r="C7289" s="380" t="str">
        <f>IFERROR(__xludf.DUMMYFUNCTION("""COMPUTED_VALUE"""),"70002701")</f>
        <v>70002701</v>
      </c>
      <c r="D7289" s="380" t="s">
        <v>767</v>
      </c>
      <c r="E7289" s="380" t="s">
        <v>786</v>
      </c>
      <c r="F7289" s="380" t="s">
        <v>998</v>
      </c>
      <c r="G7289" s="380" t="s">
        <v>1267</v>
      </c>
      <c r="H7289" s="380" t="s">
        <v>771</v>
      </c>
      <c r="I7289" s="380" t="s">
        <v>788</v>
      </c>
      <c r="J7289" s="380" t="s">
        <v>773</v>
      </c>
      <c r="K7289" s="381">
        <v>0.0</v>
      </c>
      <c r="L7289" s="382">
        <v>1.0</v>
      </c>
    </row>
    <row r="7290">
      <c r="A7290" s="380" t="s">
        <v>8164</v>
      </c>
      <c r="B7290" s="380" t="str">
        <f>IFERROR(__xludf.DUMMYFUNCTION("""COMPUTED_VALUE"""),"Filtro Comb Planta Electrica FF42000")</f>
        <v>Filtro Comb Planta Electrica FF42000</v>
      </c>
      <c r="C7290" s="380" t="str">
        <f>IFERROR(__xludf.DUMMYFUNCTION("""COMPUTED_VALUE"""),"70002702")</f>
        <v>70002702</v>
      </c>
      <c r="D7290" s="380" t="s">
        <v>767</v>
      </c>
      <c r="E7290" s="380" t="s">
        <v>786</v>
      </c>
      <c r="F7290" s="380" t="s">
        <v>5855</v>
      </c>
      <c r="G7290" s="380" t="s">
        <v>1267</v>
      </c>
      <c r="H7290" s="380" t="s">
        <v>771</v>
      </c>
      <c r="I7290" s="380" t="s">
        <v>788</v>
      </c>
      <c r="J7290" s="380" t="s">
        <v>773</v>
      </c>
      <c r="K7290" s="381">
        <v>0.0</v>
      </c>
      <c r="L7290" s="382">
        <v>1.0</v>
      </c>
    </row>
    <row r="7291">
      <c r="A7291" s="380" t="s">
        <v>8165</v>
      </c>
      <c r="B7291" s="380" t="str">
        <f>IFERROR(__xludf.DUMMYFUNCTION("""COMPUTED_VALUE"""),"Sopo Cabi Del Prostar4063291C2 3595980C4")</f>
        <v>Sopo Cabi Del Prostar4063291C2 3595980C4</v>
      </c>
      <c r="C7291" s="380" t="str">
        <f>IFERROR(__xludf.DUMMYFUNCTION("""COMPUTED_VALUE"""),"70002703")</f>
        <v>70002703</v>
      </c>
      <c r="D7291" s="380" t="s">
        <v>767</v>
      </c>
      <c r="E7291" s="380" t="s">
        <v>786</v>
      </c>
      <c r="F7291" s="380" t="s">
        <v>792</v>
      </c>
      <c r="G7291" s="380" t="s">
        <v>1267</v>
      </c>
      <c r="H7291" s="380" t="s">
        <v>771</v>
      </c>
      <c r="I7291" s="380" t="s">
        <v>788</v>
      </c>
      <c r="J7291" s="380" t="s">
        <v>773</v>
      </c>
      <c r="K7291" s="381">
        <v>0.0</v>
      </c>
      <c r="L7291" s="382">
        <v>1.0</v>
      </c>
    </row>
    <row r="7292">
      <c r="A7292" s="380" t="s">
        <v>8166</v>
      </c>
      <c r="B7292" s="380" t="str">
        <f>IFERROR(__xludf.DUMMYFUNCTION("""COMPUTED_VALUE"""),"Puntera Bomper Izq Hi Prostar 3720617C2")</f>
        <v>Puntera Bomper Izq Hi Prostar 3720617C2</v>
      </c>
      <c r="C7292" s="380" t="str">
        <f>IFERROR(__xludf.DUMMYFUNCTION("""COMPUTED_VALUE"""),"70002704")</f>
        <v>70002704</v>
      </c>
      <c r="D7292" s="380" t="s">
        <v>767</v>
      </c>
      <c r="E7292" s="380" t="s">
        <v>786</v>
      </c>
      <c r="F7292" s="380" t="s">
        <v>792</v>
      </c>
      <c r="G7292" s="380" t="s">
        <v>1267</v>
      </c>
      <c r="H7292" s="380" t="s">
        <v>771</v>
      </c>
      <c r="I7292" s="380" t="s">
        <v>788</v>
      </c>
      <c r="J7292" s="380" t="s">
        <v>773</v>
      </c>
      <c r="K7292" s="381">
        <v>0.0</v>
      </c>
      <c r="L7292" s="382">
        <v>1.0</v>
      </c>
    </row>
    <row r="7293">
      <c r="A7293" s="380" t="s">
        <v>8167</v>
      </c>
      <c r="B7293" s="380" t="str">
        <f>IFERROR(__xludf.DUMMYFUNCTION("""COMPUTED_VALUE"""),"Conector TT Tt10035")</f>
        <v>Conector TT Tt10035</v>
      </c>
      <c r="C7293" s="380" t="str">
        <f>IFERROR(__xludf.DUMMYFUNCTION("""COMPUTED_VALUE"""),"70002705")</f>
        <v>70002705</v>
      </c>
      <c r="D7293" s="380" t="s">
        <v>767</v>
      </c>
      <c r="E7293" s="380" t="s">
        <v>786</v>
      </c>
      <c r="F7293" s="380" t="s">
        <v>787</v>
      </c>
      <c r="G7293" s="380" t="s">
        <v>1267</v>
      </c>
      <c r="H7293" s="380" t="s">
        <v>771</v>
      </c>
      <c r="I7293" s="380" t="s">
        <v>788</v>
      </c>
      <c r="J7293" s="380" t="s">
        <v>773</v>
      </c>
      <c r="K7293" s="381">
        <v>0.0</v>
      </c>
      <c r="L7293" s="382">
        <v>1.0</v>
      </c>
    </row>
    <row r="7294">
      <c r="A7294" s="380" t="s">
        <v>8168</v>
      </c>
      <c r="B7294" s="380" t="str">
        <f>IFERROR(__xludf.DUMMYFUNCTION("""COMPUTED_VALUE"""),"Bombillo Lampara Cabina 17104 24V")</f>
        <v>Bombillo Lampara Cabina 17104 24V</v>
      </c>
      <c r="C7294" s="380" t="str">
        <f>IFERROR(__xludf.DUMMYFUNCTION("""COMPUTED_VALUE"""),"70002706")</f>
        <v>70002706</v>
      </c>
      <c r="D7294" s="380" t="s">
        <v>767</v>
      </c>
      <c r="E7294" s="380" t="s">
        <v>786</v>
      </c>
      <c r="F7294" s="380" t="s">
        <v>998</v>
      </c>
      <c r="G7294" s="380" t="s">
        <v>1267</v>
      </c>
      <c r="H7294" s="380" t="s">
        <v>771</v>
      </c>
      <c r="I7294" s="380" t="s">
        <v>788</v>
      </c>
      <c r="J7294" s="380" t="s">
        <v>773</v>
      </c>
      <c r="K7294" s="381">
        <v>0.0</v>
      </c>
      <c r="L7294" s="382">
        <v>1.0</v>
      </c>
    </row>
    <row r="7295">
      <c r="A7295" s="380" t="s">
        <v>8169</v>
      </c>
      <c r="B7295" s="380" t="str">
        <f>IFERROR(__xludf.DUMMYFUNCTION("""COMPUTED_VALUE"""),"Cruceta Cardan Largo Prostar SDSPL2503X")</f>
        <v>Cruceta Cardan Largo Prostar SDSPL2503X</v>
      </c>
      <c r="C7295" s="380" t="str">
        <f>IFERROR(__xludf.DUMMYFUNCTION("""COMPUTED_VALUE"""),"70002707")</f>
        <v>70002707</v>
      </c>
      <c r="D7295" s="380" t="s">
        <v>767</v>
      </c>
      <c r="E7295" s="380" t="s">
        <v>786</v>
      </c>
      <c r="F7295" s="380" t="s">
        <v>5683</v>
      </c>
      <c r="G7295" s="380" t="s">
        <v>1267</v>
      </c>
      <c r="H7295" s="380" t="s">
        <v>771</v>
      </c>
      <c r="I7295" s="380" t="s">
        <v>788</v>
      </c>
      <c r="J7295" s="380" t="s">
        <v>773</v>
      </c>
      <c r="K7295" s="381">
        <v>0.0</v>
      </c>
      <c r="L7295" s="382">
        <v>1.0</v>
      </c>
    </row>
    <row r="7296">
      <c r="A7296" s="380" t="s">
        <v>8170</v>
      </c>
      <c r="B7296" s="380" t="str">
        <f>IFERROR(__xludf.DUMMYFUNCTION("""COMPUTED_VALUE"""),"Soporte Central Bomper Prostar3720623C93")</f>
        <v>Soporte Central Bomper Prostar3720623C93</v>
      </c>
      <c r="C7296" s="380" t="str">
        <f>IFERROR(__xludf.DUMMYFUNCTION("""COMPUTED_VALUE"""),"70002708")</f>
        <v>70002708</v>
      </c>
      <c r="D7296" s="380" t="s">
        <v>767</v>
      </c>
      <c r="E7296" s="380" t="s">
        <v>786</v>
      </c>
      <c r="F7296" s="380" t="s">
        <v>792</v>
      </c>
      <c r="G7296" s="380" t="s">
        <v>1267</v>
      </c>
      <c r="H7296" s="380" t="s">
        <v>771</v>
      </c>
      <c r="I7296" s="380" t="s">
        <v>788</v>
      </c>
      <c r="J7296" s="380" t="s">
        <v>773</v>
      </c>
      <c r="K7296" s="381">
        <v>3804023.0</v>
      </c>
      <c r="L7296" s="382">
        <v>1.0</v>
      </c>
    </row>
    <row r="7297">
      <c r="A7297" s="380" t="s">
        <v>8171</v>
      </c>
      <c r="B7297" s="380" t="str">
        <f>IFERROR(__xludf.DUMMYFUNCTION("""COMPUTED_VALUE"""),"Kit Chupa Cilind Fren Tras FRR1878313230")</f>
        <v>Kit Chupa Cilind Fren Tras FRR1878313230</v>
      </c>
      <c r="C7297" s="380" t="str">
        <f>IFERROR(__xludf.DUMMYFUNCTION("""COMPUTED_VALUE"""),"70002709")</f>
        <v>70002709</v>
      </c>
      <c r="D7297" s="380" t="s">
        <v>767</v>
      </c>
      <c r="E7297" s="380" t="s">
        <v>786</v>
      </c>
      <c r="F7297" s="380" t="s">
        <v>1017</v>
      </c>
      <c r="G7297" s="380" t="s">
        <v>1267</v>
      </c>
      <c r="H7297" s="380" t="s">
        <v>771</v>
      </c>
      <c r="I7297" s="380" t="s">
        <v>788</v>
      </c>
      <c r="J7297" s="380" t="s">
        <v>773</v>
      </c>
      <c r="K7297" s="381">
        <v>0.0</v>
      </c>
      <c r="L7297" s="382">
        <v>1.0</v>
      </c>
    </row>
    <row r="7298">
      <c r="A7298" s="380" t="s">
        <v>8172</v>
      </c>
      <c r="B7298" s="380" t="str">
        <f>IFERROR(__xludf.DUMMYFUNCTION("""COMPUTED_VALUE"""),"Kit Cami Pisto G°2 Nhr S Turbo5878131822")</f>
        <v>Kit Cami Pisto G°2 Nhr S Turbo5878131822</v>
      </c>
      <c r="C7298" s="380" t="str">
        <f>IFERROR(__xludf.DUMMYFUNCTION("""COMPUTED_VALUE"""),"70002710")</f>
        <v>70002710</v>
      </c>
      <c r="D7298" s="380" t="s">
        <v>767</v>
      </c>
      <c r="E7298" s="380" t="s">
        <v>786</v>
      </c>
      <c r="F7298" s="380" t="s">
        <v>928</v>
      </c>
      <c r="G7298" s="380" t="s">
        <v>1267</v>
      </c>
      <c r="H7298" s="380" t="s">
        <v>771</v>
      </c>
      <c r="I7298" s="380" t="s">
        <v>788</v>
      </c>
      <c r="J7298" s="380" t="s">
        <v>773</v>
      </c>
      <c r="K7298" s="381">
        <v>0.0</v>
      </c>
      <c r="L7298" s="382">
        <v>1.0</v>
      </c>
    </row>
    <row r="7299">
      <c r="A7299" s="380" t="s">
        <v>8173</v>
      </c>
      <c r="B7299" s="380" t="str">
        <f>IFERROR(__xludf.DUMMYFUNCTION("""COMPUTED_VALUE"""),"Balancin Inyector Motor Isx 431199000")</f>
        <v>Balancin Inyector Motor Isx 431199000</v>
      </c>
      <c r="C7299" s="380" t="str">
        <f>IFERROR(__xludf.DUMMYFUNCTION("""COMPUTED_VALUE"""),"70002711")</f>
        <v>70002711</v>
      </c>
      <c r="D7299" s="380" t="s">
        <v>767</v>
      </c>
      <c r="E7299" s="380" t="s">
        <v>786</v>
      </c>
      <c r="F7299" s="380" t="s">
        <v>787</v>
      </c>
      <c r="G7299" s="380" t="s">
        <v>1267</v>
      </c>
      <c r="H7299" s="380" t="s">
        <v>771</v>
      </c>
      <c r="I7299" s="380" t="s">
        <v>788</v>
      </c>
      <c r="J7299" s="380" t="s">
        <v>773</v>
      </c>
      <c r="K7299" s="381">
        <v>0.0</v>
      </c>
      <c r="L7299" s="382">
        <v>1.0</v>
      </c>
    </row>
    <row r="7300">
      <c r="A7300" s="380" t="s">
        <v>8174</v>
      </c>
      <c r="B7300" s="380" t="str">
        <f>IFERROR(__xludf.DUMMYFUNCTION("""COMPUTED_VALUE"""),"Balancin Tras Escape Isx438604 431820500")</f>
        <v>Balancin Tras Escape Isx438604 431820500</v>
      </c>
      <c r="C7300" s="380" t="str">
        <f>IFERROR(__xludf.DUMMYFUNCTION("""COMPUTED_VALUE"""),"70002712")</f>
        <v>70002712</v>
      </c>
      <c r="D7300" s="380" t="s">
        <v>767</v>
      </c>
      <c r="E7300" s="380" t="s">
        <v>786</v>
      </c>
      <c r="F7300" s="380" t="s">
        <v>787</v>
      </c>
      <c r="G7300" s="380" t="s">
        <v>1267</v>
      </c>
      <c r="H7300" s="380" t="s">
        <v>771</v>
      </c>
      <c r="I7300" s="380" t="s">
        <v>788</v>
      </c>
      <c r="J7300" s="380" t="s">
        <v>773</v>
      </c>
      <c r="K7300" s="381">
        <v>0.0</v>
      </c>
      <c r="L7300" s="382">
        <v>1.0</v>
      </c>
    </row>
    <row r="7301">
      <c r="A7301" s="380" t="s">
        <v>8175</v>
      </c>
      <c r="B7301" s="380" t="str">
        <f>IFERROR(__xludf.DUMMYFUNCTION("""COMPUTED_VALUE"""),"Culata Motor Isx 5658283 541378200")</f>
        <v>Culata Motor Isx 5658283 541378200</v>
      </c>
      <c r="C7301" s="380" t="str">
        <f>IFERROR(__xludf.DUMMYFUNCTION("""COMPUTED_VALUE"""),"70002713")</f>
        <v>70002713</v>
      </c>
      <c r="D7301" s="380" t="s">
        <v>767</v>
      </c>
      <c r="E7301" s="380" t="s">
        <v>786</v>
      </c>
      <c r="F7301" s="380" t="s">
        <v>787</v>
      </c>
      <c r="G7301" s="380" t="s">
        <v>1267</v>
      </c>
      <c r="H7301" s="380" t="s">
        <v>771</v>
      </c>
      <c r="I7301" s="380" t="s">
        <v>788</v>
      </c>
      <c r="J7301" s="380" t="s">
        <v>773</v>
      </c>
      <c r="K7301" s="381">
        <v>0.0</v>
      </c>
      <c r="L7301" s="382">
        <v>1.0</v>
      </c>
    </row>
    <row r="7302">
      <c r="A7302" s="380" t="s">
        <v>8176</v>
      </c>
      <c r="B7302" s="380" t="str">
        <f>IFERROR(__xludf.DUMMYFUNCTION("""COMPUTED_VALUE"""),"Balinera Alternador 6303 2RS Generico")</f>
        <v>Balinera Alternador 6303 2RS Generico</v>
      </c>
      <c r="C7302" s="380" t="str">
        <f>IFERROR(__xludf.DUMMYFUNCTION("""COMPUTED_VALUE"""),"70002714")</f>
        <v>70002714</v>
      </c>
      <c r="D7302" s="380" t="s">
        <v>767</v>
      </c>
      <c r="E7302" s="380" t="s">
        <v>786</v>
      </c>
      <c r="F7302" s="380" t="s">
        <v>998</v>
      </c>
      <c r="G7302" s="380" t="s">
        <v>1267</v>
      </c>
      <c r="H7302" s="380" t="s">
        <v>771</v>
      </c>
      <c r="I7302" s="380" t="s">
        <v>788</v>
      </c>
      <c r="J7302" s="380" t="s">
        <v>773</v>
      </c>
      <c r="K7302" s="381">
        <v>22116.0</v>
      </c>
      <c r="L7302" s="382">
        <v>1.0</v>
      </c>
    </row>
    <row r="7303">
      <c r="A7303" s="380" t="s">
        <v>8177</v>
      </c>
      <c r="B7303" s="380" t="str">
        <f>IFERROR(__xludf.DUMMYFUNCTION("""COMPUTED_VALUE"""),"Piñon Pata Trailer XD-V06604-")</f>
        <v>Piñon Pata Trailer XD-V06604-</v>
      </c>
      <c r="C7303" s="380" t="str">
        <f>IFERROR(__xludf.DUMMYFUNCTION("""COMPUTED_VALUE"""),"70002715")</f>
        <v>70002715</v>
      </c>
      <c r="D7303" s="380" t="s">
        <v>767</v>
      </c>
      <c r="E7303" s="380" t="s">
        <v>786</v>
      </c>
      <c r="F7303" s="380" t="s">
        <v>792</v>
      </c>
      <c r="G7303" s="380" t="s">
        <v>1267</v>
      </c>
      <c r="H7303" s="380" t="s">
        <v>771</v>
      </c>
      <c r="I7303" s="380" t="s">
        <v>788</v>
      </c>
      <c r="J7303" s="380" t="s">
        <v>773</v>
      </c>
      <c r="K7303" s="381">
        <v>0.0</v>
      </c>
      <c r="L7303" s="382">
        <v>1.0</v>
      </c>
    </row>
    <row r="7304">
      <c r="A7304" s="380" t="s">
        <v>8178</v>
      </c>
      <c r="B7304" s="380" t="str">
        <f>IFERROR(__xludf.DUMMYFUNCTION("""COMPUTED_VALUE"""),"Overhaul Motor Isx KISX4376429BC")</f>
        <v>Overhaul Motor Isx KISX4376429BC</v>
      </c>
      <c r="C7304" s="380" t="str">
        <f>IFERROR(__xludf.DUMMYFUNCTION("""COMPUTED_VALUE"""),"70002716")</f>
        <v>70002716</v>
      </c>
      <c r="D7304" s="380" t="s">
        <v>767</v>
      </c>
      <c r="E7304" s="380" t="s">
        <v>786</v>
      </c>
      <c r="F7304" s="380" t="s">
        <v>787</v>
      </c>
      <c r="G7304" s="380" t="s">
        <v>1267</v>
      </c>
      <c r="H7304" s="380" t="s">
        <v>771</v>
      </c>
      <c r="I7304" s="380" t="s">
        <v>788</v>
      </c>
      <c r="J7304" s="380" t="s">
        <v>773</v>
      </c>
      <c r="K7304" s="381">
        <v>0.0</v>
      </c>
      <c r="L7304" s="382">
        <v>1.0</v>
      </c>
    </row>
    <row r="7305">
      <c r="A7305" s="380" t="s">
        <v>8179</v>
      </c>
      <c r="B7305" s="380" t="str">
        <f>IFERROR(__xludf.DUMMYFUNCTION("""COMPUTED_VALUE"""),"Jgo Pastas Freno Del R Master K23613-HD")</f>
        <v>Jgo Pastas Freno Del R Master K23613-HD</v>
      </c>
      <c r="C7305" s="380" t="str">
        <f>IFERROR(__xludf.DUMMYFUNCTION("""COMPUTED_VALUE"""),"70002717")</f>
        <v>70002717</v>
      </c>
      <c r="D7305" s="380" t="s">
        <v>767</v>
      </c>
      <c r="E7305" s="380" t="s">
        <v>786</v>
      </c>
      <c r="F7305" s="380" t="s">
        <v>1017</v>
      </c>
      <c r="G7305" s="380" t="s">
        <v>1267</v>
      </c>
      <c r="H7305" s="380" t="s">
        <v>771</v>
      </c>
      <c r="I7305" s="380" t="s">
        <v>788</v>
      </c>
      <c r="J7305" s="380" t="s">
        <v>773</v>
      </c>
      <c r="K7305" s="381">
        <v>160001.0</v>
      </c>
      <c r="L7305" s="382">
        <v>1.0</v>
      </c>
    </row>
    <row r="7306">
      <c r="A7306" s="380" t="s">
        <v>8180</v>
      </c>
      <c r="B7306" s="380" t="str">
        <f>IFERROR(__xludf.DUMMYFUNCTION("""COMPUTED_VALUE"""),"Juego Splinder Nkr Reward 5878309789")</f>
        <v>Juego Splinder Nkr Reward 5878309789</v>
      </c>
      <c r="C7306" s="380" t="str">
        <f>IFERROR(__xludf.DUMMYFUNCTION("""COMPUTED_VALUE"""),"70002718")</f>
        <v>70002718</v>
      </c>
      <c r="D7306" s="380" t="s">
        <v>767</v>
      </c>
      <c r="E7306" s="380" t="s">
        <v>786</v>
      </c>
      <c r="F7306" s="380" t="s">
        <v>1039</v>
      </c>
      <c r="G7306" s="380" t="s">
        <v>1267</v>
      </c>
      <c r="H7306" s="380" t="s">
        <v>771</v>
      </c>
      <c r="I7306" s="380" t="s">
        <v>788</v>
      </c>
      <c r="J7306" s="380" t="s">
        <v>773</v>
      </c>
      <c r="K7306" s="381">
        <v>0.0</v>
      </c>
      <c r="L7306" s="382">
        <v>1.0</v>
      </c>
    </row>
    <row r="7307">
      <c r="A7307" s="380" t="s">
        <v>8181</v>
      </c>
      <c r="B7307" s="380" t="str">
        <f>IFERROR(__xludf.DUMMYFUNCTION("""COMPUTED_VALUE"""),"Culata Compresor Isx Eagle 9111539212")</f>
        <v>Culata Compresor Isx Eagle 9111539212</v>
      </c>
      <c r="C7307" s="380" t="str">
        <f>IFERROR(__xludf.DUMMYFUNCTION("""COMPUTED_VALUE"""),"70002719")</f>
        <v>70002719</v>
      </c>
      <c r="D7307" s="380" t="s">
        <v>767</v>
      </c>
      <c r="E7307" s="380" t="s">
        <v>786</v>
      </c>
      <c r="F7307" s="380" t="s">
        <v>787</v>
      </c>
      <c r="G7307" s="380" t="s">
        <v>1267</v>
      </c>
      <c r="H7307" s="380" t="s">
        <v>771</v>
      </c>
      <c r="I7307" s="380" t="s">
        <v>788</v>
      </c>
      <c r="J7307" s="380" t="s">
        <v>773</v>
      </c>
      <c r="K7307" s="381">
        <v>0.0</v>
      </c>
      <c r="L7307" s="382">
        <v>1.0</v>
      </c>
    </row>
    <row r="7308">
      <c r="A7308" s="380" t="s">
        <v>8182</v>
      </c>
      <c r="B7308" s="380" t="str">
        <f>IFERROR(__xludf.DUMMYFUNCTION("""COMPUTED_VALUE"""),"Resorte Banda Trasero Kenwort MP10197ESP")</f>
        <v>Resorte Banda Trasero Kenwort MP10197ESP</v>
      </c>
      <c r="C7308" s="380" t="str">
        <f>IFERROR(__xludf.DUMMYFUNCTION("""COMPUTED_VALUE"""),"70002720")</f>
        <v>70002720</v>
      </c>
      <c r="D7308" s="380" t="s">
        <v>767</v>
      </c>
      <c r="E7308" s="380" t="s">
        <v>786</v>
      </c>
      <c r="F7308" s="380" t="s">
        <v>1017</v>
      </c>
      <c r="G7308" s="380" t="s">
        <v>1267</v>
      </c>
      <c r="H7308" s="380" t="s">
        <v>771</v>
      </c>
      <c r="I7308" s="380" t="s">
        <v>788</v>
      </c>
      <c r="J7308" s="380" t="s">
        <v>773</v>
      </c>
      <c r="K7308" s="381">
        <v>14280.0</v>
      </c>
      <c r="L7308" s="382">
        <v>1.0</v>
      </c>
    </row>
    <row r="7309">
      <c r="A7309" s="380" t="s">
        <v>8183</v>
      </c>
      <c r="B7309" s="380" t="str">
        <f>IFERROR(__xludf.DUMMYFUNCTION("""COMPUTED_VALUE"""),"Piñon Principal Pata Trailer SXA-0203")</f>
        <v>Piñon Principal Pata Trailer SXA-0203</v>
      </c>
      <c r="C7309" s="380" t="str">
        <f>IFERROR(__xludf.DUMMYFUNCTION("""COMPUTED_VALUE"""),"70002721")</f>
        <v>70002721</v>
      </c>
      <c r="D7309" s="380" t="s">
        <v>767</v>
      </c>
      <c r="E7309" s="380" t="s">
        <v>786</v>
      </c>
      <c r="F7309" s="380" t="s">
        <v>792</v>
      </c>
      <c r="G7309" s="380" t="s">
        <v>1267</v>
      </c>
      <c r="H7309" s="380" t="s">
        <v>771</v>
      </c>
      <c r="I7309" s="380" t="s">
        <v>788</v>
      </c>
      <c r="J7309" s="380" t="s">
        <v>773</v>
      </c>
      <c r="K7309" s="381">
        <v>334523.0</v>
      </c>
      <c r="L7309" s="382">
        <v>1.0</v>
      </c>
    </row>
    <row r="7310">
      <c r="A7310" s="380" t="s">
        <v>8184</v>
      </c>
      <c r="B7310" s="380" t="str">
        <f>IFERROR(__xludf.DUMMYFUNCTION("""COMPUTED_VALUE"""),"Lampara Int Techo Cabi Nkr Rw 8980134213")</f>
        <v>Lampara Int Techo Cabi Nkr Rw 8980134213</v>
      </c>
      <c r="C7310" s="380" t="str">
        <f>IFERROR(__xludf.DUMMYFUNCTION("""COMPUTED_VALUE"""),"70002722")</f>
        <v>70002722</v>
      </c>
      <c r="D7310" s="380" t="s">
        <v>767</v>
      </c>
      <c r="E7310" s="380" t="s">
        <v>786</v>
      </c>
      <c r="F7310" s="380" t="s">
        <v>998</v>
      </c>
      <c r="G7310" s="380" t="s">
        <v>1267</v>
      </c>
      <c r="H7310" s="380" t="s">
        <v>771</v>
      </c>
      <c r="I7310" s="380" t="s">
        <v>788</v>
      </c>
      <c r="J7310" s="380" t="s">
        <v>773</v>
      </c>
      <c r="K7310" s="381">
        <v>0.0</v>
      </c>
      <c r="L7310" s="382">
        <v>1.0</v>
      </c>
    </row>
    <row r="7311">
      <c r="A7311" s="380" t="s">
        <v>8185</v>
      </c>
      <c r="B7311" s="380" t="str">
        <f>IFERROR(__xludf.DUMMYFUNCTION("""COMPUTED_VALUE"""),"Bombona Suspensión Cabina Mack 21128983")</f>
        <v>Bombona Suspensión Cabina Mack 21128983</v>
      </c>
      <c r="C7311" s="380" t="str">
        <f>IFERROR(__xludf.DUMMYFUNCTION("""COMPUTED_VALUE"""),"70002723")</f>
        <v>70002723</v>
      </c>
      <c r="D7311" s="380" t="s">
        <v>767</v>
      </c>
      <c r="E7311" s="380" t="s">
        <v>786</v>
      </c>
      <c r="F7311" s="380" t="s">
        <v>1039</v>
      </c>
      <c r="G7311" s="380" t="s">
        <v>1267</v>
      </c>
      <c r="H7311" s="380" t="s">
        <v>771</v>
      </c>
      <c r="I7311" s="380" t="s">
        <v>788</v>
      </c>
      <c r="J7311" s="380" t="s">
        <v>773</v>
      </c>
      <c r="K7311" s="381">
        <v>0.0</v>
      </c>
      <c r="L7311" s="382">
        <v>1.0</v>
      </c>
    </row>
    <row r="7312">
      <c r="A7312" s="380" t="s">
        <v>8186</v>
      </c>
      <c r="B7312" s="380" t="str">
        <f>IFERROR(__xludf.DUMMYFUNCTION("""COMPUTED_VALUE"""),"Filtro Aire Kenworth P616056")</f>
        <v>Filtro Aire Kenworth P616056</v>
      </c>
      <c r="C7312" s="380" t="str">
        <f>IFERROR(__xludf.DUMMYFUNCTION("""COMPUTED_VALUE"""),"70002724")</f>
        <v>70002724</v>
      </c>
      <c r="D7312" s="380" t="s">
        <v>767</v>
      </c>
      <c r="E7312" s="380" t="s">
        <v>786</v>
      </c>
      <c r="F7312" s="380" t="s">
        <v>5855</v>
      </c>
      <c r="G7312" s="380" t="s">
        <v>1267</v>
      </c>
      <c r="H7312" s="380" t="s">
        <v>771</v>
      </c>
      <c r="I7312" s="380" t="s">
        <v>788</v>
      </c>
      <c r="J7312" s="380" t="s">
        <v>773</v>
      </c>
      <c r="K7312" s="381">
        <v>637778.0</v>
      </c>
      <c r="L7312" s="382">
        <v>1.0</v>
      </c>
    </row>
    <row r="7313">
      <c r="A7313" s="380" t="s">
        <v>8187</v>
      </c>
      <c r="B7313" s="380" t="str">
        <f>IFERROR(__xludf.DUMMYFUNCTION("""COMPUTED_VALUE"""),"Bombillo Direccional Del Hi 917945N12V")</f>
        <v>Bombillo Direccional Del Hi 917945N12V</v>
      </c>
      <c r="C7313" s="380" t="str">
        <f>IFERROR(__xludf.DUMMYFUNCTION("""COMPUTED_VALUE"""),"70002725")</f>
        <v>70002725</v>
      </c>
      <c r="D7313" s="380" t="s">
        <v>767</v>
      </c>
      <c r="E7313" s="380" t="s">
        <v>786</v>
      </c>
      <c r="F7313" s="380" t="s">
        <v>998</v>
      </c>
      <c r="G7313" s="380" t="s">
        <v>1267</v>
      </c>
      <c r="H7313" s="380" t="s">
        <v>771</v>
      </c>
      <c r="I7313" s="380" t="s">
        <v>788</v>
      </c>
      <c r="J7313" s="380" t="s">
        <v>773</v>
      </c>
      <c r="K7313" s="381">
        <v>4855.0</v>
      </c>
      <c r="L7313" s="382">
        <v>1.0</v>
      </c>
    </row>
    <row r="7314">
      <c r="A7314" s="380" t="s">
        <v>8188</v>
      </c>
      <c r="B7314" s="380" t="str">
        <f>IFERROR(__xludf.DUMMYFUNCTION("""COMPUTED_VALUE"""),"Kit Valv Sol Susp Aire Prostar2506712C91")</f>
        <v>Kit Valv Sol Susp Aire Prostar2506712C91</v>
      </c>
      <c r="C7314" s="380" t="str">
        <f>IFERROR(__xludf.DUMMYFUNCTION("""COMPUTED_VALUE"""),"70002726")</f>
        <v>70002726</v>
      </c>
      <c r="D7314" s="380" t="s">
        <v>767</v>
      </c>
      <c r="E7314" s="380" t="s">
        <v>786</v>
      </c>
      <c r="F7314" s="380" t="s">
        <v>792</v>
      </c>
      <c r="G7314" s="380" t="s">
        <v>1267</v>
      </c>
      <c r="H7314" s="380" t="s">
        <v>771</v>
      </c>
      <c r="I7314" s="380" t="s">
        <v>788</v>
      </c>
      <c r="J7314" s="380" t="s">
        <v>773</v>
      </c>
      <c r="K7314" s="381">
        <v>0.0</v>
      </c>
      <c r="L7314" s="382">
        <v>1.0</v>
      </c>
    </row>
    <row r="7315">
      <c r="A7315" s="380" t="s">
        <v>8189</v>
      </c>
      <c r="B7315" s="380" t="str">
        <f>IFERROR(__xludf.DUMMYFUNCTION("""COMPUTED_VALUE"""),"Juego Splinder Nhr 5878323141")</f>
        <v>Juego Splinder Nhr 5878323141</v>
      </c>
      <c r="C7315" s="380" t="str">
        <f>IFERROR(__xludf.DUMMYFUNCTION("""COMPUTED_VALUE"""),"70002727")</f>
        <v>70002727</v>
      </c>
      <c r="D7315" s="380" t="s">
        <v>767</v>
      </c>
      <c r="E7315" s="380" t="s">
        <v>786</v>
      </c>
      <c r="F7315" s="380" t="s">
        <v>1039</v>
      </c>
      <c r="G7315" s="380" t="s">
        <v>1267</v>
      </c>
      <c r="H7315" s="380" t="s">
        <v>771</v>
      </c>
      <c r="I7315" s="380" t="s">
        <v>788</v>
      </c>
      <c r="J7315" s="380" t="s">
        <v>773</v>
      </c>
      <c r="K7315" s="381">
        <v>0.0</v>
      </c>
      <c r="L7315" s="382">
        <v>1.0</v>
      </c>
    </row>
    <row r="7316">
      <c r="A7316" s="380" t="s">
        <v>8190</v>
      </c>
      <c r="B7316" s="380" t="str">
        <f>IFERROR(__xludf.DUMMYFUNCTION("""COMPUTED_VALUE"""),"Pasador Muelle Tras FRR1513610170 PA0080")</f>
        <v>Pasador Muelle Tras FRR1513610170 PA0080</v>
      </c>
      <c r="C7316" s="380" t="str">
        <f>IFERROR(__xludf.DUMMYFUNCTION("""COMPUTED_VALUE"""),"70002728")</f>
        <v>70002728</v>
      </c>
      <c r="D7316" s="380" t="s">
        <v>767</v>
      </c>
      <c r="E7316" s="380" t="s">
        <v>786</v>
      </c>
      <c r="F7316" s="380" t="s">
        <v>1039</v>
      </c>
      <c r="G7316" s="380" t="s">
        <v>1267</v>
      </c>
      <c r="H7316" s="380" t="s">
        <v>771</v>
      </c>
      <c r="I7316" s="380" t="s">
        <v>788</v>
      </c>
      <c r="J7316" s="380" t="s">
        <v>773</v>
      </c>
      <c r="K7316" s="381">
        <v>0.0</v>
      </c>
      <c r="L7316" s="382">
        <v>1.0</v>
      </c>
    </row>
    <row r="7317">
      <c r="A7317" s="380" t="s">
        <v>8191</v>
      </c>
      <c r="B7317" s="380" t="str">
        <f>IFERROR(__xludf.DUMMYFUNCTION("""COMPUTED_VALUE"""),"Buje Bimetalico Muelle Trasero FRR")</f>
        <v>Buje Bimetalico Muelle Trasero FRR</v>
      </c>
      <c r="C7317" s="380" t="str">
        <f>IFERROR(__xludf.DUMMYFUNCTION("""COMPUTED_VALUE"""),"70002729")</f>
        <v>70002729</v>
      </c>
      <c r="D7317" s="380" t="s">
        <v>767</v>
      </c>
      <c r="E7317" s="380" t="s">
        <v>786</v>
      </c>
      <c r="F7317" s="380" t="s">
        <v>1039</v>
      </c>
      <c r="G7317" s="380" t="s">
        <v>1267</v>
      </c>
      <c r="H7317" s="380" t="s">
        <v>771</v>
      </c>
      <c r="I7317" s="380" t="s">
        <v>788</v>
      </c>
      <c r="J7317" s="380" t="s">
        <v>773</v>
      </c>
      <c r="K7317" s="381">
        <v>0.0</v>
      </c>
      <c r="L7317" s="382">
        <v>1.0</v>
      </c>
    </row>
    <row r="7318">
      <c r="A7318" s="380" t="s">
        <v>8192</v>
      </c>
      <c r="B7318" s="380" t="str">
        <f>IFERROR(__xludf.DUMMYFUNCTION("""COMPUTED_VALUE"""),"Soport Tras Recib Capot Freigtl A1714706")</f>
        <v>Soport Tras Recib Capot Freigtl A1714706</v>
      </c>
      <c r="C7318" s="380" t="str">
        <f>IFERROR(__xludf.DUMMYFUNCTION("""COMPUTED_VALUE"""),"70002730")</f>
        <v>70002730</v>
      </c>
      <c r="D7318" s="380" t="s">
        <v>767</v>
      </c>
      <c r="E7318" s="380" t="s">
        <v>786</v>
      </c>
      <c r="F7318" s="380" t="s">
        <v>792</v>
      </c>
      <c r="G7318" s="380" t="s">
        <v>1267</v>
      </c>
      <c r="H7318" s="380" t="s">
        <v>771</v>
      </c>
      <c r="I7318" s="380" t="s">
        <v>788</v>
      </c>
      <c r="J7318" s="380" t="s">
        <v>773</v>
      </c>
      <c r="K7318" s="381">
        <v>0.0</v>
      </c>
      <c r="L7318" s="382">
        <v>1.0</v>
      </c>
    </row>
    <row r="7319">
      <c r="A7319" s="380" t="s">
        <v>8193</v>
      </c>
      <c r="B7319" s="380" t="str">
        <f>IFERROR(__xludf.DUMMYFUNCTION("""COMPUTED_VALUE"""),"Filtro Aire 7FG30 Montacargas 7432360071")</f>
        <v>Filtro Aire 7FG30 Montacargas 7432360071</v>
      </c>
      <c r="C7319" s="380" t="str">
        <f>IFERROR(__xludf.DUMMYFUNCTION("""COMPUTED_VALUE"""),"70002731")</f>
        <v>70002731</v>
      </c>
      <c r="D7319" s="380" t="s">
        <v>767</v>
      </c>
      <c r="E7319" s="380" t="s">
        <v>786</v>
      </c>
      <c r="F7319" s="380" t="s">
        <v>5855</v>
      </c>
      <c r="G7319" s="380" t="s">
        <v>1267</v>
      </c>
      <c r="H7319" s="380" t="s">
        <v>771</v>
      </c>
      <c r="I7319" s="380" t="s">
        <v>788</v>
      </c>
      <c r="J7319" s="380" t="s">
        <v>773</v>
      </c>
      <c r="K7319" s="381">
        <v>0.0</v>
      </c>
      <c r="L7319" s="382">
        <v>1.0</v>
      </c>
    </row>
    <row r="7320">
      <c r="A7320" s="380" t="s">
        <v>8194</v>
      </c>
      <c r="B7320" s="380" t="str">
        <f>IFERROR(__xludf.DUMMYFUNCTION("""COMPUTED_VALUE"""),"Filtro Aceite Diferencial Hi 3280V8394")</f>
        <v>Filtro Aceite Diferencial Hi 3280V8394</v>
      </c>
      <c r="C7320" s="380" t="str">
        <f>IFERROR(__xludf.DUMMYFUNCTION("""COMPUTED_VALUE"""),"70002732")</f>
        <v>70002732</v>
      </c>
      <c r="D7320" s="380" t="s">
        <v>767</v>
      </c>
      <c r="E7320" s="380" t="s">
        <v>786</v>
      </c>
      <c r="F7320" s="380" t="s">
        <v>5855</v>
      </c>
      <c r="G7320" s="380" t="s">
        <v>1267</v>
      </c>
      <c r="H7320" s="380" t="s">
        <v>771</v>
      </c>
      <c r="I7320" s="380" t="s">
        <v>788</v>
      </c>
      <c r="J7320" s="380" t="s">
        <v>773</v>
      </c>
      <c r="K7320" s="381">
        <v>30538.0</v>
      </c>
      <c r="L7320" s="382">
        <v>1.0</v>
      </c>
    </row>
    <row r="7321">
      <c r="A7321" s="380" t="s">
        <v>8195</v>
      </c>
      <c r="B7321" s="380" t="str">
        <f>IFERROR(__xludf.DUMMYFUNCTION("""COMPUTED_VALUE"""),"Hoja Muelle Tras Principal Nhr 22937/1")</f>
        <v>Hoja Muelle Tras Principal Nhr 22937/1</v>
      </c>
      <c r="C7321" s="380" t="str">
        <f>IFERROR(__xludf.DUMMYFUNCTION("""COMPUTED_VALUE"""),"70002733")</f>
        <v>70002733</v>
      </c>
      <c r="D7321" s="380" t="s">
        <v>767</v>
      </c>
      <c r="E7321" s="380" t="s">
        <v>786</v>
      </c>
      <c r="F7321" s="380" t="s">
        <v>1039</v>
      </c>
      <c r="G7321" s="380" t="s">
        <v>1267</v>
      </c>
      <c r="H7321" s="380" t="s">
        <v>771</v>
      </c>
      <c r="I7321" s="380" t="s">
        <v>788</v>
      </c>
      <c r="J7321" s="380" t="s">
        <v>773</v>
      </c>
      <c r="K7321" s="381">
        <v>0.0</v>
      </c>
      <c r="L7321" s="382">
        <v>1.0</v>
      </c>
    </row>
    <row r="7322">
      <c r="A7322" s="380" t="s">
        <v>8196</v>
      </c>
      <c r="B7322" s="380" t="str">
        <f>IFERROR(__xludf.DUMMYFUNCTION("""COMPUTED_VALUE"""),"Filtro Aceite Motor T Delta OLP-001")</f>
        <v>Filtro Aceite Motor T Delta OLP-001</v>
      </c>
      <c r="C7322" s="380" t="str">
        <f>IFERROR(__xludf.DUMMYFUNCTION("""COMPUTED_VALUE"""),"70002734")</f>
        <v>70002734</v>
      </c>
      <c r="D7322" s="380" t="s">
        <v>767</v>
      </c>
      <c r="E7322" s="380" t="s">
        <v>786</v>
      </c>
      <c r="F7322" s="380" t="s">
        <v>5855</v>
      </c>
      <c r="G7322" s="380" t="s">
        <v>1267</v>
      </c>
      <c r="H7322" s="380" t="s">
        <v>771</v>
      </c>
      <c r="I7322" s="380" t="s">
        <v>788</v>
      </c>
      <c r="J7322" s="380" t="s">
        <v>773</v>
      </c>
      <c r="K7322" s="381">
        <v>0.0</v>
      </c>
      <c r="L7322" s="382">
        <v>1.0</v>
      </c>
    </row>
    <row r="7323">
      <c r="A7323" s="380" t="s">
        <v>8197</v>
      </c>
      <c r="B7323" s="380" t="str">
        <f>IFERROR(__xludf.DUMMYFUNCTION("""COMPUTED_VALUE"""),"Reflectivo Amarillo Izq Nhr Nkr Npr")</f>
        <v>Reflectivo Amarillo Izq Nhr Nkr Npr</v>
      </c>
      <c r="C7323" s="380" t="str">
        <f>IFERROR(__xludf.DUMMYFUNCTION("""COMPUTED_VALUE"""),"70002735")</f>
        <v>70002735</v>
      </c>
      <c r="D7323" s="380" t="s">
        <v>767</v>
      </c>
      <c r="E7323" s="380" t="s">
        <v>786</v>
      </c>
      <c r="F7323" s="380" t="s">
        <v>792</v>
      </c>
      <c r="G7323" s="380" t="s">
        <v>1267</v>
      </c>
      <c r="H7323" s="380" t="s">
        <v>771</v>
      </c>
      <c r="I7323" s="380" t="s">
        <v>788</v>
      </c>
      <c r="J7323" s="380" t="s">
        <v>773</v>
      </c>
      <c r="K7323" s="381">
        <v>0.0</v>
      </c>
      <c r="L7323" s="382">
        <v>1.0</v>
      </c>
    </row>
    <row r="7324">
      <c r="A7324" s="380" t="s">
        <v>8198</v>
      </c>
      <c r="B7324" s="380" t="str">
        <f>IFERROR(__xludf.DUMMYFUNCTION("""COMPUTED_VALUE"""),"Juego Cilindro Puerta Nkr III CP-115 X 2")</f>
        <v>Juego Cilindro Puerta Nkr III CP-115 X 2</v>
      </c>
      <c r="C7324" s="380" t="str">
        <f>IFERROR(__xludf.DUMMYFUNCTION("""COMPUTED_VALUE"""),"70002736")</f>
        <v>70002736</v>
      </c>
      <c r="D7324" s="380" t="s">
        <v>767</v>
      </c>
      <c r="E7324" s="380" t="s">
        <v>786</v>
      </c>
      <c r="F7324" s="380" t="s">
        <v>792</v>
      </c>
      <c r="G7324" s="380" t="s">
        <v>1267</v>
      </c>
      <c r="H7324" s="380" t="s">
        <v>771</v>
      </c>
      <c r="I7324" s="380" t="s">
        <v>788</v>
      </c>
      <c r="J7324" s="380" t="s">
        <v>773</v>
      </c>
      <c r="K7324" s="381">
        <v>0.0</v>
      </c>
      <c r="L7324" s="382">
        <v>1.0</v>
      </c>
    </row>
    <row r="7325">
      <c r="A7325" s="380" t="s">
        <v>8199</v>
      </c>
      <c r="B7325" s="380" t="str">
        <f>IFERROR(__xludf.DUMMYFUNCTION("""COMPUTED_VALUE"""),"Amortiguador Del Eagle Isx 65147-MR")</f>
        <v>Amortiguador Del Eagle Isx 65147-MR</v>
      </c>
      <c r="C7325" s="380" t="str">
        <f>IFERROR(__xludf.DUMMYFUNCTION("""COMPUTED_VALUE"""),"70002737")</f>
        <v>70002737</v>
      </c>
      <c r="D7325" s="380" t="s">
        <v>767</v>
      </c>
      <c r="E7325" s="380" t="s">
        <v>786</v>
      </c>
      <c r="F7325" s="380" t="s">
        <v>1039</v>
      </c>
      <c r="G7325" s="380" t="s">
        <v>1267</v>
      </c>
      <c r="H7325" s="380" t="s">
        <v>771</v>
      </c>
      <c r="I7325" s="380" t="s">
        <v>788</v>
      </c>
      <c r="J7325" s="380" t="s">
        <v>773</v>
      </c>
      <c r="K7325" s="381">
        <v>273347.0</v>
      </c>
      <c r="L7325" s="382">
        <v>1.0</v>
      </c>
    </row>
    <row r="7326">
      <c r="A7326" s="380" t="s">
        <v>8200</v>
      </c>
      <c r="B7326" s="380" t="str">
        <f>IFERROR(__xludf.DUMMYFUNCTION("""COMPUTED_VALUE"""),"Interruptor Rev Cj Vel Npr 8981809730")</f>
        <v>Interruptor Rev Cj Vel Npr 8981809730</v>
      </c>
      <c r="C7326" s="380" t="str">
        <f>IFERROR(__xludf.DUMMYFUNCTION("""COMPUTED_VALUE"""),"70002738")</f>
        <v>70002738</v>
      </c>
      <c r="D7326" s="380" t="s">
        <v>767</v>
      </c>
      <c r="E7326" s="380" t="s">
        <v>786</v>
      </c>
      <c r="F7326" s="380" t="s">
        <v>998</v>
      </c>
      <c r="G7326" s="380" t="s">
        <v>1267</v>
      </c>
      <c r="H7326" s="380" t="s">
        <v>771</v>
      </c>
      <c r="I7326" s="380" t="s">
        <v>788</v>
      </c>
      <c r="J7326" s="380" t="s">
        <v>773</v>
      </c>
      <c r="K7326" s="381">
        <v>0.0</v>
      </c>
      <c r="L7326" s="382">
        <v>1.0</v>
      </c>
    </row>
    <row r="7327">
      <c r="A7327" s="380" t="s">
        <v>8201</v>
      </c>
      <c r="B7327" s="380" t="str">
        <f>IFERROR(__xludf.DUMMYFUNCTION("""COMPUTED_VALUE"""),"Manija Elevavidrio Nhr MEV-079")</f>
        <v>Manija Elevavidrio Nhr MEV-079</v>
      </c>
      <c r="C7327" s="380" t="str">
        <f>IFERROR(__xludf.DUMMYFUNCTION("""COMPUTED_VALUE"""),"70002739")</f>
        <v>70002739</v>
      </c>
      <c r="D7327" s="380" t="s">
        <v>767</v>
      </c>
      <c r="E7327" s="380" t="s">
        <v>786</v>
      </c>
      <c r="F7327" s="380" t="s">
        <v>792</v>
      </c>
      <c r="G7327" s="380" t="s">
        <v>1267</v>
      </c>
      <c r="H7327" s="380" t="s">
        <v>771</v>
      </c>
      <c r="I7327" s="380" t="s">
        <v>788</v>
      </c>
      <c r="J7327" s="380" t="s">
        <v>773</v>
      </c>
      <c r="K7327" s="381">
        <v>0.0</v>
      </c>
      <c r="L7327" s="382">
        <v>1.0</v>
      </c>
    </row>
    <row r="7328">
      <c r="A7328" s="380" t="s">
        <v>8202</v>
      </c>
      <c r="B7328" s="380" t="str">
        <f>IFERROR(__xludf.DUMMYFUNCTION("""COMPUTED_VALUE"""),"Manija Elevavidrio Puerta Mack 20QX33AM2")</f>
        <v>Manija Elevavidrio Puerta Mack 20QX33AM2</v>
      </c>
      <c r="C7328" s="380" t="str">
        <f>IFERROR(__xludf.DUMMYFUNCTION("""COMPUTED_VALUE"""),"70002740")</f>
        <v>70002740</v>
      </c>
      <c r="D7328" s="380" t="s">
        <v>767</v>
      </c>
      <c r="E7328" s="380" t="s">
        <v>786</v>
      </c>
      <c r="F7328" s="380" t="s">
        <v>792</v>
      </c>
      <c r="G7328" s="380" t="s">
        <v>1267</v>
      </c>
      <c r="H7328" s="380" t="s">
        <v>771</v>
      </c>
      <c r="I7328" s="380" t="s">
        <v>788</v>
      </c>
      <c r="J7328" s="380" t="s">
        <v>773</v>
      </c>
      <c r="K7328" s="381">
        <v>0.0</v>
      </c>
      <c r="L7328" s="382">
        <v>1.0</v>
      </c>
    </row>
    <row r="7329">
      <c r="A7329" s="380" t="s">
        <v>8203</v>
      </c>
      <c r="B7329" s="380" t="str">
        <f>IFERROR(__xludf.DUMMYFUNCTION("""COMPUTED_VALUE"""),"Aro Pin Rodam Eje Corre Nkr Rw8972547220")</f>
        <v>Aro Pin Rodam Eje Corre Nkr Rw8972547220</v>
      </c>
      <c r="C7329" s="380" t="str">
        <f>IFERROR(__xludf.DUMMYFUNCTION("""COMPUTED_VALUE"""),"70002741")</f>
        <v>70002741</v>
      </c>
      <c r="D7329" s="380" t="s">
        <v>767</v>
      </c>
      <c r="E7329" s="380" t="s">
        <v>786</v>
      </c>
      <c r="F7329" s="380" t="s">
        <v>928</v>
      </c>
      <c r="G7329" s="380" t="s">
        <v>1267</v>
      </c>
      <c r="H7329" s="380" t="s">
        <v>771</v>
      </c>
      <c r="I7329" s="380" t="s">
        <v>788</v>
      </c>
      <c r="J7329" s="380" t="s">
        <v>773</v>
      </c>
      <c r="K7329" s="381">
        <v>0.0</v>
      </c>
      <c r="L7329" s="382">
        <v>1.0</v>
      </c>
    </row>
    <row r="7330">
      <c r="A7330" s="380" t="s">
        <v>8204</v>
      </c>
      <c r="B7330" s="380" t="str">
        <f>IFERROR(__xludf.DUMMYFUNCTION("""COMPUTED_VALUE"""),"Rodamiento Externo Speed N200 24528004")</f>
        <v>Rodamiento Externo Speed N200 24528004</v>
      </c>
      <c r="C7330" s="380" t="str">
        <f>IFERROR(__xludf.DUMMYFUNCTION("""COMPUTED_VALUE"""),"70002742")</f>
        <v>70002742</v>
      </c>
      <c r="D7330" s="380" t="s">
        <v>767</v>
      </c>
      <c r="E7330" s="380" t="s">
        <v>786</v>
      </c>
      <c r="F7330" s="380" t="s">
        <v>5683</v>
      </c>
      <c r="G7330" s="380" t="s">
        <v>1267</v>
      </c>
      <c r="H7330" s="380" t="s">
        <v>771</v>
      </c>
      <c r="I7330" s="380" t="s">
        <v>788</v>
      </c>
      <c r="J7330" s="380" t="s">
        <v>773</v>
      </c>
      <c r="K7330" s="381">
        <v>0.0</v>
      </c>
      <c r="L7330" s="382">
        <v>1.0</v>
      </c>
    </row>
    <row r="7331">
      <c r="A7331" s="380" t="s">
        <v>8205</v>
      </c>
      <c r="B7331" s="380" t="str">
        <f>IFERROR(__xludf.DUMMYFUNCTION("""COMPUTED_VALUE"""),"Arandela Plana Cigueñal Isx 2869656")</f>
        <v>Arandela Plana Cigueñal Isx 2869656</v>
      </c>
      <c r="C7331" s="380" t="str">
        <f>IFERROR(__xludf.DUMMYFUNCTION("""COMPUTED_VALUE"""),"70002743")</f>
        <v>70002743</v>
      </c>
      <c r="D7331" s="380" t="s">
        <v>767</v>
      </c>
      <c r="E7331" s="380" t="s">
        <v>786</v>
      </c>
      <c r="F7331" s="380" t="s">
        <v>787</v>
      </c>
      <c r="G7331" s="380" t="s">
        <v>1267</v>
      </c>
      <c r="H7331" s="380" t="s">
        <v>771</v>
      </c>
      <c r="I7331" s="380" t="s">
        <v>788</v>
      </c>
      <c r="J7331" s="380" t="s">
        <v>773</v>
      </c>
      <c r="K7331" s="381">
        <v>0.0</v>
      </c>
      <c r="L7331" s="382">
        <v>1.0</v>
      </c>
    </row>
    <row r="7332">
      <c r="A7332" s="380" t="s">
        <v>8206</v>
      </c>
      <c r="B7332" s="380" t="str">
        <f>IFERROR(__xludf.DUMMYFUNCTION("""COMPUTED_VALUE"""),"Guaya Palanca Cambios R Master 349359903")</f>
        <v>Guaya Palanca Cambios R Master 349359903</v>
      </c>
      <c r="C7332" s="380" t="str">
        <f>IFERROR(__xludf.DUMMYFUNCTION("""COMPUTED_VALUE"""),"70002744")</f>
        <v>70002744</v>
      </c>
      <c r="D7332" s="380" t="s">
        <v>767</v>
      </c>
      <c r="E7332" s="380" t="s">
        <v>786</v>
      </c>
      <c r="F7332" s="380" t="s">
        <v>928</v>
      </c>
      <c r="G7332" s="380" t="s">
        <v>1267</v>
      </c>
      <c r="H7332" s="380" t="s">
        <v>771</v>
      </c>
      <c r="I7332" s="380" t="s">
        <v>788</v>
      </c>
      <c r="J7332" s="380" t="s">
        <v>773</v>
      </c>
      <c r="K7332" s="381">
        <v>0.0</v>
      </c>
      <c r="L7332" s="382">
        <v>1.0</v>
      </c>
    </row>
    <row r="7333">
      <c r="A7333" s="380" t="s">
        <v>8207</v>
      </c>
      <c r="B7333" s="380" t="str">
        <f>IFERROR(__xludf.DUMMYFUNCTION("""COMPUTED_VALUE"""),"Kit Soporte Motor Del KWh M203039K2H")</f>
        <v>Kit Soporte Motor Del KWh M203039K2H</v>
      </c>
      <c r="C7333" s="380" t="str">
        <f>IFERROR(__xludf.DUMMYFUNCTION("""COMPUTED_VALUE"""),"70002745")</f>
        <v>70002745</v>
      </c>
      <c r="D7333" s="380" t="s">
        <v>767</v>
      </c>
      <c r="E7333" s="380" t="s">
        <v>786</v>
      </c>
      <c r="F7333" s="380" t="s">
        <v>787</v>
      </c>
      <c r="G7333" s="380" t="s">
        <v>1267</v>
      </c>
      <c r="H7333" s="380" t="s">
        <v>771</v>
      </c>
      <c r="I7333" s="380" t="s">
        <v>788</v>
      </c>
      <c r="J7333" s="380" t="s">
        <v>773</v>
      </c>
      <c r="K7333" s="381">
        <v>0.0</v>
      </c>
      <c r="L7333" s="382">
        <v>1.0</v>
      </c>
    </row>
    <row r="7334">
      <c r="A7334" s="380" t="s">
        <v>8208</v>
      </c>
      <c r="B7334" s="380" t="str">
        <f>IFERROR(__xludf.DUMMYFUNCTION("""COMPUTED_VALUE"""),"Balancin Inyector Motor Isx 4311990")</f>
        <v>Balancin Inyector Motor Isx 4311990</v>
      </c>
      <c r="C7334" s="380" t="str">
        <f>IFERROR(__xludf.DUMMYFUNCTION("""COMPUTED_VALUE"""),"70002746")</f>
        <v>70002746</v>
      </c>
      <c r="D7334" s="380" t="s">
        <v>767</v>
      </c>
      <c r="E7334" s="380" t="s">
        <v>786</v>
      </c>
      <c r="F7334" s="380" t="s">
        <v>787</v>
      </c>
      <c r="G7334" s="380" t="s">
        <v>1267</v>
      </c>
      <c r="H7334" s="380" t="s">
        <v>771</v>
      </c>
      <c r="I7334" s="380" t="s">
        <v>788</v>
      </c>
      <c r="J7334" s="380" t="s">
        <v>773</v>
      </c>
      <c r="K7334" s="381">
        <v>0.0</v>
      </c>
      <c r="L7334" s="382">
        <v>1.0</v>
      </c>
    </row>
    <row r="7335">
      <c r="A7335" s="380" t="s">
        <v>8209</v>
      </c>
      <c r="B7335" s="380" t="str">
        <f>IFERROR(__xludf.DUMMYFUNCTION("""COMPUTED_VALUE"""),"Balancin Escape Trasero Isx-T800 4318205")</f>
        <v>Balancin Escape Trasero Isx-T800 4318205</v>
      </c>
      <c r="C7335" s="380" t="str">
        <f>IFERROR(__xludf.DUMMYFUNCTION("""COMPUTED_VALUE"""),"70002747")</f>
        <v>70002747</v>
      </c>
      <c r="D7335" s="380" t="s">
        <v>767</v>
      </c>
      <c r="E7335" s="380" t="s">
        <v>786</v>
      </c>
      <c r="F7335" s="380" t="s">
        <v>787</v>
      </c>
      <c r="G7335" s="380" t="s">
        <v>1267</v>
      </c>
      <c r="H7335" s="380" t="s">
        <v>771</v>
      </c>
      <c r="I7335" s="380" t="s">
        <v>788</v>
      </c>
      <c r="J7335" s="380" t="s">
        <v>773</v>
      </c>
      <c r="K7335" s="381">
        <v>0.0</v>
      </c>
      <c r="L7335" s="382">
        <v>1.0</v>
      </c>
    </row>
    <row r="7336">
      <c r="A7336" s="380" t="s">
        <v>8210</v>
      </c>
      <c r="B7336" s="380" t="str">
        <f>IFERROR(__xludf.DUMMYFUNCTION("""COMPUTED_VALUE"""),"Culata Motor Isx 5658283")</f>
        <v>Culata Motor Isx 5658283</v>
      </c>
      <c r="C7336" s="380" t="str">
        <f>IFERROR(__xludf.DUMMYFUNCTION("""COMPUTED_VALUE"""),"70002748")</f>
        <v>70002748</v>
      </c>
      <c r="D7336" s="380" t="s">
        <v>767</v>
      </c>
      <c r="E7336" s="380" t="s">
        <v>786</v>
      </c>
      <c r="F7336" s="380" t="s">
        <v>787</v>
      </c>
      <c r="G7336" s="380" t="s">
        <v>1267</v>
      </c>
      <c r="H7336" s="380" t="s">
        <v>771</v>
      </c>
      <c r="I7336" s="380" t="s">
        <v>788</v>
      </c>
      <c r="J7336" s="380" t="s">
        <v>773</v>
      </c>
      <c r="K7336" s="381">
        <v>0.0</v>
      </c>
      <c r="L7336" s="382">
        <v>1.0</v>
      </c>
    </row>
    <row r="7337">
      <c r="A7337" s="380" t="s">
        <v>8211</v>
      </c>
      <c r="B7337" s="380" t="str">
        <f>IFERROR(__xludf.DUMMYFUNCTION("""COMPUTED_VALUE"""),"Tapa Llenado Aceite Eagle 9400 4962608")</f>
        <v>Tapa Llenado Aceite Eagle 9400 4962608</v>
      </c>
      <c r="C7337" s="380" t="str">
        <f>IFERROR(__xludf.DUMMYFUNCTION("""COMPUTED_VALUE"""),"70002749")</f>
        <v>70002749</v>
      </c>
      <c r="D7337" s="380" t="s">
        <v>767</v>
      </c>
      <c r="E7337" s="380" t="s">
        <v>786</v>
      </c>
      <c r="F7337" s="380" t="s">
        <v>787</v>
      </c>
      <c r="G7337" s="380" t="s">
        <v>1267</v>
      </c>
      <c r="H7337" s="380" t="s">
        <v>771</v>
      </c>
      <c r="I7337" s="380" t="s">
        <v>788</v>
      </c>
      <c r="J7337" s="380" t="s">
        <v>773</v>
      </c>
      <c r="K7337" s="381">
        <v>0.0</v>
      </c>
      <c r="L7337" s="382">
        <v>1.0</v>
      </c>
    </row>
    <row r="7338">
      <c r="A7338" s="380" t="s">
        <v>8212</v>
      </c>
      <c r="B7338" s="380" t="str">
        <f>IFERROR(__xludf.DUMMYFUNCTION("""COMPUTED_VALUE"""),"Cruceta Cardan Nkr Redward 8980336050")</f>
        <v>Cruceta Cardan Nkr Redward 8980336050</v>
      </c>
      <c r="C7338" s="380" t="str">
        <f>IFERROR(__xludf.DUMMYFUNCTION("""COMPUTED_VALUE"""),"70002750")</f>
        <v>70002750</v>
      </c>
      <c r="D7338" s="380" t="s">
        <v>767</v>
      </c>
      <c r="E7338" s="380" t="s">
        <v>786</v>
      </c>
      <c r="F7338" s="380" t="s">
        <v>5683</v>
      </c>
      <c r="G7338" s="380" t="s">
        <v>1267</v>
      </c>
      <c r="H7338" s="380" t="s">
        <v>771</v>
      </c>
      <c r="I7338" s="380" t="s">
        <v>788</v>
      </c>
      <c r="J7338" s="380" t="s">
        <v>773</v>
      </c>
      <c r="K7338" s="381">
        <v>0.0</v>
      </c>
      <c r="L7338" s="382">
        <v>1.0</v>
      </c>
    </row>
    <row r="7339">
      <c r="A7339" s="380" t="s">
        <v>8213</v>
      </c>
      <c r="B7339" s="380" t="str">
        <f>IFERROR(__xludf.DUMMYFUNCTION("""COMPUTED_VALUE"""),"Conector Hembra Sensor Refrige 3823254")</f>
        <v>Conector Hembra Sensor Refrige 3823254</v>
      </c>
      <c r="C7339" s="380" t="str">
        <f>IFERROR(__xludf.DUMMYFUNCTION("""COMPUTED_VALUE"""),"70002751")</f>
        <v>70002751</v>
      </c>
      <c r="D7339" s="380" t="s">
        <v>767</v>
      </c>
      <c r="E7339" s="380" t="s">
        <v>786</v>
      </c>
      <c r="F7339" s="380" t="s">
        <v>998</v>
      </c>
      <c r="G7339" s="380" t="s">
        <v>1267</v>
      </c>
      <c r="H7339" s="380" t="s">
        <v>771</v>
      </c>
      <c r="I7339" s="380" t="s">
        <v>788</v>
      </c>
      <c r="J7339" s="380" t="s">
        <v>773</v>
      </c>
      <c r="K7339" s="381">
        <v>0.0</v>
      </c>
      <c r="L7339" s="382">
        <v>1.0</v>
      </c>
    </row>
    <row r="7340">
      <c r="A7340" s="380" t="s">
        <v>8214</v>
      </c>
      <c r="B7340" s="380" t="str">
        <f>IFERROR(__xludf.DUMMYFUNCTION("""COMPUTED_VALUE"""),"Polea Damper Cigüeñal Npr 8972220313")</f>
        <v>Polea Damper Cigüeñal Npr 8972220313</v>
      </c>
      <c r="C7340" s="380" t="str">
        <f>IFERROR(__xludf.DUMMYFUNCTION("""COMPUTED_VALUE"""),"70002752")</f>
        <v>70002752</v>
      </c>
      <c r="D7340" s="380" t="s">
        <v>767</v>
      </c>
      <c r="E7340" s="380" t="s">
        <v>786</v>
      </c>
      <c r="F7340" s="380" t="s">
        <v>787</v>
      </c>
      <c r="G7340" s="380" t="s">
        <v>1267</v>
      </c>
      <c r="H7340" s="380" t="s">
        <v>771</v>
      </c>
      <c r="I7340" s="380" t="s">
        <v>788</v>
      </c>
      <c r="J7340" s="380" t="s">
        <v>773</v>
      </c>
      <c r="K7340" s="381">
        <v>0.0</v>
      </c>
      <c r="L7340" s="382">
        <v>1.0</v>
      </c>
    </row>
    <row r="7341">
      <c r="A7341" s="380" t="s">
        <v>8215</v>
      </c>
      <c r="B7341" s="380" t="str">
        <f>IFERROR(__xludf.DUMMYFUNCTION("""COMPUTED_VALUE"""),"Bobina De Encendid Moto 3w180 1023459129")</f>
        <v>Bobina De Encendid Moto 3w180 1023459129</v>
      </c>
      <c r="C7341" s="380" t="str">
        <f>IFERROR(__xludf.DUMMYFUNCTION("""COMPUTED_VALUE"""),"70002753")</f>
        <v>70002753</v>
      </c>
      <c r="D7341" s="380" t="s">
        <v>767</v>
      </c>
      <c r="E7341" s="380" t="s">
        <v>786</v>
      </c>
      <c r="F7341" s="380" t="s">
        <v>998</v>
      </c>
      <c r="G7341" s="380" t="s">
        <v>1267</v>
      </c>
      <c r="H7341" s="380" t="s">
        <v>771</v>
      </c>
      <c r="I7341" s="380" t="s">
        <v>788</v>
      </c>
      <c r="J7341" s="380" t="s">
        <v>773</v>
      </c>
      <c r="K7341" s="381">
        <v>0.0</v>
      </c>
      <c r="L7341" s="382">
        <v>1.0</v>
      </c>
    </row>
    <row r="7342">
      <c r="A7342" s="380" t="s">
        <v>8216</v>
      </c>
      <c r="B7342" s="380" t="str">
        <f>IFERROR(__xludf.DUMMYFUNCTION("""COMPUTED_VALUE"""),"Ramal De Encendido Moto 3w180 1023476690")</f>
        <v>Ramal De Encendido Moto 3w180 1023476690</v>
      </c>
      <c r="C7342" s="380" t="str">
        <f>IFERROR(__xludf.DUMMYFUNCTION("""COMPUTED_VALUE"""),"70002754")</f>
        <v>70002754</v>
      </c>
      <c r="D7342" s="380" t="s">
        <v>767</v>
      </c>
      <c r="E7342" s="380" t="s">
        <v>786</v>
      </c>
      <c r="F7342" s="380" t="s">
        <v>998</v>
      </c>
      <c r="G7342" s="380" t="s">
        <v>1267</v>
      </c>
      <c r="H7342" s="380" t="s">
        <v>771</v>
      </c>
      <c r="I7342" s="380" t="s">
        <v>788</v>
      </c>
      <c r="J7342" s="380" t="s">
        <v>773</v>
      </c>
      <c r="K7342" s="381">
        <v>782128.0</v>
      </c>
      <c r="L7342" s="382">
        <v>1.0</v>
      </c>
    </row>
    <row r="7343">
      <c r="A7343" s="380" t="s">
        <v>8217</v>
      </c>
      <c r="B7343" s="380" t="str">
        <f>IFERROR(__xludf.DUMMYFUNCTION("""COMPUTED_VALUE"""),"Soporte Acople Del Capot Kw K273-180")</f>
        <v>Soporte Acople Del Capot Kw K273-180</v>
      </c>
      <c r="C7343" s="380" t="str">
        <f>IFERROR(__xludf.DUMMYFUNCTION("""COMPUTED_VALUE"""),"70002755")</f>
        <v>70002755</v>
      </c>
      <c r="D7343" s="380" t="s">
        <v>767</v>
      </c>
      <c r="E7343" s="380" t="s">
        <v>786</v>
      </c>
      <c r="F7343" s="380" t="s">
        <v>792</v>
      </c>
      <c r="G7343" s="380" t="s">
        <v>1267</v>
      </c>
      <c r="H7343" s="380" t="s">
        <v>771</v>
      </c>
      <c r="I7343" s="380" t="s">
        <v>788</v>
      </c>
      <c r="J7343" s="380" t="s">
        <v>773</v>
      </c>
      <c r="K7343" s="381">
        <v>0.0</v>
      </c>
      <c r="L7343" s="382">
        <v>1.0</v>
      </c>
    </row>
    <row r="7344">
      <c r="A7344" s="380" t="s">
        <v>8218</v>
      </c>
      <c r="B7344" s="380" t="str">
        <f>IFERROR(__xludf.DUMMYFUNCTION("""COMPUTED_VALUE"""),"Piña Divisor Alta 16918 Eagle 3002432")</f>
        <v>Piña Divisor Alta 16918 Eagle 3002432</v>
      </c>
      <c r="C7344" s="380" t="str">
        <f>IFERROR(__xludf.DUMMYFUNCTION("""COMPUTED_VALUE"""),"70002756")</f>
        <v>70002756</v>
      </c>
      <c r="D7344" s="380" t="s">
        <v>767</v>
      </c>
      <c r="E7344" s="380" t="s">
        <v>786</v>
      </c>
      <c r="F7344" s="380" t="s">
        <v>928</v>
      </c>
      <c r="G7344" s="380" t="s">
        <v>1267</v>
      </c>
      <c r="H7344" s="380" t="s">
        <v>771</v>
      </c>
      <c r="I7344" s="380" t="s">
        <v>788</v>
      </c>
      <c r="J7344" s="380" t="s">
        <v>773</v>
      </c>
      <c r="K7344" s="381">
        <v>0.0</v>
      </c>
      <c r="L7344" s="382">
        <v>1.0</v>
      </c>
    </row>
    <row r="7345">
      <c r="A7345" s="380" t="s">
        <v>8219</v>
      </c>
      <c r="B7345" s="380" t="str">
        <f>IFERROR(__xludf.DUMMYFUNCTION("""COMPUTED_VALUE"""),"Campana Freno Del Isx 16.5""X5"" 2605076C1")</f>
        <v>Campana Freno Del Isx 16.5"X5" 2605076C1</v>
      </c>
      <c r="C7345" s="380" t="str">
        <f>IFERROR(__xludf.DUMMYFUNCTION("""COMPUTED_VALUE"""),"70002757")</f>
        <v>70002757</v>
      </c>
      <c r="D7345" s="380" t="s">
        <v>767</v>
      </c>
      <c r="E7345" s="380" t="s">
        <v>786</v>
      </c>
      <c r="F7345" s="380" t="s">
        <v>1017</v>
      </c>
      <c r="G7345" s="380" t="s">
        <v>1267</v>
      </c>
      <c r="H7345" s="380" t="s">
        <v>771</v>
      </c>
      <c r="I7345" s="380" t="s">
        <v>788</v>
      </c>
      <c r="J7345" s="380" t="s">
        <v>773</v>
      </c>
      <c r="K7345" s="381">
        <v>0.0</v>
      </c>
      <c r="L7345" s="382">
        <v>1.0</v>
      </c>
    </row>
    <row r="7346">
      <c r="A7346" s="380" t="s">
        <v>8220</v>
      </c>
      <c r="B7346" s="380" t="str">
        <f>IFERROR(__xludf.DUMMYFUNCTION("""COMPUTED_VALUE"""),"Prensa Clutch Moto 3w180 7010235551")</f>
        <v>Prensa Clutch Moto 3w180 7010235551</v>
      </c>
      <c r="C7346" s="380" t="str">
        <f>IFERROR(__xludf.DUMMYFUNCTION("""COMPUTED_VALUE"""),"70002758")</f>
        <v>70002758</v>
      </c>
      <c r="D7346" s="380" t="s">
        <v>767</v>
      </c>
      <c r="E7346" s="380" t="s">
        <v>786</v>
      </c>
      <c r="F7346" s="380" t="s">
        <v>5661</v>
      </c>
      <c r="G7346" s="380" t="s">
        <v>1267</v>
      </c>
      <c r="H7346" s="380" t="s">
        <v>771</v>
      </c>
      <c r="I7346" s="380" t="s">
        <v>788</v>
      </c>
      <c r="J7346" s="380" t="s">
        <v>773</v>
      </c>
      <c r="K7346" s="381">
        <v>0.0</v>
      </c>
      <c r="L7346" s="382">
        <v>1.0</v>
      </c>
    </row>
    <row r="7347">
      <c r="A7347" s="380" t="s">
        <v>8221</v>
      </c>
      <c r="B7347" s="380" t="str">
        <f>IFERROR(__xludf.DUMMYFUNCTION("""COMPUTED_VALUE"""),"Modulo Cont Ecm 8981189434 FRR8981818280")</f>
        <v>Modulo Cont Ecm 8981189434 FRR8981818280</v>
      </c>
      <c r="C7347" s="380" t="str">
        <f>IFERROR(__xludf.DUMMYFUNCTION("""COMPUTED_VALUE"""),"70002759")</f>
        <v>70002759</v>
      </c>
      <c r="D7347" s="380" t="s">
        <v>767</v>
      </c>
      <c r="E7347" s="380" t="s">
        <v>786</v>
      </c>
      <c r="F7347" s="380" t="s">
        <v>787</v>
      </c>
      <c r="G7347" s="380" t="s">
        <v>1267</v>
      </c>
      <c r="H7347" s="380" t="s">
        <v>771</v>
      </c>
      <c r="I7347" s="380" t="s">
        <v>788</v>
      </c>
      <c r="J7347" s="380" t="s">
        <v>773</v>
      </c>
      <c r="K7347" s="381">
        <v>8358333.0</v>
      </c>
      <c r="L7347" s="382">
        <v>1.0</v>
      </c>
    </row>
    <row r="7348">
      <c r="A7348" s="380" t="s">
        <v>8222</v>
      </c>
      <c r="B7348" s="380" t="str">
        <f>IFERROR(__xludf.DUMMYFUNCTION("""COMPUTED_VALUE"""),"Enflanche Card Cruceta Nkr Rewar C3-2631")</f>
        <v>Enflanche Card Cruceta Nkr Rewar C3-2631</v>
      </c>
      <c r="C7348" s="380" t="str">
        <f>IFERROR(__xludf.DUMMYFUNCTION("""COMPUTED_VALUE"""),"70002760")</f>
        <v>70002760</v>
      </c>
      <c r="D7348" s="380" t="s">
        <v>767</v>
      </c>
      <c r="E7348" s="380" t="s">
        <v>786</v>
      </c>
      <c r="F7348" s="380" t="s">
        <v>5683</v>
      </c>
      <c r="G7348" s="380" t="s">
        <v>1267</v>
      </c>
      <c r="H7348" s="380" t="s">
        <v>771</v>
      </c>
      <c r="I7348" s="380" t="s">
        <v>788</v>
      </c>
      <c r="J7348" s="380" t="s">
        <v>773</v>
      </c>
      <c r="K7348" s="381">
        <v>0.0</v>
      </c>
      <c r="L7348" s="382">
        <v>1.0</v>
      </c>
    </row>
    <row r="7349">
      <c r="A7349" s="380" t="s">
        <v>8223</v>
      </c>
      <c r="B7349" s="380" t="str">
        <f>IFERROR(__xludf.DUMMYFUNCTION("""COMPUTED_VALUE"""),"Percha Delantera")</f>
        <v>Percha Delantera</v>
      </c>
      <c r="C7349" s="380" t="str">
        <f>IFERROR(__xludf.DUMMYFUNCTION("""COMPUTED_VALUE"""),"70002761")</f>
        <v>70002761</v>
      </c>
      <c r="D7349" s="380" t="s">
        <v>767</v>
      </c>
      <c r="E7349" s="380" t="s">
        <v>786</v>
      </c>
      <c r="F7349" s="380" t="s">
        <v>1039</v>
      </c>
      <c r="G7349" s="380" t="s">
        <v>1267</v>
      </c>
      <c r="H7349" s="380" t="s">
        <v>771</v>
      </c>
      <c r="I7349" s="380" t="s">
        <v>788</v>
      </c>
      <c r="J7349" s="380" t="s">
        <v>773</v>
      </c>
      <c r="K7349" s="381">
        <v>0.0</v>
      </c>
      <c r="L7349" s="382">
        <v>1.0</v>
      </c>
    </row>
    <row r="7350">
      <c r="A7350" s="380" t="s">
        <v>8224</v>
      </c>
      <c r="B7350" s="380" t="str">
        <f>IFERROR(__xludf.DUMMYFUNCTION("""COMPUTED_VALUE"""),"Botella Cardan Tipo Nuevo Kw 2505531XSP")</f>
        <v>Botella Cardan Tipo Nuevo Kw 2505531XSP</v>
      </c>
      <c r="C7350" s="380" t="str">
        <f>IFERROR(__xludf.DUMMYFUNCTION("""COMPUTED_VALUE"""),"70002762")</f>
        <v>70002762</v>
      </c>
      <c r="D7350" s="380" t="s">
        <v>767</v>
      </c>
      <c r="E7350" s="380" t="s">
        <v>786</v>
      </c>
      <c r="F7350" s="380" t="s">
        <v>5683</v>
      </c>
      <c r="G7350" s="380" t="s">
        <v>1267</v>
      </c>
      <c r="H7350" s="380" t="s">
        <v>771</v>
      </c>
      <c r="I7350" s="380" t="s">
        <v>788</v>
      </c>
      <c r="J7350" s="380" t="s">
        <v>773</v>
      </c>
      <c r="K7350" s="381">
        <v>0.0</v>
      </c>
      <c r="L7350" s="382">
        <v>1.0</v>
      </c>
    </row>
    <row r="7351">
      <c r="A7351" s="380" t="s">
        <v>8225</v>
      </c>
      <c r="B7351" s="380" t="str">
        <f>IFERROR(__xludf.DUMMYFUNCTION("""COMPUTED_VALUE"""),"Espiga Card T Nuevo SPL250 Kw 2508221XSP")</f>
        <v>Espiga Card T Nuevo SPL250 Kw 2508221XSP</v>
      </c>
      <c r="C7351" s="380" t="str">
        <f>IFERROR(__xludf.DUMMYFUNCTION("""COMPUTED_VALUE"""),"70002763")</f>
        <v>70002763</v>
      </c>
      <c r="D7351" s="380" t="s">
        <v>767</v>
      </c>
      <c r="E7351" s="380" t="s">
        <v>786</v>
      </c>
      <c r="F7351" s="380" t="s">
        <v>5683</v>
      </c>
      <c r="G7351" s="380" t="s">
        <v>1267</v>
      </c>
      <c r="H7351" s="380" t="s">
        <v>771</v>
      </c>
      <c r="I7351" s="380" t="s">
        <v>788</v>
      </c>
      <c r="J7351" s="380" t="s">
        <v>773</v>
      </c>
      <c r="K7351" s="381">
        <v>0.0</v>
      </c>
      <c r="L7351" s="382">
        <v>1.0</v>
      </c>
    </row>
    <row r="7352">
      <c r="A7352" s="380" t="s">
        <v>8226</v>
      </c>
      <c r="B7352" s="380" t="str">
        <f>IFERROR(__xludf.DUMMYFUNCTION("""COMPUTED_VALUE"""),"Filtro Comb Ppal Motor Hino 23355EV012")</f>
        <v>Filtro Comb Ppal Motor Hino 23355EV012</v>
      </c>
      <c r="C7352" s="380" t="str">
        <f>IFERROR(__xludf.DUMMYFUNCTION("""COMPUTED_VALUE"""),"70002764")</f>
        <v>70002764</v>
      </c>
      <c r="D7352" s="380" t="s">
        <v>767</v>
      </c>
      <c r="E7352" s="380" t="s">
        <v>786</v>
      </c>
      <c r="F7352" s="380" t="s">
        <v>5855</v>
      </c>
      <c r="G7352" s="380" t="s">
        <v>1267</v>
      </c>
      <c r="H7352" s="380" t="s">
        <v>771</v>
      </c>
      <c r="I7352" s="380" t="s">
        <v>788</v>
      </c>
      <c r="J7352" s="380" t="s">
        <v>773</v>
      </c>
      <c r="K7352" s="381">
        <v>0.0</v>
      </c>
      <c r="L7352" s="382">
        <v>1.0</v>
      </c>
    </row>
    <row r="7353">
      <c r="A7353" s="380" t="s">
        <v>8227</v>
      </c>
      <c r="B7353" s="380" t="str">
        <f>IFERROR(__xludf.DUMMYFUNCTION("""COMPUTED_VALUE"""),"Filtro Aceite Motor Hino 15613 EV015")</f>
        <v>Filtro Aceite Motor Hino 15613 EV015</v>
      </c>
      <c r="C7353" s="380" t="str">
        <f>IFERROR(__xludf.DUMMYFUNCTION("""COMPUTED_VALUE"""),"70002765")</f>
        <v>70002765</v>
      </c>
      <c r="D7353" s="380" t="s">
        <v>767</v>
      </c>
      <c r="E7353" s="380" t="s">
        <v>786</v>
      </c>
      <c r="F7353" s="380" t="s">
        <v>5855</v>
      </c>
      <c r="G7353" s="380" t="s">
        <v>1267</v>
      </c>
      <c r="H7353" s="380" t="s">
        <v>771</v>
      </c>
      <c r="I7353" s="380" t="s">
        <v>788</v>
      </c>
      <c r="J7353" s="380" t="s">
        <v>773</v>
      </c>
      <c r="K7353" s="381">
        <v>111855.0</v>
      </c>
      <c r="L7353" s="382">
        <v>1.0</v>
      </c>
    </row>
    <row r="7354">
      <c r="A7354" s="380" t="s">
        <v>8228</v>
      </c>
      <c r="B7354" s="380" t="str">
        <f>IFERROR(__xludf.DUMMYFUNCTION("""COMPUTED_VALUE"""),"Caña Direccion Prostar 3825664C91")</f>
        <v>Caña Direccion Prostar 3825664C91</v>
      </c>
      <c r="C7354" s="380" t="str">
        <f>IFERROR(__xludf.DUMMYFUNCTION("""COMPUTED_VALUE"""),"70002766")</f>
        <v>70002766</v>
      </c>
      <c r="D7354" s="380" t="s">
        <v>767</v>
      </c>
      <c r="E7354" s="380" t="s">
        <v>786</v>
      </c>
      <c r="F7354" s="380" t="s">
        <v>1020</v>
      </c>
      <c r="G7354" s="380" t="s">
        <v>1267</v>
      </c>
      <c r="H7354" s="380" t="s">
        <v>771</v>
      </c>
      <c r="I7354" s="380" t="s">
        <v>788</v>
      </c>
      <c r="J7354" s="380" t="s">
        <v>773</v>
      </c>
      <c r="K7354" s="381">
        <v>0.0</v>
      </c>
      <c r="L7354" s="382">
        <v>1.0</v>
      </c>
    </row>
    <row r="7355">
      <c r="A7355" s="380" t="s">
        <v>8229</v>
      </c>
      <c r="B7355" s="380" t="str">
        <f>IFERROR(__xludf.DUMMYFUNCTION("""COMPUTED_VALUE"""),"Modulo Control Nkr Reward 8980660505")</f>
        <v>Modulo Control Nkr Reward 8980660505</v>
      </c>
      <c r="C7355" s="380" t="str">
        <f>IFERROR(__xludf.DUMMYFUNCTION("""COMPUTED_VALUE"""),"70002767")</f>
        <v>70002767</v>
      </c>
      <c r="D7355" s="380" t="s">
        <v>767</v>
      </c>
      <c r="E7355" s="380" t="s">
        <v>786</v>
      </c>
      <c r="F7355" s="380" t="s">
        <v>787</v>
      </c>
      <c r="G7355" s="380" t="s">
        <v>1267</v>
      </c>
      <c r="H7355" s="380" t="s">
        <v>771</v>
      </c>
      <c r="I7355" s="380" t="s">
        <v>788</v>
      </c>
      <c r="J7355" s="380" t="s">
        <v>773</v>
      </c>
      <c r="K7355" s="381">
        <v>0.0</v>
      </c>
      <c r="L7355" s="382">
        <v>1.0</v>
      </c>
    </row>
    <row r="7356">
      <c r="A7356" s="380" t="s">
        <v>8230</v>
      </c>
      <c r="B7356" s="380" t="str">
        <f>IFERROR(__xludf.DUMMYFUNCTION("""COMPUTED_VALUE"""),"Sensor Posicion Motor R Master7701477748")</f>
        <v>Sensor Posicion Motor R Master7701477748</v>
      </c>
      <c r="C7356" s="380" t="str">
        <f>IFERROR(__xludf.DUMMYFUNCTION("""COMPUTED_VALUE"""),"70002768")</f>
        <v>70002768</v>
      </c>
      <c r="D7356" s="380" t="s">
        <v>767</v>
      </c>
      <c r="E7356" s="380" t="s">
        <v>786</v>
      </c>
      <c r="F7356" s="380" t="s">
        <v>787</v>
      </c>
      <c r="G7356" s="380" t="s">
        <v>1267</v>
      </c>
      <c r="H7356" s="380" t="s">
        <v>771</v>
      </c>
      <c r="I7356" s="380" t="s">
        <v>788</v>
      </c>
      <c r="J7356" s="380" t="s">
        <v>773</v>
      </c>
      <c r="K7356" s="381">
        <v>0.0</v>
      </c>
      <c r="L7356" s="382">
        <v>1.0</v>
      </c>
    </row>
    <row r="7357">
      <c r="A7357" s="380" t="s">
        <v>8231</v>
      </c>
      <c r="B7357" s="380" t="str">
        <f>IFERROR(__xludf.DUMMYFUNCTION("""COMPUTED_VALUE"""),"Percha Suspension Neumatica Fabricada")</f>
        <v>Percha Suspension Neumatica Fabricada</v>
      </c>
      <c r="C7357" s="380" t="str">
        <f>IFERROR(__xludf.DUMMYFUNCTION("""COMPUTED_VALUE"""),"70002769")</f>
        <v>70002769</v>
      </c>
      <c r="D7357" s="380" t="s">
        <v>767</v>
      </c>
      <c r="E7357" s="380" t="s">
        <v>786</v>
      </c>
      <c r="F7357" s="380" t="s">
        <v>1039</v>
      </c>
      <c r="G7357" s="380" t="s">
        <v>1267</v>
      </c>
      <c r="H7357" s="380" t="s">
        <v>771</v>
      </c>
      <c r="I7357" s="380" t="s">
        <v>788</v>
      </c>
      <c r="J7357" s="380" t="s">
        <v>773</v>
      </c>
      <c r="K7357" s="381">
        <v>0.0</v>
      </c>
      <c r="L7357" s="382">
        <v>1.0</v>
      </c>
    </row>
    <row r="7358">
      <c r="A7358" s="380" t="s">
        <v>8232</v>
      </c>
      <c r="B7358" s="380" t="str">
        <f>IFERROR(__xludf.DUMMYFUNCTION("""COMPUTED_VALUE"""),"Bombin De Motor Volswagen 9052020800")</f>
        <v>Bombin De Motor Volswagen 9052020800</v>
      </c>
      <c r="C7358" s="380" t="str">
        <f>IFERROR(__xludf.DUMMYFUNCTION("""COMPUTED_VALUE"""),"70002770")</f>
        <v>70002770</v>
      </c>
      <c r="D7358" s="380" t="s">
        <v>767</v>
      </c>
      <c r="E7358" s="380" t="s">
        <v>786</v>
      </c>
      <c r="F7358" s="380" t="s">
        <v>787</v>
      </c>
      <c r="G7358" s="380" t="s">
        <v>1267</v>
      </c>
      <c r="H7358" s="380" t="s">
        <v>771</v>
      </c>
      <c r="I7358" s="380" t="s">
        <v>788</v>
      </c>
      <c r="J7358" s="380" t="s">
        <v>773</v>
      </c>
      <c r="K7358" s="381">
        <v>0.0</v>
      </c>
      <c r="L7358" s="382">
        <v>1.0</v>
      </c>
    </row>
    <row r="7359">
      <c r="A7359" s="380" t="s">
        <v>8233</v>
      </c>
      <c r="B7359" s="380" t="str">
        <f>IFERROR(__xludf.DUMMYFUNCTION("""COMPUTED_VALUE"""),"Perilla Seguro Puerta Hi Fabricado")</f>
        <v>Perilla Seguro Puerta Hi Fabricado</v>
      </c>
      <c r="C7359" s="380" t="str">
        <f>IFERROR(__xludf.DUMMYFUNCTION("""COMPUTED_VALUE"""),"70002771")</f>
        <v>70002771</v>
      </c>
      <c r="D7359" s="380" t="s">
        <v>767</v>
      </c>
      <c r="E7359" s="380" t="s">
        <v>786</v>
      </c>
      <c r="F7359" s="380" t="s">
        <v>792</v>
      </c>
      <c r="G7359" s="380" t="s">
        <v>1267</v>
      </c>
      <c r="H7359" s="380" t="s">
        <v>771</v>
      </c>
      <c r="I7359" s="380" t="s">
        <v>788</v>
      </c>
      <c r="J7359" s="380" t="s">
        <v>773</v>
      </c>
      <c r="K7359" s="381">
        <v>0.0</v>
      </c>
      <c r="L7359" s="382">
        <v>1.0</v>
      </c>
    </row>
    <row r="7360">
      <c r="A7360" s="380" t="s">
        <v>8234</v>
      </c>
      <c r="B7360" s="380" t="str">
        <f>IFERROR(__xludf.DUMMYFUNCTION("""COMPUTED_VALUE"""),"Soporte Cabina Trasero Nkr 8970353103")</f>
        <v>Soporte Cabina Trasero Nkr 8970353103</v>
      </c>
      <c r="C7360" s="380" t="str">
        <f>IFERROR(__xludf.DUMMYFUNCTION("""COMPUTED_VALUE"""),"70002772")</f>
        <v>70002772</v>
      </c>
      <c r="D7360" s="380" t="s">
        <v>767</v>
      </c>
      <c r="E7360" s="380" t="s">
        <v>786</v>
      </c>
      <c r="F7360" s="380" t="s">
        <v>792</v>
      </c>
      <c r="G7360" s="380" t="s">
        <v>1267</v>
      </c>
      <c r="H7360" s="380" t="s">
        <v>771</v>
      </c>
      <c r="I7360" s="380" t="s">
        <v>788</v>
      </c>
      <c r="J7360" s="380" t="s">
        <v>773</v>
      </c>
      <c r="K7360" s="381">
        <v>0.0</v>
      </c>
      <c r="L7360" s="382">
        <v>1.0</v>
      </c>
    </row>
    <row r="7361">
      <c r="A7361" s="380" t="s">
        <v>8235</v>
      </c>
      <c r="B7361" s="380" t="str">
        <f>IFERROR(__xludf.DUMMYFUNCTION("""COMPUTED_VALUE"""),"Carter Aceit Motor Isx 3690567")</f>
        <v>Carter Aceit Motor Isx 3690567</v>
      </c>
      <c r="C7361" s="380" t="str">
        <f>IFERROR(__xludf.DUMMYFUNCTION("""COMPUTED_VALUE"""),"70002773")</f>
        <v>70002773</v>
      </c>
      <c r="D7361" s="380" t="s">
        <v>767</v>
      </c>
      <c r="E7361" s="380" t="s">
        <v>786</v>
      </c>
      <c r="F7361" s="380" t="s">
        <v>787</v>
      </c>
      <c r="G7361" s="380" t="s">
        <v>1267</v>
      </c>
      <c r="H7361" s="380" t="s">
        <v>771</v>
      </c>
      <c r="I7361" s="380" t="s">
        <v>788</v>
      </c>
      <c r="J7361" s="380" t="s">
        <v>773</v>
      </c>
      <c r="K7361" s="381">
        <v>0.0</v>
      </c>
      <c r="L7361" s="382">
        <v>1.0</v>
      </c>
    </row>
    <row r="7362">
      <c r="A7362" s="380" t="s">
        <v>8236</v>
      </c>
      <c r="B7362" s="380" t="str">
        <f>IFERROR(__xludf.DUMMYFUNCTION("""COMPUTED_VALUE"""),"Filtro Aceite Nhr Sin Turbo 8973299420")</f>
        <v>Filtro Aceite Nhr Sin Turbo 8973299420</v>
      </c>
      <c r="C7362" s="380" t="str">
        <f>IFERROR(__xludf.DUMMYFUNCTION("""COMPUTED_VALUE"""),"70002774")</f>
        <v>70002774</v>
      </c>
      <c r="D7362" s="380" t="s">
        <v>767</v>
      </c>
      <c r="E7362" s="380" t="s">
        <v>786</v>
      </c>
      <c r="F7362" s="380" t="s">
        <v>5855</v>
      </c>
      <c r="G7362" s="380" t="s">
        <v>1267</v>
      </c>
      <c r="H7362" s="380" t="s">
        <v>771</v>
      </c>
      <c r="I7362" s="380" t="s">
        <v>788</v>
      </c>
      <c r="J7362" s="380" t="s">
        <v>773</v>
      </c>
      <c r="K7362" s="381">
        <v>0.0</v>
      </c>
      <c r="L7362" s="382">
        <v>1.0</v>
      </c>
    </row>
    <row r="7363">
      <c r="A7363" s="380" t="s">
        <v>8237</v>
      </c>
      <c r="B7363" s="380" t="str">
        <f>IFERROR(__xludf.DUMMYFUNCTION("""COMPUTED_VALUE"""),"Filtro Aceite Npr Original 1876100570")</f>
        <v>Filtro Aceite Npr Original 1876100570</v>
      </c>
      <c r="C7363" s="380" t="str">
        <f>IFERROR(__xludf.DUMMYFUNCTION("""COMPUTED_VALUE"""),"70002775")</f>
        <v>70002775</v>
      </c>
      <c r="D7363" s="380" t="s">
        <v>767</v>
      </c>
      <c r="E7363" s="380" t="s">
        <v>786</v>
      </c>
      <c r="F7363" s="380" t="s">
        <v>5855</v>
      </c>
      <c r="G7363" s="380" t="s">
        <v>1267</v>
      </c>
      <c r="H7363" s="380" t="s">
        <v>771</v>
      </c>
      <c r="I7363" s="380" t="s">
        <v>788</v>
      </c>
      <c r="J7363" s="380" t="s">
        <v>773</v>
      </c>
      <c r="K7363" s="381">
        <v>0.0</v>
      </c>
      <c r="L7363" s="382">
        <v>1.0</v>
      </c>
    </row>
    <row r="7364">
      <c r="A7364" s="380" t="s">
        <v>8238</v>
      </c>
      <c r="B7364" s="380" t="str">
        <f>IFERROR(__xludf.DUMMYFUNCTION("""COMPUTED_VALUE"""),"Kit Sop Cardan Spicer Nkr Npr 230119K-1X")</f>
        <v>Kit Sop Cardan Spicer Nkr Npr 230119K-1X</v>
      </c>
      <c r="C7364" s="380" t="str">
        <f>IFERROR(__xludf.DUMMYFUNCTION("""COMPUTED_VALUE"""),"70002776")</f>
        <v>70002776</v>
      </c>
      <c r="D7364" s="380" t="s">
        <v>767</v>
      </c>
      <c r="E7364" s="380" t="s">
        <v>786</v>
      </c>
      <c r="F7364" s="380" t="s">
        <v>5683</v>
      </c>
      <c r="G7364" s="380" t="s">
        <v>1267</v>
      </c>
      <c r="H7364" s="380" t="s">
        <v>771</v>
      </c>
      <c r="I7364" s="380" t="s">
        <v>788</v>
      </c>
      <c r="J7364" s="380" t="s">
        <v>773</v>
      </c>
      <c r="K7364" s="381">
        <v>189057.0</v>
      </c>
      <c r="L7364" s="382">
        <v>1.0</v>
      </c>
    </row>
    <row r="7365">
      <c r="A7365" s="380" t="s">
        <v>8239</v>
      </c>
      <c r="B7365" s="380" t="str">
        <f>IFERROR(__xludf.DUMMYFUNCTION("""COMPUTED_VALUE"""),"Filtro Aire Motor T Sahara 1780117020")</f>
        <v>Filtro Aire Motor T Sahara 1780117020</v>
      </c>
      <c r="C7365" s="380" t="str">
        <f>IFERROR(__xludf.DUMMYFUNCTION("""COMPUTED_VALUE"""),"70002777")</f>
        <v>70002777</v>
      </c>
      <c r="D7365" s="380" t="s">
        <v>767</v>
      </c>
      <c r="E7365" s="380" t="s">
        <v>786</v>
      </c>
      <c r="F7365" s="380" t="s">
        <v>5855</v>
      </c>
      <c r="G7365" s="380" t="s">
        <v>1267</v>
      </c>
      <c r="H7365" s="380" t="s">
        <v>771</v>
      </c>
      <c r="I7365" s="380" t="s">
        <v>788</v>
      </c>
      <c r="J7365" s="380" t="s">
        <v>773</v>
      </c>
      <c r="K7365" s="381">
        <v>0.0</v>
      </c>
      <c r="L7365" s="382">
        <v>1.0</v>
      </c>
    </row>
    <row r="7366">
      <c r="A7366" s="380" t="s">
        <v>8240</v>
      </c>
      <c r="B7366" s="380" t="str">
        <f>IFERROR(__xludf.DUMMYFUNCTION("""COMPUTED_VALUE"""),"Sensor Temperat Reloj Nkr-Nhr 8943685910")</f>
        <v>Sensor Temperat Reloj Nkr-Nhr 8943685910</v>
      </c>
      <c r="C7366" s="380" t="str">
        <f>IFERROR(__xludf.DUMMYFUNCTION("""COMPUTED_VALUE"""),"70002778")</f>
        <v>70002778</v>
      </c>
      <c r="D7366" s="380" t="s">
        <v>767</v>
      </c>
      <c r="E7366" s="380" t="s">
        <v>786</v>
      </c>
      <c r="F7366" s="380" t="s">
        <v>787</v>
      </c>
      <c r="G7366" s="380" t="s">
        <v>1267</v>
      </c>
      <c r="H7366" s="380" t="s">
        <v>771</v>
      </c>
      <c r="I7366" s="380" t="s">
        <v>788</v>
      </c>
      <c r="J7366" s="380" t="s">
        <v>773</v>
      </c>
      <c r="K7366" s="381">
        <v>0.0</v>
      </c>
      <c r="L7366" s="382">
        <v>1.0</v>
      </c>
    </row>
    <row r="7367">
      <c r="A7367" s="380" t="s">
        <v>8241</v>
      </c>
      <c r="B7367" s="380" t="str">
        <f>IFERROR(__xludf.DUMMYFUNCTION("""COMPUTED_VALUE"""),"Filtro Aceite N 200 52077411")</f>
        <v>Filtro Aceite N 200 52077411</v>
      </c>
      <c r="C7367" s="380" t="str">
        <f>IFERROR(__xludf.DUMMYFUNCTION("""COMPUTED_VALUE"""),"70002779")</f>
        <v>70002779</v>
      </c>
      <c r="D7367" s="380" t="s">
        <v>767</v>
      </c>
      <c r="E7367" s="380" t="s">
        <v>786</v>
      </c>
      <c r="F7367" s="380" t="s">
        <v>5855</v>
      </c>
      <c r="G7367" s="380" t="s">
        <v>1267</v>
      </c>
      <c r="H7367" s="380" t="s">
        <v>771</v>
      </c>
      <c r="I7367" s="380" t="s">
        <v>788</v>
      </c>
      <c r="J7367" s="380" t="s">
        <v>773</v>
      </c>
      <c r="K7367" s="381">
        <v>13943.0</v>
      </c>
      <c r="L7367" s="382">
        <v>1.0</v>
      </c>
    </row>
    <row r="7368">
      <c r="A7368" s="380" t="s">
        <v>8242</v>
      </c>
      <c r="B7368" s="380" t="str">
        <f>IFERROR(__xludf.DUMMYFUNCTION("""COMPUTED_VALUE"""),"Limpiador Cuerpo Aceleracion AXLCA400")</f>
        <v>Limpiador Cuerpo Aceleracion AXLCA400</v>
      </c>
      <c r="C7368" s="380" t="str">
        <f>IFERROR(__xludf.DUMMYFUNCTION("""COMPUTED_VALUE"""),"70002780")</f>
        <v>70002780</v>
      </c>
      <c r="D7368" s="380" t="s">
        <v>767</v>
      </c>
      <c r="E7368" s="380" t="s">
        <v>786</v>
      </c>
      <c r="F7368" s="380" t="s">
        <v>787</v>
      </c>
      <c r="G7368" s="380" t="s">
        <v>1267</v>
      </c>
      <c r="H7368" s="380" t="s">
        <v>771</v>
      </c>
      <c r="I7368" s="380" t="s">
        <v>788</v>
      </c>
      <c r="J7368" s="380" t="s">
        <v>773</v>
      </c>
      <c r="K7368" s="381">
        <v>0.0</v>
      </c>
      <c r="L7368" s="382">
        <v>1.0</v>
      </c>
    </row>
    <row r="7369">
      <c r="A7369" s="380" t="s">
        <v>8243</v>
      </c>
      <c r="B7369" s="380" t="str">
        <f>IFERROR(__xludf.DUMMYFUNCTION("""COMPUTED_VALUE"""),"Limpiador Inyectores Artlux Nimexu03Q9")</f>
        <v>Limpiador Inyectores Artlux Nimexu03Q9</v>
      </c>
      <c r="C7369" s="380" t="str">
        <f>IFERROR(__xludf.DUMMYFUNCTION("""COMPUTED_VALUE"""),"70002781")</f>
        <v>70002781</v>
      </c>
      <c r="D7369" s="380" t="s">
        <v>767</v>
      </c>
      <c r="E7369" s="380" t="s">
        <v>786</v>
      </c>
      <c r="F7369" s="380" t="s">
        <v>787</v>
      </c>
      <c r="G7369" s="380" t="s">
        <v>1267</v>
      </c>
      <c r="H7369" s="380" t="s">
        <v>771</v>
      </c>
      <c r="I7369" s="380" t="s">
        <v>788</v>
      </c>
      <c r="J7369" s="380" t="s">
        <v>773</v>
      </c>
      <c r="K7369" s="381">
        <v>0.0</v>
      </c>
      <c r="L7369" s="382">
        <v>1.0</v>
      </c>
    </row>
    <row r="7370">
      <c r="A7370" s="380" t="s">
        <v>8244</v>
      </c>
      <c r="B7370" s="380" t="str">
        <f>IFERROR(__xludf.DUMMYFUNCTION("""COMPUTED_VALUE"""),"Brazo Valvula Suspension Eag 1699069C1")</f>
        <v>Brazo Valvula Suspension Eag 1699069C1</v>
      </c>
      <c r="C7370" s="380" t="str">
        <f>IFERROR(__xludf.DUMMYFUNCTION("""COMPUTED_VALUE"""),"70002782")</f>
        <v>70002782</v>
      </c>
      <c r="D7370" s="380" t="s">
        <v>767</v>
      </c>
      <c r="E7370" s="380" t="s">
        <v>786</v>
      </c>
      <c r="F7370" s="380" t="s">
        <v>792</v>
      </c>
      <c r="G7370" s="380" t="s">
        <v>1267</v>
      </c>
      <c r="H7370" s="380" t="s">
        <v>771</v>
      </c>
      <c r="I7370" s="380" t="s">
        <v>788</v>
      </c>
      <c r="J7370" s="380" t="s">
        <v>773</v>
      </c>
      <c r="K7370" s="381">
        <v>0.0</v>
      </c>
      <c r="L7370" s="382">
        <v>1.0</v>
      </c>
    </row>
    <row r="7371">
      <c r="A7371" s="380" t="s">
        <v>8245</v>
      </c>
      <c r="B7371" s="380" t="str">
        <f>IFERROR(__xludf.DUMMYFUNCTION("""COMPUTED_VALUE"""),"Lampara Led 4"" Emp Caucho 12v 1007")</f>
        <v>Lampara Led 4" Emp Caucho 12v 1007</v>
      </c>
      <c r="C7371" s="380" t="str">
        <f>IFERROR(__xludf.DUMMYFUNCTION("""COMPUTED_VALUE"""),"70002783")</f>
        <v>70002783</v>
      </c>
      <c r="D7371" s="380" t="s">
        <v>767</v>
      </c>
      <c r="E7371" s="380" t="s">
        <v>786</v>
      </c>
      <c r="F7371" s="380" t="s">
        <v>998</v>
      </c>
      <c r="G7371" s="380" t="s">
        <v>1267</v>
      </c>
      <c r="H7371" s="380" t="s">
        <v>771</v>
      </c>
      <c r="I7371" s="380" t="s">
        <v>788</v>
      </c>
      <c r="J7371" s="380" t="s">
        <v>773</v>
      </c>
      <c r="K7371" s="381">
        <v>38437.0</v>
      </c>
      <c r="L7371" s="382">
        <v>1.0</v>
      </c>
    </row>
    <row r="7372">
      <c r="A7372" s="380" t="s">
        <v>8246</v>
      </c>
      <c r="B7372" s="380" t="str">
        <f>IFERROR(__xludf.DUMMYFUNCTION("""COMPUTED_VALUE"""),"Kit Reparacion Mayor Cja Dir Eagle S1730")</f>
        <v>Kit Reparacion Mayor Cja Dir Eagle S1730</v>
      </c>
      <c r="C7372" s="380" t="str">
        <f>IFERROR(__xludf.DUMMYFUNCTION("""COMPUTED_VALUE"""),"70002784")</f>
        <v>70002784</v>
      </c>
      <c r="D7372" s="380" t="s">
        <v>767</v>
      </c>
      <c r="E7372" s="380" t="s">
        <v>786</v>
      </c>
      <c r="F7372" s="380" t="s">
        <v>1020</v>
      </c>
      <c r="G7372" s="380" t="s">
        <v>1267</v>
      </c>
      <c r="H7372" s="380" t="s">
        <v>771</v>
      </c>
      <c r="I7372" s="380" t="s">
        <v>788</v>
      </c>
      <c r="J7372" s="380" t="s">
        <v>773</v>
      </c>
      <c r="K7372" s="381">
        <v>0.0</v>
      </c>
      <c r="L7372" s="382">
        <v>1.0</v>
      </c>
    </row>
    <row r="7373">
      <c r="A7373" s="380" t="s">
        <v>8247</v>
      </c>
      <c r="B7373" s="380" t="str">
        <f>IFERROR(__xludf.DUMMYFUNCTION("""COMPUTED_VALUE"""),"Motor Arranque Volkswagen 12V29MT10D")</f>
        <v>Motor Arranque Volkswagen 12V29MT10D</v>
      </c>
      <c r="C7373" s="380" t="str">
        <f>IFERROR(__xludf.DUMMYFUNCTION("""COMPUTED_VALUE"""),"70002785")</f>
        <v>70002785</v>
      </c>
      <c r="D7373" s="380" t="s">
        <v>767</v>
      </c>
      <c r="E7373" s="380" t="s">
        <v>786</v>
      </c>
      <c r="F7373" s="380" t="s">
        <v>998</v>
      </c>
      <c r="G7373" s="380" t="s">
        <v>1267</v>
      </c>
      <c r="H7373" s="380" t="s">
        <v>771</v>
      </c>
      <c r="I7373" s="380" t="s">
        <v>788</v>
      </c>
      <c r="J7373" s="380" t="s">
        <v>773</v>
      </c>
      <c r="K7373" s="381">
        <v>0.0</v>
      </c>
      <c r="L7373" s="382">
        <v>1.0</v>
      </c>
    </row>
    <row r="7374">
      <c r="A7374" s="380" t="s">
        <v>8248</v>
      </c>
      <c r="B7374" s="380" t="str">
        <f>IFERROR(__xludf.DUMMYFUNCTION("""COMPUTED_VALUE"""),"Amortiguador Delantero Nkr-Rew 98085709")</f>
        <v>Amortiguador Delantero Nkr-Rew 98085709</v>
      </c>
      <c r="C7374" s="380" t="str">
        <f>IFERROR(__xludf.DUMMYFUNCTION("""COMPUTED_VALUE"""),"70002786")</f>
        <v>70002786</v>
      </c>
      <c r="D7374" s="380" t="s">
        <v>767</v>
      </c>
      <c r="E7374" s="380" t="s">
        <v>786</v>
      </c>
      <c r="F7374" s="380" t="s">
        <v>1039</v>
      </c>
      <c r="G7374" s="380" t="s">
        <v>1267</v>
      </c>
      <c r="H7374" s="380" t="s">
        <v>771</v>
      </c>
      <c r="I7374" s="380" t="s">
        <v>788</v>
      </c>
      <c r="J7374" s="380" t="s">
        <v>773</v>
      </c>
      <c r="K7374" s="381">
        <v>0.0</v>
      </c>
      <c r="L7374" s="382">
        <v>1.0</v>
      </c>
    </row>
    <row r="7375">
      <c r="A7375" s="380" t="s">
        <v>8249</v>
      </c>
      <c r="B7375" s="380" t="str">
        <f>IFERROR(__xludf.DUMMYFUNCTION("""COMPUTED_VALUE"""),"Filtro Comb Sec Motor Hino 23304-EV052")</f>
        <v>Filtro Comb Sec Motor Hino 23304-EV052</v>
      </c>
      <c r="C7375" s="380" t="str">
        <f>IFERROR(__xludf.DUMMYFUNCTION("""COMPUTED_VALUE"""),"70002787")</f>
        <v>70002787</v>
      </c>
      <c r="D7375" s="380" t="s">
        <v>767</v>
      </c>
      <c r="E7375" s="380" t="s">
        <v>786</v>
      </c>
      <c r="F7375" s="380" t="s">
        <v>5855</v>
      </c>
      <c r="G7375" s="380" t="s">
        <v>1267</v>
      </c>
      <c r="H7375" s="380" t="s">
        <v>771</v>
      </c>
      <c r="I7375" s="380" t="s">
        <v>788</v>
      </c>
      <c r="J7375" s="380" t="s">
        <v>773</v>
      </c>
      <c r="K7375" s="381">
        <v>55921.0</v>
      </c>
      <c r="L7375" s="382">
        <v>1.0</v>
      </c>
    </row>
    <row r="7376">
      <c r="A7376" s="380" t="s">
        <v>8250</v>
      </c>
      <c r="B7376" s="380" t="str">
        <f>IFERROR(__xludf.DUMMYFUNCTION("""COMPUTED_VALUE"""),"Cable Conector Luces 7 Vias 200155AKTC")</f>
        <v>Cable Conector Luces 7 Vias 200155AKTC</v>
      </c>
      <c r="C7376" s="380" t="str">
        <f>IFERROR(__xludf.DUMMYFUNCTION("""COMPUTED_VALUE"""),"70002788")</f>
        <v>70002788</v>
      </c>
      <c r="D7376" s="380" t="s">
        <v>767</v>
      </c>
      <c r="E7376" s="380" t="s">
        <v>786</v>
      </c>
      <c r="F7376" s="380" t="s">
        <v>998</v>
      </c>
      <c r="G7376" s="380" t="s">
        <v>1267</v>
      </c>
      <c r="H7376" s="380" t="s">
        <v>771</v>
      </c>
      <c r="I7376" s="380" t="s">
        <v>788</v>
      </c>
      <c r="J7376" s="380" t="s">
        <v>773</v>
      </c>
      <c r="K7376" s="381">
        <v>222530.0</v>
      </c>
      <c r="L7376" s="382">
        <v>1.0</v>
      </c>
    </row>
    <row r="7377">
      <c r="A7377" s="380" t="s">
        <v>8251</v>
      </c>
      <c r="B7377" s="380" t="str">
        <f>IFERROR(__xludf.DUMMYFUNCTION("""COMPUTED_VALUE"""),"Portadiscos Clutch Moto 3w180 7701023555")</f>
        <v>Portadiscos Clutch Moto 3w180 7701023555</v>
      </c>
      <c r="C7377" s="380" t="str">
        <f>IFERROR(__xludf.DUMMYFUNCTION("""COMPUTED_VALUE"""),"70002789")</f>
        <v>70002789</v>
      </c>
      <c r="D7377" s="380" t="s">
        <v>767</v>
      </c>
      <c r="E7377" s="380" t="s">
        <v>786</v>
      </c>
      <c r="F7377" s="380" t="s">
        <v>5661</v>
      </c>
      <c r="G7377" s="380" t="s">
        <v>1267</v>
      </c>
      <c r="H7377" s="380" t="s">
        <v>771</v>
      </c>
      <c r="I7377" s="380" t="s">
        <v>788</v>
      </c>
      <c r="J7377" s="380" t="s">
        <v>773</v>
      </c>
      <c r="K7377" s="381">
        <v>0.0</v>
      </c>
      <c r="L7377" s="382">
        <v>1.0</v>
      </c>
    </row>
    <row r="7378">
      <c r="A7378" s="380" t="s">
        <v>8252</v>
      </c>
      <c r="B7378" s="380" t="str">
        <f>IFERROR(__xludf.DUMMYFUNCTION("""COMPUTED_VALUE"""),"Campana 10h 22cm Trasera 153002MB")</f>
        <v>Campana 10h 22cm Trasera 153002MB</v>
      </c>
      <c r="C7378" s="380" t="str">
        <f>IFERROR(__xludf.DUMMYFUNCTION("""COMPUTED_VALUE"""),"70002790")</f>
        <v>70002790</v>
      </c>
      <c r="D7378" s="380" t="s">
        <v>767</v>
      </c>
      <c r="E7378" s="380" t="s">
        <v>786</v>
      </c>
      <c r="F7378" s="380" t="s">
        <v>1017</v>
      </c>
      <c r="G7378" s="380" t="s">
        <v>1267</v>
      </c>
      <c r="H7378" s="380" t="s">
        <v>771</v>
      </c>
      <c r="I7378" s="380" t="s">
        <v>788</v>
      </c>
      <c r="J7378" s="380" t="s">
        <v>773</v>
      </c>
      <c r="K7378" s="381">
        <v>0.0</v>
      </c>
      <c r="L7378" s="382">
        <v>1.0</v>
      </c>
    </row>
    <row r="7379">
      <c r="A7379" s="380" t="s">
        <v>8253</v>
      </c>
      <c r="B7379" s="380" t="str">
        <f>IFERROR(__xludf.DUMMYFUNCTION("""COMPUTED_VALUE"""),"Amortiguador Trasero Nkr II 95620956")</f>
        <v>Amortiguador Trasero Nkr II 95620956</v>
      </c>
      <c r="C7379" s="380" t="str">
        <f>IFERROR(__xludf.DUMMYFUNCTION("""COMPUTED_VALUE"""),"70002791")</f>
        <v>70002791</v>
      </c>
      <c r="D7379" s="380" t="s">
        <v>767</v>
      </c>
      <c r="E7379" s="380" t="s">
        <v>786</v>
      </c>
      <c r="F7379" s="380" t="s">
        <v>1039</v>
      </c>
      <c r="G7379" s="380" t="s">
        <v>1267</v>
      </c>
      <c r="H7379" s="380" t="s">
        <v>771</v>
      </c>
      <c r="I7379" s="380" t="s">
        <v>788</v>
      </c>
      <c r="J7379" s="380" t="s">
        <v>773</v>
      </c>
      <c r="K7379" s="381">
        <v>0.0</v>
      </c>
      <c r="L7379" s="382">
        <v>1.0</v>
      </c>
    </row>
    <row r="7380">
      <c r="A7380" s="380" t="s">
        <v>8254</v>
      </c>
      <c r="B7380" s="380" t="str">
        <f>IFERROR(__xludf.DUMMYFUNCTION("""COMPUTED_VALUE"""),"Tapa Radia Mot Nkr Nara 108Kpa8971778720")</f>
        <v>Tapa Radia Mot Nkr Nara 108Kpa8971778720</v>
      </c>
      <c r="C7380" s="380" t="str">
        <f>IFERROR(__xludf.DUMMYFUNCTION("""COMPUTED_VALUE"""),"70002792")</f>
        <v>70002792</v>
      </c>
      <c r="D7380" s="380" t="s">
        <v>767</v>
      </c>
      <c r="E7380" s="380" t="s">
        <v>786</v>
      </c>
      <c r="F7380" s="380" t="s">
        <v>787</v>
      </c>
      <c r="G7380" s="380" t="s">
        <v>1267</v>
      </c>
      <c r="H7380" s="380" t="s">
        <v>771</v>
      </c>
      <c r="I7380" s="380" t="s">
        <v>788</v>
      </c>
      <c r="J7380" s="380" t="s">
        <v>773</v>
      </c>
      <c r="K7380" s="381">
        <v>65840.0</v>
      </c>
      <c r="L7380" s="382">
        <v>1.0</v>
      </c>
    </row>
    <row r="7381">
      <c r="A7381" s="380" t="s">
        <v>8255</v>
      </c>
      <c r="B7381" s="380" t="str">
        <f>IFERROR(__xludf.DUMMYFUNCTION("""COMPUTED_VALUE"""),"Guardapolvo Horquilla Embrag 8970348800")</f>
        <v>Guardapolvo Horquilla Embrag 8970348800</v>
      </c>
      <c r="C7381" s="380" t="str">
        <f>IFERROR(__xludf.DUMMYFUNCTION("""COMPUTED_VALUE"""),"70002793")</f>
        <v>70002793</v>
      </c>
      <c r="D7381" s="380" t="s">
        <v>767</v>
      </c>
      <c r="E7381" s="380" t="s">
        <v>786</v>
      </c>
      <c r="F7381" s="380" t="s">
        <v>5661</v>
      </c>
      <c r="G7381" s="380" t="s">
        <v>1267</v>
      </c>
      <c r="H7381" s="380" t="s">
        <v>771</v>
      </c>
      <c r="I7381" s="380" t="s">
        <v>788</v>
      </c>
      <c r="J7381" s="380" t="s">
        <v>773</v>
      </c>
      <c r="K7381" s="381">
        <v>0.0</v>
      </c>
      <c r="L7381" s="382">
        <v>1.0</v>
      </c>
    </row>
    <row r="7382">
      <c r="A7382" s="380" t="s">
        <v>8256</v>
      </c>
      <c r="B7382" s="380" t="str">
        <f>IFERROR(__xludf.DUMMYFUNCTION("""COMPUTED_VALUE"""),"Recibidor Chapa Pta Npr-Delt 8972217020")</f>
        <v>Recibidor Chapa Pta Npr-Delt 8972217020</v>
      </c>
      <c r="C7382" s="380" t="str">
        <f>IFERROR(__xludf.DUMMYFUNCTION("""COMPUTED_VALUE"""),"70002794")</f>
        <v>70002794</v>
      </c>
      <c r="D7382" s="380" t="s">
        <v>767</v>
      </c>
      <c r="E7382" s="380" t="s">
        <v>786</v>
      </c>
      <c r="F7382" s="380" t="s">
        <v>792</v>
      </c>
      <c r="G7382" s="380" t="s">
        <v>1267</v>
      </c>
      <c r="H7382" s="380" t="s">
        <v>771</v>
      </c>
      <c r="I7382" s="380" t="s">
        <v>788</v>
      </c>
      <c r="J7382" s="380" t="s">
        <v>773</v>
      </c>
      <c r="K7382" s="381">
        <v>79527.0</v>
      </c>
      <c r="L7382" s="382">
        <v>1.0</v>
      </c>
    </row>
    <row r="7383">
      <c r="A7383" s="380" t="s">
        <v>8257</v>
      </c>
      <c r="B7383" s="380" t="str">
        <f>IFERROR(__xludf.DUMMYFUNCTION("""COMPUTED_VALUE"""),"Brazo Curvo Direccion 1658095C2")</f>
        <v>Brazo Curvo Direccion 1658095C2</v>
      </c>
      <c r="C7383" s="380" t="str">
        <f>IFERROR(__xludf.DUMMYFUNCTION("""COMPUTED_VALUE"""),"70002795")</f>
        <v>70002795</v>
      </c>
      <c r="D7383" s="380" t="s">
        <v>767</v>
      </c>
      <c r="E7383" s="380" t="s">
        <v>786</v>
      </c>
      <c r="F7383" s="380" t="s">
        <v>1020</v>
      </c>
      <c r="G7383" s="380" t="s">
        <v>1267</v>
      </c>
      <c r="H7383" s="380" t="s">
        <v>771</v>
      </c>
      <c r="I7383" s="380" t="s">
        <v>788</v>
      </c>
      <c r="J7383" s="380" t="s">
        <v>773</v>
      </c>
      <c r="K7383" s="381">
        <v>0.0</v>
      </c>
      <c r="L7383" s="382">
        <v>1.0</v>
      </c>
    </row>
    <row r="7384">
      <c r="A7384" s="380" t="s">
        <v>8258</v>
      </c>
      <c r="B7384" s="380" t="str">
        <f>IFERROR(__xludf.DUMMYFUNCTION("""COMPUTED_VALUE"""),"Bomba Aux Embrague Prostar S970051512")</f>
        <v>Bomba Aux Embrague Prostar S970051512</v>
      </c>
      <c r="C7384" s="380" t="str">
        <f>IFERROR(__xludf.DUMMYFUNCTION("""COMPUTED_VALUE"""),"70002796")</f>
        <v>70002796</v>
      </c>
      <c r="D7384" s="380" t="s">
        <v>767</v>
      </c>
      <c r="E7384" s="380" t="s">
        <v>786</v>
      </c>
      <c r="F7384" s="380" t="s">
        <v>5661</v>
      </c>
      <c r="G7384" s="380" t="s">
        <v>1267</v>
      </c>
      <c r="H7384" s="380" t="s">
        <v>771</v>
      </c>
      <c r="I7384" s="380" t="s">
        <v>788</v>
      </c>
      <c r="J7384" s="380" t="s">
        <v>773</v>
      </c>
      <c r="K7384" s="381">
        <v>0.0</v>
      </c>
      <c r="L7384" s="382">
        <v>1.0</v>
      </c>
    </row>
    <row r="7385">
      <c r="A7385" s="380" t="s">
        <v>8259</v>
      </c>
      <c r="B7385" s="380" t="str">
        <f>IFERROR(__xludf.DUMMYFUNCTION("""COMPUTED_VALUE"""),"Parabrisas Laminado Mack MT8")</f>
        <v>Parabrisas Laminado Mack MT8</v>
      </c>
      <c r="C7385" s="380" t="str">
        <f>IFERROR(__xludf.DUMMYFUNCTION("""COMPUTED_VALUE"""),"70002797")</f>
        <v>70002797</v>
      </c>
      <c r="D7385" s="380" t="s">
        <v>767</v>
      </c>
      <c r="E7385" s="380" t="s">
        <v>786</v>
      </c>
      <c r="F7385" s="380" t="s">
        <v>792</v>
      </c>
      <c r="G7385" s="380" t="s">
        <v>1267</v>
      </c>
      <c r="H7385" s="380" t="s">
        <v>771</v>
      </c>
      <c r="I7385" s="380" t="s">
        <v>788</v>
      </c>
      <c r="J7385" s="380" t="s">
        <v>773</v>
      </c>
      <c r="K7385" s="381">
        <v>0.0</v>
      </c>
      <c r="L7385" s="382">
        <v>1.0</v>
      </c>
    </row>
    <row r="7386">
      <c r="A7386" s="380" t="s">
        <v>8260</v>
      </c>
      <c r="B7386" s="380" t="str">
        <f>IFERROR(__xludf.DUMMYFUNCTION("""COMPUTED_VALUE"""),"Automatico Auxiliar Arranque Kw 1116387")</f>
        <v>Automatico Auxiliar Arranque Kw 1116387</v>
      </c>
      <c r="C7386" s="380" t="str">
        <f>IFERROR(__xludf.DUMMYFUNCTION("""COMPUTED_VALUE"""),"70002798")</f>
        <v>70002798</v>
      </c>
      <c r="D7386" s="380" t="s">
        <v>767</v>
      </c>
      <c r="E7386" s="380" t="s">
        <v>786</v>
      </c>
      <c r="F7386" s="380" t="s">
        <v>998</v>
      </c>
      <c r="G7386" s="380" t="s">
        <v>1267</v>
      </c>
      <c r="H7386" s="380" t="s">
        <v>771</v>
      </c>
      <c r="I7386" s="380" t="s">
        <v>788</v>
      </c>
      <c r="J7386" s="380" t="s">
        <v>773</v>
      </c>
      <c r="K7386" s="381">
        <v>0.0</v>
      </c>
      <c r="L7386" s="382">
        <v>1.0</v>
      </c>
    </row>
    <row r="7387">
      <c r="A7387" s="380" t="s">
        <v>8261</v>
      </c>
      <c r="B7387" s="380" t="str">
        <f>IFERROR(__xludf.DUMMYFUNCTION("""COMPUTED_VALUE"""),"Seguro Quinta Rueda Fabricado")</f>
        <v>Seguro Quinta Rueda Fabricado</v>
      </c>
      <c r="C7387" s="380" t="str">
        <f>IFERROR(__xludf.DUMMYFUNCTION("""COMPUTED_VALUE"""),"70002799")</f>
        <v>70002799</v>
      </c>
      <c r="D7387" s="380" t="s">
        <v>767</v>
      </c>
      <c r="E7387" s="380" t="s">
        <v>786</v>
      </c>
      <c r="F7387" s="380" t="s">
        <v>792</v>
      </c>
      <c r="G7387" s="380" t="s">
        <v>1267</v>
      </c>
      <c r="H7387" s="380" t="s">
        <v>771</v>
      </c>
      <c r="I7387" s="380" t="s">
        <v>788</v>
      </c>
      <c r="J7387" s="380" t="s">
        <v>773</v>
      </c>
      <c r="K7387" s="381">
        <v>8000.0</v>
      </c>
      <c r="L7387" s="382">
        <v>1.0</v>
      </c>
    </row>
    <row r="7388">
      <c r="A7388" s="380" t="s">
        <v>8262</v>
      </c>
      <c r="B7388" s="380" t="str">
        <f>IFERROR(__xludf.DUMMYFUNCTION("""COMPUTED_VALUE"""),"Juego Pastas Freno S Carry 10203 Gama")</f>
        <v>Juego Pastas Freno S Carry 10203 Gama</v>
      </c>
      <c r="C7388" s="380" t="str">
        <f>IFERROR(__xludf.DUMMYFUNCTION("""COMPUTED_VALUE"""),"70002800")</f>
        <v>70002800</v>
      </c>
      <c r="D7388" s="380" t="s">
        <v>767</v>
      </c>
      <c r="E7388" s="380" t="s">
        <v>786</v>
      </c>
      <c r="F7388" s="380" t="s">
        <v>1017</v>
      </c>
      <c r="G7388" s="380" t="s">
        <v>1267</v>
      </c>
      <c r="H7388" s="380" t="s">
        <v>771</v>
      </c>
      <c r="I7388" s="380" t="s">
        <v>788</v>
      </c>
      <c r="J7388" s="380" t="s">
        <v>773</v>
      </c>
      <c r="K7388" s="381">
        <v>0.0</v>
      </c>
      <c r="L7388" s="382">
        <v>1.0</v>
      </c>
    </row>
    <row r="7389">
      <c r="A7389" s="380" t="s">
        <v>8263</v>
      </c>
      <c r="B7389" s="380" t="str">
        <f>IFERROR(__xludf.DUMMYFUNCTION("""COMPUTED_VALUE"""),"Brazo Plumilla Der T Delta 85211PD005")</f>
        <v>Brazo Plumilla Der T Delta 85211PD005</v>
      </c>
      <c r="C7389" s="380" t="str">
        <f>IFERROR(__xludf.DUMMYFUNCTION("""COMPUTED_VALUE"""),"70002801")</f>
        <v>70002801</v>
      </c>
      <c r="D7389" s="380" t="s">
        <v>767</v>
      </c>
      <c r="E7389" s="380" t="s">
        <v>786</v>
      </c>
      <c r="F7389" s="380" t="s">
        <v>792</v>
      </c>
      <c r="G7389" s="380" t="s">
        <v>1267</v>
      </c>
      <c r="H7389" s="380" t="s">
        <v>771</v>
      </c>
      <c r="I7389" s="380" t="s">
        <v>788</v>
      </c>
      <c r="J7389" s="380" t="s">
        <v>773</v>
      </c>
      <c r="K7389" s="381">
        <v>0.0</v>
      </c>
      <c r="L7389" s="382">
        <v>1.0</v>
      </c>
    </row>
    <row r="7390">
      <c r="A7390" s="380" t="s">
        <v>8264</v>
      </c>
      <c r="B7390" s="380" t="str">
        <f>IFERROR(__xludf.DUMMYFUNCTION("""COMPUTED_VALUE"""),"Harness Freno Motor Eagle Isx Kisx433130")</f>
        <v>Harness Freno Motor Eagle Isx Kisx433130</v>
      </c>
      <c r="C7390" s="380" t="str">
        <f>IFERROR(__xludf.DUMMYFUNCTION("""COMPUTED_VALUE"""),"70002802")</f>
        <v>70002802</v>
      </c>
      <c r="D7390" s="380" t="s">
        <v>767</v>
      </c>
      <c r="E7390" s="380" t="s">
        <v>786</v>
      </c>
      <c r="F7390" s="380" t="s">
        <v>787</v>
      </c>
      <c r="G7390" s="380" t="s">
        <v>1267</v>
      </c>
      <c r="H7390" s="380" t="s">
        <v>771</v>
      </c>
      <c r="I7390" s="380" t="s">
        <v>788</v>
      </c>
      <c r="J7390" s="380" t="s">
        <v>773</v>
      </c>
      <c r="K7390" s="381">
        <v>0.0</v>
      </c>
      <c r="L7390" s="382">
        <v>1.0</v>
      </c>
    </row>
    <row r="7391">
      <c r="A7391" s="380" t="s">
        <v>8265</v>
      </c>
      <c r="B7391" s="380" t="str">
        <f>IFERROR(__xludf.DUMMYFUNCTION("""COMPUTED_VALUE"""),"Empaquet Bba Direc Hidr KenworSK000131TR")</f>
        <v>Empaquet Bba Direc Hidr KenworSK000131TR</v>
      </c>
      <c r="C7391" s="380" t="str">
        <f>IFERROR(__xludf.DUMMYFUNCTION("""COMPUTED_VALUE"""),"70002803")</f>
        <v>70002803</v>
      </c>
      <c r="D7391" s="380" t="s">
        <v>767</v>
      </c>
      <c r="E7391" s="380" t="s">
        <v>786</v>
      </c>
      <c r="F7391" s="380" t="s">
        <v>1020</v>
      </c>
      <c r="G7391" s="380" t="s">
        <v>1267</v>
      </c>
      <c r="H7391" s="380" t="s">
        <v>771</v>
      </c>
      <c r="I7391" s="380" t="s">
        <v>788</v>
      </c>
      <c r="J7391" s="380" t="s">
        <v>773</v>
      </c>
      <c r="K7391" s="381">
        <v>0.0</v>
      </c>
      <c r="L7391" s="382">
        <v>1.0</v>
      </c>
    </row>
    <row r="7392">
      <c r="A7392" s="380" t="s">
        <v>8266</v>
      </c>
      <c r="B7392" s="380" t="str">
        <f>IFERROR(__xludf.DUMMYFUNCTION("""COMPUTED_VALUE"""),"Corbatin Barra Tensora Prostar 47691000l")</f>
        <v>Corbatin Barra Tensora Prostar 47691000l</v>
      </c>
      <c r="C7392" s="380" t="str">
        <f>IFERROR(__xludf.DUMMYFUNCTION("""COMPUTED_VALUE"""),"70002804")</f>
        <v>70002804</v>
      </c>
      <c r="D7392" s="380" t="s">
        <v>767</v>
      </c>
      <c r="E7392" s="380" t="s">
        <v>786</v>
      </c>
      <c r="F7392" s="380" t="s">
        <v>1039</v>
      </c>
      <c r="G7392" s="380" t="s">
        <v>1267</v>
      </c>
      <c r="H7392" s="380" t="s">
        <v>771</v>
      </c>
      <c r="I7392" s="380" t="s">
        <v>788</v>
      </c>
      <c r="J7392" s="380" t="s">
        <v>773</v>
      </c>
      <c r="K7392" s="381">
        <v>0.0</v>
      </c>
      <c r="L7392" s="382">
        <v>1.0</v>
      </c>
    </row>
    <row r="7393">
      <c r="A7393" s="380" t="s">
        <v>8267</v>
      </c>
      <c r="B7393" s="380" t="str">
        <f>IFERROR(__xludf.DUMMYFUNCTION("""COMPUTED_VALUE"""),"Juego Pata Patin Trailer X 2 344106")</f>
        <v>Juego Pata Patin Trailer X 2 344106</v>
      </c>
      <c r="C7393" s="380" t="str">
        <f>IFERROR(__xludf.DUMMYFUNCTION("""COMPUTED_VALUE"""),"70002805")</f>
        <v>70002805</v>
      </c>
      <c r="D7393" s="380" t="s">
        <v>767</v>
      </c>
      <c r="E7393" s="380" t="s">
        <v>786</v>
      </c>
      <c r="F7393" s="380" t="s">
        <v>792</v>
      </c>
      <c r="G7393" s="380" t="s">
        <v>1267</v>
      </c>
      <c r="H7393" s="380" t="s">
        <v>771</v>
      </c>
      <c r="I7393" s="380" t="s">
        <v>788</v>
      </c>
      <c r="J7393" s="380" t="s">
        <v>773</v>
      </c>
      <c r="K7393" s="381">
        <v>0.0</v>
      </c>
      <c r="L7393" s="382">
        <v>1.0</v>
      </c>
    </row>
    <row r="7394">
      <c r="A7394" s="380" t="s">
        <v>8268</v>
      </c>
      <c r="B7394" s="380" t="str">
        <f>IFERROR(__xludf.DUMMYFUNCTION("""COMPUTED_VALUE"""),"Pasador Servo Clucht Fabricado")</f>
        <v>Pasador Servo Clucht Fabricado</v>
      </c>
      <c r="C7394" s="380" t="str">
        <f>IFERROR(__xludf.DUMMYFUNCTION("""COMPUTED_VALUE"""),"70002806")</f>
        <v>70002806</v>
      </c>
      <c r="D7394" s="380" t="s">
        <v>767</v>
      </c>
      <c r="E7394" s="380" t="s">
        <v>786</v>
      </c>
      <c r="F7394" s="380" t="s">
        <v>5661</v>
      </c>
      <c r="G7394" s="380" t="s">
        <v>1267</v>
      </c>
      <c r="H7394" s="380" t="s">
        <v>771</v>
      </c>
      <c r="I7394" s="380" t="s">
        <v>788</v>
      </c>
      <c r="J7394" s="380" t="s">
        <v>773</v>
      </c>
      <c r="K7394" s="381">
        <v>0.0</v>
      </c>
      <c r="L7394" s="382">
        <v>1.0</v>
      </c>
    </row>
    <row r="7395">
      <c r="A7395" s="380" t="s">
        <v>8269</v>
      </c>
      <c r="B7395" s="380" t="str">
        <f>IFERROR(__xludf.DUMMYFUNCTION("""COMPUTED_VALUE"""),"Sincroniz 2da Hino Dutro Pro 3303837040")</f>
        <v>Sincroniz 2da Hino Dutro Pro 3303837040</v>
      </c>
      <c r="C7395" s="380" t="str">
        <f>IFERROR(__xludf.DUMMYFUNCTION("""COMPUTED_VALUE"""),"70002807")</f>
        <v>70002807</v>
      </c>
      <c r="D7395" s="380" t="s">
        <v>767</v>
      </c>
      <c r="E7395" s="380" t="s">
        <v>786</v>
      </c>
      <c r="F7395" s="380" t="s">
        <v>928</v>
      </c>
      <c r="G7395" s="380" t="s">
        <v>1267</v>
      </c>
      <c r="H7395" s="380" t="s">
        <v>771</v>
      </c>
      <c r="I7395" s="380" t="s">
        <v>788</v>
      </c>
      <c r="J7395" s="380" t="s">
        <v>773</v>
      </c>
      <c r="K7395" s="381">
        <v>0.0</v>
      </c>
      <c r="L7395" s="382">
        <v>1.0</v>
      </c>
    </row>
    <row r="7396">
      <c r="A7396" s="380" t="s">
        <v>8270</v>
      </c>
      <c r="B7396" s="380" t="str">
        <f>IFERROR(__xludf.DUMMYFUNCTION("""COMPUTED_VALUE"""),"Resistencia Motor Nkr Reward 8973576130")</f>
        <v>Resistencia Motor Nkr Reward 8973576130</v>
      </c>
      <c r="C7396" s="380" t="str">
        <f>IFERROR(__xludf.DUMMYFUNCTION("""COMPUTED_VALUE"""),"70002808")</f>
        <v>70002808</v>
      </c>
      <c r="D7396" s="380" t="s">
        <v>767</v>
      </c>
      <c r="E7396" s="380" t="s">
        <v>786</v>
      </c>
      <c r="F7396" s="380" t="s">
        <v>787</v>
      </c>
      <c r="G7396" s="380" t="s">
        <v>1267</v>
      </c>
      <c r="H7396" s="380" t="s">
        <v>771</v>
      </c>
      <c r="I7396" s="380" t="s">
        <v>788</v>
      </c>
      <c r="J7396" s="380" t="s">
        <v>773</v>
      </c>
      <c r="K7396" s="381">
        <v>0.0</v>
      </c>
      <c r="L7396" s="382">
        <v>1.0</v>
      </c>
    </row>
    <row r="7397">
      <c r="A7397" s="380" t="s">
        <v>8271</v>
      </c>
      <c r="B7397" s="380" t="str">
        <f>IFERROR(__xludf.DUMMYFUNCTION("""COMPUTED_VALUE"""),"Lampara Led Rda 2 1/2 24V Bisel Metalic")</f>
        <v>Lampara Led Rda 2 1/2 24V Bisel Metalic</v>
      </c>
      <c r="C7397" s="380" t="str">
        <f>IFERROR(__xludf.DUMMYFUNCTION("""COMPUTED_VALUE"""),"70002809")</f>
        <v>70002809</v>
      </c>
      <c r="D7397" s="380" t="s">
        <v>767</v>
      </c>
      <c r="E7397" s="380" t="s">
        <v>786</v>
      </c>
      <c r="F7397" s="380" t="s">
        <v>998</v>
      </c>
      <c r="G7397" s="380" t="s">
        <v>1267</v>
      </c>
      <c r="H7397" s="380" t="s">
        <v>771</v>
      </c>
      <c r="I7397" s="380" t="s">
        <v>788</v>
      </c>
      <c r="J7397" s="380" t="s">
        <v>773</v>
      </c>
      <c r="K7397" s="381">
        <v>0.0</v>
      </c>
      <c r="L7397" s="382">
        <v>1.0</v>
      </c>
    </row>
    <row r="7398">
      <c r="A7398" s="380" t="s">
        <v>8272</v>
      </c>
      <c r="B7398" s="380" t="str">
        <f>IFERROR(__xludf.DUMMYFUNCTION("""COMPUTED_VALUE"""),"Soporte Trasero Motor Prostar 3613279C4")</f>
        <v>Soporte Trasero Motor Prostar 3613279C4</v>
      </c>
      <c r="C7398" s="380" t="str">
        <f>IFERROR(__xludf.DUMMYFUNCTION("""COMPUTED_VALUE"""),"70002810")</f>
        <v>70002810</v>
      </c>
      <c r="D7398" s="380" t="s">
        <v>767</v>
      </c>
      <c r="E7398" s="380" t="s">
        <v>786</v>
      </c>
      <c r="F7398" s="380" t="s">
        <v>787</v>
      </c>
      <c r="G7398" s="380" t="s">
        <v>1267</v>
      </c>
      <c r="H7398" s="380" t="s">
        <v>771</v>
      </c>
      <c r="I7398" s="380" t="s">
        <v>788</v>
      </c>
      <c r="J7398" s="380" t="s">
        <v>773</v>
      </c>
      <c r="K7398" s="381">
        <v>0.0</v>
      </c>
      <c r="L7398" s="382">
        <v>1.0</v>
      </c>
    </row>
    <row r="7399">
      <c r="A7399" s="380" t="s">
        <v>8273</v>
      </c>
      <c r="B7399" s="380" t="str">
        <f>IFERROR(__xludf.DUMMYFUNCTION("""COMPUTED_VALUE"""),"Cilindro Embrag Accion Aire (Aux)Prostar")</f>
        <v>Cilindro Embrag Accion Aire (Aux)Prostar</v>
      </c>
      <c r="C7399" s="380" t="str">
        <f>IFERROR(__xludf.DUMMYFUNCTION("""COMPUTED_VALUE"""),"70002811")</f>
        <v>70002811</v>
      </c>
      <c r="D7399" s="380" t="s">
        <v>767</v>
      </c>
      <c r="E7399" s="380" t="s">
        <v>786</v>
      </c>
      <c r="F7399" s="380" t="s">
        <v>787</v>
      </c>
      <c r="G7399" s="380" t="s">
        <v>1267</v>
      </c>
      <c r="H7399" s="380" t="s">
        <v>771</v>
      </c>
      <c r="I7399" s="380" t="s">
        <v>788</v>
      </c>
      <c r="J7399" s="380" t="s">
        <v>773</v>
      </c>
      <c r="K7399" s="381">
        <v>0.0</v>
      </c>
      <c r="L7399" s="382">
        <v>1.0</v>
      </c>
    </row>
    <row r="7400">
      <c r="A7400" s="380" t="s">
        <v>8274</v>
      </c>
      <c r="B7400" s="380" t="str">
        <f>IFERROR(__xludf.DUMMYFUNCTION("""COMPUTED_VALUE"""),"Tapa Tanque Auxiliar Radiador Hino Dp")</f>
        <v>Tapa Tanque Auxiliar Radiador Hino Dp</v>
      </c>
      <c r="C7400" s="380" t="str">
        <f>IFERROR(__xludf.DUMMYFUNCTION("""COMPUTED_VALUE"""),"70002812")</f>
        <v>70002812</v>
      </c>
      <c r="D7400" s="380" t="s">
        <v>767</v>
      </c>
      <c r="E7400" s="380" t="s">
        <v>786</v>
      </c>
      <c r="F7400" s="380" t="s">
        <v>787</v>
      </c>
      <c r="G7400" s="380" t="s">
        <v>1267</v>
      </c>
      <c r="H7400" s="380" t="s">
        <v>771</v>
      </c>
      <c r="I7400" s="380" t="s">
        <v>788</v>
      </c>
      <c r="J7400" s="380" t="s">
        <v>773</v>
      </c>
      <c r="K7400" s="381">
        <v>0.0</v>
      </c>
      <c r="L7400" s="382">
        <v>1.0</v>
      </c>
    </row>
    <row r="7401">
      <c r="A7401" s="380" t="s">
        <v>8275</v>
      </c>
      <c r="B7401" s="380" t="str">
        <f>IFERROR(__xludf.DUMMYFUNCTION("""COMPUTED_VALUE"""),"Pasador Zapa Tras-Del D C")</f>
        <v>Pasador Zapa Tras-Del D C</v>
      </c>
      <c r="C7401" s="380" t="str">
        <f>IFERROR(__xludf.DUMMYFUNCTION("""COMPUTED_VALUE"""),"70002813")</f>
        <v>70002813</v>
      </c>
      <c r="D7401" s="380" t="s">
        <v>767</v>
      </c>
      <c r="E7401" s="380" t="s">
        <v>786</v>
      </c>
      <c r="F7401" s="380" t="s">
        <v>1017</v>
      </c>
      <c r="G7401" s="380" t="s">
        <v>1267</v>
      </c>
      <c r="H7401" s="380" t="s">
        <v>771</v>
      </c>
      <c r="I7401" s="380" t="s">
        <v>788</v>
      </c>
      <c r="J7401" s="380" t="s">
        <v>773</v>
      </c>
      <c r="K7401" s="381">
        <v>29750.0</v>
      </c>
      <c r="L7401" s="382">
        <v>1.0</v>
      </c>
    </row>
    <row r="7402">
      <c r="A7402" s="380" t="s">
        <v>8276</v>
      </c>
      <c r="B7402" s="380" t="str">
        <f>IFERROR(__xludf.DUMMYFUNCTION("""COMPUTED_VALUE"""),"Valvula De Alivio De 1/4 Compresor")</f>
        <v>Valvula De Alivio De 1/4 Compresor</v>
      </c>
      <c r="C7402" s="380" t="str">
        <f>IFERROR(__xludf.DUMMYFUNCTION("""COMPUTED_VALUE"""),"70002814")</f>
        <v>70002814</v>
      </c>
      <c r="D7402" s="380" t="s">
        <v>767</v>
      </c>
      <c r="E7402" s="380" t="s">
        <v>786</v>
      </c>
      <c r="F7402" s="380" t="s">
        <v>989</v>
      </c>
      <c r="G7402" s="380" t="s">
        <v>1267</v>
      </c>
      <c r="H7402" s="380" t="s">
        <v>771</v>
      </c>
      <c r="I7402" s="380" t="s">
        <v>788</v>
      </c>
      <c r="J7402" s="380" t="s">
        <v>773</v>
      </c>
      <c r="K7402" s="381">
        <v>0.0</v>
      </c>
      <c r="L7402" s="382">
        <v>1.0</v>
      </c>
    </row>
    <row r="7403">
      <c r="A7403" s="380" t="s">
        <v>8277</v>
      </c>
      <c r="B7403" s="380" t="str">
        <f>IFERROR(__xludf.DUMMYFUNCTION("""COMPUTED_VALUE"""),"Pasador Zapata Patin")</f>
        <v>Pasador Zapata Patin</v>
      </c>
      <c r="C7403" s="380" t="str">
        <f>IFERROR(__xludf.DUMMYFUNCTION("""COMPUTED_VALUE"""),"70002815")</f>
        <v>70002815</v>
      </c>
      <c r="D7403" s="380" t="s">
        <v>767</v>
      </c>
      <c r="E7403" s="380" t="s">
        <v>786</v>
      </c>
      <c r="F7403" s="380" t="s">
        <v>1017</v>
      </c>
      <c r="G7403" s="380" t="s">
        <v>1267</v>
      </c>
      <c r="H7403" s="380" t="s">
        <v>771</v>
      </c>
      <c r="I7403" s="380" t="s">
        <v>788</v>
      </c>
      <c r="J7403" s="380" t="s">
        <v>773</v>
      </c>
      <c r="K7403" s="381">
        <v>255850.0</v>
      </c>
      <c r="L7403" s="382">
        <v>1.0</v>
      </c>
    </row>
    <row r="7404">
      <c r="A7404" s="380" t="s">
        <v>8278</v>
      </c>
      <c r="B7404" s="380" t="str">
        <f>IFERROR(__xludf.DUMMYFUNCTION("""COMPUTED_VALUE"""),"Correa Ventilador Motor Prostar4019203C1")</f>
        <v>Correa Ventilador Motor Prostar4019203C1</v>
      </c>
      <c r="C7404" s="380" t="str">
        <f>IFERROR(__xludf.DUMMYFUNCTION("""COMPUTED_VALUE"""),"70002816")</f>
        <v>70002816</v>
      </c>
      <c r="D7404" s="380" t="s">
        <v>767</v>
      </c>
      <c r="E7404" s="380" t="s">
        <v>786</v>
      </c>
      <c r="F7404" s="380" t="s">
        <v>787</v>
      </c>
      <c r="G7404" s="380" t="s">
        <v>1267</v>
      </c>
      <c r="H7404" s="380" t="s">
        <v>771</v>
      </c>
      <c r="I7404" s="380" t="s">
        <v>788</v>
      </c>
      <c r="J7404" s="380" t="s">
        <v>773</v>
      </c>
      <c r="K7404" s="381">
        <v>0.0</v>
      </c>
      <c r="L7404" s="382">
        <v>1.0</v>
      </c>
    </row>
    <row r="7405">
      <c r="A7405" s="380" t="s">
        <v>8279</v>
      </c>
      <c r="B7405" s="380" t="str">
        <f>IFERROR(__xludf.DUMMYFUNCTION("""COMPUTED_VALUE"""),"Freno Embrague Desarmado SB")</f>
        <v>Freno Embrague Desarmado SB</v>
      </c>
      <c r="C7405" s="380" t="str">
        <f>IFERROR(__xludf.DUMMYFUNCTION("""COMPUTED_VALUE"""),"70002817")</f>
        <v>70002817</v>
      </c>
      <c r="D7405" s="380" t="s">
        <v>767</v>
      </c>
      <c r="E7405" s="380" t="s">
        <v>786</v>
      </c>
      <c r="F7405" s="380" t="s">
        <v>5661</v>
      </c>
      <c r="G7405" s="380" t="s">
        <v>1267</v>
      </c>
      <c r="H7405" s="380" t="s">
        <v>771</v>
      </c>
      <c r="I7405" s="380" t="s">
        <v>788</v>
      </c>
      <c r="J7405" s="380" t="s">
        <v>773</v>
      </c>
      <c r="K7405" s="381">
        <v>195468.0</v>
      </c>
      <c r="L7405" s="382">
        <v>1.0</v>
      </c>
    </row>
    <row r="7406">
      <c r="A7406" s="380" t="s">
        <v>8280</v>
      </c>
      <c r="B7406" s="380" t="str">
        <f>IFERROR(__xludf.DUMMYFUNCTION("""COMPUTED_VALUE"""),"Buje Figurado Quinta Rueda 107")</f>
        <v>Buje Figurado Quinta Rueda 107</v>
      </c>
      <c r="C7406" s="380" t="str">
        <f>IFERROR(__xludf.DUMMYFUNCTION("""COMPUTED_VALUE"""),"70002818")</f>
        <v>70002818</v>
      </c>
      <c r="D7406" s="380" t="s">
        <v>767</v>
      </c>
      <c r="E7406" s="380" t="s">
        <v>786</v>
      </c>
      <c r="F7406" s="380" t="s">
        <v>792</v>
      </c>
      <c r="G7406" s="380" t="s">
        <v>1267</v>
      </c>
      <c r="H7406" s="380" t="s">
        <v>771</v>
      </c>
      <c r="I7406" s="380" t="s">
        <v>788</v>
      </c>
      <c r="J7406" s="380" t="s">
        <v>773</v>
      </c>
      <c r="K7406" s="381">
        <v>65450.0</v>
      </c>
      <c r="L7406" s="382">
        <v>1.0</v>
      </c>
    </row>
    <row r="7407">
      <c r="A7407" s="380" t="s">
        <v>8281</v>
      </c>
      <c r="B7407" s="380" t="str">
        <f>IFERROR(__xludf.DUMMYFUNCTION("""COMPUTED_VALUE"""),"Regulador Alternador Nkr F042320278")</f>
        <v>Regulador Alternador Nkr F042320278</v>
      </c>
      <c r="C7407" s="380" t="str">
        <f>IFERROR(__xludf.DUMMYFUNCTION("""COMPUTED_VALUE"""),"70002819")</f>
        <v>70002819</v>
      </c>
      <c r="D7407" s="380" t="s">
        <v>767</v>
      </c>
      <c r="E7407" s="380" t="s">
        <v>786</v>
      </c>
      <c r="F7407" s="380" t="s">
        <v>998</v>
      </c>
      <c r="G7407" s="380" t="s">
        <v>1267</v>
      </c>
      <c r="H7407" s="380" t="s">
        <v>771</v>
      </c>
      <c r="I7407" s="380" t="s">
        <v>788</v>
      </c>
      <c r="J7407" s="380" t="s">
        <v>773</v>
      </c>
      <c r="K7407" s="381">
        <v>0.0</v>
      </c>
      <c r="L7407" s="382">
        <v>1.0</v>
      </c>
    </row>
    <row r="7408">
      <c r="A7408" s="380" t="s">
        <v>8282</v>
      </c>
      <c r="B7408" s="380" t="str">
        <f>IFERROR(__xludf.DUMMYFUNCTION("""COMPUTED_VALUE"""),"Porta Diodo Alternador De Nhr F042310250")</f>
        <v>Porta Diodo Alternador De Nhr F042310250</v>
      </c>
      <c r="C7408" s="380" t="str">
        <f>IFERROR(__xludf.DUMMYFUNCTION("""COMPUTED_VALUE"""),"70002820")</f>
        <v>70002820</v>
      </c>
      <c r="D7408" s="380" t="s">
        <v>767</v>
      </c>
      <c r="E7408" s="380" t="s">
        <v>786</v>
      </c>
      <c r="F7408" s="380" t="s">
        <v>998</v>
      </c>
      <c r="G7408" s="380" t="s">
        <v>1267</v>
      </c>
      <c r="H7408" s="380" t="s">
        <v>771</v>
      </c>
      <c r="I7408" s="380" t="s">
        <v>788</v>
      </c>
      <c r="J7408" s="380" t="s">
        <v>773</v>
      </c>
      <c r="K7408" s="381">
        <v>0.0</v>
      </c>
      <c r="L7408" s="382">
        <v>1.0</v>
      </c>
    </row>
    <row r="7409">
      <c r="A7409" s="380" t="s">
        <v>8283</v>
      </c>
      <c r="B7409" s="380" t="str">
        <f>IFERROR(__xludf.DUMMYFUNCTION("""COMPUTED_VALUE"""),"Bombona Aire Suspension Eagle 69662")</f>
        <v>Bombona Aire Suspension Eagle 69662</v>
      </c>
      <c r="C7409" s="380" t="str">
        <f>IFERROR(__xludf.DUMMYFUNCTION("""COMPUTED_VALUE"""),"70002821")</f>
        <v>70002821</v>
      </c>
      <c r="D7409" s="380" t="s">
        <v>767</v>
      </c>
      <c r="E7409" s="380" t="s">
        <v>786</v>
      </c>
      <c r="F7409" s="380" t="s">
        <v>1039</v>
      </c>
      <c r="G7409" s="380" t="s">
        <v>1267</v>
      </c>
      <c r="H7409" s="380" t="s">
        <v>771</v>
      </c>
      <c r="I7409" s="380" t="s">
        <v>788</v>
      </c>
      <c r="J7409" s="380" t="s">
        <v>773</v>
      </c>
      <c r="K7409" s="381">
        <v>495640.0</v>
      </c>
      <c r="L7409" s="382">
        <v>1.0</v>
      </c>
    </row>
    <row r="7410">
      <c r="A7410" s="380" t="s">
        <v>8284</v>
      </c>
      <c r="B7410" s="380" t="str">
        <f>IFERROR(__xludf.DUMMYFUNCTION("""COMPUTED_VALUE"""),"Mang Agua Radiador R Master 8200120216")</f>
        <v>Mang Agua Radiador R Master 8200120216</v>
      </c>
      <c r="C7410" s="380" t="str">
        <f>IFERROR(__xludf.DUMMYFUNCTION("""COMPUTED_VALUE"""),"70002822")</f>
        <v>70002822</v>
      </c>
      <c r="D7410" s="380" t="s">
        <v>767</v>
      </c>
      <c r="E7410" s="380" t="s">
        <v>786</v>
      </c>
      <c r="F7410" s="380" t="s">
        <v>787</v>
      </c>
      <c r="G7410" s="380" t="s">
        <v>1267</v>
      </c>
      <c r="H7410" s="380" t="s">
        <v>771</v>
      </c>
      <c r="I7410" s="380" t="s">
        <v>788</v>
      </c>
      <c r="J7410" s="380" t="s">
        <v>773</v>
      </c>
      <c r="K7410" s="381">
        <v>0.0</v>
      </c>
      <c r="L7410" s="382">
        <v>1.0</v>
      </c>
    </row>
    <row r="7411">
      <c r="A7411" s="380" t="s">
        <v>8285</v>
      </c>
      <c r="B7411" s="380" t="str">
        <f>IFERROR(__xludf.DUMMYFUNCTION("""COMPUTED_VALUE"""),"Empaque Culata Motor R Master 8200406743")</f>
        <v>Empaque Culata Motor R Master 8200406743</v>
      </c>
      <c r="C7411" s="380" t="str">
        <f>IFERROR(__xludf.DUMMYFUNCTION("""COMPUTED_VALUE"""),"70002823")</f>
        <v>70002823</v>
      </c>
      <c r="D7411" s="380" t="s">
        <v>767</v>
      </c>
      <c r="E7411" s="380" t="s">
        <v>786</v>
      </c>
      <c r="F7411" s="380" t="s">
        <v>787</v>
      </c>
      <c r="G7411" s="380" t="s">
        <v>1267</v>
      </c>
      <c r="H7411" s="380" t="s">
        <v>771</v>
      </c>
      <c r="I7411" s="380" t="s">
        <v>788</v>
      </c>
      <c r="J7411" s="380" t="s">
        <v>773</v>
      </c>
      <c r="K7411" s="381">
        <v>0.0</v>
      </c>
      <c r="L7411" s="382">
        <v>1.0</v>
      </c>
    </row>
    <row r="7412">
      <c r="A7412" s="380" t="s">
        <v>8286</v>
      </c>
      <c r="B7412" s="380" t="str">
        <f>IFERROR(__xludf.DUMMYFUNCTION("""COMPUTED_VALUE"""),"Oring Motor Renault Master 7701474135")</f>
        <v>Oring Motor Renault Master 7701474135</v>
      </c>
      <c r="C7412" s="380" t="str">
        <f>IFERROR(__xludf.DUMMYFUNCTION("""COMPUTED_VALUE"""),"70002824")</f>
        <v>70002824</v>
      </c>
      <c r="D7412" s="380" t="s">
        <v>767</v>
      </c>
      <c r="E7412" s="380" t="s">
        <v>786</v>
      </c>
      <c r="F7412" s="380" t="s">
        <v>787</v>
      </c>
      <c r="G7412" s="380" t="s">
        <v>1267</v>
      </c>
      <c r="H7412" s="380" t="s">
        <v>771</v>
      </c>
      <c r="I7412" s="380" t="s">
        <v>788</v>
      </c>
      <c r="J7412" s="380" t="s">
        <v>773</v>
      </c>
      <c r="K7412" s="381">
        <v>0.0</v>
      </c>
      <c r="L7412" s="382">
        <v>1.0</v>
      </c>
    </row>
    <row r="7413">
      <c r="A7413" s="380" t="s">
        <v>8287</v>
      </c>
      <c r="B7413" s="380" t="str">
        <f>IFERROR(__xludf.DUMMYFUNCTION("""COMPUTED_VALUE"""),"Sensor Velocidad Eagle 9400 3528003C1")</f>
        <v>Sensor Velocidad Eagle 9400 3528003C1</v>
      </c>
      <c r="C7413" s="380" t="str">
        <f>IFERROR(__xludf.DUMMYFUNCTION("""COMPUTED_VALUE"""),"70002825")</f>
        <v>70002825</v>
      </c>
      <c r="D7413" s="380" t="s">
        <v>767</v>
      </c>
      <c r="E7413" s="380" t="s">
        <v>786</v>
      </c>
      <c r="F7413" s="380" t="s">
        <v>787</v>
      </c>
      <c r="G7413" s="380" t="s">
        <v>1267</v>
      </c>
      <c r="H7413" s="380" t="s">
        <v>771</v>
      </c>
      <c r="I7413" s="380" t="s">
        <v>788</v>
      </c>
      <c r="J7413" s="380" t="s">
        <v>773</v>
      </c>
      <c r="K7413" s="381">
        <v>254825.0</v>
      </c>
      <c r="L7413" s="382">
        <v>1.0</v>
      </c>
    </row>
    <row r="7414">
      <c r="A7414" s="380" t="s">
        <v>8288</v>
      </c>
      <c r="B7414" s="380" t="str">
        <f>IFERROR(__xludf.DUMMYFUNCTION("""COMPUTED_VALUE"""),"Pasador Pata Trailer Fabricado")</f>
        <v>Pasador Pata Trailer Fabricado</v>
      </c>
      <c r="C7414" s="380" t="str">
        <f>IFERROR(__xludf.DUMMYFUNCTION("""COMPUTED_VALUE"""),"70002826")</f>
        <v>70002826</v>
      </c>
      <c r="D7414" s="380" t="s">
        <v>767</v>
      </c>
      <c r="E7414" s="380" t="s">
        <v>786</v>
      </c>
      <c r="F7414" s="380" t="s">
        <v>1039</v>
      </c>
      <c r="G7414" s="380" t="s">
        <v>1267</v>
      </c>
      <c r="H7414" s="380" t="s">
        <v>771</v>
      </c>
      <c r="I7414" s="380" t="s">
        <v>788</v>
      </c>
      <c r="J7414" s="380" t="s">
        <v>773</v>
      </c>
      <c r="K7414" s="381">
        <v>0.0</v>
      </c>
      <c r="L7414" s="382">
        <v>1.0</v>
      </c>
    </row>
    <row r="7415">
      <c r="A7415" s="380" t="s">
        <v>8289</v>
      </c>
      <c r="B7415" s="380" t="str">
        <f>IFERROR(__xludf.DUMMYFUNCTION("""COMPUTED_VALUE"""),"Eje Desplazable Cja 14718-16718")</f>
        <v>Eje Desplazable Cja 14718-16718</v>
      </c>
      <c r="C7415" s="380" t="str">
        <f>IFERROR(__xludf.DUMMYFUNCTION("""COMPUTED_VALUE"""),"70002827")</f>
        <v>70002827</v>
      </c>
      <c r="D7415" s="380" t="s">
        <v>767</v>
      </c>
      <c r="E7415" s="380" t="s">
        <v>786</v>
      </c>
      <c r="F7415" s="380" t="s">
        <v>928</v>
      </c>
      <c r="G7415" s="380" t="s">
        <v>1267</v>
      </c>
      <c r="H7415" s="380" t="s">
        <v>771</v>
      </c>
      <c r="I7415" s="380" t="s">
        <v>788</v>
      </c>
      <c r="J7415" s="380" t="s">
        <v>773</v>
      </c>
      <c r="K7415" s="381">
        <v>0.0</v>
      </c>
      <c r="L7415" s="382">
        <v>1.0</v>
      </c>
    </row>
    <row r="7416">
      <c r="A7416" s="380" t="s">
        <v>8290</v>
      </c>
      <c r="B7416" s="380" t="str">
        <f>IFERROR(__xludf.DUMMYFUNCTION("""COMPUTED_VALUE"""),"Termostato Motor FRR 8973007903")</f>
        <v>Termostato Motor FRR 8973007903</v>
      </c>
      <c r="C7416" s="380" t="str">
        <f>IFERROR(__xludf.DUMMYFUNCTION("""COMPUTED_VALUE"""),"70002828")</f>
        <v>70002828</v>
      </c>
      <c r="D7416" s="380" t="s">
        <v>767</v>
      </c>
      <c r="E7416" s="380" t="s">
        <v>786</v>
      </c>
      <c r="F7416" s="380" t="s">
        <v>787</v>
      </c>
      <c r="G7416" s="380" t="s">
        <v>1267</v>
      </c>
      <c r="H7416" s="380" t="s">
        <v>771</v>
      </c>
      <c r="I7416" s="380" t="s">
        <v>788</v>
      </c>
      <c r="J7416" s="380" t="s">
        <v>773</v>
      </c>
      <c r="K7416" s="381">
        <v>0.0</v>
      </c>
      <c r="L7416" s="382">
        <v>1.0</v>
      </c>
    </row>
    <row r="7417">
      <c r="A7417" s="380" t="s">
        <v>8291</v>
      </c>
      <c r="B7417" s="380" t="str">
        <f>IFERROR(__xludf.DUMMYFUNCTION("""COMPUTED_VALUE"""),"Termostato Motor FRR 8973007873")</f>
        <v>Termostato Motor FRR 8973007873</v>
      </c>
      <c r="C7417" s="380" t="str">
        <f>IFERROR(__xludf.DUMMYFUNCTION("""COMPUTED_VALUE"""),"70002829")</f>
        <v>70002829</v>
      </c>
      <c r="D7417" s="380" t="s">
        <v>767</v>
      </c>
      <c r="E7417" s="380" t="s">
        <v>786</v>
      </c>
      <c r="F7417" s="380" t="s">
        <v>787</v>
      </c>
      <c r="G7417" s="380" t="s">
        <v>1267</v>
      </c>
      <c r="H7417" s="380" t="s">
        <v>771</v>
      </c>
      <c r="I7417" s="380" t="s">
        <v>788</v>
      </c>
      <c r="J7417" s="380" t="s">
        <v>773</v>
      </c>
      <c r="K7417" s="381">
        <v>0.0</v>
      </c>
      <c r="L7417" s="382">
        <v>1.0</v>
      </c>
    </row>
    <row r="7418">
      <c r="A7418" s="380" t="s">
        <v>8292</v>
      </c>
      <c r="B7418" s="380" t="str">
        <f>IFERROR(__xludf.DUMMYFUNCTION("""COMPUTED_VALUE"""),"Guardap Palanca Cambios Hino 5880837021")</f>
        <v>Guardap Palanca Cambios Hino 5880837021</v>
      </c>
      <c r="C7418" s="380" t="str">
        <f>IFERROR(__xludf.DUMMYFUNCTION("""COMPUTED_VALUE"""),"70002830")</f>
        <v>70002830</v>
      </c>
      <c r="D7418" s="380" t="s">
        <v>767</v>
      </c>
      <c r="E7418" s="380" t="s">
        <v>786</v>
      </c>
      <c r="F7418" s="380" t="s">
        <v>928</v>
      </c>
      <c r="G7418" s="380" t="s">
        <v>1267</v>
      </c>
      <c r="H7418" s="380" t="s">
        <v>771</v>
      </c>
      <c r="I7418" s="380" t="s">
        <v>788</v>
      </c>
      <c r="J7418" s="380" t="s">
        <v>773</v>
      </c>
      <c r="K7418" s="381">
        <v>0.0</v>
      </c>
      <c r="L7418" s="382">
        <v>1.0</v>
      </c>
    </row>
    <row r="7419">
      <c r="A7419" s="380" t="s">
        <v>8293</v>
      </c>
      <c r="B7419" s="380" t="str">
        <f>IFERROR(__xludf.DUMMYFUNCTION("""COMPUTED_VALUE"""),"Bomba Principal Embrague FRR 1475002502")</f>
        <v>Bomba Principal Embrague FRR 1475002502</v>
      </c>
      <c r="C7419" s="380" t="str">
        <f>IFERROR(__xludf.DUMMYFUNCTION("""COMPUTED_VALUE"""),"70002831")</f>
        <v>70002831</v>
      </c>
      <c r="D7419" s="380" t="s">
        <v>767</v>
      </c>
      <c r="E7419" s="380" t="s">
        <v>786</v>
      </c>
      <c r="F7419" s="380" t="s">
        <v>5661</v>
      </c>
      <c r="G7419" s="380" t="s">
        <v>1267</v>
      </c>
      <c r="H7419" s="380" t="s">
        <v>771</v>
      </c>
      <c r="I7419" s="380" t="s">
        <v>788</v>
      </c>
      <c r="J7419" s="380" t="s">
        <v>773</v>
      </c>
      <c r="K7419" s="381">
        <v>0.0</v>
      </c>
      <c r="L7419" s="382">
        <v>1.0</v>
      </c>
    </row>
    <row r="7420">
      <c r="A7420" s="380" t="s">
        <v>8294</v>
      </c>
      <c r="B7420" s="380" t="str">
        <f>IFERROR(__xludf.DUMMYFUNCTION("""COMPUTED_VALUE"""),"Pasador Punta Muelle Tras Tensora 07 Hi")</f>
        <v>Pasador Punta Muelle Tras Tensora 07 Hi</v>
      </c>
      <c r="C7420" s="380" t="str">
        <f>IFERROR(__xludf.DUMMYFUNCTION("""COMPUTED_VALUE"""),"70002832")</f>
        <v>70002832</v>
      </c>
      <c r="D7420" s="380" t="s">
        <v>767</v>
      </c>
      <c r="E7420" s="380" t="s">
        <v>786</v>
      </c>
      <c r="F7420" s="380" t="s">
        <v>1039</v>
      </c>
      <c r="G7420" s="380" t="s">
        <v>1267</v>
      </c>
      <c r="H7420" s="380" t="s">
        <v>771</v>
      </c>
      <c r="I7420" s="380" t="s">
        <v>788</v>
      </c>
      <c r="J7420" s="380" t="s">
        <v>773</v>
      </c>
      <c r="K7420" s="381">
        <v>0.0</v>
      </c>
      <c r="L7420" s="382">
        <v>1.0</v>
      </c>
    </row>
    <row r="7421">
      <c r="A7421" s="380" t="s">
        <v>8295</v>
      </c>
      <c r="B7421" s="380" t="str">
        <f>IFERROR(__xludf.DUMMYFUNCTION("""COMPUTED_VALUE"""),"Bomba De Agua FRR 8980788312")</f>
        <v>Bomba De Agua FRR 8980788312</v>
      </c>
      <c r="C7421" s="380" t="str">
        <f>IFERROR(__xludf.DUMMYFUNCTION("""COMPUTED_VALUE"""),"70002833")</f>
        <v>70002833</v>
      </c>
      <c r="D7421" s="380" t="s">
        <v>767</v>
      </c>
      <c r="E7421" s="380" t="s">
        <v>786</v>
      </c>
      <c r="F7421" s="380" t="s">
        <v>787</v>
      </c>
      <c r="G7421" s="380" t="s">
        <v>1267</v>
      </c>
      <c r="H7421" s="380" t="s">
        <v>771</v>
      </c>
      <c r="I7421" s="380" t="s">
        <v>788</v>
      </c>
      <c r="J7421" s="380" t="s">
        <v>773</v>
      </c>
      <c r="K7421" s="381">
        <v>0.0</v>
      </c>
      <c r="L7421" s="382">
        <v>1.0</v>
      </c>
    </row>
    <row r="7422">
      <c r="A7422" s="380" t="s">
        <v>8296</v>
      </c>
      <c r="B7422" s="380" t="str">
        <f>IFERROR(__xludf.DUMMYFUNCTION("""COMPUTED_VALUE"""),"Polea Tensora Isx 3691283")</f>
        <v>Polea Tensora Isx 3691283</v>
      </c>
      <c r="C7422" s="380" t="str">
        <f>IFERROR(__xludf.DUMMYFUNCTION("""COMPUTED_VALUE"""),"70002834")</f>
        <v>70002834</v>
      </c>
      <c r="D7422" s="380" t="s">
        <v>767</v>
      </c>
      <c r="E7422" s="380" t="s">
        <v>786</v>
      </c>
      <c r="F7422" s="380" t="s">
        <v>787</v>
      </c>
      <c r="G7422" s="380" t="s">
        <v>1267</v>
      </c>
      <c r="H7422" s="380" t="s">
        <v>771</v>
      </c>
      <c r="I7422" s="380" t="s">
        <v>788</v>
      </c>
      <c r="J7422" s="380" t="s">
        <v>773</v>
      </c>
      <c r="K7422" s="381">
        <v>0.0</v>
      </c>
      <c r="L7422" s="382">
        <v>1.0</v>
      </c>
    </row>
    <row r="7423">
      <c r="A7423" s="380" t="s">
        <v>8297</v>
      </c>
      <c r="B7423" s="380" t="str">
        <f>IFERROR(__xludf.DUMMYFUNCTION("""COMPUTED_VALUE"""),"Manguera Freno Delantera Nkr 8941145250")</f>
        <v>Manguera Freno Delantera Nkr 8941145250</v>
      </c>
      <c r="C7423" s="380" t="str">
        <f>IFERROR(__xludf.DUMMYFUNCTION("""COMPUTED_VALUE"""),"70002835")</f>
        <v>70002835</v>
      </c>
      <c r="D7423" s="380" t="s">
        <v>767</v>
      </c>
      <c r="E7423" s="380" t="s">
        <v>786</v>
      </c>
      <c r="F7423" s="380" t="s">
        <v>1017</v>
      </c>
      <c r="G7423" s="380" t="s">
        <v>1267</v>
      </c>
      <c r="H7423" s="380" t="s">
        <v>771</v>
      </c>
      <c r="I7423" s="380" t="s">
        <v>788</v>
      </c>
      <c r="J7423" s="380" t="s">
        <v>773</v>
      </c>
      <c r="K7423" s="381">
        <v>0.0</v>
      </c>
      <c r="L7423" s="382">
        <v>1.0</v>
      </c>
    </row>
    <row r="7424">
      <c r="A7424" s="380" t="s">
        <v>8298</v>
      </c>
      <c r="B7424" s="380" t="str">
        <f>IFERROR(__xludf.DUMMYFUNCTION("""COMPUTED_VALUE"""),"Empaque Puerta Delantera N200 24520968")</f>
        <v>Empaque Puerta Delantera N200 24520968</v>
      </c>
      <c r="C7424" s="380" t="str">
        <f>IFERROR(__xludf.DUMMYFUNCTION("""COMPUTED_VALUE"""),"70002836")</f>
        <v>70002836</v>
      </c>
      <c r="D7424" s="380" t="s">
        <v>767</v>
      </c>
      <c r="E7424" s="380" t="s">
        <v>786</v>
      </c>
      <c r="F7424" s="380" t="s">
        <v>792</v>
      </c>
      <c r="G7424" s="380" t="s">
        <v>1267</v>
      </c>
      <c r="H7424" s="380" t="s">
        <v>771</v>
      </c>
      <c r="I7424" s="380" t="s">
        <v>788</v>
      </c>
      <c r="J7424" s="380" t="s">
        <v>773</v>
      </c>
      <c r="K7424" s="381">
        <v>0.0</v>
      </c>
      <c r="L7424" s="382">
        <v>1.0</v>
      </c>
    </row>
    <row r="7425">
      <c r="A7425" s="380" t="s">
        <v>8299</v>
      </c>
      <c r="B7425" s="380" t="str">
        <f>IFERROR(__xludf.DUMMYFUNCTION("""COMPUTED_VALUE"""),"Carevaca Caja Fuller Int Prostar A-7803")</f>
        <v>Carevaca Caja Fuller Int Prostar A-7803</v>
      </c>
      <c r="C7425" s="380" t="str">
        <f>IFERROR(__xludf.DUMMYFUNCTION("""COMPUTED_VALUE"""),"70002837")</f>
        <v>70002837</v>
      </c>
      <c r="D7425" s="380" t="s">
        <v>767</v>
      </c>
      <c r="E7425" s="380" t="s">
        <v>786</v>
      </c>
      <c r="F7425" s="380" t="s">
        <v>928</v>
      </c>
      <c r="G7425" s="380" t="s">
        <v>1267</v>
      </c>
      <c r="H7425" s="380" t="s">
        <v>771</v>
      </c>
      <c r="I7425" s="380" t="s">
        <v>788</v>
      </c>
      <c r="J7425" s="380" t="s">
        <v>773</v>
      </c>
      <c r="K7425" s="381">
        <v>0.0</v>
      </c>
      <c r="L7425" s="382">
        <v>1.0</v>
      </c>
    </row>
    <row r="7426">
      <c r="A7426" s="380" t="s">
        <v>8300</v>
      </c>
      <c r="B7426" s="380" t="str">
        <f>IFERROR(__xludf.DUMMYFUNCTION("""COMPUTED_VALUE"""),"Pedal Acelerador Nkr 8978591010")</f>
        <v>Pedal Acelerador Nkr 8978591010</v>
      </c>
      <c r="C7426" s="380" t="str">
        <f>IFERROR(__xludf.DUMMYFUNCTION("""COMPUTED_VALUE"""),"70002838")</f>
        <v>70002838</v>
      </c>
      <c r="D7426" s="380" t="s">
        <v>767</v>
      </c>
      <c r="E7426" s="380" t="s">
        <v>786</v>
      </c>
      <c r="F7426" s="380" t="s">
        <v>792</v>
      </c>
      <c r="G7426" s="380" t="s">
        <v>1267</v>
      </c>
      <c r="H7426" s="380" t="s">
        <v>771</v>
      </c>
      <c r="I7426" s="380" t="s">
        <v>788</v>
      </c>
      <c r="J7426" s="380" t="s">
        <v>773</v>
      </c>
      <c r="K7426" s="381">
        <v>0.0</v>
      </c>
      <c r="L7426" s="382">
        <v>1.0</v>
      </c>
    </row>
    <row r="7427">
      <c r="A7427" s="380" t="s">
        <v>8301</v>
      </c>
      <c r="B7427" s="380" t="str">
        <f>IFERROR(__xludf.DUMMYFUNCTION("""COMPUTED_VALUE"""),"Guardapolvo Guardaba Izq Nkr 8978530724")</f>
        <v>Guardapolvo Guardaba Izq Nkr 8978530724</v>
      </c>
      <c r="C7427" s="380" t="str">
        <f>IFERROR(__xludf.DUMMYFUNCTION("""COMPUTED_VALUE"""),"70002839")</f>
        <v>70002839</v>
      </c>
      <c r="D7427" s="380" t="s">
        <v>767</v>
      </c>
      <c r="E7427" s="380" t="s">
        <v>786</v>
      </c>
      <c r="F7427" s="380" t="s">
        <v>792</v>
      </c>
      <c r="G7427" s="380" t="s">
        <v>1267</v>
      </c>
      <c r="H7427" s="380" t="s">
        <v>771</v>
      </c>
      <c r="I7427" s="380" t="s">
        <v>788</v>
      </c>
      <c r="J7427" s="380" t="s">
        <v>773</v>
      </c>
      <c r="K7427" s="381">
        <v>0.0</v>
      </c>
      <c r="L7427" s="382">
        <v>1.0</v>
      </c>
    </row>
    <row r="7428">
      <c r="A7428" s="380" t="s">
        <v>8302</v>
      </c>
      <c r="B7428" s="380" t="str">
        <f>IFERROR(__xludf.DUMMYFUNCTION("""COMPUTED_VALUE"""),"Hoja Resorte Del Hino Dutro Pro 54052/3")</f>
        <v>Hoja Resorte Del Hino Dutro Pro 54052/3</v>
      </c>
      <c r="C7428" s="380" t="str">
        <f>IFERROR(__xludf.DUMMYFUNCTION("""COMPUTED_VALUE"""),"70002840")</f>
        <v>70002840</v>
      </c>
      <c r="D7428" s="380" t="s">
        <v>767</v>
      </c>
      <c r="E7428" s="380" t="s">
        <v>786</v>
      </c>
      <c r="F7428" s="380" t="s">
        <v>1039</v>
      </c>
      <c r="G7428" s="380" t="s">
        <v>1267</v>
      </c>
      <c r="H7428" s="380" t="s">
        <v>771</v>
      </c>
      <c r="I7428" s="380" t="s">
        <v>788</v>
      </c>
      <c r="J7428" s="380" t="s">
        <v>773</v>
      </c>
      <c r="K7428" s="381">
        <v>0.0</v>
      </c>
      <c r="L7428" s="382">
        <v>1.0</v>
      </c>
    </row>
    <row r="7429">
      <c r="A7429" s="380" t="s">
        <v>8303</v>
      </c>
      <c r="B7429" s="380" t="str">
        <f>IFERROR(__xludf.DUMMYFUNCTION("""COMPUTED_VALUE"""),"Hoja Resorte Del Hino Dutro Pro 5402/4")</f>
        <v>Hoja Resorte Del Hino Dutro Pro 5402/4</v>
      </c>
      <c r="C7429" s="380" t="str">
        <f>IFERROR(__xludf.DUMMYFUNCTION("""COMPUTED_VALUE"""),"70002841")</f>
        <v>70002841</v>
      </c>
      <c r="D7429" s="380" t="s">
        <v>767</v>
      </c>
      <c r="E7429" s="380" t="s">
        <v>786</v>
      </c>
      <c r="F7429" s="380" t="s">
        <v>1039</v>
      </c>
      <c r="G7429" s="380" t="s">
        <v>1267</v>
      </c>
      <c r="H7429" s="380" t="s">
        <v>771</v>
      </c>
      <c r="I7429" s="380" t="s">
        <v>788</v>
      </c>
      <c r="J7429" s="380" t="s">
        <v>773</v>
      </c>
      <c r="K7429" s="381">
        <v>0.0</v>
      </c>
      <c r="L7429" s="382">
        <v>1.0</v>
      </c>
    </row>
    <row r="7430">
      <c r="A7430" s="380" t="s">
        <v>8304</v>
      </c>
      <c r="B7430" s="380" t="str">
        <f>IFERROR(__xludf.DUMMYFUNCTION("""COMPUTED_VALUE"""),"Hoja Resorte Del Hino Dutro Pro 54052/5")</f>
        <v>Hoja Resorte Del Hino Dutro Pro 54052/5</v>
      </c>
      <c r="C7430" s="380" t="str">
        <f>IFERROR(__xludf.DUMMYFUNCTION("""COMPUTED_VALUE"""),"70002842")</f>
        <v>70002842</v>
      </c>
      <c r="D7430" s="380" t="s">
        <v>767</v>
      </c>
      <c r="E7430" s="380" t="s">
        <v>786</v>
      </c>
      <c r="F7430" s="380" t="s">
        <v>1039</v>
      </c>
      <c r="G7430" s="380" t="s">
        <v>1267</v>
      </c>
      <c r="H7430" s="380" t="s">
        <v>771</v>
      </c>
      <c r="I7430" s="380" t="s">
        <v>788</v>
      </c>
      <c r="J7430" s="380" t="s">
        <v>773</v>
      </c>
      <c r="K7430" s="381">
        <v>0.0</v>
      </c>
      <c r="L7430" s="382">
        <v>1.0</v>
      </c>
    </row>
    <row r="7431">
      <c r="A7431" s="380" t="s">
        <v>8305</v>
      </c>
      <c r="B7431" s="380" t="str">
        <f>IFERROR(__xludf.DUMMYFUNCTION("""COMPUTED_VALUE"""),"Vidrio Puerta Lado Derecho FRR")</f>
        <v>Vidrio Puerta Lado Derecho FRR</v>
      </c>
      <c r="C7431" s="380" t="str">
        <f>IFERROR(__xludf.DUMMYFUNCTION("""COMPUTED_VALUE"""),"70002843")</f>
        <v>70002843</v>
      </c>
      <c r="D7431" s="380" t="s">
        <v>767</v>
      </c>
      <c r="E7431" s="380" t="s">
        <v>786</v>
      </c>
      <c r="F7431" s="380" t="s">
        <v>792</v>
      </c>
      <c r="G7431" s="380" t="s">
        <v>1267</v>
      </c>
      <c r="H7431" s="380" t="s">
        <v>771</v>
      </c>
      <c r="I7431" s="380" t="s">
        <v>788</v>
      </c>
      <c r="J7431" s="380" t="s">
        <v>773</v>
      </c>
      <c r="K7431" s="381">
        <v>0.0</v>
      </c>
      <c r="L7431" s="382">
        <v>1.0</v>
      </c>
    </row>
    <row r="7432">
      <c r="A7432" s="380" t="s">
        <v>8306</v>
      </c>
      <c r="B7432" s="380" t="str">
        <f>IFERROR(__xludf.DUMMYFUNCTION("""COMPUTED_VALUE"""),"Guardapolvo Eje C9GDA05U87 Nissan")</f>
        <v>Guardapolvo Eje C9GDA05U87 Nissan</v>
      </c>
      <c r="C7432" s="380" t="str">
        <f>IFERROR(__xludf.DUMMYFUNCTION("""COMPUTED_VALUE"""),"70002844")</f>
        <v>70002844</v>
      </c>
      <c r="D7432" s="380" t="s">
        <v>767</v>
      </c>
      <c r="E7432" s="380" t="s">
        <v>786</v>
      </c>
      <c r="F7432" s="380" t="s">
        <v>1017</v>
      </c>
      <c r="G7432" s="380" t="s">
        <v>1267</v>
      </c>
      <c r="H7432" s="380" t="s">
        <v>771</v>
      </c>
      <c r="I7432" s="380" t="s">
        <v>788</v>
      </c>
      <c r="J7432" s="380" t="s">
        <v>773</v>
      </c>
      <c r="K7432" s="381">
        <v>0.0</v>
      </c>
      <c r="L7432" s="382">
        <v>1.0</v>
      </c>
    </row>
    <row r="7433">
      <c r="A7433" s="380" t="s">
        <v>8307</v>
      </c>
      <c r="B7433" s="380" t="str">
        <f>IFERROR(__xludf.DUMMYFUNCTION("""COMPUTED_VALUE"""),"Cilindro Embrague 306104W00A Nissan")</f>
        <v>Cilindro Embrague 306104W00A Nissan</v>
      </c>
      <c r="C7433" s="380" t="str">
        <f>IFERROR(__xludf.DUMMYFUNCTION("""COMPUTED_VALUE"""),"70002845")</f>
        <v>70002845</v>
      </c>
      <c r="D7433" s="380" t="s">
        <v>767</v>
      </c>
      <c r="E7433" s="380" t="s">
        <v>786</v>
      </c>
      <c r="F7433" s="380" t="s">
        <v>5661</v>
      </c>
      <c r="G7433" s="380" t="s">
        <v>1267</v>
      </c>
      <c r="H7433" s="380" t="s">
        <v>771</v>
      </c>
      <c r="I7433" s="380" t="s">
        <v>788</v>
      </c>
      <c r="J7433" s="380" t="s">
        <v>773</v>
      </c>
      <c r="K7433" s="381">
        <v>0.0</v>
      </c>
      <c r="L7433" s="382">
        <v>1.0</v>
      </c>
    </row>
    <row r="7434">
      <c r="A7434" s="380" t="s">
        <v>8308</v>
      </c>
      <c r="B7434" s="380" t="str">
        <f>IFERROR(__xludf.DUMMYFUNCTION("""COMPUTED_VALUE"""),"Buje Caja Nissan 32861H7305")</f>
        <v>Buje Caja Nissan 32861H7305</v>
      </c>
      <c r="C7434" s="380" t="str">
        <f>IFERROR(__xludf.DUMMYFUNCTION("""COMPUTED_VALUE"""),"70002846")</f>
        <v>70002846</v>
      </c>
      <c r="D7434" s="380" t="s">
        <v>767</v>
      </c>
      <c r="E7434" s="380" t="s">
        <v>786</v>
      </c>
      <c r="F7434" s="380" t="s">
        <v>928</v>
      </c>
      <c r="G7434" s="380" t="s">
        <v>1267</v>
      </c>
      <c r="H7434" s="380" t="s">
        <v>771</v>
      </c>
      <c r="I7434" s="380" t="s">
        <v>788</v>
      </c>
      <c r="J7434" s="380" t="s">
        <v>773</v>
      </c>
      <c r="K7434" s="381">
        <v>0.0</v>
      </c>
      <c r="L7434" s="382">
        <v>1.0</v>
      </c>
    </row>
    <row r="7435">
      <c r="A7435" s="380" t="s">
        <v>8309</v>
      </c>
      <c r="B7435" s="380" t="str">
        <f>IFERROR(__xludf.DUMMYFUNCTION("""COMPUTED_VALUE"""),"Pasador Largo 5ª Rda 1 1/8 X 7""")</f>
        <v>Pasador Largo 5ª Rda 1 1/8 X 7"</v>
      </c>
      <c r="C7435" s="380" t="str">
        <f>IFERROR(__xludf.DUMMYFUNCTION("""COMPUTED_VALUE"""),"70002847")</f>
        <v>70002847</v>
      </c>
      <c r="D7435" s="380" t="s">
        <v>767</v>
      </c>
      <c r="E7435" s="380" t="s">
        <v>786</v>
      </c>
      <c r="F7435" s="380" t="s">
        <v>792</v>
      </c>
      <c r="G7435" s="380" t="s">
        <v>1267</v>
      </c>
      <c r="H7435" s="380" t="s">
        <v>771</v>
      </c>
      <c r="I7435" s="380" t="s">
        <v>788</v>
      </c>
      <c r="J7435" s="380" t="s">
        <v>773</v>
      </c>
      <c r="K7435" s="381">
        <v>0.0</v>
      </c>
      <c r="L7435" s="382">
        <v>1.0</v>
      </c>
    </row>
    <row r="7436">
      <c r="A7436" s="380" t="s">
        <v>8310</v>
      </c>
      <c r="B7436" s="380" t="str">
        <f>IFERROR(__xludf.DUMMYFUNCTION("""COMPUTED_VALUE"""),"Tijera Suspension Der Nissan 545000W001")</f>
        <v>Tijera Suspension Der Nissan 545000W001</v>
      </c>
      <c r="C7436" s="380" t="str">
        <f>IFERROR(__xludf.DUMMYFUNCTION("""COMPUTED_VALUE"""),"70002848")</f>
        <v>70002848</v>
      </c>
      <c r="D7436" s="380" t="s">
        <v>767</v>
      </c>
      <c r="E7436" s="380" t="s">
        <v>786</v>
      </c>
      <c r="F7436" s="380" t="s">
        <v>1039</v>
      </c>
      <c r="G7436" s="380" t="s">
        <v>1267</v>
      </c>
      <c r="H7436" s="380" t="s">
        <v>771</v>
      </c>
      <c r="I7436" s="380" t="s">
        <v>788</v>
      </c>
      <c r="J7436" s="380" t="s">
        <v>773</v>
      </c>
      <c r="K7436" s="381">
        <v>0.0</v>
      </c>
      <c r="L7436" s="382">
        <v>1.0</v>
      </c>
    </row>
    <row r="7437">
      <c r="A7437" s="380" t="s">
        <v>8311</v>
      </c>
      <c r="B7437" s="380" t="str">
        <f>IFERROR(__xludf.DUMMYFUNCTION("""COMPUTED_VALUE"""),"Bobina Encedido Nissan 224488J11C")</f>
        <v>Bobina Encedido Nissan 224488J11C</v>
      </c>
      <c r="C7437" s="380" t="str">
        <f>IFERROR(__xludf.DUMMYFUNCTION("""COMPUTED_VALUE"""),"70002849")</f>
        <v>70002849</v>
      </c>
      <c r="D7437" s="380" t="s">
        <v>767</v>
      </c>
      <c r="E7437" s="380" t="s">
        <v>786</v>
      </c>
      <c r="F7437" s="380" t="s">
        <v>998</v>
      </c>
      <c r="G7437" s="380" t="s">
        <v>1267</v>
      </c>
      <c r="H7437" s="380" t="s">
        <v>771</v>
      </c>
      <c r="I7437" s="380" t="s">
        <v>788</v>
      </c>
      <c r="J7437" s="380" t="s">
        <v>773</v>
      </c>
      <c r="K7437" s="381">
        <v>0.0</v>
      </c>
      <c r="L7437" s="382">
        <v>1.0</v>
      </c>
    </row>
    <row r="7438">
      <c r="A7438" s="380" t="s">
        <v>8312</v>
      </c>
      <c r="B7438" s="380" t="str">
        <f>IFERROR(__xludf.DUMMYFUNCTION("""COMPUTED_VALUE"""),"Tapasol Izq Isx 3661772C1")</f>
        <v>Tapasol Izq Isx 3661772C1</v>
      </c>
      <c r="C7438" s="380" t="str">
        <f>IFERROR(__xludf.DUMMYFUNCTION("""COMPUTED_VALUE"""),"70002850")</f>
        <v>70002850</v>
      </c>
      <c r="D7438" s="380" t="s">
        <v>767</v>
      </c>
      <c r="E7438" s="380" t="s">
        <v>786</v>
      </c>
      <c r="F7438" s="380" t="s">
        <v>792</v>
      </c>
      <c r="G7438" s="380" t="s">
        <v>1267</v>
      </c>
      <c r="H7438" s="380" t="s">
        <v>771</v>
      </c>
      <c r="I7438" s="380" t="s">
        <v>788</v>
      </c>
      <c r="J7438" s="380" t="s">
        <v>773</v>
      </c>
      <c r="K7438" s="381">
        <v>1277465.0</v>
      </c>
      <c r="L7438" s="382">
        <v>1.0</v>
      </c>
    </row>
    <row r="7439">
      <c r="A7439" s="380" t="s">
        <v>8313</v>
      </c>
      <c r="B7439" s="380" t="str">
        <f>IFERROR(__xludf.DUMMYFUNCTION("""COMPUTED_VALUE"""),"Varilla Medid Aceite Hino Dpc 15301E0870")</f>
        <v>Varilla Medid Aceite Hino Dpc 15301E0870</v>
      </c>
      <c r="C7439" s="380" t="str">
        <f>IFERROR(__xludf.DUMMYFUNCTION("""COMPUTED_VALUE"""),"70002851")</f>
        <v>70002851</v>
      </c>
      <c r="D7439" s="380" t="s">
        <v>767</v>
      </c>
      <c r="E7439" s="380" t="s">
        <v>786</v>
      </c>
      <c r="F7439" s="380" t="s">
        <v>787</v>
      </c>
      <c r="G7439" s="380" t="s">
        <v>1267</v>
      </c>
      <c r="H7439" s="380" t="s">
        <v>771</v>
      </c>
      <c r="I7439" s="380" t="s">
        <v>788</v>
      </c>
      <c r="J7439" s="380" t="s">
        <v>773</v>
      </c>
      <c r="K7439" s="381">
        <v>0.0</v>
      </c>
      <c r="L7439" s="382">
        <v>1.0</v>
      </c>
    </row>
    <row r="7440">
      <c r="A7440" s="380" t="s">
        <v>8314</v>
      </c>
      <c r="B7440" s="380" t="str">
        <f>IFERROR(__xludf.DUMMYFUNCTION("""COMPUTED_VALUE"""),"Empaquetadura Motor R Master 7701477813")</f>
        <v>Empaquetadura Motor R Master 7701477813</v>
      </c>
      <c r="C7440" s="380" t="str">
        <f>IFERROR(__xludf.DUMMYFUNCTION("""COMPUTED_VALUE"""),"70002852")</f>
        <v>70002852</v>
      </c>
      <c r="D7440" s="380" t="s">
        <v>767</v>
      </c>
      <c r="E7440" s="380" t="s">
        <v>786</v>
      </c>
      <c r="F7440" s="380" t="s">
        <v>787</v>
      </c>
      <c r="G7440" s="380" t="s">
        <v>1267</v>
      </c>
      <c r="H7440" s="380" t="s">
        <v>771</v>
      </c>
      <c r="I7440" s="380" t="s">
        <v>788</v>
      </c>
      <c r="J7440" s="380" t="s">
        <v>773</v>
      </c>
      <c r="K7440" s="381">
        <v>0.0</v>
      </c>
      <c r="L7440" s="382">
        <v>1.0</v>
      </c>
    </row>
    <row r="7441">
      <c r="A7441" s="380" t="s">
        <v>8315</v>
      </c>
      <c r="B7441" s="380" t="str">
        <f>IFERROR(__xludf.DUMMYFUNCTION("""COMPUTED_VALUE"""),"Pasador Muelle Delantero 1 1/8 X 7""")</f>
        <v>Pasador Muelle Delantero 1 1/8 X 7"</v>
      </c>
      <c r="C7441" s="380" t="str">
        <f>IFERROR(__xludf.DUMMYFUNCTION("""COMPUTED_VALUE"""),"70002853")</f>
        <v>70002853</v>
      </c>
      <c r="D7441" s="380" t="s">
        <v>767</v>
      </c>
      <c r="E7441" s="380" t="s">
        <v>786</v>
      </c>
      <c r="F7441" s="380" t="s">
        <v>1039</v>
      </c>
      <c r="G7441" s="380" t="s">
        <v>1267</v>
      </c>
      <c r="H7441" s="380" t="s">
        <v>771</v>
      </c>
      <c r="I7441" s="380" t="s">
        <v>788</v>
      </c>
      <c r="J7441" s="380" t="s">
        <v>773</v>
      </c>
      <c r="K7441" s="381">
        <v>20880.0</v>
      </c>
      <c r="L7441" s="382">
        <v>1.0</v>
      </c>
    </row>
    <row r="7442">
      <c r="A7442" s="380" t="s">
        <v>8316</v>
      </c>
      <c r="B7442" s="380" t="str">
        <f>IFERROR(__xludf.DUMMYFUNCTION("""COMPUTED_VALUE"""),"Moldura Ext Izq Parabris Nkr 8978537874")</f>
        <v>Moldura Ext Izq Parabris Nkr 8978537874</v>
      </c>
      <c r="C7442" s="380" t="str">
        <f>IFERROR(__xludf.DUMMYFUNCTION("""COMPUTED_VALUE"""),"70002854")</f>
        <v>70002854</v>
      </c>
      <c r="D7442" s="380" t="s">
        <v>767</v>
      </c>
      <c r="E7442" s="380" t="s">
        <v>786</v>
      </c>
      <c r="F7442" s="380" t="s">
        <v>792</v>
      </c>
      <c r="G7442" s="380" t="s">
        <v>1267</v>
      </c>
      <c r="H7442" s="380" t="s">
        <v>771</v>
      </c>
      <c r="I7442" s="380" t="s">
        <v>788</v>
      </c>
      <c r="J7442" s="380" t="s">
        <v>773</v>
      </c>
      <c r="K7442" s="381">
        <v>0.0</v>
      </c>
      <c r="L7442" s="382">
        <v>1.0</v>
      </c>
    </row>
    <row r="7443">
      <c r="A7443" s="380" t="s">
        <v>8317</v>
      </c>
      <c r="B7443" s="380" t="str">
        <f>IFERROR(__xludf.DUMMYFUNCTION("""COMPUTED_VALUE"""),"Juego Splinder FRR 1878312953")</f>
        <v>Juego Splinder FRR 1878312953</v>
      </c>
      <c r="C7443" s="380" t="str">
        <f>IFERROR(__xludf.DUMMYFUNCTION("""COMPUTED_VALUE"""),"70002855")</f>
        <v>70002855</v>
      </c>
      <c r="D7443" s="380" t="s">
        <v>767</v>
      </c>
      <c r="E7443" s="380" t="s">
        <v>786</v>
      </c>
      <c r="F7443" s="380" t="s">
        <v>787</v>
      </c>
      <c r="G7443" s="380" t="s">
        <v>1267</v>
      </c>
      <c r="H7443" s="380" t="s">
        <v>771</v>
      </c>
      <c r="I7443" s="380" t="s">
        <v>788</v>
      </c>
      <c r="J7443" s="380" t="s">
        <v>773</v>
      </c>
      <c r="K7443" s="381">
        <v>0.0</v>
      </c>
      <c r="L7443" s="382">
        <v>1.0</v>
      </c>
    </row>
    <row r="7444">
      <c r="A7444" s="380" t="s">
        <v>8318</v>
      </c>
      <c r="B7444" s="380" t="str">
        <f>IFERROR(__xludf.DUMMYFUNCTION("""COMPUTED_VALUE"""),"Pasador Central Trasero 3/8 X 5 3/8 X 5""")</f>
        <v>Pasador Central Trasero 3/8 X 5 3/8 X 5"</v>
      </c>
      <c r="C7444" s="380" t="str">
        <f>IFERROR(__xludf.DUMMYFUNCTION("""COMPUTED_VALUE"""),"70002856")</f>
        <v>70002856</v>
      </c>
      <c r="D7444" s="380" t="s">
        <v>767</v>
      </c>
      <c r="E7444" s="380" t="s">
        <v>786</v>
      </c>
      <c r="F7444" s="380" t="s">
        <v>1039</v>
      </c>
      <c r="G7444" s="380" t="s">
        <v>1267</v>
      </c>
      <c r="H7444" s="380" t="s">
        <v>771</v>
      </c>
      <c r="I7444" s="380" t="s">
        <v>788</v>
      </c>
      <c r="J7444" s="380" t="s">
        <v>773</v>
      </c>
      <c r="K7444" s="381">
        <v>0.0</v>
      </c>
      <c r="L7444" s="382">
        <v>1.0</v>
      </c>
    </row>
    <row r="7445">
      <c r="A7445" s="380" t="s">
        <v>8319</v>
      </c>
      <c r="B7445" s="380" t="str">
        <f>IFERROR(__xludf.DUMMYFUNCTION("""COMPUTED_VALUE"""),"Juego Splinder Eagle R201319 2603340C91")</f>
        <v>Juego Splinder Eagle R201319 2603340C91</v>
      </c>
      <c r="C7445" s="380" t="str">
        <f>IFERROR(__xludf.DUMMYFUNCTION("""COMPUTED_VALUE"""),"70002857")</f>
        <v>70002857</v>
      </c>
      <c r="D7445" s="380" t="s">
        <v>767</v>
      </c>
      <c r="E7445" s="380" t="s">
        <v>786</v>
      </c>
      <c r="F7445" s="380" t="s">
        <v>1039</v>
      </c>
      <c r="G7445" s="380" t="s">
        <v>1267</v>
      </c>
      <c r="H7445" s="380" t="s">
        <v>771</v>
      </c>
      <c r="I7445" s="380" t="s">
        <v>788</v>
      </c>
      <c r="J7445" s="380" t="s">
        <v>773</v>
      </c>
      <c r="K7445" s="381">
        <v>0.0</v>
      </c>
      <c r="L7445" s="382">
        <v>1.0</v>
      </c>
    </row>
    <row r="7446">
      <c r="A7446" s="380" t="s">
        <v>8320</v>
      </c>
      <c r="B7446" s="380" t="str">
        <f>IFERROR(__xludf.DUMMYFUNCTION("""COMPUTED_VALUE"""),"Balinera Cardan Nkr Reward 52067835")</f>
        <v>Balinera Cardan Nkr Reward 52067835</v>
      </c>
      <c r="C7446" s="380" t="str">
        <f>IFERROR(__xludf.DUMMYFUNCTION("""COMPUTED_VALUE"""),"70002858")</f>
        <v>70002858</v>
      </c>
      <c r="D7446" s="380" t="s">
        <v>767</v>
      </c>
      <c r="E7446" s="380" t="s">
        <v>786</v>
      </c>
      <c r="F7446" s="380" t="s">
        <v>5683</v>
      </c>
      <c r="G7446" s="380" t="s">
        <v>1267</v>
      </c>
      <c r="H7446" s="380" t="s">
        <v>771</v>
      </c>
      <c r="I7446" s="380" t="s">
        <v>788</v>
      </c>
      <c r="J7446" s="380" t="s">
        <v>773</v>
      </c>
      <c r="K7446" s="381">
        <v>0.0</v>
      </c>
      <c r="L7446" s="382">
        <v>1.0</v>
      </c>
    </row>
    <row r="7447">
      <c r="A7447" s="380" t="s">
        <v>8321</v>
      </c>
      <c r="B7447" s="380" t="str">
        <f>IFERROR(__xludf.DUMMYFUNCTION("""COMPUTED_VALUE"""),"Hausing Trasero Nkr Reward 8970328615")</f>
        <v>Hausing Trasero Nkr Reward 8970328615</v>
      </c>
      <c r="C7447" s="380" t="str">
        <f>IFERROR(__xludf.DUMMYFUNCTION("""COMPUTED_VALUE"""),"70002859")</f>
        <v>70002859</v>
      </c>
      <c r="D7447" s="380" t="s">
        <v>767</v>
      </c>
      <c r="E7447" s="380" t="s">
        <v>786</v>
      </c>
      <c r="F7447" s="380" t="s">
        <v>5683</v>
      </c>
      <c r="G7447" s="380" t="s">
        <v>1267</v>
      </c>
      <c r="H7447" s="380" t="s">
        <v>771</v>
      </c>
      <c r="I7447" s="380" t="s">
        <v>788</v>
      </c>
      <c r="J7447" s="380" t="s">
        <v>773</v>
      </c>
      <c r="K7447" s="381">
        <v>0.0</v>
      </c>
      <c r="L7447" s="382">
        <v>1.0</v>
      </c>
    </row>
    <row r="7448">
      <c r="A7448" s="380" t="s">
        <v>8322</v>
      </c>
      <c r="B7448" s="380" t="str">
        <f>IFERROR(__xludf.DUMMYFUNCTION("""COMPUTED_VALUE"""),"Tapa Filtro Separador Sup Eag 1694745C91")</f>
        <v>Tapa Filtro Separador Sup Eag 1694745C91</v>
      </c>
      <c r="C7448" s="380" t="str">
        <f>IFERROR(__xludf.DUMMYFUNCTION("""COMPUTED_VALUE"""),"70002860")</f>
        <v>70002860</v>
      </c>
      <c r="D7448" s="380" t="s">
        <v>767</v>
      </c>
      <c r="E7448" s="380" t="s">
        <v>786</v>
      </c>
      <c r="F7448" s="380" t="s">
        <v>787</v>
      </c>
      <c r="G7448" s="380" t="s">
        <v>1267</v>
      </c>
      <c r="H7448" s="380" t="s">
        <v>771</v>
      </c>
      <c r="I7448" s="380" t="s">
        <v>788</v>
      </c>
      <c r="J7448" s="380" t="s">
        <v>773</v>
      </c>
      <c r="K7448" s="381">
        <v>0.0</v>
      </c>
      <c r="L7448" s="382">
        <v>1.0</v>
      </c>
    </row>
    <row r="7449">
      <c r="A7449" s="380" t="s">
        <v>8323</v>
      </c>
      <c r="B7449" s="380" t="str">
        <f>IFERROR(__xludf.DUMMYFUNCTION("""COMPUTED_VALUE"""),"Bomba Direc Hidraul Nkr Rewar 8980432053")</f>
        <v>Bomba Direc Hidraul Nkr Rewar 8980432053</v>
      </c>
      <c r="C7449" s="380" t="str">
        <f>IFERROR(__xludf.DUMMYFUNCTION("""COMPUTED_VALUE"""),"70002861")</f>
        <v>70002861</v>
      </c>
      <c r="D7449" s="380" t="s">
        <v>767</v>
      </c>
      <c r="E7449" s="380" t="s">
        <v>786</v>
      </c>
      <c r="F7449" s="380" t="s">
        <v>1020</v>
      </c>
      <c r="G7449" s="380" t="s">
        <v>1267</v>
      </c>
      <c r="H7449" s="380" t="s">
        <v>771</v>
      </c>
      <c r="I7449" s="380" t="s">
        <v>788</v>
      </c>
      <c r="J7449" s="380" t="s">
        <v>773</v>
      </c>
      <c r="K7449" s="381">
        <v>0.0</v>
      </c>
      <c r="L7449" s="382">
        <v>1.0</v>
      </c>
    </row>
    <row r="7450">
      <c r="A7450" s="380" t="s">
        <v>8324</v>
      </c>
      <c r="B7450" s="380" t="str">
        <f>IFERROR(__xludf.DUMMYFUNCTION("""COMPUTED_VALUE"""),"Espejo Retrovisor Izq Volswagen 857507")</f>
        <v>Espejo Retrovisor Izq Volswagen 857507</v>
      </c>
      <c r="C7450" s="380" t="str">
        <f>IFERROR(__xludf.DUMMYFUNCTION("""COMPUTED_VALUE"""),"70002862")</f>
        <v>70002862</v>
      </c>
      <c r="D7450" s="380" t="s">
        <v>767</v>
      </c>
      <c r="E7450" s="380" t="s">
        <v>786</v>
      </c>
      <c r="F7450" s="380" t="s">
        <v>792</v>
      </c>
      <c r="G7450" s="380" t="s">
        <v>1267</v>
      </c>
      <c r="H7450" s="380" t="s">
        <v>771</v>
      </c>
      <c r="I7450" s="380" t="s">
        <v>788</v>
      </c>
      <c r="J7450" s="380" t="s">
        <v>773</v>
      </c>
      <c r="K7450" s="381">
        <v>0.0</v>
      </c>
      <c r="L7450" s="382">
        <v>1.0</v>
      </c>
    </row>
    <row r="7451">
      <c r="A7451" s="380" t="s">
        <v>8325</v>
      </c>
      <c r="B7451" s="380" t="str">
        <f>IFERROR(__xludf.DUMMYFUNCTION("""COMPUTED_VALUE"""),"Pasador Central SB 1/2 X 10""")</f>
        <v>Pasador Central SB 1/2 X 10"</v>
      </c>
      <c r="C7451" s="380" t="str">
        <f>IFERROR(__xludf.DUMMYFUNCTION("""COMPUTED_VALUE"""),"70002863")</f>
        <v>70002863</v>
      </c>
      <c r="D7451" s="380" t="s">
        <v>767</v>
      </c>
      <c r="E7451" s="380" t="s">
        <v>786</v>
      </c>
      <c r="F7451" s="380" t="s">
        <v>1039</v>
      </c>
      <c r="G7451" s="380" t="s">
        <v>1267</v>
      </c>
      <c r="H7451" s="380" t="s">
        <v>771</v>
      </c>
      <c r="I7451" s="380" t="s">
        <v>788</v>
      </c>
      <c r="J7451" s="380" t="s">
        <v>773</v>
      </c>
      <c r="K7451" s="381">
        <v>7856.0</v>
      </c>
      <c r="L7451" s="382">
        <v>1.0</v>
      </c>
    </row>
    <row r="7452">
      <c r="A7452" s="380" t="s">
        <v>8326</v>
      </c>
      <c r="B7452" s="380" t="str">
        <f>IFERROR(__xludf.DUMMYFUNCTION("""COMPUTED_VALUE"""),"Mordaza Freno Delantero 3W180 7701023504")</f>
        <v>Mordaza Freno Delantero 3W180 7701023504</v>
      </c>
      <c r="C7452" s="380" t="str">
        <f>IFERROR(__xludf.DUMMYFUNCTION("""COMPUTED_VALUE"""),"70002864")</f>
        <v>70002864</v>
      </c>
      <c r="D7452" s="380" t="s">
        <v>767</v>
      </c>
      <c r="E7452" s="380" t="s">
        <v>786</v>
      </c>
      <c r="F7452" s="380" t="s">
        <v>1017</v>
      </c>
      <c r="G7452" s="380" t="s">
        <v>1267</v>
      </c>
      <c r="H7452" s="380" t="s">
        <v>771</v>
      </c>
      <c r="I7452" s="380" t="s">
        <v>788</v>
      </c>
      <c r="J7452" s="380" t="s">
        <v>773</v>
      </c>
      <c r="K7452" s="381">
        <v>0.0</v>
      </c>
      <c r="L7452" s="382">
        <v>1.0</v>
      </c>
    </row>
    <row r="7453">
      <c r="A7453" s="380" t="s">
        <v>8327</v>
      </c>
      <c r="B7453" s="380" t="str">
        <f>IFERROR(__xludf.DUMMYFUNCTION("""COMPUTED_VALUE"""),"Guaya Freno Parqueo FRR 8983476780")</f>
        <v>Guaya Freno Parqueo FRR 8983476780</v>
      </c>
      <c r="C7453" s="380" t="str">
        <f>IFERROR(__xludf.DUMMYFUNCTION("""COMPUTED_VALUE"""),"70002865")</f>
        <v>70002865</v>
      </c>
      <c r="D7453" s="380" t="s">
        <v>767</v>
      </c>
      <c r="E7453" s="380" t="s">
        <v>786</v>
      </c>
      <c r="F7453" s="380" t="s">
        <v>1017</v>
      </c>
      <c r="G7453" s="380" t="s">
        <v>1267</v>
      </c>
      <c r="H7453" s="380" t="s">
        <v>771</v>
      </c>
      <c r="I7453" s="380" t="s">
        <v>788</v>
      </c>
      <c r="J7453" s="380" t="s">
        <v>773</v>
      </c>
      <c r="K7453" s="381">
        <v>0.0</v>
      </c>
      <c r="L7453" s="382">
        <v>1.0</v>
      </c>
    </row>
    <row r="7454">
      <c r="A7454" s="380" t="s">
        <v>8328</v>
      </c>
      <c r="B7454" s="380" t="str">
        <f>IFERROR(__xludf.DUMMYFUNCTION("""COMPUTED_VALUE"""),"Guardapolvo Del Derecho FRR 8981526460")</f>
        <v>Guardapolvo Del Derecho FRR 8981526460</v>
      </c>
      <c r="C7454" s="380" t="str">
        <f>IFERROR(__xludf.DUMMYFUNCTION("""COMPUTED_VALUE"""),"70002866")</f>
        <v>70002866</v>
      </c>
      <c r="D7454" s="380" t="s">
        <v>767</v>
      </c>
      <c r="E7454" s="380" t="s">
        <v>786</v>
      </c>
      <c r="F7454" s="380" t="s">
        <v>792</v>
      </c>
      <c r="G7454" s="380" t="s">
        <v>1267</v>
      </c>
      <c r="H7454" s="380" t="s">
        <v>771</v>
      </c>
      <c r="I7454" s="380" t="s">
        <v>788</v>
      </c>
      <c r="J7454" s="380" t="s">
        <v>773</v>
      </c>
      <c r="K7454" s="381">
        <v>570917.0</v>
      </c>
      <c r="L7454" s="382">
        <v>1.0</v>
      </c>
    </row>
    <row r="7455">
      <c r="A7455" s="380" t="s">
        <v>8329</v>
      </c>
      <c r="B7455" s="380" t="str">
        <f>IFERROR(__xludf.DUMMYFUNCTION("""COMPUTED_VALUE"""),"Espejo Exterior Derecho FRR 8980559911")</f>
        <v>Espejo Exterior Derecho FRR 8980559911</v>
      </c>
      <c r="C7455" s="380" t="str">
        <f>IFERROR(__xludf.DUMMYFUNCTION("""COMPUTED_VALUE"""),"70002867")</f>
        <v>70002867</v>
      </c>
      <c r="D7455" s="380" t="s">
        <v>767</v>
      </c>
      <c r="E7455" s="380" t="s">
        <v>786</v>
      </c>
      <c r="F7455" s="380" t="s">
        <v>792</v>
      </c>
      <c r="G7455" s="380" t="s">
        <v>1267</v>
      </c>
      <c r="H7455" s="380" t="s">
        <v>771</v>
      </c>
      <c r="I7455" s="380" t="s">
        <v>788</v>
      </c>
      <c r="J7455" s="380" t="s">
        <v>773</v>
      </c>
      <c r="K7455" s="381">
        <v>0.0</v>
      </c>
      <c r="L7455" s="382">
        <v>1.0</v>
      </c>
    </row>
    <row r="7456">
      <c r="A7456" s="380" t="s">
        <v>8330</v>
      </c>
      <c r="B7456" s="380" t="str">
        <f>IFERROR(__xludf.DUMMYFUNCTION("""COMPUTED_VALUE"""),"Soporte Bomper Izq FRR 8976115164")</f>
        <v>Soporte Bomper Izq FRR 8976115164</v>
      </c>
      <c r="C7456" s="380" t="str">
        <f>IFERROR(__xludf.DUMMYFUNCTION("""COMPUTED_VALUE"""),"70002868")</f>
        <v>70002868</v>
      </c>
      <c r="D7456" s="380" t="s">
        <v>767</v>
      </c>
      <c r="E7456" s="380" t="s">
        <v>786</v>
      </c>
      <c r="F7456" s="380" t="s">
        <v>792</v>
      </c>
      <c r="G7456" s="380" t="s">
        <v>1267</v>
      </c>
      <c r="H7456" s="380" t="s">
        <v>771</v>
      </c>
      <c r="I7456" s="380" t="s">
        <v>788</v>
      </c>
      <c r="J7456" s="380" t="s">
        <v>773</v>
      </c>
      <c r="K7456" s="381">
        <v>0.0</v>
      </c>
      <c r="L7456" s="382">
        <v>1.0</v>
      </c>
    </row>
    <row r="7457">
      <c r="A7457" s="380" t="s">
        <v>8331</v>
      </c>
      <c r="B7457" s="380" t="str">
        <f>IFERROR(__xludf.DUMMYFUNCTION("""COMPUTED_VALUE"""),"Pasador Central SB 1/2 X 8""")</f>
        <v>Pasador Central SB 1/2 X 8"</v>
      </c>
      <c r="C7457" s="380" t="str">
        <f>IFERROR(__xludf.DUMMYFUNCTION("""COMPUTED_VALUE"""),"70002869")</f>
        <v>70002869</v>
      </c>
      <c r="D7457" s="380" t="s">
        <v>767</v>
      </c>
      <c r="E7457" s="380" t="s">
        <v>786</v>
      </c>
      <c r="F7457" s="380" t="s">
        <v>1039</v>
      </c>
      <c r="G7457" s="380" t="s">
        <v>1267</v>
      </c>
      <c r="H7457" s="380" t="s">
        <v>771</v>
      </c>
      <c r="I7457" s="380" t="s">
        <v>788</v>
      </c>
      <c r="J7457" s="380" t="s">
        <v>773</v>
      </c>
      <c r="K7457" s="381">
        <v>5950.0</v>
      </c>
      <c r="L7457" s="382">
        <v>1.0</v>
      </c>
    </row>
    <row r="7458">
      <c r="A7458" s="380" t="s">
        <v>8332</v>
      </c>
      <c r="B7458" s="380" t="str">
        <f>IFERROR(__xludf.DUMMYFUNCTION("""COMPUTED_VALUE"""),"Guaya Control Cambios FRR 8981672372")</f>
        <v>Guaya Control Cambios FRR 8981672372</v>
      </c>
      <c r="C7458" s="380" t="str">
        <f>IFERROR(__xludf.DUMMYFUNCTION("""COMPUTED_VALUE"""),"70002870")</f>
        <v>70002870</v>
      </c>
      <c r="D7458" s="380" t="s">
        <v>767</v>
      </c>
      <c r="E7458" s="380" t="s">
        <v>786</v>
      </c>
      <c r="F7458" s="380" t="s">
        <v>5661</v>
      </c>
      <c r="G7458" s="380" t="s">
        <v>1267</v>
      </c>
      <c r="H7458" s="380" t="s">
        <v>771</v>
      </c>
      <c r="I7458" s="380" t="s">
        <v>788</v>
      </c>
      <c r="J7458" s="380" t="s">
        <v>773</v>
      </c>
      <c r="K7458" s="381">
        <v>195001.0</v>
      </c>
      <c r="L7458" s="382">
        <v>1.0</v>
      </c>
    </row>
    <row r="7459">
      <c r="A7459" s="380" t="s">
        <v>8333</v>
      </c>
      <c r="B7459" s="380" t="str">
        <f>IFERROR(__xludf.DUMMYFUNCTION("""COMPUTED_VALUE"""),"Valvula EGR FRR 8980982575")</f>
        <v>Valvula EGR FRR 8980982575</v>
      </c>
      <c r="C7459" s="380" t="str">
        <f>IFERROR(__xludf.DUMMYFUNCTION("""COMPUTED_VALUE"""),"70002871")</f>
        <v>70002871</v>
      </c>
      <c r="D7459" s="380" t="s">
        <v>767</v>
      </c>
      <c r="E7459" s="380" t="s">
        <v>786</v>
      </c>
      <c r="F7459" s="380" t="s">
        <v>787</v>
      </c>
      <c r="G7459" s="380" t="s">
        <v>1267</v>
      </c>
      <c r="H7459" s="380" t="s">
        <v>771</v>
      </c>
      <c r="I7459" s="380" t="s">
        <v>788</v>
      </c>
      <c r="J7459" s="380" t="s">
        <v>773</v>
      </c>
      <c r="K7459" s="381">
        <v>0.0</v>
      </c>
      <c r="L7459" s="382">
        <v>1.0</v>
      </c>
    </row>
    <row r="7460">
      <c r="A7460" s="380" t="s">
        <v>8334</v>
      </c>
      <c r="B7460" s="380" t="str">
        <f>IFERROR(__xludf.DUMMYFUNCTION("""COMPUTED_VALUE"""),"Carcaza Purificador Aire FRR 8980821651")</f>
        <v>Carcaza Purificador Aire FRR 8980821651</v>
      </c>
      <c r="C7460" s="380" t="str">
        <f>IFERROR(__xludf.DUMMYFUNCTION("""COMPUTED_VALUE"""),"70002872")</f>
        <v>70002872</v>
      </c>
      <c r="D7460" s="380" t="s">
        <v>767</v>
      </c>
      <c r="E7460" s="380" t="s">
        <v>786</v>
      </c>
      <c r="F7460" s="380" t="s">
        <v>787</v>
      </c>
      <c r="G7460" s="380" t="s">
        <v>1267</v>
      </c>
      <c r="H7460" s="380" t="s">
        <v>771</v>
      </c>
      <c r="I7460" s="380" t="s">
        <v>788</v>
      </c>
      <c r="J7460" s="380" t="s">
        <v>773</v>
      </c>
      <c r="K7460" s="381">
        <v>0.0</v>
      </c>
      <c r="L7460" s="382">
        <v>1.0</v>
      </c>
    </row>
    <row r="7461">
      <c r="A7461" s="380" t="s">
        <v>8335</v>
      </c>
      <c r="B7461" s="380" t="str">
        <f>IFERROR(__xludf.DUMMYFUNCTION("""COMPUTED_VALUE"""),"Pasador Central 5/8 X 10""")</f>
        <v>Pasador Central 5/8 X 10"</v>
      </c>
      <c r="C7461" s="380" t="str">
        <f>IFERROR(__xludf.DUMMYFUNCTION("""COMPUTED_VALUE"""),"70002873")</f>
        <v>70002873</v>
      </c>
      <c r="D7461" s="380" t="s">
        <v>767</v>
      </c>
      <c r="E7461" s="380" t="s">
        <v>786</v>
      </c>
      <c r="F7461" s="380" t="s">
        <v>1039</v>
      </c>
      <c r="G7461" s="380" t="s">
        <v>1267</v>
      </c>
      <c r="H7461" s="380" t="s">
        <v>771</v>
      </c>
      <c r="I7461" s="380" t="s">
        <v>788</v>
      </c>
      <c r="J7461" s="380" t="s">
        <v>773</v>
      </c>
      <c r="K7461" s="381">
        <v>0.0</v>
      </c>
      <c r="L7461" s="382">
        <v>1.0</v>
      </c>
    </row>
    <row r="7462">
      <c r="A7462" s="380" t="s">
        <v>8336</v>
      </c>
      <c r="B7462" s="380" t="str">
        <f>IFERROR(__xludf.DUMMYFUNCTION("""COMPUTED_VALUE"""),"Kit Sellos Valvula Secador Mack 3918353")</f>
        <v>Kit Sellos Valvula Secador Mack 3918353</v>
      </c>
      <c r="C7462" s="380" t="str">
        <f>IFERROR(__xludf.DUMMYFUNCTION("""COMPUTED_VALUE"""),"70002874")</f>
        <v>70002874</v>
      </c>
      <c r="D7462" s="380" t="s">
        <v>767</v>
      </c>
      <c r="E7462" s="380" t="s">
        <v>786</v>
      </c>
      <c r="F7462" s="380" t="s">
        <v>1017</v>
      </c>
      <c r="G7462" s="380" t="s">
        <v>1267</v>
      </c>
      <c r="H7462" s="380" t="s">
        <v>771</v>
      </c>
      <c r="I7462" s="380" t="s">
        <v>788</v>
      </c>
      <c r="J7462" s="380" t="s">
        <v>773</v>
      </c>
      <c r="K7462" s="381">
        <v>0.0</v>
      </c>
      <c r="L7462" s="382">
        <v>1.0</v>
      </c>
    </row>
    <row r="7463">
      <c r="A7463" s="380" t="s">
        <v>8337</v>
      </c>
      <c r="B7463" s="380" t="str">
        <f>IFERROR(__xludf.DUMMYFUNCTION("""COMPUTED_VALUE"""),"Multiple Admision N200 9052823")</f>
        <v>Multiple Admision N200 9052823</v>
      </c>
      <c r="C7463" s="380" t="str">
        <f>IFERROR(__xludf.DUMMYFUNCTION("""COMPUTED_VALUE"""),"70002875")</f>
        <v>70002875</v>
      </c>
      <c r="D7463" s="380" t="s">
        <v>767</v>
      </c>
      <c r="E7463" s="380" t="s">
        <v>786</v>
      </c>
      <c r="F7463" s="380" t="s">
        <v>787</v>
      </c>
      <c r="G7463" s="380" t="s">
        <v>1267</v>
      </c>
      <c r="H7463" s="380" t="s">
        <v>771</v>
      </c>
      <c r="I7463" s="380" t="s">
        <v>788</v>
      </c>
      <c r="J7463" s="380" t="s">
        <v>773</v>
      </c>
      <c r="K7463" s="381">
        <v>0.0</v>
      </c>
      <c r="L7463" s="382">
        <v>1.0</v>
      </c>
    </row>
    <row r="7464">
      <c r="A7464" s="380" t="s">
        <v>8338</v>
      </c>
      <c r="B7464" s="380" t="str">
        <f>IFERROR(__xludf.DUMMYFUNCTION("""COMPUTED_VALUE"""),"Juego Hombros Quinta Rueda")</f>
        <v>Juego Hombros Quinta Rueda</v>
      </c>
      <c r="C7464" s="380" t="str">
        <f>IFERROR(__xludf.DUMMYFUNCTION("""COMPUTED_VALUE"""),"70002876")</f>
        <v>70002876</v>
      </c>
      <c r="D7464" s="380" t="s">
        <v>767</v>
      </c>
      <c r="E7464" s="380" t="s">
        <v>786</v>
      </c>
      <c r="F7464" s="380" t="s">
        <v>792</v>
      </c>
      <c r="G7464" s="380" t="s">
        <v>1267</v>
      </c>
      <c r="H7464" s="380" t="s">
        <v>771</v>
      </c>
      <c r="I7464" s="380" t="s">
        <v>788</v>
      </c>
      <c r="J7464" s="380" t="s">
        <v>773</v>
      </c>
      <c r="K7464" s="381">
        <v>0.0</v>
      </c>
      <c r="L7464" s="382">
        <v>1.0</v>
      </c>
    </row>
    <row r="7465">
      <c r="A7465" s="380" t="s">
        <v>8339</v>
      </c>
      <c r="B7465" s="380" t="str">
        <f>IFERROR(__xludf.DUMMYFUNCTION("""COMPUTED_VALUE"""),"Pasador Central Hi 1/2 X 7""")</f>
        <v>Pasador Central Hi 1/2 X 7"</v>
      </c>
      <c r="C7465" s="380" t="str">
        <f>IFERROR(__xludf.DUMMYFUNCTION("""COMPUTED_VALUE"""),"70002877")</f>
        <v>70002877</v>
      </c>
      <c r="D7465" s="380" t="s">
        <v>767</v>
      </c>
      <c r="E7465" s="380" t="s">
        <v>786</v>
      </c>
      <c r="F7465" s="380" t="s">
        <v>1039</v>
      </c>
      <c r="G7465" s="380" t="s">
        <v>1267</v>
      </c>
      <c r="H7465" s="380" t="s">
        <v>771</v>
      </c>
      <c r="I7465" s="380" t="s">
        <v>788</v>
      </c>
      <c r="J7465" s="380" t="s">
        <v>773</v>
      </c>
      <c r="K7465" s="381">
        <v>0.0</v>
      </c>
      <c r="L7465" s="382">
        <v>1.0</v>
      </c>
    </row>
    <row r="7466">
      <c r="A7466" s="380" t="s">
        <v>8340</v>
      </c>
      <c r="B7466" s="380" t="str">
        <f>IFERROR(__xludf.DUMMYFUNCTION("""COMPUTED_VALUE"""),"Amortiguador Trasero Hino 4853180796")</f>
        <v>Amortiguador Trasero Hino 4853180796</v>
      </c>
      <c r="C7466" s="380" t="str">
        <f>IFERROR(__xludf.DUMMYFUNCTION("""COMPUTED_VALUE"""),"70002878")</f>
        <v>70002878</v>
      </c>
      <c r="D7466" s="380" t="s">
        <v>767</v>
      </c>
      <c r="E7466" s="380" t="s">
        <v>786</v>
      </c>
      <c r="F7466" s="380" t="s">
        <v>1039</v>
      </c>
      <c r="G7466" s="380" t="s">
        <v>1267</v>
      </c>
      <c r="H7466" s="380" t="s">
        <v>771</v>
      </c>
      <c r="I7466" s="380" t="s">
        <v>788</v>
      </c>
      <c r="J7466" s="380" t="s">
        <v>773</v>
      </c>
      <c r="K7466" s="381">
        <v>180001.0</v>
      </c>
      <c r="L7466" s="382">
        <v>1.0</v>
      </c>
    </row>
    <row r="7467">
      <c r="A7467" s="380" t="s">
        <v>8341</v>
      </c>
      <c r="B7467" s="380" t="str">
        <f>IFERROR(__xludf.DUMMYFUNCTION("""COMPUTED_VALUE"""),"Brazo Direccion Pitman T Delta")</f>
        <v>Brazo Direccion Pitman T Delta</v>
      </c>
      <c r="C7467" s="380" t="str">
        <f>IFERROR(__xludf.DUMMYFUNCTION("""COMPUTED_VALUE"""),"70002879")</f>
        <v>70002879</v>
      </c>
      <c r="D7467" s="380" t="s">
        <v>767</v>
      </c>
      <c r="E7467" s="380" t="s">
        <v>786</v>
      </c>
      <c r="F7467" s="380" t="s">
        <v>1020</v>
      </c>
      <c r="G7467" s="380" t="s">
        <v>1267</v>
      </c>
      <c r="H7467" s="380" t="s">
        <v>771</v>
      </c>
      <c r="I7467" s="380" t="s">
        <v>788</v>
      </c>
      <c r="J7467" s="380" t="s">
        <v>773</v>
      </c>
      <c r="K7467" s="381">
        <v>0.0</v>
      </c>
      <c r="L7467" s="382">
        <v>1.0</v>
      </c>
    </row>
    <row r="7468">
      <c r="A7468" s="380" t="s">
        <v>8342</v>
      </c>
      <c r="B7468" s="380" t="str">
        <f>IFERROR(__xludf.DUMMYFUNCTION("""COMPUTED_VALUE"""),"Tanque Depos Hidr Prostar -LT 3836348C91")</f>
        <v>Tanque Depos Hidr Prostar -LT 3836348C91</v>
      </c>
      <c r="C7468" s="380" t="str">
        <f>IFERROR(__xludf.DUMMYFUNCTION("""COMPUTED_VALUE"""),"70002880")</f>
        <v>70002880</v>
      </c>
      <c r="D7468" s="380" t="s">
        <v>767</v>
      </c>
      <c r="E7468" s="380" t="s">
        <v>786</v>
      </c>
      <c r="F7468" s="380" t="s">
        <v>1020</v>
      </c>
      <c r="G7468" s="380" t="s">
        <v>1267</v>
      </c>
      <c r="H7468" s="380" t="s">
        <v>771</v>
      </c>
      <c r="I7468" s="380" t="s">
        <v>788</v>
      </c>
      <c r="J7468" s="380" t="s">
        <v>773</v>
      </c>
      <c r="K7468" s="381">
        <v>0.0</v>
      </c>
      <c r="L7468" s="382">
        <v>1.0</v>
      </c>
    </row>
    <row r="7469">
      <c r="A7469" s="380" t="s">
        <v>8343</v>
      </c>
      <c r="B7469" s="380" t="str">
        <f>IFERROR(__xludf.DUMMYFUNCTION("""COMPUTED_VALUE"""),"Torre Hous Term Barra Ten Eagle1668798C1")</f>
        <v>Torre Hous Term Barra Ten Eagle1668798C1</v>
      </c>
      <c r="C7469" s="380" t="str">
        <f>IFERROR(__xludf.DUMMYFUNCTION("""COMPUTED_VALUE"""),"70002881")</f>
        <v>70002881</v>
      </c>
      <c r="D7469" s="380" t="s">
        <v>767</v>
      </c>
      <c r="E7469" s="380" t="s">
        <v>786</v>
      </c>
      <c r="F7469" s="380" t="s">
        <v>1039</v>
      </c>
      <c r="G7469" s="380" t="s">
        <v>1267</v>
      </c>
      <c r="H7469" s="380" t="s">
        <v>771</v>
      </c>
      <c r="I7469" s="380" t="s">
        <v>788</v>
      </c>
      <c r="J7469" s="380" t="s">
        <v>773</v>
      </c>
      <c r="K7469" s="381">
        <v>0.0</v>
      </c>
      <c r="L7469" s="382">
        <v>1.0</v>
      </c>
    </row>
    <row r="7470">
      <c r="A7470" s="380" t="s">
        <v>8344</v>
      </c>
      <c r="B7470" s="380" t="str">
        <f>IFERROR(__xludf.DUMMYFUNCTION("""COMPUTED_VALUE"""),"Pasador Central Delantero 3/8 X 4""")</f>
        <v>Pasador Central Delantero 3/8 X 4"</v>
      </c>
      <c r="C7470" s="380" t="str">
        <f>IFERROR(__xludf.DUMMYFUNCTION("""COMPUTED_VALUE"""),"70002882")</f>
        <v>70002882</v>
      </c>
      <c r="D7470" s="380" t="s">
        <v>767</v>
      </c>
      <c r="E7470" s="380" t="s">
        <v>786</v>
      </c>
      <c r="F7470" s="380" t="s">
        <v>1039</v>
      </c>
      <c r="G7470" s="380" t="s">
        <v>1267</v>
      </c>
      <c r="H7470" s="380" t="s">
        <v>771</v>
      </c>
      <c r="I7470" s="380" t="s">
        <v>788</v>
      </c>
      <c r="J7470" s="380" t="s">
        <v>773</v>
      </c>
      <c r="K7470" s="381">
        <v>5430.0</v>
      </c>
      <c r="L7470" s="382">
        <v>1.0</v>
      </c>
    </row>
    <row r="7471">
      <c r="A7471" s="380" t="s">
        <v>8345</v>
      </c>
      <c r="B7471" s="380" t="str">
        <f>IFERROR(__xludf.DUMMYFUNCTION("""COMPUTED_VALUE"""),"Bateria Duncan 22MR800 Montacarga")</f>
        <v>Bateria Duncan 22MR800 Montacarga</v>
      </c>
      <c r="C7471" s="380" t="str">
        <f>IFERROR(__xludf.DUMMYFUNCTION("""COMPUTED_VALUE"""),"70002883")</f>
        <v>70002883</v>
      </c>
      <c r="D7471" s="380" t="s">
        <v>767</v>
      </c>
      <c r="E7471" s="380" t="s">
        <v>786</v>
      </c>
      <c r="F7471" s="380" t="s">
        <v>998</v>
      </c>
      <c r="G7471" s="380" t="s">
        <v>1267</v>
      </c>
      <c r="H7471" s="380" t="s">
        <v>771</v>
      </c>
      <c r="I7471" s="380" t="s">
        <v>788</v>
      </c>
      <c r="J7471" s="380" t="s">
        <v>773</v>
      </c>
      <c r="K7471" s="381">
        <v>0.0</v>
      </c>
      <c r="L7471" s="382">
        <v>1.0</v>
      </c>
    </row>
    <row r="7472">
      <c r="A7472" s="380" t="s">
        <v>8346</v>
      </c>
      <c r="B7472" s="380" t="str">
        <f>IFERROR(__xludf.DUMMYFUNCTION("""COMPUTED_VALUE"""),"Arand Punta Inyector Nkr Rewar8981815400")</f>
        <v>Arand Punta Inyector Nkr Rewar8981815400</v>
      </c>
      <c r="C7472" s="380" t="str">
        <f>IFERROR(__xludf.DUMMYFUNCTION("""COMPUTED_VALUE"""),"70002884")</f>
        <v>70002884</v>
      </c>
      <c r="D7472" s="380" t="s">
        <v>767</v>
      </c>
      <c r="E7472" s="380" t="s">
        <v>786</v>
      </c>
      <c r="F7472" s="380" t="s">
        <v>787</v>
      </c>
      <c r="G7472" s="380" t="s">
        <v>1267</v>
      </c>
      <c r="H7472" s="380" t="s">
        <v>771</v>
      </c>
      <c r="I7472" s="380" t="s">
        <v>788</v>
      </c>
      <c r="J7472" s="380" t="s">
        <v>773</v>
      </c>
      <c r="K7472" s="381">
        <v>0.0</v>
      </c>
      <c r="L7472" s="382">
        <v>1.0</v>
      </c>
    </row>
    <row r="7473">
      <c r="A7473" s="380" t="s">
        <v>8347</v>
      </c>
      <c r="B7473" s="380" t="str">
        <f>IFERROR(__xludf.DUMMYFUNCTION("""COMPUTED_VALUE"""),"Tapa Valvula Motor Isx 3104387 3689759")</f>
        <v>Tapa Valvula Motor Isx 3104387 3689759</v>
      </c>
      <c r="C7473" s="380" t="str">
        <f>IFERROR(__xludf.DUMMYFUNCTION("""COMPUTED_VALUE"""),"70002885")</f>
        <v>70002885</v>
      </c>
      <c r="D7473" s="380" t="s">
        <v>767</v>
      </c>
      <c r="E7473" s="380" t="s">
        <v>786</v>
      </c>
      <c r="F7473" s="380" t="s">
        <v>787</v>
      </c>
      <c r="G7473" s="380" t="s">
        <v>1267</v>
      </c>
      <c r="H7473" s="380" t="s">
        <v>771</v>
      </c>
      <c r="I7473" s="380" t="s">
        <v>788</v>
      </c>
      <c r="J7473" s="380" t="s">
        <v>773</v>
      </c>
      <c r="K7473" s="381">
        <v>0.0</v>
      </c>
      <c r="L7473" s="382">
        <v>1.0</v>
      </c>
    </row>
    <row r="7474">
      <c r="A7474" s="380" t="s">
        <v>8348</v>
      </c>
      <c r="B7474" s="380" t="str">
        <f>IFERROR(__xludf.DUMMYFUNCTION("""COMPUTED_VALUE"""),"Alternador N200 24538278")</f>
        <v>Alternador N200 24538278</v>
      </c>
      <c r="C7474" s="380" t="str">
        <f>IFERROR(__xludf.DUMMYFUNCTION("""COMPUTED_VALUE"""),"70002886")</f>
        <v>70002886</v>
      </c>
      <c r="D7474" s="380" t="s">
        <v>767</v>
      </c>
      <c r="E7474" s="380" t="s">
        <v>786</v>
      </c>
      <c r="F7474" s="380" t="s">
        <v>998</v>
      </c>
      <c r="G7474" s="380" t="s">
        <v>1267</v>
      </c>
      <c r="H7474" s="380" t="s">
        <v>771</v>
      </c>
      <c r="I7474" s="380" t="s">
        <v>788</v>
      </c>
      <c r="J7474" s="380" t="s">
        <v>773</v>
      </c>
      <c r="K7474" s="381">
        <v>0.0</v>
      </c>
      <c r="L7474" s="382">
        <v>1.0</v>
      </c>
    </row>
    <row r="7475">
      <c r="A7475" s="380" t="s">
        <v>8349</v>
      </c>
      <c r="B7475" s="380" t="str">
        <f>IFERROR(__xludf.DUMMYFUNCTION("""COMPUTED_VALUE"""),"Kit Repar Valvula Freno De Segurid Eagle")</f>
        <v>Kit Repar Valvula Freno De Segurid Eagle</v>
      </c>
      <c r="C7475" s="380" t="str">
        <f>IFERROR(__xludf.DUMMYFUNCTION("""COMPUTED_VALUE"""),"70002887")</f>
        <v>70002887</v>
      </c>
      <c r="D7475" s="380" t="s">
        <v>767</v>
      </c>
      <c r="E7475" s="380" t="s">
        <v>786</v>
      </c>
      <c r="F7475" s="380" t="s">
        <v>1017</v>
      </c>
      <c r="G7475" s="380" t="s">
        <v>1267</v>
      </c>
      <c r="H7475" s="380" t="s">
        <v>771</v>
      </c>
      <c r="I7475" s="380" t="s">
        <v>788</v>
      </c>
      <c r="J7475" s="380" t="s">
        <v>773</v>
      </c>
      <c r="K7475" s="381">
        <v>0.0</v>
      </c>
      <c r="L7475" s="382">
        <v>1.0</v>
      </c>
    </row>
    <row r="7476">
      <c r="A7476" s="380" t="s">
        <v>8350</v>
      </c>
      <c r="B7476" s="380" t="str">
        <f>IFERROR(__xludf.DUMMYFUNCTION("""COMPUTED_VALUE"""),"Juego Bobinas De Campo Nkr")</f>
        <v>Juego Bobinas De Campo Nkr</v>
      </c>
      <c r="C7476" s="380" t="str">
        <f>IFERROR(__xludf.DUMMYFUNCTION("""COMPUTED_VALUE"""),"70002888")</f>
        <v>70002888</v>
      </c>
      <c r="D7476" s="380" t="s">
        <v>767</v>
      </c>
      <c r="E7476" s="380" t="s">
        <v>786</v>
      </c>
      <c r="F7476" s="380" t="s">
        <v>998</v>
      </c>
      <c r="G7476" s="380" t="s">
        <v>1267</v>
      </c>
      <c r="H7476" s="380" t="s">
        <v>771</v>
      </c>
      <c r="I7476" s="380" t="s">
        <v>788</v>
      </c>
      <c r="J7476" s="380" t="s">
        <v>773</v>
      </c>
      <c r="K7476" s="381">
        <v>0.0</v>
      </c>
      <c r="L7476" s="382">
        <v>1.0</v>
      </c>
    </row>
    <row r="7477">
      <c r="A7477" s="380" t="s">
        <v>8351</v>
      </c>
      <c r="B7477" s="380" t="str">
        <f>IFERROR(__xludf.DUMMYFUNCTION("""COMPUTED_VALUE"""),"Yoke Caja Eagle 940016918 3507640C1")</f>
        <v>Yoke Caja Eagle 940016918 3507640C1</v>
      </c>
      <c r="C7477" s="380" t="str">
        <f>IFERROR(__xludf.DUMMYFUNCTION("""COMPUTED_VALUE"""),"70002889")</f>
        <v>70002889</v>
      </c>
      <c r="D7477" s="380" t="s">
        <v>767</v>
      </c>
      <c r="E7477" s="380" t="s">
        <v>786</v>
      </c>
      <c r="F7477" s="380" t="s">
        <v>928</v>
      </c>
      <c r="G7477" s="380" t="s">
        <v>1267</v>
      </c>
      <c r="H7477" s="380" t="s">
        <v>771</v>
      </c>
      <c r="I7477" s="380" t="s">
        <v>788</v>
      </c>
      <c r="J7477" s="380" t="s">
        <v>773</v>
      </c>
      <c r="K7477" s="381">
        <v>0.0</v>
      </c>
      <c r="L7477" s="382">
        <v>1.0</v>
      </c>
    </row>
    <row r="7478">
      <c r="A7478" s="380" t="s">
        <v>8352</v>
      </c>
      <c r="B7478" s="380" t="str">
        <f>IFERROR(__xludf.DUMMYFUNCTION("""COMPUTED_VALUE"""),"Kit Sincr Media Caja 16918 EagleFULK3497")</f>
        <v>Kit Sincr Media Caja 16918 EagleFULK3497</v>
      </c>
      <c r="C7478" s="380" t="str">
        <f>IFERROR(__xludf.DUMMYFUNCTION("""COMPUTED_VALUE"""),"70002890")</f>
        <v>70002890</v>
      </c>
      <c r="D7478" s="380" t="s">
        <v>767</v>
      </c>
      <c r="E7478" s="380" t="s">
        <v>786</v>
      </c>
      <c r="F7478" s="380" t="s">
        <v>928</v>
      </c>
      <c r="G7478" s="380" t="s">
        <v>1267</v>
      </c>
      <c r="H7478" s="380" t="s">
        <v>771</v>
      </c>
      <c r="I7478" s="380" t="s">
        <v>788</v>
      </c>
      <c r="J7478" s="380" t="s">
        <v>773</v>
      </c>
      <c r="K7478" s="381">
        <v>0.0</v>
      </c>
      <c r="L7478" s="382">
        <v>1.0</v>
      </c>
    </row>
    <row r="7479">
      <c r="A7479" s="380" t="s">
        <v>8353</v>
      </c>
      <c r="B7479" s="380" t="str">
        <f>IFERROR(__xludf.DUMMYFUNCTION("""COMPUTED_VALUE"""),"Empaq Carcaza Enfriad Aceite Isx 4376196")</f>
        <v>Empaq Carcaza Enfriad Aceite Isx 4376196</v>
      </c>
      <c r="C7479" s="380" t="str">
        <f>IFERROR(__xludf.DUMMYFUNCTION("""COMPUTED_VALUE"""),"70002891")</f>
        <v>70002891</v>
      </c>
      <c r="D7479" s="380" t="s">
        <v>767</v>
      </c>
      <c r="E7479" s="380" t="s">
        <v>786</v>
      </c>
      <c r="F7479" s="380" t="s">
        <v>787</v>
      </c>
      <c r="G7479" s="380" t="s">
        <v>1267</v>
      </c>
      <c r="H7479" s="380" t="s">
        <v>771</v>
      </c>
      <c r="I7479" s="380" t="s">
        <v>788</v>
      </c>
      <c r="J7479" s="380" t="s">
        <v>773</v>
      </c>
      <c r="K7479" s="381">
        <v>0.0</v>
      </c>
      <c r="L7479" s="382">
        <v>1.0</v>
      </c>
    </row>
    <row r="7480">
      <c r="A7480" s="380" t="s">
        <v>8354</v>
      </c>
      <c r="B7480" s="380" t="str">
        <f>IFERROR(__xludf.DUMMYFUNCTION("""COMPUTED_VALUE"""),"Clip Cubierta Lateral Nkr III 8980138230")</f>
        <v>Clip Cubierta Lateral Nkr III 8980138230</v>
      </c>
      <c r="C7480" s="380" t="str">
        <f>IFERROR(__xludf.DUMMYFUNCTION("""COMPUTED_VALUE"""),"70002892")</f>
        <v>70002892</v>
      </c>
      <c r="D7480" s="380" t="s">
        <v>767</v>
      </c>
      <c r="E7480" s="380" t="s">
        <v>786</v>
      </c>
      <c r="F7480" s="380" t="s">
        <v>792</v>
      </c>
      <c r="G7480" s="380" t="s">
        <v>1267</v>
      </c>
      <c r="H7480" s="380" t="s">
        <v>771</v>
      </c>
      <c r="I7480" s="380" t="s">
        <v>788</v>
      </c>
      <c r="J7480" s="380" t="s">
        <v>773</v>
      </c>
      <c r="K7480" s="381">
        <v>0.0</v>
      </c>
      <c r="L7480" s="382">
        <v>1.0</v>
      </c>
    </row>
    <row r="7481">
      <c r="A7481" s="380" t="s">
        <v>8355</v>
      </c>
      <c r="B7481" s="380" t="str">
        <f>IFERROR(__xludf.DUMMYFUNCTION("""COMPUTED_VALUE"""),"Lamp Dir Pta Izq Foton1065 7705946684521")</f>
        <v>Lamp Dir Pta Izq Foton1065 7705946684521</v>
      </c>
      <c r="C7481" s="380" t="str">
        <f>IFERROR(__xludf.DUMMYFUNCTION("""COMPUTED_VALUE"""),"70002893")</f>
        <v>70002893</v>
      </c>
      <c r="D7481" s="380" t="s">
        <v>767</v>
      </c>
      <c r="E7481" s="380" t="s">
        <v>786</v>
      </c>
      <c r="F7481" s="380" t="s">
        <v>998</v>
      </c>
      <c r="G7481" s="380" t="s">
        <v>1267</v>
      </c>
      <c r="H7481" s="380" t="s">
        <v>771</v>
      </c>
      <c r="I7481" s="380" t="s">
        <v>788</v>
      </c>
      <c r="J7481" s="380" t="s">
        <v>773</v>
      </c>
      <c r="K7481" s="381">
        <v>0.0</v>
      </c>
      <c r="L7481" s="382">
        <v>1.0</v>
      </c>
    </row>
    <row r="7482">
      <c r="A7482" s="380" t="s">
        <v>8356</v>
      </c>
      <c r="B7482" s="380" t="str">
        <f>IFERROR(__xludf.DUMMYFUNCTION("""COMPUTED_VALUE"""),"Pasador Central 9/16 X 12""")</f>
        <v>Pasador Central 9/16 X 12"</v>
      </c>
      <c r="C7482" s="380" t="str">
        <f>IFERROR(__xludf.DUMMYFUNCTION("""COMPUTED_VALUE"""),"70002894")</f>
        <v>70002894</v>
      </c>
      <c r="D7482" s="380" t="s">
        <v>767</v>
      </c>
      <c r="E7482" s="380" t="s">
        <v>786</v>
      </c>
      <c r="F7482" s="380" t="s">
        <v>1039</v>
      </c>
      <c r="G7482" s="380" t="s">
        <v>1267</v>
      </c>
      <c r="H7482" s="380" t="s">
        <v>771</v>
      </c>
      <c r="I7482" s="380" t="s">
        <v>788</v>
      </c>
      <c r="J7482" s="380" t="s">
        <v>773</v>
      </c>
      <c r="K7482" s="381">
        <v>0.0</v>
      </c>
      <c r="L7482" s="382">
        <v>1.0</v>
      </c>
    </row>
    <row r="7483">
      <c r="A7483" s="380" t="s">
        <v>8357</v>
      </c>
      <c r="B7483" s="380" t="str">
        <f>IFERROR(__xludf.DUMMYFUNCTION("""COMPUTED_VALUE"""),"Porta Repuesto Hino 51902E0010")</f>
        <v>Porta Repuesto Hino 51902E0010</v>
      </c>
      <c r="C7483" s="380" t="str">
        <f>IFERROR(__xludf.DUMMYFUNCTION("""COMPUTED_VALUE"""),"70002895")</f>
        <v>70002895</v>
      </c>
      <c r="D7483" s="380" t="s">
        <v>767</v>
      </c>
      <c r="E7483" s="380" t="s">
        <v>786</v>
      </c>
      <c r="F7483" s="380" t="s">
        <v>792</v>
      </c>
      <c r="G7483" s="380" t="s">
        <v>1267</v>
      </c>
      <c r="H7483" s="380" t="s">
        <v>771</v>
      </c>
      <c r="I7483" s="380" t="s">
        <v>788</v>
      </c>
      <c r="J7483" s="380" t="s">
        <v>773</v>
      </c>
      <c r="K7483" s="381">
        <v>0.0</v>
      </c>
      <c r="L7483" s="382">
        <v>1.0</v>
      </c>
    </row>
    <row r="7484">
      <c r="A7484" s="380" t="s">
        <v>8358</v>
      </c>
      <c r="B7484" s="380" t="str">
        <f>IFERROR(__xludf.DUMMYFUNCTION("""COMPUTED_VALUE"""),"Torre Con Piñon Aux RTLO 14718B FULK3220")</f>
        <v>Torre Con Piñon Aux RTLO 14718B FULK3220</v>
      </c>
      <c r="C7484" s="380" t="str">
        <f>IFERROR(__xludf.DUMMYFUNCTION("""COMPUTED_VALUE"""),"70002896")</f>
        <v>70002896</v>
      </c>
      <c r="D7484" s="380" t="s">
        <v>767</v>
      </c>
      <c r="E7484" s="380" t="s">
        <v>786</v>
      </c>
      <c r="F7484" s="380" t="s">
        <v>928</v>
      </c>
      <c r="G7484" s="380" t="s">
        <v>1267</v>
      </c>
      <c r="H7484" s="380" t="s">
        <v>771</v>
      </c>
      <c r="I7484" s="380" t="s">
        <v>788</v>
      </c>
      <c r="J7484" s="380" t="s">
        <v>773</v>
      </c>
      <c r="K7484" s="381">
        <v>0.0</v>
      </c>
      <c r="L7484" s="382">
        <v>1.0</v>
      </c>
    </row>
    <row r="7485">
      <c r="A7485" s="380" t="s">
        <v>8359</v>
      </c>
      <c r="B7485" s="380" t="str">
        <f>IFERROR(__xludf.DUMMYFUNCTION("""COMPUTED_VALUE"""),"Disco Embrague Hino 582035")</f>
        <v>Disco Embrague Hino 582035</v>
      </c>
      <c r="C7485" s="380" t="str">
        <f>IFERROR(__xludf.DUMMYFUNCTION("""COMPUTED_VALUE"""),"70002897")</f>
        <v>70002897</v>
      </c>
      <c r="D7485" s="380" t="s">
        <v>767</v>
      </c>
      <c r="E7485" s="380" t="s">
        <v>786</v>
      </c>
      <c r="F7485" s="380" t="s">
        <v>5661</v>
      </c>
      <c r="G7485" s="380" t="s">
        <v>1267</v>
      </c>
      <c r="H7485" s="380" t="s">
        <v>771</v>
      </c>
      <c r="I7485" s="380" t="s">
        <v>788</v>
      </c>
      <c r="J7485" s="380" t="s">
        <v>773</v>
      </c>
      <c r="K7485" s="381">
        <v>0.0</v>
      </c>
      <c r="L7485" s="382">
        <v>1.0</v>
      </c>
    </row>
    <row r="7486">
      <c r="A7486" s="380" t="s">
        <v>8360</v>
      </c>
      <c r="B7486" s="380" t="str">
        <f>IFERROR(__xludf.DUMMYFUNCTION("""COMPUTED_VALUE"""),"Prensa Embrague Hino 562035")</f>
        <v>Prensa Embrague Hino 562035</v>
      </c>
      <c r="C7486" s="380" t="str">
        <f>IFERROR(__xludf.DUMMYFUNCTION("""COMPUTED_VALUE"""),"70002898")</f>
        <v>70002898</v>
      </c>
      <c r="D7486" s="380" t="s">
        <v>767</v>
      </c>
      <c r="E7486" s="380" t="s">
        <v>786</v>
      </c>
      <c r="F7486" s="380" t="s">
        <v>5661</v>
      </c>
      <c r="G7486" s="380" t="s">
        <v>1267</v>
      </c>
      <c r="H7486" s="380" t="s">
        <v>771</v>
      </c>
      <c r="I7486" s="380" t="s">
        <v>788</v>
      </c>
      <c r="J7486" s="380" t="s">
        <v>773</v>
      </c>
      <c r="K7486" s="381">
        <v>0.0</v>
      </c>
      <c r="L7486" s="382">
        <v>1.0</v>
      </c>
    </row>
    <row r="7487">
      <c r="A7487" s="380" t="s">
        <v>8361</v>
      </c>
      <c r="B7487" s="380" t="str">
        <f>IFERROR(__xludf.DUMMYFUNCTION("""COMPUTED_VALUE"""),"Balinera Embrague Hino 65TNK20")</f>
        <v>Balinera Embrague Hino 65TNK20</v>
      </c>
      <c r="C7487" s="380" t="str">
        <f>IFERROR(__xludf.DUMMYFUNCTION("""COMPUTED_VALUE"""),"70002899")</f>
        <v>70002899</v>
      </c>
      <c r="D7487" s="380" t="s">
        <v>767</v>
      </c>
      <c r="E7487" s="380" t="s">
        <v>786</v>
      </c>
      <c r="F7487" s="380" t="s">
        <v>5661</v>
      </c>
      <c r="G7487" s="380" t="s">
        <v>1267</v>
      </c>
      <c r="H7487" s="380" t="s">
        <v>771</v>
      </c>
      <c r="I7487" s="380" t="s">
        <v>788</v>
      </c>
      <c r="J7487" s="380" t="s">
        <v>773</v>
      </c>
      <c r="K7487" s="381">
        <v>0.0</v>
      </c>
      <c r="L7487" s="382">
        <v>1.0</v>
      </c>
    </row>
    <row r="7488">
      <c r="A7488" s="380" t="s">
        <v>8362</v>
      </c>
      <c r="B7488" s="380" t="str">
        <f>IFERROR(__xludf.DUMMYFUNCTION("""COMPUTED_VALUE"""),"Pasador Central 3/8 X 8""")</f>
        <v>Pasador Central 3/8 X 8"</v>
      </c>
      <c r="C7488" s="380" t="str">
        <f>IFERROR(__xludf.DUMMYFUNCTION("""COMPUTED_VALUE"""),"70002900")</f>
        <v>70002900</v>
      </c>
      <c r="D7488" s="380" t="s">
        <v>767</v>
      </c>
      <c r="E7488" s="380" t="s">
        <v>786</v>
      </c>
      <c r="F7488" s="380" t="s">
        <v>1039</v>
      </c>
      <c r="G7488" s="380" t="s">
        <v>1267</v>
      </c>
      <c r="H7488" s="380" t="s">
        <v>771</v>
      </c>
      <c r="I7488" s="380" t="s">
        <v>788</v>
      </c>
      <c r="J7488" s="380" t="s">
        <v>773</v>
      </c>
      <c r="K7488" s="381">
        <v>0.0</v>
      </c>
      <c r="L7488" s="382">
        <v>1.0</v>
      </c>
    </row>
    <row r="7489">
      <c r="A7489" s="380" t="s">
        <v>8363</v>
      </c>
      <c r="B7489" s="380" t="str">
        <f>IFERROR(__xludf.DUMMYFUNCTION("""COMPUTED_VALUE"""),"Retenedor Del Cigüeñal Hino SZ31358001")</f>
        <v>Retenedor Del Cigüeñal Hino SZ31358001</v>
      </c>
      <c r="C7489" s="380" t="str">
        <f>IFERROR(__xludf.DUMMYFUNCTION("""COMPUTED_VALUE"""),"70002901")</f>
        <v>70002901</v>
      </c>
      <c r="D7489" s="380" t="s">
        <v>767</v>
      </c>
      <c r="E7489" s="380" t="s">
        <v>786</v>
      </c>
      <c r="F7489" s="380" t="s">
        <v>787</v>
      </c>
      <c r="G7489" s="380" t="s">
        <v>1267</v>
      </c>
      <c r="H7489" s="380" t="s">
        <v>771</v>
      </c>
      <c r="I7489" s="380" t="s">
        <v>788</v>
      </c>
      <c r="J7489" s="380" t="s">
        <v>773</v>
      </c>
      <c r="K7489" s="381">
        <v>0.0</v>
      </c>
      <c r="L7489" s="382">
        <v>1.0</v>
      </c>
    </row>
    <row r="7490">
      <c r="A7490" s="380" t="s">
        <v>8364</v>
      </c>
      <c r="B7490" s="380" t="str">
        <f>IFERROR(__xludf.DUMMYFUNCTION("""COMPUTED_VALUE"""),"Barra Tens Susp Cabina Prostar 2593805C1")</f>
        <v>Barra Tens Susp Cabina Prostar 2593805C1</v>
      </c>
      <c r="C7490" s="380" t="str">
        <f>IFERROR(__xludf.DUMMYFUNCTION("""COMPUTED_VALUE"""),"70002902")</f>
        <v>70002902</v>
      </c>
      <c r="D7490" s="380" t="s">
        <v>767</v>
      </c>
      <c r="E7490" s="380" t="s">
        <v>786</v>
      </c>
      <c r="F7490" s="380" t="s">
        <v>1039</v>
      </c>
      <c r="G7490" s="380" t="s">
        <v>1267</v>
      </c>
      <c r="H7490" s="380" t="s">
        <v>771</v>
      </c>
      <c r="I7490" s="380" t="s">
        <v>788</v>
      </c>
      <c r="J7490" s="380" t="s">
        <v>773</v>
      </c>
      <c r="K7490" s="381">
        <v>0.0</v>
      </c>
      <c r="L7490" s="382">
        <v>1.0</v>
      </c>
    </row>
    <row r="7491">
      <c r="A7491" s="380" t="s">
        <v>8365</v>
      </c>
      <c r="B7491" s="380" t="str">
        <f>IFERROR(__xludf.DUMMYFUNCTION("""COMPUTED_VALUE"""),"Base Torpedo Cabina Prostar 3863865C91")</f>
        <v>Base Torpedo Cabina Prostar 3863865C91</v>
      </c>
      <c r="C7491" s="380" t="str">
        <f>IFERROR(__xludf.DUMMYFUNCTION("""COMPUTED_VALUE"""),"70002903")</f>
        <v>70002903</v>
      </c>
      <c r="D7491" s="380" t="s">
        <v>767</v>
      </c>
      <c r="E7491" s="380" t="s">
        <v>786</v>
      </c>
      <c r="F7491" s="380" t="s">
        <v>792</v>
      </c>
      <c r="G7491" s="380" t="s">
        <v>1267</v>
      </c>
      <c r="H7491" s="380" t="s">
        <v>771</v>
      </c>
      <c r="I7491" s="380" t="s">
        <v>788</v>
      </c>
      <c r="J7491" s="380" t="s">
        <v>773</v>
      </c>
      <c r="K7491" s="381">
        <v>0.0</v>
      </c>
      <c r="L7491" s="382">
        <v>1.0</v>
      </c>
    </row>
    <row r="7492">
      <c r="A7492" s="380" t="s">
        <v>8366</v>
      </c>
      <c r="B7492" s="380" t="str">
        <f>IFERROR(__xludf.DUMMYFUNCTION("""COMPUTED_VALUE"""),"Abrazadera Soporte Guardap 9400 576241C1")</f>
        <v>Abrazadera Soporte Guardap 9400 576241C1</v>
      </c>
      <c r="C7492" s="380" t="str">
        <f>IFERROR(__xludf.DUMMYFUNCTION("""COMPUTED_VALUE"""),"70002904")</f>
        <v>70002904</v>
      </c>
      <c r="D7492" s="380" t="s">
        <v>767</v>
      </c>
      <c r="E7492" s="380" t="s">
        <v>786</v>
      </c>
      <c r="F7492" s="380" t="s">
        <v>792</v>
      </c>
      <c r="G7492" s="380" t="s">
        <v>1267</v>
      </c>
      <c r="H7492" s="380" t="s">
        <v>771</v>
      </c>
      <c r="I7492" s="380" t="s">
        <v>788</v>
      </c>
      <c r="J7492" s="380" t="s">
        <v>773</v>
      </c>
      <c r="K7492" s="381">
        <v>0.0</v>
      </c>
      <c r="L7492" s="382">
        <v>1.0</v>
      </c>
    </row>
    <row r="7493">
      <c r="A7493" s="380" t="s">
        <v>8367</v>
      </c>
      <c r="B7493" s="380" t="str">
        <f>IFERROR(__xludf.DUMMYFUNCTION("""COMPUTED_VALUE"""),"Caja De Velocidades Nkr 8982038580")</f>
        <v>Caja De Velocidades Nkr 8982038580</v>
      </c>
      <c r="C7493" s="380" t="str">
        <f>IFERROR(__xludf.DUMMYFUNCTION("""COMPUTED_VALUE"""),"70002905")</f>
        <v>70002905</v>
      </c>
      <c r="D7493" s="380" t="s">
        <v>767</v>
      </c>
      <c r="E7493" s="380" t="s">
        <v>786</v>
      </c>
      <c r="F7493" s="380" t="s">
        <v>928</v>
      </c>
      <c r="G7493" s="380" t="s">
        <v>1267</v>
      </c>
      <c r="H7493" s="380" t="s">
        <v>771</v>
      </c>
      <c r="I7493" s="380" t="s">
        <v>788</v>
      </c>
      <c r="J7493" s="380" t="s">
        <v>773</v>
      </c>
      <c r="K7493" s="381">
        <v>0.0</v>
      </c>
      <c r="L7493" s="382">
        <v>1.0</v>
      </c>
    </row>
    <row r="7494">
      <c r="A7494" s="380" t="s">
        <v>8368</v>
      </c>
      <c r="B7494" s="380" t="str">
        <f>IFERROR(__xludf.DUMMYFUNCTION("""COMPUTED_VALUE"""),"Racor Tque De Aire 3/8 X1/2 Npt2017490C1")</f>
        <v>Racor Tque De Aire 3/8 X1/2 Npt2017490C1</v>
      </c>
      <c r="C7494" s="380" t="str">
        <f>IFERROR(__xludf.DUMMYFUNCTION("""COMPUTED_VALUE"""),"70002906")</f>
        <v>70002906</v>
      </c>
      <c r="D7494" s="380" t="s">
        <v>767</v>
      </c>
      <c r="E7494" s="380" t="s">
        <v>786</v>
      </c>
      <c r="F7494" s="380" t="s">
        <v>787</v>
      </c>
      <c r="G7494" s="380" t="s">
        <v>1267</v>
      </c>
      <c r="H7494" s="380" t="s">
        <v>771</v>
      </c>
      <c r="I7494" s="380" t="s">
        <v>788</v>
      </c>
      <c r="J7494" s="380" t="s">
        <v>773</v>
      </c>
      <c r="K7494" s="381">
        <v>0.0</v>
      </c>
      <c r="L7494" s="382">
        <v>1.0</v>
      </c>
    </row>
    <row r="7495">
      <c r="A7495" s="380" t="s">
        <v>8369</v>
      </c>
      <c r="B7495" s="380" t="str">
        <f>IFERROR(__xludf.DUMMYFUNCTION("""COMPUTED_VALUE"""),"Bombillo Halogeno Con Patas 3W180-35W")</f>
        <v>Bombillo Halogeno Con Patas 3W180-35W</v>
      </c>
      <c r="C7495" s="380" t="str">
        <f>IFERROR(__xludf.DUMMYFUNCTION("""COMPUTED_VALUE"""),"70002907")</f>
        <v>70002907</v>
      </c>
      <c r="D7495" s="380" t="s">
        <v>767</v>
      </c>
      <c r="E7495" s="380" t="s">
        <v>786</v>
      </c>
      <c r="F7495" s="380" t="s">
        <v>998</v>
      </c>
      <c r="G7495" s="380" t="s">
        <v>1267</v>
      </c>
      <c r="H7495" s="380" t="s">
        <v>771</v>
      </c>
      <c r="I7495" s="380" t="s">
        <v>788</v>
      </c>
      <c r="J7495" s="380" t="s">
        <v>773</v>
      </c>
      <c r="K7495" s="381">
        <v>0.0</v>
      </c>
      <c r="L7495" s="382">
        <v>1.0</v>
      </c>
    </row>
    <row r="7496">
      <c r="A7496" s="380" t="s">
        <v>8370</v>
      </c>
      <c r="B7496" s="380" t="str">
        <f>IFERROR(__xludf.DUMMYFUNCTION("""COMPUTED_VALUE"""),"Bocin Rueda Trasera Nkr")</f>
        <v>Bocin Rueda Trasera Nkr</v>
      </c>
      <c r="C7496" s="380" t="str">
        <f>IFERROR(__xludf.DUMMYFUNCTION("""COMPUTED_VALUE"""),"70002908")</f>
        <v>70002908</v>
      </c>
      <c r="D7496" s="380" t="s">
        <v>767</v>
      </c>
      <c r="E7496" s="380" t="s">
        <v>786</v>
      </c>
      <c r="F7496" s="380" t="s">
        <v>1017</v>
      </c>
      <c r="G7496" s="380" t="s">
        <v>1267</v>
      </c>
      <c r="H7496" s="380" t="s">
        <v>771</v>
      </c>
      <c r="I7496" s="380" t="s">
        <v>788</v>
      </c>
      <c r="J7496" s="380" t="s">
        <v>773</v>
      </c>
      <c r="K7496" s="381">
        <v>0.0</v>
      </c>
      <c r="L7496" s="382">
        <v>1.0</v>
      </c>
    </row>
    <row r="7497">
      <c r="A7497" s="380" t="s">
        <v>8371</v>
      </c>
      <c r="B7497" s="380" t="str">
        <f>IFERROR(__xludf.DUMMYFUNCTION("""COMPUTED_VALUE"""),"Carcaza Filtro Comb Nkr Rewar 8981629031")</f>
        <v>Carcaza Filtro Comb Nkr Rewar 8981629031</v>
      </c>
      <c r="C7497" s="380" t="str">
        <f>IFERROR(__xludf.DUMMYFUNCTION("""COMPUTED_VALUE"""),"70002909")</f>
        <v>70002909</v>
      </c>
      <c r="D7497" s="380" t="s">
        <v>767</v>
      </c>
      <c r="E7497" s="380" t="s">
        <v>786</v>
      </c>
      <c r="F7497" s="380" t="s">
        <v>787</v>
      </c>
      <c r="G7497" s="380" t="s">
        <v>1267</v>
      </c>
      <c r="H7497" s="380" t="s">
        <v>771</v>
      </c>
      <c r="I7497" s="380" t="s">
        <v>788</v>
      </c>
      <c r="J7497" s="380" t="s">
        <v>773</v>
      </c>
      <c r="K7497" s="381">
        <v>0.0</v>
      </c>
      <c r="L7497" s="382">
        <v>1.0</v>
      </c>
    </row>
    <row r="7498">
      <c r="A7498" s="380" t="s">
        <v>8372</v>
      </c>
      <c r="B7498" s="380" t="str">
        <f>IFERROR(__xludf.DUMMYFUNCTION("""COMPUTED_VALUE"""),"Unidad Flasher Nkr Reward 8980255331")</f>
        <v>Unidad Flasher Nkr Reward 8980255331</v>
      </c>
      <c r="C7498" s="380" t="str">
        <f>IFERROR(__xludf.DUMMYFUNCTION("""COMPUTED_VALUE"""),"70002910")</f>
        <v>70002910</v>
      </c>
      <c r="D7498" s="380" t="s">
        <v>767</v>
      </c>
      <c r="E7498" s="380" t="s">
        <v>786</v>
      </c>
      <c r="F7498" s="380" t="s">
        <v>998</v>
      </c>
      <c r="G7498" s="380" t="s">
        <v>1267</v>
      </c>
      <c r="H7498" s="380" t="s">
        <v>771</v>
      </c>
      <c r="I7498" s="380" t="s">
        <v>788</v>
      </c>
      <c r="J7498" s="380" t="s">
        <v>773</v>
      </c>
      <c r="K7498" s="381">
        <v>0.0</v>
      </c>
      <c r="L7498" s="382">
        <v>1.0</v>
      </c>
    </row>
    <row r="7499">
      <c r="A7499" s="380" t="s">
        <v>8373</v>
      </c>
      <c r="B7499" s="380" t="str">
        <f>IFERROR(__xludf.DUMMYFUNCTION("""COMPUTED_VALUE"""),"Eje Diferencial Hi 4300 577506C1")</f>
        <v>Eje Diferencial Hi 4300 577506C1</v>
      </c>
      <c r="C7499" s="380" t="str">
        <f>IFERROR(__xludf.DUMMYFUNCTION("""COMPUTED_VALUE"""),"70002911")</f>
        <v>70002911</v>
      </c>
      <c r="D7499" s="380" t="s">
        <v>767</v>
      </c>
      <c r="E7499" s="380" t="s">
        <v>786</v>
      </c>
      <c r="F7499" s="380" t="s">
        <v>5683</v>
      </c>
      <c r="G7499" s="380" t="s">
        <v>1267</v>
      </c>
      <c r="H7499" s="380" t="s">
        <v>771</v>
      </c>
      <c r="I7499" s="380" t="s">
        <v>788</v>
      </c>
      <c r="J7499" s="380" t="s">
        <v>773</v>
      </c>
      <c r="K7499" s="381">
        <v>0.0</v>
      </c>
      <c r="L7499" s="382">
        <v>1.0</v>
      </c>
    </row>
    <row r="7500">
      <c r="A7500" s="380" t="s">
        <v>8374</v>
      </c>
      <c r="B7500" s="380" t="str">
        <f>IFERROR(__xludf.DUMMYFUNCTION("""COMPUTED_VALUE"""),"Caja De Velocid 18Camb Kw-EagleRTLO16918")</f>
        <v>Caja De Velocid 18Camb Kw-EagleRTLO16918</v>
      </c>
      <c r="C7500" s="380" t="str">
        <f>IFERROR(__xludf.DUMMYFUNCTION("""COMPUTED_VALUE"""),"70002912")</f>
        <v>70002912</v>
      </c>
      <c r="D7500" s="380" t="s">
        <v>767</v>
      </c>
      <c r="E7500" s="380" t="s">
        <v>786</v>
      </c>
      <c r="F7500" s="380" t="s">
        <v>928</v>
      </c>
      <c r="G7500" s="380" t="s">
        <v>1267</v>
      </c>
      <c r="H7500" s="380" t="s">
        <v>771</v>
      </c>
      <c r="I7500" s="380" t="s">
        <v>788</v>
      </c>
      <c r="J7500" s="380" t="s">
        <v>773</v>
      </c>
      <c r="K7500" s="381">
        <v>0.0</v>
      </c>
      <c r="L7500" s="382">
        <v>1.0</v>
      </c>
    </row>
    <row r="7501">
      <c r="A7501" s="380" t="s">
        <v>8375</v>
      </c>
      <c r="B7501" s="380" t="str">
        <f>IFERROR(__xludf.DUMMYFUNCTION("""COMPUTED_VALUE"""),"Bomper Delantero FRR 8974077253")</f>
        <v>Bomper Delantero FRR 8974077253</v>
      </c>
      <c r="C7501" s="380" t="str">
        <f>IFERROR(__xludf.DUMMYFUNCTION("""COMPUTED_VALUE"""),"70002913")</f>
        <v>70002913</v>
      </c>
      <c r="D7501" s="380" t="s">
        <v>767</v>
      </c>
      <c r="E7501" s="380" t="s">
        <v>786</v>
      </c>
      <c r="F7501" s="380" t="s">
        <v>792</v>
      </c>
      <c r="G7501" s="380" t="s">
        <v>1267</v>
      </c>
      <c r="H7501" s="380" t="s">
        <v>771</v>
      </c>
      <c r="I7501" s="380" t="s">
        <v>788</v>
      </c>
      <c r="J7501" s="380" t="s">
        <v>773</v>
      </c>
      <c r="K7501" s="381">
        <v>0.0</v>
      </c>
      <c r="L7501" s="382">
        <v>1.0</v>
      </c>
    </row>
    <row r="7502">
      <c r="A7502" s="380" t="s">
        <v>8376</v>
      </c>
      <c r="B7502" s="380" t="str">
        <f>IFERROR(__xludf.DUMMYFUNCTION("""COMPUTED_VALUE"""),"Soporte Montaje Cabina Nkr 8970353104")</f>
        <v>Soporte Montaje Cabina Nkr 8970353104</v>
      </c>
      <c r="C7502" s="380" t="str">
        <f>IFERROR(__xludf.DUMMYFUNCTION("""COMPUTED_VALUE"""),"70002914")</f>
        <v>70002914</v>
      </c>
      <c r="D7502" s="380" t="s">
        <v>767</v>
      </c>
      <c r="E7502" s="380" t="s">
        <v>786</v>
      </c>
      <c r="F7502" s="380" t="s">
        <v>792</v>
      </c>
      <c r="G7502" s="380" t="s">
        <v>1267</v>
      </c>
      <c r="H7502" s="380" t="s">
        <v>771</v>
      </c>
      <c r="I7502" s="380" t="s">
        <v>788</v>
      </c>
      <c r="J7502" s="380" t="s">
        <v>773</v>
      </c>
      <c r="K7502" s="381">
        <v>0.0</v>
      </c>
      <c r="L7502" s="382">
        <v>1.0</v>
      </c>
    </row>
    <row r="7503">
      <c r="A7503" s="380" t="s">
        <v>8377</v>
      </c>
      <c r="B7503" s="380" t="str">
        <f>IFERROR(__xludf.DUMMYFUNCTION("""COMPUTED_VALUE"""),"Pasador Buje Tensor Corto")</f>
        <v>Pasador Buje Tensor Corto</v>
      </c>
      <c r="C7503" s="380" t="str">
        <f>IFERROR(__xludf.DUMMYFUNCTION("""COMPUTED_VALUE"""),"70002915")</f>
        <v>70002915</v>
      </c>
      <c r="D7503" s="380" t="s">
        <v>767</v>
      </c>
      <c r="E7503" s="380" t="s">
        <v>786</v>
      </c>
      <c r="F7503" s="380" t="s">
        <v>1039</v>
      </c>
      <c r="G7503" s="380" t="s">
        <v>1267</v>
      </c>
      <c r="H7503" s="380" t="s">
        <v>771</v>
      </c>
      <c r="I7503" s="380" t="s">
        <v>788</v>
      </c>
      <c r="J7503" s="380" t="s">
        <v>773</v>
      </c>
      <c r="K7503" s="381">
        <v>18653.0</v>
      </c>
      <c r="L7503" s="382">
        <v>1.0</v>
      </c>
    </row>
    <row r="7504">
      <c r="A7504" s="380" t="s">
        <v>8378</v>
      </c>
      <c r="B7504" s="380" t="str">
        <f>IFERROR(__xludf.DUMMYFUNCTION("""COMPUTED_VALUE"""),"Estribo Plast Der FRR Forward 8980373273")</f>
        <v>Estribo Plast Der FRR Forward 8980373273</v>
      </c>
      <c r="C7504" s="380" t="str">
        <f>IFERROR(__xludf.DUMMYFUNCTION("""COMPUTED_VALUE"""),"70002916")</f>
        <v>70002916</v>
      </c>
      <c r="D7504" s="380" t="s">
        <v>767</v>
      </c>
      <c r="E7504" s="380" t="s">
        <v>786</v>
      </c>
      <c r="F7504" s="380" t="s">
        <v>792</v>
      </c>
      <c r="G7504" s="380" t="s">
        <v>1267</v>
      </c>
      <c r="H7504" s="380" t="s">
        <v>771</v>
      </c>
      <c r="I7504" s="380" t="s">
        <v>788</v>
      </c>
      <c r="J7504" s="380" t="s">
        <v>773</v>
      </c>
      <c r="K7504" s="381">
        <v>0.0</v>
      </c>
      <c r="L7504" s="382">
        <v>1.0</v>
      </c>
    </row>
    <row r="7505">
      <c r="A7505" s="380" t="s">
        <v>8379</v>
      </c>
      <c r="B7505" s="380" t="str">
        <f>IFERROR(__xludf.DUMMYFUNCTION("""COMPUTED_VALUE"""),"Rodillo Y Cuna Dif Hi 4300 56425/650")</f>
        <v>Rodillo Y Cuna Dif Hi 4300 56425/650</v>
      </c>
      <c r="C7505" s="380" t="str">
        <f>IFERROR(__xludf.DUMMYFUNCTION("""COMPUTED_VALUE"""),"70002917")</f>
        <v>70002917</v>
      </c>
      <c r="D7505" s="380" t="s">
        <v>767</v>
      </c>
      <c r="E7505" s="380" t="s">
        <v>786</v>
      </c>
      <c r="F7505" s="380" t="s">
        <v>5683</v>
      </c>
      <c r="G7505" s="380" t="s">
        <v>1267</v>
      </c>
      <c r="H7505" s="380" t="s">
        <v>771</v>
      </c>
      <c r="I7505" s="380" t="s">
        <v>788</v>
      </c>
      <c r="J7505" s="380" t="s">
        <v>773</v>
      </c>
      <c r="K7505" s="381">
        <v>0.0</v>
      </c>
      <c r="L7505" s="382">
        <v>1.0</v>
      </c>
    </row>
    <row r="7506">
      <c r="A7506" s="380" t="s">
        <v>8380</v>
      </c>
      <c r="B7506" s="380" t="str">
        <f>IFERROR(__xludf.DUMMYFUNCTION("""COMPUTED_VALUE"""),"Retenedor Rueda Delantera FRR 69094")</f>
        <v>Retenedor Rueda Delantera FRR 69094</v>
      </c>
      <c r="C7506" s="380" t="str">
        <f>IFERROR(__xludf.DUMMYFUNCTION("""COMPUTED_VALUE"""),"70002918")</f>
        <v>70002918</v>
      </c>
      <c r="D7506" s="380" t="s">
        <v>767</v>
      </c>
      <c r="E7506" s="380" t="s">
        <v>786</v>
      </c>
      <c r="F7506" s="380" t="s">
        <v>1039</v>
      </c>
      <c r="G7506" s="380" t="s">
        <v>1267</v>
      </c>
      <c r="H7506" s="380" t="s">
        <v>771</v>
      </c>
      <c r="I7506" s="380" t="s">
        <v>788</v>
      </c>
      <c r="J7506" s="380" t="s">
        <v>773</v>
      </c>
      <c r="K7506" s="381">
        <v>0.0</v>
      </c>
      <c r="L7506" s="382">
        <v>1.0</v>
      </c>
    </row>
    <row r="7507">
      <c r="A7507" s="380" t="s">
        <v>8381</v>
      </c>
      <c r="B7507" s="380" t="str">
        <f>IFERROR(__xludf.DUMMYFUNCTION("""COMPUTED_VALUE"""),"Set Rodillo Rueda Del Ext FRR ST4090")</f>
        <v>Set Rodillo Rueda Del Ext FRR ST4090</v>
      </c>
      <c r="C7507" s="380" t="str">
        <f>IFERROR(__xludf.DUMMYFUNCTION("""COMPUTED_VALUE"""),"70002919")</f>
        <v>70002919</v>
      </c>
      <c r="D7507" s="380" t="s">
        <v>767</v>
      </c>
      <c r="E7507" s="380" t="s">
        <v>786</v>
      </c>
      <c r="F7507" s="380" t="s">
        <v>1039</v>
      </c>
      <c r="G7507" s="380" t="s">
        <v>1267</v>
      </c>
      <c r="H7507" s="380" t="s">
        <v>771</v>
      </c>
      <c r="I7507" s="380" t="s">
        <v>788</v>
      </c>
      <c r="J7507" s="380" t="s">
        <v>773</v>
      </c>
      <c r="K7507" s="381">
        <v>0.0</v>
      </c>
      <c r="L7507" s="382">
        <v>1.0</v>
      </c>
    </row>
    <row r="7508">
      <c r="A7508" s="380" t="s">
        <v>8382</v>
      </c>
      <c r="B7508" s="380" t="str">
        <f>IFERROR(__xludf.DUMMYFUNCTION("""COMPUTED_VALUE"""),"Set Rodillo Rueda Del Interior FRR 32310")</f>
        <v>Set Rodillo Rueda Del Interior FRR 32310</v>
      </c>
      <c r="C7508" s="380" t="str">
        <f>IFERROR(__xludf.DUMMYFUNCTION("""COMPUTED_VALUE"""),"70002920")</f>
        <v>70002920</v>
      </c>
      <c r="D7508" s="380" t="s">
        <v>767</v>
      </c>
      <c r="E7508" s="380" t="s">
        <v>786</v>
      </c>
      <c r="F7508" s="380" t="s">
        <v>1039</v>
      </c>
      <c r="G7508" s="380" t="s">
        <v>1267</v>
      </c>
      <c r="H7508" s="380" t="s">
        <v>771</v>
      </c>
      <c r="I7508" s="380" t="s">
        <v>788</v>
      </c>
      <c r="J7508" s="380" t="s">
        <v>773</v>
      </c>
      <c r="K7508" s="381">
        <v>0.0</v>
      </c>
      <c r="L7508" s="382">
        <v>1.0</v>
      </c>
    </row>
    <row r="7509">
      <c r="A7509" s="380" t="s">
        <v>8383</v>
      </c>
      <c r="B7509" s="380" t="str">
        <f>IFERROR(__xludf.DUMMYFUNCTION("""COMPUTED_VALUE"""),"Lamevidrio Puerta Izq Hi 9400 3513546C1")</f>
        <v>Lamevidrio Puerta Izq Hi 9400 3513546C1</v>
      </c>
      <c r="C7509" s="380" t="str">
        <f>IFERROR(__xludf.DUMMYFUNCTION("""COMPUTED_VALUE"""),"70002921")</f>
        <v>70002921</v>
      </c>
      <c r="D7509" s="380" t="s">
        <v>767</v>
      </c>
      <c r="E7509" s="380" t="s">
        <v>786</v>
      </c>
      <c r="F7509" s="380" t="s">
        <v>792</v>
      </c>
      <c r="G7509" s="380" t="s">
        <v>1267</v>
      </c>
      <c r="H7509" s="380" t="s">
        <v>771</v>
      </c>
      <c r="I7509" s="380" t="s">
        <v>788</v>
      </c>
      <c r="J7509" s="380" t="s">
        <v>773</v>
      </c>
      <c r="K7509" s="381">
        <v>0.0</v>
      </c>
      <c r="L7509" s="382">
        <v>1.0</v>
      </c>
    </row>
    <row r="7510">
      <c r="A7510" s="380" t="s">
        <v>8384</v>
      </c>
      <c r="B7510" s="380" t="str">
        <f>IFERROR(__xludf.DUMMYFUNCTION("""COMPUTED_VALUE"""),"Pasador De Pin Banda Largo 1 1/4 3 1/")</f>
        <v>Pasador De Pin Banda Largo 1 1/4 3 1/</v>
      </c>
      <c r="C7510" s="380" t="str">
        <f>IFERROR(__xludf.DUMMYFUNCTION("""COMPUTED_VALUE"""),"70002922")</f>
        <v>70002922</v>
      </c>
      <c r="D7510" s="380" t="s">
        <v>767</v>
      </c>
      <c r="E7510" s="380" t="s">
        <v>786</v>
      </c>
      <c r="F7510" s="380" t="s">
        <v>1017</v>
      </c>
      <c r="G7510" s="380" t="s">
        <v>1267</v>
      </c>
      <c r="H7510" s="380" t="s">
        <v>771</v>
      </c>
      <c r="I7510" s="380" t="s">
        <v>788</v>
      </c>
      <c r="J7510" s="380" t="s">
        <v>773</v>
      </c>
      <c r="K7510" s="381">
        <v>0.0</v>
      </c>
      <c r="L7510" s="382">
        <v>1.0</v>
      </c>
    </row>
    <row r="7511">
      <c r="A7511" s="380" t="s">
        <v>8385</v>
      </c>
      <c r="B7511" s="380" t="str">
        <f>IFERROR(__xludf.DUMMYFUNCTION("""COMPUTED_VALUE"""),"Cadena Distrib Nkr III Reward 8979450670")</f>
        <v>Cadena Distrib Nkr III Reward 8979450670</v>
      </c>
      <c r="C7511" s="380" t="str">
        <f>IFERROR(__xludf.DUMMYFUNCTION("""COMPUTED_VALUE"""),"70002923")</f>
        <v>70002923</v>
      </c>
      <c r="D7511" s="380" t="s">
        <v>767</v>
      </c>
      <c r="E7511" s="380" t="s">
        <v>786</v>
      </c>
      <c r="F7511" s="380" t="s">
        <v>787</v>
      </c>
      <c r="G7511" s="380" t="s">
        <v>1267</v>
      </c>
      <c r="H7511" s="380" t="s">
        <v>771</v>
      </c>
      <c r="I7511" s="380" t="s">
        <v>788</v>
      </c>
      <c r="J7511" s="380" t="s">
        <v>773</v>
      </c>
      <c r="K7511" s="381">
        <v>0.0</v>
      </c>
      <c r="L7511" s="382">
        <v>1.0</v>
      </c>
    </row>
    <row r="7512">
      <c r="A7512" s="380" t="s">
        <v>8386</v>
      </c>
      <c r="B7512" s="380" t="str">
        <f>IFERROR(__xludf.DUMMYFUNCTION("""COMPUTED_VALUE"""),"Sello Rect Codo Llen Aceite Isx 4962609")</f>
        <v>Sello Rect Codo Llen Aceite Isx 4962609</v>
      </c>
      <c r="C7512" s="380" t="str">
        <f>IFERROR(__xludf.DUMMYFUNCTION("""COMPUTED_VALUE"""),"70002924")</f>
        <v>70002924</v>
      </c>
      <c r="D7512" s="380" t="s">
        <v>767</v>
      </c>
      <c r="E7512" s="380" t="s">
        <v>786</v>
      </c>
      <c r="F7512" s="380" t="s">
        <v>787</v>
      </c>
      <c r="G7512" s="380" t="s">
        <v>1267</v>
      </c>
      <c r="H7512" s="380" t="s">
        <v>771</v>
      </c>
      <c r="I7512" s="380" t="s">
        <v>788</v>
      </c>
      <c r="J7512" s="380" t="s">
        <v>773</v>
      </c>
      <c r="K7512" s="381">
        <v>0.0</v>
      </c>
      <c r="L7512" s="382">
        <v>1.0</v>
      </c>
    </row>
    <row r="7513">
      <c r="A7513" s="380" t="s">
        <v>8387</v>
      </c>
      <c r="B7513" s="380" t="str">
        <f>IFERROR(__xludf.DUMMYFUNCTION("""COMPUTED_VALUE"""),"Fan Clutch Prostar 10900965001")</f>
        <v>Fan Clutch Prostar 10900965001</v>
      </c>
      <c r="C7513" s="380" t="str">
        <f>IFERROR(__xludf.DUMMYFUNCTION("""COMPUTED_VALUE"""),"70002925")</f>
        <v>70002925</v>
      </c>
      <c r="D7513" s="380" t="s">
        <v>767</v>
      </c>
      <c r="E7513" s="380" t="s">
        <v>786</v>
      </c>
      <c r="F7513" s="380" t="s">
        <v>787</v>
      </c>
      <c r="G7513" s="380" t="s">
        <v>1267</v>
      </c>
      <c r="H7513" s="380" t="s">
        <v>771</v>
      </c>
      <c r="I7513" s="380" t="s">
        <v>788</v>
      </c>
      <c r="J7513" s="380" t="s">
        <v>773</v>
      </c>
      <c r="K7513" s="381">
        <v>0.0</v>
      </c>
      <c r="L7513" s="382">
        <v>1.0</v>
      </c>
    </row>
    <row r="7514">
      <c r="A7514" s="380" t="s">
        <v>8388</v>
      </c>
      <c r="B7514" s="380" t="str">
        <f>IFERROR(__xludf.DUMMYFUNCTION("""COMPUTED_VALUE"""),"Pasador Banda Pin Trailer 1 1/4-3 1/2")</f>
        <v>Pasador Banda Pin Trailer 1 1/4-3 1/2</v>
      </c>
      <c r="C7514" s="380" t="str">
        <f>IFERROR(__xludf.DUMMYFUNCTION("""COMPUTED_VALUE"""),"70002926")</f>
        <v>70002926</v>
      </c>
      <c r="D7514" s="380" t="s">
        <v>767</v>
      </c>
      <c r="E7514" s="380" t="s">
        <v>786</v>
      </c>
      <c r="F7514" s="380" t="s">
        <v>1017</v>
      </c>
      <c r="G7514" s="380" t="s">
        <v>1267</v>
      </c>
      <c r="H7514" s="380" t="s">
        <v>771</v>
      </c>
      <c r="I7514" s="380" t="s">
        <v>788</v>
      </c>
      <c r="J7514" s="380" t="s">
        <v>773</v>
      </c>
      <c r="K7514" s="381">
        <v>0.0</v>
      </c>
      <c r="L7514" s="382">
        <v>1.0</v>
      </c>
    </row>
    <row r="7515">
      <c r="A7515" s="380" t="s">
        <v>8389</v>
      </c>
      <c r="B7515" s="380" t="str">
        <f>IFERROR(__xludf.DUMMYFUNCTION("""COMPUTED_VALUE"""),"Marco Puerta Izq Nkr Reward 8975860479")</f>
        <v>Marco Puerta Izq Nkr Reward 8975860479</v>
      </c>
      <c r="C7515" s="380" t="str">
        <f>IFERROR(__xludf.DUMMYFUNCTION("""COMPUTED_VALUE"""),"70002927")</f>
        <v>70002927</v>
      </c>
      <c r="D7515" s="380" t="s">
        <v>767</v>
      </c>
      <c r="E7515" s="380" t="s">
        <v>786</v>
      </c>
      <c r="F7515" s="380" t="s">
        <v>792</v>
      </c>
      <c r="G7515" s="380" t="s">
        <v>1267</v>
      </c>
      <c r="H7515" s="380" t="s">
        <v>771</v>
      </c>
      <c r="I7515" s="380" t="s">
        <v>788</v>
      </c>
      <c r="J7515" s="380" t="s">
        <v>773</v>
      </c>
      <c r="K7515" s="381">
        <v>0.0</v>
      </c>
      <c r="L7515" s="382">
        <v>1.0</v>
      </c>
    </row>
    <row r="7516">
      <c r="A7516" s="380" t="s">
        <v>8390</v>
      </c>
      <c r="B7516" s="380" t="str">
        <f>IFERROR(__xludf.DUMMYFUNCTION("""COMPUTED_VALUE"""),"Esparrago Rueda Tras Der FRR 1423311062")</f>
        <v>Esparrago Rueda Tras Der FRR 1423311062</v>
      </c>
      <c r="C7516" s="380" t="str">
        <f>IFERROR(__xludf.DUMMYFUNCTION("""COMPUTED_VALUE"""),"70002928")</f>
        <v>70002928</v>
      </c>
      <c r="D7516" s="380" t="s">
        <v>767</v>
      </c>
      <c r="E7516" s="380" t="s">
        <v>786</v>
      </c>
      <c r="F7516" s="380" t="s">
        <v>1039</v>
      </c>
      <c r="G7516" s="380" t="s">
        <v>1267</v>
      </c>
      <c r="H7516" s="380" t="s">
        <v>771</v>
      </c>
      <c r="I7516" s="380" t="s">
        <v>788</v>
      </c>
      <c r="J7516" s="380" t="s">
        <v>773</v>
      </c>
      <c r="K7516" s="381">
        <v>0.0</v>
      </c>
      <c r="L7516" s="382">
        <v>1.0</v>
      </c>
    </row>
    <row r="7517">
      <c r="A7517" s="380" t="s">
        <v>8391</v>
      </c>
      <c r="B7517" s="380" t="str">
        <f>IFERROR(__xludf.DUMMYFUNCTION("""COMPUTED_VALUE"""),"Tuerca Interna Campana FRR 1094400650")</f>
        <v>Tuerca Interna Campana FRR 1094400650</v>
      </c>
      <c r="C7517" s="380" t="str">
        <f>IFERROR(__xludf.DUMMYFUNCTION("""COMPUTED_VALUE"""),"70002929")</f>
        <v>70002929</v>
      </c>
      <c r="D7517" s="380" t="s">
        <v>767</v>
      </c>
      <c r="E7517" s="380" t="s">
        <v>786</v>
      </c>
      <c r="F7517" s="380" t="s">
        <v>1039</v>
      </c>
      <c r="G7517" s="380" t="s">
        <v>1267</v>
      </c>
      <c r="H7517" s="380" t="s">
        <v>771</v>
      </c>
      <c r="I7517" s="380" t="s">
        <v>788</v>
      </c>
      <c r="J7517" s="380" t="s">
        <v>773</v>
      </c>
      <c r="K7517" s="381">
        <v>0.0</v>
      </c>
      <c r="L7517" s="382">
        <v>1.0</v>
      </c>
    </row>
    <row r="7518">
      <c r="A7518" s="380" t="s">
        <v>8392</v>
      </c>
      <c r="B7518" s="380" t="str">
        <f>IFERROR(__xludf.DUMMYFUNCTION("""COMPUTED_VALUE"""),"Guia Valvula Culata Nkr Rewar 8942394230")</f>
        <v>Guia Valvula Culata Nkr Rewar 8942394230</v>
      </c>
      <c r="C7518" s="380" t="str">
        <f>IFERROR(__xludf.DUMMYFUNCTION("""COMPUTED_VALUE"""),"70002930")</f>
        <v>70002930</v>
      </c>
      <c r="D7518" s="380" t="s">
        <v>767</v>
      </c>
      <c r="E7518" s="380" t="s">
        <v>786</v>
      </c>
      <c r="F7518" s="380" t="s">
        <v>787</v>
      </c>
      <c r="G7518" s="380" t="s">
        <v>1267</v>
      </c>
      <c r="H7518" s="380" t="s">
        <v>771</v>
      </c>
      <c r="I7518" s="380" t="s">
        <v>788</v>
      </c>
      <c r="J7518" s="380" t="s">
        <v>773</v>
      </c>
      <c r="K7518" s="381">
        <v>0.0</v>
      </c>
      <c r="L7518" s="382">
        <v>1.0</v>
      </c>
    </row>
    <row r="7519">
      <c r="A7519" s="380" t="s">
        <v>8393</v>
      </c>
      <c r="B7519" s="380" t="str">
        <f>IFERROR(__xludf.DUMMYFUNCTION("""COMPUTED_VALUE"""),"Sensor Revoluciones Npr 8972143250")</f>
        <v>Sensor Revoluciones Npr 8972143250</v>
      </c>
      <c r="C7519" s="380" t="str">
        <f>IFERROR(__xludf.DUMMYFUNCTION("""COMPUTED_VALUE"""),"70002931")</f>
        <v>70002931</v>
      </c>
      <c r="D7519" s="380" t="s">
        <v>767</v>
      </c>
      <c r="E7519" s="380" t="s">
        <v>786</v>
      </c>
      <c r="F7519" s="380" t="s">
        <v>787</v>
      </c>
      <c r="G7519" s="380" t="s">
        <v>1267</v>
      </c>
      <c r="H7519" s="380" t="s">
        <v>771</v>
      </c>
      <c r="I7519" s="380" t="s">
        <v>788</v>
      </c>
      <c r="J7519" s="380" t="s">
        <v>773</v>
      </c>
      <c r="K7519" s="381">
        <v>0.0</v>
      </c>
      <c r="L7519" s="382">
        <v>1.0</v>
      </c>
    </row>
    <row r="7520">
      <c r="A7520" s="380" t="s">
        <v>8394</v>
      </c>
      <c r="B7520" s="380" t="str">
        <f>IFERROR(__xludf.DUMMYFUNCTION("""COMPUTED_VALUE"""),"Lampara Led Redond 4"" De 24vol")</f>
        <v>Lampara Led Redond 4" De 24vol</v>
      </c>
      <c r="C7520" s="380" t="str">
        <f>IFERROR(__xludf.DUMMYFUNCTION("""COMPUTED_VALUE"""),"70002932")</f>
        <v>70002932</v>
      </c>
      <c r="D7520" s="380" t="s">
        <v>767</v>
      </c>
      <c r="E7520" s="380" t="s">
        <v>786</v>
      </c>
      <c r="F7520" s="380" t="s">
        <v>998</v>
      </c>
      <c r="G7520" s="380" t="s">
        <v>1267</v>
      </c>
      <c r="H7520" s="380" t="s">
        <v>771</v>
      </c>
      <c r="I7520" s="380" t="s">
        <v>788</v>
      </c>
      <c r="J7520" s="380" t="s">
        <v>773</v>
      </c>
      <c r="K7520" s="381">
        <v>38437.0</v>
      </c>
      <c r="L7520" s="382">
        <v>1.0</v>
      </c>
    </row>
    <row r="7521">
      <c r="A7521" s="380" t="s">
        <v>8395</v>
      </c>
      <c r="B7521" s="380" t="str">
        <f>IFERROR(__xludf.DUMMYFUNCTION("""COMPUTED_VALUE"""),"Pasador De Pin Banda Trailer 1 1/4""")</f>
        <v>Pasador De Pin Banda Trailer 1 1/4"</v>
      </c>
      <c r="C7521" s="380" t="str">
        <f>IFERROR(__xludf.DUMMYFUNCTION("""COMPUTED_VALUE"""),"70002933")</f>
        <v>70002933</v>
      </c>
      <c r="D7521" s="380" t="s">
        <v>767</v>
      </c>
      <c r="E7521" s="380" t="s">
        <v>786</v>
      </c>
      <c r="F7521" s="380" t="s">
        <v>1017</v>
      </c>
      <c r="G7521" s="380" t="s">
        <v>1267</v>
      </c>
      <c r="H7521" s="380" t="s">
        <v>771</v>
      </c>
      <c r="I7521" s="380" t="s">
        <v>788</v>
      </c>
      <c r="J7521" s="380" t="s">
        <v>773</v>
      </c>
      <c r="K7521" s="381">
        <v>0.0</v>
      </c>
      <c r="L7521" s="382">
        <v>1.0</v>
      </c>
    </row>
    <row r="7522">
      <c r="A7522" s="380" t="s">
        <v>8396</v>
      </c>
      <c r="B7522" s="380" t="str">
        <f>IFERROR(__xludf.DUMMYFUNCTION("""COMPUTED_VALUE"""),"Conjunto Eje Direccion FRR 8974156172")</f>
        <v>Conjunto Eje Direccion FRR 8974156172</v>
      </c>
      <c r="C7522" s="380" t="str">
        <f>IFERROR(__xludf.DUMMYFUNCTION("""COMPUTED_VALUE"""),"70002934")</f>
        <v>70002934</v>
      </c>
      <c r="D7522" s="380" t="s">
        <v>767</v>
      </c>
      <c r="E7522" s="380" t="s">
        <v>786</v>
      </c>
      <c r="F7522" s="380" t="s">
        <v>1020</v>
      </c>
      <c r="G7522" s="380" t="s">
        <v>1267</v>
      </c>
      <c r="H7522" s="380" t="s">
        <v>771</v>
      </c>
      <c r="I7522" s="380" t="s">
        <v>788</v>
      </c>
      <c r="J7522" s="380" t="s">
        <v>773</v>
      </c>
      <c r="K7522" s="381">
        <v>0.0</v>
      </c>
      <c r="L7522" s="382">
        <v>1.0</v>
      </c>
    </row>
    <row r="7523">
      <c r="A7523" s="380" t="s">
        <v>8397</v>
      </c>
      <c r="B7523" s="380" t="str">
        <f>IFERROR(__xludf.DUMMYFUNCTION("""COMPUTED_VALUE"""),"Deposito Auxiliar Radiador FRR8981717570")</f>
        <v>Deposito Auxiliar Radiador FRR8981717570</v>
      </c>
      <c r="C7523" s="380" t="str">
        <f>IFERROR(__xludf.DUMMYFUNCTION("""COMPUTED_VALUE"""),"70002935")</f>
        <v>70002935</v>
      </c>
      <c r="D7523" s="380" t="s">
        <v>767</v>
      </c>
      <c r="E7523" s="380" t="s">
        <v>786</v>
      </c>
      <c r="F7523" s="380" t="s">
        <v>787</v>
      </c>
      <c r="G7523" s="380" t="s">
        <v>1267</v>
      </c>
      <c r="H7523" s="380" t="s">
        <v>771</v>
      </c>
      <c r="I7523" s="380" t="s">
        <v>788</v>
      </c>
      <c r="J7523" s="380" t="s">
        <v>773</v>
      </c>
      <c r="K7523" s="381">
        <v>0.0</v>
      </c>
      <c r="L7523" s="382">
        <v>1.0</v>
      </c>
    </row>
    <row r="7524">
      <c r="A7524" s="380" t="s">
        <v>8398</v>
      </c>
      <c r="B7524" s="380" t="str">
        <f>IFERROR(__xludf.DUMMYFUNCTION("""COMPUTED_VALUE"""),"Tapa Tanque Limpiabrisas Nkr 8978551400")</f>
        <v>Tapa Tanque Limpiabrisas Nkr 8978551400</v>
      </c>
      <c r="C7524" s="380" t="str">
        <f>IFERROR(__xludf.DUMMYFUNCTION("""COMPUTED_VALUE"""),"70002936")</f>
        <v>70002936</v>
      </c>
      <c r="D7524" s="380" t="s">
        <v>767</v>
      </c>
      <c r="E7524" s="380" t="s">
        <v>786</v>
      </c>
      <c r="F7524" s="380" t="s">
        <v>792</v>
      </c>
      <c r="G7524" s="380" t="s">
        <v>1267</v>
      </c>
      <c r="H7524" s="380" t="s">
        <v>771</v>
      </c>
      <c r="I7524" s="380" t="s">
        <v>788</v>
      </c>
      <c r="J7524" s="380" t="s">
        <v>773</v>
      </c>
      <c r="K7524" s="381">
        <v>0.0</v>
      </c>
      <c r="L7524" s="382">
        <v>1.0</v>
      </c>
    </row>
    <row r="7525">
      <c r="A7525" s="380" t="s">
        <v>8399</v>
      </c>
      <c r="B7525" s="380" t="str">
        <f>IFERROR(__xludf.DUMMYFUNCTION("""COMPUTED_VALUE"""),"Empaque Marco Puerta Derecho 3602208C1")</f>
        <v>Empaque Marco Puerta Derecho 3602208C1</v>
      </c>
      <c r="C7525" s="380" t="str">
        <f>IFERROR(__xludf.DUMMYFUNCTION("""COMPUTED_VALUE"""),"70002937")</f>
        <v>70002937</v>
      </c>
      <c r="D7525" s="380" t="s">
        <v>767</v>
      </c>
      <c r="E7525" s="380" t="s">
        <v>786</v>
      </c>
      <c r="F7525" s="380" t="s">
        <v>792</v>
      </c>
      <c r="G7525" s="380" t="s">
        <v>1267</v>
      </c>
      <c r="H7525" s="380" t="s">
        <v>771</v>
      </c>
      <c r="I7525" s="380" t="s">
        <v>788</v>
      </c>
      <c r="J7525" s="380" t="s">
        <v>773</v>
      </c>
      <c r="K7525" s="381">
        <v>0.0</v>
      </c>
      <c r="L7525" s="382">
        <v>1.0</v>
      </c>
    </row>
    <row r="7526">
      <c r="A7526" s="380" t="s">
        <v>8400</v>
      </c>
      <c r="B7526" s="380" t="str">
        <f>IFERROR(__xludf.DUMMYFUNCTION("""COMPUTED_VALUE"""),"Bomba Suspension Petrolera SAF9055721")</f>
        <v>Bomba Suspension Petrolera SAF9055721</v>
      </c>
      <c r="C7526" s="380" t="str">
        <f>IFERROR(__xludf.DUMMYFUNCTION("""COMPUTED_VALUE"""),"70002938")</f>
        <v>70002938</v>
      </c>
      <c r="D7526" s="380" t="s">
        <v>767</v>
      </c>
      <c r="E7526" s="380" t="s">
        <v>786</v>
      </c>
      <c r="F7526" s="380" t="s">
        <v>1039</v>
      </c>
      <c r="G7526" s="380" t="s">
        <v>1267</v>
      </c>
      <c r="H7526" s="380" t="s">
        <v>771</v>
      </c>
      <c r="I7526" s="380" t="s">
        <v>788</v>
      </c>
      <c r="J7526" s="380" t="s">
        <v>773</v>
      </c>
      <c r="K7526" s="381">
        <v>0.0</v>
      </c>
      <c r="L7526" s="382">
        <v>1.0</v>
      </c>
    </row>
    <row r="7527">
      <c r="A7527" s="380" t="s">
        <v>8401</v>
      </c>
      <c r="B7527" s="380" t="str">
        <f>IFERROR(__xludf.DUMMYFUNCTION("""COMPUTED_VALUE"""),"Radiador En Cobre FRR")</f>
        <v>Radiador En Cobre FRR</v>
      </c>
      <c r="C7527" s="380" t="str">
        <f>IFERROR(__xludf.DUMMYFUNCTION("""COMPUTED_VALUE"""),"70002939")</f>
        <v>70002939</v>
      </c>
      <c r="D7527" s="380" t="s">
        <v>767</v>
      </c>
      <c r="E7527" s="380" t="s">
        <v>786</v>
      </c>
      <c r="F7527" s="380" t="s">
        <v>787</v>
      </c>
      <c r="G7527" s="380" t="s">
        <v>1267</v>
      </c>
      <c r="H7527" s="380" t="s">
        <v>771</v>
      </c>
      <c r="I7527" s="380" t="s">
        <v>788</v>
      </c>
      <c r="J7527" s="380" t="s">
        <v>773</v>
      </c>
      <c r="K7527" s="381">
        <v>0.0</v>
      </c>
      <c r="L7527" s="382">
        <v>1.0</v>
      </c>
    </row>
    <row r="7528">
      <c r="A7528" s="380" t="s">
        <v>8402</v>
      </c>
      <c r="B7528" s="380" t="str">
        <f>IFERROR(__xludf.DUMMYFUNCTION("""COMPUTED_VALUE"""),"Pasador Balancin Delantero 3511254 C1")</f>
        <v>Pasador Balancin Delantero 3511254 C1</v>
      </c>
      <c r="C7528" s="380" t="str">
        <f>IFERROR(__xludf.DUMMYFUNCTION("""COMPUTED_VALUE"""),"70002940")</f>
        <v>70002940</v>
      </c>
      <c r="D7528" s="380" t="s">
        <v>767</v>
      </c>
      <c r="E7528" s="380" t="s">
        <v>786</v>
      </c>
      <c r="F7528" s="380" t="s">
        <v>1039</v>
      </c>
      <c r="G7528" s="380" t="s">
        <v>1267</v>
      </c>
      <c r="H7528" s="380" t="s">
        <v>771</v>
      </c>
      <c r="I7528" s="380" t="s">
        <v>788</v>
      </c>
      <c r="J7528" s="380" t="s">
        <v>773</v>
      </c>
      <c r="K7528" s="381">
        <v>0.0</v>
      </c>
      <c r="L7528" s="382">
        <v>1.0</v>
      </c>
    </row>
    <row r="7529">
      <c r="A7529" s="380" t="s">
        <v>8403</v>
      </c>
      <c r="B7529" s="380" t="str">
        <f>IFERROR(__xludf.DUMMYFUNCTION("""COMPUTED_VALUE"""),"Hoja Muelle Trasero Nkr Reward 22077 / 2")</f>
        <v>Hoja Muelle Trasero Nkr Reward 22077 / 2</v>
      </c>
      <c r="C7529" s="380" t="str">
        <f>IFERROR(__xludf.DUMMYFUNCTION("""COMPUTED_VALUE"""),"70002941")</f>
        <v>70002941</v>
      </c>
      <c r="D7529" s="380" t="s">
        <v>767</v>
      </c>
      <c r="E7529" s="380" t="s">
        <v>786</v>
      </c>
      <c r="F7529" s="380" t="s">
        <v>1039</v>
      </c>
      <c r="G7529" s="380" t="s">
        <v>1267</v>
      </c>
      <c r="H7529" s="380" t="s">
        <v>771</v>
      </c>
      <c r="I7529" s="380" t="s">
        <v>788</v>
      </c>
      <c r="J7529" s="380" t="s">
        <v>773</v>
      </c>
      <c r="K7529" s="381">
        <v>0.0</v>
      </c>
      <c r="L7529" s="382">
        <v>1.0</v>
      </c>
    </row>
    <row r="7530">
      <c r="A7530" s="380" t="s">
        <v>8404</v>
      </c>
      <c r="B7530" s="380" t="str">
        <f>IFERROR(__xludf.DUMMYFUNCTION("""COMPUTED_VALUE"""),"Pasador Balancin Trailer 168702")</f>
        <v>Pasador Balancin Trailer 168702</v>
      </c>
      <c r="C7530" s="380" t="str">
        <f>IFERROR(__xludf.DUMMYFUNCTION("""COMPUTED_VALUE"""),"70002942")</f>
        <v>70002942</v>
      </c>
      <c r="D7530" s="380" t="s">
        <v>767</v>
      </c>
      <c r="E7530" s="380" t="s">
        <v>786</v>
      </c>
      <c r="F7530" s="380" t="s">
        <v>1039</v>
      </c>
      <c r="G7530" s="380" t="s">
        <v>1267</v>
      </c>
      <c r="H7530" s="380" t="s">
        <v>771</v>
      </c>
      <c r="I7530" s="380" t="s">
        <v>788</v>
      </c>
      <c r="J7530" s="380" t="s">
        <v>773</v>
      </c>
      <c r="K7530" s="381">
        <v>70433.0</v>
      </c>
      <c r="L7530" s="382">
        <v>1.0</v>
      </c>
    </row>
    <row r="7531">
      <c r="A7531" s="380" t="s">
        <v>8405</v>
      </c>
      <c r="B7531" s="380" t="str">
        <f>IFERROR(__xludf.DUMMYFUNCTION("""COMPUTED_VALUE"""),"Piñon Cuerpo Aceler Nkr III E Fabricado")</f>
        <v>Piñon Cuerpo Aceler Nkr III E Fabricado</v>
      </c>
      <c r="C7531" s="380" t="str">
        <f>IFERROR(__xludf.DUMMYFUNCTION("""COMPUTED_VALUE"""),"70002943")</f>
        <v>70002943</v>
      </c>
      <c r="D7531" s="380" t="s">
        <v>767</v>
      </c>
      <c r="E7531" s="380" t="s">
        <v>786</v>
      </c>
      <c r="F7531" s="380" t="s">
        <v>787</v>
      </c>
      <c r="G7531" s="380" t="s">
        <v>1267</v>
      </c>
      <c r="H7531" s="380" t="s">
        <v>771</v>
      </c>
      <c r="I7531" s="380" t="s">
        <v>788</v>
      </c>
      <c r="J7531" s="380" t="s">
        <v>773</v>
      </c>
      <c r="K7531" s="381">
        <v>0.0</v>
      </c>
      <c r="L7531" s="382">
        <v>1.0</v>
      </c>
    </row>
    <row r="7532">
      <c r="A7532" s="380" t="s">
        <v>8406</v>
      </c>
      <c r="B7532" s="380" t="str">
        <f>IFERROR(__xludf.DUMMYFUNCTION("""COMPUTED_VALUE"""),"Empaque Marco Puerta Izq 9400 3602207C1")</f>
        <v>Empaque Marco Puerta Izq 9400 3602207C1</v>
      </c>
      <c r="C7532" s="380" t="str">
        <f>IFERROR(__xludf.DUMMYFUNCTION("""COMPUTED_VALUE"""),"70002944")</f>
        <v>70002944</v>
      </c>
      <c r="D7532" s="380" t="s">
        <v>767</v>
      </c>
      <c r="E7532" s="380" t="s">
        <v>786</v>
      </c>
      <c r="F7532" s="380" t="s">
        <v>792</v>
      </c>
      <c r="G7532" s="380" t="s">
        <v>1267</v>
      </c>
      <c r="H7532" s="380" t="s">
        <v>771</v>
      </c>
      <c r="I7532" s="380" t="s">
        <v>788</v>
      </c>
      <c r="J7532" s="380" t="s">
        <v>773</v>
      </c>
      <c r="K7532" s="381">
        <v>0.0</v>
      </c>
      <c r="L7532" s="382">
        <v>1.0</v>
      </c>
    </row>
    <row r="7533">
      <c r="A7533" s="380" t="s">
        <v>8407</v>
      </c>
      <c r="B7533" s="380" t="str">
        <f>IFERROR(__xludf.DUMMYFUNCTION("""COMPUTED_VALUE"""),"Panel Inferior Cabina 9400 3616415C91")</f>
        <v>Panel Inferior Cabina 9400 3616415C91</v>
      </c>
      <c r="C7533" s="380" t="str">
        <f>IFERROR(__xludf.DUMMYFUNCTION("""COMPUTED_VALUE"""),"70002945")</f>
        <v>70002945</v>
      </c>
      <c r="D7533" s="380" t="s">
        <v>767</v>
      </c>
      <c r="E7533" s="380" t="s">
        <v>786</v>
      </c>
      <c r="F7533" s="380" t="s">
        <v>792</v>
      </c>
      <c r="G7533" s="380" t="s">
        <v>1267</v>
      </c>
      <c r="H7533" s="380" t="s">
        <v>771</v>
      </c>
      <c r="I7533" s="380" t="s">
        <v>788</v>
      </c>
      <c r="J7533" s="380" t="s">
        <v>773</v>
      </c>
      <c r="K7533" s="381">
        <v>0.0</v>
      </c>
      <c r="L7533" s="382">
        <v>1.0</v>
      </c>
    </row>
    <row r="7534">
      <c r="A7534" s="380" t="s">
        <v>8408</v>
      </c>
      <c r="B7534" s="380" t="str">
        <f>IFERROR(__xludf.DUMMYFUNCTION("""COMPUTED_VALUE"""),"Conector Manguera Bypass N200 23864520")</f>
        <v>Conector Manguera Bypass N200 23864520</v>
      </c>
      <c r="C7534" s="380" t="str">
        <f>IFERROR(__xludf.DUMMYFUNCTION("""COMPUTED_VALUE"""),"70002946")</f>
        <v>70002946</v>
      </c>
      <c r="D7534" s="380" t="s">
        <v>767</v>
      </c>
      <c r="E7534" s="380" t="s">
        <v>786</v>
      </c>
      <c r="F7534" s="380" t="s">
        <v>787</v>
      </c>
      <c r="G7534" s="380" t="s">
        <v>1267</v>
      </c>
      <c r="H7534" s="380" t="s">
        <v>771</v>
      </c>
      <c r="I7534" s="380" t="s">
        <v>788</v>
      </c>
      <c r="J7534" s="380" t="s">
        <v>773</v>
      </c>
      <c r="K7534" s="381">
        <v>0.0</v>
      </c>
      <c r="L7534" s="382">
        <v>1.0</v>
      </c>
    </row>
    <row r="7535">
      <c r="A7535" s="380" t="s">
        <v>8409</v>
      </c>
      <c r="B7535" s="380" t="str">
        <f>IFERROR(__xludf.DUMMYFUNCTION("""COMPUTED_VALUE"""),"Enfriador EGR Motor FRR 8980252485")</f>
        <v>Enfriador EGR Motor FRR 8980252485</v>
      </c>
      <c r="C7535" s="380" t="str">
        <f>IFERROR(__xludf.DUMMYFUNCTION("""COMPUTED_VALUE"""),"70002947")</f>
        <v>70002947</v>
      </c>
      <c r="D7535" s="380" t="s">
        <v>767</v>
      </c>
      <c r="E7535" s="380" t="s">
        <v>786</v>
      </c>
      <c r="F7535" s="380" t="s">
        <v>787</v>
      </c>
      <c r="G7535" s="380" t="s">
        <v>1267</v>
      </c>
      <c r="H7535" s="380" t="s">
        <v>771</v>
      </c>
      <c r="I7535" s="380" t="s">
        <v>788</v>
      </c>
      <c r="J7535" s="380" t="s">
        <v>773</v>
      </c>
      <c r="K7535" s="381">
        <v>0.0</v>
      </c>
      <c r="L7535" s="382">
        <v>1.0</v>
      </c>
    </row>
    <row r="7536">
      <c r="A7536" s="380" t="s">
        <v>8410</v>
      </c>
      <c r="B7536" s="380" t="str">
        <f>IFERROR(__xludf.DUMMYFUNCTION("""COMPUTED_VALUE"""),"Techo Cabina Nkr Reward 8982873430")</f>
        <v>Techo Cabina Nkr Reward 8982873430</v>
      </c>
      <c r="C7536" s="380" t="str">
        <f>IFERROR(__xludf.DUMMYFUNCTION("""COMPUTED_VALUE"""),"70002948")</f>
        <v>70002948</v>
      </c>
      <c r="D7536" s="380" t="s">
        <v>767</v>
      </c>
      <c r="E7536" s="380" t="s">
        <v>786</v>
      </c>
      <c r="F7536" s="380" t="s">
        <v>792</v>
      </c>
      <c r="G7536" s="380" t="s">
        <v>1267</v>
      </c>
      <c r="H7536" s="380" t="s">
        <v>771</v>
      </c>
      <c r="I7536" s="380" t="s">
        <v>788</v>
      </c>
      <c r="J7536" s="380" t="s">
        <v>773</v>
      </c>
      <c r="K7536" s="381">
        <v>0.0</v>
      </c>
      <c r="L7536" s="382">
        <v>1.0</v>
      </c>
    </row>
    <row r="7537">
      <c r="A7537" s="380" t="s">
        <v>8411</v>
      </c>
      <c r="B7537" s="380" t="str">
        <f>IFERROR(__xludf.DUMMYFUNCTION("""COMPUTED_VALUE"""),"Prisi Pas Ban Fot1128 Fab14X1.5 1 1/4-2")</f>
        <v>Prisi Pas Ban Fot1128 Fab14X1.5 1 1/4-2</v>
      </c>
      <c r="C7537" s="380" t="str">
        <f>IFERROR(__xludf.DUMMYFUNCTION("""COMPUTED_VALUE"""),"70002949")</f>
        <v>70002949</v>
      </c>
      <c r="D7537" s="380" t="s">
        <v>767</v>
      </c>
      <c r="E7537" s="380" t="s">
        <v>786</v>
      </c>
      <c r="F7537" s="380" t="s">
        <v>1017</v>
      </c>
      <c r="G7537" s="380" t="s">
        <v>1267</v>
      </c>
      <c r="H7537" s="380" t="s">
        <v>771</v>
      </c>
      <c r="I7537" s="380" t="s">
        <v>788</v>
      </c>
      <c r="J7537" s="380" t="s">
        <v>773</v>
      </c>
      <c r="K7537" s="381">
        <v>0.0</v>
      </c>
      <c r="L7537" s="382">
        <v>1.0</v>
      </c>
    </row>
    <row r="7538">
      <c r="A7538" s="380" t="s">
        <v>8412</v>
      </c>
      <c r="B7538" s="380" t="str">
        <f>IFERROR(__xludf.DUMMYFUNCTION("""COMPUTED_VALUE"""),"Empaque Puerta Der T Delta 678613701")</f>
        <v>Empaque Puerta Der T Delta 678613701</v>
      </c>
      <c r="C7538" s="380" t="str">
        <f>IFERROR(__xludf.DUMMYFUNCTION("""COMPUTED_VALUE"""),"70002950")</f>
        <v>70002950</v>
      </c>
      <c r="D7538" s="380" t="s">
        <v>767</v>
      </c>
      <c r="E7538" s="380" t="s">
        <v>786</v>
      </c>
      <c r="F7538" s="380" t="s">
        <v>792</v>
      </c>
      <c r="G7538" s="380" t="s">
        <v>1267</v>
      </c>
      <c r="H7538" s="380" t="s">
        <v>771</v>
      </c>
      <c r="I7538" s="380" t="s">
        <v>788</v>
      </c>
      <c r="J7538" s="380" t="s">
        <v>773</v>
      </c>
      <c r="K7538" s="381">
        <v>0.0</v>
      </c>
      <c r="L7538" s="382">
        <v>1.0</v>
      </c>
    </row>
    <row r="7539">
      <c r="A7539" s="380" t="s">
        <v>8413</v>
      </c>
      <c r="B7539" s="380" t="str">
        <f>IFERROR(__xludf.DUMMYFUNCTION("""COMPUTED_VALUE"""),"Empaque Puerta Izq T Delta 678613701")</f>
        <v>Empaque Puerta Izq T Delta 678613701</v>
      </c>
      <c r="C7539" s="380" t="str">
        <f>IFERROR(__xludf.DUMMYFUNCTION("""COMPUTED_VALUE"""),"70002951")</f>
        <v>70002951</v>
      </c>
      <c r="D7539" s="380" t="s">
        <v>767</v>
      </c>
      <c r="E7539" s="380" t="s">
        <v>786</v>
      </c>
      <c r="F7539" s="380" t="s">
        <v>792</v>
      </c>
      <c r="G7539" s="380" t="s">
        <v>1267</v>
      </c>
      <c r="H7539" s="380" t="s">
        <v>771</v>
      </c>
      <c r="I7539" s="380" t="s">
        <v>788</v>
      </c>
      <c r="J7539" s="380" t="s">
        <v>773</v>
      </c>
      <c r="K7539" s="381">
        <v>0.0</v>
      </c>
      <c r="L7539" s="382">
        <v>1.0</v>
      </c>
    </row>
    <row r="7540">
      <c r="A7540" s="380" t="s">
        <v>8414</v>
      </c>
      <c r="B7540" s="380" t="str">
        <f>IFERROR(__xludf.DUMMYFUNCTION("""COMPUTED_VALUE"""),"Manguera Bomba Embrag Prostar 3953848C1")</f>
        <v>Manguera Bomba Embrag Prostar 3953848C1</v>
      </c>
      <c r="C7540" s="380" t="str">
        <f>IFERROR(__xludf.DUMMYFUNCTION("""COMPUTED_VALUE"""),"70002952")</f>
        <v>70002952</v>
      </c>
      <c r="D7540" s="380" t="s">
        <v>767</v>
      </c>
      <c r="E7540" s="380" t="s">
        <v>786</v>
      </c>
      <c r="F7540" s="380" t="s">
        <v>5661</v>
      </c>
      <c r="G7540" s="380" t="s">
        <v>1267</v>
      </c>
      <c r="H7540" s="380" t="s">
        <v>771</v>
      </c>
      <c r="I7540" s="380" t="s">
        <v>788</v>
      </c>
      <c r="J7540" s="380" t="s">
        <v>773</v>
      </c>
      <c r="K7540" s="381">
        <v>0.0</v>
      </c>
      <c r="L7540" s="382">
        <v>1.0</v>
      </c>
    </row>
    <row r="7541">
      <c r="A7541" s="380" t="s">
        <v>8415</v>
      </c>
      <c r="B7541" s="380" t="str">
        <f>IFERROR(__xludf.DUMMYFUNCTION("""COMPUTED_VALUE"""),"Cigüeñal Nkr Reward 8981549502")</f>
        <v>Cigüeñal Nkr Reward 8981549502</v>
      </c>
      <c r="C7541" s="380" t="str">
        <f>IFERROR(__xludf.DUMMYFUNCTION("""COMPUTED_VALUE"""),"70002953")</f>
        <v>70002953</v>
      </c>
      <c r="D7541" s="380" t="s">
        <v>767</v>
      </c>
      <c r="E7541" s="380" t="s">
        <v>786</v>
      </c>
      <c r="F7541" s="380" t="s">
        <v>787</v>
      </c>
      <c r="G7541" s="380" t="s">
        <v>1267</v>
      </c>
      <c r="H7541" s="380" t="s">
        <v>771</v>
      </c>
      <c r="I7541" s="380" t="s">
        <v>788</v>
      </c>
      <c r="J7541" s="380" t="s">
        <v>773</v>
      </c>
      <c r="K7541" s="381">
        <v>0.0</v>
      </c>
      <c r="L7541" s="382">
        <v>1.0</v>
      </c>
    </row>
    <row r="7542">
      <c r="A7542" s="380" t="s">
        <v>8416</v>
      </c>
      <c r="B7542" s="380" t="str">
        <f>IFERROR(__xludf.DUMMYFUNCTION("""COMPUTED_VALUE"""),"Kit Clutch T Delta 510138B")</f>
        <v>Kit Clutch T Delta 510138B</v>
      </c>
      <c r="C7542" s="380" t="str">
        <f>IFERROR(__xludf.DUMMYFUNCTION("""COMPUTED_VALUE"""),"70002954")</f>
        <v>70002954</v>
      </c>
      <c r="D7542" s="380" t="s">
        <v>767</v>
      </c>
      <c r="E7542" s="380" t="s">
        <v>786</v>
      </c>
      <c r="F7542" s="380" t="s">
        <v>5661</v>
      </c>
      <c r="G7542" s="380" t="s">
        <v>1267</v>
      </c>
      <c r="H7542" s="380" t="s">
        <v>771</v>
      </c>
      <c r="I7542" s="380" t="s">
        <v>788</v>
      </c>
      <c r="J7542" s="380" t="s">
        <v>773</v>
      </c>
      <c r="K7542" s="381">
        <v>0.0</v>
      </c>
      <c r="L7542" s="382">
        <v>1.0</v>
      </c>
    </row>
    <row r="7543">
      <c r="A7543" s="380" t="s">
        <v>8417</v>
      </c>
      <c r="B7543" s="380" t="str">
        <f>IFERROR(__xludf.DUMMYFUNCTION("""COMPUTED_VALUE"""),"Kit Piston Nkr 98/G3 5878131834")</f>
        <v>Kit Piston Nkr 98/G3 5878131834</v>
      </c>
      <c r="C7543" s="380" t="str">
        <f>IFERROR(__xludf.DUMMYFUNCTION("""COMPUTED_VALUE"""),"70002955")</f>
        <v>70002955</v>
      </c>
      <c r="D7543" s="380" t="s">
        <v>767</v>
      </c>
      <c r="E7543" s="380" t="s">
        <v>786</v>
      </c>
      <c r="F7543" s="380" t="s">
        <v>787</v>
      </c>
      <c r="G7543" s="380" t="s">
        <v>1267</v>
      </c>
      <c r="H7543" s="380" t="s">
        <v>771</v>
      </c>
      <c r="I7543" s="380" t="s">
        <v>788</v>
      </c>
      <c r="J7543" s="380" t="s">
        <v>773</v>
      </c>
      <c r="K7543" s="381">
        <v>0.0</v>
      </c>
      <c r="L7543" s="382">
        <v>1.0</v>
      </c>
    </row>
    <row r="7544">
      <c r="A7544" s="380" t="s">
        <v>8418</v>
      </c>
      <c r="B7544" s="380" t="str">
        <f>IFERROR(__xludf.DUMMYFUNCTION("""COMPUTED_VALUE"""),"Tuerca Eje Corredizo Volswagen 21937")</f>
        <v>Tuerca Eje Corredizo Volswagen 21937</v>
      </c>
      <c r="C7544" s="380" t="str">
        <f>IFERROR(__xludf.DUMMYFUNCTION("""COMPUTED_VALUE"""),"70002956")</f>
        <v>70002956</v>
      </c>
      <c r="D7544" s="380" t="s">
        <v>767</v>
      </c>
      <c r="E7544" s="380" t="s">
        <v>786</v>
      </c>
      <c r="F7544" s="380" t="s">
        <v>928</v>
      </c>
      <c r="G7544" s="380" t="s">
        <v>1267</v>
      </c>
      <c r="H7544" s="380" t="s">
        <v>771</v>
      </c>
      <c r="I7544" s="380" t="s">
        <v>788</v>
      </c>
      <c r="J7544" s="380" t="s">
        <v>773</v>
      </c>
      <c r="K7544" s="381">
        <v>0.0</v>
      </c>
      <c r="L7544" s="382">
        <v>1.0</v>
      </c>
    </row>
    <row r="7545">
      <c r="A7545" s="380" t="s">
        <v>8419</v>
      </c>
      <c r="B7545" s="380" t="str">
        <f>IFERROR(__xludf.DUMMYFUNCTION("""COMPUTED_VALUE"""),"Kit Control Dirección Prostar 2611199C91")</f>
        <v>Kit Control Dirección Prostar 2611199C91</v>
      </c>
      <c r="C7545" s="380" t="str">
        <f>IFERROR(__xludf.DUMMYFUNCTION("""COMPUTED_VALUE"""),"70002957")</f>
        <v>70002957</v>
      </c>
      <c r="D7545" s="380" t="s">
        <v>767</v>
      </c>
      <c r="E7545" s="380" t="s">
        <v>786</v>
      </c>
      <c r="F7545" s="380" t="s">
        <v>1020</v>
      </c>
      <c r="G7545" s="380" t="s">
        <v>1267</v>
      </c>
      <c r="H7545" s="380" t="s">
        <v>771</v>
      </c>
      <c r="I7545" s="380" t="s">
        <v>788</v>
      </c>
      <c r="J7545" s="380" t="s">
        <v>773</v>
      </c>
      <c r="K7545" s="381">
        <v>1988080.0</v>
      </c>
      <c r="L7545" s="382">
        <v>1.0</v>
      </c>
    </row>
    <row r="7546">
      <c r="A7546" s="380" t="s">
        <v>8420</v>
      </c>
      <c r="B7546" s="380" t="str">
        <f>IFERROR(__xludf.DUMMYFUNCTION("""COMPUTED_VALUE"""),"Interruptor Luz Freno N200 5498452")</f>
        <v>Interruptor Luz Freno N200 5498452</v>
      </c>
      <c r="C7546" s="380" t="str">
        <f>IFERROR(__xludf.DUMMYFUNCTION("""COMPUTED_VALUE"""),"70002958")</f>
        <v>70002958</v>
      </c>
      <c r="D7546" s="380" t="s">
        <v>767</v>
      </c>
      <c r="E7546" s="380" t="s">
        <v>786</v>
      </c>
      <c r="F7546" s="380" t="s">
        <v>998</v>
      </c>
      <c r="G7546" s="380" t="s">
        <v>1267</v>
      </c>
      <c r="H7546" s="380" t="s">
        <v>771</v>
      </c>
      <c r="I7546" s="380" t="s">
        <v>788</v>
      </c>
      <c r="J7546" s="380" t="s">
        <v>773</v>
      </c>
      <c r="K7546" s="381">
        <v>0.0</v>
      </c>
      <c r="L7546" s="382">
        <v>1.0</v>
      </c>
    </row>
    <row r="7547">
      <c r="A7547" s="380" t="s">
        <v>8421</v>
      </c>
      <c r="B7547" s="380" t="str">
        <f>IFERROR(__xludf.DUMMYFUNCTION("""COMPUTED_VALUE"""),"Aro Sincroniz 3aY 4a Caja Nkr 8981904260")</f>
        <v>Aro Sincroniz 3aY 4a Caja Nkr 8981904260</v>
      </c>
      <c r="C7547" s="380" t="str">
        <f>IFERROR(__xludf.DUMMYFUNCTION("""COMPUTED_VALUE"""),"70002959")</f>
        <v>70002959</v>
      </c>
      <c r="D7547" s="380" t="s">
        <v>767</v>
      </c>
      <c r="E7547" s="380" t="s">
        <v>786</v>
      </c>
      <c r="F7547" s="380" t="s">
        <v>928</v>
      </c>
      <c r="G7547" s="380" t="s">
        <v>1267</v>
      </c>
      <c r="H7547" s="380" t="s">
        <v>771</v>
      </c>
      <c r="I7547" s="380" t="s">
        <v>788</v>
      </c>
      <c r="J7547" s="380" t="s">
        <v>773</v>
      </c>
      <c r="K7547" s="381">
        <v>0.0</v>
      </c>
      <c r="L7547" s="382">
        <v>1.0</v>
      </c>
    </row>
    <row r="7548">
      <c r="A7548" s="380" t="s">
        <v>8422</v>
      </c>
      <c r="B7548" s="380" t="str">
        <f>IFERROR(__xludf.DUMMYFUNCTION("""COMPUTED_VALUE"""),"Tubo Entrada Agua Turbo Motor 8972290360")</f>
        <v>Tubo Entrada Agua Turbo Motor 8972290360</v>
      </c>
      <c r="C7548" s="380" t="str">
        <f>IFERROR(__xludf.DUMMYFUNCTION("""COMPUTED_VALUE"""),"70002960")</f>
        <v>70002960</v>
      </c>
      <c r="D7548" s="380" t="s">
        <v>767</v>
      </c>
      <c r="E7548" s="380" t="s">
        <v>786</v>
      </c>
      <c r="F7548" s="380" t="s">
        <v>787</v>
      </c>
      <c r="G7548" s="380" t="s">
        <v>1267</v>
      </c>
      <c r="H7548" s="380" t="s">
        <v>771</v>
      </c>
      <c r="I7548" s="380" t="s">
        <v>788</v>
      </c>
      <c r="J7548" s="380" t="s">
        <v>773</v>
      </c>
      <c r="K7548" s="381">
        <v>0.0</v>
      </c>
      <c r="L7548" s="382">
        <v>1.0</v>
      </c>
    </row>
    <row r="7549">
      <c r="A7549" s="380" t="s">
        <v>8423</v>
      </c>
      <c r="B7549" s="380" t="str">
        <f>IFERROR(__xludf.DUMMYFUNCTION("""COMPUTED_VALUE"""),"Panel Espaldar Cabina Eagle 3573549C1")</f>
        <v>Panel Espaldar Cabina Eagle 3573549C1</v>
      </c>
      <c r="C7549" s="380" t="str">
        <f>IFERROR(__xludf.DUMMYFUNCTION("""COMPUTED_VALUE"""),"70002961")</f>
        <v>70002961</v>
      </c>
      <c r="D7549" s="380" t="s">
        <v>767</v>
      </c>
      <c r="E7549" s="380" t="s">
        <v>786</v>
      </c>
      <c r="F7549" s="380" t="s">
        <v>792</v>
      </c>
      <c r="G7549" s="380" t="s">
        <v>1267</v>
      </c>
      <c r="H7549" s="380" t="s">
        <v>771</v>
      </c>
      <c r="I7549" s="380" t="s">
        <v>788</v>
      </c>
      <c r="J7549" s="380" t="s">
        <v>773</v>
      </c>
      <c r="K7549" s="381">
        <v>0.0</v>
      </c>
      <c r="L7549" s="382">
        <v>1.0</v>
      </c>
    </row>
    <row r="7550">
      <c r="A7550" s="380" t="s">
        <v>8424</v>
      </c>
      <c r="B7550" s="380" t="str">
        <f>IFERROR(__xludf.DUMMYFUNCTION("""COMPUTED_VALUE"""),"Tren Fijo Caja 49x34x22x14 Nhr8973339150")</f>
        <v>Tren Fijo Caja 49x34x22x14 Nhr8973339150</v>
      </c>
      <c r="C7550" s="380" t="str">
        <f>IFERROR(__xludf.DUMMYFUNCTION("""COMPUTED_VALUE"""),"70002962")</f>
        <v>70002962</v>
      </c>
      <c r="D7550" s="380" t="s">
        <v>767</v>
      </c>
      <c r="E7550" s="380" t="s">
        <v>786</v>
      </c>
      <c r="F7550" s="380" t="s">
        <v>928</v>
      </c>
      <c r="G7550" s="380" t="s">
        <v>1267</v>
      </c>
      <c r="H7550" s="380" t="s">
        <v>771</v>
      </c>
      <c r="I7550" s="380" t="s">
        <v>788</v>
      </c>
      <c r="J7550" s="380" t="s">
        <v>773</v>
      </c>
      <c r="K7550" s="381">
        <v>0.0</v>
      </c>
      <c r="L7550" s="382">
        <v>1.0</v>
      </c>
    </row>
    <row r="7551">
      <c r="A7551" s="380" t="s">
        <v>8425</v>
      </c>
      <c r="B7551" s="380" t="str">
        <f>IFERROR(__xludf.DUMMYFUNCTION("""COMPUTED_VALUE"""),"Sedimentador Combustible FRR 8980861931")</f>
        <v>Sedimentador Combustible FRR 8980861931</v>
      </c>
      <c r="C7551" s="380" t="str">
        <f>IFERROR(__xludf.DUMMYFUNCTION("""COMPUTED_VALUE"""),"70002963")</f>
        <v>70002963</v>
      </c>
      <c r="D7551" s="380" t="s">
        <v>767</v>
      </c>
      <c r="E7551" s="380" t="s">
        <v>786</v>
      </c>
      <c r="F7551" s="380" t="s">
        <v>787</v>
      </c>
      <c r="G7551" s="380" t="s">
        <v>1267</v>
      </c>
      <c r="H7551" s="380" t="s">
        <v>771</v>
      </c>
      <c r="I7551" s="380" t="s">
        <v>788</v>
      </c>
      <c r="J7551" s="380" t="s">
        <v>773</v>
      </c>
      <c r="K7551" s="381">
        <v>0.0</v>
      </c>
      <c r="L7551" s="382">
        <v>1.0</v>
      </c>
    </row>
    <row r="7552">
      <c r="A7552" s="380" t="s">
        <v>8426</v>
      </c>
      <c r="B7552" s="380" t="str">
        <f>IFERROR(__xludf.DUMMYFUNCTION("""COMPUTED_VALUE"""),"Guardabarro Delantero Izq FRR 8981526470")</f>
        <v>Guardabarro Delantero Izq FRR 8981526470</v>
      </c>
      <c r="C7552" s="380" t="str">
        <f>IFERROR(__xludf.DUMMYFUNCTION("""COMPUTED_VALUE"""),"70002964")</f>
        <v>70002964</v>
      </c>
      <c r="D7552" s="380" t="s">
        <v>767</v>
      </c>
      <c r="E7552" s="380" t="s">
        <v>786</v>
      </c>
      <c r="F7552" s="380" t="s">
        <v>792</v>
      </c>
      <c r="G7552" s="380" t="s">
        <v>1267</v>
      </c>
      <c r="H7552" s="380" t="s">
        <v>771</v>
      </c>
      <c r="I7552" s="380" t="s">
        <v>788</v>
      </c>
      <c r="J7552" s="380" t="s">
        <v>773</v>
      </c>
      <c r="K7552" s="381">
        <v>0.0</v>
      </c>
      <c r="L7552" s="382">
        <v>1.0</v>
      </c>
    </row>
    <row r="7553">
      <c r="A7553" s="380" t="s">
        <v>8427</v>
      </c>
      <c r="B7553" s="380" t="str">
        <f>IFERROR(__xludf.DUMMYFUNCTION("""COMPUTED_VALUE"""),"Guardapolvo Delantero Izq FRR 8980934630")</f>
        <v>Guardapolvo Delantero Izq FRR 8980934630</v>
      </c>
      <c r="C7553" s="380" t="str">
        <f>IFERROR(__xludf.DUMMYFUNCTION("""COMPUTED_VALUE"""),"70002965")</f>
        <v>70002965</v>
      </c>
      <c r="D7553" s="380" t="s">
        <v>767</v>
      </c>
      <c r="E7553" s="380" t="s">
        <v>786</v>
      </c>
      <c r="F7553" s="380" t="s">
        <v>792</v>
      </c>
      <c r="G7553" s="380" t="s">
        <v>1267</v>
      </c>
      <c r="H7553" s="380" t="s">
        <v>771</v>
      </c>
      <c r="I7553" s="380" t="s">
        <v>788</v>
      </c>
      <c r="J7553" s="380" t="s">
        <v>773</v>
      </c>
      <c r="K7553" s="381">
        <v>0.0</v>
      </c>
      <c r="L7553" s="382">
        <v>1.0</v>
      </c>
    </row>
    <row r="7554">
      <c r="A7554" s="380" t="s">
        <v>8428</v>
      </c>
      <c r="B7554" s="380" t="str">
        <f>IFERROR(__xludf.DUMMYFUNCTION("""COMPUTED_VALUE"""),"Biela Piston N 200 24512528")</f>
        <v>Biela Piston N 200 24512528</v>
      </c>
      <c r="C7554" s="380" t="str">
        <f>IFERROR(__xludf.DUMMYFUNCTION("""COMPUTED_VALUE"""),"70002966")</f>
        <v>70002966</v>
      </c>
      <c r="D7554" s="380" t="s">
        <v>767</v>
      </c>
      <c r="E7554" s="380" t="s">
        <v>786</v>
      </c>
      <c r="F7554" s="380" t="s">
        <v>787</v>
      </c>
      <c r="G7554" s="380" t="s">
        <v>1267</v>
      </c>
      <c r="H7554" s="380" t="s">
        <v>771</v>
      </c>
      <c r="I7554" s="380" t="s">
        <v>788</v>
      </c>
      <c r="J7554" s="380" t="s">
        <v>773</v>
      </c>
      <c r="K7554" s="381">
        <v>0.0</v>
      </c>
      <c r="L7554" s="382">
        <v>1.0</v>
      </c>
    </row>
    <row r="7555">
      <c r="A7555" s="380" t="s">
        <v>8429</v>
      </c>
      <c r="B7555" s="380" t="str">
        <f>IFERROR(__xludf.DUMMYFUNCTION("""COMPUTED_VALUE"""),"Guia Capo Derecha Mack 20802362")</f>
        <v>Guia Capo Derecha Mack 20802362</v>
      </c>
      <c r="C7555" s="380" t="str">
        <f>IFERROR(__xludf.DUMMYFUNCTION("""COMPUTED_VALUE"""),"70002967")</f>
        <v>70002967</v>
      </c>
      <c r="D7555" s="380" t="s">
        <v>767</v>
      </c>
      <c r="E7555" s="380" t="s">
        <v>786</v>
      </c>
      <c r="F7555" s="380" t="s">
        <v>792</v>
      </c>
      <c r="G7555" s="380" t="s">
        <v>1267</v>
      </c>
      <c r="H7555" s="380" t="s">
        <v>771</v>
      </c>
      <c r="I7555" s="380" t="s">
        <v>788</v>
      </c>
      <c r="J7555" s="380" t="s">
        <v>773</v>
      </c>
      <c r="K7555" s="381">
        <v>0.0</v>
      </c>
      <c r="L7555" s="382">
        <v>1.0</v>
      </c>
    </row>
    <row r="7556">
      <c r="A7556" s="380" t="s">
        <v>8430</v>
      </c>
      <c r="B7556" s="380" t="str">
        <f>IFERROR(__xludf.DUMMYFUNCTION("""COMPUTED_VALUE"""),"Rache Freno Trasero Mack 40910635")</f>
        <v>Rache Freno Trasero Mack 40910635</v>
      </c>
      <c r="C7556" s="380" t="str">
        <f>IFERROR(__xludf.DUMMYFUNCTION("""COMPUTED_VALUE"""),"70002968")</f>
        <v>70002968</v>
      </c>
      <c r="D7556" s="380" t="s">
        <v>767</v>
      </c>
      <c r="E7556" s="380" t="s">
        <v>786</v>
      </c>
      <c r="F7556" s="380" t="s">
        <v>1017</v>
      </c>
      <c r="G7556" s="380" t="s">
        <v>1267</v>
      </c>
      <c r="H7556" s="380" t="s">
        <v>771</v>
      </c>
      <c r="I7556" s="380" t="s">
        <v>788</v>
      </c>
      <c r="J7556" s="380" t="s">
        <v>773</v>
      </c>
      <c r="K7556" s="381">
        <v>0.0</v>
      </c>
      <c r="L7556" s="382">
        <v>1.0</v>
      </c>
    </row>
    <row r="7557">
      <c r="A7557" s="380" t="s">
        <v>8431</v>
      </c>
      <c r="B7557" s="380" t="str">
        <f>IFERROR(__xludf.DUMMYFUNCTION("""COMPUTED_VALUE"""),"Correa Ventilador Motor Toyot 9091602585")</f>
        <v>Correa Ventilador Motor Toyot 9091602585</v>
      </c>
      <c r="C7557" s="380" t="str">
        <f>IFERROR(__xludf.DUMMYFUNCTION("""COMPUTED_VALUE"""),"70002969")</f>
        <v>70002969</v>
      </c>
      <c r="D7557" s="380" t="s">
        <v>767</v>
      </c>
      <c r="E7557" s="380" t="s">
        <v>786</v>
      </c>
      <c r="F7557" s="380" t="s">
        <v>787</v>
      </c>
      <c r="G7557" s="380" t="s">
        <v>1267</v>
      </c>
      <c r="H7557" s="380" t="s">
        <v>771</v>
      </c>
      <c r="I7557" s="380" t="s">
        <v>788</v>
      </c>
      <c r="J7557" s="380" t="s">
        <v>773</v>
      </c>
      <c r="K7557" s="381">
        <v>0.0</v>
      </c>
      <c r="L7557" s="382">
        <v>1.0</v>
      </c>
    </row>
    <row r="7558">
      <c r="A7558" s="380" t="s">
        <v>8432</v>
      </c>
      <c r="B7558" s="380" t="str">
        <f>IFERROR(__xludf.DUMMYFUNCTION("""COMPUTED_VALUE"""),"Tapa Tanque De Combustible N200 24540817")</f>
        <v>Tapa Tanque De Combustible N200 24540817</v>
      </c>
      <c r="C7558" s="380" t="str">
        <f>IFERROR(__xludf.DUMMYFUNCTION("""COMPUTED_VALUE"""),"70002970")</f>
        <v>70002970</v>
      </c>
      <c r="D7558" s="380" t="s">
        <v>767</v>
      </c>
      <c r="E7558" s="380" t="s">
        <v>786</v>
      </c>
      <c r="F7558" s="380" t="s">
        <v>787</v>
      </c>
      <c r="G7558" s="380" t="s">
        <v>1267</v>
      </c>
      <c r="H7558" s="380" t="s">
        <v>771</v>
      </c>
      <c r="I7558" s="380" t="s">
        <v>788</v>
      </c>
      <c r="J7558" s="380" t="s">
        <v>773</v>
      </c>
      <c r="K7558" s="381">
        <v>0.0</v>
      </c>
      <c r="L7558" s="382">
        <v>1.0</v>
      </c>
    </row>
    <row r="7559">
      <c r="A7559" s="380" t="s">
        <v>8433</v>
      </c>
      <c r="B7559" s="380" t="str">
        <f>IFERROR(__xludf.DUMMYFUNCTION("""COMPUTED_VALUE"""),"Piñon 3ra Eje Corred 34 Dtes 8972412340")</f>
        <v>Piñon 3ra Eje Corred 34 Dtes 8972412340</v>
      </c>
      <c r="C7559" s="380" t="str">
        <f>IFERROR(__xludf.DUMMYFUNCTION("""COMPUTED_VALUE"""),"70002971")</f>
        <v>70002971</v>
      </c>
      <c r="D7559" s="380" t="s">
        <v>767</v>
      </c>
      <c r="E7559" s="380" t="s">
        <v>786</v>
      </c>
      <c r="F7559" s="380" t="s">
        <v>928</v>
      </c>
      <c r="G7559" s="380" t="s">
        <v>1267</v>
      </c>
      <c r="H7559" s="380" t="s">
        <v>771</v>
      </c>
      <c r="I7559" s="380" t="s">
        <v>788</v>
      </c>
      <c r="J7559" s="380" t="s">
        <v>773</v>
      </c>
      <c r="K7559" s="381">
        <v>0.0</v>
      </c>
      <c r="L7559" s="382">
        <v>1.0</v>
      </c>
    </row>
    <row r="7560">
      <c r="A7560" s="380" t="s">
        <v>8434</v>
      </c>
      <c r="B7560" s="380" t="str">
        <f>IFERROR(__xludf.DUMMYFUNCTION("""COMPUTED_VALUE"""),"Guardap Del Izq Eagle-Prostar 3557925C92")</f>
        <v>Guardap Del Izq Eagle-Prostar 3557925C92</v>
      </c>
      <c r="C7560" s="380" t="str">
        <f>IFERROR(__xludf.DUMMYFUNCTION("""COMPUTED_VALUE"""),"70002972")</f>
        <v>70002972</v>
      </c>
      <c r="D7560" s="380" t="s">
        <v>767</v>
      </c>
      <c r="E7560" s="380" t="s">
        <v>786</v>
      </c>
      <c r="F7560" s="380" t="s">
        <v>792</v>
      </c>
      <c r="G7560" s="380" t="s">
        <v>1267</v>
      </c>
      <c r="H7560" s="380" t="s">
        <v>771</v>
      </c>
      <c r="I7560" s="380" t="s">
        <v>788</v>
      </c>
      <c r="J7560" s="380" t="s">
        <v>773</v>
      </c>
      <c r="K7560" s="381">
        <v>0.0</v>
      </c>
      <c r="L7560" s="382">
        <v>1.0</v>
      </c>
    </row>
    <row r="7561">
      <c r="A7561" s="380" t="s">
        <v>8435</v>
      </c>
      <c r="B7561" s="380" t="str">
        <f>IFERROR(__xludf.DUMMYFUNCTION("""COMPUTED_VALUE"""),"Ventil Cabi Prostar(Blower)A/C 3674285C1")</f>
        <v>Ventil Cabi Prostar(Blower)A/C 3674285C1</v>
      </c>
      <c r="C7561" s="380" t="str">
        <f>IFERROR(__xludf.DUMMYFUNCTION("""COMPUTED_VALUE"""),"70002973")</f>
        <v>70002973</v>
      </c>
      <c r="D7561" s="380" t="s">
        <v>767</v>
      </c>
      <c r="E7561" s="380" t="s">
        <v>786</v>
      </c>
      <c r="F7561" s="380" t="s">
        <v>998</v>
      </c>
      <c r="G7561" s="380" t="s">
        <v>1267</v>
      </c>
      <c r="H7561" s="380" t="s">
        <v>771</v>
      </c>
      <c r="I7561" s="380" t="s">
        <v>788</v>
      </c>
      <c r="J7561" s="380" t="s">
        <v>773</v>
      </c>
      <c r="K7561" s="381">
        <v>0.0</v>
      </c>
      <c r="L7561" s="382">
        <v>1.0</v>
      </c>
    </row>
    <row r="7562">
      <c r="A7562" s="380" t="s">
        <v>8436</v>
      </c>
      <c r="B7562" s="380" t="str">
        <f>IFERROR(__xludf.DUMMYFUNCTION("""COMPUTED_VALUE"""),"Tapa Cubo Eje Delantero FRR 1423130320")</f>
        <v>Tapa Cubo Eje Delantero FRR 1423130320</v>
      </c>
      <c r="C7562" s="380" t="str">
        <f>IFERROR(__xludf.DUMMYFUNCTION("""COMPUTED_VALUE"""),"70002974")</f>
        <v>70002974</v>
      </c>
      <c r="D7562" s="380" t="s">
        <v>767</v>
      </c>
      <c r="E7562" s="380" t="s">
        <v>786</v>
      </c>
      <c r="F7562" s="380" t="s">
        <v>1039</v>
      </c>
      <c r="G7562" s="380" t="s">
        <v>1267</v>
      </c>
      <c r="H7562" s="380" t="s">
        <v>771</v>
      </c>
      <c r="I7562" s="380" t="s">
        <v>788</v>
      </c>
      <c r="J7562" s="380" t="s">
        <v>773</v>
      </c>
      <c r="K7562" s="381">
        <v>0.0</v>
      </c>
      <c r="L7562" s="382">
        <v>1.0</v>
      </c>
    </row>
    <row r="7563">
      <c r="A7563" s="380" t="s">
        <v>8437</v>
      </c>
      <c r="B7563" s="380" t="str">
        <f>IFERROR(__xludf.DUMMYFUNCTION("""COMPUTED_VALUE"""),"Eje Mono Media Caja Eagle Isx 4303705")</f>
        <v>Eje Mono Media Caja Eagle Isx 4303705</v>
      </c>
      <c r="C7563" s="380" t="str">
        <f>IFERROR(__xludf.DUMMYFUNCTION("""COMPUTED_VALUE"""),"70002975")</f>
        <v>70002975</v>
      </c>
      <c r="D7563" s="380" t="s">
        <v>767</v>
      </c>
      <c r="E7563" s="380" t="s">
        <v>786</v>
      </c>
      <c r="F7563" s="380" t="s">
        <v>928</v>
      </c>
      <c r="G7563" s="380" t="s">
        <v>1267</v>
      </c>
      <c r="H7563" s="380" t="s">
        <v>771</v>
      </c>
      <c r="I7563" s="380" t="s">
        <v>788</v>
      </c>
      <c r="J7563" s="380" t="s">
        <v>773</v>
      </c>
      <c r="K7563" s="381">
        <v>0.0</v>
      </c>
      <c r="L7563" s="382">
        <v>1.0</v>
      </c>
    </row>
    <row r="7564">
      <c r="A7564" s="380" t="s">
        <v>8438</v>
      </c>
      <c r="B7564" s="380" t="str">
        <f>IFERROR(__xludf.DUMMYFUNCTION("""COMPUTED_VALUE"""),"Tubo Tandem Eagle 9400 124896R2")</f>
        <v>Tubo Tandem Eagle 9400 124896R2</v>
      </c>
      <c r="C7564" s="380" t="str">
        <f>IFERROR(__xludf.DUMMYFUNCTION("""COMPUTED_VALUE"""),"70002976")</f>
        <v>70002976</v>
      </c>
      <c r="D7564" s="380" t="s">
        <v>767</v>
      </c>
      <c r="E7564" s="380" t="s">
        <v>786</v>
      </c>
      <c r="F7564" s="380" t="s">
        <v>1039</v>
      </c>
      <c r="G7564" s="380" t="s">
        <v>1267</v>
      </c>
      <c r="H7564" s="380" t="s">
        <v>771</v>
      </c>
      <c r="I7564" s="380" t="s">
        <v>788</v>
      </c>
      <c r="J7564" s="380" t="s">
        <v>773</v>
      </c>
      <c r="K7564" s="381">
        <v>0.0</v>
      </c>
      <c r="L7564" s="382">
        <v>1.0</v>
      </c>
    </row>
    <row r="7565">
      <c r="A7565" s="380" t="s">
        <v>8439</v>
      </c>
      <c r="B7565" s="380" t="str">
        <f>IFERROR(__xludf.DUMMYFUNCTION("""COMPUTED_VALUE"""),"Guardapolvo Tras Der Con Logo 3560970C1")</f>
        <v>Guardapolvo Tras Der Con Logo 3560970C1</v>
      </c>
      <c r="C7565" s="380" t="str">
        <f>IFERROR(__xludf.DUMMYFUNCTION("""COMPUTED_VALUE"""),"70002977")</f>
        <v>70002977</v>
      </c>
      <c r="D7565" s="380" t="s">
        <v>767</v>
      </c>
      <c r="E7565" s="380" t="s">
        <v>786</v>
      </c>
      <c r="F7565" s="380" t="s">
        <v>792</v>
      </c>
      <c r="G7565" s="380" t="s">
        <v>1267</v>
      </c>
      <c r="H7565" s="380" t="s">
        <v>771</v>
      </c>
      <c r="I7565" s="380" t="s">
        <v>788</v>
      </c>
      <c r="J7565" s="380" t="s">
        <v>773</v>
      </c>
      <c r="K7565" s="381">
        <v>0.0</v>
      </c>
      <c r="L7565" s="382">
        <v>1.0</v>
      </c>
    </row>
    <row r="7566">
      <c r="A7566" s="380" t="s">
        <v>8440</v>
      </c>
      <c r="B7566" s="380" t="str">
        <f>IFERROR(__xludf.DUMMYFUNCTION("""COMPUTED_VALUE"""),"Guardapolvo Tras Izq Con Logo 3560969C1")</f>
        <v>Guardapolvo Tras Izq Con Logo 3560969C1</v>
      </c>
      <c r="C7566" s="380" t="str">
        <f>IFERROR(__xludf.DUMMYFUNCTION("""COMPUTED_VALUE"""),"70002978")</f>
        <v>70002978</v>
      </c>
      <c r="D7566" s="380" t="s">
        <v>767</v>
      </c>
      <c r="E7566" s="380" t="s">
        <v>786</v>
      </c>
      <c r="F7566" s="380" t="s">
        <v>792</v>
      </c>
      <c r="G7566" s="380" t="s">
        <v>1267</v>
      </c>
      <c r="H7566" s="380" t="s">
        <v>771</v>
      </c>
      <c r="I7566" s="380" t="s">
        <v>788</v>
      </c>
      <c r="J7566" s="380" t="s">
        <v>773</v>
      </c>
      <c r="K7566" s="381">
        <v>0.0</v>
      </c>
      <c r="L7566" s="382">
        <v>1.0</v>
      </c>
    </row>
    <row r="7567">
      <c r="A7567" s="380" t="s">
        <v>8441</v>
      </c>
      <c r="B7567" s="380" t="str">
        <f>IFERROR(__xludf.DUMMYFUNCTION("""COMPUTED_VALUE"""),"Kit Gancho Bateria Eagle 9400 491668C92")</f>
        <v>Kit Gancho Bateria Eagle 9400 491668C92</v>
      </c>
      <c r="C7567" s="380" t="str">
        <f>IFERROR(__xludf.DUMMYFUNCTION("""COMPUTED_VALUE"""),"70002979")</f>
        <v>70002979</v>
      </c>
      <c r="D7567" s="380" t="s">
        <v>767</v>
      </c>
      <c r="E7567" s="380" t="s">
        <v>786</v>
      </c>
      <c r="F7567" s="380" t="s">
        <v>792</v>
      </c>
      <c r="G7567" s="380" t="s">
        <v>1267</v>
      </c>
      <c r="H7567" s="380" t="s">
        <v>771</v>
      </c>
      <c r="I7567" s="380" t="s">
        <v>788</v>
      </c>
      <c r="J7567" s="380" t="s">
        <v>773</v>
      </c>
      <c r="K7567" s="381">
        <v>583104.0</v>
      </c>
      <c r="L7567" s="382">
        <v>1.0</v>
      </c>
    </row>
    <row r="7568">
      <c r="A7568" s="380" t="s">
        <v>8442</v>
      </c>
      <c r="B7568" s="380" t="str">
        <f>IFERROR(__xludf.DUMMYFUNCTION("""COMPUTED_VALUE"""),"Soporte Guardapolvo Tras Der 3593170C91")</f>
        <v>Soporte Guardapolvo Tras Der 3593170C91</v>
      </c>
      <c r="C7568" s="380" t="str">
        <f>IFERROR(__xludf.DUMMYFUNCTION("""COMPUTED_VALUE"""),"70002980")</f>
        <v>70002980</v>
      </c>
      <c r="D7568" s="380" t="s">
        <v>767</v>
      </c>
      <c r="E7568" s="380" t="s">
        <v>786</v>
      </c>
      <c r="F7568" s="380" t="s">
        <v>792</v>
      </c>
      <c r="G7568" s="380" t="s">
        <v>1267</v>
      </c>
      <c r="H7568" s="380" t="s">
        <v>771</v>
      </c>
      <c r="I7568" s="380" t="s">
        <v>788</v>
      </c>
      <c r="J7568" s="380" t="s">
        <v>773</v>
      </c>
      <c r="K7568" s="381">
        <v>0.0</v>
      </c>
      <c r="L7568" s="382">
        <v>1.0</v>
      </c>
    </row>
    <row r="7569">
      <c r="A7569" s="380" t="s">
        <v>8443</v>
      </c>
      <c r="B7569" s="380" t="str">
        <f>IFERROR(__xludf.DUMMYFUNCTION("""COMPUTED_VALUE"""),"Soporte Guardapolvo Tras Izq 3593169C91")</f>
        <v>Soporte Guardapolvo Tras Izq 3593169C91</v>
      </c>
      <c r="C7569" s="380" t="str">
        <f>IFERROR(__xludf.DUMMYFUNCTION("""COMPUTED_VALUE"""),"70002981")</f>
        <v>70002981</v>
      </c>
      <c r="D7569" s="380" t="s">
        <v>767</v>
      </c>
      <c r="E7569" s="380" t="s">
        <v>786</v>
      </c>
      <c r="F7569" s="380" t="s">
        <v>792</v>
      </c>
      <c r="G7569" s="380" t="s">
        <v>1267</v>
      </c>
      <c r="H7569" s="380" t="s">
        <v>771</v>
      </c>
      <c r="I7569" s="380" t="s">
        <v>788</v>
      </c>
      <c r="J7569" s="380" t="s">
        <v>773</v>
      </c>
      <c r="K7569" s="381">
        <v>0.0</v>
      </c>
      <c r="L7569" s="382">
        <v>1.0</v>
      </c>
    </row>
    <row r="7570">
      <c r="A7570" s="380" t="s">
        <v>8444</v>
      </c>
      <c r="B7570" s="380" t="str">
        <f>IFERROR(__xludf.DUMMYFUNCTION("""COMPUTED_VALUE"""),"Lampara Farola Lado Izq Hino 8117037121")</f>
        <v>Lampara Farola Lado Izq Hino 8117037121</v>
      </c>
      <c r="C7570" s="380" t="str">
        <f>IFERROR(__xludf.DUMMYFUNCTION("""COMPUTED_VALUE"""),"70002982")</f>
        <v>70002982</v>
      </c>
      <c r="D7570" s="380" t="s">
        <v>767</v>
      </c>
      <c r="E7570" s="380" t="s">
        <v>786</v>
      </c>
      <c r="F7570" s="380" t="s">
        <v>998</v>
      </c>
      <c r="G7570" s="380" t="s">
        <v>1267</v>
      </c>
      <c r="H7570" s="380" t="s">
        <v>771</v>
      </c>
      <c r="I7570" s="380" t="s">
        <v>788</v>
      </c>
      <c r="J7570" s="380" t="s">
        <v>773</v>
      </c>
      <c r="K7570" s="381">
        <v>0.0</v>
      </c>
      <c r="L7570" s="382">
        <v>1.0</v>
      </c>
    </row>
    <row r="7571">
      <c r="A7571" s="380" t="s">
        <v>8445</v>
      </c>
      <c r="B7571" s="380" t="str">
        <f>IFERROR(__xludf.DUMMYFUNCTION("""COMPUTED_VALUE"""),"Espejo Completo Izq Prostar 3604446C94")</f>
        <v>Espejo Completo Izq Prostar 3604446C94</v>
      </c>
      <c r="C7571" s="380" t="str">
        <f>IFERROR(__xludf.DUMMYFUNCTION("""COMPUTED_VALUE"""),"70002983")</f>
        <v>70002983</v>
      </c>
      <c r="D7571" s="380" t="s">
        <v>767</v>
      </c>
      <c r="E7571" s="380" t="s">
        <v>786</v>
      </c>
      <c r="F7571" s="380" t="s">
        <v>792</v>
      </c>
      <c r="G7571" s="380" t="s">
        <v>1267</v>
      </c>
      <c r="H7571" s="380" t="s">
        <v>771</v>
      </c>
      <c r="I7571" s="380" t="s">
        <v>788</v>
      </c>
      <c r="J7571" s="380" t="s">
        <v>773</v>
      </c>
      <c r="K7571" s="381">
        <v>0.0</v>
      </c>
      <c r="L7571" s="382">
        <v>1.0</v>
      </c>
    </row>
    <row r="7572">
      <c r="A7572" s="380" t="s">
        <v>8446</v>
      </c>
      <c r="B7572" s="380" t="str">
        <f>IFERROR(__xludf.DUMMYFUNCTION("""COMPUTED_VALUE"""),"Bombillo Halogeno HB3 9005 12V")</f>
        <v>Bombillo Halogeno HB3 9005 12V</v>
      </c>
      <c r="C7572" s="380" t="str">
        <f>IFERROR(__xludf.DUMMYFUNCTION("""COMPUTED_VALUE"""),"70002984")</f>
        <v>70002984</v>
      </c>
      <c r="D7572" s="380" t="s">
        <v>767</v>
      </c>
      <c r="E7572" s="380" t="s">
        <v>786</v>
      </c>
      <c r="F7572" s="380" t="s">
        <v>998</v>
      </c>
      <c r="G7572" s="380" t="s">
        <v>1267</v>
      </c>
      <c r="H7572" s="380" t="s">
        <v>771</v>
      </c>
      <c r="I7572" s="380" t="s">
        <v>788</v>
      </c>
      <c r="J7572" s="380" t="s">
        <v>773</v>
      </c>
      <c r="K7572" s="381">
        <v>25288.0</v>
      </c>
      <c r="L7572" s="382">
        <v>1.0</v>
      </c>
    </row>
    <row r="7573">
      <c r="A7573" s="380" t="s">
        <v>8447</v>
      </c>
      <c r="B7573" s="380" t="str">
        <f>IFERROR(__xludf.DUMMYFUNCTION("""COMPUTED_VALUE"""),"Bombillo Halogeno HB4 9006 12V")</f>
        <v>Bombillo Halogeno HB4 9006 12V</v>
      </c>
      <c r="C7573" s="380" t="str">
        <f>IFERROR(__xludf.DUMMYFUNCTION("""COMPUTED_VALUE"""),"70002985")</f>
        <v>70002985</v>
      </c>
      <c r="D7573" s="380" t="s">
        <v>767</v>
      </c>
      <c r="E7573" s="380" t="s">
        <v>786</v>
      </c>
      <c r="F7573" s="380" t="s">
        <v>998</v>
      </c>
      <c r="G7573" s="380" t="s">
        <v>1267</v>
      </c>
      <c r="H7573" s="380" t="s">
        <v>771</v>
      </c>
      <c r="I7573" s="380" t="s">
        <v>788</v>
      </c>
      <c r="J7573" s="380" t="s">
        <v>773</v>
      </c>
      <c r="K7573" s="381">
        <v>15329.0</v>
      </c>
      <c r="L7573" s="382">
        <v>1.0</v>
      </c>
    </row>
    <row r="7574">
      <c r="A7574" s="380" t="s">
        <v>8448</v>
      </c>
      <c r="B7574" s="380" t="str">
        <f>IFERROR(__xludf.DUMMYFUNCTION("""COMPUTED_VALUE"""),"Switch Direccional Mack 82406821")</f>
        <v>Switch Direccional Mack 82406821</v>
      </c>
      <c r="C7574" s="380" t="str">
        <f>IFERROR(__xludf.DUMMYFUNCTION("""COMPUTED_VALUE"""),"70002986")</f>
        <v>70002986</v>
      </c>
      <c r="D7574" s="380" t="s">
        <v>767</v>
      </c>
      <c r="E7574" s="380" t="s">
        <v>786</v>
      </c>
      <c r="F7574" s="380" t="s">
        <v>998</v>
      </c>
      <c r="G7574" s="380" t="s">
        <v>1267</v>
      </c>
      <c r="H7574" s="380" t="s">
        <v>771</v>
      </c>
      <c r="I7574" s="380" t="s">
        <v>788</v>
      </c>
      <c r="J7574" s="380" t="s">
        <v>773</v>
      </c>
      <c r="K7574" s="381">
        <v>0.0</v>
      </c>
      <c r="L7574" s="382">
        <v>1.0</v>
      </c>
    </row>
    <row r="7575">
      <c r="A7575" s="380" t="s">
        <v>8449</v>
      </c>
      <c r="B7575" s="380" t="str">
        <f>IFERROR(__xludf.DUMMYFUNCTION("""COMPUTED_VALUE"""),"Filtro Hidraulico Montacarga")</f>
        <v>Filtro Hidraulico Montacarga</v>
      </c>
      <c r="C7575" s="380" t="str">
        <f>IFERROR(__xludf.DUMMYFUNCTION("""COMPUTED_VALUE"""),"70002987")</f>
        <v>70002987</v>
      </c>
      <c r="D7575" s="380" t="s">
        <v>767</v>
      </c>
      <c r="E7575" s="380" t="s">
        <v>786</v>
      </c>
      <c r="F7575" s="380" t="s">
        <v>5855</v>
      </c>
      <c r="G7575" s="380" t="s">
        <v>1267</v>
      </c>
      <c r="H7575" s="380" t="s">
        <v>771</v>
      </c>
      <c r="I7575" s="380" t="s">
        <v>788</v>
      </c>
      <c r="J7575" s="380" t="s">
        <v>773</v>
      </c>
      <c r="K7575" s="381">
        <v>0.0</v>
      </c>
      <c r="L7575" s="382">
        <v>1.0</v>
      </c>
    </row>
    <row r="7576">
      <c r="A7576" s="380" t="s">
        <v>8450</v>
      </c>
      <c r="B7576" s="380" t="str">
        <f>IFERROR(__xludf.DUMMYFUNCTION("""COMPUTED_VALUE"""),"Bujia Motor 4Y Montacarga")</f>
        <v>Bujia Motor 4Y Montacarga</v>
      </c>
      <c r="C7576" s="380" t="str">
        <f>IFERROR(__xludf.DUMMYFUNCTION("""COMPUTED_VALUE"""),"70002988")</f>
        <v>70002988</v>
      </c>
      <c r="D7576" s="380" t="s">
        <v>767</v>
      </c>
      <c r="E7576" s="380" t="s">
        <v>786</v>
      </c>
      <c r="F7576" s="380" t="s">
        <v>787</v>
      </c>
      <c r="G7576" s="380" t="s">
        <v>1267</v>
      </c>
      <c r="H7576" s="380" t="s">
        <v>771</v>
      </c>
      <c r="I7576" s="380" t="s">
        <v>788</v>
      </c>
      <c r="J7576" s="380" t="s">
        <v>773</v>
      </c>
      <c r="K7576" s="381">
        <v>0.0</v>
      </c>
      <c r="L7576" s="382">
        <v>1.0</v>
      </c>
    </row>
    <row r="7577">
      <c r="A7577" s="380" t="s">
        <v>8451</v>
      </c>
      <c r="B7577" s="380" t="str">
        <f>IFERROR(__xludf.DUMMYFUNCTION("""COMPUTED_VALUE"""),"Cilindro Aux Embrague Prostar 3866376C91")</f>
        <v>Cilindro Aux Embrague Prostar 3866376C91</v>
      </c>
      <c r="C7577" s="380" t="str">
        <f>IFERROR(__xludf.DUMMYFUNCTION("""COMPUTED_VALUE"""),"70002989")</f>
        <v>70002989</v>
      </c>
      <c r="D7577" s="380" t="s">
        <v>767</v>
      </c>
      <c r="E7577" s="380" t="s">
        <v>786</v>
      </c>
      <c r="F7577" s="380" t="s">
        <v>5661</v>
      </c>
      <c r="G7577" s="380" t="s">
        <v>1267</v>
      </c>
      <c r="H7577" s="380" t="s">
        <v>771</v>
      </c>
      <c r="I7577" s="380" t="s">
        <v>788</v>
      </c>
      <c r="J7577" s="380" t="s">
        <v>773</v>
      </c>
      <c r="K7577" s="381">
        <v>0.0</v>
      </c>
      <c r="L7577" s="382">
        <v>1.0</v>
      </c>
    </row>
    <row r="7578">
      <c r="A7578" s="380" t="s">
        <v>8452</v>
      </c>
      <c r="B7578" s="380" t="str">
        <f>IFERROR(__xludf.DUMMYFUNCTION("""COMPUTED_VALUE"""),"Racor Recto B68r 3/8 Sinflex X 1/4 Npt")</f>
        <v>Racor Recto B68r 3/8 Sinflex X 1/4 Npt</v>
      </c>
      <c r="C7578" s="380" t="str">
        <f>IFERROR(__xludf.DUMMYFUNCTION("""COMPUTED_VALUE"""),"70002990")</f>
        <v>70002990</v>
      </c>
      <c r="D7578" s="380" t="s">
        <v>767</v>
      </c>
      <c r="E7578" s="380" t="s">
        <v>786</v>
      </c>
      <c r="F7578" s="380" t="s">
        <v>989</v>
      </c>
      <c r="G7578" s="380" t="s">
        <v>1267</v>
      </c>
      <c r="H7578" s="380" t="s">
        <v>771</v>
      </c>
      <c r="I7578" s="380" t="s">
        <v>788</v>
      </c>
      <c r="J7578" s="380" t="s">
        <v>773</v>
      </c>
      <c r="K7578" s="381">
        <v>0.0</v>
      </c>
      <c r="L7578" s="382">
        <v>1.0</v>
      </c>
    </row>
    <row r="7579">
      <c r="A7579" s="380" t="s">
        <v>8453</v>
      </c>
      <c r="B7579" s="380" t="str">
        <f>IFERROR(__xludf.DUMMYFUNCTION("""COMPUTED_VALUE"""),"Bomper Del Jac 1120 2803100le0")</f>
        <v>Bomper Del Jac 1120 2803100le0</v>
      </c>
      <c r="C7579" s="380" t="str">
        <f>IFERROR(__xludf.DUMMYFUNCTION("""COMPUTED_VALUE"""),"70002991")</f>
        <v>70002991</v>
      </c>
      <c r="D7579" s="380" t="s">
        <v>767</v>
      </c>
      <c r="E7579" s="380" t="s">
        <v>786</v>
      </c>
      <c r="F7579" s="380" t="s">
        <v>792</v>
      </c>
      <c r="G7579" s="380" t="s">
        <v>1267</v>
      </c>
      <c r="H7579" s="380" t="s">
        <v>771</v>
      </c>
      <c r="I7579" s="380" t="s">
        <v>788</v>
      </c>
      <c r="J7579" s="380" t="s">
        <v>773</v>
      </c>
      <c r="K7579" s="381">
        <v>0.0</v>
      </c>
      <c r="L7579" s="382">
        <v>1.0</v>
      </c>
    </row>
    <row r="7580">
      <c r="A7580" s="380" t="s">
        <v>8454</v>
      </c>
      <c r="B7580" s="380" t="str">
        <f>IFERROR(__xludf.DUMMYFUNCTION("""COMPUTED_VALUE"""),"Brazo Plumilla Izq Foton 5946694728")</f>
        <v>Brazo Plumilla Izq Foton 5946694728</v>
      </c>
      <c r="C7580" s="380" t="str">
        <f>IFERROR(__xludf.DUMMYFUNCTION("""COMPUTED_VALUE"""),"70002992")</f>
        <v>70002992</v>
      </c>
      <c r="D7580" s="380" t="s">
        <v>767</v>
      </c>
      <c r="E7580" s="380" t="s">
        <v>786</v>
      </c>
      <c r="F7580" s="380" t="s">
        <v>998</v>
      </c>
      <c r="G7580" s="380" t="s">
        <v>1267</v>
      </c>
      <c r="H7580" s="380" t="s">
        <v>771</v>
      </c>
      <c r="I7580" s="380" t="s">
        <v>788</v>
      </c>
      <c r="J7580" s="380" t="s">
        <v>773</v>
      </c>
      <c r="K7580" s="381">
        <v>0.0</v>
      </c>
      <c r="L7580" s="382">
        <v>1.0</v>
      </c>
    </row>
    <row r="7581">
      <c r="A7581" s="380" t="s">
        <v>8455</v>
      </c>
      <c r="B7581" s="380" t="str">
        <f>IFERROR(__xludf.DUMMYFUNCTION("""COMPUTED_VALUE"""),"Farola Izq Mack Cxu 21836340")</f>
        <v>Farola Izq Mack Cxu 21836340</v>
      </c>
      <c r="C7581" s="380" t="str">
        <f>IFERROR(__xludf.DUMMYFUNCTION("""COMPUTED_VALUE"""),"70002993")</f>
        <v>70002993</v>
      </c>
      <c r="D7581" s="380" t="s">
        <v>767</v>
      </c>
      <c r="E7581" s="380" t="s">
        <v>786</v>
      </c>
      <c r="F7581" s="380" t="s">
        <v>998</v>
      </c>
      <c r="G7581" s="380" t="s">
        <v>1267</v>
      </c>
      <c r="H7581" s="380" t="s">
        <v>771</v>
      </c>
      <c r="I7581" s="380" t="s">
        <v>788</v>
      </c>
      <c r="J7581" s="380" t="s">
        <v>773</v>
      </c>
      <c r="K7581" s="381">
        <v>0.0</v>
      </c>
      <c r="L7581" s="382">
        <v>1.0</v>
      </c>
    </row>
    <row r="7582">
      <c r="A7582" s="380" t="s">
        <v>8456</v>
      </c>
      <c r="B7582" s="380" t="str">
        <f>IFERROR(__xludf.DUMMYFUNCTION("""COMPUTED_VALUE"""),"Brazo Plumilla Der Foton 1065 5946694735")</f>
        <v>Brazo Plumilla Der Foton 1065 5946694735</v>
      </c>
      <c r="C7582" s="380" t="str">
        <f>IFERROR(__xludf.DUMMYFUNCTION("""COMPUTED_VALUE"""),"70002994")</f>
        <v>70002994</v>
      </c>
      <c r="D7582" s="380" t="s">
        <v>767</v>
      </c>
      <c r="E7582" s="380" t="s">
        <v>786</v>
      </c>
      <c r="F7582" s="380" t="s">
        <v>998</v>
      </c>
      <c r="G7582" s="380" t="s">
        <v>1267</v>
      </c>
      <c r="H7582" s="380" t="s">
        <v>771</v>
      </c>
      <c r="I7582" s="380" t="s">
        <v>788</v>
      </c>
      <c r="J7582" s="380" t="s">
        <v>773</v>
      </c>
      <c r="K7582" s="381">
        <v>0.0</v>
      </c>
      <c r="L7582" s="382">
        <v>1.0</v>
      </c>
    </row>
    <row r="7583">
      <c r="A7583" s="380" t="s">
        <v>8457</v>
      </c>
      <c r="B7583" s="380" t="str">
        <f>IFERROR(__xludf.DUMMYFUNCTION("""COMPUTED_VALUE"""),"Juego CILs PTA FT MV5 5946806459")</f>
        <v>Juego CILs PTA FT MV5 5946806459</v>
      </c>
      <c r="C7583" s="380" t="str">
        <f>IFERROR(__xludf.DUMMYFUNCTION("""COMPUTED_VALUE"""),"70002995")</f>
        <v>70002995</v>
      </c>
      <c r="D7583" s="380" t="s">
        <v>767</v>
      </c>
      <c r="E7583" s="380" t="s">
        <v>786</v>
      </c>
      <c r="F7583" s="380" t="s">
        <v>792</v>
      </c>
      <c r="G7583" s="380" t="s">
        <v>1267</v>
      </c>
      <c r="H7583" s="380" t="s">
        <v>771</v>
      </c>
      <c r="I7583" s="380" t="s">
        <v>788</v>
      </c>
      <c r="J7583" s="380" t="s">
        <v>773</v>
      </c>
      <c r="K7583" s="381">
        <v>0.0</v>
      </c>
      <c r="L7583" s="382">
        <v>1.0</v>
      </c>
    </row>
    <row r="7584">
      <c r="A7584" s="380" t="s">
        <v>8458</v>
      </c>
      <c r="B7584" s="380" t="str">
        <f>IFERROR(__xludf.DUMMYFUNCTION("""COMPUTED_VALUE"""),"Seguro Pasador Piston MOT Nkr 8944606870")</f>
        <v>Seguro Pasador Piston MOT Nkr 8944606870</v>
      </c>
      <c r="C7584" s="380" t="str">
        <f>IFERROR(__xludf.DUMMYFUNCTION("""COMPUTED_VALUE"""),"70002996")</f>
        <v>70002996</v>
      </c>
      <c r="D7584" s="380" t="s">
        <v>767</v>
      </c>
      <c r="E7584" s="380" t="s">
        <v>786</v>
      </c>
      <c r="F7584" s="380" t="s">
        <v>787</v>
      </c>
      <c r="G7584" s="380" t="s">
        <v>1267</v>
      </c>
      <c r="H7584" s="380" t="s">
        <v>771</v>
      </c>
      <c r="I7584" s="380" t="s">
        <v>788</v>
      </c>
      <c r="J7584" s="380" t="s">
        <v>773</v>
      </c>
      <c r="K7584" s="381">
        <v>0.0</v>
      </c>
      <c r="L7584" s="382">
        <v>1.0</v>
      </c>
    </row>
    <row r="7585">
      <c r="A7585" s="380" t="s">
        <v>8459</v>
      </c>
      <c r="B7585" s="380" t="str">
        <f>IFERROR(__xludf.DUMMYFUNCTION("""COMPUTED_VALUE"""),"Tapa Del TANQ De Gasolina FT 1023489393")</f>
        <v>Tapa Del TANQ De Gasolina FT 1023489393</v>
      </c>
      <c r="C7585" s="380" t="str">
        <f>IFERROR(__xludf.DUMMYFUNCTION("""COMPUTED_VALUE"""),"70002997")</f>
        <v>70002997</v>
      </c>
      <c r="D7585" s="380" t="s">
        <v>767</v>
      </c>
      <c r="E7585" s="380" t="s">
        <v>786</v>
      </c>
      <c r="F7585" s="380" t="s">
        <v>787</v>
      </c>
      <c r="G7585" s="380" t="s">
        <v>1267</v>
      </c>
      <c r="H7585" s="380" t="s">
        <v>771</v>
      </c>
      <c r="I7585" s="380" t="s">
        <v>788</v>
      </c>
      <c r="J7585" s="380" t="s">
        <v>773</v>
      </c>
      <c r="K7585" s="381">
        <v>0.0</v>
      </c>
      <c r="L7585" s="382">
        <v>1.0</v>
      </c>
    </row>
    <row r="7586">
      <c r="A7586" s="380" t="s">
        <v>8460</v>
      </c>
      <c r="B7586" s="380" t="str">
        <f>IFERROR(__xludf.DUMMYFUNCTION("""COMPUTED_VALUE"""),"Tubo BMB Inyectora Nkr Rewar 8973889020")</f>
        <v>Tubo BMB Inyectora Nkr Rewar 8973889020</v>
      </c>
      <c r="C7586" s="380" t="str">
        <f>IFERROR(__xludf.DUMMYFUNCTION("""COMPUTED_VALUE"""),"70002998")</f>
        <v>70002998</v>
      </c>
      <c r="D7586" s="380" t="s">
        <v>767</v>
      </c>
      <c r="E7586" s="380" t="s">
        <v>786</v>
      </c>
      <c r="F7586" s="380" t="s">
        <v>787</v>
      </c>
      <c r="G7586" s="380" t="s">
        <v>1267</v>
      </c>
      <c r="H7586" s="380" t="s">
        <v>771</v>
      </c>
      <c r="I7586" s="380" t="s">
        <v>788</v>
      </c>
      <c r="J7586" s="380" t="s">
        <v>773</v>
      </c>
      <c r="K7586" s="381">
        <v>0.0</v>
      </c>
      <c r="L7586" s="382">
        <v>1.0</v>
      </c>
    </row>
    <row r="7587">
      <c r="A7587" s="380" t="s">
        <v>8461</v>
      </c>
      <c r="B7587" s="380" t="str">
        <f>IFERROR(__xludf.DUMMYFUNCTION("""COMPUTED_VALUE"""),"BRR Corta DIR Jac Jhr 3003600ld010a")</f>
        <v>BRR Corta DIR Jac Jhr 3003600ld010a</v>
      </c>
      <c r="C7587" s="380" t="str">
        <f>IFERROR(__xludf.DUMMYFUNCTION("""COMPUTED_VALUE"""),"70002999")</f>
        <v>70002999</v>
      </c>
      <c r="D7587" s="380" t="s">
        <v>767</v>
      </c>
      <c r="E7587" s="380" t="s">
        <v>786</v>
      </c>
      <c r="F7587" s="380" t="s">
        <v>1020</v>
      </c>
      <c r="G7587" s="380" t="s">
        <v>1267</v>
      </c>
      <c r="H7587" s="380" t="s">
        <v>771</v>
      </c>
      <c r="I7587" s="380" t="s">
        <v>788</v>
      </c>
      <c r="J7587" s="380" t="s">
        <v>773</v>
      </c>
      <c r="K7587" s="381">
        <v>0.0</v>
      </c>
      <c r="L7587" s="382">
        <v>1.0</v>
      </c>
    </row>
    <row r="7588">
      <c r="A7588" s="380" t="s">
        <v>8462</v>
      </c>
      <c r="B7588" s="380" t="str">
        <f>IFERROR(__xludf.DUMMYFUNCTION("""COMPUTED_VALUE"""),"Rodamiento Volante Jac 1120 5402826")</f>
        <v>Rodamiento Volante Jac 1120 5402826</v>
      </c>
      <c r="C7588" s="380" t="str">
        <f>IFERROR(__xludf.DUMMYFUNCTION("""COMPUTED_VALUE"""),"70003000")</f>
        <v>70003000</v>
      </c>
      <c r="D7588" s="380" t="s">
        <v>767</v>
      </c>
      <c r="E7588" s="380" t="s">
        <v>786</v>
      </c>
      <c r="F7588" s="380" t="s">
        <v>5661</v>
      </c>
      <c r="G7588" s="380" t="s">
        <v>1267</v>
      </c>
      <c r="H7588" s="380" t="s">
        <v>771</v>
      </c>
      <c r="I7588" s="380" t="s">
        <v>788</v>
      </c>
      <c r="J7588" s="380" t="s">
        <v>773</v>
      </c>
      <c r="K7588" s="381">
        <v>0.0</v>
      </c>
      <c r="L7588" s="382">
        <v>1.0</v>
      </c>
    </row>
    <row r="7589">
      <c r="A7589" s="380" t="s">
        <v>8463</v>
      </c>
      <c r="B7589" s="380" t="str">
        <f>IFERROR(__xludf.DUMMYFUNCTION("""COMPUTED_VALUE"""),"Prensa Embrague Jac 1120 1601100le352xz")</f>
        <v>Prensa Embrague Jac 1120 1601100le352xz</v>
      </c>
      <c r="C7589" s="380" t="str">
        <f>IFERROR(__xludf.DUMMYFUNCTION("""COMPUTED_VALUE"""),"70003001")</f>
        <v>70003001</v>
      </c>
      <c r="D7589" s="380" t="s">
        <v>767</v>
      </c>
      <c r="E7589" s="380" t="s">
        <v>786</v>
      </c>
      <c r="F7589" s="380" t="s">
        <v>5661</v>
      </c>
      <c r="G7589" s="380" t="s">
        <v>1267</v>
      </c>
      <c r="H7589" s="380" t="s">
        <v>771</v>
      </c>
      <c r="I7589" s="380" t="s">
        <v>788</v>
      </c>
      <c r="J7589" s="380" t="s">
        <v>773</v>
      </c>
      <c r="K7589" s="381">
        <v>0.0</v>
      </c>
      <c r="L7589" s="382">
        <v>1.0</v>
      </c>
    </row>
    <row r="7590">
      <c r="A7590" s="380" t="s">
        <v>8464</v>
      </c>
      <c r="B7590" s="380" t="str">
        <f>IFERROR(__xludf.DUMMYFUNCTION("""COMPUTED_VALUE"""),"Tornillo MOT De ARR Nkr 8972126020")</f>
        <v>Tornillo MOT De ARR Nkr 8972126020</v>
      </c>
      <c r="C7590" s="380" t="str">
        <f>IFERROR(__xludf.DUMMYFUNCTION("""COMPUTED_VALUE"""),"70003002")</f>
        <v>70003002</v>
      </c>
      <c r="D7590" s="380" t="s">
        <v>767</v>
      </c>
      <c r="E7590" s="380" t="s">
        <v>786</v>
      </c>
      <c r="F7590" s="380" t="s">
        <v>998</v>
      </c>
      <c r="G7590" s="380" t="s">
        <v>1267</v>
      </c>
      <c r="H7590" s="380" t="s">
        <v>771</v>
      </c>
      <c r="I7590" s="380" t="s">
        <v>788</v>
      </c>
      <c r="J7590" s="380" t="s">
        <v>773</v>
      </c>
      <c r="K7590" s="381">
        <v>40000.0</v>
      </c>
      <c r="L7590" s="382">
        <v>1.0</v>
      </c>
    </row>
    <row r="7591">
      <c r="A7591" s="380" t="s">
        <v>8465</v>
      </c>
      <c r="B7591" s="380" t="str">
        <f>IFERROR(__xludf.DUMMYFUNCTION("""COMPUTED_VALUE"""),"Banda Freno Trasero Foton 1128 Remachada")</f>
        <v>Banda Freno Trasero Foton 1128 Remachada</v>
      </c>
      <c r="C7591" s="380" t="str">
        <f>IFERROR(__xludf.DUMMYFUNCTION("""COMPUTED_VALUE"""),"70003003")</f>
        <v>70003003</v>
      </c>
      <c r="D7591" s="380" t="s">
        <v>767</v>
      </c>
      <c r="E7591" s="380" t="s">
        <v>786</v>
      </c>
      <c r="F7591" s="380" t="s">
        <v>1017</v>
      </c>
      <c r="G7591" s="380" t="s">
        <v>1267</v>
      </c>
      <c r="H7591" s="380" t="s">
        <v>771</v>
      </c>
      <c r="I7591" s="380" t="s">
        <v>788</v>
      </c>
      <c r="J7591" s="380" t="s">
        <v>773</v>
      </c>
      <c r="K7591" s="381">
        <v>84763.0</v>
      </c>
      <c r="L7591" s="382">
        <v>1.0</v>
      </c>
    </row>
    <row r="7592">
      <c r="A7592" s="380" t="s">
        <v>8466</v>
      </c>
      <c r="B7592" s="380" t="str">
        <f>IFERROR(__xludf.DUMMYFUNCTION("""COMPUTED_VALUE"""),"Banda Freno Tras Foton 1128 5946326544")</f>
        <v>Banda Freno Tras Foton 1128 5946326544</v>
      </c>
      <c r="C7592" s="380" t="str">
        <f>IFERROR(__xludf.DUMMYFUNCTION("""COMPUTED_VALUE"""),"70003004")</f>
        <v>70003004</v>
      </c>
      <c r="D7592" s="380" t="s">
        <v>767</v>
      </c>
      <c r="E7592" s="380" t="s">
        <v>786</v>
      </c>
      <c r="F7592" s="380" t="s">
        <v>1017</v>
      </c>
      <c r="G7592" s="380" t="s">
        <v>1267</v>
      </c>
      <c r="H7592" s="380" t="s">
        <v>771</v>
      </c>
      <c r="I7592" s="380" t="s">
        <v>788</v>
      </c>
      <c r="J7592" s="380" t="s">
        <v>773</v>
      </c>
      <c r="K7592" s="381">
        <v>452920.0</v>
      </c>
      <c r="L7592" s="382">
        <v>1.0</v>
      </c>
    </row>
    <row r="7593">
      <c r="A7593" s="380" t="s">
        <v>8467</v>
      </c>
      <c r="B7593" s="380" t="str">
        <f>IFERROR(__xludf.DUMMYFUNCTION("""COMPUTED_VALUE"""),"Guaya CTRL Cambios FT 1128 1023387781")</f>
        <v>Guaya CTRL Cambios FT 1128 1023387781</v>
      </c>
      <c r="C7593" s="380" t="str">
        <f>IFERROR(__xludf.DUMMYFUNCTION("""COMPUTED_VALUE"""),"70003005")</f>
        <v>70003005</v>
      </c>
      <c r="D7593" s="380" t="s">
        <v>767</v>
      </c>
      <c r="E7593" s="380" t="s">
        <v>786</v>
      </c>
      <c r="F7593" s="380" t="s">
        <v>928</v>
      </c>
      <c r="G7593" s="380" t="s">
        <v>1267</v>
      </c>
      <c r="H7593" s="380" t="s">
        <v>771</v>
      </c>
      <c r="I7593" s="380" t="s">
        <v>788</v>
      </c>
      <c r="J7593" s="380" t="s">
        <v>773</v>
      </c>
      <c r="K7593" s="381">
        <v>0.0</v>
      </c>
      <c r="L7593" s="382">
        <v>1.0</v>
      </c>
    </row>
    <row r="7594">
      <c r="A7594" s="380" t="s">
        <v>8468</v>
      </c>
      <c r="B7594" s="380" t="str">
        <f>IFERROR(__xludf.DUMMYFUNCTION("""COMPUTED_VALUE"""),"Tuerca Eje Trailer Inca Coa000601")</f>
        <v>Tuerca Eje Trailer Inca Coa000601</v>
      </c>
      <c r="C7594" s="380" t="str">
        <f>IFERROR(__xludf.DUMMYFUNCTION("""COMPUTED_VALUE"""),"70003006")</f>
        <v>70003006</v>
      </c>
      <c r="D7594" s="380" t="s">
        <v>767</v>
      </c>
      <c r="E7594" s="380" t="s">
        <v>786</v>
      </c>
      <c r="F7594" s="380" t="s">
        <v>5683</v>
      </c>
      <c r="G7594" s="380" t="s">
        <v>1267</v>
      </c>
      <c r="H7594" s="380" t="s">
        <v>771</v>
      </c>
      <c r="I7594" s="380" t="s">
        <v>788</v>
      </c>
      <c r="J7594" s="380" t="s">
        <v>773</v>
      </c>
      <c r="K7594" s="381">
        <v>74573.0</v>
      </c>
      <c r="L7594" s="382">
        <v>1.0</v>
      </c>
    </row>
    <row r="7595">
      <c r="A7595" s="380" t="s">
        <v>8469</v>
      </c>
      <c r="B7595" s="380" t="str">
        <f>IFERROR(__xludf.DUMMYFUNCTION("""COMPUTED_VALUE"""),"Cigüeñal N200 24519247")</f>
        <v>Cigüeñal N200 24519247</v>
      </c>
      <c r="C7595" s="380" t="str">
        <f>IFERROR(__xludf.DUMMYFUNCTION("""COMPUTED_VALUE"""),"70003007")</f>
        <v>70003007</v>
      </c>
      <c r="D7595" s="380" t="s">
        <v>767</v>
      </c>
      <c r="E7595" s="380" t="s">
        <v>786</v>
      </c>
      <c r="F7595" s="380" t="s">
        <v>787</v>
      </c>
      <c r="G7595" s="380" t="s">
        <v>1267</v>
      </c>
      <c r="H7595" s="380" t="s">
        <v>771</v>
      </c>
      <c r="I7595" s="380" t="s">
        <v>788</v>
      </c>
      <c r="J7595" s="380" t="s">
        <v>773</v>
      </c>
      <c r="K7595" s="381">
        <v>0.0</v>
      </c>
      <c r="L7595" s="382">
        <v>1.0</v>
      </c>
    </row>
    <row r="7596">
      <c r="A7596" s="380" t="s">
        <v>8470</v>
      </c>
      <c r="B7596" s="380" t="str">
        <f>IFERROR(__xludf.DUMMYFUNCTION("""COMPUTED_VALUE"""),"Sensor Abs Tras Foton 1128 5946783132")</f>
        <v>Sensor Abs Tras Foton 1128 5946783132</v>
      </c>
      <c r="C7596" s="380" t="str">
        <f>IFERROR(__xludf.DUMMYFUNCTION("""COMPUTED_VALUE"""),"70003008")</f>
        <v>70003008</v>
      </c>
      <c r="D7596" s="380" t="s">
        <v>767</v>
      </c>
      <c r="E7596" s="380" t="s">
        <v>786</v>
      </c>
      <c r="F7596" s="380" t="s">
        <v>1017</v>
      </c>
      <c r="G7596" s="380" t="s">
        <v>1267</v>
      </c>
      <c r="H7596" s="380" t="s">
        <v>771</v>
      </c>
      <c r="I7596" s="380" t="s">
        <v>788</v>
      </c>
      <c r="J7596" s="380" t="s">
        <v>773</v>
      </c>
      <c r="K7596" s="381">
        <v>280560.0</v>
      </c>
      <c r="L7596" s="382">
        <v>1.0</v>
      </c>
    </row>
    <row r="7597">
      <c r="A7597" s="380" t="s">
        <v>8471</v>
      </c>
      <c r="B7597" s="380" t="str">
        <f>IFERROR(__xludf.DUMMYFUNCTION("""COMPUTED_VALUE"""),"Reten Tras Int Foton 1128 Nl 5946840743")</f>
        <v>Reten Tras Int Foton 1128 Nl 5946840743</v>
      </c>
      <c r="C7597" s="380" t="str">
        <f>IFERROR(__xludf.DUMMYFUNCTION("""COMPUTED_VALUE"""),"70003009")</f>
        <v>70003009</v>
      </c>
      <c r="D7597" s="380" t="s">
        <v>767</v>
      </c>
      <c r="E7597" s="380" t="s">
        <v>786</v>
      </c>
      <c r="F7597" s="380" t="s">
        <v>1017</v>
      </c>
      <c r="G7597" s="380" t="s">
        <v>1267</v>
      </c>
      <c r="H7597" s="380" t="s">
        <v>771</v>
      </c>
      <c r="I7597" s="380" t="s">
        <v>788</v>
      </c>
      <c r="J7597" s="380" t="s">
        <v>773</v>
      </c>
      <c r="K7597" s="381">
        <v>34240.0</v>
      </c>
      <c r="L7597" s="382">
        <v>1.0</v>
      </c>
    </row>
    <row r="7598">
      <c r="A7598" s="380" t="s">
        <v>8472</v>
      </c>
      <c r="B7598" s="380" t="str">
        <f>IFERROR(__xludf.DUMMYFUNCTION("""COMPUTED_VALUE"""),"Manija Externa Izq Foton 1039 1023698863")</f>
        <v>Manija Externa Izq Foton 1039 1023698863</v>
      </c>
      <c r="C7598" s="380" t="str">
        <f>IFERROR(__xludf.DUMMYFUNCTION("""COMPUTED_VALUE"""),"70003010")</f>
        <v>70003010</v>
      </c>
      <c r="D7598" s="380" t="s">
        <v>767</v>
      </c>
      <c r="E7598" s="380" t="s">
        <v>786</v>
      </c>
      <c r="F7598" s="380" t="s">
        <v>792</v>
      </c>
      <c r="G7598" s="380" t="s">
        <v>1267</v>
      </c>
      <c r="H7598" s="380" t="s">
        <v>771</v>
      </c>
      <c r="I7598" s="380" t="s">
        <v>788</v>
      </c>
      <c r="J7598" s="380" t="s">
        <v>773</v>
      </c>
      <c r="K7598" s="381">
        <v>0.0</v>
      </c>
      <c r="L7598" s="382">
        <v>1.0</v>
      </c>
    </row>
    <row r="7599">
      <c r="A7599" s="380" t="s">
        <v>8473</v>
      </c>
      <c r="B7599" s="380" t="str">
        <f>IFERROR(__xludf.DUMMYFUNCTION("""COMPUTED_VALUE"""),"Manija Externa Der Foton 1039 1023698870")</f>
        <v>Manija Externa Der Foton 1039 1023698870</v>
      </c>
      <c r="C7599" s="380" t="str">
        <f>IFERROR(__xludf.DUMMYFUNCTION("""COMPUTED_VALUE"""),"70003011")</f>
        <v>70003011</v>
      </c>
      <c r="D7599" s="380" t="s">
        <v>767</v>
      </c>
      <c r="E7599" s="380" t="s">
        <v>786</v>
      </c>
      <c r="F7599" s="380" t="s">
        <v>792</v>
      </c>
      <c r="G7599" s="380" t="s">
        <v>1267</v>
      </c>
      <c r="H7599" s="380" t="s">
        <v>771</v>
      </c>
      <c r="I7599" s="380" t="s">
        <v>788</v>
      </c>
      <c r="J7599" s="380" t="s">
        <v>773</v>
      </c>
      <c r="K7599" s="381">
        <v>62841.0</v>
      </c>
      <c r="L7599" s="382">
        <v>1.0</v>
      </c>
    </row>
    <row r="7600">
      <c r="A7600" s="380" t="s">
        <v>8474</v>
      </c>
      <c r="B7600" s="380" t="str">
        <f>IFERROR(__xludf.DUMMYFUNCTION("""COMPUTED_VALUE"""),"Juego CILs PTA FT 1039 1023696159")</f>
        <v>Juego CILs PTA FT 1039 1023696159</v>
      </c>
      <c r="C7600" s="380" t="str">
        <f>IFERROR(__xludf.DUMMYFUNCTION("""COMPUTED_VALUE"""),"70003012")</f>
        <v>70003012</v>
      </c>
      <c r="D7600" s="380" t="s">
        <v>767</v>
      </c>
      <c r="E7600" s="380" t="s">
        <v>786</v>
      </c>
      <c r="F7600" s="380" t="s">
        <v>792</v>
      </c>
      <c r="G7600" s="380" t="s">
        <v>1267</v>
      </c>
      <c r="H7600" s="380" t="s">
        <v>771</v>
      </c>
      <c r="I7600" s="380" t="s">
        <v>788</v>
      </c>
      <c r="J7600" s="380" t="s">
        <v>773</v>
      </c>
      <c r="K7600" s="381">
        <v>0.0</v>
      </c>
      <c r="L7600" s="382">
        <v>1.0</v>
      </c>
    </row>
    <row r="7601">
      <c r="A7601" s="380" t="s">
        <v>8475</v>
      </c>
      <c r="B7601" s="380" t="str">
        <f>IFERROR(__xludf.DUMMYFUNCTION("""COMPUTED_VALUE"""),"Farola Der Foton 1065 5946675284")</f>
        <v>Farola Der Foton 1065 5946675284</v>
      </c>
      <c r="C7601" s="380" t="str">
        <f>IFERROR(__xludf.DUMMYFUNCTION("""COMPUTED_VALUE"""),"70003013")</f>
        <v>70003013</v>
      </c>
      <c r="D7601" s="380" t="s">
        <v>767</v>
      </c>
      <c r="E7601" s="380" t="s">
        <v>786</v>
      </c>
      <c r="F7601" s="380" t="s">
        <v>998</v>
      </c>
      <c r="G7601" s="380" t="s">
        <v>1267</v>
      </c>
      <c r="H7601" s="380" t="s">
        <v>771</v>
      </c>
      <c r="I7601" s="380" t="s">
        <v>788</v>
      </c>
      <c r="J7601" s="380" t="s">
        <v>773</v>
      </c>
      <c r="K7601" s="381">
        <v>0.0</v>
      </c>
      <c r="L7601" s="382">
        <v>1.0</v>
      </c>
    </row>
    <row r="7602">
      <c r="A7602" s="380" t="s">
        <v>8476</v>
      </c>
      <c r="B7602" s="380" t="str">
        <f>IFERROR(__xludf.DUMMYFUNCTION("""COMPUTED_VALUE"""),"Tuerca Pinadora Ho Internatio 2032055 C1")</f>
        <v>Tuerca Pinadora Ho Internatio 2032055 C1</v>
      </c>
      <c r="C7602" s="380" t="str">
        <f>IFERROR(__xludf.DUMMYFUNCTION("""COMPUTED_VALUE"""),"70003014")</f>
        <v>70003014</v>
      </c>
      <c r="D7602" s="380" t="s">
        <v>767</v>
      </c>
      <c r="E7602" s="380" t="s">
        <v>786</v>
      </c>
      <c r="F7602" s="380" t="s">
        <v>5683</v>
      </c>
      <c r="G7602" s="380" t="s">
        <v>1267</v>
      </c>
      <c r="H7602" s="380" t="s">
        <v>771</v>
      </c>
      <c r="I7602" s="380" t="s">
        <v>788</v>
      </c>
      <c r="J7602" s="380" t="s">
        <v>773</v>
      </c>
      <c r="K7602" s="381">
        <v>0.0</v>
      </c>
      <c r="L7602" s="382">
        <v>1.0</v>
      </c>
    </row>
    <row r="7603">
      <c r="A7603" s="380" t="s">
        <v>8477</v>
      </c>
      <c r="B7603" s="380" t="str">
        <f>IFERROR(__xludf.DUMMYFUNCTION("""COMPUTED_VALUE"""),"CIL Freno Tubo Sangria Tras F 5946321594")</f>
        <v>CIL Freno Tubo Sangria Tras F 5946321594</v>
      </c>
      <c r="C7603" s="380" t="str">
        <f>IFERROR(__xludf.DUMMYFUNCTION("""COMPUTED_VALUE"""),"70003015")</f>
        <v>70003015</v>
      </c>
      <c r="D7603" s="380" t="s">
        <v>767</v>
      </c>
      <c r="E7603" s="380" t="s">
        <v>786</v>
      </c>
      <c r="F7603" s="380" t="s">
        <v>1017</v>
      </c>
      <c r="G7603" s="380" t="s">
        <v>1267</v>
      </c>
      <c r="H7603" s="380" t="s">
        <v>771</v>
      </c>
      <c r="I7603" s="380" t="s">
        <v>788</v>
      </c>
      <c r="J7603" s="380" t="s">
        <v>773</v>
      </c>
      <c r="K7603" s="381">
        <v>0.0</v>
      </c>
      <c r="L7603" s="382">
        <v>1.0</v>
      </c>
    </row>
    <row r="7604">
      <c r="A7604" s="380" t="s">
        <v>8478</v>
      </c>
      <c r="B7604" s="380" t="str">
        <f>IFERROR(__xludf.DUMMYFUNCTION("""COMPUTED_VALUE"""),"CIL Freno Tubo Tras FT 5946321617")</f>
        <v>CIL Freno Tubo Tras FT 5946321617</v>
      </c>
      <c r="C7604" s="380" t="str">
        <f>IFERROR(__xludf.DUMMYFUNCTION("""COMPUTED_VALUE"""),"70003016")</f>
        <v>70003016</v>
      </c>
      <c r="D7604" s="380" t="s">
        <v>767</v>
      </c>
      <c r="E7604" s="380" t="s">
        <v>786</v>
      </c>
      <c r="F7604" s="380" t="s">
        <v>1017</v>
      </c>
      <c r="G7604" s="380" t="s">
        <v>1267</v>
      </c>
      <c r="H7604" s="380" t="s">
        <v>771</v>
      </c>
      <c r="I7604" s="380" t="s">
        <v>788</v>
      </c>
      <c r="J7604" s="380" t="s">
        <v>773</v>
      </c>
      <c r="K7604" s="381">
        <v>0.0</v>
      </c>
      <c r="L7604" s="382">
        <v>1.0</v>
      </c>
    </row>
    <row r="7605">
      <c r="A7605" s="380" t="s">
        <v>8479</v>
      </c>
      <c r="B7605" s="380" t="str">
        <f>IFERROR(__xludf.DUMMYFUNCTION("""COMPUTED_VALUE"""),"Tapa Manija Frontal Lateral F 1719987892")</f>
        <v>Tapa Manija Frontal Lateral F 1719987892</v>
      </c>
      <c r="C7605" s="380" t="str">
        <f>IFERROR(__xludf.DUMMYFUNCTION("""COMPUTED_VALUE"""),"70003017")</f>
        <v>70003017</v>
      </c>
      <c r="D7605" s="380" t="s">
        <v>767</v>
      </c>
      <c r="E7605" s="380" t="s">
        <v>786</v>
      </c>
      <c r="F7605" s="380" t="s">
        <v>792</v>
      </c>
      <c r="G7605" s="380" t="s">
        <v>1267</v>
      </c>
      <c r="H7605" s="380" t="s">
        <v>771</v>
      </c>
      <c r="I7605" s="380" t="s">
        <v>788</v>
      </c>
      <c r="J7605" s="380" t="s">
        <v>773</v>
      </c>
      <c r="K7605" s="381">
        <v>0.0</v>
      </c>
      <c r="L7605" s="382">
        <v>1.0</v>
      </c>
    </row>
    <row r="7606">
      <c r="A7606" s="380" t="s">
        <v>8480</v>
      </c>
      <c r="B7606" s="380" t="str">
        <f>IFERROR(__xludf.DUMMYFUNCTION("""COMPUTED_VALUE"""),"Brazo Limpiabrisas Ftr 8980789751")</f>
        <v>Brazo Limpiabrisas Ftr 8980789751</v>
      </c>
      <c r="C7606" s="380" t="str">
        <f>IFERROR(__xludf.DUMMYFUNCTION("""COMPUTED_VALUE"""),"70003018")</f>
        <v>70003018</v>
      </c>
      <c r="D7606" s="380" t="s">
        <v>767</v>
      </c>
      <c r="E7606" s="380" t="s">
        <v>786</v>
      </c>
      <c r="F7606" s="380" t="s">
        <v>792</v>
      </c>
      <c r="G7606" s="380" t="s">
        <v>1267</v>
      </c>
      <c r="H7606" s="380" t="s">
        <v>771</v>
      </c>
      <c r="I7606" s="380" t="s">
        <v>788</v>
      </c>
      <c r="J7606" s="380" t="s">
        <v>773</v>
      </c>
      <c r="K7606" s="381">
        <v>0.0</v>
      </c>
      <c r="L7606" s="382">
        <v>1.0</v>
      </c>
    </row>
    <row r="7607">
      <c r="A7607" s="380" t="s">
        <v>8481</v>
      </c>
      <c r="B7607" s="380" t="str">
        <f>IFERROR(__xludf.DUMMYFUNCTION("""COMPUTED_VALUE"""),"Bombillo 24 V 70w H713972")</f>
        <v>Bombillo 24 V 70w H713972</v>
      </c>
      <c r="C7607" s="380" t="str">
        <f>IFERROR(__xludf.DUMMYFUNCTION("""COMPUTED_VALUE"""),"70003019")</f>
        <v>70003019</v>
      </c>
      <c r="D7607" s="380" t="s">
        <v>767</v>
      </c>
      <c r="E7607" s="380" t="s">
        <v>786</v>
      </c>
      <c r="F7607" s="380" t="s">
        <v>998</v>
      </c>
      <c r="G7607" s="380" t="s">
        <v>1267</v>
      </c>
      <c r="H7607" s="380" t="s">
        <v>771</v>
      </c>
      <c r="I7607" s="380" t="s">
        <v>788</v>
      </c>
      <c r="J7607" s="380" t="s">
        <v>773</v>
      </c>
      <c r="K7607" s="381">
        <v>23062.0</v>
      </c>
      <c r="L7607" s="382">
        <v>1.0</v>
      </c>
    </row>
    <row r="7608">
      <c r="A7608" s="380" t="s">
        <v>8482</v>
      </c>
      <c r="B7608" s="380" t="str">
        <f>IFERROR(__xludf.DUMMYFUNCTION("""COMPUTED_VALUE"""),"Buje De Quinta RDA Compensador Xb0011-Us")</f>
        <v>Buje De Quinta RDA Compensador Xb0011-Us</v>
      </c>
      <c r="C7608" s="380" t="str">
        <f>IFERROR(__xludf.DUMMYFUNCTION("""COMPUTED_VALUE"""),"70003020")</f>
        <v>70003020</v>
      </c>
      <c r="D7608" s="380" t="s">
        <v>767</v>
      </c>
      <c r="E7608" s="380" t="s">
        <v>786</v>
      </c>
      <c r="F7608" s="380" t="s">
        <v>1039</v>
      </c>
      <c r="G7608" s="380" t="s">
        <v>1267</v>
      </c>
      <c r="H7608" s="380" t="s">
        <v>771</v>
      </c>
      <c r="I7608" s="380" t="s">
        <v>788</v>
      </c>
      <c r="J7608" s="380" t="s">
        <v>773</v>
      </c>
      <c r="K7608" s="381">
        <v>47600.0</v>
      </c>
      <c r="L7608" s="382">
        <v>1.0</v>
      </c>
    </row>
    <row r="7609">
      <c r="A7609" s="380" t="s">
        <v>8483</v>
      </c>
      <c r="B7609" s="380" t="str">
        <f>IFERROR(__xludf.DUMMYFUNCTION("""COMPUTED_VALUE"""),"INTruptor CTRL PTA Izq MCK Anth 23929131")</f>
        <v>INTruptor CTRL PTA Izq MCK Anth 23929131</v>
      </c>
      <c r="C7609" s="380" t="str">
        <f>IFERROR(__xludf.DUMMYFUNCTION("""COMPUTED_VALUE"""),"70003021")</f>
        <v>70003021</v>
      </c>
      <c r="D7609" s="380" t="s">
        <v>767</v>
      </c>
      <c r="E7609" s="380" t="s">
        <v>786</v>
      </c>
      <c r="F7609" s="380" t="s">
        <v>998</v>
      </c>
      <c r="G7609" s="380" t="s">
        <v>1267</v>
      </c>
      <c r="H7609" s="380" t="s">
        <v>771</v>
      </c>
      <c r="I7609" s="380" t="s">
        <v>788</v>
      </c>
      <c r="J7609" s="380" t="s">
        <v>773</v>
      </c>
      <c r="K7609" s="381">
        <v>0.0</v>
      </c>
      <c r="L7609" s="382">
        <v>1.0</v>
      </c>
    </row>
    <row r="7610">
      <c r="A7610" s="380" t="s">
        <v>8484</v>
      </c>
      <c r="B7610" s="380" t="str">
        <f>IFERROR(__xludf.DUMMYFUNCTION("""COMPUTED_VALUE"""),"Valvula De Alivio Inyeccion Foton 1039")</f>
        <v>Valvula De Alivio Inyeccion Foton 1039</v>
      </c>
      <c r="C7610" s="380" t="str">
        <f>IFERROR(__xludf.DUMMYFUNCTION("""COMPUTED_VALUE"""),"70003022")</f>
        <v>70003022</v>
      </c>
      <c r="D7610" s="380" t="s">
        <v>767</v>
      </c>
      <c r="E7610" s="380" t="s">
        <v>786</v>
      </c>
      <c r="F7610" s="380" t="s">
        <v>787</v>
      </c>
      <c r="G7610" s="380" t="s">
        <v>1267</v>
      </c>
      <c r="H7610" s="380" t="s">
        <v>771</v>
      </c>
      <c r="I7610" s="380" t="s">
        <v>788</v>
      </c>
      <c r="J7610" s="380" t="s">
        <v>773</v>
      </c>
      <c r="K7610" s="381">
        <v>0.0</v>
      </c>
      <c r="L7610" s="382">
        <v>1.0</v>
      </c>
    </row>
    <row r="7611">
      <c r="A7611" s="380" t="s">
        <v>8485</v>
      </c>
      <c r="B7611" s="380" t="str">
        <f>IFERROR(__xludf.DUMMYFUNCTION("""COMPUTED_VALUE"""),"Bombillo 24 V 70 W Luces Bajas F H164155")</f>
        <v>Bombillo 24 V 70 W Luces Bajas F H164155</v>
      </c>
      <c r="C7611" s="380" t="str">
        <f>IFERROR(__xludf.DUMMYFUNCTION("""COMPUTED_VALUE"""),"70003023")</f>
        <v>70003023</v>
      </c>
      <c r="D7611" s="380" t="s">
        <v>767</v>
      </c>
      <c r="E7611" s="380" t="s">
        <v>786</v>
      </c>
      <c r="F7611" s="380" t="s">
        <v>998</v>
      </c>
      <c r="G7611" s="380" t="s">
        <v>1267</v>
      </c>
      <c r="H7611" s="380" t="s">
        <v>771</v>
      </c>
      <c r="I7611" s="380" t="s">
        <v>788</v>
      </c>
      <c r="J7611" s="380" t="s">
        <v>773</v>
      </c>
      <c r="K7611" s="381">
        <v>13150.0</v>
      </c>
      <c r="L7611" s="382">
        <v>1.0</v>
      </c>
    </row>
    <row r="7612">
      <c r="A7612" s="380" t="s">
        <v>8486</v>
      </c>
      <c r="B7612" s="380" t="str">
        <f>IFERROR(__xludf.DUMMYFUNCTION("""COMPUTED_VALUE"""),"Fanclutch Con VENT FT 1065 5946892971")</f>
        <v>Fanclutch Con VENT FT 1065 5946892971</v>
      </c>
      <c r="C7612" s="380" t="str">
        <f>IFERROR(__xludf.DUMMYFUNCTION("""COMPUTED_VALUE"""),"70003024")</f>
        <v>70003024</v>
      </c>
      <c r="D7612" s="380" t="s">
        <v>767</v>
      </c>
      <c r="E7612" s="380" t="s">
        <v>786</v>
      </c>
      <c r="F7612" s="380" t="s">
        <v>787</v>
      </c>
      <c r="G7612" s="380" t="s">
        <v>1267</v>
      </c>
      <c r="H7612" s="380" t="s">
        <v>771</v>
      </c>
      <c r="I7612" s="380" t="s">
        <v>788</v>
      </c>
      <c r="J7612" s="380" t="s">
        <v>773</v>
      </c>
      <c r="K7612" s="381">
        <v>0.0</v>
      </c>
      <c r="L7612" s="382">
        <v>1.0</v>
      </c>
    </row>
    <row r="7613">
      <c r="A7613" s="380" t="s">
        <v>8487</v>
      </c>
      <c r="B7613" s="380" t="str">
        <f>IFERROR(__xludf.DUMMYFUNCTION("""COMPUTED_VALUE"""),"MANG Retorno BMB Agua FT 1039 Fabricada")</f>
        <v>MANG Retorno BMB Agua FT 1039 Fabricada</v>
      </c>
      <c r="C7613" s="380" t="str">
        <f>IFERROR(__xludf.DUMMYFUNCTION("""COMPUTED_VALUE"""),"70003025")</f>
        <v>70003025</v>
      </c>
      <c r="D7613" s="380" t="s">
        <v>767</v>
      </c>
      <c r="E7613" s="380" t="s">
        <v>786</v>
      </c>
      <c r="F7613" s="380" t="s">
        <v>787</v>
      </c>
      <c r="G7613" s="380" t="s">
        <v>1267</v>
      </c>
      <c r="H7613" s="380" t="s">
        <v>771</v>
      </c>
      <c r="I7613" s="380" t="s">
        <v>788</v>
      </c>
      <c r="J7613" s="380" t="s">
        <v>773</v>
      </c>
      <c r="K7613" s="381">
        <v>0.0</v>
      </c>
      <c r="L7613" s="382">
        <v>1.0</v>
      </c>
    </row>
    <row r="7614">
      <c r="A7614" s="380" t="s">
        <v>8488</v>
      </c>
      <c r="B7614" s="380" t="str">
        <f>IFERROR(__xludf.DUMMYFUNCTION("""COMPUTED_VALUE"""),"Bomper Frontal Foton 1128 5946724869")</f>
        <v>Bomper Frontal Foton 1128 5946724869</v>
      </c>
      <c r="C7614" s="380" t="str">
        <f>IFERROR(__xludf.DUMMYFUNCTION("""COMPUTED_VALUE"""),"70003026")</f>
        <v>70003026</v>
      </c>
      <c r="D7614" s="380" t="s">
        <v>767</v>
      </c>
      <c r="E7614" s="380" t="s">
        <v>786</v>
      </c>
      <c r="F7614" s="380" t="s">
        <v>792</v>
      </c>
      <c r="G7614" s="380" t="s">
        <v>1267</v>
      </c>
      <c r="H7614" s="380" t="s">
        <v>771</v>
      </c>
      <c r="I7614" s="380" t="s">
        <v>788</v>
      </c>
      <c r="J7614" s="380" t="s">
        <v>773</v>
      </c>
      <c r="K7614" s="381">
        <v>0.0</v>
      </c>
      <c r="L7614" s="382">
        <v>1.0</v>
      </c>
    </row>
    <row r="7615">
      <c r="A7615" s="380" t="s">
        <v>8489</v>
      </c>
      <c r="B7615" s="380" t="str">
        <f>IFERROR(__xludf.DUMMYFUNCTION("""COMPUTED_VALUE"""),"Farola Der Foton 1128 5946724845")</f>
        <v>Farola Der Foton 1128 5946724845</v>
      </c>
      <c r="C7615" s="380" t="str">
        <f>IFERROR(__xludf.DUMMYFUNCTION("""COMPUTED_VALUE"""),"70003027")</f>
        <v>70003027</v>
      </c>
      <c r="D7615" s="380" t="s">
        <v>767</v>
      </c>
      <c r="E7615" s="380" t="s">
        <v>786</v>
      </c>
      <c r="F7615" s="380" t="s">
        <v>998</v>
      </c>
      <c r="G7615" s="380" t="s">
        <v>1267</v>
      </c>
      <c r="H7615" s="380" t="s">
        <v>771</v>
      </c>
      <c r="I7615" s="380" t="s">
        <v>788</v>
      </c>
      <c r="J7615" s="380" t="s">
        <v>773</v>
      </c>
      <c r="K7615" s="381">
        <v>0.0</v>
      </c>
      <c r="L7615" s="382">
        <v>1.0</v>
      </c>
    </row>
    <row r="7616">
      <c r="A7616" s="380" t="s">
        <v>8490</v>
      </c>
      <c r="B7616" s="380" t="str">
        <f>IFERROR(__xludf.DUMMYFUNCTION("""COMPUTED_VALUE"""),"Exploradora Der Foton 1228 5946242448")</f>
        <v>Exploradora Der Foton 1228 5946242448</v>
      </c>
      <c r="C7616" s="380" t="str">
        <f>IFERROR(__xludf.DUMMYFUNCTION("""COMPUTED_VALUE"""),"70003028")</f>
        <v>70003028</v>
      </c>
      <c r="D7616" s="380" t="s">
        <v>767</v>
      </c>
      <c r="E7616" s="380" t="s">
        <v>786</v>
      </c>
      <c r="F7616" s="380" t="s">
        <v>998</v>
      </c>
      <c r="G7616" s="380" t="s">
        <v>1267</v>
      </c>
      <c r="H7616" s="380" t="s">
        <v>771</v>
      </c>
      <c r="I7616" s="380" t="s">
        <v>788</v>
      </c>
      <c r="J7616" s="380" t="s">
        <v>773</v>
      </c>
      <c r="K7616" s="381">
        <v>0.0</v>
      </c>
      <c r="L7616" s="382">
        <v>1.0</v>
      </c>
    </row>
    <row r="7617">
      <c r="A7617" s="380" t="s">
        <v>8491</v>
      </c>
      <c r="B7617" s="380" t="str">
        <f>IFERROR(__xludf.DUMMYFUNCTION("""COMPUTED_VALUE"""),"Puerta Der Foton 1228 5946684491")</f>
        <v>Puerta Der Foton 1228 5946684491</v>
      </c>
      <c r="C7617" s="380" t="str">
        <f>IFERROR(__xludf.DUMMYFUNCTION("""COMPUTED_VALUE"""),"70003029")</f>
        <v>70003029</v>
      </c>
      <c r="D7617" s="380" t="s">
        <v>767</v>
      </c>
      <c r="E7617" s="380" t="s">
        <v>786</v>
      </c>
      <c r="F7617" s="380" t="s">
        <v>792</v>
      </c>
      <c r="G7617" s="380" t="s">
        <v>1267</v>
      </c>
      <c r="H7617" s="380" t="s">
        <v>771</v>
      </c>
      <c r="I7617" s="380" t="s">
        <v>788</v>
      </c>
      <c r="J7617" s="380" t="s">
        <v>773</v>
      </c>
      <c r="K7617" s="381">
        <v>0.0</v>
      </c>
      <c r="L7617" s="382">
        <v>1.0</v>
      </c>
    </row>
    <row r="7618">
      <c r="A7618" s="380" t="s">
        <v>8492</v>
      </c>
      <c r="B7618" s="380" t="str">
        <f>IFERROR(__xludf.DUMMYFUNCTION("""COMPUTED_VALUE"""),"Soporte Del Motor Isx Prostar 1664724c3")</f>
        <v>Soporte Del Motor Isx Prostar 1664724c3</v>
      </c>
      <c r="C7618" s="380" t="str">
        <f>IFERROR(__xludf.DUMMYFUNCTION("""COMPUTED_VALUE"""),"70003030")</f>
        <v>70003030</v>
      </c>
      <c r="D7618" s="380" t="s">
        <v>767</v>
      </c>
      <c r="E7618" s="380" t="s">
        <v>786</v>
      </c>
      <c r="F7618" s="380" t="s">
        <v>787</v>
      </c>
      <c r="G7618" s="380" t="s">
        <v>1267</v>
      </c>
      <c r="H7618" s="380" t="s">
        <v>771</v>
      </c>
      <c r="I7618" s="380" t="s">
        <v>788</v>
      </c>
      <c r="J7618" s="380" t="s">
        <v>773</v>
      </c>
      <c r="K7618" s="381">
        <v>0.0</v>
      </c>
      <c r="L7618" s="382">
        <v>1.0</v>
      </c>
    </row>
    <row r="7619">
      <c r="A7619" s="380" t="s">
        <v>8493</v>
      </c>
      <c r="B7619" s="380" t="str">
        <f>IFERROR(__xludf.DUMMYFUNCTION("""COMPUTED_VALUE"""),"Amortiguador Tras Foton 1039 1023085328")</f>
        <v>Amortiguador Tras Foton 1039 1023085328</v>
      </c>
      <c r="C7619" s="380" t="str">
        <f>IFERROR(__xludf.DUMMYFUNCTION("""COMPUTED_VALUE"""),"70003031")</f>
        <v>70003031</v>
      </c>
      <c r="D7619" s="380" t="s">
        <v>767</v>
      </c>
      <c r="E7619" s="380" t="s">
        <v>786</v>
      </c>
      <c r="F7619" s="380" t="s">
        <v>1039</v>
      </c>
      <c r="G7619" s="380" t="s">
        <v>1267</v>
      </c>
      <c r="H7619" s="380" t="s">
        <v>771</v>
      </c>
      <c r="I7619" s="380" t="s">
        <v>788</v>
      </c>
      <c r="J7619" s="380" t="s">
        <v>773</v>
      </c>
      <c r="K7619" s="381">
        <v>0.0</v>
      </c>
      <c r="L7619" s="382">
        <v>1.0</v>
      </c>
    </row>
    <row r="7620">
      <c r="A7620" s="380" t="s">
        <v>8494</v>
      </c>
      <c r="B7620" s="380" t="str">
        <f>IFERROR(__xludf.DUMMYFUNCTION("""COMPUTED_VALUE"""),"CIL Freno DEL IZQ Jac Jhr D8401 3501330")</f>
        <v>CIL Freno DEL IZQ Jac Jhr D8401 3501330</v>
      </c>
      <c r="C7620" s="380" t="str">
        <f>IFERROR(__xludf.DUMMYFUNCTION("""COMPUTED_VALUE"""),"70003032")</f>
        <v>70003032</v>
      </c>
      <c r="D7620" s="380" t="s">
        <v>767</v>
      </c>
      <c r="E7620" s="380" t="s">
        <v>786</v>
      </c>
      <c r="F7620" s="380" t="s">
        <v>1017</v>
      </c>
      <c r="G7620" s="380" t="s">
        <v>1267</v>
      </c>
      <c r="H7620" s="380" t="s">
        <v>771</v>
      </c>
      <c r="I7620" s="380" t="s">
        <v>788</v>
      </c>
      <c r="J7620" s="380" t="s">
        <v>773</v>
      </c>
      <c r="K7620" s="381">
        <v>418642.0</v>
      </c>
      <c r="L7620" s="382">
        <v>1.0</v>
      </c>
    </row>
    <row r="7621">
      <c r="A7621" s="380" t="s">
        <v>8495</v>
      </c>
      <c r="B7621" s="380" t="str">
        <f>IFERROR(__xludf.DUMMYFUNCTION("""COMPUTED_VALUE"""),"CIL Freno DEL IZQ Jac D8401 3501030")</f>
        <v>CIL Freno DEL IZQ Jac D8401 3501030</v>
      </c>
      <c r="C7621" s="380" t="str">
        <f>IFERROR(__xludf.DUMMYFUNCTION("""COMPUTED_VALUE"""),"70003033")</f>
        <v>70003033</v>
      </c>
      <c r="D7621" s="380" t="s">
        <v>767</v>
      </c>
      <c r="E7621" s="380" t="s">
        <v>786</v>
      </c>
      <c r="F7621" s="380" t="s">
        <v>1017</v>
      </c>
      <c r="G7621" s="380" t="s">
        <v>1267</v>
      </c>
      <c r="H7621" s="380" t="s">
        <v>771</v>
      </c>
      <c r="I7621" s="380" t="s">
        <v>788</v>
      </c>
      <c r="J7621" s="380" t="s">
        <v>773</v>
      </c>
      <c r="K7621" s="381">
        <v>0.0</v>
      </c>
      <c r="L7621" s="382">
        <v>1.0</v>
      </c>
    </row>
    <row r="7622">
      <c r="A7622" s="380" t="s">
        <v>8496</v>
      </c>
      <c r="B7622" s="380" t="str">
        <f>IFERROR(__xludf.DUMMYFUNCTION("""COMPUTED_VALUE"""),"Bomba Aux Embrague Foton 1039 1023521154")</f>
        <v>Bomba Aux Embrague Foton 1039 1023521154</v>
      </c>
      <c r="C7622" s="380" t="str">
        <f>IFERROR(__xludf.DUMMYFUNCTION("""COMPUTED_VALUE"""),"70003034")</f>
        <v>70003034</v>
      </c>
      <c r="D7622" s="380" t="s">
        <v>767</v>
      </c>
      <c r="E7622" s="380" t="s">
        <v>786</v>
      </c>
      <c r="F7622" s="380" t="s">
        <v>5661</v>
      </c>
      <c r="G7622" s="380" t="s">
        <v>1267</v>
      </c>
      <c r="H7622" s="380" t="s">
        <v>771</v>
      </c>
      <c r="I7622" s="380" t="s">
        <v>788</v>
      </c>
      <c r="J7622" s="380" t="s">
        <v>773</v>
      </c>
      <c r="K7622" s="381">
        <v>0.0</v>
      </c>
      <c r="L7622" s="382">
        <v>1.0</v>
      </c>
    </row>
    <row r="7623">
      <c r="A7623" s="380" t="s">
        <v>8497</v>
      </c>
      <c r="B7623" s="380" t="str">
        <f>IFERROR(__xludf.DUMMYFUNCTION("""COMPUTED_VALUE"""),"MANG Codo Enfriador Aceite Nk 8980660910")</f>
        <v>MANG Codo Enfriador Aceite Nk 8980660910</v>
      </c>
      <c r="C7623" s="380" t="str">
        <f>IFERROR(__xludf.DUMMYFUNCTION("""COMPUTED_VALUE"""),"70003035")</f>
        <v>70003035</v>
      </c>
      <c r="D7623" s="380" t="s">
        <v>767</v>
      </c>
      <c r="E7623" s="380" t="s">
        <v>786</v>
      </c>
      <c r="F7623" s="380" t="s">
        <v>787</v>
      </c>
      <c r="G7623" s="380" t="s">
        <v>1267</v>
      </c>
      <c r="H7623" s="380" t="s">
        <v>771</v>
      </c>
      <c r="I7623" s="380" t="s">
        <v>788</v>
      </c>
      <c r="J7623" s="380" t="s">
        <v>773</v>
      </c>
      <c r="K7623" s="381">
        <v>36673.0</v>
      </c>
      <c r="L7623" s="382">
        <v>1.0</v>
      </c>
    </row>
    <row r="7624">
      <c r="A7624" s="380" t="s">
        <v>8498</v>
      </c>
      <c r="B7624" s="380" t="str">
        <f>IFERROR(__xludf.DUMMYFUNCTION("""COMPUTED_VALUE"""),"Tapa TANQ COMB FT 1128 5946720854")</f>
        <v>Tapa TANQ COMB FT 1128 5946720854</v>
      </c>
      <c r="C7624" s="380" t="str">
        <f>IFERROR(__xludf.DUMMYFUNCTION("""COMPUTED_VALUE"""),"70003036")</f>
        <v>70003036</v>
      </c>
      <c r="D7624" s="380" t="s">
        <v>767</v>
      </c>
      <c r="E7624" s="380" t="s">
        <v>786</v>
      </c>
      <c r="F7624" s="380" t="s">
        <v>787</v>
      </c>
      <c r="G7624" s="380" t="s">
        <v>1267</v>
      </c>
      <c r="H7624" s="380" t="s">
        <v>771</v>
      </c>
      <c r="I7624" s="380" t="s">
        <v>788</v>
      </c>
      <c r="J7624" s="380" t="s">
        <v>773</v>
      </c>
      <c r="K7624" s="381">
        <v>392700.0</v>
      </c>
      <c r="L7624" s="382">
        <v>1.0</v>
      </c>
    </row>
    <row r="7625">
      <c r="A7625" s="380" t="s">
        <v>8499</v>
      </c>
      <c r="B7625" s="380" t="str">
        <f>IFERROR(__xludf.DUMMYFUNCTION("""COMPUTED_VALUE"""),"Filtro Aceite Foton - Frr 7701023566841")</f>
        <v>Filtro Aceite Foton - Frr 7701023566841</v>
      </c>
      <c r="C7625" s="380" t="str">
        <f>IFERROR(__xludf.DUMMYFUNCTION("""COMPUTED_VALUE"""),"70003037")</f>
        <v>70003037</v>
      </c>
      <c r="D7625" s="380" t="s">
        <v>767</v>
      </c>
      <c r="E7625" s="380" t="s">
        <v>786</v>
      </c>
      <c r="F7625" s="380" t="s">
        <v>5855</v>
      </c>
      <c r="G7625" s="380" t="s">
        <v>1267</v>
      </c>
      <c r="H7625" s="380" t="s">
        <v>771</v>
      </c>
      <c r="I7625" s="380" t="s">
        <v>788</v>
      </c>
      <c r="J7625" s="380" t="s">
        <v>773</v>
      </c>
      <c r="K7625" s="381">
        <v>46868.0</v>
      </c>
      <c r="L7625" s="382">
        <v>1.0</v>
      </c>
    </row>
    <row r="7626">
      <c r="A7626" s="380" t="s">
        <v>8500</v>
      </c>
      <c r="B7626" s="380" t="str">
        <f>IFERROR(__xludf.DUMMYFUNCTION("""COMPUTED_VALUE"""),"Filtro Aire Foton - Frr 7705946334563")</f>
        <v>Filtro Aire Foton - Frr 7705946334563</v>
      </c>
      <c r="C7626" s="380" t="str">
        <f>IFERROR(__xludf.DUMMYFUNCTION("""COMPUTED_VALUE"""),"70003038")</f>
        <v>70003038</v>
      </c>
      <c r="D7626" s="380" t="s">
        <v>767</v>
      </c>
      <c r="E7626" s="380" t="s">
        <v>786</v>
      </c>
      <c r="F7626" s="380" t="s">
        <v>5855</v>
      </c>
      <c r="G7626" s="380" t="s">
        <v>1267</v>
      </c>
      <c r="H7626" s="380" t="s">
        <v>771</v>
      </c>
      <c r="I7626" s="380" t="s">
        <v>788</v>
      </c>
      <c r="J7626" s="380" t="s">
        <v>773</v>
      </c>
      <c r="K7626" s="381">
        <v>0.0</v>
      </c>
      <c r="L7626" s="382">
        <v>1.0</v>
      </c>
    </row>
    <row r="7627">
      <c r="A7627" s="380" t="s">
        <v>8501</v>
      </c>
      <c r="B7627" s="380" t="str">
        <f>IFERROR(__xludf.DUMMYFUNCTION("""COMPUTED_VALUE"""),"Filtro Combustible Jac 1042 Fs36209")</f>
        <v>Filtro Combustible Jac 1042 Fs36209</v>
      </c>
      <c r="C7627" s="380" t="str">
        <f>IFERROR(__xludf.DUMMYFUNCTION("""COMPUTED_VALUE"""),"70003039")</f>
        <v>70003039</v>
      </c>
      <c r="D7627" s="380" t="s">
        <v>767</v>
      </c>
      <c r="E7627" s="380" t="s">
        <v>786</v>
      </c>
      <c r="F7627" s="380" t="s">
        <v>5855</v>
      </c>
      <c r="G7627" s="380" t="s">
        <v>1267</v>
      </c>
      <c r="H7627" s="380" t="s">
        <v>771</v>
      </c>
      <c r="I7627" s="380" t="s">
        <v>788</v>
      </c>
      <c r="J7627" s="380" t="s">
        <v>773</v>
      </c>
      <c r="K7627" s="381">
        <v>0.0</v>
      </c>
      <c r="L7627" s="382">
        <v>1.0</v>
      </c>
    </row>
    <row r="7628">
      <c r="A7628" s="380" t="s">
        <v>8502</v>
      </c>
      <c r="B7628" s="380" t="str">
        <f>IFERROR(__xludf.DUMMYFUNCTION("""COMPUTED_VALUE"""),"Filtro Aire Jac 1042 Loc0555")</f>
        <v>Filtro Aire Jac 1042 Loc0555</v>
      </c>
      <c r="C7628" s="380" t="str">
        <f>IFERROR(__xludf.DUMMYFUNCTION("""COMPUTED_VALUE"""),"70003040")</f>
        <v>70003040</v>
      </c>
      <c r="D7628" s="380" t="s">
        <v>767</v>
      </c>
      <c r="E7628" s="380" t="s">
        <v>786</v>
      </c>
      <c r="F7628" s="380" t="s">
        <v>5855</v>
      </c>
      <c r="G7628" s="380" t="s">
        <v>1267</v>
      </c>
      <c r="H7628" s="380" t="s">
        <v>771</v>
      </c>
      <c r="I7628" s="380" t="s">
        <v>788</v>
      </c>
      <c r="J7628" s="380" t="s">
        <v>773</v>
      </c>
      <c r="K7628" s="381">
        <v>0.0</v>
      </c>
      <c r="L7628" s="382">
        <v>1.0</v>
      </c>
    </row>
    <row r="7629">
      <c r="A7629" s="380" t="s">
        <v>8503</v>
      </c>
      <c r="B7629" s="380" t="str">
        <f>IFERROR(__xludf.DUMMYFUNCTION("""COMPUTED_VALUE"""),"Filtro Aceite Foton 1065 7701023369527")</f>
        <v>Filtro Aceite Foton 1065 7701023369527</v>
      </c>
      <c r="C7629" s="380" t="str">
        <f>IFERROR(__xludf.DUMMYFUNCTION("""COMPUTED_VALUE"""),"70003041")</f>
        <v>70003041</v>
      </c>
      <c r="D7629" s="380" t="s">
        <v>767</v>
      </c>
      <c r="E7629" s="380" t="s">
        <v>786</v>
      </c>
      <c r="F7629" s="380" t="s">
        <v>5855</v>
      </c>
      <c r="G7629" s="380" t="s">
        <v>1267</v>
      </c>
      <c r="H7629" s="380" t="s">
        <v>771</v>
      </c>
      <c r="I7629" s="380" t="s">
        <v>788</v>
      </c>
      <c r="J7629" s="380" t="s">
        <v>773</v>
      </c>
      <c r="K7629" s="381">
        <v>49001.0</v>
      </c>
      <c r="L7629" s="382">
        <v>1.0</v>
      </c>
    </row>
    <row r="7630">
      <c r="A7630" s="380" t="s">
        <v>8504</v>
      </c>
      <c r="B7630" s="380" t="str">
        <f>IFERROR(__xludf.DUMMYFUNCTION("""COMPUTED_VALUE"""),"FILT COMB Sec FT 1065 7701023959568")</f>
        <v>FILT COMB Sec FT 1065 7701023959568</v>
      </c>
      <c r="C7630" s="380" t="str">
        <f>IFERROR(__xludf.DUMMYFUNCTION("""COMPUTED_VALUE"""),"70003042")</f>
        <v>70003042</v>
      </c>
      <c r="D7630" s="380" t="s">
        <v>767</v>
      </c>
      <c r="E7630" s="380" t="s">
        <v>786</v>
      </c>
      <c r="F7630" s="380" t="s">
        <v>5855</v>
      </c>
      <c r="G7630" s="380" t="s">
        <v>1267</v>
      </c>
      <c r="H7630" s="380" t="s">
        <v>771</v>
      </c>
      <c r="I7630" s="380" t="s">
        <v>788</v>
      </c>
      <c r="J7630" s="380" t="s">
        <v>773</v>
      </c>
      <c r="K7630" s="381">
        <v>104493.0</v>
      </c>
      <c r="L7630" s="382">
        <v>1.0</v>
      </c>
    </row>
    <row r="7631">
      <c r="A7631" s="380" t="s">
        <v>8505</v>
      </c>
      <c r="B7631" s="380" t="str">
        <f>IFERROR(__xludf.DUMMYFUNCTION("""COMPUTED_VALUE"""),"Elementro FILT AIR PRIM INTnac 2515573c1")</f>
        <v>Elementro FILT AIR PRIM INTnac 2515573c1</v>
      </c>
      <c r="C7631" s="380" t="str">
        <f>IFERROR(__xludf.DUMMYFUNCTION("""COMPUTED_VALUE"""),"70003043")</f>
        <v>70003043</v>
      </c>
      <c r="D7631" s="380" t="s">
        <v>767</v>
      </c>
      <c r="E7631" s="380" t="s">
        <v>786</v>
      </c>
      <c r="F7631" s="380" t="s">
        <v>5855</v>
      </c>
      <c r="G7631" s="380" t="s">
        <v>1267</v>
      </c>
      <c r="H7631" s="380" t="s">
        <v>771</v>
      </c>
      <c r="I7631" s="380" t="s">
        <v>788</v>
      </c>
      <c r="J7631" s="380" t="s">
        <v>773</v>
      </c>
      <c r="K7631" s="381">
        <v>290168.0</v>
      </c>
      <c r="L7631" s="382">
        <v>1.0</v>
      </c>
    </row>
    <row r="7632">
      <c r="A7632" s="380" t="s">
        <v>8506</v>
      </c>
      <c r="B7632" s="380" t="str">
        <f>IFERROR(__xludf.DUMMYFUNCTION("""COMPUTED_VALUE"""),"Elementro FILT AIR Secundario 2515575c2")</f>
        <v>Elementro FILT AIR Secundario 2515575c2</v>
      </c>
      <c r="C7632" s="380" t="str">
        <f>IFERROR(__xludf.DUMMYFUNCTION("""COMPUTED_VALUE"""),"70003044")</f>
        <v>70003044</v>
      </c>
      <c r="D7632" s="380" t="s">
        <v>767</v>
      </c>
      <c r="E7632" s="380" t="s">
        <v>786</v>
      </c>
      <c r="F7632" s="380" t="s">
        <v>5855</v>
      </c>
      <c r="G7632" s="380" t="s">
        <v>1267</v>
      </c>
      <c r="H7632" s="380" t="s">
        <v>771</v>
      </c>
      <c r="I7632" s="380" t="s">
        <v>788</v>
      </c>
      <c r="J7632" s="380" t="s">
        <v>773</v>
      </c>
      <c r="K7632" s="381">
        <v>394419.0</v>
      </c>
      <c r="L7632" s="382">
        <v>1.0</v>
      </c>
    </row>
    <row r="7633">
      <c r="A7633" s="380" t="s">
        <v>8507</v>
      </c>
      <c r="B7633" s="380" t="str">
        <f>IFERROR(__xludf.DUMMYFUNCTION("""COMPUTED_VALUE"""),"Filtro Separador Def As2474")</f>
        <v>Filtro Separador Def As2474</v>
      </c>
      <c r="C7633" s="380" t="str">
        <f>IFERROR(__xludf.DUMMYFUNCTION("""COMPUTED_VALUE"""),"70003045")</f>
        <v>70003045</v>
      </c>
      <c r="D7633" s="380" t="s">
        <v>767</v>
      </c>
      <c r="E7633" s="380" t="s">
        <v>786</v>
      </c>
      <c r="F7633" s="380" t="s">
        <v>5855</v>
      </c>
      <c r="G7633" s="380" t="s">
        <v>1267</v>
      </c>
      <c r="H7633" s="380" t="s">
        <v>771</v>
      </c>
      <c r="I7633" s="380" t="s">
        <v>788</v>
      </c>
      <c r="J7633" s="380" t="s">
        <v>773</v>
      </c>
      <c r="K7633" s="381">
        <v>39584.0</v>
      </c>
      <c r="L7633" s="382">
        <v>1.0</v>
      </c>
    </row>
    <row r="7634">
      <c r="A7634" s="380" t="s">
        <v>8508</v>
      </c>
      <c r="B7634" s="380" t="str">
        <f>IFERROR(__xludf.DUMMYFUNCTION("""COMPUTED_VALUE"""),"Guaya Capot Frontal Ftr 8980365742")</f>
        <v>Guaya Capot Frontal Ftr 8980365742</v>
      </c>
      <c r="C7634" s="380" t="str">
        <f>IFERROR(__xludf.DUMMYFUNCTION("""COMPUTED_VALUE"""),"70003046")</f>
        <v>70003046</v>
      </c>
      <c r="D7634" s="380" t="s">
        <v>767</v>
      </c>
      <c r="E7634" s="380" t="s">
        <v>786</v>
      </c>
      <c r="F7634" s="380" t="s">
        <v>792</v>
      </c>
      <c r="G7634" s="380" t="s">
        <v>1267</v>
      </c>
      <c r="H7634" s="380" t="s">
        <v>771</v>
      </c>
      <c r="I7634" s="380" t="s">
        <v>788</v>
      </c>
      <c r="J7634" s="380" t="s">
        <v>773</v>
      </c>
      <c r="K7634" s="381">
        <v>0.0</v>
      </c>
      <c r="L7634" s="382">
        <v>1.0</v>
      </c>
    </row>
    <row r="7635">
      <c r="A7635" s="380" t="s">
        <v>8509</v>
      </c>
      <c r="B7635" s="380" t="str">
        <f>IFERROR(__xludf.DUMMYFUNCTION("""COMPUTED_VALUE"""),"Guardapolvo FTR Forward I 8980398511")</f>
        <v>Guardapolvo FTR Forward I 8980398511</v>
      </c>
      <c r="C7635" s="380" t="str">
        <f>IFERROR(__xludf.DUMMYFUNCTION("""COMPUTED_VALUE"""),"70003047")</f>
        <v>70003047</v>
      </c>
      <c r="D7635" s="380" t="s">
        <v>767</v>
      </c>
      <c r="E7635" s="380" t="s">
        <v>786</v>
      </c>
      <c r="F7635" s="380" t="s">
        <v>792</v>
      </c>
      <c r="G7635" s="380" t="s">
        <v>1267</v>
      </c>
      <c r="H7635" s="380" t="s">
        <v>771</v>
      </c>
      <c r="I7635" s="380" t="s">
        <v>788</v>
      </c>
      <c r="J7635" s="380" t="s">
        <v>773</v>
      </c>
      <c r="K7635" s="381">
        <v>0.0</v>
      </c>
      <c r="L7635" s="382">
        <v>1.0</v>
      </c>
    </row>
    <row r="7636">
      <c r="A7636" s="380" t="s">
        <v>8510</v>
      </c>
      <c r="B7636" s="380" t="str">
        <f>IFERROR(__xludf.DUMMYFUNCTION("""COMPUTED_VALUE"""),"Tuerca Cacho RDA Del Nkr III 8942473571")</f>
        <v>Tuerca Cacho RDA Del Nkr III 8942473571</v>
      </c>
      <c r="C7636" s="380" t="str">
        <f>IFERROR(__xludf.DUMMYFUNCTION("""COMPUTED_VALUE"""),"70003048")</f>
        <v>70003048</v>
      </c>
      <c r="D7636" s="380" t="s">
        <v>767</v>
      </c>
      <c r="E7636" s="380" t="s">
        <v>786</v>
      </c>
      <c r="F7636" s="380" t="s">
        <v>1039</v>
      </c>
      <c r="G7636" s="380" t="s">
        <v>1267</v>
      </c>
      <c r="H7636" s="380" t="s">
        <v>771</v>
      </c>
      <c r="I7636" s="380" t="s">
        <v>788</v>
      </c>
      <c r="J7636" s="380" t="s">
        <v>773</v>
      </c>
      <c r="K7636" s="381">
        <v>0.0</v>
      </c>
      <c r="L7636" s="382">
        <v>1.0</v>
      </c>
    </row>
    <row r="7637">
      <c r="A7637" s="380" t="s">
        <v>8511</v>
      </c>
      <c r="B7637" s="380" t="str">
        <f>IFERROR(__xludf.DUMMYFUNCTION("""COMPUTED_VALUE"""),"Tuerca Perno Tras Der Nkr 911105200")</f>
        <v>Tuerca Perno Tras Der Nkr 911105200</v>
      </c>
      <c r="C7637" s="380" t="str">
        <f>IFERROR(__xludf.DUMMYFUNCTION("""COMPUTED_VALUE"""),"70003049")</f>
        <v>70003049</v>
      </c>
      <c r="D7637" s="380" t="s">
        <v>767</v>
      </c>
      <c r="E7637" s="380" t="s">
        <v>786</v>
      </c>
      <c r="F7637" s="380" t="s">
        <v>1039</v>
      </c>
      <c r="G7637" s="380" t="s">
        <v>1267</v>
      </c>
      <c r="H7637" s="380" t="s">
        <v>771</v>
      </c>
      <c r="I7637" s="380" t="s">
        <v>788</v>
      </c>
      <c r="J7637" s="380" t="s">
        <v>773</v>
      </c>
      <c r="K7637" s="381">
        <v>0.0</v>
      </c>
      <c r="L7637" s="382">
        <v>1.0</v>
      </c>
    </row>
    <row r="7638">
      <c r="A7638" s="380" t="s">
        <v>8512</v>
      </c>
      <c r="B7638" s="380" t="str">
        <f>IFERROR(__xludf.DUMMYFUNCTION("""COMPUTED_VALUE"""),"Bomba Agua Freighliner Cl120 R23539602")</f>
        <v>Bomba Agua Freighliner Cl120 R23539602</v>
      </c>
      <c r="C7638" s="380" t="str">
        <f>IFERROR(__xludf.DUMMYFUNCTION("""COMPUTED_VALUE"""),"70003050")</f>
        <v>70003050</v>
      </c>
      <c r="D7638" s="380" t="s">
        <v>767</v>
      </c>
      <c r="E7638" s="380" t="s">
        <v>786</v>
      </c>
      <c r="F7638" s="380" t="s">
        <v>787</v>
      </c>
      <c r="G7638" s="380" t="s">
        <v>1267</v>
      </c>
      <c r="H7638" s="380" t="s">
        <v>771</v>
      </c>
      <c r="I7638" s="380" t="s">
        <v>788</v>
      </c>
      <c r="J7638" s="380" t="s">
        <v>773</v>
      </c>
      <c r="K7638" s="381">
        <v>0.0</v>
      </c>
      <c r="L7638" s="382">
        <v>1.0</v>
      </c>
    </row>
    <row r="7639">
      <c r="A7639" s="380" t="s">
        <v>8513</v>
      </c>
      <c r="B7639" s="380" t="str">
        <f>IFERROR(__xludf.DUMMYFUNCTION("""COMPUTED_VALUE"""),"Barra Tensora Mack 25168255")</f>
        <v>Barra Tensora Mack 25168255</v>
      </c>
      <c r="C7639" s="380" t="str">
        <f>IFERROR(__xludf.DUMMYFUNCTION("""COMPUTED_VALUE"""),"70003051")</f>
        <v>70003051</v>
      </c>
      <c r="D7639" s="380" t="s">
        <v>767</v>
      </c>
      <c r="E7639" s="380" t="s">
        <v>786</v>
      </c>
      <c r="F7639" s="380" t="s">
        <v>1039</v>
      </c>
      <c r="G7639" s="380" t="s">
        <v>1267</v>
      </c>
      <c r="H7639" s="380" t="s">
        <v>771</v>
      </c>
      <c r="I7639" s="380" t="s">
        <v>788</v>
      </c>
      <c r="J7639" s="380" t="s">
        <v>773</v>
      </c>
      <c r="K7639" s="381">
        <v>0.0</v>
      </c>
      <c r="L7639" s="382">
        <v>1.0</v>
      </c>
    </row>
    <row r="7640">
      <c r="A7640" s="380" t="s">
        <v>8514</v>
      </c>
      <c r="B7640" s="380" t="str">
        <f>IFERROR(__xludf.DUMMYFUNCTION("""COMPUTED_VALUE"""),"Soporte Muelle Cxu Mack 400-56929000")</f>
        <v>Soporte Muelle Cxu Mack 400-56929000</v>
      </c>
      <c r="C7640" s="380" t="str">
        <f>IFERROR(__xludf.DUMMYFUNCTION("""COMPUTED_VALUE"""),"70003052")</f>
        <v>70003052</v>
      </c>
      <c r="D7640" s="380" t="s">
        <v>767</v>
      </c>
      <c r="E7640" s="380" t="s">
        <v>786</v>
      </c>
      <c r="F7640" s="380" t="s">
        <v>1039</v>
      </c>
      <c r="G7640" s="380" t="s">
        <v>1267</v>
      </c>
      <c r="H7640" s="380" t="s">
        <v>771</v>
      </c>
      <c r="I7640" s="380" t="s">
        <v>788</v>
      </c>
      <c r="J7640" s="380" t="s">
        <v>773</v>
      </c>
      <c r="K7640" s="381">
        <v>0.0</v>
      </c>
      <c r="L7640" s="382">
        <v>1.0</v>
      </c>
    </row>
    <row r="7641">
      <c r="A7641" s="380" t="s">
        <v>8515</v>
      </c>
      <c r="B7641" s="380" t="str">
        <f>IFERROR(__xludf.DUMMYFUNCTION("""COMPUTED_VALUE"""),"Pin Acero Muelle Cxu Mack 400-58287001")</f>
        <v>Pin Acero Muelle Cxu Mack 400-58287001</v>
      </c>
      <c r="C7641" s="380" t="str">
        <f>IFERROR(__xludf.DUMMYFUNCTION("""COMPUTED_VALUE"""),"70003053")</f>
        <v>70003053</v>
      </c>
      <c r="D7641" s="380" t="s">
        <v>767</v>
      </c>
      <c r="E7641" s="380" t="s">
        <v>786</v>
      </c>
      <c r="F7641" s="380" t="s">
        <v>1039</v>
      </c>
      <c r="G7641" s="380" t="s">
        <v>1267</v>
      </c>
      <c r="H7641" s="380" t="s">
        <v>771</v>
      </c>
      <c r="I7641" s="380" t="s">
        <v>788</v>
      </c>
      <c r="J7641" s="380" t="s">
        <v>773</v>
      </c>
      <c r="K7641" s="381">
        <v>0.0</v>
      </c>
      <c r="L7641" s="382">
        <v>1.0</v>
      </c>
    </row>
    <row r="7642">
      <c r="A7642" s="380" t="s">
        <v>8516</v>
      </c>
      <c r="B7642" s="380" t="str">
        <f>IFERROR(__xludf.DUMMYFUNCTION("""COMPUTED_VALUE"""),"Tubo Base Termostato N200 24536907")</f>
        <v>Tubo Base Termostato N200 24536907</v>
      </c>
      <c r="C7642" s="380" t="str">
        <f>IFERROR(__xludf.DUMMYFUNCTION("""COMPUTED_VALUE"""),"70003054")</f>
        <v>70003054</v>
      </c>
      <c r="D7642" s="380" t="s">
        <v>767</v>
      </c>
      <c r="E7642" s="380" t="s">
        <v>786</v>
      </c>
      <c r="F7642" s="380" t="s">
        <v>787</v>
      </c>
      <c r="G7642" s="380" t="s">
        <v>1267</v>
      </c>
      <c r="H7642" s="380" t="s">
        <v>771</v>
      </c>
      <c r="I7642" s="380" t="s">
        <v>788</v>
      </c>
      <c r="J7642" s="380" t="s">
        <v>773</v>
      </c>
      <c r="K7642" s="381">
        <v>0.0</v>
      </c>
      <c r="L7642" s="382">
        <v>1.0</v>
      </c>
    </row>
    <row r="7643">
      <c r="A7643" s="380" t="s">
        <v>8517</v>
      </c>
      <c r="B7643" s="380" t="str">
        <f>IFERROR(__xludf.DUMMYFUNCTION("""COMPUTED_VALUE"""),"Turbo Jac 1042 Kn Modelo 2018 1118010fa1")</f>
        <v>Turbo Jac 1042 Kn Modelo 2018 1118010fa1</v>
      </c>
      <c r="C7643" s="380" t="str">
        <f>IFERROR(__xludf.DUMMYFUNCTION("""COMPUTED_VALUE"""),"70003055")</f>
        <v>70003055</v>
      </c>
      <c r="D7643" s="380" t="s">
        <v>767</v>
      </c>
      <c r="E7643" s="380" t="s">
        <v>786</v>
      </c>
      <c r="F7643" s="380" t="s">
        <v>787</v>
      </c>
      <c r="G7643" s="380" t="s">
        <v>1267</v>
      </c>
      <c r="H7643" s="380" t="s">
        <v>771</v>
      </c>
      <c r="I7643" s="380" t="s">
        <v>788</v>
      </c>
      <c r="J7643" s="380" t="s">
        <v>773</v>
      </c>
      <c r="K7643" s="381">
        <v>0.0</v>
      </c>
      <c r="L7643" s="382">
        <v>1.0</v>
      </c>
    </row>
    <row r="7644">
      <c r="A7644" s="380" t="s">
        <v>8518</v>
      </c>
      <c r="B7644" s="380" t="str">
        <f>IFERROR(__xludf.DUMMYFUNCTION("""COMPUTED_VALUE"""),"Parabrisas Foton 1128 5946727273")</f>
        <v>Parabrisas Foton 1128 5946727273</v>
      </c>
      <c r="C7644" s="380" t="str">
        <f>IFERROR(__xludf.DUMMYFUNCTION("""COMPUTED_VALUE"""),"70003056")</f>
        <v>70003056</v>
      </c>
      <c r="D7644" s="380" t="s">
        <v>767</v>
      </c>
      <c r="E7644" s="380" t="s">
        <v>786</v>
      </c>
      <c r="F7644" s="380" t="s">
        <v>792</v>
      </c>
      <c r="G7644" s="380" t="s">
        <v>1267</v>
      </c>
      <c r="H7644" s="380" t="s">
        <v>771</v>
      </c>
      <c r="I7644" s="380" t="s">
        <v>788</v>
      </c>
      <c r="J7644" s="380" t="s">
        <v>773</v>
      </c>
      <c r="K7644" s="381">
        <v>0.0</v>
      </c>
      <c r="L7644" s="382">
        <v>1.0</v>
      </c>
    </row>
    <row r="7645">
      <c r="A7645" s="380" t="s">
        <v>8519</v>
      </c>
      <c r="B7645" s="380" t="str">
        <f>IFERROR(__xludf.DUMMYFUNCTION("""COMPUTED_VALUE"""),"Disyuntor Mini 12 V 4Patas 30 Amp226-0")</f>
        <v>Disyuntor Mini 12 V 4Patas 30 Amp226-0</v>
      </c>
      <c r="C7645" s="380" t="str">
        <f>IFERROR(__xludf.DUMMYFUNCTION("""COMPUTED_VALUE"""),"70003058")</f>
        <v>70003058</v>
      </c>
      <c r="D7645" s="380" t="s">
        <v>767</v>
      </c>
      <c r="E7645" s="380" t="s">
        <v>786</v>
      </c>
      <c r="F7645" s="380" t="s">
        <v>998</v>
      </c>
      <c r="G7645" s="380" t="s">
        <v>1267</v>
      </c>
      <c r="H7645" s="380" t="s">
        <v>771</v>
      </c>
      <c r="I7645" s="380" t="s">
        <v>788</v>
      </c>
      <c r="J7645" s="380" t="s">
        <v>773</v>
      </c>
      <c r="K7645" s="381">
        <v>16761.0</v>
      </c>
      <c r="L7645" s="382">
        <v>1.0</v>
      </c>
    </row>
    <row r="7646">
      <c r="A7646" s="380" t="s">
        <v>8520</v>
      </c>
      <c r="B7646" s="380" t="str">
        <f>IFERROR(__xludf.DUMMYFUNCTION("""COMPUTED_VALUE"""),"Valvula Reguladora Keworth T800 K2170")</f>
        <v>Valvula Reguladora Keworth T800 K2170</v>
      </c>
      <c r="C7646" s="380" t="str">
        <f>IFERROR(__xludf.DUMMYFUNCTION("""COMPUTED_VALUE"""),"70003060")</f>
        <v>70003060</v>
      </c>
      <c r="D7646" s="380" t="s">
        <v>767</v>
      </c>
      <c r="E7646" s="380" t="s">
        <v>786</v>
      </c>
      <c r="F7646" s="380" t="s">
        <v>928</v>
      </c>
      <c r="G7646" s="380" t="s">
        <v>1267</v>
      </c>
      <c r="H7646" s="380" t="s">
        <v>771</v>
      </c>
      <c r="I7646" s="380" t="s">
        <v>788</v>
      </c>
      <c r="J7646" s="380" t="s">
        <v>773</v>
      </c>
      <c r="K7646" s="381">
        <v>0.0</v>
      </c>
      <c r="L7646" s="382">
        <v>1.0</v>
      </c>
    </row>
    <row r="7647">
      <c r="A7647" s="380" t="s">
        <v>8521</v>
      </c>
      <c r="B7647" s="380" t="str">
        <f>IFERROR(__xludf.DUMMYFUNCTION("""COMPUTED_VALUE"""),"Buje Palanca Cambios Nkr Reward")</f>
        <v>Buje Palanca Cambios Nkr Reward</v>
      </c>
      <c r="C7647" s="380" t="str">
        <f>IFERROR(__xludf.DUMMYFUNCTION("""COMPUTED_VALUE"""),"70003061")</f>
        <v>70003061</v>
      </c>
      <c r="D7647" s="380" t="s">
        <v>767</v>
      </c>
      <c r="E7647" s="380" t="s">
        <v>786</v>
      </c>
      <c r="F7647" s="380" t="s">
        <v>928</v>
      </c>
      <c r="G7647" s="380" t="s">
        <v>1267</v>
      </c>
      <c r="H7647" s="380" t="s">
        <v>771</v>
      </c>
      <c r="I7647" s="380" t="s">
        <v>788</v>
      </c>
      <c r="J7647" s="380" t="s">
        <v>773</v>
      </c>
      <c r="K7647" s="381">
        <v>0.0</v>
      </c>
      <c r="L7647" s="382">
        <v>1.0</v>
      </c>
    </row>
    <row r="7648">
      <c r="A7648" s="380" t="s">
        <v>8522</v>
      </c>
      <c r="B7648" s="380" t="str">
        <f>IFERROR(__xludf.DUMMYFUNCTION("""COMPUTED_VALUE"""),"Inyector Motor Nhr Nkr St 8971229390")</f>
        <v>Inyector Motor Nhr Nkr St 8971229390</v>
      </c>
      <c r="C7648" s="380" t="str">
        <f>IFERROR(__xludf.DUMMYFUNCTION("""COMPUTED_VALUE"""),"70003062")</f>
        <v>70003062</v>
      </c>
      <c r="D7648" s="380" t="s">
        <v>767</v>
      </c>
      <c r="E7648" s="380" t="s">
        <v>786</v>
      </c>
      <c r="F7648" s="380" t="s">
        <v>787</v>
      </c>
      <c r="G7648" s="380" t="s">
        <v>1267</v>
      </c>
      <c r="H7648" s="380" t="s">
        <v>771</v>
      </c>
      <c r="I7648" s="380" t="s">
        <v>788</v>
      </c>
      <c r="J7648" s="380" t="s">
        <v>773</v>
      </c>
      <c r="K7648" s="381">
        <v>0.0</v>
      </c>
      <c r="L7648" s="382">
        <v>1.0</v>
      </c>
    </row>
    <row r="7649">
      <c r="A7649" s="380" t="s">
        <v>8523</v>
      </c>
      <c r="B7649" s="380" t="str">
        <f>IFERROR(__xludf.DUMMYFUNCTION("""COMPUTED_VALUE"""),"Bombillo Exploradora H3 12v/55 12v-55w")</f>
        <v>Bombillo Exploradora H3 12v/55 12v-55w</v>
      </c>
      <c r="C7649" s="380" t="str">
        <f>IFERROR(__xludf.DUMMYFUNCTION("""COMPUTED_VALUE"""),"70003063")</f>
        <v>70003063</v>
      </c>
      <c r="D7649" s="380" t="s">
        <v>767</v>
      </c>
      <c r="E7649" s="380" t="s">
        <v>786</v>
      </c>
      <c r="F7649" s="380" t="s">
        <v>998</v>
      </c>
      <c r="G7649" s="380" t="s">
        <v>1267</v>
      </c>
      <c r="H7649" s="380" t="s">
        <v>771</v>
      </c>
      <c r="I7649" s="380" t="s">
        <v>788</v>
      </c>
      <c r="J7649" s="380" t="s">
        <v>773</v>
      </c>
      <c r="K7649" s="381">
        <v>6701.0</v>
      </c>
      <c r="L7649" s="382">
        <v>1.0</v>
      </c>
    </row>
    <row r="7650">
      <c r="A7650" s="380" t="s">
        <v>8524</v>
      </c>
      <c r="B7650" s="380" t="str">
        <f>IFERROR(__xludf.DUMMYFUNCTION("""COMPUTED_VALUE"""),"Tornillo Arandela Piñon CJ 16918 X71007")</f>
        <v>Tornillo Arandela Piñon CJ 16918 X71007</v>
      </c>
      <c r="C7650" s="380" t="str">
        <f>IFERROR(__xludf.DUMMYFUNCTION("""COMPUTED_VALUE"""),"70003064")</f>
        <v>70003064</v>
      </c>
      <c r="D7650" s="380" t="s">
        <v>767</v>
      </c>
      <c r="E7650" s="380" t="s">
        <v>786</v>
      </c>
      <c r="F7650" s="380" t="s">
        <v>5683</v>
      </c>
      <c r="G7650" s="380" t="s">
        <v>1267</v>
      </c>
      <c r="H7650" s="380" t="s">
        <v>771</v>
      </c>
      <c r="I7650" s="380" t="s">
        <v>788</v>
      </c>
      <c r="J7650" s="380" t="s">
        <v>773</v>
      </c>
      <c r="K7650" s="381">
        <v>0.0</v>
      </c>
      <c r="L7650" s="382">
        <v>1.0</v>
      </c>
    </row>
    <row r="7651">
      <c r="A7651" s="380" t="s">
        <v>8525</v>
      </c>
      <c r="B7651" s="380" t="str">
        <f>IFERROR(__xludf.DUMMYFUNCTION("""COMPUTED_VALUE"""),"Brazo Corto Direc Foton 1039 5946305884")</f>
        <v>Brazo Corto Direc Foton 1039 5946305884</v>
      </c>
      <c r="C7651" s="380" t="str">
        <f>IFERROR(__xludf.DUMMYFUNCTION("""COMPUTED_VALUE"""),"70003065")</f>
        <v>70003065</v>
      </c>
      <c r="D7651" s="380" t="s">
        <v>767</v>
      </c>
      <c r="E7651" s="380" t="s">
        <v>786</v>
      </c>
      <c r="F7651" s="380" t="s">
        <v>1020</v>
      </c>
      <c r="G7651" s="380" t="s">
        <v>1267</v>
      </c>
      <c r="H7651" s="380" t="s">
        <v>771</v>
      </c>
      <c r="I7651" s="380" t="s">
        <v>788</v>
      </c>
      <c r="J7651" s="380" t="s">
        <v>773</v>
      </c>
      <c r="K7651" s="381">
        <v>0.0</v>
      </c>
      <c r="L7651" s="382">
        <v>1.0</v>
      </c>
    </row>
    <row r="7652">
      <c r="A7652" s="380" t="s">
        <v>8526</v>
      </c>
      <c r="B7652" s="380" t="str">
        <f>IFERROR(__xludf.DUMMYFUNCTION("""COMPUTED_VALUE"""),"Prensa Embrague Jac Jhr 1600100le190")</f>
        <v>Prensa Embrague Jac Jhr 1600100le190</v>
      </c>
      <c r="C7652" s="380" t="str">
        <f>IFERROR(__xludf.DUMMYFUNCTION("""COMPUTED_VALUE"""),"70003066")</f>
        <v>70003066</v>
      </c>
      <c r="D7652" s="380" t="s">
        <v>767</v>
      </c>
      <c r="E7652" s="380" t="s">
        <v>786</v>
      </c>
      <c r="F7652" s="380" t="s">
        <v>5661</v>
      </c>
      <c r="G7652" s="380" t="s">
        <v>1267</v>
      </c>
      <c r="H7652" s="380" t="s">
        <v>771</v>
      </c>
      <c r="I7652" s="380" t="s">
        <v>788</v>
      </c>
      <c r="J7652" s="380" t="s">
        <v>773</v>
      </c>
      <c r="K7652" s="381">
        <v>0.0</v>
      </c>
      <c r="L7652" s="382">
        <v>1.0</v>
      </c>
    </row>
    <row r="7653">
      <c r="A7653" s="380" t="s">
        <v>8527</v>
      </c>
      <c r="B7653" s="380" t="str">
        <f>IFERROR(__xludf.DUMMYFUNCTION("""COMPUTED_VALUE"""),"CAM De Re Camara De Reversa Toyota Prado")</f>
        <v>CAM De Re Camara De Reversa Toyota Prado</v>
      </c>
      <c r="C7653" s="380" t="str">
        <f>IFERROR(__xludf.DUMMYFUNCTION("""COMPUTED_VALUE"""),"70003067")</f>
        <v>70003067</v>
      </c>
      <c r="D7653" s="380" t="s">
        <v>767</v>
      </c>
      <c r="E7653" s="380" t="s">
        <v>786</v>
      </c>
      <c r="F7653" s="380" t="s">
        <v>1031</v>
      </c>
      <c r="G7653" s="380" t="s">
        <v>1267</v>
      </c>
      <c r="H7653" s="380" t="s">
        <v>771</v>
      </c>
      <c r="I7653" s="380" t="s">
        <v>788</v>
      </c>
      <c r="J7653" s="380" t="s">
        <v>773</v>
      </c>
      <c r="K7653" s="381">
        <v>0.0</v>
      </c>
      <c r="L7653" s="382">
        <v>1.0</v>
      </c>
    </row>
    <row r="7654">
      <c r="A7654" s="380" t="s">
        <v>8528</v>
      </c>
      <c r="B7654" s="380" t="str">
        <f>IFERROR(__xludf.DUMMYFUNCTION("""COMPUTED_VALUE"""),"Luna Espejo Retrovisor Der Peq 2514726c3")</f>
        <v>Luna Espejo Retrovisor Der Peq 2514726c3</v>
      </c>
      <c r="C7654" s="380" t="str">
        <f>IFERROR(__xludf.DUMMYFUNCTION("""COMPUTED_VALUE"""),"70003068")</f>
        <v>70003068</v>
      </c>
      <c r="D7654" s="380" t="s">
        <v>767</v>
      </c>
      <c r="E7654" s="380" t="s">
        <v>786</v>
      </c>
      <c r="F7654" s="380" t="s">
        <v>792</v>
      </c>
      <c r="G7654" s="380" t="s">
        <v>1267</v>
      </c>
      <c r="H7654" s="380" t="s">
        <v>771</v>
      </c>
      <c r="I7654" s="380" t="s">
        <v>788</v>
      </c>
      <c r="J7654" s="380" t="s">
        <v>773</v>
      </c>
      <c r="K7654" s="381">
        <v>0.0</v>
      </c>
      <c r="L7654" s="382">
        <v>1.0</v>
      </c>
    </row>
    <row r="7655">
      <c r="A7655" s="380" t="s">
        <v>8529</v>
      </c>
      <c r="B7655" s="380" t="str">
        <f>IFERROR(__xludf.DUMMYFUNCTION("""COMPUTED_VALUE"""),"Exploradora IZQ Jac 110 4116910le010")</f>
        <v>Exploradora IZQ Jac 110 4116910le010</v>
      </c>
      <c r="C7655" s="380" t="str">
        <f>IFERROR(__xludf.DUMMYFUNCTION("""COMPUTED_VALUE"""),"70003069")</f>
        <v>70003069</v>
      </c>
      <c r="D7655" s="380" t="s">
        <v>767</v>
      </c>
      <c r="E7655" s="380" t="s">
        <v>786</v>
      </c>
      <c r="F7655" s="380" t="s">
        <v>998</v>
      </c>
      <c r="G7655" s="380" t="s">
        <v>1267</v>
      </c>
      <c r="H7655" s="380" t="s">
        <v>771</v>
      </c>
      <c r="I7655" s="380" t="s">
        <v>788</v>
      </c>
      <c r="J7655" s="380" t="s">
        <v>773</v>
      </c>
      <c r="K7655" s="381">
        <v>0.0</v>
      </c>
      <c r="L7655" s="382">
        <v>1.0</v>
      </c>
    </row>
    <row r="7656">
      <c r="A7656" s="380" t="s">
        <v>8530</v>
      </c>
      <c r="B7656" s="380" t="str">
        <f>IFERROR(__xludf.DUMMYFUNCTION("""COMPUTED_VALUE"""),"Correa Alternador Jac Jhr 3407400fa01xz")</f>
        <v>Correa Alternador Jac Jhr 3407400fa01xz</v>
      </c>
      <c r="C7656" s="380" t="str">
        <f>IFERROR(__xludf.DUMMYFUNCTION("""COMPUTED_VALUE"""),"70003070")</f>
        <v>70003070</v>
      </c>
      <c r="D7656" s="380" t="s">
        <v>767</v>
      </c>
      <c r="E7656" s="380" t="s">
        <v>786</v>
      </c>
      <c r="F7656" s="380" t="s">
        <v>787</v>
      </c>
      <c r="G7656" s="380" t="s">
        <v>1267</v>
      </c>
      <c r="H7656" s="380" t="s">
        <v>771</v>
      </c>
      <c r="I7656" s="380" t="s">
        <v>788</v>
      </c>
      <c r="J7656" s="380" t="s">
        <v>773</v>
      </c>
      <c r="K7656" s="381">
        <v>0.0</v>
      </c>
      <c r="L7656" s="382">
        <v>1.0</v>
      </c>
    </row>
    <row r="7657">
      <c r="A7657" s="380" t="s">
        <v>8531</v>
      </c>
      <c r="B7657" s="380" t="str">
        <f>IFERROR(__xludf.DUMMYFUNCTION("""COMPUTED_VALUE"""),"Bombillo Doble Contacto 17925 24 Voltios")</f>
        <v>Bombillo Doble Contacto 17925 24 Voltios</v>
      </c>
      <c r="C7657" s="380" t="str">
        <f>IFERROR(__xludf.DUMMYFUNCTION("""COMPUTED_VALUE"""),"70003071")</f>
        <v>70003071</v>
      </c>
      <c r="D7657" s="380" t="s">
        <v>767</v>
      </c>
      <c r="E7657" s="380" t="s">
        <v>786</v>
      </c>
      <c r="F7657" s="380" t="s">
        <v>998</v>
      </c>
      <c r="G7657" s="380" t="s">
        <v>1267</v>
      </c>
      <c r="H7657" s="380" t="s">
        <v>771</v>
      </c>
      <c r="I7657" s="380" t="s">
        <v>788</v>
      </c>
      <c r="J7657" s="380" t="s">
        <v>773</v>
      </c>
      <c r="K7657" s="381">
        <v>3035.0</v>
      </c>
      <c r="L7657" s="382">
        <v>1.0</v>
      </c>
    </row>
    <row r="7658">
      <c r="A7658" s="380" t="s">
        <v>8532</v>
      </c>
      <c r="B7658" s="380" t="str">
        <f>IFERROR(__xludf.DUMMYFUNCTION("""COMPUTED_VALUE"""),"Correa Alternador Internatio 1841563 C1")</f>
        <v>Correa Alternador Internatio 1841563 C1</v>
      </c>
      <c r="C7658" s="380" t="str">
        <f>IFERROR(__xludf.DUMMYFUNCTION("""COMPUTED_VALUE"""),"70003072")</f>
        <v>70003072</v>
      </c>
      <c r="D7658" s="380" t="s">
        <v>767</v>
      </c>
      <c r="E7658" s="380" t="s">
        <v>786</v>
      </c>
      <c r="F7658" s="380" t="s">
        <v>787</v>
      </c>
      <c r="G7658" s="380" t="s">
        <v>1267</v>
      </c>
      <c r="H7658" s="380" t="s">
        <v>771</v>
      </c>
      <c r="I7658" s="380" t="s">
        <v>788</v>
      </c>
      <c r="J7658" s="380" t="s">
        <v>773</v>
      </c>
      <c r="K7658" s="381">
        <v>0.0</v>
      </c>
      <c r="L7658" s="382">
        <v>1.0</v>
      </c>
    </row>
    <row r="7659">
      <c r="A7659" s="380" t="s">
        <v>8533</v>
      </c>
      <c r="B7659" s="380" t="str">
        <f>IFERROR(__xludf.DUMMYFUNCTION("""COMPUTED_VALUE"""),"DEP Recuperacion Agua RAD S C 1793180001")</f>
        <v>DEP Recuperacion Agua RAD S C 1793180001</v>
      </c>
      <c r="C7659" s="380" t="str">
        <f>IFERROR(__xludf.DUMMYFUNCTION("""COMPUTED_VALUE"""),"70003073")</f>
        <v>70003073</v>
      </c>
      <c r="D7659" s="380" t="s">
        <v>767</v>
      </c>
      <c r="E7659" s="380" t="s">
        <v>786</v>
      </c>
      <c r="F7659" s="380" t="s">
        <v>787</v>
      </c>
      <c r="G7659" s="380" t="s">
        <v>1267</v>
      </c>
      <c r="H7659" s="380" t="s">
        <v>771</v>
      </c>
      <c r="I7659" s="380" t="s">
        <v>788</v>
      </c>
      <c r="J7659" s="380" t="s">
        <v>773</v>
      </c>
      <c r="K7659" s="381">
        <v>0.0</v>
      </c>
      <c r="L7659" s="382">
        <v>1.0</v>
      </c>
    </row>
    <row r="7660">
      <c r="A7660" s="380" t="s">
        <v>8534</v>
      </c>
      <c r="B7660" s="380" t="str">
        <f>IFERROR(__xludf.DUMMYFUNCTION("""COMPUTED_VALUE"""),"Abrazadera MANG AIR EGL 1517672c91")</f>
        <v>Abrazadera MANG AIR EGL 1517672c91</v>
      </c>
      <c r="C7660" s="380" t="str">
        <f>IFERROR(__xludf.DUMMYFUNCTION("""COMPUTED_VALUE"""),"70003074")</f>
        <v>70003074</v>
      </c>
      <c r="D7660" s="380" t="s">
        <v>767</v>
      </c>
      <c r="E7660" s="380" t="s">
        <v>786</v>
      </c>
      <c r="F7660" s="380" t="s">
        <v>787</v>
      </c>
      <c r="G7660" s="380" t="s">
        <v>1267</v>
      </c>
      <c r="H7660" s="380" t="s">
        <v>771</v>
      </c>
      <c r="I7660" s="380" t="s">
        <v>788</v>
      </c>
      <c r="J7660" s="380" t="s">
        <v>773</v>
      </c>
      <c r="K7660" s="381">
        <v>0.0</v>
      </c>
      <c r="L7660" s="382">
        <v>1.0</v>
      </c>
    </row>
    <row r="7661">
      <c r="A7661" s="380" t="s">
        <v>8535</v>
      </c>
      <c r="B7661" s="380" t="str">
        <f>IFERROR(__xludf.DUMMYFUNCTION("""COMPUTED_VALUE"""),"VALV Silla AIR Alta Presion Ro 2505475c1")</f>
        <v>VALV Silla AIR Alta Presion Ro 2505475c1</v>
      </c>
      <c r="C7661" s="380" t="str">
        <f>IFERROR(__xludf.DUMMYFUNCTION("""COMPUTED_VALUE"""),"70003075")</f>
        <v>70003075</v>
      </c>
      <c r="D7661" s="380" t="s">
        <v>767</v>
      </c>
      <c r="E7661" s="380" t="s">
        <v>786</v>
      </c>
      <c r="F7661" s="380" t="s">
        <v>792</v>
      </c>
      <c r="G7661" s="380" t="s">
        <v>1267</v>
      </c>
      <c r="H7661" s="380" t="s">
        <v>771</v>
      </c>
      <c r="I7661" s="380" t="s">
        <v>788</v>
      </c>
      <c r="J7661" s="380" t="s">
        <v>773</v>
      </c>
      <c r="K7661" s="381">
        <v>0.0</v>
      </c>
      <c r="L7661" s="382">
        <v>1.0</v>
      </c>
    </row>
    <row r="7662">
      <c r="A7662" s="380" t="s">
        <v>8536</v>
      </c>
      <c r="B7662" s="380" t="str">
        <f>IFERROR(__xludf.DUMMYFUNCTION("""COMPUTED_VALUE"""),"Balinera Motor Arranque Nhr 638 2rs")</f>
        <v>Balinera Motor Arranque Nhr 638 2rs</v>
      </c>
      <c r="C7662" s="380" t="str">
        <f>IFERROR(__xludf.DUMMYFUNCTION("""COMPUTED_VALUE"""),"70003076")</f>
        <v>70003076</v>
      </c>
      <c r="D7662" s="380" t="s">
        <v>767</v>
      </c>
      <c r="E7662" s="380" t="s">
        <v>786</v>
      </c>
      <c r="F7662" s="380" t="s">
        <v>998</v>
      </c>
      <c r="G7662" s="380" t="s">
        <v>1267</v>
      </c>
      <c r="H7662" s="380" t="s">
        <v>771</v>
      </c>
      <c r="I7662" s="380" t="s">
        <v>788</v>
      </c>
      <c r="J7662" s="380" t="s">
        <v>773</v>
      </c>
      <c r="K7662" s="381">
        <v>13936.0</v>
      </c>
      <c r="L7662" s="382">
        <v>1.0</v>
      </c>
    </row>
    <row r="7663">
      <c r="A7663" s="380" t="s">
        <v>8537</v>
      </c>
      <c r="B7663" s="380" t="str">
        <f>IFERROR(__xludf.DUMMYFUNCTION("""COMPUTED_VALUE"""),"SOP Montaje CAB Der Nkr-Nhr 8970333485")</f>
        <v>SOP Montaje CAB Der Nkr-Nhr 8970333485</v>
      </c>
      <c r="C7663" s="380" t="str">
        <f>IFERROR(__xludf.DUMMYFUNCTION("""COMPUTED_VALUE"""),"70003077")</f>
        <v>70003077</v>
      </c>
      <c r="D7663" s="380" t="s">
        <v>767</v>
      </c>
      <c r="E7663" s="380" t="s">
        <v>786</v>
      </c>
      <c r="F7663" s="380" t="s">
        <v>792</v>
      </c>
      <c r="G7663" s="380" t="s">
        <v>1267</v>
      </c>
      <c r="H7663" s="380" t="s">
        <v>771</v>
      </c>
      <c r="I7663" s="380" t="s">
        <v>788</v>
      </c>
      <c r="J7663" s="380" t="s">
        <v>773</v>
      </c>
      <c r="K7663" s="381">
        <v>0.0</v>
      </c>
      <c r="L7663" s="382">
        <v>1.0</v>
      </c>
    </row>
    <row r="7664">
      <c r="A7664" s="380" t="s">
        <v>8538</v>
      </c>
      <c r="B7664" s="380" t="str">
        <f>IFERROR(__xludf.DUMMYFUNCTION("""COMPUTED_VALUE"""),"SOP Montaje CAB Izq Nkr-Nhr 8970333503")</f>
        <v>SOP Montaje CAB Izq Nkr-Nhr 8970333503</v>
      </c>
      <c r="C7664" s="380" t="str">
        <f>IFERROR(__xludf.DUMMYFUNCTION("""COMPUTED_VALUE"""),"70003078")</f>
        <v>70003078</v>
      </c>
      <c r="D7664" s="380" t="s">
        <v>767</v>
      </c>
      <c r="E7664" s="380" t="s">
        <v>786</v>
      </c>
      <c r="F7664" s="380" t="s">
        <v>792</v>
      </c>
      <c r="G7664" s="380" t="s">
        <v>1267</v>
      </c>
      <c r="H7664" s="380" t="s">
        <v>771</v>
      </c>
      <c r="I7664" s="380" t="s">
        <v>788</v>
      </c>
      <c r="J7664" s="380" t="s">
        <v>773</v>
      </c>
      <c r="K7664" s="381">
        <v>0.0</v>
      </c>
      <c r="L7664" s="382">
        <v>1.0</v>
      </c>
    </row>
    <row r="7665">
      <c r="A7665" s="380" t="s">
        <v>8539</v>
      </c>
      <c r="B7665" s="380" t="str">
        <f>IFERROR(__xludf.DUMMYFUNCTION("""COMPUTED_VALUE"""),"Hoja Resorte Del Npr 22916/4")</f>
        <v>Hoja Resorte Del Npr 22916/4</v>
      </c>
      <c r="C7665" s="380" t="str">
        <f>IFERROR(__xludf.DUMMYFUNCTION("""COMPUTED_VALUE"""),"70003079")</f>
        <v>70003079</v>
      </c>
      <c r="D7665" s="380" t="s">
        <v>767</v>
      </c>
      <c r="E7665" s="380" t="s">
        <v>786</v>
      </c>
      <c r="F7665" s="380" t="s">
        <v>1039</v>
      </c>
      <c r="G7665" s="380" t="s">
        <v>1267</v>
      </c>
      <c r="H7665" s="380" t="s">
        <v>771</v>
      </c>
      <c r="I7665" s="380" t="s">
        <v>788</v>
      </c>
      <c r="J7665" s="380" t="s">
        <v>773</v>
      </c>
      <c r="K7665" s="381">
        <v>0.0</v>
      </c>
      <c r="L7665" s="382">
        <v>1.0</v>
      </c>
    </row>
    <row r="7666">
      <c r="A7666" s="380" t="s">
        <v>8540</v>
      </c>
      <c r="B7666" s="380" t="str">
        <f>IFERROR(__xludf.DUMMYFUNCTION("""COMPUTED_VALUE"""),"Slipper Pad Prostar Hendricks Hd47905000")</f>
        <v>Slipper Pad Prostar Hendricks Hd47905000</v>
      </c>
      <c r="C7666" s="380" t="str">
        <f>IFERROR(__xludf.DUMMYFUNCTION("""COMPUTED_VALUE"""),"70003080")</f>
        <v>70003080</v>
      </c>
      <c r="D7666" s="380" t="s">
        <v>767</v>
      </c>
      <c r="E7666" s="380" t="s">
        <v>786</v>
      </c>
      <c r="F7666" s="380" t="s">
        <v>1039</v>
      </c>
      <c r="G7666" s="380" t="s">
        <v>1267</v>
      </c>
      <c r="H7666" s="380" t="s">
        <v>771</v>
      </c>
      <c r="I7666" s="380" t="s">
        <v>788</v>
      </c>
      <c r="J7666" s="380" t="s">
        <v>773</v>
      </c>
      <c r="K7666" s="381">
        <v>0.0</v>
      </c>
      <c r="L7666" s="382">
        <v>1.0</v>
      </c>
    </row>
    <row r="7667">
      <c r="A7667" s="380" t="s">
        <v>8541</v>
      </c>
      <c r="B7667" s="380" t="str">
        <f>IFERROR(__xludf.DUMMYFUNCTION("""COMPUTED_VALUE"""),"Juego Casquetes Bancada Std H S117012420")</f>
        <v>Juego Casquetes Bancada Std H S117012420</v>
      </c>
      <c r="C7667" s="380" t="str">
        <f>IFERROR(__xludf.DUMMYFUNCTION("""COMPUTED_VALUE"""),"70003081")</f>
        <v>70003081</v>
      </c>
      <c r="D7667" s="380" t="s">
        <v>767</v>
      </c>
      <c r="E7667" s="380" t="s">
        <v>786</v>
      </c>
      <c r="F7667" s="380" t="s">
        <v>787</v>
      </c>
      <c r="G7667" s="380" t="s">
        <v>1267</v>
      </c>
      <c r="H7667" s="380" t="s">
        <v>771</v>
      </c>
      <c r="I7667" s="380" t="s">
        <v>788</v>
      </c>
      <c r="J7667" s="380" t="s">
        <v>773</v>
      </c>
      <c r="K7667" s="381">
        <v>527616.0</v>
      </c>
      <c r="L7667" s="382">
        <v>1.0</v>
      </c>
    </row>
    <row r="7668">
      <c r="A7668" s="380" t="s">
        <v>8542</v>
      </c>
      <c r="B7668" s="380" t="str">
        <f>IFERROR(__xludf.DUMMYFUNCTION("""COMPUTED_VALUE"""),"Conjunto Sincronizador 5/6 Jac 1120 6ds5")</f>
        <v>Conjunto Sincronizador 5/6 Jac 1120 6ds5</v>
      </c>
      <c r="C7668" s="380" t="str">
        <f>IFERROR(__xludf.DUMMYFUNCTION("""COMPUTED_VALUE"""),"70003082")</f>
        <v>70003082</v>
      </c>
      <c r="D7668" s="380" t="s">
        <v>767</v>
      </c>
      <c r="E7668" s="380" t="s">
        <v>786</v>
      </c>
      <c r="F7668" s="380" t="s">
        <v>928</v>
      </c>
      <c r="G7668" s="380" t="s">
        <v>1267</v>
      </c>
      <c r="H7668" s="380" t="s">
        <v>771</v>
      </c>
      <c r="I7668" s="380" t="s">
        <v>788</v>
      </c>
      <c r="J7668" s="380" t="s">
        <v>773</v>
      </c>
      <c r="K7668" s="381">
        <v>0.0</v>
      </c>
      <c r="L7668" s="382">
        <v>1.0</v>
      </c>
    </row>
    <row r="7669">
      <c r="A7669" s="380" t="s">
        <v>8543</v>
      </c>
      <c r="B7669" s="380" t="str">
        <f>IFERROR(__xludf.DUMMYFUNCTION("""COMPUTED_VALUE"""),"Suiche Ajuste Espejos Prostar")</f>
        <v>Suiche Ajuste Espejos Prostar</v>
      </c>
      <c r="C7669" s="380" t="str">
        <f>IFERROR(__xludf.DUMMYFUNCTION("""COMPUTED_VALUE"""),"70003083")</f>
        <v>70003083</v>
      </c>
      <c r="D7669" s="380" t="s">
        <v>767</v>
      </c>
      <c r="E7669" s="380" t="s">
        <v>786</v>
      </c>
      <c r="F7669" s="380" t="s">
        <v>998</v>
      </c>
      <c r="G7669" s="380" t="s">
        <v>1267</v>
      </c>
      <c r="H7669" s="380" t="s">
        <v>771</v>
      </c>
      <c r="I7669" s="380" t="s">
        <v>788</v>
      </c>
      <c r="J7669" s="380" t="s">
        <v>773</v>
      </c>
      <c r="K7669" s="381">
        <v>0.0</v>
      </c>
      <c r="L7669" s="382">
        <v>1.0</v>
      </c>
    </row>
    <row r="7670">
      <c r="A7670" s="380" t="s">
        <v>8544</v>
      </c>
      <c r="B7670" s="380" t="str">
        <f>IFERROR(__xludf.DUMMYFUNCTION("""COMPUTED_VALUE"""),"Bocel Pisa Alfombra Izq Nhr 8942622430")</f>
        <v>Bocel Pisa Alfombra Izq Nhr 8942622430</v>
      </c>
      <c r="C7670" s="380" t="str">
        <f>IFERROR(__xludf.DUMMYFUNCTION("""COMPUTED_VALUE"""),"70003084")</f>
        <v>70003084</v>
      </c>
      <c r="D7670" s="380" t="s">
        <v>767</v>
      </c>
      <c r="E7670" s="380" t="s">
        <v>786</v>
      </c>
      <c r="F7670" s="380" t="s">
        <v>792</v>
      </c>
      <c r="G7670" s="380" t="s">
        <v>1267</v>
      </c>
      <c r="H7670" s="380" t="s">
        <v>771</v>
      </c>
      <c r="I7670" s="380" t="s">
        <v>788</v>
      </c>
      <c r="J7670" s="380" t="s">
        <v>773</v>
      </c>
      <c r="K7670" s="381">
        <v>0.0</v>
      </c>
      <c r="L7670" s="382">
        <v>1.0</v>
      </c>
    </row>
    <row r="7671">
      <c r="A7671" s="380" t="s">
        <v>8545</v>
      </c>
      <c r="B7671" s="380" t="str">
        <f>IFERROR(__xludf.DUMMYFUNCTION("""COMPUTED_VALUE"""),"Percha Tras Trailer Inca Sof047001")</f>
        <v>Percha Tras Trailer Inca Sof047001</v>
      </c>
      <c r="C7671" s="380" t="str">
        <f>IFERROR(__xludf.DUMMYFUNCTION("""COMPUTED_VALUE"""),"70003085")</f>
        <v>70003085</v>
      </c>
      <c r="D7671" s="380" t="s">
        <v>767</v>
      </c>
      <c r="E7671" s="380" t="s">
        <v>786</v>
      </c>
      <c r="F7671" s="380" t="s">
        <v>1039</v>
      </c>
      <c r="G7671" s="380" t="s">
        <v>1267</v>
      </c>
      <c r="H7671" s="380" t="s">
        <v>771</v>
      </c>
      <c r="I7671" s="380" t="s">
        <v>788</v>
      </c>
      <c r="J7671" s="380" t="s">
        <v>773</v>
      </c>
      <c r="K7671" s="381">
        <v>0.0</v>
      </c>
      <c r="L7671" s="382">
        <v>1.0</v>
      </c>
    </row>
    <row r="7672">
      <c r="A7672" s="380" t="s">
        <v>8546</v>
      </c>
      <c r="B7672" s="380" t="str">
        <f>IFERROR(__xludf.DUMMYFUNCTION("""COMPUTED_VALUE"""),"Chapeta Chasis9300-507387c1")</f>
        <v>Chapeta Chasis9300-507387c1</v>
      </c>
      <c r="C7672" s="380" t="str">
        <f>IFERROR(__xludf.DUMMYFUNCTION("""COMPUTED_VALUE"""),"70003086")</f>
        <v>70003086</v>
      </c>
      <c r="D7672" s="380" t="s">
        <v>767</v>
      </c>
      <c r="E7672" s="380" t="s">
        <v>786</v>
      </c>
      <c r="F7672" s="380" t="s">
        <v>792</v>
      </c>
      <c r="G7672" s="380" t="s">
        <v>1267</v>
      </c>
      <c r="H7672" s="380" t="s">
        <v>771</v>
      </c>
      <c r="I7672" s="380" t="s">
        <v>788</v>
      </c>
      <c r="J7672" s="380" t="s">
        <v>773</v>
      </c>
      <c r="K7672" s="381">
        <v>0.0</v>
      </c>
      <c r="L7672" s="382">
        <v>1.0</v>
      </c>
    </row>
    <row r="7673">
      <c r="A7673" s="380" t="s">
        <v>8547</v>
      </c>
      <c r="B7673" s="380" t="str">
        <f>IFERROR(__xludf.DUMMYFUNCTION("""COMPUTED_VALUE"""),"Clip Platina Cubierta Palanca 8970985230")</f>
        <v>Clip Platina Cubierta Palanca 8970985230</v>
      </c>
      <c r="C7673" s="380" t="str">
        <f>IFERROR(__xludf.DUMMYFUNCTION("""COMPUTED_VALUE"""),"70003087")</f>
        <v>70003087</v>
      </c>
      <c r="D7673" s="380" t="s">
        <v>767</v>
      </c>
      <c r="E7673" s="380" t="s">
        <v>786</v>
      </c>
      <c r="F7673" s="380" t="s">
        <v>792</v>
      </c>
      <c r="G7673" s="380" t="s">
        <v>1267</v>
      </c>
      <c r="H7673" s="380" t="s">
        <v>771</v>
      </c>
      <c r="I7673" s="380" t="s">
        <v>788</v>
      </c>
      <c r="J7673" s="380" t="s">
        <v>773</v>
      </c>
      <c r="K7673" s="381">
        <v>0.0</v>
      </c>
      <c r="L7673" s="382">
        <v>1.0</v>
      </c>
    </row>
    <row r="7674">
      <c r="A7674" s="380" t="s">
        <v>8548</v>
      </c>
      <c r="B7674" s="380" t="str">
        <f>IFERROR(__xludf.DUMMYFUNCTION("""COMPUTED_VALUE"""),"Grapa Muelle Trailer 7/8 3 17")</f>
        <v>Grapa Muelle Trailer 7/8 3 17</v>
      </c>
      <c r="C7674" s="380" t="str">
        <f>IFERROR(__xludf.DUMMYFUNCTION("""COMPUTED_VALUE"""),"70003088")</f>
        <v>70003088</v>
      </c>
      <c r="D7674" s="380" t="s">
        <v>767</v>
      </c>
      <c r="E7674" s="380" t="s">
        <v>786</v>
      </c>
      <c r="F7674" s="380" t="s">
        <v>1039</v>
      </c>
      <c r="G7674" s="380" t="s">
        <v>1267</v>
      </c>
      <c r="H7674" s="380" t="s">
        <v>771</v>
      </c>
      <c r="I7674" s="380" t="s">
        <v>788</v>
      </c>
      <c r="J7674" s="380" t="s">
        <v>773</v>
      </c>
      <c r="K7674" s="381">
        <v>61880.0</v>
      </c>
      <c r="L7674" s="382">
        <v>1.0</v>
      </c>
    </row>
    <row r="7675">
      <c r="A7675" s="380" t="s">
        <v>8549</v>
      </c>
      <c r="B7675" s="380" t="str">
        <f>IFERROR(__xludf.DUMMYFUNCTION("""COMPUTED_VALUE"""),"Grapa MUE TRL Con Tuerca 7/8x3x15""")</f>
        <v>Grapa MUE TRL Con Tuerca 7/8x3x15"</v>
      </c>
      <c r="C7675" s="380" t="str">
        <f>IFERROR(__xludf.DUMMYFUNCTION("""COMPUTED_VALUE"""),"70003089")</f>
        <v>70003089</v>
      </c>
      <c r="D7675" s="380" t="s">
        <v>767</v>
      </c>
      <c r="E7675" s="380" t="s">
        <v>786</v>
      </c>
      <c r="F7675" s="380" t="s">
        <v>1039</v>
      </c>
      <c r="G7675" s="380" t="s">
        <v>1267</v>
      </c>
      <c r="H7675" s="380" t="s">
        <v>771</v>
      </c>
      <c r="I7675" s="380" t="s">
        <v>788</v>
      </c>
      <c r="J7675" s="380" t="s">
        <v>773</v>
      </c>
      <c r="K7675" s="381">
        <v>0.0</v>
      </c>
      <c r="L7675" s="382">
        <v>1.0</v>
      </c>
    </row>
    <row r="7676">
      <c r="A7676" s="380" t="s">
        <v>8550</v>
      </c>
      <c r="B7676" s="380" t="str">
        <f>IFERROR(__xludf.DUMMYFUNCTION("""COMPUTED_VALUE"""),"Empaque Vidrio Trasero Cabina Hino 500")</f>
        <v>Empaque Vidrio Trasero Cabina Hino 500</v>
      </c>
      <c r="C7676" s="380" t="str">
        <f>IFERROR(__xludf.DUMMYFUNCTION("""COMPUTED_VALUE"""),"70003090")</f>
        <v>70003090</v>
      </c>
      <c r="D7676" s="380" t="s">
        <v>767</v>
      </c>
      <c r="E7676" s="380" t="s">
        <v>786</v>
      </c>
      <c r="F7676" s="380" t="s">
        <v>792</v>
      </c>
      <c r="G7676" s="380" t="s">
        <v>1267</v>
      </c>
      <c r="H7676" s="380" t="s">
        <v>771</v>
      </c>
      <c r="I7676" s="380" t="s">
        <v>788</v>
      </c>
      <c r="J7676" s="380" t="s">
        <v>773</v>
      </c>
      <c r="K7676" s="381">
        <v>0.0</v>
      </c>
      <c r="L7676" s="382">
        <v>1.0</v>
      </c>
    </row>
    <row r="7677">
      <c r="A7677" s="380" t="s">
        <v>8551</v>
      </c>
      <c r="B7677" s="380" t="str">
        <f>IFERROR(__xludf.DUMMYFUNCTION("""COMPUTED_VALUE"""),"Termostato Foton 1039 1023729376")</f>
        <v>Termostato Foton 1039 1023729376</v>
      </c>
      <c r="C7677" s="380" t="str">
        <f>IFERROR(__xludf.DUMMYFUNCTION("""COMPUTED_VALUE"""),"70003091")</f>
        <v>70003091</v>
      </c>
      <c r="D7677" s="380" t="s">
        <v>767</v>
      </c>
      <c r="E7677" s="380" t="s">
        <v>786</v>
      </c>
      <c r="F7677" s="380" t="s">
        <v>787</v>
      </c>
      <c r="G7677" s="380" t="s">
        <v>1267</v>
      </c>
      <c r="H7677" s="380" t="s">
        <v>771</v>
      </c>
      <c r="I7677" s="380" t="s">
        <v>788</v>
      </c>
      <c r="J7677" s="380" t="s">
        <v>773</v>
      </c>
      <c r="K7677" s="381">
        <v>0.0</v>
      </c>
      <c r="L7677" s="382">
        <v>1.0</v>
      </c>
    </row>
    <row r="7678">
      <c r="A7678" s="380" t="s">
        <v>8552</v>
      </c>
      <c r="B7678" s="380" t="str">
        <f>IFERROR(__xludf.DUMMYFUNCTION("""COMPUTED_VALUE"""),"Relay Luz Dia Mack Cxu 2330000524")</f>
        <v>Relay Luz Dia Mack Cxu 2330000524</v>
      </c>
      <c r="C7678" s="380" t="str">
        <f>IFERROR(__xludf.DUMMYFUNCTION("""COMPUTED_VALUE"""),"70003092")</f>
        <v>70003092</v>
      </c>
      <c r="D7678" s="380" t="s">
        <v>767</v>
      </c>
      <c r="E7678" s="380" t="s">
        <v>786</v>
      </c>
      <c r="F7678" s="380" t="s">
        <v>998</v>
      </c>
      <c r="G7678" s="380" t="s">
        <v>1267</v>
      </c>
      <c r="H7678" s="380" t="s">
        <v>771</v>
      </c>
      <c r="I7678" s="380" t="s">
        <v>788</v>
      </c>
      <c r="J7678" s="380" t="s">
        <v>773</v>
      </c>
      <c r="K7678" s="381">
        <v>0.0</v>
      </c>
      <c r="L7678" s="382">
        <v>1.0</v>
      </c>
    </row>
    <row r="7679">
      <c r="A7679" s="380" t="s">
        <v>8553</v>
      </c>
      <c r="B7679" s="380" t="str">
        <f>IFERROR(__xludf.DUMMYFUNCTION("""COMPUTED_VALUE"""),"Soporte Cardan Foton 1128 7705946948685")</f>
        <v>Soporte Cardan Foton 1128 7705946948685</v>
      </c>
      <c r="C7679" s="380" t="str">
        <f>IFERROR(__xludf.DUMMYFUNCTION("""COMPUTED_VALUE"""),"70003093")</f>
        <v>70003093</v>
      </c>
      <c r="D7679" s="380" t="s">
        <v>767</v>
      </c>
      <c r="E7679" s="380" t="s">
        <v>786</v>
      </c>
      <c r="F7679" s="380" t="s">
        <v>5683</v>
      </c>
      <c r="G7679" s="380" t="s">
        <v>1267</v>
      </c>
      <c r="H7679" s="380" t="s">
        <v>771</v>
      </c>
      <c r="I7679" s="380" t="s">
        <v>788</v>
      </c>
      <c r="J7679" s="380" t="s">
        <v>773</v>
      </c>
      <c r="K7679" s="381">
        <v>0.0</v>
      </c>
      <c r="L7679" s="382">
        <v>1.0</v>
      </c>
    </row>
    <row r="7680">
      <c r="A7680" s="380" t="s">
        <v>8554</v>
      </c>
      <c r="B7680" s="380" t="str">
        <f>IFERROR(__xludf.DUMMYFUNCTION("""COMPUTED_VALUE"""),"Tornillo Culata Motor N200 96416362")</f>
        <v>Tornillo Culata Motor N200 96416362</v>
      </c>
      <c r="C7680" s="380" t="str">
        <f>IFERROR(__xludf.DUMMYFUNCTION("""COMPUTED_VALUE"""),"70003094")</f>
        <v>70003094</v>
      </c>
      <c r="D7680" s="380" t="s">
        <v>767</v>
      </c>
      <c r="E7680" s="380" t="s">
        <v>786</v>
      </c>
      <c r="F7680" s="380" t="s">
        <v>787</v>
      </c>
      <c r="G7680" s="380" t="s">
        <v>1267</v>
      </c>
      <c r="H7680" s="380" t="s">
        <v>771</v>
      </c>
      <c r="I7680" s="380" t="s">
        <v>788</v>
      </c>
      <c r="J7680" s="380" t="s">
        <v>773</v>
      </c>
      <c r="K7680" s="381">
        <v>0.0</v>
      </c>
      <c r="L7680" s="382">
        <v>1.0</v>
      </c>
    </row>
    <row r="7681">
      <c r="A7681" s="380" t="s">
        <v>8555</v>
      </c>
      <c r="B7681" s="380" t="str">
        <f>IFERROR(__xludf.DUMMYFUNCTION("""COMPUTED_VALUE"""),"Espejo Retrovisor Con Con Desemp Zee356h")</f>
        <v>Espejo Retrovisor Con Con Desemp Zee356h</v>
      </c>
      <c r="C7681" s="380" t="str">
        <f>IFERROR(__xludf.DUMMYFUNCTION("""COMPUTED_VALUE"""),"70003095")</f>
        <v>70003095</v>
      </c>
      <c r="D7681" s="380" t="s">
        <v>767</v>
      </c>
      <c r="E7681" s="380" t="s">
        <v>786</v>
      </c>
      <c r="F7681" s="380" t="s">
        <v>792</v>
      </c>
      <c r="G7681" s="380" t="s">
        <v>1267</v>
      </c>
      <c r="H7681" s="380" t="s">
        <v>771</v>
      </c>
      <c r="I7681" s="380" t="s">
        <v>788</v>
      </c>
      <c r="J7681" s="380" t="s">
        <v>773</v>
      </c>
      <c r="K7681" s="381">
        <v>0.0</v>
      </c>
      <c r="L7681" s="382">
        <v>1.0</v>
      </c>
    </row>
    <row r="7682">
      <c r="A7682" s="380" t="s">
        <v>8556</v>
      </c>
      <c r="B7682" s="380" t="str">
        <f>IFERROR(__xludf.DUMMYFUNCTION("""COMPUTED_VALUE"""),"MANG Pres BMB Vacio Nkr-Nhr 8944436441")</f>
        <v>MANG Pres BMB Vacio Nkr-Nhr 8944436441</v>
      </c>
      <c r="C7682" s="380" t="str">
        <f>IFERROR(__xludf.DUMMYFUNCTION("""COMPUTED_VALUE"""),"70003096")</f>
        <v>70003096</v>
      </c>
      <c r="D7682" s="380" t="s">
        <v>767</v>
      </c>
      <c r="E7682" s="380" t="s">
        <v>786</v>
      </c>
      <c r="F7682" s="380" t="s">
        <v>787</v>
      </c>
      <c r="G7682" s="380" t="s">
        <v>1267</v>
      </c>
      <c r="H7682" s="380" t="s">
        <v>771</v>
      </c>
      <c r="I7682" s="380" t="s">
        <v>788</v>
      </c>
      <c r="J7682" s="380" t="s">
        <v>773</v>
      </c>
      <c r="K7682" s="381">
        <v>160486.0</v>
      </c>
      <c r="L7682" s="382">
        <v>1.0</v>
      </c>
    </row>
    <row r="7683">
      <c r="A7683" s="380" t="s">
        <v>8557</v>
      </c>
      <c r="B7683" s="380" t="str">
        <f>IFERROR(__xludf.DUMMYFUNCTION("""COMPUTED_VALUE"""),"FILT COMB Planta E Fleetguard Fs1280 Pla")</f>
        <v>FILT COMB Planta E Fleetguard Fs1280 Pla</v>
      </c>
      <c r="C7683" s="380" t="str">
        <f>IFERROR(__xludf.DUMMYFUNCTION("""COMPUTED_VALUE"""),"70003097")</f>
        <v>70003097</v>
      </c>
      <c r="D7683" s="380" t="s">
        <v>767</v>
      </c>
      <c r="E7683" s="380" t="s">
        <v>786</v>
      </c>
      <c r="F7683" s="380" t="s">
        <v>5855</v>
      </c>
      <c r="G7683" s="380" t="s">
        <v>1267</v>
      </c>
      <c r="H7683" s="380" t="s">
        <v>771</v>
      </c>
      <c r="I7683" s="380" t="s">
        <v>788</v>
      </c>
      <c r="J7683" s="380" t="s">
        <v>773</v>
      </c>
      <c r="K7683" s="381">
        <v>0.0</v>
      </c>
      <c r="L7683" s="382">
        <v>1.0</v>
      </c>
    </row>
    <row r="7684">
      <c r="A7684" s="380" t="s">
        <v>8558</v>
      </c>
      <c r="B7684" s="380" t="str">
        <f>IFERROR(__xludf.DUMMYFUNCTION("""COMPUTED_VALUE"""),"Acople Fijo Cardan (Oreja) Nhr-N 2284371")</f>
        <v>Acople Fijo Cardan (Oreja) Nhr-N 2284371</v>
      </c>
      <c r="C7684" s="380" t="str">
        <f>IFERROR(__xludf.DUMMYFUNCTION("""COMPUTED_VALUE"""),"70003098")</f>
        <v>70003098</v>
      </c>
      <c r="D7684" s="380" t="s">
        <v>767</v>
      </c>
      <c r="E7684" s="380" t="s">
        <v>786</v>
      </c>
      <c r="F7684" s="380" t="s">
        <v>5683</v>
      </c>
      <c r="G7684" s="380" t="s">
        <v>1267</v>
      </c>
      <c r="H7684" s="380" t="s">
        <v>771</v>
      </c>
      <c r="I7684" s="380" t="s">
        <v>788</v>
      </c>
      <c r="J7684" s="380" t="s">
        <v>773</v>
      </c>
      <c r="K7684" s="381">
        <v>0.0</v>
      </c>
      <c r="L7684" s="382">
        <v>1.0</v>
      </c>
    </row>
    <row r="7685">
      <c r="A7685" s="380" t="s">
        <v>8559</v>
      </c>
      <c r="B7685" s="380" t="str">
        <f>IFERROR(__xludf.DUMMYFUNCTION("""COMPUTED_VALUE"""),"Acople Brida Cardan Nhr-Nkr 2215191")</f>
        <v>Acople Brida Cardan Nhr-Nkr 2215191</v>
      </c>
      <c r="C7685" s="380" t="str">
        <f>IFERROR(__xludf.DUMMYFUNCTION("""COMPUTED_VALUE"""),"70003099")</f>
        <v>70003099</v>
      </c>
      <c r="D7685" s="380" t="s">
        <v>767</v>
      </c>
      <c r="E7685" s="380" t="s">
        <v>786</v>
      </c>
      <c r="F7685" s="380" t="s">
        <v>5683</v>
      </c>
      <c r="G7685" s="380" t="s">
        <v>1267</v>
      </c>
      <c r="H7685" s="380" t="s">
        <v>771</v>
      </c>
      <c r="I7685" s="380" t="s">
        <v>788</v>
      </c>
      <c r="J7685" s="380" t="s">
        <v>773</v>
      </c>
      <c r="K7685" s="381">
        <v>0.0</v>
      </c>
      <c r="L7685" s="382">
        <v>1.0</v>
      </c>
    </row>
    <row r="7686">
      <c r="A7686" s="380" t="s">
        <v>8560</v>
      </c>
      <c r="B7686" s="380" t="str">
        <f>IFERROR(__xludf.DUMMYFUNCTION("""COMPUTED_VALUE"""),"Amortiguador Tras Internatio 1667520 C1")</f>
        <v>Amortiguador Tras Internatio 1667520 C1</v>
      </c>
      <c r="C7686" s="380" t="str">
        <f>IFERROR(__xludf.DUMMYFUNCTION("""COMPUTED_VALUE"""),"70003100")</f>
        <v>70003100</v>
      </c>
      <c r="D7686" s="380" t="s">
        <v>767</v>
      </c>
      <c r="E7686" s="380" t="s">
        <v>786</v>
      </c>
      <c r="F7686" s="380" t="s">
        <v>1039</v>
      </c>
      <c r="G7686" s="380" t="s">
        <v>1267</v>
      </c>
      <c r="H7686" s="380" t="s">
        <v>771</v>
      </c>
      <c r="I7686" s="380" t="s">
        <v>788</v>
      </c>
      <c r="J7686" s="380" t="s">
        <v>773</v>
      </c>
      <c r="K7686" s="381">
        <v>275173.0</v>
      </c>
      <c r="L7686" s="382">
        <v>1.0</v>
      </c>
    </row>
    <row r="7687">
      <c r="A7687" s="380" t="s">
        <v>8561</v>
      </c>
      <c r="B7687" s="380" t="str">
        <f>IFERROR(__xludf.DUMMYFUNCTION("""COMPUTED_VALUE"""),"FILT COMB Paifander Nissan 16400 41 B")</f>
        <v>FILT COMB Paifander Nissan 16400 41 B</v>
      </c>
      <c r="C7687" s="380" t="str">
        <f>IFERROR(__xludf.DUMMYFUNCTION("""COMPUTED_VALUE"""),"70003101")</f>
        <v>70003101</v>
      </c>
      <c r="D7687" s="380" t="s">
        <v>767</v>
      </c>
      <c r="E7687" s="380" t="s">
        <v>786</v>
      </c>
      <c r="F7687" s="380" t="s">
        <v>5855</v>
      </c>
      <c r="G7687" s="380" t="s">
        <v>1267</v>
      </c>
      <c r="H7687" s="380" t="s">
        <v>771</v>
      </c>
      <c r="I7687" s="380" t="s">
        <v>788</v>
      </c>
      <c r="J7687" s="380" t="s">
        <v>773</v>
      </c>
      <c r="K7687" s="381">
        <v>0.0</v>
      </c>
      <c r="L7687" s="382">
        <v>1.0</v>
      </c>
    </row>
    <row r="7688">
      <c r="A7688" s="380" t="s">
        <v>8562</v>
      </c>
      <c r="B7688" s="380" t="str">
        <f>IFERROR(__xludf.DUMMYFUNCTION("""COMPUTED_VALUE"""),"CIL Freno Tras Der Nkr Sin Pu 8970786820")</f>
        <v>CIL Freno Tras Der Nkr Sin Pu 8970786820</v>
      </c>
      <c r="C7688" s="380" t="str">
        <f>IFERROR(__xludf.DUMMYFUNCTION("""COMPUTED_VALUE"""),"70003102")</f>
        <v>70003102</v>
      </c>
      <c r="D7688" s="380" t="s">
        <v>767</v>
      </c>
      <c r="E7688" s="380" t="s">
        <v>786</v>
      </c>
      <c r="F7688" s="380" t="s">
        <v>1017</v>
      </c>
      <c r="G7688" s="380" t="s">
        <v>1267</v>
      </c>
      <c r="H7688" s="380" t="s">
        <v>771</v>
      </c>
      <c r="I7688" s="380" t="s">
        <v>788</v>
      </c>
      <c r="J7688" s="380" t="s">
        <v>773</v>
      </c>
      <c r="K7688" s="381">
        <v>0.0</v>
      </c>
      <c r="L7688" s="382">
        <v>1.0</v>
      </c>
    </row>
    <row r="7689">
      <c r="A7689" s="380" t="s">
        <v>8563</v>
      </c>
      <c r="B7689" s="380" t="str">
        <f>IFERROR(__xludf.DUMMYFUNCTION("""COMPUTED_VALUE"""),"Leva Freno Tras Der Eagle 2210v7536")</f>
        <v>Leva Freno Tras Der Eagle 2210v7536</v>
      </c>
      <c r="C7689" s="380" t="str">
        <f>IFERROR(__xludf.DUMMYFUNCTION("""COMPUTED_VALUE"""),"70003103")</f>
        <v>70003103</v>
      </c>
      <c r="D7689" s="380" t="s">
        <v>767</v>
      </c>
      <c r="E7689" s="380" t="s">
        <v>786</v>
      </c>
      <c r="F7689" s="380" t="s">
        <v>1017</v>
      </c>
      <c r="G7689" s="380" t="s">
        <v>1267</v>
      </c>
      <c r="H7689" s="380" t="s">
        <v>771</v>
      </c>
      <c r="I7689" s="380" t="s">
        <v>788</v>
      </c>
      <c r="J7689" s="380" t="s">
        <v>773</v>
      </c>
      <c r="K7689" s="381">
        <v>149883.0</v>
      </c>
      <c r="L7689" s="382">
        <v>1.0</v>
      </c>
    </row>
    <row r="7690">
      <c r="A7690" s="380" t="s">
        <v>8564</v>
      </c>
      <c r="B7690" s="380" t="str">
        <f>IFERROR(__xludf.DUMMYFUNCTION("""COMPUTED_VALUE"""),"Buje Leva Tras Eagle Am1225c127")</f>
        <v>Buje Leva Tras Eagle Am1225c127</v>
      </c>
      <c r="C7690" s="380" t="str">
        <f>IFERROR(__xludf.DUMMYFUNCTION("""COMPUTED_VALUE"""),"70003104")</f>
        <v>70003104</v>
      </c>
      <c r="D7690" s="380" t="s">
        <v>767</v>
      </c>
      <c r="E7690" s="380" t="s">
        <v>786</v>
      </c>
      <c r="F7690" s="380" t="s">
        <v>1017</v>
      </c>
      <c r="G7690" s="380" t="s">
        <v>1267</v>
      </c>
      <c r="H7690" s="380" t="s">
        <v>771</v>
      </c>
      <c r="I7690" s="380" t="s">
        <v>788</v>
      </c>
      <c r="J7690" s="380" t="s">
        <v>773</v>
      </c>
      <c r="K7690" s="381">
        <v>3714.0</v>
      </c>
      <c r="L7690" s="382">
        <v>1.0</v>
      </c>
    </row>
    <row r="7691">
      <c r="A7691" s="380" t="s">
        <v>8565</v>
      </c>
      <c r="B7691" s="380" t="str">
        <f>IFERROR(__xludf.DUMMYFUNCTION("""COMPUTED_VALUE"""),"Soporte Espejo Izq Npr 8978562697")</f>
        <v>Soporte Espejo Izq Npr 8978562697</v>
      </c>
      <c r="C7691" s="380" t="str">
        <f>IFERROR(__xludf.DUMMYFUNCTION("""COMPUTED_VALUE"""),"70003105")</f>
        <v>70003105</v>
      </c>
      <c r="D7691" s="380" t="s">
        <v>767</v>
      </c>
      <c r="E7691" s="380" t="s">
        <v>786</v>
      </c>
      <c r="F7691" s="380" t="s">
        <v>792</v>
      </c>
      <c r="G7691" s="380" t="s">
        <v>1267</v>
      </c>
      <c r="H7691" s="380" t="s">
        <v>771</v>
      </c>
      <c r="I7691" s="380" t="s">
        <v>788</v>
      </c>
      <c r="J7691" s="380" t="s">
        <v>773</v>
      </c>
      <c r="K7691" s="381">
        <v>0.0</v>
      </c>
      <c r="L7691" s="382">
        <v>1.0</v>
      </c>
    </row>
    <row r="7692">
      <c r="A7692" s="380" t="s">
        <v>8566</v>
      </c>
      <c r="B7692" s="380" t="str">
        <f>IFERROR(__xludf.DUMMYFUNCTION("""COMPUTED_VALUE"""),"Cojin Conductor Hi")</f>
        <v>Cojin Conductor Hi</v>
      </c>
      <c r="C7692" s="380" t="str">
        <f>IFERROR(__xludf.DUMMYFUNCTION("""COMPUTED_VALUE"""),"70003106")</f>
        <v>70003106</v>
      </c>
      <c r="D7692" s="380" t="s">
        <v>767</v>
      </c>
      <c r="E7692" s="380" t="s">
        <v>786</v>
      </c>
      <c r="F7692" s="380" t="s">
        <v>5661</v>
      </c>
      <c r="G7692" s="380" t="s">
        <v>1267</v>
      </c>
      <c r="H7692" s="380" t="s">
        <v>771</v>
      </c>
      <c r="I7692" s="380" t="s">
        <v>788</v>
      </c>
      <c r="J7692" s="380" t="s">
        <v>773</v>
      </c>
      <c r="K7692" s="381">
        <v>0.0</v>
      </c>
      <c r="L7692" s="382">
        <v>1.0</v>
      </c>
    </row>
    <row r="7693">
      <c r="A7693" s="380" t="s">
        <v>8567</v>
      </c>
      <c r="B7693" s="380" t="str">
        <f>IFERROR(__xludf.DUMMYFUNCTION("""COMPUTED_VALUE"""),"Brazo Limpiabrisas Ftr 8980789741")</f>
        <v>Brazo Limpiabrisas Ftr 8980789741</v>
      </c>
      <c r="C7693" s="380" t="str">
        <f>IFERROR(__xludf.DUMMYFUNCTION("""COMPUTED_VALUE"""),"70003107")</f>
        <v>70003107</v>
      </c>
      <c r="D7693" s="380" t="s">
        <v>767</v>
      </c>
      <c r="E7693" s="380" t="s">
        <v>786</v>
      </c>
      <c r="F7693" s="380" t="s">
        <v>792</v>
      </c>
      <c r="G7693" s="380" t="s">
        <v>1267</v>
      </c>
      <c r="H7693" s="380" t="s">
        <v>771</v>
      </c>
      <c r="I7693" s="380" t="s">
        <v>788</v>
      </c>
      <c r="J7693" s="380" t="s">
        <v>773</v>
      </c>
      <c r="K7693" s="381">
        <v>0.0</v>
      </c>
      <c r="L7693" s="382">
        <v>1.0</v>
      </c>
    </row>
    <row r="7694">
      <c r="A7694" s="380" t="s">
        <v>8568</v>
      </c>
      <c r="B7694" s="380" t="str">
        <f>IFERROR(__xludf.DUMMYFUNCTION("""COMPUTED_VALUE"""),"Bomba Principal Embrague Npr 8971674060")</f>
        <v>Bomba Principal Embrague Npr 8971674060</v>
      </c>
      <c r="C7694" s="380" t="str">
        <f>IFERROR(__xludf.DUMMYFUNCTION("""COMPUTED_VALUE"""),"70003108")</f>
        <v>70003108</v>
      </c>
      <c r="D7694" s="380" t="s">
        <v>767</v>
      </c>
      <c r="E7694" s="380" t="s">
        <v>786</v>
      </c>
      <c r="F7694" s="380" t="s">
        <v>5661</v>
      </c>
      <c r="G7694" s="380" t="s">
        <v>1267</v>
      </c>
      <c r="H7694" s="380" t="s">
        <v>771</v>
      </c>
      <c r="I7694" s="380" t="s">
        <v>788</v>
      </c>
      <c r="J7694" s="380" t="s">
        <v>773</v>
      </c>
      <c r="K7694" s="381">
        <v>0.0</v>
      </c>
      <c r="L7694" s="382">
        <v>1.0</v>
      </c>
    </row>
    <row r="7695">
      <c r="A7695" s="380" t="s">
        <v>8569</v>
      </c>
      <c r="B7695" s="380" t="str">
        <f>IFERROR(__xludf.DUMMYFUNCTION("""COMPUTED_VALUE"""),"Switch Freno Motr Eagle 2007308c1")</f>
        <v>Switch Freno Motr Eagle 2007308c1</v>
      </c>
      <c r="C7695" s="380" t="str">
        <f>IFERROR(__xludf.DUMMYFUNCTION("""COMPUTED_VALUE"""),"70003109")</f>
        <v>70003109</v>
      </c>
      <c r="D7695" s="380" t="s">
        <v>767</v>
      </c>
      <c r="E7695" s="380" t="s">
        <v>786</v>
      </c>
      <c r="F7695" s="380" t="s">
        <v>787</v>
      </c>
      <c r="G7695" s="380" t="s">
        <v>1267</v>
      </c>
      <c r="H7695" s="380" t="s">
        <v>771</v>
      </c>
      <c r="I7695" s="380" t="s">
        <v>788</v>
      </c>
      <c r="J7695" s="380" t="s">
        <v>773</v>
      </c>
      <c r="K7695" s="381">
        <v>0.0</v>
      </c>
      <c r="L7695" s="382">
        <v>1.0</v>
      </c>
    </row>
    <row r="7696">
      <c r="A7696" s="380" t="s">
        <v>8570</v>
      </c>
      <c r="B7696" s="380" t="str">
        <f>IFERROR(__xludf.DUMMYFUNCTION("""COMPUTED_VALUE"""),"Manija Completa INTna PTA Der VW 21976")</f>
        <v>Manija Completa INTna PTA Der VW 21976</v>
      </c>
      <c r="C7696" s="380" t="str">
        <f>IFERROR(__xludf.DUMMYFUNCTION("""COMPUTED_VALUE"""),"70003110")</f>
        <v>70003110</v>
      </c>
      <c r="D7696" s="380" t="s">
        <v>767</v>
      </c>
      <c r="E7696" s="380" t="s">
        <v>786</v>
      </c>
      <c r="F7696" s="380" t="s">
        <v>792</v>
      </c>
      <c r="G7696" s="380" t="s">
        <v>1267</v>
      </c>
      <c r="H7696" s="380" t="s">
        <v>771</v>
      </c>
      <c r="I7696" s="380" t="s">
        <v>788</v>
      </c>
      <c r="J7696" s="380" t="s">
        <v>773</v>
      </c>
      <c r="K7696" s="381">
        <v>0.0</v>
      </c>
      <c r="L7696" s="382">
        <v>1.0</v>
      </c>
    </row>
    <row r="7697">
      <c r="A7697" s="380" t="s">
        <v>8571</v>
      </c>
      <c r="B7697" s="380" t="str">
        <f>IFERROR(__xludf.DUMMYFUNCTION("""COMPUTED_VALUE"""),"Guaya Acelerador Npr 8971224942")</f>
        <v>Guaya Acelerador Npr 8971224942</v>
      </c>
      <c r="C7697" s="380" t="str">
        <f>IFERROR(__xludf.DUMMYFUNCTION("""COMPUTED_VALUE"""),"70003111")</f>
        <v>70003111</v>
      </c>
      <c r="D7697" s="380" t="s">
        <v>767</v>
      </c>
      <c r="E7697" s="380" t="s">
        <v>786</v>
      </c>
      <c r="F7697" s="380" t="s">
        <v>787</v>
      </c>
      <c r="G7697" s="380" t="s">
        <v>1267</v>
      </c>
      <c r="H7697" s="380" t="s">
        <v>771</v>
      </c>
      <c r="I7697" s="380" t="s">
        <v>788</v>
      </c>
      <c r="J7697" s="380" t="s">
        <v>773</v>
      </c>
      <c r="K7697" s="381">
        <v>0.0</v>
      </c>
      <c r="L7697" s="382">
        <v>1.0</v>
      </c>
    </row>
    <row r="7698">
      <c r="A7698" s="380" t="s">
        <v>8572</v>
      </c>
      <c r="B7698" s="380" t="str">
        <f>IFERROR(__xludf.DUMMYFUNCTION("""COMPUTED_VALUE"""),"Codo Der Cromado KW 18014764cp")</f>
        <v>Codo Der Cromado KW 18014764cp</v>
      </c>
      <c r="C7698" s="380" t="str">
        <f>IFERROR(__xludf.DUMMYFUNCTION("""COMPUTED_VALUE"""),"70003112")</f>
        <v>70003112</v>
      </c>
      <c r="D7698" s="380" t="s">
        <v>767</v>
      </c>
      <c r="E7698" s="380" t="s">
        <v>786</v>
      </c>
      <c r="F7698" s="380" t="s">
        <v>792</v>
      </c>
      <c r="G7698" s="380" t="s">
        <v>1267</v>
      </c>
      <c r="H7698" s="380" t="s">
        <v>771</v>
      </c>
      <c r="I7698" s="380" t="s">
        <v>788</v>
      </c>
      <c r="J7698" s="380" t="s">
        <v>773</v>
      </c>
      <c r="K7698" s="381">
        <v>0.0</v>
      </c>
      <c r="L7698" s="382">
        <v>1.0</v>
      </c>
    </row>
    <row r="7699">
      <c r="A7699" s="380" t="s">
        <v>8573</v>
      </c>
      <c r="B7699" s="380" t="str">
        <f>IFERROR(__xludf.DUMMYFUNCTION("""COMPUTED_VALUE"""),"Amortiguad Amortiguador Del. Suzuki Fr80")</f>
        <v>Amortiguad Amortiguador Del. Suzuki Fr80</v>
      </c>
      <c r="C7699" s="380" t="str">
        <f>IFERROR(__xludf.DUMMYFUNCTION("""COMPUTED_VALUE"""),"70003113")</f>
        <v>70003113</v>
      </c>
      <c r="D7699" s="380" t="s">
        <v>767</v>
      </c>
      <c r="E7699" s="380" t="s">
        <v>786</v>
      </c>
      <c r="F7699" s="380" t="s">
        <v>1039</v>
      </c>
      <c r="G7699" s="380" t="s">
        <v>1267</v>
      </c>
      <c r="H7699" s="380" t="s">
        <v>771</v>
      </c>
      <c r="I7699" s="380" t="s">
        <v>788</v>
      </c>
      <c r="J7699" s="380" t="s">
        <v>773</v>
      </c>
      <c r="K7699" s="381">
        <v>0.0</v>
      </c>
      <c r="L7699" s="382">
        <v>1.0</v>
      </c>
    </row>
    <row r="7700">
      <c r="A7700" s="380" t="s">
        <v>8574</v>
      </c>
      <c r="B7700" s="380" t="str">
        <f>IFERROR(__xludf.DUMMYFUNCTION("""COMPUTED_VALUE"""),"Oring Tapa Arranque Akt 125")</f>
        <v>Oring Tapa Arranque Akt 125</v>
      </c>
      <c r="C7700" s="380" t="str">
        <f>IFERROR(__xludf.DUMMYFUNCTION("""COMPUTED_VALUE"""),"70003114")</f>
        <v>70003114</v>
      </c>
      <c r="D7700" s="380" t="s">
        <v>767</v>
      </c>
      <c r="E7700" s="380" t="s">
        <v>786</v>
      </c>
      <c r="F7700" s="380" t="s">
        <v>998</v>
      </c>
      <c r="G7700" s="380" t="s">
        <v>1267</v>
      </c>
      <c r="H7700" s="380" t="s">
        <v>771</v>
      </c>
      <c r="I7700" s="380" t="s">
        <v>788</v>
      </c>
      <c r="J7700" s="380" t="s">
        <v>773</v>
      </c>
      <c r="K7700" s="381">
        <v>0.0</v>
      </c>
      <c r="L7700" s="382">
        <v>1.0</v>
      </c>
    </row>
    <row r="7701">
      <c r="A7701" s="380" t="s">
        <v>8575</v>
      </c>
      <c r="B7701" s="380" t="str">
        <f>IFERROR(__xludf.DUMMYFUNCTION("""COMPUTED_VALUE"""),"Rodamiento Eje Tras Volswaguen 3920/3982")</f>
        <v>Rodamiento Eje Tras Volswaguen 3920/3982</v>
      </c>
      <c r="C7701" s="380" t="str">
        <f>IFERROR(__xludf.DUMMYFUNCTION("""COMPUTED_VALUE"""),"70003115")</f>
        <v>70003115</v>
      </c>
      <c r="D7701" s="380" t="s">
        <v>767</v>
      </c>
      <c r="E7701" s="380" t="s">
        <v>786</v>
      </c>
      <c r="F7701" s="380" t="s">
        <v>1039</v>
      </c>
      <c r="G7701" s="380" t="s">
        <v>1267</v>
      </c>
      <c r="H7701" s="380" t="s">
        <v>771</v>
      </c>
      <c r="I7701" s="380" t="s">
        <v>788</v>
      </c>
      <c r="J7701" s="380" t="s">
        <v>773</v>
      </c>
      <c r="K7701" s="381">
        <v>0.0</v>
      </c>
      <c r="L7701" s="382">
        <v>1.0</v>
      </c>
    </row>
    <row r="7702">
      <c r="A7702" s="380" t="s">
        <v>8576</v>
      </c>
      <c r="B7702" s="380" t="str">
        <f>IFERROR(__xludf.DUMMYFUNCTION("""COMPUTED_VALUE"""),"Hoja Resorte Delantera Eagle 2sv")</f>
        <v>Hoja Resorte Delantera Eagle 2sv</v>
      </c>
      <c r="C7702" s="380" t="str">
        <f>IFERROR(__xludf.DUMMYFUNCTION("""COMPUTED_VALUE"""),"70003116")</f>
        <v>70003116</v>
      </c>
      <c r="D7702" s="380" t="s">
        <v>767</v>
      </c>
      <c r="E7702" s="380" t="s">
        <v>786</v>
      </c>
      <c r="F7702" s="380" t="s">
        <v>1039</v>
      </c>
      <c r="G7702" s="380" t="s">
        <v>1267</v>
      </c>
      <c r="H7702" s="380" t="s">
        <v>771</v>
      </c>
      <c r="I7702" s="380" t="s">
        <v>788</v>
      </c>
      <c r="J7702" s="380" t="s">
        <v>773</v>
      </c>
      <c r="K7702" s="381">
        <v>0.0</v>
      </c>
      <c r="L7702" s="382">
        <v>1.0</v>
      </c>
    </row>
    <row r="7703">
      <c r="A7703" s="380" t="s">
        <v>8577</v>
      </c>
      <c r="B7703" s="380" t="str">
        <f>IFERROR(__xludf.DUMMYFUNCTION("""COMPUTED_VALUE"""),"Tornillo Graduacion VALV Npr 8943675262")</f>
        <v>Tornillo Graduacion VALV Npr 8943675262</v>
      </c>
      <c r="C7703" s="380" t="str">
        <f>IFERROR(__xludf.DUMMYFUNCTION("""COMPUTED_VALUE"""),"70003117")</f>
        <v>70003117</v>
      </c>
      <c r="D7703" s="380" t="s">
        <v>767</v>
      </c>
      <c r="E7703" s="380" t="s">
        <v>786</v>
      </c>
      <c r="F7703" s="380" t="s">
        <v>787</v>
      </c>
      <c r="G7703" s="380" t="s">
        <v>1267</v>
      </c>
      <c r="H7703" s="380" t="s">
        <v>771</v>
      </c>
      <c r="I7703" s="380" t="s">
        <v>788</v>
      </c>
      <c r="J7703" s="380" t="s">
        <v>773</v>
      </c>
      <c r="K7703" s="381">
        <v>0.0</v>
      </c>
      <c r="L7703" s="382">
        <v>1.0</v>
      </c>
    </row>
    <row r="7704">
      <c r="A7704" s="380" t="s">
        <v>8578</v>
      </c>
      <c r="B7704" s="380" t="str">
        <f>IFERROR(__xludf.DUMMYFUNCTION("""COMPUTED_VALUE"""),"EMP Metalico Distrib Nh Isuzu 8971294271")</f>
        <v>EMP Metalico Distrib Nh Isuzu 8971294271</v>
      </c>
      <c r="C7704" s="380" t="str">
        <f>IFERROR(__xludf.DUMMYFUNCTION("""COMPUTED_VALUE"""),"70003118")</f>
        <v>70003118</v>
      </c>
      <c r="D7704" s="380" t="s">
        <v>767</v>
      </c>
      <c r="E7704" s="380" t="s">
        <v>786</v>
      </c>
      <c r="F7704" s="380" t="s">
        <v>787</v>
      </c>
      <c r="G7704" s="380" t="s">
        <v>1267</v>
      </c>
      <c r="H7704" s="380" t="s">
        <v>771</v>
      </c>
      <c r="I7704" s="380" t="s">
        <v>788</v>
      </c>
      <c r="J7704" s="380" t="s">
        <v>773</v>
      </c>
      <c r="K7704" s="381">
        <v>0.0</v>
      </c>
      <c r="L7704" s="382">
        <v>1.0</v>
      </c>
    </row>
    <row r="7705">
      <c r="A7705" s="380" t="s">
        <v>8579</v>
      </c>
      <c r="B7705" s="380" t="str">
        <f>IFERROR(__xludf.DUMMYFUNCTION("""COMPUTED_VALUE"""),"Hoja Resorte Del KWh 59400/3")</f>
        <v>Hoja Resorte Del KWh 59400/3</v>
      </c>
      <c r="C7705" s="380" t="str">
        <f>IFERROR(__xludf.DUMMYFUNCTION("""COMPUTED_VALUE"""),"70003119")</f>
        <v>70003119</v>
      </c>
      <c r="D7705" s="380" t="s">
        <v>767</v>
      </c>
      <c r="E7705" s="380" t="s">
        <v>786</v>
      </c>
      <c r="F7705" s="380" t="s">
        <v>1039</v>
      </c>
      <c r="G7705" s="380" t="s">
        <v>1267</v>
      </c>
      <c r="H7705" s="380" t="s">
        <v>771</v>
      </c>
      <c r="I7705" s="380" t="s">
        <v>788</v>
      </c>
      <c r="J7705" s="380" t="s">
        <v>773</v>
      </c>
      <c r="K7705" s="381">
        <v>0.0</v>
      </c>
      <c r="L7705" s="382">
        <v>1.0</v>
      </c>
    </row>
    <row r="7706">
      <c r="A7706" s="380" t="s">
        <v>8580</v>
      </c>
      <c r="B7706" s="380" t="str">
        <f>IFERROR(__xludf.DUMMYFUNCTION("""COMPUTED_VALUE"""),"Cilindro Freno Tras-Der Nh 8971793360")</f>
        <v>Cilindro Freno Tras-Der Nh 8971793360</v>
      </c>
      <c r="C7706" s="380" t="str">
        <f>IFERROR(__xludf.DUMMYFUNCTION("""COMPUTED_VALUE"""),"70003120")</f>
        <v>70003120</v>
      </c>
      <c r="D7706" s="380" t="s">
        <v>767</v>
      </c>
      <c r="E7706" s="380" t="s">
        <v>786</v>
      </c>
      <c r="F7706" s="380" t="s">
        <v>1017</v>
      </c>
      <c r="G7706" s="380" t="s">
        <v>1267</v>
      </c>
      <c r="H7706" s="380" t="s">
        <v>771</v>
      </c>
      <c r="I7706" s="380" t="s">
        <v>788</v>
      </c>
      <c r="J7706" s="380" t="s">
        <v>773</v>
      </c>
      <c r="K7706" s="381">
        <v>0.0</v>
      </c>
      <c r="L7706" s="382">
        <v>1.0</v>
      </c>
    </row>
    <row r="7707">
      <c r="A7707" s="380" t="s">
        <v>8581</v>
      </c>
      <c r="B7707" s="380" t="str">
        <f>IFERROR(__xludf.DUMMYFUNCTION("""COMPUTED_VALUE"""),"Farola Der Izq 3 Pin Cuadrada T Del 4652")</f>
        <v>Farola Der Izq 3 Pin Cuadrada T Del 4652</v>
      </c>
      <c r="C7707" s="380" t="str">
        <f>IFERROR(__xludf.DUMMYFUNCTION("""COMPUTED_VALUE"""),"70003121")</f>
        <v>70003121</v>
      </c>
      <c r="D7707" s="380" t="s">
        <v>767</v>
      </c>
      <c r="E7707" s="380" t="s">
        <v>786</v>
      </c>
      <c r="F7707" s="380" t="s">
        <v>998</v>
      </c>
      <c r="G7707" s="380" t="s">
        <v>1267</v>
      </c>
      <c r="H7707" s="380" t="s">
        <v>771</v>
      </c>
      <c r="I7707" s="380" t="s">
        <v>788</v>
      </c>
      <c r="J7707" s="380" t="s">
        <v>773</v>
      </c>
      <c r="K7707" s="381">
        <v>0.0</v>
      </c>
      <c r="L7707" s="382">
        <v>1.0</v>
      </c>
    </row>
    <row r="7708">
      <c r="A7708" s="380" t="s">
        <v>8582</v>
      </c>
      <c r="B7708" s="380" t="str">
        <f>IFERROR(__xludf.DUMMYFUNCTION("""COMPUTED_VALUE"""),"Acople MANG TANQ Acpm 9400 6910032830")</f>
        <v>Acople MANG TANQ Acpm 9400 6910032830</v>
      </c>
      <c r="C7708" s="380" t="str">
        <f>IFERROR(__xludf.DUMMYFUNCTION("""COMPUTED_VALUE"""),"70003122")</f>
        <v>70003122</v>
      </c>
      <c r="D7708" s="380" t="s">
        <v>767</v>
      </c>
      <c r="E7708" s="380" t="s">
        <v>786</v>
      </c>
      <c r="F7708" s="380" t="s">
        <v>792</v>
      </c>
      <c r="G7708" s="380" t="s">
        <v>1267</v>
      </c>
      <c r="H7708" s="380" t="s">
        <v>771</v>
      </c>
      <c r="I7708" s="380" t="s">
        <v>788</v>
      </c>
      <c r="J7708" s="380" t="s">
        <v>773</v>
      </c>
      <c r="K7708" s="381">
        <v>0.0</v>
      </c>
      <c r="L7708" s="382">
        <v>1.0</v>
      </c>
    </row>
    <row r="7709">
      <c r="A7709" s="380" t="s">
        <v>8583</v>
      </c>
      <c r="B7709" s="380" t="str">
        <f>IFERROR(__xludf.DUMMYFUNCTION("""COMPUTED_VALUE"""),"Piñon 5ta DeSplazabe Nkr III 8973730080")</f>
        <v>Piñon 5ta DeSplazabe Nkr III 8973730080</v>
      </c>
      <c r="C7709" s="380" t="str">
        <f>IFERROR(__xludf.DUMMYFUNCTION("""COMPUTED_VALUE"""),"70003123")</f>
        <v>70003123</v>
      </c>
      <c r="D7709" s="380" t="s">
        <v>767</v>
      </c>
      <c r="E7709" s="380" t="s">
        <v>786</v>
      </c>
      <c r="F7709" s="380" t="s">
        <v>928</v>
      </c>
      <c r="G7709" s="380" t="s">
        <v>1267</v>
      </c>
      <c r="H7709" s="380" t="s">
        <v>771</v>
      </c>
      <c r="I7709" s="380" t="s">
        <v>788</v>
      </c>
      <c r="J7709" s="380" t="s">
        <v>773</v>
      </c>
      <c r="K7709" s="381">
        <v>0.0</v>
      </c>
      <c r="L7709" s="382">
        <v>1.0</v>
      </c>
    </row>
    <row r="7710">
      <c r="A7710" s="380" t="s">
        <v>8584</v>
      </c>
      <c r="B7710" s="380" t="str">
        <f>IFERROR(__xludf.DUMMYFUNCTION("""COMPUTED_VALUE"""),"FILT COMB Planta ELEC Fleetguard Fs 5052")</f>
        <v>FILT COMB Planta ELEC Fleetguard Fs 5052</v>
      </c>
      <c r="C7710" s="380" t="str">
        <f>IFERROR(__xludf.DUMMYFUNCTION("""COMPUTED_VALUE"""),"70003124")</f>
        <v>70003124</v>
      </c>
      <c r="D7710" s="380" t="s">
        <v>767</v>
      </c>
      <c r="E7710" s="380" t="s">
        <v>786</v>
      </c>
      <c r="F7710" s="380" t="s">
        <v>5855</v>
      </c>
      <c r="G7710" s="380" t="s">
        <v>1267</v>
      </c>
      <c r="H7710" s="380" t="s">
        <v>771</v>
      </c>
      <c r="I7710" s="380" t="s">
        <v>788</v>
      </c>
      <c r="J7710" s="380" t="s">
        <v>773</v>
      </c>
      <c r="K7710" s="381">
        <v>0.0</v>
      </c>
      <c r="L7710" s="382">
        <v>1.0</v>
      </c>
    </row>
    <row r="7711">
      <c r="A7711" s="380" t="s">
        <v>8585</v>
      </c>
      <c r="B7711" s="380" t="str">
        <f>IFERROR(__xludf.DUMMYFUNCTION("""COMPUTED_VALUE"""),"Cabina KWh")</f>
        <v>Cabina KWh</v>
      </c>
      <c r="C7711" s="380" t="str">
        <f>IFERROR(__xludf.DUMMYFUNCTION("""COMPUTED_VALUE"""),"70003125")</f>
        <v>70003125</v>
      </c>
      <c r="D7711" s="380" t="s">
        <v>767</v>
      </c>
      <c r="E7711" s="380" t="s">
        <v>786</v>
      </c>
      <c r="F7711" s="380" t="s">
        <v>792</v>
      </c>
      <c r="G7711" s="380" t="s">
        <v>1267</v>
      </c>
      <c r="H7711" s="380" t="s">
        <v>771</v>
      </c>
      <c r="I7711" s="380" t="s">
        <v>788</v>
      </c>
      <c r="J7711" s="380" t="s">
        <v>773</v>
      </c>
      <c r="K7711" s="381">
        <v>0.0</v>
      </c>
      <c r="L7711" s="382">
        <v>1.0</v>
      </c>
    </row>
    <row r="7712">
      <c r="A7712" s="380" t="s">
        <v>8586</v>
      </c>
      <c r="B7712" s="380" t="str">
        <f>IFERROR(__xludf.DUMMYFUNCTION("""COMPUTED_VALUE"""),"Yoke Hembra Deslizante Nhr-Nkr- 95615970")</f>
        <v>Yoke Hembra Deslizante Nhr-Nkr- 95615970</v>
      </c>
      <c r="C7712" s="380" t="str">
        <f>IFERROR(__xludf.DUMMYFUNCTION("""COMPUTED_VALUE"""),"70003126")</f>
        <v>70003126</v>
      </c>
      <c r="D7712" s="380" t="s">
        <v>767</v>
      </c>
      <c r="E7712" s="380" t="s">
        <v>786</v>
      </c>
      <c r="F7712" s="380" t="s">
        <v>5683</v>
      </c>
      <c r="G7712" s="380" t="s">
        <v>1267</v>
      </c>
      <c r="H7712" s="380" t="s">
        <v>771</v>
      </c>
      <c r="I7712" s="380" t="s">
        <v>788</v>
      </c>
      <c r="J7712" s="380" t="s">
        <v>773</v>
      </c>
      <c r="K7712" s="381">
        <v>0.0</v>
      </c>
      <c r="L7712" s="382">
        <v>1.0</v>
      </c>
    </row>
    <row r="7713">
      <c r="A7713" s="380" t="s">
        <v>8587</v>
      </c>
      <c r="B7713" s="380" t="str">
        <f>IFERROR(__xludf.DUMMYFUNCTION("""COMPUTED_VALUE"""),"Fusible Electronico 7.5 Amperi")</f>
        <v>Fusible Electronico 7.5 Amperi</v>
      </c>
      <c r="C7713" s="380" t="str">
        <f>IFERROR(__xludf.DUMMYFUNCTION("""COMPUTED_VALUE"""),"70003127")</f>
        <v>70003127</v>
      </c>
      <c r="D7713" s="380" t="s">
        <v>767</v>
      </c>
      <c r="E7713" s="380" t="s">
        <v>786</v>
      </c>
      <c r="F7713" s="380" t="s">
        <v>998</v>
      </c>
      <c r="G7713" s="380" t="s">
        <v>1267</v>
      </c>
      <c r="H7713" s="380" t="s">
        <v>771</v>
      </c>
      <c r="I7713" s="380" t="s">
        <v>788</v>
      </c>
      <c r="J7713" s="380" t="s">
        <v>773</v>
      </c>
      <c r="K7713" s="381">
        <v>0.0</v>
      </c>
      <c r="L7713" s="382">
        <v>1.0</v>
      </c>
    </row>
    <row r="7714">
      <c r="A7714" s="380" t="s">
        <v>8588</v>
      </c>
      <c r="B7714" s="380" t="str">
        <f>IFERROR(__xludf.DUMMYFUNCTION("""COMPUTED_VALUE"""),"Puerta Izquierda Jac Jhr 100030ld390nxa")</f>
        <v>Puerta Izquierda Jac Jhr 100030ld390nxa</v>
      </c>
      <c r="C7714" s="380" t="str">
        <f>IFERROR(__xludf.DUMMYFUNCTION("""COMPUTED_VALUE"""),"70003128")</f>
        <v>70003128</v>
      </c>
      <c r="D7714" s="380" t="s">
        <v>767</v>
      </c>
      <c r="E7714" s="380" t="s">
        <v>786</v>
      </c>
      <c r="F7714" s="380" t="s">
        <v>792</v>
      </c>
      <c r="G7714" s="380" t="s">
        <v>1267</v>
      </c>
      <c r="H7714" s="380" t="s">
        <v>771</v>
      </c>
      <c r="I7714" s="380" t="s">
        <v>788</v>
      </c>
      <c r="J7714" s="380" t="s">
        <v>773</v>
      </c>
      <c r="K7714" s="381">
        <v>0.0</v>
      </c>
      <c r="L7714" s="382">
        <v>1.0</v>
      </c>
    </row>
    <row r="7715">
      <c r="A7715" s="380" t="s">
        <v>8589</v>
      </c>
      <c r="B7715" s="380" t="str">
        <f>IFERROR(__xludf.DUMMYFUNCTION("""COMPUTED_VALUE"""),"Tapa DEP Agua RAD Hi 15 Psi 3578833c3")</f>
        <v>Tapa DEP Agua RAD Hi 15 Psi 3578833c3</v>
      </c>
      <c r="C7715" s="380" t="str">
        <f>IFERROR(__xludf.DUMMYFUNCTION("""COMPUTED_VALUE"""),"70003129")</f>
        <v>70003129</v>
      </c>
      <c r="D7715" s="380" t="s">
        <v>767</v>
      </c>
      <c r="E7715" s="380" t="s">
        <v>786</v>
      </c>
      <c r="F7715" s="380" t="s">
        <v>787</v>
      </c>
      <c r="G7715" s="380" t="s">
        <v>1267</v>
      </c>
      <c r="H7715" s="380" t="s">
        <v>771</v>
      </c>
      <c r="I7715" s="380" t="s">
        <v>788</v>
      </c>
      <c r="J7715" s="380" t="s">
        <v>773</v>
      </c>
      <c r="K7715" s="381">
        <v>64303.0</v>
      </c>
      <c r="L7715" s="382">
        <v>1.0</v>
      </c>
    </row>
    <row r="7716">
      <c r="A7716" s="380" t="s">
        <v>8590</v>
      </c>
      <c r="B7716" s="380" t="str">
        <f>IFERROR(__xludf.DUMMYFUNCTION("""COMPUTED_VALUE"""),"Kit Camisa Isx 150mm Sin Apr 4376430")</f>
        <v>Kit Camisa Isx 150mm Sin Apr 4376430</v>
      </c>
      <c r="C7716" s="380" t="str">
        <f>IFERROR(__xludf.DUMMYFUNCTION("""COMPUTED_VALUE"""),"70003130")</f>
        <v>70003130</v>
      </c>
      <c r="D7716" s="380" t="s">
        <v>767</v>
      </c>
      <c r="E7716" s="380" t="s">
        <v>786</v>
      </c>
      <c r="F7716" s="380" t="s">
        <v>787</v>
      </c>
      <c r="G7716" s="380" t="s">
        <v>1267</v>
      </c>
      <c r="H7716" s="380" t="s">
        <v>771</v>
      </c>
      <c r="I7716" s="380" t="s">
        <v>788</v>
      </c>
      <c r="J7716" s="380" t="s">
        <v>773</v>
      </c>
      <c r="K7716" s="381">
        <v>0.0</v>
      </c>
      <c r="L7716" s="382">
        <v>1.0</v>
      </c>
    </row>
    <row r="7717">
      <c r="A7717" s="380" t="s">
        <v>8591</v>
      </c>
      <c r="B7717" s="380" t="str">
        <f>IFERROR(__xludf.DUMMYFUNCTION("""COMPUTED_VALUE"""),"Antena Radio Pasacintas")</f>
        <v>Antena Radio Pasacintas</v>
      </c>
      <c r="C7717" s="380" t="str">
        <f>IFERROR(__xludf.DUMMYFUNCTION("""COMPUTED_VALUE"""),"70003131")</f>
        <v>70003131</v>
      </c>
      <c r="D7717" s="380" t="s">
        <v>767</v>
      </c>
      <c r="E7717" s="380" t="s">
        <v>786</v>
      </c>
      <c r="F7717" s="380" t="s">
        <v>1031</v>
      </c>
      <c r="G7717" s="380" t="s">
        <v>1267</v>
      </c>
      <c r="H7717" s="380" t="s">
        <v>771</v>
      </c>
      <c r="I7717" s="380" t="s">
        <v>788</v>
      </c>
      <c r="J7717" s="380" t="s">
        <v>773</v>
      </c>
      <c r="K7717" s="381">
        <v>102340.0</v>
      </c>
      <c r="L7717" s="382">
        <v>1.0</v>
      </c>
    </row>
    <row r="7718">
      <c r="A7718" s="380" t="s">
        <v>8592</v>
      </c>
      <c r="B7718" s="380" t="str">
        <f>IFERROR(__xludf.DUMMYFUNCTION("""COMPUTED_VALUE"""),"Conjunto Perno RDA Tras FT 11 1023083430")</f>
        <v>Conjunto Perno RDA Tras FT 11 1023083430</v>
      </c>
      <c r="C7718" s="380" t="str">
        <f>IFERROR(__xludf.DUMMYFUNCTION("""COMPUTED_VALUE"""),"70003132")</f>
        <v>70003132</v>
      </c>
      <c r="D7718" s="380" t="s">
        <v>767</v>
      </c>
      <c r="E7718" s="380" t="s">
        <v>786</v>
      </c>
      <c r="F7718" s="380" t="s">
        <v>1039</v>
      </c>
      <c r="G7718" s="380" t="s">
        <v>1267</v>
      </c>
      <c r="H7718" s="380" t="s">
        <v>771</v>
      </c>
      <c r="I7718" s="380" t="s">
        <v>788</v>
      </c>
      <c r="J7718" s="380" t="s">
        <v>773</v>
      </c>
      <c r="K7718" s="381">
        <v>0.0</v>
      </c>
      <c r="L7718" s="382">
        <v>1.0</v>
      </c>
    </row>
    <row r="7719">
      <c r="A7719" s="380" t="s">
        <v>8593</v>
      </c>
      <c r="B7719" s="380" t="str">
        <f>IFERROR(__xludf.DUMMYFUNCTION("""COMPUTED_VALUE"""),"Guaya Neutro Cambios Ftr Mod 2012 898041")</f>
        <v>Guaya Neutro Cambios Ftr Mod 2012 898041</v>
      </c>
      <c r="C7719" s="380" t="str">
        <f>IFERROR(__xludf.DUMMYFUNCTION("""COMPUTED_VALUE"""),"70003133")</f>
        <v>70003133</v>
      </c>
      <c r="D7719" s="380" t="s">
        <v>767</v>
      </c>
      <c r="E7719" s="380" t="s">
        <v>786</v>
      </c>
      <c r="F7719" s="380" t="s">
        <v>928</v>
      </c>
      <c r="G7719" s="380" t="s">
        <v>1267</v>
      </c>
      <c r="H7719" s="380" t="s">
        <v>771</v>
      </c>
      <c r="I7719" s="380" t="s">
        <v>788</v>
      </c>
      <c r="J7719" s="380" t="s">
        <v>773</v>
      </c>
      <c r="K7719" s="381">
        <v>0.0</v>
      </c>
      <c r="L7719" s="382">
        <v>1.0</v>
      </c>
    </row>
    <row r="7720">
      <c r="A7720" s="380" t="s">
        <v>8594</v>
      </c>
      <c r="B7720" s="380" t="str">
        <f>IFERROR(__xludf.DUMMYFUNCTION("""COMPUTED_VALUE"""),"Switch P/Freno Sg8jf7b/S 700 H 2.82e+106")</f>
        <v>Switch P/Freno Sg8jf7b/S 700 H 2.82e+106</v>
      </c>
      <c r="C7720" s="380" t="str">
        <f>IFERROR(__xludf.DUMMYFUNCTION("""COMPUTED_VALUE"""),"70003134")</f>
        <v>70003134</v>
      </c>
      <c r="D7720" s="380" t="s">
        <v>767</v>
      </c>
      <c r="E7720" s="380" t="s">
        <v>786</v>
      </c>
      <c r="F7720" s="380" t="s">
        <v>1017</v>
      </c>
      <c r="G7720" s="380" t="s">
        <v>1267</v>
      </c>
      <c r="H7720" s="380" t="s">
        <v>771</v>
      </c>
      <c r="I7720" s="380" t="s">
        <v>788</v>
      </c>
      <c r="J7720" s="380" t="s">
        <v>773</v>
      </c>
      <c r="K7720" s="381">
        <v>0.0</v>
      </c>
      <c r="L7720" s="382">
        <v>1.0</v>
      </c>
    </row>
    <row r="7721">
      <c r="A7721" s="380" t="s">
        <v>8595</v>
      </c>
      <c r="B7721" s="380" t="str">
        <f>IFERROR(__xludf.DUMMYFUNCTION("""COMPUTED_VALUE"""),"Rodamiento Del Externo FT 112 1023331227")</f>
        <v>Rodamiento Del Externo FT 112 1023331227</v>
      </c>
      <c r="C7721" s="380" t="str">
        <f>IFERROR(__xludf.DUMMYFUNCTION("""COMPUTED_VALUE"""),"70003135")</f>
        <v>70003135</v>
      </c>
      <c r="D7721" s="380" t="s">
        <v>767</v>
      </c>
      <c r="E7721" s="380" t="s">
        <v>786</v>
      </c>
      <c r="F7721" s="380" t="s">
        <v>1039</v>
      </c>
      <c r="G7721" s="380" t="s">
        <v>1267</v>
      </c>
      <c r="H7721" s="380" t="s">
        <v>771</v>
      </c>
      <c r="I7721" s="380" t="s">
        <v>788</v>
      </c>
      <c r="J7721" s="380" t="s">
        <v>773</v>
      </c>
      <c r="K7721" s="381">
        <v>0.0</v>
      </c>
      <c r="L7721" s="382">
        <v>1.0</v>
      </c>
    </row>
    <row r="7722">
      <c r="A7722" s="380" t="s">
        <v>8596</v>
      </c>
      <c r="B7722" s="380" t="str">
        <f>IFERROR(__xludf.DUMMYFUNCTION("""COMPUTED_VALUE"""),"CIL EMB Jac Jhr 1035 1609010ld0")</f>
        <v>CIL EMB Jac Jhr 1035 1609010ld0</v>
      </c>
      <c r="C7722" s="380" t="str">
        <f>IFERROR(__xludf.DUMMYFUNCTION("""COMPUTED_VALUE"""),"70003136")</f>
        <v>70003136</v>
      </c>
      <c r="D7722" s="380" t="s">
        <v>767</v>
      </c>
      <c r="E7722" s="380" t="s">
        <v>786</v>
      </c>
      <c r="F7722" s="380" t="s">
        <v>5661</v>
      </c>
      <c r="G7722" s="380" t="s">
        <v>1267</v>
      </c>
      <c r="H7722" s="380" t="s">
        <v>771</v>
      </c>
      <c r="I7722" s="380" t="s">
        <v>788</v>
      </c>
      <c r="J7722" s="380" t="s">
        <v>773</v>
      </c>
      <c r="K7722" s="381">
        <v>0.0</v>
      </c>
      <c r="L7722" s="382">
        <v>1.0</v>
      </c>
    </row>
    <row r="7723">
      <c r="A7723" s="380" t="s">
        <v>8597</v>
      </c>
      <c r="B7723" s="380" t="str">
        <f>IFERROR(__xludf.DUMMYFUNCTION("""COMPUTED_VALUE"""),"Lampara Farola IZQ HN 500 81150e0671")</f>
        <v>Lampara Farola IZQ HN 500 81150e0671</v>
      </c>
      <c r="C7723" s="380" t="str">
        <f>IFERROR(__xludf.DUMMYFUNCTION("""COMPUTED_VALUE"""),"70003137")</f>
        <v>70003137</v>
      </c>
      <c r="D7723" s="380" t="s">
        <v>767</v>
      </c>
      <c r="E7723" s="380" t="s">
        <v>786</v>
      </c>
      <c r="F7723" s="380" t="s">
        <v>998</v>
      </c>
      <c r="G7723" s="380" t="s">
        <v>1267</v>
      </c>
      <c r="H7723" s="380" t="s">
        <v>771</v>
      </c>
      <c r="I7723" s="380" t="s">
        <v>788</v>
      </c>
      <c r="J7723" s="380" t="s">
        <v>773</v>
      </c>
      <c r="K7723" s="381">
        <v>0.0</v>
      </c>
      <c r="L7723" s="382">
        <v>1.0</v>
      </c>
    </row>
    <row r="7724">
      <c r="A7724" s="380" t="s">
        <v>8598</v>
      </c>
      <c r="B7724" s="380" t="str">
        <f>IFERROR(__xludf.DUMMYFUNCTION("""COMPUTED_VALUE"""),"Barra Corta Direc Hino 500 45440e0v50")</f>
        <v>Barra Corta Direc Hino 500 45440e0v50</v>
      </c>
      <c r="C7724" s="380" t="str">
        <f>IFERROR(__xludf.DUMMYFUNCTION("""COMPUTED_VALUE"""),"70003138")</f>
        <v>70003138</v>
      </c>
      <c r="D7724" s="380" t="s">
        <v>767</v>
      </c>
      <c r="E7724" s="380" t="s">
        <v>786</v>
      </c>
      <c r="F7724" s="380" t="s">
        <v>1020</v>
      </c>
      <c r="G7724" s="380" t="s">
        <v>1267</v>
      </c>
      <c r="H7724" s="380" t="s">
        <v>771</v>
      </c>
      <c r="I7724" s="380" t="s">
        <v>788</v>
      </c>
      <c r="J7724" s="380" t="s">
        <v>773</v>
      </c>
      <c r="K7724" s="381">
        <v>0.0</v>
      </c>
      <c r="L7724" s="382">
        <v>1.0</v>
      </c>
    </row>
    <row r="7725">
      <c r="A7725" s="380" t="s">
        <v>8599</v>
      </c>
      <c r="B7725" s="380" t="str">
        <f>IFERROR(__xludf.DUMMYFUNCTION("""COMPUTED_VALUE"""),"Amortiguador Silla Int Prostar 23252101")</f>
        <v>Amortiguador Silla Int Prostar 23252101</v>
      </c>
      <c r="C7725" s="380" t="str">
        <f>IFERROR(__xludf.DUMMYFUNCTION("""COMPUTED_VALUE"""),"70003139")</f>
        <v>70003139</v>
      </c>
      <c r="D7725" s="380" t="s">
        <v>767</v>
      </c>
      <c r="E7725" s="380" t="s">
        <v>786</v>
      </c>
      <c r="F7725" s="380" t="s">
        <v>792</v>
      </c>
      <c r="G7725" s="380" t="s">
        <v>1267</v>
      </c>
      <c r="H7725" s="380" t="s">
        <v>771</v>
      </c>
      <c r="I7725" s="380" t="s">
        <v>788</v>
      </c>
      <c r="J7725" s="380" t="s">
        <v>773</v>
      </c>
      <c r="K7725" s="381">
        <v>0.0</v>
      </c>
      <c r="L7725" s="382">
        <v>1.0</v>
      </c>
    </row>
    <row r="7726">
      <c r="A7726" s="380" t="s">
        <v>8600</v>
      </c>
      <c r="B7726" s="380" t="str">
        <f>IFERROR(__xludf.DUMMYFUNCTION("""COMPUTED_VALUE"""),"Soporte Cardan Isx 9400 Ds10094142")</f>
        <v>Soporte Cardan Isx 9400 Ds10094142</v>
      </c>
      <c r="C7726" s="380" t="str">
        <f>IFERROR(__xludf.DUMMYFUNCTION("""COMPUTED_VALUE"""),"70003140")</f>
        <v>70003140</v>
      </c>
      <c r="D7726" s="380" t="s">
        <v>767</v>
      </c>
      <c r="E7726" s="380" t="s">
        <v>786</v>
      </c>
      <c r="F7726" s="380" t="s">
        <v>5683</v>
      </c>
      <c r="G7726" s="380" t="s">
        <v>1267</v>
      </c>
      <c r="H7726" s="380" t="s">
        <v>771</v>
      </c>
      <c r="I7726" s="380" t="s">
        <v>788</v>
      </c>
      <c r="J7726" s="380" t="s">
        <v>773</v>
      </c>
      <c r="K7726" s="381">
        <v>0.0</v>
      </c>
      <c r="L7726" s="382">
        <v>1.0</v>
      </c>
    </row>
    <row r="7727">
      <c r="A7727" s="380" t="s">
        <v>8601</v>
      </c>
      <c r="B7727" s="380" t="str">
        <f>IFERROR(__xludf.DUMMYFUNCTION("""COMPUTED_VALUE"""),"Empaque Tapa Palanca Cambios SB N14 1642")</f>
        <v>Empaque Tapa Palanca Cambios SB N14 1642</v>
      </c>
      <c r="C7727" s="380" t="str">
        <f>IFERROR(__xludf.DUMMYFUNCTION("""COMPUTED_VALUE"""),"70003141")</f>
        <v>70003141</v>
      </c>
      <c r="D7727" s="380" t="s">
        <v>767</v>
      </c>
      <c r="E7727" s="380" t="s">
        <v>786</v>
      </c>
      <c r="F7727" s="380" t="s">
        <v>928</v>
      </c>
      <c r="G7727" s="380" t="s">
        <v>1267</v>
      </c>
      <c r="H7727" s="380" t="s">
        <v>771</v>
      </c>
      <c r="I7727" s="380" t="s">
        <v>788</v>
      </c>
      <c r="J7727" s="380" t="s">
        <v>773</v>
      </c>
      <c r="K7727" s="381">
        <v>0.0</v>
      </c>
      <c r="L7727" s="382">
        <v>1.0</v>
      </c>
    </row>
    <row r="7728">
      <c r="A7728" s="380" t="s">
        <v>8602</v>
      </c>
      <c r="B7728" s="380" t="str">
        <f>IFERROR(__xludf.DUMMYFUNCTION("""COMPUTED_VALUE"""),"Capuchon Bujia Moto Varias B0110616")</f>
        <v>Capuchon Bujia Moto Varias B0110616</v>
      </c>
      <c r="C7728" s="380" t="str">
        <f>IFERROR(__xludf.DUMMYFUNCTION("""COMPUTED_VALUE"""),"70003142")</f>
        <v>70003142</v>
      </c>
      <c r="D7728" s="380" t="s">
        <v>767</v>
      </c>
      <c r="E7728" s="380" t="s">
        <v>786</v>
      </c>
      <c r="F7728" s="380" t="s">
        <v>998</v>
      </c>
      <c r="G7728" s="380" t="s">
        <v>1267</v>
      </c>
      <c r="H7728" s="380" t="s">
        <v>771</v>
      </c>
      <c r="I7728" s="380" t="s">
        <v>788</v>
      </c>
      <c r="J7728" s="380" t="s">
        <v>773</v>
      </c>
      <c r="K7728" s="381">
        <v>0.0</v>
      </c>
      <c r="L7728" s="382">
        <v>1.0</v>
      </c>
    </row>
    <row r="7729">
      <c r="A7729" s="380" t="s">
        <v>8603</v>
      </c>
      <c r="B7729" s="380" t="str">
        <f>IFERROR(__xludf.DUMMYFUNCTION("""COMPUTED_VALUE"""),"Bendix De 10 Dientes Delco Remy 1113277")</f>
        <v>Bendix De 10 Dientes Delco Remy 1113277</v>
      </c>
      <c r="C7729" s="380" t="str">
        <f>IFERROR(__xludf.DUMMYFUNCTION("""COMPUTED_VALUE"""),"70003143")</f>
        <v>70003143</v>
      </c>
      <c r="D7729" s="380" t="s">
        <v>767</v>
      </c>
      <c r="E7729" s="380" t="s">
        <v>786</v>
      </c>
      <c r="F7729" s="380" t="s">
        <v>998</v>
      </c>
      <c r="G7729" s="380" t="s">
        <v>1267</v>
      </c>
      <c r="H7729" s="380" t="s">
        <v>771</v>
      </c>
      <c r="I7729" s="380" t="s">
        <v>788</v>
      </c>
      <c r="J7729" s="380" t="s">
        <v>773</v>
      </c>
      <c r="K7729" s="381">
        <v>0.0</v>
      </c>
      <c r="L7729" s="382">
        <v>1.0</v>
      </c>
    </row>
    <row r="7730">
      <c r="A7730" s="380" t="s">
        <v>8604</v>
      </c>
      <c r="B7730" s="380" t="str">
        <f>IFERROR(__xludf.DUMMYFUNCTION("""COMPUTED_VALUE"""),"MANG AIR AC Baja Presion KW T F501089112")</f>
        <v>MANG AIR AC Baja Presion KW T F501089112</v>
      </c>
      <c r="C7730" s="380" t="str">
        <f>IFERROR(__xludf.DUMMYFUNCTION("""COMPUTED_VALUE"""),"70003144")</f>
        <v>70003144</v>
      </c>
      <c r="D7730" s="380" t="s">
        <v>767</v>
      </c>
      <c r="E7730" s="380" t="s">
        <v>786</v>
      </c>
      <c r="F7730" s="380" t="s">
        <v>1031</v>
      </c>
      <c r="G7730" s="380" t="s">
        <v>1267</v>
      </c>
      <c r="H7730" s="380" t="s">
        <v>771</v>
      </c>
      <c r="I7730" s="380" t="s">
        <v>788</v>
      </c>
      <c r="J7730" s="380" t="s">
        <v>773</v>
      </c>
      <c r="K7730" s="381">
        <v>0.0</v>
      </c>
      <c r="L7730" s="382">
        <v>1.0</v>
      </c>
    </row>
    <row r="7731">
      <c r="A7731" s="380" t="s">
        <v>8605</v>
      </c>
      <c r="B7731" s="380" t="str">
        <f>IFERROR(__xludf.DUMMYFUNCTION("""COMPUTED_VALUE"""),"Caucho Suspens Neway Eagle 90008151")</f>
        <v>Caucho Suspens Neway Eagle 90008151</v>
      </c>
      <c r="C7731" s="380" t="str">
        <f>IFERROR(__xludf.DUMMYFUNCTION("""COMPUTED_VALUE"""),"70003145")</f>
        <v>70003145</v>
      </c>
      <c r="D7731" s="380" t="s">
        <v>767</v>
      </c>
      <c r="E7731" s="380" t="s">
        <v>786</v>
      </c>
      <c r="F7731" s="380" t="s">
        <v>1039</v>
      </c>
      <c r="G7731" s="380" t="s">
        <v>1267</v>
      </c>
      <c r="H7731" s="380" t="s">
        <v>771</v>
      </c>
      <c r="I7731" s="380" t="s">
        <v>788</v>
      </c>
      <c r="J7731" s="380" t="s">
        <v>773</v>
      </c>
      <c r="K7731" s="381">
        <v>0.0</v>
      </c>
      <c r="L7731" s="382">
        <v>1.0</v>
      </c>
    </row>
    <row r="7732">
      <c r="A7732" s="380" t="s">
        <v>8606</v>
      </c>
      <c r="B7732" s="380" t="str">
        <f>IFERROR(__xludf.DUMMYFUNCTION("""COMPUTED_VALUE"""),"Microsuiche Clutch 3-Cables 2041792c91")</f>
        <v>Microsuiche Clutch 3-Cables 2041792c91</v>
      </c>
      <c r="C7732" s="380" t="str">
        <f>IFERROR(__xludf.DUMMYFUNCTION("""COMPUTED_VALUE"""),"70003146")</f>
        <v>70003146</v>
      </c>
      <c r="D7732" s="380" t="s">
        <v>767</v>
      </c>
      <c r="E7732" s="380" t="s">
        <v>786</v>
      </c>
      <c r="F7732" s="380" t="s">
        <v>5661</v>
      </c>
      <c r="G7732" s="380" t="s">
        <v>1267</v>
      </c>
      <c r="H7732" s="380" t="s">
        <v>771</v>
      </c>
      <c r="I7732" s="380" t="s">
        <v>788</v>
      </c>
      <c r="J7732" s="380" t="s">
        <v>773</v>
      </c>
      <c r="K7732" s="381">
        <v>485587.0</v>
      </c>
      <c r="L7732" s="382">
        <v>1.0</v>
      </c>
    </row>
    <row r="7733">
      <c r="A7733" s="380" t="s">
        <v>8607</v>
      </c>
      <c r="B7733" s="380" t="str">
        <f>IFERROR(__xludf.DUMMYFUNCTION("""COMPUTED_VALUE"""),"Disco Freno Trasero Moto Akt200xm")</f>
        <v>Disco Freno Trasero Moto Akt200xm</v>
      </c>
      <c r="C7733" s="380" t="str">
        <f>IFERROR(__xludf.DUMMYFUNCTION("""COMPUTED_VALUE"""),"70003147")</f>
        <v>70003147</v>
      </c>
      <c r="D7733" s="380" t="s">
        <v>767</v>
      </c>
      <c r="E7733" s="380" t="s">
        <v>786</v>
      </c>
      <c r="F7733" s="380" t="s">
        <v>1017</v>
      </c>
      <c r="G7733" s="380" t="s">
        <v>1267</v>
      </c>
      <c r="H7733" s="380" t="s">
        <v>771</v>
      </c>
      <c r="I7733" s="380" t="s">
        <v>788</v>
      </c>
      <c r="J7733" s="380" t="s">
        <v>773</v>
      </c>
      <c r="K7733" s="381">
        <v>0.0</v>
      </c>
      <c r="L7733" s="382">
        <v>1.0</v>
      </c>
    </row>
    <row r="7734">
      <c r="A7734" s="380" t="s">
        <v>8608</v>
      </c>
      <c r="B7734" s="380" t="str">
        <f>IFERROR(__xludf.DUMMYFUNCTION("""COMPUTED_VALUE"""),"Cable Encauchetado 2 X 14")</f>
        <v>Cable Encauchetado 2 X 14</v>
      </c>
      <c r="C7734" s="380" t="str">
        <f>IFERROR(__xludf.DUMMYFUNCTION("""COMPUTED_VALUE"""),"70003148")</f>
        <v>70003148</v>
      </c>
      <c r="D7734" s="380" t="s">
        <v>767</v>
      </c>
      <c r="E7734" s="380" t="s">
        <v>786</v>
      </c>
      <c r="F7734" s="380" t="s">
        <v>998</v>
      </c>
      <c r="G7734" s="380" t="s">
        <v>1267</v>
      </c>
      <c r="H7734" s="380" t="s">
        <v>771</v>
      </c>
      <c r="I7734" s="380" t="s">
        <v>788</v>
      </c>
      <c r="J7734" s="380" t="s">
        <v>773</v>
      </c>
      <c r="K7734" s="381">
        <v>0.0</v>
      </c>
      <c r="L7734" s="382">
        <v>1.0</v>
      </c>
    </row>
    <row r="7735">
      <c r="A7735" s="380" t="s">
        <v>8609</v>
      </c>
      <c r="B7735" s="380" t="str">
        <f>IFERROR(__xludf.DUMMYFUNCTION("""COMPUTED_VALUE"""),"Balancin Muelle Del Nhr 8941133223")</f>
        <v>Balancin Muelle Del Nhr 8941133223</v>
      </c>
      <c r="C7735" s="380" t="str">
        <f>IFERROR(__xludf.DUMMYFUNCTION("""COMPUTED_VALUE"""),"70003149")</f>
        <v>70003149</v>
      </c>
      <c r="D7735" s="380" t="s">
        <v>767</v>
      </c>
      <c r="E7735" s="380" t="s">
        <v>786</v>
      </c>
      <c r="F7735" s="380" t="s">
        <v>1039</v>
      </c>
      <c r="G7735" s="380" t="s">
        <v>1267</v>
      </c>
      <c r="H7735" s="380" t="s">
        <v>771</v>
      </c>
      <c r="I7735" s="380" t="s">
        <v>788</v>
      </c>
      <c r="J7735" s="380" t="s">
        <v>773</v>
      </c>
      <c r="K7735" s="381">
        <v>0.0</v>
      </c>
      <c r="L7735" s="382">
        <v>1.0</v>
      </c>
    </row>
    <row r="7736">
      <c r="A7736" s="380" t="s">
        <v>8610</v>
      </c>
      <c r="B7736" s="380" t="str">
        <f>IFERROR(__xludf.DUMMYFUNCTION("""COMPUTED_VALUE"""),"Yoke Tras Yoke Tras. Kenworth 1704361 Ix")</f>
        <v>Yoke Tras Yoke Tras. Kenworth 1704361 Ix</v>
      </c>
      <c r="C7736" s="380" t="str">
        <f>IFERROR(__xludf.DUMMYFUNCTION("""COMPUTED_VALUE"""),"70003150")</f>
        <v>70003150</v>
      </c>
      <c r="D7736" s="380" t="s">
        <v>767</v>
      </c>
      <c r="E7736" s="380" t="s">
        <v>786</v>
      </c>
      <c r="F7736" s="380" t="s">
        <v>5683</v>
      </c>
      <c r="G7736" s="380" t="s">
        <v>1267</v>
      </c>
      <c r="H7736" s="380" t="s">
        <v>771</v>
      </c>
      <c r="I7736" s="380" t="s">
        <v>788</v>
      </c>
      <c r="J7736" s="380" t="s">
        <v>773</v>
      </c>
      <c r="K7736" s="381">
        <v>0.0</v>
      </c>
      <c r="L7736" s="382">
        <v>1.0</v>
      </c>
    </row>
    <row r="7737">
      <c r="A7737" s="380" t="s">
        <v>8611</v>
      </c>
      <c r="B7737" s="380" t="str">
        <f>IFERROR(__xludf.DUMMYFUNCTION("""COMPUTED_VALUE"""),"Eje De Toma Transmision Nkr I 8971776830")</f>
        <v>Eje De Toma Transmision Nkr I 8971776830</v>
      </c>
      <c r="C7737" s="380" t="str">
        <f>IFERROR(__xludf.DUMMYFUNCTION("""COMPUTED_VALUE"""),"70003151")</f>
        <v>70003151</v>
      </c>
      <c r="D7737" s="380" t="s">
        <v>767</v>
      </c>
      <c r="E7737" s="380" t="s">
        <v>786</v>
      </c>
      <c r="F7737" s="380" t="s">
        <v>5683</v>
      </c>
      <c r="G7737" s="380" t="s">
        <v>1267</v>
      </c>
      <c r="H7737" s="380" t="s">
        <v>771</v>
      </c>
      <c r="I7737" s="380" t="s">
        <v>788</v>
      </c>
      <c r="J7737" s="380" t="s">
        <v>773</v>
      </c>
      <c r="K7737" s="381">
        <v>0.0</v>
      </c>
      <c r="L7737" s="382">
        <v>1.0</v>
      </c>
    </row>
    <row r="7738">
      <c r="A7738" s="380" t="s">
        <v>8612</v>
      </c>
      <c r="B7738" s="380" t="str">
        <f>IFERROR(__xludf.DUMMYFUNCTION("""COMPUTED_VALUE"""),"Tren Fijo Trasmision Nkr III 8972041040")</f>
        <v>Tren Fijo Trasmision Nkr III 8972041040</v>
      </c>
      <c r="C7738" s="380" t="str">
        <f>IFERROR(__xludf.DUMMYFUNCTION("""COMPUTED_VALUE"""),"70003152")</f>
        <v>70003152</v>
      </c>
      <c r="D7738" s="380" t="s">
        <v>767</v>
      </c>
      <c r="E7738" s="380" t="s">
        <v>786</v>
      </c>
      <c r="F7738" s="380" t="s">
        <v>5683</v>
      </c>
      <c r="G7738" s="380" t="s">
        <v>1267</v>
      </c>
      <c r="H7738" s="380" t="s">
        <v>771</v>
      </c>
      <c r="I7738" s="380" t="s">
        <v>788</v>
      </c>
      <c r="J7738" s="380" t="s">
        <v>773</v>
      </c>
      <c r="K7738" s="381">
        <v>0.0</v>
      </c>
      <c r="L7738" s="382">
        <v>1.0</v>
      </c>
    </row>
    <row r="7739">
      <c r="A7739" s="380" t="s">
        <v>8613</v>
      </c>
      <c r="B7739" s="380" t="str">
        <f>IFERROR(__xludf.DUMMYFUNCTION("""COMPUTED_VALUE"""),"Carcaza Caja Nkr III 8972041080")</f>
        <v>Carcaza Caja Nkr III 8972041080</v>
      </c>
      <c r="C7739" s="380" t="str">
        <f>IFERROR(__xludf.DUMMYFUNCTION("""COMPUTED_VALUE"""),"70003153")</f>
        <v>70003153</v>
      </c>
      <c r="D7739" s="380" t="s">
        <v>767</v>
      </c>
      <c r="E7739" s="380" t="s">
        <v>786</v>
      </c>
      <c r="F7739" s="380" t="s">
        <v>5683</v>
      </c>
      <c r="G7739" s="380" t="s">
        <v>1267</v>
      </c>
      <c r="H7739" s="380" t="s">
        <v>771</v>
      </c>
      <c r="I7739" s="380" t="s">
        <v>788</v>
      </c>
      <c r="J7739" s="380" t="s">
        <v>773</v>
      </c>
      <c r="K7739" s="381">
        <v>0.0</v>
      </c>
      <c r="L7739" s="382">
        <v>1.0</v>
      </c>
    </row>
    <row r="7740">
      <c r="A7740" s="380" t="s">
        <v>8614</v>
      </c>
      <c r="B7740" s="380" t="str">
        <f>IFERROR(__xludf.DUMMYFUNCTION("""COMPUTED_VALUE"""),"Tablero Cabina KWh")</f>
        <v>Tablero Cabina KWh</v>
      </c>
      <c r="C7740" s="380" t="str">
        <f>IFERROR(__xludf.DUMMYFUNCTION("""COMPUTED_VALUE"""),"70003154")</f>
        <v>70003154</v>
      </c>
      <c r="D7740" s="380" t="s">
        <v>767</v>
      </c>
      <c r="E7740" s="380" t="s">
        <v>786</v>
      </c>
      <c r="F7740" s="380" t="s">
        <v>792</v>
      </c>
      <c r="G7740" s="380" t="s">
        <v>1267</v>
      </c>
      <c r="H7740" s="380" t="s">
        <v>771</v>
      </c>
      <c r="I7740" s="380" t="s">
        <v>788</v>
      </c>
      <c r="J7740" s="380" t="s">
        <v>773</v>
      </c>
      <c r="K7740" s="381">
        <v>0.0</v>
      </c>
      <c r="L7740" s="382">
        <v>1.0</v>
      </c>
    </row>
    <row r="7741">
      <c r="A7741" s="380" t="s">
        <v>8615</v>
      </c>
      <c r="B7741" s="380" t="str">
        <f>IFERROR(__xludf.DUMMYFUNCTION("""COMPUTED_VALUE"""),"Cabrilla Direc Kemworth J916000100")</f>
        <v>Cabrilla Direc Kemworth J916000100</v>
      </c>
      <c r="C7741" s="380" t="str">
        <f>IFERROR(__xludf.DUMMYFUNCTION("""COMPUTED_VALUE"""),"70003155")</f>
        <v>70003155</v>
      </c>
      <c r="D7741" s="380" t="s">
        <v>767</v>
      </c>
      <c r="E7741" s="380" t="s">
        <v>786</v>
      </c>
      <c r="F7741" s="380" t="s">
        <v>792</v>
      </c>
      <c r="G7741" s="380" t="s">
        <v>1267</v>
      </c>
      <c r="H7741" s="380" t="s">
        <v>771</v>
      </c>
      <c r="I7741" s="380" t="s">
        <v>788</v>
      </c>
      <c r="J7741" s="380" t="s">
        <v>773</v>
      </c>
      <c r="K7741" s="381">
        <v>0.0</v>
      </c>
      <c r="L7741" s="382">
        <v>1.0</v>
      </c>
    </row>
    <row r="7742">
      <c r="A7742" s="380" t="s">
        <v>8616</v>
      </c>
      <c r="B7742" s="380" t="str">
        <f>IFERROR(__xludf.DUMMYFUNCTION("""COMPUTED_VALUE"""),"Guaya Corta Freno Emergencia FT Mv5 7705")</f>
        <v>Guaya Corta Freno Emergencia FT Mv5 7705</v>
      </c>
      <c r="C7742" s="380" t="str">
        <f>IFERROR(__xludf.DUMMYFUNCTION("""COMPUTED_VALUE"""),"70003156")</f>
        <v>70003156</v>
      </c>
      <c r="D7742" s="380" t="s">
        <v>767</v>
      </c>
      <c r="E7742" s="380" t="s">
        <v>786</v>
      </c>
      <c r="F7742" s="380" t="s">
        <v>1017</v>
      </c>
      <c r="G7742" s="380" t="s">
        <v>1267</v>
      </c>
      <c r="H7742" s="380" t="s">
        <v>771</v>
      </c>
      <c r="I7742" s="380" t="s">
        <v>788</v>
      </c>
      <c r="J7742" s="380" t="s">
        <v>773</v>
      </c>
      <c r="K7742" s="381">
        <v>0.0</v>
      </c>
      <c r="L7742" s="382">
        <v>1.0</v>
      </c>
    </row>
    <row r="7743">
      <c r="A7743" s="380" t="s">
        <v>8617</v>
      </c>
      <c r="B7743" s="380" t="str">
        <f>IFERROR(__xludf.DUMMYFUNCTION("""COMPUTED_VALUE"""),"BRR Corta De DIR INTnacional 3595265c92")</f>
        <v>BRR Corta De DIR INTnacional 3595265c92</v>
      </c>
      <c r="C7743" s="380" t="str">
        <f>IFERROR(__xludf.DUMMYFUNCTION("""COMPUTED_VALUE"""),"70003157")</f>
        <v>70003157</v>
      </c>
      <c r="D7743" s="380" t="s">
        <v>767</v>
      </c>
      <c r="E7743" s="380" t="s">
        <v>786</v>
      </c>
      <c r="F7743" s="380" t="s">
        <v>1020</v>
      </c>
      <c r="G7743" s="380" t="s">
        <v>1267</v>
      </c>
      <c r="H7743" s="380" t="s">
        <v>771</v>
      </c>
      <c r="I7743" s="380" t="s">
        <v>788</v>
      </c>
      <c r="J7743" s="380" t="s">
        <v>773</v>
      </c>
      <c r="K7743" s="381">
        <v>0.0</v>
      </c>
      <c r="L7743" s="382">
        <v>1.0</v>
      </c>
    </row>
    <row r="7744">
      <c r="A7744" s="380" t="s">
        <v>8618</v>
      </c>
      <c r="B7744" s="380" t="str">
        <f>IFERROR(__xludf.DUMMYFUNCTION("""COMPUTED_VALUE"""),"CAM Freno Tras Izq Jac 1120 Bq01290450")</f>
        <v>CAM Freno Tras Izq Jac 1120 Bq01290450</v>
      </c>
      <c r="C7744" s="380" t="str">
        <f>IFERROR(__xludf.DUMMYFUNCTION("""COMPUTED_VALUE"""),"70003158")</f>
        <v>70003158</v>
      </c>
      <c r="D7744" s="380" t="s">
        <v>767</v>
      </c>
      <c r="E7744" s="380" t="s">
        <v>786</v>
      </c>
      <c r="F7744" s="380" t="s">
        <v>1017</v>
      </c>
      <c r="G7744" s="380" t="s">
        <v>1267</v>
      </c>
      <c r="H7744" s="380" t="s">
        <v>771</v>
      </c>
      <c r="I7744" s="380" t="s">
        <v>788</v>
      </c>
      <c r="J7744" s="380" t="s">
        <v>773</v>
      </c>
      <c r="K7744" s="381">
        <v>0.0</v>
      </c>
      <c r="L7744" s="382">
        <v>1.0</v>
      </c>
    </row>
    <row r="7745">
      <c r="A7745" s="380" t="s">
        <v>8619</v>
      </c>
      <c r="B7745" s="380" t="str">
        <f>IFERROR(__xludf.DUMMYFUNCTION("""COMPUTED_VALUE"""),"Recibidor Tapasol Izq INT Lt 3715185c2")</f>
        <v>Recibidor Tapasol Izq INT Lt 3715185c2</v>
      </c>
      <c r="C7745" s="380" t="str">
        <f>IFERROR(__xludf.DUMMYFUNCTION("""COMPUTED_VALUE"""),"70003159")</f>
        <v>70003159</v>
      </c>
      <c r="D7745" s="380" t="s">
        <v>767</v>
      </c>
      <c r="E7745" s="380" t="s">
        <v>786</v>
      </c>
      <c r="F7745" s="380" t="s">
        <v>792</v>
      </c>
      <c r="G7745" s="380" t="s">
        <v>1267</v>
      </c>
      <c r="H7745" s="380" t="s">
        <v>771</v>
      </c>
      <c r="I7745" s="380" t="s">
        <v>788</v>
      </c>
      <c r="J7745" s="380" t="s">
        <v>773</v>
      </c>
      <c r="K7745" s="381">
        <v>227004.0</v>
      </c>
      <c r="L7745" s="382">
        <v>1.0</v>
      </c>
    </row>
    <row r="7746">
      <c r="A7746" s="380" t="s">
        <v>8620</v>
      </c>
      <c r="B7746" s="380" t="str">
        <f>IFERROR(__xludf.DUMMYFUNCTION("""COMPUTED_VALUE"""),"Manguera Inf Radiador Nhr 97089916")</f>
        <v>Manguera Inf Radiador Nhr 97089916</v>
      </c>
      <c r="C7746" s="380" t="str">
        <f>IFERROR(__xludf.DUMMYFUNCTION("""COMPUTED_VALUE"""),"70003160")</f>
        <v>70003160</v>
      </c>
      <c r="D7746" s="380" t="s">
        <v>767</v>
      </c>
      <c r="E7746" s="380" t="s">
        <v>786</v>
      </c>
      <c r="F7746" s="380" t="s">
        <v>787</v>
      </c>
      <c r="G7746" s="380" t="s">
        <v>1267</v>
      </c>
      <c r="H7746" s="380" t="s">
        <v>771</v>
      </c>
      <c r="I7746" s="380" t="s">
        <v>788</v>
      </c>
      <c r="J7746" s="380" t="s">
        <v>773</v>
      </c>
      <c r="K7746" s="381">
        <v>0.0</v>
      </c>
      <c r="L7746" s="382">
        <v>1.0</v>
      </c>
    </row>
    <row r="7747">
      <c r="A7747" s="380" t="s">
        <v>8621</v>
      </c>
      <c r="B7747" s="380" t="str">
        <f>IFERROR(__xludf.DUMMYFUNCTION("""COMPUTED_VALUE"""),"Hoja Resorte Del Der FT 1128 5946769839")</f>
        <v>Hoja Resorte Del Der FT 1128 5946769839</v>
      </c>
      <c r="C7747" s="380" t="str">
        <f>IFERROR(__xludf.DUMMYFUNCTION("""COMPUTED_VALUE"""),"70003161")</f>
        <v>70003161</v>
      </c>
      <c r="D7747" s="380" t="s">
        <v>767</v>
      </c>
      <c r="E7747" s="380" t="s">
        <v>786</v>
      </c>
      <c r="F7747" s="380" t="s">
        <v>1039</v>
      </c>
      <c r="G7747" s="380" t="s">
        <v>1267</v>
      </c>
      <c r="H7747" s="380" t="s">
        <v>771</v>
      </c>
      <c r="I7747" s="380" t="s">
        <v>788</v>
      </c>
      <c r="J7747" s="380" t="s">
        <v>773</v>
      </c>
      <c r="K7747" s="381">
        <v>0.0</v>
      </c>
      <c r="L7747" s="382">
        <v>1.0</v>
      </c>
    </row>
    <row r="7748">
      <c r="A7748" s="380" t="s">
        <v>8622</v>
      </c>
      <c r="B7748" s="380" t="str">
        <f>IFERROR(__xludf.DUMMYFUNCTION("""COMPUTED_VALUE"""),"Pedal Acelerador Con SENS FT 7705946304")</f>
        <v>Pedal Acelerador Con SENS FT 7705946304</v>
      </c>
      <c r="C7748" s="380" t="str">
        <f>IFERROR(__xludf.DUMMYFUNCTION("""COMPUTED_VALUE"""),"70003162")</f>
        <v>70003162</v>
      </c>
      <c r="D7748" s="380" t="s">
        <v>767</v>
      </c>
      <c r="E7748" s="380" t="s">
        <v>786</v>
      </c>
      <c r="F7748" s="380" t="s">
        <v>998</v>
      </c>
      <c r="G7748" s="380" t="s">
        <v>1267</v>
      </c>
      <c r="H7748" s="380" t="s">
        <v>771</v>
      </c>
      <c r="I7748" s="380" t="s">
        <v>788</v>
      </c>
      <c r="J7748" s="380" t="s">
        <v>773</v>
      </c>
      <c r="K7748" s="381">
        <v>0.0</v>
      </c>
      <c r="L7748" s="382">
        <v>1.0</v>
      </c>
    </row>
    <row r="7749">
      <c r="A7749" s="380" t="s">
        <v>8623</v>
      </c>
      <c r="B7749" s="380" t="str">
        <f>IFERROR(__xludf.DUMMYFUNCTION("""COMPUTED_VALUE"""),"Juego Escobillas Arranque Npr Ktc 211-44")</f>
        <v>Juego Escobillas Arranque Npr Ktc 211-44</v>
      </c>
      <c r="C7749" s="380" t="str">
        <f>IFERROR(__xludf.DUMMYFUNCTION("""COMPUTED_VALUE"""),"70003163")</f>
        <v>70003163</v>
      </c>
      <c r="D7749" s="380" t="s">
        <v>767</v>
      </c>
      <c r="E7749" s="380" t="s">
        <v>786</v>
      </c>
      <c r="F7749" s="380" t="s">
        <v>998</v>
      </c>
      <c r="G7749" s="380" t="s">
        <v>1267</v>
      </c>
      <c r="H7749" s="380" t="s">
        <v>771</v>
      </c>
      <c r="I7749" s="380" t="s">
        <v>788</v>
      </c>
      <c r="J7749" s="380" t="s">
        <v>773</v>
      </c>
      <c r="K7749" s="381">
        <v>0.0</v>
      </c>
      <c r="L7749" s="382">
        <v>1.0</v>
      </c>
    </row>
    <row r="7750">
      <c r="A7750" s="380" t="s">
        <v>8624</v>
      </c>
      <c r="B7750" s="380" t="str">
        <f>IFERROR(__xludf.DUMMYFUNCTION("""COMPUTED_VALUE"""),"Juego Escobillas ARR Npr 69-8113 Carbon")</f>
        <v>Juego Escobillas ARR Npr 69-8113 Carbon</v>
      </c>
      <c r="C7750" s="380" t="str">
        <f>IFERROR(__xludf.DUMMYFUNCTION("""COMPUTED_VALUE"""),"70003164")</f>
        <v>70003164</v>
      </c>
      <c r="D7750" s="380" t="s">
        <v>767</v>
      </c>
      <c r="E7750" s="380" t="s">
        <v>786</v>
      </c>
      <c r="F7750" s="380" t="s">
        <v>998</v>
      </c>
      <c r="G7750" s="380" t="s">
        <v>1267</v>
      </c>
      <c r="H7750" s="380" t="s">
        <v>771</v>
      </c>
      <c r="I7750" s="380" t="s">
        <v>788</v>
      </c>
      <c r="J7750" s="380" t="s">
        <v>773</v>
      </c>
      <c r="K7750" s="381">
        <v>0.0</v>
      </c>
      <c r="L7750" s="382">
        <v>1.0</v>
      </c>
    </row>
    <row r="7751">
      <c r="A7751" s="380" t="s">
        <v>8625</v>
      </c>
      <c r="B7751" s="380" t="str">
        <f>IFERROR(__xludf.DUMMYFUNCTION("""COMPUTED_VALUE"""),"Disco Embregue Jac 1120 1601200le352xz")</f>
        <v>Disco Embregue Jac 1120 1601200le352xz</v>
      </c>
      <c r="C7751" s="380" t="str">
        <f>IFERROR(__xludf.DUMMYFUNCTION("""COMPUTED_VALUE"""),"70003165")</f>
        <v>70003165</v>
      </c>
      <c r="D7751" s="380" t="s">
        <v>767</v>
      </c>
      <c r="E7751" s="380" t="s">
        <v>786</v>
      </c>
      <c r="F7751" s="380" t="s">
        <v>5661</v>
      </c>
      <c r="G7751" s="380" t="s">
        <v>1267</v>
      </c>
      <c r="H7751" s="380" t="s">
        <v>771</v>
      </c>
      <c r="I7751" s="380" t="s">
        <v>788</v>
      </c>
      <c r="J7751" s="380" t="s">
        <v>773</v>
      </c>
      <c r="K7751" s="381">
        <v>0.0</v>
      </c>
      <c r="L7751" s="382">
        <v>1.0</v>
      </c>
    </row>
    <row r="7752">
      <c r="A7752" s="380" t="s">
        <v>8626</v>
      </c>
      <c r="B7752" s="380" t="str">
        <f>IFERROR(__xludf.DUMMYFUNCTION("""COMPUTED_VALUE"""),"Gorro Valvula Culata Motor Isx 4356366")</f>
        <v>Gorro Valvula Culata Motor Isx 4356366</v>
      </c>
      <c r="C7752" s="380" t="str">
        <f>IFERROR(__xludf.DUMMYFUNCTION("""COMPUTED_VALUE"""),"70003166")</f>
        <v>70003166</v>
      </c>
      <c r="D7752" s="380" t="s">
        <v>767</v>
      </c>
      <c r="E7752" s="380" t="s">
        <v>786</v>
      </c>
      <c r="F7752" s="380" t="s">
        <v>787</v>
      </c>
      <c r="G7752" s="380" t="s">
        <v>1267</v>
      </c>
      <c r="H7752" s="380" t="s">
        <v>771</v>
      </c>
      <c r="I7752" s="380" t="s">
        <v>788</v>
      </c>
      <c r="J7752" s="380" t="s">
        <v>773</v>
      </c>
      <c r="K7752" s="381">
        <v>0.0</v>
      </c>
      <c r="L7752" s="382">
        <v>1.0</v>
      </c>
    </row>
    <row r="7753">
      <c r="A7753" s="380" t="s">
        <v>8627</v>
      </c>
      <c r="B7753" s="380" t="str">
        <f>IFERROR(__xludf.DUMMYFUNCTION("""COMPUTED_VALUE"""),"Diferencial Completa HN 300 6x35 Remanuf")</f>
        <v>Diferencial Completa HN 300 6x35 Remanuf</v>
      </c>
      <c r="C7753" s="380" t="str">
        <f>IFERROR(__xludf.DUMMYFUNCTION("""COMPUTED_VALUE"""),"70003167")</f>
        <v>70003167</v>
      </c>
      <c r="D7753" s="380" t="s">
        <v>767</v>
      </c>
      <c r="E7753" s="380" t="s">
        <v>786</v>
      </c>
      <c r="F7753" s="380" t="s">
        <v>5683</v>
      </c>
      <c r="G7753" s="380" t="s">
        <v>1267</v>
      </c>
      <c r="H7753" s="380" t="s">
        <v>771</v>
      </c>
      <c r="I7753" s="380" t="s">
        <v>788</v>
      </c>
      <c r="J7753" s="380" t="s">
        <v>773</v>
      </c>
      <c r="K7753" s="381">
        <v>0.0</v>
      </c>
      <c r="L7753" s="382">
        <v>1.0</v>
      </c>
    </row>
    <row r="7754">
      <c r="A7754" s="380" t="s">
        <v>8628</v>
      </c>
      <c r="B7754" s="380" t="str">
        <f>IFERROR(__xludf.DUMMYFUNCTION("""COMPUTED_VALUE"""),"Chapeta Ext Frontal CAB Npr 8942798140")</f>
        <v>Chapeta Ext Frontal CAB Npr 8942798140</v>
      </c>
      <c r="C7754" s="380" t="str">
        <f>IFERROR(__xludf.DUMMYFUNCTION("""COMPUTED_VALUE"""),"70003168")</f>
        <v>70003168</v>
      </c>
      <c r="D7754" s="380" t="s">
        <v>767</v>
      </c>
      <c r="E7754" s="380" t="s">
        <v>786</v>
      </c>
      <c r="F7754" s="380" t="s">
        <v>792</v>
      </c>
      <c r="G7754" s="380" t="s">
        <v>1267</v>
      </c>
      <c r="H7754" s="380" t="s">
        <v>771</v>
      </c>
      <c r="I7754" s="380" t="s">
        <v>788</v>
      </c>
      <c r="J7754" s="380" t="s">
        <v>773</v>
      </c>
      <c r="K7754" s="381">
        <v>0.0</v>
      </c>
      <c r="L7754" s="382">
        <v>1.0</v>
      </c>
    </row>
    <row r="7755">
      <c r="A7755" s="380" t="s">
        <v>8629</v>
      </c>
      <c r="B7755" s="380" t="str">
        <f>IFERROR(__xludf.DUMMYFUNCTION("""COMPUTED_VALUE"""),"Clip Panel Tapizado Techo N200 9001853")</f>
        <v>Clip Panel Tapizado Techo N200 9001853</v>
      </c>
      <c r="C7755" s="380" t="str">
        <f>IFERROR(__xludf.DUMMYFUNCTION("""COMPUTED_VALUE"""),"70003169")</f>
        <v>70003169</v>
      </c>
      <c r="D7755" s="380" t="s">
        <v>767</v>
      </c>
      <c r="E7755" s="380" t="s">
        <v>786</v>
      </c>
      <c r="F7755" s="380" t="s">
        <v>792</v>
      </c>
      <c r="G7755" s="380" t="s">
        <v>1267</v>
      </c>
      <c r="H7755" s="380" t="s">
        <v>771</v>
      </c>
      <c r="I7755" s="380" t="s">
        <v>788</v>
      </c>
      <c r="J7755" s="380" t="s">
        <v>773</v>
      </c>
      <c r="K7755" s="381">
        <v>0.0</v>
      </c>
      <c r="L7755" s="382">
        <v>1.0</v>
      </c>
    </row>
    <row r="7756">
      <c r="A7756" s="380" t="s">
        <v>8630</v>
      </c>
      <c r="B7756" s="380" t="str">
        <f>IFERROR(__xludf.DUMMYFUNCTION("""COMPUTED_VALUE"""),"Base Filtro Acpm/Cxu Gu Mack 2330000268")</f>
        <v>Base Filtro Acpm/Cxu Gu Mack 2330000268</v>
      </c>
      <c r="C7756" s="380" t="str">
        <f>IFERROR(__xludf.DUMMYFUNCTION("""COMPUTED_VALUE"""),"70003170")</f>
        <v>70003170</v>
      </c>
      <c r="D7756" s="380" t="s">
        <v>767</v>
      </c>
      <c r="E7756" s="380" t="s">
        <v>786</v>
      </c>
      <c r="F7756" s="380" t="s">
        <v>787</v>
      </c>
      <c r="G7756" s="380" t="s">
        <v>1267</v>
      </c>
      <c r="H7756" s="380" t="s">
        <v>771</v>
      </c>
      <c r="I7756" s="380" t="s">
        <v>788</v>
      </c>
      <c r="J7756" s="380" t="s">
        <v>773</v>
      </c>
      <c r="K7756" s="381">
        <v>0.0</v>
      </c>
      <c r="L7756" s="382">
        <v>1.0</v>
      </c>
    </row>
    <row r="7757">
      <c r="A7757" s="380" t="s">
        <v>8631</v>
      </c>
      <c r="B7757" s="380" t="str">
        <f>IFERROR(__xludf.DUMMYFUNCTION("""COMPUTED_VALUE"""),"Carcaza Carevaca KW RTO 16915 A6064")</f>
        <v>Carcaza Carevaca KW RTO 16915 A6064</v>
      </c>
      <c r="C7757" s="380" t="str">
        <f>IFERROR(__xludf.DUMMYFUNCTION("""COMPUTED_VALUE"""),"70003171")</f>
        <v>70003171</v>
      </c>
      <c r="D7757" s="380" t="s">
        <v>767</v>
      </c>
      <c r="E7757" s="380" t="s">
        <v>786</v>
      </c>
      <c r="F7757" s="380" t="s">
        <v>787</v>
      </c>
      <c r="G7757" s="380" t="s">
        <v>1267</v>
      </c>
      <c r="H7757" s="380" t="s">
        <v>771</v>
      </c>
      <c r="I7757" s="380" t="s">
        <v>788</v>
      </c>
      <c r="J7757" s="380" t="s">
        <v>773</v>
      </c>
      <c r="K7757" s="381">
        <v>0.0</v>
      </c>
      <c r="L7757" s="382">
        <v>1.0</v>
      </c>
    </row>
    <row r="7758">
      <c r="A7758" s="380" t="s">
        <v>8632</v>
      </c>
      <c r="B7758" s="380" t="str">
        <f>IFERROR(__xludf.DUMMYFUNCTION("""COMPUTED_VALUE"""),"Separador Embrague SB 125327 E")</f>
        <v>Separador Embrague SB 125327 E</v>
      </c>
      <c r="C7758" s="380" t="str">
        <f>IFERROR(__xludf.DUMMYFUNCTION("""COMPUTED_VALUE"""),"70003172")</f>
        <v>70003172</v>
      </c>
      <c r="D7758" s="380" t="s">
        <v>767</v>
      </c>
      <c r="E7758" s="380" t="s">
        <v>786</v>
      </c>
      <c r="F7758" s="380" t="s">
        <v>5661</v>
      </c>
      <c r="G7758" s="380" t="s">
        <v>1267</v>
      </c>
      <c r="H7758" s="380" t="s">
        <v>771</v>
      </c>
      <c r="I7758" s="380" t="s">
        <v>788</v>
      </c>
      <c r="J7758" s="380" t="s">
        <v>773</v>
      </c>
      <c r="K7758" s="381">
        <v>0.0</v>
      </c>
      <c r="L7758" s="382">
        <v>1.0</v>
      </c>
    </row>
    <row r="7759">
      <c r="A7759" s="380" t="s">
        <v>8633</v>
      </c>
      <c r="B7759" s="380" t="str">
        <f>IFERROR(__xludf.DUMMYFUNCTION("""COMPUTED_VALUE"""),"Sensor Pres Aceite Motor Npr 8971762301")</f>
        <v>Sensor Pres Aceite Motor Npr 8971762301</v>
      </c>
      <c r="C7759" s="380" t="str">
        <f>IFERROR(__xludf.DUMMYFUNCTION("""COMPUTED_VALUE"""),"70003173")</f>
        <v>70003173</v>
      </c>
      <c r="D7759" s="380" t="s">
        <v>767</v>
      </c>
      <c r="E7759" s="380" t="s">
        <v>786</v>
      </c>
      <c r="F7759" s="380" t="s">
        <v>787</v>
      </c>
      <c r="G7759" s="380" t="s">
        <v>1267</v>
      </c>
      <c r="H7759" s="380" t="s">
        <v>771</v>
      </c>
      <c r="I7759" s="380" t="s">
        <v>788</v>
      </c>
      <c r="J7759" s="380" t="s">
        <v>773</v>
      </c>
      <c r="K7759" s="381">
        <v>0.0</v>
      </c>
      <c r="L7759" s="382">
        <v>1.0</v>
      </c>
    </row>
    <row r="7760">
      <c r="A7760" s="380" t="s">
        <v>8634</v>
      </c>
      <c r="B7760" s="380" t="str">
        <f>IFERROR(__xludf.DUMMYFUNCTION("""COMPUTED_VALUE"""),"Valvula De Seguridad Eagle 5003911")</f>
        <v>Valvula De Seguridad Eagle 5003911</v>
      </c>
      <c r="C7760" s="380" t="str">
        <f>IFERROR(__xludf.DUMMYFUNCTION("""COMPUTED_VALUE"""),"70003174")</f>
        <v>70003174</v>
      </c>
      <c r="D7760" s="380" t="s">
        <v>767</v>
      </c>
      <c r="E7760" s="380" t="s">
        <v>786</v>
      </c>
      <c r="F7760" s="380" t="s">
        <v>1017</v>
      </c>
      <c r="G7760" s="380" t="s">
        <v>1267</v>
      </c>
      <c r="H7760" s="380" t="s">
        <v>771</v>
      </c>
      <c r="I7760" s="380" t="s">
        <v>788</v>
      </c>
      <c r="J7760" s="380" t="s">
        <v>773</v>
      </c>
      <c r="K7760" s="381">
        <v>0.0</v>
      </c>
      <c r="L7760" s="382">
        <v>1.0</v>
      </c>
    </row>
    <row r="7761">
      <c r="A7761" s="380" t="s">
        <v>8635</v>
      </c>
      <c r="B7761" s="380" t="str">
        <f>IFERROR(__xludf.DUMMYFUNCTION("""COMPUTED_VALUE"""),"Radiador Aceite Caja Prostar 2602982C91")</f>
        <v>Radiador Aceite Caja Prostar 2602982C91</v>
      </c>
      <c r="C7761" s="380" t="str">
        <f>IFERROR(__xludf.DUMMYFUNCTION("""COMPUTED_VALUE"""),"70003175")</f>
        <v>70003175</v>
      </c>
      <c r="D7761" s="380" t="s">
        <v>767</v>
      </c>
      <c r="E7761" s="380" t="s">
        <v>786</v>
      </c>
      <c r="F7761" s="380" t="s">
        <v>1020</v>
      </c>
      <c r="G7761" s="380" t="s">
        <v>1267</v>
      </c>
      <c r="H7761" s="380" t="s">
        <v>771</v>
      </c>
      <c r="I7761" s="380" t="s">
        <v>788</v>
      </c>
      <c r="J7761" s="380" t="s">
        <v>773</v>
      </c>
      <c r="K7761" s="381">
        <v>0.0</v>
      </c>
      <c r="L7761" s="382">
        <v>1.0</v>
      </c>
    </row>
    <row r="7762">
      <c r="A7762" s="380" t="s">
        <v>8636</v>
      </c>
      <c r="B7762" s="380" t="str">
        <f>IFERROR(__xludf.DUMMYFUNCTION("""COMPUTED_VALUE"""),"Tapa Radiador SB V21208-320")</f>
        <v>Tapa Radiador SB V21208-320</v>
      </c>
      <c r="C7762" s="380" t="str">
        <f>IFERROR(__xludf.DUMMYFUNCTION("""COMPUTED_VALUE"""),"70003176")</f>
        <v>70003176</v>
      </c>
      <c r="D7762" s="380" t="s">
        <v>767</v>
      </c>
      <c r="E7762" s="380" t="s">
        <v>786</v>
      </c>
      <c r="F7762" s="380" t="s">
        <v>787</v>
      </c>
      <c r="G7762" s="380" t="s">
        <v>1267</v>
      </c>
      <c r="H7762" s="380" t="s">
        <v>771</v>
      </c>
      <c r="I7762" s="380" t="s">
        <v>788</v>
      </c>
      <c r="J7762" s="380" t="s">
        <v>773</v>
      </c>
      <c r="K7762" s="381">
        <v>0.0</v>
      </c>
      <c r="L7762" s="382">
        <v>1.0</v>
      </c>
    </row>
    <row r="7763">
      <c r="A7763" s="380" t="s">
        <v>8637</v>
      </c>
      <c r="B7763" s="380" t="str">
        <f>IFERROR(__xludf.DUMMYFUNCTION("""COMPUTED_VALUE"""),"Swich Elevavidrio Der FT 1039 7705946305")</f>
        <v>Swich Elevavidrio Der FT 1039 7705946305</v>
      </c>
      <c r="C7763" s="380" t="str">
        <f>IFERROR(__xludf.DUMMYFUNCTION("""COMPUTED_VALUE"""),"70003177")</f>
        <v>70003177</v>
      </c>
      <c r="D7763" s="380" t="s">
        <v>767</v>
      </c>
      <c r="E7763" s="380" t="s">
        <v>786</v>
      </c>
      <c r="F7763" s="380" t="s">
        <v>998</v>
      </c>
      <c r="G7763" s="380" t="s">
        <v>1267</v>
      </c>
      <c r="H7763" s="380" t="s">
        <v>771</v>
      </c>
      <c r="I7763" s="380" t="s">
        <v>788</v>
      </c>
      <c r="J7763" s="380" t="s">
        <v>773</v>
      </c>
      <c r="K7763" s="381">
        <v>0.0</v>
      </c>
      <c r="L7763" s="382">
        <v>1.0</v>
      </c>
    </row>
    <row r="7764">
      <c r="A7764" s="380" t="s">
        <v>8638</v>
      </c>
      <c r="B7764" s="380" t="str">
        <f>IFERROR(__xludf.DUMMYFUNCTION("""COMPUTED_VALUE"""),"Bomper Frontal Foton 1065 5946858274")</f>
        <v>Bomper Frontal Foton 1065 5946858274</v>
      </c>
      <c r="C7764" s="380" t="str">
        <f>IFERROR(__xludf.DUMMYFUNCTION("""COMPUTED_VALUE"""),"70003178")</f>
        <v>70003178</v>
      </c>
      <c r="D7764" s="380" t="s">
        <v>767</v>
      </c>
      <c r="E7764" s="380" t="s">
        <v>786</v>
      </c>
      <c r="F7764" s="380" t="s">
        <v>792</v>
      </c>
      <c r="G7764" s="380" t="s">
        <v>1267</v>
      </c>
      <c r="H7764" s="380" t="s">
        <v>771</v>
      </c>
      <c r="I7764" s="380" t="s">
        <v>788</v>
      </c>
      <c r="J7764" s="380" t="s">
        <v>773</v>
      </c>
      <c r="K7764" s="381">
        <v>0.0</v>
      </c>
      <c r="L7764" s="382">
        <v>1.0</v>
      </c>
    </row>
    <row r="7765">
      <c r="A7765" s="380" t="s">
        <v>8639</v>
      </c>
      <c r="B7765" s="380" t="str">
        <f>IFERROR(__xludf.DUMMYFUNCTION("""COMPUTED_VALUE"""),"SENS Posicion Cigüeñal HY H10 3965042600")</f>
        <v>SENS Posicion Cigüeñal HY H10 3965042600</v>
      </c>
      <c r="C7765" s="380" t="str">
        <f>IFERROR(__xludf.DUMMYFUNCTION("""COMPUTED_VALUE"""),"70003179")</f>
        <v>70003179</v>
      </c>
      <c r="D7765" s="380" t="s">
        <v>767</v>
      </c>
      <c r="E7765" s="380" t="s">
        <v>786</v>
      </c>
      <c r="F7765" s="380" t="s">
        <v>998</v>
      </c>
      <c r="G7765" s="380" t="s">
        <v>1267</v>
      </c>
      <c r="H7765" s="380" t="s">
        <v>771</v>
      </c>
      <c r="I7765" s="380" t="s">
        <v>788</v>
      </c>
      <c r="J7765" s="380" t="s">
        <v>773</v>
      </c>
      <c r="K7765" s="381">
        <v>0.0</v>
      </c>
      <c r="L7765" s="382">
        <v>1.0</v>
      </c>
    </row>
    <row r="7766">
      <c r="A7766" s="380" t="s">
        <v>8640</v>
      </c>
      <c r="B7766" s="380" t="str">
        <f>IFERROR(__xludf.DUMMYFUNCTION("""COMPUTED_VALUE"""),"Espejo IZQ Completo INTn Lt 4188588c91")</f>
        <v>Espejo IZQ Completo INTn Lt 4188588c91</v>
      </c>
      <c r="C7766" s="380" t="str">
        <f>IFERROR(__xludf.DUMMYFUNCTION("""COMPUTED_VALUE"""),"70003180")</f>
        <v>70003180</v>
      </c>
      <c r="D7766" s="380" t="s">
        <v>767</v>
      </c>
      <c r="E7766" s="380" t="s">
        <v>786</v>
      </c>
      <c r="F7766" s="380" t="s">
        <v>792</v>
      </c>
      <c r="G7766" s="380" t="s">
        <v>1267</v>
      </c>
      <c r="H7766" s="380" t="s">
        <v>771</v>
      </c>
      <c r="I7766" s="380" t="s">
        <v>788</v>
      </c>
      <c r="J7766" s="380" t="s">
        <v>773</v>
      </c>
      <c r="K7766" s="381">
        <v>2795046.0</v>
      </c>
      <c r="L7766" s="382">
        <v>1.0</v>
      </c>
    </row>
    <row r="7767">
      <c r="A7767" s="380" t="s">
        <v>8641</v>
      </c>
      <c r="B7767" s="380" t="str">
        <f>IFERROR(__xludf.DUMMYFUNCTION("""COMPUTED_VALUE"""),"Direcal Puerta Rh Hino 500 8.17e+44")</f>
        <v>Direcal Puerta Rh Hino 500 8.17e+44</v>
      </c>
      <c r="C7767" s="380" t="str">
        <f>IFERROR(__xludf.DUMMYFUNCTION("""COMPUTED_VALUE"""),"70003181")</f>
        <v>70003181</v>
      </c>
      <c r="D7767" s="380" t="s">
        <v>767</v>
      </c>
      <c r="E7767" s="380" t="s">
        <v>786</v>
      </c>
      <c r="F7767" s="380" t="s">
        <v>998</v>
      </c>
      <c r="G7767" s="380" t="s">
        <v>1267</v>
      </c>
      <c r="H7767" s="380" t="s">
        <v>771</v>
      </c>
      <c r="I7767" s="380" t="s">
        <v>788</v>
      </c>
      <c r="J7767" s="380" t="s">
        <v>773</v>
      </c>
      <c r="K7767" s="381">
        <v>0.0</v>
      </c>
      <c r="L7767" s="382">
        <v>1.0</v>
      </c>
    </row>
    <row r="7768">
      <c r="A7768" s="380" t="s">
        <v>8642</v>
      </c>
      <c r="B7768" s="380" t="str">
        <f>IFERROR(__xludf.DUMMYFUNCTION("""COMPUTED_VALUE"""),"Kit Cauchos Sellos BMB Engran 4089431rki")</f>
        <v>Kit Cauchos Sellos BMB Engran 4089431rki</v>
      </c>
      <c r="C7768" s="380" t="str">
        <f>IFERROR(__xludf.DUMMYFUNCTION("""COMPUTED_VALUE"""),"70003182")</f>
        <v>70003182</v>
      </c>
      <c r="D7768" s="380" t="s">
        <v>767</v>
      </c>
      <c r="E7768" s="380" t="s">
        <v>786</v>
      </c>
      <c r="F7768" s="380" t="s">
        <v>787</v>
      </c>
      <c r="G7768" s="380" t="s">
        <v>1267</v>
      </c>
      <c r="H7768" s="380" t="s">
        <v>771</v>
      </c>
      <c r="I7768" s="380" t="s">
        <v>788</v>
      </c>
      <c r="J7768" s="380" t="s">
        <v>773</v>
      </c>
      <c r="K7768" s="381">
        <v>0.0</v>
      </c>
      <c r="L7768" s="382">
        <v>1.0</v>
      </c>
    </row>
    <row r="7769">
      <c r="A7769" s="380" t="s">
        <v>8643</v>
      </c>
      <c r="B7769" s="380" t="str">
        <f>IFERROR(__xludf.DUMMYFUNCTION("""COMPUTED_VALUE"""),"MANG ENT Agua MOT FT MV5 5946027137")</f>
        <v>MANG ENT Agua MOT FT MV5 5946027137</v>
      </c>
      <c r="C7769" s="380" t="str">
        <f>IFERROR(__xludf.DUMMYFUNCTION("""COMPUTED_VALUE"""),"70003184")</f>
        <v>70003184</v>
      </c>
      <c r="D7769" s="380" t="s">
        <v>767</v>
      </c>
      <c r="E7769" s="380" t="s">
        <v>786</v>
      </c>
      <c r="F7769" s="380" t="s">
        <v>787</v>
      </c>
      <c r="G7769" s="380" t="s">
        <v>1267</v>
      </c>
      <c r="H7769" s="380" t="s">
        <v>771</v>
      </c>
      <c r="I7769" s="380" t="s">
        <v>788</v>
      </c>
      <c r="J7769" s="380" t="s">
        <v>773</v>
      </c>
      <c r="K7769" s="381">
        <v>0.0</v>
      </c>
      <c r="L7769" s="382">
        <v>1.0</v>
      </c>
    </row>
    <row r="7770">
      <c r="A7770" s="380" t="s">
        <v>8644</v>
      </c>
      <c r="B7770" s="380" t="str">
        <f>IFERROR(__xludf.DUMMYFUNCTION("""COMPUTED_VALUE"""),"Retenedor Cigueñal Tras 3006737")</f>
        <v>Retenedor Cigueñal Tras 3006737</v>
      </c>
      <c r="C7770" s="380" t="str">
        <f>IFERROR(__xludf.DUMMYFUNCTION("""COMPUTED_VALUE"""),"70003185")</f>
        <v>70003185</v>
      </c>
      <c r="D7770" s="380" t="s">
        <v>767</v>
      </c>
      <c r="E7770" s="380" t="s">
        <v>786</v>
      </c>
      <c r="F7770" s="380" t="s">
        <v>787</v>
      </c>
      <c r="G7770" s="380" t="s">
        <v>1267</v>
      </c>
      <c r="H7770" s="380" t="s">
        <v>771</v>
      </c>
      <c r="I7770" s="380" t="s">
        <v>788</v>
      </c>
      <c r="J7770" s="380" t="s">
        <v>773</v>
      </c>
      <c r="K7770" s="381">
        <v>0.0</v>
      </c>
      <c r="L7770" s="382">
        <v>1.0</v>
      </c>
    </row>
    <row r="7771">
      <c r="A7771" s="380" t="s">
        <v>8645</v>
      </c>
      <c r="B7771" s="380" t="str">
        <f>IFERROR(__xludf.DUMMYFUNCTION("""COMPUTED_VALUE"""),"Rodamiento Tras Ext Foton1039 1023676472")</f>
        <v>Rodamiento Tras Ext Foton1039 1023676472</v>
      </c>
      <c r="C7771" s="380" t="str">
        <f>IFERROR(__xludf.DUMMYFUNCTION("""COMPUTED_VALUE"""),"70003186")</f>
        <v>70003186</v>
      </c>
      <c r="D7771" s="380" t="s">
        <v>767</v>
      </c>
      <c r="E7771" s="380" t="s">
        <v>786</v>
      </c>
      <c r="F7771" s="380" t="s">
        <v>1039</v>
      </c>
      <c r="G7771" s="380" t="s">
        <v>1267</v>
      </c>
      <c r="H7771" s="380" t="s">
        <v>771</v>
      </c>
      <c r="I7771" s="380" t="s">
        <v>788</v>
      </c>
      <c r="J7771" s="380" t="s">
        <v>773</v>
      </c>
      <c r="K7771" s="381">
        <v>77321.0</v>
      </c>
      <c r="L7771" s="382">
        <v>1.0</v>
      </c>
    </row>
    <row r="7772">
      <c r="A7772" s="380" t="s">
        <v>8646</v>
      </c>
      <c r="B7772" s="380" t="str">
        <f>IFERROR(__xludf.DUMMYFUNCTION("""COMPUTED_VALUE"""),"Soporte Barra Tensora KW T800 750220")</f>
        <v>Soporte Barra Tensora KW T800 750220</v>
      </c>
      <c r="C7772" s="380" t="str">
        <f>IFERROR(__xludf.DUMMYFUNCTION("""COMPUTED_VALUE"""),"70003187")</f>
        <v>70003187</v>
      </c>
      <c r="D7772" s="380" t="s">
        <v>767</v>
      </c>
      <c r="E7772" s="380" t="s">
        <v>786</v>
      </c>
      <c r="F7772" s="380" t="s">
        <v>1039</v>
      </c>
      <c r="G7772" s="380" t="s">
        <v>1267</v>
      </c>
      <c r="H7772" s="380" t="s">
        <v>771</v>
      </c>
      <c r="I7772" s="380" t="s">
        <v>788</v>
      </c>
      <c r="J7772" s="380" t="s">
        <v>773</v>
      </c>
      <c r="K7772" s="381">
        <v>0.0</v>
      </c>
      <c r="L7772" s="382">
        <v>1.0</v>
      </c>
    </row>
    <row r="7773">
      <c r="A7773" s="380" t="s">
        <v>8647</v>
      </c>
      <c r="B7773" s="380" t="str">
        <f>IFERROR(__xludf.DUMMYFUNCTION("""COMPUTED_VALUE"""),"Grapa 1 Ballest Del Foton1039 1023085250")</f>
        <v>Grapa 1 Ballest Del Foton1039 1023085250</v>
      </c>
      <c r="C7773" s="380" t="str">
        <f>IFERROR(__xludf.DUMMYFUNCTION("""COMPUTED_VALUE"""),"70003188")</f>
        <v>70003188</v>
      </c>
      <c r="D7773" s="380" t="s">
        <v>767</v>
      </c>
      <c r="E7773" s="380" t="s">
        <v>786</v>
      </c>
      <c r="F7773" s="380" t="s">
        <v>1039</v>
      </c>
      <c r="G7773" s="380" t="s">
        <v>1267</v>
      </c>
      <c r="H7773" s="380" t="s">
        <v>771</v>
      </c>
      <c r="I7773" s="380" t="s">
        <v>788</v>
      </c>
      <c r="J7773" s="380" t="s">
        <v>773</v>
      </c>
      <c r="K7773" s="381">
        <v>0.0</v>
      </c>
      <c r="L7773" s="382">
        <v>1.0</v>
      </c>
    </row>
    <row r="7774">
      <c r="A7774" s="380" t="s">
        <v>8648</v>
      </c>
      <c r="B7774" s="380" t="str">
        <f>IFERROR(__xludf.DUMMYFUNCTION("""COMPUTED_VALUE"""),"Tope Ballesta Del Foton 1039 5946463676")</f>
        <v>Tope Ballesta Del Foton 1039 5946463676</v>
      </c>
      <c r="C7774" s="380" t="str">
        <f>IFERROR(__xludf.DUMMYFUNCTION("""COMPUTED_VALUE"""),"70003189")</f>
        <v>70003189</v>
      </c>
      <c r="D7774" s="380" t="s">
        <v>767</v>
      </c>
      <c r="E7774" s="380" t="s">
        <v>786</v>
      </c>
      <c r="F7774" s="380" t="s">
        <v>1039</v>
      </c>
      <c r="G7774" s="380" t="s">
        <v>1267</v>
      </c>
      <c r="H7774" s="380" t="s">
        <v>771</v>
      </c>
      <c r="I7774" s="380" t="s">
        <v>788</v>
      </c>
      <c r="J7774" s="380" t="s">
        <v>773</v>
      </c>
      <c r="K7774" s="381">
        <v>0.0</v>
      </c>
      <c r="L7774" s="382">
        <v>1.0</v>
      </c>
    </row>
    <row r="7775">
      <c r="A7775" s="380" t="s">
        <v>8649</v>
      </c>
      <c r="B7775" s="380" t="str">
        <f>IFERROR(__xludf.DUMMYFUNCTION("""COMPUTED_VALUE"""),"Buje Cent Cauch Basti Eagl KW H29483005l")</f>
        <v>Buje Cent Cauch Basti Eagl KW H29483005l</v>
      </c>
      <c r="C7775" s="380" t="str">
        <f>IFERROR(__xludf.DUMMYFUNCTION("""COMPUTED_VALUE"""),"70003190")</f>
        <v>70003190</v>
      </c>
      <c r="D7775" s="380" t="s">
        <v>767</v>
      </c>
      <c r="E7775" s="380" t="s">
        <v>786</v>
      </c>
      <c r="F7775" s="380" t="s">
        <v>1039</v>
      </c>
      <c r="G7775" s="380" t="s">
        <v>1267</v>
      </c>
      <c r="H7775" s="380" t="s">
        <v>771</v>
      </c>
      <c r="I7775" s="380" t="s">
        <v>788</v>
      </c>
      <c r="J7775" s="380" t="s">
        <v>773</v>
      </c>
      <c r="K7775" s="381">
        <v>0.0</v>
      </c>
      <c r="L7775" s="382">
        <v>1.0</v>
      </c>
    </row>
    <row r="7776">
      <c r="A7776" s="380" t="s">
        <v>8650</v>
      </c>
      <c r="B7776" s="380" t="str">
        <f>IFERROR(__xludf.DUMMYFUNCTION("""COMPUTED_VALUE"""),"Rodamiento Int Tras Jac 1120 9707510900")</f>
        <v>Rodamiento Int Tras Jac 1120 9707510900</v>
      </c>
      <c r="C7776" s="380" t="str">
        <f>IFERROR(__xludf.DUMMYFUNCTION("""COMPUTED_VALUE"""),"70003191")</f>
        <v>70003191</v>
      </c>
      <c r="D7776" s="380" t="s">
        <v>767</v>
      </c>
      <c r="E7776" s="380" t="s">
        <v>786</v>
      </c>
      <c r="F7776" s="380" t="s">
        <v>1039</v>
      </c>
      <c r="G7776" s="380" t="s">
        <v>1267</v>
      </c>
      <c r="H7776" s="380" t="s">
        <v>771</v>
      </c>
      <c r="I7776" s="380" t="s">
        <v>788</v>
      </c>
      <c r="J7776" s="380" t="s">
        <v>773</v>
      </c>
      <c r="K7776" s="381">
        <v>0.0</v>
      </c>
      <c r="L7776" s="382">
        <v>1.0</v>
      </c>
    </row>
    <row r="7777">
      <c r="A7777" s="380" t="s">
        <v>8651</v>
      </c>
      <c r="B7777" s="380" t="str">
        <f>IFERROR(__xludf.DUMMYFUNCTION("""COMPUTED_VALUE"""),"Rodamiento Ext Tras Jac 1120 9706510810")</f>
        <v>Rodamiento Ext Tras Jac 1120 9706510810</v>
      </c>
      <c r="C7777" s="380" t="str">
        <f>IFERROR(__xludf.DUMMYFUNCTION("""COMPUTED_VALUE"""),"70003192")</f>
        <v>70003192</v>
      </c>
      <c r="D7777" s="380" t="s">
        <v>767</v>
      </c>
      <c r="E7777" s="380" t="s">
        <v>786</v>
      </c>
      <c r="F7777" s="380" t="s">
        <v>1039</v>
      </c>
      <c r="G7777" s="380" t="s">
        <v>1267</v>
      </c>
      <c r="H7777" s="380" t="s">
        <v>771</v>
      </c>
      <c r="I7777" s="380" t="s">
        <v>788</v>
      </c>
      <c r="J7777" s="380" t="s">
        <v>773</v>
      </c>
      <c r="K7777" s="381">
        <v>0.0</v>
      </c>
      <c r="L7777" s="382">
        <v>1.0</v>
      </c>
    </row>
    <row r="7778">
      <c r="A7778" s="380" t="s">
        <v>8652</v>
      </c>
      <c r="B7778" s="380" t="str">
        <f>IFERROR(__xludf.DUMMYFUNCTION("""COMPUTED_VALUE"""),"Pasador Muelle Del KW T800 B65-1002")</f>
        <v>Pasador Muelle Del KW T800 B65-1002</v>
      </c>
      <c r="C7778" s="380" t="str">
        <f>IFERROR(__xludf.DUMMYFUNCTION("""COMPUTED_VALUE"""),"70003193")</f>
        <v>70003193</v>
      </c>
      <c r="D7778" s="380" t="s">
        <v>767</v>
      </c>
      <c r="E7778" s="380" t="s">
        <v>786</v>
      </c>
      <c r="F7778" s="380" t="s">
        <v>1039</v>
      </c>
      <c r="G7778" s="380" t="s">
        <v>1267</v>
      </c>
      <c r="H7778" s="380" t="s">
        <v>771</v>
      </c>
      <c r="I7778" s="380" t="s">
        <v>788</v>
      </c>
      <c r="J7778" s="380" t="s">
        <v>773</v>
      </c>
      <c r="K7778" s="381">
        <v>0.0</v>
      </c>
      <c r="L7778" s="382">
        <v>1.0</v>
      </c>
    </row>
    <row r="7779">
      <c r="A7779" s="380" t="s">
        <v>8653</v>
      </c>
      <c r="B7779" s="380" t="str">
        <f>IFERROR(__xludf.DUMMYFUNCTION("""COMPUTED_VALUE"""),"Amortiguador Del Foton 1039 1023085205")</f>
        <v>Amortiguador Del Foton 1039 1023085205</v>
      </c>
      <c r="C7779" s="380" t="str">
        <f>IFERROR(__xludf.DUMMYFUNCTION("""COMPUTED_VALUE"""),"70003194")</f>
        <v>70003194</v>
      </c>
      <c r="D7779" s="380" t="s">
        <v>767</v>
      </c>
      <c r="E7779" s="380" t="s">
        <v>786</v>
      </c>
      <c r="F7779" s="380" t="s">
        <v>1039</v>
      </c>
      <c r="G7779" s="380" t="s">
        <v>1267</v>
      </c>
      <c r="H7779" s="380" t="s">
        <v>771</v>
      </c>
      <c r="I7779" s="380" t="s">
        <v>788</v>
      </c>
      <c r="J7779" s="380" t="s">
        <v>773</v>
      </c>
      <c r="K7779" s="381">
        <v>0.0</v>
      </c>
      <c r="L7779" s="382">
        <v>1.0</v>
      </c>
    </row>
    <row r="7780">
      <c r="A7780" s="380" t="s">
        <v>8654</v>
      </c>
      <c r="B7780" s="380" t="str">
        <f>IFERROR(__xludf.DUMMYFUNCTION("""COMPUTED_VALUE"""),"Corbatin Barra Tensora KW T800 90008265")</f>
        <v>Corbatin Barra Tensora KW T800 90008265</v>
      </c>
      <c r="C7780" s="380" t="str">
        <f>IFERROR(__xludf.DUMMYFUNCTION("""COMPUTED_VALUE"""),"70003195")</f>
        <v>70003195</v>
      </c>
      <c r="D7780" s="380" t="s">
        <v>767</v>
      </c>
      <c r="E7780" s="380" t="s">
        <v>786</v>
      </c>
      <c r="F7780" s="380" t="s">
        <v>1039</v>
      </c>
      <c r="G7780" s="380" t="s">
        <v>1267</v>
      </c>
      <c r="H7780" s="380" t="s">
        <v>771</v>
      </c>
      <c r="I7780" s="380" t="s">
        <v>788</v>
      </c>
      <c r="J7780" s="380" t="s">
        <v>773</v>
      </c>
      <c r="K7780" s="381">
        <v>0.0</v>
      </c>
      <c r="L7780" s="382">
        <v>1.0</v>
      </c>
    </row>
    <row r="7781">
      <c r="A7781" s="380" t="s">
        <v>8655</v>
      </c>
      <c r="B7781" s="380" t="str">
        <f>IFERROR(__xludf.DUMMYFUNCTION("""COMPUTED_VALUE"""),"Aran Buje Sus Nw Tras Barr V KW 93600561")</f>
        <v>Aran Buje Sus Nw Tras Barr V KW 93600561</v>
      </c>
      <c r="C7781" s="380" t="str">
        <f>IFERROR(__xludf.DUMMYFUNCTION("""COMPUTED_VALUE"""),"70003196")</f>
        <v>70003196</v>
      </c>
      <c r="D7781" s="380" t="s">
        <v>767</v>
      </c>
      <c r="E7781" s="380" t="s">
        <v>786</v>
      </c>
      <c r="F7781" s="380" t="s">
        <v>1039</v>
      </c>
      <c r="G7781" s="380" t="s">
        <v>1267</v>
      </c>
      <c r="H7781" s="380" t="s">
        <v>771</v>
      </c>
      <c r="I7781" s="380" t="s">
        <v>788</v>
      </c>
      <c r="J7781" s="380" t="s">
        <v>773</v>
      </c>
      <c r="K7781" s="381">
        <v>0.0</v>
      </c>
      <c r="L7781" s="382">
        <v>1.0</v>
      </c>
    </row>
    <row r="7782">
      <c r="A7782" s="380" t="s">
        <v>8656</v>
      </c>
      <c r="B7782" s="380" t="str">
        <f>IFERROR(__xludf.DUMMYFUNCTION("""COMPUTED_VALUE"""),"Arand Plana Torni Susp KW T800 93600168")</f>
        <v>Arand Plana Torni Susp KW T800 93600168</v>
      </c>
      <c r="C7782" s="380" t="str">
        <f>IFERROR(__xludf.DUMMYFUNCTION("""COMPUTED_VALUE"""),"70003197")</f>
        <v>70003197</v>
      </c>
      <c r="D7782" s="380" t="s">
        <v>767</v>
      </c>
      <c r="E7782" s="380" t="s">
        <v>786</v>
      </c>
      <c r="F7782" s="380" t="s">
        <v>1039</v>
      </c>
      <c r="G7782" s="380" t="s">
        <v>1267</v>
      </c>
      <c r="H7782" s="380" t="s">
        <v>771</v>
      </c>
      <c r="I7782" s="380" t="s">
        <v>788</v>
      </c>
      <c r="J7782" s="380" t="s">
        <v>773</v>
      </c>
      <c r="K7782" s="381">
        <v>0.0</v>
      </c>
      <c r="L7782" s="382">
        <v>1.0</v>
      </c>
    </row>
    <row r="7783">
      <c r="A7783" s="380" t="s">
        <v>8657</v>
      </c>
      <c r="B7783" s="380" t="str">
        <f>IFERROR(__xludf.DUMMYFUNCTION("""COMPUTED_VALUE"""),"Tornillo Hexag 18x6 Gr8 Adz KW 93004301")</f>
        <v>Tornillo Hexag 18x6 Gr8 Adz KW 93004301</v>
      </c>
      <c r="C7783" s="380" t="str">
        <f>IFERROR(__xludf.DUMMYFUNCTION("""COMPUTED_VALUE"""),"70003198")</f>
        <v>70003198</v>
      </c>
      <c r="D7783" s="380" t="s">
        <v>767</v>
      </c>
      <c r="E7783" s="380" t="s">
        <v>786</v>
      </c>
      <c r="F7783" s="380" t="s">
        <v>1039</v>
      </c>
      <c r="G7783" s="380" t="s">
        <v>1267</v>
      </c>
      <c r="H7783" s="380" t="s">
        <v>771</v>
      </c>
      <c r="I7783" s="380" t="s">
        <v>788</v>
      </c>
      <c r="J7783" s="380" t="s">
        <v>773</v>
      </c>
      <c r="K7783" s="381">
        <v>0.0</v>
      </c>
      <c r="L7783" s="382">
        <v>1.0</v>
      </c>
    </row>
    <row r="7784">
      <c r="A7784" s="380" t="s">
        <v>8658</v>
      </c>
      <c r="B7784" s="380" t="str">
        <f>IFERROR(__xludf.DUMMYFUNCTION("""COMPUTED_VALUE"""),"Arandel Tornillo Zapa Susp KW 1123000101")</f>
        <v>Arandel Tornillo Zapa Susp KW 1123000101</v>
      </c>
      <c r="C7784" s="380" t="str">
        <f>IFERROR(__xludf.DUMMYFUNCTION("""COMPUTED_VALUE"""),"70003199")</f>
        <v>70003199</v>
      </c>
      <c r="D7784" s="380" t="s">
        <v>767</v>
      </c>
      <c r="E7784" s="380" t="s">
        <v>786</v>
      </c>
      <c r="F7784" s="380" t="s">
        <v>1039</v>
      </c>
      <c r="G7784" s="380" t="s">
        <v>1267</v>
      </c>
      <c r="H7784" s="380" t="s">
        <v>771</v>
      </c>
      <c r="I7784" s="380" t="s">
        <v>788</v>
      </c>
      <c r="J7784" s="380" t="s">
        <v>773</v>
      </c>
      <c r="K7784" s="381">
        <v>0.0</v>
      </c>
      <c r="L7784" s="382">
        <v>1.0</v>
      </c>
    </row>
    <row r="7785">
      <c r="A7785" s="380" t="s">
        <v>8659</v>
      </c>
      <c r="B7785" s="380" t="str">
        <f>IFERROR(__xludf.DUMMYFUNCTION("""COMPUTED_VALUE"""),"Tornillo Para Buje Trifunsion 1 1/8"" X 1")</f>
        <v>Tornillo Para Buje Trifunsion 1 1/8" X 1</v>
      </c>
      <c r="C7785" s="380" t="str">
        <f>IFERROR(__xludf.DUMMYFUNCTION("""COMPUTED_VALUE"""),"70003200")</f>
        <v>70003200</v>
      </c>
      <c r="D7785" s="380" t="s">
        <v>767</v>
      </c>
      <c r="E7785" s="380" t="s">
        <v>786</v>
      </c>
      <c r="F7785" s="380" t="s">
        <v>1039</v>
      </c>
      <c r="G7785" s="380" t="s">
        <v>1267</v>
      </c>
      <c r="H7785" s="380" t="s">
        <v>771</v>
      </c>
      <c r="I7785" s="380" t="s">
        <v>788</v>
      </c>
      <c r="J7785" s="380" t="s">
        <v>773</v>
      </c>
      <c r="K7785" s="381">
        <v>65450.0</v>
      </c>
      <c r="L7785" s="382">
        <v>1.0</v>
      </c>
    </row>
    <row r="7786">
      <c r="A7786" s="380" t="s">
        <v>8660</v>
      </c>
      <c r="B7786" s="380" t="str">
        <f>IFERROR(__xludf.DUMMYFUNCTION("""COMPUTED_VALUE"""),"Tornillo Suspens Neumat Eagle 2022650 C1")</f>
        <v>Tornillo Suspens Neumat Eagle 2022650 C1</v>
      </c>
      <c r="C7786" s="380" t="str">
        <f>IFERROR(__xludf.DUMMYFUNCTION("""COMPUTED_VALUE"""),"70003201")</f>
        <v>70003201</v>
      </c>
      <c r="D7786" s="380" t="s">
        <v>767</v>
      </c>
      <c r="E7786" s="380" t="s">
        <v>786</v>
      </c>
      <c r="F7786" s="380" t="s">
        <v>1039</v>
      </c>
      <c r="G7786" s="380" t="s">
        <v>1267</v>
      </c>
      <c r="H7786" s="380" t="s">
        <v>771</v>
      </c>
      <c r="I7786" s="380" t="s">
        <v>788</v>
      </c>
      <c r="J7786" s="380" t="s">
        <v>773</v>
      </c>
      <c r="K7786" s="381">
        <v>0.0</v>
      </c>
      <c r="L7786" s="382">
        <v>1.0</v>
      </c>
    </row>
    <row r="7787">
      <c r="A7787" s="380" t="s">
        <v>8661</v>
      </c>
      <c r="B7787" s="380" t="str">
        <f>IFERROR(__xludf.DUMMYFUNCTION("""COMPUTED_VALUE"""),"Rodamiento Tras Int Foton1039 1023774888")</f>
        <v>Rodamiento Tras Int Foton1039 1023774888</v>
      </c>
      <c r="C7787" s="380" t="str">
        <f>IFERROR(__xludf.DUMMYFUNCTION("""COMPUTED_VALUE"""),"70003202")</f>
        <v>70003202</v>
      </c>
      <c r="D7787" s="380" t="s">
        <v>767</v>
      </c>
      <c r="E7787" s="380" t="s">
        <v>786</v>
      </c>
      <c r="F7787" s="380" t="s">
        <v>1039</v>
      </c>
      <c r="G7787" s="380" t="s">
        <v>1267</v>
      </c>
      <c r="H7787" s="380" t="s">
        <v>771</v>
      </c>
      <c r="I7787" s="380" t="s">
        <v>788</v>
      </c>
      <c r="J7787" s="380" t="s">
        <v>773</v>
      </c>
      <c r="K7787" s="381">
        <v>0.0</v>
      </c>
      <c r="L7787" s="382">
        <v>1.0</v>
      </c>
    </row>
    <row r="7788">
      <c r="A7788" s="380" t="s">
        <v>8662</v>
      </c>
      <c r="B7788" s="380" t="str">
        <f>IFERROR(__xludf.DUMMYFUNCTION("""COMPUTED_VALUE"""),"Buje Muelle Del FRR 8980821760")</f>
        <v>Buje Muelle Del FRR 8980821760</v>
      </c>
      <c r="C7788" s="380" t="str">
        <f>IFERROR(__xludf.DUMMYFUNCTION("""COMPUTED_VALUE"""),"70003203")</f>
        <v>70003203</v>
      </c>
      <c r="D7788" s="380" t="s">
        <v>767</v>
      </c>
      <c r="E7788" s="380" t="s">
        <v>786</v>
      </c>
      <c r="F7788" s="380" t="s">
        <v>1039</v>
      </c>
      <c r="G7788" s="380" t="s">
        <v>1267</v>
      </c>
      <c r="H7788" s="380" t="s">
        <v>771</v>
      </c>
      <c r="I7788" s="380" t="s">
        <v>788</v>
      </c>
      <c r="J7788" s="380" t="s">
        <v>773</v>
      </c>
      <c r="K7788" s="381">
        <v>0.0</v>
      </c>
      <c r="L7788" s="382">
        <v>1.0</v>
      </c>
    </row>
    <row r="7789">
      <c r="A7789" s="380" t="s">
        <v>8663</v>
      </c>
      <c r="B7789" s="380" t="str">
        <f>IFERROR(__xludf.DUMMYFUNCTION("""COMPUTED_VALUE"""),"Pasador Mulle Del FRR 8983742810")</f>
        <v>Pasador Mulle Del FRR 8983742810</v>
      </c>
      <c r="C7789" s="380" t="str">
        <f>IFERROR(__xludf.DUMMYFUNCTION("""COMPUTED_VALUE"""),"70003204")</f>
        <v>70003204</v>
      </c>
      <c r="D7789" s="380" t="s">
        <v>767</v>
      </c>
      <c r="E7789" s="380" t="s">
        <v>786</v>
      </c>
      <c r="F7789" s="380" t="s">
        <v>1039</v>
      </c>
      <c r="G7789" s="380" t="s">
        <v>1267</v>
      </c>
      <c r="H7789" s="380" t="s">
        <v>771</v>
      </c>
      <c r="I7789" s="380" t="s">
        <v>788</v>
      </c>
      <c r="J7789" s="380" t="s">
        <v>773</v>
      </c>
      <c r="K7789" s="381">
        <v>0.0</v>
      </c>
      <c r="L7789" s="382">
        <v>1.0</v>
      </c>
    </row>
    <row r="7790">
      <c r="A7790" s="380" t="s">
        <v>8664</v>
      </c>
      <c r="B7790" s="380" t="str">
        <f>IFERROR(__xludf.DUMMYFUNCTION("""COMPUTED_VALUE"""),"Varilla Regulac Valvula Eagle 2597087C1")</f>
        <v>Varilla Regulac Valvula Eagle 2597087C1</v>
      </c>
      <c r="C7790" s="380" t="str">
        <f>IFERROR(__xludf.DUMMYFUNCTION("""COMPUTED_VALUE"""),"70003205")</f>
        <v>70003205</v>
      </c>
      <c r="D7790" s="380" t="s">
        <v>767</v>
      </c>
      <c r="E7790" s="380" t="s">
        <v>786</v>
      </c>
      <c r="F7790" s="380" t="s">
        <v>1039</v>
      </c>
      <c r="G7790" s="380" t="s">
        <v>1267</v>
      </c>
      <c r="H7790" s="380" t="s">
        <v>771</v>
      </c>
      <c r="I7790" s="380" t="s">
        <v>788</v>
      </c>
      <c r="J7790" s="380" t="s">
        <v>773</v>
      </c>
      <c r="K7790" s="381">
        <v>95200.0</v>
      </c>
      <c r="L7790" s="382">
        <v>1.0</v>
      </c>
    </row>
    <row r="7791">
      <c r="A7791" s="380" t="s">
        <v>8665</v>
      </c>
      <c r="B7791" s="380" t="str">
        <f>IFERROR(__xludf.DUMMYFUNCTION("""COMPUTED_VALUE"""),"Set Rodill/Cuna 653/663 Trail Dit SET405")</f>
        <v>Set Rodill/Cuna 653/663 Trail Dit SET405</v>
      </c>
      <c r="C7791" s="380" t="str">
        <f>IFERROR(__xludf.DUMMYFUNCTION("""COMPUTED_VALUE"""),"70003206")</f>
        <v>70003206</v>
      </c>
      <c r="D7791" s="380" t="s">
        <v>767</v>
      </c>
      <c r="E7791" s="380" t="s">
        <v>786</v>
      </c>
      <c r="F7791" s="380" t="s">
        <v>1039</v>
      </c>
      <c r="G7791" s="380" t="s">
        <v>1267</v>
      </c>
      <c r="H7791" s="380" t="s">
        <v>771</v>
      </c>
      <c r="I7791" s="380" t="s">
        <v>788</v>
      </c>
      <c r="J7791" s="380" t="s">
        <v>773</v>
      </c>
      <c r="K7791" s="381">
        <v>0.0</v>
      </c>
      <c r="L7791" s="382">
        <v>1.0</v>
      </c>
    </row>
    <row r="7792">
      <c r="A7792" s="380" t="s">
        <v>8666</v>
      </c>
      <c r="B7792" s="380" t="str">
        <f>IFERROR(__xludf.DUMMYFUNCTION("""COMPUTED_VALUE"""),"Ballesta Del Foton 1039 7701023085199")</f>
        <v>Ballesta Del Foton 1039 7701023085199</v>
      </c>
      <c r="C7792" s="380" t="str">
        <f>IFERROR(__xludf.DUMMYFUNCTION("""COMPUTED_VALUE"""),"70003207")</f>
        <v>70003207</v>
      </c>
      <c r="D7792" s="380" t="s">
        <v>767</v>
      </c>
      <c r="E7792" s="380" t="s">
        <v>786</v>
      </c>
      <c r="F7792" s="380" t="s">
        <v>1039</v>
      </c>
      <c r="G7792" s="380" t="s">
        <v>1267</v>
      </c>
      <c r="H7792" s="380" t="s">
        <v>771</v>
      </c>
      <c r="I7792" s="380" t="s">
        <v>788</v>
      </c>
      <c r="J7792" s="380" t="s">
        <v>773</v>
      </c>
      <c r="K7792" s="381">
        <v>0.0</v>
      </c>
      <c r="L7792" s="382">
        <v>1.0</v>
      </c>
    </row>
    <row r="7793">
      <c r="A7793" s="380" t="s">
        <v>8667</v>
      </c>
      <c r="B7793" s="380" t="str">
        <f>IFERROR(__xludf.DUMMYFUNCTION("""COMPUTED_VALUE"""),"Buje Barra Estabilizad En V KW 90008264")</f>
        <v>Buje Barra Estabilizad En V KW 90008264</v>
      </c>
      <c r="C7793" s="380" t="str">
        <f>IFERROR(__xludf.DUMMYFUNCTION("""COMPUTED_VALUE"""),"70003208")</f>
        <v>70003208</v>
      </c>
      <c r="D7793" s="380" t="s">
        <v>767</v>
      </c>
      <c r="E7793" s="380" t="s">
        <v>786</v>
      </c>
      <c r="F7793" s="380" t="s">
        <v>1039</v>
      </c>
      <c r="G7793" s="380" t="s">
        <v>1267</v>
      </c>
      <c r="H7793" s="380" t="s">
        <v>771</v>
      </c>
      <c r="I7793" s="380" t="s">
        <v>788</v>
      </c>
      <c r="J7793" s="380" t="s">
        <v>773</v>
      </c>
      <c r="K7793" s="381">
        <v>0.0</v>
      </c>
      <c r="L7793" s="382">
        <v>1.0</v>
      </c>
    </row>
    <row r="7794">
      <c r="A7794" s="380" t="s">
        <v>8668</v>
      </c>
      <c r="B7794" s="380" t="str">
        <f>IFERROR(__xludf.DUMMYFUNCTION("""COMPUTED_VALUE"""),"Reten Rueda Del Foton BJ1039 1023998475")</f>
        <v>Reten Rueda Del Foton BJ1039 1023998475</v>
      </c>
      <c r="C7794" s="380" t="str">
        <f>IFERROR(__xludf.DUMMYFUNCTION("""COMPUTED_VALUE"""),"70003209")</f>
        <v>70003209</v>
      </c>
      <c r="D7794" s="380" t="s">
        <v>767</v>
      </c>
      <c r="E7794" s="380" t="s">
        <v>786</v>
      </c>
      <c r="F7794" s="380" t="s">
        <v>1039</v>
      </c>
      <c r="G7794" s="380" t="s">
        <v>1267</v>
      </c>
      <c r="H7794" s="380" t="s">
        <v>771</v>
      </c>
      <c r="I7794" s="380" t="s">
        <v>788</v>
      </c>
      <c r="J7794" s="380" t="s">
        <v>773</v>
      </c>
      <c r="K7794" s="381">
        <v>14159.0</v>
      </c>
      <c r="L7794" s="382">
        <v>1.0</v>
      </c>
    </row>
    <row r="7795">
      <c r="A7795" s="380" t="s">
        <v>8669</v>
      </c>
      <c r="B7795" s="380" t="str">
        <f>IFERROR(__xludf.DUMMYFUNCTION("""COMPUTED_VALUE"""),"Rodamien Del Ext Foton BJ1039 1023981187")</f>
        <v>Rodamien Del Ext Foton BJ1039 1023981187</v>
      </c>
      <c r="C7795" s="380" t="str">
        <f>IFERROR(__xludf.DUMMYFUNCTION("""COMPUTED_VALUE"""),"70003210")</f>
        <v>70003210</v>
      </c>
      <c r="D7795" s="380" t="s">
        <v>767</v>
      </c>
      <c r="E7795" s="380" t="s">
        <v>786</v>
      </c>
      <c r="F7795" s="380" t="s">
        <v>1039</v>
      </c>
      <c r="G7795" s="380" t="s">
        <v>1267</v>
      </c>
      <c r="H7795" s="380" t="s">
        <v>771</v>
      </c>
      <c r="I7795" s="380" t="s">
        <v>788</v>
      </c>
      <c r="J7795" s="380" t="s">
        <v>773</v>
      </c>
      <c r="K7795" s="381">
        <v>0.0</v>
      </c>
      <c r="L7795" s="382">
        <v>1.0</v>
      </c>
    </row>
    <row r="7796">
      <c r="A7796" s="380" t="s">
        <v>8670</v>
      </c>
      <c r="B7796" s="380" t="str">
        <f>IFERROR(__xludf.DUMMYFUNCTION("""COMPUTED_VALUE"""),"Rodamiento Del Ext Foton 1039 5946720830")</f>
        <v>Rodamiento Del Ext Foton 1039 5946720830</v>
      </c>
      <c r="C7796" s="380" t="str">
        <f>IFERROR(__xludf.DUMMYFUNCTION("""COMPUTED_VALUE"""),"70003211")</f>
        <v>70003211</v>
      </c>
      <c r="D7796" s="380" t="s">
        <v>767</v>
      </c>
      <c r="E7796" s="380" t="s">
        <v>786</v>
      </c>
      <c r="F7796" s="380" t="s">
        <v>1039</v>
      </c>
      <c r="G7796" s="380" t="s">
        <v>1267</v>
      </c>
      <c r="H7796" s="380" t="s">
        <v>771</v>
      </c>
      <c r="I7796" s="380" t="s">
        <v>788</v>
      </c>
      <c r="J7796" s="380" t="s">
        <v>773</v>
      </c>
      <c r="K7796" s="381">
        <v>55197.0</v>
      </c>
      <c r="L7796" s="382">
        <v>1.0</v>
      </c>
    </row>
    <row r="7797">
      <c r="A7797" s="380" t="s">
        <v>8671</v>
      </c>
      <c r="B7797" s="380" t="str">
        <f>IFERROR(__xludf.DUMMYFUNCTION("""COMPUTED_VALUE"""),"Rodamiento Del Int Foton 1065 1023706698")</f>
        <v>Rodamiento Del Int Foton 1065 1023706698</v>
      </c>
      <c r="C7797" s="380" t="str">
        <f>IFERROR(__xludf.DUMMYFUNCTION("""COMPUTED_VALUE"""),"70003212")</f>
        <v>70003212</v>
      </c>
      <c r="D7797" s="380" t="s">
        <v>767</v>
      </c>
      <c r="E7797" s="380" t="s">
        <v>786</v>
      </c>
      <c r="F7797" s="380" t="s">
        <v>1039</v>
      </c>
      <c r="G7797" s="380" t="s">
        <v>1267</v>
      </c>
      <c r="H7797" s="380" t="s">
        <v>771</v>
      </c>
      <c r="I7797" s="380" t="s">
        <v>788</v>
      </c>
      <c r="J7797" s="380" t="s">
        <v>773</v>
      </c>
      <c r="K7797" s="381">
        <v>0.0</v>
      </c>
      <c r="L7797" s="382">
        <v>1.0</v>
      </c>
    </row>
    <row r="7798">
      <c r="A7798" s="380" t="s">
        <v>8672</v>
      </c>
      <c r="B7798" s="380" t="str">
        <f>IFERROR(__xludf.DUMMYFUNCTION("""COMPUTED_VALUE"""),"Soporte Amortig Tras Prostar 2036086C91")</f>
        <v>Soporte Amortig Tras Prostar 2036086C91</v>
      </c>
      <c r="C7798" s="380" t="str">
        <f>IFERROR(__xludf.DUMMYFUNCTION("""COMPUTED_VALUE"""),"70003213")</f>
        <v>70003213</v>
      </c>
      <c r="D7798" s="380" t="s">
        <v>767</v>
      </c>
      <c r="E7798" s="380" t="s">
        <v>786</v>
      </c>
      <c r="F7798" s="380" t="s">
        <v>1039</v>
      </c>
      <c r="G7798" s="380" t="s">
        <v>1267</v>
      </c>
      <c r="H7798" s="380" t="s">
        <v>771</v>
      </c>
      <c r="I7798" s="380" t="s">
        <v>788</v>
      </c>
      <c r="J7798" s="380" t="s">
        <v>773</v>
      </c>
      <c r="K7798" s="381">
        <v>0.0</v>
      </c>
      <c r="L7798" s="382">
        <v>1.0</v>
      </c>
    </row>
    <row r="7799">
      <c r="A7799" s="380" t="s">
        <v>8673</v>
      </c>
      <c r="B7799" s="380" t="str">
        <f>IFERROR(__xludf.DUMMYFUNCTION("""COMPUTED_VALUE"""),"Buje Tijera Hyundai")</f>
        <v>Buje Tijera Hyundai</v>
      </c>
      <c r="C7799" s="380" t="str">
        <f>IFERROR(__xludf.DUMMYFUNCTION("""COMPUTED_VALUE"""),"70003214")</f>
        <v>70003214</v>
      </c>
      <c r="D7799" s="380" t="s">
        <v>767</v>
      </c>
      <c r="E7799" s="380" t="s">
        <v>786</v>
      </c>
      <c r="F7799" s="380" t="s">
        <v>1039</v>
      </c>
      <c r="G7799" s="380" t="s">
        <v>1267</v>
      </c>
      <c r="H7799" s="380" t="s">
        <v>771</v>
      </c>
      <c r="I7799" s="380" t="s">
        <v>788</v>
      </c>
      <c r="J7799" s="380" t="s">
        <v>773</v>
      </c>
      <c r="K7799" s="381">
        <v>0.0</v>
      </c>
      <c r="L7799" s="382">
        <v>1.0</v>
      </c>
    </row>
    <row r="7800">
      <c r="A7800" s="380" t="s">
        <v>8674</v>
      </c>
      <c r="B7800" s="380" t="str">
        <f>IFERROR(__xludf.DUMMYFUNCTION("""COMPUTED_VALUE"""),"Amortiguador Del Hyundai")</f>
        <v>Amortiguador Del Hyundai</v>
      </c>
      <c r="C7800" s="380" t="str">
        <f>IFERROR(__xludf.DUMMYFUNCTION("""COMPUTED_VALUE"""),"70003215")</f>
        <v>70003215</v>
      </c>
      <c r="D7800" s="380" t="s">
        <v>767</v>
      </c>
      <c r="E7800" s="380" t="s">
        <v>786</v>
      </c>
      <c r="F7800" s="380" t="s">
        <v>1039</v>
      </c>
      <c r="G7800" s="380" t="s">
        <v>1267</v>
      </c>
      <c r="H7800" s="380" t="s">
        <v>771</v>
      </c>
      <c r="I7800" s="380" t="s">
        <v>788</v>
      </c>
      <c r="J7800" s="380" t="s">
        <v>773</v>
      </c>
      <c r="K7800" s="381">
        <v>0.0</v>
      </c>
      <c r="L7800" s="382">
        <v>1.0</v>
      </c>
    </row>
    <row r="7801">
      <c r="A7801" s="380" t="s">
        <v>8675</v>
      </c>
      <c r="B7801" s="380" t="str">
        <f>IFERROR(__xludf.DUMMYFUNCTION("""COMPUTED_VALUE"""),"Tensor Ajustable Trailer 12"" 2199/01")</f>
        <v>Tensor Ajustable Trailer 12" 2199/01</v>
      </c>
      <c r="C7801" s="380" t="str">
        <f>IFERROR(__xludf.DUMMYFUNCTION("""COMPUTED_VALUE"""),"70003216")</f>
        <v>70003216</v>
      </c>
      <c r="D7801" s="380" t="s">
        <v>767</v>
      </c>
      <c r="E7801" s="380" t="s">
        <v>786</v>
      </c>
      <c r="F7801" s="380" t="s">
        <v>1039</v>
      </c>
      <c r="G7801" s="380" t="s">
        <v>1267</v>
      </c>
      <c r="H7801" s="380" t="s">
        <v>771</v>
      </c>
      <c r="I7801" s="380" t="s">
        <v>788</v>
      </c>
      <c r="J7801" s="380" t="s">
        <v>773</v>
      </c>
      <c r="K7801" s="381">
        <v>0.0</v>
      </c>
      <c r="L7801" s="382">
        <v>1.0</v>
      </c>
    </row>
    <row r="7802">
      <c r="A7802" s="380" t="s">
        <v>8676</v>
      </c>
      <c r="B7802" s="380" t="str">
        <f>IFERROR(__xludf.DUMMYFUNCTION("""COMPUTED_VALUE"""),"Tensor Fijo Corto 4201")</f>
        <v>Tensor Fijo Corto 4201</v>
      </c>
      <c r="C7802" s="380" t="str">
        <f>IFERROR(__xludf.DUMMYFUNCTION("""COMPUTED_VALUE"""),"70003217")</f>
        <v>70003217</v>
      </c>
      <c r="D7802" s="380" t="s">
        <v>767</v>
      </c>
      <c r="E7802" s="380" t="s">
        <v>786</v>
      </c>
      <c r="F7802" s="380" t="s">
        <v>1039</v>
      </c>
      <c r="G7802" s="380" t="s">
        <v>1267</v>
      </c>
      <c r="H7802" s="380" t="s">
        <v>771</v>
      </c>
      <c r="I7802" s="380" t="s">
        <v>788</v>
      </c>
      <c r="J7802" s="380" t="s">
        <v>773</v>
      </c>
      <c r="K7802" s="381">
        <v>0.0</v>
      </c>
      <c r="L7802" s="382">
        <v>1.0</v>
      </c>
    </row>
    <row r="7803">
      <c r="A7803" s="380" t="s">
        <v>8677</v>
      </c>
      <c r="B7803" s="380" t="str">
        <f>IFERROR(__xludf.DUMMYFUNCTION("""COMPUTED_VALUE"""),"Barra Torsion Nkr Rewar 8980200954")</f>
        <v>Barra Torsion Nkr Rewar 8980200954</v>
      </c>
      <c r="C7803" s="380" t="str">
        <f>IFERROR(__xludf.DUMMYFUNCTION("""COMPUTED_VALUE"""),"70003218")</f>
        <v>70003218</v>
      </c>
      <c r="D7803" s="380" t="s">
        <v>767</v>
      </c>
      <c r="E7803" s="380" t="s">
        <v>786</v>
      </c>
      <c r="F7803" s="380" t="s">
        <v>1039</v>
      </c>
      <c r="G7803" s="380" t="s">
        <v>1267</v>
      </c>
      <c r="H7803" s="380" t="s">
        <v>771</v>
      </c>
      <c r="I7803" s="380" t="s">
        <v>788</v>
      </c>
      <c r="J7803" s="380" t="s">
        <v>773</v>
      </c>
      <c r="K7803" s="381">
        <v>0.0</v>
      </c>
      <c r="L7803" s="382">
        <v>1.0</v>
      </c>
    </row>
    <row r="7804">
      <c r="A7804" s="380" t="s">
        <v>8678</v>
      </c>
      <c r="B7804" s="380" t="str">
        <f>IFERROR(__xludf.DUMMYFUNCTION("""COMPUTED_VALUE"""),"Rodillo Rueda Del Externo Hino 500 30310")</f>
        <v>Rodillo Rueda Del Externo Hino 500 30310</v>
      </c>
      <c r="C7804" s="380" t="str">
        <f>IFERROR(__xludf.DUMMYFUNCTION("""COMPUTED_VALUE"""),"70003219")</f>
        <v>70003219</v>
      </c>
      <c r="D7804" s="380" t="s">
        <v>767</v>
      </c>
      <c r="E7804" s="380" t="s">
        <v>786</v>
      </c>
      <c r="F7804" s="380" t="s">
        <v>1039</v>
      </c>
      <c r="G7804" s="380" t="s">
        <v>1267</v>
      </c>
      <c r="H7804" s="380" t="s">
        <v>771</v>
      </c>
      <c r="I7804" s="380" t="s">
        <v>788</v>
      </c>
      <c r="J7804" s="380" t="s">
        <v>773</v>
      </c>
      <c r="K7804" s="381">
        <v>0.0</v>
      </c>
      <c r="L7804" s="382">
        <v>1.0</v>
      </c>
    </row>
    <row r="7805">
      <c r="A7805" s="380" t="s">
        <v>8679</v>
      </c>
      <c r="B7805" s="380" t="str">
        <f>IFERROR(__xludf.DUMMYFUNCTION("""COMPUTED_VALUE"""),"Rodillo Rueda Del Intero Hino 500 32307")</f>
        <v>Rodillo Rueda Del Intero Hino 500 32307</v>
      </c>
      <c r="C7805" s="380" t="str">
        <f>IFERROR(__xludf.DUMMYFUNCTION("""COMPUTED_VALUE"""),"70003220")</f>
        <v>70003220</v>
      </c>
      <c r="D7805" s="380" t="s">
        <v>767</v>
      </c>
      <c r="E7805" s="380" t="s">
        <v>786</v>
      </c>
      <c r="F7805" s="380" t="s">
        <v>1039</v>
      </c>
      <c r="G7805" s="380" t="s">
        <v>1267</v>
      </c>
      <c r="H7805" s="380" t="s">
        <v>771</v>
      </c>
      <c r="I7805" s="380" t="s">
        <v>788</v>
      </c>
      <c r="J7805" s="380" t="s">
        <v>773</v>
      </c>
      <c r="K7805" s="381">
        <v>0.0</v>
      </c>
      <c r="L7805" s="382">
        <v>1.0</v>
      </c>
    </row>
    <row r="7806">
      <c r="A7806" s="380" t="s">
        <v>8680</v>
      </c>
      <c r="B7806" s="380" t="str">
        <f>IFERROR(__xludf.DUMMYFUNCTION("""COMPUTED_VALUE"""),"Rodillo Rueda Tras Int Hino 500 32213")</f>
        <v>Rodillo Rueda Tras Int Hino 500 32213</v>
      </c>
      <c r="C7806" s="380" t="str">
        <f>IFERROR(__xludf.DUMMYFUNCTION("""COMPUTED_VALUE"""),"70003221")</f>
        <v>70003221</v>
      </c>
      <c r="D7806" s="380" t="s">
        <v>767</v>
      </c>
      <c r="E7806" s="380" t="s">
        <v>786</v>
      </c>
      <c r="F7806" s="380" t="s">
        <v>1039</v>
      </c>
      <c r="G7806" s="380" t="s">
        <v>1267</v>
      </c>
      <c r="H7806" s="380" t="s">
        <v>771</v>
      </c>
      <c r="I7806" s="380" t="s">
        <v>788</v>
      </c>
      <c r="J7806" s="380" t="s">
        <v>773</v>
      </c>
      <c r="K7806" s="381">
        <v>0.0</v>
      </c>
      <c r="L7806" s="382">
        <v>1.0</v>
      </c>
    </row>
    <row r="7807">
      <c r="A7807" s="380" t="s">
        <v>8681</v>
      </c>
      <c r="B7807" s="380" t="str">
        <f>IFERROR(__xludf.DUMMYFUNCTION("""COMPUTED_VALUE"""),"Rodillo Rueda Tras Ext Hino 500 32215")</f>
        <v>Rodillo Rueda Tras Ext Hino 500 32215</v>
      </c>
      <c r="C7807" s="380" t="str">
        <f>IFERROR(__xludf.DUMMYFUNCTION("""COMPUTED_VALUE"""),"70003222")</f>
        <v>70003222</v>
      </c>
      <c r="D7807" s="380" t="s">
        <v>767</v>
      </c>
      <c r="E7807" s="380" t="s">
        <v>786</v>
      </c>
      <c r="F7807" s="380" t="s">
        <v>1039</v>
      </c>
      <c r="G7807" s="380" t="s">
        <v>1267</v>
      </c>
      <c r="H7807" s="380" t="s">
        <v>771</v>
      </c>
      <c r="I7807" s="380" t="s">
        <v>788</v>
      </c>
      <c r="J7807" s="380" t="s">
        <v>773</v>
      </c>
      <c r="K7807" s="381">
        <v>0.0</v>
      </c>
      <c r="L7807" s="382">
        <v>1.0</v>
      </c>
    </row>
    <row r="7808">
      <c r="A7808" s="380" t="s">
        <v>8682</v>
      </c>
      <c r="B7808" s="380" t="str">
        <f>IFERROR(__xludf.DUMMYFUNCTION("""COMPUTED_VALUE"""),"Retenedor Rueda Del Hino 500 S300FC4JJU")</f>
        <v>Retenedor Rueda Del Hino 500 S300FC4JJU</v>
      </c>
      <c r="C7808" s="380" t="str">
        <f>IFERROR(__xludf.DUMMYFUNCTION("""COMPUTED_VALUE"""),"70003223")</f>
        <v>70003223</v>
      </c>
      <c r="D7808" s="380" t="s">
        <v>767</v>
      </c>
      <c r="E7808" s="380" t="s">
        <v>786</v>
      </c>
      <c r="F7808" s="380" t="s">
        <v>1039</v>
      </c>
      <c r="G7808" s="380" t="s">
        <v>1267</v>
      </c>
      <c r="H7808" s="380" t="s">
        <v>771</v>
      </c>
      <c r="I7808" s="380" t="s">
        <v>788</v>
      </c>
      <c r="J7808" s="380" t="s">
        <v>773</v>
      </c>
      <c r="K7808" s="381">
        <v>0.0</v>
      </c>
      <c r="L7808" s="382">
        <v>1.0</v>
      </c>
    </row>
    <row r="7809">
      <c r="A7809" s="380" t="s">
        <v>8683</v>
      </c>
      <c r="B7809" s="380" t="str">
        <f>IFERROR(__xludf.DUMMYFUNCTION("""COMPUTED_VALUE"""),"Retenedor Rda Tras Int Hino 500 S720FB4J")</f>
        <v>Retenedor Rda Tras Int Hino 500 S720FB4J</v>
      </c>
      <c r="C7809" s="380" t="str">
        <f>IFERROR(__xludf.DUMMYFUNCTION("""COMPUTED_VALUE"""),"70003224")</f>
        <v>70003224</v>
      </c>
      <c r="D7809" s="380" t="s">
        <v>767</v>
      </c>
      <c r="E7809" s="380" t="s">
        <v>786</v>
      </c>
      <c r="F7809" s="380" t="s">
        <v>1039</v>
      </c>
      <c r="G7809" s="380" t="s">
        <v>1267</v>
      </c>
      <c r="H7809" s="380" t="s">
        <v>771</v>
      </c>
      <c r="I7809" s="380" t="s">
        <v>788</v>
      </c>
      <c r="J7809" s="380" t="s">
        <v>773</v>
      </c>
      <c r="K7809" s="381">
        <v>0.0</v>
      </c>
      <c r="L7809" s="382">
        <v>1.0</v>
      </c>
    </row>
    <row r="7810">
      <c r="A7810" s="380" t="s">
        <v>8684</v>
      </c>
      <c r="B7810" s="380" t="str">
        <f>IFERROR(__xludf.DUMMYFUNCTION("""COMPUTED_VALUE"""),"Retenedor Rda Tras Ext Hino 500 FC9JS730")</f>
        <v>Retenedor Rda Tras Ext Hino 500 FC9JS730</v>
      </c>
      <c r="C7810" s="380" t="str">
        <f>IFERROR(__xludf.DUMMYFUNCTION("""COMPUTED_VALUE"""),"70003225")</f>
        <v>70003225</v>
      </c>
      <c r="D7810" s="380" t="s">
        <v>767</v>
      </c>
      <c r="E7810" s="380" t="s">
        <v>786</v>
      </c>
      <c r="F7810" s="380" t="s">
        <v>1039</v>
      </c>
      <c r="G7810" s="380" t="s">
        <v>1267</v>
      </c>
      <c r="H7810" s="380" t="s">
        <v>771</v>
      </c>
      <c r="I7810" s="380" t="s">
        <v>788</v>
      </c>
      <c r="J7810" s="380" t="s">
        <v>773</v>
      </c>
      <c r="K7810" s="381">
        <v>0.0</v>
      </c>
      <c r="L7810" s="382">
        <v>1.0</v>
      </c>
    </row>
    <row r="7811">
      <c r="A7811" s="380" t="s">
        <v>8685</v>
      </c>
      <c r="B7811" s="380" t="str">
        <f>IFERROR(__xludf.DUMMYFUNCTION("""COMPUTED_VALUE"""),"Tapa Cubo Contenedor")</f>
        <v>Tapa Cubo Contenedor</v>
      </c>
      <c r="C7811" s="380" t="str">
        <f>IFERROR(__xludf.DUMMYFUNCTION("""COMPUTED_VALUE"""),"70003226")</f>
        <v>70003226</v>
      </c>
      <c r="D7811" s="380" t="s">
        <v>767</v>
      </c>
      <c r="E7811" s="380" t="s">
        <v>786</v>
      </c>
      <c r="F7811" s="380" t="s">
        <v>1039</v>
      </c>
      <c r="G7811" s="380" t="s">
        <v>1267</v>
      </c>
      <c r="H7811" s="380" t="s">
        <v>771</v>
      </c>
      <c r="I7811" s="380" t="s">
        <v>788</v>
      </c>
      <c r="J7811" s="380" t="s">
        <v>773</v>
      </c>
      <c r="K7811" s="381">
        <v>0.0</v>
      </c>
      <c r="L7811" s="382">
        <v>1.0</v>
      </c>
    </row>
    <row r="7812">
      <c r="A7812" s="380" t="s">
        <v>8686</v>
      </c>
      <c r="B7812" s="380" t="str">
        <f>IFERROR(__xludf.DUMMYFUNCTION("""COMPUTED_VALUE"""),"Set Rodillo 75 Diferencial Nhr 382S 387A")</f>
        <v>Set Rodillo 75 Diferencial Nhr 382S 387A</v>
      </c>
      <c r="C7812" s="380" t="str">
        <f>IFERROR(__xludf.DUMMYFUNCTION("""COMPUTED_VALUE"""),"70003227")</f>
        <v>70003227</v>
      </c>
      <c r="D7812" s="380" t="s">
        <v>767</v>
      </c>
      <c r="E7812" s="380" t="s">
        <v>786</v>
      </c>
      <c r="F7812" s="380" t="s">
        <v>1039</v>
      </c>
      <c r="G7812" s="380" t="s">
        <v>1267</v>
      </c>
      <c r="H7812" s="380" t="s">
        <v>771</v>
      </c>
      <c r="I7812" s="380" t="s">
        <v>788</v>
      </c>
      <c r="J7812" s="380" t="s">
        <v>773</v>
      </c>
      <c r="K7812" s="381">
        <v>0.0</v>
      </c>
      <c r="L7812" s="382">
        <v>1.0</v>
      </c>
    </row>
    <row r="7813">
      <c r="A7813" s="380" t="s">
        <v>8687</v>
      </c>
      <c r="B7813" s="380" t="str">
        <f>IFERROR(__xludf.DUMMYFUNCTION("""COMPUTED_VALUE"""),"Tijera Izq Foton MV5 5946027464")</f>
        <v>Tijera Izq Foton MV5 5946027464</v>
      </c>
      <c r="C7813" s="380" t="str">
        <f>IFERROR(__xludf.DUMMYFUNCTION("""COMPUTED_VALUE"""),"70003228")</f>
        <v>70003228</v>
      </c>
      <c r="D7813" s="380" t="s">
        <v>767</v>
      </c>
      <c r="E7813" s="380" t="s">
        <v>786</v>
      </c>
      <c r="F7813" s="380" t="s">
        <v>1039</v>
      </c>
      <c r="G7813" s="380" t="s">
        <v>1267</v>
      </c>
      <c r="H7813" s="380" t="s">
        <v>771</v>
      </c>
      <c r="I7813" s="380" t="s">
        <v>788</v>
      </c>
      <c r="J7813" s="380" t="s">
        <v>773</v>
      </c>
      <c r="K7813" s="381">
        <v>0.0</v>
      </c>
      <c r="L7813" s="382">
        <v>1.0</v>
      </c>
    </row>
    <row r="7814">
      <c r="A7814" s="380" t="s">
        <v>8688</v>
      </c>
      <c r="B7814" s="380" t="str">
        <f>IFERROR(__xludf.DUMMYFUNCTION("""COMPUTED_VALUE"""),"Tijera Der Foton MV5 5946027496")</f>
        <v>Tijera Der Foton MV5 5946027496</v>
      </c>
      <c r="C7814" s="380" t="str">
        <f>IFERROR(__xludf.DUMMYFUNCTION("""COMPUTED_VALUE"""),"70003229")</f>
        <v>70003229</v>
      </c>
      <c r="D7814" s="380" t="s">
        <v>767</v>
      </c>
      <c r="E7814" s="380" t="s">
        <v>786</v>
      </c>
      <c r="F7814" s="380" t="s">
        <v>1039</v>
      </c>
      <c r="G7814" s="380" t="s">
        <v>1267</v>
      </c>
      <c r="H7814" s="380" t="s">
        <v>771</v>
      </c>
      <c r="I7814" s="380" t="s">
        <v>788</v>
      </c>
      <c r="J7814" s="380" t="s">
        <v>773</v>
      </c>
      <c r="K7814" s="381">
        <v>0.0</v>
      </c>
      <c r="L7814" s="382">
        <v>1.0</v>
      </c>
    </row>
    <row r="7815">
      <c r="A7815" s="380" t="s">
        <v>8689</v>
      </c>
      <c r="B7815" s="380" t="str">
        <f>IFERROR(__xludf.DUMMYFUNCTION("""COMPUTED_VALUE"""),"Caucho Buje Amortig Nkr Reward8943821490")</f>
        <v>Caucho Buje Amortig Nkr Reward8943821490</v>
      </c>
      <c r="C7815" s="380" t="str">
        <f>IFERROR(__xludf.DUMMYFUNCTION("""COMPUTED_VALUE"""),"70003230")</f>
        <v>70003230</v>
      </c>
      <c r="D7815" s="380" t="s">
        <v>767</v>
      </c>
      <c r="E7815" s="380" t="s">
        <v>786</v>
      </c>
      <c r="F7815" s="380" t="s">
        <v>1039</v>
      </c>
      <c r="G7815" s="380" t="s">
        <v>1267</v>
      </c>
      <c r="H7815" s="380" t="s">
        <v>771</v>
      </c>
      <c r="I7815" s="380" t="s">
        <v>788</v>
      </c>
      <c r="J7815" s="380" t="s">
        <v>773</v>
      </c>
      <c r="K7815" s="381">
        <v>0.0</v>
      </c>
      <c r="L7815" s="382">
        <v>1.0</v>
      </c>
    </row>
    <row r="7816">
      <c r="A7816" s="380" t="s">
        <v>8690</v>
      </c>
      <c r="B7816" s="380" t="str">
        <f>IFERROR(__xludf.DUMMYFUNCTION("""COMPUTED_VALUE"""),"Tuerca Eje Hino Dutro Pro 9017828001")</f>
        <v>Tuerca Eje Hino Dutro Pro 9017828001</v>
      </c>
      <c r="C7816" s="380" t="str">
        <f>IFERROR(__xludf.DUMMYFUNCTION("""COMPUTED_VALUE"""),"70003231")</f>
        <v>70003231</v>
      </c>
      <c r="D7816" s="380" t="s">
        <v>767</v>
      </c>
      <c r="E7816" s="380" t="s">
        <v>786</v>
      </c>
      <c r="F7816" s="380" t="s">
        <v>1039</v>
      </c>
      <c r="G7816" s="380" t="s">
        <v>1267</v>
      </c>
      <c r="H7816" s="380" t="s">
        <v>771</v>
      </c>
      <c r="I7816" s="380" t="s">
        <v>788</v>
      </c>
      <c r="J7816" s="380" t="s">
        <v>773</v>
      </c>
      <c r="K7816" s="381">
        <v>0.0</v>
      </c>
      <c r="L7816" s="382">
        <v>1.0</v>
      </c>
    </row>
    <row r="7817">
      <c r="A7817" s="380" t="s">
        <v>8691</v>
      </c>
      <c r="B7817" s="380" t="str">
        <f>IFERROR(__xludf.DUMMYFUNCTION("""COMPUTED_VALUE"""),"Hoja Resorte Del KW59400/1")</f>
        <v>Hoja Resorte Del KW59400/1</v>
      </c>
      <c r="C7817" s="380" t="str">
        <f>IFERROR(__xludf.DUMMYFUNCTION("""COMPUTED_VALUE"""),"70003232")</f>
        <v>70003232</v>
      </c>
      <c r="D7817" s="380" t="s">
        <v>767</v>
      </c>
      <c r="E7817" s="380" t="s">
        <v>786</v>
      </c>
      <c r="F7817" s="380" t="s">
        <v>1039</v>
      </c>
      <c r="G7817" s="380" t="s">
        <v>1267</v>
      </c>
      <c r="H7817" s="380" t="s">
        <v>771</v>
      </c>
      <c r="I7817" s="380" t="s">
        <v>788</v>
      </c>
      <c r="J7817" s="380" t="s">
        <v>773</v>
      </c>
      <c r="K7817" s="381">
        <v>0.0</v>
      </c>
      <c r="L7817" s="382">
        <v>1.0</v>
      </c>
    </row>
    <row r="7818">
      <c r="A7818" s="380" t="s">
        <v>8692</v>
      </c>
      <c r="B7818" s="380" t="str">
        <f>IFERROR(__xludf.DUMMYFUNCTION("""COMPUTED_VALUE"""),"Amortiguador Cabina Mack 20874147")</f>
        <v>Amortiguador Cabina Mack 20874147</v>
      </c>
      <c r="C7818" s="380" t="str">
        <f>IFERROR(__xludf.DUMMYFUNCTION("""COMPUTED_VALUE"""),"70003233")</f>
        <v>70003233</v>
      </c>
      <c r="D7818" s="380" t="s">
        <v>767</v>
      </c>
      <c r="E7818" s="380" t="s">
        <v>786</v>
      </c>
      <c r="F7818" s="380" t="s">
        <v>1039</v>
      </c>
      <c r="G7818" s="380" t="s">
        <v>1267</v>
      </c>
      <c r="H7818" s="380" t="s">
        <v>771</v>
      </c>
      <c r="I7818" s="380" t="s">
        <v>788</v>
      </c>
      <c r="J7818" s="380" t="s">
        <v>773</v>
      </c>
      <c r="K7818" s="381">
        <v>429139.0</v>
      </c>
      <c r="L7818" s="382">
        <v>1.0</v>
      </c>
    </row>
    <row r="7819">
      <c r="A7819" s="380" t="s">
        <v>8693</v>
      </c>
      <c r="B7819" s="380" t="str">
        <f>IFERROR(__xludf.DUMMYFUNCTION("""COMPUTED_VALUE"""),"Balancin Muelle Del FRR 1511620370")</f>
        <v>Balancin Muelle Del FRR 1511620370</v>
      </c>
      <c r="C7819" s="380" t="str">
        <f>IFERROR(__xludf.DUMMYFUNCTION("""COMPUTED_VALUE"""),"70003234")</f>
        <v>70003234</v>
      </c>
      <c r="D7819" s="380" t="s">
        <v>767</v>
      </c>
      <c r="E7819" s="380" t="s">
        <v>786</v>
      </c>
      <c r="F7819" s="380" t="s">
        <v>1039</v>
      </c>
      <c r="G7819" s="380" t="s">
        <v>1267</v>
      </c>
      <c r="H7819" s="380" t="s">
        <v>771</v>
      </c>
      <c r="I7819" s="380" t="s">
        <v>788</v>
      </c>
      <c r="J7819" s="380" t="s">
        <v>773</v>
      </c>
      <c r="K7819" s="381">
        <v>0.0</v>
      </c>
      <c r="L7819" s="382">
        <v>1.0</v>
      </c>
    </row>
    <row r="7820">
      <c r="A7820" s="380" t="s">
        <v>8694</v>
      </c>
      <c r="B7820" s="380" t="str">
        <f>IFERROR(__xludf.DUMMYFUNCTION("""COMPUTED_VALUE"""),"Cono Esparrago Npr 8973600040")</f>
        <v>Cono Esparrago Npr 8973600040</v>
      </c>
      <c r="C7820" s="380" t="str">
        <f>IFERROR(__xludf.DUMMYFUNCTION("""COMPUTED_VALUE"""),"70003235")</f>
        <v>70003235</v>
      </c>
      <c r="D7820" s="380" t="s">
        <v>767</v>
      </c>
      <c r="E7820" s="380" t="s">
        <v>786</v>
      </c>
      <c r="F7820" s="380" t="s">
        <v>1039</v>
      </c>
      <c r="G7820" s="380" t="s">
        <v>1267</v>
      </c>
      <c r="H7820" s="380" t="s">
        <v>771</v>
      </c>
      <c r="I7820" s="380" t="s">
        <v>788</v>
      </c>
      <c r="J7820" s="380" t="s">
        <v>773</v>
      </c>
      <c r="K7820" s="381">
        <v>0.0</v>
      </c>
      <c r="L7820" s="382">
        <v>1.0</v>
      </c>
    </row>
    <row r="7821">
      <c r="A7821" s="380" t="s">
        <v>8695</v>
      </c>
      <c r="B7821" s="380" t="str">
        <f>IFERROR(__xludf.DUMMYFUNCTION("""COMPUTED_VALUE"""),"Tuerca Esparrago Npr 911802100")</f>
        <v>Tuerca Esparrago Npr 911802100</v>
      </c>
      <c r="C7821" s="380" t="str">
        <f>IFERROR(__xludf.DUMMYFUNCTION("""COMPUTED_VALUE"""),"70003236")</f>
        <v>70003236</v>
      </c>
      <c r="D7821" s="380" t="s">
        <v>767</v>
      </c>
      <c r="E7821" s="380" t="s">
        <v>786</v>
      </c>
      <c r="F7821" s="380" t="s">
        <v>1039</v>
      </c>
      <c r="G7821" s="380" t="s">
        <v>1267</v>
      </c>
      <c r="H7821" s="380" t="s">
        <v>771</v>
      </c>
      <c r="I7821" s="380" t="s">
        <v>788</v>
      </c>
      <c r="J7821" s="380" t="s">
        <v>773</v>
      </c>
      <c r="K7821" s="381">
        <v>0.0</v>
      </c>
      <c r="L7821" s="382">
        <v>1.0</v>
      </c>
    </row>
    <row r="7822">
      <c r="A7822" s="380" t="s">
        <v>8696</v>
      </c>
      <c r="B7822" s="380" t="str">
        <f>IFERROR(__xludf.DUMMYFUNCTION("""COMPUTED_VALUE"""),"Set Rodillo Rueda Tras 403 594A SET40")</f>
        <v>Set Rodillo Rueda Tras 403 594A SET40</v>
      </c>
      <c r="C7822" s="380" t="str">
        <f>IFERROR(__xludf.DUMMYFUNCTION("""COMPUTED_VALUE"""),"70003237")</f>
        <v>70003237</v>
      </c>
      <c r="D7822" s="380" t="s">
        <v>767</v>
      </c>
      <c r="E7822" s="380" t="s">
        <v>786</v>
      </c>
      <c r="F7822" s="380" t="s">
        <v>1039</v>
      </c>
      <c r="G7822" s="380" t="s">
        <v>1267</v>
      </c>
      <c r="H7822" s="380" t="s">
        <v>771</v>
      </c>
      <c r="I7822" s="380" t="s">
        <v>788</v>
      </c>
      <c r="J7822" s="380" t="s">
        <v>773</v>
      </c>
      <c r="K7822" s="381">
        <v>0.0</v>
      </c>
      <c r="L7822" s="382">
        <v>1.0</v>
      </c>
    </row>
    <row r="7823">
      <c r="A7823" s="380" t="s">
        <v>8697</v>
      </c>
      <c r="B7823" s="380" t="str">
        <f>IFERROR(__xludf.DUMMYFUNCTION("""COMPUTED_VALUE"""),"Set Rodillo Rda Del Inter Nhr 32208")</f>
        <v>Set Rodillo Rda Del Inter Nhr 32208</v>
      </c>
      <c r="C7823" s="380" t="str">
        <f>IFERROR(__xludf.DUMMYFUNCTION("""COMPUTED_VALUE"""),"70003238")</f>
        <v>70003238</v>
      </c>
      <c r="D7823" s="380" t="s">
        <v>767</v>
      </c>
      <c r="E7823" s="380" t="s">
        <v>786</v>
      </c>
      <c r="F7823" s="380" t="s">
        <v>1039</v>
      </c>
      <c r="G7823" s="380" t="s">
        <v>1267</v>
      </c>
      <c r="H7823" s="380" t="s">
        <v>771</v>
      </c>
      <c r="I7823" s="380" t="s">
        <v>788</v>
      </c>
      <c r="J7823" s="380" t="s">
        <v>773</v>
      </c>
      <c r="K7823" s="381">
        <v>0.0</v>
      </c>
      <c r="L7823" s="382">
        <v>1.0</v>
      </c>
    </row>
    <row r="7824">
      <c r="A7824" s="380" t="s">
        <v>8698</v>
      </c>
      <c r="B7824" s="380" t="str">
        <f>IFERROR(__xludf.DUMMYFUNCTION("""COMPUTED_VALUE"""),"Set Rodi Rda Del Ext Hi466 SET406 K3782")</f>
        <v>Set Rodi Rda Del Ext Hi466 SET406 K3782</v>
      </c>
      <c r="C7824" s="380" t="str">
        <f>IFERROR(__xludf.DUMMYFUNCTION("""COMPUTED_VALUE"""),"70003239")</f>
        <v>70003239</v>
      </c>
      <c r="D7824" s="380" t="s">
        <v>767</v>
      </c>
      <c r="E7824" s="380" t="s">
        <v>786</v>
      </c>
      <c r="F7824" s="380" t="s">
        <v>1039</v>
      </c>
      <c r="G7824" s="380" t="s">
        <v>1267</v>
      </c>
      <c r="H7824" s="380" t="s">
        <v>771</v>
      </c>
      <c r="I7824" s="380" t="s">
        <v>788</v>
      </c>
      <c r="J7824" s="380" t="s">
        <v>773</v>
      </c>
      <c r="K7824" s="381">
        <v>58467.0</v>
      </c>
      <c r="L7824" s="382">
        <v>1.0</v>
      </c>
    </row>
    <row r="7825">
      <c r="A7825" s="380" t="s">
        <v>8699</v>
      </c>
      <c r="B7825" s="380" t="str">
        <f>IFERROR(__xludf.DUMMYFUNCTION("""COMPUTED_VALUE"""),"Set Rodillo Rda Tras SB N14 SET403 594-A")</f>
        <v>Set Rodillo Rda Tras SB N14 SET403 594-A</v>
      </c>
      <c r="C7825" s="380" t="str">
        <f>IFERROR(__xludf.DUMMYFUNCTION("""COMPUTED_VALUE"""),"70003240")</f>
        <v>70003240</v>
      </c>
      <c r="D7825" s="380" t="s">
        <v>767</v>
      </c>
      <c r="E7825" s="380" t="s">
        <v>786</v>
      </c>
      <c r="F7825" s="380" t="s">
        <v>1039</v>
      </c>
      <c r="G7825" s="380" t="s">
        <v>1267</v>
      </c>
      <c r="H7825" s="380" t="s">
        <v>771</v>
      </c>
      <c r="I7825" s="380" t="s">
        <v>788</v>
      </c>
      <c r="J7825" s="380" t="s">
        <v>773</v>
      </c>
      <c r="K7825" s="381">
        <v>0.0</v>
      </c>
      <c r="L7825" s="382">
        <v>1.0</v>
      </c>
    </row>
    <row r="7826">
      <c r="A7826" s="380" t="s">
        <v>8700</v>
      </c>
      <c r="B7826" s="380" t="str">
        <f>IFERROR(__xludf.DUMMYFUNCTION("""COMPUTED_VALUE"""),"Tope Caucho Muelle Tras Nkr 8983350390")</f>
        <v>Tope Caucho Muelle Tras Nkr 8983350390</v>
      </c>
      <c r="C7826" s="380" t="str">
        <f>IFERROR(__xludf.DUMMYFUNCTION("""COMPUTED_VALUE"""),"70003241")</f>
        <v>70003241</v>
      </c>
      <c r="D7826" s="380" t="s">
        <v>767</v>
      </c>
      <c r="E7826" s="380" t="s">
        <v>786</v>
      </c>
      <c r="F7826" s="380" t="s">
        <v>1039</v>
      </c>
      <c r="G7826" s="380" t="s">
        <v>1267</v>
      </c>
      <c r="H7826" s="380" t="s">
        <v>771</v>
      </c>
      <c r="I7826" s="380" t="s">
        <v>788</v>
      </c>
      <c r="J7826" s="380" t="s">
        <v>773</v>
      </c>
      <c r="K7826" s="381">
        <v>101585.0</v>
      </c>
      <c r="L7826" s="382">
        <v>1.0</v>
      </c>
    </row>
    <row r="7827">
      <c r="A7827" s="380" t="s">
        <v>8701</v>
      </c>
      <c r="B7827" s="380" t="str">
        <f>IFERROR(__xludf.DUMMYFUNCTION("""COMPUTED_VALUE"""),"Perno Rueda Tras Foton MV5 7705946033251")</f>
        <v>Perno Rueda Tras Foton MV5 7705946033251</v>
      </c>
      <c r="C7827" s="380" t="str">
        <f>IFERROR(__xludf.DUMMYFUNCTION("""COMPUTED_VALUE"""),"70003242")</f>
        <v>70003242</v>
      </c>
      <c r="D7827" s="380" t="s">
        <v>767</v>
      </c>
      <c r="E7827" s="380" t="s">
        <v>786</v>
      </c>
      <c r="F7827" s="380" t="s">
        <v>1039</v>
      </c>
      <c r="G7827" s="380" t="s">
        <v>1267</v>
      </c>
      <c r="H7827" s="380" t="s">
        <v>771</v>
      </c>
      <c r="I7827" s="380" t="s">
        <v>788</v>
      </c>
      <c r="J7827" s="380" t="s">
        <v>773</v>
      </c>
      <c r="K7827" s="381">
        <v>0.0</v>
      </c>
      <c r="L7827" s="382">
        <v>1.0</v>
      </c>
    </row>
    <row r="7828">
      <c r="A7828" s="380" t="s">
        <v>8702</v>
      </c>
      <c r="B7828" s="380" t="str">
        <f>IFERROR(__xludf.DUMMYFUNCTION("""COMPUTED_VALUE"""),"Buje Inf Tras Balle Foton MV5 5946027229")</f>
        <v>Buje Inf Tras Balle Foton MV5 5946027229</v>
      </c>
      <c r="C7828" s="380" t="str">
        <f>IFERROR(__xludf.DUMMYFUNCTION("""COMPUTED_VALUE"""),"70003243")</f>
        <v>70003243</v>
      </c>
      <c r="D7828" s="380" t="s">
        <v>767</v>
      </c>
      <c r="E7828" s="380" t="s">
        <v>786</v>
      </c>
      <c r="F7828" s="380" t="s">
        <v>1039</v>
      </c>
      <c r="G7828" s="380" t="s">
        <v>1267</v>
      </c>
      <c r="H7828" s="380" t="s">
        <v>771</v>
      </c>
      <c r="I7828" s="380" t="s">
        <v>788</v>
      </c>
      <c r="J7828" s="380" t="s">
        <v>773</v>
      </c>
      <c r="K7828" s="381">
        <v>10400.0</v>
      </c>
      <c r="L7828" s="382">
        <v>1.0</v>
      </c>
    </row>
    <row r="7829">
      <c r="A7829" s="380" t="s">
        <v>8703</v>
      </c>
      <c r="B7829" s="380" t="str">
        <f>IFERROR(__xludf.DUMMYFUNCTION("""COMPUTED_VALUE"""),"Tijera Suspens Renault Master")</f>
        <v>Tijera Suspens Renault Master</v>
      </c>
      <c r="C7829" s="380" t="str">
        <f>IFERROR(__xludf.DUMMYFUNCTION("""COMPUTED_VALUE"""),"70003244")</f>
        <v>70003244</v>
      </c>
      <c r="D7829" s="380" t="s">
        <v>767</v>
      </c>
      <c r="E7829" s="380" t="s">
        <v>786</v>
      </c>
      <c r="F7829" s="380" t="s">
        <v>1039</v>
      </c>
      <c r="G7829" s="380" t="s">
        <v>1267</v>
      </c>
      <c r="H7829" s="380" t="s">
        <v>771</v>
      </c>
      <c r="I7829" s="380" t="s">
        <v>788</v>
      </c>
      <c r="J7829" s="380" t="s">
        <v>773</v>
      </c>
      <c r="K7829" s="381">
        <v>0.0</v>
      </c>
      <c r="L7829" s="382">
        <v>1.0</v>
      </c>
    </row>
    <row r="7830">
      <c r="A7830" s="380" t="s">
        <v>8704</v>
      </c>
      <c r="B7830" s="380" t="str">
        <f>IFERROR(__xludf.DUMMYFUNCTION("""COMPUTED_VALUE"""),"Bombona Suspens Cabina KW T800 CMR7001P")</f>
        <v>Bombona Suspens Cabina KW T800 CMR7001P</v>
      </c>
      <c r="C7830" s="380" t="str">
        <f>IFERROR(__xludf.DUMMYFUNCTION("""COMPUTED_VALUE"""),"70003245")</f>
        <v>70003245</v>
      </c>
      <c r="D7830" s="380" t="s">
        <v>767</v>
      </c>
      <c r="E7830" s="380" t="s">
        <v>786</v>
      </c>
      <c r="F7830" s="380" t="s">
        <v>1039</v>
      </c>
      <c r="G7830" s="380" t="s">
        <v>1267</v>
      </c>
      <c r="H7830" s="380" t="s">
        <v>771</v>
      </c>
      <c r="I7830" s="380" t="s">
        <v>788</v>
      </c>
      <c r="J7830" s="380" t="s">
        <v>773</v>
      </c>
      <c r="K7830" s="381">
        <v>846157.0</v>
      </c>
      <c r="L7830" s="382">
        <v>1.0</v>
      </c>
    </row>
    <row r="7831">
      <c r="A7831" s="380" t="s">
        <v>8705</v>
      </c>
      <c r="B7831" s="380" t="str">
        <f>IFERROR(__xludf.DUMMYFUNCTION("""COMPUTED_VALUE"""),"Buje De Ballesta 7701023434379 Foton1039")</f>
        <v>Buje De Ballesta 7701023434379 Foton1039</v>
      </c>
      <c r="C7831" s="380" t="str">
        <f>IFERROR(__xludf.DUMMYFUNCTION("""COMPUTED_VALUE"""),"70003246")</f>
        <v>70003246</v>
      </c>
      <c r="D7831" s="380" t="s">
        <v>767</v>
      </c>
      <c r="E7831" s="380" t="s">
        <v>786</v>
      </c>
      <c r="F7831" s="380" t="s">
        <v>1039</v>
      </c>
      <c r="G7831" s="380" t="s">
        <v>1267</v>
      </c>
      <c r="H7831" s="380" t="s">
        <v>771</v>
      </c>
      <c r="I7831" s="380" t="s">
        <v>788</v>
      </c>
      <c r="J7831" s="380" t="s">
        <v>773</v>
      </c>
      <c r="K7831" s="381">
        <v>0.0</v>
      </c>
      <c r="L7831" s="382">
        <v>1.0</v>
      </c>
    </row>
    <row r="7832">
      <c r="A7832" s="380" t="s">
        <v>8706</v>
      </c>
      <c r="B7832" s="380" t="str">
        <f>IFERROR(__xludf.DUMMYFUNCTION("""COMPUTED_VALUE"""),"Buje Barra Estab 7701023085342 Foton1039")</f>
        <v>Buje Barra Estab 7701023085342 Foton1039</v>
      </c>
      <c r="C7832" s="380" t="str">
        <f>IFERROR(__xludf.DUMMYFUNCTION("""COMPUTED_VALUE"""),"70003247")</f>
        <v>70003247</v>
      </c>
      <c r="D7832" s="380" t="s">
        <v>767</v>
      </c>
      <c r="E7832" s="380" t="s">
        <v>786</v>
      </c>
      <c r="F7832" s="380" t="s">
        <v>1039</v>
      </c>
      <c r="G7832" s="380" t="s">
        <v>1267</v>
      </c>
      <c r="H7832" s="380" t="s">
        <v>771</v>
      </c>
      <c r="I7832" s="380" t="s">
        <v>788</v>
      </c>
      <c r="J7832" s="380" t="s">
        <v>773</v>
      </c>
      <c r="K7832" s="381">
        <v>0.0</v>
      </c>
      <c r="L7832" s="382">
        <v>1.0</v>
      </c>
    </row>
    <row r="7833">
      <c r="A7833" s="380" t="s">
        <v>8707</v>
      </c>
      <c r="B7833" s="380" t="str">
        <f>IFERROR(__xludf.DUMMYFUNCTION("""COMPUTED_VALUE"""),"Rodillo Rueda Del Renault")</f>
        <v>Rodillo Rueda Del Renault</v>
      </c>
      <c r="C7833" s="380" t="str">
        <f>IFERROR(__xludf.DUMMYFUNCTION("""COMPUTED_VALUE"""),"70003248")</f>
        <v>70003248</v>
      </c>
      <c r="D7833" s="380" t="s">
        <v>767</v>
      </c>
      <c r="E7833" s="380" t="s">
        <v>786</v>
      </c>
      <c r="F7833" s="380" t="s">
        <v>1039</v>
      </c>
      <c r="G7833" s="380" t="s">
        <v>1267</v>
      </c>
      <c r="H7833" s="380" t="s">
        <v>771</v>
      </c>
      <c r="I7833" s="380" t="s">
        <v>788</v>
      </c>
      <c r="J7833" s="380" t="s">
        <v>773</v>
      </c>
      <c r="K7833" s="381">
        <v>0.0</v>
      </c>
      <c r="L7833" s="382">
        <v>1.0</v>
      </c>
    </row>
    <row r="7834">
      <c r="A7834" s="380" t="s">
        <v>8708</v>
      </c>
      <c r="B7834" s="380" t="str">
        <f>IFERROR(__xludf.DUMMYFUNCTION("""COMPUTED_VALUE"""),"Base Asiento Sup Grapa KW H56805000")</f>
        <v>Base Asiento Sup Grapa KW H56805000</v>
      </c>
      <c r="C7834" s="380" t="str">
        <f>IFERROR(__xludf.DUMMYFUNCTION("""COMPUTED_VALUE"""),"70003249")</f>
        <v>70003249</v>
      </c>
      <c r="D7834" s="380" t="s">
        <v>767</v>
      </c>
      <c r="E7834" s="380" t="s">
        <v>786</v>
      </c>
      <c r="F7834" s="380" t="s">
        <v>1039</v>
      </c>
      <c r="G7834" s="380" t="s">
        <v>1267</v>
      </c>
      <c r="H7834" s="380" t="s">
        <v>771</v>
      </c>
      <c r="I7834" s="380" t="s">
        <v>788</v>
      </c>
      <c r="J7834" s="380" t="s">
        <v>773</v>
      </c>
      <c r="K7834" s="381">
        <v>151133.0</v>
      </c>
      <c r="L7834" s="382">
        <v>1.0</v>
      </c>
    </row>
    <row r="7835">
      <c r="A7835" s="380" t="s">
        <v>8709</v>
      </c>
      <c r="B7835" s="380" t="str">
        <f>IFERROR(__xludf.DUMMYFUNCTION("""COMPUTED_VALUE"""),"Bomba Suspens Cabina KW T800 WO13587001")</f>
        <v>Bomba Suspens Cabina KW T800 WO13587001</v>
      </c>
      <c r="C7835" s="380" t="str">
        <f>IFERROR(__xludf.DUMMYFUNCTION("""COMPUTED_VALUE"""),"70003250")</f>
        <v>70003250</v>
      </c>
      <c r="D7835" s="380" t="s">
        <v>767</v>
      </c>
      <c r="E7835" s="380" t="s">
        <v>786</v>
      </c>
      <c r="F7835" s="380" t="s">
        <v>1039</v>
      </c>
      <c r="G7835" s="380" t="s">
        <v>1267</v>
      </c>
      <c r="H7835" s="380" t="s">
        <v>771</v>
      </c>
      <c r="I7835" s="380" t="s">
        <v>788</v>
      </c>
      <c r="J7835" s="380" t="s">
        <v>773</v>
      </c>
      <c r="K7835" s="381">
        <v>165999.0</v>
      </c>
      <c r="L7835" s="382">
        <v>1.0</v>
      </c>
    </row>
    <row r="7836">
      <c r="A7836" s="380" t="s">
        <v>8710</v>
      </c>
      <c r="B7836" s="380" t="str">
        <f>IFERROR(__xludf.DUMMYFUNCTION("""COMPUTED_VALUE"""),"Cuñas De Valvulas Culata Eagle 3680883")</f>
        <v>Cuñas De Valvulas Culata Eagle 3680883</v>
      </c>
      <c r="C7836" s="380" t="str">
        <f>IFERROR(__xludf.DUMMYFUNCTION("""COMPUTED_VALUE"""),"70003251")</f>
        <v>70003251</v>
      </c>
      <c r="D7836" s="380" t="s">
        <v>767</v>
      </c>
      <c r="E7836" s="380" t="s">
        <v>786</v>
      </c>
      <c r="F7836" s="380" t="s">
        <v>787</v>
      </c>
      <c r="G7836" s="380" t="s">
        <v>1267</v>
      </c>
      <c r="H7836" s="380" t="s">
        <v>771</v>
      </c>
      <c r="I7836" s="380" t="s">
        <v>788</v>
      </c>
      <c r="J7836" s="380" t="s">
        <v>773</v>
      </c>
      <c r="K7836" s="381">
        <v>0.0</v>
      </c>
      <c r="L7836" s="382">
        <v>1.0</v>
      </c>
    </row>
    <row r="7837">
      <c r="A7837" s="380" t="s">
        <v>8711</v>
      </c>
      <c r="B7837" s="380" t="str">
        <f>IFERROR(__xludf.DUMMYFUNCTION("""COMPUTED_VALUE"""),"Culata Motor Foton MV5 5946015776")</f>
        <v>Culata Motor Foton MV5 5946015776</v>
      </c>
      <c r="C7837" s="380" t="str">
        <f>IFERROR(__xludf.DUMMYFUNCTION("""COMPUTED_VALUE"""),"70003252")</f>
        <v>70003252</v>
      </c>
      <c r="D7837" s="380" t="s">
        <v>767</v>
      </c>
      <c r="E7837" s="380" t="s">
        <v>786</v>
      </c>
      <c r="F7837" s="380" t="s">
        <v>787</v>
      </c>
      <c r="G7837" s="380" t="s">
        <v>1267</v>
      </c>
      <c r="H7837" s="380" t="s">
        <v>771</v>
      </c>
      <c r="I7837" s="380" t="s">
        <v>788</v>
      </c>
      <c r="J7837" s="380" t="s">
        <v>773</v>
      </c>
      <c r="K7837" s="381">
        <v>0.0</v>
      </c>
      <c r="L7837" s="382">
        <v>1.0</v>
      </c>
    </row>
    <row r="7838">
      <c r="A7838" s="380" t="s">
        <v>8712</v>
      </c>
      <c r="B7838" s="380" t="str">
        <f>IFERROR(__xludf.DUMMYFUNCTION("""COMPUTED_VALUE"""),"Rodillo Externo Rueda Tras FRR 57072JR")</f>
        <v>Rodillo Externo Rueda Tras FRR 57072JR</v>
      </c>
      <c r="C7838" s="380" t="str">
        <f>IFERROR(__xludf.DUMMYFUNCTION("""COMPUTED_VALUE"""),"70003253")</f>
        <v>70003253</v>
      </c>
      <c r="D7838" s="380" t="s">
        <v>767</v>
      </c>
      <c r="E7838" s="380" t="s">
        <v>786</v>
      </c>
      <c r="F7838" s="380" t="s">
        <v>1039</v>
      </c>
      <c r="G7838" s="380" t="s">
        <v>1267</v>
      </c>
      <c r="H7838" s="380" t="s">
        <v>771</v>
      </c>
      <c r="I7838" s="380" t="s">
        <v>788</v>
      </c>
      <c r="J7838" s="380" t="s">
        <v>773</v>
      </c>
      <c r="K7838" s="381">
        <v>0.0</v>
      </c>
      <c r="L7838" s="382">
        <v>1.0</v>
      </c>
    </row>
    <row r="7839">
      <c r="A7839" s="380" t="s">
        <v>8713</v>
      </c>
      <c r="B7839" s="380" t="str">
        <f>IFERROR(__xludf.DUMMYFUNCTION("""COMPUTED_VALUE"""),"Retenedor Extreno Rueda Tras FRR 69095")</f>
        <v>Retenedor Extreno Rueda Tras FRR 69095</v>
      </c>
      <c r="C7839" s="380" t="str">
        <f>IFERROR(__xludf.DUMMYFUNCTION("""COMPUTED_VALUE"""),"70003254")</f>
        <v>70003254</v>
      </c>
      <c r="D7839" s="380" t="s">
        <v>767</v>
      </c>
      <c r="E7839" s="380" t="s">
        <v>786</v>
      </c>
      <c r="F7839" s="380" t="s">
        <v>1039</v>
      </c>
      <c r="G7839" s="380" t="s">
        <v>1267</v>
      </c>
      <c r="H7839" s="380" t="s">
        <v>771</v>
      </c>
      <c r="I7839" s="380" t="s">
        <v>788</v>
      </c>
      <c r="J7839" s="380" t="s">
        <v>773</v>
      </c>
      <c r="K7839" s="381">
        <v>0.0</v>
      </c>
      <c r="L7839" s="382">
        <v>1.0</v>
      </c>
    </row>
    <row r="7840">
      <c r="A7840" s="380" t="s">
        <v>8714</v>
      </c>
      <c r="B7840" s="380" t="str">
        <f>IFERROR(__xludf.DUMMYFUNCTION("""COMPUTED_VALUE"""),"Rodillo Rueda Tras FRR 32213")</f>
        <v>Rodillo Rueda Tras FRR 32213</v>
      </c>
      <c r="C7840" s="380" t="str">
        <f>IFERROR(__xludf.DUMMYFUNCTION("""COMPUTED_VALUE"""),"70003255")</f>
        <v>70003255</v>
      </c>
      <c r="D7840" s="380" t="s">
        <v>767</v>
      </c>
      <c r="E7840" s="380" t="s">
        <v>786</v>
      </c>
      <c r="F7840" s="380" t="s">
        <v>1039</v>
      </c>
      <c r="G7840" s="380" t="s">
        <v>1267</v>
      </c>
      <c r="H7840" s="380" t="s">
        <v>771</v>
      </c>
      <c r="I7840" s="380" t="s">
        <v>788</v>
      </c>
      <c r="J7840" s="380" t="s">
        <v>773</v>
      </c>
      <c r="K7840" s="381">
        <v>0.0</v>
      </c>
      <c r="L7840" s="382">
        <v>1.0</v>
      </c>
    </row>
    <row r="7841">
      <c r="A7841" s="380" t="s">
        <v>8715</v>
      </c>
      <c r="B7841" s="380" t="str">
        <f>IFERROR(__xludf.DUMMYFUNCTION("""COMPUTED_VALUE"""),"Retenedor Rueda Del Nhr R63x80x9 S")</f>
        <v>Retenedor Rueda Del Nhr R63x80x9 S</v>
      </c>
      <c r="C7841" s="380" t="str">
        <f>IFERROR(__xludf.DUMMYFUNCTION("""COMPUTED_VALUE"""),"70003256")</f>
        <v>70003256</v>
      </c>
      <c r="D7841" s="380" t="s">
        <v>767</v>
      </c>
      <c r="E7841" s="380" t="s">
        <v>786</v>
      </c>
      <c r="F7841" s="380" t="s">
        <v>1039</v>
      </c>
      <c r="G7841" s="380" t="s">
        <v>1267</v>
      </c>
      <c r="H7841" s="380" t="s">
        <v>771</v>
      </c>
      <c r="I7841" s="380" t="s">
        <v>788</v>
      </c>
      <c r="J7841" s="380" t="s">
        <v>773</v>
      </c>
      <c r="K7841" s="381">
        <v>0.0</v>
      </c>
      <c r="L7841" s="382">
        <v>1.0</v>
      </c>
    </row>
    <row r="7842">
      <c r="A7842" s="380" t="s">
        <v>8716</v>
      </c>
      <c r="B7842" s="380" t="str">
        <f>IFERROR(__xludf.DUMMYFUNCTION("""COMPUTED_VALUE"""),"Retenedor Rueda Del Hi 6638")</f>
        <v>Retenedor Rueda Del Hi 6638</v>
      </c>
      <c r="C7842" s="380" t="str">
        <f>IFERROR(__xludf.DUMMYFUNCTION("""COMPUTED_VALUE"""),"70003257")</f>
        <v>70003257</v>
      </c>
      <c r="D7842" s="380" t="s">
        <v>767</v>
      </c>
      <c r="E7842" s="380" t="s">
        <v>786</v>
      </c>
      <c r="F7842" s="380" t="s">
        <v>1039</v>
      </c>
      <c r="G7842" s="380" t="s">
        <v>1267</v>
      </c>
      <c r="H7842" s="380" t="s">
        <v>771</v>
      </c>
      <c r="I7842" s="380" t="s">
        <v>788</v>
      </c>
      <c r="J7842" s="380" t="s">
        <v>773</v>
      </c>
      <c r="K7842" s="381">
        <v>0.0</v>
      </c>
      <c r="L7842" s="382">
        <v>1.0</v>
      </c>
    </row>
    <row r="7843">
      <c r="A7843" s="380" t="s">
        <v>8717</v>
      </c>
      <c r="B7843" s="380" t="str">
        <f>IFERROR(__xludf.DUMMYFUNCTION("""COMPUTED_VALUE"""),"Retenedor Rda Del Npr-Nkr 8942481171")</f>
        <v>Retenedor Rda Del Npr-Nkr 8942481171</v>
      </c>
      <c r="C7843" s="380" t="str">
        <f>IFERROR(__xludf.DUMMYFUNCTION("""COMPUTED_VALUE"""),"70003258")</f>
        <v>70003258</v>
      </c>
      <c r="D7843" s="380" t="s">
        <v>767</v>
      </c>
      <c r="E7843" s="380" t="s">
        <v>786</v>
      </c>
      <c r="F7843" s="380" t="s">
        <v>1039</v>
      </c>
      <c r="G7843" s="380" t="s">
        <v>1267</v>
      </c>
      <c r="H7843" s="380" t="s">
        <v>771</v>
      </c>
      <c r="I7843" s="380" t="s">
        <v>788</v>
      </c>
      <c r="J7843" s="380" t="s">
        <v>773</v>
      </c>
      <c r="K7843" s="381">
        <v>14876.0</v>
      </c>
      <c r="L7843" s="382">
        <v>1.0</v>
      </c>
    </row>
    <row r="7844">
      <c r="A7844" s="380" t="s">
        <v>8718</v>
      </c>
      <c r="B7844" s="380" t="str">
        <f>IFERROR(__xludf.DUMMYFUNCTION("""COMPUTED_VALUE"""),"Reten Rueda Tras Camion Y Mula 370003-A")</f>
        <v>Reten Rueda Tras Camion Y Mula 370003-A</v>
      </c>
      <c r="C7844" s="380" t="str">
        <f>IFERROR(__xludf.DUMMYFUNCTION("""COMPUTED_VALUE"""),"70003259")</f>
        <v>70003259</v>
      </c>
      <c r="D7844" s="380" t="s">
        <v>767</v>
      </c>
      <c r="E7844" s="380" t="s">
        <v>786</v>
      </c>
      <c r="F7844" s="380" t="s">
        <v>1039</v>
      </c>
      <c r="G7844" s="380" t="s">
        <v>1267</v>
      </c>
      <c r="H7844" s="380" t="s">
        <v>771</v>
      </c>
      <c r="I7844" s="380" t="s">
        <v>788</v>
      </c>
      <c r="J7844" s="380" t="s">
        <v>773</v>
      </c>
      <c r="K7844" s="381">
        <v>54725.0</v>
      </c>
      <c r="L7844" s="382">
        <v>1.0</v>
      </c>
    </row>
    <row r="7845">
      <c r="A7845" s="380" t="s">
        <v>8719</v>
      </c>
      <c r="B7845" s="380" t="str">
        <f>IFERROR(__xludf.DUMMYFUNCTION("""COMPUTED_VALUE"""),"Retenedor Rueda Tras Traile 370036A")</f>
        <v>Retenedor Rueda Tras Traile 370036A</v>
      </c>
      <c r="C7845" s="380" t="str">
        <f>IFERROR(__xludf.DUMMYFUNCTION("""COMPUTED_VALUE"""),"70003260")</f>
        <v>70003260</v>
      </c>
      <c r="D7845" s="380" t="s">
        <v>767</v>
      </c>
      <c r="E7845" s="380" t="s">
        <v>786</v>
      </c>
      <c r="F7845" s="380" t="s">
        <v>1039</v>
      </c>
      <c r="G7845" s="380" t="s">
        <v>1267</v>
      </c>
      <c r="H7845" s="380" t="s">
        <v>771</v>
      </c>
      <c r="I7845" s="380" t="s">
        <v>788</v>
      </c>
      <c r="J7845" s="380" t="s">
        <v>773</v>
      </c>
      <c r="K7845" s="381">
        <v>172724.0</v>
      </c>
      <c r="L7845" s="382">
        <v>1.0</v>
      </c>
    </row>
    <row r="7846">
      <c r="A7846" s="380" t="s">
        <v>8720</v>
      </c>
      <c r="B7846" s="380" t="str">
        <f>IFERROR(__xludf.DUMMYFUNCTION("""COMPUTED_VALUE"""),"Retenedor Rueda National Trailer 376590A")</f>
        <v>Retenedor Rueda National Trailer 376590A</v>
      </c>
      <c r="C7846" s="380" t="str">
        <f>IFERROR(__xludf.DUMMYFUNCTION("""COMPUTED_VALUE"""),"70003261")</f>
        <v>70003261</v>
      </c>
      <c r="D7846" s="380" t="s">
        <v>767</v>
      </c>
      <c r="E7846" s="380" t="s">
        <v>786</v>
      </c>
      <c r="F7846" s="380" t="s">
        <v>1039</v>
      </c>
      <c r="G7846" s="380" t="s">
        <v>1267</v>
      </c>
      <c r="H7846" s="380" t="s">
        <v>771</v>
      </c>
      <c r="I7846" s="380" t="s">
        <v>788</v>
      </c>
      <c r="J7846" s="380" t="s">
        <v>773</v>
      </c>
      <c r="K7846" s="381">
        <v>53614.0</v>
      </c>
      <c r="L7846" s="382">
        <v>1.0</v>
      </c>
    </row>
    <row r="7847">
      <c r="A7847" s="380" t="s">
        <v>8721</v>
      </c>
      <c r="B7847" s="380" t="str">
        <f>IFERROR(__xludf.DUMMYFUNCTION("""COMPUTED_VALUE"""),"Set Rodillos Conicos Foton 112 33114FAG")</f>
        <v>Set Rodillos Conicos Foton 112 33114FAG</v>
      </c>
      <c r="C7847" s="380" t="str">
        <f>IFERROR(__xludf.DUMMYFUNCTION("""COMPUTED_VALUE"""),"70003262")</f>
        <v>70003262</v>
      </c>
      <c r="D7847" s="380" t="s">
        <v>767</v>
      </c>
      <c r="E7847" s="380" t="s">
        <v>786</v>
      </c>
      <c r="F7847" s="380" t="s">
        <v>1039</v>
      </c>
      <c r="G7847" s="380" t="s">
        <v>1267</v>
      </c>
      <c r="H7847" s="380" t="s">
        <v>771</v>
      </c>
      <c r="I7847" s="380" t="s">
        <v>788</v>
      </c>
      <c r="J7847" s="380" t="s">
        <v>773</v>
      </c>
      <c r="K7847" s="381">
        <v>0.0</v>
      </c>
      <c r="L7847" s="382">
        <v>1.0</v>
      </c>
    </row>
    <row r="7848">
      <c r="A7848" s="380" t="s">
        <v>8722</v>
      </c>
      <c r="B7848" s="380" t="str">
        <f>IFERROR(__xludf.DUMMYFUNCTION("""COMPUTED_VALUE"""),"Set Rodillos Conicos Foton 1129 33116FAG")</f>
        <v>Set Rodillos Conicos Foton 1129 33116FAG</v>
      </c>
      <c r="C7848" s="380" t="str">
        <f>IFERROR(__xludf.DUMMYFUNCTION("""COMPUTED_VALUE"""),"70003263")</f>
        <v>70003263</v>
      </c>
      <c r="D7848" s="380" t="s">
        <v>767</v>
      </c>
      <c r="E7848" s="380" t="s">
        <v>786</v>
      </c>
      <c r="F7848" s="380" t="s">
        <v>1039</v>
      </c>
      <c r="G7848" s="380" t="s">
        <v>1267</v>
      </c>
      <c r="H7848" s="380" t="s">
        <v>771</v>
      </c>
      <c r="I7848" s="380" t="s">
        <v>788</v>
      </c>
      <c r="J7848" s="380" t="s">
        <v>773</v>
      </c>
      <c r="K7848" s="381">
        <v>0.0</v>
      </c>
      <c r="L7848" s="382">
        <v>1.0</v>
      </c>
    </row>
    <row r="7849">
      <c r="A7849" s="380" t="s">
        <v>8723</v>
      </c>
      <c r="B7849" s="380" t="str">
        <f>IFERROR(__xludf.DUMMYFUNCTION("""COMPUTED_VALUE"""),"Rodillo Rda Del Exter SB N14 K-555 S.B")</f>
        <v>Rodillo Rda Del Exter SB N14 K-555 S.B</v>
      </c>
      <c r="C7849" s="380" t="str">
        <f>IFERROR(__xludf.DUMMYFUNCTION("""COMPUTED_VALUE"""),"70003264")</f>
        <v>70003264</v>
      </c>
      <c r="D7849" s="380" t="s">
        <v>767</v>
      </c>
      <c r="E7849" s="380" t="s">
        <v>786</v>
      </c>
      <c r="F7849" s="380" t="s">
        <v>1039</v>
      </c>
      <c r="G7849" s="380" t="s">
        <v>1267</v>
      </c>
      <c r="H7849" s="380" t="s">
        <v>771</v>
      </c>
      <c r="I7849" s="380" t="s">
        <v>788</v>
      </c>
      <c r="J7849" s="380" t="s">
        <v>773</v>
      </c>
      <c r="K7849" s="381">
        <v>0.0</v>
      </c>
      <c r="L7849" s="382">
        <v>1.0</v>
      </c>
    </row>
    <row r="7850">
      <c r="A7850" s="380" t="s">
        <v>8724</v>
      </c>
      <c r="B7850" s="380" t="str">
        <f>IFERROR(__xludf.DUMMYFUNCTION("""COMPUTED_VALUE"""),"Set Rodillo Rda Tras Exter SB N14 SET401")</f>
        <v>Set Rodillo Rda Tras Exter SB N14 SET401</v>
      </c>
      <c r="C7850" s="380" t="str">
        <f>IFERROR(__xludf.DUMMYFUNCTION("""COMPUTED_VALUE"""),"70003265")</f>
        <v>70003265</v>
      </c>
      <c r="D7850" s="380" t="s">
        <v>767</v>
      </c>
      <c r="E7850" s="380" t="s">
        <v>786</v>
      </c>
      <c r="F7850" s="380" t="s">
        <v>1039</v>
      </c>
      <c r="G7850" s="380" t="s">
        <v>1267</v>
      </c>
      <c r="H7850" s="380" t="s">
        <v>771</v>
      </c>
      <c r="I7850" s="380" t="s">
        <v>788</v>
      </c>
      <c r="J7850" s="380" t="s">
        <v>773</v>
      </c>
      <c r="K7850" s="381">
        <v>0.0</v>
      </c>
      <c r="L7850" s="382">
        <v>1.0</v>
      </c>
    </row>
    <row r="7851">
      <c r="A7851" s="380" t="s">
        <v>8725</v>
      </c>
      <c r="B7851" s="380" t="str">
        <f>IFERROR(__xludf.DUMMYFUNCTION("""COMPUTED_VALUE"""),"Set Rodillo Rda Del Ext Nhr 32206")</f>
        <v>Set Rodillo Rda Del Ext Nhr 32206</v>
      </c>
      <c r="C7851" s="380" t="str">
        <f>IFERROR(__xludf.DUMMYFUNCTION("""COMPUTED_VALUE"""),"70003266")</f>
        <v>70003266</v>
      </c>
      <c r="D7851" s="380" t="s">
        <v>767</v>
      </c>
      <c r="E7851" s="380" t="s">
        <v>786</v>
      </c>
      <c r="F7851" s="380" t="s">
        <v>1039</v>
      </c>
      <c r="G7851" s="380" t="s">
        <v>1267</v>
      </c>
      <c r="H7851" s="380" t="s">
        <v>771</v>
      </c>
      <c r="I7851" s="380" t="s">
        <v>788</v>
      </c>
      <c r="J7851" s="380" t="s">
        <v>773</v>
      </c>
      <c r="K7851" s="381">
        <v>0.0</v>
      </c>
      <c r="L7851" s="382">
        <v>1.0</v>
      </c>
    </row>
    <row r="7852">
      <c r="A7852" s="380" t="s">
        <v>8726</v>
      </c>
      <c r="B7852" s="380" t="str">
        <f>IFERROR(__xludf.DUMMYFUNCTION("""COMPUTED_VALUE"""),"Tubo Compresor Isx9400 4059312")</f>
        <v>Tubo Compresor Isx9400 4059312</v>
      </c>
      <c r="C7852" s="380" t="str">
        <f>IFERROR(__xludf.DUMMYFUNCTION("""COMPUTED_VALUE"""),"70003267")</f>
        <v>70003267</v>
      </c>
      <c r="D7852" s="380" t="s">
        <v>767</v>
      </c>
      <c r="E7852" s="380" t="s">
        <v>786</v>
      </c>
      <c r="F7852" s="380" t="s">
        <v>787</v>
      </c>
      <c r="G7852" s="380" t="s">
        <v>1267</v>
      </c>
      <c r="H7852" s="380" t="s">
        <v>771</v>
      </c>
      <c r="I7852" s="380" t="s">
        <v>788</v>
      </c>
      <c r="J7852" s="380" t="s">
        <v>773</v>
      </c>
      <c r="K7852" s="381">
        <v>0.0</v>
      </c>
      <c r="L7852" s="382">
        <v>1.0</v>
      </c>
    </row>
    <row r="7853">
      <c r="A7853" s="380" t="s">
        <v>8727</v>
      </c>
      <c r="B7853" s="380" t="str">
        <f>IFERROR(__xludf.DUMMYFUNCTION("""COMPUTED_VALUE"""),"Tapa Depos Hidr Foton BJ1129 1023722438")</f>
        <v>Tapa Depos Hidr Foton BJ1129 1023722438</v>
      </c>
      <c r="C7853" s="380" t="str">
        <f>IFERROR(__xludf.DUMMYFUNCTION("""COMPUTED_VALUE"""),"70003268")</f>
        <v>70003268</v>
      </c>
      <c r="D7853" s="380" t="s">
        <v>767</v>
      </c>
      <c r="E7853" s="380" t="s">
        <v>786</v>
      </c>
      <c r="F7853" s="380" t="s">
        <v>787</v>
      </c>
      <c r="G7853" s="380" t="s">
        <v>1267</v>
      </c>
      <c r="H7853" s="380" t="s">
        <v>771</v>
      </c>
      <c r="I7853" s="380" t="s">
        <v>788</v>
      </c>
      <c r="J7853" s="380" t="s">
        <v>773</v>
      </c>
      <c r="K7853" s="381">
        <v>0.0</v>
      </c>
      <c r="L7853" s="382">
        <v>1.0</v>
      </c>
    </row>
    <row r="7854">
      <c r="A7854" s="380" t="s">
        <v>8728</v>
      </c>
      <c r="B7854" s="380" t="str">
        <f>IFERROR(__xludf.DUMMYFUNCTION("""COMPUTED_VALUE"""),"Tubo Inyecc Comb N2 Nkr Rewar 8982037200")</f>
        <v>Tubo Inyecc Comb N2 Nkr Rewar 8982037200</v>
      </c>
      <c r="C7854" s="380" t="str">
        <f>IFERROR(__xludf.DUMMYFUNCTION("""COMPUTED_VALUE"""),"70003269")</f>
        <v>70003269</v>
      </c>
      <c r="D7854" s="380" t="s">
        <v>767</v>
      </c>
      <c r="E7854" s="380" t="s">
        <v>786</v>
      </c>
      <c r="F7854" s="380" t="s">
        <v>787</v>
      </c>
      <c r="G7854" s="380" t="s">
        <v>1267</v>
      </c>
      <c r="H7854" s="380" t="s">
        <v>771</v>
      </c>
      <c r="I7854" s="380" t="s">
        <v>788</v>
      </c>
      <c r="J7854" s="380" t="s">
        <v>773</v>
      </c>
      <c r="K7854" s="381">
        <v>0.0</v>
      </c>
      <c r="L7854" s="382">
        <v>1.0</v>
      </c>
    </row>
    <row r="7855">
      <c r="A7855" s="380" t="s">
        <v>8729</v>
      </c>
      <c r="B7855" s="380" t="str">
        <f>IFERROR(__xludf.DUMMYFUNCTION("""COMPUTED_VALUE"""),"Soporte Tras Der Motor Eagle 3524036C1")</f>
        <v>Soporte Tras Der Motor Eagle 3524036C1</v>
      </c>
      <c r="C7855" s="380" t="str">
        <f>IFERROR(__xludf.DUMMYFUNCTION("""COMPUTED_VALUE"""),"70003270")</f>
        <v>70003270</v>
      </c>
      <c r="D7855" s="380" t="s">
        <v>767</v>
      </c>
      <c r="E7855" s="380" t="s">
        <v>786</v>
      </c>
      <c r="F7855" s="380" t="s">
        <v>787</v>
      </c>
      <c r="G7855" s="380" t="s">
        <v>1267</v>
      </c>
      <c r="H7855" s="380" t="s">
        <v>771</v>
      </c>
      <c r="I7855" s="380" t="s">
        <v>788</v>
      </c>
      <c r="J7855" s="380" t="s">
        <v>773</v>
      </c>
      <c r="K7855" s="381">
        <v>0.0</v>
      </c>
      <c r="L7855" s="382">
        <v>1.0</v>
      </c>
    </row>
    <row r="7856">
      <c r="A7856" s="380" t="s">
        <v>8730</v>
      </c>
      <c r="B7856" s="380" t="str">
        <f>IFERROR(__xludf.DUMMYFUNCTION("""COMPUTED_VALUE"""),"Tubo Refrigeracion Turbo FRR 8973872710")</f>
        <v>Tubo Refrigeracion Turbo FRR 8973872710</v>
      </c>
      <c r="C7856" s="380" t="str">
        <f>IFERROR(__xludf.DUMMYFUNCTION("""COMPUTED_VALUE"""),"70003271")</f>
        <v>70003271</v>
      </c>
      <c r="D7856" s="380" t="s">
        <v>767</v>
      </c>
      <c r="E7856" s="380" t="s">
        <v>786</v>
      </c>
      <c r="F7856" s="380" t="s">
        <v>787</v>
      </c>
      <c r="G7856" s="380" t="s">
        <v>1267</v>
      </c>
      <c r="H7856" s="380" t="s">
        <v>771</v>
      </c>
      <c r="I7856" s="380" t="s">
        <v>788</v>
      </c>
      <c r="J7856" s="380" t="s">
        <v>773</v>
      </c>
      <c r="K7856" s="381">
        <v>0.0</v>
      </c>
      <c r="L7856" s="382">
        <v>1.0</v>
      </c>
    </row>
    <row r="7857">
      <c r="A7857" s="380" t="s">
        <v>8731</v>
      </c>
      <c r="B7857" s="380" t="str">
        <f>IFERROR(__xludf.DUMMYFUNCTION("""COMPUTED_VALUE"""),"Tubo De Lubricac Rtlo16918 Eagle 4305715")</f>
        <v>Tubo De Lubricac Rtlo16918 Eagle 4305715</v>
      </c>
      <c r="C7857" s="380" t="str">
        <f>IFERROR(__xludf.DUMMYFUNCTION("""COMPUTED_VALUE"""),"70003272")</f>
        <v>70003272</v>
      </c>
      <c r="D7857" s="380" t="s">
        <v>767</v>
      </c>
      <c r="E7857" s="380" t="s">
        <v>786</v>
      </c>
      <c r="F7857" s="380" t="s">
        <v>787</v>
      </c>
      <c r="G7857" s="380" t="s">
        <v>1267</v>
      </c>
      <c r="H7857" s="380" t="s">
        <v>771</v>
      </c>
      <c r="I7857" s="380" t="s">
        <v>788</v>
      </c>
      <c r="J7857" s="380" t="s">
        <v>773</v>
      </c>
      <c r="K7857" s="381">
        <v>0.0</v>
      </c>
      <c r="L7857" s="382">
        <v>1.0</v>
      </c>
    </row>
    <row r="7858">
      <c r="A7858" s="380" t="s">
        <v>8732</v>
      </c>
      <c r="B7858" s="380" t="str">
        <f>IFERROR(__xludf.DUMMYFUNCTION("""COMPUTED_VALUE"""),"Chavet D Retenc Bulon Motor Eagle3064305")</f>
        <v>Chavet D Retenc Bulon Motor Eagle3064305</v>
      </c>
      <c r="C7858" s="380" t="str">
        <f>IFERROR(__xludf.DUMMYFUNCTION("""COMPUTED_VALUE"""),"70003273")</f>
        <v>70003273</v>
      </c>
      <c r="D7858" s="380" t="s">
        <v>767</v>
      </c>
      <c r="E7858" s="380" t="s">
        <v>786</v>
      </c>
      <c r="F7858" s="380" t="s">
        <v>787</v>
      </c>
      <c r="G7858" s="380" t="s">
        <v>1267</v>
      </c>
      <c r="H7858" s="380" t="s">
        <v>771</v>
      </c>
      <c r="I7858" s="380" t="s">
        <v>788</v>
      </c>
      <c r="J7858" s="380" t="s">
        <v>773</v>
      </c>
      <c r="K7858" s="381">
        <v>0.0</v>
      </c>
      <c r="L7858" s="382">
        <v>1.0</v>
      </c>
    </row>
    <row r="7859">
      <c r="A7859" s="380" t="s">
        <v>8733</v>
      </c>
      <c r="B7859" s="380" t="str">
        <f>IFERROR(__xludf.DUMMYFUNCTION("""COMPUTED_VALUE"""),"Deposito De Expansion Jac Jkr 1311010LE0")</f>
        <v>Deposito De Expansion Jac Jkr 1311010LE0</v>
      </c>
      <c r="C7859" s="380" t="str">
        <f>IFERROR(__xludf.DUMMYFUNCTION("""COMPUTED_VALUE"""),"70003274")</f>
        <v>70003274</v>
      </c>
      <c r="D7859" s="380" t="s">
        <v>767</v>
      </c>
      <c r="E7859" s="380" t="s">
        <v>786</v>
      </c>
      <c r="F7859" s="380" t="s">
        <v>787</v>
      </c>
      <c r="G7859" s="380" t="s">
        <v>1267</v>
      </c>
      <c r="H7859" s="380" t="s">
        <v>771</v>
      </c>
      <c r="I7859" s="380" t="s">
        <v>788</v>
      </c>
      <c r="J7859" s="380" t="s">
        <v>773</v>
      </c>
      <c r="K7859" s="381">
        <v>0.0</v>
      </c>
      <c r="L7859" s="382">
        <v>1.0</v>
      </c>
    </row>
    <row r="7860">
      <c r="A7860" s="380" t="s">
        <v>8734</v>
      </c>
      <c r="B7860" s="380" t="str">
        <f>IFERROR(__xludf.DUMMYFUNCTION("""COMPUTED_VALUE"""),"Modulo Ecu Foton MV5 5946027571")</f>
        <v>Modulo Ecu Foton MV5 5946027571</v>
      </c>
      <c r="C7860" s="380" t="str">
        <f>IFERROR(__xludf.DUMMYFUNCTION("""COMPUTED_VALUE"""),"70003275")</f>
        <v>70003275</v>
      </c>
      <c r="D7860" s="380" t="s">
        <v>767</v>
      </c>
      <c r="E7860" s="380" t="s">
        <v>786</v>
      </c>
      <c r="F7860" s="380" t="s">
        <v>787</v>
      </c>
      <c r="G7860" s="380" t="s">
        <v>1267</v>
      </c>
      <c r="H7860" s="380" t="s">
        <v>771</v>
      </c>
      <c r="I7860" s="380" t="s">
        <v>788</v>
      </c>
      <c r="J7860" s="380" t="s">
        <v>773</v>
      </c>
      <c r="K7860" s="381">
        <v>0.0</v>
      </c>
      <c r="L7860" s="382">
        <v>1.0</v>
      </c>
    </row>
    <row r="7861">
      <c r="A7861" s="380" t="s">
        <v>8735</v>
      </c>
      <c r="B7861" s="380" t="str">
        <f>IFERROR(__xludf.DUMMYFUNCTION("""COMPUTED_VALUE"""),"Bomba Aceite Motor Nkr Rewar 8982326241")</f>
        <v>Bomba Aceite Motor Nkr Rewar 8982326241</v>
      </c>
      <c r="C7861" s="380" t="str">
        <f>IFERROR(__xludf.DUMMYFUNCTION("""COMPUTED_VALUE"""),"70003276")</f>
        <v>70003276</v>
      </c>
      <c r="D7861" s="380" t="s">
        <v>767</v>
      </c>
      <c r="E7861" s="380" t="s">
        <v>786</v>
      </c>
      <c r="F7861" s="380" t="s">
        <v>787</v>
      </c>
      <c r="G7861" s="380" t="s">
        <v>1267</v>
      </c>
      <c r="H7861" s="380" t="s">
        <v>771</v>
      </c>
      <c r="I7861" s="380" t="s">
        <v>788</v>
      </c>
      <c r="J7861" s="380" t="s">
        <v>773</v>
      </c>
      <c r="K7861" s="381">
        <v>0.0</v>
      </c>
      <c r="L7861" s="382">
        <v>1.0</v>
      </c>
    </row>
    <row r="7862">
      <c r="A7862" s="380" t="s">
        <v>8736</v>
      </c>
      <c r="B7862" s="380" t="str">
        <f>IFERROR(__xludf.DUMMYFUNCTION("""COMPUTED_VALUE"""),"Piñon Cade Distr Motor Nkr Rew8973123301")</f>
        <v>Piñon Cade Distr Motor Nkr Rew8973123301</v>
      </c>
      <c r="C7862" s="380" t="str">
        <f>IFERROR(__xludf.DUMMYFUNCTION("""COMPUTED_VALUE"""),"70003277")</f>
        <v>70003277</v>
      </c>
      <c r="D7862" s="380" t="s">
        <v>767</v>
      </c>
      <c r="E7862" s="380" t="s">
        <v>786</v>
      </c>
      <c r="F7862" s="380" t="s">
        <v>787</v>
      </c>
      <c r="G7862" s="380" t="s">
        <v>1267</v>
      </c>
      <c r="H7862" s="380" t="s">
        <v>771</v>
      </c>
      <c r="I7862" s="380" t="s">
        <v>788</v>
      </c>
      <c r="J7862" s="380" t="s">
        <v>773</v>
      </c>
      <c r="K7862" s="381">
        <v>0.0</v>
      </c>
      <c r="L7862" s="382">
        <v>1.0</v>
      </c>
    </row>
    <row r="7863">
      <c r="A7863" s="380" t="s">
        <v>8737</v>
      </c>
      <c r="B7863" s="380" t="str">
        <f>IFERROR(__xludf.DUMMYFUNCTION("""COMPUTED_VALUE"""),"Cauc Mont Cub Tapa Válv Nkr Rw8973815240")</f>
        <v>Cauc Mont Cub Tapa Válv Nkr Rw8973815240</v>
      </c>
      <c r="C7863" s="380" t="str">
        <f>IFERROR(__xludf.DUMMYFUNCTION("""COMPUTED_VALUE"""),"70003278")</f>
        <v>70003278</v>
      </c>
      <c r="D7863" s="380" t="s">
        <v>767</v>
      </c>
      <c r="E7863" s="380" t="s">
        <v>786</v>
      </c>
      <c r="F7863" s="380" t="s">
        <v>787</v>
      </c>
      <c r="G7863" s="380" t="s">
        <v>1267</v>
      </c>
      <c r="H7863" s="380" t="s">
        <v>771</v>
      </c>
      <c r="I7863" s="380" t="s">
        <v>788</v>
      </c>
      <c r="J7863" s="380" t="s">
        <v>773</v>
      </c>
      <c r="K7863" s="381">
        <v>0.0</v>
      </c>
      <c r="L7863" s="382">
        <v>1.0</v>
      </c>
    </row>
    <row r="7864">
      <c r="A7864" s="380" t="s">
        <v>8738</v>
      </c>
      <c r="B7864" s="380" t="str">
        <f>IFERROR(__xludf.DUMMYFUNCTION("""COMPUTED_VALUE"""),"Correa Alternador Mack Cxu-Gu 2330000312")</f>
        <v>Correa Alternador Mack Cxu-Gu 2330000312</v>
      </c>
      <c r="C7864" s="380" t="str">
        <f>IFERROR(__xludf.DUMMYFUNCTION("""COMPUTED_VALUE"""),"70003279")</f>
        <v>70003279</v>
      </c>
      <c r="D7864" s="380" t="s">
        <v>767</v>
      </c>
      <c r="E7864" s="380" t="s">
        <v>786</v>
      </c>
      <c r="F7864" s="380" t="s">
        <v>787</v>
      </c>
      <c r="G7864" s="380" t="s">
        <v>1267</v>
      </c>
      <c r="H7864" s="380" t="s">
        <v>771</v>
      </c>
      <c r="I7864" s="380" t="s">
        <v>788</v>
      </c>
      <c r="J7864" s="380" t="s">
        <v>773</v>
      </c>
      <c r="K7864" s="381">
        <v>0.0</v>
      </c>
      <c r="L7864" s="382">
        <v>1.0</v>
      </c>
    </row>
    <row r="7865">
      <c r="A7865" s="380" t="s">
        <v>8739</v>
      </c>
      <c r="B7865" s="380" t="str">
        <f>IFERROR(__xludf.DUMMYFUNCTION("""COMPUTED_VALUE"""),"Culata Compresor Mack Cxu-Gu 912955")</f>
        <v>Culata Compresor Mack Cxu-Gu 912955</v>
      </c>
      <c r="C7865" s="380" t="str">
        <f>IFERROR(__xludf.DUMMYFUNCTION("""COMPUTED_VALUE"""),"70003280")</f>
        <v>70003280</v>
      </c>
      <c r="D7865" s="380" t="s">
        <v>767</v>
      </c>
      <c r="E7865" s="380" t="s">
        <v>786</v>
      </c>
      <c r="F7865" s="380" t="s">
        <v>787</v>
      </c>
      <c r="G7865" s="380" t="s">
        <v>1267</v>
      </c>
      <c r="H7865" s="380" t="s">
        <v>771</v>
      </c>
      <c r="I7865" s="380" t="s">
        <v>788</v>
      </c>
      <c r="J7865" s="380" t="s">
        <v>773</v>
      </c>
      <c r="K7865" s="381">
        <v>0.0</v>
      </c>
      <c r="L7865" s="382">
        <v>1.0</v>
      </c>
    </row>
    <row r="7866">
      <c r="A7866" s="380" t="s">
        <v>8740</v>
      </c>
      <c r="B7866" s="380" t="str">
        <f>IFERROR(__xludf.DUMMYFUNCTION("""COMPUTED_VALUE"""),"Esparrago Multiple Escape Isx 4965698")</f>
        <v>Esparrago Multiple Escape Isx 4965698</v>
      </c>
      <c r="C7866" s="380" t="str">
        <f>IFERROR(__xludf.DUMMYFUNCTION("""COMPUTED_VALUE"""),"70003281")</f>
        <v>70003281</v>
      </c>
      <c r="D7866" s="380" t="s">
        <v>767</v>
      </c>
      <c r="E7866" s="380" t="s">
        <v>786</v>
      </c>
      <c r="F7866" s="380" t="s">
        <v>787</v>
      </c>
      <c r="G7866" s="380" t="s">
        <v>1267</v>
      </c>
      <c r="H7866" s="380" t="s">
        <v>771</v>
      </c>
      <c r="I7866" s="380" t="s">
        <v>788</v>
      </c>
      <c r="J7866" s="380" t="s">
        <v>773</v>
      </c>
      <c r="K7866" s="381">
        <v>0.0</v>
      </c>
      <c r="L7866" s="382">
        <v>1.0</v>
      </c>
    </row>
    <row r="7867">
      <c r="A7867" s="380" t="s">
        <v>8741</v>
      </c>
      <c r="B7867" s="380" t="str">
        <f>IFERROR(__xludf.DUMMYFUNCTION("""COMPUTED_VALUE"""),"Arbol Levas Hyund Porter H100 G241104250")</f>
        <v>Arbol Levas Hyund Porter H100 G241104250</v>
      </c>
      <c r="C7867" s="380" t="str">
        <f>IFERROR(__xludf.DUMMYFUNCTION("""COMPUTED_VALUE"""),"70003282")</f>
        <v>70003282</v>
      </c>
      <c r="D7867" s="380" t="s">
        <v>767</v>
      </c>
      <c r="E7867" s="380" t="s">
        <v>786</v>
      </c>
      <c r="F7867" s="380" t="s">
        <v>787</v>
      </c>
      <c r="G7867" s="380" t="s">
        <v>1267</v>
      </c>
      <c r="H7867" s="380" t="s">
        <v>771</v>
      </c>
      <c r="I7867" s="380" t="s">
        <v>788</v>
      </c>
      <c r="J7867" s="380" t="s">
        <v>773</v>
      </c>
      <c r="K7867" s="381">
        <v>0.0</v>
      </c>
      <c r="L7867" s="382">
        <v>1.0</v>
      </c>
    </row>
    <row r="7868">
      <c r="A7868" s="380" t="s">
        <v>8742</v>
      </c>
      <c r="B7868" s="380" t="str">
        <f>IFERROR(__xludf.DUMMYFUNCTION("""COMPUTED_VALUE"""),"Tubo Retor Aceit Turbo Nkr Rew8973814892")</f>
        <v>Tubo Retor Aceit Turbo Nkr Rew8973814892</v>
      </c>
      <c r="C7868" s="380" t="str">
        <f>IFERROR(__xludf.DUMMYFUNCTION("""COMPUTED_VALUE"""),"70003283")</f>
        <v>70003283</v>
      </c>
      <c r="D7868" s="380" t="s">
        <v>767</v>
      </c>
      <c r="E7868" s="380" t="s">
        <v>786</v>
      </c>
      <c r="F7868" s="380" t="s">
        <v>787</v>
      </c>
      <c r="G7868" s="380" t="s">
        <v>1267</v>
      </c>
      <c r="H7868" s="380" t="s">
        <v>771</v>
      </c>
      <c r="I7868" s="380" t="s">
        <v>788</v>
      </c>
      <c r="J7868" s="380" t="s">
        <v>773</v>
      </c>
      <c r="K7868" s="381">
        <v>172946.0</v>
      </c>
      <c r="L7868" s="382">
        <v>1.0</v>
      </c>
    </row>
    <row r="7869">
      <c r="A7869" s="380" t="s">
        <v>8743</v>
      </c>
      <c r="B7869" s="380" t="str">
        <f>IFERROR(__xludf.DUMMYFUNCTION("""COMPUTED_VALUE"""),"Culata Compresor Aire FRR 1191100750")</f>
        <v>Culata Compresor Aire FRR 1191100750</v>
      </c>
      <c r="C7869" s="380" t="str">
        <f>IFERROR(__xludf.DUMMYFUNCTION("""COMPUTED_VALUE"""),"70003284")</f>
        <v>70003284</v>
      </c>
      <c r="D7869" s="380" t="s">
        <v>767</v>
      </c>
      <c r="E7869" s="380" t="s">
        <v>786</v>
      </c>
      <c r="F7869" s="380" t="s">
        <v>787</v>
      </c>
      <c r="G7869" s="380" t="s">
        <v>1267</v>
      </c>
      <c r="H7869" s="380" t="s">
        <v>771</v>
      </c>
      <c r="I7869" s="380" t="s">
        <v>788</v>
      </c>
      <c r="J7869" s="380" t="s">
        <v>773</v>
      </c>
      <c r="K7869" s="381">
        <v>0.0</v>
      </c>
      <c r="L7869" s="382">
        <v>1.0</v>
      </c>
    </row>
    <row r="7870">
      <c r="A7870" s="380" t="s">
        <v>8744</v>
      </c>
      <c r="B7870" s="380" t="str">
        <f>IFERROR(__xludf.DUMMYFUNCTION("""COMPUTED_VALUE"""),"Rele Limpiabris Mtg Foton MV5 1023491389")</f>
        <v>Rele Limpiabris Mtg Foton MV5 1023491389</v>
      </c>
      <c r="C7870" s="380" t="str">
        <f>IFERROR(__xludf.DUMMYFUNCTION("""COMPUTED_VALUE"""),"70003285")</f>
        <v>70003285</v>
      </c>
      <c r="D7870" s="380" t="s">
        <v>767</v>
      </c>
      <c r="E7870" s="380" t="s">
        <v>786</v>
      </c>
      <c r="F7870" s="380" t="s">
        <v>787</v>
      </c>
      <c r="G7870" s="380" t="s">
        <v>1267</v>
      </c>
      <c r="H7870" s="380" t="s">
        <v>771</v>
      </c>
      <c r="I7870" s="380" t="s">
        <v>788</v>
      </c>
      <c r="J7870" s="380" t="s">
        <v>773</v>
      </c>
      <c r="K7870" s="381">
        <v>0.0</v>
      </c>
      <c r="L7870" s="382">
        <v>1.0</v>
      </c>
    </row>
    <row r="7871">
      <c r="A7871" s="380" t="s">
        <v>8745</v>
      </c>
      <c r="B7871" s="380" t="str">
        <f>IFERROR(__xludf.DUMMYFUNCTION("""COMPUTED_VALUE"""),"Plato Compresor Aire FRR 8982717130")</f>
        <v>Plato Compresor Aire FRR 8982717130</v>
      </c>
      <c r="C7871" s="380" t="str">
        <f>IFERROR(__xludf.DUMMYFUNCTION("""COMPUTED_VALUE"""),"70003286")</f>
        <v>70003286</v>
      </c>
      <c r="D7871" s="380" t="s">
        <v>767</v>
      </c>
      <c r="E7871" s="380" t="s">
        <v>786</v>
      </c>
      <c r="F7871" s="380" t="s">
        <v>787</v>
      </c>
      <c r="G7871" s="380" t="s">
        <v>1267</v>
      </c>
      <c r="H7871" s="380" t="s">
        <v>771</v>
      </c>
      <c r="I7871" s="380" t="s">
        <v>788</v>
      </c>
      <c r="J7871" s="380" t="s">
        <v>773</v>
      </c>
      <c r="K7871" s="381">
        <v>0.0</v>
      </c>
      <c r="L7871" s="382">
        <v>1.0</v>
      </c>
    </row>
    <row r="7872">
      <c r="A7872" s="380" t="s">
        <v>8746</v>
      </c>
      <c r="B7872" s="380" t="str">
        <f>IFERROR(__xludf.DUMMYFUNCTION("""COMPUTED_VALUE"""),"Cuerpo De Acel Compl Motor N200 24556341")</f>
        <v>Cuerpo De Acel Compl Motor N200 24556341</v>
      </c>
      <c r="C7872" s="380" t="str">
        <f>IFERROR(__xludf.DUMMYFUNCTION("""COMPUTED_VALUE"""),"70003287")</f>
        <v>70003287</v>
      </c>
      <c r="D7872" s="380" t="s">
        <v>767</v>
      </c>
      <c r="E7872" s="380" t="s">
        <v>786</v>
      </c>
      <c r="F7872" s="380" t="s">
        <v>787</v>
      </c>
      <c r="G7872" s="380" t="s">
        <v>1267</v>
      </c>
      <c r="H7872" s="380" t="s">
        <v>771</v>
      </c>
      <c r="I7872" s="380" t="s">
        <v>788</v>
      </c>
      <c r="J7872" s="380" t="s">
        <v>773</v>
      </c>
      <c r="K7872" s="381">
        <v>541450.0</v>
      </c>
      <c r="L7872" s="382">
        <v>1.0</v>
      </c>
    </row>
    <row r="7873">
      <c r="A7873" s="380" t="s">
        <v>8747</v>
      </c>
      <c r="B7873" s="380" t="str">
        <f>IFERROR(__xludf.DUMMYFUNCTION("""COMPUTED_VALUE"""),"Media Luna Tapa Valvulas Npr 8981639130")</f>
        <v>Media Luna Tapa Valvulas Npr 8981639130</v>
      </c>
      <c r="C7873" s="380" t="str">
        <f>IFERROR(__xludf.DUMMYFUNCTION("""COMPUTED_VALUE"""),"70003288")</f>
        <v>70003288</v>
      </c>
      <c r="D7873" s="380" t="s">
        <v>767</v>
      </c>
      <c r="E7873" s="380" t="s">
        <v>786</v>
      </c>
      <c r="F7873" s="380" t="s">
        <v>787</v>
      </c>
      <c r="G7873" s="380" t="s">
        <v>1267</v>
      </c>
      <c r="H7873" s="380" t="s">
        <v>771</v>
      </c>
      <c r="I7873" s="380" t="s">
        <v>788</v>
      </c>
      <c r="J7873" s="380" t="s">
        <v>773</v>
      </c>
      <c r="K7873" s="381">
        <v>0.0</v>
      </c>
      <c r="L7873" s="382">
        <v>1.0</v>
      </c>
    </row>
    <row r="7874">
      <c r="A7874" s="380" t="s">
        <v>8748</v>
      </c>
      <c r="B7874" s="380" t="str">
        <f>IFERROR(__xludf.DUMMYFUNCTION("""COMPUTED_VALUE"""),"Asiento Valvula Escape Isx Eagle 3679537")</f>
        <v>Asiento Valvula Escape Isx Eagle 3679537</v>
      </c>
      <c r="C7874" s="380" t="str">
        <f>IFERROR(__xludf.DUMMYFUNCTION("""COMPUTED_VALUE"""),"70003289")</f>
        <v>70003289</v>
      </c>
      <c r="D7874" s="380" t="s">
        <v>767</v>
      </c>
      <c r="E7874" s="380" t="s">
        <v>786</v>
      </c>
      <c r="F7874" s="380" t="s">
        <v>787</v>
      </c>
      <c r="G7874" s="380" t="s">
        <v>1267</v>
      </c>
      <c r="H7874" s="380" t="s">
        <v>771</v>
      </c>
      <c r="I7874" s="380" t="s">
        <v>788</v>
      </c>
      <c r="J7874" s="380" t="s">
        <v>773</v>
      </c>
      <c r="K7874" s="381">
        <v>0.0</v>
      </c>
      <c r="L7874" s="382">
        <v>1.0</v>
      </c>
    </row>
    <row r="7875">
      <c r="A7875" s="380" t="s">
        <v>8749</v>
      </c>
      <c r="B7875" s="380" t="str">
        <f>IFERROR(__xludf.DUMMYFUNCTION("""COMPUTED_VALUE"""),"Asiento Valvula Admis Isx Eagle 3104445")</f>
        <v>Asiento Valvula Admis Isx Eagle 3104445</v>
      </c>
      <c r="C7875" s="380" t="str">
        <f>IFERROR(__xludf.DUMMYFUNCTION("""COMPUTED_VALUE"""),"70003290")</f>
        <v>70003290</v>
      </c>
      <c r="D7875" s="380" t="s">
        <v>767</v>
      </c>
      <c r="E7875" s="380" t="s">
        <v>786</v>
      </c>
      <c r="F7875" s="380" t="s">
        <v>787</v>
      </c>
      <c r="G7875" s="380" t="s">
        <v>1267</v>
      </c>
      <c r="H7875" s="380" t="s">
        <v>771</v>
      </c>
      <c r="I7875" s="380" t="s">
        <v>788</v>
      </c>
      <c r="J7875" s="380" t="s">
        <v>773</v>
      </c>
      <c r="K7875" s="381">
        <v>0.0</v>
      </c>
      <c r="L7875" s="382">
        <v>1.0</v>
      </c>
    </row>
    <row r="7876">
      <c r="A7876" s="380" t="s">
        <v>8750</v>
      </c>
      <c r="B7876" s="380" t="str">
        <f>IFERROR(__xludf.DUMMYFUNCTION("""COMPUTED_VALUE"""),"Tanque Aire Fabricado")</f>
        <v>Tanque Aire Fabricado</v>
      </c>
      <c r="C7876" s="380" t="str">
        <f>IFERROR(__xludf.DUMMYFUNCTION("""COMPUTED_VALUE"""),"70003291")</f>
        <v>70003291</v>
      </c>
      <c r="D7876" s="380" t="s">
        <v>767</v>
      </c>
      <c r="E7876" s="380" t="s">
        <v>786</v>
      </c>
      <c r="F7876" s="380" t="s">
        <v>787</v>
      </c>
      <c r="G7876" s="380" t="s">
        <v>1267</v>
      </c>
      <c r="H7876" s="380" t="s">
        <v>771</v>
      </c>
      <c r="I7876" s="380" t="s">
        <v>788</v>
      </c>
      <c r="J7876" s="380" t="s">
        <v>773</v>
      </c>
      <c r="K7876" s="381">
        <v>0.0</v>
      </c>
      <c r="L7876" s="382">
        <v>1.0</v>
      </c>
    </row>
    <row r="7877">
      <c r="A7877" s="380" t="s">
        <v>8751</v>
      </c>
      <c r="B7877" s="380" t="str">
        <f>IFERROR(__xludf.DUMMYFUNCTION("""COMPUTED_VALUE"""),"Tapa Llen Acei Mot Fot BJ1039 1023521185")</f>
        <v>Tapa Llen Acei Mot Fot BJ1039 1023521185</v>
      </c>
      <c r="C7877" s="380" t="str">
        <f>IFERROR(__xludf.DUMMYFUNCTION("""COMPUTED_VALUE"""),"70003292")</f>
        <v>70003292</v>
      </c>
      <c r="D7877" s="380" t="s">
        <v>767</v>
      </c>
      <c r="E7877" s="380" t="s">
        <v>786</v>
      </c>
      <c r="F7877" s="380" t="s">
        <v>787</v>
      </c>
      <c r="G7877" s="380" t="s">
        <v>1267</v>
      </c>
      <c r="H7877" s="380" t="s">
        <v>771</v>
      </c>
      <c r="I7877" s="380" t="s">
        <v>788</v>
      </c>
      <c r="J7877" s="380" t="s">
        <v>773</v>
      </c>
      <c r="K7877" s="381">
        <v>0.0</v>
      </c>
      <c r="L7877" s="382">
        <v>1.0</v>
      </c>
    </row>
    <row r="7878">
      <c r="A7878" s="380" t="s">
        <v>8752</v>
      </c>
      <c r="B7878" s="380" t="str">
        <f>IFERROR(__xludf.DUMMYFUNCTION("""COMPUTED_VALUE"""),"Tapa Llenado Aceite 3081143")</f>
        <v>Tapa Llenado Aceite 3081143</v>
      </c>
      <c r="C7878" s="380" t="str">
        <f>IFERROR(__xludf.DUMMYFUNCTION("""COMPUTED_VALUE"""),"70003293")</f>
        <v>70003293</v>
      </c>
      <c r="D7878" s="380" t="s">
        <v>767</v>
      </c>
      <c r="E7878" s="380" t="s">
        <v>786</v>
      </c>
      <c r="F7878" s="380" t="s">
        <v>787</v>
      </c>
      <c r="G7878" s="380" t="s">
        <v>1267</v>
      </c>
      <c r="H7878" s="380" t="s">
        <v>771</v>
      </c>
      <c r="I7878" s="380" t="s">
        <v>788</v>
      </c>
      <c r="J7878" s="380" t="s">
        <v>773</v>
      </c>
      <c r="K7878" s="381">
        <v>0.0</v>
      </c>
      <c r="L7878" s="382">
        <v>1.0</v>
      </c>
    </row>
    <row r="7879">
      <c r="A7879" s="380" t="s">
        <v>8753</v>
      </c>
      <c r="B7879" s="380" t="str">
        <f>IFERROR(__xludf.DUMMYFUNCTION("""COMPUTED_VALUE"""),"Tapa Dep Agua Radiad Hi 10Psi 2039390C1")</f>
        <v>Tapa Dep Agua Radiad Hi 10Psi 2039390C1</v>
      </c>
      <c r="C7879" s="380" t="str">
        <f>IFERROR(__xludf.DUMMYFUNCTION("""COMPUTED_VALUE"""),"70003294")</f>
        <v>70003294</v>
      </c>
      <c r="D7879" s="380" t="s">
        <v>767</v>
      </c>
      <c r="E7879" s="380" t="s">
        <v>786</v>
      </c>
      <c r="F7879" s="380" t="s">
        <v>787</v>
      </c>
      <c r="G7879" s="380" t="s">
        <v>1267</v>
      </c>
      <c r="H7879" s="380" t="s">
        <v>771</v>
      </c>
      <c r="I7879" s="380" t="s">
        <v>788</v>
      </c>
      <c r="J7879" s="380" t="s">
        <v>773</v>
      </c>
      <c r="K7879" s="381">
        <v>0.0</v>
      </c>
      <c r="L7879" s="382">
        <v>1.0</v>
      </c>
    </row>
    <row r="7880">
      <c r="A7880" s="380" t="s">
        <v>8754</v>
      </c>
      <c r="B7880" s="380" t="str">
        <f>IFERROR(__xludf.DUMMYFUNCTION("""COMPUTED_VALUE"""),"Tapa Radiador 10 Psi 130704 C1")</f>
        <v>Tapa Radiador 10 Psi 130704 C1</v>
      </c>
      <c r="C7880" s="380" t="str">
        <f>IFERROR(__xludf.DUMMYFUNCTION("""COMPUTED_VALUE"""),"70003295")</f>
        <v>70003295</v>
      </c>
      <c r="D7880" s="380" t="s">
        <v>767</v>
      </c>
      <c r="E7880" s="380" t="s">
        <v>786</v>
      </c>
      <c r="F7880" s="380" t="s">
        <v>787</v>
      </c>
      <c r="G7880" s="380" t="s">
        <v>1267</v>
      </c>
      <c r="H7880" s="380" t="s">
        <v>771</v>
      </c>
      <c r="I7880" s="380" t="s">
        <v>788</v>
      </c>
      <c r="J7880" s="380" t="s">
        <v>773</v>
      </c>
      <c r="K7880" s="381">
        <v>0.0</v>
      </c>
      <c r="L7880" s="382">
        <v>1.0</v>
      </c>
    </row>
    <row r="7881">
      <c r="A7881" s="380" t="s">
        <v>8755</v>
      </c>
      <c r="B7881" s="380" t="str">
        <f>IFERROR(__xludf.DUMMYFUNCTION("""COMPUTED_VALUE"""),"Tapon Carter Hi 466 1841264 C1")</f>
        <v>Tapon Carter Hi 466 1841264 C1</v>
      </c>
      <c r="C7881" s="380" t="str">
        <f>IFERROR(__xludf.DUMMYFUNCTION("""COMPUTED_VALUE"""),"70003296")</f>
        <v>70003296</v>
      </c>
      <c r="D7881" s="380" t="s">
        <v>767</v>
      </c>
      <c r="E7881" s="380" t="s">
        <v>786</v>
      </c>
      <c r="F7881" s="380" t="s">
        <v>787</v>
      </c>
      <c r="G7881" s="380" t="s">
        <v>1267</v>
      </c>
      <c r="H7881" s="380" t="s">
        <v>771</v>
      </c>
      <c r="I7881" s="380" t="s">
        <v>788</v>
      </c>
      <c r="J7881" s="380" t="s">
        <v>773</v>
      </c>
      <c r="K7881" s="381">
        <v>0.0</v>
      </c>
      <c r="L7881" s="382">
        <v>1.0</v>
      </c>
    </row>
    <row r="7882">
      <c r="A7882" s="380" t="s">
        <v>8756</v>
      </c>
      <c r="B7882" s="380" t="str">
        <f>IFERROR(__xludf.DUMMYFUNCTION("""COMPUTED_VALUE"""),"Tapon Filtro Acpm Isx 4059445 Generico")</f>
        <v>Tapon Filtro Acpm Isx 4059445 Generico</v>
      </c>
      <c r="C7882" s="380" t="str">
        <f>IFERROR(__xludf.DUMMYFUNCTION("""COMPUTED_VALUE"""),"70003297")</f>
        <v>70003297</v>
      </c>
      <c r="D7882" s="380" t="s">
        <v>767</v>
      </c>
      <c r="E7882" s="380" t="s">
        <v>786</v>
      </c>
      <c r="F7882" s="380" t="s">
        <v>787</v>
      </c>
      <c r="G7882" s="380" t="s">
        <v>1267</v>
      </c>
      <c r="H7882" s="380" t="s">
        <v>771</v>
      </c>
      <c r="I7882" s="380" t="s">
        <v>788</v>
      </c>
      <c r="J7882" s="380" t="s">
        <v>773</v>
      </c>
      <c r="K7882" s="381">
        <v>0.0</v>
      </c>
      <c r="L7882" s="382">
        <v>1.0</v>
      </c>
    </row>
    <row r="7883">
      <c r="A7883" s="380" t="s">
        <v>8757</v>
      </c>
      <c r="B7883" s="380" t="str">
        <f>IFERROR(__xludf.DUMMYFUNCTION("""COMPUTED_VALUE"""),"Bomba De Agua Hyundai")</f>
        <v>Bomba De Agua Hyundai</v>
      </c>
      <c r="C7883" s="380" t="str">
        <f>IFERROR(__xludf.DUMMYFUNCTION("""COMPUTED_VALUE"""),"70003298")</f>
        <v>70003298</v>
      </c>
      <c r="D7883" s="380" t="s">
        <v>767</v>
      </c>
      <c r="E7883" s="380" t="s">
        <v>786</v>
      </c>
      <c r="F7883" s="380" t="s">
        <v>787</v>
      </c>
      <c r="G7883" s="380" t="s">
        <v>1267</v>
      </c>
      <c r="H7883" s="380" t="s">
        <v>771</v>
      </c>
      <c r="I7883" s="380" t="s">
        <v>788</v>
      </c>
      <c r="J7883" s="380" t="s">
        <v>773</v>
      </c>
      <c r="K7883" s="381">
        <v>0.0</v>
      </c>
      <c r="L7883" s="382">
        <v>1.0</v>
      </c>
    </row>
    <row r="7884">
      <c r="A7884" s="380" t="s">
        <v>8758</v>
      </c>
      <c r="B7884" s="380" t="str">
        <f>IFERROR(__xludf.DUMMYFUNCTION("""COMPUTED_VALUE"""),"Guia Cadena Inf Distribuc N200 24518548")</f>
        <v>Guia Cadena Inf Distribuc N200 24518548</v>
      </c>
      <c r="C7884" s="380" t="str">
        <f>IFERROR(__xludf.DUMMYFUNCTION("""COMPUTED_VALUE"""),"70003299")</f>
        <v>70003299</v>
      </c>
      <c r="D7884" s="380" t="s">
        <v>767</v>
      </c>
      <c r="E7884" s="380" t="s">
        <v>786</v>
      </c>
      <c r="F7884" s="380" t="s">
        <v>787</v>
      </c>
      <c r="G7884" s="380" t="s">
        <v>1267</v>
      </c>
      <c r="H7884" s="380" t="s">
        <v>771</v>
      </c>
      <c r="I7884" s="380" t="s">
        <v>788</v>
      </c>
      <c r="J7884" s="380" t="s">
        <v>773</v>
      </c>
      <c r="K7884" s="381">
        <v>0.0</v>
      </c>
      <c r="L7884" s="382">
        <v>1.0</v>
      </c>
    </row>
    <row r="7885">
      <c r="A7885" s="380" t="s">
        <v>8759</v>
      </c>
      <c r="B7885" s="380" t="str">
        <f>IFERROR(__xludf.DUMMYFUNCTION("""COMPUTED_VALUE"""),"Guia Cadena Sup Distribuc N200 24518549")</f>
        <v>Guia Cadena Sup Distribuc N200 24518549</v>
      </c>
      <c r="C7885" s="380" t="str">
        <f>IFERROR(__xludf.DUMMYFUNCTION("""COMPUTED_VALUE"""),"70003300")</f>
        <v>70003300</v>
      </c>
      <c r="D7885" s="380" t="s">
        <v>767</v>
      </c>
      <c r="E7885" s="380" t="s">
        <v>786</v>
      </c>
      <c r="F7885" s="380" t="s">
        <v>787</v>
      </c>
      <c r="G7885" s="380" t="s">
        <v>1267</v>
      </c>
      <c r="H7885" s="380" t="s">
        <v>771</v>
      </c>
      <c r="I7885" s="380" t="s">
        <v>788</v>
      </c>
      <c r="J7885" s="380" t="s">
        <v>773</v>
      </c>
      <c r="K7885" s="381">
        <v>0.0</v>
      </c>
      <c r="L7885" s="382">
        <v>1.0</v>
      </c>
    </row>
    <row r="7886">
      <c r="A7886" s="380" t="s">
        <v>8760</v>
      </c>
      <c r="B7886" s="380" t="str">
        <f>IFERROR(__xludf.DUMMYFUNCTION("""COMPUTED_VALUE"""),"Carcaza Filtro Aire N200 24540989")</f>
        <v>Carcaza Filtro Aire N200 24540989</v>
      </c>
      <c r="C7886" s="380" t="str">
        <f>IFERROR(__xludf.DUMMYFUNCTION("""COMPUTED_VALUE"""),"70003301")</f>
        <v>70003301</v>
      </c>
      <c r="D7886" s="380" t="s">
        <v>767</v>
      </c>
      <c r="E7886" s="380" t="s">
        <v>786</v>
      </c>
      <c r="F7886" s="380" t="s">
        <v>787</v>
      </c>
      <c r="G7886" s="380" t="s">
        <v>1267</v>
      </c>
      <c r="H7886" s="380" t="s">
        <v>771</v>
      </c>
      <c r="I7886" s="380" t="s">
        <v>788</v>
      </c>
      <c r="J7886" s="380" t="s">
        <v>773</v>
      </c>
      <c r="K7886" s="381">
        <v>0.0</v>
      </c>
      <c r="L7886" s="382">
        <v>1.0</v>
      </c>
    </row>
    <row r="7887">
      <c r="A7887" s="380" t="s">
        <v>8761</v>
      </c>
      <c r="B7887" s="380" t="str">
        <f>IFERROR(__xludf.DUMMYFUNCTION("""COMPUTED_VALUE"""),"Carcaza Filtro Aire Jack 1120 1109100LE0")</f>
        <v>Carcaza Filtro Aire Jack 1120 1109100LE0</v>
      </c>
      <c r="C7887" s="380" t="str">
        <f>IFERROR(__xludf.DUMMYFUNCTION("""COMPUTED_VALUE"""),"70003302")</f>
        <v>70003302</v>
      </c>
      <c r="D7887" s="380" t="s">
        <v>767</v>
      </c>
      <c r="E7887" s="380" t="s">
        <v>786</v>
      </c>
      <c r="F7887" s="380" t="s">
        <v>787</v>
      </c>
      <c r="G7887" s="380" t="s">
        <v>1267</v>
      </c>
      <c r="H7887" s="380" t="s">
        <v>771</v>
      </c>
      <c r="I7887" s="380" t="s">
        <v>788</v>
      </c>
      <c r="J7887" s="380" t="s">
        <v>773</v>
      </c>
      <c r="K7887" s="381">
        <v>0.0</v>
      </c>
      <c r="L7887" s="382">
        <v>1.0</v>
      </c>
    </row>
    <row r="7888">
      <c r="A7888" s="380" t="s">
        <v>8762</v>
      </c>
      <c r="B7888" s="380" t="str">
        <f>IFERROR(__xludf.DUMMYFUNCTION("""COMPUTED_VALUE"""),"Oring Base Termostato Mack 20479636")</f>
        <v>Oring Base Termostato Mack 20479636</v>
      </c>
      <c r="C7888" s="380" t="str">
        <f>IFERROR(__xludf.DUMMYFUNCTION("""COMPUTED_VALUE"""),"70003303")</f>
        <v>70003303</v>
      </c>
      <c r="D7888" s="380" t="s">
        <v>767</v>
      </c>
      <c r="E7888" s="380" t="s">
        <v>786</v>
      </c>
      <c r="F7888" s="380" t="s">
        <v>787</v>
      </c>
      <c r="G7888" s="380" t="s">
        <v>1267</v>
      </c>
      <c r="H7888" s="380" t="s">
        <v>771</v>
      </c>
      <c r="I7888" s="380" t="s">
        <v>788</v>
      </c>
      <c r="J7888" s="380" t="s">
        <v>773</v>
      </c>
      <c r="K7888" s="381">
        <v>0.0</v>
      </c>
      <c r="L7888" s="382">
        <v>1.0</v>
      </c>
    </row>
    <row r="7889">
      <c r="A7889" s="380" t="s">
        <v>8763</v>
      </c>
      <c r="B7889" s="380" t="str">
        <f>IFERROR(__xludf.DUMMYFUNCTION("""COMPUTED_VALUE"""),"Tubo Base Termostato Mack 21021925")</f>
        <v>Tubo Base Termostato Mack 21021925</v>
      </c>
      <c r="C7889" s="380" t="str">
        <f>IFERROR(__xludf.DUMMYFUNCTION("""COMPUTED_VALUE"""),"70003304")</f>
        <v>70003304</v>
      </c>
      <c r="D7889" s="380" t="s">
        <v>767</v>
      </c>
      <c r="E7889" s="380" t="s">
        <v>786</v>
      </c>
      <c r="F7889" s="380" t="s">
        <v>787</v>
      </c>
      <c r="G7889" s="380" t="s">
        <v>1267</v>
      </c>
      <c r="H7889" s="380" t="s">
        <v>771</v>
      </c>
      <c r="I7889" s="380" t="s">
        <v>788</v>
      </c>
      <c r="J7889" s="380" t="s">
        <v>773</v>
      </c>
      <c r="K7889" s="381">
        <v>0.0</v>
      </c>
      <c r="L7889" s="382">
        <v>1.0</v>
      </c>
    </row>
    <row r="7890">
      <c r="A7890" s="380" t="s">
        <v>8764</v>
      </c>
      <c r="B7890" s="380" t="str">
        <f>IFERROR(__xludf.DUMMYFUNCTION("""COMPUTED_VALUE"""),"Rociador Aceite Isx Eagle3687058 3412860")</f>
        <v>Rociador Aceite Isx Eagle3687058 3412860</v>
      </c>
      <c r="C7890" s="380" t="str">
        <f>IFERROR(__xludf.DUMMYFUNCTION("""COMPUTED_VALUE"""),"70003305")</f>
        <v>70003305</v>
      </c>
      <c r="D7890" s="380" t="s">
        <v>767</v>
      </c>
      <c r="E7890" s="380" t="s">
        <v>786</v>
      </c>
      <c r="F7890" s="380" t="s">
        <v>787</v>
      </c>
      <c r="G7890" s="380" t="s">
        <v>1267</v>
      </c>
      <c r="H7890" s="380" t="s">
        <v>771</v>
      </c>
      <c r="I7890" s="380" t="s">
        <v>788</v>
      </c>
      <c r="J7890" s="380" t="s">
        <v>773</v>
      </c>
      <c r="K7890" s="381">
        <v>0.0</v>
      </c>
      <c r="L7890" s="382">
        <v>1.0</v>
      </c>
    </row>
    <row r="7891">
      <c r="A7891" s="380" t="s">
        <v>8765</v>
      </c>
      <c r="B7891" s="380" t="str">
        <f>IFERROR(__xludf.DUMMYFUNCTION("""COMPUTED_VALUE"""),"Tapa De Balancin Motor Isx Eagle 4026587")</f>
        <v>Tapa De Balancin Motor Isx Eagle 4026587</v>
      </c>
      <c r="C7891" s="380" t="str">
        <f>IFERROR(__xludf.DUMMYFUNCTION("""COMPUTED_VALUE"""),"70003306")</f>
        <v>70003306</v>
      </c>
      <c r="D7891" s="380" t="s">
        <v>767</v>
      </c>
      <c r="E7891" s="380" t="s">
        <v>786</v>
      </c>
      <c r="F7891" s="380" t="s">
        <v>787</v>
      </c>
      <c r="G7891" s="380" t="s">
        <v>1267</v>
      </c>
      <c r="H7891" s="380" t="s">
        <v>771</v>
      </c>
      <c r="I7891" s="380" t="s">
        <v>788</v>
      </c>
      <c r="J7891" s="380" t="s">
        <v>773</v>
      </c>
      <c r="K7891" s="381">
        <v>0.0</v>
      </c>
      <c r="L7891" s="382">
        <v>1.0</v>
      </c>
    </row>
    <row r="7892">
      <c r="A7892" s="380" t="s">
        <v>8766</v>
      </c>
      <c r="B7892" s="380" t="str">
        <f>IFERROR(__xludf.DUMMYFUNCTION("""COMPUTED_VALUE"""),"Cremallera Volante Nkr Rewar 8970463661")</f>
        <v>Cremallera Volante Nkr Rewar 8970463661</v>
      </c>
      <c r="C7892" s="380" t="str">
        <f>IFERROR(__xludf.DUMMYFUNCTION("""COMPUTED_VALUE"""),"70003307")</f>
        <v>70003307</v>
      </c>
      <c r="D7892" s="380" t="s">
        <v>767</v>
      </c>
      <c r="E7892" s="380" t="s">
        <v>786</v>
      </c>
      <c r="F7892" s="380" t="s">
        <v>787</v>
      </c>
      <c r="G7892" s="380" t="s">
        <v>1267</v>
      </c>
      <c r="H7892" s="380" t="s">
        <v>771</v>
      </c>
      <c r="I7892" s="380" t="s">
        <v>788</v>
      </c>
      <c r="J7892" s="380" t="s">
        <v>773</v>
      </c>
      <c r="K7892" s="381">
        <v>660689.0</v>
      </c>
      <c r="L7892" s="382">
        <v>1.0</v>
      </c>
    </row>
    <row r="7893">
      <c r="A7893" s="380" t="s">
        <v>8767</v>
      </c>
      <c r="B7893" s="380" t="str">
        <f>IFERROR(__xludf.DUMMYFUNCTION("""COMPUTED_VALUE"""),"Oring Tubo Caja Termostatica Mack1547554")</f>
        <v>Oring Tubo Caja Termostatica Mack1547554</v>
      </c>
      <c r="C7893" s="380" t="str">
        <f>IFERROR(__xludf.DUMMYFUNCTION("""COMPUTED_VALUE"""),"70003308")</f>
        <v>70003308</v>
      </c>
      <c r="D7893" s="380" t="s">
        <v>767</v>
      </c>
      <c r="E7893" s="380" t="s">
        <v>786</v>
      </c>
      <c r="F7893" s="380" t="s">
        <v>787</v>
      </c>
      <c r="G7893" s="380" t="s">
        <v>1267</v>
      </c>
      <c r="H7893" s="380" t="s">
        <v>771</v>
      </c>
      <c r="I7893" s="380" t="s">
        <v>788</v>
      </c>
      <c r="J7893" s="380" t="s">
        <v>773</v>
      </c>
      <c r="K7893" s="381">
        <v>0.0</v>
      </c>
      <c r="L7893" s="382">
        <v>1.0</v>
      </c>
    </row>
    <row r="7894">
      <c r="A7894" s="380" t="s">
        <v>8768</v>
      </c>
      <c r="B7894" s="380" t="str">
        <f>IFERROR(__xludf.DUMMYFUNCTION("""COMPUTED_VALUE"""),"Oring Codo Turbo Eagle Isx 3682177")</f>
        <v>Oring Codo Turbo Eagle Isx 3682177</v>
      </c>
      <c r="C7894" s="380" t="str">
        <f>IFERROR(__xludf.DUMMYFUNCTION("""COMPUTED_VALUE"""),"70003309")</f>
        <v>70003309</v>
      </c>
      <c r="D7894" s="380" t="s">
        <v>767</v>
      </c>
      <c r="E7894" s="380" t="s">
        <v>786</v>
      </c>
      <c r="F7894" s="380" t="s">
        <v>787</v>
      </c>
      <c r="G7894" s="380" t="s">
        <v>1267</v>
      </c>
      <c r="H7894" s="380" t="s">
        <v>771</v>
      </c>
      <c r="I7894" s="380" t="s">
        <v>788</v>
      </c>
      <c r="J7894" s="380" t="s">
        <v>773</v>
      </c>
      <c r="K7894" s="381">
        <v>0.0</v>
      </c>
      <c r="L7894" s="382">
        <v>1.0</v>
      </c>
    </row>
    <row r="7895">
      <c r="A7895" s="380" t="s">
        <v>8769</v>
      </c>
      <c r="B7895" s="380" t="str">
        <f>IFERROR(__xludf.DUMMYFUNCTION("""COMPUTED_VALUE"""),"Kit Oring Pulgadas")</f>
        <v>Kit Oring Pulgadas</v>
      </c>
      <c r="C7895" s="380" t="str">
        <f>IFERROR(__xludf.DUMMYFUNCTION("""COMPUTED_VALUE"""),"70003311")</f>
        <v>70003311</v>
      </c>
      <c r="D7895" s="380" t="s">
        <v>767</v>
      </c>
      <c r="E7895" s="380" t="s">
        <v>786</v>
      </c>
      <c r="F7895" s="380" t="s">
        <v>787</v>
      </c>
      <c r="G7895" s="380" t="s">
        <v>1267</v>
      </c>
      <c r="H7895" s="380" t="s">
        <v>771</v>
      </c>
      <c r="I7895" s="380" t="s">
        <v>788</v>
      </c>
      <c r="J7895" s="380" t="s">
        <v>773</v>
      </c>
      <c r="K7895" s="381">
        <v>0.0</v>
      </c>
      <c r="L7895" s="382">
        <v>1.0</v>
      </c>
    </row>
    <row r="7896">
      <c r="A7896" s="380" t="s">
        <v>8770</v>
      </c>
      <c r="B7896" s="380" t="str">
        <f>IFERROR(__xludf.DUMMYFUNCTION("""COMPUTED_VALUE"""),"Bomba Vacio Motor Nkr Rewar 8982517640")</f>
        <v>Bomba Vacio Motor Nkr Rewar 8982517640</v>
      </c>
      <c r="C7896" s="380" t="str">
        <f>IFERROR(__xludf.DUMMYFUNCTION("""COMPUTED_VALUE"""),"70003312")</f>
        <v>70003312</v>
      </c>
      <c r="D7896" s="380" t="s">
        <v>767</v>
      </c>
      <c r="E7896" s="380" t="s">
        <v>786</v>
      </c>
      <c r="F7896" s="380" t="s">
        <v>787</v>
      </c>
      <c r="G7896" s="380" t="s">
        <v>1267</v>
      </c>
      <c r="H7896" s="380" t="s">
        <v>771</v>
      </c>
      <c r="I7896" s="380" t="s">
        <v>788</v>
      </c>
      <c r="J7896" s="380" t="s">
        <v>773</v>
      </c>
      <c r="K7896" s="381">
        <v>0.0</v>
      </c>
      <c r="L7896" s="382">
        <v>1.0</v>
      </c>
    </row>
    <row r="7897">
      <c r="A7897" s="380" t="s">
        <v>8771</v>
      </c>
      <c r="B7897" s="380" t="str">
        <f>IFERROR(__xludf.DUMMYFUNCTION("""COMPUTED_VALUE"""),"Piñon Cigueñal Motor Nkr Rewar8981549451")</f>
        <v>Piñon Cigueñal Motor Nkr Rewar8981549451</v>
      </c>
      <c r="C7897" s="380" t="str">
        <f>IFERROR(__xludf.DUMMYFUNCTION("""COMPUTED_VALUE"""),"70003313")</f>
        <v>70003313</v>
      </c>
      <c r="D7897" s="380" t="s">
        <v>767</v>
      </c>
      <c r="E7897" s="380" t="s">
        <v>786</v>
      </c>
      <c r="F7897" s="380" t="s">
        <v>787</v>
      </c>
      <c r="G7897" s="380" t="s">
        <v>1267</v>
      </c>
      <c r="H7897" s="380" t="s">
        <v>771</v>
      </c>
      <c r="I7897" s="380" t="s">
        <v>788</v>
      </c>
      <c r="J7897" s="380" t="s">
        <v>773</v>
      </c>
      <c r="K7897" s="381">
        <v>0.0</v>
      </c>
      <c r="L7897" s="382">
        <v>1.0</v>
      </c>
    </row>
    <row r="7898">
      <c r="A7898" s="380" t="s">
        <v>8772</v>
      </c>
      <c r="B7898" s="380" t="str">
        <f>IFERROR(__xludf.DUMMYFUNCTION("""COMPUTED_VALUE"""),"Radiador Mot Foton BJ1039 7701023775328")</f>
        <v>Radiador Mot Foton BJ1039 7701023775328</v>
      </c>
      <c r="C7898" s="380" t="str">
        <f>IFERROR(__xludf.DUMMYFUNCTION("""COMPUTED_VALUE"""),"70003314")</f>
        <v>70003314</v>
      </c>
      <c r="D7898" s="380" t="s">
        <v>767</v>
      </c>
      <c r="E7898" s="380" t="s">
        <v>786</v>
      </c>
      <c r="F7898" s="380" t="s">
        <v>787</v>
      </c>
      <c r="G7898" s="380" t="s">
        <v>1267</v>
      </c>
      <c r="H7898" s="380" t="s">
        <v>771</v>
      </c>
      <c r="I7898" s="380" t="s">
        <v>788</v>
      </c>
      <c r="J7898" s="380" t="s">
        <v>773</v>
      </c>
      <c r="K7898" s="381">
        <v>0.0</v>
      </c>
      <c r="L7898" s="382">
        <v>1.0</v>
      </c>
    </row>
    <row r="7899">
      <c r="A7899" s="380" t="s">
        <v>8773</v>
      </c>
      <c r="B7899" s="380" t="str">
        <f>IFERROR(__xludf.DUMMYFUNCTION("""COMPUTED_VALUE"""),"Manguera Depos Hidraul Prostar 3611990C2")</f>
        <v>Manguera Depos Hidraul Prostar 3611990C2</v>
      </c>
      <c r="C7899" s="380" t="str">
        <f>IFERROR(__xludf.DUMMYFUNCTION("""COMPUTED_VALUE"""),"70003315")</f>
        <v>70003315</v>
      </c>
      <c r="D7899" s="380" t="s">
        <v>767</v>
      </c>
      <c r="E7899" s="380" t="s">
        <v>786</v>
      </c>
      <c r="F7899" s="380" t="s">
        <v>787</v>
      </c>
      <c r="G7899" s="380" t="s">
        <v>1267</v>
      </c>
      <c r="H7899" s="380" t="s">
        <v>771</v>
      </c>
      <c r="I7899" s="380" t="s">
        <v>788</v>
      </c>
      <c r="J7899" s="380" t="s">
        <v>773</v>
      </c>
      <c r="K7899" s="381">
        <v>0.0</v>
      </c>
      <c r="L7899" s="382">
        <v>1.0</v>
      </c>
    </row>
    <row r="7900">
      <c r="A7900" s="380" t="s">
        <v>8774</v>
      </c>
      <c r="B7900" s="380" t="str">
        <f>IFERROR(__xludf.DUMMYFUNCTION("""COMPUTED_VALUE"""),"Soporte Motor Izq Nkr Redward 8980430010")</f>
        <v>Soporte Motor Izq Nkr Redward 8980430010</v>
      </c>
      <c r="C7900" s="380" t="str">
        <f>IFERROR(__xludf.DUMMYFUNCTION("""COMPUTED_VALUE"""),"70003316")</f>
        <v>70003316</v>
      </c>
      <c r="D7900" s="380" t="s">
        <v>767</v>
      </c>
      <c r="E7900" s="380" t="s">
        <v>786</v>
      </c>
      <c r="F7900" s="380" t="s">
        <v>787</v>
      </c>
      <c r="G7900" s="380" t="s">
        <v>1267</v>
      </c>
      <c r="H7900" s="380" t="s">
        <v>771</v>
      </c>
      <c r="I7900" s="380" t="s">
        <v>788</v>
      </c>
      <c r="J7900" s="380" t="s">
        <v>773</v>
      </c>
      <c r="K7900" s="381">
        <v>0.0</v>
      </c>
      <c r="L7900" s="382">
        <v>1.0</v>
      </c>
    </row>
    <row r="7901">
      <c r="A7901" s="380" t="s">
        <v>8775</v>
      </c>
      <c r="B7901" s="380" t="str">
        <f>IFERROR(__xludf.DUMMYFUNCTION("""COMPUTED_VALUE"""),"Soporte Motor Der Nkr Redward 8980430000")</f>
        <v>Soporte Motor Der Nkr Redward 8980430000</v>
      </c>
      <c r="C7901" s="380" t="str">
        <f>IFERROR(__xludf.DUMMYFUNCTION("""COMPUTED_VALUE"""),"70003317")</f>
        <v>70003317</v>
      </c>
      <c r="D7901" s="380" t="s">
        <v>767</v>
      </c>
      <c r="E7901" s="380" t="s">
        <v>786</v>
      </c>
      <c r="F7901" s="380" t="s">
        <v>787</v>
      </c>
      <c r="G7901" s="380" t="s">
        <v>1267</v>
      </c>
      <c r="H7901" s="380" t="s">
        <v>771</v>
      </c>
      <c r="I7901" s="380" t="s">
        <v>788</v>
      </c>
      <c r="J7901" s="380" t="s">
        <v>773</v>
      </c>
      <c r="K7901" s="381">
        <v>0.0</v>
      </c>
      <c r="L7901" s="382">
        <v>1.0</v>
      </c>
    </row>
    <row r="7902">
      <c r="A7902" s="380" t="s">
        <v>8776</v>
      </c>
      <c r="B7902" s="380" t="str">
        <f>IFERROR(__xludf.DUMMYFUNCTION("""COMPUTED_VALUE"""),"Bomba De Agua Foton MV5 7705946019569")</f>
        <v>Bomba De Agua Foton MV5 7705946019569</v>
      </c>
      <c r="C7902" s="380" t="str">
        <f>IFERROR(__xludf.DUMMYFUNCTION("""COMPUTED_VALUE"""),"70003318")</f>
        <v>70003318</v>
      </c>
      <c r="D7902" s="380" t="s">
        <v>767</v>
      </c>
      <c r="E7902" s="380" t="s">
        <v>786</v>
      </c>
      <c r="F7902" s="380" t="s">
        <v>787</v>
      </c>
      <c r="G7902" s="380" t="s">
        <v>1267</v>
      </c>
      <c r="H7902" s="380" t="s">
        <v>771</v>
      </c>
      <c r="I7902" s="380" t="s">
        <v>788</v>
      </c>
      <c r="J7902" s="380" t="s">
        <v>773</v>
      </c>
      <c r="K7902" s="381">
        <v>0.0</v>
      </c>
      <c r="L7902" s="382">
        <v>1.0</v>
      </c>
    </row>
    <row r="7903">
      <c r="A7903" s="380" t="s">
        <v>8777</v>
      </c>
      <c r="B7903" s="380" t="str">
        <f>IFERROR(__xludf.DUMMYFUNCTION("""COMPUTED_VALUE"""),"Conec Bomba Agua Foton MV5 7705946023030")</f>
        <v>Conec Bomba Agua Foton MV5 7705946023030</v>
      </c>
      <c r="C7903" s="380" t="str">
        <f>IFERROR(__xludf.DUMMYFUNCTION("""COMPUTED_VALUE"""),"70003319")</f>
        <v>70003319</v>
      </c>
      <c r="D7903" s="380" t="s">
        <v>767</v>
      </c>
      <c r="E7903" s="380" t="s">
        <v>786</v>
      </c>
      <c r="F7903" s="380" t="s">
        <v>787</v>
      </c>
      <c r="G7903" s="380" t="s">
        <v>1267</v>
      </c>
      <c r="H7903" s="380" t="s">
        <v>771</v>
      </c>
      <c r="I7903" s="380" t="s">
        <v>788</v>
      </c>
      <c r="J7903" s="380" t="s">
        <v>773</v>
      </c>
      <c r="K7903" s="381">
        <v>0.0</v>
      </c>
      <c r="L7903" s="382">
        <v>1.0</v>
      </c>
    </row>
    <row r="7904">
      <c r="A7904" s="380" t="s">
        <v>8778</v>
      </c>
      <c r="B7904" s="380" t="str">
        <f>IFERROR(__xludf.DUMMYFUNCTION("""COMPUTED_VALUE"""),"Tapa Radiador Foton 1039 7701023618113")</f>
        <v>Tapa Radiador Foton 1039 7701023618113</v>
      </c>
      <c r="C7904" s="380" t="str">
        <f>IFERROR(__xludf.DUMMYFUNCTION("""COMPUTED_VALUE"""),"70003320")</f>
        <v>70003320</v>
      </c>
      <c r="D7904" s="380" t="s">
        <v>767</v>
      </c>
      <c r="E7904" s="380" t="s">
        <v>786</v>
      </c>
      <c r="F7904" s="380" t="s">
        <v>787</v>
      </c>
      <c r="G7904" s="380" t="s">
        <v>1267</v>
      </c>
      <c r="H7904" s="380" t="s">
        <v>771</v>
      </c>
      <c r="I7904" s="380" t="s">
        <v>788</v>
      </c>
      <c r="J7904" s="380" t="s">
        <v>773</v>
      </c>
      <c r="K7904" s="381">
        <v>0.0</v>
      </c>
      <c r="L7904" s="382">
        <v>1.0</v>
      </c>
    </row>
    <row r="7905">
      <c r="A7905" s="380" t="s">
        <v>8779</v>
      </c>
      <c r="B7905" s="380" t="str">
        <f>IFERROR(__xludf.DUMMYFUNCTION("""COMPUTED_VALUE"""),"Tapa Radiadoe Foton 1039 7701023618113")</f>
        <v>Tapa Radiadoe Foton 1039 7701023618113</v>
      </c>
      <c r="C7905" s="380" t="str">
        <f>IFERROR(__xludf.DUMMYFUNCTION("""COMPUTED_VALUE"""),"70003321")</f>
        <v>70003321</v>
      </c>
      <c r="D7905" s="380" t="s">
        <v>767</v>
      </c>
      <c r="E7905" s="380" t="s">
        <v>786</v>
      </c>
      <c r="F7905" s="380" t="s">
        <v>787</v>
      </c>
      <c r="G7905" s="380" t="s">
        <v>1267</v>
      </c>
      <c r="H7905" s="380" t="s">
        <v>771</v>
      </c>
      <c r="I7905" s="380" t="s">
        <v>788</v>
      </c>
      <c r="J7905" s="380" t="s">
        <v>773</v>
      </c>
      <c r="K7905" s="381">
        <v>0.0</v>
      </c>
      <c r="L7905" s="382">
        <v>1.0</v>
      </c>
    </row>
    <row r="7906">
      <c r="A7906" s="380" t="s">
        <v>8780</v>
      </c>
      <c r="B7906" s="380" t="str">
        <f>IFERROR(__xludf.DUMMYFUNCTION("""COMPUTED_VALUE"""),"Tapa Combustible Foton 1129 1023543293")</f>
        <v>Tapa Combustible Foton 1129 1023543293</v>
      </c>
      <c r="C7906" s="380" t="str">
        <f>IFERROR(__xludf.DUMMYFUNCTION("""COMPUTED_VALUE"""),"70003322")</f>
        <v>70003322</v>
      </c>
      <c r="D7906" s="380" t="s">
        <v>767</v>
      </c>
      <c r="E7906" s="380" t="s">
        <v>786</v>
      </c>
      <c r="F7906" s="380" t="s">
        <v>787</v>
      </c>
      <c r="G7906" s="380" t="s">
        <v>1267</v>
      </c>
      <c r="H7906" s="380" t="s">
        <v>771</v>
      </c>
      <c r="I7906" s="380" t="s">
        <v>788</v>
      </c>
      <c r="J7906" s="380" t="s">
        <v>773</v>
      </c>
      <c r="K7906" s="381">
        <v>0.0</v>
      </c>
      <c r="L7906" s="382">
        <v>1.0</v>
      </c>
    </row>
    <row r="7907">
      <c r="A7907" s="380" t="s">
        <v>8781</v>
      </c>
      <c r="B7907" s="380" t="str">
        <f>IFERROR(__xludf.DUMMYFUNCTION("""COMPUTED_VALUE"""),"Varilla Int Radiador Prostar 3838980C1")</f>
        <v>Varilla Int Radiador Prostar 3838980C1</v>
      </c>
      <c r="C7907" s="380" t="str">
        <f>IFERROR(__xludf.DUMMYFUNCTION("""COMPUTED_VALUE"""),"70003323")</f>
        <v>70003323</v>
      </c>
      <c r="D7907" s="380" t="s">
        <v>767</v>
      </c>
      <c r="E7907" s="380" t="s">
        <v>786</v>
      </c>
      <c r="F7907" s="380" t="s">
        <v>787</v>
      </c>
      <c r="G7907" s="380" t="s">
        <v>1267</v>
      </c>
      <c r="H7907" s="380" t="s">
        <v>771</v>
      </c>
      <c r="I7907" s="380" t="s">
        <v>788</v>
      </c>
      <c r="J7907" s="380" t="s">
        <v>773</v>
      </c>
      <c r="K7907" s="381">
        <v>0.0</v>
      </c>
      <c r="L7907" s="382">
        <v>1.0</v>
      </c>
    </row>
    <row r="7908">
      <c r="A7908" s="380" t="s">
        <v>8782</v>
      </c>
      <c r="B7908" s="380" t="str">
        <f>IFERROR(__xludf.DUMMYFUNCTION("""COMPUTED_VALUE"""),"Soporte Motor Tras R Master 8200675206")</f>
        <v>Soporte Motor Tras R Master 8200675206</v>
      </c>
      <c r="C7908" s="380" t="str">
        <f>IFERROR(__xludf.DUMMYFUNCTION("""COMPUTED_VALUE"""),"70003324")</f>
        <v>70003324</v>
      </c>
      <c r="D7908" s="380" t="s">
        <v>767</v>
      </c>
      <c r="E7908" s="380" t="s">
        <v>786</v>
      </c>
      <c r="F7908" s="380" t="s">
        <v>787</v>
      </c>
      <c r="G7908" s="380" t="s">
        <v>1267</v>
      </c>
      <c r="H7908" s="380" t="s">
        <v>771</v>
      </c>
      <c r="I7908" s="380" t="s">
        <v>788</v>
      </c>
      <c r="J7908" s="380" t="s">
        <v>773</v>
      </c>
      <c r="K7908" s="381">
        <v>0.0</v>
      </c>
      <c r="L7908" s="382">
        <v>1.0</v>
      </c>
    </row>
    <row r="7909">
      <c r="A7909" s="380" t="s">
        <v>8783</v>
      </c>
      <c r="B7909" s="380" t="str">
        <f>IFERROR(__xludf.DUMMYFUNCTION("""COMPUTED_VALUE"""),"Coraza Ventilador Prostar 2591615C91")</f>
        <v>Coraza Ventilador Prostar 2591615C91</v>
      </c>
      <c r="C7909" s="380" t="str">
        <f>IFERROR(__xludf.DUMMYFUNCTION("""COMPUTED_VALUE"""),"70003325")</f>
        <v>70003325</v>
      </c>
      <c r="D7909" s="380" t="s">
        <v>767</v>
      </c>
      <c r="E7909" s="380" t="s">
        <v>786</v>
      </c>
      <c r="F7909" s="380" t="s">
        <v>787</v>
      </c>
      <c r="G7909" s="380" t="s">
        <v>1267</v>
      </c>
      <c r="H7909" s="380" t="s">
        <v>771</v>
      </c>
      <c r="I7909" s="380" t="s">
        <v>788</v>
      </c>
      <c r="J7909" s="380" t="s">
        <v>773</v>
      </c>
      <c r="K7909" s="381">
        <v>0.0</v>
      </c>
      <c r="L7909" s="382">
        <v>1.0</v>
      </c>
    </row>
    <row r="7910">
      <c r="A7910" s="380" t="s">
        <v>8784</v>
      </c>
      <c r="B7910" s="380" t="str">
        <f>IFERROR(__xludf.DUMMYFUNCTION("""COMPUTED_VALUE"""),"Piñon Eje Levas Valvu Motor Eagle3680522")</f>
        <v>Piñon Eje Levas Valvu Motor Eagle3680522</v>
      </c>
      <c r="C7910" s="380" t="str">
        <f>IFERROR(__xludf.DUMMYFUNCTION("""COMPUTED_VALUE"""),"70003326")</f>
        <v>70003326</v>
      </c>
      <c r="D7910" s="380" t="s">
        <v>767</v>
      </c>
      <c r="E7910" s="380" t="s">
        <v>786</v>
      </c>
      <c r="F7910" s="380" t="s">
        <v>787</v>
      </c>
      <c r="G7910" s="380" t="s">
        <v>1267</v>
      </c>
      <c r="H7910" s="380" t="s">
        <v>771</v>
      </c>
      <c r="I7910" s="380" t="s">
        <v>788</v>
      </c>
      <c r="J7910" s="380" t="s">
        <v>773</v>
      </c>
      <c r="K7910" s="381">
        <v>0.0</v>
      </c>
      <c r="L7910" s="382">
        <v>1.0</v>
      </c>
    </row>
    <row r="7911">
      <c r="A7911" s="380" t="s">
        <v>8785</v>
      </c>
      <c r="B7911" s="380" t="str">
        <f>IFERROR(__xludf.DUMMYFUNCTION("""COMPUTED_VALUE"""),"Carcaza Repartic Motor Isx Eagle 4059396")</f>
        <v>Carcaza Repartic Motor Isx Eagle 4059396</v>
      </c>
      <c r="C7911" s="380" t="str">
        <f>IFERROR(__xludf.DUMMYFUNCTION("""COMPUTED_VALUE"""),"70003327")</f>
        <v>70003327</v>
      </c>
      <c r="D7911" s="380" t="s">
        <v>767</v>
      </c>
      <c r="E7911" s="380" t="s">
        <v>786</v>
      </c>
      <c r="F7911" s="380" t="s">
        <v>787</v>
      </c>
      <c r="G7911" s="380" t="s">
        <v>1267</v>
      </c>
      <c r="H7911" s="380" t="s">
        <v>771</v>
      </c>
      <c r="I7911" s="380" t="s">
        <v>788</v>
      </c>
      <c r="J7911" s="380" t="s">
        <v>773</v>
      </c>
      <c r="K7911" s="381">
        <v>0.0</v>
      </c>
      <c r="L7911" s="382">
        <v>1.0</v>
      </c>
    </row>
    <row r="7912">
      <c r="A7912" s="380" t="s">
        <v>8786</v>
      </c>
      <c r="B7912" s="380" t="str">
        <f>IFERROR(__xludf.DUMMYFUNCTION("""COMPUTED_VALUE"""),"Correa Bba Hidra Foton BJ1039 5946312943")</f>
        <v>Correa Bba Hidra Foton BJ1039 5946312943</v>
      </c>
      <c r="C7912" s="380" t="str">
        <f>IFERROR(__xludf.DUMMYFUNCTION("""COMPUTED_VALUE"""),"70003328")</f>
        <v>70003328</v>
      </c>
      <c r="D7912" s="380" t="s">
        <v>767</v>
      </c>
      <c r="E7912" s="380" t="s">
        <v>786</v>
      </c>
      <c r="F7912" s="380" t="s">
        <v>787</v>
      </c>
      <c r="G7912" s="380" t="s">
        <v>1267</v>
      </c>
      <c r="H7912" s="380" t="s">
        <v>771</v>
      </c>
      <c r="I7912" s="380" t="s">
        <v>788</v>
      </c>
      <c r="J7912" s="380" t="s">
        <v>773</v>
      </c>
      <c r="K7912" s="381">
        <v>0.0</v>
      </c>
      <c r="L7912" s="382">
        <v>1.0</v>
      </c>
    </row>
    <row r="7913">
      <c r="A7913" s="380" t="s">
        <v>8787</v>
      </c>
      <c r="B7913" s="380" t="str">
        <f>IFERROR(__xludf.DUMMYFUNCTION("""COMPUTED_VALUE"""),"Correa Venti Alter Fot BJ1039 1023521758")</f>
        <v>Correa Venti Alter Fot BJ1039 1023521758</v>
      </c>
      <c r="C7913" s="380" t="str">
        <f>IFERROR(__xludf.DUMMYFUNCTION("""COMPUTED_VALUE"""),"70003329")</f>
        <v>70003329</v>
      </c>
      <c r="D7913" s="380" t="s">
        <v>767</v>
      </c>
      <c r="E7913" s="380" t="s">
        <v>786</v>
      </c>
      <c r="F7913" s="380" t="s">
        <v>787</v>
      </c>
      <c r="G7913" s="380" t="s">
        <v>1267</v>
      </c>
      <c r="H7913" s="380" t="s">
        <v>771</v>
      </c>
      <c r="I7913" s="380" t="s">
        <v>788</v>
      </c>
      <c r="J7913" s="380" t="s">
        <v>773</v>
      </c>
      <c r="K7913" s="381">
        <v>0.0</v>
      </c>
      <c r="L7913" s="382">
        <v>1.0</v>
      </c>
    </row>
    <row r="7914">
      <c r="A7914" s="380" t="s">
        <v>8788</v>
      </c>
      <c r="B7914" s="380" t="str">
        <f>IFERROR(__xludf.DUMMYFUNCTION("""COMPUTED_VALUE"""),"Bomba Aceite N200 24558579")</f>
        <v>Bomba Aceite N200 24558579</v>
      </c>
      <c r="C7914" s="380" t="str">
        <f>IFERROR(__xludf.DUMMYFUNCTION("""COMPUTED_VALUE"""),"70003330")</f>
        <v>70003330</v>
      </c>
      <c r="D7914" s="380" t="s">
        <v>767</v>
      </c>
      <c r="E7914" s="380" t="s">
        <v>786</v>
      </c>
      <c r="F7914" s="380" t="s">
        <v>787</v>
      </c>
      <c r="G7914" s="380" t="s">
        <v>1267</v>
      </c>
      <c r="H7914" s="380" t="s">
        <v>771</v>
      </c>
      <c r="I7914" s="380" t="s">
        <v>788</v>
      </c>
      <c r="J7914" s="380" t="s">
        <v>773</v>
      </c>
      <c r="K7914" s="381">
        <v>0.0</v>
      </c>
      <c r="L7914" s="382">
        <v>1.0</v>
      </c>
    </row>
    <row r="7915">
      <c r="A7915" s="380" t="s">
        <v>8789</v>
      </c>
      <c r="B7915" s="380" t="str">
        <f>IFERROR(__xludf.DUMMYFUNCTION("""COMPUTED_VALUE"""),"Piñon Spedd Del De 46 Dientes 3892QN94")</f>
        <v>Piñon Spedd Del De 46 Dientes 3892QN94</v>
      </c>
      <c r="C7915" s="380" t="str">
        <f>IFERROR(__xludf.DUMMYFUNCTION("""COMPUTED_VALUE"""),"70003331")</f>
        <v>70003331</v>
      </c>
      <c r="D7915" s="380" t="s">
        <v>767</v>
      </c>
      <c r="E7915" s="380" t="s">
        <v>786</v>
      </c>
      <c r="F7915" s="380" t="s">
        <v>787</v>
      </c>
      <c r="G7915" s="380" t="s">
        <v>1267</v>
      </c>
      <c r="H7915" s="380" t="s">
        <v>771</v>
      </c>
      <c r="I7915" s="380" t="s">
        <v>788</v>
      </c>
      <c r="J7915" s="380" t="s">
        <v>773</v>
      </c>
      <c r="K7915" s="381">
        <v>0.0</v>
      </c>
      <c r="L7915" s="382">
        <v>1.0</v>
      </c>
    </row>
    <row r="7916">
      <c r="A7916" s="380" t="s">
        <v>8790</v>
      </c>
      <c r="B7916" s="380" t="str">
        <f>IFERROR(__xludf.DUMMYFUNCTION("""COMPUTED_VALUE"""),"Sopor Tras Motor KW T800 Mod Nuev 116811")</f>
        <v>Sopor Tras Motor KW T800 Mod Nuev 116811</v>
      </c>
      <c r="C7916" s="380" t="str">
        <f>IFERROR(__xludf.DUMMYFUNCTION("""COMPUTED_VALUE"""),"70003332")</f>
        <v>70003332</v>
      </c>
      <c r="D7916" s="380" t="s">
        <v>767</v>
      </c>
      <c r="E7916" s="380" t="s">
        <v>786</v>
      </c>
      <c r="F7916" s="380" t="s">
        <v>787</v>
      </c>
      <c r="G7916" s="380" t="s">
        <v>1267</v>
      </c>
      <c r="H7916" s="380" t="s">
        <v>771</v>
      </c>
      <c r="I7916" s="380" t="s">
        <v>788</v>
      </c>
      <c r="J7916" s="380" t="s">
        <v>773</v>
      </c>
      <c r="K7916" s="381">
        <v>0.0</v>
      </c>
      <c r="L7916" s="382">
        <v>1.0</v>
      </c>
    </row>
    <row r="7917">
      <c r="A7917" s="380" t="s">
        <v>8791</v>
      </c>
      <c r="B7917" s="380" t="str">
        <f>IFERROR(__xludf.DUMMYFUNCTION("""COMPUTED_VALUE"""),"Culata Motor FRR 8981706190")</f>
        <v>Culata Motor FRR 8981706190</v>
      </c>
      <c r="C7917" s="380" t="str">
        <f>IFERROR(__xludf.DUMMYFUNCTION("""COMPUTED_VALUE"""),"70003333")</f>
        <v>70003333</v>
      </c>
      <c r="D7917" s="380" t="s">
        <v>767</v>
      </c>
      <c r="E7917" s="380" t="s">
        <v>786</v>
      </c>
      <c r="F7917" s="380" t="s">
        <v>787</v>
      </c>
      <c r="G7917" s="380" t="s">
        <v>1267</v>
      </c>
      <c r="H7917" s="380" t="s">
        <v>771</v>
      </c>
      <c r="I7917" s="380" t="s">
        <v>788</v>
      </c>
      <c r="J7917" s="380" t="s">
        <v>773</v>
      </c>
      <c r="K7917" s="381">
        <v>3207050.0</v>
      </c>
      <c r="L7917" s="382">
        <v>1.0</v>
      </c>
    </row>
    <row r="7918">
      <c r="A7918" s="380" t="s">
        <v>8792</v>
      </c>
      <c r="B7918" s="380" t="str">
        <f>IFERROR(__xludf.DUMMYFUNCTION("""COMPUTED_VALUE"""),"Soporte Motor Der R Master 8200022596")</f>
        <v>Soporte Motor Der R Master 8200022596</v>
      </c>
      <c r="C7918" s="380" t="str">
        <f>IFERROR(__xludf.DUMMYFUNCTION("""COMPUTED_VALUE"""),"70003334")</f>
        <v>70003334</v>
      </c>
      <c r="D7918" s="380" t="s">
        <v>767</v>
      </c>
      <c r="E7918" s="380" t="s">
        <v>786</v>
      </c>
      <c r="F7918" s="380" t="s">
        <v>787</v>
      </c>
      <c r="G7918" s="380" t="s">
        <v>1267</v>
      </c>
      <c r="H7918" s="380" t="s">
        <v>771</v>
      </c>
      <c r="I7918" s="380" t="s">
        <v>788</v>
      </c>
      <c r="J7918" s="380" t="s">
        <v>773</v>
      </c>
      <c r="K7918" s="381">
        <v>0.0</v>
      </c>
      <c r="L7918" s="382">
        <v>1.0</v>
      </c>
    </row>
    <row r="7919">
      <c r="A7919" s="380" t="s">
        <v>8793</v>
      </c>
      <c r="B7919" s="380" t="str">
        <f>IFERROR(__xludf.DUMMYFUNCTION("""COMPUTED_VALUE"""),"Soporte Motor Del Eagle 1664724 C3")</f>
        <v>Soporte Motor Del Eagle 1664724 C3</v>
      </c>
      <c r="C7919" s="380" t="str">
        <f>IFERROR(__xludf.DUMMYFUNCTION("""COMPUTED_VALUE"""),"70003335")</f>
        <v>70003335</v>
      </c>
      <c r="D7919" s="380" t="s">
        <v>767</v>
      </c>
      <c r="E7919" s="380" t="s">
        <v>786</v>
      </c>
      <c r="F7919" s="380" t="s">
        <v>787</v>
      </c>
      <c r="G7919" s="380" t="s">
        <v>1267</v>
      </c>
      <c r="H7919" s="380" t="s">
        <v>771</v>
      </c>
      <c r="I7919" s="380" t="s">
        <v>788</v>
      </c>
      <c r="J7919" s="380" t="s">
        <v>773</v>
      </c>
      <c r="K7919" s="381">
        <v>0.0</v>
      </c>
      <c r="L7919" s="382">
        <v>1.0</v>
      </c>
    </row>
    <row r="7920">
      <c r="A7920" s="380" t="s">
        <v>8794</v>
      </c>
      <c r="B7920" s="380" t="str">
        <f>IFERROR(__xludf.DUMMYFUNCTION("""COMPUTED_VALUE"""),"Valvula De Admision Motor FRR 8943958822")</f>
        <v>Valvula De Admision Motor FRR 8943958822</v>
      </c>
      <c r="C7920" s="380" t="str">
        <f>IFERROR(__xludf.DUMMYFUNCTION("""COMPUTED_VALUE"""),"70003336")</f>
        <v>70003336</v>
      </c>
      <c r="D7920" s="380" t="s">
        <v>767</v>
      </c>
      <c r="E7920" s="380" t="s">
        <v>786</v>
      </c>
      <c r="F7920" s="380" t="s">
        <v>787</v>
      </c>
      <c r="G7920" s="380" t="s">
        <v>1267</v>
      </c>
      <c r="H7920" s="380" t="s">
        <v>771</v>
      </c>
      <c r="I7920" s="380" t="s">
        <v>788</v>
      </c>
      <c r="J7920" s="380" t="s">
        <v>773</v>
      </c>
      <c r="K7920" s="381">
        <v>0.0</v>
      </c>
      <c r="L7920" s="382">
        <v>1.0</v>
      </c>
    </row>
    <row r="7921">
      <c r="A7921" s="380" t="s">
        <v>8795</v>
      </c>
      <c r="B7921" s="380" t="str">
        <f>IFERROR(__xludf.DUMMYFUNCTION("""COMPUTED_VALUE"""),"Valvula De Escape Motor FRR 8972098764")</f>
        <v>Valvula De Escape Motor FRR 8972098764</v>
      </c>
      <c r="C7921" s="380" t="str">
        <f>IFERROR(__xludf.DUMMYFUNCTION("""COMPUTED_VALUE"""),"70003337")</f>
        <v>70003337</v>
      </c>
      <c r="D7921" s="380" t="s">
        <v>767</v>
      </c>
      <c r="E7921" s="380" t="s">
        <v>786</v>
      </c>
      <c r="F7921" s="380" t="s">
        <v>787</v>
      </c>
      <c r="G7921" s="380" t="s">
        <v>1267</v>
      </c>
      <c r="H7921" s="380" t="s">
        <v>771</v>
      </c>
      <c r="I7921" s="380" t="s">
        <v>788</v>
      </c>
      <c r="J7921" s="380" t="s">
        <v>773</v>
      </c>
      <c r="K7921" s="381">
        <v>0.0</v>
      </c>
      <c r="L7921" s="382">
        <v>1.0</v>
      </c>
    </row>
    <row r="7922">
      <c r="A7922" s="380" t="s">
        <v>8796</v>
      </c>
      <c r="B7922" s="380" t="str">
        <f>IFERROR(__xludf.DUMMYFUNCTION("""COMPUTED_VALUE"""),"Sellos Valvula Culata FRR 8973767200")</f>
        <v>Sellos Valvula Culata FRR 8973767200</v>
      </c>
      <c r="C7922" s="380" t="str">
        <f>IFERROR(__xludf.DUMMYFUNCTION("""COMPUTED_VALUE"""),"70003338")</f>
        <v>70003338</v>
      </c>
      <c r="D7922" s="380" t="s">
        <v>767</v>
      </c>
      <c r="E7922" s="380" t="s">
        <v>786</v>
      </c>
      <c r="F7922" s="380" t="s">
        <v>787</v>
      </c>
      <c r="G7922" s="380" t="s">
        <v>1267</v>
      </c>
      <c r="H7922" s="380" t="s">
        <v>771</v>
      </c>
      <c r="I7922" s="380" t="s">
        <v>788</v>
      </c>
      <c r="J7922" s="380" t="s">
        <v>773</v>
      </c>
      <c r="K7922" s="381">
        <v>0.0</v>
      </c>
      <c r="L7922" s="382">
        <v>1.0</v>
      </c>
    </row>
    <row r="7923">
      <c r="A7923" s="380" t="s">
        <v>8797</v>
      </c>
      <c r="B7923" s="380" t="str">
        <f>IFERROR(__xludf.DUMMYFUNCTION("""COMPUTED_VALUE"""),"Polea Tens Cadenilla Nkr Rewar8979450700")</f>
        <v>Polea Tens Cadenilla Nkr Rewar8979450700</v>
      </c>
      <c r="C7923" s="380" t="str">
        <f>IFERROR(__xludf.DUMMYFUNCTION("""COMPUTED_VALUE"""),"70003339")</f>
        <v>70003339</v>
      </c>
      <c r="D7923" s="380" t="s">
        <v>767</v>
      </c>
      <c r="E7923" s="380" t="s">
        <v>786</v>
      </c>
      <c r="F7923" s="380" t="s">
        <v>787</v>
      </c>
      <c r="G7923" s="380" t="s">
        <v>1267</v>
      </c>
      <c r="H7923" s="380" t="s">
        <v>771</v>
      </c>
      <c r="I7923" s="380" t="s">
        <v>788</v>
      </c>
      <c r="J7923" s="380" t="s">
        <v>773</v>
      </c>
      <c r="K7923" s="381">
        <v>0.0</v>
      </c>
      <c r="L7923" s="382">
        <v>1.0</v>
      </c>
    </row>
    <row r="7924">
      <c r="A7924" s="380" t="s">
        <v>8798</v>
      </c>
      <c r="B7924" s="380" t="str">
        <f>IFERROR(__xludf.DUMMYFUNCTION("""COMPUTED_VALUE"""),"Harnes Bomba De Levante Eagle Isx4973486")</f>
        <v>Harnes Bomba De Levante Eagle Isx4973486</v>
      </c>
      <c r="C7924" s="380" t="str">
        <f>IFERROR(__xludf.DUMMYFUNCTION("""COMPUTED_VALUE"""),"70003340")</f>
        <v>70003340</v>
      </c>
      <c r="D7924" s="380" t="s">
        <v>767</v>
      </c>
      <c r="E7924" s="380" t="s">
        <v>786</v>
      </c>
      <c r="F7924" s="380" t="s">
        <v>787</v>
      </c>
      <c r="G7924" s="380" t="s">
        <v>1267</v>
      </c>
      <c r="H7924" s="380" t="s">
        <v>771</v>
      </c>
      <c r="I7924" s="380" t="s">
        <v>788</v>
      </c>
      <c r="J7924" s="380" t="s">
        <v>773</v>
      </c>
      <c r="K7924" s="381">
        <v>516393.0</v>
      </c>
      <c r="L7924" s="382">
        <v>1.0</v>
      </c>
    </row>
    <row r="7925">
      <c r="A7925" s="380" t="s">
        <v>8799</v>
      </c>
      <c r="B7925" s="380" t="str">
        <f>IFERROR(__xludf.DUMMYFUNCTION("""COMPUTED_VALUE"""),"Tornillo Base Fancluch Eagle 30748R2")</f>
        <v>Tornillo Base Fancluch Eagle 30748R2</v>
      </c>
      <c r="C7925" s="380" t="str">
        <f>IFERROR(__xludf.DUMMYFUNCTION("""COMPUTED_VALUE"""),"70003341")</f>
        <v>70003341</v>
      </c>
      <c r="D7925" s="380" t="s">
        <v>767</v>
      </c>
      <c r="E7925" s="380" t="s">
        <v>786</v>
      </c>
      <c r="F7925" s="380" t="s">
        <v>787</v>
      </c>
      <c r="G7925" s="380" t="s">
        <v>1267</v>
      </c>
      <c r="H7925" s="380" t="s">
        <v>771</v>
      </c>
      <c r="I7925" s="380" t="s">
        <v>788</v>
      </c>
      <c r="J7925" s="380" t="s">
        <v>773</v>
      </c>
      <c r="K7925" s="381">
        <v>0.0</v>
      </c>
      <c r="L7925" s="382">
        <v>1.0</v>
      </c>
    </row>
    <row r="7926">
      <c r="A7926" s="380" t="s">
        <v>8800</v>
      </c>
      <c r="B7926" s="380" t="str">
        <f>IFERROR(__xludf.DUMMYFUNCTION("""COMPUTED_VALUE"""),"Reten Tras Cigueñal Nkr / Lub 8970252060")</f>
        <v>Reten Tras Cigueñal Nkr / Lub 8970252060</v>
      </c>
      <c r="C7926" s="380" t="str">
        <f>IFERROR(__xludf.DUMMYFUNCTION("""COMPUTED_VALUE"""),"70003342")</f>
        <v>70003342</v>
      </c>
      <c r="D7926" s="380" t="s">
        <v>767</v>
      </c>
      <c r="E7926" s="380" t="s">
        <v>786</v>
      </c>
      <c r="F7926" s="380" t="s">
        <v>787</v>
      </c>
      <c r="G7926" s="380" t="s">
        <v>1267</v>
      </c>
      <c r="H7926" s="380" t="s">
        <v>771</v>
      </c>
      <c r="I7926" s="380" t="s">
        <v>788</v>
      </c>
      <c r="J7926" s="380" t="s">
        <v>773</v>
      </c>
      <c r="K7926" s="381">
        <v>0.0</v>
      </c>
      <c r="L7926" s="382">
        <v>1.0</v>
      </c>
    </row>
    <row r="7927">
      <c r="A7927" s="380" t="s">
        <v>8801</v>
      </c>
      <c r="B7927" s="380" t="str">
        <f>IFERROR(__xludf.DUMMYFUNCTION("""COMPUTED_VALUE"""),"Guia Valvula Motor Isx Eagle 4026657")</f>
        <v>Guia Valvula Motor Isx Eagle 4026657</v>
      </c>
      <c r="C7927" s="380" t="str">
        <f>IFERROR(__xludf.DUMMYFUNCTION("""COMPUTED_VALUE"""),"70003343")</f>
        <v>70003343</v>
      </c>
      <c r="D7927" s="380" t="s">
        <v>767</v>
      </c>
      <c r="E7927" s="380" t="s">
        <v>786</v>
      </c>
      <c r="F7927" s="380" t="s">
        <v>787</v>
      </c>
      <c r="G7927" s="380" t="s">
        <v>1267</v>
      </c>
      <c r="H7927" s="380" t="s">
        <v>771</v>
      </c>
      <c r="I7927" s="380" t="s">
        <v>788</v>
      </c>
      <c r="J7927" s="380" t="s">
        <v>773</v>
      </c>
      <c r="K7927" s="381">
        <v>0.0</v>
      </c>
      <c r="L7927" s="382">
        <v>1.0</v>
      </c>
    </row>
    <row r="7928">
      <c r="A7928" s="380" t="s">
        <v>8802</v>
      </c>
      <c r="B7928" s="380" t="str">
        <f>IFERROR(__xludf.DUMMYFUNCTION("""COMPUTED_VALUE"""),"Soporte Motor Tras Origin Eagle 8077380")</f>
        <v>Soporte Motor Tras Origin Eagle 8077380</v>
      </c>
      <c r="C7928" s="380" t="str">
        <f>IFERROR(__xludf.DUMMYFUNCTION("""COMPUTED_VALUE"""),"70003344")</f>
        <v>70003344</v>
      </c>
      <c r="D7928" s="380" t="s">
        <v>767</v>
      </c>
      <c r="E7928" s="380" t="s">
        <v>786</v>
      </c>
      <c r="F7928" s="380" t="s">
        <v>787</v>
      </c>
      <c r="G7928" s="380" t="s">
        <v>1267</v>
      </c>
      <c r="H7928" s="380" t="s">
        <v>771</v>
      </c>
      <c r="I7928" s="380" t="s">
        <v>788</v>
      </c>
      <c r="J7928" s="380" t="s">
        <v>773</v>
      </c>
      <c r="K7928" s="381">
        <v>558919.0</v>
      </c>
      <c r="L7928" s="382">
        <v>1.0</v>
      </c>
    </row>
    <row r="7929">
      <c r="A7929" s="380" t="s">
        <v>8803</v>
      </c>
      <c r="B7929" s="380" t="str">
        <f>IFERROR(__xludf.DUMMYFUNCTION("""COMPUTED_VALUE"""),"Manguera Inf Radiador N200")</f>
        <v>Manguera Inf Radiador N200</v>
      </c>
      <c r="C7929" s="380" t="str">
        <f>IFERROR(__xludf.DUMMYFUNCTION("""COMPUTED_VALUE"""),"70003345")</f>
        <v>70003345</v>
      </c>
      <c r="D7929" s="380" t="s">
        <v>767</v>
      </c>
      <c r="E7929" s="380" t="s">
        <v>786</v>
      </c>
      <c r="F7929" s="380" t="s">
        <v>787</v>
      </c>
      <c r="G7929" s="380" t="s">
        <v>1267</v>
      </c>
      <c r="H7929" s="380" t="s">
        <v>771</v>
      </c>
      <c r="I7929" s="380" t="s">
        <v>788</v>
      </c>
      <c r="J7929" s="380" t="s">
        <v>773</v>
      </c>
      <c r="K7929" s="381">
        <v>0.0</v>
      </c>
      <c r="L7929" s="382">
        <v>1.0</v>
      </c>
    </row>
    <row r="7930">
      <c r="A7930" s="380" t="s">
        <v>8804</v>
      </c>
      <c r="B7930" s="380" t="str">
        <f>IFERROR(__xludf.DUMMYFUNCTION("""COMPUTED_VALUE"""),"Valvula Control Egr Nkr Rewar 8982382591")</f>
        <v>Valvula Control Egr Nkr Rewar 8982382591</v>
      </c>
      <c r="C7930" s="380" t="str">
        <f>IFERROR(__xludf.DUMMYFUNCTION("""COMPUTED_VALUE"""),"70003346")</f>
        <v>70003346</v>
      </c>
      <c r="D7930" s="380" t="s">
        <v>767</v>
      </c>
      <c r="E7930" s="380" t="s">
        <v>786</v>
      </c>
      <c r="F7930" s="380" t="s">
        <v>787</v>
      </c>
      <c r="G7930" s="380" t="s">
        <v>1267</v>
      </c>
      <c r="H7930" s="380" t="s">
        <v>771</v>
      </c>
      <c r="I7930" s="380" t="s">
        <v>788</v>
      </c>
      <c r="J7930" s="380" t="s">
        <v>773</v>
      </c>
      <c r="K7930" s="381">
        <v>0.0</v>
      </c>
      <c r="L7930" s="382">
        <v>1.0</v>
      </c>
    </row>
    <row r="7931">
      <c r="A7931" s="380" t="s">
        <v>8805</v>
      </c>
      <c r="B7931" s="380" t="str">
        <f>IFERROR(__xludf.DUMMYFUNCTION("""COMPUTED_VALUE"""),"Cigueñal Nhr Sin Turbo 8971909282")</f>
        <v>Cigueñal Nhr Sin Turbo 8971909282</v>
      </c>
      <c r="C7931" s="380" t="str">
        <f>IFERROR(__xludf.DUMMYFUNCTION("""COMPUTED_VALUE"""),"70003347")</f>
        <v>70003347</v>
      </c>
      <c r="D7931" s="380" t="s">
        <v>767</v>
      </c>
      <c r="E7931" s="380" t="s">
        <v>786</v>
      </c>
      <c r="F7931" s="380" t="s">
        <v>787</v>
      </c>
      <c r="G7931" s="380" t="s">
        <v>1267</v>
      </c>
      <c r="H7931" s="380" t="s">
        <v>771</v>
      </c>
      <c r="I7931" s="380" t="s">
        <v>788</v>
      </c>
      <c r="J7931" s="380" t="s">
        <v>773</v>
      </c>
      <c r="K7931" s="381">
        <v>0.0</v>
      </c>
      <c r="L7931" s="382">
        <v>1.0</v>
      </c>
    </row>
    <row r="7932">
      <c r="A7932" s="380" t="s">
        <v>8806</v>
      </c>
      <c r="B7932" s="380" t="str">
        <f>IFERROR(__xludf.DUMMYFUNCTION("""COMPUTED_VALUE"""),"Carcaza Sistema Combustible Isx 4025255")</f>
        <v>Carcaza Sistema Combustible Isx 4025255</v>
      </c>
      <c r="C7932" s="380" t="str">
        <f>IFERROR(__xludf.DUMMYFUNCTION("""COMPUTED_VALUE"""),"70003348")</f>
        <v>70003348</v>
      </c>
      <c r="D7932" s="380" t="s">
        <v>767</v>
      </c>
      <c r="E7932" s="380" t="s">
        <v>786</v>
      </c>
      <c r="F7932" s="380" t="s">
        <v>787</v>
      </c>
      <c r="G7932" s="380" t="s">
        <v>1267</v>
      </c>
      <c r="H7932" s="380" t="s">
        <v>771</v>
      </c>
      <c r="I7932" s="380" t="s">
        <v>788</v>
      </c>
      <c r="J7932" s="380" t="s">
        <v>773</v>
      </c>
      <c r="K7932" s="381">
        <v>0.0</v>
      </c>
      <c r="L7932" s="382">
        <v>1.0</v>
      </c>
    </row>
    <row r="7933">
      <c r="A7933" s="380" t="s">
        <v>8807</v>
      </c>
      <c r="B7933" s="380" t="str">
        <f>IFERROR(__xludf.DUMMYFUNCTION("""COMPUTED_VALUE"""),"Arand Sopor Motor Tras Prostar 1664730C5")</f>
        <v>Arand Sopor Motor Tras Prostar 1664730C5</v>
      </c>
      <c r="C7933" s="380" t="str">
        <f>IFERROR(__xludf.DUMMYFUNCTION("""COMPUTED_VALUE"""),"70003349")</f>
        <v>70003349</v>
      </c>
      <c r="D7933" s="380" t="s">
        <v>767</v>
      </c>
      <c r="E7933" s="380" t="s">
        <v>786</v>
      </c>
      <c r="F7933" s="380" t="s">
        <v>787</v>
      </c>
      <c r="G7933" s="380" t="s">
        <v>1267</v>
      </c>
      <c r="H7933" s="380" t="s">
        <v>771</v>
      </c>
      <c r="I7933" s="380" t="s">
        <v>788</v>
      </c>
      <c r="J7933" s="380" t="s">
        <v>773</v>
      </c>
      <c r="K7933" s="381">
        <v>0.0</v>
      </c>
      <c r="L7933" s="382">
        <v>1.0</v>
      </c>
    </row>
    <row r="7934">
      <c r="A7934" s="380" t="s">
        <v>8808</v>
      </c>
      <c r="B7934" s="380" t="str">
        <f>IFERROR(__xludf.DUMMYFUNCTION("""COMPUTED_VALUE"""),"Tubo Aceite Alim Turbo Nkr Rew8973814880")</f>
        <v>Tubo Aceite Alim Turbo Nkr Rew8973814880</v>
      </c>
      <c r="C7934" s="380" t="str">
        <f>IFERROR(__xludf.DUMMYFUNCTION("""COMPUTED_VALUE"""),"70003350")</f>
        <v>70003350</v>
      </c>
      <c r="D7934" s="380" t="s">
        <v>767</v>
      </c>
      <c r="E7934" s="380" t="s">
        <v>786</v>
      </c>
      <c r="F7934" s="380" t="s">
        <v>787</v>
      </c>
      <c r="G7934" s="380" t="s">
        <v>1267</v>
      </c>
      <c r="H7934" s="380" t="s">
        <v>771</v>
      </c>
      <c r="I7934" s="380" t="s">
        <v>788</v>
      </c>
      <c r="J7934" s="380" t="s">
        <v>773</v>
      </c>
      <c r="K7934" s="381">
        <v>0.0</v>
      </c>
      <c r="L7934" s="382">
        <v>1.0</v>
      </c>
    </row>
    <row r="7935">
      <c r="A7935" s="380" t="s">
        <v>8809</v>
      </c>
      <c r="B7935" s="380" t="str">
        <f>IFERROR(__xludf.DUMMYFUNCTION("""COMPUTED_VALUE"""),"Carcaza Filtro Aire Foton1039 7701023775")</f>
        <v>Carcaza Filtro Aire Foton1039 7701023775</v>
      </c>
      <c r="C7935" s="380" t="str">
        <f>IFERROR(__xludf.DUMMYFUNCTION("""COMPUTED_VALUE"""),"70003351")</f>
        <v>70003351</v>
      </c>
      <c r="D7935" s="380" t="s">
        <v>767</v>
      </c>
      <c r="E7935" s="380" t="s">
        <v>786</v>
      </c>
      <c r="F7935" s="380" t="s">
        <v>787</v>
      </c>
      <c r="G7935" s="380" t="s">
        <v>1267</v>
      </c>
      <c r="H7935" s="380" t="s">
        <v>771</v>
      </c>
      <c r="I7935" s="380" t="s">
        <v>788</v>
      </c>
      <c r="J7935" s="380" t="s">
        <v>773</v>
      </c>
      <c r="K7935" s="381">
        <v>0.0</v>
      </c>
      <c r="L7935" s="382">
        <v>1.0</v>
      </c>
    </row>
    <row r="7936">
      <c r="A7936" s="380" t="s">
        <v>8810</v>
      </c>
      <c r="B7936" s="380" t="str">
        <f>IFERROR(__xludf.DUMMYFUNCTION("""COMPUTED_VALUE"""),"Soporte Protec Motor Nkr Rewar8980062241")</f>
        <v>Soporte Protec Motor Nkr Rewar8980062241</v>
      </c>
      <c r="C7936" s="380" t="str">
        <f>IFERROR(__xludf.DUMMYFUNCTION("""COMPUTED_VALUE"""),"70003352")</f>
        <v>70003352</v>
      </c>
      <c r="D7936" s="380" t="s">
        <v>767</v>
      </c>
      <c r="E7936" s="380" t="s">
        <v>786</v>
      </c>
      <c r="F7936" s="380" t="s">
        <v>787</v>
      </c>
      <c r="G7936" s="380" t="s">
        <v>1267</v>
      </c>
      <c r="H7936" s="380" t="s">
        <v>771</v>
      </c>
      <c r="I7936" s="380" t="s">
        <v>788</v>
      </c>
      <c r="J7936" s="380" t="s">
        <v>773</v>
      </c>
      <c r="K7936" s="381">
        <v>0.0</v>
      </c>
      <c r="L7936" s="382">
        <v>1.0</v>
      </c>
    </row>
    <row r="7937">
      <c r="A7937" s="380" t="s">
        <v>8811</v>
      </c>
      <c r="B7937" s="380" t="str">
        <f>IFERROR(__xludf.DUMMYFUNCTION("""COMPUTED_VALUE"""),"Bombin Nkr Rewar 8979488920")</f>
        <v>Bombin Nkr Rewar 8979488920</v>
      </c>
      <c r="C7937" s="380" t="str">
        <f>IFERROR(__xludf.DUMMYFUNCTION("""COMPUTED_VALUE"""),"70003353")</f>
        <v>70003353</v>
      </c>
      <c r="D7937" s="380" t="s">
        <v>767</v>
      </c>
      <c r="E7937" s="380" t="s">
        <v>786</v>
      </c>
      <c r="F7937" s="380" t="s">
        <v>787</v>
      </c>
      <c r="G7937" s="380" t="s">
        <v>1267</v>
      </c>
      <c r="H7937" s="380" t="s">
        <v>771</v>
      </c>
      <c r="I7937" s="380" t="s">
        <v>788</v>
      </c>
      <c r="J7937" s="380" t="s">
        <v>773</v>
      </c>
      <c r="K7937" s="381">
        <v>0.0</v>
      </c>
      <c r="L7937" s="382">
        <v>1.0</v>
      </c>
    </row>
    <row r="7938">
      <c r="A7938" s="380" t="s">
        <v>8812</v>
      </c>
      <c r="B7938" s="380" t="str">
        <f>IFERROR(__xludf.DUMMYFUNCTION("""COMPUTED_VALUE"""),"Empaq Ducto Escape A Turbo FRR8973767580")</f>
        <v>Empaq Ducto Escape A Turbo FRR8973767580</v>
      </c>
      <c r="C7938" s="380" t="str">
        <f>IFERROR(__xludf.DUMMYFUNCTION("""COMPUTED_VALUE"""),"70003354")</f>
        <v>70003354</v>
      </c>
      <c r="D7938" s="380" t="s">
        <v>767</v>
      </c>
      <c r="E7938" s="380" t="s">
        <v>786</v>
      </c>
      <c r="F7938" s="380" t="s">
        <v>787</v>
      </c>
      <c r="G7938" s="380" t="s">
        <v>1267</v>
      </c>
      <c r="H7938" s="380" t="s">
        <v>771</v>
      </c>
      <c r="I7938" s="380" t="s">
        <v>788</v>
      </c>
      <c r="J7938" s="380" t="s">
        <v>773</v>
      </c>
      <c r="K7938" s="381">
        <v>0.0</v>
      </c>
      <c r="L7938" s="382">
        <v>1.0</v>
      </c>
    </row>
    <row r="7939">
      <c r="A7939" s="380" t="s">
        <v>8813</v>
      </c>
      <c r="B7939" s="380" t="str">
        <f>IFERROR(__xludf.DUMMYFUNCTION("""COMPUTED_VALUE"""),"Valvula Limitad Comb Nkr Rewar8980325490")</f>
        <v>Valvula Limitad Comb Nkr Rewar8980325490</v>
      </c>
      <c r="C7939" s="380" t="str">
        <f>IFERROR(__xludf.DUMMYFUNCTION("""COMPUTED_VALUE"""),"70003355")</f>
        <v>70003355</v>
      </c>
      <c r="D7939" s="380" t="s">
        <v>767</v>
      </c>
      <c r="E7939" s="380" t="s">
        <v>786</v>
      </c>
      <c r="F7939" s="380" t="s">
        <v>787</v>
      </c>
      <c r="G7939" s="380" t="s">
        <v>1267</v>
      </c>
      <c r="H7939" s="380" t="s">
        <v>771</v>
      </c>
      <c r="I7939" s="380" t="s">
        <v>788</v>
      </c>
      <c r="J7939" s="380" t="s">
        <v>773</v>
      </c>
      <c r="K7939" s="381">
        <v>0.0</v>
      </c>
      <c r="L7939" s="382">
        <v>1.0</v>
      </c>
    </row>
    <row r="7940">
      <c r="A7940" s="380" t="s">
        <v>8814</v>
      </c>
      <c r="B7940" s="380" t="str">
        <f>IFERROR(__xludf.DUMMYFUNCTION("""COMPUTED_VALUE"""),"Tubo Esca Freno Ahogo Nkr Rew 8980759660")</f>
        <v>Tubo Esca Freno Ahogo Nkr Rew 8980759660</v>
      </c>
      <c r="C7940" s="380" t="str">
        <f>IFERROR(__xludf.DUMMYFUNCTION("""COMPUTED_VALUE"""),"70003356")</f>
        <v>70003356</v>
      </c>
      <c r="D7940" s="380" t="s">
        <v>767</v>
      </c>
      <c r="E7940" s="380" t="s">
        <v>786</v>
      </c>
      <c r="F7940" s="380" t="s">
        <v>787</v>
      </c>
      <c r="G7940" s="380" t="s">
        <v>1267</v>
      </c>
      <c r="H7940" s="380" t="s">
        <v>771</v>
      </c>
      <c r="I7940" s="380" t="s">
        <v>788</v>
      </c>
      <c r="J7940" s="380" t="s">
        <v>773</v>
      </c>
      <c r="K7940" s="381">
        <v>0.0</v>
      </c>
      <c r="L7940" s="382">
        <v>1.0</v>
      </c>
    </row>
    <row r="7941">
      <c r="A7941" s="380" t="s">
        <v>8815</v>
      </c>
      <c r="B7941" s="380" t="str">
        <f>IFERROR(__xludf.DUMMYFUNCTION("""COMPUTED_VALUE"""),"Soporte Montaje Motor N200 24530204")</f>
        <v>Soporte Montaje Motor N200 24530204</v>
      </c>
      <c r="C7941" s="380" t="str">
        <f>IFERROR(__xludf.DUMMYFUNCTION("""COMPUTED_VALUE"""),"70003357")</f>
        <v>70003357</v>
      </c>
      <c r="D7941" s="380" t="s">
        <v>767</v>
      </c>
      <c r="E7941" s="380" t="s">
        <v>786</v>
      </c>
      <c r="F7941" s="380" t="s">
        <v>787</v>
      </c>
      <c r="G7941" s="380" t="s">
        <v>1267</v>
      </c>
      <c r="H7941" s="380" t="s">
        <v>771</v>
      </c>
      <c r="I7941" s="380" t="s">
        <v>788</v>
      </c>
      <c r="J7941" s="380" t="s">
        <v>773</v>
      </c>
      <c r="K7941" s="381">
        <v>0.0</v>
      </c>
      <c r="L7941" s="382">
        <v>1.0</v>
      </c>
    </row>
    <row r="7942">
      <c r="A7942" s="380" t="s">
        <v>8816</v>
      </c>
      <c r="B7942" s="380" t="str">
        <f>IFERROR(__xludf.DUMMYFUNCTION("""COMPUTED_VALUE"""),"Tornillo Volanta Motor FRR 8943348701")</f>
        <v>Tornillo Volanta Motor FRR 8943348701</v>
      </c>
      <c r="C7942" s="380" t="str">
        <f>IFERROR(__xludf.DUMMYFUNCTION("""COMPUTED_VALUE"""),"70003358")</f>
        <v>70003358</v>
      </c>
      <c r="D7942" s="380" t="s">
        <v>767</v>
      </c>
      <c r="E7942" s="380" t="s">
        <v>786</v>
      </c>
      <c r="F7942" s="380" t="s">
        <v>787</v>
      </c>
      <c r="G7942" s="380" t="s">
        <v>1267</v>
      </c>
      <c r="H7942" s="380" t="s">
        <v>771</v>
      </c>
      <c r="I7942" s="380" t="s">
        <v>788</v>
      </c>
      <c r="J7942" s="380" t="s">
        <v>773</v>
      </c>
      <c r="K7942" s="381">
        <v>0.0</v>
      </c>
      <c r="L7942" s="382">
        <v>1.0</v>
      </c>
    </row>
    <row r="7943">
      <c r="A7943" s="380" t="s">
        <v>8817</v>
      </c>
      <c r="B7943" s="380" t="str">
        <f>IFERROR(__xludf.DUMMYFUNCTION("""COMPUTED_VALUE"""),"Bujia De Encendido Foton 5946023153")</f>
        <v>Bujia De Encendido Foton 5946023153</v>
      </c>
      <c r="C7943" s="380" t="str">
        <f>IFERROR(__xludf.DUMMYFUNCTION("""COMPUTED_VALUE"""),"70003359")</f>
        <v>70003359</v>
      </c>
      <c r="D7943" s="380" t="s">
        <v>767</v>
      </c>
      <c r="E7943" s="380" t="s">
        <v>786</v>
      </c>
      <c r="F7943" s="380" t="s">
        <v>787</v>
      </c>
      <c r="G7943" s="380" t="s">
        <v>1267</v>
      </c>
      <c r="H7943" s="380" t="s">
        <v>771</v>
      </c>
      <c r="I7943" s="380" t="s">
        <v>788</v>
      </c>
      <c r="J7943" s="380" t="s">
        <v>773</v>
      </c>
      <c r="K7943" s="381">
        <v>0.0</v>
      </c>
      <c r="L7943" s="382">
        <v>1.0</v>
      </c>
    </row>
    <row r="7944">
      <c r="A7944" s="380" t="s">
        <v>8818</v>
      </c>
      <c r="B7944" s="380" t="str">
        <f>IFERROR(__xludf.DUMMYFUNCTION("""COMPUTED_VALUE"""),"Manguera Calefactor Nkr Rewar 8973830481")</f>
        <v>Manguera Calefactor Nkr Rewar 8973830481</v>
      </c>
      <c r="C7944" s="380" t="str">
        <f>IFERROR(__xludf.DUMMYFUNCTION("""COMPUTED_VALUE"""),"70003360")</f>
        <v>70003360</v>
      </c>
      <c r="D7944" s="380" t="s">
        <v>767</v>
      </c>
      <c r="E7944" s="380" t="s">
        <v>786</v>
      </c>
      <c r="F7944" s="380" t="s">
        <v>787</v>
      </c>
      <c r="G7944" s="380" t="s">
        <v>1267</v>
      </c>
      <c r="H7944" s="380" t="s">
        <v>771</v>
      </c>
      <c r="I7944" s="380" t="s">
        <v>788</v>
      </c>
      <c r="J7944" s="380" t="s">
        <v>773</v>
      </c>
      <c r="K7944" s="381">
        <v>0.0</v>
      </c>
      <c r="L7944" s="382">
        <v>1.0</v>
      </c>
    </row>
    <row r="7945">
      <c r="A7945" s="380" t="s">
        <v>8819</v>
      </c>
      <c r="B7945" s="380" t="str">
        <f>IFERROR(__xludf.DUMMYFUNCTION("""COMPUTED_VALUE"""),"Tubo Intercooler KW T800 D661019")</f>
        <v>Tubo Intercooler KW T800 D661019</v>
      </c>
      <c r="C7945" s="380" t="str">
        <f>IFERROR(__xludf.DUMMYFUNCTION("""COMPUTED_VALUE"""),"70003361")</f>
        <v>70003361</v>
      </c>
      <c r="D7945" s="380" t="s">
        <v>767</v>
      </c>
      <c r="E7945" s="380" t="s">
        <v>786</v>
      </c>
      <c r="F7945" s="380" t="s">
        <v>787</v>
      </c>
      <c r="G7945" s="380" t="s">
        <v>1267</v>
      </c>
      <c r="H7945" s="380" t="s">
        <v>771</v>
      </c>
      <c r="I7945" s="380" t="s">
        <v>788</v>
      </c>
      <c r="J7945" s="380" t="s">
        <v>773</v>
      </c>
      <c r="K7945" s="381">
        <v>0.0</v>
      </c>
      <c r="L7945" s="382">
        <v>1.0</v>
      </c>
    </row>
    <row r="7946">
      <c r="A7946" s="380" t="s">
        <v>8820</v>
      </c>
      <c r="B7946" s="380" t="str">
        <f>IFERROR(__xludf.DUMMYFUNCTION("""COMPUTED_VALUE"""),"Cuerpo De Acelerac Foton MV5 5946019484")</f>
        <v>Cuerpo De Acelerac Foton MV5 5946019484</v>
      </c>
      <c r="C7946" s="380" t="str">
        <f>IFERROR(__xludf.DUMMYFUNCTION("""COMPUTED_VALUE"""),"70003362")</f>
        <v>70003362</v>
      </c>
      <c r="D7946" s="380" t="s">
        <v>767</v>
      </c>
      <c r="E7946" s="380" t="s">
        <v>786</v>
      </c>
      <c r="F7946" s="380" t="s">
        <v>787</v>
      </c>
      <c r="G7946" s="380" t="s">
        <v>1267</v>
      </c>
      <c r="H7946" s="380" t="s">
        <v>771</v>
      </c>
      <c r="I7946" s="380" t="s">
        <v>788</v>
      </c>
      <c r="J7946" s="380" t="s">
        <v>773</v>
      </c>
      <c r="K7946" s="381">
        <v>0.0</v>
      </c>
      <c r="L7946" s="382">
        <v>1.0</v>
      </c>
    </row>
    <row r="7947">
      <c r="A7947" s="380" t="s">
        <v>8821</v>
      </c>
      <c r="B7947" s="380" t="str">
        <f>IFERROR(__xludf.DUMMYFUNCTION("""COMPUTED_VALUE"""),"Carca Filtr Aire KW T800 G112504 D140069")</f>
        <v>Carca Filtr Aire KW T800 G112504 D140069</v>
      </c>
      <c r="C7947" s="380" t="str">
        <f>IFERROR(__xludf.DUMMYFUNCTION("""COMPUTED_VALUE"""),"70003363")</f>
        <v>70003363</v>
      </c>
      <c r="D7947" s="380" t="s">
        <v>767</v>
      </c>
      <c r="E7947" s="380" t="s">
        <v>786</v>
      </c>
      <c r="F7947" s="380" t="s">
        <v>787</v>
      </c>
      <c r="G7947" s="380" t="s">
        <v>1267</v>
      </c>
      <c r="H7947" s="380" t="s">
        <v>771</v>
      </c>
      <c r="I7947" s="380" t="s">
        <v>788</v>
      </c>
      <c r="J7947" s="380" t="s">
        <v>773</v>
      </c>
      <c r="K7947" s="381">
        <v>1449618.0</v>
      </c>
      <c r="L7947" s="382">
        <v>1.0</v>
      </c>
    </row>
    <row r="7948">
      <c r="A7948" s="380" t="s">
        <v>8822</v>
      </c>
      <c r="B7948" s="380" t="str">
        <f>IFERROR(__xludf.DUMMYFUNCTION("""COMPUTED_VALUE"""),"Intercooler KWork T800 S23794")</f>
        <v>Intercooler KWork T800 S23794</v>
      </c>
      <c r="C7948" s="380" t="str">
        <f>IFERROR(__xludf.DUMMYFUNCTION("""COMPUTED_VALUE"""),"70003364")</f>
        <v>70003364</v>
      </c>
      <c r="D7948" s="380" t="s">
        <v>767</v>
      </c>
      <c r="E7948" s="380" t="s">
        <v>786</v>
      </c>
      <c r="F7948" s="380" t="s">
        <v>787</v>
      </c>
      <c r="G7948" s="380" t="s">
        <v>1267</v>
      </c>
      <c r="H7948" s="380" t="s">
        <v>771</v>
      </c>
      <c r="I7948" s="380" t="s">
        <v>788</v>
      </c>
      <c r="J7948" s="380" t="s">
        <v>773</v>
      </c>
      <c r="K7948" s="381">
        <v>0.0</v>
      </c>
      <c r="L7948" s="382">
        <v>1.0</v>
      </c>
    </row>
    <row r="7949">
      <c r="A7949" s="380" t="s">
        <v>8823</v>
      </c>
      <c r="B7949" s="380" t="str">
        <f>IFERROR(__xludf.DUMMYFUNCTION("""COMPUTED_VALUE"""),"Inyector Vans N200")</f>
        <v>Inyector Vans N200</v>
      </c>
      <c r="C7949" s="380" t="str">
        <f>IFERROR(__xludf.DUMMYFUNCTION("""COMPUTED_VALUE"""),"70003365")</f>
        <v>70003365</v>
      </c>
      <c r="D7949" s="380" t="s">
        <v>767</v>
      </c>
      <c r="E7949" s="380" t="s">
        <v>786</v>
      </c>
      <c r="F7949" s="380" t="s">
        <v>787</v>
      </c>
      <c r="G7949" s="380" t="s">
        <v>1267</v>
      </c>
      <c r="H7949" s="380" t="s">
        <v>771</v>
      </c>
      <c r="I7949" s="380" t="s">
        <v>788</v>
      </c>
      <c r="J7949" s="380" t="s">
        <v>773</v>
      </c>
      <c r="K7949" s="381">
        <v>0.0</v>
      </c>
      <c r="L7949" s="382">
        <v>1.0</v>
      </c>
    </row>
    <row r="7950">
      <c r="A7950" s="380" t="s">
        <v>8824</v>
      </c>
      <c r="B7950" s="380" t="str">
        <f>IFERROR(__xludf.DUMMYFUNCTION("""COMPUTED_VALUE"""),"Inyecctor Renault Master")</f>
        <v>Inyecctor Renault Master</v>
      </c>
      <c r="C7950" s="380" t="str">
        <f>IFERROR(__xludf.DUMMYFUNCTION("""COMPUTED_VALUE"""),"70003366")</f>
        <v>70003366</v>
      </c>
      <c r="D7950" s="380" t="s">
        <v>767</v>
      </c>
      <c r="E7950" s="380" t="s">
        <v>786</v>
      </c>
      <c r="F7950" s="380" t="s">
        <v>787</v>
      </c>
      <c r="G7950" s="380" t="s">
        <v>1267</v>
      </c>
      <c r="H7950" s="380" t="s">
        <v>771</v>
      </c>
      <c r="I7950" s="380" t="s">
        <v>788</v>
      </c>
      <c r="J7950" s="380" t="s">
        <v>773</v>
      </c>
      <c r="K7950" s="381">
        <v>0.0</v>
      </c>
      <c r="L7950" s="382">
        <v>1.0</v>
      </c>
    </row>
    <row r="7951">
      <c r="A7951" s="380" t="s">
        <v>8825</v>
      </c>
      <c r="B7951" s="380" t="str">
        <f>IFERROR(__xludf.DUMMYFUNCTION("""COMPUTED_VALUE"""),"Soporte Sup Radiador KW T800 A241218")</f>
        <v>Soporte Sup Radiador KW T800 A241218</v>
      </c>
      <c r="C7951" s="380" t="str">
        <f>IFERROR(__xludf.DUMMYFUNCTION("""COMPUTED_VALUE"""),"70003367")</f>
        <v>70003367</v>
      </c>
      <c r="D7951" s="380" t="s">
        <v>767</v>
      </c>
      <c r="E7951" s="380" t="s">
        <v>786</v>
      </c>
      <c r="F7951" s="380" t="s">
        <v>787</v>
      </c>
      <c r="G7951" s="380" t="s">
        <v>1267</v>
      </c>
      <c r="H7951" s="380" t="s">
        <v>771</v>
      </c>
      <c r="I7951" s="380" t="s">
        <v>788</v>
      </c>
      <c r="J7951" s="380" t="s">
        <v>773</v>
      </c>
      <c r="K7951" s="381">
        <v>0.0</v>
      </c>
      <c r="L7951" s="382">
        <v>1.0</v>
      </c>
    </row>
    <row r="7952">
      <c r="A7952" s="380" t="s">
        <v>8826</v>
      </c>
      <c r="B7952" s="380" t="str">
        <f>IFERROR(__xludf.DUMMYFUNCTION("""COMPUTED_VALUE"""),"Kit Super Overjol Isx SKISX4376171BC")</f>
        <v>Kit Super Overjol Isx SKISX4376171BC</v>
      </c>
      <c r="C7952" s="380" t="str">
        <f>IFERROR(__xludf.DUMMYFUNCTION("""COMPUTED_VALUE"""),"70003368")</f>
        <v>70003368</v>
      </c>
      <c r="D7952" s="380" t="s">
        <v>767</v>
      </c>
      <c r="E7952" s="380" t="s">
        <v>786</v>
      </c>
      <c r="F7952" s="380" t="s">
        <v>787</v>
      </c>
      <c r="G7952" s="380" t="s">
        <v>1267</v>
      </c>
      <c r="H7952" s="380" t="s">
        <v>771</v>
      </c>
      <c r="I7952" s="380" t="s">
        <v>788</v>
      </c>
      <c r="J7952" s="380" t="s">
        <v>773</v>
      </c>
      <c r="K7952" s="381">
        <v>0.0</v>
      </c>
      <c r="L7952" s="382">
        <v>1.0</v>
      </c>
    </row>
    <row r="7953">
      <c r="A7953" s="380" t="s">
        <v>8827</v>
      </c>
      <c r="B7953" s="380" t="str">
        <f>IFERROR(__xludf.DUMMYFUNCTION("""COMPUTED_VALUE"""),"Volante Motor FRR 8980563552")</f>
        <v>Volante Motor FRR 8980563552</v>
      </c>
      <c r="C7953" s="380" t="str">
        <f>IFERROR(__xludf.DUMMYFUNCTION("""COMPUTED_VALUE"""),"70003369")</f>
        <v>70003369</v>
      </c>
      <c r="D7953" s="380" t="s">
        <v>767</v>
      </c>
      <c r="E7953" s="380" t="s">
        <v>786</v>
      </c>
      <c r="F7953" s="380" t="s">
        <v>787</v>
      </c>
      <c r="G7953" s="380" t="s">
        <v>1267</v>
      </c>
      <c r="H7953" s="380" t="s">
        <v>771</v>
      </c>
      <c r="I7953" s="380" t="s">
        <v>788</v>
      </c>
      <c r="J7953" s="380" t="s">
        <v>773</v>
      </c>
      <c r="K7953" s="381">
        <v>0.0</v>
      </c>
      <c r="L7953" s="382">
        <v>1.0</v>
      </c>
    </row>
    <row r="7954">
      <c r="A7954" s="380" t="s">
        <v>8828</v>
      </c>
      <c r="B7954" s="380" t="str">
        <f>IFERROR(__xludf.DUMMYFUNCTION("""COMPUTED_VALUE"""),"Tornillo Eje Piñon D Levas FRR8971131670")</f>
        <v>Tornillo Eje Piñon D Levas FRR8971131670</v>
      </c>
      <c r="C7954" s="380" t="str">
        <f>IFERROR(__xludf.DUMMYFUNCTION("""COMPUTED_VALUE"""),"70003370")</f>
        <v>70003370</v>
      </c>
      <c r="D7954" s="380" t="s">
        <v>767</v>
      </c>
      <c r="E7954" s="380" t="s">
        <v>786</v>
      </c>
      <c r="F7954" s="380" t="s">
        <v>787</v>
      </c>
      <c r="G7954" s="380" t="s">
        <v>1267</v>
      </c>
      <c r="H7954" s="380" t="s">
        <v>771</v>
      </c>
      <c r="I7954" s="380" t="s">
        <v>788</v>
      </c>
      <c r="J7954" s="380" t="s">
        <v>773</v>
      </c>
      <c r="K7954" s="381">
        <v>0.0</v>
      </c>
      <c r="L7954" s="382">
        <v>1.0</v>
      </c>
    </row>
    <row r="7955">
      <c r="A7955" s="380" t="s">
        <v>8829</v>
      </c>
      <c r="B7955" s="380" t="str">
        <f>IFERROR(__xludf.DUMMYFUNCTION("""COMPUTED_VALUE"""),"Casque Eje De Levas Motor FRR 8973861890")</f>
        <v>Casque Eje De Levas Motor FRR 8973861890</v>
      </c>
      <c r="C7955" s="380" t="str">
        <f>IFERROR(__xludf.DUMMYFUNCTION("""COMPUTED_VALUE"""),"70003371")</f>
        <v>70003371</v>
      </c>
      <c r="D7955" s="380" t="s">
        <v>767</v>
      </c>
      <c r="E7955" s="380" t="s">
        <v>786</v>
      </c>
      <c r="F7955" s="380" t="s">
        <v>787</v>
      </c>
      <c r="G7955" s="380" t="s">
        <v>1267</v>
      </c>
      <c r="H7955" s="380" t="s">
        <v>771</v>
      </c>
      <c r="I7955" s="380" t="s">
        <v>788</v>
      </c>
      <c r="J7955" s="380" t="s">
        <v>773</v>
      </c>
      <c r="K7955" s="381">
        <v>0.0</v>
      </c>
      <c r="L7955" s="382">
        <v>1.0</v>
      </c>
    </row>
    <row r="7956">
      <c r="A7956" s="380" t="s">
        <v>8830</v>
      </c>
      <c r="B7956" s="380" t="str">
        <f>IFERROR(__xludf.DUMMYFUNCTION("""COMPUTED_VALUE"""),"Empaquetadura Motor FRR 5878179581")</f>
        <v>Empaquetadura Motor FRR 5878179581</v>
      </c>
      <c r="C7956" s="380" t="str">
        <f>IFERROR(__xludf.DUMMYFUNCTION("""COMPUTED_VALUE"""),"70003372")</f>
        <v>70003372</v>
      </c>
      <c r="D7956" s="380" t="s">
        <v>767</v>
      </c>
      <c r="E7956" s="380" t="s">
        <v>786</v>
      </c>
      <c r="F7956" s="380" t="s">
        <v>787</v>
      </c>
      <c r="G7956" s="380" t="s">
        <v>1267</v>
      </c>
      <c r="H7956" s="380" t="s">
        <v>771</v>
      </c>
      <c r="I7956" s="380" t="s">
        <v>788</v>
      </c>
      <c r="J7956" s="380" t="s">
        <v>773</v>
      </c>
      <c r="K7956" s="381">
        <v>0.0</v>
      </c>
      <c r="L7956" s="382">
        <v>1.0</v>
      </c>
    </row>
    <row r="7957">
      <c r="A7957" s="380" t="s">
        <v>8831</v>
      </c>
      <c r="B7957" s="380" t="str">
        <f>IFERROR(__xludf.DUMMYFUNCTION("""COMPUTED_VALUE"""),"Canasti Propul De 5ta Npr Nkr 8981899700")</f>
        <v>Canasti Propul De 5ta Npr Nkr 8981899700</v>
      </c>
      <c r="C7957" s="380" t="str">
        <f>IFERROR(__xludf.DUMMYFUNCTION("""COMPUTED_VALUE"""),"70003373")</f>
        <v>70003373</v>
      </c>
      <c r="D7957" s="380" t="s">
        <v>767</v>
      </c>
      <c r="E7957" s="380" t="s">
        <v>786</v>
      </c>
      <c r="F7957" s="380" t="s">
        <v>787</v>
      </c>
      <c r="G7957" s="380" t="s">
        <v>1267</v>
      </c>
      <c r="H7957" s="380" t="s">
        <v>771</v>
      </c>
      <c r="I7957" s="380" t="s">
        <v>788</v>
      </c>
      <c r="J7957" s="380" t="s">
        <v>773</v>
      </c>
      <c r="K7957" s="381">
        <v>0.0</v>
      </c>
      <c r="L7957" s="382">
        <v>1.0</v>
      </c>
    </row>
    <row r="7958">
      <c r="A7958" s="380" t="s">
        <v>8832</v>
      </c>
      <c r="B7958" s="380" t="str">
        <f>IFERROR(__xludf.DUMMYFUNCTION("""COMPUTED_VALUE"""),"Pin Pasador Selector Nkr 1097480320")</f>
        <v>Pin Pasador Selector Nkr 1097480320</v>
      </c>
      <c r="C7958" s="380" t="str">
        <f>IFERROR(__xludf.DUMMYFUNCTION("""COMPUTED_VALUE"""),"70003374")</f>
        <v>70003374</v>
      </c>
      <c r="D7958" s="380" t="s">
        <v>767</v>
      </c>
      <c r="E7958" s="380" t="s">
        <v>786</v>
      </c>
      <c r="F7958" s="380" t="s">
        <v>787</v>
      </c>
      <c r="G7958" s="380" t="s">
        <v>1267</v>
      </c>
      <c r="H7958" s="380" t="s">
        <v>771</v>
      </c>
      <c r="I7958" s="380" t="s">
        <v>788</v>
      </c>
      <c r="J7958" s="380" t="s">
        <v>773</v>
      </c>
      <c r="K7958" s="381">
        <v>0.0</v>
      </c>
      <c r="L7958" s="382">
        <v>1.0</v>
      </c>
    </row>
    <row r="7959">
      <c r="A7959" s="380" t="s">
        <v>8833</v>
      </c>
      <c r="B7959" s="380" t="str">
        <f>IFERROR(__xludf.DUMMYFUNCTION("""COMPUTED_VALUE"""),"Casquetes Biela Isx 3686435")</f>
        <v>Casquetes Biela Isx 3686435</v>
      </c>
      <c r="C7959" s="380" t="str">
        <f>IFERROR(__xludf.DUMMYFUNCTION("""COMPUTED_VALUE"""),"70003375")</f>
        <v>70003375</v>
      </c>
      <c r="D7959" s="380" t="s">
        <v>767</v>
      </c>
      <c r="E7959" s="380" t="s">
        <v>786</v>
      </c>
      <c r="F7959" s="380" t="s">
        <v>787</v>
      </c>
      <c r="G7959" s="380" t="s">
        <v>1267</v>
      </c>
      <c r="H7959" s="380" t="s">
        <v>771</v>
      </c>
      <c r="I7959" s="380" t="s">
        <v>788</v>
      </c>
      <c r="J7959" s="380" t="s">
        <v>773</v>
      </c>
      <c r="K7959" s="381">
        <v>0.0</v>
      </c>
      <c r="L7959" s="382">
        <v>1.0</v>
      </c>
    </row>
    <row r="7960">
      <c r="A7960" s="380" t="s">
        <v>8834</v>
      </c>
      <c r="B7960" s="380" t="str">
        <f>IFERROR(__xludf.DUMMYFUNCTION("""COMPUTED_VALUE"""),"Emblem Reflec Persiana KW T800 L53100210")</f>
        <v>Emblem Reflec Persiana KW T800 L53100210</v>
      </c>
      <c r="C7960" s="380" t="str">
        <f>IFERROR(__xludf.DUMMYFUNCTION("""COMPUTED_VALUE"""),"70003376")</f>
        <v>70003376</v>
      </c>
      <c r="D7960" s="380" t="s">
        <v>767</v>
      </c>
      <c r="E7960" s="380" t="s">
        <v>786</v>
      </c>
      <c r="F7960" s="380" t="s">
        <v>787</v>
      </c>
      <c r="G7960" s="380" t="s">
        <v>1267</v>
      </c>
      <c r="H7960" s="380" t="s">
        <v>771</v>
      </c>
      <c r="I7960" s="380" t="s">
        <v>788</v>
      </c>
      <c r="J7960" s="380" t="s">
        <v>773</v>
      </c>
      <c r="K7960" s="381">
        <v>0.0</v>
      </c>
      <c r="L7960" s="382">
        <v>1.0</v>
      </c>
    </row>
    <row r="7961">
      <c r="A7961" s="380" t="s">
        <v>8835</v>
      </c>
      <c r="B7961" s="380" t="str">
        <f>IFERROR(__xludf.DUMMYFUNCTION("""COMPUTED_VALUE"""),"Sop Inf Radia Frente Chasi KW800 A241219")</f>
        <v>Sop Inf Radia Frente Chasi KW800 A241219</v>
      </c>
      <c r="C7961" s="380" t="str">
        <f>IFERROR(__xludf.DUMMYFUNCTION("""COMPUTED_VALUE"""),"70003377")</f>
        <v>70003377</v>
      </c>
      <c r="D7961" s="380" t="s">
        <v>767</v>
      </c>
      <c r="E7961" s="380" t="s">
        <v>786</v>
      </c>
      <c r="F7961" s="380" t="s">
        <v>787</v>
      </c>
      <c r="G7961" s="380" t="s">
        <v>1267</v>
      </c>
      <c r="H7961" s="380" t="s">
        <v>771</v>
      </c>
      <c r="I7961" s="380" t="s">
        <v>788</v>
      </c>
      <c r="J7961" s="380" t="s">
        <v>773</v>
      </c>
      <c r="K7961" s="381">
        <v>0.0</v>
      </c>
      <c r="L7961" s="382">
        <v>1.0</v>
      </c>
    </row>
    <row r="7962">
      <c r="A7962" s="380" t="s">
        <v>8836</v>
      </c>
      <c r="B7962" s="380" t="str">
        <f>IFERROR(__xludf.DUMMYFUNCTION("""COMPUTED_VALUE"""),"Kit De Reparticion T Prado")</f>
        <v>Kit De Reparticion T Prado</v>
      </c>
      <c r="C7962" s="380" t="str">
        <f>IFERROR(__xludf.DUMMYFUNCTION("""COMPUTED_VALUE"""),"70003378")</f>
        <v>70003378</v>
      </c>
      <c r="D7962" s="380" t="s">
        <v>767</v>
      </c>
      <c r="E7962" s="380" t="s">
        <v>786</v>
      </c>
      <c r="F7962" s="380" t="s">
        <v>787</v>
      </c>
      <c r="G7962" s="380" t="s">
        <v>1267</v>
      </c>
      <c r="H7962" s="380" t="s">
        <v>771</v>
      </c>
      <c r="I7962" s="380" t="s">
        <v>788</v>
      </c>
      <c r="J7962" s="380" t="s">
        <v>773</v>
      </c>
      <c r="K7962" s="381">
        <v>0.0</v>
      </c>
      <c r="L7962" s="382">
        <v>1.0</v>
      </c>
    </row>
    <row r="7963">
      <c r="A7963" s="380" t="s">
        <v>8837</v>
      </c>
      <c r="B7963" s="380" t="str">
        <f>IFERROR(__xludf.DUMMYFUNCTION("""COMPUTED_VALUE"""),"Carcasa Purificadora Jack 1109100LD4")</f>
        <v>Carcasa Purificadora Jack 1109100LD4</v>
      </c>
      <c r="C7963" s="380" t="str">
        <f>IFERROR(__xludf.DUMMYFUNCTION("""COMPUTED_VALUE"""),"70003379")</f>
        <v>70003379</v>
      </c>
      <c r="D7963" s="380" t="s">
        <v>767</v>
      </c>
      <c r="E7963" s="380" t="s">
        <v>786</v>
      </c>
      <c r="F7963" s="380" t="s">
        <v>787</v>
      </c>
      <c r="G7963" s="380" t="s">
        <v>1267</v>
      </c>
      <c r="H7963" s="380" t="s">
        <v>771</v>
      </c>
      <c r="I7963" s="380" t="s">
        <v>788</v>
      </c>
      <c r="J7963" s="380" t="s">
        <v>773</v>
      </c>
      <c r="K7963" s="381">
        <v>261687.0</v>
      </c>
      <c r="L7963" s="382">
        <v>1.0</v>
      </c>
    </row>
    <row r="7964">
      <c r="A7964" s="380" t="s">
        <v>8838</v>
      </c>
      <c r="B7964" s="380" t="str">
        <f>IFERROR(__xludf.DUMMYFUNCTION("""COMPUTED_VALUE"""),"Tapa Tque Aux Radiad FotonMV5 1023488419")</f>
        <v>Tapa Tque Aux Radiad FotonMV5 1023488419</v>
      </c>
      <c r="C7964" s="380" t="str">
        <f>IFERROR(__xludf.DUMMYFUNCTION("""COMPUTED_VALUE"""),"70003380")</f>
        <v>70003380</v>
      </c>
      <c r="D7964" s="380" t="s">
        <v>767</v>
      </c>
      <c r="E7964" s="380" t="s">
        <v>786</v>
      </c>
      <c r="F7964" s="380" t="s">
        <v>787</v>
      </c>
      <c r="G7964" s="380" t="s">
        <v>1267</v>
      </c>
      <c r="H7964" s="380" t="s">
        <v>771</v>
      </c>
      <c r="I7964" s="380" t="s">
        <v>788</v>
      </c>
      <c r="J7964" s="380" t="s">
        <v>773</v>
      </c>
      <c r="K7964" s="381">
        <v>45641.0</v>
      </c>
      <c r="L7964" s="382">
        <v>1.0</v>
      </c>
    </row>
    <row r="7965">
      <c r="A7965" s="380" t="s">
        <v>8839</v>
      </c>
      <c r="B7965" s="380" t="str">
        <f>IFERROR(__xludf.DUMMYFUNCTION("""COMPUTED_VALUE"""),"Clip Inyector Comb Nkr Rewar 8973152860")</f>
        <v>Clip Inyector Comb Nkr Rewar 8973152860</v>
      </c>
      <c r="C7965" s="380" t="str">
        <f>IFERROR(__xludf.DUMMYFUNCTION("""COMPUTED_VALUE"""),"70003381")</f>
        <v>70003381</v>
      </c>
      <c r="D7965" s="380" t="s">
        <v>767</v>
      </c>
      <c r="E7965" s="380" t="s">
        <v>786</v>
      </c>
      <c r="F7965" s="380" t="s">
        <v>787</v>
      </c>
      <c r="G7965" s="380" t="s">
        <v>1267</v>
      </c>
      <c r="H7965" s="380" t="s">
        <v>771</v>
      </c>
      <c r="I7965" s="380" t="s">
        <v>788</v>
      </c>
      <c r="J7965" s="380" t="s">
        <v>773</v>
      </c>
      <c r="K7965" s="381">
        <v>0.0</v>
      </c>
      <c r="L7965" s="382">
        <v>1.0</v>
      </c>
    </row>
    <row r="7966">
      <c r="A7966" s="380" t="s">
        <v>8840</v>
      </c>
      <c r="B7966" s="380" t="str">
        <f>IFERROR(__xludf.DUMMYFUNCTION("""COMPUTED_VALUE"""),"Te Tubo Inyector Nkr Rewar 8981610610")</f>
        <v>Te Tubo Inyector Nkr Rewar 8981610610</v>
      </c>
      <c r="C7966" s="380" t="str">
        <f>IFERROR(__xludf.DUMMYFUNCTION("""COMPUTED_VALUE"""),"70003382")</f>
        <v>70003382</v>
      </c>
      <c r="D7966" s="380" t="s">
        <v>767</v>
      </c>
      <c r="E7966" s="380" t="s">
        <v>786</v>
      </c>
      <c r="F7966" s="380" t="s">
        <v>787</v>
      </c>
      <c r="G7966" s="380" t="s">
        <v>1267</v>
      </c>
      <c r="H7966" s="380" t="s">
        <v>771</v>
      </c>
      <c r="I7966" s="380" t="s">
        <v>788</v>
      </c>
      <c r="J7966" s="380" t="s">
        <v>773</v>
      </c>
      <c r="K7966" s="381">
        <v>0.0</v>
      </c>
      <c r="L7966" s="382">
        <v>1.0</v>
      </c>
    </row>
    <row r="7967">
      <c r="A7967" s="380" t="s">
        <v>8841</v>
      </c>
      <c r="B7967" s="380" t="str">
        <f>IFERROR(__xludf.DUMMYFUNCTION("""COMPUTED_VALUE"""),"Buje Tapa Valvulas Nkr Rewar 8980361200")</f>
        <v>Buje Tapa Valvulas Nkr Rewar 8980361200</v>
      </c>
      <c r="C7967" s="380" t="str">
        <f>IFERROR(__xludf.DUMMYFUNCTION("""COMPUTED_VALUE"""),"70003383")</f>
        <v>70003383</v>
      </c>
      <c r="D7967" s="380" t="s">
        <v>767</v>
      </c>
      <c r="E7967" s="380" t="s">
        <v>786</v>
      </c>
      <c r="F7967" s="380" t="s">
        <v>787</v>
      </c>
      <c r="G7967" s="380" t="s">
        <v>1267</v>
      </c>
      <c r="H7967" s="380" t="s">
        <v>771</v>
      </c>
      <c r="I7967" s="380" t="s">
        <v>788</v>
      </c>
      <c r="J7967" s="380" t="s">
        <v>773</v>
      </c>
      <c r="K7967" s="381">
        <v>0.0</v>
      </c>
      <c r="L7967" s="382">
        <v>1.0</v>
      </c>
    </row>
    <row r="7968">
      <c r="A7968" s="380" t="s">
        <v>8842</v>
      </c>
      <c r="B7968" s="380" t="str">
        <f>IFERROR(__xludf.DUMMYFUNCTION("""COMPUTED_VALUE"""),"Aro Enfoc Ventilad Nkr Rewar 8980546590")</f>
        <v>Aro Enfoc Ventilad Nkr Rewar 8980546590</v>
      </c>
      <c r="C7968" s="380" t="str">
        <f>IFERROR(__xludf.DUMMYFUNCTION("""COMPUTED_VALUE"""),"70003384")</f>
        <v>70003384</v>
      </c>
      <c r="D7968" s="380" t="s">
        <v>767</v>
      </c>
      <c r="E7968" s="380" t="s">
        <v>786</v>
      </c>
      <c r="F7968" s="380" t="s">
        <v>787</v>
      </c>
      <c r="G7968" s="380" t="s">
        <v>1267</v>
      </c>
      <c r="H7968" s="380" t="s">
        <v>771</v>
      </c>
      <c r="I7968" s="380" t="s">
        <v>788</v>
      </c>
      <c r="J7968" s="380" t="s">
        <v>773</v>
      </c>
      <c r="K7968" s="381">
        <v>0.0</v>
      </c>
      <c r="L7968" s="382">
        <v>1.0</v>
      </c>
    </row>
    <row r="7969">
      <c r="A7969" s="380" t="s">
        <v>8843</v>
      </c>
      <c r="B7969" s="380" t="str">
        <f>IFERROR(__xludf.DUMMYFUNCTION("""COMPUTED_VALUE"""),"Carcaza Reparticion Nkr Rewar 8998074747")</f>
        <v>Carcaza Reparticion Nkr Rewar 8998074747</v>
      </c>
      <c r="C7969" s="380" t="str">
        <f>IFERROR(__xludf.DUMMYFUNCTION("""COMPUTED_VALUE"""),"70003385")</f>
        <v>70003385</v>
      </c>
      <c r="D7969" s="380" t="s">
        <v>767</v>
      </c>
      <c r="E7969" s="380" t="s">
        <v>786</v>
      </c>
      <c r="F7969" s="380" t="s">
        <v>787</v>
      </c>
      <c r="G7969" s="380" t="s">
        <v>1267</v>
      </c>
      <c r="H7969" s="380" t="s">
        <v>771</v>
      </c>
      <c r="I7969" s="380" t="s">
        <v>788</v>
      </c>
      <c r="J7969" s="380" t="s">
        <v>773</v>
      </c>
      <c r="K7969" s="381">
        <v>1405525.0</v>
      </c>
      <c r="L7969" s="382">
        <v>1.0</v>
      </c>
    </row>
    <row r="7970">
      <c r="A7970" s="380" t="s">
        <v>8844</v>
      </c>
      <c r="B7970" s="380" t="str">
        <f>IFERROR(__xludf.DUMMYFUNCTION("""COMPUTED_VALUE"""),"Riel De Inyeccion MV5 7705946019514")</f>
        <v>Riel De Inyeccion MV5 7705946019514</v>
      </c>
      <c r="C7970" s="380" t="str">
        <f>IFERROR(__xludf.DUMMYFUNCTION("""COMPUTED_VALUE"""),"70003386")</f>
        <v>70003386</v>
      </c>
      <c r="D7970" s="380" t="s">
        <v>767</v>
      </c>
      <c r="E7970" s="380" t="s">
        <v>786</v>
      </c>
      <c r="F7970" s="380" t="s">
        <v>787</v>
      </c>
      <c r="G7970" s="380" t="s">
        <v>1267</v>
      </c>
      <c r="H7970" s="380" t="s">
        <v>771</v>
      </c>
      <c r="I7970" s="380" t="s">
        <v>788</v>
      </c>
      <c r="J7970" s="380" t="s">
        <v>773</v>
      </c>
      <c r="K7970" s="381">
        <v>0.0</v>
      </c>
      <c r="L7970" s="382">
        <v>1.0</v>
      </c>
    </row>
    <row r="7971">
      <c r="A7971" s="380" t="s">
        <v>8845</v>
      </c>
      <c r="B7971" s="380" t="str">
        <f>IFERROR(__xludf.DUMMYFUNCTION("""COMPUTED_VALUE"""),"Sensor Cigueñal Nkr Rewar 8973121081")</f>
        <v>Sensor Cigueñal Nkr Rewar 8973121081</v>
      </c>
      <c r="C7971" s="380" t="str">
        <f>IFERROR(__xludf.DUMMYFUNCTION("""COMPUTED_VALUE"""),"70003387")</f>
        <v>70003387</v>
      </c>
      <c r="D7971" s="380" t="s">
        <v>767</v>
      </c>
      <c r="E7971" s="380" t="s">
        <v>786</v>
      </c>
      <c r="F7971" s="380" t="s">
        <v>787</v>
      </c>
      <c r="G7971" s="380" t="s">
        <v>1267</v>
      </c>
      <c r="H7971" s="380" t="s">
        <v>771</v>
      </c>
      <c r="I7971" s="380" t="s">
        <v>788</v>
      </c>
      <c r="J7971" s="380" t="s">
        <v>773</v>
      </c>
      <c r="K7971" s="381">
        <v>0.0</v>
      </c>
      <c r="L7971" s="382">
        <v>1.0</v>
      </c>
    </row>
    <row r="7972">
      <c r="A7972" s="380" t="s">
        <v>8846</v>
      </c>
      <c r="B7972" s="380" t="str">
        <f>IFERROR(__xludf.DUMMYFUNCTION("""COMPUTED_VALUE"""),"Sello Del Termostato 186780")</f>
        <v>Sello Del Termostato 186780</v>
      </c>
      <c r="C7972" s="380" t="str">
        <f>IFERROR(__xludf.DUMMYFUNCTION("""COMPUTED_VALUE"""),"70003388")</f>
        <v>70003388</v>
      </c>
      <c r="D7972" s="380" t="s">
        <v>767</v>
      </c>
      <c r="E7972" s="380" t="s">
        <v>786</v>
      </c>
      <c r="F7972" s="380" t="s">
        <v>787</v>
      </c>
      <c r="G7972" s="380" t="s">
        <v>1267</v>
      </c>
      <c r="H7972" s="380" t="s">
        <v>771</v>
      </c>
      <c r="I7972" s="380" t="s">
        <v>788</v>
      </c>
      <c r="J7972" s="380" t="s">
        <v>773</v>
      </c>
      <c r="K7972" s="381">
        <v>0.0</v>
      </c>
      <c r="L7972" s="382">
        <v>1.0</v>
      </c>
    </row>
    <row r="7973">
      <c r="A7973" s="380" t="s">
        <v>8847</v>
      </c>
      <c r="B7973" s="380" t="str">
        <f>IFERROR(__xludf.DUMMYFUNCTION("""COMPUTED_VALUE"""),"Indicador Restric Aire Eagle 3612631C91")</f>
        <v>Indicador Restric Aire Eagle 3612631C91</v>
      </c>
      <c r="C7973" s="380" t="str">
        <f>IFERROR(__xludf.DUMMYFUNCTION("""COMPUTED_VALUE"""),"70003389")</f>
        <v>70003389</v>
      </c>
      <c r="D7973" s="380" t="s">
        <v>767</v>
      </c>
      <c r="E7973" s="380" t="s">
        <v>786</v>
      </c>
      <c r="F7973" s="380" t="s">
        <v>787</v>
      </c>
      <c r="G7973" s="380" t="s">
        <v>1267</v>
      </c>
      <c r="H7973" s="380" t="s">
        <v>771</v>
      </c>
      <c r="I7973" s="380" t="s">
        <v>788</v>
      </c>
      <c r="J7973" s="380" t="s">
        <v>773</v>
      </c>
      <c r="K7973" s="381">
        <v>0.0</v>
      </c>
      <c r="L7973" s="382">
        <v>1.0</v>
      </c>
    </row>
    <row r="7974">
      <c r="A7974" s="380" t="s">
        <v>8848</v>
      </c>
      <c r="B7974" s="380" t="str">
        <f>IFERROR(__xludf.DUMMYFUNCTION("""COMPUTED_VALUE"""),"Enfria Aceite Nkr Rew Mod2014 8981967390")</f>
        <v>Enfria Aceite Nkr Rew Mod2014 8981967390</v>
      </c>
      <c r="C7974" s="380" t="str">
        <f>IFERROR(__xludf.DUMMYFUNCTION("""COMPUTED_VALUE"""),"70003390")</f>
        <v>70003390</v>
      </c>
      <c r="D7974" s="380" t="s">
        <v>767</v>
      </c>
      <c r="E7974" s="380" t="s">
        <v>786</v>
      </c>
      <c r="F7974" s="380" t="s">
        <v>787</v>
      </c>
      <c r="G7974" s="380" t="s">
        <v>1267</v>
      </c>
      <c r="H7974" s="380" t="s">
        <v>771</v>
      </c>
      <c r="I7974" s="380" t="s">
        <v>788</v>
      </c>
      <c r="J7974" s="380" t="s">
        <v>773</v>
      </c>
      <c r="K7974" s="381">
        <v>0.0</v>
      </c>
      <c r="L7974" s="382">
        <v>1.0</v>
      </c>
    </row>
    <row r="7975">
      <c r="A7975" s="380" t="s">
        <v>8849</v>
      </c>
      <c r="B7975" s="380" t="str">
        <f>IFERROR(__xludf.DUMMYFUNCTION("""COMPUTED_VALUE"""),"Buje Bomba De Aceite Npr 8980915660")</f>
        <v>Buje Bomba De Aceite Npr 8980915660</v>
      </c>
      <c r="C7975" s="380" t="str">
        <f>IFERROR(__xludf.DUMMYFUNCTION("""COMPUTED_VALUE"""),"70003391")</f>
        <v>70003391</v>
      </c>
      <c r="D7975" s="380" t="s">
        <v>767</v>
      </c>
      <c r="E7975" s="380" t="s">
        <v>786</v>
      </c>
      <c r="F7975" s="380" t="s">
        <v>787</v>
      </c>
      <c r="G7975" s="380" t="s">
        <v>1267</v>
      </c>
      <c r="H7975" s="380" t="s">
        <v>771</v>
      </c>
      <c r="I7975" s="380" t="s">
        <v>788</v>
      </c>
      <c r="J7975" s="380" t="s">
        <v>773</v>
      </c>
      <c r="K7975" s="381">
        <v>0.0</v>
      </c>
      <c r="L7975" s="382">
        <v>1.0</v>
      </c>
    </row>
    <row r="7976">
      <c r="A7976" s="380" t="s">
        <v>8850</v>
      </c>
      <c r="B7976" s="380" t="str">
        <f>IFERROR(__xludf.DUMMYFUNCTION("""COMPUTED_VALUE"""),"Oring Inyector Motor MV5")</f>
        <v>Oring Inyector Motor MV5</v>
      </c>
      <c r="C7976" s="380" t="str">
        <f>IFERROR(__xludf.DUMMYFUNCTION("""COMPUTED_VALUE"""),"70003392")</f>
        <v>70003392</v>
      </c>
      <c r="D7976" s="380" t="s">
        <v>767</v>
      </c>
      <c r="E7976" s="380" t="s">
        <v>786</v>
      </c>
      <c r="F7976" s="380" t="s">
        <v>787</v>
      </c>
      <c r="G7976" s="380" t="s">
        <v>1267</v>
      </c>
      <c r="H7976" s="380" t="s">
        <v>771</v>
      </c>
      <c r="I7976" s="380" t="s">
        <v>788</v>
      </c>
      <c r="J7976" s="380" t="s">
        <v>773</v>
      </c>
      <c r="K7976" s="381">
        <v>0.0</v>
      </c>
      <c r="L7976" s="382">
        <v>1.0</v>
      </c>
    </row>
    <row r="7977">
      <c r="A7977" s="380" t="s">
        <v>8851</v>
      </c>
      <c r="B7977" s="380" t="str">
        <f>IFERROR(__xludf.DUMMYFUNCTION("""COMPUTED_VALUE"""),"Eje Arbol De Levas Admision/Escape N200")</f>
        <v>Eje Arbol De Levas Admision/Escape N200</v>
      </c>
      <c r="C7977" s="380" t="str">
        <f>IFERROR(__xludf.DUMMYFUNCTION("""COMPUTED_VALUE"""),"70003393")</f>
        <v>70003393</v>
      </c>
      <c r="D7977" s="380" t="s">
        <v>767</v>
      </c>
      <c r="E7977" s="380" t="s">
        <v>786</v>
      </c>
      <c r="F7977" s="380" t="s">
        <v>787</v>
      </c>
      <c r="G7977" s="380" t="s">
        <v>1267</v>
      </c>
      <c r="H7977" s="380" t="s">
        <v>771</v>
      </c>
      <c r="I7977" s="380" t="s">
        <v>788</v>
      </c>
      <c r="J7977" s="380" t="s">
        <v>773</v>
      </c>
      <c r="K7977" s="381">
        <v>0.0</v>
      </c>
      <c r="L7977" s="382">
        <v>1.0</v>
      </c>
    </row>
    <row r="7978">
      <c r="A7978" s="380" t="s">
        <v>8852</v>
      </c>
      <c r="B7978" s="380" t="str">
        <f>IFERROR(__xludf.DUMMYFUNCTION("""COMPUTED_VALUE"""),"Templete Radiador KW T800 F651080637")</f>
        <v>Templete Radiador KW T800 F651080637</v>
      </c>
      <c r="C7978" s="380" t="str">
        <f>IFERROR(__xludf.DUMMYFUNCTION("""COMPUTED_VALUE"""),"70003394")</f>
        <v>70003394</v>
      </c>
      <c r="D7978" s="380" t="s">
        <v>767</v>
      </c>
      <c r="E7978" s="380" t="s">
        <v>786</v>
      </c>
      <c r="F7978" s="380" t="s">
        <v>787</v>
      </c>
      <c r="G7978" s="380" t="s">
        <v>1267</v>
      </c>
      <c r="H7978" s="380" t="s">
        <v>771</v>
      </c>
      <c r="I7978" s="380" t="s">
        <v>788</v>
      </c>
      <c r="J7978" s="380" t="s">
        <v>773</v>
      </c>
      <c r="K7978" s="381">
        <v>0.0</v>
      </c>
      <c r="L7978" s="382">
        <v>1.0</v>
      </c>
    </row>
    <row r="7979">
      <c r="A7979" s="380" t="s">
        <v>8853</v>
      </c>
      <c r="B7979" s="380" t="str">
        <f>IFERROR(__xludf.DUMMYFUNCTION("""COMPUTED_VALUE"""),"Empaque Tapa Valvula 4HK1 FRR 8973313591")</f>
        <v>Empaque Tapa Valvula 4HK1 FRR 8973313591</v>
      </c>
      <c r="C7979" s="380" t="str">
        <f>IFERROR(__xludf.DUMMYFUNCTION("""COMPUTED_VALUE"""),"70003395")</f>
        <v>70003395</v>
      </c>
      <c r="D7979" s="380" t="s">
        <v>767</v>
      </c>
      <c r="E7979" s="380" t="s">
        <v>786</v>
      </c>
      <c r="F7979" s="380" t="s">
        <v>787</v>
      </c>
      <c r="G7979" s="380" t="s">
        <v>1267</v>
      </c>
      <c r="H7979" s="380" t="s">
        <v>771</v>
      </c>
      <c r="I7979" s="380" t="s">
        <v>788</v>
      </c>
      <c r="J7979" s="380" t="s">
        <v>773</v>
      </c>
      <c r="K7979" s="381">
        <v>0.0</v>
      </c>
      <c r="L7979" s="382">
        <v>1.0</v>
      </c>
    </row>
    <row r="7980">
      <c r="A7980" s="380" t="s">
        <v>8854</v>
      </c>
      <c r="B7980" s="380" t="str">
        <f>IFERROR(__xludf.DUMMYFUNCTION("""COMPUTED_VALUE"""),"Empaq Culata 4HK1T 1 Muesc FRR8982885020")</f>
        <v>Empaq Culata 4HK1T 1 Muesc FRR8982885020</v>
      </c>
      <c r="C7980" s="380" t="str">
        <f>IFERROR(__xludf.DUMMYFUNCTION("""COMPUTED_VALUE"""),"70003396")</f>
        <v>70003396</v>
      </c>
      <c r="D7980" s="380" t="s">
        <v>767</v>
      </c>
      <c r="E7980" s="380" t="s">
        <v>786</v>
      </c>
      <c r="F7980" s="380" t="s">
        <v>787</v>
      </c>
      <c r="G7980" s="380" t="s">
        <v>1267</v>
      </c>
      <c r="H7980" s="380" t="s">
        <v>771</v>
      </c>
      <c r="I7980" s="380" t="s">
        <v>788</v>
      </c>
      <c r="J7980" s="380" t="s">
        <v>773</v>
      </c>
      <c r="K7980" s="381">
        <v>0.0</v>
      </c>
      <c r="L7980" s="382">
        <v>1.0</v>
      </c>
    </row>
    <row r="7981">
      <c r="A7981" s="380" t="s">
        <v>8855</v>
      </c>
      <c r="B7981" s="380" t="str">
        <f>IFERROR(__xludf.DUMMYFUNCTION("""COMPUTED_VALUE"""),"Manguera Inf Radiador FRR 8980074530")</f>
        <v>Manguera Inf Radiador FRR 8980074530</v>
      </c>
      <c r="C7981" s="380" t="str">
        <f>IFERROR(__xludf.DUMMYFUNCTION("""COMPUTED_VALUE"""),"70003397")</f>
        <v>70003397</v>
      </c>
      <c r="D7981" s="380" t="s">
        <v>767</v>
      </c>
      <c r="E7981" s="380" t="s">
        <v>786</v>
      </c>
      <c r="F7981" s="380" t="s">
        <v>787</v>
      </c>
      <c r="G7981" s="380" t="s">
        <v>1267</v>
      </c>
      <c r="H7981" s="380" t="s">
        <v>771</v>
      </c>
      <c r="I7981" s="380" t="s">
        <v>788</v>
      </c>
      <c r="J7981" s="380" t="s">
        <v>773</v>
      </c>
      <c r="K7981" s="381">
        <v>0.0</v>
      </c>
      <c r="L7981" s="382">
        <v>1.0</v>
      </c>
    </row>
    <row r="7982">
      <c r="A7982" s="380" t="s">
        <v>8856</v>
      </c>
      <c r="B7982" s="380" t="str">
        <f>IFERROR(__xludf.DUMMYFUNCTION("""COMPUTED_VALUE"""),"Repuestos Varios Nissan Pathfinder")</f>
        <v>Repuestos Varios Nissan Pathfinder</v>
      </c>
      <c r="C7982" s="380" t="str">
        <f>IFERROR(__xludf.DUMMYFUNCTION("""COMPUTED_VALUE"""),"70003398")</f>
        <v>70003398</v>
      </c>
      <c r="D7982" s="380" t="s">
        <v>767</v>
      </c>
      <c r="E7982" s="380" t="s">
        <v>786</v>
      </c>
      <c r="F7982" s="380" t="s">
        <v>787</v>
      </c>
      <c r="G7982" s="380" t="s">
        <v>1267</v>
      </c>
      <c r="H7982" s="380" t="s">
        <v>771</v>
      </c>
      <c r="I7982" s="380" t="s">
        <v>788</v>
      </c>
      <c r="J7982" s="380" t="s">
        <v>773</v>
      </c>
      <c r="K7982" s="381">
        <v>0.0</v>
      </c>
      <c r="L7982" s="382">
        <v>1.0</v>
      </c>
    </row>
    <row r="7983">
      <c r="A7983" s="380" t="s">
        <v>8857</v>
      </c>
      <c r="B7983" s="380" t="str">
        <f>IFERROR(__xludf.DUMMYFUNCTION("""COMPUTED_VALUE"""),"Tubo Salida Tanque Comb MV5 7705946027")</f>
        <v>Tubo Salida Tanque Comb MV5 7705946027</v>
      </c>
      <c r="C7983" s="380" t="str">
        <f>IFERROR(__xludf.DUMMYFUNCTION("""COMPUTED_VALUE"""),"70003399")</f>
        <v>70003399</v>
      </c>
      <c r="D7983" s="380" t="s">
        <v>767</v>
      </c>
      <c r="E7983" s="380" t="s">
        <v>786</v>
      </c>
      <c r="F7983" s="380" t="s">
        <v>787</v>
      </c>
      <c r="G7983" s="380" t="s">
        <v>1267</v>
      </c>
      <c r="H7983" s="380" t="s">
        <v>771</v>
      </c>
      <c r="I7983" s="380" t="s">
        <v>788</v>
      </c>
      <c r="J7983" s="380" t="s">
        <v>773</v>
      </c>
      <c r="K7983" s="381">
        <v>0.0</v>
      </c>
      <c r="L7983" s="382">
        <v>1.0</v>
      </c>
    </row>
    <row r="7984">
      <c r="A7984" s="380" t="s">
        <v>8858</v>
      </c>
      <c r="B7984" s="380" t="str">
        <f>IFERROR(__xludf.DUMMYFUNCTION("""COMPUTED_VALUE"""),"Tapa Deposito Aux Radiado KW800 N5348001")</f>
        <v>Tapa Deposito Aux Radiado KW800 N5348001</v>
      </c>
      <c r="C7984" s="380" t="str">
        <f>IFERROR(__xludf.DUMMYFUNCTION("""COMPUTED_VALUE"""),"70003400")</f>
        <v>70003400</v>
      </c>
      <c r="D7984" s="380" t="s">
        <v>767</v>
      </c>
      <c r="E7984" s="380" t="s">
        <v>786</v>
      </c>
      <c r="F7984" s="380" t="s">
        <v>787</v>
      </c>
      <c r="G7984" s="380" t="s">
        <v>1267</v>
      </c>
      <c r="H7984" s="380" t="s">
        <v>771</v>
      </c>
      <c r="I7984" s="380" t="s">
        <v>788</v>
      </c>
      <c r="J7984" s="380" t="s">
        <v>773</v>
      </c>
      <c r="K7984" s="381">
        <v>200000.0</v>
      </c>
      <c r="L7984" s="382">
        <v>1.0</v>
      </c>
    </row>
    <row r="7985">
      <c r="A7985" s="380" t="s">
        <v>8859</v>
      </c>
      <c r="B7985" s="380" t="str">
        <f>IFERROR(__xludf.DUMMYFUNCTION("""COMPUTED_VALUE"""),"Tapa Depos Llena Aux Radiado KW800 RC006")</f>
        <v>Tapa Depos Llena Aux Radiado KW800 RC006</v>
      </c>
      <c r="C7985" s="380" t="str">
        <f>IFERROR(__xludf.DUMMYFUNCTION("""COMPUTED_VALUE"""),"70003401")</f>
        <v>70003401</v>
      </c>
      <c r="D7985" s="380" t="s">
        <v>767</v>
      </c>
      <c r="E7985" s="380" t="s">
        <v>786</v>
      </c>
      <c r="F7985" s="380" t="s">
        <v>787</v>
      </c>
      <c r="G7985" s="380" t="s">
        <v>1267</v>
      </c>
      <c r="H7985" s="380" t="s">
        <v>771</v>
      </c>
      <c r="I7985" s="380" t="s">
        <v>788</v>
      </c>
      <c r="J7985" s="380" t="s">
        <v>773</v>
      </c>
      <c r="K7985" s="381">
        <v>0.0</v>
      </c>
      <c r="L7985" s="382">
        <v>1.0</v>
      </c>
    </row>
    <row r="7986">
      <c r="A7986" s="380" t="s">
        <v>8860</v>
      </c>
      <c r="B7986" s="380" t="str">
        <f>IFERROR(__xludf.DUMMYFUNCTION("""COMPUTED_VALUE"""),"Tubo Agua Enfriador Aceite Nkr8972256041")</f>
        <v>Tubo Agua Enfriador Aceite Nkr8972256041</v>
      </c>
      <c r="C7986" s="380" t="str">
        <f>IFERROR(__xludf.DUMMYFUNCTION("""COMPUTED_VALUE"""),"70003402")</f>
        <v>70003402</v>
      </c>
      <c r="D7986" s="380" t="s">
        <v>767</v>
      </c>
      <c r="E7986" s="380" t="s">
        <v>786</v>
      </c>
      <c r="F7986" s="380" t="s">
        <v>787</v>
      </c>
      <c r="G7986" s="380" t="s">
        <v>1267</v>
      </c>
      <c r="H7986" s="380" t="s">
        <v>771</v>
      </c>
      <c r="I7986" s="380" t="s">
        <v>788</v>
      </c>
      <c r="J7986" s="380" t="s">
        <v>773</v>
      </c>
      <c r="K7986" s="381">
        <v>0.0</v>
      </c>
      <c r="L7986" s="382">
        <v>1.0</v>
      </c>
    </row>
    <row r="7987">
      <c r="A7987" s="380" t="s">
        <v>8861</v>
      </c>
      <c r="B7987" s="380" t="str">
        <f>IFERROR(__xludf.DUMMYFUNCTION("""COMPUTED_VALUE"""),"Camisilla Culata Motor Isx Eagle")</f>
        <v>Camisilla Culata Motor Isx Eagle</v>
      </c>
      <c r="C7987" s="380" t="str">
        <f>IFERROR(__xludf.DUMMYFUNCTION("""COMPUTED_VALUE"""),"70003403")</f>
        <v>70003403</v>
      </c>
      <c r="D7987" s="380" t="s">
        <v>767</v>
      </c>
      <c r="E7987" s="380" t="s">
        <v>786</v>
      </c>
      <c r="F7987" s="380" t="s">
        <v>787</v>
      </c>
      <c r="G7987" s="380" t="s">
        <v>1267</v>
      </c>
      <c r="H7987" s="380" t="s">
        <v>771</v>
      </c>
      <c r="I7987" s="380" t="s">
        <v>788</v>
      </c>
      <c r="J7987" s="380" t="s">
        <v>773</v>
      </c>
      <c r="K7987" s="381">
        <v>0.0</v>
      </c>
      <c r="L7987" s="382">
        <v>1.0</v>
      </c>
    </row>
    <row r="7988">
      <c r="A7988" s="380" t="s">
        <v>8862</v>
      </c>
      <c r="B7988" s="380" t="str">
        <f>IFERROR(__xludf.DUMMYFUNCTION("""COMPUTED_VALUE"""),"Culata Compresor FTR 8981670130")</f>
        <v>Culata Compresor FTR 8981670130</v>
      </c>
      <c r="C7988" s="380" t="str">
        <f>IFERROR(__xludf.DUMMYFUNCTION("""COMPUTED_VALUE"""),"70003404")</f>
        <v>70003404</v>
      </c>
      <c r="D7988" s="380" t="s">
        <v>767</v>
      </c>
      <c r="E7988" s="380" t="s">
        <v>786</v>
      </c>
      <c r="F7988" s="380" t="s">
        <v>787</v>
      </c>
      <c r="G7988" s="380" t="s">
        <v>1267</v>
      </c>
      <c r="H7988" s="380" t="s">
        <v>771</v>
      </c>
      <c r="I7988" s="380" t="s">
        <v>788</v>
      </c>
      <c r="J7988" s="380" t="s">
        <v>773</v>
      </c>
      <c r="K7988" s="381">
        <v>0.0</v>
      </c>
      <c r="L7988" s="382">
        <v>1.0</v>
      </c>
    </row>
    <row r="7989">
      <c r="A7989" s="380" t="s">
        <v>8863</v>
      </c>
      <c r="B7989" s="380" t="str">
        <f>IFERROR(__xludf.DUMMYFUNCTION("""COMPUTED_VALUE"""),"Torni Bristol Balan Nkr Rewar 8X40 mm G5")</f>
        <v>Torni Bristol Balan Nkr Rewar 8X40 mm G5</v>
      </c>
      <c r="C7989" s="380" t="str">
        <f>IFERROR(__xludf.DUMMYFUNCTION("""COMPUTED_VALUE"""),"70003405")</f>
        <v>70003405</v>
      </c>
      <c r="D7989" s="380" t="s">
        <v>767</v>
      </c>
      <c r="E7989" s="380" t="s">
        <v>786</v>
      </c>
      <c r="F7989" s="380" t="s">
        <v>787</v>
      </c>
      <c r="G7989" s="380" t="s">
        <v>1267</v>
      </c>
      <c r="H7989" s="380" t="s">
        <v>771</v>
      </c>
      <c r="I7989" s="380" t="s">
        <v>788</v>
      </c>
      <c r="J7989" s="380" t="s">
        <v>773</v>
      </c>
      <c r="K7989" s="381">
        <v>0.0</v>
      </c>
      <c r="L7989" s="382">
        <v>1.0</v>
      </c>
    </row>
    <row r="7990">
      <c r="A7990" s="380" t="s">
        <v>8864</v>
      </c>
      <c r="B7990" s="380" t="str">
        <f>IFERROR(__xludf.DUMMYFUNCTION("""COMPUTED_VALUE"""),"Carcaz Filtro Foton BJ1039 7701023775137")</f>
        <v>Carcaz Filtro Foton BJ1039 7701023775137</v>
      </c>
      <c r="C7990" s="380" t="str">
        <f>IFERROR(__xludf.DUMMYFUNCTION("""COMPUTED_VALUE"""),"70003406")</f>
        <v>70003406</v>
      </c>
      <c r="D7990" s="380" t="s">
        <v>767</v>
      </c>
      <c r="E7990" s="380" t="s">
        <v>786</v>
      </c>
      <c r="F7990" s="380" t="s">
        <v>787</v>
      </c>
      <c r="G7990" s="380" t="s">
        <v>1267</v>
      </c>
      <c r="H7990" s="380" t="s">
        <v>771</v>
      </c>
      <c r="I7990" s="380" t="s">
        <v>788</v>
      </c>
      <c r="J7990" s="380" t="s">
        <v>773</v>
      </c>
      <c r="K7990" s="381">
        <v>0.0</v>
      </c>
      <c r="L7990" s="382">
        <v>1.0</v>
      </c>
    </row>
    <row r="7991">
      <c r="A7991" s="380" t="s">
        <v>8865</v>
      </c>
      <c r="B7991" s="380" t="str">
        <f>IFERROR(__xludf.DUMMYFUNCTION("""COMPUTED_VALUE"""),"Manguera Purificadora Aire N200 24512523")</f>
        <v>Manguera Purificadora Aire N200 24512523</v>
      </c>
      <c r="C7991" s="380" t="str">
        <f>IFERROR(__xludf.DUMMYFUNCTION("""COMPUTED_VALUE"""),"70003407")</f>
        <v>70003407</v>
      </c>
      <c r="D7991" s="380" t="s">
        <v>767</v>
      </c>
      <c r="E7991" s="380" t="s">
        <v>786</v>
      </c>
      <c r="F7991" s="380" t="s">
        <v>787</v>
      </c>
      <c r="G7991" s="380" t="s">
        <v>1267</v>
      </c>
      <c r="H7991" s="380" t="s">
        <v>771</v>
      </c>
      <c r="I7991" s="380" t="s">
        <v>788</v>
      </c>
      <c r="J7991" s="380" t="s">
        <v>773</v>
      </c>
      <c r="K7991" s="381">
        <v>0.0</v>
      </c>
      <c r="L7991" s="382">
        <v>1.0</v>
      </c>
    </row>
    <row r="7992">
      <c r="A7992" s="380" t="s">
        <v>8866</v>
      </c>
      <c r="B7992" s="380" t="str">
        <f>IFERROR(__xludf.DUMMYFUNCTION("""COMPUTED_VALUE"""),"Piñon Cigueñal 24518544 N200")</f>
        <v>Piñon Cigueñal 24518544 N200</v>
      </c>
      <c r="C7992" s="380" t="str">
        <f>IFERROR(__xludf.DUMMYFUNCTION("""COMPUTED_VALUE"""),"70003408")</f>
        <v>70003408</v>
      </c>
      <c r="D7992" s="380" t="s">
        <v>767</v>
      </c>
      <c r="E7992" s="380" t="s">
        <v>786</v>
      </c>
      <c r="F7992" s="380" t="s">
        <v>787</v>
      </c>
      <c r="G7992" s="380" t="s">
        <v>1267</v>
      </c>
      <c r="H7992" s="380" t="s">
        <v>771</v>
      </c>
      <c r="I7992" s="380" t="s">
        <v>788</v>
      </c>
      <c r="J7992" s="380" t="s">
        <v>773</v>
      </c>
      <c r="K7992" s="381">
        <v>0.0</v>
      </c>
      <c r="L7992" s="382">
        <v>1.0</v>
      </c>
    </row>
    <row r="7993">
      <c r="A7993" s="380" t="s">
        <v>8867</v>
      </c>
      <c r="B7993" s="380" t="str">
        <f>IFERROR(__xludf.DUMMYFUNCTION("""COMPUTED_VALUE"""),"Varilla Medidora De Aceite N200 9052799")</f>
        <v>Varilla Medidora De Aceite N200 9052799</v>
      </c>
      <c r="C7993" s="380" t="str">
        <f>IFERROR(__xludf.DUMMYFUNCTION("""COMPUTED_VALUE"""),"70003409")</f>
        <v>70003409</v>
      </c>
      <c r="D7993" s="380" t="s">
        <v>767</v>
      </c>
      <c r="E7993" s="380" t="s">
        <v>786</v>
      </c>
      <c r="F7993" s="380" t="s">
        <v>787</v>
      </c>
      <c r="G7993" s="380" t="s">
        <v>1267</v>
      </c>
      <c r="H7993" s="380" t="s">
        <v>771</v>
      </c>
      <c r="I7993" s="380" t="s">
        <v>788</v>
      </c>
      <c r="J7993" s="380" t="s">
        <v>773</v>
      </c>
      <c r="K7993" s="381">
        <v>0.0</v>
      </c>
      <c r="L7993" s="382">
        <v>1.0</v>
      </c>
    </row>
    <row r="7994">
      <c r="A7994" s="380" t="s">
        <v>8868</v>
      </c>
      <c r="B7994" s="380" t="str">
        <f>IFERROR(__xludf.DUMMYFUNCTION("""COMPUTED_VALUE"""),"Bomba De Agua Foton 7705946019569")</f>
        <v>Bomba De Agua Foton 7705946019569</v>
      </c>
      <c r="C7994" s="380" t="str">
        <f>IFERROR(__xludf.DUMMYFUNCTION("""COMPUTED_VALUE"""),"70003410")</f>
        <v>70003410</v>
      </c>
      <c r="D7994" s="380" t="s">
        <v>767</v>
      </c>
      <c r="E7994" s="380" t="s">
        <v>786</v>
      </c>
      <c r="F7994" s="380" t="s">
        <v>787</v>
      </c>
      <c r="G7994" s="380" t="s">
        <v>1267</v>
      </c>
      <c r="H7994" s="380" t="s">
        <v>771</v>
      </c>
      <c r="I7994" s="380" t="s">
        <v>788</v>
      </c>
      <c r="J7994" s="380" t="s">
        <v>773</v>
      </c>
      <c r="K7994" s="381">
        <v>412146.0</v>
      </c>
      <c r="L7994" s="382">
        <v>1.0</v>
      </c>
    </row>
    <row r="7995">
      <c r="A7995" s="380" t="s">
        <v>8869</v>
      </c>
      <c r="B7995" s="380" t="str">
        <f>IFERROR(__xludf.DUMMYFUNCTION("""COMPUTED_VALUE"""),"Racor Recto B68r 3/8 Sinflex X 1/2 Npt")</f>
        <v>Racor Recto B68r 3/8 Sinflex X 1/2 Npt</v>
      </c>
      <c r="C7995" s="380" t="str">
        <f>IFERROR(__xludf.DUMMYFUNCTION("""COMPUTED_VALUE"""),"70003411")</f>
        <v>70003411</v>
      </c>
      <c r="D7995" s="380" t="s">
        <v>767</v>
      </c>
      <c r="E7995" s="380" t="s">
        <v>786</v>
      </c>
      <c r="F7995" s="380" t="s">
        <v>989</v>
      </c>
      <c r="G7995" s="380" t="s">
        <v>1267</v>
      </c>
      <c r="H7995" s="380" t="s">
        <v>771</v>
      </c>
      <c r="I7995" s="380" t="s">
        <v>788</v>
      </c>
      <c r="J7995" s="380" t="s">
        <v>773</v>
      </c>
      <c r="K7995" s="381">
        <v>0.0</v>
      </c>
      <c r="L7995" s="382">
        <v>1.0</v>
      </c>
    </row>
    <row r="7996">
      <c r="A7996" s="380" t="s">
        <v>8870</v>
      </c>
      <c r="B7996" s="380" t="str">
        <f>IFERROR(__xludf.DUMMYFUNCTION("""COMPUTED_VALUE"""),"Racor Recto B68r 1/2 Sinflex X 1/2 Npt")</f>
        <v>Racor Recto B68r 1/2 Sinflex X 1/2 Npt</v>
      </c>
      <c r="C7996" s="380" t="str">
        <f>IFERROR(__xludf.DUMMYFUNCTION("""COMPUTED_VALUE"""),"70003412")</f>
        <v>70003412</v>
      </c>
      <c r="D7996" s="380" t="s">
        <v>767</v>
      </c>
      <c r="E7996" s="380" t="s">
        <v>786</v>
      </c>
      <c r="F7996" s="380" t="s">
        <v>989</v>
      </c>
      <c r="G7996" s="380" t="s">
        <v>1267</v>
      </c>
      <c r="H7996" s="380" t="s">
        <v>771</v>
      </c>
      <c r="I7996" s="380" t="s">
        <v>788</v>
      </c>
      <c r="J7996" s="380" t="s">
        <v>773</v>
      </c>
      <c r="K7996" s="381">
        <v>0.0</v>
      </c>
      <c r="L7996" s="382">
        <v>1.0</v>
      </c>
    </row>
    <row r="7997">
      <c r="A7997" s="380" t="s">
        <v>8871</v>
      </c>
      <c r="B7997" s="380" t="str">
        <f>IFERROR(__xludf.DUMMYFUNCTION("""COMPUTED_VALUE"""),"Racor Union Rapido 4mm")</f>
        <v>Racor Union Rapido 4mm</v>
      </c>
      <c r="C7997" s="380" t="str">
        <f>IFERROR(__xludf.DUMMYFUNCTION("""COMPUTED_VALUE"""),"70003413")</f>
        <v>70003413</v>
      </c>
      <c r="D7997" s="380" t="s">
        <v>767</v>
      </c>
      <c r="E7997" s="380" t="s">
        <v>786</v>
      </c>
      <c r="F7997" s="380" t="s">
        <v>989</v>
      </c>
      <c r="G7997" s="380" t="s">
        <v>1267</v>
      </c>
      <c r="H7997" s="380" t="s">
        <v>771</v>
      </c>
      <c r="I7997" s="380" t="s">
        <v>788</v>
      </c>
      <c r="J7997" s="380" t="s">
        <v>773</v>
      </c>
      <c r="K7997" s="381">
        <v>0.0</v>
      </c>
      <c r="L7997" s="382">
        <v>1.0</v>
      </c>
    </row>
    <row r="7998">
      <c r="A7998" s="380" t="s">
        <v>8872</v>
      </c>
      <c r="B7998" s="380" t="str">
        <f>IFERROR(__xludf.DUMMYFUNCTION("""COMPUTED_VALUE"""),"Racor Union Bronce 3/4")</f>
        <v>Racor Union Bronce 3/4</v>
      </c>
      <c r="C7998" s="380" t="str">
        <f>IFERROR(__xludf.DUMMYFUNCTION("""COMPUTED_VALUE"""),"70003414")</f>
        <v>70003414</v>
      </c>
      <c r="D7998" s="380" t="s">
        <v>767</v>
      </c>
      <c r="E7998" s="380" t="s">
        <v>786</v>
      </c>
      <c r="F7998" s="380" t="s">
        <v>989</v>
      </c>
      <c r="G7998" s="380" t="s">
        <v>1267</v>
      </c>
      <c r="H7998" s="380" t="s">
        <v>771</v>
      </c>
      <c r="I7998" s="380" t="s">
        <v>788</v>
      </c>
      <c r="J7998" s="380" t="s">
        <v>773</v>
      </c>
      <c r="K7998" s="381">
        <v>0.0</v>
      </c>
      <c r="L7998" s="382">
        <v>1.0</v>
      </c>
    </row>
    <row r="7999">
      <c r="A7999" s="380" t="s">
        <v>8873</v>
      </c>
      <c r="B7999" s="380" t="str">
        <f>IFERROR(__xludf.DUMMYFUNCTION("""COMPUTED_VALUE"""),"Racor Union Bronce 4mm")</f>
        <v>Racor Union Bronce 4mm</v>
      </c>
      <c r="C7999" s="380" t="str">
        <f>IFERROR(__xludf.DUMMYFUNCTION("""COMPUTED_VALUE"""),"70003415")</f>
        <v>70003415</v>
      </c>
      <c r="D7999" s="380" t="s">
        <v>767</v>
      </c>
      <c r="E7999" s="380" t="s">
        <v>786</v>
      </c>
      <c r="F7999" s="380" t="s">
        <v>989</v>
      </c>
      <c r="G7999" s="380" t="s">
        <v>1267</v>
      </c>
      <c r="H7999" s="380" t="s">
        <v>771</v>
      </c>
      <c r="I7999" s="380" t="s">
        <v>788</v>
      </c>
      <c r="J7999" s="380" t="s">
        <v>773</v>
      </c>
      <c r="K7999" s="381">
        <v>0.0</v>
      </c>
      <c r="L7999" s="382">
        <v>1.0</v>
      </c>
    </row>
    <row r="8000">
      <c r="A8000" s="380" t="s">
        <v>8874</v>
      </c>
      <c r="B8000" s="380" t="str">
        <f>IFERROR(__xludf.DUMMYFUNCTION("""COMPUTED_VALUE"""),"Racor B 122 1/2 X 1/4 544A")</f>
        <v>Racor B 122 1/2 X 1/4 544A</v>
      </c>
      <c r="C8000" s="380" t="str">
        <f>IFERROR(__xludf.DUMMYFUNCTION("""COMPUTED_VALUE"""),"70003416")</f>
        <v>70003416</v>
      </c>
      <c r="D8000" s="380" t="s">
        <v>767</v>
      </c>
      <c r="E8000" s="380" t="s">
        <v>786</v>
      </c>
      <c r="F8000" s="380" t="s">
        <v>989</v>
      </c>
      <c r="G8000" s="380" t="s">
        <v>1267</v>
      </c>
      <c r="H8000" s="380" t="s">
        <v>771</v>
      </c>
      <c r="I8000" s="380" t="s">
        <v>788</v>
      </c>
      <c r="J8000" s="380" t="s">
        <v>773</v>
      </c>
      <c r="K8000" s="381">
        <v>0.0</v>
      </c>
      <c r="L8000" s="382">
        <v>1.0</v>
      </c>
    </row>
    <row r="8001">
      <c r="A8001" s="380" t="s">
        <v>8875</v>
      </c>
      <c r="B8001" s="380" t="str">
        <f>IFERROR(__xludf.DUMMYFUNCTION("""COMPUTED_VALUE"""),"Conector Rapido Rosca Macho 1/4 Man 3/8")</f>
        <v>Conector Rapido Rosca Macho 1/4 Man 3/8</v>
      </c>
      <c r="C8001" s="380" t="str">
        <f>IFERROR(__xludf.DUMMYFUNCTION("""COMPUTED_VALUE"""),"70003417")</f>
        <v>70003417</v>
      </c>
      <c r="D8001" s="380" t="s">
        <v>767</v>
      </c>
      <c r="E8001" s="380" t="s">
        <v>786</v>
      </c>
      <c r="F8001" s="380" t="s">
        <v>989</v>
      </c>
      <c r="G8001" s="380" t="s">
        <v>1267</v>
      </c>
      <c r="H8001" s="380" t="s">
        <v>771</v>
      </c>
      <c r="I8001" s="380" t="s">
        <v>788</v>
      </c>
      <c r="J8001" s="380" t="s">
        <v>773</v>
      </c>
      <c r="K8001" s="381">
        <v>0.0</v>
      </c>
      <c r="L8001" s="382">
        <v>1.0</v>
      </c>
    </row>
    <row r="8002">
      <c r="A8002" s="380" t="s">
        <v>8876</v>
      </c>
      <c r="B8002" s="380" t="str">
        <f>IFERROR(__xludf.DUMMYFUNCTION("""COMPUTED_VALUE"""),"Abrazadera Cremallera 104")</f>
        <v>Abrazadera Cremallera 104</v>
      </c>
      <c r="C8002" s="380" t="str">
        <f>IFERROR(__xludf.DUMMYFUNCTION("""COMPUTED_VALUE"""),"70003418")</f>
        <v>70003418</v>
      </c>
      <c r="D8002" s="380" t="s">
        <v>767</v>
      </c>
      <c r="E8002" s="380" t="s">
        <v>786</v>
      </c>
      <c r="F8002" s="380" t="s">
        <v>989</v>
      </c>
      <c r="G8002" s="380" t="s">
        <v>1267</v>
      </c>
      <c r="H8002" s="380" t="s">
        <v>771</v>
      </c>
      <c r="I8002" s="380" t="s">
        <v>788</v>
      </c>
      <c r="J8002" s="380" t="s">
        <v>773</v>
      </c>
      <c r="K8002" s="381">
        <v>0.0</v>
      </c>
      <c r="L8002" s="382">
        <v>1.0</v>
      </c>
    </row>
    <row r="8003">
      <c r="A8003" s="380" t="s">
        <v>8877</v>
      </c>
      <c r="B8003" s="380" t="str">
        <f>IFERROR(__xludf.DUMMYFUNCTION("""COMPUTED_VALUE"""),"Abrazadera Cremallera 128")</f>
        <v>Abrazadera Cremallera 128</v>
      </c>
      <c r="C8003" s="380" t="str">
        <f>IFERROR(__xludf.DUMMYFUNCTION("""COMPUTED_VALUE"""),"70003419")</f>
        <v>70003419</v>
      </c>
      <c r="D8003" s="380" t="s">
        <v>767</v>
      </c>
      <c r="E8003" s="380" t="s">
        <v>786</v>
      </c>
      <c r="F8003" s="380" t="s">
        <v>989</v>
      </c>
      <c r="G8003" s="380" t="s">
        <v>1267</v>
      </c>
      <c r="H8003" s="380" t="s">
        <v>771</v>
      </c>
      <c r="I8003" s="380" t="s">
        <v>788</v>
      </c>
      <c r="J8003" s="380" t="s">
        <v>773</v>
      </c>
      <c r="K8003" s="381">
        <v>0.0</v>
      </c>
      <c r="L8003" s="382">
        <v>1.0</v>
      </c>
    </row>
    <row r="8004">
      <c r="A8004" s="380" t="s">
        <v>8878</v>
      </c>
      <c r="B8004" s="380" t="str">
        <f>IFERROR(__xludf.DUMMYFUNCTION("""COMPUTED_VALUE"""),"Racor Codo B69R 90° 1/8 Sinfle X 4mm Npt")</f>
        <v>Racor Codo B69R 90° 1/8 Sinfle X 4mm Npt</v>
      </c>
      <c r="C8004" s="380" t="str">
        <f>IFERROR(__xludf.DUMMYFUNCTION("""COMPUTED_VALUE"""),"70003420")</f>
        <v>70003420</v>
      </c>
      <c r="D8004" s="380" t="s">
        <v>767</v>
      </c>
      <c r="E8004" s="380" t="s">
        <v>786</v>
      </c>
      <c r="F8004" s="380" t="s">
        <v>989</v>
      </c>
      <c r="G8004" s="380" t="s">
        <v>1267</v>
      </c>
      <c r="H8004" s="380" t="s">
        <v>771</v>
      </c>
      <c r="I8004" s="380" t="s">
        <v>788</v>
      </c>
      <c r="J8004" s="380" t="s">
        <v>773</v>
      </c>
      <c r="K8004" s="381">
        <v>0.0</v>
      </c>
      <c r="L8004" s="382">
        <v>1.0</v>
      </c>
    </row>
    <row r="8005">
      <c r="A8005" s="380" t="s">
        <v>8879</v>
      </c>
      <c r="B8005" s="380" t="str">
        <f>IFERROR(__xludf.DUMMYFUNCTION("""COMPUTED_VALUE"""),"Varilla Medid Aceite R Master 200676299")</f>
        <v>Varilla Medid Aceite R Master 200676299</v>
      </c>
      <c r="C8005" s="380" t="str">
        <f>IFERROR(__xludf.DUMMYFUNCTION("""COMPUTED_VALUE"""),"70003421")</f>
        <v>70003421</v>
      </c>
      <c r="D8005" s="380" t="s">
        <v>767</v>
      </c>
      <c r="E8005" s="380" t="s">
        <v>786</v>
      </c>
      <c r="F8005" s="380" t="s">
        <v>787</v>
      </c>
      <c r="G8005" s="380" t="s">
        <v>1267</v>
      </c>
      <c r="H8005" s="380" t="s">
        <v>771</v>
      </c>
      <c r="I8005" s="380" t="s">
        <v>788</v>
      </c>
      <c r="J8005" s="380" t="s">
        <v>773</v>
      </c>
      <c r="K8005" s="381">
        <v>0.0</v>
      </c>
      <c r="L8005" s="382">
        <v>1.0</v>
      </c>
    </row>
    <row r="8006">
      <c r="A8006" s="380" t="s">
        <v>8880</v>
      </c>
      <c r="B8006" s="380" t="str">
        <f>IFERROR(__xludf.DUMMYFUNCTION("""COMPUTED_VALUE"""),"Radiador Agua Motor Eagle 2591560C91")</f>
        <v>Radiador Agua Motor Eagle 2591560C91</v>
      </c>
      <c r="C8006" s="380" t="str">
        <f>IFERROR(__xludf.DUMMYFUNCTION("""COMPUTED_VALUE"""),"70003422")</f>
        <v>70003422</v>
      </c>
      <c r="D8006" s="380" t="s">
        <v>767</v>
      </c>
      <c r="E8006" s="380" t="s">
        <v>786</v>
      </c>
      <c r="F8006" s="380" t="s">
        <v>787</v>
      </c>
      <c r="G8006" s="380" t="s">
        <v>1267</v>
      </c>
      <c r="H8006" s="380" t="s">
        <v>771</v>
      </c>
      <c r="I8006" s="380" t="s">
        <v>788</v>
      </c>
      <c r="J8006" s="380" t="s">
        <v>773</v>
      </c>
      <c r="K8006" s="381">
        <v>0.0</v>
      </c>
      <c r="L8006" s="382">
        <v>1.0</v>
      </c>
    </row>
    <row r="8007">
      <c r="A8007" s="380" t="s">
        <v>8881</v>
      </c>
      <c r="B8007" s="380" t="str">
        <f>IFERROR(__xludf.DUMMYFUNCTION("""COMPUTED_VALUE"""),"Enfriadora Aceite Nkr Rewar 8982704970")</f>
        <v>Enfriadora Aceite Nkr Rewar 8982704970</v>
      </c>
      <c r="C8007" s="380" t="str">
        <f>IFERROR(__xludf.DUMMYFUNCTION("""COMPUTED_VALUE"""),"70003423")</f>
        <v>70003423</v>
      </c>
      <c r="D8007" s="380" t="s">
        <v>767</v>
      </c>
      <c r="E8007" s="380" t="s">
        <v>786</v>
      </c>
      <c r="F8007" s="380" t="s">
        <v>787</v>
      </c>
      <c r="G8007" s="380" t="s">
        <v>1267</v>
      </c>
      <c r="H8007" s="380" t="s">
        <v>771</v>
      </c>
      <c r="I8007" s="380" t="s">
        <v>788</v>
      </c>
      <c r="J8007" s="380" t="s">
        <v>773</v>
      </c>
      <c r="K8007" s="381">
        <v>0.0</v>
      </c>
      <c r="L8007" s="382">
        <v>1.0</v>
      </c>
    </row>
    <row r="8008">
      <c r="A8008" s="380" t="s">
        <v>8882</v>
      </c>
      <c r="B8008" s="380" t="str">
        <f>IFERROR(__xludf.DUMMYFUNCTION("""COMPUTED_VALUE"""),"Tubo Retor Riel Inyec Nkr Rew 8980096990")</f>
        <v>Tubo Retor Riel Inyec Nkr Rew 8980096990</v>
      </c>
      <c r="C8008" s="380" t="str">
        <f>IFERROR(__xludf.DUMMYFUNCTION("""COMPUTED_VALUE"""),"70003424")</f>
        <v>70003424</v>
      </c>
      <c r="D8008" s="380" t="s">
        <v>767</v>
      </c>
      <c r="E8008" s="380" t="s">
        <v>786</v>
      </c>
      <c r="F8008" s="380" t="s">
        <v>787</v>
      </c>
      <c r="G8008" s="380" t="s">
        <v>1267</v>
      </c>
      <c r="H8008" s="380" t="s">
        <v>771</v>
      </c>
      <c r="I8008" s="380" t="s">
        <v>788</v>
      </c>
      <c r="J8008" s="380" t="s">
        <v>773</v>
      </c>
      <c r="K8008" s="381">
        <v>0.0</v>
      </c>
      <c r="L8008" s="382">
        <v>1.0</v>
      </c>
    </row>
    <row r="8009">
      <c r="A8009" s="380" t="s">
        <v>8883</v>
      </c>
      <c r="B8009" s="380" t="str">
        <f>IFERROR(__xludf.DUMMYFUNCTION("""COMPUTED_VALUE"""),"Piston Motor Std N200 90002783")</f>
        <v>Piston Motor Std N200 90002783</v>
      </c>
      <c r="C8009" s="380" t="str">
        <f>IFERROR(__xludf.DUMMYFUNCTION("""COMPUTED_VALUE"""),"70003425")</f>
        <v>70003425</v>
      </c>
      <c r="D8009" s="380" t="s">
        <v>767</v>
      </c>
      <c r="E8009" s="380" t="s">
        <v>786</v>
      </c>
      <c r="F8009" s="380" t="s">
        <v>787</v>
      </c>
      <c r="G8009" s="380" t="s">
        <v>1267</v>
      </c>
      <c r="H8009" s="380" t="s">
        <v>771</v>
      </c>
      <c r="I8009" s="380" t="s">
        <v>788</v>
      </c>
      <c r="J8009" s="380" t="s">
        <v>773</v>
      </c>
      <c r="K8009" s="381">
        <v>0.0</v>
      </c>
      <c r="L8009" s="382">
        <v>1.0</v>
      </c>
    </row>
    <row r="8010">
      <c r="A8010" s="380" t="s">
        <v>8884</v>
      </c>
      <c r="B8010" s="380" t="str">
        <f>IFERROR(__xludf.DUMMYFUNCTION("""COMPUTED_VALUE"""),"Guaya Acelerador Foton MV5 5946027533")</f>
        <v>Guaya Acelerador Foton MV5 5946027533</v>
      </c>
      <c r="C8010" s="380" t="str">
        <f>IFERROR(__xludf.DUMMYFUNCTION("""COMPUTED_VALUE"""),"70003426")</f>
        <v>70003426</v>
      </c>
      <c r="D8010" s="380" t="s">
        <v>767</v>
      </c>
      <c r="E8010" s="380" t="s">
        <v>786</v>
      </c>
      <c r="F8010" s="380" t="s">
        <v>787</v>
      </c>
      <c r="G8010" s="380" t="s">
        <v>1267</v>
      </c>
      <c r="H8010" s="380" t="s">
        <v>771</v>
      </c>
      <c r="I8010" s="380" t="s">
        <v>788</v>
      </c>
      <c r="J8010" s="380" t="s">
        <v>773</v>
      </c>
      <c r="K8010" s="381">
        <v>0.0</v>
      </c>
      <c r="L8010" s="382">
        <v>1.0</v>
      </c>
    </row>
    <row r="8011">
      <c r="A8011" s="380" t="s">
        <v>8885</v>
      </c>
      <c r="B8011" s="380" t="str">
        <f>IFERROR(__xludf.DUMMYFUNCTION("""COMPUTED_VALUE"""),"Palanca Freno Parqu Foton MV5 1023488037")</f>
        <v>Palanca Freno Parqu Foton MV5 1023488037</v>
      </c>
      <c r="C8011" s="380" t="str">
        <f>IFERROR(__xludf.DUMMYFUNCTION("""COMPUTED_VALUE"""),"70003427")</f>
        <v>70003427</v>
      </c>
      <c r="D8011" s="380" t="s">
        <v>767</v>
      </c>
      <c r="E8011" s="380" t="s">
        <v>786</v>
      </c>
      <c r="F8011" s="380" t="s">
        <v>1017</v>
      </c>
      <c r="G8011" s="380" t="s">
        <v>1267</v>
      </c>
      <c r="H8011" s="380" t="s">
        <v>771</v>
      </c>
      <c r="I8011" s="380" t="s">
        <v>788</v>
      </c>
      <c r="J8011" s="380" t="s">
        <v>773</v>
      </c>
      <c r="K8011" s="381">
        <v>0.0</v>
      </c>
      <c r="L8011" s="382">
        <v>1.0</v>
      </c>
    </row>
    <row r="8012">
      <c r="A8012" s="380" t="s">
        <v>8886</v>
      </c>
      <c r="B8012" s="380" t="str">
        <f>IFERROR(__xludf.DUMMYFUNCTION("""COMPUTED_VALUE"""),"Camara Tras Der Fre Foton1120 1023775274")</f>
        <v>Camara Tras Der Fre Foton1120 1023775274</v>
      </c>
      <c r="C8012" s="380" t="str">
        <f>IFERROR(__xludf.DUMMYFUNCTION("""COMPUTED_VALUE"""),"70003428")</f>
        <v>70003428</v>
      </c>
      <c r="D8012" s="380" t="s">
        <v>767</v>
      </c>
      <c r="E8012" s="380" t="s">
        <v>786</v>
      </c>
      <c r="F8012" s="380" t="s">
        <v>1017</v>
      </c>
      <c r="G8012" s="380" t="s">
        <v>1267</v>
      </c>
      <c r="H8012" s="380" t="s">
        <v>771</v>
      </c>
      <c r="I8012" s="380" t="s">
        <v>788</v>
      </c>
      <c r="J8012" s="380" t="s">
        <v>773</v>
      </c>
      <c r="K8012" s="381">
        <v>0.0</v>
      </c>
      <c r="L8012" s="382">
        <v>1.0</v>
      </c>
    </row>
    <row r="8013">
      <c r="A8013" s="380" t="s">
        <v>8887</v>
      </c>
      <c r="B8013" s="380" t="str">
        <f>IFERROR(__xludf.DUMMYFUNCTION("""COMPUTED_VALUE"""),"Disco De Freno Fotom 1030 5946451734")</f>
        <v>Disco De Freno Fotom 1030 5946451734</v>
      </c>
      <c r="C8013" s="380" t="str">
        <f>IFERROR(__xludf.DUMMYFUNCTION("""COMPUTED_VALUE"""),"70003429")</f>
        <v>70003429</v>
      </c>
      <c r="D8013" s="380" t="s">
        <v>767</v>
      </c>
      <c r="E8013" s="380" t="s">
        <v>786</v>
      </c>
      <c r="F8013" s="380" t="s">
        <v>1017</v>
      </c>
      <c r="G8013" s="380" t="s">
        <v>1267</v>
      </c>
      <c r="H8013" s="380" t="s">
        <v>771</v>
      </c>
      <c r="I8013" s="380" t="s">
        <v>788</v>
      </c>
      <c r="J8013" s="380" t="s">
        <v>773</v>
      </c>
      <c r="K8013" s="381">
        <v>0.0</v>
      </c>
      <c r="L8013" s="382">
        <v>1.0</v>
      </c>
    </row>
    <row r="8014">
      <c r="A8014" s="380" t="s">
        <v>8888</v>
      </c>
      <c r="B8014" s="380" t="str">
        <f>IFERROR(__xludf.DUMMYFUNCTION("""COMPUTED_VALUE"""),"Juego Pastas Dels Doonfeng 7570")</f>
        <v>Juego Pastas Dels Doonfeng 7570</v>
      </c>
      <c r="C8014" s="380" t="str">
        <f>IFERROR(__xludf.DUMMYFUNCTION("""COMPUTED_VALUE"""),"70003430")</f>
        <v>70003430</v>
      </c>
      <c r="D8014" s="380" t="s">
        <v>767</v>
      </c>
      <c r="E8014" s="380" t="s">
        <v>786</v>
      </c>
      <c r="F8014" s="380" t="s">
        <v>1017</v>
      </c>
      <c r="G8014" s="380" t="s">
        <v>1267</v>
      </c>
      <c r="H8014" s="380" t="s">
        <v>771</v>
      </c>
      <c r="I8014" s="380" t="s">
        <v>788</v>
      </c>
      <c r="J8014" s="380" t="s">
        <v>773</v>
      </c>
      <c r="K8014" s="381">
        <v>0.0</v>
      </c>
      <c r="L8014" s="382">
        <v>1.0</v>
      </c>
    </row>
    <row r="8015">
      <c r="A8015" s="380" t="s">
        <v>8889</v>
      </c>
      <c r="B8015" s="380" t="str">
        <f>IFERROR(__xludf.DUMMYFUNCTION("""COMPUTED_VALUE"""),"Cilin Freno Del Der Jac Jhr D84013501340")</f>
        <v>Cilin Freno Del Der Jac Jhr D84013501340</v>
      </c>
      <c r="C8015" s="380" t="str">
        <f>IFERROR(__xludf.DUMMYFUNCTION("""COMPUTED_VALUE"""),"70003431")</f>
        <v>70003431</v>
      </c>
      <c r="D8015" s="380" t="s">
        <v>767</v>
      </c>
      <c r="E8015" s="380" t="s">
        <v>786</v>
      </c>
      <c r="F8015" s="380" t="s">
        <v>1017</v>
      </c>
      <c r="G8015" s="380" t="s">
        <v>1267</v>
      </c>
      <c r="H8015" s="380" t="s">
        <v>771</v>
      </c>
      <c r="I8015" s="380" t="s">
        <v>788</v>
      </c>
      <c r="J8015" s="380" t="s">
        <v>773</v>
      </c>
      <c r="K8015" s="381">
        <v>0.0</v>
      </c>
      <c r="L8015" s="382">
        <v>1.0</v>
      </c>
    </row>
    <row r="8016">
      <c r="A8016" s="380" t="s">
        <v>8890</v>
      </c>
      <c r="B8016" s="380" t="str">
        <f>IFERROR(__xludf.DUMMYFUNCTION("""COMPUTED_VALUE"""),"Tornillo Tensor Trailer COA0163-01")</f>
        <v>Tornillo Tensor Trailer COA0163-01</v>
      </c>
      <c r="C8016" s="380" t="str">
        <f>IFERROR(__xludf.DUMMYFUNCTION("""COMPUTED_VALUE"""),"70003432")</f>
        <v>70003432</v>
      </c>
      <c r="D8016" s="380" t="s">
        <v>767</v>
      </c>
      <c r="E8016" s="380" t="s">
        <v>786</v>
      </c>
      <c r="F8016" s="380" t="s">
        <v>1017</v>
      </c>
      <c r="G8016" s="380" t="s">
        <v>1267</v>
      </c>
      <c r="H8016" s="380" t="s">
        <v>771</v>
      </c>
      <c r="I8016" s="380" t="s">
        <v>788</v>
      </c>
      <c r="J8016" s="380" t="s">
        <v>773</v>
      </c>
      <c r="K8016" s="381">
        <v>0.0</v>
      </c>
      <c r="L8016" s="382">
        <v>1.0</v>
      </c>
    </row>
    <row r="8017">
      <c r="A8017" s="380" t="s">
        <v>8891</v>
      </c>
      <c r="B8017" s="380" t="str">
        <f>IFERROR(__xludf.DUMMYFUNCTION("""COMPUTED_VALUE"""),"Cilind Fre Del Der Jac Jhr D84013501040")</f>
        <v>Cilind Fre Del Der Jac Jhr D84013501040</v>
      </c>
      <c r="C8017" s="380" t="str">
        <f>IFERROR(__xludf.DUMMYFUNCTION("""COMPUTED_VALUE"""),"70003433")</f>
        <v>70003433</v>
      </c>
      <c r="D8017" s="380" t="s">
        <v>767</v>
      </c>
      <c r="E8017" s="380" t="s">
        <v>786</v>
      </c>
      <c r="F8017" s="380" t="s">
        <v>1017</v>
      </c>
      <c r="G8017" s="380" t="s">
        <v>1267</v>
      </c>
      <c r="H8017" s="380" t="s">
        <v>771</v>
      </c>
      <c r="I8017" s="380" t="s">
        <v>788</v>
      </c>
      <c r="J8017" s="380" t="s">
        <v>773</v>
      </c>
      <c r="K8017" s="381">
        <v>291550.0</v>
      </c>
      <c r="L8017" s="382">
        <v>1.0</v>
      </c>
    </row>
    <row r="8018">
      <c r="A8018" s="380" t="s">
        <v>8892</v>
      </c>
      <c r="B8018" s="380" t="str">
        <f>IFERROR(__xludf.DUMMYFUNCTION("""COMPUTED_VALUE"""),"Campana Tras Foton 1039 1023777292")</f>
        <v>Campana Tras Foton 1039 1023777292</v>
      </c>
      <c r="C8018" s="380" t="str">
        <f>IFERROR(__xludf.DUMMYFUNCTION("""COMPUTED_VALUE"""),"70003434")</f>
        <v>70003434</v>
      </c>
      <c r="D8018" s="380" t="s">
        <v>767</v>
      </c>
      <c r="E8018" s="380" t="s">
        <v>786</v>
      </c>
      <c r="F8018" s="380" t="s">
        <v>1017</v>
      </c>
      <c r="G8018" s="380" t="s">
        <v>1267</v>
      </c>
      <c r="H8018" s="380" t="s">
        <v>771</v>
      </c>
      <c r="I8018" s="380" t="s">
        <v>788</v>
      </c>
      <c r="J8018" s="380" t="s">
        <v>773</v>
      </c>
      <c r="K8018" s="381">
        <v>186933.0</v>
      </c>
      <c r="L8018" s="382">
        <v>1.0</v>
      </c>
    </row>
    <row r="8019">
      <c r="A8019" s="380" t="s">
        <v>8893</v>
      </c>
      <c r="B8019" s="380" t="str">
        <f>IFERROR(__xludf.DUMMYFUNCTION("""COMPUTED_VALUE"""),"Cili Fre Tras Izq C P Fot1039 5946321587")</f>
        <v>Cili Fre Tras Izq C P Fot1039 5946321587</v>
      </c>
      <c r="C8019" s="380" t="str">
        <f>IFERROR(__xludf.DUMMYFUNCTION("""COMPUTED_VALUE"""),"70003435")</f>
        <v>70003435</v>
      </c>
      <c r="D8019" s="380" t="s">
        <v>767</v>
      </c>
      <c r="E8019" s="380" t="s">
        <v>786</v>
      </c>
      <c r="F8019" s="380" t="s">
        <v>1017</v>
      </c>
      <c r="G8019" s="380" t="s">
        <v>1267</v>
      </c>
      <c r="H8019" s="380" t="s">
        <v>771</v>
      </c>
      <c r="I8019" s="380" t="s">
        <v>788</v>
      </c>
      <c r="J8019" s="380" t="s">
        <v>773</v>
      </c>
      <c r="K8019" s="381">
        <v>0.0</v>
      </c>
      <c r="L8019" s="382">
        <v>1.0</v>
      </c>
    </row>
    <row r="8020">
      <c r="A8020" s="380" t="s">
        <v>8894</v>
      </c>
      <c r="B8020" s="380" t="str">
        <f>IFERROR(__xludf.DUMMYFUNCTION("""COMPUTED_VALUE"""),"Disco Freno Del Der Jac Jhr 3501020D84")</f>
        <v>Disco Freno Del Der Jac Jhr 3501020D84</v>
      </c>
      <c r="C8020" s="380" t="str">
        <f>IFERROR(__xludf.DUMMYFUNCTION("""COMPUTED_VALUE"""),"70003436")</f>
        <v>70003436</v>
      </c>
      <c r="D8020" s="380" t="s">
        <v>767</v>
      </c>
      <c r="E8020" s="380" t="s">
        <v>786</v>
      </c>
      <c r="F8020" s="380" t="s">
        <v>1017</v>
      </c>
      <c r="G8020" s="380" t="s">
        <v>1267</v>
      </c>
      <c r="H8020" s="380" t="s">
        <v>771</v>
      </c>
      <c r="I8020" s="380" t="s">
        <v>788</v>
      </c>
      <c r="J8020" s="380" t="s">
        <v>773</v>
      </c>
      <c r="K8020" s="381">
        <v>0.0</v>
      </c>
      <c r="L8020" s="382">
        <v>1.0</v>
      </c>
    </row>
    <row r="8021">
      <c r="A8021" s="380" t="s">
        <v>8895</v>
      </c>
      <c r="B8021" s="380" t="str">
        <f>IFERROR(__xludf.DUMMYFUNCTION("""COMPUTED_VALUE"""),"Disco Freno Del Izq Jac Jhr 3501010D84")</f>
        <v>Disco Freno Del Izq Jac Jhr 3501010D84</v>
      </c>
      <c r="C8021" s="380" t="str">
        <f>IFERROR(__xludf.DUMMYFUNCTION("""COMPUTED_VALUE"""),"70003437")</f>
        <v>70003437</v>
      </c>
      <c r="D8021" s="380" t="s">
        <v>767</v>
      </c>
      <c r="E8021" s="380" t="s">
        <v>786</v>
      </c>
      <c r="F8021" s="380" t="s">
        <v>1017</v>
      </c>
      <c r="G8021" s="380" t="s">
        <v>1267</v>
      </c>
      <c r="H8021" s="380" t="s">
        <v>771</v>
      </c>
      <c r="I8021" s="380" t="s">
        <v>788</v>
      </c>
      <c r="J8021" s="380" t="s">
        <v>773</v>
      </c>
      <c r="K8021" s="381">
        <v>0.0</v>
      </c>
      <c r="L8021" s="382">
        <v>1.0</v>
      </c>
    </row>
    <row r="8022">
      <c r="A8022" s="380" t="s">
        <v>8896</v>
      </c>
      <c r="B8022" s="380" t="str">
        <f>IFERROR(__xludf.DUMMYFUNCTION("""COMPUTED_VALUE"""),"Rache Freno Tras Izq Jac 1120 BV00010410")</f>
        <v>Rache Freno Tras Izq Jac 1120 BV00010410</v>
      </c>
      <c r="C8022" s="380" t="str">
        <f>IFERROR(__xludf.DUMMYFUNCTION("""COMPUTED_VALUE"""),"70003438")</f>
        <v>70003438</v>
      </c>
      <c r="D8022" s="380" t="s">
        <v>767</v>
      </c>
      <c r="E8022" s="380" t="s">
        <v>786</v>
      </c>
      <c r="F8022" s="380" t="s">
        <v>1017</v>
      </c>
      <c r="G8022" s="380" t="s">
        <v>1267</v>
      </c>
      <c r="H8022" s="380" t="s">
        <v>771</v>
      </c>
      <c r="I8022" s="380" t="s">
        <v>788</v>
      </c>
      <c r="J8022" s="380" t="s">
        <v>773</v>
      </c>
      <c r="K8022" s="381">
        <v>0.0</v>
      </c>
      <c r="L8022" s="382">
        <v>1.0</v>
      </c>
    </row>
    <row r="8023">
      <c r="A8023" s="380" t="s">
        <v>8897</v>
      </c>
      <c r="B8023" s="380" t="str">
        <f>IFERROR(__xludf.DUMMYFUNCTION("""COMPUTED_VALUE"""),"Racor Recto B68r 1/4 Sinflex X 1/8 Npt")</f>
        <v>Racor Recto B68r 1/4 Sinflex X 1/8 Npt</v>
      </c>
      <c r="C8023" s="380" t="str">
        <f>IFERROR(__xludf.DUMMYFUNCTION("""COMPUTED_VALUE"""),"70003441")</f>
        <v>70003441</v>
      </c>
      <c r="D8023" s="380" t="s">
        <v>767</v>
      </c>
      <c r="E8023" s="380" t="s">
        <v>786</v>
      </c>
      <c r="F8023" s="380" t="s">
        <v>989</v>
      </c>
      <c r="G8023" s="380" t="s">
        <v>1267</v>
      </c>
      <c r="H8023" s="380" t="s">
        <v>771</v>
      </c>
      <c r="I8023" s="380" t="s">
        <v>788</v>
      </c>
      <c r="J8023" s="380" t="s">
        <v>773</v>
      </c>
      <c r="K8023" s="381">
        <v>0.0</v>
      </c>
      <c r="L8023" s="382">
        <v>1.0</v>
      </c>
    </row>
    <row r="8024">
      <c r="A8024" s="380" t="s">
        <v>8898</v>
      </c>
      <c r="B8024" s="380" t="str">
        <f>IFERROR(__xludf.DUMMYFUNCTION("""COMPUTED_VALUE"""),"Racor Codo B68r 3/8 Sinflex X 3/8 Npt")</f>
        <v>Racor Codo B68r 3/8 Sinflex X 3/8 Npt</v>
      </c>
      <c r="C8024" s="380" t="str">
        <f>IFERROR(__xludf.DUMMYFUNCTION("""COMPUTED_VALUE"""),"70003442")</f>
        <v>70003442</v>
      </c>
      <c r="D8024" s="380" t="s">
        <v>767</v>
      </c>
      <c r="E8024" s="380" t="s">
        <v>786</v>
      </c>
      <c r="F8024" s="380" t="s">
        <v>989</v>
      </c>
      <c r="G8024" s="380" t="s">
        <v>1267</v>
      </c>
      <c r="H8024" s="380" t="s">
        <v>771</v>
      </c>
      <c r="I8024" s="380" t="s">
        <v>788</v>
      </c>
      <c r="J8024" s="380" t="s">
        <v>773</v>
      </c>
      <c r="K8024" s="381">
        <v>0.0</v>
      </c>
      <c r="L8024" s="382">
        <v>1.0</v>
      </c>
    </row>
    <row r="8025">
      <c r="A8025" s="380" t="s">
        <v>8899</v>
      </c>
      <c r="B8025" s="380" t="str">
        <f>IFERROR(__xludf.DUMMYFUNCTION("""COMPUTED_VALUE"""),"Bocin Del Izq Renault Master")</f>
        <v>Bocin Del Izq Renault Master</v>
      </c>
      <c r="C8025" s="380" t="str">
        <f>IFERROR(__xludf.DUMMYFUNCTION("""COMPUTED_VALUE"""),"70003443")</f>
        <v>70003443</v>
      </c>
      <c r="D8025" s="380" t="s">
        <v>767</v>
      </c>
      <c r="E8025" s="380" t="s">
        <v>786</v>
      </c>
      <c r="F8025" s="380" t="s">
        <v>1017</v>
      </c>
      <c r="G8025" s="380" t="s">
        <v>1267</v>
      </c>
      <c r="H8025" s="380" t="s">
        <v>771</v>
      </c>
      <c r="I8025" s="380" t="s">
        <v>788</v>
      </c>
      <c r="J8025" s="380" t="s">
        <v>773</v>
      </c>
      <c r="K8025" s="381">
        <v>0.0</v>
      </c>
      <c r="L8025" s="382">
        <v>1.0</v>
      </c>
    </row>
    <row r="8026">
      <c r="A8026" s="380" t="s">
        <v>8900</v>
      </c>
      <c r="B8026" s="380" t="str">
        <f>IFERROR(__xludf.DUMMYFUNCTION("""COMPUTED_VALUE"""),"Campana Freno Del Jac 1120 2100320400")</f>
        <v>Campana Freno Del Jac 1120 2100320400</v>
      </c>
      <c r="C8026" s="380" t="str">
        <f>IFERROR(__xludf.DUMMYFUNCTION("""COMPUTED_VALUE"""),"70003444")</f>
        <v>70003444</v>
      </c>
      <c r="D8026" s="380" t="s">
        <v>767</v>
      </c>
      <c r="E8026" s="380" t="s">
        <v>786</v>
      </c>
      <c r="F8026" s="380" t="s">
        <v>1017</v>
      </c>
      <c r="G8026" s="380" t="s">
        <v>1267</v>
      </c>
      <c r="H8026" s="380" t="s">
        <v>771</v>
      </c>
      <c r="I8026" s="380" t="s">
        <v>788</v>
      </c>
      <c r="J8026" s="380" t="s">
        <v>773</v>
      </c>
      <c r="K8026" s="381">
        <v>0.0</v>
      </c>
      <c r="L8026" s="382">
        <v>1.0</v>
      </c>
    </row>
    <row r="8027">
      <c r="A8027" s="380" t="s">
        <v>8901</v>
      </c>
      <c r="B8027" s="380" t="str">
        <f>IFERROR(__xludf.DUMMYFUNCTION("""COMPUTED_VALUE"""),"Cili Fre Tub Sang Del Fot1039 5946484862")</f>
        <v>Cili Fre Tub Sang Del Fot1039 5946484862</v>
      </c>
      <c r="C8027" s="380" t="str">
        <f>IFERROR(__xludf.DUMMYFUNCTION("""COMPUTED_VALUE"""),"70003445")</f>
        <v>70003445</v>
      </c>
      <c r="D8027" s="380" t="s">
        <v>767</v>
      </c>
      <c r="E8027" s="380" t="s">
        <v>786</v>
      </c>
      <c r="F8027" s="380" t="s">
        <v>1017</v>
      </c>
      <c r="G8027" s="380" t="s">
        <v>1267</v>
      </c>
      <c r="H8027" s="380" t="s">
        <v>771</v>
      </c>
      <c r="I8027" s="380" t="s">
        <v>788</v>
      </c>
      <c r="J8027" s="380" t="s">
        <v>773</v>
      </c>
      <c r="K8027" s="381">
        <v>198640.0</v>
      </c>
      <c r="L8027" s="382">
        <v>1.0</v>
      </c>
    </row>
    <row r="8028">
      <c r="A8028" s="380" t="s">
        <v>8902</v>
      </c>
      <c r="B8028" s="380" t="str">
        <f>IFERROR(__xludf.DUMMYFUNCTION("""COMPUTED_VALUE"""),"Kit Chu Cilin Fre Del Fot1039 5946037945")</f>
        <v>Kit Chu Cilin Fre Del Fot1039 5946037945</v>
      </c>
      <c r="C8028" s="380" t="str">
        <f>IFERROR(__xludf.DUMMYFUNCTION("""COMPUTED_VALUE"""),"70003446")</f>
        <v>70003446</v>
      </c>
      <c r="D8028" s="380" t="s">
        <v>767</v>
      </c>
      <c r="E8028" s="380" t="s">
        <v>786</v>
      </c>
      <c r="F8028" s="380" t="s">
        <v>1017</v>
      </c>
      <c r="G8028" s="380" t="s">
        <v>1267</v>
      </c>
      <c r="H8028" s="380" t="s">
        <v>771</v>
      </c>
      <c r="I8028" s="380" t="s">
        <v>788</v>
      </c>
      <c r="J8028" s="380" t="s">
        <v>773</v>
      </c>
      <c r="K8028" s="381">
        <v>25856.0</v>
      </c>
      <c r="L8028" s="382">
        <v>1.0</v>
      </c>
    </row>
    <row r="8029">
      <c r="A8029" s="380" t="s">
        <v>8903</v>
      </c>
      <c r="B8029" s="380" t="str">
        <f>IFERROR(__xludf.DUMMYFUNCTION("""COMPUTED_VALUE"""),"Disco De Freno MV3 Nl 7705946028073")</f>
        <v>Disco De Freno MV3 Nl 7705946028073</v>
      </c>
      <c r="C8029" s="380" t="str">
        <f>IFERROR(__xludf.DUMMYFUNCTION("""COMPUTED_VALUE"""),"70003447")</f>
        <v>70003447</v>
      </c>
      <c r="D8029" s="380" t="s">
        <v>767</v>
      </c>
      <c r="E8029" s="380" t="s">
        <v>786</v>
      </c>
      <c r="F8029" s="380" t="s">
        <v>1017</v>
      </c>
      <c r="G8029" s="380" t="s">
        <v>1267</v>
      </c>
      <c r="H8029" s="380" t="s">
        <v>771</v>
      </c>
      <c r="I8029" s="380" t="s">
        <v>788</v>
      </c>
      <c r="J8029" s="380" t="s">
        <v>773</v>
      </c>
      <c r="K8029" s="381">
        <v>0.0</v>
      </c>
      <c r="L8029" s="382">
        <v>1.0</v>
      </c>
    </row>
    <row r="8030">
      <c r="A8030" s="380" t="s">
        <v>8904</v>
      </c>
      <c r="B8030" s="380" t="str">
        <f>IFERROR(__xludf.DUMMYFUNCTION("""COMPUTED_VALUE"""),"Cilin Fren Del Rh Fot 1039 7705946484879")</f>
        <v>Cilin Fren Del Rh Fot 1039 7705946484879</v>
      </c>
      <c r="C8030" s="380" t="str">
        <f>IFERROR(__xludf.DUMMYFUNCTION("""COMPUTED_VALUE"""),"70003448")</f>
        <v>70003448</v>
      </c>
      <c r="D8030" s="380" t="s">
        <v>767</v>
      </c>
      <c r="E8030" s="380" t="s">
        <v>786</v>
      </c>
      <c r="F8030" s="380" t="s">
        <v>1017</v>
      </c>
      <c r="G8030" s="380" t="s">
        <v>1267</v>
      </c>
      <c r="H8030" s="380" t="s">
        <v>771</v>
      </c>
      <c r="I8030" s="380" t="s">
        <v>788</v>
      </c>
      <c r="J8030" s="380" t="s">
        <v>773</v>
      </c>
      <c r="K8030" s="381">
        <v>293698.0</v>
      </c>
      <c r="L8030" s="382">
        <v>1.0</v>
      </c>
    </row>
    <row r="8031">
      <c r="A8031" s="380" t="s">
        <v>8905</v>
      </c>
      <c r="B8031" s="380" t="str">
        <f>IFERROR(__xludf.DUMMYFUNCTION("""COMPUTED_VALUE"""),"Disco Freno MV5 Nl 7705946315050")</f>
        <v>Disco Freno MV5 Nl 7705946315050</v>
      </c>
      <c r="C8031" s="380" t="str">
        <f>IFERROR(__xludf.DUMMYFUNCTION("""COMPUTED_VALUE"""),"70003449")</f>
        <v>70003449</v>
      </c>
      <c r="D8031" s="380" t="s">
        <v>767</v>
      </c>
      <c r="E8031" s="380" t="s">
        <v>786</v>
      </c>
      <c r="F8031" s="380" t="s">
        <v>1017</v>
      </c>
      <c r="G8031" s="380" t="s">
        <v>1267</v>
      </c>
      <c r="H8031" s="380" t="s">
        <v>771</v>
      </c>
      <c r="I8031" s="380" t="s">
        <v>788</v>
      </c>
      <c r="J8031" s="380" t="s">
        <v>773</v>
      </c>
      <c r="K8031" s="381">
        <v>0.0</v>
      </c>
      <c r="L8031" s="382">
        <v>1.0</v>
      </c>
    </row>
    <row r="8032">
      <c r="A8032" s="380" t="s">
        <v>8906</v>
      </c>
      <c r="B8032" s="380" t="str">
        <f>IFERROR(__xludf.DUMMYFUNCTION("""COMPUTED_VALUE"""),"Bomba Alta Presion Nkr Rewar 8973815555")</f>
        <v>Bomba Alta Presion Nkr Rewar 8973815555</v>
      </c>
      <c r="C8032" s="380" t="str">
        <f>IFERROR(__xludf.DUMMYFUNCTION("""COMPUTED_VALUE"""),"70003450")</f>
        <v>70003450</v>
      </c>
      <c r="D8032" s="380" t="s">
        <v>767</v>
      </c>
      <c r="E8032" s="380" t="s">
        <v>786</v>
      </c>
      <c r="F8032" s="380" t="s">
        <v>1017</v>
      </c>
      <c r="G8032" s="380" t="s">
        <v>1267</v>
      </c>
      <c r="H8032" s="380" t="s">
        <v>771</v>
      </c>
      <c r="I8032" s="380" t="s">
        <v>788</v>
      </c>
      <c r="J8032" s="380" t="s">
        <v>773</v>
      </c>
      <c r="K8032" s="381">
        <v>0.0</v>
      </c>
      <c r="L8032" s="382">
        <v>1.0</v>
      </c>
    </row>
    <row r="8033">
      <c r="A8033" s="380" t="s">
        <v>8907</v>
      </c>
      <c r="B8033" s="380" t="str">
        <f>IFERROR(__xludf.DUMMYFUNCTION("""COMPUTED_VALUE"""),"Resorte Zapata Freno Eagle 2258H1230")</f>
        <v>Resorte Zapata Freno Eagle 2258H1230</v>
      </c>
      <c r="C8033" s="380" t="str">
        <f>IFERROR(__xludf.DUMMYFUNCTION("""COMPUTED_VALUE"""),"70003451")</f>
        <v>70003451</v>
      </c>
      <c r="D8033" s="380" t="s">
        <v>767</v>
      </c>
      <c r="E8033" s="380" t="s">
        <v>786</v>
      </c>
      <c r="F8033" s="380" t="s">
        <v>1017</v>
      </c>
      <c r="G8033" s="380" t="s">
        <v>1267</v>
      </c>
      <c r="H8033" s="380" t="s">
        <v>771</v>
      </c>
      <c r="I8033" s="380" t="s">
        <v>788</v>
      </c>
      <c r="J8033" s="380" t="s">
        <v>773</v>
      </c>
      <c r="K8033" s="381">
        <v>0.0</v>
      </c>
      <c r="L8033" s="382">
        <v>1.0</v>
      </c>
    </row>
    <row r="8034">
      <c r="A8034" s="380" t="s">
        <v>8908</v>
      </c>
      <c r="B8034" s="380" t="str">
        <f>IFERROR(__xludf.DUMMYFUNCTION("""COMPUTED_VALUE"""),"Perno Rda Tca Tras Fotón MV5 1023706407")</f>
        <v>Perno Rda Tca Tras Fotón MV5 1023706407</v>
      </c>
      <c r="C8034" s="380" t="str">
        <f>IFERROR(__xludf.DUMMYFUNCTION("""COMPUTED_VALUE"""),"70003452")</f>
        <v>70003452</v>
      </c>
      <c r="D8034" s="380" t="s">
        <v>767</v>
      </c>
      <c r="E8034" s="380" t="s">
        <v>786</v>
      </c>
      <c r="F8034" s="380" t="s">
        <v>1017</v>
      </c>
      <c r="G8034" s="380" t="s">
        <v>1267</v>
      </c>
      <c r="H8034" s="380" t="s">
        <v>771</v>
      </c>
      <c r="I8034" s="380" t="s">
        <v>788</v>
      </c>
      <c r="J8034" s="380" t="s">
        <v>773</v>
      </c>
      <c r="K8034" s="381">
        <v>22574.0</v>
      </c>
      <c r="L8034" s="382">
        <v>1.0</v>
      </c>
    </row>
    <row r="8035">
      <c r="A8035" s="380" t="s">
        <v>8909</v>
      </c>
      <c r="B8035" s="380" t="str">
        <f>IFERROR(__xludf.DUMMYFUNCTION("""COMPUTED_VALUE"""),"Juego Pastas Freno Del Hyundai")</f>
        <v>Juego Pastas Freno Del Hyundai</v>
      </c>
      <c r="C8035" s="380" t="str">
        <f>IFERROR(__xludf.DUMMYFUNCTION("""COMPUTED_VALUE"""),"70003453")</f>
        <v>70003453</v>
      </c>
      <c r="D8035" s="380" t="s">
        <v>767</v>
      </c>
      <c r="E8035" s="380" t="s">
        <v>786</v>
      </c>
      <c r="F8035" s="380" t="s">
        <v>1017</v>
      </c>
      <c r="G8035" s="380" t="s">
        <v>1267</v>
      </c>
      <c r="H8035" s="380" t="s">
        <v>771</v>
      </c>
      <c r="I8035" s="380" t="s">
        <v>788</v>
      </c>
      <c r="J8035" s="380" t="s">
        <v>773</v>
      </c>
      <c r="K8035" s="381">
        <v>0.0</v>
      </c>
      <c r="L8035" s="382">
        <v>1.0</v>
      </c>
    </row>
    <row r="8036">
      <c r="A8036" s="380" t="s">
        <v>8910</v>
      </c>
      <c r="B8036" s="380" t="str">
        <f>IFERROR(__xludf.DUMMYFUNCTION("""COMPUTED_VALUE"""),"Bocin Rueda Del KWhb-676")</f>
        <v>Bocin Rueda Del KWhb-676</v>
      </c>
      <c r="C8036" s="380" t="str">
        <f>IFERROR(__xludf.DUMMYFUNCTION("""COMPUTED_VALUE"""),"70003454")</f>
        <v>70003454</v>
      </c>
      <c r="D8036" s="380" t="s">
        <v>767</v>
      </c>
      <c r="E8036" s="380" t="s">
        <v>786</v>
      </c>
      <c r="F8036" s="380" t="s">
        <v>1017</v>
      </c>
      <c r="G8036" s="380" t="s">
        <v>1267</v>
      </c>
      <c r="H8036" s="380" t="s">
        <v>771</v>
      </c>
      <c r="I8036" s="380" t="s">
        <v>788</v>
      </c>
      <c r="J8036" s="380" t="s">
        <v>773</v>
      </c>
      <c r="K8036" s="381">
        <v>0.0</v>
      </c>
      <c r="L8036" s="382">
        <v>1.0</v>
      </c>
    </row>
    <row r="8037">
      <c r="A8037" s="380" t="s">
        <v>8911</v>
      </c>
      <c r="B8037" s="380" t="str">
        <f>IFERROR(__xludf.DUMMYFUNCTION("""COMPUTED_VALUE"""),"Cilind Freno Del Lh Foton1039 5946484862")</f>
        <v>Cilind Freno Del Lh Foton1039 5946484862</v>
      </c>
      <c r="C8037" s="380" t="str">
        <f>IFERROR(__xludf.DUMMYFUNCTION("""COMPUTED_VALUE"""),"70003455")</f>
        <v>70003455</v>
      </c>
      <c r="D8037" s="380" t="s">
        <v>767</v>
      </c>
      <c r="E8037" s="380" t="s">
        <v>786</v>
      </c>
      <c r="F8037" s="380" t="s">
        <v>1017</v>
      </c>
      <c r="G8037" s="380" t="s">
        <v>1267</v>
      </c>
      <c r="H8037" s="380" t="s">
        <v>771</v>
      </c>
      <c r="I8037" s="380" t="s">
        <v>788</v>
      </c>
      <c r="J8037" s="380" t="s">
        <v>773</v>
      </c>
      <c r="K8037" s="381">
        <v>0.0</v>
      </c>
      <c r="L8037" s="382">
        <v>1.0</v>
      </c>
    </row>
    <row r="8038">
      <c r="A8038" s="380" t="s">
        <v>8912</v>
      </c>
      <c r="B8038" s="380" t="str">
        <f>IFERROR(__xludf.DUMMYFUNCTION("""COMPUTED_VALUE"""),"Conjunto Freno De Parqueo Jac R170171600")</f>
        <v>Conjunto Freno De Parqueo Jac R170171600</v>
      </c>
      <c r="C8038" s="380" t="str">
        <f>IFERROR(__xludf.DUMMYFUNCTION("""COMPUTED_VALUE"""),"70003456")</f>
        <v>70003456</v>
      </c>
      <c r="D8038" s="380" t="s">
        <v>767</v>
      </c>
      <c r="E8038" s="380" t="s">
        <v>786</v>
      </c>
      <c r="F8038" s="380" t="s">
        <v>1017</v>
      </c>
      <c r="G8038" s="380" t="s">
        <v>1267</v>
      </c>
      <c r="H8038" s="380" t="s">
        <v>771</v>
      </c>
      <c r="I8038" s="380" t="s">
        <v>788</v>
      </c>
      <c r="J8038" s="380" t="s">
        <v>773</v>
      </c>
      <c r="K8038" s="381">
        <v>0.0</v>
      </c>
      <c r="L8038" s="382">
        <v>1.0</v>
      </c>
    </row>
    <row r="8039">
      <c r="A8039" s="380" t="s">
        <v>8913</v>
      </c>
      <c r="B8039" s="380" t="str">
        <f>IFERROR(__xludf.DUMMYFUNCTION("""COMPUTED_VALUE"""),"Banda Fre Tras Lh Fot 1030 7701023485883")</f>
        <v>Banda Fre Tras Lh Fot 1030 7701023485883</v>
      </c>
      <c r="C8039" s="380" t="str">
        <f>IFERROR(__xludf.DUMMYFUNCTION("""COMPUTED_VALUE"""),"70003457")</f>
        <v>70003457</v>
      </c>
      <c r="D8039" s="380" t="s">
        <v>767</v>
      </c>
      <c r="E8039" s="380" t="s">
        <v>786</v>
      </c>
      <c r="F8039" s="380" t="s">
        <v>1017</v>
      </c>
      <c r="G8039" s="380" t="s">
        <v>1267</v>
      </c>
      <c r="H8039" s="380" t="s">
        <v>771</v>
      </c>
      <c r="I8039" s="380" t="s">
        <v>788</v>
      </c>
      <c r="J8039" s="380" t="s">
        <v>773</v>
      </c>
      <c r="K8039" s="381">
        <v>0.0</v>
      </c>
      <c r="L8039" s="382">
        <v>1.0</v>
      </c>
    </row>
    <row r="8040">
      <c r="A8040" s="380" t="s">
        <v>8914</v>
      </c>
      <c r="B8040" s="380" t="str">
        <f>IFERROR(__xludf.DUMMYFUNCTION("""COMPUTED_VALUE"""),"Banda Fre Tras Rh Fot 1030 7701023485890")</f>
        <v>Banda Fre Tras Rh Fot 1030 7701023485890</v>
      </c>
      <c r="C8040" s="380" t="str">
        <f>IFERROR(__xludf.DUMMYFUNCTION("""COMPUTED_VALUE"""),"70003458")</f>
        <v>70003458</v>
      </c>
      <c r="D8040" s="380" t="s">
        <v>767</v>
      </c>
      <c r="E8040" s="380" t="s">
        <v>786</v>
      </c>
      <c r="F8040" s="380" t="s">
        <v>1017</v>
      </c>
      <c r="G8040" s="380" t="s">
        <v>1267</v>
      </c>
      <c r="H8040" s="380" t="s">
        <v>771</v>
      </c>
      <c r="I8040" s="380" t="s">
        <v>788</v>
      </c>
      <c r="J8040" s="380" t="s">
        <v>773</v>
      </c>
      <c r="K8040" s="381">
        <v>0.0</v>
      </c>
      <c r="L8040" s="382">
        <v>1.0</v>
      </c>
    </row>
    <row r="8041">
      <c r="A8041" s="380" t="s">
        <v>8915</v>
      </c>
      <c r="B8041" s="380" t="str">
        <f>IFERROR(__xludf.DUMMYFUNCTION("""COMPUTED_VALUE"""),"Cilindr Freno Tras Izq Cp Jac BJ1029AG-E")</f>
        <v>Cilindr Freno Tras Izq Cp Jac BJ1029AG-E</v>
      </c>
      <c r="C8041" s="380" t="str">
        <f>IFERROR(__xludf.DUMMYFUNCTION("""COMPUTED_VALUE"""),"70003459")</f>
        <v>70003459</v>
      </c>
      <c r="D8041" s="380" t="s">
        <v>767</v>
      </c>
      <c r="E8041" s="380" t="s">
        <v>786</v>
      </c>
      <c r="F8041" s="380" t="s">
        <v>1017</v>
      </c>
      <c r="G8041" s="380" t="s">
        <v>1267</v>
      </c>
      <c r="H8041" s="380" t="s">
        <v>771</v>
      </c>
      <c r="I8041" s="380" t="s">
        <v>788</v>
      </c>
      <c r="J8041" s="380" t="s">
        <v>773</v>
      </c>
      <c r="K8041" s="381">
        <v>0.0</v>
      </c>
      <c r="L8041" s="382">
        <v>1.0</v>
      </c>
    </row>
    <row r="8042">
      <c r="A8042" s="380" t="s">
        <v>8916</v>
      </c>
      <c r="B8042" s="380" t="str">
        <f>IFERROR(__xludf.DUMMYFUNCTION("""COMPUTED_VALUE"""),"Disco Freno Jac Jkr 1035 YF35A104 1075")</f>
        <v>Disco Freno Jac Jkr 1035 YF35A104 1075</v>
      </c>
      <c r="C8042" s="380" t="str">
        <f>IFERROR(__xludf.DUMMYFUNCTION("""COMPUTED_VALUE"""),"70003460")</f>
        <v>70003460</v>
      </c>
      <c r="D8042" s="380" t="s">
        <v>767</v>
      </c>
      <c r="E8042" s="380" t="s">
        <v>786</v>
      </c>
      <c r="F8042" s="380" t="s">
        <v>1017</v>
      </c>
      <c r="G8042" s="380" t="s">
        <v>1267</v>
      </c>
      <c r="H8042" s="380" t="s">
        <v>771</v>
      </c>
      <c r="I8042" s="380" t="s">
        <v>788</v>
      </c>
      <c r="J8042" s="380" t="s">
        <v>773</v>
      </c>
      <c r="K8042" s="381">
        <v>0.0</v>
      </c>
      <c r="L8042" s="382">
        <v>1.0</v>
      </c>
    </row>
    <row r="8043">
      <c r="A8043" s="380" t="s">
        <v>8917</v>
      </c>
      <c r="B8043" s="380" t="str">
        <f>IFERROR(__xludf.DUMMYFUNCTION("""COMPUTED_VALUE"""),"Banda Portacontenedor 4718 Supertrack")</f>
        <v>Banda Portacontenedor 4718 Supertrack</v>
      </c>
      <c r="C8043" s="380" t="str">
        <f>IFERROR(__xludf.DUMMYFUNCTION("""COMPUTED_VALUE"""),"70003461")</f>
        <v>70003461</v>
      </c>
      <c r="D8043" s="380" t="s">
        <v>767</v>
      </c>
      <c r="E8043" s="380" t="s">
        <v>786</v>
      </c>
      <c r="F8043" s="380" t="s">
        <v>1017</v>
      </c>
      <c r="G8043" s="380" t="s">
        <v>1267</v>
      </c>
      <c r="H8043" s="380" t="s">
        <v>771</v>
      </c>
      <c r="I8043" s="380" t="s">
        <v>788</v>
      </c>
      <c r="J8043" s="380" t="s">
        <v>773</v>
      </c>
      <c r="K8043" s="381">
        <v>195517.0</v>
      </c>
      <c r="L8043" s="382">
        <v>1.0</v>
      </c>
    </row>
    <row r="8044">
      <c r="A8044" s="380" t="s">
        <v>8918</v>
      </c>
      <c r="B8044" s="380" t="str">
        <f>IFERROR(__xludf.DUMMYFUNCTION("""COMPUTED_VALUE"""),"Campana Bocin Europeo Trailer")</f>
        <v>Campana Bocin Europeo Trailer</v>
      </c>
      <c r="C8044" s="380" t="str">
        <f>IFERROR(__xludf.DUMMYFUNCTION("""COMPUTED_VALUE"""),"70003462")</f>
        <v>70003462</v>
      </c>
      <c r="D8044" s="380" t="s">
        <v>767</v>
      </c>
      <c r="E8044" s="380" t="s">
        <v>786</v>
      </c>
      <c r="F8044" s="380" t="s">
        <v>1017</v>
      </c>
      <c r="G8044" s="380" t="s">
        <v>1267</v>
      </c>
      <c r="H8044" s="380" t="s">
        <v>771</v>
      </c>
      <c r="I8044" s="380" t="s">
        <v>788</v>
      </c>
      <c r="J8044" s="380" t="s">
        <v>773</v>
      </c>
      <c r="K8044" s="381">
        <v>0.0</v>
      </c>
      <c r="L8044" s="382">
        <v>1.0</v>
      </c>
    </row>
    <row r="8045">
      <c r="A8045" s="380" t="s">
        <v>8919</v>
      </c>
      <c r="B8045" s="380" t="str">
        <f>IFERROR(__xludf.DUMMYFUNCTION("""COMPUTED_VALUE"""),"Resorte Freno Tras Foton 1129")</f>
        <v>Resorte Freno Tras Foton 1129</v>
      </c>
      <c r="C8045" s="380" t="str">
        <f>IFERROR(__xludf.DUMMYFUNCTION("""COMPUTED_VALUE"""),"70003463")</f>
        <v>70003463</v>
      </c>
      <c r="D8045" s="380" t="s">
        <v>767</v>
      </c>
      <c r="E8045" s="380" t="s">
        <v>786</v>
      </c>
      <c r="F8045" s="380" t="s">
        <v>1017</v>
      </c>
      <c r="G8045" s="380" t="s">
        <v>1267</v>
      </c>
      <c r="H8045" s="380" t="s">
        <v>771</v>
      </c>
      <c r="I8045" s="380" t="s">
        <v>788</v>
      </c>
      <c r="J8045" s="380" t="s">
        <v>773</v>
      </c>
      <c r="K8045" s="381">
        <v>37439.0</v>
      </c>
      <c r="L8045" s="382">
        <v>1.0</v>
      </c>
    </row>
    <row r="8046">
      <c r="A8046" s="380" t="s">
        <v>8920</v>
      </c>
      <c r="B8046" s="380" t="str">
        <f>IFERROR(__xludf.DUMMYFUNCTION("""COMPUTED_VALUE"""),"Banda Tras Foton 1039 7705946655804")</f>
        <v>Banda Tras Foton 1039 7705946655804</v>
      </c>
      <c r="C8046" s="380" t="str">
        <f>IFERROR(__xludf.DUMMYFUNCTION("""COMPUTED_VALUE"""),"70003464")</f>
        <v>70003464</v>
      </c>
      <c r="D8046" s="380" t="s">
        <v>767</v>
      </c>
      <c r="E8046" s="380" t="s">
        <v>786</v>
      </c>
      <c r="F8046" s="380" t="s">
        <v>1017</v>
      </c>
      <c r="G8046" s="380" t="s">
        <v>1267</v>
      </c>
      <c r="H8046" s="380" t="s">
        <v>771</v>
      </c>
      <c r="I8046" s="380" t="s">
        <v>788</v>
      </c>
      <c r="J8046" s="380" t="s">
        <v>773</v>
      </c>
      <c r="K8046" s="381">
        <v>0.0</v>
      </c>
      <c r="L8046" s="382">
        <v>1.0</v>
      </c>
    </row>
    <row r="8047">
      <c r="A8047" s="380" t="s">
        <v>8921</v>
      </c>
      <c r="B8047" s="380" t="str">
        <f>IFERROR(__xludf.DUMMYFUNCTION("""COMPUTED_VALUE"""),"Banda Del Foton 1039 7705946655798")</f>
        <v>Banda Del Foton 1039 7705946655798</v>
      </c>
      <c r="C8047" s="380" t="str">
        <f>IFERROR(__xludf.DUMMYFUNCTION("""COMPUTED_VALUE"""),"70003465")</f>
        <v>70003465</v>
      </c>
      <c r="D8047" s="380" t="s">
        <v>767</v>
      </c>
      <c r="E8047" s="380" t="s">
        <v>786</v>
      </c>
      <c r="F8047" s="380" t="s">
        <v>1017</v>
      </c>
      <c r="G8047" s="380" t="s">
        <v>1267</v>
      </c>
      <c r="H8047" s="380" t="s">
        <v>771</v>
      </c>
      <c r="I8047" s="380" t="s">
        <v>788</v>
      </c>
      <c r="J8047" s="380" t="s">
        <v>773</v>
      </c>
      <c r="K8047" s="381">
        <v>0.0</v>
      </c>
      <c r="L8047" s="382">
        <v>1.0</v>
      </c>
    </row>
    <row r="8048">
      <c r="A8048" s="380" t="s">
        <v>8922</v>
      </c>
      <c r="B8048" s="380" t="str">
        <f>IFERROR(__xludf.DUMMYFUNCTION("""COMPUTED_VALUE"""),"Banda Inf Tras Foton 1129 7705946326")</f>
        <v>Banda Inf Tras Foton 1129 7705946326</v>
      </c>
      <c r="C8048" s="380" t="str">
        <f>IFERROR(__xludf.DUMMYFUNCTION("""COMPUTED_VALUE"""),"70003466")</f>
        <v>70003466</v>
      </c>
      <c r="D8048" s="380" t="s">
        <v>767</v>
      </c>
      <c r="E8048" s="380" t="s">
        <v>786</v>
      </c>
      <c r="F8048" s="380" t="s">
        <v>1017</v>
      </c>
      <c r="G8048" s="380" t="s">
        <v>1267</v>
      </c>
      <c r="H8048" s="380" t="s">
        <v>771</v>
      </c>
      <c r="I8048" s="380" t="s">
        <v>788</v>
      </c>
      <c r="J8048" s="380" t="s">
        <v>773</v>
      </c>
      <c r="K8048" s="381">
        <v>0.0</v>
      </c>
      <c r="L8048" s="382">
        <v>1.0</v>
      </c>
    </row>
    <row r="8049">
      <c r="A8049" s="380" t="s">
        <v>8923</v>
      </c>
      <c r="B8049" s="380" t="str">
        <f>IFERROR(__xludf.DUMMYFUNCTION("""COMPUTED_VALUE"""),"Banda Del Foton 1129 7701023082082")</f>
        <v>Banda Del Foton 1129 7701023082082</v>
      </c>
      <c r="C8049" s="380" t="str">
        <f>IFERROR(__xludf.DUMMYFUNCTION("""COMPUTED_VALUE"""),"70003467")</f>
        <v>70003467</v>
      </c>
      <c r="D8049" s="380" t="s">
        <v>767</v>
      </c>
      <c r="E8049" s="380" t="s">
        <v>786</v>
      </c>
      <c r="F8049" s="380" t="s">
        <v>1017</v>
      </c>
      <c r="G8049" s="380" t="s">
        <v>1267</v>
      </c>
      <c r="H8049" s="380" t="s">
        <v>771</v>
      </c>
      <c r="I8049" s="380" t="s">
        <v>788</v>
      </c>
      <c r="J8049" s="380" t="s">
        <v>773</v>
      </c>
      <c r="K8049" s="381">
        <v>0.0</v>
      </c>
      <c r="L8049" s="382">
        <v>1.0</v>
      </c>
    </row>
    <row r="8050">
      <c r="A8050" s="380" t="s">
        <v>8924</v>
      </c>
      <c r="B8050" s="380" t="str">
        <f>IFERROR(__xludf.DUMMYFUNCTION("""COMPUTED_VALUE"""),"Banda Sup Tras Foton 1129 770594632653")</f>
        <v>Banda Sup Tras Foton 1129 770594632653</v>
      </c>
      <c r="C8050" s="380" t="str">
        <f>IFERROR(__xludf.DUMMYFUNCTION("""COMPUTED_VALUE"""),"70003468")</f>
        <v>70003468</v>
      </c>
      <c r="D8050" s="380" t="s">
        <v>767</v>
      </c>
      <c r="E8050" s="380" t="s">
        <v>786</v>
      </c>
      <c r="F8050" s="380" t="s">
        <v>1017</v>
      </c>
      <c r="G8050" s="380" t="s">
        <v>1267</v>
      </c>
      <c r="H8050" s="380" t="s">
        <v>771</v>
      </c>
      <c r="I8050" s="380" t="s">
        <v>788</v>
      </c>
      <c r="J8050" s="380" t="s">
        <v>773</v>
      </c>
      <c r="K8050" s="381">
        <v>0.0</v>
      </c>
      <c r="L8050" s="382">
        <v>1.0</v>
      </c>
    </row>
    <row r="8051">
      <c r="A8051" s="380" t="s">
        <v>8925</v>
      </c>
      <c r="B8051" s="380" t="str">
        <f>IFERROR(__xludf.DUMMYFUNCTION("""COMPUTED_VALUE"""),"Banda Freno Tras Jack 1120 - 9308")</f>
        <v>Banda Freno Tras Jack 1120 - 9308</v>
      </c>
      <c r="C8051" s="380" t="str">
        <f>IFERROR(__xludf.DUMMYFUNCTION("""COMPUTED_VALUE"""),"70003469")</f>
        <v>70003469</v>
      </c>
      <c r="D8051" s="380" t="s">
        <v>767</v>
      </c>
      <c r="E8051" s="380" t="s">
        <v>786</v>
      </c>
      <c r="F8051" s="380" t="s">
        <v>1017</v>
      </c>
      <c r="G8051" s="380" t="s">
        <v>1267</v>
      </c>
      <c r="H8051" s="380" t="s">
        <v>771</v>
      </c>
      <c r="I8051" s="380" t="s">
        <v>788</v>
      </c>
      <c r="J8051" s="380" t="s">
        <v>773</v>
      </c>
      <c r="K8051" s="381">
        <v>0.0</v>
      </c>
      <c r="L8051" s="382">
        <v>1.0</v>
      </c>
    </row>
    <row r="8052">
      <c r="A8052" s="380" t="s">
        <v>8926</v>
      </c>
      <c r="B8052" s="380" t="str">
        <f>IFERROR(__xludf.DUMMYFUNCTION("""COMPUTED_VALUE"""),"Depos Liqui De Freno Nkr Rewar8973872193")</f>
        <v>Depos Liqui De Freno Nkr Rewar8973872193</v>
      </c>
      <c r="C8052" s="380" t="str">
        <f>IFERROR(__xludf.DUMMYFUNCTION("""COMPUTED_VALUE"""),"70003470")</f>
        <v>70003470</v>
      </c>
      <c r="D8052" s="380" t="s">
        <v>767</v>
      </c>
      <c r="E8052" s="380" t="s">
        <v>786</v>
      </c>
      <c r="F8052" s="380" t="s">
        <v>1017</v>
      </c>
      <c r="G8052" s="380" t="s">
        <v>1267</v>
      </c>
      <c r="H8052" s="380" t="s">
        <v>771</v>
      </c>
      <c r="I8052" s="380" t="s">
        <v>788</v>
      </c>
      <c r="J8052" s="380" t="s">
        <v>773</v>
      </c>
      <c r="K8052" s="381">
        <v>0.0</v>
      </c>
      <c r="L8052" s="382">
        <v>1.0</v>
      </c>
    </row>
    <row r="8053">
      <c r="A8053" s="380" t="s">
        <v>8927</v>
      </c>
      <c r="B8053" s="380" t="str">
        <f>IFERROR(__xludf.DUMMYFUNCTION("""COMPUTED_VALUE"""),"Banda Freno Emergencia Jac")</f>
        <v>Banda Freno Emergencia Jac</v>
      </c>
      <c r="C8053" s="380" t="str">
        <f>IFERROR(__xludf.DUMMYFUNCTION("""COMPUTED_VALUE"""),"70003471")</f>
        <v>70003471</v>
      </c>
      <c r="D8053" s="380" t="s">
        <v>767</v>
      </c>
      <c r="E8053" s="380" t="s">
        <v>786</v>
      </c>
      <c r="F8053" s="380" t="s">
        <v>1017</v>
      </c>
      <c r="G8053" s="380" t="s">
        <v>1267</v>
      </c>
      <c r="H8053" s="380" t="s">
        <v>771</v>
      </c>
      <c r="I8053" s="380" t="s">
        <v>788</v>
      </c>
      <c r="J8053" s="380" t="s">
        <v>773</v>
      </c>
      <c r="K8053" s="381">
        <v>0.0</v>
      </c>
      <c r="L8053" s="382">
        <v>1.0</v>
      </c>
    </row>
    <row r="8054">
      <c r="A8054" s="380" t="s">
        <v>8928</v>
      </c>
      <c r="B8054" s="380" t="str">
        <f>IFERROR(__xludf.DUMMYFUNCTION("""COMPUTED_VALUE"""),"Campana Freno Del Foton 1039 1023780575")</f>
        <v>Campana Freno Del Foton 1039 1023780575</v>
      </c>
      <c r="C8054" s="380" t="str">
        <f>IFERROR(__xludf.DUMMYFUNCTION("""COMPUTED_VALUE"""),"70003472")</f>
        <v>70003472</v>
      </c>
      <c r="D8054" s="380" t="s">
        <v>767</v>
      </c>
      <c r="E8054" s="380" t="s">
        <v>786</v>
      </c>
      <c r="F8054" s="380" t="s">
        <v>1017</v>
      </c>
      <c r="G8054" s="380" t="s">
        <v>1267</v>
      </c>
      <c r="H8054" s="380" t="s">
        <v>771</v>
      </c>
      <c r="I8054" s="380" t="s">
        <v>788</v>
      </c>
      <c r="J8054" s="380" t="s">
        <v>773</v>
      </c>
      <c r="K8054" s="381">
        <v>0.0</v>
      </c>
      <c r="L8054" s="382">
        <v>1.0</v>
      </c>
    </row>
    <row r="8055">
      <c r="A8055" s="380" t="s">
        <v>8929</v>
      </c>
      <c r="B8055" s="380" t="str">
        <f>IFERROR(__xludf.DUMMYFUNCTION("""COMPUTED_VALUE"""),"Sello Retenedor Hino 700018817")</f>
        <v>Sello Retenedor Hino 700018817</v>
      </c>
      <c r="C8055" s="380" t="str">
        <f>IFERROR(__xludf.DUMMYFUNCTION("""COMPUTED_VALUE"""),"70003473")</f>
        <v>70003473</v>
      </c>
      <c r="D8055" s="380" t="s">
        <v>767</v>
      </c>
      <c r="E8055" s="380" t="s">
        <v>786</v>
      </c>
      <c r="F8055" s="380" t="s">
        <v>1017</v>
      </c>
      <c r="G8055" s="380" t="s">
        <v>1267</v>
      </c>
      <c r="H8055" s="380" t="s">
        <v>771</v>
      </c>
      <c r="I8055" s="380" t="s">
        <v>788</v>
      </c>
      <c r="J8055" s="380" t="s">
        <v>773</v>
      </c>
      <c r="K8055" s="381">
        <v>0.0</v>
      </c>
      <c r="L8055" s="382">
        <v>1.0</v>
      </c>
    </row>
    <row r="8056">
      <c r="A8056" s="380" t="s">
        <v>8930</v>
      </c>
      <c r="B8056" s="380" t="str">
        <f>IFERROR(__xludf.DUMMYFUNCTION("""COMPUTED_VALUE"""),"Banda Freno Tras Nissan Urvan")</f>
        <v>Banda Freno Tras Nissan Urvan</v>
      </c>
      <c r="C8056" s="380" t="str">
        <f>IFERROR(__xludf.DUMMYFUNCTION("""COMPUTED_VALUE"""),"70003474")</f>
        <v>70003474</v>
      </c>
      <c r="D8056" s="380" t="s">
        <v>767</v>
      </c>
      <c r="E8056" s="380" t="s">
        <v>786</v>
      </c>
      <c r="F8056" s="380" t="s">
        <v>1017</v>
      </c>
      <c r="G8056" s="380" t="s">
        <v>1267</v>
      </c>
      <c r="H8056" s="380" t="s">
        <v>771</v>
      </c>
      <c r="I8056" s="380" t="s">
        <v>788</v>
      </c>
      <c r="J8056" s="380" t="s">
        <v>773</v>
      </c>
      <c r="K8056" s="381">
        <v>0.0</v>
      </c>
      <c r="L8056" s="382">
        <v>1.0</v>
      </c>
    </row>
    <row r="8057">
      <c r="A8057" s="380" t="s">
        <v>8931</v>
      </c>
      <c r="B8057" s="380" t="str">
        <f>IFERROR(__xludf.DUMMYFUNCTION("""COMPUTED_VALUE"""),"Campana Tras Freno Foton 1129 7701023125")</f>
        <v>Campana Tras Freno Foton 1129 7701023125</v>
      </c>
      <c r="C8057" s="380" t="str">
        <f>IFERROR(__xludf.DUMMYFUNCTION("""COMPUTED_VALUE"""),"70003475")</f>
        <v>70003475</v>
      </c>
      <c r="D8057" s="380" t="s">
        <v>767</v>
      </c>
      <c r="E8057" s="380" t="s">
        <v>786</v>
      </c>
      <c r="F8057" s="380" t="s">
        <v>1017</v>
      </c>
      <c r="G8057" s="380" t="s">
        <v>1267</v>
      </c>
      <c r="H8057" s="380" t="s">
        <v>771</v>
      </c>
      <c r="I8057" s="380" t="s">
        <v>788</v>
      </c>
      <c r="J8057" s="380" t="s">
        <v>773</v>
      </c>
      <c r="K8057" s="381">
        <v>0.0</v>
      </c>
      <c r="L8057" s="382">
        <v>1.0</v>
      </c>
    </row>
    <row r="8058">
      <c r="A8058" s="380" t="s">
        <v>8932</v>
      </c>
      <c r="B8058" s="380" t="str">
        <f>IFERROR(__xludf.DUMMYFUNCTION("""COMPUTED_VALUE"""),"Freno De Parqueo T Delta Completo")</f>
        <v>Freno De Parqueo T Delta Completo</v>
      </c>
      <c r="C8058" s="380" t="str">
        <f>IFERROR(__xludf.DUMMYFUNCTION("""COMPUTED_VALUE"""),"70003476")</f>
        <v>70003476</v>
      </c>
      <c r="D8058" s="380" t="s">
        <v>767</v>
      </c>
      <c r="E8058" s="380" t="s">
        <v>786</v>
      </c>
      <c r="F8058" s="380" t="s">
        <v>1017</v>
      </c>
      <c r="G8058" s="380" t="s">
        <v>1267</v>
      </c>
      <c r="H8058" s="380" t="s">
        <v>771</v>
      </c>
      <c r="I8058" s="380" t="s">
        <v>788</v>
      </c>
      <c r="J8058" s="380" t="s">
        <v>773</v>
      </c>
      <c r="K8058" s="381">
        <v>0.0</v>
      </c>
      <c r="L8058" s="382">
        <v>1.0</v>
      </c>
    </row>
    <row r="8059">
      <c r="A8059" s="380" t="s">
        <v>8933</v>
      </c>
      <c r="B8059" s="380" t="str">
        <f>IFERROR(__xludf.DUMMYFUNCTION("""COMPUTED_VALUE"""),"Cilindro Del Izq FRR 1476011750")</f>
        <v>Cilindro Del Izq FRR 1476011750</v>
      </c>
      <c r="C8059" s="380" t="str">
        <f>IFERROR(__xludf.DUMMYFUNCTION("""COMPUTED_VALUE"""),"70003477")</f>
        <v>70003477</v>
      </c>
      <c r="D8059" s="380" t="s">
        <v>767</v>
      </c>
      <c r="E8059" s="380" t="s">
        <v>786</v>
      </c>
      <c r="F8059" s="380" t="s">
        <v>1017</v>
      </c>
      <c r="G8059" s="380" t="s">
        <v>1267</v>
      </c>
      <c r="H8059" s="380" t="s">
        <v>771</v>
      </c>
      <c r="I8059" s="380" t="s">
        <v>788</v>
      </c>
      <c r="J8059" s="380" t="s">
        <v>773</v>
      </c>
      <c r="K8059" s="381">
        <v>0.0</v>
      </c>
      <c r="L8059" s="382">
        <v>1.0</v>
      </c>
    </row>
    <row r="8060">
      <c r="A8060" s="380" t="s">
        <v>8934</v>
      </c>
      <c r="B8060" s="380" t="str">
        <f>IFERROR(__xludf.DUMMYFUNCTION("""COMPUTED_VALUE"""),"Cilin Fren Del Izq FRR Tub/Tub1476011740")</f>
        <v>Cilin Fren Del Izq FRR Tub/Tub1476011740</v>
      </c>
      <c r="C8060" s="380" t="str">
        <f>IFERROR(__xludf.DUMMYFUNCTION("""COMPUTED_VALUE"""),"70003478")</f>
        <v>70003478</v>
      </c>
      <c r="D8060" s="380" t="s">
        <v>767</v>
      </c>
      <c r="E8060" s="380" t="s">
        <v>786</v>
      </c>
      <c r="F8060" s="380" t="s">
        <v>1017</v>
      </c>
      <c r="G8060" s="380" t="s">
        <v>1267</v>
      </c>
      <c r="H8060" s="380" t="s">
        <v>771</v>
      </c>
      <c r="I8060" s="380" t="s">
        <v>788</v>
      </c>
      <c r="J8060" s="380" t="s">
        <v>773</v>
      </c>
      <c r="K8060" s="381">
        <v>0.0</v>
      </c>
      <c r="L8060" s="382">
        <v>1.0</v>
      </c>
    </row>
    <row r="8061">
      <c r="A8061" s="380" t="s">
        <v>8935</v>
      </c>
      <c r="B8061" s="380" t="str">
        <f>IFERROR(__xludf.DUMMYFUNCTION("""COMPUTED_VALUE"""),"Cilindro Del Der FRR Tubo/Tub 1476011730")</f>
        <v>Cilindro Del Der FRR Tubo/Tub 1476011730</v>
      </c>
      <c r="C8061" s="380" t="str">
        <f>IFERROR(__xludf.DUMMYFUNCTION("""COMPUTED_VALUE"""),"70003479")</f>
        <v>70003479</v>
      </c>
      <c r="D8061" s="380" t="s">
        <v>767</v>
      </c>
      <c r="E8061" s="380" t="s">
        <v>786</v>
      </c>
      <c r="F8061" s="380" t="s">
        <v>1017</v>
      </c>
      <c r="G8061" s="380" t="s">
        <v>1267</v>
      </c>
      <c r="H8061" s="380" t="s">
        <v>771</v>
      </c>
      <c r="I8061" s="380" t="s">
        <v>788</v>
      </c>
      <c r="J8061" s="380" t="s">
        <v>773</v>
      </c>
      <c r="K8061" s="381">
        <v>0.0</v>
      </c>
      <c r="L8061" s="382">
        <v>1.0</v>
      </c>
    </row>
    <row r="8062">
      <c r="A8062" s="380" t="s">
        <v>8936</v>
      </c>
      <c r="B8062" s="380" t="str">
        <f>IFERROR(__xludf.DUMMYFUNCTION("""COMPUTED_VALUE"""),"Cilin Fren Del Der FRR Tub/Tub1476011720")</f>
        <v>Cilin Fren Del Der FRR Tub/Tub1476011720</v>
      </c>
      <c r="C8062" s="380" t="str">
        <f>IFERROR(__xludf.DUMMYFUNCTION("""COMPUTED_VALUE"""),"70003480")</f>
        <v>70003480</v>
      </c>
      <c r="D8062" s="380" t="s">
        <v>767</v>
      </c>
      <c r="E8062" s="380" t="s">
        <v>786</v>
      </c>
      <c r="F8062" s="380" t="s">
        <v>1017</v>
      </c>
      <c r="G8062" s="380" t="s">
        <v>1267</v>
      </c>
      <c r="H8062" s="380" t="s">
        <v>771</v>
      </c>
      <c r="I8062" s="380" t="s">
        <v>788</v>
      </c>
      <c r="J8062" s="380" t="s">
        <v>773</v>
      </c>
      <c r="K8062" s="381">
        <v>0.0</v>
      </c>
      <c r="L8062" s="382">
        <v>1.0</v>
      </c>
    </row>
    <row r="8063">
      <c r="A8063" s="380" t="s">
        <v>8937</v>
      </c>
      <c r="B8063" s="380" t="str">
        <f>IFERROR(__xludf.DUMMYFUNCTION("""COMPUTED_VALUE"""),"Valvula Relay Trailer 110700")</f>
        <v>Valvula Relay Trailer 110700</v>
      </c>
      <c r="C8063" s="380" t="str">
        <f>IFERROR(__xludf.DUMMYFUNCTION("""COMPUTED_VALUE"""),"70003481")</f>
        <v>70003481</v>
      </c>
      <c r="D8063" s="380" t="s">
        <v>767</v>
      </c>
      <c r="E8063" s="380" t="s">
        <v>786</v>
      </c>
      <c r="F8063" s="380" t="s">
        <v>1017</v>
      </c>
      <c r="G8063" s="380" t="s">
        <v>1267</v>
      </c>
      <c r="H8063" s="380" t="s">
        <v>771</v>
      </c>
      <c r="I8063" s="380" t="s">
        <v>788</v>
      </c>
      <c r="J8063" s="380" t="s">
        <v>773</v>
      </c>
      <c r="K8063" s="381">
        <v>0.0</v>
      </c>
      <c r="L8063" s="382">
        <v>1.0</v>
      </c>
    </row>
    <row r="8064">
      <c r="A8064" s="380" t="s">
        <v>8938</v>
      </c>
      <c r="B8064" s="380" t="str">
        <f>IFERROR(__xludf.DUMMYFUNCTION("""COMPUTED_VALUE"""),"Banda Freno Del FTR 9006")</f>
        <v>Banda Freno Del FTR 9006</v>
      </c>
      <c r="C8064" s="380" t="str">
        <f>IFERROR(__xludf.DUMMYFUNCTION("""COMPUTED_VALUE"""),"70003482")</f>
        <v>70003482</v>
      </c>
      <c r="D8064" s="380" t="s">
        <v>767</v>
      </c>
      <c r="E8064" s="380" t="s">
        <v>786</v>
      </c>
      <c r="F8064" s="380" t="s">
        <v>1017</v>
      </c>
      <c r="G8064" s="380" t="s">
        <v>1267</v>
      </c>
      <c r="H8064" s="380" t="s">
        <v>771</v>
      </c>
      <c r="I8064" s="380" t="s">
        <v>788</v>
      </c>
      <c r="J8064" s="380" t="s">
        <v>773</v>
      </c>
      <c r="K8064" s="381">
        <v>0.0</v>
      </c>
      <c r="L8064" s="382">
        <v>1.0</v>
      </c>
    </row>
    <row r="8065">
      <c r="A8065" s="380" t="s">
        <v>8939</v>
      </c>
      <c r="B8065" s="380" t="str">
        <f>IFERROR(__xludf.DUMMYFUNCTION("""COMPUTED_VALUE"""),"Banda Freno Tras FTR 9004")</f>
        <v>Banda Freno Tras FTR 9004</v>
      </c>
      <c r="C8065" s="380" t="str">
        <f>IFERROR(__xludf.DUMMYFUNCTION("""COMPUTED_VALUE"""),"70003483")</f>
        <v>70003483</v>
      </c>
      <c r="D8065" s="380" t="s">
        <v>767</v>
      </c>
      <c r="E8065" s="380" t="s">
        <v>786</v>
      </c>
      <c r="F8065" s="380" t="s">
        <v>1017</v>
      </c>
      <c r="G8065" s="380" t="s">
        <v>1267</v>
      </c>
      <c r="H8065" s="380" t="s">
        <v>771</v>
      </c>
      <c r="I8065" s="380" t="s">
        <v>788</v>
      </c>
      <c r="J8065" s="380" t="s">
        <v>773</v>
      </c>
      <c r="K8065" s="381">
        <v>0.0</v>
      </c>
      <c r="L8065" s="382">
        <v>1.0</v>
      </c>
    </row>
    <row r="8066">
      <c r="A8066" s="380" t="s">
        <v>8940</v>
      </c>
      <c r="B8066" s="380" t="str">
        <f>IFERROR(__xludf.DUMMYFUNCTION("""COMPUTED_VALUE"""),"Bocin Del 5 Hcos H Dutro Pro 4351137120")</f>
        <v>Bocin Del 5 Hcos H Dutro Pro 4351137120</v>
      </c>
      <c r="C8066" s="380" t="str">
        <f>IFERROR(__xludf.DUMMYFUNCTION("""COMPUTED_VALUE"""),"70003484")</f>
        <v>70003484</v>
      </c>
      <c r="D8066" s="380" t="s">
        <v>767</v>
      </c>
      <c r="E8066" s="380" t="s">
        <v>786</v>
      </c>
      <c r="F8066" s="380" t="s">
        <v>1017</v>
      </c>
      <c r="G8066" s="380" t="s">
        <v>1267</v>
      </c>
      <c r="H8066" s="380" t="s">
        <v>771</v>
      </c>
      <c r="I8066" s="380" t="s">
        <v>788</v>
      </c>
      <c r="J8066" s="380" t="s">
        <v>773</v>
      </c>
      <c r="K8066" s="381">
        <v>0.0</v>
      </c>
      <c r="L8066" s="382">
        <v>1.0</v>
      </c>
    </row>
    <row r="8067">
      <c r="A8067" s="380" t="s">
        <v>8941</v>
      </c>
      <c r="B8067" s="380" t="str">
        <f>IFERROR(__xludf.DUMMYFUNCTION("""COMPUTED_VALUE"""),"Bomba Freno Principal Hino Dp 4720137290")</f>
        <v>Bomba Freno Principal Hino Dp 4720137290</v>
      </c>
      <c r="C8067" s="380" t="str">
        <f>IFERROR(__xludf.DUMMYFUNCTION("""COMPUTED_VALUE"""),"70003485")</f>
        <v>70003485</v>
      </c>
      <c r="D8067" s="380" t="s">
        <v>767</v>
      </c>
      <c r="E8067" s="380" t="s">
        <v>786</v>
      </c>
      <c r="F8067" s="380" t="s">
        <v>1017</v>
      </c>
      <c r="G8067" s="380" t="s">
        <v>1267</v>
      </c>
      <c r="H8067" s="380" t="s">
        <v>771</v>
      </c>
      <c r="I8067" s="380" t="s">
        <v>788</v>
      </c>
      <c r="J8067" s="380" t="s">
        <v>773</v>
      </c>
      <c r="K8067" s="381">
        <v>0.0</v>
      </c>
      <c r="L8067" s="382">
        <v>1.0</v>
      </c>
    </row>
    <row r="8068">
      <c r="A8068" s="380" t="s">
        <v>8942</v>
      </c>
      <c r="B8068" s="380" t="str">
        <f>IFERROR(__xludf.DUMMYFUNCTION("""COMPUTED_VALUE"""),"Valv Freno Protec 7 Ptos Eagle BX802701")</f>
        <v>Valv Freno Protec 7 Ptos Eagle BX802701</v>
      </c>
      <c r="C8068" s="380" t="str">
        <f>IFERROR(__xludf.DUMMYFUNCTION("""COMPUTED_VALUE"""),"70003486")</f>
        <v>70003486</v>
      </c>
      <c r="D8068" s="380" t="s">
        <v>767</v>
      </c>
      <c r="E8068" s="380" t="s">
        <v>786</v>
      </c>
      <c r="F8068" s="380" t="s">
        <v>1017</v>
      </c>
      <c r="G8068" s="380" t="s">
        <v>1267</v>
      </c>
      <c r="H8068" s="380" t="s">
        <v>771</v>
      </c>
      <c r="I8068" s="380" t="s">
        <v>788</v>
      </c>
      <c r="J8068" s="380" t="s">
        <v>773</v>
      </c>
      <c r="K8068" s="381">
        <v>0.0</v>
      </c>
      <c r="L8068" s="382">
        <v>1.0</v>
      </c>
    </row>
    <row r="8069">
      <c r="A8069" s="380" t="s">
        <v>8943</v>
      </c>
      <c r="B8069" s="380" t="str">
        <f>IFERROR(__xludf.DUMMYFUNCTION("""COMPUTED_VALUE"""),"Cilin Fre Tras Der S Purga FRR1476011701")</f>
        <v>Cilin Fre Tras Der S Purga FRR1476011701</v>
      </c>
      <c r="C8069" s="380" t="str">
        <f>IFERROR(__xludf.DUMMYFUNCTION("""COMPUTED_VALUE"""),"70003487")</f>
        <v>70003487</v>
      </c>
      <c r="D8069" s="380" t="s">
        <v>767</v>
      </c>
      <c r="E8069" s="380" t="s">
        <v>786</v>
      </c>
      <c r="F8069" s="380" t="s">
        <v>1017</v>
      </c>
      <c r="G8069" s="380" t="s">
        <v>1267</v>
      </c>
      <c r="H8069" s="380" t="s">
        <v>771</v>
      </c>
      <c r="I8069" s="380" t="s">
        <v>788</v>
      </c>
      <c r="J8069" s="380" t="s">
        <v>773</v>
      </c>
      <c r="K8069" s="381">
        <v>0.0</v>
      </c>
      <c r="L8069" s="382">
        <v>1.0</v>
      </c>
    </row>
    <row r="8070">
      <c r="A8070" s="380" t="s">
        <v>8944</v>
      </c>
      <c r="B8070" s="380" t="str">
        <f>IFERROR(__xludf.DUMMYFUNCTION("""COMPUTED_VALUE"""),"Valv Fren Seg Botón Amar Freig RBW801315")</f>
        <v>Valv Fren Seg Botón Amar Freig RBW801315</v>
      </c>
      <c r="C8070" s="380" t="str">
        <f>IFERROR(__xludf.DUMMYFUNCTION("""COMPUTED_VALUE"""),"70003488")</f>
        <v>70003488</v>
      </c>
      <c r="D8070" s="380" t="s">
        <v>767</v>
      </c>
      <c r="E8070" s="380" t="s">
        <v>786</v>
      </c>
      <c r="F8070" s="380" t="s">
        <v>1017</v>
      </c>
      <c r="G8070" s="380" t="s">
        <v>1267</v>
      </c>
      <c r="H8070" s="380" t="s">
        <v>771</v>
      </c>
      <c r="I8070" s="380" t="s">
        <v>788</v>
      </c>
      <c r="J8070" s="380" t="s">
        <v>773</v>
      </c>
      <c r="K8070" s="381">
        <v>0.0</v>
      </c>
      <c r="L8070" s="382">
        <v>1.0</v>
      </c>
    </row>
    <row r="8071">
      <c r="A8071" s="380" t="s">
        <v>8945</v>
      </c>
      <c r="B8071" s="380" t="str">
        <f>IFERROR(__xludf.DUMMYFUNCTION("""COMPUTED_VALUE"""),"Banda Tras Nhr Nueva 8970350840")</f>
        <v>Banda Tras Nhr Nueva 8970350840</v>
      </c>
      <c r="C8071" s="380" t="str">
        <f>IFERROR(__xludf.DUMMYFUNCTION("""COMPUTED_VALUE"""),"70003489")</f>
        <v>70003489</v>
      </c>
      <c r="D8071" s="380" t="s">
        <v>767</v>
      </c>
      <c r="E8071" s="380" t="s">
        <v>786</v>
      </c>
      <c r="F8071" s="380" t="s">
        <v>1017</v>
      </c>
      <c r="G8071" s="380" t="s">
        <v>1267</v>
      </c>
      <c r="H8071" s="380" t="s">
        <v>771</v>
      </c>
      <c r="I8071" s="380" t="s">
        <v>788</v>
      </c>
      <c r="J8071" s="380" t="s">
        <v>773</v>
      </c>
      <c r="K8071" s="381">
        <v>0.0</v>
      </c>
      <c r="L8071" s="382">
        <v>1.0</v>
      </c>
    </row>
    <row r="8072">
      <c r="A8072" s="380" t="s">
        <v>8946</v>
      </c>
      <c r="B8072" s="380" t="str">
        <f>IFERROR(__xludf.DUMMYFUNCTION("""COMPUTED_VALUE"""),"Camar Freno Aho Jac1120 Ref 1203120LE399")</f>
        <v>Camar Freno Aho Jac1120 Ref 1203120LE399</v>
      </c>
      <c r="C8072" s="380" t="str">
        <f>IFERROR(__xludf.DUMMYFUNCTION("""COMPUTED_VALUE"""),"70003490")</f>
        <v>70003490</v>
      </c>
      <c r="D8072" s="380" t="s">
        <v>767</v>
      </c>
      <c r="E8072" s="380" t="s">
        <v>786</v>
      </c>
      <c r="F8072" s="380" t="s">
        <v>1017</v>
      </c>
      <c r="G8072" s="380" t="s">
        <v>1267</v>
      </c>
      <c r="H8072" s="380" t="s">
        <v>771</v>
      </c>
      <c r="I8072" s="380" t="s">
        <v>788</v>
      </c>
      <c r="J8072" s="380" t="s">
        <v>773</v>
      </c>
      <c r="K8072" s="381">
        <v>0.0</v>
      </c>
      <c r="L8072" s="382">
        <v>1.0</v>
      </c>
    </row>
    <row r="8073">
      <c r="A8073" s="380" t="s">
        <v>8947</v>
      </c>
      <c r="B8073" s="380" t="str">
        <f>IFERROR(__xludf.DUMMYFUNCTION("""COMPUTED_VALUE"""),"Guaya LH Fr Mano Foton MV5 7705946033244")</f>
        <v>Guaya LH Fr Mano Foton MV5 7705946033244</v>
      </c>
      <c r="C8073" s="380" t="str">
        <f>IFERROR(__xludf.DUMMYFUNCTION("""COMPUTED_VALUE"""),"70003491")</f>
        <v>70003491</v>
      </c>
      <c r="D8073" s="380" t="s">
        <v>767</v>
      </c>
      <c r="E8073" s="380" t="s">
        <v>786</v>
      </c>
      <c r="F8073" s="380" t="s">
        <v>1017</v>
      </c>
      <c r="G8073" s="380" t="s">
        <v>1267</v>
      </c>
      <c r="H8073" s="380" t="s">
        <v>771</v>
      </c>
      <c r="I8073" s="380" t="s">
        <v>788</v>
      </c>
      <c r="J8073" s="380" t="s">
        <v>773</v>
      </c>
      <c r="K8073" s="381">
        <v>0.0</v>
      </c>
      <c r="L8073" s="382">
        <v>1.0</v>
      </c>
    </row>
    <row r="8074">
      <c r="A8074" s="380" t="s">
        <v>8948</v>
      </c>
      <c r="B8074" s="380" t="str">
        <f>IFERROR(__xludf.DUMMYFUNCTION("""COMPUTED_VALUE"""),"Set Rodillo Rda Del Ext Nkr 32207")</f>
        <v>Set Rodillo Rda Del Ext Nkr 32207</v>
      </c>
      <c r="C8074" s="380" t="str">
        <f>IFERROR(__xludf.DUMMYFUNCTION("""COMPUTED_VALUE"""),"70003492")</f>
        <v>70003492</v>
      </c>
      <c r="D8074" s="380" t="s">
        <v>767</v>
      </c>
      <c r="E8074" s="380" t="s">
        <v>786</v>
      </c>
      <c r="F8074" s="380" t="s">
        <v>1017</v>
      </c>
      <c r="G8074" s="380" t="s">
        <v>1267</v>
      </c>
      <c r="H8074" s="380" t="s">
        <v>771</v>
      </c>
      <c r="I8074" s="380" t="s">
        <v>788</v>
      </c>
      <c r="J8074" s="380" t="s">
        <v>773</v>
      </c>
      <c r="K8074" s="381">
        <v>0.0</v>
      </c>
      <c r="L8074" s="382">
        <v>1.0</v>
      </c>
    </row>
    <row r="8075">
      <c r="A8075" s="380" t="s">
        <v>8949</v>
      </c>
      <c r="B8075" s="380" t="str">
        <f>IFERROR(__xludf.DUMMYFUNCTION("""COMPUTED_VALUE"""),"Bomba Freno Nkr 8972243740")</f>
        <v>Bomba Freno Nkr 8972243740</v>
      </c>
      <c r="C8075" s="380" t="str">
        <f>IFERROR(__xludf.DUMMYFUNCTION("""COMPUTED_VALUE"""),"70003493")</f>
        <v>70003493</v>
      </c>
      <c r="D8075" s="380" t="s">
        <v>767</v>
      </c>
      <c r="E8075" s="380" t="s">
        <v>786</v>
      </c>
      <c r="F8075" s="380" t="s">
        <v>1017</v>
      </c>
      <c r="G8075" s="380" t="s">
        <v>1267</v>
      </c>
      <c r="H8075" s="380" t="s">
        <v>771</v>
      </c>
      <c r="I8075" s="380" t="s">
        <v>788</v>
      </c>
      <c r="J8075" s="380" t="s">
        <v>773</v>
      </c>
      <c r="K8075" s="381">
        <v>0.0</v>
      </c>
      <c r="L8075" s="382">
        <v>1.0</v>
      </c>
    </row>
    <row r="8076">
      <c r="A8076" s="380" t="s">
        <v>8950</v>
      </c>
      <c r="B8076" s="380" t="str">
        <f>IFERROR(__xludf.DUMMYFUNCTION("""COMPUTED_VALUE"""),"Esparrago Bocin Npr 8973598030")</f>
        <v>Esparrago Bocin Npr 8973598030</v>
      </c>
      <c r="C8076" s="380" t="str">
        <f>IFERROR(__xludf.DUMMYFUNCTION("""COMPUTED_VALUE"""),"70003494")</f>
        <v>70003494</v>
      </c>
      <c r="D8076" s="380" t="s">
        <v>767</v>
      </c>
      <c r="E8076" s="380" t="s">
        <v>786</v>
      </c>
      <c r="F8076" s="380" t="s">
        <v>1017</v>
      </c>
      <c r="G8076" s="380" t="s">
        <v>1267</v>
      </c>
      <c r="H8076" s="380" t="s">
        <v>771</v>
      </c>
      <c r="I8076" s="380" t="s">
        <v>788</v>
      </c>
      <c r="J8076" s="380" t="s">
        <v>773</v>
      </c>
      <c r="K8076" s="381">
        <v>0.0</v>
      </c>
      <c r="L8076" s="382">
        <v>1.0</v>
      </c>
    </row>
    <row r="8077">
      <c r="A8077" s="380" t="s">
        <v>8951</v>
      </c>
      <c r="B8077" s="380" t="str">
        <f>IFERROR(__xludf.DUMMYFUNCTION("""COMPUTED_VALUE"""),"Rodamiento Rueda Hino Dutro 700018743")</f>
        <v>Rodamiento Rueda Hino Dutro 700018743</v>
      </c>
      <c r="C8077" s="380" t="str">
        <f>IFERROR(__xludf.DUMMYFUNCTION("""COMPUTED_VALUE"""),"70003495")</f>
        <v>70003495</v>
      </c>
      <c r="D8077" s="380" t="s">
        <v>767</v>
      </c>
      <c r="E8077" s="380" t="s">
        <v>786</v>
      </c>
      <c r="F8077" s="380" t="s">
        <v>1017</v>
      </c>
      <c r="G8077" s="380" t="s">
        <v>1267</v>
      </c>
      <c r="H8077" s="380" t="s">
        <v>771</v>
      </c>
      <c r="I8077" s="380" t="s">
        <v>788</v>
      </c>
      <c r="J8077" s="380" t="s">
        <v>773</v>
      </c>
      <c r="K8077" s="381">
        <v>0.0</v>
      </c>
      <c r="L8077" s="382">
        <v>1.0</v>
      </c>
    </row>
    <row r="8078">
      <c r="A8078" s="380" t="s">
        <v>8952</v>
      </c>
      <c r="B8078" s="380" t="str">
        <f>IFERROR(__xludf.DUMMYFUNCTION("""COMPUTED_VALUE"""),"Collarin Tras Izq Eagle")</f>
        <v>Collarin Tras Izq Eagle</v>
      </c>
      <c r="C8078" s="380" t="str">
        <f>IFERROR(__xludf.DUMMYFUNCTION("""COMPUTED_VALUE"""),"70003496")</f>
        <v>70003496</v>
      </c>
      <c r="D8078" s="380" t="s">
        <v>767</v>
      </c>
      <c r="E8078" s="380" t="s">
        <v>786</v>
      </c>
      <c r="F8078" s="380" t="s">
        <v>1017</v>
      </c>
      <c r="G8078" s="380" t="s">
        <v>1267</v>
      </c>
      <c r="H8078" s="380" t="s">
        <v>771</v>
      </c>
      <c r="I8078" s="380" t="s">
        <v>788</v>
      </c>
      <c r="J8078" s="380" t="s">
        <v>773</v>
      </c>
      <c r="K8078" s="381">
        <v>0.0</v>
      </c>
      <c r="L8078" s="382">
        <v>1.0</v>
      </c>
    </row>
    <row r="8079">
      <c r="A8079" s="380" t="s">
        <v>8953</v>
      </c>
      <c r="B8079" s="380" t="str">
        <f>IFERROR(__xludf.DUMMYFUNCTION("""COMPUTED_VALUE"""),"Base Conexion Mang Aire Eagle 3590549C2")</f>
        <v>Base Conexion Mang Aire Eagle 3590549C2</v>
      </c>
      <c r="C8079" s="380" t="str">
        <f>IFERROR(__xludf.DUMMYFUNCTION("""COMPUTED_VALUE"""),"70003497")</f>
        <v>70003497</v>
      </c>
      <c r="D8079" s="380" t="s">
        <v>767</v>
      </c>
      <c r="E8079" s="380" t="s">
        <v>786</v>
      </c>
      <c r="F8079" s="380" t="s">
        <v>1017</v>
      </c>
      <c r="G8079" s="380" t="s">
        <v>1267</v>
      </c>
      <c r="H8079" s="380" t="s">
        <v>771</v>
      </c>
      <c r="I8079" s="380" t="s">
        <v>788</v>
      </c>
      <c r="J8079" s="380" t="s">
        <v>773</v>
      </c>
      <c r="K8079" s="381">
        <v>0.0</v>
      </c>
      <c r="L8079" s="382">
        <v>1.0</v>
      </c>
    </row>
    <row r="8080">
      <c r="A8080" s="380" t="s">
        <v>8954</v>
      </c>
      <c r="B8080" s="380" t="str">
        <f>IFERROR(__xludf.DUMMYFUNCTION("""COMPUTED_VALUE"""),"Cilin Fre Tras Izq C Purga FRR1476011711")</f>
        <v>Cilin Fre Tras Izq C Purga FRR1476011711</v>
      </c>
      <c r="C8080" s="380" t="str">
        <f>IFERROR(__xludf.DUMMYFUNCTION("""COMPUTED_VALUE"""),"70003498")</f>
        <v>70003498</v>
      </c>
      <c r="D8080" s="380" t="s">
        <v>767</v>
      </c>
      <c r="E8080" s="380" t="s">
        <v>786</v>
      </c>
      <c r="F8080" s="380" t="s">
        <v>1017</v>
      </c>
      <c r="G8080" s="380" t="s">
        <v>1267</v>
      </c>
      <c r="H8080" s="380" t="s">
        <v>771</v>
      </c>
      <c r="I8080" s="380" t="s">
        <v>788</v>
      </c>
      <c r="J8080" s="380" t="s">
        <v>773</v>
      </c>
      <c r="K8080" s="381">
        <v>0.0</v>
      </c>
      <c r="L8080" s="382">
        <v>1.0</v>
      </c>
    </row>
    <row r="8081">
      <c r="A8081" s="380" t="s">
        <v>8955</v>
      </c>
      <c r="B8081" s="380" t="str">
        <f>IFERROR(__xludf.DUMMYFUNCTION("""COMPUTED_VALUE"""),"Banda Trailer Nueva 4515")</f>
        <v>Banda Trailer Nueva 4515</v>
      </c>
      <c r="C8081" s="380" t="str">
        <f>IFERROR(__xludf.DUMMYFUNCTION("""COMPUTED_VALUE"""),"70003499")</f>
        <v>70003499</v>
      </c>
      <c r="D8081" s="380" t="s">
        <v>767</v>
      </c>
      <c r="E8081" s="380" t="s">
        <v>786</v>
      </c>
      <c r="F8081" s="380" t="s">
        <v>1017</v>
      </c>
      <c r="G8081" s="380" t="s">
        <v>1267</v>
      </c>
      <c r="H8081" s="380" t="s">
        <v>771</v>
      </c>
      <c r="I8081" s="380" t="s">
        <v>788</v>
      </c>
      <c r="J8081" s="380" t="s">
        <v>773</v>
      </c>
      <c r="K8081" s="381">
        <v>127748.0</v>
      </c>
      <c r="L8081" s="382">
        <v>1.0</v>
      </c>
    </row>
    <row r="8082">
      <c r="A8082" s="380" t="s">
        <v>8956</v>
      </c>
      <c r="B8082" s="380" t="str">
        <f>IFERROR(__xludf.DUMMYFUNCTION("""COMPUTED_VALUE"""),"Retenedor Bocin Montacarga")</f>
        <v>Retenedor Bocin Montacarga</v>
      </c>
      <c r="C8082" s="380" t="str">
        <f>IFERROR(__xludf.DUMMYFUNCTION("""COMPUTED_VALUE"""),"70003500")</f>
        <v>70003500</v>
      </c>
      <c r="D8082" s="380" t="s">
        <v>767</v>
      </c>
      <c r="E8082" s="380" t="s">
        <v>786</v>
      </c>
      <c r="F8082" s="380" t="s">
        <v>1017</v>
      </c>
      <c r="G8082" s="380" t="s">
        <v>1267</v>
      </c>
      <c r="H8082" s="380" t="s">
        <v>771</v>
      </c>
      <c r="I8082" s="380" t="s">
        <v>788</v>
      </c>
      <c r="J8082" s="380" t="s">
        <v>773</v>
      </c>
      <c r="K8082" s="381">
        <v>0.0</v>
      </c>
      <c r="L8082" s="382">
        <v>1.0</v>
      </c>
    </row>
    <row r="8083">
      <c r="A8083" s="380" t="s">
        <v>8957</v>
      </c>
      <c r="B8083" s="380" t="str">
        <f>IFERROR(__xludf.DUMMYFUNCTION("""COMPUTED_VALUE"""),"Limpiador De Frenos Montacarga")</f>
        <v>Limpiador De Frenos Montacarga</v>
      </c>
      <c r="C8083" s="380" t="str">
        <f>IFERROR(__xludf.DUMMYFUNCTION("""COMPUTED_VALUE"""),"70003501")</f>
        <v>70003501</v>
      </c>
      <c r="D8083" s="380" t="s">
        <v>767</v>
      </c>
      <c r="E8083" s="380" t="s">
        <v>786</v>
      </c>
      <c r="F8083" s="380" t="s">
        <v>1017</v>
      </c>
      <c r="G8083" s="380" t="s">
        <v>1267</v>
      </c>
      <c r="H8083" s="380" t="s">
        <v>771</v>
      </c>
      <c r="I8083" s="380" t="s">
        <v>788</v>
      </c>
      <c r="J8083" s="380" t="s">
        <v>773</v>
      </c>
      <c r="K8083" s="381">
        <v>0.0</v>
      </c>
      <c r="L8083" s="382">
        <v>1.0</v>
      </c>
    </row>
    <row r="8084">
      <c r="A8084" s="380" t="s">
        <v>8958</v>
      </c>
      <c r="B8084" s="380" t="str">
        <f>IFERROR(__xludf.DUMMYFUNCTION("""COMPUTED_VALUE"""),"Cilin Fre Tras Der-Izq S P FRR1476011690")</f>
        <v>Cilin Fre Tras Der-Izq S P FRR1476011690</v>
      </c>
      <c r="C8084" s="380" t="str">
        <f>IFERROR(__xludf.DUMMYFUNCTION("""COMPUTED_VALUE"""),"70003502")</f>
        <v>70003502</v>
      </c>
      <c r="D8084" s="380" t="s">
        <v>767</v>
      </c>
      <c r="E8084" s="380" t="s">
        <v>786</v>
      </c>
      <c r="F8084" s="380" t="s">
        <v>1017</v>
      </c>
      <c r="G8084" s="380" t="s">
        <v>1267</v>
      </c>
      <c r="H8084" s="380" t="s">
        <v>771</v>
      </c>
      <c r="I8084" s="380" t="s">
        <v>788</v>
      </c>
      <c r="J8084" s="380" t="s">
        <v>773</v>
      </c>
      <c r="K8084" s="381">
        <v>0.0</v>
      </c>
      <c r="L8084" s="382">
        <v>1.0</v>
      </c>
    </row>
    <row r="8085">
      <c r="A8085" s="380" t="s">
        <v>8959</v>
      </c>
      <c r="B8085" s="380" t="str">
        <f>IFERROR(__xludf.DUMMYFUNCTION("""COMPUTED_VALUE"""),"Banda Freno 9403 Supertrack Jac")</f>
        <v>Banda Freno 9403 Supertrack Jac</v>
      </c>
      <c r="C8085" s="380" t="str">
        <f>IFERROR(__xludf.DUMMYFUNCTION("""COMPUTED_VALUE"""),"70003503")</f>
        <v>70003503</v>
      </c>
      <c r="D8085" s="380" t="s">
        <v>767</v>
      </c>
      <c r="E8085" s="380" t="s">
        <v>786</v>
      </c>
      <c r="F8085" s="380" t="s">
        <v>1017</v>
      </c>
      <c r="G8085" s="380" t="s">
        <v>1267</v>
      </c>
      <c r="H8085" s="380" t="s">
        <v>771</v>
      </c>
      <c r="I8085" s="380" t="s">
        <v>788</v>
      </c>
      <c r="J8085" s="380" t="s">
        <v>773</v>
      </c>
      <c r="K8085" s="381">
        <v>0.0</v>
      </c>
      <c r="L8085" s="382">
        <v>1.0</v>
      </c>
    </row>
    <row r="8086">
      <c r="A8086" s="380" t="s">
        <v>8960</v>
      </c>
      <c r="B8086" s="380" t="str">
        <f>IFERROR(__xludf.DUMMYFUNCTION("""COMPUTED_VALUE"""),"Banda Freno Tras Jac 1120 3502080E300TBK")</f>
        <v>Banda Freno Tras Jac 1120 3502080E300TBK</v>
      </c>
      <c r="C8086" s="380" t="str">
        <f>IFERROR(__xludf.DUMMYFUNCTION("""COMPUTED_VALUE"""),"70003504")</f>
        <v>70003504</v>
      </c>
      <c r="D8086" s="380" t="s">
        <v>767</v>
      </c>
      <c r="E8086" s="380" t="s">
        <v>786</v>
      </c>
      <c r="F8086" s="380" t="s">
        <v>1017</v>
      </c>
      <c r="G8086" s="380" t="s">
        <v>1267</v>
      </c>
      <c r="H8086" s="380" t="s">
        <v>771</v>
      </c>
      <c r="I8086" s="380" t="s">
        <v>788</v>
      </c>
      <c r="J8086" s="380" t="s">
        <v>773</v>
      </c>
      <c r="K8086" s="381">
        <v>0.0</v>
      </c>
      <c r="L8086" s="382">
        <v>1.0</v>
      </c>
    </row>
    <row r="8087">
      <c r="A8087" s="380" t="s">
        <v>8961</v>
      </c>
      <c r="B8087" s="380" t="str">
        <f>IFERROR(__xludf.DUMMYFUNCTION("""COMPUTED_VALUE"""),"Campana Tras MV5 Foton 7705946044738")</f>
        <v>Campana Tras MV5 Foton 7705946044738</v>
      </c>
      <c r="C8087" s="380" t="str">
        <f>IFERROR(__xludf.DUMMYFUNCTION("""COMPUTED_VALUE"""),"70003505")</f>
        <v>70003505</v>
      </c>
      <c r="D8087" s="380" t="s">
        <v>767</v>
      </c>
      <c r="E8087" s="380" t="s">
        <v>786</v>
      </c>
      <c r="F8087" s="380" t="s">
        <v>1017</v>
      </c>
      <c r="G8087" s="380" t="s">
        <v>1267</v>
      </c>
      <c r="H8087" s="380" t="s">
        <v>771</v>
      </c>
      <c r="I8087" s="380" t="s">
        <v>788</v>
      </c>
      <c r="J8087" s="380" t="s">
        <v>773</v>
      </c>
      <c r="K8087" s="381">
        <v>0.0</v>
      </c>
      <c r="L8087" s="382">
        <v>1.0</v>
      </c>
    </row>
    <row r="8088">
      <c r="A8088" s="380" t="s">
        <v>8962</v>
      </c>
      <c r="B8088" s="380" t="str">
        <f>IFERROR(__xludf.DUMMYFUNCTION("""COMPUTED_VALUE"""),"Reten Semieje 35x46x7 7701023086332")</f>
        <v>Reten Semieje 35x46x7 7701023086332</v>
      </c>
      <c r="C8088" s="380" t="str">
        <f>IFERROR(__xludf.DUMMYFUNCTION("""COMPUTED_VALUE"""),"70003506")</f>
        <v>70003506</v>
      </c>
      <c r="D8088" s="380" t="s">
        <v>767</v>
      </c>
      <c r="E8088" s="380" t="s">
        <v>786</v>
      </c>
      <c r="F8088" s="380" t="s">
        <v>1017</v>
      </c>
      <c r="G8088" s="380" t="s">
        <v>1267</v>
      </c>
      <c r="H8088" s="380" t="s">
        <v>771</v>
      </c>
      <c r="I8088" s="380" t="s">
        <v>788</v>
      </c>
      <c r="J8088" s="380" t="s">
        <v>773</v>
      </c>
      <c r="K8088" s="381">
        <v>11000.0</v>
      </c>
      <c r="L8088" s="382">
        <v>1.0</v>
      </c>
    </row>
    <row r="8089">
      <c r="A8089" s="380" t="s">
        <v>8963</v>
      </c>
      <c r="B8089" s="380" t="str">
        <f>IFERROR(__xludf.DUMMYFUNCTION("""COMPUTED_VALUE"""),"Pin De Ojo Ext Leva Trailer")</f>
        <v>Pin De Ojo Ext Leva Trailer</v>
      </c>
      <c r="C8089" s="380" t="str">
        <f>IFERROR(__xludf.DUMMYFUNCTION("""COMPUTED_VALUE"""),"70003507")</f>
        <v>70003507</v>
      </c>
      <c r="D8089" s="380" t="s">
        <v>767</v>
      </c>
      <c r="E8089" s="380" t="s">
        <v>786</v>
      </c>
      <c r="F8089" s="380" t="s">
        <v>1017</v>
      </c>
      <c r="G8089" s="380" t="s">
        <v>1267</v>
      </c>
      <c r="H8089" s="380" t="s">
        <v>771</v>
      </c>
      <c r="I8089" s="380" t="s">
        <v>788</v>
      </c>
      <c r="J8089" s="380" t="s">
        <v>773</v>
      </c>
      <c r="K8089" s="381">
        <v>0.0</v>
      </c>
      <c r="L8089" s="382">
        <v>1.0</v>
      </c>
    </row>
    <row r="8090">
      <c r="A8090" s="380" t="s">
        <v>8964</v>
      </c>
      <c r="B8090" s="380" t="str">
        <f>IFERROR(__xludf.DUMMYFUNCTION("""COMPUTED_VALUE"""),"Racor 3/4 Valvu Aire Tanq Eagle3826347C1")</f>
        <v>Racor 3/4 Valvu Aire Tanq Eagle3826347C1</v>
      </c>
      <c r="C8090" s="380" t="str">
        <f>IFERROR(__xludf.DUMMYFUNCTION("""COMPUTED_VALUE"""),"70003508")</f>
        <v>70003508</v>
      </c>
      <c r="D8090" s="380" t="s">
        <v>767</v>
      </c>
      <c r="E8090" s="380" t="s">
        <v>786</v>
      </c>
      <c r="F8090" s="380" t="s">
        <v>1017</v>
      </c>
      <c r="G8090" s="380" t="s">
        <v>1267</v>
      </c>
      <c r="H8090" s="380" t="s">
        <v>771</v>
      </c>
      <c r="I8090" s="380" t="s">
        <v>788</v>
      </c>
      <c r="J8090" s="380" t="s">
        <v>773</v>
      </c>
      <c r="K8090" s="381">
        <v>0.0</v>
      </c>
      <c r="L8090" s="382">
        <v>1.0</v>
      </c>
    </row>
    <row r="8091">
      <c r="A8091" s="380" t="s">
        <v>8965</v>
      </c>
      <c r="B8091" s="380" t="str">
        <f>IFERROR(__xludf.DUMMYFUNCTION("""COMPUTED_VALUE"""),"Rodaja Barril Corto 1 1/4""")</f>
        <v>Rodaja Barril Corto 1 1/4"</v>
      </c>
      <c r="C8091" s="380" t="str">
        <f>IFERROR(__xludf.DUMMYFUNCTION("""COMPUTED_VALUE"""),"70003509")</f>
        <v>70003509</v>
      </c>
      <c r="D8091" s="380" t="s">
        <v>767</v>
      </c>
      <c r="E8091" s="380" t="s">
        <v>786</v>
      </c>
      <c r="F8091" s="380" t="s">
        <v>1017</v>
      </c>
      <c r="G8091" s="380" t="s">
        <v>1267</v>
      </c>
      <c r="H8091" s="380" t="s">
        <v>771</v>
      </c>
      <c r="I8091" s="380" t="s">
        <v>788</v>
      </c>
      <c r="J8091" s="380" t="s">
        <v>773</v>
      </c>
      <c r="K8091" s="381">
        <v>0.0</v>
      </c>
      <c r="L8091" s="382">
        <v>1.0</v>
      </c>
    </row>
    <row r="8092">
      <c r="A8092" s="380" t="s">
        <v>8966</v>
      </c>
      <c r="B8092" s="380" t="str">
        <f>IFERROR(__xludf.DUMMYFUNCTION("""COMPUTED_VALUE"""),"Rodaja Barril Corto 1 1/4"" 1 3/8""")</f>
        <v>Rodaja Barril Corto 1 1/4" 1 3/8"</v>
      </c>
      <c r="C8092" s="380" t="str">
        <f>IFERROR(__xludf.DUMMYFUNCTION("""COMPUTED_VALUE"""),"70003510")</f>
        <v>70003510</v>
      </c>
      <c r="D8092" s="380" t="s">
        <v>767</v>
      </c>
      <c r="E8092" s="380" t="s">
        <v>786</v>
      </c>
      <c r="F8092" s="380" t="s">
        <v>1017</v>
      </c>
      <c r="G8092" s="380" t="s">
        <v>1267</v>
      </c>
      <c r="H8092" s="380" t="s">
        <v>771</v>
      </c>
      <c r="I8092" s="380" t="s">
        <v>788</v>
      </c>
      <c r="J8092" s="380" t="s">
        <v>773</v>
      </c>
      <c r="K8092" s="381">
        <v>0.0</v>
      </c>
      <c r="L8092" s="382">
        <v>1.0</v>
      </c>
    </row>
    <row r="8093">
      <c r="A8093" s="380" t="s">
        <v>8967</v>
      </c>
      <c r="B8093" s="380" t="str">
        <f>IFERROR(__xludf.DUMMYFUNCTION("""COMPUTED_VALUE"""),"Rodaja Barril Largo 1 1/2""")</f>
        <v>Rodaja Barril Largo 1 1/2"</v>
      </c>
      <c r="C8093" s="380" t="str">
        <f>IFERROR(__xludf.DUMMYFUNCTION("""COMPUTED_VALUE"""),"70003511")</f>
        <v>70003511</v>
      </c>
      <c r="D8093" s="380" t="s">
        <v>767</v>
      </c>
      <c r="E8093" s="380" t="s">
        <v>786</v>
      </c>
      <c r="F8093" s="380" t="s">
        <v>1017</v>
      </c>
      <c r="G8093" s="380" t="s">
        <v>1267</v>
      </c>
      <c r="H8093" s="380" t="s">
        <v>771</v>
      </c>
      <c r="I8093" s="380" t="s">
        <v>788</v>
      </c>
      <c r="J8093" s="380" t="s">
        <v>773</v>
      </c>
      <c r="K8093" s="381">
        <v>12709.0</v>
      </c>
      <c r="L8093" s="382">
        <v>1.0</v>
      </c>
    </row>
    <row r="8094">
      <c r="A8094" s="380" t="s">
        <v>8968</v>
      </c>
      <c r="B8094" s="380" t="str">
        <f>IFERROR(__xludf.DUMMYFUNCTION("""COMPUTED_VALUE"""),"Bomba Freno KW T800 102626")</f>
        <v>Bomba Freno KW T800 102626</v>
      </c>
      <c r="C8094" s="380" t="str">
        <f>IFERROR(__xludf.DUMMYFUNCTION("""COMPUTED_VALUE"""),"70003512")</f>
        <v>70003512</v>
      </c>
      <c r="D8094" s="380" t="s">
        <v>767</v>
      </c>
      <c r="E8094" s="380" t="s">
        <v>786</v>
      </c>
      <c r="F8094" s="380" t="s">
        <v>1017</v>
      </c>
      <c r="G8094" s="380" t="s">
        <v>1267</v>
      </c>
      <c r="H8094" s="380" t="s">
        <v>771</v>
      </c>
      <c r="I8094" s="380" t="s">
        <v>788</v>
      </c>
      <c r="J8094" s="380" t="s">
        <v>773</v>
      </c>
      <c r="K8094" s="381">
        <v>0.0</v>
      </c>
      <c r="L8094" s="382">
        <v>1.0</v>
      </c>
    </row>
    <row r="8095">
      <c r="A8095" s="380" t="s">
        <v>8969</v>
      </c>
      <c r="B8095" s="380" t="str">
        <f>IFERROR(__xludf.DUMMYFUNCTION("""COMPUTED_VALUE"""),"Rodaja Barril Largo 1 1/4""")</f>
        <v>Rodaja Barril Largo 1 1/4"</v>
      </c>
      <c r="C8095" s="380" t="str">
        <f>IFERROR(__xludf.DUMMYFUNCTION("""COMPUTED_VALUE"""),"70003513")</f>
        <v>70003513</v>
      </c>
      <c r="D8095" s="380" t="s">
        <v>767</v>
      </c>
      <c r="E8095" s="380" t="s">
        <v>786</v>
      </c>
      <c r="F8095" s="380" t="s">
        <v>1017</v>
      </c>
      <c r="G8095" s="380" t="s">
        <v>1267</v>
      </c>
      <c r="H8095" s="380" t="s">
        <v>771</v>
      </c>
      <c r="I8095" s="380" t="s">
        <v>788</v>
      </c>
      <c r="J8095" s="380" t="s">
        <v>773</v>
      </c>
      <c r="K8095" s="381">
        <v>7535.0</v>
      </c>
      <c r="L8095" s="382">
        <v>1.0</v>
      </c>
    </row>
    <row r="8096">
      <c r="A8096" s="380" t="s">
        <v>8970</v>
      </c>
      <c r="B8096" s="380" t="str">
        <f>IFERROR(__xludf.DUMMYFUNCTION("""COMPUTED_VALUE"""),"Rodaja Barril Largo 1 3/4""")</f>
        <v>Rodaja Barril Largo 1 3/4"</v>
      </c>
      <c r="C8096" s="380" t="str">
        <f>IFERROR(__xludf.DUMMYFUNCTION("""COMPUTED_VALUE"""),"70003514")</f>
        <v>70003514</v>
      </c>
      <c r="D8096" s="380" t="s">
        <v>767</v>
      </c>
      <c r="E8096" s="380" t="s">
        <v>786</v>
      </c>
      <c r="F8096" s="380" t="s">
        <v>1017</v>
      </c>
      <c r="G8096" s="380" t="s">
        <v>1267</v>
      </c>
      <c r="H8096" s="380" t="s">
        <v>771</v>
      </c>
      <c r="I8096" s="380" t="s">
        <v>788</v>
      </c>
      <c r="J8096" s="380" t="s">
        <v>773</v>
      </c>
      <c r="K8096" s="381">
        <v>0.0</v>
      </c>
      <c r="L8096" s="382">
        <v>1.0</v>
      </c>
    </row>
    <row r="8097">
      <c r="A8097" s="380" t="s">
        <v>8971</v>
      </c>
      <c r="B8097" s="380" t="str">
        <f>IFERROR(__xludf.DUMMYFUNCTION("""COMPUTED_VALUE"""),"Rodaja Barril Largo 1 3/8""")</f>
        <v>Rodaja Barril Largo 1 3/8"</v>
      </c>
      <c r="C8097" s="380" t="str">
        <f>IFERROR(__xludf.DUMMYFUNCTION("""COMPUTED_VALUE"""),"70003515")</f>
        <v>70003515</v>
      </c>
      <c r="D8097" s="380" t="s">
        <v>767</v>
      </c>
      <c r="E8097" s="380" t="s">
        <v>786</v>
      </c>
      <c r="F8097" s="380" t="s">
        <v>1017</v>
      </c>
      <c r="G8097" s="380" t="s">
        <v>1267</v>
      </c>
      <c r="H8097" s="380" t="s">
        <v>771</v>
      </c>
      <c r="I8097" s="380" t="s">
        <v>788</v>
      </c>
      <c r="J8097" s="380" t="s">
        <v>773</v>
      </c>
      <c r="K8097" s="381">
        <v>8740.0</v>
      </c>
      <c r="L8097" s="382">
        <v>1.0</v>
      </c>
    </row>
    <row r="8098">
      <c r="A8098" s="380" t="s">
        <v>8972</v>
      </c>
      <c r="B8098" s="380" t="str">
        <f>IFERROR(__xludf.DUMMYFUNCTION("""COMPUTED_VALUE"""),"Rodaja Barril Largo 1 7/8""")</f>
        <v>Rodaja Barril Largo 1 7/8"</v>
      </c>
      <c r="C8098" s="380" t="str">
        <f>IFERROR(__xludf.DUMMYFUNCTION("""COMPUTED_VALUE"""),"70003516")</f>
        <v>70003516</v>
      </c>
      <c r="D8098" s="380" t="s">
        <v>767</v>
      </c>
      <c r="E8098" s="380" t="s">
        <v>786</v>
      </c>
      <c r="F8098" s="380" t="s">
        <v>1017</v>
      </c>
      <c r="G8098" s="380" t="s">
        <v>1267</v>
      </c>
      <c r="H8098" s="380" t="s">
        <v>771</v>
      </c>
      <c r="I8098" s="380" t="s">
        <v>788</v>
      </c>
      <c r="J8098" s="380" t="s">
        <v>773</v>
      </c>
      <c r="K8098" s="381">
        <v>0.0</v>
      </c>
      <c r="L8098" s="382">
        <v>1.0</v>
      </c>
    </row>
    <row r="8099">
      <c r="A8099" s="380" t="s">
        <v>8973</v>
      </c>
      <c r="B8099" s="380" t="str">
        <f>IFERROR(__xludf.DUMMYFUNCTION("""COMPUTED_VALUE"""),"Rodaja Barril Largo 2""")</f>
        <v>Rodaja Barril Largo 2"</v>
      </c>
      <c r="C8099" s="380" t="str">
        <f>IFERROR(__xludf.DUMMYFUNCTION("""COMPUTED_VALUE"""),"70003517")</f>
        <v>70003517</v>
      </c>
      <c r="D8099" s="380" t="s">
        <v>767</v>
      </c>
      <c r="E8099" s="380" t="s">
        <v>786</v>
      </c>
      <c r="F8099" s="380" t="s">
        <v>1017</v>
      </c>
      <c r="G8099" s="380" t="s">
        <v>1267</v>
      </c>
      <c r="H8099" s="380" t="s">
        <v>771</v>
      </c>
      <c r="I8099" s="380" t="s">
        <v>788</v>
      </c>
      <c r="J8099" s="380" t="s">
        <v>773</v>
      </c>
      <c r="K8099" s="381">
        <v>0.0</v>
      </c>
      <c r="L8099" s="382">
        <v>1.0</v>
      </c>
    </row>
    <row r="8100">
      <c r="A8100" s="380" t="s">
        <v>8974</v>
      </c>
      <c r="B8100" s="380" t="str">
        <f>IFERROR(__xludf.DUMMYFUNCTION("""COMPUTED_VALUE"""),"Rodaja Barril Largo 1 5/8""")</f>
        <v>Rodaja Barril Largo 1 5/8"</v>
      </c>
      <c r="C8100" s="380" t="str">
        <f>IFERROR(__xludf.DUMMYFUNCTION("""COMPUTED_VALUE"""),"70003518")</f>
        <v>70003518</v>
      </c>
      <c r="D8100" s="380" t="s">
        <v>767</v>
      </c>
      <c r="E8100" s="380" t="s">
        <v>786</v>
      </c>
      <c r="F8100" s="380" t="s">
        <v>1017</v>
      </c>
      <c r="G8100" s="380" t="s">
        <v>1267</v>
      </c>
      <c r="H8100" s="380" t="s">
        <v>771</v>
      </c>
      <c r="I8100" s="380" t="s">
        <v>788</v>
      </c>
      <c r="J8100" s="380" t="s">
        <v>773</v>
      </c>
      <c r="K8100" s="381">
        <v>12325.0</v>
      </c>
      <c r="L8100" s="382">
        <v>1.0</v>
      </c>
    </row>
    <row r="8101">
      <c r="A8101" s="380" t="s">
        <v>8975</v>
      </c>
      <c r="B8101" s="380" t="str">
        <f>IFERROR(__xludf.DUMMYFUNCTION("""COMPUTED_VALUE"""),"Rodaja Barril Largo 1""")</f>
        <v>Rodaja Barril Largo 1"</v>
      </c>
      <c r="C8101" s="380" t="str">
        <f>IFERROR(__xludf.DUMMYFUNCTION("""COMPUTED_VALUE"""),"70003519")</f>
        <v>70003519</v>
      </c>
      <c r="D8101" s="380" t="s">
        <v>767</v>
      </c>
      <c r="E8101" s="380" t="s">
        <v>786</v>
      </c>
      <c r="F8101" s="380" t="s">
        <v>1017</v>
      </c>
      <c r="G8101" s="380" t="s">
        <v>1267</v>
      </c>
      <c r="H8101" s="380" t="s">
        <v>771</v>
      </c>
      <c r="I8101" s="380" t="s">
        <v>788</v>
      </c>
      <c r="J8101" s="380" t="s">
        <v>773</v>
      </c>
      <c r="K8101" s="381">
        <v>5950.0</v>
      </c>
      <c r="L8101" s="382">
        <v>1.0</v>
      </c>
    </row>
    <row r="8102">
      <c r="A8102" s="380" t="s">
        <v>8976</v>
      </c>
      <c r="B8102" s="380" t="str">
        <f>IFERROR(__xludf.DUMMYFUNCTION("""COMPUTED_VALUE"""),"Rache Automatic 10 Estri Tipo 3 Meritor")</f>
        <v>Rache Automatic 10 Estri Tipo 3 Meritor</v>
      </c>
      <c r="C8102" s="380" t="str">
        <f>IFERROR(__xludf.DUMMYFUNCTION("""COMPUTED_VALUE"""),"70003520")</f>
        <v>70003520</v>
      </c>
      <c r="D8102" s="380" t="s">
        <v>767</v>
      </c>
      <c r="E8102" s="380" t="s">
        <v>786</v>
      </c>
      <c r="F8102" s="380" t="s">
        <v>1017</v>
      </c>
      <c r="G8102" s="380" t="s">
        <v>1267</v>
      </c>
      <c r="H8102" s="380" t="s">
        <v>771</v>
      </c>
      <c r="I8102" s="380" t="s">
        <v>788</v>
      </c>
      <c r="J8102" s="380" t="s">
        <v>773</v>
      </c>
      <c r="K8102" s="381">
        <v>0.0</v>
      </c>
      <c r="L8102" s="382">
        <v>1.0</v>
      </c>
    </row>
    <row r="8103">
      <c r="A8103" s="380" t="s">
        <v>8977</v>
      </c>
      <c r="B8103" s="380" t="str">
        <f>IFERROR(__xludf.DUMMYFUNCTION("""COMPUTED_VALUE"""),"Guaya RH Freno Mano Foton MV5 7705946033")</f>
        <v>Guaya RH Freno Mano Foton MV5 7705946033</v>
      </c>
      <c r="C8103" s="380" t="str">
        <f>IFERROR(__xludf.DUMMYFUNCTION("""COMPUTED_VALUE"""),"70003521")</f>
        <v>70003521</v>
      </c>
      <c r="D8103" s="380" t="s">
        <v>767</v>
      </c>
      <c r="E8103" s="380" t="s">
        <v>786</v>
      </c>
      <c r="F8103" s="380" t="s">
        <v>1017</v>
      </c>
      <c r="G8103" s="380" t="s">
        <v>1267</v>
      </c>
      <c r="H8103" s="380" t="s">
        <v>771</v>
      </c>
      <c r="I8103" s="380" t="s">
        <v>788</v>
      </c>
      <c r="J8103" s="380" t="s">
        <v>773</v>
      </c>
      <c r="K8103" s="381">
        <v>0.0</v>
      </c>
      <c r="L8103" s="382">
        <v>1.0</v>
      </c>
    </row>
    <row r="8104">
      <c r="A8104" s="380" t="s">
        <v>8978</v>
      </c>
      <c r="B8104" s="380" t="str">
        <f>IFERROR(__xludf.DUMMYFUNCTION("""COMPUTED_VALUE"""),"Pasador Zapata Tipo Rodaja 1 1/4")</f>
        <v>Pasador Zapata Tipo Rodaja 1 1/4</v>
      </c>
      <c r="C8104" s="380" t="str">
        <f>IFERROR(__xludf.DUMMYFUNCTION("""COMPUTED_VALUE"""),"70003522")</f>
        <v>70003522</v>
      </c>
      <c r="D8104" s="380" t="s">
        <v>767</v>
      </c>
      <c r="E8104" s="380" t="s">
        <v>786</v>
      </c>
      <c r="F8104" s="380" t="s">
        <v>1017</v>
      </c>
      <c r="G8104" s="380" t="s">
        <v>1267</v>
      </c>
      <c r="H8104" s="380" t="s">
        <v>771</v>
      </c>
      <c r="I8104" s="380" t="s">
        <v>788</v>
      </c>
      <c r="J8104" s="380" t="s">
        <v>773</v>
      </c>
      <c r="K8104" s="381">
        <v>8796.0</v>
      </c>
      <c r="L8104" s="382">
        <v>1.0</v>
      </c>
    </row>
    <row r="8105">
      <c r="A8105" s="380" t="s">
        <v>8979</v>
      </c>
      <c r="B8105" s="380" t="str">
        <f>IFERROR(__xludf.DUMMYFUNCTION("""COMPUTED_VALUE"""),"Filtro Aire AG961124R KW T800")</f>
        <v>Filtro Aire AG961124R KW T800</v>
      </c>
      <c r="C8105" s="380" t="str">
        <f>IFERROR(__xludf.DUMMYFUNCTION("""COMPUTED_VALUE"""),"70003523")</f>
        <v>70003523</v>
      </c>
      <c r="D8105" s="380" t="s">
        <v>767</v>
      </c>
      <c r="E8105" s="380" t="s">
        <v>786</v>
      </c>
      <c r="F8105" s="380" t="s">
        <v>5855</v>
      </c>
      <c r="G8105" s="380" t="s">
        <v>1267</v>
      </c>
      <c r="H8105" s="380" t="s">
        <v>771</v>
      </c>
      <c r="I8105" s="380" t="s">
        <v>788</v>
      </c>
      <c r="J8105" s="380" t="s">
        <v>773</v>
      </c>
      <c r="K8105" s="381">
        <v>258934.0</v>
      </c>
      <c r="L8105" s="382">
        <v>1.0</v>
      </c>
    </row>
    <row r="8106">
      <c r="A8106" s="380" t="s">
        <v>8980</v>
      </c>
      <c r="B8106" s="380" t="str">
        <f>IFERROR(__xludf.DUMMYFUNCTION("""COMPUTED_VALUE"""),"Filtro Aire KW T 800 AG961124R")</f>
        <v>Filtro Aire KW T 800 AG961124R</v>
      </c>
      <c r="C8106" s="380" t="str">
        <f>IFERROR(__xludf.DUMMYFUNCTION("""COMPUTED_VALUE"""),"70003524")</f>
        <v>70003524</v>
      </c>
      <c r="D8106" s="380" t="s">
        <v>767</v>
      </c>
      <c r="E8106" s="380" t="s">
        <v>786</v>
      </c>
      <c r="F8106" s="380" t="s">
        <v>5855</v>
      </c>
      <c r="G8106" s="380" t="s">
        <v>1267</v>
      </c>
      <c r="H8106" s="380" t="s">
        <v>771</v>
      </c>
      <c r="I8106" s="380" t="s">
        <v>788</v>
      </c>
      <c r="J8106" s="380" t="s">
        <v>773</v>
      </c>
      <c r="K8106" s="381">
        <v>143193.0</v>
      </c>
      <c r="L8106" s="382">
        <v>1.0</v>
      </c>
    </row>
    <row r="8107">
      <c r="A8107" s="380" t="s">
        <v>8981</v>
      </c>
      <c r="B8107" s="380" t="str">
        <f>IFERROR(__xludf.DUMMYFUNCTION("""COMPUTED_VALUE"""),"Filtro Aire Fot BJ1039 Md2020 MAG961341R")</f>
        <v>Filtro Aire Fot BJ1039 Md2020 MAG961341R</v>
      </c>
      <c r="C8107" s="380" t="str">
        <f>IFERROR(__xludf.DUMMYFUNCTION("""COMPUTED_VALUE"""),"70003525")</f>
        <v>70003525</v>
      </c>
      <c r="D8107" s="380" t="s">
        <v>767</v>
      </c>
      <c r="E8107" s="380" t="s">
        <v>786</v>
      </c>
      <c r="F8107" s="380" t="s">
        <v>5855</v>
      </c>
      <c r="G8107" s="380" t="s">
        <v>1267</v>
      </c>
      <c r="H8107" s="380" t="s">
        <v>771</v>
      </c>
      <c r="I8107" s="380" t="s">
        <v>788</v>
      </c>
      <c r="J8107" s="380" t="s">
        <v>773</v>
      </c>
      <c r="K8107" s="381">
        <v>60176.0</v>
      </c>
      <c r="L8107" s="382">
        <v>1.0</v>
      </c>
    </row>
    <row r="8108">
      <c r="A8108" s="380" t="s">
        <v>8982</v>
      </c>
      <c r="B8108" s="380" t="str">
        <f>IFERROR(__xludf.DUMMYFUNCTION("""COMPUTED_VALUE"""),"Filtro Aire Hyundai H100 Porter")</f>
        <v>Filtro Aire Hyundai H100 Porter</v>
      </c>
      <c r="C8108" s="380" t="str">
        <f>IFERROR(__xludf.DUMMYFUNCTION("""COMPUTED_VALUE"""),"70003526")</f>
        <v>70003526</v>
      </c>
      <c r="D8108" s="380" t="s">
        <v>767</v>
      </c>
      <c r="E8108" s="380" t="s">
        <v>786</v>
      </c>
      <c r="F8108" s="380" t="s">
        <v>5855</v>
      </c>
      <c r="G8108" s="380" t="s">
        <v>1267</v>
      </c>
      <c r="H8108" s="380" t="s">
        <v>771</v>
      </c>
      <c r="I8108" s="380" t="s">
        <v>788</v>
      </c>
      <c r="J8108" s="380" t="s">
        <v>773</v>
      </c>
      <c r="K8108" s="381">
        <v>0.0</v>
      </c>
      <c r="L8108" s="382">
        <v>1.0</v>
      </c>
    </row>
    <row r="8109">
      <c r="A8109" s="380" t="s">
        <v>8983</v>
      </c>
      <c r="B8109" s="380" t="str">
        <f>IFERROR(__xludf.DUMMYFUNCTION("""COMPUTED_VALUE"""),"Filtro Aceite Hyundai H100 Porter")</f>
        <v>Filtro Aceite Hyundai H100 Porter</v>
      </c>
      <c r="C8109" s="380" t="str">
        <f>IFERROR(__xludf.DUMMYFUNCTION("""COMPUTED_VALUE"""),"70003527")</f>
        <v>70003527</v>
      </c>
      <c r="D8109" s="380" t="s">
        <v>767</v>
      </c>
      <c r="E8109" s="380" t="s">
        <v>786</v>
      </c>
      <c r="F8109" s="380" t="s">
        <v>5855</v>
      </c>
      <c r="G8109" s="380" t="s">
        <v>1267</v>
      </c>
      <c r="H8109" s="380" t="s">
        <v>771</v>
      </c>
      <c r="I8109" s="380" t="s">
        <v>788</v>
      </c>
      <c r="J8109" s="380" t="s">
        <v>773</v>
      </c>
      <c r="K8109" s="381">
        <v>0.0</v>
      </c>
      <c r="L8109" s="382">
        <v>1.0</v>
      </c>
    </row>
    <row r="8110">
      <c r="A8110" s="380" t="s">
        <v>8984</v>
      </c>
      <c r="B8110" s="380" t="str">
        <f>IFERROR(__xludf.DUMMYFUNCTION("""COMPUTED_VALUE"""),"Filtro Combustible Hyundai H100 Porter")</f>
        <v>Filtro Combustible Hyundai H100 Porter</v>
      </c>
      <c r="C8110" s="380" t="str">
        <f>IFERROR(__xludf.DUMMYFUNCTION("""COMPUTED_VALUE"""),"70003528")</f>
        <v>70003528</v>
      </c>
      <c r="D8110" s="380" t="s">
        <v>767</v>
      </c>
      <c r="E8110" s="380" t="s">
        <v>786</v>
      </c>
      <c r="F8110" s="380" t="s">
        <v>5855</v>
      </c>
      <c r="G8110" s="380" t="s">
        <v>1267</v>
      </c>
      <c r="H8110" s="380" t="s">
        <v>771</v>
      </c>
      <c r="I8110" s="380" t="s">
        <v>788</v>
      </c>
      <c r="J8110" s="380" t="s">
        <v>773</v>
      </c>
      <c r="K8110" s="381">
        <v>0.0</v>
      </c>
      <c r="L8110" s="382">
        <v>1.0</v>
      </c>
    </row>
    <row r="8111">
      <c r="A8111" s="380" t="s">
        <v>8985</v>
      </c>
      <c r="B8111" s="380" t="str">
        <f>IFERROR(__xludf.DUMMYFUNCTION("""COMPUTED_VALUE"""),"Filtro Combustible Renault Duster FF5857")</f>
        <v>Filtro Combustible Renault Duster FF5857</v>
      </c>
      <c r="C8111" s="380" t="str">
        <f>IFERROR(__xludf.DUMMYFUNCTION("""COMPUTED_VALUE"""),"70003529")</f>
        <v>70003529</v>
      </c>
      <c r="D8111" s="380" t="s">
        <v>767</v>
      </c>
      <c r="E8111" s="380" t="s">
        <v>786</v>
      </c>
      <c r="F8111" s="380" t="s">
        <v>5855</v>
      </c>
      <c r="G8111" s="380" t="s">
        <v>1267</v>
      </c>
      <c r="H8111" s="380" t="s">
        <v>771</v>
      </c>
      <c r="I8111" s="380" t="s">
        <v>788</v>
      </c>
      <c r="J8111" s="380" t="s">
        <v>773</v>
      </c>
      <c r="K8111" s="381">
        <v>0.0</v>
      </c>
      <c r="L8111" s="382">
        <v>1.0</v>
      </c>
    </row>
    <row r="8112">
      <c r="A8112" s="380" t="s">
        <v>8986</v>
      </c>
      <c r="B8112" s="380" t="str">
        <f>IFERROR(__xludf.DUMMYFUNCTION("""COMPUTED_VALUE"""),"Filtro Aceite Renault Duster")</f>
        <v>Filtro Aceite Renault Duster</v>
      </c>
      <c r="C8112" s="380" t="str">
        <f>IFERROR(__xludf.DUMMYFUNCTION("""COMPUTED_VALUE"""),"70003530")</f>
        <v>70003530</v>
      </c>
      <c r="D8112" s="380" t="s">
        <v>767</v>
      </c>
      <c r="E8112" s="380" t="s">
        <v>786</v>
      </c>
      <c r="F8112" s="380" t="s">
        <v>5855</v>
      </c>
      <c r="G8112" s="380" t="s">
        <v>1267</v>
      </c>
      <c r="H8112" s="380" t="s">
        <v>771</v>
      </c>
      <c r="I8112" s="380" t="s">
        <v>788</v>
      </c>
      <c r="J8112" s="380" t="s">
        <v>773</v>
      </c>
      <c r="K8112" s="381">
        <v>0.0</v>
      </c>
      <c r="L8112" s="382">
        <v>1.0</v>
      </c>
    </row>
    <row r="8113">
      <c r="A8113" s="380" t="s">
        <v>8987</v>
      </c>
      <c r="B8113" s="380" t="str">
        <f>IFERROR(__xludf.DUMMYFUNCTION("""COMPUTED_VALUE"""),"Filtro De Aire Renault Duster")</f>
        <v>Filtro De Aire Renault Duster</v>
      </c>
      <c r="C8113" s="380" t="str">
        <f>IFERROR(__xludf.DUMMYFUNCTION("""COMPUTED_VALUE"""),"70003531")</f>
        <v>70003531</v>
      </c>
      <c r="D8113" s="380" t="s">
        <v>767</v>
      </c>
      <c r="E8113" s="380" t="s">
        <v>786</v>
      </c>
      <c r="F8113" s="380" t="s">
        <v>5855</v>
      </c>
      <c r="G8113" s="380" t="s">
        <v>1267</v>
      </c>
      <c r="H8113" s="380" t="s">
        <v>771</v>
      </c>
      <c r="I8113" s="380" t="s">
        <v>788</v>
      </c>
      <c r="J8113" s="380" t="s">
        <v>773</v>
      </c>
      <c r="K8113" s="381">
        <v>0.0</v>
      </c>
      <c r="L8113" s="382">
        <v>1.0</v>
      </c>
    </row>
    <row r="8114">
      <c r="A8114" s="380" t="s">
        <v>8988</v>
      </c>
      <c r="B8114" s="380" t="str">
        <f>IFERROR(__xludf.DUMMYFUNCTION("""COMPUTED_VALUE"""),"Filtro De Aire Mack Anthem 219125042054")</f>
        <v>Filtro De Aire Mack Anthem 219125042054</v>
      </c>
      <c r="C8114" s="380" t="str">
        <f>IFERROR(__xludf.DUMMYFUNCTION("""COMPUTED_VALUE"""),"70003532")</f>
        <v>70003532</v>
      </c>
      <c r="D8114" s="380" t="s">
        <v>767</v>
      </c>
      <c r="E8114" s="380" t="s">
        <v>786</v>
      </c>
      <c r="F8114" s="380" t="s">
        <v>5855</v>
      </c>
      <c r="G8114" s="380" t="s">
        <v>1267</v>
      </c>
      <c r="H8114" s="380" t="s">
        <v>771</v>
      </c>
      <c r="I8114" s="380" t="s">
        <v>788</v>
      </c>
      <c r="J8114" s="380" t="s">
        <v>773</v>
      </c>
      <c r="K8114" s="381">
        <v>322613.0</v>
      </c>
      <c r="L8114" s="382">
        <v>1.0</v>
      </c>
    </row>
    <row r="8115">
      <c r="A8115" s="380" t="s">
        <v>8989</v>
      </c>
      <c r="B8115" s="380" t="str">
        <f>IFERROR(__xludf.DUMMYFUNCTION("""COMPUTED_VALUE"""),"Filtro Aire Mack Anthem Goby AG871378A")</f>
        <v>Filtro Aire Mack Anthem Goby AG871378A</v>
      </c>
      <c r="C8115" s="380" t="str">
        <f>IFERROR(__xludf.DUMMYFUNCTION("""COMPUTED_VALUE"""),"70003533")</f>
        <v>70003533</v>
      </c>
      <c r="D8115" s="380" t="s">
        <v>767</v>
      </c>
      <c r="E8115" s="380" t="s">
        <v>786</v>
      </c>
      <c r="F8115" s="380" t="s">
        <v>5855</v>
      </c>
      <c r="G8115" s="380" t="s">
        <v>1267</v>
      </c>
      <c r="H8115" s="380" t="s">
        <v>771</v>
      </c>
      <c r="I8115" s="380" t="s">
        <v>788</v>
      </c>
      <c r="J8115" s="380" t="s">
        <v>773</v>
      </c>
      <c r="K8115" s="381">
        <v>231952.0</v>
      </c>
      <c r="L8115" s="382">
        <v>1.0</v>
      </c>
    </row>
    <row r="8116">
      <c r="A8116" s="380" t="s">
        <v>8990</v>
      </c>
      <c r="B8116" s="380" t="str">
        <f>IFERROR(__xludf.DUMMYFUNCTION("""COMPUTED_VALUE"""),"Valvula Descargue Chasis KWh 289714")</f>
        <v>Valvula Descargue Chasis KWh 289714</v>
      </c>
      <c r="C8116" s="380" t="str">
        <f>IFERROR(__xludf.DUMMYFUNCTION("""COMPUTED_VALUE"""),"70003534")</f>
        <v>70003534</v>
      </c>
      <c r="D8116" s="380" t="s">
        <v>767</v>
      </c>
      <c r="E8116" s="380" t="s">
        <v>786</v>
      </c>
      <c r="F8116" s="380" t="s">
        <v>1017</v>
      </c>
      <c r="G8116" s="380" t="s">
        <v>1267</v>
      </c>
      <c r="H8116" s="380" t="s">
        <v>771</v>
      </c>
      <c r="I8116" s="380" t="s">
        <v>788</v>
      </c>
      <c r="J8116" s="380" t="s">
        <v>773</v>
      </c>
      <c r="K8116" s="381">
        <v>0.0</v>
      </c>
      <c r="L8116" s="382">
        <v>1.0</v>
      </c>
    </row>
    <row r="8117">
      <c r="A8117" s="380" t="s">
        <v>8991</v>
      </c>
      <c r="B8117" s="380" t="str">
        <f>IFERROR(__xludf.DUMMYFUNCTION("""COMPUTED_VALUE"""),"Bomba Freno Eagle Prostar 800647")</f>
        <v>Bomba Freno Eagle Prostar 800647</v>
      </c>
      <c r="C8117" s="380" t="str">
        <f>IFERROR(__xludf.DUMMYFUNCTION("""COMPUTED_VALUE"""),"70003535")</f>
        <v>70003535</v>
      </c>
      <c r="D8117" s="380" t="s">
        <v>767</v>
      </c>
      <c r="E8117" s="380" t="s">
        <v>786</v>
      </c>
      <c r="F8117" s="380" t="s">
        <v>1017</v>
      </c>
      <c r="G8117" s="380" t="s">
        <v>1267</v>
      </c>
      <c r="H8117" s="380" t="s">
        <v>771</v>
      </c>
      <c r="I8117" s="380" t="s">
        <v>788</v>
      </c>
      <c r="J8117" s="380" t="s">
        <v>773</v>
      </c>
      <c r="K8117" s="381">
        <v>0.0</v>
      </c>
      <c r="L8117" s="382">
        <v>1.0</v>
      </c>
    </row>
    <row r="8118">
      <c r="A8118" s="380" t="s">
        <v>8992</v>
      </c>
      <c r="B8118" s="380" t="str">
        <f>IFERROR(__xludf.DUMMYFUNCTION("""COMPUTED_VALUE"""),"Soporte Mangueras Freno Eagle 332088")</f>
        <v>Soporte Mangueras Freno Eagle 332088</v>
      </c>
      <c r="C8118" s="380" t="str">
        <f>IFERROR(__xludf.DUMMYFUNCTION("""COMPUTED_VALUE"""),"70003536")</f>
        <v>70003536</v>
      </c>
      <c r="D8118" s="380" t="s">
        <v>767</v>
      </c>
      <c r="E8118" s="380" t="s">
        <v>786</v>
      </c>
      <c r="F8118" s="380" t="s">
        <v>1017</v>
      </c>
      <c r="G8118" s="380" t="s">
        <v>1267</v>
      </c>
      <c r="H8118" s="380" t="s">
        <v>771</v>
      </c>
      <c r="I8118" s="380" t="s">
        <v>788</v>
      </c>
      <c r="J8118" s="380" t="s">
        <v>773</v>
      </c>
      <c r="K8118" s="381">
        <v>0.0</v>
      </c>
      <c r="L8118" s="382">
        <v>1.0</v>
      </c>
    </row>
    <row r="8119">
      <c r="A8119" s="380" t="s">
        <v>8993</v>
      </c>
      <c r="B8119" s="380" t="str">
        <f>IFERROR(__xludf.DUMMYFUNCTION("""COMPUTED_VALUE"""),"Retenedor Leva Frenos Eagle-SB 56121")</f>
        <v>Retenedor Leva Frenos Eagle-SB 56121</v>
      </c>
      <c r="C8119" s="380" t="str">
        <f>IFERROR(__xludf.DUMMYFUNCTION("""COMPUTED_VALUE"""),"70003537")</f>
        <v>70003537</v>
      </c>
      <c r="D8119" s="380" t="s">
        <v>767</v>
      </c>
      <c r="E8119" s="380" t="s">
        <v>786</v>
      </c>
      <c r="F8119" s="380" t="s">
        <v>1017</v>
      </c>
      <c r="G8119" s="380" t="s">
        <v>1267</v>
      </c>
      <c r="H8119" s="380" t="s">
        <v>771</v>
      </c>
      <c r="I8119" s="380" t="s">
        <v>788</v>
      </c>
      <c r="J8119" s="380" t="s">
        <v>773</v>
      </c>
      <c r="K8119" s="381">
        <v>8330.0</v>
      </c>
      <c r="L8119" s="382">
        <v>1.0</v>
      </c>
    </row>
    <row r="8120">
      <c r="A8120" s="380" t="s">
        <v>8994</v>
      </c>
      <c r="B8120" s="380" t="str">
        <f>IFERROR(__xludf.DUMMYFUNCTION("""COMPUTED_VALUE"""),"Pin De Ojo Int Leva Trailer")</f>
        <v>Pin De Ojo Int Leva Trailer</v>
      </c>
      <c r="C8120" s="380" t="str">
        <f>IFERROR(__xludf.DUMMYFUNCTION("""COMPUTED_VALUE"""),"70003538")</f>
        <v>70003538</v>
      </c>
      <c r="D8120" s="380" t="s">
        <v>767</v>
      </c>
      <c r="E8120" s="380" t="s">
        <v>786</v>
      </c>
      <c r="F8120" s="380" t="s">
        <v>1017</v>
      </c>
      <c r="G8120" s="380" t="s">
        <v>1267</v>
      </c>
      <c r="H8120" s="380" t="s">
        <v>771</v>
      </c>
      <c r="I8120" s="380" t="s">
        <v>788</v>
      </c>
      <c r="J8120" s="380" t="s">
        <v>773</v>
      </c>
      <c r="K8120" s="381">
        <v>0.0</v>
      </c>
      <c r="L8120" s="382">
        <v>1.0</v>
      </c>
    </row>
    <row r="8121">
      <c r="A8121" s="380" t="s">
        <v>8995</v>
      </c>
      <c r="B8121" s="380" t="str">
        <f>IFERROR(__xludf.DUMMYFUNCTION("""COMPUTED_VALUE"""),"Filtro Separador Comb R90 Nkr 5876102200")</f>
        <v>Filtro Separador Comb R90 Nkr 5876102200</v>
      </c>
      <c r="C8121" s="380" t="str">
        <f>IFERROR(__xludf.DUMMYFUNCTION("""COMPUTED_VALUE"""),"70003539")</f>
        <v>70003539</v>
      </c>
      <c r="D8121" s="380" t="s">
        <v>767</v>
      </c>
      <c r="E8121" s="380" t="s">
        <v>786</v>
      </c>
      <c r="F8121" s="380" t="s">
        <v>5855</v>
      </c>
      <c r="G8121" s="380" t="s">
        <v>1267</v>
      </c>
      <c r="H8121" s="380" t="s">
        <v>771</v>
      </c>
      <c r="I8121" s="380" t="s">
        <v>788</v>
      </c>
      <c r="J8121" s="380" t="s">
        <v>773</v>
      </c>
      <c r="K8121" s="381">
        <v>186037.0</v>
      </c>
      <c r="L8121" s="382">
        <v>1.0</v>
      </c>
    </row>
    <row r="8122">
      <c r="A8122" s="380" t="s">
        <v>8996</v>
      </c>
      <c r="B8122" s="380" t="str">
        <f>IFERROR(__xludf.DUMMYFUNCTION("""COMPUTED_VALUE"""),"Filtro Aceite MF 65 Nissan Pathfinder")</f>
        <v>Filtro Aceite MF 65 Nissan Pathfinder</v>
      </c>
      <c r="C8122" s="380" t="str">
        <f>IFERROR(__xludf.DUMMYFUNCTION("""COMPUTED_VALUE"""),"70003540")</f>
        <v>70003540</v>
      </c>
      <c r="D8122" s="380" t="s">
        <v>767</v>
      </c>
      <c r="E8122" s="380" t="s">
        <v>786</v>
      </c>
      <c r="F8122" s="380" t="s">
        <v>5855</v>
      </c>
      <c r="G8122" s="380" t="s">
        <v>1267</v>
      </c>
      <c r="H8122" s="380" t="s">
        <v>771</v>
      </c>
      <c r="I8122" s="380" t="s">
        <v>788</v>
      </c>
      <c r="J8122" s="380" t="s">
        <v>773</v>
      </c>
      <c r="K8122" s="381">
        <v>0.0</v>
      </c>
      <c r="L8122" s="382">
        <v>1.0</v>
      </c>
    </row>
    <row r="8123">
      <c r="A8123" s="380" t="s">
        <v>8997</v>
      </c>
      <c r="B8123" s="380" t="str">
        <f>IFERROR(__xludf.DUMMYFUNCTION("""COMPUTED_VALUE"""),"Filtro Comb Fip 311 Nissan Pathfinder")</f>
        <v>Filtro Comb Fip 311 Nissan Pathfinder</v>
      </c>
      <c r="C8123" s="380" t="str">
        <f>IFERROR(__xludf.DUMMYFUNCTION("""COMPUTED_VALUE"""),"70003541")</f>
        <v>70003541</v>
      </c>
      <c r="D8123" s="380" t="s">
        <v>767</v>
      </c>
      <c r="E8123" s="380" t="s">
        <v>786</v>
      </c>
      <c r="F8123" s="380" t="s">
        <v>5855</v>
      </c>
      <c r="G8123" s="380" t="s">
        <v>1267</v>
      </c>
      <c r="H8123" s="380" t="s">
        <v>771</v>
      </c>
      <c r="I8123" s="380" t="s">
        <v>788</v>
      </c>
      <c r="J8123" s="380" t="s">
        <v>773</v>
      </c>
      <c r="K8123" s="381">
        <v>0.0</v>
      </c>
      <c r="L8123" s="382">
        <v>1.0</v>
      </c>
    </row>
    <row r="8124">
      <c r="A8124" s="380" t="s">
        <v>8998</v>
      </c>
      <c r="B8124" s="380" t="str">
        <f>IFERROR(__xludf.DUMMYFUNCTION("""COMPUTED_VALUE"""),"Filtro Aire Aip 554m Nissan Pathfinder")</f>
        <v>Filtro Aire Aip 554m Nissan Pathfinder</v>
      </c>
      <c r="C8124" s="380" t="str">
        <f>IFERROR(__xludf.DUMMYFUNCTION("""COMPUTED_VALUE"""),"70003542")</f>
        <v>70003542</v>
      </c>
      <c r="D8124" s="380" t="s">
        <v>767</v>
      </c>
      <c r="E8124" s="380" t="s">
        <v>786</v>
      </c>
      <c r="F8124" s="380" t="s">
        <v>5855</v>
      </c>
      <c r="G8124" s="380" t="s">
        <v>1267</v>
      </c>
      <c r="H8124" s="380" t="s">
        <v>771</v>
      </c>
      <c r="I8124" s="380" t="s">
        <v>788</v>
      </c>
      <c r="J8124" s="380" t="s">
        <v>773</v>
      </c>
      <c r="K8124" s="381">
        <v>0.0</v>
      </c>
      <c r="L8124" s="382">
        <v>1.0</v>
      </c>
    </row>
    <row r="8125">
      <c r="A8125" s="380" t="s">
        <v>8999</v>
      </c>
      <c r="B8125" s="380" t="str">
        <f>IFERROR(__xludf.DUMMYFUNCTION("""COMPUTED_VALUE"""),"Filtro Aceite A 20 Nissan Urban")</f>
        <v>Filtro Aceite A 20 Nissan Urban</v>
      </c>
      <c r="C8125" s="380" t="str">
        <f>IFERROR(__xludf.DUMMYFUNCTION("""COMPUTED_VALUE"""),"70003543")</f>
        <v>70003543</v>
      </c>
      <c r="D8125" s="380" t="s">
        <v>767</v>
      </c>
      <c r="E8125" s="380" t="s">
        <v>786</v>
      </c>
      <c r="F8125" s="380" t="s">
        <v>5855</v>
      </c>
      <c r="G8125" s="380" t="s">
        <v>1267</v>
      </c>
      <c r="H8125" s="380" t="s">
        <v>771</v>
      </c>
      <c r="I8125" s="380" t="s">
        <v>788</v>
      </c>
      <c r="J8125" s="380" t="s">
        <v>773</v>
      </c>
      <c r="K8125" s="381">
        <v>0.0</v>
      </c>
      <c r="L8125" s="382">
        <v>1.0</v>
      </c>
    </row>
    <row r="8126">
      <c r="A8126" s="380" t="s">
        <v>9000</v>
      </c>
      <c r="B8126" s="380" t="str">
        <f>IFERROR(__xludf.DUMMYFUNCTION("""COMPUTED_VALUE"""),"Filtro Comb Separador FS 18291 Nissan")</f>
        <v>Filtro Comb Separador FS 18291 Nissan</v>
      </c>
      <c r="C8126" s="380" t="str">
        <f>IFERROR(__xludf.DUMMYFUNCTION("""COMPUTED_VALUE"""),"70003544")</f>
        <v>70003544</v>
      </c>
      <c r="D8126" s="380" t="s">
        <v>767</v>
      </c>
      <c r="E8126" s="380" t="s">
        <v>786</v>
      </c>
      <c r="F8126" s="380" t="s">
        <v>5855</v>
      </c>
      <c r="G8126" s="380" t="s">
        <v>1267</v>
      </c>
      <c r="H8126" s="380" t="s">
        <v>771</v>
      </c>
      <c r="I8126" s="380" t="s">
        <v>788</v>
      </c>
      <c r="J8126" s="380" t="s">
        <v>773</v>
      </c>
      <c r="K8126" s="381">
        <v>0.0</v>
      </c>
      <c r="L8126" s="382">
        <v>1.0</v>
      </c>
    </row>
    <row r="8127">
      <c r="A8127" s="380" t="s">
        <v>9001</v>
      </c>
      <c r="B8127" s="380" t="str">
        <f>IFERROR(__xludf.DUMMYFUNCTION("""COMPUTED_VALUE"""),"Filtro Combustible A 5368 Nissan Urban")</f>
        <v>Filtro Combustible A 5368 Nissan Urban</v>
      </c>
      <c r="C8127" s="380" t="str">
        <f>IFERROR(__xludf.DUMMYFUNCTION("""COMPUTED_VALUE"""),"70003545")</f>
        <v>70003545</v>
      </c>
      <c r="D8127" s="380" t="s">
        <v>767</v>
      </c>
      <c r="E8127" s="380" t="s">
        <v>786</v>
      </c>
      <c r="F8127" s="380" t="s">
        <v>5855</v>
      </c>
      <c r="G8127" s="380" t="s">
        <v>1267</v>
      </c>
      <c r="H8127" s="380" t="s">
        <v>771</v>
      </c>
      <c r="I8127" s="380" t="s">
        <v>788</v>
      </c>
      <c r="J8127" s="380" t="s">
        <v>773</v>
      </c>
      <c r="K8127" s="381">
        <v>0.0</v>
      </c>
      <c r="L8127" s="382">
        <v>1.0</v>
      </c>
    </row>
    <row r="8128">
      <c r="A8128" s="380" t="s">
        <v>9002</v>
      </c>
      <c r="B8128" s="380" t="str">
        <f>IFERROR(__xludf.DUMMYFUNCTION("""COMPUTED_VALUE"""),"Filtro Aire Interno LF253 K Nissan Urban")</f>
        <v>Filtro Aire Interno LF253 K Nissan Urban</v>
      </c>
      <c r="C8128" s="380" t="str">
        <f>IFERROR(__xludf.DUMMYFUNCTION("""COMPUTED_VALUE"""),"70003546")</f>
        <v>70003546</v>
      </c>
      <c r="D8128" s="380" t="s">
        <v>767</v>
      </c>
      <c r="E8128" s="380" t="s">
        <v>786</v>
      </c>
      <c r="F8128" s="380" t="s">
        <v>5855</v>
      </c>
      <c r="G8128" s="380" t="s">
        <v>1267</v>
      </c>
      <c r="H8128" s="380" t="s">
        <v>771</v>
      </c>
      <c r="I8128" s="380" t="s">
        <v>788</v>
      </c>
      <c r="J8128" s="380" t="s">
        <v>773</v>
      </c>
      <c r="K8128" s="381">
        <v>0.0</v>
      </c>
      <c r="L8128" s="382">
        <v>1.0</v>
      </c>
    </row>
    <row r="8129">
      <c r="A8129" s="380" t="s">
        <v>9003</v>
      </c>
      <c r="B8129" s="380" t="str">
        <f>IFERROR(__xludf.DUMMYFUNCTION("""COMPUTED_VALUE"""),"Filtro Aire Externo LF2253 Nissan Urban")</f>
        <v>Filtro Aire Externo LF2253 Nissan Urban</v>
      </c>
      <c r="C8129" s="380" t="str">
        <f>IFERROR(__xludf.DUMMYFUNCTION("""COMPUTED_VALUE"""),"70003547")</f>
        <v>70003547</v>
      </c>
      <c r="D8129" s="380" t="s">
        <v>767</v>
      </c>
      <c r="E8129" s="380" t="s">
        <v>786</v>
      </c>
      <c r="F8129" s="380" t="s">
        <v>5855</v>
      </c>
      <c r="G8129" s="380" t="s">
        <v>1267</v>
      </c>
      <c r="H8129" s="380" t="s">
        <v>771</v>
      </c>
      <c r="I8129" s="380" t="s">
        <v>788</v>
      </c>
      <c r="J8129" s="380" t="s">
        <v>773</v>
      </c>
      <c r="K8129" s="381">
        <v>0.0</v>
      </c>
      <c r="L8129" s="382">
        <v>1.0</v>
      </c>
    </row>
    <row r="8130">
      <c r="A8130" s="380" t="s">
        <v>9004</v>
      </c>
      <c r="B8130" s="380" t="str">
        <f>IFERROR(__xludf.DUMMYFUNCTION("""COMPUTED_VALUE"""),"Filtro Aire Goby AG961234R")</f>
        <v>Filtro Aire Goby AG961234R</v>
      </c>
      <c r="C8130" s="380" t="str">
        <f>IFERROR(__xludf.DUMMYFUNCTION("""COMPUTED_VALUE"""),"70003548")</f>
        <v>70003548</v>
      </c>
      <c r="D8130" s="380" t="s">
        <v>767</v>
      </c>
      <c r="E8130" s="380" t="s">
        <v>786</v>
      </c>
      <c r="F8130" s="380" t="s">
        <v>5855</v>
      </c>
      <c r="G8130" s="380" t="s">
        <v>1267</v>
      </c>
      <c r="H8130" s="380" t="s">
        <v>771</v>
      </c>
      <c r="I8130" s="380" t="s">
        <v>788</v>
      </c>
      <c r="J8130" s="380" t="s">
        <v>773</v>
      </c>
      <c r="K8130" s="381">
        <v>75127.0</v>
      </c>
      <c r="L8130" s="382">
        <v>1.0</v>
      </c>
    </row>
    <row r="8131">
      <c r="A8131" s="380" t="s">
        <v>9005</v>
      </c>
      <c r="B8131" s="380" t="str">
        <f>IFERROR(__xludf.DUMMYFUNCTION("""COMPUTED_VALUE"""),"Filtro Aire Goby AG961239R")</f>
        <v>Filtro Aire Goby AG961239R</v>
      </c>
      <c r="C8131" s="380" t="str">
        <f>IFERROR(__xludf.DUMMYFUNCTION("""COMPUTED_VALUE"""),"70003549")</f>
        <v>70003549</v>
      </c>
      <c r="D8131" s="380" t="s">
        <v>767</v>
      </c>
      <c r="E8131" s="380" t="s">
        <v>786</v>
      </c>
      <c r="F8131" s="380" t="s">
        <v>5855</v>
      </c>
      <c r="G8131" s="380" t="s">
        <v>1267</v>
      </c>
      <c r="H8131" s="380" t="s">
        <v>771</v>
      </c>
      <c r="I8131" s="380" t="s">
        <v>788</v>
      </c>
      <c r="J8131" s="380" t="s">
        <v>773</v>
      </c>
      <c r="K8131" s="381">
        <v>76937.0</v>
      </c>
      <c r="L8131" s="382">
        <v>1.0</v>
      </c>
    </row>
    <row r="8132">
      <c r="A8132" s="380" t="s">
        <v>9006</v>
      </c>
      <c r="B8132" s="380" t="str">
        <f>IFERROR(__xludf.DUMMYFUNCTION("""COMPUTED_VALUE"""),"Filtro Aire Goby AG961087R")</f>
        <v>Filtro Aire Goby AG961087R</v>
      </c>
      <c r="C8132" s="380" t="str">
        <f>IFERROR(__xludf.DUMMYFUNCTION("""COMPUTED_VALUE"""),"70003550")</f>
        <v>70003550</v>
      </c>
      <c r="D8132" s="380" t="s">
        <v>767</v>
      </c>
      <c r="E8132" s="380" t="s">
        <v>786</v>
      </c>
      <c r="F8132" s="380" t="s">
        <v>5855</v>
      </c>
      <c r="G8132" s="380" t="s">
        <v>1267</v>
      </c>
      <c r="H8132" s="380" t="s">
        <v>771</v>
      </c>
      <c r="I8132" s="380" t="s">
        <v>788</v>
      </c>
      <c r="J8132" s="380" t="s">
        <v>773</v>
      </c>
      <c r="K8132" s="381">
        <v>94707.0</v>
      </c>
      <c r="L8132" s="382">
        <v>1.0</v>
      </c>
    </row>
    <row r="8133">
      <c r="A8133" s="380" t="s">
        <v>9007</v>
      </c>
      <c r="B8133" s="380" t="str">
        <f>IFERROR(__xludf.DUMMYFUNCTION("""COMPUTED_VALUE"""),"Filtro Aire Goby AG971263A")</f>
        <v>Filtro Aire Goby AG971263A</v>
      </c>
      <c r="C8133" s="380" t="str">
        <f>IFERROR(__xludf.DUMMYFUNCTION("""COMPUTED_VALUE"""),"70003551")</f>
        <v>70003551</v>
      </c>
      <c r="D8133" s="380" t="s">
        <v>767</v>
      </c>
      <c r="E8133" s="380" t="s">
        <v>786</v>
      </c>
      <c r="F8133" s="380" t="s">
        <v>5855</v>
      </c>
      <c r="G8133" s="380" t="s">
        <v>1267</v>
      </c>
      <c r="H8133" s="380" t="s">
        <v>771</v>
      </c>
      <c r="I8133" s="380" t="s">
        <v>788</v>
      </c>
      <c r="J8133" s="380" t="s">
        <v>773</v>
      </c>
      <c r="K8133" s="381">
        <v>92434.0</v>
      </c>
      <c r="L8133" s="382">
        <v>1.0</v>
      </c>
    </row>
    <row r="8134">
      <c r="A8134" s="380" t="s">
        <v>9008</v>
      </c>
      <c r="B8134" s="380" t="str">
        <f>IFERROR(__xludf.DUMMYFUNCTION("""COMPUTED_VALUE"""),"Filtro Aceite Foton 677868 Tm 30")</f>
        <v>Filtro Aceite Foton 677868 Tm 30</v>
      </c>
      <c r="C8134" s="380" t="str">
        <f>IFERROR(__xludf.DUMMYFUNCTION("""COMPUTED_VALUE"""),"70003552")</f>
        <v>70003552</v>
      </c>
      <c r="D8134" s="380" t="s">
        <v>767</v>
      </c>
      <c r="E8134" s="380" t="s">
        <v>786</v>
      </c>
      <c r="F8134" s="380" t="s">
        <v>5855</v>
      </c>
      <c r="G8134" s="380" t="s">
        <v>1267</v>
      </c>
      <c r="H8134" s="380" t="s">
        <v>771</v>
      </c>
      <c r="I8134" s="380" t="s">
        <v>788</v>
      </c>
      <c r="J8134" s="380" t="s">
        <v>773</v>
      </c>
      <c r="K8134" s="381">
        <v>0.0</v>
      </c>
      <c r="L8134" s="382">
        <v>1.0</v>
      </c>
    </row>
    <row r="8135">
      <c r="A8135" s="380" t="s">
        <v>9009</v>
      </c>
      <c r="B8135" s="380" t="str">
        <f>IFERROR(__xludf.DUMMYFUNCTION("""COMPUTED_VALUE"""),"Filtro Aire Foton 677844 Tm 30")</f>
        <v>Filtro Aire Foton 677844 Tm 30</v>
      </c>
      <c r="C8135" s="380" t="str">
        <f>IFERROR(__xludf.DUMMYFUNCTION("""COMPUTED_VALUE"""),"70003553")</f>
        <v>70003553</v>
      </c>
      <c r="D8135" s="380" t="s">
        <v>767</v>
      </c>
      <c r="E8135" s="380" t="s">
        <v>786</v>
      </c>
      <c r="F8135" s="380" t="s">
        <v>5855</v>
      </c>
      <c r="G8135" s="380" t="s">
        <v>1267</v>
      </c>
      <c r="H8135" s="380" t="s">
        <v>771</v>
      </c>
      <c r="I8135" s="380" t="s">
        <v>788</v>
      </c>
      <c r="J8135" s="380" t="s">
        <v>773</v>
      </c>
      <c r="K8135" s="381">
        <v>25919.0</v>
      </c>
      <c r="L8135" s="382">
        <v>1.0</v>
      </c>
    </row>
    <row r="8136">
      <c r="A8136" s="380" t="s">
        <v>9010</v>
      </c>
      <c r="B8136" s="380" t="str">
        <f>IFERROR(__xludf.DUMMYFUNCTION("""COMPUTED_VALUE"""),"Filtro Combustible Foton 677851 Tm 30")</f>
        <v>Filtro Combustible Foton 677851 Tm 30</v>
      </c>
      <c r="C8136" s="380" t="str">
        <f>IFERROR(__xludf.DUMMYFUNCTION("""COMPUTED_VALUE"""),"70003554")</f>
        <v>70003554</v>
      </c>
      <c r="D8136" s="380" t="s">
        <v>767</v>
      </c>
      <c r="E8136" s="380" t="s">
        <v>786</v>
      </c>
      <c r="F8136" s="380" t="s">
        <v>5855</v>
      </c>
      <c r="G8136" s="380" t="s">
        <v>1267</v>
      </c>
      <c r="H8136" s="380" t="s">
        <v>771</v>
      </c>
      <c r="I8136" s="380" t="s">
        <v>788</v>
      </c>
      <c r="J8136" s="380" t="s">
        <v>773</v>
      </c>
      <c r="K8136" s="381">
        <v>0.0</v>
      </c>
      <c r="L8136" s="382">
        <v>1.0</v>
      </c>
    </row>
    <row r="8137">
      <c r="A8137" s="380" t="s">
        <v>9011</v>
      </c>
      <c r="B8137" s="380" t="str">
        <f>IFERROR(__xludf.DUMMYFUNCTION("""COMPUTED_VALUE"""),"Filtro Aceite Eagle 57746XD WIX KW800")</f>
        <v>Filtro Aceite Eagle 57746XD WIX KW800</v>
      </c>
      <c r="C8137" s="380" t="str">
        <f>IFERROR(__xludf.DUMMYFUNCTION("""COMPUTED_VALUE"""),"70003555")</f>
        <v>70003555</v>
      </c>
      <c r="D8137" s="380" t="s">
        <v>767</v>
      </c>
      <c r="E8137" s="380" t="s">
        <v>786</v>
      </c>
      <c r="F8137" s="380" t="s">
        <v>5855</v>
      </c>
      <c r="G8137" s="380" t="s">
        <v>1267</v>
      </c>
      <c r="H8137" s="380" t="s">
        <v>771</v>
      </c>
      <c r="I8137" s="380" t="s">
        <v>788</v>
      </c>
      <c r="J8137" s="380" t="s">
        <v>773</v>
      </c>
      <c r="K8137" s="381">
        <v>0.0</v>
      </c>
      <c r="L8137" s="382">
        <v>1.0</v>
      </c>
    </row>
    <row r="8138">
      <c r="A8138" s="380" t="s">
        <v>9012</v>
      </c>
      <c r="B8138" s="380" t="str">
        <f>IFERROR(__xludf.DUMMYFUNCTION("""COMPUTED_VALUE"""),"Filtro Aceite Transmision Mack2330000403")</f>
        <v>Filtro Aceite Transmision Mack2330000403</v>
      </c>
      <c r="C8138" s="380" t="str">
        <f>IFERROR(__xludf.DUMMYFUNCTION("""COMPUTED_VALUE"""),"70003556")</f>
        <v>70003556</v>
      </c>
      <c r="D8138" s="380" t="s">
        <v>767</v>
      </c>
      <c r="E8138" s="380" t="s">
        <v>786</v>
      </c>
      <c r="F8138" s="380" t="s">
        <v>5855</v>
      </c>
      <c r="G8138" s="380" t="s">
        <v>1267</v>
      </c>
      <c r="H8138" s="380" t="s">
        <v>771</v>
      </c>
      <c r="I8138" s="380" t="s">
        <v>788</v>
      </c>
      <c r="J8138" s="380" t="s">
        <v>773</v>
      </c>
      <c r="K8138" s="381">
        <v>0.0</v>
      </c>
      <c r="L8138" s="382">
        <v>1.0</v>
      </c>
    </row>
    <row r="8139">
      <c r="A8139" s="380" t="s">
        <v>9013</v>
      </c>
      <c r="B8139" s="380" t="str">
        <f>IFERROR(__xludf.DUMMYFUNCTION("""COMPUTED_VALUE"""),"Filtro Combustible Varios")</f>
        <v>Filtro Combustible Varios</v>
      </c>
      <c r="C8139" s="380" t="str">
        <f>IFERROR(__xludf.DUMMYFUNCTION("""COMPUTED_VALUE"""),"70003557")</f>
        <v>70003557</v>
      </c>
      <c r="D8139" s="380" t="s">
        <v>767</v>
      </c>
      <c r="E8139" s="380" t="s">
        <v>786</v>
      </c>
      <c r="F8139" s="380" t="s">
        <v>5855</v>
      </c>
      <c r="G8139" s="380" t="s">
        <v>1267</v>
      </c>
      <c r="H8139" s="380" t="s">
        <v>771</v>
      </c>
      <c r="I8139" s="380" t="s">
        <v>788</v>
      </c>
      <c r="J8139" s="380" t="s">
        <v>773</v>
      </c>
      <c r="K8139" s="381">
        <v>0.0</v>
      </c>
      <c r="L8139" s="382">
        <v>1.0</v>
      </c>
    </row>
    <row r="8140">
      <c r="A8140" s="380" t="s">
        <v>9014</v>
      </c>
      <c r="B8140" s="380" t="str">
        <f>IFERROR(__xludf.DUMMYFUNCTION("""COMPUTED_VALUE"""),"Filtro Aceite Varios")</f>
        <v>Filtro Aceite Varios</v>
      </c>
      <c r="C8140" s="380" t="str">
        <f>IFERROR(__xludf.DUMMYFUNCTION("""COMPUTED_VALUE"""),"70003558")</f>
        <v>70003558</v>
      </c>
      <c r="D8140" s="380" t="s">
        <v>767</v>
      </c>
      <c r="E8140" s="380" t="s">
        <v>786</v>
      </c>
      <c r="F8140" s="380" t="s">
        <v>5855</v>
      </c>
      <c r="G8140" s="380" t="s">
        <v>1267</v>
      </c>
      <c r="H8140" s="380" t="s">
        <v>771</v>
      </c>
      <c r="I8140" s="380" t="s">
        <v>788</v>
      </c>
      <c r="J8140" s="380" t="s">
        <v>773</v>
      </c>
      <c r="K8140" s="381">
        <v>0.0</v>
      </c>
      <c r="L8140" s="382">
        <v>1.0</v>
      </c>
    </row>
    <row r="8141">
      <c r="A8141" s="380" t="s">
        <v>9015</v>
      </c>
      <c r="B8141" s="380" t="str">
        <f>IFERROR(__xludf.DUMMYFUNCTION("""COMPUTED_VALUE"""),"Filtro Aire Varios")</f>
        <v>Filtro Aire Varios</v>
      </c>
      <c r="C8141" s="380" t="str">
        <f>IFERROR(__xludf.DUMMYFUNCTION("""COMPUTED_VALUE"""),"70003559")</f>
        <v>70003559</v>
      </c>
      <c r="D8141" s="380" t="s">
        <v>767</v>
      </c>
      <c r="E8141" s="380" t="s">
        <v>786</v>
      </c>
      <c r="F8141" s="380" t="s">
        <v>5855</v>
      </c>
      <c r="G8141" s="380" t="s">
        <v>1267</v>
      </c>
      <c r="H8141" s="380" t="s">
        <v>771</v>
      </c>
      <c r="I8141" s="380" t="s">
        <v>788</v>
      </c>
      <c r="J8141" s="380" t="s">
        <v>773</v>
      </c>
      <c r="K8141" s="381">
        <v>0.0</v>
      </c>
      <c r="L8141" s="382">
        <v>1.0</v>
      </c>
    </row>
    <row r="8142">
      <c r="A8142" s="380" t="s">
        <v>9016</v>
      </c>
      <c r="B8142" s="380" t="str">
        <f>IFERROR(__xludf.DUMMYFUNCTION("""COMPUTED_VALUE"""),"Filtro Comb Primario Foton BJ1039 158459")</f>
        <v>Filtro Comb Primario Foton BJ1039 158459</v>
      </c>
      <c r="C8142" s="380" t="str">
        <f>IFERROR(__xludf.DUMMYFUNCTION("""COMPUTED_VALUE"""),"70003560")</f>
        <v>70003560</v>
      </c>
      <c r="D8142" s="380" t="s">
        <v>767</v>
      </c>
      <c r="E8142" s="380" t="s">
        <v>786</v>
      </c>
      <c r="F8142" s="380" t="s">
        <v>5855</v>
      </c>
      <c r="G8142" s="380" t="s">
        <v>1267</v>
      </c>
      <c r="H8142" s="380" t="s">
        <v>771</v>
      </c>
      <c r="I8142" s="380" t="s">
        <v>788</v>
      </c>
      <c r="J8142" s="380" t="s">
        <v>773</v>
      </c>
      <c r="K8142" s="381">
        <v>56557.0</v>
      </c>
      <c r="L8142" s="382">
        <v>1.0</v>
      </c>
    </row>
    <row r="8143">
      <c r="A8143" s="380" t="s">
        <v>9017</v>
      </c>
      <c r="B8143" s="380" t="str">
        <f>IFERROR(__xludf.DUMMYFUNCTION("""COMPUTED_VALUE"""),"Filtro Aceite Foton BJ 1039 455527")</f>
        <v>Filtro Aceite Foton BJ 1039 455527</v>
      </c>
      <c r="C8143" s="380" t="str">
        <f>IFERROR(__xludf.DUMMYFUNCTION("""COMPUTED_VALUE"""),"70003561")</f>
        <v>70003561</v>
      </c>
      <c r="D8143" s="380" t="s">
        <v>767</v>
      </c>
      <c r="E8143" s="380" t="s">
        <v>786</v>
      </c>
      <c r="F8143" s="380" t="s">
        <v>5855</v>
      </c>
      <c r="G8143" s="380" t="s">
        <v>1267</v>
      </c>
      <c r="H8143" s="380" t="s">
        <v>771</v>
      </c>
      <c r="I8143" s="380" t="s">
        <v>788</v>
      </c>
      <c r="J8143" s="380" t="s">
        <v>773</v>
      </c>
      <c r="K8143" s="381">
        <v>15999.0</v>
      </c>
      <c r="L8143" s="382">
        <v>1.0</v>
      </c>
    </row>
    <row r="8144">
      <c r="A8144" s="380" t="s">
        <v>9018</v>
      </c>
      <c r="B8144" s="380" t="str">
        <f>IFERROR(__xludf.DUMMYFUNCTION("""COMPUTED_VALUE"""),"Filtro Aire Foton BJ 1129 584685")</f>
        <v>Filtro Aire Foton BJ 1129 584685</v>
      </c>
      <c r="C8144" s="380" t="str">
        <f>IFERROR(__xludf.DUMMYFUNCTION("""COMPUTED_VALUE"""),"70003562")</f>
        <v>70003562</v>
      </c>
      <c r="D8144" s="380" t="s">
        <v>767</v>
      </c>
      <c r="E8144" s="380" t="s">
        <v>786</v>
      </c>
      <c r="F8144" s="380" t="s">
        <v>5855</v>
      </c>
      <c r="G8144" s="380" t="s">
        <v>1267</v>
      </c>
      <c r="H8144" s="380" t="s">
        <v>771</v>
      </c>
      <c r="I8144" s="380" t="s">
        <v>788</v>
      </c>
      <c r="J8144" s="380" t="s">
        <v>773</v>
      </c>
      <c r="K8144" s="381">
        <v>0.0</v>
      </c>
      <c r="L8144" s="382">
        <v>1.0</v>
      </c>
    </row>
    <row r="8145">
      <c r="A8145" s="380" t="s">
        <v>9019</v>
      </c>
      <c r="B8145" s="380" t="str">
        <f>IFERROR(__xludf.DUMMYFUNCTION("""COMPUTED_VALUE"""),"Filtro Comb Secund Foton BJ 1129 559164")</f>
        <v>Filtro Comb Secund Foton BJ 1129 559164</v>
      </c>
      <c r="C8145" s="380" t="str">
        <f>IFERROR(__xludf.DUMMYFUNCTION("""COMPUTED_VALUE"""),"70003563")</f>
        <v>70003563</v>
      </c>
      <c r="D8145" s="380" t="s">
        <v>767</v>
      </c>
      <c r="E8145" s="380" t="s">
        <v>786</v>
      </c>
      <c r="F8145" s="380" t="s">
        <v>5855</v>
      </c>
      <c r="G8145" s="380" t="s">
        <v>1267</v>
      </c>
      <c r="H8145" s="380" t="s">
        <v>771</v>
      </c>
      <c r="I8145" s="380" t="s">
        <v>788</v>
      </c>
      <c r="J8145" s="380" t="s">
        <v>773</v>
      </c>
      <c r="K8145" s="381">
        <v>100968.0</v>
      </c>
      <c r="L8145" s="382">
        <v>1.0</v>
      </c>
    </row>
    <row r="8146">
      <c r="A8146" s="380" t="s">
        <v>9020</v>
      </c>
      <c r="B8146" s="380" t="str">
        <f>IFERROR(__xludf.DUMMYFUNCTION("""COMPUTED_VALUE"""),"Filtro Comb Primar Foton BJ 1129 432030")</f>
        <v>Filtro Comb Primar Foton BJ 1129 432030</v>
      </c>
      <c r="C8146" s="380" t="str">
        <f>IFERROR(__xludf.DUMMYFUNCTION("""COMPUTED_VALUE"""),"70003564")</f>
        <v>70003564</v>
      </c>
      <c r="D8146" s="380" t="s">
        <v>767</v>
      </c>
      <c r="E8146" s="380" t="s">
        <v>786</v>
      </c>
      <c r="F8146" s="380" t="s">
        <v>5855</v>
      </c>
      <c r="G8146" s="380" t="s">
        <v>1267</v>
      </c>
      <c r="H8146" s="380" t="s">
        <v>771</v>
      </c>
      <c r="I8146" s="380" t="s">
        <v>788</v>
      </c>
      <c r="J8146" s="380" t="s">
        <v>773</v>
      </c>
      <c r="K8146" s="381">
        <v>91863.0</v>
      </c>
      <c r="L8146" s="382">
        <v>1.0</v>
      </c>
    </row>
    <row r="8147">
      <c r="A8147" s="380" t="s">
        <v>9021</v>
      </c>
      <c r="B8147" s="380" t="str">
        <f>IFERROR(__xludf.DUMMYFUNCTION("""COMPUTED_VALUE"""),"Filtro Aceite Foton BJ 1129 559171")</f>
        <v>Filtro Aceite Foton BJ 1129 559171</v>
      </c>
      <c r="C8147" s="380" t="str">
        <f>IFERROR(__xludf.DUMMYFUNCTION("""COMPUTED_VALUE"""),"70003565")</f>
        <v>70003565</v>
      </c>
      <c r="D8147" s="380" t="s">
        <v>767</v>
      </c>
      <c r="E8147" s="380" t="s">
        <v>786</v>
      </c>
      <c r="F8147" s="380" t="s">
        <v>5855</v>
      </c>
      <c r="G8147" s="380" t="s">
        <v>1267</v>
      </c>
      <c r="H8147" s="380" t="s">
        <v>771</v>
      </c>
      <c r="I8147" s="380" t="s">
        <v>788</v>
      </c>
      <c r="J8147" s="380" t="s">
        <v>773</v>
      </c>
      <c r="K8147" s="381">
        <v>0.0</v>
      </c>
      <c r="L8147" s="382">
        <v>1.0</v>
      </c>
    </row>
    <row r="8148">
      <c r="A8148" s="380" t="s">
        <v>9022</v>
      </c>
      <c r="B8148" s="380" t="str">
        <f>IFERROR(__xludf.DUMMYFUNCTION("""COMPUTED_VALUE"""),"Filtro Secundario Jac 1120 1105030LE7")</f>
        <v>Filtro Secundario Jac 1120 1105030LE7</v>
      </c>
      <c r="C8148" s="380" t="str">
        <f>IFERROR(__xludf.DUMMYFUNCTION("""COMPUTED_VALUE"""),"70003566")</f>
        <v>70003566</v>
      </c>
      <c r="D8148" s="380" t="s">
        <v>767</v>
      </c>
      <c r="E8148" s="380" t="s">
        <v>786</v>
      </c>
      <c r="F8148" s="380" t="s">
        <v>5855</v>
      </c>
      <c r="G8148" s="380" t="s">
        <v>1267</v>
      </c>
      <c r="H8148" s="380" t="s">
        <v>771</v>
      </c>
      <c r="I8148" s="380" t="s">
        <v>788</v>
      </c>
      <c r="J8148" s="380" t="s">
        <v>773</v>
      </c>
      <c r="K8148" s="381">
        <v>0.0</v>
      </c>
      <c r="L8148" s="382">
        <v>1.0</v>
      </c>
    </row>
    <row r="8149">
      <c r="A8149" s="380" t="s">
        <v>9023</v>
      </c>
      <c r="B8149" s="380" t="str">
        <f>IFERROR(__xludf.DUMMYFUNCTION("""COMPUTED_VALUE"""),"Filtro De Combustible 526231 Jac FF5706")</f>
        <v>Filtro De Combustible 526231 Jac FF5706</v>
      </c>
      <c r="C8149" s="380" t="str">
        <f>IFERROR(__xludf.DUMMYFUNCTION("""COMPUTED_VALUE"""),"70003567")</f>
        <v>70003567</v>
      </c>
      <c r="D8149" s="380" t="s">
        <v>767</v>
      </c>
      <c r="E8149" s="380" t="s">
        <v>786</v>
      </c>
      <c r="F8149" s="380" t="s">
        <v>5855</v>
      </c>
      <c r="G8149" s="380" t="s">
        <v>1267</v>
      </c>
      <c r="H8149" s="380" t="s">
        <v>771</v>
      </c>
      <c r="I8149" s="380" t="s">
        <v>788</v>
      </c>
      <c r="J8149" s="380" t="s">
        <v>773</v>
      </c>
      <c r="K8149" s="381">
        <v>0.0</v>
      </c>
      <c r="L8149" s="382">
        <v>1.0</v>
      </c>
    </row>
    <row r="8150">
      <c r="A8150" s="380" t="s">
        <v>9024</v>
      </c>
      <c r="B8150" s="380" t="str">
        <f>IFERROR(__xludf.DUMMYFUNCTION("""COMPUTED_VALUE"""),"Filtro De Aceite 5399594 Jac LF17535")</f>
        <v>Filtro De Aceite 5399594 Jac LF17535</v>
      </c>
      <c r="C8150" s="380" t="str">
        <f>IFERROR(__xludf.DUMMYFUNCTION("""COMPUTED_VALUE"""),"70003568")</f>
        <v>70003568</v>
      </c>
      <c r="D8150" s="380" t="s">
        <v>767</v>
      </c>
      <c r="E8150" s="380" t="s">
        <v>786</v>
      </c>
      <c r="F8150" s="380" t="s">
        <v>5855</v>
      </c>
      <c r="G8150" s="380" t="s">
        <v>1267</v>
      </c>
      <c r="H8150" s="380" t="s">
        <v>771</v>
      </c>
      <c r="I8150" s="380" t="s">
        <v>788</v>
      </c>
      <c r="J8150" s="380" t="s">
        <v>773</v>
      </c>
      <c r="K8150" s="381">
        <v>0.0</v>
      </c>
      <c r="L8150" s="382">
        <v>1.0</v>
      </c>
    </row>
    <row r="8151">
      <c r="A8151" s="380" t="s">
        <v>9025</v>
      </c>
      <c r="B8151" s="380" t="str">
        <f>IFERROR(__xludf.DUMMYFUNCTION("""COMPUTED_VALUE"""),"Filtro Trampa Comb Foton BJ 1129 556422")</f>
        <v>Filtro Trampa Comb Foton BJ 1129 556422</v>
      </c>
      <c r="C8151" s="380" t="str">
        <f>IFERROR(__xludf.DUMMYFUNCTION("""COMPUTED_VALUE"""),"70003569")</f>
        <v>70003569</v>
      </c>
      <c r="D8151" s="380" t="s">
        <v>767</v>
      </c>
      <c r="E8151" s="380" t="s">
        <v>786</v>
      </c>
      <c r="F8151" s="380" t="s">
        <v>5855</v>
      </c>
      <c r="G8151" s="380" t="s">
        <v>1267</v>
      </c>
      <c r="H8151" s="380" t="s">
        <v>771</v>
      </c>
      <c r="I8151" s="380" t="s">
        <v>788</v>
      </c>
      <c r="J8151" s="380" t="s">
        <v>773</v>
      </c>
      <c r="K8151" s="381">
        <v>37603.0</v>
      </c>
      <c r="L8151" s="382">
        <v>1.0</v>
      </c>
    </row>
    <row r="8152">
      <c r="A8152" s="380" t="s">
        <v>9026</v>
      </c>
      <c r="B8152" s="380" t="str">
        <f>IFERROR(__xludf.DUMMYFUNCTION("""COMPUTED_VALUE"""),"Filtro Combustible Jac Jhr 1105010LD30J")</f>
        <v>Filtro Combustible Jac Jhr 1105010LD30J</v>
      </c>
      <c r="C8152" s="380" t="str">
        <f>IFERROR(__xludf.DUMMYFUNCTION("""COMPUTED_VALUE"""),"70003570")</f>
        <v>70003570</v>
      </c>
      <c r="D8152" s="380" t="s">
        <v>767</v>
      </c>
      <c r="E8152" s="380" t="s">
        <v>786</v>
      </c>
      <c r="F8152" s="380" t="s">
        <v>5855</v>
      </c>
      <c r="G8152" s="380" t="s">
        <v>1267</v>
      </c>
      <c r="H8152" s="380" t="s">
        <v>771</v>
      </c>
      <c r="I8152" s="380" t="s">
        <v>788</v>
      </c>
      <c r="J8152" s="380" t="s">
        <v>773</v>
      </c>
      <c r="K8152" s="381">
        <v>147650.0</v>
      </c>
      <c r="L8152" s="382">
        <v>1.0</v>
      </c>
    </row>
    <row r="8153">
      <c r="A8153" s="380" t="s">
        <v>9027</v>
      </c>
      <c r="B8153" s="380" t="str">
        <f>IFERROR(__xludf.DUMMYFUNCTION("""COMPUTED_VALUE"""),"Disco Embrague FRR 1312409493")</f>
        <v>Disco Embrague FRR 1312409493</v>
      </c>
      <c r="C8153" s="380" t="str">
        <f>IFERROR(__xludf.DUMMYFUNCTION("""COMPUTED_VALUE"""),"70003571")</f>
        <v>70003571</v>
      </c>
      <c r="D8153" s="380" t="s">
        <v>767</v>
      </c>
      <c r="E8153" s="380" t="s">
        <v>786</v>
      </c>
      <c r="F8153" s="380" t="s">
        <v>5661</v>
      </c>
      <c r="G8153" s="380" t="s">
        <v>1267</v>
      </c>
      <c r="H8153" s="380" t="s">
        <v>771</v>
      </c>
      <c r="I8153" s="380" t="s">
        <v>788</v>
      </c>
      <c r="J8153" s="380" t="s">
        <v>773</v>
      </c>
      <c r="K8153" s="381">
        <v>0.0</v>
      </c>
      <c r="L8153" s="382">
        <v>1.0</v>
      </c>
    </row>
    <row r="8154">
      <c r="A8154" s="380" t="s">
        <v>9028</v>
      </c>
      <c r="B8154" s="380" t="str">
        <f>IFERROR(__xludf.DUMMYFUNCTION("""COMPUTED_VALUE"""),"Balinera Embrague FRR 1876101100")</f>
        <v>Balinera Embrague FRR 1876101100</v>
      </c>
      <c r="C8154" s="380" t="str">
        <f>IFERROR(__xludf.DUMMYFUNCTION("""COMPUTED_VALUE"""),"70003572")</f>
        <v>70003572</v>
      </c>
      <c r="D8154" s="380" t="s">
        <v>767</v>
      </c>
      <c r="E8154" s="380" t="s">
        <v>786</v>
      </c>
      <c r="F8154" s="380" t="s">
        <v>5661</v>
      </c>
      <c r="G8154" s="380" t="s">
        <v>1267</v>
      </c>
      <c r="H8154" s="380" t="s">
        <v>771</v>
      </c>
      <c r="I8154" s="380" t="s">
        <v>788</v>
      </c>
      <c r="J8154" s="380" t="s">
        <v>773</v>
      </c>
      <c r="K8154" s="381">
        <v>0.0</v>
      </c>
      <c r="L8154" s="382">
        <v>1.0</v>
      </c>
    </row>
    <row r="8155">
      <c r="A8155" s="380" t="s">
        <v>9029</v>
      </c>
      <c r="B8155" s="380" t="str">
        <f>IFERROR(__xludf.DUMMYFUNCTION("""COMPUTED_VALUE"""),"Prensa Embrague Hino Dutropro 700009654")</f>
        <v>Prensa Embrague Hino Dutropro 700009654</v>
      </c>
      <c r="C8155" s="380" t="str">
        <f>IFERROR(__xludf.DUMMYFUNCTION("""COMPUTED_VALUE"""),"70003573")</f>
        <v>70003573</v>
      </c>
      <c r="D8155" s="380" t="s">
        <v>767</v>
      </c>
      <c r="E8155" s="380" t="s">
        <v>786</v>
      </c>
      <c r="F8155" s="380" t="s">
        <v>5661</v>
      </c>
      <c r="G8155" s="380" t="s">
        <v>1267</v>
      </c>
      <c r="H8155" s="380" t="s">
        <v>771</v>
      </c>
      <c r="I8155" s="380" t="s">
        <v>788</v>
      </c>
      <c r="J8155" s="380" t="s">
        <v>773</v>
      </c>
      <c r="K8155" s="381">
        <v>0.0</v>
      </c>
      <c r="L8155" s="382">
        <v>1.0</v>
      </c>
    </row>
    <row r="8156">
      <c r="A8156" s="380" t="s">
        <v>9030</v>
      </c>
      <c r="B8156" s="380" t="str">
        <f>IFERROR(__xludf.DUMMYFUNCTION("""COMPUTED_VALUE"""),"Balinera Embrague Hino 700009665")</f>
        <v>Balinera Embrague Hino 700009665</v>
      </c>
      <c r="C8156" s="380" t="str">
        <f>IFERROR(__xludf.DUMMYFUNCTION("""COMPUTED_VALUE"""),"70003574")</f>
        <v>70003574</v>
      </c>
      <c r="D8156" s="380" t="s">
        <v>767</v>
      </c>
      <c r="E8156" s="380" t="s">
        <v>786</v>
      </c>
      <c r="F8156" s="380" t="s">
        <v>5661</v>
      </c>
      <c r="G8156" s="380" t="s">
        <v>1267</v>
      </c>
      <c r="H8156" s="380" t="s">
        <v>771</v>
      </c>
      <c r="I8156" s="380" t="s">
        <v>788</v>
      </c>
      <c r="J8156" s="380" t="s">
        <v>773</v>
      </c>
      <c r="K8156" s="381">
        <v>408421.0</v>
      </c>
      <c r="L8156" s="382">
        <v>1.0</v>
      </c>
    </row>
    <row r="8157">
      <c r="A8157" s="380" t="s">
        <v>9031</v>
      </c>
      <c r="B8157" s="380" t="str">
        <f>IFERROR(__xludf.DUMMYFUNCTION("""COMPUTED_VALUE"""),"Disco Embrague Hino 700007533")</f>
        <v>Disco Embrague Hino 700007533</v>
      </c>
      <c r="C8157" s="380" t="str">
        <f>IFERROR(__xludf.DUMMYFUNCTION("""COMPUTED_VALUE"""),"70003575")</f>
        <v>70003575</v>
      </c>
      <c r="D8157" s="380" t="s">
        <v>767</v>
      </c>
      <c r="E8157" s="380" t="s">
        <v>786</v>
      </c>
      <c r="F8157" s="380" t="s">
        <v>5661</v>
      </c>
      <c r="G8157" s="380" t="s">
        <v>1267</v>
      </c>
      <c r="H8157" s="380" t="s">
        <v>771</v>
      </c>
      <c r="I8157" s="380" t="s">
        <v>788</v>
      </c>
      <c r="J8157" s="380" t="s">
        <v>773</v>
      </c>
      <c r="K8157" s="381">
        <v>0.0</v>
      </c>
      <c r="L8157" s="382">
        <v>1.0</v>
      </c>
    </row>
    <row r="8158">
      <c r="A8158" s="380" t="s">
        <v>9032</v>
      </c>
      <c r="B8158" s="380" t="str">
        <f>IFERROR(__xludf.DUMMYFUNCTION("""COMPUTED_VALUE"""),"Horquilla Embrague N200 24516970")</f>
        <v>Horquilla Embrague N200 24516970</v>
      </c>
      <c r="C8158" s="380" t="str">
        <f>IFERROR(__xludf.DUMMYFUNCTION("""COMPUTED_VALUE"""),"70003576")</f>
        <v>70003576</v>
      </c>
      <c r="D8158" s="380" t="s">
        <v>767</v>
      </c>
      <c r="E8158" s="380" t="s">
        <v>786</v>
      </c>
      <c r="F8158" s="380" t="s">
        <v>5661</v>
      </c>
      <c r="G8158" s="380" t="s">
        <v>1267</v>
      </c>
      <c r="H8158" s="380" t="s">
        <v>771</v>
      </c>
      <c r="I8158" s="380" t="s">
        <v>788</v>
      </c>
      <c r="J8158" s="380" t="s">
        <v>773</v>
      </c>
      <c r="K8158" s="381">
        <v>0.0</v>
      </c>
      <c r="L8158" s="382">
        <v>1.0</v>
      </c>
    </row>
    <row r="8159">
      <c r="A8159" s="380" t="s">
        <v>9033</v>
      </c>
      <c r="B8159" s="380" t="str">
        <f>IFERROR(__xludf.DUMMYFUNCTION("""COMPUTED_VALUE"""),"Balinera Embr Foton MV3-MV5 7701023485")</f>
        <v>Balinera Embr Foton MV3-MV5 7701023485</v>
      </c>
      <c r="C8159" s="380" t="str">
        <f>IFERROR(__xludf.DUMMYFUNCTION("""COMPUTED_VALUE"""),"70003577")</f>
        <v>70003577</v>
      </c>
      <c r="D8159" s="380" t="s">
        <v>767</v>
      </c>
      <c r="E8159" s="380" t="s">
        <v>786</v>
      </c>
      <c r="F8159" s="380" t="s">
        <v>5661</v>
      </c>
      <c r="G8159" s="380" t="s">
        <v>1267</v>
      </c>
      <c r="H8159" s="380" t="s">
        <v>771</v>
      </c>
      <c r="I8159" s="380" t="s">
        <v>788</v>
      </c>
      <c r="J8159" s="380" t="s">
        <v>773</v>
      </c>
      <c r="K8159" s="381">
        <v>206319.0</v>
      </c>
      <c r="L8159" s="382">
        <v>1.0</v>
      </c>
    </row>
    <row r="8160">
      <c r="A8160" s="380" t="s">
        <v>9034</v>
      </c>
      <c r="B8160" s="380" t="str">
        <f>IFERROR(__xludf.DUMMYFUNCTION("""COMPUTED_VALUE"""),"Cilindro Aux De Embr Hino 300 700009696")</f>
        <v>Cilindro Aux De Embr Hino 300 700009696</v>
      </c>
      <c r="C8160" s="380" t="str">
        <f>IFERROR(__xludf.DUMMYFUNCTION("""COMPUTED_VALUE"""),"70003578")</f>
        <v>70003578</v>
      </c>
      <c r="D8160" s="380" t="s">
        <v>767</v>
      </c>
      <c r="E8160" s="380" t="s">
        <v>786</v>
      </c>
      <c r="F8160" s="380" t="s">
        <v>5661</v>
      </c>
      <c r="G8160" s="380" t="s">
        <v>1267</v>
      </c>
      <c r="H8160" s="380" t="s">
        <v>771</v>
      </c>
      <c r="I8160" s="380" t="s">
        <v>788</v>
      </c>
      <c r="J8160" s="380" t="s">
        <v>773</v>
      </c>
      <c r="K8160" s="381">
        <v>0.0</v>
      </c>
      <c r="L8160" s="382">
        <v>1.0</v>
      </c>
    </row>
    <row r="8161">
      <c r="A8161" s="380" t="s">
        <v>9035</v>
      </c>
      <c r="B8161" s="380" t="str">
        <f>IFERROR(__xludf.DUMMYFUNCTION("""COMPUTED_VALUE"""),"Prensa Embrague Jack Jkr 1600100LE190")</f>
        <v>Prensa Embrague Jack Jkr 1600100LE190</v>
      </c>
      <c r="C8161" s="380" t="str">
        <f>IFERROR(__xludf.DUMMYFUNCTION("""COMPUTED_VALUE"""),"70003579")</f>
        <v>70003579</v>
      </c>
      <c r="D8161" s="380" t="s">
        <v>767</v>
      </c>
      <c r="E8161" s="380" t="s">
        <v>786</v>
      </c>
      <c r="F8161" s="380" t="s">
        <v>5661</v>
      </c>
      <c r="G8161" s="380" t="s">
        <v>1267</v>
      </c>
      <c r="H8161" s="380" t="s">
        <v>771</v>
      </c>
      <c r="I8161" s="380" t="s">
        <v>788</v>
      </c>
      <c r="J8161" s="380" t="s">
        <v>773</v>
      </c>
      <c r="K8161" s="381">
        <v>0.0</v>
      </c>
      <c r="L8161" s="382">
        <v>1.0</v>
      </c>
    </row>
    <row r="8162">
      <c r="A8162" s="380" t="s">
        <v>9036</v>
      </c>
      <c r="B8162" s="380" t="str">
        <f>IFERROR(__xludf.DUMMYFUNCTION("""COMPUTED_VALUE"""),"Disco Embrague Jack Jkr 1600200LE190")</f>
        <v>Disco Embrague Jack Jkr 1600200LE190</v>
      </c>
      <c r="C8162" s="380" t="str">
        <f>IFERROR(__xludf.DUMMYFUNCTION("""COMPUTED_VALUE"""),"70003580")</f>
        <v>70003580</v>
      </c>
      <c r="D8162" s="380" t="s">
        <v>767</v>
      </c>
      <c r="E8162" s="380" t="s">
        <v>786</v>
      </c>
      <c r="F8162" s="380" t="s">
        <v>5661</v>
      </c>
      <c r="G8162" s="380" t="s">
        <v>1267</v>
      </c>
      <c r="H8162" s="380" t="s">
        <v>771</v>
      </c>
      <c r="I8162" s="380" t="s">
        <v>788</v>
      </c>
      <c r="J8162" s="380" t="s">
        <v>773</v>
      </c>
      <c r="K8162" s="381">
        <v>0.0</v>
      </c>
      <c r="L8162" s="382">
        <v>1.0</v>
      </c>
    </row>
    <row r="8163">
      <c r="A8163" s="380" t="s">
        <v>9037</v>
      </c>
      <c r="B8163" s="380" t="str">
        <f>IFERROR(__xludf.DUMMYFUNCTION("""COMPUTED_VALUE"""),"Kit Embrague Nkr Rewar / BWB 52135460")</f>
        <v>Kit Embrague Nkr Rewar / BWB 52135460</v>
      </c>
      <c r="C8163" s="380" t="str">
        <f>IFERROR(__xludf.DUMMYFUNCTION("""COMPUTED_VALUE"""),"70003581")</f>
        <v>70003581</v>
      </c>
      <c r="D8163" s="380" t="s">
        <v>767</v>
      </c>
      <c r="E8163" s="380" t="s">
        <v>786</v>
      </c>
      <c r="F8163" s="380" t="s">
        <v>5661</v>
      </c>
      <c r="G8163" s="380" t="s">
        <v>1267</v>
      </c>
      <c r="H8163" s="380" t="s">
        <v>771</v>
      </c>
      <c r="I8163" s="380" t="s">
        <v>788</v>
      </c>
      <c r="J8163" s="380" t="s">
        <v>773</v>
      </c>
      <c r="K8163" s="381">
        <v>0.0</v>
      </c>
      <c r="L8163" s="382">
        <v>1.0</v>
      </c>
    </row>
    <row r="8164">
      <c r="A8164" s="380" t="s">
        <v>9038</v>
      </c>
      <c r="B8164" s="380" t="str">
        <f>IFERROR(__xludf.DUMMYFUNCTION("""COMPUTED_VALUE"""),"Kit Embrague Foton BJ1039 5946329361")</f>
        <v>Kit Embrague Foton BJ1039 5946329361</v>
      </c>
      <c r="C8164" s="380" t="str">
        <f>IFERROR(__xludf.DUMMYFUNCTION("""COMPUTED_VALUE"""),"70003582")</f>
        <v>70003582</v>
      </c>
      <c r="D8164" s="380" t="s">
        <v>767</v>
      </c>
      <c r="E8164" s="380" t="s">
        <v>786</v>
      </c>
      <c r="F8164" s="380" t="s">
        <v>5661</v>
      </c>
      <c r="G8164" s="380" t="s">
        <v>1267</v>
      </c>
      <c r="H8164" s="380" t="s">
        <v>771</v>
      </c>
      <c r="I8164" s="380" t="s">
        <v>788</v>
      </c>
      <c r="J8164" s="380" t="s">
        <v>773</v>
      </c>
      <c r="K8164" s="381">
        <v>834079.0</v>
      </c>
      <c r="L8164" s="382">
        <v>1.0</v>
      </c>
    </row>
    <row r="8165">
      <c r="A8165" s="380" t="s">
        <v>9039</v>
      </c>
      <c r="B8165" s="380" t="str">
        <f>IFERROR(__xludf.DUMMYFUNCTION("""COMPUTED_VALUE"""),"Balinera Embrag Foton BJ1039 1023465083")</f>
        <v>Balinera Embrag Foton BJ1039 1023465083</v>
      </c>
      <c r="C8165" s="380" t="str">
        <f>IFERROR(__xludf.DUMMYFUNCTION("""COMPUTED_VALUE"""),"70003583")</f>
        <v>70003583</v>
      </c>
      <c r="D8165" s="380" t="s">
        <v>767</v>
      </c>
      <c r="E8165" s="380" t="s">
        <v>786</v>
      </c>
      <c r="F8165" s="380" t="s">
        <v>5661</v>
      </c>
      <c r="G8165" s="380" t="s">
        <v>1267</v>
      </c>
      <c r="H8165" s="380" t="s">
        <v>771</v>
      </c>
      <c r="I8165" s="380" t="s">
        <v>788</v>
      </c>
      <c r="J8165" s="380" t="s">
        <v>773</v>
      </c>
      <c r="K8165" s="381">
        <v>151422.0</v>
      </c>
      <c r="L8165" s="382">
        <v>1.0</v>
      </c>
    </row>
    <row r="8166">
      <c r="A8166" s="380" t="s">
        <v>9040</v>
      </c>
      <c r="B8166" s="380" t="str">
        <f>IFERROR(__xludf.DUMMYFUNCTION("""COMPUTED_VALUE"""),"Manguera Pres De Embrag Nkr 8980839070")</f>
        <v>Manguera Pres De Embrag Nkr 8980839070</v>
      </c>
      <c r="C8166" s="380" t="str">
        <f>IFERROR(__xludf.DUMMYFUNCTION("""COMPUTED_VALUE"""),"70003584")</f>
        <v>70003584</v>
      </c>
      <c r="D8166" s="380" t="s">
        <v>767</v>
      </c>
      <c r="E8166" s="380" t="s">
        <v>786</v>
      </c>
      <c r="F8166" s="380" t="s">
        <v>5661</v>
      </c>
      <c r="G8166" s="380" t="s">
        <v>1267</v>
      </c>
      <c r="H8166" s="380" t="s">
        <v>771</v>
      </c>
      <c r="I8166" s="380" t="s">
        <v>788</v>
      </c>
      <c r="J8166" s="380" t="s">
        <v>773</v>
      </c>
      <c r="K8166" s="381">
        <v>0.0</v>
      </c>
      <c r="L8166" s="382">
        <v>1.0</v>
      </c>
    </row>
    <row r="8167">
      <c r="A8167" s="380" t="s">
        <v>9041</v>
      </c>
      <c r="B8167" s="380" t="str">
        <f>IFERROR(__xludf.DUMMYFUNCTION("""COMPUTED_VALUE"""),"Bomba Aux Embrag Hyundai H100 417004F000")</f>
        <v>Bomba Aux Embrag Hyundai H100 417004F000</v>
      </c>
      <c r="C8167" s="380" t="str">
        <f>IFERROR(__xludf.DUMMYFUNCTION("""COMPUTED_VALUE"""),"70003585")</f>
        <v>70003585</v>
      </c>
      <c r="D8167" s="380" t="s">
        <v>767</v>
      </c>
      <c r="E8167" s="380" t="s">
        <v>786</v>
      </c>
      <c r="F8167" s="380" t="s">
        <v>5661</v>
      </c>
      <c r="G8167" s="380" t="s">
        <v>1267</v>
      </c>
      <c r="H8167" s="380" t="s">
        <v>771</v>
      </c>
      <c r="I8167" s="380" t="s">
        <v>788</v>
      </c>
      <c r="J8167" s="380" t="s">
        <v>773</v>
      </c>
      <c r="K8167" s="381">
        <v>0.0</v>
      </c>
      <c r="L8167" s="382">
        <v>1.0</v>
      </c>
    </row>
    <row r="8168">
      <c r="A8168" s="380" t="s">
        <v>9042</v>
      </c>
      <c r="B8168" s="380" t="str">
        <f>IFERROR(__xludf.DUMMYFUNCTION("""COMPUTED_VALUE"""),"Filtro Carter PCV FRR 8980023460")</f>
        <v>Filtro Carter PCV FRR 8980023460</v>
      </c>
      <c r="C8168" s="380" t="str">
        <f>IFERROR(__xludf.DUMMYFUNCTION("""COMPUTED_VALUE"""),"70003586")</f>
        <v>70003586</v>
      </c>
      <c r="D8168" s="380" t="s">
        <v>767</v>
      </c>
      <c r="E8168" s="380" t="s">
        <v>786</v>
      </c>
      <c r="F8168" s="380" t="s">
        <v>5855</v>
      </c>
      <c r="G8168" s="380" t="s">
        <v>1267</v>
      </c>
      <c r="H8168" s="380" t="s">
        <v>771</v>
      </c>
      <c r="I8168" s="380" t="s">
        <v>788</v>
      </c>
      <c r="J8168" s="380" t="s">
        <v>773</v>
      </c>
      <c r="K8168" s="381">
        <v>0.0</v>
      </c>
      <c r="L8168" s="382">
        <v>1.0</v>
      </c>
    </row>
    <row r="8169">
      <c r="A8169" s="380" t="s">
        <v>9043</v>
      </c>
      <c r="B8169" s="380" t="str">
        <f>IFERROR(__xludf.DUMMYFUNCTION("""COMPUTED_VALUE"""),"Exploradora Der Foton BJ1039 5946304948")</f>
        <v>Exploradora Der Foton BJ1039 5946304948</v>
      </c>
      <c r="C8169" s="380" t="str">
        <f>IFERROR(__xludf.DUMMYFUNCTION("""COMPUTED_VALUE"""),"70003587")</f>
        <v>70003587</v>
      </c>
      <c r="D8169" s="380" t="s">
        <v>767</v>
      </c>
      <c r="E8169" s="380" t="s">
        <v>786</v>
      </c>
      <c r="F8169" s="380" t="s">
        <v>998</v>
      </c>
      <c r="G8169" s="380" t="s">
        <v>1267</v>
      </c>
      <c r="H8169" s="380" t="s">
        <v>771</v>
      </c>
      <c r="I8169" s="380" t="s">
        <v>788</v>
      </c>
      <c r="J8169" s="380" t="s">
        <v>773</v>
      </c>
      <c r="K8169" s="381">
        <v>0.0</v>
      </c>
      <c r="L8169" s="382">
        <v>1.0</v>
      </c>
    </row>
    <row r="8170">
      <c r="A8170" s="380" t="s">
        <v>9044</v>
      </c>
      <c r="B8170" s="380" t="str">
        <f>IFERROR(__xludf.DUMMYFUNCTION("""COMPUTED_VALUE"""),"Exploradora Izq Foton 1039 5946304931")</f>
        <v>Exploradora Izq Foton 1039 5946304931</v>
      </c>
      <c r="C8170" s="380" t="str">
        <f>IFERROR(__xludf.DUMMYFUNCTION("""COMPUTED_VALUE"""),"70003588")</f>
        <v>70003588</v>
      </c>
      <c r="D8170" s="380" t="s">
        <v>767</v>
      </c>
      <c r="E8170" s="380" t="s">
        <v>786</v>
      </c>
      <c r="F8170" s="380" t="s">
        <v>998</v>
      </c>
      <c r="G8170" s="380" t="s">
        <v>1267</v>
      </c>
      <c r="H8170" s="380" t="s">
        <v>771</v>
      </c>
      <c r="I8170" s="380" t="s">
        <v>788</v>
      </c>
      <c r="J8170" s="380" t="s">
        <v>773</v>
      </c>
      <c r="K8170" s="381">
        <v>0.0</v>
      </c>
      <c r="L8170" s="382">
        <v>1.0</v>
      </c>
    </row>
    <row r="8171">
      <c r="A8171" s="380" t="s">
        <v>9045</v>
      </c>
      <c r="B8171" s="380" t="str">
        <f>IFERROR(__xludf.DUMMYFUNCTION("""COMPUTED_VALUE"""),"Motor Tanque Limpiab Nkr Rewar8978551390")</f>
        <v>Motor Tanque Limpiab Nkr Rewar8978551390</v>
      </c>
      <c r="C8171" s="380" t="str">
        <f>IFERROR(__xludf.DUMMYFUNCTION("""COMPUTED_VALUE"""),"70003589")</f>
        <v>70003589</v>
      </c>
      <c r="D8171" s="380" t="s">
        <v>767</v>
      </c>
      <c r="E8171" s="380" t="s">
        <v>786</v>
      </c>
      <c r="F8171" s="380" t="s">
        <v>998</v>
      </c>
      <c r="G8171" s="380" t="s">
        <v>1267</v>
      </c>
      <c r="H8171" s="380" t="s">
        <v>771</v>
      </c>
      <c r="I8171" s="380" t="s">
        <v>788</v>
      </c>
      <c r="J8171" s="380" t="s">
        <v>773</v>
      </c>
      <c r="K8171" s="381">
        <v>0.0</v>
      </c>
      <c r="L8171" s="382">
        <v>1.0</v>
      </c>
    </row>
    <row r="8172">
      <c r="A8172" s="380" t="s">
        <v>9046</v>
      </c>
      <c r="B8172" s="380" t="str">
        <f>IFERROR(__xludf.DUMMYFUNCTION("""COMPUTED_VALUE"""),"Switch Direc Y Luces Van N200 5499648")</f>
        <v>Switch Direc Y Luces Van N200 5499648</v>
      </c>
      <c r="C8172" s="380" t="str">
        <f>IFERROR(__xludf.DUMMYFUNCTION("""COMPUTED_VALUE"""),"70003590")</f>
        <v>70003590</v>
      </c>
      <c r="D8172" s="380" t="s">
        <v>767</v>
      </c>
      <c r="E8172" s="380" t="s">
        <v>786</v>
      </c>
      <c r="F8172" s="380" t="s">
        <v>998</v>
      </c>
      <c r="G8172" s="380" t="s">
        <v>1267</v>
      </c>
      <c r="H8172" s="380" t="s">
        <v>771</v>
      </c>
      <c r="I8172" s="380" t="s">
        <v>788</v>
      </c>
      <c r="J8172" s="380" t="s">
        <v>773</v>
      </c>
      <c r="K8172" s="381">
        <v>0.0</v>
      </c>
      <c r="L8172" s="382">
        <v>1.0</v>
      </c>
    </row>
    <row r="8173">
      <c r="A8173" s="380" t="s">
        <v>9047</v>
      </c>
      <c r="B8173" s="380" t="str">
        <f>IFERROR(__xludf.DUMMYFUNCTION("""COMPUTED_VALUE"""),"Sens Pres Atmosf/Barom Nkr Rew8980205140")</f>
        <v>Sens Pres Atmosf/Barom Nkr Rew8980205140</v>
      </c>
      <c r="C8173" s="380" t="str">
        <f>IFERROR(__xludf.DUMMYFUNCTION("""COMPUTED_VALUE"""),"70003591")</f>
        <v>70003591</v>
      </c>
      <c r="D8173" s="380" t="s">
        <v>767</v>
      </c>
      <c r="E8173" s="380" t="s">
        <v>786</v>
      </c>
      <c r="F8173" s="380" t="s">
        <v>998</v>
      </c>
      <c r="G8173" s="380" t="s">
        <v>1267</v>
      </c>
      <c r="H8173" s="380" t="s">
        <v>771</v>
      </c>
      <c r="I8173" s="380" t="s">
        <v>788</v>
      </c>
      <c r="J8173" s="380" t="s">
        <v>773</v>
      </c>
      <c r="K8173" s="381">
        <v>0.0</v>
      </c>
      <c r="L8173" s="382">
        <v>1.0</v>
      </c>
    </row>
    <row r="8174">
      <c r="A8174" s="380" t="s">
        <v>9048</v>
      </c>
      <c r="B8174" s="380" t="str">
        <f>IFERROR(__xludf.DUMMYFUNCTION("""COMPUTED_VALUE"""),"Pera Luz Rev Hino FC9J S842101400")</f>
        <v>Pera Luz Rev Hino FC9J S842101400</v>
      </c>
      <c r="C8174" s="380" t="str">
        <f>IFERROR(__xludf.DUMMYFUNCTION("""COMPUTED_VALUE"""),"70003592")</f>
        <v>70003592</v>
      </c>
      <c r="D8174" s="380" t="s">
        <v>767</v>
      </c>
      <c r="E8174" s="380" t="s">
        <v>786</v>
      </c>
      <c r="F8174" s="380" t="s">
        <v>998</v>
      </c>
      <c r="G8174" s="380" t="s">
        <v>1267</v>
      </c>
      <c r="H8174" s="380" t="s">
        <v>771</v>
      </c>
      <c r="I8174" s="380" t="s">
        <v>788</v>
      </c>
      <c r="J8174" s="380" t="s">
        <v>773</v>
      </c>
      <c r="K8174" s="381">
        <v>0.0</v>
      </c>
      <c r="L8174" s="382">
        <v>1.0</v>
      </c>
    </row>
    <row r="8175">
      <c r="A8175" s="380" t="s">
        <v>9049</v>
      </c>
      <c r="B8175" s="380" t="str">
        <f>IFERROR(__xludf.DUMMYFUNCTION("""COMPUTED_VALUE"""),"Solenoide Embrag Mack Md/Cxu 2330000312")</f>
        <v>Solenoide Embrag Mack Md/Cxu 2330000312</v>
      </c>
      <c r="C8175" s="380" t="str">
        <f>IFERROR(__xludf.DUMMYFUNCTION("""COMPUTED_VALUE"""),"70003593")</f>
        <v>70003593</v>
      </c>
      <c r="D8175" s="380" t="s">
        <v>767</v>
      </c>
      <c r="E8175" s="380" t="s">
        <v>786</v>
      </c>
      <c r="F8175" s="380" t="s">
        <v>998</v>
      </c>
      <c r="G8175" s="380" t="s">
        <v>1267</v>
      </c>
      <c r="H8175" s="380" t="s">
        <v>771</v>
      </c>
      <c r="I8175" s="380" t="s">
        <v>788</v>
      </c>
      <c r="J8175" s="380" t="s">
        <v>773</v>
      </c>
      <c r="K8175" s="381">
        <v>1949702.0</v>
      </c>
      <c r="L8175" s="382">
        <v>1.0</v>
      </c>
    </row>
    <row r="8176">
      <c r="A8176" s="380" t="s">
        <v>9050</v>
      </c>
      <c r="B8176" s="380" t="str">
        <f>IFERROR(__xludf.DUMMYFUNCTION("""COMPUTED_VALUE"""),"Farola Der Jac 1120 4121920LE010")</f>
        <v>Farola Der Jac 1120 4121920LE010</v>
      </c>
      <c r="C8176" s="380" t="str">
        <f>IFERROR(__xludf.DUMMYFUNCTION("""COMPUTED_VALUE"""),"70003594")</f>
        <v>70003594</v>
      </c>
      <c r="D8176" s="380" t="s">
        <v>767</v>
      </c>
      <c r="E8176" s="380" t="s">
        <v>786</v>
      </c>
      <c r="F8176" s="380" t="s">
        <v>998</v>
      </c>
      <c r="G8176" s="380" t="s">
        <v>1267</v>
      </c>
      <c r="H8176" s="380" t="s">
        <v>771</v>
      </c>
      <c r="I8176" s="380" t="s">
        <v>788</v>
      </c>
      <c r="J8176" s="380" t="s">
        <v>773</v>
      </c>
      <c r="K8176" s="381">
        <v>0.0</v>
      </c>
      <c r="L8176" s="382">
        <v>1.0</v>
      </c>
    </row>
    <row r="8177">
      <c r="A8177" s="380" t="s">
        <v>9051</v>
      </c>
      <c r="B8177" s="380" t="str">
        <f>IFERROR(__xludf.DUMMYFUNCTION("""COMPUTED_VALUE"""),"Stop Tras Izq Dongfen 4133100-BB010-A000")</f>
        <v>Stop Tras Izq Dongfen 4133100-BB010-A000</v>
      </c>
      <c r="C8177" s="380" t="str">
        <f>IFERROR(__xludf.DUMMYFUNCTION("""COMPUTED_VALUE"""),"70003595")</f>
        <v>70003595</v>
      </c>
      <c r="D8177" s="380" t="s">
        <v>767</v>
      </c>
      <c r="E8177" s="380" t="s">
        <v>786</v>
      </c>
      <c r="F8177" s="380" t="s">
        <v>998</v>
      </c>
      <c r="G8177" s="380" t="s">
        <v>1267</v>
      </c>
      <c r="H8177" s="380" t="s">
        <v>771</v>
      </c>
      <c r="I8177" s="380" t="s">
        <v>788</v>
      </c>
      <c r="J8177" s="380" t="s">
        <v>773</v>
      </c>
      <c r="K8177" s="381">
        <v>0.0</v>
      </c>
      <c r="L8177" s="382">
        <v>1.0</v>
      </c>
    </row>
    <row r="8178">
      <c r="A8178" s="380" t="s">
        <v>9052</v>
      </c>
      <c r="B8178" s="380" t="str">
        <f>IFERROR(__xludf.DUMMYFUNCTION("""COMPUTED_VALUE"""),"Stop Tras Der Dongfen 4133200-BB010-A000")</f>
        <v>Stop Tras Der Dongfen 4133200-BB010-A000</v>
      </c>
      <c r="C8178" s="380" t="str">
        <f>IFERROR(__xludf.DUMMYFUNCTION("""COMPUTED_VALUE"""),"70003596")</f>
        <v>70003596</v>
      </c>
      <c r="D8178" s="380" t="s">
        <v>767</v>
      </c>
      <c r="E8178" s="380" t="s">
        <v>786</v>
      </c>
      <c r="F8178" s="380" t="s">
        <v>998</v>
      </c>
      <c r="G8178" s="380" t="s">
        <v>1267</v>
      </c>
      <c r="H8178" s="380" t="s">
        <v>771</v>
      </c>
      <c r="I8178" s="380" t="s">
        <v>788</v>
      </c>
      <c r="J8178" s="380" t="s">
        <v>773</v>
      </c>
      <c r="K8178" s="381">
        <v>0.0</v>
      </c>
      <c r="L8178" s="382">
        <v>1.0</v>
      </c>
    </row>
    <row r="8179">
      <c r="A8179" s="380" t="s">
        <v>9053</v>
      </c>
      <c r="B8179" s="380" t="str">
        <f>IFERROR(__xludf.DUMMYFUNCTION("""COMPUTED_VALUE"""),"Sensor Agua Jac Jkr Euro V 1105013LD393")</f>
        <v>Sensor Agua Jac Jkr Euro V 1105013LD393</v>
      </c>
      <c r="C8179" s="380" t="str">
        <f>IFERROR(__xludf.DUMMYFUNCTION("""COMPUTED_VALUE"""),"70003597")</f>
        <v>70003597</v>
      </c>
      <c r="D8179" s="380" t="s">
        <v>767</v>
      </c>
      <c r="E8179" s="380" t="s">
        <v>786</v>
      </c>
      <c r="F8179" s="380" t="s">
        <v>998</v>
      </c>
      <c r="G8179" s="380" t="s">
        <v>1267</v>
      </c>
      <c r="H8179" s="380" t="s">
        <v>771</v>
      </c>
      <c r="I8179" s="380" t="s">
        <v>788</v>
      </c>
      <c r="J8179" s="380" t="s">
        <v>773</v>
      </c>
      <c r="K8179" s="381">
        <v>0.0</v>
      </c>
      <c r="L8179" s="382">
        <v>1.0</v>
      </c>
    </row>
    <row r="8180">
      <c r="A8180" s="380" t="s">
        <v>9054</v>
      </c>
      <c r="B8180" s="380" t="str">
        <f>IFERROR(__xludf.DUMMYFUNCTION("""COMPUTED_VALUE"""),"Tornillo Masa Arranque 42mt 76-1605")</f>
        <v>Tornillo Masa Arranque 42mt 76-1605</v>
      </c>
      <c r="C8180" s="380" t="str">
        <f>IFERROR(__xludf.DUMMYFUNCTION("""COMPUTED_VALUE"""),"70003598")</f>
        <v>70003598</v>
      </c>
      <c r="D8180" s="380" t="s">
        <v>767</v>
      </c>
      <c r="E8180" s="380" t="s">
        <v>786</v>
      </c>
      <c r="F8180" s="380" t="s">
        <v>998</v>
      </c>
      <c r="G8180" s="380" t="s">
        <v>1267</v>
      </c>
      <c r="H8180" s="380" t="s">
        <v>771</v>
      </c>
      <c r="I8180" s="380" t="s">
        <v>788</v>
      </c>
      <c r="J8180" s="380" t="s">
        <v>773</v>
      </c>
      <c r="K8180" s="381">
        <v>48384.0</v>
      </c>
      <c r="L8180" s="382">
        <v>1.0</v>
      </c>
    </row>
    <row r="8181">
      <c r="A8181" s="380" t="s">
        <v>9055</v>
      </c>
      <c r="B8181" s="380" t="str">
        <f>IFERROR(__xludf.DUMMYFUNCTION("""COMPUTED_VALUE"""),"Tornillo Motor De Arranque SB 5/8 X 2 1/")</f>
        <v>Tornillo Motor De Arranque SB 5/8 X 2 1/</v>
      </c>
      <c r="C8181" s="380" t="str">
        <f>IFERROR(__xludf.DUMMYFUNCTION("""COMPUTED_VALUE"""),"70003599")</f>
        <v>70003599</v>
      </c>
      <c r="D8181" s="380" t="s">
        <v>767</v>
      </c>
      <c r="E8181" s="380" t="s">
        <v>786</v>
      </c>
      <c r="F8181" s="380" t="s">
        <v>998</v>
      </c>
      <c r="G8181" s="380" t="s">
        <v>1267</v>
      </c>
      <c r="H8181" s="380" t="s">
        <v>771</v>
      </c>
      <c r="I8181" s="380" t="s">
        <v>788</v>
      </c>
      <c r="J8181" s="380" t="s">
        <v>773</v>
      </c>
      <c r="K8181" s="381">
        <v>0.0</v>
      </c>
      <c r="L8181" s="382">
        <v>1.0</v>
      </c>
    </row>
    <row r="8182">
      <c r="A8182" s="380" t="s">
        <v>9056</v>
      </c>
      <c r="B8182" s="380" t="str">
        <f>IFERROR(__xludf.DUMMYFUNCTION("""COMPUTED_VALUE"""),"Terminal Electrica De Ojo Faston 3/8")</f>
        <v>Terminal Electrica De Ojo Faston 3/8</v>
      </c>
      <c r="C8182" s="380" t="str">
        <f>IFERROR(__xludf.DUMMYFUNCTION("""COMPUTED_VALUE"""),"70003600")</f>
        <v>70003600</v>
      </c>
      <c r="D8182" s="380" t="s">
        <v>767</v>
      </c>
      <c r="E8182" s="380" t="s">
        <v>786</v>
      </c>
      <c r="F8182" s="380" t="s">
        <v>998</v>
      </c>
      <c r="G8182" s="380" t="s">
        <v>1267</v>
      </c>
      <c r="H8182" s="380" t="s">
        <v>771</v>
      </c>
      <c r="I8182" s="380" t="s">
        <v>788</v>
      </c>
      <c r="J8182" s="380" t="s">
        <v>773</v>
      </c>
      <c r="K8182" s="381">
        <v>0.0</v>
      </c>
      <c r="L8182" s="382">
        <v>1.0</v>
      </c>
    </row>
    <row r="8183">
      <c r="A8183" s="380" t="s">
        <v>9057</v>
      </c>
      <c r="B8183" s="380" t="str">
        <f>IFERROR(__xludf.DUMMYFUNCTION("""COMPUTED_VALUE"""),"Cilindro Embrague Jac 1609010LD291")</f>
        <v>Cilindro Embrague Jac 1609010LD291</v>
      </c>
      <c r="C8183" s="380" t="str">
        <f>IFERROR(__xludf.DUMMYFUNCTION("""COMPUTED_VALUE"""),"70003601")</f>
        <v>70003601</v>
      </c>
      <c r="D8183" s="380" t="s">
        <v>767</v>
      </c>
      <c r="E8183" s="380" t="s">
        <v>786</v>
      </c>
      <c r="F8183" s="380" t="s">
        <v>5661</v>
      </c>
      <c r="G8183" s="380" t="s">
        <v>1267</v>
      </c>
      <c r="H8183" s="380" t="s">
        <v>771</v>
      </c>
      <c r="I8183" s="380" t="s">
        <v>788</v>
      </c>
      <c r="J8183" s="380" t="s">
        <v>773</v>
      </c>
      <c r="K8183" s="381">
        <v>0.0</v>
      </c>
      <c r="L8183" s="382">
        <v>1.0</v>
      </c>
    </row>
    <row r="8184">
      <c r="A8184" s="380" t="s">
        <v>9058</v>
      </c>
      <c r="B8184" s="380" t="str">
        <f>IFERROR(__xludf.DUMMYFUNCTION("""COMPUTED_VALUE"""),"Prensa Embrague FRR 1312204540")</f>
        <v>Prensa Embrague FRR 1312204540</v>
      </c>
      <c r="C8184" s="380" t="str">
        <f>IFERROR(__xludf.DUMMYFUNCTION("""COMPUTED_VALUE"""),"70003602")</f>
        <v>70003602</v>
      </c>
      <c r="D8184" s="380" t="s">
        <v>767</v>
      </c>
      <c r="E8184" s="380" t="s">
        <v>786</v>
      </c>
      <c r="F8184" s="380" t="s">
        <v>5661</v>
      </c>
      <c r="G8184" s="380" t="s">
        <v>1267</v>
      </c>
      <c r="H8184" s="380" t="s">
        <v>771</v>
      </c>
      <c r="I8184" s="380" t="s">
        <v>788</v>
      </c>
      <c r="J8184" s="380" t="s">
        <v>773</v>
      </c>
      <c r="K8184" s="381">
        <v>0.0</v>
      </c>
      <c r="L8184" s="382">
        <v>1.0</v>
      </c>
    </row>
    <row r="8185">
      <c r="A8185" s="380" t="s">
        <v>9059</v>
      </c>
      <c r="B8185" s="380" t="str">
        <f>IFERROR(__xludf.DUMMYFUNCTION("""COMPUTED_VALUE"""),"Exploradora Tras Lh Foton MV5 5946041300")</f>
        <v>Exploradora Tras Lh Foton MV5 5946041300</v>
      </c>
      <c r="C8185" s="380" t="str">
        <f>IFERROR(__xludf.DUMMYFUNCTION("""COMPUTED_VALUE"""),"70003603")</f>
        <v>70003603</v>
      </c>
      <c r="D8185" s="380" t="s">
        <v>767</v>
      </c>
      <c r="E8185" s="380" t="s">
        <v>786</v>
      </c>
      <c r="F8185" s="380" t="s">
        <v>998</v>
      </c>
      <c r="G8185" s="380" t="s">
        <v>1267</v>
      </c>
      <c r="H8185" s="380" t="s">
        <v>771</v>
      </c>
      <c r="I8185" s="380" t="s">
        <v>788</v>
      </c>
      <c r="J8185" s="380" t="s">
        <v>773</v>
      </c>
      <c r="K8185" s="381">
        <v>0.0</v>
      </c>
      <c r="L8185" s="382">
        <v>1.0</v>
      </c>
    </row>
    <row r="8186">
      <c r="A8186" s="380" t="s">
        <v>9060</v>
      </c>
      <c r="B8186" s="380" t="str">
        <f>IFERROR(__xludf.DUMMYFUNCTION("""COMPUTED_VALUE"""),"Exploradora Tras Rh FotonMV5 5946041317")</f>
        <v>Exploradora Tras Rh FotonMV5 5946041317</v>
      </c>
      <c r="C8186" s="380" t="str">
        <f>IFERROR(__xludf.DUMMYFUNCTION("""COMPUTED_VALUE"""),"70003604")</f>
        <v>70003604</v>
      </c>
      <c r="D8186" s="380" t="s">
        <v>767</v>
      </c>
      <c r="E8186" s="380" t="s">
        <v>786</v>
      </c>
      <c r="F8186" s="380" t="s">
        <v>998</v>
      </c>
      <c r="G8186" s="380" t="s">
        <v>1267</v>
      </c>
      <c r="H8186" s="380" t="s">
        <v>771</v>
      </c>
      <c r="I8186" s="380" t="s">
        <v>788</v>
      </c>
      <c r="J8186" s="380" t="s">
        <v>773</v>
      </c>
      <c r="K8186" s="381">
        <v>0.0</v>
      </c>
      <c r="L8186" s="382">
        <v>1.0</v>
      </c>
    </row>
    <row r="8187">
      <c r="A8187" s="380" t="s">
        <v>9061</v>
      </c>
      <c r="B8187" s="380" t="str">
        <f>IFERROR(__xludf.DUMMYFUNCTION("""COMPUTED_VALUE"""),"Talco Lampara Lateral Amarillo 480")</f>
        <v>Talco Lampara Lateral Amarillo 480</v>
      </c>
      <c r="C8187" s="380" t="str">
        <f>IFERROR(__xludf.DUMMYFUNCTION("""COMPUTED_VALUE"""),"70003605")</f>
        <v>70003605</v>
      </c>
      <c r="D8187" s="380" t="s">
        <v>767</v>
      </c>
      <c r="E8187" s="380" t="s">
        <v>786</v>
      </c>
      <c r="F8187" s="380" t="s">
        <v>998</v>
      </c>
      <c r="G8187" s="380" t="s">
        <v>1267</v>
      </c>
      <c r="H8187" s="380" t="s">
        <v>771</v>
      </c>
      <c r="I8187" s="380" t="s">
        <v>788</v>
      </c>
      <c r="J8187" s="380" t="s">
        <v>773</v>
      </c>
      <c r="K8187" s="381">
        <v>7140.0</v>
      </c>
      <c r="L8187" s="382">
        <v>1.0</v>
      </c>
    </row>
    <row r="8188">
      <c r="A8188" s="380" t="s">
        <v>9062</v>
      </c>
      <c r="B8188" s="380" t="str">
        <f>IFERROR(__xludf.DUMMYFUNCTION("""COMPUTED_VALUE"""),"Talco Stop Tras S B R04-079 479")</f>
        <v>Talco Stop Tras S B R04-079 479</v>
      </c>
      <c r="C8188" s="380" t="str">
        <f>IFERROR(__xludf.DUMMYFUNCTION("""COMPUTED_VALUE"""),"70003606")</f>
        <v>70003606</v>
      </c>
      <c r="D8188" s="380" t="s">
        <v>767</v>
      </c>
      <c r="E8188" s="380" t="s">
        <v>786</v>
      </c>
      <c r="F8188" s="380" t="s">
        <v>998</v>
      </c>
      <c r="G8188" s="380" t="s">
        <v>1267</v>
      </c>
      <c r="H8188" s="380" t="s">
        <v>771</v>
      </c>
      <c r="I8188" s="380" t="s">
        <v>788</v>
      </c>
      <c r="J8188" s="380" t="s">
        <v>773</v>
      </c>
      <c r="K8188" s="381">
        <v>0.0</v>
      </c>
      <c r="L8188" s="382">
        <v>1.0</v>
      </c>
    </row>
    <row r="8189">
      <c r="A8189" s="380" t="s">
        <v>9063</v>
      </c>
      <c r="B8189" s="380" t="str">
        <f>IFERROR(__xludf.DUMMYFUNCTION("""COMPUTED_VALUE"""),"Talco Stop Trailer R-485")</f>
        <v>Talco Stop Trailer R-485</v>
      </c>
      <c r="C8189" s="380" t="str">
        <f>IFERROR(__xludf.DUMMYFUNCTION("""COMPUTED_VALUE"""),"70003607")</f>
        <v>70003607</v>
      </c>
      <c r="D8189" s="380" t="s">
        <v>767</v>
      </c>
      <c r="E8189" s="380" t="s">
        <v>786</v>
      </c>
      <c r="F8189" s="380" t="s">
        <v>998</v>
      </c>
      <c r="G8189" s="380" t="s">
        <v>1267</v>
      </c>
      <c r="H8189" s="380" t="s">
        <v>771</v>
      </c>
      <c r="I8189" s="380" t="s">
        <v>788</v>
      </c>
      <c r="J8189" s="380" t="s">
        <v>773</v>
      </c>
      <c r="K8189" s="381">
        <v>0.0</v>
      </c>
      <c r="L8189" s="382">
        <v>1.0</v>
      </c>
    </row>
    <row r="8190">
      <c r="A8190" s="380" t="s">
        <v>9064</v>
      </c>
      <c r="B8190" s="380" t="str">
        <f>IFERROR(__xludf.DUMMYFUNCTION("""COMPUTED_VALUE"""),"Switch Embrague KW T800 P27-1036")</f>
        <v>Switch Embrague KW T800 P27-1036</v>
      </c>
      <c r="C8190" s="380" t="str">
        <f>IFERROR(__xludf.DUMMYFUNCTION("""COMPUTED_VALUE"""),"70003609")</f>
        <v>70003609</v>
      </c>
      <c r="D8190" s="380" t="s">
        <v>767</v>
      </c>
      <c r="E8190" s="380" t="s">
        <v>786</v>
      </c>
      <c r="F8190" s="380" t="s">
        <v>998</v>
      </c>
      <c r="G8190" s="380" t="s">
        <v>1267</v>
      </c>
      <c r="H8190" s="380" t="s">
        <v>771</v>
      </c>
      <c r="I8190" s="380" t="s">
        <v>788</v>
      </c>
      <c r="J8190" s="380" t="s">
        <v>773</v>
      </c>
      <c r="K8190" s="381">
        <v>0.0</v>
      </c>
      <c r="L8190" s="382">
        <v>1.0</v>
      </c>
    </row>
    <row r="8191">
      <c r="A8191" s="380" t="s">
        <v>9065</v>
      </c>
      <c r="B8191" s="380" t="str">
        <f>IFERROR(__xludf.DUMMYFUNCTION("""COMPUTED_VALUE"""),"Motor Elevavidrio KW T800 12716l")</f>
        <v>Motor Elevavidrio KW T800 12716l</v>
      </c>
      <c r="C8191" s="380" t="str">
        <f>IFERROR(__xludf.DUMMYFUNCTION("""COMPUTED_VALUE"""),"70003610")</f>
        <v>70003610</v>
      </c>
      <c r="D8191" s="380" t="s">
        <v>767</v>
      </c>
      <c r="E8191" s="380" t="s">
        <v>786</v>
      </c>
      <c r="F8191" s="380" t="s">
        <v>998</v>
      </c>
      <c r="G8191" s="380" t="s">
        <v>1267</v>
      </c>
      <c r="H8191" s="380" t="s">
        <v>771</v>
      </c>
      <c r="I8191" s="380" t="s">
        <v>788</v>
      </c>
      <c r="J8191" s="380" t="s">
        <v>773</v>
      </c>
      <c r="K8191" s="381">
        <v>0.0</v>
      </c>
      <c r="L8191" s="382">
        <v>1.0</v>
      </c>
    </row>
    <row r="8192">
      <c r="A8192" s="380" t="s">
        <v>9066</v>
      </c>
      <c r="B8192" s="380" t="str">
        <f>IFERROR(__xludf.DUMMYFUNCTION("""COMPUTED_VALUE"""),"Bateria Planta Electrica 4D-1350 Willard")</f>
        <v>Bateria Planta Electrica 4D-1350 Willard</v>
      </c>
      <c r="C8192" s="380" t="str">
        <f>IFERROR(__xludf.DUMMYFUNCTION("""COMPUTED_VALUE"""),"70003611")</f>
        <v>70003611</v>
      </c>
      <c r="D8192" s="380" t="s">
        <v>767</v>
      </c>
      <c r="E8192" s="380" t="s">
        <v>786</v>
      </c>
      <c r="F8192" s="380" t="s">
        <v>998</v>
      </c>
      <c r="G8192" s="380" t="s">
        <v>1267</v>
      </c>
      <c r="H8192" s="380" t="s">
        <v>771</v>
      </c>
      <c r="I8192" s="380" t="s">
        <v>788</v>
      </c>
      <c r="J8192" s="380" t="s">
        <v>773</v>
      </c>
      <c r="K8192" s="381">
        <v>0.0</v>
      </c>
      <c r="L8192" s="382">
        <v>1.0</v>
      </c>
    </row>
    <row r="8193">
      <c r="A8193" s="380" t="s">
        <v>9067</v>
      </c>
      <c r="B8193" s="380" t="str">
        <f>IFERROR(__xludf.DUMMYFUNCTION("""COMPUTED_VALUE"""),"Tapa Alternador SB 33 SI")</f>
        <v>Tapa Alternador SB 33 SI</v>
      </c>
      <c r="C8193" s="380" t="str">
        <f>IFERROR(__xludf.DUMMYFUNCTION("""COMPUTED_VALUE"""),"70003612")</f>
        <v>70003612</v>
      </c>
      <c r="D8193" s="380" t="s">
        <v>767</v>
      </c>
      <c r="E8193" s="380" t="s">
        <v>786</v>
      </c>
      <c r="F8193" s="380" t="s">
        <v>998</v>
      </c>
      <c r="G8193" s="380" t="s">
        <v>1267</v>
      </c>
      <c r="H8193" s="380" t="s">
        <v>771</v>
      </c>
      <c r="I8193" s="380" t="s">
        <v>788</v>
      </c>
      <c r="J8193" s="380" t="s">
        <v>773</v>
      </c>
      <c r="K8193" s="381">
        <v>0.0</v>
      </c>
      <c r="L8193" s="382">
        <v>1.0</v>
      </c>
    </row>
    <row r="8194">
      <c r="A8194" s="380" t="s">
        <v>9068</v>
      </c>
      <c r="B8194" s="380" t="str">
        <f>IFERROR(__xludf.DUMMYFUNCTION("""COMPUTED_VALUE"""),"Valvula Selen Corneta Prostar 2506713C91")</f>
        <v>Valvula Selen Corneta Prostar 2506713C91</v>
      </c>
      <c r="C8194" s="380" t="str">
        <f>IFERROR(__xludf.DUMMYFUNCTION("""COMPUTED_VALUE"""),"70003613")</f>
        <v>70003613</v>
      </c>
      <c r="D8194" s="380" t="s">
        <v>767</v>
      </c>
      <c r="E8194" s="380" t="s">
        <v>786</v>
      </c>
      <c r="F8194" s="380" t="s">
        <v>998</v>
      </c>
      <c r="G8194" s="380" t="s">
        <v>1267</v>
      </c>
      <c r="H8194" s="380" t="s">
        <v>771</v>
      </c>
      <c r="I8194" s="380" t="s">
        <v>788</v>
      </c>
      <c r="J8194" s="380" t="s">
        <v>773</v>
      </c>
      <c r="K8194" s="381">
        <v>0.0</v>
      </c>
      <c r="L8194" s="382">
        <v>1.0</v>
      </c>
    </row>
    <row r="8195">
      <c r="A8195" s="380" t="s">
        <v>9069</v>
      </c>
      <c r="B8195" s="380" t="str">
        <f>IFERROR(__xludf.DUMMYFUNCTION("""COMPUTED_VALUE"""),"Lampara Direcal Del Izq FRR 2131531R")</f>
        <v>Lampara Direcal Del Izq FRR 2131531R</v>
      </c>
      <c r="C8195" s="380" t="str">
        <f>IFERROR(__xludf.DUMMYFUNCTION("""COMPUTED_VALUE"""),"70003614")</f>
        <v>70003614</v>
      </c>
      <c r="D8195" s="380" t="s">
        <v>767</v>
      </c>
      <c r="E8195" s="380" t="s">
        <v>786</v>
      </c>
      <c r="F8195" s="380" t="s">
        <v>998</v>
      </c>
      <c r="G8195" s="380" t="s">
        <v>1267</v>
      </c>
      <c r="H8195" s="380" t="s">
        <v>771</v>
      </c>
      <c r="I8195" s="380" t="s">
        <v>788</v>
      </c>
      <c r="J8195" s="380" t="s">
        <v>773</v>
      </c>
      <c r="K8195" s="381">
        <v>0.0</v>
      </c>
      <c r="L8195" s="382">
        <v>1.0</v>
      </c>
    </row>
    <row r="8196">
      <c r="A8196" s="380" t="s">
        <v>9070</v>
      </c>
      <c r="B8196" s="380" t="str">
        <f>IFERROR(__xludf.DUMMYFUNCTION("""COMPUTED_VALUE"""),"Farola Del Izq FRR 2131139R")</f>
        <v>Farola Del Izq FRR 2131139R</v>
      </c>
      <c r="C8196" s="380" t="str">
        <f>IFERROR(__xludf.DUMMYFUNCTION("""COMPUTED_VALUE"""),"70003615")</f>
        <v>70003615</v>
      </c>
      <c r="D8196" s="380" t="s">
        <v>767</v>
      </c>
      <c r="E8196" s="380" t="s">
        <v>786</v>
      </c>
      <c r="F8196" s="380" t="s">
        <v>998</v>
      </c>
      <c r="G8196" s="380" t="s">
        <v>1267</v>
      </c>
      <c r="H8196" s="380" t="s">
        <v>771</v>
      </c>
      <c r="I8196" s="380" t="s">
        <v>788</v>
      </c>
      <c r="J8196" s="380" t="s">
        <v>773</v>
      </c>
      <c r="K8196" s="381">
        <v>0.0</v>
      </c>
      <c r="L8196" s="382">
        <v>1.0</v>
      </c>
    </row>
    <row r="8197">
      <c r="A8197" s="380" t="s">
        <v>9071</v>
      </c>
      <c r="B8197" s="380" t="str">
        <f>IFERROR(__xludf.DUMMYFUNCTION("""COMPUTED_VALUE"""),"Motor Arranque 12v 42mt 1615186C91")</f>
        <v>Motor Arranque 12v 42mt 1615186C91</v>
      </c>
      <c r="C8197" s="380" t="str">
        <f>IFERROR(__xludf.DUMMYFUNCTION("""COMPUTED_VALUE"""),"70003616")</f>
        <v>70003616</v>
      </c>
      <c r="D8197" s="380" t="s">
        <v>767</v>
      </c>
      <c r="E8197" s="380" t="s">
        <v>786</v>
      </c>
      <c r="F8197" s="380" t="s">
        <v>998</v>
      </c>
      <c r="G8197" s="380" t="s">
        <v>1267</v>
      </c>
      <c r="H8197" s="380" t="s">
        <v>771</v>
      </c>
      <c r="I8197" s="380" t="s">
        <v>788</v>
      </c>
      <c r="J8197" s="380" t="s">
        <v>773</v>
      </c>
      <c r="K8197" s="381">
        <v>0.0</v>
      </c>
      <c r="L8197" s="382">
        <v>1.0</v>
      </c>
    </row>
    <row r="8198">
      <c r="A8198" s="380" t="s">
        <v>9072</v>
      </c>
      <c r="B8198" s="380" t="str">
        <f>IFERROR(__xludf.DUMMYFUNCTION("""COMPUTED_VALUE"""),"Terminal De Ojo 3/8 125 Am")</f>
        <v>Terminal De Ojo 3/8 125 Am</v>
      </c>
      <c r="C8198" s="380" t="str">
        <f>IFERROR(__xludf.DUMMYFUNCTION("""COMPUTED_VALUE"""),"70003617")</f>
        <v>70003617</v>
      </c>
      <c r="D8198" s="380" t="s">
        <v>767</v>
      </c>
      <c r="E8198" s="380" t="s">
        <v>786</v>
      </c>
      <c r="F8198" s="380" t="s">
        <v>998</v>
      </c>
      <c r="G8198" s="380" t="s">
        <v>1267</v>
      </c>
      <c r="H8198" s="380" t="s">
        <v>771</v>
      </c>
      <c r="I8198" s="380" t="s">
        <v>788</v>
      </c>
      <c r="J8198" s="380" t="s">
        <v>773</v>
      </c>
      <c r="K8198" s="381">
        <v>0.0</v>
      </c>
      <c r="L8198" s="382">
        <v>1.0</v>
      </c>
    </row>
    <row r="8199">
      <c r="A8199" s="380" t="s">
        <v>9073</v>
      </c>
      <c r="B8199" s="380" t="str">
        <f>IFERROR(__xludf.DUMMYFUNCTION("""COMPUTED_VALUE"""),"Terminal De Ojo De 175-200 Amp 3/8"" 200A")</f>
        <v>Terminal De Ojo De 175-200 Amp 3/8" 200A</v>
      </c>
      <c r="C8199" s="380" t="str">
        <f>IFERROR(__xludf.DUMMYFUNCTION("""COMPUTED_VALUE"""),"70003618")</f>
        <v>70003618</v>
      </c>
      <c r="D8199" s="380" t="s">
        <v>767</v>
      </c>
      <c r="E8199" s="380" t="s">
        <v>786</v>
      </c>
      <c r="F8199" s="380" t="s">
        <v>998</v>
      </c>
      <c r="G8199" s="380" t="s">
        <v>1267</v>
      </c>
      <c r="H8199" s="380" t="s">
        <v>771</v>
      </c>
      <c r="I8199" s="380" t="s">
        <v>788</v>
      </c>
      <c r="J8199" s="380" t="s">
        <v>773</v>
      </c>
      <c r="K8199" s="381">
        <v>0.0</v>
      </c>
      <c r="L8199" s="382">
        <v>1.0</v>
      </c>
    </row>
    <row r="8200">
      <c r="A8200" s="380" t="s">
        <v>9074</v>
      </c>
      <c r="B8200" s="380" t="str">
        <f>IFERROR(__xludf.DUMMYFUNCTION("""COMPUTED_VALUE"""),"Sensor Posic Arbol Lev MV5 7705946023276")</f>
        <v>Sensor Posic Arbol Lev MV5 7705946023276</v>
      </c>
      <c r="C8200" s="380" t="str">
        <f>IFERROR(__xludf.DUMMYFUNCTION("""COMPUTED_VALUE"""),"70003619")</f>
        <v>70003619</v>
      </c>
      <c r="D8200" s="380" t="s">
        <v>767</v>
      </c>
      <c r="E8200" s="380" t="s">
        <v>786</v>
      </c>
      <c r="F8200" s="380" t="s">
        <v>998</v>
      </c>
      <c r="G8200" s="380" t="s">
        <v>1267</v>
      </c>
      <c r="H8200" s="380" t="s">
        <v>771</v>
      </c>
      <c r="I8200" s="380" t="s">
        <v>788</v>
      </c>
      <c r="J8200" s="380" t="s">
        <v>773</v>
      </c>
      <c r="K8200" s="381">
        <v>0.0</v>
      </c>
      <c r="L8200" s="382">
        <v>1.0</v>
      </c>
    </row>
    <row r="8201">
      <c r="A8201" s="380" t="s">
        <v>9075</v>
      </c>
      <c r="B8201" s="380" t="str">
        <f>IFERROR(__xludf.DUMMYFUNCTION("""COMPUTED_VALUE"""),"Suiche Luces Int 9400/96 2007295C1")</f>
        <v>Suiche Luces Int 9400/96 2007295C1</v>
      </c>
      <c r="C8201" s="380" t="str">
        <f>IFERROR(__xludf.DUMMYFUNCTION("""COMPUTED_VALUE"""),"70003620")</f>
        <v>70003620</v>
      </c>
      <c r="D8201" s="380" t="s">
        <v>767</v>
      </c>
      <c r="E8201" s="380" t="s">
        <v>786</v>
      </c>
      <c r="F8201" s="380" t="s">
        <v>998</v>
      </c>
      <c r="G8201" s="380" t="s">
        <v>1267</v>
      </c>
      <c r="H8201" s="380" t="s">
        <v>771</v>
      </c>
      <c r="I8201" s="380" t="s">
        <v>788</v>
      </c>
      <c r="J8201" s="380" t="s">
        <v>773</v>
      </c>
      <c r="K8201" s="381">
        <v>0.0</v>
      </c>
      <c r="L8201" s="382">
        <v>1.0</v>
      </c>
    </row>
    <row r="8202">
      <c r="A8202" s="380" t="s">
        <v>9076</v>
      </c>
      <c r="B8202" s="380" t="str">
        <f>IFERROR(__xludf.DUMMYFUNCTION("""COMPUTED_VALUE"""),"Switch Redondo Rojo")</f>
        <v>Switch Redondo Rojo</v>
      </c>
      <c r="C8202" s="380" t="str">
        <f>IFERROR(__xludf.DUMMYFUNCTION("""COMPUTED_VALUE"""),"70003621")</f>
        <v>70003621</v>
      </c>
      <c r="D8202" s="380" t="s">
        <v>767</v>
      </c>
      <c r="E8202" s="380" t="s">
        <v>786</v>
      </c>
      <c r="F8202" s="380" t="s">
        <v>998</v>
      </c>
      <c r="G8202" s="380" t="s">
        <v>1267</v>
      </c>
      <c r="H8202" s="380" t="s">
        <v>771</v>
      </c>
      <c r="I8202" s="380" t="s">
        <v>788</v>
      </c>
      <c r="J8202" s="380" t="s">
        <v>773</v>
      </c>
      <c r="K8202" s="381">
        <v>2580.0</v>
      </c>
      <c r="L8202" s="382">
        <v>1.0</v>
      </c>
    </row>
    <row r="8203">
      <c r="A8203" s="380" t="s">
        <v>9077</v>
      </c>
      <c r="B8203" s="380" t="str">
        <f>IFERROR(__xludf.DUMMYFUNCTION("""COMPUTED_VALUE"""),"Farola Del Der Foton 1129 7701023080767")</f>
        <v>Farola Del Der Foton 1129 7701023080767</v>
      </c>
      <c r="C8203" s="380" t="str">
        <f>IFERROR(__xludf.DUMMYFUNCTION("""COMPUTED_VALUE"""),"70003622")</f>
        <v>70003622</v>
      </c>
      <c r="D8203" s="380" t="s">
        <v>767</v>
      </c>
      <c r="E8203" s="380" t="s">
        <v>786</v>
      </c>
      <c r="F8203" s="380" t="s">
        <v>998</v>
      </c>
      <c r="G8203" s="380" t="s">
        <v>1267</v>
      </c>
      <c r="H8203" s="380" t="s">
        <v>771</v>
      </c>
      <c r="I8203" s="380" t="s">
        <v>788</v>
      </c>
      <c r="J8203" s="380" t="s">
        <v>773</v>
      </c>
      <c r="K8203" s="381">
        <v>0.0</v>
      </c>
      <c r="L8203" s="382">
        <v>1.0</v>
      </c>
    </row>
    <row r="8204">
      <c r="A8204" s="380" t="s">
        <v>9078</v>
      </c>
      <c r="B8204" s="380" t="str">
        <f>IFERROR(__xludf.DUMMYFUNCTION("""COMPUTED_VALUE"""),"Talco Stop Triple Transparente Lor-1484")</f>
        <v>Talco Stop Triple Transparente Lor-1484</v>
      </c>
      <c r="C8204" s="380" t="str">
        <f>IFERROR(__xludf.DUMMYFUNCTION("""COMPUTED_VALUE"""),"70003623")</f>
        <v>70003623</v>
      </c>
      <c r="D8204" s="380" t="s">
        <v>767</v>
      </c>
      <c r="E8204" s="380" t="s">
        <v>786</v>
      </c>
      <c r="F8204" s="380" t="s">
        <v>998</v>
      </c>
      <c r="G8204" s="380" t="s">
        <v>1267</v>
      </c>
      <c r="H8204" s="380" t="s">
        <v>771</v>
      </c>
      <c r="I8204" s="380" t="s">
        <v>788</v>
      </c>
      <c r="J8204" s="380" t="s">
        <v>773</v>
      </c>
      <c r="K8204" s="381">
        <v>0.0</v>
      </c>
      <c r="L8204" s="382">
        <v>1.0</v>
      </c>
    </row>
    <row r="8205">
      <c r="A8205" s="380" t="s">
        <v>9079</v>
      </c>
      <c r="B8205" s="380" t="str">
        <f>IFERROR(__xludf.DUMMYFUNCTION("""COMPUTED_VALUE"""),"Talco Stop Triple Rojo R-620 Rojo")</f>
        <v>Talco Stop Triple Rojo R-620 Rojo</v>
      </c>
      <c r="C8205" s="380" t="str">
        <f>IFERROR(__xludf.DUMMYFUNCTION("""COMPUTED_VALUE"""),"70003624")</f>
        <v>70003624</v>
      </c>
      <c r="D8205" s="380" t="s">
        <v>767</v>
      </c>
      <c r="E8205" s="380" t="s">
        <v>786</v>
      </c>
      <c r="F8205" s="380" t="s">
        <v>998</v>
      </c>
      <c r="G8205" s="380" t="s">
        <v>1267</v>
      </c>
      <c r="H8205" s="380" t="s">
        <v>771</v>
      </c>
      <c r="I8205" s="380" t="s">
        <v>788</v>
      </c>
      <c r="J8205" s="380" t="s">
        <v>773</v>
      </c>
      <c r="K8205" s="381">
        <v>0.0</v>
      </c>
      <c r="L8205" s="382">
        <v>1.0</v>
      </c>
    </row>
    <row r="8206">
      <c r="A8206" s="380" t="s">
        <v>9080</v>
      </c>
      <c r="B8206" s="380" t="str">
        <f>IFERROR(__xludf.DUMMYFUNCTION("""COMPUTED_VALUE"""),"Lampara Dir Pta Izq Fotón1039 1023095549")</f>
        <v>Lampara Dir Pta Izq Fotón1039 1023095549</v>
      </c>
      <c r="C8206" s="380" t="str">
        <f>IFERROR(__xludf.DUMMYFUNCTION("""COMPUTED_VALUE"""),"70003625")</f>
        <v>70003625</v>
      </c>
      <c r="D8206" s="380" t="s">
        <v>767</v>
      </c>
      <c r="E8206" s="380" t="s">
        <v>786</v>
      </c>
      <c r="F8206" s="380" t="s">
        <v>998</v>
      </c>
      <c r="G8206" s="380" t="s">
        <v>1267</v>
      </c>
      <c r="H8206" s="380" t="s">
        <v>771</v>
      </c>
      <c r="I8206" s="380" t="s">
        <v>788</v>
      </c>
      <c r="J8206" s="380" t="s">
        <v>773</v>
      </c>
      <c r="K8206" s="381">
        <v>0.0</v>
      </c>
      <c r="L8206" s="382">
        <v>1.0</v>
      </c>
    </row>
    <row r="8207">
      <c r="A8207" s="380" t="s">
        <v>9081</v>
      </c>
      <c r="B8207" s="380" t="str">
        <f>IFERROR(__xludf.DUMMYFUNCTION("""COMPUTED_VALUE"""),"Pacha Sensor Cigueñal 3 Vias Gris")</f>
        <v>Pacha Sensor Cigueñal 3 Vias Gris</v>
      </c>
      <c r="C8207" s="380" t="str">
        <f>IFERROR(__xludf.DUMMYFUNCTION("""COMPUTED_VALUE"""),"70003626")</f>
        <v>70003626</v>
      </c>
      <c r="D8207" s="380" t="s">
        <v>767</v>
      </c>
      <c r="E8207" s="380" t="s">
        <v>786</v>
      </c>
      <c r="F8207" s="380" t="s">
        <v>998</v>
      </c>
      <c r="G8207" s="380" t="s">
        <v>1267</v>
      </c>
      <c r="H8207" s="380" t="s">
        <v>771</v>
      </c>
      <c r="I8207" s="380" t="s">
        <v>788</v>
      </c>
      <c r="J8207" s="380" t="s">
        <v>773</v>
      </c>
      <c r="K8207" s="381">
        <v>0.0</v>
      </c>
      <c r="L8207" s="382">
        <v>1.0</v>
      </c>
    </row>
    <row r="8208">
      <c r="A8208" s="380" t="s">
        <v>9082</v>
      </c>
      <c r="B8208" s="380" t="str">
        <f>IFERROR(__xludf.DUMMYFUNCTION("""COMPUTED_VALUE"""),"Pito Plastico 12-24 V")</f>
        <v>Pito Plastico 12-24 V</v>
      </c>
      <c r="C8208" s="380" t="str">
        <f>IFERROR(__xludf.DUMMYFUNCTION("""COMPUTED_VALUE"""),"70003627")</f>
        <v>70003627</v>
      </c>
      <c r="D8208" s="380" t="s">
        <v>767</v>
      </c>
      <c r="E8208" s="380" t="s">
        <v>786</v>
      </c>
      <c r="F8208" s="380" t="s">
        <v>998</v>
      </c>
      <c r="G8208" s="380" t="s">
        <v>1267</v>
      </c>
      <c r="H8208" s="380" t="s">
        <v>771</v>
      </c>
      <c r="I8208" s="380" t="s">
        <v>788</v>
      </c>
      <c r="J8208" s="380" t="s">
        <v>773</v>
      </c>
      <c r="K8208" s="381">
        <v>0.0</v>
      </c>
      <c r="L8208" s="382">
        <v>1.0</v>
      </c>
    </row>
    <row r="8209">
      <c r="A8209" s="380" t="s">
        <v>9083</v>
      </c>
      <c r="B8209" s="380" t="str">
        <f>IFERROR(__xludf.DUMMYFUNCTION("""COMPUTED_VALUE"""),"Talco Stop Triple Amarillo R-618 Amar")</f>
        <v>Talco Stop Triple Amarillo R-618 Amar</v>
      </c>
      <c r="C8209" s="380" t="str">
        <f>IFERROR(__xludf.DUMMYFUNCTION("""COMPUTED_VALUE"""),"70003628")</f>
        <v>70003628</v>
      </c>
      <c r="D8209" s="380" t="s">
        <v>767</v>
      </c>
      <c r="E8209" s="380" t="s">
        <v>786</v>
      </c>
      <c r="F8209" s="380" t="s">
        <v>998</v>
      </c>
      <c r="G8209" s="380" t="s">
        <v>1267</v>
      </c>
      <c r="H8209" s="380" t="s">
        <v>771</v>
      </c>
      <c r="I8209" s="380" t="s">
        <v>788</v>
      </c>
      <c r="J8209" s="380" t="s">
        <v>773</v>
      </c>
      <c r="K8209" s="381">
        <v>0.0</v>
      </c>
      <c r="L8209" s="382">
        <v>1.0</v>
      </c>
    </row>
    <row r="8210">
      <c r="A8210" s="380" t="s">
        <v>9084</v>
      </c>
      <c r="B8210" s="380" t="str">
        <f>IFERROR(__xludf.DUMMYFUNCTION("""COMPUTED_VALUE"""),"Kit Transmisor Aire Prostar 2505669C91")</f>
        <v>Kit Transmisor Aire Prostar 2505669C91</v>
      </c>
      <c r="C8210" s="380" t="str">
        <f>IFERROR(__xludf.DUMMYFUNCTION("""COMPUTED_VALUE"""),"70003629")</f>
        <v>70003629</v>
      </c>
      <c r="D8210" s="380" t="s">
        <v>767</v>
      </c>
      <c r="E8210" s="380" t="s">
        <v>786</v>
      </c>
      <c r="F8210" s="380" t="s">
        <v>998</v>
      </c>
      <c r="G8210" s="380" t="s">
        <v>1267</v>
      </c>
      <c r="H8210" s="380" t="s">
        <v>771</v>
      </c>
      <c r="I8210" s="380" t="s">
        <v>788</v>
      </c>
      <c r="J8210" s="380" t="s">
        <v>773</v>
      </c>
      <c r="K8210" s="381">
        <v>0.0</v>
      </c>
      <c r="L8210" s="382">
        <v>1.0</v>
      </c>
    </row>
    <row r="8211">
      <c r="A8211" s="380" t="s">
        <v>9085</v>
      </c>
      <c r="B8211" s="380" t="str">
        <f>IFERROR(__xludf.DUMMYFUNCTION("""COMPUTED_VALUE"""),"Direcal Puerta Izq Foton 1129 1B18037120")</f>
        <v>Direcal Puerta Izq Foton 1129 1B18037120</v>
      </c>
      <c r="C8211" s="380" t="str">
        <f>IFERROR(__xludf.DUMMYFUNCTION("""COMPUTED_VALUE"""),"70003630")</f>
        <v>70003630</v>
      </c>
      <c r="D8211" s="380" t="s">
        <v>767</v>
      </c>
      <c r="E8211" s="380" t="s">
        <v>786</v>
      </c>
      <c r="F8211" s="380" t="s">
        <v>998</v>
      </c>
      <c r="G8211" s="380" t="s">
        <v>1267</v>
      </c>
      <c r="H8211" s="380" t="s">
        <v>771</v>
      </c>
      <c r="I8211" s="380" t="s">
        <v>788</v>
      </c>
      <c r="J8211" s="380" t="s">
        <v>773</v>
      </c>
      <c r="K8211" s="381">
        <v>0.0</v>
      </c>
      <c r="L8211" s="382">
        <v>1.0</v>
      </c>
    </row>
    <row r="8212">
      <c r="A8212" s="380" t="s">
        <v>9086</v>
      </c>
      <c r="B8212" s="380" t="str">
        <f>IFERROR(__xludf.DUMMYFUNCTION("""COMPUTED_VALUE"""),"Sens Pres Comb Nkr FRR Npr Rew8981197900")</f>
        <v>Sens Pres Comb Nkr FRR Npr Rew8981197900</v>
      </c>
      <c r="C8212" s="380" t="str">
        <f>IFERROR(__xludf.DUMMYFUNCTION("""COMPUTED_VALUE"""),"70003631")</f>
        <v>70003631</v>
      </c>
      <c r="D8212" s="380" t="s">
        <v>767</v>
      </c>
      <c r="E8212" s="380" t="s">
        <v>786</v>
      </c>
      <c r="F8212" s="380" t="s">
        <v>998</v>
      </c>
      <c r="G8212" s="380" t="s">
        <v>1267</v>
      </c>
      <c r="H8212" s="380" t="s">
        <v>771</v>
      </c>
      <c r="I8212" s="380" t="s">
        <v>788</v>
      </c>
      <c r="J8212" s="380" t="s">
        <v>773</v>
      </c>
      <c r="K8212" s="381">
        <v>0.0</v>
      </c>
      <c r="L8212" s="382">
        <v>1.0</v>
      </c>
    </row>
    <row r="8213">
      <c r="A8213" s="380" t="s">
        <v>9087</v>
      </c>
      <c r="B8213" s="380" t="str">
        <f>IFERROR(__xludf.DUMMYFUNCTION("""COMPUTED_VALUE"""),"Valv Contro Flujo Aire Min N200 23596266")</f>
        <v>Valv Contro Flujo Aire Min N200 23596266</v>
      </c>
      <c r="C8213" s="380" t="str">
        <f>IFERROR(__xludf.DUMMYFUNCTION("""COMPUTED_VALUE"""),"70003632")</f>
        <v>70003632</v>
      </c>
      <c r="D8213" s="380" t="s">
        <v>767</v>
      </c>
      <c r="E8213" s="380" t="s">
        <v>786</v>
      </c>
      <c r="F8213" s="380" t="s">
        <v>998</v>
      </c>
      <c r="G8213" s="380" t="s">
        <v>1267</v>
      </c>
      <c r="H8213" s="380" t="s">
        <v>771</v>
      </c>
      <c r="I8213" s="380" t="s">
        <v>788</v>
      </c>
      <c r="J8213" s="380" t="s">
        <v>773</v>
      </c>
      <c r="K8213" s="381">
        <v>58043.0</v>
      </c>
      <c r="L8213" s="382">
        <v>1.0</v>
      </c>
    </row>
    <row r="8214">
      <c r="A8214" s="380" t="s">
        <v>9088</v>
      </c>
      <c r="B8214" s="380" t="str">
        <f>IFERROR(__xludf.DUMMYFUNCTION("""COMPUTED_VALUE"""),"Stop Der Foton 7705946041270")</f>
        <v>Stop Der Foton 7705946041270</v>
      </c>
      <c r="C8214" s="380" t="str">
        <f>IFERROR(__xludf.DUMMYFUNCTION("""COMPUTED_VALUE"""),"70003633")</f>
        <v>70003633</v>
      </c>
      <c r="D8214" s="380" t="s">
        <v>767</v>
      </c>
      <c r="E8214" s="380" t="s">
        <v>786</v>
      </c>
      <c r="F8214" s="380" t="s">
        <v>998</v>
      </c>
      <c r="G8214" s="380" t="s">
        <v>1267</v>
      </c>
      <c r="H8214" s="380" t="s">
        <v>771</v>
      </c>
      <c r="I8214" s="380" t="s">
        <v>788</v>
      </c>
      <c r="J8214" s="380" t="s">
        <v>773</v>
      </c>
      <c r="K8214" s="381">
        <v>242760.0</v>
      </c>
      <c r="L8214" s="382">
        <v>1.0</v>
      </c>
    </row>
    <row r="8215">
      <c r="A8215" s="380" t="s">
        <v>9089</v>
      </c>
      <c r="B8215" s="380" t="str">
        <f>IFERROR(__xludf.DUMMYFUNCTION("""COMPUTED_VALUE"""),"Cuerpo Aceler Mecan Foton MV5 5946019484")</f>
        <v>Cuerpo Aceler Mecan Foton MV5 5946019484</v>
      </c>
      <c r="C8215" s="380" t="str">
        <f>IFERROR(__xludf.DUMMYFUNCTION("""COMPUTED_VALUE"""),"70003634")</f>
        <v>70003634</v>
      </c>
      <c r="D8215" s="380" t="s">
        <v>767</v>
      </c>
      <c r="E8215" s="380" t="s">
        <v>786</v>
      </c>
      <c r="F8215" s="380" t="s">
        <v>998</v>
      </c>
      <c r="G8215" s="380" t="s">
        <v>1267</v>
      </c>
      <c r="H8215" s="380" t="s">
        <v>771</v>
      </c>
      <c r="I8215" s="380" t="s">
        <v>788</v>
      </c>
      <c r="J8215" s="380" t="s">
        <v>773</v>
      </c>
      <c r="K8215" s="381">
        <v>0.0</v>
      </c>
      <c r="L8215" s="382">
        <v>1.0</v>
      </c>
    </row>
    <row r="8216">
      <c r="A8216" s="380" t="s">
        <v>9090</v>
      </c>
      <c r="B8216" s="380" t="str">
        <f>IFERROR(__xludf.DUMMYFUNCTION("""COMPUTED_VALUE"""),"Arnes Elect Motor FotonMV5 7705946027540")</f>
        <v>Arnes Elect Motor FotonMV5 7705946027540</v>
      </c>
      <c r="C8216" s="380" t="str">
        <f>IFERROR(__xludf.DUMMYFUNCTION("""COMPUTED_VALUE"""),"70003635")</f>
        <v>70003635</v>
      </c>
      <c r="D8216" s="380" t="s">
        <v>767</v>
      </c>
      <c r="E8216" s="380" t="s">
        <v>786</v>
      </c>
      <c r="F8216" s="380" t="s">
        <v>998</v>
      </c>
      <c r="G8216" s="380" t="s">
        <v>1267</v>
      </c>
      <c r="H8216" s="380" t="s">
        <v>771</v>
      </c>
      <c r="I8216" s="380" t="s">
        <v>788</v>
      </c>
      <c r="J8216" s="380" t="s">
        <v>773</v>
      </c>
      <c r="K8216" s="381">
        <v>0.0</v>
      </c>
      <c r="L8216" s="382">
        <v>1.0</v>
      </c>
    </row>
    <row r="8217">
      <c r="A8217" s="380" t="s">
        <v>9091</v>
      </c>
      <c r="B8217" s="380" t="str">
        <f>IFERROR(__xludf.DUMMYFUNCTION("""COMPUTED_VALUE"""),"Socket Bombillo Halogeno")</f>
        <v>Socket Bombillo Halogeno</v>
      </c>
      <c r="C8217" s="380" t="str">
        <f>IFERROR(__xludf.DUMMYFUNCTION("""COMPUTED_VALUE"""),"70003636")</f>
        <v>70003636</v>
      </c>
      <c r="D8217" s="380" t="s">
        <v>767</v>
      </c>
      <c r="E8217" s="380" t="s">
        <v>786</v>
      </c>
      <c r="F8217" s="380" t="s">
        <v>998</v>
      </c>
      <c r="G8217" s="380" t="s">
        <v>1267</v>
      </c>
      <c r="H8217" s="380" t="s">
        <v>771</v>
      </c>
      <c r="I8217" s="380" t="s">
        <v>788</v>
      </c>
      <c r="J8217" s="380" t="s">
        <v>773</v>
      </c>
      <c r="K8217" s="381">
        <v>0.0</v>
      </c>
      <c r="L8217" s="382">
        <v>1.0</v>
      </c>
    </row>
    <row r="8218">
      <c r="A8218" s="380" t="s">
        <v>9092</v>
      </c>
      <c r="B8218" s="380" t="str">
        <f>IFERROR(__xludf.DUMMYFUNCTION("""COMPUTED_VALUE"""),"Sensor Rev Foton 1078 7701023481595")</f>
        <v>Sensor Rev Foton 1078 7701023481595</v>
      </c>
      <c r="C8218" s="380" t="str">
        <f>IFERROR(__xludf.DUMMYFUNCTION("""COMPUTED_VALUE"""),"70003637")</f>
        <v>70003637</v>
      </c>
      <c r="D8218" s="380" t="s">
        <v>767</v>
      </c>
      <c r="E8218" s="380" t="s">
        <v>786</v>
      </c>
      <c r="F8218" s="380" t="s">
        <v>998</v>
      </c>
      <c r="G8218" s="380" t="s">
        <v>1267</v>
      </c>
      <c r="H8218" s="380" t="s">
        <v>771</v>
      </c>
      <c r="I8218" s="380" t="s">
        <v>788</v>
      </c>
      <c r="J8218" s="380" t="s">
        <v>773</v>
      </c>
      <c r="K8218" s="381">
        <v>0.0</v>
      </c>
      <c r="L8218" s="382">
        <v>1.0</v>
      </c>
    </row>
    <row r="8219">
      <c r="A8219" s="380" t="s">
        <v>9093</v>
      </c>
      <c r="B8219" s="380" t="str">
        <f>IFERROR(__xludf.DUMMYFUNCTION("""COMPUTED_VALUE"""),"Lampara De Giro Izq Jac1120 4111010LE010")</f>
        <v>Lampara De Giro Izq Jac1120 4111010LE010</v>
      </c>
      <c r="C8219" s="380" t="str">
        <f>IFERROR(__xludf.DUMMYFUNCTION("""COMPUTED_VALUE"""),"70003638")</f>
        <v>70003638</v>
      </c>
      <c r="D8219" s="380" t="s">
        <v>767</v>
      </c>
      <c r="E8219" s="380" t="s">
        <v>786</v>
      </c>
      <c r="F8219" s="380" t="s">
        <v>998</v>
      </c>
      <c r="G8219" s="380" t="s">
        <v>1267</v>
      </c>
      <c r="H8219" s="380" t="s">
        <v>771</v>
      </c>
      <c r="I8219" s="380" t="s">
        <v>788</v>
      </c>
      <c r="J8219" s="380" t="s">
        <v>773</v>
      </c>
      <c r="K8219" s="381">
        <v>0.0</v>
      </c>
      <c r="L8219" s="382">
        <v>1.0</v>
      </c>
    </row>
    <row r="8220">
      <c r="A8220" s="380" t="s">
        <v>9094</v>
      </c>
      <c r="B8220" s="380" t="str">
        <f>IFERROR(__xludf.DUMMYFUNCTION("""COMPUTED_VALUE"""),"Socket Bombillo Halogeno 8JA0019001")</f>
        <v>Socket Bombillo Halogeno 8JA0019001</v>
      </c>
      <c r="C8220" s="380" t="str">
        <f>IFERROR(__xludf.DUMMYFUNCTION("""COMPUTED_VALUE"""),"70003639")</f>
        <v>70003639</v>
      </c>
      <c r="D8220" s="380" t="s">
        <v>767</v>
      </c>
      <c r="E8220" s="380" t="s">
        <v>786</v>
      </c>
      <c r="F8220" s="380" t="s">
        <v>998</v>
      </c>
      <c r="G8220" s="380" t="s">
        <v>1267</v>
      </c>
      <c r="H8220" s="380" t="s">
        <v>771</v>
      </c>
      <c r="I8220" s="380" t="s">
        <v>788</v>
      </c>
      <c r="J8220" s="380" t="s">
        <v>773</v>
      </c>
      <c r="K8220" s="381">
        <v>15173.0</v>
      </c>
      <c r="L8220" s="382">
        <v>1.0</v>
      </c>
    </row>
    <row r="8221">
      <c r="A8221" s="380" t="s">
        <v>9095</v>
      </c>
      <c r="B8221" s="380" t="str">
        <f>IFERROR(__xludf.DUMMYFUNCTION("""COMPUTED_VALUE"""),"Bateria Willard 24AD-900 T")</f>
        <v>Bateria Willard 24AD-900 T</v>
      </c>
      <c r="C8221" s="380" t="str">
        <f>IFERROR(__xludf.DUMMYFUNCTION("""COMPUTED_VALUE"""),"70003640")</f>
        <v>70003640</v>
      </c>
      <c r="D8221" s="380" t="s">
        <v>767</v>
      </c>
      <c r="E8221" s="380" t="s">
        <v>786</v>
      </c>
      <c r="F8221" s="380" t="s">
        <v>998</v>
      </c>
      <c r="G8221" s="380" t="s">
        <v>1267</v>
      </c>
      <c r="H8221" s="380" t="s">
        <v>771</v>
      </c>
      <c r="I8221" s="380" t="s">
        <v>788</v>
      </c>
      <c r="J8221" s="380" t="s">
        <v>773</v>
      </c>
      <c r="K8221" s="381">
        <v>0.0</v>
      </c>
      <c r="L8221" s="382">
        <v>1.0</v>
      </c>
    </row>
    <row r="8222">
      <c r="A8222" s="380" t="s">
        <v>9096</v>
      </c>
      <c r="B8222" s="380" t="str">
        <f>IFERROR(__xludf.DUMMYFUNCTION("""COMPUTED_VALUE"""),"Switch Encendido Hi Con Llaves 1652306C9")</f>
        <v>Switch Encendido Hi Con Llaves 1652306C9</v>
      </c>
      <c r="C8222" s="380" t="str">
        <f>IFERROR(__xludf.DUMMYFUNCTION("""COMPUTED_VALUE"""),"70003641")</f>
        <v>70003641</v>
      </c>
      <c r="D8222" s="380" t="s">
        <v>767</v>
      </c>
      <c r="E8222" s="380" t="s">
        <v>786</v>
      </c>
      <c r="F8222" s="380" t="s">
        <v>998</v>
      </c>
      <c r="G8222" s="380" t="s">
        <v>1267</v>
      </c>
      <c r="H8222" s="380" t="s">
        <v>771</v>
      </c>
      <c r="I8222" s="380" t="s">
        <v>788</v>
      </c>
      <c r="J8222" s="380" t="s">
        <v>773</v>
      </c>
      <c r="K8222" s="381">
        <v>0.0</v>
      </c>
      <c r="L8222" s="382">
        <v>1.0</v>
      </c>
    </row>
    <row r="8223">
      <c r="A8223" s="380" t="s">
        <v>9097</v>
      </c>
      <c r="B8223" s="380" t="str">
        <f>IFERROR(__xludf.DUMMYFUNCTION("""COMPUTED_VALUE"""),"Switch Encendido SB Generico")</f>
        <v>Switch Encendido SB Generico</v>
      </c>
      <c r="C8223" s="380" t="str">
        <f>IFERROR(__xludf.DUMMYFUNCTION("""COMPUTED_VALUE"""),"70003642")</f>
        <v>70003642</v>
      </c>
      <c r="D8223" s="380" t="s">
        <v>767</v>
      </c>
      <c r="E8223" s="380" t="s">
        <v>786</v>
      </c>
      <c r="F8223" s="380" t="s">
        <v>998</v>
      </c>
      <c r="G8223" s="380" t="s">
        <v>1267</v>
      </c>
      <c r="H8223" s="380" t="s">
        <v>771</v>
      </c>
      <c r="I8223" s="380" t="s">
        <v>788</v>
      </c>
      <c r="J8223" s="380" t="s">
        <v>773</v>
      </c>
      <c r="K8223" s="381">
        <v>0.0</v>
      </c>
      <c r="L8223" s="382">
        <v>1.0</v>
      </c>
    </row>
    <row r="8224">
      <c r="A8224" s="380" t="s">
        <v>9098</v>
      </c>
      <c r="B8224" s="380" t="str">
        <f>IFERROR(__xludf.DUMMYFUNCTION("""COMPUTED_VALUE"""),"Exploradora Izq Foton BJ 1039 7705946304")</f>
        <v>Exploradora Izq Foton BJ 1039 7705946304</v>
      </c>
      <c r="C8224" s="380" t="str">
        <f>IFERROR(__xludf.DUMMYFUNCTION("""COMPUTED_VALUE"""),"70003643")</f>
        <v>70003643</v>
      </c>
      <c r="D8224" s="380" t="s">
        <v>767</v>
      </c>
      <c r="E8224" s="380" t="s">
        <v>786</v>
      </c>
      <c r="F8224" s="380" t="s">
        <v>998</v>
      </c>
      <c r="G8224" s="380" t="s">
        <v>1267</v>
      </c>
      <c r="H8224" s="380" t="s">
        <v>771</v>
      </c>
      <c r="I8224" s="380" t="s">
        <v>788</v>
      </c>
      <c r="J8224" s="380" t="s">
        <v>773</v>
      </c>
      <c r="K8224" s="381">
        <v>0.0</v>
      </c>
      <c r="L8224" s="382">
        <v>1.0</v>
      </c>
    </row>
    <row r="8225">
      <c r="A8225" s="380" t="s">
        <v>9099</v>
      </c>
      <c r="B8225" s="380" t="str">
        <f>IFERROR(__xludf.DUMMYFUNCTION("""COMPUTED_VALUE"""),"Farola Lh Foton 1039 7701023085748")</f>
        <v>Farola Lh Foton 1039 7701023085748</v>
      </c>
      <c r="C8225" s="380" t="str">
        <f>IFERROR(__xludf.DUMMYFUNCTION("""COMPUTED_VALUE"""),"70003644")</f>
        <v>70003644</v>
      </c>
      <c r="D8225" s="380" t="s">
        <v>767</v>
      </c>
      <c r="E8225" s="380" t="s">
        <v>786</v>
      </c>
      <c r="F8225" s="380" t="s">
        <v>998</v>
      </c>
      <c r="G8225" s="380" t="s">
        <v>1267</v>
      </c>
      <c r="H8225" s="380" t="s">
        <v>771</v>
      </c>
      <c r="I8225" s="380" t="s">
        <v>788</v>
      </c>
      <c r="J8225" s="380" t="s">
        <v>773</v>
      </c>
      <c r="K8225" s="381">
        <v>0.0</v>
      </c>
      <c r="L8225" s="382">
        <v>1.0</v>
      </c>
    </row>
    <row r="8226">
      <c r="A8226" s="380" t="s">
        <v>9100</v>
      </c>
      <c r="B8226" s="380" t="str">
        <f>IFERROR(__xludf.DUMMYFUNCTION("""COMPUTED_VALUE"""),"Sensor Pres Admi MV3 FotonMV5 5946023269")</f>
        <v>Sensor Pres Admi MV3 FotonMV5 5946023269</v>
      </c>
      <c r="C8226" s="380" t="str">
        <f>IFERROR(__xludf.DUMMYFUNCTION("""COMPUTED_VALUE"""),"70003645")</f>
        <v>70003645</v>
      </c>
      <c r="D8226" s="380" t="s">
        <v>767</v>
      </c>
      <c r="E8226" s="380" t="s">
        <v>786</v>
      </c>
      <c r="F8226" s="380" t="s">
        <v>998</v>
      </c>
      <c r="G8226" s="380" t="s">
        <v>1267</v>
      </c>
      <c r="H8226" s="380" t="s">
        <v>771</v>
      </c>
      <c r="I8226" s="380" t="s">
        <v>788</v>
      </c>
      <c r="J8226" s="380" t="s">
        <v>773</v>
      </c>
      <c r="K8226" s="381">
        <v>0.0</v>
      </c>
      <c r="L8226" s="382">
        <v>1.0</v>
      </c>
    </row>
    <row r="8227">
      <c r="A8227" s="380" t="s">
        <v>9101</v>
      </c>
      <c r="B8227" s="380" t="str">
        <f>IFERROR(__xludf.DUMMYFUNCTION("""COMPUTED_VALUE"""),"Motor Arranque Foton 1129 7701023559317")</f>
        <v>Motor Arranque Foton 1129 7701023559317</v>
      </c>
      <c r="C8227" s="380" t="str">
        <f>IFERROR(__xludf.DUMMYFUNCTION("""COMPUTED_VALUE"""),"70003646")</f>
        <v>70003646</v>
      </c>
      <c r="D8227" s="380" t="s">
        <v>767</v>
      </c>
      <c r="E8227" s="380" t="s">
        <v>786</v>
      </c>
      <c r="F8227" s="380" t="s">
        <v>998</v>
      </c>
      <c r="G8227" s="380" t="s">
        <v>1267</v>
      </c>
      <c r="H8227" s="380" t="s">
        <v>771</v>
      </c>
      <c r="I8227" s="380" t="s">
        <v>788</v>
      </c>
      <c r="J8227" s="380" t="s">
        <v>773</v>
      </c>
      <c r="K8227" s="381">
        <v>0.0</v>
      </c>
      <c r="L8227" s="382">
        <v>1.0</v>
      </c>
    </row>
    <row r="8228">
      <c r="A8228" s="380" t="s">
        <v>9102</v>
      </c>
      <c r="B8228" s="380" t="str">
        <f>IFERROR(__xludf.DUMMYFUNCTION("""COMPUTED_VALUE"""),"Switch Codillo Dos Posiciones Ref 34-212")</f>
        <v>Switch Codillo Dos Posiciones Ref 34-212</v>
      </c>
      <c r="C8228" s="380" t="str">
        <f>IFERROR(__xludf.DUMMYFUNCTION("""COMPUTED_VALUE"""),"70003647")</f>
        <v>70003647</v>
      </c>
      <c r="D8228" s="380" t="s">
        <v>767</v>
      </c>
      <c r="E8228" s="380" t="s">
        <v>786</v>
      </c>
      <c r="F8228" s="380" t="s">
        <v>998</v>
      </c>
      <c r="G8228" s="380" t="s">
        <v>1267</v>
      </c>
      <c r="H8228" s="380" t="s">
        <v>771</v>
      </c>
      <c r="I8228" s="380" t="s">
        <v>788</v>
      </c>
      <c r="J8228" s="380" t="s">
        <v>773</v>
      </c>
      <c r="K8228" s="381">
        <v>36414.0</v>
      </c>
      <c r="L8228" s="382">
        <v>1.0</v>
      </c>
    </row>
    <row r="8229">
      <c r="A8229" s="380" t="s">
        <v>9103</v>
      </c>
      <c r="B8229" s="380" t="str">
        <f>IFERROR(__xludf.DUMMYFUNCTION("""COMPUTED_VALUE"""),"Switch Codillo Tres Posiciones 34577")</f>
        <v>Switch Codillo Tres Posiciones 34577</v>
      </c>
      <c r="C8229" s="380" t="str">
        <f>IFERROR(__xludf.DUMMYFUNCTION("""COMPUTED_VALUE"""),"70003648")</f>
        <v>70003648</v>
      </c>
      <c r="D8229" s="380" t="s">
        <v>767</v>
      </c>
      <c r="E8229" s="380" t="s">
        <v>786</v>
      </c>
      <c r="F8229" s="380" t="s">
        <v>998</v>
      </c>
      <c r="G8229" s="380" t="s">
        <v>1267</v>
      </c>
      <c r="H8229" s="380" t="s">
        <v>771</v>
      </c>
      <c r="I8229" s="380" t="s">
        <v>788</v>
      </c>
      <c r="J8229" s="380" t="s">
        <v>773</v>
      </c>
      <c r="K8229" s="381">
        <v>0.0</v>
      </c>
      <c r="L8229" s="382">
        <v>1.0</v>
      </c>
    </row>
    <row r="8230">
      <c r="A8230" s="380" t="s">
        <v>9104</v>
      </c>
      <c r="B8230" s="380" t="str">
        <f>IFERROR(__xludf.DUMMYFUNCTION("""COMPUTED_VALUE"""),"Modulo Elevavidrios Foton MV5")</f>
        <v>Modulo Elevavidrios Foton MV5</v>
      </c>
      <c r="C8230" s="380" t="str">
        <f>IFERROR(__xludf.DUMMYFUNCTION("""COMPUTED_VALUE"""),"70003649")</f>
        <v>70003649</v>
      </c>
      <c r="D8230" s="380" t="s">
        <v>767</v>
      </c>
      <c r="E8230" s="380" t="s">
        <v>786</v>
      </c>
      <c r="F8230" s="380" t="s">
        <v>998</v>
      </c>
      <c r="G8230" s="380" t="s">
        <v>1267</v>
      </c>
      <c r="H8230" s="380" t="s">
        <v>771</v>
      </c>
      <c r="I8230" s="380" t="s">
        <v>788</v>
      </c>
      <c r="J8230" s="380" t="s">
        <v>773</v>
      </c>
      <c r="K8230" s="381">
        <v>0.0</v>
      </c>
      <c r="L8230" s="382">
        <v>1.0</v>
      </c>
    </row>
    <row r="8231">
      <c r="A8231" s="380" t="s">
        <v>9105</v>
      </c>
      <c r="B8231" s="380" t="str">
        <f>IFERROR(__xludf.DUMMYFUNCTION("""COMPUTED_VALUE"""),"Switch Exploradora 35306")</f>
        <v>Switch Exploradora 35306</v>
      </c>
      <c r="C8231" s="380" t="str">
        <f>IFERROR(__xludf.DUMMYFUNCTION("""COMPUTED_VALUE"""),"70003650")</f>
        <v>70003650</v>
      </c>
      <c r="D8231" s="380" t="s">
        <v>767</v>
      </c>
      <c r="E8231" s="380" t="s">
        <v>786</v>
      </c>
      <c r="F8231" s="380" t="s">
        <v>998</v>
      </c>
      <c r="G8231" s="380" t="s">
        <v>1267</v>
      </c>
      <c r="H8231" s="380" t="s">
        <v>771</v>
      </c>
      <c r="I8231" s="380" t="s">
        <v>788</v>
      </c>
      <c r="J8231" s="380" t="s">
        <v>773</v>
      </c>
      <c r="K8231" s="381">
        <v>55633.0</v>
      </c>
      <c r="L8231" s="382">
        <v>1.0</v>
      </c>
    </row>
    <row r="8232">
      <c r="A8232" s="380" t="s">
        <v>9106</v>
      </c>
      <c r="B8232" s="380" t="str">
        <f>IFERROR(__xludf.DUMMYFUNCTION("""COMPUTED_VALUE"""),"Regul Altern 12v Internation 235-4157-14")</f>
        <v>Regul Altern 12v Internation 235-4157-14</v>
      </c>
      <c r="C8232" s="380" t="str">
        <f>IFERROR(__xludf.DUMMYFUNCTION("""COMPUTED_VALUE"""),"70003651")</f>
        <v>70003651</v>
      </c>
      <c r="D8232" s="380" t="s">
        <v>767</v>
      </c>
      <c r="E8232" s="380" t="s">
        <v>786</v>
      </c>
      <c r="F8232" s="380" t="s">
        <v>998</v>
      </c>
      <c r="G8232" s="380" t="s">
        <v>1267</v>
      </c>
      <c r="H8232" s="380" t="s">
        <v>771</v>
      </c>
      <c r="I8232" s="380" t="s">
        <v>788</v>
      </c>
      <c r="J8232" s="380" t="s">
        <v>773</v>
      </c>
      <c r="K8232" s="381">
        <v>0.0</v>
      </c>
      <c r="L8232" s="382">
        <v>1.0</v>
      </c>
    </row>
    <row r="8233">
      <c r="A8233" s="380" t="s">
        <v>9107</v>
      </c>
      <c r="B8233" s="380" t="str">
        <f>IFERROR(__xludf.DUMMYFUNCTION("""COMPUTED_VALUE"""),"Relay Principal Nkr Rewar 8982597790")</f>
        <v>Relay Principal Nkr Rewar 8982597790</v>
      </c>
      <c r="C8233" s="380" t="str">
        <f>IFERROR(__xludf.DUMMYFUNCTION("""COMPUTED_VALUE"""),"70003652")</f>
        <v>70003652</v>
      </c>
      <c r="D8233" s="380" t="s">
        <v>767</v>
      </c>
      <c r="E8233" s="380" t="s">
        <v>786</v>
      </c>
      <c r="F8233" s="380" t="s">
        <v>998</v>
      </c>
      <c r="G8233" s="380" t="s">
        <v>1267</v>
      </c>
      <c r="H8233" s="380" t="s">
        <v>771</v>
      </c>
      <c r="I8233" s="380" t="s">
        <v>788</v>
      </c>
      <c r="J8233" s="380" t="s">
        <v>773</v>
      </c>
      <c r="K8233" s="381">
        <v>0.0</v>
      </c>
      <c r="L8233" s="382">
        <v>1.0</v>
      </c>
    </row>
    <row r="8234">
      <c r="A8234" s="380" t="s">
        <v>9108</v>
      </c>
      <c r="B8234" s="380" t="str">
        <f>IFERROR(__xludf.DUMMYFUNCTION("""COMPUTED_VALUE"""),"Tapa Pito Volante Direc Nkr 8974000490")</f>
        <v>Tapa Pito Volante Direc Nkr 8974000490</v>
      </c>
      <c r="C8234" s="380" t="str">
        <f>IFERROR(__xludf.DUMMYFUNCTION("""COMPUTED_VALUE"""),"70003653")</f>
        <v>70003653</v>
      </c>
      <c r="D8234" s="380" t="s">
        <v>767</v>
      </c>
      <c r="E8234" s="380" t="s">
        <v>786</v>
      </c>
      <c r="F8234" s="380" t="s">
        <v>998</v>
      </c>
      <c r="G8234" s="380" t="s">
        <v>1267</v>
      </c>
      <c r="H8234" s="380" t="s">
        <v>771</v>
      </c>
      <c r="I8234" s="380" t="s">
        <v>788</v>
      </c>
      <c r="J8234" s="380" t="s">
        <v>773</v>
      </c>
      <c r="K8234" s="381">
        <v>0.0</v>
      </c>
      <c r="L8234" s="382">
        <v>1.0</v>
      </c>
    </row>
    <row r="8235">
      <c r="A8235" s="380" t="s">
        <v>9109</v>
      </c>
      <c r="B8235" s="380" t="str">
        <f>IFERROR(__xludf.DUMMYFUNCTION("""COMPUTED_VALUE"""),"Cebolla Encendido Van N200 23884392")</f>
        <v>Cebolla Encendido Van N200 23884392</v>
      </c>
      <c r="C8235" s="380" t="str">
        <f>IFERROR(__xludf.DUMMYFUNCTION("""COMPUTED_VALUE"""),"70003654")</f>
        <v>70003654</v>
      </c>
      <c r="D8235" s="380" t="s">
        <v>767</v>
      </c>
      <c r="E8235" s="380" t="s">
        <v>786</v>
      </c>
      <c r="F8235" s="380" t="s">
        <v>998</v>
      </c>
      <c r="G8235" s="380" t="s">
        <v>1267</v>
      </c>
      <c r="H8235" s="380" t="s">
        <v>771</v>
      </c>
      <c r="I8235" s="380" t="s">
        <v>788</v>
      </c>
      <c r="J8235" s="380" t="s">
        <v>773</v>
      </c>
      <c r="K8235" s="381">
        <v>0.0</v>
      </c>
      <c r="L8235" s="382">
        <v>1.0</v>
      </c>
    </row>
    <row r="8236">
      <c r="A8236" s="380" t="s">
        <v>9110</v>
      </c>
      <c r="B8236" s="380" t="str">
        <f>IFERROR(__xludf.DUMMYFUNCTION("""COMPUTED_VALUE"""),"Alternador FTR 24 V")</f>
        <v>Alternador FTR 24 V</v>
      </c>
      <c r="C8236" s="380" t="str">
        <f>IFERROR(__xludf.DUMMYFUNCTION("""COMPUTED_VALUE"""),"70003655")</f>
        <v>70003655</v>
      </c>
      <c r="D8236" s="380" t="s">
        <v>767</v>
      </c>
      <c r="E8236" s="380" t="s">
        <v>786</v>
      </c>
      <c r="F8236" s="380" t="s">
        <v>998</v>
      </c>
      <c r="G8236" s="380" t="s">
        <v>1267</v>
      </c>
      <c r="H8236" s="380" t="s">
        <v>771</v>
      </c>
      <c r="I8236" s="380" t="s">
        <v>788</v>
      </c>
      <c r="J8236" s="380" t="s">
        <v>773</v>
      </c>
      <c r="K8236" s="381">
        <v>0.0</v>
      </c>
      <c r="L8236" s="382">
        <v>1.0</v>
      </c>
    </row>
    <row r="8237">
      <c r="A8237" s="380" t="s">
        <v>9111</v>
      </c>
      <c r="B8237" s="380" t="str">
        <f>IFERROR(__xludf.DUMMYFUNCTION("""COMPUTED_VALUE"""),"Lampara Stop Izq Nissan Urban 265503XA0B")</f>
        <v>Lampara Stop Izq Nissan Urban 265503XA0B</v>
      </c>
      <c r="C8237" s="380" t="str">
        <f>IFERROR(__xludf.DUMMYFUNCTION("""COMPUTED_VALUE"""),"70003656")</f>
        <v>70003656</v>
      </c>
      <c r="D8237" s="380" t="s">
        <v>767</v>
      </c>
      <c r="E8237" s="380" t="s">
        <v>786</v>
      </c>
      <c r="F8237" s="380" t="s">
        <v>998</v>
      </c>
      <c r="G8237" s="380" t="s">
        <v>1267</v>
      </c>
      <c r="H8237" s="380" t="s">
        <v>771</v>
      </c>
      <c r="I8237" s="380" t="s">
        <v>788</v>
      </c>
      <c r="J8237" s="380" t="s">
        <v>773</v>
      </c>
      <c r="K8237" s="381">
        <v>0.0</v>
      </c>
      <c r="L8237" s="382">
        <v>1.0</v>
      </c>
    </row>
    <row r="8238">
      <c r="A8238" s="380" t="s">
        <v>9112</v>
      </c>
      <c r="B8238" s="380" t="str">
        <f>IFERROR(__xludf.DUMMYFUNCTION("""COMPUTED_VALUE"""),"Interruptor Elevavid Izq FRR 8982987510")</f>
        <v>Interruptor Elevavid Izq FRR 8982987510</v>
      </c>
      <c r="C8238" s="380" t="str">
        <f>IFERROR(__xludf.DUMMYFUNCTION("""COMPUTED_VALUE"""),"70003657")</f>
        <v>70003657</v>
      </c>
      <c r="D8238" s="380" t="s">
        <v>767</v>
      </c>
      <c r="E8238" s="380" t="s">
        <v>786</v>
      </c>
      <c r="F8238" s="380" t="s">
        <v>998</v>
      </c>
      <c r="G8238" s="380" t="s">
        <v>1267</v>
      </c>
      <c r="H8238" s="380" t="s">
        <v>771</v>
      </c>
      <c r="I8238" s="380" t="s">
        <v>788</v>
      </c>
      <c r="J8238" s="380" t="s">
        <v>773</v>
      </c>
      <c r="K8238" s="381">
        <v>0.0</v>
      </c>
      <c r="L8238" s="382">
        <v>1.0</v>
      </c>
    </row>
    <row r="8239">
      <c r="A8239" s="380" t="s">
        <v>9113</v>
      </c>
      <c r="B8239" s="380" t="str">
        <f>IFERROR(__xludf.DUMMYFUNCTION("""COMPUTED_VALUE"""),"Mini Relay 12v Prostar 13500113")</f>
        <v>Mini Relay 12v Prostar 13500113</v>
      </c>
      <c r="C8239" s="380" t="str">
        <f>IFERROR(__xludf.DUMMYFUNCTION("""COMPUTED_VALUE"""),"70003658")</f>
        <v>70003658</v>
      </c>
      <c r="D8239" s="380" t="s">
        <v>767</v>
      </c>
      <c r="E8239" s="380" t="s">
        <v>786</v>
      </c>
      <c r="F8239" s="380" t="s">
        <v>998</v>
      </c>
      <c r="G8239" s="380" t="s">
        <v>1267</v>
      </c>
      <c r="H8239" s="380" t="s">
        <v>771</v>
      </c>
      <c r="I8239" s="380" t="s">
        <v>788</v>
      </c>
      <c r="J8239" s="380" t="s">
        <v>773</v>
      </c>
      <c r="K8239" s="381">
        <v>0.0</v>
      </c>
      <c r="L8239" s="382">
        <v>1.0</v>
      </c>
    </row>
    <row r="8240">
      <c r="A8240" s="380" t="s">
        <v>9114</v>
      </c>
      <c r="B8240" s="380" t="str">
        <f>IFERROR(__xludf.DUMMYFUNCTION("""COMPUTED_VALUE"""),"Herradura Portadiodo Altenador 24v")</f>
        <v>Herradura Portadiodo Altenador 24v</v>
      </c>
      <c r="C8240" s="380" t="str">
        <f>IFERROR(__xludf.DUMMYFUNCTION("""COMPUTED_VALUE"""),"70003659")</f>
        <v>70003659</v>
      </c>
      <c r="D8240" s="380" t="s">
        <v>767</v>
      </c>
      <c r="E8240" s="380" t="s">
        <v>786</v>
      </c>
      <c r="F8240" s="380" t="s">
        <v>998</v>
      </c>
      <c r="G8240" s="380" t="s">
        <v>1267</v>
      </c>
      <c r="H8240" s="380" t="s">
        <v>771</v>
      </c>
      <c r="I8240" s="380" t="s">
        <v>788</v>
      </c>
      <c r="J8240" s="380" t="s">
        <v>773</v>
      </c>
      <c r="K8240" s="381">
        <v>0.0</v>
      </c>
      <c r="L8240" s="382">
        <v>1.0</v>
      </c>
    </row>
    <row r="8241">
      <c r="A8241" s="380" t="s">
        <v>9115</v>
      </c>
      <c r="B8241" s="380" t="str">
        <f>IFERROR(__xludf.DUMMYFUNCTION("""COMPUTED_VALUE"""),"Motor Arra Foton 1039/1065 7701023474801")</f>
        <v>Motor Arra Foton 1039/1065 7701023474801</v>
      </c>
      <c r="C8241" s="380" t="str">
        <f>IFERROR(__xludf.DUMMYFUNCTION("""COMPUTED_VALUE"""),"70003660")</f>
        <v>70003660</v>
      </c>
      <c r="D8241" s="380" t="s">
        <v>767</v>
      </c>
      <c r="E8241" s="380" t="s">
        <v>786</v>
      </c>
      <c r="F8241" s="380" t="s">
        <v>998</v>
      </c>
      <c r="G8241" s="380" t="s">
        <v>1267</v>
      </c>
      <c r="H8241" s="380" t="s">
        <v>771</v>
      </c>
      <c r="I8241" s="380" t="s">
        <v>788</v>
      </c>
      <c r="J8241" s="380" t="s">
        <v>773</v>
      </c>
      <c r="K8241" s="381">
        <v>0.0</v>
      </c>
      <c r="L8241" s="382">
        <v>1.0</v>
      </c>
    </row>
    <row r="8242">
      <c r="A8242" s="380" t="s">
        <v>9116</v>
      </c>
      <c r="B8242" s="380" t="str">
        <f>IFERROR(__xludf.DUMMYFUNCTION("""COMPUTED_VALUE"""),"Motor Arranque Jac 1120 5268413")</f>
        <v>Motor Arranque Jac 1120 5268413</v>
      </c>
      <c r="C8242" s="380" t="str">
        <f>IFERROR(__xludf.DUMMYFUNCTION("""COMPUTED_VALUE"""),"70003661")</f>
        <v>70003661</v>
      </c>
      <c r="D8242" s="380" t="s">
        <v>767</v>
      </c>
      <c r="E8242" s="380" t="s">
        <v>786</v>
      </c>
      <c r="F8242" s="380" t="s">
        <v>998</v>
      </c>
      <c r="G8242" s="380" t="s">
        <v>1267</v>
      </c>
      <c r="H8242" s="380" t="s">
        <v>771</v>
      </c>
      <c r="I8242" s="380" t="s">
        <v>788</v>
      </c>
      <c r="J8242" s="380" t="s">
        <v>773</v>
      </c>
      <c r="K8242" s="381">
        <v>0.0</v>
      </c>
      <c r="L8242" s="382">
        <v>1.0</v>
      </c>
    </row>
    <row r="8243">
      <c r="A8243" s="380" t="s">
        <v>9117</v>
      </c>
      <c r="B8243" s="380" t="str">
        <f>IFERROR(__xludf.DUMMYFUNCTION("""COMPUTED_VALUE"""),"Sensor Map FRR 8980094180")</f>
        <v>Sensor Map FRR 8980094180</v>
      </c>
      <c r="C8243" s="380" t="str">
        <f>IFERROR(__xludf.DUMMYFUNCTION("""COMPUTED_VALUE"""),"70003662")</f>
        <v>70003662</v>
      </c>
      <c r="D8243" s="380" t="s">
        <v>767</v>
      </c>
      <c r="E8243" s="380" t="s">
        <v>786</v>
      </c>
      <c r="F8243" s="380" t="s">
        <v>998</v>
      </c>
      <c r="G8243" s="380" t="s">
        <v>1267</v>
      </c>
      <c r="H8243" s="380" t="s">
        <v>771</v>
      </c>
      <c r="I8243" s="380" t="s">
        <v>788</v>
      </c>
      <c r="J8243" s="380" t="s">
        <v>773</v>
      </c>
      <c r="K8243" s="381">
        <v>0.0</v>
      </c>
      <c r="L8243" s="382">
        <v>1.0</v>
      </c>
    </row>
    <row r="8244">
      <c r="A8244" s="380" t="s">
        <v>9118</v>
      </c>
      <c r="B8244" s="380" t="str">
        <f>IFERROR(__xludf.DUMMYFUNCTION("""COMPUTED_VALUE"""),"Sensor Maf Flujo Aire FRR 8976019670")</f>
        <v>Sensor Maf Flujo Aire FRR 8976019670</v>
      </c>
      <c r="C8244" s="380" t="str">
        <f>IFERROR(__xludf.DUMMYFUNCTION("""COMPUTED_VALUE"""),"70003663")</f>
        <v>70003663</v>
      </c>
      <c r="D8244" s="380" t="s">
        <v>767</v>
      </c>
      <c r="E8244" s="380" t="s">
        <v>786</v>
      </c>
      <c r="F8244" s="380" t="s">
        <v>998</v>
      </c>
      <c r="G8244" s="380" t="s">
        <v>1267</v>
      </c>
      <c r="H8244" s="380" t="s">
        <v>771</v>
      </c>
      <c r="I8244" s="380" t="s">
        <v>788</v>
      </c>
      <c r="J8244" s="380" t="s">
        <v>773</v>
      </c>
      <c r="K8244" s="381">
        <v>0.0</v>
      </c>
      <c r="L8244" s="382">
        <v>1.0</v>
      </c>
    </row>
    <row r="8245">
      <c r="A8245" s="380" t="s">
        <v>9119</v>
      </c>
      <c r="B8245" s="380" t="str">
        <f>IFERROR(__xludf.DUMMYFUNCTION("""COMPUTED_VALUE"""),"Suiche Pres Aire Freno Prostar2505670C92")</f>
        <v>Suiche Pres Aire Freno Prostar2505670C92</v>
      </c>
      <c r="C8245" s="380" t="str">
        <f>IFERROR(__xludf.DUMMYFUNCTION("""COMPUTED_VALUE"""),"70003664")</f>
        <v>70003664</v>
      </c>
      <c r="D8245" s="380" t="s">
        <v>767</v>
      </c>
      <c r="E8245" s="380" t="s">
        <v>786</v>
      </c>
      <c r="F8245" s="380" t="s">
        <v>998</v>
      </c>
      <c r="G8245" s="380" t="s">
        <v>1267</v>
      </c>
      <c r="H8245" s="380" t="s">
        <v>771</v>
      </c>
      <c r="I8245" s="380" t="s">
        <v>788</v>
      </c>
      <c r="J8245" s="380" t="s">
        <v>773</v>
      </c>
      <c r="K8245" s="381">
        <v>0.0</v>
      </c>
      <c r="L8245" s="382">
        <v>1.0</v>
      </c>
    </row>
    <row r="8246">
      <c r="A8246" s="380" t="s">
        <v>9120</v>
      </c>
      <c r="B8246" s="380" t="str">
        <f>IFERROR(__xludf.DUMMYFUNCTION("""COMPUTED_VALUE"""),"Portaescobillas Arranque Nkr Rewar")</f>
        <v>Portaescobillas Arranque Nkr Rewar</v>
      </c>
      <c r="C8246" s="380" t="str">
        <f>IFERROR(__xludf.DUMMYFUNCTION("""COMPUTED_VALUE"""),"70003665")</f>
        <v>70003665</v>
      </c>
      <c r="D8246" s="380" t="s">
        <v>767</v>
      </c>
      <c r="E8246" s="380" t="s">
        <v>786</v>
      </c>
      <c r="F8246" s="380" t="s">
        <v>998</v>
      </c>
      <c r="G8246" s="380" t="s">
        <v>1267</v>
      </c>
      <c r="H8246" s="380" t="s">
        <v>771</v>
      </c>
      <c r="I8246" s="380" t="s">
        <v>788</v>
      </c>
      <c r="J8246" s="380" t="s">
        <v>773</v>
      </c>
      <c r="K8246" s="381">
        <v>43026.0</v>
      </c>
      <c r="L8246" s="382">
        <v>1.0</v>
      </c>
    </row>
    <row r="8247">
      <c r="A8247" s="380" t="s">
        <v>9121</v>
      </c>
      <c r="B8247" s="380" t="str">
        <f>IFERROR(__xludf.DUMMYFUNCTION("""COMPUTED_VALUE"""),"Kit Cilin Pta Ignic Nh Nkr Npr8970924061")</f>
        <v>Kit Cilin Pta Ignic Nh Nkr Npr8970924061</v>
      </c>
      <c r="C8247" s="380" t="str">
        <f>IFERROR(__xludf.DUMMYFUNCTION("""COMPUTED_VALUE"""),"70003666")</f>
        <v>70003666</v>
      </c>
      <c r="D8247" s="380" t="s">
        <v>767</v>
      </c>
      <c r="E8247" s="380" t="s">
        <v>786</v>
      </c>
      <c r="F8247" s="380" t="s">
        <v>998</v>
      </c>
      <c r="G8247" s="380" t="s">
        <v>1267</v>
      </c>
      <c r="H8247" s="380" t="s">
        <v>771</v>
      </c>
      <c r="I8247" s="380" t="s">
        <v>788</v>
      </c>
      <c r="J8247" s="380" t="s">
        <v>773</v>
      </c>
      <c r="K8247" s="381">
        <v>0.0</v>
      </c>
      <c r="L8247" s="382">
        <v>1.0</v>
      </c>
    </row>
    <row r="8248">
      <c r="A8248" s="380" t="s">
        <v>9122</v>
      </c>
      <c r="B8248" s="380" t="str">
        <f>IFERROR(__xludf.DUMMYFUNCTION("""COMPUTED_VALUE"""),"Interr Estacion Mtg Foton MV5 7701023489")</f>
        <v>Interr Estacion Mtg Foton MV5 7701023489</v>
      </c>
      <c r="C8248" s="380" t="str">
        <f>IFERROR(__xludf.DUMMYFUNCTION("""COMPUTED_VALUE"""),"70003667")</f>
        <v>70003667</v>
      </c>
      <c r="D8248" s="380" t="s">
        <v>767</v>
      </c>
      <c r="E8248" s="380" t="s">
        <v>786</v>
      </c>
      <c r="F8248" s="380" t="s">
        <v>998</v>
      </c>
      <c r="G8248" s="380" t="s">
        <v>1267</v>
      </c>
      <c r="H8248" s="380" t="s">
        <v>771</v>
      </c>
      <c r="I8248" s="380" t="s">
        <v>788</v>
      </c>
      <c r="J8248" s="380" t="s">
        <v>773</v>
      </c>
      <c r="K8248" s="381">
        <v>44161.0</v>
      </c>
      <c r="L8248" s="382">
        <v>1.0</v>
      </c>
    </row>
    <row r="8249">
      <c r="A8249" s="380" t="s">
        <v>9123</v>
      </c>
      <c r="B8249" s="380" t="str">
        <f>IFERROR(__xludf.DUMMYFUNCTION("""COMPUTED_VALUE"""),"Sensor Presion Aceite Detroit 23511176")</f>
        <v>Sensor Presion Aceite Detroit 23511176</v>
      </c>
      <c r="C8249" s="380" t="str">
        <f>IFERROR(__xludf.DUMMYFUNCTION("""COMPUTED_VALUE"""),"70003668")</f>
        <v>70003668</v>
      </c>
      <c r="D8249" s="380" t="s">
        <v>767</v>
      </c>
      <c r="E8249" s="380" t="s">
        <v>786</v>
      </c>
      <c r="F8249" s="380" t="s">
        <v>998</v>
      </c>
      <c r="G8249" s="380" t="s">
        <v>1267</v>
      </c>
      <c r="H8249" s="380" t="s">
        <v>771</v>
      </c>
      <c r="I8249" s="380" t="s">
        <v>788</v>
      </c>
      <c r="J8249" s="380" t="s">
        <v>773</v>
      </c>
      <c r="K8249" s="381">
        <v>0.0</v>
      </c>
      <c r="L8249" s="382">
        <v>1.0</v>
      </c>
    </row>
    <row r="8250">
      <c r="A8250" s="380" t="s">
        <v>9124</v>
      </c>
      <c r="B8250" s="380" t="str">
        <f>IFERROR(__xludf.DUMMYFUNCTION("""COMPUTED_VALUE"""),"Stop Der Metal Conec Redo Jac 3773920E0X")</f>
        <v>Stop Der Metal Conec Redo Jac 3773920E0X</v>
      </c>
      <c r="C8250" s="380" t="str">
        <f>IFERROR(__xludf.DUMMYFUNCTION("""COMPUTED_VALUE"""),"70003669")</f>
        <v>70003669</v>
      </c>
      <c r="D8250" s="380" t="s">
        <v>767</v>
      </c>
      <c r="E8250" s="380" t="s">
        <v>786</v>
      </c>
      <c r="F8250" s="380" t="s">
        <v>998</v>
      </c>
      <c r="G8250" s="380" t="s">
        <v>1267</v>
      </c>
      <c r="H8250" s="380" t="s">
        <v>771</v>
      </c>
      <c r="I8250" s="380" t="s">
        <v>788</v>
      </c>
      <c r="J8250" s="380" t="s">
        <v>773</v>
      </c>
      <c r="K8250" s="381">
        <v>0.0</v>
      </c>
      <c r="L8250" s="382">
        <v>1.0</v>
      </c>
    </row>
    <row r="8251">
      <c r="A8251" s="380" t="s">
        <v>9125</v>
      </c>
      <c r="B8251" s="380" t="str">
        <f>IFERROR(__xludf.DUMMYFUNCTION("""COMPUTED_VALUE"""),"Sensor Temperatura Aceite 139028001")</f>
        <v>Sensor Temperatura Aceite 139028001</v>
      </c>
      <c r="C8251" s="380" t="str">
        <f>IFERROR(__xludf.DUMMYFUNCTION("""COMPUTED_VALUE"""),"70003670")</f>
        <v>70003670</v>
      </c>
      <c r="D8251" s="380" t="s">
        <v>767</v>
      </c>
      <c r="E8251" s="380" t="s">
        <v>786</v>
      </c>
      <c r="F8251" s="380" t="s">
        <v>998</v>
      </c>
      <c r="G8251" s="380" t="s">
        <v>1267</v>
      </c>
      <c r="H8251" s="380" t="s">
        <v>771</v>
      </c>
      <c r="I8251" s="380" t="s">
        <v>788</v>
      </c>
      <c r="J8251" s="380" t="s">
        <v>773</v>
      </c>
      <c r="K8251" s="381">
        <v>0.0</v>
      </c>
      <c r="L8251" s="382">
        <v>1.0</v>
      </c>
    </row>
    <row r="8252">
      <c r="A8252" s="380" t="s">
        <v>9126</v>
      </c>
      <c r="B8252" s="380" t="str">
        <f>IFERROR(__xludf.DUMMYFUNCTION("""COMPUTED_VALUE"""),"Automático Arranque 24 V FTR")</f>
        <v>Automático Arranque 24 V FTR</v>
      </c>
      <c r="C8252" s="380" t="str">
        <f>IFERROR(__xludf.DUMMYFUNCTION("""COMPUTED_VALUE"""),"70003671")</f>
        <v>70003671</v>
      </c>
      <c r="D8252" s="380" t="s">
        <v>767</v>
      </c>
      <c r="E8252" s="380" t="s">
        <v>786</v>
      </c>
      <c r="F8252" s="380" t="s">
        <v>998</v>
      </c>
      <c r="G8252" s="380" t="s">
        <v>1267</v>
      </c>
      <c r="H8252" s="380" t="s">
        <v>771</v>
      </c>
      <c r="I8252" s="380" t="s">
        <v>788</v>
      </c>
      <c r="J8252" s="380" t="s">
        <v>773</v>
      </c>
      <c r="K8252" s="381">
        <v>0.0</v>
      </c>
      <c r="L8252" s="382">
        <v>1.0</v>
      </c>
    </row>
    <row r="8253">
      <c r="A8253" s="380" t="s">
        <v>9127</v>
      </c>
      <c r="B8253" s="380" t="str">
        <f>IFERROR(__xludf.DUMMYFUNCTION("""COMPUTED_VALUE"""),"Kit Piñon 12 Dient Arranque 39MT 105264")</f>
        <v>Kit Piñon 12 Dient Arranque 39MT 105264</v>
      </c>
      <c r="C8253" s="380" t="str">
        <f>IFERROR(__xludf.DUMMYFUNCTION("""COMPUTED_VALUE"""),"70003672")</f>
        <v>70003672</v>
      </c>
      <c r="D8253" s="380" t="s">
        <v>767</v>
      </c>
      <c r="E8253" s="380" t="s">
        <v>786</v>
      </c>
      <c r="F8253" s="380" t="s">
        <v>998</v>
      </c>
      <c r="G8253" s="380" t="s">
        <v>1267</v>
      </c>
      <c r="H8253" s="380" t="s">
        <v>771</v>
      </c>
      <c r="I8253" s="380" t="s">
        <v>788</v>
      </c>
      <c r="J8253" s="380" t="s">
        <v>773</v>
      </c>
      <c r="K8253" s="381">
        <v>0.0</v>
      </c>
      <c r="L8253" s="382">
        <v>1.0</v>
      </c>
    </row>
    <row r="8254">
      <c r="A8254" s="380" t="s">
        <v>9128</v>
      </c>
      <c r="B8254" s="380" t="str">
        <f>IFERROR(__xludf.DUMMYFUNCTION("""COMPUTED_VALUE"""),"Porta Escobi Motor Arranque 39MT 362577")</f>
        <v>Porta Escobi Motor Arranque 39MT 362577</v>
      </c>
      <c r="C8254" s="380" t="str">
        <f>IFERROR(__xludf.DUMMYFUNCTION("""COMPUTED_VALUE"""),"70003673")</f>
        <v>70003673</v>
      </c>
      <c r="D8254" s="380" t="s">
        <v>767</v>
      </c>
      <c r="E8254" s="380" t="s">
        <v>786</v>
      </c>
      <c r="F8254" s="380" t="s">
        <v>998</v>
      </c>
      <c r="G8254" s="380" t="s">
        <v>1267</v>
      </c>
      <c r="H8254" s="380" t="s">
        <v>771</v>
      </c>
      <c r="I8254" s="380" t="s">
        <v>788</v>
      </c>
      <c r="J8254" s="380" t="s">
        <v>773</v>
      </c>
      <c r="K8254" s="381">
        <v>0.0</v>
      </c>
      <c r="L8254" s="382">
        <v>1.0</v>
      </c>
    </row>
    <row r="8255">
      <c r="A8255" s="380" t="s">
        <v>9129</v>
      </c>
      <c r="B8255" s="380" t="str">
        <f>IFERROR(__xludf.DUMMYFUNCTION("""COMPUTED_VALUE"""),"Suiche Limpiabrisas Hi 4700 1661237C2")</f>
        <v>Suiche Limpiabrisas Hi 4700 1661237C2</v>
      </c>
      <c r="C8255" s="380" t="str">
        <f>IFERROR(__xludf.DUMMYFUNCTION("""COMPUTED_VALUE"""),"70003674")</f>
        <v>70003674</v>
      </c>
      <c r="D8255" s="380" t="s">
        <v>767</v>
      </c>
      <c r="E8255" s="380" t="s">
        <v>786</v>
      </c>
      <c r="F8255" s="380" t="s">
        <v>998</v>
      </c>
      <c r="G8255" s="380" t="s">
        <v>1267</v>
      </c>
      <c r="H8255" s="380" t="s">
        <v>771</v>
      </c>
      <c r="I8255" s="380" t="s">
        <v>788</v>
      </c>
      <c r="J8255" s="380" t="s">
        <v>773</v>
      </c>
      <c r="K8255" s="381">
        <v>230026.0</v>
      </c>
      <c r="L8255" s="382">
        <v>1.0</v>
      </c>
    </row>
    <row r="8256">
      <c r="A8256" s="380" t="s">
        <v>9130</v>
      </c>
      <c r="B8256" s="380" t="str">
        <f>IFERROR(__xludf.DUMMYFUNCTION("""COMPUTED_VALUE"""),"Sensor Presion Aire KW T800 80685")</f>
        <v>Sensor Presion Aire KW T800 80685</v>
      </c>
      <c r="C8256" s="380" t="str">
        <f>IFERROR(__xludf.DUMMYFUNCTION("""COMPUTED_VALUE"""),"70003675")</f>
        <v>70003675</v>
      </c>
      <c r="D8256" s="380" t="s">
        <v>767</v>
      </c>
      <c r="E8256" s="380" t="s">
        <v>786</v>
      </c>
      <c r="F8256" s="380" t="s">
        <v>998</v>
      </c>
      <c r="G8256" s="380" t="s">
        <v>1267</v>
      </c>
      <c r="H8256" s="380" t="s">
        <v>771</v>
      </c>
      <c r="I8256" s="380" t="s">
        <v>788</v>
      </c>
      <c r="J8256" s="380" t="s">
        <v>773</v>
      </c>
      <c r="K8256" s="381">
        <v>0.0</v>
      </c>
      <c r="L8256" s="382">
        <v>1.0</v>
      </c>
    </row>
    <row r="8257">
      <c r="A8257" s="380" t="s">
        <v>9131</v>
      </c>
      <c r="B8257" s="380" t="str">
        <f>IFERROR(__xludf.DUMMYFUNCTION("""COMPUTED_VALUE"""),"Switch Luz Tras Jac 3750710LE010XZ")</f>
        <v>Switch Luz Tras Jac 3750710LE010XZ</v>
      </c>
      <c r="C8257" s="380" t="str">
        <f>IFERROR(__xludf.DUMMYFUNCTION("""COMPUTED_VALUE"""),"70003676")</f>
        <v>70003676</v>
      </c>
      <c r="D8257" s="380" t="s">
        <v>767</v>
      </c>
      <c r="E8257" s="380" t="s">
        <v>786</v>
      </c>
      <c r="F8257" s="380" t="s">
        <v>998</v>
      </c>
      <c r="G8257" s="380" t="s">
        <v>1267</v>
      </c>
      <c r="H8257" s="380" t="s">
        <v>771</v>
      </c>
      <c r="I8257" s="380" t="s">
        <v>788</v>
      </c>
      <c r="J8257" s="380" t="s">
        <v>773</v>
      </c>
      <c r="K8257" s="381">
        <v>0.0</v>
      </c>
      <c r="L8257" s="382">
        <v>1.0</v>
      </c>
    </row>
    <row r="8258">
      <c r="A8258" s="380" t="s">
        <v>9132</v>
      </c>
      <c r="B8258" s="380" t="str">
        <f>IFERROR(__xludf.DUMMYFUNCTION("""COMPUTED_VALUE"""),"Multiple Recto Sensor Hi Eagle 3520123C1")</f>
        <v>Multiple Recto Sensor Hi Eagle 3520123C1</v>
      </c>
      <c r="C8258" s="380" t="str">
        <f>IFERROR(__xludf.DUMMYFUNCTION("""COMPUTED_VALUE"""),"70003677")</f>
        <v>70003677</v>
      </c>
      <c r="D8258" s="380" t="s">
        <v>767</v>
      </c>
      <c r="E8258" s="380" t="s">
        <v>786</v>
      </c>
      <c r="F8258" s="380" t="s">
        <v>998</v>
      </c>
      <c r="G8258" s="380" t="s">
        <v>1267</v>
      </c>
      <c r="H8258" s="380" t="s">
        <v>771</v>
      </c>
      <c r="I8258" s="380" t="s">
        <v>788</v>
      </c>
      <c r="J8258" s="380" t="s">
        <v>773</v>
      </c>
      <c r="K8258" s="381">
        <v>0.0</v>
      </c>
      <c r="L8258" s="382">
        <v>1.0</v>
      </c>
    </row>
    <row r="8259">
      <c r="A8259" s="380" t="s">
        <v>9133</v>
      </c>
      <c r="B8259" s="380" t="str">
        <f>IFERROR(__xludf.DUMMYFUNCTION("""COMPUTED_VALUE"""),"Inducido Motor Arranque Nkr Rewar")</f>
        <v>Inducido Motor Arranque Nkr Rewar</v>
      </c>
      <c r="C8259" s="380" t="str">
        <f>IFERROR(__xludf.DUMMYFUNCTION("""COMPUTED_VALUE"""),"70003678")</f>
        <v>70003678</v>
      </c>
      <c r="D8259" s="380" t="s">
        <v>767</v>
      </c>
      <c r="E8259" s="380" t="s">
        <v>786</v>
      </c>
      <c r="F8259" s="380" t="s">
        <v>998</v>
      </c>
      <c r="G8259" s="380" t="s">
        <v>1267</v>
      </c>
      <c r="H8259" s="380" t="s">
        <v>771</v>
      </c>
      <c r="I8259" s="380" t="s">
        <v>788</v>
      </c>
      <c r="J8259" s="380" t="s">
        <v>773</v>
      </c>
      <c r="K8259" s="381">
        <v>0.0</v>
      </c>
      <c r="L8259" s="382">
        <v>1.0</v>
      </c>
    </row>
    <row r="8260">
      <c r="A8260" s="380" t="s">
        <v>9134</v>
      </c>
      <c r="B8260" s="380" t="str">
        <f>IFERROR(__xludf.DUMMYFUNCTION("""COMPUTED_VALUE"""),"Bateria N60M-660 Duncan Foton")</f>
        <v>Bateria N60M-660 Duncan Foton</v>
      </c>
      <c r="C8260" s="380" t="str">
        <f>IFERROR(__xludf.DUMMYFUNCTION("""COMPUTED_VALUE"""),"70003679")</f>
        <v>70003679</v>
      </c>
      <c r="D8260" s="380" t="s">
        <v>767</v>
      </c>
      <c r="E8260" s="380" t="s">
        <v>786</v>
      </c>
      <c r="F8260" s="380" t="s">
        <v>998</v>
      </c>
      <c r="G8260" s="380" t="s">
        <v>1267</v>
      </c>
      <c r="H8260" s="380" t="s">
        <v>771</v>
      </c>
      <c r="I8260" s="380" t="s">
        <v>788</v>
      </c>
      <c r="J8260" s="380" t="s">
        <v>773</v>
      </c>
      <c r="K8260" s="381">
        <v>0.0</v>
      </c>
      <c r="L8260" s="382">
        <v>1.0</v>
      </c>
    </row>
    <row r="8261">
      <c r="A8261" s="380" t="s">
        <v>9135</v>
      </c>
      <c r="B8261" s="380" t="str">
        <f>IFERROR(__xludf.DUMMYFUNCTION("""COMPUTED_VALUE"""),"Micros Clutch 2 Cables Eagle 1622366C91")</f>
        <v>Micros Clutch 2 Cables Eagle 1622366C91</v>
      </c>
      <c r="C8261" s="380" t="str">
        <f>IFERROR(__xludf.DUMMYFUNCTION("""COMPUTED_VALUE"""),"70003680")</f>
        <v>70003680</v>
      </c>
      <c r="D8261" s="380" t="s">
        <v>767</v>
      </c>
      <c r="E8261" s="380" t="s">
        <v>786</v>
      </c>
      <c r="F8261" s="380" t="s">
        <v>998</v>
      </c>
      <c r="G8261" s="380" t="s">
        <v>1267</v>
      </c>
      <c r="H8261" s="380" t="s">
        <v>771</v>
      </c>
      <c r="I8261" s="380" t="s">
        <v>788</v>
      </c>
      <c r="J8261" s="380" t="s">
        <v>773</v>
      </c>
      <c r="K8261" s="381">
        <v>0.0</v>
      </c>
      <c r="L8261" s="382">
        <v>1.0</v>
      </c>
    </row>
    <row r="8262">
      <c r="A8262" s="380" t="s">
        <v>9136</v>
      </c>
      <c r="B8262" s="380" t="str">
        <f>IFERROR(__xludf.DUMMYFUNCTION("""COMPUTED_VALUE"""),"Stop Lh Foton MV5 7705946041263")</f>
        <v>Stop Lh Foton MV5 7705946041263</v>
      </c>
      <c r="C8262" s="380" t="str">
        <f>IFERROR(__xludf.DUMMYFUNCTION("""COMPUTED_VALUE"""),"70003681")</f>
        <v>70003681</v>
      </c>
      <c r="D8262" s="380" t="s">
        <v>767</v>
      </c>
      <c r="E8262" s="380" t="s">
        <v>786</v>
      </c>
      <c r="F8262" s="380" t="s">
        <v>998</v>
      </c>
      <c r="G8262" s="380" t="s">
        <v>1267</v>
      </c>
      <c r="H8262" s="380" t="s">
        <v>771</v>
      </c>
      <c r="I8262" s="380" t="s">
        <v>788</v>
      </c>
      <c r="J8262" s="380" t="s">
        <v>773</v>
      </c>
      <c r="K8262" s="381">
        <v>110800.0</v>
      </c>
      <c r="L8262" s="382">
        <v>1.0</v>
      </c>
    </row>
    <row r="8263">
      <c r="A8263" s="380" t="s">
        <v>9137</v>
      </c>
      <c r="B8263" s="380" t="str">
        <f>IFERROR(__xludf.DUMMYFUNCTION("""COMPUTED_VALUE"""),"Relay Encendido 24V Nkr Rewar 8972629330")</f>
        <v>Relay Encendido 24V Nkr Rewar 8972629330</v>
      </c>
      <c r="C8263" s="380" t="str">
        <f>IFERROR(__xludf.DUMMYFUNCTION("""COMPUTED_VALUE"""),"70003682")</f>
        <v>70003682</v>
      </c>
      <c r="D8263" s="380" t="s">
        <v>767</v>
      </c>
      <c r="E8263" s="380" t="s">
        <v>786</v>
      </c>
      <c r="F8263" s="380" t="s">
        <v>998</v>
      </c>
      <c r="G8263" s="380" t="s">
        <v>1267</v>
      </c>
      <c r="H8263" s="380" t="s">
        <v>771</v>
      </c>
      <c r="I8263" s="380" t="s">
        <v>788</v>
      </c>
      <c r="J8263" s="380" t="s">
        <v>773</v>
      </c>
      <c r="K8263" s="381">
        <v>0.0</v>
      </c>
      <c r="L8263" s="382">
        <v>1.0</v>
      </c>
    </row>
    <row r="8264">
      <c r="A8264" s="380" t="s">
        <v>9138</v>
      </c>
      <c r="B8264" s="380" t="str">
        <f>IFERROR(__xludf.DUMMYFUNCTION("""COMPUTED_VALUE"""),"Mini Relay 24v Hino 300")</f>
        <v>Mini Relay 24v Hino 300</v>
      </c>
      <c r="C8264" s="380" t="str">
        <f>IFERROR(__xludf.DUMMYFUNCTION("""COMPUTED_VALUE"""),"70003683")</f>
        <v>70003683</v>
      </c>
      <c r="D8264" s="380" t="s">
        <v>767</v>
      </c>
      <c r="E8264" s="380" t="s">
        <v>786</v>
      </c>
      <c r="F8264" s="380" t="s">
        <v>998</v>
      </c>
      <c r="G8264" s="380" t="s">
        <v>1267</v>
      </c>
      <c r="H8264" s="380" t="s">
        <v>771</v>
      </c>
      <c r="I8264" s="380" t="s">
        <v>788</v>
      </c>
      <c r="J8264" s="380" t="s">
        <v>773</v>
      </c>
      <c r="K8264" s="381">
        <v>0.0</v>
      </c>
      <c r="L8264" s="382">
        <v>1.0</v>
      </c>
    </row>
    <row r="8265">
      <c r="A8265" s="380" t="s">
        <v>9139</v>
      </c>
      <c r="B8265" s="380" t="str">
        <f>IFERROR(__xludf.DUMMYFUNCTION("""COMPUTED_VALUE"""),"Caja De Fusibles Foton 1039 7701023697")</f>
        <v>Caja De Fusibles Foton 1039 7701023697</v>
      </c>
      <c r="C8265" s="380" t="str">
        <f>IFERROR(__xludf.DUMMYFUNCTION("""COMPUTED_VALUE"""),"70003684")</f>
        <v>70003684</v>
      </c>
      <c r="D8265" s="380" t="s">
        <v>767</v>
      </c>
      <c r="E8265" s="380" t="s">
        <v>786</v>
      </c>
      <c r="F8265" s="380" t="s">
        <v>998</v>
      </c>
      <c r="G8265" s="380" t="s">
        <v>1267</v>
      </c>
      <c r="H8265" s="380" t="s">
        <v>771</v>
      </c>
      <c r="I8265" s="380" t="s">
        <v>788</v>
      </c>
      <c r="J8265" s="380" t="s">
        <v>773</v>
      </c>
      <c r="K8265" s="381">
        <v>0.0</v>
      </c>
      <c r="L8265" s="382">
        <v>1.0</v>
      </c>
    </row>
    <row r="8266">
      <c r="A8266" s="380" t="s">
        <v>9140</v>
      </c>
      <c r="B8266" s="380" t="str">
        <f>IFERROR(__xludf.DUMMYFUNCTION("""COMPUTED_VALUE"""),"Exploradora Izq Foton 1039 7701023551250")</f>
        <v>Exploradora Izq Foton 1039 7701023551250</v>
      </c>
      <c r="C8266" s="380" t="str">
        <f>IFERROR(__xludf.DUMMYFUNCTION("""COMPUTED_VALUE"""),"70003685")</f>
        <v>70003685</v>
      </c>
      <c r="D8266" s="380" t="s">
        <v>767</v>
      </c>
      <c r="E8266" s="380" t="s">
        <v>786</v>
      </c>
      <c r="F8266" s="380" t="s">
        <v>998</v>
      </c>
      <c r="G8266" s="380" t="s">
        <v>1267</v>
      </c>
      <c r="H8266" s="380" t="s">
        <v>771</v>
      </c>
      <c r="I8266" s="380" t="s">
        <v>788</v>
      </c>
      <c r="J8266" s="380" t="s">
        <v>773</v>
      </c>
      <c r="K8266" s="381">
        <v>0.0</v>
      </c>
      <c r="L8266" s="382">
        <v>1.0</v>
      </c>
    </row>
    <row r="8267">
      <c r="A8267" s="380" t="s">
        <v>9141</v>
      </c>
      <c r="B8267" s="380" t="str">
        <f>IFERROR(__xludf.DUMMYFUNCTION("""COMPUTED_VALUE"""),"Interrup Ppal Elevavidrio Jac 3746930LD0")</f>
        <v>Interrup Ppal Elevavidrio Jac 3746930LD0</v>
      </c>
      <c r="C8267" s="380" t="str">
        <f>IFERROR(__xludf.DUMMYFUNCTION("""COMPUTED_VALUE"""),"70003686")</f>
        <v>70003686</v>
      </c>
      <c r="D8267" s="380" t="s">
        <v>767</v>
      </c>
      <c r="E8267" s="380" t="s">
        <v>786</v>
      </c>
      <c r="F8267" s="380" t="s">
        <v>998</v>
      </c>
      <c r="G8267" s="380" t="s">
        <v>1267</v>
      </c>
      <c r="H8267" s="380" t="s">
        <v>771</v>
      </c>
      <c r="I8267" s="380" t="s">
        <v>788</v>
      </c>
      <c r="J8267" s="380" t="s">
        <v>773</v>
      </c>
      <c r="K8267" s="381">
        <v>0.0</v>
      </c>
      <c r="L8267" s="382">
        <v>1.0</v>
      </c>
    </row>
    <row r="8268">
      <c r="A8268" s="380" t="s">
        <v>9142</v>
      </c>
      <c r="B8268" s="380" t="str">
        <f>IFERROR(__xludf.DUMMYFUNCTION("""COMPUTED_VALUE"""),"Sensor Temperat R/Cxu Gu Mack 2330000569")</f>
        <v>Sensor Temperat R/Cxu Gu Mack 2330000569</v>
      </c>
      <c r="C8268" s="380" t="str">
        <f>IFERROR(__xludf.DUMMYFUNCTION("""COMPUTED_VALUE"""),"70003687")</f>
        <v>70003687</v>
      </c>
      <c r="D8268" s="380" t="s">
        <v>767</v>
      </c>
      <c r="E8268" s="380" t="s">
        <v>786</v>
      </c>
      <c r="F8268" s="380" t="s">
        <v>998</v>
      </c>
      <c r="G8268" s="380" t="s">
        <v>1267</v>
      </c>
      <c r="H8268" s="380" t="s">
        <v>771</v>
      </c>
      <c r="I8268" s="380" t="s">
        <v>788</v>
      </c>
      <c r="J8268" s="380" t="s">
        <v>773</v>
      </c>
      <c r="K8268" s="381">
        <v>0.0</v>
      </c>
      <c r="L8268" s="382">
        <v>1.0</v>
      </c>
    </row>
    <row r="8269">
      <c r="A8269" s="380" t="s">
        <v>9143</v>
      </c>
      <c r="B8269" s="380" t="str">
        <f>IFERROR(__xludf.DUMMYFUNCTION("""COMPUTED_VALUE"""),"Farola Rh CO2EA Foton 7701023085755")</f>
        <v>Farola Rh CO2EA Foton 7701023085755</v>
      </c>
      <c r="C8269" s="380" t="str">
        <f>IFERROR(__xludf.DUMMYFUNCTION("""COMPUTED_VALUE"""),"70003688")</f>
        <v>70003688</v>
      </c>
      <c r="D8269" s="380" t="s">
        <v>767</v>
      </c>
      <c r="E8269" s="380" t="s">
        <v>786</v>
      </c>
      <c r="F8269" s="380" t="s">
        <v>998</v>
      </c>
      <c r="G8269" s="380" t="s">
        <v>1267</v>
      </c>
      <c r="H8269" s="380" t="s">
        <v>771</v>
      </c>
      <c r="I8269" s="380" t="s">
        <v>788</v>
      </c>
      <c r="J8269" s="380" t="s">
        <v>773</v>
      </c>
      <c r="K8269" s="381">
        <v>0.0</v>
      </c>
      <c r="L8269" s="382">
        <v>1.0</v>
      </c>
    </row>
    <row r="8270">
      <c r="A8270" s="380" t="s">
        <v>9144</v>
      </c>
      <c r="B8270" s="380" t="str">
        <f>IFERROR(__xludf.DUMMYFUNCTION("""COMPUTED_VALUE"""),"Sensor Alta Presion A/C Eagle 3521729C1")</f>
        <v>Sensor Alta Presion A/C Eagle 3521729C1</v>
      </c>
      <c r="C8270" s="380" t="str">
        <f>IFERROR(__xludf.DUMMYFUNCTION("""COMPUTED_VALUE"""),"70003689")</f>
        <v>70003689</v>
      </c>
      <c r="D8270" s="380" t="s">
        <v>767</v>
      </c>
      <c r="E8270" s="380" t="s">
        <v>786</v>
      </c>
      <c r="F8270" s="380" t="s">
        <v>998</v>
      </c>
      <c r="G8270" s="380" t="s">
        <v>1267</v>
      </c>
      <c r="H8270" s="380" t="s">
        <v>771</v>
      </c>
      <c r="I8270" s="380" t="s">
        <v>788</v>
      </c>
      <c r="J8270" s="380" t="s">
        <v>773</v>
      </c>
      <c r="K8270" s="381">
        <v>228236.0</v>
      </c>
      <c r="L8270" s="382">
        <v>1.0</v>
      </c>
    </row>
    <row r="8271">
      <c r="A8271" s="380" t="s">
        <v>9145</v>
      </c>
      <c r="B8271" s="380" t="str">
        <f>IFERROR(__xludf.DUMMYFUNCTION("""COMPUTED_VALUE"""),"Sensor Cpm Hi 1885812C91 1807339 C9")</f>
        <v>Sensor Cpm Hi 1885812C91 1807339 C9</v>
      </c>
      <c r="C8271" s="380" t="str">
        <f>IFERROR(__xludf.DUMMYFUNCTION("""COMPUTED_VALUE"""),"70003690")</f>
        <v>70003690</v>
      </c>
      <c r="D8271" s="380" t="s">
        <v>767</v>
      </c>
      <c r="E8271" s="380" t="s">
        <v>786</v>
      </c>
      <c r="F8271" s="380" t="s">
        <v>998</v>
      </c>
      <c r="G8271" s="380" t="s">
        <v>1267</v>
      </c>
      <c r="H8271" s="380" t="s">
        <v>771</v>
      </c>
      <c r="I8271" s="380" t="s">
        <v>788</v>
      </c>
      <c r="J8271" s="380" t="s">
        <v>773</v>
      </c>
      <c r="K8271" s="381">
        <v>0.0</v>
      </c>
      <c r="L8271" s="382">
        <v>1.0</v>
      </c>
    </row>
    <row r="8272">
      <c r="A8272" s="380" t="s">
        <v>9146</v>
      </c>
      <c r="B8272" s="380" t="str">
        <f>IFERROR(__xludf.DUMMYFUNCTION("""COMPUTED_VALUE"""),"Suiche Exploradora Eagle 2007300C1")</f>
        <v>Suiche Exploradora Eagle 2007300C1</v>
      </c>
      <c r="C8272" s="380" t="str">
        <f>IFERROR(__xludf.DUMMYFUNCTION("""COMPUTED_VALUE"""),"70003691")</f>
        <v>70003691</v>
      </c>
      <c r="D8272" s="380" t="s">
        <v>767</v>
      </c>
      <c r="E8272" s="380" t="s">
        <v>786</v>
      </c>
      <c r="F8272" s="380" t="s">
        <v>998</v>
      </c>
      <c r="G8272" s="380" t="s">
        <v>1267</v>
      </c>
      <c r="H8272" s="380" t="s">
        <v>771</v>
      </c>
      <c r="I8272" s="380" t="s">
        <v>788</v>
      </c>
      <c r="J8272" s="380" t="s">
        <v>773</v>
      </c>
      <c r="K8272" s="381">
        <v>486241.0</v>
      </c>
      <c r="L8272" s="382">
        <v>1.0</v>
      </c>
    </row>
    <row r="8273">
      <c r="A8273" s="380" t="s">
        <v>9147</v>
      </c>
      <c r="B8273" s="380" t="str">
        <f>IFERROR(__xludf.DUMMYFUNCTION("""COMPUTED_VALUE"""),"Alternador T Delta 12v")</f>
        <v>Alternador T Delta 12v</v>
      </c>
      <c r="C8273" s="380" t="str">
        <f>IFERROR(__xludf.DUMMYFUNCTION("""COMPUTED_VALUE"""),"70003692")</f>
        <v>70003692</v>
      </c>
      <c r="D8273" s="380" t="s">
        <v>767</v>
      </c>
      <c r="E8273" s="380" t="s">
        <v>786</v>
      </c>
      <c r="F8273" s="380" t="s">
        <v>998</v>
      </c>
      <c r="G8273" s="380" t="s">
        <v>1267</v>
      </c>
      <c r="H8273" s="380" t="s">
        <v>771</v>
      </c>
      <c r="I8273" s="380" t="s">
        <v>788</v>
      </c>
      <c r="J8273" s="380" t="s">
        <v>773</v>
      </c>
      <c r="K8273" s="381">
        <v>0.0</v>
      </c>
      <c r="L8273" s="382">
        <v>1.0</v>
      </c>
    </row>
    <row r="8274">
      <c r="A8274" s="380" t="s">
        <v>9148</v>
      </c>
      <c r="B8274" s="380" t="str">
        <f>IFERROR(__xludf.DUMMYFUNCTION("""COMPUTED_VALUE"""),"Sensor Baja Presion Compresor 1658820 Hi")</f>
        <v>Sensor Baja Presion Compresor 1658820 Hi</v>
      </c>
      <c r="C8274" s="380" t="str">
        <f>IFERROR(__xludf.DUMMYFUNCTION("""COMPUTED_VALUE"""),"70003693")</f>
        <v>70003693</v>
      </c>
      <c r="D8274" s="380" t="s">
        <v>767</v>
      </c>
      <c r="E8274" s="380" t="s">
        <v>786</v>
      </c>
      <c r="F8274" s="380" t="s">
        <v>998</v>
      </c>
      <c r="G8274" s="380" t="s">
        <v>1267</v>
      </c>
      <c r="H8274" s="380" t="s">
        <v>771</v>
      </c>
      <c r="I8274" s="380" t="s">
        <v>788</v>
      </c>
      <c r="J8274" s="380" t="s">
        <v>773</v>
      </c>
      <c r="K8274" s="381">
        <v>0.0</v>
      </c>
      <c r="L8274" s="382">
        <v>1.0</v>
      </c>
    </row>
    <row r="8275">
      <c r="A8275" s="380" t="s">
        <v>9149</v>
      </c>
      <c r="B8275" s="380" t="str">
        <f>IFERROR(__xludf.DUMMYFUNCTION("""COMPUTED_VALUE"""),"Sens Temp Aceite Difer N14 Eagle479758C1")</f>
        <v>Sens Temp Aceite Difer N14 Eagle479758C1</v>
      </c>
      <c r="C8275" s="380" t="str">
        <f>IFERROR(__xludf.DUMMYFUNCTION("""COMPUTED_VALUE"""),"70003694")</f>
        <v>70003694</v>
      </c>
      <c r="D8275" s="380" t="s">
        <v>767</v>
      </c>
      <c r="E8275" s="380" t="s">
        <v>786</v>
      </c>
      <c r="F8275" s="380" t="s">
        <v>998</v>
      </c>
      <c r="G8275" s="380" t="s">
        <v>1267</v>
      </c>
      <c r="H8275" s="380" t="s">
        <v>771</v>
      </c>
      <c r="I8275" s="380" t="s">
        <v>788</v>
      </c>
      <c r="J8275" s="380" t="s">
        <v>773</v>
      </c>
      <c r="K8275" s="381">
        <v>0.0</v>
      </c>
      <c r="L8275" s="382">
        <v>1.0</v>
      </c>
    </row>
    <row r="8276">
      <c r="A8276" s="380" t="s">
        <v>9150</v>
      </c>
      <c r="B8276" s="380" t="str">
        <f>IFERROR(__xludf.DUMMYFUNCTION("""COMPUTED_VALUE"""),"Motor Arranque Jac Jkr Euro V 1043100FE0")</f>
        <v>Motor Arranque Jac Jkr Euro V 1043100FE0</v>
      </c>
      <c r="C8276" s="380" t="str">
        <f>IFERROR(__xludf.DUMMYFUNCTION("""COMPUTED_VALUE"""),"70003695")</f>
        <v>70003695</v>
      </c>
      <c r="D8276" s="380" t="s">
        <v>767</v>
      </c>
      <c r="E8276" s="380" t="s">
        <v>786</v>
      </c>
      <c r="F8276" s="380" t="s">
        <v>998</v>
      </c>
      <c r="G8276" s="380" t="s">
        <v>1267</v>
      </c>
      <c r="H8276" s="380" t="s">
        <v>771</v>
      </c>
      <c r="I8276" s="380" t="s">
        <v>788</v>
      </c>
      <c r="J8276" s="380" t="s">
        <v>773</v>
      </c>
      <c r="K8276" s="381">
        <v>0.0</v>
      </c>
      <c r="L8276" s="382">
        <v>1.0</v>
      </c>
    </row>
    <row r="8277">
      <c r="A8277" s="380" t="s">
        <v>9151</v>
      </c>
      <c r="B8277" s="380" t="str">
        <f>IFERROR(__xludf.DUMMYFUNCTION("""COMPUTED_VALUE"""),"Sensor Temperatura Aceite S60 23518092 E")</f>
        <v>Sensor Temperatura Aceite S60 23518092 E</v>
      </c>
      <c r="C8277" s="380" t="str">
        <f>IFERROR(__xludf.DUMMYFUNCTION("""COMPUTED_VALUE"""),"70003696")</f>
        <v>70003696</v>
      </c>
      <c r="D8277" s="380" t="s">
        <v>767</v>
      </c>
      <c r="E8277" s="380" t="s">
        <v>786</v>
      </c>
      <c r="F8277" s="380" t="s">
        <v>998</v>
      </c>
      <c r="G8277" s="380" t="s">
        <v>1267</v>
      </c>
      <c r="H8277" s="380" t="s">
        <v>771</v>
      </c>
      <c r="I8277" s="380" t="s">
        <v>788</v>
      </c>
      <c r="J8277" s="380" t="s">
        <v>773</v>
      </c>
      <c r="K8277" s="381">
        <v>0.0</v>
      </c>
      <c r="L8277" s="382">
        <v>1.0</v>
      </c>
    </row>
    <row r="8278">
      <c r="A8278" s="380" t="s">
        <v>9152</v>
      </c>
      <c r="B8278" s="380" t="str">
        <f>IFERROR(__xludf.DUMMYFUNCTION("""COMPUTED_VALUE"""),"Stop RH CA6 1078 Foton1129 7705946330")</f>
        <v>Stop RH CA6 1078 Foton1129 7705946330</v>
      </c>
      <c r="C8278" s="380" t="str">
        <f>IFERROR(__xludf.DUMMYFUNCTION("""COMPUTED_VALUE"""),"70003697")</f>
        <v>70003697</v>
      </c>
      <c r="D8278" s="380" t="s">
        <v>767</v>
      </c>
      <c r="E8278" s="380" t="s">
        <v>786</v>
      </c>
      <c r="F8278" s="380" t="s">
        <v>998</v>
      </c>
      <c r="G8278" s="380" t="s">
        <v>1267</v>
      </c>
      <c r="H8278" s="380" t="s">
        <v>771</v>
      </c>
      <c r="I8278" s="380" t="s">
        <v>788</v>
      </c>
      <c r="J8278" s="380" t="s">
        <v>773</v>
      </c>
      <c r="K8278" s="381">
        <v>0.0</v>
      </c>
      <c r="L8278" s="382">
        <v>1.0</v>
      </c>
    </row>
    <row r="8279">
      <c r="A8279" s="380" t="s">
        <v>9153</v>
      </c>
      <c r="B8279" s="380" t="str">
        <f>IFERROR(__xludf.DUMMYFUNCTION("""COMPUTED_VALUE"""),"Sens Pres Acei Motor Nkr Rewar8971762300")</f>
        <v>Sens Pres Acei Motor Nkr Rewar8971762300</v>
      </c>
      <c r="C8279" s="380" t="str">
        <f>IFERROR(__xludf.DUMMYFUNCTION("""COMPUTED_VALUE"""),"70003698")</f>
        <v>70003698</v>
      </c>
      <c r="D8279" s="380" t="s">
        <v>767</v>
      </c>
      <c r="E8279" s="380" t="s">
        <v>786</v>
      </c>
      <c r="F8279" s="380" t="s">
        <v>998</v>
      </c>
      <c r="G8279" s="380" t="s">
        <v>1267</v>
      </c>
      <c r="H8279" s="380" t="s">
        <v>771</v>
      </c>
      <c r="I8279" s="380" t="s">
        <v>788</v>
      </c>
      <c r="J8279" s="380" t="s">
        <v>773</v>
      </c>
      <c r="K8279" s="381">
        <v>0.0</v>
      </c>
      <c r="L8279" s="382">
        <v>1.0</v>
      </c>
    </row>
    <row r="8280">
      <c r="A8280" s="380" t="s">
        <v>9154</v>
      </c>
      <c r="B8280" s="380" t="str">
        <f>IFERROR(__xludf.DUMMYFUNCTION("""COMPUTED_VALUE"""),"Motor Arranque Maquina Lavado ED00564021")</f>
        <v>Motor Arranque Maquina Lavado ED00564021</v>
      </c>
      <c r="C8280" s="380" t="str">
        <f>IFERROR(__xludf.DUMMYFUNCTION("""COMPUTED_VALUE"""),"70003699")</f>
        <v>70003699</v>
      </c>
      <c r="D8280" s="380" t="s">
        <v>767</v>
      </c>
      <c r="E8280" s="380" t="s">
        <v>786</v>
      </c>
      <c r="F8280" s="380" t="s">
        <v>998</v>
      </c>
      <c r="G8280" s="380" t="s">
        <v>1267</v>
      </c>
      <c r="H8280" s="380" t="s">
        <v>771</v>
      </c>
      <c r="I8280" s="380" t="s">
        <v>788</v>
      </c>
      <c r="J8280" s="380" t="s">
        <v>773</v>
      </c>
      <c r="K8280" s="381">
        <v>0.0</v>
      </c>
      <c r="L8280" s="382">
        <v>1.0</v>
      </c>
    </row>
    <row r="8281">
      <c r="A8281" s="380" t="s">
        <v>9155</v>
      </c>
      <c r="B8281" s="380" t="str">
        <f>IFERROR(__xludf.DUMMYFUNCTION("""COMPUTED_VALUE"""),"Telecomando S 720 Hino Dutro")</f>
        <v>Telecomando S 720 Hino Dutro</v>
      </c>
      <c r="C8281" s="380" t="str">
        <f>IFERROR(__xludf.DUMMYFUNCTION("""COMPUTED_VALUE"""),"70003700")</f>
        <v>70003700</v>
      </c>
      <c r="D8281" s="380" t="s">
        <v>767</v>
      </c>
      <c r="E8281" s="380" t="s">
        <v>786</v>
      </c>
      <c r="F8281" s="380" t="s">
        <v>998</v>
      </c>
      <c r="G8281" s="380" t="s">
        <v>1267</v>
      </c>
      <c r="H8281" s="380" t="s">
        <v>771</v>
      </c>
      <c r="I8281" s="380" t="s">
        <v>788</v>
      </c>
      <c r="J8281" s="380" t="s">
        <v>773</v>
      </c>
      <c r="K8281" s="381">
        <v>402432.0</v>
      </c>
      <c r="L8281" s="382">
        <v>1.0</v>
      </c>
    </row>
    <row r="8282">
      <c r="A8282" s="380" t="s">
        <v>9156</v>
      </c>
      <c r="B8282" s="380" t="str">
        <f>IFERROR(__xludf.DUMMYFUNCTION("""COMPUTED_VALUE"""),"Sensor Pres Aceite Foton MV5 5946023214")</f>
        <v>Sensor Pres Aceite Foton MV5 5946023214</v>
      </c>
      <c r="C8282" s="380" t="str">
        <f>IFERROR(__xludf.DUMMYFUNCTION("""COMPUTED_VALUE"""),"70003701")</f>
        <v>70003701</v>
      </c>
      <c r="D8282" s="380" t="s">
        <v>767</v>
      </c>
      <c r="E8282" s="380" t="s">
        <v>786</v>
      </c>
      <c r="F8282" s="380" t="s">
        <v>998</v>
      </c>
      <c r="G8282" s="380" t="s">
        <v>1267</v>
      </c>
      <c r="H8282" s="380" t="s">
        <v>771</v>
      </c>
      <c r="I8282" s="380" t="s">
        <v>788</v>
      </c>
      <c r="J8282" s="380" t="s">
        <v>773</v>
      </c>
      <c r="K8282" s="381">
        <v>0.0</v>
      </c>
      <c r="L8282" s="382">
        <v>1.0</v>
      </c>
    </row>
    <row r="8283">
      <c r="A8283" s="380" t="s">
        <v>9157</v>
      </c>
      <c r="B8283" s="380" t="str">
        <f>IFERROR(__xludf.DUMMYFUNCTION("""COMPUTED_VALUE"""),"Sensor Temp Motor FotonMV5 7705946023221")</f>
        <v>Sensor Temp Motor FotonMV5 7705946023221</v>
      </c>
      <c r="C8283" s="380" t="str">
        <f>IFERROR(__xludf.DUMMYFUNCTION("""COMPUTED_VALUE"""),"70003702")</f>
        <v>70003702</v>
      </c>
      <c r="D8283" s="380" t="s">
        <v>767</v>
      </c>
      <c r="E8283" s="380" t="s">
        <v>786</v>
      </c>
      <c r="F8283" s="380" t="s">
        <v>998</v>
      </c>
      <c r="G8283" s="380" t="s">
        <v>1267</v>
      </c>
      <c r="H8283" s="380" t="s">
        <v>771</v>
      </c>
      <c r="I8283" s="380" t="s">
        <v>788</v>
      </c>
      <c r="J8283" s="380" t="s">
        <v>773</v>
      </c>
      <c r="K8283" s="381">
        <v>0.0</v>
      </c>
      <c r="L8283" s="382">
        <v>1.0</v>
      </c>
    </row>
    <row r="8284">
      <c r="A8284" s="380" t="s">
        <v>9158</v>
      </c>
      <c r="B8284" s="380" t="str">
        <f>IFERROR(__xludf.DUMMYFUNCTION("""COMPUTED_VALUE"""),"Motor Limpiabrisas FRR 8980701700")</f>
        <v>Motor Limpiabrisas FRR 8980701700</v>
      </c>
      <c r="C8284" s="380" t="str">
        <f>IFERROR(__xludf.DUMMYFUNCTION("""COMPUTED_VALUE"""),"70003703")</f>
        <v>70003703</v>
      </c>
      <c r="D8284" s="380" t="s">
        <v>767</v>
      </c>
      <c r="E8284" s="380" t="s">
        <v>786</v>
      </c>
      <c r="F8284" s="380" t="s">
        <v>998</v>
      </c>
      <c r="G8284" s="380" t="s">
        <v>1267</v>
      </c>
      <c r="H8284" s="380" t="s">
        <v>771</v>
      </c>
      <c r="I8284" s="380" t="s">
        <v>788</v>
      </c>
      <c r="J8284" s="380" t="s">
        <v>773</v>
      </c>
      <c r="K8284" s="381">
        <v>0.0</v>
      </c>
      <c r="L8284" s="382">
        <v>1.0</v>
      </c>
    </row>
    <row r="8285">
      <c r="A8285" s="380" t="s">
        <v>9159</v>
      </c>
      <c r="B8285" s="380" t="str">
        <f>IFERROR(__xludf.DUMMYFUNCTION("""COMPUTED_VALUE"""),"Rotor Alternador Nkr Nhr 12v")</f>
        <v>Rotor Alternador Nkr Nhr 12v</v>
      </c>
      <c r="C8285" s="380" t="str">
        <f>IFERROR(__xludf.DUMMYFUNCTION("""COMPUTED_VALUE"""),"70003704")</f>
        <v>70003704</v>
      </c>
      <c r="D8285" s="380" t="s">
        <v>767</v>
      </c>
      <c r="E8285" s="380" t="s">
        <v>786</v>
      </c>
      <c r="F8285" s="380" t="s">
        <v>998</v>
      </c>
      <c r="G8285" s="380" t="s">
        <v>1267</v>
      </c>
      <c r="H8285" s="380" t="s">
        <v>771</v>
      </c>
      <c r="I8285" s="380" t="s">
        <v>788</v>
      </c>
      <c r="J8285" s="380" t="s">
        <v>773</v>
      </c>
      <c r="K8285" s="381">
        <v>0.0</v>
      </c>
      <c r="L8285" s="382">
        <v>1.0</v>
      </c>
    </row>
    <row r="8286">
      <c r="A8286" s="380" t="s">
        <v>9160</v>
      </c>
      <c r="B8286" s="380" t="str">
        <f>IFERROR(__xludf.DUMMYFUNCTION("""COMPUTED_VALUE"""),"Sensor Nivel Refriger KW T800 VSX1193")</f>
        <v>Sensor Nivel Refriger KW T800 VSX1193</v>
      </c>
      <c r="C8286" s="380" t="str">
        <f>IFERROR(__xludf.DUMMYFUNCTION("""COMPUTED_VALUE"""),"70003705")</f>
        <v>70003705</v>
      </c>
      <c r="D8286" s="380" t="s">
        <v>767</v>
      </c>
      <c r="E8286" s="380" t="s">
        <v>786</v>
      </c>
      <c r="F8286" s="380" t="s">
        <v>998</v>
      </c>
      <c r="G8286" s="380" t="s">
        <v>1267</v>
      </c>
      <c r="H8286" s="380" t="s">
        <v>771</v>
      </c>
      <c r="I8286" s="380" t="s">
        <v>788</v>
      </c>
      <c r="J8286" s="380" t="s">
        <v>773</v>
      </c>
      <c r="K8286" s="381">
        <v>0.0</v>
      </c>
      <c r="L8286" s="382">
        <v>1.0</v>
      </c>
    </row>
    <row r="8287">
      <c r="A8287" s="380" t="s">
        <v>9161</v>
      </c>
      <c r="B8287" s="380" t="str">
        <f>IFERROR(__xludf.DUMMYFUNCTION("""COMPUTED_VALUE"""),"Sensor Oxigeno Van N200 9052870")</f>
        <v>Sensor Oxigeno Van N200 9052870</v>
      </c>
      <c r="C8287" s="380" t="str">
        <f>IFERROR(__xludf.DUMMYFUNCTION("""COMPUTED_VALUE"""),"70003706")</f>
        <v>70003706</v>
      </c>
      <c r="D8287" s="380" t="s">
        <v>767</v>
      </c>
      <c r="E8287" s="380" t="s">
        <v>786</v>
      </c>
      <c r="F8287" s="380" t="s">
        <v>998</v>
      </c>
      <c r="G8287" s="380" t="s">
        <v>1267</v>
      </c>
      <c r="H8287" s="380" t="s">
        <v>771</v>
      </c>
      <c r="I8287" s="380" t="s">
        <v>788</v>
      </c>
      <c r="J8287" s="380" t="s">
        <v>773</v>
      </c>
      <c r="K8287" s="381">
        <v>0.0</v>
      </c>
      <c r="L8287" s="382">
        <v>1.0</v>
      </c>
    </row>
    <row r="8288">
      <c r="A8288" s="380" t="s">
        <v>9162</v>
      </c>
      <c r="B8288" s="380" t="str">
        <f>IFERROR(__xludf.DUMMYFUNCTION("""COMPUTED_VALUE"""),"Lampara Led 12v Furg Nkr Rewar FRR 1017")</f>
        <v>Lampara Led 12v Furg Nkr Rewar FRR 1017</v>
      </c>
      <c r="C8288" s="380" t="str">
        <f>IFERROR(__xludf.DUMMYFUNCTION("""COMPUTED_VALUE"""),"70003707")</f>
        <v>70003707</v>
      </c>
      <c r="D8288" s="380" t="s">
        <v>767</v>
      </c>
      <c r="E8288" s="380" t="s">
        <v>786</v>
      </c>
      <c r="F8288" s="380" t="s">
        <v>998</v>
      </c>
      <c r="G8288" s="380" t="s">
        <v>1267</v>
      </c>
      <c r="H8288" s="380" t="s">
        <v>771</v>
      </c>
      <c r="I8288" s="380" t="s">
        <v>788</v>
      </c>
      <c r="J8288" s="380" t="s">
        <v>773</v>
      </c>
      <c r="K8288" s="381">
        <v>38437.0</v>
      </c>
      <c r="L8288" s="382">
        <v>1.0</v>
      </c>
    </row>
    <row r="8289">
      <c r="A8289" s="380" t="s">
        <v>9163</v>
      </c>
      <c r="B8289" s="380" t="str">
        <f>IFERROR(__xludf.DUMMYFUNCTION("""COMPUTED_VALUE"""),"Contacto Tapa Pito Prostar 2592604C91")</f>
        <v>Contacto Tapa Pito Prostar 2592604C91</v>
      </c>
      <c r="C8289" s="380" t="str">
        <f>IFERROR(__xludf.DUMMYFUNCTION("""COMPUTED_VALUE"""),"70003708")</f>
        <v>70003708</v>
      </c>
      <c r="D8289" s="380" t="s">
        <v>767</v>
      </c>
      <c r="E8289" s="380" t="s">
        <v>786</v>
      </c>
      <c r="F8289" s="380" t="s">
        <v>998</v>
      </c>
      <c r="G8289" s="380" t="s">
        <v>1267</v>
      </c>
      <c r="H8289" s="380" t="s">
        <v>771</v>
      </c>
      <c r="I8289" s="380" t="s">
        <v>788</v>
      </c>
      <c r="J8289" s="380" t="s">
        <v>773</v>
      </c>
      <c r="K8289" s="381">
        <v>0.0</v>
      </c>
      <c r="L8289" s="382">
        <v>1.0</v>
      </c>
    </row>
    <row r="8290">
      <c r="A8290" s="380" t="s">
        <v>9164</v>
      </c>
      <c r="B8290" s="380" t="str">
        <f>IFERROR(__xludf.DUMMYFUNCTION("""COMPUTED_VALUE"""),"Farola Izq Completa Prostar 3596015C93")</f>
        <v>Farola Izq Completa Prostar 3596015C93</v>
      </c>
      <c r="C8290" s="380" t="str">
        <f>IFERROR(__xludf.DUMMYFUNCTION("""COMPUTED_VALUE"""),"70003709")</f>
        <v>70003709</v>
      </c>
      <c r="D8290" s="380" t="s">
        <v>767</v>
      </c>
      <c r="E8290" s="380" t="s">
        <v>786</v>
      </c>
      <c r="F8290" s="380" t="s">
        <v>998</v>
      </c>
      <c r="G8290" s="380" t="s">
        <v>1267</v>
      </c>
      <c r="H8290" s="380" t="s">
        <v>771</v>
      </c>
      <c r="I8290" s="380" t="s">
        <v>788</v>
      </c>
      <c r="J8290" s="380" t="s">
        <v>773</v>
      </c>
      <c r="K8290" s="381">
        <v>1117505.0</v>
      </c>
      <c r="L8290" s="382">
        <v>1.0</v>
      </c>
    </row>
    <row r="8291">
      <c r="A8291" s="380" t="s">
        <v>9165</v>
      </c>
      <c r="B8291" s="380" t="str">
        <f>IFERROR(__xludf.DUMMYFUNCTION("""COMPUTED_VALUE"""),"Farola Der Completa Prostar 3596016C93")</f>
        <v>Farola Der Completa Prostar 3596016C93</v>
      </c>
      <c r="C8291" s="380" t="str">
        <f>IFERROR(__xludf.DUMMYFUNCTION("""COMPUTED_VALUE"""),"70003710")</f>
        <v>70003710</v>
      </c>
      <c r="D8291" s="380" t="s">
        <v>767</v>
      </c>
      <c r="E8291" s="380" t="s">
        <v>786</v>
      </c>
      <c r="F8291" s="380" t="s">
        <v>998</v>
      </c>
      <c r="G8291" s="380" t="s">
        <v>1267</v>
      </c>
      <c r="H8291" s="380" t="s">
        <v>771</v>
      </c>
      <c r="I8291" s="380" t="s">
        <v>788</v>
      </c>
      <c r="J8291" s="380" t="s">
        <v>773</v>
      </c>
      <c r="K8291" s="381">
        <v>0.0</v>
      </c>
      <c r="L8291" s="382">
        <v>1.0</v>
      </c>
    </row>
    <row r="8292">
      <c r="A8292" s="380" t="s">
        <v>9166</v>
      </c>
      <c r="B8292" s="380" t="str">
        <f>IFERROR(__xludf.DUMMYFUNCTION("""COMPUTED_VALUE"""),"Alternador Arranque Jac 12v 3701170FA0")</f>
        <v>Alternador Arranque Jac 12v 3701170FA0</v>
      </c>
      <c r="C8292" s="380" t="str">
        <f>IFERROR(__xludf.DUMMYFUNCTION("""COMPUTED_VALUE"""),"70003711")</f>
        <v>70003711</v>
      </c>
      <c r="D8292" s="380" t="s">
        <v>767</v>
      </c>
      <c r="E8292" s="380" t="s">
        <v>786</v>
      </c>
      <c r="F8292" s="380" t="s">
        <v>998</v>
      </c>
      <c r="G8292" s="380" t="s">
        <v>1267</v>
      </c>
      <c r="H8292" s="380" t="s">
        <v>771</v>
      </c>
      <c r="I8292" s="380" t="s">
        <v>788</v>
      </c>
      <c r="J8292" s="380" t="s">
        <v>773</v>
      </c>
      <c r="K8292" s="381">
        <v>565250.0</v>
      </c>
      <c r="L8292" s="382">
        <v>1.0</v>
      </c>
    </row>
    <row r="8293">
      <c r="A8293" s="380" t="s">
        <v>9167</v>
      </c>
      <c r="B8293" s="380" t="str">
        <f>IFERROR(__xludf.DUMMYFUNCTION("""COMPUTED_VALUE"""),"Flasher 24v Hino Dutro 8198037300")</f>
        <v>Flasher 24v Hino Dutro 8198037300</v>
      </c>
      <c r="C8293" s="380" t="str">
        <f>IFERROR(__xludf.DUMMYFUNCTION("""COMPUTED_VALUE"""),"70003712")</f>
        <v>70003712</v>
      </c>
      <c r="D8293" s="380" t="s">
        <v>767</v>
      </c>
      <c r="E8293" s="380" t="s">
        <v>786</v>
      </c>
      <c r="F8293" s="380" t="s">
        <v>998</v>
      </c>
      <c r="G8293" s="380" t="s">
        <v>1267</v>
      </c>
      <c r="H8293" s="380" t="s">
        <v>771</v>
      </c>
      <c r="I8293" s="380" t="s">
        <v>788</v>
      </c>
      <c r="J8293" s="380" t="s">
        <v>773</v>
      </c>
      <c r="K8293" s="381">
        <v>91035.0</v>
      </c>
      <c r="L8293" s="382">
        <v>1.0</v>
      </c>
    </row>
    <row r="8294">
      <c r="A8294" s="380" t="s">
        <v>9168</v>
      </c>
      <c r="B8294" s="380" t="str">
        <f>IFERROR(__xludf.DUMMYFUNCTION("""COMPUTED_VALUE"""),"Direcal Del Foton MV5 7701023489294")</f>
        <v>Direcal Del Foton MV5 7701023489294</v>
      </c>
      <c r="C8294" s="380" t="str">
        <f>IFERROR(__xludf.DUMMYFUNCTION("""COMPUTED_VALUE"""),"70003713")</f>
        <v>70003713</v>
      </c>
      <c r="D8294" s="380" t="s">
        <v>767</v>
      </c>
      <c r="E8294" s="380" t="s">
        <v>786</v>
      </c>
      <c r="F8294" s="380" t="s">
        <v>998</v>
      </c>
      <c r="G8294" s="380" t="s">
        <v>1267</v>
      </c>
      <c r="H8294" s="380" t="s">
        <v>771</v>
      </c>
      <c r="I8294" s="380" t="s">
        <v>788</v>
      </c>
      <c r="J8294" s="380" t="s">
        <v>773</v>
      </c>
      <c r="K8294" s="381">
        <v>16135.0</v>
      </c>
      <c r="L8294" s="382">
        <v>1.0</v>
      </c>
    </row>
    <row r="8295">
      <c r="A8295" s="380" t="s">
        <v>9169</v>
      </c>
      <c r="B8295" s="380" t="str">
        <f>IFERROR(__xludf.DUMMYFUNCTION("""COMPUTED_VALUE"""),"Sensor Posc Cigueñ Mvp MV5 7705946023313")</f>
        <v>Sensor Posc Cigueñ Mvp MV5 7705946023313</v>
      </c>
      <c r="C8295" s="380" t="str">
        <f>IFERROR(__xludf.DUMMYFUNCTION("""COMPUTED_VALUE"""),"70003714")</f>
        <v>70003714</v>
      </c>
      <c r="D8295" s="380" t="s">
        <v>767</v>
      </c>
      <c r="E8295" s="380" t="s">
        <v>786</v>
      </c>
      <c r="F8295" s="380" t="s">
        <v>998</v>
      </c>
      <c r="G8295" s="380" t="s">
        <v>1267</v>
      </c>
      <c r="H8295" s="380" t="s">
        <v>771</v>
      </c>
      <c r="I8295" s="380" t="s">
        <v>788</v>
      </c>
      <c r="J8295" s="380" t="s">
        <v>773</v>
      </c>
      <c r="K8295" s="381">
        <v>0.0</v>
      </c>
      <c r="L8295" s="382">
        <v>1.0</v>
      </c>
    </row>
    <row r="8296">
      <c r="A8296" s="380" t="s">
        <v>9170</v>
      </c>
      <c r="B8296" s="380" t="str">
        <f>IFERROR(__xludf.DUMMYFUNCTION("""COMPUTED_VALUE"""),"Botella Cardan Nkr Rewar C3-3929 Spicer")</f>
        <v>Botella Cardan Nkr Rewar C3-3929 Spicer</v>
      </c>
      <c r="C8296" s="380" t="str">
        <f>IFERROR(__xludf.DUMMYFUNCTION("""COMPUTED_VALUE"""),"70003715")</f>
        <v>70003715</v>
      </c>
      <c r="D8296" s="380" t="s">
        <v>767</v>
      </c>
      <c r="E8296" s="380" t="s">
        <v>786</v>
      </c>
      <c r="F8296" s="380" t="s">
        <v>5683</v>
      </c>
      <c r="G8296" s="380" t="s">
        <v>1267</v>
      </c>
      <c r="H8296" s="380" t="s">
        <v>771</v>
      </c>
      <c r="I8296" s="380" t="s">
        <v>788</v>
      </c>
      <c r="J8296" s="380" t="s">
        <v>773</v>
      </c>
      <c r="K8296" s="381">
        <v>0.0</v>
      </c>
      <c r="L8296" s="382">
        <v>1.0</v>
      </c>
    </row>
    <row r="8297">
      <c r="A8297" s="380" t="s">
        <v>9171</v>
      </c>
      <c r="B8297" s="380" t="str">
        <f>IFERROR(__xludf.DUMMYFUNCTION("""COMPUTED_VALUE"""),"Piñon 4ta 28 Diente Nkr Rewar 8972412300")</f>
        <v>Piñon 4ta 28 Diente Nkr Rewar 8972412300</v>
      </c>
      <c r="C8297" s="380" t="str">
        <f>IFERROR(__xludf.DUMMYFUNCTION("""COMPUTED_VALUE"""),"70003716")</f>
        <v>70003716</v>
      </c>
      <c r="D8297" s="380" t="s">
        <v>767</v>
      </c>
      <c r="E8297" s="380" t="s">
        <v>786</v>
      </c>
      <c r="F8297" s="380" t="s">
        <v>5683</v>
      </c>
      <c r="G8297" s="380" t="s">
        <v>1267</v>
      </c>
      <c r="H8297" s="380" t="s">
        <v>771</v>
      </c>
      <c r="I8297" s="380" t="s">
        <v>788</v>
      </c>
      <c r="J8297" s="380" t="s">
        <v>773</v>
      </c>
      <c r="K8297" s="381">
        <v>0.0</v>
      </c>
      <c r="L8297" s="382">
        <v>1.0</v>
      </c>
    </row>
    <row r="8298">
      <c r="A8298" s="380" t="s">
        <v>9172</v>
      </c>
      <c r="B8298" s="380" t="str">
        <f>IFERROR(__xludf.DUMMYFUNCTION("""COMPUTED_VALUE"""),"Piñon Piña Divisor Eagle 3892S5947")</f>
        <v>Piñon Piña Divisor Eagle 3892S5947</v>
      </c>
      <c r="C8298" s="380" t="str">
        <f>IFERROR(__xludf.DUMMYFUNCTION("""COMPUTED_VALUE"""),"70003717")</f>
        <v>70003717</v>
      </c>
      <c r="D8298" s="380" t="s">
        <v>767</v>
      </c>
      <c r="E8298" s="380" t="s">
        <v>786</v>
      </c>
      <c r="F8298" s="380" t="s">
        <v>5683</v>
      </c>
      <c r="G8298" s="380" t="s">
        <v>1267</v>
      </c>
      <c r="H8298" s="380" t="s">
        <v>771</v>
      </c>
      <c r="I8298" s="380" t="s">
        <v>788</v>
      </c>
      <c r="J8298" s="380" t="s">
        <v>773</v>
      </c>
      <c r="K8298" s="381">
        <v>0.0</v>
      </c>
      <c r="L8298" s="382">
        <v>1.0</v>
      </c>
    </row>
    <row r="8299">
      <c r="A8299" s="380" t="s">
        <v>9173</v>
      </c>
      <c r="B8299" s="380" t="str">
        <f>IFERROR(__xludf.DUMMYFUNCTION("""COMPUTED_VALUE"""),"Difer Del Comp 10X43 Eagle/KW A3200K2117")</f>
        <v>Difer Del Comp 10X43 Eagle/KW A3200K2117</v>
      </c>
      <c r="C8299" s="380" t="str">
        <f>IFERROR(__xludf.DUMMYFUNCTION("""COMPUTED_VALUE"""),"70003718")</f>
        <v>70003718</v>
      </c>
      <c r="D8299" s="380" t="s">
        <v>767</v>
      </c>
      <c r="E8299" s="380" t="s">
        <v>786</v>
      </c>
      <c r="F8299" s="380" t="s">
        <v>5683</v>
      </c>
      <c r="G8299" s="380" t="s">
        <v>1267</v>
      </c>
      <c r="H8299" s="380" t="s">
        <v>771</v>
      </c>
      <c r="I8299" s="380" t="s">
        <v>788</v>
      </c>
      <c r="J8299" s="380" t="s">
        <v>773</v>
      </c>
      <c r="K8299" s="381">
        <v>0.0</v>
      </c>
      <c r="L8299" s="382">
        <v>1.0</v>
      </c>
    </row>
    <row r="8300">
      <c r="A8300" s="380" t="s">
        <v>9174</v>
      </c>
      <c r="B8300" s="380" t="str">
        <f>IFERROR(__xludf.DUMMYFUNCTION("""COMPUTED_VALUE"""),"Speed Corona 35x6 Foton 1039 1023087070")</f>
        <v>Speed Corona 35x6 Foton 1039 1023087070</v>
      </c>
      <c r="C8300" s="380" t="str">
        <f>IFERROR(__xludf.DUMMYFUNCTION("""COMPUTED_VALUE"""),"70003719")</f>
        <v>70003719</v>
      </c>
      <c r="D8300" s="380" t="s">
        <v>767</v>
      </c>
      <c r="E8300" s="380" t="s">
        <v>786</v>
      </c>
      <c r="F8300" s="380" t="s">
        <v>5683</v>
      </c>
      <c r="G8300" s="380" t="s">
        <v>1267</v>
      </c>
      <c r="H8300" s="380" t="s">
        <v>771</v>
      </c>
      <c r="I8300" s="380" t="s">
        <v>788</v>
      </c>
      <c r="J8300" s="380" t="s">
        <v>773</v>
      </c>
      <c r="K8300" s="381">
        <v>0.0</v>
      </c>
      <c r="L8300" s="382">
        <v>1.0</v>
      </c>
    </row>
    <row r="8301">
      <c r="A8301" s="380" t="s">
        <v>9175</v>
      </c>
      <c r="B8301" s="380" t="str">
        <f>IFERROR(__xludf.DUMMYFUNCTION("""COMPUTED_VALUE"""),"Rodamiento Ext Rueda Del Foton MV5 30306")</f>
        <v>Rodamiento Ext Rueda Del Foton MV5 30306</v>
      </c>
      <c r="C8301" s="380" t="str">
        <f>IFERROR(__xludf.DUMMYFUNCTION("""COMPUTED_VALUE"""),"70003720")</f>
        <v>70003720</v>
      </c>
      <c r="D8301" s="380" t="s">
        <v>767</v>
      </c>
      <c r="E8301" s="380" t="s">
        <v>786</v>
      </c>
      <c r="F8301" s="380" t="s">
        <v>5683</v>
      </c>
      <c r="G8301" s="380" t="s">
        <v>1267</v>
      </c>
      <c r="H8301" s="380" t="s">
        <v>771</v>
      </c>
      <c r="I8301" s="380" t="s">
        <v>788</v>
      </c>
      <c r="J8301" s="380" t="s">
        <v>773</v>
      </c>
      <c r="K8301" s="381">
        <v>0.0</v>
      </c>
      <c r="L8301" s="382">
        <v>1.0</v>
      </c>
    </row>
    <row r="8302">
      <c r="A8302" s="380" t="s">
        <v>9176</v>
      </c>
      <c r="B8302" s="380" t="str">
        <f>IFERROR(__xludf.DUMMYFUNCTION("""COMPUTED_VALUE"""),"Retenedor Rda Tras Foton MV5 1023715973")</f>
        <v>Retenedor Rda Tras Foton MV5 1023715973</v>
      </c>
      <c r="C8302" s="380" t="str">
        <f>IFERROR(__xludf.DUMMYFUNCTION("""COMPUTED_VALUE"""),"70003721")</f>
        <v>70003721</v>
      </c>
      <c r="D8302" s="380" t="s">
        <v>767</v>
      </c>
      <c r="E8302" s="380" t="s">
        <v>786</v>
      </c>
      <c r="F8302" s="380" t="s">
        <v>5683</v>
      </c>
      <c r="G8302" s="380" t="s">
        <v>1267</v>
      </c>
      <c r="H8302" s="380" t="s">
        <v>771</v>
      </c>
      <c r="I8302" s="380" t="s">
        <v>788</v>
      </c>
      <c r="J8302" s="380" t="s">
        <v>773</v>
      </c>
      <c r="K8302" s="381">
        <v>0.0</v>
      </c>
      <c r="L8302" s="382">
        <v>1.0</v>
      </c>
    </row>
    <row r="8303">
      <c r="A8303" s="380" t="s">
        <v>9177</v>
      </c>
      <c r="B8303" s="380" t="str">
        <f>IFERROR(__xludf.DUMMYFUNCTION("""COMPUTED_VALUE"""),"Rodillo Rueda Del Foton MV5 8942270410")</f>
        <v>Rodillo Rueda Del Foton MV5 8942270410</v>
      </c>
      <c r="C8303" s="380" t="str">
        <f>IFERROR(__xludf.DUMMYFUNCTION("""COMPUTED_VALUE"""),"70003722")</f>
        <v>70003722</v>
      </c>
      <c r="D8303" s="380" t="s">
        <v>767</v>
      </c>
      <c r="E8303" s="380" t="s">
        <v>786</v>
      </c>
      <c r="F8303" s="380" t="s">
        <v>5683</v>
      </c>
      <c r="G8303" s="380" t="s">
        <v>1267</v>
      </c>
      <c r="H8303" s="380" t="s">
        <v>771</v>
      </c>
      <c r="I8303" s="380" t="s">
        <v>788</v>
      </c>
      <c r="J8303" s="380" t="s">
        <v>773</v>
      </c>
      <c r="K8303" s="381">
        <v>0.0</v>
      </c>
      <c r="L8303" s="382">
        <v>1.0</v>
      </c>
    </row>
    <row r="8304">
      <c r="A8304" s="380" t="s">
        <v>9178</v>
      </c>
      <c r="B8304" s="380" t="str">
        <f>IFERROR(__xludf.DUMMYFUNCTION("""COMPUTED_VALUE"""),"Difer Tras Comp 9X41 Eagle KW A13200P170")</f>
        <v>Difer Tras Comp 9X41 Eagle KW A13200P170</v>
      </c>
      <c r="C8304" s="380" t="str">
        <f>IFERROR(__xludf.DUMMYFUNCTION("""COMPUTED_VALUE"""),"70003723")</f>
        <v>70003723</v>
      </c>
      <c r="D8304" s="380" t="s">
        <v>767</v>
      </c>
      <c r="E8304" s="380" t="s">
        <v>786</v>
      </c>
      <c r="F8304" s="380" t="s">
        <v>5683</v>
      </c>
      <c r="G8304" s="380" t="s">
        <v>1267</v>
      </c>
      <c r="H8304" s="380" t="s">
        <v>771</v>
      </c>
      <c r="I8304" s="380" t="s">
        <v>788</v>
      </c>
      <c r="J8304" s="380" t="s">
        <v>773</v>
      </c>
      <c r="K8304" s="381">
        <v>0.0</v>
      </c>
      <c r="L8304" s="382">
        <v>1.0</v>
      </c>
    </row>
    <row r="8305">
      <c r="A8305" s="380" t="s">
        <v>9179</v>
      </c>
      <c r="B8305" s="380" t="str">
        <f>IFERROR(__xludf.DUMMYFUNCTION("""COMPUTED_VALUE"""),"Terminal Der Barra Direc FRR 1431507481")</f>
        <v>Terminal Der Barra Direc FRR 1431507481</v>
      </c>
      <c r="C8305" s="380" t="str">
        <f>IFERROR(__xludf.DUMMYFUNCTION("""COMPUTED_VALUE"""),"70003724")</f>
        <v>70003724</v>
      </c>
      <c r="D8305" s="380" t="s">
        <v>767</v>
      </c>
      <c r="E8305" s="380" t="s">
        <v>786</v>
      </c>
      <c r="F8305" s="380" t="s">
        <v>5683</v>
      </c>
      <c r="G8305" s="380" t="s">
        <v>1267</v>
      </c>
      <c r="H8305" s="380" t="s">
        <v>771</v>
      </c>
      <c r="I8305" s="380" t="s">
        <v>788</v>
      </c>
      <c r="J8305" s="380" t="s">
        <v>773</v>
      </c>
      <c r="K8305" s="381">
        <v>0.0</v>
      </c>
      <c r="L8305" s="382">
        <v>1.0</v>
      </c>
    </row>
    <row r="8306">
      <c r="A8306" s="380" t="s">
        <v>9180</v>
      </c>
      <c r="B8306" s="380" t="str">
        <f>IFERROR(__xludf.DUMMYFUNCTION("""COMPUTED_VALUE"""),"Terminal Izq Barra Direc FRR 1431050749")</f>
        <v>Terminal Izq Barra Direc FRR 1431050749</v>
      </c>
      <c r="C8306" s="380" t="str">
        <f>IFERROR(__xludf.DUMMYFUNCTION("""COMPUTED_VALUE"""),"70003725")</f>
        <v>70003725</v>
      </c>
      <c r="D8306" s="380" t="s">
        <v>767</v>
      </c>
      <c r="E8306" s="380" t="s">
        <v>786</v>
      </c>
      <c r="F8306" s="380" t="s">
        <v>5683</v>
      </c>
      <c r="G8306" s="380" t="s">
        <v>1267</v>
      </c>
      <c r="H8306" s="380" t="s">
        <v>771</v>
      </c>
      <c r="I8306" s="380" t="s">
        <v>788</v>
      </c>
      <c r="J8306" s="380" t="s">
        <v>773</v>
      </c>
      <c r="K8306" s="381">
        <v>0.0</v>
      </c>
      <c r="L8306" s="382">
        <v>1.0</v>
      </c>
    </row>
    <row r="8307">
      <c r="A8307" s="380" t="s">
        <v>9181</v>
      </c>
      <c r="B8307" s="380" t="str">
        <f>IFERROR(__xludf.DUMMYFUNCTION("""COMPUTED_VALUE"""),"Arandela Pinadora Nkr Ill E 9098532141")</f>
        <v>Arandela Pinadora Nkr Ill E 9098532141</v>
      </c>
      <c r="C8307" s="380" t="str">
        <f>IFERROR(__xludf.DUMMYFUNCTION("""COMPUTED_VALUE"""),"70003726")</f>
        <v>70003726</v>
      </c>
      <c r="D8307" s="380" t="s">
        <v>767</v>
      </c>
      <c r="E8307" s="380" t="s">
        <v>786</v>
      </c>
      <c r="F8307" s="380" t="s">
        <v>5683</v>
      </c>
      <c r="G8307" s="380" t="s">
        <v>1267</v>
      </c>
      <c r="H8307" s="380" t="s">
        <v>771</v>
      </c>
      <c r="I8307" s="380" t="s">
        <v>788</v>
      </c>
      <c r="J8307" s="380" t="s">
        <v>773</v>
      </c>
      <c r="K8307" s="381">
        <v>0.0</v>
      </c>
      <c r="L8307" s="382">
        <v>1.0</v>
      </c>
    </row>
    <row r="8308">
      <c r="A8308" s="380" t="s">
        <v>9182</v>
      </c>
      <c r="B8308" s="380" t="str">
        <f>IFERROR(__xludf.DUMMYFUNCTION("""COMPUTED_VALUE"""),"Sensor Velocimet Caja Fuller Eagle K4148")</f>
        <v>Sensor Velocimet Caja Fuller Eagle K4148</v>
      </c>
      <c r="C8308" s="380" t="str">
        <f>IFERROR(__xludf.DUMMYFUNCTION("""COMPUTED_VALUE"""),"70003727")</f>
        <v>70003727</v>
      </c>
      <c r="D8308" s="380" t="s">
        <v>767</v>
      </c>
      <c r="E8308" s="380" t="s">
        <v>786</v>
      </c>
      <c r="F8308" s="380" t="s">
        <v>998</v>
      </c>
      <c r="G8308" s="380" t="s">
        <v>1267</v>
      </c>
      <c r="H8308" s="380" t="s">
        <v>771</v>
      </c>
      <c r="I8308" s="380" t="s">
        <v>788</v>
      </c>
      <c r="J8308" s="380" t="s">
        <v>773</v>
      </c>
      <c r="K8308" s="381">
        <v>0.0</v>
      </c>
      <c r="L8308" s="382">
        <v>1.0</v>
      </c>
    </row>
    <row r="8309">
      <c r="A8309" s="380" t="s">
        <v>9183</v>
      </c>
      <c r="B8309" s="380" t="str">
        <f>IFERROR(__xludf.DUMMYFUNCTION("""COMPUTED_VALUE"""),"Trompo Aceite N200 9052669")</f>
        <v>Trompo Aceite N200 9052669</v>
      </c>
      <c r="C8309" s="380" t="str">
        <f>IFERROR(__xludf.DUMMYFUNCTION("""COMPUTED_VALUE"""),"70003728")</f>
        <v>70003728</v>
      </c>
      <c r="D8309" s="380" t="s">
        <v>767</v>
      </c>
      <c r="E8309" s="380" t="s">
        <v>786</v>
      </c>
      <c r="F8309" s="380" t="s">
        <v>998</v>
      </c>
      <c r="G8309" s="380" t="s">
        <v>1267</v>
      </c>
      <c r="H8309" s="380" t="s">
        <v>771</v>
      </c>
      <c r="I8309" s="380" t="s">
        <v>788</v>
      </c>
      <c r="J8309" s="380" t="s">
        <v>773</v>
      </c>
      <c r="K8309" s="381">
        <v>0.0</v>
      </c>
      <c r="L8309" s="382">
        <v>1.0</v>
      </c>
    </row>
    <row r="8310">
      <c r="A8310" s="380" t="s">
        <v>9184</v>
      </c>
      <c r="B8310" s="380" t="str">
        <f>IFERROR(__xludf.DUMMYFUNCTION("""COMPUTED_VALUE"""),"Bateria 42D-750 Willard N200")</f>
        <v>Bateria 42D-750 Willard N200</v>
      </c>
      <c r="C8310" s="380" t="str">
        <f>IFERROR(__xludf.DUMMYFUNCTION("""COMPUTED_VALUE"""),"70003729")</f>
        <v>70003729</v>
      </c>
      <c r="D8310" s="380" t="s">
        <v>767</v>
      </c>
      <c r="E8310" s="380" t="s">
        <v>786</v>
      </c>
      <c r="F8310" s="380" t="s">
        <v>998</v>
      </c>
      <c r="G8310" s="380" t="s">
        <v>1267</v>
      </c>
      <c r="H8310" s="380" t="s">
        <v>771</v>
      </c>
      <c r="I8310" s="380" t="s">
        <v>788</v>
      </c>
      <c r="J8310" s="380" t="s">
        <v>773</v>
      </c>
      <c r="K8310" s="381">
        <v>0.0</v>
      </c>
      <c r="L8310" s="382">
        <v>1.0</v>
      </c>
    </row>
    <row r="8311">
      <c r="A8311" s="380" t="s">
        <v>9185</v>
      </c>
      <c r="B8311" s="380" t="str">
        <f>IFERROR(__xludf.DUMMYFUNCTION("""COMPUTED_VALUE"""),"Bendix Motor Arr Nkr-Npr Rew 8982221000")</f>
        <v>Bendix Motor Arr Nkr-Npr Rew 8982221000</v>
      </c>
      <c r="C8311" s="380" t="str">
        <f>IFERROR(__xludf.DUMMYFUNCTION("""COMPUTED_VALUE"""),"70003730")</f>
        <v>70003730</v>
      </c>
      <c r="D8311" s="380" t="s">
        <v>767</v>
      </c>
      <c r="E8311" s="380" t="s">
        <v>786</v>
      </c>
      <c r="F8311" s="380" t="s">
        <v>998</v>
      </c>
      <c r="G8311" s="380" t="s">
        <v>1267</v>
      </c>
      <c r="H8311" s="380" t="s">
        <v>771</v>
      </c>
      <c r="I8311" s="380" t="s">
        <v>788</v>
      </c>
      <c r="J8311" s="380" t="s">
        <v>773</v>
      </c>
      <c r="K8311" s="381">
        <v>126438.0</v>
      </c>
      <c r="L8311" s="382">
        <v>1.0</v>
      </c>
    </row>
    <row r="8312">
      <c r="A8312" s="380" t="s">
        <v>9186</v>
      </c>
      <c r="B8312" s="380" t="str">
        <f>IFERROR(__xludf.DUMMYFUNCTION("""COMPUTED_VALUE"""),"Horquill Mas Eje 3Y4 FotonMV5 1023484916")</f>
        <v>Horquill Mas Eje 3Y4 FotonMV5 1023484916</v>
      </c>
      <c r="C8312" s="380" t="str">
        <f>IFERROR(__xludf.DUMMYFUNCTION("""COMPUTED_VALUE"""),"70003731")</f>
        <v>70003731</v>
      </c>
      <c r="D8312" s="380" t="s">
        <v>767</v>
      </c>
      <c r="E8312" s="380" t="s">
        <v>786</v>
      </c>
      <c r="F8312" s="380" t="s">
        <v>5683</v>
      </c>
      <c r="G8312" s="380" t="s">
        <v>1267</v>
      </c>
      <c r="H8312" s="380" t="s">
        <v>771</v>
      </c>
      <c r="I8312" s="380" t="s">
        <v>788</v>
      </c>
      <c r="J8312" s="380" t="s">
        <v>773</v>
      </c>
      <c r="K8312" s="381">
        <v>0.0</v>
      </c>
      <c r="L8312" s="382">
        <v>1.0</v>
      </c>
    </row>
    <row r="8313">
      <c r="A8313" s="380" t="s">
        <v>9187</v>
      </c>
      <c r="B8313" s="380" t="str">
        <f>IFERROR(__xludf.DUMMYFUNCTION("""COMPUTED_VALUE"""),"Yoke Cardan ESpl250 KW T800")</f>
        <v>Yoke Cardan ESpl250 KW T800</v>
      </c>
      <c r="C8313" s="380" t="str">
        <f>IFERROR(__xludf.DUMMYFUNCTION("""COMPUTED_VALUE"""),"70003732")</f>
        <v>70003732</v>
      </c>
      <c r="D8313" s="380" t="s">
        <v>767</v>
      </c>
      <c r="E8313" s="380" t="s">
        <v>786</v>
      </c>
      <c r="F8313" s="380" t="s">
        <v>5683</v>
      </c>
      <c r="G8313" s="380" t="s">
        <v>1267</v>
      </c>
      <c r="H8313" s="380" t="s">
        <v>771</v>
      </c>
      <c r="I8313" s="380" t="s">
        <v>788</v>
      </c>
      <c r="J8313" s="380" t="s">
        <v>773</v>
      </c>
      <c r="K8313" s="381">
        <v>773500.0</v>
      </c>
      <c r="L8313" s="382">
        <v>1.0</v>
      </c>
    </row>
    <row r="8314">
      <c r="A8314" s="380" t="s">
        <v>9188</v>
      </c>
      <c r="B8314" s="380" t="str">
        <f>IFERROR(__xludf.DUMMYFUNCTION("""COMPUTED_VALUE"""),"Eje Difer Largo Eagle Petrolera3202G9003")</f>
        <v>Eje Difer Largo Eagle Petrolera3202G9003</v>
      </c>
      <c r="C8314" s="380" t="str">
        <f>IFERROR(__xludf.DUMMYFUNCTION("""COMPUTED_VALUE"""),"70003733")</f>
        <v>70003733</v>
      </c>
      <c r="D8314" s="380" t="s">
        <v>767</v>
      </c>
      <c r="E8314" s="380" t="s">
        <v>786</v>
      </c>
      <c r="F8314" s="380" t="s">
        <v>5683</v>
      </c>
      <c r="G8314" s="380" t="s">
        <v>1267</v>
      </c>
      <c r="H8314" s="380" t="s">
        <v>771</v>
      </c>
      <c r="I8314" s="380" t="s">
        <v>788</v>
      </c>
      <c r="J8314" s="380" t="s">
        <v>773</v>
      </c>
      <c r="K8314" s="381">
        <v>0.0</v>
      </c>
      <c r="L8314" s="382">
        <v>1.0</v>
      </c>
    </row>
    <row r="8315">
      <c r="A8315" s="380" t="s">
        <v>9189</v>
      </c>
      <c r="B8315" s="380" t="str">
        <f>IFERROR(__xludf.DUMMYFUNCTION("""COMPUTED_VALUE"""),"Eje Difer Corto Eagle Petrolera3202Q8805")</f>
        <v>Eje Difer Corto Eagle Petrolera3202Q8805</v>
      </c>
      <c r="C8315" s="380" t="str">
        <f>IFERROR(__xludf.DUMMYFUNCTION("""COMPUTED_VALUE"""),"70003734")</f>
        <v>70003734</v>
      </c>
      <c r="D8315" s="380" t="s">
        <v>767</v>
      </c>
      <c r="E8315" s="380" t="s">
        <v>786</v>
      </c>
      <c r="F8315" s="380" t="s">
        <v>5683</v>
      </c>
      <c r="G8315" s="380" t="s">
        <v>1267</v>
      </c>
      <c r="H8315" s="380" t="s">
        <v>771</v>
      </c>
      <c r="I8315" s="380" t="s">
        <v>788</v>
      </c>
      <c r="J8315" s="380" t="s">
        <v>773</v>
      </c>
      <c r="K8315" s="381">
        <v>0.0</v>
      </c>
      <c r="L8315" s="382">
        <v>1.0</v>
      </c>
    </row>
    <row r="8316">
      <c r="A8316" s="380" t="s">
        <v>9190</v>
      </c>
      <c r="B8316" s="380" t="str">
        <f>IFERROR(__xludf.DUMMYFUNCTION("""COMPUTED_VALUE"""),"Tuerca Spedd Diferenc Del Eagle 40x1145")</f>
        <v>Tuerca Spedd Diferenc Del Eagle 40x1145</v>
      </c>
      <c r="C8316" s="380" t="str">
        <f>IFERROR(__xludf.DUMMYFUNCTION("""COMPUTED_VALUE"""),"70003735")</f>
        <v>70003735</v>
      </c>
      <c r="D8316" s="380" t="s">
        <v>767</v>
      </c>
      <c r="E8316" s="380" t="s">
        <v>786</v>
      </c>
      <c r="F8316" s="380" t="s">
        <v>5683</v>
      </c>
      <c r="G8316" s="380" t="s">
        <v>1267</v>
      </c>
      <c r="H8316" s="380" t="s">
        <v>771</v>
      </c>
      <c r="I8316" s="380" t="s">
        <v>788</v>
      </c>
      <c r="J8316" s="380" t="s">
        <v>773</v>
      </c>
      <c r="K8316" s="381">
        <v>0.0</v>
      </c>
      <c r="L8316" s="382">
        <v>1.0</v>
      </c>
    </row>
    <row r="8317">
      <c r="A8317" s="380" t="s">
        <v>9191</v>
      </c>
      <c r="B8317" s="380" t="str">
        <f>IFERROR(__xludf.DUMMYFUNCTION("""COMPUTED_VALUE"""),"Kit Rodamiento Diferenc Tras Eagle 4426")</f>
        <v>Kit Rodamiento Diferenc Tras Eagle 4426</v>
      </c>
      <c r="C8317" s="380" t="str">
        <f>IFERROR(__xludf.DUMMYFUNCTION("""COMPUTED_VALUE"""),"70003736")</f>
        <v>70003736</v>
      </c>
      <c r="D8317" s="380" t="s">
        <v>767</v>
      </c>
      <c r="E8317" s="380" t="s">
        <v>786</v>
      </c>
      <c r="F8317" s="380" t="s">
        <v>5683</v>
      </c>
      <c r="G8317" s="380" t="s">
        <v>1267</v>
      </c>
      <c r="H8317" s="380" t="s">
        <v>771</v>
      </c>
      <c r="I8317" s="380" t="s">
        <v>788</v>
      </c>
      <c r="J8317" s="380" t="s">
        <v>773</v>
      </c>
      <c r="K8317" s="381">
        <v>0.0</v>
      </c>
      <c r="L8317" s="382">
        <v>1.0</v>
      </c>
    </row>
    <row r="8318">
      <c r="A8318" s="380" t="s">
        <v>9192</v>
      </c>
      <c r="B8318" s="380" t="str">
        <f>IFERROR(__xludf.DUMMYFUNCTION("""COMPUTED_VALUE"""),"Kit Escualizacion Npr 42170050")</f>
        <v>Kit Escualizacion Npr 42170050</v>
      </c>
      <c r="C8318" s="380" t="str">
        <f>IFERROR(__xludf.DUMMYFUNCTION("""COMPUTED_VALUE"""),"70003737")</f>
        <v>70003737</v>
      </c>
      <c r="D8318" s="380" t="s">
        <v>767</v>
      </c>
      <c r="E8318" s="380" t="s">
        <v>786</v>
      </c>
      <c r="F8318" s="380" t="s">
        <v>5683</v>
      </c>
      <c r="G8318" s="380" t="s">
        <v>1267</v>
      </c>
      <c r="H8318" s="380" t="s">
        <v>771</v>
      </c>
      <c r="I8318" s="380" t="s">
        <v>788</v>
      </c>
      <c r="J8318" s="380" t="s">
        <v>773</v>
      </c>
      <c r="K8318" s="381">
        <v>0.0</v>
      </c>
      <c r="L8318" s="382">
        <v>1.0</v>
      </c>
    </row>
    <row r="8319">
      <c r="A8319" s="380" t="s">
        <v>9193</v>
      </c>
      <c r="B8319" s="380" t="str">
        <f>IFERROR(__xludf.DUMMYFUNCTION("""COMPUTED_VALUE"""),"Reten Spedd Difer Del Eagle 2589851C91")</f>
        <v>Reten Spedd Difer Del Eagle 2589851C91</v>
      </c>
      <c r="C8319" s="380" t="str">
        <f>IFERROR(__xludf.DUMMYFUNCTION("""COMPUTED_VALUE"""),"70003738")</f>
        <v>70003738</v>
      </c>
      <c r="D8319" s="380" t="s">
        <v>767</v>
      </c>
      <c r="E8319" s="380" t="s">
        <v>786</v>
      </c>
      <c r="F8319" s="380" t="s">
        <v>5683</v>
      </c>
      <c r="G8319" s="380" t="s">
        <v>1267</v>
      </c>
      <c r="H8319" s="380" t="s">
        <v>771</v>
      </c>
      <c r="I8319" s="380" t="s">
        <v>788</v>
      </c>
      <c r="J8319" s="380" t="s">
        <v>773</v>
      </c>
      <c r="K8319" s="381">
        <v>0.0</v>
      </c>
      <c r="L8319" s="382">
        <v>1.0</v>
      </c>
    </row>
    <row r="8320">
      <c r="A8320" s="380" t="s">
        <v>9194</v>
      </c>
      <c r="B8320" s="380" t="str">
        <f>IFERROR(__xludf.DUMMYFUNCTION("""COMPUTED_VALUE"""),"Diferencial 8x41 Nkr Rewar 8980151390")</f>
        <v>Diferencial 8x41 Nkr Rewar 8980151390</v>
      </c>
      <c r="C8320" s="380" t="str">
        <f>IFERROR(__xludf.DUMMYFUNCTION("""COMPUTED_VALUE"""),"70003739")</f>
        <v>70003739</v>
      </c>
      <c r="D8320" s="380" t="s">
        <v>767</v>
      </c>
      <c r="E8320" s="380" t="s">
        <v>786</v>
      </c>
      <c r="F8320" s="380" t="s">
        <v>5683</v>
      </c>
      <c r="G8320" s="380" t="s">
        <v>1267</v>
      </c>
      <c r="H8320" s="380" t="s">
        <v>771</v>
      </c>
      <c r="I8320" s="380" t="s">
        <v>788</v>
      </c>
      <c r="J8320" s="380" t="s">
        <v>773</v>
      </c>
      <c r="K8320" s="381">
        <v>0.0</v>
      </c>
      <c r="L8320" s="382">
        <v>1.0</v>
      </c>
    </row>
    <row r="8321">
      <c r="A8321" s="380" t="s">
        <v>9195</v>
      </c>
      <c r="B8321" s="380" t="str">
        <f>IFERROR(__xludf.DUMMYFUNCTION("""COMPUTED_VALUE"""),"Caucho Cardan Jack 1120 ZF0196")</f>
        <v>Caucho Cardan Jack 1120 ZF0196</v>
      </c>
      <c r="C8321" s="380" t="str">
        <f>IFERROR(__xludf.DUMMYFUNCTION("""COMPUTED_VALUE"""),"70003740")</f>
        <v>70003740</v>
      </c>
      <c r="D8321" s="380" t="s">
        <v>767</v>
      </c>
      <c r="E8321" s="380" t="s">
        <v>786</v>
      </c>
      <c r="F8321" s="380" t="s">
        <v>5683</v>
      </c>
      <c r="G8321" s="380" t="s">
        <v>1267</v>
      </c>
      <c r="H8321" s="380" t="s">
        <v>771</v>
      </c>
      <c r="I8321" s="380" t="s">
        <v>788</v>
      </c>
      <c r="J8321" s="380" t="s">
        <v>773</v>
      </c>
      <c r="K8321" s="381">
        <v>0.0</v>
      </c>
      <c r="L8321" s="382">
        <v>1.0</v>
      </c>
    </row>
    <row r="8322">
      <c r="A8322" s="380" t="s">
        <v>9196</v>
      </c>
      <c r="B8322" s="380" t="str">
        <f>IFERROR(__xludf.DUMMYFUNCTION("""COMPUTED_VALUE"""),"Diferen Complet Foton BJ1039 5946305181")</f>
        <v>Diferen Complet Foton BJ1039 5946305181</v>
      </c>
      <c r="C8322" s="380" t="str">
        <f>IFERROR(__xludf.DUMMYFUNCTION("""COMPUTED_VALUE"""),"70003741")</f>
        <v>70003741</v>
      </c>
      <c r="D8322" s="380" t="s">
        <v>767</v>
      </c>
      <c r="E8322" s="380" t="s">
        <v>786</v>
      </c>
      <c r="F8322" s="380" t="s">
        <v>5683</v>
      </c>
      <c r="G8322" s="380" t="s">
        <v>1267</v>
      </c>
      <c r="H8322" s="380" t="s">
        <v>771</v>
      </c>
      <c r="I8322" s="380" t="s">
        <v>788</v>
      </c>
      <c r="J8322" s="380" t="s">
        <v>773</v>
      </c>
      <c r="K8322" s="381">
        <v>0.0</v>
      </c>
      <c r="L8322" s="382">
        <v>1.0</v>
      </c>
    </row>
    <row r="8323">
      <c r="A8323" s="380" t="s">
        <v>9197</v>
      </c>
      <c r="B8323" s="380" t="str">
        <f>IFERROR(__xludf.DUMMYFUNCTION("""COMPUTED_VALUE"""),"Cruceta Cardan Jack 1120 UW41118PH")</f>
        <v>Cruceta Cardan Jack 1120 UW41118PH</v>
      </c>
      <c r="C8323" s="380" t="str">
        <f>IFERROR(__xludf.DUMMYFUNCTION("""COMPUTED_VALUE"""),"70003742")</f>
        <v>70003742</v>
      </c>
      <c r="D8323" s="380" t="s">
        <v>767</v>
      </c>
      <c r="E8323" s="380" t="s">
        <v>786</v>
      </c>
      <c r="F8323" s="380" t="s">
        <v>5683</v>
      </c>
      <c r="G8323" s="380" t="s">
        <v>1267</v>
      </c>
      <c r="H8323" s="380" t="s">
        <v>771</v>
      </c>
      <c r="I8323" s="380" t="s">
        <v>788</v>
      </c>
      <c r="J8323" s="380" t="s">
        <v>773</v>
      </c>
      <c r="K8323" s="381">
        <v>0.0</v>
      </c>
      <c r="L8323" s="382">
        <v>1.0</v>
      </c>
    </row>
    <row r="8324">
      <c r="A8324" s="380" t="s">
        <v>9198</v>
      </c>
      <c r="B8324" s="380" t="str">
        <f>IFERROR(__xludf.DUMMYFUNCTION("""COMPUTED_VALUE"""),"Tapa Graser Eje Con Empaq Trailer Alumin")</f>
        <v>Tapa Graser Eje Con Empaq Trailer Alumin</v>
      </c>
      <c r="C8324" s="380" t="str">
        <f>IFERROR(__xludf.DUMMYFUNCTION("""COMPUTED_VALUE"""),"70003743")</f>
        <v>70003743</v>
      </c>
      <c r="D8324" s="380" t="s">
        <v>767</v>
      </c>
      <c r="E8324" s="380" t="s">
        <v>786</v>
      </c>
      <c r="F8324" s="380" t="s">
        <v>5683</v>
      </c>
      <c r="G8324" s="380" t="s">
        <v>1267</v>
      </c>
      <c r="H8324" s="380" t="s">
        <v>771</v>
      </c>
      <c r="I8324" s="380" t="s">
        <v>788</v>
      </c>
      <c r="J8324" s="380" t="s">
        <v>773</v>
      </c>
      <c r="K8324" s="381">
        <v>0.0</v>
      </c>
      <c r="L8324" s="382">
        <v>1.0</v>
      </c>
    </row>
    <row r="8325">
      <c r="A8325" s="380" t="s">
        <v>9199</v>
      </c>
      <c r="B8325" s="380" t="str">
        <f>IFERROR(__xludf.DUMMYFUNCTION("""COMPUTED_VALUE"""),"Kit Sopor Cardan Foton BJ1120 1023109178")</f>
        <v>Kit Sopor Cardan Foton BJ1120 1023109178</v>
      </c>
      <c r="C8325" s="380" t="str">
        <f>IFERROR(__xludf.DUMMYFUNCTION("""COMPUTED_VALUE"""),"70003744")</f>
        <v>70003744</v>
      </c>
      <c r="D8325" s="380" t="s">
        <v>767</v>
      </c>
      <c r="E8325" s="380" t="s">
        <v>786</v>
      </c>
      <c r="F8325" s="380" t="s">
        <v>5683</v>
      </c>
      <c r="G8325" s="380" t="s">
        <v>1267</v>
      </c>
      <c r="H8325" s="380" t="s">
        <v>771</v>
      </c>
      <c r="I8325" s="380" t="s">
        <v>788</v>
      </c>
      <c r="J8325" s="380" t="s">
        <v>773</v>
      </c>
      <c r="K8325" s="381">
        <v>0.0</v>
      </c>
      <c r="L8325" s="382">
        <v>1.0</v>
      </c>
    </row>
    <row r="8326">
      <c r="A8326" s="380" t="s">
        <v>9200</v>
      </c>
      <c r="B8326" s="380" t="str">
        <f>IFERROR(__xludf.DUMMYFUNCTION("""COMPUTED_VALUE"""),"Cruce Card 41x118 Fot BJ1120 1023110105")</f>
        <v>Cruce Card 41x118 Fot BJ1120 1023110105</v>
      </c>
      <c r="C8326" s="380" t="str">
        <f>IFERROR(__xludf.DUMMYFUNCTION("""COMPUTED_VALUE"""),"70003745")</f>
        <v>70003745</v>
      </c>
      <c r="D8326" s="380" t="s">
        <v>767</v>
      </c>
      <c r="E8326" s="380" t="s">
        <v>786</v>
      </c>
      <c r="F8326" s="380" t="s">
        <v>5683</v>
      </c>
      <c r="G8326" s="380" t="s">
        <v>1267</v>
      </c>
      <c r="H8326" s="380" t="s">
        <v>771</v>
      </c>
      <c r="I8326" s="380" t="s">
        <v>788</v>
      </c>
      <c r="J8326" s="380" t="s">
        <v>773</v>
      </c>
      <c r="K8326" s="381">
        <v>0.0</v>
      </c>
      <c r="L8326" s="382">
        <v>1.0</v>
      </c>
    </row>
    <row r="8327">
      <c r="A8327" s="380" t="s">
        <v>9201</v>
      </c>
      <c r="B8327" s="380" t="str">
        <f>IFERROR(__xludf.DUMMYFUNCTION("""COMPUTED_VALUE"""),"Imanes De Diferen Caja 16918 Eagle 14373")</f>
        <v>Imanes De Diferen Caja 16918 Eagle 14373</v>
      </c>
      <c r="C8327" s="380" t="str">
        <f>IFERROR(__xludf.DUMMYFUNCTION("""COMPUTED_VALUE"""),"70003746")</f>
        <v>70003746</v>
      </c>
      <c r="D8327" s="380" t="s">
        <v>767</v>
      </c>
      <c r="E8327" s="380" t="s">
        <v>786</v>
      </c>
      <c r="F8327" s="380" t="s">
        <v>5683</v>
      </c>
      <c r="G8327" s="380" t="s">
        <v>1267</v>
      </c>
      <c r="H8327" s="380" t="s">
        <v>771</v>
      </c>
      <c r="I8327" s="380" t="s">
        <v>788</v>
      </c>
      <c r="J8327" s="380" t="s">
        <v>773</v>
      </c>
      <c r="K8327" s="381">
        <v>0.0</v>
      </c>
      <c r="L8327" s="382">
        <v>1.0</v>
      </c>
    </row>
    <row r="8328">
      <c r="A8328" s="380" t="s">
        <v>9202</v>
      </c>
      <c r="B8328" s="380" t="str">
        <f>IFERROR(__xludf.DUMMYFUNCTION("""COMPUTED_VALUE"""),"Card Yok Corto Del Serie 1810 429DTA0670")</f>
        <v>Card Yok Corto Del Serie 1810 429DTA0670</v>
      </c>
      <c r="C8328" s="380" t="str">
        <f>IFERROR(__xludf.DUMMYFUNCTION("""COMPUTED_VALUE"""),"70003747")</f>
        <v>70003747</v>
      </c>
      <c r="D8328" s="380" t="s">
        <v>767</v>
      </c>
      <c r="E8328" s="380" t="s">
        <v>786</v>
      </c>
      <c r="F8328" s="380" t="s">
        <v>5683</v>
      </c>
      <c r="G8328" s="380" t="s">
        <v>1267</v>
      </c>
      <c r="H8328" s="380" t="s">
        <v>771</v>
      </c>
      <c r="I8328" s="380" t="s">
        <v>788</v>
      </c>
      <c r="J8328" s="380" t="s">
        <v>773</v>
      </c>
      <c r="K8328" s="381">
        <v>0.0</v>
      </c>
      <c r="L8328" s="382">
        <v>1.0</v>
      </c>
    </row>
    <row r="8329">
      <c r="A8329" s="380" t="s">
        <v>9203</v>
      </c>
      <c r="B8329" s="380" t="str">
        <f>IFERROR(__xludf.DUMMYFUNCTION("""COMPUTED_VALUE"""),"Caracaz Caja Cambios FotonMV5 1023485173")</f>
        <v>Caracaz Caja Cambios FotonMV5 1023485173</v>
      </c>
      <c r="C8329" s="380" t="str">
        <f>IFERROR(__xludf.DUMMYFUNCTION("""COMPUTED_VALUE"""),"70003748")</f>
        <v>70003748</v>
      </c>
      <c r="D8329" s="380" t="s">
        <v>767</v>
      </c>
      <c r="E8329" s="380" t="s">
        <v>786</v>
      </c>
      <c r="F8329" s="380" t="s">
        <v>5683</v>
      </c>
      <c r="G8329" s="380" t="s">
        <v>1267</v>
      </c>
      <c r="H8329" s="380" t="s">
        <v>771</v>
      </c>
      <c r="I8329" s="380" t="s">
        <v>788</v>
      </c>
      <c r="J8329" s="380" t="s">
        <v>773</v>
      </c>
      <c r="K8329" s="381">
        <v>0.0</v>
      </c>
      <c r="L8329" s="382">
        <v>1.0</v>
      </c>
    </row>
    <row r="8330">
      <c r="A8330" s="380" t="s">
        <v>9204</v>
      </c>
      <c r="B8330" s="380" t="str">
        <f>IFERROR(__xludf.DUMMYFUNCTION("""COMPUTED_VALUE"""),"Corona Y Speed Del 10x43 Eagle A398801")</f>
        <v>Corona Y Speed Del 10x43 Eagle A398801</v>
      </c>
      <c r="C8330" s="380" t="str">
        <f>IFERROR(__xludf.DUMMYFUNCTION("""COMPUTED_VALUE"""),"70003749")</f>
        <v>70003749</v>
      </c>
      <c r="D8330" s="380" t="s">
        <v>767</v>
      </c>
      <c r="E8330" s="380" t="s">
        <v>786</v>
      </c>
      <c r="F8330" s="380" t="s">
        <v>5683</v>
      </c>
      <c r="G8330" s="380" t="s">
        <v>1267</v>
      </c>
      <c r="H8330" s="380" t="s">
        <v>771</v>
      </c>
      <c r="I8330" s="380" t="s">
        <v>788</v>
      </c>
      <c r="J8330" s="380" t="s">
        <v>773</v>
      </c>
      <c r="K8330" s="381">
        <v>0.0</v>
      </c>
      <c r="L8330" s="382">
        <v>1.0</v>
      </c>
    </row>
    <row r="8331">
      <c r="A8331" s="380" t="s">
        <v>9205</v>
      </c>
      <c r="B8331" s="380" t="str">
        <f>IFERROR(__xludf.DUMMYFUNCTION("""COMPUTED_VALUE"""),"Piñon Speed Rockewell Del Isx 3892U4909")</f>
        <v>Piñon Speed Rockewell Del Isx 3892U4909</v>
      </c>
      <c r="C8331" s="380" t="str">
        <f>IFERROR(__xludf.DUMMYFUNCTION("""COMPUTED_VALUE"""),"70003750")</f>
        <v>70003750</v>
      </c>
      <c r="D8331" s="380" t="s">
        <v>767</v>
      </c>
      <c r="E8331" s="380" t="s">
        <v>786</v>
      </c>
      <c r="F8331" s="380" t="s">
        <v>5683</v>
      </c>
      <c r="G8331" s="380" t="s">
        <v>1267</v>
      </c>
      <c r="H8331" s="380" t="s">
        <v>771</v>
      </c>
      <c r="I8331" s="380" t="s">
        <v>788</v>
      </c>
      <c r="J8331" s="380" t="s">
        <v>773</v>
      </c>
      <c r="K8331" s="381">
        <v>0.0</v>
      </c>
      <c r="L8331" s="382">
        <v>1.0</v>
      </c>
    </row>
    <row r="8332">
      <c r="A8332" s="380" t="s">
        <v>9206</v>
      </c>
      <c r="B8332" s="380" t="str">
        <f>IFERROR(__xludf.DUMMYFUNCTION("""COMPUTED_VALUE"""),"Cruceta Escuali Difer Nkr Rew 5415210080")</f>
        <v>Cruceta Escuali Difer Nkr Rew 5415210080</v>
      </c>
      <c r="C8332" s="380" t="str">
        <f>IFERROR(__xludf.DUMMYFUNCTION("""COMPUTED_VALUE"""),"70003751")</f>
        <v>70003751</v>
      </c>
      <c r="D8332" s="380" t="s">
        <v>767</v>
      </c>
      <c r="E8332" s="380" t="s">
        <v>786</v>
      </c>
      <c r="F8332" s="380" t="s">
        <v>5683</v>
      </c>
      <c r="G8332" s="380" t="s">
        <v>1267</v>
      </c>
      <c r="H8332" s="380" t="s">
        <v>771</v>
      </c>
      <c r="I8332" s="380" t="s">
        <v>788</v>
      </c>
      <c r="J8332" s="380" t="s">
        <v>773</v>
      </c>
      <c r="K8332" s="381">
        <v>0.0</v>
      </c>
      <c r="L8332" s="382">
        <v>1.0</v>
      </c>
    </row>
    <row r="8333">
      <c r="A8333" s="380" t="s">
        <v>9207</v>
      </c>
      <c r="B8333" s="380" t="str">
        <f>IFERROR(__xludf.DUMMYFUNCTION("""COMPUTED_VALUE"""),"Diferenc Tras Comple Nkr Rewar8972112370")</f>
        <v>Diferenc Tras Comple Nkr Rewar8972112370</v>
      </c>
      <c r="C8333" s="380" t="str">
        <f>IFERROR(__xludf.DUMMYFUNCTION("""COMPUTED_VALUE"""),"70003752")</f>
        <v>70003752</v>
      </c>
      <c r="D8333" s="380" t="s">
        <v>767</v>
      </c>
      <c r="E8333" s="380" t="s">
        <v>786</v>
      </c>
      <c r="F8333" s="380" t="s">
        <v>5683</v>
      </c>
      <c r="G8333" s="380" t="s">
        <v>1267</v>
      </c>
      <c r="H8333" s="380" t="s">
        <v>771</v>
      </c>
      <c r="I8333" s="380" t="s">
        <v>788</v>
      </c>
      <c r="J8333" s="380" t="s">
        <v>773</v>
      </c>
      <c r="K8333" s="381">
        <v>0.0</v>
      </c>
      <c r="L8333" s="382">
        <v>1.0</v>
      </c>
    </row>
    <row r="8334">
      <c r="A8334" s="380" t="s">
        <v>9208</v>
      </c>
      <c r="B8334" s="380" t="str">
        <f>IFERROR(__xludf.DUMMYFUNCTION("""COMPUTED_VALUE"""),"Juego Lainas Nkr")</f>
        <v>Juego Lainas Nkr</v>
      </c>
      <c r="C8334" s="380" t="str">
        <f>IFERROR(__xludf.DUMMYFUNCTION("""COMPUTED_VALUE"""),"70003753")</f>
        <v>70003753</v>
      </c>
      <c r="D8334" s="380" t="s">
        <v>767</v>
      </c>
      <c r="E8334" s="380" t="s">
        <v>786</v>
      </c>
      <c r="F8334" s="380" t="s">
        <v>5683</v>
      </c>
      <c r="G8334" s="380" t="s">
        <v>1267</v>
      </c>
      <c r="H8334" s="380" t="s">
        <v>771</v>
      </c>
      <c r="I8334" s="380" t="s">
        <v>788</v>
      </c>
      <c r="J8334" s="380" t="s">
        <v>773</v>
      </c>
      <c r="K8334" s="381">
        <v>0.0</v>
      </c>
      <c r="L8334" s="382">
        <v>1.0</v>
      </c>
    </row>
    <row r="8335">
      <c r="A8335" s="380" t="s">
        <v>9209</v>
      </c>
      <c r="B8335" s="380" t="str">
        <f>IFERROR(__xludf.DUMMYFUNCTION("""COMPUTED_VALUE"""),"Separador Diferencial Eagle 93600502")</f>
        <v>Separador Diferencial Eagle 93600502</v>
      </c>
      <c r="C8335" s="380" t="str">
        <f>IFERROR(__xludf.DUMMYFUNCTION("""COMPUTED_VALUE"""),"70003754")</f>
        <v>70003754</v>
      </c>
      <c r="D8335" s="380" t="s">
        <v>767</v>
      </c>
      <c r="E8335" s="380" t="s">
        <v>786</v>
      </c>
      <c r="F8335" s="380" t="s">
        <v>5683</v>
      </c>
      <c r="G8335" s="380" t="s">
        <v>1267</v>
      </c>
      <c r="H8335" s="380" t="s">
        <v>771</v>
      </c>
      <c r="I8335" s="380" t="s">
        <v>788</v>
      </c>
      <c r="J8335" s="380" t="s">
        <v>773</v>
      </c>
      <c r="K8335" s="381">
        <v>0.0</v>
      </c>
      <c r="L8335" s="382">
        <v>1.0</v>
      </c>
    </row>
    <row r="8336">
      <c r="A8336" s="380" t="s">
        <v>9210</v>
      </c>
      <c r="B8336" s="380" t="str">
        <f>IFERROR(__xludf.DUMMYFUNCTION("""COMPUTED_VALUE"""),"Separador Diferencial Eagle 93600498")</f>
        <v>Separador Diferencial Eagle 93600498</v>
      </c>
      <c r="C8336" s="380" t="str">
        <f>IFERROR(__xludf.DUMMYFUNCTION("""COMPUTED_VALUE"""),"70003755")</f>
        <v>70003755</v>
      </c>
      <c r="D8336" s="380" t="s">
        <v>767</v>
      </c>
      <c r="E8336" s="380" t="s">
        <v>786</v>
      </c>
      <c r="F8336" s="380" t="s">
        <v>5683</v>
      </c>
      <c r="G8336" s="380" t="s">
        <v>1267</v>
      </c>
      <c r="H8336" s="380" t="s">
        <v>771</v>
      </c>
      <c r="I8336" s="380" t="s">
        <v>788</v>
      </c>
      <c r="J8336" s="380" t="s">
        <v>773</v>
      </c>
      <c r="K8336" s="381">
        <v>0.0</v>
      </c>
      <c r="L8336" s="382">
        <v>1.0</v>
      </c>
    </row>
    <row r="8337">
      <c r="A8337" s="380" t="s">
        <v>9211</v>
      </c>
      <c r="B8337" s="380" t="str">
        <f>IFERROR(__xludf.DUMMYFUNCTION("""COMPUTED_VALUE"""),"Separador Espaciador Nkr Rewar9412196031")</f>
        <v>Separador Espaciador Nkr Rewar9412196031</v>
      </c>
      <c r="C8337" s="380" t="str">
        <f>IFERROR(__xludf.DUMMYFUNCTION("""COMPUTED_VALUE"""),"70003756")</f>
        <v>70003756</v>
      </c>
      <c r="D8337" s="380" t="s">
        <v>767</v>
      </c>
      <c r="E8337" s="380" t="s">
        <v>786</v>
      </c>
      <c r="F8337" s="380" t="s">
        <v>5683</v>
      </c>
      <c r="G8337" s="380" t="s">
        <v>1267</v>
      </c>
      <c r="H8337" s="380" t="s">
        <v>771</v>
      </c>
      <c r="I8337" s="380" t="s">
        <v>788</v>
      </c>
      <c r="J8337" s="380" t="s">
        <v>773</v>
      </c>
      <c r="K8337" s="381">
        <v>0.0</v>
      </c>
      <c r="L8337" s="382">
        <v>1.0</v>
      </c>
    </row>
    <row r="8338">
      <c r="A8338" s="380" t="s">
        <v>9212</v>
      </c>
      <c r="B8338" s="380" t="str">
        <f>IFERROR(__xludf.DUMMYFUNCTION("""COMPUTED_VALUE"""),"Corona Y Speed 8x41 Nkr Rewar 8980920430")</f>
        <v>Corona Y Speed 8x41 Nkr Rewar 8980920430</v>
      </c>
      <c r="C8338" s="380" t="str">
        <f>IFERROR(__xludf.DUMMYFUNCTION("""COMPUTED_VALUE"""),"70003757")</f>
        <v>70003757</v>
      </c>
      <c r="D8338" s="380" t="s">
        <v>767</v>
      </c>
      <c r="E8338" s="380" t="s">
        <v>786</v>
      </c>
      <c r="F8338" s="380" t="s">
        <v>5683</v>
      </c>
      <c r="G8338" s="380" t="s">
        <v>1267</v>
      </c>
      <c r="H8338" s="380" t="s">
        <v>771</v>
      </c>
      <c r="I8338" s="380" t="s">
        <v>788</v>
      </c>
      <c r="J8338" s="380" t="s">
        <v>773</v>
      </c>
      <c r="K8338" s="381">
        <v>0.0</v>
      </c>
      <c r="L8338" s="382">
        <v>1.0</v>
      </c>
    </row>
    <row r="8339">
      <c r="A8339" s="380" t="s">
        <v>9213</v>
      </c>
      <c r="B8339" s="380" t="str">
        <f>IFERROR(__xludf.DUMMYFUNCTION("""COMPUTED_VALUE"""),"Card Corto Com KW T800 SPL170 C17082001S")</f>
        <v>Card Corto Com KW T800 SPL170 C17082001S</v>
      </c>
      <c r="C8339" s="380" t="str">
        <f>IFERROR(__xludf.DUMMYFUNCTION("""COMPUTED_VALUE"""),"70003758")</f>
        <v>70003758</v>
      </c>
      <c r="D8339" s="380" t="s">
        <v>767</v>
      </c>
      <c r="E8339" s="380" t="s">
        <v>786</v>
      </c>
      <c r="F8339" s="380" t="s">
        <v>5683</v>
      </c>
      <c r="G8339" s="380" t="s">
        <v>1267</v>
      </c>
      <c r="H8339" s="380" t="s">
        <v>771</v>
      </c>
      <c r="I8339" s="380" t="s">
        <v>788</v>
      </c>
      <c r="J8339" s="380" t="s">
        <v>773</v>
      </c>
      <c r="K8339" s="381">
        <v>0.0</v>
      </c>
      <c r="L8339" s="382">
        <v>1.0</v>
      </c>
    </row>
    <row r="8340">
      <c r="A8340" s="380" t="s">
        <v>9214</v>
      </c>
      <c r="B8340" s="380" t="str">
        <f>IFERROR(__xludf.DUMMYFUNCTION("""COMPUTED_VALUE"""),"Arandela Ajuste Buje Eagle 90536006")</f>
        <v>Arandela Ajuste Buje Eagle 90536006</v>
      </c>
      <c r="C8340" s="380" t="str">
        <f>IFERROR(__xludf.DUMMYFUNCTION("""COMPUTED_VALUE"""),"70003759")</f>
        <v>70003759</v>
      </c>
      <c r="D8340" s="380" t="s">
        <v>767</v>
      </c>
      <c r="E8340" s="380" t="s">
        <v>786</v>
      </c>
      <c r="F8340" s="380" t="s">
        <v>5683</v>
      </c>
      <c r="G8340" s="380" t="s">
        <v>1267</v>
      </c>
      <c r="H8340" s="380" t="s">
        <v>771</v>
      </c>
      <c r="I8340" s="380" t="s">
        <v>788</v>
      </c>
      <c r="J8340" s="380" t="s">
        <v>773</v>
      </c>
      <c r="K8340" s="381">
        <v>0.0</v>
      </c>
      <c r="L8340" s="382">
        <v>1.0</v>
      </c>
    </row>
    <row r="8341">
      <c r="A8341" s="380" t="s">
        <v>9215</v>
      </c>
      <c r="B8341" s="380" t="str">
        <f>IFERROR(__xludf.DUMMYFUNCTION("""COMPUTED_VALUE"""),"Arandela Ajuste Cuadrante Eagle 93600533")</f>
        <v>Arandela Ajuste Cuadrante Eagle 93600533</v>
      </c>
      <c r="C8341" s="380" t="str">
        <f>IFERROR(__xludf.DUMMYFUNCTION("""COMPUTED_VALUE"""),"70003760")</f>
        <v>70003760</v>
      </c>
      <c r="D8341" s="380" t="s">
        <v>767</v>
      </c>
      <c r="E8341" s="380" t="s">
        <v>786</v>
      </c>
      <c r="F8341" s="380" t="s">
        <v>5683</v>
      </c>
      <c r="G8341" s="380" t="s">
        <v>1267</v>
      </c>
      <c r="H8341" s="380" t="s">
        <v>771</v>
      </c>
      <c r="I8341" s="380" t="s">
        <v>788</v>
      </c>
      <c r="J8341" s="380" t="s">
        <v>773</v>
      </c>
      <c r="K8341" s="381">
        <v>0.0</v>
      </c>
      <c r="L8341" s="382">
        <v>1.0</v>
      </c>
    </row>
    <row r="8342">
      <c r="A8342" s="380" t="s">
        <v>9216</v>
      </c>
      <c r="B8342" s="380" t="str">
        <f>IFERROR(__xludf.DUMMYFUNCTION("""COMPUTED_VALUE"""),"Horquilla De 1 Y 2 Foton MV5 1023484893")</f>
        <v>Horquilla De 1 Y 2 Foton MV5 1023484893</v>
      </c>
      <c r="C8342" s="380" t="str">
        <f>IFERROR(__xludf.DUMMYFUNCTION("""COMPUTED_VALUE"""),"70003761")</f>
        <v>70003761</v>
      </c>
      <c r="D8342" s="380" t="s">
        <v>767</v>
      </c>
      <c r="E8342" s="380" t="s">
        <v>786</v>
      </c>
      <c r="F8342" s="380" t="s">
        <v>5683</v>
      </c>
      <c r="G8342" s="380" t="s">
        <v>1267</v>
      </c>
      <c r="H8342" s="380" t="s">
        <v>771</v>
      </c>
      <c r="I8342" s="380" t="s">
        <v>788</v>
      </c>
      <c r="J8342" s="380" t="s">
        <v>773</v>
      </c>
      <c r="K8342" s="381">
        <v>0.0</v>
      </c>
      <c r="L8342" s="382">
        <v>1.0</v>
      </c>
    </row>
    <row r="8343">
      <c r="A8343" s="380" t="s">
        <v>9217</v>
      </c>
      <c r="B8343" s="380" t="str">
        <f>IFERROR(__xludf.DUMMYFUNCTION("""COMPUTED_VALUE"""),"Piñon Neutro Rev Foton MV5 1023485494")</f>
        <v>Piñon Neutro Rev Foton MV5 1023485494</v>
      </c>
      <c r="C8343" s="380" t="str">
        <f>IFERROR(__xludf.DUMMYFUNCTION("""COMPUTED_VALUE"""),"70003762")</f>
        <v>70003762</v>
      </c>
      <c r="D8343" s="380" t="s">
        <v>767</v>
      </c>
      <c r="E8343" s="380" t="s">
        <v>786</v>
      </c>
      <c r="F8343" s="380" t="s">
        <v>5683</v>
      </c>
      <c r="G8343" s="380" t="s">
        <v>1267</v>
      </c>
      <c r="H8343" s="380" t="s">
        <v>771</v>
      </c>
      <c r="I8343" s="380" t="s">
        <v>788</v>
      </c>
      <c r="J8343" s="380" t="s">
        <v>773</v>
      </c>
      <c r="K8343" s="381">
        <v>0.0</v>
      </c>
      <c r="L8343" s="382">
        <v>1.0</v>
      </c>
    </row>
    <row r="8344">
      <c r="A8344" s="380" t="s">
        <v>9218</v>
      </c>
      <c r="B8344" s="380" t="str">
        <f>IFERROR(__xludf.DUMMYFUNCTION("""COMPUTED_VALUE"""),"Enflanche Divis Tras 39 Estr KW 1704641")</f>
        <v>Enflanche Divis Tras 39 Estr KW 1704641</v>
      </c>
      <c r="C8344" s="380" t="str">
        <f>IFERROR(__xludf.DUMMYFUNCTION("""COMPUTED_VALUE"""),"70003763")</f>
        <v>70003763</v>
      </c>
      <c r="D8344" s="380" t="s">
        <v>767</v>
      </c>
      <c r="E8344" s="380" t="s">
        <v>786</v>
      </c>
      <c r="F8344" s="380" t="s">
        <v>5683</v>
      </c>
      <c r="G8344" s="380" t="s">
        <v>1267</v>
      </c>
      <c r="H8344" s="380" t="s">
        <v>771</v>
      </c>
      <c r="I8344" s="380" t="s">
        <v>788</v>
      </c>
      <c r="J8344" s="380" t="s">
        <v>773</v>
      </c>
      <c r="K8344" s="381">
        <v>0.0</v>
      </c>
      <c r="L8344" s="382">
        <v>1.0</v>
      </c>
    </row>
    <row r="8345">
      <c r="A8345" s="380" t="s">
        <v>9219</v>
      </c>
      <c r="B8345" s="380" t="str">
        <f>IFERROR(__xludf.DUMMYFUNCTION("""COMPUTED_VALUE"""),"Electrov Bajo Hi430-Prostar 2506711C91")</f>
        <v>Electrov Bajo Hi430-Prostar 2506711C91</v>
      </c>
      <c r="C8345" s="380" t="str">
        <f>IFERROR(__xludf.DUMMYFUNCTION("""COMPUTED_VALUE"""),"70003764")</f>
        <v>70003764</v>
      </c>
      <c r="D8345" s="380" t="s">
        <v>767</v>
      </c>
      <c r="E8345" s="380" t="s">
        <v>786</v>
      </c>
      <c r="F8345" s="380" t="s">
        <v>5683</v>
      </c>
      <c r="G8345" s="380" t="s">
        <v>1267</v>
      </c>
      <c r="H8345" s="380" t="s">
        <v>771</v>
      </c>
      <c r="I8345" s="380" t="s">
        <v>788</v>
      </c>
      <c r="J8345" s="380" t="s">
        <v>773</v>
      </c>
      <c r="K8345" s="381">
        <v>0.0</v>
      </c>
      <c r="L8345" s="382">
        <v>1.0</v>
      </c>
    </row>
    <row r="8346">
      <c r="A8346" s="380" t="s">
        <v>9220</v>
      </c>
      <c r="B8346" s="380" t="str">
        <f>IFERROR(__xludf.DUMMYFUNCTION("""COMPUTED_VALUE"""),"Horquilla Divisor 9400/98 3296B1328")</f>
        <v>Horquilla Divisor 9400/98 3296B1328</v>
      </c>
      <c r="C8346" s="380" t="str">
        <f>IFERROR(__xludf.DUMMYFUNCTION("""COMPUTED_VALUE"""),"70003765")</f>
        <v>70003765</v>
      </c>
      <c r="D8346" s="380" t="s">
        <v>767</v>
      </c>
      <c r="E8346" s="380" t="s">
        <v>786</v>
      </c>
      <c r="F8346" s="380" t="s">
        <v>5683</v>
      </c>
      <c r="G8346" s="380" t="s">
        <v>1267</v>
      </c>
      <c r="H8346" s="380" t="s">
        <v>771</v>
      </c>
      <c r="I8346" s="380" t="s">
        <v>788</v>
      </c>
      <c r="J8346" s="380" t="s">
        <v>773</v>
      </c>
      <c r="K8346" s="381">
        <v>0.0</v>
      </c>
      <c r="L8346" s="382">
        <v>1.0</v>
      </c>
    </row>
    <row r="8347">
      <c r="A8347" s="380" t="s">
        <v>9221</v>
      </c>
      <c r="B8347" s="380" t="str">
        <f>IFERROR(__xludf.DUMMYFUNCTION("""COMPUTED_VALUE"""),"Set Rodillo Eje Trailer Set415 HM-518445")</f>
        <v>Set Rodillo Eje Trailer Set415 HM-518445</v>
      </c>
      <c r="C8347" s="380" t="str">
        <f>IFERROR(__xludf.DUMMYFUNCTION("""COMPUTED_VALUE"""),"70003766")</f>
        <v>70003766</v>
      </c>
      <c r="D8347" s="380" t="s">
        <v>767</v>
      </c>
      <c r="E8347" s="380" t="s">
        <v>786</v>
      </c>
      <c r="F8347" s="380" t="s">
        <v>5683</v>
      </c>
      <c r="G8347" s="380" t="s">
        <v>1267</v>
      </c>
      <c r="H8347" s="380" t="s">
        <v>771</v>
      </c>
      <c r="I8347" s="380" t="s">
        <v>788</v>
      </c>
      <c r="J8347" s="380" t="s">
        <v>773</v>
      </c>
      <c r="K8347" s="381">
        <v>94443.0</v>
      </c>
      <c r="L8347" s="382">
        <v>1.0</v>
      </c>
    </row>
    <row r="8348">
      <c r="A8348" s="380" t="s">
        <v>9222</v>
      </c>
      <c r="B8348" s="380" t="str">
        <f>IFERROR(__xludf.DUMMYFUNCTION("""COMPUTED_VALUE"""),"Corona Y Spedd Tras 10x43 Eagle A398885")</f>
        <v>Corona Y Spedd Tras 10x43 Eagle A398885</v>
      </c>
      <c r="C8348" s="380" t="str">
        <f>IFERROR(__xludf.DUMMYFUNCTION("""COMPUTED_VALUE"""),"70003767")</f>
        <v>70003767</v>
      </c>
      <c r="D8348" s="380" t="s">
        <v>767</v>
      </c>
      <c r="E8348" s="380" t="s">
        <v>786</v>
      </c>
      <c r="F8348" s="380" t="s">
        <v>5683</v>
      </c>
      <c r="G8348" s="380" t="s">
        <v>1267</v>
      </c>
      <c r="H8348" s="380" t="s">
        <v>771</v>
      </c>
      <c r="I8348" s="380" t="s">
        <v>788</v>
      </c>
      <c r="J8348" s="380" t="s">
        <v>773</v>
      </c>
      <c r="K8348" s="381">
        <v>0.0</v>
      </c>
      <c r="L8348" s="382">
        <v>1.0</v>
      </c>
    </row>
    <row r="8349">
      <c r="A8349" s="380" t="s">
        <v>9223</v>
      </c>
      <c r="B8349" s="380" t="str">
        <f>IFERROR(__xludf.DUMMYFUNCTION("""COMPUTED_VALUE"""),"Tuerca Ajuste Chumacera Eagle 2214G112")</f>
        <v>Tuerca Ajuste Chumacera Eagle 2214G112</v>
      </c>
      <c r="C8349" s="380" t="str">
        <f>IFERROR(__xludf.DUMMYFUNCTION("""COMPUTED_VALUE"""),"70003768")</f>
        <v>70003768</v>
      </c>
      <c r="D8349" s="380" t="s">
        <v>767</v>
      </c>
      <c r="E8349" s="380" t="s">
        <v>786</v>
      </c>
      <c r="F8349" s="380" t="s">
        <v>5683</v>
      </c>
      <c r="G8349" s="380" t="s">
        <v>1267</v>
      </c>
      <c r="H8349" s="380" t="s">
        <v>771</v>
      </c>
      <c r="I8349" s="380" t="s">
        <v>788</v>
      </c>
      <c r="J8349" s="380" t="s">
        <v>773</v>
      </c>
      <c r="K8349" s="381">
        <v>0.0</v>
      </c>
      <c r="L8349" s="382">
        <v>1.0</v>
      </c>
    </row>
    <row r="8350">
      <c r="A8350" s="380" t="s">
        <v>9224</v>
      </c>
      <c r="B8350" s="380" t="str">
        <f>IFERROR(__xludf.DUMMYFUNCTION("""COMPUTED_VALUE"""),"Pin Rodillo Speed Eagle 46x1029")</f>
        <v>Pin Rodillo Speed Eagle 46x1029</v>
      </c>
      <c r="C8350" s="380" t="str">
        <f>IFERROR(__xludf.DUMMYFUNCTION("""COMPUTED_VALUE"""),"70003769")</f>
        <v>70003769</v>
      </c>
      <c r="D8350" s="380" t="s">
        <v>767</v>
      </c>
      <c r="E8350" s="380" t="s">
        <v>786</v>
      </c>
      <c r="F8350" s="380" t="s">
        <v>5683</v>
      </c>
      <c r="G8350" s="380" t="s">
        <v>1267</v>
      </c>
      <c r="H8350" s="380" t="s">
        <v>771</v>
      </c>
      <c r="I8350" s="380" t="s">
        <v>788</v>
      </c>
      <c r="J8350" s="380" t="s">
        <v>773</v>
      </c>
      <c r="K8350" s="381">
        <v>0.0</v>
      </c>
      <c r="L8350" s="382">
        <v>1.0</v>
      </c>
    </row>
    <row r="8351">
      <c r="A8351" s="380" t="s">
        <v>9225</v>
      </c>
      <c r="B8351" s="380" t="str">
        <f>IFERROR(__xludf.DUMMYFUNCTION("""COMPUTED_VALUE"""),"Soporte Cardan Volswagen 210391")</f>
        <v>Soporte Cardan Volswagen 210391</v>
      </c>
      <c r="C8351" s="380" t="str">
        <f>IFERROR(__xludf.DUMMYFUNCTION("""COMPUTED_VALUE"""),"70003770")</f>
        <v>70003770</v>
      </c>
      <c r="D8351" s="380" t="s">
        <v>767</v>
      </c>
      <c r="E8351" s="380" t="s">
        <v>786</v>
      </c>
      <c r="F8351" s="380" t="s">
        <v>5683</v>
      </c>
      <c r="G8351" s="380" t="s">
        <v>1267</v>
      </c>
      <c r="H8351" s="380" t="s">
        <v>771</v>
      </c>
      <c r="I8351" s="380" t="s">
        <v>788</v>
      </c>
      <c r="J8351" s="380" t="s">
        <v>773</v>
      </c>
      <c r="K8351" s="381">
        <v>0.0</v>
      </c>
      <c r="L8351" s="382">
        <v>1.0</v>
      </c>
    </row>
    <row r="8352">
      <c r="A8352" s="380" t="s">
        <v>9226</v>
      </c>
      <c r="B8352" s="380" t="str">
        <f>IFERROR(__xludf.DUMMYFUNCTION("""COMPUTED_VALUE"""),"Cruceta Cardan Volswagen 351")</f>
        <v>Cruceta Cardan Volswagen 351</v>
      </c>
      <c r="C8352" s="380" t="str">
        <f>IFERROR(__xludf.DUMMYFUNCTION("""COMPUTED_VALUE"""),"70003771")</f>
        <v>70003771</v>
      </c>
      <c r="D8352" s="380" t="s">
        <v>767</v>
      </c>
      <c r="E8352" s="380" t="s">
        <v>786</v>
      </c>
      <c r="F8352" s="380" t="s">
        <v>5683</v>
      </c>
      <c r="G8352" s="380" t="s">
        <v>1267</v>
      </c>
      <c r="H8352" s="380" t="s">
        <v>771</v>
      </c>
      <c r="I8352" s="380" t="s">
        <v>788</v>
      </c>
      <c r="J8352" s="380" t="s">
        <v>773</v>
      </c>
      <c r="K8352" s="381">
        <v>0.0</v>
      </c>
      <c r="L8352" s="382">
        <v>1.0</v>
      </c>
    </row>
    <row r="8353">
      <c r="A8353" s="380" t="s">
        <v>9227</v>
      </c>
      <c r="B8353" s="380" t="str">
        <f>IFERROR(__xludf.DUMMYFUNCTION("""COMPUTED_VALUE"""),"Botell Carda 34 Estr SPL170 Eagle1705521")</f>
        <v>Botell Carda 34 Estr SPL170 Eagle1705521</v>
      </c>
      <c r="C8353" s="380" t="str">
        <f>IFERROR(__xludf.DUMMYFUNCTION("""COMPUTED_VALUE"""),"70003772")</f>
        <v>70003772</v>
      </c>
      <c r="D8353" s="380" t="s">
        <v>767</v>
      </c>
      <c r="E8353" s="380" t="s">
        <v>786</v>
      </c>
      <c r="F8353" s="380" t="s">
        <v>5683</v>
      </c>
      <c r="G8353" s="380" t="s">
        <v>1267</v>
      </c>
      <c r="H8353" s="380" t="s">
        <v>771</v>
      </c>
      <c r="I8353" s="380" t="s">
        <v>788</v>
      </c>
      <c r="J8353" s="380" t="s">
        <v>773</v>
      </c>
      <c r="K8353" s="381">
        <v>0.0</v>
      </c>
      <c r="L8353" s="382">
        <v>1.0</v>
      </c>
    </row>
    <row r="8354">
      <c r="A8354" s="380" t="s">
        <v>9228</v>
      </c>
      <c r="B8354" s="380" t="str">
        <f>IFERROR(__xludf.DUMMYFUNCTION("""COMPUTED_VALUE"""),"Espig Cardan 34Estr SPL170 Eagle1708271X")</f>
        <v>Espig Cardan 34Estr SPL170 Eagle1708271X</v>
      </c>
      <c r="C8354" s="380" t="str">
        <f>IFERROR(__xludf.DUMMYFUNCTION("""COMPUTED_VALUE"""),"70003773")</f>
        <v>70003773</v>
      </c>
      <c r="D8354" s="380" t="s">
        <v>767</v>
      </c>
      <c r="E8354" s="380" t="s">
        <v>786</v>
      </c>
      <c r="F8354" s="380" t="s">
        <v>5683</v>
      </c>
      <c r="G8354" s="380" t="s">
        <v>1267</v>
      </c>
      <c r="H8354" s="380" t="s">
        <v>771</v>
      </c>
      <c r="I8354" s="380" t="s">
        <v>788</v>
      </c>
      <c r="J8354" s="380" t="s">
        <v>773</v>
      </c>
      <c r="K8354" s="381">
        <v>0.0</v>
      </c>
      <c r="L8354" s="382">
        <v>1.0</v>
      </c>
    </row>
    <row r="8355">
      <c r="A8355" s="380" t="s">
        <v>9229</v>
      </c>
      <c r="B8355" s="380" t="str">
        <f>IFERROR(__xludf.DUMMYFUNCTION("""COMPUTED_VALUE"""),"Corona Y Spedd De Nkr 7x43 8973201030")</f>
        <v>Corona Y Spedd De Nkr 7x43 8973201030</v>
      </c>
      <c r="C8355" s="380" t="str">
        <f>IFERROR(__xludf.DUMMYFUNCTION("""COMPUTED_VALUE"""),"70003774")</f>
        <v>70003774</v>
      </c>
      <c r="D8355" s="380" t="s">
        <v>767</v>
      </c>
      <c r="E8355" s="380" t="s">
        <v>786</v>
      </c>
      <c r="F8355" s="380" t="s">
        <v>5683</v>
      </c>
      <c r="G8355" s="380" t="s">
        <v>1267</v>
      </c>
      <c r="H8355" s="380" t="s">
        <v>771</v>
      </c>
      <c r="I8355" s="380" t="s">
        <v>788</v>
      </c>
      <c r="J8355" s="380" t="s">
        <v>773</v>
      </c>
      <c r="K8355" s="381">
        <v>0.0</v>
      </c>
      <c r="L8355" s="382">
        <v>1.0</v>
      </c>
    </row>
    <row r="8356">
      <c r="A8356" s="380" t="s">
        <v>9230</v>
      </c>
      <c r="B8356" s="380" t="str">
        <f>IFERROR(__xludf.DUMMYFUNCTION("""COMPUTED_VALUE"""),"Set Rodillo Lateral Nhr 32211")</f>
        <v>Set Rodillo Lateral Nhr 32211</v>
      </c>
      <c r="C8356" s="380" t="str">
        <f>IFERROR(__xludf.DUMMYFUNCTION("""COMPUTED_VALUE"""),"70003775")</f>
        <v>70003775</v>
      </c>
      <c r="D8356" s="380" t="s">
        <v>767</v>
      </c>
      <c r="E8356" s="380" t="s">
        <v>786</v>
      </c>
      <c r="F8356" s="380" t="s">
        <v>5683</v>
      </c>
      <c r="G8356" s="380" t="s">
        <v>1267</v>
      </c>
      <c r="H8356" s="380" t="s">
        <v>771</v>
      </c>
      <c r="I8356" s="380" t="s">
        <v>788</v>
      </c>
      <c r="J8356" s="380" t="s">
        <v>773</v>
      </c>
      <c r="K8356" s="381">
        <v>0.0</v>
      </c>
      <c r="L8356" s="382">
        <v>1.0</v>
      </c>
    </row>
    <row r="8357">
      <c r="A8357" s="380" t="s">
        <v>9231</v>
      </c>
      <c r="B8357" s="380" t="str">
        <f>IFERROR(__xludf.DUMMYFUNCTION("""COMPUTED_VALUE"""),"Set Rodillos Nhr 32308-JR")</f>
        <v>Set Rodillos Nhr 32308-JR</v>
      </c>
      <c r="C8357" s="380" t="str">
        <f>IFERROR(__xludf.DUMMYFUNCTION("""COMPUTED_VALUE"""),"70003776")</f>
        <v>70003776</v>
      </c>
      <c r="D8357" s="380" t="s">
        <v>767</v>
      </c>
      <c r="E8357" s="380" t="s">
        <v>786</v>
      </c>
      <c r="F8357" s="380" t="s">
        <v>5683</v>
      </c>
      <c r="G8357" s="380" t="s">
        <v>1267</v>
      </c>
      <c r="H8357" s="380" t="s">
        <v>771</v>
      </c>
      <c r="I8357" s="380" t="s">
        <v>788</v>
      </c>
      <c r="J8357" s="380" t="s">
        <v>773</v>
      </c>
      <c r="K8357" s="381">
        <v>0.0</v>
      </c>
      <c r="L8357" s="382">
        <v>1.0</v>
      </c>
    </row>
    <row r="8358">
      <c r="A8358" s="380" t="s">
        <v>9232</v>
      </c>
      <c r="B8358" s="380" t="str">
        <f>IFERROR(__xludf.DUMMYFUNCTION("""COMPUTED_VALUE"""),"Set Rodillos Speed Nhr TR 0608A")</f>
        <v>Set Rodillos Speed Nhr TR 0608A</v>
      </c>
      <c r="C8358" s="380" t="str">
        <f>IFERROR(__xludf.DUMMYFUNCTION("""COMPUTED_VALUE"""),"70003777")</f>
        <v>70003777</v>
      </c>
      <c r="D8358" s="380" t="s">
        <v>767</v>
      </c>
      <c r="E8358" s="380" t="s">
        <v>786</v>
      </c>
      <c r="F8358" s="380" t="s">
        <v>5683</v>
      </c>
      <c r="G8358" s="380" t="s">
        <v>1267</v>
      </c>
      <c r="H8358" s="380" t="s">
        <v>771</v>
      </c>
      <c r="I8358" s="380" t="s">
        <v>788</v>
      </c>
      <c r="J8358" s="380" t="s">
        <v>773</v>
      </c>
      <c r="K8358" s="381">
        <v>0.0</v>
      </c>
      <c r="L8358" s="382">
        <v>1.0</v>
      </c>
    </row>
    <row r="8359">
      <c r="A8359" s="380" t="s">
        <v>9233</v>
      </c>
      <c r="B8359" s="380" t="str">
        <f>IFERROR(__xludf.DUMMYFUNCTION("""COMPUTED_VALUE"""),"Oreja Cardan 71/2"" Eagle 6528117")</f>
        <v>Oreja Cardan 71/2" Eagle 6528117</v>
      </c>
      <c r="C8359" s="380" t="str">
        <f>IFERROR(__xludf.DUMMYFUNCTION("""COMPUTED_VALUE"""),"70003778")</f>
        <v>70003778</v>
      </c>
      <c r="D8359" s="380" t="s">
        <v>767</v>
      </c>
      <c r="E8359" s="380" t="s">
        <v>786</v>
      </c>
      <c r="F8359" s="380" t="s">
        <v>5683</v>
      </c>
      <c r="G8359" s="380" t="s">
        <v>1267</v>
      </c>
      <c r="H8359" s="380" t="s">
        <v>771</v>
      </c>
      <c r="I8359" s="380" t="s">
        <v>788</v>
      </c>
      <c r="J8359" s="380" t="s">
        <v>773</v>
      </c>
      <c r="K8359" s="381">
        <v>0.0</v>
      </c>
      <c r="L8359" s="382">
        <v>1.0</v>
      </c>
    </row>
    <row r="8360">
      <c r="A8360" s="380" t="s">
        <v>9234</v>
      </c>
      <c r="B8360" s="380" t="str">
        <f>IFERROR(__xludf.DUMMYFUNCTION("""COMPUTED_VALUE"""),"Arandela Cacho Direc Eagle 1663196C1")</f>
        <v>Arandela Cacho Direc Eagle 1663196C1</v>
      </c>
      <c r="C8360" s="380" t="str">
        <f>IFERROR(__xludf.DUMMYFUNCTION("""COMPUTED_VALUE"""),"70003779")</f>
        <v>70003779</v>
      </c>
      <c r="D8360" s="380" t="s">
        <v>767</v>
      </c>
      <c r="E8360" s="380" t="s">
        <v>786</v>
      </c>
      <c r="F8360" s="380" t="s">
        <v>1020</v>
      </c>
      <c r="G8360" s="380" t="s">
        <v>1267</v>
      </c>
      <c r="H8360" s="380" t="s">
        <v>771</v>
      </c>
      <c r="I8360" s="380" t="s">
        <v>788</v>
      </c>
      <c r="J8360" s="380" t="s">
        <v>773</v>
      </c>
      <c r="K8360" s="381">
        <v>0.0</v>
      </c>
      <c r="L8360" s="382">
        <v>1.0</v>
      </c>
    </row>
    <row r="8361">
      <c r="A8361" s="380" t="s">
        <v>9235</v>
      </c>
      <c r="B8361" s="380" t="str">
        <f>IFERROR(__xludf.DUMMYFUNCTION("""COMPUTED_VALUE"""),"Enfriador Caja Direc Prostar 2612040C91")</f>
        <v>Enfriador Caja Direc Prostar 2612040C91</v>
      </c>
      <c r="C8361" s="380" t="str">
        <f>IFERROR(__xludf.DUMMYFUNCTION("""COMPUTED_VALUE"""),"70003780")</f>
        <v>70003780</v>
      </c>
      <c r="D8361" s="380" t="s">
        <v>767</v>
      </c>
      <c r="E8361" s="380" t="s">
        <v>786</v>
      </c>
      <c r="F8361" s="380" t="s">
        <v>1020</v>
      </c>
      <c r="G8361" s="380" t="s">
        <v>1267</v>
      </c>
      <c r="H8361" s="380" t="s">
        <v>771</v>
      </c>
      <c r="I8361" s="380" t="s">
        <v>788</v>
      </c>
      <c r="J8361" s="380" t="s">
        <v>773</v>
      </c>
      <c r="K8361" s="381">
        <v>0.0</v>
      </c>
      <c r="L8361" s="382">
        <v>1.0</v>
      </c>
    </row>
    <row r="8362">
      <c r="A8362" s="380" t="s">
        <v>9236</v>
      </c>
      <c r="B8362" s="380" t="str">
        <f>IFERROR(__xludf.DUMMYFUNCTION("""COMPUTED_VALUE"""),"Cacho Direc Eje Der KWh 973280ETN")</f>
        <v>Cacho Direc Eje Der KWh 973280ETN</v>
      </c>
      <c r="C8362" s="380" t="str">
        <f>IFERROR(__xludf.DUMMYFUNCTION("""COMPUTED_VALUE"""),"70003781")</f>
        <v>70003781</v>
      </c>
      <c r="D8362" s="380" t="s">
        <v>767</v>
      </c>
      <c r="E8362" s="380" t="s">
        <v>786</v>
      </c>
      <c r="F8362" s="380" t="s">
        <v>1020</v>
      </c>
      <c r="G8362" s="380" t="s">
        <v>1267</v>
      </c>
      <c r="H8362" s="380" t="s">
        <v>771</v>
      </c>
      <c r="I8362" s="380" t="s">
        <v>788</v>
      </c>
      <c r="J8362" s="380" t="s">
        <v>773</v>
      </c>
      <c r="K8362" s="381">
        <v>0.0</v>
      </c>
      <c r="L8362" s="382">
        <v>1.0</v>
      </c>
    </row>
    <row r="8363">
      <c r="A8363" s="380" t="s">
        <v>9237</v>
      </c>
      <c r="B8363" s="380" t="str">
        <f>IFERROR(__xludf.DUMMYFUNCTION("""COMPUTED_VALUE"""),"Caña Direc Foton MV5 5946043151")</f>
        <v>Caña Direc Foton MV5 5946043151</v>
      </c>
      <c r="C8363" s="380" t="str">
        <f>IFERROR(__xludf.DUMMYFUNCTION("""COMPUTED_VALUE"""),"70003782")</f>
        <v>70003782</v>
      </c>
      <c r="D8363" s="380" t="s">
        <v>767</v>
      </c>
      <c r="E8363" s="380" t="s">
        <v>786</v>
      </c>
      <c r="F8363" s="380" t="s">
        <v>1020</v>
      </c>
      <c r="G8363" s="380" t="s">
        <v>1267</v>
      </c>
      <c r="H8363" s="380" t="s">
        <v>771</v>
      </c>
      <c r="I8363" s="380" t="s">
        <v>788</v>
      </c>
      <c r="J8363" s="380" t="s">
        <v>773</v>
      </c>
      <c r="K8363" s="381">
        <v>0.0</v>
      </c>
      <c r="L8363" s="382">
        <v>1.0</v>
      </c>
    </row>
    <row r="8364">
      <c r="A8364" s="380" t="s">
        <v>9238</v>
      </c>
      <c r="B8364" s="380" t="str">
        <f>IFERROR(__xludf.DUMMYFUNCTION("""COMPUTED_VALUE"""),"Tapas Complem Caucho Lado Izq KW 226351")</f>
        <v>Tapas Complem Caucho Lado Izq KW 226351</v>
      </c>
      <c r="C8364" s="380" t="str">
        <f>IFERROR(__xludf.DUMMYFUNCTION("""COMPUTED_VALUE"""),"70003783")</f>
        <v>70003783</v>
      </c>
      <c r="D8364" s="380" t="s">
        <v>767</v>
      </c>
      <c r="E8364" s="380" t="s">
        <v>786</v>
      </c>
      <c r="F8364" s="380" t="s">
        <v>1020</v>
      </c>
      <c r="G8364" s="380" t="s">
        <v>1267</v>
      </c>
      <c r="H8364" s="380" t="s">
        <v>771</v>
      </c>
      <c r="I8364" s="380" t="s">
        <v>788</v>
      </c>
      <c r="J8364" s="380" t="s">
        <v>773</v>
      </c>
      <c r="K8364" s="381">
        <v>0.0</v>
      </c>
      <c r="L8364" s="382">
        <v>1.0</v>
      </c>
    </row>
    <row r="8365">
      <c r="A8365" s="380" t="s">
        <v>9239</v>
      </c>
      <c r="B8365" s="380" t="str">
        <f>IFERROR(__xludf.DUMMYFUNCTION("""COMPUTED_VALUE"""),"Cacho Direc Lado Izq KW T800 5219176")</f>
        <v>Cacho Direc Lado Izq KW T800 5219176</v>
      </c>
      <c r="C8365" s="380" t="str">
        <f>IFERROR(__xludf.DUMMYFUNCTION("""COMPUTED_VALUE"""),"70003784")</f>
        <v>70003784</v>
      </c>
      <c r="D8365" s="380" t="s">
        <v>767</v>
      </c>
      <c r="E8365" s="380" t="s">
        <v>786</v>
      </c>
      <c r="F8365" s="380" t="s">
        <v>1020</v>
      </c>
      <c r="G8365" s="380" t="s">
        <v>1267</v>
      </c>
      <c r="H8365" s="380" t="s">
        <v>771</v>
      </c>
      <c r="I8365" s="380" t="s">
        <v>788</v>
      </c>
      <c r="J8365" s="380" t="s">
        <v>773</v>
      </c>
      <c r="K8365" s="381">
        <v>0.0</v>
      </c>
      <c r="L8365" s="382">
        <v>1.0</v>
      </c>
    </row>
    <row r="8366">
      <c r="A8366" s="380" t="s">
        <v>9240</v>
      </c>
      <c r="B8366" s="380" t="str">
        <f>IFERROR(__xludf.DUMMYFUNCTION("""COMPUTED_VALUE"""),"Terminal Barra Direc Larga FRT411R H")</f>
        <v>Terminal Barra Direc Larga FRT411R H</v>
      </c>
      <c r="C8366" s="380" t="str">
        <f>IFERROR(__xludf.DUMMYFUNCTION("""COMPUTED_VALUE"""),"70003785")</f>
        <v>70003785</v>
      </c>
      <c r="D8366" s="380" t="s">
        <v>767</v>
      </c>
      <c r="E8366" s="380" t="s">
        <v>786</v>
      </c>
      <c r="F8366" s="380" t="s">
        <v>1020</v>
      </c>
      <c r="G8366" s="380" t="s">
        <v>1267</v>
      </c>
      <c r="H8366" s="380" t="s">
        <v>771</v>
      </c>
      <c r="I8366" s="380" t="s">
        <v>788</v>
      </c>
      <c r="J8366" s="380" t="s">
        <v>773</v>
      </c>
      <c r="K8366" s="381">
        <v>0.0</v>
      </c>
      <c r="L8366" s="382">
        <v>1.0</v>
      </c>
    </row>
    <row r="8367">
      <c r="A8367" s="380" t="s">
        <v>9241</v>
      </c>
      <c r="B8367" s="380" t="str">
        <f>IFERROR(__xludf.DUMMYFUNCTION("""COMPUTED_VALUE"""),"Terminal Barra Tensora 44697")</f>
        <v>Terminal Barra Tensora 44697</v>
      </c>
      <c r="C8367" s="380" t="str">
        <f>IFERROR(__xludf.DUMMYFUNCTION("""COMPUTED_VALUE"""),"70003786")</f>
        <v>70003786</v>
      </c>
      <c r="D8367" s="380" t="s">
        <v>767</v>
      </c>
      <c r="E8367" s="380" t="s">
        <v>786</v>
      </c>
      <c r="F8367" s="380" t="s">
        <v>1020</v>
      </c>
      <c r="G8367" s="380" t="s">
        <v>1267</v>
      </c>
      <c r="H8367" s="380" t="s">
        <v>771</v>
      </c>
      <c r="I8367" s="380" t="s">
        <v>788</v>
      </c>
      <c r="J8367" s="380" t="s">
        <v>773</v>
      </c>
      <c r="K8367" s="381">
        <v>0.0</v>
      </c>
      <c r="L8367" s="382">
        <v>1.0</v>
      </c>
    </row>
    <row r="8368">
      <c r="A8368" s="380" t="s">
        <v>9242</v>
      </c>
      <c r="B8368" s="380" t="str">
        <f>IFERROR(__xludf.DUMMYFUNCTION("""COMPUTED_VALUE"""),"Bomba Direc Hidra Prostar LH 2113809/185")</f>
        <v>Bomba Direc Hidra Prostar LH 2113809/185</v>
      </c>
      <c r="C8368" s="380" t="str">
        <f>IFERROR(__xludf.DUMMYFUNCTION("""COMPUTED_VALUE"""),"70003787")</f>
        <v>70003787</v>
      </c>
      <c r="D8368" s="380" t="s">
        <v>767</v>
      </c>
      <c r="E8368" s="380" t="s">
        <v>786</v>
      </c>
      <c r="F8368" s="380" t="s">
        <v>1020</v>
      </c>
      <c r="G8368" s="380" t="s">
        <v>1267</v>
      </c>
      <c r="H8368" s="380" t="s">
        <v>771</v>
      </c>
      <c r="I8368" s="380" t="s">
        <v>788</v>
      </c>
      <c r="J8368" s="380" t="s">
        <v>773</v>
      </c>
      <c r="K8368" s="381">
        <v>0.0</v>
      </c>
      <c r="L8368" s="382">
        <v>1.0</v>
      </c>
    </row>
    <row r="8369">
      <c r="A8369" s="380" t="s">
        <v>9243</v>
      </c>
      <c r="B8369" s="380" t="str">
        <f>IFERROR(__xludf.DUMMYFUNCTION("""COMPUTED_VALUE"""),"Columna De Direc Foton 1039 1023683760")</f>
        <v>Columna De Direc Foton 1039 1023683760</v>
      </c>
      <c r="C8369" s="380" t="str">
        <f>IFERROR(__xludf.DUMMYFUNCTION("""COMPUTED_VALUE"""),"70003788")</f>
        <v>70003788</v>
      </c>
      <c r="D8369" s="380" t="s">
        <v>767</v>
      </c>
      <c r="E8369" s="380" t="s">
        <v>786</v>
      </c>
      <c r="F8369" s="380" t="s">
        <v>1020</v>
      </c>
      <c r="G8369" s="380" t="s">
        <v>1267</v>
      </c>
      <c r="H8369" s="380" t="s">
        <v>771</v>
      </c>
      <c r="I8369" s="380" t="s">
        <v>788</v>
      </c>
      <c r="J8369" s="380" t="s">
        <v>773</v>
      </c>
      <c r="K8369" s="381">
        <v>0.0</v>
      </c>
      <c r="L8369" s="382">
        <v>1.0</v>
      </c>
    </row>
    <row r="8370">
      <c r="A8370" s="380" t="s">
        <v>9244</v>
      </c>
      <c r="B8370" s="380" t="str">
        <f>IFERROR(__xludf.DUMMYFUNCTION("""COMPUTED_VALUE"""),"Horquilla 4 Y Rev Hyundai M5ZR1")</f>
        <v>Horquilla 4 Y Rev Hyundai M5ZR1</v>
      </c>
      <c r="C8370" s="380" t="str">
        <f>IFERROR(__xludf.DUMMYFUNCTION("""COMPUTED_VALUE"""),"70003789")</f>
        <v>70003789</v>
      </c>
      <c r="D8370" s="380" t="s">
        <v>767</v>
      </c>
      <c r="E8370" s="380" t="s">
        <v>786</v>
      </c>
      <c r="F8370" s="380" t="s">
        <v>1020</v>
      </c>
      <c r="G8370" s="380" t="s">
        <v>1267</v>
      </c>
      <c r="H8370" s="380" t="s">
        <v>771</v>
      </c>
      <c r="I8370" s="380" t="s">
        <v>788</v>
      </c>
      <c r="J8370" s="380" t="s">
        <v>773</v>
      </c>
      <c r="K8370" s="381">
        <v>0.0</v>
      </c>
      <c r="L8370" s="382">
        <v>1.0</v>
      </c>
    </row>
    <row r="8371">
      <c r="A8371" s="380" t="s">
        <v>9245</v>
      </c>
      <c r="B8371" s="380" t="str">
        <f>IFERROR(__xludf.DUMMYFUNCTION("""COMPUTED_VALUE"""),"Guaya Contol Cambio Foton MV5 5946325325")</f>
        <v>Guaya Contol Cambio Foton MV5 5946325325</v>
      </c>
      <c r="C8371" s="380" t="str">
        <f>IFERROR(__xludf.DUMMYFUNCTION("""COMPUTED_VALUE"""),"70003790")</f>
        <v>70003790</v>
      </c>
      <c r="D8371" s="380" t="s">
        <v>767</v>
      </c>
      <c r="E8371" s="380" t="s">
        <v>786</v>
      </c>
      <c r="F8371" s="380" t="s">
        <v>1020</v>
      </c>
      <c r="G8371" s="380" t="s">
        <v>1267</v>
      </c>
      <c r="H8371" s="380" t="s">
        <v>771</v>
      </c>
      <c r="I8371" s="380" t="s">
        <v>788</v>
      </c>
      <c r="J8371" s="380" t="s">
        <v>773</v>
      </c>
      <c r="K8371" s="381">
        <v>0.0</v>
      </c>
      <c r="L8371" s="382">
        <v>1.0</v>
      </c>
    </row>
    <row r="8372">
      <c r="A8372" s="380" t="s">
        <v>9246</v>
      </c>
      <c r="B8372" s="380" t="str">
        <f>IFERROR(__xludf.DUMMYFUNCTION("""COMPUTED_VALUE"""),"Pasador Splinder Foton BJ1039 1023086233")</f>
        <v>Pasador Splinder Foton BJ1039 1023086233</v>
      </c>
      <c r="C8372" s="380" t="str">
        <f>IFERROR(__xludf.DUMMYFUNCTION("""COMPUTED_VALUE"""),"70003791")</f>
        <v>70003791</v>
      </c>
      <c r="D8372" s="380" t="s">
        <v>767</v>
      </c>
      <c r="E8372" s="380" t="s">
        <v>786</v>
      </c>
      <c r="F8372" s="380" t="s">
        <v>1020</v>
      </c>
      <c r="G8372" s="380" t="s">
        <v>1267</v>
      </c>
      <c r="H8372" s="380" t="s">
        <v>771</v>
      </c>
      <c r="I8372" s="380" t="s">
        <v>788</v>
      </c>
      <c r="J8372" s="380" t="s">
        <v>773</v>
      </c>
      <c r="K8372" s="381">
        <v>0.0</v>
      </c>
      <c r="L8372" s="382">
        <v>1.0</v>
      </c>
    </row>
    <row r="8373">
      <c r="A8373" s="380" t="s">
        <v>9247</v>
      </c>
      <c r="B8373" s="380" t="str">
        <f>IFERROR(__xludf.DUMMYFUNCTION("""COMPUTED_VALUE"""),"Buje Splinder Foton BJ1039 1023086226")</f>
        <v>Buje Splinder Foton BJ1039 1023086226</v>
      </c>
      <c r="C8373" s="380" t="str">
        <f>IFERROR(__xludf.DUMMYFUNCTION("""COMPUTED_VALUE"""),"70003792")</f>
        <v>70003792</v>
      </c>
      <c r="D8373" s="380" t="s">
        <v>767</v>
      </c>
      <c r="E8373" s="380" t="s">
        <v>786</v>
      </c>
      <c r="F8373" s="380" t="s">
        <v>1020</v>
      </c>
      <c r="G8373" s="380" t="s">
        <v>1267</v>
      </c>
      <c r="H8373" s="380" t="s">
        <v>771</v>
      </c>
      <c r="I8373" s="380" t="s">
        <v>788</v>
      </c>
      <c r="J8373" s="380" t="s">
        <v>773</v>
      </c>
      <c r="K8373" s="381">
        <v>0.0</v>
      </c>
      <c r="L8373" s="382">
        <v>1.0</v>
      </c>
    </row>
    <row r="8374">
      <c r="A8374" s="380" t="s">
        <v>9248</v>
      </c>
      <c r="B8374" s="380" t="str">
        <f>IFERROR(__xludf.DUMMYFUNCTION("""COMPUTED_VALUE"""),"Rodami Splinder Foton BJ1039 1023981194")</f>
        <v>Rodami Splinder Foton BJ1039 1023981194</v>
      </c>
      <c r="C8374" s="380" t="str">
        <f>IFERROR(__xludf.DUMMYFUNCTION("""COMPUTED_VALUE"""),"70003793")</f>
        <v>70003793</v>
      </c>
      <c r="D8374" s="380" t="s">
        <v>767</v>
      </c>
      <c r="E8374" s="380" t="s">
        <v>786</v>
      </c>
      <c r="F8374" s="380" t="s">
        <v>1020</v>
      </c>
      <c r="G8374" s="380" t="s">
        <v>1267</v>
      </c>
      <c r="H8374" s="380" t="s">
        <v>771</v>
      </c>
      <c r="I8374" s="380" t="s">
        <v>788</v>
      </c>
      <c r="J8374" s="380" t="s">
        <v>773</v>
      </c>
      <c r="K8374" s="381">
        <v>0.0</v>
      </c>
      <c r="L8374" s="382">
        <v>1.0</v>
      </c>
    </row>
    <row r="8375">
      <c r="A8375" s="380" t="s">
        <v>9249</v>
      </c>
      <c r="B8375" s="380" t="str">
        <f>IFERROR(__xludf.DUMMYFUNCTION("""COMPUTED_VALUE"""),"Retenedor Enflanche 4 SB 210724")</f>
        <v>Retenedor Enflanche 4 SB 210724</v>
      </c>
      <c r="C8375" s="380" t="str">
        <f>IFERROR(__xludf.DUMMYFUNCTION("""COMPUTED_VALUE"""),"70003794")</f>
        <v>70003794</v>
      </c>
      <c r="D8375" s="380" t="s">
        <v>767</v>
      </c>
      <c r="E8375" s="380" t="s">
        <v>786</v>
      </c>
      <c r="F8375" s="380" t="s">
        <v>5683</v>
      </c>
      <c r="G8375" s="380" t="s">
        <v>1267</v>
      </c>
      <c r="H8375" s="380" t="s">
        <v>771</v>
      </c>
      <c r="I8375" s="380" t="s">
        <v>788</v>
      </c>
      <c r="J8375" s="380" t="s">
        <v>773</v>
      </c>
      <c r="K8375" s="381">
        <v>0.0</v>
      </c>
      <c r="L8375" s="382">
        <v>1.0</v>
      </c>
    </row>
    <row r="8376">
      <c r="A8376" s="380" t="s">
        <v>9250</v>
      </c>
      <c r="B8376" s="380" t="str">
        <f>IFERROR(__xludf.DUMMYFUNCTION("""COMPUTED_VALUE"""),"Esquinero Inf Der Jacjhr 5302217LE0")</f>
        <v>Esquinero Inf Der Jacjhr 5302217LE0</v>
      </c>
      <c r="C8376" s="380" t="str">
        <f>IFERROR(__xludf.DUMMYFUNCTION("""COMPUTED_VALUE"""),"70003795")</f>
        <v>70003795</v>
      </c>
      <c r="D8376" s="380" t="s">
        <v>767</v>
      </c>
      <c r="E8376" s="380" t="s">
        <v>786</v>
      </c>
      <c r="F8376" s="380" t="s">
        <v>792</v>
      </c>
      <c r="G8376" s="380" t="s">
        <v>1267</v>
      </c>
      <c r="H8376" s="380" t="s">
        <v>771</v>
      </c>
      <c r="I8376" s="380" t="s">
        <v>788</v>
      </c>
      <c r="J8376" s="380" t="s">
        <v>773</v>
      </c>
      <c r="K8376" s="381">
        <v>0.0</v>
      </c>
      <c r="L8376" s="382">
        <v>1.0</v>
      </c>
    </row>
    <row r="8377">
      <c r="A8377" s="380" t="s">
        <v>9251</v>
      </c>
      <c r="B8377" s="380" t="str">
        <f>IFERROR(__xludf.DUMMYFUNCTION("""COMPUTED_VALUE"""),"Estribo Izq Jac Jhr 8405100LD010")</f>
        <v>Estribo Izq Jac Jhr 8405100LD010</v>
      </c>
      <c r="C8377" s="380" t="str">
        <f>IFERROR(__xludf.DUMMYFUNCTION("""COMPUTED_VALUE"""),"70003796")</f>
        <v>70003796</v>
      </c>
      <c r="D8377" s="380" t="s">
        <v>767</v>
      </c>
      <c r="E8377" s="380" t="s">
        <v>786</v>
      </c>
      <c r="F8377" s="380" t="s">
        <v>792</v>
      </c>
      <c r="G8377" s="380" t="s">
        <v>1267</v>
      </c>
      <c r="H8377" s="380" t="s">
        <v>771</v>
      </c>
      <c r="I8377" s="380" t="s">
        <v>788</v>
      </c>
      <c r="J8377" s="380" t="s">
        <v>773</v>
      </c>
      <c r="K8377" s="381">
        <v>0.0</v>
      </c>
      <c r="L8377" s="382">
        <v>1.0</v>
      </c>
    </row>
    <row r="8378">
      <c r="A8378" s="380" t="s">
        <v>9252</v>
      </c>
      <c r="B8378" s="380" t="str">
        <f>IFERROR(__xludf.DUMMYFUNCTION("""COMPUTED_VALUE"""),"Cortaviento Cabina Foton 1039 5946175616")</f>
        <v>Cortaviento Cabina Foton 1039 5946175616</v>
      </c>
      <c r="C8378" s="380" t="str">
        <f>IFERROR(__xludf.DUMMYFUNCTION("""COMPUTED_VALUE"""),"70003797")</f>
        <v>70003797</v>
      </c>
      <c r="D8378" s="380" t="s">
        <v>767</v>
      </c>
      <c r="E8378" s="380" t="s">
        <v>786</v>
      </c>
      <c r="F8378" s="380" t="s">
        <v>792</v>
      </c>
      <c r="G8378" s="380" t="s">
        <v>1267</v>
      </c>
      <c r="H8378" s="380" t="s">
        <v>771</v>
      </c>
      <c r="I8378" s="380" t="s">
        <v>788</v>
      </c>
      <c r="J8378" s="380" t="s">
        <v>773</v>
      </c>
      <c r="K8378" s="381">
        <v>0.0</v>
      </c>
      <c r="L8378" s="382">
        <v>1.0</v>
      </c>
    </row>
    <row r="8379">
      <c r="A8379" s="380" t="s">
        <v>9253</v>
      </c>
      <c r="B8379" s="380" t="str">
        <f>IFERROR(__xludf.DUMMYFUNCTION("""COMPUTED_VALUE"""),"Retenedor Sinfin SB N14 Tass-65 9376")</f>
        <v>Retenedor Sinfin SB N14 Tass-65 9376</v>
      </c>
      <c r="C8379" s="380" t="str">
        <f>IFERROR(__xludf.DUMMYFUNCTION("""COMPUTED_VALUE"""),"70003798")</f>
        <v>70003798</v>
      </c>
      <c r="D8379" s="380" t="s">
        <v>767</v>
      </c>
      <c r="E8379" s="380" t="s">
        <v>786</v>
      </c>
      <c r="F8379" s="380" t="s">
        <v>1020</v>
      </c>
      <c r="G8379" s="380" t="s">
        <v>1267</v>
      </c>
      <c r="H8379" s="380" t="s">
        <v>771</v>
      </c>
      <c r="I8379" s="380" t="s">
        <v>788</v>
      </c>
      <c r="J8379" s="380" t="s">
        <v>773</v>
      </c>
      <c r="K8379" s="381">
        <v>0.0</v>
      </c>
      <c r="L8379" s="382">
        <v>1.0</v>
      </c>
    </row>
    <row r="8380">
      <c r="A8380" s="380" t="s">
        <v>9254</v>
      </c>
      <c r="B8380" s="380" t="str">
        <f>IFERROR(__xludf.DUMMYFUNCTION("""COMPUTED_VALUE"""),"Kit Sello Caja Dir Shep HD94 Prostar4060")</f>
        <v>Kit Sello Caja Dir Shep HD94 Prostar4060</v>
      </c>
      <c r="C8380" s="380" t="str">
        <f>IFERROR(__xludf.DUMMYFUNCTION("""COMPUTED_VALUE"""),"70003799")</f>
        <v>70003799</v>
      </c>
      <c r="D8380" s="380" t="s">
        <v>767</v>
      </c>
      <c r="E8380" s="380" t="s">
        <v>786</v>
      </c>
      <c r="F8380" s="380" t="s">
        <v>1020</v>
      </c>
      <c r="G8380" s="380" t="s">
        <v>1267</v>
      </c>
      <c r="H8380" s="380" t="s">
        <v>771</v>
      </c>
      <c r="I8380" s="380" t="s">
        <v>788</v>
      </c>
      <c r="J8380" s="380" t="s">
        <v>773</v>
      </c>
      <c r="K8380" s="381">
        <v>0.0</v>
      </c>
      <c r="L8380" s="382">
        <v>1.0</v>
      </c>
    </row>
    <row r="8381">
      <c r="A8381" s="380" t="s">
        <v>9255</v>
      </c>
      <c r="B8381" s="380" t="str">
        <f>IFERROR(__xludf.DUMMYFUNCTION("""COMPUTED_VALUE"""),"Cruceta Caña Direc KW T800 1081948")</f>
        <v>Cruceta Caña Direc KW T800 1081948</v>
      </c>
      <c r="C8381" s="380" t="str">
        <f>IFERROR(__xludf.DUMMYFUNCTION("""COMPUTED_VALUE"""),"70003800")</f>
        <v>70003800</v>
      </c>
      <c r="D8381" s="380" t="s">
        <v>767</v>
      </c>
      <c r="E8381" s="380" t="s">
        <v>786</v>
      </c>
      <c r="F8381" s="380" t="s">
        <v>1020</v>
      </c>
      <c r="G8381" s="380" t="s">
        <v>1267</v>
      </c>
      <c r="H8381" s="380" t="s">
        <v>771</v>
      </c>
      <c r="I8381" s="380" t="s">
        <v>788</v>
      </c>
      <c r="J8381" s="380" t="s">
        <v>773</v>
      </c>
      <c r="K8381" s="381">
        <v>0.0</v>
      </c>
      <c r="L8381" s="382">
        <v>1.0</v>
      </c>
    </row>
    <row r="8382">
      <c r="A8382" s="380" t="s">
        <v>9256</v>
      </c>
      <c r="B8382" s="380" t="str">
        <f>IFERROR(__xludf.DUMMYFUNCTION("""COMPUTED_VALUE"""),"Empaq Caja Direc Nkr Rewar8981717360")</f>
        <v>Empaq Caja Direc Nkr Rewar8981717360</v>
      </c>
      <c r="C8382" s="380" t="str">
        <f>IFERROR(__xludf.DUMMYFUNCTION("""COMPUTED_VALUE"""),"70003801")</f>
        <v>70003801</v>
      </c>
      <c r="D8382" s="380" t="s">
        <v>767</v>
      </c>
      <c r="E8382" s="380" t="s">
        <v>786</v>
      </c>
      <c r="F8382" s="380" t="s">
        <v>1020</v>
      </c>
      <c r="G8382" s="380" t="s">
        <v>1267</v>
      </c>
      <c r="H8382" s="380" t="s">
        <v>771</v>
      </c>
      <c r="I8382" s="380" t="s">
        <v>788</v>
      </c>
      <c r="J8382" s="380" t="s">
        <v>773</v>
      </c>
      <c r="K8382" s="381">
        <v>694117.0</v>
      </c>
      <c r="L8382" s="382">
        <v>1.0</v>
      </c>
    </row>
    <row r="8383">
      <c r="A8383" s="380" t="s">
        <v>9257</v>
      </c>
      <c r="B8383" s="380" t="str">
        <f>IFERROR(__xludf.DUMMYFUNCTION("""COMPUTED_VALUE"""),"Cabrilla Direc Inter Prostar 3770925C92")</f>
        <v>Cabrilla Direc Inter Prostar 3770925C92</v>
      </c>
      <c r="C8383" s="380" t="str">
        <f>IFERROR(__xludf.DUMMYFUNCTION("""COMPUTED_VALUE"""),"70003802")</f>
        <v>70003802</v>
      </c>
      <c r="D8383" s="380" t="s">
        <v>767</v>
      </c>
      <c r="E8383" s="380" t="s">
        <v>786</v>
      </c>
      <c r="F8383" s="380" t="s">
        <v>1020</v>
      </c>
      <c r="G8383" s="380" t="s">
        <v>1267</v>
      </c>
      <c r="H8383" s="380" t="s">
        <v>771</v>
      </c>
      <c r="I8383" s="380" t="s">
        <v>788</v>
      </c>
      <c r="J8383" s="380" t="s">
        <v>773</v>
      </c>
      <c r="K8383" s="381">
        <v>0.0</v>
      </c>
      <c r="L8383" s="382">
        <v>1.0</v>
      </c>
    </row>
    <row r="8384">
      <c r="A8384" s="380" t="s">
        <v>9258</v>
      </c>
      <c r="B8384" s="380" t="str">
        <f>IFERROR(__xludf.DUMMYFUNCTION("""COMPUTED_VALUE"""),"Deposito Hidraulico KW T800 J86-6005")</f>
        <v>Deposito Hidraulico KW T800 J86-6005</v>
      </c>
      <c r="C8384" s="380" t="str">
        <f>IFERROR(__xludf.DUMMYFUNCTION("""COMPUTED_VALUE"""),"70003803")</f>
        <v>70003803</v>
      </c>
      <c r="D8384" s="380" t="s">
        <v>767</v>
      </c>
      <c r="E8384" s="380" t="s">
        <v>786</v>
      </c>
      <c r="F8384" s="380" t="s">
        <v>1020</v>
      </c>
      <c r="G8384" s="380" t="s">
        <v>1267</v>
      </c>
      <c r="H8384" s="380" t="s">
        <v>771</v>
      </c>
      <c r="I8384" s="380" t="s">
        <v>788</v>
      </c>
      <c r="J8384" s="380" t="s">
        <v>773</v>
      </c>
      <c r="K8384" s="381">
        <v>2301460.0</v>
      </c>
      <c r="L8384" s="382">
        <v>1.0</v>
      </c>
    </row>
    <row r="8385">
      <c r="A8385" s="380" t="s">
        <v>9259</v>
      </c>
      <c r="B8385" s="380" t="str">
        <f>IFERROR(__xludf.DUMMYFUNCTION("""COMPUTED_VALUE"""),"Barra Comp Direc Foton BJ1039 1032308619")</f>
        <v>Barra Comp Direc Foton BJ1039 1032308619</v>
      </c>
      <c r="C8385" s="380" t="str">
        <f>IFERROR(__xludf.DUMMYFUNCTION("""COMPUTED_VALUE"""),"70003804")</f>
        <v>70003804</v>
      </c>
      <c r="D8385" s="380" t="s">
        <v>767</v>
      </c>
      <c r="E8385" s="380" t="s">
        <v>786</v>
      </c>
      <c r="F8385" s="380" t="s">
        <v>1020</v>
      </c>
      <c r="G8385" s="380" t="s">
        <v>1267</v>
      </c>
      <c r="H8385" s="380" t="s">
        <v>771</v>
      </c>
      <c r="I8385" s="380" t="s">
        <v>788</v>
      </c>
      <c r="J8385" s="380" t="s">
        <v>773</v>
      </c>
      <c r="K8385" s="381">
        <v>0.0</v>
      </c>
      <c r="L8385" s="382">
        <v>1.0</v>
      </c>
    </row>
    <row r="8386">
      <c r="A8386" s="380" t="s">
        <v>9260</v>
      </c>
      <c r="B8386" s="380" t="str">
        <f>IFERROR(__xludf.DUMMYFUNCTION("""COMPUTED_VALUE"""),"Arandela Pinad Cacho Direc Eagle 1663197")</f>
        <v>Arandela Pinad Cacho Direc Eagle 1663197</v>
      </c>
      <c r="C8386" s="380" t="str">
        <f>IFERROR(__xludf.DUMMYFUNCTION("""COMPUTED_VALUE"""),"70003805")</f>
        <v>70003805</v>
      </c>
      <c r="D8386" s="380" t="s">
        <v>767</v>
      </c>
      <c r="E8386" s="380" t="s">
        <v>786</v>
      </c>
      <c r="F8386" s="380" t="s">
        <v>1020</v>
      </c>
      <c r="G8386" s="380" t="s">
        <v>1267</v>
      </c>
      <c r="H8386" s="380" t="s">
        <v>771</v>
      </c>
      <c r="I8386" s="380" t="s">
        <v>788</v>
      </c>
      <c r="J8386" s="380" t="s">
        <v>773</v>
      </c>
      <c r="K8386" s="381">
        <v>0.0</v>
      </c>
      <c r="L8386" s="382">
        <v>1.0</v>
      </c>
    </row>
    <row r="8387">
      <c r="A8387" s="380" t="s">
        <v>9261</v>
      </c>
      <c r="B8387" s="380" t="str">
        <f>IFERROR(__xludf.DUMMYFUNCTION("""COMPUTED_VALUE"""),"Columna Eje Direc Nkr 8974023451")</f>
        <v>Columna Eje Direc Nkr 8974023451</v>
      </c>
      <c r="C8387" s="380" t="str">
        <f>IFERROR(__xludf.DUMMYFUNCTION("""COMPUTED_VALUE"""),"70003806")</f>
        <v>70003806</v>
      </c>
      <c r="D8387" s="380" t="s">
        <v>767</v>
      </c>
      <c r="E8387" s="380" t="s">
        <v>786</v>
      </c>
      <c r="F8387" s="380" t="s">
        <v>1020</v>
      </c>
      <c r="G8387" s="380" t="s">
        <v>1267</v>
      </c>
      <c r="H8387" s="380" t="s">
        <v>771</v>
      </c>
      <c r="I8387" s="380" t="s">
        <v>788</v>
      </c>
      <c r="J8387" s="380" t="s">
        <v>773</v>
      </c>
      <c r="K8387" s="381">
        <v>0.0</v>
      </c>
      <c r="L8387" s="382">
        <v>1.0</v>
      </c>
    </row>
    <row r="8388">
      <c r="A8388" s="380" t="s">
        <v>9262</v>
      </c>
      <c r="B8388" s="380" t="str">
        <f>IFERROR(__xludf.DUMMYFUNCTION("""COMPUTED_VALUE"""),"Seguro Carcaza Ignicion Nkr 8971703650")</f>
        <v>Seguro Carcaza Ignicion Nkr 8971703650</v>
      </c>
      <c r="C8388" s="380" t="str">
        <f>IFERROR(__xludf.DUMMYFUNCTION("""COMPUTED_VALUE"""),"70003807")</f>
        <v>70003807</v>
      </c>
      <c r="D8388" s="380" t="s">
        <v>767</v>
      </c>
      <c r="E8388" s="380" t="s">
        <v>786</v>
      </c>
      <c r="F8388" s="380" t="s">
        <v>1020</v>
      </c>
      <c r="G8388" s="380" t="s">
        <v>1267</v>
      </c>
      <c r="H8388" s="380" t="s">
        <v>771</v>
      </c>
      <c r="I8388" s="380" t="s">
        <v>788</v>
      </c>
      <c r="J8388" s="380" t="s">
        <v>773</v>
      </c>
      <c r="K8388" s="381">
        <v>0.0</v>
      </c>
      <c r="L8388" s="382">
        <v>1.0</v>
      </c>
    </row>
    <row r="8389">
      <c r="A8389" s="380" t="s">
        <v>9263</v>
      </c>
      <c r="B8389" s="380" t="str">
        <f>IFERROR(__xludf.DUMMYFUNCTION("""COMPUTED_VALUE"""),"Perno De Ajuste De Repart Nkr 8973123280")</f>
        <v>Perno De Ajuste De Repart Nkr 8973123280</v>
      </c>
      <c r="C8389" s="380" t="str">
        <f>IFERROR(__xludf.DUMMYFUNCTION("""COMPUTED_VALUE"""),"70003808")</f>
        <v>70003808</v>
      </c>
      <c r="D8389" s="380" t="s">
        <v>767</v>
      </c>
      <c r="E8389" s="380" t="s">
        <v>786</v>
      </c>
      <c r="F8389" s="380" t="s">
        <v>1020</v>
      </c>
      <c r="G8389" s="380" t="s">
        <v>1267</v>
      </c>
      <c r="H8389" s="380" t="s">
        <v>771</v>
      </c>
      <c r="I8389" s="380" t="s">
        <v>788</v>
      </c>
      <c r="J8389" s="380" t="s">
        <v>773</v>
      </c>
      <c r="K8389" s="381">
        <v>0.0</v>
      </c>
      <c r="L8389" s="382">
        <v>1.0</v>
      </c>
    </row>
    <row r="8390">
      <c r="A8390" s="380" t="s">
        <v>9264</v>
      </c>
      <c r="B8390" s="380" t="str">
        <f>IFERROR(__xludf.DUMMYFUNCTION("""COMPUTED_VALUE"""),"Tuerca Caho Direc Eagle 1663195C1")</f>
        <v>Tuerca Caho Direc Eagle 1663195C1</v>
      </c>
      <c r="C8390" s="380" t="str">
        <f>IFERROR(__xludf.DUMMYFUNCTION("""COMPUTED_VALUE"""),"70003809")</f>
        <v>70003809</v>
      </c>
      <c r="D8390" s="380" t="s">
        <v>767</v>
      </c>
      <c r="E8390" s="380" t="s">
        <v>786</v>
      </c>
      <c r="F8390" s="380" t="s">
        <v>1020</v>
      </c>
      <c r="G8390" s="380" t="s">
        <v>1267</v>
      </c>
      <c r="H8390" s="380" t="s">
        <v>771</v>
      </c>
      <c r="I8390" s="380" t="s">
        <v>788</v>
      </c>
      <c r="J8390" s="380" t="s">
        <v>773</v>
      </c>
      <c r="K8390" s="381">
        <v>0.0</v>
      </c>
      <c r="L8390" s="382">
        <v>1.0</v>
      </c>
    </row>
    <row r="8391">
      <c r="A8391" s="380" t="s">
        <v>9265</v>
      </c>
      <c r="B8391" s="380" t="str">
        <f>IFERROR(__xludf.DUMMYFUNCTION("""COMPUTED_VALUE"""),"Cacho Direc Izq Eagle A23111A353")</f>
        <v>Cacho Direc Izq Eagle A23111A353</v>
      </c>
      <c r="C8391" s="380" t="str">
        <f>IFERROR(__xludf.DUMMYFUNCTION("""COMPUTED_VALUE"""),"70003810")</f>
        <v>70003810</v>
      </c>
      <c r="D8391" s="380" t="s">
        <v>767</v>
      </c>
      <c r="E8391" s="380" t="s">
        <v>786</v>
      </c>
      <c r="F8391" s="380" t="s">
        <v>1020</v>
      </c>
      <c r="G8391" s="380" t="s">
        <v>1267</v>
      </c>
      <c r="H8391" s="380" t="s">
        <v>771</v>
      </c>
      <c r="I8391" s="380" t="s">
        <v>788</v>
      </c>
      <c r="J8391" s="380" t="s">
        <v>773</v>
      </c>
      <c r="K8391" s="381">
        <v>0.0</v>
      </c>
      <c r="L8391" s="382">
        <v>1.0</v>
      </c>
    </row>
    <row r="8392">
      <c r="A8392" s="380" t="s">
        <v>9266</v>
      </c>
      <c r="B8392" s="380" t="str">
        <f>IFERROR(__xludf.DUMMYFUNCTION("""COMPUTED_VALUE"""),"Esqui Der Espejo Foton BJ1039 1023684170")</f>
        <v>Esqui Der Espejo Foton BJ1039 1023684170</v>
      </c>
      <c r="C8392" s="380" t="str">
        <f>IFERROR(__xludf.DUMMYFUNCTION("""COMPUTED_VALUE"""),"70003811")</f>
        <v>70003811</v>
      </c>
      <c r="D8392" s="380" t="s">
        <v>767</v>
      </c>
      <c r="E8392" s="380" t="s">
        <v>786</v>
      </c>
      <c r="F8392" s="380" t="s">
        <v>792</v>
      </c>
      <c r="G8392" s="380" t="s">
        <v>1267</v>
      </c>
      <c r="H8392" s="380" t="s">
        <v>771</v>
      </c>
      <c r="I8392" s="380" t="s">
        <v>788</v>
      </c>
      <c r="J8392" s="380" t="s">
        <v>773</v>
      </c>
      <c r="K8392" s="381">
        <v>0.0</v>
      </c>
      <c r="L8392" s="382">
        <v>1.0</v>
      </c>
    </row>
    <row r="8393">
      <c r="A8393" s="380" t="s">
        <v>9267</v>
      </c>
      <c r="B8393" s="380" t="str">
        <f>IFERROR(__xludf.DUMMYFUNCTION("""COMPUTED_VALUE"""),"Mecani Varill Limpiab Fot1129 1023080859")</f>
        <v>Mecani Varill Limpiab Fot1129 1023080859</v>
      </c>
      <c r="C8393" s="380" t="str">
        <f>IFERROR(__xludf.DUMMYFUNCTION("""COMPUTED_VALUE"""),"70003812")</f>
        <v>70003812</v>
      </c>
      <c r="D8393" s="380" t="s">
        <v>767</v>
      </c>
      <c r="E8393" s="380" t="s">
        <v>786</v>
      </c>
      <c r="F8393" s="380" t="s">
        <v>792</v>
      </c>
      <c r="G8393" s="380" t="s">
        <v>1267</v>
      </c>
      <c r="H8393" s="380" t="s">
        <v>771</v>
      </c>
      <c r="I8393" s="380" t="s">
        <v>788</v>
      </c>
      <c r="J8393" s="380" t="s">
        <v>773</v>
      </c>
      <c r="K8393" s="381">
        <v>0.0</v>
      </c>
      <c r="L8393" s="382">
        <v>1.0</v>
      </c>
    </row>
    <row r="8394">
      <c r="A8394" s="380" t="s">
        <v>9268</v>
      </c>
      <c r="B8394" s="380" t="str">
        <f>IFERROR(__xludf.DUMMYFUNCTION("""COMPUTED_VALUE"""),"Amortiguador Cabina KW T800 M2012 83025")</f>
        <v>Amortiguador Cabina KW T800 M2012 83025</v>
      </c>
      <c r="C8394" s="380" t="str">
        <f>IFERROR(__xludf.DUMMYFUNCTION("""COMPUTED_VALUE"""),"70003813")</f>
        <v>70003813</v>
      </c>
      <c r="D8394" s="380" t="s">
        <v>767</v>
      </c>
      <c r="E8394" s="380" t="s">
        <v>786</v>
      </c>
      <c r="F8394" s="380" t="s">
        <v>792</v>
      </c>
      <c r="G8394" s="380" t="s">
        <v>1267</v>
      </c>
      <c r="H8394" s="380" t="s">
        <v>771</v>
      </c>
      <c r="I8394" s="380" t="s">
        <v>788</v>
      </c>
      <c r="J8394" s="380" t="s">
        <v>773</v>
      </c>
      <c r="K8394" s="381">
        <v>0.0</v>
      </c>
      <c r="L8394" s="382">
        <v>1.0</v>
      </c>
    </row>
    <row r="8395">
      <c r="A8395" s="380" t="s">
        <v>9269</v>
      </c>
      <c r="B8395" s="380" t="str">
        <f>IFERROR(__xludf.DUMMYFUNCTION("""COMPUTED_VALUE"""),"Correa Tanq Comb Foton BJ1129 1023544856")</f>
        <v>Correa Tanq Comb Foton BJ1129 1023544856</v>
      </c>
      <c r="C8395" s="380" t="str">
        <f>IFERROR(__xludf.DUMMYFUNCTION("""COMPUTED_VALUE"""),"70003814")</f>
        <v>70003814</v>
      </c>
      <c r="D8395" s="380" t="s">
        <v>767</v>
      </c>
      <c r="E8395" s="380" t="s">
        <v>786</v>
      </c>
      <c r="F8395" s="380" t="s">
        <v>792</v>
      </c>
      <c r="G8395" s="380" t="s">
        <v>1267</v>
      </c>
      <c r="H8395" s="380" t="s">
        <v>771</v>
      </c>
      <c r="I8395" s="380" t="s">
        <v>788</v>
      </c>
      <c r="J8395" s="380" t="s">
        <v>773</v>
      </c>
      <c r="K8395" s="381">
        <v>0.0</v>
      </c>
      <c r="L8395" s="382">
        <v>1.0</v>
      </c>
    </row>
    <row r="8396">
      <c r="A8396" s="380" t="s">
        <v>9270</v>
      </c>
      <c r="B8396" s="380" t="str">
        <f>IFERROR(__xludf.DUMMYFUNCTION("""COMPUTED_VALUE"""),"Soport Tanq Comb Foton BJ1129 110090013A")</f>
        <v>Soport Tanq Comb Foton BJ1129 110090013A</v>
      </c>
      <c r="C8396" s="380" t="str">
        <f>IFERROR(__xludf.DUMMYFUNCTION("""COMPUTED_VALUE"""),"70003815")</f>
        <v>70003815</v>
      </c>
      <c r="D8396" s="380" t="s">
        <v>767</v>
      </c>
      <c r="E8396" s="380" t="s">
        <v>786</v>
      </c>
      <c r="F8396" s="380" t="s">
        <v>792</v>
      </c>
      <c r="G8396" s="380" t="s">
        <v>1267</v>
      </c>
      <c r="H8396" s="380" t="s">
        <v>771</v>
      </c>
      <c r="I8396" s="380" t="s">
        <v>788</v>
      </c>
      <c r="J8396" s="380" t="s">
        <v>773</v>
      </c>
      <c r="K8396" s="381">
        <v>0.0</v>
      </c>
      <c r="L8396" s="382">
        <v>1.0</v>
      </c>
    </row>
    <row r="8397">
      <c r="A8397" s="380" t="s">
        <v>9271</v>
      </c>
      <c r="B8397" s="380" t="str">
        <f>IFERROR(__xludf.DUMMYFUNCTION("""COMPUTED_VALUE"""),"Caucho Tanq Comb Foton BJ1129 1023081092")</f>
        <v>Caucho Tanq Comb Foton BJ1129 1023081092</v>
      </c>
      <c r="C8397" s="380" t="str">
        <f>IFERROR(__xludf.DUMMYFUNCTION("""COMPUTED_VALUE"""),"70003816")</f>
        <v>70003816</v>
      </c>
      <c r="D8397" s="380" t="s">
        <v>767</v>
      </c>
      <c r="E8397" s="380" t="s">
        <v>786</v>
      </c>
      <c r="F8397" s="380" t="s">
        <v>792</v>
      </c>
      <c r="G8397" s="380" t="s">
        <v>1267</v>
      </c>
      <c r="H8397" s="380" t="s">
        <v>771</v>
      </c>
      <c r="I8397" s="380" t="s">
        <v>788</v>
      </c>
      <c r="J8397" s="380" t="s">
        <v>773</v>
      </c>
      <c r="K8397" s="381">
        <v>0.0</v>
      </c>
      <c r="L8397" s="382">
        <v>1.0</v>
      </c>
    </row>
    <row r="8398">
      <c r="A8398" s="380" t="s">
        <v>9272</v>
      </c>
      <c r="B8398" s="380" t="str">
        <f>IFERROR(__xludf.DUMMYFUNCTION("""COMPUTED_VALUE"""),"Barra Susp Cabina KW T800 M2012 29934010")</f>
        <v>Barra Susp Cabina KW T800 M2012 29934010</v>
      </c>
      <c r="C8398" s="380" t="str">
        <f>IFERROR(__xludf.DUMMYFUNCTION("""COMPUTED_VALUE"""),"70003817")</f>
        <v>70003817</v>
      </c>
      <c r="D8398" s="380" t="s">
        <v>767</v>
      </c>
      <c r="E8398" s="380" t="s">
        <v>786</v>
      </c>
      <c r="F8398" s="380" t="s">
        <v>792</v>
      </c>
      <c r="G8398" s="380" t="s">
        <v>1267</v>
      </c>
      <c r="H8398" s="380" t="s">
        <v>771</v>
      </c>
      <c r="I8398" s="380" t="s">
        <v>788</v>
      </c>
      <c r="J8398" s="380" t="s">
        <v>773</v>
      </c>
      <c r="K8398" s="381">
        <v>0.0</v>
      </c>
      <c r="L8398" s="382">
        <v>1.0</v>
      </c>
    </row>
    <row r="8399">
      <c r="A8399" s="380" t="s">
        <v>9273</v>
      </c>
      <c r="B8399" s="380" t="str">
        <f>IFERROR(__xludf.DUMMYFUNCTION("""COMPUTED_VALUE"""),"Guardabarro Del Der Jac Jhr 8403201LE0")</f>
        <v>Guardabarro Del Der Jac Jhr 8403201LE0</v>
      </c>
      <c r="C8399" s="380" t="str">
        <f>IFERROR(__xludf.DUMMYFUNCTION("""COMPUTED_VALUE"""),"70003818")</f>
        <v>70003818</v>
      </c>
      <c r="D8399" s="380" t="s">
        <v>767</v>
      </c>
      <c r="E8399" s="380" t="s">
        <v>786</v>
      </c>
      <c r="F8399" s="380" t="s">
        <v>792</v>
      </c>
      <c r="G8399" s="380" t="s">
        <v>1267</v>
      </c>
      <c r="H8399" s="380" t="s">
        <v>771</v>
      </c>
      <c r="I8399" s="380" t="s">
        <v>788</v>
      </c>
      <c r="J8399" s="380" t="s">
        <v>773</v>
      </c>
      <c r="K8399" s="381">
        <v>0.0</v>
      </c>
      <c r="L8399" s="382">
        <v>1.0</v>
      </c>
    </row>
    <row r="8400">
      <c r="A8400" s="380" t="s">
        <v>9274</v>
      </c>
      <c r="B8400" s="380" t="str">
        <f>IFERROR(__xludf.DUMMYFUNCTION("""COMPUTED_VALUE"""),"Sop Purif Filtro Aire Nkr Rew 8980677682")</f>
        <v>Sop Purif Filtro Aire Nkr Rew 8980677682</v>
      </c>
      <c r="C8400" s="380" t="str">
        <f>IFERROR(__xludf.DUMMYFUNCTION("""COMPUTED_VALUE"""),"70003819")</f>
        <v>70003819</v>
      </c>
      <c r="D8400" s="380" t="s">
        <v>767</v>
      </c>
      <c r="E8400" s="380" t="s">
        <v>786</v>
      </c>
      <c r="F8400" s="380" t="s">
        <v>792</v>
      </c>
      <c r="G8400" s="380" t="s">
        <v>1267</v>
      </c>
      <c r="H8400" s="380" t="s">
        <v>771</v>
      </c>
      <c r="I8400" s="380" t="s">
        <v>788</v>
      </c>
      <c r="J8400" s="380" t="s">
        <v>773</v>
      </c>
      <c r="K8400" s="381">
        <v>0.0</v>
      </c>
      <c r="L8400" s="382">
        <v>1.0</v>
      </c>
    </row>
    <row r="8401">
      <c r="A8401" s="380" t="s">
        <v>9275</v>
      </c>
      <c r="B8401" s="380" t="str">
        <f>IFERROR(__xludf.DUMMYFUNCTION("""COMPUTED_VALUE"""),"Sop Der Bomper Front Fot MV5 5946036412")</f>
        <v>Sop Der Bomper Front Fot MV5 5946036412</v>
      </c>
      <c r="C8401" s="380" t="str">
        <f>IFERROR(__xludf.DUMMYFUNCTION("""COMPUTED_VALUE"""),"70003820")</f>
        <v>70003820</v>
      </c>
      <c r="D8401" s="380" t="s">
        <v>767</v>
      </c>
      <c r="E8401" s="380" t="s">
        <v>786</v>
      </c>
      <c r="F8401" s="380" t="s">
        <v>792</v>
      </c>
      <c r="G8401" s="380" t="s">
        <v>1267</v>
      </c>
      <c r="H8401" s="380" t="s">
        <v>771</v>
      </c>
      <c r="I8401" s="380" t="s">
        <v>788</v>
      </c>
      <c r="J8401" s="380" t="s">
        <v>773</v>
      </c>
      <c r="K8401" s="381">
        <v>0.0</v>
      </c>
      <c r="L8401" s="382">
        <v>1.0</v>
      </c>
    </row>
    <row r="8402">
      <c r="A8402" s="380" t="s">
        <v>9276</v>
      </c>
      <c r="B8402" s="380" t="str">
        <f>IFERROR(__xludf.DUMMYFUNCTION("""COMPUTED_VALUE"""),"Silenciad De Escape Foton MV5 5946041379")</f>
        <v>Silenciad De Escape Foton MV5 5946041379</v>
      </c>
      <c r="C8402" s="380" t="str">
        <f>IFERROR(__xludf.DUMMYFUNCTION("""COMPUTED_VALUE"""),"70003821")</f>
        <v>70003821</v>
      </c>
      <c r="D8402" s="380" t="s">
        <v>767</v>
      </c>
      <c r="E8402" s="380" t="s">
        <v>786</v>
      </c>
      <c r="F8402" s="380" t="s">
        <v>792</v>
      </c>
      <c r="G8402" s="380" t="s">
        <v>1267</v>
      </c>
      <c r="H8402" s="380" t="s">
        <v>771</v>
      </c>
      <c r="I8402" s="380" t="s">
        <v>788</v>
      </c>
      <c r="J8402" s="380" t="s">
        <v>773</v>
      </c>
      <c r="K8402" s="381">
        <v>0.0</v>
      </c>
      <c r="L8402" s="382">
        <v>1.0</v>
      </c>
    </row>
    <row r="8403">
      <c r="A8403" s="380" t="s">
        <v>9277</v>
      </c>
      <c r="B8403" s="380" t="str">
        <f>IFERROR(__xludf.DUMMYFUNCTION("""COMPUTED_VALUE"""),"Luna Espe Sup Jac1120 8202100LE170XA F0")</f>
        <v>Luna Espe Sup Jac1120 8202100LE170XA F0</v>
      </c>
      <c r="C8403" s="380" t="str">
        <f>IFERROR(__xludf.DUMMYFUNCTION("""COMPUTED_VALUE"""),"70003822")</f>
        <v>70003822</v>
      </c>
      <c r="D8403" s="380" t="s">
        <v>767</v>
      </c>
      <c r="E8403" s="380" t="s">
        <v>786</v>
      </c>
      <c r="F8403" s="380" t="s">
        <v>792</v>
      </c>
      <c r="G8403" s="380" t="s">
        <v>1267</v>
      </c>
      <c r="H8403" s="380" t="s">
        <v>771</v>
      </c>
      <c r="I8403" s="380" t="s">
        <v>788</v>
      </c>
      <c r="J8403" s="380" t="s">
        <v>773</v>
      </c>
      <c r="K8403" s="381">
        <v>0.0</v>
      </c>
      <c r="L8403" s="382">
        <v>1.0</v>
      </c>
    </row>
    <row r="8404">
      <c r="A8404" s="380" t="s">
        <v>9278</v>
      </c>
      <c r="B8404" s="380" t="str">
        <f>IFERROR(__xludf.DUMMYFUNCTION("""COMPUTED_VALUE"""),"Guardap Palan Cambi Foton1039 5946304887")</f>
        <v>Guardap Palan Cambi Foton1039 5946304887</v>
      </c>
      <c r="C8404" s="380" t="str">
        <f>IFERROR(__xludf.DUMMYFUNCTION("""COMPUTED_VALUE"""),"70003823")</f>
        <v>70003823</v>
      </c>
      <c r="D8404" s="380" t="s">
        <v>767</v>
      </c>
      <c r="E8404" s="380" t="s">
        <v>786</v>
      </c>
      <c r="F8404" s="380" t="s">
        <v>792</v>
      </c>
      <c r="G8404" s="380" t="s">
        <v>1267</v>
      </c>
      <c r="H8404" s="380" t="s">
        <v>771</v>
      </c>
      <c r="I8404" s="380" t="s">
        <v>788</v>
      </c>
      <c r="J8404" s="380" t="s">
        <v>773</v>
      </c>
      <c r="K8404" s="381">
        <v>0.0</v>
      </c>
      <c r="L8404" s="382">
        <v>1.0</v>
      </c>
    </row>
    <row r="8405">
      <c r="A8405" s="380" t="s">
        <v>9279</v>
      </c>
      <c r="B8405" s="380" t="str">
        <f>IFERROR(__xludf.DUMMYFUNCTION("""COMPUTED_VALUE"""),"Base Kin Pin Fabricado")</f>
        <v>Base Kin Pin Fabricado</v>
      </c>
      <c r="C8405" s="380" t="str">
        <f>IFERROR(__xludf.DUMMYFUNCTION("""COMPUTED_VALUE"""),"70003824")</f>
        <v>70003824</v>
      </c>
      <c r="D8405" s="380" t="s">
        <v>767</v>
      </c>
      <c r="E8405" s="380" t="s">
        <v>786</v>
      </c>
      <c r="F8405" s="380" t="s">
        <v>792</v>
      </c>
      <c r="G8405" s="380" t="s">
        <v>1267</v>
      </c>
      <c r="H8405" s="380" t="s">
        <v>771</v>
      </c>
      <c r="I8405" s="380" t="s">
        <v>788</v>
      </c>
      <c r="J8405" s="380" t="s">
        <v>773</v>
      </c>
      <c r="K8405" s="381">
        <v>0.0</v>
      </c>
      <c r="L8405" s="382">
        <v>1.0</v>
      </c>
    </row>
    <row r="8406">
      <c r="A8406" s="380" t="s">
        <v>9280</v>
      </c>
      <c r="B8406" s="380" t="str">
        <f>IFERROR(__xludf.DUMMYFUNCTION("""COMPUTED_VALUE"""),"Tornillo Sillin Con Tca Y Arand 1 X 11""")</f>
        <v>Tornillo Sillin Con Tca Y Arand 1 X 11"</v>
      </c>
      <c r="C8406" s="380" t="str">
        <f>IFERROR(__xludf.DUMMYFUNCTION("""COMPUTED_VALUE"""),"70003825")</f>
        <v>70003825</v>
      </c>
      <c r="D8406" s="380" t="s">
        <v>767</v>
      </c>
      <c r="E8406" s="380" t="s">
        <v>786</v>
      </c>
      <c r="F8406" s="380" t="s">
        <v>792</v>
      </c>
      <c r="G8406" s="380" t="s">
        <v>1267</v>
      </c>
      <c r="H8406" s="380" t="s">
        <v>771</v>
      </c>
      <c r="I8406" s="380" t="s">
        <v>788</v>
      </c>
      <c r="J8406" s="380" t="s">
        <v>773</v>
      </c>
      <c r="K8406" s="381">
        <v>17850.0</v>
      </c>
      <c r="L8406" s="382">
        <v>1.0</v>
      </c>
    </row>
    <row r="8407">
      <c r="A8407" s="380" t="s">
        <v>9281</v>
      </c>
      <c r="B8407" s="380" t="str">
        <f>IFERROR(__xludf.DUMMYFUNCTION("""COMPUTED_VALUE"""),"Brazo Espej Der Compl Fot1039 1023683814")</f>
        <v>Brazo Espej Der Compl Fot1039 1023683814</v>
      </c>
      <c r="C8407" s="380" t="str">
        <f>IFERROR(__xludf.DUMMYFUNCTION("""COMPUTED_VALUE"""),"70003826")</f>
        <v>70003826</v>
      </c>
      <c r="D8407" s="380" t="s">
        <v>767</v>
      </c>
      <c r="E8407" s="380" t="s">
        <v>786</v>
      </c>
      <c r="F8407" s="380" t="s">
        <v>792</v>
      </c>
      <c r="G8407" s="380" t="s">
        <v>1267</v>
      </c>
      <c r="H8407" s="380" t="s">
        <v>771</v>
      </c>
      <c r="I8407" s="380" t="s">
        <v>788</v>
      </c>
      <c r="J8407" s="380" t="s">
        <v>773</v>
      </c>
      <c r="K8407" s="381">
        <v>0.0</v>
      </c>
      <c r="L8407" s="382">
        <v>1.0</v>
      </c>
    </row>
    <row r="8408">
      <c r="A8408" s="380" t="s">
        <v>9282</v>
      </c>
      <c r="B8408" s="380" t="str">
        <f>IFERROR(__xludf.DUMMYFUNCTION("""COMPUTED_VALUE"""),"Parasol Izq Foton 1039 5946341219")</f>
        <v>Parasol Izq Foton 1039 5946341219</v>
      </c>
      <c r="C8408" s="380" t="str">
        <f>IFERROR(__xludf.DUMMYFUNCTION("""COMPUTED_VALUE"""),"70003827")</f>
        <v>70003827</v>
      </c>
      <c r="D8408" s="380" t="s">
        <v>767</v>
      </c>
      <c r="E8408" s="380" t="s">
        <v>786</v>
      </c>
      <c r="F8408" s="380" t="s">
        <v>792</v>
      </c>
      <c r="G8408" s="380" t="s">
        <v>1267</v>
      </c>
      <c r="H8408" s="380" t="s">
        <v>771</v>
      </c>
      <c r="I8408" s="380" t="s">
        <v>788</v>
      </c>
      <c r="J8408" s="380" t="s">
        <v>773</v>
      </c>
      <c r="K8408" s="381">
        <v>0.0</v>
      </c>
      <c r="L8408" s="382">
        <v>1.0</v>
      </c>
    </row>
    <row r="8409">
      <c r="A8409" s="380" t="s">
        <v>9283</v>
      </c>
      <c r="B8409" s="380" t="str">
        <f>IFERROR(__xludf.DUMMYFUNCTION("""COMPUTED_VALUE"""),"Brazo Plumilla Der Foton 1129 1023079280")</f>
        <v>Brazo Plumilla Der Foton 1129 1023079280</v>
      </c>
      <c r="C8409" s="380" t="str">
        <f>IFERROR(__xludf.DUMMYFUNCTION("""COMPUTED_VALUE"""),"70003828")</f>
        <v>70003828</v>
      </c>
      <c r="D8409" s="380" t="s">
        <v>767</v>
      </c>
      <c r="E8409" s="380" t="s">
        <v>786</v>
      </c>
      <c r="F8409" s="380" t="s">
        <v>792</v>
      </c>
      <c r="G8409" s="380" t="s">
        <v>1267</v>
      </c>
      <c r="H8409" s="380" t="s">
        <v>771</v>
      </c>
      <c r="I8409" s="380" t="s">
        <v>788</v>
      </c>
      <c r="J8409" s="380" t="s">
        <v>773</v>
      </c>
      <c r="K8409" s="381">
        <v>0.0</v>
      </c>
      <c r="L8409" s="382">
        <v>1.0</v>
      </c>
    </row>
    <row r="8410">
      <c r="A8410" s="380" t="s">
        <v>9284</v>
      </c>
      <c r="B8410" s="380" t="str">
        <f>IFERROR(__xludf.DUMMYFUNCTION("""COMPUTED_VALUE"""),"Manija Elevavidrio Foton 1129 1B18061400")</f>
        <v>Manija Elevavidrio Foton 1129 1B18061400</v>
      </c>
      <c r="C8410" s="380" t="str">
        <f>IFERROR(__xludf.DUMMYFUNCTION("""COMPUTED_VALUE"""),"70003829")</f>
        <v>70003829</v>
      </c>
      <c r="D8410" s="380" t="s">
        <v>767</v>
      </c>
      <c r="E8410" s="380" t="s">
        <v>786</v>
      </c>
      <c r="F8410" s="380" t="s">
        <v>792</v>
      </c>
      <c r="G8410" s="380" t="s">
        <v>1267</v>
      </c>
      <c r="H8410" s="380" t="s">
        <v>771</v>
      </c>
      <c r="I8410" s="380" t="s">
        <v>788</v>
      </c>
      <c r="J8410" s="380" t="s">
        <v>773</v>
      </c>
      <c r="K8410" s="381">
        <v>0.0</v>
      </c>
      <c r="L8410" s="382">
        <v>1.0</v>
      </c>
    </row>
    <row r="8411">
      <c r="A8411" s="380" t="s">
        <v>9285</v>
      </c>
      <c r="B8411" s="380" t="str">
        <f>IFERROR(__xludf.DUMMYFUNCTION("""COMPUTED_VALUE"""),"Logo Persiana Foton 1039 1023121705")</f>
        <v>Logo Persiana Foton 1039 1023121705</v>
      </c>
      <c r="C8411" s="380" t="str">
        <f>IFERROR(__xludf.DUMMYFUNCTION("""COMPUTED_VALUE"""),"70003830")</f>
        <v>70003830</v>
      </c>
      <c r="D8411" s="380" t="s">
        <v>767</v>
      </c>
      <c r="E8411" s="380" t="s">
        <v>786</v>
      </c>
      <c r="F8411" s="380" t="s">
        <v>792</v>
      </c>
      <c r="G8411" s="380" t="s">
        <v>1267</v>
      </c>
      <c r="H8411" s="380" t="s">
        <v>771</v>
      </c>
      <c r="I8411" s="380" t="s">
        <v>788</v>
      </c>
      <c r="J8411" s="380" t="s">
        <v>773</v>
      </c>
      <c r="K8411" s="381">
        <v>0.0</v>
      </c>
      <c r="L8411" s="382">
        <v>1.0</v>
      </c>
    </row>
    <row r="8412">
      <c r="A8412" s="380" t="s">
        <v>9286</v>
      </c>
      <c r="B8412" s="380" t="str">
        <f>IFERROR(__xludf.DUMMYFUNCTION("""COMPUTED_VALUE"""),"Brazo Plumilla Izq Foton 1039 1023164184")</f>
        <v>Brazo Plumilla Izq Foton 1039 1023164184</v>
      </c>
      <c r="C8412" s="380" t="str">
        <f>IFERROR(__xludf.DUMMYFUNCTION("""COMPUTED_VALUE"""),"70003831")</f>
        <v>70003831</v>
      </c>
      <c r="D8412" s="380" t="s">
        <v>767</v>
      </c>
      <c r="E8412" s="380" t="s">
        <v>786</v>
      </c>
      <c r="F8412" s="380" t="s">
        <v>792</v>
      </c>
      <c r="G8412" s="380" t="s">
        <v>1267</v>
      </c>
      <c r="H8412" s="380" t="s">
        <v>771</v>
      </c>
      <c r="I8412" s="380" t="s">
        <v>788</v>
      </c>
      <c r="J8412" s="380" t="s">
        <v>773</v>
      </c>
      <c r="K8412" s="381">
        <v>0.0</v>
      </c>
      <c r="L8412" s="382">
        <v>1.0</v>
      </c>
    </row>
    <row r="8413">
      <c r="A8413" s="380" t="s">
        <v>9287</v>
      </c>
      <c r="B8413" s="380" t="str">
        <f>IFERROR(__xludf.DUMMYFUNCTION("""COMPUTED_VALUE"""),"Pisa Alfombra Izq Nkr Rewar 8974053881")</f>
        <v>Pisa Alfombra Izq Nkr Rewar 8974053881</v>
      </c>
      <c r="C8413" s="380" t="str">
        <f>IFERROR(__xludf.DUMMYFUNCTION("""COMPUTED_VALUE"""),"70003832")</f>
        <v>70003832</v>
      </c>
      <c r="D8413" s="380" t="s">
        <v>767</v>
      </c>
      <c r="E8413" s="380" t="s">
        <v>786</v>
      </c>
      <c r="F8413" s="380" t="s">
        <v>792</v>
      </c>
      <c r="G8413" s="380" t="s">
        <v>1267</v>
      </c>
      <c r="H8413" s="380" t="s">
        <v>771</v>
      </c>
      <c r="I8413" s="380" t="s">
        <v>788</v>
      </c>
      <c r="J8413" s="380" t="s">
        <v>773</v>
      </c>
      <c r="K8413" s="381">
        <v>0.0</v>
      </c>
      <c r="L8413" s="382">
        <v>1.0</v>
      </c>
    </row>
    <row r="8414">
      <c r="A8414" s="380" t="s">
        <v>9288</v>
      </c>
      <c r="B8414" s="380" t="str">
        <f>IFERROR(__xludf.DUMMYFUNCTION("""COMPUTED_VALUE"""),"Cubierta Tapa Muerto Eagle 3577387C91")</f>
        <v>Cubierta Tapa Muerto Eagle 3577387C91</v>
      </c>
      <c r="C8414" s="380" t="str">
        <f>IFERROR(__xludf.DUMMYFUNCTION("""COMPUTED_VALUE"""),"70003833")</f>
        <v>70003833</v>
      </c>
      <c r="D8414" s="380" t="s">
        <v>767</v>
      </c>
      <c r="E8414" s="380" t="s">
        <v>786</v>
      </c>
      <c r="F8414" s="380" t="s">
        <v>792</v>
      </c>
      <c r="G8414" s="380" t="s">
        <v>1267</v>
      </c>
      <c r="H8414" s="380" t="s">
        <v>771</v>
      </c>
      <c r="I8414" s="380" t="s">
        <v>788</v>
      </c>
      <c r="J8414" s="380" t="s">
        <v>773</v>
      </c>
      <c r="K8414" s="381">
        <v>0.0</v>
      </c>
      <c r="L8414" s="382">
        <v>1.0</v>
      </c>
    </row>
    <row r="8415">
      <c r="A8415" s="380" t="s">
        <v>9289</v>
      </c>
      <c r="B8415" s="380" t="str">
        <f>IFERROR(__xludf.DUMMYFUNCTION("""COMPUTED_VALUE"""),"Espejo Retro Izq Foton BJ1030 5946758956")</f>
        <v>Espejo Retro Izq Foton BJ1030 5946758956</v>
      </c>
      <c r="C8415" s="380" t="str">
        <f>IFERROR(__xludf.DUMMYFUNCTION("""COMPUTED_VALUE"""),"70003834")</f>
        <v>70003834</v>
      </c>
      <c r="D8415" s="380" t="s">
        <v>767</v>
      </c>
      <c r="E8415" s="380" t="s">
        <v>786</v>
      </c>
      <c r="F8415" s="380" t="s">
        <v>792</v>
      </c>
      <c r="G8415" s="380" t="s">
        <v>1267</v>
      </c>
      <c r="H8415" s="380" t="s">
        <v>771</v>
      </c>
      <c r="I8415" s="380" t="s">
        <v>788</v>
      </c>
      <c r="J8415" s="380" t="s">
        <v>773</v>
      </c>
      <c r="K8415" s="381">
        <v>0.0</v>
      </c>
      <c r="L8415" s="382">
        <v>1.0</v>
      </c>
    </row>
    <row r="8416">
      <c r="A8416" s="380" t="s">
        <v>9290</v>
      </c>
      <c r="B8416" s="380" t="str">
        <f>IFERROR(__xludf.DUMMYFUNCTION("""COMPUTED_VALUE"""),"Clip Panel Tapizado Paral Nkr 8974064210")</f>
        <v>Clip Panel Tapizado Paral Nkr 8974064210</v>
      </c>
      <c r="C8416" s="380" t="str">
        <f>IFERROR(__xludf.DUMMYFUNCTION("""COMPUTED_VALUE"""),"70003835")</f>
        <v>70003835</v>
      </c>
      <c r="D8416" s="380" t="s">
        <v>767</v>
      </c>
      <c r="E8416" s="380" t="s">
        <v>786</v>
      </c>
      <c r="F8416" s="380" t="s">
        <v>792</v>
      </c>
      <c r="G8416" s="380" t="s">
        <v>1267</v>
      </c>
      <c r="H8416" s="380" t="s">
        <v>771</v>
      </c>
      <c r="I8416" s="380" t="s">
        <v>788</v>
      </c>
      <c r="J8416" s="380" t="s">
        <v>773</v>
      </c>
      <c r="K8416" s="381">
        <v>0.0</v>
      </c>
      <c r="L8416" s="382">
        <v>1.0</v>
      </c>
    </row>
    <row r="8417">
      <c r="A8417" s="380" t="s">
        <v>9291</v>
      </c>
      <c r="B8417" s="380" t="str">
        <f>IFERROR(__xludf.DUMMYFUNCTION("""COMPUTED_VALUE"""),"Clip Cubierta Tapizado Nkr 8974077680")</f>
        <v>Clip Cubierta Tapizado Nkr 8974077680</v>
      </c>
      <c r="C8417" s="380" t="str">
        <f>IFERROR(__xludf.DUMMYFUNCTION("""COMPUTED_VALUE"""),"70003836")</f>
        <v>70003836</v>
      </c>
      <c r="D8417" s="380" t="s">
        <v>767</v>
      </c>
      <c r="E8417" s="380" t="s">
        <v>786</v>
      </c>
      <c r="F8417" s="380" t="s">
        <v>792</v>
      </c>
      <c r="G8417" s="380" t="s">
        <v>1267</v>
      </c>
      <c r="H8417" s="380" t="s">
        <v>771</v>
      </c>
      <c r="I8417" s="380" t="s">
        <v>788</v>
      </c>
      <c r="J8417" s="380" t="s">
        <v>773</v>
      </c>
      <c r="K8417" s="381">
        <v>0.0</v>
      </c>
      <c r="L8417" s="382">
        <v>1.0</v>
      </c>
    </row>
    <row r="8418">
      <c r="A8418" s="380" t="s">
        <v>9292</v>
      </c>
      <c r="B8418" s="380" t="str">
        <f>IFERROR(__xludf.DUMMYFUNCTION("""COMPUTED_VALUE"""),"Moldura Panoramico FTR FRR 8975194560")</f>
        <v>Moldura Panoramico FTR FRR 8975194560</v>
      </c>
      <c r="C8418" s="380" t="str">
        <f>IFERROR(__xludf.DUMMYFUNCTION("""COMPUTED_VALUE"""),"70003837")</f>
        <v>70003837</v>
      </c>
      <c r="D8418" s="380" t="s">
        <v>767</v>
      </c>
      <c r="E8418" s="380" t="s">
        <v>786</v>
      </c>
      <c r="F8418" s="380" t="s">
        <v>792</v>
      </c>
      <c r="G8418" s="380" t="s">
        <v>1267</v>
      </c>
      <c r="H8418" s="380" t="s">
        <v>771</v>
      </c>
      <c r="I8418" s="380" t="s">
        <v>788</v>
      </c>
      <c r="J8418" s="380" t="s">
        <v>773</v>
      </c>
      <c r="K8418" s="381">
        <v>0.0</v>
      </c>
      <c r="L8418" s="382">
        <v>1.0</v>
      </c>
    </row>
    <row r="8419">
      <c r="A8419" s="380" t="s">
        <v>9293</v>
      </c>
      <c r="B8419" s="380" t="str">
        <f>IFERROR(__xludf.DUMMYFUNCTION("""COMPUTED_VALUE"""),"Espejo Retrov Der/ Izq Hyundai Hy070309")</f>
        <v>Espejo Retrov Der/ Izq Hyundai Hy070309</v>
      </c>
      <c r="C8419" s="380" t="str">
        <f>IFERROR(__xludf.DUMMYFUNCTION("""COMPUTED_VALUE"""),"70003838")</f>
        <v>70003838</v>
      </c>
      <c r="D8419" s="380" t="s">
        <v>767</v>
      </c>
      <c r="E8419" s="380" t="s">
        <v>786</v>
      </c>
      <c r="F8419" s="380" t="s">
        <v>792</v>
      </c>
      <c r="G8419" s="380" t="s">
        <v>1267</v>
      </c>
      <c r="H8419" s="380" t="s">
        <v>771</v>
      </c>
      <c r="I8419" s="380" t="s">
        <v>788</v>
      </c>
      <c r="J8419" s="380" t="s">
        <v>773</v>
      </c>
      <c r="K8419" s="381">
        <v>0.0</v>
      </c>
      <c r="L8419" s="382">
        <v>1.0</v>
      </c>
    </row>
    <row r="8420">
      <c r="A8420" s="380" t="s">
        <v>9294</v>
      </c>
      <c r="B8420" s="380" t="str">
        <f>IFERROR(__xludf.DUMMYFUNCTION("""COMPUTED_VALUE"""),"Bisagra Pta Der Foton BJ1039 1023695305")</f>
        <v>Bisagra Pta Der Foton BJ1039 1023695305</v>
      </c>
      <c r="C8420" s="380" t="str">
        <f>IFERROR(__xludf.DUMMYFUNCTION("""COMPUTED_VALUE"""),"70003839")</f>
        <v>70003839</v>
      </c>
      <c r="D8420" s="380" t="s">
        <v>767</v>
      </c>
      <c r="E8420" s="380" t="s">
        <v>786</v>
      </c>
      <c r="F8420" s="380" t="s">
        <v>792</v>
      </c>
      <c r="G8420" s="380" t="s">
        <v>1267</v>
      </c>
      <c r="H8420" s="380" t="s">
        <v>771</v>
      </c>
      <c r="I8420" s="380" t="s">
        <v>788</v>
      </c>
      <c r="J8420" s="380" t="s">
        <v>773</v>
      </c>
      <c r="K8420" s="381">
        <v>109633.0</v>
      </c>
      <c r="L8420" s="382">
        <v>1.0</v>
      </c>
    </row>
    <row r="8421">
      <c r="A8421" s="380" t="s">
        <v>9295</v>
      </c>
      <c r="B8421" s="380" t="str">
        <f>IFERROR(__xludf.DUMMYFUNCTION("""COMPUTED_VALUE"""),"Bicel Farola Der Foton BJ1039 1023699198")</f>
        <v>Bicel Farola Der Foton BJ1039 1023699198</v>
      </c>
      <c r="C8421" s="380" t="str">
        <f>IFERROR(__xludf.DUMMYFUNCTION("""COMPUTED_VALUE"""),"70003840")</f>
        <v>70003840</v>
      </c>
      <c r="D8421" s="380" t="s">
        <v>767</v>
      </c>
      <c r="E8421" s="380" t="s">
        <v>786</v>
      </c>
      <c r="F8421" s="380" t="s">
        <v>792</v>
      </c>
      <c r="G8421" s="380" t="s">
        <v>1267</v>
      </c>
      <c r="H8421" s="380" t="s">
        <v>771</v>
      </c>
      <c r="I8421" s="380" t="s">
        <v>788</v>
      </c>
      <c r="J8421" s="380" t="s">
        <v>773</v>
      </c>
      <c r="K8421" s="381">
        <v>0.0</v>
      </c>
      <c r="L8421" s="382">
        <v>1.0</v>
      </c>
    </row>
    <row r="8422">
      <c r="A8422" s="380" t="s">
        <v>9296</v>
      </c>
      <c r="B8422" s="380" t="str">
        <f>IFERROR(__xludf.DUMMYFUNCTION("""COMPUTED_VALUE"""),"Bicel Farola Izq Foton BJ1039 1023683661")</f>
        <v>Bicel Farola Izq Foton BJ1039 1023683661</v>
      </c>
      <c r="C8422" s="380" t="str">
        <f>IFERROR(__xludf.DUMMYFUNCTION("""COMPUTED_VALUE"""),"70003841")</f>
        <v>70003841</v>
      </c>
      <c r="D8422" s="380" t="s">
        <v>767</v>
      </c>
      <c r="E8422" s="380" t="s">
        <v>786</v>
      </c>
      <c r="F8422" s="380" t="s">
        <v>792</v>
      </c>
      <c r="G8422" s="380" t="s">
        <v>1267</v>
      </c>
      <c r="H8422" s="380" t="s">
        <v>771</v>
      </c>
      <c r="I8422" s="380" t="s">
        <v>788</v>
      </c>
      <c r="J8422" s="380" t="s">
        <v>773</v>
      </c>
      <c r="K8422" s="381">
        <v>0.0</v>
      </c>
      <c r="L8422" s="382">
        <v>1.0</v>
      </c>
    </row>
    <row r="8423">
      <c r="A8423" s="380" t="s">
        <v>9297</v>
      </c>
      <c r="B8423" s="380" t="str">
        <f>IFERROR(__xludf.DUMMYFUNCTION("""COMPUTED_VALUE"""),"Estribo Der Foton BJ1039 1023164047")</f>
        <v>Estribo Der Foton BJ1039 1023164047</v>
      </c>
      <c r="C8423" s="380" t="str">
        <f>IFERROR(__xludf.DUMMYFUNCTION("""COMPUTED_VALUE"""),"70003842")</f>
        <v>70003842</v>
      </c>
      <c r="D8423" s="380" t="s">
        <v>767</v>
      </c>
      <c r="E8423" s="380" t="s">
        <v>786</v>
      </c>
      <c r="F8423" s="380" t="s">
        <v>792</v>
      </c>
      <c r="G8423" s="380" t="s">
        <v>1267</v>
      </c>
      <c r="H8423" s="380" t="s">
        <v>771</v>
      </c>
      <c r="I8423" s="380" t="s">
        <v>788</v>
      </c>
      <c r="J8423" s="380" t="s">
        <v>773</v>
      </c>
      <c r="K8423" s="381">
        <v>0.0</v>
      </c>
      <c r="L8423" s="382">
        <v>1.0</v>
      </c>
    </row>
    <row r="8424">
      <c r="A8424" s="380" t="s">
        <v>9298</v>
      </c>
      <c r="B8424" s="380" t="str">
        <f>IFERROR(__xludf.DUMMYFUNCTION("""COMPUTED_VALUE"""),"Pared Front Cabi Foton BJ1039 1023552493")</f>
        <v>Pared Front Cabi Foton BJ1039 1023552493</v>
      </c>
      <c r="C8424" s="380" t="str">
        <f>IFERROR(__xludf.DUMMYFUNCTION("""COMPUTED_VALUE"""),"70003843")</f>
        <v>70003843</v>
      </c>
      <c r="D8424" s="380" t="s">
        <v>767</v>
      </c>
      <c r="E8424" s="380" t="s">
        <v>786</v>
      </c>
      <c r="F8424" s="380" t="s">
        <v>792</v>
      </c>
      <c r="G8424" s="380" t="s">
        <v>1267</v>
      </c>
      <c r="H8424" s="380" t="s">
        <v>771</v>
      </c>
      <c r="I8424" s="380" t="s">
        <v>788</v>
      </c>
      <c r="J8424" s="380" t="s">
        <v>773</v>
      </c>
      <c r="K8424" s="381">
        <v>0.0</v>
      </c>
      <c r="L8424" s="382">
        <v>1.0</v>
      </c>
    </row>
    <row r="8425">
      <c r="A8425" s="380" t="s">
        <v>9299</v>
      </c>
      <c r="B8425" s="380" t="str">
        <f>IFERROR(__xludf.DUMMYFUNCTION("""COMPUTED_VALUE"""),"Parabris Laminad Foton BJ1030 5946741668")</f>
        <v>Parabris Laminad Foton BJ1030 5946741668</v>
      </c>
      <c r="C8425" s="380" t="str">
        <f>IFERROR(__xludf.DUMMYFUNCTION("""COMPUTED_VALUE"""),"70003844")</f>
        <v>70003844</v>
      </c>
      <c r="D8425" s="380" t="s">
        <v>767</v>
      </c>
      <c r="E8425" s="380" t="s">
        <v>786</v>
      </c>
      <c r="F8425" s="380" t="s">
        <v>792</v>
      </c>
      <c r="G8425" s="380" t="s">
        <v>1267</v>
      </c>
      <c r="H8425" s="380" t="s">
        <v>771</v>
      </c>
      <c r="I8425" s="380" t="s">
        <v>788</v>
      </c>
      <c r="J8425" s="380" t="s">
        <v>773</v>
      </c>
      <c r="K8425" s="381">
        <v>0.0</v>
      </c>
      <c r="L8425" s="382">
        <v>1.0</v>
      </c>
    </row>
    <row r="8426">
      <c r="A8426" s="380" t="s">
        <v>9300</v>
      </c>
      <c r="B8426" s="380" t="str">
        <f>IFERROR(__xludf.DUMMYFUNCTION("""COMPUTED_VALUE"""),"Manija Carte Lado Der Jac Jhr 6102021LD0")</f>
        <v>Manija Carte Lado Der Jac Jhr 6102021LD0</v>
      </c>
      <c r="C8426" s="380" t="str">
        <f>IFERROR(__xludf.DUMMYFUNCTION("""COMPUTED_VALUE"""),"70003845")</f>
        <v>70003845</v>
      </c>
      <c r="D8426" s="380" t="s">
        <v>767</v>
      </c>
      <c r="E8426" s="380" t="s">
        <v>786</v>
      </c>
      <c r="F8426" s="380" t="s">
        <v>792</v>
      </c>
      <c r="G8426" s="380" t="s">
        <v>1267</v>
      </c>
      <c r="H8426" s="380" t="s">
        <v>771</v>
      </c>
      <c r="I8426" s="380" t="s">
        <v>788</v>
      </c>
      <c r="J8426" s="380" t="s">
        <v>773</v>
      </c>
      <c r="K8426" s="381">
        <v>0.0</v>
      </c>
      <c r="L8426" s="382">
        <v>1.0</v>
      </c>
    </row>
    <row r="8427">
      <c r="A8427" s="380" t="s">
        <v>9301</v>
      </c>
      <c r="B8427" s="380" t="str">
        <f>IFERROR(__xludf.DUMMYFUNCTION("""COMPUTED_VALUE"""),"Espejo Panoramico Jac Jhr 8202120LE0")</f>
        <v>Espejo Panoramico Jac Jhr 8202120LE0</v>
      </c>
      <c r="C8427" s="380" t="str">
        <f>IFERROR(__xludf.DUMMYFUNCTION("""COMPUTED_VALUE"""),"70003846")</f>
        <v>70003846</v>
      </c>
      <c r="D8427" s="380" t="s">
        <v>767</v>
      </c>
      <c r="E8427" s="380" t="s">
        <v>786</v>
      </c>
      <c r="F8427" s="380" t="s">
        <v>792</v>
      </c>
      <c r="G8427" s="380" t="s">
        <v>1267</v>
      </c>
      <c r="H8427" s="380" t="s">
        <v>771</v>
      </c>
      <c r="I8427" s="380" t="s">
        <v>788</v>
      </c>
      <c r="J8427" s="380" t="s">
        <v>773</v>
      </c>
      <c r="K8427" s="381">
        <v>0.0</v>
      </c>
      <c r="L8427" s="382">
        <v>1.0</v>
      </c>
    </row>
    <row r="8428">
      <c r="A8428" s="380" t="s">
        <v>9302</v>
      </c>
      <c r="B8428" s="380" t="str">
        <f>IFERROR(__xludf.DUMMYFUNCTION("""COMPUTED_VALUE"""),"Apoyabr Lado Der Foton BJ1039 5946623551")</f>
        <v>Apoyabr Lado Der Foton BJ1039 5946623551</v>
      </c>
      <c r="C8428" s="380" t="str">
        <f>IFERROR(__xludf.DUMMYFUNCTION("""COMPUTED_VALUE"""),"70003847")</f>
        <v>70003847</v>
      </c>
      <c r="D8428" s="380" t="s">
        <v>767</v>
      </c>
      <c r="E8428" s="380" t="s">
        <v>786</v>
      </c>
      <c r="F8428" s="380" t="s">
        <v>792</v>
      </c>
      <c r="G8428" s="380" t="s">
        <v>1267</v>
      </c>
      <c r="H8428" s="380" t="s">
        <v>771</v>
      </c>
      <c r="I8428" s="380" t="s">
        <v>788</v>
      </c>
      <c r="J8428" s="380" t="s">
        <v>773</v>
      </c>
      <c r="K8428" s="381">
        <v>0.0</v>
      </c>
      <c r="L8428" s="382">
        <v>1.0</v>
      </c>
    </row>
    <row r="8429">
      <c r="A8429" s="380" t="s">
        <v>9303</v>
      </c>
      <c r="B8429" s="380" t="str">
        <f>IFERROR(__xludf.DUMMYFUNCTION("""COMPUTED_VALUE"""),"Tablero Instrumentos Nkr 2006 8973812941")</f>
        <v>Tablero Instrumentos Nkr 2006 8973812941</v>
      </c>
      <c r="C8429" s="380" t="str">
        <f>IFERROR(__xludf.DUMMYFUNCTION("""COMPUTED_VALUE"""),"70003848")</f>
        <v>70003848</v>
      </c>
      <c r="D8429" s="380" t="s">
        <v>767</v>
      </c>
      <c r="E8429" s="380" t="s">
        <v>786</v>
      </c>
      <c r="F8429" s="380" t="s">
        <v>792</v>
      </c>
      <c r="G8429" s="380" t="s">
        <v>1267</v>
      </c>
      <c r="H8429" s="380" t="s">
        <v>771</v>
      </c>
      <c r="I8429" s="380" t="s">
        <v>788</v>
      </c>
      <c r="J8429" s="380" t="s">
        <v>773</v>
      </c>
      <c r="K8429" s="381">
        <v>0.0</v>
      </c>
      <c r="L8429" s="382">
        <v>1.0</v>
      </c>
    </row>
    <row r="8430">
      <c r="A8430" s="380" t="s">
        <v>9304</v>
      </c>
      <c r="B8430" s="380" t="str">
        <f>IFERROR(__xludf.DUMMYFUNCTION("""COMPUTED_VALUE"""),"Tuerc Boq Limpi Hino Dutropro 8538337010")</f>
        <v>Tuerc Boq Limpi Hino Dutropro 8538337010</v>
      </c>
      <c r="C8430" s="380" t="str">
        <f>IFERROR(__xludf.DUMMYFUNCTION("""COMPUTED_VALUE"""),"70003849")</f>
        <v>70003849</v>
      </c>
      <c r="D8430" s="380" t="s">
        <v>767</v>
      </c>
      <c r="E8430" s="380" t="s">
        <v>786</v>
      </c>
      <c r="F8430" s="380" t="s">
        <v>792</v>
      </c>
      <c r="G8430" s="380" t="s">
        <v>1267</v>
      </c>
      <c r="H8430" s="380" t="s">
        <v>771</v>
      </c>
      <c r="I8430" s="380" t="s">
        <v>788</v>
      </c>
      <c r="J8430" s="380" t="s">
        <v>773</v>
      </c>
      <c r="K8430" s="381">
        <v>0.0</v>
      </c>
      <c r="L8430" s="382">
        <v>1.0</v>
      </c>
    </row>
    <row r="8431">
      <c r="A8431" s="380" t="s">
        <v>9305</v>
      </c>
      <c r="B8431" s="380" t="str">
        <f>IFERROR(__xludf.DUMMYFUNCTION("""COMPUTED_VALUE"""),"Boquilla Limpiab Foton BJ1039 1023683418")</f>
        <v>Boquilla Limpiab Foton BJ1039 1023683418</v>
      </c>
      <c r="C8431" s="380" t="str">
        <f>IFERROR(__xludf.DUMMYFUNCTION("""COMPUTED_VALUE"""),"70003850")</f>
        <v>70003850</v>
      </c>
      <c r="D8431" s="380" t="s">
        <v>767</v>
      </c>
      <c r="E8431" s="380" t="s">
        <v>786</v>
      </c>
      <c r="F8431" s="380" t="s">
        <v>792</v>
      </c>
      <c r="G8431" s="380" t="s">
        <v>1267</v>
      </c>
      <c r="H8431" s="380" t="s">
        <v>771</v>
      </c>
      <c r="I8431" s="380" t="s">
        <v>788</v>
      </c>
      <c r="J8431" s="380" t="s">
        <v>773</v>
      </c>
      <c r="K8431" s="381">
        <v>0.0</v>
      </c>
      <c r="L8431" s="382">
        <v>1.0</v>
      </c>
    </row>
    <row r="8432">
      <c r="A8432" s="380" t="s">
        <v>9306</v>
      </c>
      <c r="B8432" s="380" t="str">
        <f>IFERROR(__xludf.DUMMYFUNCTION("""COMPUTED_VALUE"""),"Esquin Izq Farola Foton 1039 1023699198")</f>
        <v>Esquin Izq Farola Foton 1039 1023699198</v>
      </c>
      <c r="C8432" s="380" t="str">
        <f>IFERROR(__xludf.DUMMYFUNCTION("""COMPUTED_VALUE"""),"70003851")</f>
        <v>70003851</v>
      </c>
      <c r="D8432" s="380" t="s">
        <v>767</v>
      </c>
      <c r="E8432" s="380" t="s">
        <v>786</v>
      </c>
      <c r="F8432" s="380" t="s">
        <v>792</v>
      </c>
      <c r="G8432" s="380" t="s">
        <v>1267</v>
      </c>
      <c r="H8432" s="380" t="s">
        <v>771</v>
      </c>
      <c r="I8432" s="380" t="s">
        <v>788</v>
      </c>
      <c r="J8432" s="380" t="s">
        <v>773</v>
      </c>
      <c r="K8432" s="381">
        <v>0.0</v>
      </c>
      <c r="L8432" s="382">
        <v>1.0</v>
      </c>
    </row>
    <row r="8433">
      <c r="A8433" s="380" t="s">
        <v>9307</v>
      </c>
      <c r="B8433" s="380" t="str">
        <f>IFERROR(__xludf.DUMMYFUNCTION("""COMPUTED_VALUE"""),"Bocel Izq Farola Foton 1039 1023699174")</f>
        <v>Bocel Izq Farola Foton 1039 1023699174</v>
      </c>
      <c r="C8433" s="380" t="str">
        <f>IFERROR(__xludf.DUMMYFUNCTION("""COMPUTED_VALUE"""),"70003852")</f>
        <v>70003852</v>
      </c>
      <c r="D8433" s="380" t="s">
        <v>767</v>
      </c>
      <c r="E8433" s="380" t="s">
        <v>786</v>
      </c>
      <c r="F8433" s="380" t="s">
        <v>792</v>
      </c>
      <c r="G8433" s="380" t="s">
        <v>1267</v>
      </c>
      <c r="H8433" s="380" t="s">
        <v>771</v>
      </c>
      <c r="I8433" s="380" t="s">
        <v>788</v>
      </c>
      <c r="J8433" s="380" t="s">
        <v>773</v>
      </c>
      <c r="K8433" s="381">
        <v>0.0</v>
      </c>
      <c r="L8433" s="382">
        <v>1.0</v>
      </c>
    </row>
    <row r="8434">
      <c r="A8434" s="380" t="s">
        <v>9308</v>
      </c>
      <c r="B8434" s="380" t="str">
        <f>IFERROR(__xludf.DUMMYFUNCTION("""COMPUTED_VALUE"""),"Barra Estabilizadora 0844643-9")</f>
        <v>Barra Estabilizadora 0844643-9</v>
      </c>
      <c r="C8434" s="380" t="str">
        <f>IFERROR(__xludf.DUMMYFUNCTION("""COMPUTED_VALUE"""),"70003853")</f>
        <v>70003853</v>
      </c>
      <c r="D8434" s="380" t="s">
        <v>767</v>
      </c>
      <c r="E8434" s="380" t="s">
        <v>786</v>
      </c>
      <c r="F8434" s="380" t="s">
        <v>792</v>
      </c>
      <c r="G8434" s="380" t="s">
        <v>1267</v>
      </c>
      <c r="H8434" s="380" t="s">
        <v>771</v>
      </c>
      <c r="I8434" s="380" t="s">
        <v>788</v>
      </c>
      <c r="J8434" s="380" t="s">
        <v>773</v>
      </c>
      <c r="K8434" s="381">
        <v>0.0</v>
      </c>
      <c r="L8434" s="382">
        <v>1.0</v>
      </c>
    </row>
    <row r="8435">
      <c r="A8435" s="380" t="s">
        <v>9309</v>
      </c>
      <c r="B8435" s="380" t="str">
        <f>IFERROR(__xludf.DUMMYFUNCTION("""COMPUTED_VALUE"""),"Barra Estabilizadora SB-Cabina")</f>
        <v>Barra Estabilizadora SB-Cabina</v>
      </c>
      <c r="C8435" s="380" t="str">
        <f>IFERROR(__xludf.DUMMYFUNCTION("""COMPUTED_VALUE"""),"70003854")</f>
        <v>70003854</v>
      </c>
      <c r="D8435" s="380" t="s">
        <v>767</v>
      </c>
      <c r="E8435" s="380" t="s">
        <v>786</v>
      </c>
      <c r="F8435" s="380" t="s">
        <v>792</v>
      </c>
      <c r="G8435" s="380" t="s">
        <v>1267</v>
      </c>
      <c r="H8435" s="380" t="s">
        <v>771</v>
      </c>
      <c r="I8435" s="380" t="s">
        <v>788</v>
      </c>
      <c r="J8435" s="380" t="s">
        <v>773</v>
      </c>
      <c r="K8435" s="381">
        <v>0.0</v>
      </c>
      <c r="L8435" s="382">
        <v>1.0</v>
      </c>
    </row>
    <row r="8436">
      <c r="A8436" s="380" t="s">
        <v>9310</v>
      </c>
      <c r="B8436" s="380" t="str">
        <f>IFERROR(__xludf.DUMMYFUNCTION("""COMPUTED_VALUE"""),"Tapa Tanque Acpm Eagle 2040851C91")</f>
        <v>Tapa Tanque Acpm Eagle 2040851C91</v>
      </c>
      <c r="C8436" s="380" t="str">
        <f>IFERROR(__xludf.DUMMYFUNCTION("""COMPUTED_VALUE"""),"70003855")</f>
        <v>70003855</v>
      </c>
      <c r="D8436" s="380" t="s">
        <v>767</v>
      </c>
      <c r="E8436" s="380" t="s">
        <v>786</v>
      </c>
      <c r="F8436" s="380" t="s">
        <v>792</v>
      </c>
      <c r="G8436" s="380" t="s">
        <v>1267</v>
      </c>
      <c r="H8436" s="380" t="s">
        <v>771</v>
      </c>
      <c r="I8436" s="380" t="s">
        <v>788</v>
      </c>
      <c r="J8436" s="380" t="s">
        <v>773</v>
      </c>
      <c r="K8436" s="381">
        <v>58712.0</v>
      </c>
      <c r="L8436" s="382">
        <v>1.0</v>
      </c>
    </row>
    <row r="8437">
      <c r="A8437" s="380" t="s">
        <v>9311</v>
      </c>
      <c r="B8437" s="380" t="str">
        <f>IFERROR(__xludf.DUMMYFUNCTION("""COMPUTED_VALUE"""),"Tapa Tanque Limpiabrisas 1514465 C1")</f>
        <v>Tapa Tanque Limpiabrisas 1514465 C1</v>
      </c>
      <c r="C8437" s="380" t="str">
        <f>IFERROR(__xludf.DUMMYFUNCTION("""COMPUTED_VALUE"""),"70003856")</f>
        <v>70003856</v>
      </c>
      <c r="D8437" s="380" t="s">
        <v>767</v>
      </c>
      <c r="E8437" s="380" t="s">
        <v>786</v>
      </c>
      <c r="F8437" s="380" t="s">
        <v>792</v>
      </c>
      <c r="G8437" s="380" t="s">
        <v>1267</v>
      </c>
      <c r="H8437" s="380" t="s">
        <v>771</v>
      </c>
      <c r="I8437" s="380" t="s">
        <v>788</v>
      </c>
      <c r="J8437" s="380" t="s">
        <v>773</v>
      </c>
      <c r="K8437" s="381">
        <v>33915.0</v>
      </c>
      <c r="L8437" s="382">
        <v>1.0</v>
      </c>
    </row>
    <row r="8438">
      <c r="A8438" s="380" t="s">
        <v>9312</v>
      </c>
      <c r="B8438" s="380" t="str">
        <f>IFERROR(__xludf.DUMMYFUNCTION("""COMPUTED_VALUE"""),"Brazo Plumilla Der Foton 1039 1023164191")</f>
        <v>Brazo Plumilla Der Foton 1039 1023164191</v>
      </c>
      <c r="C8438" s="380" t="str">
        <f>IFERROR(__xludf.DUMMYFUNCTION("""COMPUTED_VALUE"""),"70003857")</f>
        <v>70003857</v>
      </c>
      <c r="D8438" s="380" t="s">
        <v>767</v>
      </c>
      <c r="E8438" s="380" t="s">
        <v>786</v>
      </c>
      <c r="F8438" s="380" t="s">
        <v>792</v>
      </c>
      <c r="G8438" s="380" t="s">
        <v>1267</v>
      </c>
      <c r="H8438" s="380" t="s">
        <v>771</v>
      </c>
      <c r="I8438" s="380" t="s">
        <v>788</v>
      </c>
      <c r="J8438" s="380" t="s">
        <v>773</v>
      </c>
      <c r="K8438" s="381">
        <v>0.0</v>
      </c>
      <c r="L8438" s="382">
        <v>1.0</v>
      </c>
    </row>
    <row r="8439">
      <c r="A8439" s="380" t="s">
        <v>9313</v>
      </c>
      <c r="B8439" s="380" t="str">
        <f>IFERROR(__xludf.DUMMYFUNCTION("""COMPUTED_VALUE"""),"Agarrad Int Pta Der Foton1039 5946623551")</f>
        <v>Agarrad Int Pta Der Foton1039 5946623551</v>
      </c>
      <c r="C8439" s="380" t="str">
        <f>IFERROR(__xludf.DUMMYFUNCTION("""COMPUTED_VALUE"""),"70003858")</f>
        <v>70003858</v>
      </c>
      <c r="D8439" s="380" t="s">
        <v>767</v>
      </c>
      <c r="E8439" s="380" t="s">
        <v>786</v>
      </c>
      <c r="F8439" s="380" t="s">
        <v>792</v>
      </c>
      <c r="G8439" s="380" t="s">
        <v>1267</v>
      </c>
      <c r="H8439" s="380" t="s">
        <v>771</v>
      </c>
      <c r="I8439" s="380" t="s">
        <v>788</v>
      </c>
      <c r="J8439" s="380" t="s">
        <v>773</v>
      </c>
      <c r="K8439" s="381">
        <v>0.0</v>
      </c>
      <c r="L8439" s="382">
        <v>1.0</v>
      </c>
    </row>
    <row r="8440">
      <c r="A8440" s="380" t="s">
        <v>9314</v>
      </c>
      <c r="B8440" s="380" t="str">
        <f>IFERROR(__xludf.DUMMYFUNCTION("""COMPUTED_VALUE"""),"Bomper Front Foton BJ 1039 7705946305143")</f>
        <v>Bomper Front Foton BJ 1039 7705946305143</v>
      </c>
      <c r="C8440" s="380" t="str">
        <f>IFERROR(__xludf.DUMMYFUNCTION("""COMPUTED_VALUE"""),"70003859")</f>
        <v>70003859</v>
      </c>
      <c r="D8440" s="380" t="s">
        <v>767</v>
      </c>
      <c r="E8440" s="380" t="s">
        <v>786</v>
      </c>
      <c r="F8440" s="380" t="s">
        <v>792</v>
      </c>
      <c r="G8440" s="380" t="s">
        <v>1267</v>
      </c>
      <c r="H8440" s="380" t="s">
        <v>771</v>
      </c>
      <c r="I8440" s="380" t="s">
        <v>788</v>
      </c>
      <c r="J8440" s="380" t="s">
        <v>773</v>
      </c>
      <c r="K8440" s="381">
        <v>0.0</v>
      </c>
      <c r="L8440" s="382">
        <v>1.0</v>
      </c>
    </row>
    <row r="8441">
      <c r="A8441" s="380" t="s">
        <v>9315</v>
      </c>
      <c r="B8441" s="380" t="str">
        <f>IFERROR(__xludf.DUMMYFUNCTION("""COMPUTED_VALUE"""),"Persian Front Logo Red BJ1039 7705946298")</f>
        <v>Persian Front Logo Red BJ1039 7705946298</v>
      </c>
      <c r="C8441" s="380" t="str">
        <f>IFERROR(__xludf.DUMMYFUNCTION("""COMPUTED_VALUE"""),"70003860")</f>
        <v>70003860</v>
      </c>
      <c r="D8441" s="380" t="s">
        <v>767</v>
      </c>
      <c r="E8441" s="380" t="s">
        <v>786</v>
      </c>
      <c r="F8441" s="380" t="s">
        <v>792</v>
      </c>
      <c r="G8441" s="380" t="s">
        <v>1267</v>
      </c>
      <c r="H8441" s="380" t="s">
        <v>771</v>
      </c>
      <c r="I8441" s="380" t="s">
        <v>788</v>
      </c>
      <c r="J8441" s="380" t="s">
        <v>773</v>
      </c>
      <c r="K8441" s="381">
        <v>0.0</v>
      </c>
      <c r="L8441" s="382">
        <v>1.0</v>
      </c>
    </row>
    <row r="8442">
      <c r="A8442" s="380" t="s">
        <v>9316</v>
      </c>
      <c r="B8442" s="380" t="str">
        <f>IFERROR(__xludf.DUMMYFUNCTION("""COMPUTED_VALUE"""),"Kit Suspens Tras Cabina Eagle 3816911C91")</f>
        <v>Kit Suspens Tras Cabina Eagle 3816911C91</v>
      </c>
      <c r="C8442" s="380" t="str">
        <f>IFERROR(__xludf.DUMMYFUNCTION("""COMPUTED_VALUE"""),"70003861")</f>
        <v>70003861</v>
      </c>
      <c r="D8442" s="380" t="s">
        <v>767</v>
      </c>
      <c r="E8442" s="380" t="s">
        <v>786</v>
      </c>
      <c r="F8442" s="380" t="s">
        <v>792</v>
      </c>
      <c r="G8442" s="380" t="s">
        <v>1267</v>
      </c>
      <c r="H8442" s="380" t="s">
        <v>771</v>
      </c>
      <c r="I8442" s="380" t="s">
        <v>788</v>
      </c>
      <c r="J8442" s="380" t="s">
        <v>773</v>
      </c>
      <c r="K8442" s="381">
        <v>0.0</v>
      </c>
      <c r="L8442" s="382">
        <v>1.0</v>
      </c>
    </row>
    <row r="8443">
      <c r="A8443" s="380" t="s">
        <v>9317</v>
      </c>
      <c r="B8443" s="380" t="str">
        <f>IFERROR(__xludf.DUMMYFUNCTION("""COMPUTED_VALUE"""),"Manija Puerta Tras Foton MV5 5946024440")</f>
        <v>Manija Puerta Tras Foton MV5 5946024440</v>
      </c>
      <c r="C8443" s="380" t="str">
        <f>IFERROR(__xludf.DUMMYFUNCTION("""COMPUTED_VALUE"""),"70003862")</f>
        <v>70003862</v>
      </c>
      <c r="D8443" s="380" t="s">
        <v>767</v>
      </c>
      <c r="E8443" s="380" t="s">
        <v>786</v>
      </c>
      <c r="F8443" s="380" t="s">
        <v>792</v>
      </c>
      <c r="G8443" s="380" t="s">
        <v>1267</v>
      </c>
      <c r="H8443" s="380" t="s">
        <v>771</v>
      </c>
      <c r="I8443" s="380" t="s">
        <v>788</v>
      </c>
      <c r="J8443" s="380" t="s">
        <v>773</v>
      </c>
      <c r="K8443" s="381">
        <v>63999.0</v>
      </c>
      <c r="L8443" s="382">
        <v>1.0</v>
      </c>
    </row>
    <row r="8444">
      <c r="A8444" s="380" t="s">
        <v>9318</v>
      </c>
      <c r="B8444" s="380" t="str">
        <f>IFERROR(__xludf.DUMMYFUNCTION("""COMPUTED_VALUE"""),"Vidrio Tras Foton MV5 7705946175395")</f>
        <v>Vidrio Tras Foton MV5 7705946175395</v>
      </c>
      <c r="C8444" s="380" t="str">
        <f>IFERROR(__xludf.DUMMYFUNCTION("""COMPUTED_VALUE"""),"70003863")</f>
        <v>70003863</v>
      </c>
      <c r="D8444" s="380" t="s">
        <v>767</v>
      </c>
      <c r="E8444" s="380" t="s">
        <v>786</v>
      </c>
      <c r="F8444" s="380" t="s">
        <v>792</v>
      </c>
      <c r="G8444" s="380" t="s">
        <v>1267</v>
      </c>
      <c r="H8444" s="380" t="s">
        <v>771</v>
      </c>
      <c r="I8444" s="380" t="s">
        <v>788</v>
      </c>
      <c r="J8444" s="380" t="s">
        <v>773</v>
      </c>
      <c r="K8444" s="381">
        <v>0.0</v>
      </c>
      <c r="L8444" s="382">
        <v>1.0</v>
      </c>
    </row>
    <row r="8445">
      <c r="A8445" s="380" t="s">
        <v>9319</v>
      </c>
      <c r="B8445" s="380" t="str">
        <f>IFERROR(__xludf.DUMMYFUNCTION("""COMPUTED_VALUE"""),"Vidrio Puerta Der Foton 1039")</f>
        <v>Vidrio Puerta Der Foton 1039</v>
      </c>
      <c r="C8445" s="380" t="str">
        <f>IFERROR(__xludf.DUMMYFUNCTION("""COMPUTED_VALUE"""),"70003864")</f>
        <v>70003864</v>
      </c>
      <c r="D8445" s="380" t="s">
        <v>767</v>
      </c>
      <c r="E8445" s="380" t="s">
        <v>786</v>
      </c>
      <c r="F8445" s="380" t="s">
        <v>792</v>
      </c>
      <c r="G8445" s="380" t="s">
        <v>1267</v>
      </c>
      <c r="H8445" s="380" t="s">
        <v>771</v>
      </c>
      <c r="I8445" s="380" t="s">
        <v>788</v>
      </c>
      <c r="J8445" s="380" t="s">
        <v>773</v>
      </c>
      <c r="K8445" s="381">
        <v>0.0</v>
      </c>
      <c r="L8445" s="382">
        <v>1.0</v>
      </c>
    </row>
    <row r="8446">
      <c r="A8446" s="380" t="s">
        <v>9320</v>
      </c>
      <c r="B8446" s="380" t="str">
        <f>IFERROR(__xludf.DUMMYFUNCTION("""COMPUTED_VALUE"""),"Vidrio Puerta Izq Foton 1039")</f>
        <v>Vidrio Puerta Izq Foton 1039</v>
      </c>
      <c r="C8446" s="380" t="str">
        <f>IFERROR(__xludf.DUMMYFUNCTION("""COMPUTED_VALUE"""),"70003865")</f>
        <v>70003865</v>
      </c>
      <c r="D8446" s="380" t="s">
        <v>767</v>
      </c>
      <c r="E8446" s="380" t="s">
        <v>786</v>
      </c>
      <c r="F8446" s="380" t="s">
        <v>792</v>
      </c>
      <c r="G8446" s="380" t="s">
        <v>1267</v>
      </c>
      <c r="H8446" s="380" t="s">
        <v>771</v>
      </c>
      <c r="I8446" s="380" t="s">
        <v>788</v>
      </c>
      <c r="J8446" s="380" t="s">
        <v>773</v>
      </c>
      <c r="K8446" s="381">
        <v>0.0</v>
      </c>
      <c r="L8446" s="382">
        <v>1.0</v>
      </c>
    </row>
    <row r="8447">
      <c r="A8447" s="380" t="s">
        <v>9321</v>
      </c>
      <c r="B8447" s="380" t="str">
        <f>IFERROR(__xludf.DUMMYFUNCTION("""COMPUTED_VALUE"""),"Sopor Cauch Cabi KW T800 Md2012 R13-1011")</f>
        <v>Sopor Cauch Cabi KW T800 Md2012 R13-1011</v>
      </c>
      <c r="C8447" s="380" t="str">
        <f>IFERROR(__xludf.DUMMYFUNCTION("""COMPUTED_VALUE"""),"70003866")</f>
        <v>70003866</v>
      </c>
      <c r="D8447" s="380" t="s">
        <v>767</v>
      </c>
      <c r="E8447" s="380" t="s">
        <v>786</v>
      </c>
      <c r="F8447" s="380" t="s">
        <v>792</v>
      </c>
      <c r="G8447" s="380" t="s">
        <v>1267</v>
      </c>
      <c r="H8447" s="380" t="s">
        <v>771</v>
      </c>
      <c r="I8447" s="380" t="s">
        <v>788</v>
      </c>
      <c r="J8447" s="380" t="s">
        <v>773</v>
      </c>
      <c r="K8447" s="381">
        <v>0.0</v>
      </c>
      <c r="L8447" s="382">
        <v>1.0</v>
      </c>
    </row>
    <row r="8448">
      <c r="A8448" s="380" t="s">
        <v>9322</v>
      </c>
      <c r="B8448" s="380" t="str">
        <f>IFERROR(__xludf.DUMMYFUNCTION("""COMPUTED_VALUE"""),"Pin Persiana Foton 1129 1023973588")</f>
        <v>Pin Persiana Foton 1129 1023973588</v>
      </c>
      <c r="C8448" s="380" t="str">
        <f>IFERROR(__xludf.DUMMYFUNCTION("""COMPUTED_VALUE"""),"70003867")</f>
        <v>70003867</v>
      </c>
      <c r="D8448" s="380" t="s">
        <v>767</v>
      </c>
      <c r="E8448" s="380" t="s">
        <v>786</v>
      </c>
      <c r="F8448" s="380" t="s">
        <v>792</v>
      </c>
      <c r="G8448" s="380" t="s">
        <v>1267</v>
      </c>
      <c r="H8448" s="380" t="s">
        <v>771</v>
      </c>
      <c r="I8448" s="380" t="s">
        <v>788</v>
      </c>
      <c r="J8448" s="380" t="s">
        <v>773</v>
      </c>
      <c r="K8448" s="381">
        <v>0.0</v>
      </c>
      <c r="L8448" s="382">
        <v>1.0</v>
      </c>
    </row>
    <row r="8449">
      <c r="A8449" s="380" t="s">
        <v>9323</v>
      </c>
      <c r="B8449" s="380" t="str">
        <f>IFERROR(__xludf.DUMMYFUNCTION("""COMPUTED_VALUE"""),"Boton Persiana Foton 1129 1023714303")</f>
        <v>Boton Persiana Foton 1129 1023714303</v>
      </c>
      <c r="C8449" s="380" t="str">
        <f>IFERROR(__xludf.DUMMYFUNCTION("""COMPUTED_VALUE"""),"70003868")</f>
        <v>70003868</v>
      </c>
      <c r="D8449" s="380" t="s">
        <v>767</v>
      </c>
      <c r="E8449" s="380" t="s">
        <v>786</v>
      </c>
      <c r="F8449" s="380" t="s">
        <v>792</v>
      </c>
      <c r="G8449" s="380" t="s">
        <v>1267</v>
      </c>
      <c r="H8449" s="380" t="s">
        <v>771</v>
      </c>
      <c r="I8449" s="380" t="s">
        <v>788</v>
      </c>
      <c r="J8449" s="380" t="s">
        <v>773</v>
      </c>
      <c r="K8449" s="381">
        <v>0.0</v>
      </c>
      <c r="L8449" s="382">
        <v>1.0</v>
      </c>
    </row>
    <row r="8450">
      <c r="A8450" s="380" t="s">
        <v>9324</v>
      </c>
      <c r="B8450" s="380" t="str">
        <f>IFERROR(__xludf.DUMMYFUNCTION("""COMPUTED_VALUE"""),"Decora Farola Del Der Fot1129 1023521123")</f>
        <v>Decora Farola Del Der Fot1129 1023521123</v>
      </c>
      <c r="C8450" s="380" t="str">
        <f>IFERROR(__xludf.DUMMYFUNCTION("""COMPUTED_VALUE"""),"70003869")</f>
        <v>70003869</v>
      </c>
      <c r="D8450" s="380" t="s">
        <v>767</v>
      </c>
      <c r="E8450" s="380" t="s">
        <v>786</v>
      </c>
      <c r="F8450" s="380" t="s">
        <v>792</v>
      </c>
      <c r="G8450" s="380" t="s">
        <v>1267</v>
      </c>
      <c r="H8450" s="380" t="s">
        <v>771</v>
      </c>
      <c r="I8450" s="380" t="s">
        <v>788</v>
      </c>
      <c r="J8450" s="380" t="s">
        <v>773</v>
      </c>
      <c r="K8450" s="381">
        <v>0.0</v>
      </c>
      <c r="L8450" s="382">
        <v>1.0</v>
      </c>
    </row>
    <row r="8451">
      <c r="A8451" s="380" t="s">
        <v>9325</v>
      </c>
      <c r="B8451" s="380" t="str">
        <f>IFERROR(__xludf.DUMMYFUNCTION("""COMPUTED_VALUE"""),"Persiana Camion Foton 1129 1023079297")</f>
        <v>Persiana Camion Foton 1129 1023079297</v>
      </c>
      <c r="C8451" s="380" t="str">
        <f>IFERROR(__xludf.DUMMYFUNCTION("""COMPUTED_VALUE"""),"70003870")</f>
        <v>70003870</v>
      </c>
      <c r="D8451" s="380" t="s">
        <v>767</v>
      </c>
      <c r="E8451" s="380" t="s">
        <v>786</v>
      </c>
      <c r="F8451" s="380" t="s">
        <v>792</v>
      </c>
      <c r="G8451" s="380" t="s">
        <v>1267</v>
      </c>
      <c r="H8451" s="380" t="s">
        <v>771</v>
      </c>
      <c r="I8451" s="380" t="s">
        <v>788</v>
      </c>
      <c r="J8451" s="380" t="s">
        <v>773</v>
      </c>
      <c r="K8451" s="381">
        <v>0.0</v>
      </c>
      <c r="L8451" s="382">
        <v>1.0</v>
      </c>
    </row>
    <row r="8452">
      <c r="A8452" s="380" t="s">
        <v>9326</v>
      </c>
      <c r="B8452" s="380" t="str">
        <f>IFERROR(__xludf.DUMMYFUNCTION("""COMPUTED_VALUE"""),"Bomper Camion Foton 1129 1023079303")</f>
        <v>Bomper Camion Foton 1129 1023079303</v>
      </c>
      <c r="C8452" s="380" t="str">
        <f>IFERROR(__xludf.DUMMYFUNCTION("""COMPUTED_VALUE"""),"70003871")</f>
        <v>70003871</v>
      </c>
      <c r="D8452" s="380" t="s">
        <v>767</v>
      </c>
      <c r="E8452" s="380" t="s">
        <v>786</v>
      </c>
      <c r="F8452" s="380" t="s">
        <v>792</v>
      </c>
      <c r="G8452" s="380" t="s">
        <v>1267</v>
      </c>
      <c r="H8452" s="380" t="s">
        <v>771</v>
      </c>
      <c r="I8452" s="380" t="s">
        <v>788</v>
      </c>
      <c r="J8452" s="380" t="s">
        <v>773</v>
      </c>
      <c r="K8452" s="381">
        <v>0.0</v>
      </c>
      <c r="L8452" s="382">
        <v>1.0</v>
      </c>
    </row>
    <row r="8453">
      <c r="A8453" s="380" t="s">
        <v>9327</v>
      </c>
      <c r="B8453" s="380" t="str">
        <f>IFERROR(__xludf.DUMMYFUNCTION("""COMPUTED_VALUE"""),"Manija Int Del Der Foton 1129 1023822169")</f>
        <v>Manija Int Del Der Foton 1129 1023822169</v>
      </c>
      <c r="C8453" s="380" t="str">
        <f>IFERROR(__xludf.DUMMYFUNCTION("""COMPUTED_VALUE"""),"70003872")</f>
        <v>70003872</v>
      </c>
      <c r="D8453" s="380" t="s">
        <v>767</v>
      </c>
      <c r="E8453" s="380" t="s">
        <v>786</v>
      </c>
      <c r="F8453" s="380" t="s">
        <v>792</v>
      </c>
      <c r="G8453" s="380" t="s">
        <v>1267</v>
      </c>
      <c r="H8453" s="380" t="s">
        <v>771</v>
      </c>
      <c r="I8453" s="380" t="s">
        <v>788</v>
      </c>
      <c r="J8453" s="380" t="s">
        <v>773</v>
      </c>
      <c r="K8453" s="381">
        <v>0.0</v>
      </c>
      <c r="L8453" s="382">
        <v>1.0</v>
      </c>
    </row>
    <row r="8454">
      <c r="A8454" s="380" t="s">
        <v>9328</v>
      </c>
      <c r="B8454" s="380" t="str">
        <f>IFERROR(__xludf.DUMMYFUNCTION("""COMPUTED_VALUE"""),"Tapa Combustible Jac Jhr 1103010LD291")</f>
        <v>Tapa Combustible Jac Jhr 1103010LD291</v>
      </c>
      <c r="C8454" s="380" t="str">
        <f>IFERROR(__xludf.DUMMYFUNCTION("""COMPUTED_VALUE"""),"70003873")</f>
        <v>70003873</v>
      </c>
      <c r="D8454" s="380" t="s">
        <v>767</v>
      </c>
      <c r="E8454" s="380" t="s">
        <v>786</v>
      </c>
      <c r="F8454" s="380" t="s">
        <v>792</v>
      </c>
      <c r="G8454" s="380" t="s">
        <v>1267</v>
      </c>
      <c r="H8454" s="380" t="s">
        <v>771</v>
      </c>
      <c r="I8454" s="380" t="s">
        <v>788</v>
      </c>
      <c r="J8454" s="380" t="s">
        <v>773</v>
      </c>
      <c r="K8454" s="381">
        <v>0.0</v>
      </c>
      <c r="L8454" s="382">
        <v>1.0</v>
      </c>
    </row>
    <row r="8455">
      <c r="A8455" s="380" t="s">
        <v>9329</v>
      </c>
      <c r="B8455" s="380" t="str">
        <f>IFERROR(__xludf.DUMMYFUNCTION("""COMPUTED_VALUE"""),"Bomper Del Jac Jhr 2803101LD010-1R00")</f>
        <v>Bomper Del Jac Jhr 2803101LD010-1R00</v>
      </c>
      <c r="C8455" s="380" t="str">
        <f>IFERROR(__xludf.DUMMYFUNCTION("""COMPUTED_VALUE"""),"70003874")</f>
        <v>70003874</v>
      </c>
      <c r="D8455" s="380" t="s">
        <v>767</v>
      </c>
      <c r="E8455" s="380" t="s">
        <v>786</v>
      </c>
      <c r="F8455" s="380" t="s">
        <v>792</v>
      </c>
      <c r="G8455" s="380" t="s">
        <v>1267</v>
      </c>
      <c r="H8455" s="380" t="s">
        <v>771</v>
      </c>
      <c r="I8455" s="380" t="s">
        <v>788</v>
      </c>
      <c r="J8455" s="380" t="s">
        <v>773</v>
      </c>
      <c r="K8455" s="381">
        <v>0.0</v>
      </c>
      <c r="L8455" s="382">
        <v>1.0</v>
      </c>
    </row>
    <row r="8456">
      <c r="A8456" s="380" t="s">
        <v>9330</v>
      </c>
      <c r="B8456" s="380" t="str">
        <f>IFERROR(__xludf.DUMMYFUNCTION("""COMPUTED_VALUE"""),"Espejo Retrovisor Der Prostar 3594844C3")</f>
        <v>Espejo Retrovisor Der Prostar 3594844C3</v>
      </c>
      <c r="C8456" s="380" t="str">
        <f>IFERROR(__xludf.DUMMYFUNCTION("""COMPUTED_VALUE"""),"70003875")</f>
        <v>70003875</v>
      </c>
      <c r="D8456" s="380" t="s">
        <v>767</v>
      </c>
      <c r="E8456" s="380" t="s">
        <v>786</v>
      </c>
      <c r="F8456" s="380" t="s">
        <v>792</v>
      </c>
      <c r="G8456" s="380" t="s">
        <v>1267</v>
      </c>
      <c r="H8456" s="380" t="s">
        <v>771</v>
      </c>
      <c r="I8456" s="380" t="s">
        <v>788</v>
      </c>
      <c r="J8456" s="380" t="s">
        <v>773</v>
      </c>
      <c r="K8456" s="381">
        <v>0.0</v>
      </c>
      <c r="L8456" s="382">
        <v>1.0</v>
      </c>
    </row>
    <row r="8457">
      <c r="A8457" s="380" t="s">
        <v>9331</v>
      </c>
      <c r="B8457" s="380" t="str">
        <f>IFERROR(__xludf.DUMMYFUNCTION("""COMPUTED_VALUE"""),"Espejo Der Hino 500 8,79E+75")</f>
        <v>Espejo Der Hino 500 8,79E+75</v>
      </c>
      <c r="C8457" s="380" t="str">
        <f>IFERROR(__xludf.DUMMYFUNCTION("""COMPUTED_VALUE"""),"70003876")</f>
        <v>70003876</v>
      </c>
      <c r="D8457" s="380" t="s">
        <v>767</v>
      </c>
      <c r="E8457" s="380" t="s">
        <v>786</v>
      </c>
      <c r="F8457" s="380" t="s">
        <v>792</v>
      </c>
      <c r="G8457" s="380" t="s">
        <v>1267</v>
      </c>
      <c r="H8457" s="380" t="s">
        <v>771</v>
      </c>
      <c r="I8457" s="380" t="s">
        <v>788</v>
      </c>
      <c r="J8457" s="380" t="s">
        <v>773</v>
      </c>
      <c r="K8457" s="381">
        <v>0.0</v>
      </c>
      <c r="L8457" s="382">
        <v>1.0</v>
      </c>
    </row>
    <row r="8458">
      <c r="A8458" s="380" t="s">
        <v>9332</v>
      </c>
      <c r="B8458" s="380" t="str">
        <f>IFERROR(__xludf.DUMMYFUNCTION("""COMPUTED_VALUE"""),"Valvula Suspen Cabina KW T800 CRM171HOO6")</f>
        <v>Valvula Suspen Cabina KW T800 CRM171HOO6</v>
      </c>
      <c r="C8458" s="380" t="str">
        <f>IFERROR(__xludf.DUMMYFUNCTION("""COMPUTED_VALUE"""),"70003877")</f>
        <v>70003877</v>
      </c>
      <c r="D8458" s="380" t="s">
        <v>767</v>
      </c>
      <c r="E8458" s="380" t="s">
        <v>786</v>
      </c>
      <c r="F8458" s="380" t="s">
        <v>792</v>
      </c>
      <c r="G8458" s="380" t="s">
        <v>1267</v>
      </c>
      <c r="H8458" s="380" t="s">
        <v>771</v>
      </c>
      <c r="I8458" s="380" t="s">
        <v>788</v>
      </c>
      <c r="J8458" s="380" t="s">
        <v>773</v>
      </c>
      <c r="K8458" s="381">
        <v>333200.0</v>
      </c>
      <c r="L8458" s="382">
        <v>1.0</v>
      </c>
    </row>
    <row r="8459">
      <c r="A8459" s="380" t="s">
        <v>9333</v>
      </c>
      <c r="B8459" s="380" t="str">
        <f>IFERROR(__xludf.DUMMYFUNCTION("""COMPUTED_VALUE"""),"Extension Izq Capo Prostar 3608905C5")</f>
        <v>Extension Izq Capo Prostar 3608905C5</v>
      </c>
      <c r="C8459" s="380" t="str">
        <f>IFERROR(__xludf.DUMMYFUNCTION("""COMPUTED_VALUE"""),"70003878")</f>
        <v>70003878</v>
      </c>
      <c r="D8459" s="380" t="s">
        <v>767</v>
      </c>
      <c r="E8459" s="380" t="s">
        <v>786</v>
      </c>
      <c r="F8459" s="380" t="s">
        <v>792</v>
      </c>
      <c r="G8459" s="380" t="s">
        <v>1267</v>
      </c>
      <c r="H8459" s="380" t="s">
        <v>771</v>
      </c>
      <c r="I8459" s="380" t="s">
        <v>788</v>
      </c>
      <c r="J8459" s="380" t="s">
        <v>773</v>
      </c>
      <c r="K8459" s="381">
        <v>1175156.0</v>
      </c>
      <c r="L8459" s="382">
        <v>1.0</v>
      </c>
    </row>
    <row r="8460">
      <c r="A8460" s="380" t="s">
        <v>9334</v>
      </c>
      <c r="B8460" s="380" t="str">
        <f>IFERROR(__xludf.DUMMYFUNCTION("""COMPUTED_VALUE"""),"Persiana Cromada Prostar 36128816C93")</f>
        <v>Persiana Cromada Prostar 36128816C93</v>
      </c>
      <c r="C8460" s="380" t="str">
        <f>IFERROR(__xludf.DUMMYFUNCTION("""COMPUTED_VALUE"""),"70003879")</f>
        <v>70003879</v>
      </c>
      <c r="D8460" s="380" t="s">
        <v>767</v>
      </c>
      <c r="E8460" s="380" t="s">
        <v>786</v>
      </c>
      <c r="F8460" s="380" t="s">
        <v>792</v>
      </c>
      <c r="G8460" s="380" t="s">
        <v>1267</v>
      </c>
      <c r="H8460" s="380" t="s">
        <v>771</v>
      </c>
      <c r="I8460" s="380" t="s">
        <v>788</v>
      </c>
      <c r="J8460" s="380" t="s">
        <v>773</v>
      </c>
      <c r="K8460" s="381">
        <v>0.0</v>
      </c>
      <c r="L8460" s="382">
        <v>1.0</v>
      </c>
    </row>
    <row r="8461">
      <c r="A8461" s="380" t="s">
        <v>9335</v>
      </c>
      <c r="B8461" s="380" t="str">
        <f>IFERROR(__xludf.DUMMYFUNCTION("""COMPUTED_VALUE"""),"Soporte Bomper Prostar 3606462C7")</f>
        <v>Soporte Bomper Prostar 3606462C7</v>
      </c>
      <c r="C8461" s="380" t="str">
        <f>IFERROR(__xludf.DUMMYFUNCTION("""COMPUTED_VALUE"""),"70003880")</f>
        <v>70003880</v>
      </c>
      <c r="D8461" s="380" t="s">
        <v>767</v>
      </c>
      <c r="E8461" s="380" t="s">
        <v>786</v>
      </c>
      <c r="F8461" s="380" t="s">
        <v>792</v>
      </c>
      <c r="G8461" s="380" t="s">
        <v>1267</v>
      </c>
      <c r="H8461" s="380" t="s">
        <v>771</v>
      </c>
      <c r="I8461" s="380" t="s">
        <v>788</v>
      </c>
      <c r="J8461" s="380" t="s">
        <v>773</v>
      </c>
      <c r="K8461" s="381">
        <v>0.0</v>
      </c>
      <c r="L8461" s="382">
        <v>1.0</v>
      </c>
    </row>
    <row r="8462">
      <c r="A8462" s="380" t="s">
        <v>9336</v>
      </c>
      <c r="B8462" s="380" t="str">
        <f>IFERROR(__xludf.DUMMYFUNCTION("""COMPUTED_VALUE"""),"Manija Int Pta Der Foton 1129 1023344531")</f>
        <v>Manija Int Pta Der Foton 1129 1023344531</v>
      </c>
      <c r="C8462" s="380" t="str">
        <f>IFERROR(__xludf.DUMMYFUNCTION("""COMPUTED_VALUE"""),"70003881")</f>
        <v>70003881</v>
      </c>
      <c r="D8462" s="380" t="s">
        <v>767</v>
      </c>
      <c r="E8462" s="380" t="s">
        <v>786</v>
      </c>
      <c r="F8462" s="380" t="s">
        <v>792</v>
      </c>
      <c r="G8462" s="380" t="s">
        <v>1267</v>
      </c>
      <c r="H8462" s="380" t="s">
        <v>771</v>
      </c>
      <c r="I8462" s="380" t="s">
        <v>788</v>
      </c>
      <c r="J8462" s="380" t="s">
        <v>773</v>
      </c>
      <c r="K8462" s="381">
        <v>0.0</v>
      </c>
      <c r="L8462" s="382">
        <v>1.0</v>
      </c>
    </row>
    <row r="8463">
      <c r="A8463" s="380" t="s">
        <v>9337</v>
      </c>
      <c r="B8463" s="380" t="str">
        <f>IFERROR(__xludf.DUMMYFUNCTION("""COMPUTED_VALUE"""),"Manija Int Pta Izq Foton 1129 1023344524")</f>
        <v>Manija Int Pta Izq Foton 1129 1023344524</v>
      </c>
      <c r="C8463" s="380" t="str">
        <f>IFERROR(__xludf.DUMMYFUNCTION("""COMPUTED_VALUE"""),"70003882")</f>
        <v>70003882</v>
      </c>
      <c r="D8463" s="380" t="s">
        <v>767</v>
      </c>
      <c r="E8463" s="380" t="s">
        <v>786</v>
      </c>
      <c r="F8463" s="380" t="s">
        <v>792</v>
      </c>
      <c r="G8463" s="380" t="s">
        <v>1267</v>
      </c>
      <c r="H8463" s="380" t="s">
        <v>771</v>
      </c>
      <c r="I8463" s="380" t="s">
        <v>788</v>
      </c>
      <c r="J8463" s="380" t="s">
        <v>773</v>
      </c>
      <c r="K8463" s="381">
        <v>0.0</v>
      </c>
      <c r="L8463" s="382">
        <v>1.0</v>
      </c>
    </row>
    <row r="8464">
      <c r="A8464" s="380" t="s">
        <v>9338</v>
      </c>
      <c r="B8464" s="380" t="str">
        <f>IFERROR(__xludf.DUMMYFUNCTION("""COMPUTED_VALUE"""),"Tubo Sistema De Escape Prostar3710656C91")</f>
        <v>Tubo Sistema De Escape Prostar3710656C91</v>
      </c>
      <c r="C8464" s="380" t="str">
        <f>IFERROR(__xludf.DUMMYFUNCTION("""COMPUTED_VALUE"""),"70003883")</f>
        <v>70003883</v>
      </c>
      <c r="D8464" s="380" t="s">
        <v>767</v>
      </c>
      <c r="E8464" s="380" t="s">
        <v>786</v>
      </c>
      <c r="F8464" s="380" t="s">
        <v>792</v>
      </c>
      <c r="G8464" s="380" t="s">
        <v>1267</v>
      </c>
      <c r="H8464" s="380" t="s">
        <v>771</v>
      </c>
      <c r="I8464" s="380" t="s">
        <v>788</v>
      </c>
      <c r="J8464" s="380" t="s">
        <v>773</v>
      </c>
      <c r="K8464" s="381">
        <v>0.0</v>
      </c>
      <c r="L8464" s="382">
        <v>1.0</v>
      </c>
    </row>
    <row r="8465">
      <c r="A8465" s="380" t="s">
        <v>9339</v>
      </c>
      <c r="B8465" s="380" t="str">
        <f>IFERROR(__xludf.DUMMYFUNCTION("""COMPUTED_VALUE"""),"Tapasol Cabina Der MV5 Foton 5946039970")</f>
        <v>Tapasol Cabina Der MV5 Foton 5946039970</v>
      </c>
      <c r="C8465" s="380" t="str">
        <f>IFERROR(__xludf.DUMMYFUNCTION("""COMPUTED_VALUE"""),"70003884")</f>
        <v>70003884</v>
      </c>
      <c r="D8465" s="380" t="s">
        <v>767</v>
      </c>
      <c r="E8465" s="380" t="s">
        <v>786</v>
      </c>
      <c r="F8465" s="380" t="s">
        <v>792</v>
      </c>
      <c r="G8465" s="380" t="s">
        <v>1267</v>
      </c>
      <c r="H8465" s="380" t="s">
        <v>771</v>
      </c>
      <c r="I8465" s="380" t="s">
        <v>788</v>
      </c>
      <c r="J8465" s="380" t="s">
        <v>773</v>
      </c>
      <c r="K8465" s="381">
        <v>0.0</v>
      </c>
      <c r="L8465" s="382">
        <v>1.0</v>
      </c>
    </row>
    <row r="8466">
      <c r="A8466" s="380" t="s">
        <v>9340</v>
      </c>
      <c r="B8466" s="380" t="str">
        <f>IFERROR(__xludf.DUMMYFUNCTION("""COMPUTED_VALUE"""),"Manija Apoyo Pta Izq Jack Jhr 6102011LT0")</f>
        <v>Manija Apoyo Pta Izq Jack Jhr 6102011LT0</v>
      </c>
      <c r="C8466" s="380" t="str">
        <f>IFERROR(__xludf.DUMMYFUNCTION("""COMPUTED_VALUE"""),"70003885")</f>
        <v>70003885</v>
      </c>
      <c r="D8466" s="380" t="s">
        <v>767</v>
      </c>
      <c r="E8466" s="380" t="s">
        <v>786</v>
      </c>
      <c r="F8466" s="380" t="s">
        <v>792</v>
      </c>
      <c r="G8466" s="380" t="s">
        <v>1267</v>
      </c>
      <c r="H8466" s="380" t="s">
        <v>771</v>
      </c>
      <c r="I8466" s="380" t="s">
        <v>788</v>
      </c>
      <c r="J8466" s="380" t="s">
        <v>773</v>
      </c>
      <c r="K8466" s="381">
        <v>0.0</v>
      </c>
      <c r="L8466" s="382">
        <v>1.0</v>
      </c>
    </row>
    <row r="8467">
      <c r="A8467" s="380" t="s">
        <v>9341</v>
      </c>
      <c r="B8467" s="380" t="str">
        <f>IFERROR(__xludf.DUMMYFUNCTION("""COMPUTED_VALUE"""),"Espejo Izq Jack Jhr 8202100LE094")</f>
        <v>Espejo Izq Jack Jhr 8202100LE094</v>
      </c>
      <c r="C8467" s="380" t="str">
        <f>IFERROR(__xludf.DUMMYFUNCTION("""COMPUTED_VALUE"""),"70003886")</f>
        <v>70003886</v>
      </c>
      <c r="D8467" s="380" t="s">
        <v>767</v>
      </c>
      <c r="E8467" s="380" t="s">
        <v>786</v>
      </c>
      <c r="F8467" s="380" t="s">
        <v>792</v>
      </c>
      <c r="G8467" s="380" t="s">
        <v>1267</v>
      </c>
      <c r="H8467" s="380" t="s">
        <v>771</v>
      </c>
      <c r="I8467" s="380" t="s">
        <v>788</v>
      </c>
      <c r="J8467" s="380" t="s">
        <v>773</v>
      </c>
      <c r="K8467" s="381">
        <v>0.0</v>
      </c>
      <c r="L8467" s="382">
        <v>1.0</v>
      </c>
    </row>
    <row r="8468">
      <c r="A8468" s="380" t="s">
        <v>9342</v>
      </c>
      <c r="B8468" s="380" t="str">
        <f>IFERROR(__xludf.DUMMYFUNCTION("""COMPUTED_VALUE"""),"Sop Ctral Pta Desl Der FotMV5 5946023375")</f>
        <v>Sop Ctral Pta Desl Der FotMV5 5946023375</v>
      </c>
      <c r="C8468" s="380" t="str">
        <f>IFERROR(__xludf.DUMMYFUNCTION("""COMPUTED_VALUE"""),"70003887")</f>
        <v>70003887</v>
      </c>
      <c r="D8468" s="380" t="s">
        <v>767</v>
      </c>
      <c r="E8468" s="380" t="s">
        <v>786</v>
      </c>
      <c r="F8468" s="380" t="s">
        <v>792</v>
      </c>
      <c r="G8468" s="380" t="s">
        <v>1267</v>
      </c>
      <c r="H8468" s="380" t="s">
        <v>771</v>
      </c>
      <c r="I8468" s="380" t="s">
        <v>788</v>
      </c>
      <c r="J8468" s="380" t="s">
        <v>773</v>
      </c>
      <c r="K8468" s="381">
        <v>0.0</v>
      </c>
      <c r="L8468" s="382">
        <v>1.0</v>
      </c>
    </row>
    <row r="8469">
      <c r="A8469" s="380" t="s">
        <v>9343</v>
      </c>
      <c r="B8469" s="380" t="str">
        <f>IFERROR(__xludf.DUMMYFUNCTION("""COMPUTED_VALUE"""),"Clip Sello Puerta Nkr 1099872560")</f>
        <v>Clip Sello Puerta Nkr 1099872560</v>
      </c>
      <c r="C8469" s="380" t="str">
        <f>IFERROR(__xludf.DUMMYFUNCTION("""COMPUTED_VALUE"""),"70003888")</f>
        <v>70003888</v>
      </c>
      <c r="D8469" s="380" t="s">
        <v>767</v>
      </c>
      <c r="E8469" s="380" t="s">
        <v>786</v>
      </c>
      <c r="F8469" s="380" t="s">
        <v>792</v>
      </c>
      <c r="G8469" s="380" t="s">
        <v>1267</v>
      </c>
      <c r="H8469" s="380" t="s">
        <v>771</v>
      </c>
      <c r="I8469" s="380" t="s">
        <v>788</v>
      </c>
      <c r="J8469" s="380" t="s">
        <v>773</v>
      </c>
      <c r="K8469" s="381">
        <v>0.0</v>
      </c>
      <c r="L8469" s="382">
        <v>1.0</v>
      </c>
    </row>
    <row r="8470">
      <c r="A8470" s="380" t="s">
        <v>9344</v>
      </c>
      <c r="B8470" s="380" t="str">
        <f>IFERROR(__xludf.DUMMYFUNCTION("""COMPUTED_VALUE"""),"Sopor Front Bomper Izq Prostar 3720651C1")</f>
        <v>Sopor Front Bomper Izq Prostar 3720651C1</v>
      </c>
      <c r="C8470" s="380" t="str">
        <f>IFERROR(__xludf.DUMMYFUNCTION("""COMPUTED_VALUE"""),"70003889")</f>
        <v>70003889</v>
      </c>
      <c r="D8470" s="380" t="s">
        <v>767</v>
      </c>
      <c r="E8470" s="380" t="s">
        <v>786</v>
      </c>
      <c r="F8470" s="380" t="s">
        <v>792</v>
      </c>
      <c r="G8470" s="380" t="s">
        <v>1267</v>
      </c>
      <c r="H8470" s="380" t="s">
        <v>771</v>
      </c>
      <c r="I8470" s="380" t="s">
        <v>788</v>
      </c>
      <c r="J8470" s="380" t="s">
        <v>773</v>
      </c>
      <c r="K8470" s="381">
        <v>0.0</v>
      </c>
      <c r="L8470" s="382">
        <v>1.0</v>
      </c>
    </row>
    <row r="8471">
      <c r="A8471" s="380" t="s">
        <v>9345</v>
      </c>
      <c r="B8471" s="380" t="str">
        <f>IFERROR(__xludf.DUMMYFUNCTION("""COMPUTED_VALUE"""),"Sopor Front Bomper Der Prostar 3720652C1")</f>
        <v>Sopor Front Bomper Der Prostar 3720652C1</v>
      </c>
      <c r="C8471" s="380" t="str">
        <f>IFERROR(__xludf.DUMMYFUNCTION("""COMPUTED_VALUE"""),"70003890")</f>
        <v>70003890</v>
      </c>
      <c r="D8471" s="380" t="s">
        <v>767</v>
      </c>
      <c r="E8471" s="380" t="s">
        <v>786</v>
      </c>
      <c r="F8471" s="380" t="s">
        <v>792</v>
      </c>
      <c r="G8471" s="380" t="s">
        <v>1267</v>
      </c>
      <c r="H8471" s="380" t="s">
        <v>771</v>
      </c>
      <c r="I8471" s="380" t="s">
        <v>788</v>
      </c>
      <c r="J8471" s="380" t="s">
        <v>773</v>
      </c>
      <c r="K8471" s="381">
        <v>0.0</v>
      </c>
      <c r="L8471" s="382">
        <v>1.0</v>
      </c>
    </row>
    <row r="8472">
      <c r="A8472" s="380" t="s">
        <v>9346</v>
      </c>
      <c r="B8472" s="380" t="str">
        <f>IFERROR(__xludf.DUMMYFUNCTION("""COMPUTED_VALUE"""),"Tapizado Piso Cabina Nkr")</f>
        <v>Tapizado Piso Cabina Nkr</v>
      </c>
      <c r="C8472" s="380" t="str">
        <f>IFERROR(__xludf.DUMMYFUNCTION("""COMPUTED_VALUE"""),"70003891")</f>
        <v>70003891</v>
      </c>
      <c r="D8472" s="380" t="s">
        <v>767</v>
      </c>
      <c r="E8472" s="380" t="s">
        <v>786</v>
      </c>
      <c r="F8472" s="380" t="s">
        <v>792</v>
      </c>
      <c r="G8472" s="380" t="s">
        <v>1267</v>
      </c>
      <c r="H8472" s="380" t="s">
        <v>771</v>
      </c>
      <c r="I8472" s="380" t="s">
        <v>788</v>
      </c>
      <c r="J8472" s="380" t="s">
        <v>773</v>
      </c>
      <c r="K8472" s="381">
        <v>0.0</v>
      </c>
      <c r="L8472" s="382">
        <v>1.0</v>
      </c>
    </row>
    <row r="8473">
      <c r="A8473" s="380" t="s">
        <v>9347</v>
      </c>
      <c r="B8473" s="380" t="str">
        <f>IFERROR(__xludf.DUMMYFUNCTION("""COMPUTED_VALUE"""),"Varilla Corta Limpiabr Nkr Rew8980537680")</f>
        <v>Varilla Corta Limpiabr Nkr Rew8980537680</v>
      </c>
      <c r="C8473" s="380" t="str">
        <f>IFERROR(__xludf.DUMMYFUNCTION("""COMPUTED_VALUE"""),"70003892")</f>
        <v>70003892</v>
      </c>
      <c r="D8473" s="380" t="s">
        <v>767</v>
      </c>
      <c r="E8473" s="380" t="s">
        <v>786</v>
      </c>
      <c r="F8473" s="380" t="s">
        <v>792</v>
      </c>
      <c r="G8473" s="380" t="s">
        <v>1267</v>
      </c>
      <c r="H8473" s="380" t="s">
        <v>771</v>
      </c>
      <c r="I8473" s="380" t="s">
        <v>788</v>
      </c>
      <c r="J8473" s="380" t="s">
        <v>773</v>
      </c>
      <c r="K8473" s="381">
        <v>0.0</v>
      </c>
      <c r="L8473" s="382">
        <v>1.0</v>
      </c>
    </row>
    <row r="8474">
      <c r="A8474" s="380" t="s">
        <v>9348</v>
      </c>
      <c r="B8474" s="380" t="str">
        <f>IFERROR(__xludf.DUMMYFUNCTION("""COMPUTED_VALUE"""),"Varilla Larga Limpiabr Nkr Rew8980537720")</f>
        <v>Varilla Larga Limpiabr Nkr Rew8980537720</v>
      </c>
      <c r="C8474" s="380" t="str">
        <f>IFERROR(__xludf.DUMMYFUNCTION("""COMPUTED_VALUE"""),"70003893")</f>
        <v>70003893</v>
      </c>
      <c r="D8474" s="380" t="s">
        <v>767</v>
      </c>
      <c r="E8474" s="380" t="s">
        <v>786</v>
      </c>
      <c r="F8474" s="380" t="s">
        <v>792</v>
      </c>
      <c r="G8474" s="380" t="s">
        <v>1267</v>
      </c>
      <c r="H8474" s="380" t="s">
        <v>771</v>
      </c>
      <c r="I8474" s="380" t="s">
        <v>788</v>
      </c>
      <c r="J8474" s="380" t="s">
        <v>773</v>
      </c>
      <c r="K8474" s="381">
        <v>0.0</v>
      </c>
      <c r="L8474" s="382">
        <v>1.0</v>
      </c>
    </row>
    <row r="8475">
      <c r="A8475" s="380" t="s">
        <v>9349</v>
      </c>
      <c r="B8475" s="380" t="str">
        <f>IFERROR(__xludf.DUMMYFUNCTION("""COMPUTED_VALUE"""),"Pivote Der Nkr Rewar 8980537630")</f>
        <v>Pivote Der Nkr Rewar 8980537630</v>
      </c>
      <c r="C8475" s="380" t="str">
        <f>IFERROR(__xludf.DUMMYFUNCTION("""COMPUTED_VALUE"""),"70003894")</f>
        <v>70003894</v>
      </c>
      <c r="D8475" s="380" t="s">
        <v>767</v>
      </c>
      <c r="E8475" s="380" t="s">
        <v>786</v>
      </c>
      <c r="F8475" s="380" t="s">
        <v>792</v>
      </c>
      <c r="G8475" s="380" t="s">
        <v>1267</v>
      </c>
      <c r="H8475" s="380" t="s">
        <v>771</v>
      </c>
      <c r="I8475" s="380" t="s">
        <v>788</v>
      </c>
      <c r="J8475" s="380" t="s">
        <v>773</v>
      </c>
      <c r="K8475" s="381">
        <v>0.0</v>
      </c>
      <c r="L8475" s="382">
        <v>1.0</v>
      </c>
    </row>
    <row r="8476">
      <c r="A8476" s="380" t="s">
        <v>9350</v>
      </c>
      <c r="B8476" s="380" t="str">
        <f>IFERROR(__xludf.DUMMYFUNCTION("""COMPUTED_VALUE"""),"Pivote Izq Nkr Rewar 8980537640")</f>
        <v>Pivote Izq Nkr Rewar 8980537640</v>
      </c>
      <c r="C8476" s="380" t="str">
        <f>IFERROR(__xludf.DUMMYFUNCTION("""COMPUTED_VALUE"""),"70003895")</f>
        <v>70003895</v>
      </c>
      <c r="D8476" s="380" t="s">
        <v>767</v>
      </c>
      <c r="E8476" s="380" t="s">
        <v>786</v>
      </c>
      <c r="F8476" s="380" t="s">
        <v>792</v>
      </c>
      <c r="G8476" s="380" t="s">
        <v>1267</v>
      </c>
      <c r="H8476" s="380" t="s">
        <v>771</v>
      </c>
      <c r="I8476" s="380" t="s">
        <v>788</v>
      </c>
      <c r="J8476" s="380" t="s">
        <v>773</v>
      </c>
      <c r="K8476" s="381">
        <v>0.0</v>
      </c>
      <c r="L8476" s="382">
        <v>1.0</v>
      </c>
    </row>
    <row r="8477">
      <c r="A8477" s="380" t="s">
        <v>9351</v>
      </c>
      <c r="B8477" s="380" t="str">
        <f>IFERROR(__xludf.DUMMYFUNCTION("""COMPUTED_VALUE"""),"Sopor Pin Lad Der Hood KW T800 K2751516R")</f>
        <v>Sopor Pin Lad Der Hood KW T800 K2751516R</v>
      </c>
      <c r="C8477" s="380" t="str">
        <f>IFERROR(__xludf.DUMMYFUNCTION("""COMPUTED_VALUE"""),"70003896")</f>
        <v>70003896</v>
      </c>
      <c r="D8477" s="380" t="s">
        <v>767</v>
      </c>
      <c r="E8477" s="380" t="s">
        <v>786</v>
      </c>
      <c r="F8477" s="380" t="s">
        <v>792</v>
      </c>
      <c r="G8477" s="380" t="s">
        <v>1267</v>
      </c>
      <c r="H8477" s="380" t="s">
        <v>771</v>
      </c>
      <c r="I8477" s="380" t="s">
        <v>788</v>
      </c>
      <c r="J8477" s="380" t="s">
        <v>773</v>
      </c>
      <c r="K8477" s="381">
        <v>595000.0</v>
      </c>
      <c r="L8477" s="382">
        <v>1.0</v>
      </c>
    </row>
    <row r="8478">
      <c r="A8478" s="380" t="s">
        <v>9352</v>
      </c>
      <c r="B8478" s="380" t="str">
        <f>IFERROR(__xludf.DUMMYFUNCTION("""COMPUTED_VALUE"""),"Persia Fron Log Red Foton1039 5946298797")</f>
        <v>Persia Fron Log Red Foton1039 5946298797</v>
      </c>
      <c r="C8478" s="380" t="str">
        <f>IFERROR(__xludf.DUMMYFUNCTION("""COMPUTED_VALUE"""),"70003897")</f>
        <v>70003897</v>
      </c>
      <c r="D8478" s="380" t="s">
        <v>767</v>
      </c>
      <c r="E8478" s="380" t="s">
        <v>786</v>
      </c>
      <c r="F8478" s="380" t="s">
        <v>792</v>
      </c>
      <c r="G8478" s="380" t="s">
        <v>1267</v>
      </c>
      <c r="H8478" s="380" t="s">
        <v>771</v>
      </c>
      <c r="I8478" s="380" t="s">
        <v>788</v>
      </c>
      <c r="J8478" s="380" t="s">
        <v>773</v>
      </c>
      <c r="K8478" s="381">
        <v>0.0</v>
      </c>
      <c r="L8478" s="382">
        <v>1.0</v>
      </c>
    </row>
    <row r="8479">
      <c r="A8479" s="380" t="s">
        <v>9353</v>
      </c>
      <c r="B8479" s="380" t="str">
        <f>IFERROR(__xludf.DUMMYFUNCTION("""COMPUTED_VALUE"""),"Moldura Lamev Pta Int Izq FRR 8980292021")</f>
        <v>Moldura Lamev Pta Int Izq FRR 8980292021</v>
      </c>
      <c r="C8479" s="380" t="str">
        <f>IFERROR(__xludf.DUMMYFUNCTION("""COMPUTED_VALUE"""),"70003898")</f>
        <v>70003898</v>
      </c>
      <c r="D8479" s="380" t="s">
        <v>767</v>
      </c>
      <c r="E8479" s="380" t="s">
        <v>786</v>
      </c>
      <c r="F8479" s="380" t="s">
        <v>792</v>
      </c>
      <c r="G8479" s="380" t="s">
        <v>1267</v>
      </c>
      <c r="H8479" s="380" t="s">
        <v>771</v>
      </c>
      <c r="I8479" s="380" t="s">
        <v>788</v>
      </c>
      <c r="J8479" s="380" t="s">
        <v>773</v>
      </c>
      <c r="K8479" s="381">
        <v>0.0</v>
      </c>
      <c r="L8479" s="382">
        <v>1.0</v>
      </c>
    </row>
    <row r="8480">
      <c r="A8480" s="380" t="s">
        <v>9354</v>
      </c>
      <c r="B8480" s="380" t="str">
        <f>IFERROR(__xludf.DUMMYFUNCTION("""COMPUTED_VALUE"""),"Guaya Capo N200")</f>
        <v>Guaya Capo N200</v>
      </c>
      <c r="C8480" s="380" t="str">
        <f>IFERROR(__xludf.DUMMYFUNCTION("""COMPUTED_VALUE"""),"70003899")</f>
        <v>70003899</v>
      </c>
      <c r="D8480" s="380" t="s">
        <v>767</v>
      </c>
      <c r="E8480" s="380" t="s">
        <v>786</v>
      </c>
      <c r="F8480" s="380" t="s">
        <v>792</v>
      </c>
      <c r="G8480" s="380" t="s">
        <v>1267</v>
      </c>
      <c r="H8480" s="380" t="s">
        <v>771</v>
      </c>
      <c r="I8480" s="380" t="s">
        <v>788</v>
      </c>
      <c r="J8480" s="380" t="s">
        <v>773</v>
      </c>
      <c r="K8480" s="381">
        <v>0.0</v>
      </c>
      <c r="L8480" s="382">
        <v>1.0</v>
      </c>
    </row>
    <row r="8481">
      <c r="A8481" s="380" t="s">
        <v>9355</v>
      </c>
      <c r="B8481" s="380" t="str">
        <f>IFERROR(__xludf.DUMMYFUNCTION("""COMPUTED_VALUE"""),"Carcaza Pta Izq H Dutropack 6700237322")</f>
        <v>Carcaza Pta Izq H Dutropack 6700237322</v>
      </c>
      <c r="C8481" s="380" t="str">
        <f>IFERROR(__xludf.DUMMYFUNCTION("""COMPUTED_VALUE"""),"70003900")</f>
        <v>70003900</v>
      </c>
      <c r="D8481" s="380" t="s">
        <v>767</v>
      </c>
      <c r="E8481" s="380" t="s">
        <v>786</v>
      </c>
      <c r="F8481" s="380" t="s">
        <v>792</v>
      </c>
      <c r="G8481" s="380" t="s">
        <v>1267</v>
      </c>
      <c r="H8481" s="380" t="s">
        <v>771</v>
      </c>
      <c r="I8481" s="380" t="s">
        <v>788</v>
      </c>
      <c r="J8481" s="380" t="s">
        <v>773</v>
      </c>
      <c r="K8481" s="381">
        <v>0.0</v>
      </c>
      <c r="L8481" s="382">
        <v>1.0</v>
      </c>
    </row>
    <row r="8482">
      <c r="A8482" s="380" t="s">
        <v>9356</v>
      </c>
      <c r="B8482" s="380" t="str">
        <f>IFERROR(__xludf.DUMMYFUNCTION("""COMPUTED_VALUE"""),"Soporte Parasol 1650244 C1")</f>
        <v>Soporte Parasol 1650244 C1</v>
      </c>
      <c r="C8482" s="380" t="str">
        <f>IFERROR(__xludf.DUMMYFUNCTION("""COMPUTED_VALUE"""),"70003901")</f>
        <v>70003901</v>
      </c>
      <c r="D8482" s="380" t="s">
        <v>767</v>
      </c>
      <c r="E8482" s="380" t="s">
        <v>786</v>
      </c>
      <c r="F8482" s="380" t="s">
        <v>792</v>
      </c>
      <c r="G8482" s="380" t="s">
        <v>1267</v>
      </c>
      <c r="H8482" s="380" t="s">
        <v>771</v>
      </c>
      <c r="I8482" s="380" t="s">
        <v>788</v>
      </c>
      <c r="J8482" s="380" t="s">
        <v>773</v>
      </c>
      <c r="K8482" s="381">
        <v>0.0</v>
      </c>
      <c r="L8482" s="382">
        <v>1.0</v>
      </c>
    </row>
    <row r="8483">
      <c r="A8483" s="380" t="s">
        <v>9357</v>
      </c>
      <c r="B8483" s="380" t="str">
        <f>IFERROR(__xludf.DUMMYFUNCTION("""COMPUTED_VALUE"""),"Juego Loderas KW T800 12053")</f>
        <v>Juego Loderas KW T800 12053</v>
      </c>
      <c r="C8483" s="380" t="str">
        <f>IFERROR(__xludf.DUMMYFUNCTION("""COMPUTED_VALUE"""),"70003902")</f>
        <v>70003902</v>
      </c>
      <c r="D8483" s="380" t="s">
        <v>767</v>
      </c>
      <c r="E8483" s="380" t="s">
        <v>786</v>
      </c>
      <c r="F8483" s="380" t="s">
        <v>792</v>
      </c>
      <c r="G8483" s="380" t="s">
        <v>1267</v>
      </c>
      <c r="H8483" s="380" t="s">
        <v>771</v>
      </c>
      <c r="I8483" s="380" t="s">
        <v>788</v>
      </c>
      <c r="J8483" s="380" t="s">
        <v>773</v>
      </c>
      <c r="K8483" s="381">
        <v>0.0</v>
      </c>
      <c r="L8483" s="382">
        <v>1.0</v>
      </c>
    </row>
    <row r="8484">
      <c r="A8484" s="380" t="s">
        <v>9358</v>
      </c>
      <c r="B8484" s="380" t="str">
        <f>IFERROR(__xludf.DUMMYFUNCTION("""COMPUTED_VALUE"""),"Soporte Lodera Metalica KW T800 Q302468")</f>
        <v>Soporte Lodera Metalica KW T800 Q302468</v>
      </c>
      <c r="C8484" s="380" t="str">
        <f>IFERROR(__xludf.DUMMYFUNCTION("""COMPUTED_VALUE"""),"70003903")</f>
        <v>70003903</v>
      </c>
      <c r="D8484" s="380" t="s">
        <v>767</v>
      </c>
      <c r="E8484" s="380" t="s">
        <v>786</v>
      </c>
      <c r="F8484" s="380" t="s">
        <v>792</v>
      </c>
      <c r="G8484" s="380" t="s">
        <v>1267</v>
      </c>
      <c r="H8484" s="380" t="s">
        <v>771</v>
      </c>
      <c r="I8484" s="380" t="s">
        <v>788</v>
      </c>
      <c r="J8484" s="380" t="s">
        <v>773</v>
      </c>
      <c r="K8484" s="381">
        <v>0.0</v>
      </c>
      <c r="L8484" s="382">
        <v>1.0</v>
      </c>
    </row>
    <row r="8485">
      <c r="A8485" s="380" t="s">
        <v>9359</v>
      </c>
      <c r="B8485" s="380" t="str">
        <f>IFERROR(__xludf.DUMMYFUNCTION("""COMPUTED_VALUE"""),"Luna Espejo Retro Con Des Eagle2595727C1")</f>
        <v>Luna Espejo Retro Con Des Eagle2595727C1</v>
      </c>
      <c r="C8485" s="380" t="str">
        <f>IFERROR(__xludf.DUMMYFUNCTION("""COMPUTED_VALUE"""),"70003904")</f>
        <v>70003904</v>
      </c>
      <c r="D8485" s="380" t="s">
        <v>767</v>
      </c>
      <c r="E8485" s="380" t="s">
        <v>786</v>
      </c>
      <c r="F8485" s="380" t="s">
        <v>792</v>
      </c>
      <c r="G8485" s="380" t="s">
        <v>1267</v>
      </c>
      <c r="H8485" s="380" t="s">
        <v>771</v>
      </c>
      <c r="I8485" s="380" t="s">
        <v>788</v>
      </c>
      <c r="J8485" s="380" t="s">
        <v>773</v>
      </c>
      <c r="K8485" s="381">
        <v>0.0</v>
      </c>
      <c r="L8485" s="382">
        <v>1.0</v>
      </c>
    </row>
    <row r="8486">
      <c r="A8486" s="380" t="s">
        <v>9360</v>
      </c>
      <c r="B8486" s="380" t="str">
        <f>IFERROR(__xludf.DUMMYFUNCTION("""COMPUTED_VALUE"""),"Ducto Escape KW T800 Mod 2012 K18018028")</f>
        <v>Ducto Escape KW T800 Mod 2012 K18018028</v>
      </c>
      <c r="C8486" s="380" t="str">
        <f>IFERROR(__xludf.DUMMYFUNCTION("""COMPUTED_VALUE"""),"70003905")</f>
        <v>70003905</v>
      </c>
      <c r="D8486" s="380" t="s">
        <v>767</v>
      </c>
      <c r="E8486" s="380" t="s">
        <v>786</v>
      </c>
      <c r="F8486" s="380" t="s">
        <v>792</v>
      </c>
      <c r="G8486" s="380" t="s">
        <v>1267</v>
      </c>
      <c r="H8486" s="380" t="s">
        <v>771</v>
      </c>
      <c r="I8486" s="380" t="s">
        <v>788</v>
      </c>
      <c r="J8486" s="380" t="s">
        <v>773</v>
      </c>
      <c r="K8486" s="381">
        <v>0.0</v>
      </c>
      <c r="L8486" s="382">
        <v>1.0</v>
      </c>
    </row>
    <row r="8487">
      <c r="A8487" s="380" t="s">
        <v>9361</v>
      </c>
      <c r="B8487" s="380" t="str">
        <f>IFERROR(__xludf.DUMMYFUNCTION("""COMPUTED_VALUE"""),"Bisagra Capo Prostar 3612866C2")</f>
        <v>Bisagra Capo Prostar 3612866C2</v>
      </c>
      <c r="C8487" s="380" t="str">
        <f>IFERROR(__xludf.DUMMYFUNCTION("""COMPUTED_VALUE"""),"70003906")</f>
        <v>70003906</v>
      </c>
      <c r="D8487" s="380" t="s">
        <v>767</v>
      </c>
      <c r="E8487" s="380" t="s">
        <v>786</v>
      </c>
      <c r="F8487" s="380" t="s">
        <v>792</v>
      </c>
      <c r="G8487" s="380" t="s">
        <v>1267</v>
      </c>
      <c r="H8487" s="380" t="s">
        <v>771</v>
      </c>
      <c r="I8487" s="380" t="s">
        <v>788</v>
      </c>
      <c r="J8487" s="380" t="s">
        <v>773</v>
      </c>
      <c r="K8487" s="381">
        <v>0.0</v>
      </c>
      <c r="L8487" s="382">
        <v>1.0</v>
      </c>
    </row>
    <row r="8488">
      <c r="A8488" s="380" t="s">
        <v>9362</v>
      </c>
      <c r="B8488" s="380" t="str">
        <f>IFERROR(__xludf.DUMMYFUNCTION("""COMPUTED_VALUE"""),"Emp Marc Pta Der Nkr Rew Y FRR8984849190")</f>
        <v>Emp Marc Pta Der Nkr Rew Y FRR8984849190</v>
      </c>
      <c r="C8488" s="380" t="str">
        <f>IFERROR(__xludf.DUMMYFUNCTION("""COMPUTED_VALUE"""),"70003907")</f>
        <v>70003907</v>
      </c>
      <c r="D8488" s="380" t="s">
        <v>767</v>
      </c>
      <c r="E8488" s="380" t="s">
        <v>786</v>
      </c>
      <c r="F8488" s="380" t="s">
        <v>792</v>
      </c>
      <c r="G8488" s="380" t="s">
        <v>1267</v>
      </c>
      <c r="H8488" s="380" t="s">
        <v>771</v>
      </c>
      <c r="I8488" s="380" t="s">
        <v>788</v>
      </c>
      <c r="J8488" s="380" t="s">
        <v>773</v>
      </c>
      <c r="K8488" s="381">
        <v>0.0</v>
      </c>
      <c r="L8488" s="382">
        <v>1.0</v>
      </c>
    </row>
    <row r="8489">
      <c r="A8489" s="380" t="s">
        <v>9363</v>
      </c>
      <c r="B8489" s="380" t="str">
        <f>IFERROR(__xludf.DUMMYFUNCTION("""COMPUTED_VALUE"""),"Emp Marc Pta Izq Nkr Rew Y FRR8984849200")</f>
        <v>Emp Marc Pta Izq Nkr Rew Y FRR8984849200</v>
      </c>
      <c r="C8489" s="380" t="str">
        <f>IFERROR(__xludf.DUMMYFUNCTION("""COMPUTED_VALUE"""),"70003908")</f>
        <v>70003908</v>
      </c>
      <c r="D8489" s="380" t="s">
        <v>767</v>
      </c>
      <c r="E8489" s="380" t="s">
        <v>786</v>
      </c>
      <c r="F8489" s="380" t="s">
        <v>792</v>
      </c>
      <c r="G8489" s="380" t="s">
        <v>1267</v>
      </c>
      <c r="H8489" s="380" t="s">
        <v>771</v>
      </c>
      <c r="I8489" s="380" t="s">
        <v>788</v>
      </c>
      <c r="J8489" s="380" t="s">
        <v>773</v>
      </c>
      <c r="K8489" s="381">
        <v>0.0</v>
      </c>
      <c r="L8489" s="382">
        <v>1.0</v>
      </c>
    </row>
    <row r="8490">
      <c r="A8490" s="380" t="s">
        <v>9364</v>
      </c>
      <c r="B8490" s="380" t="str">
        <f>IFERROR(__xludf.DUMMYFUNCTION("""COMPUTED_VALUE"""),"Soporte Tque Acpm KW Petroler K851005020")</f>
        <v>Soporte Tque Acpm KW Petroler K851005020</v>
      </c>
      <c r="C8490" s="380" t="str">
        <f>IFERROR(__xludf.DUMMYFUNCTION("""COMPUTED_VALUE"""),"70003909")</f>
        <v>70003909</v>
      </c>
      <c r="D8490" s="380" t="s">
        <v>767</v>
      </c>
      <c r="E8490" s="380" t="s">
        <v>786</v>
      </c>
      <c r="F8490" s="380" t="s">
        <v>792</v>
      </c>
      <c r="G8490" s="380" t="s">
        <v>1267</v>
      </c>
      <c r="H8490" s="380" t="s">
        <v>771</v>
      </c>
      <c r="I8490" s="380" t="s">
        <v>788</v>
      </c>
      <c r="J8490" s="380" t="s">
        <v>773</v>
      </c>
      <c r="K8490" s="381">
        <v>0.0</v>
      </c>
      <c r="L8490" s="382">
        <v>1.0</v>
      </c>
    </row>
    <row r="8491">
      <c r="A8491" s="380" t="s">
        <v>9365</v>
      </c>
      <c r="B8491" s="380" t="str">
        <f>IFERROR(__xludf.DUMMYFUNCTION("""COMPUTED_VALUE"""),"Manija Bloqu Cabina Nkr Rewar 8978530519")</f>
        <v>Manija Bloqu Cabina Nkr Rewar 8978530519</v>
      </c>
      <c r="C8491" s="380" t="str">
        <f>IFERROR(__xludf.DUMMYFUNCTION("""COMPUTED_VALUE"""),"70003910")</f>
        <v>70003910</v>
      </c>
      <c r="D8491" s="380" t="s">
        <v>767</v>
      </c>
      <c r="E8491" s="380" t="s">
        <v>786</v>
      </c>
      <c r="F8491" s="380" t="s">
        <v>792</v>
      </c>
      <c r="G8491" s="380" t="s">
        <v>1267</v>
      </c>
      <c r="H8491" s="380" t="s">
        <v>771</v>
      </c>
      <c r="I8491" s="380" t="s">
        <v>788</v>
      </c>
      <c r="J8491" s="380" t="s">
        <v>773</v>
      </c>
      <c r="K8491" s="381">
        <v>0.0</v>
      </c>
      <c r="L8491" s="382">
        <v>1.0</v>
      </c>
    </row>
    <row r="8492">
      <c r="A8492" s="380" t="s">
        <v>9366</v>
      </c>
      <c r="B8492" s="380" t="str">
        <f>IFERROR(__xludf.DUMMYFUNCTION("""COMPUTED_VALUE"""),"Bombona Aire Silla Prostar 2595130C91")</f>
        <v>Bombona Aire Silla Prostar 2595130C91</v>
      </c>
      <c r="C8492" s="380" t="str">
        <f>IFERROR(__xludf.DUMMYFUNCTION("""COMPUTED_VALUE"""),"70003911")</f>
        <v>70003911</v>
      </c>
      <c r="D8492" s="380" t="s">
        <v>767</v>
      </c>
      <c r="E8492" s="380" t="s">
        <v>786</v>
      </c>
      <c r="F8492" s="380" t="s">
        <v>792</v>
      </c>
      <c r="G8492" s="380" t="s">
        <v>1267</v>
      </c>
      <c r="H8492" s="380" t="s">
        <v>771</v>
      </c>
      <c r="I8492" s="380" t="s">
        <v>788</v>
      </c>
      <c r="J8492" s="380" t="s">
        <v>773</v>
      </c>
      <c r="K8492" s="381">
        <v>488476.0</v>
      </c>
      <c r="L8492" s="382">
        <v>1.0</v>
      </c>
    </row>
    <row r="8493">
      <c r="A8493" s="380" t="s">
        <v>9367</v>
      </c>
      <c r="B8493" s="380" t="str">
        <f>IFERROR(__xludf.DUMMYFUNCTION("""COMPUTED_VALUE"""),"Evaporador Aire AC Prostar 3670132C1")</f>
        <v>Evaporador Aire AC Prostar 3670132C1</v>
      </c>
      <c r="C8493" s="380" t="str">
        <f>IFERROR(__xludf.DUMMYFUNCTION("""COMPUTED_VALUE"""),"70003912")</f>
        <v>70003912</v>
      </c>
      <c r="D8493" s="380" t="s">
        <v>767</v>
      </c>
      <c r="E8493" s="380" t="s">
        <v>786</v>
      </c>
      <c r="F8493" s="380" t="s">
        <v>792</v>
      </c>
      <c r="G8493" s="380" t="s">
        <v>1267</v>
      </c>
      <c r="H8493" s="380" t="s">
        <v>771</v>
      </c>
      <c r="I8493" s="380" t="s">
        <v>788</v>
      </c>
      <c r="J8493" s="380" t="s">
        <v>773</v>
      </c>
      <c r="K8493" s="381">
        <v>1325965.0</v>
      </c>
      <c r="L8493" s="382">
        <v>1.0</v>
      </c>
    </row>
    <row r="8494">
      <c r="A8494" s="380" t="s">
        <v>9368</v>
      </c>
      <c r="B8494" s="380" t="str">
        <f>IFERROR(__xludf.DUMMYFUNCTION("""COMPUTED_VALUE"""),"Vidrio Tras Cabina FRR")</f>
        <v>Vidrio Tras Cabina FRR</v>
      </c>
      <c r="C8494" s="380" t="str">
        <f>IFERROR(__xludf.DUMMYFUNCTION("""COMPUTED_VALUE"""),"70003913")</f>
        <v>70003913</v>
      </c>
      <c r="D8494" s="380" t="s">
        <v>767</v>
      </c>
      <c r="E8494" s="380" t="s">
        <v>786</v>
      </c>
      <c r="F8494" s="380" t="s">
        <v>792</v>
      </c>
      <c r="G8494" s="380" t="s">
        <v>1267</v>
      </c>
      <c r="H8494" s="380" t="s">
        <v>771</v>
      </c>
      <c r="I8494" s="380" t="s">
        <v>788</v>
      </c>
      <c r="J8494" s="380" t="s">
        <v>773</v>
      </c>
      <c r="K8494" s="381">
        <v>0.0</v>
      </c>
      <c r="L8494" s="382">
        <v>1.0</v>
      </c>
    </row>
    <row r="8495">
      <c r="A8495" s="380" t="s">
        <v>9369</v>
      </c>
      <c r="B8495" s="380" t="str">
        <f>IFERROR(__xludf.DUMMYFUNCTION("""COMPUTED_VALUE"""),"Cremallera Elevavidri Der Npr 8978521158")</f>
        <v>Cremallera Elevavidri Der Npr 8978521158</v>
      </c>
      <c r="C8495" s="380" t="str">
        <f>IFERROR(__xludf.DUMMYFUNCTION("""COMPUTED_VALUE"""),"70003914")</f>
        <v>70003914</v>
      </c>
      <c r="D8495" s="380" t="s">
        <v>767</v>
      </c>
      <c r="E8495" s="380" t="s">
        <v>786</v>
      </c>
      <c r="F8495" s="380" t="s">
        <v>792</v>
      </c>
      <c r="G8495" s="380" t="s">
        <v>1267</v>
      </c>
      <c r="H8495" s="380" t="s">
        <v>771</v>
      </c>
      <c r="I8495" s="380" t="s">
        <v>788</v>
      </c>
      <c r="J8495" s="380" t="s">
        <v>773</v>
      </c>
      <c r="K8495" s="381">
        <v>0.0</v>
      </c>
      <c r="L8495" s="382">
        <v>1.0</v>
      </c>
    </row>
    <row r="8496">
      <c r="A8496" s="380" t="s">
        <v>9370</v>
      </c>
      <c r="B8496" s="380" t="str">
        <f>IFERROR(__xludf.DUMMYFUNCTION("""COMPUTED_VALUE"""),"Soporte Exosto Fotom MV5")</f>
        <v>Soporte Exosto Fotom MV5</v>
      </c>
      <c r="C8496" s="380" t="str">
        <f>IFERROR(__xludf.DUMMYFUNCTION("""COMPUTED_VALUE"""),"70003915")</f>
        <v>70003915</v>
      </c>
      <c r="D8496" s="380" t="s">
        <v>767</v>
      </c>
      <c r="E8496" s="380" t="s">
        <v>786</v>
      </c>
      <c r="F8496" s="380" t="s">
        <v>792</v>
      </c>
      <c r="G8496" s="380" t="s">
        <v>1267</v>
      </c>
      <c r="H8496" s="380" t="s">
        <v>771</v>
      </c>
      <c r="I8496" s="380" t="s">
        <v>788</v>
      </c>
      <c r="J8496" s="380" t="s">
        <v>773</v>
      </c>
      <c r="K8496" s="381">
        <v>0.0</v>
      </c>
      <c r="L8496" s="382">
        <v>1.0</v>
      </c>
    </row>
    <row r="8497">
      <c r="A8497" s="380" t="s">
        <v>9371</v>
      </c>
      <c r="B8497" s="380" t="str">
        <f>IFERROR(__xludf.DUMMYFUNCTION("""COMPUTED_VALUE"""),"Amortiguador Del Hino 500 48500-EOA5")</f>
        <v>Amortiguador Del Hino 500 48500-EOA5</v>
      </c>
      <c r="C8497" s="380" t="str">
        <f>IFERROR(__xludf.DUMMYFUNCTION("""COMPUTED_VALUE"""),"70003916")</f>
        <v>70003916</v>
      </c>
      <c r="D8497" s="380" t="s">
        <v>767</v>
      </c>
      <c r="E8497" s="380" t="s">
        <v>786</v>
      </c>
      <c r="F8497" s="380" t="s">
        <v>792</v>
      </c>
      <c r="G8497" s="380" t="s">
        <v>1267</v>
      </c>
      <c r="H8497" s="380" t="s">
        <v>771</v>
      </c>
      <c r="I8497" s="380" t="s">
        <v>788</v>
      </c>
      <c r="J8497" s="380" t="s">
        <v>773</v>
      </c>
      <c r="K8497" s="381">
        <v>0.0</v>
      </c>
      <c r="L8497" s="382">
        <v>1.0</v>
      </c>
    </row>
    <row r="8498">
      <c r="A8498" s="380" t="s">
        <v>9372</v>
      </c>
      <c r="B8498" s="380" t="str">
        <f>IFERROR(__xludf.DUMMYFUNCTION("""COMPUTED_VALUE"""),"Soporte Cabina Del H-3/4 Eagle 3509427C2")</f>
        <v>Soporte Cabina Del H-3/4 Eagle 3509427C2</v>
      </c>
      <c r="C8498" s="380" t="str">
        <f>IFERROR(__xludf.DUMMYFUNCTION("""COMPUTED_VALUE"""),"70003917")</f>
        <v>70003917</v>
      </c>
      <c r="D8498" s="380" t="s">
        <v>767</v>
      </c>
      <c r="E8498" s="380" t="s">
        <v>786</v>
      </c>
      <c r="F8498" s="380" t="s">
        <v>792</v>
      </c>
      <c r="G8498" s="380" t="s">
        <v>1267</v>
      </c>
      <c r="H8498" s="380" t="s">
        <v>771</v>
      </c>
      <c r="I8498" s="380" t="s">
        <v>788</v>
      </c>
      <c r="J8498" s="380" t="s">
        <v>773</v>
      </c>
      <c r="K8498" s="381">
        <v>0.0</v>
      </c>
      <c r="L8498" s="382">
        <v>1.0</v>
      </c>
    </row>
    <row r="8499">
      <c r="A8499" s="380" t="s">
        <v>9373</v>
      </c>
      <c r="B8499" s="380" t="str">
        <f>IFERROR(__xludf.DUMMYFUNCTION("""COMPUTED_VALUE"""),"Cartera Pta Izq Cabina Eagle 3575486C92")</f>
        <v>Cartera Pta Izq Cabina Eagle 3575486C92</v>
      </c>
      <c r="C8499" s="380" t="str">
        <f>IFERROR(__xludf.DUMMYFUNCTION("""COMPUTED_VALUE"""),"70003918")</f>
        <v>70003918</v>
      </c>
      <c r="D8499" s="380" t="s">
        <v>767</v>
      </c>
      <c r="E8499" s="380" t="s">
        <v>786</v>
      </c>
      <c r="F8499" s="380" t="s">
        <v>792</v>
      </c>
      <c r="G8499" s="380" t="s">
        <v>1267</v>
      </c>
      <c r="H8499" s="380" t="s">
        <v>771</v>
      </c>
      <c r="I8499" s="380" t="s">
        <v>788</v>
      </c>
      <c r="J8499" s="380" t="s">
        <v>773</v>
      </c>
      <c r="K8499" s="381">
        <v>0.0</v>
      </c>
      <c r="L8499" s="382">
        <v>1.0</v>
      </c>
    </row>
    <row r="8500">
      <c r="A8500" s="380" t="s">
        <v>9374</v>
      </c>
      <c r="B8500" s="380" t="str">
        <f>IFERROR(__xludf.DUMMYFUNCTION("""COMPUTED_VALUE"""),"Cartera Puerta Der Eagle 3575506C92")</f>
        <v>Cartera Puerta Der Eagle 3575506C92</v>
      </c>
      <c r="C8500" s="380" t="str">
        <f>IFERROR(__xludf.DUMMYFUNCTION("""COMPUTED_VALUE"""),"70003919")</f>
        <v>70003919</v>
      </c>
      <c r="D8500" s="380" t="s">
        <v>767</v>
      </c>
      <c r="E8500" s="380" t="s">
        <v>786</v>
      </c>
      <c r="F8500" s="380" t="s">
        <v>792</v>
      </c>
      <c r="G8500" s="380" t="s">
        <v>1267</v>
      </c>
      <c r="H8500" s="380" t="s">
        <v>771</v>
      </c>
      <c r="I8500" s="380" t="s">
        <v>788</v>
      </c>
      <c r="J8500" s="380" t="s">
        <v>773</v>
      </c>
      <c r="K8500" s="381">
        <v>0.0</v>
      </c>
      <c r="L8500" s="382">
        <v>1.0</v>
      </c>
    </row>
    <row r="8501">
      <c r="A8501" s="380" t="s">
        <v>9375</v>
      </c>
      <c r="B8501" s="380" t="str">
        <f>IFERROR(__xludf.DUMMYFUNCTION("""COMPUTED_VALUE"""),"Panel Cabina Eagle 3543898C3")</f>
        <v>Panel Cabina Eagle 3543898C3</v>
      </c>
      <c r="C8501" s="380" t="str">
        <f>IFERROR(__xludf.DUMMYFUNCTION("""COMPUTED_VALUE"""),"70003920")</f>
        <v>70003920</v>
      </c>
      <c r="D8501" s="380" t="s">
        <v>767</v>
      </c>
      <c r="E8501" s="380" t="s">
        <v>786</v>
      </c>
      <c r="F8501" s="380" t="s">
        <v>792</v>
      </c>
      <c r="G8501" s="380" t="s">
        <v>1267</v>
      </c>
      <c r="H8501" s="380" t="s">
        <v>771</v>
      </c>
      <c r="I8501" s="380" t="s">
        <v>788</v>
      </c>
      <c r="J8501" s="380" t="s">
        <v>773</v>
      </c>
      <c r="K8501" s="381">
        <v>0.0</v>
      </c>
      <c r="L8501" s="382">
        <v>1.0</v>
      </c>
    </row>
    <row r="8502">
      <c r="A8502" s="380" t="s">
        <v>9376</v>
      </c>
      <c r="B8502" s="380" t="str">
        <f>IFERROR(__xludf.DUMMYFUNCTION("""COMPUTED_VALUE"""),"Bisel Panel Der Tablero Eagle 3592439C3")</f>
        <v>Bisel Panel Der Tablero Eagle 3592439C3</v>
      </c>
      <c r="C8502" s="380" t="str">
        <f>IFERROR(__xludf.DUMMYFUNCTION("""COMPUTED_VALUE"""),"70003921")</f>
        <v>70003921</v>
      </c>
      <c r="D8502" s="380" t="s">
        <v>767</v>
      </c>
      <c r="E8502" s="380" t="s">
        <v>786</v>
      </c>
      <c r="F8502" s="380" t="s">
        <v>792</v>
      </c>
      <c r="G8502" s="380" t="s">
        <v>1267</v>
      </c>
      <c r="H8502" s="380" t="s">
        <v>771</v>
      </c>
      <c r="I8502" s="380" t="s">
        <v>788</v>
      </c>
      <c r="J8502" s="380" t="s">
        <v>773</v>
      </c>
      <c r="K8502" s="381">
        <v>0.0</v>
      </c>
      <c r="L8502" s="382">
        <v>1.0</v>
      </c>
    </row>
    <row r="8503">
      <c r="A8503" s="380" t="s">
        <v>9377</v>
      </c>
      <c r="B8503" s="380" t="str">
        <f>IFERROR(__xludf.DUMMYFUNCTION("""COMPUTED_VALUE"""),"Mangu Condens Evap Aire Eagle 3612297C92")</f>
        <v>Mangu Condens Evap Aire Eagle 3612297C92</v>
      </c>
      <c r="C8503" s="380" t="str">
        <f>IFERROR(__xludf.DUMMYFUNCTION("""COMPUTED_VALUE"""),"70003922")</f>
        <v>70003922</v>
      </c>
      <c r="D8503" s="380" t="s">
        <v>767</v>
      </c>
      <c r="E8503" s="380" t="s">
        <v>786</v>
      </c>
      <c r="F8503" s="380" t="s">
        <v>792</v>
      </c>
      <c r="G8503" s="380" t="s">
        <v>1267</v>
      </c>
      <c r="H8503" s="380" t="s">
        <v>771</v>
      </c>
      <c r="I8503" s="380" t="s">
        <v>788</v>
      </c>
      <c r="J8503" s="380" t="s">
        <v>773</v>
      </c>
      <c r="K8503" s="381">
        <v>0.0</v>
      </c>
      <c r="L8503" s="382">
        <v>1.0</v>
      </c>
    </row>
    <row r="8504">
      <c r="A8504" s="380" t="s">
        <v>9378</v>
      </c>
      <c r="B8504" s="380" t="str">
        <f>IFERROR(__xludf.DUMMYFUNCTION("""COMPUTED_VALUE"""),"Panel Inf Marco Puerta Eagle 3558746C1")</f>
        <v>Panel Inf Marco Puerta Eagle 3558746C1</v>
      </c>
      <c r="C8504" s="380" t="str">
        <f>IFERROR(__xludf.DUMMYFUNCTION("""COMPUTED_VALUE"""),"70003923")</f>
        <v>70003923</v>
      </c>
      <c r="D8504" s="380" t="s">
        <v>767</v>
      </c>
      <c r="E8504" s="380" t="s">
        <v>786</v>
      </c>
      <c r="F8504" s="380" t="s">
        <v>792</v>
      </c>
      <c r="G8504" s="380" t="s">
        <v>1267</v>
      </c>
      <c r="H8504" s="380" t="s">
        <v>771</v>
      </c>
      <c r="I8504" s="380" t="s">
        <v>788</v>
      </c>
      <c r="J8504" s="380" t="s">
        <v>773</v>
      </c>
      <c r="K8504" s="381">
        <v>0.0</v>
      </c>
      <c r="L8504" s="382">
        <v>1.0</v>
      </c>
    </row>
    <row r="8505">
      <c r="A8505" s="380" t="s">
        <v>9379</v>
      </c>
      <c r="B8505" s="380" t="str">
        <f>IFERROR(__xludf.DUMMYFUNCTION("""COMPUTED_VALUE"""),"Panel Torpedo Cabina Eagle 3558750C3")</f>
        <v>Panel Torpedo Cabina Eagle 3558750C3</v>
      </c>
      <c r="C8505" s="380" t="str">
        <f>IFERROR(__xludf.DUMMYFUNCTION("""COMPUTED_VALUE"""),"70003924")</f>
        <v>70003924</v>
      </c>
      <c r="D8505" s="380" t="s">
        <v>767</v>
      </c>
      <c r="E8505" s="380" t="s">
        <v>786</v>
      </c>
      <c r="F8505" s="380" t="s">
        <v>792</v>
      </c>
      <c r="G8505" s="380" t="s">
        <v>1267</v>
      </c>
      <c r="H8505" s="380" t="s">
        <v>771</v>
      </c>
      <c r="I8505" s="380" t="s">
        <v>788</v>
      </c>
      <c r="J8505" s="380" t="s">
        <v>773</v>
      </c>
      <c r="K8505" s="381">
        <v>0.0</v>
      </c>
      <c r="L8505" s="382">
        <v>1.0</v>
      </c>
    </row>
    <row r="8506">
      <c r="A8506" s="380" t="s">
        <v>9380</v>
      </c>
      <c r="B8506" s="380" t="str">
        <f>IFERROR(__xludf.DUMMYFUNCTION("""COMPUTED_VALUE"""),"Gato Der Puerta Tras FotonMV5 5946024365")</f>
        <v>Gato Der Puerta Tras FotonMV5 5946024365</v>
      </c>
      <c r="C8506" s="380" t="str">
        <f>IFERROR(__xludf.DUMMYFUNCTION("""COMPUTED_VALUE"""),"70003925")</f>
        <v>70003925</v>
      </c>
      <c r="D8506" s="380" t="s">
        <v>767</v>
      </c>
      <c r="E8506" s="380" t="s">
        <v>786</v>
      </c>
      <c r="F8506" s="380" t="s">
        <v>792</v>
      </c>
      <c r="G8506" s="380" t="s">
        <v>1267</v>
      </c>
      <c r="H8506" s="380" t="s">
        <v>771</v>
      </c>
      <c r="I8506" s="380" t="s">
        <v>788</v>
      </c>
      <c r="J8506" s="380" t="s">
        <v>773</v>
      </c>
      <c r="K8506" s="381">
        <v>0.0</v>
      </c>
      <c r="L8506" s="382">
        <v>1.0</v>
      </c>
    </row>
    <row r="8507">
      <c r="A8507" s="380" t="s">
        <v>9381</v>
      </c>
      <c r="B8507" s="380" t="str">
        <f>IFERROR(__xludf.DUMMYFUNCTION("""COMPUTED_VALUE"""),"Gato Izq Puerta Tras FotonMV5 5946024402")</f>
        <v>Gato Izq Puerta Tras FotonMV5 5946024402</v>
      </c>
      <c r="C8507" s="380" t="str">
        <f>IFERROR(__xludf.DUMMYFUNCTION("""COMPUTED_VALUE"""),"70003926")</f>
        <v>70003926</v>
      </c>
      <c r="D8507" s="380" t="s">
        <v>767</v>
      </c>
      <c r="E8507" s="380" t="s">
        <v>786</v>
      </c>
      <c r="F8507" s="380" t="s">
        <v>792</v>
      </c>
      <c r="G8507" s="380" t="s">
        <v>1267</v>
      </c>
      <c r="H8507" s="380" t="s">
        <v>771</v>
      </c>
      <c r="I8507" s="380" t="s">
        <v>788</v>
      </c>
      <c r="J8507" s="380" t="s">
        <v>773</v>
      </c>
      <c r="K8507" s="381">
        <v>0.0</v>
      </c>
      <c r="L8507" s="382">
        <v>1.0</v>
      </c>
    </row>
    <row r="8508">
      <c r="A8508" s="380" t="s">
        <v>9382</v>
      </c>
      <c r="B8508" s="380" t="str">
        <f>IFERROR(__xludf.DUMMYFUNCTION("""COMPUTED_VALUE"""),"Espejo Retrov Izq Foton 7701023487573")</f>
        <v>Espejo Retrov Izq Foton 7701023487573</v>
      </c>
      <c r="C8508" s="380" t="str">
        <f>IFERROR(__xludf.DUMMYFUNCTION("""COMPUTED_VALUE"""),"70003927")</f>
        <v>70003927</v>
      </c>
      <c r="D8508" s="380" t="s">
        <v>767</v>
      </c>
      <c r="E8508" s="380" t="s">
        <v>786</v>
      </c>
      <c r="F8508" s="380" t="s">
        <v>792</v>
      </c>
      <c r="G8508" s="380" t="s">
        <v>1267</v>
      </c>
      <c r="H8508" s="380" t="s">
        <v>771</v>
      </c>
      <c r="I8508" s="380" t="s">
        <v>788</v>
      </c>
      <c r="J8508" s="380" t="s">
        <v>773</v>
      </c>
      <c r="K8508" s="381">
        <v>88640.0</v>
      </c>
      <c r="L8508" s="382">
        <v>1.0</v>
      </c>
    </row>
    <row r="8509">
      <c r="A8509" s="380" t="s">
        <v>9383</v>
      </c>
      <c r="B8509" s="380" t="str">
        <f>IFERROR(__xludf.DUMMYFUNCTION("""COMPUTED_VALUE"""),"Silenciador Mofle SB 10""")</f>
        <v>Silenciador Mofle SB 10"</v>
      </c>
      <c r="C8509" s="380" t="str">
        <f>IFERROR(__xludf.DUMMYFUNCTION("""COMPUTED_VALUE"""),"70003928")</f>
        <v>70003928</v>
      </c>
      <c r="D8509" s="380" t="s">
        <v>767</v>
      </c>
      <c r="E8509" s="380" t="s">
        <v>786</v>
      </c>
      <c r="F8509" s="380" t="s">
        <v>792</v>
      </c>
      <c r="G8509" s="380" t="s">
        <v>1267</v>
      </c>
      <c r="H8509" s="380" t="s">
        <v>771</v>
      </c>
      <c r="I8509" s="380" t="s">
        <v>788</v>
      </c>
      <c r="J8509" s="380" t="s">
        <v>773</v>
      </c>
      <c r="K8509" s="381">
        <v>0.0</v>
      </c>
      <c r="L8509" s="382">
        <v>1.0</v>
      </c>
    </row>
    <row r="8510">
      <c r="A8510" s="380" t="s">
        <v>9384</v>
      </c>
      <c r="B8510" s="380" t="str">
        <f>IFERROR(__xludf.DUMMYFUNCTION("""COMPUTED_VALUE"""),"Motor Bloque Puerta Eagle 3662381C1")</f>
        <v>Motor Bloque Puerta Eagle 3662381C1</v>
      </c>
      <c r="C8510" s="380" t="str">
        <f>IFERROR(__xludf.DUMMYFUNCTION("""COMPUTED_VALUE"""),"70003929")</f>
        <v>70003929</v>
      </c>
      <c r="D8510" s="380" t="s">
        <v>767</v>
      </c>
      <c r="E8510" s="380" t="s">
        <v>786</v>
      </c>
      <c r="F8510" s="380" t="s">
        <v>792</v>
      </c>
      <c r="G8510" s="380" t="s">
        <v>1267</v>
      </c>
      <c r="H8510" s="380" t="s">
        <v>771</v>
      </c>
      <c r="I8510" s="380" t="s">
        <v>788</v>
      </c>
      <c r="J8510" s="380" t="s">
        <v>773</v>
      </c>
      <c r="K8510" s="381">
        <v>0.0</v>
      </c>
      <c r="L8510" s="382">
        <v>1.0</v>
      </c>
    </row>
    <row r="8511">
      <c r="A8511" s="380" t="s">
        <v>9385</v>
      </c>
      <c r="B8511" s="380" t="str">
        <f>IFERROR(__xludf.DUMMYFUNCTION("""COMPUTED_VALUE"""),"Soporte Centr Puerta MV5 Foton 946023375")</f>
        <v>Soporte Centr Puerta MV5 Foton 946023375</v>
      </c>
      <c r="C8511" s="380" t="str">
        <f>IFERROR(__xludf.DUMMYFUNCTION("""COMPUTED_VALUE"""),"70003930")</f>
        <v>70003930</v>
      </c>
      <c r="D8511" s="380" t="s">
        <v>767</v>
      </c>
      <c r="E8511" s="380" t="s">
        <v>786</v>
      </c>
      <c r="F8511" s="380" t="s">
        <v>792</v>
      </c>
      <c r="G8511" s="380" t="s">
        <v>1267</v>
      </c>
      <c r="H8511" s="380" t="s">
        <v>771</v>
      </c>
      <c r="I8511" s="380" t="s">
        <v>788</v>
      </c>
      <c r="J8511" s="380" t="s">
        <v>773</v>
      </c>
      <c r="K8511" s="381">
        <v>0.0</v>
      </c>
      <c r="L8511" s="382">
        <v>1.0</v>
      </c>
    </row>
    <row r="8512">
      <c r="A8512" s="380" t="s">
        <v>9386</v>
      </c>
      <c r="B8512" s="380" t="str">
        <f>IFERROR(__xludf.DUMMYFUNCTION("""COMPUTED_VALUE"""),"Buje MUE TRAS VW 8150 Fabricado")</f>
        <v>Buje MUE TRAS VW 8150 Fabricado</v>
      </c>
      <c r="C8512" s="380" t="str">
        <f>IFERROR(__xludf.DUMMYFUNCTION("""COMPUTED_VALUE"""),"70003931")</f>
        <v>70003931</v>
      </c>
      <c r="D8512" s="380" t="s">
        <v>767</v>
      </c>
      <c r="E8512" s="380" t="s">
        <v>786</v>
      </c>
      <c r="F8512" s="380" t="s">
        <v>1039</v>
      </c>
      <c r="G8512" s="380" t="s">
        <v>1267</v>
      </c>
      <c r="H8512" s="380" t="s">
        <v>771</v>
      </c>
      <c r="I8512" s="380" t="s">
        <v>788</v>
      </c>
      <c r="J8512" s="380" t="s">
        <v>773</v>
      </c>
      <c r="K8512" s="381">
        <v>0.0</v>
      </c>
      <c r="L8512" s="382">
        <v>1.0</v>
      </c>
    </row>
    <row r="8513">
      <c r="A8513" s="380" t="s">
        <v>9387</v>
      </c>
      <c r="B8513" s="380" t="str">
        <f>IFERROR(__xludf.DUMMYFUNCTION("""COMPUTED_VALUE"""),"Panel Torpedo CAB INTnaciona Lt 4060741c")</f>
        <v>Panel Torpedo CAB INTnaciona Lt 4060741c</v>
      </c>
      <c r="C8513" s="380" t="str">
        <f>IFERROR(__xludf.DUMMYFUNCTION("""COMPUTED_VALUE"""),"70003932")</f>
        <v>70003932</v>
      </c>
      <c r="D8513" s="380" t="s">
        <v>767</v>
      </c>
      <c r="E8513" s="380" t="s">
        <v>786</v>
      </c>
      <c r="F8513" s="380" t="s">
        <v>792</v>
      </c>
      <c r="G8513" s="380" t="s">
        <v>1267</v>
      </c>
      <c r="H8513" s="380" t="s">
        <v>771</v>
      </c>
      <c r="I8513" s="380" t="s">
        <v>788</v>
      </c>
      <c r="J8513" s="380" t="s">
        <v>773</v>
      </c>
      <c r="K8513" s="381">
        <v>0.0</v>
      </c>
      <c r="L8513" s="382">
        <v>1.0</v>
      </c>
    </row>
    <row r="8514">
      <c r="A8514" s="380" t="s">
        <v>9388</v>
      </c>
      <c r="B8514" s="380" t="str">
        <f>IFERROR(__xludf.DUMMYFUNCTION("""COMPUTED_VALUE"""),"Tapa Central Consola Techo INTnacional L")</f>
        <v>Tapa Central Consola Techo INTnacional L</v>
      </c>
      <c r="C8514" s="380" t="str">
        <f>IFERROR(__xludf.DUMMYFUNCTION("""COMPUTED_VALUE"""),"70003933")</f>
        <v>70003933</v>
      </c>
      <c r="D8514" s="380" t="s">
        <v>767</v>
      </c>
      <c r="E8514" s="380" t="s">
        <v>786</v>
      </c>
      <c r="F8514" s="380" t="s">
        <v>792</v>
      </c>
      <c r="G8514" s="380" t="s">
        <v>1267</v>
      </c>
      <c r="H8514" s="380" t="s">
        <v>771</v>
      </c>
      <c r="I8514" s="380" t="s">
        <v>788</v>
      </c>
      <c r="J8514" s="380" t="s">
        <v>773</v>
      </c>
      <c r="K8514" s="381">
        <v>0.0</v>
      </c>
      <c r="L8514" s="382">
        <v>1.0</v>
      </c>
    </row>
    <row r="8515">
      <c r="A8515" s="380" t="s">
        <v>9389</v>
      </c>
      <c r="B8515" s="380" t="str">
        <f>IFERROR(__xludf.DUMMYFUNCTION("""COMPUTED_VALUE"""),"CAM Freno Del Der FT 1065e 7705946694759")</f>
        <v>CAM Freno Del Der FT 1065e 7705946694759</v>
      </c>
      <c r="C8515" s="380" t="str">
        <f>IFERROR(__xludf.DUMMYFUNCTION("""COMPUTED_VALUE"""),"70003934")</f>
        <v>70003934</v>
      </c>
      <c r="D8515" s="380" t="s">
        <v>767</v>
      </c>
      <c r="E8515" s="380" t="s">
        <v>786</v>
      </c>
      <c r="F8515" s="380" t="s">
        <v>1017</v>
      </c>
      <c r="G8515" s="380" t="s">
        <v>1267</v>
      </c>
      <c r="H8515" s="380" t="s">
        <v>771</v>
      </c>
      <c r="I8515" s="380" t="s">
        <v>788</v>
      </c>
      <c r="J8515" s="380" t="s">
        <v>773</v>
      </c>
      <c r="K8515" s="381">
        <v>0.0</v>
      </c>
      <c r="L8515" s="382">
        <v>1.0</v>
      </c>
    </row>
    <row r="8516">
      <c r="A8516" s="380" t="s">
        <v>9390</v>
      </c>
      <c r="B8516" s="380" t="str">
        <f>IFERROR(__xludf.DUMMYFUNCTION("""COMPUTED_VALUE"""),"Recibidor Tapasol Der INT Lt 3715186c2")</f>
        <v>Recibidor Tapasol Der INT Lt 3715186c2</v>
      </c>
      <c r="C8516" s="380" t="str">
        <f>IFERROR(__xludf.DUMMYFUNCTION("""COMPUTED_VALUE"""),"70003935")</f>
        <v>70003935</v>
      </c>
      <c r="D8516" s="380" t="s">
        <v>767</v>
      </c>
      <c r="E8516" s="380" t="s">
        <v>786</v>
      </c>
      <c r="F8516" s="380" t="s">
        <v>792</v>
      </c>
      <c r="G8516" s="380" t="s">
        <v>1267</v>
      </c>
      <c r="H8516" s="380" t="s">
        <v>771</v>
      </c>
      <c r="I8516" s="380" t="s">
        <v>788</v>
      </c>
      <c r="J8516" s="380" t="s">
        <v>773</v>
      </c>
      <c r="K8516" s="381">
        <v>247496.0</v>
      </c>
      <c r="L8516" s="382">
        <v>1.0</v>
      </c>
    </row>
    <row r="8517">
      <c r="A8517" s="380" t="s">
        <v>9391</v>
      </c>
      <c r="B8517" s="380" t="str">
        <f>IFERROR(__xludf.DUMMYFUNCTION("""COMPUTED_VALUE"""),"Panel Torpedo CAB INT Lt 4060741c95")</f>
        <v>Panel Torpedo CAB INT Lt 4060741c95</v>
      </c>
      <c r="C8517" s="380" t="str">
        <f>IFERROR(__xludf.DUMMYFUNCTION("""COMPUTED_VALUE"""),"70003936")</f>
        <v>70003936</v>
      </c>
      <c r="D8517" s="380" t="s">
        <v>767</v>
      </c>
      <c r="E8517" s="380" t="s">
        <v>786</v>
      </c>
      <c r="F8517" s="380" t="s">
        <v>792</v>
      </c>
      <c r="G8517" s="380" t="s">
        <v>1267</v>
      </c>
      <c r="H8517" s="380" t="s">
        <v>771</v>
      </c>
      <c r="I8517" s="380" t="s">
        <v>788</v>
      </c>
      <c r="J8517" s="380" t="s">
        <v>773</v>
      </c>
      <c r="K8517" s="381">
        <v>0.0</v>
      </c>
      <c r="L8517" s="382">
        <v>1.0</v>
      </c>
    </row>
    <row r="8518">
      <c r="A8518" s="380" t="s">
        <v>9392</v>
      </c>
      <c r="B8518" s="380" t="str">
        <f>IFERROR(__xludf.DUMMYFUNCTION("""COMPUTED_VALUE"""),"Amortiguador Del Foton 1065 5946689991")</f>
        <v>Amortiguador Del Foton 1065 5946689991</v>
      </c>
      <c r="C8518" s="380" t="str">
        <f>IFERROR(__xludf.DUMMYFUNCTION("""COMPUTED_VALUE"""),"70003937")</f>
        <v>70003937</v>
      </c>
      <c r="D8518" s="380" t="s">
        <v>767</v>
      </c>
      <c r="E8518" s="380" t="s">
        <v>786</v>
      </c>
      <c r="F8518" s="380" t="s">
        <v>1039</v>
      </c>
      <c r="G8518" s="380" t="s">
        <v>1267</v>
      </c>
      <c r="H8518" s="380" t="s">
        <v>771</v>
      </c>
      <c r="I8518" s="380" t="s">
        <v>788</v>
      </c>
      <c r="J8518" s="380" t="s">
        <v>773</v>
      </c>
      <c r="K8518" s="381">
        <v>0.0</v>
      </c>
      <c r="L8518" s="382">
        <v>1.0</v>
      </c>
    </row>
    <row r="8519">
      <c r="A8519" s="380" t="s">
        <v>9393</v>
      </c>
      <c r="B8519" s="380" t="str">
        <f>IFERROR(__xludf.DUMMYFUNCTION("""COMPUTED_VALUE"""),"K Kit Empaque Superior Motor Isx 4352144")</f>
        <v>K Kit Empaque Superior Motor Isx 4352144</v>
      </c>
      <c r="C8519" s="380" t="str">
        <f>IFERROR(__xludf.DUMMYFUNCTION("""COMPUTED_VALUE"""),"70003938")</f>
        <v>70003938</v>
      </c>
      <c r="D8519" s="380" t="s">
        <v>767</v>
      </c>
      <c r="E8519" s="380" t="s">
        <v>786</v>
      </c>
      <c r="F8519" s="380" t="s">
        <v>787</v>
      </c>
      <c r="G8519" s="380" t="s">
        <v>1267</v>
      </c>
      <c r="H8519" s="380" t="s">
        <v>771</v>
      </c>
      <c r="I8519" s="380" t="s">
        <v>788</v>
      </c>
      <c r="J8519" s="380" t="s">
        <v>773</v>
      </c>
      <c r="K8519" s="381">
        <v>0.0</v>
      </c>
      <c r="L8519" s="382">
        <v>1.0</v>
      </c>
    </row>
    <row r="8520">
      <c r="A8520" s="380" t="s">
        <v>9394</v>
      </c>
      <c r="B8520" s="380" t="str">
        <f>IFERROR(__xludf.DUMMYFUNCTION("""COMPUTED_VALUE"""),"Chapa PTA DER VW 2vb831402bra")</f>
        <v>Chapa PTA DER VW 2vb831402bra</v>
      </c>
      <c r="C8520" s="380" t="str">
        <f>IFERROR(__xludf.DUMMYFUNCTION("""COMPUTED_VALUE"""),"70003939")</f>
        <v>70003939</v>
      </c>
      <c r="D8520" s="380" t="s">
        <v>767</v>
      </c>
      <c r="E8520" s="380" t="s">
        <v>786</v>
      </c>
      <c r="F8520" s="380" t="s">
        <v>792</v>
      </c>
      <c r="G8520" s="380" t="s">
        <v>1267</v>
      </c>
      <c r="H8520" s="380" t="s">
        <v>771</v>
      </c>
      <c r="I8520" s="380" t="s">
        <v>788</v>
      </c>
      <c r="J8520" s="380" t="s">
        <v>773</v>
      </c>
      <c r="K8520" s="381">
        <v>0.0</v>
      </c>
      <c r="L8520" s="382">
        <v>1.0</v>
      </c>
    </row>
    <row r="8521">
      <c r="A8521" s="380" t="s">
        <v>9395</v>
      </c>
      <c r="B8521" s="380" t="str">
        <f>IFERROR(__xludf.DUMMYFUNCTION("""COMPUTED_VALUE"""),"Relay 24v 4 Pines 70 Amp FT 110493663001")</f>
        <v>Relay 24v 4 Pines 70 Amp FT 110493663001</v>
      </c>
      <c r="C8521" s="380" t="str">
        <f>IFERROR(__xludf.DUMMYFUNCTION("""COMPUTED_VALUE"""),"70003940")</f>
        <v>70003940</v>
      </c>
      <c r="D8521" s="380" t="s">
        <v>767</v>
      </c>
      <c r="E8521" s="380" t="s">
        <v>786</v>
      </c>
      <c r="F8521" s="380" t="s">
        <v>998</v>
      </c>
      <c r="G8521" s="380" t="s">
        <v>1267</v>
      </c>
      <c r="H8521" s="380" t="s">
        <v>771</v>
      </c>
      <c r="I8521" s="380" t="s">
        <v>788</v>
      </c>
      <c r="J8521" s="380" t="s">
        <v>773</v>
      </c>
      <c r="K8521" s="381">
        <v>0.0</v>
      </c>
      <c r="L8521" s="382">
        <v>1.0</v>
      </c>
    </row>
    <row r="8522">
      <c r="A8522" s="380" t="s">
        <v>9396</v>
      </c>
      <c r="B8522" s="380" t="str">
        <f>IFERROR(__xludf.DUMMYFUNCTION("""COMPUTED_VALUE"""),"Tapa DEP Urea INT Lt 4189138c2")</f>
        <v>Tapa DEP Urea INT Lt 4189138c2</v>
      </c>
      <c r="C8522" s="380" t="str">
        <f>IFERROR(__xludf.DUMMYFUNCTION("""COMPUTED_VALUE"""),"70003941")</f>
        <v>70003941</v>
      </c>
      <c r="D8522" s="380" t="s">
        <v>767</v>
      </c>
      <c r="E8522" s="380" t="s">
        <v>786</v>
      </c>
      <c r="F8522" s="380" t="s">
        <v>792</v>
      </c>
      <c r="G8522" s="380" t="s">
        <v>1267</v>
      </c>
      <c r="H8522" s="380" t="s">
        <v>771</v>
      </c>
      <c r="I8522" s="380" t="s">
        <v>788</v>
      </c>
      <c r="J8522" s="380" t="s">
        <v>773</v>
      </c>
      <c r="K8522" s="381">
        <v>0.0</v>
      </c>
      <c r="L8522" s="382">
        <v>1.0</v>
      </c>
    </row>
    <row r="8523">
      <c r="A8523" s="380" t="s">
        <v>9397</v>
      </c>
      <c r="B8523" s="380" t="str">
        <f>IFERROR(__xludf.DUMMYFUNCTION("""COMPUTED_VALUE"""),"Carcasa Volante Chevrolet Ftr 8976099969")</f>
        <v>Carcasa Volante Chevrolet Ftr 8976099969</v>
      </c>
      <c r="C8523" s="380" t="str">
        <f>IFERROR(__xludf.DUMMYFUNCTION("""COMPUTED_VALUE"""),"70003942")</f>
        <v>70003942</v>
      </c>
      <c r="D8523" s="380" t="s">
        <v>767</v>
      </c>
      <c r="E8523" s="380" t="s">
        <v>786</v>
      </c>
      <c r="F8523" s="380" t="s">
        <v>787</v>
      </c>
      <c r="G8523" s="380" t="s">
        <v>1267</v>
      </c>
      <c r="H8523" s="380" t="s">
        <v>771</v>
      </c>
      <c r="I8523" s="380" t="s">
        <v>788</v>
      </c>
      <c r="J8523" s="380" t="s">
        <v>773</v>
      </c>
      <c r="K8523" s="381">
        <v>0.0</v>
      </c>
      <c r="L8523" s="382">
        <v>1.0</v>
      </c>
    </row>
    <row r="8524">
      <c r="A8524" s="380" t="s">
        <v>9398</v>
      </c>
      <c r="B8524" s="380" t="str">
        <f>IFERROR(__xludf.DUMMYFUNCTION("""COMPUTED_VALUE"""),"Varilla Medidora Aceite Nkr 8972312950")</f>
        <v>Varilla Medidora Aceite Nkr 8972312950</v>
      </c>
      <c r="C8524" s="380" t="str">
        <f>IFERROR(__xludf.DUMMYFUNCTION("""COMPUTED_VALUE"""),"70003943")</f>
        <v>70003943</v>
      </c>
      <c r="D8524" s="380" t="s">
        <v>767</v>
      </c>
      <c r="E8524" s="380" t="s">
        <v>786</v>
      </c>
      <c r="F8524" s="380" t="s">
        <v>787</v>
      </c>
      <c r="G8524" s="380" t="s">
        <v>1267</v>
      </c>
      <c r="H8524" s="380" t="s">
        <v>771</v>
      </c>
      <c r="I8524" s="380" t="s">
        <v>788</v>
      </c>
      <c r="J8524" s="380" t="s">
        <v>773</v>
      </c>
      <c r="K8524" s="381">
        <v>0.0</v>
      </c>
      <c r="L8524" s="382">
        <v>1.0</v>
      </c>
    </row>
    <row r="8525">
      <c r="A8525" s="380" t="s">
        <v>9399</v>
      </c>
      <c r="B8525" s="380" t="str">
        <f>IFERROR(__xludf.DUMMYFUNCTION("""COMPUTED_VALUE"""),"Tijera Derecha Hyundai Porter H100")</f>
        <v>Tijera Derecha Hyundai Porter H100</v>
      </c>
      <c r="C8525" s="380" t="str">
        <f>IFERROR(__xludf.DUMMYFUNCTION("""COMPUTED_VALUE"""),"70003944")</f>
        <v>70003944</v>
      </c>
      <c r="D8525" s="380" t="s">
        <v>767</v>
      </c>
      <c r="E8525" s="380" t="s">
        <v>786</v>
      </c>
      <c r="F8525" s="380" t="s">
        <v>1020</v>
      </c>
      <c r="G8525" s="380" t="s">
        <v>1267</v>
      </c>
      <c r="H8525" s="380" t="s">
        <v>771</v>
      </c>
      <c r="I8525" s="380" t="s">
        <v>788</v>
      </c>
      <c r="J8525" s="380" t="s">
        <v>773</v>
      </c>
      <c r="K8525" s="381">
        <v>0.0</v>
      </c>
      <c r="L8525" s="382">
        <v>1.0</v>
      </c>
    </row>
    <row r="8526">
      <c r="A8526" s="380" t="s">
        <v>9400</v>
      </c>
      <c r="B8526" s="380" t="str">
        <f>IFERROR(__xludf.DUMMYFUNCTION("""COMPUTED_VALUE"""),"Guardapolvo Izq Direc N200 23868908")</f>
        <v>Guardapolvo Izq Direc N200 23868908</v>
      </c>
      <c r="C8526" s="380" t="str">
        <f>IFERROR(__xludf.DUMMYFUNCTION("""COMPUTED_VALUE"""),"70003945")</f>
        <v>70003945</v>
      </c>
      <c r="D8526" s="380" t="s">
        <v>767</v>
      </c>
      <c r="E8526" s="380" t="s">
        <v>786</v>
      </c>
      <c r="F8526" s="380" t="s">
        <v>1020</v>
      </c>
      <c r="G8526" s="380" t="s">
        <v>1267</v>
      </c>
      <c r="H8526" s="380" t="s">
        <v>771</v>
      </c>
      <c r="I8526" s="380" t="s">
        <v>788</v>
      </c>
      <c r="J8526" s="380" t="s">
        <v>773</v>
      </c>
      <c r="K8526" s="381">
        <v>0.0</v>
      </c>
      <c r="L8526" s="382">
        <v>1.0</v>
      </c>
    </row>
    <row r="8527">
      <c r="A8527" s="380" t="s">
        <v>9401</v>
      </c>
      <c r="B8527" s="380" t="str">
        <f>IFERROR(__xludf.DUMMYFUNCTION("""COMPUTED_VALUE"""),"Anillo Sincronismo De 5ta FT 1023482264")</f>
        <v>Anillo Sincronismo De 5ta FT 1023482264</v>
      </c>
      <c r="C8527" s="380" t="str">
        <f>IFERROR(__xludf.DUMMYFUNCTION("""COMPUTED_VALUE"""),"70003946")</f>
        <v>70003946</v>
      </c>
      <c r="D8527" s="380" t="s">
        <v>767</v>
      </c>
      <c r="E8527" s="380" t="s">
        <v>786</v>
      </c>
      <c r="F8527" s="380" t="s">
        <v>928</v>
      </c>
      <c r="G8527" s="380" t="s">
        <v>1267</v>
      </c>
      <c r="H8527" s="380" t="s">
        <v>771</v>
      </c>
      <c r="I8527" s="380" t="s">
        <v>788</v>
      </c>
      <c r="J8527" s="380" t="s">
        <v>773</v>
      </c>
      <c r="K8527" s="381">
        <v>0.0</v>
      </c>
      <c r="L8527" s="382">
        <v>1.0</v>
      </c>
    </row>
    <row r="8528">
      <c r="A8528" s="380" t="s">
        <v>9402</v>
      </c>
      <c r="B8528" s="380" t="str">
        <f>IFERROR(__xludf.DUMMYFUNCTION("""COMPUTED_VALUE"""),"Volante Completa Foton Mv5 7705946019309")</f>
        <v>Volante Completa Foton Mv5 7705946019309</v>
      </c>
      <c r="C8528" s="380" t="str">
        <f>IFERROR(__xludf.DUMMYFUNCTION("""COMPUTED_VALUE"""),"70003947")</f>
        <v>70003947</v>
      </c>
      <c r="D8528" s="380" t="s">
        <v>767</v>
      </c>
      <c r="E8528" s="380" t="s">
        <v>786</v>
      </c>
      <c r="F8528" s="380" t="s">
        <v>928</v>
      </c>
      <c r="G8528" s="380" t="s">
        <v>1267</v>
      </c>
      <c r="H8528" s="380" t="s">
        <v>771</v>
      </c>
      <c r="I8528" s="380" t="s">
        <v>788</v>
      </c>
      <c r="J8528" s="380" t="s">
        <v>773</v>
      </c>
      <c r="K8528" s="381">
        <v>0.0</v>
      </c>
      <c r="L8528" s="382">
        <v>1.0</v>
      </c>
    </row>
    <row r="8529">
      <c r="A8529" s="380" t="s">
        <v>9403</v>
      </c>
      <c r="B8529" s="380" t="str">
        <f>IFERROR(__xludf.DUMMYFUNCTION("""COMPUTED_VALUE"""),"Terminal BRR DIR Larga Der Jac 3003520m1")</f>
        <v>Terminal BRR DIR Larga Der Jac 3003520m1</v>
      </c>
      <c r="C8529" s="380" t="str">
        <f>IFERROR(__xludf.DUMMYFUNCTION("""COMPUTED_VALUE"""),"70003948")</f>
        <v>70003948</v>
      </c>
      <c r="D8529" s="380" t="s">
        <v>767</v>
      </c>
      <c r="E8529" s="380" t="s">
        <v>786</v>
      </c>
      <c r="F8529" s="380" t="s">
        <v>1020</v>
      </c>
      <c r="G8529" s="380" t="s">
        <v>1267</v>
      </c>
      <c r="H8529" s="380" t="s">
        <v>771</v>
      </c>
      <c r="I8529" s="380" t="s">
        <v>788</v>
      </c>
      <c r="J8529" s="380" t="s">
        <v>773</v>
      </c>
      <c r="K8529" s="381">
        <v>0.0</v>
      </c>
      <c r="L8529" s="382">
        <v>1.0</v>
      </c>
    </row>
    <row r="8530">
      <c r="A8530" s="380" t="s">
        <v>9404</v>
      </c>
      <c r="B8530" s="380" t="str">
        <f>IFERROR(__xludf.DUMMYFUNCTION("""COMPUTED_VALUE"""),"Terminal BRR DIR Larga Izq Jac 3003510m1")</f>
        <v>Terminal BRR DIR Larga Izq Jac 3003510m1</v>
      </c>
      <c r="C8530" s="380" t="str">
        <f>IFERROR(__xludf.DUMMYFUNCTION("""COMPUTED_VALUE"""),"70003949")</f>
        <v>70003949</v>
      </c>
      <c r="D8530" s="380" t="s">
        <v>767</v>
      </c>
      <c r="E8530" s="380" t="s">
        <v>786</v>
      </c>
      <c r="F8530" s="380" t="s">
        <v>1020</v>
      </c>
      <c r="G8530" s="380" t="s">
        <v>1267</v>
      </c>
      <c r="H8530" s="380" t="s">
        <v>771</v>
      </c>
      <c r="I8530" s="380" t="s">
        <v>788</v>
      </c>
      <c r="J8530" s="380" t="s">
        <v>773</v>
      </c>
      <c r="K8530" s="381">
        <v>0.0</v>
      </c>
      <c r="L8530" s="382">
        <v>1.0</v>
      </c>
    </row>
    <row r="8531">
      <c r="A8531" s="380" t="s">
        <v>9405</v>
      </c>
      <c r="B8531" s="380" t="str">
        <f>IFERROR(__xludf.DUMMYFUNCTION("""COMPUTED_VALUE"""),"Soporte Guaya Cambios N200 24517075")</f>
        <v>Soporte Guaya Cambios N200 24517075</v>
      </c>
      <c r="C8531" s="380" t="str">
        <f>IFERROR(__xludf.DUMMYFUNCTION("""COMPUTED_VALUE"""),"70003950")</f>
        <v>70003950</v>
      </c>
      <c r="D8531" s="380" t="s">
        <v>767</v>
      </c>
      <c r="E8531" s="380" t="s">
        <v>786</v>
      </c>
      <c r="F8531" s="380" t="s">
        <v>928</v>
      </c>
      <c r="G8531" s="380" t="s">
        <v>1267</v>
      </c>
      <c r="H8531" s="380" t="s">
        <v>771</v>
      </c>
      <c r="I8531" s="380" t="s">
        <v>788</v>
      </c>
      <c r="J8531" s="380" t="s">
        <v>773</v>
      </c>
      <c r="K8531" s="381">
        <v>0.0</v>
      </c>
      <c r="L8531" s="382">
        <v>1.0</v>
      </c>
    </row>
    <row r="8532">
      <c r="A8532" s="380" t="s">
        <v>9406</v>
      </c>
      <c r="B8532" s="380" t="str">
        <f>IFERROR(__xludf.DUMMYFUNCTION("""COMPUTED_VALUE"""),"Garra Bloqueo CJ FT Mv5 7701023484886")</f>
        <v>Garra Bloqueo CJ FT Mv5 7701023484886</v>
      </c>
      <c r="C8532" s="380" t="str">
        <f>IFERROR(__xludf.DUMMYFUNCTION("""COMPUTED_VALUE"""),"70003951")</f>
        <v>70003951</v>
      </c>
      <c r="D8532" s="380" t="s">
        <v>767</v>
      </c>
      <c r="E8532" s="380" t="s">
        <v>786</v>
      </c>
      <c r="F8532" s="380" t="s">
        <v>928</v>
      </c>
      <c r="G8532" s="380" t="s">
        <v>1267</v>
      </c>
      <c r="H8532" s="380" t="s">
        <v>771</v>
      </c>
      <c r="I8532" s="380" t="s">
        <v>788</v>
      </c>
      <c r="J8532" s="380" t="s">
        <v>773</v>
      </c>
      <c r="K8532" s="381">
        <v>0.0</v>
      </c>
      <c r="L8532" s="382">
        <v>1.0</v>
      </c>
    </row>
    <row r="8533">
      <c r="A8533" s="380" t="s">
        <v>9407</v>
      </c>
      <c r="B8533" s="380" t="str">
        <f>IFERROR(__xludf.DUMMYFUNCTION("""COMPUTED_VALUE"""),"Sincronismo De 5ta FT Mv5 7701023482219")</f>
        <v>Sincronismo De 5ta FT Mv5 7701023482219</v>
      </c>
      <c r="C8533" s="380" t="str">
        <f>IFERROR(__xludf.DUMMYFUNCTION("""COMPUTED_VALUE"""),"70003952")</f>
        <v>70003952</v>
      </c>
      <c r="D8533" s="380" t="s">
        <v>767</v>
      </c>
      <c r="E8533" s="380" t="s">
        <v>786</v>
      </c>
      <c r="F8533" s="380" t="s">
        <v>928</v>
      </c>
      <c r="G8533" s="380" t="s">
        <v>1267</v>
      </c>
      <c r="H8533" s="380" t="s">
        <v>771</v>
      </c>
      <c r="I8533" s="380" t="s">
        <v>788</v>
      </c>
      <c r="J8533" s="380" t="s">
        <v>773</v>
      </c>
      <c r="K8533" s="381">
        <v>0.0</v>
      </c>
      <c r="L8533" s="382">
        <v>1.0</v>
      </c>
    </row>
    <row r="8534">
      <c r="A8534" s="380" t="s">
        <v>9408</v>
      </c>
      <c r="B8534" s="380" t="str">
        <f>IFERROR(__xludf.DUMMYFUNCTION("""COMPUTED_VALUE"""),"EMP Enfriador De Aceite HN Dutropack 157")</f>
        <v>EMP Enfriador De Aceite HN Dutropack 157</v>
      </c>
      <c r="C8534" s="380" t="str">
        <f>IFERROR(__xludf.DUMMYFUNCTION("""COMPUTED_VALUE"""),"70003953")</f>
        <v>70003953</v>
      </c>
      <c r="D8534" s="380" t="s">
        <v>767</v>
      </c>
      <c r="E8534" s="380" t="s">
        <v>786</v>
      </c>
      <c r="F8534" s="380" t="s">
        <v>787</v>
      </c>
      <c r="G8534" s="380" t="s">
        <v>1267</v>
      </c>
      <c r="H8534" s="380" t="s">
        <v>771</v>
      </c>
      <c r="I8534" s="380" t="s">
        <v>788</v>
      </c>
      <c r="J8534" s="380" t="s">
        <v>773</v>
      </c>
      <c r="K8534" s="381">
        <v>0.0</v>
      </c>
      <c r="L8534" s="382">
        <v>1.0</v>
      </c>
    </row>
    <row r="8535">
      <c r="A8535" s="380" t="s">
        <v>9409</v>
      </c>
      <c r="B8535" s="380" t="str">
        <f>IFERROR(__xludf.DUMMYFUNCTION("""COMPUTED_VALUE"""),"Eje Balancines MOT HN Dutropack 13901-14")</f>
        <v>Eje Balancines MOT HN Dutropack 13901-14</v>
      </c>
      <c r="C8535" s="380" t="str">
        <f>IFERROR(__xludf.DUMMYFUNCTION("""COMPUTED_VALUE"""),"70003954")</f>
        <v>70003954</v>
      </c>
      <c r="D8535" s="380" t="s">
        <v>767</v>
      </c>
      <c r="E8535" s="380" t="s">
        <v>786</v>
      </c>
      <c r="F8535" s="380" t="s">
        <v>787</v>
      </c>
      <c r="G8535" s="380" t="s">
        <v>1267</v>
      </c>
      <c r="H8535" s="380" t="s">
        <v>771</v>
      </c>
      <c r="I8535" s="380" t="s">
        <v>788</v>
      </c>
      <c r="J8535" s="380" t="s">
        <v>773</v>
      </c>
      <c r="K8535" s="381">
        <v>0.0</v>
      </c>
      <c r="L8535" s="382">
        <v>1.0</v>
      </c>
    </row>
    <row r="8536">
      <c r="A8536" s="380" t="s">
        <v>9410</v>
      </c>
      <c r="B8536" s="380" t="str">
        <f>IFERROR(__xludf.DUMMYFUNCTION("""COMPUTED_VALUE"""),"Brazo Corto De DIRción Daf Cf480 2144067")</f>
        <v>Brazo Corto De DIRción Daf Cf480 2144067</v>
      </c>
      <c r="C8536" s="380" t="str">
        <f>IFERROR(__xludf.DUMMYFUNCTION("""COMPUTED_VALUE"""),"70003955")</f>
        <v>70003955</v>
      </c>
      <c r="D8536" s="380" t="s">
        <v>767</v>
      </c>
      <c r="E8536" s="380" t="s">
        <v>786</v>
      </c>
      <c r="F8536" s="380" t="s">
        <v>1020</v>
      </c>
      <c r="G8536" s="380" t="s">
        <v>1267</v>
      </c>
      <c r="H8536" s="380" t="s">
        <v>771</v>
      </c>
      <c r="I8536" s="380" t="s">
        <v>788</v>
      </c>
      <c r="J8536" s="380" t="s">
        <v>773</v>
      </c>
      <c r="K8536" s="381">
        <v>0.0</v>
      </c>
      <c r="L8536" s="382">
        <v>1.0</v>
      </c>
    </row>
    <row r="8537">
      <c r="A8537" s="380" t="s">
        <v>9411</v>
      </c>
      <c r="B8537" s="380" t="str">
        <f>IFERROR(__xludf.DUMMYFUNCTION("""COMPUTED_VALUE"""),"Cable Bateria N-0")</f>
        <v>Cable Bateria N-0</v>
      </c>
      <c r="C8537" s="380" t="str">
        <f>IFERROR(__xludf.DUMMYFUNCTION("""COMPUTED_VALUE"""),"70003956")</f>
        <v>70003956</v>
      </c>
      <c r="D8537" s="380" t="s">
        <v>767</v>
      </c>
      <c r="E8537" s="380" t="s">
        <v>786</v>
      </c>
      <c r="F8537" s="380" t="s">
        <v>998</v>
      </c>
      <c r="G8537" s="380" t="s">
        <v>1267</v>
      </c>
      <c r="H8537" s="380" t="s">
        <v>771</v>
      </c>
      <c r="I8537" s="380" t="s">
        <v>788</v>
      </c>
      <c r="J8537" s="380" t="s">
        <v>773</v>
      </c>
      <c r="K8537" s="381">
        <v>0.0</v>
      </c>
      <c r="L8537" s="382">
        <v>1.0</v>
      </c>
    </row>
    <row r="8538">
      <c r="A8538" s="380" t="s">
        <v>9412</v>
      </c>
      <c r="B8538" s="380" t="str">
        <f>IFERROR(__xludf.DUMMYFUNCTION("""COMPUTED_VALUE"""),"Clip SOP Persiana FT 1039 7701023549042")</f>
        <v>Clip SOP Persiana FT 1039 7701023549042</v>
      </c>
      <c r="C8538" s="380" t="str">
        <f>IFERROR(__xludf.DUMMYFUNCTION("""COMPUTED_VALUE"""),"70003957")</f>
        <v>70003957</v>
      </c>
      <c r="D8538" s="380" t="s">
        <v>767</v>
      </c>
      <c r="E8538" s="380" t="s">
        <v>786</v>
      </c>
      <c r="F8538" s="380" t="s">
        <v>792</v>
      </c>
      <c r="G8538" s="380" t="s">
        <v>1267</v>
      </c>
      <c r="H8538" s="380" t="s">
        <v>771</v>
      </c>
      <c r="I8538" s="380" t="s">
        <v>788</v>
      </c>
      <c r="J8538" s="380" t="s">
        <v>773</v>
      </c>
      <c r="K8538" s="381">
        <v>0.0</v>
      </c>
      <c r="L8538" s="382">
        <v>1.0</v>
      </c>
    </row>
    <row r="8539">
      <c r="A8539" s="380" t="s">
        <v>9413</v>
      </c>
      <c r="B8539" s="380" t="str">
        <f>IFERROR(__xludf.DUMMYFUNCTION("""COMPUTED_VALUE"""),"Booster De EMB Jac 1042 1608020le010")</f>
        <v>Booster De EMB Jac 1042 1608020le010</v>
      </c>
      <c r="C8539" s="380" t="str">
        <f>IFERROR(__xludf.DUMMYFUNCTION("""COMPUTED_VALUE"""),"70003958")</f>
        <v>70003958</v>
      </c>
      <c r="D8539" s="380" t="s">
        <v>767</v>
      </c>
      <c r="E8539" s="380" t="s">
        <v>786</v>
      </c>
      <c r="F8539" s="380" t="s">
        <v>5661</v>
      </c>
      <c r="G8539" s="380" t="s">
        <v>1267</v>
      </c>
      <c r="H8539" s="380" t="s">
        <v>771</v>
      </c>
      <c r="I8539" s="380" t="s">
        <v>788</v>
      </c>
      <c r="J8539" s="380" t="s">
        <v>773</v>
      </c>
      <c r="K8539" s="381">
        <v>0.0</v>
      </c>
      <c r="L8539" s="382">
        <v>1.0</v>
      </c>
    </row>
    <row r="8540">
      <c r="A8540" s="380" t="s">
        <v>9414</v>
      </c>
      <c r="B8540" s="380" t="str">
        <f>IFERROR(__xludf.DUMMYFUNCTION("""COMPUTED_VALUE"""),"Pin Persiana Foton 1039 7701023973588")</f>
        <v>Pin Persiana Foton 1039 7701023973588</v>
      </c>
      <c r="C8540" s="380" t="str">
        <f>IFERROR(__xludf.DUMMYFUNCTION("""COMPUTED_VALUE"""),"70003959")</f>
        <v>70003959</v>
      </c>
      <c r="D8540" s="380" t="s">
        <v>767</v>
      </c>
      <c r="E8540" s="380" t="s">
        <v>786</v>
      </c>
      <c r="F8540" s="380" t="s">
        <v>792</v>
      </c>
      <c r="G8540" s="380" t="s">
        <v>1267</v>
      </c>
      <c r="H8540" s="380" t="s">
        <v>771</v>
      </c>
      <c r="I8540" s="380" t="s">
        <v>788</v>
      </c>
      <c r="J8540" s="380" t="s">
        <v>773</v>
      </c>
      <c r="K8540" s="381">
        <v>0.0</v>
      </c>
      <c r="L8540" s="382">
        <v>1.0</v>
      </c>
    </row>
    <row r="8541">
      <c r="A8541" s="380" t="s">
        <v>9415</v>
      </c>
      <c r="B8541" s="380" t="str">
        <f>IFERROR(__xludf.DUMMYFUNCTION("""COMPUTED_VALUE"""),"VALV Niveleladora Bombona MCK Anthem 851")</f>
        <v>VALV Niveleladora Bombona MCK Anthem 851</v>
      </c>
      <c r="C8541" s="380" t="str">
        <f>IFERROR(__xludf.DUMMYFUNCTION("""COMPUTED_VALUE"""),"70003960")</f>
        <v>70003960</v>
      </c>
      <c r="D8541" s="380" t="s">
        <v>767</v>
      </c>
      <c r="E8541" s="380" t="s">
        <v>786</v>
      </c>
      <c r="F8541" s="380" t="s">
        <v>787</v>
      </c>
      <c r="G8541" s="380" t="s">
        <v>1267</v>
      </c>
      <c r="H8541" s="380" t="s">
        <v>771</v>
      </c>
      <c r="I8541" s="380" t="s">
        <v>788</v>
      </c>
      <c r="J8541" s="380" t="s">
        <v>773</v>
      </c>
      <c r="K8541" s="381">
        <v>0.0</v>
      </c>
      <c r="L8541" s="382">
        <v>1.0</v>
      </c>
    </row>
    <row r="8542">
      <c r="A8542" s="380" t="s">
        <v>9416</v>
      </c>
      <c r="B8542" s="380" t="str">
        <f>IFERROR(__xludf.DUMMYFUNCTION("""COMPUTED_VALUE"""),"Compresor Aire Acondicionado Foton Repar")</f>
        <v>Compresor Aire Acondicionado Foton Repar</v>
      </c>
      <c r="C8542" s="380" t="str">
        <f>IFERROR(__xludf.DUMMYFUNCTION("""COMPUTED_VALUE"""),"70003961")</f>
        <v>70003961</v>
      </c>
      <c r="D8542" s="380" t="s">
        <v>767</v>
      </c>
      <c r="E8542" s="380" t="s">
        <v>786</v>
      </c>
      <c r="F8542" s="380" t="s">
        <v>1031</v>
      </c>
      <c r="G8542" s="380" t="s">
        <v>1267</v>
      </c>
      <c r="H8542" s="380" t="s">
        <v>771</v>
      </c>
      <c r="I8542" s="380" t="s">
        <v>788</v>
      </c>
      <c r="J8542" s="380" t="s">
        <v>773</v>
      </c>
      <c r="K8542" s="381">
        <v>0.0</v>
      </c>
      <c r="L8542" s="382">
        <v>1.0</v>
      </c>
    </row>
    <row r="8543">
      <c r="A8543" s="380" t="s">
        <v>9417</v>
      </c>
      <c r="B8543" s="380" t="str">
        <f>IFERROR(__xludf.DUMMYFUNCTION("""COMPUTED_VALUE"""),"Modulo BMB Dosificadora Def INTn 5273337")</f>
        <v>Modulo BMB Dosificadora Def INTn 5273337</v>
      </c>
      <c r="C8543" s="380" t="str">
        <f>IFERROR(__xludf.DUMMYFUNCTION("""COMPUTED_VALUE"""),"70003962")</f>
        <v>70003962</v>
      </c>
      <c r="D8543" s="380" t="s">
        <v>767</v>
      </c>
      <c r="E8543" s="380" t="s">
        <v>786</v>
      </c>
      <c r="F8543" s="380" t="s">
        <v>998</v>
      </c>
      <c r="G8543" s="380" t="s">
        <v>1267</v>
      </c>
      <c r="H8543" s="380" t="s">
        <v>771</v>
      </c>
      <c r="I8543" s="380" t="s">
        <v>788</v>
      </c>
      <c r="J8543" s="380" t="s">
        <v>773</v>
      </c>
      <c r="K8543" s="381">
        <v>0.0</v>
      </c>
      <c r="L8543" s="382">
        <v>1.0</v>
      </c>
    </row>
    <row r="8544">
      <c r="A8544" s="380" t="s">
        <v>9418</v>
      </c>
      <c r="B8544" s="380" t="str">
        <f>IFERROR(__xludf.DUMMYFUNCTION("""COMPUTED_VALUE"""),"Racor 45 Grados TANQ AIR PRIM 4058157c1")</f>
        <v>Racor 45 Grados TANQ AIR PRIM 4058157c1</v>
      </c>
      <c r="C8544" s="380" t="str">
        <f>IFERROR(__xludf.DUMMYFUNCTION("""COMPUTED_VALUE"""),"70003963")</f>
        <v>70003963</v>
      </c>
      <c r="D8544" s="380" t="s">
        <v>767</v>
      </c>
      <c r="E8544" s="380" t="s">
        <v>786</v>
      </c>
      <c r="F8544" s="380" t="s">
        <v>1017</v>
      </c>
      <c r="G8544" s="380" t="s">
        <v>1267</v>
      </c>
      <c r="H8544" s="380" t="s">
        <v>771</v>
      </c>
      <c r="I8544" s="380" t="s">
        <v>788</v>
      </c>
      <c r="J8544" s="380" t="s">
        <v>773</v>
      </c>
      <c r="K8544" s="381">
        <v>0.0</v>
      </c>
      <c r="L8544" s="382">
        <v>1.0</v>
      </c>
    </row>
    <row r="8545">
      <c r="A8545" s="380" t="s">
        <v>9419</v>
      </c>
      <c r="B8545" s="380" t="str">
        <f>IFERROR(__xludf.DUMMYFUNCTION("""COMPUTED_VALUE"""),"Cinta Timon DIR FT MV5 Pito A 5946309172")</f>
        <v>Cinta Timon DIR FT MV5 Pito A 5946309172</v>
      </c>
      <c r="C8545" s="380" t="str">
        <f>IFERROR(__xludf.DUMMYFUNCTION("""COMPUTED_VALUE"""),"70003964")</f>
        <v>70003964</v>
      </c>
      <c r="D8545" s="380" t="s">
        <v>767</v>
      </c>
      <c r="E8545" s="380" t="s">
        <v>786</v>
      </c>
      <c r="F8545" s="380" t="s">
        <v>998</v>
      </c>
      <c r="G8545" s="380" t="s">
        <v>1267</v>
      </c>
      <c r="H8545" s="380" t="s">
        <v>771</v>
      </c>
      <c r="I8545" s="380" t="s">
        <v>788</v>
      </c>
      <c r="J8545" s="380" t="s">
        <v>773</v>
      </c>
      <c r="K8545" s="381">
        <v>0.0</v>
      </c>
      <c r="L8545" s="382">
        <v>1.0</v>
      </c>
    </row>
    <row r="8546">
      <c r="A8546" s="380" t="s">
        <v>9420</v>
      </c>
      <c r="B8546" s="380" t="str">
        <f>IFERROR(__xludf.DUMMYFUNCTION("""COMPUTED_VALUE"""),"Sensor Reversa Foton 1065 Wk118 77059468")</f>
        <v>Sensor Reversa Foton 1065 Wk118 77059468</v>
      </c>
      <c r="C8546" s="380" t="str">
        <f>IFERROR(__xludf.DUMMYFUNCTION("""COMPUTED_VALUE"""),"70003965")</f>
        <v>70003965</v>
      </c>
      <c r="D8546" s="380" t="s">
        <v>767</v>
      </c>
      <c r="E8546" s="380" t="s">
        <v>786</v>
      </c>
      <c r="F8546" s="380" t="s">
        <v>1017</v>
      </c>
      <c r="G8546" s="380" t="s">
        <v>1267</v>
      </c>
      <c r="H8546" s="380" t="s">
        <v>771</v>
      </c>
      <c r="I8546" s="380" t="s">
        <v>788</v>
      </c>
      <c r="J8546" s="380" t="s">
        <v>773</v>
      </c>
      <c r="K8546" s="381">
        <v>0.0</v>
      </c>
      <c r="L8546" s="382">
        <v>1.0</v>
      </c>
    </row>
    <row r="8547">
      <c r="A8547" s="380" t="s">
        <v>9421</v>
      </c>
      <c r="B8547" s="380" t="str">
        <f>IFERROR(__xludf.DUMMYFUNCTION("""COMPUTED_VALUE"""),"Bateria ELEC Montacarga 24-125t-13 Coexi")</f>
        <v>Bateria ELEC Montacarga 24-125t-13 Coexi</v>
      </c>
      <c r="C8547" s="380" t="str">
        <f>IFERROR(__xludf.DUMMYFUNCTION("""COMPUTED_VALUE"""),"70003966")</f>
        <v>70003966</v>
      </c>
      <c r="D8547" s="380" t="s">
        <v>767</v>
      </c>
      <c r="E8547" s="380" t="s">
        <v>786</v>
      </c>
      <c r="F8547" s="380" t="s">
        <v>998</v>
      </c>
      <c r="G8547" s="380" t="s">
        <v>1267</v>
      </c>
      <c r="H8547" s="380" t="s">
        <v>771</v>
      </c>
      <c r="I8547" s="380" t="s">
        <v>788</v>
      </c>
      <c r="J8547" s="380" t="s">
        <v>773</v>
      </c>
      <c r="K8547" s="381">
        <v>0.0</v>
      </c>
      <c r="L8547" s="382">
        <v>1.0</v>
      </c>
    </row>
    <row r="8548">
      <c r="A8548" s="380" t="s">
        <v>9422</v>
      </c>
      <c r="B8548" s="380" t="str">
        <f>IFERROR(__xludf.DUMMYFUNCTION("""COMPUTED_VALUE"""),"Switch Exploradora Jac 1120 3750950le010")</f>
        <v>Switch Exploradora Jac 1120 3750950le010</v>
      </c>
      <c r="C8548" s="380" t="str">
        <f>IFERROR(__xludf.DUMMYFUNCTION("""COMPUTED_VALUE"""),"70003967")</f>
        <v>70003967</v>
      </c>
      <c r="D8548" s="380" t="s">
        <v>767</v>
      </c>
      <c r="E8548" s="380" t="s">
        <v>786</v>
      </c>
      <c r="F8548" s="380" t="s">
        <v>998</v>
      </c>
      <c r="G8548" s="380" t="s">
        <v>1267</v>
      </c>
      <c r="H8548" s="380" t="s">
        <v>771</v>
      </c>
      <c r="I8548" s="380" t="s">
        <v>788</v>
      </c>
      <c r="J8548" s="380" t="s">
        <v>773</v>
      </c>
      <c r="K8548" s="381">
        <v>0.0</v>
      </c>
      <c r="L8548" s="382">
        <v>1.0</v>
      </c>
    </row>
    <row r="8549">
      <c r="A8549" s="380" t="s">
        <v>9423</v>
      </c>
      <c r="B8549" s="380" t="str">
        <f>IFERROR(__xludf.DUMMYFUNCTION("""COMPUTED_VALUE"""),"FILT Def BMB Dosificadora MCK 2330000289")</f>
        <v>FILT Def BMB Dosificadora MCK 2330000289</v>
      </c>
      <c r="C8549" s="380" t="str">
        <f>IFERROR(__xludf.DUMMYFUNCTION("""COMPUTED_VALUE"""),"70003968")</f>
        <v>70003968</v>
      </c>
      <c r="D8549" s="380" t="s">
        <v>767</v>
      </c>
      <c r="E8549" s="380" t="s">
        <v>786</v>
      </c>
      <c r="F8549" s="380" t="s">
        <v>5855</v>
      </c>
      <c r="G8549" s="380" t="s">
        <v>1267</v>
      </c>
      <c r="H8549" s="380" t="s">
        <v>771</v>
      </c>
      <c r="I8549" s="380" t="s">
        <v>788</v>
      </c>
      <c r="J8549" s="380" t="s">
        <v>773</v>
      </c>
      <c r="K8549" s="381">
        <v>0.0</v>
      </c>
      <c r="L8549" s="382">
        <v>1.0</v>
      </c>
    </row>
    <row r="8550">
      <c r="A8550" s="380" t="s">
        <v>9424</v>
      </c>
      <c r="B8550" s="380" t="str">
        <f>IFERROR(__xludf.DUMMYFUNCTION("""COMPUTED_VALUE"""),"Kit FILT TANQ Def MCK Anthem 2330006271")</f>
        <v>Kit FILT TANQ Def MCK Anthem 2330006271</v>
      </c>
      <c r="C8550" s="380" t="str">
        <f>IFERROR(__xludf.DUMMYFUNCTION("""COMPUTED_VALUE"""),"70003969")</f>
        <v>70003969</v>
      </c>
      <c r="D8550" s="380" t="s">
        <v>767</v>
      </c>
      <c r="E8550" s="380" t="s">
        <v>786</v>
      </c>
      <c r="F8550" s="380" t="s">
        <v>5855</v>
      </c>
      <c r="G8550" s="380" t="s">
        <v>1267</v>
      </c>
      <c r="H8550" s="380" t="s">
        <v>771</v>
      </c>
      <c r="I8550" s="380" t="s">
        <v>788</v>
      </c>
      <c r="J8550" s="380" t="s">
        <v>773</v>
      </c>
      <c r="K8550" s="381">
        <v>0.0</v>
      </c>
      <c r="L8550" s="382">
        <v>1.0</v>
      </c>
    </row>
    <row r="8551">
      <c r="A8551" s="380" t="s">
        <v>9425</v>
      </c>
      <c r="B8551" s="380" t="str">
        <f>IFERROR(__xludf.DUMMYFUNCTION("""COMPUTED_VALUE"""),"RET Tras Cigüeñal CH FTR 8983343390")</f>
        <v>RET Tras Cigüeñal CH FTR 8983343390</v>
      </c>
      <c r="C8551" s="380" t="str">
        <f>IFERROR(__xludf.DUMMYFUNCTION("""COMPUTED_VALUE"""),"70003970")</f>
        <v>70003970</v>
      </c>
      <c r="D8551" s="380" t="s">
        <v>767</v>
      </c>
      <c r="E8551" s="380" t="s">
        <v>786</v>
      </c>
      <c r="F8551" s="380" t="s">
        <v>787</v>
      </c>
      <c r="G8551" s="380" t="s">
        <v>1267</v>
      </c>
      <c r="H8551" s="380" t="s">
        <v>771</v>
      </c>
      <c r="I8551" s="380" t="s">
        <v>788</v>
      </c>
      <c r="J8551" s="380" t="s">
        <v>773</v>
      </c>
      <c r="K8551" s="381">
        <v>0.0</v>
      </c>
      <c r="L8551" s="382">
        <v>1.0</v>
      </c>
    </row>
    <row r="8552">
      <c r="A8552" s="380" t="s">
        <v>9426</v>
      </c>
      <c r="B8552" s="380" t="str">
        <f>IFERROR(__xludf.DUMMYFUNCTION("""COMPUTED_VALUE"""),"Cruceta Cardan Chevrolet Ftr 8980489251")</f>
        <v>Cruceta Cardan Chevrolet Ftr 8980489251</v>
      </c>
      <c r="C8552" s="380" t="str">
        <f>IFERROR(__xludf.DUMMYFUNCTION("""COMPUTED_VALUE"""),"70003971")</f>
        <v>70003971</v>
      </c>
      <c r="D8552" s="380" t="s">
        <v>767</v>
      </c>
      <c r="E8552" s="380" t="s">
        <v>786</v>
      </c>
      <c r="F8552" s="380" t="s">
        <v>5683</v>
      </c>
      <c r="G8552" s="380" t="s">
        <v>1267</v>
      </c>
      <c r="H8552" s="380" t="s">
        <v>771</v>
      </c>
      <c r="I8552" s="380" t="s">
        <v>788</v>
      </c>
      <c r="J8552" s="380" t="s">
        <v>773</v>
      </c>
      <c r="K8552" s="381">
        <v>0.0</v>
      </c>
      <c r="L8552" s="382">
        <v>1.0</v>
      </c>
    </row>
    <row r="8553">
      <c r="A8553" s="380" t="s">
        <v>9427</v>
      </c>
      <c r="B8553" s="380" t="str">
        <f>IFERROR(__xludf.DUMMYFUNCTION("""COMPUTED_VALUE"""),"Bloque Motor Hino Dutropack 11410-78461")</f>
        <v>Bloque Motor Hino Dutropack 11410-78461</v>
      </c>
      <c r="C8553" s="380" t="str">
        <f>IFERROR(__xludf.DUMMYFUNCTION("""COMPUTED_VALUE"""),"70003972")</f>
        <v>70003972</v>
      </c>
      <c r="D8553" s="380" t="s">
        <v>767</v>
      </c>
      <c r="E8553" s="380" t="s">
        <v>786</v>
      </c>
      <c r="F8553" s="380" t="s">
        <v>787</v>
      </c>
      <c r="G8553" s="380" t="s">
        <v>1267</v>
      </c>
      <c r="H8553" s="380" t="s">
        <v>771</v>
      </c>
      <c r="I8553" s="380" t="s">
        <v>788</v>
      </c>
      <c r="J8553" s="380" t="s">
        <v>773</v>
      </c>
      <c r="K8553" s="381">
        <v>0.0</v>
      </c>
      <c r="L8553" s="382">
        <v>1.0</v>
      </c>
    </row>
    <row r="8554">
      <c r="A8554" s="380" t="s">
        <v>9428</v>
      </c>
      <c r="B8554" s="380" t="str">
        <f>IFERROR(__xludf.DUMMYFUNCTION("""COMPUTED_VALUE"""),"Rodamiento SOP Cardan HN 500 700007883")</f>
        <v>Rodamiento SOP Cardan HN 500 700007883</v>
      </c>
      <c r="C8554" s="380" t="str">
        <f>IFERROR(__xludf.DUMMYFUNCTION("""COMPUTED_VALUE"""),"70003973")</f>
        <v>70003973</v>
      </c>
      <c r="D8554" s="380" t="s">
        <v>767</v>
      </c>
      <c r="E8554" s="380" t="s">
        <v>786</v>
      </c>
      <c r="F8554" s="380" t="s">
        <v>5683</v>
      </c>
      <c r="G8554" s="380" t="s">
        <v>1267</v>
      </c>
      <c r="H8554" s="380" t="s">
        <v>771</v>
      </c>
      <c r="I8554" s="380" t="s">
        <v>788</v>
      </c>
      <c r="J8554" s="380" t="s">
        <v>773</v>
      </c>
      <c r="K8554" s="381">
        <v>0.0</v>
      </c>
      <c r="L8554" s="382">
        <v>1.0</v>
      </c>
    </row>
    <row r="8555">
      <c r="A8555" s="380" t="s">
        <v>9429</v>
      </c>
      <c r="B8555" s="380" t="str">
        <f>IFERROR(__xludf.DUMMYFUNCTION("""COMPUTED_VALUE"""),"Conducto De Aire KW T800 Mod 2011 589480")</f>
        <v>Conducto De Aire KW T800 Mod 2011 589480</v>
      </c>
      <c r="C8555" s="380" t="str">
        <f>IFERROR(__xludf.DUMMYFUNCTION("""COMPUTED_VALUE"""),"70003974")</f>
        <v>70003974</v>
      </c>
      <c r="D8555" s="380" t="s">
        <v>767</v>
      </c>
      <c r="E8555" s="380" t="s">
        <v>786</v>
      </c>
      <c r="F8555" s="380" t="s">
        <v>792</v>
      </c>
      <c r="G8555" s="380" t="s">
        <v>1267</v>
      </c>
      <c r="H8555" s="380" t="s">
        <v>771</v>
      </c>
      <c r="I8555" s="380" t="s">
        <v>788</v>
      </c>
      <c r="J8555" s="380" t="s">
        <v>773</v>
      </c>
      <c r="K8555" s="381">
        <v>0.0</v>
      </c>
      <c r="L8555" s="382">
        <v>1.0</v>
      </c>
    </row>
    <row r="8556">
      <c r="A8556" s="380" t="s">
        <v>9430</v>
      </c>
      <c r="B8556" s="380" t="str">
        <f>IFERROR(__xludf.DUMMYFUNCTION("""COMPUTED_VALUE"""),"Sensor Reversa Foton 1039 7705946900843")</f>
        <v>Sensor Reversa Foton 1039 7705946900843</v>
      </c>
      <c r="C8556" s="380" t="str">
        <f>IFERROR(__xludf.DUMMYFUNCTION("""COMPUTED_VALUE"""),"70003975")</f>
        <v>70003975</v>
      </c>
      <c r="D8556" s="380" t="s">
        <v>767</v>
      </c>
      <c r="E8556" s="380" t="s">
        <v>786</v>
      </c>
      <c r="F8556" s="380" t="s">
        <v>998</v>
      </c>
      <c r="G8556" s="380" t="s">
        <v>1267</v>
      </c>
      <c r="H8556" s="380" t="s">
        <v>771</v>
      </c>
      <c r="I8556" s="380" t="s">
        <v>788</v>
      </c>
      <c r="J8556" s="380" t="s">
        <v>773</v>
      </c>
      <c r="K8556" s="381">
        <v>0.0</v>
      </c>
      <c r="L8556" s="382">
        <v>1.0</v>
      </c>
    </row>
    <row r="8557">
      <c r="A8557" s="380" t="s">
        <v>9431</v>
      </c>
      <c r="B8557" s="380" t="str">
        <f>IFERROR(__xludf.DUMMYFUNCTION("""COMPUTED_VALUE"""),"Chapa PTA IZQ INTnacional Lt 4055109c97")</f>
        <v>Chapa PTA IZQ INTnacional Lt 4055109c97</v>
      </c>
      <c r="C8557" s="380" t="str">
        <f>IFERROR(__xludf.DUMMYFUNCTION("""COMPUTED_VALUE"""),"70003976")</f>
        <v>70003976</v>
      </c>
      <c r="D8557" s="380" t="s">
        <v>767</v>
      </c>
      <c r="E8557" s="380" t="s">
        <v>786</v>
      </c>
      <c r="F8557" s="380" t="s">
        <v>792</v>
      </c>
      <c r="G8557" s="380" t="s">
        <v>1267</v>
      </c>
      <c r="H8557" s="380" t="s">
        <v>771</v>
      </c>
      <c r="I8557" s="380" t="s">
        <v>788</v>
      </c>
      <c r="J8557" s="380" t="s">
        <v>773</v>
      </c>
      <c r="K8557" s="381">
        <v>0.0</v>
      </c>
      <c r="L8557" s="382">
        <v>1.0</v>
      </c>
    </row>
    <row r="8558">
      <c r="A8558" s="380" t="s">
        <v>9432</v>
      </c>
      <c r="B8558" s="380" t="str">
        <f>IFERROR(__xludf.DUMMYFUNCTION("""COMPUTED_VALUE"""),"Cinta Led Blanca X 5 Metros 24 Voltios")</f>
        <v>Cinta Led Blanca X 5 Metros 24 Voltios</v>
      </c>
      <c r="C8558" s="380" t="str">
        <f>IFERROR(__xludf.DUMMYFUNCTION("""COMPUTED_VALUE"""),"70003977")</f>
        <v>70003977</v>
      </c>
      <c r="D8558" s="380" t="s">
        <v>767</v>
      </c>
      <c r="E8558" s="380" t="s">
        <v>786</v>
      </c>
      <c r="F8558" s="380" t="s">
        <v>998</v>
      </c>
      <c r="G8558" s="380" t="s">
        <v>1267</v>
      </c>
      <c r="H8558" s="380" t="s">
        <v>771</v>
      </c>
      <c r="I8558" s="380" t="s">
        <v>788</v>
      </c>
      <c r="J8558" s="380" t="s">
        <v>773</v>
      </c>
      <c r="K8558" s="381">
        <v>0.0</v>
      </c>
      <c r="L8558" s="382">
        <v>1.0</v>
      </c>
    </row>
    <row r="8559">
      <c r="A8559" s="380" t="s">
        <v>9433</v>
      </c>
      <c r="B8559" s="380" t="str">
        <f>IFERROR(__xludf.DUMMYFUNCTION("""COMPUTED_VALUE"""),"Rodamiento Piñon ARR Fot 1039 6004rs")</f>
        <v>Rodamiento Piñon ARR Fot 1039 6004rs</v>
      </c>
      <c r="C8559" s="380" t="str">
        <f>IFERROR(__xludf.DUMMYFUNCTION("""COMPUTED_VALUE"""),"70003978")</f>
        <v>70003978</v>
      </c>
      <c r="D8559" s="380" t="s">
        <v>767</v>
      </c>
      <c r="E8559" s="380" t="s">
        <v>786</v>
      </c>
      <c r="F8559" s="380" t="s">
        <v>998</v>
      </c>
      <c r="G8559" s="380" t="s">
        <v>1267</v>
      </c>
      <c r="H8559" s="380" t="s">
        <v>771</v>
      </c>
      <c r="I8559" s="380" t="s">
        <v>788</v>
      </c>
      <c r="J8559" s="380" t="s">
        <v>773</v>
      </c>
      <c r="K8559" s="381">
        <v>27488.0</v>
      </c>
      <c r="L8559" s="382">
        <v>1.0</v>
      </c>
    </row>
    <row r="8560">
      <c r="A8560" s="380" t="s">
        <v>9434</v>
      </c>
      <c r="B8560" s="380" t="str">
        <f>IFERROR(__xludf.DUMMYFUNCTION("""COMPUTED_VALUE"""),"SENS Re Sensor Reversa Jac 1120 0068ds-1")</f>
        <v>SENS Re Sensor Reversa Jac 1120 0068ds-1</v>
      </c>
      <c r="C8560" s="380" t="str">
        <f>IFERROR(__xludf.DUMMYFUNCTION("""COMPUTED_VALUE"""),"70003979")</f>
        <v>70003979</v>
      </c>
      <c r="D8560" s="380" t="s">
        <v>767</v>
      </c>
      <c r="E8560" s="380" t="s">
        <v>786</v>
      </c>
      <c r="F8560" s="380" t="s">
        <v>998</v>
      </c>
      <c r="G8560" s="380" t="s">
        <v>1267</v>
      </c>
      <c r="H8560" s="380" t="s">
        <v>771</v>
      </c>
      <c r="I8560" s="380" t="s">
        <v>788</v>
      </c>
      <c r="J8560" s="380" t="s">
        <v>773</v>
      </c>
      <c r="K8560" s="381">
        <v>0.0</v>
      </c>
      <c r="L8560" s="382">
        <v>1.0</v>
      </c>
    </row>
    <row r="8561">
      <c r="A8561" s="380" t="s">
        <v>9435</v>
      </c>
      <c r="B8561" s="380" t="str">
        <f>IFERROR(__xludf.DUMMYFUNCTION("""COMPUTED_VALUE"""),"Tubo Flexible Fot 1039-1065 Nkr Iii Fabr")</f>
        <v>Tubo Flexible Fot 1039-1065 Nkr Iii Fabr</v>
      </c>
      <c r="C8561" s="380" t="str">
        <f>IFERROR(__xludf.DUMMYFUNCTION("""COMPUTED_VALUE"""),"70003980")</f>
        <v>70003980</v>
      </c>
      <c r="D8561" s="380" t="s">
        <v>767</v>
      </c>
      <c r="E8561" s="380" t="s">
        <v>786</v>
      </c>
      <c r="F8561" s="380" t="s">
        <v>792</v>
      </c>
      <c r="G8561" s="380" t="s">
        <v>1267</v>
      </c>
      <c r="H8561" s="380" t="s">
        <v>771</v>
      </c>
      <c r="I8561" s="380" t="s">
        <v>788</v>
      </c>
      <c r="J8561" s="380" t="s">
        <v>773</v>
      </c>
      <c r="K8561" s="381">
        <v>0.0</v>
      </c>
      <c r="L8561" s="382">
        <v>1.0</v>
      </c>
    </row>
    <row r="8562">
      <c r="A8562" s="380" t="s">
        <v>9436</v>
      </c>
      <c r="B8562" s="380" t="str">
        <f>IFERROR(__xludf.DUMMYFUNCTION("""COMPUTED_VALUE"""),"Tapa Radiador Hino 500 16401e0030")</f>
        <v>Tapa Radiador Hino 500 16401e0030</v>
      </c>
      <c r="C8562" s="380" t="str">
        <f>IFERROR(__xludf.DUMMYFUNCTION("""COMPUTED_VALUE"""),"70003981")</f>
        <v>70003981</v>
      </c>
      <c r="D8562" s="380" t="s">
        <v>767</v>
      </c>
      <c r="E8562" s="380" t="s">
        <v>786</v>
      </c>
      <c r="F8562" s="380" t="s">
        <v>787</v>
      </c>
      <c r="G8562" s="380" t="s">
        <v>1267</v>
      </c>
      <c r="H8562" s="380" t="s">
        <v>771</v>
      </c>
      <c r="I8562" s="380" t="s">
        <v>788</v>
      </c>
      <c r="J8562" s="380" t="s">
        <v>773</v>
      </c>
      <c r="K8562" s="381">
        <v>0.0</v>
      </c>
      <c r="L8562" s="382">
        <v>1.0</v>
      </c>
    </row>
    <row r="8563">
      <c r="A8563" s="380" t="s">
        <v>9437</v>
      </c>
      <c r="B8563" s="380" t="str">
        <f>IFERROR(__xludf.DUMMYFUNCTION("""COMPUTED_VALUE"""),"Anillo Piston 1 Jac Euro V 1004025fe010")</f>
        <v>Anillo Piston 1 Jac Euro V 1004025fe010</v>
      </c>
      <c r="C8563" s="380" t="str">
        <f>IFERROR(__xludf.DUMMYFUNCTION("""COMPUTED_VALUE"""),"70003982")</f>
        <v>70003982</v>
      </c>
      <c r="D8563" s="380" t="s">
        <v>767</v>
      </c>
      <c r="E8563" s="380" t="s">
        <v>786</v>
      </c>
      <c r="F8563" s="380" t="s">
        <v>787</v>
      </c>
      <c r="G8563" s="380" t="s">
        <v>1267</v>
      </c>
      <c r="H8563" s="380" t="s">
        <v>771</v>
      </c>
      <c r="I8563" s="380" t="s">
        <v>788</v>
      </c>
      <c r="J8563" s="380" t="s">
        <v>773</v>
      </c>
      <c r="K8563" s="381">
        <v>0.0</v>
      </c>
      <c r="L8563" s="382">
        <v>1.0</v>
      </c>
    </row>
    <row r="8564">
      <c r="A8564" s="380" t="s">
        <v>9438</v>
      </c>
      <c r="B8564" s="380" t="str">
        <f>IFERROR(__xludf.DUMMYFUNCTION("""COMPUTED_VALUE"""),"Tapa Válvulas Jac Euro V 1014100fe010x")</f>
        <v>Tapa Válvulas Jac Euro V 1014100fe010x</v>
      </c>
      <c r="C8564" s="380" t="str">
        <f>IFERROR(__xludf.DUMMYFUNCTION("""COMPUTED_VALUE"""),"70003983")</f>
        <v>70003983</v>
      </c>
      <c r="D8564" s="380" t="s">
        <v>767</v>
      </c>
      <c r="E8564" s="380" t="s">
        <v>786</v>
      </c>
      <c r="F8564" s="380" t="s">
        <v>787</v>
      </c>
      <c r="G8564" s="380" t="s">
        <v>1267</v>
      </c>
      <c r="H8564" s="380" t="s">
        <v>771</v>
      </c>
      <c r="I8564" s="380" t="s">
        <v>788</v>
      </c>
      <c r="J8564" s="380" t="s">
        <v>773</v>
      </c>
      <c r="K8564" s="381">
        <v>0.0</v>
      </c>
      <c r="L8564" s="382">
        <v>1.0</v>
      </c>
    </row>
    <row r="8565">
      <c r="A8565" s="380" t="s">
        <v>9439</v>
      </c>
      <c r="B8565" s="380" t="str">
        <f>IFERROR(__xludf.DUMMYFUNCTION("""COMPUTED_VALUE"""),"Multiple Admision Jac Euro V 1008101fe01")</f>
        <v>Multiple Admision Jac Euro V 1008101fe01</v>
      </c>
      <c r="C8565" s="380" t="str">
        <f>IFERROR(__xludf.DUMMYFUNCTION("""COMPUTED_VALUE"""),"70003984")</f>
        <v>70003984</v>
      </c>
      <c r="D8565" s="380" t="s">
        <v>767</v>
      </c>
      <c r="E8565" s="380" t="s">
        <v>786</v>
      </c>
      <c r="F8565" s="380" t="s">
        <v>787</v>
      </c>
      <c r="G8565" s="380" t="s">
        <v>1267</v>
      </c>
      <c r="H8565" s="380" t="s">
        <v>771</v>
      </c>
      <c r="I8565" s="380" t="s">
        <v>788</v>
      </c>
      <c r="J8565" s="380" t="s">
        <v>773</v>
      </c>
      <c r="K8565" s="381">
        <v>0.0</v>
      </c>
      <c r="L8565" s="382">
        <v>1.0</v>
      </c>
    </row>
    <row r="8566">
      <c r="A8566" s="380" t="s">
        <v>9440</v>
      </c>
      <c r="B8566" s="380" t="str">
        <f>IFERROR(__xludf.DUMMYFUNCTION("""COMPUTED_VALUE"""),"Cremallera Elec Elevavidrio Izq Fot 1039")</f>
        <v>Cremallera Elec Elevavidrio Izq Fot 1039</v>
      </c>
      <c r="C8566" s="380" t="str">
        <f>IFERROR(__xludf.DUMMYFUNCTION("""COMPUTED_VALUE"""),"70003985")</f>
        <v>70003985</v>
      </c>
      <c r="D8566" s="380" t="s">
        <v>767</v>
      </c>
      <c r="E8566" s="380" t="s">
        <v>786</v>
      </c>
      <c r="F8566" s="380" t="s">
        <v>792</v>
      </c>
      <c r="G8566" s="380" t="s">
        <v>1267</v>
      </c>
      <c r="H8566" s="380" t="s">
        <v>771</v>
      </c>
      <c r="I8566" s="380" t="s">
        <v>788</v>
      </c>
      <c r="J8566" s="380" t="s">
        <v>773</v>
      </c>
      <c r="K8566" s="381">
        <v>0.0</v>
      </c>
      <c r="L8566" s="382">
        <v>1.0</v>
      </c>
    </row>
    <row r="8567">
      <c r="A8567" s="380" t="s">
        <v>9441</v>
      </c>
      <c r="B8567" s="380" t="str">
        <f>IFERROR(__xludf.DUMMYFUNCTION("""COMPUTED_VALUE"""),"Buje BRR Estabilizadora FT 106 594669471")</f>
        <v>Buje BRR Estabilizadora FT 106 594669471</v>
      </c>
      <c r="C8567" s="380" t="str">
        <f>IFERROR(__xludf.DUMMYFUNCTION("""COMPUTED_VALUE"""),"70003986")</f>
        <v>70003986</v>
      </c>
      <c r="D8567" s="380" t="s">
        <v>767</v>
      </c>
      <c r="E8567" s="380" t="s">
        <v>786</v>
      </c>
      <c r="F8567" s="380" t="s">
        <v>1039</v>
      </c>
      <c r="G8567" s="380" t="s">
        <v>1267</v>
      </c>
      <c r="H8567" s="380" t="s">
        <v>771</v>
      </c>
      <c r="I8567" s="380" t="s">
        <v>788</v>
      </c>
      <c r="J8567" s="380" t="s">
        <v>773</v>
      </c>
      <c r="K8567" s="381">
        <v>0.0</v>
      </c>
      <c r="L8567" s="382">
        <v>1.0</v>
      </c>
    </row>
    <row r="8568">
      <c r="A8568" s="380" t="s">
        <v>9442</v>
      </c>
      <c r="B8568" s="380" t="str">
        <f>IFERROR(__xludf.DUMMYFUNCTION("""COMPUTED_VALUE"""),"Brazo Plumilla Izq Foton 1129 1023079273")</f>
        <v>Brazo Plumilla Izq Foton 1129 1023079273</v>
      </c>
      <c r="C8568" s="380" t="str">
        <f>IFERROR(__xludf.DUMMYFUNCTION("""COMPUTED_VALUE"""),"70003987")</f>
        <v>70003987</v>
      </c>
      <c r="D8568" s="380" t="s">
        <v>767</v>
      </c>
      <c r="E8568" s="380" t="s">
        <v>786</v>
      </c>
      <c r="F8568" s="380" t="s">
        <v>792</v>
      </c>
      <c r="G8568" s="380" t="s">
        <v>1267</v>
      </c>
      <c r="H8568" s="380" t="s">
        <v>771</v>
      </c>
      <c r="I8568" s="380" t="s">
        <v>788</v>
      </c>
      <c r="J8568" s="380" t="s">
        <v>773</v>
      </c>
      <c r="K8568" s="381">
        <v>0.0</v>
      </c>
      <c r="L8568" s="382">
        <v>1.0</v>
      </c>
    </row>
    <row r="8569">
      <c r="A8569" s="380" t="s">
        <v>9443</v>
      </c>
      <c r="B8569" s="380" t="str">
        <f>IFERROR(__xludf.DUMMYFUNCTION("""COMPUTED_VALUE"""),"MANG INF RAD HN Dpc 16572-78251")</f>
        <v>MANG INF RAD HN Dpc 16572-78251</v>
      </c>
      <c r="C8569" s="380" t="str">
        <f>IFERROR(__xludf.DUMMYFUNCTION("""COMPUTED_VALUE"""),"70003988")</f>
        <v>70003988</v>
      </c>
      <c r="D8569" s="380" t="s">
        <v>767</v>
      </c>
      <c r="E8569" s="380" t="s">
        <v>786</v>
      </c>
      <c r="F8569" s="380" t="s">
        <v>787</v>
      </c>
      <c r="G8569" s="380" t="s">
        <v>1267</v>
      </c>
      <c r="H8569" s="380" t="s">
        <v>771</v>
      </c>
      <c r="I8569" s="380" t="s">
        <v>788</v>
      </c>
      <c r="J8569" s="380" t="s">
        <v>773</v>
      </c>
      <c r="K8569" s="381">
        <v>0.0</v>
      </c>
      <c r="L8569" s="382">
        <v>1.0</v>
      </c>
    </row>
    <row r="8570">
      <c r="A8570" s="380" t="s">
        <v>9444</v>
      </c>
      <c r="B8570" s="380" t="str">
        <f>IFERROR(__xludf.DUMMYFUNCTION("""COMPUTED_VALUE"""),"Amortiguador DEL INT Lt 4050444c2")</f>
        <v>Amortiguador DEL INT Lt 4050444c2</v>
      </c>
      <c r="C8570" s="380" t="str">
        <f>IFERROR(__xludf.DUMMYFUNCTION("""COMPUTED_VALUE"""),"70003989")</f>
        <v>70003989</v>
      </c>
      <c r="D8570" s="380" t="s">
        <v>767</v>
      </c>
      <c r="E8570" s="380" t="s">
        <v>786</v>
      </c>
      <c r="F8570" s="380" t="s">
        <v>1039</v>
      </c>
      <c r="G8570" s="380" t="s">
        <v>1267</v>
      </c>
      <c r="H8570" s="380" t="s">
        <v>771</v>
      </c>
      <c r="I8570" s="380" t="s">
        <v>788</v>
      </c>
      <c r="J8570" s="380" t="s">
        <v>773</v>
      </c>
      <c r="K8570" s="381">
        <v>0.0</v>
      </c>
      <c r="L8570" s="382">
        <v>1.0</v>
      </c>
    </row>
    <row r="8571">
      <c r="A8571" s="380" t="s">
        <v>9445</v>
      </c>
      <c r="B8571" s="380" t="str">
        <f>IFERROR(__xludf.DUMMYFUNCTION("""COMPUTED_VALUE"""),"Bocel Sup Persiana Kw T800 Mod 2 K212205")</f>
        <v>Bocel Sup Persiana Kw T800 Mod 2 K212205</v>
      </c>
      <c r="C8571" s="380" t="str">
        <f>IFERROR(__xludf.DUMMYFUNCTION("""COMPUTED_VALUE"""),"70003990")</f>
        <v>70003990</v>
      </c>
      <c r="D8571" s="380" t="s">
        <v>767</v>
      </c>
      <c r="E8571" s="380" t="s">
        <v>786</v>
      </c>
      <c r="F8571" s="380" t="s">
        <v>792</v>
      </c>
      <c r="G8571" s="380" t="s">
        <v>1267</v>
      </c>
      <c r="H8571" s="380" t="s">
        <v>771</v>
      </c>
      <c r="I8571" s="380" t="s">
        <v>788</v>
      </c>
      <c r="J8571" s="380" t="s">
        <v>773</v>
      </c>
      <c r="K8571" s="381">
        <v>0.0</v>
      </c>
      <c r="L8571" s="382">
        <v>1.0</v>
      </c>
    </row>
    <row r="8572">
      <c r="A8572" s="380" t="s">
        <v>9446</v>
      </c>
      <c r="B8572" s="380" t="str">
        <f>IFERROR(__xludf.DUMMYFUNCTION("""COMPUTED_VALUE"""),"Abrazadera Buje BRR Estabiliz 5946269858")</f>
        <v>Abrazadera Buje BRR Estabiliz 5946269858</v>
      </c>
      <c r="C8572" s="380" t="str">
        <f>IFERROR(__xludf.DUMMYFUNCTION("""COMPUTED_VALUE"""),"70003991")</f>
        <v>70003991</v>
      </c>
      <c r="D8572" s="380" t="s">
        <v>767</v>
      </c>
      <c r="E8572" s="380" t="s">
        <v>786</v>
      </c>
      <c r="F8572" s="380" t="s">
        <v>1039</v>
      </c>
      <c r="G8572" s="380" t="s">
        <v>1267</v>
      </c>
      <c r="H8572" s="380" t="s">
        <v>771</v>
      </c>
      <c r="I8572" s="380" t="s">
        <v>788</v>
      </c>
      <c r="J8572" s="380" t="s">
        <v>773</v>
      </c>
      <c r="K8572" s="381">
        <v>0.0</v>
      </c>
      <c r="L8572" s="382">
        <v>1.0</v>
      </c>
    </row>
    <row r="8573">
      <c r="A8573" s="380" t="s">
        <v>9447</v>
      </c>
      <c r="B8573" s="380" t="str">
        <f>IFERROR(__xludf.DUMMYFUNCTION("""COMPUTED_VALUE"""),"Blower Aire AC Foton 1065 7705946741")</f>
        <v>Blower Aire AC Foton 1065 7705946741</v>
      </c>
      <c r="C8573" s="380" t="str">
        <f>IFERROR(__xludf.DUMMYFUNCTION("""COMPUTED_VALUE"""),"70003992")</f>
        <v>70003992</v>
      </c>
      <c r="D8573" s="380" t="s">
        <v>767</v>
      </c>
      <c r="E8573" s="380" t="s">
        <v>786</v>
      </c>
      <c r="F8573" s="380" t="s">
        <v>998</v>
      </c>
      <c r="G8573" s="380" t="s">
        <v>1267</v>
      </c>
      <c r="H8573" s="380" t="s">
        <v>771</v>
      </c>
      <c r="I8573" s="380" t="s">
        <v>788</v>
      </c>
      <c r="J8573" s="380" t="s">
        <v>773</v>
      </c>
      <c r="K8573" s="381">
        <v>0.0</v>
      </c>
      <c r="L8573" s="382">
        <v>1.0</v>
      </c>
    </row>
    <row r="8574">
      <c r="A8574" s="380" t="s">
        <v>9448</v>
      </c>
      <c r="B8574" s="380" t="str">
        <f>IFERROR(__xludf.DUMMYFUNCTION("""COMPUTED_VALUE"""),"SOP BRR Estabilizadora FT 103 5946269865")</f>
        <v>SOP BRR Estabilizadora FT 103 5946269865</v>
      </c>
      <c r="C8574" s="380" t="str">
        <f>IFERROR(__xludf.DUMMYFUNCTION("""COMPUTED_VALUE"""),"70003993")</f>
        <v>70003993</v>
      </c>
      <c r="D8574" s="380" t="s">
        <v>767</v>
      </c>
      <c r="E8574" s="380" t="s">
        <v>786</v>
      </c>
      <c r="F8574" s="380" t="s">
        <v>1039</v>
      </c>
      <c r="G8574" s="380" t="s">
        <v>1267</v>
      </c>
      <c r="H8574" s="380" t="s">
        <v>771</v>
      </c>
      <c r="I8574" s="380" t="s">
        <v>788</v>
      </c>
      <c r="J8574" s="380" t="s">
        <v>773</v>
      </c>
      <c r="K8574" s="381">
        <v>0.0</v>
      </c>
      <c r="L8574" s="382">
        <v>1.0</v>
      </c>
    </row>
    <row r="8575">
      <c r="A8575" s="380" t="s">
        <v>9449</v>
      </c>
      <c r="B8575" s="380" t="str">
        <f>IFERROR(__xludf.DUMMYFUNCTION("""COMPUTED_VALUE"""),"Arandela Sujetadora Persiana 1023973601")</f>
        <v>Arandela Sujetadora Persiana 1023973601</v>
      </c>
      <c r="C8575" s="380" t="str">
        <f>IFERROR(__xludf.DUMMYFUNCTION("""COMPUTED_VALUE"""),"70003994")</f>
        <v>70003994</v>
      </c>
      <c r="D8575" s="380" t="s">
        <v>767</v>
      </c>
      <c r="E8575" s="380" t="s">
        <v>786</v>
      </c>
      <c r="F8575" s="380" t="s">
        <v>792</v>
      </c>
      <c r="G8575" s="380" t="s">
        <v>1267</v>
      </c>
      <c r="H8575" s="380" t="s">
        <v>771</v>
      </c>
      <c r="I8575" s="380" t="s">
        <v>788</v>
      </c>
      <c r="J8575" s="380" t="s">
        <v>773</v>
      </c>
      <c r="K8575" s="381">
        <v>0.0</v>
      </c>
      <c r="L8575" s="382">
        <v>1.0</v>
      </c>
    </row>
    <row r="8576">
      <c r="A8576" s="380" t="s">
        <v>9450</v>
      </c>
      <c r="B8576" s="380" t="str">
        <f>IFERROR(__xludf.DUMMYFUNCTION("""COMPUTED_VALUE"""),"Resorte Freno RDA DEL FT 1039 7701023086")</f>
        <v>Resorte Freno RDA DEL FT 1039 7701023086</v>
      </c>
      <c r="C8576" s="380" t="str">
        <f>IFERROR(__xludf.DUMMYFUNCTION("""COMPUTED_VALUE"""),"70003995")</f>
        <v>70003995</v>
      </c>
      <c r="D8576" s="380" t="s">
        <v>767</v>
      </c>
      <c r="E8576" s="380" t="s">
        <v>786</v>
      </c>
      <c r="F8576" s="380" t="s">
        <v>1017</v>
      </c>
      <c r="G8576" s="380" t="s">
        <v>1267</v>
      </c>
      <c r="H8576" s="380" t="s">
        <v>771</v>
      </c>
      <c r="I8576" s="380" t="s">
        <v>788</v>
      </c>
      <c r="J8576" s="380" t="s">
        <v>773</v>
      </c>
      <c r="K8576" s="381">
        <v>0.0</v>
      </c>
      <c r="L8576" s="382">
        <v>1.0</v>
      </c>
    </row>
    <row r="8577">
      <c r="A8577" s="380" t="s">
        <v>9451</v>
      </c>
      <c r="B8577" s="380" t="str">
        <f>IFERROR(__xludf.DUMMYFUNCTION("""COMPUTED_VALUE"""),"Kit EMP De Reparacion Secador 1855764800")</f>
        <v>Kit EMP De Reparacion Secador 1855764800</v>
      </c>
      <c r="C8577" s="380" t="str">
        <f>IFERROR(__xludf.DUMMYFUNCTION("""COMPUTED_VALUE"""),"70003996")</f>
        <v>70003996</v>
      </c>
      <c r="D8577" s="380" t="s">
        <v>767</v>
      </c>
      <c r="E8577" s="380" t="s">
        <v>786</v>
      </c>
      <c r="F8577" s="380" t="s">
        <v>1017</v>
      </c>
      <c r="G8577" s="380" t="s">
        <v>1267</v>
      </c>
      <c r="H8577" s="380" t="s">
        <v>771</v>
      </c>
      <c r="I8577" s="380" t="s">
        <v>788</v>
      </c>
      <c r="J8577" s="380" t="s">
        <v>773</v>
      </c>
      <c r="K8577" s="381">
        <v>0.0</v>
      </c>
      <c r="L8577" s="382">
        <v>1.0</v>
      </c>
    </row>
    <row r="8578">
      <c r="A8578" s="380" t="s">
        <v>9452</v>
      </c>
      <c r="B8578" s="380" t="str">
        <f>IFERROR(__xludf.DUMMYFUNCTION("""COMPUTED_VALUE"""),"Rodamiento Arranque Foton 1039 6903-2rs")</f>
        <v>Rodamiento Arranque Foton 1039 6903-2rs</v>
      </c>
      <c r="C8578" s="380" t="str">
        <f>IFERROR(__xludf.DUMMYFUNCTION("""COMPUTED_VALUE"""),"70003997")</f>
        <v>70003997</v>
      </c>
      <c r="D8578" s="380" t="s">
        <v>767</v>
      </c>
      <c r="E8578" s="380" t="s">
        <v>786</v>
      </c>
      <c r="F8578" s="380" t="s">
        <v>998</v>
      </c>
      <c r="G8578" s="380" t="s">
        <v>1267</v>
      </c>
      <c r="H8578" s="380" t="s">
        <v>771</v>
      </c>
      <c r="I8578" s="380" t="s">
        <v>788</v>
      </c>
      <c r="J8578" s="380" t="s">
        <v>773</v>
      </c>
      <c r="K8578" s="381">
        <v>0.0</v>
      </c>
      <c r="L8578" s="382">
        <v>1.0</v>
      </c>
    </row>
    <row r="8579">
      <c r="A8579" s="380" t="s">
        <v>9453</v>
      </c>
      <c r="B8579" s="380" t="str">
        <f>IFERROR(__xludf.DUMMYFUNCTION("""COMPUTED_VALUE"""),"Guardapolvo Caja Direc Der 485718")</f>
        <v>Guardapolvo Caja Direc Der 485718</v>
      </c>
      <c r="C8579" s="380" t="str">
        <f>IFERROR(__xludf.DUMMYFUNCTION("""COMPUTED_VALUE"""),"70003998")</f>
        <v>70003998</v>
      </c>
      <c r="D8579" s="380" t="s">
        <v>767</v>
      </c>
      <c r="E8579" s="380" t="s">
        <v>786</v>
      </c>
      <c r="F8579" s="380" t="s">
        <v>1020</v>
      </c>
      <c r="G8579" s="380" t="s">
        <v>1267</v>
      </c>
      <c r="H8579" s="380" t="s">
        <v>771</v>
      </c>
      <c r="I8579" s="380" t="s">
        <v>788</v>
      </c>
      <c r="J8579" s="380" t="s">
        <v>773</v>
      </c>
      <c r="K8579" s="381">
        <v>0.0</v>
      </c>
      <c r="L8579" s="382">
        <v>1.0</v>
      </c>
    </row>
    <row r="8580">
      <c r="A8580" s="380" t="s">
        <v>9454</v>
      </c>
      <c r="B8580" s="380" t="str">
        <f>IFERROR(__xludf.DUMMYFUNCTION("""COMPUTED_VALUE"""),"VALV CTRL Suspens Chasis FRL Kd2205")</f>
        <v>VALV CTRL Suspens Chasis FRL Kd2205</v>
      </c>
      <c r="C8580" s="380" t="str">
        <f>IFERROR(__xludf.DUMMYFUNCTION("""COMPUTED_VALUE"""),"70003999")</f>
        <v>70003999</v>
      </c>
      <c r="D8580" s="380" t="s">
        <v>767</v>
      </c>
      <c r="E8580" s="380" t="s">
        <v>786</v>
      </c>
      <c r="F8580" s="380" t="s">
        <v>1039</v>
      </c>
      <c r="G8580" s="380" t="s">
        <v>1267</v>
      </c>
      <c r="H8580" s="380" t="s">
        <v>771</v>
      </c>
      <c r="I8580" s="380" t="s">
        <v>788</v>
      </c>
      <c r="J8580" s="380" t="s">
        <v>773</v>
      </c>
      <c r="K8580" s="381">
        <v>0.0</v>
      </c>
      <c r="L8580" s="382">
        <v>1.0</v>
      </c>
    </row>
    <row r="8581">
      <c r="A8581" s="380" t="s">
        <v>9455</v>
      </c>
      <c r="B8581" s="380" t="str">
        <f>IFERROR(__xludf.DUMMYFUNCTION("""COMPUTED_VALUE"""),"VALV Aceite MOT HN Dutropack 1570378060")</f>
        <v>VALV Aceite MOT HN Dutropack 1570378060</v>
      </c>
      <c r="C8581" s="380" t="str">
        <f>IFERROR(__xludf.DUMMYFUNCTION("""COMPUTED_VALUE"""),"70004000")</f>
        <v>70004000</v>
      </c>
      <c r="D8581" s="380" t="s">
        <v>767</v>
      </c>
      <c r="E8581" s="380" t="s">
        <v>786</v>
      </c>
      <c r="F8581" s="380" t="s">
        <v>787</v>
      </c>
      <c r="G8581" s="380" t="s">
        <v>1267</v>
      </c>
      <c r="H8581" s="380" t="s">
        <v>771</v>
      </c>
      <c r="I8581" s="380" t="s">
        <v>788</v>
      </c>
      <c r="J8581" s="380" t="s">
        <v>773</v>
      </c>
      <c r="K8581" s="381">
        <v>0.0</v>
      </c>
      <c r="L8581" s="382">
        <v>1.0</v>
      </c>
    </row>
    <row r="8582">
      <c r="A8582" s="380" t="s">
        <v>9456</v>
      </c>
      <c r="B8582" s="380" t="str">
        <f>IFERROR(__xludf.DUMMYFUNCTION("""COMPUTED_VALUE"""),"Adaptacion SOP De MOT KWX 4 P Ssx4603sk-")</f>
        <v>Adaptacion SOP De MOT KWX 4 P Ssx4603sk-</v>
      </c>
      <c r="C8582" s="380" t="str">
        <f>IFERROR(__xludf.DUMMYFUNCTION("""COMPUTED_VALUE"""),"70004002")</f>
        <v>70004002</v>
      </c>
      <c r="D8582" s="380" t="s">
        <v>767</v>
      </c>
      <c r="E8582" s="380" t="s">
        <v>786</v>
      </c>
      <c r="F8582" s="380" t="s">
        <v>787</v>
      </c>
      <c r="G8582" s="380" t="s">
        <v>1267</v>
      </c>
      <c r="H8582" s="380" t="s">
        <v>771</v>
      </c>
      <c r="I8582" s="380" t="s">
        <v>788</v>
      </c>
      <c r="J8582" s="380" t="s">
        <v>773</v>
      </c>
      <c r="K8582" s="381">
        <v>0.0</v>
      </c>
      <c r="L8582" s="382">
        <v>1.0</v>
      </c>
    </row>
    <row r="8583">
      <c r="A8583" s="380" t="s">
        <v>9457</v>
      </c>
      <c r="B8583" s="380" t="str">
        <f>IFERROR(__xludf.DUMMYFUNCTION("""COMPUTED_VALUE"""),"Tornillo Torx M8 X 1 25 X 30 M 3588153c1")</f>
        <v>Tornillo Torx M8 X 1 25 X 30 M 3588153c1</v>
      </c>
      <c r="C8583" s="380" t="str">
        <f>IFERROR(__xludf.DUMMYFUNCTION("""COMPUTED_VALUE"""),"70004003")</f>
        <v>70004003</v>
      </c>
      <c r="D8583" s="380" t="s">
        <v>767</v>
      </c>
      <c r="E8583" s="380" t="s">
        <v>786</v>
      </c>
      <c r="F8583" s="380" t="s">
        <v>792</v>
      </c>
      <c r="G8583" s="380" t="s">
        <v>1267</v>
      </c>
      <c r="H8583" s="380" t="s">
        <v>771</v>
      </c>
      <c r="I8583" s="380" t="s">
        <v>788</v>
      </c>
      <c r="J8583" s="380" t="s">
        <v>773</v>
      </c>
      <c r="K8583" s="381">
        <v>0.0</v>
      </c>
      <c r="L8583" s="382">
        <v>1.0</v>
      </c>
    </row>
    <row r="8584">
      <c r="A8584" s="380" t="s">
        <v>9458</v>
      </c>
      <c r="B8584" s="380" t="str">
        <f>IFERROR(__xludf.DUMMYFUNCTION("""COMPUTED_VALUE"""),"SENS FILT COMB Con Tazon FT 1 1023403856")</f>
        <v>SENS FILT COMB Con Tazon FT 1 1023403856</v>
      </c>
      <c r="C8584" s="380" t="str">
        <f>IFERROR(__xludf.DUMMYFUNCTION("""COMPUTED_VALUE"""),"70004004")</f>
        <v>70004004</v>
      </c>
      <c r="D8584" s="380" t="s">
        <v>767</v>
      </c>
      <c r="E8584" s="380" t="s">
        <v>786</v>
      </c>
      <c r="F8584" s="380" t="s">
        <v>998</v>
      </c>
      <c r="G8584" s="380" t="s">
        <v>1267</v>
      </c>
      <c r="H8584" s="380" t="s">
        <v>771</v>
      </c>
      <c r="I8584" s="380" t="s">
        <v>788</v>
      </c>
      <c r="J8584" s="380" t="s">
        <v>773</v>
      </c>
      <c r="K8584" s="381">
        <v>0.0</v>
      </c>
      <c r="L8584" s="382">
        <v>1.0</v>
      </c>
    </row>
    <row r="8585">
      <c r="A8585" s="380" t="s">
        <v>9459</v>
      </c>
      <c r="B8585" s="380" t="str">
        <f>IFERROR(__xludf.DUMMYFUNCTION("""COMPUTED_VALUE"""),"Guaya Freno Parqueo Hino 500 700010234")</f>
        <v>Guaya Freno Parqueo Hino 500 700010234</v>
      </c>
      <c r="C8585" s="380" t="str">
        <f>IFERROR(__xludf.DUMMYFUNCTION("""COMPUTED_VALUE"""),"70004005")</f>
        <v>70004005</v>
      </c>
      <c r="D8585" s="380" t="s">
        <v>767</v>
      </c>
      <c r="E8585" s="380" t="s">
        <v>786</v>
      </c>
      <c r="F8585" s="380" t="s">
        <v>1017</v>
      </c>
      <c r="G8585" s="380" t="s">
        <v>1267</v>
      </c>
      <c r="H8585" s="380" t="s">
        <v>771</v>
      </c>
      <c r="I8585" s="380" t="s">
        <v>788</v>
      </c>
      <c r="J8585" s="380" t="s">
        <v>773</v>
      </c>
      <c r="K8585" s="381">
        <v>0.0</v>
      </c>
      <c r="L8585" s="382">
        <v>1.0</v>
      </c>
    </row>
    <row r="8586">
      <c r="A8586" s="380" t="s">
        <v>9460</v>
      </c>
      <c r="B8586" s="380" t="str">
        <f>IFERROR(__xludf.DUMMYFUNCTION("""COMPUTED_VALUE"""),"Rache Freno Del Tras INT Lt Fltas1140")</f>
        <v>Rache Freno Del Tras INT Lt Fltas1140</v>
      </c>
      <c r="C8586" s="380" t="str">
        <f>IFERROR(__xludf.DUMMYFUNCTION("""COMPUTED_VALUE"""),"70004006")</f>
        <v>70004006</v>
      </c>
      <c r="D8586" s="380" t="s">
        <v>767</v>
      </c>
      <c r="E8586" s="380" t="s">
        <v>786</v>
      </c>
      <c r="F8586" s="380" t="s">
        <v>1017</v>
      </c>
      <c r="G8586" s="380" t="s">
        <v>1267</v>
      </c>
      <c r="H8586" s="380" t="s">
        <v>771</v>
      </c>
      <c r="I8586" s="380" t="s">
        <v>788</v>
      </c>
      <c r="J8586" s="380" t="s">
        <v>773</v>
      </c>
      <c r="K8586" s="381">
        <v>0.0</v>
      </c>
      <c r="L8586" s="382">
        <v>1.0</v>
      </c>
    </row>
    <row r="8587">
      <c r="A8587" s="380" t="s">
        <v>9461</v>
      </c>
      <c r="B8587" s="380" t="str">
        <f>IFERROR(__xludf.DUMMYFUNCTION("""COMPUTED_VALUE"""),"Bisel Tablero Instrumentos Lh 3592463c1")</f>
        <v>Bisel Tablero Instrumentos Lh 3592463c1</v>
      </c>
      <c r="C8587" s="380" t="str">
        <f>IFERROR(__xludf.DUMMYFUNCTION("""COMPUTED_VALUE"""),"70004007")</f>
        <v>70004007</v>
      </c>
      <c r="D8587" s="380" t="s">
        <v>767</v>
      </c>
      <c r="E8587" s="380" t="s">
        <v>786</v>
      </c>
      <c r="F8587" s="380" t="s">
        <v>792</v>
      </c>
      <c r="G8587" s="380" t="s">
        <v>1267</v>
      </c>
      <c r="H8587" s="380" t="s">
        <v>771</v>
      </c>
      <c r="I8587" s="380" t="s">
        <v>788</v>
      </c>
      <c r="J8587" s="380" t="s">
        <v>773</v>
      </c>
      <c r="K8587" s="381">
        <v>1634051.0</v>
      </c>
      <c r="L8587" s="382">
        <v>1.0</v>
      </c>
    </row>
    <row r="8588">
      <c r="A8588" s="380" t="s">
        <v>9462</v>
      </c>
      <c r="B8588" s="380" t="str">
        <f>IFERROR(__xludf.DUMMYFUNCTION("""COMPUTED_VALUE"""),"SENS Presion Diferencial Gases E 2894872")</f>
        <v>SENS Presion Diferencial Gases E 2894872</v>
      </c>
      <c r="C8588" s="380" t="str">
        <f>IFERROR(__xludf.DUMMYFUNCTION("""COMPUTED_VALUE"""),"70004008")</f>
        <v>70004008</v>
      </c>
      <c r="D8588" s="380" t="s">
        <v>767</v>
      </c>
      <c r="E8588" s="380" t="s">
        <v>786</v>
      </c>
      <c r="F8588" s="380" t="s">
        <v>787</v>
      </c>
      <c r="G8588" s="380" t="s">
        <v>1267</v>
      </c>
      <c r="H8588" s="380" t="s">
        <v>771</v>
      </c>
      <c r="I8588" s="380" t="s">
        <v>788</v>
      </c>
      <c r="J8588" s="380" t="s">
        <v>773</v>
      </c>
      <c r="K8588" s="381">
        <v>0.0</v>
      </c>
      <c r="L8588" s="382">
        <v>1.0</v>
      </c>
    </row>
    <row r="8589">
      <c r="A8589" s="380" t="s">
        <v>9463</v>
      </c>
      <c r="B8589" s="380" t="str">
        <f>IFERROR(__xludf.DUMMYFUNCTION("""COMPUTED_VALUE"""),"Abrazadera Admision 5"" T 521")</f>
        <v>Abrazadera Admision 5" T 521</v>
      </c>
      <c r="C8589" s="380" t="str">
        <f>IFERROR(__xludf.DUMMYFUNCTION("""COMPUTED_VALUE"""),"70004009")</f>
        <v>70004009</v>
      </c>
      <c r="D8589" s="380" t="s">
        <v>767</v>
      </c>
      <c r="E8589" s="380" t="s">
        <v>786</v>
      </c>
      <c r="F8589" s="380" t="s">
        <v>787</v>
      </c>
      <c r="G8589" s="380" t="s">
        <v>1267</v>
      </c>
      <c r="H8589" s="380" t="s">
        <v>771</v>
      </c>
      <c r="I8589" s="380" t="s">
        <v>788</v>
      </c>
      <c r="J8589" s="380" t="s">
        <v>773</v>
      </c>
      <c r="K8589" s="381">
        <v>18406.0</v>
      </c>
      <c r="L8589" s="382">
        <v>1.0</v>
      </c>
    </row>
    <row r="8590">
      <c r="A8590" s="380" t="s">
        <v>9464</v>
      </c>
      <c r="B8590" s="380" t="str">
        <f>IFERROR(__xludf.DUMMYFUNCTION("""COMPUTED_VALUE"""),"VENT Con Fanclutch FT 1129 1023358958")</f>
        <v>VENT Con Fanclutch FT 1129 1023358958</v>
      </c>
      <c r="C8590" s="380" t="str">
        <f>IFERROR(__xludf.DUMMYFUNCTION("""COMPUTED_VALUE"""),"70004010")</f>
        <v>70004010</v>
      </c>
      <c r="D8590" s="380" t="s">
        <v>767</v>
      </c>
      <c r="E8590" s="380" t="s">
        <v>786</v>
      </c>
      <c r="F8590" s="380" t="s">
        <v>787</v>
      </c>
      <c r="G8590" s="380" t="s">
        <v>1267</v>
      </c>
      <c r="H8590" s="380" t="s">
        <v>771</v>
      </c>
      <c r="I8590" s="380" t="s">
        <v>788</v>
      </c>
      <c r="J8590" s="380" t="s">
        <v>773</v>
      </c>
      <c r="K8590" s="381">
        <v>0.0</v>
      </c>
      <c r="L8590" s="382">
        <v>1.0</v>
      </c>
    </row>
    <row r="8591">
      <c r="A8591" s="380" t="s">
        <v>9465</v>
      </c>
      <c r="B8591" s="380" t="str">
        <f>IFERROR(__xludf.DUMMYFUNCTION("""COMPUTED_VALUE"""),"Mecanismo Limpiabrisas FT 103 7701023164")</f>
        <v>Mecanismo Limpiabrisas FT 103 7701023164</v>
      </c>
      <c r="C8591" s="380" t="str">
        <f>IFERROR(__xludf.DUMMYFUNCTION("""COMPUTED_VALUE"""),"70004011")</f>
        <v>70004011</v>
      </c>
      <c r="D8591" s="380" t="s">
        <v>767</v>
      </c>
      <c r="E8591" s="380" t="s">
        <v>786</v>
      </c>
      <c r="F8591" s="380" t="s">
        <v>792</v>
      </c>
      <c r="G8591" s="380" t="s">
        <v>1267</v>
      </c>
      <c r="H8591" s="380" t="s">
        <v>771</v>
      </c>
      <c r="I8591" s="380" t="s">
        <v>788</v>
      </c>
      <c r="J8591" s="380" t="s">
        <v>773</v>
      </c>
      <c r="K8591" s="381">
        <v>0.0</v>
      </c>
      <c r="L8591" s="382">
        <v>1.0</v>
      </c>
    </row>
    <row r="8592">
      <c r="A8592" s="380" t="s">
        <v>9466</v>
      </c>
      <c r="B8592" s="380" t="str">
        <f>IFERROR(__xludf.DUMMYFUNCTION("""COMPUTED_VALUE"""),"Patin Tensor Jac 1042 1025300fe1")</f>
        <v>Patin Tensor Jac 1042 1025300fe1</v>
      </c>
      <c r="C8592" s="380" t="str">
        <f>IFERROR(__xludf.DUMMYFUNCTION("""COMPUTED_VALUE"""),"70004012")</f>
        <v>70004012</v>
      </c>
      <c r="D8592" s="380" t="s">
        <v>767</v>
      </c>
      <c r="E8592" s="380" t="s">
        <v>786</v>
      </c>
      <c r="F8592" s="380" t="s">
        <v>787</v>
      </c>
      <c r="G8592" s="380" t="s">
        <v>1267</v>
      </c>
      <c r="H8592" s="380" t="s">
        <v>771</v>
      </c>
      <c r="I8592" s="380" t="s">
        <v>788</v>
      </c>
      <c r="J8592" s="380" t="s">
        <v>773</v>
      </c>
      <c r="K8592" s="381">
        <v>0.0</v>
      </c>
      <c r="L8592" s="382">
        <v>1.0</v>
      </c>
    </row>
    <row r="8593">
      <c r="A8593" s="380" t="s">
        <v>9467</v>
      </c>
      <c r="B8593" s="380" t="str">
        <f>IFERROR(__xludf.DUMMYFUNCTION("""COMPUTED_VALUE"""),"Anillo 2d0 Piston Jac Euro V 1004026fe0")</f>
        <v>Anillo 2d0 Piston Jac Euro V 1004026fe0</v>
      </c>
      <c r="C8593" s="380" t="str">
        <f>IFERROR(__xludf.DUMMYFUNCTION("""COMPUTED_VALUE"""),"70004013")</f>
        <v>70004013</v>
      </c>
      <c r="D8593" s="380" t="s">
        <v>767</v>
      </c>
      <c r="E8593" s="380" t="s">
        <v>786</v>
      </c>
      <c r="F8593" s="380" t="s">
        <v>787</v>
      </c>
      <c r="G8593" s="380" t="s">
        <v>1267</v>
      </c>
      <c r="H8593" s="380" t="s">
        <v>771</v>
      </c>
      <c r="I8593" s="380" t="s">
        <v>788</v>
      </c>
      <c r="J8593" s="380" t="s">
        <v>773</v>
      </c>
      <c r="K8593" s="381">
        <v>0.0</v>
      </c>
      <c r="L8593" s="382">
        <v>1.0</v>
      </c>
    </row>
    <row r="8594">
      <c r="A8594" s="380" t="s">
        <v>9468</v>
      </c>
      <c r="B8594" s="380" t="str">
        <f>IFERROR(__xludf.DUMMYFUNCTION("""COMPUTED_VALUE"""),"Tapa Balancin MUE Del Jac 104 2902050ld0")</f>
        <v>Tapa Balancin MUE Del Jac 104 2902050ld0</v>
      </c>
      <c r="C8594" s="380" t="str">
        <f>IFERROR(__xludf.DUMMYFUNCTION("""COMPUTED_VALUE"""),"70004014")</f>
        <v>70004014</v>
      </c>
      <c r="D8594" s="380" t="s">
        <v>767</v>
      </c>
      <c r="E8594" s="380" t="s">
        <v>786</v>
      </c>
      <c r="F8594" s="380" t="s">
        <v>1039</v>
      </c>
      <c r="G8594" s="380" t="s">
        <v>1267</v>
      </c>
      <c r="H8594" s="380" t="s">
        <v>771</v>
      </c>
      <c r="I8594" s="380" t="s">
        <v>788</v>
      </c>
      <c r="J8594" s="380" t="s">
        <v>773</v>
      </c>
      <c r="K8594" s="381">
        <v>0.0</v>
      </c>
      <c r="L8594" s="382">
        <v>1.0</v>
      </c>
    </row>
    <row r="8595">
      <c r="A8595" s="380" t="s">
        <v>9469</v>
      </c>
      <c r="B8595" s="380" t="str">
        <f>IFERROR(__xludf.DUMMYFUNCTION("""COMPUTED_VALUE"""),"Anillo Aceite Pistón Jac Euro 1004030fe0")</f>
        <v>Anillo Aceite Pistón Jac Euro 1004030fe0</v>
      </c>
      <c r="C8595" s="380" t="str">
        <f>IFERROR(__xludf.DUMMYFUNCTION("""COMPUTED_VALUE"""),"70004015")</f>
        <v>70004015</v>
      </c>
      <c r="D8595" s="380" t="s">
        <v>767</v>
      </c>
      <c r="E8595" s="380" t="s">
        <v>786</v>
      </c>
      <c r="F8595" s="380" t="s">
        <v>787</v>
      </c>
      <c r="G8595" s="380" t="s">
        <v>1267</v>
      </c>
      <c r="H8595" s="380" t="s">
        <v>771</v>
      </c>
      <c r="I8595" s="380" t="s">
        <v>788</v>
      </c>
      <c r="J8595" s="380" t="s">
        <v>773</v>
      </c>
      <c r="K8595" s="381">
        <v>0.0</v>
      </c>
      <c r="L8595" s="382">
        <v>1.0</v>
      </c>
    </row>
    <row r="8596">
      <c r="A8596" s="380" t="s">
        <v>9470</v>
      </c>
      <c r="B8596" s="380" t="str">
        <f>IFERROR(__xludf.DUMMYFUNCTION("""COMPUTED_VALUE"""),"Bomba Vacio Jac Euro V 1025506fe0")</f>
        <v>Bomba Vacio Jac Euro V 1025506fe0</v>
      </c>
      <c r="C8596" s="380" t="str">
        <f>IFERROR(__xludf.DUMMYFUNCTION("""COMPUTED_VALUE"""),"70004016")</f>
        <v>70004016</v>
      </c>
      <c r="D8596" s="380" t="s">
        <v>767</v>
      </c>
      <c r="E8596" s="380" t="s">
        <v>786</v>
      </c>
      <c r="F8596" s="380" t="s">
        <v>787</v>
      </c>
      <c r="G8596" s="380" t="s">
        <v>1267</v>
      </c>
      <c r="H8596" s="380" t="s">
        <v>771</v>
      </c>
      <c r="I8596" s="380" t="s">
        <v>788</v>
      </c>
      <c r="J8596" s="380" t="s">
        <v>773</v>
      </c>
      <c r="K8596" s="381">
        <v>0.0</v>
      </c>
      <c r="L8596" s="382">
        <v>1.0</v>
      </c>
    </row>
    <row r="8597">
      <c r="A8597" s="380" t="s">
        <v>9471</v>
      </c>
      <c r="B8597" s="380" t="str">
        <f>IFERROR(__xludf.DUMMYFUNCTION("""COMPUTED_VALUE"""),"Semicodo Turbo - Admision Kw T8 K4316822")</f>
        <v>Semicodo Turbo - Admision Kw T8 K4316822</v>
      </c>
      <c r="C8597" s="380" t="str">
        <f>IFERROR(__xludf.DUMMYFUNCTION("""COMPUTED_VALUE"""),"70004017")</f>
        <v>70004017</v>
      </c>
      <c r="D8597" s="380" t="s">
        <v>767</v>
      </c>
      <c r="E8597" s="380" t="s">
        <v>786</v>
      </c>
      <c r="F8597" s="380" t="s">
        <v>787</v>
      </c>
      <c r="G8597" s="380" t="s">
        <v>1267</v>
      </c>
      <c r="H8597" s="380" t="s">
        <v>771</v>
      </c>
      <c r="I8597" s="380" t="s">
        <v>788</v>
      </c>
      <c r="J8597" s="380" t="s">
        <v>773</v>
      </c>
      <c r="K8597" s="381">
        <v>0.0</v>
      </c>
      <c r="L8597" s="382">
        <v>1.0</v>
      </c>
    </row>
    <row r="8598">
      <c r="A8598" s="380" t="s">
        <v>9472</v>
      </c>
      <c r="B8598" s="380" t="str">
        <f>IFERROR(__xludf.DUMMYFUNCTION("""COMPUTED_VALUE"""),"Extensión Sup CAB Der Kw T800 R641151100")</f>
        <v>Extensión Sup CAB Der Kw T800 R641151100</v>
      </c>
      <c r="C8598" s="380" t="str">
        <f>IFERROR(__xludf.DUMMYFUNCTION("""COMPUTED_VALUE"""),"70004018")</f>
        <v>70004018</v>
      </c>
      <c r="D8598" s="380" t="s">
        <v>767</v>
      </c>
      <c r="E8598" s="380" t="s">
        <v>786</v>
      </c>
      <c r="F8598" s="380" t="s">
        <v>792</v>
      </c>
      <c r="G8598" s="380" t="s">
        <v>1267</v>
      </c>
      <c r="H8598" s="380" t="s">
        <v>771</v>
      </c>
      <c r="I8598" s="380" t="s">
        <v>788</v>
      </c>
      <c r="J8598" s="380" t="s">
        <v>773</v>
      </c>
      <c r="K8598" s="381">
        <v>0.0</v>
      </c>
      <c r="L8598" s="382">
        <v>1.0</v>
      </c>
    </row>
    <row r="8599">
      <c r="A8599" s="380" t="s">
        <v>9473</v>
      </c>
      <c r="B8599" s="380" t="str">
        <f>IFERROR(__xludf.DUMMYFUNCTION("""COMPUTED_VALUE"""),"BRR SOP Capo Kw T 800 Mod 2011 K3615651")</f>
        <v>BRR SOP Capo Kw T 800 Mod 2011 K3615651</v>
      </c>
      <c r="C8599" s="380" t="str">
        <f>IFERROR(__xludf.DUMMYFUNCTION("""COMPUTED_VALUE"""),"70004019")</f>
        <v>70004019</v>
      </c>
      <c r="D8599" s="380" t="s">
        <v>767</v>
      </c>
      <c r="E8599" s="380" t="s">
        <v>786</v>
      </c>
      <c r="F8599" s="380" t="s">
        <v>792</v>
      </c>
      <c r="G8599" s="380" t="s">
        <v>1267</v>
      </c>
      <c r="H8599" s="380" t="s">
        <v>771</v>
      </c>
      <c r="I8599" s="380" t="s">
        <v>788</v>
      </c>
      <c r="J8599" s="380" t="s">
        <v>773</v>
      </c>
      <c r="K8599" s="381">
        <v>0.0</v>
      </c>
      <c r="L8599" s="382">
        <v>1.0</v>
      </c>
    </row>
    <row r="8600">
      <c r="A8600" s="380" t="s">
        <v>9474</v>
      </c>
      <c r="B8600" s="380" t="str">
        <f>IFERROR(__xludf.DUMMYFUNCTION("""COMPUTED_VALUE"""),"Enflanche Cardan Cruceta Npr 3210021")</f>
        <v>Enflanche Cardan Cruceta Npr 3210021</v>
      </c>
      <c r="C8600" s="380" t="str">
        <f>IFERROR(__xludf.DUMMYFUNCTION("""COMPUTED_VALUE"""),"70004020")</f>
        <v>70004020</v>
      </c>
      <c r="D8600" s="380" t="s">
        <v>767</v>
      </c>
      <c r="E8600" s="380" t="s">
        <v>786</v>
      </c>
      <c r="F8600" s="380" t="s">
        <v>5683</v>
      </c>
      <c r="G8600" s="380" t="s">
        <v>1267</v>
      </c>
      <c r="H8600" s="380" t="s">
        <v>771</v>
      </c>
      <c r="I8600" s="380" t="s">
        <v>788</v>
      </c>
      <c r="J8600" s="380" t="s">
        <v>773</v>
      </c>
      <c r="K8600" s="381">
        <v>0.0</v>
      </c>
      <c r="L8600" s="382">
        <v>1.0</v>
      </c>
    </row>
    <row r="8601">
      <c r="A8601" s="380" t="s">
        <v>9475</v>
      </c>
      <c r="B8601" s="380" t="str">
        <f>IFERROR(__xludf.DUMMYFUNCTION("""COMPUTED_VALUE"""),"Bocin Del Foton 1039 7705946305")</f>
        <v>Bocin Del Foton 1039 7705946305</v>
      </c>
      <c r="C8601" s="380" t="str">
        <f>IFERROR(__xludf.DUMMYFUNCTION("""COMPUTED_VALUE"""),"70004021")</f>
        <v>70004021</v>
      </c>
      <c r="D8601" s="380" t="s">
        <v>767</v>
      </c>
      <c r="E8601" s="380" t="s">
        <v>786</v>
      </c>
      <c r="F8601" s="380" t="s">
        <v>1017</v>
      </c>
      <c r="G8601" s="380" t="s">
        <v>1267</v>
      </c>
      <c r="H8601" s="380" t="s">
        <v>771</v>
      </c>
      <c r="I8601" s="380" t="s">
        <v>788</v>
      </c>
      <c r="J8601" s="380" t="s">
        <v>773</v>
      </c>
      <c r="K8601" s="381">
        <v>0.0</v>
      </c>
      <c r="L8601" s="382">
        <v>1.0</v>
      </c>
    </row>
    <row r="8602">
      <c r="A8602" s="380" t="s">
        <v>9476</v>
      </c>
      <c r="B8602" s="380" t="str">
        <f>IFERROR(__xludf.DUMMYFUNCTION("""COMPUTED_VALUE"""),"Guaya CTRL Selector Cambios 8972056580")</f>
        <v>Guaya CTRL Selector Cambios 8972056580</v>
      </c>
      <c r="C8602" s="380" t="str">
        <f>IFERROR(__xludf.DUMMYFUNCTION("""COMPUTED_VALUE"""),"70004022")</f>
        <v>70004022</v>
      </c>
      <c r="D8602" s="380" t="s">
        <v>767</v>
      </c>
      <c r="E8602" s="380" t="s">
        <v>786</v>
      </c>
      <c r="F8602" s="380" t="s">
        <v>928</v>
      </c>
      <c r="G8602" s="380" t="s">
        <v>1267</v>
      </c>
      <c r="H8602" s="380" t="s">
        <v>771</v>
      </c>
      <c r="I8602" s="380" t="s">
        <v>788</v>
      </c>
      <c r="J8602" s="380" t="s">
        <v>773</v>
      </c>
      <c r="K8602" s="381">
        <v>0.0</v>
      </c>
      <c r="L8602" s="382">
        <v>1.0</v>
      </c>
    </row>
    <row r="8603">
      <c r="A8603" s="380" t="s">
        <v>9477</v>
      </c>
      <c r="B8603" s="380" t="str">
        <f>IFERROR(__xludf.DUMMYFUNCTION("""COMPUTED_VALUE"""),"Oring Multiple Admision Jac E 1008202fe0")</f>
        <v>Oring Multiple Admision Jac E 1008202fe0</v>
      </c>
      <c r="C8603" s="380" t="str">
        <f>IFERROR(__xludf.DUMMYFUNCTION("""COMPUTED_VALUE"""),"70004023")</f>
        <v>70004023</v>
      </c>
      <c r="D8603" s="380" t="s">
        <v>767</v>
      </c>
      <c r="E8603" s="380" t="s">
        <v>786</v>
      </c>
      <c r="F8603" s="380" t="s">
        <v>787</v>
      </c>
      <c r="G8603" s="380" t="s">
        <v>1267</v>
      </c>
      <c r="H8603" s="380" t="s">
        <v>771</v>
      </c>
      <c r="I8603" s="380" t="s">
        <v>788</v>
      </c>
      <c r="J8603" s="380" t="s">
        <v>773</v>
      </c>
      <c r="K8603" s="381">
        <v>0.0</v>
      </c>
      <c r="L8603" s="382">
        <v>1.0</v>
      </c>
    </row>
    <row r="8604">
      <c r="A8604" s="380" t="s">
        <v>9478</v>
      </c>
      <c r="B8604" s="380" t="str">
        <f>IFERROR(__xludf.DUMMYFUNCTION("""COMPUTED_VALUE"""),"Mando DIRales Y Luces FT 1039 7705946305")</f>
        <v>Mando DIRales Y Luces FT 1039 7705946305</v>
      </c>
      <c r="C8604" s="380" t="str">
        <f>IFERROR(__xludf.DUMMYFUNCTION("""COMPUTED_VALUE"""),"70004024")</f>
        <v>70004024</v>
      </c>
      <c r="D8604" s="380" t="s">
        <v>767</v>
      </c>
      <c r="E8604" s="380" t="s">
        <v>786</v>
      </c>
      <c r="F8604" s="380" t="s">
        <v>998</v>
      </c>
      <c r="G8604" s="380" t="s">
        <v>1267</v>
      </c>
      <c r="H8604" s="380" t="s">
        <v>771</v>
      </c>
      <c r="I8604" s="380" t="s">
        <v>788</v>
      </c>
      <c r="J8604" s="380" t="s">
        <v>773</v>
      </c>
      <c r="K8604" s="381">
        <v>0.0</v>
      </c>
      <c r="L8604" s="382">
        <v>1.0</v>
      </c>
    </row>
    <row r="8605">
      <c r="A8605" s="380" t="s">
        <v>9479</v>
      </c>
      <c r="B8605" s="380" t="str">
        <f>IFERROR(__xludf.DUMMYFUNCTION("""COMPUTED_VALUE"""),"Tobera Inyector #2 Foton 1039 Fabricada")</f>
        <v>Tobera Inyector #2 Foton 1039 Fabricada</v>
      </c>
      <c r="C8605" s="380" t="str">
        <f>IFERROR(__xludf.DUMMYFUNCTION("""COMPUTED_VALUE"""),"70004025")</f>
        <v>70004025</v>
      </c>
      <c r="D8605" s="380" t="s">
        <v>767</v>
      </c>
      <c r="E8605" s="380" t="s">
        <v>786</v>
      </c>
      <c r="F8605" s="380" t="s">
        <v>787</v>
      </c>
      <c r="G8605" s="380" t="s">
        <v>1267</v>
      </c>
      <c r="H8605" s="380" t="s">
        <v>771</v>
      </c>
      <c r="I8605" s="380" t="s">
        <v>788</v>
      </c>
      <c r="J8605" s="380" t="s">
        <v>773</v>
      </c>
      <c r="K8605" s="381">
        <v>0.0</v>
      </c>
      <c r="L8605" s="382">
        <v>1.0</v>
      </c>
    </row>
    <row r="8606">
      <c r="A8606" s="380" t="s">
        <v>9480</v>
      </c>
      <c r="B8606" s="380" t="str">
        <f>IFERROR(__xludf.DUMMYFUNCTION("""COMPUTED_VALUE"""),"Tijera IZQ FT 1030 7705946836470")</f>
        <v>Tijera IZQ FT 1030 7705946836470</v>
      </c>
      <c r="C8606" s="380" t="str">
        <f>IFERROR(__xludf.DUMMYFUNCTION("""COMPUTED_VALUE"""),"70004026")</f>
        <v>70004026</v>
      </c>
      <c r="D8606" s="380" t="s">
        <v>767</v>
      </c>
      <c r="E8606" s="380" t="s">
        <v>786</v>
      </c>
      <c r="F8606" s="380" t="s">
        <v>1039</v>
      </c>
      <c r="G8606" s="380" t="s">
        <v>1267</v>
      </c>
      <c r="H8606" s="380" t="s">
        <v>771</v>
      </c>
      <c r="I8606" s="380" t="s">
        <v>788</v>
      </c>
      <c r="J8606" s="380" t="s">
        <v>773</v>
      </c>
      <c r="K8606" s="381">
        <v>0.0</v>
      </c>
      <c r="L8606" s="382">
        <v>1.0</v>
      </c>
    </row>
    <row r="8607">
      <c r="A8607" s="380" t="s">
        <v>9481</v>
      </c>
      <c r="B8607" s="380" t="str">
        <f>IFERROR(__xludf.DUMMYFUNCTION("""COMPUTED_VALUE"""),"Kit Reparacion Amortiguador S Kisx100099")</f>
        <v>Kit Reparacion Amortiguador S Kisx100099</v>
      </c>
      <c r="C8607" s="380" t="str">
        <f>IFERROR(__xludf.DUMMYFUNCTION("""COMPUTED_VALUE"""),"70004027")</f>
        <v>70004027</v>
      </c>
      <c r="D8607" s="380" t="s">
        <v>767</v>
      </c>
      <c r="E8607" s="380" t="s">
        <v>786</v>
      </c>
      <c r="F8607" s="380" t="s">
        <v>787</v>
      </c>
      <c r="G8607" s="380" t="s">
        <v>1267</v>
      </c>
      <c r="H8607" s="380" t="s">
        <v>771</v>
      </c>
      <c r="I8607" s="380" t="s">
        <v>788</v>
      </c>
      <c r="J8607" s="380" t="s">
        <v>773</v>
      </c>
      <c r="K8607" s="381">
        <v>0.0</v>
      </c>
      <c r="L8607" s="382">
        <v>1.0</v>
      </c>
    </row>
    <row r="8608">
      <c r="A8608" s="380" t="s">
        <v>9482</v>
      </c>
      <c r="B8608" s="380" t="str">
        <f>IFERROR(__xludf.DUMMYFUNCTION("""COMPUTED_VALUE"""),"DEP Limpiabrisas FT 1129 1023683678")</f>
        <v>DEP Limpiabrisas FT 1129 1023683678</v>
      </c>
      <c r="C8608" s="380" t="str">
        <f>IFERROR(__xludf.DUMMYFUNCTION("""COMPUTED_VALUE"""),"70004028")</f>
        <v>70004028</v>
      </c>
      <c r="D8608" s="380" t="s">
        <v>767</v>
      </c>
      <c r="E8608" s="380" t="s">
        <v>786</v>
      </c>
      <c r="F8608" s="380" t="s">
        <v>792</v>
      </c>
      <c r="G8608" s="380" t="s">
        <v>1267</v>
      </c>
      <c r="H8608" s="380" t="s">
        <v>771</v>
      </c>
      <c r="I8608" s="380" t="s">
        <v>788</v>
      </c>
      <c r="J8608" s="380" t="s">
        <v>773</v>
      </c>
      <c r="K8608" s="381">
        <v>0.0</v>
      </c>
      <c r="L8608" s="382">
        <v>1.0</v>
      </c>
    </row>
    <row r="8609">
      <c r="A8609" s="380" t="s">
        <v>9483</v>
      </c>
      <c r="B8609" s="380" t="str">
        <f>IFERROR(__xludf.DUMMYFUNCTION("""COMPUTED_VALUE"""),"Separador Rodamiento RDA Del Npr Tkz0375")</f>
        <v>Separador Rodamiento RDA Del Npr Tkz0375</v>
      </c>
      <c r="C8609" s="380" t="str">
        <f>IFERROR(__xludf.DUMMYFUNCTION("""COMPUTED_VALUE"""),"70004029")</f>
        <v>70004029</v>
      </c>
      <c r="D8609" s="380" t="s">
        <v>767</v>
      </c>
      <c r="E8609" s="380" t="s">
        <v>786</v>
      </c>
      <c r="F8609" s="380" t="s">
        <v>1039</v>
      </c>
      <c r="G8609" s="380" t="s">
        <v>1267</v>
      </c>
      <c r="H8609" s="380" t="s">
        <v>771</v>
      </c>
      <c r="I8609" s="380" t="s">
        <v>788</v>
      </c>
      <c r="J8609" s="380" t="s">
        <v>773</v>
      </c>
      <c r="K8609" s="381">
        <v>0.0</v>
      </c>
      <c r="L8609" s="382">
        <v>1.0</v>
      </c>
    </row>
    <row r="8610">
      <c r="A8610" s="380" t="s">
        <v>9484</v>
      </c>
      <c r="B8610" s="380" t="str">
        <f>IFERROR(__xludf.DUMMYFUNCTION("""COMPUTED_VALUE"""),"Secador AIR Frenos CH Frr 8982533690")</f>
        <v>Secador AIR Frenos CH Frr 8982533690</v>
      </c>
      <c r="C8610" s="380" t="str">
        <f>IFERROR(__xludf.DUMMYFUNCTION("""COMPUTED_VALUE"""),"70004030")</f>
        <v>70004030</v>
      </c>
      <c r="D8610" s="380" t="s">
        <v>767</v>
      </c>
      <c r="E8610" s="380" t="s">
        <v>786</v>
      </c>
      <c r="F8610" s="380" t="s">
        <v>1017</v>
      </c>
      <c r="G8610" s="380" t="s">
        <v>1267</v>
      </c>
      <c r="H8610" s="380" t="s">
        <v>771</v>
      </c>
      <c r="I8610" s="380" t="s">
        <v>788</v>
      </c>
      <c r="J8610" s="380" t="s">
        <v>773</v>
      </c>
      <c r="K8610" s="381">
        <v>0.0</v>
      </c>
      <c r="L8610" s="382">
        <v>1.0</v>
      </c>
    </row>
    <row r="8611">
      <c r="A8611" s="380" t="s">
        <v>9485</v>
      </c>
      <c r="B8611" s="380" t="str">
        <f>IFERROR(__xludf.DUMMYFUNCTION("""COMPUTED_VALUE"""),"Retenedor Speed Jac Jhr 4204810248")</f>
        <v>Retenedor Speed Jac Jhr 4204810248</v>
      </c>
      <c r="C8611" s="380" t="str">
        <f>IFERROR(__xludf.DUMMYFUNCTION("""COMPUTED_VALUE"""),"70004031")</f>
        <v>70004031</v>
      </c>
      <c r="D8611" s="380" t="s">
        <v>767</v>
      </c>
      <c r="E8611" s="380" t="s">
        <v>786</v>
      </c>
      <c r="F8611" s="380" t="s">
        <v>5683</v>
      </c>
      <c r="G8611" s="380" t="s">
        <v>1267</v>
      </c>
      <c r="H8611" s="380" t="s">
        <v>771</v>
      </c>
      <c r="I8611" s="380" t="s">
        <v>788</v>
      </c>
      <c r="J8611" s="380" t="s">
        <v>773</v>
      </c>
      <c r="K8611" s="381">
        <v>0.0</v>
      </c>
      <c r="L8611" s="382">
        <v>1.0</v>
      </c>
    </row>
    <row r="8612">
      <c r="A8612" s="380" t="s">
        <v>9486</v>
      </c>
      <c r="B8612" s="380" t="str">
        <f>IFERROR(__xludf.DUMMYFUNCTION("""COMPUTED_VALUE"""),"BMB Agua MOT CUMM Isf 3 8 Jac 5333035")</f>
        <v>BMB Agua MOT CUMM Isf 3 8 Jac 5333035</v>
      </c>
      <c r="C8612" s="380" t="str">
        <f>IFERROR(__xludf.DUMMYFUNCTION("""COMPUTED_VALUE"""),"70004032")</f>
        <v>70004032</v>
      </c>
      <c r="D8612" s="380" t="s">
        <v>767</v>
      </c>
      <c r="E8612" s="380" t="s">
        <v>786</v>
      </c>
      <c r="F8612" s="380" t="s">
        <v>787</v>
      </c>
      <c r="G8612" s="380" t="s">
        <v>1267</v>
      </c>
      <c r="H8612" s="380" t="s">
        <v>771</v>
      </c>
      <c r="I8612" s="380" t="s">
        <v>788</v>
      </c>
      <c r="J8612" s="380" t="s">
        <v>773</v>
      </c>
      <c r="K8612" s="381">
        <v>0.0</v>
      </c>
      <c r="L8612" s="382">
        <v>1.0</v>
      </c>
    </row>
    <row r="8613">
      <c r="A8613" s="380" t="s">
        <v>9487</v>
      </c>
      <c r="B8613" s="380" t="str">
        <f>IFERROR(__xludf.DUMMYFUNCTION("""COMPUTED_VALUE"""),"FILT Separador COMB Jac 1120 Mod Fs1003")</f>
        <v>FILT Separador COMB Jac 1120 Mod Fs1003</v>
      </c>
      <c r="C8613" s="380" t="str">
        <f>IFERROR(__xludf.DUMMYFUNCTION("""COMPUTED_VALUE"""),"70004033")</f>
        <v>70004033</v>
      </c>
      <c r="D8613" s="380" t="s">
        <v>767</v>
      </c>
      <c r="E8613" s="380" t="s">
        <v>786</v>
      </c>
      <c r="F8613" s="380" t="s">
        <v>5855</v>
      </c>
      <c r="G8613" s="380" t="s">
        <v>1267</v>
      </c>
      <c r="H8613" s="380" t="s">
        <v>771</v>
      </c>
      <c r="I8613" s="380" t="s">
        <v>788</v>
      </c>
      <c r="J8613" s="380" t="s">
        <v>773</v>
      </c>
      <c r="K8613" s="381">
        <v>0.0</v>
      </c>
      <c r="L8613" s="382">
        <v>1.0</v>
      </c>
    </row>
    <row r="8614">
      <c r="A8614" s="380" t="s">
        <v>9488</v>
      </c>
      <c r="B8614" s="380" t="str">
        <f>IFERROR(__xludf.DUMMYFUNCTION("""COMPUTED_VALUE"""),"Farola Derecha Hyundai H100 921014f010")</f>
        <v>Farola Derecha Hyundai H100 921014f010</v>
      </c>
      <c r="C8614" s="380" t="str">
        <f>IFERROR(__xludf.DUMMYFUNCTION("""COMPUTED_VALUE"""),"70004034")</f>
        <v>70004034</v>
      </c>
      <c r="D8614" s="380" t="s">
        <v>767</v>
      </c>
      <c r="E8614" s="380" t="s">
        <v>786</v>
      </c>
      <c r="F8614" s="380" t="s">
        <v>998</v>
      </c>
      <c r="G8614" s="380" t="s">
        <v>1267</v>
      </c>
      <c r="H8614" s="380" t="s">
        <v>771</v>
      </c>
      <c r="I8614" s="380" t="s">
        <v>788</v>
      </c>
      <c r="J8614" s="380" t="s">
        <v>773</v>
      </c>
      <c r="K8614" s="381">
        <v>0.0</v>
      </c>
      <c r="L8614" s="382">
        <v>1.0</v>
      </c>
    </row>
    <row r="8615">
      <c r="A8615" s="380" t="s">
        <v>9489</v>
      </c>
      <c r="B8615" s="380" t="str">
        <f>IFERROR(__xludf.DUMMYFUNCTION("""COMPUTED_VALUE"""),"Guaya Freno Tras Der HY H100 5991243450")</f>
        <v>Guaya Freno Tras Der HY H100 5991243450</v>
      </c>
      <c r="C8615" s="380" t="str">
        <f>IFERROR(__xludf.DUMMYFUNCTION("""COMPUTED_VALUE"""),"70004035")</f>
        <v>70004035</v>
      </c>
      <c r="D8615" s="380" t="s">
        <v>767</v>
      </c>
      <c r="E8615" s="380" t="s">
        <v>786</v>
      </c>
      <c r="F8615" s="380" t="s">
        <v>1017</v>
      </c>
      <c r="G8615" s="380" t="s">
        <v>1267</v>
      </c>
      <c r="H8615" s="380" t="s">
        <v>771</v>
      </c>
      <c r="I8615" s="380" t="s">
        <v>788</v>
      </c>
      <c r="J8615" s="380" t="s">
        <v>773</v>
      </c>
      <c r="K8615" s="381">
        <v>0.0</v>
      </c>
      <c r="L8615" s="382">
        <v>1.0</v>
      </c>
    </row>
    <row r="8616">
      <c r="A8616" s="380" t="s">
        <v>9490</v>
      </c>
      <c r="B8616" s="380" t="str">
        <f>IFERROR(__xludf.DUMMYFUNCTION("""COMPUTED_VALUE"""),"Cartera Puerta Izq Foton 1039 7705946396")</f>
        <v>Cartera Puerta Izq Foton 1039 7705946396</v>
      </c>
      <c r="C8616" s="380" t="str">
        <f>IFERROR(__xludf.DUMMYFUNCTION("""COMPUTED_VALUE"""),"70004036")</f>
        <v>70004036</v>
      </c>
      <c r="D8616" s="380" t="s">
        <v>767</v>
      </c>
      <c r="E8616" s="380" t="s">
        <v>786</v>
      </c>
      <c r="F8616" s="380" t="s">
        <v>792</v>
      </c>
      <c r="G8616" s="380" t="s">
        <v>1267</v>
      </c>
      <c r="H8616" s="380" t="s">
        <v>771</v>
      </c>
      <c r="I8616" s="380" t="s">
        <v>788</v>
      </c>
      <c r="J8616" s="380" t="s">
        <v>773</v>
      </c>
      <c r="K8616" s="381">
        <v>0.0</v>
      </c>
      <c r="L8616" s="382">
        <v>1.0</v>
      </c>
    </row>
    <row r="8617">
      <c r="A8617" s="380" t="s">
        <v>9491</v>
      </c>
      <c r="B8617" s="380" t="str">
        <f>IFERROR(__xludf.DUMMYFUNCTION("""COMPUTED_VALUE"""),"Tapa Radiador Jac 1042 1301030d80")</f>
        <v>Tapa Radiador Jac 1042 1301030d80</v>
      </c>
      <c r="C8617" s="380" t="str">
        <f>IFERROR(__xludf.DUMMYFUNCTION("""COMPUTED_VALUE"""),"70004037")</f>
        <v>70004037</v>
      </c>
      <c r="D8617" s="380" t="s">
        <v>767</v>
      </c>
      <c r="E8617" s="380" t="s">
        <v>786</v>
      </c>
      <c r="F8617" s="380" t="s">
        <v>787</v>
      </c>
      <c r="G8617" s="380" t="s">
        <v>1267</v>
      </c>
      <c r="H8617" s="380" t="s">
        <v>771</v>
      </c>
      <c r="I8617" s="380" t="s">
        <v>788</v>
      </c>
      <c r="J8617" s="380" t="s">
        <v>773</v>
      </c>
      <c r="K8617" s="381">
        <v>0.0</v>
      </c>
      <c r="L8617" s="382">
        <v>1.0</v>
      </c>
    </row>
    <row r="8618">
      <c r="A8618" s="380" t="s">
        <v>9492</v>
      </c>
      <c r="B8618" s="380" t="str">
        <f>IFERROR(__xludf.DUMMYFUNCTION("""COMPUTED_VALUE"""),"Tubo De Aceite Tensor Nkr Rew 8980395670")</f>
        <v>Tubo De Aceite Tensor Nkr Rew 8980395670</v>
      </c>
      <c r="C8618" s="380" t="str">
        <f>IFERROR(__xludf.DUMMYFUNCTION("""COMPUTED_VALUE"""),"70004038")</f>
        <v>70004038</v>
      </c>
      <c r="D8618" s="380" t="s">
        <v>767</v>
      </c>
      <c r="E8618" s="380" t="s">
        <v>786</v>
      </c>
      <c r="F8618" s="380" t="s">
        <v>787</v>
      </c>
      <c r="G8618" s="380" t="s">
        <v>1267</v>
      </c>
      <c r="H8618" s="380" t="s">
        <v>771</v>
      </c>
      <c r="I8618" s="380" t="s">
        <v>788</v>
      </c>
      <c r="J8618" s="380" t="s">
        <v>773</v>
      </c>
      <c r="K8618" s="381">
        <v>860000.0</v>
      </c>
      <c r="L8618" s="382">
        <v>1.0</v>
      </c>
    </row>
    <row r="8619">
      <c r="A8619" s="380" t="s">
        <v>9493</v>
      </c>
      <c r="B8619" s="380" t="str">
        <f>IFERROR(__xludf.DUMMYFUNCTION("""COMPUTED_VALUE"""),"Bisagra Capot Dcha Kw T800 Mod 2011 M137")</f>
        <v>Bisagra Capot Dcha Kw T800 Mod 2011 M137</v>
      </c>
      <c r="C8619" s="380" t="str">
        <f>IFERROR(__xludf.DUMMYFUNCTION("""COMPUTED_VALUE"""),"70004039")</f>
        <v>70004039</v>
      </c>
      <c r="D8619" s="380" t="s">
        <v>767</v>
      </c>
      <c r="E8619" s="380" t="s">
        <v>786</v>
      </c>
      <c r="F8619" s="380" t="s">
        <v>792</v>
      </c>
      <c r="G8619" s="380" t="s">
        <v>1267</v>
      </c>
      <c r="H8619" s="380" t="s">
        <v>771</v>
      </c>
      <c r="I8619" s="380" t="s">
        <v>788</v>
      </c>
      <c r="J8619" s="380" t="s">
        <v>773</v>
      </c>
      <c r="K8619" s="381">
        <v>0.0</v>
      </c>
      <c r="L8619" s="382">
        <v>1.0</v>
      </c>
    </row>
    <row r="8620">
      <c r="A8620" s="380" t="s">
        <v>9494</v>
      </c>
      <c r="B8620" s="380" t="str">
        <f>IFERROR(__xludf.DUMMYFUNCTION("""COMPUTED_VALUE"""),"Banda Freno TRAS HY H100 Fabricada")</f>
        <v>Banda Freno TRAS HY H100 Fabricada</v>
      </c>
      <c r="C8620" s="380" t="str">
        <f>IFERROR(__xludf.DUMMYFUNCTION("""COMPUTED_VALUE"""),"70004040")</f>
        <v>70004040</v>
      </c>
      <c r="D8620" s="380" t="s">
        <v>767</v>
      </c>
      <c r="E8620" s="380" t="s">
        <v>786</v>
      </c>
      <c r="F8620" s="380" t="s">
        <v>1017</v>
      </c>
      <c r="G8620" s="380" t="s">
        <v>1267</v>
      </c>
      <c r="H8620" s="380" t="s">
        <v>771</v>
      </c>
      <c r="I8620" s="380" t="s">
        <v>788</v>
      </c>
      <c r="J8620" s="380" t="s">
        <v>773</v>
      </c>
      <c r="K8620" s="381">
        <v>0.0</v>
      </c>
      <c r="L8620" s="382">
        <v>1.0</v>
      </c>
    </row>
    <row r="8621">
      <c r="A8621" s="380" t="s">
        <v>9495</v>
      </c>
      <c r="B8621" s="380" t="str">
        <f>IFERROR(__xludf.DUMMYFUNCTION("""COMPUTED_VALUE"""),"Soporte Altenador Foton MV5 5946036351")</f>
        <v>Soporte Altenador Foton MV5 5946036351</v>
      </c>
      <c r="C8621" s="380" t="str">
        <f>IFERROR(__xludf.DUMMYFUNCTION("""COMPUTED_VALUE"""),"70004041")</f>
        <v>70004041</v>
      </c>
      <c r="D8621" s="380" t="s">
        <v>767</v>
      </c>
      <c r="E8621" s="380" t="s">
        <v>786</v>
      </c>
      <c r="F8621" s="380" t="s">
        <v>787</v>
      </c>
      <c r="G8621" s="380" t="s">
        <v>1267</v>
      </c>
      <c r="H8621" s="380" t="s">
        <v>771</v>
      </c>
      <c r="I8621" s="380" t="s">
        <v>788</v>
      </c>
      <c r="J8621" s="380" t="s">
        <v>773</v>
      </c>
      <c r="K8621" s="381">
        <v>0.0</v>
      </c>
      <c r="L8621" s="382">
        <v>1.0</v>
      </c>
    </row>
    <row r="8622">
      <c r="A8622" s="380" t="s">
        <v>9496</v>
      </c>
      <c r="B8622" s="380" t="str">
        <f>IFERROR(__xludf.DUMMYFUNCTION("""COMPUTED_VALUE"""),"Guaya CTRL Selector Cambios N 8972056590")</f>
        <v>Guaya CTRL Selector Cambios N 8972056590</v>
      </c>
      <c r="C8622" s="380" t="str">
        <f>IFERROR(__xludf.DUMMYFUNCTION("""COMPUTED_VALUE"""),"70004042")</f>
        <v>70004042</v>
      </c>
      <c r="D8622" s="380" t="s">
        <v>767</v>
      </c>
      <c r="E8622" s="380" t="s">
        <v>786</v>
      </c>
      <c r="F8622" s="380" t="s">
        <v>928</v>
      </c>
      <c r="G8622" s="380" t="s">
        <v>1267</v>
      </c>
      <c r="H8622" s="380" t="s">
        <v>771</v>
      </c>
      <c r="I8622" s="380" t="s">
        <v>788</v>
      </c>
      <c r="J8622" s="380" t="s">
        <v>773</v>
      </c>
      <c r="K8622" s="381">
        <v>0.0</v>
      </c>
      <c r="L8622" s="382">
        <v>1.0</v>
      </c>
    </row>
    <row r="8623">
      <c r="A8623" s="380" t="s">
        <v>9497</v>
      </c>
      <c r="B8623" s="380" t="str">
        <f>IFERROR(__xludf.DUMMYFUNCTION("""COMPUTED_VALUE"""),"Tapa CJ De Velocidades Eaton Kw T8 S2129")</f>
        <v>Tapa CJ De Velocidades Eaton Kw T8 S2129</v>
      </c>
      <c r="C8623" s="380" t="str">
        <f>IFERROR(__xludf.DUMMYFUNCTION("""COMPUTED_VALUE"""),"70004043")</f>
        <v>70004043</v>
      </c>
      <c r="D8623" s="380" t="s">
        <v>767</v>
      </c>
      <c r="E8623" s="380" t="s">
        <v>786</v>
      </c>
      <c r="F8623" s="380" t="s">
        <v>928</v>
      </c>
      <c r="G8623" s="380" t="s">
        <v>1267</v>
      </c>
      <c r="H8623" s="380" t="s">
        <v>771</v>
      </c>
      <c r="I8623" s="380" t="s">
        <v>788</v>
      </c>
      <c r="J8623" s="380" t="s">
        <v>773</v>
      </c>
      <c r="K8623" s="381">
        <v>0.0</v>
      </c>
      <c r="L8623" s="382">
        <v>1.0</v>
      </c>
    </row>
    <row r="8624">
      <c r="A8624" s="380" t="s">
        <v>9498</v>
      </c>
      <c r="B8624" s="380" t="str">
        <f>IFERROR(__xludf.DUMMYFUNCTION("""COMPUTED_VALUE"""),"Caña Direc KWMod 2012 418050-1")</f>
        <v>Caña Direc KWMod 2012 418050-1</v>
      </c>
      <c r="C8624" s="380" t="str">
        <f>IFERROR(__xludf.DUMMYFUNCTION("""COMPUTED_VALUE"""),"70004044")</f>
        <v>70004044</v>
      </c>
      <c r="D8624" s="380" t="s">
        <v>767</v>
      </c>
      <c r="E8624" s="380" t="s">
        <v>786</v>
      </c>
      <c r="F8624" s="380" t="s">
        <v>1020</v>
      </c>
      <c r="G8624" s="380" t="s">
        <v>1267</v>
      </c>
      <c r="H8624" s="380" t="s">
        <v>771</v>
      </c>
      <c r="I8624" s="380" t="s">
        <v>788</v>
      </c>
      <c r="J8624" s="380" t="s">
        <v>773</v>
      </c>
      <c r="K8624" s="381">
        <v>0.0</v>
      </c>
      <c r="L8624" s="382">
        <v>1.0</v>
      </c>
    </row>
    <row r="8625">
      <c r="A8625" s="380" t="s">
        <v>9499</v>
      </c>
      <c r="B8625" s="380" t="str">
        <f>IFERROR(__xludf.DUMMYFUNCTION("""COMPUTED_VALUE"""),"Sellos Valvula Jac Euro V 1003040fe130")</f>
        <v>Sellos Valvula Jac Euro V 1003040fe130</v>
      </c>
      <c r="C8625" s="380" t="str">
        <f>IFERROR(__xludf.DUMMYFUNCTION("""COMPUTED_VALUE"""),"70004045")</f>
        <v>70004045</v>
      </c>
      <c r="D8625" s="380" t="s">
        <v>767</v>
      </c>
      <c r="E8625" s="380" t="s">
        <v>786</v>
      </c>
      <c r="F8625" s="380" t="s">
        <v>787</v>
      </c>
      <c r="G8625" s="380" t="s">
        <v>1267</v>
      </c>
      <c r="H8625" s="380" t="s">
        <v>771</v>
      </c>
      <c r="I8625" s="380" t="s">
        <v>788</v>
      </c>
      <c r="J8625" s="380" t="s">
        <v>773</v>
      </c>
      <c r="K8625" s="381">
        <v>0.0</v>
      </c>
      <c r="L8625" s="382">
        <v>1.0</v>
      </c>
    </row>
    <row r="8626">
      <c r="A8626" s="380" t="s">
        <v>9500</v>
      </c>
      <c r="B8626" s="380" t="str">
        <f>IFERROR(__xludf.DUMMYFUNCTION("""COMPUTED_VALUE"""),"Tope Muelle Tras N200 9026225")</f>
        <v>Tope Muelle Tras N200 9026225</v>
      </c>
      <c r="C8626" s="380" t="str">
        <f>IFERROR(__xludf.DUMMYFUNCTION("""COMPUTED_VALUE"""),"70004046")</f>
        <v>70004046</v>
      </c>
      <c r="D8626" s="380" t="s">
        <v>767</v>
      </c>
      <c r="E8626" s="380" t="s">
        <v>786</v>
      </c>
      <c r="F8626" s="380" t="s">
        <v>1039</v>
      </c>
      <c r="G8626" s="380" t="s">
        <v>1267</v>
      </c>
      <c r="H8626" s="380" t="s">
        <v>771</v>
      </c>
      <c r="I8626" s="380" t="s">
        <v>788</v>
      </c>
      <c r="J8626" s="380" t="s">
        <v>773</v>
      </c>
      <c r="K8626" s="381">
        <v>0.0</v>
      </c>
      <c r="L8626" s="382">
        <v>1.0</v>
      </c>
    </row>
    <row r="8627">
      <c r="A8627" s="380" t="s">
        <v>9501</v>
      </c>
      <c r="B8627" s="380" t="str">
        <f>IFERROR(__xludf.DUMMYFUNCTION("""COMPUTED_VALUE"""),"Bomba Agua Jac Euro V 1041100fe010")</f>
        <v>Bomba Agua Jac Euro V 1041100fe010</v>
      </c>
      <c r="C8627" s="380" t="str">
        <f>IFERROR(__xludf.DUMMYFUNCTION("""COMPUTED_VALUE"""),"70004047")</f>
        <v>70004047</v>
      </c>
      <c r="D8627" s="380" t="s">
        <v>767</v>
      </c>
      <c r="E8627" s="380" t="s">
        <v>786</v>
      </c>
      <c r="F8627" s="380" t="s">
        <v>787</v>
      </c>
      <c r="G8627" s="380" t="s">
        <v>1267</v>
      </c>
      <c r="H8627" s="380" t="s">
        <v>771</v>
      </c>
      <c r="I8627" s="380" t="s">
        <v>788</v>
      </c>
      <c r="J8627" s="380" t="s">
        <v>773</v>
      </c>
      <c r="K8627" s="381">
        <v>0.0</v>
      </c>
      <c r="L8627" s="382">
        <v>1.0</v>
      </c>
    </row>
    <row r="8628">
      <c r="A8628" s="380" t="s">
        <v>9502</v>
      </c>
      <c r="B8628" s="380" t="str">
        <f>IFERROR(__xludf.DUMMYFUNCTION("""COMPUTED_VALUE"""),"Termostato Jac Euro V 1041050fe010")</f>
        <v>Termostato Jac Euro V 1041050fe010</v>
      </c>
      <c r="C8628" s="380" t="str">
        <f>IFERROR(__xludf.DUMMYFUNCTION("""COMPUTED_VALUE"""),"70004048")</f>
        <v>70004048</v>
      </c>
      <c r="D8628" s="380" t="s">
        <v>767</v>
      </c>
      <c r="E8628" s="380" t="s">
        <v>786</v>
      </c>
      <c r="F8628" s="380" t="s">
        <v>787</v>
      </c>
      <c r="G8628" s="380" t="s">
        <v>1267</v>
      </c>
      <c r="H8628" s="380" t="s">
        <v>771</v>
      </c>
      <c r="I8628" s="380" t="s">
        <v>788</v>
      </c>
      <c r="J8628" s="380" t="s">
        <v>773</v>
      </c>
      <c r="K8628" s="381">
        <v>0.0</v>
      </c>
      <c r="L8628" s="382">
        <v>1.0</v>
      </c>
    </row>
    <row r="8629">
      <c r="A8629" s="380" t="s">
        <v>9503</v>
      </c>
      <c r="B8629" s="380" t="str">
        <f>IFERROR(__xludf.DUMMYFUNCTION("""COMPUTED_VALUE"""),"BMB ELEC COMB FT MV5 5946027311")</f>
        <v>BMB ELEC COMB FT MV5 5946027311</v>
      </c>
      <c r="C8629" s="380" t="str">
        <f>IFERROR(__xludf.DUMMYFUNCTION("""COMPUTED_VALUE"""),"70004049")</f>
        <v>70004049</v>
      </c>
      <c r="D8629" s="380" t="s">
        <v>767</v>
      </c>
      <c r="E8629" s="380" t="s">
        <v>786</v>
      </c>
      <c r="F8629" s="380" t="s">
        <v>787</v>
      </c>
      <c r="G8629" s="380" t="s">
        <v>1267</v>
      </c>
      <c r="H8629" s="380" t="s">
        <v>771</v>
      </c>
      <c r="I8629" s="380" t="s">
        <v>788</v>
      </c>
      <c r="J8629" s="380" t="s">
        <v>773</v>
      </c>
      <c r="K8629" s="381">
        <v>443560.0</v>
      </c>
      <c r="L8629" s="382">
        <v>1.0</v>
      </c>
    </row>
    <row r="8630">
      <c r="A8630" s="380" t="s">
        <v>9504</v>
      </c>
      <c r="B8630" s="380" t="str">
        <f>IFERROR(__xludf.DUMMYFUNCTION("""COMPUTED_VALUE"""),"Empaque Multiple Escape Jac 1044202fe010")</f>
        <v>Empaque Multiple Escape Jac 1044202fe010</v>
      </c>
      <c r="C8630" s="380" t="str">
        <f>IFERROR(__xludf.DUMMYFUNCTION("""COMPUTED_VALUE"""),"70004050")</f>
        <v>70004050</v>
      </c>
      <c r="D8630" s="380" t="s">
        <v>767</v>
      </c>
      <c r="E8630" s="380" t="s">
        <v>786</v>
      </c>
      <c r="F8630" s="380" t="s">
        <v>787</v>
      </c>
      <c r="G8630" s="380" t="s">
        <v>1267</v>
      </c>
      <c r="H8630" s="380" t="s">
        <v>771</v>
      </c>
      <c r="I8630" s="380" t="s">
        <v>788</v>
      </c>
      <c r="J8630" s="380" t="s">
        <v>773</v>
      </c>
      <c r="K8630" s="381">
        <v>0.0</v>
      </c>
      <c r="L8630" s="382">
        <v>1.0</v>
      </c>
    </row>
    <row r="8631">
      <c r="A8631" s="380" t="s">
        <v>9505</v>
      </c>
      <c r="B8631" s="380" t="str">
        <f>IFERROR(__xludf.DUMMYFUNCTION("""COMPUTED_VALUE"""),"Marco PTA Izq CAB FT 1039 7701023123")</f>
        <v>Marco PTA Izq CAB FT 1039 7701023123</v>
      </c>
      <c r="C8631" s="380" t="str">
        <f>IFERROR(__xludf.DUMMYFUNCTION("""COMPUTED_VALUE"""),"70004051")</f>
        <v>70004051</v>
      </c>
      <c r="D8631" s="380" t="s">
        <v>767</v>
      </c>
      <c r="E8631" s="380" t="s">
        <v>786</v>
      </c>
      <c r="F8631" s="380" t="s">
        <v>792</v>
      </c>
      <c r="G8631" s="380" t="s">
        <v>1267</v>
      </c>
      <c r="H8631" s="380" t="s">
        <v>771</v>
      </c>
      <c r="I8631" s="380" t="s">
        <v>788</v>
      </c>
      <c r="J8631" s="380" t="s">
        <v>773</v>
      </c>
      <c r="K8631" s="381">
        <v>0.0</v>
      </c>
      <c r="L8631" s="382">
        <v>1.0</v>
      </c>
    </row>
    <row r="8632">
      <c r="A8632" s="380" t="s">
        <v>9506</v>
      </c>
      <c r="B8632" s="380" t="str">
        <f>IFERROR(__xludf.DUMMYFUNCTION("""COMPUTED_VALUE"""),"FILT A/C CAB INT Lt 4070948c1")</f>
        <v>FILT A/C CAB INT Lt 4070948c1</v>
      </c>
      <c r="C8632" s="380" t="str">
        <f>IFERROR(__xludf.DUMMYFUNCTION("""COMPUTED_VALUE"""),"70004052")</f>
        <v>70004052</v>
      </c>
      <c r="D8632" s="380" t="s">
        <v>767</v>
      </c>
      <c r="E8632" s="380" t="s">
        <v>786</v>
      </c>
      <c r="F8632" s="380" t="s">
        <v>5855</v>
      </c>
      <c r="G8632" s="380" t="s">
        <v>1267</v>
      </c>
      <c r="H8632" s="380" t="s">
        <v>771</v>
      </c>
      <c r="I8632" s="380" t="s">
        <v>788</v>
      </c>
      <c r="J8632" s="380" t="s">
        <v>773</v>
      </c>
      <c r="K8632" s="381">
        <v>76424.0</v>
      </c>
      <c r="L8632" s="382">
        <v>1.0</v>
      </c>
    </row>
    <row r="8633">
      <c r="A8633" s="380" t="s">
        <v>9507</v>
      </c>
      <c r="B8633" s="380" t="str">
        <f>IFERROR(__xludf.DUMMYFUNCTION("""COMPUTED_VALUE"""),"Rodamiento Tras Externo FT 11 7701023773")</f>
        <v>Rodamiento Tras Externo FT 11 7701023773</v>
      </c>
      <c r="C8633" s="380" t="str">
        <f>IFERROR(__xludf.DUMMYFUNCTION("""COMPUTED_VALUE"""),"70004053")</f>
        <v>70004053</v>
      </c>
      <c r="D8633" s="380" t="s">
        <v>767</v>
      </c>
      <c r="E8633" s="380" t="s">
        <v>786</v>
      </c>
      <c r="F8633" s="380" t="s">
        <v>1039</v>
      </c>
      <c r="G8633" s="380" t="s">
        <v>1267</v>
      </c>
      <c r="H8633" s="380" t="s">
        <v>771</v>
      </c>
      <c r="I8633" s="380" t="s">
        <v>788</v>
      </c>
      <c r="J8633" s="380" t="s">
        <v>773</v>
      </c>
      <c r="K8633" s="381">
        <v>0.0</v>
      </c>
      <c r="L8633" s="382">
        <v>1.0</v>
      </c>
    </row>
    <row r="8634">
      <c r="A8634" s="380" t="s">
        <v>9508</v>
      </c>
      <c r="B8634" s="380" t="str">
        <f>IFERROR(__xludf.DUMMYFUNCTION("""COMPUTED_VALUE"""),"Rodamiento Tras INTno FT 1128 7701023690")</f>
        <v>Rodamiento Tras INTno FT 1128 7701023690</v>
      </c>
      <c r="C8634" s="380" t="str">
        <f>IFERROR(__xludf.DUMMYFUNCTION("""COMPUTED_VALUE"""),"70004054")</f>
        <v>70004054</v>
      </c>
      <c r="D8634" s="380" t="s">
        <v>767</v>
      </c>
      <c r="E8634" s="380" t="s">
        <v>786</v>
      </c>
      <c r="F8634" s="380" t="s">
        <v>1039</v>
      </c>
      <c r="G8634" s="380" t="s">
        <v>1267</v>
      </c>
      <c r="H8634" s="380" t="s">
        <v>771</v>
      </c>
      <c r="I8634" s="380" t="s">
        <v>788</v>
      </c>
      <c r="J8634" s="380" t="s">
        <v>773</v>
      </c>
      <c r="K8634" s="381">
        <v>0.0</v>
      </c>
      <c r="L8634" s="382">
        <v>1.0</v>
      </c>
    </row>
    <row r="8635">
      <c r="A8635" s="380" t="s">
        <v>9509</v>
      </c>
      <c r="B8635" s="380" t="str">
        <f>IFERROR(__xludf.DUMMYFUNCTION("""COMPUTED_VALUE"""),"Panel Tablero Instrumentos FT 7701023582")</f>
        <v>Panel Tablero Instrumentos FT 7701023582</v>
      </c>
      <c r="C8635" s="380" t="str">
        <f>IFERROR(__xludf.DUMMYFUNCTION("""COMPUTED_VALUE"""),"70004055")</f>
        <v>70004055</v>
      </c>
      <c r="D8635" s="380" t="s">
        <v>767</v>
      </c>
      <c r="E8635" s="380" t="s">
        <v>786</v>
      </c>
      <c r="F8635" s="380" t="s">
        <v>792</v>
      </c>
      <c r="G8635" s="380" t="s">
        <v>1267</v>
      </c>
      <c r="H8635" s="380" t="s">
        <v>771</v>
      </c>
      <c r="I8635" s="380" t="s">
        <v>788</v>
      </c>
      <c r="J8635" s="380" t="s">
        <v>773</v>
      </c>
      <c r="K8635" s="381">
        <v>0.0</v>
      </c>
      <c r="L8635" s="382">
        <v>1.0</v>
      </c>
    </row>
    <row r="8636">
      <c r="A8636" s="380" t="s">
        <v>9510</v>
      </c>
      <c r="B8636" s="380" t="str">
        <f>IFERROR(__xludf.DUMMYFUNCTION("""COMPUTED_VALUE"""),"Tuerca Pin Brazo De DIR En U 7705946394")</f>
        <v>Tuerca Pin Brazo De DIR En U 7705946394</v>
      </c>
      <c r="C8636" s="380" t="str">
        <f>IFERROR(__xludf.DUMMYFUNCTION("""COMPUTED_VALUE"""),"70004056")</f>
        <v>70004056</v>
      </c>
      <c r="D8636" s="380" t="s">
        <v>767</v>
      </c>
      <c r="E8636" s="380" t="s">
        <v>786</v>
      </c>
      <c r="F8636" s="380" t="s">
        <v>1020</v>
      </c>
      <c r="G8636" s="380" t="s">
        <v>1267</v>
      </c>
      <c r="H8636" s="380" t="s">
        <v>771</v>
      </c>
      <c r="I8636" s="380" t="s">
        <v>788</v>
      </c>
      <c r="J8636" s="380" t="s">
        <v>773</v>
      </c>
      <c r="K8636" s="381">
        <v>0.0</v>
      </c>
      <c r="L8636" s="382">
        <v>1.0</v>
      </c>
    </row>
    <row r="8637">
      <c r="A8637" s="380" t="s">
        <v>9511</v>
      </c>
      <c r="B8637" s="380" t="str">
        <f>IFERROR(__xludf.DUMMYFUNCTION("""COMPUTED_VALUE"""),"Arandela Inf Amortiguador FT 7701023972")</f>
        <v>Arandela Inf Amortiguador FT 7701023972</v>
      </c>
      <c r="C8637" s="380" t="str">
        <f>IFERROR(__xludf.DUMMYFUNCTION("""COMPUTED_VALUE"""),"70004057")</f>
        <v>70004057</v>
      </c>
      <c r="D8637" s="380" t="s">
        <v>767</v>
      </c>
      <c r="E8637" s="380" t="s">
        <v>786</v>
      </c>
      <c r="F8637" s="380" t="s">
        <v>1039</v>
      </c>
      <c r="G8637" s="380" t="s">
        <v>1267</v>
      </c>
      <c r="H8637" s="380" t="s">
        <v>771</v>
      </c>
      <c r="I8637" s="380" t="s">
        <v>788</v>
      </c>
      <c r="J8637" s="380" t="s">
        <v>773</v>
      </c>
      <c r="K8637" s="381">
        <v>0.0</v>
      </c>
      <c r="L8637" s="382">
        <v>1.0</v>
      </c>
    </row>
    <row r="8638">
      <c r="A8638" s="380" t="s">
        <v>9512</v>
      </c>
      <c r="B8638" s="380" t="str">
        <f>IFERROR(__xludf.DUMMYFUNCTION("""COMPUTED_VALUE"""),"Cilindro Freno Tras Der 53401-50f0")</f>
        <v>Cilindro Freno Tras Der 53401-50f0</v>
      </c>
      <c r="C8638" s="380" t="str">
        <f>IFERROR(__xludf.DUMMYFUNCTION("""COMPUTED_VALUE"""),"70004058")</f>
        <v>70004058</v>
      </c>
      <c r="D8638" s="380" t="s">
        <v>767</v>
      </c>
      <c r="E8638" s="380" t="s">
        <v>786</v>
      </c>
      <c r="F8638" s="380" t="s">
        <v>1017</v>
      </c>
      <c r="G8638" s="380" t="s">
        <v>1267</v>
      </c>
      <c r="H8638" s="380" t="s">
        <v>771</v>
      </c>
      <c r="I8638" s="380" t="s">
        <v>788</v>
      </c>
      <c r="J8638" s="380" t="s">
        <v>773</v>
      </c>
      <c r="K8638" s="381">
        <v>0.0</v>
      </c>
      <c r="L8638" s="382">
        <v>1.0</v>
      </c>
    </row>
    <row r="8639">
      <c r="A8639" s="380" t="s">
        <v>9513</v>
      </c>
      <c r="B8639" s="380" t="str">
        <f>IFERROR(__xludf.DUMMYFUNCTION("""COMPUTED_VALUE"""),"Brazo Espejo Izq Completo FT 7701023683")</f>
        <v>Brazo Espejo Izq Completo FT 7701023683</v>
      </c>
      <c r="C8639" s="380" t="str">
        <f>IFERROR(__xludf.DUMMYFUNCTION("""COMPUTED_VALUE"""),"70004059")</f>
        <v>70004059</v>
      </c>
      <c r="D8639" s="380" t="s">
        <v>767</v>
      </c>
      <c r="E8639" s="380" t="s">
        <v>786</v>
      </c>
      <c r="F8639" s="380" t="s">
        <v>792</v>
      </c>
      <c r="G8639" s="380" t="s">
        <v>1267</v>
      </c>
      <c r="H8639" s="380" t="s">
        <v>771</v>
      </c>
      <c r="I8639" s="380" t="s">
        <v>788</v>
      </c>
      <c r="J8639" s="380" t="s">
        <v>773</v>
      </c>
      <c r="K8639" s="381">
        <v>0.0</v>
      </c>
      <c r="L8639" s="382">
        <v>1.0</v>
      </c>
    </row>
    <row r="8640">
      <c r="A8640" s="380" t="s">
        <v>9514</v>
      </c>
      <c r="B8640" s="380" t="str">
        <f>IFERROR(__xludf.DUMMYFUNCTION("""COMPUTED_VALUE"""),"Compresor Aire Foton 1065 7705946317")</f>
        <v>Compresor Aire Foton 1065 7705946317</v>
      </c>
      <c r="C8640" s="380" t="str">
        <f>IFERROR(__xludf.DUMMYFUNCTION("""COMPUTED_VALUE"""),"70004060")</f>
        <v>70004060</v>
      </c>
      <c r="D8640" s="380" t="s">
        <v>767</v>
      </c>
      <c r="E8640" s="380" t="s">
        <v>786</v>
      </c>
      <c r="F8640" s="380" t="s">
        <v>787</v>
      </c>
      <c r="G8640" s="380" t="s">
        <v>1267</v>
      </c>
      <c r="H8640" s="380" t="s">
        <v>771</v>
      </c>
      <c r="I8640" s="380" t="s">
        <v>788</v>
      </c>
      <c r="J8640" s="380" t="s">
        <v>773</v>
      </c>
      <c r="K8640" s="381">
        <v>0.0</v>
      </c>
      <c r="L8640" s="382">
        <v>1.0</v>
      </c>
    </row>
    <row r="8641">
      <c r="A8641" s="380" t="s">
        <v>9515</v>
      </c>
      <c r="B8641" s="380" t="str">
        <f>IFERROR(__xludf.DUMMYFUNCTION("""COMPUTED_VALUE"""),"Sensor Nox Mack Anthem 22303391")</f>
        <v>Sensor Nox Mack Anthem 22303391</v>
      </c>
      <c r="C8641" s="380" t="str">
        <f>IFERROR(__xludf.DUMMYFUNCTION("""COMPUTED_VALUE"""),"70004061")</f>
        <v>70004061</v>
      </c>
      <c r="D8641" s="380" t="s">
        <v>767</v>
      </c>
      <c r="E8641" s="380" t="s">
        <v>786</v>
      </c>
      <c r="F8641" s="380" t="s">
        <v>998</v>
      </c>
      <c r="G8641" s="380" t="s">
        <v>1267</v>
      </c>
      <c r="H8641" s="380" t="s">
        <v>771</v>
      </c>
      <c r="I8641" s="380" t="s">
        <v>788</v>
      </c>
      <c r="J8641" s="380" t="s">
        <v>773</v>
      </c>
      <c r="K8641" s="381">
        <v>0.0</v>
      </c>
      <c r="L8641" s="382">
        <v>1.0</v>
      </c>
    </row>
    <row r="8642">
      <c r="A8642" s="380" t="s">
        <v>9516</v>
      </c>
      <c r="B8642" s="380" t="str">
        <f>IFERROR(__xludf.DUMMYFUNCTION("""COMPUTED_VALUE"""),"Filtro Urea Mack Anthem 23381558")</f>
        <v>Filtro Urea Mack Anthem 23381558</v>
      </c>
      <c r="C8642" s="380" t="str">
        <f>IFERROR(__xludf.DUMMYFUNCTION("""COMPUTED_VALUE"""),"70004062")</f>
        <v>70004062</v>
      </c>
      <c r="D8642" s="380" t="s">
        <v>767</v>
      </c>
      <c r="E8642" s="380" t="s">
        <v>786</v>
      </c>
      <c r="F8642" s="380" t="s">
        <v>5855</v>
      </c>
      <c r="G8642" s="380" t="s">
        <v>1267</v>
      </c>
      <c r="H8642" s="380" t="s">
        <v>771</v>
      </c>
      <c r="I8642" s="380" t="s">
        <v>788</v>
      </c>
      <c r="J8642" s="380" t="s">
        <v>773</v>
      </c>
      <c r="K8642" s="381">
        <v>349979.0</v>
      </c>
      <c r="L8642" s="382">
        <v>1.0</v>
      </c>
    </row>
    <row r="8643">
      <c r="A8643" s="380" t="s">
        <v>9517</v>
      </c>
      <c r="B8643" s="380" t="str">
        <f>IFERROR(__xludf.DUMMYFUNCTION("""COMPUTED_VALUE"""),"SENS Presion Y TEMP A/C INT Lt 4051001c1")</f>
        <v>SENS Presion Y TEMP A/C INT Lt 4051001c1</v>
      </c>
      <c r="C8643" s="380" t="str">
        <f>IFERROR(__xludf.DUMMYFUNCTION("""COMPUTED_VALUE"""),"70004063")</f>
        <v>70004063</v>
      </c>
      <c r="D8643" s="380" t="s">
        <v>767</v>
      </c>
      <c r="E8643" s="380" t="s">
        <v>786</v>
      </c>
      <c r="F8643" s="380" t="s">
        <v>998</v>
      </c>
      <c r="G8643" s="380" t="s">
        <v>1267</v>
      </c>
      <c r="H8643" s="380" t="s">
        <v>771</v>
      </c>
      <c r="I8643" s="380" t="s">
        <v>788</v>
      </c>
      <c r="J8643" s="380" t="s">
        <v>773</v>
      </c>
      <c r="K8643" s="381">
        <v>667588.0</v>
      </c>
      <c r="L8643" s="382">
        <v>1.0</v>
      </c>
    </row>
    <row r="8644">
      <c r="A8644" s="380" t="s">
        <v>9518</v>
      </c>
      <c r="B8644" s="380" t="str">
        <f>IFERROR(__xludf.DUMMYFUNCTION("""COMPUTED_VALUE"""),"Cremallera Elevavidrio Izq FT 7701023683")</f>
        <v>Cremallera Elevavidrio Izq FT 7701023683</v>
      </c>
      <c r="C8644" s="380" t="str">
        <f>IFERROR(__xludf.DUMMYFUNCTION("""COMPUTED_VALUE"""),"70004064")</f>
        <v>70004064</v>
      </c>
      <c r="D8644" s="380" t="s">
        <v>767</v>
      </c>
      <c r="E8644" s="380" t="s">
        <v>786</v>
      </c>
      <c r="F8644" s="380" t="s">
        <v>792</v>
      </c>
      <c r="G8644" s="380" t="s">
        <v>1267</v>
      </c>
      <c r="H8644" s="380" t="s">
        <v>771</v>
      </c>
      <c r="I8644" s="380" t="s">
        <v>788</v>
      </c>
      <c r="J8644" s="380" t="s">
        <v>773</v>
      </c>
      <c r="K8644" s="381">
        <v>0.0</v>
      </c>
      <c r="L8644" s="382">
        <v>1.0</v>
      </c>
    </row>
    <row r="8645">
      <c r="A8645" s="380" t="s">
        <v>9519</v>
      </c>
      <c r="B8645" s="380" t="str">
        <f>IFERROR(__xludf.DUMMYFUNCTION("""COMPUTED_VALUE"""),"Filtro Cabina A/C Mack Anthem 85151124")</f>
        <v>Filtro Cabina A/C Mack Anthem 85151124</v>
      </c>
      <c r="C8645" s="380" t="str">
        <f>IFERROR(__xludf.DUMMYFUNCTION("""COMPUTED_VALUE"""),"70004065")</f>
        <v>70004065</v>
      </c>
      <c r="D8645" s="380" t="s">
        <v>767</v>
      </c>
      <c r="E8645" s="380" t="s">
        <v>786</v>
      </c>
      <c r="F8645" s="380" t="s">
        <v>5855</v>
      </c>
      <c r="G8645" s="380" t="s">
        <v>1267</v>
      </c>
      <c r="H8645" s="380" t="s">
        <v>771</v>
      </c>
      <c r="I8645" s="380" t="s">
        <v>788</v>
      </c>
      <c r="J8645" s="380" t="s">
        <v>773</v>
      </c>
      <c r="K8645" s="381">
        <v>0.0</v>
      </c>
      <c r="L8645" s="382">
        <v>1.0</v>
      </c>
    </row>
    <row r="8646">
      <c r="A8646" s="380" t="s">
        <v>9520</v>
      </c>
      <c r="B8646" s="380" t="str">
        <f>IFERROR(__xludf.DUMMYFUNCTION("""COMPUTED_VALUE"""),"Bisagra Capot Izq KW T800 Mod 2 M137293l")</f>
        <v>Bisagra Capot Izq KW T800 Mod 2 M137293l</v>
      </c>
      <c r="C8646" s="380" t="str">
        <f>IFERROR(__xludf.DUMMYFUNCTION("""COMPUTED_VALUE"""),"70004066")</f>
        <v>70004066</v>
      </c>
      <c r="D8646" s="380" t="s">
        <v>767</v>
      </c>
      <c r="E8646" s="380" t="s">
        <v>786</v>
      </c>
      <c r="F8646" s="380" t="s">
        <v>792</v>
      </c>
      <c r="G8646" s="380" t="s">
        <v>1267</v>
      </c>
      <c r="H8646" s="380" t="s">
        <v>771</v>
      </c>
      <c r="I8646" s="380" t="s">
        <v>788</v>
      </c>
      <c r="J8646" s="380" t="s">
        <v>773</v>
      </c>
      <c r="K8646" s="381">
        <v>0.0</v>
      </c>
      <c r="L8646" s="382">
        <v>1.0</v>
      </c>
    </row>
    <row r="8647">
      <c r="A8647" s="380" t="s">
        <v>9521</v>
      </c>
      <c r="B8647" s="380" t="str">
        <f>IFERROR(__xludf.DUMMYFUNCTION("""COMPUTED_VALUE"""),"Pasador Del Del MUE De Hoja T 29110033ld")</f>
        <v>Pasador Del Del MUE De Hoja T 29110033ld</v>
      </c>
      <c r="C8647" s="380" t="str">
        <f>IFERROR(__xludf.DUMMYFUNCTION("""COMPUTED_VALUE"""),"70004067")</f>
        <v>70004067</v>
      </c>
      <c r="D8647" s="380" t="s">
        <v>767</v>
      </c>
      <c r="E8647" s="380" t="s">
        <v>786</v>
      </c>
      <c r="F8647" s="380" t="s">
        <v>1039</v>
      </c>
      <c r="G8647" s="380" t="s">
        <v>1267</v>
      </c>
      <c r="H8647" s="380" t="s">
        <v>771</v>
      </c>
      <c r="I8647" s="380" t="s">
        <v>788</v>
      </c>
      <c r="J8647" s="380" t="s">
        <v>773</v>
      </c>
      <c r="K8647" s="381">
        <v>0.0</v>
      </c>
      <c r="L8647" s="382">
        <v>1.0</v>
      </c>
    </row>
    <row r="8648">
      <c r="A8648" s="380" t="s">
        <v>9522</v>
      </c>
      <c r="B8648" s="380" t="str">
        <f>IFERROR(__xludf.DUMMYFUNCTION("""COMPUTED_VALUE"""),"Valvula Admision Jac Euro V 1003014fe3")</f>
        <v>Valvula Admision Jac Euro V 1003014fe3</v>
      </c>
      <c r="C8648" s="380" t="str">
        <f>IFERROR(__xludf.DUMMYFUNCTION("""COMPUTED_VALUE"""),"70004068")</f>
        <v>70004068</v>
      </c>
      <c r="D8648" s="380" t="s">
        <v>767</v>
      </c>
      <c r="E8648" s="380" t="s">
        <v>786</v>
      </c>
      <c r="F8648" s="380" t="s">
        <v>787</v>
      </c>
      <c r="G8648" s="380" t="s">
        <v>1267</v>
      </c>
      <c r="H8648" s="380" t="s">
        <v>771</v>
      </c>
      <c r="I8648" s="380" t="s">
        <v>788</v>
      </c>
      <c r="J8648" s="380" t="s">
        <v>773</v>
      </c>
      <c r="K8648" s="381">
        <v>0.0</v>
      </c>
      <c r="L8648" s="382">
        <v>1.0</v>
      </c>
    </row>
    <row r="8649">
      <c r="A8649" s="380" t="s">
        <v>9523</v>
      </c>
      <c r="B8649" s="380" t="str">
        <f>IFERROR(__xludf.DUMMYFUNCTION("""COMPUTED_VALUE"""),"RET Tras Cigüeñal Jac Euro V 1002060fe0")</f>
        <v>RET Tras Cigüeñal Jac Euro V 1002060fe0</v>
      </c>
      <c r="C8649" s="380" t="str">
        <f>IFERROR(__xludf.DUMMYFUNCTION("""COMPUTED_VALUE"""),"70004069")</f>
        <v>70004069</v>
      </c>
      <c r="D8649" s="380" t="s">
        <v>767</v>
      </c>
      <c r="E8649" s="380" t="s">
        <v>786</v>
      </c>
      <c r="F8649" s="380" t="s">
        <v>787</v>
      </c>
      <c r="G8649" s="380" t="s">
        <v>1267</v>
      </c>
      <c r="H8649" s="380" t="s">
        <v>771</v>
      </c>
      <c r="I8649" s="380" t="s">
        <v>788</v>
      </c>
      <c r="J8649" s="380" t="s">
        <v>773</v>
      </c>
      <c r="K8649" s="381">
        <v>0.0</v>
      </c>
      <c r="L8649" s="382">
        <v>1.0</v>
      </c>
    </row>
    <row r="8650">
      <c r="A8650" s="380" t="s">
        <v>9524</v>
      </c>
      <c r="B8650" s="380" t="str">
        <f>IFERROR(__xludf.DUMMYFUNCTION("""COMPUTED_VALUE"""),"Cartera Puerta Izq Inter Lt 3765604c93")</f>
        <v>Cartera Puerta Izq Inter Lt 3765604c93</v>
      </c>
      <c r="C8650" s="380" t="str">
        <f>IFERROR(__xludf.DUMMYFUNCTION("""COMPUTED_VALUE"""),"70004070")</f>
        <v>70004070</v>
      </c>
      <c r="D8650" s="380" t="s">
        <v>767</v>
      </c>
      <c r="E8650" s="380" t="s">
        <v>786</v>
      </c>
      <c r="F8650" s="380" t="s">
        <v>792</v>
      </c>
      <c r="G8650" s="380" t="s">
        <v>1267</v>
      </c>
      <c r="H8650" s="380" t="s">
        <v>771</v>
      </c>
      <c r="I8650" s="380" t="s">
        <v>788</v>
      </c>
      <c r="J8650" s="380" t="s">
        <v>773</v>
      </c>
      <c r="K8650" s="381">
        <v>2320500.0</v>
      </c>
      <c r="L8650" s="382">
        <v>1.0</v>
      </c>
    </row>
    <row r="8651">
      <c r="A8651" s="380" t="s">
        <v>9525</v>
      </c>
      <c r="B8651" s="380" t="str">
        <f>IFERROR(__xludf.DUMMYFUNCTION("""COMPUTED_VALUE"""),"Tapa Revisor Inf Izq Inter Lt 4196872c91")</f>
        <v>Tapa Revisor Inf Izq Inter Lt 4196872c91</v>
      </c>
      <c r="C8651" s="380" t="str">
        <f>IFERROR(__xludf.DUMMYFUNCTION("""COMPUTED_VALUE"""),"70004071")</f>
        <v>70004071</v>
      </c>
      <c r="D8651" s="380" t="s">
        <v>767</v>
      </c>
      <c r="E8651" s="380" t="s">
        <v>786</v>
      </c>
      <c r="F8651" s="380" t="s">
        <v>792</v>
      </c>
      <c r="G8651" s="380" t="s">
        <v>1267</v>
      </c>
      <c r="H8651" s="380" t="s">
        <v>771</v>
      </c>
      <c r="I8651" s="380" t="s">
        <v>788</v>
      </c>
      <c r="J8651" s="380" t="s">
        <v>773</v>
      </c>
      <c r="K8651" s="381">
        <v>0.0</v>
      </c>
      <c r="L8651" s="382">
        <v>1.0</v>
      </c>
    </row>
    <row r="8652">
      <c r="A8652" s="380" t="s">
        <v>9526</v>
      </c>
      <c r="B8652" s="380" t="str">
        <f>IFERROR(__xludf.DUMMYFUNCTION("""COMPUTED_VALUE"""),"Acople Flexible Bba INY CUMM 30462000")</f>
        <v>Acople Flexible Bba INY CUMM 30462000</v>
      </c>
      <c r="C8652" s="380" t="str">
        <f>IFERROR(__xludf.DUMMYFUNCTION("""COMPUTED_VALUE"""),"70004072")</f>
        <v>70004072</v>
      </c>
      <c r="D8652" s="380" t="s">
        <v>767</v>
      </c>
      <c r="E8652" s="380" t="s">
        <v>786</v>
      </c>
      <c r="F8652" s="380" t="s">
        <v>787</v>
      </c>
      <c r="G8652" s="380" t="s">
        <v>1267</v>
      </c>
      <c r="H8652" s="380" t="s">
        <v>771</v>
      </c>
      <c r="I8652" s="380" t="s">
        <v>788</v>
      </c>
      <c r="J8652" s="380" t="s">
        <v>773</v>
      </c>
      <c r="K8652" s="381">
        <v>0.0</v>
      </c>
      <c r="L8652" s="382">
        <v>1.0</v>
      </c>
    </row>
    <row r="8653">
      <c r="A8653" s="380" t="s">
        <v>9527</v>
      </c>
      <c r="B8653" s="380" t="str">
        <f>IFERROR(__xludf.DUMMYFUNCTION("""COMPUTED_VALUE"""),"Valvula Escape Jac Euro V 1003015fe0")</f>
        <v>Valvula Escape Jac Euro V 1003015fe0</v>
      </c>
      <c r="C8653" s="380" t="str">
        <f>IFERROR(__xludf.DUMMYFUNCTION("""COMPUTED_VALUE"""),"70004073")</f>
        <v>70004073</v>
      </c>
      <c r="D8653" s="380" t="s">
        <v>767</v>
      </c>
      <c r="E8653" s="380" t="s">
        <v>786</v>
      </c>
      <c r="F8653" s="380" t="s">
        <v>787</v>
      </c>
      <c r="G8653" s="380" t="s">
        <v>1267</v>
      </c>
      <c r="H8653" s="380" t="s">
        <v>771</v>
      </c>
      <c r="I8653" s="380" t="s">
        <v>788</v>
      </c>
      <c r="J8653" s="380" t="s">
        <v>773</v>
      </c>
      <c r="K8653" s="381">
        <v>0.0</v>
      </c>
      <c r="L8653" s="382">
        <v>1.0</v>
      </c>
    </row>
    <row r="8654">
      <c r="A8654" s="380" t="s">
        <v>9528</v>
      </c>
      <c r="B8654" s="380" t="str">
        <f>IFERROR(__xludf.DUMMYFUNCTION("""COMPUTED_VALUE"""),"Empaque Culata Jac Euro V 1002050fe0")</f>
        <v>Empaque Culata Jac Euro V 1002050fe0</v>
      </c>
      <c r="C8654" s="380" t="str">
        <f>IFERROR(__xludf.DUMMYFUNCTION("""COMPUTED_VALUE"""),"70004074")</f>
        <v>70004074</v>
      </c>
      <c r="D8654" s="380" t="s">
        <v>767</v>
      </c>
      <c r="E8654" s="380" t="s">
        <v>786</v>
      </c>
      <c r="F8654" s="380" t="s">
        <v>787</v>
      </c>
      <c r="G8654" s="380" t="s">
        <v>1267</v>
      </c>
      <c r="H8654" s="380" t="s">
        <v>771</v>
      </c>
      <c r="I8654" s="380" t="s">
        <v>788</v>
      </c>
      <c r="J8654" s="380" t="s">
        <v>773</v>
      </c>
      <c r="K8654" s="381">
        <v>0.0</v>
      </c>
      <c r="L8654" s="382">
        <v>1.0</v>
      </c>
    </row>
    <row r="8655">
      <c r="A8655" s="380" t="s">
        <v>9529</v>
      </c>
      <c r="B8655" s="380" t="str">
        <f>IFERROR(__xludf.DUMMYFUNCTION("""COMPUTED_VALUE"""),"Buje De MUE De Hoja Tras Jac 2912040ld0")</f>
        <v>Buje De MUE De Hoja Tras Jac 2912040ld0</v>
      </c>
      <c r="C8655" s="380" t="str">
        <f>IFERROR(__xludf.DUMMYFUNCTION("""COMPUTED_VALUE"""),"70004075")</f>
        <v>70004075</v>
      </c>
      <c r="D8655" s="380" t="s">
        <v>767</v>
      </c>
      <c r="E8655" s="380" t="s">
        <v>786</v>
      </c>
      <c r="F8655" s="380" t="s">
        <v>1039</v>
      </c>
      <c r="G8655" s="380" t="s">
        <v>1267</v>
      </c>
      <c r="H8655" s="380" t="s">
        <v>771</v>
      </c>
      <c r="I8655" s="380" t="s">
        <v>788</v>
      </c>
      <c r="J8655" s="380" t="s">
        <v>773</v>
      </c>
      <c r="K8655" s="381">
        <v>0.0</v>
      </c>
      <c r="L8655" s="382">
        <v>1.0</v>
      </c>
    </row>
    <row r="8656">
      <c r="A8656" s="380" t="s">
        <v>9530</v>
      </c>
      <c r="B8656" s="380" t="str">
        <f>IFERROR(__xludf.DUMMYFUNCTION("""COMPUTED_VALUE"""),"Brazo DIR En U Lh Fot 7705946305853")</f>
        <v>Brazo DIR En U Lh Fot 7705946305853</v>
      </c>
      <c r="C8656" s="380" t="str">
        <f>IFERROR(__xludf.DUMMYFUNCTION("""COMPUTED_VALUE"""),"70004076")</f>
        <v>70004076</v>
      </c>
      <c r="D8656" s="380" t="s">
        <v>767</v>
      </c>
      <c r="E8656" s="380" t="s">
        <v>786</v>
      </c>
      <c r="F8656" s="380" t="s">
        <v>1020</v>
      </c>
      <c r="G8656" s="380" t="s">
        <v>1267</v>
      </c>
      <c r="H8656" s="380" t="s">
        <v>771</v>
      </c>
      <c r="I8656" s="380" t="s">
        <v>788</v>
      </c>
      <c r="J8656" s="380" t="s">
        <v>773</v>
      </c>
      <c r="K8656" s="381">
        <v>0.0</v>
      </c>
      <c r="L8656" s="382">
        <v>1.0</v>
      </c>
    </row>
    <row r="8657">
      <c r="A8657" s="380" t="s">
        <v>9531</v>
      </c>
      <c r="B8657" s="380" t="str">
        <f>IFERROR(__xludf.DUMMYFUNCTION("""COMPUTED_VALUE"""),"Panel Consola Sup Techo CAB Lt 6715847c1")</f>
        <v>Panel Consola Sup Techo CAB Lt 6715847c1</v>
      </c>
      <c r="C8657" s="380" t="str">
        <f>IFERROR(__xludf.DUMMYFUNCTION("""COMPUTED_VALUE"""),"70004077")</f>
        <v>70004077</v>
      </c>
      <c r="D8657" s="380" t="s">
        <v>767</v>
      </c>
      <c r="E8657" s="380" t="s">
        <v>786</v>
      </c>
      <c r="F8657" s="380" t="s">
        <v>792</v>
      </c>
      <c r="G8657" s="380" t="s">
        <v>1267</v>
      </c>
      <c r="H8657" s="380" t="s">
        <v>771</v>
      </c>
      <c r="I8657" s="380" t="s">
        <v>788</v>
      </c>
      <c r="J8657" s="380" t="s">
        <v>773</v>
      </c>
      <c r="K8657" s="381">
        <v>0.0</v>
      </c>
      <c r="L8657" s="382">
        <v>1.0</v>
      </c>
    </row>
    <row r="8658">
      <c r="A8658" s="380" t="s">
        <v>9532</v>
      </c>
      <c r="B8658" s="380" t="str">
        <f>IFERROR(__xludf.DUMMYFUNCTION("""COMPUTED_VALUE"""),"Booster Clutch Jac 1120 1607300g1g")</f>
        <v>Booster Clutch Jac 1120 1607300g1g</v>
      </c>
      <c r="C8658" s="380" t="str">
        <f>IFERROR(__xludf.DUMMYFUNCTION("""COMPUTED_VALUE"""),"70004078")</f>
        <v>70004078</v>
      </c>
      <c r="D8658" s="380" t="s">
        <v>767</v>
      </c>
      <c r="E8658" s="380" t="s">
        <v>786</v>
      </c>
      <c r="F8658" s="380" t="s">
        <v>5661</v>
      </c>
      <c r="G8658" s="380" t="s">
        <v>1267</v>
      </c>
      <c r="H8658" s="380" t="s">
        <v>771</v>
      </c>
      <c r="I8658" s="380" t="s">
        <v>788</v>
      </c>
      <c r="J8658" s="380" t="s">
        <v>773</v>
      </c>
      <c r="K8658" s="381">
        <v>0.0</v>
      </c>
      <c r="L8658" s="382">
        <v>1.0</v>
      </c>
    </row>
    <row r="8659">
      <c r="A8659" s="380" t="s">
        <v>9533</v>
      </c>
      <c r="B8659" s="380" t="str">
        <f>IFERROR(__xludf.DUMMYFUNCTION("""COMPUTED_VALUE"""),"Tapa DEP Liquido Frenos HN 50 44305ev020")</f>
        <v>Tapa DEP Liquido Frenos HN 50 44305ev020</v>
      </c>
      <c r="C8659" s="380" t="str">
        <f>IFERROR(__xludf.DUMMYFUNCTION("""COMPUTED_VALUE"""),"70004079")</f>
        <v>70004079</v>
      </c>
      <c r="D8659" s="380" t="s">
        <v>767</v>
      </c>
      <c r="E8659" s="380" t="s">
        <v>786</v>
      </c>
      <c r="F8659" s="380" t="s">
        <v>1017</v>
      </c>
      <c r="G8659" s="380" t="s">
        <v>1267</v>
      </c>
      <c r="H8659" s="380" t="s">
        <v>771</v>
      </c>
      <c r="I8659" s="380" t="s">
        <v>788</v>
      </c>
      <c r="J8659" s="380" t="s">
        <v>773</v>
      </c>
      <c r="K8659" s="381">
        <v>0.0</v>
      </c>
      <c r="L8659" s="382">
        <v>1.0</v>
      </c>
    </row>
    <row r="8660">
      <c r="A8660" s="380" t="s">
        <v>9534</v>
      </c>
      <c r="B8660" s="380" t="str">
        <f>IFERROR(__xludf.DUMMYFUNCTION("""COMPUTED_VALUE"""),"Cilindro Freno Tras Izq 53402-50f0")</f>
        <v>Cilindro Freno Tras Izq 53402-50f0</v>
      </c>
      <c r="C8660" s="380" t="str">
        <f>IFERROR(__xludf.DUMMYFUNCTION("""COMPUTED_VALUE"""),"70004080")</f>
        <v>70004080</v>
      </c>
      <c r="D8660" s="380" t="s">
        <v>767</v>
      </c>
      <c r="E8660" s="380" t="s">
        <v>786</v>
      </c>
      <c r="F8660" s="380" t="s">
        <v>1017</v>
      </c>
      <c r="G8660" s="380" t="s">
        <v>1267</v>
      </c>
      <c r="H8660" s="380" t="s">
        <v>771</v>
      </c>
      <c r="I8660" s="380" t="s">
        <v>788</v>
      </c>
      <c r="J8660" s="380" t="s">
        <v>773</v>
      </c>
      <c r="K8660" s="381">
        <v>0.0</v>
      </c>
      <c r="L8660" s="382">
        <v>1.0</v>
      </c>
    </row>
    <row r="8661">
      <c r="A8661" s="380" t="s">
        <v>9535</v>
      </c>
      <c r="B8661" s="380" t="str">
        <f>IFERROR(__xludf.DUMMYFUNCTION("""COMPUTED_VALUE"""),"Extension Tras Der CAB Kw T800 K0312251")</f>
        <v>Extension Tras Der CAB Kw T800 K0312251</v>
      </c>
      <c r="C8661" s="380" t="str">
        <f>IFERROR(__xludf.DUMMYFUNCTION("""COMPUTED_VALUE"""),"70004081")</f>
        <v>70004081</v>
      </c>
      <c r="D8661" s="380" t="s">
        <v>767</v>
      </c>
      <c r="E8661" s="380" t="s">
        <v>786</v>
      </c>
      <c r="F8661" s="380" t="s">
        <v>792</v>
      </c>
      <c r="G8661" s="380" t="s">
        <v>1267</v>
      </c>
      <c r="H8661" s="380" t="s">
        <v>771</v>
      </c>
      <c r="I8661" s="380" t="s">
        <v>788</v>
      </c>
      <c r="J8661" s="380" t="s">
        <v>773</v>
      </c>
      <c r="K8661" s="381">
        <v>0.0</v>
      </c>
      <c r="L8661" s="382">
        <v>1.0</v>
      </c>
    </row>
    <row r="8662">
      <c r="A8662" s="380" t="s">
        <v>9536</v>
      </c>
      <c r="B8662" s="380" t="str">
        <f>IFERROR(__xludf.DUMMYFUNCTION("""COMPUTED_VALUE"""),"Bocel Sup Farola Der FT 1039 7701023699")</f>
        <v>Bocel Sup Farola Der FT 1039 7701023699</v>
      </c>
      <c r="C8662" s="380" t="str">
        <f>IFERROR(__xludf.DUMMYFUNCTION("""COMPUTED_VALUE"""),"70004082")</f>
        <v>70004082</v>
      </c>
      <c r="D8662" s="380" t="s">
        <v>767</v>
      </c>
      <c r="E8662" s="380" t="s">
        <v>786</v>
      </c>
      <c r="F8662" s="380" t="s">
        <v>792</v>
      </c>
      <c r="G8662" s="380" t="s">
        <v>1267</v>
      </c>
      <c r="H8662" s="380" t="s">
        <v>771</v>
      </c>
      <c r="I8662" s="380" t="s">
        <v>788</v>
      </c>
      <c r="J8662" s="380" t="s">
        <v>773</v>
      </c>
      <c r="K8662" s="381">
        <v>0.0</v>
      </c>
      <c r="L8662" s="382">
        <v>1.0</v>
      </c>
    </row>
    <row r="8663">
      <c r="A8663" s="380" t="s">
        <v>9537</v>
      </c>
      <c r="B8663" s="380" t="str">
        <f>IFERROR(__xludf.DUMMYFUNCTION("""COMPUTED_VALUE"""),"Reloj Medidor Voltaje Eagle 2023357c1")</f>
        <v>Reloj Medidor Voltaje Eagle 2023357c1</v>
      </c>
      <c r="C8663" s="380" t="str">
        <f>IFERROR(__xludf.DUMMYFUNCTION("""COMPUTED_VALUE"""),"70004083")</f>
        <v>70004083</v>
      </c>
      <c r="D8663" s="380" t="s">
        <v>767</v>
      </c>
      <c r="E8663" s="380" t="s">
        <v>786</v>
      </c>
      <c r="F8663" s="380" t="s">
        <v>998</v>
      </c>
      <c r="G8663" s="380" t="s">
        <v>1267</v>
      </c>
      <c r="H8663" s="380" t="s">
        <v>771</v>
      </c>
      <c r="I8663" s="380" t="s">
        <v>788</v>
      </c>
      <c r="J8663" s="380" t="s">
        <v>773</v>
      </c>
      <c r="K8663" s="381">
        <v>0.0</v>
      </c>
      <c r="L8663" s="382">
        <v>1.0</v>
      </c>
    </row>
    <row r="8664">
      <c r="A8664" s="380" t="s">
        <v>9538</v>
      </c>
      <c r="B8664" s="380" t="str">
        <f>IFERROR(__xludf.DUMMYFUNCTION("""COMPUTED_VALUE"""),"Reloj TEMP Aceite MOT EGL 2023361c2")</f>
        <v>Reloj TEMP Aceite MOT EGL 2023361c2</v>
      </c>
      <c r="C8664" s="380" t="str">
        <f>IFERROR(__xludf.DUMMYFUNCTION("""COMPUTED_VALUE"""),"70004084")</f>
        <v>70004084</v>
      </c>
      <c r="D8664" s="380" t="s">
        <v>767</v>
      </c>
      <c r="E8664" s="380" t="s">
        <v>786</v>
      </c>
      <c r="F8664" s="380" t="s">
        <v>998</v>
      </c>
      <c r="G8664" s="380" t="s">
        <v>1267</v>
      </c>
      <c r="H8664" s="380" t="s">
        <v>771</v>
      </c>
      <c r="I8664" s="380" t="s">
        <v>788</v>
      </c>
      <c r="J8664" s="380" t="s">
        <v>773</v>
      </c>
      <c r="K8664" s="381">
        <v>0.0</v>
      </c>
      <c r="L8664" s="382">
        <v>1.0</v>
      </c>
    </row>
    <row r="8665">
      <c r="A8665" s="380" t="s">
        <v>9539</v>
      </c>
      <c r="B8665" s="380" t="str">
        <f>IFERROR(__xludf.DUMMYFUNCTION("""COMPUTED_VALUE"""),"Tornillo Pasador Inf Amortigu 7701023085")</f>
        <v>Tornillo Pasador Inf Amortigu 7701023085</v>
      </c>
      <c r="C8665" s="380" t="str">
        <f>IFERROR(__xludf.DUMMYFUNCTION("""COMPUTED_VALUE"""),"70004085")</f>
        <v>70004085</v>
      </c>
      <c r="D8665" s="380" t="s">
        <v>767</v>
      </c>
      <c r="E8665" s="380" t="s">
        <v>786</v>
      </c>
      <c r="F8665" s="380" t="s">
        <v>1039</v>
      </c>
      <c r="G8665" s="380" t="s">
        <v>1267</v>
      </c>
      <c r="H8665" s="380" t="s">
        <v>771</v>
      </c>
      <c r="I8665" s="380" t="s">
        <v>788</v>
      </c>
      <c r="J8665" s="380" t="s">
        <v>773</v>
      </c>
      <c r="K8665" s="381">
        <v>0.0</v>
      </c>
      <c r="L8665" s="382">
        <v>1.0</v>
      </c>
    </row>
    <row r="8666">
      <c r="A8666" s="380" t="s">
        <v>9540</v>
      </c>
      <c r="B8666" s="380" t="str">
        <f>IFERROR(__xludf.DUMMYFUNCTION("""COMPUTED_VALUE"""),"TANQ De COMB FT 1039 7701023083")</f>
        <v>TANQ De COMB FT 1039 7701023083</v>
      </c>
      <c r="C8666" s="380" t="str">
        <f>IFERROR(__xludf.DUMMYFUNCTION("""COMPUTED_VALUE"""),"70004086")</f>
        <v>70004086</v>
      </c>
      <c r="D8666" s="380" t="s">
        <v>767</v>
      </c>
      <c r="E8666" s="380" t="s">
        <v>786</v>
      </c>
      <c r="F8666" s="380" t="s">
        <v>792</v>
      </c>
      <c r="G8666" s="380" t="s">
        <v>1267</v>
      </c>
      <c r="H8666" s="380" t="s">
        <v>771</v>
      </c>
      <c r="I8666" s="380" t="s">
        <v>788</v>
      </c>
      <c r="J8666" s="380" t="s">
        <v>773</v>
      </c>
      <c r="K8666" s="381">
        <v>0.0</v>
      </c>
      <c r="L8666" s="382">
        <v>1.0</v>
      </c>
    </row>
    <row r="8667">
      <c r="A8667" s="380" t="s">
        <v>9541</v>
      </c>
      <c r="B8667" s="380" t="str">
        <f>IFERROR(__xludf.DUMMYFUNCTION("""COMPUTED_VALUE"""),"Manija INTna PTA Der FT 1039 7705946362")</f>
        <v>Manija INTna PTA Der FT 1039 7705946362</v>
      </c>
      <c r="C8667" s="380" t="str">
        <f>IFERROR(__xludf.DUMMYFUNCTION("""COMPUTED_VALUE"""),"70004087")</f>
        <v>70004087</v>
      </c>
      <c r="D8667" s="380" t="s">
        <v>767</v>
      </c>
      <c r="E8667" s="380" t="s">
        <v>786</v>
      </c>
      <c r="F8667" s="380" t="s">
        <v>792</v>
      </c>
      <c r="G8667" s="380" t="s">
        <v>1267</v>
      </c>
      <c r="H8667" s="380" t="s">
        <v>771</v>
      </c>
      <c r="I8667" s="380" t="s">
        <v>788</v>
      </c>
      <c r="J8667" s="380" t="s">
        <v>773</v>
      </c>
      <c r="K8667" s="381">
        <v>0.0</v>
      </c>
      <c r="L8667" s="382">
        <v>1.0</v>
      </c>
    </row>
    <row r="8668">
      <c r="A8668" s="380" t="s">
        <v>9542</v>
      </c>
      <c r="B8668" s="380" t="str">
        <f>IFERROR(__xludf.DUMMYFUNCTION("""COMPUTED_VALUE"""),"Volante Motor Foton 1039 1023521239")</f>
        <v>Volante Motor Foton 1039 1023521239</v>
      </c>
      <c r="C8668" s="380" t="str">
        <f>IFERROR(__xludf.DUMMYFUNCTION("""COMPUTED_VALUE"""),"70004088")</f>
        <v>70004088</v>
      </c>
      <c r="D8668" s="380" t="s">
        <v>767</v>
      </c>
      <c r="E8668" s="380" t="s">
        <v>786</v>
      </c>
      <c r="F8668" s="380" t="s">
        <v>787</v>
      </c>
      <c r="G8668" s="380" t="s">
        <v>1267</v>
      </c>
      <c r="H8668" s="380" t="s">
        <v>771</v>
      </c>
      <c r="I8668" s="380" t="s">
        <v>788</v>
      </c>
      <c r="J8668" s="380" t="s">
        <v>773</v>
      </c>
      <c r="K8668" s="381">
        <v>0.0</v>
      </c>
      <c r="L8668" s="382">
        <v>1.0</v>
      </c>
    </row>
    <row r="8669">
      <c r="A8669" s="380" t="s">
        <v>9543</v>
      </c>
      <c r="B8669" s="380" t="str">
        <f>IFERROR(__xludf.DUMMYFUNCTION("""COMPUTED_VALUE"""),"Carcasa Retrovisor Daf Cf480 1644325")</f>
        <v>Carcasa Retrovisor Daf Cf480 1644325</v>
      </c>
      <c r="C8669" s="380" t="str">
        <f>IFERROR(__xludf.DUMMYFUNCTION("""COMPUTED_VALUE"""),"70004089")</f>
        <v>70004089</v>
      </c>
      <c r="D8669" s="380" t="s">
        <v>767</v>
      </c>
      <c r="E8669" s="380" t="s">
        <v>786</v>
      </c>
      <c r="F8669" s="380" t="s">
        <v>792</v>
      </c>
      <c r="G8669" s="380" t="s">
        <v>1267</v>
      </c>
      <c r="H8669" s="380" t="s">
        <v>771</v>
      </c>
      <c r="I8669" s="380" t="s">
        <v>788</v>
      </c>
      <c r="J8669" s="380" t="s">
        <v>773</v>
      </c>
      <c r="K8669" s="381">
        <v>0.0</v>
      </c>
      <c r="L8669" s="382">
        <v>1.0</v>
      </c>
    </row>
    <row r="8670">
      <c r="A8670" s="380" t="s">
        <v>9544</v>
      </c>
      <c r="B8670" s="380" t="str">
        <f>IFERROR(__xludf.DUMMYFUNCTION("""COMPUTED_VALUE"""),"Tapa Retrovisor Sup Izq INT L 4196871c91")</f>
        <v>Tapa Retrovisor Sup Izq INT L 4196871c91</v>
      </c>
      <c r="C8670" s="380" t="str">
        <f>IFERROR(__xludf.DUMMYFUNCTION("""COMPUTED_VALUE"""),"70004090")</f>
        <v>70004090</v>
      </c>
      <c r="D8670" s="380" t="s">
        <v>767</v>
      </c>
      <c r="E8670" s="380" t="s">
        <v>786</v>
      </c>
      <c r="F8670" s="380" t="s">
        <v>792</v>
      </c>
      <c r="G8670" s="380" t="s">
        <v>1267</v>
      </c>
      <c r="H8670" s="380" t="s">
        <v>771</v>
      </c>
      <c r="I8670" s="380" t="s">
        <v>788</v>
      </c>
      <c r="J8670" s="380" t="s">
        <v>773</v>
      </c>
      <c r="K8670" s="381">
        <v>36983.0</v>
      </c>
      <c r="L8670" s="382">
        <v>1.0</v>
      </c>
    </row>
    <row r="8671">
      <c r="A8671" s="380" t="s">
        <v>9545</v>
      </c>
      <c r="B8671" s="380" t="str">
        <f>IFERROR(__xludf.DUMMYFUNCTION("""COMPUTED_VALUE"""),"Puerta Izq Inter Lt 4172798w91")</f>
        <v>Puerta Izq Inter Lt 4172798w91</v>
      </c>
      <c r="C8671" s="380" t="str">
        <f>IFERROR(__xludf.DUMMYFUNCTION("""COMPUTED_VALUE"""),"70004091")</f>
        <v>70004091</v>
      </c>
      <c r="D8671" s="380" t="s">
        <v>767</v>
      </c>
      <c r="E8671" s="380" t="s">
        <v>786</v>
      </c>
      <c r="F8671" s="380" t="s">
        <v>792</v>
      </c>
      <c r="G8671" s="380" t="s">
        <v>1267</v>
      </c>
      <c r="H8671" s="380" t="s">
        <v>771</v>
      </c>
      <c r="I8671" s="380" t="s">
        <v>788</v>
      </c>
      <c r="J8671" s="380" t="s">
        <v>773</v>
      </c>
      <c r="K8671" s="381">
        <v>0.0</v>
      </c>
      <c r="L8671" s="382">
        <v>1.0</v>
      </c>
    </row>
    <row r="8672">
      <c r="A8672" s="380" t="s">
        <v>9546</v>
      </c>
      <c r="B8672" s="380" t="str">
        <f>IFERROR(__xludf.DUMMYFUNCTION("""COMPUTED_VALUE"""),"EMP Tapa Frontal Jac Euro V 1010013fe0")</f>
        <v>EMP Tapa Frontal Jac Euro V 1010013fe0</v>
      </c>
      <c r="C8672" s="380" t="str">
        <f>IFERROR(__xludf.DUMMYFUNCTION("""COMPUTED_VALUE"""),"70004092")</f>
        <v>70004092</v>
      </c>
      <c r="D8672" s="380" t="s">
        <v>767</v>
      </c>
      <c r="E8672" s="380" t="s">
        <v>786</v>
      </c>
      <c r="F8672" s="380" t="s">
        <v>787</v>
      </c>
      <c r="G8672" s="380" t="s">
        <v>1267</v>
      </c>
      <c r="H8672" s="380" t="s">
        <v>771</v>
      </c>
      <c r="I8672" s="380" t="s">
        <v>788</v>
      </c>
      <c r="J8672" s="380" t="s">
        <v>773</v>
      </c>
      <c r="K8672" s="381">
        <v>0.0</v>
      </c>
      <c r="L8672" s="382">
        <v>1.0</v>
      </c>
    </row>
    <row r="8673">
      <c r="A8673" s="380" t="s">
        <v>9547</v>
      </c>
      <c r="B8673" s="380" t="str">
        <f>IFERROR(__xludf.DUMMYFUNCTION("""COMPUTED_VALUE"""),"EMP Multiple De Admision Jac 1008102fe0")</f>
        <v>EMP Multiple De Admision Jac 1008102fe0</v>
      </c>
      <c r="C8673" s="380" t="str">
        <f>IFERROR(__xludf.DUMMYFUNCTION("""COMPUTED_VALUE"""),"70004093")</f>
        <v>70004093</v>
      </c>
      <c r="D8673" s="380" t="s">
        <v>767</v>
      </c>
      <c r="E8673" s="380" t="s">
        <v>786</v>
      </c>
      <c r="F8673" s="380" t="s">
        <v>787</v>
      </c>
      <c r="G8673" s="380" t="s">
        <v>1267</v>
      </c>
      <c r="H8673" s="380" t="s">
        <v>771</v>
      </c>
      <c r="I8673" s="380" t="s">
        <v>788</v>
      </c>
      <c r="J8673" s="380" t="s">
        <v>773</v>
      </c>
      <c r="K8673" s="381">
        <v>0.0</v>
      </c>
      <c r="L8673" s="382">
        <v>1.0</v>
      </c>
    </row>
    <row r="8674">
      <c r="A8674" s="380" t="s">
        <v>9548</v>
      </c>
      <c r="B8674" s="380" t="str">
        <f>IFERROR(__xludf.DUMMYFUNCTION("""COMPUTED_VALUE"""),"RET Del Cigueñal Jac Euro V 1002070fe0")</f>
        <v>RET Del Cigueñal Jac Euro V 1002070fe0</v>
      </c>
      <c r="C8674" s="380" t="str">
        <f>IFERROR(__xludf.DUMMYFUNCTION("""COMPUTED_VALUE"""),"70004094")</f>
        <v>70004094</v>
      </c>
      <c r="D8674" s="380" t="s">
        <v>767</v>
      </c>
      <c r="E8674" s="380" t="s">
        <v>786</v>
      </c>
      <c r="F8674" s="380" t="s">
        <v>787</v>
      </c>
      <c r="G8674" s="380" t="s">
        <v>1267</v>
      </c>
      <c r="H8674" s="380" t="s">
        <v>771</v>
      </c>
      <c r="I8674" s="380" t="s">
        <v>788</v>
      </c>
      <c r="J8674" s="380" t="s">
        <v>773</v>
      </c>
      <c r="K8674" s="381">
        <v>0.0</v>
      </c>
      <c r="L8674" s="382">
        <v>1.0</v>
      </c>
    </row>
    <row r="8675">
      <c r="A8675" s="380" t="s">
        <v>9549</v>
      </c>
      <c r="B8675" s="380" t="str">
        <f>IFERROR(__xludf.DUMMYFUNCTION("""COMPUTED_VALUE"""),"Buje De MUE De Hoja Del Jac 1 2902044ld0")</f>
        <v>Buje De MUE De Hoja Del Jac 1 2902044ld0</v>
      </c>
      <c r="C8675" s="380" t="str">
        <f>IFERROR(__xludf.DUMMYFUNCTION("""COMPUTED_VALUE"""),"70004095")</f>
        <v>70004095</v>
      </c>
      <c r="D8675" s="380" t="s">
        <v>767</v>
      </c>
      <c r="E8675" s="380" t="s">
        <v>786</v>
      </c>
      <c r="F8675" s="380" t="s">
        <v>1039</v>
      </c>
      <c r="G8675" s="380" t="s">
        <v>1267</v>
      </c>
      <c r="H8675" s="380" t="s">
        <v>771</v>
      </c>
      <c r="I8675" s="380" t="s">
        <v>788</v>
      </c>
      <c r="J8675" s="380" t="s">
        <v>773</v>
      </c>
      <c r="K8675" s="381">
        <v>0.0</v>
      </c>
      <c r="L8675" s="382">
        <v>1.0</v>
      </c>
    </row>
    <row r="8676">
      <c r="A8676" s="380" t="s">
        <v>9550</v>
      </c>
      <c r="B8676" s="380" t="str">
        <f>IFERROR(__xludf.DUMMYFUNCTION("""COMPUTED_VALUE"""),"Pasador Del Del MUE De Hoja D 2902040ld0")</f>
        <v>Pasador Del Del MUE De Hoja D 2902040ld0</v>
      </c>
      <c r="C8676" s="380" t="str">
        <f>IFERROR(__xludf.DUMMYFUNCTION("""COMPUTED_VALUE"""),"70004096")</f>
        <v>70004096</v>
      </c>
      <c r="D8676" s="380" t="s">
        <v>767</v>
      </c>
      <c r="E8676" s="380" t="s">
        <v>786</v>
      </c>
      <c r="F8676" s="380" t="s">
        <v>1039</v>
      </c>
      <c r="G8676" s="380" t="s">
        <v>1267</v>
      </c>
      <c r="H8676" s="380" t="s">
        <v>771</v>
      </c>
      <c r="I8676" s="380" t="s">
        <v>788</v>
      </c>
      <c r="J8676" s="380" t="s">
        <v>773</v>
      </c>
      <c r="K8676" s="381">
        <v>0.0</v>
      </c>
      <c r="L8676" s="382">
        <v>1.0</v>
      </c>
    </row>
    <row r="8677">
      <c r="A8677" s="380" t="s">
        <v>9551</v>
      </c>
      <c r="B8677" s="380" t="str">
        <f>IFERROR(__xludf.DUMMYFUNCTION("""COMPUTED_VALUE"""),"Empaque Carter Jac Euro V 1009011fe0")</f>
        <v>Empaque Carter Jac Euro V 1009011fe0</v>
      </c>
      <c r="C8677" s="380" t="str">
        <f>IFERROR(__xludf.DUMMYFUNCTION("""COMPUTED_VALUE"""),"70004097")</f>
        <v>70004097</v>
      </c>
      <c r="D8677" s="380" t="s">
        <v>767</v>
      </c>
      <c r="E8677" s="380" t="s">
        <v>786</v>
      </c>
      <c r="F8677" s="380" t="s">
        <v>787</v>
      </c>
      <c r="G8677" s="380" t="s">
        <v>1267</v>
      </c>
      <c r="H8677" s="380" t="s">
        <v>771</v>
      </c>
      <c r="I8677" s="380" t="s">
        <v>788</v>
      </c>
      <c r="J8677" s="380" t="s">
        <v>773</v>
      </c>
      <c r="K8677" s="381">
        <v>0.0</v>
      </c>
      <c r="L8677" s="382">
        <v>1.0</v>
      </c>
    </row>
    <row r="8678">
      <c r="A8678" s="380" t="s">
        <v>9552</v>
      </c>
      <c r="B8678" s="380" t="str">
        <f>IFERROR(__xludf.DUMMYFUNCTION("""COMPUTED_VALUE"""),"Caja De Dirección Inter Lt 3844903c92")</f>
        <v>Caja De Dirección Inter Lt 3844903c92</v>
      </c>
      <c r="C8678" s="380" t="str">
        <f>IFERROR(__xludf.DUMMYFUNCTION("""COMPUTED_VALUE"""),"70004098")</f>
        <v>70004098</v>
      </c>
      <c r="D8678" s="380" t="s">
        <v>767</v>
      </c>
      <c r="E8678" s="380" t="s">
        <v>786</v>
      </c>
      <c r="F8678" s="380" t="s">
        <v>1020</v>
      </c>
      <c r="G8678" s="380" t="s">
        <v>1267</v>
      </c>
      <c r="H8678" s="380" t="s">
        <v>771</v>
      </c>
      <c r="I8678" s="380" t="s">
        <v>788</v>
      </c>
      <c r="J8678" s="380" t="s">
        <v>773</v>
      </c>
      <c r="K8678" s="381">
        <v>0.0</v>
      </c>
      <c r="L8678" s="382">
        <v>1.0</v>
      </c>
    </row>
    <row r="8679">
      <c r="A8679" s="380" t="s">
        <v>9553</v>
      </c>
      <c r="B8679" s="380" t="str">
        <f>IFERROR(__xludf.DUMMYFUNCTION("""COMPUTED_VALUE"""),"Condensador A/C Foton 1129 5946308847")</f>
        <v>Condensador A/C Foton 1129 5946308847</v>
      </c>
      <c r="C8679" s="380" t="str">
        <f>IFERROR(__xludf.DUMMYFUNCTION("""COMPUTED_VALUE"""),"70004099")</f>
        <v>70004099</v>
      </c>
      <c r="D8679" s="380" t="s">
        <v>767</v>
      </c>
      <c r="E8679" s="380" t="s">
        <v>786</v>
      </c>
      <c r="F8679" s="380" t="s">
        <v>1031</v>
      </c>
      <c r="G8679" s="380" t="s">
        <v>1267</v>
      </c>
      <c r="H8679" s="380" t="s">
        <v>771</v>
      </c>
      <c r="I8679" s="380" t="s">
        <v>788</v>
      </c>
      <c r="J8679" s="380" t="s">
        <v>773</v>
      </c>
      <c r="K8679" s="381">
        <v>0.0</v>
      </c>
      <c r="L8679" s="382">
        <v>1.0</v>
      </c>
    </row>
    <row r="8680">
      <c r="A8680" s="380" t="s">
        <v>9554</v>
      </c>
      <c r="B8680" s="380" t="str">
        <f>IFERROR(__xludf.DUMMYFUNCTION("""COMPUTED_VALUE"""),"Picaporte Furgon Nhr Fabricado")</f>
        <v>Picaporte Furgon Nhr Fabricado</v>
      </c>
      <c r="C8680" s="380" t="str">
        <f>IFERROR(__xludf.DUMMYFUNCTION("""COMPUTED_VALUE"""),"70004100")</f>
        <v>70004100</v>
      </c>
      <c r="D8680" s="380" t="s">
        <v>767</v>
      </c>
      <c r="E8680" s="380" t="s">
        <v>786</v>
      </c>
      <c r="F8680" s="380" t="s">
        <v>792</v>
      </c>
      <c r="G8680" s="380" t="s">
        <v>1267</v>
      </c>
      <c r="H8680" s="380" t="s">
        <v>771</v>
      </c>
      <c r="I8680" s="380" t="s">
        <v>788</v>
      </c>
      <c r="J8680" s="380" t="s">
        <v>773</v>
      </c>
      <c r="K8680" s="381">
        <v>43536.0</v>
      </c>
      <c r="L8680" s="382">
        <v>1.0</v>
      </c>
    </row>
    <row r="8681">
      <c r="A8681" s="380" t="s">
        <v>9555</v>
      </c>
      <c r="B8681" s="380" t="str">
        <f>IFERROR(__xludf.DUMMYFUNCTION("""COMPUTED_VALUE"""),"Base Tras Cabina Kw T800 K235-1436")</f>
        <v>Base Tras Cabina Kw T800 K235-1436</v>
      </c>
      <c r="C8681" s="380" t="str">
        <f>IFERROR(__xludf.DUMMYFUNCTION("""COMPUTED_VALUE"""),"70004101")</f>
        <v>70004101</v>
      </c>
      <c r="D8681" s="380" t="s">
        <v>767</v>
      </c>
      <c r="E8681" s="380" t="s">
        <v>786</v>
      </c>
      <c r="F8681" s="380" t="s">
        <v>792</v>
      </c>
      <c r="G8681" s="380" t="s">
        <v>1267</v>
      </c>
      <c r="H8681" s="380" t="s">
        <v>771</v>
      </c>
      <c r="I8681" s="380" t="s">
        <v>788</v>
      </c>
      <c r="J8681" s="380" t="s">
        <v>773</v>
      </c>
      <c r="K8681" s="381">
        <v>0.0</v>
      </c>
      <c r="L8681" s="382">
        <v>1.0</v>
      </c>
    </row>
    <row r="8682">
      <c r="A8682" s="380" t="s">
        <v>9556</v>
      </c>
      <c r="B8682" s="380" t="str">
        <f>IFERROR(__xludf.DUMMYFUNCTION("""COMPUTED_VALUE"""),"MOT 7/8 CH N200 1200cc B12ek20221")</f>
        <v>MOT 7/8 CH N200 1200cc B12ek20221</v>
      </c>
      <c r="C8682" s="380" t="str">
        <f>IFERROR(__xludf.DUMMYFUNCTION("""COMPUTED_VALUE"""),"70004102")</f>
        <v>70004102</v>
      </c>
      <c r="D8682" s="380" t="s">
        <v>767</v>
      </c>
      <c r="E8682" s="380" t="s">
        <v>786</v>
      </c>
      <c r="F8682" s="380" t="s">
        <v>787</v>
      </c>
      <c r="G8682" s="380" t="s">
        <v>1267</v>
      </c>
      <c r="H8682" s="380" t="s">
        <v>771</v>
      </c>
      <c r="I8682" s="380" t="s">
        <v>788</v>
      </c>
      <c r="J8682" s="380" t="s">
        <v>773</v>
      </c>
      <c r="K8682" s="381">
        <v>0.0</v>
      </c>
      <c r="L8682" s="382">
        <v>1.0</v>
      </c>
    </row>
    <row r="8683">
      <c r="A8683" s="380" t="s">
        <v>9557</v>
      </c>
      <c r="B8683" s="380" t="str">
        <f>IFERROR(__xludf.DUMMYFUNCTION("""COMPUTED_VALUE"""),"Bocin Delantero Hino Dutro 435112371")</f>
        <v>Bocin Delantero Hino Dutro 435112371</v>
      </c>
      <c r="C8683" s="380" t="str">
        <f>IFERROR(__xludf.DUMMYFUNCTION("""COMPUTED_VALUE"""),"70004103")</f>
        <v>70004103</v>
      </c>
      <c r="D8683" s="380" t="s">
        <v>767</v>
      </c>
      <c r="E8683" s="380" t="s">
        <v>786</v>
      </c>
      <c r="F8683" s="380" t="s">
        <v>1017</v>
      </c>
      <c r="G8683" s="380" t="s">
        <v>1267</v>
      </c>
      <c r="H8683" s="380" t="s">
        <v>771</v>
      </c>
      <c r="I8683" s="380" t="s">
        <v>788</v>
      </c>
      <c r="J8683" s="380" t="s">
        <v>773</v>
      </c>
      <c r="K8683" s="381">
        <v>0.0</v>
      </c>
      <c r="L8683" s="382">
        <v>1.0</v>
      </c>
    </row>
    <row r="8684">
      <c r="A8684" s="380" t="s">
        <v>9558</v>
      </c>
      <c r="B8684" s="380" t="str">
        <f>IFERROR(__xludf.DUMMYFUNCTION("""COMPUTED_VALUE"""),"SENS Nivel Refrigerante INT Lt 3810327c2")</f>
        <v>SENS Nivel Refrigerante INT Lt 3810327c2</v>
      </c>
      <c r="C8684" s="380" t="str">
        <f>IFERROR(__xludf.DUMMYFUNCTION("""COMPUTED_VALUE"""),"70004104")</f>
        <v>70004104</v>
      </c>
      <c r="D8684" s="380" t="s">
        <v>767</v>
      </c>
      <c r="E8684" s="380" t="s">
        <v>786</v>
      </c>
      <c r="F8684" s="380" t="s">
        <v>998</v>
      </c>
      <c r="G8684" s="380" t="s">
        <v>1267</v>
      </c>
      <c r="H8684" s="380" t="s">
        <v>771</v>
      </c>
      <c r="I8684" s="380" t="s">
        <v>788</v>
      </c>
      <c r="J8684" s="380" t="s">
        <v>773</v>
      </c>
      <c r="K8684" s="381">
        <v>149645.0</v>
      </c>
      <c r="L8684" s="382">
        <v>1.0</v>
      </c>
    </row>
    <row r="8685">
      <c r="A8685" s="380" t="s">
        <v>9559</v>
      </c>
      <c r="B8685" s="380" t="str">
        <f>IFERROR(__xludf.DUMMYFUNCTION("""COMPUTED_VALUE"""),"ReCAM De Freno T16/24 VW Sapad1624e")</f>
        <v>ReCAM De Freno T16/24 VW Sapad1624e</v>
      </c>
      <c r="C8685" s="380" t="str">
        <f>IFERROR(__xludf.DUMMYFUNCTION("""COMPUTED_VALUE"""),"70004105")</f>
        <v>70004105</v>
      </c>
      <c r="D8685" s="380" t="s">
        <v>767</v>
      </c>
      <c r="E8685" s="380" t="s">
        <v>786</v>
      </c>
      <c r="F8685" s="380" t="s">
        <v>1017</v>
      </c>
      <c r="G8685" s="380" t="s">
        <v>1267</v>
      </c>
      <c r="H8685" s="380" t="s">
        <v>771</v>
      </c>
      <c r="I8685" s="380" t="s">
        <v>788</v>
      </c>
      <c r="J8685" s="380" t="s">
        <v>773</v>
      </c>
      <c r="K8685" s="381">
        <v>0.0</v>
      </c>
      <c r="L8685" s="382">
        <v>1.0</v>
      </c>
    </row>
    <row r="8686">
      <c r="A8686" s="380" t="s">
        <v>9560</v>
      </c>
      <c r="B8686" s="380" t="str">
        <f>IFERROR(__xludf.DUMMYFUNCTION("""COMPUTED_VALUE"""),"Abrazadera Buje Terminal BRR Est 5497136")</f>
        <v>Abrazadera Buje Terminal BRR Est 5497136</v>
      </c>
      <c r="C8686" s="380" t="str">
        <f>IFERROR(__xludf.DUMMYFUNCTION("""COMPUTED_VALUE"""),"70004106")</f>
        <v>70004106</v>
      </c>
      <c r="D8686" s="380" t="s">
        <v>767</v>
      </c>
      <c r="E8686" s="380" t="s">
        <v>786</v>
      </c>
      <c r="F8686" s="380" t="s">
        <v>1039</v>
      </c>
      <c r="G8686" s="380" t="s">
        <v>1267</v>
      </c>
      <c r="H8686" s="380" t="s">
        <v>771</v>
      </c>
      <c r="I8686" s="380" t="s">
        <v>788</v>
      </c>
      <c r="J8686" s="380" t="s">
        <v>773</v>
      </c>
      <c r="K8686" s="381">
        <v>0.0</v>
      </c>
      <c r="L8686" s="382">
        <v>1.0</v>
      </c>
    </row>
    <row r="8687">
      <c r="A8687" s="380" t="s">
        <v>9561</v>
      </c>
      <c r="B8687" s="380" t="str">
        <f>IFERROR(__xludf.DUMMYFUNCTION("""COMPUTED_VALUE"""),"Silla Conductor Foton BJ5 MV5 7701023487")</f>
        <v>Silla Conductor Foton BJ5 MV5 7701023487</v>
      </c>
      <c r="C8687" s="380" t="str">
        <f>IFERROR(__xludf.DUMMYFUNCTION("""COMPUTED_VALUE"""),"70004107")</f>
        <v>70004107</v>
      </c>
      <c r="D8687" s="380" t="s">
        <v>767</v>
      </c>
      <c r="E8687" s="380" t="s">
        <v>786</v>
      </c>
      <c r="F8687" s="380" t="s">
        <v>792</v>
      </c>
      <c r="G8687" s="380" t="s">
        <v>1267</v>
      </c>
      <c r="H8687" s="380" t="s">
        <v>771</v>
      </c>
      <c r="I8687" s="380" t="s">
        <v>788</v>
      </c>
      <c r="J8687" s="380" t="s">
        <v>773</v>
      </c>
      <c r="K8687" s="381">
        <v>0.0</v>
      </c>
      <c r="L8687" s="382">
        <v>1.0</v>
      </c>
    </row>
    <row r="8688">
      <c r="A8688" s="380" t="s">
        <v>9562</v>
      </c>
      <c r="B8688" s="380" t="str">
        <f>IFERROR(__xludf.DUMMYFUNCTION("""COMPUTED_VALUE"""),"Silla Aux Foton BJ5 MV5 7701023487")</f>
        <v>Silla Aux Foton BJ5 MV5 7701023487</v>
      </c>
      <c r="C8688" s="380" t="str">
        <f>IFERROR(__xludf.DUMMYFUNCTION("""COMPUTED_VALUE"""),"70004108")</f>
        <v>70004108</v>
      </c>
      <c r="D8688" s="380" t="s">
        <v>767</v>
      </c>
      <c r="E8688" s="380" t="s">
        <v>786</v>
      </c>
      <c r="F8688" s="380" t="s">
        <v>792</v>
      </c>
      <c r="G8688" s="380" t="s">
        <v>1267</v>
      </c>
      <c r="H8688" s="380" t="s">
        <v>771</v>
      </c>
      <c r="I8688" s="380" t="s">
        <v>788</v>
      </c>
      <c r="J8688" s="380" t="s">
        <v>773</v>
      </c>
      <c r="K8688" s="381">
        <v>0.0</v>
      </c>
      <c r="L8688" s="382">
        <v>1.0</v>
      </c>
    </row>
    <row r="8689">
      <c r="A8689" s="380" t="s">
        <v>9563</v>
      </c>
      <c r="B8689" s="380" t="str">
        <f>IFERROR(__xludf.DUMMYFUNCTION("""COMPUTED_VALUE"""),"Bisagra PTA CAB INT Lt 4061060c1")</f>
        <v>Bisagra PTA CAB INT Lt 4061060c1</v>
      </c>
      <c r="C8689" s="380" t="str">
        <f>IFERROR(__xludf.DUMMYFUNCTION("""COMPUTED_VALUE"""),"70004109")</f>
        <v>70004109</v>
      </c>
      <c r="D8689" s="380" t="s">
        <v>767</v>
      </c>
      <c r="E8689" s="380" t="s">
        <v>786</v>
      </c>
      <c r="F8689" s="380" t="s">
        <v>792</v>
      </c>
      <c r="G8689" s="380" t="s">
        <v>1267</v>
      </c>
      <c r="H8689" s="380" t="s">
        <v>771</v>
      </c>
      <c r="I8689" s="380" t="s">
        <v>788</v>
      </c>
      <c r="J8689" s="380" t="s">
        <v>773</v>
      </c>
      <c r="K8689" s="381">
        <v>0.0</v>
      </c>
      <c r="L8689" s="382">
        <v>1.0</v>
      </c>
    </row>
    <row r="8690">
      <c r="A8690" s="380" t="s">
        <v>9564</v>
      </c>
      <c r="B8690" s="380" t="str">
        <f>IFERROR(__xludf.DUMMYFUNCTION("""COMPUTED_VALUE"""),"Caja De Velocidades Jac Jhr 1701001ld30q")</f>
        <v>Caja De Velocidades Jac Jhr 1701001ld30q</v>
      </c>
      <c r="C8690" s="380" t="str">
        <f>IFERROR(__xludf.DUMMYFUNCTION("""COMPUTED_VALUE"""),"70004110")</f>
        <v>70004110</v>
      </c>
      <c r="D8690" s="380" t="s">
        <v>767</v>
      </c>
      <c r="E8690" s="380" t="s">
        <v>786</v>
      </c>
      <c r="F8690" s="380" t="s">
        <v>5683</v>
      </c>
      <c r="G8690" s="380" t="s">
        <v>1267</v>
      </c>
      <c r="H8690" s="380" t="s">
        <v>771</v>
      </c>
      <c r="I8690" s="380" t="s">
        <v>788</v>
      </c>
      <c r="J8690" s="380" t="s">
        <v>773</v>
      </c>
      <c r="K8690" s="381">
        <v>0.0</v>
      </c>
      <c r="L8690" s="382">
        <v>1.0</v>
      </c>
    </row>
    <row r="8691">
      <c r="A8691" s="380" t="s">
        <v>9565</v>
      </c>
      <c r="B8691" s="380" t="str">
        <f>IFERROR(__xludf.DUMMYFUNCTION("""COMPUTED_VALUE"""),"Termostato Foton 1128 7701023595")</f>
        <v>Termostato Foton 1128 7701023595</v>
      </c>
      <c r="C8691" s="380" t="str">
        <f>IFERROR(__xludf.DUMMYFUNCTION("""COMPUTED_VALUE"""),"70004111")</f>
        <v>70004111</v>
      </c>
      <c r="D8691" s="380" t="s">
        <v>767</v>
      </c>
      <c r="E8691" s="380" t="s">
        <v>786</v>
      </c>
      <c r="F8691" s="380" t="s">
        <v>787</v>
      </c>
      <c r="G8691" s="380" t="s">
        <v>1267</v>
      </c>
      <c r="H8691" s="380" t="s">
        <v>771</v>
      </c>
      <c r="I8691" s="380" t="s">
        <v>788</v>
      </c>
      <c r="J8691" s="380" t="s">
        <v>773</v>
      </c>
      <c r="K8691" s="381">
        <v>0.0</v>
      </c>
      <c r="L8691" s="382">
        <v>1.0</v>
      </c>
    </row>
    <row r="8692">
      <c r="A8692" s="380" t="s">
        <v>9566</v>
      </c>
      <c r="B8692" s="380" t="str">
        <f>IFERROR(__xludf.DUMMYFUNCTION("""COMPUTED_VALUE"""),"Anillo Bronce Sincronizador 5 R170826600")</f>
        <v>Anillo Bronce Sincronizador 5 R170826600</v>
      </c>
      <c r="C8692" s="380" t="str">
        <f>IFERROR(__xludf.DUMMYFUNCTION("""COMPUTED_VALUE"""),"70004112")</f>
        <v>70004112</v>
      </c>
      <c r="D8692" s="380" t="s">
        <v>767</v>
      </c>
      <c r="E8692" s="380" t="s">
        <v>786</v>
      </c>
      <c r="F8692" s="380" t="s">
        <v>928</v>
      </c>
      <c r="G8692" s="380" t="s">
        <v>1267</v>
      </c>
      <c r="H8692" s="380" t="s">
        <v>771</v>
      </c>
      <c r="I8692" s="380" t="s">
        <v>788</v>
      </c>
      <c r="J8692" s="380" t="s">
        <v>773</v>
      </c>
      <c r="K8692" s="381">
        <v>0.0</v>
      </c>
      <c r="L8692" s="382">
        <v>1.0</v>
      </c>
    </row>
    <row r="8693">
      <c r="A8693" s="380" t="s">
        <v>9567</v>
      </c>
      <c r="B8693" s="380" t="str">
        <f>IFERROR(__xludf.DUMMYFUNCTION("""COMPUTED_VALUE"""),"Piñón Rev Jac Jhr R17012900003")</f>
        <v>Piñón Rev Jac Jhr R17012900003</v>
      </c>
      <c r="C8693" s="380" t="str">
        <f>IFERROR(__xludf.DUMMYFUNCTION("""COMPUTED_VALUE"""),"70004113")</f>
        <v>70004113</v>
      </c>
      <c r="D8693" s="380" t="s">
        <v>767</v>
      </c>
      <c r="E8693" s="380" t="s">
        <v>786</v>
      </c>
      <c r="F8693" s="380" t="s">
        <v>928</v>
      </c>
      <c r="G8693" s="380" t="s">
        <v>1267</v>
      </c>
      <c r="H8693" s="380" t="s">
        <v>771</v>
      </c>
      <c r="I8693" s="380" t="s">
        <v>788</v>
      </c>
      <c r="J8693" s="380" t="s">
        <v>773</v>
      </c>
      <c r="K8693" s="381">
        <v>0.0</v>
      </c>
      <c r="L8693" s="382">
        <v>1.0</v>
      </c>
    </row>
    <row r="8694">
      <c r="A8694" s="380" t="s">
        <v>9568</v>
      </c>
      <c r="B8694" s="380" t="str">
        <f>IFERROR(__xludf.DUMMYFUNCTION("""COMPUTED_VALUE"""),"Tope Aux Ballesta Tras FT 106 1023355506")</f>
        <v>Tope Aux Ballesta Tras FT 106 1023355506</v>
      </c>
      <c r="C8694" s="380" t="str">
        <f>IFERROR(__xludf.DUMMYFUNCTION("""COMPUTED_VALUE"""),"70004114")</f>
        <v>70004114</v>
      </c>
      <c r="D8694" s="380" t="s">
        <v>767</v>
      </c>
      <c r="E8694" s="380" t="s">
        <v>786</v>
      </c>
      <c r="F8694" s="380" t="s">
        <v>1039</v>
      </c>
      <c r="G8694" s="380" t="s">
        <v>1267</v>
      </c>
      <c r="H8694" s="380" t="s">
        <v>771</v>
      </c>
      <c r="I8694" s="380" t="s">
        <v>788</v>
      </c>
      <c r="J8694" s="380" t="s">
        <v>773</v>
      </c>
      <c r="K8694" s="381">
        <v>22959.0</v>
      </c>
      <c r="L8694" s="382">
        <v>1.0</v>
      </c>
    </row>
    <row r="8695">
      <c r="A8695" s="380" t="s">
        <v>9569</v>
      </c>
      <c r="B8695" s="380" t="str">
        <f>IFERROR(__xludf.DUMMYFUNCTION("""COMPUTED_VALUE"""),"Corona Y Speed 8:39 Jac 1120 Be33480470")</f>
        <v>Corona Y Speed 8:39 Jac 1120 Be33480470</v>
      </c>
      <c r="C8695" s="380" t="str">
        <f>IFERROR(__xludf.DUMMYFUNCTION("""COMPUTED_VALUE"""),"70004115")</f>
        <v>70004115</v>
      </c>
      <c r="D8695" s="380" t="s">
        <v>767</v>
      </c>
      <c r="E8695" s="380" t="s">
        <v>786</v>
      </c>
      <c r="F8695" s="380" t="s">
        <v>5683</v>
      </c>
      <c r="G8695" s="380" t="s">
        <v>1267</v>
      </c>
      <c r="H8695" s="380" t="s">
        <v>771</v>
      </c>
      <c r="I8695" s="380" t="s">
        <v>788</v>
      </c>
      <c r="J8695" s="380" t="s">
        <v>773</v>
      </c>
      <c r="K8695" s="381">
        <v>0.0</v>
      </c>
      <c r="L8695" s="382">
        <v>1.0</v>
      </c>
    </row>
    <row r="8696">
      <c r="A8696" s="380" t="s">
        <v>9570</v>
      </c>
      <c r="B8696" s="380" t="str">
        <f>IFERROR(__xludf.DUMMYFUNCTION("""COMPUTED_VALUE"""),"TANQ Y MOT Agua Limpiabrisas Fot 1128 77")</f>
        <v>TANQ Y MOT Agua Limpiabrisas Fot 1128 77</v>
      </c>
      <c r="C8696" s="380" t="str">
        <f>IFERROR(__xludf.DUMMYFUNCTION("""COMPUTED_VALUE"""),"70004116")</f>
        <v>70004116</v>
      </c>
      <c r="D8696" s="380" t="s">
        <v>767</v>
      </c>
      <c r="E8696" s="380" t="s">
        <v>786</v>
      </c>
      <c r="F8696" s="380" t="s">
        <v>792</v>
      </c>
      <c r="G8696" s="380" t="s">
        <v>1267</v>
      </c>
      <c r="H8696" s="380" t="s">
        <v>771</v>
      </c>
      <c r="I8696" s="380" t="s">
        <v>788</v>
      </c>
      <c r="J8696" s="380" t="s">
        <v>773</v>
      </c>
      <c r="K8696" s="381">
        <v>0.0</v>
      </c>
      <c r="L8696" s="382">
        <v>1.0</v>
      </c>
    </row>
    <row r="8697">
      <c r="A8697" s="380" t="s">
        <v>9571</v>
      </c>
      <c r="B8697" s="380" t="str">
        <f>IFERROR(__xludf.DUMMYFUNCTION("""COMPUTED_VALUE"""),"Manguera Sup Radiador FRR 8982058730")</f>
        <v>Manguera Sup Radiador FRR 8982058730</v>
      </c>
      <c r="C8697" s="380" t="str">
        <f>IFERROR(__xludf.DUMMYFUNCTION("""COMPUTED_VALUE"""),"70004117")</f>
        <v>70004117</v>
      </c>
      <c r="D8697" s="380" t="s">
        <v>767</v>
      </c>
      <c r="E8697" s="380" t="s">
        <v>786</v>
      </c>
      <c r="F8697" s="380" t="s">
        <v>787</v>
      </c>
      <c r="G8697" s="380" t="s">
        <v>1267</v>
      </c>
      <c r="H8697" s="380" t="s">
        <v>771</v>
      </c>
      <c r="I8697" s="380" t="s">
        <v>788</v>
      </c>
      <c r="J8697" s="380" t="s">
        <v>773</v>
      </c>
      <c r="K8697" s="381">
        <v>0.0</v>
      </c>
      <c r="L8697" s="382">
        <v>1.0</v>
      </c>
    </row>
    <row r="8698">
      <c r="A8698" s="380" t="s">
        <v>9572</v>
      </c>
      <c r="B8698" s="380" t="str">
        <f>IFERROR(__xludf.DUMMYFUNCTION("""COMPUTED_VALUE"""),"Campana Tras HN Dutro Eje Sen 4243137080")</f>
        <v>Campana Tras HN Dutro Eje Sen 4243137080</v>
      </c>
      <c r="C8698" s="380" t="str">
        <f>IFERROR(__xludf.DUMMYFUNCTION("""COMPUTED_VALUE"""),"70004118")</f>
        <v>70004118</v>
      </c>
      <c r="D8698" s="380" t="s">
        <v>767</v>
      </c>
      <c r="E8698" s="380" t="s">
        <v>786</v>
      </c>
      <c r="F8698" s="380" t="s">
        <v>1017</v>
      </c>
      <c r="G8698" s="380" t="s">
        <v>1267</v>
      </c>
      <c r="H8698" s="380" t="s">
        <v>771</v>
      </c>
      <c r="I8698" s="380" t="s">
        <v>788</v>
      </c>
      <c r="J8698" s="380" t="s">
        <v>773</v>
      </c>
      <c r="K8698" s="381">
        <v>0.0</v>
      </c>
      <c r="L8698" s="382">
        <v>1.0</v>
      </c>
    </row>
    <row r="8699">
      <c r="A8699" s="380" t="s">
        <v>9573</v>
      </c>
      <c r="B8699" s="380" t="str">
        <f>IFERROR(__xludf.DUMMYFUNCTION("""COMPUTED_VALUE"""),"Bombillo Redondo H4 P45t 12 V")</f>
        <v>Bombillo Redondo H4 P45t 12 V</v>
      </c>
      <c r="C8699" s="380" t="str">
        <f>IFERROR(__xludf.DUMMYFUNCTION("""COMPUTED_VALUE"""),"70004119")</f>
        <v>70004119</v>
      </c>
      <c r="D8699" s="380" t="s">
        <v>767</v>
      </c>
      <c r="E8699" s="380" t="s">
        <v>786</v>
      </c>
      <c r="F8699" s="380" t="s">
        <v>998</v>
      </c>
      <c r="G8699" s="380" t="s">
        <v>1267</v>
      </c>
      <c r="H8699" s="380" t="s">
        <v>771</v>
      </c>
      <c r="I8699" s="380" t="s">
        <v>788</v>
      </c>
      <c r="J8699" s="380" t="s">
        <v>773</v>
      </c>
      <c r="K8699" s="381">
        <v>16030.0</v>
      </c>
      <c r="L8699" s="382">
        <v>1.0</v>
      </c>
    </row>
    <row r="8700">
      <c r="A8700" s="380" t="s">
        <v>9574</v>
      </c>
      <c r="B8700" s="380" t="str">
        <f>IFERROR(__xludf.DUMMYFUNCTION("""COMPUTED_VALUE"""),"Estribo Sup CJ Bateria INT Lt 3758534c1")</f>
        <v>Estribo Sup CJ Bateria INT Lt 3758534c1</v>
      </c>
      <c r="C8700" s="380" t="str">
        <f>IFERROR(__xludf.DUMMYFUNCTION("""COMPUTED_VALUE"""),"70004120")</f>
        <v>70004120</v>
      </c>
      <c r="D8700" s="380" t="s">
        <v>767</v>
      </c>
      <c r="E8700" s="380" t="s">
        <v>786</v>
      </c>
      <c r="F8700" s="380" t="s">
        <v>792</v>
      </c>
      <c r="G8700" s="380" t="s">
        <v>1267</v>
      </c>
      <c r="H8700" s="380" t="s">
        <v>771</v>
      </c>
      <c r="I8700" s="380" t="s">
        <v>788</v>
      </c>
      <c r="J8700" s="380" t="s">
        <v>773</v>
      </c>
      <c r="K8700" s="381">
        <v>0.0</v>
      </c>
      <c r="L8700" s="382">
        <v>1.0</v>
      </c>
    </row>
    <row r="8701">
      <c r="A8701" s="380" t="s">
        <v>9575</v>
      </c>
      <c r="B8701" s="380" t="str">
        <f>IFERROR(__xludf.DUMMYFUNCTION("""COMPUTED_VALUE"""),"Manija Ext PTA Izq INT Lt 4053943c93")</f>
        <v>Manija Ext PTA Izq INT Lt 4053943c93</v>
      </c>
      <c r="C8701" s="380" t="str">
        <f>IFERROR(__xludf.DUMMYFUNCTION("""COMPUTED_VALUE"""),"70004121")</f>
        <v>70004121</v>
      </c>
      <c r="D8701" s="380" t="s">
        <v>767</v>
      </c>
      <c r="E8701" s="380" t="s">
        <v>786</v>
      </c>
      <c r="F8701" s="380" t="s">
        <v>792</v>
      </c>
      <c r="G8701" s="380" t="s">
        <v>1267</v>
      </c>
      <c r="H8701" s="380" t="s">
        <v>771</v>
      </c>
      <c r="I8701" s="380" t="s">
        <v>788</v>
      </c>
      <c r="J8701" s="380" t="s">
        <v>773</v>
      </c>
      <c r="K8701" s="381">
        <v>0.0</v>
      </c>
      <c r="L8701" s="382">
        <v>1.0</v>
      </c>
    </row>
    <row r="8702">
      <c r="A8702" s="380" t="s">
        <v>9576</v>
      </c>
      <c r="B8702" s="380" t="str">
        <f>IFERROR(__xludf.DUMMYFUNCTION("""COMPUTED_VALUE"""),"INTruptor Estacionarias FT 10 7701492178")</f>
        <v>INTruptor Estacionarias FT 10 7701492178</v>
      </c>
      <c r="C8702" s="380" t="str">
        <f>IFERROR(__xludf.DUMMYFUNCTION("""COMPUTED_VALUE"""),"70004122")</f>
        <v>70004122</v>
      </c>
      <c r="D8702" s="380" t="s">
        <v>767</v>
      </c>
      <c r="E8702" s="380" t="s">
        <v>786</v>
      </c>
      <c r="F8702" s="380" t="s">
        <v>998</v>
      </c>
      <c r="G8702" s="380" t="s">
        <v>1267</v>
      </c>
      <c r="H8702" s="380" t="s">
        <v>771</v>
      </c>
      <c r="I8702" s="380" t="s">
        <v>788</v>
      </c>
      <c r="J8702" s="380" t="s">
        <v>773</v>
      </c>
      <c r="K8702" s="381">
        <v>0.0</v>
      </c>
      <c r="L8702" s="382">
        <v>1.0</v>
      </c>
    </row>
    <row r="8703">
      <c r="A8703" s="380" t="s">
        <v>9577</v>
      </c>
      <c r="B8703" s="380" t="str">
        <f>IFERROR(__xludf.DUMMYFUNCTION("""COMPUTED_VALUE"""),"Evaporador Aire AC Foton 1065 5946673365")</f>
        <v>Evaporador Aire AC Foton 1065 5946673365</v>
      </c>
      <c r="C8703" s="380" t="str">
        <f>IFERROR(__xludf.DUMMYFUNCTION("""COMPUTED_VALUE"""),"70004123")</f>
        <v>70004123</v>
      </c>
      <c r="D8703" s="380" t="s">
        <v>767</v>
      </c>
      <c r="E8703" s="380" t="s">
        <v>786</v>
      </c>
      <c r="F8703" s="380" t="s">
        <v>1031</v>
      </c>
      <c r="G8703" s="380" t="s">
        <v>1267</v>
      </c>
      <c r="H8703" s="380" t="s">
        <v>771</v>
      </c>
      <c r="I8703" s="380" t="s">
        <v>788</v>
      </c>
      <c r="J8703" s="380" t="s">
        <v>773</v>
      </c>
      <c r="K8703" s="381">
        <v>1984639.0</v>
      </c>
      <c r="L8703" s="382">
        <v>1.0</v>
      </c>
    </row>
    <row r="8704">
      <c r="A8704" s="380" t="s">
        <v>9578</v>
      </c>
      <c r="B8704" s="380" t="str">
        <f>IFERROR(__xludf.DUMMYFUNCTION("""COMPUTED_VALUE"""),"Ratche Freno Trasero Der Foton 1128")</f>
        <v>Ratche Freno Trasero Der Foton 1128</v>
      </c>
      <c r="C8704" s="380" t="str">
        <f>IFERROR(__xludf.DUMMYFUNCTION("""COMPUTED_VALUE"""),"70004124")</f>
        <v>70004124</v>
      </c>
      <c r="D8704" s="380" t="s">
        <v>767</v>
      </c>
      <c r="E8704" s="380" t="s">
        <v>786</v>
      </c>
      <c r="F8704" s="380" t="s">
        <v>1017</v>
      </c>
      <c r="G8704" s="380" t="s">
        <v>1267</v>
      </c>
      <c r="H8704" s="380" t="s">
        <v>771</v>
      </c>
      <c r="I8704" s="380" t="s">
        <v>788</v>
      </c>
      <c r="J8704" s="380" t="s">
        <v>773</v>
      </c>
      <c r="K8704" s="381">
        <v>700453.0</v>
      </c>
      <c r="L8704" s="382">
        <v>1.0</v>
      </c>
    </row>
    <row r="8705">
      <c r="A8705" s="380" t="s">
        <v>9579</v>
      </c>
      <c r="B8705" s="380" t="str">
        <f>IFERROR(__xludf.DUMMYFUNCTION("""COMPUTED_VALUE"""),"Guardapolvo Splinder FT 1039 7701023981")</f>
        <v>Guardapolvo Splinder FT 1039 7701023981</v>
      </c>
      <c r="C8705" s="380" t="str">
        <f>IFERROR(__xludf.DUMMYFUNCTION("""COMPUTED_VALUE"""),"70004125")</f>
        <v>70004125</v>
      </c>
      <c r="D8705" s="380" t="s">
        <v>767</v>
      </c>
      <c r="E8705" s="380" t="s">
        <v>786</v>
      </c>
      <c r="F8705" s="380" t="s">
        <v>1020</v>
      </c>
      <c r="G8705" s="380" t="s">
        <v>1267</v>
      </c>
      <c r="H8705" s="380" t="s">
        <v>771</v>
      </c>
      <c r="I8705" s="380" t="s">
        <v>788</v>
      </c>
      <c r="J8705" s="380" t="s">
        <v>773</v>
      </c>
      <c r="K8705" s="381">
        <v>0.0</v>
      </c>
      <c r="L8705" s="382">
        <v>1.0</v>
      </c>
    </row>
    <row r="8706">
      <c r="A8706" s="380" t="s">
        <v>9580</v>
      </c>
      <c r="B8706" s="380" t="str">
        <f>IFERROR(__xludf.DUMMYFUNCTION("""COMPUTED_VALUE"""),"Ratche Freno Trasero Izq Foton 1128")</f>
        <v>Ratche Freno Trasero Izq Foton 1128</v>
      </c>
      <c r="C8706" s="380" t="str">
        <f>IFERROR(__xludf.DUMMYFUNCTION("""COMPUTED_VALUE"""),"70004126")</f>
        <v>70004126</v>
      </c>
      <c r="D8706" s="380" t="s">
        <v>767</v>
      </c>
      <c r="E8706" s="380" t="s">
        <v>786</v>
      </c>
      <c r="F8706" s="380" t="s">
        <v>1017</v>
      </c>
      <c r="G8706" s="380" t="s">
        <v>1267</v>
      </c>
      <c r="H8706" s="380" t="s">
        <v>771</v>
      </c>
      <c r="I8706" s="380" t="s">
        <v>788</v>
      </c>
      <c r="J8706" s="380" t="s">
        <v>773</v>
      </c>
      <c r="K8706" s="381">
        <v>0.0</v>
      </c>
      <c r="L8706" s="382">
        <v>1.0</v>
      </c>
    </row>
    <row r="8707">
      <c r="A8707" s="380" t="s">
        <v>9581</v>
      </c>
      <c r="B8707" s="380" t="str">
        <f>IFERROR(__xludf.DUMMYFUNCTION("""COMPUTED_VALUE"""),"Grapa Curva Trayler 7/8 X 3 X")</f>
        <v>Grapa Curva Trayler 7/8 X 3 X</v>
      </c>
      <c r="C8707" s="380" t="str">
        <f>IFERROR(__xludf.DUMMYFUNCTION("""COMPUTED_VALUE"""),"70004127")</f>
        <v>70004127</v>
      </c>
      <c r="D8707" s="380" t="s">
        <v>767</v>
      </c>
      <c r="E8707" s="380" t="s">
        <v>786</v>
      </c>
      <c r="F8707" s="380" t="s">
        <v>1039</v>
      </c>
      <c r="G8707" s="380" t="s">
        <v>1267</v>
      </c>
      <c r="H8707" s="380" t="s">
        <v>771</v>
      </c>
      <c r="I8707" s="380" t="s">
        <v>788</v>
      </c>
      <c r="J8707" s="380" t="s">
        <v>773</v>
      </c>
      <c r="K8707" s="381">
        <v>0.0</v>
      </c>
      <c r="L8707" s="382">
        <v>1.0</v>
      </c>
    </row>
    <row r="8708">
      <c r="A8708" s="380" t="s">
        <v>9582</v>
      </c>
      <c r="B8708" s="380" t="str">
        <f>IFERROR(__xludf.DUMMYFUNCTION("""COMPUTED_VALUE"""),"Enfocador RAD KW T800 REP")</f>
        <v>Enfocador RAD KW T800 REP</v>
      </c>
      <c r="C8708" s="380" t="str">
        <f>IFERROR(__xludf.DUMMYFUNCTION("""COMPUTED_VALUE"""),"70004128")</f>
        <v>70004128</v>
      </c>
      <c r="D8708" s="380" t="s">
        <v>767</v>
      </c>
      <c r="E8708" s="380" t="s">
        <v>786</v>
      </c>
      <c r="F8708" s="380" t="s">
        <v>787</v>
      </c>
      <c r="G8708" s="380" t="s">
        <v>1267</v>
      </c>
      <c r="H8708" s="380" t="s">
        <v>771</v>
      </c>
      <c r="I8708" s="380" t="s">
        <v>788</v>
      </c>
      <c r="J8708" s="380" t="s">
        <v>773</v>
      </c>
      <c r="K8708" s="381">
        <v>0.0</v>
      </c>
      <c r="L8708" s="382">
        <v>1.0</v>
      </c>
    </row>
    <row r="8709">
      <c r="A8709" s="380" t="s">
        <v>9583</v>
      </c>
      <c r="B8709" s="380" t="str">
        <f>IFERROR(__xludf.DUMMYFUNCTION("""COMPUTED_VALUE"""),"Anillo Sincronizador 6 Caj Vel Fot 1129")</f>
        <v>Anillo Sincronizador 6 Caj Vel Fot 1129</v>
      </c>
      <c r="C8709" s="380" t="str">
        <f>IFERROR(__xludf.DUMMYFUNCTION("""COMPUTED_VALUE"""),"70004129")</f>
        <v>70004129</v>
      </c>
      <c r="D8709" s="380" t="s">
        <v>767</v>
      </c>
      <c r="E8709" s="380" t="s">
        <v>786</v>
      </c>
      <c r="F8709" s="380" t="s">
        <v>928</v>
      </c>
      <c r="G8709" s="380" t="s">
        <v>1267</v>
      </c>
      <c r="H8709" s="380" t="s">
        <v>771</v>
      </c>
      <c r="I8709" s="380" t="s">
        <v>788</v>
      </c>
      <c r="J8709" s="380" t="s">
        <v>773</v>
      </c>
      <c r="K8709" s="381">
        <v>0.0</v>
      </c>
      <c r="L8709" s="382">
        <v>1.0</v>
      </c>
    </row>
    <row r="8710">
      <c r="A8710" s="380" t="s">
        <v>9584</v>
      </c>
      <c r="B8710" s="380" t="str">
        <f>IFERROR(__xludf.DUMMYFUNCTION("""COMPUTED_VALUE"""),"Manzana Sincronismo 1-2 Fot 1129 5946220")</f>
        <v>Manzana Sincronismo 1-2 Fot 1129 5946220</v>
      </c>
      <c r="C8710" s="380" t="str">
        <f>IFERROR(__xludf.DUMMYFUNCTION("""COMPUTED_VALUE"""),"70004130")</f>
        <v>70004130</v>
      </c>
      <c r="D8710" s="380" t="s">
        <v>767</v>
      </c>
      <c r="E8710" s="380" t="s">
        <v>786</v>
      </c>
      <c r="F8710" s="380" t="s">
        <v>928</v>
      </c>
      <c r="G8710" s="380" t="s">
        <v>1267</v>
      </c>
      <c r="H8710" s="380" t="s">
        <v>771</v>
      </c>
      <c r="I8710" s="380" t="s">
        <v>788</v>
      </c>
      <c r="J8710" s="380" t="s">
        <v>773</v>
      </c>
      <c r="K8710" s="381">
        <v>0.0</v>
      </c>
      <c r="L8710" s="382">
        <v>1.0</v>
      </c>
    </row>
    <row r="8711">
      <c r="A8711" s="380" t="s">
        <v>9585</v>
      </c>
      <c r="B8711" s="380" t="str">
        <f>IFERROR(__xludf.DUMMYFUNCTION("""COMPUTED_VALUE"""),"INTruptor Estacionarias Jac Jhr 3750910L")</f>
        <v>INTruptor Estacionarias Jac Jhr 3750910L</v>
      </c>
      <c r="C8711" s="380" t="str">
        <f>IFERROR(__xludf.DUMMYFUNCTION("""COMPUTED_VALUE"""),"70004131")</f>
        <v>70004131</v>
      </c>
      <c r="D8711" s="380" t="s">
        <v>767</v>
      </c>
      <c r="E8711" s="380" t="s">
        <v>786</v>
      </c>
      <c r="F8711" s="380" t="s">
        <v>998</v>
      </c>
      <c r="G8711" s="380" t="s">
        <v>1267</v>
      </c>
      <c r="H8711" s="380" t="s">
        <v>771</v>
      </c>
      <c r="I8711" s="380" t="s">
        <v>788</v>
      </c>
      <c r="J8711" s="380" t="s">
        <v>773</v>
      </c>
      <c r="K8711" s="381">
        <v>0.0</v>
      </c>
      <c r="L8711" s="382">
        <v>1.0</v>
      </c>
    </row>
    <row r="8712">
      <c r="A8712" s="380" t="s">
        <v>9586</v>
      </c>
      <c r="B8712" s="380" t="str">
        <f>IFERROR(__xludf.DUMMYFUNCTION("""COMPUTED_VALUE"""),"Tapa Pin Caja Vel Fot 1129 5646002790")</f>
        <v>Tapa Pin Caja Vel Fot 1129 5646002790</v>
      </c>
      <c r="C8712" s="380" t="str">
        <f>IFERROR(__xludf.DUMMYFUNCTION("""COMPUTED_VALUE"""),"70004132")</f>
        <v>70004132</v>
      </c>
      <c r="D8712" s="380" t="s">
        <v>767</v>
      </c>
      <c r="E8712" s="380" t="s">
        <v>786</v>
      </c>
      <c r="F8712" s="380" t="s">
        <v>928</v>
      </c>
      <c r="G8712" s="380" t="s">
        <v>1267</v>
      </c>
      <c r="H8712" s="380" t="s">
        <v>771</v>
      </c>
      <c r="I8712" s="380" t="s">
        <v>788</v>
      </c>
      <c r="J8712" s="380" t="s">
        <v>773</v>
      </c>
      <c r="K8712" s="381">
        <v>0.0</v>
      </c>
      <c r="L8712" s="382">
        <v>1.0</v>
      </c>
    </row>
    <row r="8713">
      <c r="A8713" s="380" t="s">
        <v>9587</v>
      </c>
      <c r="B8713" s="380" t="str">
        <f>IFERROR(__xludf.DUMMYFUNCTION("""COMPUTED_VALUE"""),"Guaya Freno Parqueo Tras Izq FT 1030 770")</f>
        <v>Guaya Freno Parqueo Tras Izq FT 1030 770</v>
      </c>
      <c r="C8713" s="380" t="str">
        <f>IFERROR(__xludf.DUMMYFUNCTION("""COMPUTED_VALUE"""),"70004133")</f>
        <v>70004133</v>
      </c>
      <c r="D8713" s="380" t="s">
        <v>767</v>
      </c>
      <c r="E8713" s="380" t="s">
        <v>786</v>
      </c>
      <c r="F8713" s="380" t="s">
        <v>1017</v>
      </c>
      <c r="G8713" s="380" t="s">
        <v>1267</v>
      </c>
      <c r="H8713" s="380" t="s">
        <v>771</v>
      </c>
      <c r="I8713" s="380" t="s">
        <v>788</v>
      </c>
      <c r="J8713" s="380" t="s">
        <v>773</v>
      </c>
      <c r="K8713" s="381">
        <v>0.0</v>
      </c>
      <c r="L8713" s="382">
        <v>1.0</v>
      </c>
    </row>
    <row r="8714">
      <c r="A8714" s="380" t="s">
        <v>9588</v>
      </c>
      <c r="B8714" s="380" t="str">
        <f>IFERROR(__xludf.DUMMYFUNCTION("""COMPUTED_VALUE"""),"Talco Stop Der Daf Cf480 1914691")</f>
        <v>Talco Stop Der Daf Cf480 1914691</v>
      </c>
      <c r="C8714" s="380" t="str">
        <f>IFERROR(__xludf.DUMMYFUNCTION("""COMPUTED_VALUE"""),"70004134")</f>
        <v>70004134</v>
      </c>
      <c r="D8714" s="380" t="s">
        <v>767</v>
      </c>
      <c r="E8714" s="380" t="s">
        <v>786</v>
      </c>
      <c r="F8714" s="380" t="s">
        <v>998</v>
      </c>
      <c r="G8714" s="380" t="s">
        <v>1267</v>
      </c>
      <c r="H8714" s="380" t="s">
        <v>771</v>
      </c>
      <c r="I8714" s="380" t="s">
        <v>788</v>
      </c>
      <c r="J8714" s="380" t="s">
        <v>773</v>
      </c>
      <c r="K8714" s="381">
        <v>0.0</v>
      </c>
      <c r="L8714" s="382">
        <v>1.0</v>
      </c>
    </row>
    <row r="8715">
      <c r="A8715" s="380" t="s">
        <v>9589</v>
      </c>
      <c r="B8715" s="380" t="str">
        <f>IFERROR(__xludf.DUMMYFUNCTION("""COMPUTED_VALUE"""),"Anillo Sincronizador 4 Caj Vel Fot 1129")</f>
        <v>Anillo Sincronizador 4 Caj Vel Fot 1129</v>
      </c>
      <c r="C8715" s="380" t="str">
        <f>IFERROR(__xludf.DUMMYFUNCTION("""COMPUTED_VALUE"""),"70004135")</f>
        <v>70004135</v>
      </c>
      <c r="D8715" s="380" t="s">
        <v>767</v>
      </c>
      <c r="E8715" s="380" t="s">
        <v>786</v>
      </c>
      <c r="F8715" s="380" t="s">
        <v>928</v>
      </c>
      <c r="G8715" s="380" t="s">
        <v>1267</v>
      </c>
      <c r="H8715" s="380" t="s">
        <v>771</v>
      </c>
      <c r="I8715" s="380" t="s">
        <v>788</v>
      </c>
      <c r="J8715" s="380" t="s">
        <v>773</v>
      </c>
      <c r="K8715" s="381">
        <v>0.0</v>
      </c>
      <c r="L8715" s="382">
        <v>1.0</v>
      </c>
    </row>
    <row r="8716">
      <c r="A8716" s="380" t="s">
        <v>9590</v>
      </c>
      <c r="B8716" s="380" t="str">
        <f>IFERROR(__xludf.DUMMYFUNCTION("""COMPUTED_VALUE"""),"Mangura Termostato Tubo Cale N200 905248")</f>
        <v>Mangura Termostato Tubo Cale N200 905248</v>
      </c>
      <c r="C8716" s="380" t="str">
        <f>IFERROR(__xludf.DUMMYFUNCTION("""COMPUTED_VALUE"""),"70004136")</f>
        <v>70004136</v>
      </c>
      <c r="D8716" s="380" t="s">
        <v>767</v>
      </c>
      <c r="E8716" s="380" t="s">
        <v>786</v>
      </c>
      <c r="F8716" s="380" t="s">
        <v>787</v>
      </c>
      <c r="G8716" s="380" t="s">
        <v>1267</v>
      </c>
      <c r="H8716" s="380" t="s">
        <v>771</v>
      </c>
      <c r="I8716" s="380" t="s">
        <v>788</v>
      </c>
      <c r="J8716" s="380" t="s">
        <v>773</v>
      </c>
      <c r="K8716" s="381">
        <v>0.0</v>
      </c>
      <c r="L8716" s="382">
        <v>1.0</v>
      </c>
    </row>
    <row r="8717">
      <c r="A8717" s="380" t="s">
        <v>9591</v>
      </c>
      <c r="B8717" s="380" t="str">
        <f>IFERROR(__xludf.DUMMYFUNCTION("""COMPUTED_VALUE"""),"Disco De Freno Tras Der Daf Cf48 1812563")</f>
        <v>Disco De Freno Tras Der Daf Cf48 1812563</v>
      </c>
      <c r="C8717" s="380" t="str">
        <f>IFERROR(__xludf.DUMMYFUNCTION("""COMPUTED_VALUE"""),"70004137")</f>
        <v>70004137</v>
      </c>
      <c r="D8717" s="380" t="s">
        <v>767</v>
      </c>
      <c r="E8717" s="380" t="s">
        <v>786</v>
      </c>
      <c r="F8717" s="380" t="s">
        <v>1017</v>
      </c>
      <c r="G8717" s="380" t="s">
        <v>1267</v>
      </c>
      <c r="H8717" s="380" t="s">
        <v>771</v>
      </c>
      <c r="I8717" s="380" t="s">
        <v>788</v>
      </c>
      <c r="J8717" s="380" t="s">
        <v>773</v>
      </c>
      <c r="K8717" s="381">
        <v>0.0</v>
      </c>
      <c r="L8717" s="382">
        <v>1.0</v>
      </c>
    </row>
    <row r="8718">
      <c r="A8718" s="380" t="s">
        <v>9592</v>
      </c>
      <c r="B8718" s="380" t="str">
        <f>IFERROR(__xludf.DUMMYFUNCTION("""COMPUTED_VALUE"""),"Indicador De Desgaste Pastilla D 2255921")</f>
        <v>Indicador De Desgaste Pastilla D 2255921</v>
      </c>
      <c r="C8718" s="380" t="str">
        <f>IFERROR(__xludf.DUMMYFUNCTION("""COMPUTED_VALUE"""),"70004138")</f>
        <v>70004138</v>
      </c>
      <c r="D8718" s="380" t="s">
        <v>767</v>
      </c>
      <c r="E8718" s="380" t="s">
        <v>786</v>
      </c>
      <c r="F8718" s="380" t="s">
        <v>1017</v>
      </c>
      <c r="G8718" s="380" t="s">
        <v>1267</v>
      </c>
      <c r="H8718" s="380" t="s">
        <v>771</v>
      </c>
      <c r="I8718" s="380" t="s">
        <v>788</v>
      </c>
      <c r="J8718" s="380" t="s">
        <v>773</v>
      </c>
      <c r="K8718" s="381">
        <v>473225.0</v>
      </c>
      <c r="L8718" s="382">
        <v>1.0</v>
      </c>
    </row>
    <row r="8719">
      <c r="A8719" s="380" t="s">
        <v>9593</v>
      </c>
      <c r="B8719" s="380" t="str">
        <f>IFERROR(__xludf.DUMMYFUNCTION("""COMPUTED_VALUE"""),"Diafragma ReCAM De Freno Del FT 1129")</f>
        <v>Diafragma ReCAM De Freno Del FT 1129</v>
      </c>
      <c r="C8719" s="380" t="str">
        <f>IFERROR(__xludf.DUMMYFUNCTION("""COMPUTED_VALUE"""),"70004139")</f>
        <v>70004139</v>
      </c>
      <c r="D8719" s="380" t="s">
        <v>767</v>
      </c>
      <c r="E8719" s="380" t="s">
        <v>786</v>
      </c>
      <c r="F8719" s="380" t="s">
        <v>1017</v>
      </c>
      <c r="G8719" s="380" t="s">
        <v>1267</v>
      </c>
      <c r="H8719" s="380" t="s">
        <v>771</v>
      </c>
      <c r="I8719" s="380" t="s">
        <v>788</v>
      </c>
      <c r="J8719" s="380" t="s">
        <v>773</v>
      </c>
      <c r="K8719" s="381">
        <v>0.0</v>
      </c>
      <c r="L8719" s="382">
        <v>1.0</v>
      </c>
    </row>
    <row r="8720">
      <c r="A8720" s="380" t="s">
        <v>9594</v>
      </c>
      <c r="B8720" s="380" t="str">
        <f>IFERROR(__xludf.DUMMYFUNCTION("""COMPUTED_VALUE"""),"Palanca Freno De Parqueo FT 1 5946961233")</f>
        <v>Palanca Freno De Parqueo FT 1 5946961233</v>
      </c>
      <c r="C8720" s="380" t="str">
        <f>IFERROR(__xludf.DUMMYFUNCTION("""COMPUTED_VALUE"""),"70004140")</f>
        <v>70004140</v>
      </c>
      <c r="D8720" s="380" t="s">
        <v>767</v>
      </c>
      <c r="E8720" s="380" t="s">
        <v>786</v>
      </c>
      <c r="F8720" s="380" t="s">
        <v>1017</v>
      </c>
      <c r="G8720" s="380" t="s">
        <v>1267</v>
      </c>
      <c r="H8720" s="380" t="s">
        <v>771</v>
      </c>
      <c r="I8720" s="380" t="s">
        <v>788</v>
      </c>
      <c r="J8720" s="380" t="s">
        <v>773</v>
      </c>
      <c r="K8720" s="381">
        <v>0.0</v>
      </c>
      <c r="L8720" s="382">
        <v>1.0</v>
      </c>
    </row>
    <row r="8721">
      <c r="A8721" s="380" t="s">
        <v>9595</v>
      </c>
      <c r="B8721" s="380" t="str">
        <f>IFERROR(__xludf.DUMMYFUNCTION("""COMPUTED_VALUE"""),"Brazo Plumilla Der KWDoble Par R23103523")</f>
        <v>Brazo Plumilla Der KWDoble Par R23103523</v>
      </c>
      <c r="C8721" s="380" t="str">
        <f>IFERROR(__xludf.DUMMYFUNCTION("""COMPUTED_VALUE"""),"70004141")</f>
        <v>70004141</v>
      </c>
      <c r="D8721" s="380" t="s">
        <v>767</v>
      </c>
      <c r="E8721" s="380" t="s">
        <v>786</v>
      </c>
      <c r="F8721" s="380" t="s">
        <v>792</v>
      </c>
      <c r="G8721" s="380" t="s">
        <v>1267</v>
      </c>
      <c r="H8721" s="380" t="s">
        <v>771</v>
      </c>
      <c r="I8721" s="380" t="s">
        <v>788</v>
      </c>
      <c r="J8721" s="380" t="s">
        <v>773</v>
      </c>
      <c r="K8721" s="381">
        <v>0.0</v>
      </c>
      <c r="L8721" s="382">
        <v>1.0</v>
      </c>
    </row>
    <row r="8722">
      <c r="A8722" s="380" t="s">
        <v>9596</v>
      </c>
      <c r="B8722" s="380" t="str">
        <f>IFERROR(__xludf.DUMMYFUNCTION("""COMPUTED_VALUE"""),"Soporte Izq Sup Techo Inter Lt 3517267c2")</f>
        <v>Soporte Izq Sup Techo Inter Lt 3517267c2</v>
      </c>
      <c r="C8722" s="380" t="str">
        <f>IFERROR(__xludf.DUMMYFUNCTION("""COMPUTED_VALUE"""),"70004142")</f>
        <v>70004142</v>
      </c>
      <c r="D8722" s="380" t="s">
        <v>767</v>
      </c>
      <c r="E8722" s="380" t="s">
        <v>786</v>
      </c>
      <c r="F8722" s="380" t="s">
        <v>792</v>
      </c>
      <c r="G8722" s="380" t="s">
        <v>1267</v>
      </c>
      <c r="H8722" s="380" t="s">
        <v>771</v>
      </c>
      <c r="I8722" s="380" t="s">
        <v>788</v>
      </c>
      <c r="J8722" s="380" t="s">
        <v>773</v>
      </c>
      <c r="K8722" s="381">
        <v>1579475.0</v>
      </c>
      <c r="L8722" s="382">
        <v>1.0</v>
      </c>
    </row>
    <row r="8723">
      <c r="A8723" s="380" t="s">
        <v>9597</v>
      </c>
      <c r="B8723" s="380" t="str">
        <f>IFERROR(__xludf.DUMMYFUNCTION("""COMPUTED_VALUE"""),"Cilindro Aux Embrague Jac Jhr 1609010ld3")</f>
        <v>Cilindro Aux Embrague Jac Jhr 1609010ld3</v>
      </c>
      <c r="C8723" s="380" t="str">
        <f>IFERROR(__xludf.DUMMYFUNCTION("""COMPUTED_VALUE"""),"70004143")</f>
        <v>70004143</v>
      </c>
      <c r="D8723" s="380" t="s">
        <v>767</v>
      </c>
      <c r="E8723" s="380" t="s">
        <v>786</v>
      </c>
      <c r="F8723" s="380" t="s">
        <v>5661</v>
      </c>
      <c r="G8723" s="380" t="s">
        <v>1267</v>
      </c>
      <c r="H8723" s="380" t="s">
        <v>771</v>
      </c>
      <c r="I8723" s="380" t="s">
        <v>788</v>
      </c>
      <c r="J8723" s="380" t="s">
        <v>773</v>
      </c>
      <c r="K8723" s="381">
        <v>179535.0</v>
      </c>
      <c r="L8723" s="382">
        <v>1.0</v>
      </c>
    </row>
    <row r="8724">
      <c r="A8724" s="380" t="s">
        <v>9598</v>
      </c>
      <c r="B8724" s="380" t="str">
        <f>IFERROR(__xludf.DUMMYFUNCTION("""COMPUTED_VALUE"""),"Anillo De Contacto Pito Eagle 9400 20109")</f>
        <v>Anillo De Contacto Pito Eagle 9400 20109</v>
      </c>
      <c r="C8724" s="380" t="str">
        <f>IFERROR(__xludf.DUMMYFUNCTION("""COMPUTED_VALUE"""),"70004144")</f>
        <v>70004144</v>
      </c>
      <c r="D8724" s="380" t="s">
        <v>767</v>
      </c>
      <c r="E8724" s="380" t="s">
        <v>786</v>
      </c>
      <c r="F8724" s="380" t="s">
        <v>998</v>
      </c>
      <c r="G8724" s="380" t="s">
        <v>1267</v>
      </c>
      <c r="H8724" s="380" t="s">
        <v>771</v>
      </c>
      <c r="I8724" s="380" t="s">
        <v>788</v>
      </c>
      <c r="J8724" s="380" t="s">
        <v>773</v>
      </c>
      <c r="K8724" s="381">
        <v>347561.0</v>
      </c>
      <c r="L8724" s="382">
        <v>1.0</v>
      </c>
    </row>
    <row r="8725">
      <c r="A8725" s="380" t="s">
        <v>9599</v>
      </c>
      <c r="B8725" s="380" t="str">
        <f>IFERROR(__xludf.DUMMYFUNCTION("""COMPUTED_VALUE"""),"Soporte Cabina Der Kw T800 A85-1277r")</f>
        <v>Soporte Cabina Der Kw T800 A85-1277r</v>
      </c>
      <c r="C8725" s="380" t="str">
        <f>IFERROR(__xludf.DUMMYFUNCTION("""COMPUTED_VALUE"""),"70004145")</f>
        <v>70004145</v>
      </c>
      <c r="D8725" s="380" t="s">
        <v>767</v>
      </c>
      <c r="E8725" s="380" t="s">
        <v>786</v>
      </c>
      <c r="F8725" s="380" t="s">
        <v>792</v>
      </c>
      <c r="G8725" s="380" t="s">
        <v>1267</v>
      </c>
      <c r="H8725" s="380" t="s">
        <v>771</v>
      </c>
      <c r="I8725" s="380" t="s">
        <v>788</v>
      </c>
      <c r="J8725" s="380" t="s">
        <v>773</v>
      </c>
      <c r="K8725" s="381">
        <v>0.0</v>
      </c>
      <c r="L8725" s="382">
        <v>1.0</v>
      </c>
    </row>
    <row r="8726">
      <c r="A8726" s="380" t="s">
        <v>9600</v>
      </c>
      <c r="B8726" s="380" t="str">
        <f>IFERROR(__xludf.DUMMYFUNCTION("""COMPUTED_VALUE"""),"Tubo Flexible Exosto MCK Anthem 23137065")</f>
        <v>Tubo Flexible Exosto MCK Anthem 23137065</v>
      </c>
      <c r="C8726" s="380" t="str">
        <f>IFERROR(__xludf.DUMMYFUNCTION("""COMPUTED_VALUE"""),"70004146")</f>
        <v>70004146</v>
      </c>
      <c r="D8726" s="380" t="s">
        <v>767</v>
      </c>
      <c r="E8726" s="380" t="s">
        <v>786</v>
      </c>
      <c r="F8726" s="380" t="s">
        <v>787</v>
      </c>
      <c r="G8726" s="380" t="s">
        <v>1267</v>
      </c>
      <c r="H8726" s="380" t="s">
        <v>771</v>
      </c>
      <c r="I8726" s="380" t="s">
        <v>788</v>
      </c>
      <c r="J8726" s="380" t="s">
        <v>773</v>
      </c>
      <c r="K8726" s="381">
        <v>0.0</v>
      </c>
      <c r="L8726" s="382">
        <v>1.0</v>
      </c>
    </row>
    <row r="8727">
      <c r="A8727" s="380" t="s">
        <v>9601</v>
      </c>
      <c r="B8727" s="380" t="str">
        <f>IFERROR(__xludf.DUMMYFUNCTION("""COMPUTED_VALUE"""),"Anillo Propulsor Caj Vel Fot 1129 594600")</f>
        <v>Anillo Propulsor Caj Vel Fot 1129 594600</v>
      </c>
      <c r="C8727" s="380" t="str">
        <f>IFERROR(__xludf.DUMMYFUNCTION("""COMPUTED_VALUE"""),"70004147")</f>
        <v>70004147</v>
      </c>
      <c r="D8727" s="380" t="s">
        <v>767</v>
      </c>
      <c r="E8727" s="380" t="s">
        <v>786</v>
      </c>
      <c r="F8727" s="380" t="s">
        <v>928</v>
      </c>
      <c r="G8727" s="380" t="s">
        <v>1267</v>
      </c>
      <c r="H8727" s="380" t="s">
        <v>771</v>
      </c>
      <c r="I8727" s="380" t="s">
        <v>788</v>
      </c>
      <c r="J8727" s="380" t="s">
        <v>773</v>
      </c>
      <c r="K8727" s="381">
        <v>0.0</v>
      </c>
      <c r="L8727" s="382">
        <v>1.0</v>
      </c>
    </row>
    <row r="8728">
      <c r="A8728" s="380" t="s">
        <v>9602</v>
      </c>
      <c r="B8728" s="380" t="str">
        <f>IFERROR(__xludf.DUMMYFUNCTION("""COMPUTED_VALUE"""),"Buje 2 Eje De Clutch FT MV5 1023485562")</f>
        <v>Buje 2 Eje De Clutch FT MV5 1023485562</v>
      </c>
      <c r="C8728" s="380" t="str">
        <f>IFERROR(__xludf.DUMMYFUNCTION("""COMPUTED_VALUE"""),"70004148")</f>
        <v>70004148</v>
      </c>
      <c r="D8728" s="380" t="s">
        <v>767</v>
      </c>
      <c r="E8728" s="380" t="s">
        <v>786</v>
      </c>
      <c r="F8728" s="380" t="s">
        <v>5661</v>
      </c>
      <c r="G8728" s="380" t="s">
        <v>1267</v>
      </c>
      <c r="H8728" s="380" t="s">
        <v>771</v>
      </c>
      <c r="I8728" s="380" t="s">
        <v>788</v>
      </c>
      <c r="J8728" s="380" t="s">
        <v>773</v>
      </c>
      <c r="K8728" s="381">
        <v>0.0</v>
      </c>
      <c r="L8728" s="382">
        <v>1.0</v>
      </c>
    </row>
    <row r="8729">
      <c r="A8729" s="380" t="s">
        <v>9603</v>
      </c>
      <c r="B8729" s="380" t="str">
        <f>IFERROR(__xludf.DUMMYFUNCTION("""COMPUTED_VALUE"""),"Buje 1 Eje De Clutch FT MV5 1023485555")</f>
        <v>Buje 1 Eje De Clutch FT MV5 1023485555</v>
      </c>
      <c r="C8729" s="380" t="str">
        <f>IFERROR(__xludf.DUMMYFUNCTION("""COMPUTED_VALUE"""),"70004149")</f>
        <v>70004149</v>
      </c>
      <c r="D8729" s="380" t="s">
        <v>767</v>
      </c>
      <c r="E8729" s="380" t="s">
        <v>786</v>
      </c>
      <c r="F8729" s="380" t="s">
        <v>5661</v>
      </c>
      <c r="G8729" s="380" t="s">
        <v>1267</v>
      </c>
      <c r="H8729" s="380" t="s">
        <v>771</v>
      </c>
      <c r="I8729" s="380" t="s">
        <v>788</v>
      </c>
      <c r="J8729" s="380" t="s">
        <v>773</v>
      </c>
      <c r="K8729" s="381">
        <v>0.0</v>
      </c>
      <c r="L8729" s="382">
        <v>1.0</v>
      </c>
    </row>
    <row r="8730">
      <c r="A8730" s="380" t="s">
        <v>9604</v>
      </c>
      <c r="B8730" s="380" t="str">
        <f>IFERROR(__xludf.DUMMYFUNCTION("""COMPUTED_VALUE"""),"Anillo Sincronizador 1-2 Caj Vel Fot 112")</f>
        <v>Anillo Sincronizador 1-2 Caj Vel Fot 112</v>
      </c>
      <c r="C8730" s="380" t="str">
        <f>IFERROR(__xludf.DUMMYFUNCTION("""COMPUTED_VALUE"""),"70004150")</f>
        <v>70004150</v>
      </c>
      <c r="D8730" s="380" t="s">
        <v>767</v>
      </c>
      <c r="E8730" s="380" t="s">
        <v>786</v>
      </c>
      <c r="F8730" s="380" t="s">
        <v>928</v>
      </c>
      <c r="G8730" s="380" t="s">
        <v>1267</v>
      </c>
      <c r="H8730" s="380" t="s">
        <v>771</v>
      </c>
      <c r="I8730" s="380" t="s">
        <v>788</v>
      </c>
      <c r="J8730" s="380" t="s">
        <v>773</v>
      </c>
      <c r="K8730" s="381">
        <v>0.0</v>
      </c>
      <c r="L8730" s="382">
        <v>1.0</v>
      </c>
    </row>
    <row r="8731">
      <c r="A8731" s="380" t="s">
        <v>9605</v>
      </c>
      <c r="B8731" s="380" t="str">
        <f>IFERROR(__xludf.DUMMYFUNCTION("""COMPUTED_VALUE"""),"Sincronismo 3-4 Caj Velfot 1129 59460025")</f>
        <v>Sincronismo 3-4 Caj Velfot 1129 59460025</v>
      </c>
      <c r="C8731" s="380" t="str">
        <f>IFERROR(__xludf.DUMMYFUNCTION("""COMPUTED_VALUE"""),"70004151")</f>
        <v>70004151</v>
      </c>
      <c r="D8731" s="380" t="s">
        <v>767</v>
      </c>
      <c r="E8731" s="380" t="s">
        <v>786</v>
      </c>
      <c r="F8731" s="380" t="s">
        <v>928</v>
      </c>
      <c r="G8731" s="380" t="s">
        <v>1267</v>
      </c>
      <c r="H8731" s="380" t="s">
        <v>771</v>
      </c>
      <c r="I8731" s="380" t="s">
        <v>788</v>
      </c>
      <c r="J8731" s="380" t="s">
        <v>773</v>
      </c>
      <c r="K8731" s="381">
        <v>0.0</v>
      </c>
      <c r="L8731" s="382">
        <v>1.0</v>
      </c>
    </row>
    <row r="8732">
      <c r="A8732" s="380" t="s">
        <v>9606</v>
      </c>
      <c r="B8732" s="380" t="str">
        <f>IFERROR(__xludf.DUMMYFUNCTION("""COMPUTED_VALUE"""),"Anillo Sincronizador 3 Caj Vel Fot 1129")</f>
        <v>Anillo Sincronizador 3 Caj Vel Fot 1129</v>
      </c>
      <c r="C8732" s="380" t="str">
        <f>IFERROR(__xludf.DUMMYFUNCTION("""COMPUTED_VALUE"""),"70004152")</f>
        <v>70004152</v>
      </c>
      <c r="D8732" s="380" t="s">
        <v>767</v>
      </c>
      <c r="E8732" s="380" t="s">
        <v>786</v>
      </c>
      <c r="F8732" s="380" t="s">
        <v>928</v>
      </c>
      <c r="G8732" s="380" t="s">
        <v>1267</v>
      </c>
      <c r="H8732" s="380" t="s">
        <v>771</v>
      </c>
      <c r="I8732" s="380" t="s">
        <v>788</v>
      </c>
      <c r="J8732" s="380" t="s">
        <v>773</v>
      </c>
      <c r="K8732" s="381">
        <v>0.0</v>
      </c>
      <c r="L8732" s="382">
        <v>1.0</v>
      </c>
    </row>
    <row r="8733">
      <c r="A8733" s="380" t="s">
        <v>9607</v>
      </c>
      <c r="B8733" s="380" t="str">
        <f>IFERROR(__xludf.DUMMYFUNCTION("""COMPUTED_VALUE"""),"Sensor Nivel De Agua Jac 3820015le310")</f>
        <v>Sensor Nivel De Agua Jac 3820015le310</v>
      </c>
      <c r="C8733" s="380" t="str">
        <f>IFERROR(__xludf.DUMMYFUNCTION("""COMPUTED_VALUE"""),"70004153")</f>
        <v>70004153</v>
      </c>
      <c r="D8733" s="380" t="s">
        <v>767</v>
      </c>
      <c r="E8733" s="380" t="s">
        <v>786</v>
      </c>
      <c r="F8733" s="380" t="s">
        <v>998</v>
      </c>
      <c r="G8733" s="380" t="s">
        <v>1267</v>
      </c>
      <c r="H8733" s="380" t="s">
        <v>771</v>
      </c>
      <c r="I8733" s="380" t="s">
        <v>788</v>
      </c>
      <c r="J8733" s="380" t="s">
        <v>773</v>
      </c>
      <c r="K8733" s="381">
        <v>0.0</v>
      </c>
      <c r="L8733" s="382">
        <v>1.0</v>
      </c>
    </row>
    <row r="8734">
      <c r="A8734" s="380" t="s">
        <v>9608</v>
      </c>
      <c r="B8734" s="380" t="str">
        <f>IFERROR(__xludf.DUMMYFUNCTION("""COMPUTED_VALUE"""),"Piñon Bendix Hyundai Porter H100")</f>
        <v>Piñon Bendix Hyundai Porter H100</v>
      </c>
      <c r="C8734" s="380" t="str">
        <f>IFERROR(__xludf.DUMMYFUNCTION("""COMPUTED_VALUE"""),"70004154")</f>
        <v>70004154</v>
      </c>
      <c r="D8734" s="380" t="s">
        <v>767</v>
      </c>
      <c r="E8734" s="380" t="s">
        <v>786</v>
      </c>
      <c r="F8734" s="380" t="s">
        <v>998</v>
      </c>
      <c r="G8734" s="380" t="s">
        <v>1267</v>
      </c>
      <c r="H8734" s="380" t="s">
        <v>771</v>
      </c>
      <c r="I8734" s="380" t="s">
        <v>788</v>
      </c>
      <c r="J8734" s="380" t="s">
        <v>773</v>
      </c>
      <c r="K8734" s="381">
        <v>0.0</v>
      </c>
      <c r="L8734" s="382">
        <v>1.0</v>
      </c>
    </row>
    <row r="8735">
      <c r="A8735" s="380" t="s">
        <v>9609</v>
      </c>
      <c r="B8735" s="380" t="str">
        <f>IFERROR(__xludf.DUMMYFUNCTION("""COMPUTED_VALUE"""),"Arnes Eléctrico CAB FT 1065 770594686237")</f>
        <v>Arnes Eléctrico CAB FT 1065 770594686237</v>
      </c>
      <c r="C8735" s="380" t="str">
        <f>IFERROR(__xludf.DUMMYFUNCTION("""COMPUTED_VALUE"""),"70004155")</f>
        <v>70004155</v>
      </c>
      <c r="D8735" s="380" t="s">
        <v>767</v>
      </c>
      <c r="E8735" s="380" t="s">
        <v>786</v>
      </c>
      <c r="F8735" s="380" t="s">
        <v>998</v>
      </c>
      <c r="G8735" s="380" t="s">
        <v>1267</v>
      </c>
      <c r="H8735" s="380" t="s">
        <v>771</v>
      </c>
      <c r="I8735" s="380" t="s">
        <v>788</v>
      </c>
      <c r="J8735" s="380" t="s">
        <v>773</v>
      </c>
      <c r="K8735" s="381">
        <v>0.0</v>
      </c>
      <c r="L8735" s="382">
        <v>1.0</v>
      </c>
    </row>
    <row r="8736">
      <c r="A8736" s="380" t="s">
        <v>9610</v>
      </c>
      <c r="B8736" s="380" t="str">
        <f>IFERROR(__xludf.DUMMYFUNCTION("""COMPUTED_VALUE"""),"Sincronismo 1-2 Caj Vel Fot 1129 5946002")</f>
        <v>Sincronismo 1-2 Caj Vel Fot 1129 5946002</v>
      </c>
      <c r="C8736" s="380" t="str">
        <f>IFERROR(__xludf.DUMMYFUNCTION("""COMPUTED_VALUE"""),"70004156")</f>
        <v>70004156</v>
      </c>
      <c r="D8736" s="380" t="s">
        <v>767</v>
      </c>
      <c r="E8736" s="380" t="s">
        <v>786</v>
      </c>
      <c r="F8736" s="380" t="s">
        <v>928</v>
      </c>
      <c r="G8736" s="380" t="s">
        <v>1267</v>
      </c>
      <c r="H8736" s="380" t="s">
        <v>771</v>
      </c>
      <c r="I8736" s="380" t="s">
        <v>788</v>
      </c>
      <c r="J8736" s="380" t="s">
        <v>773</v>
      </c>
      <c r="K8736" s="381">
        <v>0.0</v>
      </c>
      <c r="L8736" s="382">
        <v>1.0</v>
      </c>
    </row>
    <row r="8737">
      <c r="A8737" s="380" t="s">
        <v>9611</v>
      </c>
      <c r="B8737" s="380" t="str">
        <f>IFERROR(__xludf.DUMMYFUNCTION("""COMPUTED_VALUE"""),"Camisa Sincronismo 1-2 Fot 1129 59462207")</f>
        <v>Camisa Sincronismo 1-2 Fot 1129 59462207</v>
      </c>
      <c r="C8737" s="380" t="str">
        <f>IFERROR(__xludf.DUMMYFUNCTION("""COMPUTED_VALUE"""),"70004157")</f>
        <v>70004157</v>
      </c>
      <c r="D8737" s="380" t="s">
        <v>767</v>
      </c>
      <c r="E8737" s="380" t="s">
        <v>786</v>
      </c>
      <c r="F8737" s="380" t="s">
        <v>928</v>
      </c>
      <c r="G8737" s="380" t="s">
        <v>1267</v>
      </c>
      <c r="H8737" s="380" t="s">
        <v>771</v>
      </c>
      <c r="I8737" s="380" t="s">
        <v>788</v>
      </c>
      <c r="J8737" s="380" t="s">
        <v>773</v>
      </c>
      <c r="K8737" s="381">
        <v>0.0</v>
      </c>
      <c r="L8737" s="382">
        <v>1.0</v>
      </c>
    </row>
    <row r="8738">
      <c r="A8738" s="380" t="s">
        <v>9612</v>
      </c>
      <c r="B8738" s="380" t="str">
        <f>IFERROR(__xludf.DUMMYFUNCTION("""COMPUTED_VALUE"""),"Correa Accesorios Foton 1030 5946760027")</f>
        <v>Correa Accesorios Foton 1030 5946760027</v>
      </c>
      <c r="C8738" s="380" t="str">
        <f>IFERROR(__xludf.DUMMYFUNCTION("""COMPUTED_VALUE"""),"70004158")</f>
        <v>70004158</v>
      </c>
      <c r="D8738" s="380" t="s">
        <v>767</v>
      </c>
      <c r="E8738" s="380" t="s">
        <v>786</v>
      </c>
      <c r="F8738" s="380" t="s">
        <v>1031</v>
      </c>
      <c r="G8738" s="380" t="s">
        <v>1267</v>
      </c>
      <c r="H8738" s="380" t="s">
        <v>771</v>
      </c>
      <c r="I8738" s="380" t="s">
        <v>788</v>
      </c>
      <c r="J8738" s="380" t="s">
        <v>773</v>
      </c>
      <c r="K8738" s="381">
        <v>0.0</v>
      </c>
      <c r="L8738" s="382">
        <v>1.0</v>
      </c>
    </row>
    <row r="8739">
      <c r="A8739" s="380" t="s">
        <v>9613</v>
      </c>
      <c r="B8739" s="380" t="str">
        <f>IFERROR(__xludf.DUMMYFUNCTION("""COMPUTED_VALUE"""),"Anillo Caucho Mack Cxu 2330001501")</f>
        <v>Anillo Caucho Mack Cxu 2330001501</v>
      </c>
      <c r="C8739" s="380" t="str">
        <f>IFERROR(__xludf.DUMMYFUNCTION("""COMPUTED_VALUE"""),"70004159")</f>
        <v>70004159</v>
      </c>
      <c r="D8739" s="380" t="s">
        <v>767</v>
      </c>
      <c r="E8739" s="380" t="s">
        <v>786</v>
      </c>
      <c r="F8739" s="380" t="s">
        <v>787</v>
      </c>
      <c r="G8739" s="380" t="s">
        <v>1267</v>
      </c>
      <c r="H8739" s="380" t="s">
        <v>771</v>
      </c>
      <c r="I8739" s="380" t="s">
        <v>788</v>
      </c>
      <c r="J8739" s="380" t="s">
        <v>773</v>
      </c>
      <c r="K8739" s="381">
        <v>0.0</v>
      </c>
      <c r="L8739" s="382">
        <v>1.0</v>
      </c>
    </row>
    <row r="8740">
      <c r="A8740" s="380" t="s">
        <v>9614</v>
      </c>
      <c r="B8740" s="380" t="str">
        <f>IFERROR(__xludf.DUMMYFUNCTION("""COMPUTED_VALUE"""),"Hoja Resorte Trasera 4 Ftr 56265/4")</f>
        <v>Hoja Resorte Trasera 4 Ftr 56265/4</v>
      </c>
      <c r="C8740" s="380" t="str">
        <f>IFERROR(__xludf.DUMMYFUNCTION("""COMPUTED_VALUE"""),"70004160")</f>
        <v>70004160</v>
      </c>
      <c r="D8740" s="380" t="s">
        <v>767</v>
      </c>
      <c r="E8740" s="380" t="s">
        <v>786</v>
      </c>
      <c r="F8740" s="380" t="s">
        <v>1039</v>
      </c>
      <c r="G8740" s="380" t="s">
        <v>1267</v>
      </c>
      <c r="H8740" s="380" t="s">
        <v>771</v>
      </c>
      <c r="I8740" s="380" t="s">
        <v>788</v>
      </c>
      <c r="J8740" s="380" t="s">
        <v>773</v>
      </c>
      <c r="K8740" s="381">
        <v>0.0</v>
      </c>
      <c r="L8740" s="382">
        <v>1.0</v>
      </c>
    </row>
    <row r="8741">
      <c r="A8741" s="380" t="s">
        <v>9615</v>
      </c>
      <c r="B8741" s="380" t="str">
        <f>IFERROR(__xludf.DUMMYFUNCTION("""COMPUTED_VALUE"""),"Hoja Resorte Trasera 5 Ftr 56265/5")</f>
        <v>Hoja Resorte Trasera 5 Ftr 56265/5</v>
      </c>
      <c r="C8741" s="380" t="str">
        <f>IFERROR(__xludf.DUMMYFUNCTION("""COMPUTED_VALUE"""),"70004161")</f>
        <v>70004161</v>
      </c>
      <c r="D8741" s="380" t="s">
        <v>767</v>
      </c>
      <c r="E8741" s="380" t="s">
        <v>786</v>
      </c>
      <c r="F8741" s="380" t="s">
        <v>1039</v>
      </c>
      <c r="G8741" s="380" t="s">
        <v>1267</v>
      </c>
      <c r="H8741" s="380" t="s">
        <v>771</v>
      </c>
      <c r="I8741" s="380" t="s">
        <v>788</v>
      </c>
      <c r="J8741" s="380" t="s">
        <v>773</v>
      </c>
      <c r="K8741" s="381">
        <v>0.0</v>
      </c>
      <c r="L8741" s="382">
        <v>1.0</v>
      </c>
    </row>
    <row r="8742">
      <c r="A8742" s="380" t="s">
        <v>9616</v>
      </c>
      <c r="B8742" s="380" t="str">
        <f>IFERROR(__xludf.DUMMYFUNCTION("""COMPUTED_VALUE"""),"Hoja Resorte Trasera 6 Ftr 56265/6")</f>
        <v>Hoja Resorte Trasera 6 Ftr 56265/6</v>
      </c>
      <c r="C8742" s="380" t="str">
        <f>IFERROR(__xludf.DUMMYFUNCTION("""COMPUTED_VALUE"""),"70004162")</f>
        <v>70004162</v>
      </c>
      <c r="D8742" s="380" t="s">
        <v>767</v>
      </c>
      <c r="E8742" s="380" t="s">
        <v>786</v>
      </c>
      <c r="F8742" s="380" t="s">
        <v>1039</v>
      </c>
      <c r="G8742" s="380" t="s">
        <v>1267</v>
      </c>
      <c r="H8742" s="380" t="s">
        <v>771</v>
      </c>
      <c r="I8742" s="380" t="s">
        <v>788</v>
      </c>
      <c r="J8742" s="380" t="s">
        <v>773</v>
      </c>
      <c r="K8742" s="381">
        <v>0.0</v>
      </c>
      <c r="L8742" s="382">
        <v>1.0</v>
      </c>
    </row>
    <row r="8743">
      <c r="A8743" s="380" t="s">
        <v>9617</v>
      </c>
      <c r="B8743" s="380" t="str">
        <f>IFERROR(__xludf.DUMMYFUNCTION("""COMPUTED_VALUE"""),"Tubo De Freno Del Foton 1039 1023086295")</f>
        <v>Tubo De Freno Del Foton 1039 1023086295</v>
      </c>
      <c r="C8743" s="380" t="str">
        <f>IFERROR(__xludf.DUMMYFUNCTION("""COMPUTED_VALUE"""),"70004163")</f>
        <v>70004163</v>
      </c>
      <c r="D8743" s="380" t="s">
        <v>767</v>
      </c>
      <c r="E8743" s="380" t="s">
        <v>786</v>
      </c>
      <c r="F8743" s="380" t="s">
        <v>1017</v>
      </c>
      <c r="G8743" s="380" t="s">
        <v>1267</v>
      </c>
      <c r="H8743" s="380" t="s">
        <v>771</v>
      </c>
      <c r="I8743" s="380" t="s">
        <v>788</v>
      </c>
      <c r="J8743" s="380" t="s">
        <v>773</v>
      </c>
      <c r="K8743" s="381">
        <v>0.0</v>
      </c>
      <c r="L8743" s="382">
        <v>1.0</v>
      </c>
    </row>
    <row r="8744">
      <c r="A8744" s="380" t="s">
        <v>9618</v>
      </c>
      <c r="B8744" s="380" t="str">
        <f>IFERROR(__xludf.DUMMYFUNCTION("""COMPUTED_VALUE"""),"Grapa 1 MUE Tras FT 1039 1023774598")</f>
        <v>Grapa 1 MUE Tras FT 1039 1023774598</v>
      </c>
      <c r="C8744" s="380" t="str">
        <f>IFERROR(__xludf.DUMMYFUNCTION("""COMPUTED_VALUE"""),"70004164")</f>
        <v>70004164</v>
      </c>
      <c r="D8744" s="380" t="s">
        <v>767</v>
      </c>
      <c r="E8744" s="380" t="s">
        <v>786</v>
      </c>
      <c r="F8744" s="380" t="s">
        <v>1039</v>
      </c>
      <c r="G8744" s="380" t="s">
        <v>1267</v>
      </c>
      <c r="H8744" s="380" t="s">
        <v>771</v>
      </c>
      <c r="I8744" s="380" t="s">
        <v>788</v>
      </c>
      <c r="J8744" s="380" t="s">
        <v>773</v>
      </c>
      <c r="K8744" s="381">
        <v>0.0</v>
      </c>
      <c r="L8744" s="382">
        <v>1.0</v>
      </c>
    </row>
    <row r="8745">
      <c r="A8745" s="380" t="s">
        <v>9619</v>
      </c>
      <c r="B8745" s="380" t="str">
        <f>IFERROR(__xludf.DUMMYFUNCTION("""COMPUTED_VALUE"""),"Grapa 2 MUE Tras FT 1039 1023085335")</f>
        <v>Grapa 2 MUE Tras FT 1039 1023085335</v>
      </c>
      <c r="C8745" s="380" t="str">
        <f>IFERROR(__xludf.DUMMYFUNCTION("""COMPUTED_VALUE"""),"70004165")</f>
        <v>70004165</v>
      </c>
      <c r="D8745" s="380" t="s">
        <v>767</v>
      </c>
      <c r="E8745" s="380" t="s">
        <v>786</v>
      </c>
      <c r="F8745" s="380" t="s">
        <v>1039</v>
      </c>
      <c r="G8745" s="380" t="s">
        <v>1267</v>
      </c>
      <c r="H8745" s="380" t="s">
        <v>771</v>
      </c>
      <c r="I8745" s="380" t="s">
        <v>788</v>
      </c>
      <c r="J8745" s="380" t="s">
        <v>773</v>
      </c>
      <c r="K8745" s="381">
        <v>0.0</v>
      </c>
      <c r="L8745" s="382">
        <v>1.0</v>
      </c>
    </row>
    <row r="8746">
      <c r="A8746" s="380" t="s">
        <v>9620</v>
      </c>
      <c r="B8746" s="380" t="str">
        <f>IFERROR(__xludf.DUMMYFUNCTION("""COMPUTED_VALUE"""),"Kit Camisa Piston MOT G1 Nhr N 587813193")</f>
        <v>Kit Camisa Piston MOT G1 Nhr N 587813193</v>
      </c>
      <c r="C8746" s="380" t="str">
        <f>IFERROR(__xludf.DUMMYFUNCTION("""COMPUTED_VALUE"""),"70004166")</f>
        <v>70004166</v>
      </c>
      <c r="D8746" s="380" t="s">
        <v>767</v>
      </c>
      <c r="E8746" s="380" t="s">
        <v>786</v>
      </c>
      <c r="F8746" s="380" t="s">
        <v>787</v>
      </c>
      <c r="G8746" s="380" t="s">
        <v>1267</v>
      </c>
      <c r="H8746" s="380" t="s">
        <v>771</v>
      </c>
      <c r="I8746" s="380" t="s">
        <v>788</v>
      </c>
      <c r="J8746" s="380" t="s">
        <v>773</v>
      </c>
      <c r="K8746" s="381">
        <v>0.0</v>
      </c>
      <c r="L8746" s="382">
        <v>1.0</v>
      </c>
    </row>
    <row r="8747">
      <c r="A8747" s="380" t="s">
        <v>9621</v>
      </c>
      <c r="B8747" s="380" t="str">
        <f>IFERROR(__xludf.DUMMYFUNCTION("""COMPUTED_VALUE"""),"Recamara Freno Delantero Daf Cf480")</f>
        <v>Recamara Freno Delantero Daf Cf480</v>
      </c>
      <c r="C8747" s="380" t="str">
        <f>IFERROR(__xludf.DUMMYFUNCTION("""COMPUTED_VALUE"""),"70004167")</f>
        <v>70004167</v>
      </c>
      <c r="D8747" s="380" t="s">
        <v>767</v>
      </c>
      <c r="E8747" s="380" t="s">
        <v>786</v>
      </c>
      <c r="F8747" s="380" t="s">
        <v>1017</v>
      </c>
      <c r="G8747" s="380" t="s">
        <v>1267</v>
      </c>
      <c r="H8747" s="380" t="s">
        <v>771</v>
      </c>
      <c r="I8747" s="380" t="s">
        <v>788</v>
      </c>
      <c r="J8747" s="380" t="s">
        <v>773</v>
      </c>
      <c r="K8747" s="381">
        <v>0.0</v>
      </c>
      <c r="L8747" s="382">
        <v>1.0</v>
      </c>
    </row>
    <row r="8748">
      <c r="A8748" s="380" t="s">
        <v>9622</v>
      </c>
      <c r="B8748" s="380" t="str">
        <f>IFERROR(__xludf.DUMMYFUNCTION("""COMPUTED_VALUE"""),"ReCAM Freno DEL Daf Cf480 REP")</f>
        <v>ReCAM Freno DEL Daf Cf480 REP</v>
      </c>
      <c r="C8748" s="380" t="str">
        <f>IFERROR(__xludf.DUMMYFUNCTION("""COMPUTED_VALUE"""),"70004168")</f>
        <v>70004168</v>
      </c>
      <c r="D8748" s="380" t="s">
        <v>767</v>
      </c>
      <c r="E8748" s="380" t="s">
        <v>786</v>
      </c>
      <c r="F8748" s="380" t="s">
        <v>1017</v>
      </c>
      <c r="G8748" s="380" t="s">
        <v>1267</v>
      </c>
      <c r="H8748" s="380" t="s">
        <v>771</v>
      </c>
      <c r="I8748" s="380" t="s">
        <v>788</v>
      </c>
      <c r="J8748" s="380" t="s">
        <v>773</v>
      </c>
      <c r="K8748" s="381">
        <v>0.0</v>
      </c>
      <c r="L8748" s="382">
        <v>1.0</v>
      </c>
    </row>
    <row r="8749">
      <c r="A8749" s="380" t="s">
        <v>9623</v>
      </c>
      <c r="B8749" s="380" t="str">
        <f>IFERROR(__xludf.DUMMYFUNCTION("""COMPUTED_VALUE"""),"Motor Limpiabrisas Foton 1129 1023545099")</f>
        <v>Motor Limpiabrisas Foton 1129 1023545099</v>
      </c>
      <c r="C8749" s="380" t="str">
        <f>IFERROR(__xludf.DUMMYFUNCTION("""COMPUTED_VALUE"""),"70004169")</f>
        <v>70004169</v>
      </c>
      <c r="D8749" s="380" t="s">
        <v>767</v>
      </c>
      <c r="E8749" s="380" t="s">
        <v>786</v>
      </c>
      <c r="F8749" s="380" t="s">
        <v>998</v>
      </c>
      <c r="G8749" s="380" t="s">
        <v>1267</v>
      </c>
      <c r="H8749" s="380" t="s">
        <v>771</v>
      </c>
      <c r="I8749" s="380" t="s">
        <v>788</v>
      </c>
      <c r="J8749" s="380" t="s">
        <v>773</v>
      </c>
      <c r="K8749" s="381">
        <v>236960.0</v>
      </c>
      <c r="L8749" s="382">
        <v>1.0</v>
      </c>
    </row>
    <row r="8750">
      <c r="A8750" s="380" t="s">
        <v>9624</v>
      </c>
      <c r="B8750" s="380" t="str">
        <f>IFERROR(__xludf.DUMMYFUNCTION("""COMPUTED_VALUE"""),"Eje De Levas Hino Dutropack 13501-E0612")</f>
        <v>Eje De Levas Hino Dutropack 13501-E0612</v>
      </c>
      <c r="C8750" s="380" t="str">
        <f>IFERROR(__xludf.DUMMYFUNCTION("""COMPUTED_VALUE"""),"70004170")</f>
        <v>70004170</v>
      </c>
      <c r="D8750" s="380" t="s">
        <v>767</v>
      </c>
      <c r="E8750" s="380" t="s">
        <v>786</v>
      </c>
      <c r="F8750" s="380" t="s">
        <v>787</v>
      </c>
      <c r="G8750" s="380" t="s">
        <v>1267</v>
      </c>
      <c r="H8750" s="380" t="s">
        <v>771</v>
      </c>
      <c r="I8750" s="380" t="s">
        <v>788</v>
      </c>
      <c r="J8750" s="380" t="s">
        <v>773</v>
      </c>
      <c r="K8750" s="381">
        <v>0.0</v>
      </c>
      <c r="L8750" s="382">
        <v>1.0</v>
      </c>
    </row>
    <row r="8751">
      <c r="A8751" s="380" t="s">
        <v>9625</v>
      </c>
      <c r="B8751" s="380" t="str">
        <f>IFERROR(__xludf.DUMMYFUNCTION("""COMPUTED_VALUE"""),"Correa BMB Hidráulica Jac Jhr 3407210fa0")</f>
        <v>Correa BMB Hidráulica Jac Jhr 3407210fa0</v>
      </c>
      <c r="C8751" s="380" t="str">
        <f>IFERROR(__xludf.DUMMYFUNCTION("""COMPUTED_VALUE"""),"70004171")</f>
        <v>70004171</v>
      </c>
      <c r="D8751" s="380" t="s">
        <v>767</v>
      </c>
      <c r="E8751" s="380" t="s">
        <v>786</v>
      </c>
      <c r="F8751" s="380" t="s">
        <v>787</v>
      </c>
      <c r="G8751" s="380" t="s">
        <v>1267</v>
      </c>
      <c r="H8751" s="380" t="s">
        <v>771</v>
      </c>
      <c r="I8751" s="380" t="s">
        <v>788</v>
      </c>
      <c r="J8751" s="380" t="s">
        <v>773</v>
      </c>
      <c r="K8751" s="381">
        <v>0.0</v>
      </c>
      <c r="L8751" s="382">
        <v>1.0</v>
      </c>
    </row>
    <row r="8752">
      <c r="A8752" s="380" t="s">
        <v>9626</v>
      </c>
      <c r="B8752" s="380" t="str">
        <f>IFERROR(__xludf.DUMMYFUNCTION("""COMPUTED_VALUE"""),"SOP Caucho MOT Del Kw T800 0703286rub")</f>
        <v>SOP Caucho MOT Del Kw T800 0703286rub</v>
      </c>
      <c r="C8752" s="380" t="str">
        <f>IFERROR(__xludf.DUMMYFUNCTION("""COMPUTED_VALUE"""),"70004172")</f>
        <v>70004172</v>
      </c>
      <c r="D8752" s="380" t="s">
        <v>767</v>
      </c>
      <c r="E8752" s="380" t="s">
        <v>786</v>
      </c>
      <c r="F8752" s="380" t="s">
        <v>787</v>
      </c>
      <c r="G8752" s="380" t="s">
        <v>1267</v>
      </c>
      <c r="H8752" s="380" t="s">
        <v>771</v>
      </c>
      <c r="I8752" s="380" t="s">
        <v>788</v>
      </c>
      <c r="J8752" s="380" t="s">
        <v>773</v>
      </c>
      <c r="K8752" s="381">
        <v>0.0</v>
      </c>
      <c r="L8752" s="382">
        <v>1.0</v>
      </c>
    </row>
    <row r="8753">
      <c r="A8753" s="380" t="s">
        <v>9627</v>
      </c>
      <c r="B8753" s="380" t="str">
        <f>IFERROR(__xludf.DUMMYFUNCTION("""COMPUTED_VALUE"""),"Sincronismo 5-6 Caj Vel Fot 1129 5946002")</f>
        <v>Sincronismo 5-6 Caj Vel Fot 1129 5946002</v>
      </c>
      <c r="C8753" s="380" t="str">
        <f>IFERROR(__xludf.DUMMYFUNCTION("""COMPUTED_VALUE"""),"70004173")</f>
        <v>70004173</v>
      </c>
      <c r="D8753" s="380" t="s">
        <v>767</v>
      </c>
      <c r="E8753" s="380" t="s">
        <v>786</v>
      </c>
      <c r="F8753" s="380" t="s">
        <v>928</v>
      </c>
      <c r="G8753" s="380" t="s">
        <v>1267</v>
      </c>
      <c r="H8753" s="380" t="s">
        <v>771</v>
      </c>
      <c r="I8753" s="380" t="s">
        <v>788</v>
      </c>
      <c r="J8753" s="380" t="s">
        <v>773</v>
      </c>
      <c r="K8753" s="381">
        <v>0.0</v>
      </c>
      <c r="L8753" s="382">
        <v>1.0</v>
      </c>
    </row>
    <row r="8754">
      <c r="A8754" s="380" t="s">
        <v>9628</v>
      </c>
      <c r="B8754" s="380" t="str">
        <f>IFERROR(__xludf.DUMMYFUNCTION("""COMPUTED_VALUE"""),"Tubo Refrigeracion CJ Termost 2330000134")</f>
        <v>Tubo Refrigeracion CJ Termost 2330000134</v>
      </c>
      <c r="C8754" s="380" t="str">
        <f>IFERROR(__xludf.DUMMYFUNCTION("""COMPUTED_VALUE"""),"70004174")</f>
        <v>70004174</v>
      </c>
      <c r="D8754" s="380" t="s">
        <v>767</v>
      </c>
      <c r="E8754" s="380" t="s">
        <v>786</v>
      </c>
      <c r="F8754" s="380" t="s">
        <v>787</v>
      </c>
      <c r="G8754" s="380" t="s">
        <v>1267</v>
      </c>
      <c r="H8754" s="380" t="s">
        <v>771</v>
      </c>
      <c r="I8754" s="380" t="s">
        <v>788</v>
      </c>
      <c r="J8754" s="380" t="s">
        <v>773</v>
      </c>
      <c r="K8754" s="381">
        <v>0.0</v>
      </c>
      <c r="L8754" s="382">
        <v>1.0</v>
      </c>
    </row>
    <row r="8755">
      <c r="A8755" s="380" t="s">
        <v>9629</v>
      </c>
      <c r="B8755" s="380" t="str">
        <f>IFERROR(__xludf.DUMMYFUNCTION("""COMPUTED_VALUE"""),"Correa Ventilador Foton 1065 5946316996")</f>
        <v>Correa Ventilador Foton 1065 5946316996</v>
      </c>
      <c r="C8755" s="380" t="str">
        <f>IFERROR(__xludf.DUMMYFUNCTION("""COMPUTED_VALUE"""),"70004175")</f>
        <v>70004175</v>
      </c>
      <c r="D8755" s="380" t="s">
        <v>767</v>
      </c>
      <c r="E8755" s="380" t="s">
        <v>786</v>
      </c>
      <c r="F8755" s="380" t="s">
        <v>787</v>
      </c>
      <c r="G8755" s="380" t="s">
        <v>1267</v>
      </c>
      <c r="H8755" s="380" t="s">
        <v>771</v>
      </c>
      <c r="I8755" s="380" t="s">
        <v>788</v>
      </c>
      <c r="J8755" s="380" t="s">
        <v>773</v>
      </c>
      <c r="K8755" s="381">
        <v>0.0</v>
      </c>
      <c r="L8755" s="382">
        <v>1.0</v>
      </c>
    </row>
    <row r="8756">
      <c r="A8756" s="380" t="s">
        <v>9630</v>
      </c>
      <c r="B8756" s="380" t="str">
        <f>IFERROR(__xludf.DUMMYFUNCTION("""COMPUTED_VALUE"""),"Campana Del Freno Foton 1129 1023311040")</f>
        <v>Campana Del Freno Foton 1129 1023311040</v>
      </c>
      <c r="C8756" s="380" t="str">
        <f>IFERROR(__xludf.DUMMYFUNCTION("""COMPUTED_VALUE"""),"70004176")</f>
        <v>70004176</v>
      </c>
      <c r="D8756" s="380" t="s">
        <v>767</v>
      </c>
      <c r="E8756" s="380" t="s">
        <v>786</v>
      </c>
      <c r="F8756" s="380" t="s">
        <v>1017</v>
      </c>
      <c r="G8756" s="380" t="s">
        <v>1267</v>
      </c>
      <c r="H8756" s="380" t="s">
        <v>771</v>
      </c>
      <c r="I8756" s="380" t="s">
        <v>788</v>
      </c>
      <c r="J8756" s="380" t="s">
        <v>773</v>
      </c>
      <c r="K8756" s="381">
        <v>0.0</v>
      </c>
      <c r="L8756" s="382">
        <v>1.0</v>
      </c>
    </row>
    <row r="8757">
      <c r="A8757" s="380" t="s">
        <v>9631</v>
      </c>
      <c r="B8757" s="380" t="str">
        <f>IFERROR(__xludf.DUMMYFUNCTION("""COMPUTED_VALUE"""),"Resorte Freno RDA Del FT 1129 1023082105")</f>
        <v>Resorte Freno RDA Del FT 1129 1023082105</v>
      </c>
      <c r="C8757" s="380" t="str">
        <f>IFERROR(__xludf.DUMMYFUNCTION("""COMPUTED_VALUE"""),"70004177")</f>
        <v>70004177</v>
      </c>
      <c r="D8757" s="380" t="s">
        <v>767</v>
      </c>
      <c r="E8757" s="380" t="s">
        <v>786</v>
      </c>
      <c r="F8757" s="380" t="s">
        <v>1017</v>
      </c>
      <c r="G8757" s="380" t="s">
        <v>1267</v>
      </c>
      <c r="H8757" s="380" t="s">
        <v>771</v>
      </c>
      <c r="I8757" s="380" t="s">
        <v>788</v>
      </c>
      <c r="J8757" s="380" t="s">
        <v>773</v>
      </c>
      <c r="K8757" s="381">
        <v>0.0</v>
      </c>
      <c r="L8757" s="382">
        <v>1.0</v>
      </c>
    </row>
    <row r="8758">
      <c r="A8758" s="380" t="s">
        <v>9632</v>
      </c>
      <c r="B8758" s="380" t="str">
        <f>IFERROR(__xludf.DUMMYFUNCTION("""COMPUTED_VALUE"""),"Guaya Freno Parqueo FT 1039 1023475631")</f>
        <v>Guaya Freno Parqueo FT 1039 1023475631</v>
      </c>
      <c r="C8758" s="380" t="str">
        <f>IFERROR(__xludf.DUMMYFUNCTION("""COMPUTED_VALUE"""),"70004178")</f>
        <v>70004178</v>
      </c>
      <c r="D8758" s="380" t="s">
        <v>767</v>
      </c>
      <c r="E8758" s="380" t="s">
        <v>786</v>
      </c>
      <c r="F8758" s="380" t="s">
        <v>1017</v>
      </c>
      <c r="G8758" s="380" t="s">
        <v>1267</v>
      </c>
      <c r="H8758" s="380" t="s">
        <v>771</v>
      </c>
      <c r="I8758" s="380" t="s">
        <v>788</v>
      </c>
      <c r="J8758" s="380" t="s">
        <v>773</v>
      </c>
      <c r="K8758" s="381">
        <v>0.0</v>
      </c>
      <c r="L8758" s="382">
        <v>1.0</v>
      </c>
    </row>
    <row r="8759">
      <c r="A8759" s="380" t="s">
        <v>9633</v>
      </c>
      <c r="B8759" s="380" t="str">
        <f>IFERROR(__xludf.DUMMYFUNCTION("""COMPUTED_VALUE"""),"Riel Elevavidrios TRAS Prostar 2506021c1")</f>
        <v>Riel Elevavidrios TRAS Prostar 2506021c1</v>
      </c>
      <c r="C8759" s="380" t="str">
        <f>IFERROR(__xludf.DUMMYFUNCTION("""COMPUTED_VALUE"""),"70004179")</f>
        <v>70004179</v>
      </c>
      <c r="D8759" s="380" t="s">
        <v>767</v>
      </c>
      <c r="E8759" s="380" t="s">
        <v>786</v>
      </c>
      <c r="F8759" s="380" t="s">
        <v>792</v>
      </c>
      <c r="G8759" s="380" t="s">
        <v>1267</v>
      </c>
      <c r="H8759" s="380" t="s">
        <v>771</v>
      </c>
      <c r="I8759" s="380" t="s">
        <v>788</v>
      </c>
      <c r="J8759" s="380" t="s">
        <v>773</v>
      </c>
      <c r="K8759" s="381">
        <v>0.0</v>
      </c>
      <c r="L8759" s="382">
        <v>1.0</v>
      </c>
    </row>
    <row r="8760">
      <c r="A8760" s="380" t="s">
        <v>9634</v>
      </c>
      <c r="B8760" s="380" t="str">
        <f>IFERROR(__xludf.DUMMYFUNCTION("""COMPUTED_VALUE"""),"Abrazadera T515")</f>
        <v>Abrazadera T515</v>
      </c>
      <c r="C8760" s="380" t="str">
        <f>IFERROR(__xludf.DUMMYFUNCTION("""COMPUTED_VALUE"""),"70004180")</f>
        <v>70004180</v>
      </c>
      <c r="D8760" s="380" t="s">
        <v>767</v>
      </c>
      <c r="E8760" s="380" t="s">
        <v>786</v>
      </c>
      <c r="F8760" s="380" t="s">
        <v>989</v>
      </c>
      <c r="G8760" s="380" t="s">
        <v>1267</v>
      </c>
      <c r="H8760" s="380" t="s">
        <v>771</v>
      </c>
      <c r="I8760" s="380" t="s">
        <v>788</v>
      </c>
      <c r="J8760" s="380" t="s">
        <v>773</v>
      </c>
      <c r="K8760" s="381">
        <v>0.0</v>
      </c>
      <c r="L8760" s="382">
        <v>1.0</v>
      </c>
    </row>
    <row r="8761">
      <c r="A8761" s="380" t="s">
        <v>9635</v>
      </c>
      <c r="B8761" s="380" t="str">
        <f>IFERROR(__xludf.DUMMYFUNCTION("""COMPUTED_VALUE"""),"Inyector COMB MOT FT 1039 5946436656")</f>
        <v>Inyector COMB MOT FT 1039 5946436656</v>
      </c>
      <c r="C8761" s="380" t="str">
        <f>IFERROR(__xludf.DUMMYFUNCTION("""COMPUTED_VALUE"""),"70004181")</f>
        <v>70004181</v>
      </c>
      <c r="D8761" s="380" t="s">
        <v>767</v>
      </c>
      <c r="E8761" s="380" t="s">
        <v>786</v>
      </c>
      <c r="F8761" s="380" t="s">
        <v>787</v>
      </c>
      <c r="G8761" s="380" t="s">
        <v>1267</v>
      </c>
      <c r="H8761" s="380" t="s">
        <v>771</v>
      </c>
      <c r="I8761" s="380" t="s">
        <v>788</v>
      </c>
      <c r="J8761" s="380" t="s">
        <v>773</v>
      </c>
      <c r="K8761" s="381">
        <v>0.0</v>
      </c>
      <c r="L8761" s="382">
        <v>1.0</v>
      </c>
    </row>
    <row r="8762">
      <c r="A8762" s="380" t="s">
        <v>9636</v>
      </c>
      <c r="B8762" s="380" t="str">
        <f>IFERROR(__xludf.DUMMYFUNCTION("""COMPUTED_VALUE"""),"Riel Elevavidrios DEL Prostar 2506042c2")</f>
        <v>Riel Elevavidrios DEL Prostar 2506042c2</v>
      </c>
      <c r="C8762" s="380" t="str">
        <f>IFERROR(__xludf.DUMMYFUNCTION("""COMPUTED_VALUE"""),"70004182")</f>
        <v>70004182</v>
      </c>
      <c r="D8762" s="380" t="s">
        <v>767</v>
      </c>
      <c r="E8762" s="380" t="s">
        <v>786</v>
      </c>
      <c r="F8762" s="380" t="s">
        <v>792</v>
      </c>
      <c r="G8762" s="380" t="s">
        <v>1267</v>
      </c>
      <c r="H8762" s="380" t="s">
        <v>771</v>
      </c>
      <c r="I8762" s="380" t="s">
        <v>788</v>
      </c>
      <c r="J8762" s="380" t="s">
        <v>773</v>
      </c>
      <c r="K8762" s="381">
        <v>133529.0</v>
      </c>
      <c r="L8762" s="382">
        <v>1.0</v>
      </c>
    </row>
    <row r="8763">
      <c r="A8763" s="380" t="s">
        <v>9637</v>
      </c>
      <c r="B8763" s="380" t="str">
        <f>IFERROR(__xludf.DUMMYFUNCTION("""COMPUTED_VALUE"""),"Valvula De Freno Frr 89822278924107027")</f>
        <v>Valvula De Freno Frr 89822278924107027</v>
      </c>
      <c r="C8763" s="380" t="str">
        <f>IFERROR(__xludf.DUMMYFUNCTION("""COMPUTED_VALUE"""),"70004183")</f>
        <v>70004183</v>
      </c>
      <c r="D8763" s="380" t="s">
        <v>767</v>
      </c>
      <c r="E8763" s="380" t="s">
        <v>786</v>
      </c>
      <c r="F8763" s="380" t="s">
        <v>1017</v>
      </c>
      <c r="G8763" s="380" t="s">
        <v>1267</v>
      </c>
      <c r="H8763" s="380" t="s">
        <v>771</v>
      </c>
      <c r="I8763" s="380" t="s">
        <v>788</v>
      </c>
      <c r="J8763" s="380" t="s">
        <v>773</v>
      </c>
      <c r="K8763" s="381">
        <v>0.0</v>
      </c>
      <c r="L8763" s="382">
        <v>1.0</v>
      </c>
    </row>
    <row r="8764">
      <c r="A8764" s="380" t="s">
        <v>9638</v>
      </c>
      <c r="B8764" s="380" t="str">
        <f>IFERROR(__xludf.DUMMYFUNCTION("""COMPUTED_VALUE"""),"Punta Eje Del Der Foton 1128 5946752114")</f>
        <v>Punta Eje Del Der Foton 1128 5946752114</v>
      </c>
      <c r="C8764" s="380" t="str">
        <f>IFERROR(__xludf.DUMMYFUNCTION("""COMPUTED_VALUE"""),"70004184")</f>
        <v>70004184</v>
      </c>
      <c r="D8764" s="380" t="s">
        <v>767</v>
      </c>
      <c r="E8764" s="380" t="s">
        <v>786</v>
      </c>
      <c r="F8764" s="380" t="s">
        <v>1039</v>
      </c>
      <c r="G8764" s="380" t="s">
        <v>1267</v>
      </c>
      <c r="H8764" s="380" t="s">
        <v>771</v>
      </c>
      <c r="I8764" s="380" t="s">
        <v>788</v>
      </c>
      <c r="J8764" s="380" t="s">
        <v>773</v>
      </c>
      <c r="K8764" s="381">
        <v>0.0</v>
      </c>
      <c r="L8764" s="382">
        <v>1.0</v>
      </c>
    </row>
    <row r="8765">
      <c r="A8765" s="380" t="s">
        <v>9639</v>
      </c>
      <c r="B8765" s="380" t="str">
        <f>IFERROR(__xludf.DUMMYFUNCTION("""COMPUTED_VALUE"""),"Sello Vastago Válvula Culata Isf 3955393")</f>
        <v>Sello Vastago Válvula Culata Isf 3955393</v>
      </c>
      <c r="C8765" s="380" t="str">
        <f>IFERROR(__xludf.DUMMYFUNCTION("""COMPUTED_VALUE"""),"70004185")</f>
        <v>70004185</v>
      </c>
      <c r="D8765" s="380" t="s">
        <v>767</v>
      </c>
      <c r="E8765" s="380" t="s">
        <v>786</v>
      </c>
      <c r="F8765" s="380" t="s">
        <v>787</v>
      </c>
      <c r="G8765" s="380" t="s">
        <v>1267</v>
      </c>
      <c r="H8765" s="380" t="s">
        <v>771</v>
      </c>
      <c r="I8765" s="380" t="s">
        <v>788</v>
      </c>
      <c r="J8765" s="380" t="s">
        <v>773</v>
      </c>
      <c r="K8765" s="381">
        <v>0.0</v>
      </c>
      <c r="L8765" s="382">
        <v>1.0</v>
      </c>
    </row>
    <row r="8766">
      <c r="A8766" s="380" t="s">
        <v>9640</v>
      </c>
      <c r="B8766" s="380" t="str">
        <f>IFERROR(__xludf.DUMMYFUNCTION("""COMPUTED_VALUE"""),"EMP Culata MOT Isf 3 8 CUMM Jac 5345648")</f>
        <v>EMP Culata MOT Isf 3 8 CUMM Jac 5345648</v>
      </c>
      <c r="C8766" s="380" t="str">
        <f>IFERROR(__xludf.DUMMYFUNCTION("""COMPUTED_VALUE"""),"70004186")</f>
        <v>70004186</v>
      </c>
      <c r="D8766" s="380" t="s">
        <v>767</v>
      </c>
      <c r="E8766" s="380" t="s">
        <v>786</v>
      </c>
      <c r="F8766" s="380" t="s">
        <v>787</v>
      </c>
      <c r="G8766" s="380" t="s">
        <v>1267</v>
      </c>
      <c r="H8766" s="380" t="s">
        <v>771</v>
      </c>
      <c r="I8766" s="380" t="s">
        <v>788</v>
      </c>
      <c r="J8766" s="380" t="s">
        <v>773</v>
      </c>
      <c r="K8766" s="381">
        <v>0.0</v>
      </c>
      <c r="L8766" s="382">
        <v>1.0</v>
      </c>
    </row>
    <row r="8767">
      <c r="A8767" s="380" t="s">
        <v>9641</v>
      </c>
      <c r="B8767" s="380" t="str">
        <f>IFERROR(__xludf.DUMMYFUNCTION("""COMPUTED_VALUE"""),"Cuña Splinder Foton 1128 1023326285")</f>
        <v>Cuña Splinder Foton 1128 1023326285</v>
      </c>
      <c r="C8767" s="380" t="str">
        <f>IFERROR(__xludf.DUMMYFUNCTION("""COMPUTED_VALUE"""),"70004187")</f>
        <v>70004187</v>
      </c>
      <c r="D8767" s="380" t="s">
        <v>767</v>
      </c>
      <c r="E8767" s="380" t="s">
        <v>786</v>
      </c>
      <c r="F8767" s="380" t="s">
        <v>1039</v>
      </c>
      <c r="G8767" s="380" t="s">
        <v>1267</v>
      </c>
      <c r="H8767" s="380" t="s">
        <v>771</v>
      </c>
      <c r="I8767" s="380" t="s">
        <v>788</v>
      </c>
      <c r="J8767" s="380" t="s">
        <v>773</v>
      </c>
      <c r="K8767" s="381">
        <v>0.0</v>
      </c>
      <c r="L8767" s="382">
        <v>1.0</v>
      </c>
    </row>
    <row r="8768">
      <c r="A8768" s="380" t="s">
        <v>9642</v>
      </c>
      <c r="B8768" s="380" t="str">
        <f>IFERROR(__xludf.DUMMYFUNCTION("""COMPUTED_VALUE"""),"Anillo Bocin Del Foton 1128 1023339025")</f>
        <v>Anillo Bocin Del Foton 1128 1023339025</v>
      </c>
      <c r="C8768" s="380" t="str">
        <f>IFERROR(__xludf.DUMMYFUNCTION("""COMPUTED_VALUE"""),"70004188")</f>
        <v>70004188</v>
      </c>
      <c r="D8768" s="380" t="s">
        <v>767</v>
      </c>
      <c r="E8768" s="380" t="s">
        <v>786</v>
      </c>
      <c r="F8768" s="380" t="s">
        <v>1017</v>
      </c>
      <c r="G8768" s="380" t="s">
        <v>1267</v>
      </c>
      <c r="H8768" s="380" t="s">
        <v>771</v>
      </c>
      <c r="I8768" s="380" t="s">
        <v>788</v>
      </c>
      <c r="J8768" s="380" t="s">
        <v>773</v>
      </c>
      <c r="K8768" s="381">
        <v>0.0</v>
      </c>
      <c r="L8768" s="382">
        <v>1.0</v>
      </c>
    </row>
    <row r="8769">
      <c r="A8769" s="380" t="s">
        <v>9643</v>
      </c>
      <c r="B8769" s="380" t="str">
        <f>IFERROR(__xludf.DUMMYFUNCTION("""COMPUTED_VALUE"""),"Correa AIR AC 5pk840 FT 1030 5946760034")</f>
        <v>Correa AIR AC 5pk840 FT 1030 5946760034</v>
      </c>
      <c r="C8769" s="380" t="str">
        <f>IFERROR(__xludf.DUMMYFUNCTION("""COMPUTED_VALUE"""),"70004189")</f>
        <v>70004189</v>
      </c>
      <c r="D8769" s="380" t="s">
        <v>767</v>
      </c>
      <c r="E8769" s="380" t="s">
        <v>786</v>
      </c>
      <c r="F8769" s="380" t="s">
        <v>1031</v>
      </c>
      <c r="G8769" s="380" t="s">
        <v>1267</v>
      </c>
      <c r="H8769" s="380" t="s">
        <v>771</v>
      </c>
      <c r="I8769" s="380" t="s">
        <v>788</v>
      </c>
      <c r="J8769" s="380" t="s">
        <v>773</v>
      </c>
      <c r="K8769" s="381">
        <v>102320.0</v>
      </c>
      <c r="L8769" s="382">
        <v>1.0</v>
      </c>
    </row>
    <row r="8770">
      <c r="A8770" s="380" t="s">
        <v>9644</v>
      </c>
      <c r="B8770" s="380" t="str">
        <f>IFERROR(__xludf.DUMMYFUNCTION("""COMPUTED_VALUE"""),"Mordaza Freno DEL IZQ HY H100")</f>
        <v>Mordaza Freno DEL IZQ HY H100</v>
      </c>
      <c r="C8770" s="380" t="str">
        <f>IFERROR(__xludf.DUMMYFUNCTION("""COMPUTED_VALUE"""),"70004190")</f>
        <v>70004190</v>
      </c>
      <c r="D8770" s="380" t="s">
        <v>767</v>
      </c>
      <c r="E8770" s="380" t="s">
        <v>786</v>
      </c>
      <c r="F8770" s="380" t="s">
        <v>1017</v>
      </c>
      <c r="G8770" s="380" t="s">
        <v>1267</v>
      </c>
      <c r="H8770" s="380" t="s">
        <v>771</v>
      </c>
      <c r="I8770" s="380" t="s">
        <v>788</v>
      </c>
      <c r="J8770" s="380" t="s">
        <v>773</v>
      </c>
      <c r="K8770" s="381">
        <v>0.0</v>
      </c>
      <c r="L8770" s="382">
        <v>1.0</v>
      </c>
    </row>
    <row r="8771">
      <c r="A8771" s="380" t="s">
        <v>9645</v>
      </c>
      <c r="B8771" s="380" t="str">
        <f>IFERROR(__xludf.DUMMYFUNCTION("""COMPUTED_VALUE"""),"Panel Esquinero DER FT 1030 5946735087")</f>
        <v>Panel Esquinero DER FT 1030 5946735087</v>
      </c>
      <c r="C8771" s="380" t="str">
        <f>IFERROR(__xludf.DUMMYFUNCTION("""COMPUTED_VALUE"""),"70004191")</f>
        <v>70004191</v>
      </c>
      <c r="D8771" s="380" t="s">
        <v>767</v>
      </c>
      <c r="E8771" s="380" t="s">
        <v>786</v>
      </c>
      <c r="F8771" s="380" t="s">
        <v>792</v>
      </c>
      <c r="G8771" s="380" t="s">
        <v>1267</v>
      </c>
      <c r="H8771" s="380" t="s">
        <v>771</v>
      </c>
      <c r="I8771" s="380" t="s">
        <v>788</v>
      </c>
      <c r="J8771" s="380" t="s">
        <v>773</v>
      </c>
      <c r="K8771" s="381">
        <v>0.0</v>
      </c>
      <c r="L8771" s="382">
        <v>1.0</v>
      </c>
    </row>
    <row r="8772">
      <c r="A8772" s="380" t="s">
        <v>9646</v>
      </c>
      <c r="B8772" s="380" t="str">
        <f>IFERROR(__xludf.DUMMYFUNCTION("""COMPUTED_VALUE"""),"Arandela Sincronismo 1-2 Fot 1129 564600")</f>
        <v>Arandela Sincronismo 1-2 Fot 1129 564600</v>
      </c>
      <c r="C8772" s="380" t="str">
        <f>IFERROR(__xludf.DUMMYFUNCTION("""COMPUTED_VALUE"""),"70004192")</f>
        <v>70004192</v>
      </c>
      <c r="D8772" s="380" t="s">
        <v>767</v>
      </c>
      <c r="E8772" s="380" t="s">
        <v>786</v>
      </c>
      <c r="F8772" s="380" t="s">
        <v>928</v>
      </c>
      <c r="G8772" s="380" t="s">
        <v>1267</v>
      </c>
      <c r="H8772" s="380" t="s">
        <v>771</v>
      </c>
      <c r="I8772" s="380" t="s">
        <v>788</v>
      </c>
      <c r="J8772" s="380" t="s">
        <v>773</v>
      </c>
      <c r="K8772" s="381">
        <v>0.0</v>
      </c>
      <c r="L8772" s="382">
        <v>1.0</v>
      </c>
    </row>
    <row r="8773">
      <c r="A8773" s="380" t="s">
        <v>9647</v>
      </c>
      <c r="B8773" s="380" t="str">
        <f>IFERROR(__xludf.DUMMYFUNCTION("""COMPUTED_VALUE"""),"Biela Fracturada Motor Isx Eagle 3689108")</f>
        <v>Biela Fracturada Motor Isx Eagle 3689108</v>
      </c>
      <c r="C8773" s="380" t="str">
        <f>IFERROR(__xludf.DUMMYFUNCTION("""COMPUTED_VALUE"""),"70004193")</f>
        <v>70004193</v>
      </c>
      <c r="D8773" s="380" t="s">
        <v>767</v>
      </c>
      <c r="E8773" s="380" t="s">
        <v>786</v>
      </c>
      <c r="F8773" s="380" t="s">
        <v>787</v>
      </c>
      <c r="G8773" s="380" t="s">
        <v>1267</v>
      </c>
      <c r="H8773" s="380" t="s">
        <v>771</v>
      </c>
      <c r="I8773" s="380" t="s">
        <v>788</v>
      </c>
      <c r="J8773" s="380" t="s">
        <v>773</v>
      </c>
      <c r="K8773" s="381">
        <v>0.0</v>
      </c>
      <c r="L8773" s="382">
        <v>1.0</v>
      </c>
    </row>
    <row r="8774">
      <c r="A8774" s="380" t="s">
        <v>9648</v>
      </c>
      <c r="B8774" s="380" t="str">
        <f>IFERROR(__xludf.DUMMYFUNCTION("""COMPUTED_VALUE"""),"Retenedor Bocín Daf Cf480 1398725")</f>
        <v>Retenedor Bocín Daf Cf480 1398725</v>
      </c>
      <c r="C8774" s="380" t="str">
        <f>IFERROR(__xludf.DUMMYFUNCTION("""COMPUTED_VALUE"""),"70004194")</f>
        <v>70004194</v>
      </c>
      <c r="D8774" s="380" t="s">
        <v>767</v>
      </c>
      <c r="E8774" s="380" t="s">
        <v>786</v>
      </c>
      <c r="F8774" s="380" t="s">
        <v>1017</v>
      </c>
      <c r="G8774" s="380" t="s">
        <v>1267</v>
      </c>
      <c r="H8774" s="380" t="s">
        <v>771</v>
      </c>
      <c r="I8774" s="380" t="s">
        <v>788</v>
      </c>
      <c r="J8774" s="380" t="s">
        <v>773</v>
      </c>
      <c r="K8774" s="381">
        <v>0.0</v>
      </c>
      <c r="L8774" s="382">
        <v>1.0</v>
      </c>
    </row>
    <row r="8775">
      <c r="A8775" s="380" t="s">
        <v>9649</v>
      </c>
      <c r="B8775" s="380" t="str">
        <f>IFERROR(__xludf.DUMMYFUNCTION("""COMPUTED_VALUE"""),"Timon De Direccion Foton 1039 5946305006")</f>
        <v>Timon De Direccion Foton 1039 5946305006</v>
      </c>
      <c r="C8775" s="380" t="str">
        <f>IFERROR(__xludf.DUMMYFUNCTION("""COMPUTED_VALUE"""),"70004195")</f>
        <v>70004195</v>
      </c>
      <c r="D8775" s="380" t="s">
        <v>767</v>
      </c>
      <c r="E8775" s="380" t="s">
        <v>786</v>
      </c>
      <c r="F8775" s="380" t="s">
        <v>1020</v>
      </c>
      <c r="G8775" s="380" t="s">
        <v>1267</v>
      </c>
      <c r="H8775" s="380" t="s">
        <v>771</v>
      </c>
      <c r="I8775" s="380" t="s">
        <v>788</v>
      </c>
      <c r="J8775" s="380" t="s">
        <v>773</v>
      </c>
      <c r="K8775" s="381">
        <v>0.0</v>
      </c>
      <c r="L8775" s="382">
        <v>1.0</v>
      </c>
    </row>
    <row r="8776">
      <c r="A8776" s="380" t="s">
        <v>9650</v>
      </c>
      <c r="B8776" s="380" t="str">
        <f>IFERROR(__xludf.DUMMYFUNCTION("""COMPUTED_VALUE"""),"Riel De Inyeccion Foton 1039 1023083737")</f>
        <v>Riel De Inyeccion Foton 1039 1023083737</v>
      </c>
      <c r="C8776" s="380" t="str">
        <f>IFERROR(__xludf.DUMMYFUNCTION("""COMPUTED_VALUE"""),"70004196")</f>
        <v>70004196</v>
      </c>
      <c r="D8776" s="380" t="s">
        <v>767</v>
      </c>
      <c r="E8776" s="380" t="s">
        <v>786</v>
      </c>
      <c r="F8776" s="380" t="s">
        <v>787</v>
      </c>
      <c r="G8776" s="380" t="s">
        <v>1267</v>
      </c>
      <c r="H8776" s="380" t="s">
        <v>771</v>
      </c>
      <c r="I8776" s="380" t="s">
        <v>788</v>
      </c>
      <c r="J8776" s="380" t="s">
        <v>773</v>
      </c>
      <c r="K8776" s="381">
        <v>0.0</v>
      </c>
      <c r="L8776" s="382">
        <v>1.0</v>
      </c>
    </row>
    <row r="8777">
      <c r="A8777" s="380" t="s">
        <v>9651</v>
      </c>
      <c r="B8777" s="380" t="str">
        <f>IFERROR(__xludf.DUMMYFUNCTION("""COMPUTED_VALUE"""),"CTRL Comando Luces HY H100 Porter")</f>
        <v>CTRL Comando Luces HY H100 Porter</v>
      </c>
      <c r="C8777" s="380" t="str">
        <f>IFERROR(__xludf.DUMMYFUNCTION("""COMPUTED_VALUE"""),"70004197")</f>
        <v>70004197</v>
      </c>
      <c r="D8777" s="380" t="s">
        <v>767</v>
      </c>
      <c r="E8777" s="380" t="s">
        <v>786</v>
      </c>
      <c r="F8777" s="380" t="s">
        <v>998</v>
      </c>
      <c r="G8777" s="380" t="s">
        <v>1267</v>
      </c>
      <c r="H8777" s="380" t="s">
        <v>771</v>
      </c>
      <c r="I8777" s="380" t="s">
        <v>788</v>
      </c>
      <c r="J8777" s="380" t="s">
        <v>773</v>
      </c>
      <c r="K8777" s="381">
        <v>0.0</v>
      </c>
      <c r="L8777" s="382">
        <v>1.0</v>
      </c>
    </row>
    <row r="8778">
      <c r="A8778" s="380" t="s">
        <v>9652</v>
      </c>
      <c r="B8778" s="380" t="str">
        <f>IFERROR(__xludf.DUMMYFUNCTION("""COMPUTED_VALUE"""),"BMB Bomba Vacio 1.0t Dong Feng 11054164")</f>
        <v>BMB Bomba Vacio 1.0t Dong Feng 11054164</v>
      </c>
      <c r="C8778" s="380" t="str">
        <f>IFERROR(__xludf.DUMMYFUNCTION("""COMPUTED_VALUE"""),"70004198")</f>
        <v>70004198</v>
      </c>
      <c r="D8778" s="380" t="s">
        <v>767</v>
      </c>
      <c r="E8778" s="380" t="s">
        <v>786</v>
      </c>
      <c r="F8778" s="380" t="s">
        <v>1017</v>
      </c>
      <c r="G8778" s="380" t="s">
        <v>1267</v>
      </c>
      <c r="H8778" s="380" t="s">
        <v>771</v>
      </c>
      <c r="I8778" s="380" t="s">
        <v>788</v>
      </c>
      <c r="J8778" s="380" t="s">
        <v>773</v>
      </c>
      <c r="K8778" s="381">
        <v>0.0</v>
      </c>
      <c r="L8778" s="382">
        <v>1.0</v>
      </c>
    </row>
    <row r="8779">
      <c r="A8779" s="380" t="s">
        <v>9653</v>
      </c>
      <c r="B8779" s="380" t="str">
        <f>IFERROR(__xludf.DUMMYFUNCTION("""COMPUTED_VALUE"""),"Kit Reparación Con Pistón Mordaza De Fre")</f>
        <v>Kit Reparación Con Pistón Mordaza De Fre</v>
      </c>
      <c r="C8779" s="380" t="str">
        <f>IFERROR(__xludf.DUMMYFUNCTION("""COMPUTED_VALUE"""),"70004199")</f>
        <v>70004199</v>
      </c>
      <c r="D8779" s="380" t="s">
        <v>767</v>
      </c>
      <c r="E8779" s="380" t="s">
        <v>786</v>
      </c>
      <c r="F8779" s="380" t="s">
        <v>1017</v>
      </c>
      <c r="G8779" s="380" t="s">
        <v>1267</v>
      </c>
      <c r="H8779" s="380" t="s">
        <v>771</v>
      </c>
      <c r="I8779" s="380" t="s">
        <v>788</v>
      </c>
      <c r="J8779" s="380" t="s">
        <v>773</v>
      </c>
      <c r="K8779" s="381">
        <v>0.0</v>
      </c>
      <c r="L8779" s="382">
        <v>1.0</v>
      </c>
    </row>
    <row r="8780">
      <c r="A8780" s="380" t="s">
        <v>9654</v>
      </c>
      <c r="B8780" s="380" t="str">
        <f>IFERROR(__xludf.DUMMYFUNCTION("""COMPUTED_VALUE"""),"EMPtadura Reparación Mordaza De Freno Da")</f>
        <v>EMPtadura Reparación Mordaza De Freno Da</v>
      </c>
      <c r="C8780" s="380" t="str">
        <f>IFERROR(__xludf.DUMMYFUNCTION("""COMPUTED_VALUE"""),"70004200")</f>
        <v>70004200</v>
      </c>
      <c r="D8780" s="380" t="s">
        <v>767</v>
      </c>
      <c r="E8780" s="380" t="s">
        <v>786</v>
      </c>
      <c r="F8780" s="380" t="s">
        <v>1017</v>
      </c>
      <c r="G8780" s="380" t="s">
        <v>1267</v>
      </c>
      <c r="H8780" s="380" t="s">
        <v>771</v>
      </c>
      <c r="I8780" s="380" t="s">
        <v>788</v>
      </c>
      <c r="J8780" s="380" t="s">
        <v>773</v>
      </c>
      <c r="K8780" s="381">
        <v>0.0</v>
      </c>
      <c r="L8780" s="382">
        <v>1.0</v>
      </c>
    </row>
    <row r="8781">
      <c r="A8781" s="380" t="s">
        <v>9655</v>
      </c>
      <c r="B8781" s="380" t="str">
        <f>IFERROR(__xludf.DUMMYFUNCTION("""COMPUTED_VALUE"""),"Tapa CJ Bateria Lt INTnacional 3999393c3")</f>
        <v>Tapa CJ Bateria Lt INTnacional 3999393c3</v>
      </c>
      <c r="C8781" s="380" t="str">
        <f>IFERROR(__xludf.DUMMYFUNCTION("""COMPUTED_VALUE"""),"70004201")</f>
        <v>70004201</v>
      </c>
      <c r="D8781" s="380" t="s">
        <v>767</v>
      </c>
      <c r="E8781" s="380" t="s">
        <v>786</v>
      </c>
      <c r="F8781" s="380" t="s">
        <v>792</v>
      </c>
      <c r="G8781" s="380" t="s">
        <v>1267</v>
      </c>
      <c r="H8781" s="380" t="s">
        <v>771</v>
      </c>
      <c r="I8781" s="380" t="s">
        <v>788</v>
      </c>
      <c r="J8781" s="380" t="s">
        <v>773</v>
      </c>
      <c r="K8781" s="381">
        <v>0.0</v>
      </c>
      <c r="L8781" s="382">
        <v>1.0</v>
      </c>
    </row>
    <row r="8782">
      <c r="A8782" s="380" t="s">
        <v>9656</v>
      </c>
      <c r="B8782" s="380" t="str">
        <f>IFERROR(__xludf.DUMMYFUNCTION("""COMPUTED_VALUE"""),"Racor Adaptador 1/2 Npt X 3/8 Npt")</f>
        <v>Racor Adaptador 1/2 Npt X 3/8 Npt</v>
      </c>
      <c r="C8782" s="380" t="str">
        <f>IFERROR(__xludf.DUMMYFUNCTION("""COMPUTED_VALUE"""),"70004202")</f>
        <v>70004202</v>
      </c>
      <c r="D8782" s="380" t="s">
        <v>767</v>
      </c>
      <c r="E8782" s="380" t="s">
        <v>786</v>
      </c>
      <c r="F8782" s="380" t="s">
        <v>989</v>
      </c>
      <c r="G8782" s="380" t="s">
        <v>1267</v>
      </c>
      <c r="H8782" s="380" t="s">
        <v>771</v>
      </c>
      <c r="I8782" s="380" t="s">
        <v>788</v>
      </c>
      <c r="J8782" s="380" t="s">
        <v>773</v>
      </c>
      <c r="K8782" s="381">
        <v>0.0</v>
      </c>
      <c r="L8782" s="382">
        <v>1.0</v>
      </c>
    </row>
    <row r="8783">
      <c r="A8783" s="380" t="s">
        <v>9657</v>
      </c>
      <c r="B8783" s="380" t="str">
        <f>IFERROR(__xludf.DUMMYFUNCTION("""COMPUTED_VALUE"""),"Flasher Jac Jhr 3735950ld010")</f>
        <v>Flasher Jac Jhr 3735950ld010</v>
      </c>
      <c r="C8783" s="380" t="str">
        <f>IFERROR(__xludf.DUMMYFUNCTION("""COMPUTED_VALUE"""),"70004203")</f>
        <v>70004203</v>
      </c>
      <c r="D8783" s="380" t="s">
        <v>767</v>
      </c>
      <c r="E8783" s="380" t="s">
        <v>786</v>
      </c>
      <c r="F8783" s="380" t="s">
        <v>998</v>
      </c>
      <c r="G8783" s="380" t="s">
        <v>1267</v>
      </c>
      <c r="H8783" s="380" t="s">
        <v>771</v>
      </c>
      <c r="I8783" s="380" t="s">
        <v>788</v>
      </c>
      <c r="J8783" s="380" t="s">
        <v>773</v>
      </c>
      <c r="K8783" s="381">
        <v>0.0</v>
      </c>
      <c r="L8783" s="382">
        <v>1.0</v>
      </c>
    </row>
    <row r="8784">
      <c r="A8784" s="380" t="s">
        <v>9658</v>
      </c>
      <c r="B8784" s="380" t="str">
        <f>IFERROR(__xludf.DUMMYFUNCTION("""COMPUTED_VALUE"""),"Sello Inf Tubo Refrigeracion 2330000131")</f>
        <v>Sello Inf Tubo Refrigeracion 2330000131</v>
      </c>
      <c r="C8784" s="380" t="str">
        <f>IFERROR(__xludf.DUMMYFUNCTION("""COMPUTED_VALUE"""),"70004204")</f>
        <v>70004204</v>
      </c>
      <c r="D8784" s="380" t="s">
        <v>767</v>
      </c>
      <c r="E8784" s="380" t="s">
        <v>786</v>
      </c>
      <c r="F8784" s="380" t="s">
        <v>787</v>
      </c>
      <c r="G8784" s="380" t="s">
        <v>1267</v>
      </c>
      <c r="H8784" s="380" t="s">
        <v>771</v>
      </c>
      <c r="I8784" s="380" t="s">
        <v>788</v>
      </c>
      <c r="J8784" s="380" t="s">
        <v>773</v>
      </c>
      <c r="K8784" s="381">
        <v>0.0</v>
      </c>
      <c r="L8784" s="382">
        <v>1.0</v>
      </c>
    </row>
    <row r="8785">
      <c r="A8785" s="380" t="s">
        <v>9659</v>
      </c>
      <c r="B8785" s="380" t="str">
        <f>IFERROR(__xludf.DUMMYFUNCTION("""COMPUTED_VALUE"""),"Sello Sup Tubo Refrigeracion 2330000148")</f>
        <v>Sello Sup Tubo Refrigeracion 2330000148</v>
      </c>
      <c r="C8785" s="380" t="str">
        <f>IFERROR(__xludf.DUMMYFUNCTION("""COMPUTED_VALUE"""),"70004205")</f>
        <v>70004205</v>
      </c>
      <c r="D8785" s="380" t="s">
        <v>767</v>
      </c>
      <c r="E8785" s="380" t="s">
        <v>786</v>
      </c>
      <c r="F8785" s="380" t="s">
        <v>787</v>
      </c>
      <c r="G8785" s="380" t="s">
        <v>1267</v>
      </c>
      <c r="H8785" s="380" t="s">
        <v>771</v>
      </c>
      <c r="I8785" s="380" t="s">
        <v>788</v>
      </c>
      <c r="J8785" s="380" t="s">
        <v>773</v>
      </c>
      <c r="K8785" s="381">
        <v>0.0</v>
      </c>
      <c r="L8785" s="382">
        <v>1.0</v>
      </c>
    </row>
    <row r="8786">
      <c r="A8786" s="380" t="s">
        <v>9660</v>
      </c>
      <c r="B8786" s="380" t="str">
        <f>IFERROR(__xludf.DUMMYFUNCTION("""COMPUTED_VALUE"""),"Motor Limpiabrisas Foton Mv5")</f>
        <v>Motor Limpiabrisas Foton Mv5</v>
      </c>
      <c r="C8786" s="380" t="str">
        <f>IFERROR(__xludf.DUMMYFUNCTION("""COMPUTED_VALUE"""),"70004206")</f>
        <v>70004206</v>
      </c>
      <c r="D8786" s="380" t="s">
        <v>767</v>
      </c>
      <c r="E8786" s="380" t="s">
        <v>786</v>
      </c>
      <c r="F8786" s="380" t="s">
        <v>998</v>
      </c>
      <c r="G8786" s="380" t="s">
        <v>1267</v>
      </c>
      <c r="H8786" s="380" t="s">
        <v>771</v>
      </c>
      <c r="I8786" s="380" t="s">
        <v>788</v>
      </c>
      <c r="J8786" s="380" t="s">
        <v>773</v>
      </c>
      <c r="K8786" s="381">
        <v>0.0</v>
      </c>
      <c r="L8786" s="382">
        <v>1.0</v>
      </c>
    </row>
    <row r="8787">
      <c r="A8787" s="380" t="s">
        <v>9661</v>
      </c>
      <c r="B8787" s="380" t="str">
        <f>IFERROR(__xludf.DUMMYFUNCTION("""COMPUTED_VALUE"""),"Mecanismo Seguro PTA Deslizan 5946023511")</f>
        <v>Mecanismo Seguro PTA Deslizan 5946023511</v>
      </c>
      <c r="C8787" s="380" t="str">
        <f>IFERROR(__xludf.DUMMYFUNCTION("""COMPUTED_VALUE"""),"70004207")</f>
        <v>70004207</v>
      </c>
      <c r="D8787" s="380" t="s">
        <v>767</v>
      </c>
      <c r="E8787" s="380" t="s">
        <v>786</v>
      </c>
      <c r="F8787" s="380" t="s">
        <v>792</v>
      </c>
      <c r="G8787" s="380" t="s">
        <v>1267</v>
      </c>
      <c r="H8787" s="380" t="s">
        <v>771</v>
      </c>
      <c r="I8787" s="380" t="s">
        <v>788</v>
      </c>
      <c r="J8787" s="380" t="s">
        <v>773</v>
      </c>
      <c r="K8787" s="381">
        <v>0.0</v>
      </c>
      <c r="L8787" s="382">
        <v>1.0</v>
      </c>
    </row>
    <row r="8788">
      <c r="A8788" s="380" t="s">
        <v>9662</v>
      </c>
      <c r="B8788" s="380" t="str">
        <f>IFERROR(__xludf.DUMMYFUNCTION("""COMPUTED_VALUE"""),"Parasol Interno Izq Foton BJ5 5946039963")</f>
        <v>Parasol Interno Izq Foton BJ5 5946039963</v>
      </c>
      <c r="C8788" s="380" t="str">
        <f>IFERROR(__xludf.DUMMYFUNCTION("""COMPUTED_VALUE"""),"70004208")</f>
        <v>70004208</v>
      </c>
      <c r="D8788" s="380" t="s">
        <v>767</v>
      </c>
      <c r="E8788" s="380" t="s">
        <v>786</v>
      </c>
      <c r="F8788" s="380" t="s">
        <v>792</v>
      </c>
      <c r="G8788" s="380" t="s">
        <v>1267</v>
      </c>
      <c r="H8788" s="380" t="s">
        <v>771</v>
      </c>
      <c r="I8788" s="380" t="s">
        <v>788</v>
      </c>
      <c r="J8788" s="380" t="s">
        <v>773</v>
      </c>
      <c r="K8788" s="381">
        <v>0.0</v>
      </c>
      <c r="L8788" s="382">
        <v>1.0</v>
      </c>
    </row>
    <row r="8789">
      <c r="A8789" s="380" t="s">
        <v>9663</v>
      </c>
      <c r="B8789" s="380" t="str">
        <f>IFERROR(__xludf.DUMMYFUNCTION("""COMPUTED_VALUE"""),"Control Aire Acondicionado Protar 354554")</f>
        <v>Control Aire Acondicionado Protar 354554</v>
      </c>
      <c r="C8789" s="380" t="str">
        <f>IFERROR(__xludf.DUMMYFUNCTION("""COMPUTED_VALUE"""),"70004209")</f>
        <v>70004209</v>
      </c>
      <c r="D8789" s="380" t="s">
        <v>767</v>
      </c>
      <c r="E8789" s="380" t="s">
        <v>786</v>
      </c>
      <c r="F8789" s="380" t="s">
        <v>1031</v>
      </c>
      <c r="G8789" s="380" t="s">
        <v>1267</v>
      </c>
      <c r="H8789" s="380" t="s">
        <v>771</v>
      </c>
      <c r="I8789" s="380" t="s">
        <v>788</v>
      </c>
      <c r="J8789" s="380" t="s">
        <v>773</v>
      </c>
      <c r="K8789" s="381">
        <v>3058743.0</v>
      </c>
      <c r="L8789" s="382">
        <v>1.0</v>
      </c>
    </row>
    <row r="8790">
      <c r="A8790" s="380" t="s">
        <v>9664</v>
      </c>
      <c r="B8790" s="380" t="str">
        <f>IFERROR(__xludf.DUMMYFUNCTION("""COMPUTED_VALUE"""),"Empaque Bomba Aceite Hino S1511-91121")</f>
        <v>Empaque Bomba Aceite Hino S1511-91121</v>
      </c>
      <c r="C8790" s="380" t="str">
        <f>IFERROR(__xludf.DUMMYFUNCTION("""COMPUTED_VALUE"""),"70004210")</f>
        <v>70004210</v>
      </c>
      <c r="D8790" s="380" t="s">
        <v>767</v>
      </c>
      <c r="E8790" s="380" t="s">
        <v>786</v>
      </c>
      <c r="F8790" s="380" t="s">
        <v>787</v>
      </c>
      <c r="G8790" s="380" t="s">
        <v>1267</v>
      </c>
      <c r="H8790" s="380" t="s">
        <v>771</v>
      </c>
      <c r="I8790" s="380" t="s">
        <v>788</v>
      </c>
      <c r="J8790" s="380" t="s">
        <v>773</v>
      </c>
      <c r="K8790" s="381">
        <v>0.0</v>
      </c>
      <c r="L8790" s="382">
        <v>1.0</v>
      </c>
    </row>
    <row r="8791">
      <c r="A8791" s="380" t="s">
        <v>9665</v>
      </c>
      <c r="B8791" s="380" t="str">
        <f>IFERROR(__xludf.DUMMYFUNCTION("""COMPUTED_VALUE"""),"Tapa Cubo RDA Del FT 1129 1023545174")</f>
        <v>Tapa Cubo RDA Del FT 1129 1023545174</v>
      </c>
      <c r="C8791" s="380" t="str">
        <f>IFERROR(__xludf.DUMMYFUNCTION("""COMPUTED_VALUE"""),"70004211")</f>
        <v>70004211</v>
      </c>
      <c r="D8791" s="380" t="s">
        <v>767</v>
      </c>
      <c r="E8791" s="380" t="s">
        <v>786</v>
      </c>
      <c r="F8791" s="380" t="s">
        <v>1039</v>
      </c>
      <c r="G8791" s="380" t="s">
        <v>1267</v>
      </c>
      <c r="H8791" s="380" t="s">
        <v>771</v>
      </c>
      <c r="I8791" s="380" t="s">
        <v>788</v>
      </c>
      <c r="J8791" s="380" t="s">
        <v>773</v>
      </c>
      <c r="K8791" s="381">
        <v>0.0</v>
      </c>
      <c r="L8791" s="382">
        <v>1.0</v>
      </c>
    </row>
    <row r="8792">
      <c r="A8792" s="380" t="s">
        <v>9666</v>
      </c>
      <c r="B8792" s="380" t="str">
        <f>IFERROR(__xludf.DUMMYFUNCTION("""COMPUTED_VALUE"""),"MANG Engrase 3/16 X 0 5 Nissan 4621085 E")</f>
        <v>MANG Engrase 3/16 X 0 5 Nissan 4621085 E</v>
      </c>
      <c r="C8792" s="380" t="str">
        <f>IFERROR(__xludf.DUMMYFUNCTION("""COMPUTED_VALUE"""),"70004212")</f>
        <v>70004212</v>
      </c>
      <c r="D8792" s="380" t="s">
        <v>767</v>
      </c>
      <c r="E8792" s="380" t="s">
        <v>786</v>
      </c>
      <c r="F8792" s="380" t="s">
        <v>989</v>
      </c>
      <c r="G8792" s="380" t="s">
        <v>1267</v>
      </c>
      <c r="H8792" s="380" t="s">
        <v>771</v>
      </c>
      <c r="I8792" s="380" t="s">
        <v>788</v>
      </c>
      <c r="J8792" s="380" t="s">
        <v>773</v>
      </c>
      <c r="K8792" s="381">
        <v>0.0</v>
      </c>
      <c r="L8792" s="382">
        <v>1.0</v>
      </c>
    </row>
    <row r="8793">
      <c r="A8793" s="380" t="s">
        <v>9667</v>
      </c>
      <c r="B8793" s="380" t="str">
        <f>IFERROR(__xludf.DUMMYFUNCTION("""COMPUTED_VALUE"""),"RET Tras Caj Vel Fot 1129 5946002394")</f>
        <v>RET Tras Caj Vel Fot 1129 5946002394</v>
      </c>
      <c r="C8793" s="380" t="str">
        <f>IFERROR(__xludf.DUMMYFUNCTION("""COMPUTED_VALUE"""),"70004213")</f>
        <v>70004213</v>
      </c>
      <c r="D8793" s="380" t="s">
        <v>767</v>
      </c>
      <c r="E8793" s="380" t="s">
        <v>786</v>
      </c>
      <c r="F8793" s="380" t="s">
        <v>928</v>
      </c>
      <c r="G8793" s="380" t="s">
        <v>1267</v>
      </c>
      <c r="H8793" s="380" t="s">
        <v>771</v>
      </c>
      <c r="I8793" s="380" t="s">
        <v>788</v>
      </c>
      <c r="J8793" s="380" t="s">
        <v>773</v>
      </c>
      <c r="K8793" s="381">
        <v>0.0</v>
      </c>
      <c r="L8793" s="382">
        <v>1.0</v>
      </c>
    </row>
    <row r="8794">
      <c r="A8794" s="380" t="s">
        <v>9668</v>
      </c>
      <c r="B8794" s="380" t="str">
        <f>IFERROR(__xludf.DUMMYFUNCTION("""COMPUTED_VALUE"""),"Panel Tablero Indicadores EGL 3592583c91")</f>
        <v>Panel Tablero Indicadores EGL 3592583c91</v>
      </c>
      <c r="C8794" s="380" t="str">
        <f>IFERROR(__xludf.DUMMYFUNCTION("""COMPUTED_VALUE"""),"70004214")</f>
        <v>70004214</v>
      </c>
      <c r="D8794" s="380" t="s">
        <v>767</v>
      </c>
      <c r="E8794" s="380" t="s">
        <v>786</v>
      </c>
      <c r="F8794" s="380" t="s">
        <v>998</v>
      </c>
      <c r="G8794" s="380" t="s">
        <v>1267</v>
      </c>
      <c r="H8794" s="380" t="s">
        <v>771</v>
      </c>
      <c r="I8794" s="380" t="s">
        <v>788</v>
      </c>
      <c r="J8794" s="380" t="s">
        <v>773</v>
      </c>
      <c r="K8794" s="381">
        <v>0.0</v>
      </c>
      <c r="L8794" s="382">
        <v>1.0</v>
      </c>
    </row>
    <row r="8795">
      <c r="A8795" s="380" t="s">
        <v>9669</v>
      </c>
      <c r="B8795" s="380" t="str">
        <f>IFERROR(__xludf.DUMMYFUNCTION("""COMPUTED_VALUE"""),"Vidrio Puerta Izquierda Kenworth T800")</f>
        <v>Vidrio Puerta Izquierda Kenworth T800</v>
      </c>
      <c r="C8795" s="380" t="str">
        <f>IFERROR(__xludf.DUMMYFUNCTION("""COMPUTED_VALUE"""),"70004215")</f>
        <v>70004215</v>
      </c>
      <c r="D8795" s="380" t="s">
        <v>767</v>
      </c>
      <c r="E8795" s="380" t="s">
        <v>786</v>
      </c>
      <c r="F8795" s="380" t="s">
        <v>792</v>
      </c>
      <c r="G8795" s="380" t="s">
        <v>1267</v>
      </c>
      <c r="H8795" s="380" t="s">
        <v>771</v>
      </c>
      <c r="I8795" s="380" t="s">
        <v>788</v>
      </c>
      <c r="J8795" s="380" t="s">
        <v>773</v>
      </c>
      <c r="K8795" s="381">
        <v>0.0</v>
      </c>
      <c r="L8795" s="382">
        <v>1.0</v>
      </c>
    </row>
    <row r="8796">
      <c r="A8796" s="380" t="s">
        <v>9670</v>
      </c>
      <c r="B8796" s="380" t="str">
        <f>IFERROR(__xludf.DUMMYFUNCTION("""COMPUTED_VALUE"""),"MOT Elevavidrio PTA Der FT 10 1023528450")</f>
        <v>MOT Elevavidrio PTA Der FT 10 1023528450</v>
      </c>
      <c r="C8796" s="380" t="str">
        <f>IFERROR(__xludf.DUMMYFUNCTION("""COMPUTED_VALUE"""),"70004216")</f>
        <v>70004216</v>
      </c>
      <c r="D8796" s="380" t="s">
        <v>767</v>
      </c>
      <c r="E8796" s="380" t="s">
        <v>786</v>
      </c>
      <c r="F8796" s="380" t="s">
        <v>998</v>
      </c>
      <c r="G8796" s="380" t="s">
        <v>1267</v>
      </c>
      <c r="H8796" s="380" t="s">
        <v>771</v>
      </c>
      <c r="I8796" s="380" t="s">
        <v>788</v>
      </c>
      <c r="J8796" s="380" t="s">
        <v>773</v>
      </c>
      <c r="K8796" s="381">
        <v>373199.0</v>
      </c>
      <c r="L8796" s="382">
        <v>1.0</v>
      </c>
    </row>
    <row r="8797">
      <c r="A8797" s="380" t="s">
        <v>9671</v>
      </c>
      <c r="B8797" s="380" t="str">
        <f>IFERROR(__xludf.DUMMYFUNCTION("""COMPUTED_VALUE"""),"Carter Aceite MOT HN Dutropack 12101-E04")</f>
        <v>Carter Aceite MOT HN Dutropack 12101-E04</v>
      </c>
      <c r="C8797" s="380" t="str">
        <f>IFERROR(__xludf.DUMMYFUNCTION("""COMPUTED_VALUE"""),"70004217")</f>
        <v>70004217</v>
      </c>
      <c r="D8797" s="380" t="s">
        <v>767</v>
      </c>
      <c r="E8797" s="380" t="s">
        <v>786</v>
      </c>
      <c r="F8797" s="380" t="s">
        <v>787</v>
      </c>
      <c r="G8797" s="380" t="s">
        <v>1267</v>
      </c>
      <c r="H8797" s="380" t="s">
        <v>771</v>
      </c>
      <c r="I8797" s="380" t="s">
        <v>788</v>
      </c>
      <c r="J8797" s="380" t="s">
        <v>773</v>
      </c>
      <c r="K8797" s="381">
        <v>0.0</v>
      </c>
      <c r="L8797" s="382">
        <v>1.0</v>
      </c>
    </row>
    <row r="8798">
      <c r="A8798" s="380" t="s">
        <v>9672</v>
      </c>
      <c r="B8798" s="380" t="str">
        <f>IFERROR(__xludf.DUMMYFUNCTION("""COMPUTED_VALUE"""),"Comando Luces Jac Jhr 3774910le17003")</f>
        <v>Comando Luces Jac Jhr 3774910le17003</v>
      </c>
      <c r="C8798" s="380" t="str">
        <f>IFERROR(__xludf.DUMMYFUNCTION("""COMPUTED_VALUE"""),"70004218")</f>
        <v>70004218</v>
      </c>
      <c r="D8798" s="380" t="s">
        <v>767</v>
      </c>
      <c r="E8798" s="380" t="s">
        <v>786</v>
      </c>
      <c r="F8798" s="380" t="s">
        <v>998</v>
      </c>
      <c r="G8798" s="380" t="s">
        <v>1267</v>
      </c>
      <c r="H8798" s="380" t="s">
        <v>771</v>
      </c>
      <c r="I8798" s="380" t="s">
        <v>788</v>
      </c>
      <c r="J8798" s="380" t="s">
        <v>773</v>
      </c>
      <c r="K8798" s="381">
        <v>0.0</v>
      </c>
      <c r="L8798" s="382">
        <v>1.0</v>
      </c>
    </row>
    <row r="8799">
      <c r="A8799" s="380" t="s">
        <v>9673</v>
      </c>
      <c r="B8799" s="380" t="str">
        <f>IFERROR(__xludf.DUMMYFUNCTION("""COMPUTED_VALUE"""),"Templete Inf PTA Izq FT 1039 1023500029")</f>
        <v>Templete Inf PTA Izq FT 1039 1023500029</v>
      </c>
      <c r="C8799" s="380" t="str">
        <f>IFERROR(__xludf.DUMMYFUNCTION("""COMPUTED_VALUE"""),"70004219")</f>
        <v>70004219</v>
      </c>
      <c r="D8799" s="380" t="s">
        <v>767</v>
      </c>
      <c r="E8799" s="380" t="s">
        <v>786</v>
      </c>
      <c r="F8799" s="380" t="s">
        <v>792</v>
      </c>
      <c r="G8799" s="380" t="s">
        <v>1267</v>
      </c>
      <c r="H8799" s="380" t="s">
        <v>771</v>
      </c>
      <c r="I8799" s="380" t="s">
        <v>788</v>
      </c>
      <c r="J8799" s="380" t="s">
        <v>773</v>
      </c>
      <c r="K8799" s="381">
        <v>0.0</v>
      </c>
      <c r="L8799" s="382">
        <v>1.0</v>
      </c>
    </row>
    <row r="8800">
      <c r="A8800" s="380" t="s">
        <v>9674</v>
      </c>
      <c r="B8800" s="380" t="str">
        <f>IFERROR(__xludf.DUMMYFUNCTION("""COMPUTED_VALUE"""),"Columna Dirección Completa N200 24521100")</f>
        <v>Columna Dirección Completa N200 24521100</v>
      </c>
      <c r="C8800" s="380" t="str">
        <f>IFERROR(__xludf.DUMMYFUNCTION("""COMPUTED_VALUE"""),"70004220")</f>
        <v>70004220</v>
      </c>
      <c r="D8800" s="380" t="s">
        <v>767</v>
      </c>
      <c r="E8800" s="380" t="s">
        <v>786</v>
      </c>
      <c r="F8800" s="380" t="s">
        <v>1020</v>
      </c>
      <c r="G8800" s="380" t="s">
        <v>1267</v>
      </c>
      <c r="H8800" s="380" t="s">
        <v>771</v>
      </c>
      <c r="I8800" s="380" t="s">
        <v>788</v>
      </c>
      <c r="J8800" s="380" t="s">
        <v>773</v>
      </c>
      <c r="K8800" s="381">
        <v>491133.0</v>
      </c>
      <c r="L8800" s="382">
        <v>1.0</v>
      </c>
    </row>
    <row r="8801">
      <c r="A8801" s="380" t="s">
        <v>9675</v>
      </c>
      <c r="B8801" s="380" t="str">
        <f>IFERROR(__xludf.DUMMYFUNCTION("""COMPUTED_VALUE"""),"Bomba Aceite Hino Dutropack 15110-E0321")</f>
        <v>Bomba Aceite Hino Dutropack 15110-E0321</v>
      </c>
      <c r="C8801" s="380" t="str">
        <f>IFERROR(__xludf.DUMMYFUNCTION("""COMPUTED_VALUE"""),"70004221")</f>
        <v>70004221</v>
      </c>
      <c r="D8801" s="380" t="s">
        <v>767</v>
      </c>
      <c r="E8801" s="380" t="s">
        <v>786</v>
      </c>
      <c r="F8801" s="380" t="s">
        <v>787</v>
      </c>
      <c r="G8801" s="380" t="s">
        <v>1267</v>
      </c>
      <c r="H8801" s="380" t="s">
        <v>771</v>
      </c>
      <c r="I8801" s="380" t="s">
        <v>788</v>
      </c>
      <c r="J8801" s="380" t="s">
        <v>773</v>
      </c>
      <c r="K8801" s="381">
        <v>0.0</v>
      </c>
      <c r="L8801" s="382">
        <v>1.0</v>
      </c>
    </row>
    <row r="8802">
      <c r="A8802" s="380" t="s">
        <v>9676</v>
      </c>
      <c r="B8802" s="380" t="str">
        <f>IFERROR(__xludf.DUMMYFUNCTION("""COMPUTED_VALUE"""),"Tuerca Punta Eje Del FT 1128 1023331203")</f>
        <v>Tuerca Punta Eje Del FT 1128 1023331203</v>
      </c>
      <c r="C8802" s="380" t="str">
        <f>IFERROR(__xludf.DUMMYFUNCTION("""COMPUTED_VALUE"""),"70004222")</f>
        <v>70004222</v>
      </c>
      <c r="D8802" s="380" t="s">
        <v>767</v>
      </c>
      <c r="E8802" s="380" t="s">
        <v>786</v>
      </c>
      <c r="F8802" s="380" t="s">
        <v>1020</v>
      </c>
      <c r="G8802" s="380" t="s">
        <v>1267</v>
      </c>
      <c r="H8802" s="380" t="s">
        <v>771</v>
      </c>
      <c r="I8802" s="380" t="s">
        <v>788</v>
      </c>
      <c r="J8802" s="380" t="s">
        <v>773</v>
      </c>
      <c r="K8802" s="381">
        <v>0.0</v>
      </c>
      <c r="L8802" s="382">
        <v>1.0</v>
      </c>
    </row>
    <row r="8803">
      <c r="A8803" s="380" t="s">
        <v>9677</v>
      </c>
      <c r="B8803" s="380" t="str">
        <f>IFERROR(__xludf.DUMMYFUNCTION("""COMPUTED_VALUE"""),"Filtro Secador Daf Cf480 1925363")</f>
        <v>Filtro Secador Daf Cf480 1925363</v>
      </c>
      <c r="C8803" s="380" t="str">
        <f>IFERROR(__xludf.DUMMYFUNCTION("""COMPUTED_VALUE"""),"70004223")</f>
        <v>70004223</v>
      </c>
      <c r="D8803" s="380" t="s">
        <v>767</v>
      </c>
      <c r="E8803" s="380" t="s">
        <v>786</v>
      </c>
      <c r="F8803" s="380" t="s">
        <v>5855</v>
      </c>
      <c r="G8803" s="380" t="s">
        <v>1267</v>
      </c>
      <c r="H8803" s="380" t="s">
        <v>771</v>
      </c>
      <c r="I8803" s="380" t="s">
        <v>788</v>
      </c>
      <c r="J8803" s="380" t="s">
        <v>773</v>
      </c>
      <c r="K8803" s="381">
        <v>380375.0</v>
      </c>
      <c r="L8803" s="382">
        <v>1.0</v>
      </c>
    </row>
    <row r="8804">
      <c r="A8804" s="380" t="s">
        <v>9678</v>
      </c>
      <c r="B8804" s="380" t="str">
        <f>IFERROR(__xludf.DUMMYFUNCTION("""COMPUTED_VALUE"""),"Switch CTRL Freno De MOT Lt X1 4095306c2")</f>
        <v>Switch CTRL Freno De MOT Lt X1 4095306c2</v>
      </c>
      <c r="C8804" s="380" t="str">
        <f>IFERROR(__xludf.DUMMYFUNCTION("""COMPUTED_VALUE"""),"70004224")</f>
        <v>70004224</v>
      </c>
      <c r="D8804" s="380" t="s">
        <v>767</v>
      </c>
      <c r="E8804" s="380" t="s">
        <v>786</v>
      </c>
      <c r="F8804" s="380" t="s">
        <v>998</v>
      </c>
      <c r="G8804" s="380" t="s">
        <v>1267</v>
      </c>
      <c r="H8804" s="380" t="s">
        <v>771</v>
      </c>
      <c r="I8804" s="380" t="s">
        <v>788</v>
      </c>
      <c r="J8804" s="380" t="s">
        <v>773</v>
      </c>
      <c r="K8804" s="381">
        <v>70805.0</v>
      </c>
      <c r="L8804" s="382">
        <v>1.0</v>
      </c>
    </row>
    <row r="8805">
      <c r="A8805" s="380" t="s">
        <v>9679</v>
      </c>
      <c r="B8805" s="380" t="str">
        <f>IFERROR(__xludf.DUMMYFUNCTION("""COMPUTED_VALUE"""),"Evaporador AIR AC INT Lt 4068875c2")</f>
        <v>Evaporador AIR AC INT Lt 4068875c2</v>
      </c>
      <c r="C8805" s="380" t="str">
        <f>IFERROR(__xludf.DUMMYFUNCTION("""COMPUTED_VALUE"""),"70004225")</f>
        <v>70004225</v>
      </c>
      <c r="D8805" s="380" t="s">
        <v>767</v>
      </c>
      <c r="E8805" s="380" t="s">
        <v>786</v>
      </c>
      <c r="F8805" s="380" t="s">
        <v>1031</v>
      </c>
      <c r="G8805" s="380" t="s">
        <v>1267</v>
      </c>
      <c r="H8805" s="380" t="s">
        <v>771</v>
      </c>
      <c r="I8805" s="380" t="s">
        <v>788</v>
      </c>
      <c r="J8805" s="380" t="s">
        <v>773</v>
      </c>
      <c r="K8805" s="381">
        <v>0.0</v>
      </c>
      <c r="L8805" s="382">
        <v>1.0</v>
      </c>
    </row>
    <row r="8806">
      <c r="A8806" s="380" t="s">
        <v>9680</v>
      </c>
      <c r="B8806" s="380" t="str">
        <f>IFERROR(__xludf.DUMMYFUNCTION("""COMPUTED_VALUE"""),"Sello BMB Refrigerante MCK Cxu 233000036")</f>
        <v>Sello BMB Refrigerante MCK Cxu 233000036</v>
      </c>
      <c r="C8806" s="380" t="str">
        <f>IFERROR(__xludf.DUMMYFUNCTION("""COMPUTED_VALUE"""),"70004226")</f>
        <v>70004226</v>
      </c>
      <c r="D8806" s="380" t="s">
        <v>767</v>
      </c>
      <c r="E8806" s="380" t="s">
        <v>786</v>
      </c>
      <c r="F8806" s="380" t="s">
        <v>787</v>
      </c>
      <c r="G8806" s="380" t="s">
        <v>1267</v>
      </c>
      <c r="H8806" s="380" t="s">
        <v>771</v>
      </c>
      <c r="I8806" s="380" t="s">
        <v>788</v>
      </c>
      <c r="J8806" s="380" t="s">
        <v>773</v>
      </c>
      <c r="K8806" s="381">
        <v>0.0</v>
      </c>
      <c r="L8806" s="382">
        <v>1.0</v>
      </c>
    </row>
    <row r="8807">
      <c r="A8807" s="380" t="s">
        <v>9681</v>
      </c>
      <c r="B8807" s="380" t="str">
        <f>IFERROR(__xludf.DUMMYFUNCTION("""COMPUTED_VALUE"""),"Termostato Renault Master 8200978549")</f>
        <v>Termostato Renault Master 8200978549</v>
      </c>
      <c r="C8807" s="380" t="str">
        <f>IFERROR(__xludf.DUMMYFUNCTION("""COMPUTED_VALUE"""),"70004227")</f>
        <v>70004227</v>
      </c>
      <c r="D8807" s="380" t="s">
        <v>767</v>
      </c>
      <c r="E8807" s="380" t="s">
        <v>786</v>
      </c>
      <c r="F8807" s="380" t="s">
        <v>787</v>
      </c>
      <c r="G8807" s="380" t="s">
        <v>1267</v>
      </c>
      <c r="H8807" s="380" t="s">
        <v>771</v>
      </c>
      <c r="I8807" s="380" t="s">
        <v>788</v>
      </c>
      <c r="J8807" s="380" t="s">
        <v>773</v>
      </c>
      <c r="K8807" s="381">
        <v>1311015.0</v>
      </c>
      <c r="L8807" s="382">
        <v>1.0</v>
      </c>
    </row>
    <row r="8808">
      <c r="A8808" s="380" t="s">
        <v>9682</v>
      </c>
      <c r="B8808" s="380" t="str">
        <f>IFERROR(__xludf.DUMMYFUNCTION("""COMPUTED_VALUE"""),"BMB REN Master Principal Cluch 820045915")</f>
        <v>BMB REN Master Principal Cluch 820045915</v>
      </c>
      <c r="C8808" s="380" t="str">
        <f>IFERROR(__xludf.DUMMYFUNCTION("""COMPUTED_VALUE"""),"70004228")</f>
        <v>70004228</v>
      </c>
      <c r="D8808" s="380" t="s">
        <v>767</v>
      </c>
      <c r="E8808" s="380" t="s">
        <v>786</v>
      </c>
      <c r="F8808" s="380" t="s">
        <v>5661</v>
      </c>
      <c r="G8808" s="380" t="s">
        <v>1267</v>
      </c>
      <c r="H8808" s="380" t="s">
        <v>771</v>
      </c>
      <c r="I8808" s="380" t="s">
        <v>788</v>
      </c>
      <c r="J8808" s="380" t="s">
        <v>773</v>
      </c>
      <c r="K8808" s="381">
        <v>0.0</v>
      </c>
      <c r="L8808" s="382">
        <v>1.0</v>
      </c>
    </row>
    <row r="8809">
      <c r="A8809" s="380" t="s">
        <v>9683</v>
      </c>
      <c r="B8809" s="380" t="str">
        <f>IFERROR(__xludf.DUMMYFUNCTION("""COMPUTED_VALUE"""),"Base SOP Eje De Levas Isx EGL 3679930")</f>
        <v>Base SOP Eje De Levas Isx EGL 3679930</v>
      </c>
      <c r="C8809" s="380" t="str">
        <f>IFERROR(__xludf.DUMMYFUNCTION("""COMPUTED_VALUE"""),"70004229")</f>
        <v>70004229</v>
      </c>
      <c r="D8809" s="380" t="s">
        <v>767</v>
      </c>
      <c r="E8809" s="380" t="s">
        <v>786</v>
      </c>
      <c r="F8809" s="380" t="s">
        <v>787</v>
      </c>
      <c r="G8809" s="380" t="s">
        <v>1267</v>
      </c>
      <c r="H8809" s="380" t="s">
        <v>771</v>
      </c>
      <c r="I8809" s="380" t="s">
        <v>788</v>
      </c>
      <c r="J8809" s="380" t="s">
        <v>773</v>
      </c>
      <c r="K8809" s="381">
        <v>0.0</v>
      </c>
      <c r="L8809" s="382">
        <v>1.0</v>
      </c>
    </row>
    <row r="8810">
      <c r="A8810" s="380" t="s">
        <v>9684</v>
      </c>
      <c r="B8810" s="380" t="str">
        <f>IFERROR(__xludf.DUMMYFUNCTION("""COMPUTED_VALUE"""),"Empaque Bomba Agua Mack Cxu 2330000891")</f>
        <v>Empaque Bomba Agua Mack Cxu 2330000891</v>
      </c>
      <c r="C8810" s="380" t="str">
        <f>IFERROR(__xludf.DUMMYFUNCTION("""COMPUTED_VALUE"""),"70004230")</f>
        <v>70004230</v>
      </c>
      <c r="D8810" s="380" t="s">
        <v>767</v>
      </c>
      <c r="E8810" s="380" t="s">
        <v>786</v>
      </c>
      <c r="F8810" s="380" t="s">
        <v>787</v>
      </c>
      <c r="G8810" s="380" t="s">
        <v>1267</v>
      </c>
      <c r="H8810" s="380" t="s">
        <v>771</v>
      </c>
      <c r="I8810" s="380" t="s">
        <v>788</v>
      </c>
      <c r="J8810" s="380" t="s">
        <v>773</v>
      </c>
      <c r="K8810" s="381">
        <v>0.0</v>
      </c>
      <c r="L8810" s="382">
        <v>1.0</v>
      </c>
    </row>
    <row r="8811">
      <c r="A8811" s="380" t="s">
        <v>9685</v>
      </c>
      <c r="B8811" s="380" t="str">
        <f>IFERROR(__xludf.DUMMYFUNCTION("""COMPUTED_VALUE"""),"Sello Bomba Mach Cxu 2330000198")</f>
        <v>Sello Bomba Mach Cxu 2330000198</v>
      </c>
      <c r="C8811" s="380" t="str">
        <f>IFERROR(__xludf.DUMMYFUNCTION("""COMPUTED_VALUE"""),"70004231")</f>
        <v>70004231</v>
      </c>
      <c r="D8811" s="380" t="s">
        <v>767</v>
      </c>
      <c r="E8811" s="380" t="s">
        <v>786</v>
      </c>
      <c r="F8811" s="380" t="s">
        <v>787</v>
      </c>
      <c r="G8811" s="380" t="s">
        <v>1267</v>
      </c>
      <c r="H8811" s="380" t="s">
        <v>771</v>
      </c>
      <c r="I8811" s="380" t="s">
        <v>788</v>
      </c>
      <c r="J8811" s="380" t="s">
        <v>773</v>
      </c>
      <c r="K8811" s="381">
        <v>0.0</v>
      </c>
      <c r="L8811" s="382">
        <v>1.0</v>
      </c>
    </row>
    <row r="8812">
      <c r="A8812" s="380" t="s">
        <v>9686</v>
      </c>
      <c r="B8812" s="380" t="str">
        <f>IFERROR(__xludf.DUMMYFUNCTION("""COMPUTED_VALUE"""),"Arandela Punta Eje Del FT 112 1023331197")</f>
        <v>Arandela Punta Eje Del FT 112 1023331197</v>
      </c>
      <c r="C8812" s="380" t="str">
        <f>IFERROR(__xludf.DUMMYFUNCTION("""COMPUTED_VALUE"""),"70004232")</f>
        <v>70004232</v>
      </c>
      <c r="D8812" s="380" t="s">
        <v>767</v>
      </c>
      <c r="E8812" s="380" t="s">
        <v>786</v>
      </c>
      <c r="F8812" s="380" t="s">
        <v>1039</v>
      </c>
      <c r="G8812" s="380" t="s">
        <v>1267</v>
      </c>
      <c r="H8812" s="380" t="s">
        <v>771</v>
      </c>
      <c r="I8812" s="380" t="s">
        <v>788</v>
      </c>
      <c r="J8812" s="380" t="s">
        <v>773</v>
      </c>
      <c r="K8812" s="381">
        <v>0.0</v>
      </c>
      <c r="L8812" s="382">
        <v>1.0</v>
      </c>
    </row>
    <row r="8813">
      <c r="A8813" s="380" t="s">
        <v>9687</v>
      </c>
      <c r="B8813" s="380" t="str">
        <f>IFERROR(__xludf.DUMMYFUNCTION("""COMPUTED_VALUE"""),"Buje BRR Estabilizadora Tras 1023085342")</f>
        <v>Buje BRR Estabilizadora Tras 1023085342</v>
      </c>
      <c r="C8813" s="380" t="str">
        <f>IFERROR(__xludf.DUMMYFUNCTION("""COMPUTED_VALUE"""),"70004233")</f>
        <v>70004233</v>
      </c>
      <c r="D8813" s="380" t="s">
        <v>767</v>
      </c>
      <c r="E8813" s="380" t="s">
        <v>786</v>
      </c>
      <c r="F8813" s="380" t="s">
        <v>1039</v>
      </c>
      <c r="G8813" s="380" t="s">
        <v>1267</v>
      </c>
      <c r="H8813" s="380" t="s">
        <v>771</v>
      </c>
      <c r="I8813" s="380" t="s">
        <v>788</v>
      </c>
      <c r="J8813" s="380" t="s">
        <v>773</v>
      </c>
      <c r="K8813" s="381">
        <v>0.0</v>
      </c>
      <c r="L8813" s="382">
        <v>1.0</v>
      </c>
    </row>
    <row r="8814">
      <c r="A8814" s="380" t="s">
        <v>9688</v>
      </c>
      <c r="B8814" s="380" t="str">
        <f>IFERROR(__xludf.DUMMYFUNCTION("""COMPUTED_VALUE"""),"Buje Tras De Ballesta Tras FT 5946259910")</f>
        <v>Buje Tras De Ballesta Tras FT 5946259910</v>
      </c>
      <c r="C8814" s="380" t="str">
        <f>IFERROR(__xludf.DUMMYFUNCTION("""COMPUTED_VALUE"""),"70004234")</f>
        <v>70004234</v>
      </c>
      <c r="D8814" s="380" t="s">
        <v>767</v>
      </c>
      <c r="E8814" s="380" t="s">
        <v>786</v>
      </c>
      <c r="F8814" s="380" t="s">
        <v>1039</v>
      </c>
      <c r="G8814" s="380" t="s">
        <v>1267</v>
      </c>
      <c r="H8814" s="380" t="s">
        <v>771</v>
      </c>
      <c r="I8814" s="380" t="s">
        <v>788</v>
      </c>
      <c r="J8814" s="380" t="s">
        <v>773</v>
      </c>
      <c r="K8814" s="381">
        <v>7733.0</v>
      </c>
      <c r="L8814" s="382">
        <v>1.0</v>
      </c>
    </row>
    <row r="8815">
      <c r="A8815" s="380" t="s">
        <v>9689</v>
      </c>
      <c r="B8815" s="380" t="str">
        <f>IFERROR(__xludf.DUMMYFUNCTION("""COMPUTED_VALUE"""),"Cuñero Splinder Foton 1039 1023983365")</f>
        <v>Cuñero Splinder Foton 1039 1023983365</v>
      </c>
      <c r="C8815" s="380" t="str">
        <f>IFERROR(__xludf.DUMMYFUNCTION("""COMPUTED_VALUE"""),"70004235")</f>
        <v>70004235</v>
      </c>
      <c r="D8815" s="380" t="s">
        <v>767</v>
      </c>
      <c r="E8815" s="380" t="s">
        <v>786</v>
      </c>
      <c r="F8815" s="380" t="s">
        <v>1039</v>
      </c>
      <c r="G8815" s="380" t="s">
        <v>1267</v>
      </c>
      <c r="H8815" s="380" t="s">
        <v>771</v>
      </c>
      <c r="I8815" s="380" t="s">
        <v>788</v>
      </c>
      <c r="J8815" s="380" t="s">
        <v>773</v>
      </c>
      <c r="K8815" s="381">
        <v>0.0</v>
      </c>
      <c r="L8815" s="382">
        <v>1.0</v>
      </c>
    </row>
    <row r="8816">
      <c r="A8816" s="380" t="s">
        <v>9690</v>
      </c>
      <c r="B8816" s="380" t="str">
        <f>IFERROR(__xludf.DUMMYFUNCTION("""COMPUTED_VALUE"""),"Anillo Tubo De Escape INT Lt 2866337")</f>
        <v>Anillo Tubo De Escape INT Lt 2866337</v>
      </c>
      <c r="C8816" s="380" t="str">
        <f>IFERROR(__xludf.DUMMYFUNCTION("""COMPUTED_VALUE"""),"70004236")</f>
        <v>70004236</v>
      </c>
      <c r="D8816" s="380" t="s">
        <v>767</v>
      </c>
      <c r="E8816" s="380" t="s">
        <v>786</v>
      </c>
      <c r="F8816" s="380" t="s">
        <v>787</v>
      </c>
      <c r="G8816" s="380" t="s">
        <v>1267</v>
      </c>
      <c r="H8816" s="380" t="s">
        <v>771</v>
      </c>
      <c r="I8816" s="380" t="s">
        <v>788</v>
      </c>
      <c r="J8816" s="380" t="s">
        <v>773</v>
      </c>
      <c r="K8816" s="381">
        <v>0.0</v>
      </c>
      <c r="L8816" s="382">
        <v>1.0</v>
      </c>
    </row>
    <row r="8817">
      <c r="A8817" s="380" t="s">
        <v>9691</v>
      </c>
      <c r="B8817" s="380" t="str">
        <f>IFERROR(__xludf.DUMMYFUNCTION("""COMPUTED_VALUE"""),"CAM Freno Del Izq FT 1065e 5946694742")</f>
        <v>CAM Freno Del Izq FT 1065e 5946694742</v>
      </c>
      <c r="C8817" s="380" t="str">
        <f>IFERROR(__xludf.DUMMYFUNCTION("""COMPUTED_VALUE"""),"70004237")</f>
        <v>70004237</v>
      </c>
      <c r="D8817" s="380" t="s">
        <v>767</v>
      </c>
      <c r="E8817" s="380" t="s">
        <v>786</v>
      </c>
      <c r="F8817" s="380" t="s">
        <v>1017</v>
      </c>
      <c r="G8817" s="380" t="s">
        <v>1267</v>
      </c>
      <c r="H8817" s="380" t="s">
        <v>771</v>
      </c>
      <c r="I8817" s="380" t="s">
        <v>788</v>
      </c>
      <c r="J8817" s="380" t="s">
        <v>773</v>
      </c>
      <c r="K8817" s="381">
        <v>0.0</v>
      </c>
      <c r="L8817" s="382">
        <v>1.0</v>
      </c>
    </row>
    <row r="8818">
      <c r="A8818" s="380" t="s">
        <v>9692</v>
      </c>
      <c r="B8818" s="380" t="str">
        <f>IFERROR(__xludf.DUMMYFUNCTION("""COMPUTED_VALUE"""),"Bombillo 1 Contacto Pata Parejo 24v N67")</f>
        <v>Bombillo 1 Contacto Pata Parejo 24v N67</v>
      </c>
      <c r="C8818" s="380" t="str">
        <f>IFERROR(__xludf.DUMMYFUNCTION("""COMPUTED_VALUE"""),"70004238")</f>
        <v>70004238</v>
      </c>
      <c r="D8818" s="380" t="s">
        <v>767</v>
      </c>
      <c r="E8818" s="380" t="s">
        <v>786</v>
      </c>
      <c r="F8818" s="380" t="s">
        <v>998</v>
      </c>
      <c r="G8818" s="380" t="s">
        <v>1267</v>
      </c>
      <c r="H8818" s="380" t="s">
        <v>771</v>
      </c>
      <c r="I8818" s="380" t="s">
        <v>788</v>
      </c>
      <c r="J8818" s="380" t="s">
        <v>773</v>
      </c>
      <c r="K8818" s="381">
        <v>2832.0</v>
      </c>
      <c r="L8818" s="382">
        <v>1.0</v>
      </c>
    </row>
    <row r="8819">
      <c r="A8819" s="380" t="s">
        <v>9693</v>
      </c>
      <c r="B8819" s="380" t="str">
        <f>IFERROR(__xludf.DUMMYFUNCTION("""COMPUTED_VALUE"""),"Housing Diferencial TRAS Nkr Modelo 2006")</f>
        <v>Housing Diferencial TRAS Nkr Modelo 2006</v>
      </c>
      <c r="C8819" s="380" t="str">
        <f>IFERROR(__xludf.DUMMYFUNCTION("""COMPUTED_VALUE"""),"70004239")</f>
        <v>70004239</v>
      </c>
      <c r="D8819" s="380" t="s">
        <v>767</v>
      </c>
      <c r="E8819" s="380" t="s">
        <v>786</v>
      </c>
      <c r="F8819" s="380" t="s">
        <v>5683</v>
      </c>
      <c r="G8819" s="380" t="s">
        <v>1267</v>
      </c>
      <c r="H8819" s="380" t="s">
        <v>771</v>
      </c>
      <c r="I8819" s="380" t="s">
        <v>788</v>
      </c>
      <c r="J8819" s="380" t="s">
        <v>773</v>
      </c>
      <c r="K8819" s="381">
        <v>0.0</v>
      </c>
      <c r="L8819" s="382">
        <v>1.0</v>
      </c>
    </row>
    <row r="8820">
      <c r="A8820" s="380" t="s">
        <v>9694</v>
      </c>
      <c r="B8820" s="380" t="str">
        <f>IFERROR(__xludf.DUMMYFUNCTION("""COMPUTED_VALUE"""),"Cerradura Cabina Volkswagen 2rg899371")</f>
        <v>Cerradura Cabina Volkswagen 2rg899371</v>
      </c>
      <c r="C8820" s="380" t="str">
        <f>IFERROR(__xludf.DUMMYFUNCTION("""COMPUTED_VALUE"""),"70004240")</f>
        <v>70004240</v>
      </c>
      <c r="D8820" s="380" t="s">
        <v>767</v>
      </c>
      <c r="E8820" s="380" t="s">
        <v>786</v>
      </c>
      <c r="F8820" s="380" t="s">
        <v>792</v>
      </c>
      <c r="G8820" s="380" t="s">
        <v>1267</v>
      </c>
      <c r="H8820" s="380" t="s">
        <v>771</v>
      </c>
      <c r="I8820" s="380" t="s">
        <v>788</v>
      </c>
      <c r="J8820" s="380" t="s">
        <v>773</v>
      </c>
      <c r="K8820" s="381">
        <v>0.0</v>
      </c>
      <c r="L8820" s="382">
        <v>1.0</v>
      </c>
    </row>
    <row r="8821">
      <c r="A8821" s="380" t="s">
        <v>9695</v>
      </c>
      <c r="B8821" s="380" t="str">
        <f>IFERROR(__xludf.DUMMYFUNCTION("""COMPUTED_VALUE"""),"Kit Camisa Isx Eagle 9400 152mm Sin Apr")</f>
        <v>Kit Camisa Isx Eagle 9400 152mm Sin Apr</v>
      </c>
      <c r="C8821" s="380" t="str">
        <f>IFERROR(__xludf.DUMMYFUNCTION("""COMPUTED_VALUE"""),"70004241")</f>
        <v>70004241</v>
      </c>
      <c r="D8821" s="380" t="s">
        <v>767</v>
      </c>
      <c r="E8821" s="380" t="s">
        <v>786</v>
      </c>
      <c r="F8821" s="380" t="s">
        <v>787</v>
      </c>
      <c r="G8821" s="380" t="s">
        <v>1267</v>
      </c>
      <c r="H8821" s="380" t="s">
        <v>771</v>
      </c>
      <c r="I8821" s="380" t="s">
        <v>788</v>
      </c>
      <c r="J8821" s="380" t="s">
        <v>773</v>
      </c>
      <c r="K8821" s="381">
        <v>0.0</v>
      </c>
      <c r="L8821" s="382">
        <v>1.0</v>
      </c>
    </row>
    <row r="8822">
      <c r="A8822" s="380" t="s">
        <v>9696</v>
      </c>
      <c r="B8822" s="380" t="str">
        <f>IFERROR(__xludf.DUMMYFUNCTION("""COMPUTED_VALUE"""),"Arandela Yoke Cardan Eagle D2301236")</f>
        <v>Arandela Yoke Cardan Eagle D2301236</v>
      </c>
      <c r="C8822" s="380" t="str">
        <f>IFERROR(__xludf.DUMMYFUNCTION("""COMPUTED_VALUE"""),"70004242")</f>
        <v>70004242</v>
      </c>
      <c r="D8822" s="380" t="s">
        <v>767</v>
      </c>
      <c r="E8822" s="380" t="s">
        <v>786</v>
      </c>
      <c r="F8822" s="380" t="s">
        <v>5683</v>
      </c>
      <c r="G8822" s="380" t="s">
        <v>1267</v>
      </c>
      <c r="H8822" s="380" t="s">
        <v>771</v>
      </c>
      <c r="I8822" s="380" t="s">
        <v>788</v>
      </c>
      <c r="J8822" s="380" t="s">
        <v>773</v>
      </c>
      <c r="K8822" s="381">
        <v>0.0</v>
      </c>
      <c r="L8822" s="382">
        <v>1.0</v>
      </c>
    </row>
    <row r="8823">
      <c r="A8823" s="380" t="s">
        <v>9697</v>
      </c>
      <c r="B8823" s="380" t="str">
        <f>IFERROR(__xludf.DUMMYFUNCTION("""COMPUTED_VALUE"""),"Tensor Correa A/C NS Pathfinder 82001047")</f>
        <v>Tensor Correa A/C NS Pathfinder 82001047</v>
      </c>
      <c r="C8823" s="380" t="str">
        <f>IFERROR(__xludf.DUMMYFUNCTION("""COMPUTED_VALUE"""),"70004243")</f>
        <v>70004243</v>
      </c>
      <c r="D8823" s="380" t="s">
        <v>767</v>
      </c>
      <c r="E8823" s="380" t="s">
        <v>786</v>
      </c>
      <c r="F8823" s="380" t="s">
        <v>1031</v>
      </c>
      <c r="G8823" s="380" t="s">
        <v>1267</v>
      </c>
      <c r="H8823" s="380" t="s">
        <v>771</v>
      </c>
      <c r="I8823" s="380" t="s">
        <v>788</v>
      </c>
      <c r="J8823" s="380" t="s">
        <v>773</v>
      </c>
      <c r="K8823" s="381">
        <v>0.0</v>
      </c>
      <c r="L8823" s="382">
        <v>1.0</v>
      </c>
    </row>
    <row r="8824">
      <c r="A8824" s="380" t="s">
        <v>9698</v>
      </c>
      <c r="B8824" s="380" t="str">
        <f>IFERROR(__xludf.DUMMYFUNCTION("""COMPUTED_VALUE"""),"Perno RDA Tras Izq FT 1030 5946015578")</f>
        <v>Perno RDA Tras Izq FT 1030 5946015578</v>
      </c>
      <c r="C8824" s="380" t="str">
        <f>IFERROR(__xludf.DUMMYFUNCTION("""COMPUTED_VALUE"""),"70004244")</f>
        <v>70004244</v>
      </c>
      <c r="D8824" s="380" t="s">
        <v>767</v>
      </c>
      <c r="E8824" s="380" t="s">
        <v>786</v>
      </c>
      <c r="F8824" s="380" t="s">
        <v>1039</v>
      </c>
      <c r="G8824" s="380" t="s">
        <v>1267</v>
      </c>
      <c r="H8824" s="380" t="s">
        <v>771</v>
      </c>
      <c r="I8824" s="380" t="s">
        <v>788</v>
      </c>
      <c r="J8824" s="380" t="s">
        <v>773</v>
      </c>
      <c r="K8824" s="381">
        <v>0.0</v>
      </c>
      <c r="L8824" s="382">
        <v>1.0</v>
      </c>
    </row>
    <row r="8825">
      <c r="A8825" s="380" t="s">
        <v>9699</v>
      </c>
      <c r="B8825" s="380" t="str">
        <f>IFERROR(__xludf.DUMMYFUNCTION("""COMPUTED_VALUE"""),"Guantera Foton 1129 7705946330442")</f>
        <v>Guantera Foton 1129 7705946330442</v>
      </c>
      <c r="C8825" s="380" t="str">
        <f>IFERROR(__xludf.DUMMYFUNCTION("""COMPUTED_VALUE"""),"70004245")</f>
        <v>70004245</v>
      </c>
      <c r="D8825" s="380" t="s">
        <v>767</v>
      </c>
      <c r="E8825" s="380" t="s">
        <v>786</v>
      </c>
      <c r="F8825" s="380" t="s">
        <v>792</v>
      </c>
      <c r="G8825" s="380" t="s">
        <v>1267</v>
      </c>
      <c r="H8825" s="380" t="s">
        <v>771</v>
      </c>
      <c r="I8825" s="380" t="s">
        <v>788</v>
      </c>
      <c r="J8825" s="380" t="s">
        <v>773</v>
      </c>
      <c r="K8825" s="381">
        <v>82560.0</v>
      </c>
      <c r="L8825" s="382">
        <v>1.0</v>
      </c>
    </row>
    <row r="8826">
      <c r="A8826" s="380" t="s">
        <v>9700</v>
      </c>
      <c r="B8826" s="380" t="str">
        <f>IFERROR(__xludf.DUMMYFUNCTION("""COMPUTED_VALUE"""),"RAD Calefaccion INTnacional L 4068877c92")</f>
        <v>RAD Calefaccion INTnacional L 4068877c92</v>
      </c>
      <c r="C8826" s="380" t="str">
        <f>IFERROR(__xludf.DUMMYFUNCTION("""COMPUTED_VALUE"""),"70004246")</f>
        <v>70004246</v>
      </c>
      <c r="D8826" s="380" t="s">
        <v>767</v>
      </c>
      <c r="E8826" s="380" t="s">
        <v>786</v>
      </c>
      <c r="F8826" s="380" t="s">
        <v>787</v>
      </c>
      <c r="G8826" s="380" t="s">
        <v>1267</v>
      </c>
      <c r="H8826" s="380" t="s">
        <v>771</v>
      </c>
      <c r="I8826" s="380" t="s">
        <v>788</v>
      </c>
      <c r="J8826" s="380" t="s">
        <v>773</v>
      </c>
      <c r="K8826" s="381">
        <v>0.0</v>
      </c>
      <c r="L8826" s="382">
        <v>1.0</v>
      </c>
    </row>
    <row r="8827">
      <c r="A8827" s="380" t="s">
        <v>9701</v>
      </c>
      <c r="B8827" s="380" t="str">
        <f>IFERROR(__xludf.DUMMYFUNCTION("""COMPUTED_VALUE"""),"Conjunto Sincronizador 3/4 Jac 1120 6ds5")</f>
        <v>Conjunto Sincronizador 3/4 Jac 1120 6ds5</v>
      </c>
      <c r="C8827" s="380" t="str">
        <f>IFERROR(__xludf.DUMMYFUNCTION("""COMPUTED_VALUE"""),"70004247")</f>
        <v>70004247</v>
      </c>
      <c r="D8827" s="380" t="s">
        <v>767</v>
      </c>
      <c r="E8827" s="380" t="s">
        <v>786</v>
      </c>
      <c r="F8827" s="380" t="s">
        <v>928</v>
      </c>
      <c r="G8827" s="380" t="s">
        <v>1267</v>
      </c>
      <c r="H8827" s="380" t="s">
        <v>771</v>
      </c>
      <c r="I8827" s="380" t="s">
        <v>788</v>
      </c>
      <c r="J8827" s="380" t="s">
        <v>773</v>
      </c>
      <c r="K8827" s="381">
        <v>0.0</v>
      </c>
      <c r="L8827" s="382">
        <v>1.0</v>
      </c>
    </row>
    <row r="8828">
      <c r="A8828" s="380" t="s">
        <v>9702</v>
      </c>
      <c r="B8828" s="380" t="str">
        <f>IFERROR(__xludf.DUMMYFUNCTION("""COMPUTED_VALUE"""),"Rodamiento Splinder FT 1128 1023310376")</f>
        <v>Rodamiento Splinder FT 1128 1023310376</v>
      </c>
      <c r="C8828" s="380" t="str">
        <f>IFERROR(__xludf.DUMMYFUNCTION("""COMPUTED_VALUE"""),"70004248")</f>
        <v>70004248</v>
      </c>
      <c r="D8828" s="380" t="s">
        <v>767</v>
      </c>
      <c r="E8828" s="380" t="s">
        <v>786</v>
      </c>
      <c r="F8828" s="380" t="s">
        <v>1039</v>
      </c>
      <c r="G8828" s="380" t="s">
        <v>1267</v>
      </c>
      <c r="H8828" s="380" t="s">
        <v>771</v>
      </c>
      <c r="I8828" s="380" t="s">
        <v>788</v>
      </c>
      <c r="J8828" s="380" t="s">
        <v>773</v>
      </c>
      <c r="K8828" s="381">
        <v>0.0</v>
      </c>
      <c r="L8828" s="382">
        <v>1.0</v>
      </c>
    </row>
    <row r="8829">
      <c r="A8829" s="380" t="s">
        <v>9703</v>
      </c>
      <c r="B8829" s="380" t="str">
        <f>IFERROR(__xludf.DUMMYFUNCTION("""COMPUTED_VALUE"""),"Conjunto Sincronizador 1/2 Jac 1120 6ds5")</f>
        <v>Conjunto Sincronizador 1/2 Jac 1120 6ds5</v>
      </c>
      <c r="C8829" s="380" t="str">
        <f>IFERROR(__xludf.DUMMYFUNCTION("""COMPUTED_VALUE"""),"70004249")</f>
        <v>70004249</v>
      </c>
      <c r="D8829" s="380" t="s">
        <v>767</v>
      </c>
      <c r="E8829" s="380" t="s">
        <v>786</v>
      </c>
      <c r="F8829" s="380" t="s">
        <v>928</v>
      </c>
      <c r="G8829" s="380" t="s">
        <v>1267</v>
      </c>
      <c r="H8829" s="380" t="s">
        <v>771</v>
      </c>
      <c r="I8829" s="380" t="s">
        <v>788</v>
      </c>
      <c r="J8829" s="380" t="s">
        <v>773</v>
      </c>
      <c r="K8829" s="381">
        <v>0.0</v>
      </c>
      <c r="L8829" s="382">
        <v>1.0</v>
      </c>
    </row>
    <row r="8830">
      <c r="A8830" s="380" t="s">
        <v>9704</v>
      </c>
      <c r="B8830" s="380" t="str">
        <f>IFERROR(__xludf.DUMMYFUNCTION("""COMPUTED_VALUE"""),"Buje Splinder Foton 1128 1023310383")</f>
        <v>Buje Splinder Foton 1128 1023310383</v>
      </c>
      <c r="C8830" s="380" t="str">
        <f>IFERROR(__xludf.DUMMYFUNCTION("""COMPUTED_VALUE"""),"70004250")</f>
        <v>70004250</v>
      </c>
      <c r="D8830" s="380" t="s">
        <v>767</v>
      </c>
      <c r="E8830" s="380" t="s">
        <v>786</v>
      </c>
      <c r="F8830" s="380" t="s">
        <v>1039</v>
      </c>
      <c r="G8830" s="380" t="s">
        <v>1267</v>
      </c>
      <c r="H8830" s="380" t="s">
        <v>771</v>
      </c>
      <c r="I8830" s="380" t="s">
        <v>788</v>
      </c>
      <c r="J8830" s="380" t="s">
        <v>773</v>
      </c>
      <c r="K8830" s="381">
        <v>0.0</v>
      </c>
      <c r="L8830" s="382">
        <v>1.0</v>
      </c>
    </row>
    <row r="8831">
      <c r="A8831" s="380" t="s">
        <v>9705</v>
      </c>
      <c r="B8831" s="380" t="str">
        <f>IFERROR(__xludf.DUMMYFUNCTION("""COMPUTED_VALUE"""),"Pasador Splinder Foton 1128 5946870689")</f>
        <v>Pasador Splinder Foton 1128 5946870689</v>
      </c>
      <c r="C8831" s="380" t="str">
        <f>IFERROR(__xludf.DUMMYFUNCTION("""COMPUTED_VALUE"""),"70004251")</f>
        <v>70004251</v>
      </c>
      <c r="D8831" s="380" t="s">
        <v>767</v>
      </c>
      <c r="E8831" s="380" t="s">
        <v>786</v>
      </c>
      <c r="F8831" s="380" t="s">
        <v>1039</v>
      </c>
      <c r="G8831" s="380" t="s">
        <v>1267</v>
      </c>
      <c r="H8831" s="380" t="s">
        <v>771</v>
      </c>
      <c r="I8831" s="380" t="s">
        <v>788</v>
      </c>
      <c r="J8831" s="380" t="s">
        <v>773</v>
      </c>
      <c r="K8831" s="381">
        <v>0.0</v>
      </c>
      <c r="L8831" s="382">
        <v>1.0</v>
      </c>
    </row>
    <row r="8832">
      <c r="A8832" s="380" t="s">
        <v>9706</v>
      </c>
      <c r="B8832" s="380" t="str">
        <f>IFERROR(__xludf.DUMMYFUNCTION("""COMPUTED_VALUE"""),"BMB Hidraulica DIR INT Lt 3624643c91")</f>
        <v>BMB Hidraulica DIR INT Lt 3624643c91</v>
      </c>
      <c r="C8832" s="380" t="str">
        <f>IFERROR(__xludf.DUMMYFUNCTION("""COMPUTED_VALUE"""),"70004252")</f>
        <v>70004252</v>
      </c>
      <c r="D8832" s="380" t="s">
        <v>767</v>
      </c>
      <c r="E8832" s="380" t="s">
        <v>786</v>
      </c>
      <c r="F8832" s="380" t="s">
        <v>1020</v>
      </c>
      <c r="G8832" s="380" t="s">
        <v>1267</v>
      </c>
      <c r="H8832" s="380" t="s">
        <v>771</v>
      </c>
      <c r="I8832" s="380" t="s">
        <v>788</v>
      </c>
      <c r="J8832" s="380" t="s">
        <v>773</v>
      </c>
      <c r="K8832" s="381">
        <v>0.0</v>
      </c>
      <c r="L8832" s="382">
        <v>1.0</v>
      </c>
    </row>
    <row r="8833">
      <c r="A8833" s="380" t="s">
        <v>9707</v>
      </c>
      <c r="B8833" s="380" t="str">
        <f>IFERROR(__xludf.DUMMYFUNCTION("""COMPUTED_VALUE"""),"BRR Corta DIRción FT 1128 149111393")</f>
        <v>BRR Corta DIRción FT 1128 149111393</v>
      </c>
      <c r="C8833" s="380" t="str">
        <f>IFERROR(__xludf.DUMMYFUNCTION("""COMPUTED_VALUE"""),"70004253")</f>
        <v>70004253</v>
      </c>
      <c r="D8833" s="380" t="s">
        <v>767</v>
      </c>
      <c r="E8833" s="380" t="s">
        <v>786</v>
      </c>
      <c r="F8833" s="380" t="s">
        <v>1020</v>
      </c>
      <c r="G8833" s="380" t="s">
        <v>1267</v>
      </c>
      <c r="H8833" s="380" t="s">
        <v>771</v>
      </c>
      <c r="I8833" s="380" t="s">
        <v>788</v>
      </c>
      <c r="J8833" s="380" t="s">
        <v>773</v>
      </c>
      <c r="K8833" s="381">
        <v>0.0</v>
      </c>
      <c r="L8833" s="382">
        <v>1.0</v>
      </c>
    </row>
    <row r="8834">
      <c r="A8834" s="380" t="s">
        <v>9708</v>
      </c>
      <c r="B8834" s="380" t="str">
        <f>IFERROR(__xludf.DUMMYFUNCTION("""COMPUTED_VALUE"""),"Pivote IZQ Limpiabrisas Nkr 8980030740")</f>
        <v>Pivote IZQ Limpiabrisas Nkr 8980030740</v>
      </c>
      <c r="C8834" s="380" t="str">
        <f>IFERROR(__xludf.DUMMYFUNCTION("""COMPUTED_VALUE"""),"70004254")</f>
        <v>70004254</v>
      </c>
      <c r="D8834" s="380" t="s">
        <v>767</v>
      </c>
      <c r="E8834" s="380" t="s">
        <v>786</v>
      </c>
      <c r="F8834" s="380" t="s">
        <v>1031</v>
      </c>
      <c r="G8834" s="380" t="s">
        <v>1267</v>
      </c>
      <c r="H8834" s="380" t="s">
        <v>771</v>
      </c>
      <c r="I8834" s="380" t="s">
        <v>788</v>
      </c>
      <c r="J8834" s="380" t="s">
        <v>773</v>
      </c>
      <c r="K8834" s="381">
        <v>0.0</v>
      </c>
      <c r="L8834" s="382">
        <v>1.0</v>
      </c>
    </row>
    <row r="8835">
      <c r="A8835" s="380" t="s">
        <v>9709</v>
      </c>
      <c r="B8835" s="380" t="str">
        <f>IFERROR(__xludf.DUMMYFUNCTION("""COMPUTED_VALUE"""),"Riel De Combustible Jac Jhr 1042400fe010")</f>
        <v>Riel De Combustible Jac Jhr 1042400fe010</v>
      </c>
      <c r="C8835" s="380" t="str">
        <f>IFERROR(__xludf.DUMMYFUNCTION("""COMPUTED_VALUE"""),"70004255")</f>
        <v>70004255</v>
      </c>
      <c r="D8835" s="380" t="s">
        <v>767</v>
      </c>
      <c r="E8835" s="380" t="s">
        <v>786</v>
      </c>
      <c r="F8835" s="380" t="s">
        <v>787</v>
      </c>
      <c r="G8835" s="380" t="s">
        <v>1267</v>
      </c>
      <c r="H8835" s="380" t="s">
        <v>771</v>
      </c>
      <c r="I8835" s="380" t="s">
        <v>788</v>
      </c>
      <c r="J8835" s="380" t="s">
        <v>773</v>
      </c>
      <c r="K8835" s="381">
        <v>0.0</v>
      </c>
      <c r="L8835" s="382">
        <v>1.0</v>
      </c>
    </row>
    <row r="8836">
      <c r="A8836" s="380" t="s">
        <v>9710</v>
      </c>
      <c r="B8836" s="380" t="str">
        <f>IFERROR(__xludf.DUMMYFUNCTION("""COMPUTED_VALUE"""),"Tuerca Terminal Derecha Nkr Reward 89804")</f>
        <v>Tuerca Terminal Derecha Nkr Reward 89804</v>
      </c>
      <c r="C8836" s="380" t="str">
        <f>IFERROR(__xludf.DUMMYFUNCTION("""COMPUTED_VALUE"""),"70004256")</f>
        <v>70004256</v>
      </c>
      <c r="D8836" s="380" t="s">
        <v>767</v>
      </c>
      <c r="E8836" s="380" t="s">
        <v>786</v>
      </c>
      <c r="F8836" s="380" t="s">
        <v>1039</v>
      </c>
      <c r="G8836" s="380" t="s">
        <v>1267</v>
      </c>
      <c r="H8836" s="380" t="s">
        <v>771</v>
      </c>
      <c r="I8836" s="380" t="s">
        <v>788</v>
      </c>
      <c r="J8836" s="380" t="s">
        <v>773</v>
      </c>
      <c r="K8836" s="381">
        <v>0.0</v>
      </c>
      <c r="L8836" s="382">
        <v>1.0</v>
      </c>
    </row>
    <row r="8837">
      <c r="A8837" s="380" t="s">
        <v>9711</v>
      </c>
      <c r="B8837" s="380" t="str">
        <f>IFERROR(__xludf.DUMMYFUNCTION("""COMPUTED_VALUE"""),"Tuerca Terminal Izquierda Nkr Reward 894")</f>
        <v>Tuerca Terminal Izquierda Nkr Reward 894</v>
      </c>
      <c r="C8837" s="380" t="str">
        <f>IFERROR(__xludf.DUMMYFUNCTION("""COMPUTED_VALUE"""),"70004257")</f>
        <v>70004257</v>
      </c>
      <c r="D8837" s="380" t="s">
        <v>767</v>
      </c>
      <c r="E8837" s="380" t="s">
        <v>786</v>
      </c>
      <c r="F8837" s="380" t="s">
        <v>1039</v>
      </c>
      <c r="G8837" s="380" t="s">
        <v>1267</v>
      </c>
      <c r="H8837" s="380" t="s">
        <v>771</v>
      </c>
      <c r="I8837" s="380" t="s">
        <v>788</v>
      </c>
      <c r="J8837" s="380" t="s">
        <v>773</v>
      </c>
      <c r="K8837" s="381">
        <v>0.0</v>
      </c>
      <c r="L8837" s="382">
        <v>1.0</v>
      </c>
    </row>
    <row r="8838">
      <c r="A8838" s="380" t="s">
        <v>9712</v>
      </c>
      <c r="B8838" s="380" t="str">
        <f>IFERROR(__xludf.DUMMYFUNCTION("""COMPUTED_VALUE"""),"Adaptador Turbo Escape Nkr Co 8971923320")</f>
        <v>Adaptador Turbo Escape Nkr Co 8971923320</v>
      </c>
      <c r="C8838" s="380" t="str">
        <f>IFERROR(__xludf.DUMMYFUNCTION("""COMPUTED_VALUE"""),"70004258")</f>
        <v>70004258</v>
      </c>
      <c r="D8838" s="380" t="s">
        <v>767</v>
      </c>
      <c r="E8838" s="380" t="s">
        <v>786</v>
      </c>
      <c r="F8838" s="380" t="s">
        <v>787</v>
      </c>
      <c r="G8838" s="380" t="s">
        <v>1267</v>
      </c>
      <c r="H8838" s="380" t="s">
        <v>771</v>
      </c>
      <c r="I8838" s="380" t="s">
        <v>788</v>
      </c>
      <c r="J8838" s="380" t="s">
        <v>773</v>
      </c>
      <c r="K8838" s="381">
        <v>0.0</v>
      </c>
      <c r="L8838" s="382">
        <v>1.0</v>
      </c>
    </row>
    <row r="8839">
      <c r="A8839" s="380" t="s">
        <v>9713</v>
      </c>
      <c r="B8839" s="380" t="str">
        <f>IFERROR(__xludf.DUMMYFUNCTION("""COMPUTED_VALUE"""),"Kit Overhaul MOT Isx Camisa 152 Mm Kisx4")</f>
        <v>Kit Overhaul MOT Isx Camisa 152 Mm Kisx4</v>
      </c>
      <c r="C8839" s="380" t="str">
        <f>IFERROR(__xludf.DUMMYFUNCTION("""COMPUTED_VALUE"""),"70004259")</f>
        <v>70004259</v>
      </c>
      <c r="D8839" s="380" t="s">
        <v>767</v>
      </c>
      <c r="E8839" s="380" t="s">
        <v>786</v>
      </c>
      <c r="F8839" s="380" t="s">
        <v>787</v>
      </c>
      <c r="G8839" s="380" t="s">
        <v>1267</v>
      </c>
      <c r="H8839" s="380" t="s">
        <v>771</v>
      </c>
      <c r="I8839" s="380" t="s">
        <v>788</v>
      </c>
      <c r="J8839" s="380" t="s">
        <v>773</v>
      </c>
      <c r="K8839" s="381">
        <v>0.0</v>
      </c>
      <c r="L8839" s="382">
        <v>1.0</v>
      </c>
    </row>
    <row r="8840">
      <c r="A8840" s="380" t="s">
        <v>9714</v>
      </c>
      <c r="B8840" s="380" t="str">
        <f>IFERROR(__xludf.DUMMYFUNCTION("""COMPUTED_VALUE"""),"Tornillo Montaje BMB Aceite MOT 3102651")</f>
        <v>Tornillo Montaje BMB Aceite MOT 3102651</v>
      </c>
      <c r="C8840" s="380" t="str">
        <f>IFERROR(__xludf.DUMMYFUNCTION("""COMPUTED_VALUE"""),"70004260")</f>
        <v>70004260</v>
      </c>
      <c r="D8840" s="380" t="s">
        <v>767</v>
      </c>
      <c r="E8840" s="380" t="s">
        <v>786</v>
      </c>
      <c r="F8840" s="380" t="s">
        <v>787</v>
      </c>
      <c r="G8840" s="380" t="s">
        <v>1267</v>
      </c>
      <c r="H8840" s="380" t="s">
        <v>771</v>
      </c>
      <c r="I8840" s="380" t="s">
        <v>788</v>
      </c>
      <c r="J8840" s="380" t="s">
        <v>773</v>
      </c>
      <c r="K8840" s="381">
        <v>0.0</v>
      </c>
      <c r="L8840" s="382">
        <v>1.0</v>
      </c>
    </row>
    <row r="8841">
      <c r="A8841" s="380" t="s">
        <v>9715</v>
      </c>
      <c r="B8841" s="380" t="str">
        <f>IFERROR(__xludf.DUMMYFUNCTION("""COMPUTED_VALUE"""),"Filtro Aire T Automovil 1780161030")</f>
        <v>Filtro Aire T Automovil 1780161030</v>
      </c>
      <c r="C8841" s="380" t="str">
        <f>IFERROR(__xludf.DUMMYFUNCTION("""COMPUTED_VALUE"""),"70004261")</f>
        <v>70004261</v>
      </c>
      <c r="D8841" s="380" t="s">
        <v>767</v>
      </c>
      <c r="E8841" s="380" t="s">
        <v>786</v>
      </c>
      <c r="F8841" s="380" t="s">
        <v>5855</v>
      </c>
      <c r="G8841" s="380" t="s">
        <v>1267</v>
      </c>
      <c r="H8841" s="380" t="s">
        <v>771</v>
      </c>
      <c r="I8841" s="380" t="s">
        <v>788</v>
      </c>
      <c r="J8841" s="380" t="s">
        <v>773</v>
      </c>
      <c r="K8841" s="381">
        <v>0.0</v>
      </c>
      <c r="L8841" s="382">
        <v>1.0</v>
      </c>
    </row>
    <row r="8842">
      <c r="A8842" s="380" t="s">
        <v>9716</v>
      </c>
      <c r="B8842" s="380" t="str">
        <f>IFERROR(__xludf.DUMMYFUNCTION("""COMPUTED_VALUE"""),"Bomba Agua Daf Cf 480 2267066")</f>
        <v>Bomba Agua Daf Cf 480 2267066</v>
      </c>
      <c r="C8842" s="380" t="str">
        <f>IFERROR(__xludf.DUMMYFUNCTION("""COMPUTED_VALUE"""),"70004262")</f>
        <v>70004262</v>
      </c>
      <c r="D8842" s="380" t="s">
        <v>767</v>
      </c>
      <c r="E8842" s="380" t="s">
        <v>786</v>
      </c>
      <c r="F8842" s="380" t="s">
        <v>787</v>
      </c>
      <c r="G8842" s="380" t="s">
        <v>1267</v>
      </c>
      <c r="H8842" s="380" t="s">
        <v>771</v>
      </c>
      <c r="I8842" s="380" t="s">
        <v>788</v>
      </c>
      <c r="J8842" s="380" t="s">
        <v>773</v>
      </c>
      <c r="K8842" s="381">
        <v>0.0</v>
      </c>
      <c r="L8842" s="382">
        <v>1.0</v>
      </c>
    </row>
    <row r="8843">
      <c r="A8843" s="380" t="s">
        <v>9717</v>
      </c>
      <c r="B8843" s="380" t="str">
        <f>IFERROR(__xludf.DUMMYFUNCTION("""COMPUTED_VALUE"""),"Oring Bomba Agua Daf Cf 480 2130588")</f>
        <v>Oring Bomba Agua Daf Cf 480 2130588</v>
      </c>
      <c r="C8843" s="380" t="str">
        <f>IFERROR(__xludf.DUMMYFUNCTION("""COMPUTED_VALUE"""),"70004263")</f>
        <v>70004263</v>
      </c>
      <c r="D8843" s="380" t="s">
        <v>767</v>
      </c>
      <c r="E8843" s="380" t="s">
        <v>786</v>
      </c>
      <c r="F8843" s="380" t="s">
        <v>787</v>
      </c>
      <c r="G8843" s="380" t="s">
        <v>1267</v>
      </c>
      <c r="H8843" s="380" t="s">
        <v>771</v>
      </c>
      <c r="I8843" s="380" t="s">
        <v>788</v>
      </c>
      <c r="J8843" s="380" t="s">
        <v>773</v>
      </c>
      <c r="K8843" s="381">
        <v>0.0</v>
      </c>
      <c r="L8843" s="382">
        <v>1.0</v>
      </c>
    </row>
    <row r="8844">
      <c r="A8844" s="380" t="s">
        <v>9718</v>
      </c>
      <c r="B8844" s="380" t="str">
        <f>IFERROR(__xludf.DUMMYFUNCTION("""COMPUTED_VALUE"""),"Caucho Cardan Hino Dutro 37235-37030")</f>
        <v>Caucho Cardan Hino Dutro 37235-37030</v>
      </c>
      <c r="C8844" s="380" t="str">
        <f>IFERROR(__xludf.DUMMYFUNCTION("""COMPUTED_VALUE"""),"70004264")</f>
        <v>70004264</v>
      </c>
      <c r="D8844" s="380" t="s">
        <v>767</v>
      </c>
      <c r="E8844" s="380" t="s">
        <v>786</v>
      </c>
      <c r="F8844" s="380" t="s">
        <v>5683</v>
      </c>
      <c r="G8844" s="380" t="s">
        <v>1267</v>
      </c>
      <c r="H8844" s="380" t="s">
        <v>771</v>
      </c>
      <c r="I8844" s="380" t="s">
        <v>788</v>
      </c>
      <c r="J8844" s="380" t="s">
        <v>773</v>
      </c>
      <c r="K8844" s="381">
        <v>0.0</v>
      </c>
      <c r="L8844" s="382">
        <v>1.0</v>
      </c>
    </row>
    <row r="8845">
      <c r="A8845" s="380" t="s">
        <v>9719</v>
      </c>
      <c r="B8845" s="380" t="str">
        <f>IFERROR(__xludf.DUMMYFUNCTION("""COMPUTED_VALUE"""),"Diafragma Tipo 16")</f>
        <v>Diafragma Tipo 16</v>
      </c>
      <c r="C8845" s="380" t="str">
        <f>IFERROR(__xludf.DUMMYFUNCTION("""COMPUTED_VALUE"""),"70004265")</f>
        <v>70004265</v>
      </c>
      <c r="D8845" s="380" t="s">
        <v>767</v>
      </c>
      <c r="E8845" s="380" t="s">
        <v>786</v>
      </c>
      <c r="F8845" s="380" t="s">
        <v>1017</v>
      </c>
      <c r="G8845" s="380" t="s">
        <v>1267</v>
      </c>
      <c r="H8845" s="380" t="s">
        <v>771</v>
      </c>
      <c r="I8845" s="380" t="s">
        <v>788</v>
      </c>
      <c r="J8845" s="380" t="s">
        <v>773</v>
      </c>
      <c r="K8845" s="381">
        <v>13454.0</v>
      </c>
      <c r="L8845" s="382">
        <v>1.0</v>
      </c>
    </row>
    <row r="8846">
      <c r="A8846" s="380" t="s">
        <v>9720</v>
      </c>
      <c r="B8846" s="380" t="str">
        <f>IFERROR(__xludf.DUMMYFUNCTION("""COMPUTED_VALUE"""),"Columna De DIRción Asistida F 5946215381")</f>
        <v>Columna De DIRción Asistida F 5946215381</v>
      </c>
      <c r="C8846" s="380" t="str">
        <f>IFERROR(__xludf.DUMMYFUNCTION("""COMPUTED_VALUE"""),"70004266")</f>
        <v>70004266</v>
      </c>
      <c r="D8846" s="380" t="s">
        <v>767</v>
      </c>
      <c r="E8846" s="380" t="s">
        <v>786</v>
      </c>
      <c r="F8846" s="380" t="s">
        <v>1020</v>
      </c>
      <c r="G8846" s="380" t="s">
        <v>1267</v>
      </c>
      <c r="H8846" s="380" t="s">
        <v>771</v>
      </c>
      <c r="I8846" s="380" t="s">
        <v>788</v>
      </c>
      <c r="J8846" s="380" t="s">
        <v>773</v>
      </c>
      <c r="K8846" s="381">
        <v>0.0</v>
      </c>
      <c r="L8846" s="382">
        <v>1.0</v>
      </c>
    </row>
    <row r="8847">
      <c r="A8847" s="380" t="s">
        <v>9721</v>
      </c>
      <c r="B8847" s="380" t="str">
        <f>IFERROR(__xludf.DUMMYFUNCTION("""COMPUTED_VALUE"""),"Conector 15 Pines Nexiq Pass Test Drs 14")</f>
        <v>Conector 15 Pines Nexiq Pass Test Drs 14</v>
      </c>
      <c r="C8847" s="380" t="str">
        <f>IFERROR(__xludf.DUMMYFUNCTION("""COMPUTED_VALUE"""),"70004267")</f>
        <v>70004267</v>
      </c>
      <c r="D8847" s="380" t="s">
        <v>767</v>
      </c>
      <c r="E8847" s="380" t="s">
        <v>786</v>
      </c>
      <c r="F8847" s="380" t="s">
        <v>998</v>
      </c>
      <c r="G8847" s="380" t="s">
        <v>1267</v>
      </c>
      <c r="H8847" s="380" t="s">
        <v>771</v>
      </c>
      <c r="I8847" s="380" t="s">
        <v>788</v>
      </c>
      <c r="J8847" s="380" t="s">
        <v>773</v>
      </c>
      <c r="K8847" s="381">
        <v>0.0</v>
      </c>
      <c r="L8847" s="382">
        <v>1.0</v>
      </c>
    </row>
    <row r="8848">
      <c r="A8848" s="380" t="s">
        <v>9722</v>
      </c>
      <c r="B8848" s="380" t="str">
        <f>IFERROR(__xludf.DUMMYFUNCTION("""COMPUTED_VALUE"""),"Filtro Combustible T Car/Vaca 2330069045")</f>
        <v>Filtro Combustible T Car/Vaca 2330069045</v>
      </c>
      <c r="C8848" s="380" t="str">
        <f>IFERROR(__xludf.DUMMYFUNCTION("""COMPUTED_VALUE"""),"70004268")</f>
        <v>70004268</v>
      </c>
      <c r="D8848" s="380" t="s">
        <v>767</v>
      </c>
      <c r="E8848" s="380" t="s">
        <v>786</v>
      </c>
      <c r="F8848" s="380" t="s">
        <v>5855</v>
      </c>
      <c r="G8848" s="380" t="s">
        <v>1267</v>
      </c>
      <c r="H8848" s="380" t="s">
        <v>771</v>
      </c>
      <c r="I8848" s="380" t="s">
        <v>788</v>
      </c>
      <c r="J8848" s="380" t="s">
        <v>773</v>
      </c>
      <c r="K8848" s="381">
        <v>0.0</v>
      </c>
      <c r="L8848" s="382">
        <v>1.0</v>
      </c>
    </row>
    <row r="8849">
      <c r="A8849" s="380" t="s">
        <v>9723</v>
      </c>
      <c r="B8849" s="380" t="str">
        <f>IFERROR(__xludf.DUMMYFUNCTION("""COMPUTED_VALUE"""),"FILT Aceite Generador Forte Fdg30gf-S Pl")</f>
        <v>FILT Aceite Generador Forte Fdg30gf-S Pl</v>
      </c>
      <c r="C8849" s="380" t="str">
        <f>IFERROR(__xludf.DUMMYFUNCTION("""COMPUTED_VALUE"""),"70004269")</f>
        <v>70004269</v>
      </c>
      <c r="D8849" s="380" t="s">
        <v>767</v>
      </c>
      <c r="E8849" s="380" t="s">
        <v>786</v>
      </c>
      <c r="F8849" s="380" t="s">
        <v>5855</v>
      </c>
      <c r="G8849" s="380" t="s">
        <v>1267</v>
      </c>
      <c r="H8849" s="380" t="s">
        <v>771</v>
      </c>
      <c r="I8849" s="380" t="s">
        <v>788</v>
      </c>
      <c r="J8849" s="380" t="s">
        <v>773</v>
      </c>
      <c r="K8849" s="381">
        <v>0.0</v>
      </c>
      <c r="L8849" s="382">
        <v>1.0</v>
      </c>
    </row>
    <row r="8850">
      <c r="A8850" s="380" t="s">
        <v>9724</v>
      </c>
      <c r="B8850" s="380" t="str">
        <f>IFERROR(__xludf.DUMMYFUNCTION("""COMPUTED_VALUE"""),"FILT COMB Generador Forte Fdg30gf-S")</f>
        <v>FILT COMB Generador Forte Fdg30gf-S</v>
      </c>
      <c r="C8850" s="380" t="str">
        <f>IFERROR(__xludf.DUMMYFUNCTION("""COMPUTED_VALUE"""),"70004270")</f>
        <v>70004270</v>
      </c>
      <c r="D8850" s="380" t="s">
        <v>767</v>
      </c>
      <c r="E8850" s="380" t="s">
        <v>786</v>
      </c>
      <c r="F8850" s="380" t="s">
        <v>5855</v>
      </c>
      <c r="G8850" s="380" t="s">
        <v>1267</v>
      </c>
      <c r="H8850" s="380" t="s">
        <v>771</v>
      </c>
      <c r="I8850" s="380" t="s">
        <v>788</v>
      </c>
      <c r="J8850" s="380" t="s">
        <v>773</v>
      </c>
      <c r="K8850" s="381">
        <v>0.0</v>
      </c>
      <c r="L8850" s="382">
        <v>1.0</v>
      </c>
    </row>
    <row r="8851">
      <c r="A8851" s="380" t="s">
        <v>9725</v>
      </c>
      <c r="B8851" s="380" t="str">
        <f>IFERROR(__xludf.DUMMYFUNCTION("""COMPUTED_VALUE"""),"Tubo Presion INY N°4 FT 1039 1023083775")</f>
        <v>Tubo Presion INY N°4 FT 1039 1023083775</v>
      </c>
      <c r="C8851" s="380" t="str">
        <f>IFERROR(__xludf.DUMMYFUNCTION("""COMPUTED_VALUE"""),"70004271")</f>
        <v>70004271</v>
      </c>
      <c r="D8851" s="380" t="s">
        <v>767</v>
      </c>
      <c r="E8851" s="380" t="s">
        <v>786</v>
      </c>
      <c r="F8851" s="380" t="s">
        <v>787</v>
      </c>
      <c r="G8851" s="380" t="s">
        <v>1267</v>
      </c>
      <c r="H8851" s="380" t="s">
        <v>771</v>
      </c>
      <c r="I8851" s="380" t="s">
        <v>788</v>
      </c>
      <c r="J8851" s="380" t="s">
        <v>773</v>
      </c>
      <c r="K8851" s="381">
        <v>0.0</v>
      </c>
      <c r="L8851" s="382">
        <v>1.0</v>
      </c>
    </row>
    <row r="8852">
      <c r="A8852" s="380" t="s">
        <v>9726</v>
      </c>
      <c r="B8852" s="380" t="str">
        <f>IFERROR(__xludf.DUMMYFUNCTION("""COMPUTED_VALUE"""),"Cruceta Columna Direccion N200 Trst1640")</f>
        <v>Cruceta Columna Direccion N200 Trst1640</v>
      </c>
      <c r="C8852" s="380" t="str">
        <f>IFERROR(__xludf.DUMMYFUNCTION("""COMPUTED_VALUE"""),"70004272")</f>
        <v>70004272</v>
      </c>
      <c r="D8852" s="380" t="s">
        <v>767</v>
      </c>
      <c r="E8852" s="380" t="s">
        <v>786</v>
      </c>
      <c r="F8852" s="380" t="s">
        <v>1020</v>
      </c>
      <c r="G8852" s="380" t="s">
        <v>1267</v>
      </c>
      <c r="H8852" s="380" t="s">
        <v>771</v>
      </c>
      <c r="I8852" s="380" t="s">
        <v>788</v>
      </c>
      <c r="J8852" s="380" t="s">
        <v>773</v>
      </c>
      <c r="K8852" s="381">
        <v>0.0</v>
      </c>
      <c r="L8852" s="382">
        <v>1.0</v>
      </c>
    </row>
    <row r="8853">
      <c r="A8853" s="380" t="s">
        <v>9727</v>
      </c>
      <c r="B8853" s="380" t="str">
        <f>IFERROR(__xludf.DUMMYFUNCTION("""COMPUTED_VALUE"""),"Freno De Parqueo Con Guaya FT 1039 77001")</f>
        <v>Freno De Parqueo Con Guaya FT 1039 77001</v>
      </c>
      <c r="C8853" s="380" t="str">
        <f>IFERROR(__xludf.DUMMYFUNCTION("""COMPUTED_VALUE"""),"70004273")</f>
        <v>70004273</v>
      </c>
      <c r="D8853" s="380" t="s">
        <v>767</v>
      </c>
      <c r="E8853" s="380" t="s">
        <v>786</v>
      </c>
      <c r="F8853" s="380" t="s">
        <v>1017</v>
      </c>
      <c r="G8853" s="380" t="s">
        <v>1267</v>
      </c>
      <c r="H8853" s="380" t="s">
        <v>771</v>
      </c>
      <c r="I8853" s="380" t="s">
        <v>788</v>
      </c>
      <c r="J8853" s="380" t="s">
        <v>773</v>
      </c>
      <c r="K8853" s="381">
        <v>0.0</v>
      </c>
      <c r="L8853" s="382">
        <v>1.0</v>
      </c>
    </row>
    <row r="8854">
      <c r="A8854" s="380" t="s">
        <v>9728</v>
      </c>
      <c r="B8854" s="380" t="str">
        <f>IFERROR(__xludf.DUMMYFUNCTION("""COMPUTED_VALUE"""),"Tobera Limpiabrisas FT 1128 1023559188")</f>
        <v>Tobera Limpiabrisas FT 1128 1023559188</v>
      </c>
      <c r="C8854" s="380" t="str">
        <f>IFERROR(__xludf.DUMMYFUNCTION("""COMPUTED_VALUE"""),"70004274")</f>
        <v>70004274</v>
      </c>
      <c r="D8854" s="380" t="s">
        <v>767</v>
      </c>
      <c r="E8854" s="380" t="s">
        <v>786</v>
      </c>
      <c r="F8854" s="380" t="s">
        <v>792</v>
      </c>
      <c r="G8854" s="380" t="s">
        <v>1267</v>
      </c>
      <c r="H8854" s="380" t="s">
        <v>771</v>
      </c>
      <c r="I8854" s="380" t="s">
        <v>788</v>
      </c>
      <c r="J8854" s="380" t="s">
        <v>773</v>
      </c>
      <c r="K8854" s="381">
        <v>0.0</v>
      </c>
      <c r="L8854" s="382">
        <v>1.0</v>
      </c>
    </row>
    <row r="8855">
      <c r="A8855" s="380" t="s">
        <v>9729</v>
      </c>
      <c r="B8855" s="380" t="str">
        <f>IFERROR(__xludf.DUMMYFUNCTION("""COMPUTED_VALUE"""),"MOT ARR FT Minitruck 5946743167")</f>
        <v>MOT ARR FT Minitruck 5946743167</v>
      </c>
      <c r="C8855" s="380" t="str">
        <f>IFERROR(__xludf.DUMMYFUNCTION("""COMPUTED_VALUE"""),"70004275")</f>
        <v>70004275</v>
      </c>
      <c r="D8855" s="380" t="s">
        <v>767</v>
      </c>
      <c r="E8855" s="380" t="s">
        <v>786</v>
      </c>
      <c r="F8855" s="380" t="s">
        <v>998</v>
      </c>
      <c r="G8855" s="380" t="s">
        <v>1267</v>
      </c>
      <c r="H8855" s="380" t="s">
        <v>771</v>
      </c>
      <c r="I8855" s="380" t="s">
        <v>788</v>
      </c>
      <c r="J8855" s="380" t="s">
        <v>773</v>
      </c>
      <c r="K8855" s="381">
        <v>0.0</v>
      </c>
      <c r="L8855" s="382">
        <v>1.0</v>
      </c>
    </row>
    <row r="8856">
      <c r="A8856" s="380" t="s">
        <v>9730</v>
      </c>
      <c r="B8856" s="380" t="str">
        <f>IFERROR(__xludf.DUMMYFUNCTION("""COMPUTED_VALUE"""),"Post Enfriador De AIR FT 1128 5946799096")</f>
        <v>Post Enfriador De AIR FT 1128 5946799096</v>
      </c>
      <c r="C8856" s="380" t="str">
        <f>IFERROR(__xludf.DUMMYFUNCTION("""COMPUTED_VALUE"""),"70004276")</f>
        <v>70004276</v>
      </c>
      <c r="D8856" s="380" t="s">
        <v>767</v>
      </c>
      <c r="E8856" s="380" t="s">
        <v>786</v>
      </c>
      <c r="F8856" s="380" t="s">
        <v>787</v>
      </c>
      <c r="G8856" s="380" t="s">
        <v>1267</v>
      </c>
      <c r="H8856" s="380" t="s">
        <v>771</v>
      </c>
      <c r="I8856" s="380" t="s">
        <v>788</v>
      </c>
      <c r="J8856" s="380" t="s">
        <v>773</v>
      </c>
      <c r="K8856" s="381">
        <v>0.0</v>
      </c>
      <c r="L8856" s="382">
        <v>1.0</v>
      </c>
    </row>
    <row r="8857">
      <c r="A8857" s="380" t="s">
        <v>9731</v>
      </c>
      <c r="B8857" s="380" t="str">
        <f>IFERROR(__xludf.DUMMYFUNCTION("""COMPUTED_VALUE"""),"Patin Tensor Correa MOT Cummm 1023513463")</f>
        <v>Patin Tensor Correa MOT Cummm 1023513463</v>
      </c>
      <c r="C8857" s="380" t="str">
        <f>IFERROR(__xludf.DUMMYFUNCTION("""COMPUTED_VALUE"""),"70004277")</f>
        <v>70004277</v>
      </c>
      <c r="D8857" s="380" t="s">
        <v>767</v>
      </c>
      <c r="E8857" s="380" t="s">
        <v>786</v>
      </c>
      <c r="F8857" s="380" t="s">
        <v>787</v>
      </c>
      <c r="G8857" s="380" t="s">
        <v>1267</v>
      </c>
      <c r="H8857" s="380" t="s">
        <v>771</v>
      </c>
      <c r="I8857" s="380" t="s">
        <v>788</v>
      </c>
      <c r="J8857" s="380" t="s">
        <v>773</v>
      </c>
      <c r="K8857" s="381">
        <v>0.0</v>
      </c>
      <c r="L8857" s="382">
        <v>1.0</v>
      </c>
    </row>
    <row r="8858">
      <c r="A8858" s="380" t="s">
        <v>9732</v>
      </c>
      <c r="B8858" s="380" t="str">
        <f>IFERROR(__xludf.DUMMYFUNCTION("""COMPUTED_VALUE"""),"Cinturon Rectractil COND Y Au 1023683548")</f>
        <v>Cinturon Rectractil COND Y Au 1023683548</v>
      </c>
      <c r="C8858" s="380" t="str">
        <f>IFERROR(__xludf.DUMMYFUNCTION("""COMPUTED_VALUE"""),"70004278")</f>
        <v>70004278</v>
      </c>
      <c r="D8858" s="380" t="s">
        <v>767</v>
      </c>
      <c r="E8858" s="380" t="s">
        <v>786</v>
      </c>
      <c r="F8858" s="380" t="s">
        <v>792</v>
      </c>
      <c r="G8858" s="380" t="s">
        <v>1267</v>
      </c>
      <c r="H8858" s="380" t="s">
        <v>771</v>
      </c>
      <c r="I8858" s="380" t="s">
        <v>788</v>
      </c>
      <c r="J8858" s="380" t="s">
        <v>773</v>
      </c>
      <c r="K8858" s="381">
        <v>0.0</v>
      </c>
      <c r="L8858" s="382">
        <v>1.0</v>
      </c>
    </row>
    <row r="8859">
      <c r="A8859" s="380" t="s">
        <v>9733</v>
      </c>
      <c r="B8859" s="380" t="str">
        <f>IFERROR(__xludf.DUMMYFUNCTION("""COMPUTED_VALUE"""),"Riel Solenoides AIR INT Prosta 2505594c1")</f>
        <v>Riel Solenoides AIR INT Prosta 2505594c1</v>
      </c>
      <c r="C8859" s="380" t="str">
        <f>IFERROR(__xludf.DUMMYFUNCTION("""COMPUTED_VALUE"""),"70004279")</f>
        <v>70004279</v>
      </c>
      <c r="D8859" s="380" t="s">
        <v>767</v>
      </c>
      <c r="E8859" s="380" t="s">
        <v>786</v>
      </c>
      <c r="F8859" s="380" t="s">
        <v>998</v>
      </c>
      <c r="G8859" s="380" t="s">
        <v>1267</v>
      </c>
      <c r="H8859" s="380" t="s">
        <v>771</v>
      </c>
      <c r="I8859" s="380" t="s">
        <v>788</v>
      </c>
      <c r="J8859" s="380" t="s">
        <v>773</v>
      </c>
      <c r="K8859" s="381">
        <v>0.0</v>
      </c>
      <c r="L8859" s="382">
        <v>1.0</v>
      </c>
    </row>
    <row r="8860">
      <c r="A8860" s="380" t="s">
        <v>9734</v>
      </c>
      <c r="B8860" s="380" t="str">
        <f>IFERROR(__xludf.DUMMYFUNCTION("""COMPUTED_VALUE"""),"Motor Hyundai Modelo 2012 D4bh")</f>
        <v>Motor Hyundai Modelo 2012 D4bh</v>
      </c>
      <c r="C8860" s="380" t="str">
        <f>IFERROR(__xludf.DUMMYFUNCTION("""COMPUTED_VALUE"""),"70004280")</f>
        <v>70004280</v>
      </c>
      <c r="D8860" s="380" t="s">
        <v>767</v>
      </c>
      <c r="E8860" s="380" t="s">
        <v>786</v>
      </c>
      <c r="F8860" s="380" t="s">
        <v>787</v>
      </c>
      <c r="G8860" s="380" t="s">
        <v>1267</v>
      </c>
      <c r="H8860" s="380" t="s">
        <v>771</v>
      </c>
      <c r="I8860" s="380" t="s">
        <v>788</v>
      </c>
      <c r="J8860" s="380" t="s">
        <v>773</v>
      </c>
      <c r="K8860" s="381">
        <v>0.0</v>
      </c>
      <c r="L8860" s="382">
        <v>1.0</v>
      </c>
    </row>
    <row r="8861">
      <c r="A8861" s="380" t="s">
        <v>9735</v>
      </c>
      <c r="B8861" s="380" t="str">
        <f>IFERROR(__xludf.DUMMYFUNCTION("""COMPUTED_VALUE"""),"Conector SENS Admision De AIR Dj0090hla")</f>
        <v>Conector SENS Admision De AIR Dj0090hla</v>
      </c>
      <c r="C8861" s="380" t="str">
        <f>IFERROR(__xludf.DUMMYFUNCTION("""COMPUTED_VALUE"""),"70004281")</f>
        <v>70004281</v>
      </c>
      <c r="D8861" s="380" t="s">
        <v>767</v>
      </c>
      <c r="E8861" s="380" t="s">
        <v>786</v>
      </c>
      <c r="F8861" s="380" t="s">
        <v>998</v>
      </c>
      <c r="G8861" s="380" t="s">
        <v>1267</v>
      </c>
      <c r="H8861" s="380" t="s">
        <v>771</v>
      </c>
      <c r="I8861" s="380" t="s">
        <v>788</v>
      </c>
      <c r="J8861" s="380" t="s">
        <v>773</v>
      </c>
      <c r="K8861" s="381">
        <v>0.0</v>
      </c>
      <c r="L8861" s="382">
        <v>1.0</v>
      </c>
    </row>
    <row r="8862">
      <c r="A8862" s="380" t="s">
        <v>9736</v>
      </c>
      <c r="B8862" s="380" t="str">
        <f>IFERROR(__xludf.DUMMYFUNCTION("""COMPUTED_VALUE"""),"Pared Frontal Foton 1129 1023079181")</f>
        <v>Pared Frontal Foton 1129 1023079181</v>
      </c>
      <c r="C8862" s="380" t="str">
        <f>IFERROR(__xludf.DUMMYFUNCTION("""COMPUTED_VALUE"""),"70004282")</f>
        <v>70004282</v>
      </c>
      <c r="D8862" s="380" t="s">
        <v>767</v>
      </c>
      <c r="E8862" s="380" t="s">
        <v>786</v>
      </c>
      <c r="F8862" s="380" t="s">
        <v>792</v>
      </c>
      <c r="G8862" s="380" t="s">
        <v>1267</v>
      </c>
      <c r="H8862" s="380" t="s">
        <v>771</v>
      </c>
      <c r="I8862" s="380" t="s">
        <v>788</v>
      </c>
      <c r="J8862" s="380" t="s">
        <v>773</v>
      </c>
      <c r="K8862" s="381">
        <v>0.0</v>
      </c>
      <c r="L8862" s="382">
        <v>1.0</v>
      </c>
    </row>
    <row r="8863">
      <c r="A8863" s="380" t="s">
        <v>9737</v>
      </c>
      <c r="B8863" s="380" t="str">
        <f>IFERROR(__xludf.DUMMYFUNCTION("""COMPUTED_VALUE"""),"Hoja Soporte Caja Eagle 59002")</f>
        <v>Hoja Soporte Caja Eagle 59002</v>
      </c>
      <c r="C8863" s="380" t="str">
        <f>IFERROR(__xludf.DUMMYFUNCTION("""COMPUTED_VALUE"""),"70004283")</f>
        <v>70004283</v>
      </c>
      <c r="D8863" s="380" t="s">
        <v>767</v>
      </c>
      <c r="E8863" s="380" t="s">
        <v>786</v>
      </c>
      <c r="F8863" s="380" t="s">
        <v>5683</v>
      </c>
      <c r="G8863" s="380" t="s">
        <v>1267</v>
      </c>
      <c r="H8863" s="380" t="s">
        <v>771</v>
      </c>
      <c r="I8863" s="380" t="s">
        <v>788</v>
      </c>
      <c r="J8863" s="380" t="s">
        <v>773</v>
      </c>
      <c r="K8863" s="381">
        <v>0.0</v>
      </c>
      <c r="L8863" s="382">
        <v>1.0</v>
      </c>
    </row>
    <row r="8864">
      <c r="A8864" s="380" t="s">
        <v>9738</v>
      </c>
      <c r="B8864" s="380" t="str">
        <f>IFERROR(__xludf.DUMMYFUNCTION("""COMPUTED_VALUE"""),"Pivote DER Limpiabrisas Nkr 8978551451")</f>
        <v>Pivote DER Limpiabrisas Nkr 8978551451</v>
      </c>
      <c r="C8864" s="380" t="str">
        <f>IFERROR(__xludf.DUMMYFUNCTION("""COMPUTED_VALUE"""),"70004284")</f>
        <v>70004284</v>
      </c>
      <c r="D8864" s="380" t="s">
        <v>767</v>
      </c>
      <c r="E8864" s="380" t="s">
        <v>786</v>
      </c>
      <c r="F8864" s="380" t="s">
        <v>1031</v>
      </c>
      <c r="G8864" s="380" t="s">
        <v>1267</v>
      </c>
      <c r="H8864" s="380" t="s">
        <v>771</v>
      </c>
      <c r="I8864" s="380" t="s">
        <v>788</v>
      </c>
      <c r="J8864" s="380" t="s">
        <v>773</v>
      </c>
      <c r="K8864" s="381">
        <v>0.0</v>
      </c>
      <c r="L8864" s="382">
        <v>1.0</v>
      </c>
    </row>
    <row r="8865">
      <c r="A8865" s="380" t="s">
        <v>9739</v>
      </c>
      <c r="B8865" s="380" t="str">
        <f>IFERROR(__xludf.DUMMYFUNCTION("""COMPUTED_VALUE"""),"TANQ Líquido De Frenos Prostar 3879178c1")</f>
        <v>TANQ Líquido De Frenos Prostar 3879178c1</v>
      </c>
      <c r="C8865" s="380" t="str">
        <f>IFERROR(__xludf.DUMMYFUNCTION("""COMPUTED_VALUE"""),"70004285")</f>
        <v>70004285</v>
      </c>
      <c r="D8865" s="380" t="s">
        <v>767</v>
      </c>
      <c r="E8865" s="380" t="s">
        <v>786</v>
      </c>
      <c r="F8865" s="380" t="s">
        <v>1017</v>
      </c>
      <c r="G8865" s="380" t="s">
        <v>1267</v>
      </c>
      <c r="H8865" s="380" t="s">
        <v>771</v>
      </c>
      <c r="I8865" s="380" t="s">
        <v>788</v>
      </c>
      <c r="J8865" s="380" t="s">
        <v>773</v>
      </c>
      <c r="K8865" s="381">
        <v>0.0</v>
      </c>
      <c r="L8865" s="382">
        <v>1.0</v>
      </c>
    </row>
    <row r="8866">
      <c r="A8866" s="380" t="s">
        <v>9740</v>
      </c>
      <c r="B8866" s="380" t="str">
        <f>IFERROR(__xludf.DUMMYFUNCTION("""COMPUTED_VALUE"""),"CIL Freno Tras Izq Sin Purga 47550ev270")</f>
        <v>CIL Freno Tras Izq Sin Purga 47550ev270</v>
      </c>
      <c r="C8866" s="380" t="str">
        <f>IFERROR(__xludf.DUMMYFUNCTION("""COMPUTED_VALUE"""),"70004286")</f>
        <v>70004286</v>
      </c>
      <c r="D8866" s="380" t="s">
        <v>767</v>
      </c>
      <c r="E8866" s="380" t="s">
        <v>786</v>
      </c>
      <c r="F8866" s="380" t="s">
        <v>1017</v>
      </c>
      <c r="G8866" s="380" t="s">
        <v>1267</v>
      </c>
      <c r="H8866" s="380" t="s">
        <v>771</v>
      </c>
      <c r="I8866" s="380" t="s">
        <v>788</v>
      </c>
      <c r="J8866" s="380" t="s">
        <v>773</v>
      </c>
      <c r="K8866" s="381">
        <v>0.0</v>
      </c>
      <c r="L8866" s="382">
        <v>1.0</v>
      </c>
    </row>
    <row r="8867">
      <c r="A8867" s="380" t="s">
        <v>9741</v>
      </c>
      <c r="B8867" s="380" t="str">
        <f>IFERROR(__xludf.DUMMYFUNCTION("""COMPUTED_VALUE"""),"CIL Freno Tras Der Con Purga 47560ev300")</f>
        <v>CIL Freno Tras Der Con Purga 47560ev300</v>
      </c>
      <c r="C8867" s="380" t="str">
        <f>IFERROR(__xludf.DUMMYFUNCTION("""COMPUTED_VALUE"""),"70004287")</f>
        <v>70004287</v>
      </c>
      <c r="D8867" s="380" t="s">
        <v>767</v>
      </c>
      <c r="E8867" s="380" t="s">
        <v>786</v>
      </c>
      <c r="F8867" s="380" t="s">
        <v>1017</v>
      </c>
      <c r="G8867" s="380" t="s">
        <v>1267</v>
      </c>
      <c r="H8867" s="380" t="s">
        <v>771</v>
      </c>
      <c r="I8867" s="380" t="s">
        <v>788</v>
      </c>
      <c r="J8867" s="380" t="s">
        <v>773</v>
      </c>
      <c r="K8867" s="381">
        <v>0.0</v>
      </c>
      <c r="L8867" s="382">
        <v>1.0</v>
      </c>
    </row>
    <row r="8868">
      <c r="A8868" s="380" t="s">
        <v>9742</v>
      </c>
      <c r="B8868" s="380" t="str">
        <f>IFERROR(__xludf.DUMMYFUNCTION("""COMPUTED_VALUE"""),"Kit Tuercas Perno RDA Del Der FRR Pv0333")</f>
        <v>Kit Tuercas Perno RDA Del Der FRR Pv0333</v>
      </c>
      <c r="C8868" s="380" t="str">
        <f>IFERROR(__xludf.DUMMYFUNCTION("""COMPUTED_VALUE"""),"70004288")</f>
        <v>70004288</v>
      </c>
      <c r="D8868" s="380" t="s">
        <v>767</v>
      </c>
      <c r="E8868" s="380" t="s">
        <v>786</v>
      </c>
      <c r="F8868" s="380" t="s">
        <v>1039</v>
      </c>
      <c r="G8868" s="380" t="s">
        <v>1267</v>
      </c>
      <c r="H8868" s="380" t="s">
        <v>771</v>
      </c>
      <c r="I8868" s="380" t="s">
        <v>788</v>
      </c>
      <c r="J8868" s="380" t="s">
        <v>773</v>
      </c>
      <c r="K8868" s="381">
        <v>0.0</v>
      </c>
      <c r="L8868" s="382">
        <v>1.0</v>
      </c>
    </row>
    <row r="8869">
      <c r="A8869" s="380" t="s">
        <v>9743</v>
      </c>
      <c r="B8869" s="380" t="str">
        <f>IFERROR(__xludf.DUMMYFUNCTION("""COMPUTED_VALUE"""),"Guardapolvo Torre Palanca CJ Rtlo 10427")</f>
        <v>Guardapolvo Torre Palanca CJ Rtlo 10427</v>
      </c>
      <c r="C8869" s="380" t="str">
        <f>IFERROR(__xludf.DUMMYFUNCTION("""COMPUTED_VALUE"""),"70004289")</f>
        <v>70004289</v>
      </c>
      <c r="D8869" s="380" t="s">
        <v>767</v>
      </c>
      <c r="E8869" s="380" t="s">
        <v>786</v>
      </c>
      <c r="F8869" s="380" t="s">
        <v>928</v>
      </c>
      <c r="G8869" s="380" t="s">
        <v>1267</v>
      </c>
      <c r="H8869" s="380" t="s">
        <v>771</v>
      </c>
      <c r="I8869" s="380" t="s">
        <v>788</v>
      </c>
      <c r="J8869" s="380" t="s">
        <v>773</v>
      </c>
      <c r="K8869" s="381">
        <v>0.0</v>
      </c>
      <c r="L8869" s="382">
        <v>1.0</v>
      </c>
    </row>
    <row r="8870">
      <c r="A8870" s="380" t="s">
        <v>9744</v>
      </c>
      <c r="B8870" s="380" t="str">
        <f>IFERROR(__xludf.DUMMYFUNCTION("""COMPUTED_VALUE"""),"Buje MUE DEL FT 1039 Fabricado")</f>
        <v>Buje MUE DEL FT 1039 Fabricado</v>
      </c>
      <c r="C8870" s="380" t="str">
        <f>IFERROR(__xludf.DUMMYFUNCTION("""COMPUTED_VALUE"""),"70004290")</f>
        <v>70004290</v>
      </c>
      <c r="D8870" s="380" t="s">
        <v>767</v>
      </c>
      <c r="E8870" s="380" t="s">
        <v>786</v>
      </c>
      <c r="F8870" s="380" t="s">
        <v>1039</v>
      </c>
      <c r="G8870" s="380" t="s">
        <v>1267</v>
      </c>
      <c r="H8870" s="380" t="s">
        <v>771</v>
      </c>
      <c r="I8870" s="380" t="s">
        <v>788</v>
      </c>
      <c r="J8870" s="380" t="s">
        <v>773</v>
      </c>
      <c r="K8870" s="381">
        <v>0.0</v>
      </c>
      <c r="L8870" s="382">
        <v>1.0</v>
      </c>
    </row>
    <row r="8871">
      <c r="A8871" s="380" t="s">
        <v>9745</v>
      </c>
      <c r="B8871" s="380" t="str">
        <f>IFERROR(__xludf.DUMMYFUNCTION("""COMPUTED_VALUE"""),"Kit Embrague Nissan Urvan Pqembrae26")</f>
        <v>Kit Embrague Nissan Urvan Pqembrae26</v>
      </c>
      <c r="C8871" s="380" t="str">
        <f>IFERROR(__xludf.DUMMYFUNCTION("""COMPUTED_VALUE"""),"70004291")</f>
        <v>70004291</v>
      </c>
      <c r="D8871" s="380" t="s">
        <v>767</v>
      </c>
      <c r="E8871" s="380" t="s">
        <v>786</v>
      </c>
      <c r="F8871" s="380" t="s">
        <v>5661</v>
      </c>
      <c r="G8871" s="380" t="s">
        <v>1267</v>
      </c>
      <c r="H8871" s="380" t="s">
        <v>771</v>
      </c>
      <c r="I8871" s="380" t="s">
        <v>788</v>
      </c>
      <c r="J8871" s="380" t="s">
        <v>773</v>
      </c>
      <c r="K8871" s="381">
        <v>0.0</v>
      </c>
      <c r="L8871" s="382">
        <v>1.0</v>
      </c>
    </row>
    <row r="8872">
      <c r="A8872" s="380" t="s">
        <v>9746</v>
      </c>
      <c r="B8872" s="380" t="str">
        <f>IFERROR(__xludf.DUMMYFUNCTION("""COMPUTED_VALUE"""),"Radiador Motor Nissan Urvan 214103xgoa")</f>
        <v>Radiador Motor Nissan Urvan 214103xgoa</v>
      </c>
      <c r="C8872" s="380" t="str">
        <f>IFERROR(__xludf.DUMMYFUNCTION("""COMPUTED_VALUE"""),"70004292")</f>
        <v>70004292</v>
      </c>
      <c r="D8872" s="380" t="s">
        <v>767</v>
      </c>
      <c r="E8872" s="380" t="s">
        <v>786</v>
      </c>
      <c r="F8872" s="380" t="s">
        <v>787</v>
      </c>
      <c r="G8872" s="380" t="s">
        <v>1267</v>
      </c>
      <c r="H8872" s="380" t="s">
        <v>771</v>
      </c>
      <c r="I8872" s="380" t="s">
        <v>788</v>
      </c>
      <c r="J8872" s="380" t="s">
        <v>773</v>
      </c>
      <c r="K8872" s="381">
        <v>0.0</v>
      </c>
      <c r="L8872" s="382">
        <v>1.0</v>
      </c>
    </row>
    <row r="8873">
      <c r="A8873" s="380" t="s">
        <v>9747</v>
      </c>
      <c r="B8873" s="380" t="str">
        <f>IFERROR(__xludf.DUMMYFUNCTION("""COMPUTED_VALUE"""),"Turbo Cargador Foton 1039 5946623032")</f>
        <v>Turbo Cargador Foton 1039 5946623032</v>
      </c>
      <c r="C8873" s="380" t="str">
        <f>IFERROR(__xludf.DUMMYFUNCTION("""COMPUTED_VALUE"""),"70004293")</f>
        <v>70004293</v>
      </c>
      <c r="D8873" s="380" t="s">
        <v>767</v>
      </c>
      <c r="E8873" s="380" t="s">
        <v>786</v>
      </c>
      <c r="F8873" s="380" t="s">
        <v>787</v>
      </c>
      <c r="G8873" s="380" t="s">
        <v>1267</v>
      </c>
      <c r="H8873" s="380" t="s">
        <v>771</v>
      </c>
      <c r="I8873" s="380" t="s">
        <v>788</v>
      </c>
      <c r="J8873" s="380" t="s">
        <v>773</v>
      </c>
      <c r="K8873" s="381">
        <v>0.0</v>
      </c>
      <c r="L8873" s="382">
        <v>1.0</v>
      </c>
    </row>
    <row r="8874">
      <c r="A8874" s="380" t="s">
        <v>9748</v>
      </c>
      <c r="B8874" s="380" t="str">
        <f>IFERROR(__xludf.DUMMYFUNCTION("""COMPUTED_VALUE"""),"Aro Enfocador Mack Cxu 21411441")</f>
        <v>Aro Enfocador Mack Cxu 21411441</v>
      </c>
      <c r="C8874" s="380" t="str">
        <f>IFERROR(__xludf.DUMMYFUNCTION("""COMPUTED_VALUE"""),"70004294")</f>
        <v>70004294</v>
      </c>
      <c r="D8874" s="380" t="s">
        <v>767</v>
      </c>
      <c r="E8874" s="380" t="s">
        <v>786</v>
      </c>
      <c r="F8874" s="380" t="s">
        <v>787</v>
      </c>
      <c r="G8874" s="380" t="s">
        <v>1267</v>
      </c>
      <c r="H8874" s="380" t="s">
        <v>771</v>
      </c>
      <c r="I8874" s="380" t="s">
        <v>788</v>
      </c>
      <c r="J8874" s="380" t="s">
        <v>773</v>
      </c>
      <c r="K8874" s="381">
        <v>0.0</v>
      </c>
      <c r="L8874" s="382">
        <v>1.0</v>
      </c>
    </row>
    <row r="8875">
      <c r="A8875" s="380" t="s">
        <v>9749</v>
      </c>
      <c r="B8875" s="380" t="str">
        <f>IFERROR(__xludf.DUMMYFUNCTION("""COMPUTED_VALUE"""),"CIL Freno Izq Con Purga FT BJ 5946186889")</f>
        <v>CIL Freno Izq Con Purga FT BJ 5946186889</v>
      </c>
      <c r="C8875" s="380" t="str">
        <f>IFERROR(__xludf.DUMMYFUNCTION("""COMPUTED_VALUE"""),"70004295")</f>
        <v>70004295</v>
      </c>
      <c r="D8875" s="380" t="s">
        <v>767</v>
      </c>
      <c r="E8875" s="380" t="s">
        <v>786</v>
      </c>
      <c r="F8875" s="380" t="s">
        <v>1017</v>
      </c>
      <c r="G8875" s="380" t="s">
        <v>1267</v>
      </c>
      <c r="H8875" s="380" t="s">
        <v>771</v>
      </c>
      <c r="I8875" s="380" t="s">
        <v>788</v>
      </c>
      <c r="J8875" s="380" t="s">
        <v>773</v>
      </c>
      <c r="K8875" s="381">
        <v>176800.0</v>
      </c>
      <c r="L8875" s="382">
        <v>1.0</v>
      </c>
    </row>
    <row r="8876">
      <c r="A8876" s="380" t="s">
        <v>9750</v>
      </c>
      <c r="B8876" s="380" t="str">
        <f>IFERROR(__xludf.DUMMYFUNCTION("""COMPUTED_VALUE"""),"Tuerca Biela CJ De DIR EGL 1695398c91")</f>
        <v>Tuerca Biela CJ De DIR EGL 1695398c91</v>
      </c>
      <c r="C8876" s="380" t="str">
        <f>IFERROR(__xludf.DUMMYFUNCTION("""COMPUTED_VALUE"""),"70004296")</f>
        <v>70004296</v>
      </c>
      <c r="D8876" s="380" t="s">
        <v>767</v>
      </c>
      <c r="E8876" s="380" t="s">
        <v>786</v>
      </c>
      <c r="F8876" s="380" t="s">
        <v>1020</v>
      </c>
      <c r="G8876" s="380" t="s">
        <v>1267</v>
      </c>
      <c r="H8876" s="380" t="s">
        <v>771</v>
      </c>
      <c r="I8876" s="380" t="s">
        <v>788</v>
      </c>
      <c r="J8876" s="380" t="s">
        <v>773</v>
      </c>
      <c r="K8876" s="381">
        <v>0.0</v>
      </c>
      <c r="L8876" s="382">
        <v>1.0</v>
      </c>
    </row>
    <row r="8877">
      <c r="A8877" s="380" t="s">
        <v>9751</v>
      </c>
      <c r="B8877" s="380" t="str">
        <f>IFERROR(__xludf.DUMMYFUNCTION("""COMPUTED_VALUE"""),"Codo Turbo Foton 1039/1065 1023521635")</f>
        <v>Codo Turbo Foton 1039/1065 1023521635</v>
      </c>
      <c r="C8877" s="380" t="str">
        <f>IFERROR(__xludf.DUMMYFUNCTION("""COMPUTED_VALUE"""),"70004297")</f>
        <v>70004297</v>
      </c>
      <c r="D8877" s="380" t="s">
        <v>767</v>
      </c>
      <c r="E8877" s="380" t="s">
        <v>786</v>
      </c>
      <c r="F8877" s="380" t="s">
        <v>787</v>
      </c>
      <c r="G8877" s="380" t="s">
        <v>1267</v>
      </c>
      <c r="H8877" s="380" t="s">
        <v>771</v>
      </c>
      <c r="I8877" s="380" t="s">
        <v>788</v>
      </c>
      <c r="J8877" s="380" t="s">
        <v>773</v>
      </c>
      <c r="K8877" s="381">
        <v>0.0</v>
      </c>
      <c r="L8877" s="382">
        <v>1.0</v>
      </c>
    </row>
    <row r="8878">
      <c r="A8878" s="380" t="s">
        <v>9752</v>
      </c>
      <c r="B8878" s="380" t="str">
        <f>IFERROR(__xludf.DUMMYFUNCTION("""COMPUTED_VALUE"""),"Carter Motor Cummins Isf 3.8 Foton 1129")</f>
        <v>Carter Motor Cummins Isf 3.8 Foton 1129</v>
      </c>
      <c r="C8878" s="380" t="str">
        <f>IFERROR(__xludf.DUMMYFUNCTION("""COMPUTED_VALUE"""),"70004298")</f>
        <v>70004298</v>
      </c>
      <c r="D8878" s="380" t="s">
        <v>767</v>
      </c>
      <c r="E8878" s="380" t="s">
        <v>786</v>
      </c>
      <c r="F8878" s="380" t="s">
        <v>787</v>
      </c>
      <c r="G8878" s="380" t="s">
        <v>1267</v>
      </c>
      <c r="H8878" s="380" t="s">
        <v>771</v>
      </c>
      <c r="I8878" s="380" t="s">
        <v>788</v>
      </c>
      <c r="J8878" s="380" t="s">
        <v>773</v>
      </c>
      <c r="K8878" s="381">
        <v>0.0</v>
      </c>
      <c r="L8878" s="382">
        <v>1.0</v>
      </c>
    </row>
    <row r="8879">
      <c r="A8879" s="380" t="s">
        <v>9753</v>
      </c>
      <c r="B8879" s="380" t="str">
        <f>IFERROR(__xludf.DUMMYFUNCTION("""COMPUTED_VALUE"""),"SENS Posicion Cigueñal NS Urvan 3731ec01")</f>
        <v>SENS Posicion Cigueñal NS Urvan 3731ec01</v>
      </c>
      <c r="C8879" s="380" t="str">
        <f>IFERROR(__xludf.DUMMYFUNCTION("""COMPUTED_VALUE"""),"70004299")</f>
        <v>70004299</v>
      </c>
      <c r="D8879" s="380" t="s">
        <v>767</v>
      </c>
      <c r="E8879" s="380" t="s">
        <v>786</v>
      </c>
      <c r="F8879" s="380" t="s">
        <v>998</v>
      </c>
      <c r="G8879" s="380" t="s">
        <v>1267</v>
      </c>
      <c r="H8879" s="380" t="s">
        <v>771</v>
      </c>
      <c r="I8879" s="380" t="s">
        <v>788</v>
      </c>
      <c r="J8879" s="380" t="s">
        <v>773</v>
      </c>
      <c r="K8879" s="381">
        <v>0.0</v>
      </c>
      <c r="L8879" s="382">
        <v>1.0</v>
      </c>
    </row>
    <row r="8880">
      <c r="A8880" s="380" t="s">
        <v>9754</v>
      </c>
      <c r="B8880" s="380" t="str">
        <f>IFERROR(__xludf.DUMMYFUNCTION("""COMPUTED_VALUE"""),"FILT AIR Generador Forte Fdg30gf-S Plant")</f>
        <v>FILT AIR Generador Forte Fdg30gf-S Plant</v>
      </c>
      <c r="C8880" s="380" t="str">
        <f>IFERROR(__xludf.DUMMYFUNCTION("""COMPUTED_VALUE"""),"70004300")</f>
        <v>70004300</v>
      </c>
      <c r="D8880" s="380" t="s">
        <v>767</v>
      </c>
      <c r="E8880" s="380" t="s">
        <v>786</v>
      </c>
      <c r="F8880" s="380" t="s">
        <v>5855</v>
      </c>
      <c r="G8880" s="380" t="s">
        <v>1267</v>
      </c>
      <c r="H8880" s="380" t="s">
        <v>771</v>
      </c>
      <c r="I8880" s="380" t="s">
        <v>788</v>
      </c>
      <c r="J8880" s="380" t="s">
        <v>773</v>
      </c>
      <c r="K8880" s="381">
        <v>0.0</v>
      </c>
      <c r="L8880" s="382">
        <v>1.0</v>
      </c>
    </row>
    <row r="8881">
      <c r="A8881" s="380" t="s">
        <v>9755</v>
      </c>
      <c r="B8881" s="380" t="str">
        <f>IFERROR(__xludf.DUMMYFUNCTION("""COMPUTED_VALUE"""),"Carcasa Balinera EMB Jac Jhr 1602051z1")</f>
        <v>Carcasa Balinera EMB Jac Jhr 1602051z1</v>
      </c>
      <c r="C8881" s="380" t="str">
        <f>IFERROR(__xludf.DUMMYFUNCTION("""COMPUTED_VALUE"""),"70004301")</f>
        <v>70004301</v>
      </c>
      <c r="D8881" s="380" t="s">
        <v>767</v>
      </c>
      <c r="E8881" s="380" t="s">
        <v>786</v>
      </c>
      <c r="F8881" s="380" t="s">
        <v>5661</v>
      </c>
      <c r="G8881" s="380" t="s">
        <v>1267</v>
      </c>
      <c r="H8881" s="380" t="s">
        <v>771</v>
      </c>
      <c r="I8881" s="380" t="s">
        <v>788</v>
      </c>
      <c r="J8881" s="380" t="s">
        <v>773</v>
      </c>
      <c r="K8881" s="381">
        <v>0.0</v>
      </c>
      <c r="L8881" s="382">
        <v>1.0</v>
      </c>
    </row>
    <row r="8882">
      <c r="A8882" s="380" t="s">
        <v>9756</v>
      </c>
      <c r="B8882" s="380" t="str">
        <f>IFERROR(__xludf.DUMMYFUNCTION("""COMPUTED_VALUE"""),"CJ Porta Fusibles Jac 1120 4003930lg023")</f>
        <v>CJ Porta Fusibles Jac 1120 4003930lg023</v>
      </c>
      <c r="C8882" s="380" t="str">
        <f>IFERROR(__xludf.DUMMYFUNCTION("""COMPUTED_VALUE"""),"70004302")</f>
        <v>70004302</v>
      </c>
      <c r="D8882" s="380" t="s">
        <v>767</v>
      </c>
      <c r="E8882" s="380" t="s">
        <v>786</v>
      </c>
      <c r="F8882" s="380" t="s">
        <v>998</v>
      </c>
      <c r="G8882" s="380" t="s">
        <v>1267</v>
      </c>
      <c r="H8882" s="380" t="s">
        <v>771</v>
      </c>
      <c r="I8882" s="380" t="s">
        <v>788</v>
      </c>
      <c r="J8882" s="380" t="s">
        <v>773</v>
      </c>
      <c r="K8882" s="381">
        <v>0.0</v>
      </c>
      <c r="L8882" s="382">
        <v>1.0</v>
      </c>
    </row>
    <row r="8883">
      <c r="A8883" s="380" t="s">
        <v>9757</v>
      </c>
      <c r="B8883" s="380" t="str">
        <f>IFERROR(__xludf.DUMMYFUNCTION("""COMPUTED_VALUE"""),"Campana Freno Delantero Jac 3501015ld422")</f>
        <v>Campana Freno Delantero Jac 3501015ld422</v>
      </c>
      <c r="C8883" s="380" t="str">
        <f>IFERROR(__xludf.DUMMYFUNCTION("""COMPUTED_VALUE"""),"70004303")</f>
        <v>70004303</v>
      </c>
      <c r="D8883" s="380" t="s">
        <v>767</v>
      </c>
      <c r="E8883" s="380" t="s">
        <v>786</v>
      </c>
      <c r="F8883" s="380" t="s">
        <v>1017</v>
      </c>
      <c r="G8883" s="380" t="s">
        <v>1267</v>
      </c>
      <c r="H8883" s="380" t="s">
        <v>771</v>
      </c>
      <c r="I8883" s="380" t="s">
        <v>788</v>
      </c>
      <c r="J8883" s="380" t="s">
        <v>773</v>
      </c>
      <c r="K8883" s="381">
        <v>774928.0</v>
      </c>
      <c r="L8883" s="382">
        <v>1.0</v>
      </c>
    </row>
    <row r="8884">
      <c r="A8884" s="380" t="s">
        <v>9758</v>
      </c>
      <c r="B8884" s="380" t="str">
        <f>IFERROR(__xludf.DUMMYFUNCTION("""COMPUTED_VALUE"""),"SENS Catalizador Escape FT103 5946305099")</f>
        <v>SENS Catalizador Escape FT103 5946305099</v>
      </c>
      <c r="C8884" s="380" t="str">
        <f>IFERROR(__xludf.DUMMYFUNCTION("""COMPUTED_VALUE"""),"70004304")</f>
        <v>70004304</v>
      </c>
      <c r="D8884" s="380" t="s">
        <v>767</v>
      </c>
      <c r="E8884" s="380" t="s">
        <v>786</v>
      </c>
      <c r="F8884" s="380" t="s">
        <v>998</v>
      </c>
      <c r="G8884" s="380" t="s">
        <v>1267</v>
      </c>
      <c r="H8884" s="380" t="s">
        <v>771</v>
      </c>
      <c r="I8884" s="380" t="s">
        <v>788</v>
      </c>
      <c r="J8884" s="380" t="s">
        <v>773</v>
      </c>
      <c r="K8884" s="381">
        <v>0.0</v>
      </c>
      <c r="L8884" s="382">
        <v>1.0</v>
      </c>
    </row>
    <row r="8885">
      <c r="A8885" s="380" t="s">
        <v>9759</v>
      </c>
      <c r="B8885" s="380" t="str">
        <f>IFERROR(__xludf.DUMMYFUNCTION("""COMPUTED_VALUE"""),"VALV Freno Ahogo FT 1039 5946744034")</f>
        <v>VALV Freno Ahogo FT 1039 5946744034</v>
      </c>
      <c r="C8885" s="380" t="str">
        <f>IFERROR(__xludf.DUMMYFUNCTION("""COMPUTED_VALUE"""),"70004305")</f>
        <v>70004305</v>
      </c>
      <c r="D8885" s="380" t="s">
        <v>767</v>
      </c>
      <c r="E8885" s="380" t="s">
        <v>786</v>
      </c>
      <c r="F8885" s="380" t="s">
        <v>1017</v>
      </c>
      <c r="G8885" s="380" t="s">
        <v>1267</v>
      </c>
      <c r="H8885" s="380" t="s">
        <v>771</v>
      </c>
      <c r="I8885" s="380" t="s">
        <v>788</v>
      </c>
      <c r="J8885" s="380" t="s">
        <v>773</v>
      </c>
      <c r="K8885" s="381">
        <v>0.0</v>
      </c>
      <c r="L8885" s="382">
        <v>1.0</v>
      </c>
    </row>
    <row r="8886">
      <c r="A8886" s="380" t="s">
        <v>9760</v>
      </c>
      <c r="B8886" s="380" t="str">
        <f>IFERROR(__xludf.DUMMYFUNCTION("""COMPUTED_VALUE"""),"Volante Embrague Ftr 897602463")</f>
        <v>Volante Embrague Ftr 897602463</v>
      </c>
      <c r="C8886" s="380" t="str">
        <f>IFERROR(__xludf.DUMMYFUNCTION("""COMPUTED_VALUE"""),"70004306")</f>
        <v>70004306</v>
      </c>
      <c r="D8886" s="380" t="s">
        <v>767</v>
      </c>
      <c r="E8886" s="380" t="s">
        <v>786</v>
      </c>
      <c r="F8886" s="380" t="s">
        <v>5661</v>
      </c>
      <c r="G8886" s="380" t="s">
        <v>1267</v>
      </c>
      <c r="H8886" s="380" t="s">
        <v>771</v>
      </c>
      <c r="I8886" s="380" t="s">
        <v>788</v>
      </c>
      <c r="J8886" s="380" t="s">
        <v>773</v>
      </c>
      <c r="K8886" s="381">
        <v>4200000.0</v>
      </c>
      <c r="L8886" s="382">
        <v>1.0</v>
      </c>
    </row>
    <row r="8887">
      <c r="A8887" s="380" t="s">
        <v>9761</v>
      </c>
      <c r="B8887" s="380" t="str">
        <f>IFERROR(__xludf.DUMMYFUNCTION("""COMPUTED_VALUE"""),"EMP Vidrio Tras CAB Jac 1120 5603102le0")</f>
        <v>EMP Vidrio Tras CAB Jac 1120 5603102le0</v>
      </c>
      <c r="C8887" s="380" t="str">
        <f>IFERROR(__xludf.DUMMYFUNCTION("""COMPUTED_VALUE"""),"70004307")</f>
        <v>70004307</v>
      </c>
      <c r="D8887" s="380" t="s">
        <v>767</v>
      </c>
      <c r="E8887" s="380" t="s">
        <v>786</v>
      </c>
      <c r="F8887" s="380" t="s">
        <v>792</v>
      </c>
      <c r="G8887" s="380" t="s">
        <v>1267</v>
      </c>
      <c r="H8887" s="380" t="s">
        <v>771</v>
      </c>
      <c r="I8887" s="380" t="s">
        <v>788</v>
      </c>
      <c r="J8887" s="380" t="s">
        <v>773</v>
      </c>
      <c r="K8887" s="381">
        <v>0.0</v>
      </c>
      <c r="L8887" s="382">
        <v>1.0</v>
      </c>
    </row>
    <row r="8888">
      <c r="A8888" s="380" t="s">
        <v>9762</v>
      </c>
      <c r="B8888" s="380" t="str">
        <f>IFERROR(__xludf.DUMMYFUNCTION("""COMPUTED_VALUE"""),"Vidrio Parabrisas Tras Jac 11 5603101le0")</f>
        <v>Vidrio Parabrisas Tras Jac 11 5603101le0</v>
      </c>
      <c r="C8888" s="380" t="str">
        <f>IFERROR(__xludf.DUMMYFUNCTION("""COMPUTED_VALUE"""),"70004308")</f>
        <v>70004308</v>
      </c>
      <c r="D8888" s="380" t="s">
        <v>767</v>
      </c>
      <c r="E8888" s="380" t="s">
        <v>786</v>
      </c>
      <c r="F8888" s="380" t="s">
        <v>792</v>
      </c>
      <c r="G8888" s="380" t="s">
        <v>1267</v>
      </c>
      <c r="H8888" s="380" t="s">
        <v>771</v>
      </c>
      <c r="I8888" s="380" t="s">
        <v>788</v>
      </c>
      <c r="J8888" s="380" t="s">
        <v>773</v>
      </c>
      <c r="K8888" s="381">
        <v>0.0</v>
      </c>
      <c r="L8888" s="382">
        <v>1.0</v>
      </c>
    </row>
    <row r="8889">
      <c r="A8889" s="380" t="s">
        <v>9763</v>
      </c>
      <c r="B8889" s="380" t="str">
        <f>IFERROR(__xludf.DUMMYFUNCTION("""COMPUTED_VALUE"""),"Exploradora Izq Foton 1065 5946583701")</f>
        <v>Exploradora Izq Foton 1065 5946583701</v>
      </c>
      <c r="C8889" s="380" t="str">
        <f>IFERROR(__xludf.DUMMYFUNCTION("""COMPUTED_VALUE"""),"70004309")</f>
        <v>70004309</v>
      </c>
      <c r="D8889" s="380" t="s">
        <v>767</v>
      </c>
      <c r="E8889" s="380" t="s">
        <v>786</v>
      </c>
      <c r="F8889" s="380" t="s">
        <v>998</v>
      </c>
      <c r="G8889" s="380" t="s">
        <v>1267</v>
      </c>
      <c r="H8889" s="380" t="s">
        <v>771</v>
      </c>
      <c r="I8889" s="380" t="s">
        <v>788</v>
      </c>
      <c r="J8889" s="380" t="s">
        <v>773</v>
      </c>
      <c r="K8889" s="381">
        <v>0.0</v>
      </c>
      <c r="L8889" s="382">
        <v>1.0</v>
      </c>
    </row>
    <row r="8890">
      <c r="A8890" s="380" t="s">
        <v>9764</v>
      </c>
      <c r="B8890" s="380" t="str">
        <f>IFERROR(__xludf.DUMMYFUNCTION("""COMPUTED_VALUE"""),"Exploradora Der Foton 1065 5946335256")</f>
        <v>Exploradora Der Foton 1065 5946335256</v>
      </c>
      <c r="C8890" s="380" t="str">
        <f>IFERROR(__xludf.DUMMYFUNCTION("""COMPUTED_VALUE"""),"70004310")</f>
        <v>70004310</v>
      </c>
      <c r="D8890" s="380" t="s">
        <v>767</v>
      </c>
      <c r="E8890" s="380" t="s">
        <v>786</v>
      </c>
      <c r="F8890" s="380" t="s">
        <v>998</v>
      </c>
      <c r="G8890" s="380" t="s">
        <v>1267</v>
      </c>
      <c r="H8890" s="380" t="s">
        <v>771</v>
      </c>
      <c r="I8890" s="380" t="s">
        <v>788</v>
      </c>
      <c r="J8890" s="380" t="s">
        <v>773</v>
      </c>
      <c r="K8890" s="381">
        <v>0.0</v>
      </c>
      <c r="L8890" s="382">
        <v>1.0</v>
      </c>
    </row>
    <row r="8891">
      <c r="A8891" s="380" t="s">
        <v>9765</v>
      </c>
      <c r="B8891" s="380" t="str">
        <f>IFERROR(__xludf.DUMMYFUNCTION("""COMPUTED_VALUE"""),"Pulverizador Agua Limpiabrisas 149003469")</f>
        <v>Pulverizador Agua Limpiabrisas 149003469</v>
      </c>
      <c r="C8891" s="380" t="str">
        <f>IFERROR(__xludf.DUMMYFUNCTION("""COMPUTED_VALUE"""),"70004311")</f>
        <v>70004311</v>
      </c>
      <c r="D8891" s="380" t="s">
        <v>767</v>
      </c>
      <c r="E8891" s="380" t="s">
        <v>786</v>
      </c>
      <c r="F8891" s="380" t="s">
        <v>792</v>
      </c>
      <c r="G8891" s="380" t="s">
        <v>1267</v>
      </c>
      <c r="H8891" s="380" t="s">
        <v>771</v>
      </c>
      <c r="I8891" s="380" t="s">
        <v>788</v>
      </c>
      <c r="J8891" s="380" t="s">
        <v>773</v>
      </c>
      <c r="K8891" s="381">
        <v>0.0</v>
      </c>
      <c r="L8891" s="382">
        <v>1.0</v>
      </c>
    </row>
    <row r="8892">
      <c r="A8892" s="380" t="s">
        <v>9766</v>
      </c>
      <c r="B8892" s="380" t="str">
        <f>IFERROR(__xludf.DUMMYFUNCTION("""COMPUTED_VALUE"""),"SOP Base Alternador Van N200 24559069")</f>
        <v>SOP Base Alternador Van N200 24559069</v>
      </c>
      <c r="C8892" s="380" t="str">
        <f>IFERROR(__xludf.DUMMYFUNCTION("""COMPUTED_VALUE"""),"70004312")</f>
        <v>70004312</v>
      </c>
      <c r="D8892" s="380" t="s">
        <v>767</v>
      </c>
      <c r="E8892" s="380" t="s">
        <v>786</v>
      </c>
      <c r="F8892" s="380" t="s">
        <v>998</v>
      </c>
      <c r="G8892" s="380" t="s">
        <v>1267</v>
      </c>
      <c r="H8892" s="380" t="s">
        <v>771</v>
      </c>
      <c r="I8892" s="380" t="s">
        <v>788</v>
      </c>
      <c r="J8892" s="380" t="s">
        <v>773</v>
      </c>
      <c r="K8892" s="381">
        <v>0.0</v>
      </c>
      <c r="L8892" s="382">
        <v>1.0</v>
      </c>
    </row>
    <row r="8893">
      <c r="A8893" s="380" t="s">
        <v>9767</v>
      </c>
      <c r="B8893" s="380" t="str">
        <f>IFERROR(__xludf.DUMMYFUNCTION("""COMPUTED_VALUE"""),"BMB Principal EMB HY H100 416004b001")</f>
        <v>BMB Principal EMB HY H100 416004b001</v>
      </c>
      <c r="C8893" s="380" t="str">
        <f>IFERROR(__xludf.DUMMYFUNCTION("""COMPUTED_VALUE"""),"70004313")</f>
        <v>70004313</v>
      </c>
      <c r="D8893" s="380" t="s">
        <v>767</v>
      </c>
      <c r="E8893" s="380" t="s">
        <v>786</v>
      </c>
      <c r="F8893" s="380" t="s">
        <v>5661</v>
      </c>
      <c r="G8893" s="380" t="s">
        <v>1267</v>
      </c>
      <c r="H8893" s="380" t="s">
        <v>771</v>
      </c>
      <c r="I8893" s="380" t="s">
        <v>788</v>
      </c>
      <c r="J8893" s="380" t="s">
        <v>773</v>
      </c>
      <c r="K8893" s="381">
        <v>0.0</v>
      </c>
      <c r="L8893" s="382">
        <v>1.0</v>
      </c>
    </row>
    <row r="8894">
      <c r="A8894" s="380" t="s">
        <v>9768</v>
      </c>
      <c r="B8894" s="380" t="str">
        <f>IFERROR(__xludf.DUMMYFUNCTION("""COMPUTED_VALUE"""),"Carcazo Espejo Retrovizor Capo 23749807")</f>
        <v>Carcazo Espejo Retrovizor Capo 23749807</v>
      </c>
      <c r="C8894" s="380" t="str">
        <f>IFERROR(__xludf.DUMMYFUNCTION("""COMPUTED_VALUE"""),"70004314")</f>
        <v>70004314</v>
      </c>
      <c r="D8894" s="380" t="s">
        <v>767</v>
      </c>
      <c r="E8894" s="380" t="s">
        <v>786</v>
      </c>
      <c r="F8894" s="380" t="s">
        <v>792</v>
      </c>
      <c r="G8894" s="380" t="s">
        <v>1267</v>
      </c>
      <c r="H8894" s="380" t="s">
        <v>771</v>
      </c>
      <c r="I8894" s="380" t="s">
        <v>788</v>
      </c>
      <c r="J8894" s="380" t="s">
        <v>773</v>
      </c>
      <c r="K8894" s="381">
        <v>0.0</v>
      </c>
      <c r="L8894" s="382">
        <v>1.0</v>
      </c>
    </row>
    <row r="8895">
      <c r="A8895" s="380" t="s">
        <v>9769</v>
      </c>
      <c r="B8895" s="380" t="str">
        <f>IFERROR(__xludf.DUMMYFUNCTION("""COMPUTED_VALUE"""),"MANG A/C Condensador A Evapor 4093743c92")</f>
        <v>MANG A/C Condensador A Evapor 4093743c92</v>
      </c>
      <c r="C8895" s="380" t="str">
        <f>IFERROR(__xludf.DUMMYFUNCTION("""COMPUTED_VALUE"""),"70004315")</f>
        <v>70004315</v>
      </c>
      <c r="D8895" s="380" t="s">
        <v>767</v>
      </c>
      <c r="E8895" s="380" t="s">
        <v>786</v>
      </c>
      <c r="F8895" s="380" t="s">
        <v>1031</v>
      </c>
      <c r="G8895" s="380" t="s">
        <v>1267</v>
      </c>
      <c r="H8895" s="380" t="s">
        <v>771</v>
      </c>
      <c r="I8895" s="380" t="s">
        <v>788</v>
      </c>
      <c r="J8895" s="380" t="s">
        <v>773</v>
      </c>
      <c r="K8895" s="381">
        <v>917014.0</v>
      </c>
      <c r="L8895" s="382">
        <v>1.0</v>
      </c>
    </row>
    <row r="8896">
      <c r="A8896" s="380" t="s">
        <v>9770</v>
      </c>
      <c r="B8896" s="380" t="str">
        <f>IFERROR(__xludf.DUMMYFUNCTION("""COMPUTED_VALUE"""),"Panel Inf Izq Cabina 9400i 3558745c1")</f>
        <v>Panel Inf Izq Cabina 9400i 3558745c1</v>
      </c>
      <c r="C8896" s="380" t="str">
        <f>IFERROR(__xludf.DUMMYFUNCTION("""COMPUTED_VALUE"""),"70004316")</f>
        <v>70004316</v>
      </c>
      <c r="D8896" s="380" t="s">
        <v>767</v>
      </c>
      <c r="E8896" s="380" t="s">
        <v>786</v>
      </c>
      <c r="F8896" s="380" t="s">
        <v>792</v>
      </c>
      <c r="G8896" s="380" t="s">
        <v>1267</v>
      </c>
      <c r="H8896" s="380" t="s">
        <v>771</v>
      </c>
      <c r="I8896" s="380" t="s">
        <v>788</v>
      </c>
      <c r="J8896" s="380" t="s">
        <v>773</v>
      </c>
      <c r="K8896" s="381">
        <v>0.0</v>
      </c>
      <c r="L8896" s="382">
        <v>1.0</v>
      </c>
    </row>
    <row r="8897">
      <c r="A8897" s="380" t="s">
        <v>9771</v>
      </c>
      <c r="B8897" s="380" t="str">
        <f>IFERROR(__xludf.DUMMYFUNCTION("""COMPUTED_VALUE"""),"Sensor Presion Presostato Aire Acondicio")</f>
        <v>Sensor Presion Presostato Aire Acondicio</v>
      </c>
      <c r="C8897" s="380" t="str">
        <f>IFERROR(__xludf.DUMMYFUNCTION("""COMPUTED_VALUE"""),"70004317")</f>
        <v>70004317</v>
      </c>
      <c r="D8897" s="380" t="s">
        <v>767</v>
      </c>
      <c r="E8897" s="380" t="s">
        <v>786</v>
      </c>
      <c r="F8897" s="380" t="s">
        <v>1031</v>
      </c>
      <c r="G8897" s="380" t="s">
        <v>1267</v>
      </c>
      <c r="H8897" s="380" t="s">
        <v>771</v>
      </c>
      <c r="I8897" s="380" t="s">
        <v>788</v>
      </c>
      <c r="J8897" s="380" t="s">
        <v>773</v>
      </c>
      <c r="K8897" s="381">
        <v>0.0</v>
      </c>
      <c r="L8897" s="382">
        <v>1.0</v>
      </c>
    </row>
    <row r="8898">
      <c r="A8898" s="380" t="s">
        <v>9772</v>
      </c>
      <c r="B8898" s="380" t="str">
        <f>IFERROR(__xludf.DUMMYFUNCTION("""COMPUTED_VALUE"""),"SENS TEMP MOT FT 1039 7701023474955")</f>
        <v>SENS TEMP MOT FT 1039 7701023474955</v>
      </c>
      <c r="C8898" s="380" t="str">
        <f>IFERROR(__xludf.DUMMYFUNCTION("""COMPUTED_VALUE"""),"70004318")</f>
        <v>70004318</v>
      </c>
      <c r="D8898" s="380" t="s">
        <v>767</v>
      </c>
      <c r="E8898" s="380" t="s">
        <v>786</v>
      </c>
      <c r="F8898" s="380" t="s">
        <v>998</v>
      </c>
      <c r="G8898" s="380" t="s">
        <v>1267</v>
      </c>
      <c r="H8898" s="380" t="s">
        <v>771</v>
      </c>
      <c r="I8898" s="380" t="s">
        <v>788</v>
      </c>
      <c r="J8898" s="380" t="s">
        <v>773</v>
      </c>
      <c r="K8898" s="381">
        <v>0.0</v>
      </c>
      <c r="L8898" s="382">
        <v>1.0</v>
      </c>
    </row>
    <row r="8899">
      <c r="A8899" s="380" t="s">
        <v>9773</v>
      </c>
      <c r="B8899" s="380" t="str">
        <f>IFERROR(__xludf.DUMMYFUNCTION("""COMPUTED_VALUE"""),"Persiana Frontal CAB Jac Jkr 8401100ld0")</f>
        <v>Persiana Frontal CAB Jac Jkr 8401100ld0</v>
      </c>
      <c r="C8899" s="380" t="str">
        <f>IFERROR(__xludf.DUMMYFUNCTION("""COMPUTED_VALUE"""),"70004319")</f>
        <v>70004319</v>
      </c>
      <c r="D8899" s="380" t="s">
        <v>767</v>
      </c>
      <c r="E8899" s="380" t="s">
        <v>786</v>
      </c>
      <c r="F8899" s="380" t="s">
        <v>792</v>
      </c>
      <c r="G8899" s="380" t="s">
        <v>1267</v>
      </c>
      <c r="H8899" s="380" t="s">
        <v>771</v>
      </c>
      <c r="I8899" s="380" t="s">
        <v>788</v>
      </c>
      <c r="J8899" s="380" t="s">
        <v>773</v>
      </c>
      <c r="K8899" s="381">
        <v>0.0</v>
      </c>
      <c r="L8899" s="382">
        <v>1.0</v>
      </c>
    </row>
    <row r="8900">
      <c r="A8900" s="380" t="s">
        <v>9774</v>
      </c>
      <c r="B8900" s="380" t="str">
        <f>IFERROR(__xludf.DUMMYFUNCTION("""COMPUTED_VALUE"""),"Sensor Baja Presion A/C Kw T800")</f>
        <v>Sensor Baja Presion A/C Kw T800</v>
      </c>
      <c r="C8900" s="380" t="str">
        <f>IFERROR(__xludf.DUMMYFUNCTION("""COMPUTED_VALUE"""),"70004320")</f>
        <v>70004320</v>
      </c>
      <c r="D8900" s="380" t="s">
        <v>767</v>
      </c>
      <c r="E8900" s="380" t="s">
        <v>786</v>
      </c>
      <c r="F8900" s="380" t="s">
        <v>1031</v>
      </c>
      <c r="G8900" s="380" t="s">
        <v>1267</v>
      </c>
      <c r="H8900" s="380" t="s">
        <v>771</v>
      </c>
      <c r="I8900" s="380" t="s">
        <v>788</v>
      </c>
      <c r="J8900" s="380" t="s">
        <v>773</v>
      </c>
      <c r="K8900" s="381">
        <v>219198.0</v>
      </c>
      <c r="L8900" s="382">
        <v>1.0</v>
      </c>
    </row>
    <row r="8901">
      <c r="A8901" s="380" t="s">
        <v>9775</v>
      </c>
      <c r="B8901" s="380" t="str">
        <f>IFERROR(__xludf.DUMMYFUNCTION("""COMPUTED_VALUE"""),"Protector Puerta Izq Nkr Nhr 8978521292")</f>
        <v>Protector Puerta Izq Nkr Nhr 8978521292</v>
      </c>
      <c r="C8901" s="380" t="str">
        <f>IFERROR(__xludf.DUMMYFUNCTION("""COMPUTED_VALUE"""),"70004321")</f>
        <v>70004321</v>
      </c>
      <c r="D8901" s="380" t="s">
        <v>767</v>
      </c>
      <c r="E8901" s="380" t="s">
        <v>786</v>
      </c>
      <c r="F8901" s="380" t="s">
        <v>792</v>
      </c>
      <c r="G8901" s="380" t="s">
        <v>1267</v>
      </c>
      <c r="H8901" s="380" t="s">
        <v>771</v>
      </c>
      <c r="I8901" s="380" t="s">
        <v>788</v>
      </c>
      <c r="J8901" s="380" t="s">
        <v>773</v>
      </c>
      <c r="K8901" s="381">
        <v>0.0</v>
      </c>
      <c r="L8901" s="382">
        <v>1.0</v>
      </c>
    </row>
    <row r="8902">
      <c r="A8902" s="380" t="s">
        <v>9776</v>
      </c>
      <c r="B8902" s="380" t="str">
        <f>IFERROR(__xludf.DUMMYFUNCTION("""COMPUTED_VALUE"""),"Filtro Hidrolavadora")</f>
        <v>Filtro Hidrolavadora</v>
      </c>
      <c r="C8902" s="380" t="str">
        <f>IFERROR(__xludf.DUMMYFUNCTION("""COMPUTED_VALUE"""),"70004322")</f>
        <v>70004322</v>
      </c>
      <c r="D8902" s="380" t="s">
        <v>767</v>
      </c>
      <c r="E8902" s="380" t="s">
        <v>786</v>
      </c>
      <c r="F8902" s="380" t="s">
        <v>5855</v>
      </c>
      <c r="G8902" s="380" t="s">
        <v>1267</v>
      </c>
      <c r="H8902" s="380" t="s">
        <v>771</v>
      </c>
      <c r="I8902" s="380" t="s">
        <v>788</v>
      </c>
      <c r="J8902" s="380" t="s">
        <v>773</v>
      </c>
      <c r="K8902" s="381">
        <v>0.0</v>
      </c>
      <c r="L8902" s="382">
        <v>1.0</v>
      </c>
    </row>
    <row r="8903">
      <c r="A8903" s="380" t="s">
        <v>9777</v>
      </c>
      <c r="B8903" s="380" t="str">
        <f>IFERROR(__xludf.DUMMYFUNCTION("""COMPUTED_VALUE"""),"BMB Principal Freno Jac 1042 Mod 2018 35")</f>
        <v>BMB Principal Freno Jac 1042 Mod 2018 35</v>
      </c>
      <c r="C8903" s="380" t="str">
        <f>IFERROR(__xludf.DUMMYFUNCTION("""COMPUTED_VALUE"""),"70004323")</f>
        <v>70004323</v>
      </c>
      <c r="D8903" s="380" t="s">
        <v>767</v>
      </c>
      <c r="E8903" s="380" t="s">
        <v>786</v>
      </c>
      <c r="F8903" s="380" t="s">
        <v>1017</v>
      </c>
      <c r="G8903" s="380" t="s">
        <v>1267</v>
      </c>
      <c r="H8903" s="380" t="s">
        <v>771</v>
      </c>
      <c r="I8903" s="380" t="s">
        <v>788</v>
      </c>
      <c r="J8903" s="380" t="s">
        <v>773</v>
      </c>
      <c r="K8903" s="381">
        <v>0.0</v>
      </c>
      <c r="L8903" s="382">
        <v>1.0</v>
      </c>
    </row>
    <row r="8904">
      <c r="A8904" s="380" t="s">
        <v>9778</v>
      </c>
      <c r="B8904" s="380" t="str">
        <f>IFERROR(__xludf.DUMMYFUNCTION("""COMPUTED_VALUE"""),"Sensor Freno Hino 300 Pa66")</f>
        <v>Sensor Freno Hino 300 Pa66</v>
      </c>
      <c r="C8904" s="380" t="str">
        <f>IFERROR(__xludf.DUMMYFUNCTION("""COMPUTED_VALUE"""),"70004324")</f>
        <v>70004324</v>
      </c>
      <c r="D8904" s="380" t="s">
        <v>767</v>
      </c>
      <c r="E8904" s="380" t="s">
        <v>786</v>
      </c>
      <c r="F8904" s="380" t="s">
        <v>998</v>
      </c>
      <c r="G8904" s="380" t="s">
        <v>1267</v>
      </c>
      <c r="H8904" s="380" t="s">
        <v>771</v>
      </c>
      <c r="I8904" s="380" t="s">
        <v>788</v>
      </c>
      <c r="J8904" s="380" t="s">
        <v>773</v>
      </c>
      <c r="K8904" s="381">
        <v>0.0</v>
      </c>
      <c r="L8904" s="382">
        <v>1.0</v>
      </c>
    </row>
    <row r="8905">
      <c r="A8905" s="380" t="s">
        <v>9779</v>
      </c>
      <c r="B8905" s="380" t="str">
        <f>IFERROR(__xludf.DUMMYFUNCTION("""COMPUTED_VALUE"""),"Carcasa FILT De AIR Jac 1042 1109100ld3")</f>
        <v>Carcasa FILT De AIR Jac 1042 1109100ld3</v>
      </c>
      <c r="C8905" s="380" t="str">
        <f>IFERROR(__xludf.DUMMYFUNCTION("""COMPUTED_VALUE"""),"70004325")</f>
        <v>70004325</v>
      </c>
      <c r="D8905" s="380" t="s">
        <v>767</v>
      </c>
      <c r="E8905" s="380" t="s">
        <v>786</v>
      </c>
      <c r="F8905" s="380" t="s">
        <v>787</v>
      </c>
      <c r="G8905" s="380" t="s">
        <v>1267</v>
      </c>
      <c r="H8905" s="380" t="s">
        <v>771</v>
      </c>
      <c r="I8905" s="380" t="s">
        <v>788</v>
      </c>
      <c r="J8905" s="380" t="s">
        <v>773</v>
      </c>
      <c r="K8905" s="381">
        <v>0.0</v>
      </c>
      <c r="L8905" s="382">
        <v>1.0</v>
      </c>
    </row>
    <row r="8906">
      <c r="A8906" s="380" t="s">
        <v>9780</v>
      </c>
      <c r="B8906" s="380" t="str">
        <f>IFERROR(__xludf.DUMMYFUNCTION("""COMPUTED_VALUE"""),"SENS Posición Árbol De LevasR 8200 67414")</f>
        <v>SENS Posición Árbol De LevasR 8200 67414</v>
      </c>
      <c r="C8906" s="380" t="str">
        <f>IFERROR(__xludf.DUMMYFUNCTION("""COMPUTED_VALUE"""),"70004326")</f>
        <v>70004326</v>
      </c>
      <c r="D8906" s="380" t="s">
        <v>767</v>
      </c>
      <c r="E8906" s="380" t="s">
        <v>786</v>
      </c>
      <c r="F8906" s="380" t="s">
        <v>787</v>
      </c>
      <c r="G8906" s="380" t="s">
        <v>1267</v>
      </c>
      <c r="H8906" s="380" t="s">
        <v>771</v>
      </c>
      <c r="I8906" s="380" t="s">
        <v>788</v>
      </c>
      <c r="J8906" s="380" t="s">
        <v>773</v>
      </c>
      <c r="K8906" s="381">
        <v>0.0</v>
      </c>
      <c r="L8906" s="382">
        <v>1.0</v>
      </c>
    </row>
    <row r="8907">
      <c r="A8907" s="380" t="s">
        <v>9781</v>
      </c>
      <c r="B8907" s="380" t="str">
        <f>IFERROR(__xludf.DUMMYFUNCTION("""COMPUTED_VALUE"""),"Bateria 27m-1000 Duncan")</f>
        <v>Bateria 27m-1000 Duncan</v>
      </c>
      <c r="C8907" s="380" t="str">
        <f>IFERROR(__xludf.DUMMYFUNCTION("""COMPUTED_VALUE"""),"70004327")</f>
        <v>70004327</v>
      </c>
      <c r="D8907" s="380" t="s">
        <v>767</v>
      </c>
      <c r="E8907" s="380" t="s">
        <v>786</v>
      </c>
      <c r="F8907" s="380" t="s">
        <v>998</v>
      </c>
      <c r="G8907" s="380" t="s">
        <v>1267</v>
      </c>
      <c r="H8907" s="380" t="s">
        <v>771</v>
      </c>
      <c r="I8907" s="380" t="s">
        <v>788</v>
      </c>
      <c r="J8907" s="380" t="s">
        <v>773</v>
      </c>
      <c r="K8907" s="381">
        <v>0.0</v>
      </c>
      <c r="L8907" s="382">
        <v>1.0</v>
      </c>
    </row>
    <row r="8908">
      <c r="A8908" s="380" t="s">
        <v>9782</v>
      </c>
      <c r="B8908" s="380" t="str">
        <f>IFERROR(__xludf.DUMMYFUNCTION("""COMPUTED_VALUE"""),"Kit Reparacion Servo EMB Ftr 1318296110")</f>
        <v>Kit Reparacion Servo EMB Ftr 1318296110</v>
      </c>
      <c r="C8908" s="380" t="str">
        <f>IFERROR(__xludf.DUMMYFUNCTION("""COMPUTED_VALUE"""),"70004328")</f>
        <v>70004328</v>
      </c>
      <c r="D8908" s="380" t="s">
        <v>767</v>
      </c>
      <c r="E8908" s="380" t="s">
        <v>786</v>
      </c>
      <c r="F8908" s="380" t="s">
        <v>5661</v>
      </c>
      <c r="G8908" s="380" t="s">
        <v>1267</v>
      </c>
      <c r="H8908" s="380" t="s">
        <v>771</v>
      </c>
      <c r="I8908" s="380" t="s">
        <v>788</v>
      </c>
      <c r="J8908" s="380" t="s">
        <v>773</v>
      </c>
      <c r="K8908" s="381">
        <v>0.0</v>
      </c>
      <c r="L8908" s="382">
        <v>1.0</v>
      </c>
    </row>
    <row r="8909">
      <c r="A8909" s="380" t="s">
        <v>9783</v>
      </c>
      <c r="B8909" s="380" t="str">
        <f>IFERROR(__xludf.DUMMYFUNCTION("""COMPUTED_VALUE"""),"P Perno Exterior Culata Hino Sh552-11000")</f>
        <v>P Perno Exterior Culata Hino Sh552-11000</v>
      </c>
      <c r="C8909" s="380" t="str">
        <f>IFERROR(__xludf.DUMMYFUNCTION("""COMPUTED_VALUE"""),"70004329")</f>
        <v>70004329</v>
      </c>
      <c r="D8909" s="380" t="s">
        <v>767</v>
      </c>
      <c r="E8909" s="380" t="s">
        <v>786</v>
      </c>
      <c r="F8909" s="380" t="s">
        <v>787</v>
      </c>
      <c r="G8909" s="380" t="s">
        <v>1267</v>
      </c>
      <c r="H8909" s="380" t="s">
        <v>771</v>
      </c>
      <c r="I8909" s="380" t="s">
        <v>788</v>
      </c>
      <c r="J8909" s="380" t="s">
        <v>773</v>
      </c>
      <c r="K8909" s="381">
        <v>0.0</v>
      </c>
      <c r="L8909" s="382">
        <v>1.0</v>
      </c>
    </row>
    <row r="8910">
      <c r="A8910" s="380" t="s">
        <v>9784</v>
      </c>
      <c r="B8910" s="380" t="str">
        <f>IFERROR(__xludf.DUMMYFUNCTION("""COMPUTED_VALUE"""),"Guaya CTRL Cambios NS Urvan 344133xa4d")</f>
        <v>Guaya CTRL Cambios NS Urvan 344133xa4d</v>
      </c>
      <c r="C8910" s="380" t="str">
        <f>IFERROR(__xludf.DUMMYFUNCTION("""COMPUTED_VALUE"""),"70004330")</f>
        <v>70004330</v>
      </c>
      <c r="D8910" s="380" t="s">
        <v>767</v>
      </c>
      <c r="E8910" s="380" t="s">
        <v>786</v>
      </c>
      <c r="F8910" s="380" t="s">
        <v>928</v>
      </c>
      <c r="G8910" s="380" t="s">
        <v>1267</v>
      </c>
      <c r="H8910" s="380" t="s">
        <v>771</v>
      </c>
      <c r="I8910" s="380" t="s">
        <v>788</v>
      </c>
      <c r="J8910" s="380" t="s">
        <v>773</v>
      </c>
      <c r="K8910" s="381">
        <v>0.0</v>
      </c>
      <c r="L8910" s="382">
        <v>1.0</v>
      </c>
    </row>
    <row r="8911">
      <c r="A8911" s="380" t="s">
        <v>9785</v>
      </c>
      <c r="B8911" s="380" t="str">
        <f>IFERROR(__xludf.DUMMYFUNCTION("""COMPUTED_VALUE"""),"Rodamiento Balinera EMB Jac Jhr 986809k2")</f>
        <v>Rodamiento Balinera EMB Jac Jhr 986809k2</v>
      </c>
      <c r="C8911" s="380" t="str">
        <f>IFERROR(__xludf.DUMMYFUNCTION("""COMPUTED_VALUE"""),"70004331")</f>
        <v>70004331</v>
      </c>
      <c r="D8911" s="380" t="s">
        <v>767</v>
      </c>
      <c r="E8911" s="380" t="s">
        <v>786</v>
      </c>
      <c r="F8911" s="380" t="s">
        <v>5661</v>
      </c>
      <c r="G8911" s="380" t="s">
        <v>1267</v>
      </c>
      <c r="H8911" s="380" t="s">
        <v>771</v>
      </c>
      <c r="I8911" s="380" t="s">
        <v>788</v>
      </c>
      <c r="J8911" s="380" t="s">
        <v>773</v>
      </c>
      <c r="K8911" s="381">
        <v>0.0</v>
      </c>
      <c r="L8911" s="382">
        <v>1.0</v>
      </c>
    </row>
    <row r="8912">
      <c r="A8912" s="380" t="s">
        <v>9786</v>
      </c>
      <c r="B8912" s="380" t="str">
        <f>IFERROR(__xludf.DUMMYFUNCTION("""COMPUTED_VALUE"""),"Disco Embrague Jac Jhr 1600200le190")</f>
        <v>Disco Embrague Jac Jhr 1600200le190</v>
      </c>
      <c r="C8912" s="380" t="str">
        <f>IFERROR(__xludf.DUMMYFUNCTION("""COMPUTED_VALUE"""),"70004332")</f>
        <v>70004332</v>
      </c>
      <c r="D8912" s="380" t="s">
        <v>767</v>
      </c>
      <c r="E8912" s="380" t="s">
        <v>786</v>
      </c>
      <c r="F8912" s="380" t="s">
        <v>5661</v>
      </c>
      <c r="G8912" s="380" t="s">
        <v>1267</v>
      </c>
      <c r="H8912" s="380" t="s">
        <v>771</v>
      </c>
      <c r="I8912" s="380" t="s">
        <v>788</v>
      </c>
      <c r="J8912" s="380" t="s">
        <v>773</v>
      </c>
      <c r="K8912" s="381">
        <v>0.0</v>
      </c>
      <c r="L8912" s="382">
        <v>1.0</v>
      </c>
    </row>
    <row r="8913">
      <c r="A8913" s="380" t="s">
        <v>9787</v>
      </c>
      <c r="B8913" s="380" t="str">
        <f>IFERROR(__xludf.DUMMYFUNCTION("""COMPUTED_VALUE"""),"Lampara DIRal Der Tras Moto A 35603c2346")</f>
        <v>Lampara DIRal Der Tras Moto A 35603c2346</v>
      </c>
      <c r="C8913" s="380" t="str">
        <f>IFERROR(__xludf.DUMMYFUNCTION("""COMPUTED_VALUE"""),"70004333")</f>
        <v>70004333</v>
      </c>
      <c r="D8913" s="380" t="s">
        <v>767</v>
      </c>
      <c r="E8913" s="380" t="s">
        <v>786</v>
      </c>
      <c r="F8913" s="380" t="s">
        <v>998</v>
      </c>
      <c r="G8913" s="380" t="s">
        <v>1267</v>
      </c>
      <c r="H8913" s="380" t="s">
        <v>771</v>
      </c>
      <c r="I8913" s="380" t="s">
        <v>788</v>
      </c>
      <c r="J8913" s="380" t="s">
        <v>773</v>
      </c>
      <c r="K8913" s="381">
        <v>0.0</v>
      </c>
      <c r="L8913" s="382">
        <v>1.0</v>
      </c>
    </row>
    <row r="8914">
      <c r="A8914" s="380" t="s">
        <v>9788</v>
      </c>
      <c r="B8914" s="380" t="str">
        <f>IFERROR(__xludf.DUMMYFUNCTION("""COMPUTED_VALUE"""),"Caucho Cardan Hino 37235e0010")</f>
        <v>Caucho Cardan Hino 37235e0010</v>
      </c>
      <c r="C8914" s="380" t="str">
        <f>IFERROR(__xludf.DUMMYFUNCTION("""COMPUTED_VALUE"""),"70004334")</f>
        <v>70004334</v>
      </c>
      <c r="D8914" s="380" t="s">
        <v>767</v>
      </c>
      <c r="E8914" s="380" t="s">
        <v>786</v>
      </c>
      <c r="F8914" s="380" t="s">
        <v>5683</v>
      </c>
      <c r="G8914" s="380" t="s">
        <v>1267</v>
      </c>
      <c r="H8914" s="380" t="s">
        <v>771</v>
      </c>
      <c r="I8914" s="380" t="s">
        <v>788</v>
      </c>
      <c r="J8914" s="380" t="s">
        <v>773</v>
      </c>
      <c r="K8914" s="381">
        <v>0.0</v>
      </c>
      <c r="L8914" s="382">
        <v>1.0</v>
      </c>
    </row>
    <row r="8915">
      <c r="A8915" s="380" t="s">
        <v>9789</v>
      </c>
      <c r="B8915" s="380" t="str">
        <f>IFERROR(__xludf.DUMMYFUNCTION("""COMPUTED_VALUE"""),"Agarradera PTA Der Fot 1129 770594650175")</f>
        <v>Agarradera PTA Der Fot 1129 770594650175</v>
      </c>
      <c r="C8915" s="380" t="str">
        <f>IFERROR(__xludf.DUMMYFUNCTION("""COMPUTED_VALUE"""),"70004335")</f>
        <v>70004335</v>
      </c>
      <c r="D8915" s="380" t="s">
        <v>767</v>
      </c>
      <c r="E8915" s="380" t="s">
        <v>786</v>
      </c>
      <c r="F8915" s="380" t="s">
        <v>792</v>
      </c>
      <c r="G8915" s="380" t="s">
        <v>1267</v>
      </c>
      <c r="H8915" s="380" t="s">
        <v>771</v>
      </c>
      <c r="I8915" s="380" t="s">
        <v>788</v>
      </c>
      <c r="J8915" s="380" t="s">
        <v>773</v>
      </c>
      <c r="K8915" s="381">
        <v>0.0</v>
      </c>
      <c r="L8915" s="382">
        <v>1.0</v>
      </c>
    </row>
    <row r="8916">
      <c r="A8916" s="380" t="s">
        <v>9790</v>
      </c>
      <c r="B8916" s="380" t="str">
        <f>IFERROR(__xludf.DUMMYFUNCTION("""COMPUTED_VALUE"""),"Coraza Radiador Lt Int 4059933c1")</f>
        <v>Coraza Radiador Lt Int 4059933c1</v>
      </c>
      <c r="C8916" s="380" t="str">
        <f>IFERROR(__xludf.DUMMYFUNCTION("""COMPUTED_VALUE"""),"70004336")</f>
        <v>70004336</v>
      </c>
      <c r="D8916" s="380" t="s">
        <v>767</v>
      </c>
      <c r="E8916" s="380" t="s">
        <v>786</v>
      </c>
      <c r="F8916" s="380" t="s">
        <v>787</v>
      </c>
      <c r="G8916" s="380" t="s">
        <v>1267</v>
      </c>
      <c r="H8916" s="380" t="s">
        <v>771</v>
      </c>
      <c r="I8916" s="380" t="s">
        <v>788</v>
      </c>
      <c r="J8916" s="380" t="s">
        <v>773</v>
      </c>
      <c r="K8916" s="381">
        <v>0.0</v>
      </c>
      <c r="L8916" s="382">
        <v>1.0</v>
      </c>
    </row>
    <row r="8917">
      <c r="A8917" s="380" t="s">
        <v>9791</v>
      </c>
      <c r="B8917" s="380" t="str">
        <f>IFERROR(__xludf.DUMMYFUNCTION("""COMPUTED_VALUE"""),"CTRL Vidrios Y Espejo Izq Int Lt 4061965")</f>
        <v>CTRL Vidrios Y Espejo Izq Int Lt 4061965</v>
      </c>
      <c r="C8917" s="380" t="str">
        <f>IFERROR(__xludf.DUMMYFUNCTION("""COMPUTED_VALUE"""),"70004337")</f>
        <v>70004337</v>
      </c>
      <c r="D8917" s="380" t="s">
        <v>767</v>
      </c>
      <c r="E8917" s="380" t="s">
        <v>786</v>
      </c>
      <c r="F8917" s="380" t="s">
        <v>998</v>
      </c>
      <c r="G8917" s="380" t="s">
        <v>1267</v>
      </c>
      <c r="H8917" s="380" t="s">
        <v>771</v>
      </c>
      <c r="I8917" s="380" t="s">
        <v>788</v>
      </c>
      <c r="J8917" s="380" t="s">
        <v>773</v>
      </c>
      <c r="K8917" s="381">
        <v>0.0</v>
      </c>
      <c r="L8917" s="382">
        <v>1.0</v>
      </c>
    </row>
    <row r="8918">
      <c r="A8918" s="380" t="s">
        <v>9792</v>
      </c>
      <c r="B8918" s="380" t="str">
        <f>IFERROR(__xludf.DUMMYFUNCTION("""COMPUTED_VALUE"""),"Diferencial Completa Jac 1120 Bb33480010")</f>
        <v>Diferencial Completa Jac 1120 Bb33480010</v>
      </c>
      <c r="C8918" s="380" t="str">
        <f>IFERROR(__xludf.DUMMYFUNCTION("""COMPUTED_VALUE"""),"70004338")</f>
        <v>70004338</v>
      </c>
      <c r="D8918" s="380" t="s">
        <v>767</v>
      </c>
      <c r="E8918" s="380" t="s">
        <v>786</v>
      </c>
      <c r="F8918" s="380" t="s">
        <v>5683</v>
      </c>
      <c r="G8918" s="380" t="s">
        <v>1267</v>
      </c>
      <c r="H8918" s="380" t="s">
        <v>771</v>
      </c>
      <c r="I8918" s="380" t="s">
        <v>788</v>
      </c>
      <c r="J8918" s="380" t="s">
        <v>773</v>
      </c>
      <c r="K8918" s="381">
        <v>0.0</v>
      </c>
      <c r="L8918" s="382">
        <v>1.0</v>
      </c>
    </row>
    <row r="8919">
      <c r="A8919" s="380" t="s">
        <v>9793</v>
      </c>
      <c r="B8919" s="380" t="str">
        <f>IFERROR(__xludf.DUMMYFUNCTION("""COMPUTED_VALUE"""),"Resorte De Caja Nkr Rewart 897254835")</f>
        <v>Resorte De Caja Nkr Rewart 897254835</v>
      </c>
      <c r="C8919" s="380" t="str">
        <f>IFERROR(__xludf.DUMMYFUNCTION("""COMPUTED_VALUE"""),"70004339")</f>
        <v>70004339</v>
      </c>
      <c r="D8919" s="380" t="s">
        <v>767</v>
      </c>
      <c r="E8919" s="380" t="s">
        <v>786</v>
      </c>
      <c r="F8919" s="380" t="s">
        <v>928</v>
      </c>
      <c r="G8919" s="380" t="s">
        <v>1267</v>
      </c>
      <c r="H8919" s="380" t="s">
        <v>771</v>
      </c>
      <c r="I8919" s="380" t="s">
        <v>788</v>
      </c>
      <c r="J8919" s="380" t="s">
        <v>773</v>
      </c>
      <c r="K8919" s="381">
        <v>0.0</v>
      </c>
      <c r="L8919" s="382">
        <v>1.0</v>
      </c>
    </row>
    <row r="8920">
      <c r="A8920" s="380" t="s">
        <v>9794</v>
      </c>
      <c r="B8920" s="380" t="str">
        <f>IFERROR(__xludf.DUMMYFUNCTION("""COMPUTED_VALUE"""),"Carcasa Caja Embrague Nkr Reward 8972370")</f>
        <v>Carcasa Caja Embrague Nkr Reward 8972370</v>
      </c>
      <c r="C8920" s="380" t="str">
        <f>IFERROR(__xludf.DUMMYFUNCTION("""COMPUTED_VALUE"""),"70004340")</f>
        <v>70004340</v>
      </c>
      <c r="D8920" s="380" t="s">
        <v>767</v>
      </c>
      <c r="E8920" s="380" t="s">
        <v>786</v>
      </c>
      <c r="F8920" s="380" t="s">
        <v>5683</v>
      </c>
      <c r="G8920" s="380" t="s">
        <v>1267</v>
      </c>
      <c r="H8920" s="380" t="s">
        <v>771</v>
      </c>
      <c r="I8920" s="380" t="s">
        <v>788</v>
      </c>
      <c r="J8920" s="380" t="s">
        <v>773</v>
      </c>
      <c r="K8920" s="381">
        <v>0.0</v>
      </c>
      <c r="L8920" s="382">
        <v>1.0</v>
      </c>
    </row>
    <row r="8921">
      <c r="A8921" s="380" t="s">
        <v>9795</v>
      </c>
      <c r="B8921" s="380" t="str">
        <f>IFERROR(__xludf.DUMMYFUNCTION("""COMPUTED_VALUE"""),"Cremallera Volante FT 7701023327909 1128")</f>
        <v>Cremallera Volante FT 7701023327909 1128</v>
      </c>
      <c r="C8921" s="380" t="str">
        <f>IFERROR(__xludf.DUMMYFUNCTION("""COMPUTED_VALUE"""),"70004341")</f>
        <v>70004341</v>
      </c>
      <c r="D8921" s="380" t="s">
        <v>767</v>
      </c>
      <c r="E8921" s="380" t="s">
        <v>786</v>
      </c>
      <c r="F8921" s="380" t="s">
        <v>787</v>
      </c>
      <c r="G8921" s="380" t="s">
        <v>1267</v>
      </c>
      <c r="H8921" s="380" t="s">
        <v>771</v>
      </c>
      <c r="I8921" s="380" t="s">
        <v>788</v>
      </c>
      <c r="J8921" s="380" t="s">
        <v>773</v>
      </c>
      <c r="K8921" s="381">
        <v>0.0</v>
      </c>
      <c r="L8921" s="382">
        <v>1.0</v>
      </c>
    </row>
    <row r="8922">
      <c r="A8922" s="380" t="s">
        <v>9796</v>
      </c>
      <c r="B8922" s="380" t="str">
        <f>IFERROR(__xludf.DUMMYFUNCTION("""COMPUTED_VALUE"""),"Arandela Pin Bocin Del FT 1039 770102398")</f>
        <v>Arandela Pin Bocin Del FT 1039 770102398</v>
      </c>
      <c r="C8922" s="380" t="str">
        <f>IFERROR(__xludf.DUMMYFUNCTION("""COMPUTED_VALUE"""),"70004342")</f>
        <v>70004342</v>
      </c>
      <c r="D8922" s="380" t="s">
        <v>767</v>
      </c>
      <c r="E8922" s="380" t="s">
        <v>786</v>
      </c>
      <c r="F8922" s="380" t="s">
        <v>1017</v>
      </c>
      <c r="G8922" s="380" t="s">
        <v>1267</v>
      </c>
      <c r="H8922" s="380" t="s">
        <v>771</v>
      </c>
      <c r="I8922" s="380" t="s">
        <v>788</v>
      </c>
      <c r="J8922" s="380" t="s">
        <v>773</v>
      </c>
      <c r="K8922" s="381">
        <v>0.0</v>
      </c>
      <c r="L8922" s="382">
        <v>1.0</v>
      </c>
    </row>
    <row r="8923">
      <c r="A8923" s="380" t="s">
        <v>9797</v>
      </c>
      <c r="B8923" s="380" t="str">
        <f>IFERROR(__xludf.DUMMYFUNCTION("""COMPUTED_VALUE"""),"Turbo Alimentador FT 1065 - 1039 7705946")</f>
        <v>Turbo Alimentador FT 1065 - 1039 7705946</v>
      </c>
      <c r="C8923" s="380" t="str">
        <f>IFERROR(__xludf.DUMMYFUNCTION("""COMPUTED_VALUE"""),"70004343")</f>
        <v>70004343</v>
      </c>
      <c r="D8923" s="380" t="s">
        <v>767</v>
      </c>
      <c r="E8923" s="380" t="s">
        <v>786</v>
      </c>
      <c r="F8923" s="380" t="s">
        <v>787</v>
      </c>
      <c r="G8923" s="380" t="s">
        <v>1267</v>
      </c>
      <c r="H8923" s="380" t="s">
        <v>771</v>
      </c>
      <c r="I8923" s="380" t="s">
        <v>788</v>
      </c>
      <c r="J8923" s="380" t="s">
        <v>773</v>
      </c>
      <c r="K8923" s="381">
        <v>0.0</v>
      </c>
      <c r="L8923" s="382">
        <v>1.0</v>
      </c>
    </row>
    <row r="8924">
      <c r="A8924" s="380" t="s">
        <v>9798</v>
      </c>
      <c r="B8924" s="380" t="str">
        <f>IFERROR(__xludf.DUMMYFUNCTION("""COMPUTED_VALUE"""),"Farola Derecha Jac Jhr 4121920le190")</f>
        <v>Farola Derecha Jac Jhr 4121920le190</v>
      </c>
      <c r="C8924" s="380" t="str">
        <f>IFERROR(__xludf.DUMMYFUNCTION("""COMPUTED_VALUE"""),"70004344")</f>
        <v>70004344</v>
      </c>
      <c r="D8924" s="380" t="s">
        <v>767</v>
      </c>
      <c r="E8924" s="380" t="s">
        <v>786</v>
      </c>
      <c r="F8924" s="380" t="s">
        <v>998</v>
      </c>
      <c r="G8924" s="380" t="s">
        <v>1267</v>
      </c>
      <c r="H8924" s="380" t="s">
        <v>771</v>
      </c>
      <c r="I8924" s="380" t="s">
        <v>788</v>
      </c>
      <c r="J8924" s="380" t="s">
        <v>773</v>
      </c>
      <c r="K8924" s="381">
        <v>0.0</v>
      </c>
      <c r="L8924" s="382">
        <v>1.0</v>
      </c>
    </row>
    <row r="8925">
      <c r="A8925" s="380" t="s">
        <v>9799</v>
      </c>
      <c r="B8925" s="380" t="str">
        <f>IFERROR(__xludf.DUMMYFUNCTION("""COMPUTED_VALUE"""),"Suplemento Motor Arranque Nkr 1j0065")</f>
        <v>Suplemento Motor Arranque Nkr 1j0065</v>
      </c>
      <c r="C8925" s="380" t="str">
        <f>IFERROR(__xludf.DUMMYFUNCTION("""COMPUTED_VALUE"""),"70004345")</f>
        <v>70004345</v>
      </c>
      <c r="D8925" s="380" t="s">
        <v>767</v>
      </c>
      <c r="E8925" s="380" t="s">
        <v>786</v>
      </c>
      <c r="F8925" s="380" t="s">
        <v>998</v>
      </c>
      <c r="G8925" s="380" t="s">
        <v>1267</v>
      </c>
      <c r="H8925" s="380" t="s">
        <v>771</v>
      </c>
      <c r="I8925" s="380" t="s">
        <v>788</v>
      </c>
      <c r="J8925" s="380" t="s">
        <v>773</v>
      </c>
      <c r="K8925" s="381">
        <v>0.0</v>
      </c>
      <c r="L8925" s="382">
        <v>1.0</v>
      </c>
    </row>
    <row r="8926">
      <c r="A8926" s="380" t="s">
        <v>9800</v>
      </c>
      <c r="B8926" s="380" t="str">
        <f>IFERROR(__xludf.DUMMYFUNCTION("""COMPUTED_VALUE"""),"Tensor Damper Mack Cxu 21714847")</f>
        <v>Tensor Damper Mack Cxu 21714847</v>
      </c>
      <c r="C8926" s="380" t="str">
        <f>IFERROR(__xludf.DUMMYFUNCTION("""COMPUTED_VALUE"""),"70004346")</f>
        <v>70004346</v>
      </c>
      <c r="D8926" s="380" t="s">
        <v>767</v>
      </c>
      <c r="E8926" s="380" t="s">
        <v>786</v>
      </c>
      <c r="F8926" s="380" t="s">
        <v>787</v>
      </c>
      <c r="G8926" s="380" t="s">
        <v>1267</v>
      </c>
      <c r="H8926" s="380" t="s">
        <v>771</v>
      </c>
      <c r="I8926" s="380" t="s">
        <v>788</v>
      </c>
      <c r="J8926" s="380" t="s">
        <v>773</v>
      </c>
      <c r="K8926" s="381">
        <v>0.0</v>
      </c>
      <c r="L8926" s="382">
        <v>1.0</v>
      </c>
    </row>
    <row r="8927">
      <c r="A8927" s="380" t="s">
        <v>9801</v>
      </c>
      <c r="B8927" s="380" t="str">
        <f>IFERROR(__xludf.DUMMYFUNCTION("""COMPUTED_VALUE"""),"Alternador Nissan Urban 23100 3xnoa")</f>
        <v>Alternador Nissan Urban 23100 3xnoa</v>
      </c>
      <c r="C8927" s="380" t="str">
        <f>IFERROR(__xludf.DUMMYFUNCTION("""COMPUTED_VALUE"""),"70004347")</f>
        <v>70004347</v>
      </c>
      <c r="D8927" s="380" t="s">
        <v>767</v>
      </c>
      <c r="E8927" s="380" t="s">
        <v>786</v>
      </c>
      <c r="F8927" s="380" t="s">
        <v>998</v>
      </c>
      <c r="G8927" s="380" t="s">
        <v>1267</v>
      </c>
      <c r="H8927" s="380" t="s">
        <v>771</v>
      </c>
      <c r="I8927" s="380" t="s">
        <v>788</v>
      </c>
      <c r="J8927" s="380" t="s">
        <v>773</v>
      </c>
      <c r="K8927" s="381">
        <v>0.0</v>
      </c>
      <c r="L8927" s="382">
        <v>1.0</v>
      </c>
    </row>
    <row r="8928">
      <c r="A8928" s="380" t="s">
        <v>9802</v>
      </c>
      <c r="B8928" s="380" t="str">
        <f>IFERROR(__xludf.DUMMYFUNCTION("""COMPUTED_VALUE"""),"Protector Puerta Der Nkr Nhr 8978521282")</f>
        <v>Protector Puerta Der Nkr Nhr 8978521282</v>
      </c>
      <c r="C8928" s="380" t="str">
        <f>IFERROR(__xludf.DUMMYFUNCTION("""COMPUTED_VALUE"""),"70004348")</f>
        <v>70004348</v>
      </c>
      <c r="D8928" s="380" t="s">
        <v>767</v>
      </c>
      <c r="E8928" s="380" t="s">
        <v>786</v>
      </c>
      <c r="F8928" s="380" t="s">
        <v>792</v>
      </c>
      <c r="G8928" s="380" t="s">
        <v>1267</v>
      </c>
      <c r="H8928" s="380" t="s">
        <v>771</v>
      </c>
      <c r="I8928" s="380" t="s">
        <v>788</v>
      </c>
      <c r="J8928" s="380" t="s">
        <v>773</v>
      </c>
      <c r="K8928" s="381">
        <v>0.0</v>
      </c>
      <c r="L8928" s="382">
        <v>1.0</v>
      </c>
    </row>
    <row r="8929">
      <c r="A8929" s="380" t="s">
        <v>9803</v>
      </c>
      <c r="B8929" s="380" t="str">
        <f>IFERROR(__xludf.DUMMYFUNCTION("""COMPUTED_VALUE"""),"Silla Copiloto Jac 1120 Fabricada")</f>
        <v>Silla Copiloto Jac 1120 Fabricada</v>
      </c>
      <c r="C8929" s="380" t="str">
        <f>IFERROR(__xludf.DUMMYFUNCTION("""COMPUTED_VALUE"""),"70004349")</f>
        <v>70004349</v>
      </c>
      <c r="D8929" s="380" t="s">
        <v>767</v>
      </c>
      <c r="E8929" s="380" t="s">
        <v>786</v>
      </c>
      <c r="F8929" s="380" t="s">
        <v>792</v>
      </c>
      <c r="G8929" s="380" t="s">
        <v>1267</v>
      </c>
      <c r="H8929" s="380" t="s">
        <v>771</v>
      </c>
      <c r="I8929" s="380" t="s">
        <v>788</v>
      </c>
      <c r="J8929" s="380" t="s">
        <v>773</v>
      </c>
      <c r="K8929" s="381">
        <v>0.0</v>
      </c>
      <c r="L8929" s="382">
        <v>1.0</v>
      </c>
    </row>
    <row r="8930">
      <c r="A8930" s="380" t="s">
        <v>9804</v>
      </c>
      <c r="B8930" s="380" t="str">
        <f>IFERROR(__xludf.DUMMYFUNCTION("""COMPUTED_VALUE"""),"Sensor Knock Motor Foton MV5 5946023238")</f>
        <v>Sensor Knock Motor Foton MV5 5946023238</v>
      </c>
      <c r="C8930" s="380" t="str">
        <f>IFERROR(__xludf.DUMMYFUNCTION("""COMPUTED_VALUE"""),"70004350")</f>
        <v>70004350</v>
      </c>
      <c r="D8930" s="380" t="s">
        <v>767</v>
      </c>
      <c r="E8930" s="380" t="s">
        <v>786</v>
      </c>
      <c r="F8930" s="380" t="s">
        <v>787</v>
      </c>
      <c r="G8930" s="380" t="s">
        <v>1267</v>
      </c>
      <c r="H8930" s="380" t="s">
        <v>771</v>
      </c>
      <c r="I8930" s="380" t="s">
        <v>788</v>
      </c>
      <c r="J8930" s="380" t="s">
        <v>773</v>
      </c>
      <c r="K8930" s="381">
        <v>0.0</v>
      </c>
      <c r="L8930" s="382">
        <v>1.0</v>
      </c>
    </row>
    <row r="8931">
      <c r="A8931" s="380" t="s">
        <v>9805</v>
      </c>
      <c r="B8931" s="380" t="str">
        <f>IFERROR(__xludf.DUMMYFUNCTION("""COMPUTED_VALUE"""),"Kit De Reparticion NS Pathfinder 1323")</f>
        <v>Kit De Reparticion NS Pathfinder 1323</v>
      </c>
      <c r="C8931" s="380" t="str">
        <f>IFERROR(__xludf.DUMMYFUNCTION("""COMPUTED_VALUE"""),"70004351")</f>
        <v>70004351</v>
      </c>
      <c r="D8931" s="380" t="s">
        <v>767</v>
      </c>
      <c r="E8931" s="380" t="s">
        <v>786</v>
      </c>
      <c r="F8931" s="380" t="s">
        <v>787</v>
      </c>
      <c r="G8931" s="380" t="s">
        <v>1267</v>
      </c>
      <c r="H8931" s="380" t="s">
        <v>771</v>
      </c>
      <c r="I8931" s="380" t="s">
        <v>788</v>
      </c>
      <c r="J8931" s="380" t="s">
        <v>773</v>
      </c>
      <c r="K8931" s="381">
        <v>0.0</v>
      </c>
      <c r="L8931" s="382">
        <v>1.0</v>
      </c>
    </row>
    <row r="8932">
      <c r="A8932" s="380" t="s">
        <v>9806</v>
      </c>
      <c r="B8932" s="380" t="str">
        <f>IFERROR(__xludf.DUMMYFUNCTION("""COMPUTED_VALUE"""),"Fan Cluth Nissan Pathfinder 1372")</f>
        <v>Fan Cluth Nissan Pathfinder 1372</v>
      </c>
      <c r="C8932" s="380" t="str">
        <f>IFERROR(__xludf.DUMMYFUNCTION("""COMPUTED_VALUE"""),"70004352")</f>
        <v>70004352</v>
      </c>
      <c r="D8932" s="380" t="s">
        <v>767</v>
      </c>
      <c r="E8932" s="380" t="s">
        <v>786</v>
      </c>
      <c r="F8932" s="380" t="s">
        <v>787</v>
      </c>
      <c r="G8932" s="380" t="s">
        <v>1267</v>
      </c>
      <c r="H8932" s="380" t="s">
        <v>771</v>
      </c>
      <c r="I8932" s="380" t="s">
        <v>788</v>
      </c>
      <c r="J8932" s="380" t="s">
        <v>773</v>
      </c>
      <c r="K8932" s="381">
        <v>0.0</v>
      </c>
      <c r="L8932" s="382">
        <v>1.0</v>
      </c>
    </row>
    <row r="8933">
      <c r="A8933" s="380" t="s">
        <v>9807</v>
      </c>
      <c r="B8933" s="380" t="str">
        <f>IFERROR(__xludf.DUMMYFUNCTION("""COMPUTED_VALUE"""),"Pisa Alfombra Izq Prostar 3596473c5")</f>
        <v>Pisa Alfombra Izq Prostar 3596473c5</v>
      </c>
      <c r="C8933" s="380" t="str">
        <f>IFERROR(__xludf.DUMMYFUNCTION("""COMPUTED_VALUE"""),"70004353")</f>
        <v>70004353</v>
      </c>
      <c r="D8933" s="380" t="s">
        <v>767</v>
      </c>
      <c r="E8933" s="380" t="s">
        <v>786</v>
      </c>
      <c r="F8933" s="380" t="s">
        <v>792</v>
      </c>
      <c r="G8933" s="380" t="s">
        <v>1267</v>
      </c>
      <c r="H8933" s="380" t="s">
        <v>771</v>
      </c>
      <c r="I8933" s="380" t="s">
        <v>788</v>
      </c>
      <c r="J8933" s="380" t="s">
        <v>773</v>
      </c>
      <c r="K8933" s="381">
        <v>0.0</v>
      </c>
      <c r="L8933" s="382">
        <v>1.0</v>
      </c>
    </row>
    <row r="8934">
      <c r="A8934" s="380" t="s">
        <v>9808</v>
      </c>
      <c r="B8934" s="380" t="str">
        <f>IFERROR(__xludf.DUMMYFUNCTION("""COMPUTED_VALUE"""),"Correa Accesorios Nissan Pathfinder 1460")</f>
        <v>Correa Accesorios Nissan Pathfinder 1460</v>
      </c>
      <c r="C8934" s="380" t="str">
        <f>IFERROR(__xludf.DUMMYFUNCTION("""COMPUTED_VALUE"""),"70004354")</f>
        <v>70004354</v>
      </c>
      <c r="D8934" s="380" t="s">
        <v>767</v>
      </c>
      <c r="E8934" s="380" t="s">
        <v>786</v>
      </c>
      <c r="F8934" s="380" t="s">
        <v>1031</v>
      </c>
      <c r="G8934" s="380" t="s">
        <v>1267</v>
      </c>
      <c r="H8934" s="380" t="s">
        <v>771</v>
      </c>
      <c r="I8934" s="380" t="s">
        <v>788</v>
      </c>
      <c r="J8934" s="380" t="s">
        <v>773</v>
      </c>
      <c r="K8934" s="381">
        <v>0.0</v>
      </c>
      <c r="L8934" s="382">
        <v>1.0</v>
      </c>
    </row>
    <row r="8935">
      <c r="A8935" s="380" t="s">
        <v>9809</v>
      </c>
      <c r="B8935" s="380" t="str">
        <f>IFERROR(__xludf.DUMMYFUNCTION("""COMPUTED_VALUE"""),"RET Del Cigueñal NS Pathfinder 37011398")</f>
        <v>RET Del Cigueñal NS Pathfinder 37011398</v>
      </c>
      <c r="C8935" s="380" t="str">
        <f>IFERROR(__xludf.DUMMYFUNCTION("""COMPUTED_VALUE"""),"70004355")</f>
        <v>70004355</v>
      </c>
      <c r="D8935" s="380" t="s">
        <v>767</v>
      </c>
      <c r="E8935" s="380" t="s">
        <v>786</v>
      </c>
      <c r="F8935" s="380" t="s">
        <v>787</v>
      </c>
      <c r="G8935" s="380" t="s">
        <v>1267</v>
      </c>
      <c r="H8935" s="380" t="s">
        <v>771</v>
      </c>
      <c r="I8935" s="380" t="s">
        <v>788</v>
      </c>
      <c r="J8935" s="380" t="s">
        <v>773</v>
      </c>
      <c r="K8935" s="381">
        <v>0.0</v>
      </c>
      <c r="L8935" s="382">
        <v>1.0</v>
      </c>
    </row>
    <row r="8936">
      <c r="A8936" s="380" t="s">
        <v>9810</v>
      </c>
      <c r="B8936" s="380" t="str">
        <f>IFERROR(__xludf.DUMMYFUNCTION("""COMPUTED_VALUE"""),"Amortiguador Del Der/Izq NS Pathfinder 1")</f>
        <v>Amortiguador Del Der/Izq NS Pathfinder 1</v>
      </c>
      <c r="C8936" s="380" t="str">
        <f>IFERROR(__xludf.DUMMYFUNCTION("""COMPUTED_VALUE"""),"70004356")</f>
        <v>70004356</v>
      </c>
      <c r="D8936" s="380" t="s">
        <v>767</v>
      </c>
      <c r="E8936" s="380" t="s">
        <v>786</v>
      </c>
      <c r="F8936" s="380" t="s">
        <v>1039</v>
      </c>
      <c r="G8936" s="380" t="s">
        <v>1267</v>
      </c>
      <c r="H8936" s="380" t="s">
        <v>771</v>
      </c>
      <c r="I8936" s="380" t="s">
        <v>788</v>
      </c>
      <c r="J8936" s="380" t="s">
        <v>773</v>
      </c>
      <c r="K8936" s="381">
        <v>0.0</v>
      </c>
      <c r="L8936" s="382">
        <v>1.0</v>
      </c>
    </row>
    <row r="8937">
      <c r="A8937" s="380" t="s">
        <v>9811</v>
      </c>
      <c r="B8937" s="380" t="str">
        <f>IFERROR(__xludf.DUMMYFUNCTION("""COMPUTED_VALUE"""),"Amortiguador Tras Der/Izq NS Pathfinder")</f>
        <v>Amortiguador Tras Der/Izq NS Pathfinder</v>
      </c>
      <c r="C8937" s="380" t="str">
        <f>IFERROR(__xludf.DUMMYFUNCTION("""COMPUTED_VALUE"""),"70004357")</f>
        <v>70004357</v>
      </c>
      <c r="D8937" s="380" t="s">
        <v>767</v>
      </c>
      <c r="E8937" s="380" t="s">
        <v>786</v>
      </c>
      <c r="F8937" s="380" t="s">
        <v>1039</v>
      </c>
      <c r="G8937" s="380" t="s">
        <v>1267</v>
      </c>
      <c r="H8937" s="380" t="s">
        <v>771</v>
      </c>
      <c r="I8937" s="380" t="s">
        <v>788</v>
      </c>
      <c r="J8937" s="380" t="s">
        <v>773</v>
      </c>
      <c r="K8937" s="381">
        <v>0.0</v>
      </c>
      <c r="L8937" s="382">
        <v>1.0</v>
      </c>
    </row>
    <row r="8938">
      <c r="A8938" s="380" t="s">
        <v>9812</v>
      </c>
      <c r="B8938" s="380" t="str">
        <f>IFERROR(__xludf.DUMMYFUNCTION("""COMPUTED_VALUE"""),"Correa A/C Nissan Pathfinder 1334")</f>
        <v>Correa A/C Nissan Pathfinder 1334</v>
      </c>
      <c r="C8938" s="380" t="str">
        <f>IFERROR(__xludf.DUMMYFUNCTION("""COMPUTED_VALUE"""),"70004358")</f>
        <v>70004358</v>
      </c>
      <c r="D8938" s="380" t="s">
        <v>767</v>
      </c>
      <c r="E8938" s="380" t="s">
        <v>786</v>
      </c>
      <c r="F8938" s="380" t="s">
        <v>1031</v>
      </c>
      <c r="G8938" s="380" t="s">
        <v>1267</v>
      </c>
      <c r="H8938" s="380" t="s">
        <v>771</v>
      </c>
      <c r="I8938" s="380" t="s">
        <v>788</v>
      </c>
      <c r="J8938" s="380" t="s">
        <v>773</v>
      </c>
      <c r="K8938" s="381">
        <v>0.0</v>
      </c>
      <c r="L8938" s="382">
        <v>1.0</v>
      </c>
    </row>
    <row r="8939">
      <c r="A8939" s="380" t="s">
        <v>9813</v>
      </c>
      <c r="B8939" s="380" t="str">
        <f>IFERROR(__xludf.DUMMYFUNCTION("""COMPUTED_VALUE"""),"Caja Fusibles Foton 1039 5946329231")</f>
        <v>Caja Fusibles Foton 1039 5946329231</v>
      </c>
      <c r="C8939" s="380" t="str">
        <f>IFERROR(__xludf.DUMMYFUNCTION("""COMPUTED_VALUE"""),"70004359")</f>
        <v>70004359</v>
      </c>
      <c r="D8939" s="380" t="s">
        <v>767</v>
      </c>
      <c r="E8939" s="380" t="s">
        <v>786</v>
      </c>
      <c r="F8939" s="380" t="s">
        <v>998</v>
      </c>
      <c r="G8939" s="380" t="s">
        <v>1267</v>
      </c>
      <c r="H8939" s="380" t="s">
        <v>771</v>
      </c>
      <c r="I8939" s="380" t="s">
        <v>788</v>
      </c>
      <c r="J8939" s="380" t="s">
        <v>773</v>
      </c>
      <c r="K8939" s="381">
        <v>0.0</v>
      </c>
      <c r="L8939" s="382">
        <v>1.0</v>
      </c>
    </row>
    <row r="8940">
      <c r="A8940" s="380" t="s">
        <v>9814</v>
      </c>
      <c r="B8940" s="380" t="str">
        <f>IFERROR(__xludf.DUMMYFUNCTION("""COMPUTED_VALUE"""),"Sensor Temperatura Renault 8200650777")</f>
        <v>Sensor Temperatura Renault 8200650777</v>
      </c>
      <c r="C8940" s="380" t="str">
        <f>IFERROR(__xludf.DUMMYFUNCTION("""COMPUTED_VALUE"""),"70004360")</f>
        <v>70004360</v>
      </c>
      <c r="D8940" s="380" t="s">
        <v>767</v>
      </c>
      <c r="E8940" s="380" t="s">
        <v>786</v>
      </c>
      <c r="F8940" s="380" t="s">
        <v>998</v>
      </c>
      <c r="G8940" s="380" t="s">
        <v>1267</v>
      </c>
      <c r="H8940" s="380" t="s">
        <v>771</v>
      </c>
      <c r="I8940" s="380" t="s">
        <v>788</v>
      </c>
      <c r="J8940" s="380" t="s">
        <v>773</v>
      </c>
      <c r="K8940" s="381">
        <v>0.0</v>
      </c>
      <c r="L8940" s="382">
        <v>1.0</v>
      </c>
    </row>
    <row r="8941">
      <c r="A8941" s="380" t="s">
        <v>9815</v>
      </c>
      <c r="B8941" s="380" t="str">
        <f>IFERROR(__xludf.DUMMYFUNCTION("""COMPUTED_VALUE"""),"Puente Montaje Capot INT Lt 3987735c4")</f>
        <v>Puente Montaje Capot INT Lt 3987735c4</v>
      </c>
      <c r="C8941" s="380" t="str">
        <f>IFERROR(__xludf.DUMMYFUNCTION("""COMPUTED_VALUE"""),"70004361")</f>
        <v>70004361</v>
      </c>
      <c r="D8941" s="380" t="s">
        <v>767</v>
      </c>
      <c r="E8941" s="380" t="s">
        <v>786</v>
      </c>
      <c r="F8941" s="380" t="s">
        <v>792</v>
      </c>
      <c r="G8941" s="380" t="s">
        <v>1267</v>
      </c>
      <c r="H8941" s="380" t="s">
        <v>771</v>
      </c>
      <c r="I8941" s="380" t="s">
        <v>788</v>
      </c>
      <c r="J8941" s="380" t="s">
        <v>773</v>
      </c>
      <c r="K8941" s="381">
        <v>0.0</v>
      </c>
      <c r="L8941" s="382">
        <v>1.0</v>
      </c>
    </row>
    <row r="8942">
      <c r="A8942" s="380" t="s">
        <v>9816</v>
      </c>
      <c r="B8942" s="380" t="str">
        <f>IFERROR(__xludf.DUMMYFUNCTION("""COMPUTED_VALUE"""),"Resorte Freno RDA Del FT BJ11 5946256520")</f>
        <v>Resorte Freno RDA Del FT BJ11 5946256520</v>
      </c>
      <c r="C8942" s="380" t="str">
        <f>IFERROR(__xludf.DUMMYFUNCTION("""COMPUTED_VALUE"""),"70004362")</f>
        <v>70004362</v>
      </c>
      <c r="D8942" s="380" t="s">
        <v>767</v>
      </c>
      <c r="E8942" s="380" t="s">
        <v>786</v>
      </c>
      <c r="F8942" s="380" t="s">
        <v>1017</v>
      </c>
      <c r="G8942" s="380" t="s">
        <v>1267</v>
      </c>
      <c r="H8942" s="380" t="s">
        <v>771</v>
      </c>
      <c r="I8942" s="380" t="s">
        <v>788</v>
      </c>
      <c r="J8942" s="380" t="s">
        <v>773</v>
      </c>
      <c r="K8942" s="381">
        <v>0.0</v>
      </c>
      <c r="L8942" s="382">
        <v>1.0</v>
      </c>
    </row>
    <row r="8943">
      <c r="A8943" s="380" t="s">
        <v>9817</v>
      </c>
      <c r="B8943" s="380" t="str">
        <f>IFERROR(__xludf.DUMMYFUNCTION("""COMPUTED_VALUE"""),"Booster Freno Pedal FT 1039 1023559706")</f>
        <v>Booster Freno Pedal FT 1039 1023559706</v>
      </c>
      <c r="C8943" s="380" t="str">
        <f>IFERROR(__xludf.DUMMYFUNCTION("""COMPUTED_VALUE"""),"70004363")</f>
        <v>70004363</v>
      </c>
      <c r="D8943" s="380" t="s">
        <v>767</v>
      </c>
      <c r="E8943" s="380" t="s">
        <v>786</v>
      </c>
      <c r="F8943" s="380" t="s">
        <v>1017</v>
      </c>
      <c r="G8943" s="380" t="s">
        <v>1267</v>
      </c>
      <c r="H8943" s="380" t="s">
        <v>771</v>
      </c>
      <c r="I8943" s="380" t="s">
        <v>788</v>
      </c>
      <c r="J8943" s="380" t="s">
        <v>773</v>
      </c>
      <c r="K8943" s="381">
        <v>1102285.0</v>
      </c>
      <c r="L8943" s="382">
        <v>1.0</v>
      </c>
    </row>
    <row r="8944">
      <c r="A8944" s="380" t="s">
        <v>9818</v>
      </c>
      <c r="B8944" s="380" t="str">
        <f>IFERROR(__xludf.DUMMYFUNCTION("""COMPUTED_VALUE"""),"Deposito De Expansion Jac 1120 1.31e+91")</f>
        <v>Deposito De Expansion Jac 1120 1.31e+91</v>
      </c>
      <c r="C8944" s="380" t="str">
        <f>IFERROR(__xludf.DUMMYFUNCTION("""COMPUTED_VALUE"""),"70004364")</f>
        <v>70004364</v>
      </c>
      <c r="D8944" s="380" t="s">
        <v>767</v>
      </c>
      <c r="E8944" s="380" t="s">
        <v>786</v>
      </c>
      <c r="F8944" s="380" t="s">
        <v>787</v>
      </c>
      <c r="G8944" s="380" t="s">
        <v>1267</v>
      </c>
      <c r="H8944" s="380" t="s">
        <v>771</v>
      </c>
      <c r="I8944" s="380" t="s">
        <v>788</v>
      </c>
      <c r="J8944" s="380" t="s">
        <v>773</v>
      </c>
      <c r="K8944" s="381">
        <v>0.0</v>
      </c>
      <c r="L8944" s="382">
        <v>1.0</v>
      </c>
    </row>
    <row r="8945">
      <c r="A8945" s="380" t="s">
        <v>9819</v>
      </c>
      <c r="B8945" s="380" t="str">
        <f>IFERROR(__xludf.DUMMYFUNCTION("""COMPUTED_VALUE"""),"Capo Tracto Lt625 4036099c99")</f>
        <v>Capo Tracto Lt625 4036099c99</v>
      </c>
      <c r="C8945" s="380" t="str">
        <f>IFERROR(__xludf.DUMMYFUNCTION("""COMPUTED_VALUE"""),"70004365")</f>
        <v>70004365</v>
      </c>
      <c r="D8945" s="380" t="s">
        <v>767</v>
      </c>
      <c r="E8945" s="380" t="s">
        <v>786</v>
      </c>
      <c r="F8945" s="380" t="s">
        <v>792</v>
      </c>
      <c r="G8945" s="380" t="s">
        <v>1267</v>
      </c>
      <c r="H8945" s="380" t="s">
        <v>771</v>
      </c>
      <c r="I8945" s="380" t="s">
        <v>788</v>
      </c>
      <c r="J8945" s="380" t="s">
        <v>773</v>
      </c>
      <c r="K8945" s="381">
        <v>0.0</v>
      </c>
      <c r="L8945" s="382">
        <v>1.0</v>
      </c>
    </row>
    <row r="8946">
      <c r="A8946" s="380" t="s">
        <v>9820</v>
      </c>
      <c r="B8946" s="380" t="str">
        <f>IFERROR(__xludf.DUMMYFUNCTION("""COMPUTED_VALUE"""),"Buje Eje De Levas N1 HN Dutropack 11811e")</f>
        <v>Buje Eje De Levas N1 HN Dutropack 11811e</v>
      </c>
      <c r="C8946" s="380" t="str">
        <f>IFERROR(__xludf.DUMMYFUNCTION("""COMPUTED_VALUE"""),"70004366")</f>
        <v>70004366</v>
      </c>
      <c r="D8946" s="380" t="s">
        <v>767</v>
      </c>
      <c r="E8946" s="380" t="s">
        <v>786</v>
      </c>
      <c r="F8946" s="380" t="s">
        <v>787</v>
      </c>
      <c r="G8946" s="380" t="s">
        <v>1267</v>
      </c>
      <c r="H8946" s="380" t="s">
        <v>771</v>
      </c>
      <c r="I8946" s="380" t="s">
        <v>788</v>
      </c>
      <c r="J8946" s="380" t="s">
        <v>773</v>
      </c>
      <c r="K8946" s="381">
        <v>0.0</v>
      </c>
      <c r="L8946" s="382">
        <v>1.0</v>
      </c>
    </row>
    <row r="8947">
      <c r="A8947" s="380" t="s">
        <v>9821</v>
      </c>
      <c r="B8947" s="380" t="str">
        <f>IFERROR(__xludf.DUMMYFUNCTION("""COMPUTED_VALUE"""),"Buje Eje De Levas N2 HN Dutropack 11821e")</f>
        <v>Buje Eje De Levas N2 HN Dutropack 11821e</v>
      </c>
      <c r="C8947" s="380" t="str">
        <f>IFERROR(__xludf.DUMMYFUNCTION("""COMPUTED_VALUE"""),"70004367")</f>
        <v>70004367</v>
      </c>
      <c r="D8947" s="380" t="s">
        <v>767</v>
      </c>
      <c r="E8947" s="380" t="s">
        <v>786</v>
      </c>
      <c r="F8947" s="380" t="s">
        <v>787</v>
      </c>
      <c r="G8947" s="380" t="s">
        <v>1267</v>
      </c>
      <c r="H8947" s="380" t="s">
        <v>771</v>
      </c>
      <c r="I8947" s="380" t="s">
        <v>788</v>
      </c>
      <c r="J8947" s="380" t="s">
        <v>773</v>
      </c>
      <c r="K8947" s="381">
        <v>0.0</v>
      </c>
      <c r="L8947" s="382">
        <v>1.0</v>
      </c>
    </row>
    <row r="8948">
      <c r="A8948" s="380" t="s">
        <v>9822</v>
      </c>
      <c r="B8948" s="380" t="str">
        <f>IFERROR(__xludf.DUMMYFUNCTION("""COMPUTED_VALUE"""),"Buje Eje De Levas N3 HN Dutropack 11831e")</f>
        <v>Buje Eje De Levas N3 HN Dutropack 11831e</v>
      </c>
      <c r="C8948" s="380" t="str">
        <f>IFERROR(__xludf.DUMMYFUNCTION("""COMPUTED_VALUE"""),"70004368")</f>
        <v>70004368</v>
      </c>
      <c r="D8948" s="380" t="s">
        <v>767</v>
      </c>
      <c r="E8948" s="380" t="s">
        <v>786</v>
      </c>
      <c r="F8948" s="380" t="s">
        <v>787</v>
      </c>
      <c r="G8948" s="380" t="s">
        <v>1267</v>
      </c>
      <c r="H8948" s="380" t="s">
        <v>771</v>
      </c>
      <c r="I8948" s="380" t="s">
        <v>788</v>
      </c>
      <c r="J8948" s="380" t="s">
        <v>773</v>
      </c>
      <c r="K8948" s="381">
        <v>0.0</v>
      </c>
      <c r="L8948" s="382">
        <v>1.0</v>
      </c>
    </row>
    <row r="8949">
      <c r="A8949" s="380" t="s">
        <v>9823</v>
      </c>
      <c r="B8949" s="380" t="str">
        <f>IFERROR(__xludf.DUMMYFUNCTION("""COMPUTED_VALUE"""),"Bloque Motor Van Foton Bj5 5946015882")</f>
        <v>Bloque Motor Van Foton Bj5 5946015882</v>
      </c>
      <c r="C8949" s="380" t="str">
        <f>IFERROR(__xludf.DUMMYFUNCTION("""COMPUTED_VALUE"""),"70004369")</f>
        <v>70004369</v>
      </c>
      <c r="D8949" s="380" t="s">
        <v>767</v>
      </c>
      <c r="E8949" s="380" t="s">
        <v>786</v>
      </c>
      <c r="F8949" s="380" t="s">
        <v>787</v>
      </c>
      <c r="G8949" s="380" t="s">
        <v>1267</v>
      </c>
      <c r="H8949" s="380" t="s">
        <v>771</v>
      </c>
      <c r="I8949" s="380" t="s">
        <v>788</v>
      </c>
      <c r="J8949" s="380" t="s">
        <v>773</v>
      </c>
      <c r="K8949" s="381">
        <v>0.0</v>
      </c>
      <c r="L8949" s="382">
        <v>1.0</v>
      </c>
    </row>
    <row r="8950">
      <c r="A8950" s="380" t="s">
        <v>9824</v>
      </c>
      <c r="B8950" s="380" t="str">
        <f>IFERROR(__xludf.DUMMYFUNCTION("""COMPUTED_VALUE"""),"Cabeza De Vaca Lado CJ Int Lt6 Fula8437")</f>
        <v>Cabeza De Vaca Lado CJ Int Lt6 Fula8437</v>
      </c>
      <c r="C8950" s="380" t="str">
        <f>IFERROR(__xludf.DUMMYFUNCTION("""COMPUTED_VALUE"""),"70004370")</f>
        <v>70004370</v>
      </c>
      <c r="D8950" s="380" t="s">
        <v>767</v>
      </c>
      <c r="E8950" s="380" t="s">
        <v>786</v>
      </c>
      <c r="F8950" s="380" t="s">
        <v>787</v>
      </c>
      <c r="G8950" s="380" t="s">
        <v>1267</v>
      </c>
      <c r="H8950" s="380" t="s">
        <v>771</v>
      </c>
      <c r="I8950" s="380" t="s">
        <v>788</v>
      </c>
      <c r="J8950" s="380" t="s">
        <v>773</v>
      </c>
      <c r="K8950" s="381">
        <v>0.0</v>
      </c>
      <c r="L8950" s="382">
        <v>1.0</v>
      </c>
    </row>
    <row r="8951">
      <c r="A8951" s="380" t="s">
        <v>9825</v>
      </c>
      <c r="B8951" s="380" t="str">
        <f>IFERROR(__xludf.DUMMYFUNCTION("""COMPUTED_VALUE"""),"Manija Ext Puerta Izq Hino 500 6.92e+34")</f>
        <v>Manija Ext Puerta Izq Hino 500 6.92e+34</v>
      </c>
      <c r="C8951" s="380" t="str">
        <f>IFERROR(__xludf.DUMMYFUNCTION("""COMPUTED_VALUE"""),"70004371")</f>
        <v>70004371</v>
      </c>
      <c r="D8951" s="380" t="s">
        <v>767</v>
      </c>
      <c r="E8951" s="380" t="s">
        <v>786</v>
      </c>
      <c r="F8951" s="380" t="s">
        <v>792</v>
      </c>
      <c r="G8951" s="380" t="s">
        <v>1267</v>
      </c>
      <c r="H8951" s="380" t="s">
        <v>771</v>
      </c>
      <c r="I8951" s="380" t="s">
        <v>788</v>
      </c>
      <c r="J8951" s="380" t="s">
        <v>773</v>
      </c>
      <c r="K8951" s="381">
        <v>0.0</v>
      </c>
      <c r="L8951" s="382">
        <v>1.0</v>
      </c>
    </row>
    <row r="8952">
      <c r="A8952" s="380" t="s">
        <v>9826</v>
      </c>
      <c r="B8952" s="380" t="str">
        <f>IFERROR(__xludf.DUMMYFUNCTION("""COMPUTED_VALUE"""),"Kit CILs Ignicion Y PTAs HN 5 69005e0540")</f>
        <v>Kit CILs Ignicion Y PTAs HN 5 69005e0540</v>
      </c>
      <c r="C8952" s="380" t="str">
        <f>IFERROR(__xludf.DUMMYFUNCTION("""COMPUTED_VALUE"""),"70004372")</f>
        <v>70004372</v>
      </c>
      <c r="D8952" s="380" t="s">
        <v>767</v>
      </c>
      <c r="E8952" s="380" t="s">
        <v>786</v>
      </c>
      <c r="F8952" s="380" t="s">
        <v>792</v>
      </c>
      <c r="G8952" s="380" t="s">
        <v>1267</v>
      </c>
      <c r="H8952" s="380" t="s">
        <v>771</v>
      </c>
      <c r="I8952" s="380" t="s">
        <v>788</v>
      </c>
      <c r="J8952" s="380" t="s">
        <v>773</v>
      </c>
      <c r="K8952" s="381">
        <v>0.0</v>
      </c>
      <c r="L8952" s="382">
        <v>1.0</v>
      </c>
    </row>
    <row r="8953">
      <c r="A8953" s="380" t="s">
        <v>9827</v>
      </c>
      <c r="B8953" s="380" t="str">
        <f>IFERROR(__xludf.DUMMYFUNCTION("""COMPUTED_VALUE"""),"Rodillo Central Riel PTA Izq 824113xa9e")</f>
        <v>Rodillo Central Riel PTA Izq 824113xa9e</v>
      </c>
      <c r="C8953" s="380" t="str">
        <f>IFERROR(__xludf.DUMMYFUNCTION("""COMPUTED_VALUE"""),"70004373")</f>
        <v>70004373</v>
      </c>
      <c r="D8953" s="380" t="s">
        <v>767</v>
      </c>
      <c r="E8953" s="380" t="s">
        <v>786</v>
      </c>
      <c r="F8953" s="380" t="s">
        <v>792</v>
      </c>
      <c r="G8953" s="380" t="s">
        <v>1267</v>
      </c>
      <c r="H8953" s="380" t="s">
        <v>771</v>
      </c>
      <c r="I8953" s="380" t="s">
        <v>788</v>
      </c>
      <c r="J8953" s="380" t="s">
        <v>773</v>
      </c>
      <c r="K8953" s="381">
        <v>0.0</v>
      </c>
      <c r="L8953" s="382">
        <v>1.0</v>
      </c>
    </row>
    <row r="8954">
      <c r="A8954" s="380" t="s">
        <v>9828</v>
      </c>
      <c r="B8954" s="380" t="str">
        <f>IFERROR(__xludf.DUMMYFUNCTION("""COMPUTED_VALUE"""),"Rodillo Sup Riel PTA Izq NS 824013xaob")</f>
        <v>Rodillo Sup Riel PTA Izq NS 824013xaob</v>
      </c>
      <c r="C8954" s="380" t="str">
        <f>IFERROR(__xludf.DUMMYFUNCTION("""COMPUTED_VALUE"""),"70004374")</f>
        <v>70004374</v>
      </c>
      <c r="D8954" s="380" t="s">
        <v>767</v>
      </c>
      <c r="E8954" s="380" t="s">
        <v>786</v>
      </c>
      <c r="F8954" s="380" t="s">
        <v>792</v>
      </c>
      <c r="G8954" s="380" t="s">
        <v>1267</v>
      </c>
      <c r="H8954" s="380" t="s">
        <v>771</v>
      </c>
      <c r="I8954" s="380" t="s">
        <v>788</v>
      </c>
      <c r="J8954" s="380" t="s">
        <v>773</v>
      </c>
      <c r="K8954" s="381">
        <v>0.0</v>
      </c>
      <c r="L8954" s="382">
        <v>1.0</v>
      </c>
    </row>
    <row r="8955">
      <c r="A8955" s="380" t="s">
        <v>9829</v>
      </c>
      <c r="B8955" s="380" t="str">
        <f>IFERROR(__xludf.DUMMYFUNCTION("""COMPUTED_VALUE"""),"Rejilla Frontal CAB Int Lt6 4059083c93")</f>
        <v>Rejilla Frontal CAB Int Lt6 4059083c93</v>
      </c>
      <c r="C8955" s="380" t="str">
        <f>IFERROR(__xludf.DUMMYFUNCTION("""COMPUTED_VALUE"""),"70004375")</f>
        <v>70004375</v>
      </c>
      <c r="D8955" s="380" t="s">
        <v>767</v>
      </c>
      <c r="E8955" s="380" t="s">
        <v>786</v>
      </c>
      <c r="F8955" s="380" t="s">
        <v>792</v>
      </c>
      <c r="G8955" s="380" t="s">
        <v>1267</v>
      </c>
      <c r="H8955" s="380" t="s">
        <v>771</v>
      </c>
      <c r="I8955" s="380" t="s">
        <v>788</v>
      </c>
      <c r="J8955" s="380" t="s">
        <v>773</v>
      </c>
      <c r="K8955" s="381">
        <v>0.0</v>
      </c>
      <c r="L8955" s="382">
        <v>1.0</v>
      </c>
    </row>
    <row r="8956">
      <c r="A8956" s="380" t="s">
        <v>9830</v>
      </c>
      <c r="B8956" s="380" t="str">
        <f>IFERROR(__xludf.DUMMYFUNCTION("""COMPUTED_VALUE"""),"SENS Pedal EMB FT 1129 1023691017")</f>
        <v>SENS Pedal EMB FT 1129 1023691017</v>
      </c>
      <c r="C8956" s="380" t="str">
        <f>IFERROR(__xludf.DUMMYFUNCTION("""COMPUTED_VALUE"""),"70004376")</f>
        <v>70004376</v>
      </c>
      <c r="D8956" s="380" t="s">
        <v>767</v>
      </c>
      <c r="E8956" s="380" t="s">
        <v>786</v>
      </c>
      <c r="F8956" s="380" t="s">
        <v>998</v>
      </c>
      <c r="G8956" s="380" t="s">
        <v>1267</v>
      </c>
      <c r="H8956" s="380" t="s">
        <v>771</v>
      </c>
      <c r="I8956" s="380" t="s">
        <v>788</v>
      </c>
      <c r="J8956" s="380" t="s">
        <v>773</v>
      </c>
      <c r="K8956" s="381">
        <v>0.0</v>
      </c>
      <c r="L8956" s="382">
        <v>1.0</v>
      </c>
    </row>
    <row r="8957">
      <c r="A8957" s="380" t="s">
        <v>9831</v>
      </c>
      <c r="B8957" s="380" t="str">
        <f>IFERROR(__xludf.DUMMYFUNCTION("""COMPUTED_VALUE"""),"Control Luces Foton 1129 5946354080")</f>
        <v>Control Luces Foton 1129 5946354080</v>
      </c>
      <c r="C8957" s="380" t="str">
        <f>IFERROR(__xludf.DUMMYFUNCTION("""COMPUTED_VALUE"""),"70004377")</f>
        <v>70004377</v>
      </c>
      <c r="D8957" s="380" t="s">
        <v>767</v>
      </c>
      <c r="E8957" s="380" t="s">
        <v>786</v>
      </c>
      <c r="F8957" s="380" t="s">
        <v>998</v>
      </c>
      <c r="G8957" s="380" t="s">
        <v>1267</v>
      </c>
      <c r="H8957" s="380" t="s">
        <v>771</v>
      </c>
      <c r="I8957" s="380" t="s">
        <v>788</v>
      </c>
      <c r="J8957" s="380" t="s">
        <v>773</v>
      </c>
      <c r="K8957" s="381">
        <v>0.0</v>
      </c>
      <c r="L8957" s="382">
        <v>1.0</v>
      </c>
    </row>
    <row r="8958">
      <c r="A8958" s="380" t="s">
        <v>9832</v>
      </c>
      <c r="B8958" s="380" t="str">
        <f>IFERROR(__xludf.DUMMYFUNCTION("""COMPUTED_VALUE"""),"Kit SOPs Trass CAB VW 899397")</f>
        <v>Kit SOPs Trass CAB VW 899397</v>
      </c>
      <c r="C8958" s="380" t="str">
        <f>IFERROR(__xludf.DUMMYFUNCTION("""COMPUTED_VALUE"""),"70004378")</f>
        <v>70004378</v>
      </c>
      <c r="D8958" s="380" t="s">
        <v>767</v>
      </c>
      <c r="E8958" s="380" t="s">
        <v>786</v>
      </c>
      <c r="F8958" s="380" t="s">
        <v>792</v>
      </c>
      <c r="G8958" s="380" t="s">
        <v>1267</v>
      </c>
      <c r="H8958" s="380" t="s">
        <v>771</v>
      </c>
      <c r="I8958" s="380" t="s">
        <v>788</v>
      </c>
      <c r="J8958" s="380" t="s">
        <v>773</v>
      </c>
      <c r="K8958" s="381">
        <v>0.0</v>
      </c>
      <c r="L8958" s="382">
        <v>1.0</v>
      </c>
    </row>
    <row r="8959">
      <c r="A8959" s="380" t="s">
        <v>9833</v>
      </c>
      <c r="B8959" s="380" t="str">
        <f>IFERROR(__xludf.DUMMYFUNCTION("""COMPUTED_VALUE"""),"Chapa TRAS CAB VW Tjg899371ebra")</f>
        <v>Chapa TRAS CAB VW Tjg899371ebra</v>
      </c>
      <c r="C8959" s="380" t="str">
        <f>IFERROR(__xludf.DUMMYFUNCTION("""COMPUTED_VALUE"""),"70004379")</f>
        <v>70004379</v>
      </c>
      <c r="D8959" s="380" t="s">
        <v>767</v>
      </c>
      <c r="E8959" s="380" t="s">
        <v>786</v>
      </c>
      <c r="F8959" s="380" t="s">
        <v>792</v>
      </c>
      <c r="G8959" s="380" t="s">
        <v>1267</v>
      </c>
      <c r="H8959" s="380" t="s">
        <v>771</v>
      </c>
      <c r="I8959" s="380" t="s">
        <v>788</v>
      </c>
      <c r="J8959" s="380" t="s">
        <v>773</v>
      </c>
      <c r="K8959" s="381">
        <v>0.0</v>
      </c>
      <c r="L8959" s="382">
        <v>1.0</v>
      </c>
    </row>
    <row r="8960">
      <c r="A8960" s="380" t="s">
        <v>9834</v>
      </c>
      <c r="B8960" s="380" t="str">
        <f>IFERROR(__xludf.DUMMYFUNCTION("""COMPUTED_VALUE"""),"Sticker Vin Cabina")</f>
        <v>Sticker Vin Cabina</v>
      </c>
      <c r="C8960" s="380" t="str">
        <f>IFERROR(__xludf.DUMMYFUNCTION("""COMPUTED_VALUE"""),"70004380")</f>
        <v>70004380</v>
      </c>
      <c r="D8960" s="380" t="s">
        <v>767</v>
      </c>
      <c r="E8960" s="380" t="s">
        <v>786</v>
      </c>
      <c r="F8960" s="380" t="s">
        <v>792</v>
      </c>
      <c r="G8960" s="380" t="s">
        <v>1267</v>
      </c>
      <c r="H8960" s="380" t="s">
        <v>771</v>
      </c>
      <c r="I8960" s="380" t="s">
        <v>788</v>
      </c>
      <c r="J8960" s="380" t="s">
        <v>773</v>
      </c>
      <c r="K8960" s="381">
        <v>0.0</v>
      </c>
      <c r="L8960" s="382">
        <v>1.0</v>
      </c>
    </row>
    <row r="8961">
      <c r="A8961" s="380" t="s">
        <v>9835</v>
      </c>
      <c r="B8961" s="380" t="str">
        <f>IFERROR(__xludf.DUMMYFUNCTION("""COMPUTED_VALUE"""),"Harness Farola INT Lt 6128959c93")</f>
        <v>Harness Farola INT Lt 6128959c93</v>
      </c>
      <c r="C8961" s="380" t="str">
        <f>IFERROR(__xludf.DUMMYFUNCTION("""COMPUTED_VALUE"""),"70004381")</f>
        <v>70004381</v>
      </c>
      <c r="D8961" s="380" t="s">
        <v>767</v>
      </c>
      <c r="E8961" s="380" t="s">
        <v>786</v>
      </c>
      <c r="F8961" s="380" t="s">
        <v>998</v>
      </c>
      <c r="G8961" s="380" t="s">
        <v>1267</v>
      </c>
      <c r="H8961" s="380" t="s">
        <v>771</v>
      </c>
      <c r="I8961" s="380" t="s">
        <v>788</v>
      </c>
      <c r="J8961" s="380" t="s">
        <v>773</v>
      </c>
      <c r="K8961" s="381">
        <v>0.0</v>
      </c>
      <c r="L8961" s="382">
        <v>1.0</v>
      </c>
    </row>
    <row r="8962">
      <c r="A8962" s="380" t="s">
        <v>9836</v>
      </c>
      <c r="B8962" s="380" t="str">
        <f>IFERROR(__xludf.DUMMYFUNCTION("""COMPUTED_VALUE"""),"Cigueñal Motor Hino Dutropac 13411e0181")</f>
        <v>Cigueñal Motor Hino Dutropac 13411e0181</v>
      </c>
      <c r="C8962" s="380" t="str">
        <f>IFERROR(__xludf.DUMMYFUNCTION("""COMPUTED_VALUE"""),"70004382")</f>
        <v>70004382</v>
      </c>
      <c r="D8962" s="380" t="s">
        <v>767</v>
      </c>
      <c r="E8962" s="380" t="s">
        <v>786</v>
      </c>
      <c r="F8962" s="380" t="s">
        <v>787</v>
      </c>
      <c r="G8962" s="380" t="s">
        <v>1267</v>
      </c>
      <c r="H8962" s="380" t="s">
        <v>771</v>
      </c>
      <c r="I8962" s="380" t="s">
        <v>788</v>
      </c>
      <c r="J8962" s="380" t="s">
        <v>773</v>
      </c>
      <c r="K8962" s="381">
        <v>0.0</v>
      </c>
      <c r="L8962" s="382">
        <v>1.0</v>
      </c>
    </row>
    <row r="8963">
      <c r="A8963" s="380" t="s">
        <v>9837</v>
      </c>
      <c r="B8963" s="380" t="str">
        <f>IFERROR(__xludf.DUMMYFUNCTION("""COMPUTED_VALUE"""),"FILT Hidraulico Hi Internatio 2503221 C1")</f>
        <v>FILT Hidraulico Hi Internatio 2503221 C1</v>
      </c>
      <c r="C8963" s="380" t="str">
        <f>IFERROR(__xludf.DUMMYFUNCTION("""COMPUTED_VALUE"""),"70004383")</f>
        <v>70004383</v>
      </c>
      <c r="D8963" s="380" t="s">
        <v>767</v>
      </c>
      <c r="E8963" s="380" t="s">
        <v>786</v>
      </c>
      <c r="F8963" s="380" t="s">
        <v>5855</v>
      </c>
      <c r="G8963" s="380" t="s">
        <v>1267</v>
      </c>
      <c r="H8963" s="380" t="s">
        <v>771</v>
      </c>
      <c r="I8963" s="380" t="s">
        <v>788</v>
      </c>
      <c r="J8963" s="380" t="s">
        <v>773</v>
      </c>
      <c r="K8963" s="381">
        <v>93623.0</v>
      </c>
      <c r="L8963" s="382">
        <v>1.0</v>
      </c>
    </row>
    <row r="8964">
      <c r="A8964" s="380" t="s">
        <v>9838</v>
      </c>
      <c r="B8964" s="380" t="str">
        <f>IFERROR(__xludf.DUMMYFUNCTION("""COMPUTED_VALUE"""),"Biela Motor Hino Dutropack 13260e0052")</f>
        <v>Biela Motor Hino Dutropack 13260e0052</v>
      </c>
      <c r="C8964" s="380" t="str">
        <f>IFERROR(__xludf.DUMMYFUNCTION("""COMPUTED_VALUE"""),"70004384")</f>
        <v>70004384</v>
      </c>
      <c r="D8964" s="380" t="s">
        <v>767</v>
      </c>
      <c r="E8964" s="380" t="s">
        <v>786</v>
      </c>
      <c r="F8964" s="380" t="s">
        <v>787</v>
      </c>
      <c r="G8964" s="380" t="s">
        <v>1267</v>
      </c>
      <c r="H8964" s="380" t="s">
        <v>771</v>
      </c>
      <c r="I8964" s="380" t="s">
        <v>788</v>
      </c>
      <c r="J8964" s="380" t="s">
        <v>773</v>
      </c>
      <c r="K8964" s="381">
        <v>0.0</v>
      </c>
      <c r="L8964" s="382">
        <v>1.0</v>
      </c>
    </row>
    <row r="8965">
      <c r="A8965" s="380" t="s">
        <v>9839</v>
      </c>
      <c r="B8965" s="380" t="str">
        <f>IFERROR(__xludf.DUMMYFUNCTION("""COMPUTED_VALUE"""),"Lamevidrio PTA Der FT 1065 5946714846")</f>
        <v>Lamevidrio PTA Der FT 1065 5946714846</v>
      </c>
      <c r="C8965" s="380" t="str">
        <f>IFERROR(__xludf.DUMMYFUNCTION("""COMPUTED_VALUE"""),"70004385")</f>
        <v>70004385</v>
      </c>
      <c r="D8965" s="380" t="s">
        <v>767</v>
      </c>
      <c r="E8965" s="380" t="s">
        <v>786</v>
      </c>
      <c r="F8965" s="380" t="s">
        <v>792</v>
      </c>
      <c r="G8965" s="380" t="s">
        <v>1267</v>
      </c>
      <c r="H8965" s="380" t="s">
        <v>771</v>
      </c>
      <c r="I8965" s="380" t="s">
        <v>788</v>
      </c>
      <c r="J8965" s="380" t="s">
        <v>773</v>
      </c>
      <c r="K8965" s="381">
        <v>0.0</v>
      </c>
      <c r="L8965" s="382">
        <v>1.0</v>
      </c>
    </row>
    <row r="8966">
      <c r="A8966" s="380" t="s">
        <v>9840</v>
      </c>
      <c r="B8966" s="380" t="str">
        <f>IFERROR(__xludf.DUMMYFUNCTION("""COMPUTED_VALUE"""),"Vidrio Puerta Izquierda International Lt")</f>
        <v>Vidrio Puerta Izquierda International Lt</v>
      </c>
      <c r="C8966" s="380" t="str">
        <f>IFERROR(__xludf.DUMMYFUNCTION("""COMPUTED_VALUE"""),"70004386")</f>
        <v>70004386</v>
      </c>
      <c r="D8966" s="380" t="s">
        <v>767</v>
      </c>
      <c r="E8966" s="380" t="s">
        <v>786</v>
      </c>
      <c r="F8966" s="380" t="s">
        <v>792</v>
      </c>
      <c r="G8966" s="380" t="s">
        <v>1267</v>
      </c>
      <c r="H8966" s="380" t="s">
        <v>771</v>
      </c>
      <c r="I8966" s="380" t="s">
        <v>788</v>
      </c>
      <c r="J8966" s="380" t="s">
        <v>773</v>
      </c>
      <c r="K8966" s="381">
        <v>0.0</v>
      </c>
      <c r="L8966" s="382">
        <v>1.0</v>
      </c>
    </row>
    <row r="8967">
      <c r="A8967" s="380" t="s">
        <v>9841</v>
      </c>
      <c r="B8967" s="380" t="str">
        <f>IFERROR(__xludf.DUMMYFUNCTION("""COMPUTED_VALUE"""),"Seguro Puerta Der Foton 1039 5946331401")</f>
        <v>Seguro Puerta Der Foton 1039 5946331401</v>
      </c>
      <c r="C8967" s="380" t="str">
        <f>IFERROR(__xludf.DUMMYFUNCTION("""COMPUTED_VALUE"""),"70004387")</f>
        <v>70004387</v>
      </c>
      <c r="D8967" s="380" t="s">
        <v>767</v>
      </c>
      <c r="E8967" s="380" t="s">
        <v>786</v>
      </c>
      <c r="F8967" s="380" t="s">
        <v>792</v>
      </c>
      <c r="G8967" s="380" t="s">
        <v>1267</v>
      </c>
      <c r="H8967" s="380" t="s">
        <v>771</v>
      </c>
      <c r="I8967" s="380" t="s">
        <v>788</v>
      </c>
      <c r="J8967" s="380" t="s">
        <v>773</v>
      </c>
      <c r="K8967" s="381">
        <v>0.0</v>
      </c>
      <c r="L8967" s="382">
        <v>1.0</v>
      </c>
    </row>
    <row r="8968">
      <c r="A8968" s="380" t="s">
        <v>9842</v>
      </c>
      <c r="B8968" s="380" t="str">
        <f>IFERROR(__xludf.DUMMYFUNCTION("""COMPUTED_VALUE"""),"Cilindro Puerta Prostar 2506723c91")</f>
        <v>Cilindro Puerta Prostar 2506723c91</v>
      </c>
      <c r="C8968" s="380" t="str">
        <f>IFERROR(__xludf.DUMMYFUNCTION("""COMPUTED_VALUE"""),"70004388")</f>
        <v>70004388</v>
      </c>
      <c r="D8968" s="380" t="s">
        <v>767</v>
      </c>
      <c r="E8968" s="380" t="s">
        <v>786</v>
      </c>
      <c r="F8968" s="380" t="s">
        <v>792</v>
      </c>
      <c r="G8968" s="380" t="s">
        <v>1267</v>
      </c>
      <c r="H8968" s="380" t="s">
        <v>771</v>
      </c>
      <c r="I8968" s="380" t="s">
        <v>788</v>
      </c>
      <c r="J8968" s="380" t="s">
        <v>773</v>
      </c>
      <c r="K8968" s="381">
        <v>0.0</v>
      </c>
      <c r="L8968" s="382">
        <v>1.0</v>
      </c>
    </row>
    <row r="8969">
      <c r="A8969" s="380" t="s">
        <v>9843</v>
      </c>
      <c r="B8969" s="380" t="str">
        <f>IFERROR(__xludf.DUMMYFUNCTION("""COMPUTED_VALUE"""),"Polea Tensora Ac Isx Prostar 3689465")</f>
        <v>Polea Tensora Ac Isx Prostar 3689465</v>
      </c>
      <c r="C8969" s="380" t="str">
        <f>IFERROR(__xludf.DUMMYFUNCTION("""COMPUTED_VALUE"""),"70004389")</f>
        <v>70004389</v>
      </c>
      <c r="D8969" s="380" t="s">
        <v>767</v>
      </c>
      <c r="E8969" s="380" t="s">
        <v>786</v>
      </c>
      <c r="F8969" s="380" t="s">
        <v>787</v>
      </c>
      <c r="G8969" s="380" t="s">
        <v>1267</v>
      </c>
      <c r="H8969" s="380" t="s">
        <v>771</v>
      </c>
      <c r="I8969" s="380" t="s">
        <v>788</v>
      </c>
      <c r="J8969" s="380" t="s">
        <v>773</v>
      </c>
      <c r="K8969" s="381">
        <v>0.0</v>
      </c>
      <c r="L8969" s="382">
        <v>1.0</v>
      </c>
    </row>
    <row r="8970">
      <c r="A8970" s="380" t="s">
        <v>9844</v>
      </c>
      <c r="B8970" s="380" t="str">
        <f>IFERROR(__xludf.DUMMYFUNCTION("""COMPUTED_VALUE"""),"Deflector Radiador Izq Lt 4059848c93")</f>
        <v>Deflector Radiador Izq Lt 4059848c93</v>
      </c>
      <c r="C8970" s="380" t="str">
        <f>IFERROR(__xludf.DUMMYFUNCTION("""COMPUTED_VALUE"""),"70004390")</f>
        <v>70004390</v>
      </c>
      <c r="D8970" s="380" t="s">
        <v>767</v>
      </c>
      <c r="E8970" s="380" t="s">
        <v>786</v>
      </c>
      <c r="F8970" s="380" t="s">
        <v>787</v>
      </c>
      <c r="G8970" s="380" t="s">
        <v>1267</v>
      </c>
      <c r="H8970" s="380" t="s">
        <v>771</v>
      </c>
      <c r="I8970" s="380" t="s">
        <v>788</v>
      </c>
      <c r="J8970" s="380" t="s">
        <v>773</v>
      </c>
      <c r="K8970" s="381">
        <v>0.0</v>
      </c>
      <c r="L8970" s="382">
        <v>1.0</v>
      </c>
    </row>
    <row r="8971">
      <c r="A8971" s="380" t="s">
        <v>9845</v>
      </c>
      <c r="B8971" s="380" t="str">
        <f>IFERROR(__xludf.DUMMYFUNCTION("""COMPUTED_VALUE"""),"Rodamiento Caucho Cardan HN D 3720137020")</f>
        <v>Rodamiento Caucho Cardan HN D 3720137020</v>
      </c>
      <c r="C8971" s="380" t="str">
        <f>IFERROR(__xludf.DUMMYFUNCTION("""COMPUTED_VALUE"""),"70004391")</f>
        <v>70004391</v>
      </c>
      <c r="D8971" s="380" t="s">
        <v>767</v>
      </c>
      <c r="E8971" s="380" t="s">
        <v>786</v>
      </c>
      <c r="F8971" s="380" t="s">
        <v>5683</v>
      </c>
      <c r="G8971" s="380" t="s">
        <v>1267</v>
      </c>
      <c r="H8971" s="380" t="s">
        <v>771</v>
      </c>
      <c r="I8971" s="380" t="s">
        <v>788</v>
      </c>
      <c r="J8971" s="380" t="s">
        <v>773</v>
      </c>
      <c r="K8971" s="381">
        <v>0.0</v>
      </c>
      <c r="L8971" s="382">
        <v>1.0</v>
      </c>
    </row>
    <row r="8972">
      <c r="A8972" s="380" t="s">
        <v>9846</v>
      </c>
      <c r="B8972" s="380" t="str">
        <f>IFERROR(__xludf.DUMMYFUNCTION("""COMPUTED_VALUE"""),"Deflector Radiador Der Lt 4059849c93")</f>
        <v>Deflector Radiador Der Lt 4059849c93</v>
      </c>
      <c r="C8972" s="380" t="str">
        <f>IFERROR(__xludf.DUMMYFUNCTION("""COMPUTED_VALUE"""),"70004392")</f>
        <v>70004392</v>
      </c>
      <c r="D8972" s="380" t="s">
        <v>767</v>
      </c>
      <c r="E8972" s="380" t="s">
        <v>786</v>
      </c>
      <c r="F8972" s="380" t="s">
        <v>787</v>
      </c>
      <c r="G8972" s="380" t="s">
        <v>1267</v>
      </c>
      <c r="H8972" s="380" t="s">
        <v>771</v>
      </c>
      <c r="I8972" s="380" t="s">
        <v>788</v>
      </c>
      <c r="J8972" s="380" t="s">
        <v>773</v>
      </c>
      <c r="K8972" s="381">
        <v>0.0</v>
      </c>
      <c r="L8972" s="382">
        <v>1.0</v>
      </c>
    </row>
    <row r="8973">
      <c r="A8973" s="380" t="s">
        <v>9847</v>
      </c>
      <c r="B8973" s="380" t="str">
        <f>IFERROR(__xludf.DUMMYFUNCTION("""COMPUTED_VALUE"""),"Hoja Z Suspension Trasera Mack 4000-5694")</f>
        <v>Hoja Z Suspension Trasera Mack 4000-5694</v>
      </c>
      <c r="C8973" s="380" t="str">
        <f>IFERROR(__xludf.DUMMYFUNCTION("""COMPUTED_VALUE"""),"70004393")</f>
        <v>70004393</v>
      </c>
      <c r="D8973" s="380" t="s">
        <v>767</v>
      </c>
      <c r="E8973" s="380" t="s">
        <v>786</v>
      </c>
      <c r="F8973" s="380" t="s">
        <v>1039</v>
      </c>
      <c r="G8973" s="380" t="s">
        <v>1267</v>
      </c>
      <c r="H8973" s="380" t="s">
        <v>771</v>
      </c>
      <c r="I8973" s="380" t="s">
        <v>788</v>
      </c>
      <c r="J8973" s="380" t="s">
        <v>773</v>
      </c>
      <c r="K8973" s="381">
        <v>0.0</v>
      </c>
      <c r="L8973" s="382">
        <v>1.0</v>
      </c>
    </row>
    <row r="8974">
      <c r="A8974" s="380" t="s">
        <v>9848</v>
      </c>
      <c r="B8974" s="380" t="str">
        <f>IFERROR(__xludf.DUMMYFUNCTION("""COMPUTED_VALUE"""),"Filtro Agua Kentwort Fleetguard Wf 2127")</f>
        <v>Filtro Agua Kentwort Fleetguard Wf 2127</v>
      </c>
      <c r="C8974" s="380" t="str">
        <f>IFERROR(__xludf.DUMMYFUNCTION("""COMPUTED_VALUE"""),"70004394")</f>
        <v>70004394</v>
      </c>
      <c r="D8974" s="380" t="s">
        <v>767</v>
      </c>
      <c r="E8974" s="380" t="s">
        <v>786</v>
      </c>
      <c r="F8974" s="380" t="s">
        <v>5855</v>
      </c>
      <c r="G8974" s="380" t="s">
        <v>1267</v>
      </c>
      <c r="H8974" s="380" t="s">
        <v>771</v>
      </c>
      <c r="I8974" s="380" t="s">
        <v>788</v>
      </c>
      <c r="J8974" s="380" t="s">
        <v>773</v>
      </c>
      <c r="K8974" s="381">
        <v>80630.0</v>
      </c>
      <c r="L8974" s="382">
        <v>1.0</v>
      </c>
    </row>
    <row r="8975">
      <c r="A8975" s="380" t="s">
        <v>9849</v>
      </c>
      <c r="B8975" s="380" t="str">
        <f>IFERROR(__xludf.DUMMYFUNCTION("""COMPUTED_VALUE"""),"Compresor Aire AC Foton FRR 5946781435")</f>
        <v>Compresor Aire AC Foton FRR 5946781435</v>
      </c>
      <c r="C8975" s="380" t="str">
        <f>IFERROR(__xludf.DUMMYFUNCTION("""COMPUTED_VALUE"""),"70004395")</f>
        <v>70004395</v>
      </c>
      <c r="D8975" s="380" t="s">
        <v>767</v>
      </c>
      <c r="E8975" s="380" t="s">
        <v>786</v>
      </c>
      <c r="F8975" s="380" t="s">
        <v>1031</v>
      </c>
      <c r="G8975" s="380" t="s">
        <v>1267</v>
      </c>
      <c r="H8975" s="380" t="s">
        <v>771</v>
      </c>
      <c r="I8975" s="380" t="s">
        <v>788</v>
      </c>
      <c r="J8975" s="380" t="s">
        <v>773</v>
      </c>
      <c r="K8975" s="381">
        <v>0.0</v>
      </c>
      <c r="L8975" s="382">
        <v>1.0</v>
      </c>
    </row>
    <row r="8976">
      <c r="A8976" s="380" t="s">
        <v>9850</v>
      </c>
      <c r="B8976" s="380" t="str">
        <f>IFERROR(__xludf.DUMMYFUNCTION("""COMPUTED_VALUE"""),"MOT Agua Limpiabrisas HN Dutr 8531090b00")</f>
        <v>MOT Agua Limpiabrisas HN Dutr 8531090b00</v>
      </c>
      <c r="C8976" s="380" t="str">
        <f>IFERROR(__xludf.DUMMYFUNCTION("""COMPUTED_VALUE"""),"70004396")</f>
        <v>70004396</v>
      </c>
      <c r="D8976" s="380" t="s">
        <v>767</v>
      </c>
      <c r="E8976" s="380" t="s">
        <v>786</v>
      </c>
      <c r="F8976" s="380" t="s">
        <v>787</v>
      </c>
      <c r="G8976" s="380" t="s">
        <v>1267</v>
      </c>
      <c r="H8976" s="380" t="s">
        <v>771</v>
      </c>
      <c r="I8976" s="380" t="s">
        <v>788</v>
      </c>
      <c r="J8976" s="380" t="s">
        <v>773</v>
      </c>
      <c r="K8976" s="381">
        <v>0.0</v>
      </c>
      <c r="L8976" s="382">
        <v>1.0</v>
      </c>
    </row>
    <row r="8977">
      <c r="A8977" s="380" t="s">
        <v>9851</v>
      </c>
      <c r="B8977" s="380" t="str">
        <f>IFERROR(__xludf.DUMMYFUNCTION("""COMPUTED_VALUE"""),"Disco Embrague Foton 1128 5946784245")</f>
        <v>Disco Embrague Foton 1128 5946784245</v>
      </c>
      <c r="C8977" s="380" t="str">
        <f>IFERROR(__xludf.DUMMYFUNCTION("""COMPUTED_VALUE"""),"70004397")</f>
        <v>70004397</v>
      </c>
      <c r="D8977" s="380" t="s">
        <v>767</v>
      </c>
      <c r="E8977" s="380" t="s">
        <v>786</v>
      </c>
      <c r="F8977" s="380" t="s">
        <v>5661</v>
      </c>
      <c r="G8977" s="380" t="s">
        <v>1267</v>
      </c>
      <c r="H8977" s="380" t="s">
        <v>771</v>
      </c>
      <c r="I8977" s="380" t="s">
        <v>788</v>
      </c>
      <c r="J8977" s="380" t="s">
        <v>773</v>
      </c>
      <c r="K8977" s="381">
        <v>1962079.0</v>
      </c>
      <c r="L8977" s="382">
        <v>1.0</v>
      </c>
    </row>
    <row r="8978">
      <c r="A8978" s="380" t="s">
        <v>9852</v>
      </c>
      <c r="B8978" s="380" t="str">
        <f>IFERROR(__xludf.DUMMYFUNCTION("""COMPUTED_VALUE"""),"Balinera Embrague Foton 1128 1023481601")</f>
        <v>Balinera Embrague Foton 1128 1023481601</v>
      </c>
      <c r="C8978" s="380" t="str">
        <f>IFERROR(__xludf.DUMMYFUNCTION("""COMPUTED_VALUE"""),"70004398")</f>
        <v>70004398</v>
      </c>
      <c r="D8978" s="380" t="s">
        <v>767</v>
      </c>
      <c r="E8978" s="380" t="s">
        <v>786</v>
      </c>
      <c r="F8978" s="380" t="s">
        <v>5661</v>
      </c>
      <c r="G8978" s="380" t="s">
        <v>1267</v>
      </c>
      <c r="H8978" s="380" t="s">
        <v>771</v>
      </c>
      <c r="I8978" s="380" t="s">
        <v>788</v>
      </c>
      <c r="J8978" s="380" t="s">
        <v>773</v>
      </c>
      <c r="K8978" s="381">
        <v>916959.0</v>
      </c>
      <c r="L8978" s="382">
        <v>1.0</v>
      </c>
    </row>
    <row r="8979">
      <c r="A8979" s="380" t="s">
        <v>9853</v>
      </c>
      <c r="B8979" s="380" t="str">
        <f>IFERROR(__xludf.DUMMYFUNCTION("""COMPUTED_VALUE"""),"Disyuntor Luces 5 Patas 12v INT Lt 871-1")</f>
        <v>Disyuntor Luces 5 Patas 12v INT Lt 871-1</v>
      </c>
      <c r="C8979" s="380" t="str">
        <f>IFERROR(__xludf.DUMMYFUNCTION("""COMPUTED_VALUE"""),"70004399")</f>
        <v>70004399</v>
      </c>
      <c r="D8979" s="380" t="s">
        <v>767</v>
      </c>
      <c r="E8979" s="380" t="s">
        <v>786</v>
      </c>
      <c r="F8979" s="380" t="s">
        <v>998</v>
      </c>
      <c r="G8979" s="380" t="s">
        <v>1267</v>
      </c>
      <c r="H8979" s="380" t="s">
        <v>771</v>
      </c>
      <c r="I8979" s="380" t="s">
        <v>788</v>
      </c>
      <c r="J8979" s="380" t="s">
        <v>773</v>
      </c>
      <c r="K8979" s="381">
        <v>14272.0</v>
      </c>
      <c r="L8979" s="382">
        <v>1.0</v>
      </c>
    </row>
    <row r="8980">
      <c r="A8980" s="380" t="s">
        <v>9854</v>
      </c>
      <c r="B8980" s="380" t="str">
        <f>IFERROR(__xludf.DUMMYFUNCTION("""COMPUTED_VALUE"""),"Lamevidrio PTA Der Jac 1120 6103205le0")</f>
        <v>Lamevidrio PTA Der Jac 1120 6103205le0</v>
      </c>
      <c r="C8980" s="380" t="str">
        <f>IFERROR(__xludf.DUMMYFUNCTION("""COMPUTED_VALUE"""),"70004400")</f>
        <v>70004400</v>
      </c>
      <c r="D8980" s="380" t="s">
        <v>767</v>
      </c>
      <c r="E8980" s="380" t="s">
        <v>786</v>
      </c>
      <c r="F8980" s="380" t="s">
        <v>792</v>
      </c>
      <c r="G8980" s="380" t="s">
        <v>1267</v>
      </c>
      <c r="H8980" s="380" t="s">
        <v>771</v>
      </c>
      <c r="I8980" s="380" t="s">
        <v>788</v>
      </c>
      <c r="J8980" s="380" t="s">
        <v>773</v>
      </c>
      <c r="K8980" s="381">
        <v>0.0</v>
      </c>
      <c r="L8980" s="382">
        <v>1.0</v>
      </c>
    </row>
    <row r="8981">
      <c r="A8981" s="380" t="s">
        <v>9855</v>
      </c>
      <c r="B8981" s="380" t="str">
        <f>IFERROR(__xludf.DUMMYFUNCTION("""COMPUTED_VALUE"""),"Alternador 35si 12v/140amp (J180) Dra860")</f>
        <v>Alternador 35si 12v/140amp (J180) Dra860</v>
      </c>
      <c r="C8981" s="380" t="str">
        <f>IFERROR(__xludf.DUMMYFUNCTION("""COMPUTED_VALUE"""),"70004401")</f>
        <v>70004401</v>
      </c>
      <c r="D8981" s="380" t="s">
        <v>767</v>
      </c>
      <c r="E8981" s="380" t="s">
        <v>786</v>
      </c>
      <c r="F8981" s="380" t="s">
        <v>998</v>
      </c>
      <c r="G8981" s="380" t="s">
        <v>1267</v>
      </c>
      <c r="H8981" s="380" t="s">
        <v>771</v>
      </c>
      <c r="I8981" s="380" t="s">
        <v>788</v>
      </c>
      <c r="J8981" s="380" t="s">
        <v>773</v>
      </c>
      <c r="K8981" s="381">
        <v>0.0</v>
      </c>
      <c r="L8981" s="382">
        <v>1.0</v>
      </c>
    </row>
    <row r="8982">
      <c r="A8982" s="380" t="s">
        <v>9856</v>
      </c>
      <c r="B8982" s="380" t="str">
        <f>IFERROR(__xludf.DUMMYFUNCTION("""COMPUTED_VALUE"""),"SENS Velocidad FT 1039 7705946304979")</f>
        <v>SENS Velocidad FT 1039 7705946304979</v>
      </c>
      <c r="C8982" s="380" t="str">
        <f>IFERROR(__xludf.DUMMYFUNCTION("""COMPUTED_VALUE"""),"70004402")</f>
        <v>70004402</v>
      </c>
      <c r="D8982" s="380" t="s">
        <v>767</v>
      </c>
      <c r="E8982" s="380" t="s">
        <v>786</v>
      </c>
      <c r="F8982" s="380" t="s">
        <v>998</v>
      </c>
      <c r="G8982" s="380" t="s">
        <v>1267</v>
      </c>
      <c r="H8982" s="380" t="s">
        <v>771</v>
      </c>
      <c r="I8982" s="380" t="s">
        <v>788</v>
      </c>
      <c r="J8982" s="380" t="s">
        <v>773</v>
      </c>
      <c r="K8982" s="381">
        <v>0.0</v>
      </c>
      <c r="L8982" s="382">
        <v>1.0</v>
      </c>
    </row>
    <row r="8983">
      <c r="A8983" s="380" t="s">
        <v>9857</v>
      </c>
      <c r="B8983" s="380" t="str">
        <f>IFERROR(__xludf.DUMMYFUNCTION("""COMPUTED_VALUE"""),"Lamevidrio PTA Izq Jac 1120 6103105le0")</f>
        <v>Lamevidrio PTA Izq Jac 1120 6103105le0</v>
      </c>
      <c r="C8983" s="380" t="str">
        <f>IFERROR(__xludf.DUMMYFUNCTION("""COMPUTED_VALUE"""),"70004403")</f>
        <v>70004403</v>
      </c>
      <c r="D8983" s="380" t="s">
        <v>767</v>
      </c>
      <c r="E8983" s="380" t="s">
        <v>786</v>
      </c>
      <c r="F8983" s="380" t="s">
        <v>792</v>
      </c>
      <c r="G8983" s="380" t="s">
        <v>1267</v>
      </c>
      <c r="H8983" s="380" t="s">
        <v>771</v>
      </c>
      <c r="I8983" s="380" t="s">
        <v>788</v>
      </c>
      <c r="J8983" s="380" t="s">
        <v>773</v>
      </c>
      <c r="K8983" s="381">
        <v>0.0</v>
      </c>
      <c r="L8983" s="382">
        <v>1.0</v>
      </c>
    </row>
    <row r="8984">
      <c r="A8984" s="380" t="s">
        <v>9858</v>
      </c>
      <c r="B8984" s="380" t="str">
        <f>IFERROR(__xludf.DUMMYFUNCTION("""COMPUTED_VALUE"""),"Hoja Segunda Resorte MUE Tras H 54-027/2")</f>
        <v>Hoja Segunda Resorte MUE Tras H 54-027/2</v>
      </c>
      <c r="C8984" s="380" t="str">
        <f>IFERROR(__xludf.DUMMYFUNCTION("""COMPUTED_VALUE"""),"70004404")</f>
        <v>70004404</v>
      </c>
      <c r="D8984" s="380" t="s">
        <v>767</v>
      </c>
      <c r="E8984" s="380" t="s">
        <v>786</v>
      </c>
      <c r="F8984" s="380" t="s">
        <v>1039</v>
      </c>
      <c r="G8984" s="380" t="s">
        <v>1267</v>
      </c>
      <c r="H8984" s="380" t="s">
        <v>771</v>
      </c>
      <c r="I8984" s="380" t="s">
        <v>788</v>
      </c>
      <c r="J8984" s="380" t="s">
        <v>773</v>
      </c>
      <c r="K8984" s="381">
        <v>0.0</v>
      </c>
      <c r="L8984" s="382">
        <v>1.0</v>
      </c>
    </row>
    <row r="8985">
      <c r="A8985" s="380" t="s">
        <v>9859</v>
      </c>
      <c r="B8985" s="380" t="str">
        <f>IFERROR(__xludf.DUMMYFUNCTION("""COMPUTED_VALUE"""),"Hoja Principal Resorte MUE Tras 54-027/1")</f>
        <v>Hoja Principal Resorte MUE Tras 54-027/1</v>
      </c>
      <c r="C8985" s="380" t="str">
        <f>IFERROR(__xludf.DUMMYFUNCTION("""COMPUTED_VALUE"""),"70004405")</f>
        <v>70004405</v>
      </c>
      <c r="D8985" s="380" t="s">
        <v>767</v>
      </c>
      <c r="E8985" s="380" t="s">
        <v>786</v>
      </c>
      <c r="F8985" s="380" t="s">
        <v>1039</v>
      </c>
      <c r="G8985" s="380" t="s">
        <v>1267</v>
      </c>
      <c r="H8985" s="380" t="s">
        <v>771</v>
      </c>
      <c r="I8985" s="380" t="s">
        <v>788</v>
      </c>
      <c r="J8985" s="380" t="s">
        <v>773</v>
      </c>
      <c r="K8985" s="381">
        <v>0.0</v>
      </c>
      <c r="L8985" s="382">
        <v>1.0</v>
      </c>
    </row>
    <row r="8986">
      <c r="A8986" s="380" t="s">
        <v>9860</v>
      </c>
      <c r="B8986" s="380" t="str">
        <f>IFERROR(__xludf.DUMMYFUNCTION("""COMPUTED_VALUE"""),"Tornillo Central Resorte MUE HN 500 1/2")</f>
        <v>Tornillo Central Resorte MUE HN 500 1/2</v>
      </c>
      <c r="C8986" s="380" t="str">
        <f>IFERROR(__xludf.DUMMYFUNCTION("""COMPUTED_VALUE"""),"70004406")</f>
        <v>70004406</v>
      </c>
      <c r="D8986" s="380" t="s">
        <v>767</v>
      </c>
      <c r="E8986" s="380" t="s">
        <v>786</v>
      </c>
      <c r="F8986" s="380" t="s">
        <v>1039</v>
      </c>
      <c r="G8986" s="380" t="s">
        <v>1267</v>
      </c>
      <c r="H8986" s="380" t="s">
        <v>771</v>
      </c>
      <c r="I8986" s="380" t="s">
        <v>788</v>
      </c>
      <c r="J8986" s="380" t="s">
        <v>773</v>
      </c>
      <c r="K8986" s="381">
        <v>0.0</v>
      </c>
      <c r="L8986" s="382">
        <v>1.0</v>
      </c>
    </row>
    <row r="8987">
      <c r="A8987" s="380" t="s">
        <v>9861</v>
      </c>
      <c r="B8987" s="380" t="str">
        <f>IFERROR(__xludf.DUMMYFUNCTION("""COMPUTED_VALUE"""),"PTA TRAS IZQ REN 7751477911")</f>
        <v>PTA TRAS IZQ REN 7751477911</v>
      </c>
      <c r="C8987" s="380" t="str">
        <f>IFERROR(__xludf.DUMMYFUNCTION("""COMPUTED_VALUE"""),"70004407")</f>
        <v>70004407</v>
      </c>
      <c r="D8987" s="380" t="s">
        <v>767</v>
      </c>
      <c r="E8987" s="380" t="s">
        <v>786</v>
      </c>
      <c r="F8987" s="380" t="s">
        <v>792</v>
      </c>
      <c r="G8987" s="380" t="s">
        <v>1267</v>
      </c>
      <c r="H8987" s="380" t="s">
        <v>771</v>
      </c>
      <c r="I8987" s="380" t="s">
        <v>788</v>
      </c>
      <c r="J8987" s="380" t="s">
        <v>773</v>
      </c>
      <c r="K8987" s="381">
        <v>0.0</v>
      </c>
      <c r="L8987" s="382">
        <v>1.0</v>
      </c>
    </row>
    <row r="8988">
      <c r="A8988" s="380" t="s">
        <v>9862</v>
      </c>
      <c r="B8988" s="380" t="str">
        <f>IFERROR(__xludf.DUMMYFUNCTION("""COMPUTED_VALUE"""),"Barra Tensora Pequeña Prostar 3581266c2")</f>
        <v>Barra Tensora Pequeña Prostar 3581266c2</v>
      </c>
      <c r="C8988" s="380" t="str">
        <f>IFERROR(__xludf.DUMMYFUNCTION("""COMPUTED_VALUE"""),"70004408")</f>
        <v>70004408</v>
      </c>
      <c r="D8988" s="380" t="s">
        <v>767</v>
      </c>
      <c r="E8988" s="380" t="s">
        <v>786</v>
      </c>
      <c r="F8988" s="380" t="s">
        <v>1039</v>
      </c>
      <c r="G8988" s="380" t="s">
        <v>1267</v>
      </c>
      <c r="H8988" s="380" t="s">
        <v>771</v>
      </c>
      <c r="I8988" s="380" t="s">
        <v>788</v>
      </c>
      <c r="J8988" s="380" t="s">
        <v>773</v>
      </c>
      <c r="K8988" s="381">
        <v>0.0</v>
      </c>
      <c r="L8988" s="382">
        <v>1.0</v>
      </c>
    </row>
    <row r="8989">
      <c r="A8989" s="380" t="s">
        <v>9863</v>
      </c>
      <c r="B8989" s="380" t="str">
        <f>IFERROR(__xludf.DUMMYFUNCTION("""COMPUTED_VALUE"""),"PTA TRAS DER REN 7751477915")</f>
        <v>PTA TRAS DER REN 7751477915</v>
      </c>
      <c r="C8989" s="380" t="str">
        <f>IFERROR(__xludf.DUMMYFUNCTION("""COMPUTED_VALUE"""),"70004409")</f>
        <v>70004409</v>
      </c>
      <c r="D8989" s="380" t="s">
        <v>767</v>
      </c>
      <c r="E8989" s="380" t="s">
        <v>786</v>
      </c>
      <c r="F8989" s="380" t="s">
        <v>792</v>
      </c>
      <c r="G8989" s="380" t="s">
        <v>1267</v>
      </c>
      <c r="H8989" s="380" t="s">
        <v>771</v>
      </c>
      <c r="I8989" s="380" t="s">
        <v>788</v>
      </c>
      <c r="J8989" s="380" t="s">
        <v>773</v>
      </c>
      <c r="K8989" s="381">
        <v>0.0</v>
      </c>
      <c r="L8989" s="382">
        <v>1.0</v>
      </c>
    </row>
    <row r="8990">
      <c r="A8990" s="380" t="s">
        <v>9864</v>
      </c>
      <c r="B8990" s="380" t="str">
        <f>IFERROR(__xludf.DUMMYFUNCTION("""COMPUTED_VALUE"""),"Correa VENT MOT MCK Anthem 23961839")</f>
        <v>Correa VENT MOT MCK Anthem 23961839</v>
      </c>
      <c r="C8990" s="380" t="str">
        <f>IFERROR(__xludf.DUMMYFUNCTION("""COMPUTED_VALUE"""),"70004410")</f>
        <v>70004410</v>
      </c>
      <c r="D8990" s="380" t="s">
        <v>767</v>
      </c>
      <c r="E8990" s="380" t="s">
        <v>786</v>
      </c>
      <c r="F8990" s="380" t="s">
        <v>787</v>
      </c>
      <c r="G8990" s="380" t="s">
        <v>1267</v>
      </c>
      <c r="H8990" s="380" t="s">
        <v>771</v>
      </c>
      <c r="I8990" s="380" t="s">
        <v>788</v>
      </c>
      <c r="J8990" s="380" t="s">
        <v>773</v>
      </c>
      <c r="K8990" s="381">
        <v>0.0</v>
      </c>
      <c r="L8990" s="382">
        <v>1.0</v>
      </c>
    </row>
    <row r="8991">
      <c r="A8991" s="380" t="s">
        <v>9865</v>
      </c>
      <c r="B8991" s="380" t="str">
        <f>IFERROR(__xludf.DUMMYFUNCTION("""COMPUTED_VALUE"""),"Tapa Caja Bateria Prostar 3626455c91")</f>
        <v>Tapa Caja Bateria Prostar 3626455c91</v>
      </c>
      <c r="C8991" s="380" t="str">
        <f>IFERROR(__xludf.DUMMYFUNCTION("""COMPUTED_VALUE"""),"70004411")</f>
        <v>70004411</v>
      </c>
      <c r="D8991" s="380" t="s">
        <v>767</v>
      </c>
      <c r="E8991" s="380" t="s">
        <v>786</v>
      </c>
      <c r="F8991" s="380" t="s">
        <v>792</v>
      </c>
      <c r="G8991" s="380" t="s">
        <v>1267</v>
      </c>
      <c r="H8991" s="380" t="s">
        <v>771</v>
      </c>
      <c r="I8991" s="380" t="s">
        <v>788</v>
      </c>
      <c r="J8991" s="380" t="s">
        <v>773</v>
      </c>
      <c r="K8991" s="381">
        <v>0.0</v>
      </c>
      <c r="L8991" s="382">
        <v>1.0</v>
      </c>
    </row>
    <row r="8992">
      <c r="A8992" s="380" t="s">
        <v>9866</v>
      </c>
      <c r="B8992" s="380" t="str">
        <f>IFERROR(__xludf.DUMMYFUNCTION("""COMPUTED_VALUE"""),"Grapa Resorte MUE TRAS HN 500 12"" X 11")</f>
        <v>Grapa Resorte MUE TRAS HN 500 12" X 11</v>
      </c>
      <c r="C8992" s="380" t="str">
        <f>IFERROR(__xludf.DUMMYFUNCTION("""COMPUTED_VALUE"""),"70004412")</f>
        <v>70004412</v>
      </c>
      <c r="D8992" s="380" t="s">
        <v>767</v>
      </c>
      <c r="E8992" s="380" t="s">
        <v>786</v>
      </c>
      <c r="F8992" s="380" t="s">
        <v>1039</v>
      </c>
      <c r="G8992" s="380" t="s">
        <v>1267</v>
      </c>
      <c r="H8992" s="380" t="s">
        <v>771</v>
      </c>
      <c r="I8992" s="380" t="s">
        <v>788</v>
      </c>
      <c r="J8992" s="380" t="s">
        <v>773</v>
      </c>
      <c r="K8992" s="381">
        <v>0.0</v>
      </c>
      <c r="L8992" s="382">
        <v>1.0</v>
      </c>
    </row>
    <row r="8993">
      <c r="A8993" s="380" t="s">
        <v>9867</v>
      </c>
      <c r="B8993" s="380" t="str">
        <f>IFERROR(__xludf.DUMMYFUNCTION("""COMPUTED_VALUE"""),"Emblema Tapa Cabrilla Nkr Rw 8974059870")</f>
        <v>Emblema Tapa Cabrilla Nkr Rw 8974059870</v>
      </c>
      <c r="C8993" s="380" t="str">
        <f>IFERROR(__xludf.DUMMYFUNCTION("""COMPUTED_VALUE"""),"70004413")</f>
        <v>70004413</v>
      </c>
      <c r="D8993" s="380" t="s">
        <v>767</v>
      </c>
      <c r="E8993" s="380" t="s">
        <v>786</v>
      </c>
      <c r="F8993" s="380" t="s">
        <v>792</v>
      </c>
      <c r="G8993" s="380" t="s">
        <v>1267</v>
      </c>
      <c r="H8993" s="380" t="s">
        <v>771</v>
      </c>
      <c r="I8993" s="380" t="s">
        <v>788</v>
      </c>
      <c r="J8993" s="380" t="s">
        <v>773</v>
      </c>
      <c r="K8993" s="381">
        <v>0.0</v>
      </c>
      <c r="L8993" s="382">
        <v>1.0</v>
      </c>
    </row>
    <row r="8994">
      <c r="A8994" s="380" t="s">
        <v>9868</v>
      </c>
      <c r="B8994" s="380" t="str">
        <f>IFERROR(__xludf.DUMMYFUNCTION("""COMPUTED_VALUE"""),"Bombona Bombona Trailer Inca 1k19zk-5.7")</f>
        <v>Bombona Bombona Trailer Inca 1k19zk-5.7</v>
      </c>
      <c r="C8994" s="380" t="str">
        <f>IFERROR(__xludf.DUMMYFUNCTION("""COMPUTED_VALUE"""),"70004414")</f>
        <v>70004414</v>
      </c>
      <c r="D8994" s="380" t="s">
        <v>767</v>
      </c>
      <c r="E8994" s="380" t="s">
        <v>786</v>
      </c>
      <c r="F8994" s="380" t="s">
        <v>1039</v>
      </c>
      <c r="G8994" s="380" t="s">
        <v>1267</v>
      </c>
      <c r="H8994" s="380" t="s">
        <v>771</v>
      </c>
      <c r="I8994" s="380" t="s">
        <v>788</v>
      </c>
      <c r="J8994" s="380" t="s">
        <v>773</v>
      </c>
      <c r="K8994" s="381">
        <v>0.0</v>
      </c>
      <c r="L8994" s="382">
        <v>1.0</v>
      </c>
    </row>
    <row r="8995">
      <c r="A8995" s="380" t="s">
        <v>9869</v>
      </c>
      <c r="B8995" s="380" t="str">
        <f>IFERROR(__xludf.DUMMYFUNCTION("""COMPUTED_VALUE"""),"Balancin Motor Nkr 8941523440")</f>
        <v>Balancin Motor Nkr 8941523440</v>
      </c>
      <c r="C8995" s="380" t="str">
        <f>IFERROR(__xludf.DUMMYFUNCTION("""COMPUTED_VALUE"""),"70004415")</f>
        <v>70004415</v>
      </c>
      <c r="D8995" s="380" t="s">
        <v>767</v>
      </c>
      <c r="E8995" s="380" t="s">
        <v>786</v>
      </c>
      <c r="F8995" s="380" t="s">
        <v>787</v>
      </c>
      <c r="G8995" s="380" t="s">
        <v>1267</v>
      </c>
      <c r="H8995" s="380" t="s">
        <v>771</v>
      </c>
      <c r="I8995" s="380" t="s">
        <v>788</v>
      </c>
      <c r="J8995" s="380" t="s">
        <v>773</v>
      </c>
      <c r="K8995" s="381">
        <v>0.0</v>
      </c>
      <c r="L8995" s="382">
        <v>1.0</v>
      </c>
    </row>
    <row r="8996">
      <c r="A8996" s="380" t="s">
        <v>9870</v>
      </c>
      <c r="B8996" s="380" t="str">
        <f>IFERROR(__xludf.DUMMYFUNCTION("""COMPUTED_VALUE"""),"Eje Flauta Balancines Nkr 8979158330")</f>
        <v>Eje Flauta Balancines Nkr 8979158330</v>
      </c>
      <c r="C8996" s="380" t="str">
        <f>IFERROR(__xludf.DUMMYFUNCTION("""COMPUTED_VALUE"""),"70004416")</f>
        <v>70004416</v>
      </c>
      <c r="D8996" s="380" t="s">
        <v>767</v>
      </c>
      <c r="E8996" s="380" t="s">
        <v>786</v>
      </c>
      <c r="F8996" s="380" t="s">
        <v>787</v>
      </c>
      <c r="G8996" s="380" t="s">
        <v>1267</v>
      </c>
      <c r="H8996" s="380" t="s">
        <v>771</v>
      </c>
      <c r="I8996" s="380" t="s">
        <v>788</v>
      </c>
      <c r="J8996" s="380" t="s">
        <v>773</v>
      </c>
      <c r="K8996" s="381">
        <v>0.0</v>
      </c>
      <c r="L8996" s="382">
        <v>1.0</v>
      </c>
    </row>
    <row r="8997">
      <c r="A8997" s="380" t="s">
        <v>9871</v>
      </c>
      <c r="B8997" s="380" t="str">
        <f>IFERROR(__xludf.DUMMYFUNCTION("""COMPUTED_VALUE"""),"Caucho Tornillo Persiana INT L 6113408c2")</f>
        <v>Caucho Tornillo Persiana INT L 6113408c2</v>
      </c>
      <c r="C8997" s="380" t="str">
        <f>IFERROR(__xludf.DUMMYFUNCTION("""COMPUTED_VALUE"""),"70004417")</f>
        <v>70004417</v>
      </c>
      <c r="D8997" s="380" t="s">
        <v>767</v>
      </c>
      <c r="E8997" s="380" t="s">
        <v>786</v>
      </c>
      <c r="F8997" s="380" t="s">
        <v>792</v>
      </c>
      <c r="G8997" s="380" t="s">
        <v>1267</v>
      </c>
      <c r="H8997" s="380" t="s">
        <v>771</v>
      </c>
      <c r="I8997" s="380" t="s">
        <v>788</v>
      </c>
      <c r="J8997" s="380" t="s">
        <v>773</v>
      </c>
      <c r="K8997" s="381">
        <v>66676.0</v>
      </c>
      <c r="L8997" s="382">
        <v>1.0</v>
      </c>
    </row>
    <row r="8998">
      <c r="A8998" s="380" t="s">
        <v>9872</v>
      </c>
      <c r="B8998" s="380" t="str">
        <f>IFERROR(__xludf.DUMMYFUNCTION("""COMPUTED_VALUE"""),"Tapa Pito Cabrilla CH N200 24520296")</f>
        <v>Tapa Pito Cabrilla CH N200 24520296</v>
      </c>
      <c r="C8998" s="380" t="str">
        <f>IFERROR(__xludf.DUMMYFUNCTION("""COMPUTED_VALUE"""),"70004418")</f>
        <v>70004418</v>
      </c>
      <c r="D8998" s="380" t="s">
        <v>767</v>
      </c>
      <c r="E8998" s="380" t="s">
        <v>786</v>
      </c>
      <c r="F8998" s="380" t="s">
        <v>792</v>
      </c>
      <c r="G8998" s="380" t="s">
        <v>1267</v>
      </c>
      <c r="H8998" s="380" t="s">
        <v>771</v>
      </c>
      <c r="I8998" s="380" t="s">
        <v>788</v>
      </c>
      <c r="J8998" s="380" t="s">
        <v>773</v>
      </c>
      <c r="K8998" s="381">
        <v>0.0</v>
      </c>
      <c r="L8998" s="382">
        <v>1.0</v>
      </c>
    </row>
    <row r="8999">
      <c r="A8999" s="380" t="s">
        <v>9873</v>
      </c>
      <c r="B8999" s="380" t="str">
        <f>IFERROR(__xludf.DUMMYFUNCTION("""COMPUTED_VALUE"""),"Juego Splinder Hino 300 700009086")</f>
        <v>Juego Splinder Hino 300 700009086</v>
      </c>
      <c r="C8999" s="380" t="str">
        <f>IFERROR(__xludf.DUMMYFUNCTION("""COMPUTED_VALUE"""),"70004419")</f>
        <v>70004419</v>
      </c>
      <c r="D8999" s="380" t="s">
        <v>767</v>
      </c>
      <c r="E8999" s="380" t="s">
        <v>786</v>
      </c>
      <c r="F8999" s="380" t="s">
        <v>1039</v>
      </c>
      <c r="G8999" s="380" t="s">
        <v>1267</v>
      </c>
      <c r="H8999" s="380" t="s">
        <v>771</v>
      </c>
      <c r="I8999" s="380" t="s">
        <v>788</v>
      </c>
      <c r="J8999" s="380" t="s">
        <v>773</v>
      </c>
      <c r="K8999" s="381">
        <v>0.0</v>
      </c>
      <c r="L8999" s="382">
        <v>1.0</v>
      </c>
    </row>
    <row r="9000">
      <c r="A9000" s="380" t="s">
        <v>9874</v>
      </c>
      <c r="B9000" s="380" t="str">
        <f>IFERROR(__xludf.DUMMYFUNCTION("""COMPUTED_VALUE"""),"Carcasa FILT AIR MOT FT 1065 5946506113")</f>
        <v>Carcasa FILT AIR MOT FT 1065 5946506113</v>
      </c>
      <c r="C9000" s="380" t="str">
        <f>IFERROR(__xludf.DUMMYFUNCTION("""COMPUTED_VALUE"""),"70004420")</f>
        <v>70004420</v>
      </c>
      <c r="D9000" s="380" t="s">
        <v>767</v>
      </c>
      <c r="E9000" s="380" t="s">
        <v>786</v>
      </c>
      <c r="F9000" s="380" t="s">
        <v>787</v>
      </c>
      <c r="G9000" s="380" t="s">
        <v>1267</v>
      </c>
      <c r="H9000" s="380" t="s">
        <v>771</v>
      </c>
      <c r="I9000" s="380" t="s">
        <v>788</v>
      </c>
      <c r="J9000" s="380" t="s">
        <v>773</v>
      </c>
      <c r="K9000" s="381">
        <v>367441.0</v>
      </c>
      <c r="L9000" s="382">
        <v>1.0</v>
      </c>
    </row>
    <row r="9001">
      <c r="A9001" s="380" t="s">
        <v>9875</v>
      </c>
      <c r="B9001" s="380" t="str">
        <f>IFERROR(__xludf.DUMMYFUNCTION("""COMPUTED_VALUE"""),"VALV CTRL Freno Seguridad Jac 3526010le1")</f>
        <v>VALV CTRL Freno Seguridad Jac 3526010le1</v>
      </c>
      <c r="C9001" s="380" t="str">
        <f>IFERROR(__xludf.DUMMYFUNCTION("""COMPUTED_VALUE"""),"70004421")</f>
        <v>70004421</v>
      </c>
      <c r="D9001" s="380" t="s">
        <v>767</v>
      </c>
      <c r="E9001" s="380" t="s">
        <v>786</v>
      </c>
      <c r="F9001" s="380" t="s">
        <v>1017</v>
      </c>
      <c r="G9001" s="380" t="s">
        <v>1267</v>
      </c>
      <c r="H9001" s="380" t="s">
        <v>771</v>
      </c>
      <c r="I9001" s="380" t="s">
        <v>788</v>
      </c>
      <c r="J9001" s="380" t="s">
        <v>773</v>
      </c>
      <c r="K9001" s="381">
        <v>0.0</v>
      </c>
      <c r="L9001" s="382">
        <v>1.0</v>
      </c>
    </row>
    <row r="9002">
      <c r="A9002" s="380" t="s">
        <v>9876</v>
      </c>
      <c r="B9002" s="380" t="str">
        <f>IFERROR(__xludf.DUMMYFUNCTION("""COMPUTED_VALUE"""),"Motor Arranque Jac 1042 1043100fe010")</f>
        <v>Motor Arranque Jac 1042 1043100fe010</v>
      </c>
      <c r="C9002" s="380" t="str">
        <f>IFERROR(__xludf.DUMMYFUNCTION("""COMPUTED_VALUE"""),"70004422")</f>
        <v>70004422</v>
      </c>
      <c r="D9002" s="380" t="s">
        <v>767</v>
      </c>
      <c r="E9002" s="380" t="s">
        <v>786</v>
      </c>
      <c r="F9002" s="380" t="s">
        <v>998</v>
      </c>
      <c r="G9002" s="380" t="s">
        <v>1267</v>
      </c>
      <c r="H9002" s="380" t="s">
        <v>771</v>
      </c>
      <c r="I9002" s="380" t="s">
        <v>788</v>
      </c>
      <c r="J9002" s="380" t="s">
        <v>773</v>
      </c>
      <c r="K9002" s="381">
        <v>0.0</v>
      </c>
      <c r="L9002" s="382">
        <v>1.0</v>
      </c>
    </row>
    <row r="9003">
      <c r="A9003" s="380" t="s">
        <v>9877</v>
      </c>
      <c r="B9003" s="380" t="str">
        <f>IFERROR(__xludf.DUMMYFUNCTION("""COMPUTED_VALUE"""),"FILT Aceite Super Car Luberfiner Ph 2816")</f>
        <v>FILT Aceite Super Car Luberfiner Ph 2816</v>
      </c>
      <c r="C9003" s="380" t="str">
        <f>IFERROR(__xludf.DUMMYFUNCTION("""COMPUTED_VALUE"""),"70004423")</f>
        <v>70004423</v>
      </c>
      <c r="D9003" s="380" t="s">
        <v>767</v>
      </c>
      <c r="E9003" s="380" t="s">
        <v>786</v>
      </c>
      <c r="F9003" s="380" t="s">
        <v>5855</v>
      </c>
      <c r="G9003" s="380" t="s">
        <v>1267</v>
      </c>
      <c r="H9003" s="380" t="s">
        <v>771</v>
      </c>
      <c r="I9003" s="380" t="s">
        <v>788</v>
      </c>
      <c r="J9003" s="380" t="s">
        <v>773</v>
      </c>
      <c r="K9003" s="381">
        <v>39999.0</v>
      </c>
      <c r="L9003" s="382">
        <v>1.0</v>
      </c>
    </row>
    <row r="9004">
      <c r="A9004" s="380" t="s">
        <v>9878</v>
      </c>
      <c r="B9004" s="380" t="str">
        <f>IFERROR(__xludf.DUMMYFUNCTION("""COMPUTED_VALUE"""),"MOT ELEC Compresor AIR Three Trypey100l2")</f>
        <v>MOT ELEC Compresor AIR Three Trypey100l2</v>
      </c>
      <c r="C9004" s="380" t="str">
        <f>IFERROR(__xludf.DUMMYFUNCTION("""COMPUTED_VALUE"""),"70004424")</f>
        <v>70004424</v>
      </c>
      <c r="D9004" s="380" t="s">
        <v>767</v>
      </c>
      <c r="E9004" s="380" t="s">
        <v>786</v>
      </c>
      <c r="F9004" s="380" t="s">
        <v>998</v>
      </c>
      <c r="G9004" s="380" t="s">
        <v>1267</v>
      </c>
      <c r="H9004" s="380" t="s">
        <v>771</v>
      </c>
      <c r="I9004" s="380" t="s">
        <v>788</v>
      </c>
      <c r="J9004" s="380" t="s">
        <v>773</v>
      </c>
      <c r="K9004" s="381">
        <v>0.0</v>
      </c>
      <c r="L9004" s="382">
        <v>1.0</v>
      </c>
    </row>
    <row r="9005">
      <c r="A9005" s="380" t="s">
        <v>9879</v>
      </c>
      <c r="B9005" s="380" t="str">
        <f>IFERROR(__xludf.DUMMYFUNCTION("""COMPUTED_VALUE"""),"Tee Suministro COMB EGL 3559587c1")</f>
        <v>Tee Suministro COMB EGL 3559587c1</v>
      </c>
      <c r="C9005" s="380" t="str">
        <f>IFERROR(__xludf.DUMMYFUNCTION("""COMPUTED_VALUE"""),"70004425")</f>
        <v>70004425</v>
      </c>
      <c r="D9005" s="380" t="s">
        <v>767</v>
      </c>
      <c r="E9005" s="380" t="s">
        <v>786</v>
      </c>
      <c r="F9005" s="380" t="s">
        <v>787</v>
      </c>
      <c r="G9005" s="380" t="s">
        <v>1267</v>
      </c>
      <c r="H9005" s="380" t="s">
        <v>771</v>
      </c>
      <c r="I9005" s="380" t="s">
        <v>788</v>
      </c>
      <c r="J9005" s="380" t="s">
        <v>773</v>
      </c>
      <c r="K9005" s="381">
        <v>0.0</v>
      </c>
      <c r="L9005" s="382">
        <v>1.0</v>
      </c>
    </row>
    <row r="9006">
      <c r="A9006" s="380" t="s">
        <v>9880</v>
      </c>
      <c r="B9006" s="380" t="str">
        <f>IFERROR(__xludf.DUMMYFUNCTION("""COMPUTED_VALUE"""),"Piñon De 6ta Nkr III Rewar 20 8972412661")</f>
        <v>Piñon De 6ta Nkr III Rewar 20 8972412661</v>
      </c>
      <c r="C9006" s="380" t="str">
        <f>IFERROR(__xludf.DUMMYFUNCTION("""COMPUTED_VALUE"""),"70004426")</f>
        <v>70004426</v>
      </c>
      <c r="D9006" s="380" t="s">
        <v>767</v>
      </c>
      <c r="E9006" s="380" t="s">
        <v>786</v>
      </c>
      <c r="F9006" s="380" t="s">
        <v>928</v>
      </c>
      <c r="G9006" s="380" t="s">
        <v>1267</v>
      </c>
      <c r="H9006" s="380" t="s">
        <v>771</v>
      </c>
      <c r="I9006" s="380" t="s">
        <v>788</v>
      </c>
      <c r="J9006" s="380" t="s">
        <v>773</v>
      </c>
      <c r="K9006" s="381">
        <v>0.0</v>
      </c>
      <c r="L9006" s="382">
        <v>1.0</v>
      </c>
    </row>
    <row r="9007">
      <c r="A9007" s="380" t="s">
        <v>9881</v>
      </c>
      <c r="B9007" s="380" t="str">
        <f>IFERROR(__xludf.DUMMYFUNCTION("""COMPUTED_VALUE"""),"Engranaje IMPUL Nkr III Rewar 8972535560")</f>
        <v>Engranaje IMPUL Nkr III Rewar 8972535560</v>
      </c>
      <c r="C9007" s="380" t="str">
        <f>IFERROR(__xludf.DUMMYFUNCTION("""COMPUTED_VALUE"""),"70004427")</f>
        <v>70004427</v>
      </c>
      <c r="D9007" s="380" t="s">
        <v>767</v>
      </c>
      <c r="E9007" s="380" t="s">
        <v>786</v>
      </c>
      <c r="F9007" s="380" t="s">
        <v>928</v>
      </c>
      <c r="G9007" s="380" t="s">
        <v>1267</v>
      </c>
      <c r="H9007" s="380" t="s">
        <v>771</v>
      </c>
      <c r="I9007" s="380" t="s">
        <v>788</v>
      </c>
      <c r="J9007" s="380" t="s">
        <v>773</v>
      </c>
      <c r="K9007" s="381">
        <v>0.0</v>
      </c>
      <c r="L9007" s="382">
        <v>1.0</v>
      </c>
    </row>
    <row r="9008">
      <c r="A9008" s="380" t="s">
        <v>9882</v>
      </c>
      <c r="B9008" s="380" t="str">
        <f>IFERROR(__xludf.DUMMYFUNCTION("""COMPUTED_VALUE"""),"Kit EMB REN Master Mod 2017 302057590r")</f>
        <v>Kit EMB REN Master Mod 2017 302057590r</v>
      </c>
      <c r="C9008" s="380" t="str">
        <f>IFERROR(__xludf.DUMMYFUNCTION("""COMPUTED_VALUE"""),"70004428")</f>
        <v>70004428</v>
      </c>
      <c r="D9008" s="380" t="s">
        <v>767</v>
      </c>
      <c r="E9008" s="380" t="s">
        <v>786</v>
      </c>
      <c r="F9008" s="380" t="s">
        <v>5661</v>
      </c>
      <c r="G9008" s="380" t="s">
        <v>1267</v>
      </c>
      <c r="H9008" s="380" t="s">
        <v>771</v>
      </c>
      <c r="I9008" s="380" t="s">
        <v>788</v>
      </c>
      <c r="J9008" s="380" t="s">
        <v>773</v>
      </c>
      <c r="K9008" s="381">
        <v>0.0</v>
      </c>
      <c r="L9008" s="382">
        <v>1.0</v>
      </c>
    </row>
    <row r="9009">
      <c r="A9009" s="380" t="s">
        <v>9883</v>
      </c>
      <c r="B9009" s="380" t="str">
        <f>IFERROR(__xludf.DUMMYFUNCTION("""COMPUTED_VALUE"""),"Refuerzo Bomper Renault 7700352729")</f>
        <v>Refuerzo Bomper Renault 7700352729</v>
      </c>
      <c r="C9009" s="380" t="str">
        <f>IFERROR(__xludf.DUMMYFUNCTION("""COMPUTED_VALUE"""),"70004429")</f>
        <v>70004429</v>
      </c>
      <c r="D9009" s="380" t="s">
        <v>767</v>
      </c>
      <c r="E9009" s="380" t="s">
        <v>786</v>
      </c>
      <c r="F9009" s="380" t="s">
        <v>792</v>
      </c>
      <c r="G9009" s="380" t="s">
        <v>1267</v>
      </c>
      <c r="H9009" s="380" t="s">
        <v>771</v>
      </c>
      <c r="I9009" s="380" t="s">
        <v>788</v>
      </c>
      <c r="J9009" s="380" t="s">
        <v>773</v>
      </c>
      <c r="K9009" s="381">
        <v>0.0</v>
      </c>
      <c r="L9009" s="382">
        <v>1.0</v>
      </c>
    </row>
    <row r="9010">
      <c r="A9010" s="380" t="s">
        <v>9884</v>
      </c>
      <c r="B9010" s="380" t="str">
        <f>IFERROR(__xludf.DUMMYFUNCTION("""COMPUTED_VALUE"""),"Empaque Carter Motor Cummins Isf 3.8 Fot")</f>
        <v>Empaque Carter Motor Cummins Isf 3.8 Fot</v>
      </c>
      <c r="C9010" s="380" t="str">
        <f>IFERROR(__xludf.DUMMYFUNCTION("""COMPUTED_VALUE"""),"70004430")</f>
        <v>70004430</v>
      </c>
      <c r="D9010" s="380" t="s">
        <v>767</v>
      </c>
      <c r="E9010" s="380" t="s">
        <v>786</v>
      </c>
      <c r="F9010" s="380" t="s">
        <v>787</v>
      </c>
      <c r="G9010" s="380" t="s">
        <v>1267</v>
      </c>
      <c r="H9010" s="380" t="s">
        <v>771</v>
      </c>
      <c r="I9010" s="380" t="s">
        <v>788</v>
      </c>
      <c r="J9010" s="380" t="s">
        <v>773</v>
      </c>
      <c r="K9010" s="381">
        <v>0.0</v>
      </c>
      <c r="L9010" s="382">
        <v>1.0</v>
      </c>
    </row>
    <row r="9011">
      <c r="A9011" s="380" t="s">
        <v>9885</v>
      </c>
      <c r="B9011" s="380" t="str">
        <f>IFERROR(__xludf.DUMMYFUNCTION("""COMPUTED_VALUE"""),"Palanca Freno De Mano S-720 HN 700014858")</f>
        <v>Palanca Freno De Mano S-720 HN 700014858</v>
      </c>
      <c r="C9011" s="380" t="str">
        <f>IFERROR(__xludf.DUMMYFUNCTION("""COMPUTED_VALUE"""),"70004431")</f>
        <v>70004431</v>
      </c>
      <c r="D9011" s="380" t="s">
        <v>767</v>
      </c>
      <c r="E9011" s="380" t="s">
        <v>786</v>
      </c>
      <c r="F9011" s="380" t="s">
        <v>1017</v>
      </c>
      <c r="G9011" s="380" t="s">
        <v>1267</v>
      </c>
      <c r="H9011" s="380" t="s">
        <v>771</v>
      </c>
      <c r="I9011" s="380" t="s">
        <v>788</v>
      </c>
      <c r="J9011" s="380" t="s">
        <v>773</v>
      </c>
      <c r="K9011" s="381">
        <v>0.0</v>
      </c>
      <c r="L9011" s="382">
        <v>1.0</v>
      </c>
    </row>
    <row r="9012">
      <c r="A9012" s="380" t="s">
        <v>9886</v>
      </c>
      <c r="B9012" s="380" t="str">
        <f>IFERROR(__xludf.DUMMYFUNCTION("""COMPUTED_VALUE"""),"Desfogue Caja Velocidades Renault Duster")</f>
        <v>Desfogue Caja Velocidades Renault Duster</v>
      </c>
      <c r="C9012" s="380" t="str">
        <f>IFERROR(__xludf.DUMMYFUNCTION("""COMPUTED_VALUE"""),"70004432")</f>
        <v>70004432</v>
      </c>
      <c r="D9012" s="380" t="s">
        <v>767</v>
      </c>
      <c r="E9012" s="380" t="s">
        <v>786</v>
      </c>
      <c r="F9012" s="380" t="s">
        <v>1020</v>
      </c>
      <c r="G9012" s="380" t="s">
        <v>1267</v>
      </c>
      <c r="H9012" s="380" t="s">
        <v>771</v>
      </c>
      <c r="I9012" s="380" t="s">
        <v>788</v>
      </c>
      <c r="J9012" s="380" t="s">
        <v>773</v>
      </c>
      <c r="K9012" s="381">
        <v>0.0</v>
      </c>
      <c r="L9012" s="382">
        <v>1.0</v>
      </c>
    </row>
    <row r="9013">
      <c r="A9013" s="380" t="s">
        <v>9887</v>
      </c>
      <c r="B9013" s="380" t="str">
        <f>IFERROR(__xludf.DUMMYFUNCTION("""COMPUTED_VALUE"""),"SOP INF Izq Pta Deslizante Bj5 594602349")</f>
        <v>SOP INF Izq Pta Deslizante Bj5 594602349</v>
      </c>
      <c r="C9013" s="380" t="str">
        <f>IFERROR(__xludf.DUMMYFUNCTION("""COMPUTED_VALUE"""),"70004433")</f>
        <v>70004433</v>
      </c>
      <c r="D9013" s="380" t="s">
        <v>767</v>
      </c>
      <c r="E9013" s="380" t="s">
        <v>786</v>
      </c>
      <c r="F9013" s="380" t="s">
        <v>792</v>
      </c>
      <c r="G9013" s="380" t="s">
        <v>1267</v>
      </c>
      <c r="H9013" s="380" t="s">
        <v>771</v>
      </c>
      <c r="I9013" s="380" t="s">
        <v>788</v>
      </c>
      <c r="J9013" s="380" t="s">
        <v>773</v>
      </c>
      <c r="K9013" s="381">
        <v>0.0</v>
      </c>
      <c r="L9013" s="382">
        <v>1.0</v>
      </c>
    </row>
    <row r="9014">
      <c r="A9014" s="380" t="s">
        <v>9888</v>
      </c>
      <c r="B9014" s="380" t="str">
        <f>IFERROR(__xludf.DUMMYFUNCTION("""COMPUTED_VALUE"""),"Caja Direccion Prostar 3596197c92")</f>
        <v>Caja Direccion Prostar 3596197c92</v>
      </c>
      <c r="C9014" s="380" t="str">
        <f>IFERROR(__xludf.DUMMYFUNCTION("""COMPUTED_VALUE"""),"70004434")</f>
        <v>70004434</v>
      </c>
      <c r="D9014" s="380" t="s">
        <v>767</v>
      </c>
      <c r="E9014" s="380" t="s">
        <v>786</v>
      </c>
      <c r="F9014" s="380" t="s">
        <v>1020</v>
      </c>
      <c r="G9014" s="380" t="s">
        <v>1267</v>
      </c>
      <c r="H9014" s="380" t="s">
        <v>771</v>
      </c>
      <c r="I9014" s="380" t="s">
        <v>788</v>
      </c>
      <c r="J9014" s="380" t="s">
        <v>773</v>
      </c>
      <c r="K9014" s="381">
        <v>0.0</v>
      </c>
      <c r="L9014" s="382">
        <v>1.0</v>
      </c>
    </row>
    <row r="9015">
      <c r="A9015" s="380" t="s">
        <v>9889</v>
      </c>
      <c r="B9015" s="380" t="str">
        <f>IFERROR(__xludf.DUMMYFUNCTION("""COMPUTED_VALUE"""),"Silla Conductor Jac 1042 6800100le010")</f>
        <v>Silla Conductor Jac 1042 6800100le010</v>
      </c>
      <c r="C9015" s="380" t="str">
        <f>IFERROR(__xludf.DUMMYFUNCTION("""COMPUTED_VALUE"""),"70004435")</f>
        <v>70004435</v>
      </c>
      <c r="D9015" s="380" t="s">
        <v>767</v>
      </c>
      <c r="E9015" s="380" t="s">
        <v>786</v>
      </c>
      <c r="F9015" s="380" t="s">
        <v>792</v>
      </c>
      <c r="G9015" s="380" t="s">
        <v>1267</v>
      </c>
      <c r="H9015" s="380" t="s">
        <v>771</v>
      </c>
      <c r="I9015" s="380" t="s">
        <v>788</v>
      </c>
      <c r="J9015" s="380" t="s">
        <v>773</v>
      </c>
      <c r="K9015" s="381">
        <v>0.0</v>
      </c>
      <c r="L9015" s="382">
        <v>1.0</v>
      </c>
    </row>
    <row r="9016">
      <c r="A9016" s="380" t="s">
        <v>9890</v>
      </c>
      <c r="B9016" s="380" t="str">
        <f>IFERROR(__xludf.DUMMYFUNCTION("""COMPUTED_VALUE"""),"Silla AUX Completa Jac 1042 7200100ld010")</f>
        <v>Silla AUX Completa Jac 1042 7200100ld010</v>
      </c>
      <c r="C9016" s="380" t="str">
        <f>IFERROR(__xludf.DUMMYFUNCTION("""COMPUTED_VALUE"""),"70004436")</f>
        <v>70004436</v>
      </c>
      <c r="D9016" s="380" t="s">
        <v>767</v>
      </c>
      <c r="E9016" s="380" t="s">
        <v>786</v>
      </c>
      <c r="F9016" s="380" t="s">
        <v>792</v>
      </c>
      <c r="G9016" s="380" t="s">
        <v>1267</v>
      </c>
      <c r="H9016" s="380" t="s">
        <v>771</v>
      </c>
      <c r="I9016" s="380" t="s">
        <v>788</v>
      </c>
      <c r="J9016" s="380" t="s">
        <v>773</v>
      </c>
      <c r="K9016" s="381">
        <v>0.0</v>
      </c>
      <c r="L9016" s="382">
        <v>1.0</v>
      </c>
    </row>
    <row r="9017">
      <c r="A9017" s="380" t="s">
        <v>9891</v>
      </c>
      <c r="B9017" s="380" t="str">
        <f>IFERROR(__xludf.DUMMYFUNCTION("""COMPUTED_VALUE"""),"Termostato De MOT 6bt CUMM Plant 5292738")</f>
        <v>Termostato De MOT 6bt CUMM Plant 5292738</v>
      </c>
      <c r="C9017" s="380" t="str">
        <f>IFERROR(__xludf.DUMMYFUNCTION("""COMPUTED_VALUE"""),"70004437")</f>
        <v>70004437</v>
      </c>
      <c r="D9017" s="380" t="s">
        <v>767</v>
      </c>
      <c r="E9017" s="380" t="s">
        <v>786</v>
      </c>
      <c r="F9017" s="380" t="s">
        <v>787</v>
      </c>
      <c r="G9017" s="380" t="s">
        <v>1267</v>
      </c>
      <c r="H9017" s="380" t="s">
        <v>771</v>
      </c>
      <c r="I9017" s="380" t="s">
        <v>788</v>
      </c>
      <c r="J9017" s="380" t="s">
        <v>773</v>
      </c>
      <c r="K9017" s="381">
        <v>0.0</v>
      </c>
      <c r="L9017" s="382">
        <v>1.0</v>
      </c>
    </row>
    <row r="9018">
      <c r="A9018" s="380" t="s">
        <v>9892</v>
      </c>
      <c r="B9018" s="380" t="str">
        <f>IFERROR(__xludf.DUMMYFUNCTION("""COMPUTED_VALUE"""),"Base De Alternador MOT 6bt CUMM 3287096")</f>
        <v>Base De Alternador MOT 6bt CUMM 3287096</v>
      </c>
      <c r="C9018" s="380" t="str">
        <f>IFERROR(__xludf.DUMMYFUNCTION("""COMPUTED_VALUE"""),"70004438")</f>
        <v>70004438</v>
      </c>
      <c r="D9018" s="380" t="s">
        <v>767</v>
      </c>
      <c r="E9018" s="380" t="s">
        <v>786</v>
      </c>
      <c r="F9018" s="380" t="s">
        <v>787</v>
      </c>
      <c r="G9018" s="380" t="s">
        <v>1267</v>
      </c>
      <c r="H9018" s="380" t="s">
        <v>771</v>
      </c>
      <c r="I9018" s="380" t="s">
        <v>788</v>
      </c>
      <c r="J9018" s="380" t="s">
        <v>773</v>
      </c>
      <c r="K9018" s="381">
        <v>0.0</v>
      </c>
      <c r="L9018" s="382">
        <v>1.0</v>
      </c>
    </row>
    <row r="9019">
      <c r="A9019" s="380" t="s">
        <v>9893</v>
      </c>
      <c r="B9019" s="380" t="str">
        <f>IFERROR(__xludf.DUMMYFUNCTION("""COMPUTED_VALUE"""),"Espejo Aux Redondo Jac Jhr 11 8202300le1")</f>
        <v>Espejo Aux Redondo Jac Jhr 11 8202300le1</v>
      </c>
      <c r="C9019" s="380" t="str">
        <f>IFERROR(__xludf.DUMMYFUNCTION("""COMPUTED_VALUE"""),"70004439")</f>
        <v>70004439</v>
      </c>
      <c r="D9019" s="380" t="s">
        <v>767</v>
      </c>
      <c r="E9019" s="380" t="s">
        <v>786</v>
      </c>
      <c r="F9019" s="380" t="s">
        <v>792</v>
      </c>
      <c r="G9019" s="380" t="s">
        <v>1267</v>
      </c>
      <c r="H9019" s="380" t="s">
        <v>771</v>
      </c>
      <c r="I9019" s="380" t="s">
        <v>788</v>
      </c>
      <c r="J9019" s="380" t="s">
        <v>773</v>
      </c>
      <c r="K9019" s="381">
        <v>0.0</v>
      </c>
      <c r="L9019" s="382">
        <v>1.0</v>
      </c>
    </row>
    <row r="9020">
      <c r="A9020" s="380" t="s">
        <v>9894</v>
      </c>
      <c r="B9020" s="380" t="str">
        <f>IFERROR(__xludf.DUMMYFUNCTION("""COMPUTED_VALUE"""),"SENS Posición Arbol De Levas N200 900298")</f>
        <v>SENS Posición Arbol De Levas N200 900298</v>
      </c>
      <c r="C9020" s="380" t="str">
        <f>IFERROR(__xludf.DUMMYFUNCTION("""COMPUTED_VALUE"""),"70004440")</f>
        <v>70004440</v>
      </c>
      <c r="D9020" s="380" t="s">
        <v>767</v>
      </c>
      <c r="E9020" s="380" t="s">
        <v>786</v>
      </c>
      <c r="F9020" s="380" t="s">
        <v>998</v>
      </c>
      <c r="G9020" s="380" t="s">
        <v>1267</v>
      </c>
      <c r="H9020" s="380" t="s">
        <v>771</v>
      </c>
      <c r="I9020" s="380" t="s">
        <v>788</v>
      </c>
      <c r="J9020" s="380" t="s">
        <v>773</v>
      </c>
      <c r="K9020" s="381">
        <v>0.0</v>
      </c>
      <c r="L9020" s="382">
        <v>1.0</v>
      </c>
    </row>
    <row r="9021">
      <c r="A9021" s="380" t="s">
        <v>9895</v>
      </c>
      <c r="B9021" s="380" t="str">
        <f>IFERROR(__xludf.DUMMYFUNCTION("""COMPUTED_VALUE"""),"Retenedor Del Foton 1128 1023333337")</f>
        <v>Retenedor Del Foton 1128 1023333337</v>
      </c>
      <c r="C9021" s="380" t="str">
        <f>IFERROR(__xludf.DUMMYFUNCTION("""COMPUTED_VALUE"""),"70004441")</f>
        <v>70004441</v>
      </c>
      <c r="D9021" s="380" t="s">
        <v>767</v>
      </c>
      <c r="E9021" s="380" t="s">
        <v>786</v>
      </c>
      <c r="F9021" s="380" t="s">
        <v>1039</v>
      </c>
      <c r="G9021" s="380" t="s">
        <v>1267</v>
      </c>
      <c r="H9021" s="380" t="s">
        <v>771</v>
      </c>
      <c r="I9021" s="380" t="s">
        <v>788</v>
      </c>
      <c r="J9021" s="380" t="s">
        <v>773</v>
      </c>
      <c r="K9021" s="381">
        <v>24160.0</v>
      </c>
      <c r="L9021" s="382">
        <v>1.0</v>
      </c>
    </row>
    <row r="9022">
      <c r="A9022" s="380" t="s">
        <v>9896</v>
      </c>
      <c r="B9022" s="380" t="str">
        <f>IFERROR(__xludf.DUMMYFUNCTION("""COMPUTED_VALUE"""),"Correa Alternador/Cxu-Gu Mack 23961764")</f>
        <v>Correa Alternador/Cxu-Gu Mack 23961764</v>
      </c>
      <c r="C9022" s="380" t="str">
        <f>IFERROR(__xludf.DUMMYFUNCTION("""COMPUTED_VALUE"""),"70004442")</f>
        <v>70004442</v>
      </c>
      <c r="D9022" s="380" t="s">
        <v>767</v>
      </c>
      <c r="E9022" s="380" t="s">
        <v>786</v>
      </c>
      <c r="F9022" s="380" t="s">
        <v>787</v>
      </c>
      <c r="G9022" s="380" t="s">
        <v>1267</v>
      </c>
      <c r="H9022" s="380" t="s">
        <v>771</v>
      </c>
      <c r="I9022" s="380" t="s">
        <v>788</v>
      </c>
      <c r="J9022" s="380" t="s">
        <v>773</v>
      </c>
      <c r="K9022" s="381">
        <v>0.0</v>
      </c>
      <c r="L9022" s="382">
        <v>1.0</v>
      </c>
    </row>
    <row r="9023">
      <c r="A9023" s="380" t="s">
        <v>9897</v>
      </c>
      <c r="B9023" s="380" t="str">
        <f>IFERROR(__xludf.DUMMYFUNCTION("""COMPUTED_VALUE"""),"Ballesta DEL Lh Fot 1128 5946769848")</f>
        <v>Ballesta DEL Lh Fot 1128 5946769848</v>
      </c>
      <c r="C9023" s="380" t="str">
        <f>IFERROR(__xludf.DUMMYFUNCTION("""COMPUTED_VALUE"""),"70004443")</f>
        <v>70004443</v>
      </c>
      <c r="D9023" s="380" t="s">
        <v>767</v>
      </c>
      <c r="E9023" s="380" t="s">
        <v>786</v>
      </c>
      <c r="F9023" s="380" t="s">
        <v>1039</v>
      </c>
      <c r="G9023" s="380" t="s">
        <v>1267</v>
      </c>
      <c r="H9023" s="380" t="s">
        <v>771</v>
      </c>
      <c r="I9023" s="380" t="s">
        <v>788</v>
      </c>
      <c r="J9023" s="380" t="s">
        <v>773</v>
      </c>
      <c r="K9023" s="381">
        <v>0.0</v>
      </c>
      <c r="L9023" s="382">
        <v>1.0</v>
      </c>
    </row>
    <row r="9024">
      <c r="A9024" s="380" t="s">
        <v>9898</v>
      </c>
      <c r="B9024" s="380" t="str">
        <f>IFERROR(__xludf.DUMMYFUNCTION("""COMPUTED_VALUE"""),"Fan Cluth Completo Mack Cxu 23585940")</f>
        <v>Fan Cluth Completo Mack Cxu 23585940</v>
      </c>
      <c r="C9024" s="380" t="str">
        <f>IFERROR(__xludf.DUMMYFUNCTION("""COMPUTED_VALUE"""),"70004444")</f>
        <v>70004444</v>
      </c>
      <c r="D9024" s="380" t="s">
        <v>767</v>
      </c>
      <c r="E9024" s="380" t="s">
        <v>786</v>
      </c>
      <c r="F9024" s="380" t="s">
        <v>787</v>
      </c>
      <c r="G9024" s="380" t="s">
        <v>1267</v>
      </c>
      <c r="H9024" s="380" t="s">
        <v>771</v>
      </c>
      <c r="I9024" s="380" t="s">
        <v>788</v>
      </c>
      <c r="J9024" s="380" t="s">
        <v>773</v>
      </c>
      <c r="K9024" s="381">
        <v>0.0</v>
      </c>
      <c r="L9024" s="382">
        <v>1.0</v>
      </c>
    </row>
    <row r="9025">
      <c r="A9025" s="380" t="s">
        <v>9899</v>
      </c>
      <c r="B9025" s="380" t="str">
        <f>IFERROR(__xludf.DUMMYFUNCTION("""COMPUTED_VALUE"""),"Gancho Capo Lt Int 3544924c1")</f>
        <v>Gancho Capo Lt Int 3544924c1</v>
      </c>
      <c r="C9025" s="380" t="str">
        <f>IFERROR(__xludf.DUMMYFUNCTION("""COMPUTED_VALUE"""),"70004445")</f>
        <v>70004445</v>
      </c>
      <c r="D9025" s="380" t="s">
        <v>767</v>
      </c>
      <c r="E9025" s="380" t="s">
        <v>786</v>
      </c>
      <c r="F9025" s="380" t="s">
        <v>792</v>
      </c>
      <c r="G9025" s="380" t="s">
        <v>1267</v>
      </c>
      <c r="H9025" s="380" t="s">
        <v>771</v>
      </c>
      <c r="I9025" s="380" t="s">
        <v>788</v>
      </c>
      <c r="J9025" s="380" t="s">
        <v>773</v>
      </c>
      <c r="K9025" s="381">
        <v>350234.0</v>
      </c>
      <c r="L9025" s="382">
        <v>1.0</v>
      </c>
    </row>
    <row r="9026">
      <c r="A9026" s="380" t="s">
        <v>9900</v>
      </c>
      <c r="B9026" s="380" t="str">
        <f>IFERROR(__xludf.DUMMYFUNCTION("""COMPUTED_VALUE"""),"Tuerca Rueda Del Foton 1039 1023467551")</f>
        <v>Tuerca Rueda Del Foton 1039 1023467551</v>
      </c>
      <c r="C9026" s="380" t="str">
        <f>IFERROR(__xludf.DUMMYFUNCTION("""COMPUTED_VALUE"""),"70004446")</f>
        <v>70004446</v>
      </c>
      <c r="D9026" s="380" t="s">
        <v>767</v>
      </c>
      <c r="E9026" s="380" t="s">
        <v>786</v>
      </c>
      <c r="F9026" s="380" t="s">
        <v>1039</v>
      </c>
      <c r="G9026" s="380" t="s">
        <v>1267</v>
      </c>
      <c r="H9026" s="380" t="s">
        <v>771</v>
      </c>
      <c r="I9026" s="380" t="s">
        <v>788</v>
      </c>
      <c r="J9026" s="380" t="s">
        <v>773</v>
      </c>
      <c r="K9026" s="381">
        <v>0.0</v>
      </c>
      <c r="L9026" s="382">
        <v>1.0</v>
      </c>
    </row>
    <row r="9027">
      <c r="A9027" s="380" t="s">
        <v>9901</v>
      </c>
      <c r="B9027" s="380" t="str">
        <f>IFERROR(__xludf.DUMMYFUNCTION("""COMPUTED_VALUE"""),"Esparrago RDA Del Y Tras FT 1 1023559722")</f>
        <v>Esparrago RDA Del Y Tras FT 1 1023559722</v>
      </c>
      <c r="C9027" s="380" t="str">
        <f>IFERROR(__xludf.DUMMYFUNCTION("""COMPUTED_VALUE"""),"70004447")</f>
        <v>70004447</v>
      </c>
      <c r="D9027" s="380" t="s">
        <v>767</v>
      </c>
      <c r="E9027" s="380" t="s">
        <v>786</v>
      </c>
      <c r="F9027" s="380" t="s">
        <v>1039</v>
      </c>
      <c r="G9027" s="380" t="s">
        <v>1267</v>
      </c>
      <c r="H9027" s="380" t="s">
        <v>771</v>
      </c>
      <c r="I9027" s="380" t="s">
        <v>788</v>
      </c>
      <c r="J9027" s="380" t="s">
        <v>773</v>
      </c>
      <c r="K9027" s="381">
        <v>0.0</v>
      </c>
      <c r="L9027" s="382">
        <v>1.0</v>
      </c>
    </row>
    <row r="9028">
      <c r="A9028" s="380" t="s">
        <v>9902</v>
      </c>
      <c r="B9028" s="380" t="str">
        <f>IFERROR(__xludf.DUMMYFUNCTION("""COMPUTED_VALUE"""),"Panel Guardabarro IZQ REN 7751475533")</f>
        <v>Panel Guardabarro IZQ REN 7751475533</v>
      </c>
      <c r="C9028" s="380" t="str">
        <f>IFERROR(__xludf.DUMMYFUNCTION("""COMPUTED_VALUE"""),"70004448")</f>
        <v>70004448</v>
      </c>
      <c r="D9028" s="380" t="s">
        <v>767</v>
      </c>
      <c r="E9028" s="380" t="s">
        <v>786</v>
      </c>
      <c r="F9028" s="380" t="s">
        <v>792</v>
      </c>
      <c r="G9028" s="380" t="s">
        <v>1267</v>
      </c>
      <c r="H9028" s="380" t="s">
        <v>771</v>
      </c>
      <c r="I9028" s="380" t="s">
        <v>788</v>
      </c>
      <c r="J9028" s="380" t="s">
        <v>773</v>
      </c>
      <c r="K9028" s="381">
        <v>0.0</v>
      </c>
      <c r="L9028" s="382">
        <v>1.0</v>
      </c>
    </row>
    <row r="9029">
      <c r="A9029" s="380" t="s">
        <v>9903</v>
      </c>
      <c r="B9029" s="380" t="str">
        <f>IFERROR(__xludf.DUMMYFUNCTION("""COMPUTED_VALUE"""),"Panel Guardabarro DER REN 7751475534")</f>
        <v>Panel Guardabarro DER REN 7751475534</v>
      </c>
      <c r="C9029" s="380" t="str">
        <f>IFERROR(__xludf.DUMMYFUNCTION("""COMPUTED_VALUE"""),"70004449")</f>
        <v>70004449</v>
      </c>
      <c r="D9029" s="380" t="s">
        <v>767</v>
      </c>
      <c r="E9029" s="380" t="s">
        <v>786</v>
      </c>
      <c r="F9029" s="380" t="s">
        <v>792</v>
      </c>
      <c r="G9029" s="380" t="s">
        <v>1267</v>
      </c>
      <c r="H9029" s="380" t="s">
        <v>771</v>
      </c>
      <c r="I9029" s="380" t="s">
        <v>788</v>
      </c>
      <c r="J9029" s="380" t="s">
        <v>773</v>
      </c>
      <c r="K9029" s="381">
        <v>0.0</v>
      </c>
      <c r="L9029" s="382">
        <v>1.0</v>
      </c>
    </row>
    <row r="9030">
      <c r="A9030" s="380" t="s">
        <v>9904</v>
      </c>
      <c r="B9030" s="380" t="str">
        <f>IFERROR(__xludf.DUMMYFUNCTION("""COMPUTED_VALUE"""),"Base Soporte Motor Mack Cxu 2330000682")</f>
        <v>Base Soporte Motor Mack Cxu 2330000682</v>
      </c>
      <c r="C9030" s="380" t="str">
        <f>IFERROR(__xludf.DUMMYFUNCTION("""COMPUTED_VALUE"""),"70004450")</f>
        <v>70004450</v>
      </c>
      <c r="D9030" s="380" t="s">
        <v>767</v>
      </c>
      <c r="E9030" s="380" t="s">
        <v>786</v>
      </c>
      <c r="F9030" s="380" t="s">
        <v>787</v>
      </c>
      <c r="G9030" s="380" t="s">
        <v>1267</v>
      </c>
      <c r="H9030" s="380" t="s">
        <v>771</v>
      </c>
      <c r="I9030" s="380" t="s">
        <v>788</v>
      </c>
      <c r="J9030" s="380" t="s">
        <v>773</v>
      </c>
      <c r="K9030" s="381">
        <v>0.0</v>
      </c>
      <c r="L9030" s="382">
        <v>1.0</v>
      </c>
    </row>
    <row r="9031">
      <c r="A9031" s="380" t="s">
        <v>9905</v>
      </c>
      <c r="B9031" s="380" t="str">
        <f>IFERROR(__xludf.DUMMYFUNCTION("""COMPUTED_VALUE"""),"Soporte Motor ,Ack Cxu 2330000047")</f>
        <v>Soporte Motor ,Ack Cxu 2330000047</v>
      </c>
      <c r="C9031" s="380" t="str">
        <f>IFERROR(__xludf.DUMMYFUNCTION("""COMPUTED_VALUE"""),"70004451")</f>
        <v>70004451</v>
      </c>
      <c r="D9031" s="380" t="s">
        <v>767</v>
      </c>
      <c r="E9031" s="380" t="s">
        <v>786</v>
      </c>
      <c r="F9031" s="380" t="s">
        <v>787</v>
      </c>
      <c r="G9031" s="380" t="s">
        <v>1267</v>
      </c>
      <c r="H9031" s="380" t="s">
        <v>771</v>
      </c>
      <c r="I9031" s="380" t="s">
        <v>788</v>
      </c>
      <c r="J9031" s="380" t="s">
        <v>773</v>
      </c>
      <c r="K9031" s="381">
        <v>0.0</v>
      </c>
      <c r="L9031" s="382">
        <v>1.0</v>
      </c>
    </row>
    <row r="9032">
      <c r="A9032" s="380" t="s">
        <v>9906</v>
      </c>
      <c r="B9032" s="380" t="str">
        <f>IFERROR(__xludf.DUMMYFUNCTION("""COMPUTED_VALUE"""),"Kit Prensa Embrague Mack Cxu 2330000672")</f>
        <v>Kit Prensa Embrague Mack Cxu 2330000672</v>
      </c>
      <c r="C9032" s="380" t="str">
        <f>IFERROR(__xludf.DUMMYFUNCTION("""COMPUTED_VALUE"""),"70004452")</f>
        <v>70004452</v>
      </c>
      <c r="D9032" s="380" t="s">
        <v>767</v>
      </c>
      <c r="E9032" s="380" t="s">
        <v>786</v>
      </c>
      <c r="F9032" s="380" t="s">
        <v>5661</v>
      </c>
      <c r="G9032" s="380" t="s">
        <v>1267</v>
      </c>
      <c r="H9032" s="380" t="s">
        <v>771</v>
      </c>
      <c r="I9032" s="380" t="s">
        <v>788</v>
      </c>
      <c r="J9032" s="380" t="s">
        <v>773</v>
      </c>
      <c r="K9032" s="381">
        <v>0.0</v>
      </c>
      <c r="L9032" s="382">
        <v>1.0</v>
      </c>
    </row>
    <row r="9033">
      <c r="A9033" s="380" t="s">
        <v>9907</v>
      </c>
      <c r="B9033" s="380" t="str">
        <f>IFERROR(__xludf.DUMMYFUNCTION("""COMPUTED_VALUE"""),"Exploradora Izq Foton 1129 7701023078924")</f>
        <v>Exploradora Izq Foton 1129 7701023078924</v>
      </c>
      <c r="C9033" s="380" t="str">
        <f>IFERROR(__xludf.DUMMYFUNCTION("""COMPUTED_VALUE"""),"70004453")</f>
        <v>70004453</v>
      </c>
      <c r="D9033" s="380" t="s">
        <v>767</v>
      </c>
      <c r="E9033" s="380" t="s">
        <v>786</v>
      </c>
      <c r="F9033" s="380" t="s">
        <v>998</v>
      </c>
      <c r="G9033" s="380" t="s">
        <v>1267</v>
      </c>
      <c r="H9033" s="380" t="s">
        <v>771</v>
      </c>
      <c r="I9033" s="380" t="s">
        <v>788</v>
      </c>
      <c r="J9033" s="380" t="s">
        <v>773</v>
      </c>
      <c r="K9033" s="381">
        <v>0.0</v>
      </c>
      <c r="L9033" s="382">
        <v>1.0</v>
      </c>
    </row>
    <row r="9034">
      <c r="A9034" s="380" t="s">
        <v>9908</v>
      </c>
      <c r="B9034" s="380" t="str">
        <f>IFERROR(__xludf.DUMMYFUNCTION("""COMPUTED_VALUE"""),"Exploradora Der Foton 1129 7701023078931")</f>
        <v>Exploradora Der Foton 1129 7701023078931</v>
      </c>
      <c r="C9034" s="380" t="str">
        <f>IFERROR(__xludf.DUMMYFUNCTION("""COMPUTED_VALUE"""),"70004454")</f>
        <v>70004454</v>
      </c>
      <c r="D9034" s="380" t="s">
        <v>767</v>
      </c>
      <c r="E9034" s="380" t="s">
        <v>786</v>
      </c>
      <c r="F9034" s="380" t="s">
        <v>998</v>
      </c>
      <c r="G9034" s="380" t="s">
        <v>1267</v>
      </c>
      <c r="H9034" s="380" t="s">
        <v>771</v>
      </c>
      <c r="I9034" s="380" t="s">
        <v>788</v>
      </c>
      <c r="J9034" s="380" t="s">
        <v>773</v>
      </c>
      <c r="K9034" s="381">
        <v>0.0</v>
      </c>
      <c r="L9034" s="382">
        <v>1.0</v>
      </c>
    </row>
    <row r="9035">
      <c r="A9035" s="380" t="s">
        <v>9909</v>
      </c>
      <c r="B9035" s="380" t="str">
        <f>IFERROR(__xludf.DUMMYFUNCTION("""COMPUTED_VALUE"""),"Switch DIRales Y Luces DFENG 3774100-Ba0")</f>
        <v>Switch DIRales Y Luces DFENG 3774100-Ba0</v>
      </c>
      <c r="C9035" s="380" t="str">
        <f>IFERROR(__xludf.DUMMYFUNCTION("""COMPUTED_VALUE"""),"70004455")</f>
        <v>70004455</v>
      </c>
      <c r="D9035" s="380" t="s">
        <v>767</v>
      </c>
      <c r="E9035" s="380" t="s">
        <v>786</v>
      </c>
      <c r="F9035" s="380" t="s">
        <v>998</v>
      </c>
      <c r="G9035" s="380" t="s">
        <v>1267</v>
      </c>
      <c r="H9035" s="380" t="s">
        <v>771</v>
      </c>
      <c r="I9035" s="380" t="s">
        <v>788</v>
      </c>
      <c r="J9035" s="380" t="s">
        <v>773</v>
      </c>
      <c r="K9035" s="381">
        <v>0.0</v>
      </c>
      <c r="L9035" s="382">
        <v>1.0</v>
      </c>
    </row>
    <row r="9036">
      <c r="A9036" s="380" t="s">
        <v>9910</v>
      </c>
      <c r="B9036" s="380" t="str">
        <f>IFERROR(__xludf.DUMMYFUNCTION("""COMPUTED_VALUE"""),"MANG A/C Presion De Alta KW T F506242147")</f>
        <v>MANG A/C Presion De Alta KW T F506242147</v>
      </c>
      <c r="C9036" s="380" t="str">
        <f>IFERROR(__xludf.DUMMYFUNCTION("""COMPUTED_VALUE"""),"70004456")</f>
        <v>70004456</v>
      </c>
      <c r="D9036" s="380" t="s">
        <v>767</v>
      </c>
      <c r="E9036" s="380" t="s">
        <v>786</v>
      </c>
      <c r="F9036" s="380" t="s">
        <v>1031</v>
      </c>
      <c r="G9036" s="380" t="s">
        <v>1267</v>
      </c>
      <c r="H9036" s="380" t="s">
        <v>771</v>
      </c>
      <c r="I9036" s="380" t="s">
        <v>788</v>
      </c>
      <c r="J9036" s="380" t="s">
        <v>773</v>
      </c>
      <c r="K9036" s="381">
        <v>0.0</v>
      </c>
      <c r="L9036" s="382">
        <v>1.0</v>
      </c>
    </row>
    <row r="9037">
      <c r="A9037" s="380" t="s">
        <v>9911</v>
      </c>
      <c r="B9037" s="380" t="str">
        <f>IFERROR(__xludf.DUMMYFUNCTION("""COMPUTED_VALUE"""),"Sensor De Oxigeno Mv3.Mv5 7705946023306")</f>
        <v>Sensor De Oxigeno Mv3.Mv5 7705946023306</v>
      </c>
      <c r="C9037" s="380" t="str">
        <f>IFERROR(__xludf.DUMMYFUNCTION("""COMPUTED_VALUE"""),"70004457")</f>
        <v>70004457</v>
      </c>
      <c r="D9037" s="380" t="s">
        <v>767</v>
      </c>
      <c r="E9037" s="380" t="s">
        <v>786</v>
      </c>
      <c r="F9037" s="380" t="s">
        <v>998</v>
      </c>
      <c r="G9037" s="380" t="s">
        <v>1267</v>
      </c>
      <c r="H9037" s="380" t="s">
        <v>771</v>
      </c>
      <c r="I9037" s="380" t="s">
        <v>788</v>
      </c>
      <c r="J9037" s="380" t="s">
        <v>773</v>
      </c>
      <c r="K9037" s="381">
        <v>0.0</v>
      </c>
      <c r="L9037" s="382">
        <v>1.0</v>
      </c>
    </row>
    <row r="9038">
      <c r="A9038" s="380" t="s">
        <v>9912</v>
      </c>
      <c r="B9038" s="380" t="str">
        <f>IFERROR(__xludf.DUMMYFUNCTION("""COMPUTED_VALUE"""),"Cable Desgaste Pastillas Freno REN 41068")</f>
        <v>Cable Desgaste Pastillas Freno REN 41068</v>
      </c>
      <c r="C9038" s="380" t="str">
        <f>IFERROR(__xludf.DUMMYFUNCTION("""COMPUTED_VALUE"""),"70004458")</f>
        <v>70004458</v>
      </c>
      <c r="D9038" s="380" t="s">
        <v>767</v>
      </c>
      <c r="E9038" s="380" t="s">
        <v>786</v>
      </c>
      <c r="F9038" s="380" t="s">
        <v>1017</v>
      </c>
      <c r="G9038" s="380" t="s">
        <v>1267</v>
      </c>
      <c r="H9038" s="380" t="s">
        <v>771</v>
      </c>
      <c r="I9038" s="380" t="s">
        <v>788</v>
      </c>
      <c r="J9038" s="380" t="s">
        <v>773</v>
      </c>
      <c r="K9038" s="381">
        <v>0.0</v>
      </c>
      <c r="L9038" s="382">
        <v>1.0</v>
      </c>
    </row>
    <row r="9039">
      <c r="A9039" s="380" t="s">
        <v>9913</v>
      </c>
      <c r="B9039" s="380" t="str">
        <f>IFERROR(__xludf.DUMMYFUNCTION("""COMPUTED_VALUE"""),"Stop Tras Carroceria FRR 24v Der 4010315")</f>
        <v>Stop Tras Carroceria FRR 24v Der 4010315</v>
      </c>
      <c r="C9039" s="380" t="str">
        <f>IFERROR(__xludf.DUMMYFUNCTION("""COMPUTED_VALUE"""),"70004459")</f>
        <v>70004459</v>
      </c>
      <c r="D9039" s="380" t="s">
        <v>767</v>
      </c>
      <c r="E9039" s="380" t="s">
        <v>786</v>
      </c>
      <c r="F9039" s="380" t="s">
        <v>998</v>
      </c>
      <c r="G9039" s="380" t="s">
        <v>1267</v>
      </c>
      <c r="H9039" s="380" t="s">
        <v>771</v>
      </c>
      <c r="I9039" s="380" t="s">
        <v>788</v>
      </c>
      <c r="J9039" s="380" t="s">
        <v>773</v>
      </c>
      <c r="K9039" s="381">
        <v>0.0</v>
      </c>
      <c r="L9039" s="382">
        <v>1.0</v>
      </c>
    </row>
    <row r="9040">
      <c r="A9040" s="380" t="s">
        <v>9914</v>
      </c>
      <c r="B9040" s="380" t="str">
        <f>IFERROR(__xludf.DUMMYFUNCTION("""COMPUTED_VALUE"""),"Switch Elevavidrios Kw T800 Der P271070")</f>
        <v>Switch Elevavidrios Kw T800 Der P271070</v>
      </c>
      <c r="C9040" s="380" t="str">
        <f>IFERROR(__xludf.DUMMYFUNCTION("""COMPUTED_VALUE"""),"70004460")</f>
        <v>70004460</v>
      </c>
      <c r="D9040" s="380" t="s">
        <v>767</v>
      </c>
      <c r="E9040" s="380" t="s">
        <v>786</v>
      </c>
      <c r="F9040" s="380" t="s">
        <v>998</v>
      </c>
      <c r="G9040" s="380" t="s">
        <v>1267</v>
      </c>
      <c r="H9040" s="380" t="s">
        <v>771</v>
      </c>
      <c r="I9040" s="380" t="s">
        <v>788</v>
      </c>
      <c r="J9040" s="380" t="s">
        <v>773</v>
      </c>
      <c r="K9040" s="381">
        <v>0.0</v>
      </c>
      <c r="L9040" s="382">
        <v>1.0</v>
      </c>
    </row>
    <row r="9041">
      <c r="A9041" s="380" t="s">
        <v>9915</v>
      </c>
      <c r="B9041" s="380" t="str">
        <f>IFERROR(__xludf.DUMMYFUNCTION("""COMPUTED_VALUE"""),"Guía De Escape Motor N200 25182065")</f>
        <v>Guía De Escape Motor N200 25182065</v>
      </c>
      <c r="C9041" s="380" t="str">
        <f>IFERROR(__xludf.DUMMYFUNCTION("""COMPUTED_VALUE"""),"70004461")</f>
        <v>70004461</v>
      </c>
      <c r="D9041" s="380" t="s">
        <v>767</v>
      </c>
      <c r="E9041" s="380" t="s">
        <v>786</v>
      </c>
      <c r="F9041" s="380" t="s">
        <v>787</v>
      </c>
      <c r="G9041" s="380" t="s">
        <v>1267</v>
      </c>
      <c r="H9041" s="380" t="s">
        <v>771</v>
      </c>
      <c r="I9041" s="380" t="s">
        <v>788</v>
      </c>
      <c r="J9041" s="380" t="s">
        <v>773</v>
      </c>
      <c r="K9041" s="381">
        <v>0.0</v>
      </c>
      <c r="L9041" s="382">
        <v>1.0</v>
      </c>
    </row>
    <row r="9042">
      <c r="A9042" s="380" t="s">
        <v>9916</v>
      </c>
      <c r="B9042" s="380" t="str">
        <f>IFERROR(__xludf.DUMMYFUNCTION("""COMPUTED_VALUE"""),"Bombillo Halogeno 12v H1 55w DFENG 1 Pat")</f>
        <v>Bombillo Halogeno 12v H1 55w DFENG 1 Pat</v>
      </c>
      <c r="C9042" s="380" t="str">
        <f>IFERROR(__xludf.DUMMYFUNCTION("""COMPUTED_VALUE"""),"70004462")</f>
        <v>70004462</v>
      </c>
      <c r="D9042" s="380" t="s">
        <v>767</v>
      </c>
      <c r="E9042" s="380" t="s">
        <v>786</v>
      </c>
      <c r="F9042" s="380" t="s">
        <v>998</v>
      </c>
      <c r="G9042" s="380" t="s">
        <v>1267</v>
      </c>
      <c r="H9042" s="380" t="s">
        <v>771</v>
      </c>
      <c r="I9042" s="380" t="s">
        <v>788</v>
      </c>
      <c r="J9042" s="380" t="s">
        <v>773</v>
      </c>
      <c r="K9042" s="381">
        <v>0.0</v>
      </c>
      <c r="L9042" s="382">
        <v>1.0</v>
      </c>
    </row>
    <row r="9043">
      <c r="A9043" s="380" t="s">
        <v>9917</v>
      </c>
      <c r="B9043" s="380" t="str">
        <f>IFERROR(__xludf.DUMMYFUNCTION("""COMPUTED_VALUE"""),"Repuestos Varios Vehiculo Fundador")</f>
        <v>Repuestos Varios Vehiculo Fundador</v>
      </c>
      <c r="C9043" s="380" t="str">
        <f>IFERROR(__xludf.DUMMYFUNCTION("""COMPUTED_VALUE"""),"70004463")</f>
        <v>70004463</v>
      </c>
      <c r="D9043" s="380" t="s">
        <v>767</v>
      </c>
      <c r="E9043" s="380" t="s">
        <v>786</v>
      </c>
      <c r="F9043" s="380" t="s">
        <v>989</v>
      </c>
      <c r="G9043" s="380" t="s">
        <v>1267</v>
      </c>
      <c r="H9043" s="380" t="s">
        <v>771</v>
      </c>
      <c r="I9043" s="380" t="s">
        <v>788</v>
      </c>
      <c r="J9043" s="380" t="s">
        <v>773</v>
      </c>
      <c r="K9043" s="381">
        <v>0.0</v>
      </c>
      <c r="L9043" s="382">
        <v>1.0</v>
      </c>
    </row>
    <row r="9044">
      <c r="A9044" s="380" t="s">
        <v>9918</v>
      </c>
      <c r="B9044" s="380" t="str">
        <f>IFERROR(__xludf.DUMMYFUNCTION("""COMPUTED_VALUE"""),"Puntera DER Bomper Chasis Lt Int 4057029")</f>
        <v>Puntera DER Bomper Chasis Lt Int 4057029</v>
      </c>
      <c r="C9044" s="380" t="str">
        <f>IFERROR(__xludf.DUMMYFUNCTION("""COMPUTED_VALUE"""),"70004464")</f>
        <v>70004464</v>
      </c>
      <c r="D9044" s="380" t="s">
        <v>767</v>
      </c>
      <c r="E9044" s="380" t="s">
        <v>786</v>
      </c>
      <c r="F9044" s="380" t="s">
        <v>792</v>
      </c>
      <c r="G9044" s="380" t="s">
        <v>1267</v>
      </c>
      <c r="H9044" s="380" t="s">
        <v>771</v>
      </c>
      <c r="I9044" s="380" t="s">
        <v>788</v>
      </c>
      <c r="J9044" s="380" t="s">
        <v>773</v>
      </c>
      <c r="K9044" s="381">
        <v>0.0</v>
      </c>
      <c r="L9044" s="382">
        <v>1.0</v>
      </c>
    </row>
    <row r="9045">
      <c r="A9045" s="380" t="s">
        <v>9919</v>
      </c>
      <c r="B9045" s="380" t="str">
        <f>IFERROR(__xludf.DUMMYFUNCTION("""COMPUTED_VALUE"""),"Sensor Pedal Freno Fot Bj5 7705946027670")</f>
        <v>Sensor Pedal Freno Fot Bj5 7705946027670</v>
      </c>
      <c r="C9045" s="380" t="str">
        <f>IFERROR(__xludf.DUMMYFUNCTION("""COMPUTED_VALUE"""),"70004465")</f>
        <v>70004465</v>
      </c>
      <c r="D9045" s="380" t="s">
        <v>767</v>
      </c>
      <c r="E9045" s="380" t="s">
        <v>786</v>
      </c>
      <c r="F9045" s="380" t="s">
        <v>998</v>
      </c>
      <c r="G9045" s="380" t="s">
        <v>1267</v>
      </c>
      <c r="H9045" s="380" t="s">
        <v>771</v>
      </c>
      <c r="I9045" s="380" t="s">
        <v>788</v>
      </c>
      <c r="J9045" s="380" t="s">
        <v>773</v>
      </c>
      <c r="K9045" s="381">
        <v>0.0</v>
      </c>
      <c r="L9045" s="382">
        <v>1.0</v>
      </c>
    </row>
    <row r="9046">
      <c r="A9046" s="380" t="s">
        <v>9920</v>
      </c>
      <c r="B9046" s="380" t="str">
        <f>IFERROR(__xludf.DUMMYFUNCTION("""COMPUTED_VALUE"""),"Soporte Inferior Capo Kw T800 L77144")</f>
        <v>Soporte Inferior Capo Kw T800 L77144</v>
      </c>
      <c r="C9046" s="380" t="str">
        <f>IFERROR(__xludf.DUMMYFUNCTION("""COMPUTED_VALUE"""),"70004466")</f>
        <v>70004466</v>
      </c>
      <c r="D9046" s="380" t="s">
        <v>767</v>
      </c>
      <c r="E9046" s="380" t="s">
        <v>786</v>
      </c>
      <c r="F9046" s="380" t="s">
        <v>792</v>
      </c>
      <c r="G9046" s="380" t="s">
        <v>1267</v>
      </c>
      <c r="H9046" s="380" t="s">
        <v>771</v>
      </c>
      <c r="I9046" s="380" t="s">
        <v>788</v>
      </c>
      <c r="J9046" s="380" t="s">
        <v>773</v>
      </c>
      <c r="K9046" s="381">
        <v>0.0</v>
      </c>
      <c r="L9046" s="382">
        <v>1.0</v>
      </c>
    </row>
    <row r="9047">
      <c r="A9047" s="380" t="s">
        <v>9921</v>
      </c>
      <c r="B9047" s="380" t="str">
        <f>IFERROR(__xludf.DUMMYFUNCTION("""COMPUTED_VALUE"""),"Tubo Salida RAD REN Master Mo 8200655255")</f>
        <v>Tubo Salida RAD REN Master Mo 8200655255</v>
      </c>
      <c r="C9047" s="380" t="str">
        <f>IFERROR(__xludf.DUMMYFUNCTION("""COMPUTED_VALUE"""),"70004467")</f>
        <v>70004467</v>
      </c>
      <c r="D9047" s="380" t="s">
        <v>767</v>
      </c>
      <c r="E9047" s="380" t="s">
        <v>786</v>
      </c>
      <c r="F9047" s="380" t="s">
        <v>787</v>
      </c>
      <c r="G9047" s="380" t="s">
        <v>1267</v>
      </c>
      <c r="H9047" s="380" t="s">
        <v>771</v>
      </c>
      <c r="I9047" s="380" t="s">
        <v>788</v>
      </c>
      <c r="J9047" s="380" t="s">
        <v>773</v>
      </c>
      <c r="K9047" s="381">
        <v>0.0</v>
      </c>
      <c r="L9047" s="382">
        <v>1.0</v>
      </c>
    </row>
    <row r="9048">
      <c r="A9048" s="380" t="s">
        <v>9922</v>
      </c>
      <c r="B9048" s="380" t="str">
        <f>IFERROR(__xludf.DUMMYFUNCTION("""COMPUTED_VALUE"""),"Tubo AIR Turbo REN Master Mod 8200730589")</f>
        <v>Tubo AIR Turbo REN Master Mod 8200730589</v>
      </c>
      <c r="C9048" s="380" t="str">
        <f>IFERROR(__xludf.DUMMYFUNCTION("""COMPUTED_VALUE"""),"70004468")</f>
        <v>70004468</v>
      </c>
      <c r="D9048" s="380" t="s">
        <v>767</v>
      </c>
      <c r="E9048" s="380" t="s">
        <v>786</v>
      </c>
      <c r="F9048" s="380" t="s">
        <v>787</v>
      </c>
      <c r="G9048" s="380" t="s">
        <v>1267</v>
      </c>
      <c r="H9048" s="380" t="s">
        <v>771</v>
      </c>
      <c r="I9048" s="380" t="s">
        <v>788</v>
      </c>
      <c r="J9048" s="380" t="s">
        <v>773</v>
      </c>
      <c r="K9048" s="381">
        <v>0.0</v>
      </c>
      <c r="L9048" s="382">
        <v>1.0</v>
      </c>
    </row>
    <row r="9049">
      <c r="A9049" s="380" t="s">
        <v>9923</v>
      </c>
      <c r="B9049" s="380" t="str">
        <f>IFERROR(__xludf.DUMMYFUNCTION("""COMPUTED_VALUE"""),"Tubo Gases Turbo REN Master M 223214864r")</f>
        <v>Tubo Gases Turbo REN Master M 223214864r</v>
      </c>
      <c r="C9049" s="380" t="str">
        <f>IFERROR(__xludf.DUMMYFUNCTION("""COMPUTED_VALUE"""),"70004469")</f>
        <v>70004469</v>
      </c>
      <c r="D9049" s="380" t="s">
        <v>767</v>
      </c>
      <c r="E9049" s="380" t="s">
        <v>786</v>
      </c>
      <c r="F9049" s="380" t="s">
        <v>787</v>
      </c>
      <c r="G9049" s="380" t="s">
        <v>1267</v>
      </c>
      <c r="H9049" s="380" t="s">
        <v>771</v>
      </c>
      <c r="I9049" s="380" t="s">
        <v>788</v>
      </c>
      <c r="J9049" s="380" t="s">
        <v>773</v>
      </c>
      <c r="K9049" s="381">
        <v>0.0</v>
      </c>
      <c r="L9049" s="382">
        <v>1.0</v>
      </c>
    </row>
    <row r="9050">
      <c r="A9050" s="380" t="s">
        <v>9924</v>
      </c>
      <c r="B9050" s="380" t="str">
        <f>IFERROR(__xludf.DUMMYFUNCTION("""COMPUTED_VALUE"""),"Puntera IZQ Bomper Chasis Lt Int 4057028")</f>
        <v>Puntera IZQ Bomper Chasis Lt Int 4057028</v>
      </c>
      <c r="C9050" s="380" t="str">
        <f>IFERROR(__xludf.DUMMYFUNCTION("""COMPUTED_VALUE"""),"70004470")</f>
        <v>70004470</v>
      </c>
      <c r="D9050" s="380" t="s">
        <v>767</v>
      </c>
      <c r="E9050" s="380" t="s">
        <v>786</v>
      </c>
      <c r="F9050" s="380" t="s">
        <v>792</v>
      </c>
      <c r="G9050" s="380" t="s">
        <v>1267</v>
      </c>
      <c r="H9050" s="380" t="s">
        <v>771</v>
      </c>
      <c r="I9050" s="380" t="s">
        <v>788</v>
      </c>
      <c r="J9050" s="380" t="s">
        <v>773</v>
      </c>
      <c r="K9050" s="381">
        <v>0.0</v>
      </c>
      <c r="L9050" s="382">
        <v>1.0</v>
      </c>
    </row>
    <row r="9051">
      <c r="A9051" s="380" t="s">
        <v>9925</v>
      </c>
      <c r="B9051" s="380" t="str">
        <f>IFERROR(__xludf.DUMMYFUNCTION("""COMPUTED_VALUE"""),"Cubierta Decorativa Bomper Cha 4112020c1")</f>
        <v>Cubierta Decorativa Bomper Cha 4112020c1</v>
      </c>
      <c r="C9051" s="380" t="str">
        <f>IFERROR(__xludf.DUMMYFUNCTION("""COMPUTED_VALUE"""),"70004471")</f>
        <v>70004471</v>
      </c>
      <c r="D9051" s="380" t="s">
        <v>767</v>
      </c>
      <c r="E9051" s="380" t="s">
        <v>786</v>
      </c>
      <c r="F9051" s="380" t="s">
        <v>792</v>
      </c>
      <c r="G9051" s="380" t="s">
        <v>1267</v>
      </c>
      <c r="H9051" s="380" t="s">
        <v>771</v>
      </c>
      <c r="I9051" s="380" t="s">
        <v>788</v>
      </c>
      <c r="J9051" s="380" t="s">
        <v>773</v>
      </c>
      <c r="K9051" s="381">
        <v>0.0</v>
      </c>
      <c r="L9051" s="382">
        <v>1.0</v>
      </c>
    </row>
    <row r="9052">
      <c r="A9052" s="380" t="s">
        <v>9926</v>
      </c>
      <c r="B9052" s="380" t="str">
        <f>IFERROR(__xludf.DUMMYFUNCTION("""COMPUTED_VALUE"""),"Bobina Ignicion FT Tm 30 7705946726689")</f>
        <v>Bobina Ignicion FT Tm 30 7705946726689</v>
      </c>
      <c r="C9052" s="380" t="str">
        <f>IFERROR(__xludf.DUMMYFUNCTION("""COMPUTED_VALUE"""),"70004472")</f>
        <v>70004472</v>
      </c>
      <c r="D9052" s="380" t="s">
        <v>767</v>
      </c>
      <c r="E9052" s="380" t="s">
        <v>786</v>
      </c>
      <c r="F9052" s="380" t="s">
        <v>998</v>
      </c>
      <c r="G9052" s="380" t="s">
        <v>1267</v>
      </c>
      <c r="H9052" s="380" t="s">
        <v>771</v>
      </c>
      <c r="I9052" s="380" t="s">
        <v>788</v>
      </c>
      <c r="J9052" s="380" t="s">
        <v>773</v>
      </c>
      <c r="K9052" s="381">
        <v>0.0</v>
      </c>
      <c r="L9052" s="382">
        <v>1.0</v>
      </c>
    </row>
    <row r="9053">
      <c r="A9053" s="380" t="s">
        <v>9927</v>
      </c>
      <c r="B9053" s="380" t="str">
        <f>IFERROR(__xludf.DUMMYFUNCTION("""COMPUTED_VALUE"""),"Tornillo Lubricacion BMB De Vacio Npr 20")</f>
        <v>Tornillo Lubricacion BMB De Vacio Npr 20</v>
      </c>
      <c r="C9053" s="380" t="str">
        <f>IFERROR(__xludf.DUMMYFUNCTION("""COMPUTED_VALUE"""),"70004473")</f>
        <v>70004473</v>
      </c>
      <c r="D9053" s="380" t="s">
        <v>767</v>
      </c>
      <c r="E9053" s="380" t="s">
        <v>786</v>
      </c>
      <c r="F9053" s="380" t="s">
        <v>787</v>
      </c>
      <c r="G9053" s="380" t="s">
        <v>1267</v>
      </c>
      <c r="H9053" s="380" t="s">
        <v>771</v>
      </c>
      <c r="I9053" s="380" t="s">
        <v>788</v>
      </c>
      <c r="J9053" s="380" t="s">
        <v>773</v>
      </c>
      <c r="K9053" s="381">
        <v>0.0</v>
      </c>
      <c r="L9053" s="382">
        <v>1.0</v>
      </c>
    </row>
    <row r="9054">
      <c r="A9054" s="380" t="s">
        <v>9928</v>
      </c>
      <c r="B9054" s="380" t="str">
        <f>IFERROR(__xludf.DUMMYFUNCTION("""COMPUTED_VALUE"""),"Tuerca Rueda Tras Foton 1039 1023086363")</f>
        <v>Tuerca Rueda Tras Foton 1039 1023086363</v>
      </c>
      <c r="C9054" s="380" t="str">
        <f>IFERROR(__xludf.DUMMYFUNCTION("""COMPUTED_VALUE"""),"70004474")</f>
        <v>70004474</v>
      </c>
      <c r="D9054" s="380" t="s">
        <v>767</v>
      </c>
      <c r="E9054" s="380" t="s">
        <v>786</v>
      </c>
      <c r="F9054" s="380" t="s">
        <v>1039</v>
      </c>
      <c r="G9054" s="380" t="s">
        <v>1267</v>
      </c>
      <c r="H9054" s="380" t="s">
        <v>771</v>
      </c>
      <c r="I9054" s="380" t="s">
        <v>788</v>
      </c>
      <c r="J9054" s="380" t="s">
        <v>773</v>
      </c>
      <c r="K9054" s="381">
        <v>18836.0</v>
      </c>
      <c r="L9054" s="382">
        <v>1.0</v>
      </c>
    </row>
    <row r="9055">
      <c r="A9055" s="380" t="s">
        <v>9929</v>
      </c>
      <c r="B9055" s="380" t="str">
        <f>IFERROR(__xludf.DUMMYFUNCTION("""COMPUTED_VALUE"""),"Esquinero Cabina Der FRR 8974075094")</f>
        <v>Esquinero Cabina Der FRR 8974075094</v>
      </c>
      <c r="C9055" s="380" t="str">
        <f>IFERROR(__xludf.DUMMYFUNCTION("""COMPUTED_VALUE"""),"70004475")</f>
        <v>70004475</v>
      </c>
      <c r="D9055" s="380" t="s">
        <v>767</v>
      </c>
      <c r="E9055" s="380" t="s">
        <v>786</v>
      </c>
      <c r="F9055" s="380" t="s">
        <v>792</v>
      </c>
      <c r="G9055" s="380" t="s">
        <v>1267</v>
      </c>
      <c r="H9055" s="380" t="s">
        <v>771</v>
      </c>
      <c r="I9055" s="380" t="s">
        <v>788</v>
      </c>
      <c r="J9055" s="380" t="s">
        <v>773</v>
      </c>
      <c r="K9055" s="381">
        <v>492819.0</v>
      </c>
      <c r="L9055" s="382">
        <v>1.0</v>
      </c>
    </row>
    <row r="9056">
      <c r="A9056" s="380" t="s">
        <v>9930</v>
      </c>
      <c r="B9056" s="380" t="str">
        <f>IFERROR(__xludf.DUMMYFUNCTION("""COMPUTED_VALUE"""),"INTruptor De Vidrio ELEC Fot Mv5 7705946")</f>
        <v>INTruptor De Vidrio ELEC Fot Mv5 7705946</v>
      </c>
      <c r="C9056" s="380" t="str">
        <f>IFERROR(__xludf.DUMMYFUNCTION("""COMPUTED_VALUE"""),"70004476")</f>
        <v>70004476</v>
      </c>
      <c r="D9056" s="380" t="s">
        <v>767</v>
      </c>
      <c r="E9056" s="380" t="s">
        <v>786</v>
      </c>
      <c r="F9056" s="380" t="s">
        <v>998</v>
      </c>
      <c r="G9056" s="380" t="s">
        <v>1267</v>
      </c>
      <c r="H9056" s="380" t="s">
        <v>771</v>
      </c>
      <c r="I9056" s="380" t="s">
        <v>788</v>
      </c>
      <c r="J9056" s="380" t="s">
        <v>773</v>
      </c>
      <c r="K9056" s="381">
        <v>0.0</v>
      </c>
      <c r="L9056" s="382">
        <v>1.0</v>
      </c>
    </row>
    <row r="9057">
      <c r="A9057" s="380" t="s">
        <v>9931</v>
      </c>
      <c r="B9057" s="380" t="str">
        <f>IFERROR(__xludf.DUMMYFUNCTION("""COMPUTED_VALUE"""),"INTruptor EMB Jac Jhr 3750720le010")</f>
        <v>INTruptor EMB Jac Jhr 3750720le010</v>
      </c>
      <c r="C9057" s="380" t="str">
        <f>IFERROR(__xludf.DUMMYFUNCTION("""COMPUTED_VALUE"""),"70004477")</f>
        <v>70004477</v>
      </c>
      <c r="D9057" s="380" t="s">
        <v>767</v>
      </c>
      <c r="E9057" s="380" t="s">
        <v>786</v>
      </c>
      <c r="F9057" s="380" t="s">
        <v>998</v>
      </c>
      <c r="G9057" s="380" t="s">
        <v>1267</v>
      </c>
      <c r="H9057" s="380" t="s">
        <v>771</v>
      </c>
      <c r="I9057" s="380" t="s">
        <v>788</v>
      </c>
      <c r="J9057" s="380" t="s">
        <v>773</v>
      </c>
      <c r="K9057" s="381">
        <v>0.0</v>
      </c>
      <c r="L9057" s="382">
        <v>1.0</v>
      </c>
    </row>
    <row r="9058">
      <c r="A9058" s="380" t="s">
        <v>9932</v>
      </c>
      <c r="B9058" s="380" t="str">
        <f>IFERROR(__xludf.DUMMYFUNCTION("""COMPUTED_VALUE"""),"Tapon Magnetico Diferencial EGL 586049c1")</f>
        <v>Tapon Magnetico Diferencial EGL 586049c1</v>
      </c>
      <c r="C9058" s="380" t="str">
        <f>IFERROR(__xludf.DUMMYFUNCTION("""COMPUTED_VALUE"""),"70004478")</f>
        <v>70004478</v>
      </c>
      <c r="D9058" s="380" t="s">
        <v>767</v>
      </c>
      <c r="E9058" s="380" t="s">
        <v>786</v>
      </c>
      <c r="F9058" s="380" t="s">
        <v>928</v>
      </c>
      <c r="G9058" s="380" t="s">
        <v>1267</v>
      </c>
      <c r="H9058" s="380" t="s">
        <v>771</v>
      </c>
      <c r="I9058" s="380" t="s">
        <v>788</v>
      </c>
      <c r="J9058" s="380" t="s">
        <v>773</v>
      </c>
      <c r="K9058" s="381">
        <v>0.0</v>
      </c>
      <c r="L9058" s="382">
        <v>1.0</v>
      </c>
    </row>
    <row r="9059">
      <c r="A9059" s="380" t="s">
        <v>9933</v>
      </c>
      <c r="B9059" s="380" t="str">
        <f>IFERROR(__xludf.DUMMYFUNCTION("""COMPUTED_VALUE"""),"Sensor Rev Foton 1065 Ca3dc 5946654227")</f>
        <v>Sensor Rev Foton 1065 Ca3dc 5946654227</v>
      </c>
      <c r="C9059" s="380" t="str">
        <f>IFERROR(__xludf.DUMMYFUNCTION("""COMPUTED_VALUE"""),"70004479")</f>
        <v>70004479</v>
      </c>
      <c r="D9059" s="380" t="s">
        <v>767</v>
      </c>
      <c r="E9059" s="380" t="s">
        <v>786</v>
      </c>
      <c r="F9059" s="380" t="s">
        <v>998</v>
      </c>
      <c r="G9059" s="380" t="s">
        <v>1267</v>
      </c>
      <c r="H9059" s="380" t="s">
        <v>771</v>
      </c>
      <c r="I9059" s="380" t="s">
        <v>788</v>
      </c>
      <c r="J9059" s="380" t="s">
        <v>773</v>
      </c>
      <c r="K9059" s="381">
        <v>0.0</v>
      </c>
      <c r="L9059" s="382">
        <v>1.0</v>
      </c>
    </row>
    <row r="9060">
      <c r="A9060" s="380" t="s">
        <v>9934</v>
      </c>
      <c r="B9060" s="380" t="str">
        <f>IFERROR(__xludf.DUMMYFUNCTION("""COMPUTED_VALUE"""),"Amortiguador Del Con Espiral 5946043205")</f>
        <v>Amortiguador Del Con Espiral 5946043205</v>
      </c>
      <c r="C9060" s="380" t="str">
        <f>IFERROR(__xludf.DUMMYFUNCTION("""COMPUTED_VALUE"""),"70004480")</f>
        <v>70004480</v>
      </c>
      <c r="D9060" s="380" t="s">
        <v>767</v>
      </c>
      <c r="E9060" s="380" t="s">
        <v>786</v>
      </c>
      <c r="F9060" s="380" t="s">
        <v>1039</v>
      </c>
      <c r="G9060" s="380" t="s">
        <v>1267</v>
      </c>
      <c r="H9060" s="380" t="s">
        <v>771</v>
      </c>
      <c r="I9060" s="380" t="s">
        <v>788</v>
      </c>
      <c r="J9060" s="380" t="s">
        <v>773</v>
      </c>
      <c r="K9060" s="381">
        <v>0.0</v>
      </c>
      <c r="L9060" s="382">
        <v>1.0</v>
      </c>
    </row>
    <row r="9061">
      <c r="A9061" s="380" t="s">
        <v>9935</v>
      </c>
      <c r="B9061" s="380" t="str">
        <f>IFERROR(__xludf.DUMMYFUNCTION("""COMPUTED_VALUE"""),"Amortiguador Del Con Espiral 5946043199")</f>
        <v>Amortiguador Del Con Espiral 5946043199</v>
      </c>
      <c r="C9061" s="380" t="str">
        <f>IFERROR(__xludf.DUMMYFUNCTION("""COMPUTED_VALUE"""),"70004481")</f>
        <v>70004481</v>
      </c>
      <c r="D9061" s="380" t="s">
        <v>767</v>
      </c>
      <c r="E9061" s="380" t="s">
        <v>786</v>
      </c>
      <c r="F9061" s="380" t="s">
        <v>1039</v>
      </c>
      <c r="G9061" s="380" t="s">
        <v>1267</v>
      </c>
      <c r="H9061" s="380" t="s">
        <v>771</v>
      </c>
      <c r="I9061" s="380" t="s">
        <v>788</v>
      </c>
      <c r="J9061" s="380" t="s">
        <v>773</v>
      </c>
      <c r="K9061" s="381">
        <v>0.0</v>
      </c>
      <c r="L9061" s="382">
        <v>1.0</v>
      </c>
    </row>
    <row r="9062">
      <c r="A9062" s="380" t="s">
        <v>9936</v>
      </c>
      <c r="B9062" s="380" t="str">
        <f>IFERROR(__xludf.DUMMYFUNCTION("""COMPUTED_VALUE"""),"SENS Presion Aceite Isf3 8 FT 1023331494")</f>
        <v>SENS Presion Aceite Isf3 8 FT 1023331494</v>
      </c>
      <c r="C9062" s="380" t="str">
        <f>IFERROR(__xludf.DUMMYFUNCTION("""COMPUTED_VALUE"""),"70004482")</f>
        <v>70004482</v>
      </c>
      <c r="D9062" s="380" t="s">
        <v>767</v>
      </c>
      <c r="E9062" s="380" t="s">
        <v>786</v>
      </c>
      <c r="F9062" s="380" t="s">
        <v>998</v>
      </c>
      <c r="G9062" s="380" t="s">
        <v>1267</v>
      </c>
      <c r="H9062" s="380" t="s">
        <v>771</v>
      </c>
      <c r="I9062" s="380" t="s">
        <v>788</v>
      </c>
      <c r="J9062" s="380" t="s">
        <v>773</v>
      </c>
      <c r="K9062" s="381">
        <v>0.0</v>
      </c>
      <c r="L9062" s="382">
        <v>1.0</v>
      </c>
    </row>
    <row r="9063">
      <c r="A9063" s="380" t="s">
        <v>9937</v>
      </c>
      <c r="B9063" s="380" t="str">
        <f>IFERROR(__xludf.DUMMYFUNCTION("""COMPUTED_VALUE"""),"Valvula Relay Mack Sr-7 7600 2596561c91")</f>
        <v>Valvula Relay Mack Sr-7 7600 2596561c91</v>
      </c>
      <c r="C9063" s="380" t="str">
        <f>IFERROR(__xludf.DUMMYFUNCTION("""COMPUTED_VALUE"""),"70004483")</f>
        <v>70004483</v>
      </c>
      <c r="D9063" s="380" t="s">
        <v>767</v>
      </c>
      <c r="E9063" s="380" t="s">
        <v>786</v>
      </c>
      <c r="F9063" s="380" t="s">
        <v>1017</v>
      </c>
      <c r="G9063" s="380" t="s">
        <v>1267</v>
      </c>
      <c r="H9063" s="380" t="s">
        <v>771</v>
      </c>
      <c r="I9063" s="380" t="s">
        <v>788</v>
      </c>
      <c r="J9063" s="380" t="s">
        <v>773</v>
      </c>
      <c r="K9063" s="381">
        <v>0.0</v>
      </c>
      <c r="L9063" s="382">
        <v>1.0</v>
      </c>
    </row>
    <row r="9064">
      <c r="A9064" s="380" t="s">
        <v>9938</v>
      </c>
      <c r="B9064" s="380" t="str">
        <f>IFERROR(__xludf.DUMMYFUNCTION("""COMPUTED_VALUE"""),"Bombillo Lampara Halogena H11 1525806")</f>
        <v>Bombillo Lampara Halogena H11 1525806</v>
      </c>
      <c r="C9064" s="380" t="str">
        <f>IFERROR(__xludf.DUMMYFUNCTION("""COMPUTED_VALUE"""),"70004484")</f>
        <v>70004484</v>
      </c>
      <c r="D9064" s="380" t="s">
        <v>767</v>
      </c>
      <c r="E9064" s="380" t="s">
        <v>786</v>
      </c>
      <c r="F9064" s="380" t="s">
        <v>998</v>
      </c>
      <c r="G9064" s="380" t="s">
        <v>1267</v>
      </c>
      <c r="H9064" s="380" t="s">
        <v>771</v>
      </c>
      <c r="I9064" s="380" t="s">
        <v>788</v>
      </c>
      <c r="J9064" s="380" t="s">
        <v>773</v>
      </c>
      <c r="K9064" s="381">
        <v>31589.0</v>
      </c>
      <c r="L9064" s="382">
        <v>1.0</v>
      </c>
    </row>
    <row r="9065">
      <c r="A9065" s="380" t="s">
        <v>9939</v>
      </c>
      <c r="B9065" s="380" t="str">
        <f>IFERROR(__xludf.DUMMYFUNCTION("""COMPUTED_VALUE"""),"Bombillo Lampara Hgena H7 Masterlife 24")</f>
        <v>Bombillo Lampara Hgena H7 Masterlife 24</v>
      </c>
      <c r="C9065" s="380" t="str">
        <f>IFERROR(__xludf.DUMMYFUNCTION("""COMPUTED_VALUE"""),"70004485")</f>
        <v>70004485</v>
      </c>
      <c r="D9065" s="380" t="s">
        <v>767</v>
      </c>
      <c r="E9065" s="380" t="s">
        <v>786</v>
      </c>
      <c r="F9065" s="380" t="s">
        <v>998</v>
      </c>
      <c r="G9065" s="380" t="s">
        <v>1267</v>
      </c>
      <c r="H9065" s="380" t="s">
        <v>771</v>
      </c>
      <c r="I9065" s="380" t="s">
        <v>788</v>
      </c>
      <c r="J9065" s="380" t="s">
        <v>773</v>
      </c>
      <c r="K9065" s="381">
        <v>0.0</v>
      </c>
      <c r="L9065" s="382">
        <v>1.0</v>
      </c>
    </row>
    <row r="9066">
      <c r="A9066" s="380" t="s">
        <v>9940</v>
      </c>
      <c r="B9066" s="380" t="str">
        <f>IFERROR(__xludf.DUMMYFUNCTION("""COMPUTED_VALUE"""),"Conector SENS Posición MOT FT 103 Dj0040")</f>
        <v>Conector SENS Posición MOT FT 103 Dj0040</v>
      </c>
      <c r="C9066" s="380" t="str">
        <f>IFERROR(__xludf.DUMMYFUNCTION("""COMPUTED_VALUE"""),"70004486")</f>
        <v>70004486</v>
      </c>
      <c r="D9066" s="380" t="s">
        <v>767</v>
      </c>
      <c r="E9066" s="380" t="s">
        <v>786</v>
      </c>
      <c r="F9066" s="380" t="s">
        <v>998</v>
      </c>
      <c r="G9066" s="380" t="s">
        <v>1267</v>
      </c>
      <c r="H9066" s="380" t="s">
        <v>771</v>
      </c>
      <c r="I9066" s="380" t="s">
        <v>788</v>
      </c>
      <c r="J9066" s="380" t="s">
        <v>773</v>
      </c>
      <c r="K9066" s="381">
        <v>0.0</v>
      </c>
      <c r="L9066" s="382">
        <v>1.0</v>
      </c>
    </row>
    <row r="9067">
      <c r="A9067" s="380" t="s">
        <v>9941</v>
      </c>
      <c r="B9067" s="380" t="str">
        <f>IFERROR(__xludf.DUMMYFUNCTION("""COMPUTED_VALUE"""),"Harnes Motor Chevrolet N200 24533101")</f>
        <v>Harnes Motor Chevrolet N200 24533101</v>
      </c>
      <c r="C9067" s="380" t="str">
        <f>IFERROR(__xludf.DUMMYFUNCTION("""COMPUTED_VALUE"""),"70004487")</f>
        <v>70004487</v>
      </c>
      <c r="D9067" s="380" t="s">
        <v>767</v>
      </c>
      <c r="E9067" s="380" t="s">
        <v>786</v>
      </c>
      <c r="F9067" s="380" t="s">
        <v>998</v>
      </c>
      <c r="G9067" s="380" t="s">
        <v>1267</v>
      </c>
      <c r="H9067" s="380" t="s">
        <v>771</v>
      </c>
      <c r="I9067" s="380" t="s">
        <v>788</v>
      </c>
      <c r="J9067" s="380" t="s">
        <v>773</v>
      </c>
      <c r="K9067" s="381">
        <v>0.0</v>
      </c>
      <c r="L9067" s="382">
        <v>1.0</v>
      </c>
    </row>
    <row r="9068">
      <c r="A9068" s="380" t="s">
        <v>9942</v>
      </c>
      <c r="B9068" s="380" t="str">
        <f>IFERROR(__xludf.DUMMYFUNCTION("""COMPUTED_VALUE"""),"Banda Freno DEL FT 1128 Remachada")</f>
        <v>Banda Freno DEL FT 1128 Remachada</v>
      </c>
      <c r="C9068" s="380" t="str">
        <f>IFERROR(__xludf.DUMMYFUNCTION("""COMPUTED_VALUE"""),"70004488")</f>
        <v>70004488</v>
      </c>
      <c r="D9068" s="380" t="s">
        <v>767</v>
      </c>
      <c r="E9068" s="380" t="s">
        <v>786</v>
      </c>
      <c r="F9068" s="380" t="s">
        <v>1017</v>
      </c>
      <c r="G9068" s="380" t="s">
        <v>1267</v>
      </c>
      <c r="H9068" s="380" t="s">
        <v>771</v>
      </c>
      <c r="I9068" s="380" t="s">
        <v>788</v>
      </c>
      <c r="J9068" s="380" t="s">
        <v>773</v>
      </c>
      <c r="K9068" s="381">
        <v>0.0</v>
      </c>
      <c r="L9068" s="382">
        <v>1.0</v>
      </c>
    </row>
    <row r="9069">
      <c r="A9069" s="380" t="s">
        <v>9943</v>
      </c>
      <c r="B9069" s="380" t="str">
        <f>IFERROR(__xludf.DUMMYFUNCTION("""COMPUTED_VALUE"""),"Switch Elevavidrios Master Izq 3544934c6")</f>
        <v>Switch Elevavidrios Master Izq 3544934c6</v>
      </c>
      <c r="C9069" s="380" t="str">
        <f>IFERROR(__xludf.DUMMYFUNCTION("""COMPUTED_VALUE"""),"70004489")</f>
        <v>70004489</v>
      </c>
      <c r="D9069" s="380" t="s">
        <v>767</v>
      </c>
      <c r="E9069" s="380" t="s">
        <v>786</v>
      </c>
      <c r="F9069" s="380" t="s">
        <v>998</v>
      </c>
      <c r="G9069" s="380" t="s">
        <v>1267</v>
      </c>
      <c r="H9069" s="380" t="s">
        <v>771</v>
      </c>
      <c r="I9069" s="380" t="s">
        <v>788</v>
      </c>
      <c r="J9069" s="380" t="s">
        <v>773</v>
      </c>
      <c r="K9069" s="381">
        <v>1235487.0</v>
      </c>
      <c r="L9069" s="382">
        <v>1.0</v>
      </c>
    </row>
    <row r="9070">
      <c r="A9070" s="380" t="s">
        <v>9944</v>
      </c>
      <c r="B9070" s="380" t="str">
        <f>IFERROR(__xludf.DUMMYFUNCTION("""COMPUTED_VALUE"""),"Guaya Freno Parqueo FT Minitr 5946764254")</f>
        <v>Guaya Freno Parqueo FT Minitr 5946764254</v>
      </c>
      <c r="C9070" s="380" t="str">
        <f>IFERROR(__xludf.DUMMYFUNCTION("""COMPUTED_VALUE"""),"70004490")</f>
        <v>70004490</v>
      </c>
      <c r="D9070" s="380" t="s">
        <v>767</v>
      </c>
      <c r="E9070" s="380" t="s">
        <v>786</v>
      </c>
      <c r="F9070" s="380" t="s">
        <v>1017</v>
      </c>
      <c r="G9070" s="380" t="s">
        <v>1267</v>
      </c>
      <c r="H9070" s="380" t="s">
        <v>771</v>
      </c>
      <c r="I9070" s="380" t="s">
        <v>788</v>
      </c>
      <c r="J9070" s="380" t="s">
        <v>773</v>
      </c>
      <c r="K9070" s="381">
        <v>0.0</v>
      </c>
      <c r="L9070" s="382">
        <v>1.0</v>
      </c>
    </row>
    <row r="9071">
      <c r="A9071" s="380" t="s">
        <v>9945</v>
      </c>
      <c r="B9071" s="380" t="str">
        <f>IFERROR(__xludf.DUMMYFUNCTION("""COMPUTED_VALUE"""),"Parabrisas Laminado Daf Cf480 Ftt Fabric")</f>
        <v>Parabrisas Laminado Daf Cf480 Ftt Fabric</v>
      </c>
      <c r="C9071" s="380" t="str">
        <f>IFERROR(__xludf.DUMMYFUNCTION("""COMPUTED_VALUE"""),"70004491")</f>
        <v>70004491</v>
      </c>
      <c r="D9071" s="380" t="s">
        <v>767</v>
      </c>
      <c r="E9071" s="380" t="s">
        <v>786</v>
      </c>
      <c r="F9071" s="380" t="s">
        <v>792</v>
      </c>
      <c r="G9071" s="380" t="s">
        <v>1267</v>
      </c>
      <c r="H9071" s="380" t="s">
        <v>771</v>
      </c>
      <c r="I9071" s="380" t="s">
        <v>788</v>
      </c>
      <c r="J9071" s="380" t="s">
        <v>773</v>
      </c>
      <c r="K9071" s="381">
        <v>0.0</v>
      </c>
      <c r="L9071" s="382">
        <v>1.0</v>
      </c>
    </row>
    <row r="9072">
      <c r="A9072" s="380" t="s">
        <v>9946</v>
      </c>
      <c r="B9072" s="380" t="str">
        <f>IFERROR(__xludf.DUMMYFUNCTION("""COMPUTED_VALUE"""),"Guaya Cambios Foton Mv5 5946025096")</f>
        <v>Guaya Cambios Foton Mv5 5946025096</v>
      </c>
      <c r="C9072" s="380" t="str">
        <f>IFERROR(__xludf.DUMMYFUNCTION("""COMPUTED_VALUE"""),"70004492")</f>
        <v>70004492</v>
      </c>
      <c r="D9072" s="380" t="s">
        <v>767</v>
      </c>
      <c r="E9072" s="380" t="s">
        <v>786</v>
      </c>
      <c r="F9072" s="380" t="s">
        <v>928</v>
      </c>
      <c r="G9072" s="380" t="s">
        <v>1267</v>
      </c>
      <c r="H9072" s="380" t="s">
        <v>771</v>
      </c>
      <c r="I9072" s="380" t="s">
        <v>788</v>
      </c>
      <c r="J9072" s="380" t="s">
        <v>773</v>
      </c>
      <c r="K9072" s="381">
        <v>0.0</v>
      </c>
      <c r="L9072" s="382">
        <v>1.0</v>
      </c>
    </row>
    <row r="9073">
      <c r="A9073" s="380" t="s">
        <v>9947</v>
      </c>
      <c r="B9073" s="380" t="str">
        <f>IFERROR(__xludf.DUMMYFUNCTION("""COMPUTED_VALUE"""),"Relay Pito Hino 4 Patas 24v 9098702017")</f>
        <v>Relay Pito Hino 4 Patas 24v 9098702017</v>
      </c>
      <c r="C9073" s="380" t="str">
        <f>IFERROR(__xludf.DUMMYFUNCTION("""COMPUTED_VALUE"""),"70004493")</f>
        <v>70004493</v>
      </c>
      <c r="D9073" s="380" t="s">
        <v>767</v>
      </c>
      <c r="E9073" s="380" t="s">
        <v>786</v>
      </c>
      <c r="F9073" s="380" t="s">
        <v>998</v>
      </c>
      <c r="G9073" s="380" t="s">
        <v>1267</v>
      </c>
      <c r="H9073" s="380" t="s">
        <v>771</v>
      </c>
      <c r="I9073" s="380" t="s">
        <v>788</v>
      </c>
      <c r="J9073" s="380" t="s">
        <v>773</v>
      </c>
      <c r="K9073" s="381">
        <v>0.0</v>
      </c>
      <c r="L9073" s="382">
        <v>1.0</v>
      </c>
    </row>
    <row r="9074">
      <c r="A9074" s="380" t="s">
        <v>9948</v>
      </c>
      <c r="B9074" s="380" t="str">
        <f>IFERROR(__xludf.DUMMYFUNCTION("""COMPUTED_VALUE"""),"Conjunto Carcasa Sello Aceite Cigueñal N")</f>
        <v>Conjunto Carcasa Sello Aceite Cigueñal N</v>
      </c>
      <c r="C9074" s="380" t="str">
        <f>IFERROR(__xludf.DUMMYFUNCTION("""COMPUTED_VALUE"""),"70004494")</f>
        <v>70004494</v>
      </c>
      <c r="D9074" s="380" t="s">
        <v>767</v>
      </c>
      <c r="E9074" s="380" t="s">
        <v>786</v>
      </c>
      <c r="F9074" s="380" t="s">
        <v>787</v>
      </c>
      <c r="G9074" s="380" t="s">
        <v>1267</v>
      </c>
      <c r="H9074" s="380" t="s">
        <v>771</v>
      </c>
      <c r="I9074" s="380" t="s">
        <v>788</v>
      </c>
      <c r="J9074" s="380" t="s">
        <v>773</v>
      </c>
      <c r="K9074" s="381">
        <v>0.0</v>
      </c>
      <c r="L9074" s="382">
        <v>1.0</v>
      </c>
    </row>
    <row r="9075">
      <c r="A9075" s="380" t="s">
        <v>9949</v>
      </c>
      <c r="B9075" s="380" t="str">
        <f>IFERROR(__xludf.DUMMYFUNCTION("""COMPUTED_VALUE"""),"RAD MOT FT Minitruck / Tm30 REP")</f>
        <v>RAD MOT FT Minitruck / Tm30 REP</v>
      </c>
      <c r="C9075" s="380" t="str">
        <f>IFERROR(__xludf.DUMMYFUNCTION("""COMPUTED_VALUE"""),"70004495")</f>
        <v>70004495</v>
      </c>
      <c r="D9075" s="380" t="s">
        <v>767</v>
      </c>
      <c r="E9075" s="380" t="s">
        <v>786</v>
      </c>
      <c r="F9075" s="380" t="s">
        <v>787</v>
      </c>
      <c r="G9075" s="380" t="s">
        <v>1267</v>
      </c>
      <c r="H9075" s="380" t="s">
        <v>771</v>
      </c>
      <c r="I9075" s="380" t="s">
        <v>788</v>
      </c>
      <c r="J9075" s="380" t="s">
        <v>773</v>
      </c>
      <c r="K9075" s="381">
        <v>0.0</v>
      </c>
      <c r="L9075" s="382">
        <v>1.0</v>
      </c>
    </row>
    <row r="9076">
      <c r="A9076" s="380" t="s">
        <v>9950</v>
      </c>
      <c r="B9076" s="380" t="str">
        <f>IFERROR(__xludf.DUMMYFUNCTION("""COMPUTED_VALUE"""),"SOP Amort Super Tras Izq Newal EGL 35141")</f>
        <v>SOP Amort Super Tras Izq Newal EGL 35141</v>
      </c>
      <c r="C9076" s="380" t="str">
        <f>IFERROR(__xludf.DUMMYFUNCTION("""COMPUTED_VALUE"""),"70004496")</f>
        <v>70004496</v>
      </c>
      <c r="D9076" s="380" t="s">
        <v>767</v>
      </c>
      <c r="E9076" s="380" t="s">
        <v>786</v>
      </c>
      <c r="F9076" s="380" t="s">
        <v>1039</v>
      </c>
      <c r="G9076" s="380" t="s">
        <v>1267</v>
      </c>
      <c r="H9076" s="380" t="s">
        <v>771</v>
      </c>
      <c r="I9076" s="380" t="s">
        <v>788</v>
      </c>
      <c r="J9076" s="380" t="s">
        <v>773</v>
      </c>
      <c r="K9076" s="381">
        <v>0.0</v>
      </c>
      <c r="L9076" s="382">
        <v>1.0</v>
      </c>
    </row>
    <row r="9077">
      <c r="A9077" s="380" t="s">
        <v>9951</v>
      </c>
      <c r="B9077" s="380" t="str">
        <f>IFERROR(__xludf.DUMMYFUNCTION("""COMPUTED_VALUE"""),"SOP Amort Super Tras Dcho Neway EGL 3514")</f>
        <v>SOP Amort Super Tras Dcho Neway EGL 3514</v>
      </c>
      <c r="C9077" s="380" t="str">
        <f>IFERROR(__xludf.DUMMYFUNCTION("""COMPUTED_VALUE"""),"70004497")</f>
        <v>70004497</v>
      </c>
      <c r="D9077" s="380" t="s">
        <v>767</v>
      </c>
      <c r="E9077" s="380" t="s">
        <v>786</v>
      </c>
      <c r="F9077" s="380" t="s">
        <v>1039</v>
      </c>
      <c r="G9077" s="380" t="s">
        <v>1267</v>
      </c>
      <c r="H9077" s="380" t="s">
        <v>771</v>
      </c>
      <c r="I9077" s="380" t="s">
        <v>788</v>
      </c>
      <c r="J9077" s="380" t="s">
        <v>773</v>
      </c>
      <c r="K9077" s="381">
        <v>0.0</v>
      </c>
      <c r="L9077" s="382">
        <v>1.0</v>
      </c>
    </row>
    <row r="9078">
      <c r="A9078" s="380" t="s">
        <v>9952</v>
      </c>
      <c r="B9078" s="380" t="str">
        <f>IFERROR(__xludf.DUMMYFUNCTION("""COMPUTED_VALUE"""),"Bombillo Lampara Halogena H1 24v 70w P14")</f>
        <v>Bombillo Lampara Halogena H1 24v 70w P14</v>
      </c>
      <c r="C9078" s="380" t="str">
        <f>IFERROR(__xludf.DUMMYFUNCTION("""COMPUTED_VALUE"""),"70004498")</f>
        <v>70004498</v>
      </c>
      <c r="D9078" s="380" t="s">
        <v>767</v>
      </c>
      <c r="E9078" s="380" t="s">
        <v>786</v>
      </c>
      <c r="F9078" s="380" t="s">
        <v>998</v>
      </c>
      <c r="G9078" s="380" t="s">
        <v>1267</v>
      </c>
      <c r="H9078" s="380" t="s">
        <v>771</v>
      </c>
      <c r="I9078" s="380" t="s">
        <v>788</v>
      </c>
      <c r="J9078" s="380" t="s">
        <v>773</v>
      </c>
      <c r="K9078" s="381">
        <v>48198.0</v>
      </c>
      <c r="L9078" s="382">
        <v>1.0</v>
      </c>
    </row>
    <row r="9079">
      <c r="A9079" s="380" t="s">
        <v>9953</v>
      </c>
      <c r="B9079" s="380" t="str">
        <f>IFERROR(__xludf.DUMMYFUNCTION("""COMPUTED_VALUE"""),"Compresor Aire Acondicionado Lt Inter 38")</f>
        <v>Compresor Aire Acondicionado Lt Inter 38</v>
      </c>
      <c r="C9079" s="380" t="str">
        <f>IFERROR(__xludf.DUMMYFUNCTION("""COMPUTED_VALUE"""),"70004499")</f>
        <v>70004499</v>
      </c>
      <c r="D9079" s="380" t="s">
        <v>767</v>
      </c>
      <c r="E9079" s="380" t="s">
        <v>786</v>
      </c>
      <c r="F9079" s="380" t="s">
        <v>1031</v>
      </c>
      <c r="G9079" s="380" t="s">
        <v>1267</v>
      </c>
      <c r="H9079" s="380" t="s">
        <v>771</v>
      </c>
      <c r="I9079" s="380" t="s">
        <v>788</v>
      </c>
      <c r="J9079" s="380" t="s">
        <v>773</v>
      </c>
      <c r="K9079" s="381">
        <v>0.0</v>
      </c>
      <c r="L9079" s="382">
        <v>1.0</v>
      </c>
    </row>
    <row r="9080">
      <c r="A9080" s="380" t="s">
        <v>9954</v>
      </c>
      <c r="B9080" s="380" t="str">
        <f>IFERROR(__xludf.DUMMYFUNCTION("""COMPUTED_VALUE"""),"MANG Compresor Condensador A/C Lt Int 40")</f>
        <v>MANG Compresor Condensador A/C Lt Int 40</v>
      </c>
      <c r="C9080" s="380" t="str">
        <f>IFERROR(__xludf.DUMMYFUNCTION("""COMPUTED_VALUE"""),"70004500")</f>
        <v>70004500</v>
      </c>
      <c r="D9080" s="380" t="s">
        <v>767</v>
      </c>
      <c r="E9080" s="380" t="s">
        <v>786</v>
      </c>
      <c r="F9080" s="380" t="s">
        <v>1031</v>
      </c>
      <c r="G9080" s="380" t="s">
        <v>1267</v>
      </c>
      <c r="H9080" s="380" t="s">
        <v>771</v>
      </c>
      <c r="I9080" s="380" t="s">
        <v>788</v>
      </c>
      <c r="J9080" s="380" t="s">
        <v>773</v>
      </c>
      <c r="K9080" s="381">
        <v>1736429.0</v>
      </c>
      <c r="L9080" s="382">
        <v>1.0</v>
      </c>
    </row>
    <row r="9081">
      <c r="A9081" s="380" t="s">
        <v>9955</v>
      </c>
      <c r="B9081" s="380" t="str">
        <f>IFERROR(__xludf.DUMMYFUNCTION("""COMPUTED_VALUE"""),"Farola Izq Lt Inter 4049969c97")</f>
        <v>Farola Izq Lt Inter 4049969c97</v>
      </c>
      <c r="C9081" s="380" t="str">
        <f>IFERROR(__xludf.DUMMYFUNCTION("""COMPUTED_VALUE"""),"70004501")</f>
        <v>70004501</v>
      </c>
      <c r="D9081" s="380" t="s">
        <v>767</v>
      </c>
      <c r="E9081" s="380" t="s">
        <v>786</v>
      </c>
      <c r="F9081" s="380" t="s">
        <v>998</v>
      </c>
      <c r="G9081" s="380" t="s">
        <v>1267</v>
      </c>
      <c r="H9081" s="380" t="s">
        <v>771</v>
      </c>
      <c r="I9081" s="380" t="s">
        <v>788</v>
      </c>
      <c r="J9081" s="380" t="s">
        <v>773</v>
      </c>
      <c r="K9081" s="381">
        <v>1182480.0</v>
      </c>
      <c r="L9081" s="382">
        <v>1.0</v>
      </c>
    </row>
    <row r="9082">
      <c r="A9082" s="380" t="s">
        <v>9956</v>
      </c>
      <c r="B9082" s="380" t="str">
        <f>IFERROR(__xludf.DUMMYFUNCTION("""COMPUTED_VALUE"""),"MANG VALV Expan-Condens A/C Lt Int 41672")</f>
        <v>MANG VALV Expan-Condens A/C Lt Int 41672</v>
      </c>
      <c r="C9082" s="380" t="str">
        <f>IFERROR(__xludf.DUMMYFUNCTION("""COMPUTED_VALUE"""),"70004502")</f>
        <v>70004502</v>
      </c>
      <c r="D9082" s="380" t="s">
        <v>767</v>
      </c>
      <c r="E9082" s="380" t="s">
        <v>786</v>
      </c>
      <c r="F9082" s="380" t="s">
        <v>1031</v>
      </c>
      <c r="G9082" s="380" t="s">
        <v>1267</v>
      </c>
      <c r="H9082" s="380" t="s">
        <v>771</v>
      </c>
      <c r="I9082" s="380" t="s">
        <v>788</v>
      </c>
      <c r="J9082" s="380" t="s">
        <v>773</v>
      </c>
      <c r="K9082" s="381">
        <v>0.0</v>
      </c>
      <c r="L9082" s="382">
        <v>1.0</v>
      </c>
    </row>
    <row r="9083">
      <c r="A9083" s="380" t="s">
        <v>9957</v>
      </c>
      <c r="B9083" s="380" t="str">
        <f>IFERROR(__xludf.DUMMYFUNCTION("""COMPUTED_VALUE"""),"Farola Derecha Lt Int 4049970c97")</f>
        <v>Farola Derecha Lt Int 4049970c97</v>
      </c>
      <c r="C9083" s="380" t="str">
        <f>IFERROR(__xludf.DUMMYFUNCTION("""COMPUTED_VALUE"""),"70004503")</f>
        <v>70004503</v>
      </c>
      <c r="D9083" s="380" t="s">
        <v>767</v>
      </c>
      <c r="E9083" s="380" t="s">
        <v>786</v>
      </c>
      <c r="F9083" s="380" t="s">
        <v>998</v>
      </c>
      <c r="G9083" s="380" t="s">
        <v>1267</v>
      </c>
      <c r="H9083" s="380" t="s">
        <v>771</v>
      </c>
      <c r="I9083" s="380" t="s">
        <v>788</v>
      </c>
      <c r="J9083" s="380" t="s">
        <v>773</v>
      </c>
      <c r="K9083" s="381">
        <v>891900.0</v>
      </c>
      <c r="L9083" s="382">
        <v>1.0</v>
      </c>
    </row>
    <row r="9084">
      <c r="A9084" s="380" t="s">
        <v>9958</v>
      </c>
      <c r="B9084" s="380" t="str">
        <f>IFERROR(__xludf.DUMMYFUNCTION("""COMPUTED_VALUE"""),"Par Parasol Lh Tm1.5 Foton 7705946770774")</f>
        <v>Par Parasol Lh Tm1.5 Foton 7705946770774</v>
      </c>
      <c r="C9084" s="380" t="str">
        <f>IFERROR(__xludf.DUMMYFUNCTION("""COMPUTED_VALUE"""),"70004504")</f>
        <v>70004504</v>
      </c>
      <c r="D9084" s="380" t="s">
        <v>767</v>
      </c>
      <c r="E9084" s="380" t="s">
        <v>786</v>
      </c>
      <c r="F9084" s="380" t="s">
        <v>792</v>
      </c>
      <c r="G9084" s="380" t="s">
        <v>1267</v>
      </c>
      <c r="H9084" s="380" t="s">
        <v>771</v>
      </c>
      <c r="I9084" s="380" t="s">
        <v>788</v>
      </c>
      <c r="J9084" s="380" t="s">
        <v>773</v>
      </c>
      <c r="K9084" s="381">
        <v>0.0</v>
      </c>
      <c r="L9084" s="382">
        <v>1.0</v>
      </c>
    </row>
    <row r="9085">
      <c r="A9085" s="380" t="s">
        <v>9959</v>
      </c>
      <c r="B9085" s="380" t="str">
        <f>IFERROR(__xludf.DUMMYFUNCTION("""COMPUTED_VALUE"""),"Tubo Enfriador De Aceite DIRci 6136193c1")</f>
        <v>Tubo Enfriador De Aceite DIRci 6136193c1</v>
      </c>
      <c r="C9085" s="380" t="str">
        <f>IFERROR(__xludf.DUMMYFUNCTION("""COMPUTED_VALUE"""),"70004505")</f>
        <v>70004505</v>
      </c>
      <c r="D9085" s="380" t="s">
        <v>767</v>
      </c>
      <c r="E9085" s="380" t="s">
        <v>786</v>
      </c>
      <c r="F9085" s="380" t="s">
        <v>787</v>
      </c>
      <c r="G9085" s="380" t="s">
        <v>1267</v>
      </c>
      <c r="H9085" s="380" t="s">
        <v>771</v>
      </c>
      <c r="I9085" s="380" t="s">
        <v>788</v>
      </c>
      <c r="J9085" s="380" t="s">
        <v>773</v>
      </c>
      <c r="K9085" s="381">
        <v>167354.0</v>
      </c>
      <c r="L9085" s="382">
        <v>1.0</v>
      </c>
    </row>
    <row r="9086">
      <c r="A9086" s="380" t="s">
        <v>9960</v>
      </c>
      <c r="B9086" s="380" t="str">
        <f>IFERROR(__xludf.DUMMYFUNCTION("""COMPUTED_VALUE"""),"Deposito Hidraulico Direc Lt 4043002c91")</f>
        <v>Deposito Hidraulico Direc Lt 4043002c91</v>
      </c>
      <c r="C9086" s="380" t="str">
        <f>IFERROR(__xludf.DUMMYFUNCTION("""COMPUTED_VALUE"""),"70004506")</f>
        <v>70004506</v>
      </c>
      <c r="D9086" s="380" t="s">
        <v>767</v>
      </c>
      <c r="E9086" s="380" t="s">
        <v>786</v>
      </c>
      <c r="F9086" s="380" t="s">
        <v>1020</v>
      </c>
      <c r="G9086" s="380" t="s">
        <v>1267</v>
      </c>
      <c r="H9086" s="380" t="s">
        <v>771</v>
      </c>
      <c r="I9086" s="380" t="s">
        <v>788</v>
      </c>
      <c r="J9086" s="380" t="s">
        <v>773</v>
      </c>
      <c r="K9086" s="381">
        <v>0.0</v>
      </c>
      <c r="L9086" s="382">
        <v>1.0</v>
      </c>
    </row>
    <row r="9087">
      <c r="A9087" s="380" t="s">
        <v>9961</v>
      </c>
      <c r="B9087" s="380" t="str">
        <f>IFERROR(__xludf.DUMMYFUNCTION("""COMPUTED_VALUE"""),"Tope MUE Aux Tras Nkr Rewar 8972543870")</f>
        <v>Tope MUE Aux Tras Nkr Rewar 8972543870</v>
      </c>
      <c r="C9087" s="380" t="str">
        <f>IFERROR(__xludf.DUMMYFUNCTION("""COMPUTED_VALUE"""),"70004507")</f>
        <v>70004507</v>
      </c>
      <c r="D9087" s="380" t="s">
        <v>767</v>
      </c>
      <c r="E9087" s="380" t="s">
        <v>786</v>
      </c>
      <c r="F9087" s="380" t="s">
        <v>1039</v>
      </c>
      <c r="G9087" s="380" t="s">
        <v>1267</v>
      </c>
      <c r="H9087" s="380" t="s">
        <v>771</v>
      </c>
      <c r="I9087" s="380" t="s">
        <v>788</v>
      </c>
      <c r="J9087" s="380" t="s">
        <v>773</v>
      </c>
      <c r="K9087" s="381">
        <v>0.0</v>
      </c>
      <c r="L9087" s="382">
        <v>1.0</v>
      </c>
    </row>
    <row r="9088">
      <c r="A9088" s="380" t="s">
        <v>9962</v>
      </c>
      <c r="B9088" s="380" t="str">
        <f>IFERROR(__xludf.DUMMYFUNCTION("""COMPUTED_VALUE"""),"Cardan Completo N200 9001686")</f>
        <v>Cardan Completo N200 9001686</v>
      </c>
      <c r="C9088" s="380" t="str">
        <f>IFERROR(__xludf.DUMMYFUNCTION("""COMPUTED_VALUE"""),"70004508")</f>
        <v>70004508</v>
      </c>
      <c r="D9088" s="380" t="s">
        <v>767</v>
      </c>
      <c r="E9088" s="380" t="s">
        <v>786</v>
      </c>
      <c r="F9088" s="380" t="s">
        <v>5683</v>
      </c>
      <c r="G9088" s="380" t="s">
        <v>1267</v>
      </c>
      <c r="H9088" s="380" t="s">
        <v>771</v>
      </c>
      <c r="I9088" s="380" t="s">
        <v>788</v>
      </c>
      <c r="J9088" s="380" t="s">
        <v>773</v>
      </c>
      <c r="K9088" s="381">
        <v>0.0</v>
      </c>
      <c r="L9088" s="382">
        <v>1.0</v>
      </c>
    </row>
    <row r="9089">
      <c r="A9089" s="380" t="s">
        <v>9963</v>
      </c>
      <c r="B9089" s="380" t="str">
        <f>IFERROR(__xludf.DUMMYFUNCTION("""COMPUTED_VALUE"""),"Plato Freno Del Izq Nkr -Nhr 8973025870")</f>
        <v>Plato Freno Del Izq Nkr -Nhr 8973025870</v>
      </c>
      <c r="C9089" s="380" t="str">
        <f>IFERROR(__xludf.DUMMYFUNCTION("""COMPUTED_VALUE"""),"70004509")</f>
        <v>70004509</v>
      </c>
      <c r="D9089" s="380" t="s">
        <v>767</v>
      </c>
      <c r="E9089" s="380" t="s">
        <v>786</v>
      </c>
      <c r="F9089" s="380" t="s">
        <v>1017</v>
      </c>
      <c r="G9089" s="380" t="s">
        <v>1267</v>
      </c>
      <c r="H9089" s="380" t="s">
        <v>771</v>
      </c>
      <c r="I9089" s="380" t="s">
        <v>788</v>
      </c>
      <c r="J9089" s="380" t="s">
        <v>773</v>
      </c>
      <c r="K9089" s="381">
        <v>0.0</v>
      </c>
      <c r="L9089" s="382">
        <v>1.0</v>
      </c>
    </row>
    <row r="9090">
      <c r="A9090" s="380" t="s">
        <v>9964</v>
      </c>
      <c r="B9090" s="380" t="str">
        <f>IFERROR(__xludf.DUMMYFUNCTION("""COMPUTED_VALUE"""),"Cruceta Cardan Hyundai H100 Porter")</f>
        <v>Cruceta Cardan Hyundai H100 Porter</v>
      </c>
      <c r="C9090" s="380" t="str">
        <f>IFERROR(__xludf.DUMMYFUNCTION("""COMPUTED_VALUE"""),"70004510")</f>
        <v>70004510</v>
      </c>
      <c r="D9090" s="380" t="s">
        <v>767</v>
      </c>
      <c r="E9090" s="380" t="s">
        <v>786</v>
      </c>
      <c r="F9090" s="380" t="s">
        <v>5683</v>
      </c>
      <c r="G9090" s="380" t="s">
        <v>1267</v>
      </c>
      <c r="H9090" s="380" t="s">
        <v>771</v>
      </c>
      <c r="I9090" s="380" t="s">
        <v>788</v>
      </c>
      <c r="J9090" s="380" t="s">
        <v>773</v>
      </c>
      <c r="K9090" s="381">
        <v>0.0</v>
      </c>
      <c r="L9090" s="382">
        <v>1.0</v>
      </c>
    </row>
    <row r="9091">
      <c r="A9091" s="380" t="s">
        <v>9965</v>
      </c>
      <c r="B9091" s="380" t="str">
        <f>IFERROR(__xludf.DUMMYFUNCTION("""COMPUTED_VALUE"""),"Shims Camisa MOT VW 8185 5610034002")</f>
        <v>Shims Camisa MOT VW 8185 5610034002</v>
      </c>
      <c r="C9091" s="380" t="str">
        <f>IFERROR(__xludf.DUMMYFUNCTION("""COMPUTED_VALUE"""),"70004511")</f>
        <v>70004511</v>
      </c>
      <c r="D9091" s="380" t="s">
        <v>767</v>
      </c>
      <c r="E9091" s="380" t="s">
        <v>786</v>
      </c>
      <c r="F9091" s="380" t="s">
        <v>787</v>
      </c>
      <c r="G9091" s="380" t="s">
        <v>1267</v>
      </c>
      <c r="H9091" s="380" t="s">
        <v>771</v>
      </c>
      <c r="I9091" s="380" t="s">
        <v>788</v>
      </c>
      <c r="J9091" s="380" t="s">
        <v>773</v>
      </c>
      <c r="K9091" s="381">
        <v>0.0</v>
      </c>
      <c r="L9091" s="382">
        <v>1.0</v>
      </c>
    </row>
    <row r="9092">
      <c r="A9092" s="380" t="s">
        <v>9966</v>
      </c>
      <c r="B9092" s="380" t="str">
        <f>IFERROR(__xludf.DUMMYFUNCTION("""COMPUTED_VALUE"""),"Agarradera INTna PTA Izq FT 1 5948754965")</f>
        <v>Agarradera INTna PTA Izq FT 1 5948754965</v>
      </c>
      <c r="C9092" s="380" t="str">
        <f>IFERROR(__xludf.DUMMYFUNCTION("""COMPUTED_VALUE"""),"70004512")</f>
        <v>70004512</v>
      </c>
      <c r="D9092" s="380" t="s">
        <v>767</v>
      </c>
      <c r="E9092" s="380" t="s">
        <v>786</v>
      </c>
      <c r="F9092" s="380" t="s">
        <v>792</v>
      </c>
      <c r="G9092" s="380" t="s">
        <v>1267</v>
      </c>
      <c r="H9092" s="380" t="s">
        <v>771</v>
      </c>
      <c r="I9092" s="380" t="s">
        <v>788</v>
      </c>
      <c r="J9092" s="380" t="s">
        <v>773</v>
      </c>
      <c r="K9092" s="381">
        <v>0.0</v>
      </c>
      <c r="L9092" s="382">
        <v>1.0</v>
      </c>
    </row>
    <row r="9093">
      <c r="A9093" s="380" t="s">
        <v>9967</v>
      </c>
      <c r="B9093" s="380" t="str">
        <f>IFERROR(__xludf.DUMMYFUNCTION("""COMPUTED_VALUE"""),"Tubo Respiradero Foton Mv5 5946027984")</f>
        <v>Tubo Respiradero Foton Mv5 5946027984</v>
      </c>
      <c r="C9093" s="380" t="str">
        <f>IFERROR(__xludf.DUMMYFUNCTION("""COMPUTED_VALUE"""),"70004513")</f>
        <v>70004513</v>
      </c>
      <c r="D9093" s="380" t="s">
        <v>767</v>
      </c>
      <c r="E9093" s="380" t="s">
        <v>786</v>
      </c>
      <c r="F9093" s="380" t="s">
        <v>787</v>
      </c>
      <c r="G9093" s="380" t="s">
        <v>1267</v>
      </c>
      <c r="H9093" s="380" t="s">
        <v>771</v>
      </c>
      <c r="I9093" s="380" t="s">
        <v>788</v>
      </c>
      <c r="J9093" s="380" t="s">
        <v>773</v>
      </c>
      <c r="K9093" s="381">
        <v>0.0</v>
      </c>
      <c r="L9093" s="382">
        <v>1.0</v>
      </c>
    </row>
    <row r="9094">
      <c r="A9094" s="380" t="s">
        <v>9968</v>
      </c>
      <c r="B9094" s="380" t="str">
        <f>IFERROR(__xludf.DUMMYFUNCTION("""COMPUTED_VALUE"""),"MANG Respiradero MOT Fotton MV 596015752")</f>
        <v>MANG Respiradero MOT Fotton MV 596015752</v>
      </c>
      <c r="C9094" s="380" t="str">
        <f>IFERROR(__xludf.DUMMYFUNCTION("""COMPUTED_VALUE"""),"70004514")</f>
        <v>70004514</v>
      </c>
      <c r="D9094" s="380" t="s">
        <v>767</v>
      </c>
      <c r="E9094" s="380" t="s">
        <v>786</v>
      </c>
      <c r="F9094" s="380" t="s">
        <v>787</v>
      </c>
      <c r="G9094" s="380" t="s">
        <v>1267</v>
      </c>
      <c r="H9094" s="380" t="s">
        <v>771</v>
      </c>
      <c r="I9094" s="380" t="s">
        <v>788</v>
      </c>
      <c r="J9094" s="380" t="s">
        <v>773</v>
      </c>
      <c r="K9094" s="381">
        <v>0.0</v>
      </c>
      <c r="L9094" s="382">
        <v>1.0</v>
      </c>
    </row>
    <row r="9095">
      <c r="A9095" s="380" t="s">
        <v>9969</v>
      </c>
      <c r="B9095" s="380" t="str">
        <f>IFERROR(__xludf.DUMMYFUNCTION("""COMPUTED_VALUE"""),"Válvula Pcv Motor Foton Mv5 5946015745")</f>
        <v>Válvula Pcv Motor Foton Mv5 5946015745</v>
      </c>
      <c r="C9095" s="380" t="str">
        <f>IFERROR(__xludf.DUMMYFUNCTION("""COMPUTED_VALUE"""),"70004515")</f>
        <v>70004515</v>
      </c>
      <c r="D9095" s="380" t="s">
        <v>767</v>
      </c>
      <c r="E9095" s="380" t="s">
        <v>786</v>
      </c>
      <c r="F9095" s="380" t="s">
        <v>787</v>
      </c>
      <c r="G9095" s="380" t="s">
        <v>1267</v>
      </c>
      <c r="H9095" s="380" t="s">
        <v>771</v>
      </c>
      <c r="I9095" s="380" t="s">
        <v>788</v>
      </c>
      <c r="J9095" s="380" t="s">
        <v>773</v>
      </c>
      <c r="K9095" s="381">
        <v>0.0</v>
      </c>
      <c r="L9095" s="382">
        <v>1.0</v>
      </c>
    </row>
    <row r="9096">
      <c r="A9096" s="380" t="s">
        <v>9970</v>
      </c>
      <c r="B9096" s="380" t="str">
        <f>IFERROR(__xludf.DUMMYFUNCTION("""COMPUTED_VALUE"""),"Enfocador Radiador Mack Cxu 20971031")</f>
        <v>Enfocador Radiador Mack Cxu 20971031</v>
      </c>
      <c r="C9096" s="380" t="str">
        <f>IFERROR(__xludf.DUMMYFUNCTION("""COMPUTED_VALUE"""),"70004516")</f>
        <v>70004516</v>
      </c>
      <c r="D9096" s="380" t="s">
        <v>767</v>
      </c>
      <c r="E9096" s="380" t="s">
        <v>786</v>
      </c>
      <c r="F9096" s="380" t="s">
        <v>787</v>
      </c>
      <c r="G9096" s="380" t="s">
        <v>1267</v>
      </c>
      <c r="H9096" s="380" t="s">
        <v>771</v>
      </c>
      <c r="I9096" s="380" t="s">
        <v>788</v>
      </c>
      <c r="J9096" s="380" t="s">
        <v>773</v>
      </c>
      <c r="K9096" s="381">
        <v>0.0</v>
      </c>
      <c r="L9096" s="382">
        <v>1.0</v>
      </c>
    </row>
    <row r="9097">
      <c r="A9097" s="380" t="s">
        <v>9971</v>
      </c>
      <c r="B9097" s="380" t="str">
        <f>IFERROR(__xludf.DUMMYFUNCTION("""COMPUTED_VALUE"""),"Tapa Deposito Hidraulico Hino 44305e0010")</f>
        <v>Tapa Deposito Hidraulico Hino 44305e0010</v>
      </c>
      <c r="C9097" s="380" t="str">
        <f>IFERROR(__xludf.DUMMYFUNCTION("""COMPUTED_VALUE"""),"70004517")</f>
        <v>70004517</v>
      </c>
      <c r="D9097" s="380" t="s">
        <v>767</v>
      </c>
      <c r="E9097" s="380" t="s">
        <v>786</v>
      </c>
      <c r="F9097" s="380" t="s">
        <v>1020</v>
      </c>
      <c r="G9097" s="380" t="s">
        <v>1267</v>
      </c>
      <c r="H9097" s="380" t="s">
        <v>771</v>
      </c>
      <c r="I9097" s="380" t="s">
        <v>788</v>
      </c>
      <c r="J9097" s="380" t="s">
        <v>773</v>
      </c>
      <c r="K9097" s="381">
        <v>0.0</v>
      </c>
      <c r="L9097" s="382">
        <v>1.0</v>
      </c>
    </row>
    <row r="9098">
      <c r="A9098" s="380" t="s">
        <v>9972</v>
      </c>
      <c r="B9098" s="380" t="str">
        <f>IFERROR(__xludf.DUMMYFUNCTION("""COMPUTED_VALUE"""),"Reloj TEMP H2o 9400/97 (°f) 2023355c1")</f>
        <v>Reloj TEMP H2o 9400/97 (°f) 2023355c1</v>
      </c>
      <c r="C9098" s="380" t="str">
        <f>IFERROR(__xludf.DUMMYFUNCTION("""COMPUTED_VALUE"""),"70004518")</f>
        <v>70004518</v>
      </c>
      <c r="D9098" s="380" t="s">
        <v>767</v>
      </c>
      <c r="E9098" s="380" t="s">
        <v>786</v>
      </c>
      <c r="F9098" s="380" t="s">
        <v>998</v>
      </c>
      <c r="G9098" s="380" t="s">
        <v>1267</v>
      </c>
      <c r="H9098" s="380" t="s">
        <v>771</v>
      </c>
      <c r="I9098" s="380" t="s">
        <v>788</v>
      </c>
      <c r="J9098" s="380" t="s">
        <v>773</v>
      </c>
      <c r="K9098" s="381">
        <v>0.0</v>
      </c>
      <c r="L9098" s="382">
        <v>1.0</v>
      </c>
    </row>
    <row r="9099">
      <c r="A9099" s="380" t="s">
        <v>9973</v>
      </c>
      <c r="B9099" s="380" t="str">
        <f>IFERROR(__xludf.DUMMYFUNCTION("""COMPUTED_VALUE"""),"BMB Fr Bomba Freno Nkr Reward 8980326170")</f>
        <v>BMB Fr Bomba Freno Nkr Reward 8980326170</v>
      </c>
      <c r="C9099" s="380" t="str">
        <f>IFERROR(__xludf.DUMMYFUNCTION("""COMPUTED_VALUE"""),"70004519")</f>
        <v>70004519</v>
      </c>
      <c r="D9099" s="380" t="s">
        <v>767</v>
      </c>
      <c r="E9099" s="380" t="s">
        <v>786</v>
      </c>
      <c r="F9099" s="380" t="s">
        <v>1017</v>
      </c>
      <c r="G9099" s="380" t="s">
        <v>1267</v>
      </c>
      <c r="H9099" s="380" t="s">
        <v>771</v>
      </c>
      <c r="I9099" s="380" t="s">
        <v>788</v>
      </c>
      <c r="J9099" s="380" t="s">
        <v>773</v>
      </c>
      <c r="K9099" s="381">
        <v>0.0</v>
      </c>
      <c r="L9099" s="382">
        <v>1.0</v>
      </c>
    </row>
    <row r="9100">
      <c r="A9100" s="380" t="s">
        <v>9974</v>
      </c>
      <c r="B9100" s="380" t="str">
        <f>IFERROR(__xludf.DUMMYFUNCTION("""COMPUTED_VALUE"""),"SOP RAD Der INT Lt 2516093c91")</f>
        <v>SOP RAD Der INT Lt 2516093c91</v>
      </c>
      <c r="C9100" s="380" t="str">
        <f>IFERROR(__xludf.DUMMYFUNCTION("""COMPUTED_VALUE"""),"70004520")</f>
        <v>70004520</v>
      </c>
      <c r="D9100" s="380" t="s">
        <v>767</v>
      </c>
      <c r="E9100" s="380" t="s">
        <v>786</v>
      </c>
      <c r="F9100" s="380" t="s">
        <v>787</v>
      </c>
      <c r="G9100" s="380" t="s">
        <v>1267</v>
      </c>
      <c r="H9100" s="380" t="s">
        <v>771</v>
      </c>
      <c r="I9100" s="380" t="s">
        <v>788</v>
      </c>
      <c r="J9100" s="380" t="s">
        <v>773</v>
      </c>
      <c r="K9100" s="381">
        <v>0.0</v>
      </c>
      <c r="L9100" s="382">
        <v>1.0</v>
      </c>
    </row>
    <row r="9101">
      <c r="A9101" s="380" t="s">
        <v>9975</v>
      </c>
      <c r="B9101" s="380" t="str">
        <f>IFERROR(__xludf.DUMMYFUNCTION("""COMPUTED_VALUE"""),"Tubo Refrigeración INT Lt 4055392c1")</f>
        <v>Tubo Refrigeración INT Lt 4055392c1</v>
      </c>
      <c r="C9101" s="380" t="str">
        <f>IFERROR(__xludf.DUMMYFUNCTION("""COMPUTED_VALUE"""),"70004521")</f>
        <v>70004521</v>
      </c>
      <c r="D9101" s="380" t="s">
        <v>767</v>
      </c>
      <c r="E9101" s="380" t="s">
        <v>786</v>
      </c>
      <c r="F9101" s="380" t="s">
        <v>787</v>
      </c>
      <c r="G9101" s="380" t="s">
        <v>1267</v>
      </c>
      <c r="H9101" s="380" t="s">
        <v>771</v>
      </c>
      <c r="I9101" s="380" t="s">
        <v>788</v>
      </c>
      <c r="J9101" s="380" t="s">
        <v>773</v>
      </c>
      <c r="K9101" s="381">
        <v>0.0</v>
      </c>
      <c r="L9101" s="382">
        <v>1.0</v>
      </c>
    </row>
    <row r="9102">
      <c r="A9102" s="380" t="s">
        <v>9976</v>
      </c>
      <c r="B9102" s="380" t="str">
        <f>IFERROR(__xludf.DUMMYFUNCTION("""COMPUTED_VALUE"""),"Soporte Radiador Sup Int Lt 2516090c91")</f>
        <v>Soporte Radiador Sup Int Lt 2516090c91</v>
      </c>
      <c r="C9102" s="380" t="str">
        <f>IFERROR(__xludf.DUMMYFUNCTION("""COMPUTED_VALUE"""),"70004522")</f>
        <v>70004522</v>
      </c>
      <c r="D9102" s="380" t="s">
        <v>767</v>
      </c>
      <c r="E9102" s="380" t="s">
        <v>786</v>
      </c>
      <c r="F9102" s="380" t="s">
        <v>787</v>
      </c>
      <c r="G9102" s="380" t="s">
        <v>1267</v>
      </c>
      <c r="H9102" s="380" t="s">
        <v>771</v>
      </c>
      <c r="I9102" s="380" t="s">
        <v>788</v>
      </c>
      <c r="J9102" s="380" t="s">
        <v>773</v>
      </c>
      <c r="K9102" s="381">
        <v>0.0</v>
      </c>
      <c r="L9102" s="382">
        <v>1.0</v>
      </c>
    </row>
    <row r="9103">
      <c r="A9103" s="380" t="s">
        <v>9977</v>
      </c>
      <c r="B9103" s="380" t="str">
        <f>IFERROR(__xludf.DUMMYFUNCTION("""COMPUTED_VALUE"""),"Juego Media Luna Std HN Dutro S110111240")</f>
        <v>Juego Media Luna Std HN Dutro S110111240</v>
      </c>
      <c r="C9103" s="380" t="str">
        <f>IFERROR(__xludf.DUMMYFUNCTION("""COMPUTED_VALUE"""),"70004523")</f>
        <v>70004523</v>
      </c>
      <c r="D9103" s="380" t="s">
        <v>767</v>
      </c>
      <c r="E9103" s="380" t="s">
        <v>786</v>
      </c>
      <c r="F9103" s="380" t="s">
        <v>787</v>
      </c>
      <c r="G9103" s="380" t="s">
        <v>1267</v>
      </c>
      <c r="H9103" s="380" t="s">
        <v>771</v>
      </c>
      <c r="I9103" s="380" t="s">
        <v>788</v>
      </c>
      <c r="J9103" s="380" t="s">
        <v>773</v>
      </c>
      <c r="K9103" s="381">
        <v>0.0</v>
      </c>
      <c r="L9103" s="382">
        <v>1.0</v>
      </c>
    </row>
    <row r="9104">
      <c r="A9104" s="380" t="s">
        <v>9978</v>
      </c>
      <c r="B9104" s="380" t="str">
        <f>IFERROR(__xludf.DUMMYFUNCTION("""COMPUTED_VALUE"""),"RAD AIR INT Lt 2516097c91")</f>
        <v>RAD AIR INT Lt 2516097c91</v>
      </c>
      <c r="C9104" s="380" t="str">
        <f>IFERROR(__xludf.DUMMYFUNCTION("""COMPUTED_VALUE"""),"70004524")</f>
        <v>70004524</v>
      </c>
      <c r="D9104" s="380" t="s">
        <v>767</v>
      </c>
      <c r="E9104" s="380" t="s">
        <v>786</v>
      </c>
      <c r="F9104" s="380" t="s">
        <v>787</v>
      </c>
      <c r="G9104" s="380" t="s">
        <v>1267</v>
      </c>
      <c r="H9104" s="380" t="s">
        <v>771</v>
      </c>
      <c r="I9104" s="380" t="s">
        <v>788</v>
      </c>
      <c r="J9104" s="380" t="s">
        <v>773</v>
      </c>
      <c r="K9104" s="381">
        <v>0.0</v>
      </c>
      <c r="L9104" s="382">
        <v>1.0</v>
      </c>
    </row>
    <row r="9105">
      <c r="A9105" s="380" t="s">
        <v>9979</v>
      </c>
      <c r="B9105" s="380" t="str">
        <f>IFERROR(__xludf.DUMMYFUNCTION("""COMPUTED_VALUE"""),"Fan Clutch Cum18361 Motor Lt 99a82402")</f>
        <v>Fan Clutch Cum18361 Motor Lt 99a82402</v>
      </c>
      <c r="C9105" s="380" t="str">
        <f>IFERROR(__xludf.DUMMYFUNCTION("""COMPUTED_VALUE"""),"70004525")</f>
        <v>70004525</v>
      </c>
      <c r="D9105" s="380" t="s">
        <v>767</v>
      </c>
      <c r="E9105" s="380" t="s">
        <v>786</v>
      </c>
      <c r="F9105" s="380" t="s">
        <v>787</v>
      </c>
      <c r="G9105" s="380" t="s">
        <v>1267</v>
      </c>
      <c r="H9105" s="380" t="s">
        <v>771</v>
      </c>
      <c r="I9105" s="380" t="s">
        <v>788</v>
      </c>
      <c r="J9105" s="380" t="s">
        <v>773</v>
      </c>
      <c r="K9105" s="381">
        <v>0.0</v>
      </c>
      <c r="L9105" s="382">
        <v>1.0</v>
      </c>
    </row>
    <row r="9106">
      <c r="A9106" s="380" t="s">
        <v>9980</v>
      </c>
      <c r="B9106" s="380" t="str">
        <f>IFERROR(__xludf.DUMMYFUNCTION("""COMPUTED_VALUE"""),"Empaque Carcasa Volante Isx Lt 4393176")</f>
        <v>Empaque Carcasa Volante Isx Lt 4393176</v>
      </c>
      <c r="C9106" s="380" t="str">
        <f>IFERROR(__xludf.DUMMYFUNCTION("""COMPUTED_VALUE"""),"70004526")</f>
        <v>70004526</v>
      </c>
      <c r="D9106" s="380" t="s">
        <v>767</v>
      </c>
      <c r="E9106" s="380" t="s">
        <v>786</v>
      </c>
      <c r="F9106" s="380" t="s">
        <v>787</v>
      </c>
      <c r="G9106" s="380" t="s">
        <v>1267</v>
      </c>
      <c r="H9106" s="380" t="s">
        <v>771</v>
      </c>
      <c r="I9106" s="380" t="s">
        <v>788</v>
      </c>
      <c r="J9106" s="380" t="s">
        <v>773</v>
      </c>
      <c r="K9106" s="381">
        <v>0.0</v>
      </c>
      <c r="L9106" s="382">
        <v>1.0</v>
      </c>
    </row>
    <row r="9107">
      <c r="A9107" s="380" t="s">
        <v>9981</v>
      </c>
      <c r="B9107" s="380" t="str">
        <f>IFERROR(__xludf.DUMMYFUNCTION("""COMPUTED_VALUE"""),"Medidor COMB 26 Pul Eage 3596382c92")</f>
        <v>Medidor COMB 26 Pul Eage 3596382c92</v>
      </c>
      <c r="C9107" s="380" t="str">
        <f>IFERROR(__xludf.DUMMYFUNCTION("""COMPUTED_VALUE"""),"70004527")</f>
        <v>70004527</v>
      </c>
      <c r="D9107" s="380" t="s">
        <v>767</v>
      </c>
      <c r="E9107" s="380" t="s">
        <v>786</v>
      </c>
      <c r="F9107" s="380" t="s">
        <v>998</v>
      </c>
      <c r="G9107" s="380" t="s">
        <v>1267</v>
      </c>
      <c r="H9107" s="380" t="s">
        <v>771</v>
      </c>
      <c r="I9107" s="380" t="s">
        <v>788</v>
      </c>
      <c r="J9107" s="380" t="s">
        <v>773</v>
      </c>
      <c r="K9107" s="381">
        <v>1285909.0</v>
      </c>
      <c r="L9107" s="382">
        <v>1.0</v>
      </c>
    </row>
    <row r="9108">
      <c r="A9108" s="380" t="s">
        <v>9982</v>
      </c>
      <c r="B9108" s="380" t="str">
        <f>IFERROR(__xludf.DUMMYFUNCTION("""COMPUTED_VALUE"""),"Bisel Inf Puerta Izq Jac Jhr 6102142le0")</f>
        <v>Bisel Inf Puerta Izq Jac Jhr 6102142le0</v>
      </c>
      <c r="C9108" s="380" t="str">
        <f>IFERROR(__xludf.DUMMYFUNCTION("""COMPUTED_VALUE"""),"70004528")</f>
        <v>70004528</v>
      </c>
      <c r="D9108" s="380" t="s">
        <v>767</v>
      </c>
      <c r="E9108" s="380" t="s">
        <v>786</v>
      </c>
      <c r="F9108" s="380" t="s">
        <v>792</v>
      </c>
      <c r="G9108" s="380" t="s">
        <v>1267</v>
      </c>
      <c r="H9108" s="380" t="s">
        <v>771</v>
      </c>
      <c r="I9108" s="380" t="s">
        <v>788</v>
      </c>
      <c r="J9108" s="380" t="s">
        <v>773</v>
      </c>
      <c r="K9108" s="381">
        <v>50563.0</v>
      </c>
      <c r="L9108" s="382">
        <v>1.0</v>
      </c>
    </row>
    <row r="9109">
      <c r="A9109" s="380" t="s">
        <v>9983</v>
      </c>
      <c r="B9109" s="380" t="str">
        <f>IFERROR(__xludf.DUMMYFUNCTION("""COMPUTED_VALUE"""),"Espejo Retrovisor Montacargas Eléctrica")</f>
        <v>Espejo Retrovisor Montacargas Eléctrica</v>
      </c>
      <c r="C9109" s="380" t="str">
        <f>IFERROR(__xludf.DUMMYFUNCTION("""COMPUTED_VALUE"""),"70004529")</f>
        <v>70004529</v>
      </c>
      <c r="D9109" s="380" t="s">
        <v>767</v>
      </c>
      <c r="E9109" s="380" t="s">
        <v>786</v>
      </c>
      <c r="F9109" s="380" t="s">
        <v>792</v>
      </c>
      <c r="G9109" s="380" t="s">
        <v>1267</v>
      </c>
      <c r="H9109" s="380" t="s">
        <v>771</v>
      </c>
      <c r="I9109" s="380" t="s">
        <v>788</v>
      </c>
      <c r="J9109" s="380" t="s">
        <v>773</v>
      </c>
      <c r="K9109" s="381">
        <v>0.0</v>
      </c>
      <c r="L9109" s="382">
        <v>1.0</v>
      </c>
    </row>
    <row r="9110">
      <c r="A9110" s="380" t="s">
        <v>9984</v>
      </c>
      <c r="B9110" s="380" t="str">
        <f>IFERROR(__xludf.DUMMYFUNCTION("""COMPUTED_VALUE"""),"Sensor Crucero KW T800 17109am")</f>
        <v>Sensor Crucero KW T800 17109am</v>
      </c>
      <c r="C9110" s="380" t="str">
        <f>IFERROR(__xludf.DUMMYFUNCTION("""COMPUTED_VALUE"""),"70004530")</f>
        <v>70004530</v>
      </c>
      <c r="D9110" s="380" t="s">
        <v>767</v>
      </c>
      <c r="E9110" s="380" t="s">
        <v>786</v>
      </c>
      <c r="F9110" s="380" t="s">
        <v>998</v>
      </c>
      <c r="G9110" s="380" t="s">
        <v>1267</v>
      </c>
      <c r="H9110" s="380" t="s">
        <v>771</v>
      </c>
      <c r="I9110" s="380" t="s">
        <v>788</v>
      </c>
      <c r="J9110" s="380" t="s">
        <v>773</v>
      </c>
      <c r="K9110" s="381">
        <v>373065.0</v>
      </c>
      <c r="L9110" s="382">
        <v>1.0</v>
      </c>
    </row>
    <row r="9111">
      <c r="A9111" s="380" t="s">
        <v>9985</v>
      </c>
      <c r="B9111" s="380" t="str">
        <f>IFERROR(__xludf.DUMMYFUNCTION("""COMPUTED_VALUE"""),"Tensor Correa Alternador FT B 5946023092")</f>
        <v>Tensor Correa Alternador FT B 5946023092</v>
      </c>
      <c r="C9111" s="380" t="str">
        <f>IFERROR(__xludf.DUMMYFUNCTION("""COMPUTED_VALUE"""),"70004531")</f>
        <v>70004531</v>
      </c>
      <c r="D9111" s="380" t="s">
        <v>767</v>
      </c>
      <c r="E9111" s="380" t="s">
        <v>786</v>
      </c>
      <c r="F9111" s="380" t="s">
        <v>787</v>
      </c>
      <c r="G9111" s="380" t="s">
        <v>1267</v>
      </c>
      <c r="H9111" s="380" t="s">
        <v>771</v>
      </c>
      <c r="I9111" s="380" t="s">
        <v>788</v>
      </c>
      <c r="J9111" s="380" t="s">
        <v>773</v>
      </c>
      <c r="K9111" s="381">
        <v>0.0</v>
      </c>
      <c r="L9111" s="382">
        <v>1.0</v>
      </c>
    </row>
    <row r="9112">
      <c r="A9112" s="380" t="s">
        <v>9986</v>
      </c>
      <c r="B9112" s="380" t="str">
        <f>IFERROR(__xludf.DUMMYFUNCTION("""COMPUTED_VALUE"""),"Bocin Tras Foton 1039 1023086400")</f>
        <v>Bocin Tras Foton 1039 1023086400</v>
      </c>
      <c r="C9112" s="380" t="str">
        <f>IFERROR(__xludf.DUMMYFUNCTION("""COMPUTED_VALUE"""),"70004532")</f>
        <v>70004532</v>
      </c>
      <c r="D9112" s="380" t="s">
        <v>767</v>
      </c>
      <c r="E9112" s="380" t="s">
        <v>786</v>
      </c>
      <c r="F9112" s="380" t="s">
        <v>1017</v>
      </c>
      <c r="G9112" s="380" t="s">
        <v>1267</v>
      </c>
      <c r="H9112" s="380" t="s">
        <v>771</v>
      </c>
      <c r="I9112" s="380" t="s">
        <v>788</v>
      </c>
      <c r="J9112" s="380" t="s">
        <v>773</v>
      </c>
      <c r="K9112" s="381">
        <v>0.0</v>
      </c>
      <c r="L9112" s="382">
        <v>1.0</v>
      </c>
    </row>
    <row r="9113">
      <c r="A9113" s="380" t="s">
        <v>9987</v>
      </c>
      <c r="B9113" s="380" t="str">
        <f>IFERROR(__xludf.DUMMYFUNCTION("""COMPUTED_VALUE"""),"Plato Freno Del Der Nkr -Nhr 8973025860")</f>
        <v>Plato Freno Del Der Nkr -Nhr 8973025860</v>
      </c>
      <c r="C9113" s="380" t="str">
        <f>IFERROR(__xludf.DUMMYFUNCTION("""COMPUTED_VALUE"""),"70004533")</f>
        <v>70004533</v>
      </c>
      <c r="D9113" s="380" t="s">
        <v>767</v>
      </c>
      <c r="E9113" s="380" t="s">
        <v>786</v>
      </c>
      <c r="F9113" s="380" t="s">
        <v>1017</v>
      </c>
      <c r="G9113" s="380" t="s">
        <v>1267</v>
      </c>
      <c r="H9113" s="380" t="s">
        <v>771</v>
      </c>
      <c r="I9113" s="380" t="s">
        <v>788</v>
      </c>
      <c r="J9113" s="380" t="s">
        <v>773</v>
      </c>
      <c r="K9113" s="381">
        <v>0.0</v>
      </c>
      <c r="L9113" s="382">
        <v>1.0</v>
      </c>
    </row>
    <row r="9114">
      <c r="A9114" s="380" t="s">
        <v>9988</v>
      </c>
      <c r="B9114" s="380" t="str">
        <f>IFERROR(__xludf.DUMMYFUNCTION("""COMPUTED_VALUE"""),"Tapa Tapa Guantera Nkr Reward 8974095100")</f>
        <v>Tapa Tapa Guantera Nkr Reward 8974095100</v>
      </c>
      <c r="C9114" s="380" t="str">
        <f>IFERROR(__xludf.DUMMYFUNCTION("""COMPUTED_VALUE"""),"70004534")</f>
        <v>70004534</v>
      </c>
      <c r="D9114" s="380" t="s">
        <v>767</v>
      </c>
      <c r="E9114" s="380" t="s">
        <v>786</v>
      </c>
      <c r="F9114" s="380" t="s">
        <v>792</v>
      </c>
      <c r="G9114" s="380" t="s">
        <v>1267</v>
      </c>
      <c r="H9114" s="380" t="s">
        <v>771</v>
      </c>
      <c r="I9114" s="380" t="s">
        <v>788</v>
      </c>
      <c r="J9114" s="380" t="s">
        <v>773</v>
      </c>
      <c r="K9114" s="381">
        <v>0.0</v>
      </c>
      <c r="L9114" s="382">
        <v>1.0</v>
      </c>
    </row>
    <row r="9115">
      <c r="A9115" s="380" t="s">
        <v>9989</v>
      </c>
      <c r="B9115" s="380" t="str">
        <f>IFERROR(__xludf.DUMMYFUNCTION("""COMPUTED_VALUE"""),"Tirador Manija INTna PTA Izq P 3597152c2")</f>
        <v>Tirador Manija INTna PTA Izq P 3597152c2</v>
      </c>
      <c r="C9115" s="380" t="str">
        <f>IFERROR(__xludf.DUMMYFUNCTION("""COMPUTED_VALUE"""),"70004535")</f>
        <v>70004535</v>
      </c>
      <c r="D9115" s="380" t="s">
        <v>767</v>
      </c>
      <c r="E9115" s="380" t="s">
        <v>786</v>
      </c>
      <c r="F9115" s="380" t="s">
        <v>792</v>
      </c>
      <c r="G9115" s="380" t="s">
        <v>1267</v>
      </c>
      <c r="H9115" s="380" t="s">
        <v>771</v>
      </c>
      <c r="I9115" s="380" t="s">
        <v>788</v>
      </c>
      <c r="J9115" s="380" t="s">
        <v>773</v>
      </c>
      <c r="K9115" s="381">
        <v>0.0</v>
      </c>
      <c r="L9115" s="382">
        <v>1.0</v>
      </c>
    </row>
    <row r="9116">
      <c r="A9116" s="380" t="s">
        <v>9990</v>
      </c>
      <c r="B9116" s="380" t="str">
        <f>IFERROR(__xludf.DUMMYFUNCTION("""COMPUTED_VALUE"""),"Tanque Auxiliar Radiador Lt 4062314c1")</f>
        <v>Tanque Auxiliar Radiador Lt 4062314c1</v>
      </c>
      <c r="C9116" s="380" t="str">
        <f>IFERROR(__xludf.DUMMYFUNCTION("""COMPUTED_VALUE"""),"70004536")</f>
        <v>70004536</v>
      </c>
      <c r="D9116" s="380" t="s">
        <v>767</v>
      </c>
      <c r="E9116" s="380" t="s">
        <v>786</v>
      </c>
      <c r="F9116" s="380" t="s">
        <v>792</v>
      </c>
      <c r="G9116" s="380" t="s">
        <v>1267</v>
      </c>
      <c r="H9116" s="380" t="s">
        <v>771</v>
      </c>
      <c r="I9116" s="380" t="s">
        <v>788</v>
      </c>
      <c r="J9116" s="380" t="s">
        <v>773</v>
      </c>
      <c r="K9116" s="381">
        <v>0.0</v>
      </c>
      <c r="L9116" s="382">
        <v>1.0</v>
      </c>
    </row>
    <row r="9117">
      <c r="A9117" s="380" t="s">
        <v>9991</v>
      </c>
      <c r="B9117" s="380" t="str">
        <f>IFERROR(__xludf.DUMMYFUNCTION("""COMPUTED_VALUE"""),"Varilla Tensora RAD Izq Lt 4060417c1")</f>
        <v>Varilla Tensora RAD Izq Lt 4060417c1</v>
      </c>
      <c r="C9117" s="380" t="str">
        <f>IFERROR(__xludf.DUMMYFUNCTION("""COMPUTED_VALUE"""),"70004537")</f>
        <v>70004537</v>
      </c>
      <c r="D9117" s="380" t="s">
        <v>767</v>
      </c>
      <c r="E9117" s="380" t="s">
        <v>786</v>
      </c>
      <c r="F9117" s="380" t="s">
        <v>787</v>
      </c>
      <c r="G9117" s="380" t="s">
        <v>1267</v>
      </c>
      <c r="H9117" s="380" t="s">
        <v>771</v>
      </c>
      <c r="I9117" s="380" t="s">
        <v>788</v>
      </c>
      <c r="J9117" s="380" t="s">
        <v>773</v>
      </c>
      <c r="K9117" s="381">
        <v>0.0</v>
      </c>
      <c r="L9117" s="382">
        <v>1.0</v>
      </c>
    </row>
    <row r="9118">
      <c r="A9118" s="380" t="s">
        <v>9992</v>
      </c>
      <c r="B9118" s="380" t="str">
        <f>IFERROR(__xludf.DUMMYFUNCTION("""COMPUTED_VALUE"""),"Tubo Derecho Intercooler Lt 4124716c91")</f>
        <v>Tubo Derecho Intercooler Lt 4124716c91</v>
      </c>
      <c r="C9118" s="380" t="str">
        <f>IFERROR(__xludf.DUMMYFUNCTION("""COMPUTED_VALUE"""),"70004538")</f>
        <v>70004538</v>
      </c>
      <c r="D9118" s="380" t="s">
        <v>767</v>
      </c>
      <c r="E9118" s="380" t="s">
        <v>786</v>
      </c>
      <c r="F9118" s="380" t="s">
        <v>787</v>
      </c>
      <c r="G9118" s="380" t="s">
        <v>1267</v>
      </c>
      <c r="H9118" s="380" t="s">
        <v>771</v>
      </c>
      <c r="I9118" s="380" t="s">
        <v>788</v>
      </c>
      <c r="J9118" s="380" t="s">
        <v>773</v>
      </c>
      <c r="K9118" s="381">
        <v>0.0</v>
      </c>
      <c r="L9118" s="382">
        <v>1.0</v>
      </c>
    </row>
    <row r="9119">
      <c r="A9119" s="380" t="s">
        <v>9993</v>
      </c>
      <c r="B9119" s="380" t="str">
        <f>IFERROR(__xludf.DUMMYFUNCTION("""COMPUTED_VALUE"""),"Enfocador RAD INT Lt 4060129c1")</f>
        <v>Enfocador RAD INT Lt 4060129c1</v>
      </c>
      <c r="C9119" s="380" t="str">
        <f>IFERROR(__xludf.DUMMYFUNCTION("""COMPUTED_VALUE"""),"70004539")</f>
        <v>70004539</v>
      </c>
      <c r="D9119" s="380" t="s">
        <v>767</v>
      </c>
      <c r="E9119" s="380" t="s">
        <v>786</v>
      </c>
      <c r="F9119" s="380" t="s">
        <v>787</v>
      </c>
      <c r="G9119" s="380" t="s">
        <v>1267</v>
      </c>
      <c r="H9119" s="380" t="s">
        <v>771</v>
      </c>
      <c r="I9119" s="380" t="s">
        <v>788</v>
      </c>
      <c r="J9119" s="380" t="s">
        <v>773</v>
      </c>
      <c r="K9119" s="381">
        <v>0.0</v>
      </c>
      <c r="L9119" s="382">
        <v>1.0</v>
      </c>
    </row>
    <row r="9120">
      <c r="A9120" s="380" t="s">
        <v>9994</v>
      </c>
      <c r="B9120" s="380" t="str">
        <f>IFERROR(__xludf.DUMMYFUNCTION("""COMPUTED_VALUE"""),"Cenicero PTA Der HN Dutropack 74110-3701")</f>
        <v>Cenicero PTA Der HN Dutropack 74110-3701</v>
      </c>
      <c r="C9120" s="380" t="str">
        <f>IFERROR(__xludf.DUMMYFUNCTION("""COMPUTED_VALUE"""),"70004540")</f>
        <v>70004540</v>
      </c>
      <c r="D9120" s="380" t="s">
        <v>767</v>
      </c>
      <c r="E9120" s="380" t="s">
        <v>786</v>
      </c>
      <c r="F9120" s="380" t="s">
        <v>792</v>
      </c>
      <c r="G9120" s="380" t="s">
        <v>1267</v>
      </c>
      <c r="H9120" s="380" t="s">
        <v>771</v>
      </c>
      <c r="I9120" s="380" t="s">
        <v>788</v>
      </c>
      <c r="J9120" s="380" t="s">
        <v>773</v>
      </c>
      <c r="K9120" s="381">
        <v>0.0</v>
      </c>
      <c r="L9120" s="382">
        <v>1.0</v>
      </c>
    </row>
    <row r="9121">
      <c r="A9121" s="380" t="s">
        <v>9995</v>
      </c>
      <c r="B9121" s="380" t="str">
        <f>IFERROR(__xludf.DUMMYFUNCTION("""COMPUTED_VALUE"""),"Manija INTna PTA Lateral Der NS Urvan 82")</f>
        <v>Manija INTna PTA Lateral Der NS Urvan 82</v>
      </c>
      <c r="C9121" s="380" t="str">
        <f>IFERROR(__xludf.DUMMYFUNCTION("""COMPUTED_VALUE"""),"70004541")</f>
        <v>70004541</v>
      </c>
      <c r="D9121" s="380" t="s">
        <v>767</v>
      </c>
      <c r="E9121" s="380" t="s">
        <v>786</v>
      </c>
      <c r="F9121" s="380" t="s">
        <v>792</v>
      </c>
      <c r="G9121" s="380" t="s">
        <v>1267</v>
      </c>
      <c r="H9121" s="380" t="s">
        <v>771</v>
      </c>
      <c r="I9121" s="380" t="s">
        <v>788</v>
      </c>
      <c r="J9121" s="380" t="s">
        <v>773</v>
      </c>
      <c r="K9121" s="381">
        <v>0.0</v>
      </c>
      <c r="L9121" s="382">
        <v>1.0</v>
      </c>
    </row>
    <row r="9122">
      <c r="A9122" s="380" t="s">
        <v>9996</v>
      </c>
      <c r="B9122" s="380" t="str">
        <f>IFERROR(__xludf.DUMMYFUNCTION("""COMPUTED_VALUE"""),"Varilla Tensora RAD Der Lt 4060416c1")</f>
        <v>Varilla Tensora RAD Der Lt 4060416c1</v>
      </c>
      <c r="C9122" s="380" t="str">
        <f>IFERROR(__xludf.DUMMYFUNCTION("""COMPUTED_VALUE"""),"70004542")</f>
        <v>70004542</v>
      </c>
      <c r="D9122" s="380" t="s">
        <v>767</v>
      </c>
      <c r="E9122" s="380" t="s">
        <v>786</v>
      </c>
      <c r="F9122" s="380" t="s">
        <v>787</v>
      </c>
      <c r="G9122" s="380" t="s">
        <v>1267</v>
      </c>
      <c r="H9122" s="380" t="s">
        <v>771</v>
      </c>
      <c r="I9122" s="380" t="s">
        <v>788</v>
      </c>
      <c r="J9122" s="380" t="s">
        <v>773</v>
      </c>
      <c r="K9122" s="381">
        <v>0.0</v>
      </c>
      <c r="L9122" s="382">
        <v>1.0</v>
      </c>
    </row>
    <row r="9123">
      <c r="A9123" s="380" t="s">
        <v>9997</v>
      </c>
      <c r="B9123" s="380" t="str">
        <f>IFERROR(__xludf.DUMMYFUNCTION("""COMPUTED_VALUE"""),"Tapon De Vaciado Carter Daf 1982821")</f>
        <v>Tapon De Vaciado Carter Daf 1982821</v>
      </c>
      <c r="C9123" s="380" t="str">
        <f>IFERROR(__xludf.DUMMYFUNCTION("""COMPUTED_VALUE"""),"70004543")</f>
        <v>70004543</v>
      </c>
      <c r="D9123" s="380" t="s">
        <v>767</v>
      </c>
      <c r="E9123" s="380" t="s">
        <v>786</v>
      </c>
      <c r="F9123" s="380" t="s">
        <v>787</v>
      </c>
      <c r="G9123" s="380" t="s">
        <v>1267</v>
      </c>
      <c r="H9123" s="380" t="s">
        <v>771</v>
      </c>
      <c r="I9123" s="380" t="s">
        <v>788</v>
      </c>
      <c r="J9123" s="380" t="s">
        <v>773</v>
      </c>
      <c r="K9123" s="381">
        <v>95200.0</v>
      </c>
      <c r="L9123" s="382">
        <v>1.0</v>
      </c>
    </row>
    <row r="9124">
      <c r="A9124" s="380" t="s">
        <v>9998</v>
      </c>
      <c r="B9124" s="380" t="str">
        <f>IFERROR(__xludf.DUMMYFUNCTION("""COMPUTED_VALUE"""),"Indicador Restrictor AIR Prost 3945690c1")</f>
        <v>Indicador Restrictor AIR Prost 3945690c1</v>
      </c>
      <c r="C9124" s="380" t="str">
        <f>IFERROR(__xludf.DUMMYFUNCTION("""COMPUTED_VALUE"""),"70004544")</f>
        <v>70004544</v>
      </c>
      <c r="D9124" s="380" t="s">
        <v>767</v>
      </c>
      <c r="E9124" s="380" t="s">
        <v>786</v>
      </c>
      <c r="F9124" s="380" t="s">
        <v>787</v>
      </c>
      <c r="G9124" s="380" t="s">
        <v>1267</v>
      </c>
      <c r="H9124" s="380" t="s">
        <v>771</v>
      </c>
      <c r="I9124" s="380" t="s">
        <v>788</v>
      </c>
      <c r="J9124" s="380" t="s">
        <v>773</v>
      </c>
      <c r="K9124" s="381">
        <v>0.0</v>
      </c>
      <c r="L9124" s="382">
        <v>1.0</v>
      </c>
    </row>
    <row r="9125">
      <c r="A9125" s="380" t="s">
        <v>9999</v>
      </c>
      <c r="B9125" s="380" t="str">
        <f>IFERROR(__xludf.DUMMYFUNCTION("""COMPUTED_VALUE"""),"Banda Freno Delantera Jac 1120")</f>
        <v>Banda Freno Delantera Jac 1120</v>
      </c>
      <c r="C9125" s="380" t="str">
        <f>IFERROR(__xludf.DUMMYFUNCTION("""COMPUTED_VALUE"""),"70004545")</f>
        <v>70004545</v>
      </c>
      <c r="D9125" s="380" t="s">
        <v>767</v>
      </c>
      <c r="E9125" s="380" t="s">
        <v>786</v>
      </c>
      <c r="F9125" s="380" t="s">
        <v>1017</v>
      </c>
      <c r="G9125" s="380" t="s">
        <v>1267</v>
      </c>
      <c r="H9125" s="380" t="s">
        <v>771</v>
      </c>
      <c r="I9125" s="380" t="s">
        <v>788</v>
      </c>
      <c r="J9125" s="380" t="s">
        <v>773</v>
      </c>
      <c r="K9125" s="381">
        <v>0.0</v>
      </c>
      <c r="L9125" s="382">
        <v>1.0</v>
      </c>
    </row>
    <row r="9126">
      <c r="A9126" s="380" t="s">
        <v>10000</v>
      </c>
      <c r="B9126" s="380" t="str">
        <f>IFERROR(__xludf.DUMMYFUNCTION("""COMPUTED_VALUE"""),"Rodamiento Del INTno FT1128 1023294225")</f>
        <v>Rodamiento Del INTno FT1128 1023294225</v>
      </c>
      <c r="C9126" s="380" t="str">
        <f>IFERROR(__xludf.DUMMYFUNCTION("""COMPUTED_VALUE"""),"70004546")</f>
        <v>70004546</v>
      </c>
      <c r="D9126" s="380" t="s">
        <v>767</v>
      </c>
      <c r="E9126" s="380" t="s">
        <v>786</v>
      </c>
      <c r="F9126" s="380" t="s">
        <v>1039</v>
      </c>
      <c r="G9126" s="380" t="s">
        <v>1267</v>
      </c>
      <c r="H9126" s="380" t="s">
        <v>771</v>
      </c>
      <c r="I9126" s="380" t="s">
        <v>788</v>
      </c>
      <c r="J9126" s="380" t="s">
        <v>773</v>
      </c>
      <c r="K9126" s="381">
        <v>0.0</v>
      </c>
      <c r="L9126" s="382">
        <v>1.0</v>
      </c>
    </row>
    <row r="9127">
      <c r="A9127" s="380" t="s">
        <v>10001</v>
      </c>
      <c r="B9127" s="380" t="str">
        <f>IFERROR(__xludf.DUMMYFUNCTION("""COMPUTED_VALUE"""),"Tubo Soporte Guardabarro Eagle 578047c2")</f>
        <v>Tubo Soporte Guardabarro Eagle 578047c2</v>
      </c>
      <c r="C9127" s="380" t="str">
        <f>IFERROR(__xludf.DUMMYFUNCTION("""COMPUTED_VALUE"""),"70004547")</f>
        <v>70004547</v>
      </c>
      <c r="D9127" s="380" t="s">
        <v>767</v>
      </c>
      <c r="E9127" s="380" t="s">
        <v>786</v>
      </c>
      <c r="F9127" s="380" t="s">
        <v>792</v>
      </c>
      <c r="G9127" s="380" t="s">
        <v>1267</v>
      </c>
      <c r="H9127" s="380" t="s">
        <v>771</v>
      </c>
      <c r="I9127" s="380" t="s">
        <v>788</v>
      </c>
      <c r="J9127" s="380" t="s">
        <v>773</v>
      </c>
      <c r="K9127" s="381">
        <v>0.0</v>
      </c>
      <c r="L9127" s="382">
        <v>1.0</v>
      </c>
    </row>
    <row r="9128">
      <c r="A9128" s="380" t="s">
        <v>10002</v>
      </c>
      <c r="B9128" s="380" t="str">
        <f>IFERROR(__xludf.DUMMYFUNCTION("""COMPUTED_VALUE"""),"SOP Guardapolvo Tras Izq EGL 3593191c92")</f>
        <v>SOP Guardapolvo Tras Izq EGL 3593191c92</v>
      </c>
      <c r="C9128" s="380" t="str">
        <f>IFERROR(__xludf.DUMMYFUNCTION("""COMPUTED_VALUE"""),"70004548")</f>
        <v>70004548</v>
      </c>
      <c r="D9128" s="380" t="s">
        <v>767</v>
      </c>
      <c r="E9128" s="380" t="s">
        <v>786</v>
      </c>
      <c r="F9128" s="380" t="s">
        <v>792</v>
      </c>
      <c r="G9128" s="380" t="s">
        <v>1267</v>
      </c>
      <c r="H9128" s="380" t="s">
        <v>771</v>
      </c>
      <c r="I9128" s="380" t="s">
        <v>788</v>
      </c>
      <c r="J9128" s="380" t="s">
        <v>773</v>
      </c>
      <c r="K9128" s="381">
        <v>0.0</v>
      </c>
      <c r="L9128" s="382">
        <v>1.0</v>
      </c>
    </row>
    <row r="9129">
      <c r="A9129" s="380" t="s">
        <v>10003</v>
      </c>
      <c r="B9129" s="380" t="str">
        <f>IFERROR(__xludf.DUMMYFUNCTION("""COMPUTED_VALUE"""),"SOP Central RAD Int Lt 2516109c91")</f>
        <v>SOP Central RAD Int Lt 2516109c91</v>
      </c>
      <c r="C9129" s="380" t="str">
        <f>IFERROR(__xludf.DUMMYFUNCTION("""COMPUTED_VALUE"""),"70004549")</f>
        <v>70004549</v>
      </c>
      <c r="D9129" s="380" t="s">
        <v>767</v>
      </c>
      <c r="E9129" s="380" t="s">
        <v>786</v>
      </c>
      <c r="F9129" s="380" t="s">
        <v>787</v>
      </c>
      <c r="G9129" s="380" t="s">
        <v>1267</v>
      </c>
      <c r="H9129" s="380" t="s">
        <v>771</v>
      </c>
      <c r="I9129" s="380" t="s">
        <v>788</v>
      </c>
      <c r="J9129" s="380" t="s">
        <v>773</v>
      </c>
      <c r="K9129" s="381">
        <v>0.0</v>
      </c>
      <c r="L9129" s="382">
        <v>1.0</v>
      </c>
    </row>
    <row r="9130">
      <c r="A9130" s="380" t="s">
        <v>10004</v>
      </c>
      <c r="B9130" s="380" t="str">
        <f>IFERROR(__xludf.DUMMYFUNCTION("""COMPUTED_VALUE"""),"Soporte Radiador Inf Int Lt 2516091c91")</f>
        <v>Soporte Radiador Inf Int Lt 2516091c91</v>
      </c>
      <c r="C9130" s="380" t="str">
        <f>IFERROR(__xludf.DUMMYFUNCTION("""COMPUTED_VALUE"""),"70004550")</f>
        <v>70004550</v>
      </c>
      <c r="D9130" s="380" t="s">
        <v>767</v>
      </c>
      <c r="E9130" s="380" t="s">
        <v>786</v>
      </c>
      <c r="F9130" s="380" t="s">
        <v>787</v>
      </c>
      <c r="G9130" s="380" t="s">
        <v>1267</v>
      </c>
      <c r="H9130" s="380" t="s">
        <v>771</v>
      </c>
      <c r="I9130" s="380" t="s">
        <v>788</v>
      </c>
      <c r="J9130" s="380" t="s">
        <v>773</v>
      </c>
      <c r="K9130" s="381">
        <v>0.0</v>
      </c>
      <c r="L9130" s="382">
        <v>1.0</v>
      </c>
    </row>
    <row r="9131">
      <c r="A9131" s="380" t="s">
        <v>10005</v>
      </c>
      <c r="B9131" s="380" t="str">
        <f>IFERROR(__xludf.DUMMYFUNCTION("""COMPUTED_VALUE"""),"SOP RAD Izq INT Lt 2516092c91")</f>
        <v>SOP RAD Izq INT Lt 2516092c91</v>
      </c>
      <c r="C9131" s="380" t="str">
        <f>IFERROR(__xludf.DUMMYFUNCTION("""COMPUTED_VALUE"""),"70004551")</f>
        <v>70004551</v>
      </c>
      <c r="D9131" s="380" t="s">
        <v>767</v>
      </c>
      <c r="E9131" s="380" t="s">
        <v>786</v>
      </c>
      <c r="F9131" s="380" t="s">
        <v>787</v>
      </c>
      <c r="G9131" s="380" t="s">
        <v>1267</v>
      </c>
      <c r="H9131" s="380" t="s">
        <v>771</v>
      </c>
      <c r="I9131" s="380" t="s">
        <v>788</v>
      </c>
      <c r="J9131" s="380" t="s">
        <v>773</v>
      </c>
      <c r="K9131" s="381">
        <v>0.0</v>
      </c>
      <c r="L9131" s="382">
        <v>1.0</v>
      </c>
    </row>
    <row r="9132">
      <c r="A9132" s="380" t="s">
        <v>10006</v>
      </c>
      <c r="B9132" s="380" t="str">
        <f>IFERROR(__xludf.DUMMYFUNCTION("""COMPUTED_VALUE"""),"Buje Amortiguador Delantero Foton 1129")</f>
        <v>Buje Amortiguador Delantero Foton 1129</v>
      </c>
      <c r="C9132" s="380" t="str">
        <f>IFERROR(__xludf.DUMMYFUNCTION("""COMPUTED_VALUE"""),"70004552")</f>
        <v>70004552</v>
      </c>
      <c r="D9132" s="380" t="s">
        <v>767</v>
      </c>
      <c r="E9132" s="380" t="s">
        <v>786</v>
      </c>
      <c r="F9132" s="380" t="s">
        <v>1039</v>
      </c>
      <c r="G9132" s="380" t="s">
        <v>1267</v>
      </c>
      <c r="H9132" s="380" t="s">
        <v>771</v>
      </c>
      <c r="I9132" s="380" t="s">
        <v>788</v>
      </c>
      <c r="J9132" s="380" t="s">
        <v>773</v>
      </c>
      <c r="K9132" s="381">
        <v>0.0</v>
      </c>
      <c r="L9132" s="382">
        <v>1.0</v>
      </c>
    </row>
    <row r="9133">
      <c r="A9133" s="380" t="s">
        <v>10007</v>
      </c>
      <c r="B9133" s="380" t="str">
        <f>IFERROR(__xludf.DUMMYFUNCTION("""COMPUTED_VALUE"""),"Agarradera Manija Apoyo PTA De 2021ld060")</f>
        <v>Agarradera Manija Apoyo PTA De 2021ld060</v>
      </c>
      <c r="C9133" s="380" t="str">
        <f>IFERROR(__xludf.DUMMYFUNCTION("""COMPUTED_VALUE"""),"70004553")</f>
        <v>70004553</v>
      </c>
      <c r="D9133" s="380" t="s">
        <v>767</v>
      </c>
      <c r="E9133" s="380" t="s">
        <v>786</v>
      </c>
      <c r="F9133" s="380" t="s">
        <v>792</v>
      </c>
      <c r="G9133" s="380" t="s">
        <v>1267</v>
      </c>
      <c r="H9133" s="380" t="s">
        <v>771</v>
      </c>
      <c r="I9133" s="380" t="s">
        <v>788</v>
      </c>
      <c r="J9133" s="380" t="s">
        <v>773</v>
      </c>
      <c r="K9133" s="381">
        <v>0.0</v>
      </c>
      <c r="L9133" s="382">
        <v>1.0</v>
      </c>
    </row>
    <row r="9134">
      <c r="A9134" s="380" t="s">
        <v>10008</v>
      </c>
      <c r="B9134" s="380" t="str">
        <f>IFERROR(__xludf.DUMMYFUNCTION("""COMPUTED_VALUE"""),"Parabrisas Laminado Foton 1065 - 1045")</f>
        <v>Parabrisas Laminado Foton 1065 - 1045</v>
      </c>
      <c r="C9134" s="380" t="str">
        <f>IFERROR(__xludf.DUMMYFUNCTION("""COMPUTED_VALUE"""),"70004554")</f>
        <v>70004554</v>
      </c>
      <c r="D9134" s="380" t="s">
        <v>767</v>
      </c>
      <c r="E9134" s="380" t="s">
        <v>786</v>
      </c>
      <c r="F9134" s="380" t="s">
        <v>792</v>
      </c>
      <c r="G9134" s="380" t="s">
        <v>1267</v>
      </c>
      <c r="H9134" s="380" t="s">
        <v>771</v>
      </c>
      <c r="I9134" s="380" t="s">
        <v>788</v>
      </c>
      <c r="J9134" s="380" t="s">
        <v>773</v>
      </c>
      <c r="K9134" s="381">
        <v>0.0</v>
      </c>
      <c r="L9134" s="382">
        <v>1.0</v>
      </c>
    </row>
    <row r="9135">
      <c r="A9135" s="380" t="s">
        <v>10009</v>
      </c>
      <c r="B9135" s="380" t="str">
        <f>IFERROR(__xludf.DUMMYFUNCTION("""COMPUTED_VALUE"""),"Hoja Muelle Ppal Trasera Nkr Reward 2207")</f>
        <v>Hoja Muelle Ppal Trasera Nkr Reward 2207</v>
      </c>
      <c r="C9135" s="380" t="str">
        <f>IFERROR(__xludf.DUMMYFUNCTION("""COMPUTED_VALUE"""),"70004555")</f>
        <v>70004555</v>
      </c>
      <c r="D9135" s="380" t="s">
        <v>767</v>
      </c>
      <c r="E9135" s="380" t="s">
        <v>786</v>
      </c>
      <c r="F9135" s="380" t="s">
        <v>1039</v>
      </c>
      <c r="G9135" s="380" t="s">
        <v>1267</v>
      </c>
      <c r="H9135" s="380" t="s">
        <v>771</v>
      </c>
      <c r="I9135" s="380" t="s">
        <v>788</v>
      </c>
      <c r="J9135" s="380" t="s">
        <v>773</v>
      </c>
      <c r="K9135" s="381">
        <v>0.0</v>
      </c>
      <c r="L9135" s="382">
        <v>1.0</v>
      </c>
    </row>
    <row r="9136">
      <c r="A9136" s="380" t="s">
        <v>10010</v>
      </c>
      <c r="B9136" s="380" t="str">
        <f>IFERROR(__xludf.DUMMYFUNCTION("""COMPUTED_VALUE"""),"Parabrisas Blindado Toyota Prado Vxa")</f>
        <v>Parabrisas Blindado Toyota Prado Vxa</v>
      </c>
      <c r="C9136" s="380" t="str">
        <f>IFERROR(__xludf.DUMMYFUNCTION("""COMPUTED_VALUE"""),"70004556")</f>
        <v>70004556</v>
      </c>
      <c r="D9136" s="380" t="s">
        <v>767</v>
      </c>
      <c r="E9136" s="380" t="s">
        <v>786</v>
      </c>
      <c r="F9136" s="380" t="s">
        <v>792</v>
      </c>
      <c r="G9136" s="380" t="s">
        <v>1267</v>
      </c>
      <c r="H9136" s="380" t="s">
        <v>771</v>
      </c>
      <c r="I9136" s="380" t="s">
        <v>788</v>
      </c>
      <c r="J9136" s="380" t="s">
        <v>773</v>
      </c>
      <c r="K9136" s="381">
        <v>0.0</v>
      </c>
      <c r="L9136" s="382">
        <v>1.0</v>
      </c>
    </row>
    <row r="9137">
      <c r="A9137" s="380" t="s">
        <v>10011</v>
      </c>
      <c r="B9137" s="380" t="str">
        <f>IFERROR(__xludf.DUMMYFUNCTION("""COMPUTED_VALUE"""),"Axial Direc Fotn MV5 5946754293")</f>
        <v>Axial Direc Fotn MV5 5946754293</v>
      </c>
      <c r="C9137" s="380" t="str">
        <f>IFERROR(__xludf.DUMMYFUNCTION("""COMPUTED_VALUE"""),"70004557")</f>
        <v>70004557</v>
      </c>
      <c r="D9137" s="380" t="s">
        <v>767</v>
      </c>
      <c r="E9137" s="380" t="s">
        <v>786</v>
      </c>
      <c r="F9137" s="380" t="s">
        <v>1020</v>
      </c>
      <c r="G9137" s="380" t="s">
        <v>1267</v>
      </c>
      <c r="H9137" s="380" t="s">
        <v>771</v>
      </c>
      <c r="I9137" s="380" t="s">
        <v>788</v>
      </c>
      <c r="J9137" s="380" t="s">
        <v>773</v>
      </c>
      <c r="K9137" s="381">
        <v>0.0</v>
      </c>
      <c r="L9137" s="382">
        <v>1.0</v>
      </c>
    </row>
    <row r="9138">
      <c r="A9138" s="380" t="s">
        <v>10012</v>
      </c>
      <c r="B9138" s="380" t="str">
        <f>IFERROR(__xludf.DUMMYFUNCTION("""COMPUTED_VALUE"""),"Bomba Combustible Jac 1106010ld30m")</f>
        <v>Bomba Combustible Jac 1106010ld30m</v>
      </c>
      <c r="C9138" s="380" t="str">
        <f>IFERROR(__xludf.DUMMYFUNCTION("""COMPUTED_VALUE"""),"70004558")</f>
        <v>70004558</v>
      </c>
      <c r="D9138" s="380" t="s">
        <v>767</v>
      </c>
      <c r="E9138" s="380" t="s">
        <v>786</v>
      </c>
      <c r="F9138" s="380" t="s">
        <v>998</v>
      </c>
      <c r="G9138" s="380" t="s">
        <v>1267</v>
      </c>
      <c r="H9138" s="380" t="s">
        <v>771</v>
      </c>
      <c r="I9138" s="380" t="s">
        <v>788</v>
      </c>
      <c r="J9138" s="380" t="s">
        <v>773</v>
      </c>
      <c r="K9138" s="381">
        <v>0.0</v>
      </c>
      <c r="L9138" s="382">
        <v>1.0</v>
      </c>
    </row>
    <row r="9139">
      <c r="A9139" s="380" t="s">
        <v>10013</v>
      </c>
      <c r="B9139" s="380" t="str">
        <f>IFERROR(__xludf.DUMMYFUNCTION("""COMPUTED_VALUE"""),"Conector Actuador 2 Puestos Isx")</f>
        <v>Conector Actuador 2 Puestos Isx</v>
      </c>
      <c r="C9139" s="380" t="str">
        <f>IFERROR(__xludf.DUMMYFUNCTION("""COMPUTED_VALUE"""),"70004559")</f>
        <v>70004559</v>
      </c>
      <c r="D9139" s="380" t="s">
        <v>767</v>
      </c>
      <c r="E9139" s="380" t="s">
        <v>786</v>
      </c>
      <c r="F9139" s="380" t="s">
        <v>998</v>
      </c>
      <c r="G9139" s="380" t="s">
        <v>1267</v>
      </c>
      <c r="H9139" s="380" t="s">
        <v>771</v>
      </c>
      <c r="I9139" s="380" t="s">
        <v>788</v>
      </c>
      <c r="J9139" s="380" t="s">
        <v>773</v>
      </c>
      <c r="K9139" s="381">
        <v>0.0</v>
      </c>
      <c r="L9139" s="382">
        <v>1.0</v>
      </c>
    </row>
    <row r="9140">
      <c r="A9140" s="380" t="s">
        <v>10014</v>
      </c>
      <c r="B9140" s="380" t="str">
        <f>IFERROR(__xludf.DUMMYFUNCTION("""COMPUTED_VALUE"""),"Espejo Capo Izquierdo Mack 2330002639")</f>
        <v>Espejo Capo Izquierdo Mack 2330002639</v>
      </c>
      <c r="C9140" s="380" t="str">
        <f>IFERROR(__xludf.DUMMYFUNCTION("""COMPUTED_VALUE"""),"70004560")</f>
        <v>70004560</v>
      </c>
      <c r="D9140" s="380" t="s">
        <v>767</v>
      </c>
      <c r="E9140" s="380" t="s">
        <v>786</v>
      </c>
      <c r="F9140" s="380" t="s">
        <v>792</v>
      </c>
      <c r="G9140" s="380" t="s">
        <v>1267</v>
      </c>
      <c r="H9140" s="380" t="s">
        <v>771</v>
      </c>
      <c r="I9140" s="380" t="s">
        <v>788</v>
      </c>
      <c r="J9140" s="380" t="s">
        <v>773</v>
      </c>
      <c r="K9140" s="381">
        <v>0.0</v>
      </c>
      <c r="L9140" s="382">
        <v>1.0</v>
      </c>
    </row>
    <row r="9141">
      <c r="A9141" s="380" t="s">
        <v>10015</v>
      </c>
      <c r="B9141" s="380" t="str">
        <f>IFERROR(__xludf.DUMMYFUNCTION("""COMPUTED_VALUE"""),"Luna Espejo Capo Mack 2330005331")</f>
        <v>Luna Espejo Capo Mack 2330005331</v>
      </c>
      <c r="C9141" s="380" t="str">
        <f>IFERROR(__xludf.DUMMYFUNCTION("""COMPUTED_VALUE"""),"70004561")</f>
        <v>70004561</v>
      </c>
      <c r="D9141" s="380" t="s">
        <v>767</v>
      </c>
      <c r="E9141" s="380" t="s">
        <v>786</v>
      </c>
      <c r="F9141" s="380" t="s">
        <v>792</v>
      </c>
      <c r="G9141" s="380" t="s">
        <v>1267</v>
      </c>
      <c r="H9141" s="380" t="s">
        <v>771</v>
      </c>
      <c r="I9141" s="380" t="s">
        <v>788</v>
      </c>
      <c r="J9141" s="380" t="s">
        <v>773</v>
      </c>
      <c r="K9141" s="381">
        <v>0.0</v>
      </c>
      <c r="L9141" s="382">
        <v>1.0</v>
      </c>
    </row>
    <row r="9142">
      <c r="A9142" s="380" t="s">
        <v>10016</v>
      </c>
      <c r="B9142" s="380" t="str">
        <f>IFERROR(__xludf.DUMMYFUNCTION("""COMPUTED_VALUE"""),"Cabrilla Multifuncional FT 11 5946048934")</f>
        <v>Cabrilla Multifuncional FT 11 5946048934</v>
      </c>
      <c r="C9142" s="380" t="str">
        <f>IFERROR(__xludf.DUMMYFUNCTION("""COMPUTED_VALUE"""),"70004562")</f>
        <v>70004562</v>
      </c>
      <c r="D9142" s="380" t="s">
        <v>767</v>
      </c>
      <c r="E9142" s="380" t="s">
        <v>786</v>
      </c>
      <c r="F9142" s="380" t="s">
        <v>792</v>
      </c>
      <c r="G9142" s="380" t="s">
        <v>1267</v>
      </c>
      <c r="H9142" s="380" t="s">
        <v>771</v>
      </c>
      <c r="I9142" s="380" t="s">
        <v>788</v>
      </c>
      <c r="J9142" s="380" t="s">
        <v>773</v>
      </c>
      <c r="K9142" s="381">
        <v>0.0</v>
      </c>
      <c r="L9142" s="382">
        <v>1.0</v>
      </c>
    </row>
    <row r="9143">
      <c r="A9143" s="380" t="s">
        <v>10017</v>
      </c>
      <c r="B9143" s="380" t="str">
        <f>IFERROR(__xludf.DUMMYFUNCTION("""COMPUTED_VALUE"""),"Balinera Embrague Jac 1042 R1603543")</f>
        <v>Balinera Embrague Jac 1042 R1603543</v>
      </c>
      <c r="C9143" s="380" t="str">
        <f>IFERROR(__xludf.DUMMYFUNCTION("""COMPUTED_VALUE"""),"70004563")</f>
        <v>70004563</v>
      </c>
      <c r="D9143" s="380" t="s">
        <v>767</v>
      </c>
      <c r="E9143" s="380" t="s">
        <v>786</v>
      </c>
      <c r="F9143" s="380" t="s">
        <v>5661</v>
      </c>
      <c r="G9143" s="380" t="s">
        <v>1267</v>
      </c>
      <c r="H9143" s="380" t="s">
        <v>771</v>
      </c>
      <c r="I9143" s="380" t="s">
        <v>788</v>
      </c>
      <c r="J9143" s="380" t="s">
        <v>773</v>
      </c>
      <c r="K9143" s="381">
        <v>0.0</v>
      </c>
      <c r="L9143" s="382">
        <v>1.0</v>
      </c>
    </row>
    <row r="9144">
      <c r="A9144" s="380" t="s">
        <v>10018</v>
      </c>
      <c r="B9144" s="380" t="str">
        <f>IFERROR(__xludf.DUMMYFUNCTION("""COMPUTED_VALUE"""),"Retenedor Trasero Caja Jac 1042 C1701702")</f>
        <v>Retenedor Trasero Caja Jac 1042 C1701702</v>
      </c>
      <c r="C9144" s="380" t="str">
        <f>IFERROR(__xludf.DUMMYFUNCTION("""COMPUTED_VALUE"""),"70004564")</f>
        <v>70004564</v>
      </c>
      <c r="D9144" s="380" t="s">
        <v>767</v>
      </c>
      <c r="E9144" s="380" t="s">
        <v>786</v>
      </c>
      <c r="F9144" s="380" t="s">
        <v>5661</v>
      </c>
      <c r="G9144" s="380" t="s">
        <v>1267</v>
      </c>
      <c r="H9144" s="380" t="s">
        <v>771</v>
      </c>
      <c r="I9144" s="380" t="s">
        <v>788</v>
      </c>
      <c r="J9144" s="380" t="s">
        <v>773</v>
      </c>
      <c r="K9144" s="381">
        <v>0.0</v>
      </c>
      <c r="L9144" s="382">
        <v>1.0</v>
      </c>
    </row>
    <row r="9145">
      <c r="A9145" s="380" t="s">
        <v>10019</v>
      </c>
      <c r="B9145" s="380" t="str">
        <f>IFERROR(__xludf.DUMMYFUNCTION("""COMPUTED_VALUE"""),"Correa Ventilador Lt 4120384c1")</f>
        <v>Correa Ventilador Lt 4120384c1</v>
      </c>
      <c r="C9145" s="380" t="str">
        <f>IFERROR(__xludf.DUMMYFUNCTION("""COMPUTED_VALUE"""),"70004565")</f>
        <v>70004565</v>
      </c>
      <c r="D9145" s="380" t="s">
        <v>767</v>
      </c>
      <c r="E9145" s="380" t="s">
        <v>786</v>
      </c>
      <c r="F9145" s="380" t="s">
        <v>787</v>
      </c>
      <c r="G9145" s="380" t="s">
        <v>1267</v>
      </c>
      <c r="H9145" s="380" t="s">
        <v>771</v>
      </c>
      <c r="I9145" s="380" t="s">
        <v>788</v>
      </c>
      <c r="J9145" s="380" t="s">
        <v>773</v>
      </c>
      <c r="K9145" s="381">
        <v>0.0</v>
      </c>
      <c r="L9145" s="382">
        <v>1.0</v>
      </c>
    </row>
    <row r="9146">
      <c r="A9146" s="380" t="s">
        <v>10020</v>
      </c>
      <c r="B9146" s="380" t="str">
        <f>IFERROR(__xludf.DUMMYFUNCTION("""COMPUTED_VALUE"""),"MANG Manguera Agua Superior Lt 6129126c2")</f>
        <v>MANG Manguera Agua Superior Lt 6129126c2</v>
      </c>
      <c r="C9146" s="380" t="str">
        <f>IFERROR(__xludf.DUMMYFUNCTION("""COMPUTED_VALUE"""),"70004566")</f>
        <v>70004566</v>
      </c>
      <c r="D9146" s="380" t="s">
        <v>767</v>
      </c>
      <c r="E9146" s="380" t="s">
        <v>786</v>
      </c>
      <c r="F9146" s="380" t="s">
        <v>787</v>
      </c>
      <c r="G9146" s="380" t="s">
        <v>1267</v>
      </c>
      <c r="H9146" s="380" t="s">
        <v>771</v>
      </c>
      <c r="I9146" s="380" t="s">
        <v>788</v>
      </c>
      <c r="J9146" s="380" t="s">
        <v>773</v>
      </c>
      <c r="K9146" s="381">
        <v>319134.0</v>
      </c>
      <c r="L9146" s="382">
        <v>1.0</v>
      </c>
    </row>
    <row r="9147">
      <c r="A9147" s="380" t="s">
        <v>10021</v>
      </c>
      <c r="B9147" s="380" t="str">
        <f>IFERROR(__xludf.DUMMYFUNCTION("""COMPUTED_VALUE"""),"CTRL VidrioCOND FT 1039 5946305112")</f>
        <v>CTRL VidrioCOND FT 1039 5946305112</v>
      </c>
      <c r="C9147" s="380" t="str">
        <f>IFERROR(__xludf.DUMMYFUNCTION("""COMPUTED_VALUE"""),"70004567")</f>
        <v>70004567</v>
      </c>
      <c r="D9147" s="380" t="s">
        <v>767</v>
      </c>
      <c r="E9147" s="380" t="s">
        <v>786</v>
      </c>
      <c r="F9147" s="380" t="s">
        <v>998</v>
      </c>
      <c r="G9147" s="380" t="s">
        <v>1267</v>
      </c>
      <c r="H9147" s="380" t="s">
        <v>771</v>
      </c>
      <c r="I9147" s="380" t="s">
        <v>788</v>
      </c>
      <c r="J9147" s="380" t="s">
        <v>773</v>
      </c>
      <c r="K9147" s="381">
        <v>0.0</v>
      </c>
      <c r="L9147" s="382">
        <v>1.0</v>
      </c>
    </row>
    <row r="9148">
      <c r="A9148" s="380" t="s">
        <v>10022</v>
      </c>
      <c r="B9148" s="380" t="str">
        <f>IFERROR(__xludf.DUMMYFUNCTION("""COMPUTED_VALUE"""),"Filtro Antipolucion A/C Daf 1953595")</f>
        <v>Filtro Antipolucion A/C Daf 1953595</v>
      </c>
      <c r="C9148" s="380" t="str">
        <f>IFERROR(__xludf.DUMMYFUNCTION("""COMPUTED_VALUE"""),"70004568")</f>
        <v>70004568</v>
      </c>
      <c r="D9148" s="380" t="s">
        <v>767</v>
      </c>
      <c r="E9148" s="380" t="s">
        <v>786</v>
      </c>
      <c r="F9148" s="380" t="s">
        <v>5855</v>
      </c>
      <c r="G9148" s="380" t="s">
        <v>1267</v>
      </c>
      <c r="H9148" s="380" t="s">
        <v>771</v>
      </c>
      <c r="I9148" s="380" t="s">
        <v>788</v>
      </c>
      <c r="J9148" s="380" t="s">
        <v>773</v>
      </c>
      <c r="K9148" s="381">
        <v>188546.0</v>
      </c>
      <c r="L9148" s="382">
        <v>1.0</v>
      </c>
    </row>
    <row r="9149">
      <c r="A9149" s="380" t="s">
        <v>10023</v>
      </c>
      <c r="B9149" s="380" t="str">
        <f>IFERROR(__xludf.DUMMYFUNCTION("""COMPUTED_VALUE"""),"Tope MUE Suspensión Del Nkr R 8980091140")</f>
        <v>Tope MUE Suspensión Del Nkr R 8980091140</v>
      </c>
      <c r="C9149" s="380" t="str">
        <f>IFERROR(__xludf.DUMMYFUNCTION("""COMPUTED_VALUE"""),"70004569")</f>
        <v>70004569</v>
      </c>
      <c r="D9149" s="380" t="s">
        <v>767</v>
      </c>
      <c r="E9149" s="380" t="s">
        <v>786</v>
      </c>
      <c r="F9149" s="380" t="s">
        <v>1039</v>
      </c>
      <c r="G9149" s="380" t="s">
        <v>1267</v>
      </c>
      <c r="H9149" s="380" t="s">
        <v>771</v>
      </c>
      <c r="I9149" s="380" t="s">
        <v>788</v>
      </c>
      <c r="J9149" s="380" t="s">
        <v>773</v>
      </c>
      <c r="K9149" s="381">
        <v>0.0</v>
      </c>
      <c r="L9149" s="382">
        <v>1.0</v>
      </c>
    </row>
    <row r="9150">
      <c r="A9150" s="380" t="s">
        <v>10024</v>
      </c>
      <c r="B9150" s="380" t="str">
        <f>IFERROR(__xludf.DUMMYFUNCTION("""COMPUTED_VALUE"""),"Tapa DEP AUX HN Dutropack 1640578010")</f>
        <v>Tapa DEP AUX HN Dutropack 1640578010</v>
      </c>
      <c r="C9150" s="380" t="str">
        <f>IFERROR(__xludf.DUMMYFUNCTION("""COMPUTED_VALUE"""),"70004570")</f>
        <v>70004570</v>
      </c>
      <c r="D9150" s="380" t="s">
        <v>767</v>
      </c>
      <c r="E9150" s="380" t="s">
        <v>786</v>
      </c>
      <c r="F9150" s="380" t="s">
        <v>787</v>
      </c>
      <c r="G9150" s="380" t="s">
        <v>1267</v>
      </c>
      <c r="H9150" s="380" t="s">
        <v>771</v>
      </c>
      <c r="I9150" s="380" t="s">
        <v>788</v>
      </c>
      <c r="J9150" s="380" t="s">
        <v>773</v>
      </c>
      <c r="K9150" s="381">
        <v>0.0</v>
      </c>
      <c r="L9150" s="382">
        <v>1.0</v>
      </c>
    </row>
    <row r="9151">
      <c r="A9151" s="380" t="s">
        <v>10025</v>
      </c>
      <c r="B9151" s="380" t="str">
        <f>IFERROR(__xludf.DUMMYFUNCTION("""COMPUTED_VALUE"""),"Esquinero Frontal Rh Hino 500 5.38e+174")</f>
        <v>Esquinero Frontal Rh Hino 500 5.38e+174</v>
      </c>
      <c r="C9151" s="380" t="str">
        <f>IFERROR(__xludf.DUMMYFUNCTION("""COMPUTED_VALUE"""),"70004571")</f>
        <v>70004571</v>
      </c>
      <c r="D9151" s="380" t="s">
        <v>767</v>
      </c>
      <c r="E9151" s="380" t="s">
        <v>786</v>
      </c>
      <c r="F9151" s="380" t="s">
        <v>792</v>
      </c>
      <c r="G9151" s="380" t="s">
        <v>1267</v>
      </c>
      <c r="H9151" s="380" t="s">
        <v>771</v>
      </c>
      <c r="I9151" s="380" t="s">
        <v>788</v>
      </c>
      <c r="J9151" s="380" t="s">
        <v>773</v>
      </c>
      <c r="K9151" s="381">
        <v>0.0</v>
      </c>
      <c r="L9151" s="382">
        <v>1.0</v>
      </c>
    </row>
    <row r="9152">
      <c r="A9152" s="380" t="s">
        <v>10026</v>
      </c>
      <c r="B9152" s="380" t="str">
        <f>IFERROR(__xludf.DUMMYFUNCTION("""COMPUTED_VALUE"""),"Housing Trasera Delantera Eagle 9400 312")</f>
        <v>Housing Trasera Delantera Eagle 9400 312</v>
      </c>
      <c r="C9152" s="380" t="str">
        <f>IFERROR(__xludf.DUMMYFUNCTION("""COMPUTED_VALUE"""),"70004572")</f>
        <v>70004572</v>
      </c>
      <c r="D9152" s="380" t="s">
        <v>767</v>
      </c>
      <c r="E9152" s="380" t="s">
        <v>786</v>
      </c>
      <c r="F9152" s="380" t="s">
        <v>5683</v>
      </c>
      <c r="G9152" s="380" t="s">
        <v>1267</v>
      </c>
      <c r="H9152" s="380" t="s">
        <v>771</v>
      </c>
      <c r="I9152" s="380" t="s">
        <v>788</v>
      </c>
      <c r="J9152" s="380" t="s">
        <v>773</v>
      </c>
      <c r="K9152" s="381">
        <v>0.0</v>
      </c>
      <c r="L9152" s="382">
        <v>1.0</v>
      </c>
    </row>
    <row r="9153">
      <c r="A9153" s="380" t="s">
        <v>10027</v>
      </c>
      <c r="B9153" s="380" t="str">
        <f>IFERROR(__xludf.DUMMYFUNCTION("""COMPUTED_VALUE"""),"Elemento FILT De COMB Daf Cf480 2277129")</f>
        <v>Elemento FILT De COMB Daf Cf480 2277129</v>
      </c>
      <c r="C9153" s="380" t="str">
        <f>IFERROR(__xludf.DUMMYFUNCTION("""COMPUTED_VALUE"""),"70004573")</f>
        <v>70004573</v>
      </c>
      <c r="D9153" s="380" t="s">
        <v>767</v>
      </c>
      <c r="E9153" s="380" t="s">
        <v>786</v>
      </c>
      <c r="F9153" s="380" t="s">
        <v>5855</v>
      </c>
      <c r="G9153" s="380" t="s">
        <v>1267</v>
      </c>
      <c r="H9153" s="380" t="s">
        <v>771</v>
      </c>
      <c r="I9153" s="380" t="s">
        <v>788</v>
      </c>
      <c r="J9153" s="380" t="s">
        <v>773</v>
      </c>
      <c r="K9153" s="381">
        <v>359760.0</v>
      </c>
      <c r="L9153" s="382">
        <v>1.0</v>
      </c>
    </row>
    <row r="9154">
      <c r="A9154" s="380" t="s">
        <v>10028</v>
      </c>
      <c r="B9154" s="380" t="str">
        <f>IFERROR(__xludf.DUMMYFUNCTION("""COMPUTED_VALUE"""),"FILT Separador COMB Daf Cf480 1433649")</f>
        <v>FILT Separador COMB Daf Cf480 1433649</v>
      </c>
      <c r="C9154" s="380" t="str">
        <f>IFERROR(__xludf.DUMMYFUNCTION("""COMPUTED_VALUE"""),"70004574")</f>
        <v>70004574</v>
      </c>
      <c r="D9154" s="380" t="s">
        <v>767</v>
      </c>
      <c r="E9154" s="380" t="s">
        <v>786</v>
      </c>
      <c r="F9154" s="380" t="s">
        <v>5855</v>
      </c>
      <c r="G9154" s="380" t="s">
        <v>1267</v>
      </c>
      <c r="H9154" s="380" t="s">
        <v>771</v>
      </c>
      <c r="I9154" s="380" t="s">
        <v>788</v>
      </c>
      <c r="J9154" s="380" t="s">
        <v>773</v>
      </c>
      <c r="K9154" s="381">
        <v>162219.0</v>
      </c>
      <c r="L9154" s="382">
        <v>1.0</v>
      </c>
    </row>
    <row r="9155">
      <c r="A9155" s="380" t="s">
        <v>10029</v>
      </c>
      <c r="B9155" s="380" t="str">
        <f>IFERROR(__xludf.DUMMYFUNCTION("""COMPUTED_VALUE"""),"FILT De Aceite Centrífugo Daf Cf480 1922")</f>
        <v>FILT De Aceite Centrífugo Daf Cf480 1922</v>
      </c>
      <c r="C9155" s="380" t="str">
        <f>IFERROR(__xludf.DUMMYFUNCTION("""COMPUTED_VALUE"""),"70004575")</f>
        <v>70004575</v>
      </c>
      <c r="D9155" s="380" t="s">
        <v>767</v>
      </c>
      <c r="E9155" s="380" t="s">
        <v>786</v>
      </c>
      <c r="F9155" s="380" t="s">
        <v>5855</v>
      </c>
      <c r="G9155" s="380" t="s">
        <v>1267</v>
      </c>
      <c r="H9155" s="380" t="s">
        <v>771</v>
      </c>
      <c r="I9155" s="380" t="s">
        <v>788</v>
      </c>
      <c r="J9155" s="380" t="s">
        <v>773</v>
      </c>
      <c r="K9155" s="381">
        <v>208375.0</v>
      </c>
      <c r="L9155" s="382">
        <v>1.0</v>
      </c>
    </row>
    <row r="9156">
      <c r="A9156" s="380" t="s">
        <v>10030</v>
      </c>
      <c r="B9156" s="380" t="str">
        <f>IFERROR(__xludf.DUMMYFUNCTION("""COMPUTED_VALUE"""),"Filtro De Aire Motor Daf Cf480 2169184")</f>
        <v>Filtro De Aire Motor Daf Cf480 2169184</v>
      </c>
      <c r="C9156" s="380" t="str">
        <f>IFERROR(__xludf.DUMMYFUNCTION("""COMPUTED_VALUE"""),"70004576")</f>
        <v>70004576</v>
      </c>
      <c r="D9156" s="380" t="s">
        <v>767</v>
      </c>
      <c r="E9156" s="380" t="s">
        <v>786</v>
      </c>
      <c r="F9156" s="380" t="s">
        <v>5855</v>
      </c>
      <c r="G9156" s="380" t="s">
        <v>1267</v>
      </c>
      <c r="H9156" s="380" t="s">
        <v>771</v>
      </c>
      <c r="I9156" s="380" t="s">
        <v>788</v>
      </c>
      <c r="J9156" s="380" t="s">
        <v>773</v>
      </c>
      <c r="K9156" s="381">
        <v>0.0</v>
      </c>
      <c r="L9156" s="382">
        <v>1.0</v>
      </c>
    </row>
    <row r="9157">
      <c r="A9157" s="380" t="s">
        <v>10031</v>
      </c>
      <c r="B9157" s="380" t="str">
        <f>IFERROR(__xludf.DUMMYFUNCTION("""COMPUTED_VALUE"""),"Filtro Aceite Motor Daf Cf480 2234788")</f>
        <v>Filtro Aceite Motor Daf Cf480 2234788</v>
      </c>
      <c r="C9157" s="380" t="str">
        <f>IFERROR(__xludf.DUMMYFUNCTION("""COMPUTED_VALUE"""),"70004577")</f>
        <v>70004577</v>
      </c>
      <c r="D9157" s="380" t="s">
        <v>767</v>
      </c>
      <c r="E9157" s="380" t="s">
        <v>786</v>
      </c>
      <c r="F9157" s="380" t="s">
        <v>5855</v>
      </c>
      <c r="G9157" s="380" t="s">
        <v>1267</v>
      </c>
      <c r="H9157" s="380" t="s">
        <v>771</v>
      </c>
      <c r="I9157" s="380" t="s">
        <v>788</v>
      </c>
      <c r="J9157" s="380" t="s">
        <v>773</v>
      </c>
      <c r="K9157" s="381">
        <v>200955.0</v>
      </c>
      <c r="L9157" s="382">
        <v>1.0</v>
      </c>
    </row>
    <row r="9158">
      <c r="A9158" s="380" t="s">
        <v>10032</v>
      </c>
      <c r="B9158" s="380" t="str">
        <f>IFERROR(__xludf.DUMMYFUNCTION("""COMPUTED_VALUE"""),"CJ De Fusible CAB Int Nkr III 8980676191")</f>
        <v>CJ De Fusible CAB Int Nkr III 8980676191</v>
      </c>
      <c r="C9158" s="380" t="str">
        <f>IFERROR(__xludf.DUMMYFUNCTION("""COMPUTED_VALUE"""),"70004578")</f>
        <v>70004578</v>
      </c>
      <c r="D9158" s="380" t="s">
        <v>767</v>
      </c>
      <c r="E9158" s="380" t="s">
        <v>786</v>
      </c>
      <c r="F9158" s="380" t="s">
        <v>998</v>
      </c>
      <c r="G9158" s="380" t="s">
        <v>1267</v>
      </c>
      <c r="H9158" s="380" t="s">
        <v>771</v>
      </c>
      <c r="I9158" s="380" t="s">
        <v>788</v>
      </c>
      <c r="J9158" s="380" t="s">
        <v>773</v>
      </c>
      <c r="K9158" s="381">
        <v>0.0</v>
      </c>
      <c r="L9158" s="382">
        <v>1.0</v>
      </c>
    </row>
    <row r="9159">
      <c r="A9159" s="380" t="s">
        <v>10033</v>
      </c>
      <c r="B9159" s="380" t="str">
        <f>IFERROR(__xludf.DUMMYFUNCTION("""COMPUTED_VALUE"""),"Par Parasol Rh Tm1.5 Foton 7705946770781")</f>
        <v>Par Parasol Rh Tm1.5 Foton 7705946770781</v>
      </c>
      <c r="C9159" s="380" t="str">
        <f>IFERROR(__xludf.DUMMYFUNCTION("""COMPUTED_VALUE"""),"70004579")</f>
        <v>70004579</v>
      </c>
      <c r="D9159" s="380" t="s">
        <v>767</v>
      </c>
      <c r="E9159" s="380" t="s">
        <v>786</v>
      </c>
      <c r="F9159" s="380" t="s">
        <v>792</v>
      </c>
      <c r="G9159" s="380" t="s">
        <v>1267</v>
      </c>
      <c r="H9159" s="380" t="s">
        <v>771</v>
      </c>
      <c r="I9159" s="380" t="s">
        <v>788</v>
      </c>
      <c r="J9159" s="380" t="s">
        <v>773</v>
      </c>
      <c r="K9159" s="381">
        <v>0.0</v>
      </c>
      <c r="L9159" s="382">
        <v>1.0</v>
      </c>
    </row>
    <row r="9160">
      <c r="A9160" s="380" t="s">
        <v>10034</v>
      </c>
      <c r="B9160" s="380" t="str">
        <f>IFERROR(__xludf.DUMMYFUNCTION("""COMPUTED_VALUE"""),"Piston Motor 4jb1 Nkr Iii 8944608871")</f>
        <v>Piston Motor 4jb1 Nkr Iii 8944608871</v>
      </c>
      <c r="C9160" s="380" t="str">
        <f>IFERROR(__xludf.DUMMYFUNCTION("""COMPUTED_VALUE"""),"70004580")</f>
        <v>70004580</v>
      </c>
      <c r="D9160" s="380" t="s">
        <v>767</v>
      </c>
      <c r="E9160" s="380" t="s">
        <v>786</v>
      </c>
      <c r="F9160" s="380" t="s">
        <v>787</v>
      </c>
      <c r="G9160" s="380" t="s">
        <v>1267</v>
      </c>
      <c r="H9160" s="380" t="s">
        <v>771</v>
      </c>
      <c r="I9160" s="380" t="s">
        <v>788</v>
      </c>
      <c r="J9160" s="380" t="s">
        <v>773</v>
      </c>
      <c r="K9160" s="381">
        <v>0.0</v>
      </c>
      <c r="L9160" s="382">
        <v>1.0</v>
      </c>
    </row>
    <row r="9161">
      <c r="A9161" s="380" t="s">
        <v>10035</v>
      </c>
      <c r="B9161" s="380" t="str">
        <f>IFERROR(__xludf.DUMMYFUNCTION("""COMPUTED_VALUE"""),"Hoja MUE TRAS Principal Ftr 8980519960")</f>
        <v>Hoja MUE TRAS Principal Ftr 8980519960</v>
      </c>
      <c r="C9161" s="380" t="str">
        <f>IFERROR(__xludf.DUMMYFUNCTION("""COMPUTED_VALUE"""),"70004581")</f>
        <v>70004581</v>
      </c>
      <c r="D9161" s="380" t="s">
        <v>767</v>
      </c>
      <c r="E9161" s="380" t="s">
        <v>786</v>
      </c>
      <c r="F9161" s="380" t="s">
        <v>1039</v>
      </c>
      <c r="G9161" s="380" t="s">
        <v>1267</v>
      </c>
      <c r="H9161" s="380" t="s">
        <v>771</v>
      </c>
      <c r="I9161" s="380" t="s">
        <v>788</v>
      </c>
      <c r="J9161" s="380" t="s">
        <v>773</v>
      </c>
      <c r="K9161" s="381">
        <v>0.0</v>
      </c>
      <c r="L9161" s="382">
        <v>1.0</v>
      </c>
    </row>
    <row r="9162">
      <c r="A9162" s="380" t="s">
        <v>10036</v>
      </c>
      <c r="B9162" s="380" t="str">
        <f>IFERROR(__xludf.DUMMYFUNCTION("""COMPUTED_VALUE"""),"Tapa TANQ De COMB FT 1065 5946581318")</f>
        <v>Tapa TANQ De COMB FT 1065 5946581318</v>
      </c>
      <c r="C9162" s="380" t="str">
        <f>IFERROR(__xludf.DUMMYFUNCTION("""COMPUTED_VALUE"""),"70004582")</f>
        <v>70004582</v>
      </c>
      <c r="D9162" s="380" t="s">
        <v>767</v>
      </c>
      <c r="E9162" s="380" t="s">
        <v>786</v>
      </c>
      <c r="F9162" s="380" t="s">
        <v>787</v>
      </c>
      <c r="G9162" s="380" t="s">
        <v>1267</v>
      </c>
      <c r="H9162" s="380" t="s">
        <v>771</v>
      </c>
      <c r="I9162" s="380" t="s">
        <v>788</v>
      </c>
      <c r="J9162" s="380" t="s">
        <v>773</v>
      </c>
      <c r="K9162" s="381">
        <v>148880.0</v>
      </c>
      <c r="L9162" s="382">
        <v>1.0</v>
      </c>
    </row>
    <row r="9163">
      <c r="A9163" s="380" t="s">
        <v>10037</v>
      </c>
      <c r="B9163" s="380" t="str">
        <f>IFERROR(__xludf.DUMMYFUNCTION("""COMPUTED_VALUE"""),"Emp Culata 3 Muescas Siliconado FT 1039")</f>
        <v>Emp Culata 3 Muescas Siliconado FT 1039</v>
      </c>
      <c r="C9163" s="380" t="str">
        <f>IFERROR(__xludf.DUMMYFUNCTION("""COMPUTED_VALUE"""),"70004583")</f>
        <v>70004583</v>
      </c>
      <c r="D9163" s="380" t="s">
        <v>767</v>
      </c>
      <c r="E9163" s="380" t="s">
        <v>786</v>
      </c>
      <c r="F9163" s="380" t="s">
        <v>787</v>
      </c>
      <c r="G9163" s="380" t="s">
        <v>1267</v>
      </c>
      <c r="H9163" s="380" t="s">
        <v>771</v>
      </c>
      <c r="I9163" s="380" t="s">
        <v>788</v>
      </c>
      <c r="J9163" s="380" t="s">
        <v>773</v>
      </c>
      <c r="K9163" s="381">
        <v>0.0</v>
      </c>
      <c r="L9163" s="382">
        <v>1.0</v>
      </c>
    </row>
    <row r="9164">
      <c r="A9164" s="380" t="s">
        <v>10038</v>
      </c>
      <c r="B9164" s="380" t="str">
        <f>IFERROR(__xludf.DUMMYFUNCTION("""COMPUTED_VALUE"""),"Bateria Tractomula Daf 12v 175ah 900a")</f>
        <v>Bateria Tractomula Daf 12v 175ah 900a</v>
      </c>
      <c r="C9164" s="380" t="str">
        <f>IFERROR(__xludf.DUMMYFUNCTION("""COMPUTED_VALUE"""),"70004584")</f>
        <v>70004584</v>
      </c>
      <c r="D9164" s="380" t="s">
        <v>767</v>
      </c>
      <c r="E9164" s="380" t="s">
        <v>786</v>
      </c>
      <c r="F9164" s="380" t="s">
        <v>998</v>
      </c>
      <c r="G9164" s="380" t="s">
        <v>1267</v>
      </c>
      <c r="H9164" s="380" t="s">
        <v>771</v>
      </c>
      <c r="I9164" s="380" t="s">
        <v>788</v>
      </c>
      <c r="J9164" s="380" t="s">
        <v>773</v>
      </c>
      <c r="K9164" s="381">
        <v>0.0</v>
      </c>
      <c r="L9164" s="382">
        <v>1.0</v>
      </c>
    </row>
    <row r="9165">
      <c r="A9165" s="380" t="s">
        <v>10039</v>
      </c>
      <c r="B9165" s="380" t="str">
        <f>IFERROR(__xludf.DUMMYFUNCTION("""COMPUTED_VALUE"""),"RET Deductor Diferencial Jac 24028r1006")</f>
        <v>RET Deductor Diferencial Jac 24028r1006</v>
      </c>
      <c r="C9165" s="380" t="str">
        <f>IFERROR(__xludf.DUMMYFUNCTION("""COMPUTED_VALUE"""),"70004585")</f>
        <v>70004585</v>
      </c>
      <c r="D9165" s="380" t="s">
        <v>767</v>
      </c>
      <c r="E9165" s="380" t="s">
        <v>786</v>
      </c>
      <c r="F9165" s="380" t="s">
        <v>5683</v>
      </c>
      <c r="G9165" s="380" t="s">
        <v>1267</v>
      </c>
      <c r="H9165" s="380" t="s">
        <v>771</v>
      </c>
      <c r="I9165" s="380" t="s">
        <v>788</v>
      </c>
      <c r="J9165" s="380" t="s">
        <v>773</v>
      </c>
      <c r="K9165" s="381">
        <v>0.0</v>
      </c>
      <c r="L9165" s="382">
        <v>1.0</v>
      </c>
    </row>
    <row r="9166">
      <c r="A9166" s="380" t="s">
        <v>10040</v>
      </c>
      <c r="B9166" s="380" t="str">
        <f>IFERROR(__xludf.DUMMYFUNCTION("""COMPUTED_VALUE"""),"SOP Caucho CAB FT 1039 7701023700429")</f>
        <v>SOP Caucho CAB FT 1039 7701023700429</v>
      </c>
      <c r="C9166" s="380" t="str">
        <f>IFERROR(__xludf.DUMMYFUNCTION("""COMPUTED_VALUE"""),"70004586")</f>
        <v>70004586</v>
      </c>
      <c r="D9166" s="380" t="s">
        <v>767</v>
      </c>
      <c r="E9166" s="380" t="s">
        <v>786</v>
      </c>
      <c r="F9166" s="380" t="s">
        <v>792</v>
      </c>
      <c r="G9166" s="380" t="s">
        <v>1267</v>
      </c>
      <c r="H9166" s="380" t="s">
        <v>771</v>
      </c>
      <c r="I9166" s="380" t="s">
        <v>788</v>
      </c>
      <c r="J9166" s="380" t="s">
        <v>773</v>
      </c>
      <c r="K9166" s="381">
        <v>0.0</v>
      </c>
      <c r="L9166" s="382">
        <v>1.0</v>
      </c>
    </row>
    <row r="9167">
      <c r="A9167" s="380" t="s">
        <v>10041</v>
      </c>
      <c r="B9167" s="380" t="str">
        <f>IFERROR(__xludf.DUMMYFUNCTION("""COMPUTED_VALUE"""),"SOP Línea De COMB EGL 3565711c2")</f>
        <v>SOP Línea De COMB EGL 3565711c2</v>
      </c>
      <c r="C9167" s="380" t="str">
        <f>IFERROR(__xludf.DUMMYFUNCTION("""COMPUTED_VALUE"""),"70004587")</f>
        <v>70004587</v>
      </c>
      <c r="D9167" s="380" t="s">
        <v>767</v>
      </c>
      <c r="E9167" s="380" t="s">
        <v>786</v>
      </c>
      <c r="F9167" s="380" t="s">
        <v>787</v>
      </c>
      <c r="G9167" s="380" t="s">
        <v>1267</v>
      </c>
      <c r="H9167" s="380" t="s">
        <v>771</v>
      </c>
      <c r="I9167" s="380" t="s">
        <v>788</v>
      </c>
      <c r="J9167" s="380" t="s">
        <v>773</v>
      </c>
      <c r="K9167" s="381">
        <v>0.0</v>
      </c>
      <c r="L9167" s="382">
        <v>1.0</v>
      </c>
    </row>
    <row r="9168">
      <c r="A9168" s="380" t="s">
        <v>10042</v>
      </c>
      <c r="B9168" s="380" t="str">
        <f>IFERROR(__xludf.DUMMYFUNCTION("""COMPUTED_VALUE"""),"Canal Inferior Premium Pu-8280-5")</f>
        <v>Canal Inferior Premium Pu-8280-5</v>
      </c>
      <c r="C9168" s="380" t="str">
        <f>IFERROR(__xludf.DUMMYFUNCTION("""COMPUTED_VALUE"""),"70004588")</f>
        <v>70004588</v>
      </c>
      <c r="D9168" s="380" t="s">
        <v>767</v>
      </c>
      <c r="E9168" s="380" t="s">
        <v>786</v>
      </c>
      <c r="F9168" s="380" t="s">
        <v>792</v>
      </c>
      <c r="G9168" s="380" t="s">
        <v>1267</v>
      </c>
      <c r="H9168" s="380" t="s">
        <v>771</v>
      </c>
      <c r="I9168" s="380" t="s">
        <v>788</v>
      </c>
      <c r="J9168" s="380" t="s">
        <v>773</v>
      </c>
      <c r="K9168" s="381">
        <v>0.0</v>
      </c>
      <c r="L9168" s="382">
        <v>1.0</v>
      </c>
    </row>
    <row r="9169">
      <c r="A9169" s="380" t="s">
        <v>10043</v>
      </c>
      <c r="B9169" s="380" t="str">
        <f>IFERROR(__xludf.DUMMYFUNCTION("""COMPUTED_VALUE"""),"Automatico Arranque Foton 1039 12v Zm691")</f>
        <v>Automatico Arranque Foton 1039 12v Zm691</v>
      </c>
      <c r="C9169" s="380" t="str">
        <f>IFERROR(__xludf.DUMMYFUNCTION("""COMPUTED_VALUE"""),"70004589")</f>
        <v>70004589</v>
      </c>
      <c r="D9169" s="380" t="s">
        <v>767</v>
      </c>
      <c r="E9169" s="380" t="s">
        <v>786</v>
      </c>
      <c r="F9169" s="380" t="s">
        <v>998</v>
      </c>
      <c r="G9169" s="380" t="s">
        <v>1267</v>
      </c>
      <c r="H9169" s="380" t="s">
        <v>771</v>
      </c>
      <c r="I9169" s="380" t="s">
        <v>788</v>
      </c>
      <c r="J9169" s="380" t="s">
        <v>773</v>
      </c>
      <c r="K9169" s="381">
        <v>0.0</v>
      </c>
      <c r="L9169" s="382">
        <v>1.0</v>
      </c>
    </row>
    <row r="9170">
      <c r="A9170" s="380" t="s">
        <v>10044</v>
      </c>
      <c r="B9170" s="380" t="str">
        <f>IFERROR(__xludf.DUMMYFUNCTION("""COMPUTED_VALUE"""),"Extension Del Izq INTnacional 4054647c96")</f>
        <v>Extension Del Izq INTnacional 4054647c96</v>
      </c>
      <c r="C9170" s="380" t="str">
        <f>IFERROR(__xludf.DUMMYFUNCTION("""COMPUTED_VALUE"""),"70004590")</f>
        <v>70004590</v>
      </c>
      <c r="D9170" s="380" t="s">
        <v>767</v>
      </c>
      <c r="E9170" s="380" t="s">
        <v>786</v>
      </c>
      <c r="F9170" s="380" t="s">
        <v>792</v>
      </c>
      <c r="G9170" s="380" t="s">
        <v>1267</v>
      </c>
      <c r="H9170" s="380" t="s">
        <v>771</v>
      </c>
      <c r="I9170" s="380" t="s">
        <v>788</v>
      </c>
      <c r="J9170" s="380" t="s">
        <v>773</v>
      </c>
      <c r="K9170" s="381">
        <v>0.0</v>
      </c>
      <c r="L9170" s="382">
        <v>1.0</v>
      </c>
    </row>
    <row r="9171">
      <c r="A9171" s="380" t="s">
        <v>10045</v>
      </c>
      <c r="B9171" s="380" t="str">
        <f>IFERROR(__xludf.DUMMYFUNCTION("""COMPUTED_VALUE"""),"CIL Principal Clutch Camion F 5946328265")</f>
        <v>CIL Principal Clutch Camion F 5946328265</v>
      </c>
      <c r="C9171" s="380" t="str">
        <f>IFERROR(__xludf.DUMMYFUNCTION("""COMPUTED_VALUE"""),"70004591")</f>
        <v>70004591</v>
      </c>
      <c r="D9171" s="380" t="s">
        <v>767</v>
      </c>
      <c r="E9171" s="380" t="s">
        <v>786</v>
      </c>
      <c r="F9171" s="380" t="s">
        <v>1017</v>
      </c>
      <c r="G9171" s="380" t="s">
        <v>1267</v>
      </c>
      <c r="H9171" s="380" t="s">
        <v>771</v>
      </c>
      <c r="I9171" s="380" t="s">
        <v>788</v>
      </c>
      <c r="J9171" s="380" t="s">
        <v>773</v>
      </c>
      <c r="K9171" s="381">
        <v>0.0</v>
      </c>
      <c r="L9171" s="382">
        <v>1.0</v>
      </c>
    </row>
    <row r="9172">
      <c r="A9172" s="380" t="s">
        <v>10046</v>
      </c>
      <c r="B9172" s="380" t="str">
        <f>IFERROR(__xludf.DUMMYFUNCTION("""COMPUTED_VALUE"""),"Booster Clutch Camion FT Bj1129 77010230")</f>
        <v>Booster Clutch Camion FT Bj1129 77010230</v>
      </c>
      <c r="C9172" s="380" t="str">
        <f>IFERROR(__xludf.DUMMYFUNCTION("""COMPUTED_VALUE"""),"70004592")</f>
        <v>70004592</v>
      </c>
      <c r="D9172" s="380" t="s">
        <v>767</v>
      </c>
      <c r="E9172" s="380" t="s">
        <v>786</v>
      </c>
      <c r="F9172" s="380" t="s">
        <v>1017</v>
      </c>
      <c r="G9172" s="380" t="s">
        <v>1267</v>
      </c>
      <c r="H9172" s="380" t="s">
        <v>771</v>
      </c>
      <c r="I9172" s="380" t="s">
        <v>788</v>
      </c>
      <c r="J9172" s="380" t="s">
        <v>773</v>
      </c>
      <c r="K9172" s="381">
        <v>0.0</v>
      </c>
      <c r="L9172" s="382">
        <v>1.0</v>
      </c>
    </row>
    <row r="9173">
      <c r="A9173" s="380" t="s">
        <v>10047</v>
      </c>
      <c r="B9173" s="380" t="str">
        <f>IFERROR(__xludf.DUMMYFUNCTION("""COMPUTED_VALUE"""),"MANG ENT Booster Liquido Fot Bj1129 7701")</f>
        <v>MANG ENT Booster Liquido Fot Bj1129 7701</v>
      </c>
      <c r="C9173" s="380" t="str">
        <f>IFERROR(__xludf.DUMMYFUNCTION("""COMPUTED_VALUE"""),"70004593")</f>
        <v>70004593</v>
      </c>
      <c r="D9173" s="380" t="s">
        <v>767</v>
      </c>
      <c r="E9173" s="380" t="s">
        <v>786</v>
      </c>
      <c r="F9173" s="380" t="s">
        <v>1017</v>
      </c>
      <c r="G9173" s="380" t="s">
        <v>1267</v>
      </c>
      <c r="H9173" s="380" t="s">
        <v>771</v>
      </c>
      <c r="I9173" s="380" t="s">
        <v>788</v>
      </c>
      <c r="J9173" s="380" t="s">
        <v>773</v>
      </c>
      <c r="K9173" s="381">
        <v>147203.0</v>
      </c>
      <c r="L9173" s="382">
        <v>1.0</v>
      </c>
    </row>
    <row r="9174">
      <c r="A9174" s="380" t="s">
        <v>10048</v>
      </c>
      <c r="B9174" s="380" t="str">
        <f>IFERROR(__xludf.DUMMYFUNCTION("""COMPUTED_VALUE"""),"Base Termostatica Nkr Iii 8971396042")</f>
        <v>Base Termostatica Nkr Iii 8971396042</v>
      </c>
      <c r="C9174" s="380" t="str">
        <f>IFERROR(__xludf.DUMMYFUNCTION("""COMPUTED_VALUE"""),"70004594")</f>
        <v>70004594</v>
      </c>
      <c r="D9174" s="380" t="s">
        <v>767</v>
      </c>
      <c r="E9174" s="380" t="s">
        <v>786</v>
      </c>
      <c r="F9174" s="380" t="s">
        <v>787</v>
      </c>
      <c r="G9174" s="380" t="s">
        <v>1267</v>
      </c>
      <c r="H9174" s="380" t="s">
        <v>771</v>
      </c>
      <c r="I9174" s="380" t="s">
        <v>788</v>
      </c>
      <c r="J9174" s="380" t="s">
        <v>773</v>
      </c>
      <c r="K9174" s="381">
        <v>0.0</v>
      </c>
      <c r="L9174" s="382">
        <v>1.0</v>
      </c>
    </row>
    <row r="9175">
      <c r="A9175" s="380" t="s">
        <v>10049</v>
      </c>
      <c r="B9175" s="380" t="str">
        <f>IFERROR(__xludf.DUMMYFUNCTION("""COMPUTED_VALUE"""),"Tornillo Arranque Hi 37mt")</f>
        <v>Tornillo Arranque Hi 37mt</v>
      </c>
      <c r="C9175" s="380" t="str">
        <f>IFERROR(__xludf.DUMMYFUNCTION("""COMPUTED_VALUE"""),"70004595")</f>
        <v>70004595</v>
      </c>
      <c r="D9175" s="380" t="s">
        <v>767</v>
      </c>
      <c r="E9175" s="380" t="s">
        <v>786</v>
      </c>
      <c r="F9175" s="380" t="s">
        <v>998</v>
      </c>
      <c r="G9175" s="380" t="s">
        <v>1267</v>
      </c>
      <c r="H9175" s="380" t="s">
        <v>771</v>
      </c>
      <c r="I9175" s="380" t="s">
        <v>788</v>
      </c>
      <c r="J9175" s="380" t="s">
        <v>773</v>
      </c>
      <c r="K9175" s="381">
        <v>0.0</v>
      </c>
      <c r="L9175" s="382">
        <v>1.0</v>
      </c>
    </row>
    <row r="9176">
      <c r="A9176" s="380" t="s">
        <v>10050</v>
      </c>
      <c r="B9176" s="380" t="str">
        <f>IFERROR(__xludf.DUMMYFUNCTION("""COMPUTED_VALUE"""),"Agarradera PTA Izq Jac 1120 6102011ld0")</f>
        <v>Agarradera PTA Izq Jac 1120 6102011ld0</v>
      </c>
      <c r="C9176" s="380" t="str">
        <f>IFERROR(__xludf.DUMMYFUNCTION("""COMPUTED_VALUE"""),"70004596")</f>
        <v>70004596</v>
      </c>
      <c r="D9176" s="380" t="s">
        <v>767</v>
      </c>
      <c r="E9176" s="380" t="s">
        <v>786</v>
      </c>
      <c r="F9176" s="380" t="s">
        <v>792</v>
      </c>
      <c r="G9176" s="380" t="s">
        <v>1267</v>
      </c>
      <c r="H9176" s="380" t="s">
        <v>771</v>
      </c>
      <c r="I9176" s="380" t="s">
        <v>788</v>
      </c>
      <c r="J9176" s="380" t="s">
        <v>773</v>
      </c>
      <c r="K9176" s="381">
        <v>0.0</v>
      </c>
      <c r="L9176" s="382">
        <v>1.0</v>
      </c>
    </row>
    <row r="9177">
      <c r="A9177" s="380" t="s">
        <v>10051</v>
      </c>
      <c r="B9177" s="380" t="str">
        <f>IFERROR(__xludf.DUMMYFUNCTION("""COMPUTED_VALUE"""),"Cremallera Volante Hyunday 23212-42000")</f>
        <v>Cremallera Volante Hyunday 23212-42000</v>
      </c>
      <c r="C9177" s="380" t="str">
        <f>IFERROR(__xludf.DUMMYFUNCTION("""COMPUTED_VALUE"""),"70004597")</f>
        <v>70004597</v>
      </c>
      <c r="D9177" s="380" t="s">
        <v>767</v>
      </c>
      <c r="E9177" s="380" t="s">
        <v>786</v>
      </c>
      <c r="F9177" s="380" t="s">
        <v>787</v>
      </c>
      <c r="G9177" s="380" t="s">
        <v>1267</v>
      </c>
      <c r="H9177" s="380" t="s">
        <v>771</v>
      </c>
      <c r="I9177" s="380" t="s">
        <v>788</v>
      </c>
      <c r="J9177" s="380" t="s">
        <v>773</v>
      </c>
      <c r="K9177" s="381">
        <v>0.0</v>
      </c>
      <c r="L9177" s="382">
        <v>1.0</v>
      </c>
    </row>
    <row r="9178">
      <c r="A9178" s="380" t="s">
        <v>10052</v>
      </c>
      <c r="B9178" s="380" t="str">
        <f>IFERROR(__xludf.DUMMYFUNCTION("""COMPUTED_VALUE"""),"Kit CILs Encendido Y PTAs Jac 3704910le0")</f>
        <v>Kit CILs Encendido Y PTAs Jac 3704910le0</v>
      </c>
      <c r="C9178" s="380" t="str">
        <f>IFERROR(__xludf.DUMMYFUNCTION("""COMPUTED_VALUE"""),"70004598")</f>
        <v>70004598</v>
      </c>
      <c r="D9178" s="380" t="s">
        <v>767</v>
      </c>
      <c r="E9178" s="380" t="s">
        <v>786</v>
      </c>
      <c r="F9178" s="380" t="s">
        <v>792</v>
      </c>
      <c r="G9178" s="380" t="s">
        <v>1267</v>
      </c>
      <c r="H9178" s="380" t="s">
        <v>771</v>
      </c>
      <c r="I9178" s="380" t="s">
        <v>788</v>
      </c>
      <c r="J9178" s="380" t="s">
        <v>773</v>
      </c>
      <c r="K9178" s="381">
        <v>0.0</v>
      </c>
      <c r="L9178" s="382">
        <v>1.0</v>
      </c>
    </row>
    <row r="9179">
      <c r="A9179" s="380" t="s">
        <v>10053</v>
      </c>
      <c r="B9179" s="380" t="str">
        <f>IFERROR(__xludf.DUMMYFUNCTION("""COMPUTED_VALUE"""),"INTcambiador De Calor Sup CJ 915 K K3955")</f>
        <v>INTcambiador De Calor Sup CJ 915 K K3955</v>
      </c>
      <c r="C9179" s="380" t="str">
        <f>IFERROR(__xludf.DUMMYFUNCTION("""COMPUTED_VALUE"""),"70004599")</f>
        <v>70004599</v>
      </c>
      <c r="D9179" s="380" t="s">
        <v>767</v>
      </c>
      <c r="E9179" s="380" t="s">
        <v>786</v>
      </c>
      <c r="F9179" s="380" t="s">
        <v>5683</v>
      </c>
      <c r="G9179" s="380" t="s">
        <v>1267</v>
      </c>
      <c r="H9179" s="380" t="s">
        <v>771</v>
      </c>
      <c r="I9179" s="380" t="s">
        <v>788</v>
      </c>
      <c r="J9179" s="380" t="s">
        <v>773</v>
      </c>
      <c r="K9179" s="381">
        <v>0.0</v>
      </c>
      <c r="L9179" s="382">
        <v>1.0</v>
      </c>
    </row>
    <row r="9180">
      <c r="A9180" s="380" t="s">
        <v>10054</v>
      </c>
      <c r="B9180" s="380" t="str">
        <f>IFERROR(__xludf.DUMMYFUNCTION("""COMPUTED_VALUE"""),"BMB DIR Hidraulica NS Urvan 491103xnod")</f>
        <v>BMB DIR Hidraulica NS Urvan 491103xnod</v>
      </c>
      <c r="C9180" s="380" t="str">
        <f>IFERROR(__xludf.DUMMYFUNCTION("""COMPUTED_VALUE"""),"70004600")</f>
        <v>70004600</v>
      </c>
      <c r="D9180" s="380" t="s">
        <v>767</v>
      </c>
      <c r="E9180" s="380" t="s">
        <v>786</v>
      </c>
      <c r="F9180" s="380" t="s">
        <v>1020</v>
      </c>
      <c r="G9180" s="380" t="s">
        <v>1267</v>
      </c>
      <c r="H9180" s="380" t="s">
        <v>771</v>
      </c>
      <c r="I9180" s="380" t="s">
        <v>788</v>
      </c>
      <c r="J9180" s="380" t="s">
        <v>773</v>
      </c>
      <c r="K9180" s="381">
        <v>0.0</v>
      </c>
      <c r="L9180" s="382">
        <v>1.0</v>
      </c>
    </row>
    <row r="9181">
      <c r="A9181" s="380" t="s">
        <v>10055</v>
      </c>
      <c r="B9181" s="380" t="str">
        <f>IFERROR(__xludf.DUMMYFUNCTION("""COMPUTED_VALUE"""),"Guia Valvula Hyundai Porter H100")</f>
        <v>Guia Valvula Hyundai Porter H100</v>
      </c>
      <c r="C9181" s="380" t="str">
        <f>IFERROR(__xludf.DUMMYFUNCTION("""COMPUTED_VALUE"""),"70004601")</f>
        <v>70004601</v>
      </c>
      <c r="D9181" s="380" t="s">
        <v>767</v>
      </c>
      <c r="E9181" s="380" t="s">
        <v>786</v>
      </c>
      <c r="F9181" s="380" t="s">
        <v>787</v>
      </c>
      <c r="G9181" s="380" t="s">
        <v>1267</v>
      </c>
      <c r="H9181" s="380" t="s">
        <v>771</v>
      </c>
      <c r="I9181" s="380" t="s">
        <v>788</v>
      </c>
      <c r="J9181" s="380" t="s">
        <v>773</v>
      </c>
      <c r="K9181" s="381">
        <v>0.0</v>
      </c>
      <c r="L9181" s="382">
        <v>1.0</v>
      </c>
    </row>
    <row r="9182">
      <c r="A9182" s="380" t="s">
        <v>10056</v>
      </c>
      <c r="B9182" s="380" t="str">
        <f>IFERROR(__xludf.DUMMYFUNCTION("""COMPUTED_VALUE"""),"Correa Bomba Hidraulica Jac 1042")</f>
        <v>Correa Bomba Hidraulica Jac 1042</v>
      </c>
      <c r="C9182" s="380" t="str">
        <f>IFERROR(__xludf.DUMMYFUNCTION("""COMPUTED_VALUE"""),"70004602")</f>
        <v>70004602</v>
      </c>
      <c r="D9182" s="380" t="s">
        <v>767</v>
      </c>
      <c r="E9182" s="380" t="s">
        <v>786</v>
      </c>
      <c r="F9182" s="380" t="s">
        <v>787</v>
      </c>
      <c r="G9182" s="380" t="s">
        <v>1267</v>
      </c>
      <c r="H9182" s="380" t="s">
        <v>771</v>
      </c>
      <c r="I9182" s="380" t="s">
        <v>788</v>
      </c>
      <c r="J9182" s="380" t="s">
        <v>773</v>
      </c>
      <c r="K9182" s="381">
        <v>0.0</v>
      </c>
      <c r="L9182" s="382">
        <v>1.0</v>
      </c>
    </row>
    <row r="9183">
      <c r="A9183" s="380" t="s">
        <v>10057</v>
      </c>
      <c r="B9183" s="380" t="str">
        <f>IFERROR(__xludf.DUMMYFUNCTION("""COMPUTED_VALUE"""),"Grapa Muelle Tras Hino 300 700017777")</f>
        <v>Grapa Muelle Tras Hino 300 700017777</v>
      </c>
      <c r="C9183" s="380" t="str">
        <f>IFERROR(__xludf.DUMMYFUNCTION("""COMPUTED_VALUE"""),"70004603")</f>
        <v>70004603</v>
      </c>
      <c r="D9183" s="380" t="s">
        <v>767</v>
      </c>
      <c r="E9183" s="380" t="s">
        <v>786</v>
      </c>
      <c r="F9183" s="380" t="s">
        <v>1039</v>
      </c>
      <c r="G9183" s="380" t="s">
        <v>1267</v>
      </c>
      <c r="H9183" s="380" t="s">
        <v>771</v>
      </c>
      <c r="I9183" s="380" t="s">
        <v>788</v>
      </c>
      <c r="J9183" s="380" t="s">
        <v>773</v>
      </c>
      <c r="K9183" s="381">
        <v>0.0</v>
      </c>
      <c r="L9183" s="382">
        <v>1.0</v>
      </c>
    </row>
    <row r="9184">
      <c r="A9184" s="380" t="s">
        <v>10058</v>
      </c>
      <c r="B9184" s="380" t="str">
        <f>IFERROR(__xludf.DUMMYFUNCTION("""COMPUTED_VALUE"""),"Flotador COMB FT BJ1129 102308170")</f>
        <v>Flotador COMB FT BJ1129 102308170</v>
      </c>
      <c r="C9184" s="380" t="str">
        <f>IFERROR(__xludf.DUMMYFUNCTION("""COMPUTED_VALUE"""),"70004604")</f>
        <v>70004604</v>
      </c>
      <c r="D9184" s="380" t="s">
        <v>767</v>
      </c>
      <c r="E9184" s="380" t="s">
        <v>786</v>
      </c>
      <c r="F9184" s="380" t="s">
        <v>998</v>
      </c>
      <c r="G9184" s="380" t="s">
        <v>1267</v>
      </c>
      <c r="H9184" s="380" t="s">
        <v>771</v>
      </c>
      <c r="I9184" s="380" t="s">
        <v>788</v>
      </c>
      <c r="J9184" s="380" t="s">
        <v>773</v>
      </c>
      <c r="K9184" s="381">
        <v>0.0</v>
      </c>
      <c r="L9184" s="382">
        <v>1.0</v>
      </c>
    </row>
    <row r="9185">
      <c r="A9185" s="380" t="s">
        <v>10059</v>
      </c>
      <c r="B9185" s="380" t="str">
        <f>IFERROR(__xludf.DUMMYFUNCTION("""COMPUTED_VALUE"""),"Caña DIRción FT Minutruck / Tm30 7705946")</f>
        <v>Caña DIRción FT Minutruck / Tm30 7705946</v>
      </c>
      <c r="C9185" s="380" t="str">
        <f>IFERROR(__xludf.DUMMYFUNCTION("""COMPUTED_VALUE"""),"70004605")</f>
        <v>70004605</v>
      </c>
      <c r="D9185" s="380" t="s">
        <v>767</v>
      </c>
      <c r="E9185" s="380" t="s">
        <v>786</v>
      </c>
      <c r="F9185" s="380" t="s">
        <v>1020</v>
      </c>
      <c r="G9185" s="380" t="s">
        <v>1267</v>
      </c>
      <c r="H9185" s="380" t="s">
        <v>771</v>
      </c>
      <c r="I9185" s="380" t="s">
        <v>788</v>
      </c>
      <c r="J9185" s="380" t="s">
        <v>773</v>
      </c>
      <c r="K9185" s="381">
        <v>0.0</v>
      </c>
      <c r="L9185" s="382">
        <v>1.0</v>
      </c>
    </row>
    <row r="9186">
      <c r="A9186" s="380" t="s">
        <v>10060</v>
      </c>
      <c r="B9186" s="380" t="str">
        <f>IFERROR(__xludf.DUMMYFUNCTION("""COMPUTED_VALUE"""),"RAD MOT FT Minitruck / Tm30 770594676937")</f>
        <v>RAD MOT FT Minitruck / Tm30 770594676937</v>
      </c>
      <c r="C9186" s="380" t="str">
        <f>IFERROR(__xludf.DUMMYFUNCTION("""COMPUTED_VALUE"""),"70004606")</f>
        <v>70004606</v>
      </c>
      <c r="D9186" s="380" t="s">
        <v>767</v>
      </c>
      <c r="E9186" s="380" t="s">
        <v>786</v>
      </c>
      <c r="F9186" s="380" t="s">
        <v>787</v>
      </c>
      <c r="G9186" s="380" t="s">
        <v>1267</v>
      </c>
      <c r="H9186" s="380" t="s">
        <v>771</v>
      </c>
      <c r="I9186" s="380" t="s">
        <v>788</v>
      </c>
      <c r="J9186" s="380" t="s">
        <v>773</v>
      </c>
      <c r="K9186" s="381">
        <v>0.0</v>
      </c>
      <c r="L9186" s="382">
        <v>1.0</v>
      </c>
    </row>
    <row r="9187">
      <c r="A9187" s="380" t="s">
        <v>10061</v>
      </c>
      <c r="B9187" s="380" t="str">
        <f>IFERROR(__xludf.DUMMYFUNCTION("""COMPUTED_VALUE"""),"Carcasa Piñon Velocimetro Nqr 8972531250")</f>
        <v>Carcasa Piñon Velocimetro Nqr 8972531250</v>
      </c>
      <c r="C9187" s="380" t="str">
        <f>IFERROR(__xludf.DUMMYFUNCTION("""COMPUTED_VALUE"""),"70004607")</f>
        <v>70004607</v>
      </c>
      <c r="D9187" s="380" t="s">
        <v>767</v>
      </c>
      <c r="E9187" s="380" t="s">
        <v>786</v>
      </c>
      <c r="F9187" s="380" t="s">
        <v>928</v>
      </c>
      <c r="G9187" s="380" t="s">
        <v>1267</v>
      </c>
      <c r="H9187" s="380" t="s">
        <v>771</v>
      </c>
      <c r="I9187" s="380" t="s">
        <v>788</v>
      </c>
      <c r="J9187" s="380" t="s">
        <v>773</v>
      </c>
      <c r="K9187" s="381">
        <v>0.0</v>
      </c>
      <c r="L9187" s="382">
        <v>1.0</v>
      </c>
    </row>
    <row r="9188">
      <c r="A9188" s="380" t="s">
        <v>10062</v>
      </c>
      <c r="B9188" s="380" t="str">
        <f>IFERROR(__xludf.DUMMYFUNCTION("""COMPUTED_VALUE"""),"Juego Pastillas Freno Del REN Duste 8553")</f>
        <v>Juego Pastillas Freno Del REN Duste 8553</v>
      </c>
      <c r="C9188" s="380" t="str">
        <f>IFERROR(__xludf.DUMMYFUNCTION("""COMPUTED_VALUE"""),"70004608")</f>
        <v>70004608</v>
      </c>
      <c r="D9188" s="380" t="s">
        <v>767</v>
      </c>
      <c r="E9188" s="380" t="s">
        <v>786</v>
      </c>
      <c r="F9188" s="380" t="s">
        <v>1017</v>
      </c>
      <c r="G9188" s="380" t="s">
        <v>1267</v>
      </c>
      <c r="H9188" s="380" t="s">
        <v>771</v>
      </c>
      <c r="I9188" s="380" t="s">
        <v>788</v>
      </c>
      <c r="J9188" s="380" t="s">
        <v>773</v>
      </c>
      <c r="K9188" s="381">
        <v>0.0</v>
      </c>
      <c r="L9188" s="382">
        <v>1.0</v>
      </c>
    </row>
    <row r="9189">
      <c r="A9189" s="380" t="s">
        <v>10063</v>
      </c>
      <c r="B9189" s="380" t="str">
        <f>IFERROR(__xludf.DUMMYFUNCTION("""COMPUTED_VALUE"""),"Witch CAB CTRL VALV Suspens KW G90106602")</f>
        <v>Witch CAB CTRL VALV Suspens KW G90106602</v>
      </c>
      <c r="C9189" s="380" t="str">
        <f>IFERROR(__xludf.DUMMYFUNCTION("""COMPUTED_VALUE"""),"70004609")</f>
        <v>70004609</v>
      </c>
      <c r="D9189" s="380" t="s">
        <v>767</v>
      </c>
      <c r="E9189" s="380" t="s">
        <v>786</v>
      </c>
      <c r="F9189" s="380" t="s">
        <v>998</v>
      </c>
      <c r="G9189" s="380" t="s">
        <v>1267</v>
      </c>
      <c r="H9189" s="380" t="s">
        <v>771</v>
      </c>
      <c r="I9189" s="380" t="s">
        <v>788</v>
      </c>
      <c r="J9189" s="380" t="s">
        <v>773</v>
      </c>
      <c r="K9189" s="381">
        <v>0.0</v>
      </c>
      <c r="L9189" s="382">
        <v>1.0</v>
      </c>
    </row>
    <row r="9190">
      <c r="A9190" s="380" t="s">
        <v>10064</v>
      </c>
      <c r="B9190" s="380" t="str">
        <f>IFERROR(__xludf.DUMMYFUNCTION("""COMPUTED_VALUE"""),"Witch CAB Bloqueo Diferencial G90106601")</f>
        <v>Witch CAB Bloqueo Diferencial G90106601</v>
      </c>
      <c r="C9190" s="380" t="str">
        <f>IFERROR(__xludf.DUMMYFUNCTION("""COMPUTED_VALUE"""),"70004610")</f>
        <v>70004610</v>
      </c>
      <c r="D9190" s="380" t="s">
        <v>767</v>
      </c>
      <c r="E9190" s="380" t="s">
        <v>786</v>
      </c>
      <c r="F9190" s="380" t="s">
        <v>998</v>
      </c>
      <c r="G9190" s="380" t="s">
        <v>1267</v>
      </c>
      <c r="H9190" s="380" t="s">
        <v>771</v>
      </c>
      <c r="I9190" s="380" t="s">
        <v>788</v>
      </c>
      <c r="J9190" s="380" t="s">
        <v>773</v>
      </c>
      <c r="K9190" s="381">
        <v>0.0</v>
      </c>
      <c r="L9190" s="382">
        <v>1.0</v>
      </c>
    </row>
    <row r="9191">
      <c r="A9191" s="380" t="s">
        <v>10065</v>
      </c>
      <c r="B9191" s="380" t="str">
        <f>IFERROR(__xludf.DUMMYFUNCTION("""COMPUTED_VALUE"""),"Kit Reparacion MAY Quinta RDA Ho Rk351al")</f>
        <v>Kit Reparacion MAY Quinta RDA Ho Rk351al</v>
      </c>
      <c r="C9191" s="380" t="str">
        <f>IFERROR(__xludf.DUMMYFUNCTION("""COMPUTED_VALUE"""),"70004611")</f>
        <v>70004611</v>
      </c>
      <c r="D9191" s="380" t="s">
        <v>767</v>
      </c>
      <c r="E9191" s="380" t="s">
        <v>786</v>
      </c>
      <c r="F9191" s="380" t="s">
        <v>792</v>
      </c>
      <c r="G9191" s="380" t="s">
        <v>1267</v>
      </c>
      <c r="H9191" s="380" t="s">
        <v>771</v>
      </c>
      <c r="I9191" s="380" t="s">
        <v>788</v>
      </c>
      <c r="J9191" s="380" t="s">
        <v>773</v>
      </c>
      <c r="K9191" s="381">
        <v>2023000.0</v>
      </c>
      <c r="L9191" s="382">
        <v>1.0</v>
      </c>
    </row>
    <row r="9192">
      <c r="A9192" s="380" t="s">
        <v>10066</v>
      </c>
      <c r="B9192" s="380" t="str">
        <f>IFERROR(__xludf.DUMMYFUNCTION("""COMPUTED_VALUE"""),"Base Soporte Cabina Nkr Rewar 8980064551")</f>
        <v>Base Soporte Cabina Nkr Rewar 8980064551</v>
      </c>
      <c r="C9192" s="380" t="str">
        <f>IFERROR(__xludf.DUMMYFUNCTION("""COMPUTED_VALUE"""),"70004612")</f>
        <v>70004612</v>
      </c>
      <c r="D9192" s="380" t="s">
        <v>767</v>
      </c>
      <c r="E9192" s="380" t="s">
        <v>786</v>
      </c>
      <c r="F9192" s="380" t="s">
        <v>792</v>
      </c>
      <c r="G9192" s="380" t="s">
        <v>1267</v>
      </c>
      <c r="H9192" s="380" t="s">
        <v>771</v>
      </c>
      <c r="I9192" s="380" t="s">
        <v>788</v>
      </c>
      <c r="J9192" s="380" t="s">
        <v>773</v>
      </c>
      <c r="K9192" s="381">
        <v>0.0</v>
      </c>
      <c r="L9192" s="382">
        <v>1.0</v>
      </c>
    </row>
    <row r="9193">
      <c r="A9193" s="380" t="s">
        <v>10067</v>
      </c>
      <c r="B9193" s="380" t="str">
        <f>IFERROR(__xludf.DUMMYFUNCTION("""COMPUTED_VALUE"""),"Buje De Caucho Foton 1039 7701023809597")</f>
        <v>Buje De Caucho Foton 1039 7701023809597</v>
      </c>
      <c r="C9193" s="380" t="str">
        <f>IFERROR(__xludf.DUMMYFUNCTION("""COMPUTED_VALUE"""),"70004613")</f>
        <v>70004613</v>
      </c>
      <c r="D9193" s="380" t="s">
        <v>767</v>
      </c>
      <c r="E9193" s="380" t="s">
        <v>786</v>
      </c>
      <c r="F9193" s="380" t="s">
        <v>928</v>
      </c>
      <c r="G9193" s="380" t="s">
        <v>1267</v>
      </c>
      <c r="H9193" s="380" t="s">
        <v>771</v>
      </c>
      <c r="I9193" s="380" t="s">
        <v>788</v>
      </c>
      <c r="J9193" s="380" t="s">
        <v>773</v>
      </c>
      <c r="K9193" s="381">
        <v>0.0</v>
      </c>
      <c r="L9193" s="382">
        <v>1.0</v>
      </c>
    </row>
    <row r="9194">
      <c r="A9194" s="380" t="s">
        <v>10068</v>
      </c>
      <c r="B9194" s="380" t="str">
        <f>IFERROR(__xludf.DUMMYFUNCTION("""COMPUTED_VALUE"""),"Portaleva Izq Del Eagle 2504125c91")</f>
        <v>Portaleva Izq Del Eagle 2504125c91</v>
      </c>
      <c r="C9194" s="380" t="str">
        <f>IFERROR(__xludf.DUMMYFUNCTION("""COMPUTED_VALUE"""),"70004614")</f>
        <v>70004614</v>
      </c>
      <c r="D9194" s="380" t="s">
        <v>767</v>
      </c>
      <c r="E9194" s="380" t="s">
        <v>786</v>
      </c>
      <c r="F9194" s="380" t="s">
        <v>1017</v>
      </c>
      <c r="G9194" s="380" t="s">
        <v>1267</v>
      </c>
      <c r="H9194" s="380" t="s">
        <v>771</v>
      </c>
      <c r="I9194" s="380" t="s">
        <v>788</v>
      </c>
      <c r="J9194" s="380" t="s">
        <v>773</v>
      </c>
      <c r="K9194" s="381">
        <v>0.0</v>
      </c>
      <c r="L9194" s="382">
        <v>1.0</v>
      </c>
    </row>
    <row r="9195">
      <c r="A9195" s="380" t="s">
        <v>10069</v>
      </c>
      <c r="B9195" s="380" t="str">
        <f>IFERROR(__xludf.DUMMYFUNCTION("""COMPUTED_VALUE"""),"Terminal Direc Der Foton 1129 1023310352")</f>
        <v>Terminal Direc Der Foton 1129 1023310352</v>
      </c>
      <c r="C9195" s="380" t="str">
        <f>IFERROR(__xludf.DUMMYFUNCTION("""COMPUTED_VALUE"""),"70004615")</f>
        <v>70004615</v>
      </c>
      <c r="D9195" s="380" t="s">
        <v>767</v>
      </c>
      <c r="E9195" s="380" t="s">
        <v>786</v>
      </c>
      <c r="F9195" s="380" t="s">
        <v>1020</v>
      </c>
      <c r="G9195" s="380" t="s">
        <v>1267</v>
      </c>
      <c r="H9195" s="380" t="s">
        <v>771</v>
      </c>
      <c r="I9195" s="380" t="s">
        <v>788</v>
      </c>
      <c r="J9195" s="380" t="s">
        <v>773</v>
      </c>
      <c r="K9195" s="381">
        <v>0.0</v>
      </c>
      <c r="L9195" s="382">
        <v>1.0</v>
      </c>
    </row>
    <row r="9196">
      <c r="A9196" s="380" t="s">
        <v>10070</v>
      </c>
      <c r="B9196" s="380" t="str">
        <f>IFERROR(__xludf.DUMMYFUNCTION("""COMPUTED_VALUE"""),"Terminal Direc Izq Foton 1129 1023310369")</f>
        <v>Terminal Direc Izq Foton 1129 1023310369</v>
      </c>
      <c r="C9196" s="380" t="str">
        <f>IFERROR(__xludf.DUMMYFUNCTION("""COMPUTED_VALUE"""),"70004616")</f>
        <v>70004616</v>
      </c>
      <c r="D9196" s="380" t="s">
        <v>767</v>
      </c>
      <c r="E9196" s="380" t="s">
        <v>786</v>
      </c>
      <c r="F9196" s="380" t="s">
        <v>1020</v>
      </c>
      <c r="G9196" s="380" t="s">
        <v>1267</v>
      </c>
      <c r="H9196" s="380" t="s">
        <v>771</v>
      </c>
      <c r="I9196" s="380" t="s">
        <v>788</v>
      </c>
      <c r="J9196" s="380" t="s">
        <v>773</v>
      </c>
      <c r="K9196" s="381">
        <v>0.0</v>
      </c>
      <c r="L9196" s="382">
        <v>1.0</v>
      </c>
    </row>
    <row r="9197">
      <c r="A9197" s="380" t="s">
        <v>10071</v>
      </c>
      <c r="B9197" s="380" t="str">
        <f>IFERROR(__xludf.DUMMYFUNCTION("""COMPUTED_VALUE"""),"VALV CTRL Suspens Chasis INTn 2607243c94")</f>
        <v>VALV CTRL Suspens Chasis INTn 2607243c94</v>
      </c>
      <c r="C9197" s="380" t="str">
        <f>IFERROR(__xludf.DUMMYFUNCTION("""COMPUTED_VALUE"""),"70004617")</f>
        <v>70004617</v>
      </c>
      <c r="D9197" s="380" t="s">
        <v>767</v>
      </c>
      <c r="E9197" s="380" t="s">
        <v>786</v>
      </c>
      <c r="F9197" s="380" t="s">
        <v>1039</v>
      </c>
      <c r="G9197" s="380" t="s">
        <v>1267</v>
      </c>
      <c r="H9197" s="380" t="s">
        <v>771</v>
      </c>
      <c r="I9197" s="380" t="s">
        <v>788</v>
      </c>
      <c r="J9197" s="380" t="s">
        <v>773</v>
      </c>
      <c r="K9197" s="381">
        <v>0.0</v>
      </c>
      <c r="L9197" s="382">
        <v>1.0</v>
      </c>
    </row>
    <row r="9198">
      <c r="A9198" s="380" t="s">
        <v>10072</v>
      </c>
      <c r="B9198" s="380" t="str">
        <f>IFERROR(__xludf.DUMMYFUNCTION("""COMPUTED_VALUE"""),"Espejo Der Completo INTnacion 4188589c91")</f>
        <v>Espejo Der Completo INTnacion 4188589c91</v>
      </c>
      <c r="C9198" s="380" t="str">
        <f>IFERROR(__xludf.DUMMYFUNCTION("""COMPUTED_VALUE"""),"70004618")</f>
        <v>70004618</v>
      </c>
      <c r="D9198" s="380" t="s">
        <v>767</v>
      </c>
      <c r="E9198" s="380" t="s">
        <v>786</v>
      </c>
      <c r="F9198" s="380" t="s">
        <v>792</v>
      </c>
      <c r="G9198" s="380" t="s">
        <v>1267</v>
      </c>
      <c r="H9198" s="380" t="s">
        <v>771</v>
      </c>
      <c r="I9198" s="380" t="s">
        <v>788</v>
      </c>
      <c r="J9198" s="380" t="s">
        <v>773</v>
      </c>
      <c r="K9198" s="381">
        <v>0.0</v>
      </c>
      <c r="L9198" s="382">
        <v>1.0</v>
      </c>
    </row>
    <row r="9199">
      <c r="A9199" s="380" t="s">
        <v>10073</v>
      </c>
      <c r="B9199" s="380" t="str">
        <f>IFERROR(__xludf.DUMMYFUNCTION("""COMPUTED_VALUE"""),"Trapecio Limpiabrisas HN Dutro Pro 85150")</f>
        <v>Trapecio Limpiabrisas HN Dutro Pro 85150</v>
      </c>
      <c r="C9199" s="380" t="str">
        <f>IFERROR(__xludf.DUMMYFUNCTION("""COMPUTED_VALUE"""),"70004619")</f>
        <v>70004619</v>
      </c>
      <c r="D9199" s="380" t="s">
        <v>767</v>
      </c>
      <c r="E9199" s="380" t="s">
        <v>786</v>
      </c>
      <c r="F9199" s="380" t="s">
        <v>792</v>
      </c>
      <c r="G9199" s="380" t="s">
        <v>1267</v>
      </c>
      <c r="H9199" s="380" t="s">
        <v>771</v>
      </c>
      <c r="I9199" s="380" t="s">
        <v>788</v>
      </c>
      <c r="J9199" s="380" t="s">
        <v>773</v>
      </c>
      <c r="K9199" s="381">
        <v>815150.0</v>
      </c>
      <c r="L9199" s="382">
        <v>1.0</v>
      </c>
    </row>
    <row r="9200">
      <c r="A9200" s="380" t="s">
        <v>10074</v>
      </c>
      <c r="B9200" s="380" t="str">
        <f>IFERROR(__xludf.DUMMYFUNCTION("""COMPUTED_VALUE"""),"Esquinero Izq HN Dutro Pro Mo 5381437100")</f>
        <v>Esquinero Izq HN Dutro Pro Mo 5381437100</v>
      </c>
      <c r="C9200" s="380" t="str">
        <f>IFERROR(__xludf.DUMMYFUNCTION("""COMPUTED_VALUE"""),"70004620")</f>
        <v>70004620</v>
      </c>
      <c r="D9200" s="380" t="s">
        <v>767</v>
      </c>
      <c r="E9200" s="380" t="s">
        <v>786</v>
      </c>
      <c r="F9200" s="380" t="s">
        <v>792</v>
      </c>
      <c r="G9200" s="380" t="s">
        <v>1267</v>
      </c>
      <c r="H9200" s="380" t="s">
        <v>771</v>
      </c>
      <c r="I9200" s="380" t="s">
        <v>788</v>
      </c>
      <c r="J9200" s="380" t="s">
        <v>773</v>
      </c>
      <c r="K9200" s="381">
        <v>0.0</v>
      </c>
      <c r="L9200" s="382">
        <v>1.0</v>
      </c>
    </row>
    <row r="9201">
      <c r="A9201" s="380" t="s">
        <v>10075</v>
      </c>
      <c r="B9201" s="380" t="str">
        <f>IFERROR(__xludf.DUMMYFUNCTION("""COMPUTED_VALUE"""),"Recibidor Capot Renault 7700352729")</f>
        <v>Recibidor Capot Renault 7700352729</v>
      </c>
      <c r="C9201" s="380" t="str">
        <f>IFERROR(__xludf.DUMMYFUNCTION("""COMPUTED_VALUE"""),"70004621")</f>
        <v>70004621</v>
      </c>
      <c r="D9201" s="380" t="s">
        <v>767</v>
      </c>
      <c r="E9201" s="380" t="s">
        <v>786</v>
      </c>
      <c r="F9201" s="380" t="s">
        <v>792</v>
      </c>
      <c r="G9201" s="380" t="s">
        <v>1267</v>
      </c>
      <c r="H9201" s="380" t="s">
        <v>771</v>
      </c>
      <c r="I9201" s="380" t="s">
        <v>788</v>
      </c>
      <c r="J9201" s="380" t="s">
        <v>773</v>
      </c>
      <c r="K9201" s="381">
        <v>0.0</v>
      </c>
      <c r="L9201" s="382">
        <v>1.0</v>
      </c>
    </row>
    <row r="9202">
      <c r="A9202" s="380" t="s">
        <v>10076</v>
      </c>
      <c r="B9202" s="380" t="str">
        <f>IFERROR(__xludf.DUMMYFUNCTION("""COMPUTED_VALUE"""),"Separador Inf 1"" Suspens MUE De K2214737")</f>
        <v>Separador Inf 1" Suspens MUE De K2214737</v>
      </c>
      <c r="C9202" s="380" t="str">
        <f>IFERROR(__xludf.DUMMYFUNCTION("""COMPUTED_VALUE"""),"70004622")</f>
        <v>70004622</v>
      </c>
      <c r="D9202" s="380" t="s">
        <v>767</v>
      </c>
      <c r="E9202" s="380" t="s">
        <v>786</v>
      </c>
      <c r="F9202" s="380" t="s">
        <v>1039</v>
      </c>
      <c r="G9202" s="380" t="s">
        <v>1267</v>
      </c>
      <c r="H9202" s="380" t="s">
        <v>771</v>
      </c>
      <c r="I9202" s="380" t="s">
        <v>788</v>
      </c>
      <c r="J9202" s="380" t="s">
        <v>773</v>
      </c>
      <c r="K9202" s="381">
        <v>0.0</v>
      </c>
      <c r="L9202" s="382">
        <v>1.0</v>
      </c>
    </row>
    <row r="9203">
      <c r="A9203" s="380" t="s">
        <v>10077</v>
      </c>
      <c r="B9203" s="380" t="str">
        <f>IFERROR(__xludf.DUMMYFUNCTION("""COMPUTED_VALUE"""),"Tuerca Guaya Tanque Aire Eagle 124925")</f>
        <v>Tuerca Guaya Tanque Aire Eagle 124925</v>
      </c>
      <c r="C9203" s="380" t="str">
        <f>IFERROR(__xludf.DUMMYFUNCTION("""COMPUTED_VALUE"""),"70004623")</f>
        <v>70004623</v>
      </c>
      <c r="D9203" s="380" t="s">
        <v>767</v>
      </c>
      <c r="E9203" s="380" t="s">
        <v>786</v>
      </c>
      <c r="F9203" s="380" t="s">
        <v>792</v>
      </c>
      <c r="G9203" s="380" t="s">
        <v>1267</v>
      </c>
      <c r="H9203" s="380" t="s">
        <v>771</v>
      </c>
      <c r="I9203" s="380" t="s">
        <v>788</v>
      </c>
      <c r="J9203" s="380" t="s">
        <v>773</v>
      </c>
      <c r="K9203" s="381">
        <v>0.0</v>
      </c>
      <c r="L9203" s="382">
        <v>1.0</v>
      </c>
    </row>
    <row r="9204">
      <c r="A9204" s="380" t="s">
        <v>10078</v>
      </c>
      <c r="B9204" s="380" t="str">
        <f>IFERROR(__xludf.DUMMYFUNCTION("""COMPUTED_VALUE"""),"Parasol Izq KW T800 Modelo 20 S731029601")</f>
        <v>Parasol Izq KW T800 Modelo 20 S731029601</v>
      </c>
      <c r="C9204" s="380" t="str">
        <f>IFERROR(__xludf.DUMMYFUNCTION("""COMPUTED_VALUE"""),"70004624")</f>
        <v>70004624</v>
      </c>
      <c r="D9204" s="380" t="s">
        <v>767</v>
      </c>
      <c r="E9204" s="380" t="s">
        <v>786</v>
      </c>
      <c r="F9204" s="380" t="s">
        <v>792</v>
      </c>
      <c r="G9204" s="380" t="s">
        <v>1267</v>
      </c>
      <c r="H9204" s="380" t="s">
        <v>771</v>
      </c>
      <c r="I9204" s="380" t="s">
        <v>788</v>
      </c>
      <c r="J9204" s="380" t="s">
        <v>773</v>
      </c>
      <c r="K9204" s="381">
        <v>0.0</v>
      </c>
      <c r="L9204" s="382">
        <v>1.0</v>
      </c>
    </row>
    <row r="9205">
      <c r="A9205" s="380" t="s">
        <v>10079</v>
      </c>
      <c r="B9205" s="380" t="str">
        <f>IFERROR(__xludf.DUMMYFUNCTION("""COMPUTED_VALUE"""),"Caja Direccion Renault 490018112r")</f>
        <v>Caja Direccion Renault 490018112r</v>
      </c>
      <c r="C9205" s="380" t="str">
        <f>IFERROR(__xludf.DUMMYFUNCTION("""COMPUTED_VALUE"""),"70004625")</f>
        <v>70004625</v>
      </c>
      <c r="D9205" s="380" t="s">
        <v>767</v>
      </c>
      <c r="E9205" s="380" t="s">
        <v>786</v>
      </c>
      <c r="F9205" s="380" t="s">
        <v>1020</v>
      </c>
      <c r="G9205" s="380" t="s">
        <v>1267</v>
      </c>
      <c r="H9205" s="380" t="s">
        <v>771</v>
      </c>
      <c r="I9205" s="380" t="s">
        <v>788</v>
      </c>
      <c r="J9205" s="380" t="s">
        <v>773</v>
      </c>
      <c r="K9205" s="381">
        <v>0.0</v>
      </c>
      <c r="L9205" s="382">
        <v>1.0</v>
      </c>
    </row>
    <row r="9206">
      <c r="A9206" s="380" t="s">
        <v>10080</v>
      </c>
      <c r="B9206" s="380" t="str">
        <f>IFERROR(__xludf.DUMMYFUNCTION("""COMPUTED_VALUE"""),"Porta Escobillas MOT ARR FT Mb5 Ir81193")</f>
        <v>Porta Escobillas MOT ARR FT Mb5 Ir81193</v>
      </c>
      <c r="C9206" s="380" t="str">
        <f>IFERROR(__xludf.DUMMYFUNCTION("""COMPUTED_VALUE"""),"70004626")</f>
        <v>70004626</v>
      </c>
      <c r="D9206" s="380" t="s">
        <v>767</v>
      </c>
      <c r="E9206" s="380" t="s">
        <v>786</v>
      </c>
      <c r="F9206" s="380" t="s">
        <v>998</v>
      </c>
      <c r="G9206" s="380" t="s">
        <v>1267</v>
      </c>
      <c r="H9206" s="380" t="s">
        <v>771</v>
      </c>
      <c r="I9206" s="380" t="s">
        <v>788</v>
      </c>
      <c r="J9206" s="380" t="s">
        <v>773</v>
      </c>
      <c r="K9206" s="381">
        <v>0.0</v>
      </c>
      <c r="L9206" s="382">
        <v>1.0</v>
      </c>
    </row>
    <row r="9207">
      <c r="A9207" s="380" t="s">
        <v>10081</v>
      </c>
      <c r="B9207" s="380" t="str">
        <f>IFERROR(__xludf.DUMMYFUNCTION("""COMPUTED_VALUE"""),"Separador Sup 1/2"" Suspens MUE K2214785")</f>
        <v>Separador Sup 1/2" Suspens MUE K2214785</v>
      </c>
      <c r="C9207" s="380" t="str">
        <f>IFERROR(__xludf.DUMMYFUNCTION("""COMPUTED_VALUE"""),"70004627")</f>
        <v>70004627</v>
      </c>
      <c r="D9207" s="380" t="s">
        <v>767</v>
      </c>
      <c r="E9207" s="380" t="s">
        <v>786</v>
      </c>
      <c r="F9207" s="380" t="s">
        <v>1039</v>
      </c>
      <c r="G9207" s="380" t="s">
        <v>1267</v>
      </c>
      <c r="H9207" s="380" t="s">
        <v>771</v>
      </c>
      <c r="I9207" s="380" t="s">
        <v>788</v>
      </c>
      <c r="J9207" s="380" t="s">
        <v>773</v>
      </c>
      <c r="K9207" s="381">
        <v>0.0</v>
      </c>
      <c r="L9207" s="382">
        <v>1.0</v>
      </c>
    </row>
    <row r="9208">
      <c r="A9208" s="380" t="s">
        <v>10082</v>
      </c>
      <c r="B9208" s="380" t="str">
        <f>IFERROR(__xludf.DUMMYFUNCTION("""COMPUTED_VALUE"""),"Tuerca Tope Direccion Nkr Reward 9111151")</f>
        <v>Tuerca Tope Direccion Nkr Reward 9111151</v>
      </c>
      <c r="C9208" s="380" t="str">
        <f>IFERROR(__xludf.DUMMYFUNCTION("""COMPUTED_VALUE"""),"70004628")</f>
        <v>70004628</v>
      </c>
      <c r="D9208" s="380" t="s">
        <v>767</v>
      </c>
      <c r="E9208" s="380" t="s">
        <v>786</v>
      </c>
      <c r="F9208" s="380" t="s">
        <v>1020</v>
      </c>
      <c r="G9208" s="380" t="s">
        <v>1267</v>
      </c>
      <c r="H9208" s="380" t="s">
        <v>771</v>
      </c>
      <c r="I9208" s="380" t="s">
        <v>788</v>
      </c>
      <c r="J9208" s="380" t="s">
        <v>773</v>
      </c>
      <c r="K9208" s="381">
        <v>0.0</v>
      </c>
      <c r="L9208" s="382">
        <v>1.0</v>
      </c>
    </row>
    <row r="9209">
      <c r="A9209" s="380" t="s">
        <v>10083</v>
      </c>
      <c r="B9209" s="380" t="str">
        <f>IFERROR(__xludf.DUMMYFUNCTION("""COMPUTED_VALUE"""),"Tornillo Tope Direccion Nkr Reward 89736")</f>
        <v>Tornillo Tope Direccion Nkr Reward 89736</v>
      </c>
      <c r="C9209" s="380" t="str">
        <f>IFERROR(__xludf.DUMMYFUNCTION("""COMPUTED_VALUE"""),"70004629")</f>
        <v>70004629</v>
      </c>
      <c r="D9209" s="380" t="s">
        <v>767</v>
      </c>
      <c r="E9209" s="380" t="s">
        <v>786</v>
      </c>
      <c r="F9209" s="380" t="s">
        <v>1020</v>
      </c>
      <c r="G9209" s="380" t="s">
        <v>1267</v>
      </c>
      <c r="H9209" s="380" t="s">
        <v>771</v>
      </c>
      <c r="I9209" s="380" t="s">
        <v>788</v>
      </c>
      <c r="J9209" s="380" t="s">
        <v>773</v>
      </c>
      <c r="K9209" s="381">
        <v>0.0</v>
      </c>
      <c r="L9209" s="382">
        <v>1.0</v>
      </c>
    </row>
    <row r="9210">
      <c r="A9210" s="380" t="s">
        <v>10084</v>
      </c>
      <c r="B9210" s="380" t="str">
        <f>IFERROR(__xludf.DUMMYFUNCTION("""COMPUTED_VALUE"""),"Bomper Central Chasis Lt Int 4057030c2")</f>
        <v>Bomper Central Chasis Lt Int 4057030c2</v>
      </c>
      <c r="C9210" s="380" t="str">
        <f>IFERROR(__xludf.DUMMYFUNCTION("""COMPUTED_VALUE"""),"70004631")</f>
        <v>70004631</v>
      </c>
      <c r="D9210" s="380" t="s">
        <v>767</v>
      </c>
      <c r="E9210" s="380" t="s">
        <v>786</v>
      </c>
      <c r="F9210" s="380" t="s">
        <v>792</v>
      </c>
      <c r="G9210" s="380" t="s">
        <v>1267</v>
      </c>
      <c r="H9210" s="380" t="s">
        <v>771</v>
      </c>
      <c r="I9210" s="380" t="s">
        <v>788</v>
      </c>
      <c r="J9210" s="380" t="s">
        <v>773</v>
      </c>
      <c r="K9210" s="381">
        <v>0.0</v>
      </c>
      <c r="L9210" s="382">
        <v>1.0</v>
      </c>
    </row>
    <row r="9211">
      <c r="A9211" s="380" t="s">
        <v>10085</v>
      </c>
      <c r="B9211" s="380" t="str">
        <f>IFERROR(__xludf.DUMMYFUNCTION("""COMPUTED_VALUE"""),"Sobre Tapa Transmi Palanca Cambios 16918")</f>
        <v>Sobre Tapa Transmi Palanca Cambios 16918</v>
      </c>
      <c r="C9211" s="380" t="str">
        <f>IFERROR(__xludf.DUMMYFUNCTION("""COMPUTED_VALUE"""),"70004632")</f>
        <v>70004632</v>
      </c>
      <c r="D9211" s="380" t="s">
        <v>767</v>
      </c>
      <c r="E9211" s="380" t="s">
        <v>786</v>
      </c>
      <c r="F9211" s="380" t="s">
        <v>5683</v>
      </c>
      <c r="G9211" s="380" t="s">
        <v>1267</v>
      </c>
      <c r="H9211" s="380" t="s">
        <v>771</v>
      </c>
      <c r="I9211" s="380" t="s">
        <v>788</v>
      </c>
      <c r="J9211" s="380" t="s">
        <v>773</v>
      </c>
      <c r="K9211" s="381">
        <v>0.0</v>
      </c>
      <c r="L9211" s="382">
        <v>1.0</v>
      </c>
    </row>
    <row r="9212">
      <c r="A9212" s="380" t="s">
        <v>10086</v>
      </c>
      <c r="B9212" s="380" t="str">
        <f>IFERROR(__xludf.DUMMYFUNCTION("""COMPUTED_VALUE"""),"Bean Clamp 3/8")</f>
        <v>Bean Clamp 3/8</v>
      </c>
      <c r="C9212" s="380" t="str">
        <f>IFERROR(__xludf.DUMMYFUNCTION("""COMPUTED_VALUE"""),"70004633")</f>
        <v>70004633</v>
      </c>
      <c r="D9212" s="380" t="s">
        <v>767</v>
      </c>
      <c r="E9212" s="380" t="s">
        <v>786</v>
      </c>
      <c r="F9212" s="380" t="s">
        <v>998</v>
      </c>
      <c r="G9212" s="380" t="s">
        <v>1267</v>
      </c>
      <c r="H9212" s="380" t="s">
        <v>771</v>
      </c>
      <c r="I9212" s="380" t="s">
        <v>788</v>
      </c>
      <c r="J9212" s="380" t="s">
        <v>773</v>
      </c>
      <c r="K9212" s="381">
        <v>0.0</v>
      </c>
      <c r="L9212" s="382">
        <v>1.0</v>
      </c>
    </row>
    <row r="9213">
      <c r="A9213" s="380" t="s">
        <v>10087</v>
      </c>
      <c r="B9213" s="380" t="str">
        <f>IFERROR(__xludf.DUMMYFUNCTION("""COMPUTED_VALUE"""),"SOP Puntera Der Bomper Chasis 4058384c2")</f>
        <v>SOP Puntera Der Bomper Chasis 4058384c2</v>
      </c>
      <c r="C9213" s="380" t="str">
        <f>IFERROR(__xludf.DUMMYFUNCTION("""COMPUTED_VALUE"""),"70004634")</f>
        <v>70004634</v>
      </c>
      <c r="D9213" s="380" t="s">
        <v>767</v>
      </c>
      <c r="E9213" s="380" t="s">
        <v>786</v>
      </c>
      <c r="F9213" s="380" t="s">
        <v>792</v>
      </c>
      <c r="G9213" s="380" t="s">
        <v>1267</v>
      </c>
      <c r="H9213" s="380" t="s">
        <v>771</v>
      </c>
      <c r="I9213" s="380" t="s">
        <v>788</v>
      </c>
      <c r="J9213" s="380" t="s">
        <v>773</v>
      </c>
      <c r="K9213" s="381">
        <v>0.0</v>
      </c>
      <c r="L9213" s="382">
        <v>1.0</v>
      </c>
    </row>
    <row r="9214">
      <c r="A9214" s="380" t="s">
        <v>10088</v>
      </c>
      <c r="B9214" s="380" t="str">
        <f>IFERROR(__xludf.DUMMYFUNCTION("""COMPUTED_VALUE"""),"Cremallera Volante MOT Jac 1120 3908546")</f>
        <v>Cremallera Volante MOT Jac 1120 3908546</v>
      </c>
      <c r="C9214" s="380" t="str">
        <f>IFERROR(__xludf.DUMMYFUNCTION("""COMPUTED_VALUE"""),"70004635")</f>
        <v>70004635</v>
      </c>
      <c r="D9214" s="380" t="s">
        <v>767</v>
      </c>
      <c r="E9214" s="380" t="s">
        <v>786</v>
      </c>
      <c r="F9214" s="380" t="s">
        <v>5683</v>
      </c>
      <c r="G9214" s="380" t="s">
        <v>1267</v>
      </c>
      <c r="H9214" s="380" t="s">
        <v>771</v>
      </c>
      <c r="I9214" s="380" t="s">
        <v>788</v>
      </c>
      <c r="J9214" s="380" t="s">
        <v>773</v>
      </c>
      <c r="K9214" s="381">
        <v>0.0</v>
      </c>
      <c r="L9214" s="382">
        <v>1.0</v>
      </c>
    </row>
    <row r="9215">
      <c r="A9215" s="380" t="s">
        <v>10089</v>
      </c>
      <c r="B9215" s="380" t="str">
        <f>IFERROR(__xludf.DUMMYFUNCTION("""COMPUTED_VALUE"""),"Templete De PTA Jac Jhr 6109100le01006")</f>
        <v>Templete De PTA Jac Jhr 6109100le01006</v>
      </c>
      <c r="C9215" s="380" t="str">
        <f>IFERROR(__xludf.DUMMYFUNCTION("""COMPUTED_VALUE"""),"70004636")</f>
        <v>70004636</v>
      </c>
      <c r="D9215" s="380" t="s">
        <v>767</v>
      </c>
      <c r="E9215" s="380" t="s">
        <v>786</v>
      </c>
      <c r="F9215" s="380" t="s">
        <v>792</v>
      </c>
      <c r="G9215" s="380" t="s">
        <v>1267</v>
      </c>
      <c r="H9215" s="380" t="s">
        <v>771</v>
      </c>
      <c r="I9215" s="380" t="s">
        <v>788</v>
      </c>
      <c r="J9215" s="380" t="s">
        <v>773</v>
      </c>
      <c r="K9215" s="381">
        <v>0.0</v>
      </c>
      <c r="L9215" s="382">
        <v>1.0</v>
      </c>
    </row>
    <row r="9216">
      <c r="A9216" s="380" t="s">
        <v>10090</v>
      </c>
      <c r="B9216" s="380" t="str">
        <f>IFERROR(__xludf.DUMMYFUNCTION("""COMPUTED_VALUE"""),"Extension Derecha Capo Prostar 3608906c5")</f>
        <v>Extension Derecha Capo Prostar 3608906c5</v>
      </c>
      <c r="C9216" s="380" t="str">
        <f>IFERROR(__xludf.DUMMYFUNCTION("""COMPUTED_VALUE"""),"70004637")</f>
        <v>70004637</v>
      </c>
      <c r="D9216" s="380" t="s">
        <v>767</v>
      </c>
      <c r="E9216" s="380" t="s">
        <v>786</v>
      </c>
      <c r="F9216" s="380" t="s">
        <v>792</v>
      </c>
      <c r="G9216" s="380" t="s">
        <v>1267</v>
      </c>
      <c r="H9216" s="380" t="s">
        <v>771</v>
      </c>
      <c r="I9216" s="380" t="s">
        <v>788</v>
      </c>
      <c r="J9216" s="380" t="s">
        <v>773</v>
      </c>
      <c r="K9216" s="381">
        <v>0.0</v>
      </c>
      <c r="L9216" s="382">
        <v>1.0</v>
      </c>
    </row>
    <row r="9217">
      <c r="A9217" s="380" t="s">
        <v>10091</v>
      </c>
      <c r="B9217" s="380" t="str">
        <f>IFERROR(__xludf.DUMMYFUNCTION("""COMPUTED_VALUE"""),"Espejo Capo Derecho Mack Anthem 78620288")</f>
        <v>Espejo Capo Derecho Mack Anthem 78620288</v>
      </c>
      <c r="C9217" s="380" t="str">
        <f>IFERROR(__xludf.DUMMYFUNCTION("""COMPUTED_VALUE"""),"70004638")</f>
        <v>70004638</v>
      </c>
      <c r="D9217" s="380" t="s">
        <v>767</v>
      </c>
      <c r="E9217" s="380" t="s">
        <v>786</v>
      </c>
      <c r="F9217" s="380" t="s">
        <v>792</v>
      </c>
      <c r="G9217" s="380" t="s">
        <v>1267</v>
      </c>
      <c r="H9217" s="380" t="s">
        <v>771</v>
      </c>
      <c r="I9217" s="380" t="s">
        <v>788</v>
      </c>
      <c r="J9217" s="380" t="s">
        <v>773</v>
      </c>
      <c r="K9217" s="381">
        <v>0.0</v>
      </c>
      <c r="L9217" s="382">
        <v>1.0</v>
      </c>
    </row>
    <row r="9218">
      <c r="A9218" s="380" t="s">
        <v>10092</v>
      </c>
      <c r="B9218" s="380" t="str">
        <f>IFERROR(__xludf.DUMMYFUNCTION("""COMPUTED_VALUE"""),"Tornillo Tope DIR Nkr Rewar 1 8973600590")</f>
        <v>Tornillo Tope DIR Nkr Rewar 1 8973600590</v>
      </c>
      <c r="C9218" s="380" t="str">
        <f>IFERROR(__xludf.DUMMYFUNCTION("""COMPUTED_VALUE"""),"70004639")</f>
        <v>70004639</v>
      </c>
      <c r="D9218" s="380" t="s">
        <v>767</v>
      </c>
      <c r="E9218" s="380" t="s">
        <v>786</v>
      </c>
      <c r="F9218" s="380" t="s">
        <v>1020</v>
      </c>
      <c r="G9218" s="380" t="s">
        <v>1267</v>
      </c>
      <c r="H9218" s="380" t="s">
        <v>771</v>
      </c>
      <c r="I9218" s="380" t="s">
        <v>788</v>
      </c>
      <c r="J9218" s="380" t="s">
        <v>773</v>
      </c>
      <c r="K9218" s="381">
        <v>0.0</v>
      </c>
      <c r="L9218" s="382">
        <v>1.0</v>
      </c>
    </row>
    <row r="9219">
      <c r="A9219" s="380" t="s">
        <v>10093</v>
      </c>
      <c r="B9219" s="380" t="str">
        <f>IFERROR(__xludf.DUMMYFUNCTION("""COMPUTED_VALUE"""),"Buje TRAS MUE DEL HN Sz38225001")</f>
        <v>Buje TRAS MUE DEL HN Sz38225001</v>
      </c>
      <c r="C9219" s="380" t="str">
        <f>IFERROR(__xludf.DUMMYFUNCTION("""COMPUTED_VALUE"""),"70004640")</f>
        <v>70004640</v>
      </c>
      <c r="D9219" s="380" t="s">
        <v>767</v>
      </c>
      <c r="E9219" s="380" t="s">
        <v>786</v>
      </c>
      <c r="F9219" s="380" t="s">
        <v>1039</v>
      </c>
      <c r="G9219" s="380" t="s">
        <v>1267</v>
      </c>
      <c r="H9219" s="380" t="s">
        <v>771</v>
      </c>
      <c r="I9219" s="380" t="s">
        <v>788</v>
      </c>
      <c r="J9219" s="380" t="s">
        <v>773</v>
      </c>
      <c r="K9219" s="381">
        <v>0.0</v>
      </c>
      <c r="L9219" s="382">
        <v>1.0</v>
      </c>
    </row>
    <row r="9220">
      <c r="A9220" s="380" t="s">
        <v>10094</v>
      </c>
      <c r="B9220" s="380" t="str">
        <f>IFERROR(__xludf.DUMMYFUNCTION("""COMPUTED_VALUE"""),"Pasador MUE Del Parte Tras HN 4.84e+164")</f>
        <v>Pasador MUE Del Parte Tras HN 4.84e+164</v>
      </c>
      <c r="C9220" s="380" t="str">
        <f>IFERROR(__xludf.DUMMYFUNCTION("""COMPUTED_VALUE"""),"70004641")</f>
        <v>70004641</v>
      </c>
      <c r="D9220" s="380" t="s">
        <v>767</v>
      </c>
      <c r="E9220" s="380" t="s">
        <v>786</v>
      </c>
      <c r="F9220" s="380" t="s">
        <v>1039</v>
      </c>
      <c r="G9220" s="380" t="s">
        <v>1267</v>
      </c>
      <c r="H9220" s="380" t="s">
        <v>771</v>
      </c>
      <c r="I9220" s="380" t="s">
        <v>788</v>
      </c>
      <c r="J9220" s="380" t="s">
        <v>773</v>
      </c>
      <c r="K9220" s="381">
        <v>0.0</v>
      </c>
      <c r="L9220" s="382">
        <v>1.0</v>
      </c>
    </row>
    <row r="9221">
      <c r="A9221" s="380" t="s">
        <v>10095</v>
      </c>
      <c r="B9221" s="380" t="str">
        <f>IFERROR(__xludf.DUMMYFUNCTION("""COMPUTED_VALUE"""),"Pasador MUE Del Parte Del HN S484232670")</f>
        <v>Pasador MUE Del Parte Del HN S484232670</v>
      </c>
      <c r="C9221" s="380" t="str">
        <f>IFERROR(__xludf.DUMMYFUNCTION("""COMPUTED_VALUE"""),"70004642")</f>
        <v>70004642</v>
      </c>
      <c r="D9221" s="380" t="s">
        <v>767</v>
      </c>
      <c r="E9221" s="380" t="s">
        <v>786</v>
      </c>
      <c r="F9221" s="380" t="s">
        <v>1039</v>
      </c>
      <c r="G9221" s="380" t="s">
        <v>1267</v>
      </c>
      <c r="H9221" s="380" t="s">
        <v>771</v>
      </c>
      <c r="I9221" s="380" t="s">
        <v>788</v>
      </c>
      <c r="J9221" s="380" t="s">
        <v>773</v>
      </c>
      <c r="K9221" s="381">
        <v>0.0</v>
      </c>
      <c r="L9221" s="382">
        <v>1.0</v>
      </c>
    </row>
    <row r="9222">
      <c r="A9222" s="380" t="s">
        <v>10096</v>
      </c>
      <c r="B9222" s="380" t="str">
        <f>IFERROR(__xludf.DUMMYFUNCTION("""COMPUTED_VALUE"""),"Buje Tras MUE Tras HN 500 Sz38230002")</f>
        <v>Buje Tras MUE Tras HN 500 Sz38230002</v>
      </c>
      <c r="C9222" s="380" t="str">
        <f>IFERROR(__xludf.DUMMYFUNCTION("""COMPUTED_VALUE"""),"70004643")</f>
        <v>70004643</v>
      </c>
      <c r="D9222" s="380" t="s">
        <v>767</v>
      </c>
      <c r="E9222" s="380" t="s">
        <v>786</v>
      </c>
      <c r="F9222" s="380" t="s">
        <v>1039</v>
      </c>
      <c r="G9222" s="380" t="s">
        <v>1267</v>
      </c>
      <c r="H9222" s="380" t="s">
        <v>771</v>
      </c>
      <c r="I9222" s="380" t="s">
        <v>788</v>
      </c>
      <c r="J9222" s="380" t="s">
        <v>773</v>
      </c>
      <c r="K9222" s="381">
        <v>0.0</v>
      </c>
      <c r="L9222" s="382">
        <v>1.0</v>
      </c>
    </row>
    <row r="9223">
      <c r="A9223" s="380" t="s">
        <v>10097</v>
      </c>
      <c r="B9223" s="380" t="str">
        <f>IFERROR(__xludf.DUMMYFUNCTION("""COMPUTED_VALUE"""),"Pasador MUE Tras Parte Tras HN 4.84e+204")</f>
        <v>Pasador MUE Tras Parte Tras HN 4.84e+204</v>
      </c>
      <c r="C9223" s="380" t="str">
        <f>IFERROR(__xludf.DUMMYFUNCTION("""COMPUTED_VALUE"""),"70004644")</f>
        <v>70004644</v>
      </c>
      <c r="D9223" s="380" t="s">
        <v>767</v>
      </c>
      <c r="E9223" s="380" t="s">
        <v>786</v>
      </c>
      <c r="F9223" s="380" t="s">
        <v>1039</v>
      </c>
      <c r="G9223" s="380" t="s">
        <v>1267</v>
      </c>
      <c r="H9223" s="380" t="s">
        <v>771</v>
      </c>
      <c r="I9223" s="380" t="s">
        <v>788</v>
      </c>
      <c r="J9223" s="380" t="s">
        <v>773</v>
      </c>
      <c r="K9223" s="381">
        <v>0.0</v>
      </c>
      <c r="L9223" s="382">
        <v>1.0</v>
      </c>
    </row>
    <row r="9224">
      <c r="A9224" s="380" t="s">
        <v>10098</v>
      </c>
      <c r="B9224" s="380" t="str">
        <f>IFERROR(__xludf.DUMMYFUNCTION("""COMPUTED_VALUE"""),"Bendix Motor Arranque 42mt 480321")</f>
        <v>Bendix Motor Arranque 42mt 480321</v>
      </c>
      <c r="C9224" s="380" t="str">
        <f>IFERROR(__xludf.DUMMYFUNCTION("""COMPUTED_VALUE"""),"70004645")</f>
        <v>70004645</v>
      </c>
      <c r="D9224" s="380" t="s">
        <v>767</v>
      </c>
      <c r="E9224" s="380" t="s">
        <v>786</v>
      </c>
      <c r="F9224" s="380" t="s">
        <v>998</v>
      </c>
      <c r="G9224" s="380" t="s">
        <v>1267</v>
      </c>
      <c r="H9224" s="380" t="s">
        <v>771</v>
      </c>
      <c r="I9224" s="380" t="s">
        <v>788</v>
      </c>
      <c r="J9224" s="380" t="s">
        <v>773</v>
      </c>
      <c r="K9224" s="381">
        <v>0.0</v>
      </c>
      <c r="L9224" s="382">
        <v>1.0</v>
      </c>
    </row>
    <row r="9225">
      <c r="A9225" s="380" t="s">
        <v>10099</v>
      </c>
      <c r="B9225" s="380" t="str">
        <f>IFERROR(__xludf.DUMMYFUNCTION("""COMPUTED_VALUE"""),"BRR Corta De DIR FT 1129 1023082068")</f>
        <v>BRR Corta De DIR FT 1129 1023082068</v>
      </c>
      <c r="C9225" s="380" t="str">
        <f>IFERROR(__xludf.DUMMYFUNCTION("""COMPUTED_VALUE"""),"70004646")</f>
        <v>70004646</v>
      </c>
      <c r="D9225" s="380" t="s">
        <v>767</v>
      </c>
      <c r="E9225" s="380" t="s">
        <v>786</v>
      </c>
      <c r="F9225" s="380" t="s">
        <v>1020</v>
      </c>
      <c r="G9225" s="380" t="s">
        <v>1267</v>
      </c>
      <c r="H9225" s="380" t="s">
        <v>771</v>
      </c>
      <c r="I9225" s="380" t="s">
        <v>788</v>
      </c>
      <c r="J9225" s="380" t="s">
        <v>773</v>
      </c>
      <c r="K9225" s="381">
        <v>0.0</v>
      </c>
      <c r="L9225" s="382">
        <v>1.0</v>
      </c>
    </row>
    <row r="9226">
      <c r="A9226" s="380" t="s">
        <v>10100</v>
      </c>
      <c r="B9226" s="380" t="str">
        <f>IFERROR(__xludf.DUMMYFUNCTION("""COMPUTED_VALUE"""),"Balinera Clutch Foton BJ 1129 1023481601")</f>
        <v>Balinera Clutch Foton BJ 1129 1023481601</v>
      </c>
      <c r="C9226" s="380" t="str">
        <f>IFERROR(__xludf.DUMMYFUNCTION("""COMPUTED_VALUE"""),"70004647")</f>
        <v>70004647</v>
      </c>
      <c r="D9226" s="380" t="s">
        <v>767</v>
      </c>
      <c r="E9226" s="380" t="s">
        <v>786</v>
      </c>
      <c r="F9226" s="380" t="s">
        <v>5661</v>
      </c>
      <c r="G9226" s="380" t="s">
        <v>1267</v>
      </c>
      <c r="H9226" s="380" t="s">
        <v>771</v>
      </c>
      <c r="I9226" s="380" t="s">
        <v>788</v>
      </c>
      <c r="J9226" s="380" t="s">
        <v>773</v>
      </c>
      <c r="K9226" s="381">
        <v>890240.0</v>
      </c>
      <c r="L9226" s="382">
        <v>1.0</v>
      </c>
    </row>
    <row r="9227">
      <c r="A9227" s="380" t="s">
        <v>10101</v>
      </c>
      <c r="B9227" s="380" t="str">
        <f>IFERROR(__xludf.DUMMYFUNCTION("""COMPUTED_VALUE"""),"Disco Clutch Foton BJ 1129 1023775281")</f>
        <v>Disco Clutch Foton BJ 1129 1023775281</v>
      </c>
      <c r="C9227" s="380" t="str">
        <f>IFERROR(__xludf.DUMMYFUNCTION("""COMPUTED_VALUE"""),"70004648")</f>
        <v>70004648</v>
      </c>
      <c r="D9227" s="380" t="s">
        <v>767</v>
      </c>
      <c r="E9227" s="380" t="s">
        <v>786</v>
      </c>
      <c r="F9227" s="380" t="s">
        <v>5661</v>
      </c>
      <c r="G9227" s="380" t="s">
        <v>1267</v>
      </c>
      <c r="H9227" s="380" t="s">
        <v>771</v>
      </c>
      <c r="I9227" s="380" t="s">
        <v>788</v>
      </c>
      <c r="J9227" s="380" t="s">
        <v>773</v>
      </c>
      <c r="K9227" s="381">
        <v>1196411.0</v>
      </c>
      <c r="L9227" s="382">
        <v>1.0</v>
      </c>
    </row>
    <row r="9228">
      <c r="A9228" s="380" t="s">
        <v>10102</v>
      </c>
      <c r="B9228" s="380" t="str">
        <f>IFERROR(__xludf.DUMMYFUNCTION("""COMPUTED_VALUE"""),"Tapa Del Hidraulico KW2012 5724006")</f>
        <v>Tapa Del Hidraulico KW2012 5724006</v>
      </c>
      <c r="C9228" s="380" t="str">
        <f>IFERROR(__xludf.DUMMYFUNCTION("""COMPUTED_VALUE"""),"70004649")</f>
        <v>70004649</v>
      </c>
      <c r="D9228" s="380" t="s">
        <v>767</v>
      </c>
      <c r="E9228" s="380" t="s">
        <v>786</v>
      </c>
      <c r="F9228" s="380" t="s">
        <v>787</v>
      </c>
      <c r="G9228" s="380" t="s">
        <v>1267</v>
      </c>
      <c r="H9228" s="380" t="s">
        <v>771</v>
      </c>
      <c r="I9228" s="380" t="s">
        <v>788</v>
      </c>
      <c r="J9228" s="380" t="s">
        <v>773</v>
      </c>
      <c r="K9228" s="381">
        <v>0.0</v>
      </c>
      <c r="L9228" s="382">
        <v>1.0</v>
      </c>
    </row>
    <row r="9229">
      <c r="A9229" s="380" t="s">
        <v>10103</v>
      </c>
      <c r="B9229" s="380" t="str">
        <f>IFERROR(__xludf.DUMMYFUNCTION("""COMPUTED_VALUE"""),"Guardabarros Intermedio Izq KW2012 Mp742")</f>
        <v>Guardabarros Intermedio Izq KW2012 Mp742</v>
      </c>
      <c r="C9229" s="380" t="str">
        <f>IFERROR(__xludf.DUMMYFUNCTION("""COMPUTED_VALUE"""),"70004650")</f>
        <v>70004650</v>
      </c>
      <c r="D9229" s="380" t="s">
        <v>767</v>
      </c>
      <c r="E9229" s="380" t="s">
        <v>786</v>
      </c>
      <c r="F9229" s="380" t="s">
        <v>792</v>
      </c>
      <c r="G9229" s="380" t="s">
        <v>1267</v>
      </c>
      <c r="H9229" s="380" t="s">
        <v>771</v>
      </c>
      <c r="I9229" s="380" t="s">
        <v>788</v>
      </c>
      <c r="J9229" s="380" t="s">
        <v>773</v>
      </c>
      <c r="K9229" s="381">
        <v>0.0</v>
      </c>
      <c r="L9229" s="382">
        <v>1.0</v>
      </c>
    </row>
    <row r="9230">
      <c r="A9230" s="380" t="s">
        <v>10104</v>
      </c>
      <c r="B9230" s="380" t="str">
        <f>IFERROR(__xludf.DUMMYFUNCTION("""COMPUTED_VALUE"""),"Cubierta Manija INTna PTA KWh 310cab045")</f>
        <v>Cubierta Manija INTna PTA KWh 310cab045</v>
      </c>
      <c r="C9230" s="380" t="str">
        <f>IFERROR(__xludf.DUMMYFUNCTION("""COMPUTED_VALUE"""),"70004651")</f>
        <v>70004651</v>
      </c>
      <c r="D9230" s="380" t="s">
        <v>767</v>
      </c>
      <c r="E9230" s="380" t="s">
        <v>786</v>
      </c>
      <c r="F9230" s="380" t="s">
        <v>792</v>
      </c>
      <c r="G9230" s="380" t="s">
        <v>1267</v>
      </c>
      <c r="H9230" s="380" t="s">
        <v>771</v>
      </c>
      <c r="I9230" s="380" t="s">
        <v>788</v>
      </c>
      <c r="J9230" s="380" t="s">
        <v>773</v>
      </c>
      <c r="K9230" s="381">
        <v>0.0</v>
      </c>
      <c r="L9230" s="382">
        <v>1.0</v>
      </c>
    </row>
    <row r="9231">
      <c r="A9231" s="380" t="s">
        <v>10105</v>
      </c>
      <c r="B9231" s="380" t="str">
        <f>IFERROR(__xludf.DUMMYFUNCTION("""COMPUTED_VALUE"""),"Zapata Patin Trailer Sox-401102")</f>
        <v>Zapata Patin Trailer Sox-401102</v>
      </c>
      <c r="C9231" s="380" t="str">
        <f>IFERROR(__xludf.DUMMYFUNCTION("""COMPUTED_VALUE"""),"70004652")</f>
        <v>70004652</v>
      </c>
      <c r="D9231" s="380" t="s">
        <v>767</v>
      </c>
      <c r="E9231" s="380" t="s">
        <v>786</v>
      </c>
      <c r="F9231" s="380" t="s">
        <v>1017</v>
      </c>
      <c r="G9231" s="380" t="s">
        <v>1267</v>
      </c>
      <c r="H9231" s="380" t="s">
        <v>771</v>
      </c>
      <c r="I9231" s="380" t="s">
        <v>788</v>
      </c>
      <c r="J9231" s="380" t="s">
        <v>773</v>
      </c>
      <c r="K9231" s="381">
        <v>0.0</v>
      </c>
      <c r="L9231" s="382">
        <v>1.0</v>
      </c>
    </row>
    <row r="9232">
      <c r="A9232" s="380" t="s">
        <v>10106</v>
      </c>
      <c r="B9232" s="380" t="str">
        <f>IFERROR(__xludf.DUMMYFUNCTION("""COMPUTED_VALUE"""),"Bocel DER Farola FT 1039 102369544")</f>
        <v>Bocel DER Farola FT 1039 102369544</v>
      </c>
      <c r="C9232" s="380" t="str">
        <f>IFERROR(__xludf.DUMMYFUNCTION("""COMPUTED_VALUE"""),"70004653")</f>
        <v>70004653</v>
      </c>
      <c r="D9232" s="380" t="s">
        <v>767</v>
      </c>
      <c r="E9232" s="380" t="s">
        <v>786</v>
      </c>
      <c r="F9232" s="380" t="s">
        <v>792</v>
      </c>
      <c r="G9232" s="380" t="s">
        <v>1267</v>
      </c>
      <c r="H9232" s="380" t="s">
        <v>771</v>
      </c>
      <c r="I9232" s="380" t="s">
        <v>788</v>
      </c>
      <c r="J9232" s="380" t="s">
        <v>773</v>
      </c>
      <c r="K9232" s="381">
        <v>0.0</v>
      </c>
      <c r="L9232" s="382">
        <v>1.0</v>
      </c>
    </row>
    <row r="9233">
      <c r="A9233" s="380" t="s">
        <v>10107</v>
      </c>
      <c r="B9233" s="380" t="str">
        <f>IFERROR(__xludf.DUMMYFUNCTION("""COMPUTED_VALUE"""),"Booster Freno Hino Dutro 16807700")</f>
        <v>Booster Freno Hino Dutro 16807700</v>
      </c>
      <c r="C9233" s="380" t="str">
        <f>IFERROR(__xludf.DUMMYFUNCTION("""COMPUTED_VALUE"""),"70004654")</f>
        <v>70004654</v>
      </c>
      <c r="D9233" s="380" t="s">
        <v>767</v>
      </c>
      <c r="E9233" s="380" t="s">
        <v>786</v>
      </c>
      <c r="F9233" s="380" t="s">
        <v>1017</v>
      </c>
      <c r="G9233" s="380" t="s">
        <v>1267</v>
      </c>
      <c r="H9233" s="380" t="s">
        <v>771</v>
      </c>
      <c r="I9233" s="380" t="s">
        <v>788</v>
      </c>
      <c r="J9233" s="380" t="s">
        <v>773</v>
      </c>
      <c r="K9233" s="381">
        <v>0.0</v>
      </c>
      <c r="L9233" s="382">
        <v>1.0</v>
      </c>
    </row>
    <row r="9234">
      <c r="A9234" s="380" t="s">
        <v>10108</v>
      </c>
      <c r="B9234" s="380" t="str">
        <f>IFERROR(__xludf.DUMMYFUNCTION("""COMPUTED_VALUE"""),"Guardabarro Del INTnacional Lt 6123822c3")</f>
        <v>Guardabarro Del INTnacional Lt 6123822c3</v>
      </c>
      <c r="C9234" s="380" t="str">
        <f>IFERROR(__xludf.DUMMYFUNCTION("""COMPUTED_VALUE"""),"70004655")</f>
        <v>70004655</v>
      </c>
      <c r="D9234" s="380" t="s">
        <v>767</v>
      </c>
      <c r="E9234" s="380" t="s">
        <v>786</v>
      </c>
      <c r="F9234" s="380" t="s">
        <v>792</v>
      </c>
      <c r="G9234" s="380" t="s">
        <v>1267</v>
      </c>
      <c r="H9234" s="380" t="s">
        <v>771</v>
      </c>
      <c r="I9234" s="380" t="s">
        <v>788</v>
      </c>
      <c r="J9234" s="380" t="s">
        <v>773</v>
      </c>
      <c r="K9234" s="381">
        <v>0.0</v>
      </c>
      <c r="L9234" s="382">
        <v>1.0</v>
      </c>
    </row>
    <row r="9235">
      <c r="A9235" s="380" t="s">
        <v>10109</v>
      </c>
      <c r="B9235" s="380" t="str">
        <f>IFERROR(__xludf.DUMMYFUNCTION("""COMPUTED_VALUE"""),"Rache Del Lh Ca6 Foton 1129 5946033138")</f>
        <v>Rache Del Lh Ca6 Foton 1129 5946033138</v>
      </c>
      <c r="C9235" s="380" t="str">
        <f>IFERROR(__xludf.DUMMYFUNCTION("""COMPUTED_VALUE"""),"70004656")</f>
        <v>70004656</v>
      </c>
      <c r="D9235" s="380" t="s">
        <v>767</v>
      </c>
      <c r="E9235" s="380" t="s">
        <v>786</v>
      </c>
      <c r="F9235" s="380" t="s">
        <v>1017</v>
      </c>
      <c r="G9235" s="380" t="s">
        <v>1267</v>
      </c>
      <c r="H9235" s="380" t="s">
        <v>771</v>
      </c>
      <c r="I9235" s="380" t="s">
        <v>788</v>
      </c>
      <c r="J9235" s="380" t="s">
        <v>773</v>
      </c>
      <c r="K9235" s="381">
        <v>0.0</v>
      </c>
      <c r="L9235" s="382">
        <v>1.0</v>
      </c>
    </row>
    <row r="9236">
      <c r="A9236" s="380" t="s">
        <v>10110</v>
      </c>
      <c r="B9236" s="380" t="str">
        <f>IFERROR(__xludf.DUMMYFUNCTION("""COMPUTED_VALUE"""),"Rache Del Rh Ca6 Foton 1129 5946033145")</f>
        <v>Rache Del Rh Ca6 Foton 1129 5946033145</v>
      </c>
      <c r="C9236" s="380" t="str">
        <f>IFERROR(__xludf.DUMMYFUNCTION("""COMPUTED_VALUE"""),"70004657")</f>
        <v>70004657</v>
      </c>
      <c r="D9236" s="380" t="s">
        <v>767</v>
      </c>
      <c r="E9236" s="380" t="s">
        <v>786</v>
      </c>
      <c r="F9236" s="380" t="s">
        <v>1017</v>
      </c>
      <c r="G9236" s="380" t="s">
        <v>1267</v>
      </c>
      <c r="H9236" s="380" t="s">
        <v>771</v>
      </c>
      <c r="I9236" s="380" t="s">
        <v>788</v>
      </c>
      <c r="J9236" s="380" t="s">
        <v>773</v>
      </c>
      <c r="K9236" s="381">
        <v>0.0</v>
      </c>
      <c r="L9236" s="382">
        <v>1.0</v>
      </c>
    </row>
    <row r="9237">
      <c r="A9237" s="380" t="s">
        <v>10111</v>
      </c>
      <c r="B9237" s="380" t="str">
        <f>IFERROR(__xludf.DUMMYFUNCTION("""COMPUTED_VALUE"""),"Manija Elevavidrio Hyunday")</f>
        <v>Manija Elevavidrio Hyunday</v>
      </c>
      <c r="C9237" s="380" t="str">
        <f>IFERROR(__xludf.DUMMYFUNCTION("""COMPUTED_VALUE"""),"70004658")</f>
        <v>70004658</v>
      </c>
      <c r="D9237" s="380" t="s">
        <v>767</v>
      </c>
      <c r="E9237" s="380" t="s">
        <v>786</v>
      </c>
      <c r="F9237" s="380" t="s">
        <v>792</v>
      </c>
      <c r="G9237" s="380" t="s">
        <v>1267</v>
      </c>
      <c r="H9237" s="380" t="s">
        <v>771</v>
      </c>
      <c r="I9237" s="380" t="s">
        <v>788</v>
      </c>
      <c r="J9237" s="380" t="s">
        <v>773</v>
      </c>
      <c r="K9237" s="381">
        <v>0.0</v>
      </c>
      <c r="L9237" s="382">
        <v>1.0</v>
      </c>
    </row>
    <row r="9238">
      <c r="A9238" s="380" t="s">
        <v>10112</v>
      </c>
      <c r="B9238" s="380" t="str">
        <f>IFERROR(__xludf.DUMMYFUNCTION("""COMPUTED_VALUE"""),"Espejo Retro Lh Con Brazo Fot 1129 77010")</f>
        <v>Espejo Retro Lh Con Brazo Fot 1129 77010</v>
      </c>
      <c r="C9238" s="380" t="str">
        <f>IFERROR(__xludf.DUMMYFUNCTION("""COMPUTED_VALUE"""),"70004659")</f>
        <v>70004659</v>
      </c>
      <c r="D9238" s="380" t="s">
        <v>767</v>
      </c>
      <c r="E9238" s="380" t="s">
        <v>786</v>
      </c>
      <c r="F9238" s="380" t="s">
        <v>792</v>
      </c>
      <c r="G9238" s="380" t="s">
        <v>1267</v>
      </c>
      <c r="H9238" s="380" t="s">
        <v>771</v>
      </c>
      <c r="I9238" s="380" t="s">
        <v>788</v>
      </c>
      <c r="J9238" s="380" t="s">
        <v>773</v>
      </c>
      <c r="K9238" s="381">
        <v>0.0</v>
      </c>
      <c r="L9238" s="382">
        <v>1.0</v>
      </c>
    </row>
    <row r="9239">
      <c r="A9239" s="380" t="s">
        <v>10113</v>
      </c>
      <c r="B9239" s="380" t="str">
        <f>IFERROR(__xludf.DUMMYFUNCTION("""COMPUTED_VALUE"""),"Laina Antiruido Mordaza Freno NS Urban D")</f>
        <v>Laina Antiruido Mordaza Freno NS Urban D</v>
      </c>
      <c r="C9239" s="380" t="str">
        <f>IFERROR(__xludf.DUMMYFUNCTION("""COMPUTED_VALUE"""),"70004660")</f>
        <v>70004660</v>
      </c>
      <c r="D9239" s="380" t="s">
        <v>767</v>
      </c>
      <c r="E9239" s="380" t="s">
        <v>786</v>
      </c>
      <c r="F9239" s="380" t="s">
        <v>1017</v>
      </c>
      <c r="G9239" s="380" t="s">
        <v>1267</v>
      </c>
      <c r="H9239" s="380" t="s">
        <v>771</v>
      </c>
      <c r="I9239" s="380" t="s">
        <v>788</v>
      </c>
      <c r="J9239" s="380" t="s">
        <v>773</v>
      </c>
      <c r="K9239" s="381">
        <v>0.0</v>
      </c>
      <c r="L9239" s="382">
        <v>1.0</v>
      </c>
    </row>
    <row r="9240">
      <c r="A9240" s="380" t="s">
        <v>10114</v>
      </c>
      <c r="B9240" s="380" t="str">
        <f>IFERROR(__xludf.DUMMYFUNCTION("""COMPUTED_VALUE"""),"Tiras De Rubatex A/C Oficina")</f>
        <v>Tiras De Rubatex A/C Oficina</v>
      </c>
      <c r="C9240" s="380" t="str">
        <f>IFERROR(__xludf.DUMMYFUNCTION("""COMPUTED_VALUE"""),"70004661")</f>
        <v>70004661</v>
      </c>
      <c r="D9240" s="380" t="s">
        <v>767</v>
      </c>
      <c r="E9240" s="380" t="s">
        <v>786</v>
      </c>
      <c r="F9240" s="380" t="s">
        <v>998</v>
      </c>
      <c r="G9240" s="380" t="s">
        <v>1267</v>
      </c>
      <c r="H9240" s="380" t="s">
        <v>771</v>
      </c>
      <c r="I9240" s="380" t="s">
        <v>788</v>
      </c>
      <c r="J9240" s="380" t="s">
        <v>773</v>
      </c>
      <c r="K9240" s="381">
        <v>0.0</v>
      </c>
      <c r="L9240" s="382">
        <v>1.0</v>
      </c>
    </row>
    <row r="9241">
      <c r="A9241" s="380" t="s">
        <v>10115</v>
      </c>
      <c r="B9241" s="380" t="str">
        <f>IFERROR(__xludf.DUMMYFUNCTION("""COMPUTED_VALUE"""),"SOP Puntera Izq Bomper Chasis 4058383c2")</f>
        <v>SOP Puntera Izq Bomper Chasis 4058383c2</v>
      </c>
      <c r="C9241" s="380" t="str">
        <f>IFERROR(__xludf.DUMMYFUNCTION("""COMPUTED_VALUE"""),"70004662")</f>
        <v>70004662</v>
      </c>
      <c r="D9241" s="380" t="s">
        <v>767</v>
      </c>
      <c r="E9241" s="380" t="s">
        <v>786</v>
      </c>
      <c r="F9241" s="380" t="s">
        <v>792</v>
      </c>
      <c r="G9241" s="380" t="s">
        <v>1267</v>
      </c>
      <c r="H9241" s="380" t="s">
        <v>771</v>
      </c>
      <c r="I9241" s="380" t="s">
        <v>788</v>
      </c>
      <c r="J9241" s="380" t="s">
        <v>773</v>
      </c>
      <c r="K9241" s="381">
        <v>2926567.0</v>
      </c>
      <c r="L9241" s="382">
        <v>1.0</v>
      </c>
    </row>
    <row r="9242">
      <c r="A9242" s="380" t="s">
        <v>10116</v>
      </c>
      <c r="B9242" s="380" t="str">
        <f>IFERROR(__xludf.DUMMYFUNCTION("""COMPUTED_VALUE"""),"Cenicero Puerta Del Nkr Rw 8974053201")</f>
        <v>Cenicero Puerta Del Nkr Rw 8974053201</v>
      </c>
      <c r="C9242" s="380" t="str">
        <f>IFERROR(__xludf.DUMMYFUNCTION("""COMPUTED_VALUE"""),"70004663")</f>
        <v>70004663</v>
      </c>
      <c r="D9242" s="380" t="s">
        <v>767</v>
      </c>
      <c r="E9242" s="380" t="s">
        <v>786</v>
      </c>
      <c r="F9242" s="380" t="s">
        <v>792</v>
      </c>
      <c r="G9242" s="380" t="s">
        <v>1267</v>
      </c>
      <c r="H9242" s="380" t="s">
        <v>771</v>
      </c>
      <c r="I9242" s="380" t="s">
        <v>788</v>
      </c>
      <c r="J9242" s="380" t="s">
        <v>773</v>
      </c>
      <c r="K9242" s="381">
        <v>257040.0</v>
      </c>
      <c r="L9242" s="382">
        <v>1.0</v>
      </c>
    </row>
    <row r="9243">
      <c r="A9243" s="380" t="s">
        <v>10117</v>
      </c>
      <c r="B9243" s="380" t="str">
        <f>IFERROR(__xludf.DUMMYFUNCTION("""COMPUTED_VALUE"""),"Ventilador Motor Mack Cxu 23150045")</f>
        <v>Ventilador Motor Mack Cxu 23150045</v>
      </c>
      <c r="C9243" s="380" t="str">
        <f>IFERROR(__xludf.DUMMYFUNCTION("""COMPUTED_VALUE"""),"70004664")</f>
        <v>70004664</v>
      </c>
      <c r="D9243" s="380" t="s">
        <v>767</v>
      </c>
      <c r="E9243" s="380" t="s">
        <v>786</v>
      </c>
      <c r="F9243" s="380" t="s">
        <v>787</v>
      </c>
      <c r="G9243" s="380" t="s">
        <v>1267</v>
      </c>
      <c r="H9243" s="380" t="s">
        <v>771</v>
      </c>
      <c r="I9243" s="380" t="s">
        <v>788</v>
      </c>
      <c r="J9243" s="380" t="s">
        <v>773</v>
      </c>
      <c r="K9243" s="381">
        <v>0.0</v>
      </c>
      <c r="L9243" s="382">
        <v>1.0</v>
      </c>
    </row>
    <row r="9244">
      <c r="A9244" s="380" t="s">
        <v>10118</v>
      </c>
      <c r="B9244" s="380" t="str">
        <f>IFERROR(__xludf.DUMMYFUNCTION("""COMPUTED_VALUE"""),"RET Tras Cigueñal HN Dutropack 700005919")</f>
        <v>RET Tras Cigueñal HN Dutropack 700005919</v>
      </c>
      <c r="C9244" s="380" t="str">
        <f>IFERROR(__xludf.DUMMYFUNCTION("""COMPUTED_VALUE"""),"70004665")</f>
        <v>70004665</v>
      </c>
      <c r="D9244" s="380" t="s">
        <v>767</v>
      </c>
      <c r="E9244" s="380" t="s">
        <v>786</v>
      </c>
      <c r="F9244" s="380" t="s">
        <v>787</v>
      </c>
      <c r="G9244" s="380" t="s">
        <v>1267</v>
      </c>
      <c r="H9244" s="380" t="s">
        <v>771</v>
      </c>
      <c r="I9244" s="380" t="s">
        <v>788</v>
      </c>
      <c r="J9244" s="380" t="s">
        <v>773</v>
      </c>
      <c r="K9244" s="381">
        <v>0.0</v>
      </c>
      <c r="L9244" s="382">
        <v>1.0</v>
      </c>
    </row>
    <row r="9245">
      <c r="A9245" s="380" t="s">
        <v>10119</v>
      </c>
      <c r="B9245" s="380" t="str">
        <f>IFERROR(__xludf.DUMMYFUNCTION("""COMPUTED_VALUE"""),"CTRL DIRales FRL Cl 120 A063695603")</f>
        <v>CTRL DIRales FRL Cl 120 A063695603</v>
      </c>
      <c r="C9245" s="380" t="str">
        <f>IFERROR(__xludf.DUMMYFUNCTION("""COMPUTED_VALUE"""),"70004666")</f>
        <v>70004666</v>
      </c>
      <c r="D9245" s="380" t="s">
        <v>767</v>
      </c>
      <c r="E9245" s="380" t="s">
        <v>786</v>
      </c>
      <c r="F9245" s="380" t="s">
        <v>998</v>
      </c>
      <c r="G9245" s="380" t="s">
        <v>1267</v>
      </c>
      <c r="H9245" s="380" t="s">
        <v>771</v>
      </c>
      <c r="I9245" s="380" t="s">
        <v>788</v>
      </c>
      <c r="J9245" s="380" t="s">
        <v>773</v>
      </c>
      <c r="K9245" s="381">
        <v>0.0</v>
      </c>
      <c r="L9245" s="382">
        <v>1.0</v>
      </c>
    </row>
    <row r="9246">
      <c r="A9246" s="380" t="s">
        <v>10120</v>
      </c>
      <c r="B9246" s="380" t="str">
        <f>IFERROR(__xludf.DUMMYFUNCTION("""COMPUTED_VALUE"""),"Puntera Bomper Der INT Lt 4057029c2")</f>
        <v>Puntera Bomper Der INT Lt 4057029c2</v>
      </c>
      <c r="C9246" s="380" t="str">
        <f>IFERROR(__xludf.DUMMYFUNCTION("""COMPUTED_VALUE"""),"70004667")</f>
        <v>70004667</v>
      </c>
      <c r="D9246" s="380" t="s">
        <v>767</v>
      </c>
      <c r="E9246" s="380" t="s">
        <v>786</v>
      </c>
      <c r="F9246" s="380" t="s">
        <v>792</v>
      </c>
      <c r="G9246" s="380" t="s">
        <v>1267</v>
      </c>
      <c r="H9246" s="380" t="s">
        <v>771</v>
      </c>
      <c r="I9246" s="380" t="s">
        <v>788</v>
      </c>
      <c r="J9246" s="380" t="s">
        <v>773</v>
      </c>
      <c r="K9246" s="381">
        <v>0.0</v>
      </c>
      <c r="L9246" s="382">
        <v>1.0</v>
      </c>
    </row>
    <row r="9247">
      <c r="A9247" s="380" t="s">
        <v>10121</v>
      </c>
      <c r="B9247" s="380" t="str">
        <f>IFERROR(__xludf.DUMMYFUNCTION("""COMPUTED_VALUE"""),"Gancho Bomper Remolque KW T800 A20-1012")</f>
        <v>Gancho Bomper Remolque KW T800 A20-1012</v>
      </c>
      <c r="C9247" s="380" t="str">
        <f>IFERROR(__xludf.DUMMYFUNCTION("""COMPUTED_VALUE"""),"70004668")</f>
        <v>70004668</v>
      </c>
      <c r="D9247" s="380" t="s">
        <v>767</v>
      </c>
      <c r="E9247" s="380" t="s">
        <v>786</v>
      </c>
      <c r="F9247" s="380" t="s">
        <v>792</v>
      </c>
      <c r="G9247" s="380" t="s">
        <v>1267</v>
      </c>
      <c r="H9247" s="380" t="s">
        <v>771</v>
      </c>
      <c r="I9247" s="380" t="s">
        <v>788</v>
      </c>
      <c r="J9247" s="380" t="s">
        <v>773</v>
      </c>
      <c r="K9247" s="381">
        <v>0.0</v>
      </c>
      <c r="L9247" s="382">
        <v>1.0</v>
      </c>
    </row>
    <row r="9248">
      <c r="A9248" s="380" t="s">
        <v>10122</v>
      </c>
      <c r="B9248" s="380" t="str">
        <f>IFERROR(__xludf.DUMMYFUNCTION("""COMPUTED_VALUE"""),"Puente Capo Prostar 3612054c5")</f>
        <v>Puente Capo Prostar 3612054c5</v>
      </c>
      <c r="C9248" s="380" t="str">
        <f>IFERROR(__xludf.DUMMYFUNCTION("""COMPUTED_VALUE"""),"70004669")</f>
        <v>70004669</v>
      </c>
      <c r="D9248" s="380" t="s">
        <v>767</v>
      </c>
      <c r="E9248" s="380" t="s">
        <v>786</v>
      </c>
      <c r="F9248" s="380" t="s">
        <v>792</v>
      </c>
      <c r="G9248" s="380" t="s">
        <v>1267</v>
      </c>
      <c r="H9248" s="380" t="s">
        <v>771</v>
      </c>
      <c r="I9248" s="380" t="s">
        <v>788</v>
      </c>
      <c r="J9248" s="380" t="s">
        <v>773</v>
      </c>
      <c r="K9248" s="381">
        <v>0.0</v>
      </c>
      <c r="L9248" s="382">
        <v>1.0</v>
      </c>
    </row>
    <row r="9249">
      <c r="A9249" s="380" t="s">
        <v>10123</v>
      </c>
      <c r="B9249" s="380" t="str">
        <f>IFERROR(__xludf.DUMMYFUNCTION("""COMPUTED_VALUE"""),"Arandela Separadora Piñon Rev 700016559")</f>
        <v>Arandela Separadora Piñon Rev 700016559</v>
      </c>
      <c r="C9249" s="380" t="str">
        <f>IFERROR(__xludf.DUMMYFUNCTION("""COMPUTED_VALUE"""),"70004670")</f>
        <v>70004670</v>
      </c>
      <c r="D9249" s="380" t="s">
        <v>767</v>
      </c>
      <c r="E9249" s="380" t="s">
        <v>786</v>
      </c>
      <c r="F9249" s="380" t="s">
        <v>928</v>
      </c>
      <c r="G9249" s="380" t="s">
        <v>1267</v>
      </c>
      <c r="H9249" s="380" t="s">
        <v>771</v>
      </c>
      <c r="I9249" s="380" t="s">
        <v>788</v>
      </c>
      <c r="J9249" s="380" t="s">
        <v>773</v>
      </c>
      <c r="K9249" s="381">
        <v>0.0</v>
      </c>
      <c r="L9249" s="382">
        <v>1.0</v>
      </c>
    </row>
    <row r="9250">
      <c r="A9250" s="380" t="s">
        <v>10124</v>
      </c>
      <c r="B9250" s="380" t="str">
        <f>IFERROR(__xludf.DUMMYFUNCTION("""COMPUTED_VALUE"""),"Exploradora Toyota Prado Derecha 212207")</f>
        <v>Exploradora Toyota Prado Derecha 212207</v>
      </c>
      <c r="C9250" s="380" t="str">
        <f>IFERROR(__xludf.DUMMYFUNCTION("""COMPUTED_VALUE"""),"70004671")</f>
        <v>70004671</v>
      </c>
      <c r="D9250" s="380" t="s">
        <v>767</v>
      </c>
      <c r="E9250" s="380" t="s">
        <v>786</v>
      </c>
      <c r="F9250" s="380" t="s">
        <v>998</v>
      </c>
      <c r="G9250" s="380" t="s">
        <v>1267</v>
      </c>
      <c r="H9250" s="380" t="s">
        <v>771</v>
      </c>
      <c r="I9250" s="380" t="s">
        <v>788</v>
      </c>
      <c r="J9250" s="380" t="s">
        <v>773</v>
      </c>
      <c r="K9250" s="381">
        <v>0.0</v>
      </c>
      <c r="L9250" s="382">
        <v>1.0</v>
      </c>
    </row>
    <row r="9251">
      <c r="A9251" s="380" t="s">
        <v>10125</v>
      </c>
      <c r="B9251" s="380" t="str">
        <f>IFERROR(__xludf.DUMMYFUNCTION("""COMPUTED_VALUE"""),"Base Inf Lampara Techo CAB Eag 3572980c1")</f>
        <v>Base Inf Lampara Techo CAB Eag 3572980c1</v>
      </c>
      <c r="C9251" s="380" t="str">
        <f>IFERROR(__xludf.DUMMYFUNCTION("""COMPUTED_VALUE"""),"70004672")</f>
        <v>70004672</v>
      </c>
      <c r="D9251" s="380" t="s">
        <v>767</v>
      </c>
      <c r="E9251" s="380" t="s">
        <v>786</v>
      </c>
      <c r="F9251" s="380" t="s">
        <v>998</v>
      </c>
      <c r="G9251" s="380" t="s">
        <v>1267</v>
      </c>
      <c r="H9251" s="380" t="s">
        <v>771</v>
      </c>
      <c r="I9251" s="380" t="s">
        <v>788</v>
      </c>
      <c r="J9251" s="380" t="s">
        <v>773</v>
      </c>
      <c r="K9251" s="381">
        <v>0.0</v>
      </c>
      <c r="L9251" s="382">
        <v>1.0</v>
      </c>
    </row>
    <row r="9252">
      <c r="A9252" s="380" t="s">
        <v>10126</v>
      </c>
      <c r="B9252" s="380" t="str">
        <f>IFERROR(__xludf.DUMMYFUNCTION("""COMPUTED_VALUE"""),"Estribo Puerta Der Foton 1129 1023079549")</f>
        <v>Estribo Puerta Der Foton 1129 1023079549</v>
      </c>
      <c r="C9252" s="380" t="str">
        <f>IFERROR(__xludf.DUMMYFUNCTION("""COMPUTED_VALUE"""),"70004673")</f>
        <v>70004673</v>
      </c>
      <c r="D9252" s="380" t="s">
        <v>767</v>
      </c>
      <c r="E9252" s="380" t="s">
        <v>786</v>
      </c>
      <c r="F9252" s="380" t="s">
        <v>792</v>
      </c>
      <c r="G9252" s="380" t="s">
        <v>1267</v>
      </c>
      <c r="H9252" s="380" t="s">
        <v>771</v>
      </c>
      <c r="I9252" s="380" t="s">
        <v>788</v>
      </c>
      <c r="J9252" s="380" t="s">
        <v>773</v>
      </c>
      <c r="K9252" s="381">
        <v>0.0</v>
      </c>
      <c r="L9252" s="382">
        <v>1.0</v>
      </c>
    </row>
    <row r="9253">
      <c r="A9253" s="380" t="s">
        <v>10127</v>
      </c>
      <c r="B9253" s="380" t="str">
        <f>IFERROR(__xludf.DUMMYFUNCTION("""COMPUTED_VALUE"""),"BMB Principal EMB FT 1129 1023077880")</f>
        <v>BMB Principal EMB FT 1129 1023077880</v>
      </c>
      <c r="C9253" s="380" t="str">
        <f>IFERROR(__xludf.DUMMYFUNCTION("""COMPUTED_VALUE"""),"70004674")</f>
        <v>70004674</v>
      </c>
      <c r="D9253" s="380" t="s">
        <v>767</v>
      </c>
      <c r="E9253" s="380" t="s">
        <v>786</v>
      </c>
      <c r="F9253" s="380" t="s">
        <v>5661</v>
      </c>
      <c r="G9253" s="380" t="s">
        <v>1267</v>
      </c>
      <c r="H9253" s="380" t="s">
        <v>771</v>
      </c>
      <c r="I9253" s="380" t="s">
        <v>788</v>
      </c>
      <c r="J9253" s="380" t="s">
        <v>773</v>
      </c>
      <c r="K9253" s="381">
        <v>0.0</v>
      </c>
      <c r="L9253" s="382">
        <v>1.0</v>
      </c>
    </row>
    <row r="9254">
      <c r="A9254" s="380" t="s">
        <v>10128</v>
      </c>
      <c r="B9254" s="380" t="str">
        <f>IFERROR(__xludf.DUMMYFUNCTION("""COMPUTED_VALUE"""),"Parabrisas Internacional Lt")</f>
        <v>Parabrisas Internacional Lt</v>
      </c>
      <c r="C9254" s="380" t="str">
        <f>IFERROR(__xludf.DUMMYFUNCTION("""COMPUTED_VALUE"""),"70004675")</f>
        <v>70004675</v>
      </c>
      <c r="D9254" s="380" t="s">
        <v>767</v>
      </c>
      <c r="E9254" s="380" t="s">
        <v>786</v>
      </c>
      <c r="F9254" s="380" t="s">
        <v>792</v>
      </c>
      <c r="G9254" s="380" t="s">
        <v>1267</v>
      </c>
      <c r="H9254" s="380" t="s">
        <v>771</v>
      </c>
      <c r="I9254" s="380" t="s">
        <v>788</v>
      </c>
      <c r="J9254" s="380" t="s">
        <v>773</v>
      </c>
      <c r="K9254" s="381">
        <v>0.0</v>
      </c>
      <c r="L9254" s="382">
        <v>1.0</v>
      </c>
    </row>
    <row r="9255">
      <c r="A9255" s="380" t="s">
        <v>10129</v>
      </c>
      <c r="B9255" s="380" t="str">
        <f>IFERROR(__xludf.DUMMYFUNCTION("""COMPUTED_VALUE"""),"Tapa TANQ COMB Jac 1120 3704930le0")</f>
        <v>Tapa TANQ COMB Jac 1120 3704930le0</v>
      </c>
      <c r="C9255" s="380" t="str">
        <f>IFERROR(__xludf.DUMMYFUNCTION("""COMPUTED_VALUE"""),"70004676")</f>
        <v>70004676</v>
      </c>
      <c r="D9255" s="380" t="s">
        <v>767</v>
      </c>
      <c r="E9255" s="380" t="s">
        <v>786</v>
      </c>
      <c r="F9255" s="380" t="s">
        <v>792</v>
      </c>
      <c r="G9255" s="380" t="s">
        <v>1267</v>
      </c>
      <c r="H9255" s="380" t="s">
        <v>771</v>
      </c>
      <c r="I9255" s="380" t="s">
        <v>788</v>
      </c>
      <c r="J9255" s="380" t="s">
        <v>773</v>
      </c>
      <c r="K9255" s="381">
        <v>0.0</v>
      </c>
      <c r="L9255" s="382">
        <v>1.0</v>
      </c>
    </row>
    <row r="9256">
      <c r="A9256" s="380" t="s">
        <v>10130</v>
      </c>
      <c r="B9256" s="380" t="str">
        <f>IFERROR(__xludf.DUMMYFUNCTION("""COMPUTED_VALUE"""),"Bomper Jac 1042 803101ld010-1r00")</f>
        <v>Bomper Jac 1042 803101ld010-1r00</v>
      </c>
      <c r="C9256" s="380" t="str">
        <f>IFERROR(__xludf.DUMMYFUNCTION("""COMPUTED_VALUE"""),"70004677")</f>
        <v>70004677</v>
      </c>
      <c r="D9256" s="380" t="s">
        <v>767</v>
      </c>
      <c r="E9256" s="380" t="s">
        <v>786</v>
      </c>
      <c r="F9256" s="380" t="s">
        <v>792</v>
      </c>
      <c r="G9256" s="380" t="s">
        <v>1267</v>
      </c>
      <c r="H9256" s="380" t="s">
        <v>771</v>
      </c>
      <c r="I9256" s="380" t="s">
        <v>788</v>
      </c>
      <c r="J9256" s="380" t="s">
        <v>773</v>
      </c>
      <c r="K9256" s="381">
        <v>0.0</v>
      </c>
      <c r="L9256" s="382">
        <v>1.0</v>
      </c>
    </row>
    <row r="9257">
      <c r="A9257" s="380" t="s">
        <v>10131</v>
      </c>
      <c r="B9257" s="380" t="str">
        <f>IFERROR(__xludf.DUMMYFUNCTION("""COMPUTED_VALUE"""),"Prensa Embrague Foton BJ 1129 1023081276")</f>
        <v>Prensa Embrague Foton BJ 1129 1023081276</v>
      </c>
      <c r="C9257" s="380" t="str">
        <f>IFERROR(__xludf.DUMMYFUNCTION("""COMPUTED_VALUE"""),"70004678")</f>
        <v>70004678</v>
      </c>
      <c r="D9257" s="380" t="s">
        <v>767</v>
      </c>
      <c r="E9257" s="380" t="s">
        <v>786</v>
      </c>
      <c r="F9257" s="380" t="s">
        <v>5661</v>
      </c>
      <c r="G9257" s="380" t="s">
        <v>1267</v>
      </c>
      <c r="H9257" s="380" t="s">
        <v>771</v>
      </c>
      <c r="I9257" s="380" t="s">
        <v>788</v>
      </c>
      <c r="J9257" s="380" t="s">
        <v>773</v>
      </c>
      <c r="K9257" s="381">
        <v>0.0</v>
      </c>
      <c r="L9257" s="382">
        <v>1.0</v>
      </c>
    </row>
    <row r="9258">
      <c r="A9258" s="380" t="s">
        <v>10132</v>
      </c>
      <c r="B9258" s="380" t="str">
        <f>IFERROR(__xludf.DUMMYFUNCTION("""COMPUTED_VALUE"""),"SO Soporte Bateria Nkr Reward 8973840682")</f>
        <v>SO Soporte Bateria Nkr Reward 8973840682</v>
      </c>
      <c r="C9258" s="380" t="str">
        <f>IFERROR(__xludf.DUMMYFUNCTION("""COMPUTED_VALUE"""),"70004679")</f>
        <v>70004679</v>
      </c>
      <c r="D9258" s="380" t="s">
        <v>767</v>
      </c>
      <c r="E9258" s="380" t="s">
        <v>786</v>
      </c>
      <c r="F9258" s="380" t="s">
        <v>792</v>
      </c>
      <c r="G9258" s="380" t="s">
        <v>1267</v>
      </c>
      <c r="H9258" s="380" t="s">
        <v>771</v>
      </c>
      <c r="I9258" s="380" t="s">
        <v>788</v>
      </c>
      <c r="J9258" s="380" t="s">
        <v>773</v>
      </c>
      <c r="K9258" s="381">
        <v>0.0</v>
      </c>
      <c r="L9258" s="382">
        <v>1.0</v>
      </c>
    </row>
    <row r="9259">
      <c r="A9259" s="380" t="s">
        <v>10133</v>
      </c>
      <c r="B9259" s="380" t="str">
        <f>IFERROR(__xludf.DUMMYFUNCTION("""COMPUTED_VALUE"""),"Terminal Direc Izq Foton MV5 5946043175")</f>
        <v>Terminal Direc Izq Foton MV5 5946043175</v>
      </c>
      <c r="C9259" s="380" t="str">
        <f>IFERROR(__xludf.DUMMYFUNCTION("""COMPUTED_VALUE"""),"70004680")</f>
        <v>70004680</v>
      </c>
      <c r="D9259" s="380" t="s">
        <v>767</v>
      </c>
      <c r="E9259" s="380" t="s">
        <v>786</v>
      </c>
      <c r="F9259" s="380" t="s">
        <v>1020</v>
      </c>
      <c r="G9259" s="380" t="s">
        <v>1267</v>
      </c>
      <c r="H9259" s="380" t="s">
        <v>771</v>
      </c>
      <c r="I9259" s="380" t="s">
        <v>788</v>
      </c>
      <c r="J9259" s="380" t="s">
        <v>773</v>
      </c>
      <c r="K9259" s="381">
        <v>0.0</v>
      </c>
      <c r="L9259" s="382">
        <v>1.0</v>
      </c>
    </row>
    <row r="9260">
      <c r="A9260" s="380" t="s">
        <v>10134</v>
      </c>
      <c r="B9260" s="380" t="str">
        <f>IFERROR(__xludf.DUMMYFUNCTION("""COMPUTED_VALUE"""),"Tapa DEP Hidraulico INTnaciona 2602170c1")</f>
        <v>Tapa DEP Hidraulico INTnaciona 2602170c1</v>
      </c>
      <c r="C9260" s="380" t="str">
        <f>IFERROR(__xludf.DUMMYFUNCTION("""COMPUTED_VALUE"""),"70004681")</f>
        <v>70004681</v>
      </c>
      <c r="D9260" s="380" t="s">
        <v>767</v>
      </c>
      <c r="E9260" s="380" t="s">
        <v>786</v>
      </c>
      <c r="F9260" s="380" t="s">
        <v>1020</v>
      </c>
      <c r="G9260" s="380" t="s">
        <v>1267</v>
      </c>
      <c r="H9260" s="380" t="s">
        <v>771</v>
      </c>
      <c r="I9260" s="380" t="s">
        <v>788</v>
      </c>
      <c r="J9260" s="380" t="s">
        <v>773</v>
      </c>
      <c r="K9260" s="381">
        <v>0.0</v>
      </c>
      <c r="L9260" s="382">
        <v>1.0</v>
      </c>
    </row>
    <row r="9261">
      <c r="A9261" s="380" t="s">
        <v>10135</v>
      </c>
      <c r="B9261" s="380" t="str">
        <f>IFERROR(__xludf.DUMMYFUNCTION("""COMPUTED_VALUE"""),"Tubo Inyectores Retorno Jac 1 1042160fe0")</f>
        <v>Tubo Inyectores Retorno Jac 1 1042160fe0</v>
      </c>
      <c r="C9261" s="380" t="str">
        <f>IFERROR(__xludf.DUMMYFUNCTION("""COMPUTED_VALUE"""),"70004682")</f>
        <v>70004682</v>
      </c>
      <c r="D9261" s="380" t="s">
        <v>767</v>
      </c>
      <c r="E9261" s="380" t="s">
        <v>786</v>
      </c>
      <c r="F9261" s="380" t="s">
        <v>787</v>
      </c>
      <c r="G9261" s="380" t="s">
        <v>1267</v>
      </c>
      <c r="H9261" s="380" t="s">
        <v>771</v>
      </c>
      <c r="I9261" s="380" t="s">
        <v>788</v>
      </c>
      <c r="J9261" s="380" t="s">
        <v>773</v>
      </c>
      <c r="K9261" s="381">
        <v>0.0</v>
      </c>
      <c r="L9261" s="382">
        <v>1.0</v>
      </c>
    </row>
    <row r="9262">
      <c r="A9262" s="380" t="s">
        <v>10136</v>
      </c>
      <c r="B9262" s="380" t="str">
        <f>IFERROR(__xludf.DUMMYFUNCTION("""COMPUTED_VALUE"""),"Bombillo Cabina Jac 072017351")</f>
        <v>Bombillo Cabina Jac 072017351</v>
      </c>
      <c r="C9262" s="380" t="str">
        <f>IFERROR(__xludf.DUMMYFUNCTION("""COMPUTED_VALUE"""),"70004683")</f>
        <v>70004683</v>
      </c>
      <c r="D9262" s="380" t="s">
        <v>767</v>
      </c>
      <c r="E9262" s="380" t="s">
        <v>786</v>
      </c>
      <c r="F9262" s="380" t="s">
        <v>998</v>
      </c>
      <c r="G9262" s="380" t="s">
        <v>1267</v>
      </c>
      <c r="H9262" s="380" t="s">
        <v>771</v>
      </c>
      <c r="I9262" s="380" t="s">
        <v>788</v>
      </c>
      <c r="J9262" s="380" t="s">
        <v>773</v>
      </c>
      <c r="K9262" s="381">
        <v>3340.0</v>
      </c>
      <c r="L9262" s="382">
        <v>1.0</v>
      </c>
    </row>
    <row r="9263">
      <c r="A9263" s="380" t="s">
        <v>10137</v>
      </c>
      <c r="B9263" s="380" t="str">
        <f>IFERROR(__xludf.DUMMYFUNCTION("""COMPUTED_VALUE"""),"Tapon FILT COMB Jac 1042 1105160ld393")</f>
        <v>Tapon FILT COMB Jac 1042 1105160ld393</v>
      </c>
      <c r="C9263" s="380" t="str">
        <f>IFERROR(__xludf.DUMMYFUNCTION("""COMPUTED_VALUE"""),"70004684")</f>
        <v>70004684</v>
      </c>
      <c r="D9263" s="380" t="s">
        <v>767</v>
      </c>
      <c r="E9263" s="380" t="s">
        <v>786</v>
      </c>
      <c r="F9263" s="380" t="s">
        <v>787</v>
      </c>
      <c r="G9263" s="380" t="s">
        <v>1267</v>
      </c>
      <c r="H9263" s="380" t="s">
        <v>771</v>
      </c>
      <c r="I9263" s="380" t="s">
        <v>788</v>
      </c>
      <c r="J9263" s="380" t="s">
        <v>773</v>
      </c>
      <c r="K9263" s="381">
        <v>0.0</v>
      </c>
      <c r="L9263" s="382">
        <v>1.0</v>
      </c>
    </row>
    <row r="9264">
      <c r="A9264" s="380" t="s">
        <v>10138</v>
      </c>
      <c r="B9264" s="380" t="str">
        <f>IFERROR(__xludf.DUMMYFUNCTION("""COMPUTED_VALUE"""),"Kit Piston MOT VW 8185 9410801900")</f>
        <v>Kit Piston MOT VW 8185 9410801900</v>
      </c>
      <c r="C9264" s="380" t="str">
        <f>IFERROR(__xludf.DUMMYFUNCTION("""COMPUTED_VALUE"""),"70004685")</f>
        <v>70004685</v>
      </c>
      <c r="D9264" s="380" t="s">
        <v>767</v>
      </c>
      <c r="E9264" s="380" t="s">
        <v>786</v>
      </c>
      <c r="F9264" s="380" t="s">
        <v>787</v>
      </c>
      <c r="G9264" s="380" t="s">
        <v>1267</v>
      </c>
      <c r="H9264" s="380" t="s">
        <v>771</v>
      </c>
      <c r="I9264" s="380" t="s">
        <v>788</v>
      </c>
      <c r="J9264" s="380" t="s">
        <v>773</v>
      </c>
      <c r="K9264" s="381">
        <v>0.0</v>
      </c>
      <c r="L9264" s="382">
        <v>1.0</v>
      </c>
    </row>
    <row r="9265">
      <c r="A9265" s="380" t="s">
        <v>10139</v>
      </c>
      <c r="B9265" s="380" t="str">
        <f>IFERROR(__xludf.DUMMYFUNCTION("""COMPUTED_VALUE"""),"EMP MOT Completo VW 8185 80277")</f>
        <v>EMP MOT Completo VW 8185 80277</v>
      </c>
      <c r="C9265" s="380" t="str">
        <f>IFERROR(__xludf.DUMMYFUNCTION("""COMPUTED_VALUE"""),"70004686")</f>
        <v>70004686</v>
      </c>
      <c r="D9265" s="380" t="s">
        <v>767</v>
      </c>
      <c r="E9265" s="380" t="s">
        <v>786</v>
      </c>
      <c r="F9265" s="380" t="s">
        <v>787</v>
      </c>
      <c r="G9265" s="380" t="s">
        <v>1267</v>
      </c>
      <c r="H9265" s="380" t="s">
        <v>771</v>
      </c>
      <c r="I9265" s="380" t="s">
        <v>788</v>
      </c>
      <c r="J9265" s="380" t="s">
        <v>773</v>
      </c>
      <c r="K9265" s="381">
        <v>0.0</v>
      </c>
      <c r="L9265" s="382">
        <v>1.0</v>
      </c>
    </row>
    <row r="9266">
      <c r="A9266" s="380" t="s">
        <v>10140</v>
      </c>
      <c r="B9266" s="380" t="str">
        <f>IFERROR(__xludf.DUMMYFUNCTION("""COMPUTED_VALUE"""),"Conjunto Templete Mecanismo A 8981412292")</f>
        <v>Conjunto Templete Mecanismo A 8981412292</v>
      </c>
      <c r="C9266" s="380" t="str">
        <f>IFERROR(__xludf.DUMMYFUNCTION("""COMPUTED_VALUE"""),"70004687")</f>
        <v>70004687</v>
      </c>
      <c r="D9266" s="380" t="s">
        <v>767</v>
      </c>
      <c r="E9266" s="380" t="s">
        <v>786</v>
      </c>
      <c r="F9266" s="380" t="s">
        <v>792</v>
      </c>
      <c r="G9266" s="380" t="s">
        <v>1267</v>
      </c>
      <c r="H9266" s="380" t="s">
        <v>771</v>
      </c>
      <c r="I9266" s="380" t="s">
        <v>788</v>
      </c>
      <c r="J9266" s="380" t="s">
        <v>773</v>
      </c>
      <c r="K9266" s="381">
        <v>0.0</v>
      </c>
      <c r="L9266" s="382">
        <v>1.0</v>
      </c>
    </row>
    <row r="9267">
      <c r="A9267" s="380" t="s">
        <v>10141</v>
      </c>
      <c r="B9267" s="380" t="str">
        <f>IFERROR(__xludf.DUMMYFUNCTION("""COMPUTED_VALUE"""),"Campana Freno Tras Jac Jhr 2100300070")</f>
        <v>Campana Freno Tras Jac Jhr 2100300070</v>
      </c>
      <c r="C9267" s="380" t="str">
        <f>IFERROR(__xludf.DUMMYFUNCTION("""COMPUTED_VALUE"""),"70004688")</f>
        <v>70004688</v>
      </c>
      <c r="D9267" s="380" t="s">
        <v>767</v>
      </c>
      <c r="E9267" s="380" t="s">
        <v>786</v>
      </c>
      <c r="F9267" s="380" t="s">
        <v>1017</v>
      </c>
      <c r="G9267" s="380" t="s">
        <v>1267</v>
      </c>
      <c r="H9267" s="380" t="s">
        <v>771</v>
      </c>
      <c r="I9267" s="380" t="s">
        <v>788</v>
      </c>
      <c r="J9267" s="380" t="s">
        <v>773</v>
      </c>
      <c r="K9267" s="381">
        <v>0.0</v>
      </c>
      <c r="L9267" s="382">
        <v>1.0</v>
      </c>
    </row>
    <row r="9268">
      <c r="A9268" s="380" t="s">
        <v>10142</v>
      </c>
      <c r="B9268" s="380" t="str">
        <f>IFERROR(__xludf.DUMMYFUNCTION("""COMPUTED_VALUE"""),"Brazo Caja Direc Prostar 3596199c2")</f>
        <v>Brazo Caja Direc Prostar 3596199c2</v>
      </c>
      <c r="C9268" s="380" t="str">
        <f>IFERROR(__xludf.DUMMYFUNCTION("""COMPUTED_VALUE"""),"70004689")</f>
        <v>70004689</v>
      </c>
      <c r="D9268" s="380" t="s">
        <v>767</v>
      </c>
      <c r="E9268" s="380" t="s">
        <v>786</v>
      </c>
      <c r="F9268" s="380" t="s">
        <v>1020</v>
      </c>
      <c r="G9268" s="380" t="s">
        <v>1267</v>
      </c>
      <c r="H9268" s="380" t="s">
        <v>771</v>
      </c>
      <c r="I9268" s="380" t="s">
        <v>788</v>
      </c>
      <c r="J9268" s="380" t="s">
        <v>773</v>
      </c>
      <c r="K9268" s="381">
        <v>0.0</v>
      </c>
      <c r="L9268" s="382">
        <v>1.0</v>
      </c>
    </row>
    <row r="9269">
      <c r="A9269" s="380" t="s">
        <v>10143</v>
      </c>
      <c r="B9269" s="380" t="str">
        <f>IFERROR(__xludf.DUMMYFUNCTION("""COMPUTED_VALUE"""),"Tapa Inf FILT COMB Jac 1042 1105150ld3")</f>
        <v>Tapa Inf FILT COMB Jac 1042 1105150ld3</v>
      </c>
      <c r="C9269" s="380" t="str">
        <f>IFERROR(__xludf.DUMMYFUNCTION("""COMPUTED_VALUE"""),"70004690")</f>
        <v>70004690</v>
      </c>
      <c r="D9269" s="380" t="s">
        <v>767</v>
      </c>
      <c r="E9269" s="380" t="s">
        <v>786</v>
      </c>
      <c r="F9269" s="380" t="s">
        <v>5855</v>
      </c>
      <c r="G9269" s="380" t="s">
        <v>1267</v>
      </c>
      <c r="H9269" s="380" t="s">
        <v>771</v>
      </c>
      <c r="I9269" s="380" t="s">
        <v>788</v>
      </c>
      <c r="J9269" s="380" t="s">
        <v>773</v>
      </c>
      <c r="K9269" s="381">
        <v>0.0</v>
      </c>
      <c r="L9269" s="382">
        <v>1.0</v>
      </c>
    </row>
    <row r="9270">
      <c r="A9270" s="380" t="s">
        <v>10144</v>
      </c>
      <c r="B9270" s="380" t="str">
        <f>IFERROR(__xludf.DUMMYFUNCTION("""COMPUTED_VALUE"""),"Sensor Rev Freno Foton 1129 1023477567")</f>
        <v>Sensor Rev Freno Foton 1129 1023477567</v>
      </c>
      <c r="C9270" s="380" t="str">
        <f>IFERROR(__xludf.DUMMYFUNCTION("""COMPUTED_VALUE"""),"70004691")</f>
        <v>70004691</v>
      </c>
      <c r="D9270" s="380" t="s">
        <v>767</v>
      </c>
      <c r="E9270" s="380" t="s">
        <v>786</v>
      </c>
      <c r="F9270" s="380" t="s">
        <v>1017</v>
      </c>
      <c r="G9270" s="380" t="s">
        <v>1267</v>
      </c>
      <c r="H9270" s="380" t="s">
        <v>771</v>
      </c>
      <c r="I9270" s="380" t="s">
        <v>788</v>
      </c>
      <c r="J9270" s="380" t="s">
        <v>773</v>
      </c>
      <c r="K9270" s="381">
        <v>0.0</v>
      </c>
      <c r="L9270" s="382">
        <v>1.0</v>
      </c>
    </row>
    <row r="9271">
      <c r="A9271" s="380" t="s">
        <v>10145</v>
      </c>
      <c r="B9271" s="380" t="str">
        <f>IFERROR(__xludf.DUMMYFUNCTION("""COMPUTED_VALUE"""),"Tuerca Brazo Escualizador Suspe 93400607")</f>
        <v>Tuerca Brazo Escualizador Suspe 93400607</v>
      </c>
      <c r="C9271" s="380" t="str">
        <f>IFERROR(__xludf.DUMMYFUNCTION("""COMPUTED_VALUE"""),"70004692")</f>
        <v>70004692</v>
      </c>
      <c r="D9271" s="380" t="s">
        <v>767</v>
      </c>
      <c r="E9271" s="380" t="s">
        <v>786</v>
      </c>
      <c r="F9271" s="380" t="s">
        <v>1039</v>
      </c>
      <c r="G9271" s="380" t="s">
        <v>1267</v>
      </c>
      <c r="H9271" s="380" t="s">
        <v>771</v>
      </c>
      <c r="I9271" s="380" t="s">
        <v>788</v>
      </c>
      <c r="J9271" s="380" t="s">
        <v>773</v>
      </c>
      <c r="K9271" s="381">
        <v>0.0</v>
      </c>
      <c r="L9271" s="382">
        <v>1.0</v>
      </c>
    </row>
    <row r="9272">
      <c r="A9272" s="380" t="s">
        <v>10146</v>
      </c>
      <c r="B9272" s="380" t="str">
        <f>IFERROR(__xludf.DUMMYFUNCTION("""COMPUTED_VALUE"""),"Cremallera Elevavidrios Dcha FT 1039 102")</f>
        <v>Cremallera Elevavidrios Dcha FT 1039 102</v>
      </c>
      <c r="C9272" s="380" t="str">
        <f>IFERROR(__xludf.DUMMYFUNCTION("""COMPUTED_VALUE"""),"70004693")</f>
        <v>70004693</v>
      </c>
      <c r="D9272" s="380" t="s">
        <v>767</v>
      </c>
      <c r="E9272" s="380" t="s">
        <v>786</v>
      </c>
      <c r="F9272" s="380" t="s">
        <v>792</v>
      </c>
      <c r="G9272" s="380" t="s">
        <v>1267</v>
      </c>
      <c r="H9272" s="380" t="s">
        <v>771</v>
      </c>
      <c r="I9272" s="380" t="s">
        <v>788</v>
      </c>
      <c r="J9272" s="380" t="s">
        <v>773</v>
      </c>
      <c r="K9272" s="381">
        <v>0.0</v>
      </c>
      <c r="L9272" s="382">
        <v>1.0</v>
      </c>
    </row>
    <row r="9273">
      <c r="A9273" s="380" t="s">
        <v>10147</v>
      </c>
      <c r="B9273" s="380" t="str">
        <f>IFERROR(__xludf.DUMMYFUNCTION("""COMPUTED_VALUE"""),"SENS Posicion Acelerador HY H100 110418")</f>
        <v>SENS Posicion Acelerador HY H100 110418</v>
      </c>
      <c r="C9273" s="380" t="str">
        <f>IFERROR(__xludf.DUMMYFUNCTION("""COMPUTED_VALUE"""),"70004694")</f>
        <v>70004694</v>
      </c>
      <c r="D9273" s="380" t="s">
        <v>767</v>
      </c>
      <c r="E9273" s="380" t="s">
        <v>786</v>
      </c>
      <c r="F9273" s="380" t="s">
        <v>998</v>
      </c>
      <c r="G9273" s="380" t="s">
        <v>1267</v>
      </c>
      <c r="H9273" s="380" t="s">
        <v>771</v>
      </c>
      <c r="I9273" s="380" t="s">
        <v>788</v>
      </c>
      <c r="J9273" s="380" t="s">
        <v>773</v>
      </c>
      <c r="K9273" s="381">
        <v>0.0</v>
      </c>
      <c r="L9273" s="382">
        <v>1.0</v>
      </c>
    </row>
    <row r="9274">
      <c r="A9274" s="380" t="s">
        <v>10148</v>
      </c>
      <c r="B9274" s="380" t="str">
        <f>IFERROR(__xludf.DUMMYFUNCTION("""COMPUTED_VALUE"""),"EMB Termico VENT FRR 8980197430")</f>
        <v>EMB Termico VENT FRR 8980197430</v>
      </c>
      <c r="C9274" s="380" t="str">
        <f>IFERROR(__xludf.DUMMYFUNCTION("""COMPUTED_VALUE"""),"70004695")</f>
        <v>70004695</v>
      </c>
      <c r="D9274" s="380" t="s">
        <v>767</v>
      </c>
      <c r="E9274" s="380" t="s">
        <v>786</v>
      </c>
      <c r="F9274" s="380" t="s">
        <v>787</v>
      </c>
      <c r="G9274" s="380" t="s">
        <v>1267</v>
      </c>
      <c r="H9274" s="380" t="s">
        <v>771</v>
      </c>
      <c r="I9274" s="380" t="s">
        <v>788</v>
      </c>
      <c r="J9274" s="380" t="s">
        <v>773</v>
      </c>
      <c r="K9274" s="381">
        <v>0.0</v>
      </c>
      <c r="L9274" s="382">
        <v>1.0</v>
      </c>
    </row>
    <row r="9275">
      <c r="A9275" s="380" t="s">
        <v>10149</v>
      </c>
      <c r="B9275" s="380" t="str">
        <f>IFERROR(__xludf.DUMMYFUNCTION("""COMPUTED_VALUE"""),"Inserto Sincronizador 1ra Y 2 8981899650")</f>
        <v>Inserto Sincronizador 1ra Y 2 8981899650</v>
      </c>
      <c r="C9275" s="380" t="str">
        <f>IFERROR(__xludf.DUMMYFUNCTION("""COMPUTED_VALUE"""),"70004696")</f>
        <v>70004696</v>
      </c>
      <c r="D9275" s="380" t="s">
        <v>767</v>
      </c>
      <c r="E9275" s="380" t="s">
        <v>786</v>
      </c>
      <c r="F9275" s="380" t="s">
        <v>928</v>
      </c>
      <c r="G9275" s="380" t="s">
        <v>1267</v>
      </c>
      <c r="H9275" s="380" t="s">
        <v>771</v>
      </c>
      <c r="I9275" s="380" t="s">
        <v>788</v>
      </c>
      <c r="J9275" s="380" t="s">
        <v>773</v>
      </c>
      <c r="K9275" s="381">
        <v>0.0</v>
      </c>
      <c r="L9275" s="382">
        <v>1.0</v>
      </c>
    </row>
    <row r="9276">
      <c r="A9276" s="380" t="s">
        <v>10150</v>
      </c>
      <c r="B9276" s="380" t="str">
        <f>IFERROR(__xludf.DUMMYFUNCTION("""COMPUTED_VALUE"""),"Bocin Tras Jac 1120 Pista Gra 2100320440")</f>
        <v>Bocin Tras Jac 1120 Pista Gra 2100320440</v>
      </c>
      <c r="C9276" s="380" t="str">
        <f>IFERROR(__xludf.DUMMYFUNCTION("""COMPUTED_VALUE"""),"70004697")</f>
        <v>70004697</v>
      </c>
      <c r="D9276" s="380" t="s">
        <v>767</v>
      </c>
      <c r="E9276" s="380" t="s">
        <v>786</v>
      </c>
      <c r="F9276" s="380" t="s">
        <v>1017</v>
      </c>
      <c r="G9276" s="380" t="s">
        <v>1267</v>
      </c>
      <c r="H9276" s="380" t="s">
        <v>771</v>
      </c>
      <c r="I9276" s="380" t="s">
        <v>788</v>
      </c>
      <c r="J9276" s="380" t="s">
        <v>773</v>
      </c>
      <c r="K9276" s="381">
        <v>0.0</v>
      </c>
      <c r="L9276" s="382">
        <v>1.0</v>
      </c>
    </row>
    <row r="9277">
      <c r="A9277" s="380" t="s">
        <v>10151</v>
      </c>
      <c r="B9277" s="380" t="str">
        <f>IFERROR(__xludf.DUMMYFUNCTION("""COMPUTED_VALUE"""),"Esquinero Der Foton 1128 5946583695")</f>
        <v>Esquinero Der Foton 1128 5946583695</v>
      </c>
      <c r="C9277" s="380" t="str">
        <f>IFERROR(__xludf.DUMMYFUNCTION("""COMPUTED_VALUE"""),"70004698")</f>
        <v>70004698</v>
      </c>
      <c r="D9277" s="380" t="s">
        <v>767</v>
      </c>
      <c r="E9277" s="380" t="s">
        <v>786</v>
      </c>
      <c r="F9277" s="380" t="s">
        <v>792</v>
      </c>
      <c r="G9277" s="380" t="s">
        <v>1267</v>
      </c>
      <c r="H9277" s="380" t="s">
        <v>771</v>
      </c>
      <c r="I9277" s="380" t="s">
        <v>788</v>
      </c>
      <c r="J9277" s="380" t="s">
        <v>773</v>
      </c>
      <c r="K9277" s="381">
        <v>0.0</v>
      </c>
      <c r="L9277" s="382">
        <v>1.0</v>
      </c>
    </row>
    <row r="9278">
      <c r="A9278" s="380" t="s">
        <v>10152</v>
      </c>
      <c r="B9278" s="380" t="str">
        <f>IFERROR(__xludf.DUMMYFUNCTION("""COMPUTED_VALUE"""),"Gorro Culata Hyundai H100 Porter")</f>
        <v>Gorro Culata Hyundai H100 Porter</v>
      </c>
      <c r="C9278" s="380" t="str">
        <f>IFERROR(__xludf.DUMMYFUNCTION("""COMPUTED_VALUE"""),"70004699")</f>
        <v>70004699</v>
      </c>
      <c r="D9278" s="380" t="s">
        <v>767</v>
      </c>
      <c r="E9278" s="380" t="s">
        <v>786</v>
      </c>
      <c r="F9278" s="380" t="s">
        <v>787</v>
      </c>
      <c r="G9278" s="380" t="s">
        <v>1267</v>
      </c>
      <c r="H9278" s="380" t="s">
        <v>771</v>
      </c>
      <c r="I9278" s="380" t="s">
        <v>788</v>
      </c>
      <c r="J9278" s="380" t="s">
        <v>773</v>
      </c>
      <c r="K9278" s="381">
        <v>0.0</v>
      </c>
      <c r="L9278" s="382">
        <v>1.0</v>
      </c>
    </row>
    <row r="9279">
      <c r="A9279" s="380" t="s">
        <v>10153</v>
      </c>
      <c r="B9279" s="380" t="str">
        <f>IFERROR(__xludf.DUMMYFUNCTION("""COMPUTED_VALUE"""),"Bocín Rueda Trasera Jac Jhr 2203020060")</f>
        <v>Bocín Rueda Trasera Jac Jhr 2203020060</v>
      </c>
      <c r="C9279" s="380" t="str">
        <f>IFERROR(__xludf.DUMMYFUNCTION("""COMPUTED_VALUE"""),"70004700")</f>
        <v>70004700</v>
      </c>
      <c r="D9279" s="380" t="s">
        <v>767</v>
      </c>
      <c r="E9279" s="380" t="s">
        <v>786</v>
      </c>
      <c r="F9279" s="380" t="s">
        <v>1039</v>
      </c>
      <c r="G9279" s="380" t="s">
        <v>1267</v>
      </c>
      <c r="H9279" s="380" t="s">
        <v>771</v>
      </c>
      <c r="I9279" s="380" t="s">
        <v>788</v>
      </c>
      <c r="J9279" s="380" t="s">
        <v>773</v>
      </c>
      <c r="K9279" s="381">
        <v>0.0</v>
      </c>
      <c r="L9279" s="382">
        <v>1.0</v>
      </c>
    </row>
    <row r="9280">
      <c r="A9280" s="380" t="s">
        <v>10154</v>
      </c>
      <c r="B9280" s="380" t="str">
        <f>IFERROR(__xludf.DUMMYFUNCTION("""COMPUTED_VALUE"""),"CTRL Comandos CAB Prostar 3549776c4")</f>
        <v>CTRL Comandos CAB Prostar 3549776c4</v>
      </c>
      <c r="C9280" s="380" t="str">
        <f>IFERROR(__xludf.DUMMYFUNCTION("""COMPUTED_VALUE"""),"70004701")</f>
        <v>70004701</v>
      </c>
      <c r="D9280" s="380" t="s">
        <v>767</v>
      </c>
      <c r="E9280" s="380" t="s">
        <v>786</v>
      </c>
      <c r="F9280" s="380" t="s">
        <v>998</v>
      </c>
      <c r="G9280" s="380" t="s">
        <v>1267</v>
      </c>
      <c r="H9280" s="380" t="s">
        <v>771</v>
      </c>
      <c r="I9280" s="380" t="s">
        <v>788</v>
      </c>
      <c r="J9280" s="380" t="s">
        <v>773</v>
      </c>
      <c r="K9280" s="381">
        <v>0.0</v>
      </c>
      <c r="L9280" s="382">
        <v>1.0</v>
      </c>
    </row>
    <row r="9281">
      <c r="A9281" s="380" t="s">
        <v>10155</v>
      </c>
      <c r="B9281" s="380" t="str">
        <f>IFERROR(__xludf.DUMMYFUNCTION("""COMPUTED_VALUE"""),"Manija Int PTA Der FT MV5 1023486583")</f>
        <v>Manija Int PTA Der FT MV5 1023486583</v>
      </c>
      <c r="C9281" s="380" t="str">
        <f>IFERROR(__xludf.DUMMYFUNCTION("""COMPUTED_VALUE"""),"70004702")</f>
        <v>70004702</v>
      </c>
      <c r="D9281" s="380" t="s">
        <v>767</v>
      </c>
      <c r="E9281" s="380" t="s">
        <v>786</v>
      </c>
      <c r="F9281" s="380" t="s">
        <v>792</v>
      </c>
      <c r="G9281" s="380" t="s">
        <v>1267</v>
      </c>
      <c r="H9281" s="380" t="s">
        <v>771</v>
      </c>
      <c r="I9281" s="380" t="s">
        <v>788</v>
      </c>
      <c r="J9281" s="380" t="s">
        <v>773</v>
      </c>
      <c r="K9281" s="381">
        <v>0.0</v>
      </c>
      <c r="L9281" s="382">
        <v>1.0</v>
      </c>
    </row>
    <row r="9282">
      <c r="A9282" s="380" t="s">
        <v>10156</v>
      </c>
      <c r="B9282" s="380" t="str">
        <f>IFERROR(__xludf.DUMMYFUNCTION("""COMPUTED_VALUE"""),"Guardapolvo Palanca Cambios N 8980350630")</f>
        <v>Guardapolvo Palanca Cambios N 8980350630</v>
      </c>
      <c r="C9282" s="380" t="str">
        <f>IFERROR(__xludf.DUMMYFUNCTION("""COMPUTED_VALUE"""),"70004703")</f>
        <v>70004703</v>
      </c>
      <c r="D9282" s="380" t="s">
        <v>767</v>
      </c>
      <c r="E9282" s="380" t="s">
        <v>786</v>
      </c>
      <c r="F9282" s="380" t="s">
        <v>792</v>
      </c>
      <c r="G9282" s="380" t="s">
        <v>1267</v>
      </c>
      <c r="H9282" s="380" t="s">
        <v>771</v>
      </c>
      <c r="I9282" s="380" t="s">
        <v>788</v>
      </c>
      <c r="J9282" s="380" t="s">
        <v>773</v>
      </c>
      <c r="K9282" s="381">
        <v>0.0</v>
      </c>
      <c r="L9282" s="382">
        <v>1.0</v>
      </c>
    </row>
    <row r="9283">
      <c r="A9283" s="380" t="s">
        <v>10157</v>
      </c>
      <c r="B9283" s="380" t="str">
        <f>IFERROR(__xludf.DUMMYFUNCTION("""COMPUTED_VALUE"""),"CAM Freno Tras Lh FT 1065e 5946694773")</f>
        <v>CAM Freno Tras Lh FT 1065e 5946694773</v>
      </c>
      <c r="C9283" s="380" t="str">
        <f>IFERROR(__xludf.DUMMYFUNCTION("""COMPUTED_VALUE"""),"70004704")</f>
        <v>70004704</v>
      </c>
      <c r="D9283" s="380" t="s">
        <v>767</v>
      </c>
      <c r="E9283" s="380" t="s">
        <v>786</v>
      </c>
      <c r="F9283" s="380" t="s">
        <v>1017</v>
      </c>
      <c r="G9283" s="380" t="s">
        <v>1267</v>
      </c>
      <c r="H9283" s="380" t="s">
        <v>771</v>
      </c>
      <c r="I9283" s="380" t="s">
        <v>788</v>
      </c>
      <c r="J9283" s="380" t="s">
        <v>773</v>
      </c>
      <c r="K9283" s="381">
        <v>552650.0</v>
      </c>
      <c r="L9283" s="382">
        <v>1.0</v>
      </c>
    </row>
    <row r="9284">
      <c r="A9284" s="380" t="s">
        <v>10158</v>
      </c>
      <c r="B9284" s="380" t="str">
        <f>IFERROR(__xludf.DUMMYFUNCTION("""COMPUTED_VALUE"""),"CAM Freno Tras FT Rh 1065e 5946694766")</f>
        <v>CAM Freno Tras FT Rh 1065e 5946694766</v>
      </c>
      <c r="C9284" s="380" t="str">
        <f>IFERROR(__xludf.DUMMYFUNCTION("""COMPUTED_VALUE"""),"70004705")</f>
        <v>70004705</v>
      </c>
      <c r="D9284" s="380" t="s">
        <v>767</v>
      </c>
      <c r="E9284" s="380" t="s">
        <v>786</v>
      </c>
      <c r="F9284" s="380" t="s">
        <v>1017</v>
      </c>
      <c r="G9284" s="380" t="s">
        <v>1267</v>
      </c>
      <c r="H9284" s="380" t="s">
        <v>771</v>
      </c>
      <c r="I9284" s="380" t="s">
        <v>788</v>
      </c>
      <c r="J9284" s="380" t="s">
        <v>773</v>
      </c>
      <c r="K9284" s="381">
        <v>694450.0</v>
      </c>
      <c r="L9284" s="382">
        <v>1.0</v>
      </c>
    </row>
    <row r="9285">
      <c r="A9285" s="380" t="s">
        <v>10159</v>
      </c>
      <c r="B9285" s="380" t="str">
        <f>IFERROR(__xludf.DUMMYFUNCTION("""COMPUTED_VALUE"""),"Tuerca Brazo Escualizador Suspen 9340067")</f>
        <v>Tuerca Brazo Escualizador Suspen 9340067</v>
      </c>
      <c r="C9285" s="380" t="str">
        <f>IFERROR(__xludf.DUMMYFUNCTION("""COMPUTED_VALUE"""),"70004706")</f>
        <v>70004706</v>
      </c>
      <c r="D9285" s="380" t="s">
        <v>767</v>
      </c>
      <c r="E9285" s="380" t="s">
        <v>786</v>
      </c>
      <c r="F9285" s="380" t="s">
        <v>1039</v>
      </c>
      <c r="G9285" s="380" t="s">
        <v>1267</v>
      </c>
      <c r="H9285" s="380" t="s">
        <v>771</v>
      </c>
      <c r="I9285" s="380" t="s">
        <v>788</v>
      </c>
      <c r="J9285" s="380" t="s">
        <v>773</v>
      </c>
      <c r="K9285" s="381">
        <v>0.0</v>
      </c>
      <c r="L9285" s="382">
        <v>1.0</v>
      </c>
    </row>
    <row r="9286">
      <c r="A9286" s="380" t="s">
        <v>10160</v>
      </c>
      <c r="B9286" s="380" t="str">
        <f>IFERROR(__xludf.DUMMYFUNCTION("""COMPUTED_VALUE"""),"Balancin Muelle Tras FTR 1513620492")</f>
        <v>Balancin Muelle Tras FTR 1513620492</v>
      </c>
      <c r="C9286" s="380" t="str">
        <f>IFERROR(__xludf.DUMMYFUNCTION("""COMPUTED_VALUE"""),"70004707")</f>
        <v>70004707</v>
      </c>
      <c r="D9286" s="380" t="s">
        <v>767</v>
      </c>
      <c r="E9286" s="380" t="s">
        <v>786</v>
      </c>
      <c r="F9286" s="380" t="s">
        <v>1039</v>
      </c>
      <c r="G9286" s="380" t="s">
        <v>1267</v>
      </c>
      <c r="H9286" s="380" t="s">
        <v>771</v>
      </c>
      <c r="I9286" s="380" t="s">
        <v>788</v>
      </c>
      <c r="J9286" s="380" t="s">
        <v>773</v>
      </c>
      <c r="K9286" s="381">
        <v>0.0</v>
      </c>
      <c r="L9286" s="382">
        <v>1.0</v>
      </c>
    </row>
    <row r="9287">
      <c r="A9287" s="380" t="s">
        <v>10161</v>
      </c>
      <c r="B9287" s="380" t="str">
        <f>IFERROR(__xludf.DUMMYFUNCTION("""COMPUTED_VALUE"""),"Tapa Cubierta Diferencial Divi 3266c1095")</f>
        <v>Tapa Cubierta Diferencial Divi 3266c1095</v>
      </c>
      <c r="C9287" s="380" t="str">
        <f>IFERROR(__xludf.DUMMYFUNCTION("""COMPUTED_VALUE"""),"70004708")</f>
        <v>70004708</v>
      </c>
      <c r="D9287" s="380" t="s">
        <v>767</v>
      </c>
      <c r="E9287" s="380" t="s">
        <v>786</v>
      </c>
      <c r="F9287" s="380" t="s">
        <v>5683</v>
      </c>
      <c r="G9287" s="380" t="s">
        <v>1267</v>
      </c>
      <c r="H9287" s="380" t="s">
        <v>771</v>
      </c>
      <c r="I9287" s="380" t="s">
        <v>788</v>
      </c>
      <c r="J9287" s="380" t="s">
        <v>773</v>
      </c>
      <c r="K9287" s="381">
        <v>0.0</v>
      </c>
      <c r="L9287" s="382">
        <v>1.0</v>
      </c>
    </row>
    <row r="9288">
      <c r="A9288" s="380" t="s">
        <v>10162</v>
      </c>
      <c r="B9288" s="380" t="str">
        <f>IFERROR(__xludf.DUMMYFUNCTION("""COMPUTED_VALUE"""),"Terminal DIR Drecha FT MV5 5946043182")</f>
        <v>Terminal DIR Drecha FT MV5 5946043182</v>
      </c>
      <c r="C9288" s="380" t="str">
        <f>IFERROR(__xludf.DUMMYFUNCTION("""COMPUTED_VALUE"""),"70004709")</f>
        <v>70004709</v>
      </c>
      <c r="D9288" s="380" t="s">
        <v>767</v>
      </c>
      <c r="E9288" s="380" t="s">
        <v>786</v>
      </c>
      <c r="F9288" s="380" t="s">
        <v>1020</v>
      </c>
      <c r="G9288" s="380" t="s">
        <v>1267</v>
      </c>
      <c r="H9288" s="380" t="s">
        <v>771</v>
      </c>
      <c r="I9288" s="380" t="s">
        <v>788</v>
      </c>
      <c r="J9288" s="380" t="s">
        <v>773</v>
      </c>
      <c r="K9288" s="381">
        <v>0.0</v>
      </c>
      <c r="L9288" s="382">
        <v>1.0</v>
      </c>
    </row>
    <row r="9289">
      <c r="A9289" s="380" t="s">
        <v>10163</v>
      </c>
      <c r="B9289" s="380" t="str">
        <f>IFERROR(__xludf.DUMMYFUNCTION("""COMPUTED_VALUE"""),"Buje Puerta Volkswaguen 8150")</f>
        <v>Buje Puerta Volkswaguen 8150</v>
      </c>
      <c r="C9289" s="380" t="str">
        <f>IFERROR(__xludf.DUMMYFUNCTION("""COMPUTED_VALUE"""),"70004710")</f>
        <v>70004710</v>
      </c>
      <c r="D9289" s="380" t="s">
        <v>767</v>
      </c>
      <c r="E9289" s="380" t="s">
        <v>786</v>
      </c>
      <c r="F9289" s="380" t="s">
        <v>792</v>
      </c>
      <c r="G9289" s="380" t="s">
        <v>1267</v>
      </c>
      <c r="H9289" s="380" t="s">
        <v>771</v>
      </c>
      <c r="I9289" s="380" t="s">
        <v>788</v>
      </c>
      <c r="J9289" s="380" t="s">
        <v>773</v>
      </c>
      <c r="K9289" s="381">
        <v>0.0</v>
      </c>
      <c r="L9289" s="382">
        <v>1.0</v>
      </c>
    </row>
    <row r="9290">
      <c r="A9290" s="380" t="s">
        <v>10164</v>
      </c>
      <c r="B9290" s="380" t="str">
        <f>IFERROR(__xludf.DUMMYFUNCTION("""COMPUTED_VALUE"""),"Pasador Puerta Volkswaguen 8150")</f>
        <v>Pasador Puerta Volkswaguen 8150</v>
      </c>
      <c r="C9290" s="380" t="str">
        <f>IFERROR(__xludf.DUMMYFUNCTION("""COMPUTED_VALUE"""),"70004711")</f>
        <v>70004711</v>
      </c>
      <c r="D9290" s="380" t="s">
        <v>767</v>
      </c>
      <c r="E9290" s="380" t="s">
        <v>786</v>
      </c>
      <c r="F9290" s="380" t="s">
        <v>792</v>
      </c>
      <c r="G9290" s="380" t="s">
        <v>1267</v>
      </c>
      <c r="H9290" s="380" t="s">
        <v>771</v>
      </c>
      <c r="I9290" s="380" t="s">
        <v>788</v>
      </c>
      <c r="J9290" s="380" t="s">
        <v>773</v>
      </c>
      <c r="K9290" s="381">
        <v>0.0</v>
      </c>
      <c r="L9290" s="382">
        <v>1.0</v>
      </c>
    </row>
    <row r="9291">
      <c r="A9291" s="380" t="s">
        <v>10165</v>
      </c>
      <c r="B9291" s="380" t="str">
        <f>IFERROR(__xludf.DUMMYFUNCTION("""COMPUTED_VALUE"""),"Guardabarro Del Izq Jac Jhr 8403101le0")</f>
        <v>Guardabarro Del Izq Jac Jhr 8403101le0</v>
      </c>
      <c r="C9291" s="380" t="str">
        <f>IFERROR(__xludf.DUMMYFUNCTION("""COMPUTED_VALUE"""),"70004712")</f>
        <v>70004712</v>
      </c>
      <c r="D9291" s="380" t="s">
        <v>767</v>
      </c>
      <c r="E9291" s="380" t="s">
        <v>786</v>
      </c>
      <c r="F9291" s="380" t="s">
        <v>792</v>
      </c>
      <c r="G9291" s="380" t="s">
        <v>1267</v>
      </c>
      <c r="H9291" s="380" t="s">
        <v>771</v>
      </c>
      <c r="I9291" s="380" t="s">
        <v>788</v>
      </c>
      <c r="J9291" s="380" t="s">
        <v>773</v>
      </c>
      <c r="K9291" s="381">
        <v>0.0</v>
      </c>
      <c r="L9291" s="382">
        <v>1.0</v>
      </c>
    </row>
    <row r="9292">
      <c r="A9292" s="380" t="s">
        <v>10166</v>
      </c>
      <c r="B9292" s="380" t="str">
        <f>IFERROR(__xludf.DUMMYFUNCTION("""COMPUTED_VALUE"""),"Condensador A/C INT Lt 2518753c91")</f>
        <v>Condensador A/C INT Lt 2518753c91</v>
      </c>
      <c r="C9292" s="380" t="str">
        <f>IFERROR(__xludf.DUMMYFUNCTION("""COMPUTED_VALUE"""),"70004713")</f>
        <v>70004713</v>
      </c>
      <c r="D9292" s="380" t="s">
        <v>767</v>
      </c>
      <c r="E9292" s="380" t="s">
        <v>786</v>
      </c>
      <c r="F9292" s="380" t="s">
        <v>1031</v>
      </c>
      <c r="G9292" s="380" t="s">
        <v>1267</v>
      </c>
      <c r="H9292" s="380" t="s">
        <v>771</v>
      </c>
      <c r="I9292" s="380" t="s">
        <v>788</v>
      </c>
      <c r="J9292" s="380" t="s">
        <v>773</v>
      </c>
      <c r="K9292" s="381">
        <v>351964.0</v>
      </c>
      <c r="L9292" s="382">
        <v>1.0</v>
      </c>
    </row>
    <row r="9293">
      <c r="A9293" s="380" t="s">
        <v>10167</v>
      </c>
      <c r="B9293" s="380" t="str">
        <f>IFERROR(__xludf.DUMMYFUNCTION("""COMPUTED_VALUE"""),"Tapa Carcasa FILT AIR Prostar 3551811c1")</f>
        <v>Tapa Carcasa FILT AIR Prostar 3551811c1</v>
      </c>
      <c r="C9293" s="380" t="str">
        <f>IFERROR(__xludf.DUMMYFUNCTION("""COMPUTED_VALUE"""),"70004714")</f>
        <v>70004714</v>
      </c>
      <c r="D9293" s="380" t="s">
        <v>767</v>
      </c>
      <c r="E9293" s="380" t="s">
        <v>786</v>
      </c>
      <c r="F9293" s="380" t="s">
        <v>787</v>
      </c>
      <c r="G9293" s="380" t="s">
        <v>1267</v>
      </c>
      <c r="H9293" s="380" t="s">
        <v>771</v>
      </c>
      <c r="I9293" s="380" t="s">
        <v>788</v>
      </c>
      <c r="J9293" s="380" t="s">
        <v>773</v>
      </c>
      <c r="K9293" s="381">
        <v>0.0</v>
      </c>
      <c r="L9293" s="382">
        <v>1.0</v>
      </c>
    </row>
    <row r="9294">
      <c r="A9294" s="380" t="s">
        <v>10168</v>
      </c>
      <c r="B9294" s="380" t="str">
        <f>IFERROR(__xludf.DUMMYFUNCTION("""COMPUTED_VALUE"""),"Manija PTA INTna Der HN Dutrop 692053701")</f>
        <v>Manija PTA INTna Der HN Dutrop 692053701</v>
      </c>
      <c r="C9294" s="380" t="str">
        <f>IFERROR(__xludf.DUMMYFUNCTION("""COMPUTED_VALUE"""),"70004715")</f>
        <v>70004715</v>
      </c>
      <c r="D9294" s="380" t="s">
        <v>767</v>
      </c>
      <c r="E9294" s="380" t="s">
        <v>786</v>
      </c>
      <c r="F9294" s="380" t="s">
        <v>792</v>
      </c>
      <c r="G9294" s="380" t="s">
        <v>1267</v>
      </c>
      <c r="H9294" s="380" t="s">
        <v>771</v>
      </c>
      <c r="I9294" s="380" t="s">
        <v>788</v>
      </c>
      <c r="J9294" s="380" t="s">
        <v>773</v>
      </c>
      <c r="K9294" s="381">
        <v>0.0</v>
      </c>
      <c r="L9294" s="382">
        <v>1.0</v>
      </c>
    </row>
    <row r="9295">
      <c r="A9295" s="380" t="s">
        <v>10169</v>
      </c>
      <c r="B9295" s="380" t="str">
        <f>IFERROR(__xludf.DUMMYFUNCTION("""COMPUTED_VALUE"""),"Brake Caliper Chevrolet N200 19245626")</f>
        <v>Brake Caliper Chevrolet N200 19245626</v>
      </c>
      <c r="C9295" s="380" t="str">
        <f>IFERROR(__xludf.DUMMYFUNCTION("""COMPUTED_VALUE"""),"70004716")</f>
        <v>70004716</v>
      </c>
      <c r="D9295" s="380" t="s">
        <v>767</v>
      </c>
      <c r="E9295" s="380" t="s">
        <v>786</v>
      </c>
      <c r="F9295" s="380" t="s">
        <v>1017</v>
      </c>
      <c r="G9295" s="380" t="s">
        <v>1267</v>
      </c>
      <c r="H9295" s="380" t="s">
        <v>771</v>
      </c>
      <c r="I9295" s="380" t="s">
        <v>788</v>
      </c>
      <c r="J9295" s="380" t="s">
        <v>773</v>
      </c>
      <c r="K9295" s="381">
        <v>0.0</v>
      </c>
      <c r="L9295" s="382">
        <v>1.0</v>
      </c>
    </row>
    <row r="9296">
      <c r="A9296" s="380" t="s">
        <v>10170</v>
      </c>
      <c r="B9296" s="380" t="str">
        <f>IFERROR(__xludf.DUMMYFUNCTION("""COMPUTED_VALUE"""),"Retenedor Alternador Hyundai H100 30x15")</f>
        <v>Retenedor Alternador Hyundai H100 30x15</v>
      </c>
      <c r="C9296" s="380" t="str">
        <f>IFERROR(__xludf.DUMMYFUNCTION("""COMPUTED_VALUE"""),"70004717")</f>
        <v>70004717</v>
      </c>
      <c r="D9296" s="380" t="s">
        <v>767</v>
      </c>
      <c r="E9296" s="380" t="s">
        <v>786</v>
      </c>
      <c r="F9296" s="380" t="s">
        <v>998</v>
      </c>
      <c r="G9296" s="380" t="s">
        <v>1267</v>
      </c>
      <c r="H9296" s="380" t="s">
        <v>771</v>
      </c>
      <c r="I9296" s="380" t="s">
        <v>788</v>
      </c>
      <c r="J9296" s="380" t="s">
        <v>773</v>
      </c>
      <c r="K9296" s="381">
        <v>0.0</v>
      </c>
      <c r="L9296" s="382">
        <v>1.0</v>
      </c>
    </row>
    <row r="9297">
      <c r="A9297" s="380" t="s">
        <v>10171</v>
      </c>
      <c r="B9297" s="380" t="str">
        <f>IFERROR(__xludf.DUMMYFUNCTION("""COMPUTED_VALUE"""),"Cremallera Elevavidrio PTA La 3713145c91")</f>
        <v>Cremallera Elevavidrio PTA La 3713145c91</v>
      </c>
      <c r="C9297" s="380" t="str">
        <f>IFERROR(__xludf.DUMMYFUNCTION("""COMPUTED_VALUE"""),"70004718")</f>
        <v>70004718</v>
      </c>
      <c r="D9297" s="380" t="s">
        <v>767</v>
      </c>
      <c r="E9297" s="380" t="s">
        <v>786</v>
      </c>
      <c r="F9297" s="380" t="s">
        <v>792</v>
      </c>
      <c r="G9297" s="380" t="s">
        <v>1267</v>
      </c>
      <c r="H9297" s="380" t="s">
        <v>771</v>
      </c>
      <c r="I9297" s="380" t="s">
        <v>788</v>
      </c>
      <c r="J9297" s="380" t="s">
        <v>773</v>
      </c>
      <c r="K9297" s="381">
        <v>4758977.0</v>
      </c>
      <c r="L9297" s="382">
        <v>1.0</v>
      </c>
    </row>
    <row r="9298">
      <c r="A9298" s="380" t="s">
        <v>10172</v>
      </c>
      <c r="B9298" s="380" t="str">
        <f>IFERROR(__xludf.DUMMYFUNCTION("""COMPUTED_VALUE"""),"EMP Marco PTA Izq Prostar 3508972c6")</f>
        <v>EMP Marco PTA Izq Prostar 3508972c6</v>
      </c>
      <c r="C9298" s="380" t="str">
        <f>IFERROR(__xludf.DUMMYFUNCTION("""COMPUTED_VALUE"""),"70004719")</f>
        <v>70004719</v>
      </c>
      <c r="D9298" s="380" t="s">
        <v>767</v>
      </c>
      <c r="E9298" s="380" t="s">
        <v>786</v>
      </c>
      <c r="F9298" s="380" t="s">
        <v>792</v>
      </c>
      <c r="G9298" s="380" t="s">
        <v>1267</v>
      </c>
      <c r="H9298" s="380" t="s">
        <v>771</v>
      </c>
      <c r="I9298" s="380" t="s">
        <v>788</v>
      </c>
      <c r="J9298" s="380" t="s">
        <v>773</v>
      </c>
      <c r="K9298" s="381">
        <v>0.0</v>
      </c>
      <c r="L9298" s="382">
        <v>1.0</v>
      </c>
    </row>
    <row r="9299">
      <c r="A9299" s="380" t="s">
        <v>10173</v>
      </c>
      <c r="B9299" s="380" t="str">
        <f>IFERROR(__xludf.DUMMYFUNCTION("""COMPUTED_VALUE"""),"MANG Presion Hidraulico FT 10 5946304924")</f>
        <v>MANG Presion Hidraulico FT 10 5946304924</v>
      </c>
      <c r="C9299" s="380" t="str">
        <f>IFERROR(__xludf.DUMMYFUNCTION("""COMPUTED_VALUE"""),"70004720")</f>
        <v>70004720</v>
      </c>
      <c r="D9299" s="380" t="s">
        <v>767</v>
      </c>
      <c r="E9299" s="380" t="s">
        <v>786</v>
      </c>
      <c r="F9299" s="380" t="s">
        <v>1020</v>
      </c>
      <c r="G9299" s="380" t="s">
        <v>1267</v>
      </c>
      <c r="H9299" s="380" t="s">
        <v>771</v>
      </c>
      <c r="I9299" s="380" t="s">
        <v>788</v>
      </c>
      <c r="J9299" s="380" t="s">
        <v>773</v>
      </c>
      <c r="K9299" s="381">
        <v>0.0</v>
      </c>
      <c r="L9299" s="382">
        <v>1.0</v>
      </c>
    </row>
    <row r="9300">
      <c r="A9300" s="380" t="s">
        <v>10174</v>
      </c>
      <c r="B9300" s="380" t="str">
        <f>IFERROR(__xludf.DUMMYFUNCTION("""COMPUTED_VALUE"""),"Valvula Egr Foton 1039 1023083720")</f>
        <v>Valvula Egr Foton 1039 1023083720</v>
      </c>
      <c r="C9300" s="380" t="str">
        <f>IFERROR(__xludf.DUMMYFUNCTION("""COMPUTED_VALUE"""),"70004721")</f>
        <v>70004721</v>
      </c>
      <c r="D9300" s="380" t="s">
        <v>767</v>
      </c>
      <c r="E9300" s="380" t="s">
        <v>786</v>
      </c>
      <c r="F9300" s="380" t="s">
        <v>787</v>
      </c>
      <c r="G9300" s="380" t="s">
        <v>1267</v>
      </c>
      <c r="H9300" s="380" t="s">
        <v>771</v>
      </c>
      <c r="I9300" s="380" t="s">
        <v>788</v>
      </c>
      <c r="J9300" s="380" t="s">
        <v>773</v>
      </c>
      <c r="K9300" s="381">
        <v>0.0</v>
      </c>
      <c r="L9300" s="382">
        <v>1.0</v>
      </c>
    </row>
    <row r="9301">
      <c r="A9301" s="380" t="s">
        <v>10175</v>
      </c>
      <c r="B9301" s="380" t="str">
        <f>IFERROR(__xludf.DUMMYFUNCTION("""COMPUTED_VALUE"""),"Silla Copiloto Foton 1129 1023079426")</f>
        <v>Silla Copiloto Foton 1129 1023079426</v>
      </c>
      <c r="C9301" s="380" t="str">
        <f>IFERROR(__xludf.DUMMYFUNCTION("""COMPUTED_VALUE"""),"70004722")</f>
        <v>70004722</v>
      </c>
      <c r="D9301" s="380" t="s">
        <v>767</v>
      </c>
      <c r="E9301" s="380" t="s">
        <v>786</v>
      </c>
      <c r="F9301" s="380" t="s">
        <v>792</v>
      </c>
      <c r="G9301" s="380" t="s">
        <v>1267</v>
      </c>
      <c r="H9301" s="380" t="s">
        <v>771</v>
      </c>
      <c r="I9301" s="380" t="s">
        <v>788</v>
      </c>
      <c r="J9301" s="380" t="s">
        <v>773</v>
      </c>
      <c r="K9301" s="381">
        <v>689360.0</v>
      </c>
      <c r="L9301" s="382">
        <v>1.0</v>
      </c>
    </row>
    <row r="9302">
      <c r="A9302" s="380" t="s">
        <v>10176</v>
      </c>
      <c r="B9302" s="380" t="str">
        <f>IFERROR(__xludf.DUMMYFUNCTION("""COMPUTED_VALUE"""),"Puente VALV Escape MOT Isx EGL 4059329")</f>
        <v>Puente VALV Escape MOT Isx EGL 4059329</v>
      </c>
      <c r="C9302" s="380" t="str">
        <f>IFERROR(__xludf.DUMMYFUNCTION("""COMPUTED_VALUE"""),"70004723")</f>
        <v>70004723</v>
      </c>
      <c r="D9302" s="380" t="s">
        <v>767</v>
      </c>
      <c r="E9302" s="380" t="s">
        <v>786</v>
      </c>
      <c r="F9302" s="380" t="s">
        <v>787</v>
      </c>
      <c r="G9302" s="380" t="s">
        <v>1267</v>
      </c>
      <c r="H9302" s="380" t="s">
        <v>771</v>
      </c>
      <c r="I9302" s="380" t="s">
        <v>788</v>
      </c>
      <c r="J9302" s="380" t="s">
        <v>773</v>
      </c>
      <c r="K9302" s="381">
        <v>180880.0</v>
      </c>
      <c r="L9302" s="382">
        <v>1.0</v>
      </c>
    </row>
    <row r="9303">
      <c r="A9303" s="380" t="s">
        <v>10177</v>
      </c>
      <c r="B9303" s="380" t="str">
        <f>IFERROR(__xludf.DUMMYFUNCTION("""COMPUTED_VALUE"""),"Diferencial Completa Nhr Mod 2000 De Seg")</f>
        <v>Diferencial Completa Nhr Mod 2000 De Seg</v>
      </c>
      <c r="C9303" s="380" t="str">
        <f>IFERROR(__xludf.DUMMYFUNCTION("""COMPUTED_VALUE"""),"70004724")</f>
        <v>70004724</v>
      </c>
      <c r="D9303" s="380" t="s">
        <v>767</v>
      </c>
      <c r="E9303" s="380" t="s">
        <v>786</v>
      </c>
      <c r="F9303" s="380" t="s">
        <v>5683</v>
      </c>
      <c r="G9303" s="380" t="s">
        <v>1267</v>
      </c>
      <c r="H9303" s="380" t="s">
        <v>771</v>
      </c>
      <c r="I9303" s="380" t="s">
        <v>788</v>
      </c>
      <c r="J9303" s="380" t="s">
        <v>773</v>
      </c>
      <c r="K9303" s="381">
        <v>0.0</v>
      </c>
      <c r="L9303" s="382">
        <v>1.0</v>
      </c>
    </row>
    <row r="9304">
      <c r="A9304" s="380" t="s">
        <v>10178</v>
      </c>
      <c r="B9304" s="380" t="str">
        <f>IFERROR(__xludf.DUMMYFUNCTION("""COMPUTED_VALUE"""),"Rodamiento Infer Riel Pta Dcha NS Urban")</f>
        <v>Rodamiento Infer Riel Pta Dcha NS Urban</v>
      </c>
      <c r="C9304" s="380" t="str">
        <f>IFERROR(__xludf.DUMMYFUNCTION("""COMPUTED_VALUE"""),"70004725")</f>
        <v>70004725</v>
      </c>
      <c r="D9304" s="380" t="s">
        <v>767</v>
      </c>
      <c r="E9304" s="380" t="s">
        <v>786</v>
      </c>
      <c r="F9304" s="380" t="s">
        <v>792</v>
      </c>
      <c r="G9304" s="380" t="s">
        <v>1267</v>
      </c>
      <c r="H9304" s="380" t="s">
        <v>771</v>
      </c>
      <c r="I9304" s="380" t="s">
        <v>788</v>
      </c>
      <c r="J9304" s="380" t="s">
        <v>773</v>
      </c>
      <c r="K9304" s="381">
        <v>0.0</v>
      </c>
      <c r="L9304" s="382">
        <v>1.0</v>
      </c>
    </row>
    <row r="9305">
      <c r="A9305" s="380" t="s">
        <v>10179</v>
      </c>
      <c r="B9305" s="380" t="str">
        <f>IFERROR(__xludf.DUMMYFUNCTION("""COMPUTED_VALUE"""),"Correa Accesorios Motor Isf 3.8 Fot 1129")</f>
        <v>Correa Accesorios Motor Isf 3.8 Fot 1129</v>
      </c>
      <c r="C9305" s="380" t="str">
        <f>IFERROR(__xludf.DUMMYFUNCTION("""COMPUTED_VALUE"""),"70004726")</f>
        <v>70004726</v>
      </c>
      <c r="D9305" s="380" t="s">
        <v>767</v>
      </c>
      <c r="E9305" s="380" t="s">
        <v>786</v>
      </c>
      <c r="F9305" s="380" t="s">
        <v>787</v>
      </c>
      <c r="G9305" s="380" t="s">
        <v>1267</v>
      </c>
      <c r="H9305" s="380" t="s">
        <v>771</v>
      </c>
      <c r="I9305" s="380" t="s">
        <v>788</v>
      </c>
      <c r="J9305" s="380" t="s">
        <v>773</v>
      </c>
      <c r="K9305" s="381">
        <v>485200.0</v>
      </c>
      <c r="L9305" s="382">
        <v>1.0</v>
      </c>
    </row>
    <row r="9306">
      <c r="A9306" s="380" t="s">
        <v>10180</v>
      </c>
      <c r="B9306" s="380" t="str">
        <f>IFERROR(__xludf.DUMMYFUNCTION("""COMPUTED_VALUE"""),"Manija Der Acceso CAB Nkr Rew 8974052492")</f>
        <v>Manija Der Acceso CAB Nkr Rew 8974052492</v>
      </c>
      <c r="C9306" s="380" t="str">
        <f>IFERROR(__xludf.DUMMYFUNCTION("""COMPUTED_VALUE"""),"70004727")</f>
        <v>70004727</v>
      </c>
      <c r="D9306" s="380" t="s">
        <v>767</v>
      </c>
      <c r="E9306" s="380" t="s">
        <v>786</v>
      </c>
      <c r="F9306" s="380" t="s">
        <v>792</v>
      </c>
      <c r="G9306" s="380" t="s">
        <v>1267</v>
      </c>
      <c r="H9306" s="380" t="s">
        <v>771</v>
      </c>
      <c r="I9306" s="380" t="s">
        <v>788</v>
      </c>
      <c r="J9306" s="380" t="s">
        <v>773</v>
      </c>
      <c r="K9306" s="381">
        <v>0.0</v>
      </c>
      <c r="L9306" s="382">
        <v>1.0</v>
      </c>
    </row>
    <row r="9307">
      <c r="A9307" s="380" t="s">
        <v>10181</v>
      </c>
      <c r="B9307" s="380" t="str">
        <f>IFERROR(__xludf.DUMMYFUNCTION("""COMPUTED_VALUE"""),"Ma Manija Superior Jac 1120 8215200le010")</f>
        <v>Ma Manija Superior Jac 1120 8215200le010</v>
      </c>
      <c r="C9307" s="380" t="str">
        <f>IFERROR(__xludf.DUMMYFUNCTION("""COMPUTED_VALUE"""),"70004728")</f>
        <v>70004728</v>
      </c>
      <c r="D9307" s="380" t="s">
        <v>767</v>
      </c>
      <c r="E9307" s="380" t="s">
        <v>786</v>
      </c>
      <c r="F9307" s="380" t="s">
        <v>792</v>
      </c>
      <c r="G9307" s="380" t="s">
        <v>1267</v>
      </c>
      <c r="H9307" s="380" t="s">
        <v>771</v>
      </c>
      <c r="I9307" s="380" t="s">
        <v>788</v>
      </c>
      <c r="J9307" s="380" t="s">
        <v>773</v>
      </c>
      <c r="K9307" s="381">
        <v>0.0</v>
      </c>
      <c r="L9307" s="382">
        <v>1.0</v>
      </c>
    </row>
    <row r="9308">
      <c r="A9308" s="380" t="s">
        <v>10182</v>
      </c>
      <c r="B9308" s="380" t="str">
        <f>IFERROR(__xludf.DUMMYFUNCTION("""COMPUTED_VALUE"""),"MANG Admision Purificadora T Vxa 17882-")</f>
        <v>MANG Admision Purificadora T Vxa 17882-</v>
      </c>
      <c r="C9308" s="380" t="str">
        <f>IFERROR(__xludf.DUMMYFUNCTION("""COMPUTED_VALUE"""),"70004729")</f>
        <v>70004729</v>
      </c>
      <c r="D9308" s="380" t="s">
        <v>767</v>
      </c>
      <c r="E9308" s="380" t="s">
        <v>786</v>
      </c>
      <c r="F9308" s="380" t="s">
        <v>787</v>
      </c>
      <c r="G9308" s="380" t="s">
        <v>1267</v>
      </c>
      <c r="H9308" s="380" t="s">
        <v>771</v>
      </c>
      <c r="I9308" s="380" t="s">
        <v>788</v>
      </c>
      <c r="J9308" s="380" t="s">
        <v>773</v>
      </c>
      <c r="K9308" s="381">
        <v>0.0</v>
      </c>
      <c r="L9308" s="382">
        <v>1.0</v>
      </c>
    </row>
    <row r="9309">
      <c r="A9309" s="380" t="s">
        <v>10183</v>
      </c>
      <c r="B9309" s="380" t="str">
        <f>IFERROR(__xludf.DUMMYFUNCTION("""COMPUTED_VALUE"""),"Varilla Medidor Aceite Cummins 199445 Sb")</f>
        <v>Varilla Medidor Aceite Cummins 199445 Sb</v>
      </c>
      <c r="C9309" s="380" t="str">
        <f>IFERROR(__xludf.DUMMYFUNCTION("""COMPUTED_VALUE"""),"70004730")</f>
        <v>70004730</v>
      </c>
      <c r="D9309" s="380" t="s">
        <v>767</v>
      </c>
      <c r="E9309" s="380" t="s">
        <v>786</v>
      </c>
      <c r="F9309" s="380" t="s">
        <v>787</v>
      </c>
      <c r="G9309" s="380" t="s">
        <v>1267</v>
      </c>
      <c r="H9309" s="380" t="s">
        <v>771</v>
      </c>
      <c r="I9309" s="380" t="s">
        <v>788</v>
      </c>
      <c r="J9309" s="380" t="s">
        <v>773</v>
      </c>
      <c r="K9309" s="381">
        <v>0.0</v>
      </c>
      <c r="L9309" s="382">
        <v>1.0</v>
      </c>
    </row>
    <row r="9310">
      <c r="A9310" s="380" t="s">
        <v>10184</v>
      </c>
      <c r="B9310" s="380" t="str">
        <f>IFERROR(__xludf.DUMMYFUNCTION("""COMPUTED_VALUE"""),"Guaya Neutro Cambios HY H100 4377048260")</f>
        <v>Guaya Neutro Cambios HY H100 4377048260</v>
      </c>
      <c r="C9310" s="380" t="str">
        <f>IFERROR(__xludf.DUMMYFUNCTION("""COMPUTED_VALUE"""),"70004731")</f>
        <v>70004731</v>
      </c>
      <c r="D9310" s="380" t="s">
        <v>767</v>
      </c>
      <c r="E9310" s="380" t="s">
        <v>786</v>
      </c>
      <c r="F9310" s="380" t="s">
        <v>928</v>
      </c>
      <c r="G9310" s="380" t="s">
        <v>1267</v>
      </c>
      <c r="H9310" s="380" t="s">
        <v>771</v>
      </c>
      <c r="I9310" s="380" t="s">
        <v>788</v>
      </c>
      <c r="J9310" s="380" t="s">
        <v>773</v>
      </c>
      <c r="K9310" s="381">
        <v>0.0</v>
      </c>
      <c r="L9310" s="382">
        <v>1.0</v>
      </c>
    </row>
    <row r="9311">
      <c r="A9311" s="380" t="s">
        <v>10185</v>
      </c>
      <c r="B9311" s="380" t="str">
        <f>IFERROR(__xludf.DUMMYFUNCTION("""COMPUTED_VALUE"""),"Guaya CTRL Cambios Hyunday H1 437944f210")</f>
        <v>Guaya CTRL Cambios Hyunday H1 437944f210</v>
      </c>
      <c r="C9311" s="380" t="str">
        <f>IFERROR(__xludf.DUMMYFUNCTION("""COMPUTED_VALUE"""),"70004732")</f>
        <v>70004732</v>
      </c>
      <c r="D9311" s="380" t="s">
        <v>767</v>
      </c>
      <c r="E9311" s="380" t="s">
        <v>786</v>
      </c>
      <c r="F9311" s="380" t="s">
        <v>928</v>
      </c>
      <c r="G9311" s="380" t="s">
        <v>1267</v>
      </c>
      <c r="H9311" s="380" t="s">
        <v>771</v>
      </c>
      <c r="I9311" s="380" t="s">
        <v>788</v>
      </c>
      <c r="J9311" s="380" t="s">
        <v>773</v>
      </c>
      <c r="K9311" s="381">
        <v>0.0</v>
      </c>
      <c r="L9311" s="382">
        <v>1.0</v>
      </c>
    </row>
    <row r="9312">
      <c r="A9312" s="380" t="s">
        <v>10186</v>
      </c>
      <c r="B9312" s="380" t="str">
        <f>IFERROR(__xludf.DUMMYFUNCTION("""COMPUTED_VALUE"""),"Amortiguador Del FRR Mod 2015 8983899730")</f>
        <v>Amortiguador Del FRR Mod 2015 8983899730</v>
      </c>
      <c r="C9312" s="380" t="str">
        <f>IFERROR(__xludf.DUMMYFUNCTION("""COMPUTED_VALUE"""),"70004733")</f>
        <v>70004733</v>
      </c>
      <c r="D9312" s="380" t="s">
        <v>767</v>
      </c>
      <c r="E9312" s="380" t="s">
        <v>786</v>
      </c>
      <c r="F9312" s="380" t="s">
        <v>1039</v>
      </c>
      <c r="G9312" s="380" t="s">
        <v>1267</v>
      </c>
      <c r="H9312" s="380" t="s">
        <v>771</v>
      </c>
      <c r="I9312" s="380" t="s">
        <v>788</v>
      </c>
      <c r="J9312" s="380" t="s">
        <v>773</v>
      </c>
      <c r="K9312" s="381">
        <v>0.0</v>
      </c>
      <c r="L9312" s="382">
        <v>1.0</v>
      </c>
    </row>
    <row r="9313">
      <c r="A9313" s="380" t="s">
        <v>10187</v>
      </c>
      <c r="B9313" s="380" t="str">
        <f>IFERROR(__xludf.DUMMYFUNCTION("""COMPUTED_VALUE"""),"Cremallera PTA Der FT MV5 5946193375")</f>
        <v>Cremallera PTA Der FT MV5 5946193375</v>
      </c>
      <c r="C9313" s="380" t="str">
        <f>IFERROR(__xludf.DUMMYFUNCTION("""COMPUTED_VALUE"""),"70004734")</f>
        <v>70004734</v>
      </c>
      <c r="D9313" s="380" t="s">
        <v>767</v>
      </c>
      <c r="E9313" s="380" t="s">
        <v>786</v>
      </c>
      <c r="F9313" s="380" t="s">
        <v>792</v>
      </c>
      <c r="G9313" s="380" t="s">
        <v>1267</v>
      </c>
      <c r="H9313" s="380" t="s">
        <v>771</v>
      </c>
      <c r="I9313" s="380" t="s">
        <v>788</v>
      </c>
      <c r="J9313" s="380" t="s">
        <v>773</v>
      </c>
      <c r="K9313" s="381">
        <v>390239.0</v>
      </c>
      <c r="L9313" s="382">
        <v>1.0</v>
      </c>
    </row>
    <row r="9314">
      <c r="A9314" s="380" t="s">
        <v>10188</v>
      </c>
      <c r="B9314" s="380" t="str">
        <f>IFERROR(__xludf.DUMMYFUNCTION("""COMPUTED_VALUE"""),"VALV Freno De Ahogo FT 1108 1 5946740937")</f>
        <v>VALV Freno De Ahogo FT 1108 1 5946740937</v>
      </c>
      <c r="C9314" s="380" t="str">
        <f>IFERROR(__xludf.DUMMYFUNCTION("""COMPUTED_VALUE"""),"70004735")</f>
        <v>70004735</v>
      </c>
      <c r="D9314" s="380" t="s">
        <v>767</v>
      </c>
      <c r="E9314" s="380" t="s">
        <v>786</v>
      </c>
      <c r="F9314" s="380" t="s">
        <v>1017</v>
      </c>
      <c r="G9314" s="380" t="s">
        <v>1267</v>
      </c>
      <c r="H9314" s="380" t="s">
        <v>771</v>
      </c>
      <c r="I9314" s="380" t="s">
        <v>788</v>
      </c>
      <c r="J9314" s="380" t="s">
        <v>773</v>
      </c>
      <c r="K9314" s="381">
        <v>0.0</v>
      </c>
      <c r="L9314" s="382">
        <v>1.0</v>
      </c>
    </row>
    <row r="9315">
      <c r="A9315" s="380" t="s">
        <v>10189</v>
      </c>
      <c r="B9315" s="380" t="str">
        <f>IFERROR(__xludf.DUMMYFUNCTION("""COMPUTED_VALUE"""),"Exploradora Bomper INT L 4079807c93")</f>
        <v>Exploradora Bomper INT L 4079807c93</v>
      </c>
      <c r="C9315" s="380" t="str">
        <f>IFERROR(__xludf.DUMMYFUNCTION("""COMPUTED_VALUE"""),"70004736")</f>
        <v>70004736</v>
      </c>
      <c r="D9315" s="380" t="s">
        <v>767</v>
      </c>
      <c r="E9315" s="380" t="s">
        <v>786</v>
      </c>
      <c r="F9315" s="380" t="s">
        <v>998</v>
      </c>
      <c r="G9315" s="380" t="s">
        <v>1267</v>
      </c>
      <c r="H9315" s="380" t="s">
        <v>771</v>
      </c>
      <c r="I9315" s="380" t="s">
        <v>788</v>
      </c>
      <c r="J9315" s="380" t="s">
        <v>773</v>
      </c>
      <c r="K9315" s="381">
        <v>0.0</v>
      </c>
      <c r="L9315" s="382">
        <v>1.0</v>
      </c>
    </row>
    <row r="9316">
      <c r="A9316" s="380" t="s">
        <v>10190</v>
      </c>
      <c r="B9316" s="380" t="str">
        <f>IFERROR(__xludf.DUMMYFUNCTION("""COMPUTED_VALUE"""),"RAD Agua INT Lt 2516107c91")</f>
        <v>RAD Agua INT Lt 2516107c91</v>
      </c>
      <c r="C9316" s="380" t="str">
        <f>IFERROR(__xludf.DUMMYFUNCTION("""COMPUTED_VALUE"""),"70004737")</f>
        <v>70004737</v>
      </c>
      <c r="D9316" s="380" t="s">
        <v>767</v>
      </c>
      <c r="E9316" s="380" t="s">
        <v>786</v>
      </c>
      <c r="F9316" s="380" t="s">
        <v>787</v>
      </c>
      <c r="G9316" s="380" t="s">
        <v>1267</v>
      </c>
      <c r="H9316" s="380" t="s">
        <v>771</v>
      </c>
      <c r="I9316" s="380" t="s">
        <v>788</v>
      </c>
      <c r="J9316" s="380" t="s">
        <v>773</v>
      </c>
      <c r="K9316" s="381">
        <v>0.0</v>
      </c>
      <c r="L9316" s="382">
        <v>1.0</v>
      </c>
    </row>
    <row r="9317">
      <c r="A9317" s="380" t="s">
        <v>10191</v>
      </c>
      <c r="B9317" s="380" t="str">
        <f>IFERROR(__xludf.DUMMYFUNCTION("""COMPUTED_VALUE"""),"Resorte Pedal Embrague FRR 8983679670")</f>
        <v>Resorte Pedal Embrague FRR 8983679670</v>
      </c>
      <c r="C9317" s="380" t="str">
        <f>IFERROR(__xludf.DUMMYFUNCTION("""COMPUTED_VALUE"""),"70004738")</f>
        <v>70004738</v>
      </c>
      <c r="D9317" s="380" t="s">
        <v>767</v>
      </c>
      <c r="E9317" s="380" t="s">
        <v>786</v>
      </c>
      <c r="F9317" s="380" t="s">
        <v>5661</v>
      </c>
      <c r="G9317" s="380" t="s">
        <v>1267</v>
      </c>
      <c r="H9317" s="380" t="s">
        <v>771</v>
      </c>
      <c r="I9317" s="380" t="s">
        <v>788</v>
      </c>
      <c r="J9317" s="380" t="s">
        <v>773</v>
      </c>
      <c r="K9317" s="381">
        <v>0.0</v>
      </c>
      <c r="L9317" s="382">
        <v>1.0</v>
      </c>
    </row>
    <row r="9318">
      <c r="A9318" s="380" t="s">
        <v>10192</v>
      </c>
      <c r="B9318" s="380" t="str">
        <f>IFERROR(__xludf.DUMMYFUNCTION("""COMPUTED_VALUE"""),"Swich Elevavidrios Der FTR Mo 8983164180")</f>
        <v>Swich Elevavidrios Der FTR Mo 8983164180</v>
      </c>
      <c r="C9318" s="380" t="str">
        <f>IFERROR(__xludf.DUMMYFUNCTION("""COMPUTED_VALUE"""),"70004739")</f>
        <v>70004739</v>
      </c>
      <c r="D9318" s="380" t="s">
        <v>767</v>
      </c>
      <c r="E9318" s="380" t="s">
        <v>786</v>
      </c>
      <c r="F9318" s="380" t="s">
        <v>998</v>
      </c>
      <c r="G9318" s="380" t="s">
        <v>1267</v>
      </c>
      <c r="H9318" s="380" t="s">
        <v>771</v>
      </c>
      <c r="I9318" s="380" t="s">
        <v>788</v>
      </c>
      <c r="J9318" s="380" t="s">
        <v>773</v>
      </c>
      <c r="K9318" s="381">
        <v>0.0</v>
      </c>
      <c r="L9318" s="382">
        <v>1.0</v>
      </c>
    </row>
    <row r="9319">
      <c r="A9319" s="380" t="s">
        <v>10193</v>
      </c>
      <c r="B9319" s="380" t="str">
        <f>IFERROR(__xludf.DUMMYFUNCTION("""COMPUTED_VALUE"""),"Diferencial Tras Jac 1042kn M Bb29616330")</f>
        <v>Diferencial Tras Jac 1042kn M Bb29616330</v>
      </c>
      <c r="C9319" s="380" t="str">
        <f>IFERROR(__xludf.DUMMYFUNCTION("""COMPUTED_VALUE"""),"70004740")</f>
        <v>70004740</v>
      </c>
      <c r="D9319" s="380" t="s">
        <v>767</v>
      </c>
      <c r="E9319" s="380" t="s">
        <v>786</v>
      </c>
      <c r="F9319" s="380" t="s">
        <v>5683</v>
      </c>
      <c r="G9319" s="380" t="s">
        <v>1267</v>
      </c>
      <c r="H9319" s="380" t="s">
        <v>771</v>
      </c>
      <c r="I9319" s="380" t="s">
        <v>788</v>
      </c>
      <c r="J9319" s="380" t="s">
        <v>773</v>
      </c>
      <c r="K9319" s="381">
        <v>0.0</v>
      </c>
      <c r="L9319" s="382">
        <v>1.0</v>
      </c>
    </row>
    <row r="9320">
      <c r="A9320" s="380" t="s">
        <v>10194</v>
      </c>
      <c r="B9320" s="380" t="str">
        <f>IFERROR(__xludf.DUMMYFUNCTION("""COMPUTED_VALUE"""),"Resorte Pedal De EMB Jac Jhr 1602011le0")</f>
        <v>Resorte Pedal De EMB Jac Jhr 1602011le0</v>
      </c>
      <c r="C9320" s="380" t="str">
        <f>IFERROR(__xludf.DUMMYFUNCTION("""COMPUTED_VALUE"""),"70004741")</f>
        <v>70004741</v>
      </c>
      <c r="D9320" s="380" t="s">
        <v>767</v>
      </c>
      <c r="E9320" s="380" t="s">
        <v>786</v>
      </c>
      <c r="F9320" s="380" t="s">
        <v>5661</v>
      </c>
      <c r="G9320" s="380" t="s">
        <v>1267</v>
      </c>
      <c r="H9320" s="380" t="s">
        <v>771</v>
      </c>
      <c r="I9320" s="380" t="s">
        <v>788</v>
      </c>
      <c r="J9320" s="380" t="s">
        <v>773</v>
      </c>
      <c r="K9320" s="381">
        <v>0.0</v>
      </c>
      <c r="L9320" s="382">
        <v>1.0</v>
      </c>
    </row>
    <row r="9321">
      <c r="A9321" s="380" t="s">
        <v>10195</v>
      </c>
      <c r="B9321" s="380" t="str">
        <f>IFERROR(__xludf.DUMMYFUNCTION("""COMPUTED_VALUE"""),"Guaya CTRL Cambios FTR Mod 20 8980413815")</f>
        <v>Guaya CTRL Cambios FTR Mod 20 8980413815</v>
      </c>
      <c r="C9321" s="380" t="str">
        <f>IFERROR(__xludf.DUMMYFUNCTION("""COMPUTED_VALUE"""),"70004742")</f>
        <v>70004742</v>
      </c>
      <c r="D9321" s="380" t="s">
        <v>767</v>
      </c>
      <c r="E9321" s="380" t="s">
        <v>786</v>
      </c>
      <c r="F9321" s="380" t="s">
        <v>928</v>
      </c>
      <c r="G9321" s="380" t="s">
        <v>1267</v>
      </c>
      <c r="H9321" s="380" t="s">
        <v>771</v>
      </c>
      <c r="I9321" s="380" t="s">
        <v>788</v>
      </c>
      <c r="J9321" s="380" t="s">
        <v>773</v>
      </c>
      <c r="K9321" s="381">
        <v>0.0</v>
      </c>
      <c r="L9321" s="382">
        <v>1.0</v>
      </c>
    </row>
    <row r="9322">
      <c r="A9322" s="380" t="s">
        <v>10196</v>
      </c>
      <c r="B9322" s="380" t="str">
        <f>IFERROR(__xludf.DUMMYFUNCTION("""COMPUTED_VALUE"""),"Tubo Retorno INY COMB HY H100 3151742002")</f>
        <v>Tubo Retorno INY COMB HY H100 3151742002</v>
      </c>
      <c r="C9322" s="380" t="str">
        <f>IFERROR(__xludf.DUMMYFUNCTION("""COMPUTED_VALUE"""),"70004743")</f>
        <v>70004743</v>
      </c>
      <c r="D9322" s="380" t="s">
        <v>767</v>
      </c>
      <c r="E9322" s="380" t="s">
        <v>786</v>
      </c>
      <c r="F9322" s="380" t="s">
        <v>787</v>
      </c>
      <c r="G9322" s="380" t="s">
        <v>1267</v>
      </c>
      <c r="H9322" s="380" t="s">
        <v>771</v>
      </c>
      <c r="I9322" s="380" t="s">
        <v>788</v>
      </c>
      <c r="J9322" s="380" t="s">
        <v>773</v>
      </c>
      <c r="K9322" s="381">
        <v>0.0</v>
      </c>
      <c r="L9322" s="382">
        <v>1.0</v>
      </c>
    </row>
    <row r="9323">
      <c r="A9323" s="380" t="s">
        <v>10197</v>
      </c>
      <c r="B9323" s="380" t="str">
        <f>IFERROR(__xludf.DUMMYFUNCTION("""COMPUTED_VALUE"""),"Modulo Cabina Foton 1039 5946305105")</f>
        <v>Modulo Cabina Foton 1039 5946305105</v>
      </c>
      <c r="C9323" s="380" t="str">
        <f>IFERROR(__xludf.DUMMYFUNCTION("""COMPUTED_VALUE"""),"70004744")</f>
        <v>70004744</v>
      </c>
      <c r="D9323" s="380" t="s">
        <v>767</v>
      </c>
      <c r="E9323" s="380" t="s">
        <v>786</v>
      </c>
      <c r="F9323" s="380" t="s">
        <v>998</v>
      </c>
      <c r="G9323" s="380" t="s">
        <v>1267</v>
      </c>
      <c r="H9323" s="380" t="s">
        <v>771</v>
      </c>
      <c r="I9323" s="380" t="s">
        <v>788</v>
      </c>
      <c r="J9323" s="380" t="s">
        <v>773</v>
      </c>
      <c r="K9323" s="381">
        <v>0.0</v>
      </c>
      <c r="L9323" s="382">
        <v>1.0</v>
      </c>
    </row>
    <row r="9324">
      <c r="A9324" s="380" t="s">
        <v>10198</v>
      </c>
      <c r="B9324" s="380" t="str">
        <f>IFERROR(__xludf.DUMMYFUNCTION("""COMPUTED_VALUE"""),"Rodamiento Rueda Del Nissan Urvan 10210n")</f>
        <v>Rodamiento Rueda Del Nissan Urvan 10210n</v>
      </c>
      <c r="C9324" s="380" t="str">
        <f>IFERROR(__xludf.DUMMYFUNCTION("""COMPUTED_VALUE"""),"70004745")</f>
        <v>70004745</v>
      </c>
      <c r="D9324" s="380" t="s">
        <v>767</v>
      </c>
      <c r="E9324" s="380" t="s">
        <v>786</v>
      </c>
      <c r="F9324" s="380" t="s">
        <v>1017</v>
      </c>
      <c r="G9324" s="380" t="s">
        <v>1267</v>
      </c>
      <c r="H9324" s="380" t="s">
        <v>771</v>
      </c>
      <c r="I9324" s="380" t="s">
        <v>788</v>
      </c>
      <c r="J9324" s="380" t="s">
        <v>773</v>
      </c>
      <c r="K9324" s="381">
        <v>0.0</v>
      </c>
      <c r="L9324" s="382">
        <v>1.0</v>
      </c>
    </row>
    <row r="9325">
      <c r="A9325" s="380" t="s">
        <v>10199</v>
      </c>
      <c r="B9325" s="380" t="str">
        <f>IFERROR(__xludf.DUMMYFUNCTION("""COMPUTED_VALUE"""),"BMB Principal Clucth Booster 1023477451")</f>
        <v>BMB Principal Clucth Booster 1023477451</v>
      </c>
      <c r="C9325" s="380" t="str">
        <f>IFERROR(__xludf.DUMMYFUNCTION("""COMPUTED_VALUE"""),"70004746")</f>
        <v>70004746</v>
      </c>
      <c r="D9325" s="380" t="s">
        <v>767</v>
      </c>
      <c r="E9325" s="380" t="s">
        <v>786</v>
      </c>
      <c r="F9325" s="380" t="s">
        <v>5661</v>
      </c>
      <c r="G9325" s="380" t="s">
        <v>1267</v>
      </c>
      <c r="H9325" s="380" t="s">
        <v>771</v>
      </c>
      <c r="I9325" s="380" t="s">
        <v>788</v>
      </c>
      <c r="J9325" s="380" t="s">
        <v>773</v>
      </c>
      <c r="K9325" s="381">
        <v>0.0</v>
      </c>
      <c r="L9325" s="382">
        <v>1.0</v>
      </c>
    </row>
    <row r="9326">
      <c r="A9326" s="380" t="s">
        <v>10200</v>
      </c>
      <c r="B9326" s="380" t="str">
        <f>IFERROR(__xludf.DUMMYFUNCTION("""COMPUTED_VALUE"""),"Portaescobillas Alternador Jac")</f>
        <v>Portaescobillas Alternador Jac</v>
      </c>
      <c r="C9326" s="380" t="str">
        <f>IFERROR(__xludf.DUMMYFUNCTION("""COMPUTED_VALUE"""),"70004747")</f>
        <v>70004747</v>
      </c>
      <c r="D9326" s="380" t="s">
        <v>767</v>
      </c>
      <c r="E9326" s="380" t="s">
        <v>786</v>
      </c>
      <c r="F9326" s="380" t="s">
        <v>998</v>
      </c>
      <c r="G9326" s="380" t="s">
        <v>1267</v>
      </c>
      <c r="H9326" s="380" t="s">
        <v>771</v>
      </c>
      <c r="I9326" s="380" t="s">
        <v>788</v>
      </c>
      <c r="J9326" s="380" t="s">
        <v>773</v>
      </c>
      <c r="K9326" s="381">
        <v>0.0</v>
      </c>
      <c r="L9326" s="382">
        <v>1.0</v>
      </c>
    </row>
    <row r="9327">
      <c r="A9327" s="380" t="s">
        <v>10201</v>
      </c>
      <c r="B9327" s="380" t="str">
        <f>IFERROR(__xludf.DUMMYFUNCTION("""COMPUTED_VALUE"""),"Mini Relay N200 12v")</f>
        <v>Mini Relay N200 12v</v>
      </c>
      <c r="C9327" s="380" t="str">
        <f>IFERROR(__xludf.DUMMYFUNCTION("""COMPUTED_VALUE"""),"70004748")</f>
        <v>70004748</v>
      </c>
      <c r="D9327" s="380" t="s">
        <v>767</v>
      </c>
      <c r="E9327" s="380" t="s">
        <v>786</v>
      </c>
      <c r="F9327" s="380" t="s">
        <v>998</v>
      </c>
      <c r="G9327" s="380" t="s">
        <v>1267</v>
      </c>
      <c r="H9327" s="380" t="s">
        <v>771</v>
      </c>
      <c r="I9327" s="380" t="s">
        <v>788</v>
      </c>
      <c r="J9327" s="380" t="s">
        <v>773</v>
      </c>
      <c r="K9327" s="381">
        <v>0.0</v>
      </c>
      <c r="L9327" s="382">
        <v>1.0</v>
      </c>
    </row>
    <row r="9328">
      <c r="A9328" s="380" t="s">
        <v>10202</v>
      </c>
      <c r="B9328" s="380" t="str">
        <f>IFERROR(__xludf.DUMMYFUNCTION("""COMPUTED_VALUE"""),"Kit Graduacion Freno Der CH N200 62070np")</f>
        <v>Kit Graduacion Freno Der CH N200 62070np</v>
      </c>
      <c r="C9328" s="380" t="str">
        <f>IFERROR(__xludf.DUMMYFUNCTION("""COMPUTED_VALUE"""),"70004749")</f>
        <v>70004749</v>
      </c>
      <c r="D9328" s="380" t="s">
        <v>767</v>
      </c>
      <c r="E9328" s="380" t="s">
        <v>786</v>
      </c>
      <c r="F9328" s="380" t="s">
        <v>1017</v>
      </c>
      <c r="G9328" s="380" t="s">
        <v>1267</v>
      </c>
      <c r="H9328" s="380" t="s">
        <v>771</v>
      </c>
      <c r="I9328" s="380" t="s">
        <v>788</v>
      </c>
      <c r="J9328" s="380" t="s">
        <v>773</v>
      </c>
      <c r="K9328" s="381">
        <v>0.0</v>
      </c>
      <c r="L9328" s="382">
        <v>1.0</v>
      </c>
    </row>
    <row r="9329">
      <c r="A9329" s="380" t="s">
        <v>10203</v>
      </c>
      <c r="B9329" s="380" t="str">
        <f>IFERROR(__xludf.DUMMYFUNCTION("""COMPUTED_VALUE"""),"Switch Panel Encendido KW T800 S64112312")</f>
        <v>Switch Panel Encendido KW T800 S64112312</v>
      </c>
      <c r="C9329" s="380" t="str">
        <f>IFERROR(__xludf.DUMMYFUNCTION("""COMPUTED_VALUE"""),"70004750")</f>
        <v>70004750</v>
      </c>
      <c r="D9329" s="380" t="s">
        <v>767</v>
      </c>
      <c r="E9329" s="380" t="s">
        <v>786</v>
      </c>
      <c r="F9329" s="380" t="s">
        <v>998</v>
      </c>
      <c r="G9329" s="380" t="s">
        <v>1267</v>
      </c>
      <c r="H9329" s="380" t="s">
        <v>771</v>
      </c>
      <c r="I9329" s="380" t="s">
        <v>788</v>
      </c>
      <c r="J9329" s="380" t="s">
        <v>773</v>
      </c>
      <c r="K9329" s="381">
        <v>0.0</v>
      </c>
      <c r="L9329" s="382">
        <v>1.0</v>
      </c>
    </row>
    <row r="9330">
      <c r="A9330" s="380" t="s">
        <v>10204</v>
      </c>
      <c r="B9330" s="380" t="str">
        <f>IFERROR(__xludf.DUMMYFUNCTION("""COMPUTED_VALUE"""),"Luna Espejo Retrovizor Izq Peq 2514728c3")</f>
        <v>Luna Espejo Retrovizor Izq Peq 2514728c3</v>
      </c>
      <c r="C9330" s="380" t="str">
        <f>IFERROR(__xludf.DUMMYFUNCTION("""COMPUTED_VALUE"""),"70004751")</f>
        <v>70004751</v>
      </c>
      <c r="D9330" s="380" t="s">
        <v>767</v>
      </c>
      <c r="E9330" s="380" t="s">
        <v>786</v>
      </c>
      <c r="F9330" s="380" t="s">
        <v>792</v>
      </c>
      <c r="G9330" s="380" t="s">
        <v>1267</v>
      </c>
      <c r="H9330" s="380" t="s">
        <v>771</v>
      </c>
      <c r="I9330" s="380" t="s">
        <v>788</v>
      </c>
      <c r="J9330" s="380" t="s">
        <v>773</v>
      </c>
      <c r="K9330" s="381">
        <v>226269.0</v>
      </c>
      <c r="L9330" s="382">
        <v>1.0</v>
      </c>
    </row>
    <row r="9331">
      <c r="A9331" s="380" t="s">
        <v>10205</v>
      </c>
      <c r="B9331" s="380" t="str">
        <f>IFERROR(__xludf.DUMMYFUNCTION("""COMPUTED_VALUE"""),"Luna Espejo Retrovizor Izq Gra 2514725c3")</f>
        <v>Luna Espejo Retrovizor Izq Gra 2514725c3</v>
      </c>
      <c r="C9331" s="380" t="str">
        <f>IFERROR(__xludf.DUMMYFUNCTION("""COMPUTED_VALUE"""),"70004752")</f>
        <v>70004752</v>
      </c>
      <c r="D9331" s="380" t="s">
        <v>767</v>
      </c>
      <c r="E9331" s="380" t="s">
        <v>786</v>
      </c>
      <c r="F9331" s="380" t="s">
        <v>792</v>
      </c>
      <c r="G9331" s="380" t="s">
        <v>1267</v>
      </c>
      <c r="H9331" s="380" t="s">
        <v>771</v>
      </c>
      <c r="I9331" s="380" t="s">
        <v>788</v>
      </c>
      <c r="J9331" s="380" t="s">
        <v>773</v>
      </c>
      <c r="K9331" s="381">
        <v>0.0</v>
      </c>
      <c r="L9331" s="382">
        <v>1.0</v>
      </c>
    </row>
    <row r="9332">
      <c r="A9332" s="380" t="s">
        <v>10206</v>
      </c>
      <c r="B9332" s="380" t="str">
        <f>IFERROR(__xludf.DUMMYFUNCTION("""COMPUTED_VALUE"""),"Eje Bomba De Engranaje Isx Eagle 3801002")</f>
        <v>Eje Bomba De Engranaje Isx Eagle 3801002</v>
      </c>
      <c r="C9332" s="380" t="str">
        <f>IFERROR(__xludf.DUMMYFUNCTION("""COMPUTED_VALUE"""),"70004753")</f>
        <v>70004753</v>
      </c>
      <c r="D9332" s="380" t="s">
        <v>767</v>
      </c>
      <c r="E9332" s="380" t="s">
        <v>786</v>
      </c>
      <c r="F9332" s="380" t="s">
        <v>787</v>
      </c>
      <c r="G9332" s="380" t="s">
        <v>1267</v>
      </c>
      <c r="H9332" s="380" t="s">
        <v>771</v>
      </c>
      <c r="I9332" s="380" t="s">
        <v>788</v>
      </c>
      <c r="J9332" s="380" t="s">
        <v>773</v>
      </c>
      <c r="K9332" s="381">
        <v>0.0</v>
      </c>
      <c r="L9332" s="382">
        <v>1.0</v>
      </c>
    </row>
    <row r="9333">
      <c r="A9333" s="380" t="s">
        <v>10207</v>
      </c>
      <c r="B9333" s="380" t="str">
        <f>IFERROR(__xludf.DUMMYFUNCTION("""COMPUTED_VALUE"""),"EMP BMB De Engranaje Isx EGL 287 4954472")</f>
        <v>EMP BMB De Engranaje Isx EGL 287 4954472</v>
      </c>
      <c r="C9333" s="380" t="str">
        <f>IFERROR(__xludf.DUMMYFUNCTION("""COMPUTED_VALUE"""),"70004754")</f>
        <v>70004754</v>
      </c>
      <c r="D9333" s="380" t="s">
        <v>767</v>
      </c>
      <c r="E9333" s="380" t="s">
        <v>786</v>
      </c>
      <c r="F9333" s="380" t="s">
        <v>787</v>
      </c>
      <c r="G9333" s="380" t="s">
        <v>1267</v>
      </c>
      <c r="H9333" s="380" t="s">
        <v>771</v>
      </c>
      <c r="I9333" s="380" t="s">
        <v>788</v>
      </c>
      <c r="J9333" s="380" t="s">
        <v>773</v>
      </c>
      <c r="K9333" s="381">
        <v>0.0</v>
      </c>
      <c r="L9333" s="382">
        <v>1.0</v>
      </c>
    </row>
    <row r="9334">
      <c r="A9334" s="380" t="s">
        <v>10208</v>
      </c>
      <c r="B9334" s="380" t="str">
        <f>IFERROR(__xludf.DUMMYFUNCTION("""COMPUTED_VALUE"""),"Cruceta Cardan Pequeña FT BJ1 5946806473")</f>
        <v>Cruceta Cardan Pequeña FT BJ1 5946806473</v>
      </c>
      <c r="C9334" s="380" t="str">
        <f>IFERROR(__xludf.DUMMYFUNCTION("""COMPUTED_VALUE"""),"70004755")</f>
        <v>70004755</v>
      </c>
      <c r="D9334" s="380" t="s">
        <v>767</v>
      </c>
      <c r="E9334" s="380" t="s">
        <v>786</v>
      </c>
      <c r="F9334" s="380" t="s">
        <v>5683</v>
      </c>
      <c r="G9334" s="380" t="s">
        <v>1267</v>
      </c>
      <c r="H9334" s="380" t="s">
        <v>771</v>
      </c>
      <c r="I9334" s="380" t="s">
        <v>788</v>
      </c>
      <c r="J9334" s="380" t="s">
        <v>773</v>
      </c>
      <c r="K9334" s="381">
        <v>0.0</v>
      </c>
      <c r="L9334" s="382">
        <v>1.0</v>
      </c>
    </row>
    <row r="9335">
      <c r="A9335" s="380" t="s">
        <v>10209</v>
      </c>
      <c r="B9335" s="380" t="str">
        <f>IFERROR(__xludf.DUMMYFUNCTION("""COMPUTED_VALUE"""),"Timon Direc Fotn MV5 5946328241")</f>
        <v>Timon Direc Fotn MV5 5946328241</v>
      </c>
      <c r="C9335" s="380" t="str">
        <f>IFERROR(__xludf.DUMMYFUNCTION("""COMPUTED_VALUE"""),"70004756")</f>
        <v>70004756</v>
      </c>
      <c r="D9335" s="380" t="s">
        <v>767</v>
      </c>
      <c r="E9335" s="380" t="s">
        <v>786</v>
      </c>
      <c r="F9335" s="380" t="s">
        <v>1020</v>
      </c>
      <c r="G9335" s="380" t="s">
        <v>1267</v>
      </c>
      <c r="H9335" s="380" t="s">
        <v>771</v>
      </c>
      <c r="I9335" s="380" t="s">
        <v>788</v>
      </c>
      <c r="J9335" s="380" t="s">
        <v>773</v>
      </c>
      <c r="K9335" s="381">
        <v>0.0</v>
      </c>
      <c r="L9335" s="382">
        <v>1.0</v>
      </c>
    </row>
    <row r="9336">
      <c r="A9336" s="380" t="s">
        <v>10210</v>
      </c>
      <c r="B9336" s="380" t="str">
        <f>IFERROR(__xludf.DUMMYFUNCTION("""COMPUTED_VALUE"""),"Terminal Direc Foton MV5 5946758314")</f>
        <v>Terminal Direc Foton MV5 5946758314</v>
      </c>
      <c r="C9336" s="380" t="str">
        <f>IFERROR(__xludf.DUMMYFUNCTION("""COMPUTED_VALUE"""),"70004757")</f>
        <v>70004757</v>
      </c>
      <c r="D9336" s="380" t="s">
        <v>767</v>
      </c>
      <c r="E9336" s="380" t="s">
        <v>786</v>
      </c>
      <c r="F9336" s="380" t="s">
        <v>1020</v>
      </c>
      <c r="G9336" s="380" t="s">
        <v>1267</v>
      </c>
      <c r="H9336" s="380" t="s">
        <v>771</v>
      </c>
      <c r="I9336" s="380" t="s">
        <v>788</v>
      </c>
      <c r="J9336" s="380" t="s">
        <v>773</v>
      </c>
      <c r="K9336" s="381">
        <v>0.0</v>
      </c>
      <c r="L9336" s="382">
        <v>1.0</v>
      </c>
    </row>
    <row r="9337">
      <c r="A9337" s="380" t="s">
        <v>10211</v>
      </c>
      <c r="B9337" s="380" t="str">
        <f>IFERROR(__xludf.DUMMYFUNCTION("""COMPUTED_VALUE"""),"CIL Freno Del Izq Sin Purga H 47540ev040")</f>
        <v>CIL Freno Del Izq Sin Purga H 47540ev040</v>
      </c>
      <c r="C9337" s="380" t="str">
        <f>IFERROR(__xludf.DUMMYFUNCTION("""COMPUTED_VALUE"""),"70004758")</f>
        <v>70004758</v>
      </c>
      <c r="D9337" s="380" t="s">
        <v>767</v>
      </c>
      <c r="E9337" s="380" t="s">
        <v>786</v>
      </c>
      <c r="F9337" s="380" t="s">
        <v>1017</v>
      </c>
      <c r="G9337" s="380" t="s">
        <v>1267</v>
      </c>
      <c r="H9337" s="380" t="s">
        <v>771</v>
      </c>
      <c r="I9337" s="380" t="s">
        <v>788</v>
      </c>
      <c r="J9337" s="380" t="s">
        <v>773</v>
      </c>
      <c r="K9337" s="381">
        <v>0.0</v>
      </c>
      <c r="L9337" s="382">
        <v>1.0</v>
      </c>
    </row>
    <row r="9338">
      <c r="A9338" s="380" t="s">
        <v>10212</v>
      </c>
      <c r="B9338" s="380" t="str">
        <f>IFERROR(__xludf.DUMMYFUNCTION("""COMPUTED_VALUE"""),"MANG Salida FILT AIR FT MV5 5946027977")</f>
        <v>MANG Salida FILT AIR FT MV5 5946027977</v>
      </c>
      <c r="C9338" s="380" t="str">
        <f>IFERROR(__xludf.DUMMYFUNCTION("""COMPUTED_VALUE"""),"70004759")</f>
        <v>70004759</v>
      </c>
      <c r="D9338" s="380" t="s">
        <v>767</v>
      </c>
      <c r="E9338" s="380" t="s">
        <v>786</v>
      </c>
      <c r="F9338" s="380" t="s">
        <v>787</v>
      </c>
      <c r="G9338" s="380" t="s">
        <v>1267</v>
      </c>
      <c r="H9338" s="380" t="s">
        <v>771</v>
      </c>
      <c r="I9338" s="380" t="s">
        <v>788</v>
      </c>
      <c r="J9338" s="380" t="s">
        <v>773</v>
      </c>
      <c r="K9338" s="381">
        <v>0.0</v>
      </c>
      <c r="L9338" s="382">
        <v>1.0</v>
      </c>
    </row>
    <row r="9339">
      <c r="A9339" s="380" t="s">
        <v>10213</v>
      </c>
      <c r="B9339" s="380" t="str">
        <f>IFERROR(__xludf.DUMMYFUNCTION("""COMPUTED_VALUE"""),"Carcasa CJ FILT AIR FT MV5 5946027960")</f>
        <v>Carcasa CJ FILT AIR FT MV5 5946027960</v>
      </c>
      <c r="C9339" s="380" t="str">
        <f>IFERROR(__xludf.DUMMYFUNCTION("""COMPUTED_VALUE"""),"70004760")</f>
        <v>70004760</v>
      </c>
      <c r="D9339" s="380" t="s">
        <v>767</v>
      </c>
      <c r="E9339" s="380" t="s">
        <v>786</v>
      </c>
      <c r="F9339" s="380" t="s">
        <v>787</v>
      </c>
      <c r="G9339" s="380" t="s">
        <v>1267</v>
      </c>
      <c r="H9339" s="380" t="s">
        <v>771</v>
      </c>
      <c r="I9339" s="380" t="s">
        <v>788</v>
      </c>
      <c r="J9339" s="380" t="s">
        <v>773</v>
      </c>
      <c r="K9339" s="381">
        <v>0.0</v>
      </c>
      <c r="L9339" s="382">
        <v>1.0</v>
      </c>
    </row>
    <row r="9340">
      <c r="A9340" s="380" t="s">
        <v>10214</v>
      </c>
      <c r="B9340" s="380" t="str">
        <f>IFERROR(__xludf.DUMMYFUNCTION("""COMPUTED_VALUE"""),"SOP Caucho Inf RAD KWModelo 2011 M17412")</f>
        <v>SOP Caucho Inf RAD KWModelo 2011 M17412</v>
      </c>
      <c r="C9340" s="380" t="str">
        <f>IFERROR(__xludf.DUMMYFUNCTION("""COMPUTED_VALUE"""),"70004761")</f>
        <v>70004761</v>
      </c>
      <c r="D9340" s="380" t="s">
        <v>767</v>
      </c>
      <c r="E9340" s="380" t="s">
        <v>786</v>
      </c>
      <c r="F9340" s="380" t="s">
        <v>787</v>
      </c>
      <c r="G9340" s="380" t="s">
        <v>1267</v>
      </c>
      <c r="H9340" s="380" t="s">
        <v>771</v>
      </c>
      <c r="I9340" s="380" t="s">
        <v>788</v>
      </c>
      <c r="J9340" s="380" t="s">
        <v>773</v>
      </c>
      <c r="K9340" s="381">
        <v>0.0</v>
      </c>
      <c r="L9340" s="382">
        <v>1.0</v>
      </c>
    </row>
    <row r="9341">
      <c r="A9341" s="380" t="s">
        <v>10215</v>
      </c>
      <c r="B9341" s="380" t="str">
        <f>IFERROR(__xludf.DUMMYFUNCTION("""COMPUTED_VALUE"""),"Manija Externa PTA Izq Prostar 2594003c1")</f>
        <v>Manija Externa PTA Izq Prostar 2594003c1</v>
      </c>
      <c r="C9341" s="380" t="str">
        <f>IFERROR(__xludf.DUMMYFUNCTION("""COMPUTED_VALUE"""),"70004762")</f>
        <v>70004762</v>
      </c>
      <c r="D9341" s="380" t="s">
        <v>767</v>
      </c>
      <c r="E9341" s="380" t="s">
        <v>786</v>
      </c>
      <c r="F9341" s="380" t="s">
        <v>792</v>
      </c>
      <c r="G9341" s="380" t="s">
        <v>1267</v>
      </c>
      <c r="H9341" s="380" t="s">
        <v>771</v>
      </c>
      <c r="I9341" s="380" t="s">
        <v>788</v>
      </c>
      <c r="J9341" s="380" t="s">
        <v>773</v>
      </c>
      <c r="K9341" s="381">
        <v>0.0</v>
      </c>
      <c r="L9341" s="382">
        <v>1.0</v>
      </c>
    </row>
    <row r="9342">
      <c r="A9342" s="380" t="s">
        <v>10216</v>
      </c>
      <c r="B9342" s="380" t="str">
        <f>IFERROR(__xludf.DUMMYFUNCTION("""COMPUTED_VALUE"""),"RET INTno RDA Tras HN 500 700006004")</f>
        <v>RET INTno RDA Tras HN 500 700006004</v>
      </c>
      <c r="C9342" s="380" t="str">
        <f>IFERROR(__xludf.DUMMYFUNCTION("""COMPUTED_VALUE"""),"70004763")</f>
        <v>70004763</v>
      </c>
      <c r="D9342" s="380" t="s">
        <v>767</v>
      </c>
      <c r="E9342" s="380" t="s">
        <v>786</v>
      </c>
      <c r="F9342" s="380" t="s">
        <v>5683</v>
      </c>
      <c r="G9342" s="380" t="s">
        <v>1267</v>
      </c>
      <c r="H9342" s="380" t="s">
        <v>771</v>
      </c>
      <c r="I9342" s="380" t="s">
        <v>788</v>
      </c>
      <c r="J9342" s="380" t="s">
        <v>773</v>
      </c>
      <c r="K9342" s="381">
        <v>0.0</v>
      </c>
      <c r="L9342" s="382">
        <v>1.0</v>
      </c>
    </row>
    <row r="9343">
      <c r="A9343" s="380" t="s">
        <v>10217</v>
      </c>
      <c r="B9343" s="380" t="str">
        <f>IFERROR(__xludf.DUMMYFUNCTION("""COMPUTED_VALUE"""),"Alternador Montacarga 70a")</f>
        <v>Alternador Montacarga 70a</v>
      </c>
      <c r="C9343" s="380" t="str">
        <f>IFERROR(__xludf.DUMMYFUNCTION("""COMPUTED_VALUE"""),"70004764")</f>
        <v>70004764</v>
      </c>
      <c r="D9343" s="380" t="s">
        <v>767</v>
      </c>
      <c r="E9343" s="380" t="s">
        <v>786</v>
      </c>
      <c r="F9343" s="380" t="s">
        <v>998</v>
      </c>
      <c r="G9343" s="380" t="s">
        <v>1267</v>
      </c>
      <c r="H9343" s="380" t="s">
        <v>771</v>
      </c>
      <c r="I9343" s="380" t="s">
        <v>788</v>
      </c>
      <c r="J9343" s="380" t="s">
        <v>773</v>
      </c>
      <c r="K9343" s="381">
        <v>0.0</v>
      </c>
      <c r="L9343" s="382">
        <v>1.0</v>
      </c>
    </row>
    <row r="9344">
      <c r="A9344" s="380" t="s">
        <v>10218</v>
      </c>
      <c r="B9344" s="380" t="str">
        <f>IFERROR(__xludf.DUMMYFUNCTION("""COMPUTED_VALUE"""),"VALV Selenoide INY Cummins Sb 4024808")</f>
        <v>VALV Selenoide INY Cummins Sb 4024808</v>
      </c>
      <c r="C9344" s="380" t="str">
        <f>IFERROR(__xludf.DUMMYFUNCTION("""COMPUTED_VALUE"""),"70004765")</f>
        <v>70004765</v>
      </c>
      <c r="D9344" s="380" t="s">
        <v>767</v>
      </c>
      <c r="E9344" s="380" t="s">
        <v>786</v>
      </c>
      <c r="F9344" s="380" t="s">
        <v>998</v>
      </c>
      <c r="G9344" s="380" t="s">
        <v>1267</v>
      </c>
      <c r="H9344" s="380" t="s">
        <v>771</v>
      </c>
      <c r="I9344" s="380" t="s">
        <v>788</v>
      </c>
      <c r="J9344" s="380" t="s">
        <v>773</v>
      </c>
      <c r="K9344" s="381">
        <v>155118.0</v>
      </c>
      <c r="L9344" s="382">
        <v>1.0</v>
      </c>
    </row>
    <row r="9345">
      <c r="A9345" s="380" t="s">
        <v>10219</v>
      </c>
      <c r="B9345" s="380" t="str">
        <f>IFERROR(__xludf.DUMMYFUNCTION("""COMPUTED_VALUE"""),"Buje Biela HY H100 Porter Pb-1802jsf")</f>
        <v>Buje Biela HY H100 Porter Pb-1802jsf</v>
      </c>
      <c r="C9345" s="380" t="str">
        <f>IFERROR(__xludf.DUMMYFUNCTION("""COMPUTED_VALUE"""),"70004766")</f>
        <v>70004766</v>
      </c>
      <c r="D9345" s="380" t="s">
        <v>767</v>
      </c>
      <c r="E9345" s="380" t="s">
        <v>786</v>
      </c>
      <c r="F9345" s="380" t="s">
        <v>787</v>
      </c>
      <c r="G9345" s="380" t="s">
        <v>1267</v>
      </c>
      <c r="H9345" s="380" t="s">
        <v>771</v>
      </c>
      <c r="I9345" s="380" t="s">
        <v>788</v>
      </c>
      <c r="J9345" s="380" t="s">
        <v>773</v>
      </c>
      <c r="K9345" s="381">
        <v>0.0</v>
      </c>
      <c r="L9345" s="382">
        <v>1.0</v>
      </c>
    </row>
    <row r="9346">
      <c r="A9346" s="380" t="s">
        <v>10220</v>
      </c>
      <c r="B9346" s="380" t="str">
        <f>IFERROR(__xludf.DUMMYFUNCTION("""COMPUTED_VALUE"""),"VALV De Doble Retencion Dc4 Bend 5019291")</f>
        <v>VALV De Doble Retencion Dc4 Bend 5019291</v>
      </c>
      <c r="C9346" s="380" t="str">
        <f>IFERROR(__xludf.DUMMYFUNCTION("""COMPUTED_VALUE"""),"70004767")</f>
        <v>70004767</v>
      </c>
      <c r="D9346" s="380" t="s">
        <v>767</v>
      </c>
      <c r="E9346" s="380" t="s">
        <v>786</v>
      </c>
      <c r="F9346" s="380" t="s">
        <v>1017</v>
      </c>
      <c r="G9346" s="380" t="s">
        <v>1267</v>
      </c>
      <c r="H9346" s="380" t="s">
        <v>771</v>
      </c>
      <c r="I9346" s="380" t="s">
        <v>788</v>
      </c>
      <c r="J9346" s="380" t="s">
        <v>773</v>
      </c>
      <c r="K9346" s="381">
        <v>94010.0</v>
      </c>
      <c r="L9346" s="382">
        <v>1.0</v>
      </c>
    </row>
    <row r="9347">
      <c r="A9347" s="380" t="s">
        <v>10221</v>
      </c>
      <c r="B9347" s="380" t="str">
        <f>IFERROR(__xludf.DUMMYFUNCTION("""COMPUTED_VALUE"""),"Camara De Freno Tras Der Jac Bq01290460")</f>
        <v>Camara De Freno Tras Der Jac Bq01290460</v>
      </c>
      <c r="C9347" s="380" t="str">
        <f>IFERROR(__xludf.DUMMYFUNCTION("""COMPUTED_VALUE"""),"70004768")</f>
        <v>70004768</v>
      </c>
      <c r="D9347" s="380" t="s">
        <v>767</v>
      </c>
      <c r="E9347" s="380" t="s">
        <v>786</v>
      </c>
      <c r="F9347" s="380" t="s">
        <v>1017</v>
      </c>
      <c r="G9347" s="380" t="s">
        <v>1267</v>
      </c>
      <c r="H9347" s="380" t="s">
        <v>771</v>
      </c>
      <c r="I9347" s="380" t="s">
        <v>788</v>
      </c>
      <c r="J9347" s="380" t="s">
        <v>773</v>
      </c>
      <c r="K9347" s="381">
        <v>0.0</v>
      </c>
      <c r="L9347" s="382">
        <v>1.0</v>
      </c>
    </row>
    <row r="9348">
      <c r="A9348" s="380" t="s">
        <v>10222</v>
      </c>
      <c r="B9348" s="380" t="str">
        <f>IFERROR(__xludf.DUMMYFUNCTION("""COMPUTED_VALUE"""),"SENS Presion Egr Isf38e4 FT 1 1023494519")</f>
        <v>SENS Presion Egr Isf38e4 FT 1 1023494519</v>
      </c>
      <c r="C9348" s="380" t="str">
        <f>IFERROR(__xludf.DUMMYFUNCTION("""COMPUTED_VALUE"""),"70004769")</f>
        <v>70004769</v>
      </c>
      <c r="D9348" s="380" t="s">
        <v>767</v>
      </c>
      <c r="E9348" s="380" t="s">
        <v>786</v>
      </c>
      <c r="F9348" s="380" t="s">
        <v>998</v>
      </c>
      <c r="G9348" s="380" t="s">
        <v>1267</v>
      </c>
      <c r="H9348" s="380" t="s">
        <v>771</v>
      </c>
      <c r="I9348" s="380" t="s">
        <v>788</v>
      </c>
      <c r="J9348" s="380" t="s">
        <v>773</v>
      </c>
      <c r="K9348" s="381">
        <v>0.0</v>
      </c>
      <c r="L9348" s="382">
        <v>1.0</v>
      </c>
    </row>
    <row r="9349">
      <c r="A9349" s="380" t="s">
        <v>10223</v>
      </c>
      <c r="B9349" s="380" t="str">
        <f>IFERROR(__xludf.DUMMYFUNCTION("""COMPUTED_VALUE"""),"Kit Arandelas Tubo Retorno 4hk1t X4 Frr")</f>
        <v>Kit Arandelas Tubo Retorno 4hk1t X4 Frr</v>
      </c>
      <c r="C9349" s="380" t="str">
        <f>IFERROR(__xludf.DUMMYFUNCTION("""COMPUTED_VALUE"""),"70004770")</f>
        <v>70004770</v>
      </c>
      <c r="D9349" s="380" t="s">
        <v>767</v>
      </c>
      <c r="E9349" s="380" t="s">
        <v>786</v>
      </c>
      <c r="F9349" s="380" t="s">
        <v>787</v>
      </c>
      <c r="G9349" s="380" t="s">
        <v>1267</v>
      </c>
      <c r="H9349" s="380" t="s">
        <v>771</v>
      </c>
      <c r="I9349" s="380" t="s">
        <v>788</v>
      </c>
      <c r="J9349" s="380" t="s">
        <v>773</v>
      </c>
      <c r="K9349" s="381">
        <v>0.0</v>
      </c>
      <c r="L9349" s="382">
        <v>1.0</v>
      </c>
    </row>
    <row r="9350">
      <c r="A9350" s="380" t="s">
        <v>10224</v>
      </c>
      <c r="B9350" s="380" t="str">
        <f>IFERROR(__xludf.DUMMYFUNCTION("""COMPUTED_VALUE"""),"Oring Cuerpo Inyector 4hk1t X4 Frr 89417")</f>
        <v>Oring Cuerpo Inyector 4hk1t X4 Frr 89417</v>
      </c>
      <c r="C9350" s="380" t="str">
        <f>IFERROR(__xludf.DUMMYFUNCTION("""COMPUTED_VALUE"""),"70004771")</f>
        <v>70004771</v>
      </c>
      <c r="D9350" s="380" t="s">
        <v>767</v>
      </c>
      <c r="E9350" s="380" t="s">
        <v>786</v>
      </c>
      <c r="F9350" s="380" t="s">
        <v>787</v>
      </c>
      <c r="G9350" s="380" t="s">
        <v>1267</v>
      </c>
      <c r="H9350" s="380" t="s">
        <v>771</v>
      </c>
      <c r="I9350" s="380" t="s">
        <v>788</v>
      </c>
      <c r="J9350" s="380" t="s">
        <v>773</v>
      </c>
      <c r="K9350" s="381">
        <v>0.0</v>
      </c>
      <c r="L9350" s="382">
        <v>1.0</v>
      </c>
    </row>
    <row r="9351">
      <c r="A9351" s="380" t="s">
        <v>10225</v>
      </c>
      <c r="B9351" s="380" t="str">
        <f>IFERROR(__xludf.DUMMYFUNCTION("""COMPUTED_VALUE"""),"Lampara Lateral Amarilla CAB Prostar 388")</f>
        <v>Lampara Lateral Amarilla CAB Prostar 388</v>
      </c>
      <c r="C9351" s="380" t="str">
        <f>IFERROR(__xludf.DUMMYFUNCTION("""COMPUTED_VALUE"""),"70004772")</f>
        <v>70004772</v>
      </c>
      <c r="D9351" s="380" t="s">
        <v>767</v>
      </c>
      <c r="E9351" s="380" t="s">
        <v>786</v>
      </c>
      <c r="F9351" s="380" t="s">
        <v>998</v>
      </c>
      <c r="G9351" s="380" t="s">
        <v>1267</v>
      </c>
      <c r="H9351" s="380" t="s">
        <v>771</v>
      </c>
      <c r="I9351" s="380" t="s">
        <v>788</v>
      </c>
      <c r="J9351" s="380" t="s">
        <v>773</v>
      </c>
      <c r="K9351" s="381">
        <v>237315.0</v>
      </c>
      <c r="L9351" s="382">
        <v>1.0</v>
      </c>
    </row>
    <row r="9352">
      <c r="A9352" s="380" t="s">
        <v>10226</v>
      </c>
      <c r="B9352" s="380" t="str">
        <f>IFERROR(__xludf.DUMMYFUNCTION("""COMPUTED_VALUE"""),"Oring ENT COMB Inyector 4hk1t Frr 956901")</f>
        <v>Oring ENT COMB Inyector 4hk1t Frr 956901</v>
      </c>
      <c r="C9352" s="380" t="str">
        <f>IFERROR(__xludf.DUMMYFUNCTION("""COMPUTED_VALUE"""),"70004773")</f>
        <v>70004773</v>
      </c>
      <c r="D9352" s="380" t="s">
        <v>767</v>
      </c>
      <c r="E9352" s="380" t="s">
        <v>786</v>
      </c>
      <c r="F9352" s="380" t="s">
        <v>787</v>
      </c>
      <c r="G9352" s="380" t="s">
        <v>1267</v>
      </c>
      <c r="H9352" s="380" t="s">
        <v>771</v>
      </c>
      <c r="I9352" s="380" t="s">
        <v>788</v>
      </c>
      <c r="J9352" s="380" t="s">
        <v>773</v>
      </c>
      <c r="K9352" s="381">
        <v>0.0</v>
      </c>
      <c r="L9352" s="382">
        <v>1.0</v>
      </c>
    </row>
    <row r="9353">
      <c r="A9353" s="380" t="s">
        <v>10227</v>
      </c>
      <c r="B9353" s="380" t="str">
        <f>IFERROR(__xludf.DUMMYFUNCTION("""COMPUTED_VALUE"""),"TANQ Vacio Freno FT Bj1039 7701023164092")</f>
        <v>TANQ Vacio Freno FT Bj1039 7701023164092</v>
      </c>
      <c r="C9353" s="380" t="str">
        <f>IFERROR(__xludf.DUMMYFUNCTION("""COMPUTED_VALUE"""),"70004774")</f>
        <v>70004774</v>
      </c>
      <c r="D9353" s="380" t="s">
        <v>767</v>
      </c>
      <c r="E9353" s="380" t="s">
        <v>786</v>
      </c>
      <c r="F9353" s="380" t="s">
        <v>1017</v>
      </c>
      <c r="G9353" s="380" t="s">
        <v>1267</v>
      </c>
      <c r="H9353" s="380" t="s">
        <v>771</v>
      </c>
      <c r="I9353" s="380" t="s">
        <v>788</v>
      </c>
      <c r="J9353" s="380" t="s">
        <v>773</v>
      </c>
      <c r="K9353" s="381">
        <v>0.0</v>
      </c>
      <c r="L9353" s="382">
        <v>1.0</v>
      </c>
    </row>
    <row r="9354">
      <c r="A9354" s="380" t="s">
        <v>10228</v>
      </c>
      <c r="B9354" s="380" t="str">
        <f>IFERROR(__xludf.DUMMYFUNCTION("""COMPUTED_VALUE"""),"Tubo Boquilla Inj Frr 8980184620")</f>
        <v>Tubo Boquilla Inj Frr 8980184620</v>
      </c>
      <c r="C9354" s="380" t="str">
        <f>IFERROR(__xludf.DUMMYFUNCTION("""COMPUTED_VALUE"""),"70004775")</f>
        <v>70004775</v>
      </c>
      <c r="D9354" s="380" t="s">
        <v>767</v>
      </c>
      <c r="E9354" s="380" t="s">
        <v>786</v>
      </c>
      <c r="F9354" s="380" t="s">
        <v>787</v>
      </c>
      <c r="G9354" s="380" t="s">
        <v>1267</v>
      </c>
      <c r="H9354" s="380" t="s">
        <v>771</v>
      </c>
      <c r="I9354" s="380" t="s">
        <v>788</v>
      </c>
      <c r="J9354" s="380" t="s">
        <v>773</v>
      </c>
      <c r="K9354" s="381">
        <v>0.0</v>
      </c>
      <c r="L9354" s="382">
        <v>1.0</v>
      </c>
    </row>
    <row r="9355">
      <c r="A9355" s="380" t="s">
        <v>10229</v>
      </c>
      <c r="B9355" s="380" t="str">
        <f>IFERROR(__xludf.DUMMYFUNCTION("""COMPUTED_VALUE"""),"Filtro Sensor Def Ssi 2518086c1")</f>
        <v>Filtro Sensor Def Ssi 2518086c1</v>
      </c>
      <c r="C9355" s="380" t="str">
        <f>IFERROR(__xludf.DUMMYFUNCTION("""COMPUTED_VALUE"""),"70004776")</f>
        <v>70004776</v>
      </c>
      <c r="D9355" s="380" t="s">
        <v>767</v>
      </c>
      <c r="E9355" s="380" t="s">
        <v>786</v>
      </c>
      <c r="F9355" s="380" t="s">
        <v>5855</v>
      </c>
      <c r="G9355" s="380" t="s">
        <v>1267</v>
      </c>
      <c r="H9355" s="380" t="s">
        <v>771</v>
      </c>
      <c r="I9355" s="380" t="s">
        <v>788</v>
      </c>
      <c r="J9355" s="380" t="s">
        <v>773</v>
      </c>
      <c r="K9355" s="381">
        <v>322828.0</v>
      </c>
      <c r="L9355" s="382">
        <v>1.0</v>
      </c>
    </row>
    <row r="9356">
      <c r="A9356" s="380" t="s">
        <v>10230</v>
      </c>
      <c r="B9356" s="380" t="str">
        <f>IFERROR(__xludf.DUMMYFUNCTION("""COMPUTED_VALUE"""),"Empaque Enfriador Egr Frr 8982007530")</f>
        <v>Empaque Enfriador Egr Frr 8982007530</v>
      </c>
      <c r="C9356" s="380" t="str">
        <f>IFERROR(__xludf.DUMMYFUNCTION("""COMPUTED_VALUE"""),"70004777")</f>
        <v>70004777</v>
      </c>
      <c r="D9356" s="380" t="s">
        <v>767</v>
      </c>
      <c r="E9356" s="380" t="s">
        <v>786</v>
      </c>
      <c r="F9356" s="380" t="s">
        <v>787</v>
      </c>
      <c r="G9356" s="380" t="s">
        <v>1267</v>
      </c>
      <c r="H9356" s="380" t="s">
        <v>771</v>
      </c>
      <c r="I9356" s="380" t="s">
        <v>788</v>
      </c>
      <c r="J9356" s="380" t="s">
        <v>773</v>
      </c>
      <c r="K9356" s="381">
        <v>0.0</v>
      </c>
      <c r="L9356" s="382">
        <v>1.0</v>
      </c>
    </row>
    <row r="9357">
      <c r="A9357" s="380" t="s">
        <v>10231</v>
      </c>
      <c r="B9357" s="380" t="str">
        <f>IFERROR(__xludf.DUMMYFUNCTION("""COMPUTED_VALUE"""),"Oring Camisilla Interior Culata Frr 8976")</f>
        <v>Oring Camisilla Interior Culata Frr 8976</v>
      </c>
      <c r="C9357" s="380" t="str">
        <f>IFERROR(__xludf.DUMMYFUNCTION("""COMPUTED_VALUE"""),"70004778")</f>
        <v>70004778</v>
      </c>
      <c r="D9357" s="380" t="s">
        <v>767</v>
      </c>
      <c r="E9357" s="380" t="s">
        <v>786</v>
      </c>
      <c r="F9357" s="380" t="s">
        <v>787</v>
      </c>
      <c r="G9357" s="380" t="s">
        <v>1267</v>
      </c>
      <c r="H9357" s="380" t="s">
        <v>771</v>
      </c>
      <c r="I9357" s="380" t="s">
        <v>788</v>
      </c>
      <c r="J9357" s="380" t="s">
        <v>773</v>
      </c>
      <c r="K9357" s="381">
        <v>0.0</v>
      </c>
      <c r="L9357" s="382">
        <v>1.0</v>
      </c>
    </row>
    <row r="9358">
      <c r="A9358" s="380" t="s">
        <v>10232</v>
      </c>
      <c r="B9358" s="380" t="str">
        <f>IFERROR(__xludf.DUMMYFUNCTION("""COMPUTED_VALUE"""),"Condensador Y VENT A/C Fot 1128 77059467")</f>
        <v>Condensador Y VENT A/C Fot 1128 77059467</v>
      </c>
      <c r="C9358" s="380" t="str">
        <f>IFERROR(__xludf.DUMMYFUNCTION("""COMPUTED_VALUE"""),"70004779")</f>
        <v>70004779</v>
      </c>
      <c r="D9358" s="380" t="s">
        <v>767</v>
      </c>
      <c r="E9358" s="380" t="s">
        <v>786</v>
      </c>
      <c r="F9358" s="380" t="s">
        <v>1031</v>
      </c>
      <c r="G9358" s="380" t="s">
        <v>1267</v>
      </c>
      <c r="H9358" s="380" t="s">
        <v>771</v>
      </c>
      <c r="I9358" s="380" t="s">
        <v>788</v>
      </c>
      <c r="J9358" s="380" t="s">
        <v>773</v>
      </c>
      <c r="K9358" s="381">
        <v>0.0</v>
      </c>
      <c r="L9358" s="382">
        <v>1.0</v>
      </c>
    </row>
    <row r="9359">
      <c r="A9359" s="380" t="s">
        <v>10233</v>
      </c>
      <c r="B9359" s="380" t="str">
        <f>IFERROR(__xludf.DUMMYFUNCTION("""COMPUTED_VALUE"""),"Espejo Retrovisor Dcho Fot 1030 77059467")</f>
        <v>Espejo Retrovisor Dcho Fot 1030 77059467</v>
      </c>
      <c r="C9359" s="380" t="str">
        <f>IFERROR(__xludf.DUMMYFUNCTION("""COMPUTED_VALUE"""),"70004780")</f>
        <v>70004780</v>
      </c>
      <c r="D9359" s="380" t="s">
        <v>767</v>
      </c>
      <c r="E9359" s="380" t="s">
        <v>786</v>
      </c>
      <c r="F9359" s="380" t="s">
        <v>792</v>
      </c>
      <c r="G9359" s="380" t="s">
        <v>1267</v>
      </c>
      <c r="H9359" s="380" t="s">
        <v>771</v>
      </c>
      <c r="I9359" s="380" t="s">
        <v>788</v>
      </c>
      <c r="J9359" s="380" t="s">
        <v>773</v>
      </c>
      <c r="K9359" s="381">
        <v>0.0</v>
      </c>
      <c r="L9359" s="382">
        <v>1.0</v>
      </c>
    </row>
    <row r="9360">
      <c r="A9360" s="380" t="s">
        <v>10234</v>
      </c>
      <c r="B9360" s="380" t="str">
        <f>IFERROR(__xludf.DUMMYFUNCTION("""COMPUTED_VALUE"""),"Switch Pedal Embrague Hino 500 8.83e+55")</f>
        <v>Switch Pedal Embrague Hino 500 8.83e+55</v>
      </c>
      <c r="C9360" s="380" t="str">
        <f>IFERROR(__xludf.DUMMYFUNCTION("""COMPUTED_VALUE"""),"70004781")</f>
        <v>70004781</v>
      </c>
      <c r="D9360" s="380" t="s">
        <v>767</v>
      </c>
      <c r="E9360" s="380" t="s">
        <v>786</v>
      </c>
      <c r="F9360" s="380" t="s">
        <v>998</v>
      </c>
      <c r="G9360" s="380" t="s">
        <v>1267</v>
      </c>
      <c r="H9360" s="380" t="s">
        <v>771</v>
      </c>
      <c r="I9360" s="380" t="s">
        <v>788</v>
      </c>
      <c r="J9360" s="380" t="s">
        <v>773</v>
      </c>
      <c r="K9360" s="381">
        <v>0.0</v>
      </c>
      <c r="L9360" s="382">
        <v>1.0</v>
      </c>
    </row>
    <row r="9361">
      <c r="A9361" s="380" t="s">
        <v>10235</v>
      </c>
      <c r="B9361" s="380" t="str">
        <f>IFERROR(__xludf.DUMMYFUNCTION("""COMPUTED_VALUE"""),"RET RDA Tras Jac 1120 Grande 4212740940")</f>
        <v>RET RDA Tras Jac 1120 Grande 4212740940</v>
      </c>
      <c r="C9361" s="380" t="str">
        <f>IFERROR(__xludf.DUMMYFUNCTION("""COMPUTED_VALUE"""),"70004782")</f>
        <v>70004782</v>
      </c>
      <c r="D9361" s="380" t="s">
        <v>767</v>
      </c>
      <c r="E9361" s="380" t="s">
        <v>786</v>
      </c>
      <c r="F9361" s="380" t="s">
        <v>5683</v>
      </c>
      <c r="G9361" s="380" t="s">
        <v>1267</v>
      </c>
      <c r="H9361" s="380" t="s">
        <v>771</v>
      </c>
      <c r="I9361" s="380" t="s">
        <v>788</v>
      </c>
      <c r="J9361" s="380" t="s">
        <v>773</v>
      </c>
      <c r="K9361" s="381">
        <v>0.0</v>
      </c>
      <c r="L9361" s="382">
        <v>1.0</v>
      </c>
    </row>
    <row r="9362">
      <c r="A9362" s="380" t="s">
        <v>10236</v>
      </c>
      <c r="B9362" s="380" t="str">
        <f>IFERROR(__xludf.DUMMYFUNCTION("""COMPUTED_VALUE"""),"Piñon Caja Aux FTR 8973805680")</f>
        <v>Piñon Caja Aux FTR 8973805680</v>
      </c>
      <c r="C9362" s="380" t="str">
        <f>IFERROR(__xludf.DUMMYFUNCTION("""COMPUTED_VALUE"""),"70004783")</f>
        <v>70004783</v>
      </c>
      <c r="D9362" s="380" t="s">
        <v>767</v>
      </c>
      <c r="E9362" s="380" t="s">
        <v>786</v>
      </c>
      <c r="F9362" s="380" t="s">
        <v>928</v>
      </c>
      <c r="G9362" s="380" t="s">
        <v>1267</v>
      </c>
      <c r="H9362" s="380" t="s">
        <v>771</v>
      </c>
      <c r="I9362" s="380" t="s">
        <v>788</v>
      </c>
      <c r="J9362" s="380" t="s">
        <v>773</v>
      </c>
      <c r="K9362" s="381">
        <v>0.0</v>
      </c>
      <c r="L9362" s="382">
        <v>1.0</v>
      </c>
    </row>
    <row r="9363">
      <c r="A9363" s="380" t="s">
        <v>10237</v>
      </c>
      <c r="B9363" s="380" t="str">
        <f>IFERROR(__xludf.DUMMYFUNCTION("""COMPUTED_VALUE"""),"Engranaje Caja Auxuliar FTR 8973805710")</f>
        <v>Engranaje Caja Auxuliar FTR 8973805710</v>
      </c>
      <c r="C9363" s="380" t="str">
        <f>IFERROR(__xludf.DUMMYFUNCTION("""COMPUTED_VALUE"""),"70004784")</f>
        <v>70004784</v>
      </c>
      <c r="D9363" s="380" t="s">
        <v>767</v>
      </c>
      <c r="E9363" s="380" t="s">
        <v>786</v>
      </c>
      <c r="F9363" s="380" t="s">
        <v>928</v>
      </c>
      <c r="G9363" s="380" t="s">
        <v>1267</v>
      </c>
      <c r="H9363" s="380" t="s">
        <v>771</v>
      </c>
      <c r="I9363" s="380" t="s">
        <v>788</v>
      </c>
      <c r="J9363" s="380" t="s">
        <v>773</v>
      </c>
      <c r="K9363" s="381">
        <v>0.0</v>
      </c>
      <c r="L9363" s="382">
        <v>1.0</v>
      </c>
    </row>
    <row r="9364">
      <c r="A9364" s="380" t="s">
        <v>10238</v>
      </c>
      <c r="B9364" s="380" t="str">
        <f>IFERROR(__xludf.DUMMYFUNCTION("""COMPUTED_VALUE"""),"CIL Freno Del Izq Con Purga H 47530ev090")</f>
        <v>CIL Freno Del Izq Con Purga H 47530ev090</v>
      </c>
      <c r="C9364" s="380" t="str">
        <f>IFERROR(__xludf.DUMMYFUNCTION("""COMPUTED_VALUE"""),"70004785")</f>
        <v>70004785</v>
      </c>
      <c r="D9364" s="380" t="s">
        <v>767</v>
      </c>
      <c r="E9364" s="380" t="s">
        <v>786</v>
      </c>
      <c r="F9364" s="380" t="s">
        <v>1017</v>
      </c>
      <c r="G9364" s="380" t="s">
        <v>1267</v>
      </c>
      <c r="H9364" s="380" t="s">
        <v>771</v>
      </c>
      <c r="I9364" s="380" t="s">
        <v>788</v>
      </c>
      <c r="J9364" s="380" t="s">
        <v>773</v>
      </c>
      <c r="K9364" s="381">
        <v>0.0</v>
      </c>
      <c r="L9364" s="382">
        <v>1.0</v>
      </c>
    </row>
    <row r="9365">
      <c r="A9365" s="380" t="s">
        <v>10239</v>
      </c>
      <c r="B9365" s="380" t="str">
        <f>IFERROR(__xludf.DUMMYFUNCTION("""COMPUTED_VALUE"""),"CIL Freno Tras Tubo A Tubo Izq Fot 1039")</f>
        <v>CIL Freno Tras Tubo A Tubo Izq Fot 1039</v>
      </c>
      <c r="C9365" s="380" t="str">
        <f>IFERROR(__xludf.DUMMYFUNCTION("""COMPUTED_VALUE"""),"70004786")</f>
        <v>70004786</v>
      </c>
      <c r="D9365" s="380" t="s">
        <v>767</v>
      </c>
      <c r="E9365" s="380" t="s">
        <v>786</v>
      </c>
      <c r="F9365" s="380" t="s">
        <v>1017</v>
      </c>
      <c r="G9365" s="380" t="s">
        <v>1267</v>
      </c>
      <c r="H9365" s="380" t="s">
        <v>771</v>
      </c>
      <c r="I9365" s="380" t="s">
        <v>788</v>
      </c>
      <c r="J9365" s="380" t="s">
        <v>773</v>
      </c>
      <c r="K9365" s="381">
        <v>0.0</v>
      </c>
      <c r="L9365" s="382">
        <v>1.0</v>
      </c>
    </row>
    <row r="9366">
      <c r="A9366" s="380" t="s">
        <v>10240</v>
      </c>
      <c r="B9366" s="380" t="str">
        <f>IFERROR(__xludf.DUMMYFUNCTION("""COMPUTED_VALUE"""),"Tapa Caja Fusibles Nkr Reward 8974236590")</f>
        <v>Tapa Caja Fusibles Nkr Reward 8974236590</v>
      </c>
      <c r="C9366" s="380" t="str">
        <f>IFERROR(__xludf.DUMMYFUNCTION("""COMPUTED_VALUE"""),"70004787")</f>
        <v>70004787</v>
      </c>
      <c r="D9366" s="380" t="s">
        <v>767</v>
      </c>
      <c r="E9366" s="380" t="s">
        <v>786</v>
      </c>
      <c r="F9366" s="380" t="s">
        <v>998</v>
      </c>
      <c r="G9366" s="380" t="s">
        <v>1267</v>
      </c>
      <c r="H9366" s="380" t="s">
        <v>771</v>
      </c>
      <c r="I9366" s="380" t="s">
        <v>788</v>
      </c>
      <c r="J9366" s="380" t="s">
        <v>773</v>
      </c>
      <c r="K9366" s="381">
        <v>0.0</v>
      </c>
      <c r="L9366" s="382">
        <v>1.0</v>
      </c>
    </row>
    <row r="9367">
      <c r="A9367" s="380" t="s">
        <v>10241</v>
      </c>
      <c r="B9367" s="380" t="str">
        <f>IFERROR(__xludf.DUMMYFUNCTION("""COMPUTED_VALUE"""),"Filtro Aceite Planta Electrica Jx0814d")</f>
        <v>Filtro Aceite Planta Electrica Jx0814d</v>
      </c>
      <c r="C9367" s="380" t="str">
        <f>IFERROR(__xludf.DUMMYFUNCTION("""COMPUTED_VALUE"""),"70004788")</f>
        <v>70004788</v>
      </c>
      <c r="D9367" s="380" t="s">
        <v>767</v>
      </c>
      <c r="E9367" s="380" t="s">
        <v>786</v>
      </c>
      <c r="F9367" s="380" t="s">
        <v>5855</v>
      </c>
      <c r="G9367" s="380" t="s">
        <v>1267</v>
      </c>
      <c r="H9367" s="380" t="s">
        <v>771</v>
      </c>
      <c r="I9367" s="380" t="s">
        <v>788</v>
      </c>
      <c r="J9367" s="380" t="s">
        <v>773</v>
      </c>
      <c r="K9367" s="381">
        <v>0.0</v>
      </c>
      <c r="L9367" s="382">
        <v>1.0</v>
      </c>
    </row>
    <row r="9368">
      <c r="A9368" s="380" t="s">
        <v>10242</v>
      </c>
      <c r="B9368" s="380" t="str">
        <f>IFERROR(__xludf.DUMMYFUNCTION("""COMPUTED_VALUE"""),"FILT COMB Planta ELEC Cx0708b")</f>
        <v>FILT COMB Planta ELEC Cx0708b</v>
      </c>
      <c r="C9368" s="380" t="str">
        <f>IFERROR(__xludf.DUMMYFUNCTION("""COMPUTED_VALUE"""),"70004789")</f>
        <v>70004789</v>
      </c>
      <c r="D9368" s="380" t="s">
        <v>767</v>
      </c>
      <c r="E9368" s="380" t="s">
        <v>786</v>
      </c>
      <c r="F9368" s="380" t="s">
        <v>5855</v>
      </c>
      <c r="G9368" s="380" t="s">
        <v>1267</v>
      </c>
      <c r="H9368" s="380" t="s">
        <v>771</v>
      </c>
      <c r="I9368" s="380" t="s">
        <v>788</v>
      </c>
      <c r="J9368" s="380" t="s">
        <v>773</v>
      </c>
      <c r="K9368" s="381">
        <v>0.0</v>
      </c>
      <c r="L9368" s="382">
        <v>1.0</v>
      </c>
    </row>
    <row r="9369">
      <c r="A9369" s="380" t="s">
        <v>10243</v>
      </c>
      <c r="B9369" s="380" t="str">
        <f>IFERROR(__xludf.DUMMYFUNCTION("""COMPUTED_VALUE"""),"Filtro Aire Planta Electrica Nl2117h1")</f>
        <v>Filtro Aire Planta Electrica Nl2117h1</v>
      </c>
      <c r="C9369" s="380" t="str">
        <f>IFERROR(__xludf.DUMMYFUNCTION("""COMPUTED_VALUE"""),"70004790")</f>
        <v>70004790</v>
      </c>
      <c r="D9369" s="380" t="s">
        <v>767</v>
      </c>
      <c r="E9369" s="380" t="s">
        <v>786</v>
      </c>
      <c r="F9369" s="380" t="s">
        <v>5855</v>
      </c>
      <c r="G9369" s="380" t="s">
        <v>1267</v>
      </c>
      <c r="H9369" s="380" t="s">
        <v>771</v>
      </c>
      <c r="I9369" s="380" t="s">
        <v>788</v>
      </c>
      <c r="J9369" s="380" t="s">
        <v>773</v>
      </c>
      <c r="K9369" s="381">
        <v>0.0</v>
      </c>
      <c r="L9369" s="382">
        <v>1.0</v>
      </c>
    </row>
    <row r="9370">
      <c r="A9370" s="380" t="s">
        <v>10244</v>
      </c>
      <c r="B9370" s="380" t="str">
        <f>IFERROR(__xludf.DUMMYFUNCTION("""COMPUTED_VALUE"""),"Puente Soporte Caja Kw T800 K101106")</f>
        <v>Puente Soporte Caja Kw T800 K101106</v>
      </c>
      <c r="C9370" s="380" t="str">
        <f>IFERROR(__xludf.DUMMYFUNCTION("""COMPUTED_VALUE"""),"70004791")</f>
        <v>70004791</v>
      </c>
      <c r="D9370" s="380" t="s">
        <v>767</v>
      </c>
      <c r="E9370" s="380" t="s">
        <v>786</v>
      </c>
      <c r="F9370" s="380" t="s">
        <v>792</v>
      </c>
      <c r="G9370" s="380" t="s">
        <v>1267</v>
      </c>
      <c r="H9370" s="380" t="s">
        <v>771</v>
      </c>
      <c r="I9370" s="380" t="s">
        <v>788</v>
      </c>
      <c r="J9370" s="380" t="s">
        <v>773</v>
      </c>
      <c r="K9370" s="381">
        <v>0.0</v>
      </c>
      <c r="L9370" s="382">
        <v>1.0</v>
      </c>
    </row>
    <row r="9371">
      <c r="A9371" s="380" t="s">
        <v>10245</v>
      </c>
      <c r="B9371" s="380" t="str">
        <f>IFERROR(__xludf.DUMMYFUNCTION("""COMPUTED_VALUE"""),"VALV De Seguridad Doble Isx 3592131c91")</f>
        <v>VALV De Seguridad Doble Isx 3592131c91</v>
      </c>
      <c r="C9371" s="380" t="str">
        <f>IFERROR(__xludf.DUMMYFUNCTION("""COMPUTED_VALUE"""),"70004792")</f>
        <v>70004792</v>
      </c>
      <c r="D9371" s="380" t="s">
        <v>767</v>
      </c>
      <c r="E9371" s="380" t="s">
        <v>786</v>
      </c>
      <c r="F9371" s="380" t="s">
        <v>787</v>
      </c>
      <c r="G9371" s="380" t="s">
        <v>1267</v>
      </c>
      <c r="H9371" s="380" t="s">
        <v>771</v>
      </c>
      <c r="I9371" s="380" t="s">
        <v>788</v>
      </c>
      <c r="J9371" s="380" t="s">
        <v>773</v>
      </c>
      <c r="K9371" s="381">
        <v>1130500.0</v>
      </c>
      <c r="L9371" s="382">
        <v>1.0</v>
      </c>
    </row>
    <row r="9372">
      <c r="A9372" s="380" t="s">
        <v>10246</v>
      </c>
      <c r="B9372" s="380" t="str">
        <f>IFERROR(__xludf.DUMMYFUNCTION("""COMPUTED_VALUE"""),"SENS Flujometro HN 500 222000000000000")</f>
        <v>SENS Flujometro HN 500 222000000000000</v>
      </c>
      <c r="C9372" s="380" t="str">
        <f>IFERROR(__xludf.DUMMYFUNCTION("""COMPUTED_VALUE"""),"70004793")</f>
        <v>70004793</v>
      </c>
      <c r="D9372" s="380" t="s">
        <v>767</v>
      </c>
      <c r="E9372" s="380" t="s">
        <v>786</v>
      </c>
      <c r="F9372" s="380" t="s">
        <v>998</v>
      </c>
      <c r="G9372" s="380" t="s">
        <v>1267</v>
      </c>
      <c r="H9372" s="380" t="s">
        <v>771</v>
      </c>
      <c r="I9372" s="380" t="s">
        <v>788</v>
      </c>
      <c r="J9372" s="380" t="s">
        <v>773</v>
      </c>
      <c r="K9372" s="381">
        <v>0.0</v>
      </c>
      <c r="L9372" s="382">
        <v>1.0</v>
      </c>
    </row>
    <row r="9373">
      <c r="A9373" s="380" t="s">
        <v>10247</v>
      </c>
      <c r="B9373" s="380" t="str">
        <f>IFERROR(__xludf.DUMMYFUNCTION("""COMPUTED_VALUE"""),"Piñon Externo Cigueñal HY Porter H100")</f>
        <v>Piñon Externo Cigueñal HY Porter H100</v>
      </c>
      <c r="C9373" s="380" t="str">
        <f>IFERROR(__xludf.DUMMYFUNCTION("""COMPUTED_VALUE"""),"70004794")</f>
        <v>70004794</v>
      </c>
      <c r="D9373" s="380" t="s">
        <v>767</v>
      </c>
      <c r="E9373" s="380" t="s">
        <v>786</v>
      </c>
      <c r="F9373" s="380" t="s">
        <v>787</v>
      </c>
      <c r="G9373" s="380" t="s">
        <v>1267</v>
      </c>
      <c r="H9373" s="380" t="s">
        <v>771</v>
      </c>
      <c r="I9373" s="380" t="s">
        <v>788</v>
      </c>
      <c r="J9373" s="380" t="s">
        <v>773</v>
      </c>
      <c r="K9373" s="381">
        <v>0.0</v>
      </c>
      <c r="L9373" s="382">
        <v>1.0</v>
      </c>
    </row>
    <row r="9374">
      <c r="A9374" s="380" t="s">
        <v>10248</v>
      </c>
      <c r="B9374" s="380" t="str">
        <f>IFERROR(__xludf.DUMMYFUNCTION("""COMPUTED_VALUE"""),"Juego Switch Iniciacion Con C P271028008")</f>
        <v>Juego Switch Iniciacion Con C P271028008</v>
      </c>
      <c r="C9374" s="380" t="str">
        <f>IFERROR(__xludf.DUMMYFUNCTION("""COMPUTED_VALUE"""),"70004795")</f>
        <v>70004795</v>
      </c>
      <c r="D9374" s="380" t="s">
        <v>767</v>
      </c>
      <c r="E9374" s="380" t="s">
        <v>786</v>
      </c>
      <c r="F9374" s="380" t="s">
        <v>998</v>
      </c>
      <c r="G9374" s="380" t="s">
        <v>1267</v>
      </c>
      <c r="H9374" s="380" t="s">
        <v>771</v>
      </c>
      <c r="I9374" s="380" t="s">
        <v>788</v>
      </c>
      <c r="J9374" s="380" t="s">
        <v>773</v>
      </c>
      <c r="K9374" s="381">
        <v>0.0</v>
      </c>
      <c r="L9374" s="382">
        <v>1.0</v>
      </c>
    </row>
    <row r="9375">
      <c r="A9375" s="380" t="s">
        <v>10249</v>
      </c>
      <c r="B9375" s="380" t="str">
        <f>IFERROR(__xludf.DUMMYFUNCTION("""COMPUTED_VALUE"""),"Kit Repar Frr Camisa-Piston-Anillo-Bulon")</f>
        <v>Kit Repar Frr Camisa-Piston-Anillo-Bulon</v>
      </c>
      <c r="C9375" s="380" t="str">
        <f>IFERROR(__xludf.DUMMYFUNCTION("""COMPUTED_VALUE"""),"70004796")</f>
        <v>70004796</v>
      </c>
      <c r="D9375" s="380" t="s">
        <v>767</v>
      </c>
      <c r="E9375" s="380" t="s">
        <v>786</v>
      </c>
      <c r="F9375" s="380" t="s">
        <v>787</v>
      </c>
      <c r="G9375" s="380" t="s">
        <v>1267</v>
      </c>
      <c r="H9375" s="380" t="s">
        <v>771</v>
      </c>
      <c r="I9375" s="380" t="s">
        <v>788</v>
      </c>
      <c r="J9375" s="380" t="s">
        <v>773</v>
      </c>
      <c r="K9375" s="381">
        <v>0.0</v>
      </c>
      <c r="L9375" s="382">
        <v>1.0</v>
      </c>
    </row>
    <row r="9376">
      <c r="A9376" s="380" t="s">
        <v>10250</v>
      </c>
      <c r="B9376" s="380" t="str">
        <f>IFERROR(__xludf.DUMMYFUNCTION("""COMPUTED_VALUE"""),"Casquetes De Biela Std Frr 8976163580")</f>
        <v>Casquetes De Biela Std Frr 8976163580</v>
      </c>
      <c r="C9376" s="380" t="str">
        <f>IFERROR(__xludf.DUMMYFUNCTION("""COMPUTED_VALUE"""),"70004797")</f>
        <v>70004797</v>
      </c>
      <c r="D9376" s="380" t="s">
        <v>767</v>
      </c>
      <c r="E9376" s="380" t="s">
        <v>786</v>
      </c>
      <c r="F9376" s="380" t="s">
        <v>787</v>
      </c>
      <c r="G9376" s="380" t="s">
        <v>1267</v>
      </c>
      <c r="H9376" s="380" t="s">
        <v>771</v>
      </c>
      <c r="I9376" s="380" t="s">
        <v>788</v>
      </c>
      <c r="J9376" s="380" t="s">
        <v>773</v>
      </c>
      <c r="K9376" s="381">
        <v>0.0</v>
      </c>
      <c r="L9376" s="382">
        <v>1.0</v>
      </c>
    </row>
    <row r="9377">
      <c r="A9377" s="380" t="s">
        <v>10251</v>
      </c>
      <c r="B9377" s="380" t="str">
        <f>IFERROR(__xludf.DUMMYFUNCTION("""COMPUTED_VALUE"""),"EMP De Culata 4hk1t 2 Muescas Frr 898288")</f>
        <v>EMP De Culata 4hk1t 2 Muescas Frr 898288</v>
      </c>
      <c r="C9377" s="380" t="str">
        <f>IFERROR(__xludf.DUMMYFUNCTION("""COMPUTED_VALUE"""),"70004798")</f>
        <v>70004798</v>
      </c>
      <c r="D9377" s="380" t="s">
        <v>767</v>
      </c>
      <c r="E9377" s="380" t="s">
        <v>786</v>
      </c>
      <c r="F9377" s="380" t="s">
        <v>787</v>
      </c>
      <c r="G9377" s="380" t="s">
        <v>1267</v>
      </c>
      <c r="H9377" s="380" t="s">
        <v>771</v>
      </c>
      <c r="I9377" s="380" t="s">
        <v>788</v>
      </c>
      <c r="J9377" s="380" t="s">
        <v>773</v>
      </c>
      <c r="K9377" s="381">
        <v>0.0</v>
      </c>
      <c r="L9377" s="382">
        <v>1.0</v>
      </c>
    </row>
    <row r="9378">
      <c r="A9378" s="380" t="s">
        <v>10252</v>
      </c>
      <c r="B9378" s="380" t="str">
        <f>IFERROR(__xludf.DUMMYFUNCTION("""COMPUTED_VALUE"""),"Kit Arandelas Retorno Combus Agujero 4hk")</f>
        <v>Kit Arandelas Retorno Combus Agujero 4hk</v>
      </c>
      <c r="C9378" s="380" t="str">
        <f>IFERROR(__xludf.DUMMYFUNCTION("""COMPUTED_VALUE"""),"70004799")</f>
        <v>70004799</v>
      </c>
      <c r="D9378" s="380" t="s">
        <v>767</v>
      </c>
      <c r="E9378" s="380" t="s">
        <v>786</v>
      </c>
      <c r="F9378" s="380" t="s">
        <v>787</v>
      </c>
      <c r="G9378" s="380" t="s">
        <v>1267</v>
      </c>
      <c r="H9378" s="380" t="s">
        <v>771</v>
      </c>
      <c r="I9378" s="380" t="s">
        <v>788</v>
      </c>
      <c r="J9378" s="380" t="s">
        <v>773</v>
      </c>
      <c r="K9378" s="381">
        <v>0.0</v>
      </c>
      <c r="L9378" s="382">
        <v>1.0</v>
      </c>
    </row>
    <row r="9379">
      <c r="A9379" s="380" t="s">
        <v>10253</v>
      </c>
      <c r="B9379" s="380" t="str">
        <f>IFERROR(__xludf.DUMMYFUNCTION("""COMPUTED_VALUE"""),"Tubo Refrigeracion Turbo Frr 8976062040")</f>
        <v>Tubo Refrigeracion Turbo Frr 8976062040</v>
      </c>
      <c r="C9379" s="380" t="str">
        <f>IFERROR(__xludf.DUMMYFUNCTION("""COMPUTED_VALUE"""),"70004800")</f>
        <v>70004800</v>
      </c>
      <c r="D9379" s="380" t="s">
        <v>767</v>
      </c>
      <c r="E9379" s="380" t="s">
        <v>786</v>
      </c>
      <c r="F9379" s="380" t="s">
        <v>787</v>
      </c>
      <c r="G9379" s="380" t="s">
        <v>1267</v>
      </c>
      <c r="H9379" s="380" t="s">
        <v>771</v>
      </c>
      <c r="I9379" s="380" t="s">
        <v>788</v>
      </c>
      <c r="J9379" s="380" t="s">
        <v>773</v>
      </c>
      <c r="K9379" s="381">
        <v>0.0</v>
      </c>
      <c r="L9379" s="382">
        <v>1.0</v>
      </c>
    </row>
    <row r="9380">
      <c r="A9380" s="380" t="s">
        <v>10254</v>
      </c>
      <c r="B9380" s="380" t="str">
        <f>IFERROR(__xludf.DUMMYFUNCTION("""COMPUTED_VALUE"""),"Eje CTRL Cambios Npr CJ Alum 8973627442")</f>
        <v>Eje CTRL Cambios Npr CJ Alum 8973627442</v>
      </c>
      <c r="C9380" s="380" t="str">
        <f>IFERROR(__xludf.DUMMYFUNCTION("""COMPUTED_VALUE"""),"70004801")</f>
        <v>70004801</v>
      </c>
      <c r="D9380" s="380" t="s">
        <v>767</v>
      </c>
      <c r="E9380" s="380" t="s">
        <v>786</v>
      </c>
      <c r="F9380" s="380" t="s">
        <v>928</v>
      </c>
      <c r="G9380" s="380" t="s">
        <v>1267</v>
      </c>
      <c r="H9380" s="380" t="s">
        <v>771</v>
      </c>
      <c r="I9380" s="380" t="s">
        <v>788</v>
      </c>
      <c r="J9380" s="380" t="s">
        <v>773</v>
      </c>
      <c r="K9380" s="381">
        <v>0.0</v>
      </c>
      <c r="L9380" s="382">
        <v>1.0</v>
      </c>
    </row>
    <row r="9381">
      <c r="A9381" s="380" t="s">
        <v>10255</v>
      </c>
      <c r="B9381" s="380" t="str">
        <f>IFERROR(__xludf.DUMMYFUNCTION("""COMPUTED_VALUE"""),"RAD Nhr Rew Radiador Nhr Reward 98090740")</f>
        <v>RAD Nhr Rew Radiador Nhr Reward 98090740</v>
      </c>
      <c r="C9381" s="380" t="str">
        <f>IFERROR(__xludf.DUMMYFUNCTION("""COMPUTED_VALUE"""),"70004802")</f>
        <v>70004802</v>
      </c>
      <c r="D9381" s="380" t="s">
        <v>767</v>
      </c>
      <c r="E9381" s="380" t="s">
        <v>786</v>
      </c>
      <c r="F9381" s="380" t="s">
        <v>787</v>
      </c>
      <c r="G9381" s="380" t="s">
        <v>1267</v>
      </c>
      <c r="H9381" s="380" t="s">
        <v>771</v>
      </c>
      <c r="I9381" s="380" t="s">
        <v>788</v>
      </c>
      <c r="J9381" s="380" t="s">
        <v>773</v>
      </c>
      <c r="K9381" s="381">
        <v>0.0</v>
      </c>
      <c r="L9381" s="382">
        <v>1.0</v>
      </c>
    </row>
    <row r="9382">
      <c r="A9382" s="380" t="s">
        <v>10256</v>
      </c>
      <c r="B9382" s="380" t="str">
        <f>IFERROR(__xludf.DUMMYFUNCTION("""COMPUTED_VALUE"""),"Correa De Reparticion Acces NS Urban 117")</f>
        <v>Correa De Reparticion Acces NS Urban 117</v>
      </c>
      <c r="C9382" s="380" t="str">
        <f>IFERROR(__xludf.DUMMYFUNCTION("""COMPUTED_VALUE"""),"70004803")</f>
        <v>70004803</v>
      </c>
      <c r="D9382" s="380" t="s">
        <v>767</v>
      </c>
      <c r="E9382" s="380" t="s">
        <v>786</v>
      </c>
      <c r="F9382" s="380" t="s">
        <v>787</v>
      </c>
      <c r="G9382" s="380" t="s">
        <v>1267</v>
      </c>
      <c r="H9382" s="380" t="s">
        <v>771</v>
      </c>
      <c r="I9382" s="380" t="s">
        <v>788</v>
      </c>
      <c r="J9382" s="380" t="s">
        <v>773</v>
      </c>
      <c r="K9382" s="381">
        <v>0.0</v>
      </c>
      <c r="L9382" s="382">
        <v>1.0</v>
      </c>
    </row>
    <row r="9383">
      <c r="A9383" s="380" t="s">
        <v>10257</v>
      </c>
      <c r="B9383" s="380" t="str">
        <f>IFERROR(__xludf.DUMMYFUNCTION("""COMPUTED_VALUE"""),"Casqueteria Biela 0.25 Hyundai Porter H1")</f>
        <v>Casqueteria Biela 0.25 Hyundai Porter H1</v>
      </c>
      <c r="C9383" s="380" t="str">
        <f>IFERROR(__xludf.DUMMYFUNCTION("""COMPUTED_VALUE"""),"70004804")</f>
        <v>70004804</v>
      </c>
      <c r="D9383" s="380" t="s">
        <v>767</v>
      </c>
      <c r="E9383" s="380" t="s">
        <v>786</v>
      </c>
      <c r="F9383" s="380" t="s">
        <v>787</v>
      </c>
      <c r="G9383" s="380" t="s">
        <v>1267</v>
      </c>
      <c r="H9383" s="380" t="s">
        <v>771</v>
      </c>
      <c r="I9383" s="380" t="s">
        <v>788</v>
      </c>
      <c r="J9383" s="380" t="s">
        <v>773</v>
      </c>
      <c r="K9383" s="381">
        <v>0.0</v>
      </c>
      <c r="L9383" s="382">
        <v>1.0</v>
      </c>
    </row>
    <row r="9384">
      <c r="A9384" s="380" t="s">
        <v>10258</v>
      </c>
      <c r="B9384" s="380" t="str">
        <f>IFERROR(__xludf.DUMMYFUNCTION("""COMPUTED_VALUE"""),"Casqueteria Bancada Hyundai Porter H100")</f>
        <v>Casqueteria Bancada Hyundai Porter H100</v>
      </c>
      <c r="C9384" s="380" t="str">
        <f>IFERROR(__xludf.DUMMYFUNCTION("""COMPUTED_VALUE"""),"70004805")</f>
        <v>70004805</v>
      </c>
      <c r="D9384" s="380" t="s">
        <v>767</v>
      </c>
      <c r="E9384" s="380" t="s">
        <v>786</v>
      </c>
      <c r="F9384" s="380" t="s">
        <v>787</v>
      </c>
      <c r="G9384" s="380" t="s">
        <v>1267</v>
      </c>
      <c r="H9384" s="380" t="s">
        <v>771</v>
      </c>
      <c r="I9384" s="380" t="s">
        <v>788</v>
      </c>
      <c r="J9384" s="380" t="s">
        <v>773</v>
      </c>
      <c r="K9384" s="381">
        <v>0.0</v>
      </c>
      <c r="L9384" s="382">
        <v>1.0</v>
      </c>
    </row>
    <row r="9385">
      <c r="A9385" s="380" t="s">
        <v>10259</v>
      </c>
      <c r="B9385" s="380" t="str">
        <f>IFERROR(__xludf.DUMMYFUNCTION("""COMPUTED_VALUE"""),"Valvula Admision Hyundai Porter H100")</f>
        <v>Valvula Admision Hyundai Porter H100</v>
      </c>
      <c r="C9385" s="380" t="str">
        <f>IFERROR(__xludf.DUMMYFUNCTION("""COMPUTED_VALUE"""),"70004806")</f>
        <v>70004806</v>
      </c>
      <c r="D9385" s="380" t="s">
        <v>767</v>
      </c>
      <c r="E9385" s="380" t="s">
        <v>786</v>
      </c>
      <c r="F9385" s="380" t="s">
        <v>787</v>
      </c>
      <c r="G9385" s="380" t="s">
        <v>1267</v>
      </c>
      <c r="H9385" s="380" t="s">
        <v>771</v>
      </c>
      <c r="I9385" s="380" t="s">
        <v>788</v>
      </c>
      <c r="J9385" s="380" t="s">
        <v>773</v>
      </c>
      <c r="K9385" s="381">
        <v>0.0</v>
      </c>
      <c r="L9385" s="382">
        <v>1.0</v>
      </c>
    </row>
    <row r="9386">
      <c r="A9386" s="380" t="s">
        <v>10260</v>
      </c>
      <c r="B9386" s="380" t="str">
        <f>IFERROR(__xludf.DUMMYFUNCTION("""COMPUTED_VALUE"""),"Valvula Escape Hyundai Porter H100")</f>
        <v>Valvula Escape Hyundai Porter H100</v>
      </c>
      <c r="C9386" s="380" t="str">
        <f>IFERROR(__xludf.DUMMYFUNCTION("""COMPUTED_VALUE"""),"70004807")</f>
        <v>70004807</v>
      </c>
      <c r="D9386" s="380" t="s">
        <v>767</v>
      </c>
      <c r="E9386" s="380" t="s">
        <v>786</v>
      </c>
      <c r="F9386" s="380" t="s">
        <v>787</v>
      </c>
      <c r="G9386" s="380" t="s">
        <v>1267</v>
      </c>
      <c r="H9386" s="380" t="s">
        <v>771</v>
      </c>
      <c r="I9386" s="380" t="s">
        <v>788</v>
      </c>
      <c r="J9386" s="380" t="s">
        <v>773</v>
      </c>
      <c r="K9386" s="381">
        <v>0.0</v>
      </c>
      <c r="L9386" s="382">
        <v>1.0</v>
      </c>
    </row>
    <row r="9387">
      <c r="A9387" s="380" t="s">
        <v>10261</v>
      </c>
      <c r="B9387" s="380" t="str">
        <f>IFERROR(__xludf.DUMMYFUNCTION("""COMPUTED_VALUE"""),"Camisas Std Hyundai Porter H100")</f>
        <v>Camisas Std Hyundai Porter H100</v>
      </c>
      <c r="C9387" s="380" t="str">
        <f>IFERROR(__xludf.DUMMYFUNCTION("""COMPUTED_VALUE"""),"70004808")</f>
        <v>70004808</v>
      </c>
      <c r="D9387" s="380" t="s">
        <v>767</v>
      </c>
      <c r="E9387" s="380" t="s">
        <v>786</v>
      </c>
      <c r="F9387" s="380" t="s">
        <v>787</v>
      </c>
      <c r="G9387" s="380" t="s">
        <v>1267</v>
      </c>
      <c r="H9387" s="380" t="s">
        <v>771</v>
      </c>
      <c r="I9387" s="380" t="s">
        <v>788</v>
      </c>
      <c r="J9387" s="380" t="s">
        <v>773</v>
      </c>
      <c r="K9387" s="381">
        <v>0.0</v>
      </c>
      <c r="L9387" s="382">
        <v>1.0</v>
      </c>
    </row>
    <row r="9388">
      <c r="A9388" s="380" t="s">
        <v>10262</v>
      </c>
      <c r="B9388" s="380" t="str">
        <f>IFERROR(__xludf.DUMMYFUNCTION("""COMPUTED_VALUE"""),"Empaquetadura Motor Hyundai Porter H100")</f>
        <v>Empaquetadura Motor Hyundai Porter H100</v>
      </c>
      <c r="C9388" s="380" t="str">
        <f>IFERROR(__xludf.DUMMYFUNCTION("""COMPUTED_VALUE"""),"70004809")</f>
        <v>70004809</v>
      </c>
      <c r="D9388" s="380" t="s">
        <v>767</v>
      </c>
      <c r="E9388" s="380" t="s">
        <v>786</v>
      </c>
      <c r="F9388" s="380" t="s">
        <v>787</v>
      </c>
      <c r="G9388" s="380" t="s">
        <v>1267</v>
      </c>
      <c r="H9388" s="380" t="s">
        <v>771</v>
      </c>
      <c r="I9388" s="380" t="s">
        <v>788</v>
      </c>
      <c r="J9388" s="380" t="s">
        <v>773</v>
      </c>
      <c r="K9388" s="381">
        <v>0.0</v>
      </c>
      <c r="L9388" s="382">
        <v>1.0</v>
      </c>
    </row>
    <row r="9389">
      <c r="A9389" s="380" t="s">
        <v>10263</v>
      </c>
      <c r="B9389" s="380" t="str">
        <f>IFERROR(__xludf.DUMMYFUNCTION("""COMPUTED_VALUE"""),"Piñon Eje De Levas Externo HY Porter H10")</f>
        <v>Piñon Eje De Levas Externo HY Porter H10</v>
      </c>
      <c r="C9389" s="380" t="str">
        <f>IFERROR(__xludf.DUMMYFUNCTION("""COMPUTED_VALUE"""),"70004810")</f>
        <v>70004810</v>
      </c>
      <c r="D9389" s="380" t="s">
        <v>767</v>
      </c>
      <c r="E9389" s="380" t="s">
        <v>786</v>
      </c>
      <c r="F9389" s="380" t="s">
        <v>787</v>
      </c>
      <c r="G9389" s="380" t="s">
        <v>1267</v>
      </c>
      <c r="H9389" s="380" t="s">
        <v>771</v>
      </c>
      <c r="I9389" s="380" t="s">
        <v>788</v>
      </c>
      <c r="J9389" s="380" t="s">
        <v>773</v>
      </c>
      <c r="K9389" s="381">
        <v>0.0</v>
      </c>
      <c r="L9389" s="382">
        <v>1.0</v>
      </c>
    </row>
    <row r="9390">
      <c r="A9390" s="380" t="s">
        <v>10264</v>
      </c>
      <c r="B9390" s="380" t="str">
        <f>IFERROR(__xludf.DUMMYFUNCTION("""COMPUTED_VALUE"""),"Base FILT PRIM Comb HN 300 Sencillo 7000")</f>
        <v>Base FILT PRIM Comb HN 300 Sencillo 7000</v>
      </c>
      <c r="C9390" s="380" t="str">
        <f>IFERROR(__xludf.DUMMYFUNCTION("""COMPUTED_VALUE"""),"70004811")</f>
        <v>70004811</v>
      </c>
      <c r="D9390" s="380" t="s">
        <v>767</v>
      </c>
      <c r="E9390" s="380" t="s">
        <v>786</v>
      </c>
      <c r="F9390" s="380" t="s">
        <v>787</v>
      </c>
      <c r="G9390" s="380" t="s">
        <v>1267</v>
      </c>
      <c r="H9390" s="380" t="s">
        <v>771</v>
      </c>
      <c r="I9390" s="380" t="s">
        <v>788</v>
      </c>
      <c r="J9390" s="380" t="s">
        <v>773</v>
      </c>
      <c r="K9390" s="381">
        <v>0.0</v>
      </c>
      <c r="L9390" s="382">
        <v>1.0</v>
      </c>
    </row>
    <row r="9391">
      <c r="A9391" s="380" t="s">
        <v>10265</v>
      </c>
      <c r="B9391" s="380" t="str">
        <f>IFERROR(__xludf.DUMMYFUNCTION("""COMPUTED_VALUE"""),"Base FILT Secun Comb HN 300 Sencillo 700")</f>
        <v>Base FILT Secun Comb HN 300 Sencillo 700</v>
      </c>
      <c r="C9391" s="380" t="str">
        <f>IFERROR(__xludf.DUMMYFUNCTION("""COMPUTED_VALUE"""),"70004812")</f>
        <v>70004812</v>
      </c>
      <c r="D9391" s="380" t="s">
        <v>767</v>
      </c>
      <c r="E9391" s="380" t="s">
        <v>786</v>
      </c>
      <c r="F9391" s="380" t="s">
        <v>787</v>
      </c>
      <c r="G9391" s="380" t="s">
        <v>1267</v>
      </c>
      <c r="H9391" s="380" t="s">
        <v>771</v>
      </c>
      <c r="I9391" s="380" t="s">
        <v>788</v>
      </c>
      <c r="J9391" s="380" t="s">
        <v>773</v>
      </c>
      <c r="K9391" s="381">
        <v>0.0</v>
      </c>
      <c r="L9391" s="382">
        <v>1.0</v>
      </c>
    </row>
    <row r="9392">
      <c r="A9392" s="380" t="s">
        <v>10266</v>
      </c>
      <c r="B9392" s="380" t="str">
        <f>IFERROR(__xludf.DUMMYFUNCTION("""COMPUTED_VALUE"""),"Persiana Frontal Foton Tm30 5946718790")</f>
        <v>Persiana Frontal Foton Tm30 5946718790</v>
      </c>
      <c r="C9392" s="380" t="str">
        <f>IFERROR(__xludf.DUMMYFUNCTION("""COMPUTED_VALUE"""),"70004813")</f>
        <v>70004813</v>
      </c>
      <c r="D9392" s="380" t="s">
        <v>767</v>
      </c>
      <c r="E9392" s="380" t="s">
        <v>786</v>
      </c>
      <c r="F9392" s="380" t="s">
        <v>787</v>
      </c>
      <c r="G9392" s="380" t="s">
        <v>1267</v>
      </c>
      <c r="H9392" s="380" t="s">
        <v>771</v>
      </c>
      <c r="I9392" s="380" t="s">
        <v>788</v>
      </c>
      <c r="J9392" s="380" t="s">
        <v>773</v>
      </c>
      <c r="K9392" s="381">
        <v>72555.0</v>
      </c>
      <c r="L9392" s="382">
        <v>1.0</v>
      </c>
    </row>
    <row r="9393">
      <c r="A9393" s="380" t="s">
        <v>10267</v>
      </c>
      <c r="B9393" s="380" t="str">
        <f>IFERROR(__xludf.DUMMYFUNCTION("""COMPUTED_VALUE"""),"MOT ARR FTR Forward 2012 24 V 8981412063")</f>
        <v>MOT ARR FTR Forward 2012 24 V 8981412063</v>
      </c>
      <c r="C9393" s="380" t="str">
        <f>IFERROR(__xludf.DUMMYFUNCTION("""COMPUTED_VALUE"""),"70004814")</f>
        <v>70004814</v>
      </c>
      <c r="D9393" s="380" t="s">
        <v>767</v>
      </c>
      <c r="E9393" s="380" t="s">
        <v>786</v>
      </c>
      <c r="F9393" s="380" t="s">
        <v>998</v>
      </c>
      <c r="G9393" s="380" t="s">
        <v>1267</v>
      </c>
      <c r="H9393" s="380" t="s">
        <v>771</v>
      </c>
      <c r="I9393" s="380" t="s">
        <v>788</v>
      </c>
      <c r="J9393" s="380" t="s">
        <v>773</v>
      </c>
      <c r="K9393" s="381">
        <v>0.0</v>
      </c>
      <c r="L9393" s="382">
        <v>1.0</v>
      </c>
    </row>
    <row r="9394">
      <c r="A9394" s="380" t="s">
        <v>10268</v>
      </c>
      <c r="B9394" s="380" t="str">
        <f>IFERROR(__xludf.DUMMYFUNCTION("""COMPUTED_VALUE"""),"Carcasa Freno De Seguridad Ftr 897407974")</f>
        <v>Carcasa Freno De Seguridad Ftr 897407974</v>
      </c>
      <c r="C9394" s="380" t="str">
        <f>IFERROR(__xludf.DUMMYFUNCTION("""COMPUTED_VALUE"""),"70004815")</f>
        <v>70004815</v>
      </c>
      <c r="D9394" s="380" t="s">
        <v>767</v>
      </c>
      <c r="E9394" s="380" t="s">
        <v>786</v>
      </c>
      <c r="F9394" s="380" t="s">
        <v>792</v>
      </c>
      <c r="G9394" s="380" t="s">
        <v>1267</v>
      </c>
      <c r="H9394" s="380" t="s">
        <v>771</v>
      </c>
      <c r="I9394" s="380" t="s">
        <v>788</v>
      </c>
      <c r="J9394" s="380" t="s">
        <v>773</v>
      </c>
      <c r="K9394" s="381">
        <v>0.0</v>
      </c>
      <c r="L9394" s="382">
        <v>1.0</v>
      </c>
    </row>
    <row r="9395">
      <c r="A9395" s="380" t="s">
        <v>10269</v>
      </c>
      <c r="B9395" s="380" t="str">
        <f>IFERROR(__xludf.DUMMYFUNCTION("""COMPUTED_VALUE"""),"Caja De Velocidades Renault Duster 2017")</f>
        <v>Caja De Velocidades Renault Duster 2017</v>
      </c>
      <c r="C9395" s="380" t="str">
        <f>IFERROR(__xludf.DUMMYFUNCTION("""COMPUTED_VALUE"""),"70004816")</f>
        <v>70004816</v>
      </c>
      <c r="D9395" s="380" t="s">
        <v>767</v>
      </c>
      <c r="E9395" s="380" t="s">
        <v>786</v>
      </c>
      <c r="F9395" s="380" t="s">
        <v>928</v>
      </c>
      <c r="G9395" s="380" t="s">
        <v>1267</v>
      </c>
      <c r="H9395" s="380" t="s">
        <v>771</v>
      </c>
      <c r="I9395" s="380" t="s">
        <v>788</v>
      </c>
      <c r="J9395" s="380" t="s">
        <v>773</v>
      </c>
      <c r="K9395" s="381">
        <v>0.0</v>
      </c>
      <c r="L9395" s="382">
        <v>1.0</v>
      </c>
    </row>
    <row r="9396">
      <c r="A9396" s="380" t="s">
        <v>10270</v>
      </c>
      <c r="B9396" s="380" t="str">
        <f>IFERROR(__xludf.DUMMYFUNCTION("""COMPUTED_VALUE"""),"Parasol Interno Izq Prostar 236215")</f>
        <v>Parasol Interno Izq Prostar 236215</v>
      </c>
      <c r="C9396" s="380" t="str">
        <f>IFERROR(__xludf.DUMMYFUNCTION("""COMPUTED_VALUE"""),"70004817")</f>
        <v>70004817</v>
      </c>
      <c r="D9396" s="380" t="s">
        <v>767</v>
      </c>
      <c r="E9396" s="380" t="s">
        <v>786</v>
      </c>
      <c r="F9396" s="380" t="s">
        <v>792</v>
      </c>
      <c r="G9396" s="380" t="s">
        <v>1267</v>
      </c>
      <c r="H9396" s="380" t="s">
        <v>771</v>
      </c>
      <c r="I9396" s="380" t="s">
        <v>788</v>
      </c>
      <c r="J9396" s="380" t="s">
        <v>773</v>
      </c>
      <c r="K9396" s="381">
        <v>0.0</v>
      </c>
      <c r="L9396" s="382">
        <v>1.0</v>
      </c>
    </row>
    <row r="9397">
      <c r="A9397" s="380" t="s">
        <v>10271</v>
      </c>
      <c r="B9397" s="380" t="str">
        <f>IFERROR(__xludf.DUMMYFUNCTION("""COMPUTED_VALUE"""),"Cartera Completa Pta Izq CAB Prostar 135")</f>
        <v>Cartera Completa Pta Izq CAB Prostar 135</v>
      </c>
      <c r="C9397" s="380" t="str">
        <f>IFERROR(__xludf.DUMMYFUNCTION("""COMPUTED_VALUE"""),"70004818")</f>
        <v>70004818</v>
      </c>
      <c r="D9397" s="380" t="s">
        <v>767</v>
      </c>
      <c r="E9397" s="380" t="s">
        <v>786</v>
      </c>
      <c r="F9397" s="380" t="s">
        <v>792</v>
      </c>
      <c r="G9397" s="380" t="s">
        <v>1267</v>
      </c>
      <c r="H9397" s="380" t="s">
        <v>771</v>
      </c>
      <c r="I9397" s="380" t="s">
        <v>788</v>
      </c>
      <c r="J9397" s="380" t="s">
        <v>773</v>
      </c>
      <c r="K9397" s="381">
        <v>0.0</v>
      </c>
      <c r="L9397" s="382">
        <v>1.0</v>
      </c>
    </row>
    <row r="9398">
      <c r="A9398" s="380" t="s">
        <v>10272</v>
      </c>
      <c r="B9398" s="380" t="str">
        <f>IFERROR(__xludf.DUMMYFUNCTION("""COMPUTED_VALUE"""),"Soporte Bisagra Derecho A851242")</f>
        <v>Soporte Bisagra Derecho A851242</v>
      </c>
      <c r="C9398" s="380" t="str">
        <f>IFERROR(__xludf.DUMMYFUNCTION("""COMPUTED_VALUE"""),"70004819")</f>
        <v>70004819</v>
      </c>
      <c r="D9398" s="380" t="s">
        <v>767</v>
      </c>
      <c r="E9398" s="380" t="s">
        <v>786</v>
      </c>
      <c r="F9398" s="380" t="s">
        <v>792</v>
      </c>
      <c r="G9398" s="380" t="s">
        <v>1267</v>
      </c>
      <c r="H9398" s="380" t="s">
        <v>771</v>
      </c>
      <c r="I9398" s="380" t="s">
        <v>788</v>
      </c>
      <c r="J9398" s="380" t="s">
        <v>773</v>
      </c>
      <c r="K9398" s="381">
        <v>0.0</v>
      </c>
      <c r="L9398" s="382">
        <v>1.0</v>
      </c>
    </row>
    <row r="9399">
      <c r="A9399" s="380" t="s">
        <v>10273</v>
      </c>
      <c r="B9399" s="380" t="str">
        <f>IFERROR(__xludf.DUMMYFUNCTION("""COMPUTED_VALUE"""),"Tanque Aire Primario Eagle 9400 3831228c")</f>
        <v>Tanque Aire Primario Eagle 9400 3831228c</v>
      </c>
      <c r="C9399" s="380" t="str">
        <f>IFERROR(__xludf.DUMMYFUNCTION("""COMPUTED_VALUE"""),"70004820")</f>
        <v>70004820</v>
      </c>
      <c r="D9399" s="380" t="s">
        <v>767</v>
      </c>
      <c r="E9399" s="380" t="s">
        <v>786</v>
      </c>
      <c r="F9399" s="380" t="s">
        <v>792</v>
      </c>
      <c r="G9399" s="380" t="s">
        <v>1267</v>
      </c>
      <c r="H9399" s="380" t="s">
        <v>771</v>
      </c>
      <c r="I9399" s="380" t="s">
        <v>788</v>
      </c>
      <c r="J9399" s="380" t="s">
        <v>773</v>
      </c>
      <c r="K9399" s="381">
        <v>0.0</v>
      </c>
      <c r="L9399" s="382">
        <v>1.0</v>
      </c>
    </row>
    <row r="9400">
      <c r="A9400" s="380" t="s">
        <v>10274</v>
      </c>
      <c r="B9400" s="380" t="str">
        <f>IFERROR(__xludf.DUMMYFUNCTION("""COMPUTED_VALUE"""),"Tapizado Piso CAB FT 1039 Fabricado")</f>
        <v>Tapizado Piso CAB FT 1039 Fabricado</v>
      </c>
      <c r="C9400" s="380" t="str">
        <f>IFERROR(__xludf.DUMMYFUNCTION("""COMPUTED_VALUE"""),"70004821")</f>
        <v>70004821</v>
      </c>
      <c r="D9400" s="380" t="s">
        <v>767</v>
      </c>
      <c r="E9400" s="380" t="s">
        <v>786</v>
      </c>
      <c r="F9400" s="380" t="s">
        <v>792</v>
      </c>
      <c r="G9400" s="380" t="s">
        <v>1267</v>
      </c>
      <c r="H9400" s="380" t="s">
        <v>771</v>
      </c>
      <c r="I9400" s="380" t="s">
        <v>788</v>
      </c>
      <c r="J9400" s="380" t="s">
        <v>773</v>
      </c>
      <c r="K9400" s="381">
        <v>0.0</v>
      </c>
      <c r="L9400" s="382">
        <v>1.0</v>
      </c>
    </row>
    <row r="9401">
      <c r="A9401" s="380" t="s">
        <v>10275</v>
      </c>
      <c r="B9401" s="380" t="str">
        <f>IFERROR(__xludf.DUMMYFUNCTION("""COMPUTED_VALUE"""),"Grapa Muelle Trasera N200")</f>
        <v>Grapa Muelle Trasera N200</v>
      </c>
      <c r="C9401" s="380" t="str">
        <f>IFERROR(__xludf.DUMMYFUNCTION("""COMPUTED_VALUE"""),"70004822")</f>
        <v>70004822</v>
      </c>
      <c r="D9401" s="380" t="s">
        <v>767</v>
      </c>
      <c r="E9401" s="380" t="s">
        <v>786</v>
      </c>
      <c r="F9401" s="380" t="s">
        <v>1039</v>
      </c>
      <c r="G9401" s="380" t="s">
        <v>1267</v>
      </c>
      <c r="H9401" s="380" t="s">
        <v>771</v>
      </c>
      <c r="I9401" s="380" t="s">
        <v>788</v>
      </c>
      <c r="J9401" s="380" t="s">
        <v>773</v>
      </c>
      <c r="K9401" s="381">
        <v>0.0</v>
      </c>
      <c r="L9401" s="382">
        <v>1.0</v>
      </c>
    </row>
    <row r="9402">
      <c r="A9402" s="380" t="s">
        <v>10276</v>
      </c>
      <c r="B9402" s="380" t="str">
        <f>IFERROR(__xludf.DUMMYFUNCTION("""COMPUTED_VALUE"""),"Parabrisas Laminado Jac Jhr")</f>
        <v>Parabrisas Laminado Jac Jhr</v>
      </c>
      <c r="C9402" s="380" t="str">
        <f>IFERROR(__xludf.DUMMYFUNCTION("""COMPUTED_VALUE"""),"70004823")</f>
        <v>70004823</v>
      </c>
      <c r="D9402" s="380" t="s">
        <v>767</v>
      </c>
      <c r="E9402" s="380" t="s">
        <v>786</v>
      </c>
      <c r="F9402" s="380" t="s">
        <v>792</v>
      </c>
      <c r="G9402" s="380" t="s">
        <v>1267</v>
      </c>
      <c r="H9402" s="380" t="s">
        <v>771</v>
      </c>
      <c r="I9402" s="380" t="s">
        <v>788</v>
      </c>
      <c r="J9402" s="380" t="s">
        <v>773</v>
      </c>
      <c r="K9402" s="381">
        <v>0.0</v>
      </c>
      <c r="L9402" s="382">
        <v>1.0</v>
      </c>
    </row>
    <row r="9403">
      <c r="A9403" s="380" t="s">
        <v>10277</v>
      </c>
      <c r="B9403" s="380" t="str">
        <f>IFERROR(__xludf.DUMMYFUNCTION("""COMPUTED_VALUE"""),"BMB AUX EMB NS Urban 30620l")</f>
        <v>BMB AUX EMB NS Urban 30620l</v>
      </c>
      <c r="C9403" s="380" t="str">
        <f>IFERROR(__xludf.DUMMYFUNCTION("""COMPUTED_VALUE"""),"70004824")</f>
        <v>70004824</v>
      </c>
      <c r="D9403" s="380" t="s">
        <v>767</v>
      </c>
      <c r="E9403" s="380" t="s">
        <v>786</v>
      </c>
      <c r="F9403" s="380" t="s">
        <v>5661</v>
      </c>
      <c r="G9403" s="380" t="s">
        <v>1267</v>
      </c>
      <c r="H9403" s="380" t="s">
        <v>771</v>
      </c>
      <c r="I9403" s="380" t="s">
        <v>788</v>
      </c>
      <c r="J9403" s="380" t="s">
        <v>773</v>
      </c>
      <c r="K9403" s="381">
        <v>0.0</v>
      </c>
      <c r="L9403" s="382">
        <v>1.0</v>
      </c>
    </row>
    <row r="9404">
      <c r="A9404" s="380" t="s">
        <v>10278</v>
      </c>
      <c r="B9404" s="380" t="str">
        <f>IFERROR(__xludf.DUMMYFUNCTION("""COMPUTED_VALUE"""),"Base Tablero Completo Kw T800 S621034143")</f>
        <v>Base Tablero Completo Kw T800 S621034143</v>
      </c>
      <c r="C9404" s="380" t="str">
        <f>IFERROR(__xludf.DUMMYFUNCTION("""COMPUTED_VALUE"""),"70004825")</f>
        <v>70004825</v>
      </c>
      <c r="D9404" s="380" t="s">
        <v>767</v>
      </c>
      <c r="E9404" s="380" t="s">
        <v>786</v>
      </c>
      <c r="F9404" s="380" t="s">
        <v>792</v>
      </c>
      <c r="G9404" s="380" t="s">
        <v>1267</v>
      </c>
      <c r="H9404" s="380" t="s">
        <v>771</v>
      </c>
      <c r="I9404" s="380" t="s">
        <v>788</v>
      </c>
      <c r="J9404" s="380" t="s">
        <v>773</v>
      </c>
      <c r="K9404" s="381">
        <v>0.0</v>
      </c>
      <c r="L9404" s="382">
        <v>1.0</v>
      </c>
    </row>
    <row r="9405">
      <c r="A9405" s="380" t="s">
        <v>10279</v>
      </c>
      <c r="B9405" s="380" t="str">
        <f>IFERROR(__xludf.DUMMYFUNCTION("""COMPUTED_VALUE"""),"Chapa Completa Pta Lateral FT Mv5 594641")</f>
        <v>Chapa Completa Pta Lateral FT Mv5 594641</v>
      </c>
      <c r="C9405" s="380" t="str">
        <f>IFERROR(__xludf.DUMMYFUNCTION("""COMPUTED_VALUE"""),"70004826")</f>
        <v>70004826</v>
      </c>
      <c r="D9405" s="380" t="s">
        <v>767</v>
      </c>
      <c r="E9405" s="380" t="s">
        <v>786</v>
      </c>
      <c r="F9405" s="380" t="s">
        <v>792</v>
      </c>
      <c r="G9405" s="380" t="s">
        <v>1267</v>
      </c>
      <c r="H9405" s="380" t="s">
        <v>771</v>
      </c>
      <c r="I9405" s="380" t="s">
        <v>788</v>
      </c>
      <c r="J9405" s="380" t="s">
        <v>773</v>
      </c>
      <c r="K9405" s="381">
        <v>143287.0</v>
      </c>
      <c r="L9405" s="382">
        <v>1.0</v>
      </c>
    </row>
    <row r="9406">
      <c r="A9406" s="380" t="s">
        <v>10280</v>
      </c>
      <c r="B9406" s="380" t="str">
        <f>IFERROR(__xludf.DUMMYFUNCTION("""COMPUTED_VALUE"""),"Guaya Neutra Foton 1129 1023545297")</f>
        <v>Guaya Neutra Foton 1129 1023545297</v>
      </c>
      <c r="C9406" s="380" t="str">
        <f>IFERROR(__xludf.DUMMYFUNCTION("""COMPUTED_VALUE"""),"70004827")</f>
        <v>70004827</v>
      </c>
      <c r="D9406" s="380" t="s">
        <v>767</v>
      </c>
      <c r="E9406" s="380" t="s">
        <v>786</v>
      </c>
      <c r="F9406" s="380" t="s">
        <v>928</v>
      </c>
      <c r="G9406" s="380" t="s">
        <v>1267</v>
      </c>
      <c r="H9406" s="380" t="s">
        <v>771</v>
      </c>
      <c r="I9406" s="380" t="s">
        <v>788</v>
      </c>
      <c r="J9406" s="380" t="s">
        <v>773</v>
      </c>
      <c r="K9406" s="381">
        <v>238400.0</v>
      </c>
      <c r="L9406" s="382">
        <v>1.0</v>
      </c>
    </row>
    <row r="9407">
      <c r="A9407" s="380" t="s">
        <v>10281</v>
      </c>
      <c r="B9407" s="380" t="str">
        <f>IFERROR(__xludf.DUMMYFUNCTION("""COMPUTED_VALUE"""),"BMB AUX Boster EMB Frr 1318003832")</f>
        <v>BMB AUX Boster EMB Frr 1318003832</v>
      </c>
      <c r="C9407" s="380" t="str">
        <f>IFERROR(__xludf.DUMMYFUNCTION("""COMPUTED_VALUE"""),"70004828")</f>
        <v>70004828</v>
      </c>
      <c r="D9407" s="380" t="s">
        <v>767</v>
      </c>
      <c r="E9407" s="380" t="s">
        <v>786</v>
      </c>
      <c r="F9407" s="380" t="s">
        <v>5661</v>
      </c>
      <c r="G9407" s="380" t="s">
        <v>1267</v>
      </c>
      <c r="H9407" s="380" t="s">
        <v>771</v>
      </c>
      <c r="I9407" s="380" t="s">
        <v>788</v>
      </c>
      <c r="J9407" s="380" t="s">
        <v>773</v>
      </c>
      <c r="K9407" s="381">
        <v>0.0</v>
      </c>
      <c r="L9407" s="382">
        <v>1.0</v>
      </c>
    </row>
    <row r="9408">
      <c r="A9408" s="380" t="s">
        <v>10282</v>
      </c>
      <c r="B9408" s="380" t="str">
        <f>IFERROR(__xludf.DUMMYFUNCTION("""COMPUTED_VALUE"""),"Buje BRR Estabilizadora HN 300 700016919")</f>
        <v>Buje BRR Estabilizadora HN 300 700016919</v>
      </c>
      <c r="C9408" s="380" t="str">
        <f>IFERROR(__xludf.DUMMYFUNCTION("""COMPUTED_VALUE"""),"70004829")</f>
        <v>70004829</v>
      </c>
      <c r="D9408" s="380" t="s">
        <v>767</v>
      </c>
      <c r="E9408" s="380" t="s">
        <v>786</v>
      </c>
      <c r="F9408" s="380" t="s">
        <v>1039</v>
      </c>
      <c r="G9408" s="380" t="s">
        <v>1267</v>
      </c>
      <c r="H9408" s="380" t="s">
        <v>771</v>
      </c>
      <c r="I9408" s="380" t="s">
        <v>788</v>
      </c>
      <c r="J9408" s="380" t="s">
        <v>773</v>
      </c>
      <c r="K9408" s="381">
        <v>0.0</v>
      </c>
      <c r="L9408" s="382">
        <v>1.0</v>
      </c>
    </row>
    <row r="9409">
      <c r="A9409" s="380" t="s">
        <v>10283</v>
      </c>
      <c r="B9409" s="380" t="str">
        <f>IFERROR(__xludf.DUMMYFUNCTION("""COMPUTED_VALUE"""),"Farola IZQ FT 1065 7705946675291")</f>
        <v>Farola IZQ FT 1065 7705946675291</v>
      </c>
      <c r="C9409" s="380" t="str">
        <f>IFERROR(__xludf.DUMMYFUNCTION("""COMPUTED_VALUE"""),"70004830")</f>
        <v>70004830</v>
      </c>
      <c r="D9409" s="380" t="s">
        <v>767</v>
      </c>
      <c r="E9409" s="380" t="s">
        <v>786</v>
      </c>
      <c r="F9409" s="380" t="s">
        <v>998</v>
      </c>
      <c r="G9409" s="380" t="s">
        <v>1267</v>
      </c>
      <c r="H9409" s="380" t="s">
        <v>771</v>
      </c>
      <c r="I9409" s="380" t="s">
        <v>788</v>
      </c>
      <c r="J9409" s="380" t="s">
        <v>773</v>
      </c>
      <c r="K9409" s="381">
        <v>0.0</v>
      </c>
      <c r="L9409" s="382">
        <v>1.0</v>
      </c>
    </row>
    <row r="9410">
      <c r="A9410" s="380" t="s">
        <v>10284</v>
      </c>
      <c r="B9410" s="380" t="str">
        <f>IFERROR(__xludf.DUMMYFUNCTION("""COMPUTED_VALUE"""),"Valvula Descargue Chasis 221992")</f>
        <v>Valvula Descargue Chasis 221992</v>
      </c>
      <c r="C9410" s="380" t="str">
        <f>IFERROR(__xludf.DUMMYFUNCTION("""COMPUTED_VALUE"""),"70004831")</f>
        <v>70004831</v>
      </c>
      <c r="D9410" s="380" t="s">
        <v>767</v>
      </c>
      <c r="E9410" s="380" t="s">
        <v>786</v>
      </c>
      <c r="F9410" s="380" t="s">
        <v>1017</v>
      </c>
      <c r="G9410" s="380" t="s">
        <v>1267</v>
      </c>
      <c r="H9410" s="380" t="s">
        <v>771</v>
      </c>
      <c r="I9410" s="380" t="s">
        <v>788</v>
      </c>
      <c r="J9410" s="380" t="s">
        <v>773</v>
      </c>
      <c r="K9410" s="381">
        <v>0.0</v>
      </c>
      <c r="L9410" s="382">
        <v>1.0</v>
      </c>
    </row>
    <row r="9411">
      <c r="A9411" s="380" t="s">
        <v>10285</v>
      </c>
      <c r="B9411" s="380" t="str">
        <f>IFERROR(__xludf.DUMMYFUNCTION("""COMPUTED_VALUE"""),"Camisa Inyector HN Dutropack S111761200")</f>
        <v>Camisa Inyector HN Dutropack S111761200</v>
      </c>
      <c r="C9411" s="380" t="str">
        <f>IFERROR(__xludf.DUMMYFUNCTION("""COMPUTED_VALUE"""),"70004832")</f>
        <v>70004832</v>
      </c>
      <c r="D9411" s="380" t="s">
        <v>767</v>
      </c>
      <c r="E9411" s="380" t="s">
        <v>786</v>
      </c>
      <c r="F9411" s="380" t="s">
        <v>787</v>
      </c>
      <c r="G9411" s="380" t="s">
        <v>1267</v>
      </c>
      <c r="H9411" s="380" t="s">
        <v>771</v>
      </c>
      <c r="I9411" s="380" t="s">
        <v>788</v>
      </c>
      <c r="J9411" s="380" t="s">
        <v>773</v>
      </c>
      <c r="K9411" s="381">
        <v>0.0</v>
      </c>
      <c r="L9411" s="382">
        <v>1.0</v>
      </c>
    </row>
    <row r="9412">
      <c r="A9412" s="380" t="s">
        <v>10286</v>
      </c>
      <c r="B9412" s="380" t="str">
        <f>IFERROR(__xludf.DUMMYFUNCTION("""COMPUTED_VALUE"""),"CIL Freno Tras Izq NS Urvan 4410005n14")</f>
        <v>CIL Freno Tras Izq NS Urvan 4410005n14</v>
      </c>
      <c r="C9412" s="380" t="str">
        <f>IFERROR(__xludf.DUMMYFUNCTION("""COMPUTED_VALUE"""),"70004833")</f>
        <v>70004833</v>
      </c>
      <c r="D9412" s="380" t="s">
        <v>767</v>
      </c>
      <c r="E9412" s="380" t="s">
        <v>786</v>
      </c>
      <c r="F9412" s="380" t="s">
        <v>1017</v>
      </c>
      <c r="G9412" s="380" t="s">
        <v>1267</v>
      </c>
      <c r="H9412" s="380" t="s">
        <v>771</v>
      </c>
      <c r="I9412" s="380" t="s">
        <v>788</v>
      </c>
      <c r="J9412" s="380" t="s">
        <v>773</v>
      </c>
      <c r="K9412" s="381">
        <v>0.0</v>
      </c>
      <c r="L9412" s="382">
        <v>1.0</v>
      </c>
    </row>
    <row r="9413">
      <c r="A9413" s="380" t="s">
        <v>10287</v>
      </c>
      <c r="B9413" s="380" t="str">
        <f>IFERROR(__xludf.DUMMYFUNCTION("""COMPUTED_VALUE"""),"SOP Inf Lh MUE Del Suspens Kw B801005404")</f>
        <v>SOP Inf Lh MUE Del Suspens Kw B801005404</v>
      </c>
      <c r="C9413" s="380" t="str">
        <f>IFERROR(__xludf.DUMMYFUNCTION("""COMPUTED_VALUE"""),"70004834")</f>
        <v>70004834</v>
      </c>
      <c r="D9413" s="380" t="s">
        <v>767</v>
      </c>
      <c r="E9413" s="380" t="s">
        <v>786</v>
      </c>
      <c r="F9413" s="380" t="s">
        <v>1039</v>
      </c>
      <c r="G9413" s="380" t="s">
        <v>1267</v>
      </c>
      <c r="H9413" s="380" t="s">
        <v>771</v>
      </c>
      <c r="I9413" s="380" t="s">
        <v>788</v>
      </c>
      <c r="J9413" s="380" t="s">
        <v>773</v>
      </c>
      <c r="K9413" s="381">
        <v>0.0</v>
      </c>
      <c r="L9413" s="382">
        <v>1.0</v>
      </c>
    </row>
    <row r="9414">
      <c r="A9414" s="380" t="s">
        <v>10288</v>
      </c>
      <c r="B9414" s="380" t="str">
        <f>IFERROR(__xludf.DUMMYFUNCTION("""COMPUTED_VALUE"""),"SOP Inf Rh MUE Del Suspens Kw B801005304")</f>
        <v>SOP Inf Rh MUE Del Suspens Kw B801005304</v>
      </c>
      <c r="C9414" s="380" t="str">
        <f>IFERROR(__xludf.DUMMYFUNCTION("""COMPUTED_VALUE"""),"70004835")</f>
        <v>70004835</v>
      </c>
      <c r="D9414" s="380" t="s">
        <v>767</v>
      </c>
      <c r="E9414" s="380" t="s">
        <v>786</v>
      </c>
      <c r="F9414" s="380" t="s">
        <v>1039</v>
      </c>
      <c r="G9414" s="380" t="s">
        <v>1267</v>
      </c>
      <c r="H9414" s="380" t="s">
        <v>771</v>
      </c>
      <c r="I9414" s="380" t="s">
        <v>788</v>
      </c>
      <c r="J9414" s="380" t="s">
        <v>773</v>
      </c>
      <c r="K9414" s="381">
        <v>0.0</v>
      </c>
      <c r="L9414" s="382">
        <v>1.0</v>
      </c>
    </row>
    <row r="9415">
      <c r="A9415" s="380" t="s">
        <v>10289</v>
      </c>
      <c r="B9415" s="380" t="str">
        <f>IFERROR(__xludf.DUMMYFUNCTION("""COMPUTED_VALUE"""),"Guaya Freno Mano Jac 1042 201 3508100ld3")</f>
        <v>Guaya Freno Mano Jac 1042 201 3508100ld3</v>
      </c>
      <c r="C9415" s="380" t="str">
        <f>IFERROR(__xludf.DUMMYFUNCTION("""COMPUTED_VALUE"""),"70004836")</f>
        <v>70004836</v>
      </c>
      <c r="D9415" s="380" t="s">
        <v>767</v>
      </c>
      <c r="E9415" s="380" t="s">
        <v>786</v>
      </c>
      <c r="F9415" s="380" t="s">
        <v>1017</v>
      </c>
      <c r="G9415" s="380" t="s">
        <v>1267</v>
      </c>
      <c r="H9415" s="380" t="s">
        <v>771</v>
      </c>
      <c r="I9415" s="380" t="s">
        <v>788</v>
      </c>
      <c r="J9415" s="380" t="s">
        <v>773</v>
      </c>
      <c r="K9415" s="381">
        <v>0.0</v>
      </c>
      <c r="L9415" s="382">
        <v>1.0</v>
      </c>
    </row>
    <row r="9416">
      <c r="A9416" s="380" t="s">
        <v>10290</v>
      </c>
      <c r="B9416" s="380" t="str">
        <f>IFERROR(__xludf.DUMMYFUNCTION("""COMPUTED_VALUE"""),"Motor Arranque 39mt Eagle 8200308")</f>
        <v>Motor Arranque 39mt Eagle 8200308</v>
      </c>
      <c r="C9416" s="380" t="str">
        <f>IFERROR(__xludf.DUMMYFUNCTION("""COMPUTED_VALUE"""),"70004837")</f>
        <v>70004837</v>
      </c>
      <c r="D9416" s="380" t="s">
        <v>767</v>
      </c>
      <c r="E9416" s="380" t="s">
        <v>786</v>
      </c>
      <c r="F9416" s="380" t="s">
        <v>998</v>
      </c>
      <c r="G9416" s="380" t="s">
        <v>1267</v>
      </c>
      <c r="H9416" s="380" t="s">
        <v>771</v>
      </c>
      <c r="I9416" s="380" t="s">
        <v>788</v>
      </c>
      <c r="J9416" s="380" t="s">
        <v>773</v>
      </c>
      <c r="K9416" s="381">
        <v>1264375.0</v>
      </c>
      <c r="L9416" s="382">
        <v>1.0</v>
      </c>
    </row>
    <row r="9417">
      <c r="A9417" s="380" t="s">
        <v>10291</v>
      </c>
      <c r="B9417" s="380" t="str">
        <f>IFERROR(__xludf.DUMMYFUNCTION("""COMPUTED_VALUE"""),"Tope Cabina De Npr 8971133400")</f>
        <v>Tope Cabina De Npr 8971133400</v>
      </c>
      <c r="C9417" s="380" t="str">
        <f>IFERROR(__xludf.DUMMYFUNCTION("""COMPUTED_VALUE"""),"70004838")</f>
        <v>70004838</v>
      </c>
      <c r="D9417" s="380" t="s">
        <v>767</v>
      </c>
      <c r="E9417" s="380" t="s">
        <v>786</v>
      </c>
      <c r="F9417" s="380" t="s">
        <v>792</v>
      </c>
      <c r="G9417" s="380" t="s">
        <v>1267</v>
      </c>
      <c r="H9417" s="380" t="s">
        <v>771</v>
      </c>
      <c r="I9417" s="380" t="s">
        <v>788</v>
      </c>
      <c r="J9417" s="380" t="s">
        <v>773</v>
      </c>
      <c r="K9417" s="381">
        <v>0.0</v>
      </c>
      <c r="L9417" s="382">
        <v>1.0</v>
      </c>
    </row>
    <row r="9418">
      <c r="A9418" s="380" t="s">
        <v>10292</v>
      </c>
      <c r="B9418" s="380" t="str">
        <f>IFERROR(__xludf.DUMMYFUNCTION("""COMPUTED_VALUE"""),"VALV De Alivio BMB De INY FT 5946236157")</f>
        <v>VALV De Alivio BMB De INY FT 5946236157</v>
      </c>
      <c r="C9418" s="380" t="str">
        <f>IFERROR(__xludf.DUMMYFUNCTION("""COMPUTED_VALUE"""),"70004839")</f>
        <v>70004839</v>
      </c>
      <c r="D9418" s="380" t="s">
        <v>767</v>
      </c>
      <c r="E9418" s="380" t="s">
        <v>786</v>
      </c>
      <c r="F9418" s="380" t="s">
        <v>787</v>
      </c>
      <c r="G9418" s="380" t="s">
        <v>1267</v>
      </c>
      <c r="H9418" s="380" t="s">
        <v>771</v>
      </c>
      <c r="I9418" s="380" t="s">
        <v>788</v>
      </c>
      <c r="J9418" s="380" t="s">
        <v>773</v>
      </c>
      <c r="K9418" s="381">
        <v>0.0</v>
      </c>
      <c r="L9418" s="382">
        <v>1.0</v>
      </c>
    </row>
    <row r="9419">
      <c r="A9419" s="380" t="s">
        <v>10293</v>
      </c>
      <c r="B9419" s="380" t="str">
        <f>IFERROR(__xludf.DUMMYFUNCTION("""COMPUTED_VALUE"""),"Guardapolvo Caucho Carcasa FIL 2503911c1")</f>
        <v>Guardapolvo Caucho Carcasa FIL 2503911c1</v>
      </c>
      <c r="C9419" s="380" t="str">
        <f>IFERROR(__xludf.DUMMYFUNCTION("""COMPUTED_VALUE"""),"70004840")</f>
        <v>70004840</v>
      </c>
      <c r="D9419" s="380" t="s">
        <v>767</v>
      </c>
      <c r="E9419" s="380" t="s">
        <v>786</v>
      </c>
      <c r="F9419" s="380" t="s">
        <v>787</v>
      </c>
      <c r="G9419" s="380" t="s">
        <v>1267</v>
      </c>
      <c r="H9419" s="380" t="s">
        <v>771</v>
      </c>
      <c r="I9419" s="380" t="s">
        <v>788</v>
      </c>
      <c r="J9419" s="380" t="s">
        <v>773</v>
      </c>
      <c r="K9419" s="381">
        <v>0.0</v>
      </c>
      <c r="L9419" s="382">
        <v>1.0</v>
      </c>
    </row>
    <row r="9420">
      <c r="A9420" s="380" t="s">
        <v>10294</v>
      </c>
      <c r="B9420" s="380" t="str">
        <f>IFERROR(__xludf.DUMMYFUNCTION("""COMPUTED_VALUE"""),"Direcal Puerta Rh Foton 1128 5946492409")</f>
        <v>Direcal Puerta Rh Foton 1128 5946492409</v>
      </c>
      <c r="C9420" s="380" t="str">
        <f>IFERROR(__xludf.DUMMYFUNCTION("""COMPUTED_VALUE"""),"70004841")</f>
        <v>70004841</v>
      </c>
      <c r="D9420" s="380" t="s">
        <v>767</v>
      </c>
      <c r="E9420" s="380" t="s">
        <v>786</v>
      </c>
      <c r="F9420" s="380" t="s">
        <v>998</v>
      </c>
      <c r="G9420" s="380" t="s">
        <v>1267</v>
      </c>
      <c r="H9420" s="380" t="s">
        <v>771</v>
      </c>
      <c r="I9420" s="380" t="s">
        <v>788</v>
      </c>
      <c r="J9420" s="380" t="s">
        <v>773</v>
      </c>
      <c r="K9420" s="381">
        <v>0.0</v>
      </c>
      <c r="L9420" s="382">
        <v>1.0</v>
      </c>
    </row>
    <row r="9421">
      <c r="A9421" s="380" t="s">
        <v>10295</v>
      </c>
      <c r="B9421" s="380" t="str">
        <f>IFERROR(__xludf.DUMMYFUNCTION("""COMPUTED_VALUE"""),"SOP Der Mecanismo CAB FT 1129 1023081788")</f>
        <v>SOP Der Mecanismo CAB FT 1129 1023081788</v>
      </c>
      <c r="C9421" s="380" t="str">
        <f>IFERROR(__xludf.DUMMYFUNCTION("""COMPUTED_VALUE"""),"70004842")</f>
        <v>70004842</v>
      </c>
      <c r="D9421" s="380" t="s">
        <v>767</v>
      </c>
      <c r="E9421" s="380" t="s">
        <v>786</v>
      </c>
      <c r="F9421" s="380" t="s">
        <v>792</v>
      </c>
      <c r="G9421" s="380" t="s">
        <v>1267</v>
      </c>
      <c r="H9421" s="380" t="s">
        <v>771</v>
      </c>
      <c r="I9421" s="380" t="s">
        <v>788</v>
      </c>
      <c r="J9421" s="380" t="s">
        <v>773</v>
      </c>
      <c r="K9421" s="381">
        <v>0.0</v>
      </c>
      <c r="L9421" s="382">
        <v>1.0</v>
      </c>
    </row>
    <row r="9422">
      <c r="A9422" s="380" t="s">
        <v>10296</v>
      </c>
      <c r="B9422" s="380" t="str">
        <f>IFERROR(__xludf.DUMMYFUNCTION("""COMPUTED_VALUE"""),"VALV Nivel AIR Susp Neumatica Cou 0052-0")</f>
        <v>VALV Nivel AIR Susp Neumatica Cou 0052-0</v>
      </c>
      <c r="C9422" s="380" t="str">
        <f>IFERROR(__xludf.DUMMYFUNCTION("""COMPUTED_VALUE"""),"70004843")</f>
        <v>70004843</v>
      </c>
      <c r="D9422" s="380" t="s">
        <v>767</v>
      </c>
      <c r="E9422" s="380" t="s">
        <v>786</v>
      </c>
      <c r="F9422" s="380" t="s">
        <v>1039</v>
      </c>
      <c r="G9422" s="380" t="s">
        <v>1267</v>
      </c>
      <c r="H9422" s="380" t="s">
        <v>771</v>
      </c>
      <c r="I9422" s="380" t="s">
        <v>788</v>
      </c>
      <c r="J9422" s="380" t="s">
        <v>773</v>
      </c>
      <c r="K9422" s="381">
        <v>0.0</v>
      </c>
      <c r="L9422" s="382">
        <v>1.0</v>
      </c>
    </row>
    <row r="9423">
      <c r="A9423" s="380" t="s">
        <v>10297</v>
      </c>
      <c r="B9423" s="380" t="str">
        <f>IFERROR(__xludf.DUMMYFUNCTION("""COMPUTED_VALUE"""),"Disco De EMB Jac 1042kn Model 1600200ld3")</f>
        <v>Disco De EMB Jac 1042kn Model 1600200ld3</v>
      </c>
      <c r="C9423" s="380" t="str">
        <f>IFERROR(__xludf.DUMMYFUNCTION("""COMPUTED_VALUE"""),"70004844")</f>
        <v>70004844</v>
      </c>
      <c r="D9423" s="380" t="s">
        <v>767</v>
      </c>
      <c r="E9423" s="380" t="s">
        <v>786</v>
      </c>
      <c r="F9423" s="380" t="s">
        <v>5661</v>
      </c>
      <c r="G9423" s="380" t="s">
        <v>1267</v>
      </c>
      <c r="H9423" s="380" t="s">
        <v>771</v>
      </c>
      <c r="I9423" s="380" t="s">
        <v>788</v>
      </c>
      <c r="J9423" s="380" t="s">
        <v>773</v>
      </c>
      <c r="K9423" s="381">
        <v>0.0</v>
      </c>
      <c r="L9423" s="382">
        <v>1.0</v>
      </c>
    </row>
    <row r="9424">
      <c r="A9424" s="380" t="s">
        <v>10298</v>
      </c>
      <c r="B9424" s="380" t="str">
        <f>IFERROR(__xludf.DUMMYFUNCTION("""COMPUTED_VALUE"""),"Balinera EMB Jac 1042kn Mod 2 C160562000")</f>
        <v>Balinera EMB Jac 1042kn Mod 2 C160562000</v>
      </c>
      <c r="C9424" s="380" t="str">
        <f>IFERROR(__xludf.DUMMYFUNCTION("""COMPUTED_VALUE"""),"70004845")</f>
        <v>70004845</v>
      </c>
      <c r="D9424" s="380" t="s">
        <v>767</v>
      </c>
      <c r="E9424" s="380" t="s">
        <v>786</v>
      </c>
      <c r="F9424" s="380" t="s">
        <v>5661</v>
      </c>
      <c r="G9424" s="380" t="s">
        <v>1267</v>
      </c>
      <c r="H9424" s="380" t="s">
        <v>771</v>
      </c>
      <c r="I9424" s="380" t="s">
        <v>788</v>
      </c>
      <c r="J9424" s="380" t="s">
        <v>773</v>
      </c>
      <c r="K9424" s="381">
        <v>0.0</v>
      </c>
      <c r="L9424" s="382">
        <v>1.0</v>
      </c>
    </row>
    <row r="9425">
      <c r="A9425" s="380" t="s">
        <v>10299</v>
      </c>
      <c r="B9425" s="380" t="str">
        <f>IFERROR(__xludf.DUMMYFUNCTION("""COMPUTED_VALUE"""),"Prensa EMB Jac 1042kn Mod 2018 1600100ld")</f>
        <v>Prensa EMB Jac 1042kn Mod 2018 1600100ld</v>
      </c>
      <c r="C9425" s="380" t="str">
        <f>IFERROR(__xludf.DUMMYFUNCTION("""COMPUTED_VALUE"""),"70004846")</f>
        <v>70004846</v>
      </c>
      <c r="D9425" s="380" t="s">
        <v>767</v>
      </c>
      <c r="E9425" s="380" t="s">
        <v>786</v>
      </c>
      <c r="F9425" s="380" t="s">
        <v>5661</v>
      </c>
      <c r="G9425" s="380" t="s">
        <v>1267</v>
      </c>
      <c r="H9425" s="380" t="s">
        <v>771</v>
      </c>
      <c r="I9425" s="380" t="s">
        <v>788</v>
      </c>
      <c r="J9425" s="380" t="s">
        <v>773</v>
      </c>
      <c r="K9425" s="381">
        <v>0.0</v>
      </c>
      <c r="L9425" s="382">
        <v>1.0</v>
      </c>
    </row>
    <row r="9426">
      <c r="A9426" s="380" t="s">
        <v>10300</v>
      </c>
      <c r="B9426" s="380" t="str">
        <f>IFERROR(__xludf.DUMMYFUNCTION("""COMPUTED_VALUE"""),"Retenedor Int Rueda Tras Jac 31c89g04080")</f>
        <v>Retenedor Int Rueda Tras Jac 31c89g04080</v>
      </c>
      <c r="C9426" s="380" t="str">
        <f>IFERROR(__xludf.DUMMYFUNCTION("""COMPUTED_VALUE"""),"70004847")</f>
        <v>70004847</v>
      </c>
      <c r="D9426" s="380" t="s">
        <v>767</v>
      </c>
      <c r="E9426" s="380" t="s">
        <v>786</v>
      </c>
      <c r="F9426" s="380" t="s">
        <v>1039</v>
      </c>
      <c r="G9426" s="380" t="s">
        <v>1267</v>
      </c>
      <c r="H9426" s="380" t="s">
        <v>771</v>
      </c>
      <c r="I9426" s="380" t="s">
        <v>788</v>
      </c>
      <c r="J9426" s="380" t="s">
        <v>773</v>
      </c>
      <c r="K9426" s="381">
        <v>0.0</v>
      </c>
      <c r="L9426" s="382">
        <v>1.0</v>
      </c>
    </row>
    <row r="9427">
      <c r="A9427" s="380" t="s">
        <v>10301</v>
      </c>
      <c r="B9427" s="380" t="str">
        <f>IFERROR(__xludf.DUMMYFUNCTION("""COMPUTED_VALUE"""),"Parabrisas Mack Anthem")</f>
        <v>Parabrisas Mack Anthem</v>
      </c>
      <c r="C9427" s="380" t="str">
        <f>IFERROR(__xludf.DUMMYFUNCTION("""COMPUTED_VALUE"""),"70004848")</f>
        <v>70004848</v>
      </c>
      <c r="D9427" s="380" t="s">
        <v>767</v>
      </c>
      <c r="E9427" s="380" t="s">
        <v>786</v>
      </c>
      <c r="F9427" s="380" t="s">
        <v>792</v>
      </c>
      <c r="G9427" s="380" t="s">
        <v>1267</v>
      </c>
      <c r="H9427" s="380" t="s">
        <v>771</v>
      </c>
      <c r="I9427" s="380" t="s">
        <v>788</v>
      </c>
      <c r="J9427" s="380" t="s">
        <v>773</v>
      </c>
      <c r="K9427" s="381">
        <v>0.0</v>
      </c>
      <c r="L9427" s="382">
        <v>1.0</v>
      </c>
    </row>
    <row r="9428">
      <c r="A9428" s="380" t="s">
        <v>10302</v>
      </c>
      <c r="B9428" s="380" t="str">
        <f>IFERROR(__xludf.DUMMYFUNCTION("""COMPUTED_VALUE"""),"Racor En T Rapido 3/8 B64r")</f>
        <v>Racor En T Rapido 3/8 B64r</v>
      </c>
      <c r="C9428" s="380" t="str">
        <f>IFERROR(__xludf.DUMMYFUNCTION("""COMPUTED_VALUE"""),"70004849")</f>
        <v>70004849</v>
      </c>
      <c r="D9428" s="380" t="s">
        <v>767</v>
      </c>
      <c r="E9428" s="380" t="s">
        <v>786</v>
      </c>
      <c r="F9428" s="380" t="s">
        <v>989</v>
      </c>
      <c r="G9428" s="380" t="s">
        <v>1267</v>
      </c>
      <c r="H9428" s="380" t="s">
        <v>771</v>
      </c>
      <c r="I9428" s="380" t="s">
        <v>788</v>
      </c>
      <c r="J9428" s="380" t="s">
        <v>773</v>
      </c>
      <c r="K9428" s="381">
        <v>0.0</v>
      </c>
      <c r="L9428" s="382">
        <v>1.0</v>
      </c>
    </row>
    <row r="9429">
      <c r="A9429" s="380" t="s">
        <v>10303</v>
      </c>
      <c r="B9429" s="380" t="str">
        <f>IFERROR(__xludf.DUMMYFUNCTION("""COMPUTED_VALUE"""),"Tubo BRR Tensora Longitudinal H 62007365")</f>
        <v>Tubo BRR Tensora Longitudinal H 62007365</v>
      </c>
      <c r="C9429" s="380" t="str">
        <f>IFERROR(__xludf.DUMMYFUNCTION("""COMPUTED_VALUE"""),"70004850")</f>
        <v>70004850</v>
      </c>
      <c r="D9429" s="380" t="s">
        <v>767</v>
      </c>
      <c r="E9429" s="380" t="s">
        <v>786</v>
      </c>
      <c r="F9429" s="380" t="s">
        <v>1039</v>
      </c>
      <c r="G9429" s="380" t="s">
        <v>1267</v>
      </c>
      <c r="H9429" s="380" t="s">
        <v>771</v>
      </c>
      <c r="I9429" s="380" t="s">
        <v>788</v>
      </c>
      <c r="J9429" s="380" t="s">
        <v>773</v>
      </c>
      <c r="K9429" s="381">
        <v>0.0</v>
      </c>
      <c r="L9429" s="382">
        <v>1.0</v>
      </c>
    </row>
    <row r="9430">
      <c r="A9430" s="380" t="s">
        <v>10304</v>
      </c>
      <c r="B9430" s="380" t="str">
        <f>IFERROR(__xludf.DUMMYFUNCTION("""COMPUTED_VALUE"""),"Correa BMB Hidráulica Y AIR A 5946767323")</f>
        <v>Correa BMB Hidráulica Y AIR A 5946767323</v>
      </c>
      <c r="C9430" s="380" t="str">
        <f>IFERROR(__xludf.DUMMYFUNCTION("""COMPUTED_VALUE"""),"70004851")</f>
        <v>70004851</v>
      </c>
      <c r="D9430" s="380" t="s">
        <v>767</v>
      </c>
      <c r="E9430" s="380" t="s">
        <v>786</v>
      </c>
      <c r="F9430" s="380" t="s">
        <v>787</v>
      </c>
      <c r="G9430" s="380" t="s">
        <v>1267</v>
      </c>
      <c r="H9430" s="380" t="s">
        <v>771</v>
      </c>
      <c r="I9430" s="380" t="s">
        <v>788</v>
      </c>
      <c r="J9430" s="380" t="s">
        <v>773</v>
      </c>
      <c r="K9430" s="381">
        <v>37800.0</v>
      </c>
      <c r="L9430" s="382">
        <v>1.0</v>
      </c>
    </row>
    <row r="9431">
      <c r="A9431" s="380" t="s">
        <v>10305</v>
      </c>
      <c r="B9431" s="380" t="str">
        <f>IFERROR(__xludf.DUMMYFUNCTION("""COMPUTED_VALUE"""),"Set Rodillo RDA Tras INTna Nkr 28985/20")</f>
        <v>Set Rodillo RDA Tras INTna Nkr 28985/20</v>
      </c>
      <c r="C9431" s="380" t="str">
        <f>IFERROR(__xludf.DUMMYFUNCTION("""COMPUTED_VALUE"""),"70004852")</f>
        <v>70004852</v>
      </c>
      <c r="D9431" s="380" t="s">
        <v>767</v>
      </c>
      <c r="E9431" s="380" t="s">
        <v>786</v>
      </c>
      <c r="F9431" s="380" t="s">
        <v>1039</v>
      </c>
      <c r="G9431" s="380" t="s">
        <v>1267</v>
      </c>
      <c r="H9431" s="380" t="s">
        <v>771</v>
      </c>
      <c r="I9431" s="380" t="s">
        <v>788</v>
      </c>
      <c r="J9431" s="380" t="s">
        <v>773</v>
      </c>
      <c r="K9431" s="381">
        <v>0.0</v>
      </c>
      <c r="L9431" s="382">
        <v>1.0</v>
      </c>
    </row>
    <row r="9432">
      <c r="A9432" s="380" t="s">
        <v>10306</v>
      </c>
      <c r="B9432" s="380" t="str">
        <f>IFERROR(__xludf.DUMMYFUNCTION("""COMPUTED_VALUE"""),"SENS Presion Y TEMP AIR Jac J 1026130fe0")</f>
        <v>SENS Presion Y TEMP AIR Jac J 1026130fe0</v>
      </c>
      <c r="C9432" s="380" t="str">
        <f>IFERROR(__xludf.DUMMYFUNCTION("""COMPUTED_VALUE"""),"70004853")</f>
        <v>70004853</v>
      </c>
      <c r="D9432" s="380" t="s">
        <v>767</v>
      </c>
      <c r="E9432" s="380" t="s">
        <v>786</v>
      </c>
      <c r="F9432" s="380" t="s">
        <v>998</v>
      </c>
      <c r="G9432" s="380" t="s">
        <v>1267</v>
      </c>
      <c r="H9432" s="380" t="s">
        <v>771</v>
      </c>
      <c r="I9432" s="380" t="s">
        <v>788</v>
      </c>
      <c r="J9432" s="380" t="s">
        <v>773</v>
      </c>
      <c r="K9432" s="381">
        <v>0.0</v>
      </c>
      <c r="L9432" s="382">
        <v>1.0</v>
      </c>
    </row>
    <row r="9433">
      <c r="A9433" s="380" t="s">
        <v>10307</v>
      </c>
      <c r="B9433" s="380" t="str">
        <f>IFERROR(__xludf.DUMMYFUNCTION("""COMPUTED_VALUE"""),"Suiche CTRL Vidrio PTA Pasajer 3544936c6")</f>
        <v>Suiche CTRL Vidrio PTA Pasajer 3544936c6</v>
      </c>
      <c r="C9433" s="380" t="str">
        <f>IFERROR(__xludf.DUMMYFUNCTION("""COMPUTED_VALUE"""),"70004854")</f>
        <v>70004854</v>
      </c>
      <c r="D9433" s="380" t="s">
        <v>767</v>
      </c>
      <c r="E9433" s="380" t="s">
        <v>786</v>
      </c>
      <c r="F9433" s="380" t="s">
        <v>998</v>
      </c>
      <c r="G9433" s="380" t="s">
        <v>1267</v>
      </c>
      <c r="H9433" s="380" t="s">
        <v>771</v>
      </c>
      <c r="I9433" s="380" t="s">
        <v>788</v>
      </c>
      <c r="J9433" s="380" t="s">
        <v>773</v>
      </c>
      <c r="K9433" s="381">
        <v>0.0</v>
      </c>
      <c r="L9433" s="382">
        <v>1.0</v>
      </c>
    </row>
    <row r="9434">
      <c r="A9434" s="380" t="s">
        <v>10308</v>
      </c>
      <c r="B9434" s="380" t="str">
        <f>IFERROR(__xludf.DUMMYFUNCTION("""COMPUTED_VALUE"""),"Estribo PTA Dcha FT 1128 5946796637")</f>
        <v>Estribo PTA Dcha FT 1128 5946796637</v>
      </c>
      <c r="C9434" s="380" t="str">
        <f>IFERROR(__xludf.DUMMYFUNCTION("""COMPUTED_VALUE"""),"70004855")</f>
        <v>70004855</v>
      </c>
      <c r="D9434" s="380" t="s">
        <v>767</v>
      </c>
      <c r="E9434" s="380" t="s">
        <v>786</v>
      </c>
      <c r="F9434" s="380" t="s">
        <v>792</v>
      </c>
      <c r="G9434" s="380" t="s">
        <v>1267</v>
      </c>
      <c r="H9434" s="380" t="s">
        <v>771</v>
      </c>
      <c r="I9434" s="380" t="s">
        <v>788</v>
      </c>
      <c r="J9434" s="380" t="s">
        <v>773</v>
      </c>
      <c r="K9434" s="381">
        <v>0.0</v>
      </c>
      <c r="L9434" s="382">
        <v>1.0</v>
      </c>
    </row>
    <row r="9435">
      <c r="A9435" s="380" t="s">
        <v>10309</v>
      </c>
      <c r="B9435" s="380" t="str">
        <f>IFERROR(__xludf.DUMMYFUNCTION("""COMPUTED_VALUE"""),"Eje Rueda Izquierda N200 Mod 2010")</f>
        <v>Eje Rueda Izquierda N200 Mod 2010</v>
      </c>
      <c r="C9435" s="380" t="str">
        <f>IFERROR(__xludf.DUMMYFUNCTION("""COMPUTED_VALUE"""),"70004856")</f>
        <v>70004856</v>
      </c>
      <c r="D9435" s="380" t="s">
        <v>767</v>
      </c>
      <c r="E9435" s="380" t="s">
        <v>786</v>
      </c>
      <c r="F9435" s="380" t="s">
        <v>5683</v>
      </c>
      <c r="G9435" s="380" t="s">
        <v>1267</v>
      </c>
      <c r="H9435" s="380" t="s">
        <v>771</v>
      </c>
      <c r="I9435" s="380" t="s">
        <v>788</v>
      </c>
      <c r="J9435" s="380" t="s">
        <v>773</v>
      </c>
      <c r="K9435" s="381">
        <v>0.0</v>
      </c>
      <c r="L9435" s="382">
        <v>1.0</v>
      </c>
    </row>
    <row r="9436">
      <c r="A9436" s="380" t="s">
        <v>10310</v>
      </c>
      <c r="B9436" s="380" t="str">
        <f>IFERROR(__xludf.DUMMYFUNCTION("""COMPUTED_VALUE"""),"Bujia Precalentamiento MOT HY H 100 Kp05")</f>
        <v>Bujia Precalentamiento MOT HY H 100 Kp05</v>
      </c>
      <c r="C9436" s="380" t="str">
        <f>IFERROR(__xludf.DUMMYFUNCTION("""COMPUTED_VALUE"""),"70004857")</f>
        <v>70004857</v>
      </c>
      <c r="D9436" s="380" t="s">
        <v>767</v>
      </c>
      <c r="E9436" s="380" t="s">
        <v>786</v>
      </c>
      <c r="F9436" s="380" t="s">
        <v>787</v>
      </c>
      <c r="G9436" s="380" t="s">
        <v>1267</v>
      </c>
      <c r="H9436" s="380" t="s">
        <v>771</v>
      </c>
      <c r="I9436" s="380" t="s">
        <v>788</v>
      </c>
      <c r="J9436" s="380" t="s">
        <v>773</v>
      </c>
      <c r="K9436" s="381">
        <v>0.0</v>
      </c>
      <c r="L9436" s="382">
        <v>1.0</v>
      </c>
    </row>
    <row r="9437">
      <c r="A9437" s="380" t="s">
        <v>10311</v>
      </c>
      <c r="B9437" s="380" t="str">
        <f>IFERROR(__xludf.DUMMYFUNCTION("""COMPUTED_VALUE"""),"SENS Freno Parqueo Jac 1120 2018 3757920")</f>
        <v>SENS Freno Parqueo Jac 1120 2018 3757920</v>
      </c>
      <c r="C9437" s="380" t="str">
        <f>IFERROR(__xludf.DUMMYFUNCTION("""COMPUTED_VALUE"""),"70004858")</f>
        <v>70004858</v>
      </c>
      <c r="D9437" s="380" t="s">
        <v>767</v>
      </c>
      <c r="E9437" s="380" t="s">
        <v>786</v>
      </c>
      <c r="F9437" s="380" t="s">
        <v>998</v>
      </c>
      <c r="G9437" s="380" t="s">
        <v>1267</v>
      </c>
      <c r="H9437" s="380" t="s">
        <v>771</v>
      </c>
      <c r="I9437" s="380" t="s">
        <v>788</v>
      </c>
      <c r="J9437" s="380" t="s">
        <v>773</v>
      </c>
      <c r="K9437" s="381">
        <v>0.0</v>
      </c>
      <c r="L9437" s="382">
        <v>1.0</v>
      </c>
    </row>
    <row r="9438">
      <c r="A9438" s="380" t="s">
        <v>10312</v>
      </c>
      <c r="B9438" s="380" t="str">
        <f>IFERROR(__xludf.DUMMYFUNCTION("""COMPUTED_VALUE"""),"Cruceta Cardan Foton 1039 5946210034")</f>
        <v>Cruceta Cardan Foton 1039 5946210034</v>
      </c>
      <c r="C9438" s="380" t="str">
        <f>IFERROR(__xludf.DUMMYFUNCTION("""COMPUTED_VALUE"""),"70004859")</f>
        <v>70004859</v>
      </c>
      <c r="D9438" s="380" t="s">
        <v>767</v>
      </c>
      <c r="E9438" s="380" t="s">
        <v>786</v>
      </c>
      <c r="F9438" s="380" t="s">
        <v>5683</v>
      </c>
      <c r="G9438" s="380" t="s">
        <v>1267</v>
      </c>
      <c r="H9438" s="380" t="s">
        <v>771</v>
      </c>
      <c r="I9438" s="380" t="s">
        <v>788</v>
      </c>
      <c r="J9438" s="380" t="s">
        <v>773</v>
      </c>
      <c r="K9438" s="381">
        <v>101702.0</v>
      </c>
      <c r="L9438" s="382">
        <v>1.0</v>
      </c>
    </row>
    <row r="9439">
      <c r="A9439" s="380" t="s">
        <v>10313</v>
      </c>
      <c r="B9439" s="380" t="str">
        <f>IFERROR(__xludf.DUMMYFUNCTION("""COMPUTED_VALUE"""),"VALV Selenoide Cor Internatio 2034053 C1")</f>
        <v>VALV Selenoide Cor Internatio 2034053 C1</v>
      </c>
      <c r="C9439" s="380" t="str">
        <f>IFERROR(__xludf.DUMMYFUNCTION("""COMPUTED_VALUE"""),"70004860")</f>
        <v>70004860</v>
      </c>
      <c r="D9439" s="380" t="s">
        <v>767</v>
      </c>
      <c r="E9439" s="380" t="s">
        <v>786</v>
      </c>
      <c r="F9439" s="380" t="s">
        <v>998</v>
      </c>
      <c r="G9439" s="380" t="s">
        <v>1267</v>
      </c>
      <c r="H9439" s="380" t="s">
        <v>771</v>
      </c>
      <c r="I9439" s="380" t="s">
        <v>788</v>
      </c>
      <c r="J9439" s="380" t="s">
        <v>773</v>
      </c>
      <c r="K9439" s="381">
        <v>314160.0</v>
      </c>
      <c r="L9439" s="382">
        <v>1.0</v>
      </c>
    </row>
    <row r="9440">
      <c r="A9440" s="380" t="s">
        <v>10314</v>
      </c>
      <c r="B9440" s="380" t="str">
        <f>IFERROR(__xludf.DUMMYFUNCTION("""COMPUTED_VALUE"""),"Cabina Completa Foton 1129 5946048750")</f>
        <v>Cabina Completa Foton 1129 5946048750</v>
      </c>
      <c r="C9440" s="380" t="str">
        <f>IFERROR(__xludf.DUMMYFUNCTION("""COMPUTED_VALUE"""),"70004861")</f>
        <v>70004861</v>
      </c>
      <c r="D9440" s="380" t="s">
        <v>767</v>
      </c>
      <c r="E9440" s="380" t="s">
        <v>786</v>
      </c>
      <c r="F9440" s="380" t="s">
        <v>792</v>
      </c>
      <c r="G9440" s="380" t="s">
        <v>1267</v>
      </c>
      <c r="H9440" s="380" t="s">
        <v>771</v>
      </c>
      <c r="I9440" s="380" t="s">
        <v>788</v>
      </c>
      <c r="J9440" s="380" t="s">
        <v>773</v>
      </c>
      <c r="K9440" s="381">
        <v>0.0</v>
      </c>
      <c r="L9440" s="382">
        <v>1.0</v>
      </c>
    </row>
    <row r="9441">
      <c r="A9441" s="380" t="s">
        <v>10315</v>
      </c>
      <c r="B9441" s="380" t="str">
        <f>IFERROR(__xludf.DUMMYFUNCTION("""COMPUTED_VALUE"""),"Timon Direccion Foton Mv5 5946028004")</f>
        <v>Timon Direccion Foton Mv5 5946028004</v>
      </c>
      <c r="C9441" s="380" t="str">
        <f>IFERROR(__xludf.DUMMYFUNCTION("""COMPUTED_VALUE"""),"70004862")</f>
        <v>70004862</v>
      </c>
      <c r="D9441" s="380" t="s">
        <v>767</v>
      </c>
      <c r="E9441" s="380" t="s">
        <v>786</v>
      </c>
      <c r="F9441" s="380" t="s">
        <v>792</v>
      </c>
      <c r="G9441" s="380" t="s">
        <v>1267</v>
      </c>
      <c r="H9441" s="380" t="s">
        <v>771</v>
      </c>
      <c r="I9441" s="380" t="s">
        <v>788</v>
      </c>
      <c r="J9441" s="380" t="s">
        <v>773</v>
      </c>
      <c r="K9441" s="381">
        <v>0.0</v>
      </c>
      <c r="L9441" s="382">
        <v>1.0</v>
      </c>
    </row>
    <row r="9442">
      <c r="A9442" s="380" t="s">
        <v>10316</v>
      </c>
      <c r="B9442" s="380" t="str">
        <f>IFERROR(__xludf.DUMMYFUNCTION("""COMPUTED_VALUE"""),"Brazo Oscilante Der DFENG Tijera 2904400")</f>
        <v>Brazo Oscilante Der DFENG Tijera 2904400</v>
      </c>
      <c r="C9442" s="380" t="str">
        <f>IFERROR(__xludf.DUMMYFUNCTION("""COMPUTED_VALUE"""),"70004863")</f>
        <v>70004863</v>
      </c>
      <c r="D9442" s="380" t="s">
        <v>767</v>
      </c>
      <c r="E9442" s="380" t="s">
        <v>786</v>
      </c>
      <c r="F9442" s="380" t="s">
        <v>1020</v>
      </c>
      <c r="G9442" s="380" t="s">
        <v>1267</v>
      </c>
      <c r="H9442" s="380" t="s">
        <v>771</v>
      </c>
      <c r="I9442" s="380" t="s">
        <v>788</v>
      </c>
      <c r="J9442" s="380" t="s">
        <v>773</v>
      </c>
      <c r="K9442" s="381">
        <v>0.0</v>
      </c>
      <c r="L9442" s="382">
        <v>1.0</v>
      </c>
    </row>
    <row r="9443">
      <c r="A9443" s="380" t="s">
        <v>10317</v>
      </c>
      <c r="B9443" s="380" t="str">
        <f>IFERROR(__xludf.DUMMYFUNCTION("""COMPUTED_VALUE"""),"Brazo Oscilante Izq DFENG Tijera 2904010")</f>
        <v>Brazo Oscilante Izq DFENG Tijera 2904010</v>
      </c>
      <c r="C9443" s="380" t="str">
        <f>IFERROR(__xludf.DUMMYFUNCTION("""COMPUTED_VALUE"""),"70004864")</f>
        <v>70004864</v>
      </c>
      <c r="D9443" s="380" t="s">
        <v>767</v>
      </c>
      <c r="E9443" s="380" t="s">
        <v>786</v>
      </c>
      <c r="F9443" s="380" t="s">
        <v>1020</v>
      </c>
      <c r="G9443" s="380" t="s">
        <v>1267</v>
      </c>
      <c r="H9443" s="380" t="s">
        <v>771</v>
      </c>
      <c r="I9443" s="380" t="s">
        <v>788</v>
      </c>
      <c r="J9443" s="380" t="s">
        <v>773</v>
      </c>
      <c r="K9443" s="381">
        <v>0.0</v>
      </c>
      <c r="L9443" s="382">
        <v>1.0</v>
      </c>
    </row>
    <row r="9444">
      <c r="A9444" s="380" t="s">
        <v>10318</v>
      </c>
      <c r="B9444" s="380" t="str">
        <f>IFERROR(__xludf.DUMMYFUNCTION("""COMPUTED_VALUE"""),"Soporte Bomper Izquierdo Donfeng")</f>
        <v>Soporte Bomper Izquierdo Donfeng</v>
      </c>
      <c r="C9444" s="380" t="str">
        <f>IFERROR(__xludf.DUMMYFUNCTION("""COMPUTED_VALUE"""),"70004865")</f>
        <v>70004865</v>
      </c>
      <c r="D9444" s="380" t="s">
        <v>767</v>
      </c>
      <c r="E9444" s="380" t="s">
        <v>786</v>
      </c>
      <c r="F9444" s="380" t="s">
        <v>792</v>
      </c>
      <c r="G9444" s="380" t="s">
        <v>1267</v>
      </c>
      <c r="H9444" s="380" t="s">
        <v>771</v>
      </c>
      <c r="I9444" s="380" t="s">
        <v>788</v>
      </c>
      <c r="J9444" s="380" t="s">
        <v>773</v>
      </c>
      <c r="K9444" s="381">
        <v>0.0</v>
      </c>
      <c r="L9444" s="382">
        <v>1.0</v>
      </c>
    </row>
    <row r="9445">
      <c r="A9445" s="380" t="s">
        <v>10319</v>
      </c>
      <c r="B9445" s="380" t="str">
        <f>IFERROR(__xludf.DUMMYFUNCTION("""COMPUTED_VALUE"""),"Bomper Delantero Dongfeng")</f>
        <v>Bomper Delantero Dongfeng</v>
      </c>
      <c r="C9445" s="380" t="str">
        <f>IFERROR(__xludf.DUMMYFUNCTION("""COMPUTED_VALUE"""),"70004866")</f>
        <v>70004866</v>
      </c>
      <c r="D9445" s="380" t="s">
        <v>767</v>
      </c>
      <c r="E9445" s="380" t="s">
        <v>786</v>
      </c>
      <c r="F9445" s="380" t="s">
        <v>792</v>
      </c>
      <c r="G9445" s="380" t="s">
        <v>1267</v>
      </c>
      <c r="H9445" s="380" t="s">
        <v>771</v>
      </c>
      <c r="I9445" s="380" t="s">
        <v>788</v>
      </c>
      <c r="J9445" s="380" t="s">
        <v>773</v>
      </c>
      <c r="K9445" s="381">
        <v>0.0</v>
      </c>
      <c r="L9445" s="382">
        <v>1.0</v>
      </c>
    </row>
    <row r="9446">
      <c r="A9446" s="380" t="s">
        <v>10320</v>
      </c>
      <c r="B9446" s="380" t="str">
        <f>IFERROR(__xludf.DUMMYFUNCTION("""COMPUTED_VALUE"""),"Balinera Volante Hino 500 Sz37120022")</f>
        <v>Balinera Volante Hino 500 Sz37120022</v>
      </c>
      <c r="C9446" s="380" t="str">
        <f>IFERROR(__xludf.DUMMYFUNCTION("""COMPUTED_VALUE"""),"70004867")</f>
        <v>70004867</v>
      </c>
      <c r="D9446" s="380" t="s">
        <v>767</v>
      </c>
      <c r="E9446" s="380" t="s">
        <v>786</v>
      </c>
      <c r="F9446" s="380" t="s">
        <v>5661</v>
      </c>
      <c r="G9446" s="380" t="s">
        <v>1267</v>
      </c>
      <c r="H9446" s="380" t="s">
        <v>771</v>
      </c>
      <c r="I9446" s="380" t="s">
        <v>788</v>
      </c>
      <c r="J9446" s="380" t="s">
        <v>773</v>
      </c>
      <c r="K9446" s="381">
        <v>0.0</v>
      </c>
      <c r="L9446" s="382">
        <v>1.0</v>
      </c>
    </row>
    <row r="9447">
      <c r="A9447" s="380" t="s">
        <v>10321</v>
      </c>
      <c r="B9447" s="380" t="str">
        <f>IFERROR(__xludf.DUMMYFUNCTION("""COMPUTED_VALUE"""),"TANQ Aux RAD FT 1039 1023559683")</f>
        <v>TANQ Aux RAD FT 1039 1023559683</v>
      </c>
      <c r="C9447" s="380" t="str">
        <f>IFERROR(__xludf.DUMMYFUNCTION("""COMPUTED_VALUE"""),"70004868")</f>
        <v>70004868</v>
      </c>
      <c r="D9447" s="380" t="s">
        <v>767</v>
      </c>
      <c r="E9447" s="380" t="s">
        <v>786</v>
      </c>
      <c r="F9447" s="380" t="s">
        <v>792</v>
      </c>
      <c r="G9447" s="380" t="s">
        <v>1267</v>
      </c>
      <c r="H9447" s="380" t="s">
        <v>771</v>
      </c>
      <c r="I9447" s="380" t="s">
        <v>788</v>
      </c>
      <c r="J9447" s="380" t="s">
        <v>773</v>
      </c>
      <c r="K9447" s="381">
        <v>0.0</v>
      </c>
      <c r="L9447" s="382">
        <v>1.0</v>
      </c>
    </row>
    <row r="9448">
      <c r="A9448" s="380" t="s">
        <v>10322</v>
      </c>
      <c r="B9448" s="380" t="str">
        <f>IFERROR(__xludf.DUMMYFUNCTION("""COMPUTED_VALUE"""),"Terminal Direc Der Foton 1039 1023612517")</f>
        <v>Terminal Direc Der Foton 1039 1023612517</v>
      </c>
      <c r="C9448" s="380" t="str">
        <f>IFERROR(__xludf.DUMMYFUNCTION("""COMPUTED_VALUE"""),"70004869")</f>
        <v>70004869</v>
      </c>
      <c r="D9448" s="380" t="s">
        <v>767</v>
      </c>
      <c r="E9448" s="380" t="s">
        <v>786</v>
      </c>
      <c r="F9448" s="380" t="s">
        <v>1020</v>
      </c>
      <c r="G9448" s="380" t="s">
        <v>1267</v>
      </c>
      <c r="H9448" s="380" t="s">
        <v>771</v>
      </c>
      <c r="I9448" s="380" t="s">
        <v>788</v>
      </c>
      <c r="J9448" s="380" t="s">
        <v>773</v>
      </c>
      <c r="K9448" s="381">
        <v>0.0</v>
      </c>
      <c r="L9448" s="382">
        <v>1.0</v>
      </c>
    </row>
    <row r="9449">
      <c r="A9449" s="380" t="s">
        <v>10323</v>
      </c>
      <c r="B9449" s="380" t="str">
        <f>IFERROR(__xludf.DUMMYFUNCTION("""COMPUTED_VALUE"""),"Terminal Direc Izq Foton 1039 1023612500")</f>
        <v>Terminal Direc Izq Foton 1039 1023612500</v>
      </c>
      <c r="C9449" s="380" t="str">
        <f>IFERROR(__xludf.DUMMYFUNCTION("""COMPUTED_VALUE"""),"70004870")</f>
        <v>70004870</v>
      </c>
      <c r="D9449" s="380" t="s">
        <v>767</v>
      </c>
      <c r="E9449" s="380" t="s">
        <v>786</v>
      </c>
      <c r="F9449" s="380" t="s">
        <v>1020</v>
      </c>
      <c r="G9449" s="380" t="s">
        <v>1267</v>
      </c>
      <c r="H9449" s="380" t="s">
        <v>771</v>
      </c>
      <c r="I9449" s="380" t="s">
        <v>788</v>
      </c>
      <c r="J9449" s="380" t="s">
        <v>773</v>
      </c>
      <c r="K9449" s="381">
        <v>0.0</v>
      </c>
      <c r="L9449" s="382">
        <v>1.0</v>
      </c>
    </row>
    <row r="9450">
      <c r="A9450" s="380" t="s">
        <v>10324</v>
      </c>
      <c r="B9450" s="380" t="str">
        <f>IFERROR(__xludf.DUMMYFUNCTION("""COMPUTED_VALUE"""),"Chapa INTna PTA Der VW 2r0837016")</f>
        <v>Chapa INTna PTA Der VW 2r0837016</v>
      </c>
      <c r="C9450" s="380" t="str">
        <f>IFERROR(__xludf.DUMMYFUNCTION("""COMPUTED_VALUE"""),"70004871")</f>
        <v>70004871</v>
      </c>
      <c r="D9450" s="380" t="s">
        <v>767</v>
      </c>
      <c r="E9450" s="380" t="s">
        <v>786</v>
      </c>
      <c r="F9450" s="380" t="s">
        <v>792</v>
      </c>
      <c r="G9450" s="380" t="s">
        <v>1267</v>
      </c>
      <c r="H9450" s="380" t="s">
        <v>771</v>
      </c>
      <c r="I9450" s="380" t="s">
        <v>788</v>
      </c>
      <c r="J9450" s="380" t="s">
        <v>773</v>
      </c>
      <c r="K9450" s="381">
        <v>0.0</v>
      </c>
      <c r="L9450" s="382">
        <v>1.0</v>
      </c>
    </row>
    <row r="9451">
      <c r="A9451" s="380" t="s">
        <v>10325</v>
      </c>
      <c r="B9451" s="380" t="str">
        <f>IFERROR(__xludf.DUMMYFUNCTION("""COMPUTED_VALUE"""),"Acople Cardan Tras Jac 1120 2035645")</f>
        <v>Acople Cardan Tras Jac 1120 2035645</v>
      </c>
      <c r="C9451" s="380" t="str">
        <f>IFERROR(__xludf.DUMMYFUNCTION("""COMPUTED_VALUE"""),"70004872")</f>
        <v>70004872</v>
      </c>
      <c r="D9451" s="380" t="s">
        <v>767</v>
      </c>
      <c r="E9451" s="380" t="s">
        <v>786</v>
      </c>
      <c r="F9451" s="380" t="s">
        <v>5683</v>
      </c>
      <c r="G9451" s="380" t="s">
        <v>1267</v>
      </c>
      <c r="H9451" s="380" t="s">
        <v>771</v>
      </c>
      <c r="I9451" s="380" t="s">
        <v>788</v>
      </c>
      <c r="J9451" s="380" t="s">
        <v>773</v>
      </c>
      <c r="K9451" s="381">
        <v>0.0</v>
      </c>
      <c r="L9451" s="382">
        <v>1.0</v>
      </c>
    </row>
    <row r="9452">
      <c r="A9452" s="380" t="s">
        <v>10326</v>
      </c>
      <c r="B9452" s="380" t="str">
        <f>IFERROR(__xludf.DUMMYFUNCTION("""COMPUTED_VALUE"""),"Tornillo Con Tuerca Acople Cardan 51641")</f>
        <v>Tornillo Con Tuerca Acople Cardan 51641</v>
      </c>
      <c r="C9452" s="380" t="str">
        <f>IFERROR(__xludf.DUMMYFUNCTION("""COMPUTED_VALUE"""),"70004873")</f>
        <v>70004873</v>
      </c>
      <c r="D9452" s="380" t="s">
        <v>767</v>
      </c>
      <c r="E9452" s="380" t="s">
        <v>786</v>
      </c>
      <c r="F9452" s="380" t="s">
        <v>5683</v>
      </c>
      <c r="G9452" s="380" t="s">
        <v>1267</v>
      </c>
      <c r="H9452" s="380" t="s">
        <v>771</v>
      </c>
      <c r="I9452" s="380" t="s">
        <v>788</v>
      </c>
      <c r="J9452" s="380" t="s">
        <v>773</v>
      </c>
      <c r="K9452" s="381">
        <v>0.0</v>
      </c>
      <c r="L9452" s="382">
        <v>1.0</v>
      </c>
    </row>
    <row r="9453">
      <c r="A9453" s="380" t="s">
        <v>10327</v>
      </c>
      <c r="B9453" s="380" t="str">
        <f>IFERROR(__xludf.DUMMYFUNCTION("""COMPUTED_VALUE"""),"Tensor Correa Alternador FT M 5946023209")</f>
        <v>Tensor Correa Alternador FT M 5946023209</v>
      </c>
      <c r="C9453" s="380" t="str">
        <f>IFERROR(__xludf.DUMMYFUNCTION("""COMPUTED_VALUE"""),"70004874")</f>
        <v>70004874</v>
      </c>
      <c r="D9453" s="380" t="s">
        <v>767</v>
      </c>
      <c r="E9453" s="380" t="s">
        <v>786</v>
      </c>
      <c r="F9453" s="380" t="s">
        <v>998</v>
      </c>
      <c r="G9453" s="380" t="s">
        <v>1267</v>
      </c>
      <c r="H9453" s="380" t="s">
        <v>771</v>
      </c>
      <c r="I9453" s="380" t="s">
        <v>788</v>
      </c>
      <c r="J9453" s="380" t="s">
        <v>773</v>
      </c>
      <c r="K9453" s="381">
        <v>0.0</v>
      </c>
      <c r="L9453" s="382">
        <v>1.0</v>
      </c>
    </row>
    <row r="9454">
      <c r="A9454" s="380" t="s">
        <v>10328</v>
      </c>
      <c r="B9454" s="380" t="str">
        <f>IFERROR(__xludf.DUMMYFUNCTION("""COMPUTED_VALUE"""),"Espejo Retrovisor Der FT 1128 5946719148")</f>
        <v>Espejo Retrovisor Der FT 1128 5946719148</v>
      </c>
      <c r="C9454" s="380" t="str">
        <f>IFERROR(__xludf.DUMMYFUNCTION("""COMPUTED_VALUE"""),"70004875")</f>
        <v>70004875</v>
      </c>
      <c r="D9454" s="380" t="s">
        <v>767</v>
      </c>
      <c r="E9454" s="380" t="s">
        <v>786</v>
      </c>
      <c r="F9454" s="380" t="s">
        <v>792</v>
      </c>
      <c r="G9454" s="380" t="s">
        <v>1267</v>
      </c>
      <c r="H9454" s="380" t="s">
        <v>771</v>
      </c>
      <c r="I9454" s="380" t="s">
        <v>788</v>
      </c>
      <c r="J9454" s="380" t="s">
        <v>773</v>
      </c>
      <c r="K9454" s="381">
        <v>448880.0</v>
      </c>
      <c r="L9454" s="382">
        <v>1.0</v>
      </c>
    </row>
    <row r="9455">
      <c r="A9455" s="380" t="s">
        <v>10329</v>
      </c>
      <c r="B9455" s="380" t="str">
        <f>IFERROR(__xludf.DUMMYFUNCTION("""COMPUTED_VALUE"""),"VALV Descargue MANG Azul Servicio S-C069")</f>
        <v>VALV Descargue MANG Azul Servicio S-C069</v>
      </c>
      <c r="C9455" s="380" t="str">
        <f>IFERROR(__xludf.DUMMYFUNCTION("""COMPUTED_VALUE"""),"70004876")</f>
        <v>70004876</v>
      </c>
      <c r="D9455" s="380" t="s">
        <v>767</v>
      </c>
      <c r="E9455" s="380" t="s">
        <v>786</v>
      </c>
      <c r="F9455" s="380" t="s">
        <v>1017</v>
      </c>
      <c r="G9455" s="380" t="s">
        <v>1267</v>
      </c>
      <c r="H9455" s="380" t="s">
        <v>771</v>
      </c>
      <c r="I9455" s="380" t="s">
        <v>788</v>
      </c>
      <c r="J9455" s="380" t="s">
        <v>773</v>
      </c>
      <c r="K9455" s="381">
        <v>0.0</v>
      </c>
      <c r="L9455" s="382">
        <v>1.0</v>
      </c>
    </row>
    <row r="9456">
      <c r="A9456" s="380" t="s">
        <v>10330</v>
      </c>
      <c r="B9456" s="380" t="str">
        <f>IFERROR(__xludf.DUMMYFUNCTION("""COMPUTED_VALUE"""),"Chapa Puerta Traser Foton Mv5 5946040051")</f>
        <v>Chapa Puerta Traser Foton Mv5 5946040051</v>
      </c>
      <c r="C9456" s="380" t="str">
        <f>IFERROR(__xludf.DUMMYFUNCTION("""COMPUTED_VALUE"""),"70004877")</f>
        <v>70004877</v>
      </c>
      <c r="D9456" s="380" t="s">
        <v>767</v>
      </c>
      <c r="E9456" s="380" t="s">
        <v>786</v>
      </c>
      <c r="F9456" s="380" t="s">
        <v>792</v>
      </c>
      <c r="G9456" s="380" t="s">
        <v>1267</v>
      </c>
      <c r="H9456" s="380" t="s">
        <v>771</v>
      </c>
      <c r="I9456" s="380" t="s">
        <v>788</v>
      </c>
      <c r="J9456" s="380" t="s">
        <v>773</v>
      </c>
      <c r="K9456" s="381">
        <v>0.0</v>
      </c>
      <c r="L9456" s="382">
        <v>1.0</v>
      </c>
    </row>
    <row r="9457">
      <c r="A9457" s="380" t="s">
        <v>10331</v>
      </c>
      <c r="B9457" s="380" t="str">
        <f>IFERROR(__xludf.DUMMYFUNCTION("""COMPUTED_VALUE"""),"Estribo Izquierdo Nissan Urban 188235")</f>
        <v>Estribo Izquierdo Nissan Urban 188235</v>
      </c>
      <c r="C9457" s="380" t="str">
        <f>IFERROR(__xludf.DUMMYFUNCTION("""COMPUTED_VALUE"""),"70004878")</f>
        <v>70004878</v>
      </c>
      <c r="D9457" s="380" t="s">
        <v>767</v>
      </c>
      <c r="E9457" s="380" t="s">
        <v>786</v>
      </c>
      <c r="F9457" s="380" t="s">
        <v>792</v>
      </c>
      <c r="G9457" s="380" t="s">
        <v>1267</v>
      </c>
      <c r="H9457" s="380" t="s">
        <v>771</v>
      </c>
      <c r="I9457" s="380" t="s">
        <v>788</v>
      </c>
      <c r="J9457" s="380" t="s">
        <v>773</v>
      </c>
      <c r="K9457" s="381">
        <v>0.0</v>
      </c>
      <c r="L9457" s="382">
        <v>1.0</v>
      </c>
    </row>
    <row r="9458">
      <c r="A9458" s="380" t="s">
        <v>10332</v>
      </c>
      <c r="B9458" s="380" t="str">
        <f>IFERROR(__xludf.DUMMYFUNCTION("""COMPUTED_VALUE"""),"Conector Rapido Fitin De 1/4 144")</f>
        <v>Conector Rapido Fitin De 1/4 144</v>
      </c>
      <c r="C9458" s="380" t="str">
        <f>IFERROR(__xludf.DUMMYFUNCTION("""COMPUTED_VALUE"""),"70004879")</f>
        <v>70004879</v>
      </c>
      <c r="D9458" s="380" t="s">
        <v>767</v>
      </c>
      <c r="E9458" s="380" t="s">
        <v>786</v>
      </c>
      <c r="F9458" s="380" t="s">
        <v>989</v>
      </c>
      <c r="G9458" s="380" t="s">
        <v>1267</v>
      </c>
      <c r="H9458" s="380" t="s">
        <v>771</v>
      </c>
      <c r="I9458" s="380" t="s">
        <v>788</v>
      </c>
      <c r="J9458" s="380" t="s">
        <v>773</v>
      </c>
      <c r="K9458" s="381">
        <v>0.0</v>
      </c>
      <c r="L9458" s="382">
        <v>1.0</v>
      </c>
    </row>
    <row r="9459">
      <c r="A9459" s="380" t="s">
        <v>10333</v>
      </c>
      <c r="B9459" s="380" t="str">
        <f>IFERROR(__xludf.DUMMYFUNCTION("""COMPUTED_VALUE"""),"Filtro Aire KWRanchera T800 P625128")</f>
        <v>Filtro Aire KWRanchera T800 P625128</v>
      </c>
      <c r="C9459" s="380" t="str">
        <f>IFERROR(__xludf.DUMMYFUNCTION("""COMPUTED_VALUE"""),"70004880")</f>
        <v>70004880</v>
      </c>
      <c r="D9459" s="380" t="s">
        <v>767</v>
      </c>
      <c r="E9459" s="380" t="s">
        <v>786</v>
      </c>
      <c r="F9459" s="380" t="s">
        <v>5855</v>
      </c>
      <c r="G9459" s="380" t="s">
        <v>1267</v>
      </c>
      <c r="H9459" s="380" t="s">
        <v>771</v>
      </c>
      <c r="I9459" s="380" t="s">
        <v>788</v>
      </c>
      <c r="J9459" s="380" t="s">
        <v>773</v>
      </c>
      <c r="K9459" s="381">
        <v>0.0</v>
      </c>
      <c r="L9459" s="382">
        <v>1.0</v>
      </c>
    </row>
    <row r="9460">
      <c r="A9460" s="380" t="s">
        <v>10334</v>
      </c>
      <c r="B9460" s="380" t="str">
        <f>IFERROR(__xludf.DUMMYFUNCTION("""COMPUTED_VALUE"""),"Alternador Hyundai Porter H100 22862n")</f>
        <v>Alternador Hyundai Porter H100 22862n</v>
      </c>
      <c r="C9460" s="380" t="str">
        <f>IFERROR(__xludf.DUMMYFUNCTION("""COMPUTED_VALUE"""),"70004881")</f>
        <v>70004881</v>
      </c>
      <c r="D9460" s="380" t="s">
        <v>767</v>
      </c>
      <c r="E9460" s="380" t="s">
        <v>786</v>
      </c>
      <c r="F9460" s="380" t="s">
        <v>998</v>
      </c>
      <c r="G9460" s="380" t="s">
        <v>1267</v>
      </c>
      <c r="H9460" s="380" t="s">
        <v>771</v>
      </c>
      <c r="I9460" s="380" t="s">
        <v>788</v>
      </c>
      <c r="J9460" s="380" t="s">
        <v>773</v>
      </c>
      <c r="K9460" s="381">
        <v>0.0</v>
      </c>
      <c r="L9460" s="382">
        <v>1.0</v>
      </c>
    </row>
    <row r="9461">
      <c r="A9461" s="380" t="s">
        <v>10335</v>
      </c>
      <c r="B9461" s="380" t="str">
        <f>IFERROR(__xludf.DUMMYFUNCTION("""COMPUTED_VALUE"""),"Bocin Rueda Trasera Jac 1120")</f>
        <v>Bocin Rueda Trasera Jac 1120</v>
      </c>
      <c r="C9461" s="380" t="str">
        <f>IFERROR(__xludf.DUMMYFUNCTION("""COMPUTED_VALUE"""),"70004882")</f>
        <v>70004882</v>
      </c>
      <c r="D9461" s="380" t="s">
        <v>767</v>
      </c>
      <c r="E9461" s="380" t="s">
        <v>786</v>
      </c>
      <c r="F9461" s="380" t="s">
        <v>1017</v>
      </c>
      <c r="G9461" s="380" t="s">
        <v>1267</v>
      </c>
      <c r="H9461" s="380" t="s">
        <v>771</v>
      </c>
      <c r="I9461" s="380" t="s">
        <v>788</v>
      </c>
      <c r="J9461" s="380" t="s">
        <v>773</v>
      </c>
      <c r="K9461" s="381">
        <v>0.0</v>
      </c>
      <c r="L9461" s="382">
        <v>1.0</v>
      </c>
    </row>
    <row r="9462">
      <c r="A9462" s="380" t="s">
        <v>10336</v>
      </c>
      <c r="B9462" s="380" t="str">
        <f>IFERROR(__xludf.DUMMYFUNCTION("""COMPUTED_VALUE"""),"Tuerca Esparrago RDA Tras Jac 9930220050")</f>
        <v>Tuerca Esparrago RDA Tras Jac 9930220050</v>
      </c>
      <c r="C9462" s="380" t="str">
        <f>IFERROR(__xludf.DUMMYFUNCTION("""COMPUTED_VALUE"""),"70004883")</f>
        <v>70004883</v>
      </c>
      <c r="D9462" s="380" t="s">
        <v>767</v>
      </c>
      <c r="E9462" s="380" t="s">
        <v>786</v>
      </c>
      <c r="F9462" s="380" t="s">
        <v>1039</v>
      </c>
      <c r="G9462" s="380" t="s">
        <v>1267</v>
      </c>
      <c r="H9462" s="380" t="s">
        <v>771</v>
      </c>
      <c r="I9462" s="380" t="s">
        <v>788</v>
      </c>
      <c r="J9462" s="380" t="s">
        <v>773</v>
      </c>
      <c r="K9462" s="381">
        <v>0.0</v>
      </c>
      <c r="L9462" s="382">
        <v>1.0</v>
      </c>
    </row>
    <row r="9463">
      <c r="A9463" s="380" t="s">
        <v>10337</v>
      </c>
      <c r="B9463" s="380" t="str">
        <f>IFERROR(__xludf.DUMMYFUNCTION("""COMPUTED_VALUE"""),"Esparrago RDA Tras Jac 1120 2 9920220210")</f>
        <v>Esparrago RDA Tras Jac 1120 2 9920220210</v>
      </c>
      <c r="C9463" s="380" t="str">
        <f>IFERROR(__xludf.DUMMYFUNCTION("""COMPUTED_VALUE"""),"70004884")</f>
        <v>70004884</v>
      </c>
      <c r="D9463" s="380" t="s">
        <v>767</v>
      </c>
      <c r="E9463" s="380" t="s">
        <v>786</v>
      </c>
      <c r="F9463" s="380" t="s">
        <v>1039</v>
      </c>
      <c r="G9463" s="380" t="s">
        <v>1267</v>
      </c>
      <c r="H9463" s="380" t="s">
        <v>771</v>
      </c>
      <c r="I9463" s="380" t="s">
        <v>788</v>
      </c>
      <c r="J9463" s="380" t="s">
        <v>773</v>
      </c>
      <c r="K9463" s="381">
        <v>0.0</v>
      </c>
      <c r="L9463" s="382">
        <v>1.0</v>
      </c>
    </row>
    <row r="9464">
      <c r="A9464" s="380" t="s">
        <v>10338</v>
      </c>
      <c r="B9464" s="380" t="str">
        <f>IFERROR(__xludf.DUMMYFUNCTION("""COMPUTED_VALUE"""),"Esparrago RDA Tras Jac 1120 2 9920220020")</f>
        <v>Esparrago RDA Tras Jac 1120 2 9920220020</v>
      </c>
      <c r="C9464" s="380" t="str">
        <f>IFERROR(__xludf.DUMMYFUNCTION("""COMPUTED_VALUE"""),"70004885")</f>
        <v>70004885</v>
      </c>
      <c r="D9464" s="380" t="s">
        <v>767</v>
      </c>
      <c r="E9464" s="380" t="s">
        <v>786</v>
      </c>
      <c r="F9464" s="380" t="s">
        <v>1039</v>
      </c>
      <c r="G9464" s="380" t="s">
        <v>1267</v>
      </c>
      <c r="H9464" s="380" t="s">
        <v>771</v>
      </c>
      <c r="I9464" s="380" t="s">
        <v>788</v>
      </c>
      <c r="J9464" s="380" t="s">
        <v>773</v>
      </c>
      <c r="K9464" s="381">
        <v>0.0</v>
      </c>
      <c r="L9464" s="382">
        <v>1.0</v>
      </c>
    </row>
    <row r="9465">
      <c r="A9465" s="380" t="s">
        <v>10339</v>
      </c>
      <c r="B9465" s="380" t="str">
        <f>IFERROR(__xludf.DUMMYFUNCTION("""COMPUTED_VALUE"""),"Luz Dia Luz Dia Rh Tm1.5, 7705946760133")</f>
        <v>Luz Dia Luz Dia Rh Tm1.5, 7705946760133</v>
      </c>
      <c r="C9465" s="380" t="str">
        <f>IFERROR(__xludf.DUMMYFUNCTION("""COMPUTED_VALUE"""),"70004886")</f>
        <v>70004886</v>
      </c>
      <c r="D9465" s="380" t="s">
        <v>767</v>
      </c>
      <c r="E9465" s="380" t="s">
        <v>786</v>
      </c>
      <c r="F9465" s="380" t="s">
        <v>998</v>
      </c>
      <c r="G9465" s="380" t="s">
        <v>1267</v>
      </c>
      <c r="H9465" s="380" t="s">
        <v>771</v>
      </c>
      <c r="I9465" s="380" t="s">
        <v>788</v>
      </c>
      <c r="J9465" s="380" t="s">
        <v>773</v>
      </c>
      <c r="K9465" s="381">
        <v>0.0</v>
      </c>
      <c r="L9465" s="382">
        <v>1.0</v>
      </c>
    </row>
    <row r="9466">
      <c r="A9466" s="380" t="s">
        <v>10340</v>
      </c>
      <c r="B9466" s="380" t="str">
        <f>IFERROR(__xludf.DUMMYFUNCTION("""COMPUTED_VALUE"""),"Bombillo Exploradora Int Lt 1 Psx26w1227")</f>
        <v>Bombillo Exploradora Int Lt 1 Psx26w1227</v>
      </c>
      <c r="C9466" s="380" t="str">
        <f>IFERROR(__xludf.DUMMYFUNCTION("""COMPUTED_VALUE"""),"70004887")</f>
        <v>70004887</v>
      </c>
      <c r="D9466" s="380" t="s">
        <v>767</v>
      </c>
      <c r="E9466" s="380" t="s">
        <v>786</v>
      </c>
      <c r="F9466" s="380" t="s">
        <v>998</v>
      </c>
      <c r="G9466" s="380" t="s">
        <v>1267</v>
      </c>
      <c r="H9466" s="380" t="s">
        <v>771</v>
      </c>
      <c r="I9466" s="380" t="s">
        <v>788</v>
      </c>
      <c r="J9466" s="380" t="s">
        <v>773</v>
      </c>
      <c r="K9466" s="381">
        <v>187293.0</v>
      </c>
      <c r="L9466" s="382">
        <v>1.0</v>
      </c>
    </row>
    <row r="9467">
      <c r="A9467" s="380" t="s">
        <v>10341</v>
      </c>
      <c r="B9467" s="380" t="str">
        <f>IFERROR(__xludf.DUMMYFUNCTION("""COMPUTED_VALUE"""),"Mini Relay 4 Patas 24 V Foton Ge0034")</f>
        <v>Mini Relay 4 Patas 24 V Foton Ge0034</v>
      </c>
      <c r="C9467" s="380" t="str">
        <f>IFERROR(__xludf.DUMMYFUNCTION("""COMPUTED_VALUE"""),"70004888")</f>
        <v>70004888</v>
      </c>
      <c r="D9467" s="380" t="s">
        <v>767</v>
      </c>
      <c r="E9467" s="380" t="s">
        <v>786</v>
      </c>
      <c r="F9467" s="380" t="s">
        <v>998</v>
      </c>
      <c r="G9467" s="380" t="s">
        <v>1267</v>
      </c>
      <c r="H9467" s="380" t="s">
        <v>771</v>
      </c>
      <c r="I9467" s="380" t="s">
        <v>788</v>
      </c>
      <c r="J9467" s="380" t="s">
        <v>773</v>
      </c>
      <c r="K9467" s="381">
        <v>0.0</v>
      </c>
      <c r="L9467" s="382">
        <v>1.0</v>
      </c>
    </row>
    <row r="9468">
      <c r="A9468" s="380" t="s">
        <v>10342</v>
      </c>
      <c r="B9468" s="380" t="str">
        <f>IFERROR(__xludf.DUMMYFUNCTION("""COMPUTED_VALUE"""),"Tubo Inyector # 1 Nkr Reward 8982037190")</f>
        <v>Tubo Inyector # 1 Nkr Reward 8982037190</v>
      </c>
      <c r="C9468" s="380" t="str">
        <f>IFERROR(__xludf.DUMMYFUNCTION("""COMPUTED_VALUE"""),"70004889")</f>
        <v>70004889</v>
      </c>
      <c r="D9468" s="380" t="s">
        <v>767</v>
      </c>
      <c r="E9468" s="380" t="s">
        <v>786</v>
      </c>
      <c r="F9468" s="380" t="s">
        <v>787</v>
      </c>
      <c r="G9468" s="380" t="s">
        <v>1267</v>
      </c>
      <c r="H9468" s="380" t="s">
        <v>771</v>
      </c>
      <c r="I9468" s="380" t="s">
        <v>788</v>
      </c>
      <c r="J9468" s="380" t="s">
        <v>773</v>
      </c>
      <c r="K9468" s="381">
        <v>0.0</v>
      </c>
      <c r="L9468" s="382">
        <v>1.0</v>
      </c>
    </row>
    <row r="9469">
      <c r="A9469" s="380" t="s">
        <v>10343</v>
      </c>
      <c r="B9469" s="380" t="str">
        <f>IFERROR(__xludf.DUMMYFUNCTION("""COMPUTED_VALUE"""),"Base FILT Pri COMB FT 1039 1023083836")</f>
        <v>Base FILT Pri COMB FT 1039 1023083836</v>
      </c>
      <c r="C9469" s="380" t="str">
        <f>IFERROR(__xludf.DUMMYFUNCTION("""COMPUTED_VALUE"""),"70004890")</f>
        <v>70004890</v>
      </c>
      <c r="D9469" s="380" t="s">
        <v>767</v>
      </c>
      <c r="E9469" s="380" t="s">
        <v>786</v>
      </c>
      <c r="F9469" s="380" t="s">
        <v>5855</v>
      </c>
      <c r="G9469" s="380" t="s">
        <v>1267</v>
      </c>
      <c r="H9469" s="380" t="s">
        <v>771</v>
      </c>
      <c r="I9469" s="380" t="s">
        <v>788</v>
      </c>
      <c r="J9469" s="380" t="s">
        <v>773</v>
      </c>
      <c r="K9469" s="381">
        <v>0.0</v>
      </c>
      <c r="L9469" s="382">
        <v>1.0</v>
      </c>
    </row>
    <row r="9470">
      <c r="A9470" s="380" t="s">
        <v>10344</v>
      </c>
      <c r="B9470" s="380" t="str">
        <f>IFERROR(__xludf.DUMMYFUNCTION("""COMPUTED_VALUE"""),"Tubo Agua Motor Foton MV5 5946025584")</f>
        <v>Tubo Agua Motor Foton MV5 5946025584</v>
      </c>
      <c r="C9470" s="380" t="str">
        <f>IFERROR(__xludf.DUMMYFUNCTION("""COMPUTED_VALUE"""),"70004891")</f>
        <v>70004891</v>
      </c>
      <c r="D9470" s="380" t="s">
        <v>767</v>
      </c>
      <c r="E9470" s="380" t="s">
        <v>786</v>
      </c>
      <c r="F9470" s="380" t="s">
        <v>787</v>
      </c>
      <c r="G9470" s="380" t="s">
        <v>1267</v>
      </c>
      <c r="H9470" s="380" t="s">
        <v>771</v>
      </c>
      <c r="I9470" s="380" t="s">
        <v>788</v>
      </c>
      <c r="J9470" s="380" t="s">
        <v>773</v>
      </c>
      <c r="K9470" s="381">
        <v>0.0</v>
      </c>
      <c r="L9470" s="382">
        <v>1.0</v>
      </c>
    </row>
    <row r="9471">
      <c r="A9471" s="380" t="s">
        <v>10345</v>
      </c>
      <c r="B9471" s="380" t="str">
        <f>IFERROR(__xludf.DUMMYFUNCTION("""COMPUTED_VALUE"""),"Terminal BRR Estabilizadora DFEN 2906112")</f>
        <v>Terminal BRR Estabilizadora DFEN 2906112</v>
      </c>
      <c r="C9471" s="380" t="str">
        <f>IFERROR(__xludf.DUMMYFUNCTION("""COMPUTED_VALUE"""),"70004892")</f>
        <v>70004892</v>
      </c>
      <c r="D9471" s="380" t="s">
        <v>767</v>
      </c>
      <c r="E9471" s="380" t="s">
        <v>786</v>
      </c>
      <c r="F9471" s="380" t="s">
        <v>1020</v>
      </c>
      <c r="G9471" s="380" t="s">
        <v>1267</v>
      </c>
      <c r="H9471" s="380" t="s">
        <v>771</v>
      </c>
      <c r="I9471" s="380" t="s">
        <v>788</v>
      </c>
      <c r="J9471" s="380" t="s">
        <v>773</v>
      </c>
      <c r="K9471" s="381">
        <v>0.0</v>
      </c>
      <c r="L9471" s="382">
        <v>1.0</v>
      </c>
    </row>
    <row r="9472">
      <c r="A9472" s="380" t="s">
        <v>10346</v>
      </c>
      <c r="B9472" s="380" t="str">
        <f>IFERROR(__xludf.DUMMYFUNCTION("""COMPUTED_VALUE"""),"Buje Terminal DFENG 2906114-Ba010-A000.")</f>
        <v>Buje Terminal DFENG 2906114-Ba010-A000.</v>
      </c>
      <c r="C9472" s="380" t="str">
        <f>IFERROR(__xludf.DUMMYFUNCTION("""COMPUTED_VALUE"""),"70004893")</f>
        <v>70004893</v>
      </c>
      <c r="D9472" s="380" t="s">
        <v>767</v>
      </c>
      <c r="E9472" s="380" t="s">
        <v>786</v>
      </c>
      <c r="F9472" s="380" t="s">
        <v>1020</v>
      </c>
      <c r="G9472" s="380" t="s">
        <v>1267</v>
      </c>
      <c r="H9472" s="380" t="s">
        <v>771</v>
      </c>
      <c r="I9472" s="380" t="s">
        <v>788</v>
      </c>
      <c r="J9472" s="380" t="s">
        <v>773</v>
      </c>
      <c r="K9472" s="381">
        <v>0.0</v>
      </c>
      <c r="L9472" s="382">
        <v>1.0</v>
      </c>
    </row>
    <row r="9473">
      <c r="A9473" s="380" t="s">
        <v>10347</v>
      </c>
      <c r="B9473" s="380" t="str">
        <f>IFERROR(__xludf.DUMMYFUNCTION("""COMPUTED_VALUE"""),"Brazo Oscilante Izq Dongfen 2904300")</f>
        <v>Brazo Oscilante Izq Dongfen 2904300</v>
      </c>
      <c r="C9473" s="380" t="str">
        <f>IFERROR(__xludf.DUMMYFUNCTION("""COMPUTED_VALUE"""),"70004894")</f>
        <v>70004894</v>
      </c>
      <c r="D9473" s="380" t="s">
        <v>767</v>
      </c>
      <c r="E9473" s="380" t="s">
        <v>786</v>
      </c>
      <c r="F9473" s="380" t="s">
        <v>1020</v>
      </c>
      <c r="G9473" s="380" t="s">
        <v>1267</v>
      </c>
      <c r="H9473" s="380" t="s">
        <v>771</v>
      </c>
      <c r="I9473" s="380" t="s">
        <v>788</v>
      </c>
      <c r="J9473" s="380" t="s">
        <v>773</v>
      </c>
      <c r="K9473" s="381">
        <v>0.0</v>
      </c>
      <c r="L9473" s="382">
        <v>1.0</v>
      </c>
    </row>
    <row r="9474">
      <c r="A9474" s="380" t="s">
        <v>10348</v>
      </c>
      <c r="B9474" s="380" t="str">
        <f>IFERROR(__xludf.DUMMYFUNCTION("""COMPUTED_VALUE"""),"Tablero De Instrumentos FT 1039 77059463")</f>
        <v>Tablero De Instrumentos FT 1039 77059463</v>
      </c>
      <c r="C9474" s="380" t="str">
        <f>IFERROR(__xludf.DUMMYFUNCTION("""COMPUTED_VALUE"""),"70004895")</f>
        <v>70004895</v>
      </c>
      <c r="D9474" s="380" t="s">
        <v>767</v>
      </c>
      <c r="E9474" s="380" t="s">
        <v>786</v>
      </c>
      <c r="F9474" s="380" t="s">
        <v>792</v>
      </c>
      <c r="G9474" s="380" t="s">
        <v>1267</v>
      </c>
      <c r="H9474" s="380" t="s">
        <v>771</v>
      </c>
      <c r="I9474" s="380" t="s">
        <v>788</v>
      </c>
      <c r="J9474" s="380" t="s">
        <v>773</v>
      </c>
      <c r="K9474" s="381">
        <v>0.0</v>
      </c>
      <c r="L9474" s="382">
        <v>1.0</v>
      </c>
    </row>
    <row r="9475">
      <c r="A9475" s="380" t="s">
        <v>10349</v>
      </c>
      <c r="B9475" s="380" t="str">
        <f>IFERROR(__xludf.DUMMYFUNCTION("""COMPUTED_VALUE"""),"Mecanismo Seguro PTA Corrediz 5946470445")</f>
        <v>Mecanismo Seguro PTA Corrediz 5946470445</v>
      </c>
      <c r="C9475" s="380" t="str">
        <f>IFERROR(__xludf.DUMMYFUNCTION("""COMPUTED_VALUE"""),"70004896")</f>
        <v>70004896</v>
      </c>
      <c r="D9475" s="380" t="s">
        <v>767</v>
      </c>
      <c r="E9475" s="380" t="s">
        <v>786</v>
      </c>
      <c r="F9475" s="380" t="s">
        <v>792</v>
      </c>
      <c r="G9475" s="380" t="s">
        <v>1267</v>
      </c>
      <c r="H9475" s="380" t="s">
        <v>771</v>
      </c>
      <c r="I9475" s="380" t="s">
        <v>788</v>
      </c>
      <c r="J9475" s="380" t="s">
        <v>773</v>
      </c>
      <c r="K9475" s="381">
        <v>0.0</v>
      </c>
      <c r="L9475" s="382">
        <v>1.0</v>
      </c>
    </row>
    <row r="9476">
      <c r="A9476" s="380" t="s">
        <v>10350</v>
      </c>
      <c r="B9476" s="380" t="str">
        <f>IFERROR(__xludf.DUMMYFUNCTION("""COMPUTED_VALUE"""),"Exploradora Redonda Bomper Izq F 3402005")</f>
        <v>Exploradora Redonda Bomper Izq F 3402005</v>
      </c>
      <c r="C9476" s="380" t="str">
        <f>IFERROR(__xludf.DUMMYFUNCTION("""COMPUTED_VALUE"""),"70004897")</f>
        <v>70004897</v>
      </c>
      <c r="D9476" s="380" t="s">
        <v>767</v>
      </c>
      <c r="E9476" s="380" t="s">
        <v>786</v>
      </c>
      <c r="F9476" s="380" t="s">
        <v>998</v>
      </c>
      <c r="G9476" s="380" t="s">
        <v>1267</v>
      </c>
      <c r="H9476" s="380" t="s">
        <v>771</v>
      </c>
      <c r="I9476" s="380" t="s">
        <v>788</v>
      </c>
      <c r="J9476" s="380" t="s">
        <v>773</v>
      </c>
      <c r="K9476" s="381">
        <v>0.0</v>
      </c>
      <c r="L9476" s="382">
        <v>1.0</v>
      </c>
    </row>
    <row r="9477">
      <c r="A9477" s="380" t="s">
        <v>10351</v>
      </c>
      <c r="B9477" s="380" t="str">
        <f>IFERROR(__xludf.DUMMYFUNCTION("""COMPUTED_VALUE"""),"Switch Elevavidrio Der FRL Cl A063076900")</f>
        <v>Switch Elevavidrio Der FRL Cl A063076900</v>
      </c>
      <c r="C9477" s="380" t="str">
        <f>IFERROR(__xludf.DUMMYFUNCTION("""COMPUTED_VALUE"""),"70004898")</f>
        <v>70004898</v>
      </c>
      <c r="D9477" s="380" t="s">
        <v>767</v>
      </c>
      <c r="E9477" s="380" t="s">
        <v>786</v>
      </c>
      <c r="F9477" s="380" t="s">
        <v>998</v>
      </c>
      <c r="G9477" s="380" t="s">
        <v>1267</v>
      </c>
      <c r="H9477" s="380" t="s">
        <v>771</v>
      </c>
      <c r="I9477" s="380" t="s">
        <v>788</v>
      </c>
      <c r="J9477" s="380" t="s">
        <v>773</v>
      </c>
      <c r="K9477" s="381">
        <v>0.0</v>
      </c>
      <c r="L9477" s="382">
        <v>1.0</v>
      </c>
    </row>
    <row r="9478">
      <c r="A9478" s="380" t="s">
        <v>10352</v>
      </c>
      <c r="B9478" s="380" t="str">
        <f>IFERROR(__xludf.DUMMYFUNCTION("""COMPUTED_VALUE"""),"Zapata Freno DEL 1 Cca FT 1128 770102334")</f>
        <v>Zapata Freno DEL 1 Cca FT 1128 770102334</v>
      </c>
      <c r="C9478" s="380" t="str">
        <f>IFERROR(__xludf.DUMMYFUNCTION("""COMPUTED_VALUE"""),"70004899")</f>
        <v>70004899</v>
      </c>
      <c r="D9478" s="380" t="s">
        <v>767</v>
      </c>
      <c r="E9478" s="380" t="s">
        <v>786</v>
      </c>
      <c r="F9478" s="380" t="s">
        <v>1017</v>
      </c>
      <c r="G9478" s="380" t="s">
        <v>1267</v>
      </c>
      <c r="H9478" s="380" t="s">
        <v>771</v>
      </c>
      <c r="I9478" s="380" t="s">
        <v>788</v>
      </c>
      <c r="J9478" s="380" t="s">
        <v>773</v>
      </c>
      <c r="K9478" s="381">
        <v>0.0</v>
      </c>
      <c r="L9478" s="382">
        <v>1.0</v>
      </c>
    </row>
    <row r="9479">
      <c r="A9479" s="380" t="s">
        <v>10353</v>
      </c>
      <c r="B9479" s="380" t="str">
        <f>IFERROR(__xludf.DUMMYFUNCTION("""COMPUTED_VALUE"""),"Racor En T Prestoloock EGL 3/8x 1/4 X3/8")</f>
        <v>Racor En T Prestoloock EGL 3/8x 1/4 X3/8</v>
      </c>
      <c r="C9479" s="380" t="str">
        <f>IFERROR(__xludf.DUMMYFUNCTION("""COMPUTED_VALUE"""),"70004900")</f>
        <v>70004900</v>
      </c>
      <c r="D9479" s="380" t="s">
        <v>767</v>
      </c>
      <c r="E9479" s="380" t="s">
        <v>786</v>
      </c>
      <c r="F9479" s="380" t="s">
        <v>1017</v>
      </c>
      <c r="G9479" s="380" t="s">
        <v>1267</v>
      </c>
      <c r="H9479" s="380" t="s">
        <v>771</v>
      </c>
      <c r="I9479" s="380" t="s">
        <v>788</v>
      </c>
      <c r="J9479" s="380" t="s">
        <v>773</v>
      </c>
      <c r="K9479" s="381">
        <v>0.0</v>
      </c>
      <c r="L9479" s="382">
        <v>1.0</v>
      </c>
    </row>
    <row r="9480">
      <c r="A9480" s="380" t="s">
        <v>10354</v>
      </c>
      <c r="B9480" s="380" t="str">
        <f>IFERROR(__xludf.DUMMYFUNCTION("""COMPUTED_VALUE"""),"Alternador 12v Foton 1039 7701023775304")</f>
        <v>Alternador 12v Foton 1039 7701023775304</v>
      </c>
      <c r="C9480" s="380" t="str">
        <f>IFERROR(__xludf.DUMMYFUNCTION("""COMPUTED_VALUE"""),"70004901")</f>
        <v>70004901</v>
      </c>
      <c r="D9480" s="380" t="s">
        <v>767</v>
      </c>
      <c r="E9480" s="380" t="s">
        <v>786</v>
      </c>
      <c r="F9480" s="380" t="s">
        <v>998</v>
      </c>
      <c r="G9480" s="380" t="s">
        <v>1267</v>
      </c>
      <c r="H9480" s="380" t="s">
        <v>771</v>
      </c>
      <c r="I9480" s="380" t="s">
        <v>788</v>
      </c>
      <c r="J9480" s="380" t="s">
        <v>773</v>
      </c>
      <c r="K9480" s="381">
        <v>0.0</v>
      </c>
      <c r="L9480" s="382">
        <v>1.0</v>
      </c>
    </row>
    <row r="9481">
      <c r="A9481" s="380" t="s">
        <v>10355</v>
      </c>
      <c r="B9481" s="380" t="str">
        <f>IFERROR(__xludf.DUMMYFUNCTION("""COMPUTED_VALUE"""),"Hoja Resorte Del Nhr Imal 22934/5")</f>
        <v>Hoja Resorte Del Nhr Imal 22934/5</v>
      </c>
      <c r="C9481" s="380" t="str">
        <f>IFERROR(__xludf.DUMMYFUNCTION("""COMPUTED_VALUE"""),"70004902")</f>
        <v>70004902</v>
      </c>
      <c r="D9481" s="380" t="s">
        <v>767</v>
      </c>
      <c r="E9481" s="380" t="s">
        <v>786</v>
      </c>
      <c r="F9481" s="380" t="s">
        <v>1039</v>
      </c>
      <c r="G9481" s="380" t="s">
        <v>1267</v>
      </c>
      <c r="H9481" s="380" t="s">
        <v>771</v>
      </c>
      <c r="I9481" s="380" t="s">
        <v>788</v>
      </c>
      <c r="J9481" s="380" t="s">
        <v>773</v>
      </c>
      <c r="K9481" s="381">
        <v>0.0</v>
      </c>
      <c r="L9481" s="382">
        <v>1.0</v>
      </c>
    </row>
    <row r="9482">
      <c r="A9482" s="380" t="s">
        <v>10356</v>
      </c>
      <c r="B9482" s="380" t="str">
        <f>IFERROR(__xludf.DUMMYFUNCTION("""COMPUTED_VALUE"""),"Abrazadera Conexión Mofle Turbo MOT Isx")</f>
        <v>Abrazadera Conexión Mofle Turbo MOT Isx</v>
      </c>
      <c r="C9482" s="380" t="str">
        <f>IFERROR(__xludf.DUMMYFUNCTION("""COMPUTED_VALUE"""),"70004903")</f>
        <v>70004903</v>
      </c>
      <c r="D9482" s="380" t="s">
        <v>767</v>
      </c>
      <c r="E9482" s="380" t="s">
        <v>786</v>
      </c>
      <c r="F9482" s="380" t="s">
        <v>787</v>
      </c>
      <c r="G9482" s="380" t="s">
        <v>1267</v>
      </c>
      <c r="H9482" s="380" t="s">
        <v>771</v>
      </c>
      <c r="I9482" s="380" t="s">
        <v>788</v>
      </c>
      <c r="J9482" s="380" t="s">
        <v>773</v>
      </c>
      <c r="K9482" s="381">
        <v>0.0</v>
      </c>
      <c r="L9482" s="382">
        <v>1.0</v>
      </c>
    </row>
    <row r="9483">
      <c r="A9483" s="380" t="s">
        <v>10357</v>
      </c>
      <c r="B9483" s="380" t="str">
        <f>IFERROR(__xludf.DUMMYFUNCTION("""COMPUTED_VALUE"""),"Lampara DIRal Capo Der Int EG 2505369c91")</f>
        <v>Lampara DIRal Capo Der Int EG 2505369c91</v>
      </c>
      <c r="C9483" s="380" t="str">
        <f>IFERROR(__xludf.DUMMYFUNCTION("""COMPUTED_VALUE"""),"70004904")</f>
        <v>70004904</v>
      </c>
      <c r="D9483" s="380" t="s">
        <v>767</v>
      </c>
      <c r="E9483" s="380" t="s">
        <v>786</v>
      </c>
      <c r="F9483" s="380" t="s">
        <v>998</v>
      </c>
      <c r="G9483" s="380" t="s">
        <v>1267</v>
      </c>
      <c r="H9483" s="380" t="s">
        <v>771</v>
      </c>
      <c r="I9483" s="380" t="s">
        <v>788</v>
      </c>
      <c r="J9483" s="380" t="s">
        <v>773</v>
      </c>
      <c r="K9483" s="381">
        <v>205691.0</v>
      </c>
      <c r="L9483" s="382">
        <v>1.0</v>
      </c>
    </row>
    <row r="9484">
      <c r="A9484" s="380" t="s">
        <v>10358</v>
      </c>
      <c r="B9484" s="380" t="str">
        <f>IFERROR(__xludf.DUMMYFUNCTION("""COMPUTED_VALUE"""),"Campana Freno Tras Npr 97081219")</f>
        <v>Campana Freno Tras Npr 97081219</v>
      </c>
      <c r="C9484" s="380" t="str">
        <f>IFERROR(__xludf.DUMMYFUNCTION("""COMPUTED_VALUE"""),"70004905")</f>
        <v>70004905</v>
      </c>
      <c r="D9484" s="380" t="s">
        <v>767</v>
      </c>
      <c r="E9484" s="380" t="s">
        <v>786</v>
      </c>
      <c r="F9484" s="380" t="s">
        <v>1017</v>
      </c>
      <c r="G9484" s="380" t="s">
        <v>1267</v>
      </c>
      <c r="H9484" s="380" t="s">
        <v>771</v>
      </c>
      <c r="I9484" s="380" t="s">
        <v>788</v>
      </c>
      <c r="J9484" s="380" t="s">
        <v>773</v>
      </c>
      <c r="K9484" s="381">
        <v>0.0</v>
      </c>
      <c r="L9484" s="382">
        <v>1.0</v>
      </c>
    </row>
    <row r="9485">
      <c r="A9485" s="380" t="s">
        <v>10359</v>
      </c>
      <c r="B9485" s="380" t="str">
        <f>IFERROR(__xludf.DUMMYFUNCTION("""COMPUTED_VALUE"""),"Disco Embrague Nkr III Nuevo 8972571240")</f>
        <v>Disco Embrague Nkr III Nuevo 8972571240</v>
      </c>
      <c r="C9485" s="380" t="str">
        <f>IFERROR(__xludf.DUMMYFUNCTION("""COMPUTED_VALUE"""),"70004906")</f>
        <v>70004906</v>
      </c>
      <c r="D9485" s="380" t="s">
        <v>767</v>
      </c>
      <c r="E9485" s="380" t="s">
        <v>786</v>
      </c>
      <c r="F9485" s="380" t="s">
        <v>5661</v>
      </c>
      <c r="G9485" s="380" t="s">
        <v>1267</v>
      </c>
      <c r="H9485" s="380" t="s">
        <v>771</v>
      </c>
      <c r="I9485" s="380" t="s">
        <v>788</v>
      </c>
      <c r="J9485" s="380" t="s">
        <v>773</v>
      </c>
      <c r="K9485" s="381">
        <v>0.0</v>
      </c>
      <c r="L9485" s="382">
        <v>1.0</v>
      </c>
    </row>
    <row r="9486">
      <c r="A9486" s="380" t="s">
        <v>10360</v>
      </c>
      <c r="B9486" s="380" t="str">
        <f>IFERROR(__xludf.DUMMYFUNCTION("""COMPUTED_VALUE"""),"Switch Boton Alarma 24-360p")</f>
        <v>Switch Boton Alarma 24-360p</v>
      </c>
      <c r="C9486" s="380" t="str">
        <f>IFERROR(__xludf.DUMMYFUNCTION("""COMPUTED_VALUE"""),"70004907")</f>
        <v>70004907</v>
      </c>
      <c r="D9486" s="380" t="s">
        <v>767</v>
      </c>
      <c r="E9486" s="380" t="s">
        <v>786</v>
      </c>
      <c r="F9486" s="380" t="s">
        <v>998</v>
      </c>
      <c r="G9486" s="380" t="s">
        <v>1267</v>
      </c>
      <c r="H9486" s="380" t="s">
        <v>771</v>
      </c>
      <c r="I9486" s="380" t="s">
        <v>788</v>
      </c>
      <c r="J9486" s="380" t="s">
        <v>773</v>
      </c>
      <c r="K9486" s="381">
        <v>47214.0</v>
      </c>
      <c r="L9486" s="382">
        <v>1.0</v>
      </c>
    </row>
    <row r="9487">
      <c r="A9487" s="380" t="s">
        <v>10361</v>
      </c>
      <c r="B9487" s="380" t="str">
        <f>IFERROR(__xludf.DUMMYFUNCTION("""COMPUTED_VALUE"""),"Acople Manguera Jardin 1/2""")</f>
        <v>Acople Manguera Jardin 1/2"</v>
      </c>
      <c r="C9487" s="380" t="str">
        <f>IFERROR(__xludf.DUMMYFUNCTION("""COMPUTED_VALUE"""),"70004908")</f>
        <v>70004908</v>
      </c>
      <c r="D9487" s="380" t="s">
        <v>767</v>
      </c>
      <c r="E9487" s="380" t="s">
        <v>786</v>
      </c>
      <c r="F9487" s="380" t="s">
        <v>989</v>
      </c>
      <c r="G9487" s="380" t="s">
        <v>1267</v>
      </c>
      <c r="H9487" s="380" t="s">
        <v>771</v>
      </c>
      <c r="I9487" s="380" t="s">
        <v>788</v>
      </c>
      <c r="J9487" s="380" t="s">
        <v>773</v>
      </c>
      <c r="K9487" s="381">
        <v>28070.0</v>
      </c>
      <c r="L9487" s="382">
        <v>1.0</v>
      </c>
    </row>
    <row r="9488">
      <c r="A9488" s="380" t="s">
        <v>10362</v>
      </c>
      <c r="B9488" s="380" t="str">
        <f>IFERROR(__xludf.DUMMYFUNCTION("""COMPUTED_VALUE"""),"Bombillo Cabina 17315 (Npr-Nkr-Mz)")</f>
        <v>Bombillo Cabina 17315 (Npr-Nkr-Mz)</v>
      </c>
      <c r="C9488" s="380" t="str">
        <f>IFERROR(__xludf.DUMMYFUNCTION("""COMPUTED_VALUE"""),"70004909")</f>
        <v>70004909</v>
      </c>
      <c r="D9488" s="380" t="s">
        <v>767</v>
      </c>
      <c r="E9488" s="380" t="s">
        <v>786</v>
      </c>
      <c r="F9488" s="380" t="s">
        <v>998</v>
      </c>
      <c r="G9488" s="380" t="s">
        <v>1267</v>
      </c>
      <c r="H9488" s="380" t="s">
        <v>771</v>
      </c>
      <c r="I9488" s="380" t="s">
        <v>788</v>
      </c>
      <c r="J9488" s="380" t="s">
        <v>773</v>
      </c>
      <c r="K9488" s="381">
        <v>1630.0</v>
      </c>
      <c r="L9488" s="382">
        <v>1.0</v>
      </c>
    </row>
    <row r="9489">
      <c r="A9489" s="380" t="s">
        <v>10363</v>
      </c>
      <c r="B9489" s="380" t="str">
        <f>IFERROR(__xludf.DUMMYFUNCTION("""COMPUTED_VALUE"""),"Hoja Articulada Deflector Angular Izq Da")</f>
        <v>Hoja Articulada Deflector Angular Izq Da</v>
      </c>
      <c r="C9489" s="380" t="str">
        <f>IFERROR(__xludf.DUMMYFUNCTION("""COMPUTED_VALUE"""),"70004910")</f>
        <v>70004910</v>
      </c>
      <c r="D9489" s="380" t="s">
        <v>767</v>
      </c>
      <c r="E9489" s="380" t="s">
        <v>786</v>
      </c>
      <c r="F9489" s="380" t="s">
        <v>792</v>
      </c>
      <c r="G9489" s="380" t="s">
        <v>1267</v>
      </c>
      <c r="H9489" s="380" t="s">
        <v>771</v>
      </c>
      <c r="I9489" s="380" t="s">
        <v>788</v>
      </c>
      <c r="J9489" s="380" t="s">
        <v>773</v>
      </c>
      <c r="K9489" s="381">
        <v>0.0</v>
      </c>
      <c r="L9489" s="382">
        <v>1.0</v>
      </c>
    </row>
    <row r="9490">
      <c r="A9490" s="380" t="s">
        <v>10364</v>
      </c>
      <c r="B9490" s="380" t="str">
        <f>IFERROR(__xludf.DUMMYFUNCTION("""COMPUTED_VALUE"""),"Soporte Farola Daf Izq 2107374")</f>
        <v>Soporte Farola Daf Izq 2107374</v>
      </c>
      <c r="C9490" s="380" t="str">
        <f>IFERROR(__xludf.DUMMYFUNCTION("""COMPUTED_VALUE"""),"70004911")</f>
        <v>70004911</v>
      </c>
      <c r="D9490" s="380" t="s">
        <v>767</v>
      </c>
      <c r="E9490" s="380" t="s">
        <v>786</v>
      </c>
      <c r="F9490" s="380" t="s">
        <v>792</v>
      </c>
      <c r="G9490" s="380" t="s">
        <v>1267</v>
      </c>
      <c r="H9490" s="380" t="s">
        <v>771</v>
      </c>
      <c r="I9490" s="380" t="s">
        <v>788</v>
      </c>
      <c r="J9490" s="380" t="s">
        <v>773</v>
      </c>
      <c r="K9490" s="381">
        <v>0.0</v>
      </c>
      <c r="L9490" s="382">
        <v>1.0</v>
      </c>
    </row>
    <row r="9491">
      <c r="A9491" s="380" t="s">
        <v>10365</v>
      </c>
      <c r="B9491" s="380" t="str">
        <f>IFERROR(__xludf.DUMMYFUNCTION("""COMPUTED_VALUE"""),"RET TRAS Cigueñal MOT Daf 1876190")</f>
        <v>RET TRAS Cigueñal MOT Daf 1876190</v>
      </c>
      <c r="C9491" s="380" t="str">
        <f>IFERROR(__xludf.DUMMYFUNCTION("""COMPUTED_VALUE"""),"70004912")</f>
        <v>70004912</v>
      </c>
      <c r="D9491" s="380" t="s">
        <v>767</v>
      </c>
      <c r="E9491" s="380" t="s">
        <v>786</v>
      </c>
      <c r="F9491" s="380" t="s">
        <v>787</v>
      </c>
      <c r="G9491" s="380" t="s">
        <v>1267</v>
      </c>
      <c r="H9491" s="380" t="s">
        <v>771</v>
      </c>
      <c r="I9491" s="380" t="s">
        <v>788</v>
      </c>
      <c r="J9491" s="380" t="s">
        <v>773</v>
      </c>
      <c r="K9491" s="381">
        <v>0.0</v>
      </c>
      <c r="L9491" s="382">
        <v>1.0</v>
      </c>
    </row>
    <row r="9492">
      <c r="A9492" s="380" t="s">
        <v>10366</v>
      </c>
      <c r="B9492" s="380" t="str">
        <f>IFERROR(__xludf.DUMMYFUNCTION("""COMPUTED_VALUE"""),"SENS FILT De COMB FT 1039 7705946249515")</f>
        <v>SENS FILT De COMB FT 1039 7705946249515</v>
      </c>
      <c r="C9492" s="380" t="str">
        <f>IFERROR(__xludf.DUMMYFUNCTION("""COMPUTED_VALUE"""),"70004913")</f>
        <v>70004913</v>
      </c>
      <c r="D9492" s="380" t="s">
        <v>767</v>
      </c>
      <c r="E9492" s="380" t="s">
        <v>786</v>
      </c>
      <c r="F9492" s="380" t="s">
        <v>998</v>
      </c>
      <c r="G9492" s="380" t="s">
        <v>1267</v>
      </c>
      <c r="H9492" s="380" t="s">
        <v>771</v>
      </c>
      <c r="I9492" s="380" t="s">
        <v>788</v>
      </c>
      <c r="J9492" s="380" t="s">
        <v>773</v>
      </c>
      <c r="K9492" s="381">
        <v>0.0</v>
      </c>
      <c r="L9492" s="382">
        <v>1.0</v>
      </c>
    </row>
    <row r="9493">
      <c r="A9493" s="380" t="s">
        <v>10367</v>
      </c>
      <c r="B9493" s="380" t="str">
        <f>IFERROR(__xludf.DUMMYFUNCTION("""COMPUTED_VALUE"""),"Conjunto Freno Delantero Derecho Dongfen")</f>
        <v>Conjunto Freno Delantero Derecho Dongfen</v>
      </c>
      <c r="C9493" s="380" t="str">
        <f>IFERROR(__xludf.DUMMYFUNCTION("""COMPUTED_VALUE"""),"70004914")</f>
        <v>70004914</v>
      </c>
      <c r="D9493" s="380" t="s">
        <v>767</v>
      </c>
      <c r="E9493" s="380" t="s">
        <v>786</v>
      </c>
      <c r="F9493" s="380" t="s">
        <v>1017</v>
      </c>
      <c r="G9493" s="380" t="s">
        <v>1267</v>
      </c>
      <c r="H9493" s="380" t="s">
        <v>771</v>
      </c>
      <c r="I9493" s="380" t="s">
        <v>788</v>
      </c>
      <c r="J9493" s="380" t="s">
        <v>773</v>
      </c>
      <c r="K9493" s="381">
        <v>0.0</v>
      </c>
      <c r="L9493" s="382">
        <v>1.0</v>
      </c>
    </row>
    <row r="9494">
      <c r="A9494" s="380" t="s">
        <v>10368</v>
      </c>
      <c r="B9494" s="380" t="str">
        <f>IFERROR(__xludf.DUMMYFUNCTION("""COMPUTED_VALUE"""),"SOP Farola DER Daf Cf480 Frr 2107375")</f>
        <v>SOP Farola DER Daf Cf480 Frr 2107375</v>
      </c>
      <c r="C9494" s="380" t="str">
        <f>IFERROR(__xludf.DUMMYFUNCTION("""COMPUTED_VALUE"""),"70004915")</f>
        <v>70004915</v>
      </c>
      <c r="D9494" s="380" t="s">
        <v>767</v>
      </c>
      <c r="E9494" s="380" t="s">
        <v>786</v>
      </c>
      <c r="F9494" s="380" t="s">
        <v>792</v>
      </c>
      <c r="G9494" s="380" t="s">
        <v>1267</v>
      </c>
      <c r="H9494" s="380" t="s">
        <v>771</v>
      </c>
      <c r="I9494" s="380" t="s">
        <v>788</v>
      </c>
      <c r="J9494" s="380" t="s">
        <v>773</v>
      </c>
      <c r="K9494" s="381">
        <v>0.0</v>
      </c>
      <c r="L9494" s="382">
        <v>1.0</v>
      </c>
    </row>
    <row r="9495">
      <c r="A9495" s="380" t="s">
        <v>10369</v>
      </c>
      <c r="B9495" s="380" t="str">
        <f>IFERROR(__xludf.DUMMYFUNCTION("""COMPUTED_VALUE"""),"Cuerpo Swich Encendido HN 3004528037100")</f>
        <v>Cuerpo Swich Encendido HN 3004528037100</v>
      </c>
      <c r="C9495" s="380" t="str">
        <f>IFERROR(__xludf.DUMMYFUNCTION("""COMPUTED_VALUE"""),"70004916")</f>
        <v>70004916</v>
      </c>
      <c r="D9495" s="380" t="s">
        <v>767</v>
      </c>
      <c r="E9495" s="380" t="s">
        <v>786</v>
      </c>
      <c r="F9495" s="380" t="s">
        <v>998</v>
      </c>
      <c r="G9495" s="380" t="s">
        <v>1267</v>
      </c>
      <c r="H9495" s="380" t="s">
        <v>771</v>
      </c>
      <c r="I9495" s="380" t="s">
        <v>788</v>
      </c>
      <c r="J9495" s="380" t="s">
        <v>773</v>
      </c>
      <c r="K9495" s="381">
        <v>661218.0</v>
      </c>
      <c r="L9495" s="382">
        <v>1.0</v>
      </c>
    </row>
    <row r="9496">
      <c r="A9496" s="380" t="s">
        <v>10370</v>
      </c>
      <c r="B9496" s="380" t="str">
        <f>IFERROR(__xludf.DUMMYFUNCTION("""COMPUTED_VALUE"""),"Empaque Carter Foton 1039 7701023521338")</f>
        <v>Empaque Carter Foton 1039 7701023521338</v>
      </c>
      <c r="C9496" s="380" t="str">
        <f>IFERROR(__xludf.DUMMYFUNCTION("""COMPUTED_VALUE"""),"70004917")</f>
        <v>70004917</v>
      </c>
      <c r="D9496" s="380" t="s">
        <v>767</v>
      </c>
      <c r="E9496" s="380" t="s">
        <v>786</v>
      </c>
      <c r="F9496" s="380" t="s">
        <v>787</v>
      </c>
      <c r="G9496" s="380" t="s">
        <v>1267</v>
      </c>
      <c r="H9496" s="380" t="s">
        <v>771</v>
      </c>
      <c r="I9496" s="380" t="s">
        <v>788</v>
      </c>
      <c r="J9496" s="380" t="s">
        <v>773</v>
      </c>
      <c r="K9496" s="381">
        <v>0.0</v>
      </c>
      <c r="L9496" s="382">
        <v>1.0</v>
      </c>
    </row>
    <row r="9497">
      <c r="A9497" s="380" t="s">
        <v>10371</v>
      </c>
      <c r="B9497" s="380" t="str">
        <f>IFERROR(__xludf.DUMMYFUNCTION("""COMPUTED_VALUE"""),"EMP Multiple Admision FT 1039 7710235213")</f>
        <v>EMP Multiple Admision FT 1039 7710235213</v>
      </c>
      <c r="C9497" s="380" t="str">
        <f>IFERROR(__xludf.DUMMYFUNCTION("""COMPUTED_VALUE"""),"70004918")</f>
        <v>70004918</v>
      </c>
      <c r="D9497" s="380" t="s">
        <v>767</v>
      </c>
      <c r="E9497" s="380" t="s">
        <v>786</v>
      </c>
      <c r="F9497" s="380" t="s">
        <v>787</v>
      </c>
      <c r="G9497" s="380" t="s">
        <v>1267</v>
      </c>
      <c r="H9497" s="380" t="s">
        <v>771</v>
      </c>
      <c r="I9497" s="380" t="s">
        <v>788</v>
      </c>
      <c r="J9497" s="380" t="s">
        <v>773</v>
      </c>
      <c r="K9497" s="381">
        <v>0.0</v>
      </c>
      <c r="L9497" s="382">
        <v>1.0</v>
      </c>
    </row>
    <row r="9498">
      <c r="A9498" s="380" t="s">
        <v>10372</v>
      </c>
      <c r="B9498" s="380" t="str">
        <f>IFERROR(__xludf.DUMMYFUNCTION("""COMPUTED_VALUE"""),"Empaque Multiple Admision Npr 8970849382")</f>
        <v>Empaque Multiple Admision Npr 8970849382</v>
      </c>
      <c r="C9498" s="380" t="str">
        <f>IFERROR(__xludf.DUMMYFUNCTION("""COMPUTED_VALUE"""),"70004919")</f>
        <v>70004919</v>
      </c>
      <c r="D9498" s="380" t="s">
        <v>767</v>
      </c>
      <c r="E9498" s="380" t="s">
        <v>786</v>
      </c>
      <c r="F9498" s="380" t="s">
        <v>787</v>
      </c>
      <c r="G9498" s="380" t="s">
        <v>1267</v>
      </c>
      <c r="H9498" s="380" t="s">
        <v>771</v>
      </c>
      <c r="I9498" s="380" t="s">
        <v>788</v>
      </c>
      <c r="J9498" s="380" t="s">
        <v>773</v>
      </c>
      <c r="K9498" s="381">
        <v>0.0</v>
      </c>
      <c r="L9498" s="382">
        <v>1.0</v>
      </c>
    </row>
    <row r="9499">
      <c r="A9499" s="380" t="s">
        <v>10373</v>
      </c>
      <c r="B9499" s="380" t="str">
        <f>IFERROR(__xludf.DUMMYFUNCTION("""COMPUTED_VALUE"""),"Prensa Embrague Nkr Ii Con Turbo 561040")</f>
        <v>Prensa Embrague Nkr Ii Con Turbo 561040</v>
      </c>
      <c r="C9499" s="380" t="str">
        <f>IFERROR(__xludf.DUMMYFUNCTION("""COMPUTED_VALUE"""),"70004920")</f>
        <v>70004920</v>
      </c>
      <c r="D9499" s="380" t="s">
        <v>767</v>
      </c>
      <c r="E9499" s="380" t="s">
        <v>786</v>
      </c>
      <c r="F9499" s="380" t="s">
        <v>5661</v>
      </c>
      <c r="G9499" s="380" t="s">
        <v>1267</v>
      </c>
      <c r="H9499" s="380" t="s">
        <v>771</v>
      </c>
      <c r="I9499" s="380" t="s">
        <v>788</v>
      </c>
      <c r="J9499" s="380" t="s">
        <v>773</v>
      </c>
      <c r="K9499" s="381">
        <v>0.0</v>
      </c>
      <c r="L9499" s="382">
        <v>1.0</v>
      </c>
    </row>
    <row r="9500">
      <c r="A9500" s="380" t="s">
        <v>10374</v>
      </c>
      <c r="B9500" s="380" t="str">
        <f>IFERROR(__xludf.DUMMYFUNCTION("""COMPUTED_VALUE"""),"Enfriador Aceite CH Nhr 8972263910")</f>
        <v>Enfriador Aceite CH Nhr 8972263910</v>
      </c>
      <c r="C9500" s="380" t="str">
        <f>IFERROR(__xludf.DUMMYFUNCTION("""COMPUTED_VALUE"""),"70004921")</f>
        <v>70004921</v>
      </c>
      <c r="D9500" s="380" t="s">
        <v>767</v>
      </c>
      <c r="E9500" s="380" t="s">
        <v>786</v>
      </c>
      <c r="F9500" s="380" t="s">
        <v>787</v>
      </c>
      <c r="G9500" s="380" t="s">
        <v>1267</v>
      </c>
      <c r="H9500" s="380" t="s">
        <v>771</v>
      </c>
      <c r="I9500" s="380" t="s">
        <v>788</v>
      </c>
      <c r="J9500" s="380" t="s">
        <v>773</v>
      </c>
      <c r="K9500" s="381">
        <v>0.0</v>
      </c>
      <c r="L9500" s="382">
        <v>1.0</v>
      </c>
    </row>
    <row r="9501">
      <c r="A9501" s="380" t="s">
        <v>10375</v>
      </c>
      <c r="B9501" s="380" t="str">
        <f>IFERROR(__xludf.DUMMYFUNCTION("""COMPUTED_VALUE"""),"SOP Puente MOT Der KW T800 A11-1367r")</f>
        <v>SOP Puente MOT Der KW T800 A11-1367r</v>
      </c>
      <c r="C9501" s="380" t="str">
        <f>IFERROR(__xludf.DUMMYFUNCTION("""COMPUTED_VALUE"""),"70004922")</f>
        <v>70004922</v>
      </c>
      <c r="D9501" s="380" t="s">
        <v>767</v>
      </c>
      <c r="E9501" s="380" t="s">
        <v>786</v>
      </c>
      <c r="F9501" s="380" t="s">
        <v>792</v>
      </c>
      <c r="G9501" s="380" t="s">
        <v>1267</v>
      </c>
      <c r="H9501" s="380" t="s">
        <v>771</v>
      </c>
      <c r="I9501" s="380" t="s">
        <v>788</v>
      </c>
      <c r="J9501" s="380" t="s">
        <v>773</v>
      </c>
      <c r="K9501" s="381">
        <v>0.0</v>
      </c>
      <c r="L9501" s="382">
        <v>1.0</v>
      </c>
    </row>
    <row r="9502">
      <c r="A9502" s="380" t="s">
        <v>10376</v>
      </c>
      <c r="B9502" s="380" t="str">
        <f>IFERROR(__xludf.DUMMYFUNCTION("""COMPUTED_VALUE"""),"Terminal BRR Estabilizadora HY H100 Port")</f>
        <v>Terminal BRR Estabilizadora HY H100 Port</v>
      </c>
      <c r="C9502" s="380" t="str">
        <f>IFERROR(__xludf.DUMMYFUNCTION("""COMPUTED_VALUE"""),"70004923")</f>
        <v>70004923</v>
      </c>
      <c r="D9502" s="380" t="s">
        <v>767</v>
      </c>
      <c r="E9502" s="380" t="s">
        <v>786</v>
      </c>
      <c r="F9502" s="380" t="s">
        <v>1020</v>
      </c>
      <c r="G9502" s="380" t="s">
        <v>1267</v>
      </c>
      <c r="H9502" s="380" t="s">
        <v>771</v>
      </c>
      <c r="I9502" s="380" t="s">
        <v>788</v>
      </c>
      <c r="J9502" s="380" t="s">
        <v>773</v>
      </c>
      <c r="K9502" s="381">
        <v>0.0</v>
      </c>
      <c r="L9502" s="382">
        <v>1.0</v>
      </c>
    </row>
    <row r="9503">
      <c r="A9503" s="380" t="s">
        <v>10377</v>
      </c>
      <c r="B9503" s="380" t="str">
        <f>IFERROR(__xludf.DUMMYFUNCTION("""COMPUTED_VALUE"""),"Tijera Izquierda Hyundai Porter H100")</f>
        <v>Tijera Izquierda Hyundai Porter H100</v>
      </c>
      <c r="C9503" s="380" t="str">
        <f>IFERROR(__xludf.DUMMYFUNCTION("""COMPUTED_VALUE"""),"70004924")</f>
        <v>70004924</v>
      </c>
      <c r="D9503" s="380" t="s">
        <v>767</v>
      </c>
      <c r="E9503" s="380" t="s">
        <v>786</v>
      </c>
      <c r="F9503" s="380" t="s">
        <v>1020</v>
      </c>
      <c r="G9503" s="380" t="s">
        <v>1267</v>
      </c>
      <c r="H9503" s="380" t="s">
        <v>771</v>
      </c>
      <c r="I9503" s="380" t="s">
        <v>788</v>
      </c>
      <c r="J9503" s="380" t="s">
        <v>773</v>
      </c>
      <c r="K9503" s="381">
        <v>0.0</v>
      </c>
      <c r="L9503" s="382">
        <v>1.0</v>
      </c>
    </row>
    <row r="9504">
      <c r="A9504" s="380" t="s">
        <v>10378</v>
      </c>
      <c r="B9504" s="380" t="str">
        <f>IFERROR(__xludf.DUMMYFUNCTION("""COMPUTED_VALUE"""),"Perno Rueda Trailer Rin Disco")</f>
        <v>Perno Rueda Trailer Rin Disco</v>
      </c>
      <c r="C9504" s="380" t="str">
        <f>IFERROR(__xludf.DUMMYFUNCTION("""COMPUTED_VALUE"""),"70004925")</f>
        <v>70004925</v>
      </c>
      <c r="D9504" s="380" t="s">
        <v>767</v>
      </c>
      <c r="E9504" s="380" t="s">
        <v>786</v>
      </c>
      <c r="F9504" s="380" t="s">
        <v>1039</v>
      </c>
      <c r="G9504" s="380" t="s">
        <v>1267</v>
      </c>
      <c r="H9504" s="380" t="s">
        <v>771</v>
      </c>
      <c r="I9504" s="380" t="s">
        <v>788</v>
      </c>
      <c r="J9504" s="380" t="s">
        <v>773</v>
      </c>
      <c r="K9504" s="381">
        <v>0.0</v>
      </c>
      <c r="L9504" s="382">
        <v>1.0</v>
      </c>
    </row>
    <row r="9505">
      <c r="A9505" s="380" t="s">
        <v>10379</v>
      </c>
      <c r="B9505" s="380" t="str">
        <f>IFERROR(__xludf.DUMMYFUNCTION("""COMPUTED_VALUE"""),"INTruptor Ppal Elevavidrios Jac 1042 Mod")</f>
        <v>INTruptor Ppal Elevavidrios Jac 1042 Mod</v>
      </c>
      <c r="C9505" s="380" t="str">
        <f>IFERROR(__xludf.DUMMYFUNCTION("""COMPUTED_VALUE"""),"70004926")</f>
        <v>70004926</v>
      </c>
      <c r="D9505" s="380" t="s">
        <v>767</v>
      </c>
      <c r="E9505" s="380" t="s">
        <v>786</v>
      </c>
      <c r="F9505" s="380" t="s">
        <v>998</v>
      </c>
      <c r="G9505" s="380" t="s">
        <v>1267</v>
      </c>
      <c r="H9505" s="380" t="s">
        <v>771</v>
      </c>
      <c r="I9505" s="380" t="s">
        <v>788</v>
      </c>
      <c r="J9505" s="380" t="s">
        <v>773</v>
      </c>
      <c r="K9505" s="381">
        <v>0.0</v>
      </c>
      <c r="L9505" s="382">
        <v>1.0</v>
      </c>
    </row>
    <row r="9506">
      <c r="A9506" s="380" t="s">
        <v>10380</v>
      </c>
      <c r="B9506" s="380" t="str">
        <f>IFERROR(__xludf.DUMMYFUNCTION("""COMPUTED_VALUE"""),"FILT COMB Surtidor Wayne A70015sp")</f>
        <v>FILT COMB Surtidor Wayne A70015sp</v>
      </c>
      <c r="C9506" s="380" t="str">
        <f>IFERROR(__xludf.DUMMYFUNCTION("""COMPUTED_VALUE"""),"70004927")</f>
        <v>70004927</v>
      </c>
      <c r="D9506" s="380" t="s">
        <v>767</v>
      </c>
      <c r="E9506" s="380" t="s">
        <v>786</v>
      </c>
      <c r="F9506" s="380" t="s">
        <v>5855</v>
      </c>
      <c r="G9506" s="380" t="s">
        <v>1267</v>
      </c>
      <c r="H9506" s="380" t="s">
        <v>771</v>
      </c>
      <c r="I9506" s="380" t="s">
        <v>788</v>
      </c>
      <c r="J9506" s="380" t="s">
        <v>773</v>
      </c>
      <c r="K9506" s="381">
        <v>0.0</v>
      </c>
      <c r="L9506" s="382">
        <v>1.0</v>
      </c>
    </row>
    <row r="9507">
      <c r="A9507" s="380" t="s">
        <v>10381</v>
      </c>
      <c r="B9507" s="380" t="str">
        <f>IFERROR(__xludf.DUMMYFUNCTION("""COMPUTED_VALUE"""),"carcasa Termostato FT 1039 7705946355452")</f>
        <v>carcasa Termostato FT 1039 7705946355452</v>
      </c>
      <c r="C9507" s="380" t="str">
        <f>IFERROR(__xludf.DUMMYFUNCTION("""COMPUTED_VALUE"""),"70004928")</f>
        <v>70004928</v>
      </c>
      <c r="D9507" s="380" t="s">
        <v>767</v>
      </c>
      <c r="E9507" s="380" t="s">
        <v>786</v>
      </c>
      <c r="F9507" s="380" t="s">
        <v>787</v>
      </c>
      <c r="G9507" s="380" t="s">
        <v>1267</v>
      </c>
      <c r="H9507" s="380" t="s">
        <v>771</v>
      </c>
      <c r="I9507" s="380" t="s">
        <v>788</v>
      </c>
      <c r="J9507" s="380" t="s">
        <v>773</v>
      </c>
      <c r="K9507" s="381">
        <v>0.0</v>
      </c>
      <c r="L9507" s="382">
        <v>1.0</v>
      </c>
    </row>
    <row r="9508">
      <c r="A9508" s="380" t="s">
        <v>10382</v>
      </c>
      <c r="B9508" s="380" t="str">
        <f>IFERROR(__xludf.DUMMYFUNCTION("""COMPUTED_VALUE"""),"Ndicador Restrictor AIR INT Lt 3566635c1")</f>
        <v>Ndicador Restrictor AIR INT Lt 3566635c1</v>
      </c>
      <c r="C9508" s="380" t="str">
        <f>IFERROR(__xludf.DUMMYFUNCTION("""COMPUTED_VALUE"""),"70004929")</f>
        <v>70004929</v>
      </c>
      <c r="D9508" s="380" t="s">
        <v>767</v>
      </c>
      <c r="E9508" s="380" t="s">
        <v>786</v>
      </c>
      <c r="F9508" s="380" t="s">
        <v>787</v>
      </c>
      <c r="G9508" s="380" t="s">
        <v>1267</v>
      </c>
      <c r="H9508" s="380" t="s">
        <v>771</v>
      </c>
      <c r="I9508" s="380" t="s">
        <v>788</v>
      </c>
      <c r="J9508" s="380" t="s">
        <v>773</v>
      </c>
      <c r="K9508" s="381">
        <v>0.0</v>
      </c>
      <c r="L9508" s="382">
        <v>1.0</v>
      </c>
    </row>
    <row r="9509">
      <c r="A9509" s="380" t="s">
        <v>10383</v>
      </c>
      <c r="B9509" s="380" t="str">
        <f>IFERROR(__xludf.DUMMYFUNCTION("""COMPUTED_VALUE"""),"Farola Izquierda Mack Anthem 2330005012")</f>
        <v>Farola Izquierda Mack Anthem 2330005012</v>
      </c>
      <c r="C9509" s="380" t="str">
        <f>IFERROR(__xludf.DUMMYFUNCTION("""COMPUTED_VALUE"""),"70004930")</f>
        <v>70004930</v>
      </c>
      <c r="D9509" s="380" t="s">
        <v>767</v>
      </c>
      <c r="E9509" s="380" t="s">
        <v>786</v>
      </c>
      <c r="F9509" s="380" t="s">
        <v>998</v>
      </c>
      <c r="G9509" s="380" t="s">
        <v>1267</v>
      </c>
      <c r="H9509" s="380" t="s">
        <v>771</v>
      </c>
      <c r="I9509" s="380" t="s">
        <v>788</v>
      </c>
      <c r="J9509" s="380" t="s">
        <v>773</v>
      </c>
      <c r="K9509" s="381">
        <v>0.0</v>
      </c>
      <c r="L9509" s="382">
        <v>1.0</v>
      </c>
    </row>
    <row r="9510">
      <c r="A9510" s="380" t="s">
        <v>10384</v>
      </c>
      <c r="B9510" s="380" t="str">
        <f>IFERROR(__xludf.DUMMYFUNCTION("""COMPUTED_VALUE"""),"Varilla Medidora Aceite REN Duster 77010")</f>
        <v>Varilla Medidora Aceite REN Duster 77010</v>
      </c>
      <c r="C9510" s="380" t="str">
        <f>IFERROR(__xludf.DUMMYFUNCTION("""COMPUTED_VALUE"""),"70004931")</f>
        <v>70004931</v>
      </c>
      <c r="D9510" s="380" t="s">
        <v>767</v>
      </c>
      <c r="E9510" s="380" t="s">
        <v>786</v>
      </c>
      <c r="F9510" s="380" t="s">
        <v>787</v>
      </c>
      <c r="G9510" s="380" t="s">
        <v>1267</v>
      </c>
      <c r="H9510" s="380" t="s">
        <v>771</v>
      </c>
      <c r="I9510" s="380" t="s">
        <v>788</v>
      </c>
      <c r="J9510" s="380" t="s">
        <v>773</v>
      </c>
      <c r="K9510" s="381">
        <v>0.0</v>
      </c>
      <c r="L9510" s="382">
        <v>1.0</v>
      </c>
    </row>
    <row r="9511">
      <c r="A9511" s="380" t="s">
        <v>10385</v>
      </c>
      <c r="B9511" s="380" t="str">
        <f>IFERROR(__xludf.DUMMYFUNCTION("""COMPUTED_VALUE"""),"Resorte PTA Camion Tipo Cortina Pu-2376/")</f>
        <v>Resorte PTA Camion Tipo Cortina Pu-2376/</v>
      </c>
      <c r="C9511" s="380" t="str">
        <f>IFERROR(__xludf.DUMMYFUNCTION("""COMPUTED_VALUE"""),"70004932")</f>
        <v>70004932</v>
      </c>
      <c r="D9511" s="380" t="s">
        <v>767</v>
      </c>
      <c r="E9511" s="380" t="s">
        <v>786</v>
      </c>
      <c r="F9511" s="380" t="s">
        <v>792</v>
      </c>
      <c r="G9511" s="380" t="s">
        <v>1267</v>
      </c>
      <c r="H9511" s="380" t="s">
        <v>771</v>
      </c>
      <c r="I9511" s="380" t="s">
        <v>788</v>
      </c>
      <c r="J9511" s="380" t="s">
        <v>773</v>
      </c>
      <c r="K9511" s="381">
        <v>0.0</v>
      </c>
      <c r="L9511" s="382">
        <v>1.0</v>
      </c>
    </row>
    <row r="9512">
      <c r="A9512" s="380" t="s">
        <v>10386</v>
      </c>
      <c r="B9512" s="380" t="str">
        <f>IFERROR(__xludf.DUMMYFUNCTION("""COMPUTED_VALUE"""),"Balancin Muelle Trasero Frr 1513620382")</f>
        <v>Balancin Muelle Trasero Frr 1513620382</v>
      </c>
      <c r="C9512" s="380" t="str">
        <f>IFERROR(__xludf.DUMMYFUNCTION("""COMPUTED_VALUE"""),"70004933")</f>
        <v>70004933</v>
      </c>
      <c r="D9512" s="380" t="s">
        <v>767</v>
      </c>
      <c r="E9512" s="380" t="s">
        <v>786</v>
      </c>
      <c r="F9512" s="380" t="s">
        <v>1039</v>
      </c>
      <c r="G9512" s="380" t="s">
        <v>1267</v>
      </c>
      <c r="H9512" s="380" t="s">
        <v>771</v>
      </c>
      <c r="I9512" s="380" t="s">
        <v>788</v>
      </c>
      <c r="J9512" s="380" t="s">
        <v>773</v>
      </c>
      <c r="K9512" s="381">
        <v>0.0</v>
      </c>
      <c r="L9512" s="382">
        <v>1.0</v>
      </c>
    </row>
    <row r="9513">
      <c r="A9513" s="380" t="s">
        <v>10387</v>
      </c>
      <c r="B9513" s="380" t="str">
        <f>IFERROR(__xludf.DUMMYFUNCTION("""COMPUTED_VALUE"""),"Sensor Presion Egr Fot1128/Jac1120 Isf3.")</f>
        <v>Sensor Presion Egr Fot1128/Jac1120 Isf3.</v>
      </c>
      <c r="C9513" s="380" t="str">
        <f>IFERROR(__xludf.DUMMYFUNCTION("""COMPUTED_VALUE"""),"70004934")</f>
        <v>70004934</v>
      </c>
      <c r="D9513" s="380" t="s">
        <v>767</v>
      </c>
      <c r="E9513" s="380" t="s">
        <v>786</v>
      </c>
      <c r="F9513" s="380" t="s">
        <v>787</v>
      </c>
      <c r="G9513" s="380" t="s">
        <v>1267</v>
      </c>
      <c r="H9513" s="380" t="s">
        <v>771</v>
      </c>
      <c r="I9513" s="380" t="s">
        <v>788</v>
      </c>
      <c r="J9513" s="380" t="s">
        <v>773</v>
      </c>
      <c r="K9513" s="381">
        <v>0.0</v>
      </c>
      <c r="L9513" s="382">
        <v>1.0</v>
      </c>
    </row>
    <row r="9514">
      <c r="A9514" s="380" t="s">
        <v>10388</v>
      </c>
      <c r="B9514" s="380" t="str">
        <f>IFERROR(__xludf.DUMMYFUNCTION("""COMPUTED_VALUE"""),"Carter Del Piñon Rodamiento Externo Spee")</f>
        <v>Carter Del Piñon Rodamiento Externo Spee</v>
      </c>
      <c r="C9514" s="380" t="str">
        <f>IFERROR(__xludf.DUMMYFUNCTION("""COMPUTED_VALUE"""),"70004935")</f>
        <v>70004935</v>
      </c>
      <c r="D9514" s="380" t="s">
        <v>767</v>
      </c>
      <c r="E9514" s="380" t="s">
        <v>786</v>
      </c>
      <c r="F9514" s="380" t="s">
        <v>5683</v>
      </c>
      <c r="G9514" s="380" t="s">
        <v>1267</v>
      </c>
      <c r="H9514" s="380" t="s">
        <v>771</v>
      </c>
      <c r="I9514" s="380" t="s">
        <v>788</v>
      </c>
      <c r="J9514" s="380" t="s">
        <v>773</v>
      </c>
      <c r="K9514" s="381">
        <v>0.0</v>
      </c>
      <c r="L9514" s="382">
        <v>1.0</v>
      </c>
    </row>
    <row r="9515">
      <c r="A9515" s="380" t="s">
        <v>10389</v>
      </c>
      <c r="B9515" s="380" t="str">
        <f>IFERROR(__xludf.DUMMYFUNCTION("""COMPUTED_VALUE"""),"Cremallera Volante Completa FT 1065 E Iv")</f>
        <v>Cremallera Volante Completa FT 1065 E Iv</v>
      </c>
      <c r="C9515" s="380" t="str">
        <f>IFERROR(__xludf.DUMMYFUNCTION("""COMPUTED_VALUE"""),"70004936")</f>
        <v>70004936</v>
      </c>
      <c r="D9515" s="380" t="s">
        <v>767</v>
      </c>
      <c r="E9515" s="380" t="s">
        <v>786</v>
      </c>
      <c r="F9515" s="380" t="s">
        <v>787</v>
      </c>
      <c r="G9515" s="380" t="s">
        <v>1267</v>
      </c>
      <c r="H9515" s="380" t="s">
        <v>771</v>
      </c>
      <c r="I9515" s="380" t="s">
        <v>788</v>
      </c>
      <c r="J9515" s="380" t="s">
        <v>773</v>
      </c>
      <c r="K9515" s="381">
        <v>795999.0</v>
      </c>
      <c r="L9515" s="382">
        <v>1.0</v>
      </c>
    </row>
    <row r="9516">
      <c r="A9516" s="380" t="s">
        <v>10390</v>
      </c>
      <c r="B9516" s="380" t="str">
        <f>IFERROR(__xludf.DUMMYFUNCTION("""COMPUTED_VALUE"""),"Valvula Pcv Foton 1030 7700149012331")</f>
        <v>Valvula Pcv Foton 1030 7700149012331</v>
      </c>
      <c r="C9516" s="380" t="str">
        <f>IFERROR(__xludf.DUMMYFUNCTION("""COMPUTED_VALUE"""),"70004937")</f>
        <v>70004937</v>
      </c>
      <c r="D9516" s="380" t="s">
        <v>767</v>
      </c>
      <c r="E9516" s="380" t="s">
        <v>786</v>
      </c>
      <c r="F9516" s="380" t="s">
        <v>787</v>
      </c>
      <c r="G9516" s="380" t="s">
        <v>1267</v>
      </c>
      <c r="H9516" s="380" t="s">
        <v>771</v>
      </c>
      <c r="I9516" s="380" t="s">
        <v>788</v>
      </c>
      <c r="J9516" s="380" t="s">
        <v>773</v>
      </c>
      <c r="K9516" s="381">
        <v>0.0</v>
      </c>
      <c r="L9516" s="382">
        <v>1.0</v>
      </c>
    </row>
    <row r="9517">
      <c r="A9517" s="380" t="s">
        <v>10391</v>
      </c>
      <c r="B9517" s="380" t="str">
        <f>IFERROR(__xludf.DUMMYFUNCTION("""COMPUTED_VALUE"""),"Brazo Plumilla Izq Kenworth Doble Parabr")</f>
        <v>Brazo Plumilla Izq Kenworth Doble Parabr</v>
      </c>
      <c r="C9517" s="380" t="str">
        <f>IFERROR(__xludf.DUMMYFUNCTION("""COMPUTED_VALUE"""),"70004938")</f>
        <v>70004938</v>
      </c>
      <c r="D9517" s="380" t="s">
        <v>767</v>
      </c>
      <c r="E9517" s="380" t="s">
        <v>786</v>
      </c>
      <c r="F9517" s="380" t="s">
        <v>792</v>
      </c>
      <c r="G9517" s="380" t="s">
        <v>1267</v>
      </c>
      <c r="H9517" s="380" t="s">
        <v>771</v>
      </c>
      <c r="I9517" s="380" t="s">
        <v>788</v>
      </c>
      <c r="J9517" s="380" t="s">
        <v>773</v>
      </c>
      <c r="K9517" s="381">
        <v>0.0</v>
      </c>
      <c r="L9517" s="382">
        <v>1.0</v>
      </c>
    </row>
    <row r="9518">
      <c r="A9518" s="380" t="s">
        <v>10392</v>
      </c>
      <c r="B9518" s="380" t="str">
        <f>IFERROR(__xludf.DUMMYFUNCTION("""COMPUTED_VALUE"""),"Trapecio Completo Kenworth Doble Parabri")</f>
        <v>Trapecio Completo Kenworth Doble Parabri</v>
      </c>
      <c r="C9518" s="380" t="str">
        <f>IFERROR(__xludf.DUMMYFUNCTION("""COMPUTED_VALUE"""),"70004939")</f>
        <v>70004939</v>
      </c>
      <c r="D9518" s="380" t="s">
        <v>767</v>
      </c>
      <c r="E9518" s="380" t="s">
        <v>786</v>
      </c>
      <c r="F9518" s="380" t="s">
        <v>792</v>
      </c>
      <c r="G9518" s="380" t="s">
        <v>1267</v>
      </c>
      <c r="H9518" s="380" t="s">
        <v>771</v>
      </c>
      <c r="I9518" s="380" t="s">
        <v>788</v>
      </c>
      <c r="J9518" s="380" t="s">
        <v>773</v>
      </c>
      <c r="K9518" s="381">
        <v>0.0</v>
      </c>
      <c r="L9518" s="382">
        <v>1.0</v>
      </c>
    </row>
    <row r="9519">
      <c r="A9519" s="380" t="s">
        <v>10393</v>
      </c>
      <c r="B9519" s="380" t="str">
        <f>IFERROR(__xludf.DUMMYFUNCTION("""COMPUTED_VALUE"""),"Alternador 24v 100a VW Jsr-P-0002")</f>
        <v>Alternador 24v 100a VW Jsr-P-0002</v>
      </c>
      <c r="C9519" s="380" t="str">
        <f>IFERROR(__xludf.DUMMYFUNCTION("""COMPUTED_VALUE"""),"70004940")</f>
        <v>70004940</v>
      </c>
      <c r="D9519" s="380" t="s">
        <v>767</v>
      </c>
      <c r="E9519" s="380" t="s">
        <v>786</v>
      </c>
      <c r="F9519" s="380" t="s">
        <v>998</v>
      </c>
      <c r="G9519" s="380" t="s">
        <v>1267</v>
      </c>
      <c r="H9519" s="380" t="s">
        <v>771</v>
      </c>
      <c r="I9519" s="380" t="s">
        <v>788</v>
      </c>
      <c r="J9519" s="380" t="s">
        <v>773</v>
      </c>
      <c r="K9519" s="381">
        <v>0.0</v>
      </c>
      <c r="L9519" s="382">
        <v>1.0</v>
      </c>
    </row>
    <row r="9520">
      <c r="A9520" s="380" t="s">
        <v>10394</v>
      </c>
      <c r="B9520" s="380" t="str">
        <f>IFERROR(__xludf.DUMMYFUNCTION("""COMPUTED_VALUE"""),"Freno De Parqueo Jac Euro V 1042 R170171")</f>
        <v>Freno De Parqueo Jac Euro V 1042 R170171</v>
      </c>
      <c r="C9520" s="380" t="str">
        <f>IFERROR(__xludf.DUMMYFUNCTION("""COMPUTED_VALUE"""),"70004941")</f>
        <v>70004941</v>
      </c>
      <c r="D9520" s="380" t="s">
        <v>767</v>
      </c>
      <c r="E9520" s="380" t="s">
        <v>786</v>
      </c>
      <c r="F9520" s="380" t="s">
        <v>1017</v>
      </c>
      <c r="G9520" s="380" t="s">
        <v>1267</v>
      </c>
      <c r="H9520" s="380" t="s">
        <v>771</v>
      </c>
      <c r="I9520" s="380" t="s">
        <v>788</v>
      </c>
      <c r="J9520" s="380" t="s">
        <v>773</v>
      </c>
      <c r="K9520" s="381">
        <v>0.0</v>
      </c>
      <c r="L9520" s="382">
        <v>1.0</v>
      </c>
    </row>
    <row r="9521">
      <c r="A9521" s="380" t="s">
        <v>10395</v>
      </c>
      <c r="B9521" s="380" t="str">
        <f>IFERROR(__xludf.DUMMYFUNCTION("""COMPUTED_VALUE"""),"Banda Freno DEL FT 1065 Remachada")</f>
        <v>Banda Freno DEL FT 1065 Remachada</v>
      </c>
      <c r="C9521" s="380" t="str">
        <f>IFERROR(__xludf.DUMMYFUNCTION("""COMPUTED_VALUE"""),"70004942")</f>
        <v>70004942</v>
      </c>
      <c r="D9521" s="380" t="s">
        <v>767</v>
      </c>
      <c r="E9521" s="380" t="s">
        <v>786</v>
      </c>
      <c r="F9521" s="380" t="s">
        <v>1017</v>
      </c>
      <c r="G9521" s="380" t="s">
        <v>1267</v>
      </c>
      <c r="H9521" s="380" t="s">
        <v>771</v>
      </c>
      <c r="I9521" s="380" t="s">
        <v>788</v>
      </c>
      <c r="J9521" s="380" t="s">
        <v>773</v>
      </c>
      <c r="K9521" s="381">
        <v>0.0</v>
      </c>
      <c r="L9521" s="382">
        <v>1.0</v>
      </c>
    </row>
    <row r="9522">
      <c r="A9522" s="380" t="s">
        <v>10396</v>
      </c>
      <c r="B9522" s="380" t="str">
        <f>IFERROR(__xludf.DUMMYFUNCTION("""COMPUTED_VALUE"""),"Banda Freno DEL FT 1065 7705946680042")</f>
        <v>Banda Freno DEL FT 1065 7705946680042</v>
      </c>
      <c r="C9522" s="380" t="str">
        <f>IFERROR(__xludf.DUMMYFUNCTION("""COMPUTED_VALUE"""),"70004943")</f>
        <v>70004943</v>
      </c>
      <c r="D9522" s="380" t="s">
        <v>767</v>
      </c>
      <c r="E9522" s="380" t="s">
        <v>786</v>
      </c>
      <c r="F9522" s="380" t="s">
        <v>1017</v>
      </c>
      <c r="G9522" s="380" t="s">
        <v>1267</v>
      </c>
      <c r="H9522" s="380" t="s">
        <v>771</v>
      </c>
      <c r="I9522" s="380" t="s">
        <v>788</v>
      </c>
      <c r="J9522" s="380" t="s">
        <v>773</v>
      </c>
      <c r="K9522" s="381">
        <v>0.0</v>
      </c>
      <c r="L9522" s="382">
        <v>1.0</v>
      </c>
    </row>
    <row r="9523">
      <c r="A9523" s="380" t="s">
        <v>10397</v>
      </c>
      <c r="B9523" s="380" t="str">
        <f>IFERROR(__xludf.DUMMYFUNCTION("""COMPUTED_VALUE"""),"MANG ENT RAD FT Mv5 7705946025522")</f>
        <v>MANG ENT RAD FT Mv5 7705946025522</v>
      </c>
      <c r="C9523" s="380" t="str">
        <f>IFERROR(__xludf.DUMMYFUNCTION("""COMPUTED_VALUE"""),"70004944")</f>
        <v>70004944</v>
      </c>
      <c r="D9523" s="380" t="s">
        <v>767</v>
      </c>
      <c r="E9523" s="380" t="s">
        <v>786</v>
      </c>
      <c r="F9523" s="380" t="s">
        <v>787</v>
      </c>
      <c r="G9523" s="380" t="s">
        <v>1267</v>
      </c>
      <c r="H9523" s="380" t="s">
        <v>771</v>
      </c>
      <c r="I9523" s="380" t="s">
        <v>788</v>
      </c>
      <c r="J9523" s="380" t="s">
        <v>773</v>
      </c>
      <c r="K9523" s="381">
        <v>0.0</v>
      </c>
      <c r="L9523" s="382">
        <v>1.0</v>
      </c>
    </row>
    <row r="9524">
      <c r="A9524" s="380" t="s">
        <v>10398</v>
      </c>
      <c r="B9524" s="380" t="str">
        <f>IFERROR(__xludf.DUMMYFUNCTION("""COMPUTED_VALUE"""),"Mecanismo Cierre PTA Izq FT 1039 7701023")</f>
        <v>Mecanismo Cierre PTA Izq FT 1039 7701023</v>
      </c>
      <c r="C9524" s="380" t="str">
        <f>IFERROR(__xludf.DUMMYFUNCTION("""COMPUTED_VALUE"""),"70004945")</f>
        <v>70004945</v>
      </c>
      <c r="D9524" s="380" t="s">
        <v>767</v>
      </c>
      <c r="E9524" s="380" t="s">
        <v>786</v>
      </c>
      <c r="F9524" s="380" t="s">
        <v>792</v>
      </c>
      <c r="G9524" s="380" t="s">
        <v>1267</v>
      </c>
      <c r="H9524" s="380" t="s">
        <v>771</v>
      </c>
      <c r="I9524" s="380" t="s">
        <v>788</v>
      </c>
      <c r="J9524" s="380" t="s">
        <v>773</v>
      </c>
      <c r="K9524" s="381">
        <v>0.0</v>
      </c>
      <c r="L9524" s="382">
        <v>1.0</v>
      </c>
    </row>
    <row r="9525">
      <c r="A9525" s="380" t="s">
        <v>10399</v>
      </c>
      <c r="B9525" s="380" t="str">
        <f>IFERROR(__xludf.DUMMYFUNCTION("""COMPUTED_VALUE"""),"Perno Mecanismo De Cambios FT Mv5 770594")</f>
        <v>Perno Mecanismo De Cambios FT Mv5 770594</v>
      </c>
      <c r="C9525" s="380" t="str">
        <f>IFERROR(__xludf.DUMMYFUNCTION("""COMPUTED_VALUE"""),"70004946")</f>
        <v>70004946</v>
      </c>
      <c r="D9525" s="380" t="s">
        <v>767</v>
      </c>
      <c r="E9525" s="380" t="s">
        <v>786</v>
      </c>
      <c r="F9525" s="380" t="s">
        <v>928</v>
      </c>
      <c r="G9525" s="380" t="s">
        <v>1267</v>
      </c>
      <c r="H9525" s="380" t="s">
        <v>771</v>
      </c>
      <c r="I9525" s="380" t="s">
        <v>788</v>
      </c>
      <c r="J9525" s="380" t="s">
        <v>773</v>
      </c>
      <c r="K9525" s="381">
        <v>0.0</v>
      </c>
      <c r="L9525" s="382">
        <v>1.0</v>
      </c>
    </row>
    <row r="9526">
      <c r="A9526" s="380" t="s">
        <v>10400</v>
      </c>
      <c r="B9526" s="380" t="str">
        <f>IFERROR(__xludf.DUMMYFUNCTION("""COMPUTED_VALUE"""),"SOP MUE DEL Parte TRAS Frr 1533521542")</f>
        <v>SOP MUE DEL Parte TRAS Frr 1533521542</v>
      </c>
      <c r="C9526" s="380" t="str">
        <f>IFERROR(__xludf.DUMMYFUNCTION("""COMPUTED_VALUE"""),"70004947")</f>
        <v>70004947</v>
      </c>
      <c r="D9526" s="380" t="s">
        <v>767</v>
      </c>
      <c r="E9526" s="380" t="s">
        <v>786</v>
      </c>
      <c r="F9526" s="380" t="s">
        <v>792</v>
      </c>
      <c r="G9526" s="380" t="s">
        <v>1267</v>
      </c>
      <c r="H9526" s="380" t="s">
        <v>771</v>
      </c>
      <c r="I9526" s="380" t="s">
        <v>788</v>
      </c>
      <c r="J9526" s="380" t="s">
        <v>773</v>
      </c>
      <c r="K9526" s="381">
        <v>0.0</v>
      </c>
      <c r="L9526" s="382">
        <v>1.0</v>
      </c>
    </row>
    <row r="9527">
      <c r="A9527" s="380" t="s">
        <v>10401</v>
      </c>
      <c r="B9527" s="380" t="str">
        <f>IFERROR(__xludf.DUMMYFUNCTION("""COMPUTED_VALUE"""),"Farola Izquierda Daf Cf 480ftt 1835874")</f>
        <v>Farola Izquierda Daf Cf 480ftt 1835874</v>
      </c>
      <c r="C9527" s="380" t="str">
        <f>IFERROR(__xludf.DUMMYFUNCTION("""COMPUTED_VALUE"""),"70004948")</f>
        <v>70004948</v>
      </c>
      <c r="D9527" s="380" t="s">
        <v>767</v>
      </c>
      <c r="E9527" s="380" t="s">
        <v>786</v>
      </c>
      <c r="F9527" s="380" t="s">
        <v>998</v>
      </c>
      <c r="G9527" s="380" t="s">
        <v>1267</v>
      </c>
      <c r="H9527" s="380" t="s">
        <v>771</v>
      </c>
      <c r="I9527" s="380" t="s">
        <v>788</v>
      </c>
      <c r="J9527" s="380" t="s">
        <v>773</v>
      </c>
      <c r="K9527" s="381">
        <v>0.0</v>
      </c>
      <c r="L9527" s="382">
        <v>1.0</v>
      </c>
    </row>
    <row r="9528">
      <c r="A9528" s="380" t="s">
        <v>10402</v>
      </c>
      <c r="B9528" s="380" t="str">
        <f>IFERROR(__xludf.DUMMYFUNCTION("""COMPUTED_VALUE"""),"EMP BMB Agua FT 1039 7701023521765")</f>
        <v>EMP BMB Agua FT 1039 7701023521765</v>
      </c>
      <c r="C9528" s="380" t="str">
        <f>IFERROR(__xludf.DUMMYFUNCTION("""COMPUTED_VALUE"""),"70004949")</f>
        <v>70004949</v>
      </c>
      <c r="D9528" s="380" t="s">
        <v>767</v>
      </c>
      <c r="E9528" s="380" t="s">
        <v>786</v>
      </c>
      <c r="F9528" s="380" t="s">
        <v>787</v>
      </c>
      <c r="G9528" s="380" t="s">
        <v>1267</v>
      </c>
      <c r="H9528" s="380" t="s">
        <v>771</v>
      </c>
      <c r="I9528" s="380" t="s">
        <v>788</v>
      </c>
      <c r="J9528" s="380" t="s">
        <v>773</v>
      </c>
      <c r="K9528" s="381">
        <v>0.0</v>
      </c>
      <c r="L9528" s="382">
        <v>1.0</v>
      </c>
    </row>
    <row r="9529">
      <c r="A9529" s="380" t="s">
        <v>10403</v>
      </c>
      <c r="B9529" s="380" t="str">
        <f>IFERROR(__xludf.DUMMYFUNCTION("""COMPUTED_VALUE"""),"Corona Alternador Volkswagen 8150 Rep")</f>
        <v>Corona Alternador Volkswagen 8150 Rep</v>
      </c>
      <c r="C9529" s="380" t="str">
        <f>IFERROR(__xludf.DUMMYFUNCTION("""COMPUTED_VALUE"""),"70004950")</f>
        <v>70004950</v>
      </c>
      <c r="D9529" s="380" t="s">
        <v>767</v>
      </c>
      <c r="E9529" s="380" t="s">
        <v>786</v>
      </c>
      <c r="F9529" s="380" t="s">
        <v>998</v>
      </c>
      <c r="G9529" s="380" t="s">
        <v>1267</v>
      </c>
      <c r="H9529" s="380" t="s">
        <v>771</v>
      </c>
      <c r="I9529" s="380" t="s">
        <v>788</v>
      </c>
      <c r="J9529" s="380" t="s">
        <v>773</v>
      </c>
      <c r="K9529" s="381">
        <v>0.0</v>
      </c>
      <c r="L9529" s="382">
        <v>1.0</v>
      </c>
    </row>
    <row r="9530">
      <c r="A9530" s="380" t="s">
        <v>10404</v>
      </c>
      <c r="B9530" s="380" t="str">
        <f>IFERROR(__xludf.DUMMYFUNCTION("""COMPUTED_VALUE"""),"Tapa TRAS Alternador VW 8150 Rep")</f>
        <v>Tapa TRAS Alternador VW 8150 Rep</v>
      </c>
      <c r="C9530" s="380" t="str">
        <f>IFERROR(__xludf.DUMMYFUNCTION("""COMPUTED_VALUE"""),"70004951")</f>
        <v>70004951</v>
      </c>
      <c r="D9530" s="380" t="s">
        <v>767</v>
      </c>
      <c r="E9530" s="380" t="s">
        <v>786</v>
      </c>
      <c r="F9530" s="380" t="s">
        <v>998</v>
      </c>
      <c r="G9530" s="380" t="s">
        <v>1267</v>
      </c>
      <c r="H9530" s="380" t="s">
        <v>771</v>
      </c>
      <c r="I9530" s="380" t="s">
        <v>788</v>
      </c>
      <c r="J9530" s="380" t="s">
        <v>773</v>
      </c>
      <c r="K9530" s="381">
        <v>0.0</v>
      </c>
      <c r="L9530" s="382">
        <v>1.0</v>
      </c>
    </row>
    <row r="9531">
      <c r="A9531" s="380" t="s">
        <v>10405</v>
      </c>
      <c r="B9531" s="380" t="str">
        <f>IFERROR(__xludf.DUMMYFUNCTION("""COMPUTED_VALUE"""),"Amortiguador PTA TRAS T Txl Pa66-Gf30")</f>
        <v>Amortiguador PTA TRAS T Txl Pa66-Gf30</v>
      </c>
      <c r="C9531" s="380" t="str">
        <f>IFERROR(__xludf.DUMMYFUNCTION("""COMPUTED_VALUE"""),"70004952")</f>
        <v>70004952</v>
      </c>
      <c r="D9531" s="380" t="s">
        <v>767</v>
      </c>
      <c r="E9531" s="380" t="s">
        <v>786</v>
      </c>
      <c r="F9531" s="380" t="s">
        <v>792</v>
      </c>
      <c r="G9531" s="380" t="s">
        <v>1267</v>
      </c>
      <c r="H9531" s="380" t="s">
        <v>771</v>
      </c>
      <c r="I9531" s="380" t="s">
        <v>788</v>
      </c>
      <c r="J9531" s="380" t="s">
        <v>773</v>
      </c>
      <c r="K9531" s="381">
        <v>0.0</v>
      </c>
      <c r="L9531" s="382">
        <v>1.0</v>
      </c>
    </row>
    <row r="9532">
      <c r="A9532" s="380" t="s">
        <v>10406</v>
      </c>
      <c r="B9532" s="380" t="str">
        <f>IFERROR(__xludf.DUMMYFUNCTION("""COMPUTED_VALUE"""),"Bateria 24bd-950 12 V Willard Planta ELE")</f>
        <v>Bateria 24bd-950 12 V Willard Planta ELE</v>
      </c>
      <c r="C9532" s="380" t="str">
        <f>IFERROR(__xludf.DUMMYFUNCTION("""COMPUTED_VALUE"""),"70004953")</f>
        <v>70004953</v>
      </c>
      <c r="D9532" s="380" t="s">
        <v>767</v>
      </c>
      <c r="E9532" s="380" t="s">
        <v>786</v>
      </c>
      <c r="F9532" s="380" t="s">
        <v>998</v>
      </c>
      <c r="G9532" s="380" t="s">
        <v>1267</v>
      </c>
      <c r="H9532" s="380" t="s">
        <v>771</v>
      </c>
      <c r="I9532" s="380" t="s">
        <v>788</v>
      </c>
      <c r="J9532" s="380" t="s">
        <v>773</v>
      </c>
      <c r="K9532" s="381">
        <v>0.0</v>
      </c>
      <c r="L9532" s="382">
        <v>1.0</v>
      </c>
    </row>
    <row r="9533">
      <c r="A9533" s="380" t="s">
        <v>10407</v>
      </c>
      <c r="B9533" s="380" t="str">
        <f>IFERROR(__xludf.DUMMYFUNCTION("""COMPUTED_VALUE"""),"Vidrio Blindado PTA IZQ NS Pathfinder")</f>
        <v>Vidrio Blindado PTA IZQ NS Pathfinder</v>
      </c>
      <c r="C9533" s="380" t="str">
        <f>IFERROR(__xludf.DUMMYFUNCTION("""COMPUTED_VALUE"""),"70004954")</f>
        <v>70004954</v>
      </c>
      <c r="D9533" s="380" t="s">
        <v>767</v>
      </c>
      <c r="E9533" s="380" t="s">
        <v>786</v>
      </c>
      <c r="F9533" s="380" t="s">
        <v>792</v>
      </c>
      <c r="G9533" s="380" t="s">
        <v>1267</v>
      </c>
      <c r="H9533" s="380" t="s">
        <v>771</v>
      </c>
      <c r="I9533" s="380" t="s">
        <v>788</v>
      </c>
      <c r="J9533" s="380" t="s">
        <v>773</v>
      </c>
      <c r="K9533" s="381">
        <v>0.0</v>
      </c>
      <c r="L9533" s="382">
        <v>1.0</v>
      </c>
    </row>
    <row r="9534">
      <c r="A9534" s="380" t="s">
        <v>10408</v>
      </c>
      <c r="B9534" s="380" t="str">
        <f>IFERROR(__xludf.DUMMYFUNCTION("""COMPUTED_VALUE"""),"Rodamiento Patin Correa T Tx-L 6302rmx")</f>
        <v>Rodamiento Patin Correa T Tx-L 6302rmx</v>
      </c>
      <c r="C9534" s="380" t="str">
        <f>IFERROR(__xludf.DUMMYFUNCTION("""COMPUTED_VALUE"""),"70004955")</f>
        <v>70004955</v>
      </c>
      <c r="D9534" s="380" t="s">
        <v>767</v>
      </c>
      <c r="E9534" s="380" t="s">
        <v>786</v>
      </c>
      <c r="F9534" s="380" t="s">
        <v>787</v>
      </c>
      <c r="G9534" s="380" t="s">
        <v>1267</v>
      </c>
      <c r="H9534" s="380" t="s">
        <v>771</v>
      </c>
      <c r="I9534" s="380" t="s">
        <v>788</v>
      </c>
      <c r="J9534" s="380" t="s">
        <v>773</v>
      </c>
      <c r="K9534" s="381">
        <v>0.0</v>
      </c>
      <c r="L9534" s="382">
        <v>1.0</v>
      </c>
    </row>
    <row r="9535">
      <c r="A9535" s="380" t="s">
        <v>10409</v>
      </c>
      <c r="B9535" s="380" t="str">
        <f>IFERROR(__xludf.DUMMYFUNCTION("""COMPUTED_VALUE"""),"Trapecio Limpiabrisas INT Lt Sin MOT 258")</f>
        <v>Trapecio Limpiabrisas INT Lt Sin MOT 258</v>
      </c>
      <c r="C9535" s="380" t="str">
        <f>IFERROR(__xludf.DUMMYFUNCTION("""COMPUTED_VALUE"""),"70004956")</f>
        <v>70004956</v>
      </c>
      <c r="D9535" s="380" t="s">
        <v>767</v>
      </c>
      <c r="E9535" s="380" t="s">
        <v>786</v>
      </c>
      <c r="F9535" s="380" t="s">
        <v>792</v>
      </c>
      <c r="G9535" s="380" t="s">
        <v>1267</v>
      </c>
      <c r="H9535" s="380" t="s">
        <v>771</v>
      </c>
      <c r="I9535" s="380" t="s">
        <v>788</v>
      </c>
      <c r="J9535" s="380" t="s">
        <v>773</v>
      </c>
      <c r="K9535" s="381">
        <v>474403.0</v>
      </c>
      <c r="L9535" s="382">
        <v>1.0</v>
      </c>
    </row>
    <row r="9536">
      <c r="A9536" s="380" t="s">
        <v>10410</v>
      </c>
      <c r="B9536" s="380" t="str">
        <f>IFERROR(__xludf.DUMMYFUNCTION("""COMPUTED_VALUE"""),"Parlante Kenworth T800 Pp307007")</f>
        <v>Parlante Kenworth T800 Pp307007</v>
      </c>
      <c r="C9536" s="380" t="str">
        <f>IFERROR(__xludf.DUMMYFUNCTION("""COMPUTED_VALUE"""),"70004957")</f>
        <v>70004957</v>
      </c>
      <c r="D9536" s="380" t="s">
        <v>767</v>
      </c>
      <c r="E9536" s="380" t="s">
        <v>786</v>
      </c>
      <c r="F9536" s="380" t="s">
        <v>998</v>
      </c>
      <c r="G9536" s="380" t="s">
        <v>1267</v>
      </c>
      <c r="H9536" s="380" t="s">
        <v>771</v>
      </c>
      <c r="I9536" s="380" t="s">
        <v>788</v>
      </c>
      <c r="J9536" s="380" t="s">
        <v>773</v>
      </c>
      <c r="K9536" s="381">
        <v>0.0</v>
      </c>
      <c r="L9536" s="382">
        <v>1.0</v>
      </c>
    </row>
    <row r="9537">
      <c r="A9537" s="380" t="s">
        <v>10411</v>
      </c>
      <c r="B9537" s="380" t="str">
        <f>IFERROR(__xludf.DUMMYFUNCTION("""COMPUTED_VALUE"""),"Piston Motor Foton 1030 7705946686136")</f>
        <v>Piston Motor Foton 1030 7705946686136</v>
      </c>
      <c r="C9537" s="380" t="str">
        <f>IFERROR(__xludf.DUMMYFUNCTION("""COMPUTED_VALUE"""),"70004958")</f>
        <v>70004958</v>
      </c>
      <c r="D9537" s="380" t="s">
        <v>767</v>
      </c>
      <c r="E9537" s="380" t="s">
        <v>786</v>
      </c>
      <c r="F9537" s="380" t="s">
        <v>787</v>
      </c>
      <c r="G9537" s="380" t="s">
        <v>1267</v>
      </c>
      <c r="H9537" s="380" t="s">
        <v>771</v>
      </c>
      <c r="I9537" s="380" t="s">
        <v>788</v>
      </c>
      <c r="J9537" s="380" t="s">
        <v>773</v>
      </c>
      <c r="K9537" s="381">
        <v>0.0</v>
      </c>
      <c r="L9537" s="382">
        <v>1.0</v>
      </c>
    </row>
    <row r="9538">
      <c r="A9538" s="380" t="s">
        <v>10412</v>
      </c>
      <c r="B9538" s="380" t="str">
        <f>IFERROR(__xludf.DUMMYFUNCTION("""COMPUTED_VALUE"""),"SOP TRAS MOT MCK Anthem 20499469")</f>
        <v>SOP TRAS MOT MCK Anthem 20499469</v>
      </c>
      <c r="C9538" s="380" t="str">
        <f>IFERROR(__xludf.DUMMYFUNCTION("""COMPUTED_VALUE"""),"70004959")</f>
        <v>70004959</v>
      </c>
      <c r="D9538" s="380" t="s">
        <v>767</v>
      </c>
      <c r="E9538" s="380" t="s">
        <v>786</v>
      </c>
      <c r="F9538" s="380" t="s">
        <v>787</v>
      </c>
      <c r="G9538" s="380" t="s">
        <v>1267</v>
      </c>
      <c r="H9538" s="380" t="s">
        <v>771</v>
      </c>
      <c r="I9538" s="380" t="s">
        <v>788</v>
      </c>
      <c r="J9538" s="380" t="s">
        <v>773</v>
      </c>
      <c r="K9538" s="381">
        <v>0.0</v>
      </c>
      <c r="L9538" s="382">
        <v>1.0</v>
      </c>
    </row>
    <row r="9539">
      <c r="A9539" s="380" t="s">
        <v>10413</v>
      </c>
      <c r="B9539" s="380" t="str">
        <f>IFERROR(__xludf.DUMMYFUNCTION("""COMPUTED_VALUE"""),"Tornillo SOP TRAS MOT MCK Anthem 2106293")</f>
        <v>Tornillo SOP TRAS MOT MCK Anthem 2106293</v>
      </c>
      <c r="C9539" s="380" t="str">
        <f>IFERROR(__xludf.DUMMYFUNCTION("""COMPUTED_VALUE"""),"70004960")</f>
        <v>70004960</v>
      </c>
      <c r="D9539" s="380" t="s">
        <v>767</v>
      </c>
      <c r="E9539" s="380" t="s">
        <v>786</v>
      </c>
      <c r="F9539" s="380" t="s">
        <v>787</v>
      </c>
      <c r="G9539" s="380" t="s">
        <v>1267</v>
      </c>
      <c r="H9539" s="380" t="s">
        <v>771</v>
      </c>
      <c r="I9539" s="380" t="s">
        <v>788</v>
      </c>
      <c r="J9539" s="380" t="s">
        <v>773</v>
      </c>
      <c r="K9539" s="381">
        <v>0.0</v>
      </c>
      <c r="L9539" s="382">
        <v>1.0</v>
      </c>
    </row>
    <row r="9540">
      <c r="A9540" s="380" t="s">
        <v>10414</v>
      </c>
      <c r="B9540" s="380" t="str">
        <f>IFERROR(__xludf.DUMMYFUNCTION("""COMPUTED_VALUE"""),"MANG Termostato FT Mv5 7705946023009")</f>
        <v>MANG Termostato FT Mv5 7705946023009</v>
      </c>
      <c r="C9540" s="380" t="str">
        <f>IFERROR(__xludf.DUMMYFUNCTION("""COMPUTED_VALUE"""),"70004961")</f>
        <v>70004961</v>
      </c>
      <c r="D9540" s="380" t="s">
        <v>767</v>
      </c>
      <c r="E9540" s="380" t="s">
        <v>786</v>
      </c>
      <c r="F9540" s="380" t="s">
        <v>787</v>
      </c>
      <c r="G9540" s="380" t="s">
        <v>1267</v>
      </c>
      <c r="H9540" s="380" t="s">
        <v>771</v>
      </c>
      <c r="I9540" s="380" t="s">
        <v>788</v>
      </c>
      <c r="J9540" s="380" t="s">
        <v>773</v>
      </c>
      <c r="K9540" s="381">
        <v>0.0</v>
      </c>
      <c r="L9540" s="382">
        <v>1.0</v>
      </c>
    </row>
    <row r="9541">
      <c r="A9541" s="380" t="s">
        <v>10415</v>
      </c>
      <c r="B9541" s="380" t="str">
        <f>IFERROR(__xludf.DUMMYFUNCTION("""COMPUTED_VALUE"""),"MANG ENT BMB Agua FT Mv5 7705946019637")</f>
        <v>MANG ENT BMB Agua FT Mv5 7705946019637</v>
      </c>
      <c r="C9541" s="380" t="str">
        <f>IFERROR(__xludf.DUMMYFUNCTION("""COMPUTED_VALUE"""),"70004962")</f>
        <v>70004962</v>
      </c>
      <c r="D9541" s="380" t="s">
        <v>767</v>
      </c>
      <c r="E9541" s="380" t="s">
        <v>786</v>
      </c>
      <c r="F9541" s="380" t="s">
        <v>787</v>
      </c>
      <c r="G9541" s="380" t="s">
        <v>1267</v>
      </c>
      <c r="H9541" s="380" t="s">
        <v>771</v>
      </c>
      <c r="I9541" s="380" t="s">
        <v>788</v>
      </c>
      <c r="J9541" s="380" t="s">
        <v>773</v>
      </c>
      <c r="K9541" s="381">
        <v>0.0</v>
      </c>
      <c r="L9541" s="382">
        <v>1.0</v>
      </c>
    </row>
    <row r="9542">
      <c r="A9542" s="380" t="s">
        <v>10416</v>
      </c>
      <c r="B9542" s="380" t="str">
        <f>IFERROR(__xludf.DUMMYFUNCTION("""COMPUTED_VALUE"""),"MANG Salida BMB Agua FT Mv5 770594601964")</f>
        <v>MANG Salida BMB Agua FT Mv5 770594601964</v>
      </c>
      <c r="C9542" s="380" t="str">
        <f>IFERROR(__xludf.DUMMYFUNCTION("""COMPUTED_VALUE"""),"70004963")</f>
        <v>70004963</v>
      </c>
      <c r="D9542" s="380" t="s">
        <v>767</v>
      </c>
      <c r="E9542" s="380" t="s">
        <v>786</v>
      </c>
      <c r="F9542" s="380" t="s">
        <v>787</v>
      </c>
      <c r="G9542" s="380" t="s">
        <v>1267</v>
      </c>
      <c r="H9542" s="380" t="s">
        <v>771</v>
      </c>
      <c r="I9542" s="380" t="s">
        <v>788</v>
      </c>
      <c r="J9542" s="380" t="s">
        <v>773</v>
      </c>
      <c r="K9542" s="381">
        <v>0.0</v>
      </c>
      <c r="L9542" s="382">
        <v>1.0</v>
      </c>
    </row>
    <row r="9543">
      <c r="A9543" s="380" t="s">
        <v>10417</v>
      </c>
      <c r="B9543" s="380" t="str">
        <f>IFERROR(__xludf.DUMMYFUNCTION("""COMPUTED_VALUE"""),"MANG 1 INF RAD FT Mv5 7705946025553")</f>
        <v>MANG 1 INF RAD FT Mv5 7705946025553</v>
      </c>
      <c r="C9543" s="380" t="str">
        <f>IFERROR(__xludf.DUMMYFUNCTION("""COMPUTED_VALUE"""),"70004964")</f>
        <v>70004964</v>
      </c>
      <c r="D9543" s="380" t="s">
        <v>767</v>
      </c>
      <c r="E9543" s="380" t="s">
        <v>786</v>
      </c>
      <c r="F9543" s="380" t="s">
        <v>787</v>
      </c>
      <c r="G9543" s="380" t="s">
        <v>1267</v>
      </c>
      <c r="H9543" s="380" t="s">
        <v>771</v>
      </c>
      <c r="I9543" s="380" t="s">
        <v>788</v>
      </c>
      <c r="J9543" s="380" t="s">
        <v>773</v>
      </c>
      <c r="K9543" s="381">
        <v>0.0</v>
      </c>
      <c r="L9543" s="382">
        <v>1.0</v>
      </c>
    </row>
    <row r="9544">
      <c r="A9544" s="380" t="s">
        <v>10418</v>
      </c>
      <c r="B9544" s="380" t="str">
        <f>IFERROR(__xludf.DUMMYFUNCTION("""COMPUTED_VALUE"""),"MANG 2 INF RAD FT Mv5 7705946025560")</f>
        <v>MANG 2 INF RAD FT Mv5 7705946025560</v>
      </c>
      <c r="C9544" s="380" t="str">
        <f>IFERROR(__xludf.DUMMYFUNCTION("""COMPUTED_VALUE"""),"70004965")</f>
        <v>70004965</v>
      </c>
      <c r="D9544" s="380" t="s">
        <v>767</v>
      </c>
      <c r="E9544" s="380" t="s">
        <v>786</v>
      </c>
      <c r="F9544" s="380" t="s">
        <v>787</v>
      </c>
      <c r="G9544" s="380" t="s">
        <v>1267</v>
      </c>
      <c r="H9544" s="380" t="s">
        <v>771</v>
      </c>
      <c r="I9544" s="380" t="s">
        <v>788</v>
      </c>
      <c r="J9544" s="380" t="s">
        <v>773</v>
      </c>
      <c r="K9544" s="381">
        <v>0.0</v>
      </c>
      <c r="L9544" s="382">
        <v>1.0</v>
      </c>
    </row>
    <row r="9545">
      <c r="A9545" s="380" t="s">
        <v>10419</v>
      </c>
      <c r="B9545" s="380" t="str">
        <f>IFERROR(__xludf.DUMMYFUNCTION("""COMPUTED_VALUE"""),"MANG 3 INF RAD FT Mv5 7705946025577")</f>
        <v>MANG 3 INF RAD FT Mv5 7705946025577</v>
      </c>
      <c r="C9545" s="380" t="str">
        <f>IFERROR(__xludf.DUMMYFUNCTION("""COMPUTED_VALUE"""),"70004966")</f>
        <v>70004966</v>
      </c>
      <c r="D9545" s="380" t="s">
        <v>767</v>
      </c>
      <c r="E9545" s="380" t="s">
        <v>786</v>
      </c>
      <c r="F9545" s="380" t="s">
        <v>787</v>
      </c>
      <c r="G9545" s="380" t="s">
        <v>1267</v>
      </c>
      <c r="H9545" s="380" t="s">
        <v>771</v>
      </c>
      <c r="I9545" s="380" t="s">
        <v>788</v>
      </c>
      <c r="J9545" s="380" t="s">
        <v>773</v>
      </c>
      <c r="K9545" s="381">
        <v>0.0</v>
      </c>
      <c r="L9545" s="382">
        <v>1.0</v>
      </c>
    </row>
    <row r="9546">
      <c r="A9546" s="380" t="s">
        <v>10420</v>
      </c>
      <c r="B9546" s="380" t="str">
        <f>IFERROR(__xludf.DUMMYFUNCTION("""COMPUTED_VALUE"""),"EMP Multiple Escape FT Mv5 7705946019491")</f>
        <v>EMP Multiple Escape FT Mv5 7705946019491</v>
      </c>
      <c r="C9546" s="380" t="str">
        <f>IFERROR(__xludf.DUMMYFUNCTION("""COMPUTED_VALUE"""),"70004967")</f>
        <v>70004967</v>
      </c>
      <c r="D9546" s="380" t="s">
        <v>767</v>
      </c>
      <c r="E9546" s="380" t="s">
        <v>786</v>
      </c>
      <c r="F9546" s="380" t="s">
        <v>787</v>
      </c>
      <c r="G9546" s="380" t="s">
        <v>1267</v>
      </c>
      <c r="H9546" s="380" t="s">
        <v>771</v>
      </c>
      <c r="I9546" s="380" t="s">
        <v>788</v>
      </c>
      <c r="J9546" s="380" t="s">
        <v>773</v>
      </c>
      <c r="K9546" s="381">
        <v>0.0</v>
      </c>
      <c r="L9546" s="382">
        <v>1.0</v>
      </c>
    </row>
    <row r="9547">
      <c r="A9547" s="380" t="s">
        <v>10421</v>
      </c>
      <c r="B9547" s="380" t="str">
        <f>IFERROR(__xludf.DUMMYFUNCTION("""COMPUTED_VALUE"""),"EMP Tapa VALVs FT Mv5 7705946015769")</f>
        <v>EMP Tapa VALVs FT Mv5 7705946015769</v>
      </c>
      <c r="C9547" s="380" t="str">
        <f>IFERROR(__xludf.DUMMYFUNCTION("""COMPUTED_VALUE"""),"70004968")</f>
        <v>70004968</v>
      </c>
      <c r="D9547" s="380" t="s">
        <v>767</v>
      </c>
      <c r="E9547" s="380" t="s">
        <v>786</v>
      </c>
      <c r="F9547" s="380" t="s">
        <v>787</v>
      </c>
      <c r="G9547" s="380" t="s">
        <v>1267</v>
      </c>
      <c r="H9547" s="380" t="s">
        <v>771</v>
      </c>
      <c r="I9547" s="380" t="s">
        <v>788</v>
      </c>
      <c r="J9547" s="380" t="s">
        <v>773</v>
      </c>
      <c r="K9547" s="381">
        <v>0.0</v>
      </c>
      <c r="L9547" s="382">
        <v>1.0</v>
      </c>
    </row>
    <row r="9548">
      <c r="A9548" s="380" t="s">
        <v>10422</v>
      </c>
      <c r="B9548" s="380" t="str">
        <f>IFERROR(__xludf.DUMMYFUNCTION("""COMPUTED_VALUE"""),"Termostato Foton Mv5 7705946023023")</f>
        <v>Termostato Foton Mv5 7705946023023</v>
      </c>
      <c r="C9548" s="380" t="str">
        <f>IFERROR(__xludf.DUMMYFUNCTION("""COMPUTED_VALUE"""),"70004969")</f>
        <v>70004969</v>
      </c>
      <c r="D9548" s="380" t="s">
        <v>767</v>
      </c>
      <c r="E9548" s="380" t="s">
        <v>786</v>
      </c>
      <c r="F9548" s="380" t="s">
        <v>787</v>
      </c>
      <c r="G9548" s="380" t="s">
        <v>1267</v>
      </c>
      <c r="H9548" s="380" t="s">
        <v>771</v>
      </c>
      <c r="I9548" s="380" t="s">
        <v>788</v>
      </c>
      <c r="J9548" s="380" t="s">
        <v>773</v>
      </c>
      <c r="K9548" s="381">
        <v>0.0</v>
      </c>
      <c r="L9548" s="382">
        <v>1.0</v>
      </c>
    </row>
    <row r="9549">
      <c r="A9549" s="380" t="s">
        <v>10423</v>
      </c>
      <c r="B9549" s="380" t="str">
        <f>IFERROR(__xludf.DUMMYFUNCTION("""COMPUTED_VALUE"""),"Bulon De Piston Foton 1030 7705946760294")</f>
        <v>Bulon De Piston Foton 1030 7705946760294</v>
      </c>
      <c r="C9549" s="380" t="str">
        <f>IFERROR(__xludf.DUMMYFUNCTION("""COMPUTED_VALUE"""),"70004970")</f>
        <v>70004970</v>
      </c>
      <c r="D9549" s="380" t="s">
        <v>767</v>
      </c>
      <c r="E9549" s="380" t="s">
        <v>786</v>
      </c>
      <c r="F9549" s="380" t="s">
        <v>787</v>
      </c>
      <c r="G9549" s="380" t="s">
        <v>1267</v>
      </c>
      <c r="H9549" s="380" t="s">
        <v>771</v>
      </c>
      <c r="I9549" s="380" t="s">
        <v>788</v>
      </c>
      <c r="J9549" s="380" t="s">
        <v>773</v>
      </c>
      <c r="K9549" s="381">
        <v>0.0</v>
      </c>
      <c r="L9549" s="382">
        <v>1.0</v>
      </c>
    </row>
    <row r="9550">
      <c r="A9550" s="380" t="s">
        <v>10424</v>
      </c>
      <c r="B9550" s="380" t="str">
        <f>IFERROR(__xludf.DUMMYFUNCTION("""COMPUTED_VALUE"""),"Pin De Bulon Foton 1030 7705946760300")</f>
        <v>Pin De Bulon Foton 1030 7705946760300</v>
      </c>
      <c r="C9550" s="380" t="str">
        <f>IFERROR(__xludf.DUMMYFUNCTION("""COMPUTED_VALUE"""),"70004971")</f>
        <v>70004971</v>
      </c>
      <c r="D9550" s="380" t="s">
        <v>767</v>
      </c>
      <c r="E9550" s="380" t="s">
        <v>786</v>
      </c>
      <c r="F9550" s="380" t="s">
        <v>787</v>
      </c>
      <c r="G9550" s="380" t="s">
        <v>1267</v>
      </c>
      <c r="H9550" s="380" t="s">
        <v>771</v>
      </c>
      <c r="I9550" s="380" t="s">
        <v>788</v>
      </c>
      <c r="J9550" s="380" t="s">
        <v>773</v>
      </c>
      <c r="K9550" s="381">
        <v>0.0</v>
      </c>
      <c r="L9550" s="382">
        <v>1.0</v>
      </c>
    </row>
    <row r="9551">
      <c r="A9551" s="380" t="s">
        <v>10425</v>
      </c>
      <c r="B9551" s="380" t="str">
        <f>IFERROR(__xludf.DUMMYFUNCTION("""COMPUTED_VALUE"""),"Junta Empaque Tubo Escape Daf 136x116x1")</f>
        <v>Junta Empaque Tubo Escape Daf 136x116x1</v>
      </c>
      <c r="C9551" s="380" t="str">
        <f>IFERROR(__xludf.DUMMYFUNCTION("""COMPUTED_VALUE"""),"70004972")</f>
        <v>70004972</v>
      </c>
      <c r="D9551" s="380" t="s">
        <v>767</v>
      </c>
      <c r="E9551" s="380" t="s">
        <v>786</v>
      </c>
      <c r="F9551" s="380" t="s">
        <v>787</v>
      </c>
      <c r="G9551" s="380" t="s">
        <v>1267</v>
      </c>
      <c r="H9551" s="380" t="s">
        <v>771</v>
      </c>
      <c r="I9551" s="380" t="s">
        <v>788</v>
      </c>
      <c r="J9551" s="380" t="s">
        <v>773</v>
      </c>
      <c r="K9551" s="381">
        <v>0.0</v>
      </c>
      <c r="L9551" s="382">
        <v>1.0</v>
      </c>
    </row>
    <row r="9552">
      <c r="A9552" s="380" t="s">
        <v>10426</v>
      </c>
      <c r="B9552" s="380" t="str">
        <f>IFERROR(__xludf.DUMMYFUNCTION("""COMPUTED_VALUE"""),"Panel Farola DER Daf Cf480 Ftt 2246198")</f>
        <v>Panel Farola DER Daf Cf480 Ftt 2246198</v>
      </c>
      <c r="C9552" s="380" t="str">
        <f>IFERROR(__xludf.DUMMYFUNCTION("""COMPUTED_VALUE"""),"70004973")</f>
        <v>70004973</v>
      </c>
      <c r="D9552" s="380" t="s">
        <v>767</v>
      </c>
      <c r="E9552" s="380" t="s">
        <v>786</v>
      </c>
      <c r="F9552" s="380" t="s">
        <v>792</v>
      </c>
      <c r="G9552" s="380" t="s">
        <v>1267</v>
      </c>
      <c r="H9552" s="380" t="s">
        <v>771</v>
      </c>
      <c r="I9552" s="380" t="s">
        <v>788</v>
      </c>
      <c r="J9552" s="380" t="s">
        <v>773</v>
      </c>
      <c r="K9552" s="381">
        <v>0.0</v>
      </c>
      <c r="L9552" s="382">
        <v>1.0</v>
      </c>
    </row>
    <row r="9553">
      <c r="A9553" s="380" t="s">
        <v>10427</v>
      </c>
      <c r="B9553" s="380" t="str">
        <f>IFERROR(__xludf.DUMMYFUNCTION("""COMPUTED_VALUE"""),"Bocel Exploradora Izq Daf 1848557")</f>
        <v>Bocel Exploradora Izq Daf 1848557</v>
      </c>
      <c r="C9553" s="380" t="str">
        <f>IFERROR(__xludf.DUMMYFUNCTION("""COMPUTED_VALUE"""),"70004974")</f>
        <v>70004974</v>
      </c>
      <c r="D9553" s="380" t="s">
        <v>767</v>
      </c>
      <c r="E9553" s="380" t="s">
        <v>786</v>
      </c>
      <c r="F9553" s="380" t="s">
        <v>792</v>
      </c>
      <c r="G9553" s="380" t="s">
        <v>1267</v>
      </c>
      <c r="H9553" s="380" t="s">
        <v>771</v>
      </c>
      <c r="I9553" s="380" t="s">
        <v>788</v>
      </c>
      <c r="J9553" s="380" t="s">
        <v>773</v>
      </c>
      <c r="K9553" s="381">
        <v>0.0</v>
      </c>
      <c r="L9553" s="382">
        <v>1.0</v>
      </c>
    </row>
    <row r="9554">
      <c r="A9554" s="380" t="s">
        <v>10428</v>
      </c>
      <c r="B9554" s="380" t="str">
        <f>IFERROR(__xludf.DUMMYFUNCTION("""COMPUTED_VALUE"""),"Palanca Freno De Emergencia Nkr Reward 2")</f>
        <v>Palanca Freno De Emergencia Nkr Reward 2</v>
      </c>
      <c r="C9554" s="380" t="str">
        <f>IFERROR(__xludf.DUMMYFUNCTION("""COMPUTED_VALUE"""),"70004975")</f>
        <v>70004975</v>
      </c>
      <c r="D9554" s="380" t="s">
        <v>767</v>
      </c>
      <c r="E9554" s="380" t="s">
        <v>786</v>
      </c>
      <c r="F9554" s="380" t="s">
        <v>1017</v>
      </c>
      <c r="G9554" s="380" t="s">
        <v>1267</v>
      </c>
      <c r="H9554" s="380" t="s">
        <v>771</v>
      </c>
      <c r="I9554" s="380" t="s">
        <v>788</v>
      </c>
      <c r="J9554" s="380" t="s">
        <v>773</v>
      </c>
      <c r="K9554" s="381">
        <v>0.0</v>
      </c>
      <c r="L9554" s="382">
        <v>1.0</v>
      </c>
    </row>
    <row r="9555">
      <c r="A9555" s="380" t="s">
        <v>10429</v>
      </c>
      <c r="B9555" s="380" t="str">
        <f>IFERROR(__xludf.DUMMYFUNCTION("""COMPUTED_VALUE"""),"Riel De INY MOT Denso Isf 3 8e4 77010234")</f>
        <v>Riel De INY MOT Denso Isf 3 8e4 77010234</v>
      </c>
      <c r="C9555" s="380" t="str">
        <f>IFERROR(__xludf.DUMMYFUNCTION("""COMPUTED_VALUE"""),"70004976")</f>
        <v>70004976</v>
      </c>
      <c r="D9555" s="380" t="s">
        <v>767</v>
      </c>
      <c r="E9555" s="380" t="s">
        <v>786</v>
      </c>
      <c r="F9555" s="380" t="s">
        <v>787</v>
      </c>
      <c r="G9555" s="380" t="s">
        <v>1267</v>
      </c>
      <c r="H9555" s="380" t="s">
        <v>771</v>
      </c>
      <c r="I9555" s="380" t="s">
        <v>788</v>
      </c>
      <c r="J9555" s="380" t="s">
        <v>773</v>
      </c>
      <c r="K9555" s="381">
        <v>0.0</v>
      </c>
      <c r="L9555" s="382">
        <v>1.0</v>
      </c>
    </row>
    <row r="9556">
      <c r="A9556" s="380" t="s">
        <v>10430</v>
      </c>
      <c r="B9556" s="380" t="str">
        <f>IFERROR(__xludf.DUMMYFUNCTION("""COMPUTED_VALUE"""),"BMB Hidraulico HN 300 Dutropack 44310-37")</f>
        <v>BMB Hidraulico HN 300 Dutropack 44310-37</v>
      </c>
      <c r="C9556" s="380" t="str">
        <f>IFERROR(__xludf.DUMMYFUNCTION("""COMPUTED_VALUE"""),"70004977")</f>
        <v>70004977</v>
      </c>
      <c r="D9556" s="380" t="s">
        <v>767</v>
      </c>
      <c r="E9556" s="380" t="s">
        <v>786</v>
      </c>
      <c r="F9556" s="380" t="s">
        <v>1020</v>
      </c>
      <c r="G9556" s="380" t="s">
        <v>1267</v>
      </c>
      <c r="H9556" s="380" t="s">
        <v>771</v>
      </c>
      <c r="I9556" s="380" t="s">
        <v>788</v>
      </c>
      <c r="J9556" s="380" t="s">
        <v>773</v>
      </c>
      <c r="K9556" s="381">
        <v>0.0</v>
      </c>
      <c r="L9556" s="382">
        <v>1.0</v>
      </c>
    </row>
    <row r="9557">
      <c r="A9557" s="380" t="s">
        <v>10431</v>
      </c>
      <c r="B9557" s="380" t="str">
        <f>IFERROR(__xludf.DUMMYFUNCTION("""COMPUTED_VALUE"""),"SOP En Z Alargador PTA Izq Daf 1926386")</f>
        <v>SOP En Z Alargador PTA Izq Daf 1926386</v>
      </c>
      <c r="C9557" s="380" t="str">
        <f>IFERROR(__xludf.DUMMYFUNCTION("""COMPUTED_VALUE"""),"70004978")</f>
        <v>70004978</v>
      </c>
      <c r="D9557" s="380" t="s">
        <v>767</v>
      </c>
      <c r="E9557" s="380" t="s">
        <v>786</v>
      </c>
      <c r="F9557" s="380" t="s">
        <v>792</v>
      </c>
      <c r="G9557" s="380" t="s">
        <v>1267</v>
      </c>
      <c r="H9557" s="380" t="s">
        <v>771</v>
      </c>
      <c r="I9557" s="380" t="s">
        <v>788</v>
      </c>
      <c r="J9557" s="380" t="s">
        <v>773</v>
      </c>
      <c r="K9557" s="381">
        <v>0.0</v>
      </c>
      <c r="L9557" s="382">
        <v>1.0</v>
      </c>
    </row>
    <row r="9558">
      <c r="A9558" s="380" t="s">
        <v>10432</v>
      </c>
      <c r="B9558" s="380" t="str">
        <f>IFERROR(__xludf.DUMMYFUNCTION("""COMPUTED_VALUE"""),"Bobina Encendido MOT T Prado Tx-L 90919-")</f>
        <v>Bobina Encendido MOT T Prado Tx-L 90919-</v>
      </c>
      <c r="C9558" s="380" t="str">
        <f>IFERROR(__xludf.DUMMYFUNCTION("""COMPUTED_VALUE"""),"70004979")</f>
        <v>70004979</v>
      </c>
      <c r="D9558" s="380" t="s">
        <v>767</v>
      </c>
      <c r="E9558" s="380" t="s">
        <v>786</v>
      </c>
      <c r="F9558" s="380" t="s">
        <v>998</v>
      </c>
      <c r="G9558" s="380" t="s">
        <v>1267</v>
      </c>
      <c r="H9558" s="380" t="s">
        <v>771</v>
      </c>
      <c r="I9558" s="380" t="s">
        <v>788</v>
      </c>
      <c r="J9558" s="380" t="s">
        <v>773</v>
      </c>
      <c r="K9558" s="381">
        <v>0.0</v>
      </c>
      <c r="L9558" s="382">
        <v>1.0</v>
      </c>
    </row>
    <row r="9559">
      <c r="A9559" s="380" t="s">
        <v>10433</v>
      </c>
      <c r="B9559" s="380" t="str">
        <f>IFERROR(__xludf.DUMMYFUNCTION("""COMPUTED_VALUE"""),"Bujia Motor Toyota Prado Tx-L Ikh20tt")</f>
        <v>Bujia Motor Toyota Prado Tx-L Ikh20tt</v>
      </c>
      <c r="C9559" s="380" t="str">
        <f>IFERROR(__xludf.DUMMYFUNCTION("""COMPUTED_VALUE"""),"70004980")</f>
        <v>70004980</v>
      </c>
      <c r="D9559" s="380" t="s">
        <v>767</v>
      </c>
      <c r="E9559" s="380" t="s">
        <v>786</v>
      </c>
      <c r="F9559" s="380" t="s">
        <v>787</v>
      </c>
      <c r="G9559" s="380" t="s">
        <v>1267</v>
      </c>
      <c r="H9559" s="380" t="s">
        <v>771</v>
      </c>
      <c r="I9559" s="380" t="s">
        <v>788</v>
      </c>
      <c r="J9559" s="380" t="s">
        <v>773</v>
      </c>
      <c r="K9559" s="381">
        <v>0.0</v>
      </c>
      <c r="L9559" s="382">
        <v>1.0</v>
      </c>
    </row>
    <row r="9560">
      <c r="A9560" s="380" t="s">
        <v>10434</v>
      </c>
      <c r="B9560" s="380" t="str">
        <f>IFERROR(__xludf.DUMMYFUNCTION("""COMPUTED_VALUE"""),"Persian Frontal Jac 1120 8401100le010")</f>
        <v>Persian Frontal Jac 1120 8401100le010</v>
      </c>
      <c r="C9560" s="380" t="str">
        <f>IFERROR(__xludf.DUMMYFUNCTION("""COMPUTED_VALUE"""),"70004981")</f>
        <v>70004981</v>
      </c>
      <c r="D9560" s="380" t="s">
        <v>767</v>
      </c>
      <c r="E9560" s="380" t="s">
        <v>786</v>
      </c>
      <c r="F9560" s="380" t="s">
        <v>792</v>
      </c>
      <c r="G9560" s="380" t="s">
        <v>1267</v>
      </c>
      <c r="H9560" s="380" t="s">
        <v>771</v>
      </c>
      <c r="I9560" s="380" t="s">
        <v>788</v>
      </c>
      <c r="J9560" s="380" t="s">
        <v>773</v>
      </c>
      <c r="K9560" s="381">
        <v>0.0</v>
      </c>
      <c r="L9560" s="382">
        <v>1.0</v>
      </c>
    </row>
    <row r="9561">
      <c r="A9561" s="380" t="s">
        <v>10435</v>
      </c>
      <c r="B9561" s="380" t="str">
        <f>IFERROR(__xludf.DUMMYFUNCTION("""COMPUTED_VALUE"""),"Rodaja Freno Foton 1065 Fabricada")</f>
        <v>Rodaja Freno Foton 1065 Fabricada</v>
      </c>
      <c r="C9561" s="380" t="str">
        <f>IFERROR(__xludf.DUMMYFUNCTION("""COMPUTED_VALUE"""),"70004982")</f>
        <v>70004982</v>
      </c>
      <c r="D9561" s="380" t="s">
        <v>767</v>
      </c>
      <c r="E9561" s="380" t="s">
        <v>786</v>
      </c>
      <c r="F9561" s="380" t="s">
        <v>1017</v>
      </c>
      <c r="G9561" s="380" t="s">
        <v>1267</v>
      </c>
      <c r="H9561" s="380" t="s">
        <v>771</v>
      </c>
      <c r="I9561" s="380" t="s">
        <v>788</v>
      </c>
      <c r="J9561" s="380" t="s">
        <v>773</v>
      </c>
      <c r="K9561" s="381">
        <v>0.0</v>
      </c>
      <c r="L9561" s="382">
        <v>1.0</v>
      </c>
    </row>
    <row r="9562">
      <c r="A9562" s="380" t="s">
        <v>10436</v>
      </c>
      <c r="B9562" s="380" t="str">
        <f>IFERROR(__xludf.DUMMYFUNCTION("""COMPUTED_VALUE"""),"Soporte Peldaño Inferior Izq Daf 1952791")</f>
        <v>Soporte Peldaño Inferior Izq Daf 1952791</v>
      </c>
      <c r="C9562" s="380" t="str">
        <f>IFERROR(__xludf.DUMMYFUNCTION("""COMPUTED_VALUE"""),"70004983")</f>
        <v>70004983</v>
      </c>
      <c r="D9562" s="380" t="s">
        <v>767</v>
      </c>
      <c r="E9562" s="380" t="s">
        <v>786</v>
      </c>
      <c r="F9562" s="380" t="s">
        <v>792</v>
      </c>
      <c r="G9562" s="380" t="s">
        <v>1267</v>
      </c>
      <c r="H9562" s="380" t="s">
        <v>771</v>
      </c>
      <c r="I9562" s="380" t="s">
        <v>788</v>
      </c>
      <c r="J9562" s="380" t="s">
        <v>773</v>
      </c>
      <c r="K9562" s="381">
        <v>0.0</v>
      </c>
      <c r="L9562" s="382">
        <v>1.0</v>
      </c>
    </row>
    <row r="9563">
      <c r="A9563" s="380" t="s">
        <v>10437</v>
      </c>
      <c r="B9563" s="380" t="str">
        <f>IFERROR(__xludf.DUMMYFUNCTION("""COMPUTED_VALUE"""),"Riel Alta Presion COMB Frr 8980118882")</f>
        <v>Riel Alta Presion COMB Frr 8980118882</v>
      </c>
      <c r="C9563" s="380" t="str">
        <f>IFERROR(__xludf.DUMMYFUNCTION("""COMPUTED_VALUE"""),"70004984")</f>
        <v>70004984</v>
      </c>
      <c r="D9563" s="380" t="s">
        <v>767</v>
      </c>
      <c r="E9563" s="380" t="s">
        <v>786</v>
      </c>
      <c r="F9563" s="380" t="s">
        <v>787</v>
      </c>
      <c r="G9563" s="380" t="s">
        <v>1267</v>
      </c>
      <c r="H9563" s="380" t="s">
        <v>771</v>
      </c>
      <c r="I9563" s="380" t="s">
        <v>788</v>
      </c>
      <c r="J9563" s="380" t="s">
        <v>773</v>
      </c>
      <c r="K9563" s="381">
        <v>0.0</v>
      </c>
      <c r="L9563" s="382">
        <v>1.0</v>
      </c>
    </row>
    <row r="9564">
      <c r="A9564" s="380" t="s">
        <v>10438</v>
      </c>
      <c r="B9564" s="380" t="str">
        <f>IFERROR(__xludf.DUMMYFUNCTION("""COMPUTED_VALUE"""),"MOT ARR FT 1065 Aucan Evi 7700149203098")</f>
        <v>MOT ARR FT 1065 Aucan Evi 7700149203098</v>
      </c>
      <c r="C9564" s="380" t="str">
        <f>IFERROR(__xludf.DUMMYFUNCTION("""COMPUTED_VALUE"""),"70004985")</f>
        <v>70004985</v>
      </c>
      <c r="D9564" s="380" t="s">
        <v>767</v>
      </c>
      <c r="E9564" s="380" t="s">
        <v>786</v>
      </c>
      <c r="F9564" s="380" t="s">
        <v>998</v>
      </c>
      <c r="G9564" s="380" t="s">
        <v>1267</v>
      </c>
      <c r="H9564" s="380" t="s">
        <v>771</v>
      </c>
      <c r="I9564" s="380" t="s">
        <v>788</v>
      </c>
      <c r="J9564" s="380" t="s">
        <v>773</v>
      </c>
      <c r="K9564" s="381">
        <v>0.0</v>
      </c>
      <c r="L9564" s="382">
        <v>1.0</v>
      </c>
    </row>
    <row r="9565">
      <c r="A9565" s="380" t="s">
        <v>10439</v>
      </c>
      <c r="B9565" s="380" t="str">
        <f>IFERROR(__xludf.DUMMYFUNCTION("""COMPUTED_VALUE"""),"Exploradora Derecha Daf 2032702")</f>
        <v>Exploradora Derecha Daf 2032702</v>
      </c>
      <c r="C9565" s="380" t="str">
        <f>IFERROR(__xludf.DUMMYFUNCTION("""COMPUTED_VALUE"""),"70004986")</f>
        <v>70004986</v>
      </c>
      <c r="D9565" s="380" t="s">
        <v>767</v>
      </c>
      <c r="E9565" s="380" t="s">
        <v>786</v>
      </c>
      <c r="F9565" s="380" t="s">
        <v>998</v>
      </c>
      <c r="G9565" s="380" t="s">
        <v>1267</v>
      </c>
      <c r="H9565" s="380" t="s">
        <v>771</v>
      </c>
      <c r="I9565" s="380" t="s">
        <v>788</v>
      </c>
      <c r="J9565" s="380" t="s">
        <v>773</v>
      </c>
      <c r="K9565" s="381">
        <v>0.0</v>
      </c>
      <c r="L9565" s="382">
        <v>1.0</v>
      </c>
    </row>
    <row r="9566">
      <c r="A9566" s="380" t="s">
        <v>10440</v>
      </c>
      <c r="B9566" s="380" t="str">
        <f>IFERROR(__xludf.DUMMYFUNCTION("""COMPUTED_VALUE"""),"Tapa TANQ COMB MCK Anthem 2330002916")</f>
        <v>Tapa TANQ COMB MCK Anthem 2330002916</v>
      </c>
      <c r="C9566" s="380" t="str">
        <f>IFERROR(__xludf.DUMMYFUNCTION("""COMPUTED_VALUE"""),"70004987")</f>
        <v>70004987</v>
      </c>
      <c r="D9566" s="380" t="s">
        <v>767</v>
      </c>
      <c r="E9566" s="380" t="s">
        <v>786</v>
      </c>
      <c r="F9566" s="380" t="s">
        <v>792</v>
      </c>
      <c r="G9566" s="380" t="s">
        <v>1267</v>
      </c>
      <c r="H9566" s="380" t="s">
        <v>771</v>
      </c>
      <c r="I9566" s="380" t="s">
        <v>788</v>
      </c>
      <c r="J9566" s="380" t="s">
        <v>773</v>
      </c>
      <c r="K9566" s="381">
        <v>0.0</v>
      </c>
      <c r="L9566" s="382">
        <v>1.0</v>
      </c>
    </row>
    <row r="9567">
      <c r="A9567" s="380" t="s">
        <v>10441</v>
      </c>
      <c r="B9567" s="380" t="str">
        <f>IFERROR(__xludf.DUMMYFUNCTION("""COMPUTED_VALUE"""),"Tubo MANG Linea Def 3mm INT Lt625 412891")</f>
        <v>Tubo MANG Linea Def 3mm INT Lt625 412891</v>
      </c>
      <c r="C9567" s="380" t="str">
        <f>IFERROR(__xludf.DUMMYFUNCTION("""COMPUTED_VALUE"""),"70004988")</f>
        <v>70004988</v>
      </c>
      <c r="D9567" s="380" t="s">
        <v>767</v>
      </c>
      <c r="E9567" s="380" t="s">
        <v>786</v>
      </c>
      <c r="F9567" s="380" t="s">
        <v>787</v>
      </c>
      <c r="G9567" s="380" t="s">
        <v>1267</v>
      </c>
      <c r="H9567" s="380" t="s">
        <v>771</v>
      </c>
      <c r="I9567" s="380" t="s">
        <v>788</v>
      </c>
      <c r="J9567" s="380" t="s">
        <v>773</v>
      </c>
      <c r="K9567" s="381">
        <v>0.0</v>
      </c>
      <c r="L9567" s="382">
        <v>1.0</v>
      </c>
    </row>
    <row r="9568">
      <c r="A9568" s="380" t="s">
        <v>10442</v>
      </c>
      <c r="B9568" s="380" t="str">
        <f>IFERROR(__xludf.DUMMYFUNCTION("""COMPUTED_VALUE"""),"SENS De TEMP Ambiente INT Lt 40499893c1")</f>
        <v>SENS De TEMP Ambiente INT Lt 40499893c1</v>
      </c>
      <c r="C9568" s="380" t="str">
        <f>IFERROR(__xludf.DUMMYFUNCTION("""COMPUTED_VALUE"""),"70004989")</f>
        <v>70004989</v>
      </c>
      <c r="D9568" s="380" t="s">
        <v>767</v>
      </c>
      <c r="E9568" s="380" t="s">
        <v>786</v>
      </c>
      <c r="F9568" s="380" t="s">
        <v>998</v>
      </c>
      <c r="G9568" s="380" t="s">
        <v>1267</v>
      </c>
      <c r="H9568" s="380" t="s">
        <v>771</v>
      </c>
      <c r="I9568" s="380" t="s">
        <v>788</v>
      </c>
      <c r="J9568" s="380" t="s">
        <v>773</v>
      </c>
      <c r="K9568" s="381">
        <v>203323.0</v>
      </c>
      <c r="L9568" s="382">
        <v>1.0</v>
      </c>
    </row>
    <row r="9569">
      <c r="A9569" s="380" t="s">
        <v>10443</v>
      </c>
      <c r="B9569" s="380" t="str">
        <f>IFERROR(__xludf.DUMMYFUNCTION("""COMPUTED_VALUE"""),"Panel Almacenamiento Puerta Derecha Eagl")</f>
        <v>Panel Almacenamiento Puerta Derecha Eagl</v>
      </c>
      <c r="C9569" s="380" t="str">
        <f>IFERROR(__xludf.DUMMYFUNCTION("""COMPUTED_VALUE"""),"70004990")</f>
        <v>70004990</v>
      </c>
      <c r="D9569" s="380" t="s">
        <v>767</v>
      </c>
      <c r="E9569" s="380" t="s">
        <v>786</v>
      </c>
      <c r="F9569" s="380" t="s">
        <v>792</v>
      </c>
      <c r="G9569" s="380" t="s">
        <v>1267</v>
      </c>
      <c r="H9569" s="380" t="s">
        <v>771</v>
      </c>
      <c r="I9569" s="380" t="s">
        <v>788</v>
      </c>
      <c r="J9569" s="380" t="s">
        <v>773</v>
      </c>
      <c r="K9569" s="381">
        <v>0.0</v>
      </c>
      <c r="L9569" s="382">
        <v>1.0</v>
      </c>
    </row>
    <row r="9570">
      <c r="A9570" s="380" t="s">
        <v>10444</v>
      </c>
      <c r="B9570" s="380" t="str">
        <f>IFERROR(__xludf.DUMMYFUNCTION("""COMPUTED_VALUE"""),"Adaptador Tanque Combustible 3/8 Retorno")</f>
        <v>Adaptador Tanque Combustible 3/8 Retorno</v>
      </c>
      <c r="C9570" s="380" t="str">
        <f>IFERROR(__xludf.DUMMYFUNCTION("""COMPUTED_VALUE"""),"70004991")</f>
        <v>70004991</v>
      </c>
      <c r="D9570" s="380" t="s">
        <v>767</v>
      </c>
      <c r="E9570" s="380" t="s">
        <v>786</v>
      </c>
      <c r="F9570" s="380" t="s">
        <v>787</v>
      </c>
      <c r="G9570" s="380" t="s">
        <v>1267</v>
      </c>
      <c r="H9570" s="380" t="s">
        <v>771</v>
      </c>
      <c r="I9570" s="380" t="s">
        <v>788</v>
      </c>
      <c r="J9570" s="380" t="s">
        <v>773</v>
      </c>
      <c r="K9570" s="381">
        <v>0.0</v>
      </c>
      <c r="L9570" s="382">
        <v>1.0</v>
      </c>
    </row>
    <row r="9571">
      <c r="A9571" s="380" t="s">
        <v>10445</v>
      </c>
      <c r="B9571" s="380" t="str">
        <f>IFERROR(__xludf.DUMMYFUNCTION("""COMPUTED_VALUE"""),"Mecanismo Palanca Cambios HN Dutropack 3")</f>
        <v>Mecanismo Palanca Cambios HN Dutropack 3</v>
      </c>
      <c r="C9571" s="380" t="str">
        <f>IFERROR(__xludf.DUMMYFUNCTION("""COMPUTED_VALUE"""),"70004992")</f>
        <v>70004992</v>
      </c>
      <c r="D9571" s="380" t="s">
        <v>767</v>
      </c>
      <c r="E9571" s="380" t="s">
        <v>786</v>
      </c>
      <c r="F9571" s="380" t="s">
        <v>928</v>
      </c>
      <c r="G9571" s="380" t="s">
        <v>1267</v>
      </c>
      <c r="H9571" s="380" t="s">
        <v>771</v>
      </c>
      <c r="I9571" s="380" t="s">
        <v>788</v>
      </c>
      <c r="J9571" s="380" t="s">
        <v>773</v>
      </c>
      <c r="K9571" s="381">
        <v>0.0</v>
      </c>
      <c r="L9571" s="382">
        <v>1.0</v>
      </c>
    </row>
    <row r="9572">
      <c r="A9572" s="380" t="s">
        <v>10446</v>
      </c>
      <c r="B9572" s="380" t="str">
        <f>IFERROR(__xludf.DUMMYFUNCTION("""COMPUTED_VALUE"""),"SOP Inf Espejo Retrovisor DER HN 500 S87")</f>
        <v>SOP Inf Espejo Retrovisor DER HN 500 S87</v>
      </c>
      <c r="C9572" s="380" t="str">
        <f>IFERROR(__xludf.DUMMYFUNCTION("""COMPUTED_VALUE"""),"70004993")</f>
        <v>70004993</v>
      </c>
      <c r="D9572" s="380" t="s">
        <v>767</v>
      </c>
      <c r="E9572" s="380" t="s">
        <v>786</v>
      </c>
      <c r="F9572" s="380" t="s">
        <v>792</v>
      </c>
      <c r="G9572" s="380" t="s">
        <v>1267</v>
      </c>
      <c r="H9572" s="380" t="s">
        <v>771</v>
      </c>
      <c r="I9572" s="380" t="s">
        <v>788</v>
      </c>
      <c r="J9572" s="380" t="s">
        <v>773</v>
      </c>
      <c r="K9572" s="381">
        <v>0.0</v>
      </c>
      <c r="L9572" s="382">
        <v>1.0</v>
      </c>
    </row>
    <row r="9573">
      <c r="A9573" s="380" t="s">
        <v>10447</v>
      </c>
      <c r="B9573" s="380" t="str">
        <f>IFERROR(__xludf.DUMMYFUNCTION("""COMPUTED_VALUE"""),"Rodamiento INTno RDA DEL HY H100 Porter")</f>
        <v>Rodamiento INTno RDA DEL HY H100 Porter</v>
      </c>
      <c r="C9573" s="380" t="str">
        <f>IFERROR(__xludf.DUMMYFUNCTION("""COMPUTED_VALUE"""),"70004994")</f>
        <v>70004994</v>
      </c>
      <c r="D9573" s="380" t="s">
        <v>767</v>
      </c>
      <c r="E9573" s="380" t="s">
        <v>786</v>
      </c>
      <c r="F9573" s="380" t="s">
        <v>1039</v>
      </c>
      <c r="G9573" s="380" t="s">
        <v>1267</v>
      </c>
      <c r="H9573" s="380" t="s">
        <v>771</v>
      </c>
      <c r="I9573" s="380" t="s">
        <v>788</v>
      </c>
      <c r="J9573" s="380" t="s">
        <v>773</v>
      </c>
      <c r="K9573" s="381">
        <v>0.0</v>
      </c>
      <c r="L9573" s="382">
        <v>1.0</v>
      </c>
    </row>
    <row r="9574">
      <c r="A9574" s="380" t="s">
        <v>10448</v>
      </c>
      <c r="B9574" s="380" t="str">
        <f>IFERROR(__xludf.DUMMYFUNCTION("""COMPUTED_VALUE"""),"Rodamiento Externo RDA DEL HY H100 Porte")</f>
        <v>Rodamiento Externo RDA DEL HY H100 Porte</v>
      </c>
      <c r="C9574" s="380" t="str">
        <f>IFERROR(__xludf.DUMMYFUNCTION("""COMPUTED_VALUE"""),"70004995")</f>
        <v>70004995</v>
      </c>
      <c r="D9574" s="380" t="s">
        <v>767</v>
      </c>
      <c r="E9574" s="380" t="s">
        <v>786</v>
      </c>
      <c r="F9574" s="380" t="s">
        <v>1039</v>
      </c>
      <c r="G9574" s="380" t="s">
        <v>1267</v>
      </c>
      <c r="H9574" s="380" t="s">
        <v>771</v>
      </c>
      <c r="I9574" s="380" t="s">
        <v>788</v>
      </c>
      <c r="J9574" s="380" t="s">
        <v>773</v>
      </c>
      <c r="K9574" s="381">
        <v>0.0</v>
      </c>
      <c r="L9574" s="382">
        <v>1.0</v>
      </c>
    </row>
    <row r="9575">
      <c r="A9575" s="380" t="s">
        <v>10449</v>
      </c>
      <c r="B9575" s="380" t="str">
        <f>IFERROR(__xludf.DUMMYFUNCTION("""COMPUTED_VALUE"""),"Arnes ELEC MOT FT 1039 7705946331425")</f>
        <v>Arnes ELEC MOT FT 1039 7705946331425</v>
      </c>
      <c r="C9575" s="380" t="str">
        <f>IFERROR(__xludf.DUMMYFUNCTION("""COMPUTED_VALUE"""),"70004996")</f>
        <v>70004996</v>
      </c>
      <c r="D9575" s="380" t="s">
        <v>767</v>
      </c>
      <c r="E9575" s="380" t="s">
        <v>786</v>
      </c>
      <c r="F9575" s="380" t="s">
        <v>998</v>
      </c>
      <c r="G9575" s="380" t="s">
        <v>1267</v>
      </c>
      <c r="H9575" s="380" t="s">
        <v>771</v>
      </c>
      <c r="I9575" s="380" t="s">
        <v>788</v>
      </c>
      <c r="J9575" s="380" t="s">
        <v>773</v>
      </c>
      <c r="K9575" s="381">
        <v>0.0</v>
      </c>
      <c r="L9575" s="382">
        <v>1.0</v>
      </c>
    </row>
    <row r="9576">
      <c r="A9576" s="380" t="s">
        <v>10450</v>
      </c>
      <c r="B9576" s="380" t="str">
        <f>IFERROR(__xludf.DUMMYFUNCTION("""COMPUTED_VALUE"""),"Kit CILs Ignicion Y PTAs HN 300 70001071")</f>
        <v>Kit CILs Ignicion Y PTAs HN 300 70001071</v>
      </c>
      <c r="C9576" s="380" t="str">
        <f>IFERROR(__xludf.DUMMYFUNCTION("""COMPUTED_VALUE"""),"70004997")</f>
        <v>70004997</v>
      </c>
      <c r="D9576" s="380" t="s">
        <v>767</v>
      </c>
      <c r="E9576" s="380" t="s">
        <v>786</v>
      </c>
      <c r="F9576" s="380" t="s">
        <v>792</v>
      </c>
      <c r="G9576" s="380" t="s">
        <v>1267</v>
      </c>
      <c r="H9576" s="380" t="s">
        <v>771</v>
      </c>
      <c r="I9576" s="380" t="s">
        <v>788</v>
      </c>
      <c r="J9576" s="380" t="s">
        <v>773</v>
      </c>
      <c r="K9576" s="381">
        <v>0.0</v>
      </c>
      <c r="L9576" s="382">
        <v>1.0</v>
      </c>
    </row>
    <row r="9577">
      <c r="A9577" s="380" t="s">
        <v>10451</v>
      </c>
      <c r="B9577" s="380" t="str">
        <f>IFERROR(__xludf.DUMMYFUNCTION("""COMPUTED_VALUE"""),"Collarin Delantero Izquierdo Eagle 9400")</f>
        <v>Collarin Delantero Izquierdo Eagle 9400</v>
      </c>
      <c r="C9577" s="380" t="str">
        <f>IFERROR(__xludf.DUMMYFUNCTION("""COMPUTED_VALUE"""),"70004998")</f>
        <v>70004998</v>
      </c>
      <c r="D9577" s="380" t="s">
        <v>767</v>
      </c>
      <c r="E9577" s="380" t="s">
        <v>786</v>
      </c>
      <c r="F9577" s="380" t="s">
        <v>1039</v>
      </c>
      <c r="G9577" s="380" t="s">
        <v>1267</v>
      </c>
      <c r="H9577" s="380" t="s">
        <v>771</v>
      </c>
      <c r="I9577" s="380" t="s">
        <v>788</v>
      </c>
      <c r="J9577" s="380" t="s">
        <v>773</v>
      </c>
      <c r="K9577" s="381">
        <v>0.0</v>
      </c>
      <c r="L9577" s="382">
        <v>1.0</v>
      </c>
    </row>
    <row r="9578">
      <c r="A9578" s="380" t="s">
        <v>10452</v>
      </c>
      <c r="B9578" s="380" t="str">
        <f>IFERROR(__xludf.DUMMYFUNCTION("""COMPUTED_VALUE"""),"Repuestos Varios Concesionario Foton")</f>
        <v>Repuestos Varios Concesionario Foton</v>
      </c>
      <c r="C9578" s="380" t="str">
        <f>IFERROR(__xludf.DUMMYFUNCTION("""COMPUTED_VALUE"""),"70004999")</f>
        <v>70004999</v>
      </c>
      <c r="D9578" s="380" t="s">
        <v>767</v>
      </c>
      <c r="E9578" s="380" t="s">
        <v>786</v>
      </c>
      <c r="F9578" s="380" t="s">
        <v>998</v>
      </c>
      <c r="G9578" s="380" t="s">
        <v>1267</v>
      </c>
      <c r="H9578" s="380" t="s">
        <v>771</v>
      </c>
      <c r="I9578" s="380" t="s">
        <v>788</v>
      </c>
      <c r="J9578" s="380" t="s">
        <v>773</v>
      </c>
      <c r="K9578" s="381">
        <v>0.0</v>
      </c>
      <c r="L9578" s="382">
        <v>1.0</v>
      </c>
    </row>
    <row r="9579">
      <c r="A9579" s="380" t="s">
        <v>10453</v>
      </c>
      <c r="B9579" s="380" t="str">
        <f>IFERROR(__xludf.DUMMYFUNCTION("""COMPUTED_VALUE"""),"Conector Inyector FT 1039 7705946836494")</f>
        <v>Conector Inyector FT 1039 7705946836494</v>
      </c>
      <c r="C9579" s="380" t="str">
        <f>IFERROR(__xludf.DUMMYFUNCTION("""COMPUTED_VALUE"""),"70005000")</f>
        <v>70005000</v>
      </c>
      <c r="D9579" s="380" t="s">
        <v>767</v>
      </c>
      <c r="E9579" s="380" t="s">
        <v>786</v>
      </c>
      <c r="F9579" s="380" t="s">
        <v>998</v>
      </c>
      <c r="G9579" s="380" t="s">
        <v>1267</v>
      </c>
      <c r="H9579" s="380" t="s">
        <v>771</v>
      </c>
      <c r="I9579" s="380" t="s">
        <v>788</v>
      </c>
      <c r="J9579" s="380" t="s">
        <v>773</v>
      </c>
      <c r="K9579" s="381">
        <v>0.0</v>
      </c>
      <c r="L9579" s="382">
        <v>1.0</v>
      </c>
    </row>
    <row r="9580">
      <c r="A9580" s="380" t="s">
        <v>10454</v>
      </c>
      <c r="B9580" s="380" t="str">
        <f>IFERROR(__xludf.DUMMYFUNCTION("""COMPUTED_VALUE"""),"Terminal DIR DER FT 1065 7705946870665")</f>
        <v>Terminal DIR DER FT 1065 7705946870665</v>
      </c>
      <c r="C9580" s="380" t="str">
        <f>IFERROR(__xludf.DUMMYFUNCTION("""COMPUTED_VALUE"""),"70005001")</f>
        <v>70005001</v>
      </c>
      <c r="D9580" s="380" t="s">
        <v>767</v>
      </c>
      <c r="E9580" s="380" t="s">
        <v>786</v>
      </c>
      <c r="F9580" s="380" t="s">
        <v>1020</v>
      </c>
      <c r="G9580" s="380" t="s">
        <v>1267</v>
      </c>
      <c r="H9580" s="380" t="s">
        <v>771</v>
      </c>
      <c r="I9580" s="380" t="s">
        <v>788</v>
      </c>
      <c r="J9580" s="380" t="s">
        <v>773</v>
      </c>
      <c r="K9580" s="381">
        <v>0.0</v>
      </c>
      <c r="L9580" s="382">
        <v>1.0</v>
      </c>
    </row>
    <row r="9581">
      <c r="A9581" s="380" t="s">
        <v>10455</v>
      </c>
      <c r="B9581" s="380" t="str">
        <f>IFERROR(__xludf.DUMMYFUNCTION("""COMPUTED_VALUE"""),"Empaque Parabrisas Foton 1039")</f>
        <v>Empaque Parabrisas Foton 1039</v>
      </c>
      <c r="C9581" s="380" t="str">
        <f>IFERROR(__xludf.DUMMYFUNCTION("""COMPUTED_VALUE"""),"70005002")</f>
        <v>70005002</v>
      </c>
      <c r="D9581" s="380" t="s">
        <v>767</v>
      </c>
      <c r="E9581" s="380" t="s">
        <v>786</v>
      </c>
      <c r="F9581" s="380" t="s">
        <v>792</v>
      </c>
      <c r="G9581" s="380" t="s">
        <v>1267</v>
      </c>
      <c r="H9581" s="380" t="s">
        <v>771</v>
      </c>
      <c r="I9581" s="380" t="s">
        <v>788</v>
      </c>
      <c r="J9581" s="380" t="s">
        <v>773</v>
      </c>
      <c r="K9581" s="381">
        <v>0.0</v>
      </c>
      <c r="L9581" s="382">
        <v>1.0</v>
      </c>
    </row>
    <row r="9582">
      <c r="A9582" s="380" t="s">
        <v>10456</v>
      </c>
      <c r="B9582" s="380" t="str">
        <f>IFERROR(__xludf.DUMMYFUNCTION("""COMPUTED_VALUE"""),"Amortiguador Trasero Jac Jkr 2915010d800")</f>
        <v>Amortiguador Trasero Jac Jkr 2915010d800</v>
      </c>
      <c r="C9582" s="380" t="str">
        <f>IFERROR(__xludf.DUMMYFUNCTION("""COMPUTED_VALUE"""),"70005003")</f>
        <v>70005003</v>
      </c>
      <c r="D9582" s="380" t="s">
        <v>767</v>
      </c>
      <c r="E9582" s="380" t="s">
        <v>786</v>
      </c>
      <c r="F9582" s="380" t="s">
        <v>1039</v>
      </c>
      <c r="G9582" s="380" t="s">
        <v>1267</v>
      </c>
      <c r="H9582" s="380" t="s">
        <v>771</v>
      </c>
      <c r="I9582" s="380" t="s">
        <v>788</v>
      </c>
      <c r="J9582" s="380" t="s">
        <v>773</v>
      </c>
      <c r="K9582" s="381">
        <v>0.0</v>
      </c>
      <c r="L9582" s="382">
        <v>1.0</v>
      </c>
    </row>
    <row r="9583">
      <c r="A9583" s="380" t="s">
        <v>10457</v>
      </c>
      <c r="B9583" s="380" t="str">
        <f>IFERROR(__xludf.DUMMYFUNCTION("""COMPUTED_VALUE"""),"Amortiguador DEL FT 1129 7701023774987")</f>
        <v>Amortiguador DEL FT 1129 7701023774987</v>
      </c>
      <c r="C9583" s="380" t="str">
        <f>IFERROR(__xludf.DUMMYFUNCTION("""COMPUTED_VALUE"""),"70005004")</f>
        <v>70005004</v>
      </c>
      <c r="D9583" s="380" t="s">
        <v>767</v>
      </c>
      <c r="E9583" s="380" t="s">
        <v>786</v>
      </c>
      <c r="F9583" s="380" t="s">
        <v>1039</v>
      </c>
      <c r="G9583" s="380" t="s">
        <v>1267</v>
      </c>
      <c r="H9583" s="380" t="s">
        <v>771</v>
      </c>
      <c r="I9583" s="380" t="s">
        <v>788</v>
      </c>
      <c r="J9583" s="380" t="s">
        <v>773</v>
      </c>
      <c r="K9583" s="381">
        <v>0.0</v>
      </c>
      <c r="L9583" s="382">
        <v>1.0</v>
      </c>
    </row>
    <row r="9584">
      <c r="A9584" s="380" t="s">
        <v>10458</v>
      </c>
      <c r="B9584" s="380" t="str">
        <f>IFERROR(__xludf.DUMMYFUNCTION("""COMPUTED_VALUE"""),"Espejo Retrovisor Izq Completo MCK Anthe")</f>
        <v>Espejo Retrovisor Izq Completo MCK Anthe</v>
      </c>
      <c r="C9584" s="380" t="str">
        <f>IFERROR(__xludf.DUMMYFUNCTION("""COMPUTED_VALUE"""),"70005005")</f>
        <v>70005005</v>
      </c>
      <c r="D9584" s="380" t="s">
        <v>767</v>
      </c>
      <c r="E9584" s="380" t="s">
        <v>786</v>
      </c>
      <c r="F9584" s="380" t="s">
        <v>792</v>
      </c>
      <c r="G9584" s="380" t="s">
        <v>1267</v>
      </c>
      <c r="H9584" s="380" t="s">
        <v>771</v>
      </c>
      <c r="I9584" s="380" t="s">
        <v>788</v>
      </c>
      <c r="J9584" s="380" t="s">
        <v>773</v>
      </c>
      <c r="K9584" s="381">
        <v>0.0</v>
      </c>
      <c r="L9584" s="382">
        <v>1.0</v>
      </c>
    </row>
    <row r="9585">
      <c r="A9585" s="380" t="s">
        <v>10459</v>
      </c>
      <c r="B9585" s="380" t="str">
        <f>IFERROR(__xludf.DUMMYFUNCTION("""COMPUTED_VALUE"""),"Deflector Angular Izquierdo Daf 1844275")</f>
        <v>Deflector Angular Izquierdo Daf 1844275</v>
      </c>
      <c r="C9585" s="380" t="str">
        <f>IFERROR(__xludf.DUMMYFUNCTION("""COMPUTED_VALUE"""),"70005006")</f>
        <v>70005006</v>
      </c>
      <c r="D9585" s="380" t="s">
        <v>767</v>
      </c>
      <c r="E9585" s="380" t="s">
        <v>786</v>
      </c>
      <c r="F9585" s="380" t="s">
        <v>792</v>
      </c>
      <c r="G9585" s="380" t="s">
        <v>1267</v>
      </c>
      <c r="H9585" s="380" t="s">
        <v>771</v>
      </c>
      <c r="I9585" s="380" t="s">
        <v>788</v>
      </c>
      <c r="J9585" s="380" t="s">
        <v>773</v>
      </c>
      <c r="K9585" s="381">
        <v>0.0</v>
      </c>
      <c r="L9585" s="382">
        <v>1.0</v>
      </c>
    </row>
    <row r="9586">
      <c r="A9586" s="380" t="s">
        <v>10460</v>
      </c>
      <c r="B9586" s="380" t="str">
        <f>IFERROR(__xludf.DUMMYFUNCTION("""COMPUTED_VALUE"""),"Embellecedor Superior Persiana Daf 18940")</f>
        <v>Embellecedor Superior Persiana Daf 18940</v>
      </c>
      <c r="C9586" s="380" t="str">
        <f>IFERROR(__xludf.DUMMYFUNCTION("""COMPUTED_VALUE"""),"70005007")</f>
        <v>70005007</v>
      </c>
      <c r="D9586" s="380" t="s">
        <v>767</v>
      </c>
      <c r="E9586" s="380" t="s">
        <v>786</v>
      </c>
      <c r="F9586" s="380" t="s">
        <v>792</v>
      </c>
      <c r="G9586" s="380" t="s">
        <v>1267</v>
      </c>
      <c r="H9586" s="380" t="s">
        <v>771</v>
      </c>
      <c r="I9586" s="380" t="s">
        <v>788</v>
      </c>
      <c r="J9586" s="380" t="s">
        <v>773</v>
      </c>
      <c r="K9586" s="381">
        <v>0.0</v>
      </c>
      <c r="L9586" s="382">
        <v>1.0</v>
      </c>
    </row>
    <row r="9587">
      <c r="A9587" s="380" t="s">
        <v>10461</v>
      </c>
      <c r="B9587" s="380" t="str">
        <f>IFERROR(__xludf.DUMMYFUNCTION("""COMPUTED_VALUE"""),"Seccion De Fijacion Alargador PTA Izq Da")</f>
        <v>Seccion De Fijacion Alargador PTA Izq Da</v>
      </c>
      <c r="C9587" s="380" t="str">
        <f>IFERROR(__xludf.DUMMYFUNCTION("""COMPUTED_VALUE"""),"70005008")</f>
        <v>70005008</v>
      </c>
      <c r="D9587" s="380" t="s">
        <v>767</v>
      </c>
      <c r="E9587" s="380" t="s">
        <v>786</v>
      </c>
      <c r="F9587" s="380" t="s">
        <v>792</v>
      </c>
      <c r="G9587" s="380" t="s">
        <v>1267</v>
      </c>
      <c r="H9587" s="380" t="s">
        <v>771</v>
      </c>
      <c r="I9587" s="380" t="s">
        <v>788</v>
      </c>
      <c r="J9587" s="380" t="s">
        <v>773</v>
      </c>
      <c r="K9587" s="381">
        <v>0.0</v>
      </c>
      <c r="L9587" s="382">
        <v>1.0</v>
      </c>
    </row>
    <row r="9588">
      <c r="A9588" s="380" t="s">
        <v>10462</v>
      </c>
      <c r="B9588" s="380" t="str">
        <f>IFERROR(__xludf.DUMMYFUNCTION("""COMPUTED_VALUE"""),"MANG Salida Termostato FT Mv5 7705946023")</f>
        <v>MANG Salida Termostato FT Mv5 7705946023</v>
      </c>
      <c r="C9588" s="380" t="str">
        <f>IFERROR(__xludf.DUMMYFUNCTION("""COMPUTED_VALUE"""),"70005009")</f>
        <v>70005009</v>
      </c>
      <c r="D9588" s="380" t="s">
        <v>767</v>
      </c>
      <c r="E9588" s="380" t="s">
        <v>786</v>
      </c>
      <c r="F9588" s="380" t="s">
        <v>787</v>
      </c>
      <c r="G9588" s="380" t="s">
        <v>1267</v>
      </c>
      <c r="H9588" s="380" t="s">
        <v>771</v>
      </c>
      <c r="I9588" s="380" t="s">
        <v>788</v>
      </c>
      <c r="J9588" s="380" t="s">
        <v>773</v>
      </c>
      <c r="K9588" s="381">
        <v>0.0</v>
      </c>
      <c r="L9588" s="382">
        <v>1.0</v>
      </c>
    </row>
    <row r="9589">
      <c r="A9589" s="380" t="s">
        <v>10463</v>
      </c>
      <c r="B9589" s="380" t="str">
        <f>IFERROR(__xludf.DUMMYFUNCTION("""COMPUTED_VALUE"""),"Alargador Puerta Interior Izq Daf 183518")</f>
        <v>Alargador Puerta Interior Izq Daf 183518</v>
      </c>
      <c r="C9589" s="380" t="str">
        <f>IFERROR(__xludf.DUMMYFUNCTION("""COMPUTED_VALUE"""),"70005010")</f>
        <v>70005010</v>
      </c>
      <c r="D9589" s="380" t="s">
        <v>767</v>
      </c>
      <c r="E9589" s="380" t="s">
        <v>786</v>
      </c>
      <c r="F9589" s="380" t="s">
        <v>792</v>
      </c>
      <c r="G9589" s="380" t="s">
        <v>1267</v>
      </c>
      <c r="H9589" s="380" t="s">
        <v>771</v>
      </c>
      <c r="I9589" s="380" t="s">
        <v>788</v>
      </c>
      <c r="J9589" s="380" t="s">
        <v>773</v>
      </c>
      <c r="K9589" s="381">
        <v>0.0</v>
      </c>
      <c r="L9589" s="382">
        <v>1.0</v>
      </c>
    </row>
    <row r="9590">
      <c r="A9590" s="380" t="s">
        <v>10464</v>
      </c>
      <c r="B9590" s="380" t="str">
        <f>IFERROR(__xludf.DUMMYFUNCTION("""COMPUTED_VALUE"""),"Bateria 4dtl 1450 Duncan")</f>
        <v>Bateria 4dtl 1450 Duncan</v>
      </c>
      <c r="C9590" s="380" t="str">
        <f>IFERROR(__xludf.DUMMYFUNCTION("""COMPUTED_VALUE"""),"70005011")</f>
        <v>70005011</v>
      </c>
      <c r="D9590" s="380" t="s">
        <v>767</v>
      </c>
      <c r="E9590" s="380" t="s">
        <v>786</v>
      </c>
      <c r="F9590" s="380" t="s">
        <v>998</v>
      </c>
      <c r="G9590" s="380" t="s">
        <v>1267</v>
      </c>
      <c r="H9590" s="380" t="s">
        <v>771</v>
      </c>
      <c r="I9590" s="380" t="s">
        <v>788</v>
      </c>
      <c r="J9590" s="380" t="s">
        <v>773</v>
      </c>
      <c r="K9590" s="381">
        <v>0.0</v>
      </c>
      <c r="L9590" s="382">
        <v>1.0</v>
      </c>
    </row>
    <row r="9591">
      <c r="A9591" s="380" t="s">
        <v>10465</v>
      </c>
      <c r="B9591" s="380" t="str">
        <f>IFERROR(__xludf.DUMMYFUNCTION("""COMPUTED_VALUE"""),"Alargador Puerta Exterior Izq Daf 183516")</f>
        <v>Alargador Puerta Exterior Izq Daf 183516</v>
      </c>
      <c r="C9591" s="380" t="str">
        <f>IFERROR(__xludf.DUMMYFUNCTION("""COMPUTED_VALUE"""),"70005012")</f>
        <v>70005012</v>
      </c>
      <c r="D9591" s="380" t="s">
        <v>767</v>
      </c>
      <c r="E9591" s="380" t="s">
        <v>786</v>
      </c>
      <c r="F9591" s="380" t="s">
        <v>792</v>
      </c>
      <c r="G9591" s="380" t="s">
        <v>1267</v>
      </c>
      <c r="H9591" s="380" t="s">
        <v>771</v>
      </c>
      <c r="I9591" s="380" t="s">
        <v>788</v>
      </c>
      <c r="J9591" s="380" t="s">
        <v>773</v>
      </c>
      <c r="K9591" s="381">
        <v>0.0</v>
      </c>
      <c r="L9591" s="382">
        <v>1.0</v>
      </c>
    </row>
    <row r="9592">
      <c r="A9592" s="380" t="s">
        <v>10466</v>
      </c>
      <c r="B9592" s="380" t="str">
        <f>IFERROR(__xludf.DUMMYFUNCTION("""COMPUTED_VALUE"""),"Horquilla 1ra Y 2da Jac Jhr Jkr R1702554")</f>
        <v>Horquilla 1ra Y 2da Jac Jhr Jkr R1702554</v>
      </c>
      <c r="C9592" s="380" t="str">
        <f>IFERROR(__xludf.DUMMYFUNCTION("""COMPUTED_VALUE"""),"70005013")</f>
        <v>70005013</v>
      </c>
      <c r="D9592" s="380" t="s">
        <v>767</v>
      </c>
      <c r="E9592" s="380" t="s">
        <v>786</v>
      </c>
      <c r="F9592" s="380" t="s">
        <v>928</v>
      </c>
      <c r="G9592" s="380" t="s">
        <v>1267</v>
      </c>
      <c r="H9592" s="380" t="s">
        <v>771</v>
      </c>
      <c r="I9592" s="380" t="s">
        <v>788</v>
      </c>
      <c r="J9592" s="380" t="s">
        <v>773</v>
      </c>
      <c r="K9592" s="381">
        <v>0.0</v>
      </c>
      <c r="L9592" s="382">
        <v>1.0</v>
      </c>
    </row>
    <row r="9593">
      <c r="A9593" s="380" t="s">
        <v>10467</v>
      </c>
      <c r="B9593" s="380" t="str">
        <f>IFERROR(__xludf.DUMMYFUNCTION("""COMPUTED_VALUE"""),"Placa Peldaño Inferior Izq Daf 1945873")</f>
        <v>Placa Peldaño Inferior Izq Daf 1945873</v>
      </c>
      <c r="C9593" s="380" t="str">
        <f>IFERROR(__xludf.DUMMYFUNCTION("""COMPUTED_VALUE"""),"70005014")</f>
        <v>70005014</v>
      </c>
      <c r="D9593" s="380" t="s">
        <v>767</v>
      </c>
      <c r="E9593" s="380" t="s">
        <v>786</v>
      </c>
      <c r="F9593" s="380" t="s">
        <v>792</v>
      </c>
      <c r="G9593" s="380" t="s">
        <v>1267</v>
      </c>
      <c r="H9593" s="380" t="s">
        <v>771</v>
      </c>
      <c r="I9593" s="380" t="s">
        <v>788</v>
      </c>
      <c r="J9593" s="380" t="s">
        <v>773</v>
      </c>
      <c r="K9593" s="381">
        <v>0.0</v>
      </c>
      <c r="L9593" s="382">
        <v>1.0</v>
      </c>
    </row>
    <row r="9594">
      <c r="A9594" s="380" t="s">
        <v>10468</v>
      </c>
      <c r="B9594" s="380" t="str">
        <f>IFERROR(__xludf.DUMMYFUNCTION("""COMPUTED_VALUE"""),"Amortiguador TRAS FT 1065 7705946689984")</f>
        <v>Amortiguador TRAS FT 1065 7705946689984</v>
      </c>
      <c r="C9594" s="380" t="str">
        <f>IFERROR(__xludf.DUMMYFUNCTION("""COMPUTED_VALUE"""),"70005015")</f>
        <v>70005015</v>
      </c>
      <c r="D9594" s="380" t="s">
        <v>767</v>
      </c>
      <c r="E9594" s="380" t="s">
        <v>786</v>
      </c>
      <c r="F9594" s="380" t="s">
        <v>1039</v>
      </c>
      <c r="G9594" s="380" t="s">
        <v>1267</v>
      </c>
      <c r="H9594" s="380" t="s">
        <v>771</v>
      </c>
      <c r="I9594" s="380" t="s">
        <v>788</v>
      </c>
      <c r="J9594" s="380" t="s">
        <v>773</v>
      </c>
      <c r="K9594" s="381">
        <v>0.0</v>
      </c>
      <c r="L9594" s="382">
        <v>1.0</v>
      </c>
    </row>
    <row r="9595">
      <c r="A9595" s="380" t="s">
        <v>10469</v>
      </c>
      <c r="B9595" s="380" t="str">
        <f>IFERROR(__xludf.DUMMYFUNCTION("""COMPUTED_VALUE"""),"Placa De Obturacion Peldaño Izq Daf 1881")</f>
        <v>Placa De Obturacion Peldaño Izq Daf 1881</v>
      </c>
      <c r="C9595" s="380" t="str">
        <f>IFERROR(__xludf.DUMMYFUNCTION("""COMPUTED_VALUE"""),"70005016")</f>
        <v>70005016</v>
      </c>
      <c r="D9595" s="380" t="s">
        <v>767</v>
      </c>
      <c r="E9595" s="380" t="s">
        <v>786</v>
      </c>
      <c r="F9595" s="380" t="s">
        <v>792</v>
      </c>
      <c r="G9595" s="380" t="s">
        <v>1267</v>
      </c>
      <c r="H9595" s="380" t="s">
        <v>771</v>
      </c>
      <c r="I9595" s="380" t="s">
        <v>788</v>
      </c>
      <c r="J9595" s="380" t="s">
        <v>773</v>
      </c>
      <c r="K9595" s="381">
        <v>0.0</v>
      </c>
      <c r="L9595" s="382">
        <v>1.0</v>
      </c>
    </row>
    <row r="9596">
      <c r="A9596" s="380" t="s">
        <v>10470</v>
      </c>
      <c r="B9596" s="380" t="str">
        <f>IFERROR(__xludf.DUMMYFUNCTION("""COMPUTED_VALUE"""),"SENS FILT De COMB FT 1129 7701023110150")</f>
        <v>SENS FILT De COMB FT 1129 7701023110150</v>
      </c>
      <c r="C9596" s="380" t="str">
        <f>IFERROR(__xludf.DUMMYFUNCTION("""COMPUTED_VALUE"""),"70005017")</f>
        <v>70005017</v>
      </c>
      <c r="D9596" s="380" t="s">
        <v>767</v>
      </c>
      <c r="E9596" s="380" t="s">
        <v>786</v>
      </c>
      <c r="F9596" s="380" t="s">
        <v>998</v>
      </c>
      <c r="G9596" s="380" t="s">
        <v>1267</v>
      </c>
      <c r="H9596" s="380" t="s">
        <v>771</v>
      </c>
      <c r="I9596" s="380" t="s">
        <v>788</v>
      </c>
      <c r="J9596" s="380" t="s">
        <v>773</v>
      </c>
      <c r="K9596" s="381">
        <v>0.0</v>
      </c>
      <c r="L9596" s="382">
        <v>1.0</v>
      </c>
    </row>
    <row r="9597">
      <c r="A9597" s="380" t="s">
        <v>10471</v>
      </c>
      <c r="B9597" s="380" t="str">
        <f>IFERROR(__xludf.DUMMYFUNCTION("""COMPUTED_VALUE"""),"Bobina Timon DIR FT 1128 7705946546430")</f>
        <v>Bobina Timon DIR FT 1128 7705946546430</v>
      </c>
      <c r="C9597" s="380" t="str">
        <f>IFERROR(__xludf.DUMMYFUNCTION("""COMPUTED_VALUE"""),"70005018")</f>
        <v>70005018</v>
      </c>
      <c r="D9597" s="380" t="s">
        <v>767</v>
      </c>
      <c r="E9597" s="380" t="s">
        <v>786</v>
      </c>
      <c r="F9597" s="380" t="s">
        <v>998</v>
      </c>
      <c r="G9597" s="380" t="s">
        <v>1267</v>
      </c>
      <c r="H9597" s="380" t="s">
        <v>771</v>
      </c>
      <c r="I9597" s="380" t="s">
        <v>788</v>
      </c>
      <c r="J9597" s="380" t="s">
        <v>773</v>
      </c>
      <c r="K9597" s="381">
        <v>0.0</v>
      </c>
      <c r="L9597" s="382">
        <v>1.0</v>
      </c>
    </row>
    <row r="9598">
      <c r="A9598" s="380" t="s">
        <v>10472</v>
      </c>
      <c r="B9598" s="380" t="str">
        <f>IFERROR(__xludf.DUMMYFUNCTION("""COMPUTED_VALUE"""),"Empaque Montaje Bomba Auxiliar Combustib")</f>
        <v>Empaque Montaje Bomba Auxiliar Combustib</v>
      </c>
      <c r="C9598" s="380" t="str">
        <f>IFERROR(__xludf.DUMMYFUNCTION("""COMPUTED_VALUE"""),"70005019")</f>
        <v>70005019</v>
      </c>
      <c r="D9598" s="380" t="s">
        <v>767</v>
      </c>
      <c r="E9598" s="380" t="s">
        <v>786</v>
      </c>
      <c r="F9598" s="380" t="s">
        <v>787</v>
      </c>
      <c r="G9598" s="380" t="s">
        <v>1267</v>
      </c>
      <c r="H9598" s="380" t="s">
        <v>771</v>
      </c>
      <c r="I9598" s="380" t="s">
        <v>788</v>
      </c>
      <c r="J9598" s="380" t="s">
        <v>773</v>
      </c>
      <c r="K9598" s="381">
        <v>0.0</v>
      </c>
      <c r="L9598" s="382">
        <v>1.0</v>
      </c>
    </row>
    <row r="9599">
      <c r="A9599" s="380" t="s">
        <v>10473</v>
      </c>
      <c r="B9599" s="380" t="str">
        <f>IFERROR(__xludf.DUMMYFUNCTION("""COMPUTED_VALUE"""),"Piñon De 3ra Tren Fijo CJ FT 1129 770594")</f>
        <v>Piñon De 3ra Tren Fijo CJ FT 1129 770594</v>
      </c>
      <c r="C9599" s="380" t="str">
        <f>IFERROR(__xludf.DUMMYFUNCTION("""COMPUTED_VALUE"""),"70005020")</f>
        <v>70005020</v>
      </c>
      <c r="D9599" s="380" t="s">
        <v>767</v>
      </c>
      <c r="E9599" s="380" t="s">
        <v>786</v>
      </c>
      <c r="F9599" s="380" t="s">
        <v>928</v>
      </c>
      <c r="G9599" s="380" t="s">
        <v>1267</v>
      </c>
      <c r="H9599" s="380" t="s">
        <v>771</v>
      </c>
      <c r="I9599" s="380" t="s">
        <v>788</v>
      </c>
      <c r="J9599" s="380" t="s">
        <v>773</v>
      </c>
      <c r="K9599" s="381">
        <v>0.0</v>
      </c>
      <c r="L9599" s="382">
        <v>1.0</v>
      </c>
    </row>
    <row r="9600">
      <c r="A9600" s="380" t="s">
        <v>10474</v>
      </c>
      <c r="B9600" s="380" t="str">
        <f>IFERROR(__xludf.DUMMYFUNCTION("""COMPUTED_VALUE"""),"Tubo Agua Radiador-Culata Inferior Nkr R")</f>
        <v>Tubo Agua Radiador-Culata Inferior Nkr R</v>
      </c>
      <c r="C9600" s="380" t="str">
        <f>IFERROR(__xludf.DUMMYFUNCTION("""COMPUTED_VALUE"""),"70005021")</f>
        <v>70005021</v>
      </c>
      <c r="D9600" s="380" t="s">
        <v>767</v>
      </c>
      <c r="E9600" s="380" t="s">
        <v>786</v>
      </c>
      <c r="F9600" s="380" t="s">
        <v>787</v>
      </c>
      <c r="G9600" s="380" t="s">
        <v>1267</v>
      </c>
      <c r="H9600" s="380" t="s">
        <v>771</v>
      </c>
      <c r="I9600" s="380" t="s">
        <v>788</v>
      </c>
      <c r="J9600" s="380" t="s">
        <v>773</v>
      </c>
      <c r="K9600" s="381">
        <v>0.0</v>
      </c>
      <c r="L9600" s="382">
        <v>1.0</v>
      </c>
    </row>
    <row r="9601">
      <c r="A9601" s="380" t="s">
        <v>10475</v>
      </c>
      <c r="B9601" s="380" t="str">
        <f>IFERROR(__xludf.DUMMYFUNCTION("""COMPUTED_VALUE"""),"Cargador A Bordo 3.3kw Dong Feng 1.0t 11")</f>
        <v>Cargador A Bordo 3.3kw Dong Feng 1.0t 11</v>
      </c>
      <c r="C9601" s="380" t="str">
        <f>IFERROR(__xludf.DUMMYFUNCTION("""COMPUTED_VALUE"""),"70005022")</f>
        <v>70005022</v>
      </c>
      <c r="D9601" s="380" t="s">
        <v>767</v>
      </c>
      <c r="E9601" s="380" t="s">
        <v>786</v>
      </c>
      <c r="F9601" s="380" t="s">
        <v>998</v>
      </c>
      <c r="G9601" s="380" t="s">
        <v>1267</v>
      </c>
      <c r="H9601" s="380" t="s">
        <v>771</v>
      </c>
      <c r="I9601" s="380" t="s">
        <v>788</v>
      </c>
      <c r="J9601" s="380" t="s">
        <v>773</v>
      </c>
      <c r="K9601" s="381">
        <v>0.0</v>
      </c>
      <c r="L9601" s="382">
        <v>1.0</v>
      </c>
    </row>
    <row r="9602">
      <c r="A9602" s="380" t="s">
        <v>10476</v>
      </c>
      <c r="B9602" s="380" t="str">
        <f>IFERROR(__xludf.DUMMYFUNCTION("""COMPUTED_VALUE"""),"Mecanismo Chapa PTA TRAS Carga DFENG 110")</f>
        <v>Mecanismo Chapa PTA TRAS Carga DFENG 110</v>
      </c>
      <c r="C9602" s="380" t="str">
        <f>IFERROR(__xludf.DUMMYFUNCTION("""COMPUTED_VALUE"""),"70005023")</f>
        <v>70005023</v>
      </c>
      <c r="D9602" s="380" t="s">
        <v>767</v>
      </c>
      <c r="E9602" s="380" t="s">
        <v>786</v>
      </c>
      <c r="F9602" s="380" t="s">
        <v>792</v>
      </c>
      <c r="G9602" s="380" t="s">
        <v>1267</v>
      </c>
      <c r="H9602" s="380" t="s">
        <v>771</v>
      </c>
      <c r="I9602" s="380" t="s">
        <v>788</v>
      </c>
      <c r="J9602" s="380" t="s">
        <v>773</v>
      </c>
      <c r="K9602" s="381">
        <v>0.0</v>
      </c>
      <c r="L9602" s="382">
        <v>1.0</v>
      </c>
    </row>
    <row r="9603">
      <c r="A9603" s="380" t="s">
        <v>10477</v>
      </c>
      <c r="B9603" s="380" t="str">
        <f>IFERROR(__xludf.DUMMYFUNCTION("""COMPUTED_VALUE"""),"Mecanismo Cambios CJ FT Bj5 770594601535")</f>
        <v>Mecanismo Cambios CJ FT Bj5 770594601535</v>
      </c>
      <c r="C9603" s="380" t="str">
        <f>IFERROR(__xludf.DUMMYFUNCTION("""COMPUTED_VALUE"""),"70005024")</f>
        <v>70005024</v>
      </c>
      <c r="D9603" s="380" t="s">
        <v>767</v>
      </c>
      <c r="E9603" s="380" t="s">
        <v>786</v>
      </c>
      <c r="F9603" s="380" t="s">
        <v>928</v>
      </c>
      <c r="G9603" s="380" t="s">
        <v>1267</v>
      </c>
      <c r="H9603" s="380" t="s">
        <v>771</v>
      </c>
      <c r="I9603" s="380" t="s">
        <v>788</v>
      </c>
      <c r="J9603" s="380" t="s">
        <v>773</v>
      </c>
      <c r="K9603" s="381">
        <v>200960.0</v>
      </c>
      <c r="L9603" s="382">
        <v>1.0</v>
      </c>
    </row>
    <row r="9604">
      <c r="A9604" s="380" t="s">
        <v>10478</v>
      </c>
      <c r="B9604" s="380" t="str">
        <f>IFERROR(__xludf.DUMMYFUNCTION("""COMPUTED_VALUE"""),"FILT De AIR Cartucho Aspiradora Sorter")</f>
        <v>FILT De AIR Cartucho Aspiradora Sorter</v>
      </c>
      <c r="C9604" s="380" t="str">
        <f>IFERROR(__xludf.DUMMYFUNCTION("""COMPUTED_VALUE"""),"70005025")</f>
        <v>70005025</v>
      </c>
      <c r="D9604" s="380" t="s">
        <v>767</v>
      </c>
      <c r="E9604" s="380" t="s">
        <v>786</v>
      </c>
      <c r="F9604" s="380" t="s">
        <v>5855</v>
      </c>
      <c r="G9604" s="380" t="s">
        <v>1267</v>
      </c>
      <c r="H9604" s="380" t="s">
        <v>771</v>
      </c>
      <c r="I9604" s="380" t="s">
        <v>788</v>
      </c>
      <c r="J9604" s="380" t="s">
        <v>773</v>
      </c>
      <c r="K9604" s="381">
        <v>0.0</v>
      </c>
      <c r="L9604" s="382">
        <v>1.0</v>
      </c>
    </row>
    <row r="9605">
      <c r="A9605" s="380" t="s">
        <v>10479</v>
      </c>
      <c r="B9605" s="380" t="str">
        <f>IFERROR(__xludf.DUMMYFUNCTION("""COMPUTED_VALUE"""),"Tubo ENT De BMB De Agua Nkr Iii 89706363")</f>
        <v>Tubo ENT De BMB De Agua Nkr Iii 89706363</v>
      </c>
      <c r="C9605" s="380" t="str">
        <f>IFERROR(__xludf.DUMMYFUNCTION("""COMPUTED_VALUE"""),"70005026")</f>
        <v>70005026</v>
      </c>
      <c r="D9605" s="380" t="s">
        <v>767</v>
      </c>
      <c r="E9605" s="380" t="s">
        <v>786</v>
      </c>
      <c r="F9605" s="380" t="s">
        <v>787</v>
      </c>
      <c r="G9605" s="380" t="s">
        <v>1267</v>
      </c>
      <c r="H9605" s="380" t="s">
        <v>771</v>
      </c>
      <c r="I9605" s="380" t="s">
        <v>788</v>
      </c>
      <c r="J9605" s="380" t="s">
        <v>773</v>
      </c>
      <c r="K9605" s="381">
        <v>0.0</v>
      </c>
      <c r="L9605" s="382">
        <v>1.0</v>
      </c>
    </row>
    <row r="9606">
      <c r="A9606" s="380" t="s">
        <v>10480</v>
      </c>
      <c r="B9606" s="380" t="str">
        <f>IFERROR(__xludf.DUMMYFUNCTION("""COMPUTED_VALUE"""),"SENS Luz Freno FT 1030 7701023498760")</f>
        <v>SENS Luz Freno FT 1030 7701023498760</v>
      </c>
      <c r="C9606" s="380" t="str">
        <f>IFERROR(__xludf.DUMMYFUNCTION("""COMPUTED_VALUE"""),"70005027")</f>
        <v>70005027</v>
      </c>
      <c r="D9606" s="380" t="s">
        <v>767</v>
      </c>
      <c r="E9606" s="380" t="s">
        <v>786</v>
      </c>
      <c r="F9606" s="380" t="s">
        <v>998</v>
      </c>
      <c r="G9606" s="380" t="s">
        <v>1267</v>
      </c>
      <c r="H9606" s="380" t="s">
        <v>771</v>
      </c>
      <c r="I9606" s="380" t="s">
        <v>788</v>
      </c>
      <c r="J9606" s="380" t="s">
        <v>773</v>
      </c>
      <c r="K9606" s="381">
        <v>0.0</v>
      </c>
      <c r="L9606" s="382">
        <v>1.0</v>
      </c>
    </row>
    <row r="9607">
      <c r="A9607" s="380" t="s">
        <v>10481</v>
      </c>
      <c r="B9607" s="380" t="str">
        <f>IFERROR(__xludf.DUMMYFUNCTION("""COMPUTED_VALUE"""),"Perno SOP TRAS MOT Daf M16x102 1897638")</f>
        <v>Perno SOP TRAS MOT Daf M16x102 1897638</v>
      </c>
      <c r="C9607" s="380" t="str">
        <f>IFERROR(__xludf.DUMMYFUNCTION("""COMPUTED_VALUE"""),"70005028")</f>
        <v>70005028</v>
      </c>
      <c r="D9607" s="380" t="s">
        <v>767</v>
      </c>
      <c r="E9607" s="380" t="s">
        <v>786</v>
      </c>
      <c r="F9607" s="380" t="s">
        <v>787</v>
      </c>
      <c r="G9607" s="380" t="s">
        <v>1267</v>
      </c>
      <c r="H9607" s="380" t="s">
        <v>771</v>
      </c>
      <c r="I9607" s="380" t="s">
        <v>788</v>
      </c>
      <c r="J9607" s="380" t="s">
        <v>773</v>
      </c>
      <c r="K9607" s="381">
        <v>0.0</v>
      </c>
      <c r="L9607" s="382">
        <v>1.0</v>
      </c>
    </row>
    <row r="9608">
      <c r="A9608" s="380" t="s">
        <v>10482</v>
      </c>
      <c r="B9608" s="380" t="str">
        <f>IFERROR(__xludf.DUMMYFUNCTION("""COMPUTED_VALUE"""),"Persiana Frontal FT 1065 7705946585965")</f>
        <v>Persiana Frontal FT 1065 7705946585965</v>
      </c>
      <c r="C9608" s="380" t="str">
        <f>IFERROR(__xludf.DUMMYFUNCTION("""COMPUTED_VALUE"""),"70005029")</f>
        <v>70005029</v>
      </c>
      <c r="D9608" s="380" t="s">
        <v>767</v>
      </c>
      <c r="E9608" s="380" t="s">
        <v>786</v>
      </c>
      <c r="F9608" s="380" t="s">
        <v>792</v>
      </c>
      <c r="G9608" s="380" t="s">
        <v>1267</v>
      </c>
      <c r="H9608" s="380" t="s">
        <v>771</v>
      </c>
      <c r="I9608" s="380" t="s">
        <v>788</v>
      </c>
      <c r="J9608" s="380" t="s">
        <v>773</v>
      </c>
      <c r="K9608" s="381">
        <v>0.0</v>
      </c>
      <c r="L9608" s="382">
        <v>1.0</v>
      </c>
    </row>
    <row r="9609">
      <c r="A9609" s="380" t="s">
        <v>10483</v>
      </c>
      <c r="B9609" s="380" t="str">
        <f>IFERROR(__xludf.DUMMYFUNCTION("""COMPUTED_VALUE"""),"CIL Freno TRAS Izq Con Purga HN Dutropro")</f>
        <v>CIL Freno TRAS Izq Con Purga HN Dutropro</v>
      </c>
      <c r="C9609" s="380" t="str">
        <f>IFERROR(__xludf.DUMMYFUNCTION("""COMPUTED_VALUE"""),"70005030")</f>
        <v>70005030</v>
      </c>
      <c r="D9609" s="380" t="s">
        <v>767</v>
      </c>
      <c r="E9609" s="380" t="s">
        <v>786</v>
      </c>
      <c r="F9609" s="380" t="s">
        <v>1017</v>
      </c>
      <c r="G9609" s="380" t="s">
        <v>1267</v>
      </c>
      <c r="H9609" s="380" t="s">
        <v>771</v>
      </c>
      <c r="I9609" s="380" t="s">
        <v>788</v>
      </c>
      <c r="J9609" s="380" t="s">
        <v>773</v>
      </c>
      <c r="K9609" s="381">
        <v>0.0</v>
      </c>
      <c r="L9609" s="382">
        <v>1.0</v>
      </c>
    </row>
    <row r="9610">
      <c r="A9610" s="380" t="s">
        <v>10484</v>
      </c>
      <c r="B9610" s="380" t="str">
        <f>IFERROR(__xludf.DUMMYFUNCTION("""COMPUTED_VALUE"""),"Evaporador A/C Foton Bj5 7705946193450")</f>
        <v>Evaporador A/C Foton Bj5 7705946193450</v>
      </c>
      <c r="C9610" s="380" t="str">
        <f>IFERROR(__xludf.DUMMYFUNCTION("""COMPUTED_VALUE"""),"70005031")</f>
        <v>70005031</v>
      </c>
      <c r="D9610" s="380" t="s">
        <v>767</v>
      </c>
      <c r="E9610" s="380" t="s">
        <v>786</v>
      </c>
      <c r="F9610" s="380" t="s">
        <v>1031</v>
      </c>
      <c r="G9610" s="380" t="s">
        <v>1267</v>
      </c>
      <c r="H9610" s="380" t="s">
        <v>771</v>
      </c>
      <c r="I9610" s="380" t="s">
        <v>788</v>
      </c>
      <c r="J9610" s="380" t="s">
        <v>773</v>
      </c>
      <c r="K9610" s="381">
        <v>851679.0</v>
      </c>
      <c r="L9610" s="382">
        <v>1.0</v>
      </c>
    </row>
    <row r="9611">
      <c r="A9611" s="380" t="s">
        <v>10485</v>
      </c>
      <c r="B9611" s="380" t="str">
        <f>IFERROR(__xludf.DUMMYFUNCTION("""COMPUTED_VALUE"""),"Terminal De DIR NS Urban D8e203xa0a")</f>
        <v>Terminal De DIR NS Urban D8e203xa0a</v>
      </c>
      <c r="C9611" s="380" t="str">
        <f>IFERROR(__xludf.DUMMYFUNCTION("""COMPUTED_VALUE"""),"70005032")</f>
        <v>70005032</v>
      </c>
      <c r="D9611" s="380" t="s">
        <v>767</v>
      </c>
      <c r="E9611" s="380" t="s">
        <v>786</v>
      </c>
      <c r="F9611" s="380" t="s">
        <v>1020</v>
      </c>
      <c r="G9611" s="380" t="s">
        <v>1267</v>
      </c>
      <c r="H9611" s="380" t="s">
        <v>771</v>
      </c>
      <c r="I9611" s="380" t="s">
        <v>788</v>
      </c>
      <c r="J9611" s="380" t="s">
        <v>773</v>
      </c>
      <c r="K9611" s="381">
        <v>0.0</v>
      </c>
      <c r="L9611" s="382">
        <v>1.0</v>
      </c>
    </row>
    <row r="9612">
      <c r="A9612" s="380" t="s">
        <v>10486</v>
      </c>
      <c r="B9612" s="380" t="str">
        <f>IFERROR(__xludf.DUMMYFUNCTION("""COMPUTED_VALUE"""),"Rodillo Conico Tren Fijo CJ FT 1129 7705")</f>
        <v>Rodillo Conico Tren Fijo CJ FT 1129 7705</v>
      </c>
      <c r="C9612" s="380" t="str">
        <f>IFERROR(__xludf.DUMMYFUNCTION("""COMPUTED_VALUE"""),"70005033")</f>
        <v>70005033</v>
      </c>
      <c r="D9612" s="380" t="s">
        <v>767</v>
      </c>
      <c r="E9612" s="380" t="s">
        <v>786</v>
      </c>
      <c r="F9612" s="380" t="s">
        <v>928</v>
      </c>
      <c r="G9612" s="380" t="s">
        <v>1267</v>
      </c>
      <c r="H9612" s="380" t="s">
        <v>771</v>
      </c>
      <c r="I9612" s="380" t="s">
        <v>788</v>
      </c>
      <c r="J9612" s="380" t="s">
        <v>773</v>
      </c>
      <c r="K9612" s="381">
        <v>0.0</v>
      </c>
      <c r="L9612" s="382">
        <v>1.0</v>
      </c>
    </row>
    <row r="9613">
      <c r="A9613" s="380" t="s">
        <v>10487</v>
      </c>
      <c r="B9613" s="380" t="str">
        <f>IFERROR(__xludf.DUMMYFUNCTION("""COMPUTED_VALUE"""),"Espaciador Rodamientos Bocin Delantero E")</f>
        <v>Espaciador Rodamientos Bocin Delantero E</v>
      </c>
      <c r="C9613" s="380" t="str">
        <f>IFERROR(__xludf.DUMMYFUNCTION("""COMPUTED_VALUE"""),"70005034")</f>
        <v>70005034</v>
      </c>
      <c r="D9613" s="380" t="s">
        <v>767</v>
      </c>
      <c r="E9613" s="380" t="s">
        <v>786</v>
      </c>
      <c r="F9613" s="380" t="s">
        <v>1039</v>
      </c>
      <c r="G9613" s="380" t="s">
        <v>1267</v>
      </c>
      <c r="H9613" s="380" t="s">
        <v>771</v>
      </c>
      <c r="I9613" s="380" t="s">
        <v>788</v>
      </c>
      <c r="J9613" s="380" t="s">
        <v>773</v>
      </c>
      <c r="K9613" s="381">
        <v>0.0</v>
      </c>
      <c r="L9613" s="382">
        <v>1.0</v>
      </c>
    </row>
    <row r="9614">
      <c r="A9614" s="380" t="s">
        <v>10488</v>
      </c>
      <c r="B9614" s="380" t="str">
        <f>IFERROR(__xludf.DUMMYFUNCTION("""COMPUTED_VALUE"""),"Buje DEL MUE FT 1129 7700149084154")</f>
        <v>Buje DEL MUE FT 1129 7700149084154</v>
      </c>
      <c r="C9614" s="380" t="str">
        <f>IFERROR(__xludf.DUMMYFUNCTION("""COMPUTED_VALUE"""),"70005035")</f>
        <v>70005035</v>
      </c>
      <c r="D9614" s="380" t="s">
        <v>767</v>
      </c>
      <c r="E9614" s="380" t="s">
        <v>786</v>
      </c>
      <c r="F9614" s="380" t="s">
        <v>1039</v>
      </c>
      <c r="G9614" s="380" t="s">
        <v>1267</v>
      </c>
      <c r="H9614" s="380" t="s">
        <v>771</v>
      </c>
      <c r="I9614" s="380" t="s">
        <v>788</v>
      </c>
      <c r="J9614" s="380" t="s">
        <v>773</v>
      </c>
      <c r="K9614" s="381">
        <v>0.0</v>
      </c>
      <c r="L9614" s="382">
        <v>1.0</v>
      </c>
    </row>
    <row r="9615">
      <c r="A9615" s="380" t="s">
        <v>10489</v>
      </c>
      <c r="B9615" s="380" t="str">
        <f>IFERROR(__xludf.DUMMYFUNCTION("""COMPUTED_VALUE"""),"MANG Inyector De Urea MCK Anthem 2330005")</f>
        <v>MANG Inyector De Urea MCK Anthem 2330005</v>
      </c>
      <c r="C9615" s="380" t="str">
        <f>IFERROR(__xludf.DUMMYFUNCTION("""COMPUTED_VALUE"""),"70005036")</f>
        <v>70005036</v>
      </c>
      <c r="D9615" s="380" t="s">
        <v>767</v>
      </c>
      <c r="E9615" s="380" t="s">
        <v>786</v>
      </c>
      <c r="F9615" s="380" t="s">
        <v>787</v>
      </c>
      <c r="G9615" s="380" t="s">
        <v>1267</v>
      </c>
      <c r="H9615" s="380" t="s">
        <v>771</v>
      </c>
      <c r="I9615" s="380" t="s">
        <v>788</v>
      </c>
      <c r="J9615" s="380" t="s">
        <v>773</v>
      </c>
      <c r="K9615" s="381">
        <v>0.0</v>
      </c>
      <c r="L9615" s="382">
        <v>1.0</v>
      </c>
    </row>
    <row r="9616">
      <c r="A9616" s="380" t="s">
        <v>10490</v>
      </c>
      <c r="B9616" s="380" t="str">
        <f>IFERROR(__xludf.DUMMYFUNCTION("""COMPUTED_VALUE"""),"Ballesta DEL Completa FT 1129 7701023081")</f>
        <v>Ballesta DEL Completa FT 1129 7701023081</v>
      </c>
      <c r="C9616" s="380" t="str">
        <f>IFERROR(__xludf.DUMMYFUNCTION("""COMPUTED_VALUE"""),"70005037")</f>
        <v>70005037</v>
      </c>
      <c r="D9616" s="380" t="s">
        <v>767</v>
      </c>
      <c r="E9616" s="380" t="s">
        <v>786</v>
      </c>
      <c r="F9616" s="380" t="s">
        <v>1039</v>
      </c>
      <c r="G9616" s="380" t="s">
        <v>1267</v>
      </c>
      <c r="H9616" s="380" t="s">
        <v>771</v>
      </c>
      <c r="I9616" s="380" t="s">
        <v>788</v>
      </c>
      <c r="J9616" s="380" t="s">
        <v>773</v>
      </c>
      <c r="K9616" s="381">
        <v>0.0</v>
      </c>
      <c r="L9616" s="382">
        <v>1.0</v>
      </c>
    </row>
    <row r="9617">
      <c r="A9617" s="380" t="s">
        <v>10491</v>
      </c>
      <c r="B9617" s="380" t="str">
        <f>IFERROR(__xludf.DUMMYFUNCTION("""COMPUTED_VALUE"""),"Tapa Espejo IZQ MCK Anthem 23749785")</f>
        <v>Tapa Espejo IZQ MCK Anthem 23749785</v>
      </c>
      <c r="C9617" s="380" t="str">
        <f>IFERROR(__xludf.DUMMYFUNCTION("""COMPUTED_VALUE"""),"70005038")</f>
        <v>70005038</v>
      </c>
      <c r="D9617" s="380" t="s">
        <v>767</v>
      </c>
      <c r="E9617" s="380" t="s">
        <v>786</v>
      </c>
      <c r="F9617" s="380" t="s">
        <v>792</v>
      </c>
      <c r="G9617" s="380" t="s">
        <v>1267</v>
      </c>
      <c r="H9617" s="380" t="s">
        <v>771</v>
      </c>
      <c r="I9617" s="380" t="s">
        <v>788</v>
      </c>
      <c r="J9617" s="380" t="s">
        <v>773</v>
      </c>
      <c r="K9617" s="381">
        <v>0.0</v>
      </c>
      <c r="L9617" s="382">
        <v>1.0</v>
      </c>
    </row>
    <row r="9618">
      <c r="A9618" s="380" t="s">
        <v>10492</v>
      </c>
      <c r="B9618" s="380" t="str">
        <f>IFERROR(__xludf.DUMMYFUNCTION("""COMPUTED_VALUE"""),"Espejo Retrovisor Montacarga T 58720-233")</f>
        <v>Espejo Retrovisor Montacarga T 58720-233</v>
      </c>
      <c r="C9618" s="380" t="str">
        <f>IFERROR(__xludf.DUMMYFUNCTION("""COMPUTED_VALUE"""),"70005039")</f>
        <v>70005039</v>
      </c>
      <c r="D9618" s="380" t="s">
        <v>767</v>
      </c>
      <c r="E9618" s="380" t="s">
        <v>786</v>
      </c>
      <c r="F9618" s="380" t="s">
        <v>792</v>
      </c>
      <c r="G9618" s="380" t="s">
        <v>1267</v>
      </c>
      <c r="H9618" s="380" t="s">
        <v>771</v>
      </c>
      <c r="I9618" s="380" t="s">
        <v>788</v>
      </c>
      <c r="J9618" s="380" t="s">
        <v>773</v>
      </c>
      <c r="K9618" s="381">
        <v>0.0</v>
      </c>
      <c r="L9618" s="382">
        <v>1.0</v>
      </c>
    </row>
    <row r="9619">
      <c r="A9619" s="380" t="s">
        <v>10493</v>
      </c>
      <c r="B9619" s="380" t="str">
        <f>IFERROR(__xludf.DUMMYFUNCTION("""COMPUTED_VALUE"""),"SENS De TEMP Y Presion Admision INT Lt 2")</f>
        <v>SENS De TEMP Y Presion Admision INT Lt 2</v>
      </c>
      <c r="C9619" s="380" t="str">
        <f>IFERROR(__xludf.DUMMYFUNCTION("""COMPUTED_VALUE"""),"70005040")</f>
        <v>70005040</v>
      </c>
      <c r="D9619" s="380" t="s">
        <v>767</v>
      </c>
      <c r="E9619" s="380" t="s">
        <v>786</v>
      </c>
      <c r="F9619" s="380" t="s">
        <v>998</v>
      </c>
      <c r="G9619" s="380" t="s">
        <v>1267</v>
      </c>
      <c r="H9619" s="380" t="s">
        <v>771</v>
      </c>
      <c r="I9619" s="380" t="s">
        <v>788</v>
      </c>
      <c r="J9619" s="380" t="s">
        <v>773</v>
      </c>
      <c r="K9619" s="381">
        <v>0.0</v>
      </c>
      <c r="L9619" s="382">
        <v>1.0</v>
      </c>
    </row>
    <row r="9620">
      <c r="A9620" s="380" t="s">
        <v>10494</v>
      </c>
      <c r="B9620" s="380" t="str">
        <f>IFERROR(__xludf.DUMMYFUNCTION("""COMPUTED_VALUE"""),"Cavidad Termostato FT Mv5 7705946019576")</f>
        <v>Cavidad Termostato FT Mv5 7705946019576</v>
      </c>
      <c r="C9620" s="380" t="str">
        <f>IFERROR(__xludf.DUMMYFUNCTION("""COMPUTED_VALUE"""),"70005041")</f>
        <v>70005041</v>
      </c>
      <c r="D9620" s="380" t="s">
        <v>767</v>
      </c>
      <c r="E9620" s="380" t="s">
        <v>786</v>
      </c>
      <c r="F9620" s="380" t="s">
        <v>787</v>
      </c>
      <c r="G9620" s="380" t="s">
        <v>1267</v>
      </c>
      <c r="H9620" s="380" t="s">
        <v>771</v>
      </c>
      <c r="I9620" s="380" t="s">
        <v>788</v>
      </c>
      <c r="J9620" s="380" t="s">
        <v>773</v>
      </c>
      <c r="K9620" s="381">
        <v>0.0</v>
      </c>
      <c r="L9620" s="382">
        <v>1.0</v>
      </c>
    </row>
    <row r="9621">
      <c r="A9621" s="380" t="s">
        <v>10495</v>
      </c>
      <c r="B9621" s="380" t="str">
        <f>IFERROR(__xludf.DUMMYFUNCTION("""COMPUTED_VALUE"""),"Pedal Acelerador FT 1065 7705946886994")</f>
        <v>Pedal Acelerador FT 1065 7705946886994</v>
      </c>
      <c r="C9621" s="380" t="str">
        <f>IFERROR(__xludf.DUMMYFUNCTION("""COMPUTED_VALUE"""),"70005042")</f>
        <v>70005042</v>
      </c>
      <c r="D9621" s="380" t="s">
        <v>767</v>
      </c>
      <c r="E9621" s="380" t="s">
        <v>786</v>
      </c>
      <c r="F9621" s="380" t="s">
        <v>998</v>
      </c>
      <c r="G9621" s="380" t="s">
        <v>1267</v>
      </c>
      <c r="H9621" s="380" t="s">
        <v>771</v>
      </c>
      <c r="I9621" s="380" t="s">
        <v>788</v>
      </c>
      <c r="J9621" s="380" t="s">
        <v>773</v>
      </c>
      <c r="K9621" s="381">
        <v>0.0</v>
      </c>
      <c r="L9621" s="382">
        <v>1.0</v>
      </c>
    </row>
    <row r="9622">
      <c r="A9622" s="380" t="s">
        <v>10496</v>
      </c>
      <c r="B9622" s="380" t="str">
        <f>IFERROR(__xludf.DUMMYFUNCTION("""COMPUTED_VALUE"""),"EMP Carcasa Separador Gases Aceite MCK A")</f>
        <v>EMP Carcasa Separador Gases Aceite MCK A</v>
      </c>
      <c r="C9622" s="380" t="str">
        <f>IFERROR(__xludf.DUMMYFUNCTION("""COMPUTED_VALUE"""),"70005043")</f>
        <v>70005043</v>
      </c>
      <c r="D9622" s="380" t="s">
        <v>767</v>
      </c>
      <c r="E9622" s="380" t="s">
        <v>786</v>
      </c>
      <c r="F9622" s="380" t="s">
        <v>787</v>
      </c>
      <c r="G9622" s="380" t="s">
        <v>1267</v>
      </c>
      <c r="H9622" s="380" t="s">
        <v>771</v>
      </c>
      <c r="I9622" s="380" t="s">
        <v>788</v>
      </c>
      <c r="J9622" s="380" t="s">
        <v>773</v>
      </c>
      <c r="K9622" s="381">
        <v>0.0</v>
      </c>
      <c r="L9622" s="382">
        <v>1.0</v>
      </c>
    </row>
    <row r="9623">
      <c r="A9623" s="380" t="s">
        <v>10497</v>
      </c>
      <c r="B9623" s="380" t="str">
        <f>IFERROR(__xludf.DUMMYFUNCTION("""COMPUTED_VALUE"""),"Engranaje De 3a - Eje Corredizo CJ FT 11")</f>
        <v>Engranaje De 3a - Eje Corredizo CJ FT 11</v>
      </c>
      <c r="C9623" s="380" t="str">
        <f>IFERROR(__xludf.DUMMYFUNCTION("""COMPUTED_VALUE"""),"70005044")</f>
        <v>70005044</v>
      </c>
      <c r="D9623" s="380" t="s">
        <v>767</v>
      </c>
      <c r="E9623" s="380" t="s">
        <v>786</v>
      </c>
      <c r="F9623" s="380" t="s">
        <v>928</v>
      </c>
      <c r="G9623" s="380" t="s">
        <v>1267</v>
      </c>
      <c r="H9623" s="380" t="s">
        <v>771</v>
      </c>
      <c r="I9623" s="380" t="s">
        <v>788</v>
      </c>
      <c r="J9623" s="380" t="s">
        <v>773</v>
      </c>
      <c r="K9623" s="381">
        <v>0.0</v>
      </c>
      <c r="L9623" s="382">
        <v>1.0</v>
      </c>
    </row>
    <row r="9624">
      <c r="A9624" s="380" t="s">
        <v>10498</v>
      </c>
      <c r="B9624" s="380" t="str">
        <f>IFERROR(__xludf.DUMMYFUNCTION("""COMPUTED_VALUE"""),"Campana Freno TRAS FT 1065 7705946670982")</f>
        <v>Campana Freno TRAS FT 1065 7705946670982</v>
      </c>
      <c r="C9624" s="380" t="str">
        <f>IFERROR(__xludf.DUMMYFUNCTION("""COMPUTED_VALUE"""),"70005045")</f>
        <v>70005045</v>
      </c>
      <c r="D9624" s="380" t="s">
        <v>767</v>
      </c>
      <c r="E9624" s="380" t="s">
        <v>786</v>
      </c>
      <c r="F9624" s="380" t="s">
        <v>1017</v>
      </c>
      <c r="G9624" s="380" t="s">
        <v>1267</v>
      </c>
      <c r="H9624" s="380" t="s">
        <v>771</v>
      </c>
      <c r="I9624" s="380" t="s">
        <v>788</v>
      </c>
      <c r="J9624" s="380" t="s">
        <v>773</v>
      </c>
      <c r="K9624" s="381">
        <v>235903.0</v>
      </c>
      <c r="L9624" s="382">
        <v>1.0</v>
      </c>
    </row>
    <row r="9625">
      <c r="A9625" s="380" t="s">
        <v>10499</v>
      </c>
      <c r="B9625" s="380" t="str">
        <f>IFERROR(__xludf.DUMMYFUNCTION("""COMPUTED_VALUE"""),"Correa Accesorios Jac Jkr 1042 1025018fe")</f>
        <v>Correa Accesorios Jac Jkr 1042 1025018fe</v>
      </c>
      <c r="C9625" s="380" t="str">
        <f>IFERROR(__xludf.DUMMYFUNCTION("""COMPUTED_VALUE"""),"70005046")</f>
        <v>70005046</v>
      </c>
      <c r="D9625" s="380" t="s">
        <v>767</v>
      </c>
      <c r="E9625" s="380" t="s">
        <v>786</v>
      </c>
      <c r="F9625" s="380" t="s">
        <v>787</v>
      </c>
      <c r="G9625" s="380" t="s">
        <v>1267</v>
      </c>
      <c r="H9625" s="380" t="s">
        <v>771</v>
      </c>
      <c r="I9625" s="380" t="s">
        <v>788</v>
      </c>
      <c r="J9625" s="380" t="s">
        <v>773</v>
      </c>
      <c r="K9625" s="381">
        <v>0.0</v>
      </c>
      <c r="L9625" s="382">
        <v>1.0</v>
      </c>
    </row>
    <row r="9626">
      <c r="A9626" s="380" t="s">
        <v>10500</v>
      </c>
      <c r="B9626" s="380" t="str">
        <f>IFERROR(__xludf.DUMMYFUNCTION("""COMPUTED_VALUE"""),"Tijera Suspension Delantera Der Toyota V")</f>
        <v>Tijera Suspension Delantera Der Toyota V</v>
      </c>
      <c r="C9626" s="380" t="str">
        <f>IFERROR(__xludf.DUMMYFUNCTION("""COMPUTED_VALUE"""),"70005047")</f>
        <v>70005047</v>
      </c>
      <c r="D9626" s="380" t="s">
        <v>767</v>
      </c>
      <c r="E9626" s="380" t="s">
        <v>786</v>
      </c>
      <c r="F9626" s="380" t="s">
        <v>1039</v>
      </c>
      <c r="G9626" s="380" t="s">
        <v>1267</v>
      </c>
      <c r="H9626" s="380" t="s">
        <v>771</v>
      </c>
      <c r="I9626" s="380" t="s">
        <v>788</v>
      </c>
      <c r="J9626" s="380" t="s">
        <v>773</v>
      </c>
      <c r="K9626" s="381">
        <v>0.0</v>
      </c>
      <c r="L9626" s="382">
        <v>1.0</v>
      </c>
    </row>
    <row r="9627">
      <c r="A9627" s="380" t="s">
        <v>10501</v>
      </c>
      <c r="B9627" s="380" t="str">
        <f>IFERROR(__xludf.DUMMYFUNCTION("""COMPUTED_VALUE"""),"Tijera Suspension Delantera Izq Toyota V")</f>
        <v>Tijera Suspension Delantera Izq Toyota V</v>
      </c>
      <c r="C9627" s="380" t="str">
        <f>IFERROR(__xludf.DUMMYFUNCTION("""COMPUTED_VALUE"""),"70005048")</f>
        <v>70005048</v>
      </c>
      <c r="D9627" s="380" t="s">
        <v>767</v>
      </c>
      <c r="E9627" s="380" t="s">
        <v>786</v>
      </c>
      <c r="F9627" s="380" t="s">
        <v>1039</v>
      </c>
      <c r="G9627" s="380" t="s">
        <v>1267</v>
      </c>
      <c r="H9627" s="380" t="s">
        <v>771</v>
      </c>
      <c r="I9627" s="380" t="s">
        <v>788</v>
      </c>
      <c r="J9627" s="380" t="s">
        <v>773</v>
      </c>
      <c r="K9627" s="381">
        <v>0.0</v>
      </c>
      <c r="L9627" s="382">
        <v>1.0</v>
      </c>
    </row>
    <row r="9628">
      <c r="A9628" s="380" t="s">
        <v>10502</v>
      </c>
      <c r="B9628" s="380" t="str">
        <f>IFERROR(__xludf.DUMMYFUNCTION("""COMPUTED_VALUE"""),"Grapa MUE TRAS FT 1128 3/4""X4""X19""")</f>
        <v>Grapa MUE TRAS FT 1128 3/4"X4"X19"</v>
      </c>
      <c r="C9628" s="380" t="str">
        <f>IFERROR(__xludf.DUMMYFUNCTION("""COMPUTED_VALUE"""),"70005049")</f>
        <v>70005049</v>
      </c>
      <c r="D9628" s="380" t="s">
        <v>767</v>
      </c>
      <c r="E9628" s="380" t="s">
        <v>786</v>
      </c>
      <c r="F9628" s="380" t="s">
        <v>1039</v>
      </c>
      <c r="G9628" s="380" t="s">
        <v>1267</v>
      </c>
      <c r="H9628" s="380" t="s">
        <v>771</v>
      </c>
      <c r="I9628" s="380" t="s">
        <v>788</v>
      </c>
      <c r="J9628" s="380" t="s">
        <v>773</v>
      </c>
      <c r="K9628" s="381">
        <v>0.0</v>
      </c>
      <c r="L9628" s="382">
        <v>1.0</v>
      </c>
    </row>
    <row r="9629">
      <c r="A9629" s="380" t="s">
        <v>10503</v>
      </c>
      <c r="B9629" s="380" t="str">
        <f>IFERROR(__xludf.DUMMYFUNCTION("""COMPUTED_VALUE"""),"Bomba Auxiliar De Combustible Planta Ele")</f>
        <v>Bomba Auxiliar De Combustible Planta Ele</v>
      </c>
      <c r="C9629" s="380" t="str">
        <f>IFERROR(__xludf.DUMMYFUNCTION("""COMPUTED_VALUE"""),"70005050")</f>
        <v>70005050</v>
      </c>
      <c r="D9629" s="380" t="s">
        <v>767</v>
      </c>
      <c r="E9629" s="380" t="s">
        <v>786</v>
      </c>
      <c r="F9629" s="380" t="s">
        <v>787</v>
      </c>
      <c r="G9629" s="380" t="s">
        <v>1267</v>
      </c>
      <c r="H9629" s="380" t="s">
        <v>771</v>
      </c>
      <c r="I9629" s="380" t="s">
        <v>788</v>
      </c>
      <c r="J9629" s="380" t="s">
        <v>773</v>
      </c>
      <c r="K9629" s="381">
        <v>0.0</v>
      </c>
      <c r="L9629" s="382">
        <v>1.0</v>
      </c>
    </row>
    <row r="9630">
      <c r="A9630" s="380" t="s">
        <v>10504</v>
      </c>
      <c r="B9630" s="380" t="str">
        <f>IFERROR(__xludf.DUMMYFUNCTION("""COMPUTED_VALUE"""),"FILT COMB Cartucho Nkr Iii Rw -Frr Fg941")</f>
        <v>FILT COMB Cartucho Nkr Iii Rw -Frr Fg941</v>
      </c>
      <c r="C9630" s="380" t="str">
        <f>IFERROR(__xludf.DUMMYFUNCTION("""COMPUTED_VALUE"""),"70005051")</f>
        <v>70005051</v>
      </c>
      <c r="D9630" s="380" t="s">
        <v>767</v>
      </c>
      <c r="E9630" s="380" t="s">
        <v>786</v>
      </c>
      <c r="F9630" s="380" t="s">
        <v>5855</v>
      </c>
      <c r="G9630" s="380" t="s">
        <v>1267</v>
      </c>
      <c r="H9630" s="380" t="s">
        <v>771</v>
      </c>
      <c r="I9630" s="380" t="s">
        <v>788</v>
      </c>
      <c r="J9630" s="380" t="s">
        <v>773</v>
      </c>
      <c r="K9630" s="381">
        <v>56024.0</v>
      </c>
      <c r="L9630" s="382">
        <v>1.0</v>
      </c>
    </row>
    <row r="9631">
      <c r="A9631" s="380" t="s">
        <v>10505</v>
      </c>
      <c r="B9631" s="380" t="str">
        <f>IFERROR(__xludf.DUMMYFUNCTION("""COMPUTED_VALUE"""),"FILT AIR MOT Daf Cf480 Mag961402r Goby")</f>
        <v>FILT AIR MOT Daf Cf480 Mag961402r Goby</v>
      </c>
      <c r="C9631" s="380" t="str">
        <f>IFERROR(__xludf.DUMMYFUNCTION("""COMPUTED_VALUE"""),"70005052")</f>
        <v>70005052</v>
      </c>
      <c r="D9631" s="380" t="s">
        <v>767</v>
      </c>
      <c r="E9631" s="380" t="s">
        <v>786</v>
      </c>
      <c r="F9631" s="380" t="s">
        <v>5855</v>
      </c>
      <c r="G9631" s="380" t="s">
        <v>1267</v>
      </c>
      <c r="H9631" s="380" t="s">
        <v>771</v>
      </c>
      <c r="I9631" s="380" t="s">
        <v>788</v>
      </c>
      <c r="J9631" s="380" t="s">
        <v>773</v>
      </c>
      <c r="K9631" s="381">
        <v>0.0</v>
      </c>
      <c r="L9631" s="382">
        <v>1.0</v>
      </c>
    </row>
    <row r="9632">
      <c r="A9632" s="380" t="s">
        <v>10506</v>
      </c>
      <c r="B9632" s="380" t="str">
        <f>IFERROR(__xludf.DUMMYFUNCTION("""COMPUTED_VALUE"""),"FILT COMB Full Pro MCK Fg941378 Goby")</f>
        <v>FILT COMB Full Pro MCK Fg941378 Goby</v>
      </c>
      <c r="C9632" s="380" t="str">
        <f>IFERROR(__xludf.DUMMYFUNCTION("""COMPUTED_VALUE"""),"70005053")</f>
        <v>70005053</v>
      </c>
      <c r="D9632" s="380" t="s">
        <v>767</v>
      </c>
      <c r="E9632" s="380" t="s">
        <v>786</v>
      </c>
      <c r="F9632" s="380" t="s">
        <v>5855</v>
      </c>
      <c r="G9632" s="380" t="s">
        <v>1267</v>
      </c>
      <c r="H9632" s="380" t="s">
        <v>771</v>
      </c>
      <c r="I9632" s="380" t="s">
        <v>788</v>
      </c>
      <c r="J9632" s="380" t="s">
        <v>773</v>
      </c>
      <c r="K9632" s="381">
        <v>63490.0</v>
      </c>
      <c r="L9632" s="382">
        <v>1.0</v>
      </c>
    </row>
    <row r="9633">
      <c r="A9633" s="380" t="s">
        <v>10507</v>
      </c>
      <c r="B9633" s="380" t="str">
        <f>IFERROR(__xludf.DUMMYFUNCTION("""COMPUTED_VALUE"""),"FILT Aceite Planta ELEC Manizales B7451")</f>
        <v>FILT Aceite Planta ELEC Manizales B7451</v>
      </c>
      <c r="C9633" s="380" t="str">
        <f>IFERROR(__xludf.DUMMYFUNCTION("""COMPUTED_VALUE"""),"70005054")</f>
        <v>70005054</v>
      </c>
      <c r="D9633" s="380" t="s">
        <v>767</v>
      </c>
      <c r="E9633" s="380" t="s">
        <v>786</v>
      </c>
      <c r="F9633" s="380" t="s">
        <v>5855</v>
      </c>
      <c r="G9633" s="380" t="s">
        <v>1267</v>
      </c>
      <c r="H9633" s="380" t="s">
        <v>771</v>
      </c>
      <c r="I9633" s="380" t="s">
        <v>788</v>
      </c>
      <c r="J9633" s="380" t="s">
        <v>773</v>
      </c>
      <c r="K9633" s="381">
        <v>0.0</v>
      </c>
      <c r="L9633" s="382">
        <v>1.0</v>
      </c>
    </row>
    <row r="9634">
      <c r="A9634" s="380" t="s">
        <v>10508</v>
      </c>
      <c r="B9634" s="380" t="str">
        <f>IFERROR(__xludf.DUMMYFUNCTION("""COMPUTED_VALUE"""),"FILT Aceite Planta ELEC B7172 Monteria B")</f>
        <v>FILT Aceite Planta ELEC B7172 Monteria B</v>
      </c>
      <c r="C9634" s="380" t="str">
        <f>IFERROR(__xludf.DUMMYFUNCTION("""COMPUTED_VALUE"""),"70005055")</f>
        <v>70005055</v>
      </c>
      <c r="D9634" s="380" t="s">
        <v>767</v>
      </c>
      <c r="E9634" s="380" t="s">
        <v>786</v>
      </c>
      <c r="F9634" s="380" t="s">
        <v>5855</v>
      </c>
      <c r="G9634" s="380" t="s">
        <v>1267</v>
      </c>
      <c r="H9634" s="380" t="s">
        <v>771</v>
      </c>
      <c r="I9634" s="380" t="s">
        <v>788</v>
      </c>
      <c r="J9634" s="380" t="s">
        <v>773</v>
      </c>
      <c r="K9634" s="381">
        <v>0.0</v>
      </c>
      <c r="L9634" s="382">
        <v>1.0</v>
      </c>
    </row>
    <row r="9635">
      <c r="A9635" s="380" t="s">
        <v>10509</v>
      </c>
      <c r="B9635" s="380" t="str">
        <f>IFERROR(__xludf.DUMMYFUNCTION("""COMPUTED_VALUE"""),"FILT Elemento Sedimentador Ftr-Frr Fg941")</f>
        <v>FILT Elemento Sedimentador Ftr-Frr Fg941</v>
      </c>
      <c r="C9635" s="380" t="str">
        <f>IFERROR(__xludf.DUMMYFUNCTION("""COMPUTED_VALUE"""),"70005056")</f>
        <v>70005056</v>
      </c>
      <c r="D9635" s="380" t="s">
        <v>767</v>
      </c>
      <c r="E9635" s="380" t="s">
        <v>786</v>
      </c>
      <c r="F9635" s="380" t="s">
        <v>5855</v>
      </c>
      <c r="G9635" s="380" t="s">
        <v>1267</v>
      </c>
      <c r="H9635" s="380" t="s">
        <v>771</v>
      </c>
      <c r="I9635" s="380" t="s">
        <v>788</v>
      </c>
      <c r="J9635" s="380" t="s">
        <v>773</v>
      </c>
      <c r="K9635" s="381">
        <v>55836.0</v>
      </c>
      <c r="L9635" s="382">
        <v>1.0</v>
      </c>
    </row>
    <row r="9636">
      <c r="A9636" s="380" t="s">
        <v>10510</v>
      </c>
      <c r="B9636" s="380" t="str">
        <f>IFERROR(__xludf.DUMMYFUNCTION("""COMPUTED_VALUE"""),"Rotula Suspension Superior Toyota Vxa 43")</f>
        <v>Rotula Suspension Superior Toyota Vxa 43</v>
      </c>
      <c r="C9636" s="380" t="str">
        <f>IFERROR(__xludf.DUMMYFUNCTION("""COMPUTED_VALUE"""),"70005057")</f>
        <v>70005057</v>
      </c>
      <c r="D9636" s="380" t="s">
        <v>767</v>
      </c>
      <c r="E9636" s="380" t="s">
        <v>786</v>
      </c>
      <c r="F9636" s="380" t="s">
        <v>1039</v>
      </c>
      <c r="G9636" s="380" t="s">
        <v>1267</v>
      </c>
      <c r="H9636" s="380" t="s">
        <v>771</v>
      </c>
      <c r="I9636" s="380" t="s">
        <v>788</v>
      </c>
      <c r="J9636" s="380" t="s">
        <v>773</v>
      </c>
      <c r="K9636" s="381">
        <v>0.0</v>
      </c>
      <c r="L9636" s="382">
        <v>1.0</v>
      </c>
    </row>
    <row r="9637">
      <c r="A9637" s="380" t="s">
        <v>10511</v>
      </c>
      <c r="B9637" s="380" t="str">
        <f>IFERROR(__xludf.DUMMYFUNCTION("""COMPUTED_VALUE"""),"Resorte PTA Cortina Fabricado IZQ Camion")</f>
        <v>Resorte PTA Cortina Fabricado IZQ Camion</v>
      </c>
      <c r="C9637" s="380" t="str">
        <f>IFERROR(__xludf.DUMMYFUNCTION("""COMPUTED_VALUE"""),"70005058")</f>
        <v>70005058</v>
      </c>
      <c r="D9637" s="380" t="s">
        <v>767</v>
      </c>
      <c r="E9637" s="380" t="s">
        <v>786</v>
      </c>
      <c r="F9637" s="380" t="s">
        <v>792</v>
      </c>
      <c r="G9637" s="380" t="s">
        <v>1267</v>
      </c>
      <c r="H9637" s="380" t="s">
        <v>771</v>
      </c>
      <c r="I9637" s="380" t="s">
        <v>788</v>
      </c>
      <c r="J9637" s="380" t="s">
        <v>773</v>
      </c>
      <c r="K9637" s="381">
        <v>0.0</v>
      </c>
      <c r="L9637" s="382">
        <v>1.0</v>
      </c>
    </row>
    <row r="9638">
      <c r="A9638" s="380" t="s">
        <v>10512</v>
      </c>
      <c r="B9638" s="380" t="str">
        <f>IFERROR(__xludf.DUMMYFUNCTION("""COMPUTED_VALUE"""),"Resorte PTA Cortina Fabricado DER Camion")</f>
        <v>Resorte PTA Cortina Fabricado DER Camion</v>
      </c>
      <c r="C9638" s="380" t="str">
        <f>IFERROR(__xludf.DUMMYFUNCTION("""COMPUTED_VALUE"""),"70005059")</f>
        <v>70005059</v>
      </c>
      <c r="D9638" s="380" t="s">
        <v>767</v>
      </c>
      <c r="E9638" s="380" t="s">
        <v>786</v>
      </c>
      <c r="F9638" s="380" t="s">
        <v>792</v>
      </c>
      <c r="G9638" s="380" t="s">
        <v>1267</v>
      </c>
      <c r="H9638" s="380" t="s">
        <v>771</v>
      </c>
      <c r="I9638" s="380" t="s">
        <v>788</v>
      </c>
      <c r="J9638" s="380" t="s">
        <v>773</v>
      </c>
      <c r="K9638" s="381">
        <v>0.0</v>
      </c>
      <c r="L9638" s="382">
        <v>1.0</v>
      </c>
    </row>
    <row r="9639">
      <c r="A9639" s="380" t="s">
        <v>10513</v>
      </c>
      <c r="B9639" s="380" t="str">
        <f>IFERROR(__xludf.DUMMYFUNCTION("""COMPUTED_VALUE"""),"Cortavientos CAB FT 1129 7705946175623")</f>
        <v>Cortavientos CAB FT 1129 7705946175623</v>
      </c>
      <c r="C9639" s="380" t="str">
        <f>IFERROR(__xludf.DUMMYFUNCTION("""COMPUTED_VALUE"""),"70005060")</f>
        <v>70005060</v>
      </c>
      <c r="D9639" s="380" t="s">
        <v>767</v>
      </c>
      <c r="E9639" s="380" t="s">
        <v>786</v>
      </c>
      <c r="F9639" s="380" t="s">
        <v>792</v>
      </c>
      <c r="G9639" s="380" t="s">
        <v>1267</v>
      </c>
      <c r="H9639" s="380" t="s">
        <v>771</v>
      </c>
      <c r="I9639" s="380" t="s">
        <v>788</v>
      </c>
      <c r="J9639" s="380" t="s">
        <v>773</v>
      </c>
      <c r="K9639" s="381">
        <v>0.0</v>
      </c>
      <c r="L9639" s="382">
        <v>1.0</v>
      </c>
    </row>
    <row r="9640">
      <c r="A9640" s="380" t="s">
        <v>10514</v>
      </c>
      <c r="B9640" s="380" t="str">
        <f>IFERROR(__xludf.DUMMYFUNCTION("""COMPUTED_VALUE"""),"Silla COND HY Porter H100 REP")</f>
        <v>Silla COND HY Porter H100 REP</v>
      </c>
      <c r="C9640" s="380" t="str">
        <f>IFERROR(__xludf.DUMMYFUNCTION("""COMPUTED_VALUE"""),"70005061")</f>
        <v>70005061</v>
      </c>
      <c r="D9640" s="380" t="s">
        <v>767</v>
      </c>
      <c r="E9640" s="380" t="s">
        <v>786</v>
      </c>
      <c r="F9640" s="380" t="s">
        <v>792</v>
      </c>
      <c r="G9640" s="380" t="s">
        <v>1267</v>
      </c>
      <c r="H9640" s="380" t="s">
        <v>771</v>
      </c>
      <c r="I9640" s="380" t="s">
        <v>788</v>
      </c>
      <c r="J9640" s="380" t="s">
        <v>773</v>
      </c>
      <c r="K9640" s="381">
        <v>0.0</v>
      </c>
      <c r="L9640" s="382">
        <v>1.0</v>
      </c>
    </row>
    <row r="9641">
      <c r="A9641" s="380" t="s">
        <v>10515</v>
      </c>
      <c r="B9641" s="380" t="str">
        <f>IFERROR(__xludf.DUMMYFUNCTION("""COMPUTED_VALUE"""),"Silla AUX HY Porter H100 REP")</f>
        <v>Silla AUX HY Porter H100 REP</v>
      </c>
      <c r="C9641" s="380" t="str">
        <f>IFERROR(__xludf.DUMMYFUNCTION("""COMPUTED_VALUE"""),"70005062")</f>
        <v>70005062</v>
      </c>
      <c r="D9641" s="380" t="s">
        <v>767</v>
      </c>
      <c r="E9641" s="380" t="s">
        <v>786</v>
      </c>
      <c r="F9641" s="380" t="s">
        <v>792</v>
      </c>
      <c r="G9641" s="380" t="s">
        <v>1267</v>
      </c>
      <c r="H9641" s="380" t="s">
        <v>771</v>
      </c>
      <c r="I9641" s="380" t="s">
        <v>788</v>
      </c>
      <c r="J9641" s="380" t="s">
        <v>773</v>
      </c>
      <c r="K9641" s="381">
        <v>0.0</v>
      </c>
      <c r="L9641" s="382">
        <v>1.0</v>
      </c>
    </row>
    <row r="9642">
      <c r="A9642" s="380" t="s">
        <v>10516</v>
      </c>
      <c r="B9642" s="380" t="str">
        <f>IFERROR(__xludf.DUMMYFUNCTION("""COMPUTED_VALUE"""),"Modulo CTRL PTA COND KW T660 Q21-1050")</f>
        <v>Modulo CTRL PTA COND KW T660 Q21-1050</v>
      </c>
      <c r="C9642" s="380" t="str">
        <f>IFERROR(__xludf.DUMMYFUNCTION("""COMPUTED_VALUE"""),"70005063")</f>
        <v>70005063</v>
      </c>
      <c r="D9642" s="380" t="s">
        <v>767</v>
      </c>
      <c r="E9642" s="380" t="s">
        <v>786</v>
      </c>
      <c r="F9642" s="380" t="s">
        <v>998</v>
      </c>
      <c r="G9642" s="380" t="s">
        <v>1267</v>
      </c>
      <c r="H9642" s="380" t="s">
        <v>771</v>
      </c>
      <c r="I9642" s="380" t="s">
        <v>788</v>
      </c>
      <c r="J9642" s="380" t="s">
        <v>773</v>
      </c>
      <c r="K9642" s="381">
        <v>1190000.0</v>
      </c>
      <c r="L9642" s="382">
        <v>1.0</v>
      </c>
    </row>
    <row r="9643">
      <c r="A9643" s="380" t="s">
        <v>10517</v>
      </c>
      <c r="B9643" s="380" t="str">
        <f>IFERROR(__xludf.DUMMYFUNCTION("""COMPUTED_VALUE"""),"Chapa PTA IZQ HN Dutropro 69320-37060")</f>
        <v>Chapa PTA IZQ HN Dutropro 69320-37060</v>
      </c>
      <c r="C9643" s="380" t="str">
        <f>IFERROR(__xludf.DUMMYFUNCTION("""COMPUTED_VALUE"""),"70005064")</f>
        <v>70005064</v>
      </c>
      <c r="D9643" s="380" t="s">
        <v>767</v>
      </c>
      <c r="E9643" s="380" t="s">
        <v>786</v>
      </c>
      <c r="F9643" s="380" t="s">
        <v>792</v>
      </c>
      <c r="G9643" s="380" t="s">
        <v>1267</v>
      </c>
      <c r="H9643" s="380" t="s">
        <v>771</v>
      </c>
      <c r="I9643" s="380" t="s">
        <v>788</v>
      </c>
      <c r="J9643" s="380" t="s">
        <v>773</v>
      </c>
      <c r="K9643" s="381">
        <v>0.0</v>
      </c>
      <c r="L9643" s="382">
        <v>1.0</v>
      </c>
    </row>
    <row r="9644">
      <c r="A9644" s="380" t="s">
        <v>10518</v>
      </c>
      <c r="B9644" s="380" t="str">
        <f>IFERROR(__xludf.DUMMYFUNCTION("""COMPUTED_VALUE"""),"Mecanismo Seguro Y Elevavidrio PTA Izq M")</f>
        <v>Mecanismo Seguro Y Elevavidrio PTA Izq M</v>
      </c>
      <c r="C9644" s="380" t="str">
        <f>IFERROR(__xludf.DUMMYFUNCTION("""COMPUTED_VALUE"""),"70005065")</f>
        <v>70005065</v>
      </c>
      <c r="D9644" s="380" t="s">
        <v>767</v>
      </c>
      <c r="E9644" s="380" t="s">
        <v>786</v>
      </c>
      <c r="F9644" s="380" t="s">
        <v>792</v>
      </c>
      <c r="G9644" s="380" t="s">
        <v>1267</v>
      </c>
      <c r="H9644" s="380" t="s">
        <v>771</v>
      </c>
      <c r="I9644" s="380" t="s">
        <v>788</v>
      </c>
      <c r="J9644" s="380" t="s">
        <v>773</v>
      </c>
      <c r="K9644" s="381">
        <v>1882402.0</v>
      </c>
      <c r="L9644" s="382">
        <v>1.0</v>
      </c>
    </row>
    <row r="9645">
      <c r="A9645" s="380" t="s">
        <v>10519</v>
      </c>
      <c r="B9645" s="380" t="str">
        <f>IFERROR(__xludf.DUMMYFUNCTION("""COMPUTED_VALUE"""),"Parabrisas Laminado Dongfeng Modelo 2020")</f>
        <v>Parabrisas Laminado Dongfeng Modelo 2020</v>
      </c>
      <c r="C9645" s="380" t="str">
        <f>IFERROR(__xludf.DUMMYFUNCTION("""COMPUTED_VALUE"""),"70005066")</f>
        <v>70005066</v>
      </c>
      <c r="D9645" s="380" t="s">
        <v>767</v>
      </c>
      <c r="E9645" s="380" t="s">
        <v>786</v>
      </c>
      <c r="F9645" s="380" t="s">
        <v>792</v>
      </c>
      <c r="G9645" s="380" t="s">
        <v>1267</v>
      </c>
      <c r="H9645" s="380" t="s">
        <v>771</v>
      </c>
      <c r="I9645" s="380" t="s">
        <v>788</v>
      </c>
      <c r="J9645" s="380" t="s">
        <v>773</v>
      </c>
      <c r="K9645" s="381">
        <v>0.0</v>
      </c>
      <c r="L9645" s="382">
        <v>1.0</v>
      </c>
    </row>
    <row r="9646">
      <c r="A9646" s="380" t="s">
        <v>10520</v>
      </c>
      <c r="B9646" s="380" t="str">
        <f>IFERROR(__xludf.DUMMYFUNCTION("""COMPUTED_VALUE"""),"Tapacubo Delantero Nhr Reward 8983312421")</f>
        <v>Tapacubo Delantero Nhr Reward 8983312421</v>
      </c>
      <c r="C9646" s="380" t="str">
        <f>IFERROR(__xludf.DUMMYFUNCTION("""COMPUTED_VALUE"""),"70005067")</f>
        <v>70005067</v>
      </c>
      <c r="D9646" s="380" t="s">
        <v>767</v>
      </c>
      <c r="E9646" s="380" t="s">
        <v>786</v>
      </c>
      <c r="F9646" s="380" t="s">
        <v>1039</v>
      </c>
      <c r="G9646" s="380" t="s">
        <v>1267</v>
      </c>
      <c r="H9646" s="380" t="s">
        <v>771</v>
      </c>
      <c r="I9646" s="380" t="s">
        <v>788</v>
      </c>
      <c r="J9646" s="380" t="s">
        <v>773</v>
      </c>
      <c r="K9646" s="381">
        <v>0.0</v>
      </c>
      <c r="L9646" s="382">
        <v>1.0</v>
      </c>
    </row>
    <row r="9647">
      <c r="A9647" s="380" t="s">
        <v>10521</v>
      </c>
      <c r="B9647" s="380" t="str">
        <f>IFERROR(__xludf.DUMMYFUNCTION("""COMPUTED_VALUE"""),"Rejilla CTRL Sobrellenado TANQ COMB Gene")</f>
        <v>Rejilla CTRL Sobrellenado TANQ COMB Gene</v>
      </c>
      <c r="C9647" s="380" t="str">
        <f>IFERROR(__xludf.DUMMYFUNCTION("""COMPUTED_VALUE"""),"70005068")</f>
        <v>70005068</v>
      </c>
      <c r="D9647" s="380" t="s">
        <v>767</v>
      </c>
      <c r="E9647" s="380" t="s">
        <v>786</v>
      </c>
      <c r="F9647" s="380" t="s">
        <v>792</v>
      </c>
      <c r="G9647" s="380" t="s">
        <v>1267</v>
      </c>
      <c r="H9647" s="380" t="s">
        <v>771</v>
      </c>
      <c r="I9647" s="380" t="s">
        <v>788</v>
      </c>
      <c r="J9647" s="380" t="s">
        <v>773</v>
      </c>
      <c r="K9647" s="381">
        <v>0.0</v>
      </c>
      <c r="L9647" s="382">
        <v>1.0</v>
      </c>
    </row>
    <row r="9648">
      <c r="A9648" s="380" t="s">
        <v>10522</v>
      </c>
      <c r="B9648" s="380" t="str">
        <f>IFERROR(__xludf.DUMMYFUNCTION("""COMPUTED_VALUE"""),"EMP Parabrisas Laminado DFENG Mod 2020")</f>
        <v>EMP Parabrisas Laminado DFENG Mod 2020</v>
      </c>
      <c r="C9648" s="380" t="str">
        <f>IFERROR(__xludf.DUMMYFUNCTION("""COMPUTED_VALUE"""),"70005069")</f>
        <v>70005069</v>
      </c>
      <c r="D9648" s="380" t="s">
        <v>767</v>
      </c>
      <c r="E9648" s="380" t="s">
        <v>786</v>
      </c>
      <c r="F9648" s="380" t="s">
        <v>792</v>
      </c>
      <c r="G9648" s="380" t="s">
        <v>1267</v>
      </c>
      <c r="H9648" s="380" t="s">
        <v>771</v>
      </c>
      <c r="I9648" s="380" t="s">
        <v>788</v>
      </c>
      <c r="J9648" s="380" t="s">
        <v>773</v>
      </c>
      <c r="K9648" s="381">
        <v>0.0</v>
      </c>
      <c r="L9648" s="382">
        <v>1.0</v>
      </c>
    </row>
    <row r="9649">
      <c r="A9649" s="380" t="s">
        <v>10523</v>
      </c>
      <c r="B9649" s="380" t="str">
        <f>IFERROR(__xludf.DUMMYFUNCTION("""COMPUTED_VALUE"""),"Arnes ELEC DEP Adblue Daf 2038408")</f>
        <v>Arnes ELEC DEP Adblue Daf 2038408</v>
      </c>
      <c r="C9649" s="380" t="str">
        <f>IFERROR(__xludf.DUMMYFUNCTION("""COMPUTED_VALUE"""),"70005070")</f>
        <v>70005070</v>
      </c>
      <c r="D9649" s="380" t="s">
        <v>767</v>
      </c>
      <c r="E9649" s="380" t="s">
        <v>786</v>
      </c>
      <c r="F9649" s="380" t="s">
        <v>998</v>
      </c>
      <c r="G9649" s="380" t="s">
        <v>1267</v>
      </c>
      <c r="H9649" s="380" t="s">
        <v>771</v>
      </c>
      <c r="I9649" s="380" t="s">
        <v>788</v>
      </c>
      <c r="J9649" s="380" t="s">
        <v>773</v>
      </c>
      <c r="K9649" s="381">
        <v>0.0</v>
      </c>
      <c r="L9649" s="382">
        <v>1.0</v>
      </c>
    </row>
    <row r="9650">
      <c r="A9650" s="380" t="s">
        <v>10524</v>
      </c>
      <c r="B9650" s="380" t="str">
        <f>IFERROR(__xludf.DUMMYFUNCTION("""COMPUTED_VALUE"""),"Retenedor Ciguenal Trasero Chev. Nkr Sin")</f>
        <v>Retenedor Ciguenal Trasero Chev. Nkr Sin</v>
      </c>
      <c r="C9650" s="380" t="str">
        <f>IFERROR(__xludf.DUMMYFUNCTION("""COMPUTED_VALUE"""),"70005071")</f>
        <v>70005071</v>
      </c>
      <c r="D9650" s="380" t="s">
        <v>767</v>
      </c>
      <c r="E9650" s="380" t="s">
        <v>786</v>
      </c>
      <c r="F9650" s="380" t="s">
        <v>787</v>
      </c>
      <c r="G9650" s="380" t="s">
        <v>1267</v>
      </c>
      <c r="H9650" s="380" t="s">
        <v>771</v>
      </c>
      <c r="I9650" s="380" t="s">
        <v>788</v>
      </c>
      <c r="J9650" s="380" t="s">
        <v>773</v>
      </c>
      <c r="K9650" s="381">
        <v>0.0</v>
      </c>
      <c r="L9650" s="382">
        <v>1.0</v>
      </c>
    </row>
    <row r="9651">
      <c r="A9651" s="380" t="s">
        <v>10525</v>
      </c>
      <c r="B9651" s="380" t="str">
        <f>IFERROR(__xludf.DUMMYFUNCTION("""COMPUTED_VALUE"""),"Terminal De DIR IZQ HN 300 4504737042")</f>
        <v>Terminal De DIR IZQ HN 300 4504737042</v>
      </c>
      <c r="C9651" s="380" t="str">
        <f>IFERROR(__xludf.DUMMYFUNCTION("""COMPUTED_VALUE"""),"70005072")</f>
        <v>70005072</v>
      </c>
      <c r="D9651" s="380" t="s">
        <v>767</v>
      </c>
      <c r="E9651" s="380" t="s">
        <v>786</v>
      </c>
      <c r="F9651" s="380" t="s">
        <v>1020</v>
      </c>
      <c r="G9651" s="380" t="s">
        <v>1267</v>
      </c>
      <c r="H9651" s="380" t="s">
        <v>771</v>
      </c>
      <c r="I9651" s="380" t="s">
        <v>788</v>
      </c>
      <c r="J9651" s="380" t="s">
        <v>773</v>
      </c>
      <c r="K9651" s="381">
        <v>0.0</v>
      </c>
      <c r="L9651" s="382">
        <v>1.0</v>
      </c>
    </row>
    <row r="9652">
      <c r="A9652" s="380" t="s">
        <v>10526</v>
      </c>
      <c r="B9652" s="380" t="str">
        <f>IFERROR(__xludf.DUMMYFUNCTION("""COMPUTED_VALUE"""),"Terminal De DIR DER HN 300 4504637042")</f>
        <v>Terminal De DIR DER HN 300 4504637042</v>
      </c>
      <c r="C9652" s="380" t="str">
        <f>IFERROR(__xludf.DUMMYFUNCTION("""COMPUTED_VALUE"""),"70005073")</f>
        <v>70005073</v>
      </c>
      <c r="D9652" s="380" t="s">
        <v>767</v>
      </c>
      <c r="E9652" s="380" t="s">
        <v>786</v>
      </c>
      <c r="F9652" s="380" t="s">
        <v>1020</v>
      </c>
      <c r="G9652" s="380" t="s">
        <v>1267</v>
      </c>
      <c r="H9652" s="380" t="s">
        <v>771</v>
      </c>
      <c r="I9652" s="380" t="s">
        <v>788</v>
      </c>
      <c r="J9652" s="380" t="s">
        <v>773</v>
      </c>
      <c r="K9652" s="381">
        <v>0.0</v>
      </c>
      <c r="L9652" s="382">
        <v>1.0</v>
      </c>
    </row>
    <row r="9653">
      <c r="A9653" s="380" t="s">
        <v>10527</v>
      </c>
      <c r="B9653" s="380" t="str">
        <f>IFERROR(__xludf.DUMMYFUNCTION("""COMPUTED_VALUE"""),"Espejo Retrovisor DER DFENG Modelo 2020")</f>
        <v>Espejo Retrovisor DER DFENG Modelo 2020</v>
      </c>
      <c r="C9653" s="380" t="str">
        <f>IFERROR(__xludf.DUMMYFUNCTION("""COMPUTED_VALUE"""),"70005074")</f>
        <v>70005074</v>
      </c>
      <c r="D9653" s="380" t="s">
        <v>767</v>
      </c>
      <c r="E9653" s="380" t="s">
        <v>786</v>
      </c>
      <c r="F9653" s="380" t="s">
        <v>792</v>
      </c>
      <c r="G9653" s="380" t="s">
        <v>1267</v>
      </c>
      <c r="H9653" s="380" t="s">
        <v>771</v>
      </c>
      <c r="I9653" s="380" t="s">
        <v>788</v>
      </c>
      <c r="J9653" s="380" t="s">
        <v>773</v>
      </c>
      <c r="K9653" s="381">
        <v>0.0</v>
      </c>
      <c r="L9653" s="382">
        <v>1.0</v>
      </c>
    </row>
    <row r="9654">
      <c r="A9654" s="380" t="s">
        <v>10528</v>
      </c>
      <c r="B9654" s="380" t="str">
        <f>IFERROR(__xludf.DUMMYFUNCTION("""COMPUTED_VALUE"""),"Manija Ext PTA DEL Izq DFENG Modelo 2020")</f>
        <v>Manija Ext PTA DEL Izq DFENG Modelo 2020</v>
      </c>
      <c r="C9654" s="380" t="str">
        <f>IFERROR(__xludf.DUMMYFUNCTION("""COMPUTED_VALUE"""),"70005075")</f>
        <v>70005075</v>
      </c>
      <c r="D9654" s="380" t="s">
        <v>767</v>
      </c>
      <c r="E9654" s="380" t="s">
        <v>786</v>
      </c>
      <c r="F9654" s="380" t="s">
        <v>792</v>
      </c>
      <c r="G9654" s="380" t="s">
        <v>1267</v>
      </c>
      <c r="H9654" s="380" t="s">
        <v>771</v>
      </c>
      <c r="I9654" s="380" t="s">
        <v>788</v>
      </c>
      <c r="J9654" s="380" t="s">
        <v>773</v>
      </c>
      <c r="K9654" s="381">
        <v>0.0</v>
      </c>
      <c r="L9654" s="382">
        <v>1.0</v>
      </c>
    </row>
    <row r="9655">
      <c r="A9655" s="380" t="s">
        <v>10529</v>
      </c>
      <c r="B9655" s="380" t="str">
        <f>IFERROR(__xludf.DUMMYFUNCTION("""COMPUTED_VALUE"""),"Carcasa Separador Gases Aceite MCK Anthe")</f>
        <v>Carcasa Separador Gases Aceite MCK Anthe</v>
      </c>
      <c r="C9655" s="380" t="str">
        <f>IFERROR(__xludf.DUMMYFUNCTION("""COMPUTED_VALUE"""),"70005076")</f>
        <v>70005076</v>
      </c>
      <c r="D9655" s="380" t="s">
        <v>767</v>
      </c>
      <c r="E9655" s="380" t="s">
        <v>786</v>
      </c>
      <c r="F9655" s="380" t="s">
        <v>787</v>
      </c>
      <c r="G9655" s="380" t="s">
        <v>1267</v>
      </c>
      <c r="H9655" s="380" t="s">
        <v>771</v>
      </c>
      <c r="I9655" s="380" t="s">
        <v>788</v>
      </c>
      <c r="J9655" s="380" t="s">
        <v>773</v>
      </c>
      <c r="K9655" s="381">
        <v>0.0</v>
      </c>
      <c r="L9655" s="382">
        <v>1.0</v>
      </c>
    </row>
    <row r="9656">
      <c r="A9656" s="380" t="s">
        <v>10530</v>
      </c>
      <c r="B9656" s="380" t="str">
        <f>IFERROR(__xludf.DUMMYFUNCTION("""COMPUTED_VALUE"""),"Modulo CAB INT Prostar 4044470c7")</f>
        <v>Modulo CAB INT Prostar 4044470c7</v>
      </c>
      <c r="C9656" s="380" t="str">
        <f>IFERROR(__xludf.DUMMYFUNCTION("""COMPUTED_VALUE"""),"70005077")</f>
        <v>70005077</v>
      </c>
      <c r="D9656" s="380" t="s">
        <v>767</v>
      </c>
      <c r="E9656" s="380" t="s">
        <v>786</v>
      </c>
      <c r="F9656" s="380" t="s">
        <v>998</v>
      </c>
      <c r="G9656" s="380" t="s">
        <v>1267</v>
      </c>
      <c r="H9656" s="380" t="s">
        <v>771</v>
      </c>
      <c r="I9656" s="380" t="s">
        <v>788</v>
      </c>
      <c r="J9656" s="380" t="s">
        <v>773</v>
      </c>
      <c r="K9656" s="381">
        <v>0.0</v>
      </c>
      <c r="L9656" s="382">
        <v>1.0</v>
      </c>
    </row>
    <row r="9657">
      <c r="A9657" s="380" t="s">
        <v>10531</v>
      </c>
      <c r="B9657" s="380" t="str">
        <f>IFERROR(__xludf.DUMMYFUNCTION("""COMPUTED_VALUE"""),"MANG BMB Dosificadora Adblue Daf 2010012")</f>
        <v>MANG BMB Dosificadora Adblue Daf 2010012</v>
      </c>
      <c r="C9657" s="380" t="str">
        <f>IFERROR(__xludf.DUMMYFUNCTION("""COMPUTED_VALUE"""),"70005078")</f>
        <v>70005078</v>
      </c>
      <c r="D9657" s="380" t="s">
        <v>767</v>
      </c>
      <c r="E9657" s="380" t="s">
        <v>786</v>
      </c>
      <c r="F9657" s="380" t="s">
        <v>787</v>
      </c>
      <c r="G9657" s="380" t="s">
        <v>1267</v>
      </c>
      <c r="H9657" s="380" t="s">
        <v>771</v>
      </c>
      <c r="I9657" s="380" t="s">
        <v>788</v>
      </c>
      <c r="J9657" s="380" t="s">
        <v>773</v>
      </c>
      <c r="K9657" s="381">
        <v>0.0</v>
      </c>
      <c r="L9657" s="382">
        <v>1.0</v>
      </c>
    </row>
    <row r="9658">
      <c r="A9658" s="380" t="s">
        <v>10532</v>
      </c>
      <c r="B9658" s="380" t="str">
        <f>IFERROR(__xludf.DUMMYFUNCTION("""COMPUTED_VALUE"""),"Base SOP Actuadores MOT Isx 4076597")</f>
        <v>Base SOP Actuadores MOT Isx 4076597</v>
      </c>
      <c r="C9658" s="380" t="str">
        <f>IFERROR(__xludf.DUMMYFUNCTION("""COMPUTED_VALUE"""),"70005079")</f>
        <v>70005079</v>
      </c>
      <c r="D9658" s="380" t="s">
        <v>767</v>
      </c>
      <c r="E9658" s="380" t="s">
        <v>786</v>
      </c>
      <c r="F9658" s="380" t="s">
        <v>787</v>
      </c>
      <c r="G9658" s="380" t="s">
        <v>1267</v>
      </c>
      <c r="H9658" s="380" t="s">
        <v>771</v>
      </c>
      <c r="I9658" s="380" t="s">
        <v>788</v>
      </c>
      <c r="J9658" s="380" t="s">
        <v>773</v>
      </c>
      <c r="K9658" s="381">
        <v>0.0</v>
      </c>
      <c r="L9658" s="382">
        <v>1.0</v>
      </c>
    </row>
    <row r="9659">
      <c r="A9659" s="380" t="s">
        <v>10533</v>
      </c>
      <c r="B9659" s="380" t="str">
        <f>IFERROR(__xludf.DUMMYFUNCTION("""COMPUTED_VALUE"""),"Rotula Suspension Inferior Der Toyota Vx")</f>
        <v>Rotula Suspension Inferior Der Toyota Vx</v>
      </c>
      <c r="C9659" s="380" t="str">
        <f>IFERROR(__xludf.DUMMYFUNCTION("""COMPUTED_VALUE"""),"70005080")</f>
        <v>70005080</v>
      </c>
      <c r="D9659" s="380" t="s">
        <v>767</v>
      </c>
      <c r="E9659" s="380" t="s">
        <v>786</v>
      </c>
      <c r="F9659" s="380" t="s">
        <v>1039</v>
      </c>
      <c r="G9659" s="380" t="s">
        <v>1267</v>
      </c>
      <c r="H9659" s="380" t="s">
        <v>771</v>
      </c>
      <c r="I9659" s="380" t="s">
        <v>788</v>
      </c>
      <c r="J9659" s="380" t="s">
        <v>773</v>
      </c>
      <c r="K9659" s="381">
        <v>0.0</v>
      </c>
      <c r="L9659" s="382">
        <v>1.0</v>
      </c>
    </row>
    <row r="9660">
      <c r="A9660" s="380" t="s">
        <v>10534</v>
      </c>
      <c r="B9660" s="380" t="str">
        <f>IFERROR(__xludf.DUMMYFUNCTION("""COMPUTED_VALUE"""),"Actuador Selector Rango Transmision Trax")</f>
        <v>Actuador Selector Rango Transmision Trax</v>
      </c>
      <c r="C9660" s="380" t="str">
        <f>IFERROR(__xludf.DUMMYFUNCTION("""COMPUTED_VALUE"""),"70005081")</f>
        <v>70005081</v>
      </c>
      <c r="D9660" s="380" t="s">
        <v>767</v>
      </c>
      <c r="E9660" s="380" t="s">
        <v>786</v>
      </c>
      <c r="F9660" s="380" t="s">
        <v>928</v>
      </c>
      <c r="G9660" s="380" t="s">
        <v>1267</v>
      </c>
      <c r="H9660" s="380" t="s">
        <v>771</v>
      </c>
      <c r="I9660" s="380" t="s">
        <v>788</v>
      </c>
      <c r="J9660" s="380" t="s">
        <v>773</v>
      </c>
      <c r="K9660" s="381">
        <v>0.0</v>
      </c>
      <c r="L9660" s="382">
        <v>1.0</v>
      </c>
    </row>
    <row r="9661">
      <c r="A9661" s="380" t="s">
        <v>10535</v>
      </c>
      <c r="B9661" s="380" t="str">
        <f>IFERROR(__xludf.DUMMYFUNCTION("""COMPUTED_VALUE"""),"BRR DIR Corta Jac 1042 3003600ld304a")</f>
        <v>BRR DIR Corta Jac 1042 3003600ld304a</v>
      </c>
      <c r="C9661" s="380" t="str">
        <f>IFERROR(__xludf.DUMMYFUNCTION("""COMPUTED_VALUE"""),"70005082")</f>
        <v>70005082</v>
      </c>
      <c r="D9661" s="380" t="s">
        <v>767</v>
      </c>
      <c r="E9661" s="380" t="s">
        <v>786</v>
      </c>
      <c r="F9661" s="380" t="s">
        <v>1020</v>
      </c>
      <c r="G9661" s="380" t="s">
        <v>1267</v>
      </c>
      <c r="H9661" s="380" t="s">
        <v>771</v>
      </c>
      <c r="I9661" s="380" t="s">
        <v>788</v>
      </c>
      <c r="J9661" s="380" t="s">
        <v>773</v>
      </c>
      <c r="K9661" s="381">
        <v>0.0</v>
      </c>
      <c r="L9661" s="382">
        <v>1.0</v>
      </c>
    </row>
    <row r="9662">
      <c r="A9662" s="380" t="s">
        <v>10536</v>
      </c>
      <c r="B9662" s="380" t="str">
        <f>IFERROR(__xludf.DUMMYFUNCTION("""COMPUTED_VALUE"""),"VALV Descarga De COMB MCK Cxu 21458307")</f>
        <v>VALV Descarga De COMB MCK Cxu 21458307</v>
      </c>
      <c r="C9662" s="380" t="str">
        <f>IFERROR(__xludf.DUMMYFUNCTION("""COMPUTED_VALUE"""),"70005083")</f>
        <v>70005083</v>
      </c>
      <c r="D9662" s="380" t="s">
        <v>767</v>
      </c>
      <c r="E9662" s="380" t="s">
        <v>786</v>
      </c>
      <c r="F9662" s="380" t="s">
        <v>787</v>
      </c>
      <c r="G9662" s="380" t="s">
        <v>1267</v>
      </c>
      <c r="H9662" s="380" t="s">
        <v>771</v>
      </c>
      <c r="I9662" s="380" t="s">
        <v>788</v>
      </c>
      <c r="J9662" s="380" t="s">
        <v>773</v>
      </c>
      <c r="K9662" s="381">
        <v>0.0</v>
      </c>
      <c r="L9662" s="382">
        <v>1.0</v>
      </c>
    </row>
    <row r="9663">
      <c r="A9663" s="380" t="s">
        <v>10537</v>
      </c>
      <c r="B9663" s="380" t="str">
        <f>IFERROR(__xludf.DUMMYFUNCTION("""COMPUTED_VALUE"""),"Oreja Cardan Spl250 Kw/Lt/Prostar 250281")</f>
        <v>Oreja Cardan Spl250 Kw/Lt/Prostar 250281</v>
      </c>
      <c r="C9663" s="380" t="str">
        <f>IFERROR(__xludf.DUMMYFUNCTION("""COMPUTED_VALUE"""),"70005084")</f>
        <v>70005084</v>
      </c>
      <c r="D9663" s="380" t="s">
        <v>767</v>
      </c>
      <c r="E9663" s="380" t="s">
        <v>786</v>
      </c>
      <c r="F9663" s="380" t="s">
        <v>5683</v>
      </c>
      <c r="G9663" s="380" t="s">
        <v>1267</v>
      </c>
      <c r="H9663" s="380" t="s">
        <v>771</v>
      </c>
      <c r="I9663" s="380" t="s">
        <v>788</v>
      </c>
      <c r="J9663" s="380" t="s">
        <v>773</v>
      </c>
      <c r="K9663" s="381">
        <v>0.0</v>
      </c>
      <c r="L9663" s="382">
        <v>1.0</v>
      </c>
    </row>
    <row r="9664">
      <c r="A9664" s="380" t="s">
        <v>10538</v>
      </c>
      <c r="B9664" s="380" t="str">
        <f>IFERROR(__xludf.DUMMYFUNCTION("""COMPUTED_VALUE"""),"SENS Nivel Refrigerante Daf Cf480 Ftt 21")</f>
        <v>SENS Nivel Refrigerante Daf Cf480 Ftt 21</v>
      </c>
      <c r="C9664" s="380" t="str">
        <f>IFERROR(__xludf.DUMMYFUNCTION("""COMPUTED_VALUE"""),"70005085")</f>
        <v>70005085</v>
      </c>
      <c r="D9664" s="380" t="s">
        <v>767</v>
      </c>
      <c r="E9664" s="380" t="s">
        <v>786</v>
      </c>
      <c r="F9664" s="380" t="s">
        <v>998</v>
      </c>
      <c r="G9664" s="380" t="s">
        <v>1267</v>
      </c>
      <c r="H9664" s="380" t="s">
        <v>771</v>
      </c>
      <c r="I9664" s="380" t="s">
        <v>788</v>
      </c>
      <c r="J9664" s="380" t="s">
        <v>773</v>
      </c>
      <c r="K9664" s="381">
        <v>0.0</v>
      </c>
      <c r="L9664" s="382">
        <v>1.0</v>
      </c>
    </row>
    <row r="9665">
      <c r="A9665" s="380" t="s">
        <v>10539</v>
      </c>
      <c r="B9665" s="380" t="str">
        <f>IFERROR(__xludf.DUMMYFUNCTION("""COMPUTED_VALUE"""),"Rodamiento Volante Daf Cf480 Ftt 661319")</f>
        <v>Rodamiento Volante Daf Cf480 Ftt 661319</v>
      </c>
      <c r="C9665" s="380" t="str">
        <f>IFERROR(__xludf.DUMMYFUNCTION("""COMPUTED_VALUE"""),"70005086")</f>
        <v>70005086</v>
      </c>
      <c r="D9665" s="380" t="s">
        <v>767</v>
      </c>
      <c r="E9665" s="380" t="s">
        <v>786</v>
      </c>
      <c r="F9665" s="380" t="s">
        <v>5661</v>
      </c>
      <c r="G9665" s="380" t="s">
        <v>1267</v>
      </c>
      <c r="H9665" s="380" t="s">
        <v>771</v>
      </c>
      <c r="I9665" s="380" t="s">
        <v>788</v>
      </c>
      <c r="J9665" s="380" t="s">
        <v>773</v>
      </c>
      <c r="K9665" s="381">
        <v>0.0</v>
      </c>
      <c r="L9665" s="382">
        <v>1.0</v>
      </c>
    </row>
    <row r="9666">
      <c r="A9666" s="380" t="s">
        <v>10540</v>
      </c>
      <c r="B9666" s="380" t="str">
        <f>IFERROR(__xludf.DUMMYFUNCTION("""COMPUTED_VALUE"""),"Abrazadera SOP Catalizador INT Lt 399869")</f>
        <v>Abrazadera SOP Catalizador INT Lt 399869</v>
      </c>
      <c r="C9666" s="380" t="str">
        <f>IFERROR(__xludf.DUMMYFUNCTION("""COMPUTED_VALUE"""),"70005087")</f>
        <v>70005087</v>
      </c>
      <c r="D9666" s="380" t="s">
        <v>767</v>
      </c>
      <c r="E9666" s="380" t="s">
        <v>786</v>
      </c>
      <c r="F9666" s="380" t="s">
        <v>792</v>
      </c>
      <c r="G9666" s="380" t="s">
        <v>1267</v>
      </c>
      <c r="H9666" s="380" t="s">
        <v>771</v>
      </c>
      <c r="I9666" s="380" t="s">
        <v>788</v>
      </c>
      <c r="J9666" s="380" t="s">
        <v>773</v>
      </c>
      <c r="K9666" s="381">
        <v>242983.0</v>
      </c>
      <c r="L9666" s="382">
        <v>1.0</v>
      </c>
    </row>
    <row r="9667">
      <c r="A9667" s="380" t="s">
        <v>10541</v>
      </c>
      <c r="B9667" s="380" t="str">
        <f>IFERROR(__xludf.DUMMYFUNCTION("""COMPUTED_VALUE"""),"SENS Altura Del Chasis Daf Cf480 2021549")</f>
        <v>SENS Altura Del Chasis Daf Cf480 2021549</v>
      </c>
      <c r="C9667" s="380" t="str">
        <f>IFERROR(__xludf.DUMMYFUNCTION("""COMPUTED_VALUE"""),"70005088")</f>
        <v>70005088</v>
      </c>
      <c r="D9667" s="380" t="s">
        <v>767</v>
      </c>
      <c r="E9667" s="380" t="s">
        <v>786</v>
      </c>
      <c r="F9667" s="380" t="s">
        <v>998</v>
      </c>
      <c r="G9667" s="380" t="s">
        <v>1267</v>
      </c>
      <c r="H9667" s="380" t="s">
        <v>771</v>
      </c>
      <c r="I9667" s="380" t="s">
        <v>788</v>
      </c>
      <c r="J9667" s="380" t="s">
        <v>773</v>
      </c>
      <c r="K9667" s="381">
        <v>0.0</v>
      </c>
      <c r="L9667" s="382">
        <v>1.0</v>
      </c>
    </row>
    <row r="9668">
      <c r="A9668" s="380" t="s">
        <v>10542</v>
      </c>
      <c r="B9668" s="380" t="str">
        <f>IFERROR(__xludf.DUMMYFUNCTION("""COMPUTED_VALUE"""),"DEP AUX Refrigerante Van FT Bj5 77010234")</f>
        <v>DEP AUX Refrigerante Van FT Bj5 77010234</v>
      </c>
      <c r="C9668" s="380" t="str">
        <f>IFERROR(__xludf.DUMMYFUNCTION("""COMPUTED_VALUE"""),"70005089")</f>
        <v>70005089</v>
      </c>
      <c r="D9668" s="380" t="s">
        <v>767</v>
      </c>
      <c r="E9668" s="380" t="s">
        <v>786</v>
      </c>
      <c r="F9668" s="380" t="s">
        <v>787</v>
      </c>
      <c r="G9668" s="380" t="s">
        <v>1267</v>
      </c>
      <c r="H9668" s="380" t="s">
        <v>771</v>
      </c>
      <c r="I9668" s="380" t="s">
        <v>788</v>
      </c>
      <c r="J9668" s="380" t="s">
        <v>773</v>
      </c>
      <c r="K9668" s="381">
        <v>0.0</v>
      </c>
      <c r="L9668" s="382">
        <v>1.0</v>
      </c>
    </row>
    <row r="9669">
      <c r="A9669" s="380" t="s">
        <v>10543</v>
      </c>
      <c r="B9669" s="380" t="str">
        <f>IFERROR(__xludf.DUMMYFUNCTION("""COMPUTED_VALUE"""),"Exploradora IZQ Daf Cf480 Ftt 2032701")</f>
        <v>Exploradora IZQ Daf Cf480 Ftt 2032701</v>
      </c>
      <c r="C9669" s="380" t="str">
        <f>IFERROR(__xludf.DUMMYFUNCTION("""COMPUTED_VALUE"""),"70005090")</f>
        <v>70005090</v>
      </c>
      <c r="D9669" s="380" t="s">
        <v>767</v>
      </c>
      <c r="E9669" s="380" t="s">
        <v>786</v>
      </c>
      <c r="F9669" s="380" t="s">
        <v>998</v>
      </c>
      <c r="G9669" s="380" t="s">
        <v>1267</v>
      </c>
      <c r="H9669" s="380" t="s">
        <v>771</v>
      </c>
      <c r="I9669" s="380" t="s">
        <v>788</v>
      </c>
      <c r="J9669" s="380" t="s">
        <v>773</v>
      </c>
      <c r="K9669" s="381">
        <v>0.0</v>
      </c>
      <c r="L9669" s="382">
        <v>1.0</v>
      </c>
    </row>
    <row r="9670">
      <c r="A9670" s="380" t="s">
        <v>10544</v>
      </c>
      <c r="B9670" s="380" t="str">
        <f>IFERROR(__xludf.DUMMYFUNCTION("""COMPUTED_VALUE"""),"Base Filtro Bombin Mack Anthem 21870635")</f>
        <v>Base Filtro Bombin Mack Anthem 21870635</v>
      </c>
      <c r="C9670" s="380" t="str">
        <f>IFERROR(__xludf.DUMMYFUNCTION("""COMPUTED_VALUE"""),"70005091")</f>
        <v>70005091</v>
      </c>
      <c r="D9670" s="380" t="s">
        <v>767</v>
      </c>
      <c r="E9670" s="380" t="s">
        <v>786</v>
      </c>
      <c r="F9670" s="380" t="s">
        <v>787</v>
      </c>
      <c r="G9670" s="380" t="s">
        <v>1267</v>
      </c>
      <c r="H9670" s="380" t="s">
        <v>771</v>
      </c>
      <c r="I9670" s="380" t="s">
        <v>788</v>
      </c>
      <c r="J9670" s="380" t="s">
        <v>773</v>
      </c>
      <c r="K9670" s="381">
        <v>0.0</v>
      </c>
      <c r="L9670" s="382">
        <v>1.0</v>
      </c>
    </row>
    <row r="9671">
      <c r="A9671" s="380" t="s">
        <v>10545</v>
      </c>
      <c r="B9671" s="380" t="str">
        <f>IFERROR(__xludf.DUMMYFUNCTION("""COMPUTED_VALUE"""),"Stop TRAS DER FT 1030 7705946734639")</f>
        <v>Stop TRAS DER FT 1030 7705946734639</v>
      </c>
      <c r="C9671" s="380" t="str">
        <f>IFERROR(__xludf.DUMMYFUNCTION("""COMPUTED_VALUE"""),"70005092")</f>
        <v>70005092</v>
      </c>
      <c r="D9671" s="380" t="s">
        <v>767</v>
      </c>
      <c r="E9671" s="380" t="s">
        <v>786</v>
      </c>
      <c r="F9671" s="380" t="s">
        <v>998</v>
      </c>
      <c r="G9671" s="380" t="s">
        <v>1267</v>
      </c>
      <c r="H9671" s="380" t="s">
        <v>771</v>
      </c>
      <c r="I9671" s="380" t="s">
        <v>788</v>
      </c>
      <c r="J9671" s="380" t="s">
        <v>773</v>
      </c>
      <c r="K9671" s="381">
        <v>84720.0</v>
      </c>
      <c r="L9671" s="382">
        <v>1.0</v>
      </c>
    </row>
    <row r="9672">
      <c r="A9672" s="380" t="s">
        <v>10546</v>
      </c>
      <c r="B9672" s="380" t="str">
        <f>IFERROR(__xludf.DUMMYFUNCTION("""COMPUTED_VALUE"""),"Rodillo Agujas Tapa TRAS CJ Nkr Rw Db505")</f>
        <v>Rodillo Agujas Tapa TRAS CJ Nkr Rw Db505</v>
      </c>
      <c r="C9672" s="380" t="str">
        <f>IFERROR(__xludf.DUMMYFUNCTION("""COMPUTED_VALUE"""),"70005093")</f>
        <v>70005093</v>
      </c>
      <c r="D9672" s="380" t="s">
        <v>767</v>
      </c>
      <c r="E9672" s="380" t="s">
        <v>786</v>
      </c>
      <c r="F9672" s="380" t="s">
        <v>928</v>
      </c>
      <c r="G9672" s="380" t="s">
        <v>1267</v>
      </c>
      <c r="H9672" s="380" t="s">
        <v>771</v>
      </c>
      <c r="I9672" s="380" t="s">
        <v>788</v>
      </c>
      <c r="J9672" s="380" t="s">
        <v>773</v>
      </c>
      <c r="K9672" s="381">
        <v>0.0</v>
      </c>
      <c r="L9672" s="382">
        <v>1.0</v>
      </c>
    </row>
    <row r="9673">
      <c r="A9673" s="380" t="s">
        <v>10547</v>
      </c>
      <c r="B9673" s="380" t="str">
        <f>IFERROR(__xludf.DUMMYFUNCTION("""COMPUTED_VALUE"""),"Volante MOT HY Porter H100 232004a500")</f>
        <v>Volante MOT HY Porter H100 232004a500</v>
      </c>
      <c r="C9673" s="380" t="str">
        <f>IFERROR(__xludf.DUMMYFUNCTION("""COMPUTED_VALUE"""),"70005094")</f>
        <v>70005094</v>
      </c>
      <c r="D9673" s="380" t="s">
        <v>767</v>
      </c>
      <c r="E9673" s="380" t="s">
        <v>786</v>
      </c>
      <c r="F9673" s="380" t="s">
        <v>787</v>
      </c>
      <c r="G9673" s="380" t="s">
        <v>1267</v>
      </c>
      <c r="H9673" s="380" t="s">
        <v>771</v>
      </c>
      <c r="I9673" s="380" t="s">
        <v>788</v>
      </c>
      <c r="J9673" s="380" t="s">
        <v>773</v>
      </c>
      <c r="K9673" s="381">
        <v>0.0</v>
      </c>
      <c r="L9673" s="382">
        <v>1.0</v>
      </c>
    </row>
    <row r="9674">
      <c r="A9674" s="380" t="s">
        <v>10548</v>
      </c>
      <c r="B9674" s="380" t="str">
        <f>IFERROR(__xludf.DUMMYFUNCTION("""COMPUTED_VALUE"""),"Tapa TANQ COMB INT Lt 3591619c2")</f>
        <v>Tapa TANQ COMB INT Lt 3591619c2</v>
      </c>
      <c r="C9674" s="380" t="str">
        <f>IFERROR(__xludf.DUMMYFUNCTION("""COMPUTED_VALUE"""),"70005095")</f>
        <v>70005095</v>
      </c>
      <c r="D9674" s="380" t="s">
        <v>767</v>
      </c>
      <c r="E9674" s="380" t="s">
        <v>786</v>
      </c>
      <c r="F9674" s="380" t="s">
        <v>792</v>
      </c>
      <c r="G9674" s="380" t="s">
        <v>1267</v>
      </c>
      <c r="H9674" s="380" t="s">
        <v>771</v>
      </c>
      <c r="I9674" s="380" t="s">
        <v>788</v>
      </c>
      <c r="J9674" s="380" t="s">
        <v>773</v>
      </c>
      <c r="K9674" s="381">
        <v>0.0</v>
      </c>
      <c r="L9674" s="382">
        <v>1.0</v>
      </c>
    </row>
    <row r="9675">
      <c r="A9675" s="380" t="s">
        <v>10549</v>
      </c>
      <c r="B9675" s="380" t="str">
        <f>IFERROR(__xludf.DUMMYFUNCTION("""COMPUTED_VALUE"""),"Interruptor Comb. Luces Y Plumillas Foto")</f>
        <v>Interruptor Comb. Luces Y Plumillas Foto</v>
      </c>
      <c r="C9675" s="380" t="str">
        <f>IFERROR(__xludf.DUMMYFUNCTION("""COMPUTED_VALUE"""),"70005096")</f>
        <v>70005096</v>
      </c>
      <c r="D9675" s="380" t="s">
        <v>767</v>
      </c>
      <c r="E9675" s="380" t="s">
        <v>786</v>
      </c>
      <c r="F9675" s="380" t="s">
        <v>998</v>
      </c>
      <c r="G9675" s="380" t="s">
        <v>1267</v>
      </c>
      <c r="H9675" s="380" t="s">
        <v>771</v>
      </c>
      <c r="I9675" s="380" t="s">
        <v>788</v>
      </c>
      <c r="J9675" s="380" t="s">
        <v>773</v>
      </c>
      <c r="K9675" s="381">
        <v>0.0</v>
      </c>
      <c r="L9675" s="382">
        <v>1.0</v>
      </c>
    </row>
    <row r="9676">
      <c r="A9676" s="380" t="s">
        <v>10550</v>
      </c>
      <c r="B9676" s="380" t="str">
        <f>IFERROR(__xludf.DUMMYFUNCTION("""COMPUTED_VALUE"""),"BMB COMB FT 1030 7705946762472")</f>
        <v>BMB COMB FT 1030 7705946762472</v>
      </c>
      <c r="C9676" s="380" t="str">
        <f>IFERROR(__xludf.DUMMYFUNCTION("""COMPUTED_VALUE"""),"70005097")</f>
        <v>70005097</v>
      </c>
      <c r="D9676" s="380" t="s">
        <v>767</v>
      </c>
      <c r="E9676" s="380" t="s">
        <v>786</v>
      </c>
      <c r="F9676" s="380" t="s">
        <v>787</v>
      </c>
      <c r="G9676" s="380" t="s">
        <v>1267</v>
      </c>
      <c r="H9676" s="380" t="s">
        <v>771</v>
      </c>
      <c r="I9676" s="380" t="s">
        <v>788</v>
      </c>
      <c r="J9676" s="380" t="s">
        <v>773</v>
      </c>
      <c r="K9676" s="381">
        <v>492240.0</v>
      </c>
      <c r="L9676" s="382">
        <v>1.0</v>
      </c>
    </row>
    <row r="9677">
      <c r="A9677" s="380" t="s">
        <v>10551</v>
      </c>
      <c r="B9677" s="380" t="str">
        <f>IFERROR(__xludf.DUMMYFUNCTION("""COMPUTED_VALUE"""),"MANG Retorno COMB Inyectore Nkr Rw 89735")</f>
        <v>MANG Retorno COMB Inyectore Nkr Rw 89735</v>
      </c>
      <c r="C9677" s="380" t="str">
        <f>IFERROR(__xludf.DUMMYFUNCTION("""COMPUTED_VALUE"""),"70005098")</f>
        <v>70005098</v>
      </c>
      <c r="D9677" s="380" t="s">
        <v>767</v>
      </c>
      <c r="E9677" s="380" t="s">
        <v>786</v>
      </c>
      <c r="F9677" s="380" t="s">
        <v>787</v>
      </c>
      <c r="G9677" s="380" t="s">
        <v>1267</v>
      </c>
      <c r="H9677" s="380" t="s">
        <v>771</v>
      </c>
      <c r="I9677" s="380" t="s">
        <v>788</v>
      </c>
      <c r="J9677" s="380" t="s">
        <v>773</v>
      </c>
      <c r="K9677" s="381">
        <v>0.0</v>
      </c>
      <c r="L9677" s="382">
        <v>1.0</v>
      </c>
    </row>
    <row r="9678">
      <c r="A9678" s="380" t="s">
        <v>10552</v>
      </c>
      <c r="B9678" s="380" t="str">
        <f>IFERROR(__xludf.DUMMYFUNCTION("""COMPUTED_VALUE"""),"Bomba De Agua Foton 1030 7705946760423")</f>
        <v>Bomba De Agua Foton 1030 7705946760423</v>
      </c>
      <c r="C9678" s="380" t="str">
        <f>IFERROR(__xludf.DUMMYFUNCTION("""COMPUTED_VALUE"""),"70005099")</f>
        <v>70005099</v>
      </c>
      <c r="D9678" s="380" t="s">
        <v>767</v>
      </c>
      <c r="E9678" s="380" t="s">
        <v>786</v>
      </c>
      <c r="F9678" s="380" t="s">
        <v>787</v>
      </c>
      <c r="G9678" s="380" t="s">
        <v>1267</v>
      </c>
      <c r="H9678" s="380" t="s">
        <v>771</v>
      </c>
      <c r="I9678" s="380" t="s">
        <v>788</v>
      </c>
      <c r="J9678" s="380" t="s">
        <v>773</v>
      </c>
      <c r="K9678" s="381">
        <v>0.0</v>
      </c>
      <c r="L9678" s="382">
        <v>1.0</v>
      </c>
    </row>
    <row r="9679">
      <c r="A9679" s="380" t="s">
        <v>10553</v>
      </c>
      <c r="B9679" s="380" t="str">
        <f>IFERROR(__xludf.DUMMYFUNCTION("""COMPUTED_VALUE"""),"Guaya Selectora De Cambios FT 1030 77059")</f>
        <v>Guaya Selectora De Cambios FT 1030 77059</v>
      </c>
      <c r="C9679" s="380" t="str">
        <f>IFERROR(__xludf.DUMMYFUNCTION("""COMPUTED_VALUE"""),"70005100")</f>
        <v>70005100</v>
      </c>
      <c r="D9679" s="380" t="s">
        <v>767</v>
      </c>
      <c r="E9679" s="380" t="s">
        <v>786</v>
      </c>
      <c r="F9679" s="380" t="s">
        <v>928</v>
      </c>
      <c r="G9679" s="380" t="s">
        <v>1267</v>
      </c>
      <c r="H9679" s="380" t="s">
        <v>771</v>
      </c>
      <c r="I9679" s="380" t="s">
        <v>788</v>
      </c>
      <c r="J9679" s="380" t="s">
        <v>773</v>
      </c>
      <c r="K9679" s="381">
        <v>0.0</v>
      </c>
      <c r="L9679" s="382">
        <v>1.0</v>
      </c>
    </row>
    <row r="9680">
      <c r="A9680" s="380" t="s">
        <v>10554</v>
      </c>
      <c r="B9680" s="380" t="str">
        <f>IFERROR(__xludf.DUMMYFUNCTION("""COMPUTED_VALUE"""),"Termostato Foton 1030 7705946760430")</f>
        <v>Termostato Foton 1030 7705946760430</v>
      </c>
      <c r="C9680" s="380" t="str">
        <f>IFERROR(__xludf.DUMMYFUNCTION("""COMPUTED_VALUE"""),"70005101")</f>
        <v>70005101</v>
      </c>
      <c r="D9680" s="380" t="s">
        <v>767</v>
      </c>
      <c r="E9680" s="380" t="s">
        <v>786</v>
      </c>
      <c r="F9680" s="380" t="s">
        <v>787</v>
      </c>
      <c r="G9680" s="380" t="s">
        <v>1267</v>
      </c>
      <c r="H9680" s="380" t="s">
        <v>771</v>
      </c>
      <c r="I9680" s="380" t="s">
        <v>788</v>
      </c>
      <c r="J9680" s="380" t="s">
        <v>773</v>
      </c>
      <c r="K9680" s="381">
        <v>59120.0</v>
      </c>
      <c r="L9680" s="382">
        <v>1.0</v>
      </c>
    </row>
    <row r="9681">
      <c r="A9681" s="380" t="s">
        <v>10555</v>
      </c>
      <c r="B9681" s="380" t="str">
        <f>IFERROR(__xludf.DUMMYFUNCTION("""COMPUTED_VALUE"""),"MANG ENT AIR MOT FT 1030 7700149467315")</f>
        <v>MANG ENT AIR MOT FT 1030 7700149467315</v>
      </c>
      <c r="C9681" s="380" t="str">
        <f>IFERROR(__xludf.DUMMYFUNCTION("""COMPUTED_VALUE"""),"70005102")</f>
        <v>70005102</v>
      </c>
      <c r="D9681" s="380" t="s">
        <v>767</v>
      </c>
      <c r="E9681" s="380" t="s">
        <v>786</v>
      </c>
      <c r="F9681" s="380" t="s">
        <v>787</v>
      </c>
      <c r="G9681" s="380" t="s">
        <v>1267</v>
      </c>
      <c r="H9681" s="380" t="s">
        <v>771</v>
      </c>
      <c r="I9681" s="380" t="s">
        <v>788</v>
      </c>
      <c r="J9681" s="380" t="s">
        <v>773</v>
      </c>
      <c r="K9681" s="381">
        <v>0.0</v>
      </c>
      <c r="L9681" s="382">
        <v>1.0</v>
      </c>
    </row>
    <row r="9682">
      <c r="A9682" s="380" t="s">
        <v>10556</v>
      </c>
      <c r="B9682" s="380" t="str">
        <f>IFERROR(__xludf.DUMMYFUNCTION("""COMPUTED_VALUE"""),"Tornillo Graduacion Balancin VALVs CH Fr")</f>
        <v>Tornillo Graduacion Balancin VALVs CH Fr</v>
      </c>
      <c r="C9682" s="380" t="str">
        <f>IFERROR(__xludf.DUMMYFUNCTION("""COMPUTED_VALUE"""),"70005103")</f>
        <v>70005103</v>
      </c>
      <c r="D9682" s="380" t="s">
        <v>767</v>
      </c>
      <c r="E9682" s="380" t="s">
        <v>786</v>
      </c>
      <c r="F9682" s="380" t="s">
        <v>787</v>
      </c>
      <c r="G9682" s="380" t="s">
        <v>1267</v>
      </c>
      <c r="H9682" s="380" t="s">
        <v>771</v>
      </c>
      <c r="I9682" s="380" t="s">
        <v>788</v>
      </c>
      <c r="J9682" s="380" t="s">
        <v>773</v>
      </c>
      <c r="K9682" s="381">
        <v>0.0</v>
      </c>
      <c r="L9682" s="382">
        <v>1.0</v>
      </c>
    </row>
    <row r="9683">
      <c r="A9683" s="380" t="s">
        <v>10557</v>
      </c>
      <c r="B9683" s="380" t="str">
        <f>IFERROR(__xludf.DUMMYFUNCTION("""COMPUTED_VALUE"""),"Abrazadera Clip MANG Inyectore Nkr Rw 89")</f>
        <v>Abrazadera Clip MANG Inyectore Nkr Rw 89</v>
      </c>
      <c r="C9683" s="380" t="str">
        <f>IFERROR(__xludf.DUMMYFUNCTION("""COMPUTED_VALUE"""),"70005104")</f>
        <v>70005104</v>
      </c>
      <c r="D9683" s="380" t="s">
        <v>767</v>
      </c>
      <c r="E9683" s="380" t="s">
        <v>786</v>
      </c>
      <c r="F9683" s="380" t="s">
        <v>787</v>
      </c>
      <c r="G9683" s="380" t="s">
        <v>1267</v>
      </c>
      <c r="H9683" s="380" t="s">
        <v>771</v>
      </c>
      <c r="I9683" s="380" t="s">
        <v>788</v>
      </c>
      <c r="J9683" s="380" t="s">
        <v>773</v>
      </c>
      <c r="K9683" s="381">
        <v>0.0</v>
      </c>
      <c r="L9683" s="382">
        <v>1.0</v>
      </c>
    </row>
    <row r="9684">
      <c r="A9684" s="380" t="s">
        <v>10558</v>
      </c>
      <c r="B9684" s="380" t="str">
        <f>IFERROR(__xludf.DUMMYFUNCTION("""COMPUTED_VALUE"""),"Hoja Resorte 1ra Del KW Tipo Volqueta 59")</f>
        <v>Hoja Resorte 1ra Del KW Tipo Volqueta 59</v>
      </c>
      <c r="C9684" s="380" t="str">
        <f>IFERROR(__xludf.DUMMYFUNCTION("""COMPUTED_VALUE"""),"70005105")</f>
        <v>70005105</v>
      </c>
      <c r="D9684" s="380" t="s">
        <v>767</v>
      </c>
      <c r="E9684" s="380" t="s">
        <v>786</v>
      </c>
      <c r="F9684" s="380" t="s">
        <v>1039</v>
      </c>
      <c r="G9684" s="380" t="s">
        <v>1267</v>
      </c>
      <c r="H9684" s="380" t="s">
        <v>771</v>
      </c>
      <c r="I9684" s="380" t="s">
        <v>788</v>
      </c>
      <c r="J9684" s="380" t="s">
        <v>773</v>
      </c>
      <c r="K9684" s="381">
        <v>0.0</v>
      </c>
      <c r="L9684" s="382">
        <v>1.0</v>
      </c>
    </row>
    <row r="9685">
      <c r="A9685" s="380" t="s">
        <v>10559</v>
      </c>
      <c r="B9685" s="380" t="str">
        <f>IFERROR(__xludf.DUMMYFUNCTION("""COMPUTED_VALUE"""),"Hoja Resorte 2sv Del KW Tipo Volqueta 59")</f>
        <v>Hoja Resorte 2sv Del KW Tipo Volqueta 59</v>
      </c>
      <c r="C9685" s="380" t="str">
        <f>IFERROR(__xludf.DUMMYFUNCTION("""COMPUTED_VALUE"""),"70005106")</f>
        <v>70005106</v>
      </c>
      <c r="D9685" s="380" t="s">
        <v>767</v>
      </c>
      <c r="E9685" s="380" t="s">
        <v>786</v>
      </c>
      <c r="F9685" s="380" t="s">
        <v>1039</v>
      </c>
      <c r="G9685" s="380" t="s">
        <v>1267</v>
      </c>
      <c r="H9685" s="380" t="s">
        <v>771</v>
      </c>
      <c r="I9685" s="380" t="s">
        <v>788</v>
      </c>
      <c r="J9685" s="380" t="s">
        <v>773</v>
      </c>
      <c r="K9685" s="381">
        <v>0.0</v>
      </c>
      <c r="L9685" s="382">
        <v>1.0</v>
      </c>
    </row>
    <row r="9686">
      <c r="A9686" s="380" t="s">
        <v>10560</v>
      </c>
      <c r="B9686" s="380" t="str">
        <f>IFERROR(__xludf.DUMMYFUNCTION("""COMPUTED_VALUE"""),"VALV AIR Freno MOT MCK Anthem 23992701")</f>
        <v>VALV AIR Freno MOT MCK Anthem 23992701</v>
      </c>
      <c r="C9686" s="380" t="str">
        <f>IFERROR(__xludf.DUMMYFUNCTION("""COMPUTED_VALUE"""),"70005107")</f>
        <v>70005107</v>
      </c>
      <c r="D9686" s="380" t="s">
        <v>767</v>
      </c>
      <c r="E9686" s="380" t="s">
        <v>786</v>
      </c>
      <c r="F9686" s="380" t="s">
        <v>787</v>
      </c>
      <c r="G9686" s="380" t="s">
        <v>1267</v>
      </c>
      <c r="H9686" s="380" t="s">
        <v>771</v>
      </c>
      <c r="I9686" s="380" t="s">
        <v>788</v>
      </c>
      <c r="J9686" s="380" t="s">
        <v>773</v>
      </c>
      <c r="K9686" s="381">
        <v>0.0</v>
      </c>
      <c r="L9686" s="382">
        <v>1.0</v>
      </c>
    </row>
    <row r="9687">
      <c r="A9687" s="380" t="s">
        <v>10561</v>
      </c>
      <c r="B9687" s="380" t="str">
        <f>IFERROR(__xludf.DUMMYFUNCTION("""COMPUTED_VALUE"""),"Vidro PTA IZQ DFENG Modelo 2020")</f>
        <v>Vidro PTA IZQ DFENG Modelo 2020</v>
      </c>
      <c r="C9687" s="380" t="str">
        <f>IFERROR(__xludf.DUMMYFUNCTION("""COMPUTED_VALUE"""),"70005108")</f>
        <v>70005108</v>
      </c>
      <c r="D9687" s="380" t="s">
        <v>767</v>
      </c>
      <c r="E9687" s="380" t="s">
        <v>786</v>
      </c>
      <c r="F9687" s="380" t="s">
        <v>792</v>
      </c>
      <c r="G9687" s="380" t="s">
        <v>1267</v>
      </c>
      <c r="H9687" s="380" t="s">
        <v>771</v>
      </c>
      <c r="I9687" s="380" t="s">
        <v>788</v>
      </c>
      <c r="J9687" s="380" t="s">
        <v>773</v>
      </c>
      <c r="K9687" s="381">
        <v>0.0</v>
      </c>
      <c r="L9687" s="382">
        <v>1.0</v>
      </c>
    </row>
    <row r="9688">
      <c r="A9688" s="380" t="s">
        <v>10562</v>
      </c>
      <c r="B9688" s="380" t="str">
        <f>IFERROR(__xludf.DUMMYFUNCTION("""COMPUTED_VALUE"""),"SENS TEMP Refrigerante FT 1030 770594680")</f>
        <v>SENS TEMP Refrigerante FT 1030 770594680</v>
      </c>
      <c r="C9688" s="380" t="str">
        <f>IFERROR(__xludf.DUMMYFUNCTION("""COMPUTED_VALUE"""),"70005109")</f>
        <v>70005109</v>
      </c>
      <c r="D9688" s="380" t="s">
        <v>767</v>
      </c>
      <c r="E9688" s="380" t="s">
        <v>786</v>
      </c>
      <c r="F9688" s="380" t="s">
        <v>998</v>
      </c>
      <c r="G9688" s="380" t="s">
        <v>1267</v>
      </c>
      <c r="H9688" s="380" t="s">
        <v>771</v>
      </c>
      <c r="I9688" s="380" t="s">
        <v>788</v>
      </c>
      <c r="J9688" s="380" t="s">
        <v>773</v>
      </c>
      <c r="K9688" s="381">
        <v>0.0</v>
      </c>
      <c r="L9688" s="382">
        <v>1.0</v>
      </c>
    </row>
    <row r="9689">
      <c r="A9689" s="380" t="s">
        <v>10563</v>
      </c>
      <c r="B9689" s="380" t="str">
        <f>IFERROR(__xludf.DUMMYFUNCTION("""COMPUTED_VALUE"""),"Rodamiento Inducido Arranque Nkr 6200-Rs")</f>
        <v>Rodamiento Inducido Arranque Nkr 6200-Rs</v>
      </c>
      <c r="C9689" s="380" t="str">
        <f>IFERROR(__xludf.DUMMYFUNCTION("""COMPUTED_VALUE"""),"70005110")</f>
        <v>70005110</v>
      </c>
      <c r="D9689" s="380" t="s">
        <v>767</v>
      </c>
      <c r="E9689" s="380" t="s">
        <v>786</v>
      </c>
      <c r="F9689" s="380" t="s">
        <v>998</v>
      </c>
      <c r="G9689" s="380" t="s">
        <v>1267</v>
      </c>
      <c r="H9689" s="380" t="s">
        <v>771</v>
      </c>
      <c r="I9689" s="380" t="s">
        <v>788</v>
      </c>
      <c r="J9689" s="380" t="s">
        <v>773</v>
      </c>
      <c r="K9689" s="381">
        <v>0.0</v>
      </c>
      <c r="L9689" s="382">
        <v>1.0</v>
      </c>
    </row>
    <row r="9690">
      <c r="A9690" s="380" t="s">
        <v>10564</v>
      </c>
      <c r="B9690" s="380" t="str">
        <f>IFERROR(__xludf.DUMMYFUNCTION("""COMPUTED_VALUE"""),"Kit Graduacion Freno Izq CH N200 62069np")</f>
        <v>Kit Graduacion Freno Izq CH N200 62069np</v>
      </c>
      <c r="C9690" s="380" t="str">
        <f>IFERROR(__xludf.DUMMYFUNCTION("""COMPUTED_VALUE"""),"70005111")</f>
        <v>70005111</v>
      </c>
      <c r="D9690" s="380" t="s">
        <v>767</v>
      </c>
      <c r="E9690" s="380" t="s">
        <v>786</v>
      </c>
      <c r="F9690" s="380" t="s">
        <v>1017</v>
      </c>
      <c r="G9690" s="380" t="s">
        <v>1267</v>
      </c>
      <c r="H9690" s="380" t="s">
        <v>771</v>
      </c>
      <c r="I9690" s="380" t="s">
        <v>788</v>
      </c>
      <c r="J9690" s="380" t="s">
        <v>773</v>
      </c>
      <c r="K9690" s="381">
        <v>0.0</v>
      </c>
      <c r="L9690" s="382">
        <v>1.0</v>
      </c>
    </row>
    <row r="9691">
      <c r="A9691" s="380" t="s">
        <v>10565</v>
      </c>
      <c r="B9691" s="380" t="str">
        <f>IFERROR(__xludf.DUMMYFUNCTION("""COMPUTED_VALUE"""),"Culata Motor Foton 1030 7705946845786")</f>
        <v>Culata Motor Foton 1030 7705946845786</v>
      </c>
      <c r="C9691" s="380" t="str">
        <f>IFERROR(__xludf.DUMMYFUNCTION("""COMPUTED_VALUE"""),"70005112")</f>
        <v>70005112</v>
      </c>
      <c r="D9691" s="380" t="s">
        <v>767</v>
      </c>
      <c r="E9691" s="380" t="s">
        <v>786</v>
      </c>
      <c r="F9691" s="380" t="s">
        <v>787</v>
      </c>
      <c r="G9691" s="380" t="s">
        <v>1267</v>
      </c>
      <c r="H9691" s="380" t="s">
        <v>771</v>
      </c>
      <c r="I9691" s="380" t="s">
        <v>788</v>
      </c>
      <c r="J9691" s="380" t="s">
        <v>773</v>
      </c>
      <c r="K9691" s="381">
        <v>0.0</v>
      </c>
      <c r="L9691" s="382">
        <v>1.0</v>
      </c>
    </row>
    <row r="9692">
      <c r="A9692" s="380" t="s">
        <v>10566</v>
      </c>
      <c r="B9692" s="380" t="str">
        <f>IFERROR(__xludf.DUMMYFUNCTION("""COMPUTED_VALUE"""),"Cremallera Volante Daf Cf480 Ftt 1606305")</f>
        <v>Cremallera Volante Daf Cf480 Ftt 1606305</v>
      </c>
      <c r="C9692" s="380" t="str">
        <f>IFERROR(__xludf.DUMMYFUNCTION("""COMPUTED_VALUE"""),"70005113")</f>
        <v>70005113</v>
      </c>
      <c r="D9692" s="380" t="s">
        <v>767</v>
      </c>
      <c r="E9692" s="380" t="s">
        <v>786</v>
      </c>
      <c r="F9692" s="380" t="s">
        <v>787</v>
      </c>
      <c r="G9692" s="380" t="s">
        <v>1267</v>
      </c>
      <c r="H9692" s="380" t="s">
        <v>771</v>
      </c>
      <c r="I9692" s="380" t="s">
        <v>788</v>
      </c>
      <c r="J9692" s="380" t="s">
        <v>773</v>
      </c>
      <c r="K9692" s="381">
        <v>0.0</v>
      </c>
      <c r="L9692" s="382">
        <v>1.0</v>
      </c>
    </row>
    <row r="9693">
      <c r="A9693" s="380" t="s">
        <v>10567</v>
      </c>
      <c r="B9693" s="380" t="str">
        <f>IFERROR(__xludf.DUMMYFUNCTION("""COMPUTED_VALUE"""),"Arandela Reten Del Propulsor FT 1129 770")</f>
        <v>Arandela Reten Del Propulsor FT 1129 770</v>
      </c>
      <c r="C9693" s="380" t="str">
        <f>IFERROR(__xludf.DUMMYFUNCTION("""COMPUTED_VALUE"""),"70005114")</f>
        <v>70005114</v>
      </c>
      <c r="D9693" s="380" t="s">
        <v>767</v>
      </c>
      <c r="E9693" s="380" t="s">
        <v>786</v>
      </c>
      <c r="F9693" s="380" t="s">
        <v>928</v>
      </c>
      <c r="G9693" s="380" t="s">
        <v>1267</v>
      </c>
      <c r="H9693" s="380" t="s">
        <v>771</v>
      </c>
      <c r="I9693" s="380" t="s">
        <v>788</v>
      </c>
      <c r="J9693" s="380" t="s">
        <v>773</v>
      </c>
      <c r="K9693" s="381">
        <v>0.0</v>
      </c>
      <c r="L9693" s="382">
        <v>1.0</v>
      </c>
    </row>
    <row r="9694">
      <c r="A9694" s="380" t="s">
        <v>10568</v>
      </c>
      <c r="B9694" s="380" t="str">
        <f>IFERROR(__xludf.DUMMYFUNCTION("""COMPUTED_VALUE"""),"Arandela Sincronismo 3, 4, 5 Y 6ta FT 11")</f>
        <v>Arandela Sincronismo 3, 4, 5 Y 6ta FT 11</v>
      </c>
      <c r="C9694" s="380" t="str">
        <f>IFERROR(__xludf.DUMMYFUNCTION("""COMPUTED_VALUE"""),"70005115")</f>
        <v>70005115</v>
      </c>
      <c r="D9694" s="380" t="s">
        <v>767</v>
      </c>
      <c r="E9694" s="380" t="s">
        <v>786</v>
      </c>
      <c r="F9694" s="380" t="s">
        <v>928</v>
      </c>
      <c r="G9694" s="380" t="s">
        <v>1267</v>
      </c>
      <c r="H9694" s="380" t="s">
        <v>771</v>
      </c>
      <c r="I9694" s="380" t="s">
        <v>788</v>
      </c>
      <c r="J9694" s="380" t="s">
        <v>773</v>
      </c>
      <c r="K9694" s="381">
        <v>0.0</v>
      </c>
      <c r="L9694" s="382">
        <v>1.0</v>
      </c>
    </row>
    <row r="9695">
      <c r="A9695" s="380" t="s">
        <v>10569</v>
      </c>
      <c r="B9695" s="380" t="str">
        <f>IFERROR(__xludf.DUMMYFUNCTION("""COMPUTED_VALUE"""),"Bomba Agua Motor Isf 3.8 Foton 770102355")</f>
        <v>Bomba Agua Motor Isf 3.8 Foton 770102355</v>
      </c>
      <c r="C9695" s="380" t="str">
        <f>IFERROR(__xludf.DUMMYFUNCTION("""COMPUTED_VALUE"""),"70005116")</f>
        <v>70005116</v>
      </c>
      <c r="D9695" s="380" t="s">
        <v>767</v>
      </c>
      <c r="E9695" s="380" t="s">
        <v>786</v>
      </c>
      <c r="F9695" s="380" t="s">
        <v>787</v>
      </c>
      <c r="G9695" s="380" t="s">
        <v>1267</v>
      </c>
      <c r="H9695" s="380" t="s">
        <v>771</v>
      </c>
      <c r="I9695" s="380" t="s">
        <v>788</v>
      </c>
      <c r="J9695" s="380" t="s">
        <v>773</v>
      </c>
      <c r="K9695" s="381">
        <v>0.0</v>
      </c>
      <c r="L9695" s="382">
        <v>1.0</v>
      </c>
    </row>
    <row r="9696">
      <c r="A9696" s="380" t="s">
        <v>10570</v>
      </c>
      <c r="B9696" s="380" t="str">
        <f>IFERROR(__xludf.DUMMYFUNCTION("""COMPUTED_VALUE"""),"Boquilla TANQ COMB Nkr Fabricado")</f>
        <v>Boquilla TANQ COMB Nkr Fabricado</v>
      </c>
      <c r="C9696" s="380" t="str">
        <f>IFERROR(__xludf.DUMMYFUNCTION("""COMPUTED_VALUE"""),"70005117")</f>
        <v>70005117</v>
      </c>
      <c r="D9696" s="380" t="s">
        <v>767</v>
      </c>
      <c r="E9696" s="380" t="s">
        <v>786</v>
      </c>
      <c r="F9696" s="380" t="s">
        <v>792</v>
      </c>
      <c r="G9696" s="380" t="s">
        <v>1267</v>
      </c>
      <c r="H9696" s="380" t="s">
        <v>771</v>
      </c>
      <c r="I9696" s="380" t="s">
        <v>788</v>
      </c>
      <c r="J9696" s="380" t="s">
        <v>773</v>
      </c>
      <c r="K9696" s="381">
        <v>0.0</v>
      </c>
      <c r="L9696" s="382">
        <v>1.0</v>
      </c>
    </row>
    <row r="9697">
      <c r="A9697" s="380" t="s">
        <v>10571</v>
      </c>
      <c r="B9697" s="380" t="str">
        <f>IFERROR(__xludf.DUMMYFUNCTION("""COMPUTED_VALUE"""),"Base Trampa FILT Completo COMB MCK Cxu 2")</f>
        <v>Base Trampa FILT Completo COMB MCK Cxu 2</v>
      </c>
      <c r="C9697" s="380" t="str">
        <f>IFERROR(__xludf.DUMMYFUNCTION("""COMPUTED_VALUE"""),"70005118")</f>
        <v>70005118</v>
      </c>
      <c r="D9697" s="380" t="s">
        <v>767</v>
      </c>
      <c r="E9697" s="380" t="s">
        <v>786</v>
      </c>
      <c r="F9697" s="380" t="s">
        <v>787</v>
      </c>
      <c r="G9697" s="380" t="s">
        <v>1267</v>
      </c>
      <c r="H9697" s="380" t="s">
        <v>771</v>
      </c>
      <c r="I9697" s="380" t="s">
        <v>788</v>
      </c>
      <c r="J9697" s="380" t="s">
        <v>773</v>
      </c>
      <c r="K9697" s="381">
        <v>0.0</v>
      </c>
      <c r="L9697" s="382">
        <v>1.0</v>
      </c>
    </row>
    <row r="9698">
      <c r="A9698" s="380" t="s">
        <v>10572</v>
      </c>
      <c r="B9698" s="380" t="str">
        <f>IFERROR(__xludf.DUMMYFUNCTION("""COMPUTED_VALUE"""),"Gorro Valvula Foton 1030 7705946760362")</f>
        <v>Gorro Valvula Foton 1030 7705946760362</v>
      </c>
      <c r="C9698" s="380" t="str">
        <f>IFERROR(__xludf.DUMMYFUNCTION("""COMPUTED_VALUE"""),"70005119")</f>
        <v>70005119</v>
      </c>
      <c r="D9698" s="380" t="s">
        <v>767</v>
      </c>
      <c r="E9698" s="380" t="s">
        <v>786</v>
      </c>
      <c r="F9698" s="380" t="s">
        <v>787</v>
      </c>
      <c r="G9698" s="380" t="s">
        <v>1267</v>
      </c>
      <c r="H9698" s="380" t="s">
        <v>771</v>
      </c>
      <c r="I9698" s="380" t="s">
        <v>788</v>
      </c>
      <c r="J9698" s="380" t="s">
        <v>773</v>
      </c>
      <c r="K9698" s="381">
        <v>0.0</v>
      </c>
      <c r="L9698" s="382">
        <v>1.0</v>
      </c>
    </row>
    <row r="9699">
      <c r="A9699" s="380" t="s">
        <v>10573</v>
      </c>
      <c r="B9699" s="380" t="str">
        <f>IFERROR(__xludf.DUMMYFUNCTION("""COMPUTED_VALUE"""),"Guaya Acelerador FT 1030 7705946760102")</f>
        <v>Guaya Acelerador FT 1030 7705946760102</v>
      </c>
      <c r="C9699" s="380" t="str">
        <f>IFERROR(__xludf.DUMMYFUNCTION("""COMPUTED_VALUE"""),"70005120")</f>
        <v>70005120</v>
      </c>
      <c r="D9699" s="380" t="s">
        <v>767</v>
      </c>
      <c r="E9699" s="380" t="s">
        <v>786</v>
      </c>
      <c r="F9699" s="380" t="s">
        <v>787</v>
      </c>
      <c r="G9699" s="380" t="s">
        <v>1267</v>
      </c>
      <c r="H9699" s="380" t="s">
        <v>771</v>
      </c>
      <c r="I9699" s="380" t="s">
        <v>788</v>
      </c>
      <c r="J9699" s="380" t="s">
        <v>773</v>
      </c>
      <c r="K9699" s="381">
        <v>0.0</v>
      </c>
      <c r="L9699" s="382">
        <v>1.0</v>
      </c>
    </row>
    <row r="9700">
      <c r="A9700" s="380" t="s">
        <v>10574</v>
      </c>
      <c r="B9700" s="380" t="str">
        <f>IFERROR(__xludf.DUMMYFUNCTION("""COMPUTED_VALUE"""),"FILT COMB Planta ELEC Ff167 Fleetguard")</f>
        <v>FILT COMB Planta ELEC Ff167 Fleetguard</v>
      </c>
      <c r="C9700" s="380" t="str">
        <f>IFERROR(__xludf.DUMMYFUNCTION("""COMPUTED_VALUE"""),"70005121")</f>
        <v>70005121</v>
      </c>
      <c r="D9700" s="380" t="s">
        <v>767</v>
      </c>
      <c r="E9700" s="380" t="s">
        <v>786</v>
      </c>
      <c r="F9700" s="380" t="s">
        <v>5855</v>
      </c>
      <c r="G9700" s="380" t="s">
        <v>1267</v>
      </c>
      <c r="H9700" s="380" t="s">
        <v>771</v>
      </c>
      <c r="I9700" s="380" t="s">
        <v>788</v>
      </c>
      <c r="J9700" s="380" t="s">
        <v>773</v>
      </c>
      <c r="K9700" s="381">
        <v>0.0</v>
      </c>
      <c r="L9700" s="382">
        <v>1.0</v>
      </c>
    </row>
    <row r="9701">
      <c r="A9701" s="380" t="s">
        <v>10575</v>
      </c>
      <c r="B9701" s="380" t="str">
        <f>IFERROR(__xludf.DUMMYFUNCTION("""COMPUTED_VALUE"""),"FILT AIR Planta ELEC Af26659 Monteria")</f>
        <v>FILT AIR Planta ELEC Af26659 Monteria</v>
      </c>
      <c r="C9701" s="380" t="str">
        <f>IFERROR(__xludf.DUMMYFUNCTION("""COMPUTED_VALUE"""),"70005122")</f>
        <v>70005122</v>
      </c>
      <c r="D9701" s="380" t="s">
        <v>767</v>
      </c>
      <c r="E9701" s="380" t="s">
        <v>786</v>
      </c>
      <c r="F9701" s="380" t="s">
        <v>5855</v>
      </c>
      <c r="G9701" s="380" t="s">
        <v>1267</v>
      </c>
      <c r="H9701" s="380" t="s">
        <v>771</v>
      </c>
      <c r="I9701" s="380" t="s">
        <v>788</v>
      </c>
      <c r="J9701" s="380" t="s">
        <v>773</v>
      </c>
      <c r="K9701" s="381">
        <v>0.0</v>
      </c>
      <c r="L9701" s="382">
        <v>1.0</v>
      </c>
    </row>
    <row r="9702">
      <c r="A9702" s="380" t="s">
        <v>10576</v>
      </c>
      <c r="B9702" s="380" t="str">
        <f>IFERROR(__xludf.DUMMYFUNCTION("""COMPUTED_VALUE"""),"SENS Sensor Reversa Jac 1042 7018174000")</f>
        <v>SENS Sensor Reversa Jac 1042 7018174000</v>
      </c>
      <c r="C9702" s="380" t="str">
        <f>IFERROR(__xludf.DUMMYFUNCTION("""COMPUTED_VALUE"""),"70005123")</f>
        <v>70005123</v>
      </c>
      <c r="D9702" s="380" t="s">
        <v>767</v>
      </c>
      <c r="E9702" s="380" t="s">
        <v>786</v>
      </c>
      <c r="F9702" s="380" t="s">
        <v>998</v>
      </c>
      <c r="G9702" s="380" t="s">
        <v>1267</v>
      </c>
      <c r="H9702" s="380" t="s">
        <v>771</v>
      </c>
      <c r="I9702" s="380" t="s">
        <v>788</v>
      </c>
      <c r="J9702" s="380" t="s">
        <v>773</v>
      </c>
      <c r="K9702" s="381">
        <v>0.0</v>
      </c>
      <c r="L9702" s="382">
        <v>1.0</v>
      </c>
    </row>
    <row r="9703">
      <c r="A9703" s="380" t="s">
        <v>10577</v>
      </c>
      <c r="B9703" s="380" t="str">
        <f>IFERROR(__xludf.DUMMYFUNCTION("""COMPUTED_VALUE"""),"Disco Embrague Daf Cf480 Ftt 2208754")</f>
        <v>Disco Embrague Daf Cf480 Ftt 2208754</v>
      </c>
      <c r="C9703" s="380" t="str">
        <f>IFERROR(__xludf.DUMMYFUNCTION("""COMPUTED_VALUE"""),"70005124")</f>
        <v>70005124</v>
      </c>
      <c r="D9703" s="380" t="s">
        <v>767</v>
      </c>
      <c r="E9703" s="380" t="s">
        <v>786</v>
      </c>
      <c r="F9703" s="380" t="s">
        <v>5661</v>
      </c>
      <c r="G9703" s="380" t="s">
        <v>1267</v>
      </c>
      <c r="H9703" s="380" t="s">
        <v>771</v>
      </c>
      <c r="I9703" s="380" t="s">
        <v>788</v>
      </c>
      <c r="J9703" s="380" t="s">
        <v>773</v>
      </c>
      <c r="K9703" s="381">
        <v>0.0</v>
      </c>
      <c r="L9703" s="382">
        <v>1.0</v>
      </c>
    </row>
    <row r="9704">
      <c r="A9704" s="380" t="s">
        <v>10578</v>
      </c>
      <c r="B9704" s="380" t="str">
        <f>IFERROR(__xludf.DUMMYFUNCTION("""COMPUTED_VALUE"""),"Bandas De Freno TRAS Van DFENG Ev 550060")</f>
        <v>Bandas De Freno TRAS Van DFENG Ev 550060</v>
      </c>
      <c r="C9704" s="380" t="str">
        <f>IFERROR(__xludf.DUMMYFUNCTION("""COMPUTED_VALUE"""),"70005125")</f>
        <v>70005125</v>
      </c>
      <c r="D9704" s="380" t="s">
        <v>767</v>
      </c>
      <c r="E9704" s="380" t="s">
        <v>786</v>
      </c>
      <c r="F9704" s="380" t="s">
        <v>1017</v>
      </c>
      <c r="G9704" s="380" t="s">
        <v>1267</v>
      </c>
      <c r="H9704" s="380" t="s">
        <v>771</v>
      </c>
      <c r="I9704" s="380" t="s">
        <v>788</v>
      </c>
      <c r="J9704" s="380" t="s">
        <v>773</v>
      </c>
      <c r="K9704" s="381">
        <v>0.0</v>
      </c>
      <c r="L9704" s="382">
        <v>1.0</v>
      </c>
    </row>
    <row r="9705">
      <c r="A9705" s="380" t="s">
        <v>10579</v>
      </c>
      <c r="B9705" s="380" t="str">
        <f>IFERROR(__xludf.DUMMYFUNCTION("""COMPUTED_VALUE"""),"Visera Parasol Daf Cf480 Ftt 2303006")</f>
        <v>Visera Parasol Daf Cf480 Ftt 2303006</v>
      </c>
      <c r="C9705" s="380" t="str">
        <f>IFERROR(__xludf.DUMMYFUNCTION("""COMPUTED_VALUE"""),"70005126")</f>
        <v>70005126</v>
      </c>
      <c r="D9705" s="380" t="s">
        <v>767</v>
      </c>
      <c r="E9705" s="380" t="s">
        <v>786</v>
      </c>
      <c r="F9705" s="380" t="s">
        <v>792</v>
      </c>
      <c r="G9705" s="380" t="s">
        <v>1267</v>
      </c>
      <c r="H9705" s="380" t="s">
        <v>771</v>
      </c>
      <c r="I9705" s="380" t="s">
        <v>788</v>
      </c>
      <c r="J9705" s="380" t="s">
        <v>773</v>
      </c>
      <c r="K9705" s="381">
        <v>0.0</v>
      </c>
      <c r="L9705" s="382">
        <v>1.0</v>
      </c>
    </row>
    <row r="9706">
      <c r="A9706" s="380" t="s">
        <v>10580</v>
      </c>
      <c r="B9706" s="380" t="str">
        <f>IFERROR(__xludf.DUMMYFUNCTION("""COMPUTED_VALUE"""),"Cremallera Elevavidrio PTA DER Prostar 3")</f>
        <v>Cremallera Elevavidrio PTA DER Prostar 3</v>
      </c>
      <c r="C9706" s="380" t="str">
        <f>IFERROR(__xludf.DUMMYFUNCTION("""COMPUTED_VALUE"""),"70005127")</f>
        <v>70005127</v>
      </c>
      <c r="D9706" s="380" t="s">
        <v>767</v>
      </c>
      <c r="E9706" s="380" t="s">
        <v>786</v>
      </c>
      <c r="F9706" s="380" t="s">
        <v>792</v>
      </c>
      <c r="G9706" s="380" t="s">
        <v>1267</v>
      </c>
      <c r="H9706" s="380" t="s">
        <v>771</v>
      </c>
      <c r="I9706" s="380" t="s">
        <v>788</v>
      </c>
      <c r="J9706" s="380" t="s">
        <v>773</v>
      </c>
      <c r="K9706" s="381">
        <v>0.0</v>
      </c>
      <c r="L9706" s="382">
        <v>1.0</v>
      </c>
    </row>
    <row r="9707">
      <c r="A9707" s="380" t="s">
        <v>10581</v>
      </c>
      <c r="B9707" s="380" t="str">
        <f>IFERROR(__xludf.DUMMYFUNCTION("""COMPUTED_VALUE"""),"Puente Valvula Admision Motor Isx Eagle")</f>
        <v>Puente Valvula Admision Motor Isx Eagle</v>
      </c>
      <c r="C9707" s="380" t="str">
        <f>IFERROR(__xludf.DUMMYFUNCTION("""COMPUTED_VALUE"""),"70005128")</f>
        <v>70005128</v>
      </c>
      <c r="D9707" s="380" t="s">
        <v>767</v>
      </c>
      <c r="E9707" s="380" t="s">
        <v>786</v>
      </c>
      <c r="F9707" s="380" t="s">
        <v>787</v>
      </c>
      <c r="G9707" s="380" t="s">
        <v>1267</v>
      </c>
      <c r="H9707" s="380" t="s">
        <v>771</v>
      </c>
      <c r="I9707" s="380" t="s">
        <v>788</v>
      </c>
      <c r="J9707" s="380" t="s">
        <v>773</v>
      </c>
      <c r="K9707" s="381">
        <v>0.0</v>
      </c>
      <c r="L9707" s="382">
        <v>1.0</v>
      </c>
    </row>
    <row r="9708">
      <c r="A9708" s="380" t="s">
        <v>10582</v>
      </c>
      <c r="B9708" s="380" t="str">
        <f>IFERROR(__xludf.DUMMYFUNCTION("""COMPUTED_VALUE"""),"Portaescobillas MOT ARR Jac 1042 698302")</f>
        <v>Portaescobillas MOT ARR Jac 1042 698302</v>
      </c>
      <c r="C9708" s="380" t="str">
        <f>IFERROR(__xludf.DUMMYFUNCTION("""COMPUTED_VALUE"""),"70005129")</f>
        <v>70005129</v>
      </c>
      <c r="D9708" s="380" t="s">
        <v>767</v>
      </c>
      <c r="E9708" s="380" t="s">
        <v>786</v>
      </c>
      <c r="F9708" s="380" t="s">
        <v>998</v>
      </c>
      <c r="G9708" s="380" t="s">
        <v>1267</v>
      </c>
      <c r="H9708" s="380" t="s">
        <v>771</v>
      </c>
      <c r="I9708" s="380" t="s">
        <v>788</v>
      </c>
      <c r="J9708" s="380" t="s">
        <v>773</v>
      </c>
      <c r="K9708" s="381">
        <v>0.0</v>
      </c>
      <c r="L9708" s="382">
        <v>1.0</v>
      </c>
    </row>
    <row r="9709">
      <c r="A9709" s="380" t="s">
        <v>10583</v>
      </c>
      <c r="B9709" s="380" t="str">
        <f>IFERROR(__xludf.DUMMYFUNCTION("""COMPUTED_VALUE"""),"Enfriador Completo Aceite MOT Npr 897385")</f>
        <v>Enfriador Completo Aceite MOT Npr 897385</v>
      </c>
      <c r="C9709" s="380" t="str">
        <f>IFERROR(__xludf.DUMMYFUNCTION("""COMPUTED_VALUE"""),"70005130")</f>
        <v>70005130</v>
      </c>
      <c r="D9709" s="380" t="s">
        <v>767</v>
      </c>
      <c r="E9709" s="380" t="s">
        <v>786</v>
      </c>
      <c r="F9709" s="380" t="s">
        <v>787</v>
      </c>
      <c r="G9709" s="380" t="s">
        <v>1267</v>
      </c>
      <c r="H9709" s="380" t="s">
        <v>771</v>
      </c>
      <c r="I9709" s="380" t="s">
        <v>788</v>
      </c>
      <c r="J9709" s="380" t="s">
        <v>773</v>
      </c>
      <c r="K9709" s="381">
        <v>0.0</v>
      </c>
      <c r="L9709" s="382">
        <v>1.0</v>
      </c>
    </row>
    <row r="9710">
      <c r="A9710" s="380" t="s">
        <v>10584</v>
      </c>
      <c r="B9710" s="380" t="str">
        <f>IFERROR(__xludf.DUMMYFUNCTION("""COMPUTED_VALUE"""),"Perno Culata Foton 1030 7700149448666")</f>
        <v>Perno Culata Foton 1030 7700149448666</v>
      </c>
      <c r="C9710" s="380" t="str">
        <f>IFERROR(__xludf.DUMMYFUNCTION("""COMPUTED_VALUE"""),"70005131")</f>
        <v>70005131</v>
      </c>
      <c r="D9710" s="380" t="s">
        <v>767</v>
      </c>
      <c r="E9710" s="380" t="s">
        <v>786</v>
      </c>
      <c r="F9710" s="380" t="s">
        <v>787</v>
      </c>
      <c r="G9710" s="380" t="s">
        <v>1267</v>
      </c>
      <c r="H9710" s="380" t="s">
        <v>771</v>
      </c>
      <c r="I9710" s="380" t="s">
        <v>788</v>
      </c>
      <c r="J9710" s="380" t="s">
        <v>773</v>
      </c>
      <c r="K9710" s="381">
        <v>0.0</v>
      </c>
      <c r="L9710" s="382">
        <v>1.0</v>
      </c>
    </row>
    <row r="9711">
      <c r="A9711" s="380" t="s">
        <v>10585</v>
      </c>
      <c r="B9711" s="380" t="str">
        <f>IFERROR(__xludf.DUMMYFUNCTION("""COMPUTED_VALUE"""),"RET Der Cigueñal FT 1030 7700149338448")</f>
        <v>RET Der Cigueñal FT 1030 7700149338448</v>
      </c>
      <c r="C9711" s="380" t="str">
        <f>IFERROR(__xludf.DUMMYFUNCTION("""COMPUTED_VALUE"""),"70005132")</f>
        <v>70005132</v>
      </c>
      <c r="D9711" s="380" t="s">
        <v>767</v>
      </c>
      <c r="E9711" s="380" t="s">
        <v>786</v>
      </c>
      <c r="F9711" s="380" t="s">
        <v>787</v>
      </c>
      <c r="G9711" s="380" t="s">
        <v>1267</v>
      </c>
      <c r="H9711" s="380" t="s">
        <v>771</v>
      </c>
      <c r="I9711" s="380" t="s">
        <v>788</v>
      </c>
      <c r="J9711" s="380" t="s">
        <v>773</v>
      </c>
      <c r="K9711" s="381">
        <v>0.0</v>
      </c>
      <c r="L9711" s="382">
        <v>1.0</v>
      </c>
    </row>
    <row r="9712">
      <c r="A9712" s="380" t="s">
        <v>10586</v>
      </c>
      <c r="B9712" s="380" t="str">
        <f>IFERROR(__xludf.DUMMYFUNCTION("""COMPUTED_VALUE"""),"RET Tracero Cigueñal FT 1030 77059467603")</f>
        <v>RET Tracero Cigueñal FT 1030 77059467603</v>
      </c>
      <c r="C9712" s="380" t="str">
        <f>IFERROR(__xludf.DUMMYFUNCTION("""COMPUTED_VALUE"""),"70005133")</f>
        <v>70005133</v>
      </c>
      <c r="D9712" s="380" t="s">
        <v>767</v>
      </c>
      <c r="E9712" s="380" t="s">
        <v>786</v>
      </c>
      <c r="F9712" s="380" t="s">
        <v>787</v>
      </c>
      <c r="G9712" s="380" t="s">
        <v>1267</v>
      </c>
      <c r="H9712" s="380" t="s">
        <v>771</v>
      </c>
      <c r="I9712" s="380" t="s">
        <v>788</v>
      </c>
      <c r="J9712" s="380" t="s">
        <v>773</v>
      </c>
      <c r="K9712" s="381">
        <v>0.0</v>
      </c>
      <c r="L9712" s="382">
        <v>1.0</v>
      </c>
    </row>
    <row r="9713">
      <c r="A9713" s="380" t="s">
        <v>10587</v>
      </c>
      <c r="B9713" s="380" t="str">
        <f>IFERROR(__xludf.DUMMYFUNCTION("""COMPUTED_VALUE"""),"EMP Tapa VALVs FT 1030 7705946760270")</f>
        <v>EMP Tapa VALVs FT 1030 7705946760270</v>
      </c>
      <c r="C9713" s="380" t="str">
        <f>IFERROR(__xludf.DUMMYFUNCTION("""COMPUTED_VALUE"""),"70005134")</f>
        <v>70005134</v>
      </c>
      <c r="D9713" s="380" t="s">
        <v>767</v>
      </c>
      <c r="E9713" s="380" t="s">
        <v>786</v>
      </c>
      <c r="F9713" s="380" t="s">
        <v>787</v>
      </c>
      <c r="G9713" s="380" t="s">
        <v>1267</v>
      </c>
      <c r="H9713" s="380" t="s">
        <v>771</v>
      </c>
      <c r="I9713" s="380" t="s">
        <v>788</v>
      </c>
      <c r="J9713" s="380" t="s">
        <v>773</v>
      </c>
      <c r="K9713" s="381">
        <v>0.0</v>
      </c>
      <c r="L9713" s="382">
        <v>1.0</v>
      </c>
    </row>
    <row r="9714">
      <c r="A9714" s="380" t="s">
        <v>10588</v>
      </c>
      <c r="B9714" s="380" t="str">
        <f>IFERROR(__xludf.DUMMYFUNCTION("""COMPUTED_VALUE"""),"EMP Multiple Escape FT 1030 770594676041")</f>
        <v>EMP Multiple Escape FT 1030 770594676041</v>
      </c>
      <c r="C9714" s="380" t="str">
        <f>IFERROR(__xludf.DUMMYFUNCTION("""COMPUTED_VALUE"""),"70005135")</f>
        <v>70005135</v>
      </c>
      <c r="D9714" s="380" t="s">
        <v>767</v>
      </c>
      <c r="E9714" s="380" t="s">
        <v>786</v>
      </c>
      <c r="F9714" s="380" t="s">
        <v>787</v>
      </c>
      <c r="G9714" s="380" t="s">
        <v>1267</v>
      </c>
      <c r="H9714" s="380" t="s">
        <v>771</v>
      </c>
      <c r="I9714" s="380" t="s">
        <v>788</v>
      </c>
      <c r="J9714" s="380" t="s">
        <v>773</v>
      </c>
      <c r="K9714" s="381">
        <v>0.0</v>
      </c>
      <c r="L9714" s="382">
        <v>1.0</v>
      </c>
    </row>
    <row r="9715">
      <c r="A9715" s="380" t="s">
        <v>10589</v>
      </c>
      <c r="B9715" s="380" t="str">
        <f>IFERROR(__xludf.DUMMYFUNCTION("""COMPUTED_VALUE"""),"Vidro PTA DER DFENG Modelo 2020")</f>
        <v>Vidro PTA DER DFENG Modelo 2020</v>
      </c>
      <c r="C9715" s="380" t="str">
        <f>IFERROR(__xludf.DUMMYFUNCTION("""COMPUTED_VALUE"""),"70005136")</f>
        <v>70005136</v>
      </c>
      <c r="D9715" s="380" t="s">
        <v>767</v>
      </c>
      <c r="E9715" s="380" t="s">
        <v>786</v>
      </c>
      <c r="F9715" s="380" t="s">
        <v>792</v>
      </c>
      <c r="G9715" s="380" t="s">
        <v>1267</v>
      </c>
      <c r="H9715" s="380" t="s">
        <v>771</v>
      </c>
      <c r="I9715" s="380" t="s">
        <v>788</v>
      </c>
      <c r="J9715" s="380" t="s">
        <v>773</v>
      </c>
      <c r="K9715" s="381">
        <v>0.0</v>
      </c>
      <c r="L9715" s="382">
        <v>1.0</v>
      </c>
    </row>
    <row r="9716">
      <c r="A9716" s="380" t="s">
        <v>10590</v>
      </c>
      <c r="B9716" s="380" t="str">
        <f>IFERROR(__xludf.DUMMYFUNCTION("""COMPUTED_VALUE"""),"Repuestos Varios Van Dongfeng Electrica")</f>
        <v>Repuestos Varios Van Dongfeng Electrica</v>
      </c>
      <c r="C9716" s="380" t="str">
        <f>IFERROR(__xludf.DUMMYFUNCTION("""COMPUTED_VALUE"""),"70005137")</f>
        <v>70005137</v>
      </c>
      <c r="D9716" s="380" t="s">
        <v>767</v>
      </c>
      <c r="E9716" s="380" t="s">
        <v>786</v>
      </c>
      <c r="F9716" s="380" t="s">
        <v>1017</v>
      </c>
      <c r="G9716" s="380" t="s">
        <v>1267</v>
      </c>
      <c r="H9716" s="380" t="s">
        <v>771</v>
      </c>
      <c r="I9716" s="380" t="s">
        <v>788</v>
      </c>
      <c r="J9716" s="380" t="s">
        <v>773</v>
      </c>
      <c r="K9716" s="381">
        <v>0.0</v>
      </c>
      <c r="L9716" s="382">
        <v>1.0</v>
      </c>
    </row>
    <row r="9717">
      <c r="A9717" s="380" t="s">
        <v>10591</v>
      </c>
      <c r="B9717" s="380" t="str">
        <f>IFERROR(__xludf.DUMMYFUNCTION("""COMPUTED_VALUE"""),"Bocin RDA DEL Jac 1042 Yf31a10403015")</f>
        <v>Bocin RDA DEL Jac 1042 Yf31a10403015</v>
      </c>
      <c r="C9717" s="380" t="str">
        <f>IFERROR(__xludf.DUMMYFUNCTION("""COMPUTED_VALUE"""),"70005138")</f>
        <v>70005138</v>
      </c>
      <c r="D9717" s="380" t="s">
        <v>767</v>
      </c>
      <c r="E9717" s="380" t="s">
        <v>786</v>
      </c>
      <c r="F9717" s="380" t="s">
        <v>1039</v>
      </c>
      <c r="G9717" s="380" t="s">
        <v>1267</v>
      </c>
      <c r="H9717" s="380" t="s">
        <v>771</v>
      </c>
      <c r="I9717" s="380" t="s">
        <v>788</v>
      </c>
      <c r="J9717" s="380" t="s">
        <v>773</v>
      </c>
      <c r="K9717" s="381">
        <v>0.0</v>
      </c>
      <c r="L9717" s="382">
        <v>1.0</v>
      </c>
    </row>
    <row r="9718">
      <c r="A9718" s="380" t="s">
        <v>10592</v>
      </c>
      <c r="B9718" s="380" t="str">
        <f>IFERROR(__xludf.DUMMYFUNCTION("""COMPUTED_VALUE"""),"CAM Freno Tras Lh FT 1129 7701023620031")</f>
        <v>CAM Freno Tras Lh FT 1129 7701023620031</v>
      </c>
      <c r="C9718" s="380" t="str">
        <f>IFERROR(__xludf.DUMMYFUNCTION("""COMPUTED_VALUE"""),"70005139")</f>
        <v>70005139</v>
      </c>
      <c r="D9718" s="380" t="s">
        <v>767</v>
      </c>
      <c r="E9718" s="380" t="s">
        <v>786</v>
      </c>
      <c r="F9718" s="380" t="s">
        <v>1017</v>
      </c>
      <c r="G9718" s="380" t="s">
        <v>1267</v>
      </c>
      <c r="H9718" s="380" t="s">
        <v>771</v>
      </c>
      <c r="I9718" s="380" t="s">
        <v>788</v>
      </c>
      <c r="J9718" s="380" t="s">
        <v>773</v>
      </c>
      <c r="K9718" s="381">
        <v>0.0</v>
      </c>
      <c r="L9718" s="382">
        <v>1.0</v>
      </c>
    </row>
    <row r="9719">
      <c r="A9719" s="380" t="s">
        <v>10593</v>
      </c>
      <c r="B9719" s="380" t="str">
        <f>IFERROR(__xludf.DUMMYFUNCTION("""COMPUTED_VALUE"""),"SENS TEMP Agua Jac Jkr 1026310fa040")</f>
        <v>SENS TEMP Agua Jac Jkr 1026310fa040</v>
      </c>
      <c r="C9719" s="380" t="str">
        <f>IFERROR(__xludf.DUMMYFUNCTION("""COMPUTED_VALUE"""),"70005140")</f>
        <v>70005140</v>
      </c>
      <c r="D9719" s="380" t="s">
        <v>767</v>
      </c>
      <c r="E9719" s="380" t="s">
        <v>786</v>
      </c>
      <c r="F9719" s="380" t="s">
        <v>998</v>
      </c>
      <c r="G9719" s="380" t="s">
        <v>1267</v>
      </c>
      <c r="H9719" s="380" t="s">
        <v>771</v>
      </c>
      <c r="I9719" s="380" t="s">
        <v>788</v>
      </c>
      <c r="J9719" s="380" t="s">
        <v>773</v>
      </c>
      <c r="K9719" s="381">
        <v>0.0</v>
      </c>
      <c r="L9719" s="382">
        <v>1.0</v>
      </c>
    </row>
    <row r="9720">
      <c r="A9720" s="380" t="s">
        <v>10594</v>
      </c>
      <c r="B9720" s="380" t="str">
        <f>IFERROR(__xludf.DUMMYFUNCTION("""COMPUTED_VALUE"""),"Filtro Aiere Planta Ibague Da2772")</f>
        <v>Filtro Aiere Planta Ibague Da2772</v>
      </c>
      <c r="C9720" s="380" t="str">
        <f>IFERROR(__xludf.DUMMYFUNCTION("""COMPUTED_VALUE"""),"70005141")</f>
        <v>70005141</v>
      </c>
      <c r="D9720" s="380" t="s">
        <v>767</v>
      </c>
      <c r="E9720" s="380" t="s">
        <v>786</v>
      </c>
      <c r="F9720" s="380" t="s">
        <v>5855</v>
      </c>
      <c r="G9720" s="380" t="s">
        <v>1267</v>
      </c>
      <c r="H9720" s="380" t="s">
        <v>771</v>
      </c>
      <c r="I9720" s="380" t="s">
        <v>788</v>
      </c>
      <c r="J9720" s="380" t="s">
        <v>773</v>
      </c>
      <c r="K9720" s="381">
        <v>0.0</v>
      </c>
      <c r="L9720" s="382">
        <v>1.0</v>
      </c>
    </row>
    <row r="9721">
      <c r="A9721" s="380" t="s">
        <v>10595</v>
      </c>
      <c r="B9721" s="380" t="str">
        <f>IFERROR(__xludf.DUMMYFUNCTION("""COMPUTED_VALUE"""),"FILT AIR Planta ELEC Pasto Landini Da266")</f>
        <v>FILT AIR Planta ELEC Pasto Landini Da266</v>
      </c>
      <c r="C9721" s="380" t="str">
        <f>IFERROR(__xludf.DUMMYFUNCTION("""COMPUTED_VALUE"""),"70005142")</f>
        <v>70005142</v>
      </c>
      <c r="D9721" s="380" t="s">
        <v>767</v>
      </c>
      <c r="E9721" s="380" t="s">
        <v>786</v>
      </c>
      <c r="F9721" s="380" t="s">
        <v>5855</v>
      </c>
      <c r="G9721" s="380" t="s">
        <v>1267</v>
      </c>
      <c r="H9721" s="380" t="s">
        <v>771</v>
      </c>
      <c r="I9721" s="380" t="s">
        <v>788</v>
      </c>
      <c r="J9721" s="380" t="s">
        <v>773</v>
      </c>
      <c r="K9721" s="381">
        <v>0.0</v>
      </c>
      <c r="L9721" s="382">
        <v>1.0</v>
      </c>
    </row>
    <row r="9722">
      <c r="A9722" s="380" t="s">
        <v>10596</v>
      </c>
      <c r="B9722" s="380" t="str">
        <f>IFERROR(__xludf.DUMMYFUNCTION("""COMPUTED_VALUE"""),"Tubo Flexible De Escape 4"" Cabezote Fabr")</f>
        <v>Tubo Flexible De Escape 4" Cabezote Fabr</v>
      </c>
      <c r="C9722" s="380" t="str">
        <f>IFERROR(__xludf.DUMMYFUNCTION("""COMPUTED_VALUE"""),"70005143")</f>
        <v>70005143</v>
      </c>
      <c r="D9722" s="380" t="s">
        <v>767</v>
      </c>
      <c r="E9722" s="380" t="s">
        <v>786</v>
      </c>
      <c r="F9722" s="380" t="s">
        <v>792</v>
      </c>
      <c r="G9722" s="380" t="s">
        <v>1267</v>
      </c>
      <c r="H9722" s="380" t="s">
        <v>771</v>
      </c>
      <c r="I9722" s="380" t="s">
        <v>788</v>
      </c>
      <c r="J9722" s="380" t="s">
        <v>773</v>
      </c>
      <c r="K9722" s="381">
        <v>0.0</v>
      </c>
      <c r="L9722" s="382">
        <v>1.0</v>
      </c>
    </row>
    <row r="9723">
      <c r="A9723" s="380" t="s">
        <v>10597</v>
      </c>
      <c r="B9723" s="380" t="str">
        <f>IFERROR(__xludf.DUMMYFUNCTION("""COMPUTED_VALUE"""),"CAM Freno Tracero Rh FT 1128 77059468009")</f>
        <v>CAM Freno Tracero Rh FT 1128 77059468009</v>
      </c>
      <c r="C9723" s="380" t="str">
        <f>IFERROR(__xludf.DUMMYFUNCTION("""COMPUTED_VALUE"""),"70005144")</f>
        <v>70005144</v>
      </c>
      <c r="D9723" s="380" t="s">
        <v>767</v>
      </c>
      <c r="E9723" s="380" t="s">
        <v>786</v>
      </c>
      <c r="F9723" s="380" t="s">
        <v>1017</v>
      </c>
      <c r="G9723" s="380" t="s">
        <v>1267</v>
      </c>
      <c r="H9723" s="380" t="s">
        <v>771</v>
      </c>
      <c r="I9723" s="380" t="s">
        <v>788</v>
      </c>
      <c r="J9723" s="380" t="s">
        <v>773</v>
      </c>
      <c r="K9723" s="381">
        <v>0.0</v>
      </c>
      <c r="L9723" s="382">
        <v>1.0</v>
      </c>
    </row>
    <row r="9724">
      <c r="A9724" s="380" t="s">
        <v>10598</v>
      </c>
      <c r="B9724" s="380" t="str">
        <f>IFERROR(__xludf.DUMMYFUNCTION("""COMPUTED_VALUE"""),"FILT AIR Planta Manizales Ag971392a Goby")</f>
        <v>FILT AIR Planta Manizales Ag971392a Goby</v>
      </c>
      <c r="C9724" s="380" t="str">
        <f>IFERROR(__xludf.DUMMYFUNCTION("""COMPUTED_VALUE"""),"70005145")</f>
        <v>70005145</v>
      </c>
      <c r="D9724" s="380" t="s">
        <v>767</v>
      </c>
      <c r="E9724" s="380" t="s">
        <v>786</v>
      </c>
      <c r="F9724" s="380" t="s">
        <v>5855</v>
      </c>
      <c r="G9724" s="380" t="s">
        <v>1267</v>
      </c>
      <c r="H9724" s="380" t="s">
        <v>771</v>
      </c>
      <c r="I9724" s="380" t="s">
        <v>788</v>
      </c>
      <c r="J9724" s="380" t="s">
        <v>773</v>
      </c>
      <c r="K9724" s="381">
        <v>0.0</v>
      </c>
      <c r="L9724" s="382">
        <v>1.0</v>
      </c>
    </row>
    <row r="9725">
      <c r="A9725" s="380" t="s">
        <v>10599</v>
      </c>
      <c r="B9725" s="380" t="str">
        <f>IFERROR(__xludf.DUMMYFUNCTION("""COMPUTED_VALUE"""),"FILT AIR Planta Cucuta Da2671 Donsson Wm")</f>
        <v>FILT AIR Planta Cucuta Da2671 Donsson Wm</v>
      </c>
      <c r="C9725" s="380" t="str">
        <f>IFERROR(__xludf.DUMMYFUNCTION("""COMPUTED_VALUE"""),"70005146")</f>
        <v>70005146</v>
      </c>
      <c r="D9725" s="380" t="s">
        <v>767</v>
      </c>
      <c r="E9725" s="380" t="s">
        <v>786</v>
      </c>
      <c r="F9725" s="380" t="s">
        <v>5855</v>
      </c>
      <c r="G9725" s="380" t="s">
        <v>1267</v>
      </c>
      <c r="H9725" s="380" t="s">
        <v>771</v>
      </c>
      <c r="I9725" s="380" t="s">
        <v>788</v>
      </c>
      <c r="J9725" s="380" t="s">
        <v>773</v>
      </c>
      <c r="K9725" s="381">
        <v>0.0</v>
      </c>
      <c r="L9725" s="382">
        <v>1.0</v>
      </c>
    </row>
    <row r="9726">
      <c r="A9726" s="380" t="s">
        <v>10600</v>
      </c>
      <c r="B9726" s="380" t="str">
        <f>IFERROR(__xludf.DUMMYFUNCTION("""COMPUTED_VALUE"""),"Tapa TANQ COMB MCK Cxu613e 20770679")</f>
        <v>Tapa TANQ COMB MCK Cxu613e 20770679</v>
      </c>
      <c r="C9726" s="380" t="str">
        <f>IFERROR(__xludf.DUMMYFUNCTION("""COMPUTED_VALUE"""),"70005147")</f>
        <v>70005147</v>
      </c>
      <c r="D9726" s="380" t="s">
        <v>767</v>
      </c>
      <c r="E9726" s="380" t="s">
        <v>786</v>
      </c>
      <c r="F9726" s="380" t="s">
        <v>792</v>
      </c>
      <c r="G9726" s="380" t="s">
        <v>1267</v>
      </c>
      <c r="H9726" s="380" t="s">
        <v>771</v>
      </c>
      <c r="I9726" s="380" t="s">
        <v>788</v>
      </c>
      <c r="J9726" s="380" t="s">
        <v>773</v>
      </c>
      <c r="K9726" s="381">
        <v>0.0</v>
      </c>
      <c r="L9726" s="382">
        <v>1.0</v>
      </c>
    </row>
    <row r="9727">
      <c r="A9727" s="380" t="s">
        <v>10601</v>
      </c>
      <c r="B9727" s="380" t="str">
        <f>IFERROR(__xludf.DUMMYFUNCTION("""COMPUTED_VALUE"""),"Valvula Egr Cummins Isf 3.8 Foton 770102")</f>
        <v>Valvula Egr Cummins Isf 3.8 Foton 770102</v>
      </c>
      <c r="C9727" s="380" t="str">
        <f>IFERROR(__xludf.DUMMYFUNCTION("""COMPUTED_VALUE"""),"70005148")</f>
        <v>70005148</v>
      </c>
      <c r="D9727" s="380" t="s">
        <v>767</v>
      </c>
      <c r="E9727" s="380" t="s">
        <v>786</v>
      </c>
      <c r="F9727" s="380" t="s">
        <v>787</v>
      </c>
      <c r="G9727" s="380" t="s">
        <v>1267</v>
      </c>
      <c r="H9727" s="380" t="s">
        <v>771</v>
      </c>
      <c r="I9727" s="380" t="s">
        <v>788</v>
      </c>
      <c r="J9727" s="380" t="s">
        <v>773</v>
      </c>
      <c r="K9727" s="381">
        <v>0.0</v>
      </c>
      <c r="L9727" s="382">
        <v>1.0</v>
      </c>
    </row>
    <row r="9728">
      <c r="A9728" s="380" t="s">
        <v>10602</v>
      </c>
      <c r="B9728" s="380" t="str">
        <f>IFERROR(__xludf.DUMMYFUNCTION("""COMPUTED_VALUE"""),"Amortiguador De Vibraciones Daf 1929558")</f>
        <v>Amortiguador De Vibraciones Daf 1929558</v>
      </c>
      <c r="C9728" s="380" t="str">
        <f>IFERROR(__xludf.DUMMYFUNCTION("""COMPUTED_VALUE"""),"70005149")</f>
        <v>70005149</v>
      </c>
      <c r="D9728" s="380" t="s">
        <v>767</v>
      </c>
      <c r="E9728" s="380" t="s">
        <v>786</v>
      </c>
      <c r="F9728" s="380" t="s">
        <v>787</v>
      </c>
      <c r="G9728" s="380" t="s">
        <v>1267</v>
      </c>
      <c r="H9728" s="380" t="s">
        <v>771</v>
      </c>
      <c r="I9728" s="380" t="s">
        <v>788</v>
      </c>
      <c r="J9728" s="380" t="s">
        <v>773</v>
      </c>
      <c r="K9728" s="381">
        <v>0.0</v>
      </c>
      <c r="L9728" s="382">
        <v>1.0</v>
      </c>
    </row>
    <row r="9729">
      <c r="A9729" s="380" t="s">
        <v>10603</v>
      </c>
      <c r="B9729" s="380" t="str">
        <f>IFERROR(__xludf.DUMMYFUNCTION("""COMPUTED_VALUE"""),"FILT COMB Secundario Jmc 1054 Eng1-9456-")</f>
        <v>FILT COMB Secundario Jmc 1054 Eng1-9456-</v>
      </c>
      <c r="C9729" s="380" t="str">
        <f>IFERROR(__xludf.DUMMYFUNCTION("""COMPUTED_VALUE"""),"70005150")</f>
        <v>70005150</v>
      </c>
      <c r="D9729" s="380" t="s">
        <v>767</v>
      </c>
      <c r="E9729" s="380" t="s">
        <v>786</v>
      </c>
      <c r="F9729" s="380" t="s">
        <v>5855</v>
      </c>
      <c r="G9729" s="380" t="s">
        <v>1267</v>
      </c>
      <c r="H9729" s="380" t="s">
        <v>771</v>
      </c>
      <c r="I9729" s="380" t="s">
        <v>788</v>
      </c>
      <c r="J9729" s="380" t="s">
        <v>773</v>
      </c>
      <c r="K9729" s="381">
        <v>48800.0</v>
      </c>
      <c r="L9729" s="382">
        <v>1.0</v>
      </c>
    </row>
    <row r="9730">
      <c r="A9730" s="380" t="s">
        <v>10604</v>
      </c>
      <c r="B9730" s="380" t="str">
        <f>IFERROR(__xludf.DUMMYFUNCTION("""COMPUTED_VALUE"""),"FILT De COMB PRIM Jmc 1054 1100500020")</f>
        <v>FILT De COMB PRIM Jmc 1054 1100500020</v>
      </c>
      <c r="C9730" s="380" t="str">
        <f>IFERROR(__xludf.DUMMYFUNCTION("""COMPUTED_VALUE"""),"70005151")</f>
        <v>70005151</v>
      </c>
      <c r="D9730" s="380" t="s">
        <v>767</v>
      </c>
      <c r="E9730" s="380" t="s">
        <v>786</v>
      </c>
      <c r="F9730" s="380" t="s">
        <v>5855</v>
      </c>
      <c r="G9730" s="380" t="s">
        <v>1267</v>
      </c>
      <c r="H9730" s="380" t="s">
        <v>771</v>
      </c>
      <c r="I9730" s="380" t="s">
        <v>788</v>
      </c>
      <c r="J9730" s="380" t="s">
        <v>773</v>
      </c>
      <c r="K9730" s="381">
        <v>98400.0</v>
      </c>
      <c r="L9730" s="382">
        <v>1.0</v>
      </c>
    </row>
    <row r="9731">
      <c r="A9731" s="380" t="s">
        <v>10605</v>
      </c>
      <c r="B9731" s="380" t="str">
        <f>IFERROR(__xludf.DUMMYFUNCTION("""COMPUTED_VALUE"""),"Parabrisas Laminado Sc 1157")</f>
        <v>Parabrisas Laminado Sc 1157</v>
      </c>
      <c r="C9731" s="380" t="str">
        <f>IFERROR(__xludf.DUMMYFUNCTION("""COMPUTED_VALUE"""),"70005152")</f>
        <v>70005152</v>
      </c>
      <c r="D9731" s="380" t="s">
        <v>767</v>
      </c>
      <c r="E9731" s="380" t="s">
        <v>786</v>
      </c>
      <c r="F9731" s="380" t="s">
        <v>792</v>
      </c>
      <c r="G9731" s="380" t="s">
        <v>1267</v>
      </c>
      <c r="H9731" s="380" t="s">
        <v>771</v>
      </c>
      <c r="I9731" s="380" t="s">
        <v>788</v>
      </c>
      <c r="J9731" s="380" t="s">
        <v>773</v>
      </c>
      <c r="K9731" s="381">
        <v>0.0</v>
      </c>
      <c r="L9731" s="382">
        <v>1.0</v>
      </c>
    </row>
    <row r="9732">
      <c r="A9732" s="380" t="s">
        <v>10606</v>
      </c>
      <c r="B9732" s="380" t="str">
        <f>IFERROR(__xludf.DUMMYFUNCTION("""COMPUTED_VALUE"""),"FILT De Aceite MOT Jmc 1054 Gn1-6614-Cb")</f>
        <v>FILT De Aceite MOT Jmc 1054 Gn1-6614-Cb</v>
      </c>
      <c r="C9732" s="380" t="str">
        <f>IFERROR(__xludf.DUMMYFUNCTION("""COMPUTED_VALUE"""),"70005153")</f>
        <v>70005153</v>
      </c>
      <c r="D9732" s="380" t="s">
        <v>767</v>
      </c>
      <c r="E9732" s="380" t="s">
        <v>786</v>
      </c>
      <c r="F9732" s="380" t="s">
        <v>5855</v>
      </c>
      <c r="G9732" s="380" t="s">
        <v>1267</v>
      </c>
      <c r="H9732" s="380" t="s">
        <v>771</v>
      </c>
      <c r="I9732" s="380" t="s">
        <v>788</v>
      </c>
      <c r="J9732" s="380" t="s">
        <v>773</v>
      </c>
      <c r="K9732" s="381">
        <v>28327.0</v>
      </c>
      <c r="L9732" s="382">
        <v>1.0</v>
      </c>
    </row>
    <row r="9733">
      <c r="A9733" s="380" t="s">
        <v>10607</v>
      </c>
      <c r="B9733" s="380" t="str">
        <f>IFERROR(__xludf.DUMMYFUNCTION("""COMPUTED_VALUE"""),"Reten 48x65x9 Propulsor CJ FT 1129 77059")</f>
        <v>Reten 48x65x9 Propulsor CJ FT 1129 77059</v>
      </c>
      <c r="C9733" s="380" t="str">
        <f>IFERROR(__xludf.DUMMYFUNCTION("""COMPUTED_VALUE"""),"70005154")</f>
        <v>70005154</v>
      </c>
      <c r="D9733" s="380" t="s">
        <v>767</v>
      </c>
      <c r="E9733" s="380" t="s">
        <v>786</v>
      </c>
      <c r="F9733" s="380" t="s">
        <v>928</v>
      </c>
      <c r="G9733" s="380" t="s">
        <v>1267</v>
      </c>
      <c r="H9733" s="380" t="s">
        <v>771</v>
      </c>
      <c r="I9733" s="380" t="s">
        <v>788</v>
      </c>
      <c r="J9733" s="380" t="s">
        <v>773</v>
      </c>
      <c r="K9733" s="381">
        <v>0.0</v>
      </c>
      <c r="L9733" s="382">
        <v>1.0</v>
      </c>
    </row>
    <row r="9734">
      <c r="A9734" s="380" t="s">
        <v>10608</v>
      </c>
      <c r="B9734" s="380" t="str">
        <f>IFERROR(__xludf.DUMMYFUNCTION("""COMPUTED_VALUE"""),"Cinturon Seguridad Retractil INT Lt 2515")</f>
        <v>Cinturon Seguridad Retractil INT Lt 2515</v>
      </c>
      <c r="C9734" s="380" t="str">
        <f>IFERROR(__xludf.DUMMYFUNCTION("""COMPUTED_VALUE"""),"70005155")</f>
        <v>70005155</v>
      </c>
      <c r="D9734" s="380" t="s">
        <v>767</v>
      </c>
      <c r="E9734" s="380" t="s">
        <v>786</v>
      </c>
      <c r="F9734" s="380" t="s">
        <v>792</v>
      </c>
      <c r="G9734" s="380" t="s">
        <v>1267</v>
      </c>
      <c r="H9734" s="380" t="s">
        <v>771</v>
      </c>
      <c r="I9734" s="380" t="s">
        <v>788</v>
      </c>
      <c r="J9734" s="380" t="s">
        <v>773</v>
      </c>
      <c r="K9734" s="381">
        <v>0.0</v>
      </c>
      <c r="L9734" s="382">
        <v>1.0</v>
      </c>
    </row>
    <row r="9735">
      <c r="A9735" s="380" t="s">
        <v>10609</v>
      </c>
      <c r="B9735" s="380" t="str">
        <f>IFERROR(__xludf.DUMMYFUNCTION("""COMPUTED_VALUE"""),"FILT De AIR MOT Jmc 1054 Mn1-9601-44")</f>
        <v>FILT De AIR MOT Jmc 1054 Mn1-9601-44</v>
      </c>
      <c r="C9735" s="380" t="str">
        <f>IFERROR(__xludf.DUMMYFUNCTION("""COMPUTED_VALUE"""),"70005156")</f>
        <v>70005156</v>
      </c>
      <c r="D9735" s="380" t="s">
        <v>767</v>
      </c>
      <c r="E9735" s="380" t="s">
        <v>786</v>
      </c>
      <c r="F9735" s="380" t="s">
        <v>5855</v>
      </c>
      <c r="G9735" s="380" t="s">
        <v>1267</v>
      </c>
      <c r="H9735" s="380" t="s">
        <v>771</v>
      </c>
      <c r="I9735" s="380" t="s">
        <v>788</v>
      </c>
      <c r="J9735" s="380" t="s">
        <v>773</v>
      </c>
      <c r="K9735" s="381">
        <v>79200.0</v>
      </c>
      <c r="L9735" s="382">
        <v>1.0</v>
      </c>
    </row>
    <row r="9736">
      <c r="A9736" s="380" t="s">
        <v>10610</v>
      </c>
      <c r="B9736" s="380" t="str">
        <f>IFERROR(__xludf.DUMMYFUNCTION("""COMPUTED_VALUE"""),"SENS Presion De Aceite CH Ftr 1824101701")</f>
        <v>SENS Presion De Aceite CH Ftr 1824101701</v>
      </c>
      <c r="C9736" s="380" t="str">
        <f>IFERROR(__xludf.DUMMYFUNCTION("""COMPUTED_VALUE"""),"70005157")</f>
        <v>70005157</v>
      </c>
      <c r="D9736" s="380" t="s">
        <v>767</v>
      </c>
      <c r="E9736" s="380" t="s">
        <v>786</v>
      </c>
      <c r="F9736" s="380" t="s">
        <v>998</v>
      </c>
      <c r="G9736" s="380" t="s">
        <v>1267</v>
      </c>
      <c r="H9736" s="380" t="s">
        <v>771</v>
      </c>
      <c r="I9736" s="380" t="s">
        <v>788</v>
      </c>
      <c r="J9736" s="380" t="s">
        <v>773</v>
      </c>
      <c r="K9736" s="381">
        <v>0.0</v>
      </c>
      <c r="L9736" s="382">
        <v>1.0</v>
      </c>
    </row>
    <row r="9737">
      <c r="A9737" s="380" t="s">
        <v>10611</v>
      </c>
      <c r="B9737" s="380" t="str">
        <f>IFERROR(__xludf.DUMMYFUNCTION("""COMPUTED_VALUE"""),"Rodamiento Volante FT 1030 7705946902083")</f>
        <v>Rodamiento Volante FT 1030 7705946902083</v>
      </c>
      <c r="C9737" s="380" t="str">
        <f>IFERROR(__xludf.DUMMYFUNCTION("""COMPUTED_VALUE"""),"70005158")</f>
        <v>70005158</v>
      </c>
      <c r="D9737" s="380" t="s">
        <v>767</v>
      </c>
      <c r="E9737" s="380" t="s">
        <v>786</v>
      </c>
      <c r="F9737" s="380" t="s">
        <v>787</v>
      </c>
      <c r="G9737" s="380" t="s">
        <v>1267</v>
      </c>
      <c r="H9737" s="380" t="s">
        <v>771</v>
      </c>
      <c r="I9737" s="380" t="s">
        <v>788</v>
      </c>
      <c r="J9737" s="380" t="s">
        <v>773</v>
      </c>
      <c r="K9737" s="381">
        <v>0.0</v>
      </c>
      <c r="L9737" s="382">
        <v>1.0</v>
      </c>
    </row>
    <row r="9738">
      <c r="A9738" s="380" t="s">
        <v>10612</v>
      </c>
      <c r="B9738" s="380" t="str">
        <f>IFERROR(__xludf.DUMMYFUNCTION("""COMPUTED_VALUE"""),"Empaque Culata Foton 1030 7705946760263")</f>
        <v>Empaque Culata Foton 1030 7705946760263</v>
      </c>
      <c r="C9738" s="380" t="str">
        <f>IFERROR(__xludf.DUMMYFUNCTION("""COMPUTED_VALUE"""),"70005159")</f>
        <v>70005159</v>
      </c>
      <c r="D9738" s="380" t="s">
        <v>767</v>
      </c>
      <c r="E9738" s="380" t="s">
        <v>786</v>
      </c>
      <c r="F9738" s="380" t="s">
        <v>787</v>
      </c>
      <c r="G9738" s="380" t="s">
        <v>1267</v>
      </c>
      <c r="H9738" s="380" t="s">
        <v>771</v>
      </c>
      <c r="I9738" s="380" t="s">
        <v>788</v>
      </c>
      <c r="J9738" s="380" t="s">
        <v>773</v>
      </c>
      <c r="K9738" s="381">
        <v>0.0</v>
      </c>
      <c r="L9738" s="382">
        <v>1.0</v>
      </c>
    </row>
    <row r="9739">
      <c r="A9739" s="380" t="s">
        <v>10613</v>
      </c>
      <c r="B9739" s="380" t="str">
        <f>IFERROR(__xludf.DUMMYFUNCTION("""COMPUTED_VALUE"""),"MOT DEP Limpiabrisas MCK Anthem 216-2211")</f>
        <v>MOT DEP Limpiabrisas MCK Anthem 216-2211</v>
      </c>
      <c r="C9739" s="380" t="str">
        <f>IFERROR(__xludf.DUMMYFUNCTION("""COMPUTED_VALUE"""),"70005160")</f>
        <v>70005160</v>
      </c>
      <c r="D9739" s="380" t="s">
        <v>767</v>
      </c>
      <c r="E9739" s="380" t="s">
        <v>786</v>
      </c>
      <c r="F9739" s="380" t="s">
        <v>998</v>
      </c>
      <c r="G9739" s="380" t="s">
        <v>1267</v>
      </c>
      <c r="H9739" s="380" t="s">
        <v>771</v>
      </c>
      <c r="I9739" s="380" t="s">
        <v>788</v>
      </c>
      <c r="J9739" s="380" t="s">
        <v>773</v>
      </c>
      <c r="K9739" s="381">
        <v>0.0</v>
      </c>
      <c r="L9739" s="382">
        <v>1.0</v>
      </c>
    </row>
    <row r="9740">
      <c r="A9740" s="380" t="s">
        <v>10614</v>
      </c>
      <c r="B9740" s="380" t="str">
        <f>IFERROR(__xludf.DUMMYFUNCTION("""COMPUTED_VALUE"""),"Bateria 4dbtd Willard")</f>
        <v>Bateria 4dbtd Willard</v>
      </c>
      <c r="C9740" s="380" t="str">
        <f>IFERROR(__xludf.DUMMYFUNCTION("""COMPUTED_VALUE"""),"70005161")</f>
        <v>70005161</v>
      </c>
      <c r="D9740" s="380" t="s">
        <v>767</v>
      </c>
      <c r="E9740" s="380" t="s">
        <v>786</v>
      </c>
      <c r="F9740" s="380" t="s">
        <v>998</v>
      </c>
      <c r="G9740" s="380" t="s">
        <v>1267</v>
      </c>
      <c r="H9740" s="380" t="s">
        <v>771</v>
      </c>
      <c r="I9740" s="380" t="s">
        <v>788</v>
      </c>
      <c r="J9740" s="380" t="s">
        <v>773</v>
      </c>
      <c r="K9740" s="381">
        <v>719950.0</v>
      </c>
      <c r="L9740" s="382">
        <v>1.0</v>
      </c>
    </row>
    <row r="9741">
      <c r="A9741" s="380" t="s">
        <v>10615</v>
      </c>
      <c r="B9741" s="380" t="str">
        <f>IFERROR(__xludf.DUMMYFUNCTION("""COMPUTED_VALUE"""),"Perno Volante MOT CH Ftr 8943930702")</f>
        <v>Perno Volante MOT CH Ftr 8943930702</v>
      </c>
      <c r="C9741" s="380" t="str">
        <f>IFERROR(__xludf.DUMMYFUNCTION("""COMPUTED_VALUE"""),"70005162")</f>
        <v>70005162</v>
      </c>
      <c r="D9741" s="380" t="s">
        <v>767</v>
      </c>
      <c r="E9741" s="380" t="s">
        <v>786</v>
      </c>
      <c r="F9741" s="380" t="s">
        <v>787</v>
      </c>
      <c r="G9741" s="380" t="s">
        <v>1267</v>
      </c>
      <c r="H9741" s="380" t="s">
        <v>771</v>
      </c>
      <c r="I9741" s="380" t="s">
        <v>788</v>
      </c>
      <c r="J9741" s="380" t="s">
        <v>773</v>
      </c>
      <c r="K9741" s="381">
        <v>0.0</v>
      </c>
      <c r="L9741" s="382">
        <v>1.0</v>
      </c>
    </row>
    <row r="9742">
      <c r="A9742" s="380" t="s">
        <v>10616</v>
      </c>
      <c r="B9742" s="380" t="str">
        <f>IFERROR(__xludf.DUMMYFUNCTION("""COMPUTED_VALUE"""),"MANG ENT Agua CH Ftr 8943910911")</f>
        <v>MANG ENT Agua CH Ftr 8943910911</v>
      </c>
      <c r="C9742" s="380" t="str">
        <f>IFERROR(__xludf.DUMMYFUNCTION("""COMPUTED_VALUE"""),"70005163")</f>
        <v>70005163</v>
      </c>
      <c r="D9742" s="380" t="s">
        <v>767</v>
      </c>
      <c r="E9742" s="380" t="s">
        <v>786</v>
      </c>
      <c r="F9742" s="380" t="s">
        <v>787</v>
      </c>
      <c r="G9742" s="380" t="s">
        <v>1267</v>
      </c>
      <c r="H9742" s="380" t="s">
        <v>771</v>
      </c>
      <c r="I9742" s="380" t="s">
        <v>788</v>
      </c>
      <c r="J9742" s="380" t="s">
        <v>773</v>
      </c>
      <c r="K9742" s="381">
        <v>0.0</v>
      </c>
      <c r="L9742" s="382">
        <v>1.0</v>
      </c>
    </row>
    <row r="9743">
      <c r="A9743" s="380" t="s">
        <v>10617</v>
      </c>
      <c r="B9743" s="380" t="str">
        <f>IFERROR(__xludf.DUMMYFUNCTION("""COMPUTED_VALUE"""),"Cable CTRL Seguro INTno PTA Nkr Rw 89805")</f>
        <v>Cable CTRL Seguro INTno PTA Nkr Rw 89805</v>
      </c>
      <c r="C9743" s="380" t="str">
        <f>IFERROR(__xludf.DUMMYFUNCTION("""COMPUTED_VALUE"""),"70005164")</f>
        <v>70005164</v>
      </c>
      <c r="D9743" s="380" t="s">
        <v>767</v>
      </c>
      <c r="E9743" s="380" t="s">
        <v>786</v>
      </c>
      <c r="F9743" s="380" t="s">
        <v>792</v>
      </c>
      <c r="G9743" s="380" t="s">
        <v>1267</v>
      </c>
      <c r="H9743" s="380" t="s">
        <v>771</v>
      </c>
      <c r="I9743" s="380" t="s">
        <v>788</v>
      </c>
      <c r="J9743" s="380" t="s">
        <v>773</v>
      </c>
      <c r="K9743" s="381">
        <v>0.0</v>
      </c>
      <c r="L9743" s="382">
        <v>1.0</v>
      </c>
    </row>
    <row r="9744">
      <c r="A9744" s="380" t="s">
        <v>10618</v>
      </c>
      <c r="B9744" s="380" t="str">
        <f>IFERROR(__xludf.DUMMYFUNCTION("""COMPUTED_VALUE"""),"Kit EMP MOT Completo CH Ftr 1878150862")</f>
        <v>Kit EMP MOT Completo CH Ftr 1878150862</v>
      </c>
      <c r="C9744" s="380" t="str">
        <f>IFERROR(__xludf.DUMMYFUNCTION("""COMPUTED_VALUE"""),"70005165")</f>
        <v>70005165</v>
      </c>
      <c r="D9744" s="380" t="s">
        <v>767</v>
      </c>
      <c r="E9744" s="380" t="s">
        <v>786</v>
      </c>
      <c r="F9744" s="380" t="s">
        <v>787</v>
      </c>
      <c r="G9744" s="380" t="s">
        <v>1267</v>
      </c>
      <c r="H9744" s="380" t="s">
        <v>771</v>
      </c>
      <c r="I9744" s="380" t="s">
        <v>788</v>
      </c>
      <c r="J9744" s="380" t="s">
        <v>773</v>
      </c>
      <c r="K9744" s="381">
        <v>0.0</v>
      </c>
      <c r="L9744" s="382">
        <v>1.0</v>
      </c>
    </row>
    <row r="9745">
      <c r="A9745" s="380" t="s">
        <v>10619</v>
      </c>
      <c r="B9745" s="380" t="str">
        <f>IFERROR(__xludf.DUMMYFUNCTION("""COMPUTED_VALUE"""),"Arandela Pin Espaciador Cigüeñal CH Ftr")</f>
        <v>Arandela Pin Espaciador Cigüeñal CH Ftr</v>
      </c>
      <c r="C9745" s="380" t="str">
        <f>IFERROR(__xludf.DUMMYFUNCTION("""COMPUTED_VALUE"""),"70005166")</f>
        <v>70005166</v>
      </c>
      <c r="D9745" s="380" t="s">
        <v>767</v>
      </c>
      <c r="E9745" s="380" t="s">
        <v>786</v>
      </c>
      <c r="F9745" s="380" t="s">
        <v>787</v>
      </c>
      <c r="G9745" s="380" t="s">
        <v>1267</v>
      </c>
      <c r="H9745" s="380" t="s">
        <v>771</v>
      </c>
      <c r="I9745" s="380" t="s">
        <v>788</v>
      </c>
      <c r="J9745" s="380" t="s">
        <v>773</v>
      </c>
      <c r="K9745" s="381">
        <v>0.0</v>
      </c>
      <c r="L9745" s="382">
        <v>1.0</v>
      </c>
    </row>
    <row r="9746">
      <c r="A9746" s="380" t="s">
        <v>10620</v>
      </c>
      <c r="B9746" s="380" t="str">
        <f>IFERROR(__xludf.DUMMYFUNCTION("""COMPUTED_VALUE"""),"Arandela Espaciador Cigueñal CH Ftr 8973")</f>
        <v>Arandela Espaciador Cigueñal CH Ftr 8973</v>
      </c>
      <c r="C9746" s="380" t="str">
        <f>IFERROR(__xludf.DUMMYFUNCTION("""COMPUTED_VALUE"""),"70005167")</f>
        <v>70005167</v>
      </c>
      <c r="D9746" s="380" t="s">
        <v>767</v>
      </c>
      <c r="E9746" s="380" t="s">
        <v>786</v>
      </c>
      <c r="F9746" s="380" t="s">
        <v>787</v>
      </c>
      <c r="G9746" s="380" t="s">
        <v>1267</v>
      </c>
      <c r="H9746" s="380" t="s">
        <v>771</v>
      </c>
      <c r="I9746" s="380" t="s">
        <v>788</v>
      </c>
      <c r="J9746" s="380" t="s">
        <v>773</v>
      </c>
      <c r="K9746" s="381">
        <v>0.0</v>
      </c>
      <c r="L9746" s="382">
        <v>1.0</v>
      </c>
    </row>
    <row r="9747">
      <c r="A9747" s="380" t="s">
        <v>10621</v>
      </c>
      <c r="B9747" s="380" t="str">
        <f>IFERROR(__xludf.DUMMYFUNCTION("""COMPUTED_VALUE"""),"Fitro COMB Planta Eelctrica Ff5089")</f>
        <v>Fitro COMB Planta Eelctrica Ff5089</v>
      </c>
      <c r="C9747" s="380" t="str">
        <f>IFERROR(__xludf.DUMMYFUNCTION("""COMPUTED_VALUE"""),"70005168")</f>
        <v>70005168</v>
      </c>
      <c r="D9747" s="380" t="s">
        <v>767</v>
      </c>
      <c r="E9747" s="380" t="s">
        <v>786</v>
      </c>
      <c r="F9747" s="380" t="s">
        <v>5855</v>
      </c>
      <c r="G9747" s="380" t="s">
        <v>1267</v>
      </c>
      <c r="H9747" s="380" t="s">
        <v>771</v>
      </c>
      <c r="I9747" s="380" t="s">
        <v>788</v>
      </c>
      <c r="J9747" s="380" t="s">
        <v>773</v>
      </c>
      <c r="K9747" s="381">
        <v>0.0</v>
      </c>
      <c r="L9747" s="382">
        <v>1.0</v>
      </c>
    </row>
    <row r="9748">
      <c r="A9748" s="380" t="s">
        <v>10622</v>
      </c>
      <c r="B9748" s="380" t="str">
        <f>IFERROR(__xludf.DUMMYFUNCTION("""COMPUTED_VALUE"""),"Bocin RDA DEL HN 500 43511-E0030")</f>
        <v>Bocin RDA DEL HN 500 43511-E0030</v>
      </c>
      <c r="C9748" s="380" t="str">
        <f>IFERROR(__xludf.DUMMYFUNCTION("""COMPUTED_VALUE"""),"70005169")</f>
        <v>70005169</v>
      </c>
      <c r="D9748" s="380" t="s">
        <v>767</v>
      </c>
      <c r="E9748" s="380" t="s">
        <v>786</v>
      </c>
      <c r="F9748" s="380" t="s">
        <v>1020</v>
      </c>
      <c r="G9748" s="380" t="s">
        <v>1267</v>
      </c>
      <c r="H9748" s="380" t="s">
        <v>771</v>
      </c>
      <c r="I9748" s="380" t="s">
        <v>788</v>
      </c>
      <c r="J9748" s="380" t="s">
        <v>773</v>
      </c>
      <c r="K9748" s="381">
        <v>0.0</v>
      </c>
      <c r="L9748" s="382">
        <v>1.0</v>
      </c>
    </row>
    <row r="9749">
      <c r="A9749" s="380" t="s">
        <v>10623</v>
      </c>
      <c r="B9749" s="380" t="str">
        <f>IFERROR(__xludf.DUMMYFUNCTION("""COMPUTED_VALUE"""),"MOT Agua Limpiabrisas INT Lt 2511834c1")</f>
        <v>MOT Agua Limpiabrisas INT Lt 2511834c1</v>
      </c>
      <c r="C9749" s="380" t="str">
        <f>IFERROR(__xludf.DUMMYFUNCTION("""COMPUTED_VALUE"""),"70005170")</f>
        <v>70005170</v>
      </c>
      <c r="D9749" s="380" t="s">
        <v>767</v>
      </c>
      <c r="E9749" s="380" t="s">
        <v>786</v>
      </c>
      <c r="F9749" s="380" t="s">
        <v>998</v>
      </c>
      <c r="G9749" s="380" t="s">
        <v>1267</v>
      </c>
      <c r="H9749" s="380" t="s">
        <v>771</v>
      </c>
      <c r="I9749" s="380" t="s">
        <v>788</v>
      </c>
      <c r="J9749" s="380" t="s">
        <v>773</v>
      </c>
      <c r="K9749" s="381">
        <v>319291.0</v>
      </c>
      <c r="L9749" s="382">
        <v>1.0</v>
      </c>
    </row>
    <row r="9750">
      <c r="A9750" s="380" t="s">
        <v>10624</v>
      </c>
      <c r="B9750" s="380" t="str">
        <f>IFERROR(__xludf.DUMMYFUNCTION("""COMPUTED_VALUE"""),"Bomba Hidraulico Jac Jhr 3407010ld300")</f>
        <v>Bomba Hidraulico Jac Jhr 3407010ld300</v>
      </c>
      <c r="C9750" s="380" t="str">
        <f>IFERROR(__xludf.DUMMYFUNCTION("""COMPUTED_VALUE"""),"70005171")</f>
        <v>70005171</v>
      </c>
      <c r="D9750" s="380" t="s">
        <v>767</v>
      </c>
      <c r="E9750" s="380" t="s">
        <v>786</v>
      </c>
      <c r="F9750" s="380" t="s">
        <v>1020</v>
      </c>
      <c r="G9750" s="380" t="s">
        <v>1267</v>
      </c>
      <c r="H9750" s="380" t="s">
        <v>771</v>
      </c>
      <c r="I9750" s="380" t="s">
        <v>788</v>
      </c>
      <c r="J9750" s="380" t="s">
        <v>773</v>
      </c>
      <c r="K9750" s="381">
        <v>0.0</v>
      </c>
      <c r="L9750" s="382">
        <v>1.0</v>
      </c>
    </row>
    <row r="9751">
      <c r="A9751" s="380" t="s">
        <v>10625</v>
      </c>
      <c r="B9751" s="380" t="str">
        <f>IFERROR(__xludf.DUMMYFUNCTION("""COMPUTED_VALUE"""),"Filtro Aceite Planta Electrica Lf3591")</f>
        <v>Filtro Aceite Planta Electrica Lf3591</v>
      </c>
      <c r="C9751" s="380" t="str">
        <f>IFERROR(__xludf.DUMMYFUNCTION("""COMPUTED_VALUE"""),"70005172")</f>
        <v>70005172</v>
      </c>
      <c r="D9751" s="380" t="s">
        <v>767</v>
      </c>
      <c r="E9751" s="380" t="s">
        <v>786</v>
      </c>
      <c r="F9751" s="380" t="s">
        <v>5855</v>
      </c>
      <c r="G9751" s="380" t="s">
        <v>1267</v>
      </c>
      <c r="H9751" s="380" t="s">
        <v>771</v>
      </c>
      <c r="I9751" s="380" t="s">
        <v>788</v>
      </c>
      <c r="J9751" s="380" t="s">
        <v>773</v>
      </c>
      <c r="K9751" s="381">
        <v>0.0</v>
      </c>
      <c r="L9751" s="382">
        <v>1.0</v>
      </c>
    </row>
    <row r="9752">
      <c r="A9752" s="380" t="s">
        <v>10626</v>
      </c>
      <c r="B9752" s="380" t="str">
        <f>IFERROR(__xludf.DUMMYFUNCTION("""COMPUTED_VALUE"""),"Conjunto Tubos INY FT 1039 7705946964180")</f>
        <v>Conjunto Tubos INY FT 1039 7705946964180</v>
      </c>
      <c r="C9752" s="380" t="str">
        <f>IFERROR(__xludf.DUMMYFUNCTION("""COMPUTED_VALUE"""),"70005173")</f>
        <v>70005173</v>
      </c>
      <c r="D9752" s="380" t="s">
        <v>767</v>
      </c>
      <c r="E9752" s="380" t="s">
        <v>786</v>
      </c>
      <c r="F9752" s="380" t="s">
        <v>787</v>
      </c>
      <c r="G9752" s="380" t="s">
        <v>1267</v>
      </c>
      <c r="H9752" s="380" t="s">
        <v>771</v>
      </c>
      <c r="I9752" s="380" t="s">
        <v>788</v>
      </c>
      <c r="J9752" s="380" t="s">
        <v>773</v>
      </c>
      <c r="K9752" s="381">
        <v>0.0</v>
      </c>
      <c r="L9752" s="382">
        <v>1.0</v>
      </c>
    </row>
    <row r="9753">
      <c r="A9753" s="380" t="s">
        <v>10627</v>
      </c>
      <c r="B9753" s="380" t="str">
        <f>IFERROR(__xludf.DUMMYFUNCTION("""COMPUTED_VALUE"""),"Cojin Cond/Pasajero T Prado REP")</f>
        <v>Cojin Cond/Pasajero T Prado REP</v>
      </c>
      <c r="C9753" s="380" t="str">
        <f>IFERROR(__xludf.DUMMYFUNCTION("""COMPUTED_VALUE"""),"70005174")</f>
        <v>70005174</v>
      </c>
      <c r="D9753" s="380" t="s">
        <v>767</v>
      </c>
      <c r="E9753" s="380" t="s">
        <v>786</v>
      </c>
      <c r="F9753" s="380" t="s">
        <v>792</v>
      </c>
      <c r="G9753" s="380" t="s">
        <v>1267</v>
      </c>
      <c r="H9753" s="380" t="s">
        <v>771</v>
      </c>
      <c r="I9753" s="380" t="s">
        <v>788</v>
      </c>
      <c r="J9753" s="380" t="s">
        <v>773</v>
      </c>
      <c r="K9753" s="381">
        <v>0.0</v>
      </c>
      <c r="L9753" s="382">
        <v>1.0</v>
      </c>
    </row>
    <row r="9754">
      <c r="A9754" s="380" t="s">
        <v>10628</v>
      </c>
      <c r="B9754" s="380" t="str">
        <f>IFERROR(__xludf.DUMMYFUNCTION("""COMPUTED_VALUE"""),"Kit CILs PTAs CAB INT Lt 2517407c91")</f>
        <v>Kit CILs PTAs CAB INT Lt 2517407c91</v>
      </c>
      <c r="C9754" s="380" t="str">
        <f>IFERROR(__xludf.DUMMYFUNCTION("""COMPUTED_VALUE"""),"70005175")</f>
        <v>70005175</v>
      </c>
      <c r="D9754" s="380" t="s">
        <v>767</v>
      </c>
      <c r="E9754" s="380" t="s">
        <v>786</v>
      </c>
      <c r="F9754" s="380" t="s">
        <v>792</v>
      </c>
      <c r="G9754" s="380" t="s">
        <v>1267</v>
      </c>
      <c r="H9754" s="380" t="s">
        <v>771</v>
      </c>
      <c r="I9754" s="380" t="s">
        <v>788</v>
      </c>
      <c r="J9754" s="380" t="s">
        <v>773</v>
      </c>
      <c r="K9754" s="381">
        <v>0.0</v>
      </c>
      <c r="L9754" s="382">
        <v>1.0</v>
      </c>
    </row>
    <row r="9755">
      <c r="A9755" s="380" t="s">
        <v>10629</v>
      </c>
      <c r="B9755" s="380" t="str">
        <f>IFERROR(__xludf.DUMMYFUNCTION("""COMPUTED_VALUE"""),"Juego CILs PTA/Ignicio FT 1128 770594694")</f>
        <v>Juego CILs PTA/Ignicio FT 1128 770594694</v>
      </c>
      <c r="C9755" s="380" t="str">
        <f>IFERROR(__xludf.DUMMYFUNCTION("""COMPUTED_VALUE"""),"70005176")</f>
        <v>70005176</v>
      </c>
      <c r="D9755" s="380" t="s">
        <v>767</v>
      </c>
      <c r="E9755" s="380" t="s">
        <v>786</v>
      </c>
      <c r="F9755" s="380" t="s">
        <v>792</v>
      </c>
      <c r="G9755" s="380" t="s">
        <v>1267</v>
      </c>
      <c r="H9755" s="380" t="s">
        <v>771</v>
      </c>
      <c r="I9755" s="380" t="s">
        <v>788</v>
      </c>
      <c r="J9755" s="380" t="s">
        <v>773</v>
      </c>
      <c r="K9755" s="381">
        <v>0.0</v>
      </c>
      <c r="L9755" s="382">
        <v>1.0</v>
      </c>
    </row>
    <row r="9756">
      <c r="A9756" s="380" t="s">
        <v>10630</v>
      </c>
      <c r="B9756" s="380" t="str">
        <f>IFERROR(__xludf.DUMMYFUNCTION("""COMPUTED_VALUE"""),"Conector MANG Plumillas FT 1128 77001490")</f>
        <v>Conector MANG Plumillas FT 1128 77001490</v>
      </c>
      <c r="C9756" s="380" t="str">
        <f>IFERROR(__xludf.DUMMYFUNCTION("""COMPUTED_VALUE"""),"70005177")</f>
        <v>70005177</v>
      </c>
      <c r="D9756" s="380" t="s">
        <v>767</v>
      </c>
      <c r="E9756" s="380" t="s">
        <v>786</v>
      </c>
      <c r="F9756" s="380" t="s">
        <v>792</v>
      </c>
      <c r="G9756" s="380" t="s">
        <v>1267</v>
      </c>
      <c r="H9756" s="380" t="s">
        <v>771</v>
      </c>
      <c r="I9756" s="380" t="s">
        <v>788</v>
      </c>
      <c r="J9756" s="380" t="s">
        <v>773</v>
      </c>
      <c r="K9756" s="381">
        <v>0.0</v>
      </c>
      <c r="L9756" s="382">
        <v>1.0</v>
      </c>
    </row>
    <row r="9757">
      <c r="A9757" s="380" t="s">
        <v>10631</v>
      </c>
      <c r="B9757" s="380" t="str">
        <f>IFERROR(__xludf.DUMMYFUNCTION("""COMPUTED_VALUE"""),"SENS Del Catalizador FT 1129 77059461806")</f>
        <v>SENS Del Catalizador FT 1129 77059461806</v>
      </c>
      <c r="C9757" s="380" t="str">
        <f>IFERROR(__xludf.DUMMYFUNCTION("""COMPUTED_VALUE"""),"70005178")</f>
        <v>70005178</v>
      </c>
      <c r="D9757" s="380" t="s">
        <v>767</v>
      </c>
      <c r="E9757" s="380" t="s">
        <v>786</v>
      </c>
      <c r="F9757" s="380" t="s">
        <v>998</v>
      </c>
      <c r="G9757" s="380" t="s">
        <v>1267</v>
      </c>
      <c r="H9757" s="380" t="s">
        <v>771</v>
      </c>
      <c r="I9757" s="380" t="s">
        <v>788</v>
      </c>
      <c r="J9757" s="380" t="s">
        <v>773</v>
      </c>
      <c r="K9757" s="381">
        <v>0.0</v>
      </c>
      <c r="L9757" s="382">
        <v>1.0</v>
      </c>
    </row>
    <row r="9758">
      <c r="A9758" s="380" t="s">
        <v>10632</v>
      </c>
      <c r="B9758" s="380" t="str">
        <f>IFERROR(__xludf.DUMMYFUNCTION("""COMPUTED_VALUE"""),"TANQ DEP Liquido De Frenos FT 7701023085")</f>
        <v>TANQ DEP Liquido De Frenos FT 7701023085</v>
      </c>
      <c r="C9758" s="380" t="str">
        <f>IFERROR(__xludf.DUMMYFUNCTION("""COMPUTED_VALUE"""),"70005179")</f>
        <v>70005179</v>
      </c>
      <c r="D9758" s="380" t="s">
        <v>767</v>
      </c>
      <c r="E9758" s="380" t="s">
        <v>786</v>
      </c>
      <c r="F9758" s="380" t="s">
        <v>1017</v>
      </c>
      <c r="G9758" s="380" t="s">
        <v>1267</v>
      </c>
      <c r="H9758" s="380" t="s">
        <v>771</v>
      </c>
      <c r="I9758" s="380" t="s">
        <v>788</v>
      </c>
      <c r="J9758" s="380" t="s">
        <v>773</v>
      </c>
      <c r="K9758" s="381">
        <v>0.0</v>
      </c>
      <c r="L9758" s="382">
        <v>1.0</v>
      </c>
    </row>
    <row r="9759">
      <c r="A9759" s="380" t="s">
        <v>10633</v>
      </c>
      <c r="B9759" s="380" t="str">
        <f>IFERROR(__xludf.DUMMYFUNCTION("""COMPUTED_VALUE"""),"Conjunto Arandela Sincro 3ra Y 4ta Fot 1")</f>
        <v>Conjunto Arandela Sincro 3ra Y 4ta Fot 1</v>
      </c>
      <c r="C9759" s="380" t="str">
        <f>IFERROR(__xludf.DUMMYFUNCTION("""COMPUTED_VALUE"""),"70005180")</f>
        <v>70005180</v>
      </c>
      <c r="D9759" s="380" t="s">
        <v>767</v>
      </c>
      <c r="E9759" s="380" t="s">
        <v>786</v>
      </c>
      <c r="F9759" s="380" t="s">
        <v>928</v>
      </c>
      <c r="G9759" s="380" t="s">
        <v>1267</v>
      </c>
      <c r="H9759" s="380" t="s">
        <v>771</v>
      </c>
      <c r="I9759" s="380" t="s">
        <v>788</v>
      </c>
      <c r="J9759" s="380" t="s">
        <v>773</v>
      </c>
      <c r="K9759" s="381">
        <v>0.0</v>
      </c>
      <c r="L9759" s="382">
        <v>1.0</v>
      </c>
    </row>
    <row r="9760">
      <c r="A9760" s="380" t="s">
        <v>10634</v>
      </c>
      <c r="B9760" s="380" t="str">
        <f>IFERROR(__xludf.DUMMYFUNCTION("""COMPUTED_VALUE"""),"Juego Anillos Piston CH Ftr 8980401250")</f>
        <v>Juego Anillos Piston CH Ftr 8980401250</v>
      </c>
      <c r="C9760" s="380" t="str">
        <f>IFERROR(__xludf.DUMMYFUNCTION("""COMPUTED_VALUE"""),"70005181")</f>
        <v>70005181</v>
      </c>
      <c r="D9760" s="380" t="s">
        <v>767</v>
      </c>
      <c r="E9760" s="380" t="s">
        <v>786</v>
      </c>
      <c r="F9760" s="380" t="s">
        <v>787</v>
      </c>
      <c r="G9760" s="380" t="s">
        <v>1267</v>
      </c>
      <c r="H9760" s="380" t="s">
        <v>771</v>
      </c>
      <c r="I9760" s="380" t="s">
        <v>788</v>
      </c>
      <c r="J9760" s="380" t="s">
        <v>773</v>
      </c>
      <c r="K9760" s="381">
        <v>0.0</v>
      </c>
      <c r="L9760" s="382">
        <v>1.0</v>
      </c>
    </row>
    <row r="9761">
      <c r="A9761" s="380" t="s">
        <v>10635</v>
      </c>
      <c r="B9761" s="380" t="str">
        <f>IFERROR(__xludf.DUMMYFUNCTION("""COMPUTED_VALUE"""),"Aro Bronce 3ra CJ CH Ftr 8980347700")</f>
        <v>Aro Bronce 3ra CJ CH Ftr 8980347700</v>
      </c>
      <c r="C9761" s="380" t="str">
        <f>IFERROR(__xludf.DUMMYFUNCTION("""COMPUTED_VALUE"""),"70005182")</f>
        <v>70005182</v>
      </c>
      <c r="D9761" s="380" t="s">
        <v>767</v>
      </c>
      <c r="E9761" s="380" t="s">
        <v>786</v>
      </c>
      <c r="F9761" s="380" t="s">
        <v>928</v>
      </c>
      <c r="G9761" s="380" t="s">
        <v>1267</v>
      </c>
      <c r="H9761" s="380" t="s">
        <v>771</v>
      </c>
      <c r="I9761" s="380" t="s">
        <v>788</v>
      </c>
      <c r="J9761" s="380" t="s">
        <v>773</v>
      </c>
      <c r="K9761" s="381">
        <v>0.0</v>
      </c>
      <c r="L9761" s="382">
        <v>1.0</v>
      </c>
    </row>
    <row r="9762">
      <c r="A9762" s="380" t="s">
        <v>10636</v>
      </c>
      <c r="B9762" s="380" t="str">
        <f>IFERROR(__xludf.DUMMYFUNCTION("""COMPUTED_VALUE"""),"Casquetes Bancada CH Ftr 8973720771")</f>
        <v>Casquetes Bancada CH Ftr 8973720771</v>
      </c>
      <c r="C9762" s="380" t="str">
        <f>IFERROR(__xludf.DUMMYFUNCTION("""COMPUTED_VALUE"""),"70005183")</f>
        <v>70005183</v>
      </c>
      <c r="D9762" s="380" t="s">
        <v>767</v>
      </c>
      <c r="E9762" s="380" t="s">
        <v>786</v>
      </c>
      <c r="F9762" s="380" t="s">
        <v>787</v>
      </c>
      <c r="G9762" s="380" t="s">
        <v>1267</v>
      </c>
      <c r="H9762" s="380" t="s">
        <v>771</v>
      </c>
      <c r="I9762" s="380" t="s">
        <v>788</v>
      </c>
      <c r="J9762" s="380" t="s">
        <v>773</v>
      </c>
      <c r="K9762" s="381">
        <v>0.0</v>
      </c>
      <c r="L9762" s="382">
        <v>1.0</v>
      </c>
    </row>
    <row r="9763">
      <c r="A9763" s="380" t="s">
        <v>10637</v>
      </c>
      <c r="B9763" s="380" t="str">
        <f>IFERROR(__xludf.DUMMYFUNCTION("""COMPUTED_VALUE"""),"Cabina Chevrolet N200 Remanufacturada")</f>
        <v>Cabina Chevrolet N200 Remanufacturada</v>
      </c>
      <c r="C9763" s="380" t="str">
        <f>IFERROR(__xludf.DUMMYFUNCTION("""COMPUTED_VALUE"""),"70005184")</f>
        <v>70005184</v>
      </c>
      <c r="D9763" s="380" t="s">
        <v>767</v>
      </c>
      <c r="E9763" s="380" t="s">
        <v>786</v>
      </c>
      <c r="F9763" s="380" t="s">
        <v>792</v>
      </c>
      <c r="G9763" s="380" t="s">
        <v>1267</v>
      </c>
      <c r="H9763" s="380" t="s">
        <v>771</v>
      </c>
      <c r="I9763" s="380" t="s">
        <v>788</v>
      </c>
      <c r="J9763" s="380" t="s">
        <v>773</v>
      </c>
      <c r="K9763" s="381">
        <v>0.0</v>
      </c>
      <c r="L9763" s="382">
        <v>1.0</v>
      </c>
    </row>
    <row r="9764">
      <c r="A9764" s="380" t="s">
        <v>10638</v>
      </c>
      <c r="B9764" s="380" t="str">
        <f>IFERROR(__xludf.DUMMYFUNCTION("""COMPUTED_VALUE"""),"Motor Arranque Daf Cf 480 Ftt 2134699")</f>
        <v>Motor Arranque Daf Cf 480 Ftt 2134699</v>
      </c>
      <c r="C9764" s="380" t="str">
        <f>IFERROR(__xludf.DUMMYFUNCTION("""COMPUTED_VALUE"""),"70005185")</f>
        <v>70005185</v>
      </c>
      <c r="D9764" s="380" t="s">
        <v>767</v>
      </c>
      <c r="E9764" s="380" t="s">
        <v>786</v>
      </c>
      <c r="F9764" s="380" t="s">
        <v>998</v>
      </c>
      <c r="G9764" s="380" t="s">
        <v>1267</v>
      </c>
      <c r="H9764" s="380" t="s">
        <v>771</v>
      </c>
      <c r="I9764" s="380" t="s">
        <v>788</v>
      </c>
      <c r="J9764" s="380" t="s">
        <v>773</v>
      </c>
      <c r="K9764" s="381">
        <v>3312167.0</v>
      </c>
      <c r="L9764" s="382">
        <v>1.0</v>
      </c>
    </row>
    <row r="9765">
      <c r="A9765" s="380" t="s">
        <v>10639</v>
      </c>
      <c r="B9765" s="380" t="str">
        <f>IFERROR(__xludf.DUMMYFUNCTION("""COMPUTED_VALUE"""),"FILT AIR Planta ELEC Shf-2806 Calle 13")</f>
        <v>FILT AIR Planta ELEC Shf-2806 Calle 13</v>
      </c>
      <c r="C9765" s="380" t="str">
        <f>IFERROR(__xludf.DUMMYFUNCTION("""COMPUTED_VALUE"""),"70005186")</f>
        <v>70005186</v>
      </c>
      <c r="D9765" s="380" t="s">
        <v>767</v>
      </c>
      <c r="E9765" s="380" t="s">
        <v>786</v>
      </c>
      <c r="F9765" s="380" t="s">
        <v>5855</v>
      </c>
      <c r="G9765" s="380" t="s">
        <v>1267</v>
      </c>
      <c r="H9765" s="380" t="s">
        <v>771</v>
      </c>
      <c r="I9765" s="380" t="s">
        <v>788</v>
      </c>
      <c r="J9765" s="380" t="s">
        <v>773</v>
      </c>
      <c r="K9765" s="381">
        <v>0.0</v>
      </c>
      <c r="L9765" s="382">
        <v>1.0</v>
      </c>
    </row>
    <row r="9766">
      <c r="A9766" s="380" t="s">
        <v>10640</v>
      </c>
      <c r="B9766" s="380" t="str">
        <f>IFERROR(__xludf.DUMMYFUNCTION("""COMPUTED_VALUE"""),"FILT AIR Planta ELEC V10c30 / Uf2756 Car")</f>
        <v>FILT AIR Planta ELEC V10c30 / Uf2756 Car</v>
      </c>
      <c r="C9766" s="380" t="str">
        <f>IFERROR(__xludf.DUMMYFUNCTION("""COMPUTED_VALUE"""),"70005187")</f>
        <v>70005187</v>
      </c>
      <c r="D9766" s="380" t="s">
        <v>767</v>
      </c>
      <c r="E9766" s="380" t="s">
        <v>786</v>
      </c>
      <c r="F9766" s="380" t="s">
        <v>5855</v>
      </c>
      <c r="G9766" s="380" t="s">
        <v>1267</v>
      </c>
      <c r="H9766" s="380" t="s">
        <v>771</v>
      </c>
      <c r="I9766" s="380" t="s">
        <v>788</v>
      </c>
      <c r="J9766" s="380" t="s">
        <v>773</v>
      </c>
      <c r="K9766" s="381">
        <v>0.0</v>
      </c>
      <c r="L9766" s="382">
        <v>1.0</v>
      </c>
    </row>
    <row r="9767">
      <c r="A9767" s="380" t="s">
        <v>10641</v>
      </c>
      <c r="B9767" s="380" t="str">
        <f>IFERROR(__xludf.DUMMYFUNCTION("""COMPUTED_VALUE"""),"FILT COMB Planta Ff5461 Cartagena")</f>
        <v>FILT COMB Planta Ff5461 Cartagena</v>
      </c>
      <c r="C9767" s="380" t="str">
        <f>IFERROR(__xludf.DUMMYFUNCTION("""COMPUTED_VALUE"""),"70005188")</f>
        <v>70005188</v>
      </c>
      <c r="D9767" s="380" t="s">
        <v>767</v>
      </c>
      <c r="E9767" s="380" t="s">
        <v>786</v>
      </c>
      <c r="F9767" s="380" t="s">
        <v>5855</v>
      </c>
      <c r="G9767" s="380" t="s">
        <v>1267</v>
      </c>
      <c r="H9767" s="380" t="s">
        <v>771</v>
      </c>
      <c r="I9767" s="380" t="s">
        <v>788</v>
      </c>
      <c r="J9767" s="380" t="s">
        <v>773</v>
      </c>
      <c r="K9767" s="381">
        <v>0.0</v>
      </c>
      <c r="L9767" s="382">
        <v>1.0</v>
      </c>
    </row>
    <row r="9768">
      <c r="A9768" s="380" t="s">
        <v>10642</v>
      </c>
      <c r="B9768" s="380" t="str">
        <f>IFERROR(__xludf.DUMMYFUNCTION("""COMPUTED_VALUE"""),"Amortiguador Capot DER KW T660 Mss1046-0")</f>
        <v>Amortiguador Capot DER KW T660 Mss1046-0</v>
      </c>
      <c r="C9768" s="380" t="str">
        <f>IFERROR(__xludf.DUMMYFUNCTION("""COMPUTED_VALUE"""),"70005189")</f>
        <v>70005189</v>
      </c>
      <c r="D9768" s="380" t="s">
        <v>767</v>
      </c>
      <c r="E9768" s="380" t="s">
        <v>786</v>
      </c>
      <c r="F9768" s="380" t="s">
        <v>792</v>
      </c>
      <c r="G9768" s="380" t="s">
        <v>1267</v>
      </c>
      <c r="H9768" s="380" t="s">
        <v>771</v>
      </c>
      <c r="I9768" s="380" t="s">
        <v>788</v>
      </c>
      <c r="J9768" s="380" t="s">
        <v>773</v>
      </c>
      <c r="K9768" s="381">
        <v>0.0</v>
      </c>
      <c r="L9768" s="382">
        <v>1.0</v>
      </c>
    </row>
    <row r="9769">
      <c r="A9769" s="380" t="s">
        <v>10643</v>
      </c>
      <c r="B9769" s="380" t="str">
        <f>IFERROR(__xludf.DUMMYFUNCTION("""COMPUTED_VALUE"""),"RAD MOT HN 500 En Cobre Fabricado")</f>
        <v>RAD MOT HN 500 En Cobre Fabricado</v>
      </c>
      <c r="C9769" s="380" t="str">
        <f>IFERROR(__xludf.DUMMYFUNCTION("""COMPUTED_VALUE"""),"70005190")</f>
        <v>70005190</v>
      </c>
      <c r="D9769" s="380" t="s">
        <v>767</v>
      </c>
      <c r="E9769" s="380" t="s">
        <v>786</v>
      </c>
      <c r="F9769" s="380" t="s">
        <v>787</v>
      </c>
      <c r="G9769" s="380" t="s">
        <v>1267</v>
      </c>
      <c r="H9769" s="380" t="s">
        <v>771</v>
      </c>
      <c r="I9769" s="380" t="s">
        <v>788</v>
      </c>
      <c r="J9769" s="380" t="s">
        <v>773</v>
      </c>
      <c r="K9769" s="381">
        <v>0.0</v>
      </c>
      <c r="L9769" s="382">
        <v>1.0</v>
      </c>
    </row>
    <row r="9770">
      <c r="A9770" s="380" t="s">
        <v>10644</v>
      </c>
      <c r="B9770" s="380" t="str">
        <f>IFERROR(__xludf.DUMMYFUNCTION("""COMPUTED_VALUE"""),"Bloque Motor Chevrolet Ftr 8982069600")</f>
        <v>Bloque Motor Chevrolet Ftr 8982069600</v>
      </c>
      <c r="C9770" s="380" t="str">
        <f>IFERROR(__xludf.DUMMYFUNCTION("""COMPUTED_VALUE"""),"70005191")</f>
        <v>70005191</v>
      </c>
      <c r="D9770" s="380" t="s">
        <v>767</v>
      </c>
      <c r="E9770" s="380" t="s">
        <v>786</v>
      </c>
      <c r="F9770" s="380" t="s">
        <v>787</v>
      </c>
      <c r="G9770" s="380" t="s">
        <v>1267</v>
      </c>
      <c r="H9770" s="380" t="s">
        <v>771</v>
      </c>
      <c r="I9770" s="380" t="s">
        <v>788</v>
      </c>
      <c r="J9770" s="380" t="s">
        <v>773</v>
      </c>
      <c r="K9770" s="381">
        <v>0.0</v>
      </c>
      <c r="L9770" s="382">
        <v>1.0</v>
      </c>
    </row>
    <row r="9771">
      <c r="A9771" s="380" t="s">
        <v>10645</v>
      </c>
      <c r="B9771" s="380" t="str">
        <f>IFERROR(__xludf.DUMMYFUNCTION("""COMPUTED_VALUE"""),"Unidad Secadora Aire Daf Cf480 2330100")</f>
        <v>Unidad Secadora Aire Daf Cf480 2330100</v>
      </c>
      <c r="C9771" s="380" t="str">
        <f>IFERROR(__xludf.DUMMYFUNCTION("""COMPUTED_VALUE"""),"70005192")</f>
        <v>70005192</v>
      </c>
      <c r="D9771" s="380" t="s">
        <v>767</v>
      </c>
      <c r="E9771" s="380" t="s">
        <v>786</v>
      </c>
      <c r="F9771" s="380" t="s">
        <v>1017</v>
      </c>
      <c r="G9771" s="380" t="s">
        <v>1267</v>
      </c>
      <c r="H9771" s="380" t="s">
        <v>771</v>
      </c>
      <c r="I9771" s="380" t="s">
        <v>788</v>
      </c>
      <c r="J9771" s="380" t="s">
        <v>773</v>
      </c>
      <c r="K9771" s="381">
        <v>0.0</v>
      </c>
      <c r="L9771" s="382">
        <v>1.0</v>
      </c>
    </row>
    <row r="9772">
      <c r="A9772" s="380" t="s">
        <v>10646</v>
      </c>
      <c r="B9772" s="380" t="str">
        <f>IFERROR(__xludf.DUMMYFUNCTION("""COMPUTED_VALUE"""),"Platina SOP Inf Guardabarro Izq FT 1128")</f>
        <v>Platina SOP Inf Guardabarro Izq FT 1128</v>
      </c>
      <c r="C9772" s="380" t="str">
        <f>IFERROR(__xludf.DUMMYFUNCTION("""COMPUTED_VALUE"""),"70005193")</f>
        <v>70005193</v>
      </c>
      <c r="D9772" s="380" t="s">
        <v>767</v>
      </c>
      <c r="E9772" s="380" t="s">
        <v>786</v>
      </c>
      <c r="F9772" s="380" t="s">
        <v>792</v>
      </c>
      <c r="G9772" s="380" t="s">
        <v>1267</v>
      </c>
      <c r="H9772" s="380" t="s">
        <v>771</v>
      </c>
      <c r="I9772" s="380" t="s">
        <v>788</v>
      </c>
      <c r="J9772" s="380" t="s">
        <v>773</v>
      </c>
      <c r="K9772" s="381">
        <v>0.0</v>
      </c>
      <c r="L9772" s="382">
        <v>1.0</v>
      </c>
    </row>
    <row r="9773">
      <c r="A9773" s="380" t="s">
        <v>10647</v>
      </c>
      <c r="B9773" s="380" t="str">
        <f>IFERROR(__xludf.DUMMYFUNCTION("""COMPUTED_VALUE"""),"Platina SOP Sup Guardabarro Izq FT 1128")</f>
        <v>Platina SOP Sup Guardabarro Izq FT 1128</v>
      </c>
      <c r="C9773" s="380" t="str">
        <f>IFERROR(__xludf.DUMMYFUNCTION("""COMPUTED_VALUE"""),"70005194")</f>
        <v>70005194</v>
      </c>
      <c r="D9773" s="380" t="s">
        <v>767</v>
      </c>
      <c r="E9773" s="380" t="s">
        <v>786</v>
      </c>
      <c r="F9773" s="380" t="s">
        <v>792</v>
      </c>
      <c r="G9773" s="380" t="s">
        <v>1267</v>
      </c>
      <c r="H9773" s="380" t="s">
        <v>771</v>
      </c>
      <c r="I9773" s="380" t="s">
        <v>788</v>
      </c>
      <c r="J9773" s="380" t="s">
        <v>773</v>
      </c>
      <c r="K9773" s="381">
        <v>52320.0</v>
      </c>
      <c r="L9773" s="382">
        <v>1.0</v>
      </c>
    </row>
    <row r="9774">
      <c r="A9774" s="380" t="s">
        <v>10648</v>
      </c>
      <c r="B9774" s="380" t="str">
        <f>IFERROR(__xludf.DUMMYFUNCTION("""COMPUTED_VALUE"""),"Guardabarro DEL Izq FT 1128 770594677544")</f>
        <v>Guardabarro DEL Izq FT 1128 770594677544</v>
      </c>
      <c r="C9774" s="380" t="str">
        <f>IFERROR(__xludf.DUMMYFUNCTION("""COMPUTED_VALUE"""),"70005195")</f>
        <v>70005195</v>
      </c>
      <c r="D9774" s="380" t="s">
        <v>767</v>
      </c>
      <c r="E9774" s="380" t="s">
        <v>786</v>
      </c>
      <c r="F9774" s="380" t="s">
        <v>792</v>
      </c>
      <c r="G9774" s="380" t="s">
        <v>1267</v>
      </c>
      <c r="H9774" s="380" t="s">
        <v>771</v>
      </c>
      <c r="I9774" s="380" t="s">
        <v>788</v>
      </c>
      <c r="J9774" s="380" t="s">
        <v>773</v>
      </c>
      <c r="K9774" s="381">
        <v>0.0</v>
      </c>
      <c r="L9774" s="382">
        <v>1.0</v>
      </c>
    </row>
    <row r="9775">
      <c r="A9775" s="380" t="s">
        <v>10649</v>
      </c>
      <c r="B9775" s="380" t="str">
        <f>IFERROR(__xludf.DUMMYFUNCTION("""COMPUTED_VALUE"""),"SENS De Posicion Arbol De Levas HN Dutro")</f>
        <v>SENS De Posicion Arbol De Levas HN Dutro</v>
      </c>
      <c r="C9775" s="380" t="str">
        <f>IFERROR(__xludf.DUMMYFUNCTION("""COMPUTED_VALUE"""),"70005196")</f>
        <v>70005196</v>
      </c>
      <c r="D9775" s="380" t="s">
        <v>767</v>
      </c>
      <c r="E9775" s="380" t="s">
        <v>786</v>
      </c>
      <c r="F9775" s="380" t="s">
        <v>998</v>
      </c>
      <c r="G9775" s="380" t="s">
        <v>1267</v>
      </c>
      <c r="H9775" s="380" t="s">
        <v>771</v>
      </c>
      <c r="I9775" s="380" t="s">
        <v>788</v>
      </c>
      <c r="J9775" s="380" t="s">
        <v>773</v>
      </c>
      <c r="K9775" s="381">
        <v>0.0</v>
      </c>
      <c r="L9775" s="382">
        <v>1.0</v>
      </c>
    </row>
    <row r="9776">
      <c r="A9776" s="380" t="s">
        <v>10650</v>
      </c>
      <c r="B9776" s="380" t="str">
        <f>IFERROR(__xludf.DUMMYFUNCTION("""COMPUTED_VALUE"""),"Exploradora Led Redonda MCK Anthem Al-91")</f>
        <v>Exploradora Led Redonda MCK Anthem Al-91</v>
      </c>
      <c r="C9776" s="380" t="str">
        <f>IFERROR(__xludf.DUMMYFUNCTION("""COMPUTED_VALUE"""),"70005197")</f>
        <v>70005197</v>
      </c>
      <c r="D9776" s="380" t="s">
        <v>767</v>
      </c>
      <c r="E9776" s="380" t="s">
        <v>786</v>
      </c>
      <c r="F9776" s="380" t="s">
        <v>998</v>
      </c>
      <c r="G9776" s="380" t="s">
        <v>1267</v>
      </c>
      <c r="H9776" s="380" t="s">
        <v>771</v>
      </c>
      <c r="I9776" s="380" t="s">
        <v>788</v>
      </c>
      <c r="J9776" s="380" t="s">
        <v>773</v>
      </c>
      <c r="K9776" s="381">
        <v>0.0</v>
      </c>
      <c r="L9776" s="382">
        <v>1.0</v>
      </c>
    </row>
    <row r="9777">
      <c r="A9777" s="380" t="s">
        <v>10651</v>
      </c>
      <c r="B9777" s="380" t="str">
        <f>IFERROR(__xludf.DUMMYFUNCTION("""COMPUTED_VALUE"""),"Guardabarro DEL Der FT 11208 77059467835")</f>
        <v>Guardabarro DEL Der FT 11208 77059467835</v>
      </c>
      <c r="C9777" s="380" t="str">
        <f>IFERROR(__xludf.DUMMYFUNCTION("""COMPUTED_VALUE"""),"70005198")</f>
        <v>70005198</v>
      </c>
      <c r="D9777" s="380" t="s">
        <v>767</v>
      </c>
      <c r="E9777" s="380" t="s">
        <v>786</v>
      </c>
      <c r="F9777" s="380" t="s">
        <v>792</v>
      </c>
      <c r="G9777" s="380" t="s">
        <v>1267</v>
      </c>
      <c r="H9777" s="380" t="s">
        <v>771</v>
      </c>
      <c r="I9777" s="380" t="s">
        <v>788</v>
      </c>
      <c r="J9777" s="380" t="s">
        <v>773</v>
      </c>
      <c r="K9777" s="381">
        <v>20641.0</v>
      </c>
      <c r="L9777" s="382">
        <v>1.0</v>
      </c>
    </row>
    <row r="9778">
      <c r="A9778" s="380" t="s">
        <v>10652</v>
      </c>
      <c r="B9778" s="380" t="str">
        <f>IFERROR(__xludf.DUMMYFUNCTION("""COMPUTED_VALUE"""),"Amortiguador Capot Izq KW T660 Mss1046-0")</f>
        <v>Amortiguador Capot Izq KW T660 Mss1046-0</v>
      </c>
      <c r="C9778" s="380" t="str">
        <f>IFERROR(__xludf.DUMMYFUNCTION("""COMPUTED_VALUE"""),"70005199")</f>
        <v>70005199</v>
      </c>
      <c r="D9778" s="380" t="s">
        <v>767</v>
      </c>
      <c r="E9778" s="380" t="s">
        <v>786</v>
      </c>
      <c r="F9778" s="380" t="s">
        <v>792</v>
      </c>
      <c r="G9778" s="380" t="s">
        <v>1267</v>
      </c>
      <c r="H9778" s="380" t="s">
        <v>771</v>
      </c>
      <c r="I9778" s="380" t="s">
        <v>788</v>
      </c>
      <c r="J9778" s="380" t="s">
        <v>773</v>
      </c>
      <c r="K9778" s="381">
        <v>0.0</v>
      </c>
      <c r="L9778" s="382">
        <v>1.0</v>
      </c>
    </row>
    <row r="9779">
      <c r="A9779" s="380" t="s">
        <v>10653</v>
      </c>
      <c r="B9779" s="380" t="str">
        <f>IFERROR(__xludf.DUMMYFUNCTION("""COMPUTED_VALUE"""),"Farola Principal Derecha Kenwort T660 P5")</f>
        <v>Farola Principal Derecha Kenwort T660 P5</v>
      </c>
      <c r="C9779" s="380" t="str">
        <f>IFERROR(__xludf.DUMMYFUNCTION("""COMPUTED_VALUE"""),"70005200")</f>
        <v>70005200</v>
      </c>
      <c r="D9779" s="380" t="s">
        <v>767</v>
      </c>
      <c r="E9779" s="380" t="s">
        <v>786</v>
      </c>
      <c r="F9779" s="380" t="s">
        <v>998</v>
      </c>
      <c r="G9779" s="380" t="s">
        <v>1267</v>
      </c>
      <c r="H9779" s="380" t="s">
        <v>771</v>
      </c>
      <c r="I9779" s="380" t="s">
        <v>788</v>
      </c>
      <c r="J9779" s="380" t="s">
        <v>773</v>
      </c>
      <c r="K9779" s="381">
        <v>0.0</v>
      </c>
      <c r="L9779" s="382">
        <v>1.0</v>
      </c>
    </row>
    <row r="9780">
      <c r="A9780" s="380" t="s">
        <v>10654</v>
      </c>
      <c r="B9780" s="380" t="str">
        <f>IFERROR(__xludf.DUMMYFUNCTION("""COMPUTED_VALUE"""),"Farola Principal IZQ KW T660 Repeleken80")</f>
        <v>Farola Principal IZQ KW T660 Repeleken80</v>
      </c>
      <c r="C9780" s="380" t="str">
        <f>IFERROR(__xludf.DUMMYFUNCTION("""COMPUTED_VALUE"""),"70005201")</f>
        <v>70005201</v>
      </c>
      <c r="D9780" s="380" t="s">
        <v>767</v>
      </c>
      <c r="E9780" s="380" t="s">
        <v>786</v>
      </c>
      <c r="F9780" s="380" t="s">
        <v>998</v>
      </c>
      <c r="G9780" s="380" t="s">
        <v>1267</v>
      </c>
      <c r="H9780" s="380" t="s">
        <v>771</v>
      </c>
      <c r="I9780" s="380" t="s">
        <v>788</v>
      </c>
      <c r="J9780" s="380" t="s">
        <v>773</v>
      </c>
      <c r="K9780" s="381">
        <v>0.0</v>
      </c>
      <c r="L9780" s="382">
        <v>1.0</v>
      </c>
    </row>
    <row r="9781">
      <c r="A9781" s="380" t="s">
        <v>10655</v>
      </c>
      <c r="B9781" s="380" t="str">
        <f>IFERROR(__xludf.DUMMYFUNCTION("""COMPUTED_VALUE"""),"FILT AIR Planta ELEC If1544k BRRnquilla")</f>
        <v>FILT AIR Planta ELEC If1544k BRRnquilla</v>
      </c>
      <c r="C9781" s="380" t="str">
        <f>IFERROR(__xludf.DUMMYFUNCTION("""COMPUTED_VALUE"""),"70005202")</f>
        <v>70005202</v>
      </c>
      <c r="D9781" s="380" t="s">
        <v>767</v>
      </c>
      <c r="E9781" s="380" t="s">
        <v>786</v>
      </c>
      <c r="F9781" s="380" t="s">
        <v>5855</v>
      </c>
      <c r="G9781" s="380" t="s">
        <v>1267</v>
      </c>
      <c r="H9781" s="380" t="s">
        <v>771</v>
      </c>
      <c r="I9781" s="380" t="s">
        <v>788</v>
      </c>
      <c r="J9781" s="380" t="s">
        <v>773</v>
      </c>
      <c r="K9781" s="381">
        <v>0.0</v>
      </c>
      <c r="L9781" s="382">
        <v>1.0</v>
      </c>
    </row>
    <row r="9782">
      <c r="A9782" s="380" t="s">
        <v>10656</v>
      </c>
      <c r="B9782" s="380" t="str">
        <f>IFERROR(__xludf.DUMMYFUNCTION("""COMPUTED_VALUE"""),"MANG ENT INTcooler FT 1039 7701023774796")</f>
        <v>MANG ENT INTcooler FT 1039 7701023774796</v>
      </c>
      <c r="C9782" s="380" t="str">
        <f>IFERROR(__xludf.DUMMYFUNCTION("""COMPUTED_VALUE"""),"70005203")</f>
        <v>70005203</v>
      </c>
      <c r="D9782" s="380" t="s">
        <v>767</v>
      </c>
      <c r="E9782" s="380" t="s">
        <v>786</v>
      </c>
      <c r="F9782" s="380" t="s">
        <v>787</v>
      </c>
      <c r="G9782" s="380" t="s">
        <v>1267</v>
      </c>
      <c r="H9782" s="380" t="s">
        <v>771</v>
      </c>
      <c r="I9782" s="380" t="s">
        <v>788</v>
      </c>
      <c r="J9782" s="380" t="s">
        <v>773</v>
      </c>
      <c r="K9782" s="381">
        <v>0.0</v>
      </c>
      <c r="L9782" s="382">
        <v>1.0</v>
      </c>
    </row>
    <row r="9783">
      <c r="A9783" s="380" t="s">
        <v>10657</v>
      </c>
      <c r="B9783" s="380" t="str">
        <f>IFERROR(__xludf.DUMMYFUNCTION("""COMPUTED_VALUE"""),"Vidrio Puerta Der Renault Master")</f>
        <v>Vidrio Puerta Der Renault Master</v>
      </c>
      <c r="C9783" s="380" t="str">
        <f>IFERROR(__xludf.DUMMYFUNCTION("""COMPUTED_VALUE"""),"70005204")</f>
        <v>70005204</v>
      </c>
      <c r="D9783" s="380" t="s">
        <v>767</v>
      </c>
      <c r="E9783" s="380" t="s">
        <v>786</v>
      </c>
      <c r="F9783" s="380" t="s">
        <v>792</v>
      </c>
      <c r="G9783" s="380" t="s">
        <v>1267</v>
      </c>
      <c r="H9783" s="380" t="s">
        <v>771</v>
      </c>
      <c r="I9783" s="380" t="s">
        <v>788</v>
      </c>
      <c r="J9783" s="380" t="s">
        <v>773</v>
      </c>
      <c r="K9783" s="381">
        <v>0.0</v>
      </c>
      <c r="L9783" s="382">
        <v>1.0</v>
      </c>
    </row>
    <row r="9784">
      <c r="A9784" s="380" t="s">
        <v>10658</v>
      </c>
      <c r="B9784" s="380" t="str">
        <f>IFERROR(__xludf.DUMMYFUNCTION("""COMPUTED_VALUE"""),"Camisa Sincro 3ra Y 4ta Fot 1128 7705946")</f>
        <v>Camisa Sincro 3ra Y 4ta Fot 1128 7705946</v>
      </c>
      <c r="C9784" s="380" t="str">
        <f>IFERROR(__xludf.DUMMYFUNCTION("""COMPUTED_VALUE"""),"70005205")</f>
        <v>70005205</v>
      </c>
      <c r="D9784" s="380" t="s">
        <v>767</v>
      </c>
      <c r="E9784" s="380" t="s">
        <v>786</v>
      </c>
      <c r="F9784" s="380" t="s">
        <v>928</v>
      </c>
      <c r="G9784" s="380" t="s">
        <v>1267</v>
      </c>
      <c r="H9784" s="380" t="s">
        <v>771</v>
      </c>
      <c r="I9784" s="380" t="s">
        <v>788</v>
      </c>
      <c r="J9784" s="380" t="s">
        <v>773</v>
      </c>
      <c r="K9784" s="381">
        <v>0.0</v>
      </c>
      <c r="L9784" s="382">
        <v>1.0</v>
      </c>
    </row>
    <row r="9785">
      <c r="A9785" s="380" t="s">
        <v>10659</v>
      </c>
      <c r="B9785" s="380" t="str">
        <f>IFERROR(__xludf.DUMMYFUNCTION("""COMPUTED_VALUE"""),"Tapa Bateria Mack Anthem 20769166")</f>
        <v>Tapa Bateria Mack Anthem 20769166</v>
      </c>
      <c r="C9785" s="380" t="str">
        <f>IFERROR(__xludf.DUMMYFUNCTION("""COMPUTED_VALUE"""),"70005206")</f>
        <v>70005206</v>
      </c>
      <c r="D9785" s="380" t="s">
        <v>767</v>
      </c>
      <c r="E9785" s="380" t="s">
        <v>786</v>
      </c>
      <c r="F9785" s="380" t="s">
        <v>792</v>
      </c>
      <c r="G9785" s="380" t="s">
        <v>1267</v>
      </c>
      <c r="H9785" s="380" t="s">
        <v>771</v>
      </c>
      <c r="I9785" s="380" t="s">
        <v>788</v>
      </c>
      <c r="J9785" s="380" t="s">
        <v>773</v>
      </c>
      <c r="K9785" s="381">
        <v>0.0</v>
      </c>
      <c r="L9785" s="382">
        <v>1.0</v>
      </c>
    </row>
    <row r="9786">
      <c r="A9786" s="380" t="s">
        <v>10660</v>
      </c>
      <c r="B9786" s="380" t="str">
        <f>IFERROR(__xludf.DUMMYFUNCTION("""COMPUTED_VALUE"""),"Volante Chevrolet Nkr Reward 8981480632")</f>
        <v>Volante Chevrolet Nkr Reward 8981480632</v>
      </c>
      <c r="C9786" s="380" t="str">
        <f>IFERROR(__xludf.DUMMYFUNCTION("""COMPUTED_VALUE"""),"70005207")</f>
        <v>70005207</v>
      </c>
      <c r="D9786" s="380" t="s">
        <v>767</v>
      </c>
      <c r="E9786" s="380" t="s">
        <v>786</v>
      </c>
      <c r="F9786" s="380" t="s">
        <v>787</v>
      </c>
      <c r="G9786" s="380" t="s">
        <v>1267</v>
      </c>
      <c r="H9786" s="380" t="s">
        <v>771</v>
      </c>
      <c r="I9786" s="380" t="s">
        <v>788</v>
      </c>
      <c r="J9786" s="380" t="s">
        <v>773</v>
      </c>
      <c r="K9786" s="381">
        <v>0.0</v>
      </c>
      <c r="L9786" s="382">
        <v>1.0</v>
      </c>
    </row>
    <row r="9787">
      <c r="A9787" s="380" t="s">
        <v>10661</v>
      </c>
      <c r="B9787" s="380" t="str">
        <f>IFERROR(__xludf.DUMMYFUNCTION("""COMPUTED_VALUE"""),"Buje Tras. Muelle Delantero Hino Dutropa")</f>
        <v>Buje Tras. Muelle Delantero Hino Dutropa</v>
      </c>
      <c r="C9787" s="380" t="str">
        <f>IFERROR(__xludf.DUMMYFUNCTION("""COMPUTED_VALUE"""),"70005208")</f>
        <v>70005208</v>
      </c>
      <c r="D9787" s="380" t="s">
        <v>767</v>
      </c>
      <c r="E9787" s="380" t="s">
        <v>786</v>
      </c>
      <c r="F9787" s="380" t="s">
        <v>1039</v>
      </c>
      <c r="G9787" s="380" t="s">
        <v>1267</v>
      </c>
      <c r="H9787" s="380" t="s">
        <v>771</v>
      </c>
      <c r="I9787" s="380" t="s">
        <v>788</v>
      </c>
      <c r="J9787" s="380" t="s">
        <v>773</v>
      </c>
      <c r="K9787" s="381">
        <v>0.0</v>
      </c>
      <c r="L9787" s="382">
        <v>1.0</v>
      </c>
    </row>
    <row r="9788">
      <c r="A9788" s="380" t="s">
        <v>10662</v>
      </c>
      <c r="B9788" s="380" t="str">
        <f>IFERROR(__xludf.DUMMYFUNCTION("""COMPUTED_VALUE"""),"FILT Aceite Planta ELEC Lf3345 Fleetguar")</f>
        <v>FILT Aceite Planta ELEC Lf3345 Fleetguar</v>
      </c>
      <c r="C9788" s="380" t="str">
        <f>IFERROR(__xludf.DUMMYFUNCTION("""COMPUTED_VALUE"""),"70005209")</f>
        <v>70005209</v>
      </c>
      <c r="D9788" s="380" t="s">
        <v>767</v>
      </c>
      <c r="E9788" s="380" t="s">
        <v>786</v>
      </c>
      <c r="F9788" s="380" t="s">
        <v>5855</v>
      </c>
      <c r="G9788" s="380" t="s">
        <v>1267</v>
      </c>
      <c r="H9788" s="380" t="s">
        <v>771</v>
      </c>
      <c r="I9788" s="380" t="s">
        <v>788</v>
      </c>
      <c r="J9788" s="380" t="s">
        <v>773</v>
      </c>
      <c r="K9788" s="381">
        <v>0.0</v>
      </c>
      <c r="L9788" s="382">
        <v>1.0</v>
      </c>
    </row>
    <row r="9789">
      <c r="A9789" s="380" t="s">
        <v>10663</v>
      </c>
      <c r="B9789" s="380" t="str">
        <f>IFERROR(__xludf.DUMMYFUNCTION("""COMPUTED_VALUE"""),"carcasa FILT De AIR FT 1129 770102355046")</f>
        <v>carcasa FILT De AIR FT 1129 770102355046</v>
      </c>
      <c r="C9789" s="380" t="str">
        <f>IFERROR(__xludf.DUMMYFUNCTION("""COMPUTED_VALUE"""),"70005210")</f>
        <v>70005210</v>
      </c>
      <c r="D9789" s="380" t="s">
        <v>767</v>
      </c>
      <c r="E9789" s="380" t="s">
        <v>786</v>
      </c>
      <c r="F9789" s="380" t="s">
        <v>787</v>
      </c>
      <c r="G9789" s="380" t="s">
        <v>1267</v>
      </c>
      <c r="H9789" s="380" t="s">
        <v>771</v>
      </c>
      <c r="I9789" s="380" t="s">
        <v>788</v>
      </c>
      <c r="J9789" s="380" t="s">
        <v>773</v>
      </c>
      <c r="K9789" s="381">
        <v>0.0</v>
      </c>
      <c r="L9789" s="382">
        <v>1.0</v>
      </c>
    </row>
    <row r="9790">
      <c r="A9790" s="380" t="s">
        <v>10664</v>
      </c>
      <c r="B9790" s="380" t="str">
        <f>IFERROR(__xludf.DUMMYFUNCTION("""COMPUTED_VALUE"""),"Tuberia De Refrigerante En U Compresor D")</f>
        <v>Tuberia De Refrigerante En U Compresor D</v>
      </c>
      <c r="C9790" s="380" t="str">
        <f>IFERROR(__xludf.DUMMYFUNCTION("""COMPUTED_VALUE"""),"70005211")</f>
        <v>70005211</v>
      </c>
      <c r="D9790" s="380" t="s">
        <v>767</v>
      </c>
      <c r="E9790" s="380" t="s">
        <v>786</v>
      </c>
      <c r="F9790" s="380" t="s">
        <v>787</v>
      </c>
      <c r="G9790" s="380" t="s">
        <v>1267</v>
      </c>
      <c r="H9790" s="380" t="s">
        <v>771</v>
      </c>
      <c r="I9790" s="380" t="s">
        <v>788</v>
      </c>
      <c r="J9790" s="380" t="s">
        <v>773</v>
      </c>
      <c r="K9790" s="381">
        <v>0.0</v>
      </c>
      <c r="L9790" s="382">
        <v>1.0</v>
      </c>
    </row>
    <row r="9791">
      <c r="A9791" s="380" t="s">
        <v>10665</v>
      </c>
      <c r="B9791" s="380" t="str">
        <f>IFERROR(__xludf.DUMMYFUNCTION("""COMPUTED_VALUE"""),"Filtro Aire Planta Electrica If2873")</f>
        <v>Filtro Aire Planta Electrica If2873</v>
      </c>
      <c r="C9791" s="380" t="str">
        <f>IFERROR(__xludf.DUMMYFUNCTION("""COMPUTED_VALUE"""),"70005212")</f>
        <v>70005212</v>
      </c>
      <c r="D9791" s="380" t="s">
        <v>767</v>
      </c>
      <c r="E9791" s="380" t="s">
        <v>786</v>
      </c>
      <c r="F9791" s="380" t="s">
        <v>5855</v>
      </c>
      <c r="G9791" s="380" t="s">
        <v>1267</v>
      </c>
      <c r="H9791" s="380" t="s">
        <v>771</v>
      </c>
      <c r="I9791" s="380" t="s">
        <v>788</v>
      </c>
      <c r="J9791" s="380" t="s">
        <v>773</v>
      </c>
      <c r="K9791" s="381">
        <v>0.0</v>
      </c>
      <c r="L9791" s="382">
        <v>1.0</v>
      </c>
    </row>
    <row r="9792">
      <c r="A9792" s="380" t="s">
        <v>10666</v>
      </c>
      <c r="B9792" s="380" t="str">
        <f>IFERROR(__xludf.DUMMYFUNCTION("""COMPUTED_VALUE"""),"CTRL Elevavidrios DER INT Lt 4061968c4")</f>
        <v>CTRL Elevavidrios DER INT Lt 4061968c4</v>
      </c>
      <c r="C9792" s="380" t="str">
        <f>IFERROR(__xludf.DUMMYFUNCTION("""COMPUTED_VALUE"""),"70005213")</f>
        <v>70005213</v>
      </c>
      <c r="D9792" s="380" t="s">
        <v>767</v>
      </c>
      <c r="E9792" s="380" t="s">
        <v>786</v>
      </c>
      <c r="F9792" s="380" t="s">
        <v>998</v>
      </c>
      <c r="G9792" s="380" t="s">
        <v>1267</v>
      </c>
      <c r="H9792" s="380" t="s">
        <v>771</v>
      </c>
      <c r="I9792" s="380" t="s">
        <v>788</v>
      </c>
      <c r="J9792" s="380" t="s">
        <v>773</v>
      </c>
      <c r="K9792" s="381">
        <v>1359546.0</v>
      </c>
      <c r="L9792" s="382">
        <v>1.0</v>
      </c>
    </row>
    <row r="9793">
      <c r="A9793" s="380" t="s">
        <v>10667</v>
      </c>
      <c r="B9793" s="380" t="str">
        <f>IFERROR(__xludf.DUMMYFUNCTION("""COMPUTED_VALUE"""),"Conector Hembra SENS Presion COMB Nkr Ii")</f>
        <v>Conector Hembra SENS Presion COMB Nkr Ii</v>
      </c>
      <c r="C9793" s="380" t="str">
        <f>IFERROR(__xludf.DUMMYFUNCTION("""COMPUTED_VALUE"""),"70005214")</f>
        <v>70005214</v>
      </c>
      <c r="D9793" s="380" t="s">
        <v>767</v>
      </c>
      <c r="E9793" s="380" t="s">
        <v>786</v>
      </c>
      <c r="F9793" s="380" t="s">
        <v>998</v>
      </c>
      <c r="G9793" s="380" t="s">
        <v>1267</v>
      </c>
      <c r="H9793" s="380" t="s">
        <v>771</v>
      </c>
      <c r="I9793" s="380" t="s">
        <v>788</v>
      </c>
      <c r="J9793" s="380" t="s">
        <v>773</v>
      </c>
      <c r="K9793" s="381">
        <v>0.0</v>
      </c>
      <c r="L9793" s="382">
        <v>1.0</v>
      </c>
    </row>
    <row r="9794">
      <c r="A9794" s="380" t="s">
        <v>10668</v>
      </c>
      <c r="B9794" s="380" t="str">
        <f>IFERROR(__xludf.DUMMYFUNCTION("""COMPUTED_VALUE"""),"Estribo DER Con Bisel FT 1128 7705946797")</f>
        <v>Estribo DER Con Bisel FT 1128 7705946797</v>
      </c>
      <c r="C9794" s="380" t="str">
        <f>IFERROR(__xludf.DUMMYFUNCTION("""COMPUTED_VALUE"""),"70005215")</f>
        <v>70005215</v>
      </c>
      <c r="D9794" s="380" t="s">
        <v>767</v>
      </c>
      <c r="E9794" s="380" t="s">
        <v>786</v>
      </c>
      <c r="F9794" s="380" t="s">
        <v>792</v>
      </c>
      <c r="G9794" s="380" t="s">
        <v>1267</v>
      </c>
      <c r="H9794" s="380" t="s">
        <v>771</v>
      </c>
      <c r="I9794" s="380" t="s">
        <v>788</v>
      </c>
      <c r="J9794" s="380" t="s">
        <v>773</v>
      </c>
      <c r="K9794" s="381">
        <v>0.0</v>
      </c>
      <c r="L9794" s="382">
        <v>1.0</v>
      </c>
    </row>
    <row r="9795">
      <c r="A9795" s="380" t="s">
        <v>10669</v>
      </c>
      <c r="B9795" s="380" t="str">
        <f>IFERROR(__xludf.DUMMYFUNCTION("""COMPUTED_VALUE"""),"Filtro Pequeño Adblue Daf 2127614")</f>
        <v>Filtro Pequeño Adblue Daf 2127614</v>
      </c>
      <c r="C9795" s="380" t="str">
        <f>IFERROR(__xludf.DUMMYFUNCTION("""COMPUTED_VALUE"""),"70005216")</f>
        <v>70005216</v>
      </c>
      <c r="D9795" s="380" t="s">
        <v>767</v>
      </c>
      <c r="E9795" s="380" t="s">
        <v>786</v>
      </c>
      <c r="F9795" s="380" t="s">
        <v>5855</v>
      </c>
      <c r="G9795" s="380" t="s">
        <v>1267</v>
      </c>
      <c r="H9795" s="380" t="s">
        <v>771</v>
      </c>
      <c r="I9795" s="380" t="s">
        <v>788</v>
      </c>
      <c r="J9795" s="380" t="s">
        <v>773</v>
      </c>
      <c r="K9795" s="381">
        <v>950415.0</v>
      </c>
      <c r="L9795" s="382">
        <v>1.0</v>
      </c>
    </row>
    <row r="9796">
      <c r="A9796" s="380" t="s">
        <v>10670</v>
      </c>
      <c r="B9796" s="380" t="str">
        <f>IFERROR(__xludf.DUMMYFUNCTION("""COMPUTED_VALUE"""),"Kit Completo Filtro Adblue Daf 2122909pe")</f>
        <v>Kit Completo Filtro Adblue Daf 2122909pe</v>
      </c>
      <c r="C9796" s="380" t="str">
        <f>IFERROR(__xludf.DUMMYFUNCTION("""COMPUTED_VALUE"""),"70005217")</f>
        <v>70005217</v>
      </c>
      <c r="D9796" s="380" t="s">
        <v>767</v>
      </c>
      <c r="E9796" s="380" t="s">
        <v>786</v>
      </c>
      <c r="F9796" s="380" t="s">
        <v>5855</v>
      </c>
      <c r="G9796" s="380" t="s">
        <v>1267</v>
      </c>
      <c r="H9796" s="380" t="s">
        <v>771</v>
      </c>
      <c r="I9796" s="380" t="s">
        <v>788</v>
      </c>
      <c r="J9796" s="380" t="s">
        <v>773</v>
      </c>
      <c r="K9796" s="381">
        <v>0.0</v>
      </c>
      <c r="L9796" s="382">
        <v>1.0</v>
      </c>
    </row>
    <row r="9797">
      <c r="A9797" s="380" t="s">
        <v>10671</v>
      </c>
      <c r="B9797" s="380" t="str">
        <f>IFERROR(__xludf.DUMMYFUNCTION("""COMPUTED_VALUE"""),"VALV Relay De Freno INT Lt 2515899c91")</f>
        <v>VALV Relay De Freno INT Lt 2515899c91</v>
      </c>
      <c r="C9797" s="380" t="str">
        <f>IFERROR(__xludf.DUMMYFUNCTION("""COMPUTED_VALUE"""),"70005218")</f>
        <v>70005218</v>
      </c>
      <c r="D9797" s="380" t="s">
        <v>767</v>
      </c>
      <c r="E9797" s="380" t="s">
        <v>786</v>
      </c>
      <c r="F9797" s="380" t="s">
        <v>1017</v>
      </c>
      <c r="G9797" s="380" t="s">
        <v>1267</v>
      </c>
      <c r="H9797" s="380" t="s">
        <v>771</v>
      </c>
      <c r="I9797" s="380" t="s">
        <v>788</v>
      </c>
      <c r="J9797" s="380" t="s">
        <v>773</v>
      </c>
      <c r="K9797" s="381">
        <v>1267112.0</v>
      </c>
      <c r="L9797" s="382">
        <v>1.0</v>
      </c>
    </row>
    <row r="9798">
      <c r="A9798" s="380" t="s">
        <v>10672</v>
      </c>
      <c r="B9798" s="380" t="str">
        <f>IFERROR(__xludf.DUMMYFUNCTION("""COMPUTED_VALUE"""),"Tijera Derecha Foton 1030 7705946979016")</f>
        <v>Tijera Derecha Foton 1030 7705946979016</v>
      </c>
      <c r="C9798" s="380" t="str">
        <f>IFERROR(__xludf.DUMMYFUNCTION("""COMPUTED_VALUE"""),"70005219")</f>
        <v>70005219</v>
      </c>
      <c r="D9798" s="380" t="s">
        <v>767</v>
      </c>
      <c r="E9798" s="380" t="s">
        <v>786</v>
      </c>
      <c r="F9798" s="380" t="s">
        <v>792</v>
      </c>
      <c r="G9798" s="380" t="s">
        <v>1267</v>
      </c>
      <c r="H9798" s="380" t="s">
        <v>771</v>
      </c>
      <c r="I9798" s="380" t="s">
        <v>788</v>
      </c>
      <c r="J9798" s="380" t="s">
        <v>773</v>
      </c>
      <c r="K9798" s="381">
        <v>0.0</v>
      </c>
      <c r="L9798" s="382">
        <v>1.0</v>
      </c>
    </row>
    <row r="9799">
      <c r="A9799" s="380" t="s">
        <v>10673</v>
      </c>
      <c r="B9799" s="380" t="str">
        <f>IFERROR(__xludf.DUMMYFUNCTION("""COMPUTED_VALUE"""),"Conector Hembra SENS Temp COMB Nkr Iiie")</f>
        <v>Conector Hembra SENS Temp COMB Nkr Iiie</v>
      </c>
      <c r="C9799" s="380" t="str">
        <f>IFERROR(__xludf.DUMMYFUNCTION("""COMPUTED_VALUE"""),"70005220")</f>
        <v>70005220</v>
      </c>
      <c r="D9799" s="380" t="s">
        <v>767</v>
      </c>
      <c r="E9799" s="380" t="s">
        <v>786</v>
      </c>
      <c r="F9799" s="380" t="s">
        <v>998</v>
      </c>
      <c r="G9799" s="380" t="s">
        <v>1267</v>
      </c>
      <c r="H9799" s="380" t="s">
        <v>771</v>
      </c>
      <c r="I9799" s="380" t="s">
        <v>788</v>
      </c>
      <c r="J9799" s="380" t="s">
        <v>773</v>
      </c>
      <c r="K9799" s="381">
        <v>0.0</v>
      </c>
      <c r="L9799" s="382">
        <v>1.0</v>
      </c>
    </row>
    <row r="9800">
      <c r="A9800" s="380" t="s">
        <v>10674</v>
      </c>
      <c r="B9800" s="380" t="str">
        <f>IFERROR(__xludf.DUMMYFUNCTION("""COMPUTED_VALUE"""),"Polea Mastil Montacarga Bt ELEC S90f")</f>
        <v>Polea Mastil Montacarga Bt ELEC S90f</v>
      </c>
      <c r="C9800" s="380" t="str">
        <f>IFERROR(__xludf.DUMMYFUNCTION("""COMPUTED_VALUE"""),"70005221")</f>
        <v>70005221</v>
      </c>
      <c r="D9800" s="380" t="s">
        <v>767</v>
      </c>
      <c r="E9800" s="380" t="s">
        <v>786</v>
      </c>
      <c r="F9800" s="380" t="s">
        <v>792</v>
      </c>
      <c r="G9800" s="380" t="s">
        <v>1267</v>
      </c>
      <c r="H9800" s="380" t="s">
        <v>771</v>
      </c>
      <c r="I9800" s="380" t="s">
        <v>788</v>
      </c>
      <c r="J9800" s="380" t="s">
        <v>773</v>
      </c>
      <c r="K9800" s="381">
        <v>0.0</v>
      </c>
      <c r="L9800" s="382">
        <v>1.0</v>
      </c>
    </row>
    <row r="9801">
      <c r="A9801" s="380" t="s">
        <v>10675</v>
      </c>
      <c r="B9801" s="380" t="str">
        <f>IFERROR(__xludf.DUMMYFUNCTION("""COMPUTED_VALUE"""),"Recibidor Cinturon De Seguridad Daf Cf 4")</f>
        <v>Recibidor Cinturon De Seguridad Daf Cf 4</v>
      </c>
      <c r="C9801" s="380" t="str">
        <f>IFERROR(__xludf.DUMMYFUNCTION("""COMPUTED_VALUE"""),"70005222")</f>
        <v>70005222</v>
      </c>
      <c r="D9801" s="380" t="s">
        <v>767</v>
      </c>
      <c r="E9801" s="380" t="s">
        <v>786</v>
      </c>
      <c r="F9801" s="380" t="s">
        <v>792</v>
      </c>
      <c r="G9801" s="380" t="s">
        <v>1267</v>
      </c>
      <c r="H9801" s="380" t="s">
        <v>771</v>
      </c>
      <c r="I9801" s="380" t="s">
        <v>788</v>
      </c>
      <c r="J9801" s="380" t="s">
        <v>773</v>
      </c>
      <c r="K9801" s="381">
        <v>0.0</v>
      </c>
      <c r="L9801" s="382">
        <v>1.0</v>
      </c>
    </row>
    <row r="9802">
      <c r="A9802" s="380" t="s">
        <v>10676</v>
      </c>
      <c r="B9802" s="380" t="str">
        <f>IFERROR(__xludf.DUMMYFUNCTION("""COMPUTED_VALUE"""),"INTruptores Cabrilla INT Lt 4057703c94")</f>
        <v>INTruptores Cabrilla INT Lt 4057703c94</v>
      </c>
      <c r="C9802" s="380" t="str">
        <f>IFERROR(__xludf.DUMMYFUNCTION("""COMPUTED_VALUE"""),"70005223")</f>
        <v>70005223</v>
      </c>
      <c r="D9802" s="380" t="s">
        <v>767</v>
      </c>
      <c r="E9802" s="380" t="s">
        <v>786</v>
      </c>
      <c r="F9802" s="380" t="s">
        <v>998</v>
      </c>
      <c r="G9802" s="380" t="s">
        <v>1267</v>
      </c>
      <c r="H9802" s="380" t="s">
        <v>771</v>
      </c>
      <c r="I9802" s="380" t="s">
        <v>788</v>
      </c>
      <c r="J9802" s="380" t="s">
        <v>773</v>
      </c>
      <c r="K9802" s="381">
        <v>0.0</v>
      </c>
      <c r="L9802" s="382">
        <v>1.0</v>
      </c>
    </row>
    <row r="9803">
      <c r="A9803" s="380" t="s">
        <v>10677</v>
      </c>
      <c r="B9803" s="380" t="str">
        <f>IFERROR(__xludf.DUMMYFUNCTION("""COMPUTED_VALUE"""),"Esquinero Superior Izquierdo Hino Dutrop")</f>
        <v>Esquinero Superior Izquierdo Hino Dutrop</v>
      </c>
      <c r="C9803" s="380" t="str">
        <f>IFERROR(__xludf.DUMMYFUNCTION("""COMPUTED_VALUE"""),"70005224")</f>
        <v>70005224</v>
      </c>
      <c r="D9803" s="380" t="s">
        <v>767</v>
      </c>
      <c r="E9803" s="380" t="s">
        <v>786</v>
      </c>
      <c r="F9803" s="380" t="s">
        <v>792</v>
      </c>
      <c r="G9803" s="380" t="s">
        <v>1267</v>
      </c>
      <c r="H9803" s="380" t="s">
        <v>771</v>
      </c>
      <c r="I9803" s="380" t="s">
        <v>788</v>
      </c>
      <c r="J9803" s="380" t="s">
        <v>773</v>
      </c>
      <c r="K9803" s="381">
        <v>0.0</v>
      </c>
      <c r="L9803" s="382">
        <v>1.0</v>
      </c>
    </row>
    <row r="9804">
      <c r="A9804" s="380" t="s">
        <v>10678</v>
      </c>
      <c r="B9804" s="380" t="str">
        <f>IFERROR(__xludf.DUMMYFUNCTION("""COMPUTED_VALUE"""),"Rodamiento MOT De ARR Nkr 16101 2rs")</f>
        <v>Rodamiento MOT De ARR Nkr 16101 2rs</v>
      </c>
      <c r="C9804" s="380" t="str">
        <f>IFERROR(__xludf.DUMMYFUNCTION("""COMPUTED_VALUE"""),"70005225")</f>
        <v>70005225</v>
      </c>
      <c r="D9804" s="380" t="s">
        <v>767</v>
      </c>
      <c r="E9804" s="380" t="s">
        <v>786</v>
      </c>
      <c r="F9804" s="380" t="s">
        <v>998</v>
      </c>
      <c r="G9804" s="380" t="s">
        <v>1267</v>
      </c>
      <c r="H9804" s="380" t="s">
        <v>771</v>
      </c>
      <c r="I9804" s="380" t="s">
        <v>788</v>
      </c>
      <c r="J9804" s="380" t="s">
        <v>773</v>
      </c>
      <c r="K9804" s="381">
        <v>0.0</v>
      </c>
      <c r="L9804" s="382">
        <v>1.0</v>
      </c>
    </row>
    <row r="9805">
      <c r="A9805" s="380" t="s">
        <v>10679</v>
      </c>
      <c r="B9805" s="380" t="str">
        <f>IFERROR(__xludf.DUMMYFUNCTION("""COMPUTED_VALUE"""),"Abrazadera Escape Turbo Motor Isf 3.8 39")</f>
        <v>Abrazadera Escape Turbo Motor Isf 3.8 39</v>
      </c>
      <c r="C9805" s="380" t="str">
        <f>IFERROR(__xludf.DUMMYFUNCTION("""COMPUTED_VALUE"""),"70005226")</f>
        <v>70005226</v>
      </c>
      <c r="D9805" s="380" t="s">
        <v>767</v>
      </c>
      <c r="E9805" s="380" t="s">
        <v>786</v>
      </c>
      <c r="F9805" s="380" t="s">
        <v>787</v>
      </c>
      <c r="G9805" s="380" t="s">
        <v>1267</v>
      </c>
      <c r="H9805" s="380" t="s">
        <v>771</v>
      </c>
      <c r="I9805" s="380" t="s">
        <v>788</v>
      </c>
      <c r="J9805" s="380" t="s">
        <v>773</v>
      </c>
      <c r="K9805" s="381">
        <v>0.0</v>
      </c>
      <c r="L9805" s="382">
        <v>1.0</v>
      </c>
    </row>
    <row r="9806">
      <c r="A9806" s="380" t="s">
        <v>10680</v>
      </c>
      <c r="B9806" s="380" t="str">
        <f>IFERROR(__xludf.DUMMYFUNCTION("""COMPUTED_VALUE"""),"To Tornillo Cartera Eagle 9400 2029410c4")</f>
        <v>To Tornillo Cartera Eagle 9400 2029410c4</v>
      </c>
      <c r="C9806" s="380" t="str">
        <f>IFERROR(__xludf.DUMMYFUNCTION("""COMPUTED_VALUE"""),"70005227")</f>
        <v>70005227</v>
      </c>
      <c r="D9806" s="380" t="s">
        <v>767</v>
      </c>
      <c r="E9806" s="380" t="s">
        <v>786</v>
      </c>
      <c r="F9806" s="380" t="s">
        <v>792</v>
      </c>
      <c r="G9806" s="380" t="s">
        <v>1267</v>
      </c>
      <c r="H9806" s="380" t="s">
        <v>771</v>
      </c>
      <c r="I9806" s="380" t="s">
        <v>788</v>
      </c>
      <c r="J9806" s="380" t="s">
        <v>773</v>
      </c>
      <c r="K9806" s="381">
        <v>0.0</v>
      </c>
      <c r="L9806" s="382">
        <v>1.0</v>
      </c>
    </row>
    <row r="9807">
      <c r="A9807" s="380" t="s">
        <v>10681</v>
      </c>
      <c r="B9807" s="380" t="str">
        <f>IFERROR(__xludf.DUMMYFUNCTION("""COMPUTED_VALUE"""),"Tornillos Tapizado Techo Eagle 9400 3508")</f>
        <v>Tornillos Tapizado Techo Eagle 9400 3508</v>
      </c>
      <c r="C9807" s="380" t="str">
        <f>IFERROR(__xludf.DUMMYFUNCTION("""COMPUTED_VALUE"""),"70005228")</f>
        <v>70005228</v>
      </c>
      <c r="D9807" s="380" t="s">
        <v>767</v>
      </c>
      <c r="E9807" s="380" t="s">
        <v>786</v>
      </c>
      <c r="F9807" s="380" t="s">
        <v>792</v>
      </c>
      <c r="G9807" s="380" t="s">
        <v>1267</v>
      </c>
      <c r="H9807" s="380" t="s">
        <v>771</v>
      </c>
      <c r="I9807" s="380" t="s">
        <v>788</v>
      </c>
      <c r="J9807" s="380" t="s">
        <v>773</v>
      </c>
      <c r="K9807" s="381">
        <v>0.0</v>
      </c>
      <c r="L9807" s="382">
        <v>1.0</v>
      </c>
    </row>
    <row r="9808">
      <c r="A9808" s="380" t="s">
        <v>10682</v>
      </c>
      <c r="B9808" s="380" t="str">
        <f>IFERROR(__xludf.DUMMYFUNCTION("""COMPUTED_VALUE"""),"DEP Agua Limpiabrisas Daf Cf 480ftt 2048")</f>
        <v>DEP Agua Limpiabrisas Daf Cf 480ftt 2048</v>
      </c>
      <c r="C9808" s="380" t="str">
        <f>IFERROR(__xludf.DUMMYFUNCTION("""COMPUTED_VALUE"""),"70005229")</f>
        <v>70005229</v>
      </c>
      <c r="D9808" s="380" t="s">
        <v>767</v>
      </c>
      <c r="E9808" s="380" t="s">
        <v>786</v>
      </c>
      <c r="F9808" s="380" t="s">
        <v>792</v>
      </c>
      <c r="G9808" s="380" t="s">
        <v>1267</v>
      </c>
      <c r="H9808" s="380" t="s">
        <v>771</v>
      </c>
      <c r="I9808" s="380" t="s">
        <v>788</v>
      </c>
      <c r="J9808" s="380" t="s">
        <v>773</v>
      </c>
      <c r="K9808" s="381">
        <v>0.0</v>
      </c>
      <c r="L9808" s="382">
        <v>1.0</v>
      </c>
    </row>
    <row r="9809">
      <c r="A9809" s="380" t="s">
        <v>10683</v>
      </c>
      <c r="B9809" s="380" t="str">
        <f>IFERROR(__xludf.DUMMYFUNCTION("""COMPUTED_VALUE"""),"Guaya Neutra Foton 1128 7705946893336")</f>
        <v>Guaya Neutra Foton 1128 7705946893336</v>
      </c>
      <c r="C9809" s="380" t="str">
        <f>IFERROR(__xludf.DUMMYFUNCTION("""COMPUTED_VALUE"""),"70005230")</f>
        <v>70005230</v>
      </c>
      <c r="D9809" s="380" t="s">
        <v>767</v>
      </c>
      <c r="E9809" s="380" t="s">
        <v>786</v>
      </c>
      <c r="F9809" s="380" t="s">
        <v>5661</v>
      </c>
      <c r="G9809" s="380" t="s">
        <v>1267</v>
      </c>
      <c r="H9809" s="380" t="s">
        <v>771</v>
      </c>
      <c r="I9809" s="380" t="s">
        <v>788</v>
      </c>
      <c r="J9809" s="380" t="s">
        <v>773</v>
      </c>
      <c r="K9809" s="381">
        <v>0.0</v>
      </c>
      <c r="L9809" s="382">
        <v>1.0</v>
      </c>
    </row>
    <row r="9810">
      <c r="A9810" s="380" t="s">
        <v>10684</v>
      </c>
      <c r="B9810" s="380" t="str">
        <f>IFERROR(__xludf.DUMMYFUNCTION("""COMPUTED_VALUE"""),"Guaya Selectora Foton 1128 7705946893329")</f>
        <v>Guaya Selectora Foton 1128 7705946893329</v>
      </c>
      <c r="C9810" s="380" t="str">
        <f>IFERROR(__xludf.DUMMYFUNCTION("""COMPUTED_VALUE"""),"70005231")</f>
        <v>70005231</v>
      </c>
      <c r="D9810" s="380" t="s">
        <v>767</v>
      </c>
      <c r="E9810" s="380" t="s">
        <v>786</v>
      </c>
      <c r="F9810" s="380" t="s">
        <v>5661</v>
      </c>
      <c r="G9810" s="380" t="s">
        <v>1267</v>
      </c>
      <c r="H9810" s="380" t="s">
        <v>771</v>
      </c>
      <c r="I9810" s="380" t="s">
        <v>788</v>
      </c>
      <c r="J9810" s="380" t="s">
        <v>773</v>
      </c>
      <c r="K9810" s="381">
        <v>0.0</v>
      </c>
      <c r="L9810" s="382">
        <v>1.0</v>
      </c>
    </row>
    <row r="9811">
      <c r="A9811" s="380" t="s">
        <v>10685</v>
      </c>
      <c r="B9811" s="380" t="str">
        <f>IFERROR(__xludf.DUMMYFUNCTION("""COMPUTED_VALUE"""),"Bomba Docificadora Urea Daf 2208766rn")</f>
        <v>Bomba Docificadora Urea Daf 2208766rn</v>
      </c>
      <c r="C9811" s="380" t="str">
        <f>IFERROR(__xludf.DUMMYFUNCTION("""COMPUTED_VALUE"""),"70005232")</f>
        <v>70005232</v>
      </c>
      <c r="D9811" s="380" t="s">
        <v>767</v>
      </c>
      <c r="E9811" s="380" t="s">
        <v>786</v>
      </c>
      <c r="F9811" s="380" t="s">
        <v>787</v>
      </c>
      <c r="G9811" s="380" t="s">
        <v>1267</v>
      </c>
      <c r="H9811" s="380" t="s">
        <v>771</v>
      </c>
      <c r="I9811" s="380" t="s">
        <v>788</v>
      </c>
      <c r="J9811" s="380" t="s">
        <v>773</v>
      </c>
      <c r="K9811" s="381">
        <v>0.0</v>
      </c>
      <c r="L9811" s="382">
        <v>1.0</v>
      </c>
    </row>
    <row r="9812">
      <c r="A9812" s="380" t="s">
        <v>10686</v>
      </c>
      <c r="B9812" s="380" t="str">
        <f>IFERROR(__xludf.DUMMYFUNCTION("""COMPUTED_VALUE"""),"Resorte Retención Freno TRAS Jac 1120 50")</f>
        <v>Resorte Retención Freno TRAS Jac 1120 50</v>
      </c>
      <c r="C9812" s="380" t="str">
        <f>IFERROR(__xludf.DUMMYFUNCTION("""COMPUTED_VALUE"""),"70005233")</f>
        <v>70005233</v>
      </c>
      <c r="D9812" s="380" t="s">
        <v>767</v>
      </c>
      <c r="E9812" s="380" t="s">
        <v>786</v>
      </c>
      <c r="F9812" s="380" t="s">
        <v>1017</v>
      </c>
      <c r="G9812" s="380" t="s">
        <v>1267</v>
      </c>
      <c r="H9812" s="380" t="s">
        <v>771</v>
      </c>
      <c r="I9812" s="380" t="s">
        <v>788</v>
      </c>
      <c r="J9812" s="380" t="s">
        <v>773</v>
      </c>
      <c r="K9812" s="381">
        <v>0.0</v>
      </c>
      <c r="L9812" s="382">
        <v>1.0</v>
      </c>
    </row>
    <row r="9813">
      <c r="A9813" s="380" t="s">
        <v>10687</v>
      </c>
      <c r="B9813" s="380" t="str">
        <f>IFERROR(__xludf.DUMMYFUNCTION("""COMPUTED_VALUE"""),"Espejo Retrovisor IZQ FT 1128 7705946714")</f>
        <v>Espejo Retrovisor IZQ FT 1128 7705946714</v>
      </c>
      <c r="C9813" s="380" t="str">
        <f>IFERROR(__xludf.DUMMYFUNCTION("""COMPUTED_VALUE"""),"70005234")</f>
        <v>70005234</v>
      </c>
      <c r="D9813" s="380" t="s">
        <v>767</v>
      </c>
      <c r="E9813" s="380" t="s">
        <v>786</v>
      </c>
      <c r="F9813" s="380" t="s">
        <v>792</v>
      </c>
      <c r="G9813" s="380" t="s">
        <v>1267</v>
      </c>
      <c r="H9813" s="380" t="s">
        <v>771</v>
      </c>
      <c r="I9813" s="380" t="s">
        <v>788</v>
      </c>
      <c r="J9813" s="380" t="s">
        <v>773</v>
      </c>
      <c r="K9813" s="381">
        <v>0.0</v>
      </c>
      <c r="L9813" s="382">
        <v>1.0</v>
      </c>
    </row>
    <row r="9814">
      <c r="A9814" s="380" t="s">
        <v>10688</v>
      </c>
      <c r="B9814" s="380" t="str">
        <f>IFERROR(__xludf.DUMMYFUNCTION("""COMPUTED_VALUE"""),"Espejo Superior Puerta Foton 1128 770594")</f>
        <v>Espejo Superior Puerta Foton 1128 770594</v>
      </c>
      <c r="C9814" s="380" t="str">
        <f>IFERROR(__xludf.DUMMYFUNCTION("""COMPUTED_VALUE"""),"70005235")</f>
        <v>70005235</v>
      </c>
      <c r="D9814" s="380" t="s">
        <v>767</v>
      </c>
      <c r="E9814" s="380" t="s">
        <v>786</v>
      </c>
      <c r="F9814" s="380" t="s">
        <v>792</v>
      </c>
      <c r="G9814" s="380" t="s">
        <v>1267</v>
      </c>
      <c r="H9814" s="380" t="s">
        <v>771</v>
      </c>
      <c r="I9814" s="380" t="s">
        <v>788</v>
      </c>
      <c r="J9814" s="380" t="s">
        <v>773</v>
      </c>
      <c r="K9814" s="381">
        <v>0.0</v>
      </c>
      <c r="L9814" s="382">
        <v>1.0</v>
      </c>
    </row>
    <row r="9815">
      <c r="A9815" s="380" t="s">
        <v>10689</v>
      </c>
      <c r="B9815" s="380" t="str">
        <f>IFERROR(__xludf.DUMMYFUNCTION("""COMPUTED_VALUE"""),"Vidrio Pueta FT IZQ 1128 7705946416023")</f>
        <v>Vidrio Pueta FT IZQ 1128 7705946416023</v>
      </c>
      <c r="C9815" s="380" t="str">
        <f>IFERROR(__xludf.DUMMYFUNCTION("""COMPUTED_VALUE"""),"70005236")</f>
        <v>70005236</v>
      </c>
      <c r="D9815" s="380" t="s">
        <v>767</v>
      </c>
      <c r="E9815" s="380" t="s">
        <v>786</v>
      </c>
      <c r="F9815" s="380" t="s">
        <v>792</v>
      </c>
      <c r="G9815" s="380" t="s">
        <v>1267</v>
      </c>
      <c r="H9815" s="380" t="s">
        <v>771</v>
      </c>
      <c r="I9815" s="380" t="s">
        <v>788</v>
      </c>
      <c r="J9815" s="380" t="s">
        <v>773</v>
      </c>
      <c r="K9815" s="381">
        <v>0.0</v>
      </c>
      <c r="L9815" s="382">
        <v>1.0</v>
      </c>
    </row>
    <row r="9816">
      <c r="A9816" s="380" t="s">
        <v>10690</v>
      </c>
      <c r="B9816" s="380" t="str">
        <f>IFERROR(__xludf.DUMMYFUNCTION("""COMPUTED_VALUE"""),"Persiana Foton 1128 7705946684620")</f>
        <v>Persiana Foton 1128 7705946684620</v>
      </c>
      <c r="C9816" s="380" t="str">
        <f>IFERROR(__xludf.DUMMYFUNCTION("""COMPUTED_VALUE"""),"70005237")</f>
        <v>70005237</v>
      </c>
      <c r="D9816" s="380" t="s">
        <v>767</v>
      </c>
      <c r="E9816" s="380" t="s">
        <v>786</v>
      </c>
      <c r="F9816" s="380" t="s">
        <v>792</v>
      </c>
      <c r="G9816" s="380" t="s">
        <v>1267</v>
      </c>
      <c r="H9816" s="380" t="s">
        <v>771</v>
      </c>
      <c r="I9816" s="380" t="s">
        <v>788</v>
      </c>
      <c r="J9816" s="380" t="s">
        <v>773</v>
      </c>
      <c r="K9816" s="381">
        <v>0.0</v>
      </c>
      <c r="L9816" s="382">
        <v>1.0</v>
      </c>
    </row>
    <row r="9817">
      <c r="A9817" s="380" t="s">
        <v>10691</v>
      </c>
      <c r="B9817" s="380" t="str">
        <f>IFERROR(__xludf.DUMMYFUNCTION("""COMPUTED_VALUE"""),"Manguera Termoencogible")</f>
        <v>Manguera Termoencogible</v>
      </c>
      <c r="C9817" s="380" t="str">
        <f>IFERROR(__xludf.DUMMYFUNCTION("""COMPUTED_VALUE"""),"70005238")</f>
        <v>70005238</v>
      </c>
      <c r="D9817" s="380" t="s">
        <v>767</v>
      </c>
      <c r="E9817" s="380" t="s">
        <v>786</v>
      </c>
      <c r="F9817" s="380" t="s">
        <v>998</v>
      </c>
      <c r="G9817" s="380" t="s">
        <v>1267</v>
      </c>
      <c r="H9817" s="380" t="s">
        <v>771</v>
      </c>
      <c r="I9817" s="380" t="s">
        <v>788</v>
      </c>
      <c r="J9817" s="380" t="s">
        <v>773</v>
      </c>
      <c r="K9817" s="381">
        <v>0.0</v>
      </c>
      <c r="L9817" s="382">
        <v>1.0</v>
      </c>
    </row>
    <row r="9818">
      <c r="A9818" s="380" t="s">
        <v>10692</v>
      </c>
      <c r="B9818" s="380" t="str">
        <f>IFERROR(__xludf.DUMMYFUNCTION("""COMPUTED_VALUE"""),"Cartera PTA DER FT 1128 7705946463287")</f>
        <v>Cartera PTA DER FT 1128 7705946463287</v>
      </c>
      <c r="C9818" s="380" t="str">
        <f>IFERROR(__xludf.DUMMYFUNCTION("""COMPUTED_VALUE"""),"70005239")</f>
        <v>70005239</v>
      </c>
      <c r="D9818" s="380" t="s">
        <v>767</v>
      </c>
      <c r="E9818" s="380" t="s">
        <v>786</v>
      </c>
      <c r="F9818" s="380" t="s">
        <v>792</v>
      </c>
      <c r="G9818" s="380" t="s">
        <v>1267</v>
      </c>
      <c r="H9818" s="380" t="s">
        <v>771</v>
      </c>
      <c r="I9818" s="380" t="s">
        <v>788</v>
      </c>
      <c r="J9818" s="380" t="s">
        <v>773</v>
      </c>
      <c r="K9818" s="381">
        <v>0.0</v>
      </c>
      <c r="L9818" s="382">
        <v>1.0</v>
      </c>
    </row>
    <row r="9819">
      <c r="A9819" s="380" t="s">
        <v>10693</v>
      </c>
      <c r="B9819" s="380" t="str">
        <f>IFERROR(__xludf.DUMMYFUNCTION("""COMPUTED_VALUE"""),"Agarradera Frontal CAB HN 500 S5575-E001")</f>
        <v>Agarradera Frontal CAB HN 500 S5575-E001</v>
      </c>
      <c r="C9819" s="380" t="str">
        <f>IFERROR(__xludf.DUMMYFUNCTION("""COMPUTED_VALUE"""),"70005240")</f>
        <v>70005240</v>
      </c>
      <c r="D9819" s="380" t="s">
        <v>767</v>
      </c>
      <c r="E9819" s="380" t="s">
        <v>786</v>
      </c>
      <c r="F9819" s="380" t="s">
        <v>792</v>
      </c>
      <c r="G9819" s="380" t="s">
        <v>1267</v>
      </c>
      <c r="H9819" s="380" t="s">
        <v>771</v>
      </c>
      <c r="I9819" s="380" t="s">
        <v>788</v>
      </c>
      <c r="J9819" s="380" t="s">
        <v>773</v>
      </c>
      <c r="K9819" s="381">
        <v>0.0</v>
      </c>
      <c r="L9819" s="382">
        <v>1.0</v>
      </c>
    </row>
    <row r="9820">
      <c r="A9820" s="380" t="s">
        <v>10694</v>
      </c>
      <c r="B9820" s="380" t="str">
        <f>IFERROR(__xludf.DUMMYFUNCTION("""COMPUTED_VALUE"""),"Panel Superior Frontal Cabina Hino 500 5")</f>
        <v>Panel Superior Frontal Cabina Hino 500 5</v>
      </c>
      <c r="C9820" s="380" t="str">
        <f>IFERROR(__xludf.DUMMYFUNCTION("""COMPUTED_VALUE"""),"70005241")</f>
        <v>70005241</v>
      </c>
      <c r="D9820" s="380" t="s">
        <v>767</v>
      </c>
      <c r="E9820" s="380" t="s">
        <v>786</v>
      </c>
      <c r="F9820" s="380" t="s">
        <v>792</v>
      </c>
      <c r="G9820" s="380" t="s">
        <v>1267</v>
      </c>
      <c r="H9820" s="380" t="s">
        <v>771</v>
      </c>
      <c r="I9820" s="380" t="s">
        <v>788</v>
      </c>
      <c r="J9820" s="380" t="s">
        <v>773</v>
      </c>
      <c r="K9820" s="381">
        <v>0.0</v>
      </c>
      <c r="L9820" s="382">
        <v>1.0</v>
      </c>
    </row>
    <row r="9821">
      <c r="A9821" s="380" t="s">
        <v>10695</v>
      </c>
      <c r="B9821" s="380" t="str">
        <f>IFERROR(__xludf.DUMMYFUNCTION("""COMPUTED_VALUE"""),"FILT INTno TANQ De COMB Daf 1334250")</f>
        <v>FILT INTno TANQ De COMB Daf 1334250</v>
      </c>
      <c r="C9821" s="380" t="str">
        <f>IFERROR(__xludf.DUMMYFUNCTION("""COMPUTED_VALUE"""),"70005242")</f>
        <v>70005242</v>
      </c>
      <c r="D9821" s="380" t="s">
        <v>767</v>
      </c>
      <c r="E9821" s="380" t="s">
        <v>786</v>
      </c>
      <c r="F9821" s="380" t="s">
        <v>5855</v>
      </c>
      <c r="G9821" s="380" t="s">
        <v>1267</v>
      </c>
      <c r="H9821" s="380" t="s">
        <v>771</v>
      </c>
      <c r="I9821" s="380" t="s">
        <v>788</v>
      </c>
      <c r="J9821" s="380" t="s">
        <v>773</v>
      </c>
      <c r="K9821" s="381">
        <v>0.0</v>
      </c>
      <c r="L9821" s="382">
        <v>1.0</v>
      </c>
    </row>
    <row r="9822">
      <c r="A9822" s="380" t="s">
        <v>10696</v>
      </c>
      <c r="B9822" s="380" t="str">
        <f>IFERROR(__xludf.DUMMYFUNCTION("""COMPUTED_VALUE"""),"Emblema Persiana Frontal CAB HN 500 7531")</f>
        <v>Emblema Persiana Frontal CAB HN 500 7531</v>
      </c>
      <c r="C9822" s="380" t="str">
        <f>IFERROR(__xludf.DUMMYFUNCTION("""COMPUTED_VALUE"""),"70005243")</f>
        <v>70005243</v>
      </c>
      <c r="D9822" s="380" t="s">
        <v>767</v>
      </c>
      <c r="E9822" s="380" t="s">
        <v>786</v>
      </c>
      <c r="F9822" s="380" t="s">
        <v>792</v>
      </c>
      <c r="G9822" s="380" t="s">
        <v>1267</v>
      </c>
      <c r="H9822" s="380" t="s">
        <v>771</v>
      </c>
      <c r="I9822" s="380" t="s">
        <v>788</v>
      </c>
      <c r="J9822" s="380" t="s">
        <v>773</v>
      </c>
      <c r="K9822" s="381">
        <v>0.0</v>
      </c>
      <c r="L9822" s="382">
        <v>1.0</v>
      </c>
    </row>
    <row r="9823">
      <c r="A9823" s="380" t="s">
        <v>10697</v>
      </c>
      <c r="B9823" s="380" t="str">
        <f>IFERROR(__xludf.DUMMYFUNCTION("""COMPUTED_VALUE"""),"Panel INF Persiana Frontal CAB HN 500 55")</f>
        <v>Panel INF Persiana Frontal CAB HN 500 55</v>
      </c>
      <c r="C9823" s="380" t="str">
        <f>IFERROR(__xludf.DUMMYFUNCTION("""COMPUTED_VALUE"""),"70005244")</f>
        <v>70005244</v>
      </c>
      <c r="D9823" s="380" t="s">
        <v>767</v>
      </c>
      <c r="E9823" s="380" t="s">
        <v>786</v>
      </c>
      <c r="F9823" s="380" t="s">
        <v>792</v>
      </c>
      <c r="G9823" s="380" t="s">
        <v>1267</v>
      </c>
      <c r="H9823" s="380" t="s">
        <v>771</v>
      </c>
      <c r="I9823" s="380" t="s">
        <v>788</v>
      </c>
      <c r="J9823" s="380" t="s">
        <v>773</v>
      </c>
      <c r="K9823" s="381">
        <v>0.0</v>
      </c>
      <c r="L9823" s="382">
        <v>1.0</v>
      </c>
    </row>
    <row r="9824">
      <c r="A9824" s="380" t="s">
        <v>10698</v>
      </c>
      <c r="B9824" s="380" t="str">
        <f>IFERROR(__xludf.DUMMYFUNCTION("""COMPUTED_VALUE"""),"Persiana Frontal CAB HN 500 53111-E0190")</f>
        <v>Persiana Frontal CAB HN 500 53111-E0190</v>
      </c>
      <c r="C9824" s="380" t="str">
        <f>IFERROR(__xludf.DUMMYFUNCTION("""COMPUTED_VALUE"""),"70005245")</f>
        <v>70005245</v>
      </c>
      <c r="D9824" s="380" t="s">
        <v>767</v>
      </c>
      <c r="E9824" s="380" t="s">
        <v>786</v>
      </c>
      <c r="F9824" s="380" t="s">
        <v>792</v>
      </c>
      <c r="G9824" s="380" t="s">
        <v>1267</v>
      </c>
      <c r="H9824" s="380" t="s">
        <v>771</v>
      </c>
      <c r="I9824" s="380" t="s">
        <v>788</v>
      </c>
      <c r="J9824" s="380" t="s">
        <v>773</v>
      </c>
      <c r="K9824" s="381">
        <v>0.0</v>
      </c>
      <c r="L9824" s="382">
        <v>1.0</v>
      </c>
    </row>
    <row r="9825">
      <c r="A9825" s="380" t="s">
        <v>10699</v>
      </c>
      <c r="B9825" s="380" t="str">
        <f>IFERROR(__xludf.DUMMYFUNCTION("""COMPUTED_VALUE"""),"Cinturon Seguridad Xl")</f>
        <v>Cinturon Seguridad Xl</v>
      </c>
      <c r="C9825" s="380" t="str">
        <f>IFERROR(__xludf.DUMMYFUNCTION("""COMPUTED_VALUE"""),"70005246")</f>
        <v>70005246</v>
      </c>
      <c r="D9825" s="380" t="s">
        <v>767</v>
      </c>
      <c r="E9825" s="380" t="s">
        <v>786</v>
      </c>
      <c r="F9825" s="380" t="s">
        <v>1031</v>
      </c>
      <c r="G9825" s="380" t="s">
        <v>1267</v>
      </c>
      <c r="H9825" s="380" t="s">
        <v>771</v>
      </c>
      <c r="I9825" s="380" t="s">
        <v>788</v>
      </c>
      <c r="J9825" s="380" t="s">
        <v>773</v>
      </c>
      <c r="K9825" s="381">
        <v>0.0</v>
      </c>
      <c r="L9825" s="382">
        <v>1.0</v>
      </c>
    </row>
    <row r="9826">
      <c r="A9826" s="380" t="s">
        <v>10700</v>
      </c>
      <c r="B9826" s="380" t="str">
        <f>IFERROR(__xludf.DUMMYFUNCTION("""COMPUTED_VALUE"""),"Logo 500 Frontal CAB HN 500 75338-Ew020")</f>
        <v>Logo 500 Frontal CAB HN 500 75338-Ew020</v>
      </c>
      <c r="C9826" s="380" t="str">
        <f>IFERROR(__xludf.DUMMYFUNCTION("""COMPUTED_VALUE"""),"70005247")</f>
        <v>70005247</v>
      </c>
      <c r="D9826" s="380" t="s">
        <v>767</v>
      </c>
      <c r="E9826" s="380" t="s">
        <v>786</v>
      </c>
      <c r="F9826" s="380" t="s">
        <v>792</v>
      </c>
      <c r="G9826" s="380" t="s">
        <v>1267</v>
      </c>
      <c r="H9826" s="380" t="s">
        <v>771</v>
      </c>
      <c r="I9826" s="380" t="s">
        <v>788</v>
      </c>
      <c r="J9826" s="380" t="s">
        <v>773</v>
      </c>
      <c r="K9826" s="381">
        <v>0.0</v>
      </c>
      <c r="L9826" s="382">
        <v>1.0</v>
      </c>
    </row>
    <row r="9827">
      <c r="A9827" s="380" t="s">
        <v>10701</v>
      </c>
      <c r="B9827" s="380" t="str">
        <f>IFERROR(__xludf.DUMMYFUNCTION("""COMPUTED_VALUE"""),"Clip Persiana Frontal CAB HN 500 Sz950-3")</f>
        <v>Clip Persiana Frontal CAB HN 500 Sz950-3</v>
      </c>
      <c r="C9827" s="380" t="str">
        <f>IFERROR(__xludf.DUMMYFUNCTION("""COMPUTED_VALUE"""),"70005248")</f>
        <v>70005248</v>
      </c>
      <c r="D9827" s="380" t="s">
        <v>767</v>
      </c>
      <c r="E9827" s="380" t="s">
        <v>786</v>
      </c>
      <c r="F9827" s="380" t="s">
        <v>792</v>
      </c>
      <c r="G9827" s="380" t="s">
        <v>1267</v>
      </c>
      <c r="H9827" s="380" t="s">
        <v>771</v>
      </c>
      <c r="I9827" s="380" t="s">
        <v>788</v>
      </c>
      <c r="J9827" s="380" t="s">
        <v>773</v>
      </c>
      <c r="K9827" s="381">
        <v>0.0</v>
      </c>
      <c r="L9827" s="382">
        <v>1.0</v>
      </c>
    </row>
    <row r="9828">
      <c r="A9828" s="380" t="s">
        <v>10702</v>
      </c>
      <c r="B9828" s="380" t="str">
        <f>IFERROR(__xludf.DUMMYFUNCTION("""COMPUTED_VALUE"""),"Clip Cubierta Frontal CAB HN 500 Sz167-0")</f>
        <v>Clip Cubierta Frontal CAB HN 500 Sz167-0</v>
      </c>
      <c r="C9828" s="380" t="str">
        <f>IFERROR(__xludf.DUMMYFUNCTION("""COMPUTED_VALUE"""),"70005249")</f>
        <v>70005249</v>
      </c>
      <c r="D9828" s="380" t="s">
        <v>767</v>
      </c>
      <c r="E9828" s="380" t="s">
        <v>786</v>
      </c>
      <c r="F9828" s="380" t="s">
        <v>792</v>
      </c>
      <c r="G9828" s="380" t="s">
        <v>1267</v>
      </c>
      <c r="H9828" s="380" t="s">
        <v>771</v>
      </c>
      <c r="I9828" s="380" t="s">
        <v>788</v>
      </c>
      <c r="J9828" s="380" t="s">
        <v>773</v>
      </c>
      <c r="K9828" s="381">
        <v>0.0</v>
      </c>
      <c r="L9828" s="382">
        <v>1.0</v>
      </c>
    </row>
    <row r="9829">
      <c r="A9829" s="380" t="s">
        <v>10703</v>
      </c>
      <c r="B9829" s="380" t="str">
        <f>IFERROR(__xludf.DUMMYFUNCTION("""COMPUTED_VALUE"""),"Grifo Aspersor Limpiabrisas HN 500 S8535")</f>
        <v>Grifo Aspersor Limpiabrisas HN 500 S8535</v>
      </c>
      <c r="C9829" s="380" t="str">
        <f>IFERROR(__xludf.DUMMYFUNCTION("""COMPUTED_VALUE"""),"70005250")</f>
        <v>70005250</v>
      </c>
      <c r="D9829" s="380" t="s">
        <v>767</v>
      </c>
      <c r="E9829" s="380" t="s">
        <v>786</v>
      </c>
      <c r="F9829" s="380" t="s">
        <v>792</v>
      </c>
      <c r="G9829" s="380" t="s">
        <v>1267</v>
      </c>
      <c r="H9829" s="380" t="s">
        <v>771</v>
      </c>
      <c r="I9829" s="380" t="s">
        <v>788</v>
      </c>
      <c r="J9829" s="380" t="s">
        <v>773</v>
      </c>
      <c r="K9829" s="381">
        <v>0.0</v>
      </c>
      <c r="L9829" s="382">
        <v>1.0</v>
      </c>
    </row>
    <row r="9830">
      <c r="A9830" s="380" t="s">
        <v>10704</v>
      </c>
      <c r="B9830" s="380" t="str">
        <f>IFERROR(__xludf.DUMMYFUNCTION("""COMPUTED_VALUE"""),"Guardabarro INTmedio Der KW Tf012430-2c")</f>
        <v>Guardabarro INTmedio Der KW Tf012430-2c</v>
      </c>
      <c r="C9830" s="380" t="str">
        <f>IFERROR(__xludf.DUMMYFUNCTION("""COMPUTED_VALUE"""),"70005251")</f>
        <v>70005251</v>
      </c>
      <c r="D9830" s="380" t="s">
        <v>767</v>
      </c>
      <c r="E9830" s="380" t="s">
        <v>786</v>
      </c>
      <c r="F9830" s="380" t="s">
        <v>792</v>
      </c>
      <c r="G9830" s="380" t="s">
        <v>1267</v>
      </c>
      <c r="H9830" s="380" t="s">
        <v>771</v>
      </c>
      <c r="I9830" s="380" t="s">
        <v>788</v>
      </c>
      <c r="J9830" s="380" t="s">
        <v>773</v>
      </c>
      <c r="K9830" s="381">
        <v>0.0</v>
      </c>
      <c r="L9830" s="382">
        <v>1.0</v>
      </c>
    </row>
    <row r="9831">
      <c r="A9831" s="380" t="s">
        <v>10705</v>
      </c>
      <c r="B9831" s="380" t="str">
        <f>IFERROR(__xludf.DUMMYFUNCTION("""COMPUTED_VALUE"""),"Logo Persiana Foton 1128 7701023110006")</f>
        <v>Logo Persiana Foton 1128 7701023110006</v>
      </c>
      <c r="C9831" s="380" t="str">
        <f>IFERROR(__xludf.DUMMYFUNCTION("""COMPUTED_VALUE"""),"70005252")</f>
        <v>70005252</v>
      </c>
      <c r="D9831" s="380" t="s">
        <v>767</v>
      </c>
      <c r="E9831" s="380" t="s">
        <v>786</v>
      </c>
      <c r="F9831" s="380" t="s">
        <v>792</v>
      </c>
      <c r="G9831" s="380" t="s">
        <v>1267</v>
      </c>
      <c r="H9831" s="380" t="s">
        <v>771</v>
      </c>
      <c r="I9831" s="380" t="s">
        <v>788</v>
      </c>
      <c r="J9831" s="380" t="s">
        <v>773</v>
      </c>
      <c r="K9831" s="381">
        <v>0.0</v>
      </c>
      <c r="L9831" s="382">
        <v>1.0</v>
      </c>
    </row>
    <row r="9832">
      <c r="A9832" s="380" t="s">
        <v>10706</v>
      </c>
      <c r="B9832" s="380" t="str">
        <f>IFERROR(__xludf.DUMMYFUNCTION("""COMPUTED_VALUE"""),"FILT AIR Kl1317 Cilindrico Quanchai Qc38")</f>
        <v>FILT AIR Kl1317 Cilindrico Quanchai Qc38</v>
      </c>
      <c r="C9832" s="380" t="str">
        <f>IFERROR(__xludf.DUMMYFUNCTION("""COMPUTED_VALUE"""),"70005253")</f>
        <v>70005253</v>
      </c>
      <c r="D9832" s="380" t="s">
        <v>767</v>
      </c>
      <c r="E9832" s="380" t="s">
        <v>786</v>
      </c>
      <c r="F9832" s="380" t="s">
        <v>5855</v>
      </c>
      <c r="G9832" s="380" t="s">
        <v>1267</v>
      </c>
      <c r="H9832" s="380" t="s">
        <v>771</v>
      </c>
      <c r="I9832" s="380" t="s">
        <v>788</v>
      </c>
      <c r="J9832" s="380" t="s">
        <v>773</v>
      </c>
      <c r="K9832" s="381">
        <v>0.0</v>
      </c>
      <c r="L9832" s="382">
        <v>1.0</v>
      </c>
    </row>
    <row r="9833">
      <c r="A9833" s="380" t="s">
        <v>10707</v>
      </c>
      <c r="B9833" s="380" t="str">
        <f>IFERROR(__xludf.DUMMYFUNCTION("""COMPUTED_VALUE"""),"VALV Pcv MOT FT 1039 -1065 Euro Iv 77010")</f>
        <v>VALV Pcv MOT FT 1039 -1065 Euro Iv 77010</v>
      </c>
      <c r="C9833" s="380" t="str">
        <f>IFERROR(__xludf.DUMMYFUNCTION("""COMPUTED_VALUE"""),"70005254")</f>
        <v>70005254</v>
      </c>
      <c r="D9833" s="380" t="s">
        <v>767</v>
      </c>
      <c r="E9833" s="380" t="s">
        <v>786</v>
      </c>
      <c r="F9833" s="380" t="s">
        <v>787</v>
      </c>
      <c r="G9833" s="380" t="s">
        <v>1267</v>
      </c>
      <c r="H9833" s="380" t="s">
        <v>771</v>
      </c>
      <c r="I9833" s="380" t="s">
        <v>788</v>
      </c>
      <c r="J9833" s="380" t="s">
        <v>773</v>
      </c>
      <c r="K9833" s="381">
        <v>0.0</v>
      </c>
      <c r="L9833" s="382">
        <v>1.0</v>
      </c>
    </row>
    <row r="9834">
      <c r="A9834" s="380" t="s">
        <v>10708</v>
      </c>
      <c r="B9834" s="380" t="str">
        <f>IFERROR(__xludf.DUMMYFUNCTION("""COMPUTED_VALUE"""),"Caucho SOP Silenciador Escape Van N200 2")</f>
        <v>Caucho SOP Silenciador Escape Van N200 2</v>
      </c>
      <c r="C9834" s="380" t="str">
        <f>IFERROR(__xludf.DUMMYFUNCTION("""COMPUTED_VALUE"""),"70005255")</f>
        <v>70005255</v>
      </c>
      <c r="D9834" s="380" t="s">
        <v>767</v>
      </c>
      <c r="E9834" s="380" t="s">
        <v>786</v>
      </c>
      <c r="F9834" s="380" t="s">
        <v>792</v>
      </c>
      <c r="G9834" s="380" t="s">
        <v>1267</v>
      </c>
      <c r="H9834" s="380" t="s">
        <v>771</v>
      </c>
      <c r="I9834" s="380" t="s">
        <v>788</v>
      </c>
      <c r="J9834" s="380" t="s">
        <v>773</v>
      </c>
      <c r="K9834" s="381">
        <v>0.0</v>
      </c>
      <c r="L9834" s="382">
        <v>1.0</v>
      </c>
    </row>
    <row r="9835">
      <c r="A9835" s="380" t="s">
        <v>10709</v>
      </c>
      <c r="B9835" s="380" t="str">
        <f>IFERROR(__xludf.DUMMYFUNCTION("""COMPUTED_VALUE"""),"Control Aire Acondicionado Calefactor Nk")</f>
        <v>Control Aire Acondicionado Calefactor Nk</v>
      </c>
      <c r="C9835" s="380" t="str">
        <f>IFERROR(__xludf.DUMMYFUNCTION("""COMPUTED_VALUE"""),"70005256")</f>
        <v>70005256</v>
      </c>
      <c r="D9835" s="380" t="s">
        <v>767</v>
      </c>
      <c r="E9835" s="380" t="s">
        <v>786</v>
      </c>
      <c r="F9835" s="380" t="s">
        <v>998</v>
      </c>
      <c r="G9835" s="380" t="s">
        <v>1267</v>
      </c>
      <c r="H9835" s="380" t="s">
        <v>771</v>
      </c>
      <c r="I9835" s="380" t="s">
        <v>788</v>
      </c>
      <c r="J9835" s="380" t="s">
        <v>773</v>
      </c>
      <c r="K9835" s="381">
        <v>0.0</v>
      </c>
      <c r="L9835" s="382">
        <v>1.0</v>
      </c>
    </row>
    <row r="9836">
      <c r="A9836" s="380" t="s">
        <v>10710</v>
      </c>
      <c r="B9836" s="380" t="str">
        <f>IFERROR(__xludf.DUMMYFUNCTION("""COMPUTED_VALUE"""),"Bateria 27- 700 Fleetrite")</f>
        <v>Bateria 27- 700 Fleetrite</v>
      </c>
      <c r="C9836" s="380" t="str">
        <f>IFERROR(__xludf.DUMMYFUNCTION("""COMPUTED_VALUE"""),"70005257")</f>
        <v>70005257</v>
      </c>
      <c r="D9836" s="380" t="s">
        <v>767</v>
      </c>
      <c r="E9836" s="380" t="s">
        <v>786</v>
      </c>
      <c r="F9836" s="380" t="s">
        <v>998</v>
      </c>
      <c r="G9836" s="380" t="s">
        <v>1267</v>
      </c>
      <c r="H9836" s="380" t="s">
        <v>771</v>
      </c>
      <c r="I9836" s="380" t="s">
        <v>788</v>
      </c>
      <c r="J9836" s="380" t="s">
        <v>773</v>
      </c>
      <c r="K9836" s="381">
        <v>0.0</v>
      </c>
      <c r="L9836" s="382">
        <v>1.0</v>
      </c>
    </row>
    <row r="9837">
      <c r="A9837" s="380" t="s">
        <v>10711</v>
      </c>
      <c r="B9837" s="380" t="str">
        <f>IFERROR(__xludf.DUMMYFUNCTION("""COMPUTED_VALUE"""),"Radiador Aluminio Planta Electrica")</f>
        <v>Radiador Aluminio Planta Electrica</v>
      </c>
      <c r="C9837" s="380" t="str">
        <f>IFERROR(__xludf.DUMMYFUNCTION("""COMPUTED_VALUE"""),"70005258")</f>
        <v>70005258</v>
      </c>
      <c r="D9837" s="380" t="s">
        <v>767</v>
      </c>
      <c r="E9837" s="380" t="s">
        <v>786</v>
      </c>
      <c r="F9837" s="380" t="s">
        <v>787</v>
      </c>
      <c r="G9837" s="380" t="s">
        <v>1267</v>
      </c>
      <c r="H9837" s="380" t="s">
        <v>771</v>
      </c>
      <c r="I9837" s="380" t="s">
        <v>788</v>
      </c>
      <c r="J9837" s="380" t="s">
        <v>773</v>
      </c>
      <c r="K9837" s="381">
        <v>0.0</v>
      </c>
      <c r="L9837" s="382">
        <v>1.0</v>
      </c>
    </row>
    <row r="9838">
      <c r="A9838" s="380" t="s">
        <v>10712</v>
      </c>
      <c r="B9838" s="380" t="str">
        <f>IFERROR(__xludf.DUMMYFUNCTION("""COMPUTED_VALUE"""),"Tapa DER Cubierta Sup Espejo INT Lt 4196")</f>
        <v>Tapa DER Cubierta Sup Espejo INT Lt 4196</v>
      </c>
      <c r="C9838" s="380" t="str">
        <f>IFERROR(__xludf.DUMMYFUNCTION("""COMPUTED_VALUE"""),"70005259")</f>
        <v>70005259</v>
      </c>
      <c r="D9838" s="380" t="s">
        <v>767</v>
      </c>
      <c r="E9838" s="380" t="s">
        <v>786</v>
      </c>
      <c r="F9838" s="380" t="s">
        <v>792</v>
      </c>
      <c r="G9838" s="380" t="s">
        <v>1267</v>
      </c>
      <c r="H9838" s="380" t="s">
        <v>771</v>
      </c>
      <c r="I9838" s="380" t="s">
        <v>788</v>
      </c>
      <c r="J9838" s="380" t="s">
        <v>773</v>
      </c>
      <c r="K9838" s="381">
        <v>0.0</v>
      </c>
      <c r="L9838" s="382">
        <v>1.0</v>
      </c>
    </row>
    <row r="9839">
      <c r="A9839" s="380" t="s">
        <v>10713</v>
      </c>
      <c r="B9839" s="380" t="str">
        <f>IFERROR(__xludf.DUMMYFUNCTION("""COMPUTED_VALUE"""),"Espejo Capot DER INT Lt 3787835c93")</f>
        <v>Espejo Capot DER INT Lt 3787835c93</v>
      </c>
      <c r="C9839" s="380" t="str">
        <f>IFERROR(__xludf.DUMMYFUNCTION("""COMPUTED_VALUE"""),"70005260")</f>
        <v>70005260</v>
      </c>
      <c r="D9839" s="380" t="s">
        <v>767</v>
      </c>
      <c r="E9839" s="380" t="s">
        <v>786</v>
      </c>
      <c r="F9839" s="380" t="s">
        <v>792</v>
      </c>
      <c r="G9839" s="380" t="s">
        <v>1267</v>
      </c>
      <c r="H9839" s="380" t="s">
        <v>771</v>
      </c>
      <c r="I9839" s="380" t="s">
        <v>788</v>
      </c>
      <c r="J9839" s="380" t="s">
        <v>773</v>
      </c>
      <c r="K9839" s="381">
        <v>0.0</v>
      </c>
      <c r="L9839" s="382">
        <v>1.0</v>
      </c>
    </row>
    <row r="9840">
      <c r="A9840" s="380" t="s">
        <v>10714</v>
      </c>
      <c r="B9840" s="380" t="str">
        <f>IFERROR(__xludf.DUMMYFUNCTION("""COMPUTED_VALUE"""),"Termostato Motor Hino 500 S1632-E9040")</f>
        <v>Termostato Motor Hino 500 S1632-E9040</v>
      </c>
      <c r="C9840" s="380" t="str">
        <f>IFERROR(__xludf.DUMMYFUNCTION("""COMPUTED_VALUE"""),"70005261")</f>
        <v>70005261</v>
      </c>
      <c r="D9840" s="380" t="s">
        <v>767</v>
      </c>
      <c r="E9840" s="380" t="s">
        <v>786</v>
      </c>
      <c r="F9840" s="380" t="s">
        <v>787</v>
      </c>
      <c r="G9840" s="380" t="s">
        <v>1267</v>
      </c>
      <c r="H9840" s="380" t="s">
        <v>771</v>
      </c>
      <c r="I9840" s="380" t="s">
        <v>788</v>
      </c>
      <c r="J9840" s="380" t="s">
        <v>773</v>
      </c>
      <c r="K9840" s="381">
        <v>0.0</v>
      </c>
      <c r="L9840" s="382">
        <v>1.0</v>
      </c>
    </row>
    <row r="9841">
      <c r="A9841" s="380" t="s">
        <v>10715</v>
      </c>
      <c r="B9841" s="380" t="str">
        <f>IFERROR(__xludf.DUMMYFUNCTION("""COMPUTED_VALUE"""),"Tapa DER Cubierta Inf Espejo INT Lt 4196")</f>
        <v>Tapa DER Cubierta Inf Espejo INT Lt 4196</v>
      </c>
      <c r="C9841" s="380" t="str">
        <f>IFERROR(__xludf.DUMMYFUNCTION("""COMPUTED_VALUE"""),"70005262")</f>
        <v>70005262</v>
      </c>
      <c r="D9841" s="380" t="s">
        <v>767</v>
      </c>
      <c r="E9841" s="380" t="s">
        <v>786</v>
      </c>
      <c r="F9841" s="380" t="s">
        <v>792</v>
      </c>
      <c r="G9841" s="380" t="s">
        <v>1267</v>
      </c>
      <c r="H9841" s="380" t="s">
        <v>771</v>
      </c>
      <c r="I9841" s="380" t="s">
        <v>788</v>
      </c>
      <c r="J9841" s="380" t="s">
        <v>773</v>
      </c>
      <c r="K9841" s="381">
        <v>0.0</v>
      </c>
      <c r="L9841" s="382">
        <v>1.0</v>
      </c>
    </row>
    <row r="9842">
      <c r="A9842" s="380" t="s">
        <v>10716</v>
      </c>
      <c r="B9842" s="380" t="str">
        <f>IFERROR(__xludf.DUMMYFUNCTION("""COMPUTED_VALUE"""),"Luz Techo CAB INT Lt 4069822c3")</f>
        <v>Luz Techo CAB INT Lt 4069822c3</v>
      </c>
      <c r="C9842" s="380" t="str">
        <f>IFERROR(__xludf.DUMMYFUNCTION("""COMPUTED_VALUE"""),"70005263")</f>
        <v>70005263</v>
      </c>
      <c r="D9842" s="380" t="s">
        <v>767</v>
      </c>
      <c r="E9842" s="380" t="s">
        <v>786</v>
      </c>
      <c r="F9842" s="380" t="s">
        <v>998</v>
      </c>
      <c r="G9842" s="380" t="s">
        <v>1267</v>
      </c>
      <c r="H9842" s="380" t="s">
        <v>771</v>
      </c>
      <c r="I9842" s="380" t="s">
        <v>788</v>
      </c>
      <c r="J9842" s="380" t="s">
        <v>773</v>
      </c>
      <c r="K9842" s="381">
        <v>0.0</v>
      </c>
      <c r="L9842" s="382">
        <v>1.0</v>
      </c>
    </row>
    <row r="9843">
      <c r="A9843" s="380" t="s">
        <v>10717</v>
      </c>
      <c r="B9843" s="380" t="str">
        <f>IFERROR(__xludf.DUMMYFUNCTION("""COMPUTED_VALUE"""),"Filtro Combustible M16x1.5 Metal, Atorni")</f>
        <v>Filtro Combustible M16x1.5 Metal, Atorni</v>
      </c>
      <c r="C9843" s="380" t="str">
        <f>IFERROR(__xludf.DUMMYFUNCTION("""COMPUTED_VALUE"""),"70005264")</f>
        <v>70005264</v>
      </c>
      <c r="D9843" s="380" t="s">
        <v>767</v>
      </c>
      <c r="E9843" s="380" t="s">
        <v>786</v>
      </c>
      <c r="F9843" s="380" t="s">
        <v>5855</v>
      </c>
      <c r="G9843" s="380" t="s">
        <v>1267</v>
      </c>
      <c r="H9843" s="380" t="s">
        <v>771</v>
      </c>
      <c r="I9843" s="380" t="s">
        <v>788</v>
      </c>
      <c r="J9843" s="380" t="s">
        <v>773</v>
      </c>
      <c r="K9843" s="381">
        <v>0.0</v>
      </c>
      <c r="L9843" s="382">
        <v>1.0</v>
      </c>
    </row>
    <row r="9844">
      <c r="A9844" s="380" t="s">
        <v>10718</v>
      </c>
      <c r="B9844" s="380" t="str">
        <f>IFERROR(__xludf.DUMMYFUNCTION("""COMPUTED_VALUE"""),"Filtro Aceite Jx0706p1 M20x1.5 Planta El")</f>
        <v>Filtro Aceite Jx0706p1 M20x1.5 Planta El</v>
      </c>
      <c r="C9844" s="380" t="str">
        <f>IFERROR(__xludf.DUMMYFUNCTION("""COMPUTED_VALUE"""),"70005265")</f>
        <v>70005265</v>
      </c>
      <c r="D9844" s="380" t="s">
        <v>767</v>
      </c>
      <c r="E9844" s="380" t="s">
        <v>786</v>
      </c>
      <c r="F9844" s="380" t="s">
        <v>5855</v>
      </c>
      <c r="G9844" s="380" t="s">
        <v>1267</v>
      </c>
      <c r="H9844" s="380" t="s">
        <v>771</v>
      </c>
      <c r="I9844" s="380" t="s">
        <v>788</v>
      </c>
      <c r="J9844" s="380" t="s">
        <v>773</v>
      </c>
      <c r="K9844" s="381">
        <v>0.0</v>
      </c>
      <c r="L9844" s="382">
        <v>1.0</v>
      </c>
    </row>
    <row r="9845">
      <c r="A9845" s="380" t="s">
        <v>10719</v>
      </c>
      <c r="B9845" s="380" t="str">
        <f>IFERROR(__xludf.DUMMYFUNCTION("""COMPUTED_VALUE"""),"FILT AIR Ag971442a Goby Hongo Planta Qua")</f>
        <v>FILT AIR Ag971442a Goby Hongo Planta Qua</v>
      </c>
      <c r="C9845" s="380" t="str">
        <f>IFERROR(__xludf.DUMMYFUNCTION("""COMPUTED_VALUE"""),"70005266")</f>
        <v>70005266</v>
      </c>
      <c r="D9845" s="380" t="s">
        <v>767</v>
      </c>
      <c r="E9845" s="380" t="s">
        <v>786</v>
      </c>
      <c r="F9845" s="380" t="s">
        <v>5855</v>
      </c>
      <c r="G9845" s="380" t="s">
        <v>1267</v>
      </c>
      <c r="H9845" s="380" t="s">
        <v>771</v>
      </c>
      <c r="I9845" s="380" t="s">
        <v>788</v>
      </c>
      <c r="J9845" s="380" t="s">
        <v>773</v>
      </c>
      <c r="K9845" s="381">
        <v>106590.0</v>
      </c>
      <c r="L9845" s="382">
        <v>1.0</v>
      </c>
    </row>
    <row r="9846">
      <c r="A9846" s="380" t="s">
        <v>10720</v>
      </c>
      <c r="B9846" s="380" t="str">
        <f>IFERROR(__xludf.DUMMYFUNCTION("""COMPUTED_VALUE"""),"SENS Baja Presion A/C INT Lt 4053471c1")</f>
        <v>SENS Baja Presion A/C INT Lt 4053471c1</v>
      </c>
      <c r="C9846" s="380" t="str">
        <f>IFERROR(__xludf.DUMMYFUNCTION("""COMPUTED_VALUE"""),"70005267")</f>
        <v>70005267</v>
      </c>
      <c r="D9846" s="380" t="s">
        <v>767</v>
      </c>
      <c r="E9846" s="380" t="s">
        <v>786</v>
      </c>
      <c r="F9846" s="380" t="s">
        <v>998</v>
      </c>
      <c r="G9846" s="380" t="s">
        <v>1267</v>
      </c>
      <c r="H9846" s="380" t="s">
        <v>771</v>
      </c>
      <c r="I9846" s="380" t="s">
        <v>788</v>
      </c>
      <c r="J9846" s="380" t="s">
        <v>773</v>
      </c>
      <c r="K9846" s="381">
        <v>0.0</v>
      </c>
      <c r="L9846" s="382">
        <v>1.0</v>
      </c>
    </row>
    <row r="9847">
      <c r="A9847" s="380" t="s">
        <v>10721</v>
      </c>
      <c r="B9847" s="380" t="str">
        <f>IFERROR(__xludf.DUMMYFUNCTION("""COMPUTED_VALUE"""),"Compresor Aire Acondicionado Foton 1065")</f>
        <v>Compresor Aire Acondicionado Foton 1065</v>
      </c>
      <c r="C9847" s="380" t="str">
        <f>IFERROR(__xludf.DUMMYFUNCTION("""COMPUTED_VALUE"""),"70005268")</f>
        <v>70005268</v>
      </c>
      <c r="D9847" s="380" t="s">
        <v>767</v>
      </c>
      <c r="E9847" s="380" t="s">
        <v>786</v>
      </c>
      <c r="F9847" s="380" t="s">
        <v>1031</v>
      </c>
      <c r="G9847" s="380" t="s">
        <v>1267</v>
      </c>
      <c r="H9847" s="380" t="s">
        <v>771</v>
      </c>
      <c r="I9847" s="380" t="s">
        <v>788</v>
      </c>
      <c r="J9847" s="380" t="s">
        <v>773</v>
      </c>
      <c r="K9847" s="381">
        <v>0.0</v>
      </c>
      <c r="L9847" s="382">
        <v>1.0</v>
      </c>
    </row>
    <row r="9848">
      <c r="A9848" s="380" t="s">
        <v>10722</v>
      </c>
      <c r="B9848" s="380" t="str">
        <f>IFERROR(__xludf.DUMMYFUNCTION("""COMPUTED_VALUE"""),"Tapa Deposito Refrigerante Daf 2115958")</f>
        <v>Tapa Deposito Refrigerante Daf 2115958</v>
      </c>
      <c r="C9848" s="380" t="str">
        <f>IFERROR(__xludf.DUMMYFUNCTION("""COMPUTED_VALUE"""),"70005269")</f>
        <v>70005269</v>
      </c>
      <c r="D9848" s="380" t="s">
        <v>767</v>
      </c>
      <c r="E9848" s="380" t="s">
        <v>786</v>
      </c>
      <c r="F9848" s="380" t="s">
        <v>787</v>
      </c>
      <c r="G9848" s="380" t="s">
        <v>1267</v>
      </c>
      <c r="H9848" s="380" t="s">
        <v>771</v>
      </c>
      <c r="I9848" s="380" t="s">
        <v>788</v>
      </c>
      <c r="J9848" s="380" t="s">
        <v>773</v>
      </c>
      <c r="K9848" s="381">
        <v>0.0</v>
      </c>
      <c r="L9848" s="382">
        <v>1.0</v>
      </c>
    </row>
    <row r="9849">
      <c r="A9849" s="380" t="s">
        <v>10723</v>
      </c>
      <c r="B9849" s="380" t="str">
        <f>IFERROR(__xludf.DUMMYFUNCTION("""COMPUTED_VALUE"""),"Chapa DER Cierre Capot MCK Anthem 239439")</f>
        <v>Chapa DER Cierre Capot MCK Anthem 239439</v>
      </c>
      <c r="C9849" s="380" t="str">
        <f>IFERROR(__xludf.DUMMYFUNCTION("""COMPUTED_VALUE"""),"70005270")</f>
        <v>70005270</v>
      </c>
      <c r="D9849" s="380" t="s">
        <v>767</v>
      </c>
      <c r="E9849" s="380" t="s">
        <v>786</v>
      </c>
      <c r="F9849" s="380" t="s">
        <v>792</v>
      </c>
      <c r="G9849" s="380" t="s">
        <v>1267</v>
      </c>
      <c r="H9849" s="380" t="s">
        <v>771</v>
      </c>
      <c r="I9849" s="380" t="s">
        <v>788</v>
      </c>
      <c r="J9849" s="380" t="s">
        <v>773</v>
      </c>
      <c r="K9849" s="381">
        <v>0.0</v>
      </c>
      <c r="L9849" s="382">
        <v>1.0</v>
      </c>
    </row>
    <row r="9850">
      <c r="A9850" s="380" t="s">
        <v>10724</v>
      </c>
      <c r="B9850" s="380" t="str">
        <f>IFERROR(__xludf.DUMMYFUNCTION("""COMPUTED_VALUE"""),"FILT Refrigerante Roscado Planta ELEC Ca")</f>
        <v>FILT Refrigerante Roscado Planta ELEC Ca</v>
      </c>
      <c r="C9850" s="380" t="str">
        <f>IFERROR(__xludf.DUMMYFUNCTION("""COMPUTED_VALUE"""),"70005271")</f>
        <v>70005271</v>
      </c>
      <c r="D9850" s="380" t="s">
        <v>767</v>
      </c>
      <c r="E9850" s="380" t="s">
        <v>786</v>
      </c>
      <c r="F9850" s="380" t="s">
        <v>5855</v>
      </c>
      <c r="G9850" s="380" t="s">
        <v>1267</v>
      </c>
      <c r="H9850" s="380" t="s">
        <v>771</v>
      </c>
      <c r="I9850" s="380" t="s">
        <v>788</v>
      </c>
      <c r="J9850" s="380" t="s">
        <v>773</v>
      </c>
      <c r="K9850" s="381">
        <v>0.0</v>
      </c>
      <c r="L9850" s="382">
        <v>1.0</v>
      </c>
    </row>
    <row r="9851">
      <c r="A9851" s="380" t="s">
        <v>10725</v>
      </c>
      <c r="B9851" s="380" t="str">
        <f>IFERROR(__xludf.DUMMYFUNCTION("""COMPUTED_VALUE"""),"FILT COMB Planta Electica Cl 13 Fleetgua")</f>
        <v>FILT COMB Planta Electica Cl 13 Fleetgua</v>
      </c>
      <c r="C9851" s="380" t="str">
        <f>IFERROR(__xludf.DUMMYFUNCTION("""COMPUTED_VALUE"""),"70005272")</f>
        <v>70005272</v>
      </c>
      <c r="D9851" s="380" t="s">
        <v>767</v>
      </c>
      <c r="E9851" s="380" t="s">
        <v>786</v>
      </c>
      <c r="F9851" s="380" t="s">
        <v>5855</v>
      </c>
      <c r="G9851" s="380" t="s">
        <v>1267</v>
      </c>
      <c r="H9851" s="380" t="s">
        <v>771</v>
      </c>
      <c r="I9851" s="380" t="s">
        <v>788</v>
      </c>
      <c r="J9851" s="380" t="s">
        <v>773</v>
      </c>
      <c r="K9851" s="381">
        <v>0.0</v>
      </c>
      <c r="L9851" s="382">
        <v>1.0</v>
      </c>
    </row>
    <row r="9852">
      <c r="A9852" s="380" t="s">
        <v>10726</v>
      </c>
      <c r="B9852" s="380" t="str">
        <f>IFERROR(__xludf.DUMMYFUNCTION("""COMPUTED_VALUE"""),"FILT Aceite Planta ELEC Cl 13 Fleetguard")</f>
        <v>FILT Aceite Planta ELEC Cl 13 Fleetguard</v>
      </c>
      <c r="C9852" s="380" t="str">
        <f>IFERROR(__xludf.DUMMYFUNCTION("""COMPUTED_VALUE"""),"70005273")</f>
        <v>70005273</v>
      </c>
      <c r="D9852" s="380" t="s">
        <v>767</v>
      </c>
      <c r="E9852" s="380" t="s">
        <v>786</v>
      </c>
      <c r="F9852" s="380" t="s">
        <v>5855</v>
      </c>
      <c r="G9852" s="380" t="s">
        <v>1267</v>
      </c>
      <c r="H9852" s="380" t="s">
        <v>771</v>
      </c>
      <c r="I9852" s="380" t="s">
        <v>788</v>
      </c>
      <c r="J9852" s="380" t="s">
        <v>773</v>
      </c>
      <c r="K9852" s="381">
        <v>0.0</v>
      </c>
      <c r="L9852" s="382">
        <v>1.0</v>
      </c>
    </row>
    <row r="9853">
      <c r="A9853" s="380" t="s">
        <v>10727</v>
      </c>
      <c r="B9853" s="380" t="str">
        <f>IFERROR(__xludf.DUMMYFUNCTION("""COMPUTED_VALUE"""),"SENS Presion Turbocompresor Dafcf480 212")</f>
        <v>SENS Presion Turbocompresor Dafcf480 212</v>
      </c>
      <c r="C9853" s="380" t="str">
        <f>IFERROR(__xludf.DUMMYFUNCTION("""COMPUTED_VALUE"""),"70005274")</f>
        <v>70005274</v>
      </c>
      <c r="D9853" s="380" t="s">
        <v>767</v>
      </c>
      <c r="E9853" s="380" t="s">
        <v>786</v>
      </c>
      <c r="F9853" s="380" t="s">
        <v>998</v>
      </c>
      <c r="G9853" s="380" t="s">
        <v>1267</v>
      </c>
      <c r="H9853" s="380" t="s">
        <v>771</v>
      </c>
      <c r="I9853" s="380" t="s">
        <v>788</v>
      </c>
      <c r="J9853" s="380" t="s">
        <v>773</v>
      </c>
      <c r="K9853" s="381">
        <v>580928.0</v>
      </c>
      <c r="L9853" s="382">
        <v>1.0</v>
      </c>
    </row>
    <row r="9854">
      <c r="A9854" s="380" t="s">
        <v>10728</v>
      </c>
      <c r="B9854" s="380" t="str">
        <f>IFERROR(__xludf.DUMMYFUNCTION("""COMPUTED_VALUE"""),"Tapa Llenado De Aceite Foton 1045/1065 M")</f>
        <v>Tapa Llenado De Aceite Foton 1045/1065 M</v>
      </c>
      <c r="C9854" s="380" t="str">
        <f>IFERROR(__xludf.DUMMYFUNCTION("""COMPUTED_VALUE"""),"70005275")</f>
        <v>70005275</v>
      </c>
      <c r="D9854" s="380" t="s">
        <v>767</v>
      </c>
      <c r="E9854" s="380" t="s">
        <v>786</v>
      </c>
      <c r="F9854" s="380" t="s">
        <v>787</v>
      </c>
      <c r="G9854" s="380" t="s">
        <v>1267</v>
      </c>
      <c r="H9854" s="380" t="s">
        <v>771</v>
      </c>
      <c r="I9854" s="380" t="s">
        <v>788</v>
      </c>
      <c r="J9854" s="380" t="s">
        <v>773</v>
      </c>
      <c r="K9854" s="381">
        <v>0.0</v>
      </c>
      <c r="L9854" s="382">
        <v>1.0</v>
      </c>
    </row>
    <row r="9855">
      <c r="A9855" s="380" t="s">
        <v>10729</v>
      </c>
      <c r="B9855" s="380" t="str">
        <f>IFERROR(__xludf.DUMMYFUNCTION("""COMPUTED_VALUE"""),"Collarin TRAS DER FT 1129- 7701023261265")</f>
        <v>Collarin TRAS DER FT 1129- 7701023261265</v>
      </c>
      <c r="C9855" s="380" t="str">
        <f>IFERROR(__xludf.DUMMYFUNCTION("""COMPUTED_VALUE"""),"70005276")</f>
        <v>70005276</v>
      </c>
      <c r="D9855" s="380" t="s">
        <v>767</v>
      </c>
      <c r="E9855" s="380" t="s">
        <v>786</v>
      </c>
      <c r="F9855" s="380" t="s">
        <v>1039</v>
      </c>
      <c r="G9855" s="380" t="s">
        <v>1267</v>
      </c>
      <c r="H9855" s="380" t="s">
        <v>771</v>
      </c>
      <c r="I9855" s="380" t="s">
        <v>788</v>
      </c>
      <c r="J9855" s="380" t="s">
        <v>773</v>
      </c>
      <c r="K9855" s="381">
        <v>0.0</v>
      </c>
      <c r="L9855" s="382">
        <v>1.0</v>
      </c>
    </row>
    <row r="9856">
      <c r="A9856" s="380" t="s">
        <v>10730</v>
      </c>
      <c r="B9856" s="380" t="str">
        <f>IFERROR(__xludf.DUMMYFUNCTION("""COMPUTED_VALUE"""),"EMP Culata MOT HN 500 11115-E0151")</f>
        <v>EMP Culata MOT HN 500 11115-E0151</v>
      </c>
      <c r="C9856" s="380" t="str">
        <f>IFERROR(__xludf.DUMMYFUNCTION("""COMPUTED_VALUE"""),"70005277")</f>
        <v>70005277</v>
      </c>
      <c r="D9856" s="380" t="s">
        <v>767</v>
      </c>
      <c r="E9856" s="380" t="s">
        <v>786</v>
      </c>
      <c r="F9856" s="380" t="s">
        <v>787</v>
      </c>
      <c r="G9856" s="380" t="s">
        <v>1267</v>
      </c>
      <c r="H9856" s="380" t="s">
        <v>771</v>
      </c>
      <c r="I9856" s="380" t="s">
        <v>788</v>
      </c>
      <c r="J9856" s="380" t="s">
        <v>773</v>
      </c>
      <c r="K9856" s="381">
        <v>0.0</v>
      </c>
      <c r="L9856" s="382">
        <v>1.0</v>
      </c>
    </row>
    <row r="9857">
      <c r="A9857" s="380" t="s">
        <v>10731</v>
      </c>
      <c r="B9857" s="380" t="str">
        <f>IFERROR(__xludf.DUMMYFUNCTION("""COMPUTED_VALUE"""),"Piñon De 5ta Caja Jac Jhr R17014110001")</f>
        <v>Piñon De 5ta Caja Jac Jhr R17014110001</v>
      </c>
      <c r="C9857" s="380" t="str">
        <f>IFERROR(__xludf.DUMMYFUNCTION("""COMPUTED_VALUE"""),"70005278")</f>
        <v>70005278</v>
      </c>
      <c r="D9857" s="380" t="s">
        <v>767</v>
      </c>
      <c r="E9857" s="380" t="s">
        <v>786</v>
      </c>
      <c r="F9857" s="380" t="s">
        <v>928</v>
      </c>
      <c r="G9857" s="380" t="s">
        <v>1267</v>
      </c>
      <c r="H9857" s="380" t="s">
        <v>771</v>
      </c>
      <c r="I9857" s="380" t="s">
        <v>788</v>
      </c>
      <c r="J9857" s="380" t="s">
        <v>773</v>
      </c>
      <c r="K9857" s="381">
        <v>0.0</v>
      </c>
      <c r="L9857" s="382">
        <v>1.0</v>
      </c>
    </row>
    <row r="9858">
      <c r="A9858" s="380" t="s">
        <v>10732</v>
      </c>
      <c r="B9858" s="380" t="str">
        <f>IFERROR(__xludf.DUMMYFUNCTION("""COMPUTED_VALUE"""),"Luna Redonda Frontal Sup Espejo Jac 8202")</f>
        <v>Luna Redonda Frontal Sup Espejo Jac 8202</v>
      </c>
      <c r="C9858" s="380" t="str">
        <f>IFERROR(__xludf.DUMMYFUNCTION("""COMPUTED_VALUE"""),"70005279")</f>
        <v>70005279</v>
      </c>
      <c r="D9858" s="380" t="s">
        <v>767</v>
      </c>
      <c r="E9858" s="380" t="s">
        <v>786</v>
      </c>
      <c r="F9858" s="380" t="s">
        <v>792</v>
      </c>
      <c r="G9858" s="380" t="s">
        <v>1267</v>
      </c>
      <c r="H9858" s="380" t="s">
        <v>771</v>
      </c>
      <c r="I9858" s="380" t="s">
        <v>788</v>
      </c>
      <c r="J9858" s="380" t="s">
        <v>773</v>
      </c>
      <c r="K9858" s="381">
        <v>0.0</v>
      </c>
      <c r="L9858" s="382">
        <v>1.0</v>
      </c>
    </row>
    <row r="9859">
      <c r="A9859" s="380" t="s">
        <v>10733</v>
      </c>
      <c r="B9859" s="380" t="str">
        <f>IFERROR(__xludf.DUMMYFUNCTION("""COMPUTED_VALUE"""),"Pin Pasador Cilindrico Estrido 3 X 30mm")</f>
        <v>Pin Pasador Cilindrico Estrido 3 X 30mm</v>
      </c>
      <c r="C9859" s="380" t="str">
        <f>IFERROR(__xludf.DUMMYFUNCTION("""COMPUTED_VALUE"""),"70005280")</f>
        <v>70005280</v>
      </c>
      <c r="D9859" s="380" t="s">
        <v>767</v>
      </c>
      <c r="E9859" s="380" t="s">
        <v>786</v>
      </c>
      <c r="F9859" s="380" t="s">
        <v>1039</v>
      </c>
      <c r="G9859" s="380" t="s">
        <v>1267</v>
      </c>
      <c r="H9859" s="380" t="s">
        <v>771</v>
      </c>
      <c r="I9859" s="380" t="s">
        <v>788</v>
      </c>
      <c r="J9859" s="380" t="s">
        <v>773</v>
      </c>
      <c r="K9859" s="381">
        <v>0.0</v>
      </c>
      <c r="L9859" s="382">
        <v>1.0</v>
      </c>
    </row>
    <row r="9860">
      <c r="A9860" s="380" t="s">
        <v>10734</v>
      </c>
      <c r="B9860" s="380" t="str">
        <f>IFERROR(__xludf.DUMMYFUNCTION("""COMPUTED_VALUE"""),"Conjunto Secador FT 1065 7700149430173")</f>
        <v>Conjunto Secador FT 1065 7700149430173</v>
      </c>
      <c r="C9860" s="380" t="str">
        <f>IFERROR(__xludf.DUMMYFUNCTION("""COMPUTED_VALUE"""),"70005281")</f>
        <v>70005281</v>
      </c>
      <c r="D9860" s="380" t="s">
        <v>767</v>
      </c>
      <c r="E9860" s="380" t="s">
        <v>786</v>
      </c>
      <c r="F9860" s="380" t="s">
        <v>1017</v>
      </c>
      <c r="G9860" s="380" t="s">
        <v>1267</v>
      </c>
      <c r="H9860" s="380" t="s">
        <v>771</v>
      </c>
      <c r="I9860" s="380" t="s">
        <v>788</v>
      </c>
      <c r="J9860" s="380" t="s">
        <v>773</v>
      </c>
      <c r="K9860" s="381">
        <v>0.0</v>
      </c>
      <c r="L9860" s="382">
        <v>1.0</v>
      </c>
    </row>
    <row r="9861">
      <c r="A9861" s="380" t="s">
        <v>10735</v>
      </c>
      <c r="B9861" s="380" t="str">
        <f>IFERROR(__xludf.DUMMYFUNCTION("""COMPUTED_VALUE"""),"Vidrio Lateral Fijo PTA IZQ Daf Cf 480 F")</f>
        <v>Vidrio Lateral Fijo PTA IZQ Daf Cf 480 F</v>
      </c>
      <c r="C9861" s="380" t="str">
        <f>IFERROR(__xludf.DUMMYFUNCTION("""COMPUTED_VALUE"""),"70005282")</f>
        <v>70005282</v>
      </c>
      <c r="D9861" s="380" t="s">
        <v>767</v>
      </c>
      <c r="E9861" s="380" t="s">
        <v>786</v>
      </c>
      <c r="F9861" s="380" t="s">
        <v>792</v>
      </c>
      <c r="G9861" s="380" t="s">
        <v>1267</v>
      </c>
      <c r="H9861" s="380" t="s">
        <v>771</v>
      </c>
      <c r="I9861" s="380" t="s">
        <v>788</v>
      </c>
      <c r="J9861" s="380" t="s">
        <v>773</v>
      </c>
      <c r="K9861" s="381">
        <v>0.0</v>
      </c>
      <c r="L9861" s="382">
        <v>1.0</v>
      </c>
    </row>
    <row r="9862">
      <c r="A9862" s="380" t="s">
        <v>10736</v>
      </c>
      <c r="B9862" s="380" t="str">
        <f>IFERROR(__xludf.DUMMYFUNCTION("""COMPUTED_VALUE"""),"Espejo Retrovisor Izq. Completo Daf Cf 4")</f>
        <v>Espejo Retrovisor Izq. Completo Daf Cf 4</v>
      </c>
      <c r="C9862" s="380" t="str">
        <f>IFERROR(__xludf.DUMMYFUNCTION("""COMPUTED_VALUE"""),"70005283")</f>
        <v>70005283</v>
      </c>
      <c r="D9862" s="380" t="s">
        <v>767</v>
      </c>
      <c r="E9862" s="380" t="s">
        <v>786</v>
      </c>
      <c r="F9862" s="380" t="s">
        <v>792</v>
      </c>
      <c r="G9862" s="380" t="s">
        <v>1267</v>
      </c>
      <c r="H9862" s="380" t="s">
        <v>771</v>
      </c>
      <c r="I9862" s="380" t="s">
        <v>788</v>
      </c>
      <c r="J9862" s="380" t="s">
        <v>773</v>
      </c>
      <c r="K9862" s="381">
        <v>0.0</v>
      </c>
      <c r="L9862" s="382">
        <v>1.0</v>
      </c>
    </row>
    <row r="9863">
      <c r="A9863" s="380" t="s">
        <v>10737</v>
      </c>
      <c r="B9863" s="380" t="str">
        <f>IFERROR(__xludf.DUMMYFUNCTION("""COMPUTED_VALUE"""),"Tapa Cubo RDA DEL Jac 1042 3103109n")</f>
        <v>Tapa Cubo RDA DEL Jac 1042 3103109n</v>
      </c>
      <c r="C9863" s="380" t="str">
        <f>IFERROR(__xludf.DUMMYFUNCTION("""COMPUTED_VALUE"""),"70005284")</f>
        <v>70005284</v>
      </c>
      <c r="D9863" s="380" t="s">
        <v>767</v>
      </c>
      <c r="E9863" s="380" t="s">
        <v>786</v>
      </c>
      <c r="F9863" s="380" t="s">
        <v>1039</v>
      </c>
      <c r="G9863" s="380" t="s">
        <v>1267</v>
      </c>
      <c r="H9863" s="380" t="s">
        <v>771</v>
      </c>
      <c r="I9863" s="380" t="s">
        <v>788</v>
      </c>
      <c r="J9863" s="380" t="s">
        <v>773</v>
      </c>
      <c r="K9863" s="381">
        <v>0.0</v>
      </c>
      <c r="L9863" s="382">
        <v>1.0</v>
      </c>
    </row>
    <row r="9864">
      <c r="A9864" s="380" t="s">
        <v>10738</v>
      </c>
      <c r="B9864" s="380" t="str">
        <f>IFERROR(__xludf.DUMMYFUNCTION("""COMPUTED_VALUE"""),"carcasa Filtro Aire Acondicionado Inter")</f>
        <v>carcasa Filtro Aire Acondicionado Inter</v>
      </c>
      <c r="C9864" s="380" t="str">
        <f>IFERROR(__xludf.DUMMYFUNCTION("""COMPUTED_VALUE"""),"70005285")</f>
        <v>70005285</v>
      </c>
      <c r="D9864" s="380" t="s">
        <v>767</v>
      </c>
      <c r="E9864" s="380" t="s">
        <v>786</v>
      </c>
      <c r="F9864" s="380" t="s">
        <v>792</v>
      </c>
      <c r="G9864" s="380" t="s">
        <v>1267</v>
      </c>
      <c r="H9864" s="380" t="s">
        <v>771</v>
      </c>
      <c r="I9864" s="380" t="s">
        <v>788</v>
      </c>
      <c r="J9864" s="380" t="s">
        <v>773</v>
      </c>
      <c r="K9864" s="381">
        <v>0.0</v>
      </c>
      <c r="L9864" s="382">
        <v>1.0</v>
      </c>
    </row>
    <row r="9865">
      <c r="A9865" s="380" t="s">
        <v>10739</v>
      </c>
      <c r="B9865" s="380" t="str">
        <f>IFERROR(__xludf.DUMMYFUNCTION("""COMPUTED_VALUE"""),"Espejo Superior Puerta Der International")</f>
        <v>Espejo Superior Puerta Der International</v>
      </c>
      <c r="C9865" s="380" t="str">
        <f>IFERROR(__xludf.DUMMYFUNCTION("""COMPUTED_VALUE"""),"70005286")</f>
        <v>70005286</v>
      </c>
      <c r="D9865" s="380" t="s">
        <v>767</v>
      </c>
      <c r="E9865" s="380" t="s">
        <v>786</v>
      </c>
      <c r="F9865" s="380" t="s">
        <v>792</v>
      </c>
      <c r="G9865" s="380" t="s">
        <v>1267</v>
      </c>
      <c r="H9865" s="380" t="s">
        <v>771</v>
      </c>
      <c r="I9865" s="380" t="s">
        <v>788</v>
      </c>
      <c r="J9865" s="380" t="s">
        <v>773</v>
      </c>
      <c r="K9865" s="381">
        <v>0.0</v>
      </c>
      <c r="L9865" s="382">
        <v>1.0</v>
      </c>
    </row>
    <row r="9866">
      <c r="A9866" s="380" t="s">
        <v>10740</v>
      </c>
      <c r="B9866" s="380" t="str">
        <f>IFERROR(__xludf.DUMMYFUNCTION("""COMPUTED_VALUE"""),"FILT Secador AIR FT 1065 7701023330343")</f>
        <v>FILT Secador AIR FT 1065 7701023330343</v>
      </c>
      <c r="C9866" s="380" t="str">
        <f>IFERROR(__xludf.DUMMYFUNCTION("""COMPUTED_VALUE"""),"70005287")</f>
        <v>70005287</v>
      </c>
      <c r="D9866" s="380" t="s">
        <v>767</v>
      </c>
      <c r="E9866" s="380" t="s">
        <v>786</v>
      </c>
      <c r="F9866" s="380" t="s">
        <v>5855</v>
      </c>
      <c r="G9866" s="380" t="s">
        <v>1267</v>
      </c>
      <c r="H9866" s="380" t="s">
        <v>771</v>
      </c>
      <c r="I9866" s="380" t="s">
        <v>788</v>
      </c>
      <c r="J9866" s="380" t="s">
        <v>773</v>
      </c>
      <c r="K9866" s="381">
        <v>0.0</v>
      </c>
      <c r="L9866" s="382">
        <v>1.0</v>
      </c>
    </row>
    <row r="9867">
      <c r="A9867" s="380" t="s">
        <v>10741</v>
      </c>
      <c r="B9867" s="380" t="str">
        <f>IFERROR(__xludf.DUMMYFUNCTION("""COMPUTED_VALUE"""),"Tornillo Con Arandela Caracaza Distri Cu")</f>
        <v>Tornillo Con Arandela Caracaza Distri Cu</v>
      </c>
      <c r="C9867" s="380" t="str">
        <f>IFERROR(__xludf.DUMMYFUNCTION("""COMPUTED_VALUE"""),"70005288")</f>
        <v>70005288</v>
      </c>
      <c r="D9867" s="380" t="s">
        <v>767</v>
      </c>
      <c r="E9867" s="380" t="s">
        <v>786</v>
      </c>
      <c r="F9867" s="380" t="s">
        <v>787</v>
      </c>
      <c r="G9867" s="380" t="s">
        <v>1267</v>
      </c>
      <c r="H9867" s="380" t="s">
        <v>771</v>
      </c>
      <c r="I9867" s="380" t="s">
        <v>788</v>
      </c>
      <c r="J9867" s="380" t="s">
        <v>773</v>
      </c>
      <c r="K9867" s="381">
        <v>0.0</v>
      </c>
      <c r="L9867" s="382">
        <v>1.0</v>
      </c>
    </row>
    <row r="9868">
      <c r="A9868" s="380" t="s">
        <v>10742</v>
      </c>
      <c r="B9868" s="380" t="str">
        <f>IFERROR(__xludf.DUMMYFUNCTION("""COMPUTED_VALUE"""),"RAD FT 1128 Euro Vi Fabricado-7700149386")</f>
        <v>RAD FT 1128 Euro Vi Fabricado-7700149386</v>
      </c>
      <c r="C9868" s="380" t="str">
        <f>IFERROR(__xludf.DUMMYFUNCTION("""COMPUTED_VALUE"""),"70005289")</f>
        <v>70005289</v>
      </c>
      <c r="D9868" s="380" t="s">
        <v>767</v>
      </c>
      <c r="E9868" s="380" t="s">
        <v>786</v>
      </c>
      <c r="F9868" s="380" t="s">
        <v>787</v>
      </c>
      <c r="G9868" s="380" t="s">
        <v>1267</v>
      </c>
      <c r="H9868" s="380" t="s">
        <v>771</v>
      </c>
      <c r="I9868" s="380" t="s">
        <v>788</v>
      </c>
      <c r="J9868" s="380" t="s">
        <v>773</v>
      </c>
      <c r="K9868" s="381">
        <v>0.0</v>
      </c>
      <c r="L9868" s="382">
        <v>1.0</v>
      </c>
    </row>
    <row r="9869">
      <c r="A9869" s="380" t="s">
        <v>10743</v>
      </c>
      <c r="B9869" s="380" t="str">
        <f>IFERROR(__xludf.DUMMYFUNCTION("""COMPUTED_VALUE"""),"Ahogador Chevrolet Npr 8972550731")</f>
        <v>Ahogador Chevrolet Npr 8972550731</v>
      </c>
      <c r="C9869" s="380" t="str">
        <f>IFERROR(__xludf.DUMMYFUNCTION("""COMPUTED_VALUE"""),"70005290")</f>
        <v>70005290</v>
      </c>
      <c r="D9869" s="380" t="s">
        <v>767</v>
      </c>
      <c r="E9869" s="380" t="s">
        <v>786</v>
      </c>
      <c r="F9869" s="380" t="s">
        <v>998</v>
      </c>
      <c r="G9869" s="380" t="s">
        <v>1267</v>
      </c>
      <c r="H9869" s="380" t="s">
        <v>771</v>
      </c>
      <c r="I9869" s="380" t="s">
        <v>788</v>
      </c>
      <c r="J9869" s="380" t="s">
        <v>773</v>
      </c>
      <c r="K9869" s="381">
        <v>0.0</v>
      </c>
      <c r="L9869" s="382">
        <v>1.0</v>
      </c>
    </row>
    <row r="9870">
      <c r="A9870" s="380" t="s">
        <v>10744</v>
      </c>
      <c r="B9870" s="380" t="str">
        <f>IFERROR(__xludf.DUMMYFUNCTION("""COMPUTED_VALUE"""),"SOP DER Bomper Chasis INT Lt 4063339c1")</f>
        <v>SOP DER Bomper Chasis INT Lt 4063339c1</v>
      </c>
      <c r="C9870" s="380" t="str">
        <f>IFERROR(__xludf.DUMMYFUNCTION("""COMPUTED_VALUE"""),"70005291")</f>
        <v>70005291</v>
      </c>
      <c r="D9870" s="380" t="s">
        <v>767</v>
      </c>
      <c r="E9870" s="380" t="s">
        <v>786</v>
      </c>
      <c r="F9870" s="380" t="s">
        <v>792</v>
      </c>
      <c r="G9870" s="380" t="s">
        <v>1267</v>
      </c>
      <c r="H9870" s="380" t="s">
        <v>771</v>
      </c>
      <c r="I9870" s="380" t="s">
        <v>788</v>
      </c>
      <c r="J9870" s="380" t="s">
        <v>773</v>
      </c>
      <c r="K9870" s="381">
        <v>0.0</v>
      </c>
      <c r="L9870" s="382">
        <v>1.0</v>
      </c>
    </row>
    <row r="9871">
      <c r="A9871" s="380" t="s">
        <v>10745</v>
      </c>
      <c r="B9871" s="380" t="str">
        <f>IFERROR(__xludf.DUMMYFUNCTION("""COMPUTED_VALUE"""),"SOP IZQ Bomper Chasis INT Lt 4063336c1")</f>
        <v>SOP IZQ Bomper Chasis INT Lt 4063336c1</v>
      </c>
      <c r="C9871" s="380" t="str">
        <f>IFERROR(__xludf.DUMMYFUNCTION("""COMPUTED_VALUE"""),"70005292")</f>
        <v>70005292</v>
      </c>
      <c r="D9871" s="380" t="s">
        <v>767</v>
      </c>
      <c r="E9871" s="380" t="s">
        <v>786</v>
      </c>
      <c r="F9871" s="380" t="s">
        <v>792</v>
      </c>
      <c r="G9871" s="380" t="s">
        <v>1267</v>
      </c>
      <c r="H9871" s="380" t="s">
        <v>771</v>
      </c>
      <c r="I9871" s="380" t="s">
        <v>788</v>
      </c>
      <c r="J9871" s="380" t="s">
        <v>773</v>
      </c>
      <c r="K9871" s="381">
        <v>0.0</v>
      </c>
      <c r="L9871" s="382">
        <v>1.0</v>
      </c>
    </row>
    <row r="9872">
      <c r="A9872" s="380" t="s">
        <v>10746</v>
      </c>
      <c r="B9872" s="380" t="str">
        <f>IFERROR(__xludf.DUMMYFUNCTION("""COMPUTED_VALUE"""),"Bocin Trasero Foton 1129 7701023775113")</f>
        <v>Bocin Trasero Foton 1129 7701023775113</v>
      </c>
      <c r="C9872" s="380" t="str">
        <f>IFERROR(__xludf.DUMMYFUNCTION("""COMPUTED_VALUE"""),"70005293")</f>
        <v>70005293</v>
      </c>
      <c r="D9872" s="380" t="s">
        <v>767</v>
      </c>
      <c r="E9872" s="380" t="s">
        <v>786</v>
      </c>
      <c r="F9872" s="380" t="s">
        <v>1017</v>
      </c>
      <c r="G9872" s="380" t="s">
        <v>1267</v>
      </c>
      <c r="H9872" s="380" t="s">
        <v>771</v>
      </c>
      <c r="I9872" s="380" t="s">
        <v>788</v>
      </c>
      <c r="J9872" s="380" t="s">
        <v>773</v>
      </c>
      <c r="K9872" s="381">
        <v>0.0</v>
      </c>
      <c r="L9872" s="382">
        <v>1.0</v>
      </c>
    </row>
    <row r="9873">
      <c r="A9873" s="380" t="s">
        <v>10747</v>
      </c>
      <c r="B9873" s="380" t="str">
        <f>IFERROR(__xludf.DUMMYFUNCTION("""COMPUTED_VALUE"""),"Guantera Foton Bj5 7701023486910")</f>
        <v>Guantera Foton Bj5 7701023486910</v>
      </c>
      <c r="C9873" s="380" t="str">
        <f>IFERROR(__xludf.DUMMYFUNCTION("""COMPUTED_VALUE"""),"70005294")</f>
        <v>70005294</v>
      </c>
      <c r="D9873" s="380" t="s">
        <v>767</v>
      </c>
      <c r="E9873" s="380" t="s">
        <v>786</v>
      </c>
      <c r="F9873" s="380" t="s">
        <v>1031</v>
      </c>
      <c r="G9873" s="380" t="s">
        <v>1267</v>
      </c>
      <c r="H9873" s="380" t="s">
        <v>771</v>
      </c>
      <c r="I9873" s="380" t="s">
        <v>788</v>
      </c>
      <c r="J9873" s="380" t="s">
        <v>773</v>
      </c>
      <c r="K9873" s="381">
        <v>0.0</v>
      </c>
      <c r="L9873" s="382">
        <v>1.0</v>
      </c>
    </row>
    <row r="9874">
      <c r="A9874" s="380" t="s">
        <v>10748</v>
      </c>
      <c r="B9874" s="380" t="str">
        <f>IFERROR(__xludf.DUMMYFUNCTION("""COMPUTED_VALUE"""),"SOP Izq Bomper TRAS FT Bj5 7705946036443")</f>
        <v>SOP Izq Bomper TRAS FT Bj5 7705946036443</v>
      </c>
      <c r="C9874" s="380" t="str">
        <f>IFERROR(__xludf.DUMMYFUNCTION("""COMPUTED_VALUE"""),"70005295")</f>
        <v>70005295</v>
      </c>
      <c r="D9874" s="380" t="s">
        <v>767</v>
      </c>
      <c r="E9874" s="380" t="s">
        <v>786</v>
      </c>
      <c r="F9874" s="380" t="s">
        <v>792</v>
      </c>
      <c r="G9874" s="380" t="s">
        <v>1267</v>
      </c>
      <c r="H9874" s="380" t="s">
        <v>771</v>
      </c>
      <c r="I9874" s="380" t="s">
        <v>788</v>
      </c>
      <c r="J9874" s="380" t="s">
        <v>773</v>
      </c>
      <c r="K9874" s="381">
        <v>30239.0</v>
      </c>
      <c r="L9874" s="382">
        <v>1.0</v>
      </c>
    </row>
    <row r="9875">
      <c r="A9875" s="380" t="s">
        <v>10749</v>
      </c>
      <c r="B9875" s="380" t="str">
        <f>IFERROR(__xludf.DUMMYFUNCTION("""COMPUTED_VALUE"""),"MANG Sup RAD FT 1039 7705946316828")</f>
        <v>MANG Sup RAD FT 1039 7705946316828</v>
      </c>
      <c r="C9875" s="380" t="str">
        <f>IFERROR(__xludf.DUMMYFUNCTION("""COMPUTED_VALUE"""),"70005296")</f>
        <v>70005296</v>
      </c>
      <c r="D9875" s="380" t="s">
        <v>767</v>
      </c>
      <c r="E9875" s="380" t="s">
        <v>786</v>
      </c>
      <c r="F9875" s="380" t="s">
        <v>787</v>
      </c>
      <c r="G9875" s="380" t="s">
        <v>1267</v>
      </c>
      <c r="H9875" s="380" t="s">
        <v>771</v>
      </c>
      <c r="I9875" s="380" t="s">
        <v>788</v>
      </c>
      <c r="J9875" s="380" t="s">
        <v>773</v>
      </c>
      <c r="K9875" s="381">
        <v>0.0</v>
      </c>
      <c r="L9875" s="382">
        <v>1.0</v>
      </c>
    </row>
    <row r="9876">
      <c r="A9876" s="380" t="s">
        <v>10750</v>
      </c>
      <c r="B9876" s="380" t="str">
        <f>IFERROR(__xludf.DUMMYFUNCTION("""COMPUTED_VALUE"""),"Correa Compresor A/C FT Bj5 770594630886")</f>
        <v>Correa Compresor A/C FT Bj5 770594630886</v>
      </c>
      <c r="C9876" s="380" t="str">
        <f>IFERROR(__xludf.DUMMYFUNCTION("""COMPUTED_VALUE"""),"70005297")</f>
        <v>70005297</v>
      </c>
      <c r="D9876" s="380" t="s">
        <v>767</v>
      </c>
      <c r="E9876" s="380" t="s">
        <v>786</v>
      </c>
      <c r="F9876" s="380" t="s">
        <v>787</v>
      </c>
      <c r="G9876" s="380" t="s">
        <v>1267</v>
      </c>
      <c r="H9876" s="380" t="s">
        <v>771</v>
      </c>
      <c r="I9876" s="380" t="s">
        <v>788</v>
      </c>
      <c r="J9876" s="380" t="s">
        <v>773</v>
      </c>
      <c r="K9876" s="381">
        <v>0.0</v>
      </c>
      <c r="L9876" s="382">
        <v>1.0</v>
      </c>
    </row>
    <row r="9877">
      <c r="A9877" s="380" t="s">
        <v>10751</v>
      </c>
      <c r="B9877" s="380" t="str">
        <f>IFERROR(__xludf.DUMMYFUNCTION("""COMPUTED_VALUE"""),"Válvula CTRL AIR MCK Anthem 21065585")</f>
        <v>Válvula CTRL AIR MCK Anthem 21065585</v>
      </c>
      <c r="C9877" s="380" t="str">
        <f>IFERROR(__xludf.DUMMYFUNCTION("""COMPUTED_VALUE"""),"70005298")</f>
        <v>70005298</v>
      </c>
      <c r="D9877" s="380" t="s">
        <v>767</v>
      </c>
      <c r="E9877" s="380" t="s">
        <v>786</v>
      </c>
      <c r="F9877" s="380" t="s">
        <v>1017</v>
      </c>
      <c r="G9877" s="380" t="s">
        <v>1267</v>
      </c>
      <c r="H9877" s="380" t="s">
        <v>771</v>
      </c>
      <c r="I9877" s="380" t="s">
        <v>788</v>
      </c>
      <c r="J9877" s="380" t="s">
        <v>773</v>
      </c>
      <c r="K9877" s="381">
        <v>0.0</v>
      </c>
      <c r="L9877" s="382">
        <v>1.0</v>
      </c>
    </row>
    <row r="9878">
      <c r="A9878" s="380" t="s">
        <v>10752</v>
      </c>
      <c r="B9878" s="380" t="str">
        <f>IFERROR(__xludf.DUMMYFUNCTION("""COMPUTED_VALUE"""),"Canastilla Punta Desplazable FT 1039 770")</f>
        <v>Canastilla Punta Desplazable FT 1039 770</v>
      </c>
      <c r="C9878" s="380" t="str">
        <f>IFERROR(__xludf.DUMMYFUNCTION("""COMPUTED_VALUE"""),"70005299")</f>
        <v>70005299</v>
      </c>
      <c r="D9878" s="380" t="s">
        <v>767</v>
      </c>
      <c r="E9878" s="380" t="s">
        <v>786</v>
      </c>
      <c r="F9878" s="380" t="s">
        <v>928</v>
      </c>
      <c r="G9878" s="380" t="s">
        <v>1267</v>
      </c>
      <c r="H9878" s="380" t="s">
        <v>771</v>
      </c>
      <c r="I9878" s="380" t="s">
        <v>788</v>
      </c>
      <c r="J9878" s="380" t="s">
        <v>773</v>
      </c>
      <c r="K9878" s="381">
        <v>0.0</v>
      </c>
      <c r="L9878" s="382">
        <v>1.0</v>
      </c>
    </row>
    <row r="9879">
      <c r="A9879" s="380" t="s">
        <v>10753</v>
      </c>
      <c r="B9879" s="380" t="str">
        <f>IFERROR(__xludf.DUMMYFUNCTION("""COMPUTED_VALUE"""),"Recibidor DER Capot MCK Anthem 23824542")</f>
        <v>Recibidor DER Capot MCK Anthem 23824542</v>
      </c>
      <c r="C9879" s="380" t="str">
        <f>IFERROR(__xludf.DUMMYFUNCTION("""COMPUTED_VALUE"""),"70005300")</f>
        <v>70005300</v>
      </c>
      <c r="D9879" s="380" t="s">
        <v>767</v>
      </c>
      <c r="E9879" s="380" t="s">
        <v>786</v>
      </c>
      <c r="F9879" s="380" t="s">
        <v>792</v>
      </c>
      <c r="G9879" s="380" t="s">
        <v>1267</v>
      </c>
      <c r="H9879" s="380" t="s">
        <v>771</v>
      </c>
      <c r="I9879" s="380" t="s">
        <v>788</v>
      </c>
      <c r="J9879" s="380" t="s">
        <v>773</v>
      </c>
      <c r="K9879" s="381">
        <v>0.0</v>
      </c>
      <c r="L9879" s="382">
        <v>1.0</v>
      </c>
    </row>
    <row r="9880">
      <c r="A9880" s="380" t="s">
        <v>10754</v>
      </c>
      <c r="B9880" s="380" t="str">
        <f>IFERROR(__xludf.DUMMYFUNCTION("""COMPUTED_VALUE"""),"Tapa Plástica Induma Flush 4x4")</f>
        <v>Tapa Plástica Induma Flush 4x4</v>
      </c>
      <c r="C9880" s="380" t="str">
        <f>IFERROR(__xludf.DUMMYFUNCTION("""COMPUTED_VALUE"""),"70005301")</f>
        <v>70005301</v>
      </c>
      <c r="D9880" s="380" t="s">
        <v>767</v>
      </c>
      <c r="E9880" s="380" t="s">
        <v>786</v>
      </c>
      <c r="F9880" s="380" t="s">
        <v>998</v>
      </c>
      <c r="G9880" s="380" t="s">
        <v>1267</v>
      </c>
      <c r="H9880" s="380" t="s">
        <v>771</v>
      </c>
      <c r="I9880" s="380" t="s">
        <v>788</v>
      </c>
      <c r="J9880" s="380" t="s">
        <v>773</v>
      </c>
      <c r="K9880" s="381">
        <v>0.0</v>
      </c>
      <c r="L9880" s="382">
        <v>1.0</v>
      </c>
    </row>
    <row r="9881">
      <c r="A9881" s="380" t="s">
        <v>10755</v>
      </c>
      <c r="B9881" s="380" t="str">
        <f>IFERROR(__xludf.DUMMYFUNCTION("""COMPUTED_VALUE"""),"Empaque Vidrio Trasero Eagle 9400 403336")</f>
        <v>Empaque Vidrio Trasero Eagle 9400 403336</v>
      </c>
      <c r="C9881" s="380" t="str">
        <f>IFERROR(__xludf.DUMMYFUNCTION("""COMPUTED_VALUE"""),"70005302")</f>
        <v>70005302</v>
      </c>
      <c r="D9881" s="380" t="s">
        <v>767</v>
      </c>
      <c r="E9881" s="380" t="s">
        <v>786</v>
      </c>
      <c r="F9881" s="380" t="s">
        <v>792</v>
      </c>
      <c r="G9881" s="380" t="s">
        <v>1267</v>
      </c>
      <c r="H9881" s="380" t="s">
        <v>771</v>
      </c>
      <c r="I9881" s="380" t="s">
        <v>788</v>
      </c>
      <c r="J9881" s="380" t="s">
        <v>773</v>
      </c>
      <c r="K9881" s="381">
        <v>0.0</v>
      </c>
      <c r="L9881" s="382">
        <v>1.0</v>
      </c>
    </row>
    <row r="9882">
      <c r="A9882" s="380" t="s">
        <v>10756</v>
      </c>
      <c r="B9882" s="380" t="str">
        <f>IFERROR(__xludf.DUMMYFUNCTION("""COMPUTED_VALUE"""),"Piston Motor Foton 1065 7701023083485")</f>
        <v>Piston Motor Foton 1065 7701023083485</v>
      </c>
      <c r="C9882" s="380" t="str">
        <f>IFERROR(__xludf.DUMMYFUNCTION("""COMPUTED_VALUE"""),"70005303")</f>
        <v>70005303</v>
      </c>
      <c r="D9882" s="380" t="s">
        <v>767</v>
      </c>
      <c r="E9882" s="380" t="s">
        <v>786</v>
      </c>
      <c r="F9882" s="380" t="s">
        <v>787</v>
      </c>
      <c r="G9882" s="380" t="s">
        <v>1267</v>
      </c>
      <c r="H9882" s="380" t="s">
        <v>771</v>
      </c>
      <c r="I9882" s="380" t="s">
        <v>788</v>
      </c>
      <c r="J9882" s="380" t="s">
        <v>773</v>
      </c>
      <c r="K9882" s="381">
        <v>0.0</v>
      </c>
      <c r="L9882" s="382">
        <v>1.0</v>
      </c>
    </row>
    <row r="9883">
      <c r="A9883" s="380" t="s">
        <v>10757</v>
      </c>
      <c r="B9883" s="380" t="str">
        <f>IFERROR(__xludf.DUMMYFUNCTION("""COMPUTED_VALUE"""),"Espaciador De Rebote Muelle Tras Suspens")</f>
        <v>Espaciador De Rebote Muelle Tras Suspens</v>
      </c>
      <c r="C9883" s="380" t="str">
        <f>IFERROR(__xludf.DUMMYFUNCTION("""COMPUTED_VALUE"""),"70005304")</f>
        <v>70005304</v>
      </c>
      <c r="D9883" s="380" t="s">
        <v>767</v>
      </c>
      <c r="E9883" s="380" t="s">
        <v>786</v>
      </c>
      <c r="F9883" s="380" t="s">
        <v>1039</v>
      </c>
      <c r="G9883" s="380" t="s">
        <v>1267</v>
      </c>
      <c r="H9883" s="380" t="s">
        <v>771</v>
      </c>
      <c r="I9883" s="380" t="s">
        <v>788</v>
      </c>
      <c r="J9883" s="380" t="s">
        <v>773</v>
      </c>
      <c r="K9883" s="381">
        <v>0.0</v>
      </c>
      <c r="L9883" s="382">
        <v>1.0</v>
      </c>
    </row>
    <row r="9884">
      <c r="A9884" s="380" t="s">
        <v>10758</v>
      </c>
      <c r="B9884" s="380" t="str">
        <f>IFERROR(__xludf.DUMMYFUNCTION("""COMPUTED_VALUE"""),"Base Grapa Inferior Trasera Suspension H")</f>
        <v>Base Grapa Inferior Trasera Suspension H</v>
      </c>
      <c r="C9884" s="380" t="str">
        <f>IFERROR(__xludf.DUMMYFUNCTION("""COMPUTED_VALUE"""),"70005305")</f>
        <v>70005305</v>
      </c>
      <c r="D9884" s="380" t="s">
        <v>767</v>
      </c>
      <c r="E9884" s="380" t="s">
        <v>786</v>
      </c>
      <c r="F9884" s="380" t="s">
        <v>1039</v>
      </c>
      <c r="G9884" s="380" t="s">
        <v>1267</v>
      </c>
      <c r="H9884" s="380" t="s">
        <v>771</v>
      </c>
      <c r="I9884" s="380" t="s">
        <v>788</v>
      </c>
      <c r="J9884" s="380" t="s">
        <v>773</v>
      </c>
      <c r="K9884" s="381">
        <v>0.0</v>
      </c>
      <c r="L9884" s="382">
        <v>1.0</v>
      </c>
    </row>
    <row r="9885">
      <c r="A9885" s="380" t="s">
        <v>10759</v>
      </c>
      <c r="B9885" s="380" t="str">
        <f>IFERROR(__xludf.DUMMYFUNCTION("""COMPUTED_VALUE"""),"Soporte Muelle Trasero Suspension Has 50")</f>
        <v>Soporte Muelle Trasero Suspension Has 50</v>
      </c>
      <c r="C9885" s="380" t="str">
        <f>IFERROR(__xludf.DUMMYFUNCTION("""COMPUTED_VALUE"""),"70005306")</f>
        <v>70005306</v>
      </c>
      <c r="D9885" s="380" t="s">
        <v>767</v>
      </c>
      <c r="E9885" s="380" t="s">
        <v>786</v>
      </c>
      <c r="F9885" s="380" t="s">
        <v>1039</v>
      </c>
      <c r="G9885" s="380" t="s">
        <v>1267</v>
      </c>
      <c r="H9885" s="380" t="s">
        <v>771</v>
      </c>
      <c r="I9885" s="380" t="s">
        <v>788</v>
      </c>
      <c r="J9885" s="380" t="s">
        <v>773</v>
      </c>
      <c r="K9885" s="381">
        <v>0.0</v>
      </c>
      <c r="L9885" s="382">
        <v>1.0</v>
      </c>
    </row>
    <row r="9886">
      <c r="A9886" s="380" t="s">
        <v>10760</v>
      </c>
      <c r="B9886" s="380" t="str">
        <f>IFERROR(__xludf.DUMMYFUNCTION("""COMPUTED_VALUE"""),"Adaptador Tapa Tanque Acpm Eagle/Kenwort")</f>
        <v>Adaptador Tapa Tanque Acpm Eagle/Kenwort</v>
      </c>
      <c r="C9886" s="380" t="str">
        <f>IFERROR(__xludf.DUMMYFUNCTION("""COMPUTED_VALUE"""),"70005307")</f>
        <v>70005307</v>
      </c>
      <c r="D9886" s="380" t="s">
        <v>767</v>
      </c>
      <c r="E9886" s="380" t="s">
        <v>786</v>
      </c>
      <c r="F9886" s="380" t="s">
        <v>792</v>
      </c>
      <c r="G9886" s="380" t="s">
        <v>1267</v>
      </c>
      <c r="H9886" s="380" t="s">
        <v>771</v>
      </c>
      <c r="I9886" s="380" t="s">
        <v>788</v>
      </c>
      <c r="J9886" s="380" t="s">
        <v>773</v>
      </c>
      <c r="K9886" s="381">
        <v>0.0</v>
      </c>
      <c r="L9886" s="382">
        <v>1.0</v>
      </c>
    </row>
    <row r="9887">
      <c r="A9887" s="380" t="s">
        <v>10761</v>
      </c>
      <c r="B9887" s="380" t="str">
        <f>IFERROR(__xludf.DUMMYFUNCTION("""COMPUTED_VALUE"""),"SOP MOT DEL Daf Cf480 Ftt 2395981")</f>
        <v>SOP MOT DEL Daf Cf480 Ftt 2395981</v>
      </c>
      <c r="C9887" s="380" t="str">
        <f>IFERROR(__xludf.DUMMYFUNCTION("""COMPUTED_VALUE"""),"70005308")</f>
        <v>70005308</v>
      </c>
      <c r="D9887" s="380" t="s">
        <v>767</v>
      </c>
      <c r="E9887" s="380" t="s">
        <v>786</v>
      </c>
      <c r="F9887" s="380" t="s">
        <v>787</v>
      </c>
      <c r="G9887" s="380" t="s">
        <v>1267</v>
      </c>
      <c r="H9887" s="380" t="s">
        <v>771</v>
      </c>
      <c r="I9887" s="380" t="s">
        <v>788</v>
      </c>
      <c r="J9887" s="380" t="s">
        <v>773</v>
      </c>
      <c r="K9887" s="381">
        <v>0.0</v>
      </c>
      <c r="L9887" s="382">
        <v>1.0</v>
      </c>
    </row>
    <row r="9888">
      <c r="A9888" s="380" t="s">
        <v>10762</v>
      </c>
      <c r="B9888" s="380" t="str">
        <f>IFERROR(__xludf.DUMMYFUNCTION("""COMPUTED_VALUE"""),"SOP MOT TRAS Daf Cf480 Ftt 2136889")</f>
        <v>SOP MOT TRAS Daf Cf480 Ftt 2136889</v>
      </c>
      <c r="C9888" s="380" t="str">
        <f>IFERROR(__xludf.DUMMYFUNCTION("""COMPUTED_VALUE"""),"70005309")</f>
        <v>70005309</v>
      </c>
      <c r="D9888" s="380" t="s">
        <v>767</v>
      </c>
      <c r="E9888" s="380" t="s">
        <v>786</v>
      </c>
      <c r="F9888" s="380" t="s">
        <v>787</v>
      </c>
      <c r="G9888" s="380" t="s">
        <v>1267</v>
      </c>
      <c r="H9888" s="380" t="s">
        <v>771</v>
      </c>
      <c r="I9888" s="380" t="s">
        <v>788</v>
      </c>
      <c r="J9888" s="380" t="s">
        <v>773</v>
      </c>
      <c r="K9888" s="381">
        <v>762434.0</v>
      </c>
      <c r="L9888" s="382">
        <v>1.0</v>
      </c>
    </row>
    <row r="9889">
      <c r="A9889" s="380" t="s">
        <v>10763</v>
      </c>
      <c r="B9889" s="380" t="str">
        <f>IFERROR(__xludf.DUMMYFUNCTION("""COMPUTED_VALUE"""),"Motor Arranque Foton Mv5 7705946023054")</f>
        <v>Motor Arranque Foton Mv5 7705946023054</v>
      </c>
      <c r="C9889" s="380" t="str">
        <f>IFERROR(__xludf.DUMMYFUNCTION("""COMPUTED_VALUE"""),"70005310")</f>
        <v>70005310</v>
      </c>
      <c r="D9889" s="380" t="s">
        <v>767</v>
      </c>
      <c r="E9889" s="380" t="s">
        <v>786</v>
      </c>
      <c r="F9889" s="380" t="s">
        <v>998</v>
      </c>
      <c r="G9889" s="380" t="s">
        <v>1267</v>
      </c>
      <c r="H9889" s="380" t="s">
        <v>771</v>
      </c>
      <c r="I9889" s="380" t="s">
        <v>788</v>
      </c>
      <c r="J9889" s="380" t="s">
        <v>773</v>
      </c>
      <c r="K9889" s="381">
        <v>0.0</v>
      </c>
      <c r="L9889" s="382">
        <v>1.0</v>
      </c>
    </row>
    <row r="9890">
      <c r="A9890" s="380" t="s">
        <v>10764</v>
      </c>
      <c r="B9890" s="380" t="str">
        <f>IFERROR(__xludf.DUMMYFUNCTION("""COMPUTED_VALUE"""),"Guaya Freno Parqueo Tras Der FT 1030 770")</f>
        <v>Guaya Freno Parqueo Tras Der FT 1030 770</v>
      </c>
      <c r="C9890" s="380" t="str">
        <f>IFERROR(__xludf.DUMMYFUNCTION("""COMPUTED_VALUE"""),"70005311")</f>
        <v>70005311</v>
      </c>
      <c r="D9890" s="380" t="s">
        <v>767</v>
      </c>
      <c r="E9890" s="380" t="s">
        <v>786</v>
      </c>
      <c r="F9890" s="380" t="s">
        <v>1017</v>
      </c>
      <c r="G9890" s="380" t="s">
        <v>1267</v>
      </c>
      <c r="H9890" s="380" t="s">
        <v>771</v>
      </c>
      <c r="I9890" s="380" t="s">
        <v>788</v>
      </c>
      <c r="J9890" s="380" t="s">
        <v>773</v>
      </c>
      <c r="K9890" s="381">
        <v>67079.0</v>
      </c>
      <c r="L9890" s="382">
        <v>1.0</v>
      </c>
    </row>
    <row r="9891">
      <c r="A9891" s="380" t="s">
        <v>10765</v>
      </c>
      <c r="B9891" s="380" t="str">
        <f>IFERROR(__xludf.DUMMYFUNCTION("""COMPUTED_VALUE"""),"FILT AIR Planta ELEC Yumbo Fleetguard Ah")</f>
        <v>FILT AIR Planta ELEC Yumbo Fleetguard Ah</v>
      </c>
      <c r="C9891" s="380" t="str">
        <f>IFERROR(__xludf.DUMMYFUNCTION("""COMPUTED_VALUE"""),"70005312")</f>
        <v>70005312</v>
      </c>
      <c r="D9891" s="380" t="s">
        <v>767</v>
      </c>
      <c r="E9891" s="380" t="s">
        <v>786</v>
      </c>
      <c r="F9891" s="380" t="s">
        <v>5855</v>
      </c>
      <c r="G9891" s="380" t="s">
        <v>1267</v>
      </c>
      <c r="H9891" s="380" t="s">
        <v>771</v>
      </c>
      <c r="I9891" s="380" t="s">
        <v>788</v>
      </c>
      <c r="J9891" s="380" t="s">
        <v>773</v>
      </c>
      <c r="K9891" s="381">
        <v>0.0</v>
      </c>
      <c r="L9891" s="382">
        <v>1.0</v>
      </c>
    </row>
    <row r="9892">
      <c r="A9892" s="380" t="s">
        <v>10766</v>
      </c>
      <c r="B9892" s="380" t="str">
        <f>IFERROR(__xludf.DUMMYFUNCTION("""COMPUTED_VALUE"""),"Ducto ENT De AIR INT Lt 4126810c92")</f>
        <v>Ducto ENT De AIR INT Lt 4126810c92</v>
      </c>
      <c r="C9892" s="380" t="str">
        <f>IFERROR(__xludf.DUMMYFUNCTION("""COMPUTED_VALUE"""),"70005313")</f>
        <v>70005313</v>
      </c>
      <c r="D9892" s="380" t="s">
        <v>767</v>
      </c>
      <c r="E9892" s="380" t="s">
        <v>786</v>
      </c>
      <c r="F9892" s="380" t="s">
        <v>787</v>
      </c>
      <c r="G9892" s="380" t="s">
        <v>1267</v>
      </c>
      <c r="H9892" s="380" t="s">
        <v>771</v>
      </c>
      <c r="I9892" s="380" t="s">
        <v>788</v>
      </c>
      <c r="J9892" s="380" t="s">
        <v>773</v>
      </c>
      <c r="K9892" s="381">
        <v>0.0</v>
      </c>
      <c r="L9892" s="382">
        <v>1.0</v>
      </c>
    </row>
    <row r="9893">
      <c r="A9893" s="380" t="s">
        <v>10767</v>
      </c>
      <c r="B9893" s="380" t="str">
        <f>IFERROR(__xludf.DUMMYFUNCTION("""COMPUTED_VALUE"""),"Abrazadera Buje Barra Estab. Foton 1065/")</f>
        <v>Abrazadera Buje Barra Estab. Foton 1065/</v>
      </c>
      <c r="C9893" s="380" t="str">
        <f>IFERROR(__xludf.DUMMYFUNCTION("""COMPUTED_VALUE"""),"70005314")</f>
        <v>70005314</v>
      </c>
      <c r="D9893" s="380" t="s">
        <v>767</v>
      </c>
      <c r="E9893" s="380" t="s">
        <v>786</v>
      </c>
      <c r="F9893" s="380" t="s">
        <v>1039</v>
      </c>
      <c r="G9893" s="380" t="s">
        <v>1267</v>
      </c>
      <c r="H9893" s="380" t="s">
        <v>771</v>
      </c>
      <c r="I9893" s="380" t="s">
        <v>788</v>
      </c>
      <c r="J9893" s="380" t="s">
        <v>773</v>
      </c>
      <c r="K9893" s="381">
        <v>47920.0</v>
      </c>
      <c r="L9893" s="382">
        <v>1.0</v>
      </c>
    </row>
    <row r="9894">
      <c r="A9894" s="380" t="s">
        <v>10768</v>
      </c>
      <c r="B9894" s="380" t="str">
        <f>IFERROR(__xludf.DUMMYFUNCTION("""COMPUTED_VALUE"""),"Buje TRAS Arbol De Levas FT 1065 7701023")</f>
        <v>Buje TRAS Arbol De Levas FT 1065 7701023</v>
      </c>
      <c r="C9894" s="380" t="str">
        <f>IFERROR(__xludf.DUMMYFUNCTION("""COMPUTED_VALUE"""),"70005315")</f>
        <v>70005315</v>
      </c>
      <c r="D9894" s="380" t="s">
        <v>767</v>
      </c>
      <c r="E9894" s="380" t="s">
        <v>786</v>
      </c>
      <c r="F9894" s="380" t="s">
        <v>787</v>
      </c>
      <c r="G9894" s="380" t="s">
        <v>1267</v>
      </c>
      <c r="H9894" s="380" t="s">
        <v>771</v>
      </c>
      <c r="I9894" s="380" t="s">
        <v>788</v>
      </c>
      <c r="J9894" s="380" t="s">
        <v>773</v>
      </c>
      <c r="K9894" s="381">
        <v>0.0</v>
      </c>
      <c r="L9894" s="382">
        <v>1.0</v>
      </c>
    </row>
    <row r="9895">
      <c r="A9895" s="380" t="s">
        <v>10769</v>
      </c>
      <c r="B9895" s="380" t="str">
        <f>IFERROR(__xludf.DUMMYFUNCTION("""COMPUTED_VALUE"""),"Vidrio Trasero Cabina International Lt")</f>
        <v>Vidrio Trasero Cabina International Lt</v>
      </c>
      <c r="C9895" s="380" t="str">
        <f>IFERROR(__xludf.DUMMYFUNCTION("""COMPUTED_VALUE"""),"70005316")</f>
        <v>70005316</v>
      </c>
      <c r="D9895" s="380" t="s">
        <v>767</v>
      </c>
      <c r="E9895" s="380" t="s">
        <v>786</v>
      </c>
      <c r="F9895" s="380" t="s">
        <v>792</v>
      </c>
      <c r="G9895" s="380" t="s">
        <v>1267</v>
      </c>
      <c r="H9895" s="380" t="s">
        <v>771</v>
      </c>
      <c r="I9895" s="380" t="s">
        <v>788</v>
      </c>
      <c r="J9895" s="380" t="s">
        <v>773</v>
      </c>
      <c r="K9895" s="381">
        <v>0.0</v>
      </c>
      <c r="L9895" s="382">
        <v>1.0</v>
      </c>
    </row>
    <row r="9896">
      <c r="A9896" s="380" t="s">
        <v>10770</v>
      </c>
      <c r="B9896" s="380" t="str">
        <f>IFERROR(__xludf.DUMMYFUNCTION("""COMPUTED_VALUE"""),"Sincronismo 3-4 CJ FT 1039 7705946204491")</f>
        <v>Sincronismo 3-4 CJ FT 1039 7705946204491</v>
      </c>
      <c r="C9896" s="380" t="str">
        <f>IFERROR(__xludf.DUMMYFUNCTION("""COMPUTED_VALUE"""),"70005317")</f>
        <v>70005317</v>
      </c>
      <c r="D9896" s="380" t="s">
        <v>767</v>
      </c>
      <c r="E9896" s="380" t="s">
        <v>786</v>
      </c>
      <c r="F9896" s="380" t="s">
        <v>928</v>
      </c>
      <c r="G9896" s="380" t="s">
        <v>1267</v>
      </c>
      <c r="H9896" s="380" t="s">
        <v>771</v>
      </c>
      <c r="I9896" s="380" t="s">
        <v>788</v>
      </c>
      <c r="J9896" s="380" t="s">
        <v>773</v>
      </c>
      <c r="K9896" s="381">
        <v>0.0</v>
      </c>
      <c r="L9896" s="382">
        <v>1.0</v>
      </c>
    </row>
    <row r="9897">
      <c r="A9897" s="380" t="s">
        <v>10771</v>
      </c>
      <c r="B9897" s="380" t="str">
        <f>IFERROR(__xludf.DUMMYFUNCTION("""COMPUTED_VALUE"""),"Rodamiento Piñon De 5ta FT 1039 77010235")</f>
        <v>Rodamiento Piñon De 5ta FT 1039 77010235</v>
      </c>
      <c r="C9897" s="380" t="str">
        <f>IFERROR(__xludf.DUMMYFUNCTION("""COMPUTED_VALUE"""),"70005318")</f>
        <v>70005318</v>
      </c>
      <c r="D9897" s="380" t="s">
        <v>767</v>
      </c>
      <c r="E9897" s="380" t="s">
        <v>786</v>
      </c>
      <c r="F9897" s="380" t="s">
        <v>928</v>
      </c>
      <c r="G9897" s="380" t="s">
        <v>1267</v>
      </c>
      <c r="H9897" s="380" t="s">
        <v>771</v>
      </c>
      <c r="I9897" s="380" t="s">
        <v>788</v>
      </c>
      <c r="J9897" s="380" t="s">
        <v>773</v>
      </c>
      <c r="K9897" s="381">
        <v>0.0</v>
      </c>
      <c r="L9897" s="382">
        <v>1.0</v>
      </c>
    </row>
    <row r="9898">
      <c r="A9898" s="380" t="s">
        <v>10772</v>
      </c>
      <c r="B9898" s="380" t="str">
        <f>IFERROR(__xludf.DUMMYFUNCTION("""COMPUTED_VALUE"""),"Pasador Piñon Loco Reversa Jac Jhr-J1701")</f>
        <v>Pasador Piñon Loco Reversa Jac Jhr-J1701</v>
      </c>
      <c r="C9898" s="380" t="str">
        <f>IFERROR(__xludf.DUMMYFUNCTION("""COMPUTED_VALUE"""),"70005319")</f>
        <v>70005319</v>
      </c>
      <c r="D9898" s="380" t="s">
        <v>767</v>
      </c>
      <c r="E9898" s="380" t="s">
        <v>786</v>
      </c>
      <c r="F9898" s="380" t="s">
        <v>928</v>
      </c>
      <c r="G9898" s="380" t="s">
        <v>1267</v>
      </c>
      <c r="H9898" s="380" t="s">
        <v>771</v>
      </c>
      <c r="I9898" s="380" t="s">
        <v>788</v>
      </c>
      <c r="J9898" s="380" t="s">
        <v>773</v>
      </c>
      <c r="K9898" s="381">
        <v>0.0</v>
      </c>
      <c r="L9898" s="382">
        <v>1.0</v>
      </c>
    </row>
    <row r="9899">
      <c r="A9899" s="380" t="s">
        <v>10773</v>
      </c>
      <c r="B9899" s="380" t="str">
        <f>IFERROR(__xludf.DUMMYFUNCTION("""COMPUTED_VALUE"""),"Rodillo De Agujas Piñon Loco Reversa Jac")</f>
        <v>Rodillo De Agujas Piñon Loco Reversa Jac</v>
      </c>
      <c r="C9899" s="380" t="str">
        <f>IFERROR(__xludf.DUMMYFUNCTION("""COMPUTED_VALUE"""),"70005320")</f>
        <v>70005320</v>
      </c>
      <c r="D9899" s="380" t="s">
        <v>767</v>
      </c>
      <c r="E9899" s="380" t="s">
        <v>786</v>
      </c>
      <c r="F9899" s="380" t="s">
        <v>928</v>
      </c>
      <c r="G9899" s="380" t="s">
        <v>1267</v>
      </c>
      <c r="H9899" s="380" t="s">
        <v>771</v>
      </c>
      <c r="I9899" s="380" t="s">
        <v>788</v>
      </c>
      <c r="J9899" s="380" t="s">
        <v>773</v>
      </c>
      <c r="K9899" s="381">
        <v>0.0</v>
      </c>
      <c r="L9899" s="382">
        <v>1.0</v>
      </c>
    </row>
    <row r="9900">
      <c r="A9900" s="380" t="s">
        <v>10774</v>
      </c>
      <c r="B9900" s="380" t="str">
        <f>IFERROR(__xludf.DUMMYFUNCTION("""COMPUTED_VALUE"""),"MANG Carcasa Admision CH Frr 8980106434")</f>
        <v>MANG Carcasa Admision CH Frr 8980106434</v>
      </c>
      <c r="C9900" s="380" t="str">
        <f>IFERROR(__xludf.DUMMYFUNCTION("""COMPUTED_VALUE"""),"70005321")</f>
        <v>70005321</v>
      </c>
      <c r="D9900" s="380" t="s">
        <v>767</v>
      </c>
      <c r="E9900" s="380" t="s">
        <v>786</v>
      </c>
      <c r="F9900" s="380" t="s">
        <v>787</v>
      </c>
      <c r="G9900" s="380" t="s">
        <v>1267</v>
      </c>
      <c r="H9900" s="380" t="s">
        <v>771</v>
      </c>
      <c r="I9900" s="380" t="s">
        <v>788</v>
      </c>
      <c r="J9900" s="380" t="s">
        <v>773</v>
      </c>
      <c r="K9900" s="381">
        <v>0.0</v>
      </c>
      <c r="L9900" s="382">
        <v>1.0</v>
      </c>
    </row>
    <row r="9901">
      <c r="A9901" s="380" t="s">
        <v>10775</v>
      </c>
      <c r="B9901" s="380" t="str">
        <f>IFERROR(__xludf.DUMMYFUNCTION("""COMPUTED_VALUE"""),"Tapa Combustible Foton Mv5 7705946027403")</f>
        <v>Tapa Combustible Foton Mv5 7705946027403</v>
      </c>
      <c r="C9901" s="380" t="str">
        <f>IFERROR(__xludf.DUMMYFUNCTION("""COMPUTED_VALUE"""),"70005322")</f>
        <v>70005322</v>
      </c>
      <c r="D9901" s="380" t="s">
        <v>767</v>
      </c>
      <c r="E9901" s="380" t="s">
        <v>786</v>
      </c>
      <c r="F9901" s="380" t="s">
        <v>792</v>
      </c>
      <c r="G9901" s="380" t="s">
        <v>1267</v>
      </c>
      <c r="H9901" s="380" t="s">
        <v>771</v>
      </c>
      <c r="I9901" s="380" t="s">
        <v>788</v>
      </c>
      <c r="J9901" s="380" t="s">
        <v>773</v>
      </c>
      <c r="K9901" s="381">
        <v>0.0</v>
      </c>
      <c r="L9901" s="382">
        <v>1.0</v>
      </c>
    </row>
    <row r="9902">
      <c r="A9902" s="380" t="s">
        <v>10776</v>
      </c>
      <c r="B9902" s="380" t="str">
        <f>IFERROR(__xludf.DUMMYFUNCTION("""COMPUTED_VALUE"""),"Asiento Muelle Trasero Suspension Has 50")</f>
        <v>Asiento Muelle Trasero Suspension Has 50</v>
      </c>
      <c r="C9902" s="380" t="str">
        <f>IFERROR(__xludf.DUMMYFUNCTION("""COMPUTED_VALUE"""),"70005323")</f>
        <v>70005323</v>
      </c>
      <c r="D9902" s="380" t="s">
        <v>767</v>
      </c>
      <c r="E9902" s="380" t="s">
        <v>786</v>
      </c>
      <c r="F9902" s="380" t="s">
        <v>1039</v>
      </c>
      <c r="G9902" s="380" t="s">
        <v>1267</v>
      </c>
      <c r="H9902" s="380" t="s">
        <v>771</v>
      </c>
      <c r="I9902" s="380" t="s">
        <v>788</v>
      </c>
      <c r="J9902" s="380" t="s">
        <v>773</v>
      </c>
      <c r="K9902" s="381">
        <v>0.0</v>
      </c>
      <c r="L9902" s="382">
        <v>1.0</v>
      </c>
    </row>
    <row r="9903">
      <c r="A9903" s="380" t="s">
        <v>10777</v>
      </c>
      <c r="B9903" s="380" t="str">
        <f>IFERROR(__xludf.DUMMYFUNCTION("""COMPUTED_VALUE"""),"MANG Entra-Válvula Calefac Mv5 770102349")</f>
        <v>MANG Entra-Válvula Calefac Mv5 770102349</v>
      </c>
      <c r="C9903" s="380" t="str">
        <f>IFERROR(__xludf.DUMMYFUNCTION("""COMPUTED_VALUE"""),"70005324")</f>
        <v>70005324</v>
      </c>
      <c r="D9903" s="380" t="s">
        <v>767</v>
      </c>
      <c r="E9903" s="380" t="s">
        <v>786</v>
      </c>
      <c r="F9903" s="380" t="s">
        <v>787</v>
      </c>
      <c r="G9903" s="380" t="s">
        <v>1267</v>
      </c>
      <c r="H9903" s="380" t="s">
        <v>771</v>
      </c>
      <c r="I9903" s="380" t="s">
        <v>788</v>
      </c>
      <c r="J9903" s="380" t="s">
        <v>773</v>
      </c>
      <c r="K9903" s="381">
        <v>0.0</v>
      </c>
      <c r="L9903" s="382">
        <v>1.0</v>
      </c>
    </row>
    <row r="9904">
      <c r="A9904" s="380" t="s">
        <v>10778</v>
      </c>
      <c r="B9904" s="380" t="str">
        <f>IFERROR(__xludf.DUMMYFUNCTION("""COMPUTED_VALUE"""),"Conjunto Perno RDA Del FT 1039 770594625")</f>
        <v>Conjunto Perno RDA Del FT 1039 770594625</v>
      </c>
      <c r="C9904" s="380" t="str">
        <f>IFERROR(__xludf.DUMMYFUNCTION("""COMPUTED_VALUE"""),"70005325")</f>
        <v>70005325</v>
      </c>
      <c r="D9904" s="380" t="s">
        <v>767</v>
      </c>
      <c r="E9904" s="380" t="s">
        <v>786</v>
      </c>
      <c r="F9904" s="380" t="s">
        <v>1039</v>
      </c>
      <c r="G9904" s="380" t="s">
        <v>1267</v>
      </c>
      <c r="H9904" s="380" t="s">
        <v>771</v>
      </c>
      <c r="I9904" s="380" t="s">
        <v>788</v>
      </c>
      <c r="J9904" s="380" t="s">
        <v>773</v>
      </c>
      <c r="K9904" s="381">
        <v>20427.0</v>
      </c>
      <c r="L9904" s="382">
        <v>1.0</v>
      </c>
    </row>
    <row r="9905">
      <c r="A9905" s="380" t="s">
        <v>10779</v>
      </c>
      <c r="B9905" s="380" t="str">
        <f>IFERROR(__xludf.DUMMYFUNCTION("""COMPUTED_VALUE"""),"Exploradora Led Rectangular 5"" 45w 5rec-")</f>
        <v>Exploradora Led Rectangular 5" 45w 5rec-</v>
      </c>
      <c r="C9905" s="380" t="str">
        <f>IFERROR(__xludf.DUMMYFUNCTION("""COMPUTED_VALUE"""),"70005326")</f>
        <v>70005326</v>
      </c>
      <c r="D9905" s="380" t="s">
        <v>767</v>
      </c>
      <c r="E9905" s="380" t="s">
        <v>786</v>
      </c>
      <c r="F9905" s="380" t="s">
        <v>998</v>
      </c>
      <c r="G9905" s="380" t="s">
        <v>1267</v>
      </c>
      <c r="H9905" s="380" t="s">
        <v>771</v>
      </c>
      <c r="I9905" s="380" t="s">
        <v>788</v>
      </c>
      <c r="J9905" s="380" t="s">
        <v>773</v>
      </c>
      <c r="K9905" s="381">
        <v>91035.0</v>
      </c>
      <c r="L9905" s="382">
        <v>1.0</v>
      </c>
    </row>
    <row r="9906">
      <c r="A9906" s="380" t="s">
        <v>10780</v>
      </c>
      <c r="B9906" s="380" t="str">
        <f>IFERROR(__xludf.DUMMYFUNCTION("""COMPUTED_VALUE"""),"SENS Nivel Aceite Carter Dafcf480 212583")</f>
        <v>SENS Nivel Aceite Carter Dafcf480 212583</v>
      </c>
      <c r="C9906" s="380" t="str">
        <f>IFERROR(__xludf.DUMMYFUNCTION("""COMPUTED_VALUE"""),"70005327")</f>
        <v>70005327</v>
      </c>
      <c r="D9906" s="380" t="s">
        <v>767</v>
      </c>
      <c r="E9906" s="380" t="s">
        <v>786</v>
      </c>
      <c r="F9906" s="380" t="s">
        <v>998</v>
      </c>
      <c r="G9906" s="380" t="s">
        <v>1267</v>
      </c>
      <c r="H9906" s="380" t="s">
        <v>771</v>
      </c>
      <c r="I9906" s="380" t="s">
        <v>788</v>
      </c>
      <c r="J9906" s="380" t="s">
        <v>773</v>
      </c>
      <c r="K9906" s="381">
        <v>0.0</v>
      </c>
      <c r="L9906" s="382">
        <v>1.0</v>
      </c>
    </row>
    <row r="9907">
      <c r="A9907" s="380" t="s">
        <v>10781</v>
      </c>
      <c r="B9907" s="380" t="str">
        <f>IFERROR(__xludf.DUMMYFUNCTION("""COMPUTED_VALUE"""),"Conector Db-26 Macho Cubierta De Plástic")</f>
        <v>Conector Db-26 Macho Cubierta De Plástic</v>
      </c>
      <c r="C9907" s="380" t="str">
        <f>IFERROR(__xludf.DUMMYFUNCTION("""COMPUTED_VALUE"""),"70005328")</f>
        <v>70005328</v>
      </c>
      <c r="D9907" s="380" t="s">
        <v>767</v>
      </c>
      <c r="E9907" s="380" t="s">
        <v>786</v>
      </c>
      <c r="F9907" s="380" t="s">
        <v>998</v>
      </c>
      <c r="G9907" s="380" t="s">
        <v>1267</v>
      </c>
      <c r="H9907" s="380" t="s">
        <v>771</v>
      </c>
      <c r="I9907" s="380" t="s">
        <v>788</v>
      </c>
      <c r="J9907" s="380" t="s">
        <v>773</v>
      </c>
      <c r="K9907" s="381">
        <v>38913.0</v>
      </c>
      <c r="L9907" s="382">
        <v>1.0</v>
      </c>
    </row>
    <row r="9908">
      <c r="A9908" s="380" t="s">
        <v>10782</v>
      </c>
      <c r="B9908" s="380" t="str">
        <f>IFERROR(__xludf.DUMMYFUNCTION("""COMPUTED_VALUE"""),"Camisa CIL MOT FT 1065 7701023509084")</f>
        <v>Camisa CIL MOT FT 1065 7701023509084</v>
      </c>
      <c r="C9908" s="380" t="str">
        <f>IFERROR(__xludf.DUMMYFUNCTION("""COMPUTED_VALUE"""),"70005329")</f>
        <v>70005329</v>
      </c>
      <c r="D9908" s="380" t="s">
        <v>767</v>
      </c>
      <c r="E9908" s="380" t="s">
        <v>786</v>
      </c>
      <c r="F9908" s="380" t="s">
        <v>787</v>
      </c>
      <c r="G9908" s="380" t="s">
        <v>1267</v>
      </c>
      <c r="H9908" s="380" t="s">
        <v>771</v>
      </c>
      <c r="I9908" s="380" t="s">
        <v>788</v>
      </c>
      <c r="J9908" s="380" t="s">
        <v>773</v>
      </c>
      <c r="K9908" s="381">
        <v>0.0</v>
      </c>
      <c r="L9908" s="382">
        <v>1.0</v>
      </c>
    </row>
    <row r="9909">
      <c r="A9909" s="380" t="s">
        <v>10783</v>
      </c>
      <c r="B9909" s="380" t="str">
        <f>IFERROR(__xludf.DUMMYFUNCTION("""COMPUTED_VALUE"""),"SOP Guia IZQ Capot KW T660 L11-1380")</f>
        <v>SOP Guia IZQ Capot KW T660 L11-1380</v>
      </c>
      <c r="C9909" s="380" t="str">
        <f>IFERROR(__xludf.DUMMYFUNCTION("""COMPUTED_VALUE"""),"70005330")</f>
        <v>70005330</v>
      </c>
      <c r="D9909" s="380" t="s">
        <v>767</v>
      </c>
      <c r="E9909" s="380" t="s">
        <v>786</v>
      </c>
      <c r="F9909" s="380" t="s">
        <v>792</v>
      </c>
      <c r="G9909" s="380" t="s">
        <v>1267</v>
      </c>
      <c r="H9909" s="380" t="s">
        <v>771</v>
      </c>
      <c r="I9909" s="380" t="s">
        <v>788</v>
      </c>
      <c r="J9909" s="380" t="s">
        <v>773</v>
      </c>
      <c r="K9909" s="381">
        <v>0.0</v>
      </c>
      <c r="L9909" s="382">
        <v>1.0</v>
      </c>
    </row>
    <row r="9910">
      <c r="A9910" s="380" t="s">
        <v>10784</v>
      </c>
      <c r="B9910" s="380" t="str">
        <f>IFERROR(__xludf.DUMMYFUNCTION("""COMPUTED_VALUE"""),"Campana Freno TRAS FT 1128 7705946778893")</f>
        <v>Campana Freno TRAS FT 1128 7705946778893</v>
      </c>
      <c r="C9910" s="380" t="str">
        <f>IFERROR(__xludf.DUMMYFUNCTION("""COMPUTED_VALUE"""),"70005331")</f>
        <v>70005331</v>
      </c>
      <c r="D9910" s="380" t="s">
        <v>767</v>
      </c>
      <c r="E9910" s="380" t="s">
        <v>786</v>
      </c>
      <c r="F9910" s="380" t="s">
        <v>1017</v>
      </c>
      <c r="G9910" s="380" t="s">
        <v>1267</v>
      </c>
      <c r="H9910" s="380" t="s">
        <v>771</v>
      </c>
      <c r="I9910" s="380" t="s">
        <v>788</v>
      </c>
      <c r="J9910" s="380" t="s">
        <v>773</v>
      </c>
      <c r="K9910" s="381">
        <v>262720.0</v>
      </c>
      <c r="L9910" s="382">
        <v>1.0</v>
      </c>
    </row>
    <row r="9911">
      <c r="A9911" s="380" t="s">
        <v>10785</v>
      </c>
      <c r="B9911" s="380" t="str">
        <f>IFERROR(__xludf.DUMMYFUNCTION("""COMPUTED_VALUE"""),"Bomper INT Lt Completo Con SOPs 4169765c")</f>
        <v>Bomper INT Lt Completo Con SOPs 4169765c</v>
      </c>
      <c r="C9911" s="380" t="str">
        <f>IFERROR(__xludf.DUMMYFUNCTION("""COMPUTED_VALUE"""),"70005332")</f>
        <v>70005332</v>
      </c>
      <c r="D9911" s="380" t="s">
        <v>767</v>
      </c>
      <c r="E9911" s="380" t="s">
        <v>786</v>
      </c>
      <c r="F9911" s="380" t="s">
        <v>792</v>
      </c>
      <c r="G9911" s="380" t="s">
        <v>1267</v>
      </c>
      <c r="H9911" s="380" t="s">
        <v>771</v>
      </c>
      <c r="I9911" s="380" t="s">
        <v>788</v>
      </c>
      <c r="J9911" s="380" t="s">
        <v>773</v>
      </c>
      <c r="K9911" s="381">
        <v>0.0</v>
      </c>
      <c r="L9911" s="382">
        <v>1.0</v>
      </c>
    </row>
    <row r="9912">
      <c r="A9912" s="380" t="s">
        <v>10786</v>
      </c>
      <c r="B9912" s="380" t="str">
        <f>IFERROR(__xludf.DUMMYFUNCTION("""COMPUTED_VALUE"""),"Kit Reparacion CJ De DIR Daf Cf480 23540")</f>
        <v>Kit Reparacion CJ De DIR Daf Cf480 23540</v>
      </c>
      <c r="C9912" s="380" t="str">
        <f>IFERROR(__xludf.DUMMYFUNCTION("""COMPUTED_VALUE"""),"70005333")</f>
        <v>70005333</v>
      </c>
      <c r="D9912" s="380" t="s">
        <v>767</v>
      </c>
      <c r="E9912" s="380" t="s">
        <v>786</v>
      </c>
      <c r="F9912" s="380" t="s">
        <v>1020</v>
      </c>
      <c r="G9912" s="380" t="s">
        <v>1267</v>
      </c>
      <c r="H9912" s="380" t="s">
        <v>771</v>
      </c>
      <c r="I9912" s="380" t="s">
        <v>788</v>
      </c>
      <c r="J9912" s="380" t="s">
        <v>773</v>
      </c>
      <c r="K9912" s="381">
        <v>0.0</v>
      </c>
      <c r="L9912" s="382">
        <v>1.0</v>
      </c>
    </row>
    <row r="9913">
      <c r="A9913" s="380" t="s">
        <v>10787</v>
      </c>
      <c r="B9913" s="380" t="str">
        <f>IFERROR(__xludf.DUMMYFUNCTION("""COMPUTED_VALUE"""),"Manija INTna PTA Der FT Minitruck-770014")</f>
        <v>Manija INTna PTA Der FT Minitruck-770014</v>
      </c>
      <c r="C9913" s="380" t="str">
        <f>IFERROR(__xludf.DUMMYFUNCTION("""COMPUTED_VALUE"""),"70005334")</f>
        <v>70005334</v>
      </c>
      <c r="D9913" s="380" t="s">
        <v>767</v>
      </c>
      <c r="E9913" s="380" t="s">
        <v>786</v>
      </c>
      <c r="F9913" s="380" t="s">
        <v>792</v>
      </c>
      <c r="G9913" s="380" t="s">
        <v>1267</v>
      </c>
      <c r="H9913" s="380" t="s">
        <v>771</v>
      </c>
      <c r="I9913" s="380" t="s">
        <v>788</v>
      </c>
      <c r="J9913" s="380" t="s">
        <v>773</v>
      </c>
      <c r="K9913" s="381">
        <v>0.0</v>
      </c>
      <c r="L9913" s="382">
        <v>1.0</v>
      </c>
    </row>
    <row r="9914">
      <c r="A9914" s="380" t="s">
        <v>10788</v>
      </c>
      <c r="B9914" s="380" t="str">
        <f>IFERROR(__xludf.DUMMYFUNCTION("""COMPUTED_VALUE"""),"Bloque De Cambios FT Mv5 7701023485012")</f>
        <v>Bloque De Cambios FT Mv5 7701023485012</v>
      </c>
      <c r="C9914" s="380" t="str">
        <f>IFERROR(__xludf.DUMMYFUNCTION("""COMPUTED_VALUE"""),"70005335")</f>
        <v>70005335</v>
      </c>
      <c r="D9914" s="380" t="s">
        <v>767</v>
      </c>
      <c r="E9914" s="380" t="s">
        <v>786</v>
      </c>
      <c r="F9914" s="380" t="s">
        <v>928</v>
      </c>
      <c r="G9914" s="380" t="s">
        <v>1267</v>
      </c>
      <c r="H9914" s="380" t="s">
        <v>771</v>
      </c>
      <c r="I9914" s="380" t="s">
        <v>788</v>
      </c>
      <c r="J9914" s="380" t="s">
        <v>773</v>
      </c>
      <c r="K9914" s="381">
        <v>0.0</v>
      </c>
      <c r="L9914" s="382">
        <v>1.0</v>
      </c>
    </row>
    <row r="9915">
      <c r="A9915" s="380" t="s">
        <v>10789</v>
      </c>
      <c r="B9915" s="380" t="str">
        <f>IFERROR(__xludf.DUMMYFUNCTION("""COMPUTED_VALUE"""),"Garra De Cambios Foton Mv5 7701023484947")</f>
        <v>Garra De Cambios Foton Mv5 7701023484947</v>
      </c>
      <c r="C9915" s="380" t="str">
        <f>IFERROR(__xludf.DUMMYFUNCTION("""COMPUTED_VALUE"""),"70005336")</f>
        <v>70005336</v>
      </c>
      <c r="D9915" s="380" t="s">
        <v>767</v>
      </c>
      <c r="E9915" s="380" t="s">
        <v>786</v>
      </c>
      <c r="F9915" s="380" t="s">
        <v>928</v>
      </c>
      <c r="G9915" s="380" t="s">
        <v>1267</v>
      </c>
      <c r="H9915" s="380" t="s">
        <v>771</v>
      </c>
      <c r="I9915" s="380" t="s">
        <v>788</v>
      </c>
      <c r="J9915" s="380" t="s">
        <v>773</v>
      </c>
      <c r="K9915" s="381">
        <v>0.0</v>
      </c>
      <c r="L9915" s="382">
        <v>1.0</v>
      </c>
    </row>
    <row r="9916">
      <c r="A9916" s="380" t="s">
        <v>10790</v>
      </c>
      <c r="B9916" s="380" t="str">
        <f>IFERROR(__xludf.DUMMYFUNCTION("""COMPUTED_VALUE"""),"Conjunto Perno RDA Del FT 1065 770594668")</f>
        <v>Conjunto Perno RDA Del FT 1065 770594668</v>
      </c>
      <c r="C9916" s="380" t="str">
        <f>IFERROR(__xludf.DUMMYFUNCTION("""COMPUTED_VALUE"""),"70005337")</f>
        <v>70005337</v>
      </c>
      <c r="D9916" s="380" t="s">
        <v>767</v>
      </c>
      <c r="E9916" s="380" t="s">
        <v>786</v>
      </c>
      <c r="F9916" s="380" t="s">
        <v>1039</v>
      </c>
      <c r="G9916" s="380" t="s">
        <v>1267</v>
      </c>
      <c r="H9916" s="380" t="s">
        <v>771</v>
      </c>
      <c r="I9916" s="380" t="s">
        <v>788</v>
      </c>
      <c r="J9916" s="380" t="s">
        <v>773</v>
      </c>
      <c r="K9916" s="381">
        <v>71119.0</v>
      </c>
      <c r="L9916" s="382">
        <v>1.0</v>
      </c>
    </row>
    <row r="9917">
      <c r="A9917" s="380" t="s">
        <v>10791</v>
      </c>
      <c r="B9917" s="380" t="str">
        <f>IFERROR(__xludf.DUMMYFUNCTION("""COMPUTED_VALUE"""),"Escuadra INF Chasis KW T800 K1402465")</f>
        <v>Escuadra INF Chasis KW T800 K1402465</v>
      </c>
      <c r="C9917" s="380" t="str">
        <f>IFERROR(__xludf.DUMMYFUNCTION("""COMPUTED_VALUE"""),"70005338")</f>
        <v>70005338</v>
      </c>
      <c r="D9917" s="380" t="s">
        <v>767</v>
      </c>
      <c r="E9917" s="380" t="s">
        <v>786</v>
      </c>
      <c r="F9917" s="380" t="s">
        <v>792</v>
      </c>
      <c r="G9917" s="380" t="s">
        <v>1267</v>
      </c>
      <c r="H9917" s="380" t="s">
        <v>771</v>
      </c>
      <c r="I9917" s="380" t="s">
        <v>788</v>
      </c>
      <c r="J9917" s="380" t="s">
        <v>773</v>
      </c>
      <c r="K9917" s="381">
        <v>0.0</v>
      </c>
      <c r="L9917" s="382">
        <v>1.0</v>
      </c>
    </row>
    <row r="9918">
      <c r="A9918" s="380" t="s">
        <v>10792</v>
      </c>
      <c r="B9918" s="380" t="str">
        <f>IFERROR(__xludf.DUMMYFUNCTION("""COMPUTED_VALUE"""),"Arnes De Motor Jac 1120 5319319")</f>
        <v>Arnes De Motor Jac 1120 5319319</v>
      </c>
      <c r="C9918" s="380" t="str">
        <f>IFERROR(__xludf.DUMMYFUNCTION("""COMPUTED_VALUE"""),"70005339")</f>
        <v>70005339</v>
      </c>
      <c r="D9918" s="380" t="s">
        <v>767</v>
      </c>
      <c r="E9918" s="380" t="s">
        <v>786</v>
      </c>
      <c r="F9918" s="380" t="s">
        <v>998</v>
      </c>
      <c r="G9918" s="380" t="s">
        <v>1267</v>
      </c>
      <c r="H9918" s="380" t="s">
        <v>771</v>
      </c>
      <c r="I9918" s="380" t="s">
        <v>788</v>
      </c>
      <c r="J9918" s="380" t="s">
        <v>773</v>
      </c>
      <c r="K9918" s="381">
        <v>0.0</v>
      </c>
      <c r="L9918" s="382">
        <v>1.0</v>
      </c>
    </row>
    <row r="9919">
      <c r="A9919" s="380" t="s">
        <v>10793</v>
      </c>
      <c r="B9919" s="380" t="str">
        <f>IFERROR(__xludf.DUMMYFUNCTION("""COMPUTED_VALUE"""),"Logo Persiana Foton Mv5- 7701023487931")</f>
        <v>Logo Persiana Foton Mv5- 7701023487931</v>
      </c>
      <c r="C9919" s="380" t="str">
        <f>IFERROR(__xludf.DUMMYFUNCTION("""COMPUTED_VALUE"""),"70005340")</f>
        <v>70005340</v>
      </c>
      <c r="D9919" s="380" t="s">
        <v>767</v>
      </c>
      <c r="E9919" s="380" t="s">
        <v>786</v>
      </c>
      <c r="F9919" s="380" t="s">
        <v>792</v>
      </c>
      <c r="G9919" s="380" t="s">
        <v>1267</v>
      </c>
      <c r="H9919" s="380" t="s">
        <v>771</v>
      </c>
      <c r="I9919" s="380" t="s">
        <v>788</v>
      </c>
      <c r="J9919" s="380" t="s">
        <v>773</v>
      </c>
      <c r="K9919" s="381">
        <v>0.0</v>
      </c>
      <c r="L9919" s="382">
        <v>1.0</v>
      </c>
    </row>
    <row r="9920">
      <c r="A9920" s="380" t="s">
        <v>10794</v>
      </c>
      <c r="B9920" s="380" t="str">
        <f>IFERROR(__xludf.DUMMYFUNCTION("""COMPUTED_VALUE"""),"Caja Direccion Foton Mv5 7705946328234")</f>
        <v>Caja Direccion Foton Mv5 7705946328234</v>
      </c>
      <c r="C9920" s="380" t="str">
        <f>IFERROR(__xludf.DUMMYFUNCTION("""COMPUTED_VALUE"""),"70005341")</f>
        <v>70005341</v>
      </c>
      <c r="D9920" s="380" t="s">
        <v>767</v>
      </c>
      <c r="E9920" s="380" t="s">
        <v>786</v>
      </c>
      <c r="F9920" s="380" t="s">
        <v>1020</v>
      </c>
      <c r="G9920" s="380" t="s">
        <v>1267</v>
      </c>
      <c r="H9920" s="380" t="s">
        <v>771</v>
      </c>
      <c r="I9920" s="380" t="s">
        <v>788</v>
      </c>
      <c r="J9920" s="380" t="s">
        <v>773</v>
      </c>
      <c r="K9920" s="381">
        <v>0.0</v>
      </c>
      <c r="L9920" s="382">
        <v>1.0</v>
      </c>
    </row>
    <row r="9921">
      <c r="A9921" s="380" t="s">
        <v>10795</v>
      </c>
      <c r="B9921" s="380" t="str">
        <f>IFERROR(__xludf.DUMMYFUNCTION("""COMPUTED_VALUE"""),"Cruceta Cardan Jac Jhr Zw0008")</f>
        <v>Cruceta Cardan Jac Jhr Zw0008</v>
      </c>
      <c r="C9921" s="380" t="str">
        <f>IFERROR(__xludf.DUMMYFUNCTION("""COMPUTED_VALUE"""),"70005342")</f>
        <v>70005342</v>
      </c>
      <c r="D9921" s="380" t="s">
        <v>767</v>
      </c>
      <c r="E9921" s="380" t="s">
        <v>786</v>
      </c>
      <c r="F9921" s="380" t="s">
        <v>5683</v>
      </c>
      <c r="G9921" s="380" t="s">
        <v>1267</v>
      </c>
      <c r="H9921" s="380" t="s">
        <v>771</v>
      </c>
      <c r="I9921" s="380" t="s">
        <v>788</v>
      </c>
      <c r="J9921" s="380" t="s">
        <v>773</v>
      </c>
      <c r="K9921" s="381">
        <v>0.0</v>
      </c>
      <c r="L9921" s="382">
        <v>1.0</v>
      </c>
    </row>
    <row r="9922">
      <c r="A9922" s="380" t="s">
        <v>10796</v>
      </c>
      <c r="B9922" s="380" t="str">
        <f>IFERROR(__xludf.DUMMYFUNCTION("""COMPUTED_VALUE"""),"Bujia De Precalentamiento FT 1039/1065 7")</f>
        <v>Bujia De Precalentamiento FT 1039/1065 7</v>
      </c>
      <c r="C9922" s="380" t="str">
        <f>IFERROR(__xludf.DUMMYFUNCTION("""COMPUTED_VALUE"""),"70005343")</f>
        <v>70005343</v>
      </c>
      <c r="D9922" s="380" t="s">
        <v>767</v>
      </c>
      <c r="E9922" s="380" t="s">
        <v>786</v>
      </c>
      <c r="F9922" s="380" t="s">
        <v>787</v>
      </c>
      <c r="G9922" s="380" t="s">
        <v>1267</v>
      </c>
      <c r="H9922" s="380" t="s">
        <v>771</v>
      </c>
      <c r="I9922" s="380" t="s">
        <v>788</v>
      </c>
      <c r="J9922" s="380" t="s">
        <v>773</v>
      </c>
      <c r="K9922" s="381">
        <v>0.0</v>
      </c>
      <c r="L9922" s="382">
        <v>1.0</v>
      </c>
    </row>
    <row r="9923">
      <c r="A9923" s="380" t="s">
        <v>10797</v>
      </c>
      <c r="B9923" s="380" t="str">
        <f>IFERROR(__xludf.DUMMYFUNCTION("""COMPUTED_VALUE"""),"SENS Velocidad RDA Daf Cf480 Ftt 1862600")</f>
        <v>SENS Velocidad RDA Daf Cf480 Ftt 1862600</v>
      </c>
      <c r="C9923" s="380" t="str">
        <f>IFERROR(__xludf.DUMMYFUNCTION("""COMPUTED_VALUE"""),"70005344")</f>
        <v>70005344</v>
      </c>
      <c r="D9923" s="380" t="s">
        <v>767</v>
      </c>
      <c r="E9923" s="380" t="s">
        <v>786</v>
      </c>
      <c r="F9923" s="380" t="s">
        <v>998</v>
      </c>
      <c r="G9923" s="380" t="s">
        <v>1267</v>
      </c>
      <c r="H9923" s="380" t="s">
        <v>771</v>
      </c>
      <c r="I9923" s="380" t="s">
        <v>788</v>
      </c>
      <c r="J9923" s="380" t="s">
        <v>773</v>
      </c>
      <c r="K9923" s="381">
        <v>0.0</v>
      </c>
      <c r="L9923" s="382">
        <v>1.0</v>
      </c>
    </row>
    <row r="9924">
      <c r="A9924" s="380" t="s">
        <v>10798</v>
      </c>
      <c r="B9924" s="380" t="str">
        <f>IFERROR(__xludf.DUMMYFUNCTION("""COMPUTED_VALUE"""),"Jgo Pastillas Traseras Toyota Prado 4466")</f>
        <v>Jgo Pastillas Traseras Toyota Prado 4466</v>
      </c>
      <c r="C9924" s="380" t="str">
        <f>IFERROR(__xludf.DUMMYFUNCTION("""COMPUTED_VALUE"""),"70005345")</f>
        <v>70005345</v>
      </c>
      <c r="D9924" s="380" t="s">
        <v>767</v>
      </c>
      <c r="E9924" s="380" t="s">
        <v>786</v>
      </c>
      <c r="F9924" s="380" t="s">
        <v>1017</v>
      </c>
      <c r="G9924" s="380" t="s">
        <v>1267</v>
      </c>
      <c r="H9924" s="380" t="s">
        <v>771</v>
      </c>
      <c r="I9924" s="380" t="s">
        <v>788</v>
      </c>
      <c r="J9924" s="380" t="s">
        <v>773</v>
      </c>
      <c r="K9924" s="381">
        <v>0.0</v>
      </c>
      <c r="L9924" s="382">
        <v>1.0</v>
      </c>
    </row>
    <row r="9925">
      <c r="A9925" s="380" t="s">
        <v>10799</v>
      </c>
      <c r="B9925" s="380" t="str">
        <f>IFERROR(__xludf.DUMMYFUNCTION("""COMPUTED_VALUE"""),"Jgo Pastillas DELs T Prado 4465")</f>
        <v>Jgo Pastillas DELs T Prado 4465</v>
      </c>
      <c r="C9925" s="380" t="str">
        <f>IFERROR(__xludf.DUMMYFUNCTION("""COMPUTED_VALUE"""),"70005346")</f>
        <v>70005346</v>
      </c>
      <c r="D9925" s="380" t="s">
        <v>767</v>
      </c>
      <c r="E9925" s="380" t="s">
        <v>786</v>
      </c>
      <c r="F9925" s="380" t="s">
        <v>1017</v>
      </c>
      <c r="G9925" s="380" t="s">
        <v>1267</v>
      </c>
      <c r="H9925" s="380" t="s">
        <v>771</v>
      </c>
      <c r="I9925" s="380" t="s">
        <v>788</v>
      </c>
      <c r="J9925" s="380" t="s">
        <v>773</v>
      </c>
      <c r="K9925" s="381">
        <v>0.0</v>
      </c>
      <c r="L9925" s="382">
        <v>1.0</v>
      </c>
    </row>
    <row r="9926">
      <c r="A9926" s="380" t="s">
        <v>10800</v>
      </c>
      <c r="B9926" s="380" t="str">
        <f>IFERROR(__xludf.DUMMYFUNCTION("""COMPUTED_VALUE"""),"Tuerca De Flanche CJ FT 1039 77010231642")</f>
        <v>Tuerca De Flanche CJ FT 1039 77010231642</v>
      </c>
      <c r="C9926" s="380" t="str">
        <f>IFERROR(__xludf.DUMMYFUNCTION("""COMPUTED_VALUE"""),"70005347")</f>
        <v>70005347</v>
      </c>
      <c r="D9926" s="380" t="s">
        <v>767</v>
      </c>
      <c r="E9926" s="380" t="s">
        <v>786</v>
      </c>
      <c r="F9926" s="380" t="s">
        <v>928</v>
      </c>
      <c r="G9926" s="380" t="s">
        <v>1267</v>
      </c>
      <c r="H9926" s="380" t="s">
        <v>771</v>
      </c>
      <c r="I9926" s="380" t="s">
        <v>788</v>
      </c>
      <c r="J9926" s="380" t="s">
        <v>773</v>
      </c>
      <c r="K9926" s="381">
        <v>0.0</v>
      </c>
      <c r="L9926" s="382">
        <v>1.0</v>
      </c>
    </row>
    <row r="9927">
      <c r="A9927" s="380" t="s">
        <v>10801</v>
      </c>
      <c r="B9927" s="380" t="str">
        <f>IFERROR(__xludf.DUMMYFUNCTION("""COMPUTED_VALUE"""),"Tornillo Base Bomba Agua Isx-X15 3914407")</f>
        <v>Tornillo Base Bomba Agua Isx-X15 3914407</v>
      </c>
      <c r="C9927" s="380" t="str">
        <f>IFERROR(__xludf.DUMMYFUNCTION("""COMPUTED_VALUE"""),"70005348")</f>
        <v>70005348</v>
      </c>
      <c r="D9927" s="380" t="s">
        <v>767</v>
      </c>
      <c r="E9927" s="380" t="s">
        <v>786</v>
      </c>
      <c r="F9927" s="380" t="s">
        <v>787</v>
      </c>
      <c r="G9927" s="380" t="s">
        <v>1267</v>
      </c>
      <c r="H9927" s="380" t="s">
        <v>771</v>
      </c>
      <c r="I9927" s="380" t="s">
        <v>788</v>
      </c>
      <c r="J9927" s="380" t="s">
        <v>773</v>
      </c>
      <c r="K9927" s="381">
        <v>0.0</v>
      </c>
      <c r="L9927" s="382">
        <v>1.0</v>
      </c>
    </row>
    <row r="9928">
      <c r="A9928" s="380" t="s">
        <v>10802</v>
      </c>
      <c r="B9928" s="380" t="str">
        <f>IFERROR(__xludf.DUMMYFUNCTION("""COMPUTED_VALUE"""),"Tornillo Espaciador Alternador Isx-X15 3")</f>
        <v>Tornillo Espaciador Alternador Isx-X15 3</v>
      </c>
      <c r="C9928" s="380" t="str">
        <f>IFERROR(__xludf.DUMMYFUNCTION("""COMPUTED_VALUE"""),"70005349")</f>
        <v>70005349</v>
      </c>
      <c r="D9928" s="380" t="s">
        <v>767</v>
      </c>
      <c r="E9928" s="380" t="s">
        <v>786</v>
      </c>
      <c r="F9928" s="380" t="s">
        <v>787</v>
      </c>
      <c r="G9928" s="380" t="s">
        <v>1267</v>
      </c>
      <c r="H9928" s="380" t="s">
        <v>771</v>
      </c>
      <c r="I9928" s="380" t="s">
        <v>788</v>
      </c>
      <c r="J9928" s="380" t="s">
        <v>773</v>
      </c>
      <c r="K9928" s="381">
        <v>0.0</v>
      </c>
      <c r="L9928" s="382">
        <v>1.0</v>
      </c>
    </row>
    <row r="9929">
      <c r="A9929" s="380" t="s">
        <v>10803</v>
      </c>
      <c r="B9929" s="380" t="str">
        <f>IFERROR(__xludf.DUMMYFUNCTION("""COMPUTED_VALUE"""),"Trapecio Limpiabrisas INT Lt 4055124c92")</f>
        <v>Trapecio Limpiabrisas INT Lt 4055124c92</v>
      </c>
      <c r="C9929" s="380" t="str">
        <f>IFERROR(__xludf.DUMMYFUNCTION("""COMPUTED_VALUE"""),"70005350")</f>
        <v>70005350</v>
      </c>
      <c r="D9929" s="380" t="s">
        <v>767</v>
      </c>
      <c r="E9929" s="380" t="s">
        <v>786</v>
      </c>
      <c r="F9929" s="380" t="s">
        <v>792</v>
      </c>
      <c r="G9929" s="380" t="s">
        <v>1267</v>
      </c>
      <c r="H9929" s="380" t="s">
        <v>771</v>
      </c>
      <c r="I9929" s="380" t="s">
        <v>788</v>
      </c>
      <c r="J9929" s="380" t="s">
        <v>773</v>
      </c>
      <c r="K9929" s="381">
        <v>0.0</v>
      </c>
      <c r="L9929" s="382">
        <v>1.0</v>
      </c>
    </row>
    <row r="9930">
      <c r="A9930" s="380" t="s">
        <v>10804</v>
      </c>
      <c r="B9930" s="380" t="str">
        <f>IFERROR(__xludf.DUMMYFUNCTION("""COMPUTED_VALUE"""),"SENS Posición Cigueñal X15 5594275/55942")</f>
        <v>SENS Posición Cigueñal X15 5594275/55942</v>
      </c>
      <c r="C9930" s="380" t="str">
        <f>IFERROR(__xludf.DUMMYFUNCTION("""COMPUTED_VALUE"""),"70005351")</f>
        <v>70005351</v>
      </c>
      <c r="D9930" s="380" t="s">
        <v>767</v>
      </c>
      <c r="E9930" s="380" t="s">
        <v>786</v>
      </c>
      <c r="F9930" s="380" t="s">
        <v>998</v>
      </c>
      <c r="G9930" s="380" t="s">
        <v>1267</v>
      </c>
      <c r="H9930" s="380" t="s">
        <v>771</v>
      </c>
      <c r="I9930" s="380" t="s">
        <v>788</v>
      </c>
      <c r="J9930" s="380" t="s">
        <v>773</v>
      </c>
      <c r="K9930" s="381">
        <v>0.0</v>
      </c>
      <c r="L9930" s="382">
        <v>1.0</v>
      </c>
    </row>
    <row r="9931">
      <c r="A9931" s="380" t="s">
        <v>10805</v>
      </c>
      <c r="B9931" s="380" t="str">
        <f>IFERROR(__xludf.DUMMYFUNCTION("""COMPUTED_VALUE"""),"SENS Posicion Arbol De Levas X15 5594276")</f>
        <v>SENS Posicion Arbol De Levas X15 5594276</v>
      </c>
      <c r="C9931" s="380" t="str">
        <f>IFERROR(__xludf.DUMMYFUNCTION("""COMPUTED_VALUE"""),"70005352")</f>
        <v>70005352</v>
      </c>
      <c r="D9931" s="380" t="s">
        <v>767</v>
      </c>
      <c r="E9931" s="380" t="s">
        <v>786</v>
      </c>
      <c r="F9931" s="380" t="s">
        <v>998</v>
      </c>
      <c r="G9931" s="380" t="s">
        <v>1267</v>
      </c>
      <c r="H9931" s="380" t="s">
        <v>771</v>
      </c>
      <c r="I9931" s="380" t="s">
        <v>788</v>
      </c>
      <c r="J9931" s="380" t="s">
        <v>773</v>
      </c>
      <c r="K9931" s="381">
        <v>0.0</v>
      </c>
      <c r="L9931" s="382">
        <v>1.0</v>
      </c>
    </row>
    <row r="9932">
      <c r="A9932" s="380" t="s">
        <v>10806</v>
      </c>
      <c r="B9932" s="380" t="str">
        <f>IFERROR(__xludf.DUMMYFUNCTION("""COMPUTED_VALUE"""),"Alternador 12 Volt 200 Amp INT Lt 610205")</f>
        <v>Alternador 12 Volt 200 Amp INT Lt 610205</v>
      </c>
      <c r="C9932" s="380" t="str">
        <f>IFERROR(__xludf.DUMMYFUNCTION("""COMPUTED_VALUE"""),"70005353")</f>
        <v>70005353</v>
      </c>
      <c r="D9932" s="380" t="s">
        <v>767</v>
      </c>
      <c r="E9932" s="380" t="s">
        <v>786</v>
      </c>
      <c r="F9932" s="380" t="s">
        <v>998</v>
      </c>
      <c r="G9932" s="380" t="s">
        <v>1267</v>
      </c>
      <c r="H9932" s="380" t="s">
        <v>771</v>
      </c>
      <c r="I9932" s="380" t="s">
        <v>788</v>
      </c>
      <c r="J9932" s="380" t="s">
        <v>773</v>
      </c>
      <c r="K9932" s="381">
        <v>0.0</v>
      </c>
      <c r="L9932" s="382">
        <v>1.0</v>
      </c>
    </row>
    <row r="9933">
      <c r="A9933" s="380" t="s">
        <v>10807</v>
      </c>
      <c r="B9933" s="380" t="str">
        <f>IFERROR(__xludf.DUMMYFUNCTION("""COMPUTED_VALUE"""),"Junta Piñon Engranaje Inyeccióx15 368555")</f>
        <v>Junta Piñon Engranaje Inyeccióx15 368555</v>
      </c>
      <c r="C9933" s="380" t="str">
        <f>IFERROR(__xludf.DUMMYFUNCTION("""COMPUTED_VALUE"""),"70005354")</f>
        <v>70005354</v>
      </c>
      <c r="D9933" s="380" t="s">
        <v>767</v>
      </c>
      <c r="E9933" s="380" t="s">
        <v>786</v>
      </c>
      <c r="F9933" s="380" t="s">
        <v>787</v>
      </c>
      <c r="G9933" s="380" t="s">
        <v>1267</v>
      </c>
      <c r="H9933" s="380" t="s">
        <v>771</v>
      </c>
      <c r="I9933" s="380" t="s">
        <v>788</v>
      </c>
      <c r="J9933" s="380" t="s">
        <v>773</v>
      </c>
      <c r="K9933" s="381">
        <v>0.0</v>
      </c>
      <c r="L9933" s="382">
        <v>1.0</v>
      </c>
    </row>
    <row r="9934">
      <c r="A9934" s="380" t="s">
        <v>10808</v>
      </c>
      <c r="B9934" s="380" t="str">
        <f>IFERROR(__xludf.DUMMYFUNCTION("""COMPUTED_VALUE"""),"Espejo Derecho Jac Jhr 8202110le094")</f>
        <v>Espejo Derecho Jac Jhr 8202110le094</v>
      </c>
      <c r="C9934" s="380" t="str">
        <f>IFERROR(__xludf.DUMMYFUNCTION("""COMPUTED_VALUE"""),"70005355")</f>
        <v>70005355</v>
      </c>
      <c r="D9934" s="380" t="s">
        <v>767</v>
      </c>
      <c r="E9934" s="380" t="s">
        <v>786</v>
      </c>
      <c r="F9934" s="380" t="s">
        <v>792</v>
      </c>
      <c r="G9934" s="380" t="s">
        <v>1267</v>
      </c>
      <c r="H9934" s="380" t="s">
        <v>771</v>
      </c>
      <c r="I9934" s="380" t="s">
        <v>788</v>
      </c>
      <c r="J9934" s="380" t="s">
        <v>773</v>
      </c>
      <c r="K9934" s="381">
        <v>221816.0</v>
      </c>
      <c r="L9934" s="382">
        <v>1.0</v>
      </c>
    </row>
    <row r="9935">
      <c r="A9935" s="380" t="s">
        <v>10809</v>
      </c>
      <c r="B9935" s="380" t="str">
        <f>IFERROR(__xludf.DUMMYFUNCTION("""COMPUTED_VALUE"""),"Manija ComPTA TRAS DFENG 11054595")</f>
        <v>Manija ComPTA TRAS DFENG 11054595</v>
      </c>
      <c r="C9935" s="380" t="str">
        <f>IFERROR(__xludf.DUMMYFUNCTION("""COMPUTED_VALUE"""),"70005356")</f>
        <v>70005356</v>
      </c>
      <c r="D9935" s="380" t="s">
        <v>767</v>
      </c>
      <c r="E9935" s="380" t="s">
        <v>786</v>
      </c>
      <c r="F9935" s="380" t="s">
        <v>792</v>
      </c>
      <c r="G9935" s="380" t="s">
        <v>1267</v>
      </c>
      <c r="H9935" s="380" t="s">
        <v>771</v>
      </c>
      <c r="I9935" s="380" t="s">
        <v>788</v>
      </c>
      <c r="J9935" s="380" t="s">
        <v>773</v>
      </c>
      <c r="K9935" s="381">
        <v>0.0</v>
      </c>
      <c r="L9935" s="382">
        <v>1.0</v>
      </c>
    </row>
    <row r="9936">
      <c r="A9936" s="380" t="s">
        <v>10810</v>
      </c>
      <c r="B9936" s="380" t="str">
        <f>IFERROR(__xludf.DUMMYFUNCTION("""COMPUTED_VALUE"""),"Carcasa MOT Frontal Distribucion X15 546")</f>
        <v>Carcasa MOT Frontal Distribucion X15 546</v>
      </c>
      <c r="C9936" s="380" t="str">
        <f>IFERROR(__xludf.DUMMYFUNCTION("""COMPUTED_VALUE"""),"70005357")</f>
        <v>70005357</v>
      </c>
      <c r="D9936" s="380" t="s">
        <v>767</v>
      </c>
      <c r="E9936" s="380" t="s">
        <v>786</v>
      </c>
      <c r="F9936" s="380" t="s">
        <v>787</v>
      </c>
      <c r="G9936" s="380" t="s">
        <v>1267</v>
      </c>
      <c r="H9936" s="380" t="s">
        <v>771</v>
      </c>
      <c r="I9936" s="380" t="s">
        <v>788</v>
      </c>
      <c r="J9936" s="380" t="s">
        <v>773</v>
      </c>
      <c r="K9936" s="381">
        <v>0.0</v>
      </c>
      <c r="L9936" s="382">
        <v>1.0</v>
      </c>
    </row>
    <row r="9937">
      <c r="A9937" s="380" t="s">
        <v>10811</v>
      </c>
      <c r="B9937" s="380" t="str">
        <f>IFERROR(__xludf.DUMMYFUNCTION("""COMPUTED_VALUE"""),"Tapón De La Cubierta De Engranajes X15 3")</f>
        <v>Tapón De La Cubierta De Engranajes X15 3</v>
      </c>
      <c r="C9937" s="380" t="str">
        <f>IFERROR(__xludf.DUMMYFUNCTION("""COMPUTED_VALUE"""),"70005358")</f>
        <v>70005358</v>
      </c>
      <c r="D9937" s="380" t="s">
        <v>767</v>
      </c>
      <c r="E9937" s="380" t="s">
        <v>786</v>
      </c>
      <c r="F9937" s="380" t="s">
        <v>787</v>
      </c>
      <c r="G9937" s="380" t="s">
        <v>1267</v>
      </c>
      <c r="H9937" s="380" t="s">
        <v>771</v>
      </c>
      <c r="I9937" s="380" t="s">
        <v>788</v>
      </c>
      <c r="J9937" s="380" t="s">
        <v>773</v>
      </c>
      <c r="K9937" s="381">
        <v>0.0</v>
      </c>
      <c r="L9937" s="382">
        <v>1.0</v>
      </c>
    </row>
    <row r="9938">
      <c r="A9938" s="380" t="s">
        <v>10812</v>
      </c>
      <c r="B9938" s="380" t="str">
        <f>IFERROR(__xludf.DUMMYFUNCTION("""COMPUTED_VALUE"""),"Varilla Horquilla EMB FT 1039 Fabricada")</f>
        <v>Varilla Horquilla EMB FT 1039 Fabricada</v>
      </c>
      <c r="C9938" s="380" t="str">
        <f>IFERROR(__xludf.DUMMYFUNCTION("""COMPUTED_VALUE"""),"70005359")</f>
        <v>70005359</v>
      </c>
      <c r="D9938" s="380" t="s">
        <v>767</v>
      </c>
      <c r="E9938" s="380" t="s">
        <v>786</v>
      </c>
      <c r="F9938" s="380" t="s">
        <v>928</v>
      </c>
      <c r="G9938" s="380" t="s">
        <v>1267</v>
      </c>
      <c r="H9938" s="380" t="s">
        <v>771</v>
      </c>
      <c r="I9938" s="380" t="s">
        <v>788</v>
      </c>
      <c r="J9938" s="380" t="s">
        <v>773</v>
      </c>
      <c r="K9938" s="381">
        <v>0.0</v>
      </c>
      <c r="L9938" s="382">
        <v>1.0</v>
      </c>
    </row>
    <row r="9939">
      <c r="A9939" s="380" t="s">
        <v>10813</v>
      </c>
      <c r="B9939" s="380" t="str">
        <f>IFERROR(__xludf.DUMMYFUNCTION("""COMPUTED_VALUE"""),"Hoja Resorte TRAS Principal Nhre 2208/1")</f>
        <v>Hoja Resorte TRAS Principal Nhre 2208/1</v>
      </c>
      <c r="C9939" s="380" t="str">
        <f>IFERROR(__xludf.DUMMYFUNCTION("""COMPUTED_VALUE"""),"70005360")</f>
        <v>70005360</v>
      </c>
      <c r="D9939" s="380" t="s">
        <v>767</v>
      </c>
      <c r="E9939" s="380" t="s">
        <v>786</v>
      </c>
      <c r="F9939" s="380" t="s">
        <v>1039</v>
      </c>
      <c r="G9939" s="380" t="s">
        <v>1267</v>
      </c>
      <c r="H9939" s="380" t="s">
        <v>771</v>
      </c>
      <c r="I9939" s="380" t="s">
        <v>788</v>
      </c>
      <c r="J9939" s="380" t="s">
        <v>773</v>
      </c>
      <c r="K9939" s="381">
        <v>0.0</v>
      </c>
      <c r="L9939" s="382">
        <v>1.0</v>
      </c>
    </row>
    <row r="9940">
      <c r="A9940" s="380" t="s">
        <v>10814</v>
      </c>
      <c r="B9940" s="380" t="str">
        <f>IFERROR(__xludf.DUMMYFUNCTION("""COMPUTED_VALUE"""),"Espaciador Alternador Isx-X15 3688049")</f>
        <v>Espaciador Alternador Isx-X15 3688049</v>
      </c>
      <c r="C9940" s="380" t="str">
        <f>IFERROR(__xludf.DUMMYFUNCTION("""COMPUTED_VALUE"""),"70005361")</f>
        <v>70005361</v>
      </c>
      <c r="D9940" s="380" t="s">
        <v>767</v>
      </c>
      <c r="E9940" s="380" t="s">
        <v>786</v>
      </c>
      <c r="F9940" s="380" t="s">
        <v>787</v>
      </c>
      <c r="G9940" s="380" t="s">
        <v>1267</v>
      </c>
      <c r="H9940" s="380" t="s">
        <v>771</v>
      </c>
      <c r="I9940" s="380" t="s">
        <v>788</v>
      </c>
      <c r="J9940" s="380" t="s">
        <v>773</v>
      </c>
      <c r="K9940" s="381">
        <v>344582.0</v>
      </c>
      <c r="L9940" s="382">
        <v>1.0</v>
      </c>
    </row>
    <row r="9941">
      <c r="A9941" s="380" t="s">
        <v>10815</v>
      </c>
      <c r="B9941" s="380" t="str">
        <f>IFERROR(__xludf.DUMMYFUNCTION("""COMPUTED_VALUE"""),"Tapa Tanque De Combustible Daf 2293403")</f>
        <v>Tapa Tanque De Combustible Daf 2293403</v>
      </c>
      <c r="C9941" s="380" t="str">
        <f>IFERROR(__xludf.DUMMYFUNCTION("""COMPUTED_VALUE"""),"70005362")</f>
        <v>70005362</v>
      </c>
      <c r="D9941" s="380" t="s">
        <v>767</v>
      </c>
      <c r="E9941" s="380" t="s">
        <v>786</v>
      </c>
      <c r="F9941" s="380" t="s">
        <v>792</v>
      </c>
      <c r="G9941" s="380" t="s">
        <v>1267</v>
      </c>
      <c r="H9941" s="380" t="s">
        <v>771</v>
      </c>
      <c r="I9941" s="380" t="s">
        <v>788</v>
      </c>
      <c r="J9941" s="380" t="s">
        <v>773</v>
      </c>
      <c r="K9941" s="381">
        <v>216123.0</v>
      </c>
      <c r="L9941" s="382">
        <v>1.0</v>
      </c>
    </row>
    <row r="9942">
      <c r="A9942" s="380" t="s">
        <v>10816</v>
      </c>
      <c r="B9942" s="380" t="str">
        <f>IFERROR(__xludf.DUMMYFUNCTION("""COMPUTED_VALUE"""),"Rodillo Del Int Eje Propulsor CJ FT 1129")</f>
        <v>Rodillo Del Int Eje Propulsor CJ FT 1129</v>
      </c>
      <c r="C9942" s="380" t="str">
        <f>IFERROR(__xludf.DUMMYFUNCTION("""COMPUTED_VALUE"""),"70005363")</f>
        <v>70005363</v>
      </c>
      <c r="D9942" s="380" t="s">
        <v>767</v>
      </c>
      <c r="E9942" s="380" t="s">
        <v>786</v>
      </c>
      <c r="F9942" s="380" t="s">
        <v>928</v>
      </c>
      <c r="G9942" s="380" t="s">
        <v>1267</v>
      </c>
      <c r="H9942" s="380" t="s">
        <v>771</v>
      </c>
      <c r="I9942" s="380" t="s">
        <v>788</v>
      </c>
      <c r="J9942" s="380" t="s">
        <v>773</v>
      </c>
      <c r="K9942" s="381">
        <v>0.0</v>
      </c>
      <c r="L9942" s="382">
        <v>1.0</v>
      </c>
    </row>
    <row r="9943">
      <c r="A9943" s="380" t="s">
        <v>10817</v>
      </c>
      <c r="B9943" s="380" t="str">
        <f>IFERROR(__xludf.DUMMYFUNCTION("""COMPUTED_VALUE"""),"FILT Aceite FT Aucan 1045 7700149203272")</f>
        <v>FILT Aceite FT Aucan 1045 7700149203272</v>
      </c>
      <c r="C9943" s="380" t="str">
        <f>IFERROR(__xludf.DUMMYFUNCTION("""COMPUTED_VALUE"""),"70005364")</f>
        <v>70005364</v>
      </c>
      <c r="D9943" s="380" t="s">
        <v>767</v>
      </c>
      <c r="E9943" s="380" t="s">
        <v>786</v>
      </c>
      <c r="F9943" s="380" t="s">
        <v>5855</v>
      </c>
      <c r="G9943" s="380" t="s">
        <v>1267</v>
      </c>
      <c r="H9943" s="380" t="s">
        <v>771</v>
      </c>
      <c r="I9943" s="380" t="s">
        <v>788</v>
      </c>
      <c r="J9943" s="380" t="s">
        <v>773</v>
      </c>
      <c r="K9943" s="381">
        <v>22560.0</v>
      </c>
      <c r="L9943" s="382">
        <v>1.0</v>
      </c>
    </row>
    <row r="9944">
      <c r="A9944" s="380" t="s">
        <v>10818</v>
      </c>
      <c r="B9944" s="380" t="str">
        <f>IFERROR(__xludf.DUMMYFUNCTION("""COMPUTED_VALUE"""),"FILT COMB FT Aucan 1045/1065 Evi 7700149")</f>
        <v>FILT COMB FT Aucan 1045/1065 Evi 7700149</v>
      </c>
      <c r="C9944" s="380" t="str">
        <f>IFERROR(__xludf.DUMMYFUNCTION("""COMPUTED_VALUE"""),"70005365")</f>
        <v>70005365</v>
      </c>
      <c r="D9944" s="380" t="s">
        <v>767</v>
      </c>
      <c r="E9944" s="380" t="s">
        <v>786</v>
      </c>
      <c r="F9944" s="380" t="s">
        <v>5855</v>
      </c>
      <c r="G9944" s="380" t="s">
        <v>1267</v>
      </c>
      <c r="H9944" s="380" t="s">
        <v>771</v>
      </c>
      <c r="I9944" s="380" t="s">
        <v>788</v>
      </c>
      <c r="J9944" s="380" t="s">
        <v>773</v>
      </c>
      <c r="K9944" s="381">
        <v>99679.0</v>
      </c>
      <c r="L9944" s="382">
        <v>1.0</v>
      </c>
    </row>
    <row r="9945">
      <c r="A9945" s="380" t="s">
        <v>10819</v>
      </c>
      <c r="B9945" s="380" t="str">
        <f>IFERROR(__xludf.DUMMYFUNCTION("""COMPUTED_VALUE"""),"VALV Purga Automatica TANQ AIR INT 28192")</f>
        <v>VALV Purga Automatica TANQ AIR INT 28192</v>
      </c>
      <c r="C9945" s="380" t="str">
        <f>IFERROR(__xludf.DUMMYFUNCTION("""COMPUTED_VALUE"""),"70005366")</f>
        <v>70005366</v>
      </c>
      <c r="D9945" s="380" t="s">
        <v>767</v>
      </c>
      <c r="E9945" s="380" t="s">
        <v>786</v>
      </c>
      <c r="F9945" s="380" t="s">
        <v>792</v>
      </c>
      <c r="G9945" s="380" t="s">
        <v>1267</v>
      </c>
      <c r="H9945" s="380" t="s">
        <v>771</v>
      </c>
      <c r="I9945" s="380" t="s">
        <v>788</v>
      </c>
      <c r="J9945" s="380" t="s">
        <v>773</v>
      </c>
      <c r="K9945" s="381">
        <v>0.0</v>
      </c>
      <c r="L9945" s="382">
        <v>1.0</v>
      </c>
    </row>
    <row r="9946">
      <c r="A9946" s="380" t="s">
        <v>10820</v>
      </c>
      <c r="B9946" s="380" t="str">
        <f>IFERROR(__xludf.DUMMYFUNCTION("""COMPUTED_VALUE"""),"FILT De Aceite FT 1128 Euro Vi 770014930")</f>
        <v>FILT De Aceite FT 1128 Euro Vi 770014930</v>
      </c>
      <c r="C9946" s="380" t="str">
        <f>IFERROR(__xludf.DUMMYFUNCTION("""COMPUTED_VALUE"""),"70005367")</f>
        <v>70005367</v>
      </c>
      <c r="D9946" s="380" t="s">
        <v>767</v>
      </c>
      <c r="E9946" s="380" t="s">
        <v>786</v>
      </c>
      <c r="F9946" s="380" t="s">
        <v>5855</v>
      </c>
      <c r="G9946" s="380" t="s">
        <v>1267</v>
      </c>
      <c r="H9946" s="380" t="s">
        <v>771</v>
      </c>
      <c r="I9946" s="380" t="s">
        <v>788</v>
      </c>
      <c r="J9946" s="380" t="s">
        <v>773</v>
      </c>
      <c r="K9946" s="381">
        <v>145920.0</v>
      </c>
      <c r="L9946" s="382">
        <v>1.0</v>
      </c>
    </row>
    <row r="9947">
      <c r="A9947" s="380" t="s">
        <v>10821</v>
      </c>
      <c r="B9947" s="380" t="str">
        <f>IFERROR(__xludf.DUMMYFUNCTION("""COMPUTED_VALUE"""),"Racor Union Bronce 1/4""")</f>
        <v>Racor Union Bronce 1/4"</v>
      </c>
      <c r="C9947" s="380" t="str">
        <f>IFERROR(__xludf.DUMMYFUNCTION("""COMPUTED_VALUE"""),"70005368")</f>
        <v>70005368</v>
      </c>
      <c r="D9947" s="380" t="s">
        <v>767</v>
      </c>
      <c r="E9947" s="380" t="s">
        <v>786</v>
      </c>
      <c r="F9947" s="380" t="s">
        <v>989</v>
      </c>
      <c r="G9947" s="380" t="s">
        <v>1267</v>
      </c>
      <c r="H9947" s="380" t="s">
        <v>771</v>
      </c>
      <c r="I9947" s="380" t="s">
        <v>788</v>
      </c>
      <c r="J9947" s="380" t="s">
        <v>773</v>
      </c>
      <c r="K9947" s="381">
        <v>0.0</v>
      </c>
      <c r="L9947" s="382">
        <v>1.0</v>
      </c>
    </row>
    <row r="9948">
      <c r="A9948" s="380" t="s">
        <v>10822</v>
      </c>
      <c r="B9948" s="380" t="str">
        <f>IFERROR(__xludf.DUMMYFUNCTION("""COMPUTED_VALUE"""),"Filtro Comb. Primario Foton 1128 Euro 6")</f>
        <v>Filtro Comb. Primario Foton 1128 Euro 6</v>
      </c>
      <c r="C9948" s="380" t="str">
        <f>IFERROR(__xludf.DUMMYFUNCTION("""COMPUTED_VALUE"""),"70005369")</f>
        <v>70005369</v>
      </c>
      <c r="D9948" s="380" t="s">
        <v>767</v>
      </c>
      <c r="E9948" s="380" t="s">
        <v>786</v>
      </c>
      <c r="F9948" s="380" t="s">
        <v>5855</v>
      </c>
      <c r="G9948" s="380" t="s">
        <v>1267</v>
      </c>
      <c r="H9948" s="380" t="s">
        <v>771</v>
      </c>
      <c r="I9948" s="380" t="s">
        <v>788</v>
      </c>
      <c r="J9948" s="380" t="s">
        <v>773</v>
      </c>
      <c r="K9948" s="381">
        <v>85359.0</v>
      </c>
      <c r="L9948" s="382">
        <v>1.0</v>
      </c>
    </row>
    <row r="9949">
      <c r="A9949" s="380" t="s">
        <v>10823</v>
      </c>
      <c r="B9949" s="380" t="str">
        <f>IFERROR(__xludf.DUMMYFUNCTION("""COMPUTED_VALUE"""),"Enfocador RAD T Prado 671131491")</f>
        <v>Enfocador RAD T Prado 671131491</v>
      </c>
      <c r="C9949" s="380" t="str">
        <f>IFERROR(__xludf.DUMMYFUNCTION("""COMPUTED_VALUE"""),"70005370")</f>
        <v>70005370</v>
      </c>
      <c r="D9949" s="380" t="s">
        <v>767</v>
      </c>
      <c r="E9949" s="380" t="s">
        <v>786</v>
      </c>
      <c r="F9949" s="380" t="s">
        <v>787</v>
      </c>
      <c r="G9949" s="380" t="s">
        <v>1267</v>
      </c>
      <c r="H9949" s="380" t="s">
        <v>771</v>
      </c>
      <c r="I9949" s="380" t="s">
        <v>788</v>
      </c>
      <c r="J9949" s="380" t="s">
        <v>773</v>
      </c>
      <c r="K9949" s="381">
        <v>0.0</v>
      </c>
      <c r="L9949" s="382">
        <v>1.0</v>
      </c>
    </row>
    <row r="9950">
      <c r="A9950" s="380" t="s">
        <v>10824</v>
      </c>
      <c r="B9950" s="380" t="str">
        <f>IFERROR(__xludf.DUMMYFUNCTION("""COMPUTED_VALUE"""),"Retenedor Cigueñal Delantero X15 3685173")</f>
        <v>Retenedor Cigueñal Delantero X15 3685173</v>
      </c>
      <c r="C9950" s="380" t="str">
        <f>IFERROR(__xludf.DUMMYFUNCTION("""COMPUTED_VALUE"""),"70005371")</f>
        <v>70005371</v>
      </c>
      <c r="D9950" s="380" t="s">
        <v>767</v>
      </c>
      <c r="E9950" s="380" t="s">
        <v>786</v>
      </c>
      <c r="F9950" s="380" t="s">
        <v>787</v>
      </c>
      <c r="G9950" s="380" t="s">
        <v>1267</v>
      </c>
      <c r="H9950" s="380" t="s">
        <v>771</v>
      </c>
      <c r="I9950" s="380" t="s">
        <v>788</v>
      </c>
      <c r="J9950" s="380" t="s">
        <v>773</v>
      </c>
      <c r="K9950" s="381">
        <v>0.0</v>
      </c>
      <c r="L9950" s="382">
        <v>1.0</v>
      </c>
    </row>
    <row r="9951">
      <c r="A9951" s="380" t="s">
        <v>10825</v>
      </c>
      <c r="B9951" s="380" t="str">
        <f>IFERROR(__xludf.DUMMYFUNCTION("""COMPUTED_VALUE"""),"Cable De Alta Largo FT 1030 770594672666")</f>
        <v>Cable De Alta Largo FT 1030 770594672666</v>
      </c>
      <c r="C9951" s="380" t="str">
        <f>IFERROR(__xludf.DUMMYFUNCTION("""COMPUTED_VALUE"""),"70005372")</f>
        <v>70005372</v>
      </c>
      <c r="D9951" s="380" t="s">
        <v>767</v>
      </c>
      <c r="E9951" s="380" t="s">
        <v>786</v>
      </c>
      <c r="F9951" s="380" t="s">
        <v>998</v>
      </c>
      <c r="G9951" s="380" t="s">
        <v>1267</v>
      </c>
      <c r="H9951" s="380" t="s">
        <v>771</v>
      </c>
      <c r="I9951" s="380" t="s">
        <v>788</v>
      </c>
      <c r="J9951" s="380" t="s">
        <v>773</v>
      </c>
      <c r="K9951" s="381">
        <v>77360.0</v>
      </c>
      <c r="L9951" s="382">
        <v>1.0</v>
      </c>
    </row>
    <row r="9952">
      <c r="A9952" s="380" t="s">
        <v>10826</v>
      </c>
      <c r="B9952" s="380" t="str">
        <f>IFERROR(__xludf.DUMMYFUNCTION("""COMPUTED_VALUE"""),"Empaque Bomba Inyeccion X15 5414049")</f>
        <v>Empaque Bomba Inyeccion X15 5414049</v>
      </c>
      <c r="C9952" s="380" t="str">
        <f>IFERROR(__xludf.DUMMYFUNCTION("""COMPUTED_VALUE"""),"70005373")</f>
        <v>70005373</v>
      </c>
      <c r="D9952" s="380" t="s">
        <v>767</v>
      </c>
      <c r="E9952" s="380" t="s">
        <v>786</v>
      </c>
      <c r="F9952" s="380" t="s">
        <v>787</v>
      </c>
      <c r="G9952" s="380" t="s">
        <v>1267</v>
      </c>
      <c r="H9952" s="380" t="s">
        <v>771</v>
      </c>
      <c r="I9952" s="380" t="s">
        <v>788</v>
      </c>
      <c r="J9952" s="380" t="s">
        <v>773</v>
      </c>
      <c r="K9952" s="381">
        <v>0.0</v>
      </c>
      <c r="L9952" s="382">
        <v>1.0</v>
      </c>
    </row>
    <row r="9953">
      <c r="A9953" s="380" t="s">
        <v>10827</v>
      </c>
      <c r="B9953" s="380" t="str">
        <f>IFERROR(__xludf.DUMMYFUNCTION("""COMPUTED_VALUE"""),"EMP Metalico Carcasa De Engranajes X15 4")</f>
        <v>EMP Metalico Carcasa De Engranajes X15 4</v>
      </c>
      <c r="C9953" s="380" t="str">
        <f>IFERROR(__xludf.DUMMYFUNCTION("""COMPUTED_VALUE"""),"70005374")</f>
        <v>70005374</v>
      </c>
      <c r="D9953" s="380" t="s">
        <v>767</v>
      </c>
      <c r="E9953" s="380" t="s">
        <v>786</v>
      </c>
      <c r="F9953" s="380" t="s">
        <v>787</v>
      </c>
      <c r="G9953" s="380" t="s">
        <v>1267</v>
      </c>
      <c r="H9953" s="380" t="s">
        <v>771</v>
      </c>
      <c r="I9953" s="380" t="s">
        <v>788</v>
      </c>
      <c r="J9953" s="380" t="s">
        <v>773</v>
      </c>
      <c r="K9953" s="381">
        <v>0.0</v>
      </c>
      <c r="L9953" s="382">
        <v>1.0</v>
      </c>
    </row>
    <row r="9954">
      <c r="A9954" s="380" t="s">
        <v>10828</v>
      </c>
      <c r="B9954" s="380" t="str">
        <f>IFERROR(__xludf.DUMMYFUNCTION("""COMPUTED_VALUE"""),"Cable De Alta Corto FT 1030 770594672667")</f>
        <v>Cable De Alta Corto FT 1030 770594672667</v>
      </c>
      <c r="C9954" s="380" t="str">
        <f>IFERROR(__xludf.DUMMYFUNCTION("""COMPUTED_VALUE"""),"70005375")</f>
        <v>70005375</v>
      </c>
      <c r="D9954" s="380" t="s">
        <v>767</v>
      </c>
      <c r="E9954" s="380" t="s">
        <v>786</v>
      </c>
      <c r="F9954" s="380" t="s">
        <v>998</v>
      </c>
      <c r="G9954" s="380" t="s">
        <v>1267</v>
      </c>
      <c r="H9954" s="380" t="s">
        <v>771</v>
      </c>
      <c r="I9954" s="380" t="s">
        <v>788</v>
      </c>
      <c r="J9954" s="380" t="s">
        <v>773</v>
      </c>
      <c r="K9954" s="381">
        <v>0.0</v>
      </c>
      <c r="L9954" s="382">
        <v>1.0</v>
      </c>
    </row>
    <row r="9955">
      <c r="A9955" s="380" t="s">
        <v>10829</v>
      </c>
      <c r="B9955" s="380" t="str">
        <f>IFERROR(__xludf.DUMMYFUNCTION("""COMPUTED_VALUE"""),"Diferencial Completa FT 1030 77059468039")</f>
        <v>Diferencial Completa FT 1030 77059468039</v>
      </c>
      <c r="C9955" s="380" t="str">
        <f>IFERROR(__xludf.DUMMYFUNCTION("""COMPUTED_VALUE"""),"70005376")</f>
        <v>70005376</v>
      </c>
      <c r="D9955" s="380" t="s">
        <v>767</v>
      </c>
      <c r="E9955" s="380" t="s">
        <v>786</v>
      </c>
      <c r="F9955" s="380" t="s">
        <v>5683</v>
      </c>
      <c r="G9955" s="380" t="s">
        <v>1267</v>
      </c>
      <c r="H9955" s="380" t="s">
        <v>771</v>
      </c>
      <c r="I9955" s="380" t="s">
        <v>788</v>
      </c>
      <c r="J9955" s="380" t="s">
        <v>773</v>
      </c>
      <c r="K9955" s="381">
        <v>0.0</v>
      </c>
      <c r="L9955" s="382">
        <v>1.0</v>
      </c>
    </row>
    <row r="9956">
      <c r="A9956" s="380" t="s">
        <v>10830</v>
      </c>
      <c r="B9956" s="380" t="str">
        <f>IFERROR(__xludf.DUMMYFUNCTION("""COMPUTED_VALUE"""),"EMP Tapa Frontal Engranaje X15 3687007")</f>
        <v>EMP Tapa Frontal Engranaje X15 3687007</v>
      </c>
      <c r="C9956" s="380" t="str">
        <f>IFERROR(__xludf.DUMMYFUNCTION("""COMPUTED_VALUE"""),"70005377")</f>
        <v>70005377</v>
      </c>
      <c r="D9956" s="380" t="s">
        <v>767</v>
      </c>
      <c r="E9956" s="380" t="s">
        <v>786</v>
      </c>
      <c r="F9956" s="380" t="s">
        <v>787</v>
      </c>
      <c r="G9956" s="380" t="s">
        <v>1267</v>
      </c>
      <c r="H9956" s="380" t="s">
        <v>771</v>
      </c>
      <c r="I9956" s="380" t="s">
        <v>788</v>
      </c>
      <c r="J9956" s="380" t="s">
        <v>773</v>
      </c>
      <c r="K9956" s="381">
        <v>0.0</v>
      </c>
      <c r="L9956" s="382">
        <v>1.0</v>
      </c>
    </row>
    <row r="9957">
      <c r="A9957" s="380" t="s">
        <v>10831</v>
      </c>
      <c r="B9957" s="380" t="str">
        <f>IFERROR(__xludf.DUMMYFUNCTION("""COMPUTED_VALUE"""),"Tornillo Mediano CJ Termostatica Isx-X15")</f>
        <v>Tornillo Mediano CJ Termostatica Isx-X15</v>
      </c>
      <c r="C9957" s="380" t="str">
        <f>IFERROR(__xludf.DUMMYFUNCTION("""COMPUTED_VALUE"""),"70005378")</f>
        <v>70005378</v>
      </c>
      <c r="D9957" s="380" t="s">
        <v>767</v>
      </c>
      <c r="E9957" s="380" t="s">
        <v>786</v>
      </c>
      <c r="F9957" s="380" t="s">
        <v>787</v>
      </c>
      <c r="G9957" s="380" t="s">
        <v>1267</v>
      </c>
      <c r="H9957" s="380" t="s">
        <v>771</v>
      </c>
      <c r="I9957" s="380" t="s">
        <v>788</v>
      </c>
      <c r="J9957" s="380" t="s">
        <v>773</v>
      </c>
      <c r="K9957" s="381">
        <v>0.0</v>
      </c>
      <c r="L9957" s="382">
        <v>1.0</v>
      </c>
    </row>
    <row r="9958">
      <c r="A9958" s="380" t="s">
        <v>10832</v>
      </c>
      <c r="B9958" s="380" t="str">
        <f>IFERROR(__xludf.DUMMYFUNCTION("""COMPUTED_VALUE"""),"Tornillo Corto CJ Termostatica Isx-X15 3")</f>
        <v>Tornillo Corto CJ Termostatica Isx-X15 3</v>
      </c>
      <c r="C9958" s="380" t="str">
        <f>IFERROR(__xludf.DUMMYFUNCTION("""COMPUTED_VALUE"""),"70005379")</f>
        <v>70005379</v>
      </c>
      <c r="D9958" s="380" t="s">
        <v>767</v>
      </c>
      <c r="E9958" s="380" t="s">
        <v>786</v>
      </c>
      <c r="F9958" s="380" t="s">
        <v>787</v>
      </c>
      <c r="G9958" s="380" t="s">
        <v>1267</v>
      </c>
      <c r="H9958" s="380" t="s">
        <v>771</v>
      </c>
      <c r="I9958" s="380" t="s">
        <v>788</v>
      </c>
      <c r="J9958" s="380" t="s">
        <v>773</v>
      </c>
      <c r="K9958" s="381">
        <v>0.0</v>
      </c>
      <c r="L9958" s="382">
        <v>1.0</v>
      </c>
    </row>
    <row r="9959">
      <c r="A9959" s="380" t="s">
        <v>10833</v>
      </c>
      <c r="B9959" s="380" t="str">
        <f>IFERROR(__xludf.DUMMYFUNCTION("""COMPUTED_VALUE"""),"Filtro Urea Daf Cf 480ftt 1532419")</f>
        <v>Filtro Urea Daf Cf 480ftt 1532419</v>
      </c>
      <c r="C9959" s="380" t="str">
        <f>IFERROR(__xludf.DUMMYFUNCTION("""COMPUTED_VALUE"""),"70005380")</f>
        <v>70005380</v>
      </c>
      <c r="D9959" s="380" t="s">
        <v>767</v>
      </c>
      <c r="E9959" s="380" t="s">
        <v>786</v>
      </c>
      <c r="F9959" s="380" t="s">
        <v>5855</v>
      </c>
      <c r="G9959" s="380" t="s">
        <v>1267</v>
      </c>
      <c r="H9959" s="380" t="s">
        <v>771</v>
      </c>
      <c r="I9959" s="380" t="s">
        <v>788</v>
      </c>
      <c r="J9959" s="380" t="s">
        <v>773</v>
      </c>
      <c r="K9959" s="381">
        <v>0.0</v>
      </c>
      <c r="L9959" s="382">
        <v>1.0</v>
      </c>
    </row>
    <row r="9960">
      <c r="A9960" s="380" t="s">
        <v>10834</v>
      </c>
      <c r="B9960" s="380" t="str">
        <f>IFERROR(__xludf.DUMMYFUNCTION("""COMPUTED_VALUE"""),"Fusible Principal Mini 100 Amp L100pc")</f>
        <v>Fusible Principal Mini 100 Amp L100pc</v>
      </c>
      <c r="C9960" s="380" t="str">
        <f>IFERROR(__xludf.DUMMYFUNCTION("""COMPUTED_VALUE"""),"70005381")</f>
        <v>70005381</v>
      </c>
      <c r="D9960" s="380" t="s">
        <v>767</v>
      </c>
      <c r="E9960" s="380" t="s">
        <v>786</v>
      </c>
      <c r="F9960" s="380" t="s">
        <v>998</v>
      </c>
      <c r="G9960" s="380" t="s">
        <v>1267</v>
      </c>
      <c r="H9960" s="380" t="s">
        <v>771</v>
      </c>
      <c r="I9960" s="380" t="s">
        <v>788</v>
      </c>
      <c r="J9960" s="380" t="s">
        <v>773</v>
      </c>
      <c r="K9960" s="381">
        <v>0.0</v>
      </c>
      <c r="L9960" s="382">
        <v>1.0</v>
      </c>
    </row>
    <row r="9961">
      <c r="A9961" s="380" t="s">
        <v>10835</v>
      </c>
      <c r="B9961" s="380" t="str">
        <f>IFERROR(__xludf.DUMMYFUNCTION("""COMPUTED_VALUE"""),"Racor Union Bronce 3/8""")</f>
        <v>Racor Union Bronce 3/8"</v>
      </c>
      <c r="C9961" s="380" t="str">
        <f>IFERROR(__xludf.DUMMYFUNCTION("""COMPUTED_VALUE"""),"70005382")</f>
        <v>70005382</v>
      </c>
      <c r="D9961" s="380" t="s">
        <v>767</v>
      </c>
      <c r="E9961" s="380" t="s">
        <v>786</v>
      </c>
      <c r="F9961" s="380" t="s">
        <v>989</v>
      </c>
      <c r="G9961" s="380" t="s">
        <v>1267</v>
      </c>
      <c r="H9961" s="380" t="s">
        <v>771</v>
      </c>
      <c r="I9961" s="380" t="s">
        <v>788</v>
      </c>
      <c r="J9961" s="380" t="s">
        <v>773</v>
      </c>
      <c r="K9961" s="381">
        <v>0.0</v>
      </c>
      <c r="L9961" s="382">
        <v>1.0</v>
      </c>
    </row>
    <row r="9962">
      <c r="A9962" s="380" t="s">
        <v>10836</v>
      </c>
      <c r="B9962" s="380" t="str">
        <f>IFERROR(__xludf.DUMMYFUNCTION("""COMPUTED_VALUE"""),"Tapacubo RDA Del FT 1128 7705946925402")</f>
        <v>Tapacubo RDA Del FT 1128 7705946925402</v>
      </c>
      <c r="C9962" s="380" t="str">
        <f>IFERROR(__xludf.DUMMYFUNCTION("""COMPUTED_VALUE"""),"70005383")</f>
        <v>70005383</v>
      </c>
      <c r="D9962" s="380" t="s">
        <v>767</v>
      </c>
      <c r="E9962" s="380" t="s">
        <v>786</v>
      </c>
      <c r="F9962" s="380" t="s">
        <v>1039</v>
      </c>
      <c r="G9962" s="380" t="s">
        <v>1267</v>
      </c>
      <c r="H9962" s="380" t="s">
        <v>771</v>
      </c>
      <c r="I9962" s="380" t="s">
        <v>788</v>
      </c>
      <c r="J9962" s="380" t="s">
        <v>773</v>
      </c>
      <c r="K9962" s="381">
        <v>0.0</v>
      </c>
      <c r="L9962" s="382">
        <v>1.0</v>
      </c>
    </row>
    <row r="9963">
      <c r="A9963" s="380" t="s">
        <v>10837</v>
      </c>
      <c r="B9963" s="380" t="str">
        <f>IFERROR(__xludf.DUMMYFUNCTION("""COMPUTED_VALUE"""),"Manija Externa PTA TRAS Corrediza DFENG")</f>
        <v>Manija Externa PTA TRAS Corrediza DFENG</v>
      </c>
      <c r="C9963" s="380" t="str">
        <f>IFERROR(__xludf.DUMMYFUNCTION("""COMPUTED_VALUE"""),"70005384")</f>
        <v>70005384</v>
      </c>
      <c r="D9963" s="380" t="s">
        <v>767</v>
      </c>
      <c r="E9963" s="380" t="s">
        <v>786</v>
      </c>
      <c r="F9963" s="380" t="s">
        <v>792</v>
      </c>
      <c r="G9963" s="380" t="s">
        <v>1267</v>
      </c>
      <c r="H9963" s="380" t="s">
        <v>771</v>
      </c>
      <c r="I9963" s="380" t="s">
        <v>788</v>
      </c>
      <c r="J9963" s="380" t="s">
        <v>773</v>
      </c>
      <c r="K9963" s="381">
        <v>0.0</v>
      </c>
      <c r="L9963" s="382">
        <v>1.0</v>
      </c>
    </row>
    <row r="9964">
      <c r="A9964" s="380" t="s">
        <v>10838</v>
      </c>
      <c r="B9964" s="380" t="str">
        <f>IFERROR(__xludf.DUMMYFUNCTION("""COMPUTED_VALUE"""),"Electrovalvula Atc Mack Cxu 21396762")</f>
        <v>Electrovalvula Atc Mack Cxu 21396762</v>
      </c>
      <c r="C9964" s="380" t="str">
        <f>IFERROR(__xludf.DUMMYFUNCTION("""COMPUTED_VALUE"""),"70005385")</f>
        <v>70005385</v>
      </c>
      <c r="D9964" s="380" t="s">
        <v>767</v>
      </c>
      <c r="E9964" s="380" t="s">
        <v>786</v>
      </c>
      <c r="F9964" s="380" t="s">
        <v>998</v>
      </c>
      <c r="G9964" s="380" t="s">
        <v>1267</v>
      </c>
      <c r="H9964" s="380" t="s">
        <v>771</v>
      </c>
      <c r="I9964" s="380" t="s">
        <v>788</v>
      </c>
      <c r="J9964" s="380" t="s">
        <v>773</v>
      </c>
      <c r="K9964" s="381">
        <v>0.0</v>
      </c>
      <c r="L9964" s="382">
        <v>1.0</v>
      </c>
    </row>
    <row r="9965">
      <c r="A9965" s="380" t="s">
        <v>10839</v>
      </c>
      <c r="B9965" s="380" t="str">
        <f>IFERROR(__xludf.DUMMYFUNCTION("""COMPUTED_VALUE"""),"Modulo Cinta Volante DIR Daf 2234934")</f>
        <v>Modulo Cinta Volante DIR Daf 2234934</v>
      </c>
      <c r="C9965" s="380" t="str">
        <f>IFERROR(__xludf.DUMMYFUNCTION("""COMPUTED_VALUE"""),"70005386")</f>
        <v>70005386</v>
      </c>
      <c r="D9965" s="380" t="s">
        <v>767</v>
      </c>
      <c r="E9965" s="380" t="s">
        <v>786</v>
      </c>
      <c r="F9965" s="380" t="s">
        <v>998</v>
      </c>
      <c r="G9965" s="380" t="s">
        <v>1267</v>
      </c>
      <c r="H9965" s="380" t="s">
        <v>771</v>
      </c>
      <c r="I9965" s="380" t="s">
        <v>788</v>
      </c>
      <c r="J9965" s="380" t="s">
        <v>773</v>
      </c>
      <c r="K9965" s="381">
        <v>0.0</v>
      </c>
      <c r="L9965" s="382">
        <v>1.0</v>
      </c>
    </row>
    <row r="9966">
      <c r="A9966" s="380" t="s">
        <v>10840</v>
      </c>
      <c r="B9966" s="380" t="str">
        <f>IFERROR(__xludf.DUMMYFUNCTION("""COMPUTED_VALUE"""),"VENT RAD T Prado 636131060")</f>
        <v>VENT RAD T Prado 636131060</v>
      </c>
      <c r="C9966" s="380" t="str">
        <f>IFERROR(__xludf.DUMMYFUNCTION("""COMPUTED_VALUE"""),"70005387")</f>
        <v>70005387</v>
      </c>
      <c r="D9966" s="380" t="s">
        <v>767</v>
      </c>
      <c r="E9966" s="380" t="s">
        <v>786</v>
      </c>
      <c r="F9966" s="380" t="s">
        <v>787</v>
      </c>
      <c r="G9966" s="380" t="s">
        <v>1267</v>
      </c>
      <c r="H9966" s="380" t="s">
        <v>771</v>
      </c>
      <c r="I9966" s="380" t="s">
        <v>788</v>
      </c>
      <c r="J9966" s="380" t="s">
        <v>773</v>
      </c>
      <c r="K9966" s="381">
        <v>0.0</v>
      </c>
      <c r="L9966" s="382">
        <v>1.0</v>
      </c>
    </row>
    <row r="9967">
      <c r="A9967" s="380" t="s">
        <v>10841</v>
      </c>
      <c r="B9967" s="380" t="str">
        <f>IFERROR(__xludf.DUMMYFUNCTION("""COMPUTED_VALUE"""),"DEP Aux RAD T Prado 647031050")</f>
        <v>DEP Aux RAD T Prado 647031050</v>
      </c>
      <c r="C9967" s="380" t="str">
        <f>IFERROR(__xludf.DUMMYFUNCTION("""COMPUTED_VALUE"""),"70005388")</f>
        <v>70005388</v>
      </c>
      <c r="D9967" s="380" t="s">
        <v>767</v>
      </c>
      <c r="E9967" s="380" t="s">
        <v>786</v>
      </c>
      <c r="F9967" s="380" t="s">
        <v>787</v>
      </c>
      <c r="G9967" s="380" t="s">
        <v>1267</v>
      </c>
      <c r="H9967" s="380" t="s">
        <v>771</v>
      </c>
      <c r="I9967" s="380" t="s">
        <v>788</v>
      </c>
      <c r="J9967" s="380" t="s">
        <v>773</v>
      </c>
      <c r="K9967" s="381">
        <v>0.0</v>
      </c>
      <c r="L9967" s="382">
        <v>1.0</v>
      </c>
    </row>
    <row r="9968">
      <c r="A9968" s="380" t="s">
        <v>10842</v>
      </c>
      <c r="B9968" s="380" t="str">
        <f>IFERROR(__xludf.DUMMYFUNCTION("""COMPUTED_VALUE"""),"Luna Espejo Retrovisor Izq. Daf Cf 480ft")</f>
        <v>Luna Espejo Retrovisor Izq. Daf Cf 480ft</v>
      </c>
      <c r="C9968" s="380" t="str">
        <f>IFERROR(__xludf.DUMMYFUNCTION("""COMPUTED_VALUE"""),"70005389")</f>
        <v>70005389</v>
      </c>
      <c r="D9968" s="380" t="s">
        <v>767</v>
      </c>
      <c r="E9968" s="380" t="s">
        <v>786</v>
      </c>
      <c r="F9968" s="380" t="s">
        <v>792</v>
      </c>
      <c r="G9968" s="380" t="s">
        <v>1267</v>
      </c>
      <c r="H9968" s="380" t="s">
        <v>771</v>
      </c>
      <c r="I9968" s="380" t="s">
        <v>788</v>
      </c>
      <c r="J9968" s="380" t="s">
        <v>773</v>
      </c>
      <c r="K9968" s="381">
        <v>285600.0</v>
      </c>
      <c r="L9968" s="382">
        <v>1.0</v>
      </c>
    </row>
    <row r="9969">
      <c r="A9969" s="380" t="s">
        <v>10843</v>
      </c>
      <c r="B9969" s="380" t="str">
        <f>IFERROR(__xludf.DUMMYFUNCTION("""COMPUTED_VALUE"""),"Sun Feb 01 2026 00:00:00 GMT-0500 (hora")</f>
        <v>Sun Feb 01 2026 00:00:00 GMT-0500 (hora</v>
      </c>
      <c r="C9969" s="380" t="str">
        <f>IFERROR(__xludf.DUMMYFUNCTION("""COMPUTED_VALUE"""),"70005390")</f>
        <v>70005390</v>
      </c>
      <c r="D9969" s="380" t="s">
        <v>767</v>
      </c>
      <c r="E9969" s="380" t="s">
        <v>786</v>
      </c>
      <c r="F9969" s="380" t="s">
        <v>989</v>
      </c>
      <c r="G9969" s="380" t="s">
        <v>1267</v>
      </c>
      <c r="H9969" s="380" t="s">
        <v>771</v>
      </c>
      <c r="I9969" s="380" t="s">
        <v>788</v>
      </c>
      <c r="J9969" s="380" t="s">
        <v>773</v>
      </c>
      <c r="K9969" s="381">
        <v>0.0</v>
      </c>
      <c r="L9969" s="382">
        <v>1.0</v>
      </c>
    </row>
    <row r="9970">
      <c r="A9970" s="380" t="s">
        <v>10844</v>
      </c>
      <c r="B9970" s="380" t="str">
        <f>IFERROR(__xludf.DUMMYFUNCTION("""COMPUTED_VALUE"""),"Racor Union Bronce 5/8""")</f>
        <v>Racor Union Bronce 5/8"</v>
      </c>
      <c r="C9970" s="380" t="str">
        <f>IFERROR(__xludf.DUMMYFUNCTION("""COMPUTED_VALUE"""),"70005391")</f>
        <v>70005391</v>
      </c>
      <c r="D9970" s="380" t="s">
        <v>767</v>
      </c>
      <c r="E9970" s="380" t="s">
        <v>786</v>
      </c>
      <c r="F9970" s="380" t="s">
        <v>989</v>
      </c>
      <c r="G9970" s="380" t="s">
        <v>1267</v>
      </c>
      <c r="H9970" s="380" t="s">
        <v>771</v>
      </c>
      <c r="I9970" s="380" t="s">
        <v>788</v>
      </c>
      <c r="J9970" s="380" t="s">
        <v>773</v>
      </c>
      <c r="K9970" s="381">
        <v>0.0</v>
      </c>
      <c r="L9970" s="382">
        <v>1.0</v>
      </c>
    </row>
    <row r="9971">
      <c r="A9971" s="380" t="s">
        <v>10845</v>
      </c>
      <c r="B9971" s="380" t="str">
        <f>IFERROR(__xludf.DUMMYFUNCTION("""COMPUTED_VALUE"""),"Comando De Luces DIRales INT Lt 4057711c")</f>
        <v>Comando De Luces DIRales INT Lt 4057711c</v>
      </c>
      <c r="C9971" s="380" t="str">
        <f>IFERROR(__xludf.DUMMYFUNCTION("""COMPUTED_VALUE"""),"70005392")</f>
        <v>70005392</v>
      </c>
      <c r="D9971" s="380" t="s">
        <v>767</v>
      </c>
      <c r="E9971" s="380" t="s">
        <v>786</v>
      </c>
      <c r="F9971" s="380" t="s">
        <v>998</v>
      </c>
      <c r="G9971" s="380" t="s">
        <v>1267</v>
      </c>
      <c r="H9971" s="380" t="s">
        <v>771</v>
      </c>
      <c r="I9971" s="380" t="s">
        <v>788</v>
      </c>
      <c r="J9971" s="380" t="s">
        <v>773</v>
      </c>
      <c r="K9971" s="381">
        <v>0.0</v>
      </c>
      <c r="L9971" s="382">
        <v>1.0</v>
      </c>
    </row>
    <row r="9972">
      <c r="A9972" s="380" t="s">
        <v>10846</v>
      </c>
      <c r="B9972" s="380" t="str">
        <f>IFERROR(__xludf.DUMMYFUNCTION("""COMPUTED_VALUE"""),"Caja Direccion DFENG ELEC 11054120")</f>
        <v>Caja Direccion DFENG ELEC 11054120</v>
      </c>
      <c r="C9972" s="380" t="str">
        <f>IFERROR(__xludf.DUMMYFUNCTION("""COMPUTED_VALUE"""),"70005393")</f>
        <v>70005393</v>
      </c>
      <c r="D9972" s="380" t="s">
        <v>767</v>
      </c>
      <c r="E9972" s="380" t="s">
        <v>786</v>
      </c>
      <c r="F9972" s="380" t="s">
        <v>1020</v>
      </c>
      <c r="G9972" s="380" t="s">
        <v>1267</v>
      </c>
      <c r="H9972" s="380" t="s">
        <v>771</v>
      </c>
      <c r="I9972" s="380" t="s">
        <v>788</v>
      </c>
      <c r="J9972" s="380" t="s">
        <v>773</v>
      </c>
      <c r="K9972" s="381">
        <v>0.0</v>
      </c>
      <c r="L9972" s="382">
        <v>1.0</v>
      </c>
    </row>
    <row r="9973">
      <c r="A9973" s="380" t="s">
        <v>10847</v>
      </c>
      <c r="B9973" s="380" t="str">
        <f>IFERROR(__xludf.DUMMYFUNCTION("""COMPUTED_VALUE"""),"Embellecedor Tapa Superior Motor Toyota")</f>
        <v>Embellecedor Tapa Superior Motor Toyota</v>
      </c>
      <c r="C9973" s="380" t="str">
        <f>IFERROR(__xludf.DUMMYFUNCTION("""COMPUTED_VALUE"""),"70005394")</f>
        <v>70005394</v>
      </c>
      <c r="D9973" s="380" t="s">
        <v>767</v>
      </c>
      <c r="E9973" s="380" t="s">
        <v>786</v>
      </c>
      <c r="F9973" s="380" t="s">
        <v>787</v>
      </c>
      <c r="G9973" s="380" t="s">
        <v>1267</v>
      </c>
      <c r="H9973" s="380" t="s">
        <v>771</v>
      </c>
      <c r="I9973" s="380" t="s">
        <v>788</v>
      </c>
      <c r="J9973" s="380" t="s">
        <v>773</v>
      </c>
      <c r="K9973" s="381">
        <v>0.0</v>
      </c>
      <c r="L9973" s="382">
        <v>1.0</v>
      </c>
    </row>
    <row r="9974">
      <c r="A9974" s="380" t="s">
        <v>10848</v>
      </c>
      <c r="B9974" s="380" t="str">
        <f>IFERROR(__xludf.DUMMYFUNCTION("""COMPUTED_VALUE"""),"Manguera Blindada R115 5/8""")</f>
        <v>Manguera Blindada R115 5/8"</v>
      </c>
      <c r="C9974" s="380" t="str">
        <f>IFERROR(__xludf.DUMMYFUNCTION("""COMPUTED_VALUE"""),"70005395")</f>
        <v>70005395</v>
      </c>
      <c r="D9974" s="380" t="s">
        <v>767</v>
      </c>
      <c r="E9974" s="380" t="s">
        <v>786</v>
      </c>
      <c r="F9974" s="380" t="s">
        <v>989</v>
      </c>
      <c r="G9974" s="380" t="s">
        <v>1267</v>
      </c>
      <c r="H9974" s="380" t="s">
        <v>771</v>
      </c>
      <c r="I9974" s="380" t="s">
        <v>788</v>
      </c>
      <c r="J9974" s="380" t="s">
        <v>773</v>
      </c>
      <c r="K9974" s="381">
        <v>0.0</v>
      </c>
      <c r="L9974" s="382">
        <v>1.0</v>
      </c>
    </row>
    <row r="9975">
      <c r="A9975" s="380" t="s">
        <v>10849</v>
      </c>
      <c r="B9975" s="380" t="str">
        <f>IFERROR(__xludf.DUMMYFUNCTION("""COMPUTED_VALUE"""),"Fusible Externo Pack Baterias Van DFENG")</f>
        <v>Fusible Externo Pack Baterias Van DFENG</v>
      </c>
      <c r="C9975" s="380" t="str">
        <f>IFERROR(__xludf.DUMMYFUNCTION("""COMPUTED_VALUE"""),"70005396")</f>
        <v>70005396</v>
      </c>
      <c r="D9975" s="380" t="s">
        <v>767</v>
      </c>
      <c r="E9975" s="380" t="s">
        <v>786</v>
      </c>
      <c r="F9975" s="380" t="s">
        <v>998</v>
      </c>
      <c r="G9975" s="380" t="s">
        <v>1267</v>
      </c>
      <c r="H9975" s="380" t="s">
        <v>771</v>
      </c>
      <c r="I9975" s="380" t="s">
        <v>788</v>
      </c>
      <c r="J9975" s="380" t="s">
        <v>773</v>
      </c>
      <c r="K9975" s="381">
        <v>0.0</v>
      </c>
      <c r="L9975" s="382">
        <v>1.0</v>
      </c>
    </row>
    <row r="9976">
      <c r="A9976" s="380" t="s">
        <v>10850</v>
      </c>
      <c r="B9976" s="380" t="str">
        <f>IFERROR(__xludf.DUMMYFUNCTION("""COMPUTED_VALUE"""),"Base SOP MUE DEL MCK Anthem 20435533")</f>
        <v>Base SOP MUE DEL MCK Anthem 20435533</v>
      </c>
      <c r="C9976" s="380" t="str">
        <f>IFERROR(__xludf.DUMMYFUNCTION("""COMPUTED_VALUE"""),"70005397")</f>
        <v>70005397</v>
      </c>
      <c r="D9976" s="380" t="s">
        <v>767</v>
      </c>
      <c r="E9976" s="380" t="s">
        <v>786</v>
      </c>
      <c r="F9976" s="380" t="s">
        <v>1039</v>
      </c>
      <c r="G9976" s="380" t="s">
        <v>1267</v>
      </c>
      <c r="H9976" s="380" t="s">
        <v>771</v>
      </c>
      <c r="I9976" s="380" t="s">
        <v>788</v>
      </c>
      <c r="J9976" s="380" t="s">
        <v>773</v>
      </c>
      <c r="K9976" s="381">
        <v>0.0</v>
      </c>
      <c r="L9976" s="382">
        <v>1.0</v>
      </c>
    </row>
    <row r="9977">
      <c r="A9977" s="380" t="s">
        <v>10851</v>
      </c>
      <c r="B9977" s="380" t="str">
        <f>IFERROR(__xludf.DUMMYFUNCTION("""COMPUTED_VALUE"""),"Bisagra Izq Capot FT Mv5 7701023486217")</f>
        <v>Bisagra Izq Capot FT Mv5 7701023486217</v>
      </c>
      <c r="C9977" s="380" t="str">
        <f>IFERROR(__xludf.DUMMYFUNCTION("""COMPUTED_VALUE"""),"70005398")</f>
        <v>70005398</v>
      </c>
      <c r="D9977" s="380" t="s">
        <v>767</v>
      </c>
      <c r="E9977" s="380" t="s">
        <v>786</v>
      </c>
      <c r="F9977" s="380" t="s">
        <v>792</v>
      </c>
      <c r="G9977" s="380" t="s">
        <v>1267</v>
      </c>
      <c r="H9977" s="380" t="s">
        <v>771</v>
      </c>
      <c r="I9977" s="380" t="s">
        <v>788</v>
      </c>
      <c r="J9977" s="380" t="s">
        <v>773</v>
      </c>
      <c r="K9977" s="381">
        <v>0.0</v>
      </c>
      <c r="L9977" s="382">
        <v>1.0</v>
      </c>
    </row>
    <row r="9978">
      <c r="A9978" s="380" t="s">
        <v>10852</v>
      </c>
      <c r="B9978" s="380" t="str">
        <f>IFERROR(__xludf.DUMMYFUNCTION("""COMPUTED_VALUE"""),"Bisagra Der Capot FT Mv5 7701023486200")</f>
        <v>Bisagra Der Capot FT Mv5 7701023486200</v>
      </c>
      <c r="C9978" s="380" t="str">
        <f>IFERROR(__xludf.DUMMYFUNCTION("""COMPUTED_VALUE"""),"70005399")</f>
        <v>70005399</v>
      </c>
      <c r="D9978" s="380" t="s">
        <v>767</v>
      </c>
      <c r="E9978" s="380" t="s">
        <v>786</v>
      </c>
      <c r="F9978" s="380" t="s">
        <v>792</v>
      </c>
      <c r="G9978" s="380" t="s">
        <v>1267</v>
      </c>
      <c r="H9978" s="380" t="s">
        <v>771</v>
      </c>
      <c r="I9978" s="380" t="s">
        <v>788</v>
      </c>
      <c r="J9978" s="380" t="s">
        <v>773</v>
      </c>
      <c r="K9978" s="381">
        <v>0.0</v>
      </c>
      <c r="L9978" s="382">
        <v>1.0</v>
      </c>
    </row>
    <row r="9979">
      <c r="A9979" s="380" t="s">
        <v>10853</v>
      </c>
      <c r="B9979" s="380" t="str">
        <f>IFERROR(__xludf.DUMMYFUNCTION("""COMPUTED_VALUE"""),"Hoja 4ta MUE DEL HN Dutro Pro 22-916/4")</f>
        <v>Hoja 4ta MUE DEL HN Dutro Pro 22-916/4</v>
      </c>
      <c r="C9979" s="380" t="str">
        <f>IFERROR(__xludf.DUMMYFUNCTION("""COMPUTED_VALUE"""),"70005400")</f>
        <v>70005400</v>
      </c>
      <c r="D9979" s="380" t="s">
        <v>767</v>
      </c>
      <c r="E9979" s="380" t="s">
        <v>786</v>
      </c>
      <c r="F9979" s="380" t="s">
        <v>1039</v>
      </c>
      <c r="G9979" s="380" t="s">
        <v>1267</v>
      </c>
      <c r="H9979" s="380" t="s">
        <v>771</v>
      </c>
      <c r="I9979" s="380" t="s">
        <v>788</v>
      </c>
      <c r="J9979" s="380" t="s">
        <v>773</v>
      </c>
      <c r="K9979" s="381">
        <v>0.0</v>
      </c>
      <c r="L9979" s="382">
        <v>1.0</v>
      </c>
    </row>
    <row r="9980">
      <c r="A9980" s="380" t="s">
        <v>10854</v>
      </c>
      <c r="B9980" s="380" t="str">
        <f>IFERROR(__xludf.DUMMYFUNCTION("""COMPUTED_VALUE"""),"Stop Derecho Foton 1065 7705946575461")</f>
        <v>Stop Derecho Foton 1065 7705946575461</v>
      </c>
      <c r="C9980" s="380" t="str">
        <f>IFERROR(__xludf.DUMMYFUNCTION("""COMPUTED_VALUE"""),"70005401")</f>
        <v>70005401</v>
      </c>
      <c r="D9980" s="380" t="s">
        <v>767</v>
      </c>
      <c r="E9980" s="380" t="s">
        <v>786</v>
      </c>
      <c r="F9980" s="380" t="s">
        <v>998</v>
      </c>
      <c r="G9980" s="380" t="s">
        <v>1267</v>
      </c>
      <c r="H9980" s="380" t="s">
        <v>771</v>
      </c>
      <c r="I9980" s="380" t="s">
        <v>788</v>
      </c>
      <c r="J9980" s="380" t="s">
        <v>773</v>
      </c>
      <c r="K9980" s="381">
        <v>171279.0</v>
      </c>
      <c r="L9980" s="382">
        <v>1.0</v>
      </c>
    </row>
    <row r="9981">
      <c r="A9981" s="380" t="s">
        <v>10855</v>
      </c>
      <c r="B9981" s="380" t="str">
        <f>IFERROR(__xludf.DUMMYFUNCTION("""COMPUTED_VALUE"""),"Arnes Completo Unidad Dosificadora INT L")</f>
        <v>Arnes Completo Unidad Dosificadora INT L</v>
      </c>
      <c r="C9981" s="380" t="str">
        <f>IFERROR(__xludf.DUMMYFUNCTION("""COMPUTED_VALUE"""),"70005402")</f>
        <v>70005402</v>
      </c>
      <c r="D9981" s="380" t="s">
        <v>767</v>
      </c>
      <c r="E9981" s="380" t="s">
        <v>786</v>
      </c>
      <c r="F9981" s="380" t="s">
        <v>998</v>
      </c>
      <c r="G9981" s="380" t="s">
        <v>1267</v>
      </c>
      <c r="H9981" s="380" t="s">
        <v>771</v>
      </c>
      <c r="I9981" s="380" t="s">
        <v>788</v>
      </c>
      <c r="J9981" s="380" t="s">
        <v>773</v>
      </c>
      <c r="K9981" s="381">
        <v>0.0</v>
      </c>
      <c r="L9981" s="382">
        <v>1.0</v>
      </c>
    </row>
    <row r="9982">
      <c r="A9982" s="380" t="s">
        <v>10856</v>
      </c>
      <c r="B9982" s="380" t="str">
        <f>IFERROR(__xludf.DUMMYFUNCTION("""COMPUTED_VALUE"""),"Empaque Vidrio Panoramico Foton Mv5")</f>
        <v>Empaque Vidrio Panoramico Foton Mv5</v>
      </c>
      <c r="C9982" s="380" t="str">
        <f>IFERROR(__xludf.DUMMYFUNCTION("""COMPUTED_VALUE"""),"70005403")</f>
        <v>70005403</v>
      </c>
      <c r="D9982" s="380" t="s">
        <v>767</v>
      </c>
      <c r="E9982" s="380" t="s">
        <v>786</v>
      </c>
      <c r="F9982" s="380" t="s">
        <v>792</v>
      </c>
      <c r="G9982" s="380" t="s">
        <v>1267</v>
      </c>
      <c r="H9982" s="380" t="s">
        <v>771</v>
      </c>
      <c r="I9982" s="380" t="s">
        <v>788</v>
      </c>
      <c r="J9982" s="380" t="s">
        <v>773</v>
      </c>
      <c r="K9982" s="381">
        <v>0.0</v>
      </c>
      <c r="L9982" s="382">
        <v>1.0</v>
      </c>
    </row>
    <row r="9983">
      <c r="A9983" s="380" t="s">
        <v>10857</v>
      </c>
      <c r="B9983" s="380" t="str">
        <f>IFERROR(__xludf.DUMMYFUNCTION("""COMPUTED_VALUE"""),"Tapa Cubo Rueda Del Hino 300 43514-37050")</f>
        <v>Tapa Cubo Rueda Del Hino 300 43514-37050</v>
      </c>
      <c r="C9983" s="380" t="str">
        <f>IFERROR(__xludf.DUMMYFUNCTION("""COMPUTED_VALUE"""),"70005404")</f>
        <v>70005404</v>
      </c>
      <c r="D9983" s="380" t="s">
        <v>767</v>
      </c>
      <c r="E9983" s="380" t="s">
        <v>786</v>
      </c>
      <c r="F9983" s="380" t="s">
        <v>1039</v>
      </c>
      <c r="G9983" s="380" t="s">
        <v>1267</v>
      </c>
      <c r="H9983" s="380" t="s">
        <v>771</v>
      </c>
      <c r="I9983" s="380" t="s">
        <v>788</v>
      </c>
      <c r="J9983" s="380" t="s">
        <v>773</v>
      </c>
      <c r="K9983" s="381">
        <v>0.0</v>
      </c>
      <c r="L9983" s="382">
        <v>1.0</v>
      </c>
    </row>
    <row r="9984">
      <c r="A9984" s="380" t="s">
        <v>10858</v>
      </c>
      <c r="B9984" s="380" t="str">
        <f>IFERROR(__xludf.DUMMYFUNCTION("""COMPUTED_VALUE"""),"SENS Restrictor FILT AIR MCK Anthem 2517")</f>
        <v>SENS Restrictor FILT AIR MCK Anthem 2517</v>
      </c>
      <c r="C9984" s="380" t="str">
        <f>IFERROR(__xludf.DUMMYFUNCTION("""COMPUTED_VALUE"""),"70005405")</f>
        <v>70005405</v>
      </c>
      <c r="D9984" s="380" t="s">
        <v>767</v>
      </c>
      <c r="E9984" s="380" t="s">
        <v>786</v>
      </c>
      <c r="F9984" s="380" t="s">
        <v>998</v>
      </c>
      <c r="G9984" s="380" t="s">
        <v>1267</v>
      </c>
      <c r="H9984" s="380" t="s">
        <v>771</v>
      </c>
      <c r="I9984" s="380" t="s">
        <v>788</v>
      </c>
      <c r="J9984" s="380" t="s">
        <v>773</v>
      </c>
      <c r="K9984" s="381">
        <v>0.0</v>
      </c>
      <c r="L9984" s="382">
        <v>1.0</v>
      </c>
    </row>
    <row r="9985">
      <c r="A9985" s="380" t="s">
        <v>10859</v>
      </c>
      <c r="B9985" s="380" t="str">
        <f>IFERROR(__xludf.DUMMYFUNCTION("""COMPUTED_VALUE"""),"Pasador INF Amortiguador Del FT 1128 770")</f>
        <v>Pasador INF Amortiguador Del FT 1128 770</v>
      </c>
      <c r="C9985" s="380" t="str">
        <f>IFERROR(__xludf.DUMMYFUNCTION("""COMPUTED_VALUE"""),"70005406")</f>
        <v>70005406</v>
      </c>
      <c r="D9985" s="380" t="s">
        <v>767</v>
      </c>
      <c r="E9985" s="380" t="s">
        <v>786</v>
      </c>
      <c r="F9985" s="380" t="s">
        <v>1039</v>
      </c>
      <c r="G9985" s="380" t="s">
        <v>1267</v>
      </c>
      <c r="H9985" s="380" t="s">
        <v>771</v>
      </c>
      <c r="I9985" s="380" t="s">
        <v>788</v>
      </c>
      <c r="J9985" s="380" t="s">
        <v>773</v>
      </c>
      <c r="K9985" s="381">
        <v>0.0</v>
      </c>
      <c r="L9985" s="382">
        <v>1.0</v>
      </c>
    </row>
    <row r="9986">
      <c r="A9986" s="380" t="s">
        <v>10860</v>
      </c>
      <c r="B9986" s="380" t="str">
        <f>IFERROR(__xludf.DUMMYFUNCTION("""COMPUTED_VALUE"""),"Paral INTno PTA Der INT Lt 6127691c1")</f>
        <v>Paral INTno PTA Der INT Lt 6127691c1</v>
      </c>
      <c r="C9986" s="380" t="str">
        <f>IFERROR(__xludf.DUMMYFUNCTION("""COMPUTED_VALUE"""),"70005407")</f>
        <v>70005407</v>
      </c>
      <c r="D9986" s="380" t="s">
        <v>767</v>
      </c>
      <c r="E9986" s="380" t="s">
        <v>786</v>
      </c>
      <c r="F9986" s="380" t="s">
        <v>792</v>
      </c>
      <c r="G9986" s="380" t="s">
        <v>1267</v>
      </c>
      <c r="H9986" s="380" t="s">
        <v>771</v>
      </c>
      <c r="I9986" s="380" t="s">
        <v>788</v>
      </c>
      <c r="J9986" s="380" t="s">
        <v>773</v>
      </c>
      <c r="K9986" s="381">
        <v>0.0</v>
      </c>
      <c r="L9986" s="382">
        <v>1.0</v>
      </c>
    </row>
    <row r="9987">
      <c r="A9987" s="380" t="s">
        <v>10861</v>
      </c>
      <c r="B9987" s="380" t="str">
        <f>IFERROR(__xludf.DUMMYFUNCTION("""COMPUTED_VALUE"""),"Carcasa Espejo Retrovisor Der INT Lt 251")</f>
        <v>Carcasa Espejo Retrovisor Der INT Lt 251</v>
      </c>
      <c r="C9987" s="380" t="str">
        <f>IFERROR(__xludf.DUMMYFUNCTION("""COMPUTED_VALUE"""),"70005408")</f>
        <v>70005408</v>
      </c>
      <c r="D9987" s="380" t="s">
        <v>767</v>
      </c>
      <c r="E9987" s="380" t="s">
        <v>786</v>
      </c>
      <c r="F9987" s="380" t="s">
        <v>792</v>
      </c>
      <c r="G9987" s="380" t="s">
        <v>1267</v>
      </c>
      <c r="H9987" s="380" t="s">
        <v>771</v>
      </c>
      <c r="I9987" s="380" t="s">
        <v>788</v>
      </c>
      <c r="J9987" s="380" t="s">
        <v>773</v>
      </c>
      <c r="K9987" s="381">
        <v>0.0</v>
      </c>
      <c r="L9987" s="382">
        <v>1.0</v>
      </c>
    </row>
    <row r="9988">
      <c r="A9988" s="380" t="s">
        <v>10862</v>
      </c>
      <c r="B9988" s="380" t="str">
        <f>IFERROR(__xludf.DUMMYFUNCTION("""COMPUTED_VALUE"""),"Condensdor A/C Kenworth 2012 Trp Pa01250")</f>
        <v>Condensdor A/C Kenworth 2012 Trp Pa01250</v>
      </c>
      <c r="C9988" s="380" t="str">
        <f>IFERROR(__xludf.DUMMYFUNCTION("""COMPUTED_VALUE"""),"70005409")</f>
        <v>70005409</v>
      </c>
      <c r="D9988" s="380" t="s">
        <v>767</v>
      </c>
      <c r="E9988" s="380" t="s">
        <v>786</v>
      </c>
      <c r="F9988" s="380" t="s">
        <v>1031</v>
      </c>
      <c r="G9988" s="380" t="s">
        <v>1267</v>
      </c>
      <c r="H9988" s="380" t="s">
        <v>771</v>
      </c>
      <c r="I9988" s="380" t="s">
        <v>788</v>
      </c>
      <c r="J9988" s="380" t="s">
        <v>773</v>
      </c>
      <c r="K9988" s="381">
        <v>0.0</v>
      </c>
      <c r="L9988" s="382">
        <v>1.0</v>
      </c>
    </row>
    <row r="9989">
      <c r="A9989" s="380" t="s">
        <v>10863</v>
      </c>
      <c r="B9989" s="380" t="str">
        <f>IFERROR(__xludf.DUMMYFUNCTION("""COMPUTED_VALUE"""),"Sensor Abs Trasero Izq Mack Cxu 23964965")</f>
        <v>Sensor Abs Trasero Izq Mack Cxu 23964965</v>
      </c>
      <c r="C9989" s="380" t="str">
        <f>IFERROR(__xludf.DUMMYFUNCTION("""COMPUTED_VALUE"""),"70005410")</f>
        <v>70005410</v>
      </c>
      <c r="D9989" s="380" t="s">
        <v>767</v>
      </c>
      <c r="E9989" s="380" t="s">
        <v>786</v>
      </c>
      <c r="F9989" s="380" t="s">
        <v>998</v>
      </c>
      <c r="G9989" s="380" t="s">
        <v>1267</v>
      </c>
      <c r="H9989" s="380" t="s">
        <v>771</v>
      </c>
      <c r="I9989" s="380" t="s">
        <v>788</v>
      </c>
      <c r="J9989" s="380" t="s">
        <v>773</v>
      </c>
      <c r="K9989" s="381">
        <v>0.0</v>
      </c>
      <c r="L9989" s="382">
        <v>1.0</v>
      </c>
    </row>
    <row r="9990">
      <c r="A9990" s="380" t="s">
        <v>10864</v>
      </c>
      <c r="B9990" s="380" t="str">
        <f>IFERROR(__xludf.DUMMYFUNCTION("""COMPUTED_VALUE"""),"PTA IZQ FT 1128 7705946668279")</f>
        <v>PTA IZQ FT 1128 7705946668279</v>
      </c>
      <c r="C9990" s="380" t="str">
        <f>IFERROR(__xludf.DUMMYFUNCTION("""COMPUTED_VALUE"""),"70005411")</f>
        <v>70005411</v>
      </c>
      <c r="D9990" s="380" t="s">
        <v>767</v>
      </c>
      <c r="E9990" s="380" t="s">
        <v>786</v>
      </c>
      <c r="F9990" s="380" t="s">
        <v>792</v>
      </c>
      <c r="G9990" s="380" t="s">
        <v>1267</v>
      </c>
      <c r="H9990" s="380" t="s">
        <v>771</v>
      </c>
      <c r="I9990" s="380" t="s">
        <v>788</v>
      </c>
      <c r="J9990" s="380" t="s">
        <v>773</v>
      </c>
      <c r="K9990" s="381">
        <v>0.0</v>
      </c>
      <c r="L9990" s="382">
        <v>1.0</v>
      </c>
    </row>
    <row r="9991">
      <c r="A9991" s="380" t="s">
        <v>10865</v>
      </c>
      <c r="B9991" s="380" t="str">
        <f>IFERROR(__xludf.DUMMYFUNCTION("""COMPUTED_VALUE"""),"CAB Shell Sin PTAs FT 1128 7700149371667")</f>
        <v>CAB Shell Sin PTAs FT 1128 7700149371667</v>
      </c>
      <c r="C9991" s="380" t="str">
        <f>IFERROR(__xludf.DUMMYFUNCTION("""COMPUTED_VALUE"""),"70005412")</f>
        <v>70005412</v>
      </c>
      <c r="D9991" s="380" t="s">
        <v>767</v>
      </c>
      <c r="E9991" s="380" t="s">
        <v>786</v>
      </c>
      <c r="F9991" s="380" t="s">
        <v>792</v>
      </c>
      <c r="G9991" s="380" t="s">
        <v>1267</v>
      </c>
      <c r="H9991" s="380" t="s">
        <v>771</v>
      </c>
      <c r="I9991" s="380" t="s">
        <v>788</v>
      </c>
      <c r="J9991" s="380" t="s">
        <v>773</v>
      </c>
      <c r="K9991" s="381">
        <v>0.0</v>
      </c>
      <c r="L9991" s="382">
        <v>1.0</v>
      </c>
    </row>
    <row r="9992">
      <c r="A9992" s="380" t="s">
        <v>10866</v>
      </c>
      <c r="B9992" s="380" t="str">
        <f>IFERROR(__xludf.DUMMYFUNCTION("""COMPUTED_VALUE"""),"Lamina Fabricada Luz TRAS Tractomula Gen")</f>
        <v>Lamina Fabricada Luz TRAS Tractomula Gen</v>
      </c>
      <c r="C9992" s="380" t="str">
        <f>IFERROR(__xludf.DUMMYFUNCTION("""COMPUTED_VALUE"""),"70005413")</f>
        <v>70005413</v>
      </c>
      <c r="D9992" s="380" t="s">
        <v>767</v>
      </c>
      <c r="E9992" s="380" t="s">
        <v>786</v>
      </c>
      <c r="F9992" s="380" t="s">
        <v>792</v>
      </c>
      <c r="G9992" s="380" t="s">
        <v>1267</v>
      </c>
      <c r="H9992" s="380" t="s">
        <v>771</v>
      </c>
      <c r="I9992" s="380" t="s">
        <v>788</v>
      </c>
      <c r="J9992" s="380" t="s">
        <v>773</v>
      </c>
      <c r="K9992" s="381">
        <v>0.0</v>
      </c>
      <c r="L9992" s="382">
        <v>1.0</v>
      </c>
    </row>
    <row r="9993">
      <c r="A9993" s="380" t="s">
        <v>10867</v>
      </c>
      <c r="B9993" s="380" t="str">
        <f>IFERROR(__xludf.DUMMYFUNCTION("""COMPUTED_VALUE"""),"Mecanismo Abatimiento CAB FT 1128 770594")</f>
        <v>Mecanismo Abatimiento CAB FT 1128 770594</v>
      </c>
      <c r="C9993" s="380" t="str">
        <f>IFERROR(__xludf.DUMMYFUNCTION("""COMPUTED_VALUE"""),"70005414")</f>
        <v>70005414</v>
      </c>
      <c r="D9993" s="380" t="s">
        <v>767</v>
      </c>
      <c r="E9993" s="380" t="s">
        <v>786</v>
      </c>
      <c r="F9993" s="380" t="s">
        <v>792</v>
      </c>
      <c r="G9993" s="380" t="s">
        <v>1267</v>
      </c>
      <c r="H9993" s="380" t="s">
        <v>771</v>
      </c>
      <c r="I9993" s="380" t="s">
        <v>788</v>
      </c>
      <c r="J9993" s="380" t="s">
        <v>773</v>
      </c>
      <c r="K9993" s="381">
        <v>0.0</v>
      </c>
      <c r="L9993" s="382">
        <v>1.0</v>
      </c>
    </row>
    <row r="9994">
      <c r="A9994" s="380" t="s">
        <v>10868</v>
      </c>
      <c r="B9994" s="380" t="str">
        <f>IFERROR(__xludf.DUMMYFUNCTION("""COMPUTED_VALUE"""),"SOP Central De Bomper DEL FT Mv5 7705946")</f>
        <v>SOP Central De Bomper DEL FT Mv5 7705946</v>
      </c>
      <c r="C9994" s="380" t="str">
        <f>IFERROR(__xludf.DUMMYFUNCTION("""COMPUTED_VALUE"""),"70005415")</f>
        <v>70005415</v>
      </c>
      <c r="D9994" s="380" t="s">
        <v>767</v>
      </c>
      <c r="E9994" s="380" t="s">
        <v>786</v>
      </c>
      <c r="F9994" s="380" t="s">
        <v>792</v>
      </c>
      <c r="G9994" s="380" t="s">
        <v>1267</v>
      </c>
      <c r="H9994" s="380" t="s">
        <v>771</v>
      </c>
      <c r="I9994" s="380" t="s">
        <v>788</v>
      </c>
      <c r="J9994" s="380" t="s">
        <v>773</v>
      </c>
      <c r="K9994" s="381">
        <v>76319.0</v>
      </c>
      <c r="L9994" s="382">
        <v>1.0</v>
      </c>
    </row>
    <row r="9995">
      <c r="A9995" s="380" t="s">
        <v>10869</v>
      </c>
      <c r="B9995" s="380" t="str">
        <f>IFERROR(__xludf.DUMMYFUNCTION("""COMPUTED_VALUE"""),"Bocel Persiana Superior Der Foton 1065 7")</f>
        <v>Bocel Persiana Superior Der Foton 1065 7</v>
      </c>
      <c r="C9995" s="380" t="str">
        <f>IFERROR(__xludf.DUMMYFUNCTION("""COMPUTED_VALUE"""),"70005416")</f>
        <v>70005416</v>
      </c>
      <c r="D9995" s="380" t="s">
        <v>767</v>
      </c>
      <c r="E9995" s="380" t="s">
        <v>786</v>
      </c>
      <c r="F9995" s="380" t="s">
        <v>792</v>
      </c>
      <c r="G9995" s="380" t="s">
        <v>1267</v>
      </c>
      <c r="H9995" s="380" t="s">
        <v>771</v>
      </c>
      <c r="I9995" s="380" t="s">
        <v>788</v>
      </c>
      <c r="J9995" s="380" t="s">
        <v>773</v>
      </c>
      <c r="K9995" s="381">
        <v>46719.0</v>
      </c>
      <c r="L9995" s="382">
        <v>1.0</v>
      </c>
    </row>
    <row r="9996">
      <c r="A9996" s="380" t="s">
        <v>10870</v>
      </c>
      <c r="B9996" s="380" t="str">
        <f>IFERROR(__xludf.DUMMYFUNCTION("""COMPUTED_VALUE"""),"Panel DER Persiana FT 1065 770594875233")</f>
        <v>Panel DER Persiana FT 1065 770594875233</v>
      </c>
      <c r="C9996" s="380" t="str">
        <f>IFERROR(__xludf.DUMMYFUNCTION("""COMPUTED_VALUE"""),"70005417")</f>
        <v>70005417</v>
      </c>
      <c r="D9996" s="380" t="s">
        <v>767</v>
      </c>
      <c r="E9996" s="380" t="s">
        <v>786</v>
      </c>
      <c r="F9996" s="380" t="s">
        <v>792</v>
      </c>
      <c r="G9996" s="380" t="s">
        <v>1267</v>
      </c>
      <c r="H9996" s="380" t="s">
        <v>771</v>
      </c>
      <c r="I9996" s="380" t="s">
        <v>788</v>
      </c>
      <c r="J9996" s="380" t="s">
        <v>773</v>
      </c>
      <c r="K9996" s="381">
        <v>80160.0</v>
      </c>
      <c r="L9996" s="382">
        <v>1.0</v>
      </c>
    </row>
    <row r="9997">
      <c r="A9997" s="380" t="s">
        <v>10871</v>
      </c>
      <c r="B9997" s="380" t="str">
        <f>IFERROR(__xludf.DUMMYFUNCTION("""COMPUTED_VALUE"""),"Mecanismo + Guaya Seguro Capot FT Mv5 77")</f>
        <v>Mecanismo + Guaya Seguro Capot FT Mv5 77</v>
      </c>
      <c r="C9997" s="380" t="str">
        <f>IFERROR(__xludf.DUMMYFUNCTION("""COMPUTED_VALUE"""),"70005418")</f>
        <v>70005418</v>
      </c>
      <c r="D9997" s="380" t="s">
        <v>767</v>
      </c>
      <c r="E9997" s="380" t="s">
        <v>786</v>
      </c>
      <c r="F9997" s="380" t="s">
        <v>792</v>
      </c>
      <c r="G9997" s="380" t="s">
        <v>1267</v>
      </c>
      <c r="H9997" s="380" t="s">
        <v>771</v>
      </c>
      <c r="I9997" s="380" t="s">
        <v>788</v>
      </c>
      <c r="J9997" s="380" t="s">
        <v>773</v>
      </c>
      <c r="K9997" s="381">
        <v>0.0</v>
      </c>
      <c r="L9997" s="382">
        <v>1.0</v>
      </c>
    </row>
    <row r="9998">
      <c r="A9998" s="380" t="s">
        <v>10872</v>
      </c>
      <c r="B9998" s="380" t="str">
        <f>IFERROR(__xludf.DUMMYFUNCTION("""COMPUTED_VALUE"""),"Viga Superior Radiador Foton Mv5 7705946")</f>
        <v>Viga Superior Radiador Foton Mv5 7705946</v>
      </c>
      <c r="C9998" s="380" t="str">
        <f>IFERROR(__xludf.DUMMYFUNCTION("""COMPUTED_VALUE"""),"70005419")</f>
        <v>70005419</v>
      </c>
      <c r="D9998" s="380" t="s">
        <v>767</v>
      </c>
      <c r="E9998" s="380" t="s">
        <v>786</v>
      </c>
      <c r="F9998" s="380" t="s">
        <v>792</v>
      </c>
      <c r="G9998" s="380" t="s">
        <v>1267</v>
      </c>
      <c r="H9998" s="380" t="s">
        <v>771</v>
      </c>
      <c r="I9998" s="380" t="s">
        <v>788</v>
      </c>
      <c r="J9998" s="380" t="s">
        <v>773</v>
      </c>
      <c r="K9998" s="381">
        <v>0.0</v>
      </c>
      <c r="L9998" s="382">
        <v>1.0</v>
      </c>
    </row>
    <row r="9999">
      <c r="A9999" s="380" t="s">
        <v>10873</v>
      </c>
      <c r="B9999" s="380" t="str">
        <f>IFERROR(__xludf.DUMMYFUNCTION("""COMPUTED_VALUE"""),"Extension Capot DEL Der INT Lt 4085493c9")</f>
        <v>Extension Capot DEL Der INT Lt 4085493c9</v>
      </c>
      <c r="C9999" s="380" t="str">
        <f>IFERROR(__xludf.DUMMYFUNCTION("""COMPUTED_VALUE"""),"70005420")</f>
        <v>70005420</v>
      </c>
      <c r="D9999" s="380" t="s">
        <v>767</v>
      </c>
      <c r="E9999" s="380" t="s">
        <v>786</v>
      </c>
      <c r="F9999" s="380" t="s">
        <v>792</v>
      </c>
      <c r="G9999" s="380" t="s">
        <v>1267</v>
      </c>
      <c r="H9999" s="380" t="s">
        <v>771</v>
      </c>
      <c r="I9999" s="380" t="s">
        <v>788</v>
      </c>
      <c r="J9999" s="380" t="s">
        <v>773</v>
      </c>
      <c r="K9999" s="381">
        <v>0.0</v>
      </c>
      <c r="L9999" s="382">
        <v>1.0</v>
      </c>
    </row>
    <row r="10000">
      <c r="A10000" s="380" t="s">
        <v>10874</v>
      </c>
      <c r="B10000" s="380" t="str">
        <f>IFERROR(__xludf.DUMMYFUNCTION("""COMPUTED_VALUE"""),"Volante Motor Jac 104 1005030fe010")</f>
        <v>Volante Motor Jac 104 1005030fe010</v>
      </c>
      <c r="C10000" s="380" t="str">
        <f>IFERROR(__xludf.DUMMYFUNCTION("""COMPUTED_VALUE"""),"70005421")</f>
        <v>70005421</v>
      </c>
      <c r="D10000" s="380" t="s">
        <v>767</v>
      </c>
      <c r="E10000" s="380" t="s">
        <v>786</v>
      </c>
      <c r="F10000" s="380" t="s">
        <v>787</v>
      </c>
      <c r="G10000" s="380" t="s">
        <v>1267</v>
      </c>
      <c r="H10000" s="380" t="s">
        <v>771</v>
      </c>
      <c r="I10000" s="380" t="s">
        <v>788</v>
      </c>
      <c r="J10000" s="380" t="s">
        <v>773</v>
      </c>
      <c r="K10000" s="381">
        <v>0.0</v>
      </c>
      <c r="L10000" s="382">
        <v>1.0</v>
      </c>
    </row>
    <row r="10001">
      <c r="A10001" s="380" t="s">
        <v>10875</v>
      </c>
      <c r="B10001" s="380" t="str">
        <f>IFERROR(__xludf.DUMMYFUNCTION("""COMPUTED_VALUE"""),"Blower Aire Acondicionado Jac 1042 81041")</f>
        <v>Blower Aire Acondicionado Jac 1042 81041</v>
      </c>
      <c r="C10001" s="380" t="str">
        <f>IFERROR(__xludf.DUMMYFUNCTION("""COMPUTED_VALUE"""),"70005422")</f>
        <v>70005422</v>
      </c>
      <c r="D10001" s="380" t="s">
        <v>767</v>
      </c>
      <c r="E10001" s="380" t="s">
        <v>786</v>
      </c>
      <c r="F10001" s="380" t="s">
        <v>998</v>
      </c>
      <c r="G10001" s="380" t="s">
        <v>1267</v>
      </c>
      <c r="H10001" s="380" t="s">
        <v>771</v>
      </c>
      <c r="I10001" s="380" t="s">
        <v>788</v>
      </c>
      <c r="J10001" s="380" t="s">
        <v>773</v>
      </c>
      <c r="K10001" s="381">
        <v>448987.0</v>
      </c>
      <c r="L10001" s="382">
        <v>1.0</v>
      </c>
    </row>
    <row r="10002">
      <c r="A10002" s="380" t="s">
        <v>10876</v>
      </c>
      <c r="B10002" s="380" t="str">
        <f>IFERROR(__xludf.DUMMYFUNCTION("""COMPUTED_VALUE"""),"Valvula Desfogue Tapa Valvula Motor Nkr")</f>
        <v>Valvula Desfogue Tapa Valvula Motor Nkr</v>
      </c>
      <c r="C10002" s="380" t="str">
        <f>IFERROR(__xludf.DUMMYFUNCTION("""COMPUTED_VALUE"""),"70005423")</f>
        <v>70005423</v>
      </c>
      <c r="D10002" s="380" t="s">
        <v>767</v>
      </c>
      <c r="E10002" s="380" t="s">
        <v>786</v>
      </c>
      <c r="F10002" s="380" t="s">
        <v>787</v>
      </c>
      <c r="G10002" s="380" t="s">
        <v>1267</v>
      </c>
      <c r="H10002" s="380" t="s">
        <v>771</v>
      </c>
      <c r="I10002" s="380" t="s">
        <v>788</v>
      </c>
      <c r="J10002" s="380" t="s">
        <v>773</v>
      </c>
      <c r="K10002" s="381">
        <v>0.0</v>
      </c>
      <c r="L10002" s="382">
        <v>1.0</v>
      </c>
    </row>
    <row r="10003">
      <c r="A10003" s="380" t="s">
        <v>10877</v>
      </c>
      <c r="B10003" s="380" t="str">
        <f>IFERROR(__xludf.DUMMYFUNCTION("""COMPUTED_VALUE"""),"Kit Reparacion Fan Clutch Inter Lt 2s-Dp")</f>
        <v>Kit Reparacion Fan Clutch Inter Lt 2s-Dp</v>
      </c>
      <c r="C10003" s="380" t="str">
        <f>IFERROR(__xludf.DUMMYFUNCTION("""COMPUTED_VALUE"""),"70005424")</f>
        <v>70005424</v>
      </c>
      <c r="D10003" s="380" t="s">
        <v>767</v>
      </c>
      <c r="E10003" s="380" t="s">
        <v>786</v>
      </c>
      <c r="F10003" s="380" t="s">
        <v>787</v>
      </c>
      <c r="G10003" s="380" t="s">
        <v>1267</v>
      </c>
      <c r="H10003" s="380" t="s">
        <v>771</v>
      </c>
      <c r="I10003" s="380" t="s">
        <v>788</v>
      </c>
      <c r="J10003" s="380" t="s">
        <v>773</v>
      </c>
      <c r="K10003" s="381">
        <v>5065247.0</v>
      </c>
      <c r="L10003" s="382">
        <v>1.0</v>
      </c>
    </row>
    <row r="10004">
      <c r="A10004" s="380" t="s">
        <v>10878</v>
      </c>
      <c r="B10004" s="380" t="str">
        <f>IFERROR(__xludf.DUMMYFUNCTION("""COMPUTED_VALUE"""),"MANG ENT Postenfriador FT 1128 770102309")</f>
        <v>MANG ENT Postenfriador FT 1128 770102309</v>
      </c>
      <c r="C10004" s="380" t="str">
        <f>IFERROR(__xludf.DUMMYFUNCTION("""COMPUTED_VALUE"""),"70005425")</f>
        <v>70005425</v>
      </c>
      <c r="D10004" s="380" t="s">
        <v>767</v>
      </c>
      <c r="E10004" s="380" t="s">
        <v>786</v>
      </c>
      <c r="F10004" s="380" t="s">
        <v>787</v>
      </c>
      <c r="G10004" s="380" t="s">
        <v>1267</v>
      </c>
      <c r="H10004" s="380" t="s">
        <v>771</v>
      </c>
      <c r="I10004" s="380" t="s">
        <v>788</v>
      </c>
      <c r="J10004" s="380" t="s">
        <v>773</v>
      </c>
      <c r="K10004" s="381">
        <v>0.0</v>
      </c>
      <c r="L10004" s="382">
        <v>1.0</v>
      </c>
    </row>
    <row r="10005">
      <c r="A10005" s="380" t="s">
        <v>10879</v>
      </c>
      <c r="B10005" s="380" t="str">
        <f>IFERROR(__xludf.DUMMYFUNCTION("""COMPUTED_VALUE"""),"Aspersor Lubricacion CJ FT Mv5 770594634")</f>
        <v>Aspersor Lubricacion CJ FT Mv5 770594634</v>
      </c>
      <c r="C10005" s="380" t="str">
        <f>IFERROR(__xludf.DUMMYFUNCTION("""COMPUTED_VALUE"""),"70005426")</f>
        <v>70005426</v>
      </c>
      <c r="D10005" s="380" t="s">
        <v>767</v>
      </c>
      <c r="E10005" s="380" t="s">
        <v>786</v>
      </c>
      <c r="F10005" s="380" t="s">
        <v>928</v>
      </c>
      <c r="G10005" s="380" t="s">
        <v>1267</v>
      </c>
      <c r="H10005" s="380" t="s">
        <v>771</v>
      </c>
      <c r="I10005" s="380" t="s">
        <v>788</v>
      </c>
      <c r="J10005" s="380" t="s">
        <v>773</v>
      </c>
      <c r="K10005" s="381">
        <v>0.0</v>
      </c>
      <c r="L10005" s="382">
        <v>1.0</v>
      </c>
    </row>
    <row r="10006">
      <c r="A10006" s="380" t="s">
        <v>10880</v>
      </c>
      <c r="B10006" s="380" t="str">
        <f>IFERROR(__xludf.DUMMYFUNCTION("""COMPUTED_VALUE"""),"DEP AUX RAD FT 1128 7705946923996")</f>
        <v>DEP AUX RAD FT 1128 7705946923996</v>
      </c>
      <c r="C10006" s="380" t="str">
        <f>IFERROR(__xludf.DUMMYFUNCTION("""COMPUTED_VALUE"""),"70005427")</f>
        <v>70005427</v>
      </c>
      <c r="D10006" s="380" t="s">
        <v>767</v>
      </c>
      <c r="E10006" s="380" t="s">
        <v>786</v>
      </c>
      <c r="F10006" s="380" t="s">
        <v>787</v>
      </c>
      <c r="G10006" s="380" t="s">
        <v>1267</v>
      </c>
      <c r="H10006" s="380" t="s">
        <v>771</v>
      </c>
      <c r="I10006" s="380" t="s">
        <v>788</v>
      </c>
      <c r="J10006" s="380" t="s">
        <v>773</v>
      </c>
      <c r="K10006" s="381">
        <v>0.0</v>
      </c>
      <c r="L10006" s="382">
        <v>1.0</v>
      </c>
    </row>
    <row r="10007">
      <c r="A10007" s="380" t="s">
        <v>10881</v>
      </c>
      <c r="B10007" s="380" t="str">
        <f>IFERROR(__xludf.DUMMYFUNCTION("""COMPUTED_VALUE"""),"Enfriador Egr MOT FT 1039 - 1065 7701023")</f>
        <v>Enfriador Egr MOT FT 1039 - 1065 7701023</v>
      </c>
      <c r="C10007" s="380" t="str">
        <f>IFERROR(__xludf.DUMMYFUNCTION("""COMPUTED_VALUE"""),"70005428")</f>
        <v>70005428</v>
      </c>
      <c r="D10007" s="380" t="s">
        <v>767</v>
      </c>
      <c r="E10007" s="380" t="s">
        <v>786</v>
      </c>
      <c r="F10007" s="380" t="s">
        <v>787</v>
      </c>
      <c r="G10007" s="380" t="s">
        <v>1267</v>
      </c>
      <c r="H10007" s="380" t="s">
        <v>771</v>
      </c>
      <c r="I10007" s="380" t="s">
        <v>788</v>
      </c>
      <c r="J10007" s="380" t="s">
        <v>773</v>
      </c>
      <c r="K10007" s="381">
        <v>0.0</v>
      </c>
      <c r="L10007" s="382">
        <v>1.0</v>
      </c>
    </row>
    <row r="10008">
      <c r="A10008" s="380" t="s">
        <v>10882</v>
      </c>
      <c r="B10008" s="380" t="str">
        <f>IFERROR(__xludf.DUMMYFUNCTION("""COMPUTED_VALUE"""),"Gorro VALV Culata MOT FT 1065 Juego X 8")</f>
        <v>Gorro VALV Culata MOT FT 1065 Juego X 8</v>
      </c>
      <c r="C10008" s="380" t="str">
        <f>IFERROR(__xludf.DUMMYFUNCTION("""COMPUTED_VALUE"""),"70005429")</f>
        <v>70005429</v>
      </c>
      <c r="D10008" s="380" t="s">
        <v>767</v>
      </c>
      <c r="E10008" s="380" t="s">
        <v>786</v>
      </c>
      <c r="F10008" s="380" t="s">
        <v>787</v>
      </c>
      <c r="G10008" s="380" t="s">
        <v>1267</v>
      </c>
      <c r="H10008" s="380" t="s">
        <v>771</v>
      </c>
      <c r="I10008" s="380" t="s">
        <v>788</v>
      </c>
      <c r="J10008" s="380" t="s">
        <v>773</v>
      </c>
      <c r="K10008" s="381">
        <v>0.0</v>
      </c>
      <c r="L10008" s="382">
        <v>1.0</v>
      </c>
    </row>
    <row r="10009">
      <c r="A10009" s="380" t="s">
        <v>10883</v>
      </c>
      <c r="B10009" s="380" t="str">
        <f>IFERROR(__xludf.DUMMYFUNCTION("""COMPUTED_VALUE"""),"EMP Vidrio Panoramico FT 1128-1129")</f>
        <v>EMP Vidrio Panoramico FT 1128-1129</v>
      </c>
      <c r="C10009" s="380" t="str">
        <f>IFERROR(__xludf.DUMMYFUNCTION("""COMPUTED_VALUE"""),"70005430")</f>
        <v>70005430</v>
      </c>
      <c r="D10009" s="380" t="s">
        <v>767</v>
      </c>
      <c r="E10009" s="380" t="s">
        <v>786</v>
      </c>
      <c r="F10009" s="380" t="s">
        <v>792</v>
      </c>
      <c r="G10009" s="380" t="s">
        <v>1267</v>
      </c>
      <c r="H10009" s="380" t="s">
        <v>771</v>
      </c>
      <c r="I10009" s="380" t="s">
        <v>788</v>
      </c>
      <c r="J10009" s="380" t="s">
        <v>773</v>
      </c>
      <c r="K10009" s="381">
        <v>0.0</v>
      </c>
      <c r="L10009" s="382">
        <v>1.0</v>
      </c>
    </row>
    <row r="10010">
      <c r="A10010" s="380" t="s">
        <v>10884</v>
      </c>
      <c r="B10010" s="380" t="str">
        <f>IFERROR(__xludf.DUMMYFUNCTION("""COMPUTED_VALUE"""),"Eje TRAS Nhr Con Turbo De 23 Estrias 897")</f>
        <v>Eje TRAS Nhr Con Turbo De 23 Estrias 897</v>
      </c>
      <c r="C10010" s="380" t="str">
        <f>IFERROR(__xludf.DUMMYFUNCTION("""COMPUTED_VALUE"""),"70005431")</f>
        <v>70005431</v>
      </c>
      <c r="D10010" s="380" t="s">
        <v>767</v>
      </c>
      <c r="E10010" s="380" t="s">
        <v>786</v>
      </c>
      <c r="F10010" s="380" t="s">
        <v>5683</v>
      </c>
      <c r="G10010" s="380" t="s">
        <v>1267</v>
      </c>
      <c r="H10010" s="380" t="s">
        <v>771</v>
      </c>
      <c r="I10010" s="380" t="s">
        <v>788</v>
      </c>
      <c r="J10010" s="380" t="s">
        <v>773</v>
      </c>
      <c r="K10010" s="381">
        <v>0.0</v>
      </c>
      <c r="L10010" s="382">
        <v>1.0</v>
      </c>
    </row>
    <row r="10011">
      <c r="A10011" s="380" t="s">
        <v>10885</v>
      </c>
      <c r="B10011" s="380" t="str">
        <f>IFERROR(__xludf.DUMMYFUNCTION("""COMPUTED_VALUE"""),"Espaldar Silla Foton 1065 Fabricado")</f>
        <v>Espaldar Silla Foton 1065 Fabricado</v>
      </c>
      <c r="C10011" s="380" t="str">
        <f>IFERROR(__xludf.DUMMYFUNCTION("""COMPUTED_VALUE"""),"70005432")</f>
        <v>70005432</v>
      </c>
      <c r="D10011" s="380" t="s">
        <v>767</v>
      </c>
      <c r="E10011" s="380" t="s">
        <v>786</v>
      </c>
      <c r="F10011" s="380" t="s">
        <v>792</v>
      </c>
      <c r="G10011" s="380" t="s">
        <v>1267</v>
      </c>
      <c r="H10011" s="380" t="s">
        <v>771</v>
      </c>
      <c r="I10011" s="380" t="s">
        <v>788</v>
      </c>
      <c r="J10011" s="380" t="s">
        <v>773</v>
      </c>
      <c r="K10011" s="381">
        <v>0.0</v>
      </c>
      <c r="L10011" s="382">
        <v>1.0</v>
      </c>
    </row>
    <row r="10012">
      <c r="A10012" s="380" t="s">
        <v>10886</v>
      </c>
      <c r="B10012" s="380" t="str">
        <f>IFERROR(__xludf.DUMMYFUNCTION("""COMPUTED_VALUE"""),"Cojin AUX Silla FT 1065 Fabricado")</f>
        <v>Cojin AUX Silla FT 1065 Fabricado</v>
      </c>
      <c r="C10012" s="380" t="str">
        <f>IFERROR(__xludf.DUMMYFUNCTION("""COMPUTED_VALUE"""),"70005433")</f>
        <v>70005433</v>
      </c>
      <c r="D10012" s="380" t="s">
        <v>767</v>
      </c>
      <c r="E10012" s="380" t="s">
        <v>786</v>
      </c>
      <c r="F10012" s="380" t="s">
        <v>792</v>
      </c>
      <c r="G10012" s="380" t="s">
        <v>1267</v>
      </c>
      <c r="H10012" s="380" t="s">
        <v>771</v>
      </c>
      <c r="I10012" s="380" t="s">
        <v>788</v>
      </c>
      <c r="J10012" s="380" t="s">
        <v>773</v>
      </c>
      <c r="K10012" s="381">
        <v>0.0</v>
      </c>
      <c r="L10012" s="382">
        <v>1.0</v>
      </c>
    </row>
    <row r="10013">
      <c r="A10013" s="380" t="s">
        <v>10887</v>
      </c>
      <c r="B10013" s="380" t="str">
        <f>IFERROR(__xludf.DUMMYFUNCTION("""COMPUTED_VALUE"""),"Buje Capo Eagle Ref 1668950C1 S/M")</f>
        <v>Buje Capo Eagle Ref 1668950C1 S/M</v>
      </c>
      <c r="C10013" s="380" t="str">
        <f>IFERROR(__xludf.DUMMYFUNCTION("""COMPUTED_VALUE"""),"70005434")</f>
        <v>70005434</v>
      </c>
      <c r="D10013" s="380" t="s">
        <v>767</v>
      </c>
      <c r="E10013" s="380" t="s">
        <v>786</v>
      </c>
      <c r="F10013" s="380" t="s">
        <v>792</v>
      </c>
      <c r="G10013" s="380" t="s">
        <v>1267</v>
      </c>
      <c r="H10013" s="380" t="s">
        <v>771</v>
      </c>
      <c r="I10013" s="380" t="s">
        <v>788</v>
      </c>
      <c r="J10013" s="380" t="s">
        <v>773</v>
      </c>
      <c r="K10013" s="381">
        <v>0.0</v>
      </c>
      <c r="L10013" s="382">
        <v>1.0</v>
      </c>
    </row>
    <row r="10014">
      <c r="A10014" s="380" t="s">
        <v>10888</v>
      </c>
      <c r="B10014" s="380" t="str">
        <f>IFERROR(__xludf.DUMMYFUNCTION("""COMPUTED_VALUE"""),"Sentadero Silla Foton 1065 Fabricado")</f>
        <v>Sentadero Silla Foton 1065 Fabricado</v>
      </c>
      <c r="C10014" s="380" t="str">
        <f>IFERROR(__xludf.DUMMYFUNCTION("""COMPUTED_VALUE"""),"70005435")</f>
        <v>70005435</v>
      </c>
      <c r="D10014" s="380" t="s">
        <v>767</v>
      </c>
      <c r="E10014" s="380" t="s">
        <v>786</v>
      </c>
      <c r="F10014" s="380" t="s">
        <v>792</v>
      </c>
      <c r="G10014" s="380" t="s">
        <v>1267</v>
      </c>
      <c r="H10014" s="380" t="s">
        <v>771</v>
      </c>
      <c r="I10014" s="380" t="s">
        <v>788</v>
      </c>
      <c r="J10014" s="380" t="s">
        <v>773</v>
      </c>
      <c r="K10014" s="381">
        <v>0.0</v>
      </c>
      <c r="L10014" s="382">
        <v>1.0</v>
      </c>
    </row>
    <row r="10015">
      <c r="A10015" s="380" t="s">
        <v>10889</v>
      </c>
      <c r="B10015" s="380" t="str">
        <f>IFERROR(__xludf.DUMMYFUNCTION("""COMPUTED_VALUE"""),"Silla Conductor Foton 1065 Fabricada")</f>
        <v>Silla Conductor Foton 1065 Fabricada</v>
      </c>
      <c r="C10015" s="380" t="str">
        <f>IFERROR(__xludf.DUMMYFUNCTION("""COMPUTED_VALUE"""),"70005436")</f>
        <v>70005436</v>
      </c>
      <c r="D10015" s="380" t="s">
        <v>767</v>
      </c>
      <c r="E10015" s="380" t="s">
        <v>786</v>
      </c>
      <c r="F10015" s="380" t="s">
        <v>792</v>
      </c>
      <c r="G10015" s="380" t="s">
        <v>1267</v>
      </c>
      <c r="H10015" s="380" t="s">
        <v>771</v>
      </c>
      <c r="I10015" s="380" t="s">
        <v>788</v>
      </c>
      <c r="J10015" s="380" t="s">
        <v>773</v>
      </c>
      <c r="K10015" s="381">
        <v>0.0</v>
      </c>
      <c r="L10015" s="382">
        <v>1.0</v>
      </c>
    </row>
    <row r="10016">
      <c r="A10016" s="380" t="s">
        <v>10890</v>
      </c>
      <c r="B10016" s="380" t="str">
        <f>IFERROR(__xludf.DUMMYFUNCTION("""COMPUTED_VALUE"""),"Reloj Presion Pisada Freno AIR Tablero E")</f>
        <v>Reloj Presion Pisada Freno AIR Tablero E</v>
      </c>
      <c r="C10016" s="380" t="str">
        <f>IFERROR(__xludf.DUMMYFUNCTION("""COMPUTED_VALUE"""),"70005437")</f>
        <v>70005437</v>
      </c>
      <c r="D10016" s="380" t="s">
        <v>767</v>
      </c>
      <c r="E10016" s="380" t="s">
        <v>786</v>
      </c>
      <c r="F10016" s="380" t="s">
        <v>998</v>
      </c>
      <c r="G10016" s="380" t="s">
        <v>1267</v>
      </c>
      <c r="H10016" s="380" t="s">
        <v>771</v>
      </c>
      <c r="I10016" s="380" t="s">
        <v>788</v>
      </c>
      <c r="J10016" s="380" t="s">
        <v>773</v>
      </c>
      <c r="K10016" s="381">
        <v>0.0</v>
      </c>
      <c r="L10016" s="382">
        <v>1.0</v>
      </c>
    </row>
    <row r="10017">
      <c r="A10017" s="380" t="s">
        <v>10891</v>
      </c>
      <c r="B10017" s="380" t="str">
        <f>IFERROR(__xludf.DUMMYFUNCTION("""COMPUTED_VALUE"""),"Empaque Vidrio Panoramico Daf")</f>
        <v>Empaque Vidrio Panoramico Daf</v>
      </c>
      <c r="C10017" s="380" t="str">
        <f>IFERROR(__xludf.DUMMYFUNCTION("""COMPUTED_VALUE"""),"70005438")</f>
        <v>70005438</v>
      </c>
      <c r="D10017" s="380" t="s">
        <v>767</v>
      </c>
      <c r="E10017" s="380" t="s">
        <v>786</v>
      </c>
      <c r="F10017" s="380" t="s">
        <v>792</v>
      </c>
      <c r="G10017" s="380" t="s">
        <v>1267</v>
      </c>
      <c r="H10017" s="380" t="s">
        <v>771</v>
      </c>
      <c r="I10017" s="380" t="s">
        <v>788</v>
      </c>
      <c r="J10017" s="380" t="s">
        <v>773</v>
      </c>
      <c r="K10017" s="381">
        <v>0.0</v>
      </c>
      <c r="L10017" s="382">
        <v>1.0</v>
      </c>
    </row>
    <row r="10018">
      <c r="A10018" s="380" t="s">
        <v>10892</v>
      </c>
      <c r="B10018" s="380" t="str">
        <f>IFERROR(__xludf.DUMMYFUNCTION("""COMPUTED_VALUE"""),"Columna De DIR FT 1128 7705946816113")</f>
        <v>Columna De DIR FT 1128 7705946816113</v>
      </c>
      <c r="C10018" s="380" t="str">
        <f>IFERROR(__xludf.DUMMYFUNCTION("""COMPUTED_VALUE"""),"70005439")</f>
        <v>70005439</v>
      </c>
      <c r="D10018" s="380" t="s">
        <v>767</v>
      </c>
      <c r="E10018" s="380" t="s">
        <v>786</v>
      </c>
      <c r="F10018" s="380" t="s">
        <v>1020</v>
      </c>
      <c r="G10018" s="380" t="s">
        <v>1267</v>
      </c>
      <c r="H10018" s="380" t="s">
        <v>771</v>
      </c>
      <c r="I10018" s="380" t="s">
        <v>788</v>
      </c>
      <c r="J10018" s="380" t="s">
        <v>773</v>
      </c>
      <c r="K10018" s="381">
        <v>0.0</v>
      </c>
      <c r="L10018" s="382">
        <v>1.0</v>
      </c>
    </row>
    <row r="10019">
      <c r="A10019" s="380" t="s">
        <v>10893</v>
      </c>
      <c r="B10019" s="380" t="str">
        <f>IFERROR(__xludf.DUMMYFUNCTION("""COMPUTED_VALUE"""),"Mecanismo Palanca De Cambios FT 1128 770")</f>
        <v>Mecanismo Palanca De Cambios FT 1128 770</v>
      </c>
      <c r="C10019" s="380" t="str">
        <f>IFERROR(__xludf.DUMMYFUNCTION("""COMPUTED_VALUE"""),"70005440")</f>
        <v>70005440</v>
      </c>
      <c r="D10019" s="380" t="s">
        <v>767</v>
      </c>
      <c r="E10019" s="380" t="s">
        <v>786</v>
      </c>
      <c r="F10019" s="380" t="s">
        <v>928</v>
      </c>
      <c r="G10019" s="380" t="s">
        <v>1267</v>
      </c>
      <c r="H10019" s="380" t="s">
        <v>771</v>
      </c>
      <c r="I10019" s="380" t="s">
        <v>788</v>
      </c>
      <c r="J10019" s="380" t="s">
        <v>773</v>
      </c>
      <c r="K10019" s="381">
        <v>0.0</v>
      </c>
      <c r="L10019" s="382">
        <v>1.0</v>
      </c>
    </row>
    <row r="10020">
      <c r="A10020" s="380" t="s">
        <v>10894</v>
      </c>
      <c r="B10020" s="380" t="str">
        <f>IFERROR(__xludf.DUMMYFUNCTION("""COMPUTED_VALUE"""),"Rodamiento Planetario Divisor Diferencia")</f>
        <v>Rodamiento Planetario Divisor Diferencia</v>
      </c>
      <c r="C10020" s="380" t="str">
        <f>IFERROR(__xludf.DUMMYFUNCTION("""COMPUTED_VALUE"""),"70005441")</f>
        <v>70005441</v>
      </c>
      <c r="D10020" s="380" t="s">
        <v>767</v>
      </c>
      <c r="E10020" s="380" t="s">
        <v>786</v>
      </c>
      <c r="F10020" s="380" t="s">
        <v>5683</v>
      </c>
      <c r="G10020" s="380" t="s">
        <v>1267</v>
      </c>
      <c r="H10020" s="380" t="s">
        <v>771</v>
      </c>
      <c r="I10020" s="380" t="s">
        <v>788</v>
      </c>
      <c r="J10020" s="380" t="s">
        <v>773</v>
      </c>
      <c r="K10020" s="381">
        <v>0.0</v>
      </c>
      <c r="L10020" s="382">
        <v>1.0</v>
      </c>
    </row>
    <row r="10021">
      <c r="A10021" s="380" t="s">
        <v>10895</v>
      </c>
      <c r="B10021" s="380" t="str">
        <f>IFERROR(__xludf.DUMMYFUNCTION("""COMPUTED_VALUE"""),"Rodillo/Cuna Diferencial Daf Cf480 65500")</f>
        <v>Rodillo/Cuna Diferencial Daf Cf480 65500</v>
      </c>
      <c r="C10021" s="380" t="str">
        <f>IFERROR(__xludf.DUMMYFUNCTION("""COMPUTED_VALUE"""),"70005442")</f>
        <v>70005442</v>
      </c>
      <c r="D10021" s="380" t="s">
        <v>767</v>
      </c>
      <c r="E10021" s="380" t="s">
        <v>786</v>
      </c>
      <c r="F10021" s="380" t="s">
        <v>5683</v>
      </c>
      <c r="G10021" s="380" t="s">
        <v>1267</v>
      </c>
      <c r="H10021" s="380" t="s">
        <v>771</v>
      </c>
      <c r="I10021" s="380" t="s">
        <v>788</v>
      </c>
      <c r="J10021" s="380" t="s">
        <v>773</v>
      </c>
      <c r="K10021" s="381">
        <v>0.0</v>
      </c>
      <c r="L10021" s="382">
        <v>1.0</v>
      </c>
    </row>
    <row r="10022">
      <c r="A10022" s="380" t="s">
        <v>10896</v>
      </c>
      <c r="B10022" s="380" t="str">
        <f>IFERROR(__xludf.DUMMYFUNCTION("""COMPUTED_VALUE"""),"Pasador MUE TRAS FT 1128 7701023081443")</f>
        <v>Pasador MUE TRAS FT 1128 7701023081443</v>
      </c>
      <c r="C10022" s="380" t="str">
        <f>IFERROR(__xludf.DUMMYFUNCTION("""COMPUTED_VALUE"""),"70005443")</f>
        <v>70005443</v>
      </c>
      <c r="D10022" s="380" t="s">
        <v>767</v>
      </c>
      <c r="E10022" s="380" t="s">
        <v>786</v>
      </c>
      <c r="F10022" s="380" t="s">
        <v>1039</v>
      </c>
      <c r="G10022" s="380" t="s">
        <v>1267</v>
      </c>
      <c r="H10022" s="380" t="s">
        <v>771</v>
      </c>
      <c r="I10022" s="380" t="s">
        <v>788</v>
      </c>
      <c r="J10022" s="380" t="s">
        <v>773</v>
      </c>
      <c r="K10022" s="381">
        <v>0.0</v>
      </c>
      <c r="L10022" s="382">
        <v>1.0</v>
      </c>
    </row>
    <row r="10023">
      <c r="A10023" s="380" t="s">
        <v>10897</v>
      </c>
      <c r="B10023" s="380" t="str">
        <f>IFERROR(__xludf.DUMMYFUNCTION("""COMPUTED_VALUE"""),"Camara Freno Tras Del T-12 Trail")</f>
        <v>Camara Freno Tras Del T-12 Trail</v>
      </c>
      <c r="C10023" s="380" t="str">
        <f>IFERROR(__xludf.DUMMYFUNCTION("""COMPUTED_VALUE"""),"70005444")</f>
        <v>70005444</v>
      </c>
      <c r="D10023" s="380" t="s">
        <v>767</v>
      </c>
      <c r="E10023" s="380" t="s">
        <v>786</v>
      </c>
      <c r="F10023" s="380" t="s">
        <v>1017</v>
      </c>
      <c r="G10023" s="380" t="s">
        <v>1267</v>
      </c>
      <c r="H10023" s="380" t="s">
        <v>771</v>
      </c>
      <c r="I10023" s="380" t="s">
        <v>788</v>
      </c>
      <c r="J10023" s="380" t="s">
        <v>773</v>
      </c>
      <c r="K10023" s="381">
        <v>0.0</v>
      </c>
      <c r="L10023" s="382">
        <v>1.0</v>
      </c>
    </row>
    <row r="10024">
      <c r="A10024" s="380" t="s">
        <v>10898</v>
      </c>
      <c r="B10024" s="380" t="str">
        <f>IFERROR(__xludf.DUMMYFUNCTION("""COMPUTED_VALUE"""),"Volante Motor Hino 500 13450-E0b21")</f>
        <v>Volante Motor Hino 500 13450-E0b21</v>
      </c>
      <c r="C10024" s="380" t="str">
        <f>IFERROR(__xludf.DUMMYFUNCTION("""COMPUTED_VALUE"""),"70005445")</f>
        <v>70005445</v>
      </c>
      <c r="D10024" s="380" t="s">
        <v>767</v>
      </c>
      <c r="E10024" s="380" t="s">
        <v>786</v>
      </c>
      <c r="F10024" s="380" t="s">
        <v>787</v>
      </c>
      <c r="G10024" s="380" t="s">
        <v>1267</v>
      </c>
      <c r="H10024" s="380" t="s">
        <v>771</v>
      </c>
      <c r="I10024" s="380" t="s">
        <v>788</v>
      </c>
      <c r="J10024" s="380" t="s">
        <v>773</v>
      </c>
      <c r="K10024" s="381">
        <v>0.0</v>
      </c>
      <c r="L10024" s="382">
        <v>1.0</v>
      </c>
    </row>
    <row r="10025">
      <c r="A10025" s="380" t="s">
        <v>10899</v>
      </c>
      <c r="B10025" s="380" t="str">
        <f>IFERROR(__xludf.DUMMYFUNCTION("""COMPUTED_VALUE"""),"SOP Caucho Refrigerante VW Fabricado")</f>
        <v>SOP Caucho Refrigerante VW Fabricado</v>
      </c>
      <c r="C10025" s="380" t="str">
        <f>IFERROR(__xludf.DUMMYFUNCTION("""COMPUTED_VALUE"""),"70005446")</f>
        <v>70005446</v>
      </c>
      <c r="D10025" s="380" t="s">
        <v>767</v>
      </c>
      <c r="E10025" s="380" t="s">
        <v>786</v>
      </c>
      <c r="F10025" s="380" t="s">
        <v>787</v>
      </c>
      <c r="G10025" s="380" t="s">
        <v>1267</v>
      </c>
      <c r="H10025" s="380" t="s">
        <v>771</v>
      </c>
      <c r="I10025" s="380" t="s">
        <v>788</v>
      </c>
      <c r="J10025" s="380" t="s">
        <v>773</v>
      </c>
      <c r="K10025" s="381">
        <v>0.0</v>
      </c>
      <c r="L10025" s="382">
        <v>1.0</v>
      </c>
    </row>
    <row r="10026">
      <c r="A10026" s="380" t="s">
        <v>10900</v>
      </c>
      <c r="B10026" s="380" t="str">
        <f>IFERROR(__xludf.DUMMYFUNCTION("""COMPUTED_VALUE"""),"Alternador Motor Cummins Isf 3.8 Generic")</f>
        <v>Alternador Motor Cummins Isf 3.8 Generic</v>
      </c>
      <c r="C10026" s="380" t="str">
        <f>IFERROR(__xludf.DUMMYFUNCTION("""COMPUTED_VALUE"""),"70005447")</f>
        <v>70005447</v>
      </c>
      <c r="D10026" s="380" t="s">
        <v>767</v>
      </c>
      <c r="E10026" s="380" t="s">
        <v>786</v>
      </c>
      <c r="F10026" s="380" t="s">
        <v>998</v>
      </c>
      <c r="G10026" s="380" t="s">
        <v>1267</v>
      </c>
      <c r="H10026" s="380" t="s">
        <v>771</v>
      </c>
      <c r="I10026" s="380" t="s">
        <v>788</v>
      </c>
      <c r="J10026" s="380" t="s">
        <v>773</v>
      </c>
      <c r="K10026" s="381">
        <v>0.0</v>
      </c>
      <c r="L10026" s="382">
        <v>1.0</v>
      </c>
    </row>
    <row r="10027">
      <c r="A10027" s="380" t="s">
        <v>10901</v>
      </c>
      <c r="B10027" s="380" t="str">
        <f>IFERROR(__xludf.DUMMYFUNCTION("""COMPUTED_VALUE"""),"EMP Culata MOT FT 1065 7705946735131")</f>
        <v>EMP Culata MOT FT 1065 7705946735131</v>
      </c>
      <c r="C10027" s="380" t="str">
        <f>IFERROR(__xludf.DUMMYFUNCTION("""COMPUTED_VALUE"""),"70005448")</f>
        <v>70005448</v>
      </c>
      <c r="D10027" s="380" t="s">
        <v>767</v>
      </c>
      <c r="E10027" s="380" t="s">
        <v>786</v>
      </c>
      <c r="F10027" s="380" t="s">
        <v>787</v>
      </c>
      <c r="G10027" s="380" t="s">
        <v>1267</v>
      </c>
      <c r="H10027" s="380" t="s">
        <v>771</v>
      </c>
      <c r="I10027" s="380" t="s">
        <v>788</v>
      </c>
      <c r="J10027" s="380" t="s">
        <v>773</v>
      </c>
      <c r="K10027" s="381">
        <v>0.0</v>
      </c>
      <c r="L10027" s="382">
        <v>1.0</v>
      </c>
    </row>
    <row r="10028">
      <c r="A10028" s="380" t="s">
        <v>10902</v>
      </c>
      <c r="B10028" s="380" t="str">
        <f>IFERROR(__xludf.DUMMYFUNCTION("""COMPUTED_VALUE"""),"Kit EMP MOT FT 1065 7701023148726")</f>
        <v>Kit EMP MOT FT 1065 7701023148726</v>
      </c>
      <c r="C10028" s="380" t="str">
        <f>IFERROR(__xludf.DUMMYFUNCTION("""COMPUTED_VALUE"""),"70005449")</f>
        <v>70005449</v>
      </c>
      <c r="D10028" s="380" t="s">
        <v>767</v>
      </c>
      <c r="E10028" s="380" t="s">
        <v>786</v>
      </c>
      <c r="F10028" s="380" t="s">
        <v>787</v>
      </c>
      <c r="G10028" s="380" t="s">
        <v>1267</v>
      </c>
      <c r="H10028" s="380" t="s">
        <v>771</v>
      </c>
      <c r="I10028" s="380" t="s">
        <v>788</v>
      </c>
      <c r="J10028" s="380" t="s">
        <v>773</v>
      </c>
      <c r="K10028" s="381">
        <v>0.0</v>
      </c>
      <c r="L10028" s="382">
        <v>1.0</v>
      </c>
    </row>
    <row r="10029">
      <c r="A10029" s="380" t="s">
        <v>10903</v>
      </c>
      <c r="B10029" s="380" t="str">
        <f>IFERROR(__xludf.DUMMYFUNCTION("""COMPUTED_VALUE"""),"Terminal BRR Corta DIR Daf Cf 480ftt 168")</f>
        <v>Terminal BRR Corta DIR Daf Cf 480ftt 168</v>
      </c>
      <c r="C10029" s="380" t="str">
        <f>IFERROR(__xludf.DUMMYFUNCTION("""COMPUTED_VALUE"""),"70005450")</f>
        <v>70005450</v>
      </c>
      <c r="D10029" s="380" t="s">
        <v>767</v>
      </c>
      <c r="E10029" s="380" t="s">
        <v>786</v>
      </c>
      <c r="F10029" s="380" t="s">
        <v>1020</v>
      </c>
      <c r="G10029" s="380" t="s">
        <v>1267</v>
      </c>
      <c r="H10029" s="380" t="s">
        <v>771</v>
      </c>
      <c r="I10029" s="380" t="s">
        <v>788</v>
      </c>
      <c r="J10029" s="380" t="s">
        <v>773</v>
      </c>
      <c r="K10029" s="381">
        <v>0.0</v>
      </c>
      <c r="L10029" s="382">
        <v>1.0</v>
      </c>
    </row>
    <row r="10030">
      <c r="A10030" s="380" t="s">
        <v>10904</v>
      </c>
      <c r="B10030" s="380" t="str">
        <f>IFERROR(__xludf.DUMMYFUNCTION("""COMPUTED_VALUE"""),"Switch CTRL Fan Clutch INT Lt 4102413c1")</f>
        <v>Switch CTRL Fan Clutch INT Lt 4102413c1</v>
      </c>
      <c r="C10030" s="380" t="str">
        <f>IFERROR(__xludf.DUMMYFUNCTION("""COMPUTED_VALUE"""),"70005451")</f>
        <v>70005451</v>
      </c>
      <c r="D10030" s="380" t="s">
        <v>767</v>
      </c>
      <c r="E10030" s="380" t="s">
        <v>786</v>
      </c>
      <c r="F10030" s="380" t="s">
        <v>998</v>
      </c>
      <c r="G10030" s="380" t="s">
        <v>1267</v>
      </c>
      <c r="H10030" s="380" t="s">
        <v>771</v>
      </c>
      <c r="I10030" s="380" t="s">
        <v>788</v>
      </c>
      <c r="J10030" s="380" t="s">
        <v>773</v>
      </c>
      <c r="K10030" s="381">
        <v>0.0</v>
      </c>
      <c r="L10030" s="382">
        <v>1.0</v>
      </c>
    </row>
    <row r="10031">
      <c r="A10031" s="380" t="s">
        <v>10905</v>
      </c>
      <c r="B10031" s="380" t="str">
        <f>IFERROR(__xludf.DUMMYFUNCTION("""COMPUTED_VALUE"""),"Cojinete Rodillo Afilado Speed Diferenci")</f>
        <v>Cojinete Rodillo Afilado Speed Diferenci</v>
      </c>
      <c r="C10031" s="380" t="str">
        <f>IFERROR(__xludf.DUMMYFUNCTION("""COMPUTED_VALUE"""),"70005452")</f>
        <v>70005452</v>
      </c>
      <c r="D10031" s="380" t="s">
        <v>767</v>
      </c>
      <c r="E10031" s="380" t="s">
        <v>786</v>
      </c>
      <c r="F10031" s="380" t="s">
        <v>5683</v>
      </c>
      <c r="G10031" s="380" t="s">
        <v>1267</v>
      </c>
      <c r="H10031" s="380" t="s">
        <v>771</v>
      </c>
      <c r="I10031" s="380" t="s">
        <v>788</v>
      </c>
      <c r="J10031" s="380" t="s">
        <v>773</v>
      </c>
      <c r="K10031" s="381">
        <v>0.0</v>
      </c>
      <c r="L10031" s="382">
        <v>1.0</v>
      </c>
    </row>
    <row r="10032">
      <c r="A10032" s="380" t="s">
        <v>10906</v>
      </c>
      <c r="B10032" s="380" t="str">
        <f>IFERROR(__xludf.DUMMYFUNCTION("""COMPUTED_VALUE"""),"Cojinete Rodillo Afilado Divisor Diferen")</f>
        <v>Cojinete Rodillo Afilado Divisor Diferen</v>
      </c>
      <c r="C10032" s="380" t="str">
        <f>IFERROR(__xludf.DUMMYFUNCTION("""COMPUTED_VALUE"""),"70005453")</f>
        <v>70005453</v>
      </c>
      <c r="D10032" s="380" t="s">
        <v>767</v>
      </c>
      <c r="E10032" s="380" t="s">
        <v>786</v>
      </c>
      <c r="F10032" s="380" t="s">
        <v>5683</v>
      </c>
      <c r="G10032" s="380" t="s">
        <v>1267</v>
      </c>
      <c r="H10032" s="380" t="s">
        <v>771</v>
      </c>
      <c r="I10032" s="380" t="s">
        <v>788</v>
      </c>
      <c r="J10032" s="380" t="s">
        <v>773</v>
      </c>
      <c r="K10032" s="381">
        <v>0.0</v>
      </c>
      <c r="L10032" s="382">
        <v>1.0</v>
      </c>
    </row>
    <row r="10033">
      <c r="A10033" s="380" t="s">
        <v>10907</v>
      </c>
      <c r="B10033" s="380" t="str">
        <f>IFERROR(__xludf.DUMMYFUNCTION("""COMPUTED_VALUE"""),"Tuberia Refrigerante VW Fabricado")</f>
        <v>Tuberia Refrigerante VW Fabricado</v>
      </c>
      <c r="C10033" s="380" t="str">
        <f>IFERROR(__xludf.DUMMYFUNCTION("""COMPUTED_VALUE"""),"70005454")</f>
        <v>70005454</v>
      </c>
      <c r="D10033" s="380" t="s">
        <v>767</v>
      </c>
      <c r="E10033" s="380" t="s">
        <v>786</v>
      </c>
      <c r="F10033" s="380" t="s">
        <v>787</v>
      </c>
      <c r="G10033" s="380" t="s">
        <v>1267</v>
      </c>
      <c r="H10033" s="380" t="s">
        <v>771</v>
      </c>
      <c r="I10033" s="380" t="s">
        <v>788</v>
      </c>
      <c r="J10033" s="380" t="s">
        <v>773</v>
      </c>
      <c r="K10033" s="381">
        <v>0.0</v>
      </c>
      <c r="L10033" s="382">
        <v>1.0</v>
      </c>
    </row>
    <row r="10034">
      <c r="A10034" s="380" t="s">
        <v>10908</v>
      </c>
      <c r="B10034" s="380" t="str">
        <f>IFERROR(__xludf.DUMMYFUNCTION("""COMPUTED_VALUE"""),"Eje Fijo Mod. Caja De Velocidades Jac Jh")</f>
        <v>Eje Fijo Mod. Caja De Velocidades Jac Jh</v>
      </c>
      <c r="C10034" s="380" t="str">
        <f>IFERROR(__xludf.DUMMYFUNCTION("""COMPUTED_VALUE"""),"70005455")</f>
        <v>70005455</v>
      </c>
      <c r="D10034" s="380" t="s">
        <v>767</v>
      </c>
      <c r="E10034" s="380" t="s">
        <v>786</v>
      </c>
      <c r="F10034" s="380" t="s">
        <v>928</v>
      </c>
      <c r="G10034" s="380" t="s">
        <v>1267</v>
      </c>
      <c r="H10034" s="380" t="s">
        <v>771</v>
      </c>
      <c r="I10034" s="380" t="s">
        <v>788</v>
      </c>
      <c r="J10034" s="380" t="s">
        <v>773</v>
      </c>
      <c r="K10034" s="381">
        <v>0.0</v>
      </c>
      <c r="L10034" s="382">
        <v>1.0</v>
      </c>
    </row>
    <row r="10035">
      <c r="A10035" s="380" t="s">
        <v>10909</v>
      </c>
      <c r="B10035" s="380" t="str">
        <f>IFERROR(__xludf.DUMMYFUNCTION("""COMPUTED_VALUE"""),"Tubo Hidraulico DIR HY H100 Fabricado")</f>
        <v>Tubo Hidraulico DIR HY H100 Fabricado</v>
      </c>
      <c r="C10035" s="380" t="str">
        <f>IFERROR(__xludf.DUMMYFUNCTION("""COMPUTED_VALUE"""),"70005456")</f>
        <v>70005456</v>
      </c>
      <c r="D10035" s="380" t="s">
        <v>767</v>
      </c>
      <c r="E10035" s="380" t="s">
        <v>786</v>
      </c>
      <c r="F10035" s="380" t="s">
        <v>1020</v>
      </c>
      <c r="G10035" s="380" t="s">
        <v>1267</v>
      </c>
      <c r="H10035" s="380" t="s">
        <v>771</v>
      </c>
      <c r="I10035" s="380" t="s">
        <v>788</v>
      </c>
      <c r="J10035" s="380" t="s">
        <v>773</v>
      </c>
      <c r="K10035" s="381">
        <v>0.0</v>
      </c>
      <c r="L10035" s="382">
        <v>1.0</v>
      </c>
    </row>
    <row r="10036">
      <c r="A10036" s="380" t="s">
        <v>10910</v>
      </c>
      <c r="B10036" s="380" t="str">
        <f>IFERROR(__xludf.DUMMYFUNCTION("""COMPUTED_VALUE"""),"Polea Alternador International 3565205c1")</f>
        <v>Polea Alternador International 3565205c1</v>
      </c>
      <c r="C10036" s="380" t="str">
        <f>IFERROR(__xludf.DUMMYFUNCTION("""COMPUTED_VALUE"""),"70005457")</f>
        <v>70005457</v>
      </c>
      <c r="D10036" s="380" t="s">
        <v>767</v>
      </c>
      <c r="E10036" s="380" t="s">
        <v>786</v>
      </c>
      <c r="F10036" s="380" t="s">
        <v>998</v>
      </c>
      <c r="G10036" s="380" t="s">
        <v>1267</v>
      </c>
      <c r="H10036" s="380" t="s">
        <v>771</v>
      </c>
      <c r="I10036" s="380" t="s">
        <v>788</v>
      </c>
      <c r="J10036" s="380" t="s">
        <v>773</v>
      </c>
      <c r="K10036" s="381">
        <v>0.0</v>
      </c>
      <c r="L10036" s="382">
        <v>1.0</v>
      </c>
    </row>
    <row r="10037">
      <c r="A10037" s="380" t="s">
        <v>10911</v>
      </c>
      <c r="B10037" s="380" t="str">
        <f>IFERROR(__xludf.DUMMYFUNCTION("""COMPUTED_VALUE"""),"Bombillo Luces INT Prostar Jgox2 Led 180")</f>
        <v>Bombillo Luces INT Prostar Jgox2 Led 180</v>
      </c>
      <c r="C10037" s="380" t="str">
        <f>IFERROR(__xludf.DUMMYFUNCTION("""COMPUTED_VALUE"""),"70005458")</f>
        <v>70005458</v>
      </c>
      <c r="D10037" s="380" t="s">
        <v>767</v>
      </c>
      <c r="E10037" s="380" t="s">
        <v>786</v>
      </c>
      <c r="F10037" s="380" t="s">
        <v>998</v>
      </c>
      <c r="G10037" s="380" t="s">
        <v>1267</v>
      </c>
      <c r="H10037" s="380" t="s">
        <v>771</v>
      </c>
      <c r="I10037" s="380" t="s">
        <v>788</v>
      </c>
      <c r="J10037" s="380" t="s">
        <v>773</v>
      </c>
      <c r="K10037" s="381">
        <v>182070.0</v>
      </c>
      <c r="L10037" s="382">
        <v>1.0</v>
      </c>
    </row>
    <row r="10038">
      <c r="A10038" s="380" t="s">
        <v>10912</v>
      </c>
      <c r="B10038" s="380" t="str">
        <f>IFERROR(__xludf.DUMMYFUNCTION("""COMPUTED_VALUE"""),"Sensor Nox International Lt 2894943")</f>
        <v>Sensor Nox International Lt 2894943</v>
      </c>
      <c r="C10038" s="380" t="str">
        <f>IFERROR(__xludf.DUMMYFUNCTION("""COMPUTED_VALUE"""),"70005459")</f>
        <v>70005459</v>
      </c>
      <c r="D10038" s="380" t="s">
        <v>767</v>
      </c>
      <c r="E10038" s="380" t="s">
        <v>786</v>
      </c>
      <c r="F10038" s="380" t="s">
        <v>998</v>
      </c>
      <c r="G10038" s="380" t="s">
        <v>1267</v>
      </c>
      <c r="H10038" s="380" t="s">
        <v>771</v>
      </c>
      <c r="I10038" s="380" t="s">
        <v>788</v>
      </c>
      <c r="J10038" s="380" t="s">
        <v>773</v>
      </c>
      <c r="K10038" s="381">
        <v>3842099.0</v>
      </c>
      <c r="L10038" s="382">
        <v>1.0</v>
      </c>
    </row>
    <row r="10039">
      <c r="A10039" s="380" t="s">
        <v>10913</v>
      </c>
      <c r="B10039" s="380" t="str">
        <f>IFERROR(__xludf.DUMMYFUNCTION("""COMPUTED_VALUE"""),"Propulsor CJ Velocidades Jac Jhr R170111")</f>
        <v>Propulsor CJ Velocidades Jac Jhr R170111</v>
      </c>
      <c r="C10039" s="380" t="str">
        <f>IFERROR(__xludf.DUMMYFUNCTION("""COMPUTED_VALUE"""),"70005460")</f>
        <v>70005460</v>
      </c>
      <c r="D10039" s="380" t="s">
        <v>767</v>
      </c>
      <c r="E10039" s="380" t="s">
        <v>786</v>
      </c>
      <c r="F10039" s="380" t="s">
        <v>928</v>
      </c>
      <c r="G10039" s="380" t="s">
        <v>1267</v>
      </c>
      <c r="H10039" s="380" t="s">
        <v>771</v>
      </c>
      <c r="I10039" s="380" t="s">
        <v>788</v>
      </c>
      <c r="J10039" s="380" t="s">
        <v>773</v>
      </c>
      <c r="K10039" s="381">
        <v>0.0</v>
      </c>
      <c r="L10039" s="382">
        <v>1.0</v>
      </c>
    </row>
    <row r="10040">
      <c r="A10040" s="380" t="s">
        <v>10914</v>
      </c>
      <c r="B10040" s="380" t="str">
        <f>IFERROR(__xludf.DUMMYFUNCTION("""COMPUTED_VALUE"""),"Manija INTna PTA IZQ EGL 1649759c1")</f>
        <v>Manija INTna PTA IZQ EGL 1649759c1</v>
      </c>
      <c r="C10040" s="380" t="str">
        <f>IFERROR(__xludf.DUMMYFUNCTION("""COMPUTED_VALUE"""),"70005461")</f>
        <v>70005461</v>
      </c>
      <c r="D10040" s="380" t="s">
        <v>767</v>
      </c>
      <c r="E10040" s="380" t="s">
        <v>786</v>
      </c>
      <c r="F10040" s="380" t="s">
        <v>1031</v>
      </c>
      <c r="G10040" s="380" t="s">
        <v>1267</v>
      </c>
      <c r="H10040" s="380" t="s">
        <v>771</v>
      </c>
      <c r="I10040" s="380" t="s">
        <v>788</v>
      </c>
      <c r="J10040" s="380" t="s">
        <v>773</v>
      </c>
      <c r="K10040" s="381">
        <v>0.0</v>
      </c>
      <c r="L10040" s="382">
        <v>1.0</v>
      </c>
    </row>
    <row r="10041">
      <c r="A10041" s="380" t="s">
        <v>10915</v>
      </c>
      <c r="B10041" s="380" t="str">
        <f>IFERROR(__xludf.DUMMYFUNCTION("""COMPUTED_VALUE"""),"Amortiguador Lateral CAB TRAS Daf Rf9557")</f>
        <v>Amortiguador Lateral CAB TRAS Daf Rf9557</v>
      </c>
      <c r="C10041" s="380" t="str">
        <f>IFERROR(__xludf.DUMMYFUNCTION("""COMPUTED_VALUE"""),"70005462")</f>
        <v>70005462</v>
      </c>
      <c r="D10041" s="380" t="s">
        <v>767</v>
      </c>
      <c r="E10041" s="380" t="s">
        <v>786</v>
      </c>
      <c r="F10041" s="380" t="s">
        <v>792</v>
      </c>
      <c r="G10041" s="380" t="s">
        <v>1267</v>
      </c>
      <c r="H10041" s="380" t="s">
        <v>771</v>
      </c>
      <c r="I10041" s="380" t="s">
        <v>788</v>
      </c>
      <c r="J10041" s="380" t="s">
        <v>773</v>
      </c>
      <c r="K10041" s="381">
        <v>0.0</v>
      </c>
      <c r="L10041" s="382">
        <v>1.0</v>
      </c>
    </row>
    <row r="10042">
      <c r="A10042" s="380" t="s">
        <v>10916</v>
      </c>
      <c r="B10042" s="380" t="str">
        <f>IFERROR(__xludf.DUMMYFUNCTION("""COMPUTED_VALUE"""),"Amortiguador Del CAB Daf Cf 480ftt 19364")</f>
        <v>Amortiguador Del CAB Daf Cf 480ftt 19364</v>
      </c>
      <c r="C10042" s="380" t="str">
        <f>IFERROR(__xludf.DUMMYFUNCTION("""COMPUTED_VALUE"""),"70005463")</f>
        <v>70005463</v>
      </c>
      <c r="D10042" s="380" t="s">
        <v>767</v>
      </c>
      <c r="E10042" s="380" t="s">
        <v>786</v>
      </c>
      <c r="F10042" s="380" t="s">
        <v>1039</v>
      </c>
      <c r="G10042" s="380" t="s">
        <v>1267</v>
      </c>
      <c r="H10042" s="380" t="s">
        <v>771</v>
      </c>
      <c r="I10042" s="380" t="s">
        <v>788</v>
      </c>
      <c r="J10042" s="380" t="s">
        <v>773</v>
      </c>
      <c r="K10042" s="381">
        <v>0.0</v>
      </c>
      <c r="L10042" s="382">
        <v>1.0</v>
      </c>
    </row>
    <row r="10043">
      <c r="A10043" s="380" t="s">
        <v>10917</v>
      </c>
      <c r="B10043" s="380" t="str">
        <f>IFERROR(__xludf.DUMMYFUNCTION("""COMPUTED_VALUE"""),"Kit Anillos MOT X 4 Pistones FT 1065 770")</f>
        <v>Kit Anillos MOT X 4 Pistones FT 1065 770</v>
      </c>
      <c r="C10043" s="380" t="str">
        <f>IFERROR(__xludf.DUMMYFUNCTION("""COMPUTED_VALUE"""),"70005464")</f>
        <v>70005464</v>
      </c>
      <c r="D10043" s="380" t="s">
        <v>767</v>
      </c>
      <c r="E10043" s="380" t="s">
        <v>786</v>
      </c>
      <c r="F10043" s="380" t="s">
        <v>787</v>
      </c>
      <c r="G10043" s="380" t="s">
        <v>1267</v>
      </c>
      <c r="H10043" s="380" t="s">
        <v>771</v>
      </c>
      <c r="I10043" s="380" t="s">
        <v>788</v>
      </c>
      <c r="J10043" s="380" t="s">
        <v>773</v>
      </c>
      <c r="K10043" s="381">
        <v>0.0</v>
      </c>
      <c r="L10043" s="382">
        <v>1.0</v>
      </c>
    </row>
    <row r="10044">
      <c r="A10044" s="380" t="s">
        <v>10918</v>
      </c>
      <c r="B10044" s="380" t="str">
        <f>IFERROR(__xludf.DUMMYFUNCTION("""COMPUTED_VALUE"""),"Eje Fijo CJ De Velocidades Jac Jhr R1701")</f>
        <v>Eje Fijo CJ De Velocidades Jac Jhr R1701</v>
      </c>
      <c r="C10044" s="380" t="str">
        <f>IFERROR(__xludf.DUMMYFUNCTION("""COMPUTED_VALUE"""),"70005465")</f>
        <v>70005465</v>
      </c>
      <c r="D10044" s="380" t="s">
        <v>767</v>
      </c>
      <c r="E10044" s="380" t="s">
        <v>786</v>
      </c>
      <c r="F10044" s="380" t="s">
        <v>928</v>
      </c>
      <c r="G10044" s="380" t="s">
        <v>1267</v>
      </c>
      <c r="H10044" s="380" t="s">
        <v>771</v>
      </c>
      <c r="I10044" s="380" t="s">
        <v>788</v>
      </c>
      <c r="J10044" s="380" t="s">
        <v>773</v>
      </c>
      <c r="K10044" s="381">
        <v>0.0</v>
      </c>
      <c r="L10044" s="382">
        <v>1.0</v>
      </c>
    </row>
    <row r="10045">
      <c r="A10045" s="380" t="s">
        <v>10919</v>
      </c>
      <c r="B10045" s="380" t="str">
        <f>IFERROR(__xludf.DUMMYFUNCTION("""COMPUTED_VALUE"""),"Conjunto Sincronizador 3ra/4ta Jac Jhr A")</f>
        <v>Conjunto Sincronizador 3ra/4ta Jac Jhr A</v>
      </c>
      <c r="C10045" s="380" t="str">
        <f>IFERROR(__xludf.DUMMYFUNCTION("""COMPUTED_VALUE"""),"70005466")</f>
        <v>70005466</v>
      </c>
      <c r="D10045" s="380" t="s">
        <v>767</v>
      </c>
      <c r="E10045" s="380" t="s">
        <v>786</v>
      </c>
      <c r="F10045" s="380" t="s">
        <v>928</v>
      </c>
      <c r="G10045" s="380" t="s">
        <v>1267</v>
      </c>
      <c r="H10045" s="380" t="s">
        <v>771</v>
      </c>
      <c r="I10045" s="380" t="s">
        <v>788</v>
      </c>
      <c r="J10045" s="380" t="s">
        <v>773</v>
      </c>
      <c r="K10045" s="381">
        <v>0.0</v>
      </c>
      <c r="L10045" s="382">
        <v>1.0</v>
      </c>
    </row>
    <row r="10046">
      <c r="A10046" s="380" t="s">
        <v>10920</v>
      </c>
      <c r="B10046" s="380" t="str">
        <f>IFERROR(__xludf.DUMMYFUNCTION("""COMPUTED_VALUE"""),"MANG INTcooler FT 1129 7701023979160")</f>
        <v>MANG INTcooler FT 1129 7701023979160</v>
      </c>
      <c r="C10046" s="380" t="str">
        <f>IFERROR(__xludf.DUMMYFUNCTION("""COMPUTED_VALUE"""),"70005467")</f>
        <v>70005467</v>
      </c>
      <c r="D10046" s="380" t="s">
        <v>767</v>
      </c>
      <c r="E10046" s="380" t="s">
        <v>786</v>
      </c>
      <c r="F10046" s="380" t="s">
        <v>787</v>
      </c>
      <c r="G10046" s="380" t="s">
        <v>1267</v>
      </c>
      <c r="H10046" s="380" t="s">
        <v>771</v>
      </c>
      <c r="I10046" s="380" t="s">
        <v>788</v>
      </c>
      <c r="J10046" s="380" t="s">
        <v>773</v>
      </c>
      <c r="K10046" s="381">
        <v>0.0</v>
      </c>
      <c r="L10046" s="382">
        <v>1.0</v>
      </c>
    </row>
    <row r="10047">
      <c r="A10047" s="380" t="s">
        <v>10921</v>
      </c>
      <c r="B10047" s="380" t="str">
        <f>IFERROR(__xludf.DUMMYFUNCTION("""COMPUTED_VALUE"""),"Tapon Culata Nkr Reward - 18 Mm 51121900")</f>
        <v>Tapon Culata Nkr Reward - 18 Mm 51121900</v>
      </c>
      <c r="C10047" s="380" t="str">
        <f>IFERROR(__xludf.DUMMYFUNCTION("""COMPUTED_VALUE"""),"70005468")</f>
        <v>70005468</v>
      </c>
      <c r="D10047" s="380" t="s">
        <v>767</v>
      </c>
      <c r="E10047" s="380" t="s">
        <v>786</v>
      </c>
      <c r="F10047" s="380" t="s">
        <v>787</v>
      </c>
      <c r="G10047" s="380" t="s">
        <v>1267</v>
      </c>
      <c r="H10047" s="380" t="s">
        <v>771</v>
      </c>
      <c r="I10047" s="380" t="s">
        <v>788</v>
      </c>
      <c r="J10047" s="380" t="s">
        <v>773</v>
      </c>
      <c r="K10047" s="381">
        <v>0.0</v>
      </c>
      <c r="L10047" s="382">
        <v>1.0</v>
      </c>
    </row>
    <row r="10048">
      <c r="A10048" s="380" t="s">
        <v>10922</v>
      </c>
      <c r="B10048" s="380" t="str">
        <f>IFERROR(__xludf.DUMMYFUNCTION("""COMPUTED_VALUE"""),"Brazo Inferior Amortiguador Tras. Foton")</f>
        <v>Brazo Inferior Amortiguador Tras. Foton</v>
      </c>
      <c r="C10048" s="380" t="str">
        <f>IFERROR(__xludf.DUMMYFUNCTION("""COMPUTED_VALUE"""),"70005469")</f>
        <v>70005469</v>
      </c>
      <c r="D10048" s="380" t="s">
        <v>767</v>
      </c>
      <c r="E10048" s="380" t="s">
        <v>786</v>
      </c>
      <c r="F10048" s="380" t="s">
        <v>1039</v>
      </c>
      <c r="G10048" s="380" t="s">
        <v>1267</v>
      </c>
      <c r="H10048" s="380" t="s">
        <v>771</v>
      </c>
      <c r="I10048" s="380" t="s">
        <v>788</v>
      </c>
      <c r="J10048" s="380" t="s">
        <v>773</v>
      </c>
      <c r="K10048" s="381">
        <v>0.0</v>
      </c>
      <c r="L10048" s="382">
        <v>1.0</v>
      </c>
    </row>
    <row r="10049">
      <c r="A10049" s="380" t="s">
        <v>10923</v>
      </c>
      <c r="B10049" s="380" t="str">
        <f>IFERROR(__xludf.DUMMYFUNCTION("""COMPUTED_VALUE"""),"BRR Estabilizadora DEL FT 1128 770594669")</f>
        <v>BRR Estabilizadora DEL FT 1128 770594669</v>
      </c>
      <c r="C10049" s="380" t="str">
        <f>IFERROR(__xludf.DUMMYFUNCTION("""COMPUTED_VALUE"""),"70005470")</f>
        <v>70005470</v>
      </c>
      <c r="D10049" s="380" t="s">
        <v>767</v>
      </c>
      <c r="E10049" s="380" t="s">
        <v>786</v>
      </c>
      <c r="F10049" s="380" t="s">
        <v>1039</v>
      </c>
      <c r="G10049" s="380" t="s">
        <v>1267</v>
      </c>
      <c r="H10049" s="380" t="s">
        <v>771</v>
      </c>
      <c r="I10049" s="380" t="s">
        <v>788</v>
      </c>
      <c r="J10049" s="380" t="s">
        <v>773</v>
      </c>
      <c r="K10049" s="381">
        <v>0.0</v>
      </c>
      <c r="L10049" s="382">
        <v>1.0</v>
      </c>
    </row>
    <row r="10050">
      <c r="A10050" s="380" t="s">
        <v>10924</v>
      </c>
      <c r="B10050" s="380" t="str">
        <f>IFERROR(__xludf.DUMMYFUNCTION("""COMPUTED_VALUE"""),"Rodamiento INTno Diferencial Daf Cf480 1")</f>
        <v>Rodamiento INTno Diferencial Daf Cf480 1</v>
      </c>
      <c r="C10050" s="380" t="str">
        <f>IFERROR(__xludf.DUMMYFUNCTION("""COMPUTED_VALUE"""),"70005471")</f>
        <v>70005471</v>
      </c>
      <c r="D10050" s="380" t="s">
        <v>767</v>
      </c>
      <c r="E10050" s="380" t="s">
        <v>786</v>
      </c>
      <c r="F10050" s="380" t="s">
        <v>5683</v>
      </c>
      <c r="G10050" s="380" t="s">
        <v>1267</v>
      </c>
      <c r="H10050" s="380" t="s">
        <v>771</v>
      </c>
      <c r="I10050" s="380" t="s">
        <v>788</v>
      </c>
      <c r="J10050" s="380" t="s">
        <v>773</v>
      </c>
      <c r="K10050" s="381">
        <v>0.0</v>
      </c>
      <c r="L10050" s="382">
        <v>1.0</v>
      </c>
    </row>
    <row r="10051">
      <c r="A10051" s="380" t="s">
        <v>10925</v>
      </c>
      <c r="B10051" s="380" t="str">
        <f>IFERROR(__xludf.DUMMYFUNCTION("""COMPUTED_VALUE"""),"Rodamiento Diferencial Daf Cf480 1912037")</f>
        <v>Rodamiento Diferencial Daf Cf480 1912037</v>
      </c>
      <c r="C10051" s="380" t="str">
        <f>IFERROR(__xludf.DUMMYFUNCTION("""COMPUTED_VALUE"""),"70005472")</f>
        <v>70005472</v>
      </c>
      <c r="D10051" s="380" t="s">
        <v>767</v>
      </c>
      <c r="E10051" s="380" t="s">
        <v>786</v>
      </c>
      <c r="F10051" s="380" t="s">
        <v>5683</v>
      </c>
      <c r="G10051" s="380" t="s">
        <v>1267</v>
      </c>
      <c r="H10051" s="380" t="s">
        <v>771</v>
      </c>
      <c r="I10051" s="380" t="s">
        <v>788</v>
      </c>
      <c r="J10051" s="380" t="s">
        <v>773</v>
      </c>
      <c r="K10051" s="381">
        <v>0.0</v>
      </c>
      <c r="L10051" s="382">
        <v>1.0</v>
      </c>
    </row>
    <row r="10052">
      <c r="A10052" s="380" t="s">
        <v>10926</v>
      </c>
      <c r="B10052" s="380" t="str">
        <f>IFERROR(__xludf.DUMMYFUNCTION("""COMPUTED_VALUE"""),"SOP BRR Estabilizadora FT 1128 770594671")</f>
        <v>SOP BRR Estabilizadora FT 1128 770594671</v>
      </c>
      <c r="C10052" s="380" t="str">
        <f>IFERROR(__xludf.DUMMYFUNCTION("""COMPUTED_VALUE"""),"70005473")</f>
        <v>70005473</v>
      </c>
      <c r="D10052" s="380" t="s">
        <v>767</v>
      </c>
      <c r="E10052" s="380" t="s">
        <v>786</v>
      </c>
      <c r="F10052" s="380" t="s">
        <v>1039</v>
      </c>
      <c r="G10052" s="380" t="s">
        <v>1267</v>
      </c>
      <c r="H10052" s="380" t="s">
        <v>771</v>
      </c>
      <c r="I10052" s="380" t="s">
        <v>788</v>
      </c>
      <c r="J10052" s="380" t="s">
        <v>773</v>
      </c>
      <c r="K10052" s="381">
        <v>120427.0</v>
      </c>
      <c r="L10052" s="382">
        <v>1.0</v>
      </c>
    </row>
    <row r="10053">
      <c r="A10053" s="380" t="s">
        <v>10927</v>
      </c>
      <c r="B10053" s="380" t="str">
        <f>IFERROR(__xludf.DUMMYFUNCTION("""COMPUTED_VALUE"""),"EMP Tubo De Escape INT Lt Fabricado")</f>
        <v>EMP Tubo De Escape INT Lt Fabricado</v>
      </c>
      <c r="C10053" s="380" t="str">
        <f>IFERROR(__xludf.DUMMYFUNCTION("""COMPUTED_VALUE"""),"70005474")</f>
        <v>70005474</v>
      </c>
      <c r="D10053" s="380" t="s">
        <v>767</v>
      </c>
      <c r="E10053" s="380" t="s">
        <v>786</v>
      </c>
      <c r="F10053" s="380" t="s">
        <v>989</v>
      </c>
      <c r="G10053" s="380" t="s">
        <v>1267</v>
      </c>
      <c r="H10053" s="380" t="s">
        <v>771</v>
      </c>
      <c r="I10053" s="380" t="s">
        <v>788</v>
      </c>
      <c r="J10053" s="380" t="s">
        <v>773</v>
      </c>
      <c r="K10053" s="381">
        <v>0.0</v>
      </c>
      <c r="L10053" s="382">
        <v>1.0</v>
      </c>
    </row>
    <row r="10054">
      <c r="A10054" s="380" t="s">
        <v>10928</v>
      </c>
      <c r="B10054" s="380" t="str">
        <f>IFERROR(__xludf.DUMMYFUNCTION("""COMPUTED_VALUE"""),"Troque DEL Completo FT 1128 770594699499")</f>
        <v>Troque DEL Completo FT 1128 770594699499</v>
      </c>
      <c r="C10054" s="380" t="str">
        <f>IFERROR(__xludf.DUMMYFUNCTION("""COMPUTED_VALUE"""),"70005475")</f>
        <v>70005475</v>
      </c>
      <c r="D10054" s="380" t="s">
        <v>767</v>
      </c>
      <c r="E10054" s="380" t="s">
        <v>786</v>
      </c>
      <c r="F10054" s="380" t="s">
        <v>792</v>
      </c>
      <c r="G10054" s="380" t="s">
        <v>1267</v>
      </c>
      <c r="H10054" s="380" t="s">
        <v>771</v>
      </c>
      <c r="I10054" s="380" t="s">
        <v>788</v>
      </c>
      <c r="J10054" s="380" t="s">
        <v>773</v>
      </c>
      <c r="K10054" s="381">
        <v>0.0</v>
      </c>
      <c r="L10054" s="382">
        <v>1.0</v>
      </c>
    </row>
    <row r="10055">
      <c r="A10055" s="380" t="s">
        <v>10929</v>
      </c>
      <c r="B10055" s="380" t="str">
        <f>IFERROR(__xludf.DUMMYFUNCTION("""COMPUTED_VALUE"""),"Caja Direccion FT 1128 7705946882644")</f>
        <v>Caja Direccion FT 1128 7705946882644</v>
      </c>
      <c r="C10055" s="380" t="str">
        <f>IFERROR(__xludf.DUMMYFUNCTION("""COMPUTED_VALUE"""),"70005476")</f>
        <v>70005476</v>
      </c>
      <c r="D10055" s="380" t="s">
        <v>767</v>
      </c>
      <c r="E10055" s="380" t="s">
        <v>786</v>
      </c>
      <c r="F10055" s="380" t="s">
        <v>1020</v>
      </c>
      <c r="G10055" s="380" t="s">
        <v>1267</v>
      </c>
      <c r="H10055" s="380" t="s">
        <v>771</v>
      </c>
      <c r="I10055" s="380" t="s">
        <v>788</v>
      </c>
      <c r="J10055" s="380" t="s">
        <v>773</v>
      </c>
      <c r="K10055" s="381">
        <v>0.0</v>
      </c>
      <c r="L10055" s="382">
        <v>1.0</v>
      </c>
    </row>
    <row r="10056">
      <c r="A10056" s="380" t="s">
        <v>10930</v>
      </c>
      <c r="B10056" s="380" t="str">
        <f>IFERROR(__xludf.DUMMYFUNCTION("""COMPUTED_VALUE"""),"Guardabarro DEL Izq FT 1128 770014912314")</f>
        <v>Guardabarro DEL Izq FT 1128 770014912314</v>
      </c>
      <c r="C10056" s="380" t="str">
        <f>IFERROR(__xludf.DUMMYFUNCTION("""COMPUTED_VALUE"""),"70005477")</f>
        <v>70005477</v>
      </c>
      <c r="D10056" s="380" t="s">
        <v>767</v>
      </c>
      <c r="E10056" s="380" t="s">
        <v>786</v>
      </c>
      <c r="F10056" s="380" t="s">
        <v>792</v>
      </c>
      <c r="G10056" s="380" t="s">
        <v>1267</v>
      </c>
      <c r="H10056" s="380" t="s">
        <v>771</v>
      </c>
      <c r="I10056" s="380" t="s">
        <v>788</v>
      </c>
      <c r="J10056" s="380" t="s">
        <v>773</v>
      </c>
      <c r="K10056" s="381">
        <v>0.0</v>
      </c>
      <c r="L10056" s="382">
        <v>1.0</v>
      </c>
    </row>
    <row r="10057">
      <c r="A10057" s="380" t="s">
        <v>10931</v>
      </c>
      <c r="B10057" s="380" t="str">
        <f>IFERROR(__xludf.DUMMYFUNCTION("""COMPUTED_VALUE"""),"Caja FILT De AIR FT 1128 7705946735148")</f>
        <v>Caja FILT De AIR FT 1128 7705946735148</v>
      </c>
      <c r="C10057" s="380" t="str">
        <f>IFERROR(__xludf.DUMMYFUNCTION("""COMPUTED_VALUE"""),"70005478")</f>
        <v>70005478</v>
      </c>
      <c r="D10057" s="380" t="s">
        <v>767</v>
      </c>
      <c r="E10057" s="380" t="s">
        <v>786</v>
      </c>
      <c r="F10057" s="380" t="s">
        <v>787</v>
      </c>
      <c r="G10057" s="380" t="s">
        <v>1267</v>
      </c>
      <c r="H10057" s="380" t="s">
        <v>771</v>
      </c>
      <c r="I10057" s="380" t="s">
        <v>788</v>
      </c>
      <c r="J10057" s="380" t="s">
        <v>773</v>
      </c>
      <c r="K10057" s="381">
        <v>0.0</v>
      </c>
      <c r="L10057" s="382">
        <v>1.0</v>
      </c>
    </row>
    <row r="10058">
      <c r="A10058" s="380" t="s">
        <v>10932</v>
      </c>
      <c r="B10058" s="380" t="str">
        <f>IFERROR(__xludf.DUMMYFUNCTION("""COMPUTED_VALUE"""),"Terminal Izq. Barra Dirección Larga Daf")</f>
        <v>Terminal Izq. Barra Dirección Larga Daf</v>
      </c>
      <c r="C10058" s="380" t="str">
        <f>IFERROR(__xludf.DUMMYFUNCTION("""COMPUTED_VALUE"""),"70005479")</f>
        <v>70005479</v>
      </c>
      <c r="D10058" s="380" t="s">
        <v>767</v>
      </c>
      <c r="E10058" s="380" t="s">
        <v>786</v>
      </c>
      <c r="F10058" s="380" t="s">
        <v>1020</v>
      </c>
      <c r="G10058" s="380" t="s">
        <v>1267</v>
      </c>
      <c r="H10058" s="380" t="s">
        <v>771</v>
      </c>
      <c r="I10058" s="380" t="s">
        <v>788</v>
      </c>
      <c r="J10058" s="380" t="s">
        <v>773</v>
      </c>
      <c r="K10058" s="381">
        <v>0.0</v>
      </c>
      <c r="L10058" s="382">
        <v>1.0</v>
      </c>
    </row>
    <row r="10059">
      <c r="A10059" s="380" t="s">
        <v>10933</v>
      </c>
      <c r="B10059" s="380" t="str">
        <f>IFERROR(__xludf.DUMMYFUNCTION("""COMPUTED_VALUE"""),"Piñon 3ra Caja Jac Jhr R17012400002")</f>
        <v>Piñon 3ra Caja Jac Jhr R17012400002</v>
      </c>
      <c r="C10059" s="380" t="str">
        <f>IFERROR(__xludf.DUMMYFUNCTION("""COMPUTED_VALUE"""),"70005480")</f>
        <v>70005480</v>
      </c>
      <c r="D10059" s="380" t="s">
        <v>767</v>
      </c>
      <c r="E10059" s="380" t="s">
        <v>786</v>
      </c>
      <c r="F10059" s="380" t="s">
        <v>928</v>
      </c>
      <c r="G10059" s="380" t="s">
        <v>1267</v>
      </c>
      <c r="H10059" s="380" t="s">
        <v>771</v>
      </c>
      <c r="I10059" s="380" t="s">
        <v>788</v>
      </c>
      <c r="J10059" s="380" t="s">
        <v>773</v>
      </c>
      <c r="K10059" s="381">
        <v>0.0</v>
      </c>
      <c r="L10059" s="382">
        <v>1.0</v>
      </c>
    </row>
    <row r="10060">
      <c r="A10060" s="380" t="s">
        <v>10934</v>
      </c>
      <c r="B10060" s="380" t="str">
        <f>IFERROR(__xludf.DUMMYFUNCTION("""COMPUTED_VALUE"""),"Terminal Der. Barra Direccion Larga Daf")</f>
        <v>Terminal Der. Barra Direccion Larga Daf</v>
      </c>
      <c r="C10060" s="380" t="str">
        <f>IFERROR(__xludf.DUMMYFUNCTION("""COMPUTED_VALUE"""),"70005481")</f>
        <v>70005481</v>
      </c>
      <c r="D10060" s="380" t="s">
        <v>767</v>
      </c>
      <c r="E10060" s="380" t="s">
        <v>786</v>
      </c>
      <c r="F10060" s="380" t="s">
        <v>1020</v>
      </c>
      <c r="G10060" s="380" t="s">
        <v>1267</v>
      </c>
      <c r="H10060" s="380" t="s">
        <v>771</v>
      </c>
      <c r="I10060" s="380" t="s">
        <v>788</v>
      </c>
      <c r="J10060" s="380" t="s">
        <v>773</v>
      </c>
      <c r="K10060" s="381">
        <v>0.0</v>
      </c>
      <c r="L10060" s="382">
        <v>1.0</v>
      </c>
    </row>
    <row r="10061">
      <c r="A10061" s="380" t="s">
        <v>10935</v>
      </c>
      <c r="B10061" s="380" t="str">
        <f>IFERROR(__xludf.DUMMYFUNCTION("""COMPUTED_VALUE"""),"Jgo Pastillas Freno Montacargas T Gas")</f>
        <v>Jgo Pastillas Freno Montacargas T Gas</v>
      </c>
      <c r="C10061" s="380" t="str">
        <f>IFERROR(__xludf.DUMMYFUNCTION("""COMPUTED_VALUE"""),"70005482")</f>
        <v>70005482</v>
      </c>
      <c r="D10061" s="380" t="s">
        <v>767</v>
      </c>
      <c r="E10061" s="380" t="s">
        <v>786</v>
      </c>
      <c r="F10061" s="380" t="s">
        <v>1017</v>
      </c>
      <c r="G10061" s="380" t="s">
        <v>1267</v>
      </c>
      <c r="H10061" s="380" t="s">
        <v>771</v>
      </c>
      <c r="I10061" s="380" t="s">
        <v>788</v>
      </c>
      <c r="J10061" s="380" t="s">
        <v>773</v>
      </c>
      <c r="K10061" s="381">
        <v>0.0</v>
      </c>
      <c r="L10061" s="382">
        <v>1.0</v>
      </c>
    </row>
    <row r="10062">
      <c r="A10062" s="380" t="s">
        <v>10936</v>
      </c>
      <c r="B10062" s="380" t="str">
        <f>IFERROR(__xludf.DUMMYFUNCTION("""COMPUTED_VALUE"""),"Kit Chupas Freno Montacargas Toyota Gas")</f>
        <v>Kit Chupas Freno Montacargas Toyota Gas</v>
      </c>
      <c r="C10062" s="380" t="str">
        <f>IFERROR(__xludf.DUMMYFUNCTION("""COMPUTED_VALUE"""),"70005483")</f>
        <v>70005483</v>
      </c>
      <c r="D10062" s="380" t="s">
        <v>767</v>
      </c>
      <c r="E10062" s="380" t="s">
        <v>786</v>
      </c>
      <c r="F10062" s="380" t="s">
        <v>1017</v>
      </c>
      <c r="G10062" s="380" t="s">
        <v>1267</v>
      </c>
      <c r="H10062" s="380" t="s">
        <v>771</v>
      </c>
      <c r="I10062" s="380" t="s">
        <v>788</v>
      </c>
      <c r="J10062" s="380" t="s">
        <v>773</v>
      </c>
      <c r="K10062" s="381">
        <v>0.0</v>
      </c>
      <c r="L10062" s="382">
        <v>1.0</v>
      </c>
    </row>
    <row r="10063">
      <c r="A10063" s="380" t="s">
        <v>10937</v>
      </c>
      <c r="B10063" s="380" t="str">
        <f>IFERROR(__xludf.DUMMYFUNCTION("""COMPUTED_VALUE"""),"Kit EMPs Compresor AIR MCK Cxu 912400")</f>
        <v>Kit EMPs Compresor AIR MCK Cxu 912400</v>
      </c>
      <c r="C10063" s="380" t="str">
        <f>IFERROR(__xludf.DUMMYFUNCTION("""COMPUTED_VALUE"""),"70005484")</f>
        <v>70005484</v>
      </c>
      <c r="D10063" s="380" t="s">
        <v>767</v>
      </c>
      <c r="E10063" s="380" t="s">
        <v>786</v>
      </c>
      <c r="F10063" s="380" t="s">
        <v>787</v>
      </c>
      <c r="G10063" s="380" t="s">
        <v>1267</v>
      </c>
      <c r="H10063" s="380" t="s">
        <v>771</v>
      </c>
      <c r="I10063" s="380" t="s">
        <v>788</v>
      </c>
      <c r="J10063" s="380" t="s">
        <v>773</v>
      </c>
      <c r="K10063" s="381">
        <v>0.0</v>
      </c>
      <c r="L10063" s="382">
        <v>1.0</v>
      </c>
    </row>
    <row r="10064">
      <c r="A10064" s="380" t="s">
        <v>10938</v>
      </c>
      <c r="B10064" s="380" t="str">
        <f>IFERROR(__xludf.DUMMYFUNCTION("""COMPUTED_VALUE"""),"Soporte Caja Montacargas Toyota Gas")</f>
        <v>Soporte Caja Montacargas Toyota Gas</v>
      </c>
      <c r="C10064" s="380" t="str">
        <f>IFERROR(__xludf.DUMMYFUNCTION("""COMPUTED_VALUE"""),"70005485")</f>
        <v>70005485</v>
      </c>
      <c r="D10064" s="380" t="s">
        <v>767</v>
      </c>
      <c r="E10064" s="380" t="s">
        <v>786</v>
      </c>
      <c r="F10064" s="380" t="s">
        <v>787</v>
      </c>
      <c r="G10064" s="380" t="s">
        <v>1267</v>
      </c>
      <c r="H10064" s="380" t="s">
        <v>771</v>
      </c>
      <c r="I10064" s="380" t="s">
        <v>788</v>
      </c>
      <c r="J10064" s="380" t="s">
        <v>773</v>
      </c>
      <c r="K10064" s="381">
        <v>0.0</v>
      </c>
      <c r="L10064" s="382">
        <v>1.0</v>
      </c>
    </row>
    <row r="10065">
      <c r="A10065" s="380" t="s">
        <v>10939</v>
      </c>
      <c r="B10065" s="380" t="str">
        <f>IFERROR(__xludf.DUMMYFUNCTION("""COMPUTED_VALUE"""),"Retenedor Caja Montacargas Toyota Gas")</f>
        <v>Retenedor Caja Montacargas Toyota Gas</v>
      </c>
      <c r="C10065" s="380" t="str">
        <f>IFERROR(__xludf.DUMMYFUNCTION("""COMPUTED_VALUE"""),"70005486")</f>
        <v>70005486</v>
      </c>
      <c r="D10065" s="380" t="s">
        <v>767</v>
      </c>
      <c r="E10065" s="380" t="s">
        <v>786</v>
      </c>
      <c r="F10065" s="380" t="s">
        <v>787</v>
      </c>
      <c r="G10065" s="380" t="s">
        <v>1267</v>
      </c>
      <c r="H10065" s="380" t="s">
        <v>771</v>
      </c>
      <c r="I10065" s="380" t="s">
        <v>788</v>
      </c>
      <c r="J10065" s="380" t="s">
        <v>773</v>
      </c>
      <c r="K10065" s="381">
        <v>0.0</v>
      </c>
      <c r="L10065" s="382">
        <v>1.0</v>
      </c>
    </row>
    <row r="10066">
      <c r="A10066" s="380" t="s">
        <v>10940</v>
      </c>
      <c r="B10066" s="380" t="str">
        <f>IFERROR(__xludf.DUMMYFUNCTION("""COMPUTED_VALUE"""),"Rodamiento Torre Montacargas Toyota Gas")</f>
        <v>Rodamiento Torre Montacargas Toyota Gas</v>
      </c>
      <c r="C10066" s="380" t="str">
        <f>IFERROR(__xludf.DUMMYFUNCTION("""COMPUTED_VALUE"""),"70005487")</f>
        <v>70005487</v>
      </c>
      <c r="D10066" s="380" t="s">
        <v>767</v>
      </c>
      <c r="E10066" s="380" t="s">
        <v>786</v>
      </c>
      <c r="F10066" s="380" t="s">
        <v>792</v>
      </c>
      <c r="G10066" s="380" t="s">
        <v>1267</v>
      </c>
      <c r="H10066" s="380" t="s">
        <v>771</v>
      </c>
      <c r="I10066" s="380" t="s">
        <v>788</v>
      </c>
      <c r="J10066" s="380" t="s">
        <v>773</v>
      </c>
      <c r="K10066" s="381">
        <v>0.0</v>
      </c>
      <c r="L10066" s="382">
        <v>1.0</v>
      </c>
    </row>
    <row r="10067">
      <c r="A10067" s="380" t="s">
        <v>10941</v>
      </c>
      <c r="B10067" s="380" t="str">
        <f>IFERROR(__xludf.DUMMYFUNCTION("""COMPUTED_VALUE"""),"Resorte Valvula Culata Motor Isx 3679551")</f>
        <v>Resorte Valvula Culata Motor Isx 3679551</v>
      </c>
      <c r="C10067" s="380" t="str">
        <f>IFERROR(__xludf.DUMMYFUNCTION("""COMPUTED_VALUE"""),"70005488")</f>
        <v>70005488</v>
      </c>
      <c r="D10067" s="380" t="s">
        <v>767</v>
      </c>
      <c r="E10067" s="380" t="s">
        <v>786</v>
      </c>
      <c r="F10067" s="380" t="s">
        <v>787</v>
      </c>
      <c r="G10067" s="380" t="s">
        <v>1267</v>
      </c>
      <c r="H10067" s="380" t="s">
        <v>771</v>
      </c>
      <c r="I10067" s="380" t="s">
        <v>788</v>
      </c>
      <c r="J10067" s="380" t="s">
        <v>773</v>
      </c>
      <c r="K10067" s="381">
        <v>0.0</v>
      </c>
      <c r="L10067" s="382">
        <v>1.0</v>
      </c>
    </row>
    <row r="10068">
      <c r="A10068" s="380" t="s">
        <v>10942</v>
      </c>
      <c r="B10068" s="380" t="str">
        <f>IFERROR(__xludf.DUMMYFUNCTION("""COMPUTED_VALUE"""),"Rodamiento RDA Tras Externo Jac 1042 970")</f>
        <v>Rodamiento RDA Tras Externo Jac 1042 970</v>
      </c>
      <c r="C10068" s="380" t="str">
        <f>IFERROR(__xludf.DUMMYFUNCTION("""COMPUTED_VALUE"""),"70005489")</f>
        <v>70005489</v>
      </c>
      <c r="D10068" s="380" t="s">
        <v>767</v>
      </c>
      <c r="E10068" s="380" t="s">
        <v>786</v>
      </c>
      <c r="F10068" s="380" t="s">
        <v>1017</v>
      </c>
      <c r="G10068" s="380" t="s">
        <v>1267</v>
      </c>
      <c r="H10068" s="380" t="s">
        <v>771</v>
      </c>
      <c r="I10068" s="380" t="s">
        <v>788</v>
      </c>
      <c r="J10068" s="380" t="s">
        <v>773</v>
      </c>
      <c r="K10068" s="381">
        <v>0.0</v>
      </c>
      <c r="L10068" s="382">
        <v>1.0</v>
      </c>
    </row>
    <row r="10069">
      <c r="A10069" s="380" t="s">
        <v>10943</v>
      </c>
      <c r="B10069" s="380" t="str">
        <f>IFERROR(__xludf.DUMMYFUNCTION("""COMPUTED_VALUE"""),"Rodamiento RDA Tras INTno Jac 1042 97063")</f>
        <v>Rodamiento RDA Tras INTno Jac 1042 97063</v>
      </c>
      <c r="C10069" s="380" t="str">
        <f>IFERROR(__xludf.DUMMYFUNCTION("""COMPUTED_VALUE"""),"70005490")</f>
        <v>70005490</v>
      </c>
      <c r="D10069" s="380" t="s">
        <v>767</v>
      </c>
      <c r="E10069" s="380" t="s">
        <v>786</v>
      </c>
      <c r="F10069" s="380" t="s">
        <v>1017</v>
      </c>
      <c r="G10069" s="380" t="s">
        <v>1267</v>
      </c>
      <c r="H10069" s="380" t="s">
        <v>771</v>
      </c>
      <c r="I10069" s="380" t="s">
        <v>788</v>
      </c>
      <c r="J10069" s="380" t="s">
        <v>773</v>
      </c>
      <c r="K10069" s="381">
        <v>0.0</v>
      </c>
      <c r="L10069" s="382">
        <v>1.0</v>
      </c>
    </row>
    <row r="10070">
      <c r="A10070" s="380" t="s">
        <v>10944</v>
      </c>
      <c r="B10070" s="380" t="str">
        <f>IFERROR(__xludf.DUMMYFUNCTION("""COMPUTED_VALUE"""),"Válvula Retención De COMB S60 Detroit 23")</f>
        <v>Válvula Retención De COMB S60 Detroit 23</v>
      </c>
      <c r="C10070" s="380" t="str">
        <f>IFERROR(__xludf.DUMMYFUNCTION("""COMPUTED_VALUE"""),"70005491")</f>
        <v>70005491</v>
      </c>
      <c r="D10070" s="380" t="s">
        <v>767</v>
      </c>
      <c r="E10070" s="380" t="s">
        <v>786</v>
      </c>
      <c r="F10070" s="380" t="s">
        <v>787</v>
      </c>
      <c r="G10070" s="380" t="s">
        <v>1267</v>
      </c>
      <c r="H10070" s="380" t="s">
        <v>771</v>
      </c>
      <c r="I10070" s="380" t="s">
        <v>788</v>
      </c>
      <c r="J10070" s="380" t="s">
        <v>773</v>
      </c>
      <c r="K10070" s="381">
        <v>0.0</v>
      </c>
      <c r="L10070" s="382">
        <v>1.0</v>
      </c>
    </row>
    <row r="10071">
      <c r="A10071" s="380" t="s">
        <v>10945</v>
      </c>
      <c r="B10071" s="380" t="str">
        <f>IFERROR(__xludf.DUMMYFUNCTION("""COMPUTED_VALUE"""),"Damper Cigueñal Foton Mv5 7705946019330")</f>
        <v>Damper Cigueñal Foton Mv5 7705946019330</v>
      </c>
      <c r="C10071" s="380" t="str">
        <f>IFERROR(__xludf.DUMMYFUNCTION("""COMPUTED_VALUE"""),"70005492")</f>
        <v>70005492</v>
      </c>
      <c r="D10071" s="380" t="s">
        <v>767</v>
      </c>
      <c r="E10071" s="380" t="s">
        <v>786</v>
      </c>
      <c r="F10071" s="380" t="s">
        <v>787</v>
      </c>
      <c r="G10071" s="380" t="s">
        <v>1267</v>
      </c>
      <c r="H10071" s="380" t="s">
        <v>771</v>
      </c>
      <c r="I10071" s="380" t="s">
        <v>788</v>
      </c>
      <c r="J10071" s="380" t="s">
        <v>773</v>
      </c>
      <c r="K10071" s="381">
        <v>0.0</v>
      </c>
      <c r="L10071" s="382">
        <v>1.0</v>
      </c>
    </row>
    <row r="10072">
      <c r="A10072" s="380" t="s">
        <v>10946</v>
      </c>
      <c r="B10072" s="380" t="str">
        <f>IFERROR(__xludf.DUMMYFUNCTION("""COMPUTED_VALUE"""),"Buje Ext Limpiabrisas Mazda Wb0276604")</f>
        <v>Buje Ext Limpiabrisas Mazda Wb0276604</v>
      </c>
      <c r="C10072" s="380" t="str">
        <f>IFERROR(__xludf.DUMMYFUNCTION("""COMPUTED_VALUE"""),"70005493")</f>
        <v>70005493</v>
      </c>
      <c r="D10072" s="380" t="s">
        <v>767</v>
      </c>
      <c r="E10072" s="380" t="s">
        <v>786</v>
      </c>
      <c r="F10072" s="380" t="s">
        <v>792</v>
      </c>
      <c r="G10072" s="380" t="s">
        <v>1267</v>
      </c>
      <c r="H10072" s="380" t="s">
        <v>771</v>
      </c>
      <c r="I10072" s="380" t="s">
        <v>788</v>
      </c>
      <c r="J10072" s="380" t="s">
        <v>773</v>
      </c>
      <c r="K10072" s="381">
        <v>0.0</v>
      </c>
      <c r="L10072" s="382">
        <v>1.0</v>
      </c>
    </row>
    <row r="10073">
      <c r="A10073" s="380" t="s">
        <v>10947</v>
      </c>
      <c r="B10073" s="380" t="str">
        <f>IFERROR(__xludf.DUMMYFUNCTION("""COMPUTED_VALUE"""),"ReCAM Freno Tras Der CH Ftr 1482508774")</f>
        <v>ReCAM Freno Tras Der CH Ftr 1482508774</v>
      </c>
      <c r="C10073" s="380" t="str">
        <f>IFERROR(__xludf.DUMMYFUNCTION("""COMPUTED_VALUE"""),"70005494")</f>
        <v>70005494</v>
      </c>
      <c r="D10073" s="380" t="s">
        <v>767</v>
      </c>
      <c r="E10073" s="380" t="s">
        <v>786</v>
      </c>
      <c r="F10073" s="380" t="s">
        <v>1017</v>
      </c>
      <c r="G10073" s="380" t="s">
        <v>1267</v>
      </c>
      <c r="H10073" s="380" t="s">
        <v>771</v>
      </c>
      <c r="I10073" s="380" t="s">
        <v>788</v>
      </c>
      <c r="J10073" s="380" t="s">
        <v>773</v>
      </c>
      <c r="K10073" s="381">
        <v>0.0</v>
      </c>
      <c r="L10073" s="382">
        <v>1.0</v>
      </c>
    </row>
    <row r="10074">
      <c r="A10074" s="380" t="s">
        <v>10948</v>
      </c>
      <c r="B10074" s="380" t="str">
        <f>IFERROR(__xludf.DUMMYFUNCTION("""COMPUTED_VALUE"""),"Manija Externa PTA DER FT Minitruck 7700")</f>
        <v>Manija Externa PTA DER FT Minitruck 7700</v>
      </c>
      <c r="C10074" s="380" t="str">
        <f>IFERROR(__xludf.DUMMYFUNCTION("""COMPUTED_VALUE"""),"70005495")</f>
        <v>70005495</v>
      </c>
      <c r="D10074" s="380" t="s">
        <v>767</v>
      </c>
      <c r="E10074" s="380" t="s">
        <v>786</v>
      </c>
      <c r="F10074" s="380" t="s">
        <v>792</v>
      </c>
      <c r="G10074" s="380" t="s">
        <v>1267</v>
      </c>
      <c r="H10074" s="380" t="s">
        <v>771</v>
      </c>
      <c r="I10074" s="380" t="s">
        <v>788</v>
      </c>
      <c r="J10074" s="380" t="s">
        <v>773</v>
      </c>
      <c r="K10074" s="381">
        <v>0.0</v>
      </c>
      <c r="L10074" s="382">
        <v>1.0</v>
      </c>
    </row>
    <row r="10075">
      <c r="A10075" s="380" t="s">
        <v>10949</v>
      </c>
      <c r="B10075" s="380" t="str">
        <f>IFERROR(__xludf.DUMMYFUNCTION("""COMPUTED_VALUE"""),"CAM Freno Tras Lh FT 1128 7705946915427")</f>
        <v>CAM Freno Tras Lh FT 1128 7705946915427</v>
      </c>
      <c r="C10075" s="380" t="str">
        <f>IFERROR(__xludf.DUMMYFUNCTION("""COMPUTED_VALUE"""),"70005496")</f>
        <v>70005496</v>
      </c>
      <c r="D10075" s="380" t="s">
        <v>767</v>
      </c>
      <c r="E10075" s="380" t="s">
        <v>786</v>
      </c>
      <c r="F10075" s="380" t="s">
        <v>1017</v>
      </c>
      <c r="G10075" s="380" t="s">
        <v>1267</v>
      </c>
      <c r="H10075" s="380" t="s">
        <v>771</v>
      </c>
      <c r="I10075" s="380" t="s">
        <v>788</v>
      </c>
      <c r="J10075" s="380" t="s">
        <v>773</v>
      </c>
      <c r="K10075" s="381">
        <v>0.0</v>
      </c>
      <c r="L10075" s="382">
        <v>1.0</v>
      </c>
    </row>
    <row r="10076">
      <c r="A10076" s="380" t="s">
        <v>10950</v>
      </c>
      <c r="B10076" s="380" t="str">
        <f>IFERROR(__xludf.DUMMYFUNCTION("""COMPUTED_VALUE"""),"VALV De Regulacion Egr Daf Cf 480ftt 225")</f>
        <v>VALV De Regulacion Egr Daf Cf 480ftt 225</v>
      </c>
      <c r="C10076" s="380" t="str">
        <f>IFERROR(__xludf.DUMMYFUNCTION("""COMPUTED_VALUE"""),"70005497")</f>
        <v>70005497</v>
      </c>
      <c r="D10076" s="380" t="s">
        <v>767</v>
      </c>
      <c r="E10076" s="380" t="s">
        <v>786</v>
      </c>
      <c r="F10076" s="380" t="s">
        <v>787</v>
      </c>
      <c r="G10076" s="380" t="s">
        <v>1267</v>
      </c>
      <c r="H10076" s="380" t="s">
        <v>771</v>
      </c>
      <c r="I10076" s="380" t="s">
        <v>788</v>
      </c>
      <c r="J10076" s="380" t="s">
        <v>773</v>
      </c>
      <c r="K10076" s="381">
        <v>0.0</v>
      </c>
      <c r="L10076" s="382">
        <v>1.0</v>
      </c>
    </row>
    <row r="10077">
      <c r="A10077" s="380" t="s">
        <v>10951</v>
      </c>
      <c r="B10077" s="380" t="str">
        <f>IFERROR(__xludf.DUMMYFUNCTION("""COMPUTED_VALUE"""),"Apoyo Soporte Barra Estab. Foton 1128 77")</f>
        <v>Apoyo Soporte Barra Estab. Foton 1128 77</v>
      </c>
      <c r="C10077" s="380" t="str">
        <f>IFERROR(__xludf.DUMMYFUNCTION("""COMPUTED_VALUE"""),"70005499")</f>
        <v>70005499</v>
      </c>
      <c r="D10077" s="380" t="s">
        <v>767</v>
      </c>
      <c r="E10077" s="380" t="s">
        <v>786</v>
      </c>
      <c r="F10077" s="380" t="s">
        <v>1039</v>
      </c>
      <c r="G10077" s="380" t="s">
        <v>1267</v>
      </c>
      <c r="H10077" s="380" t="s">
        <v>771</v>
      </c>
      <c r="I10077" s="380" t="s">
        <v>788</v>
      </c>
      <c r="J10077" s="380" t="s">
        <v>773</v>
      </c>
      <c r="K10077" s="381">
        <v>0.0</v>
      </c>
      <c r="L10077" s="382">
        <v>1.0</v>
      </c>
    </row>
    <row r="10078">
      <c r="A10078" s="380" t="s">
        <v>10952</v>
      </c>
      <c r="B10078" s="380" t="str">
        <f>IFERROR(__xludf.DUMMYFUNCTION("""COMPUTED_VALUE"""),"Grapa Grapa Muelle Kenworth 3/4 X 4 X 12")</f>
        <v>Grapa Grapa Muelle Kenworth 3/4 X 4 X 12</v>
      </c>
      <c r="C10078" s="380" t="str">
        <f>IFERROR(__xludf.DUMMYFUNCTION("""COMPUTED_VALUE"""),"70005500")</f>
        <v>70005500</v>
      </c>
      <c r="D10078" s="380" t="s">
        <v>767</v>
      </c>
      <c r="E10078" s="380" t="s">
        <v>786</v>
      </c>
      <c r="F10078" s="380" t="s">
        <v>1039</v>
      </c>
      <c r="G10078" s="380" t="s">
        <v>1267</v>
      </c>
      <c r="H10078" s="380" t="s">
        <v>771</v>
      </c>
      <c r="I10078" s="380" t="s">
        <v>788</v>
      </c>
      <c r="J10078" s="380" t="s">
        <v>773</v>
      </c>
      <c r="K10078" s="381">
        <v>0.0</v>
      </c>
      <c r="L10078" s="382">
        <v>1.0</v>
      </c>
    </row>
    <row r="10079">
      <c r="A10079" s="380" t="s">
        <v>10953</v>
      </c>
      <c r="B10079" s="380" t="str">
        <f>IFERROR(__xludf.DUMMYFUNCTION("""COMPUTED_VALUE"""),"RAD Con Enfocador FT 1128 7705946766623")</f>
        <v>RAD Con Enfocador FT 1128 7705946766623</v>
      </c>
      <c r="C10079" s="380" t="str">
        <f>IFERROR(__xludf.DUMMYFUNCTION("""COMPUTED_VALUE"""),"70005501")</f>
        <v>70005501</v>
      </c>
      <c r="D10079" s="380" t="s">
        <v>767</v>
      </c>
      <c r="E10079" s="380" t="s">
        <v>786</v>
      </c>
      <c r="F10079" s="380" t="s">
        <v>787</v>
      </c>
      <c r="G10079" s="380" t="s">
        <v>1267</v>
      </c>
      <c r="H10079" s="380" t="s">
        <v>771</v>
      </c>
      <c r="I10079" s="380" t="s">
        <v>788</v>
      </c>
      <c r="J10079" s="380" t="s">
        <v>773</v>
      </c>
      <c r="K10079" s="381">
        <v>2140479.0</v>
      </c>
      <c r="L10079" s="382">
        <v>1.0</v>
      </c>
    </row>
    <row r="10080">
      <c r="A10080" s="380" t="s">
        <v>10954</v>
      </c>
      <c r="B10080" s="380" t="str">
        <f>IFERROR(__xludf.DUMMYFUNCTION("""COMPUTED_VALUE"""),"MANG INF RAD FT 1128 7705946923934")</f>
        <v>MANG INF RAD FT 1128 7705946923934</v>
      </c>
      <c r="C10080" s="380" t="str">
        <f>IFERROR(__xludf.DUMMYFUNCTION("""COMPUTED_VALUE"""),"70005502")</f>
        <v>70005502</v>
      </c>
      <c r="D10080" s="380" t="s">
        <v>767</v>
      </c>
      <c r="E10080" s="380" t="s">
        <v>786</v>
      </c>
      <c r="F10080" s="380" t="s">
        <v>787</v>
      </c>
      <c r="G10080" s="380" t="s">
        <v>1267</v>
      </c>
      <c r="H10080" s="380" t="s">
        <v>771</v>
      </c>
      <c r="I10080" s="380" t="s">
        <v>788</v>
      </c>
      <c r="J10080" s="380" t="s">
        <v>773</v>
      </c>
      <c r="K10080" s="381">
        <v>0.0</v>
      </c>
      <c r="L10080" s="382">
        <v>1.0</v>
      </c>
    </row>
    <row r="10081">
      <c r="A10081" s="380" t="s">
        <v>10955</v>
      </c>
      <c r="B10081" s="380" t="str">
        <f>IFERROR(__xludf.DUMMYFUNCTION("""COMPUTED_VALUE"""),"Juego Splinder International Lt R201614")</f>
        <v>Juego Splinder International Lt R201614</v>
      </c>
      <c r="C10081" s="380" t="str">
        <f>IFERROR(__xludf.DUMMYFUNCTION("""COMPUTED_VALUE"""),"70005503")</f>
        <v>70005503</v>
      </c>
      <c r="D10081" s="380" t="s">
        <v>767</v>
      </c>
      <c r="E10081" s="380" t="s">
        <v>786</v>
      </c>
      <c r="F10081" s="380" t="s">
        <v>1039</v>
      </c>
      <c r="G10081" s="380" t="s">
        <v>1267</v>
      </c>
      <c r="H10081" s="380" t="s">
        <v>771</v>
      </c>
      <c r="I10081" s="380" t="s">
        <v>788</v>
      </c>
      <c r="J10081" s="380" t="s">
        <v>773</v>
      </c>
      <c r="K10081" s="381">
        <v>0.0</v>
      </c>
      <c r="L10081" s="382">
        <v>1.0</v>
      </c>
    </row>
    <row r="10082">
      <c r="A10082" s="380" t="s">
        <v>10956</v>
      </c>
      <c r="B10082" s="380" t="str">
        <f>IFERROR(__xludf.DUMMYFUNCTION("""COMPUTED_VALUE"""),"Perilla Palanca Cambios HN 500 S3350-427")</f>
        <v>Perilla Palanca Cambios HN 500 S3350-427</v>
      </c>
      <c r="C10082" s="380" t="str">
        <f>IFERROR(__xludf.DUMMYFUNCTION("""COMPUTED_VALUE"""),"70005504")</f>
        <v>70005504</v>
      </c>
      <c r="D10082" s="380" t="s">
        <v>767</v>
      </c>
      <c r="E10082" s="380" t="s">
        <v>786</v>
      </c>
      <c r="F10082" s="380" t="s">
        <v>792</v>
      </c>
      <c r="G10082" s="380" t="s">
        <v>1267</v>
      </c>
      <c r="H10082" s="380" t="s">
        <v>771</v>
      </c>
      <c r="I10082" s="380" t="s">
        <v>788</v>
      </c>
      <c r="J10082" s="380" t="s">
        <v>773</v>
      </c>
      <c r="K10082" s="381">
        <v>0.0</v>
      </c>
      <c r="L10082" s="382">
        <v>1.0</v>
      </c>
    </row>
    <row r="10083">
      <c r="A10083" s="380" t="s">
        <v>10957</v>
      </c>
      <c r="B10083" s="380" t="str">
        <f>IFERROR(__xludf.DUMMYFUNCTION("""COMPUTED_VALUE"""),"BRR De Torsion DER Capot Prostar 3808430")</f>
        <v>BRR De Torsion DER Capot Prostar 3808430</v>
      </c>
      <c r="C10083" s="380" t="str">
        <f>IFERROR(__xludf.DUMMYFUNCTION("""COMPUTED_VALUE"""),"70005505")</f>
        <v>70005505</v>
      </c>
      <c r="D10083" s="380" t="s">
        <v>767</v>
      </c>
      <c r="E10083" s="380" t="s">
        <v>786</v>
      </c>
      <c r="F10083" s="380" t="s">
        <v>792</v>
      </c>
      <c r="G10083" s="380" t="s">
        <v>1267</v>
      </c>
      <c r="H10083" s="380" t="s">
        <v>771</v>
      </c>
      <c r="I10083" s="380" t="s">
        <v>788</v>
      </c>
      <c r="J10083" s="380" t="s">
        <v>773</v>
      </c>
      <c r="K10083" s="381">
        <v>0.0</v>
      </c>
      <c r="L10083" s="382">
        <v>1.0</v>
      </c>
    </row>
    <row r="10084">
      <c r="A10084" s="380" t="s">
        <v>10958</v>
      </c>
      <c r="B10084" s="380" t="str">
        <f>IFERROR(__xludf.DUMMYFUNCTION("""COMPUTED_VALUE"""),"Anillo Bronce Sincronizador 3ra/4ta CJ J")</f>
        <v>Anillo Bronce Sincronizador 3ra/4ta CJ J</v>
      </c>
      <c r="C10084" s="380" t="str">
        <f>IFERROR(__xludf.DUMMYFUNCTION("""COMPUTED_VALUE"""),"70005506")</f>
        <v>70005506</v>
      </c>
      <c r="D10084" s="380" t="s">
        <v>767</v>
      </c>
      <c r="E10084" s="380" t="s">
        <v>786</v>
      </c>
      <c r="F10084" s="380" t="s">
        <v>928</v>
      </c>
      <c r="G10084" s="380" t="s">
        <v>1267</v>
      </c>
      <c r="H10084" s="380" t="s">
        <v>771</v>
      </c>
      <c r="I10084" s="380" t="s">
        <v>788</v>
      </c>
      <c r="J10084" s="380" t="s">
        <v>773</v>
      </c>
      <c r="K10084" s="381">
        <v>0.0</v>
      </c>
      <c r="L10084" s="382">
        <v>1.0</v>
      </c>
    </row>
    <row r="10085">
      <c r="A10085" s="380" t="s">
        <v>10959</v>
      </c>
      <c r="B10085" s="380" t="str">
        <f>IFERROR(__xludf.DUMMYFUNCTION("""COMPUTED_VALUE"""),"Campana Delantero Hino 500 43512-5030")</f>
        <v>Campana Delantero Hino 500 43512-5030</v>
      </c>
      <c r="C10085" s="380" t="str">
        <f>IFERROR(__xludf.DUMMYFUNCTION("""COMPUTED_VALUE"""),"70005507")</f>
        <v>70005507</v>
      </c>
      <c r="D10085" s="380" t="s">
        <v>767</v>
      </c>
      <c r="E10085" s="380" t="s">
        <v>786</v>
      </c>
      <c r="F10085" s="380" t="s">
        <v>1017</v>
      </c>
      <c r="G10085" s="380" t="s">
        <v>1267</v>
      </c>
      <c r="H10085" s="380" t="s">
        <v>771</v>
      </c>
      <c r="I10085" s="380" t="s">
        <v>788</v>
      </c>
      <c r="J10085" s="380" t="s">
        <v>773</v>
      </c>
      <c r="K10085" s="381">
        <v>0.0</v>
      </c>
      <c r="L10085" s="382">
        <v>1.0</v>
      </c>
    </row>
    <row r="10086">
      <c r="A10086" s="380" t="s">
        <v>10960</v>
      </c>
      <c r="B10086" s="380" t="str">
        <f>IFERROR(__xludf.DUMMYFUNCTION("""COMPUTED_VALUE"""),"Eje Desplazable CJ Jac Jhr R17012010001")</f>
        <v>Eje Desplazable CJ Jac Jhr R17012010001</v>
      </c>
      <c r="C10086" s="380" t="str">
        <f>IFERROR(__xludf.DUMMYFUNCTION("""COMPUTED_VALUE"""),"70005508")</f>
        <v>70005508</v>
      </c>
      <c r="D10086" s="380" t="s">
        <v>767</v>
      </c>
      <c r="E10086" s="380" t="s">
        <v>786</v>
      </c>
      <c r="F10086" s="380" t="s">
        <v>928</v>
      </c>
      <c r="G10086" s="380" t="s">
        <v>1267</v>
      </c>
      <c r="H10086" s="380" t="s">
        <v>771</v>
      </c>
      <c r="I10086" s="380" t="s">
        <v>788</v>
      </c>
      <c r="J10086" s="380" t="s">
        <v>773</v>
      </c>
      <c r="K10086" s="381">
        <v>0.0</v>
      </c>
      <c r="L10086" s="382">
        <v>1.0</v>
      </c>
    </row>
    <row r="10087">
      <c r="A10087" s="380" t="s">
        <v>10961</v>
      </c>
      <c r="B10087" s="380" t="str">
        <f>IFERROR(__xludf.DUMMYFUNCTION("""COMPUTED_VALUE"""),"Housing Diferencial Trasero Nkr Reward M")</f>
        <v>Housing Diferencial Trasero Nkr Reward M</v>
      </c>
      <c r="C10087" s="380" t="str">
        <f>IFERROR(__xludf.DUMMYFUNCTION("""COMPUTED_VALUE"""),"70005509")</f>
        <v>70005509</v>
      </c>
      <c r="D10087" s="380" t="s">
        <v>767</v>
      </c>
      <c r="E10087" s="380" t="s">
        <v>786</v>
      </c>
      <c r="F10087" s="380" t="s">
        <v>792</v>
      </c>
      <c r="G10087" s="380" t="s">
        <v>1267</v>
      </c>
      <c r="H10087" s="380" t="s">
        <v>771</v>
      </c>
      <c r="I10087" s="380" t="s">
        <v>788</v>
      </c>
      <c r="J10087" s="380" t="s">
        <v>773</v>
      </c>
      <c r="K10087" s="381">
        <v>0.0</v>
      </c>
      <c r="L10087" s="382">
        <v>1.0</v>
      </c>
    </row>
    <row r="10088">
      <c r="A10088" s="380" t="s">
        <v>10962</v>
      </c>
      <c r="B10088" s="380" t="str">
        <f>IFERROR(__xludf.DUMMYFUNCTION("""COMPUTED_VALUE"""),"Arnes De Motor Chevrolet Nkr Iii Reward")</f>
        <v>Arnes De Motor Chevrolet Nkr Iii Reward</v>
      </c>
      <c r="C10088" s="380" t="str">
        <f>IFERROR(__xludf.DUMMYFUNCTION("""COMPUTED_VALUE"""),"70005510")</f>
        <v>70005510</v>
      </c>
      <c r="D10088" s="380" t="s">
        <v>767</v>
      </c>
      <c r="E10088" s="380" t="s">
        <v>786</v>
      </c>
      <c r="F10088" s="380" t="s">
        <v>998</v>
      </c>
      <c r="G10088" s="380" t="s">
        <v>1267</v>
      </c>
      <c r="H10088" s="380" t="s">
        <v>771</v>
      </c>
      <c r="I10088" s="380" t="s">
        <v>788</v>
      </c>
      <c r="J10088" s="380" t="s">
        <v>773</v>
      </c>
      <c r="K10088" s="381">
        <v>0.0</v>
      </c>
      <c r="L10088" s="382">
        <v>1.0</v>
      </c>
    </row>
    <row r="10089">
      <c r="A10089" s="380" t="s">
        <v>10963</v>
      </c>
      <c r="B10089" s="380" t="str">
        <f>IFERROR(__xludf.DUMMYFUNCTION("""COMPUTED_VALUE"""),"Tuerca RDA TRAS Daf Cf480 Ftt 1263488")</f>
        <v>Tuerca RDA TRAS Daf Cf480 Ftt 1263488</v>
      </c>
      <c r="C10089" s="380" t="str">
        <f>IFERROR(__xludf.DUMMYFUNCTION("""COMPUTED_VALUE"""),"70005511")</f>
        <v>70005511</v>
      </c>
      <c r="D10089" s="380" t="s">
        <v>767</v>
      </c>
      <c r="E10089" s="380" t="s">
        <v>786</v>
      </c>
      <c r="F10089" s="380" t="s">
        <v>1039</v>
      </c>
      <c r="G10089" s="380" t="s">
        <v>1267</v>
      </c>
      <c r="H10089" s="380" t="s">
        <v>771</v>
      </c>
      <c r="I10089" s="380" t="s">
        <v>788</v>
      </c>
      <c r="J10089" s="380" t="s">
        <v>773</v>
      </c>
      <c r="K10089" s="381">
        <v>0.0</v>
      </c>
      <c r="L10089" s="382">
        <v>1.0</v>
      </c>
    </row>
    <row r="10090">
      <c r="A10090" s="380" t="s">
        <v>10964</v>
      </c>
      <c r="B10090" s="380" t="str">
        <f>IFERROR(__xludf.DUMMYFUNCTION("""COMPUTED_VALUE"""),"Tuerca RDA DEL Daf Cf480 Ftt 1263487")</f>
        <v>Tuerca RDA DEL Daf Cf480 Ftt 1263487</v>
      </c>
      <c r="C10090" s="380" t="str">
        <f>IFERROR(__xludf.DUMMYFUNCTION("""COMPUTED_VALUE"""),"70005512")</f>
        <v>70005512</v>
      </c>
      <c r="D10090" s="380" t="s">
        <v>767</v>
      </c>
      <c r="E10090" s="380" t="s">
        <v>786</v>
      </c>
      <c r="F10090" s="380" t="s">
        <v>1039</v>
      </c>
      <c r="G10090" s="380" t="s">
        <v>1267</v>
      </c>
      <c r="H10090" s="380" t="s">
        <v>771</v>
      </c>
      <c r="I10090" s="380" t="s">
        <v>788</v>
      </c>
      <c r="J10090" s="380" t="s">
        <v>773</v>
      </c>
      <c r="K10090" s="381">
        <v>0.0</v>
      </c>
      <c r="L10090" s="382">
        <v>1.0</v>
      </c>
    </row>
    <row r="10091">
      <c r="A10091" s="380" t="s">
        <v>10965</v>
      </c>
      <c r="B10091" s="380" t="str">
        <f>IFERROR(__xludf.DUMMYFUNCTION("""COMPUTED_VALUE"""),"Esparrago RDA TRAS Daf Cf480 Ftt 1309191")</f>
        <v>Esparrago RDA TRAS Daf Cf480 Ftt 1309191</v>
      </c>
      <c r="C10091" s="380" t="str">
        <f>IFERROR(__xludf.DUMMYFUNCTION("""COMPUTED_VALUE"""),"70005513")</f>
        <v>70005513</v>
      </c>
      <c r="D10091" s="380" t="s">
        <v>767</v>
      </c>
      <c r="E10091" s="380" t="s">
        <v>786</v>
      </c>
      <c r="F10091" s="380" t="s">
        <v>1039</v>
      </c>
      <c r="G10091" s="380" t="s">
        <v>1267</v>
      </c>
      <c r="H10091" s="380" t="s">
        <v>771</v>
      </c>
      <c r="I10091" s="380" t="s">
        <v>788</v>
      </c>
      <c r="J10091" s="380" t="s">
        <v>773</v>
      </c>
      <c r="K10091" s="381">
        <v>0.0</v>
      </c>
      <c r="L10091" s="382">
        <v>1.0</v>
      </c>
    </row>
    <row r="10092">
      <c r="A10092" s="380" t="s">
        <v>10966</v>
      </c>
      <c r="B10092" s="380" t="str">
        <f>IFERROR(__xludf.DUMMYFUNCTION("""COMPUTED_VALUE"""),"Esparrago RDA DEL Daf Cf480 Ftt 1337020g")</f>
        <v>Esparrago RDA DEL Daf Cf480 Ftt 1337020g</v>
      </c>
      <c r="C10092" s="380" t="str">
        <f>IFERROR(__xludf.DUMMYFUNCTION("""COMPUTED_VALUE"""),"70005514")</f>
        <v>70005514</v>
      </c>
      <c r="D10092" s="380" t="s">
        <v>767</v>
      </c>
      <c r="E10092" s="380" t="s">
        <v>786</v>
      </c>
      <c r="F10092" s="380" t="s">
        <v>1039</v>
      </c>
      <c r="G10092" s="380" t="s">
        <v>1267</v>
      </c>
      <c r="H10092" s="380" t="s">
        <v>771</v>
      </c>
      <c r="I10092" s="380" t="s">
        <v>788</v>
      </c>
      <c r="J10092" s="380" t="s">
        <v>773</v>
      </c>
      <c r="K10092" s="381">
        <v>0.0</v>
      </c>
      <c r="L10092" s="382">
        <v>1.0</v>
      </c>
    </row>
    <row r="10093">
      <c r="A10093" s="380" t="s">
        <v>10967</v>
      </c>
      <c r="B10093" s="380" t="str">
        <f>IFERROR(__xludf.DUMMYFUNCTION("""COMPUTED_VALUE"""),"Grapa MUE TRAS MCK Anthem 20872768")</f>
        <v>Grapa MUE TRAS MCK Anthem 20872768</v>
      </c>
      <c r="C10093" s="380" t="str">
        <f>IFERROR(__xludf.DUMMYFUNCTION("""COMPUTED_VALUE"""),"70005515")</f>
        <v>70005515</v>
      </c>
      <c r="D10093" s="380" t="s">
        <v>767</v>
      </c>
      <c r="E10093" s="380" t="s">
        <v>786</v>
      </c>
      <c r="F10093" s="380" t="s">
        <v>1039</v>
      </c>
      <c r="G10093" s="380" t="s">
        <v>1267</v>
      </c>
      <c r="H10093" s="380" t="s">
        <v>771</v>
      </c>
      <c r="I10093" s="380" t="s">
        <v>788</v>
      </c>
      <c r="J10093" s="380" t="s">
        <v>773</v>
      </c>
      <c r="K10093" s="381">
        <v>142622.0</v>
      </c>
      <c r="L10093" s="382">
        <v>1.0</v>
      </c>
    </row>
    <row r="10094">
      <c r="A10094" s="380" t="s">
        <v>10968</v>
      </c>
      <c r="B10094" s="380" t="str">
        <f>IFERROR(__xludf.DUMMYFUNCTION("""COMPUTED_VALUE"""),"Esquinero IZQ FT 1128 / 1065 77059466714")</f>
        <v>Esquinero IZQ FT 1128 / 1065 77059466714</v>
      </c>
      <c r="C10094" s="380" t="str">
        <f>IFERROR(__xludf.DUMMYFUNCTION("""COMPUTED_VALUE"""),"70005516")</f>
        <v>70005516</v>
      </c>
      <c r="D10094" s="380" t="s">
        <v>767</v>
      </c>
      <c r="E10094" s="380" t="s">
        <v>786</v>
      </c>
      <c r="F10094" s="380" t="s">
        <v>792</v>
      </c>
      <c r="G10094" s="380" t="s">
        <v>1267</v>
      </c>
      <c r="H10094" s="380" t="s">
        <v>771</v>
      </c>
      <c r="I10094" s="380" t="s">
        <v>788</v>
      </c>
      <c r="J10094" s="380" t="s">
        <v>773</v>
      </c>
      <c r="K10094" s="381">
        <v>0.0</v>
      </c>
      <c r="L10094" s="382">
        <v>1.0</v>
      </c>
    </row>
    <row r="10095">
      <c r="A10095" s="380" t="s">
        <v>10969</v>
      </c>
      <c r="B10095" s="380" t="str">
        <f>IFERROR(__xludf.DUMMYFUNCTION("""COMPUTED_VALUE"""),"Vidrio PTA DER FT 1128 / 1065 7705946416")</f>
        <v>Vidrio PTA DER FT 1128 / 1065 7705946416</v>
      </c>
      <c r="C10095" s="380" t="str">
        <f>IFERROR(__xludf.DUMMYFUNCTION("""COMPUTED_VALUE"""),"70005517")</f>
        <v>70005517</v>
      </c>
      <c r="D10095" s="380" t="s">
        <v>767</v>
      </c>
      <c r="E10095" s="380" t="s">
        <v>786</v>
      </c>
      <c r="F10095" s="380" t="s">
        <v>792</v>
      </c>
      <c r="G10095" s="380" t="s">
        <v>1267</v>
      </c>
      <c r="H10095" s="380" t="s">
        <v>771</v>
      </c>
      <c r="I10095" s="380" t="s">
        <v>788</v>
      </c>
      <c r="J10095" s="380" t="s">
        <v>773</v>
      </c>
      <c r="K10095" s="381">
        <v>0.0</v>
      </c>
      <c r="L10095" s="382">
        <v>1.0</v>
      </c>
    </row>
    <row r="10096">
      <c r="A10096" s="380" t="s">
        <v>10970</v>
      </c>
      <c r="B10096" s="380" t="str">
        <f>IFERROR(__xludf.DUMMYFUNCTION("""COMPUTED_VALUE"""),"Tubo Flexible Fot 1128 Frr Jac 1120 Fabr")</f>
        <v>Tubo Flexible Fot 1128 Frr Jac 1120 Fabr</v>
      </c>
      <c r="C10096" s="380" t="str">
        <f>IFERROR(__xludf.DUMMYFUNCTION("""COMPUTED_VALUE"""),"70005518")</f>
        <v>70005518</v>
      </c>
      <c r="D10096" s="380" t="s">
        <v>767</v>
      </c>
      <c r="E10096" s="380" t="s">
        <v>786</v>
      </c>
      <c r="F10096" s="380" t="s">
        <v>792</v>
      </c>
      <c r="G10096" s="380" t="s">
        <v>1267</v>
      </c>
      <c r="H10096" s="380" t="s">
        <v>771</v>
      </c>
      <c r="I10096" s="380" t="s">
        <v>788</v>
      </c>
      <c r="J10096" s="380" t="s">
        <v>773</v>
      </c>
      <c r="K10096" s="381">
        <v>0.0</v>
      </c>
      <c r="L10096" s="382">
        <v>1.0</v>
      </c>
    </row>
    <row r="10097">
      <c r="A10097" s="380" t="s">
        <v>10971</v>
      </c>
      <c r="B10097" s="380" t="str">
        <f>IFERROR(__xludf.DUMMYFUNCTION("""COMPUTED_VALUE"""),"Tuerca Enflanche CJ Jac Jhr N17013740500")</f>
        <v>Tuerca Enflanche CJ Jac Jhr N17013740500</v>
      </c>
      <c r="C10097" s="380" t="str">
        <f>IFERROR(__xludf.DUMMYFUNCTION("""COMPUTED_VALUE"""),"70005519")</f>
        <v>70005519</v>
      </c>
      <c r="D10097" s="380" t="s">
        <v>767</v>
      </c>
      <c r="E10097" s="380" t="s">
        <v>786</v>
      </c>
      <c r="F10097" s="380" t="s">
        <v>928</v>
      </c>
      <c r="G10097" s="380" t="s">
        <v>1267</v>
      </c>
      <c r="H10097" s="380" t="s">
        <v>771</v>
      </c>
      <c r="I10097" s="380" t="s">
        <v>788</v>
      </c>
      <c r="J10097" s="380" t="s">
        <v>773</v>
      </c>
      <c r="K10097" s="381">
        <v>0.0</v>
      </c>
      <c r="L10097" s="382">
        <v>1.0</v>
      </c>
    </row>
    <row r="10098">
      <c r="A10098" s="380" t="s">
        <v>10972</v>
      </c>
      <c r="B10098" s="380" t="str">
        <f>IFERROR(__xludf.DUMMYFUNCTION("""COMPUTED_VALUE"""),"RET INTno RDA Tras Jac 1042 4208040740")</f>
        <v>RET INTno RDA Tras Jac 1042 4208040740</v>
      </c>
      <c r="C10098" s="380" t="str">
        <f>IFERROR(__xludf.DUMMYFUNCTION("""COMPUTED_VALUE"""),"70005520")</f>
        <v>70005520</v>
      </c>
      <c r="D10098" s="380" t="s">
        <v>767</v>
      </c>
      <c r="E10098" s="380" t="s">
        <v>786</v>
      </c>
      <c r="F10098" s="380" t="s">
        <v>1017</v>
      </c>
      <c r="G10098" s="380" t="s">
        <v>1267</v>
      </c>
      <c r="H10098" s="380" t="s">
        <v>771</v>
      </c>
      <c r="I10098" s="380" t="s">
        <v>788</v>
      </c>
      <c r="J10098" s="380" t="s">
        <v>773</v>
      </c>
      <c r="K10098" s="381">
        <v>0.0</v>
      </c>
      <c r="L10098" s="382">
        <v>1.0</v>
      </c>
    </row>
    <row r="10099">
      <c r="A10099" s="380" t="s">
        <v>10973</v>
      </c>
      <c r="B10099" s="380" t="str">
        <f>IFERROR(__xludf.DUMMYFUNCTION("""COMPUTED_VALUE"""),"Deposito De Refrigerante Daf 1960437")</f>
        <v>Deposito De Refrigerante Daf 1960437</v>
      </c>
      <c r="C10099" s="380" t="str">
        <f>IFERROR(__xludf.DUMMYFUNCTION("""COMPUTED_VALUE"""),"70005521")</f>
        <v>70005521</v>
      </c>
      <c r="D10099" s="380" t="s">
        <v>767</v>
      </c>
      <c r="E10099" s="380" t="s">
        <v>786</v>
      </c>
      <c r="F10099" s="380" t="s">
        <v>787</v>
      </c>
      <c r="G10099" s="380" t="s">
        <v>1267</v>
      </c>
      <c r="H10099" s="380" t="s">
        <v>771</v>
      </c>
      <c r="I10099" s="380" t="s">
        <v>788</v>
      </c>
      <c r="J10099" s="380" t="s">
        <v>773</v>
      </c>
      <c r="K10099" s="381">
        <v>0.0</v>
      </c>
      <c r="L10099" s="382">
        <v>1.0</v>
      </c>
    </row>
    <row r="10100">
      <c r="A10100" s="380" t="s">
        <v>10974</v>
      </c>
      <c r="B10100" s="380" t="str">
        <f>IFERROR(__xludf.DUMMYFUNCTION("""COMPUTED_VALUE"""),"Vidrio PTA IZQ INT Prostar 3546062c1")</f>
        <v>Vidrio PTA IZQ INT Prostar 3546062c1</v>
      </c>
      <c r="C10100" s="380" t="str">
        <f>IFERROR(__xludf.DUMMYFUNCTION("""COMPUTED_VALUE"""),"70005522")</f>
        <v>70005522</v>
      </c>
      <c r="D10100" s="380" t="s">
        <v>767</v>
      </c>
      <c r="E10100" s="380" t="s">
        <v>786</v>
      </c>
      <c r="F10100" s="380" t="s">
        <v>792</v>
      </c>
      <c r="G10100" s="380" t="s">
        <v>1267</v>
      </c>
      <c r="H10100" s="380" t="s">
        <v>771</v>
      </c>
      <c r="I10100" s="380" t="s">
        <v>788</v>
      </c>
      <c r="J10100" s="380" t="s">
        <v>773</v>
      </c>
      <c r="K10100" s="381">
        <v>0.0</v>
      </c>
      <c r="L10100" s="382">
        <v>1.0</v>
      </c>
    </row>
    <row r="10101">
      <c r="A10101" s="380" t="s">
        <v>10975</v>
      </c>
      <c r="B10101" s="380" t="str">
        <f>IFERROR(__xludf.DUMMYFUNCTION("""COMPUTED_VALUE"""),"Bocin RDA TRAS FT 1065 7700149127813")</f>
        <v>Bocin RDA TRAS FT 1065 7700149127813</v>
      </c>
      <c r="C10101" s="380" t="str">
        <f>IFERROR(__xludf.DUMMYFUNCTION("""COMPUTED_VALUE"""),"70005523")</f>
        <v>70005523</v>
      </c>
      <c r="D10101" s="380" t="s">
        <v>767</v>
      </c>
      <c r="E10101" s="380" t="s">
        <v>786</v>
      </c>
      <c r="F10101" s="380" t="s">
        <v>1017</v>
      </c>
      <c r="G10101" s="380" t="s">
        <v>1267</v>
      </c>
      <c r="H10101" s="380" t="s">
        <v>771</v>
      </c>
      <c r="I10101" s="380" t="s">
        <v>788</v>
      </c>
      <c r="J10101" s="380" t="s">
        <v>773</v>
      </c>
      <c r="K10101" s="381">
        <v>0.0</v>
      </c>
      <c r="L10101" s="382">
        <v>1.0</v>
      </c>
    </row>
    <row r="10102">
      <c r="A10102" s="380" t="s">
        <v>10976</v>
      </c>
      <c r="B10102" s="380" t="str">
        <f>IFERROR(__xludf.DUMMYFUNCTION("""COMPUTED_VALUE"""),"Carter Aceite Con Tapon Jac 1042 1009100")</f>
        <v>Carter Aceite Con Tapon Jac 1042 1009100</v>
      </c>
      <c r="C10102" s="380" t="str">
        <f>IFERROR(__xludf.DUMMYFUNCTION("""COMPUTED_VALUE"""),"70005524")</f>
        <v>70005524</v>
      </c>
      <c r="D10102" s="380" t="s">
        <v>767</v>
      </c>
      <c r="E10102" s="380" t="s">
        <v>786</v>
      </c>
      <c r="F10102" s="380" t="s">
        <v>787</v>
      </c>
      <c r="G10102" s="380" t="s">
        <v>1267</v>
      </c>
      <c r="H10102" s="380" t="s">
        <v>771</v>
      </c>
      <c r="I10102" s="380" t="s">
        <v>788</v>
      </c>
      <c r="J10102" s="380" t="s">
        <v>773</v>
      </c>
      <c r="K10102" s="381">
        <v>0.0</v>
      </c>
      <c r="L10102" s="382">
        <v>1.0</v>
      </c>
    </row>
    <row r="10103">
      <c r="A10103" s="380" t="s">
        <v>10977</v>
      </c>
      <c r="B10103" s="380" t="str">
        <f>IFERROR(__xludf.DUMMYFUNCTION("""COMPUTED_VALUE"""),"SOP BRR De Torsion Izq Capot Prostar 361")</f>
        <v>SOP BRR De Torsion Izq Capot Prostar 361</v>
      </c>
      <c r="C10103" s="380" t="str">
        <f>IFERROR(__xludf.DUMMYFUNCTION("""COMPUTED_VALUE"""),"70005525")</f>
        <v>70005525</v>
      </c>
      <c r="D10103" s="380" t="s">
        <v>767</v>
      </c>
      <c r="E10103" s="380" t="s">
        <v>786</v>
      </c>
      <c r="F10103" s="380" t="s">
        <v>792</v>
      </c>
      <c r="G10103" s="380" t="s">
        <v>1267</v>
      </c>
      <c r="H10103" s="380" t="s">
        <v>771</v>
      </c>
      <c r="I10103" s="380" t="s">
        <v>788</v>
      </c>
      <c r="J10103" s="380" t="s">
        <v>773</v>
      </c>
      <c r="K10103" s="381">
        <v>0.0</v>
      </c>
      <c r="L10103" s="382">
        <v>1.0</v>
      </c>
    </row>
    <row r="10104">
      <c r="A10104" s="380" t="s">
        <v>10978</v>
      </c>
      <c r="B10104" s="380" t="str">
        <f>IFERROR(__xludf.DUMMYFUNCTION("""COMPUTED_VALUE"""),"SOP BRR De Torsion Der Capot Prostar 361")</f>
        <v>SOP BRR De Torsion Der Capot Prostar 361</v>
      </c>
      <c r="C10104" s="380" t="str">
        <f>IFERROR(__xludf.DUMMYFUNCTION("""COMPUTED_VALUE"""),"70005526")</f>
        <v>70005526</v>
      </c>
      <c r="D10104" s="380" t="s">
        <v>767</v>
      </c>
      <c r="E10104" s="380" t="s">
        <v>786</v>
      </c>
      <c r="F10104" s="380" t="s">
        <v>792</v>
      </c>
      <c r="G10104" s="380" t="s">
        <v>1267</v>
      </c>
      <c r="H10104" s="380" t="s">
        <v>771</v>
      </c>
      <c r="I10104" s="380" t="s">
        <v>788</v>
      </c>
      <c r="J10104" s="380" t="s">
        <v>773</v>
      </c>
      <c r="K10104" s="381">
        <v>0.0</v>
      </c>
      <c r="L10104" s="382">
        <v>1.0</v>
      </c>
    </row>
    <row r="10105">
      <c r="A10105" s="380" t="s">
        <v>10979</v>
      </c>
      <c r="B10105" s="380" t="str">
        <f>IFERROR(__xludf.DUMMYFUNCTION("""COMPUTED_VALUE"""),"SENS Presion De Aceite FT 1039 770102354")</f>
        <v>SENS Presion De Aceite FT 1039 770102354</v>
      </c>
      <c r="C10105" s="380" t="str">
        <f>IFERROR(__xludf.DUMMYFUNCTION("""COMPUTED_VALUE"""),"70005527")</f>
        <v>70005527</v>
      </c>
      <c r="D10105" s="380" t="s">
        <v>767</v>
      </c>
      <c r="E10105" s="380" t="s">
        <v>786</v>
      </c>
      <c r="F10105" s="380" t="s">
        <v>998</v>
      </c>
      <c r="G10105" s="380" t="s">
        <v>1267</v>
      </c>
      <c r="H10105" s="380" t="s">
        <v>771</v>
      </c>
      <c r="I10105" s="380" t="s">
        <v>788</v>
      </c>
      <c r="J10105" s="380" t="s">
        <v>773</v>
      </c>
      <c r="K10105" s="381">
        <v>0.0</v>
      </c>
      <c r="L10105" s="382">
        <v>1.0</v>
      </c>
    </row>
    <row r="10106">
      <c r="A10106" s="380" t="s">
        <v>10980</v>
      </c>
      <c r="B10106" s="380" t="str">
        <f>IFERROR(__xludf.DUMMYFUNCTION("""COMPUTED_VALUE"""),"Rodamiento TRAS Eje Fijo CJ Jac Jhr C300")</f>
        <v>Rodamiento TRAS Eje Fijo CJ Jac Jhr C300</v>
      </c>
      <c r="C10106" s="380" t="str">
        <f>IFERROR(__xludf.DUMMYFUNCTION("""COMPUTED_VALUE"""),"70005528")</f>
        <v>70005528</v>
      </c>
      <c r="D10106" s="380" t="s">
        <v>767</v>
      </c>
      <c r="E10106" s="380" t="s">
        <v>786</v>
      </c>
      <c r="F10106" s="380" t="s">
        <v>928</v>
      </c>
      <c r="G10106" s="380" t="s">
        <v>1267</v>
      </c>
      <c r="H10106" s="380" t="s">
        <v>771</v>
      </c>
      <c r="I10106" s="380" t="s">
        <v>788</v>
      </c>
      <c r="J10106" s="380" t="s">
        <v>773</v>
      </c>
      <c r="K10106" s="381">
        <v>150178.0</v>
      </c>
      <c r="L10106" s="382">
        <v>1.0</v>
      </c>
    </row>
    <row r="10107">
      <c r="A10107" s="380" t="s">
        <v>10981</v>
      </c>
      <c r="B10107" s="380" t="str">
        <f>IFERROR(__xludf.DUMMYFUNCTION("""COMPUTED_VALUE"""),"Rodamiento Frontal Eje Fijo CJ Jac Jhr N")</f>
        <v>Rodamiento Frontal Eje Fijo CJ Jac Jhr N</v>
      </c>
      <c r="C10107" s="380" t="str">
        <f>IFERROR(__xludf.DUMMYFUNCTION("""COMPUTED_VALUE"""),"70005529")</f>
        <v>70005529</v>
      </c>
      <c r="D10107" s="380" t="s">
        <v>767</v>
      </c>
      <c r="E10107" s="380" t="s">
        <v>786</v>
      </c>
      <c r="F10107" s="380" t="s">
        <v>928</v>
      </c>
      <c r="G10107" s="380" t="s">
        <v>1267</v>
      </c>
      <c r="H10107" s="380" t="s">
        <v>771</v>
      </c>
      <c r="I10107" s="380" t="s">
        <v>788</v>
      </c>
      <c r="J10107" s="380" t="s">
        <v>773</v>
      </c>
      <c r="K10107" s="381">
        <v>0.0</v>
      </c>
      <c r="L10107" s="382">
        <v>1.0</v>
      </c>
    </row>
    <row r="10108">
      <c r="A10108" s="380" t="s">
        <v>10982</v>
      </c>
      <c r="B10108" s="380" t="str">
        <f>IFERROR(__xludf.DUMMYFUNCTION("""COMPUTED_VALUE"""),"Rodamiento ENT Eje Desplazable CJ Jac Jh")</f>
        <v>Rodamiento ENT Eje Desplazable CJ Jac Jh</v>
      </c>
      <c r="C10108" s="380" t="str">
        <f>IFERROR(__xludf.DUMMYFUNCTION("""COMPUTED_VALUE"""),"70005530")</f>
        <v>70005530</v>
      </c>
      <c r="D10108" s="380" t="s">
        <v>767</v>
      </c>
      <c r="E10108" s="380" t="s">
        <v>786</v>
      </c>
      <c r="F10108" s="380" t="s">
        <v>928</v>
      </c>
      <c r="G10108" s="380" t="s">
        <v>1267</v>
      </c>
      <c r="H10108" s="380" t="s">
        <v>771</v>
      </c>
      <c r="I10108" s="380" t="s">
        <v>788</v>
      </c>
      <c r="J10108" s="380" t="s">
        <v>773</v>
      </c>
      <c r="K10108" s="381">
        <v>0.0</v>
      </c>
      <c r="L10108" s="382">
        <v>1.0</v>
      </c>
    </row>
    <row r="10109">
      <c r="A10109" s="380" t="s">
        <v>10983</v>
      </c>
      <c r="B10109" s="380" t="str">
        <f>IFERROR(__xludf.DUMMYFUNCTION("""COMPUTED_VALUE"""),"Rodamiento Piñon De 5ta CJ Jac Jhr C0000")</f>
        <v>Rodamiento Piñon De 5ta CJ Jac Jhr C0000</v>
      </c>
      <c r="C10109" s="380" t="str">
        <f>IFERROR(__xludf.DUMMYFUNCTION("""COMPUTED_VALUE"""),"70005531")</f>
        <v>70005531</v>
      </c>
      <c r="D10109" s="380" t="s">
        <v>767</v>
      </c>
      <c r="E10109" s="380" t="s">
        <v>786</v>
      </c>
      <c r="F10109" s="380" t="s">
        <v>928</v>
      </c>
      <c r="G10109" s="380" t="s">
        <v>1267</v>
      </c>
      <c r="H10109" s="380" t="s">
        <v>771</v>
      </c>
      <c r="I10109" s="380" t="s">
        <v>788</v>
      </c>
      <c r="J10109" s="380" t="s">
        <v>773</v>
      </c>
      <c r="K10109" s="381">
        <v>0.0</v>
      </c>
      <c r="L10109" s="382">
        <v>1.0</v>
      </c>
    </row>
    <row r="10110">
      <c r="A10110" s="380" t="s">
        <v>10984</v>
      </c>
      <c r="B10110" s="380" t="str">
        <f>IFERROR(__xludf.DUMMYFUNCTION("""COMPUTED_VALUE"""),"Carter Aceite MOT Daf Cf480 Ftt 1866891")</f>
        <v>Carter Aceite MOT Daf Cf480 Ftt 1866891</v>
      </c>
      <c r="C10110" s="380" t="str">
        <f>IFERROR(__xludf.DUMMYFUNCTION("""COMPUTED_VALUE"""),"70005532")</f>
        <v>70005532</v>
      </c>
      <c r="D10110" s="380" t="s">
        <v>767</v>
      </c>
      <c r="E10110" s="380" t="s">
        <v>786</v>
      </c>
      <c r="F10110" s="380" t="s">
        <v>787</v>
      </c>
      <c r="G10110" s="380" t="s">
        <v>1267</v>
      </c>
      <c r="H10110" s="380" t="s">
        <v>771</v>
      </c>
      <c r="I10110" s="380" t="s">
        <v>788</v>
      </c>
      <c r="J10110" s="380" t="s">
        <v>773</v>
      </c>
      <c r="K10110" s="381">
        <v>0.0</v>
      </c>
      <c r="L10110" s="382">
        <v>1.0</v>
      </c>
    </row>
    <row r="10111">
      <c r="A10111" s="380" t="s">
        <v>10985</v>
      </c>
      <c r="B10111" s="380" t="str">
        <f>IFERROR(__xludf.DUMMYFUNCTION("""COMPUTED_VALUE"""),"RET DEL CJ Jac Jhr X16013101307")</f>
        <v>RET DEL CJ Jac Jhr X16013101307</v>
      </c>
      <c r="C10111" s="380" t="str">
        <f>IFERROR(__xludf.DUMMYFUNCTION("""COMPUTED_VALUE"""),"70005533")</f>
        <v>70005533</v>
      </c>
      <c r="D10111" s="380" t="s">
        <v>767</v>
      </c>
      <c r="E10111" s="380" t="s">
        <v>786</v>
      </c>
      <c r="F10111" s="380" t="s">
        <v>928</v>
      </c>
      <c r="G10111" s="380" t="s">
        <v>1267</v>
      </c>
      <c r="H10111" s="380" t="s">
        <v>771</v>
      </c>
      <c r="I10111" s="380" t="s">
        <v>788</v>
      </c>
      <c r="J10111" s="380" t="s">
        <v>773</v>
      </c>
      <c r="K10111" s="381">
        <v>0.0</v>
      </c>
      <c r="L10111" s="382">
        <v>1.0</v>
      </c>
    </row>
    <row r="10112">
      <c r="A10112" s="380" t="s">
        <v>10986</v>
      </c>
      <c r="B10112" s="380" t="str">
        <f>IFERROR(__xludf.DUMMYFUNCTION("""COMPUTED_VALUE"""),"Rodamiento Propulsor CJ Jac Jhr Tm6308ya")</f>
        <v>Rodamiento Propulsor CJ Jac Jhr Tm6308ya</v>
      </c>
      <c r="C10112" s="380" t="str">
        <f>IFERROR(__xludf.DUMMYFUNCTION("""COMPUTED_VALUE"""),"70005534")</f>
        <v>70005534</v>
      </c>
      <c r="D10112" s="380" t="s">
        <v>767</v>
      </c>
      <c r="E10112" s="380" t="s">
        <v>786</v>
      </c>
      <c r="F10112" s="380" t="s">
        <v>928</v>
      </c>
      <c r="G10112" s="380" t="s">
        <v>1267</v>
      </c>
      <c r="H10112" s="380" t="s">
        <v>771</v>
      </c>
      <c r="I10112" s="380" t="s">
        <v>788</v>
      </c>
      <c r="J10112" s="380" t="s">
        <v>773</v>
      </c>
      <c r="K10112" s="381">
        <v>0.0</v>
      </c>
      <c r="L10112" s="382">
        <v>1.0</v>
      </c>
    </row>
    <row r="10113">
      <c r="A10113" s="380" t="s">
        <v>10987</v>
      </c>
      <c r="B10113" s="380" t="str">
        <f>IFERROR(__xludf.DUMMYFUNCTION("""COMPUTED_VALUE"""),"Casquetes Bancada Std X10 FT Mv5 7705946")</f>
        <v>Casquetes Bancada Std X10 FT Mv5 7705946</v>
      </c>
      <c r="C10113" s="380" t="str">
        <f>IFERROR(__xludf.DUMMYFUNCTION("""COMPUTED_VALUE"""),"70005535")</f>
        <v>70005535</v>
      </c>
      <c r="D10113" s="380" t="s">
        <v>767</v>
      </c>
      <c r="E10113" s="380" t="s">
        <v>786</v>
      </c>
      <c r="F10113" s="380" t="s">
        <v>787</v>
      </c>
      <c r="G10113" s="380" t="s">
        <v>1267</v>
      </c>
      <c r="H10113" s="380" t="s">
        <v>771</v>
      </c>
      <c r="I10113" s="380" t="s">
        <v>788</v>
      </c>
      <c r="J10113" s="380" t="s">
        <v>773</v>
      </c>
      <c r="K10113" s="381">
        <v>0.0</v>
      </c>
      <c r="L10113" s="382">
        <v>1.0</v>
      </c>
    </row>
    <row r="10114">
      <c r="A10114" s="380" t="s">
        <v>10988</v>
      </c>
      <c r="B10114" s="380" t="str">
        <f>IFERROR(__xludf.DUMMYFUNCTION("""COMPUTED_VALUE"""),"BRR De Torsion IZQ Capot Prostar 3808429")</f>
        <v>BRR De Torsion IZQ Capot Prostar 3808429</v>
      </c>
      <c r="C10114" s="380" t="str">
        <f>IFERROR(__xludf.DUMMYFUNCTION("""COMPUTED_VALUE"""),"70005536")</f>
        <v>70005536</v>
      </c>
      <c r="D10114" s="380" t="s">
        <v>767</v>
      </c>
      <c r="E10114" s="380" t="s">
        <v>786</v>
      </c>
      <c r="F10114" s="380" t="s">
        <v>792</v>
      </c>
      <c r="G10114" s="380" t="s">
        <v>1267</v>
      </c>
      <c r="H10114" s="380" t="s">
        <v>771</v>
      </c>
      <c r="I10114" s="380" t="s">
        <v>788</v>
      </c>
      <c r="J10114" s="380" t="s">
        <v>773</v>
      </c>
      <c r="K10114" s="381">
        <v>0.0</v>
      </c>
      <c r="L10114" s="382">
        <v>1.0</v>
      </c>
    </row>
    <row r="10115">
      <c r="A10115" s="380" t="s">
        <v>10989</v>
      </c>
      <c r="B10115" s="380" t="str">
        <f>IFERROR(__xludf.DUMMYFUNCTION("""COMPUTED_VALUE"""),"Palanca Freno Pivote V76603-500")</f>
        <v>Palanca Freno Pivote V76603-500</v>
      </c>
      <c r="C10115" s="380" t="str">
        <f>IFERROR(__xludf.DUMMYFUNCTION("""COMPUTED_VALUE"""),"70005537")</f>
        <v>70005537</v>
      </c>
      <c r="D10115" s="380" t="s">
        <v>767</v>
      </c>
      <c r="E10115" s="380" t="s">
        <v>786</v>
      </c>
      <c r="F10115" s="380" t="s">
        <v>1017</v>
      </c>
      <c r="G10115" s="380" t="s">
        <v>1267</v>
      </c>
      <c r="H10115" s="380" t="s">
        <v>771</v>
      </c>
      <c r="I10115" s="380" t="s">
        <v>788</v>
      </c>
      <c r="J10115" s="380" t="s">
        <v>773</v>
      </c>
      <c r="K10115" s="381">
        <v>0.0</v>
      </c>
      <c r="L10115" s="382">
        <v>1.0</v>
      </c>
    </row>
    <row r="10116">
      <c r="A10116" s="380" t="s">
        <v>10990</v>
      </c>
      <c r="B10116" s="380" t="str">
        <f>IFERROR(__xludf.DUMMYFUNCTION("""COMPUTED_VALUE"""),"Bombillo Farola Tipo Led 12/24v 18w DFEN")</f>
        <v>Bombillo Farola Tipo Led 12/24v 18w DFEN</v>
      </c>
      <c r="C10116" s="380" t="str">
        <f>IFERROR(__xludf.DUMMYFUNCTION("""COMPUTED_VALUE"""),"70005538")</f>
        <v>70005538</v>
      </c>
      <c r="D10116" s="380" t="s">
        <v>767</v>
      </c>
      <c r="E10116" s="380" t="s">
        <v>786</v>
      </c>
      <c r="F10116" s="380" t="s">
        <v>998</v>
      </c>
      <c r="G10116" s="380" t="s">
        <v>1267</v>
      </c>
      <c r="H10116" s="380" t="s">
        <v>771</v>
      </c>
      <c r="I10116" s="380" t="s">
        <v>788</v>
      </c>
      <c r="J10116" s="380" t="s">
        <v>773</v>
      </c>
      <c r="K10116" s="381">
        <v>0.0</v>
      </c>
      <c r="L10116" s="382">
        <v>1.0</v>
      </c>
    </row>
    <row r="10117">
      <c r="A10117" s="380" t="s">
        <v>10991</v>
      </c>
      <c r="B10117" s="380" t="str">
        <f>IFERROR(__xludf.DUMMYFUNCTION("""COMPUTED_VALUE"""),"Secador De AIR Completo MCK Anthem 85122")</f>
        <v>Secador De AIR Completo MCK Anthem 85122</v>
      </c>
      <c r="C10117" s="380" t="str">
        <f>IFERROR(__xludf.DUMMYFUNCTION("""COMPUTED_VALUE"""),"70005539")</f>
        <v>70005539</v>
      </c>
      <c r="D10117" s="380" t="s">
        <v>767</v>
      </c>
      <c r="E10117" s="380" t="s">
        <v>786</v>
      </c>
      <c r="F10117" s="380" t="s">
        <v>1017</v>
      </c>
      <c r="G10117" s="380" t="s">
        <v>1267</v>
      </c>
      <c r="H10117" s="380" t="s">
        <v>771</v>
      </c>
      <c r="I10117" s="380" t="s">
        <v>788</v>
      </c>
      <c r="J10117" s="380" t="s">
        <v>773</v>
      </c>
      <c r="K10117" s="381">
        <v>1963500.0</v>
      </c>
      <c r="L10117" s="382">
        <v>1.0</v>
      </c>
    </row>
    <row r="10118">
      <c r="A10118" s="380" t="s">
        <v>10992</v>
      </c>
      <c r="B10118" s="380" t="str">
        <f>IFERROR(__xludf.DUMMYFUNCTION("""COMPUTED_VALUE"""),"Tubo Refrigeracion Compresor Daf 2111410")</f>
        <v>Tubo Refrigeracion Compresor Daf 2111410</v>
      </c>
      <c r="C10118" s="380" t="str">
        <f>IFERROR(__xludf.DUMMYFUNCTION("""COMPUTED_VALUE"""),"70005540")</f>
        <v>70005540</v>
      </c>
      <c r="D10118" s="380" t="s">
        <v>767</v>
      </c>
      <c r="E10118" s="380" t="s">
        <v>786</v>
      </c>
      <c r="F10118" s="380" t="s">
        <v>787</v>
      </c>
      <c r="G10118" s="380" t="s">
        <v>1267</v>
      </c>
      <c r="H10118" s="380" t="s">
        <v>771</v>
      </c>
      <c r="I10118" s="380" t="s">
        <v>788</v>
      </c>
      <c r="J10118" s="380" t="s">
        <v>773</v>
      </c>
      <c r="K10118" s="381">
        <v>0.0</v>
      </c>
      <c r="L10118" s="382">
        <v>1.0</v>
      </c>
    </row>
    <row r="10119">
      <c r="A10119" s="380" t="s">
        <v>10993</v>
      </c>
      <c r="B10119" s="380" t="str">
        <f>IFERROR(__xludf.DUMMYFUNCTION("""COMPUTED_VALUE"""),"Tapa Fusible Tablero Instrumentos FT 103")</f>
        <v>Tapa Fusible Tablero Instrumentos FT 103</v>
      </c>
      <c r="C10119" s="380" t="str">
        <f>IFERROR(__xludf.DUMMYFUNCTION("""COMPUTED_VALUE"""),"70005541")</f>
        <v>70005541</v>
      </c>
      <c r="D10119" s="380" t="s">
        <v>767</v>
      </c>
      <c r="E10119" s="380" t="s">
        <v>786</v>
      </c>
      <c r="F10119" s="380" t="s">
        <v>792</v>
      </c>
      <c r="G10119" s="380" t="s">
        <v>1267</v>
      </c>
      <c r="H10119" s="380" t="s">
        <v>771</v>
      </c>
      <c r="I10119" s="380" t="s">
        <v>788</v>
      </c>
      <c r="J10119" s="380" t="s">
        <v>773</v>
      </c>
      <c r="K10119" s="381">
        <v>0.0</v>
      </c>
      <c r="L10119" s="382">
        <v>1.0</v>
      </c>
    </row>
    <row r="10120">
      <c r="A10120" s="380" t="s">
        <v>10994</v>
      </c>
      <c r="B10120" s="380" t="str">
        <f>IFERROR(__xludf.DUMMYFUNCTION("""COMPUTED_VALUE"""),"Rodamiento TRAS Externo FT 1065 77010230")</f>
        <v>Rodamiento TRAS Externo FT 1065 77010230</v>
      </c>
      <c r="C10120" s="380" t="str">
        <f>IFERROR(__xludf.DUMMYFUNCTION("""COMPUTED_VALUE"""),"70005542")</f>
        <v>70005542</v>
      </c>
      <c r="D10120" s="380" t="s">
        <v>767</v>
      </c>
      <c r="E10120" s="380" t="s">
        <v>786</v>
      </c>
      <c r="F10120" s="380" t="s">
        <v>1039</v>
      </c>
      <c r="G10120" s="380" t="s">
        <v>1267</v>
      </c>
      <c r="H10120" s="380" t="s">
        <v>771</v>
      </c>
      <c r="I10120" s="380" t="s">
        <v>788</v>
      </c>
      <c r="J10120" s="380" t="s">
        <v>773</v>
      </c>
      <c r="K10120" s="381">
        <v>81949.0</v>
      </c>
      <c r="L10120" s="382">
        <v>1.0</v>
      </c>
    </row>
    <row r="10121">
      <c r="A10121" s="380" t="s">
        <v>10995</v>
      </c>
      <c r="B10121" s="380" t="str">
        <f>IFERROR(__xludf.DUMMYFUNCTION("""COMPUTED_VALUE"""),"Rodamiento TRAS INTno FT 1065 7701023099")</f>
        <v>Rodamiento TRAS INTno FT 1065 7701023099</v>
      </c>
      <c r="C10121" s="380" t="str">
        <f>IFERROR(__xludf.DUMMYFUNCTION("""COMPUTED_VALUE"""),"70005543")</f>
        <v>70005543</v>
      </c>
      <c r="D10121" s="380" t="s">
        <v>767</v>
      </c>
      <c r="E10121" s="380" t="s">
        <v>786</v>
      </c>
      <c r="F10121" s="380" t="s">
        <v>1039</v>
      </c>
      <c r="G10121" s="380" t="s">
        <v>1267</v>
      </c>
      <c r="H10121" s="380" t="s">
        <v>771</v>
      </c>
      <c r="I10121" s="380" t="s">
        <v>788</v>
      </c>
      <c r="J10121" s="380" t="s">
        <v>773</v>
      </c>
      <c r="K10121" s="381">
        <v>119627.0</v>
      </c>
      <c r="L10121" s="382">
        <v>1.0</v>
      </c>
    </row>
    <row r="10122">
      <c r="A10122" s="380" t="s">
        <v>10996</v>
      </c>
      <c r="B10122" s="380" t="str">
        <f>IFERROR(__xludf.DUMMYFUNCTION("""COMPUTED_VALUE"""),"Esparrago Semieje TRAS FT 1065 770102357")</f>
        <v>Esparrago Semieje TRAS FT 1065 770102357</v>
      </c>
      <c r="C10122" s="380" t="str">
        <f>IFERROR(__xludf.DUMMYFUNCTION("""COMPUTED_VALUE"""),"70005544")</f>
        <v>70005544</v>
      </c>
      <c r="D10122" s="380" t="s">
        <v>767</v>
      </c>
      <c r="E10122" s="380" t="s">
        <v>786</v>
      </c>
      <c r="F10122" s="380" t="s">
        <v>1039</v>
      </c>
      <c r="G10122" s="380" t="s">
        <v>1267</v>
      </c>
      <c r="H10122" s="380" t="s">
        <v>771</v>
      </c>
      <c r="I10122" s="380" t="s">
        <v>788</v>
      </c>
      <c r="J10122" s="380" t="s">
        <v>773</v>
      </c>
      <c r="K10122" s="381">
        <v>0.0</v>
      </c>
      <c r="L10122" s="382">
        <v>1.0</v>
      </c>
    </row>
    <row r="10123">
      <c r="A10123" s="380" t="s">
        <v>10997</v>
      </c>
      <c r="B10123" s="380" t="str">
        <f>IFERROR(__xludf.DUMMYFUNCTION("""COMPUTED_VALUE"""),"Arandela Pinadora Eje TRAS FT 1065 77010")</f>
        <v>Arandela Pinadora Eje TRAS FT 1065 77010</v>
      </c>
      <c r="C10123" s="380" t="str">
        <f>IFERROR(__xludf.DUMMYFUNCTION("""COMPUTED_VALUE"""),"70005545")</f>
        <v>70005545</v>
      </c>
      <c r="D10123" s="380" t="s">
        <v>767</v>
      </c>
      <c r="E10123" s="380" t="s">
        <v>786</v>
      </c>
      <c r="F10123" s="380" t="s">
        <v>1039</v>
      </c>
      <c r="G10123" s="380" t="s">
        <v>1267</v>
      </c>
      <c r="H10123" s="380" t="s">
        <v>771</v>
      </c>
      <c r="I10123" s="380" t="s">
        <v>788</v>
      </c>
      <c r="J10123" s="380" t="s">
        <v>773</v>
      </c>
      <c r="K10123" s="381">
        <v>16232.0</v>
      </c>
      <c r="L10123" s="382">
        <v>1.0</v>
      </c>
    </row>
    <row r="10124">
      <c r="A10124" s="380" t="s">
        <v>10998</v>
      </c>
      <c r="B10124" s="380" t="str">
        <f>IFERROR(__xludf.DUMMYFUNCTION("""COMPUTED_VALUE"""),"Piñon Acople BMB COMB Detroit S60 235052")</f>
        <v>Piñon Acople BMB COMB Detroit S60 235052</v>
      </c>
      <c r="C10124" s="380" t="str">
        <f>IFERROR(__xludf.DUMMYFUNCTION("""COMPUTED_VALUE"""),"70005546")</f>
        <v>70005546</v>
      </c>
      <c r="D10124" s="380" t="s">
        <v>767</v>
      </c>
      <c r="E10124" s="380" t="s">
        <v>786</v>
      </c>
      <c r="F10124" s="380" t="s">
        <v>787</v>
      </c>
      <c r="G10124" s="380" t="s">
        <v>1267</v>
      </c>
      <c r="H10124" s="380" t="s">
        <v>771</v>
      </c>
      <c r="I10124" s="380" t="s">
        <v>788</v>
      </c>
      <c r="J10124" s="380" t="s">
        <v>773</v>
      </c>
      <c r="K10124" s="381">
        <v>0.0</v>
      </c>
      <c r="L10124" s="382">
        <v>1.0</v>
      </c>
    </row>
    <row r="10125">
      <c r="A10125" s="380" t="s">
        <v>10999</v>
      </c>
      <c r="B10125" s="380" t="str">
        <f>IFERROR(__xludf.DUMMYFUNCTION("""COMPUTED_VALUE"""),"Manivela Porta Repuesto HN Dutro 09187-3")</f>
        <v>Manivela Porta Repuesto HN Dutro 09187-3</v>
      </c>
      <c r="C10125" s="380" t="str">
        <f>IFERROR(__xludf.DUMMYFUNCTION("""COMPUTED_VALUE"""),"70005547")</f>
        <v>70005547</v>
      </c>
      <c r="D10125" s="380" t="s">
        <v>767</v>
      </c>
      <c r="E10125" s="380" t="s">
        <v>786</v>
      </c>
      <c r="F10125" s="380" t="s">
        <v>792</v>
      </c>
      <c r="G10125" s="380" t="s">
        <v>1267</v>
      </c>
      <c r="H10125" s="380" t="s">
        <v>771</v>
      </c>
      <c r="I10125" s="380" t="s">
        <v>788</v>
      </c>
      <c r="J10125" s="380" t="s">
        <v>773</v>
      </c>
      <c r="K10125" s="381">
        <v>0.0</v>
      </c>
      <c r="L10125" s="382">
        <v>1.0</v>
      </c>
    </row>
    <row r="10126">
      <c r="A10126" s="380" t="s">
        <v>11000</v>
      </c>
      <c r="B10126" s="380" t="str">
        <f>IFERROR(__xludf.DUMMYFUNCTION("""COMPUTED_VALUE"""),"PTA DER INTnationa Lt 4172880c91")</f>
        <v>PTA DER INTnationa Lt 4172880c91</v>
      </c>
      <c r="C10126" s="380" t="str">
        <f>IFERROR(__xludf.DUMMYFUNCTION("""COMPUTED_VALUE"""),"70005548")</f>
        <v>70005548</v>
      </c>
      <c r="D10126" s="380" t="s">
        <v>767</v>
      </c>
      <c r="E10126" s="380" t="s">
        <v>786</v>
      </c>
      <c r="F10126" s="380" t="s">
        <v>792</v>
      </c>
      <c r="G10126" s="380" t="s">
        <v>1267</v>
      </c>
      <c r="H10126" s="380" t="s">
        <v>771</v>
      </c>
      <c r="I10126" s="380" t="s">
        <v>788</v>
      </c>
      <c r="J10126" s="380" t="s">
        <v>773</v>
      </c>
      <c r="K10126" s="381">
        <v>0.0</v>
      </c>
      <c r="L10126" s="382">
        <v>1.0</v>
      </c>
    </row>
    <row r="10127">
      <c r="A10127" s="380" t="s">
        <v>11001</v>
      </c>
      <c r="B10127" s="380" t="str">
        <f>IFERROR(__xludf.DUMMYFUNCTION("""COMPUTED_VALUE"""),"Empaque Carter Daf Cf480 Ftt 1853603")</f>
        <v>Empaque Carter Daf Cf480 Ftt 1853603</v>
      </c>
      <c r="C10127" s="380" t="str">
        <f>IFERROR(__xludf.DUMMYFUNCTION("""COMPUTED_VALUE"""),"70005549")</f>
        <v>70005549</v>
      </c>
      <c r="D10127" s="380" t="s">
        <v>767</v>
      </c>
      <c r="E10127" s="380" t="s">
        <v>786</v>
      </c>
      <c r="F10127" s="380" t="s">
        <v>787</v>
      </c>
      <c r="G10127" s="380" t="s">
        <v>1267</v>
      </c>
      <c r="H10127" s="380" t="s">
        <v>771</v>
      </c>
      <c r="I10127" s="380" t="s">
        <v>788</v>
      </c>
      <c r="J10127" s="380" t="s">
        <v>773</v>
      </c>
      <c r="K10127" s="381">
        <v>0.0</v>
      </c>
      <c r="L10127" s="382">
        <v>1.0</v>
      </c>
    </row>
    <row r="10128">
      <c r="A10128" s="380" t="s">
        <v>11002</v>
      </c>
      <c r="B10128" s="380" t="str">
        <f>IFERROR(__xludf.DUMMYFUNCTION("""COMPUTED_VALUE"""),"Buje MUE DEL Daf Cf480 Ftt 1890049")</f>
        <v>Buje MUE DEL Daf Cf480 Ftt 1890049</v>
      </c>
      <c r="C10128" s="380" t="str">
        <f>IFERROR(__xludf.DUMMYFUNCTION("""COMPUTED_VALUE"""),"70005550")</f>
        <v>70005550</v>
      </c>
      <c r="D10128" s="380" t="s">
        <v>767</v>
      </c>
      <c r="E10128" s="380" t="s">
        <v>786</v>
      </c>
      <c r="F10128" s="380" t="s">
        <v>1039</v>
      </c>
      <c r="G10128" s="380" t="s">
        <v>1267</v>
      </c>
      <c r="H10128" s="380" t="s">
        <v>771</v>
      </c>
      <c r="I10128" s="380" t="s">
        <v>788</v>
      </c>
      <c r="J10128" s="380" t="s">
        <v>773</v>
      </c>
      <c r="K10128" s="381">
        <v>0.0</v>
      </c>
      <c r="L10128" s="382">
        <v>1.0</v>
      </c>
    </row>
    <row r="10129">
      <c r="A10129" s="380" t="s">
        <v>11003</v>
      </c>
      <c r="B10129" s="380" t="str">
        <f>IFERROR(__xludf.DUMMYFUNCTION("""COMPUTED_VALUE"""),"Sun Jun 01 1400 00:00:00 GMT-0456 (hora")</f>
        <v>Sun Jun 01 1400 00:00:00 GMT-0456 (hora</v>
      </c>
      <c r="C10129" s="380" t="str">
        <f>IFERROR(__xludf.DUMMYFUNCTION("""COMPUTED_VALUE"""),"70005551")</f>
        <v>70005551</v>
      </c>
      <c r="D10129" s="380" t="s">
        <v>767</v>
      </c>
      <c r="E10129" s="380" t="s">
        <v>786</v>
      </c>
      <c r="F10129" s="380" t="s">
        <v>792</v>
      </c>
      <c r="G10129" s="380" t="s">
        <v>1267</v>
      </c>
      <c r="H10129" s="380" t="s">
        <v>771</v>
      </c>
      <c r="I10129" s="380" t="s">
        <v>788</v>
      </c>
      <c r="J10129" s="380" t="s">
        <v>773</v>
      </c>
      <c r="K10129" s="381">
        <v>0.0</v>
      </c>
      <c r="L10129" s="382">
        <v>1.0</v>
      </c>
    </row>
    <row r="10130">
      <c r="A10130" s="380" t="s">
        <v>11004</v>
      </c>
      <c r="B10130" s="380" t="str">
        <f>IFERROR(__xludf.DUMMYFUNCTION("""COMPUTED_VALUE"""),"Bocin RDA TRAS 5 Huecos HN Dutro 42411-3")</f>
        <v>Bocin RDA TRAS 5 Huecos HN Dutro 42411-3</v>
      </c>
      <c r="C10130" s="380" t="str">
        <f>IFERROR(__xludf.DUMMYFUNCTION("""COMPUTED_VALUE"""),"70005552")</f>
        <v>70005552</v>
      </c>
      <c r="D10130" s="380" t="s">
        <v>767</v>
      </c>
      <c r="E10130" s="380" t="s">
        <v>786</v>
      </c>
      <c r="F10130" s="380" t="s">
        <v>1017</v>
      </c>
      <c r="G10130" s="380" t="s">
        <v>1267</v>
      </c>
      <c r="H10130" s="380" t="s">
        <v>771</v>
      </c>
      <c r="I10130" s="380" t="s">
        <v>788</v>
      </c>
      <c r="J10130" s="380" t="s">
        <v>773</v>
      </c>
      <c r="K10130" s="381">
        <v>0.0</v>
      </c>
      <c r="L10130" s="382">
        <v>1.0</v>
      </c>
    </row>
    <row r="10131">
      <c r="A10131" s="380" t="s">
        <v>11005</v>
      </c>
      <c r="B10131" s="380" t="str">
        <f>IFERROR(__xludf.DUMMYFUNCTION("""COMPUTED_VALUE"""),"Gorros VALVs X16 FT Mv5 7705946507899")</f>
        <v>Gorros VALVs X16 FT Mv5 7705946507899</v>
      </c>
      <c r="C10131" s="380" t="str">
        <f>IFERROR(__xludf.DUMMYFUNCTION("""COMPUTED_VALUE"""),"70005553")</f>
        <v>70005553</v>
      </c>
      <c r="D10131" s="380" t="s">
        <v>767</v>
      </c>
      <c r="E10131" s="380" t="s">
        <v>786</v>
      </c>
      <c r="F10131" s="380" t="s">
        <v>787</v>
      </c>
      <c r="G10131" s="380" t="s">
        <v>1267</v>
      </c>
      <c r="H10131" s="380" t="s">
        <v>771</v>
      </c>
      <c r="I10131" s="380" t="s">
        <v>788</v>
      </c>
      <c r="J10131" s="380" t="s">
        <v>773</v>
      </c>
      <c r="K10131" s="381">
        <v>0.0</v>
      </c>
      <c r="L10131" s="382">
        <v>1.0</v>
      </c>
    </row>
    <row r="10132">
      <c r="A10132" s="380" t="s">
        <v>11006</v>
      </c>
      <c r="B10132" s="380" t="str">
        <f>IFERROR(__xludf.DUMMYFUNCTION("""COMPUTED_VALUE"""),"Bomper Trasero Dong Feng 11054089")</f>
        <v>Bomper Trasero Dong Feng 11054089</v>
      </c>
      <c r="C10132" s="380" t="str">
        <f>IFERROR(__xludf.DUMMYFUNCTION("""COMPUTED_VALUE"""),"70005554")</f>
        <v>70005554</v>
      </c>
      <c r="D10132" s="380" t="s">
        <v>767</v>
      </c>
      <c r="E10132" s="380" t="s">
        <v>786</v>
      </c>
      <c r="F10132" s="380" t="s">
        <v>792</v>
      </c>
      <c r="G10132" s="380" t="s">
        <v>1267</v>
      </c>
      <c r="H10132" s="380" t="s">
        <v>771</v>
      </c>
      <c r="I10132" s="380" t="s">
        <v>788</v>
      </c>
      <c r="J10132" s="380" t="s">
        <v>773</v>
      </c>
      <c r="K10132" s="381">
        <v>0.0</v>
      </c>
      <c r="L10132" s="382">
        <v>1.0</v>
      </c>
    </row>
    <row r="10133">
      <c r="A10133" s="380" t="s">
        <v>11007</v>
      </c>
      <c r="B10133" s="380" t="str">
        <f>IFERROR(__xludf.DUMMYFUNCTION("""COMPUTED_VALUE"""),"Conjunto CIL Freno Booster DFENG ELEC 11")</f>
        <v>Conjunto CIL Freno Booster DFENG ELEC 11</v>
      </c>
      <c r="C10133" s="380" t="str">
        <f>IFERROR(__xludf.DUMMYFUNCTION("""COMPUTED_VALUE"""),"70005555")</f>
        <v>70005555</v>
      </c>
      <c r="D10133" s="380" t="s">
        <v>767</v>
      </c>
      <c r="E10133" s="380" t="s">
        <v>786</v>
      </c>
      <c r="F10133" s="380" t="s">
        <v>1017</v>
      </c>
      <c r="G10133" s="380" t="s">
        <v>1267</v>
      </c>
      <c r="H10133" s="380" t="s">
        <v>771</v>
      </c>
      <c r="I10133" s="380" t="s">
        <v>788</v>
      </c>
      <c r="J10133" s="380" t="s">
        <v>773</v>
      </c>
      <c r="K10133" s="381">
        <v>0.0</v>
      </c>
      <c r="L10133" s="382">
        <v>1.0</v>
      </c>
    </row>
    <row r="10134">
      <c r="A10134" s="380" t="s">
        <v>11008</v>
      </c>
      <c r="B10134" s="380" t="str">
        <f>IFERROR(__xludf.DUMMYFUNCTION("""COMPUTED_VALUE"""),"Caña DIR DFENG ELEC 11054125")</f>
        <v>Caña DIR DFENG ELEC 11054125</v>
      </c>
      <c r="C10134" s="380" t="str">
        <f>IFERROR(__xludf.DUMMYFUNCTION("""COMPUTED_VALUE"""),"70005556")</f>
        <v>70005556</v>
      </c>
      <c r="D10134" s="380" t="s">
        <v>767</v>
      </c>
      <c r="E10134" s="380" t="s">
        <v>786</v>
      </c>
      <c r="F10134" s="380" t="s">
        <v>1020</v>
      </c>
      <c r="G10134" s="380" t="s">
        <v>1267</v>
      </c>
      <c r="H10134" s="380" t="s">
        <v>771</v>
      </c>
      <c r="I10134" s="380" t="s">
        <v>788</v>
      </c>
      <c r="J10134" s="380" t="s">
        <v>773</v>
      </c>
      <c r="K10134" s="381">
        <v>0.0</v>
      </c>
      <c r="L10134" s="382">
        <v>1.0</v>
      </c>
    </row>
    <row r="10135">
      <c r="A10135" s="380" t="s">
        <v>11009</v>
      </c>
      <c r="B10135" s="380" t="str">
        <f>IFERROR(__xludf.DUMMYFUNCTION("""COMPUTED_VALUE"""),"Filtro Combustible Toyota Vxa 2330062030")</f>
        <v>Filtro Combustible Toyota Vxa 2330062030</v>
      </c>
      <c r="C10135" s="380" t="str">
        <f>IFERROR(__xludf.DUMMYFUNCTION("""COMPUTED_VALUE"""),"70005557")</f>
        <v>70005557</v>
      </c>
      <c r="D10135" s="380" t="s">
        <v>767</v>
      </c>
      <c r="E10135" s="380" t="s">
        <v>786</v>
      </c>
      <c r="F10135" s="380" t="s">
        <v>5855</v>
      </c>
      <c r="G10135" s="380" t="s">
        <v>1267</v>
      </c>
      <c r="H10135" s="380" t="s">
        <v>771</v>
      </c>
      <c r="I10135" s="380" t="s">
        <v>788</v>
      </c>
      <c r="J10135" s="380" t="s">
        <v>773</v>
      </c>
      <c r="K10135" s="381">
        <v>0.0</v>
      </c>
      <c r="L10135" s="382">
        <v>1.0</v>
      </c>
    </row>
    <row r="10136">
      <c r="A10136" s="380" t="s">
        <v>11010</v>
      </c>
      <c r="B10136" s="380" t="str">
        <f>IFERROR(__xludf.DUMMYFUNCTION("""COMPUTED_VALUE"""),"Filtro Aire Toyota Vxa 1780162010")</f>
        <v>Filtro Aire Toyota Vxa 1780162010</v>
      </c>
      <c r="C10136" s="380" t="str">
        <f>IFERROR(__xludf.DUMMYFUNCTION("""COMPUTED_VALUE"""),"70005558")</f>
        <v>70005558</v>
      </c>
      <c r="D10136" s="380" t="s">
        <v>767</v>
      </c>
      <c r="E10136" s="380" t="s">
        <v>786</v>
      </c>
      <c r="F10136" s="380" t="s">
        <v>5855</v>
      </c>
      <c r="G10136" s="380" t="s">
        <v>1267</v>
      </c>
      <c r="H10136" s="380" t="s">
        <v>771</v>
      </c>
      <c r="I10136" s="380" t="s">
        <v>788</v>
      </c>
      <c r="J10136" s="380" t="s">
        <v>773</v>
      </c>
      <c r="K10136" s="381">
        <v>0.0</v>
      </c>
      <c r="L10136" s="382">
        <v>1.0</v>
      </c>
    </row>
    <row r="10137">
      <c r="A10137" s="380" t="s">
        <v>11011</v>
      </c>
      <c r="B10137" s="380" t="str">
        <f>IFERROR(__xludf.DUMMYFUNCTION("""COMPUTED_VALUE"""),"FILT Aceite T Prado Vxa 90915yyzzd2")</f>
        <v>FILT Aceite T Prado Vxa 90915yyzzd2</v>
      </c>
      <c r="C10137" s="380" t="str">
        <f>IFERROR(__xludf.DUMMYFUNCTION("""COMPUTED_VALUE"""),"70005559")</f>
        <v>70005559</v>
      </c>
      <c r="D10137" s="380" t="s">
        <v>767</v>
      </c>
      <c r="E10137" s="380" t="s">
        <v>786</v>
      </c>
      <c r="F10137" s="380" t="s">
        <v>5855</v>
      </c>
      <c r="G10137" s="380" t="s">
        <v>1267</v>
      </c>
      <c r="H10137" s="380" t="s">
        <v>771</v>
      </c>
      <c r="I10137" s="380" t="s">
        <v>788</v>
      </c>
      <c r="J10137" s="380" t="s">
        <v>773</v>
      </c>
      <c r="K10137" s="381">
        <v>0.0</v>
      </c>
      <c r="L10137" s="382">
        <v>1.0</v>
      </c>
    </row>
    <row r="10138">
      <c r="A10138" s="380" t="s">
        <v>11012</v>
      </c>
      <c r="B10138" s="380" t="str">
        <f>IFERROR(__xludf.DUMMYFUNCTION("""COMPUTED_VALUE"""),"FILT COMB T Tx-L 2330031160")</f>
        <v>FILT COMB T Tx-L 2330031160</v>
      </c>
      <c r="C10138" s="380" t="str">
        <f>IFERROR(__xludf.DUMMYFUNCTION("""COMPUTED_VALUE"""),"70005560")</f>
        <v>70005560</v>
      </c>
      <c r="D10138" s="380" t="s">
        <v>767</v>
      </c>
      <c r="E10138" s="380" t="s">
        <v>786</v>
      </c>
      <c r="F10138" s="380" t="s">
        <v>5855</v>
      </c>
      <c r="G10138" s="380" t="s">
        <v>1267</v>
      </c>
      <c r="H10138" s="380" t="s">
        <v>771</v>
      </c>
      <c r="I10138" s="380" t="s">
        <v>788</v>
      </c>
      <c r="J10138" s="380" t="s">
        <v>773</v>
      </c>
      <c r="K10138" s="381">
        <v>0.0</v>
      </c>
      <c r="L10138" s="382">
        <v>1.0</v>
      </c>
    </row>
    <row r="10139">
      <c r="A10139" s="380" t="s">
        <v>11013</v>
      </c>
      <c r="B10139" s="380" t="str">
        <f>IFERROR(__xludf.DUMMYFUNCTION("""COMPUTED_VALUE"""),"Filtro Aire Toyota Tx-L 1780138051")</f>
        <v>Filtro Aire Toyota Tx-L 1780138051</v>
      </c>
      <c r="C10139" s="380" t="str">
        <f>IFERROR(__xludf.DUMMYFUNCTION("""COMPUTED_VALUE"""),"70005561")</f>
        <v>70005561</v>
      </c>
      <c r="D10139" s="380" t="s">
        <v>767</v>
      </c>
      <c r="E10139" s="380" t="s">
        <v>786</v>
      </c>
      <c r="F10139" s="380" t="s">
        <v>5855</v>
      </c>
      <c r="G10139" s="380" t="s">
        <v>1267</v>
      </c>
      <c r="H10139" s="380" t="s">
        <v>771</v>
      </c>
      <c r="I10139" s="380" t="s">
        <v>788</v>
      </c>
      <c r="J10139" s="380" t="s">
        <v>773</v>
      </c>
      <c r="K10139" s="381">
        <v>0.0</v>
      </c>
      <c r="L10139" s="382">
        <v>1.0</v>
      </c>
    </row>
    <row r="10140">
      <c r="A10140" s="380" t="s">
        <v>11014</v>
      </c>
      <c r="B10140" s="380" t="str">
        <f>IFERROR(__xludf.DUMMYFUNCTION("""COMPUTED_VALUE"""),"Guaya Capot Hi Internatio 483687c2.H")</f>
        <v>Guaya Capot Hi Internatio 483687c2.H</v>
      </c>
      <c r="C10140" s="380" t="str">
        <f>IFERROR(__xludf.DUMMYFUNCTION("""COMPUTED_VALUE"""),"70005562")</f>
        <v>70005562</v>
      </c>
      <c r="D10140" s="380" t="s">
        <v>767</v>
      </c>
      <c r="E10140" s="380" t="s">
        <v>786</v>
      </c>
      <c r="F10140" s="380" t="s">
        <v>792</v>
      </c>
      <c r="G10140" s="380" t="s">
        <v>1267</v>
      </c>
      <c r="H10140" s="380" t="s">
        <v>771</v>
      </c>
      <c r="I10140" s="380" t="s">
        <v>788</v>
      </c>
      <c r="J10140" s="380" t="s">
        <v>773</v>
      </c>
      <c r="K10140" s="381">
        <v>0.0</v>
      </c>
      <c r="L10140" s="382">
        <v>1.0</v>
      </c>
    </row>
    <row r="10141">
      <c r="A10141" s="380" t="s">
        <v>11015</v>
      </c>
      <c r="B10141" s="380" t="str">
        <f>IFERROR(__xludf.DUMMYFUNCTION("""COMPUTED_VALUE"""),"FILT Aceite T Prado Tx-L 415238010")</f>
        <v>FILT Aceite T Prado Tx-L 415238010</v>
      </c>
      <c r="C10141" s="380" t="str">
        <f>IFERROR(__xludf.DUMMYFUNCTION("""COMPUTED_VALUE"""),"70005563")</f>
        <v>70005563</v>
      </c>
      <c r="D10141" s="380" t="s">
        <v>767</v>
      </c>
      <c r="E10141" s="380" t="s">
        <v>786</v>
      </c>
      <c r="F10141" s="380" t="s">
        <v>5855</v>
      </c>
      <c r="G10141" s="380" t="s">
        <v>1267</v>
      </c>
      <c r="H10141" s="380" t="s">
        <v>771</v>
      </c>
      <c r="I10141" s="380" t="s">
        <v>788</v>
      </c>
      <c r="J10141" s="380" t="s">
        <v>773</v>
      </c>
      <c r="K10141" s="381">
        <v>0.0</v>
      </c>
      <c r="L10141" s="382">
        <v>1.0</v>
      </c>
    </row>
    <row r="10142">
      <c r="A10142" s="380" t="s">
        <v>11016</v>
      </c>
      <c r="B10142" s="380" t="str">
        <f>IFERROR(__xludf.DUMMYFUNCTION("""COMPUTED_VALUE"""),"Casquetes De Biela Std Jgo X8 FT Mv5 770")</f>
        <v>Casquetes De Biela Std Jgo X8 FT Mv5 770</v>
      </c>
      <c r="C10142" s="380" t="str">
        <f>IFERROR(__xludf.DUMMYFUNCTION("""COMPUTED_VALUE"""),"70005564")</f>
        <v>70005564</v>
      </c>
      <c r="D10142" s="380" t="s">
        <v>767</v>
      </c>
      <c r="E10142" s="380" t="s">
        <v>786</v>
      </c>
      <c r="F10142" s="380" t="s">
        <v>787</v>
      </c>
      <c r="G10142" s="380" t="s">
        <v>1267</v>
      </c>
      <c r="H10142" s="380" t="s">
        <v>771</v>
      </c>
      <c r="I10142" s="380" t="s">
        <v>788</v>
      </c>
      <c r="J10142" s="380" t="s">
        <v>773</v>
      </c>
      <c r="K10142" s="381">
        <v>0.0</v>
      </c>
      <c r="L10142" s="382">
        <v>1.0</v>
      </c>
    </row>
    <row r="10143">
      <c r="A10143" s="380" t="s">
        <v>11017</v>
      </c>
      <c r="B10143" s="380" t="str">
        <f>IFERROR(__xludf.DUMMYFUNCTION("""COMPUTED_VALUE"""),"EMP Inf Vidrio PTA Der Prostar 3557123c2")</f>
        <v>EMP Inf Vidrio PTA Der Prostar 3557123c2</v>
      </c>
      <c r="C10143" s="380" t="str">
        <f>IFERROR(__xludf.DUMMYFUNCTION("""COMPUTED_VALUE"""),"70005565")</f>
        <v>70005565</v>
      </c>
      <c r="D10143" s="380" t="s">
        <v>767</v>
      </c>
      <c r="E10143" s="380" t="s">
        <v>786</v>
      </c>
      <c r="F10143" s="380" t="s">
        <v>792</v>
      </c>
      <c r="G10143" s="380" t="s">
        <v>1267</v>
      </c>
      <c r="H10143" s="380" t="s">
        <v>771</v>
      </c>
      <c r="I10143" s="380" t="s">
        <v>788</v>
      </c>
      <c r="J10143" s="380" t="s">
        <v>773</v>
      </c>
      <c r="K10143" s="381">
        <v>0.0</v>
      </c>
      <c r="L10143" s="382">
        <v>1.0</v>
      </c>
    </row>
    <row r="10144">
      <c r="A10144" s="380" t="s">
        <v>11018</v>
      </c>
      <c r="B10144" s="380" t="str">
        <f>IFERROR(__xludf.DUMMYFUNCTION("""COMPUTED_VALUE"""),"Casqu. Axiales ""Medialuna"" X2 Cigueñal F")</f>
        <v>Casqu. Axiales "Medialuna" X2 Cigueñal F</v>
      </c>
      <c r="C10144" s="380" t="str">
        <f>IFERROR(__xludf.DUMMYFUNCTION("""COMPUTED_VALUE"""),"70005566")</f>
        <v>70005566</v>
      </c>
      <c r="D10144" s="380" t="s">
        <v>767</v>
      </c>
      <c r="E10144" s="380" t="s">
        <v>786</v>
      </c>
      <c r="F10144" s="380" t="s">
        <v>787</v>
      </c>
      <c r="G10144" s="380" t="s">
        <v>1267</v>
      </c>
      <c r="H10144" s="380" t="s">
        <v>771</v>
      </c>
      <c r="I10144" s="380" t="s">
        <v>788</v>
      </c>
      <c r="J10144" s="380" t="s">
        <v>773</v>
      </c>
      <c r="K10144" s="381">
        <v>0.0</v>
      </c>
      <c r="L10144" s="382">
        <v>1.0</v>
      </c>
    </row>
    <row r="10145">
      <c r="A10145" s="380" t="s">
        <v>11019</v>
      </c>
      <c r="B10145" s="380" t="str">
        <f>IFERROR(__xludf.DUMMYFUNCTION("""COMPUTED_VALUE"""),"Mega Fusible 125 Amp Daf Cf480 Ftt 13766")</f>
        <v>Mega Fusible 125 Amp Daf Cf480 Ftt 13766</v>
      </c>
      <c r="C10145" s="380" t="str">
        <f>IFERROR(__xludf.DUMMYFUNCTION("""COMPUTED_VALUE"""),"70005567")</f>
        <v>70005567</v>
      </c>
      <c r="D10145" s="380" t="s">
        <v>767</v>
      </c>
      <c r="E10145" s="380" t="s">
        <v>786</v>
      </c>
      <c r="F10145" s="380" t="s">
        <v>998</v>
      </c>
      <c r="G10145" s="380" t="s">
        <v>1267</v>
      </c>
      <c r="H10145" s="380" t="s">
        <v>771</v>
      </c>
      <c r="I10145" s="380" t="s">
        <v>788</v>
      </c>
      <c r="J10145" s="380" t="s">
        <v>773</v>
      </c>
      <c r="K10145" s="381">
        <v>0.0</v>
      </c>
      <c r="L10145" s="382">
        <v>1.0</v>
      </c>
    </row>
    <row r="10146">
      <c r="A10146" s="380" t="s">
        <v>11020</v>
      </c>
      <c r="B10146" s="380" t="str">
        <f>IFERROR(__xludf.DUMMYFUNCTION("""COMPUTED_VALUE"""),"RET TRAS Externo FT 1065 7701023096959")</f>
        <v>RET TRAS Externo FT 1065 7701023096959</v>
      </c>
      <c r="C10146" s="380" t="str">
        <f>IFERROR(__xludf.DUMMYFUNCTION("""COMPUTED_VALUE"""),"70005568")</f>
        <v>70005568</v>
      </c>
      <c r="D10146" s="380" t="s">
        <v>767</v>
      </c>
      <c r="E10146" s="380" t="s">
        <v>786</v>
      </c>
      <c r="F10146" s="380" t="s">
        <v>1039</v>
      </c>
      <c r="G10146" s="380" t="s">
        <v>1267</v>
      </c>
      <c r="H10146" s="380" t="s">
        <v>771</v>
      </c>
      <c r="I10146" s="380" t="s">
        <v>788</v>
      </c>
      <c r="J10146" s="380" t="s">
        <v>773</v>
      </c>
      <c r="K10146" s="381">
        <v>47203.0</v>
      </c>
      <c r="L10146" s="382">
        <v>1.0</v>
      </c>
    </row>
    <row r="10147">
      <c r="A10147" s="380" t="s">
        <v>11021</v>
      </c>
      <c r="B10147" s="380" t="str">
        <f>IFERROR(__xludf.DUMMYFUNCTION("""COMPUTED_VALUE"""),"Guaya Selector Cambios HN 500 33830-E0a8")</f>
        <v>Guaya Selector Cambios HN 500 33830-E0a8</v>
      </c>
      <c r="C10147" s="380" t="str">
        <f>IFERROR(__xludf.DUMMYFUNCTION("""COMPUTED_VALUE"""),"70005569")</f>
        <v>70005569</v>
      </c>
      <c r="D10147" s="380" t="s">
        <v>767</v>
      </c>
      <c r="E10147" s="380" t="s">
        <v>786</v>
      </c>
      <c r="F10147" s="380" t="s">
        <v>928</v>
      </c>
      <c r="G10147" s="380" t="s">
        <v>1267</v>
      </c>
      <c r="H10147" s="380" t="s">
        <v>771</v>
      </c>
      <c r="I10147" s="380" t="s">
        <v>788</v>
      </c>
      <c r="J10147" s="380" t="s">
        <v>773</v>
      </c>
      <c r="K10147" s="381">
        <v>0.0</v>
      </c>
      <c r="L10147" s="382">
        <v>1.0</v>
      </c>
    </row>
    <row r="10148">
      <c r="A10148" s="380" t="s">
        <v>11022</v>
      </c>
      <c r="B10148" s="380" t="str">
        <f>IFERROR(__xludf.DUMMYFUNCTION("""COMPUTED_VALUE"""),"Eje Piñon Loco Distribucion CUMM Isx 368")</f>
        <v>Eje Piñon Loco Distribucion CUMM Isx 368</v>
      </c>
      <c r="C10148" s="380" t="str">
        <f>IFERROR(__xludf.DUMMYFUNCTION("""COMPUTED_VALUE"""),"70005570")</f>
        <v>70005570</v>
      </c>
      <c r="D10148" s="380" t="s">
        <v>767</v>
      </c>
      <c r="E10148" s="380" t="s">
        <v>786</v>
      </c>
      <c r="F10148" s="380" t="s">
        <v>787</v>
      </c>
      <c r="G10148" s="380" t="s">
        <v>1267</v>
      </c>
      <c r="H10148" s="380" t="s">
        <v>771</v>
      </c>
      <c r="I10148" s="380" t="s">
        <v>788</v>
      </c>
      <c r="J10148" s="380" t="s">
        <v>773</v>
      </c>
      <c r="K10148" s="381">
        <v>734374.0</v>
      </c>
      <c r="L10148" s="382">
        <v>1.0</v>
      </c>
    </row>
    <row r="10149">
      <c r="A10149" s="380" t="s">
        <v>11023</v>
      </c>
      <c r="B10149" s="380" t="str">
        <f>IFERROR(__xludf.DUMMYFUNCTION("""COMPUTED_VALUE"""),"CTRL Elevavidrio PTA DER Jac 1120 374600")</f>
        <v>CTRL Elevavidrio PTA DER Jac 1120 374600</v>
      </c>
      <c r="C10149" s="380" t="str">
        <f>IFERROR(__xludf.DUMMYFUNCTION("""COMPUTED_VALUE"""),"70005571")</f>
        <v>70005571</v>
      </c>
      <c r="D10149" s="380" t="s">
        <v>767</v>
      </c>
      <c r="E10149" s="380" t="s">
        <v>786</v>
      </c>
      <c r="F10149" s="380" t="s">
        <v>998</v>
      </c>
      <c r="G10149" s="380" t="s">
        <v>1267</v>
      </c>
      <c r="H10149" s="380" t="s">
        <v>771</v>
      </c>
      <c r="I10149" s="380" t="s">
        <v>788</v>
      </c>
      <c r="J10149" s="380" t="s">
        <v>773</v>
      </c>
      <c r="K10149" s="381">
        <v>0.0</v>
      </c>
      <c r="L10149" s="382">
        <v>1.0</v>
      </c>
    </row>
    <row r="10150">
      <c r="A10150" s="380" t="s">
        <v>11024</v>
      </c>
      <c r="B10150" s="380" t="str">
        <f>IFERROR(__xludf.DUMMYFUNCTION("""COMPUTED_VALUE"""),"Bocin Delantero Dongfeng 1.0 T 11068259")</f>
        <v>Bocin Delantero Dongfeng 1.0 T 11068259</v>
      </c>
      <c r="C10150" s="380" t="str">
        <f>IFERROR(__xludf.DUMMYFUNCTION("""COMPUTED_VALUE"""),"70005572")</f>
        <v>70005572</v>
      </c>
      <c r="D10150" s="380" t="s">
        <v>767</v>
      </c>
      <c r="E10150" s="380" t="s">
        <v>786</v>
      </c>
      <c r="F10150" s="380" t="s">
        <v>1017</v>
      </c>
      <c r="G10150" s="380" t="s">
        <v>1267</v>
      </c>
      <c r="H10150" s="380" t="s">
        <v>771</v>
      </c>
      <c r="I10150" s="380" t="s">
        <v>788</v>
      </c>
      <c r="J10150" s="380" t="s">
        <v>773</v>
      </c>
      <c r="K10150" s="381">
        <v>0.0</v>
      </c>
      <c r="L10150" s="382">
        <v>1.0</v>
      </c>
    </row>
    <row r="10151">
      <c r="A10151" s="380" t="s">
        <v>11025</v>
      </c>
      <c r="B10151" s="380" t="str">
        <f>IFERROR(__xludf.DUMMYFUNCTION("""COMPUTED_VALUE"""),"Modulo Chasis TRAS Daf Cf480 Ftt 2335963")</f>
        <v>Modulo Chasis TRAS Daf Cf480 Ftt 2335963</v>
      </c>
      <c r="C10151" s="380" t="str">
        <f>IFERROR(__xludf.DUMMYFUNCTION("""COMPUTED_VALUE"""),"70005573")</f>
        <v>70005573</v>
      </c>
      <c r="D10151" s="380" t="s">
        <v>767</v>
      </c>
      <c r="E10151" s="380" t="s">
        <v>786</v>
      </c>
      <c r="F10151" s="380" t="s">
        <v>998</v>
      </c>
      <c r="G10151" s="380" t="s">
        <v>1267</v>
      </c>
      <c r="H10151" s="380" t="s">
        <v>771</v>
      </c>
      <c r="I10151" s="380" t="s">
        <v>788</v>
      </c>
      <c r="J10151" s="380" t="s">
        <v>773</v>
      </c>
      <c r="K10151" s="381">
        <v>0.0</v>
      </c>
      <c r="L10151" s="382">
        <v>1.0</v>
      </c>
    </row>
    <row r="10152">
      <c r="A10152" s="380" t="s">
        <v>11026</v>
      </c>
      <c r="B10152" s="380" t="str">
        <f>IFERROR(__xludf.DUMMYFUNCTION("""COMPUTED_VALUE"""),"Cigueñal Motor Foton Mv5 7705946019316")</f>
        <v>Cigueñal Motor Foton Mv5 7705946019316</v>
      </c>
      <c r="C10152" s="380" t="str">
        <f>IFERROR(__xludf.DUMMYFUNCTION("""COMPUTED_VALUE"""),"70005574")</f>
        <v>70005574</v>
      </c>
      <c r="D10152" s="380" t="s">
        <v>767</v>
      </c>
      <c r="E10152" s="380" t="s">
        <v>786</v>
      </c>
      <c r="F10152" s="380" t="s">
        <v>787</v>
      </c>
      <c r="G10152" s="380" t="s">
        <v>1267</v>
      </c>
      <c r="H10152" s="380" t="s">
        <v>771</v>
      </c>
      <c r="I10152" s="380" t="s">
        <v>788</v>
      </c>
      <c r="J10152" s="380" t="s">
        <v>773</v>
      </c>
      <c r="K10152" s="381">
        <v>0.0</v>
      </c>
      <c r="L10152" s="382">
        <v>1.0</v>
      </c>
    </row>
    <row r="10153">
      <c r="A10153" s="380" t="s">
        <v>11027</v>
      </c>
      <c r="B10153" s="380" t="str">
        <f>IFERROR(__xludf.DUMMYFUNCTION("""COMPUTED_VALUE"""),"Empaque Culata Foton Mv5 7705946015875")</f>
        <v>Empaque Culata Foton Mv5 7705946015875</v>
      </c>
      <c r="C10153" s="380" t="str">
        <f>IFERROR(__xludf.DUMMYFUNCTION("""COMPUTED_VALUE"""),"70005575")</f>
        <v>70005575</v>
      </c>
      <c r="D10153" s="380" t="s">
        <v>767</v>
      </c>
      <c r="E10153" s="380" t="s">
        <v>786</v>
      </c>
      <c r="F10153" s="380" t="s">
        <v>787</v>
      </c>
      <c r="G10153" s="380" t="s">
        <v>1267</v>
      </c>
      <c r="H10153" s="380" t="s">
        <v>771</v>
      </c>
      <c r="I10153" s="380" t="s">
        <v>788</v>
      </c>
      <c r="J10153" s="380" t="s">
        <v>773</v>
      </c>
      <c r="K10153" s="381">
        <v>0.0</v>
      </c>
      <c r="L10153" s="382">
        <v>1.0</v>
      </c>
    </row>
    <row r="10154">
      <c r="A10154" s="380" t="s">
        <v>11028</v>
      </c>
      <c r="B10154" s="380" t="str">
        <f>IFERROR(__xludf.DUMMYFUNCTION("""COMPUTED_VALUE"""),"Pasador Corto 5 Rueda")</f>
        <v>Pasador Corto 5 Rueda</v>
      </c>
      <c r="C10154" s="380" t="str">
        <f>IFERROR(__xludf.DUMMYFUNCTION("""COMPUTED_VALUE"""),"70005576")</f>
        <v>70005576</v>
      </c>
      <c r="D10154" s="380" t="s">
        <v>767</v>
      </c>
      <c r="E10154" s="380" t="s">
        <v>786</v>
      </c>
      <c r="F10154" s="380" t="s">
        <v>1039</v>
      </c>
      <c r="G10154" s="380" t="s">
        <v>1267</v>
      </c>
      <c r="H10154" s="380" t="s">
        <v>771</v>
      </c>
      <c r="I10154" s="380" t="s">
        <v>788</v>
      </c>
      <c r="J10154" s="380" t="s">
        <v>773</v>
      </c>
      <c r="K10154" s="381">
        <v>0.0</v>
      </c>
      <c r="L10154" s="382">
        <v>1.0</v>
      </c>
    </row>
    <row r="10155">
      <c r="A10155" s="380" t="s">
        <v>11029</v>
      </c>
      <c r="B10155" s="380" t="str">
        <f>IFERROR(__xludf.DUMMYFUNCTION("""COMPUTED_VALUE"""),"Compresor Aire Acondicionado Foton 1039")</f>
        <v>Compresor Aire Acondicionado Foton 1039</v>
      </c>
      <c r="C10155" s="380" t="str">
        <f>IFERROR(__xludf.DUMMYFUNCTION("""COMPUTED_VALUE"""),"70005577")</f>
        <v>70005577</v>
      </c>
      <c r="D10155" s="380" t="s">
        <v>767</v>
      </c>
      <c r="E10155" s="380" t="s">
        <v>786</v>
      </c>
      <c r="F10155" s="380" t="s">
        <v>1031</v>
      </c>
      <c r="G10155" s="380" t="s">
        <v>1267</v>
      </c>
      <c r="H10155" s="380" t="s">
        <v>771</v>
      </c>
      <c r="I10155" s="380" t="s">
        <v>788</v>
      </c>
      <c r="J10155" s="380" t="s">
        <v>773</v>
      </c>
      <c r="K10155" s="381">
        <v>0.0</v>
      </c>
      <c r="L10155" s="382">
        <v>1.0</v>
      </c>
    </row>
    <row r="10156">
      <c r="A10156" s="380" t="s">
        <v>11030</v>
      </c>
      <c r="B10156" s="380" t="str">
        <f>IFERROR(__xludf.DUMMYFUNCTION("""COMPUTED_VALUE"""),"Anillo Anti Pulido Camisa MOT Isx 368987")</f>
        <v>Anillo Anti Pulido Camisa MOT Isx 368987</v>
      </c>
      <c r="C10156" s="380" t="str">
        <f>IFERROR(__xludf.DUMMYFUNCTION("""COMPUTED_VALUE"""),"70005578")</f>
        <v>70005578</v>
      </c>
      <c r="D10156" s="380" t="s">
        <v>767</v>
      </c>
      <c r="E10156" s="380" t="s">
        <v>786</v>
      </c>
      <c r="F10156" s="380" t="s">
        <v>787</v>
      </c>
      <c r="G10156" s="380" t="s">
        <v>1267</v>
      </c>
      <c r="H10156" s="380" t="s">
        <v>771</v>
      </c>
      <c r="I10156" s="380" t="s">
        <v>788</v>
      </c>
      <c r="J10156" s="380" t="s">
        <v>773</v>
      </c>
      <c r="K10156" s="381">
        <v>0.0</v>
      </c>
      <c r="L10156" s="382">
        <v>1.0</v>
      </c>
    </row>
    <row r="10157">
      <c r="A10157" s="380" t="s">
        <v>11031</v>
      </c>
      <c r="B10157" s="380" t="str">
        <f>IFERROR(__xludf.DUMMYFUNCTION("""COMPUTED_VALUE"""),"BMB Inyección COMB Detroit S60 R23537686")</f>
        <v>BMB Inyección COMB Detroit S60 R23537686</v>
      </c>
      <c r="C10157" s="380" t="str">
        <f>IFERROR(__xludf.DUMMYFUNCTION("""COMPUTED_VALUE"""),"70005579")</f>
        <v>70005579</v>
      </c>
      <c r="D10157" s="380" t="s">
        <v>767</v>
      </c>
      <c r="E10157" s="380" t="s">
        <v>786</v>
      </c>
      <c r="F10157" s="380" t="s">
        <v>787</v>
      </c>
      <c r="G10157" s="380" t="s">
        <v>1267</v>
      </c>
      <c r="H10157" s="380" t="s">
        <v>771</v>
      </c>
      <c r="I10157" s="380" t="s">
        <v>788</v>
      </c>
      <c r="J10157" s="380" t="s">
        <v>773</v>
      </c>
      <c r="K10157" s="381">
        <v>0.0</v>
      </c>
      <c r="L10157" s="382">
        <v>1.0</v>
      </c>
    </row>
    <row r="10158">
      <c r="A10158" s="380" t="s">
        <v>11032</v>
      </c>
      <c r="B10158" s="380" t="str">
        <f>IFERROR(__xludf.DUMMYFUNCTION("""COMPUTED_VALUE"""),"Condensador A/C Prostar 2601444c91")</f>
        <v>Condensador A/C Prostar 2601444c91</v>
      </c>
      <c r="C10158" s="380" t="str">
        <f>IFERROR(__xludf.DUMMYFUNCTION("""COMPUTED_VALUE"""),"70005580")</f>
        <v>70005580</v>
      </c>
      <c r="D10158" s="380" t="s">
        <v>767</v>
      </c>
      <c r="E10158" s="380" t="s">
        <v>786</v>
      </c>
      <c r="F10158" s="380" t="s">
        <v>1031</v>
      </c>
      <c r="G10158" s="380" t="s">
        <v>1267</v>
      </c>
      <c r="H10158" s="380" t="s">
        <v>771</v>
      </c>
      <c r="I10158" s="380" t="s">
        <v>788</v>
      </c>
      <c r="J10158" s="380" t="s">
        <v>773</v>
      </c>
      <c r="K10158" s="381">
        <v>0.0</v>
      </c>
      <c r="L10158" s="382">
        <v>1.0</v>
      </c>
    </row>
    <row r="10159">
      <c r="A10159" s="380" t="s">
        <v>11033</v>
      </c>
      <c r="B10159" s="380" t="str">
        <f>IFERROR(__xludf.DUMMYFUNCTION("""COMPUTED_VALUE"""),"Bombillo Hella 5627 24v5w Luces Tras Daf")</f>
        <v>Bombillo Hella 5627 24v5w Luces Tras Daf</v>
      </c>
      <c r="C10159" s="380" t="str">
        <f>IFERROR(__xludf.DUMMYFUNCTION("""COMPUTED_VALUE"""),"70005581")</f>
        <v>70005581</v>
      </c>
      <c r="D10159" s="380" t="s">
        <v>767</v>
      </c>
      <c r="E10159" s="380" t="s">
        <v>786</v>
      </c>
      <c r="F10159" s="380" t="s">
        <v>998</v>
      </c>
      <c r="G10159" s="380" t="s">
        <v>1267</v>
      </c>
      <c r="H10159" s="380" t="s">
        <v>771</v>
      </c>
      <c r="I10159" s="380" t="s">
        <v>788</v>
      </c>
      <c r="J10159" s="380" t="s">
        <v>773</v>
      </c>
      <c r="K10159" s="381">
        <v>0.0</v>
      </c>
      <c r="L10159" s="382">
        <v>1.0</v>
      </c>
    </row>
    <row r="10160">
      <c r="A10160" s="380" t="s">
        <v>11034</v>
      </c>
      <c r="B10160" s="380" t="str">
        <f>IFERROR(__xludf.DUMMYFUNCTION("""COMPUTED_VALUE"""),"Anillos X1 Piston Std FT Mv5 77059460159")</f>
        <v>Anillos X1 Piston Std FT Mv5 77059460159</v>
      </c>
      <c r="C10160" s="380" t="str">
        <f>IFERROR(__xludf.DUMMYFUNCTION("""COMPUTED_VALUE"""),"70005582")</f>
        <v>70005582</v>
      </c>
      <c r="D10160" s="380" t="s">
        <v>767</v>
      </c>
      <c r="E10160" s="380" t="s">
        <v>786</v>
      </c>
      <c r="F10160" s="380" t="s">
        <v>787</v>
      </c>
      <c r="G10160" s="380" t="s">
        <v>1267</v>
      </c>
      <c r="H10160" s="380" t="s">
        <v>771</v>
      </c>
      <c r="I10160" s="380" t="s">
        <v>788</v>
      </c>
      <c r="J10160" s="380" t="s">
        <v>773</v>
      </c>
      <c r="K10160" s="381">
        <v>0.0</v>
      </c>
      <c r="L10160" s="382">
        <v>1.0</v>
      </c>
    </row>
    <row r="10161">
      <c r="A10161" s="380" t="s">
        <v>11035</v>
      </c>
      <c r="B10161" s="380" t="str">
        <f>IFERROR(__xludf.DUMMYFUNCTION("""COMPUTED_VALUE"""),"Piston Std Foton Mv5 7705946015936")</f>
        <v>Piston Std Foton Mv5 7705946015936</v>
      </c>
      <c r="C10161" s="380" t="str">
        <f>IFERROR(__xludf.DUMMYFUNCTION("""COMPUTED_VALUE"""),"70005583")</f>
        <v>70005583</v>
      </c>
      <c r="D10161" s="380" t="s">
        <v>767</v>
      </c>
      <c r="E10161" s="380" t="s">
        <v>786</v>
      </c>
      <c r="F10161" s="380" t="s">
        <v>787</v>
      </c>
      <c r="G10161" s="380" t="s">
        <v>1267</v>
      </c>
      <c r="H10161" s="380" t="s">
        <v>771</v>
      </c>
      <c r="I10161" s="380" t="s">
        <v>788</v>
      </c>
      <c r="J10161" s="380" t="s">
        <v>773</v>
      </c>
      <c r="K10161" s="381">
        <v>0.0</v>
      </c>
      <c r="L10161" s="382">
        <v>1.0</v>
      </c>
    </row>
    <row r="10162">
      <c r="A10162" s="380" t="s">
        <v>11036</v>
      </c>
      <c r="B10162" s="380" t="str">
        <f>IFERROR(__xludf.DUMMYFUNCTION("""COMPUTED_VALUE"""),"Switch Comando Limpiabrisas HN Dutro 846")</f>
        <v>Switch Comando Limpiabrisas HN Dutro 846</v>
      </c>
      <c r="C10162" s="380" t="str">
        <f>IFERROR(__xludf.DUMMYFUNCTION("""COMPUTED_VALUE"""),"70005584")</f>
        <v>70005584</v>
      </c>
      <c r="D10162" s="380" t="s">
        <v>767</v>
      </c>
      <c r="E10162" s="380" t="s">
        <v>786</v>
      </c>
      <c r="F10162" s="380" t="s">
        <v>998</v>
      </c>
      <c r="G10162" s="380" t="s">
        <v>1267</v>
      </c>
      <c r="H10162" s="380" t="s">
        <v>771</v>
      </c>
      <c r="I10162" s="380" t="s">
        <v>788</v>
      </c>
      <c r="J10162" s="380" t="s">
        <v>773</v>
      </c>
      <c r="K10162" s="381">
        <v>862708.0</v>
      </c>
      <c r="L10162" s="382">
        <v>1.0</v>
      </c>
    </row>
    <row r="10163">
      <c r="A10163" s="380" t="s">
        <v>11037</v>
      </c>
      <c r="B10163" s="380" t="str">
        <f>IFERROR(__xludf.DUMMYFUNCTION("""COMPUTED_VALUE"""),"Mon Mar 16 2026 00:00:00 GMT-0500 (hora")</f>
        <v>Mon Mar 16 2026 00:00:00 GMT-0500 (hora</v>
      </c>
      <c r="C10163" s="380" t="str">
        <f>IFERROR(__xludf.DUMMYFUNCTION("""COMPUTED_VALUE"""),"70005585")</f>
        <v>70005585</v>
      </c>
      <c r="D10163" s="380" t="s">
        <v>767</v>
      </c>
      <c r="E10163" s="380" t="s">
        <v>786</v>
      </c>
      <c r="F10163" s="380" t="s">
        <v>998</v>
      </c>
      <c r="G10163" s="380" t="s">
        <v>1267</v>
      </c>
      <c r="H10163" s="380" t="s">
        <v>771</v>
      </c>
      <c r="I10163" s="380" t="s">
        <v>788</v>
      </c>
      <c r="J10163" s="380" t="s">
        <v>773</v>
      </c>
      <c r="K10163" s="381">
        <v>0.0</v>
      </c>
      <c r="L10163" s="382">
        <v>1.0</v>
      </c>
    </row>
    <row r="10164">
      <c r="A10164" s="380" t="s">
        <v>11038</v>
      </c>
      <c r="B10164" s="380" t="str">
        <f>IFERROR(__xludf.DUMMYFUNCTION("""COMPUTED_VALUE"""),"Terminal Electrica De Ojo Faston Wed")</f>
        <v>Terminal Electrica De Ojo Faston Wed</v>
      </c>
      <c r="C10164" s="380" t="str">
        <f>IFERROR(__xludf.DUMMYFUNCTION("""COMPUTED_VALUE"""),"70005586")</f>
        <v>70005586</v>
      </c>
      <c r="D10164" s="380" t="s">
        <v>767</v>
      </c>
      <c r="E10164" s="380" t="s">
        <v>786</v>
      </c>
      <c r="F10164" s="380" t="s">
        <v>998</v>
      </c>
      <c r="G10164" s="380" t="s">
        <v>1267</v>
      </c>
      <c r="H10164" s="380" t="s">
        <v>771</v>
      </c>
      <c r="I10164" s="380" t="s">
        <v>788</v>
      </c>
      <c r="J10164" s="380" t="s">
        <v>773</v>
      </c>
      <c r="K10164" s="381">
        <v>0.0</v>
      </c>
      <c r="L10164" s="382">
        <v>1.0</v>
      </c>
    </row>
    <row r="10165">
      <c r="A10165" s="380" t="s">
        <v>11039</v>
      </c>
      <c r="B10165" s="380" t="str">
        <f>IFERROR(__xludf.DUMMYFUNCTION("""COMPUTED_VALUE"""),"Suiche De Encendido KW T800 P271048")</f>
        <v>Suiche De Encendido KW T800 P271048</v>
      </c>
      <c r="C10165" s="380" t="str">
        <f>IFERROR(__xludf.DUMMYFUNCTION("""COMPUTED_VALUE"""),"70005587")</f>
        <v>70005587</v>
      </c>
      <c r="D10165" s="380" t="s">
        <v>767</v>
      </c>
      <c r="E10165" s="380" t="s">
        <v>786</v>
      </c>
      <c r="F10165" s="380" t="s">
        <v>998</v>
      </c>
      <c r="G10165" s="380" t="s">
        <v>1267</v>
      </c>
      <c r="H10165" s="380" t="s">
        <v>771</v>
      </c>
      <c r="I10165" s="380" t="s">
        <v>788</v>
      </c>
      <c r="J10165" s="380" t="s">
        <v>773</v>
      </c>
      <c r="K10165" s="381">
        <v>257040.0</v>
      </c>
      <c r="L10165" s="382">
        <v>1.0</v>
      </c>
    </row>
    <row r="10166">
      <c r="A10166" s="380" t="s">
        <v>11040</v>
      </c>
      <c r="B10166" s="380" t="str">
        <f>IFERROR(__xludf.DUMMYFUNCTION("""COMPUTED_VALUE"""),"SENS TEMP Scr INT Lt 2872468")</f>
        <v>SENS TEMP Scr INT Lt 2872468</v>
      </c>
      <c r="C10166" s="380" t="str">
        <f>IFERROR(__xludf.DUMMYFUNCTION("""COMPUTED_VALUE"""),"70005588")</f>
        <v>70005588</v>
      </c>
      <c r="D10166" s="380" t="s">
        <v>767</v>
      </c>
      <c r="E10166" s="380" t="s">
        <v>786</v>
      </c>
      <c r="F10166" s="380" t="s">
        <v>998</v>
      </c>
      <c r="G10166" s="380" t="s">
        <v>1267</v>
      </c>
      <c r="H10166" s="380" t="s">
        <v>771</v>
      </c>
      <c r="I10166" s="380" t="s">
        <v>788</v>
      </c>
      <c r="J10166" s="380" t="s">
        <v>773</v>
      </c>
      <c r="K10166" s="381">
        <v>0.0</v>
      </c>
      <c r="L10166" s="382">
        <v>1.0</v>
      </c>
    </row>
    <row r="10167">
      <c r="A10167" s="380" t="s">
        <v>11041</v>
      </c>
      <c r="B10167" s="380" t="str">
        <f>IFERROR(__xludf.DUMMYFUNCTION("""COMPUTED_VALUE"""),"Filtro Aceite Caja Mack Anthem 22038908")</f>
        <v>Filtro Aceite Caja Mack Anthem 22038908</v>
      </c>
      <c r="C10167" s="380" t="str">
        <f>IFERROR(__xludf.DUMMYFUNCTION("""COMPUTED_VALUE"""),"70005589")</f>
        <v>70005589</v>
      </c>
      <c r="D10167" s="380" t="s">
        <v>767</v>
      </c>
      <c r="E10167" s="380" t="s">
        <v>786</v>
      </c>
      <c r="F10167" s="380" t="s">
        <v>5855</v>
      </c>
      <c r="G10167" s="380" t="s">
        <v>1267</v>
      </c>
      <c r="H10167" s="380" t="s">
        <v>771</v>
      </c>
      <c r="I10167" s="380" t="s">
        <v>788</v>
      </c>
      <c r="J10167" s="380" t="s">
        <v>773</v>
      </c>
      <c r="K10167" s="381">
        <v>0.0</v>
      </c>
      <c r="L10167" s="382">
        <v>1.0</v>
      </c>
    </row>
    <row r="10168">
      <c r="A10168" s="380" t="s">
        <v>11042</v>
      </c>
      <c r="B10168" s="380" t="str">
        <f>IFERROR(__xludf.DUMMYFUNCTION("""COMPUTED_VALUE"""),"Racor Union Rapido 1/8""")</f>
        <v>Racor Union Rapido 1/8"</v>
      </c>
      <c r="C10168" s="380" t="str">
        <f>IFERROR(__xludf.DUMMYFUNCTION("""COMPUTED_VALUE"""),"70005590")</f>
        <v>70005590</v>
      </c>
      <c r="D10168" s="380" t="s">
        <v>767</v>
      </c>
      <c r="E10168" s="380" t="s">
        <v>786</v>
      </c>
      <c r="F10168" s="380" t="s">
        <v>989</v>
      </c>
      <c r="G10168" s="380" t="s">
        <v>1267</v>
      </c>
      <c r="H10168" s="380" t="s">
        <v>771</v>
      </c>
      <c r="I10168" s="380" t="s">
        <v>788</v>
      </c>
      <c r="J10168" s="380" t="s">
        <v>773</v>
      </c>
      <c r="K10168" s="381">
        <v>0.0</v>
      </c>
      <c r="L10168" s="382">
        <v>1.0</v>
      </c>
    </row>
    <row r="10169">
      <c r="A10169" s="380" t="s">
        <v>11043</v>
      </c>
      <c r="B10169" s="380" t="str">
        <f>IFERROR(__xludf.DUMMYFUNCTION("""COMPUTED_VALUE"""),"Tapa Radiador Foton 1030 13psi")</f>
        <v>Tapa Radiador Foton 1030 13psi</v>
      </c>
      <c r="C10169" s="380" t="str">
        <f>IFERROR(__xludf.DUMMYFUNCTION("""COMPUTED_VALUE"""),"70005591")</f>
        <v>70005591</v>
      </c>
      <c r="D10169" s="380" t="s">
        <v>767</v>
      </c>
      <c r="E10169" s="380" t="s">
        <v>786</v>
      </c>
      <c r="F10169" s="380" t="s">
        <v>787</v>
      </c>
      <c r="G10169" s="380" t="s">
        <v>1267</v>
      </c>
      <c r="H10169" s="380" t="s">
        <v>771</v>
      </c>
      <c r="I10169" s="380" t="s">
        <v>788</v>
      </c>
      <c r="J10169" s="380" t="s">
        <v>773</v>
      </c>
      <c r="K10169" s="381">
        <v>0.0</v>
      </c>
      <c r="L10169" s="382">
        <v>1.0</v>
      </c>
    </row>
    <row r="10170">
      <c r="A10170" s="380" t="s">
        <v>11044</v>
      </c>
      <c r="B10170" s="380" t="str">
        <f>IFERROR(__xludf.DUMMYFUNCTION("""COMPUTED_VALUE"""),"Sat May 16 2026 00:00:00 GMT-0500 (hora")</f>
        <v>Sat May 16 2026 00:00:00 GMT-0500 (hora</v>
      </c>
      <c r="C10170" s="380" t="str">
        <f>IFERROR(__xludf.DUMMYFUNCTION("""COMPUTED_VALUE"""),"70005592")</f>
        <v>70005592</v>
      </c>
      <c r="D10170" s="380" t="s">
        <v>767</v>
      </c>
      <c r="E10170" s="380" t="s">
        <v>786</v>
      </c>
      <c r="F10170" s="380" t="s">
        <v>998</v>
      </c>
      <c r="G10170" s="380" t="s">
        <v>1267</v>
      </c>
      <c r="H10170" s="380" t="s">
        <v>771</v>
      </c>
      <c r="I10170" s="380" t="s">
        <v>788</v>
      </c>
      <c r="J10170" s="380" t="s">
        <v>773</v>
      </c>
      <c r="K10170" s="381">
        <v>0.0</v>
      </c>
      <c r="L10170" s="382">
        <v>1.0</v>
      </c>
    </row>
    <row r="10171">
      <c r="A10171" s="380" t="s">
        <v>11045</v>
      </c>
      <c r="B10171" s="380" t="str">
        <f>IFERROR(__xludf.DUMMYFUNCTION("""COMPUTED_VALUE"""),"Stop Completo TRAS Izq Daf Cf480 1875577")</f>
        <v>Stop Completo TRAS Izq Daf Cf480 1875577</v>
      </c>
      <c r="C10171" s="380" t="str">
        <f>IFERROR(__xludf.DUMMYFUNCTION("""COMPUTED_VALUE"""),"70005593")</f>
        <v>70005593</v>
      </c>
      <c r="D10171" s="380" t="s">
        <v>767</v>
      </c>
      <c r="E10171" s="380" t="s">
        <v>786</v>
      </c>
      <c r="F10171" s="380" t="s">
        <v>998</v>
      </c>
      <c r="G10171" s="380" t="s">
        <v>1267</v>
      </c>
      <c r="H10171" s="380" t="s">
        <v>771</v>
      </c>
      <c r="I10171" s="380" t="s">
        <v>788</v>
      </c>
      <c r="J10171" s="380" t="s">
        <v>773</v>
      </c>
      <c r="K10171" s="381">
        <v>411171.0</v>
      </c>
      <c r="L10171" s="382">
        <v>1.0</v>
      </c>
    </row>
    <row r="10172">
      <c r="A10172" s="380" t="s">
        <v>11046</v>
      </c>
      <c r="B10172" s="380" t="str">
        <f>IFERROR(__xludf.DUMMYFUNCTION("""COMPUTED_VALUE"""),"Mecanismo Abatible CAB FT 1129 770102308")</f>
        <v>Mecanismo Abatible CAB FT 1129 770102308</v>
      </c>
      <c r="C10172" s="380" t="str">
        <f>IFERROR(__xludf.DUMMYFUNCTION("""COMPUTED_VALUE"""),"70005594")</f>
        <v>70005594</v>
      </c>
      <c r="D10172" s="380" t="s">
        <v>767</v>
      </c>
      <c r="E10172" s="380" t="s">
        <v>786</v>
      </c>
      <c r="F10172" s="380" t="s">
        <v>792</v>
      </c>
      <c r="G10172" s="380" t="s">
        <v>1267</v>
      </c>
      <c r="H10172" s="380" t="s">
        <v>771</v>
      </c>
      <c r="I10172" s="380" t="s">
        <v>788</v>
      </c>
      <c r="J10172" s="380" t="s">
        <v>773</v>
      </c>
      <c r="K10172" s="381">
        <v>0.0</v>
      </c>
      <c r="L10172" s="382">
        <v>1.0</v>
      </c>
    </row>
    <row r="10173">
      <c r="A10173" s="380" t="s">
        <v>11047</v>
      </c>
      <c r="B10173" s="380" t="str">
        <f>IFERROR(__xludf.DUMMYFUNCTION("""COMPUTED_VALUE"""),"Manguera Admision Salida Intercooler Nkr")</f>
        <v>Manguera Admision Salida Intercooler Nkr</v>
      </c>
      <c r="C10173" s="380" t="str">
        <f>IFERROR(__xludf.DUMMYFUNCTION("""COMPUTED_VALUE"""),"70005595")</f>
        <v>70005595</v>
      </c>
      <c r="D10173" s="380" t="s">
        <v>767</v>
      </c>
      <c r="E10173" s="380" t="s">
        <v>786</v>
      </c>
      <c r="F10173" s="380" t="s">
        <v>787</v>
      </c>
      <c r="G10173" s="380" t="s">
        <v>1267</v>
      </c>
      <c r="H10173" s="380" t="s">
        <v>771</v>
      </c>
      <c r="I10173" s="380" t="s">
        <v>788</v>
      </c>
      <c r="J10173" s="380" t="s">
        <v>773</v>
      </c>
      <c r="K10173" s="381">
        <v>0.0</v>
      </c>
      <c r="L10173" s="382">
        <v>1.0</v>
      </c>
    </row>
    <row r="10174">
      <c r="A10174" s="380" t="s">
        <v>11048</v>
      </c>
      <c r="B10174" s="380" t="str">
        <f>IFERROR(__xludf.DUMMYFUNCTION("""COMPUTED_VALUE"""),"Decoracion Farola Del Iz FT 1129 7701023")</f>
        <v>Decoracion Farola Del Iz FT 1129 7701023</v>
      </c>
      <c r="C10174" s="380" t="str">
        <f>IFERROR(__xludf.DUMMYFUNCTION("""COMPUTED_VALUE"""),"70005596")</f>
        <v>70005596</v>
      </c>
      <c r="D10174" s="380" t="s">
        <v>767</v>
      </c>
      <c r="E10174" s="380" t="s">
        <v>786</v>
      </c>
      <c r="F10174" s="380" t="s">
        <v>792</v>
      </c>
      <c r="G10174" s="380" t="s">
        <v>1267</v>
      </c>
      <c r="H10174" s="380" t="s">
        <v>771</v>
      </c>
      <c r="I10174" s="380" t="s">
        <v>788</v>
      </c>
      <c r="J10174" s="380" t="s">
        <v>773</v>
      </c>
      <c r="K10174" s="381">
        <v>0.0</v>
      </c>
      <c r="L10174" s="382">
        <v>1.0</v>
      </c>
    </row>
    <row r="10175">
      <c r="A10175" s="380" t="s">
        <v>11049</v>
      </c>
      <c r="B10175" s="380" t="str">
        <f>IFERROR(__xludf.DUMMYFUNCTION("""COMPUTED_VALUE"""),"Conector Luces Bombillo Farola INT Lt Ge")</f>
        <v>Conector Luces Bombillo Farola INT Lt Ge</v>
      </c>
      <c r="C10175" s="380" t="str">
        <f>IFERROR(__xludf.DUMMYFUNCTION("""COMPUTED_VALUE"""),"70005597")</f>
        <v>70005597</v>
      </c>
      <c r="D10175" s="380" t="s">
        <v>767</v>
      </c>
      <c r="E10175" s="380" t="s">
        <v>786</v>
      </c>
      <c r="F10175" s="380" t="s">
        <v>998</v>
      </c>
      <c r="G10175" s="380" t="s">
        <v>1267</v>
      </c>
      <c r="H10175" s="380" t="s">
        <v>771</v>
      </c>
      <c r="I10175" s="380" t="s">
        <v>788</v>
      </c>
      <c r="J10175" s="380" t="s">
        <v>773</v>
      </c>
      <c r="K10175" s="381">
        <v>0.0</v>
      </c>
      <c r="L10175" s="382">
        <v>1.0</v>
      </c>
    </row>
    <row r="10176">
      <c r="A10176" s="380" t="s">
        <v>11050</v>
      </c>
      <c r="B10176" s="380" t="str">
        <f>IFERROR(__xludf.DUMMYFUNCTION("""COMPUTED_VALUE"""),"RET TRAS INTno FT 1065 7701023099530")</f>
        <v>RET TRAS INTno FT 1065 7701023099530</v>
      </c>
      <c r="C10176" s="380" t="str">
        <f>IFERROR(__xludf.DUMMYFUNCTION("""COMPUTED_VALUE"""),"70005598")</f>
        <v>70005598</v>
      </c>
      <c r="D10176" s="380" t="s">
        <v>767</v>
      </c>
      <c r="E10176" s="380" t="s">
        <v>786</v>
      </c>
      <c r="F10176" s="380" t="s">
        <v>1039</v>
      </c>
      <c r="G10176" s="380" t="s">
        <v>1267</v>
      </c>
      <c r="H10176" s="380" t="s">
        <v>771</v>
      </c>
      <c r="I10176" s="380" t="s">
        <v>788</v>
      </c>
      <c r="J10176" s="380" t="s">
        <v>773</v>
      </c>
      <c r="K10176" s="381">
        <v>41600.0</v>
      </c>
      <c r="L10176" s="382">
        <v>1.0</v>
      </c>
    </row>
    <row r="10177">
      <c r="A10177" s="380" t="s">
        <v>11051</v>
      </c>
      <c r="B10177" s="380" t="str">
        <f>IFERROR(__xludf.DUMMYFUNCTION("""COMPUTED_VALUE"""),"Anillo EMP Tubo Exosto A Turbo Nkr Iii 8")</f>
        <v>Anillo EMP Tubo Exosto A Turbo Nkr Iii 8</v>
      </c>
      <c r="C10177" s="380" t="str">
        <f>IFERROR(__xludf.DUMMYFUNCTION("""COMPUTED_VALUE"""),"70005599")</f>
        <v>70005599</v>
      </c>
      <c r="D10177" s="380" t="s">
        <v>767</v>
      </c>
      <c r="E10177" s="380" t="s">
        <v>786</v>
      </c>
      <c r="F10177" s="380" t="s">
        <v>787</v>
      </c>
      <c r="G10177" s="380" t="s">
        <v>1267</v>
      </c>
      <c r="H10177" s="380" t="s">
        <v>771</v>
      </c>
      <c r="I10177" s="380" t="s">
        <v>788</v>
      </c>
      <c r="J10177" s="380" t="s">
        <v>773</v>
      </c>
      <c r="K10177" s="381">
        <v>0.0</v>
      </c>
      <c r="L10177" s="382">
        <v>1.0</v>
      </c>
    </row>
    <row r="10178">
      <c r="A10178" s="380" t="s">
        <v>11052</v>
      </c>
      <c r="B10178" s="380" t="str">
        <f>IFERROR(__xludf.DUMMYFUNCTION("""COMPUTED_VALUE"""),"Mano Acople AIR Linea Servicio Daf Cf480")</f>
        <v>Mano Acople AIR Linea Servicio Daf Cf480</v>
      </c>
      <c r="C10178" s="380" t="str">
        <f>IFERROR(__xludf.DUMMYFUNCTION("""COMPUTED_VALUE"""),"70005600")</f>
        <v>70005600</v>
      </c>
      <c r="D10178" s="380" t="s">
        <v>767</v>
      </c>
      <c r="E10178" s="380" t="s">
        <v>786</v>
      </c>
      <c r="F10178" s="380" t="s">
        <v>1017</v>
      </c>
      <c r="G10178" s="380" t="s">
        <v>1267</v>
      </c>
      <c r="H10178" s="380" t="s">
        <v>771</v>
      </c>
      <c r="I10178" s="380" t="s">
        <v>788</v>
      </c>
      <c r="J10178" s="380" t="s">
        <v>773</v>
      </c>
      <c r="K10178" s="381">
        <v>63879.0</v>
      </c>
      <c r="L10178" s="382">
        <v>1.0</v>
      </c>
    </row>
    <row r="10179">
      <c r="A10179" s="380" t="s">
        <v>11053</v>
      </c>
      <c r="B10179" s="380" t="str">
        <f>IFERROR(__xludf.DUMMYFUNCTION("""COMPUTED_VALUE"""),"Balin Tapa Caja De Cambios 16918 X14-800")</f>
        <v>Balin Tapa Caja De Cambios 16918 X14-800</v>
      </c>
      <c r="C10179" s="380" t="str">
        <f>IFERROR(__xludf.DUMMYFUNCTION("""COMPUTED_VALUE"""),"70005601")</f>
        <v>70005601</v>
      </c>
      <c r="D10179" s="380" t="s">
        <v>767</v>
      </c>
      <c r="E10179" s="380" t="s">
        <v>786</v>
      </c>
      <c r="F10179" s="380" t="s">
        <v>928</v>
      </c>
      <c r="G10179" s="380" t="s">
        <v>1267</v>
      </c>
      <c r="H10179" s="380" t="s">
        <v>771</v>
      </c>
      <c r="I10179" s="380" t="s">
        <v>788</v>
      </c>
      <c r="J10179" s="380" t="s">
        <v>773</v>
      </c>
      <c r="K10179" s="381">
        <v>0.0</v>
      </c>
      <c r="L10179" s="382">
        <v>1.0</v>
      </c>
    </row>
    <row r="10180">
      <c r="A10180" s="380" t="s">
        <v>11054</v>
      </c>
      <c r="B10180" s="380" t="str">
        <f>IFERROR(__xludf.DUMMYFUNCTION("""COMPUTED_VALUE"""),"Guardabarro Delantero Nkr Reward Fabrica")</f>
        <v>Guardabarro Delantero Nkr Reward Fabrica</v>
      </c>
      <c r="C10180" s="380" t="str">
        <f>IFERROR(__xludf.DUMMYFUNCTION("""COMPUTED_VALUE"""),"70005602")</f>
        <v>70005602</v>
      </c>
      <c r="D10180" s="380" t="s">
        <v>767</v>
      </c>
      <c r="E10180" s="380" t="s">
        <v>786</v>
      </c>
      <c r="F10180" s="380" t="s">
        <v>792</v>
      </c>
      <c r="G10180" s="380" t="s">
        <v>1267</v>
      </c>
      <c r="H10180" s="380" t="s">
        <v>771</v>
      </c>
      <c r="I10180" s="380" t="s">
        <v>788</v>
      </c>
      <c r="J10180" s="380" t="s">
        <v>773</v>
      </c>
      <c r="K10180" s="381">
        <v>42090.0</v>
      </c>
      <c r="L10180" s="382">
        <v>1.0</v>
      </c>
    </row>
    <row r="10181">
      <c r="A10181" s="380" t="s">
        <v>11055</v>
      </c>
      <c r="B10181" s="380" t="str">
        <f>IFERROR(__xludf.DUMMYFUNCTION("""COMPUTED_VALUE"""),"Juego Escobillas Ventilador A/C")</f>
        <v>Juego Escobillas Ventilador A/C</v>
      </c>
      <c r="C10181" s="380" t="str">
        <f>IFERROR(__xludf.DUMMYFUNCTION("""COMPUTED_VALUE"""),"70005603")</f>
        <v>70005603</v>
      </c>
      <c r="D10181" s="380" t="s">
        <v>767</v>
      </c>
      <c r="E10181" s="380" t="s">
        <v>786</v>
      </c>
      <c r="F10181" s="380" t="s">
        <v>787</v>
      </c>
      <c r="G10181" s="380" t="s">
        <v>1267</v>
      </c>
      <c r="H10181" s="380" t="s">
        <v>771</v>
      </c>
      <c r="I10181" s="380" t="s">
        <v>788</v>
      </c>
      <c r="J10181" s="380" t="s">
        <v>773</v>
      </c>
      <c r="K10181" s="381">
        <v>0.0</v>
      </c>
      <c r="L10181" s="382">
        <v>1.0</v>
      </c>
    </row>
    <row r="10182">
      <c r="A10182" s="380" t="s">
        <v>11056</v>
      </c>
      <c r="B10182" s="380" t="str">
        <f>IFERROR(__xludf.DUMMYFUNCTION("""COMPUTED_VALUE"""),"Rele De Encendido 12v/24v HN Dutro 85900")</f>
        <v>Rele De Encendido 12v/24v HN Dutro 85900</v>
      </c>
      <c r="C10182" s="380" t="str">
        <f>IFERROR(__xludf.DUMMYFUNCTION("""COMPUTED_VALUE"""),"70005604")</f>
        <v>70005604</v>
      </c>
      <c r="D10182" s="380" t="s">
        <v>767</v>
      </c>
      <c r="E10182" s="380" t="s">
        <v>786</v>
      </c>
      <c r="F10182" s="380" t="s">
        <v>998</v>
      </c>
      <c r="G10182" s="380" t="s">
        <v>1267</v>
      </c>
      <c r="H10182" s="380" t="s">
        <v>771</v>
      </c>
      <c r="I10182" s="380" t="s">
        <v>788</v>
      </c>
      <c r="J10182" s="380" t="s">
        <v>773</v>
      </c>
      <c r="K10182" s="381">
        <v>0.0</v>
      </c>
      <c r="L10182" s="382">
        <v>1.0</v>
      </c>
    </row>
    <row r="10183">
      <c r="A10183" s="380" t="s">
        <v>11057</v>
      </c>
      <c r="B10183" s="380" t="str">
        <f>IFERROR(__xludf.DUMMYFUNCTION("""COMPUTED_VALUE"""),"Terminal De DIR Lh FT 1128 7700149277648")</f>
        <v>Terminal De DIR Lh FT 1128 7700149277648</v>
      </c>
      <c r="C10183" s="380" t="str">
        <f>IFERROR(__xludf.DUMMYFUNCTION("""COMPUTED_VALUE"""),"70005605")</f>
        <v>70005605</v>
      </c>
      <c r="D10183" s="380" t="s">
        <v>767</v>
      </c>
      <c r="E10183" s="380" t="s">
        <v>786</v>
      </c>
      <c r="F10183" s="380" t="s">
        <v>1020</v>
      </c>
      <c r="G10183" s="380" t="s">
        <v>1267</v>
      </c>
      <c r="H10183" s="380" t="s">
        <v>771</v>
      </c>
      <c r="I10183" s="380" t="s">
        <v>788</v>
      </c>
      <c r="J10183" s="380" t="s">
        <v>773</v>
      </c>
      <c r="K10183" s="381">
        <v>292080.0</v>
      </c>
      <c r="L10183" s="382">
        <v>1.0</v>
      </c>
    </row>
    <row r="10184">
      <c r="A10184" s="380" t="s">
        <v>11058</v>
      </c>
      <c r="B10184" s="380" t="str">
        <f>IFERROR(__xludf.DUMMYFUNCTION("""COMPUTED_VALUE"""),"Eje De Levas Inyectores MOT Isx REP")</f>
        <v>Eje De Levas Inyectores MOT Isx REP</v>
      </c>
      <c r="C10184" s="380" t="str">
        <f>IFERROR(__xludf.DUMMYFUNCTION("""COMPUTED_VALUE"""),"70005606")</f>
        <v>70005606</v>
      </c>
      <c r="D10184" s="380" t="s">
        <v>767</v>
      </c>
      <c r="E10184" s="380" t="s">
        <v>786</v>
      </c>
      <c r="F10184" s="380" t="s">
        <v>787</v>
      </c>
      <c r="G10184" s="380" t="s">
        <v>1267</v>
      </c>
      <c r="H10184" s="380" t="s">
        <v>771</v>
      </c>
      <c r="I10184" s="380" t="s">
        <v>788</v>
      </c>
      <c r="J10184" s="380" t="s">
        <v>773</v>
      </c>
      <c r="K10184" s="381">
        <v>0.0</v>
      </c>
      <c r="L10184" s="382">
        <v>1.0</v>
      </c>
    </row>
    <row r="10185">
      <c r="A10185" s="380" t="s">
        <v>11059</v>
      </c>
      <c r="B10185" s="380" t="str">
        <f>IFERROR(__xludf.DUMMYFUNCTION("""COMPUTED_VALUE"""),"CTRL Principal Elevavidrio Jac 1042 3746")</f>
        <v>CTRL Principal Elevavidrio Jac 1042 3746</v>
      </c>
      <c r="C10185" s="380" t="str">
        <f>IFERROR(__xludf.DUMMYFUNCTION("""COMPUTED_VALUE"""),"70005607")</f>
        <v>70005607</v>
      </c>
      <c r="D10185" s="380" t="s">
        <v>767</v>
      </c>
      <c r="E10185" s="380" t="s">
        <v>786</v>
      </c>
      <c r="F10185" s="380" t="s">
        <v>998</v>
      </c>
      <c r="G10185" s="380" t="s">
        <v>1267</v>
      </c>
      <c r="H10185" s="380" t="s">
        <v>771</v>
      </c>
      <c r="I10185" s="380" t="s">
        <v>788</v>
      </c>
      <c r="J10185" s="380" t="s">
        <v>773</v>
      </c>
      <c r="K10185" s="381">
        <v>0.0</v>
      </c>
      <c r="L10185" s="382">
        <v>1.0</v>
      </c>
    </row>
    <row r="10186">
      <c r="A10186" s="380" t="s">
        <v>11060</v>
      </c>
      <c r="B10186" s="380" t="str">
        <f>IFERROR(__xludf.DUMMYFUNCTION("""COMPUTED_VALUE"""),"VALV Alivio Secador MCK Anthem 6300-2206")</f>
        <v>VALV Alivio Secador MCK Anthem 6300-2206</v>
      </c>
      <c r="C10186" s="380" t="str">
        <f>IFERROR(__xludf.DUMMYFUNCTION("""COMPUTED_VALUE"""),"70005608")</f>
        <v>70005608</v>
      </c>
      <c r="D10186" s="380" t="s">
        <v>767</v>
      </c>
      <c r="E10186" s="380" t="s">
        <v>786</v>
      </c>
      <c r="F10186" s="380" t="s">
        <v>1017</v>
      </c>
      <c r="G10186" s="380" t="s">
        <v>1267</v>
      </c>
      <c r="H10186" s="380" t="s">
        <v>771</v>
      </c>
      <c r="I10186" s="380" t="s">
        <v>788</v>
      </c>
      <c r="J10186" s="380" t="s">
        <v>773</v>
      </c>
      <c r="K10186" s="381">
        <v>0.0</v>
      </c>
      <c r="L10186" s="382">
        <v>1.0</v>
      </c>
    </row>
    <row r="10187">
      <c r="A10187" s="380" t="s">
        <v>11061</v>
      </c>
      <c r="B10187" s="380" t="str">
        <f>IFERROR(__xludf.DUMMYFUNCTION("""COMPUTED_VALUE"""),"MUE Deltantero FT 1065 Completo 77059466")</f>
        <v>MUE Deltantero FT 1065 Completo 77059466</v>
      </c>
      <c r="C10187" s="380" t="str">
        <f>IFERROR(__xludf.DUMMYFUNCTION("""COMPUTED_VALUE"""),"70005609")</f>
        <v>70005609</v>
      </c>
      <c r="D10187" s="380" t="s">
        <v>767</v>
      </c>
      <c r="E10187" s="380" t="s">
        <v>786</v>
      </c>
      <c r="F10187" s="380" t="s">
        <v>1039</v>
      </c>
      <c r="G10187" s="380" t="s">
        <v>1267</v>
      </c>
      <c r="H10187" s="380" t="s">
        <v>771</v>
      </c>
      <c r="I10187" s="380" t="s">
        <v>788</v>
      </c>
      <c r="J10187" s="380" t="s">
        <v>773</v>
      </c>
      <c r="K10187" s="381">
        <v>0.0</v>
      </c>
      <c r="L10187" s="382">
        <v>1.0</v>
      </c>
    </row>
    <row r="10188">
      <c r="A10188" s="380" t="s">
        <v>11062</v>
      </c>
      <c r="B10188" s="380" t="str">
        <f>IFERROR(__xludf.DUMMYFUNCTION("""COMPUTED_VALUE"""),"Tapa Timon Mack Cxu 25110834")</f>
        <v>Tapa Timon Mack Cxu 25110834</v>
      </c>
      <c r="C10188" s="380" t="str">
        <f>IFERROR(__xludf.DUMMYFUNCTION("""COMPUTED_VALUE"""),"70005610")</f>
        <v>70005610</v>
      </c>
      <c r="D10188" s="380" t="s">
        <v>767</v>
      </c>
      <c r="E10188" s="380" t="s">
        <v>786</v>
      </c>
      <c r="F10188" s="380" t="s">
        <v>792</v>
      </c>
      <c r="G10188" s="380" t="s">
        <v>1267</v>
      </c>
      <c r="H10188" s="380" t="s">
        <v>771</v>
      </c>
      <c r="I10188" s="380" t="s">
        <v>788</v>
      </c>
      <c r="J10188" s="380" t="s">
        <v>773</v>
      </c>
      <c r="K10188" s="381">
        <v>0.0</v>
      </c>
      <c r="L10188" s="382">
        <v>1.0</v>
      </c>
    </row>
    <row r="10189">
      <c r="A10189" s="380" t="s">
        <v>11063</v>
      </c>
      <c r="B10189" s="380" t="str">
        <f>IFERROR(__xludf.DUMMYFUNCTION("""COMPUTED_VALUE"""),"Modulo De SENSes CJ Velocidades Daf Cf48")</f>
        <v>Modulo De SENSes CJ Velocidades Daf Cf48</v>
      </c>
      <c r="C10189" s="380" t="str">
        <f>IFERROR(__xludf.DUMMYFUNCTION("""COMPUTED_VALUE"""),"70005611")</f>
        <v>70005611</v>
      </c>
      <c r="D10189" s="380" t="s">
        <v>767</v>
      </c>
      <c r="E10189" s="380" t="s">
        <v>786</v>
      </c>
      <c r="F10189" s="380" t="s">
        <v>928</v>
      </c>
      <c r="G10189" s="380" t="s">
        <v>1267</v>
      </c>
      <c r="H10189" s="380" t="s">
        <v>771</v>
      </c>
      <c r="I10189" s="380" t="s">
        <v>788</v>
      </c>
      <c r="J10189" s="380" t="s">
        <v>773</v>
      </c>
      <c r="K10189" s="381">
        <v>0.0</v>
      </c>
      <c r="L10189" s="382">
        <v>1.0</v>
      </c>
    </row>
    <row r="10190">
      <c r="A10190" s="380" t="s">
        <v>11064</v>
      </c>
      <c r="B10190" s="380" t="str">
        <f>IFERROR(__xludf.DUMMYFUNCTION("""COMPUTED_VALUE"""),"CTRL INTruptor Monitor Tablero MCK Cxu 2")</f>
        <v>CTRL INTruptor Monitor Tablero MCK Cxu 2</v>
      </c>
      <c r="C10190" s="380" t="str">
        <f>IFERROR(__xludf.DUMMYFUNCTION("""COMPUTED_VALUE"""),"70005612")</f>
        <v>70005612</v>
      </c>
      <c r="D10190" s="380" t="s">
        <v>767</v>
      </c>
      <c r="E10190" s="380" t="s">
        <v>786</v>
      </c>
      <c r="F10190" s="380" t="s">
        <v>998</v>
      </c>
      <c r="G10190" s="380" t="s">
        <v>1267</v>
      </c>
      <c r="H10190" s="380" t="s">
        <v>771</v>
      </c>
      <c r="I10190" s="380" t="s">
        <v>788</v>
      </c>
      <c r="J10190" s="380" t="s">
        <v>773</v>
      </c>
      <c r="K10190" s="381">
        <v>0.0</v>
      </c>
      <c r="L10190" s="382">
        <v>1.0</v>
      </c>
    </row>
    <row r="10191">
      <c r="A10191" s="380" t="s">
        <v>11065</v>
      </c>
      <c r="B10191" s="380" t="str">
        <f>IFERROR(__xludf.DUMMYFUNCTION("""COMPUTED_VALUE"""),"Tubo Salida Admision Turbo KW T800 D6612")</f>
        <v>Tubo Salida Admision Turbo KW T800 D6612</v>
      </c>
      <c r="C10191" s="380" t="str">
        <f>IFERROR(__xludf.DUMMYFUNCTION("""COMPUTED_VALUE"""),"70005613")</f>
        <v>70005613</v>
      </c>
      <c r="D10191" s="380" t="s">
        <v>767</v>
      </c>
      <c r="E10191" s="380" t="s">
        <v>786</v>
      </c>
      <c r="F10191" s="380" t="s">
        <v>787</v>
      </c>
      <c r="G10191" s="380" t="s">
        <v>1267</v>
      </c>
      <c r="H10191" s="380" t="s">
        <v>771</v>
      </c>
      <c r="I10191" s="380" t="s">
        <v>788</v>
      </c>
      <c r="J10191" s="380" t="s">
        <v>773</v>
      </c>
      <c r="K10191" s="381">
        <v>0.0</v>
      </c>
      <c r="L10191" s="382">
        <v>1.0</v>
      </c>
    </row>
    <row r="10192">
      <c r="A10192" s="380" t="s">
        <v>11066</v>
      </c>
      <c r="B10192" s="380" t="str">
        <f>IFERROR(__xludf.DUMMYFUNCTION("""COMPUTED_VALUE"""),"Rache Freno TRAS IZQ FT 1128 77059469888")</f>
        <v>Rache Freno TRAS IZQ FT 1128 77059469888</v>
      </c>
      <c r="C10192" s="380" t="str">
        <f>IFERROR(__xludf.DUMMYFUNCTION("""COMPUTED_VALUE"""),"70005614")</f>
        <v>70005614</v>
      </c>
      <c r="D10192" s="380" t="s">
        <v>767</v>
      </c>
      <c r="E10192" s="380" t="s">
        <v>786</v>
      </c>
      <c r="F10192" s="380" t="s">
        <v>1017</v>
      </c>
      <c r="G10192" s="380" t="s">
        <v>1267</v>
      </c>
      <c r="H10192" s="380" t="s">
        <v>771</v>
      </c>
      <c r="I10192" s="380" t="s">
        <v>788</v>
      </c>
      <c r="J10192" s="380" t="s">
        <v>773</v>
      </c>
      <c r="K10192" s="381">
        <v>0.0</v>
      </c>
      <c r="L10192" s="382">
        <v>1.0</v>
      </c>
    </row>
    <row r="10193">
      <c r="A10193" s="380" t="s">
        <v>11067</v>
      </c>
      <c r="B10193" s="380" t="str">
        <f>IFERROR(__xludf.DUMMYFUNCTION("""COMPUTED_VALUE"""),"Rache Freno TRAS DER FT 1128 77059469889")</f>
        <v>Rache Freno TRAS DER FT 1128 77059469889</v>
      </c>
      <c r="C10193" s="380" t="str">
        <f>IFERROR(__xludf.DUMMYFUNCTION("""COMPUTED_VALUE"""),"70005615")</f>
        <v>70005615</v>
      </c>
      <c r="D10193" s="380" t="s">
        <v>767</v>
      </c>
      <c r="E10193" s="380" t="s">
        <v>786</v>
      </c>
      <c r="F10193" s="380" t="s">
        <v>1017</v>
      </c>
      <c r="G10193" s="380" t="s">
        <v>1267</v>
      </c>
      <c r="H10193" s="380" t="s">
        <v>771</v>
      </c>
      <c r="I10193" s="380" t="s">
        <v>788</v>
      </c>
      <c r="J10193" s="380" t="s">
        <v>773</v>
      </c>
      <c r="K10193" s="381">
        <v>0.0</v>
      </c>
      <c r="L10193" s="382">
        <v>1.0</v>
      </c>
    </row>
    <row r="10194">
      <c r="A10194" s="380" t="s">
        <v>11068</v>
      </c>
      <c r="B10194" s="380" t="str">
        <f>IFERROR(__xludf.DUMMYFUNCTION("""COMPUTED_VALUE"""),"Racor B-21 3/16 Largo Macho Acero Motoca")</f>
        <v>Racor B-21 3/16 Largo Macho Acero Motoca</v>
      </c>
      <c r="C10194" s="380" t="str">
        <f>IFERROR(__xludf.DUMMYFUNCTION("""COMPUTED_VALUE"""),"70005616")</f>
        <v>70005616</v>
      </c>
      <c r="D10194" s="380" t="s">
        <v>767</v>
      </c>
      <c r="E10194" s="380" t="s">
        <v>786</v>
      </c>
      <c r="F10194" s="380" t="s">
        <v>1017</v>
      </c>
      <c r="G10194" s="380" t="s">
        <v>1267</v>
      </c>
      <c r="H10194" s="380" t="s">
        <v>771</v>
      </c>
      <c r="I10194" s="380" t="s">
        <v>788</v>
      </c>
      <c r="J10194" s="380" t="s">
        <v>773</v>
      </c>
      <c r="K10194" s="381">
        <v>0.0</v>
      </c>
      <c r="L10194" s="382">
        <v>1.0</v>
      </c>
    </row>
    <row r="10195">
      <c r="A10195" s="380" t="s">
        <v>11069</v>
      </c>
      <c r="B10195" s="380" t="str">
        <f>IFERROR(__xludf.DUMMYFUNCTION("""COMPUTED_VALUE"""),"Tubo Freno De Cobre 3/16 Por Metros")</f>
        <v>Tubo Freno De Cobre 3/16 Por Metros</v>
      </c>
      <c r="C10195" s="380" t="str">
        <f>IFERROR(__xludf.DUMMYFUNCTION("""COMPUTED_VALUE"""),"70005617")</f>
        <v>70005617</v>
      </c>
      <c r="D10195" s="380" t="s">
        <v>767</v>
      </c>
      <c r="E10195" s="380" t="s">
        <v>786</v>
      </c>
      <c r="F10195" s="380" t="s">
        <v>1017</v>
      </c>
      <c r="G10195" s="380" t="s">
        <v>1267</v>
      </c>
      <c r="H10195" s="380" t="s">
        <v>771</v>
      </c>
      <c r="I10195" s="380" t="s">
        <v>788</v>
      </c>
      <c r="J10195" s="380" t="s">
        <v>773</v>
      </c>
      <c r="K10195" s="381">
        <v>0.0</v>
      </c>
      <c r="L10195" s="382">
        <v>1.0</v>
      </c>
    </row>
    <row r="10196">
      <c r="A10196" s="380" t="s">
        <v>11070</v>
      </c>
      <c r="B10196" s="380" t="str">
        <f>IFERROR(__xludf.DUMMYFUNCTION("""COMPUTED_VALUE"""),"Sensor Temp Agua Kw 1002051137")</f>
        <v>Sensor Temp Agua Kw 1002051137</v>
      </c>
      <c r="C10196" s="380" t="str">
        <f>IFERROR(__xludf.DUMMYFUNCTION("""COMPUTED_VALUE"""),"70005618")</f>
        <v>70005618</v>
      </c>
      <c r="D10196" s="380" t="s">
        <v>767</v>
      </c>
      <c r="E10196" s="380" t="s">
        <v>786</v>
      </c>
      <c r="F10196" s="380" t="s">
        <v>998</v>
      </c>
      <c r="G10196" s="380" t="s">
        <v>1267</v>
      </c>
      <c r="H10196" s="380" t="s">
        <v>771</v>
      </c>
      <c r="I10196" s="380" t="s">
        <v>788</v>
      </c>
      <c r="J10196" s="380" t="s">
        <v>773</v>
      </c>
      <c r="K10196" s="381">
        <v>0.0</v>
      </c>
      <c r="L10196" s="382">
        <v>1.0</v>
      </c>
    </row>
    <row r="10197">
      <c r="A10197" s="380" t="s">
        <v>11071</v>
      </c>
      <c r="B10197" s="380" t="str">
        <f>IFERROR(__xludf.DUMMYFUNCTION("""COMPUTED_VALUE"""),"BMB De Agua FT 1039/1065 7705946694780")</f>
        <v>BMB De Agua FT 1039/1065 7705946694780</v>
      </c>
      <c r="C10197" s="380" t="str">
        <f>IFERROR(__xludf.DUMMYFUNCTION("""COMPUTED_VALUE"""),"70005619")</f>
        <v>70005619</v>
      </c>
      <c r="D10197" s="380" t="s">
        <v>767</v>
      </c>
      <c r="E10197" s="380" t="s">
        <v>786</v>
      </c>
      <c r="F10197" s="380" t="s">
        <v>787</v>
      </c>
      <c r="G10197" s="380" t="s">
        <v>1267</v>
      </c>
      <c r="H10197" s="380" t="s">
        <v>771</v>
      </c>
      <c r="I10197" s="380" t="s">
        <v>788</v>
      </c>
      <c r="J10197" s="380" t="s">
        <v>773</v>
      </c>
      <c r="K10197" s="381">
        <v>0.0</v>
      </c>
      <c r="L10197" s="382">
        <v>1.0</v>
      </c>
    </row>
    <row r="10198">
      <c r="A10198" s="380" t="s">
        <v>11072</v>
      </c>
      <c r="B10198" s="380" t="str">
        <f>IFERROR(__xludf.DUMMYFUNCTION("""COMPUTED_VALUE"""),"TANQ Acpm DER EGL 150 Galones 4184806c1s")</f>
        <v>TANQ Acpm DER EGL 150 Galones 4184806c1s</v>
      </c>
      <c r="C10198" s="380" t="str">
        <f>IFERROR(__xludf.DUMMYFUNCTION("""COMPUTED_VALUE"""),"70005620")</f>
        <v>70005620</v>
      </c>
      <c r="D10198" s="380" t="s">
        <v>767</v>
      </c>
      <c r="E10198" s="380" t="s">
        <v>786</v>
      </c>
      <c r="F10198" s="380" t="s">
        <v>792</v>
      </c>
      <c r="G10198" s="380" t="s">
        <v>1267</v>
      </c>
      <c r="H10198" s="380" t="s">
        <v>771</v>
      </c>
      <c r="I10198" s="380" t="s">
        <v>788</v>
      </c>
      <c r="J10198" s="380" t="s">
        <v>773</v>
      </c>
      <c r="K10198" s="381">
        <v>0.0</v>
      </c>
      <c r="L10198" s="382">
        <v>1.0</v>
      </c>
    </row>
    <row r="10199">
      <c r="A10199" s="380" t="s">
        <v>11073</v>
      </c>
      <c r="B10199" s="380" t="str">
        <f>IFERROR(__xludf.DUMMYFUNCTION("""COMPUTED_VALUE"""),"Eje Horquilla 1ra Y 2da FT 1039 77010234")</f>
        <v>Eje Horquilla 1ra Y 2da FT 1039 77010234</v>
      </c>
      <c r="C10199" s="380" t="str">
        <f>IFERROR(__xludf.DUMMYFUNCTION("""COMPUTED_VALUE"""),"70005621")</f>
        <v>70005621</v>
      </c>
      <c r="D10199" s="380" t="s">
        <v>767</v>
      </c>
      <c r="E10199" s="380" t="s">
        <v>786</v>
      </c>
      <c r="F10199" s="380" t="s">
        <v>928</v>
      </c>
      <c r="G10199" s="380" t="s">
        <v>1267</v>
      </c>
      <c r="H10199" s="380" t="s">
        <v>771</v>
      </c>
      <c r="I10199" s="380" t="s">
        <v>788</v>
      </c>
      <c r="J10199" s="380" t="s">
        <v>773</v>
      </c>
      <c r="K10199" s="381">
        <v>0.0</v>
      </c>
      <c r="L10199" s="382">
        <v>1.0</v>
      </c>
    </row>
    <row r="10200">
      <c r="A10200" s="380" t="s">
        <v>11074</v>
      </c>
      <c r="B10200" s="380" t="str">
        <f>IFERROR(__xludf.DUMMYFUNCTION("""COMPUTED_VALUE"""),"Correa VENT HN 500 Jgo X 2 Sz910-49142")</f>
        <v>Correa VENT HN 500 Jgo X 2 Sz910-49142</v>
      </c>
      <c r="C10200" s="380" t="str">
        <f>IFERROR(__xludf.DUMMYFUNCTION("""COMPUTED_VALUE"""),"70005622")</f>
        <v>70005622</v>
      </c>
      <c r="D10200" s="380" t="s">
        <v>767</v>
      </c>
      <c r="E10200" s="380" t="s">
        <v>786</v>
      </c>
      <c r="F10200" s="380" t="s">
        <v>787</v>
      </c>
      <c r="G10200" s="380" t="s">
        <v>1267</v>
      </c>
      <c r="H10200" s="380" t="s">
        <v>771</v>
      </c>
      <c r="I10200" s="380" t="s">
        <v>788</v>
      </c>
      <c r="J10200" s="380" t="s">
        <v>773</v>
      </c>
      <c r="K10200" s="381">
        <v>0.0</v>
      </c>
      <c r="L10200" s="382">
        <v>1.0</v>
      </c>
    </row>
    <row r="10201">
      <c r="A10201" s="380" t="s">
        <v>11075</v>
      </c>
      <c r="B10201" s="380" t="str">
        <f>IFERROR(__xludf.DUMMYFUNCTION("""COMPUTED_VALUE"""),"Tubo Conector Egr FT 1039-1065 770594639")</f>
        <v>Tubo Conector Egr FT 1039-1065 770594639</v>
      </c>
      <c r="C10201" s="380" t="str">
        <f>IFERROR(__xludf.DUMMYFUNCTION("""COMPUTED_VALUE"""),"70005623")</f>
        <v>70005623</v>
      </c>
      <c r="D10201" s="380" t="s">
        <v>767</v>
      </c>
      <c r="E10201" s="380" t="s">
        <v>786</v>
      </c>
      <c r="F10201" s="380" t="s">
        <v>787</v>
      </c>
      <c r="G10201" s="380" t="s">
        <v>1267</v>
      </c>
      <c r="H10201" s="380" t="s">
        <v>771</v>
      </c>
      <c r="I10201" s="380" t="s">
        <v>788</v>
      </c>
      <c r="J10201" s="380" t="s">
        <v>773</v>
      </c>
      <c r="K10201" s="381">
        <v>0.0</v>
      </c>
      <c r="L10201" s="382">
        <v>1.0</v>
      </c>
    </row>
    <row r="10202">
      <c r="A10202" s="380" t="s">
        <v>11076</v>
      </c>
      <c r="B10202" s="380" t="str">
        <f>IFERROR(__xludf.DUMMYFUNCTION("""COMPUTED_VALUE"""),"Switch Comando Freno De Ahogo HN 500 846")</f>
        <v>Switch Comando Freno De Ahogo HN 500 846</v>
      </c>
      <c r="C10202" s="380" t="str">
        <f>IFERROR(__xludf.DUMMYFUNCTION("""COMPUTED_VALUE"""),"70005624")</f>
        <v>70005624</v>
      </c>
      <c r="D10202" s="380" t="s">
        <v>767</v>
      </c>
      <c r="E10202" s="380" t="s">
        <v>786</v>
      </c>
      <c r="F10202" s="380" t="s">
        <v>998</v>
      </c>
      <c r="G10202" s="380" t="s">
        <v>1267</v>
      </c>
      <c r="H10202" s="380" t="s">
        <v>771</v>
      </c>
      <c r="I10202" s="380" t="s">
        <v>788</v>
      </c>
      <c r="J10202" s="380" t="s">
        <v>773</v>
      </c>
      <c r="K10202" s="381">
        <v>0.0</v>
      </c>
      <c r="L10202" s="382">
        <v>1.0</v>
      </c>
    </row>
    <row r="10203">
      <c r="A10203" s="380" t="s">
        <v>11077</v>
      </c>
      <c r="B10203" s="380" t="str">
        <f>IFERROR(__xludf.DUMMYFUNCTION("""COMPUTED_VALUE"""),"Filtro Refrigerante Daf Cf480 1843659")</f>
        <v>Filtro Refrigerante Daf Cf480 1843659</v>
      </c>
      <c r="C10203" s="380" t="str">
        <f>IFERROR(__xludf.DUMMYFUNCTION("""COMPUTED_VALUE"""),"70005625")</f>
        <v>70005625</v>
      </c>
      <c r="D10203" s="380" t="s">
        <v>767</v>
      </c>
      <c r="E10203" s="380" t="s">
        <v>786</v>
      </c>
      <c r="F10203" s="380" t="s">
        <v>5855</v>
      </c>
      <c r="G10203" s="380" t="s">
        <v>1267</v>
      </c>
      <c r="H10203" s="380" t="s">
        <v>771</v>
      </c>
      <c r="I10203" s="380" t="s">
        <v>788</v>
      </c>
      <c r="J10203" s="380" t="s">
        <v>773</v>
      </c>
      <c r="K10203" s="381">
        <v>33795.0</v>
      </c>
      <c r="L10203" s="382">
        <v>1.0</v>
      </c>
    </row>
    <row r="10204">
      <c r="A10204" s="380" t="s">
        <v>11078</v>
      </c>
      <c r="B10204" s="380" t="str">
        <f>IFERROR(__xludf.DUMMYFUNCTION("""COMPUTED_VALUE"""),"Eje Horquilla 3ra Y 4ta FT 1039 77010234")</f>
        <v>Eje Horquilla 3ra Y 4ta FT 1039 77010234</v>
      </c>
      <c r="C10204" s="380" t="str">
        <f>IFERROR(__xludf.DUMMYFUNCTION("""COMPUTED_VALUE"""),"70005626")</f>
        <v>70005626</v>
      </c>
      <c r="D10204" s="380" t="s">
        <v>767</v>
      </c>
      <c r="E10204" s="380" t="s">
        <v>786</v>
      </c>
      <c r="F10204" s="380" t="s">
        <v>928</v>
      </c>
      <c r="G10204" s="380" t="s">
        <v>1267</v>
      </c>
      <c r="H10204" s="380" t="s">
        <v>771</v>
      </c>
      <c r="I10204" s="380" t="s">
        <v>788</v>
      </c>
      <c r="J10204" s="380" t="s">
        <v>773</v>
      </c>
      <c r="K10204" s="381">
        <v>0.0</v>
      </c>
      <c r="L10204" s="382">
        <v>1.0</v>
      </c>
    </row>
    <row r="10205">
      <c r="A10205" s="380" t="s">
        <v>11079</v>
      </c>
      <c r="B10205" s="380" t="str">
        <f>IFERROR(__xludf.DUMMYFUNCTION("""COMPUTED_VALUE"""),"Parabrisas Fabricado Dong Feng Electrica")</f>
        <v>Parabrisas Fabricado Dong Feng Electrica</v>
      </c>
      <c r="C10205" s="380" t="str">
        <f>IFERROR(__xludf.DUMMYFUNCTION("""COMPUTED_VALUE"""),"70005627")</f>
        <v>70005627</v>
      </c>
      <c r="D10205" s="380" t="s">
        <v>767</v>
      </c>
      <c r="E10205" s="380" t="s">
        <v>786</v>
      </c>
      <c r="F10205" s="380" t="s">
        <v>792</v>
      </c>
      <c r="G10205" s="380" t="s">
        <v>1267</v>
      </c>
      <c r="H10205" s="380" t="s">
        <v>771</v>
      </c>
      <c r="I10205" s="380" t="s">
        <v>788</v>
      </c>
      <c r="J10205" s="380" t="s">
        <v>773</v>
      </c>
      <c r="K10205" s="381">
        <v>0.0</v>
      </c>
      <c r="L10205" s="382">
        <v>1.0</v>
      </c>
    </row>
    <row r="10206">
      <c r="A10206" s="380" t="s">
        <v>11080</v>
      </c>
      <c r="B10206" s="380" t="str">
        <f>IFERROR(__xludf.DUMMYFUNCTION("""COMPUTED_VALUE"""),"Pin Sincronismo 3ra Y 4ta FT 1039 770102")</f>
        <v>Pin Sincronismo 3ra Y 4ta FT 1039 770102</v>
      </c>
      <c r="C10206" s="380" t="str">
        <f>IFERROR(__xludf.DUMMYFUNCTION("""COMPUTED_VALUE"""),"70005628")</f>
        <v>70005628</v>
      </c>
      <c r="D10206" s="380" t="s">
        <v>767</v>
      </c>
      <c r="E10206" s="380" t="s">
        <v>786</v>
      </c>
      <c r="F10206" s="380" t="s">
        <v>928</v>
      </c>
      <c r="G10206" s="380" t="s">
        <v>1267</v>
      </c>
      <c r="H10206" s="380" t="s">
        <v>771</v>
      </c>
      <c r="I10206" s="380" t="s">
        <v>788</v>
      </c>
      <c r="J10206" s="380" t="s">
        <v>773</v>
      </c>
      <c r="K10206" s="381">
        <v>0.0</v>
      </c>
      <c r="L10206" s="382">
        <v>1.0</v>
      </c>
    </row>
    <row r="10207">
      <c r="A10207" s="380" t="s">
        <v>11081</v>
      </c>
      <c r="B10207" s="380" t="str">
        <f>IFERROR(__xludf.DUMMYFUNCTION("""COMPUTED_VALUE"""),"Mano Acople AIR Linea Emergencia Daf Cf4")</f>
        <v>Mano Acople AIR Linea Emergencia Daf Cf4</v>
      </c>
      <c r="C10207" s="380" t="str">
        <f>IFERROR(__xludf.DUMMYFUNCTION("""COMPUTED_VALUE"""),"70005629")</f>
        <v>70005629</v>
      </c>
      <c r="D10207" s="380" t="s">
        <v>767</v>
      </c>
      <c r="E10207" s="380" t="s">
        <v>786</v>
      </c>
      <c r="F10207" s="380" t="s">
        <v>1017</v>
      </c>
      <c r="G10207" s="380" t="s">
        <v>1267</v>
      </c>
      <c r="H10207" s="380" t="s">
        <v>771</v>
      </c>
      <c r="I10207" s="380" t="s">
        <v>788</v>
      </c>
      <c r="J10207" s="380" t="s">
        <v>773</v>
      </c>
      <c r="K10207" s="381">
        <v>55514.0</v>
      </c>
      <c r="L10207" s="382">
        <v>1.0</v>
      </c>
    </row>
    <row r="10208">
      <c r="A10208" s="380" t="s">
        <v>11082</v>
      </c>
      <c r="B10208" s="380" t="str">
        <f>IFERROR(__xludf.DUMMYFUNCTION("""COMPUTED_VALUE"""),"Rotula Retrack Montacarga ELEC Bt T")</f>
        <v>Rotula Retrack Montacarga ELEC Bt T</v>
      </c>
      <c r="C10208" s="380" t="str">
        <f>IFERROR(__xludf.DUMMYFUNCTION("""COMPUTED_VALUE"""),"70005630")</f>
        <v>70005630</v>
      </c>
      <c r="D10208" s="380" t="s">
        <v>767</v>
      </c>
      <c r="E10208" s="380" t="s">
        <v>786</v>
      </c>
      <c r="F10208" s="380" t="s">
        <v>1020</v>
      </c>
      <c r="G10208" s="380" t="s">
        <v>1267</v>
      </c>
      <c r="H10208" s="380" t="s">
        <v>771</v>
      </c>
      <c r="I10208" s="380" t="s">
        <v>788</v>
      </c>
      <c r="J10208" s="380" t="s">
        <v>773</v>
      </c>
      <c r="K10208" s="381">
        <v>0.0</v>
      </c>
      <c r="L10208" s="382">
        <v>1.0</v>
      </c>
    </row>
    <row r="10209">
      <c r="A10209" s="380" t="s">
        <v>11083</v>
      </c>
      <c r="B10209" s="380" t="str">
        <f>IFERROR(__xludf.DUMMYFUNCTION("""COMPUTED_VALUE"""),"Rodamiento Frontal Tren Fijo FT 1039 770")</f>
        <v>Rodamiento Frontal Tren Fijo FT 1039 770</v>
      </c>
      <c r="C10209" s="380" t="str">
        <f>IFERROR(__xludf.DUMMYFUNCTION("""COMPUTED_VALUE"""),"70005631")</f>
        <v>70005631</v>
      </c>
      <c r="D10209" s="380" t="s">
        <v>767</v>
      </c>
      <c r="E10209" s="380" t="s">
        <v>786</v>
      </c>
      <c r="F10209" s="380" t="s">
        <v>928</v>
      </c>
      <c r="G10209" s="380" t="s">
        <v>1267</v>
      </c>
      <c r="H10209" s="380" t="s">
        <v>771</v>
      </c>
      <c r="I10209" s="380" t="s">
        <v>788</v>
      </c>
      <c r="J10209" s="380" t="s">
        <v>773</v>
      </c>
      <c r="K10209" s="381">
        <v>0.0</v>
      </c>
      <c r="L10209" s="382">
        <v>1.0</v>
      </c>
    </row>
    <row r="10210">
      <c r="A10210" s="380" t="s">
        <v>11084</v>
      </c>
      <c r="B10210" s="380" t="str">
        <f>IFERROR(__xludf.DUMMYFUNCTION("""COMPUTED_VALUE"""),"Rodamiento Eje Propulsor FT 1039 7701023")</f>
        <v>Rodamiento Eje Propulsor FT 1039 7701023</v>
      </c>
      <c r="C10210" s="380" t="str">
        <f>IFERROR(__xludf.DUMMYFUNCTION("""COMPUTED_VALUE"""),"70005632")</f>
        <v>70005632</v>
      </c>
      <c r="D10210" s="380" t="s">
        <v>767</v>
      </c>
      <c r="E10210" s="380" t="s">
        <v>786</v>
      </c>
      <c r="F10210" s="380" t="s">
        <v>928</v>
      </c>
      <c r="G10210" s="380" t="s">
        <v>1267</v>
      </c>
      <c r="H10210" s="380" t="s">
        <v>771</v>
      </c>
      <c r="I10210" s="380" t="s">
        <v>788</v>
      </c>
      <c r="J10210" s="380" t="s">
        <v>773</v>
      </c>
      <c r="K10210" s="381">
        <v>0.0</v>
      </c>
      <c r="L10210" s="382">
        <v>1.0</v>
      </c>
    </row>
    <row r="10211">
      <c r="A10211" s="380" t="s">
        <v>11085</v>
      </c>
      <c r="B10211" s="380" t="str">
        <f>IFERROR(__xludf.DUMMYFUNCTION("""COMPUTED_VALUE"""),"Bujes Varios Motor Arranque")</f>
        <v>Bujes Varios Motor Arranque</v>
      </c>
      <c r="C10211" s="380" t="str">
        <f>IFERROR(__xludf.DUMMYFUNCTION("""COMPUTED_VALUE"""),"70005633")</f>
        <v>70005633</v>
      </c>
      <c r="D10211" s="380" t="s">
        <v>767</v>
      </c>
      <c r="E10211" s="380" t="s">
        <v>786</v>
      </c>
      <c r="F10211" s="380" t="s">
        <v>998</v>
      </c>
      <c r="G10211" s="380" t="s">
        <v>1267</v>
      </c>
      <c r="H10211" s="380" t="s">
        <v>771</v>
      </c>
      <c r="I10211" s="380" t="s">
        <v>788</v>
      </c>
      <c r="J10211" s="380" t="s">
        <v>773</v>
      </c>
      <c r="K10211" s="381">
        <v>0.0</v>
      </c>
      <c r="L10211" s="382">
        <v>1.0</v>
      </c>
    </row>
    <row r="10212">
      <c r="A10212" s="380" t="s">
        <v>11086</v>
      </c>
      <c r="B10212" s="380" t="str">
        <f>IFERROR(__xludf.DUMMYFUNCTION("""COMPUTED_VALUE"""),"Rotula CIL Central Montacargas ELEC T")</f>
        <v>Rotula CIL Central Montacargas ELEC T</v>
      </c>
      <c r="C10212" s="380" t="str">
        <f>IFERROR(__xludf.DUMMYFUNCTION("""COMPUTED_VALUE"""),"70005634")</f>
        <v>70005634</v>
      </c>
      <c r="D10212" s="380" t="s">
        <v>767</v>
      </c>
      <c r="E10212" s="380" t="s">
        <v>786</v>
      </c>
      <c r="F10212" s="380" t="s">
        <v>1020</v>
      </c>
      <c r="G10212" s="380" t="s">
        <v>1267</v>
      </c>
      <c r="H10212" s="380" t="s">
        <v>771</v>
      </c>
      <c r="I10212" s="380" t="s">
        <v>788</v>
      </c>
      <c r="J10212" s="380" t="s">
        <v>773</v>
      </c>
      <c r="K10212" s="381">
        <v>0.0</v>
      </c>
      <c r="L10212" s="382">
        <v>1.0</v>
      </c>
    </row>
    <row r="10213">
      <c r="A10213" s="380" t="s">
        <v>11087</v>
      </c>
      <c r="B10213" s="380" t="str">
        <f>IFERROR(__xludf.DUMMYFUNCTION("""COMPUTED_VALUE"""),"MANG Conexion AIR Emergencia Daf Cf480 F")</f>
        <v>MANG Conexion AIR Emergencia Daf Cf480 F</v>
      </c>
      <c r="C10213" s="380" t="str">
        <f>IFERROR(__xludf.DUMMYFUNCTION("""COMPUTED_VALUE"""),"70005635")</f>
        <v>70005635</v>
      </c>
      <c r="D10213" s="380" t="s">
        <v>767</v>
      </c>
      <c r="E10213" s="380" t="s">
        <v>786</v>
      </c>
      <c r="F10213" s="380" t="s">
        <v>1017</v>
      </c>
      <c r="G10213" s="380" t="s">
        <v>1267</v>
      </c>
      <c r="H10213" s="380" t="s">
        <v>771</v>
      </c>
      <c r="I10213" s="380" t="s">
        <v>788</v>
      </c>
      <c r="J10213" s="380" t="s">
        <v>773</v>
      </c>
      <c r="K10213" s="381">
        <v>243950.0</v>
      </c>
      <c r="L10213" s="382">
        <v>1.0</v>
      </c>
    </row>
    <row r="10214">
      <c r="A10214" s="380" t="s">
        <v>11088</v>
      </c>
      <c r="B10214" s="380" t="str">
        <f>IFERROR(__xludf.DUMMYFUNCTION("""COMPUTED_VALUE"""),"Shin Ajuste Porta Horquilla Montacargas")</f>
        <v>Shin Ajuste Porta Horquilla Montacargas</v>
      </c>
      <c r="C10214" s="380" t="str">
        <f>IFERROR(__xludf.DUMMYFUNCTION("""COMPUTED_VALUE"""),"70005636")</f>
        <v>70005636</v>
      </c>
      <c r="D10214" s="380" t="s">
        <v>767</v>
      </c>
      <c r="E10214" s="380" t="s">
        <v>786</v>
      </c>
      <c r="F10214" s="380" t="s">
        <v>1020</v>
      </c>
      <c r="G10214" s="380" t="s">
        <v>1267</v>
      </c>
      <c r="H10214" s="380" t="s">
        <v>771</v>
      </c>
      <c r="I10214" s="380" t="s">
        <v>788</v>
      </c>
      <c r="J10214" s="380" t="s">
        <v>773</v>
      </c>
      <c r="K10214" s="381">
        <v>0.0</v>
      </c>
      <c r="L10214" s="382">
        <v>1.0</v>
      </c>
    </row>
    <row r="10215">
      <c r="A10215" s="380" t="s">
        <v>11089</v>
      </c>
      <c r="B10215" s="380" t="str">
        <f>IFERROR(__xludf.DUMMYFUNCTION("""COMPUTED_VALUE"""),"Tecla Bt Marcha Montacargas ELEC T")</f>
        <v>Tecla Bt Marcha Montacargas ELEC T</v>
      </c>
      <c r="C10215" s="380" t="str">
        <f>IFERROR(__xludf.DUMMYFUNCTION("""COMPUTED_VALUE"""),"70005637")</f>
        <v>70005637</v>
      </c>
      <c r="D10215" s="380" t="s">
        <v>767</v>
      </c>
      <c r="E10215" s="380" t="s">
        <v>786</v>
      </c>
      <c r="F10215" s="380" t="s">
        <v>998</v>
      </c>
      <c r="G10215" s="380" t="s">
        <v>1267</v>
      </c>
      <c r="H10215" s="380" t="s">
        <v>771</v>
      </c>
      <c r="I10215" s="380" t="s">
        <v>788</v>
      </c>
      <c r="J10215" s="380" t="s">
        <v>773</v>
      </c>
      <c r="K10215" s="381">
        <v>0.0</v>
      </c>
      <c r="L10215" s="382">
        <v>1.0</v>
      </c>
    </row>
    <row r="10216">
      <c r="A10216" s="380" t="s">
        <v>11090</v>
      </c>
      <c r="B10216" s="380" t="str">
        <f>IFERROR(__xludf.DUMMYFUNCTION("""COMPUTED_VALUE"""),"Harness Farola Capot INT Prostar 6116197")</f>
        <v>Harness Farola Capot INT Prostar 6116197</v>
      </c>
      <c r="C10216" s="380" t="str">
        <f>IFERROR(__xludf.DUMMYFUNCTION("""COMPUTED_VALUE"""),"70005638")</f>
        <v>70005638</v>
      </c>
      <c r="D10216" s="380" t="s">
        <v>767</v>
      </c>
      <c r="E10216" s="380" t="s">
        <v>786</v>
      </c>
      <c r="F10216" s="380" t="s">
        <v>998</v>
      </c>
      <c r="G10216" s="380" t="s">
        <v>1267</v>
      </c>
      <c r="H10216" s="380" t="s">
        <v>771</v>
      </c>
      <c r="I10216" s="380" t="s">
        <v>788</v>
      </c>
      <c r="J10216" s="380" t="s">
        <v>773</v>
      </c>
      <c r="K10216" s="381">
        <v>0.0</v>
      </c>
      <c r="L10216" s="382">
        <v>1.0</v>
      </c>
    </row>
    <row r="10217">
      <c r="A10217" s="380" t="s">
        <v>11091</v>
      </c>
      <c r="B10217" s="380" t="str">
        <f>IFERROR(__xludf.DUMMYFUNCTION("""COMPUTED_VALUE"""),"Acople Recto MANG COMB 1/2"" EGL 3533426c")</f>
        <v>Acople Recto MANG COMB 1/2" EGL 3533426c</v>
      </c>
      <c r="C10217" s="380" t="str">
        <f>IFERROR(__xludf.DUMMYFUNCTION("""COMPUTED_VALUE"""),"70005639")</f>
        <v>70005639</v>
      </c>
      <c r="D10217" s="380" t="s">
        <v>767</v>
      </c>
      <c r="E10217" s="380" t="s">
        <v>786</v>
      </c>
      <c r="F10217" s="380" t="s">
        <v>787</v>
      </c>
      <c r="G10217" s="380" t="s">
        <v>1267</v>
      </c>
      <c r="H10217" s="380" t="s">
        <v>771</v>
      </c>
      <c r="I10217" s="380" t="s">
        <v>788</v>
      </c>
      <c r="J10217" s="380" t="s">
        <v>773</v>
      </c>
      <c r="K10217" s="381">
        <v>0.0</v>
      </c>
      <c r="L10217" s="382">
        <v>1.0</v>
      </c>
    </row>
    <row r="10218">
      <c r="A10218" s="380" t="s">
        <v>11092</v>
      </c>
      <c r="B10218" s="380" t="str">
        <f>IFERROR(__xludf.DUMMYFUNCTION("""COMPUTED_VALUE"""),"Tablero De Instrumentos Completo Nkr Rew")</f>
        <v>Tablero De Instrumentos Completo Nkr Rew</v>
      </c>
      <c r="C10218" s="380" t="str">
        <f>IFERROR(__xludf.DUMMYFUNCTION("""COMPUTED_VALUE"""),"70005640")</f>
        <v>70005640</v>
      </c>
      <c r="D10218" s="380" t="s">
        <v>767</v>
      </c>
      <c r="E10218" s="380" t="s">
        <v>786</v>
      </c>
      <c r="F10218" s="380" t="s">
        <v>998</v>
      </c>
      <c r="G10218" s="380" t="s">
        <v>1267</v>
      </c>
      <c r="H10218" s="380" t="s">
        <v>771</v>
      </c>
      <c r="I10218" s="380" t="s">
        <v>788</v>
      </c>
      <c r="J10218" s="380" t="s">
        <v>773</v>
      </c>
      <c r="K10218" s="381">
        <v>0.0</v>
      </c>
      <c r="L10218" s="382">
        <v>1.0</v>
      </c>
    </row>
    <row r="10219">
      <c r="A10219" s="380" t="s">
        <v>11093</v>
      </c>
      <c r="B10219" s="380" t="str">
        <f>IFERROR(__xludf.DUMMYFUNCTION("""COMPUTED_VALUE"""),"Bombona Suspension Cabina Mack Anthem 21")</f>
        <v>Bombona Suspension Cabina Mack Anthem 21</v>
      </c>
      <c r="C10219" s="380" t="str">
        <f>IFERROR(__xludf.DUMMYFUNCTION("""COMPUTED_VALUE"""),"70005641")</f>
        <v>70005641</v>
      </c>
      <c r="D10219" s="380" t="s">
        <v>767</v>
      </c>
      <c r="E10219" s="380" t="s">
        <v>786</v>
      </c>
      <c r="F10219" s="380" t="s">
        <v>1039</v>
      </c>
      <c r="G10219" s="380" t="s">
        <v>1267</v>
      </c>
      <c r="H10219" s="380" t="s">
        <v>771</v>
      </c>
      <c r="I10219" s="380" t="s">
        <v>788</v>
      </c>
      <c r="J10219" s="380" t="s">
        <v>773</v>
      </c>
      <c r="K10219" s="381">
        <v>0.0</v>
      </c>
      <c r="L10219" s="382">
        <v>1.0</v>
      </c>
    </row>
    <row r="10220">
      <c r="A10220" s="380" t="s">
        <v>11094</v>
      </c>
      <c r="B10220" s="380" t="str">
        <f>IFERROR(__xludf.DUMMYFUNCTION("""COMPUTED_VALUE"""),"Eje Horquilla 5ta Y Rev FT 1039 77010234")</f>
        <v>Eje Horquilla 5ta Y Rev FT 1039 77010234</v>
      </c>
      <c r="C10220" s="380" t="str">
        <f>IFERROR(__xludf.DUMMYFUNCTION("""COMPUTED_VALUE"""),"70005642")</f>
        <v>70005642</v>
      </c>
      <c r="D10220" s="380" t="s">
        <v>767</v>
      </c>
      <c r="E10220" s="380" t="s">
        <v>786</v>
      </c>
      <c r="F10220" s="380" t="s">
        <v>928</v>
      </c>
      <c r="G10220" s="380" t="s">
        <v>1267</v>
      </c>
      <c r="H10220" s="380" t="s">
        <v>771</v>
      </c>
      <c r="I10220" s="380" t="s">
        <v>788</v>
      </c>
      <c r="J10220" s="380" t="s">
        <v>773</v>
      </c>
      <c r="K10220" s="381">
        <v>0.0</v>
      </c>
      <c r="L10220" s="382">
        <v>1.0</v>
      </c>
    </row>
    <row r="10221">
      <c r="A10221" s="380" t="s">
        <v>11095</v>
      </c>
      <c r="B10221" s="380" t="str">
        <f>IFERROR(__xludf.DUMMYFUNCTION("""COMPUTED_VALUE"""),"Resorte Oscilacion Tipo Cortina Fabricad")</f>
        <v>Resorte Oscilacion Tipo Cortina Fabricad</v>
      </c>
      <c r="C10221" s="380" t="str">
        <f>IFERROR(__xludf.DUMMYFUNCTION("""COMPUTED_VALUE"""),"70005643")</f>
        <v>70005643</v>
      </c>
      <c r="D10221" s="380" t="s">
        <v>767</v>
      </c>
      <c r="E10221" s="380" t="s">
        <v>786</v>
      </c>
      <c r="F10221" s="380" t="s">
        <v>792</v>
      </c>
      <c r="G10221" s="380" t="s">
        <v>1267</v>
      </c>
      <c r="H10221" s="380" t="s">
        <v>771</v>
      </c>
      <c r="I10221" s="380" t="s">
        <v>788</v>
      </c>
      <c r="J10221" s="380" t="s">
        <v>773</v>
      </c>
      <c r="K10221" s="381">
        <v>95199.0</v>
      </c>
      <c r="L10221" s="382">
        <v>1.0</v>
      </c>
    </row>
    <row r="10222">
      <c r="A10222" s="380" t="s">
        <v>11096</v>
      </c>
      <c r="B10222" s="380" t="str">
        <f>IFERROR(__xludf.DUMMYFUNCTION("""COMPUTED_VALUE"""),"Reten Tapa TRAS CJ FT 1039 7701023556859")</f>
        <v>Reten Tapa TRAS CJ FT 1039 7701023556859</v>
      </c>
      <c r="C10222" s="380" t="str">
        <f>IFERROR(__xludf.DUMMYFUNCTION("""COMPUTED_VALUE"""),"70005644")</f>
        <v>70005644</v>
      </c>
      <c r="D10222" s="380" t="s">
        <v>767</v>
      </c>
      <c r="E10222" s="380" t="s">
        <v>786</v>
      </c>
      <c r="F10222" s="380" t="s">
        <v>928</v>
      </c>
      <c r="G10222" s="380" t="s">
        <v>1267</v>
      </c>
      <c r="H10222" s="380" t="s">
        <v>771</v>
      </c>
      <c r="I10222" s="380" t="s">
        <v>788</v>
      </c>
      <c r="J10222" s="380" t="s">
        <v>773</v>
      </c>
      <c r="K10222" s="381">
        <v>0.0</v>
      </c>
      <c r="L10222" s="382">
        <v>1.0</v>
      </c>
    </row>
    <row r="10223">
      <c r="A10223" s="380" t="s">
        <v>11097</v>
      </c>
      <c r="B10223" s="380" t="str">
        <f>IFERROR(__xludf.DUMMYFUNCTION("""COMPUTED_VALUE"""),"SOP CJ Velocidades FT 1039 7701023701587")</f>
        <v>SOP CJ Velocidades FT 1039 7701023701587</v>
      </c>
      <c r="C10223" s="380" t="str">
        <f>IFERROR(__xludf.DUMMYFUNCTION("""COMPUTED_VALUE"""),"70005645")</f>
        <v>70005645</v>
      </c>
      <c r="D10223" s="380" t="s">
        <v>767</v>
      </c>
      <c r="E10223" s="380" t="s">
        <v>786</v>
      </c>
      <c r="F10223" s="380" t="s">
        <v>928</v>
      </c>
      <c r="G10223" s="380" t="s">
        <v>1267</v>
      </c>
      <c r="H10223" s="380" t="s">
        <v>771</v>
      </c>
      <c r="I10223" s="380" t="s">
        <v>788</v>
      </c>
      <c r="J10223" s="380" t="s">
        <v>773</v>
      </c>
      <c r="K10223" s="381">
        <v>0.0</v>
      </c>
      <c r="L10223" s="382">
        <v>1.0</v>
      </c>
    </row>
    <row r="10224">
      <c r="A10224" s="380" t="s">
        <v>11098</v>
      </c>
      <c r="B10224" s="380" t="str">
        <f>IFERROR(__xludf.DUMMYFUNCTION("""COMPUTED_VALUE"""),"BRR Tensora Dif TRAS FRL Cl 120 6666")</f>
        <v>BRR Tensora Dif TRAS FRL Cl 120 6666</v>
      </c>
      <c r="C10224" s="380" t="str">
        <f>IFERROR(__xludf.DUMMYFUNCTION("""COMPUTED_VALUE"""),"70005646")</f>
        <v>70005646</v>
      </c>
      <c r="D10224" s="380" t="s">
        <v>767</v>
      </c>
      <c r="E10224" s="380" t="s">
        <v>786</v>
      </c>
      <c r="F10224" s="380" t="s">
        <v>1039</v>
      </c>
      <c r="G10224" s="380" t="s">
        <v>1267</v>
      </c>
      <c r="H10224" s="380" t="s">
        <v>771</v>
      </c>
      <c r="I10224" s="380" t="s">
        <v>788</v>
      </c>
      <c r="J10224" s="380" t="s">
        <v>773</v>
      </c>
      <c r="K10224" s="381">
        <v>0.0</v>
      </c>
      <c r="L10224" s="382">
        <v>1.0</v>
      </c>
    </row>
    <row r="10225">
      <c r="A10225" s="380" t="s">
        <v>11099</v>
      </c>
      <c r="B10225" s="380" t="str">
        <f>IFERROR(__xludf.DUMMYFUNCTION("""COMPUTED_VALUE"""),"Luz Externa Techo FT 1128 7701023691758")</f>
        <v>Luz Externa Techo FT 1128 7701023691758</v>
      </c>
      <c r="C10225" s="380" t="str">
        <f>IFERROR(__xludf.DUMMYFUNCTION("""COMPUTED_VALUE"""),"70005647")</f>
        <v>70005647</v>
      </c>
      <c r="D10225" s="380" t="s">
        <v>767</v>
      </c>
      <c r="E10225" s="380" t="s">
        <v>786</v>
      </c>
      <c r="F10225" s="380" t="s">
        <v>998</v>
      </c>
      <c r="G10225" s="380" t="s">
        <v>1267</v>
      </c>
      <c r="H10225" s="380" t="s">
        <v>771</v>
      </c>
      <c r="I10225" s="380" t="s">
        <v>788</v>
      </c>
      <c r="J10225" s="380" t="s">
        <v>773</v>
      </c>
      <c r="K10225" s="381">
        <v>0.0</v>
      </c>
      <c r="L10225" s="382">
        <v>1.0</v>
      </c>
    </row>
    <row r="10226">
      <c r="A10226" s="380" t="s">
        <v>11100</v>
      </c>
      <c r="B10226" s="380" t="str">
        <f>IFERROR(__xludf.DUMMYFUNCTION("""COMPUTED_VALUE"""),"Base Caja Bateria Kenworth T800 N06-1094")</f>
        <v>Base Caja Bateria Kenworth T800 N06-1094</v>
      </c>
      <c r="C10226" s="380" t="str">
        <f>IFERROR(__xludf.DUMMYFUNCTION("""COMPUTED_VALUE"""),"70005648")</f>
        <v>70005648</v>
      </c>
      <c r="D10226" s="380" t="s">
        <v>767</v>
      </c>
      <c r="E10226" s="380" t="s">
        <v>786</v>
      </c>
      <c r="F10226" s="380" t="s">
        <v>792</v>
      </c>
      <c r="G10226" s="380" t="s">
        <v>1267</v>
      </c>
      <c r="H10226" s="380" t="s">
        <v>771</v>
      </c>
      <c r="I10226" s="380" t="s">
        <v>788</v>
      </c>
      <c r="J10226" s="380" t="s">
        <v>773</v>
      </c>
      <c r="K10226" s="381">
        <v>0.0</v>
      </c>
      <c r="L10226" s="382">
        <v>1.0</v>
      </c>
    </row>
    <row r="10227">
      <c r="A10227" s="380" t="s">
        <v>11101</v>
      </c>
      <c r="B10227" s="380" t="str">
        <f>IFERROR(__xludf.DUMMYFUNCTION("""COMPUTED_VALUE"""),"Pin INTno Persiana KW T800 Hwc03010")</f>
        <v>Pin INTno Persiana KW T800 Hwc03010</v>
      </c>
      <c r="C10227" s="380" t="str">
        <f>IFERROR(__xludf.DUMMYFUNCTION("""COMPUTED_VALUE"""),"70005649")</f>
        <v>70005649</v>
      </c>
      <c r="D10227" s="380" t="s">
        <v>767</v>
      </c>
      <c r="E10227" s="380" t="s">
        <v>786</v>
      </c>
      <c r="F10227" s="380" t="s">
        <v>792</v>
      </c>
      <c r="G10227" s="380" t="s">
        <v>1267</v>
      </c>
      <c r="H10227" s="380" t="s">
        <v>771</v>
      </c>
      <c r="I10227" s="380" t="s">
        <v>788</v>
      </c>
      <c r="J10227" s="380" t="s">
        <v>773</v>
      </c>
      <c r="K10227" s="381">
        <v>0.0</v>
      </c>
      <c r="L10227" s="382">
        <v>1.0</v>
      </c>
    </row>
    <row r="10228">
      <c r="A10228" s="380" t="s">
        <v>11102</v>
      </c>
      <c r="B10228" s="380" t="str">
        <f>IFERROR(__xludf.DUMMYFUNCTION("""COMPUTED_VALUE"""),"Guaya Neutra FT Minitruck 7705946760096")</f>
        <v>Guaya Neutra FT Minitruck 7705946760096</v>
      </c>
      <c r="C10228" s="380" t="str">
        <f>IFERROR(__xludf.DUMMYFUNCTION("""COMPUTED_VALUE"""),"70005650")</f>
        <v>70005650</v>
      </c>
      <c r="D10228" s="380" t="s">
        <v>767</v>
      </c>
      <c r="E10228" s="380" t="s">
        <v>786</v>
      </c>
      <c r="F10228" s="380" t="s">
        <v>928</v>
      </c>
      <c r="G10228" s="380" t="s">
        <v>1267</v>
      </c>
      <c r="H10228" s="380" t="s">
        <v>771</v>
      </c>
      <c r="I10228" s="380" t="s">
        <v>788</v>
      </c>
      <c r="J10228" s="380" t="s">
        <v>773</v>
      </c>
      <c r="K10228" s="381">
        <v>0.0</v>
      </c>
      <c r="L10228" s="382">
        <v>1.0</v>
      </c>
    </row>
    <row r="10229">
      <c r="A10229" s="380" t="s">
        <v>11103</v>
      </c>
      <c r="B10229" s="380" t="str">
        <f>IFERROR(__xludf.DUMMYFUNCTION("""COMPUTED_VALUE"""),"Espaciador Tornillo Multiple Escape MOT")</f>
        <v>Espaciador Tornillo Multiple Escape MOT</v>
      </c>
      <c r="C10229" s="380" t="str">
        <f>IFERROR(__xludf.DUMMYFUNCTION("""COMPUTED_VALUE"""),"70005651")</f>
        <v>70005651</v>
      </c>
      <c r="D10229" s="380" t="s">
        <v>767</v>
      </c>
      <c r="E10229" s="380" t="s">
        <v>786</v>
      </c>
      <c r="F10229" s="380" t="s">
        <v>787</v>
      </c>
      <c r="G10229" s="380" t="s">
        <v>1267</v>
      </c>
      <c r="H10229" s="380" t="s">
        <v>771</v>
      </c>
      <c r="I10229" s="380" t="s">
        <v>788</v>
      </c>
      <c r="J10229" s="380" t="s">
        <v>773</v>
      </c>
      <c r="K10229" s="381">
        <v>0.0</v>
      </c>
      <c r="L10229" s="382">
        <v>1.0</v>
      </c>
    </row>
    <row r="10230">
      <c r="A10230" s="380" t="s">
        <v>11104</v>
      </c>
      <c r="B10230" s="380" t="str">
        <f>IFERROR(__xludf.DUMMYFUNCTION("""COMPUTED_VALUE"""),"Motor Arranque Mack Anthem 22398223")</f>
        <v>Motor Arranque Mack Anthem 22398223</v>
      </c>
      <c r="C10230" s="380" t="str">
        <f>IFERROR(__xludf.DUMMYFUNCTION("""COMPUTED_VALUE"""),"70005652")</f>
        <v>70005652</v>
      </c>
      <c r="D10230" s="380" t="s">
        <v>767</v>
      </c>
      <c r="E10230" s="380" t="s">
        <v>786</v>
      </c>
      <c r="F10230" s="380" t="s">
        <v>998</v>
      </c>
      <c r="G10230" s="380" t="s">
        <v>1267</v>
      </c>
      <c r="H10230" s="380" t="s">
        <v>771</v>
      </c>
      <c r="I10230" s="380" t="s">
        <v>788</v>
      </c>
      <c r="J10230" s="380" t="s">
        <v>773</v>
      </c>
      <c r="K10230" s="381">
        <v>2302174.0</v>
      </c>
      <c r="L10230" s="382">
        <v>1.0</v>
      </c>
    </row>
    <row r="10231">
      <c r="A10231" s="380" t="s">
        <v>11105</v>
      </c>
      <c r="B10231" s="380" t="str">
        <f>IFERROR(__xludf.DUMMYFUNCTION("""COMPUTED_VALUE"""),"MANG INTcooler 3 Anillos 4"" X 8"" Prostar")</f>
        <v>MANG INTcooler 3 Anillos 4" X 8" Prostar</v>
      </c>
      <c r="C10231" s="380" t="str">
        <f>IFERROR(__xludf.DUMMYFUNCTION("""COMPUTED_VALUE"""),"70005653")</f>
        <v>70005653</v>
      </c>
      <c r="D10231" s="380" t="s">
        <v>767</v>
      </c>
      <c r="E10231" s="380" t="s">
        <v>786</v>
      </c>
      <c r="F10231" s="380" t="s">
        <v>787</v>
      </c>
      <c r="G10231" s="380" t="s">
        <v>1267</v>
      </c>
      <c r="H10231" s="380" t="s">
        <v>771</v>
      </c>
      <c r="I10231" s="380" t="s">
        <v>788</v>
      </c>
      <c r="J10231" s="380" t="s">
        <v>773</v>
      </c>
      <c r="K10231" s="381">
        <v>0.0</v>
      </c>
      <c r="L10231" s="382">
        <v>1.0</v>
      </c>
    </row>
    <row r="10232">
      <c r="A10232" s="380" t="s">
        <v>11106</v>
      </c>
      <c r="B10232" s="380" t="str">
        <f>IFERROR(__xludf.DUMMYFUNCTION("""COMPUTED_VALUE"""),"Leva Freno TRAS IZQ Prostar 2210n7632")</f>
        <v>Leva Freno TRAS IZQ Prostar 2210n7632</v>
      </c>
      <c r="C10232" s="380" t="str">
        <f>IFERROR(__xludf.DUMMYFUNCTION("""COMPUTED_VALUE"""),"70005654")</f>
        <v>70005654</v>
      </c>
      <c r="D10232" s="380" t="s">
        <v>767</v>
      </c>
      <c r="E10232" s="380" t="s">
        <v>786</v>
      </c>
      <c r="F10232" s="380" t="s">
        <v>1017</v>
      </c>
      <c r="G10232" s="380" t="s">
        <v>1267</v>
      </c>
      <c r="H10232" s="380" t="s">
        <v>771</v>
      </c>
      <c r="I10232" s="380" t="s">
        <v>788</v>
      </c>
      <c r="J10232" s="380" t="s">
        <v>773</v>
      </c>
      <c r="K10232" s="381">
        <v>0.0</v>
      </c>
      <c r="L10232" s="382">
        <v>1.0</v>
      </c>
    </row>
    <row r="10233">
      <c r="A10233" s="380" t="s">
        <v>11107</v>
      </c>
      <c r="B10233" s="380" t="str">
        <f>IFERROR(__xludf.DUMMYFUNCTION("""COMPUTED_VALUE"""),"RET Eje Propulsor FT 1039 7701023578899")</f>
        <v>RET Eje Propulsor FT 1039 7701023578899</v>
      </c>
      <c r="C10233" s="380" t="str">
        <f>IFERROR(__xludf.DUMMYFUNCTION("""COMPUTED_VALUE"""),"70005655")</f>
        <v>70005655</v>
      </c>
      <c r="D10233" s="380" t="s">
        <v>767</v>
      </c>
      <c r="E10233" s="380" t="s">
        <v>786</v>
      </c>
      <c r="F10233" s="380" t="s">
        <v>928</v>
      </c>
      <c r="G10233" s="380" t="s">
        <v>1267</v>
      </c>
      <c r="H10233" s="380" t="s">
        <v>771</v>
      </c>
      <c r="I10233" s="380" t="s">
        <v>788</v>
      </c>
      <c r="J10233" s="380" t="s">
        <v>773</v>
      </c>
      <c r="K10233" s="381">
        <v>0.0</v>
      </c>
      <c r="L10233" s="382">
        <v>1.0</v>
      </c>
    </row>
    <row r="10234">
      <c r="A10234" s="380" t="s">
        <v>11108</v>
      </c>
      <c r="B10234" s="380" t="str">
        <f>IFERROR(__xludf.DUMMYFUNCTION("""COMPUTED_VALUE"""),"Rodamiento Piñon De 5ta Tren Despl FT 10")</f>
        <v>Rodamiento Piñon De 5ta Tren Despl FT 10</v>
      </c>
      <c r="C10234" s="380" t="str">
        <f>IFERROR(__xludf.DUMMYFUNCTION("""COMPUTED_VALUE"""),"70005656")</f>
        <v>70005656</v>
      </c>
      <c r="D10234" s="380" t="s">
        <v>767</v>
      </c>
      <c r="E10234" s="380" t="s">
        <v>786</v>
      </c>
      <c r="F10234" s="380" t="s">
        <v>928</v>
      </c>
      <c r="G10234" s="380" t="s">
        <v>1267</v>
      </c>
      <c r="H10234" s="380" t="s">
        <v>771</v>
      </c>
      <c r="I10234" s="380" t="s">
        <v>788</v>
      </c>
      <c r="J10234" s="380" t="s">
        <v>773</v>
      </c>
      <c r="K10234" s="381">
        <v>0.0</v>
      </c>
      <c r="L10234" s="382">
        <v>1.0</v>
      </c>
    </row>
    <row r="10235">
      <c r="A10235" s="380" t="s">
        <v>11109</v>
      </c>
      <c r="B10235" s="380" t="str">
        <f>IFERROR(__xludf.DUMMYFUNCTION("""COMPUTED_VALUE"""),"Tuberia De Agua Turbo Chevrolet Frr")</f>
        <v>Tuberia De Agua Turbo Chevrolet Frr</v>
      </c>
      <c r="C10235" s="380" t="str">
        <f>IFERROR(__xludf.DUMMYFUNCTION("""COMPUTED_VALUE"""),"70005658")</f>
        <v>70005658</v>
      </c>
      <c r="D10235" s="380" t="s">
        <v>767</v>
      </c>
      <c r="E10235" s="380" t="s">
        <v>786</v>
      </c>
      <c r="F10235" s="380" t="s">
        <v>787</v>
      </c>
      <c r="G10235" s="380" t="s">
        <v>1267</v>
      </c>
      <c r="H10235" s="380" t="s">
        <v>771</v>
      </c>
      <c r="I10235" s="380" t="s">
        <v>788</v>
      </c>
      <c r="J10235" s="380" t="s">
        <v>773</v>
      </c>
      <c r="K10235" s="381">
        <v>0.0</v>
      </c>
      <c r="L10235" s="382">
        <v>1.0</v>
      </c>
    </row>
    <row r="10236">
      <c r="A10236" s="380" t="s">
        <v>11110</v>
      </c>
      <c r="B10236" s="380" t="str">
        <f>IFERROR(__xludf.DUMMYFUNCTION("""COMPUTED_VALUE"""),"Bujia Motor Renault Duster 7700500155")</f>
        <v>Bujia Motor Renault Duster 7700500155</v>
      </c>
      <c r="C10236" s="380" t="str">
        <f>IFERROR(__xludf.DUMMYFUNCTION("""COMPUTED_VALUE"""),"70005659")</f>
        <v>70005659</v>
      </c>
      <c r="D10236" s="380" t="s">
        <v>767</v>
      </c>
      <c r="E10236" s="380" t="s">
        <v>786</v>
      </c>
      <c r="F10236" s="380" t="s">
        <v>787</v>
      </c>
      <c r="G10236" s="380" t="s">
        <v>1267</v>
      </c>
      <c r="H10236" s="380" t="s">
        <v>771</v>
      </c>
      <c r="I10236" s="380" t="s">
        <v>788</v>
      </c>
      <c r="J10236" s="380" t="s">
        <v>773</v>
      </c>
      <c r="K10236" s="381">
        <v>0.0</v>
      </c>
      <c r="L10236" s="382">
        <v>1.0</v>
      </c>
    </row>
    <row r="10237">
      <c r="A10237" s="380" t="s">
        <v>11111</v>
      </c>
      <c r="B10237" s="380" t="str">
        <f>IFERROR(__xludf.DUMMYFUNCTION("""COMPUTED_VALUE"""),"Arandela De Sincronismo 3ra Y 4ta FT 103")</f>
        <v>Arandela De Sincronismo 3ra Y 4ta FT 103</v>
      </c>
      <c r="C10237" s="380" t="str">
        <f>IFERROR(__xludf.DUMMYFUNCTION("""COMPUTED_VALUE"""),"70005660")</f>
        <v>70005660</v>
      </c>
      <c r="D10237" s="380" t="s">
        <v>767</v>
      </c>
      <c r="E10237" s="380" t="s">
        <v>786</v>
      </c>
      <c r="F10237" s="380" t="s">
        <v>928</v>
      </c>
      <c r="G10237" s="380" t="s">
        <v>1267</v>
      </c>
      <c r="H10237" s="380" t="s">
        <v>771</v>
      </c>
      <c r="I10237" s="380" t="s">
        <v>788</v>
      </c>
      <c r="J10237" s="380" t="s">
        <v>773</v>
      </c>
      <c r="K10237" s="381">
        <v>0.0</v>
      </c>
      <c r="L10237" s="382">
        <v>1.0</v>
      </c>
    </row>
    <row r="10238">
      <c r="A10238" s="380" t="s">
        <v>11112</v>
      </c>
      <c r="B10238" s="380" t="str">
        <f>IFERROR(__xludf.DUMMYFUNCTION("""COMPUTED_VALUE"""),"SOP Paso Lateral Estribo Izq KW T800 N47")</f>
        <v>SOP Paso Lateral Estribo Izq KW T800 N47</v>
      </c>
      <c r="C10238" s="380" t="str">
        <f>IFERROR(__xludf.DUMMYFUNCTION("""COMPUTED_VALUE"""),"70005661")</f>
        <v>70005661</v>
      </c>
      <c r="D10238" s="380" t="s">
        <v>767</v>
      </c>
      <c r="E10238" s="380" t="s">
        <v>786</v>
      </c>
      <c r="F10238" s="380" t="s">
        <v>792</v>
      </c>
      <c r="G10238" s="380" t="s">
        <v>1267</v>
      </c>
      <c r="H10238" s="380" t="s">
        <v>771</v>
      </c>
      <c r="I10238" s="380" t="s">
        <v>788</v>
      </c>
      <c r="J10238" s="380" t="s">
        <v>773</v>
      </c>
      <c r="K10238" s="381">
        <v>0.0</v>
      </c>
      <c r="L10238" s="382">
        <v>1.0</v>
      </c>
    </row>
    <row r="10239">
      <c r="A10239" s="380" t="s">
        <v>11113</v>
      </c>
      <c r="B10239" s="380" t="str">
        <f>IFERROR(__xludf.DUMMYFUNCTION("""COMPUTED_VALUE"""),"SOP Paso Lateral Estribo Der KW T800 N47")</f>
        <v>SOP Paso Lateral Estribo Der KW T800 N47</v>
      </c>
      <c r="C10239" s="380" t="str">
        <f>IFERROR(__xludf.DUMMYFUNCTION("""COMPUTED_VALUE"""),"70005662")</f>
        <v>70005662</v>
      </c>
      <c r="D10239" s="380" t="s">
        <v>767</v>
      </c>
      <c r="E10239" s="380" t="s">
        <v>786</v>
      </c>
      <c r="F10239" s="380" t="s">
        <v>792</v>
      </c>
      <c r="G10239" s="380" t="s">
        <v>1267</v>
      </c>
      <c r="H10239" s="380" t="s">
        <v>771</v>
      </c>
      <c r="I10239" s="380" t="s">
        <v>788</v>
      </c>
      <c r="J10239" s="380" t="s">
        <v>773</v>
      </c>
      <c r="K10239" s="381">
        <v>0.0</v>
      </c>
      <c r="L10239" s="382">
        <v>1.0</v>
      </c>
    </row>
    <row r="10240">
      <c r="A10240" s="380" t="s">
        <v>11114</v>
      </c>
      <c r="B10240" s="380" t="str">
        <f>IFERROR(__xludf.DUMMYFUNCTION("""COMPUTED_VALUE"""),"Estribo Paso Baterias KW T800 N82-1001-1")</f>
        <v>Estribo Paso Baterias KW T800 N82-1001-1</v>
      </c>
      <c r="C10240" s="380" t="str">
        <f>IFERROR(__xludf.DUMMYFUNCTION("""COMPUTED_VALUE"""),"70005663")</f>
        <v>70005663</v>
      </c>
      <c r="D10240" s="380" t="s">
        <v>767</v>
      </c>
      <c r="E10240" s="380" t="s">
        <v>786</v>
      </c>
      <c r="F10240" s="380" t="s">
        <v>792</v>
      </c>
      <c r="G10240" s="380" t="s">
        <v>1267</v>
      </c>
      <c r="H10240" s="380" t="s">
        <v>771</v>
      </c>
      <c r="I10240" s="380" t="s">
        <v>788</v>
      </c>
      <c r="J10240" s="380" t="s">
        <v>773</v>
      </c>
      <c r="K10240" s="381">
        <v>0.0</v>
      </c>
      <c r="L10240" s="382">
        <v>1.0</v>
      </c>
    </row>
    <row r="10241">
      <c r="A10241" s="380" t="s">
        <v>11115</v>
      </c>
      <c r="B10241" s="380" t="str">
        <f>IFERROR(__xludf.DUMMYFUNCTION("""COMPUTED_VALUE"""),"Eje Embrague Kenworth T800 106c617")</f>
        <v>Eje Embrague Kenworth T800 106c617</v>
      </c>
      <c r="C10241" s="380" t="str">
        <f>IFERROR(__xludf.DUMMYFUNCTION("""COMPUTED_VALUE"""),"70005664")</f>
        <v>70005664</v>
      </c>
      <c r="D10241" s="380" t="s">
        <v>767</v>
      </c>
      <c r="E10241" s="380" t="s">
        <v>786</v>
      </c>
      <c r="F10241" s="380" t="s">
        <v>5661</v>
      </c>
      <c r="G10241" s="380" t="s">
        <v>1267</v>
      </c>
      <c r="H10241" s="380" t="s">
        <v>771</v>
      </c>
      <c r="I10241" s="380" t="s">
        <v>788</v>
      </c>
      <c r="J10241" s="380" t="s">
        <v>773</v>
      </c>
      <c r="K10241" s="381">
        <v>0.0</v>
      </c>
      <c r="L10241" s="382">
        <v>1.0</v>
      </c>
    </row>
    <row r="10242">
      <c r="A10242" s="380" t="s">
        <v>11116</v>
      </c>
      <c r="B10242" s="380" t="str">
        <f>IFERROR(__xludf.DUMMYFUNCTION("""COMPUTED_VALUE"""),"Pin Carcasa CJ FT 1129 7705946002783")</f>
        <v>Pin Carcasa CJ FT 1129 7705946002783</v>
      </c>
      <c r="C10242" s="380" t="str">
        <f>IFERROR(__xludf.DUMMYFUNCTION("""COMPUTED_VALUE"""),"70005665")</f>
        <v>70005665</v>
      </c>
      <c r="D10242" s="380" t="s">
        <v>767</v>
      </c>
      <c r="E10242" s="380" t="s">
        <v>786</v>
      </c>
      <c r="F10242" s="380" t="s">
        <v>928</v>
      </c>
      <c r="G10242" s="380" t="s">
        <v>1267</v>
      </c>
      <c r="H10242" s="380" t="s">
        <v>771</v>
      </c>
      <c r="I10242" s="380" t="s">
        <v>788</v>
      </c>
      <c r="J10242" s="380" t="s">
        <v>773</v>
      </c>
      <c r="K10242" s="381">
        <v>30090.0</v>
      </c>
      <c r="L10242" s="382">
        <v>1.0</v>
      </c>
    </row>
    <row r="10243">
      <c r="A10243" s="380" t="s">
        <v>11117</v>
      </c>
      <c r="B10243" s="380" t="str">
        <f>IFERROR(__xludf.DUMMYFUNCTION("""COMPUTED_VALUE"""),"SOP Inf Izq Condensador A/C KW T800 K275")</f>
        <v>SOP Inf Izq Condensador A/C KW T800 K275</v>
      </c>
      <c r="C10243" s="380" t="str">
        <f>IFERROR(__xludf.DUMMYFUNCTION("""COMPUTED_VALUE"""),"70005666")</f>
        <v>70005666</v>
      </c>
      <c r="D10243" s="380" t="s">
        <v>767</v>
      </c>
      <c r="E10243" s="380" t="s">
        <v>786</v>
      </c>
      <c r="F10243" s="380" t="s">
        <v>792</v>
      </c>
      <c r="G10243" s="380" t="s">
        <v>1267</v>
      </c>
      <c r="H10243" s="380" t="s">
        <v>771</v>
      </c>
      <c r="I10243" s="380" t="s">
        <v>788</v>
      </c>
      <c r="J10243" s="380" t="s">
        <v>773</v>
      </c>
      <c r="K10243" s="381">
        <v>0.0</v>
      </c>
      <c r="L10243" s="382">
        <v>1.0</v>
      </c>
    </row>
    <row r="10244">
      <c r="A10244" s="380" t="s">
        <v>11118</v>
      </c>
      <c r="B10244" s="380" t="str">
        <f>IFERROR(__xludf.DUMMYFUNCTION("""COMPUTED_VALUE"""),"Rache Freno TRAS Der FT 1129 77059463283")</f>
        <v>Rache Freno TRAS Der FT 1129 77059463283</v>
      </c>
      <c r="C10244" s="380" t="str">
        <f>IFERROR(__xludf.DUMMYFUNCTION("""COMPUTED_VALUE"""),"70005667")</f>
        <v>70005667</v>
      </c>
      <c r="D10244" s="380" t="s">
        <v>767</v>
      </c>
      <c r="E10244" s="380" t="s">
        <v>786</v>
      </c>
      <c r="F10244" s="380" t="s">
        <v>1017</v>
      </c>
      <c r="G10244" s="380" t="s">
        <v>1267</v>
      </c>
      <c r="H10244" s="380" t="s">
        <v>771</v>
      </c>
      <c r="I10244" s="380" t="s">
        <v>788</v>
      </c>
      <c r="J10244" s="380" t="s">
        <v>773</v>
      </c>
      <c r="K10244" s="381">
        <v>0.0</v>
      </c>
      <c r="L10244" s="382">
        <v>1.0</v>
      </c>
    </row>
    <row r="10245">
      <c r="A10245" s="380" t="s">
        <v>11119</v>
      </c>
      <c r="B10245" s="380" t="str">
        <f>IFERROR(__xludf.DUMMYFUNCTION("""COMPUTED_VALUE"""),"Rache Freno TRAS Izq FT 1129 77059463283")</f>
        <v>Rache Freno TRAS Izq FT 1129 77059463283</v>
      </c>
      <c r="C10245" s="380" t="str">
        <f>IFERROR(__xludf.DUMMYFUNCTION("""COMPUTED_VALUE"""),"70005668")</f>
        <v>70005668</v>
      </c>
      <c r="D10245" s="380" t="s">
        <v>767</v>
      </c>
      <c r="E10245" s="380" t="s">
        <v>786</v>
      </c>
      <c r="F10245" s="380" t="s">
        <v>1017</v>
      </c>
      <c r="G10245" s="380" t="s">
        <v>1267</v>
      </c>
      <c r="H10245" s="380" t="s">
        <v>771</v>
      </c>
      <c r="I10245" s="380" t="s">
        <v>788</v>
      </c>
      <c r="J10245" s="380" t="s">
        <v>773</v>
      </c>
      <c r="K10245" s="381">
        <v>0.0</v>
      </c>
      <c r="L10245" s="382">
        <v>1.0</v>
      </c>
    </row>
    <row r="10246">
      <c r="A10246" s="380" t="s">
        <v>11120</v>
      </c>
      <c r="B10246" s="380" t="str">
        <f>IFERROR(__xludf.DUMMYFUNCTION("""COMPUTED_VALUE"""),"MANG De Alta A/C KW T800 Mod 2010 D9031-")</f>
        <v>MANG De Alta A/C KW T800 Mod 2010 D9031-</v>
      </c>
      <c r="C10246" s="380" t="str">
        <f>IFERROR(__xludf.DUMMYFUNCTION("""COMPUTED_VALUE"""),"70005669")</f>
        <v>70005669</v>
      </c>
      <c r="D10246" s="380" t="s">
        <v>767</v>
      </c>
      <c r="E10246" s="380" t="s">
        <v>786</v>
      </c>
      <c r="F10246" s="380" t="s">
        <v>1031</v>
      </c>
      <c r="G10246" s="380" t="s">
        <v>1267</v>
      </c>
      <c r="H10246" s="380" t="s">
        <v>771</v>
      </c>
      <c r="I10246" s="380" t="s">
        <v>788</v>
      </c>
      <c r="J10246" s="380" t="s">
        <v>773</v>
      </c>
      <c r="K10246" s="381">
        <v>0.0</v>
      </c>
      <c r="L10246" s="382">
        <v>1.0</v>
      </c>
    </row>
    <row r="10247">
      <c r="A10247" s="380" t="s">
        <v>11121</v>
      </c>
      <c r="B10247" s="380" t="str">
        <f>IFERROR(__xludf.DUMMYFUNCTION("""COMPUTED_VALUE"""),"Manija Exterior Puerta Der Kenwort T800")</f>
        <v>Manija Exterior Puerta Der Kenwort T800</v>
      </c>
      <c r="C10247" s="380" t="str">
        <f>IFERROR(__xludf.DUMMYFUNCTION("""COMPUTED_VALUE"""),"70005670")</f>
        <v>70005670</v>
      </c>
      <c r="D10247" s="380" t="s">
        <v>767</v>
      </c>
      <c r="E10247" s="380" t="s">
        <v>786</v>
      </c>
      <c r="F10247" s="380" t="s">
        <v>792</v>
      </c>
      <c r="G10247" s="380" t="s">
        <v>1267</v>
      </c>
      <c r="H10247" s="380" t="s">
        <v>771</v>
      </c>
      <c r="I10247" s="380" t="s">
        <v>788</v>
      </c>
      <c r="J10247" s="380" t="s">
        <v>773</v>
      </c>
      <c r="K10247" s="381">
        <v>0.0</v>
      </c>
      <c r="L10247" s="382">
        <v>1.0</v>
      </c>
    </row>
    <row r="10248">
      <c r="A10248" s="380" t="s">
        <v>11122</v>
      </c>
      <c r="B10248" s="380" t="str">
        <f>IFERROR(__xludf.DUMMYFUNCTION("""COMPUTED_VALUE"""),"Porta Escobillas ARR FT 1039 Ir81051")</f>
        <v>Porta Escobillas ARR FT 1039 Ir81051</v>
      </c>
      <c r="C10248" s="380" t="str">
        <f>IFERROR(__xludf.DUMMYFUNCTION("""COMPUTED_VALUE"""),"70005671")</f>
        <v>70005671</v>
      </c>
      <c r="D10248" s="380" t="s">
        <v>767</v>
      </c>
      <c r="E10248" s="380" t="s">
        <v>786</v>
      </c>
      <c r="F10248" s="380" t="s">
        <v>998</v>
      </c>
      <c r="G10248" s="380" t="s">
        <v>1267</v>
      </c>
      <c r="H10248" s="380" t="s">
        <v>771</v>
      </c>
      <c r="I10248" s="380" t="s">
        <v>788</v>
      </c>
      <c r="J10248" s="380" t="s">
        <v>773</v>
      </c>
      <c r="K10248" s="381">
        <v>0.0</v>
      </c>
      <c r="L10248" s="382">
        <v>1.0</v>
      </c>
    </row>
    <row r="10249">
      <c r="A10249" s="380" t="s">
        <v>11123</v>
      </c>
      <c r="B10249" s="380" t="str">
        <f>IFERROR(__xludf.DUMMYFUNCTION("""COMPUTED_VALUE"""),"Porta Escobillas ARR Nkr Generico 223-63")</f>
        <v>Porta Escobillas ARR Nkr Generico 223-63</v>
      </c>
      <c r="C10249" s="380" t="str">
        <f>IFERROR(__xludf.DUMMYFUNCTION("""COMPUTED_VALUE"""),"70005672")</f>
        <v>70005672</v>
      </c>
      <c r="D10249" s="380" t="s">
        <v>767</v>
      </c>
      <c r="E10249" s="380" t="s">
        <v>786</v>
      </c>
      <c r="F10249" s="380" t="s">
        <v>998</v>
      </c>
      <c r="G10249" s="380" t="s">
        <v>1267</v>
      </c>
      <c r="H10249" s="380" t="s">
        <v>771</v>
      </c>
      <c r="I10249" s="380" t="s">
        <v>788</v>
      </c>
      <c r="J10249" s="380" t="s">
        <v>773</v>
      </c>
      <c r="K10249" s="381">
        <v>0.0</v>
      </c>
      <c r="L10249" s="382">
        <v>1.0</v>
      </c>
    </row>
    <row r="10250">
      <c r="A10250" s="380" t="s">
        <v>11124</v>
      </c>
      <c r="B10250" s="380" t="str">
        <f>IFERROR(__xludf.DUMMYFUNCTION("""COMPUTED_VALUE"""),"Banda Freno Trasero Foton 1065 Remachada")</f>
        <v>Banda Freno Trasero Foton 1065 Remachada</v>
      </c>
      <c r="C10250" s="380" t="str">
        <f>IFERROR(__xludf.DUMMYFUNCTION("""COMPUTED_VALUE"""),"70005673")</f>
        <v>70005673</v>
      </c>
      <c r="D10250" s="380" t="s">
        <v>767</v>
      </c>
      <c r="E10250" s="380" t="s">
        <v>786</v>
      </c>
      <c r="F10250" s="380" t="s">
        <v>1017</v>
      </c>
      <c r="G10250" s="380" t="s">
        <v>1267</v>
      </c>
      <c r="H10250" s="380" t="s">
        <v>771</v>
      </c>
      <c r="I10250" s="380" t="s">
        <v>788</v>
      </c>
      <c r="J10250" s="380" t="s">
        <v>773</v>
      </c>
      <c r="K10250" s="381">
        <v>76160.0</v>
      </c>
      <c r="L10250" s="382">
        <v>1.0</v>
      </c>
    </row>
    <row r="10251">
      <c r="A10251" s="380" t="s">
        <v>11125</v>
      </c>
      <c r="B10251" s="380" t="str">
        <f>IFERROR(__xludf.DUMMYFUNCTION("""COMPUTED_VALUE"""),"Valvula Presion Alivio Isx12/Isx15/Qsx11")</f>
        <v>Valvula Presion Alivio Isx12/Isx15/Qsx11</v>
      </c>
      <c r="C10251" s="380" t="str">
        <f>IFERROR(__xludf.DUMMYFUNCTION("""COMPUTED_VALUE"""),"70005674")</f>
        <v>70005674</v>
      </c>
      <c r="D10251" s="380" t="s">
        <v>767</v>
      </c>
      <c r="E10251" s="380" t="s">
        <v>786</v>
      </c>
      <c r="F10251" s="380" t="s">
        <v>787</v>
      </c>
      <c r="G10251" s="380" t="s">
        <v>1267</v>
      </c>
      <c r="H10251" s="380" t="s">
        <v>771</v>
      </c>
      <c r="I10251" s="380" t="s">
        <v>788</v>
      </c>
      <c r="J10251" s="380" t="s">
        <v>773</v>
      </c>
      <c r="K10251" s="381">
        <v>0.0</v>
      </c>
      <c r="L10251" s="382">
        <v>1.0</v>
      </c>
    </row>
    <row r="10252">
      <c r="A10252" s="380" t="s">
        <v>11126</v>
      </c>
      <c r="B10252" s="380" t="str">
        <f>IFERROR(__xludf.DUMMYFUNCTION("""COMPUTED_VALUE"""),"Resorte Eje Horquilla CJ FT 1129 7701023")</f>
        <v>Resorte Eje Horquilla CJ FT 1129 7701023</v>
      </c>
      <c r="C10252" s="380" t="str">
        <f>IFERROR(__xludf.DUMMYFUNCTION("""COMPUTED_VALUE"""),"70005675")</f>
        <v>70005675</v>
      </c>
      <c r="D10252" s="380" t="s">
        <v>767</v>
      </c>
      <c r="E10252" s="380" t="s">
        <v>786</v>
      </c>
      <c r="F10252" s="380" t="s">
        <v>928</v>
      </c>
      <c r="G10252" s="380" t="s">
        <v>1267</v>
      </c>
      <c r="H10252" s="380" t="s">
        <v>771</v>
      </c>
      <c r="I10252" s="380" t="s">
        <v>788</v>
      </c>
      <c r="J10252" s="380" t="s">
        <v>773</v>
      </c>
      <c r="K10252" s="381">
        <v>0.0</v>
      </c>
      <c r="L10252" s="382">
        <v>1.0</v>
      </c>
    </row>
    <row r="10253">
      <c r="A10253" s="380" t="s">
        <v>11127</v>
      </c>
      <c r="B10253" s="380" t="str">
        <f>IFERROR(__xludf.DUMMYFUNCTION("""COMPUTED_VALUE"""),"Condensador A/C Kenworth Mod 2012 Pa7800")</f>
        <v>Condensador A/C Kenworth Mod 2012 Pa7800</v>
      </c>
      <c r="C10253" s="380" t="str">
        <f>IFERROR(__xludf.DUMMYFUNCTION("""COMPUTED_VALUE"""),"70005676")</f>
        <v>70005676</v>
      </c>
      <c r="D10253" s="380" t="s">
        <v>767</v>
      </c>
      <c r="E10253" s="380" t="s">
        <v>786</v>
      </c>
      <c r="F10253" s="380" t="s">
        <v>1031</v>
      </c>
      <c r="G10253" s="380" t="s">
        <v>1267</v>
      </c>
      <c r="H10253" s="380" t="s">
        <v>771</v>
      </c>
      <c r="I10253" s="380" t="s">
        <v>788</v>
      </c>
      <c r="J10253" s="380" t="s">
        <v>773</v>
      </c>
      <c r="K10253" s="381">
        <v>535500.0</v>
      </c>
      <c r="L10253" s="382">
        <v>1.0</v>
      </c>
    </row>
    <row r="10254">
      <c r="A10254" s="380" t="s">
        <v>11128</v>
      </c>
      <c r="B10254" s="380" t="str">
        <f>IFERROR(__xludf.DUMMYFUNCTION("""COMPUTED_VALUE"""),"Seguro Completo PTA IZQ FT 1030 77059467")</f>
        <v>Seguro Completo PTA IZQ FT 1030 77059467</v>
      </c>
      <c r="C10254" s="380" t="str">
        <f>IFERROR(__xludf.DUMMYFUNCTION("""COMPUTED_VALUE"""),"70005677")</f>
        <v>70005677</v>
      </c>
      <c r="D10254" s="380" t="s">
        <v>767</v>
      </c>
      <c r="E10254" s="380" t="s">
        <v>786</v>
      </c>
      <c r="F10254" s="380" t="s">
        <v>792</v>
      </c>
      <c r="G10254" s="380" t="s">
        <v>1267</v>
      </c>
      <c r="H10254" s="380" t="s">
        <v>771</v>
      </c>
      <c r="I10254" s="380" t="s">
        <v>788</v>
      </c>
      <c r="J10254" s="380" t="s">
        <v>773</v>
      </c>
      <c r="K10254" s="381">
        <v>0.0</v>
      </c>
      <c r="L10254" s="382">
        <v>1.0</v>
      </c>
    </row>
    <row r="10255">
      <c r="A10255" s="380" t="s">
        <v>11129</v>
      </c>
      <c r="B10255" s="380" t="str">
        <f>IFERROR(__xludf.DUMMYFUNCTION("""COMPUTED_VALUE"""),"Automatico AUX ARR 39mt 105m414")</f>
        <v>Automatico AUX ARR 39mt 105m414</v>
      </c>
      <c r="C10255" s="380" t="str">
        <f>IFERROR(__xludf.DUMMYFUNCTION("""COMPUTED_VALUE"""),"70005679")</f>
        <v>70005679</v>
      </c>
      <c r="D10255" s="380" t="s">
        <v>767</v>
      </c>
      <c r="E10255" s="380" t="s">
        <v>786</v>
      </c>
      <c r="F10255" s="380" t="s">
        <v>998</v>
      </c>
      <c r="G10255" s="380" t="s">
        <v>1267</v>
      </c>
      <c r="H10255" s="380" t="s">
        <v>771</v>
      </c>
      <c r="I10255" s="380" t="s">
        <v>788</v>
      </c>
      <c r="J10255" s="380" t="s">
        <v>773</v>
      </c>
      <c r="K10255" s="381">
        <v>0.0</v>
      </c>
      <c r="L10255" s="382">
        <v>1.0</v>
      </c>
    </row>
    <row r="10256">
      <c r="A10256" s="380" t="s">
        <v>11130</v>
      </c>
      <c r="B10256" s="380" t="str">
        <f>IFERROR(__xludf.DUMMYFUNCTION("""COMPUTED_VALUE"""),"CIL AUX Clutch FT 1030 7700149039628")</f>
        <v>CIL AUX Clutch FT 1030 7700149039628</v>
      </c>
      <c r="C10256" s="380" t="str">
        <f>IFERROR(__xludf.DUMMYFUNCTION("""COMPUTED_VALUE"""),"70005680")</f>
        <v>70005680</v>
      </c>
      <c r="D10256" s="380" t="s">
        <v>767</v>
      </c>
      <c r="E10256" s="380" t="s">
        <v>786</v>
      </c>
      <c r="F10256" s="380" t="s">
        <v>5661</v>
      </c>
      <c r="G10256" s="380" t="s">
        <v>1267</v>
      </c>
      <c r="H10256" s="380" t="s">
        <v>771</v>
      </c>
      <c r="I10256" s="380" t="s">
        <v>788</v>
      </c>
      <c r="J10256" s="380" t="s">
        <v>773</v>
      </c>
      <c r="K10256" s="381">
        <v>0.0</v>
      </c>
      <c r="L10256" s="382">
        <v>1.0</v>
      </c>
    </row>
    <row r="10257">
      <c r="A10257" s="380" t="s">
        <v>11131</v>
      </c>
      <c r="B10257" s="380" t="str">
        <f>IFERROR(__xludf.DUMMYFUNCTION("""COMPUTED_VALUE"""),"Exploradora Izq Foton 1128 7705946242585")</f>
        <v>Exploradora Izq Foton 1128 7705946242585</v>
      </c>
      <c r="C10257" s="380" t="str">
        <f>IFERROR(__xludf.DUMMYFUNCTION("""COMPUTED_VALUE"""),"70005681")</f>
        <v>70005681</v>
      </c>
      <c r="D10257" s="380" t="s">
        <v>767</v>
      </c>
      <c r="E10257" s="380" t="s">
        <v>786</v>
      </c>
      <c r="F10257" s="380" t="s">
        <v>998</v>
      </c>
      <c r="G10257" s="380" t="s">
        <v>1267</v>
      </c>
      <c r="H10257" s="380" t="s">
        <v>771</v>
      </c>
      <c r="I10257" s="380" t="s">
        <v>788</v>
      </c>
      <c r="J10257" s="380" t="s">
        <v>773</v>
      </c>
      <c r="K10257" s="381">
        <v>0.0</v>
      </c>
      <c r="L10257" s="382">
        <v>1.0</v>
      </c>
    </row>
    <row r="10258">
      <c r="A10258" s="380" t="s">
        <v>11132</v>
      </c>
      <c r="B10258" s="380" t="str">
        <f>IFERROR(__xludf.DUMMYFUNCTION("""COMPUTED_VALUE"""),"Hoja Resorte TRAS 3ra Nhr Rw 22081/3 220")</f>
        <v>Hoja Resorte TRAS 3ra Nhr Rw 22081/3 220</v>
      </c>
      <c r="C10258" s="380" t="str">
        <f>IFERROR(__xludf.DUMMYFUNCTION("""COMPUTED_VALUE"""),"70005682")</f>
        <v>70005682</v>
      </c>
      <c r="D10258" s="380" t="s">
        <v>767</v>
      </c>
      <c r="E10258" s="380" t="s">
        <v>786</v>
      </c>
      <c r="F10258" s="380" t="s">
        <v>1039</v>
      </c>
      <c r="G10258" s="380" t="s">
        <v>1267</v>
      </c>
      <c r="H10258" s="380" t="s">
        <v>771</v>
      </c>
      <c r="I10258" s="380" t="s">
        <v>788</v>
      </c>
      <c r="J10258" s="380" t="s">
        <v>773</v>
      </c>
      <c r="K10258" s="381">
        <v>0.0</v>
      </c>
      <c r="L10258" s="382">
        <v>1.0</v>
      </c>
    </row>
    <row r="10259">
      <c r="A10259" s="380" t="s">
        <v>11133</v>
      </c>
      <c r="B10259" s="380" t="str">
        <f>IFERROR(__xludf.DUMMYFUNCTION("""COMPUTED_VALUE"""),"Biela Clutch Kenworth T800 K160-2380")</f>
        <v>Biela Clutch Kenworth T800 K160-2380</v>
      </c>
      <c r="C10259" s="380" t="str">
        <f>IFERROR(__xludf.DUMMYFUNCTION("""COMPUTED_VALUE"""),"70005683")</f>
        <v>70005683</v>
      </c>
      <c r="D10259" s="380" t="s">
        <v>767</v>
      </c>
      <c r="E10259" s="380" t="s">
        <v>786</v>
      </c>
      <c r="F10259" s="380" t="s">
        <v>5661</v>
      </c>
      <c r="G10259" s="380" t="s">
        <v>1267</v>
      </c>
      <c r="H10259" s="380" t="s">
        <v>771</v>
      </c>
      <c r="I10259" s="380" t="s">
        <v>788</v>
      </c>
      <c r="J10259" s="380" t="s">
        <v>773</v>
      </c>
      <c r="K10259" s="381">
        <v>0.0</v>
      </c>
      <c r="L10259" s="382">
        <v>1.0</v>
      </c>
    </row>
    <row r="10260">
      <c r="A10260" s="380" t="s">
        <v>11134</v>
      </c>
      <c r="B10260" s="380" t="str">
        <f>IFERROR(__xludf.DUMMYFUNCTION("""COMPUTED_VALUE"""),"Pin Varilla Persiana KW T800 K028-2344")</f>
        <v>Pin Varilla Persiana KW T800 K028-2344</v>
      </c>
      <c r="C10260" s="380" t="str">
        <f>IFERROR(__xludf.DUMMYFUNCTION("""COMPUTED_VALUE"""),"70005684")</f>
        <v>70005684</v>
      </c>
      <c r="D10260" s="380" t="s">
        <v>767</v>
      </c>
      <c r="E10260" s="380" t="s">
        <v>786</v>
      </c>
      <c r="F10260" s="380" t="s">
        <v>792</v>
      </c>
      <c r="G10260" s="380" t="s">
        <v>1267</v>
      </c>
      <c r="H10260" s="380" t="s">
        <v>771</v>
      </c>
      <c r="I10260" s="380" t="s">
        <v>788</v>
      </c>
      <c r="J10260" s="380" t="s">
        <v>773</v>
      </c>
      <c r="K10260" s="381">
        <v>0.0</v>
      </c>
      <c r="L10260" s="382">
        <v>1.0</v>
      </c>
    </row>
    <row r="10261">
      <c r="A10261" s="380" t="s">
        <v>11135</v>
      </c>
      <c r="B10261" s="380" t="str">
        <f>IFERROR(__xludf.DUMMYFUNCTION("""COMPUTED_VALUE"""),"Moldura PTA INTna KW T800 S60-1278-100")</f>
        <v>Moldura PTA INTna KW T800 S60-1278-100</v>
      </c>
      <c r="C10261" s="380" t="str">
        <f>IFERROR(__xludf.DUMMYFUNCTION("""COMPUTED_VALUE"""),"70005685")</f>
        <v>70005685</v>
      </c>
      <c r="D10261" s="380" t="s">
        <v>767</v>
      </c>
      <c r="E10261" s="380" t="s">
        <v>786</v>
      </c>
      <c r="F10261" s="380" t="s">
        <v>792</v>
      </c>
      <c r="G10261" s="380" t="s">
        <v>1267</v>
      </c>
      <c r="H10261" s="380" t="s">
        <v>771</v>
      </c>
      <c r="I10261" s="380" t="s">
        <v>788</v>
      </c>
      <c r="J10261" s="380" t="s">
        <v>773</v>
      </c>
      <c r="K10261" s="381">
        <v>0.0</v>
      </c>
      <c r="L10261" s="382">
        <v>1.0</v>
      </c>
    </row>
    <row r="10262">
      <c r="A10262" s="380" t="s">
        <v>11136</v>
      </c>
      <c r="B10262" s="380" t="str">
        <f>IFERROR(__xludf.DUMMYFUNCTION("""COMPUTED_VALUE"""),"SOP INF Persiana Capot KW T800 K046-1845")</f>
        <v>SOP INF Persiana Capot KW T800 K046-1845</v>
      </c>
      <c r="C10262" s="380" t="str">
        <f>IFERROR(__xludf.DUMMYFUNCTION("""COMPUTED_VALUE"""),"70005686")</f>
        <v>70005686</v>
      </c>
      <c r="D10262" s="380" t="s">
        <v>767</v>
      </c>
      <c r="E10262" s="380" t="s">
        <v>786</v>
      </c>
      <c r="F10262" s="380" t="s">
        <v>792</v>
      </c>
      <c r="G10262" s="380" t="s">
        <v>1267</v>
      </c>
      <c r="H10262" s="380" t="s">
        <v>771</v>
      </c>
      <c r="I10262" s="380" t="s">
        <v>788</v>
      </c>
      <c r="J10262" s="380" t="s">
        <v>773</v>
      </c>
      <c r="K10262" s="381">
        <v>0.0</v>
      </c>
      <c r="L10262" s="382">
        <v>1.0</v>
      </c>
    </row>
    <row r="10263">
      <c r="A10263" s="380" t="s">
        <v>11137</v>
      </c>
      <c r="B10263" s="380" t="str">
        <f>IFERROR(__xludf.DUMMYFUNCTION("""COMPUTED_VALUE"""),"Zapa Tope Muelle Auxiliar Nkr 8972237490")</f>
        <v>Zapa Tope Muelle Auxiliar Nkr 8972237490</v>
      </c>
      <c r="C10263" s="380" t="str">
        <f>IFERROR(__xludf.DUMMYFUNCTION("""COMPUTED_VALUE"""),"70005687")</f>
        <v>70005687</v>
      </c>
      <c r="D10263" s="380" t="s">
        <v>767</v>
      </c>
      <c r="E10263" s="380" t="s">
        <v>786</v>
      </c>
      <c r="F10263" s="380" t="s">
        <v>792</v>
      </c>
      <c r="G10263" s="380" t="s">
        <v>1267</v>
      </c>
      <c r="H10263" s="380" t="s">
        <v>771</v>
      </c>
      <c r="I10263" s="380" t="s">
        <v>788</v>
      </c>
      <c r="J10263" s="380" t="s">
        <v>773</v>
      </c>
      <c r="K10263" s="381">
        <v>0.0</v>
      </c>
      <c r="L10263" s="382">
        <v>1.0</v>
      </c>
    </row>
    <row r="10264">
      <c r="A10264" s="380" t="s">
        <v>11138</v>
      </c>
      <c r="B10264" s="380" t="str">
        <f>IFERROR(__xludf.DUMMYFUNCTION("""COMPUTED_VALUE"""),"Resorte Azul Capot Corto KW T800 K224-86")</f>
        <v>Resorte Azul Capot Corto KW T800 K224-86</v>
      </c>
      <c r="C10264" s="380" t="str">
        <f>IFERROR(__xludf.DUMMYFUNCTION("""COMPUTED_VALUE"""),"70005688")</f>
        <v>70005688</v>
      </c>
      <c r="D10264" s="380" t="s">
        <v>767</v>
      </c>
      <c r="E10264" s="380" t="s">
        <v>786</v>
      </c>
      <c r="F10264" s="380" t="s">
        <v>792</v>
      </c>
      <c r="G10264" s="380" t="s">
        <v>1267</v>
      </c>
      <c r="H10264" s="380" t="s">
        <v>771</v>
      </c>
      <c r="I10264" s="380" t="s">
        <v>788</v>
      </c>
      <c r="J10264" s="380" t="s">
        <v>773</v>
      </c>
      <c r="K10264" s="381">
        <v>0.0</v>
      </c>
      <c r="L10264" s="382">
        <v>1.0</v>
      </c>
    </row>
    <row r="10265">
      <c r="A10265" s="380" t="s">
        <v>11139</v>
      </c>
      <c r="B10265" s="380" t="str">
        <f>IFERROR(__xludf.DUMMYFUNCTION("""COMPUTED_VALUE"""),"SOP DER Condensador A/C KW T800 K275-651")</f>
        <v>SOP DER Condensador A/C KW T800 K275-651</v>
      </c>
      <c r="C10265" s="380" t="str">
        <f>IFERROR(__xludf.DUMMYFUNCTION("""COMPUTED_VALUE"""),"70005689")</f>
        <v>70005689</v>
      </c>
      <c r="D10265" s="380" t="s">
        <v>767</v>
      </c>
      <c r="E10265" s="380" t="s">
        <v>786</v>
      </c>
      <c r="F10265" s="380" t="s">
        <v>792</v>
      </c>
      <c r="G10265" s="380" t="s">
        <v>1267</v>
      </c>
      <c r="H10265" s="380" t="s">
        <v>771</v>
      </c>
      <c r="I10265" s="380" t="s">
        <v>788</v>
      </c>
      <c r="J10265" s="380" t="s">
        <v>773</v>
      </c>
      <c r="K10265" s="381">
        <v>0.0</v>
      </c>
      <c r="L10265" s="382">
        <v>1.0</v>
      </c>
    </row>
    <row r="10266">
      <c r="A10266" s="380" t="s">
        <v>11140</v>
      </c>
      <c r="B10266" s="380" t="str">
        <f>IFERROR(__xludf.DUMMYFUNCTION("""COMPUTED_VALUE"""),"Diferencial Completa Jac Jhr Bb27610080")</f>
        <v>Diferencial Completa Jac Jhr Bb27610080</v>
      </c>
      <c r="C10266" s="380" t="str">
        <f>IFERROR(__xludf.DUMMYFUNCTION("""COMPUTED_VALUE"""),"70005690")</f>
        <v>70005690</v>
      </c>
      <c r="D10266" s="380" t="s">
        <v>767</v>
      </c>
      <c r="E10266" s="380" t="s">
        <v>786</v>
      </c>
      <c r="F10266" s="380" t="s">
        <v>5683</v>
      </c>
      <c r="G10266" s="380" t="s">
        <v>1267</v>
      </c>
      <c r="H10266" s="380" t="s">
        <v>771</v>
      </c>
      <c r="I10266" s="380" t="s">
        <v>788</v>
      </c>
      <c r="J10266" s="380" t="s">
        <v>773</v>
      </c>
      <c r="K10266" s="381">
        <v>0.0</v>
      </c>
      <c r="L10266" s="382">
        <v>1.0</v>
      </c>
    </row>
    <row r="10267">
      <c r="A10267" s="380" t="s">
        <v>11141</v>
      </c>
      <c r="B10267" s="380" t="str">
        <f>IFERROR(__xludf.DUMMYFUNCTION("""COMPUTED_VALUE"""),"Anillo Ajuste RDA DEL Daf Cf 480 Ftt 126")</f>
        <v>Anillo Ajuste RDA DEL Daf Cf 480 Ftt 126</v>
      </c>
      <c r="C10267" s="380" t="str">
        <f>IFERROR(__xludf.DUMMYFUNCTION("""COMPUTED_VALUE"""),"70005691")</f>
        <v>70005691</v>
      </c>
      <c r="D10267" s="380" t="s">
        <v>767</v>
      </c>
      <c r="E10267" s="380" t="s">
        <v>786</v>
      </c>
      <c r="F10267" s="380" t="s">
        <v>792</v>
      </c>
      <c r="G10267" s="380" t="s">
        <v>1267</v>
      </c>
      <c r="H10267" s="380" t="s">
        <v>771</v>
      </c>
      <c r="I10267" s="380" t="s">
        <v>788</v>
      </c>
      <c r="J10267" s="380" t="s">
        <v>773</v>
      </c>
      <c r="K10267" s="381">
        <v>0.0</v>
      </c>
      <c r="L10267" s="382">
        <v>1.0</v>
      </c>
    </row>
    <row r="10268">
      <c r="A10268" s="380" t="s">
        <v>11142</v>
      </c>
      <c r="B10268" s="380" t="str">
        <f>IFERROR(__xludf.DUMMYFUNCTION("""COMPUTED_VALUE"""),"Intermitente De Direccion Rh Daf 1846492")</f>
        <v>Intermitente De Direccion Rh Daf 1846492</v>
      </c>
      <c r="C10268" s="380" t="str">
        <f>IFERROR(__xludf.DUMMYFUNCTION("""COMPUTED_VALUE"""),"70005692")</f>
        <v>70005692</v>
      </c>
      <c r="D10268" s="380" t="s">
        <v>767</v>
      </c>
      <c r="E10268" s="380" t="s">
        <v>786</v>
      </c>
      <c r="F10268" s="380" t="s">
        <v>998</v>
      </c>
      <c r="G10268" s="380" t="s">
        <v>1267</v>
      </c>
      <c r="H10268" s="380" t="s">
        <v>771</v>
      </c>
      <c r="I10268" s="380" t="s">
        <v>788</v>
      </c>
      <c r="J10268" s="380" t="s">
        <v>773</v>
      </c>
      <c r="K10268" s="381">
        <v>0.0</v>
      </c>
      <c r="L10268" s="382">
        <v>1.0</v>
      </c>
    </row>
    <row r="10269">
      <c r="A10269" s="380" t="s">
        <v>11143</v>
      </c>
      <c r="B10269" s="380" t="str">
        <f>IFERROR(__xludf.DUMMYFUNCTION("""COMPUTED_VALUE"""),"Tubo Calefaccion REN Duster 8200134513")</f>
        <v>Tubo Calefaccion REN Duster 8200134513</v>
      </c>
      <c r="C10269" s="380" t="str">
        <f>IFERROR(__xludf.DUMMYFUNCTION("""COMPUTED_VALUE"""),"70005693")</f>
        <v>70005693</v>
      </c>
      <c r="D10269" s="380" t="s">
        <v>767</v>
      </c>
      <c r="E10269" s="380" t="s">
        <v>786</v>
      </c>
      <c r="F10269" s="380" t="s">
        <v>787</v>
      </c>
      <c r="G10269" s="380" t="s">
        <v>1267</v>
      </c>
      <c r="H10269" s="380" t="s">
        <v>771</v>
      </c>
      <c r="I10269" s="380" t="s">
        <v>788</v>
      </c>
      <c r="J10269" s="380" t="s">
        <v>773</v>
      </c>
      <c r="K10269" s="381">
        <v>0.0</v>
      </c>
      <c r="L10269" s="382">
        <v>1.0</v>
      </c>
    </row>
    <row r="10270">
      <c r="A10270" s="380" t="s">
        <v>11144</v>
      </c>
      <c r="B10270" s="380" t="str">
        <f>IFERROR(__xludf.DUMMYFUNCTION("""COMPUTED_VALUE"""),"Termostato MOT REN Duster 8200772985")</f>
        <v>Termostato MOT REN Duster 8200772985</v>
      </c>
      <c r="C10270" s="380" t="str">
        <f>IFERROR(__xludf.DUMMYFUNCTION("""COMPUTED_VALUE"""),"70005694")</f>
        <v>70005694</v>
      </c>
      <c r="D10270" s="380" t="s">
        <v>767</v>
      </c>
      <c r="E10270" s="380" t="s">
        <v>786</v>
      </c>
      <c r="F10270" s="380" t="s">
        <v>787</v>
      </c>
      <c r="G10270" s="380" t="s">
        <v>1267</v>
      </c>
      <c r="H10270" s="380" t="s">
        <v>771</v>
      </c>
      <c r="I10270" s="380" t="s">
        <v>788</v>
      </c>
      <c r="J10270" s="380" t="s">
        <v>773</v>
      </c>
      <c r="K10270" s="381">
        <v>0.0</v>
      </c>
      <c r="L10270" s="382">
        <v>1.0</v>
      </c>
    </row>
    <row r="10271">
      <c r="A10271" s="380" t="s">
        <v>11145</v>
      </c>
      <c r="B10271" s="380" t="str">
        <f>IFERROR(__xludf.DUMMYFUNCTION("""COMPUTED_VALUE"""),"Correa BMB Agua Daf Cf480 8pk L2069mm 20")</f>
        <v>Correa BMB Agua Daf Cf480 8pk L2069mm 20</v>
      </c>
      <c r="C10271" s="380" t="str">
        <f>IFERROR(__xludf.DUMMYFUNCTION("""COMPUTED_VALUE"""),"70005695")</f>
        <v>70005695</v>
      </c>
      <c r="D10271" s="380" t="s">
        <v>767</v>
      </c>
      <c r="E10271" s="380" t="s">
        <v>786</v>
      </c>
      <c r="F10271" s="380" t="s">
        <v>787</v>
      </c>
      <c r="G10271" s="380" t="s">
        <v>1267</v>
      </c>
      <c r="H10271" s="380" t="s">
        <v>771</v>
      </c>
      <c r="I10271" s="380" t="s">
        <v>788</v>
      </c>
      <c r="J10271" s="380" t="s">
        <v>773</v>
      </c>
      <c r="K10271" s="381">
        <v>0.0</v>
      </c>
      <c r="L10271" s="382">
        <v>1.0</v>
      </c>
    </row>
    <row r="10272">
      <c r="A10272" s="380" t="s">
        <v>11146</v>
      </c>
      <c r="B10272" s="380" t="str">
        <f>IFERROR(__xludf.DUMMYFUNCTION("""COMPUTED_VALUE"""),"Set Rodillo Rda Del Int Npr Nk 32210 Set")</f>
        <v>Set Rodillo Rda Del Int Npr Nk 32210 Set</v>
      </c>
      <c r="C10272" s="380" t="str">
        <f>IFERROR(__xludf.DUMMYFUNCTION("""COMPUTED_VALUE"""),"70005696")</f>
        <v>70005696</v>
      </c>
      <c r="D10272" s="380" t="s">
        <v>767</v>
      </c>
      <c r="E10272" s="380" t="s">
        <v>786</v>
      </c>
      <c r="F10272" s="380" t="s">
        <v>1017</v>
      </c>
      <c r="G10272" s="380" t="s">
        <v>1267</v>
      </c>
      <c r="H10272" s="380" t="s">
        <v>771</v>
      </c>
      <c r="I10272" s="380" t="s">
        <v>788</v>
      </c>
      <c r="J10272" s="380" t="s">
        <v>773</v>
      </c>
      <c r="K10272" s="381">
        <v>0.0</v>
      </c>
      <c r="L10272" s="382">
        <v>1.0</v>
      </c>
    </row>
    <row r="10273">
      <c r="A10273" s="380" t="s">
        <v>11147</v>
      </c>
      <c r="B10273" s="380" t="str">
        <f>IFERROR(__xludf.DUMMYFUNCTION("""COMPUTED_VALUE"""),"Carcasa Protectora Espejo DER INT Lt 251")</f>
        <v>Carcasa Protectora Espejo DER INT Lt 251</v>
      </c>
      <c r="C10273" s="380" t="str">
        <f>IFERROR(__xludf.DUMMYFUNCTION("""COMPUTED_VALUE"""),"70005697")</f>
        <v>70005697</v>
      </c>
      <c r="D10273" s="380" t="s">
        <v>767</v>
      </c>
      <c r="E10273" s="380" t="s">
        <v>786</v>
      </c>
      <c r="F10273" s="380" t="s">
        <v>792</v>
      </c>
      <c r="G10273" s="380" t="s">
        <v>1267</v>
      </c>
      <c r="H10273" s="380" t="s">
        <v>771</v>
      </c>
      <c r="I10273" s="380" t="s">
        <v>788</v>
      </c>
      <c r="J10273" s="380" t="s">
        <v>773</v>
      </c>
      <c r="K10273" s="381">
        <v>0.0</v>
      </c>
      <c r="L10273" s="382">
        <v>1.0</v>
      </c>
    </row>
    <row r="10274">
      <c r="A10274" s="380" t="s">
        <v>11148</v>
      </c>
      <c r="B10274" s="380" t="str">
        <f>IFERROR(__xludf.DUMMYFUNCTION("""COMPUTED_VALUE"""),"Banda De Freno DEL MCK Anthem Remachada")</f>
        <v>Banda De Freno DEL MCK Anthem Remachada</v>
      </c>
      <c r="C10274" s="380" t="str">
        <f>IFERROR(__xludf.DUMMYFUNCTION("""COMPUTED_VALUE"""),"70005698")</f>
        <v>70005698</v>
      </c>
      <c r="D10274" s="380" t="s">
        <v>767</v>
      </c>
      <c r="E10274" s="380" t="s">
        <v>786</v>
      </c>
      <c r="F10274" s="380" t="s">
        <v>1017</v>
      </c>
      <c r="G10274" s="380" t="s">
        <v>1267</v>
      </c>
      <c r="H10274" s="380" t="s">
        <v>771</v>
      </c>
      <c r="I10274" s="380" t="s">
        <v>788</v>
      </c>
      <c r="J10274" s="380" t="s">
        <v>773</v>
      </c>
      <c r="K10274" s="381">
        <v>0.0</v>
      </c>
      <c r="L10274" s="382">
        <v>1.0</v>
      </c>
    </row>
    <row r="10275">
      <c r="A10275" s="380" t="s">
        <v>11149</v>
      </c>
      <c r="B10275" s="380" t="str">
        <f>IFERROR(__xludf.DUMMYFUNCTION("""COMPUTED_VALUE"""),"Campana Freno TRAS Jac 1042 2100320230")</f>
        <v>Campana Freno TRAS Jac 1042 2100320230</v>
      </c>
      <c r="C10275" s="380" t="str">
        <f>IFERROR(__xludf.DUMMYFUNCTION("""COMPUTED_VALUE"""),"70005699")</f>
        <v>70005699</v>
      </c>
      <c r="D10275" s="380" t="s">
        <v>767</v>
      </c>
      <c r="E10275" s="380" t="s">
        <v>786</v>
      </c>
      <c r="F10275" s="380" t="s">
        <v>1017</v>
      </c>
      <c r="G10275" s="380" t="s">
        <v>1267</v>
      </c>
      <c r="H10275" s="380" t="s">
        <v>771</v>
      </c>
      <c r="I10275" s="380" t="s">
        <v>788</v>
      </c>
      <c r="J10275" s="380" t="s">
        <v>773</v>
      </c>
      <c r="K10275" s="381">
        <v>0.0</v>
      </c>
      <c r="L10275" s="382">
        <v>1.0</v>
      </c>
    </row>
    <row r="10276">
      <c r="A10276" s="380" t="s">
        <v>11150</v>
      </c>
      <c r="B10276" s="380" t="str">
        <f>IFERROR(__xludf.DUMMYFUNCTION("""COMPUTED_VALUE"""),"Chapa PTA IZQ FRL Cl 120 A18-43367-002")</f>
        <v>Chapa PTA IZQ FRL Cl 120 A18-43367-002</v>
      </c>
      <c r="C10276" s="380" t="str">
        <f>IFERROR(__xludf.DUMMYFUNCTION("""COMPUTED_VALUE"""),"70005700")</f>
        <v>70005700</v>
      </c>
      <c r="D10276" s="380" t="s">
        <v>767</v>
      </c>
      <c r="E10276" s="380" t="s">
        <v>786</v>
      </c>
      <c r="F10276" s="380" t="s">
        <v>792</v>
      </c>
      <c r="G10276" s="380" t="s">
        <v>1267</v>
      </c>
      <c r="H10276" s="380" t="s">
        <v>771</v>
      </c>
      <c r="I10276" s="380" t="s">
        <v>788</v>
      </c>
      <c r="J10276" s="380" t="s">
        <v>773</v>
      </c>
      <c r="K10276" s="381">
        <v>0.0</v>
      </c>
      <c r="L10276" s="382">
        <v>1.0</v>
      </c>
    </row>
    <row r="10277">
      <c r="A10277" s="380" t="s">
        <v>11151</v>
      </c>
      <c r="B10277" s="380" t="str">
        <f>IFERROR(__xludf.DUMMYFUNCTION("""COMPUTED_VALUE"""),"CAM Freno Del Der FT 1129 7701023310451")</f>
        <v>CAM Freno Del Der FT 1129 7701023310451</v>
      </c>
      <c r="C10277" s="380" t="str">
        <f>IFERROR(__xludf.DUMMYFUNCTION("""COMPUTED_VALUE"""),"70005701")</f>
        <v>70005701</v>
      </c>
      <c r="D10277" s="380" t="s">
        <v>767</v>
      </c>
      <c r="E10277" s="380" t="s">
        <v>786</v>
      </c>
      <c r="F10277" s="380" t="s">
        <v>1017</v>
      </c>
      <c r="G10277" s="380" t="s">
        <v>1267</v>
      </c>
      <c r="H10277" s="380" t="s">
        <v>771</v>
      </c>
      <c r="I10277" s="380" t="s">
        <v>788</v>
      </c>
      <c r="J10277" s="380" t="s">
        <v>773</v>
      </c>
      <c r="K10277" s="381">
        <v>0.0</v>
      </c>
      <c r="L10277" s="382">
        <v>1.0</v>
      </c>
    </row>
    <row r="10278">
      <c r="A10278" s="380" t="s">
        <v>11152</v>
      </c>
      <c r="B10278" s="380" t="str">
        <f>IFERROR(__xludf.DUMMYFUNCTION("""COMPUTED_VALUE"""),"Sensor Temperatura Escape Isf 3.8 Foton")</f>
        <v>Sensor Temperatura Escape Isf 3.8 Foton</v>
      </c>
      <c r="C10278" s="380" t="str">
        <f>IFERROR(__xludf.DUMMYFUNCTION("""COMPUTED_VALUE"""),"70005702")</f>
        <v>70005702</v>
      </c>
      <c r="D10278" s="380" t="s">
        <v>767</v>
      </c>
      <c r="E10278" s="380" t="s">
        <v>786</v>
      </c>
      <c r="F10278" s="380" t="s">
        <v>998</v>
      </c>
      <c r="G10278" s="380" t="s">
        <v>1267</v>
      </c>
      <c r="H10278" s="380" t="s">
        <v>771</v>
      </c>
      <c r="I10278" s="380" t="s">
        <v>788</v>
      </c>
      <c r="J10278" s="380" t="s">
        <v>773</v>
      </c>
      <c r="K10278" s="381">
        <v>754880.0</v>
      </c>
      <c r="L10278" s="382">
        <v>1.0</v>
      </c>
    </row>
    <row r="10279">
      <c r="A10279" s="380" t="s">
        <v>11153</v>
      </c>
      <c r="B10279" s="380" t="str">
        <f>IFERROR(__xludf.DUMMYFUNCTION("""COMPUTED_VALUE"""),"Manija INTna PTA Del Izq REN Duster 8267")</f>
        <v>Manija INTna PTA Del Izq REN Duster 8267</v>
      </c>
      <c r="C10279" s="380" t="str">
        <f>IFERROR(__xludf.DUMMYFUNCTION("""COMPUTED_VALUE"""),"70005703")</f>
        <v>70005703</v>
      </c>
      <c r="D10279" s="380" t="s">
        <v>767</v>
      </c>
      <c r="E10279" s="380" t="s">
        <v>786</v>
      </c>
      <c r="F10279" s="380" t="s">
        <v>792</v>
      </c>
      <c r="G10279" s="380" t="s">
        <v>1267</v>
      </c>
      <c r="H10279" s="380" t="s">
        <v>771</v>
      </c>
      <c r="I10279" s="380" t="s">
        <v>788</v>
      </c>
      <c r="J10279" s="380" t="s">
        <v>773</v>
      </c>
      <c r="K10279" s="381">
        <v>0.0</v>
      </c>
      <c r="L10279" s="382">
        <v>1.0</v>
      </c>
    </row>
    <row r="10280">
      <c r="A10280" s="380" t="s">
        <v>11154</v>
      </c>
      <c r="B10280" s="380" t="str">
        <f>IFERROR(__xludf.DUMMYFUNCTION("""COMPUTED_VALUE"""),"Vidrio Puerta Derecha Daf")</f>
        <v>Vidrio Puerta Derecha Daf</v>
      </c>
      <c r="C10280" s="380" t="str">
        <f>IFERROR(__xludf.DUMMYFUNCTION("""COMPUTED_VALUE"""),"70005704")</f>
        <v>70005704</v>
      </c>
      <c r="D10280" s="380" t="s">
        <v>767</v>
      </c>
      <c r="E10280" s="380" t="s">
        <v>786</v>
      </c>
      <c r="F10280" s="380" t="s">
        <v>792</v>
      </c>
      <c r="G10280" s="380" t="s">
        <v>1267</v>
      </c>
      <c r="H10280" s="380" t="s">
        <v>771</v>
      </c>
      <c r="I10280" s="380" t="s">
        <v>788</v>
      </c>
      <c r="J10280" s="380" t="s">
        <v>773</v>
      </c>
      <c r="K10280" s="381">
        <v>0.0</v>
      </c>
      <c r="L10280" s="382">
        <v>1.0</v>
      </c>
    </row>
    <row r="10281">
      <c r="A10281" s="380" t="s">
        <v>11155</v>
      </c>
      <c r="B10281" s="380" t="str">
        <f>IFERROR(__xludf.DUMMYFUNCTION("""COMPUTED_VALUE"""),"Cubierta Parrilla/Peldaño Frontal Daf Cf")</f>
        <v>Cubierta Parrilla/Peldaño Frontal Daf Cf</v>
      </c>
      <c r="C10281" s="380" t="str">
        <f>IFERROR(__xludf.DUMMYFUNCTION("""COMPUTED_VALUE"""),"70005705")</f>
        <v>70005705</v>
      </c>
      <c r="D10281" s="380" t="s">
        <v>767</v>
      </c>
      <c r="E10281" s="380" t="s">
        <v>786</v>
      </c>
      <c r="F10281" s="380" t="s">
        <v>792</v>
      </c>
      <c r="G10281" s="380" t="s">
        <v>1267</v>
      </c>
      <c r="H10281" s="380" t="s">
        <v>771</v>
      </c>
      <c r="I10281" s="380" t="s">
        <v>788</v>
      </c>
      <c r="J10281" s="380" t="s">
        <v>773</v>
      </c>
      <c r="K10281" s="381">
        <v>830620.0</v>
      </c>
      <c r="L10281" s="382">
        <v>1.0</v>
      </c>
    </row>
    <row r="10282">
      <c r="A10282" s="380" t="s">
        <v>11156</v>
      </c>
      <c r="B10282" s="380" t="str">
        <f>IFERROR(__xludf.DUMMYFUNCTION("""COMPUTED_VALUE"""),"Shim Camisa Motor Cummins Isx 5298565")</f>
        <v>Shim Camisa Motor Cummins Isx 5298565</v>
      </c>
      <c r="C10282" s="380" t="str">
        <f>IFERROR(__xludf.DUMMYFUNCTION("""COMPUTED_VALUE"""),"70005706")</f>
        <v>70005706</v>
      </c>
      <c r="D10282" s="380" t="s">
        <v>767</v>
      </c>
      <c r="E10282" s="380" t="s">
        <v>786</v>
      </c>
      <c r="F10282" s="380" t="s">
        <v>787</v>
      </c>
      <c r="G10282" s="380" t="s">
        <v>1267</v>
      </c>
      <c r="H10282" s="380" t="s">
        <v>771</v>
      </c>
      <c r="I10282" s="380" t="s">
        <v>788</v>
      </c>
      <c r="J10282" s="380" t="s">
        <v>773</v>
      </c>
      <c r="K10282" s="381">
        <v>0.0</v>
      </c>
      <c r="L10282" s="382">
        <v>1.0</v>
      </c>
    </row>
    <row r="10283">
      <c r="A10283" s="380" t="s">
        <v>11157</v>
      </c>
      <c r="B10283" s="380" t="str">
        <f>IFERROR(__xludf.DUMMYFUNCTION("""COMPUTED_VALUE"""),"Guaya CTRL Cambio Jac Jkr Mod 2022 17033")</f>
        <v>Guaya CTRL Cambio Jac Jkr Mod 2022 17033</v>
      </c>
      <c r="C10283" s="380" t="str">
        <f>IFERROR(__xludf.DUMMYFUNCTION("""COMPUTED_VALUE"""),"70005707")</f>
        <v>70005707</v>
      </c>
      <c r="D10283" s="380" t="s">
        <v>767</v>
      </c>
      <c r="E10283" s="380" t="s">
        <v>786</v>
      </c>
      <c r="F10283" s="380" t="s">
        <v>792</v>
      </c>
      <c r="G10283" s="380" t="s">
        <v>1267</v>
      </c>
      <c r="H10283" s="380" t="s">
        <v>771</v>
      </c>
      <c r="I10283" s="380" t="s">
        <v>788</v>
      </c>
      <c r="J10283" s="380" t="s">
        <v>773</v>
      </c>
      <c r="K10283" s="381">
        <v>0.0</v>
      </c>
      <c r="L10283" s="382">
        <v>1.0</v>
      </c>
    </row>
    <row r="10284">
      <c r="A10284" s="380" t="s">
        <v>11158</v>
      </c>
      <c r="B10284" s="380" t="str">
        <f>IFERROR(__xludf.DUMMYFUNCTION("""COMPUTED_VALUE"""),"Refrigerante MOT MCK Cxu 9854-Mnf5050jug")</f>
        <v>Refrigerante MOT MCK Cxu 9854-Mnf5050jug</v>
      </c>
      <c r="C10284" s="380" t="str">
        <f>IFERROR(__xludf.DUMMYFUNCTION("""COMPUTED_VALUE"""),"70005708")</f>
        <v>70005708</v>
      </c>
      <c r="D10284" s="380" t="s">
        <v>767</v>
      </c>
      <c r="E10284" s="380" t="s">
        <v>786</v>
      </c>
      <c r="F10284" s="380" t="s">
        <v>787</v>
      </c>
      <c r="G10284" s="380" t="s">
        <v>1267</v>
      </c>
      <c r="H10284" s="380" t="s">
        <v>771</v>
      </c>
      <c r="I10284" s="380" t="s">
        <v>788</v>
      </c>
      <c r="J10284" s="380" t="s">
        <v>773</v>
      </c>
      <c r="K10284" s="381">
        <v>0.0</v>
      </c>
      <c r="L10284" s="382">
        <v>1.0</v>
      </c>
    </row>
    <row r="10285">
      <c r="A10285" s="380" t="s">
        <v>11159</v>
      </c>
      <c r="B10285" s="380" t="str">
        <f>IFERROR(__xludf.DUMMYFUNCTION("""COMPUTED_VALUE"""),"Cable Espiral Toyota Prado")</f>
        <v>Cable Espiral Toyota Prado</v>
      </c>
      <c r="C10285" s="380" t="str">
        <f>IFERROR(__xludf.DUMMYFUNCTION("""COMPUTED_VALUE"""),"70005709")</f>
        <v>70005709</v>
      </c>
      <c r="D10285" s="380" t="s">
        <v>767</v>
      </c>
      <c r="E10285" s="380" t="s">
        <v>786</v>
      </c>
      <c r="F10285" s="380" t="s">
        <v>998</v>
      </c>
      <c r="G10285" s="380" t="s">
        <v>1267</v>
      </c>
      <c r="H10285" s="380" t="s">
        <v>771</v>
      </c>
      <c r="I10285" s="380" t="s">
        <v>788</v>
      </c>
      <c r="J10285" s="380" t="s">
        <v>773</v>
      </c>
      <c r="K10285" s="381">
        <v>0.0</v>
      </c>
      <c r="L10285" s="382">
        <v>1.0</v>
      </c>
    </row>
    <row r="10286">
      <c r="A10286" s="380" t="s">
        <v>11160</v>
      </c>
      <c r="B10286" s="380" t="str">
        <f>IFERROR(__xludf.DUMMYFUNCTION("""COMPUTED_VALUE"""),"Cableado Motor Mack Mp8/Cxu 23334281")</f>
        <v>Cableado Motor Mack Mp8/Cxu 23334281</v>
      </c>
      <c r="C10286" s="380" t="str">
        <f>IFERROR(__xludf.DUMMYFUNCTION("""COMPUTED_VALUE"""),"70005710")</f>
        <v>70005710</v>
      </c>
      <c r="D10286" s="380" t="s">
        <v>767</v>
      </c>
      <c r="E10286" s="380" t="s">
        <v>786</v>
      </c>
      <c r="F10286" s="380" t="s">
        <v>787</v>
      </c>
      <c r="G10286" s="380" t="s">
        <v>1267</v>
      </c>
      <c r="H10286" s="380" t="s">
        <v>771</v>
      </c>
      <c r="I10286" s="380" t="s">
        <v>788</v>
      </c>
      <c r="J10286" s="380" t="s">
        <v>773</v>
      </c>
      <c r="K10286" s="381">
        <v>0.0</v>
      </c>
      <c r="L10286" s="382">
        <v>1.0</v>
      </c>
    </row>
    <row r="10287">
      <c r="A10287" s="380" t="s">
        <v>11161</v>
      </c>
      <c r="B10287" s="380" t="str">
        <f>IFERROR(__xludf.DUMMYFUNCTION("""COMPUTED_VALUE"""),"Sensor Aire Acondicionado Cabina Inter L")</f>
        <v>Sensor Aire Acondicionado Cabina Inter L</v>
      </c>
      <c r="C10287" s="380" t="str">
        <f>IFERROR(__xludf.DUMMYFUNCTION("""COMPUTED_VALUE"""),"70005711")</f>
        <v>70005711</v>
      </c>
      <c r="D10287" s="380" t="s">
        <v>767</v>
      </c>
      <c r="E10287" s="380" t="s">
        <v>786</v>
      </c>
      <c r="F10287" s="380" t="s">
        <v>998</v>
      </c>
      <c r="G10287" s="380" t="s">
        <v>1267</v>
      </c>
      <c r="H10287" s="380" t="s">
        <v>771</v>
      </c>
      <c r="I10287" s="380" t="s">
        <v>788</v>
      </c>
      <c r="J10287" s="380" t="s">
        <v>773</v>
      </c>
      <c r="K10287" s="381">
        <v>0.0</v>
      </c>
      <c r="L10287" s="382">
        <v>1.0</v>
      </c>
    </row>
    <row r="10288">
      <c r="A10288" s="380" t="s">
        <v>11162</v>
      </c>
      <c r="B10288" s="380" t="str">
        <f>IFERROR(__xludf.DUMMYFUNCTION("""COMPUTED_VALUE"""),"Grapa Muelle 1/2x2.1/2x")</f>
        <v>Grapa Muelle 1/2x2.1/2x</v>
      </c>
      <c r="C10288" s="380" t="str">
        <f>IFERROR(__xludf.DUMMYFUNCTION("""COMPUTED_VALUE"""),"70005712")</f>
        <v>70005712</v>
      </c>
      <c r="D10288" s="380" t="s">
        <v>767</v>
      </c>
      <c r="E10288" s="380" t="s">
        <v>786</v>
      </c>
      <c r="F10288" s="380" t="s">
        <v>1039</v>
      </c>
      <c r="G10288" s="380" t="s">
        <v>1267</v>
      </c>
      <c r="H10288" s="380" t="s">
        <v>771</v>
      </c>
      <c r="I10288" s="380" t="s">
        <v>788</v>
      </c>
      <c r="J10288" s="380" t="s">
        <v>773</v>
      </c>
      <c r="K10288" s="381">
        <v>0.0</v>
      </c>
      <c r="L10288" s="382">
        <v>1.0</v>
      </c>
    </row>
    <row r="10289">
      <c r="A10289" s="380" t="s">
        <v>11163</v>
      </c>
      <c r="B10289" s="380" t="str">
        <f>IFERROR(__xludf.DUMMYFUNCTION("""COMPUTED_VALUE"""),"Relé De Monitoreo De Voltaje Monofásico")</f>
        <v>Relé De Monitoreo De Voltaje Monofásico</v>
      </c>
      <c r="C10289" s="380" t="str">
        <f>IFERROR(__xludf.DUMMYFUNCTION("""COMPUTED_VALUE"""),"70005713")</f>
        <v>70005713</v>
      </c>
      <c r="D10289" s="380" t="s">
        <v>767</v>
      </c>
      <c r="E10289" s="380" t="s">
        <v>786</v>
      </c>
      <c r="F10289" s="380" t="s">
        <v>998</v>
      </c>
      <c r="G10289" s="380" t="s">
        <v>1267</v>
      </c>
      <c r="H10289" s="380" t="s">
        <v>771</v>
      </c>
      <c r="I10289" s="380" t="s">
        <v>788</v>
      </c>
      <c r="J10289" s="380" t="s">
        <v>773</v>
      </c>
      <c r="K10289" s="381">
        <v>0.0</v>
      </c>
      <c r="L10289" s="382">
        <v>1.0</v>
      </c>
    </row>
    <row r="10290">
      <c r="A10290" s="380" t="s">
        <v>11164</v>
      </c>
      <c r="B10290" s="380" t="str">
        <f>IFERROR(__xludf.DUMMYFUNCTION("""COMPUTED_VALUE"""),"VALV AIR Freno MOT MCK Anthem 1825876")</f>
        <v>VALV AIR Freno MOT MCK Anthem 1825876</v>
      </c>
      <c r="C10290" s="380" t="str">
        <f>IFERROR(__xludf.DUMMYFUNCTION("""COMPUTED_VALUE"""),"70005714")</f>
        <v>70005714</v>
      </c>
      <c r="D10290" s="380" t="s">
        <v>767</v>
      </c>
      <c r="E10290" s="380" t="s">
        <v>786</v>
      </c>
      <c r="F10290" s="380" t="s">
        <v>792</v>
      </c>
      <c r="G10290" s="380" t="s">
        <v>1267</v>
      </c>
      <c r="H10290" s="380" t="s">
        <v>771</v>
      </c>
      <c r="I10290" s="380" t="s">
        <v>788</v>
      </c>
      <c r="J10290" s="380" t="s">
        <v>773</v>
      </c>
      <c r="K10290" s="381">
        <v>0.0</v>
      </c>
      <c r="L10290" s="382">
        <v>1.0</v>
      </c>
    </row>
    <row r="10291">
      <c r="A10291" s="380" t="s">
        <v>11165</v>
      </c>
      <c r="B10291" s="380" t="str">
        <f>IFERROR(__xludf.DUMMYFUNCTION("""COMPUTED_VALUE"""),"Evaporador A/C Kenworth T800 Sr2000012")</f>
        <v>Evaporador A/C Kenworth T800 Sr2000012</v>
      </c>
      <c r="C10291" s="380" t="str">
        <f>IFERROR(__xludf.DUMMYFUNCTION("""COMPUTED_VALUE"""),"70005715")</f>
        <v>70005715</v>
      </c>
      <c r="D10291" s="380" t="s">
        <v>767</v>
      </c>
      <c r="E10291" s="380" t="s">
        <v>786</v>
      </c>
      <c r="F10291" s="380" t="s">
        <v>1031</v>
      </c>
      <c r="G10291" s="380" t="s">
        <v>1267</v>
      </c>
      <c r="H10291" s="380" t="s">
        <v>771</v>
      </c>
      <c r="I10291" s="380" t="s">
        <v>788</v>
      </c>
      <c r="J10291" s="380" t="s">
        <v>773</v>
      </c>
      <c r="K10291" s="381">
        <v>0.0</v>
      </c>
      <c r="L10291" s="382">
        <v>1.0</v>
      </c>
    </row>
    <row r="10292">
      <c r="A10292" s="380" t="s">
        <v>11166</v>
      </c>
      <c r="B10292" s="380" t="str">
        <f>IFERROR(__xludf.DUMMYFUNCTION("""COMPUTED_VALUE"""),"Esquinero Lateral INF Furgon Logo ""Cp"" P")</f>
        <v>Esquinero Lateral INF Furgon Logo "Cp" P</v>
      </c>
      <c r="C10292" s="380" t="str">
        <f>IFERROR(__xludf.DUMMYFUNCTION("""COMPUTED_VALUE"""),"70005716")</f>
        <v>70005716</v>
      </c>
      <c r="D10292" s="380" t="s">
        <v>767</v>
      </c>
      <c r="E10292" s="380" t="s">
        <v>786</v>
      </c>
      <c r="F10292" s="380" t="s">
        <v>792</v>
      </c>
      <c r="G10292" s="380" t="s">
        <v>1267</v>
      </c>
      <c r="H10292" s="380" t="s">
        <v>771</v>
      </c>
      <c r="I10292" s="380" t="s">
        <v>788</v>
      </c>
      <c r="J10292" s="380" t="s">
        <v>773</v>
      </c>
      <c r="K10292" s="381">
        <v>0.0</v>
      </c>
      <c r="L10292" s="382">
        <v>1.0</v>
      </c>
    </row>
    <row r="10293">
      <c r="A10293" s="380" t="s">
        <v>11167</v>
      </c>
      <c r="B10293" s="380" t="str">
        <f>IFERROR(__xludf.DUMMYFUNCTION("""COMPUTED_VALUE"""),"Panel Inf Cartera PTA DER EGL 3575509c92")</f>
        <v>Panel Inf Cartera PTA DER EGL 3575509c92</v>
      </c>
      <c r="C10293" s="380" t="str">
        <f>IFERROR(__xludf.DUMMYFUNCTION("""COMPUTED_VALUE"""),"70005717")</f>
        <v>70005717</v>
      </c>
      <c r="D10293" s="380" t="s">
        <v>767</v>
      </c>
      <c r="E10293" s="380" t="s">
        <v>786</v>
      </c>
      <c r="F10293" s="380" t="s">
        <v>792</v>
      </c>
      <c r="G10293" s="380" t="s">
        <v>1267</v>
      </c>
      <c r="H10293" s="380" t="s">
        <v>771</v>
      </c>
      <c r="I10293" s="380" t="s">
        <v>788</v>
      </c>
      <c r="J10293" s="380" t="s">
        <v>773</v>
      </c>
      <c r="K10293" s="381">
        <v>0.0</v>
      </c>
      <c r="L10293" s="382">
        <v>1.0</v>
      </c>
    </row>
    <row r="10294">
      <c r="A10294" s="380" t="s">
        <v>11168</v>
      </c>
      <c r="B10294" s="380" t="str">
        <f>IFERROR(__xludf.DUMMYFUNCTION("""COMPUTED_VALUE"""),"Manija INTna PTA Izq FRL Cl 120 A18-6586")</f>
        <v>Manija INTna PTA Izq FRL Cl 120 A18-6586</v>
      </c>
      <c r="C10294" s="380" t="str">
        <f>IFERROR(__xludf.DUMMYFUNCTION("""COMPUTED_VALUE"""),"70005718")</f>
        <v>70005718</v>
      </c>
      <c r="D10294" s="380" t="s">
        <v>767</v>
      </c>
      <c r="E10294" s="380" t="s">
        <v>786</v>
      </c>
      <c r="F10294" s="380" t="s">
        <v>792</v>
      </c>
      <c r="G10294" s="380" t="s">
        <v>1267</v>
      </c>
      <c r="H10294" s="380" t="s">
        <v>771</v>
      </c>
      <c r="I10294" s="380" t="s">
        <v>788</v>
      </c>
      <c r="J10294" s="380" t="s">
        <v>773</v>
      </c>
      <c r="K10294" s="381">
        <v>0.0</v>
      </c>
      <c r="L10294" s="382">
        <v>1.0</v>
      </c>
    </row>
    <row r="10295">
      <c r="A10295" s="380" t="s">
        <v>11169</v>
      </c>
      <c r="B10295" s="380" t="str">
        <f>IFERROR(__xludf.DUMMYFUNCTION("""COMPUTED_VALUE"""),"SENS Presión Diferencial Jac 1042 Euro V")</f>
        <v>SENS Presión Diferencial Jac 1042 Euro V</v>
      </c>
      <c r="C10295" s="380" t="str">
        <f>IFERROR(__xludf.DUMMYFUNCTION("""COMPUTED_VALUE"""),"70005719")</f>
        <v>70005719</v>
      </c>
      <c r="D10295" s="380" t="s">
        <v>767</v>
      </c>
      <c r="E10295" s="380" t="s">
        <v>786</v>
      </c>
      <c r="F10295" s="380" t="s">
        <v>998</v>
      </c>
      <c r="G10295" s="380" t="s">
        <v>1267</v>
      </c>
      <c r="H10295" s="380" t="s">
        <v>771</v>
      </c>
      <c r="I10295" s="380" t="s">
        <v>788</v>
      </c>
      <c r="J10295" s="380" t="s">
        <v>773</v>
      </c>
      <c r="K10295" s="381">
        <v>0.0</v>
      </c>
      <c r="L10295" s="382">
        <v>1.0</v>
      </c>
    </row>
    <row r="10296">
      <c r="A10296" s="380" t="s">
        <v>11170</v>
      </c>
      <c r="B10296" s="380" t="str">
        <f>IFERROR(__xludf.DUMMYFUNCTION("""COMPUTED_VALUE"""),"Portaleva Tras Derecha Eagle 9400 251207")</f>
        <v>Portaleva Tras Derecha Eagle 9400 251207</v>
      </c>
      <c r="C10296" s="380" t="str">
        <f>IFERROR(__xludf.DUMMYFUNCTION("""COMPUTED_VALUE"""),"70005720")</f>
        <v>70005720</v>
      </c>
      <c r="D10296" s="380" t="s">
        <v>767</v>
      </c>
      <c r="E10296" s="380" t="s">
        <v>786</v>
      </c>
      <c r="F10296" s="380" t="s">
        <v>1017</v>
      </c>
      <c r="G10296" s="380" t="s">
        <v>1267</v>
      </c>
      <c r="H10296" s="380" t="s">
        <v>771</v>
      </c>
      <c r="I10296" s="380" t="s">
        <v>788</v>
      </c>
      <c r="J10296" s="380" t="s">
        <v>773</v>
      </c>
      <c r="K10296" s="381">
        <v>0.0</v>
      </c>
      <c r="L10296" s="382">
        <v>1.0</v>
      </c>
    </row>
    <row r="10297">
      <c r="A10297" s="380" t="s">
        <v>11171</v>
      </c>
      <c r="B10297" s="380" t="str">
        <f>IFERROR(__xludf.DUMMYFUNCTION("""COMPUTED_VALUE"""),"Sensor Presion Aceite Daf 2127356")</f>
        <v>Sensor Presion Aceite Daf 2127356</v>
      </c>
      <c r="C10297" s="380" t="str">
        <f>IFERROR(__xludf.DUMMYFUNCTION("""COMPUTED_VALUE"""),"70005721")</f>
        <v>70005721</v>
      </c>
      <c r="D10297" s="380" t="s">
        <v>767</v>
      </c>
      <c r="E10297" s="380" t="s">
        <v>786</v>
      </c>
      <c r="F10297" s="380" t="s">
        <v>998</v>
      </c>
      <c r="G10297" s="380" t="s">
        <v>1267</v>
      </c>
      <c r="H10297" s="380" t="s">
        <v>771</v>
      </c>
      <c r="I10297" s="380" t="s">
        <v>788</v>
      </c>
      <c r="J10297" s="380" t="s">
        <v>773</v>
      </c>
      <c r="K10297" s="381">
        <v>0.0</v>
      </c>
      <c r="L10297" s="382">
        <v>1.0</v>
      </c>
    </row>
    <row r="10298">
      <c r="A10298" s="380" t="s">
        <v>11172</v>
      </c>
      <c r="B10298" s="380" t="str">
        <f>IFERROR(__xludf.DUMMYFUNCTION("""COMPUTED_VALUE"""),"Conector Sensor De Posición Cigueñal Nkr")</f>
        <v>Conector Sensor De Posición Cigueñal Nkr</v>
      </c>
      <c r="C10298" s="380" t="str">
        <f>IFERROR(__xludf.DUMMYFUNCTION("""COMPUTED_VALUE"""),"70005722")</f>
        <v>70005722</v>
      </c>
      <c r="D10298" s="380" t="s">
        <v>767</v>
      </c>
      <c r="E10298" s="380" t="s">
        <v>786</v>
      </c>
      <c r="F10298" s="380" t="s">
        <v>998</v>
      </c>
      <c r="G10298" s="380" t="s">
        <v>1267</v>
      </c>
      <c r="H10298" s="380" t="s">
        <v>771</v>
      </c>
      <c r="I10298" s="380" t="s">
        <v>788</v>
      </c>
      <c r="J10298" s="380" t="s">
        <v>773</v>
      </c>
      <c r="K10298" s="381">
        <v>0.0</v>
      </c>
      <c r="L10298" s="382">
        <v>1.0</v>
      </c>
    </row>
    <row r="10299">
      <c r="A10299" s="380" t="s">
        <v>11173</v>
      </c>
      <c r="B10299" s="380" t="str">
        <f>IFERROR(__xludf.DUMMYFUNCTION("""COMPUTED_VALUE"""),"Sincronizador 4 Y 5 Npr CJ Hierro 897034")</f>
        <v>Sincronizador 4 Y 5 Npr CJ Hierro 897034</v>
      </c>
      <c r="C10299" s="380" t="str">
        <f>IFERROR(__xludf.DUMMYFUNCTION("""COMPUTED_VALUE"""),"70005723")</f>
        <v>70005723</v>
      </c>
      <c r="D10299" s="380" t="s">
        <v>767</v>
      </c>
      <c r="E10299" s="380" t="s">
        <v>786</v>
      </c>
      <c r="F10299" s="380" t="s">
        <v>928</v>
      </c>
      <c r="G10299" s="380" t="s">
        <v>1267</v>
      </c>
      <c r="H10299" s="380" t="s">
        <v>771</v>
      </c>
      <c r="I10299" s="380" t="s">
        <v>788</v>
      </c>
      <c r="J10299" s="380" t="s">
        <v>773</v>
      </c>
      <c r="K10299" s="381">
        <v>0.0</v>
      </c>
      <c r="L10299" s="382">
        <v>1.0</v>
      </c>
    </row>
    <row r="10300">
      <c r="A10300" s="380" t="s">
        <v>11174</v>
      </c>
      <c r="B10300" s="380" t="str">
        <f>IFERROR(__xludf.DUMMYFUNCTION("""COMPUTED_VALUE"""),"Fusible 60 Amperios 8972194070")</f>
        <v>Fusible 60 Amperios 8972194070</v>
      </c>
      <c r="C10300" s="380" t="str">
        <f>IFERROR(__xludf.DUMMYFUNCTION("""COMPUTED_VALUE"""),"70005724")</f>
        <v>70005724</v>
      </c>
      <c r="D10300" s="380" t="s">
        <v>767</v>
      </c>
      <c r="E10300" s="380" t="s">
        <v>786</v>
      </c>
      <c r="F10300" s="380" t="s">
        <v>998</v>
      </c>
      <c r="G10300" s="380" t="s">
        <v>1267</v>
      </c>
      <c r="H10300" s="380" t="s">
        <v>771</v>
      </c>
      <c r="I10300" s="380" t="s">
        <v>788</v>
      </c>
      <c r="J10300" s="380" t="s">
        <v>773</v>
      </c>
      <c r="K10300" s="381">
        <v>0.0</v>
      </c>
      <c r="L10300" s="382">
        <v>1.0</v>
      </c>
    </row>
    <row r="10301">
      <c r="A10301" s="380" t="s">
        <v>11175</v>
      </c>
      <c r="B10301" s="380" t="str">
        <f>IFERROR(__xludf.DUMMYFUNCTION("""COMPUTED_VALUE"""),"Hoja 4ta Muelle Trasero Hino 300 Dutro")</f>
        <v>Hoja 4ta Muelle Trasero Hino 300 Dutro</v>
      </c>
      <c r="C10301" s="380" t="str">
        <f>IFERROR(__xludf.DUMMYFUNCTION("""COMPUTED_VALUE"""),"70005725")</f>
        <v>70005725</v>
      </c>
      <c r="D10301" s="380" t="s">
        <v>767</v>
      </c>
      <c r="E10301" s="380" t="s">
        <v>786</v>
      </c>
      <c r="F10301" s="380" t="s">
        <v>1039</v>
      </c>
      <c r="G10301" s="380" t="s">
        <v>1267</v>
      </c>
      <c r="H10301" s="380" t="s">
        <v>771</v>
      </c>
      <c r="I10301" s="380" t="s">
        <v>788</v>
      </c>
      <c r="J10301" s="380" t="s">
        <v>773</v>
      </c>
      <c r="K10301" s="381">
        <v>0.0</v>
      </c>
      <c r="L10301" s="382">
        <v>1.0</v>
      </c>
    </row>
    <row r="10302">
      <c r="A10302" s="380" t="s">
        <v>11176</v>
      </c>
      <c r="B10302" s="380" t="str">
        <f>IFERROR(__xludf.DUMMYFUNCTION("""COMPUTED_VALUE"""),"Hoja 3ra Muelle Trasero Hino 300 Dutro")</f>
        <v>Hoja 3ra Muelle Trasero Hino 300 Dutro</v>
      </c>
      <c r="C10302" s="380" t="str">
        <f>IFERROR(__xludf.DUMMYFUNCTION("""COMPUTED_VALUE"""),"70005726")</f>
        <v>70005726</v>
      </c>
      <c r="D10302" s="380" t="s">
        <v>767</v>
      </c>
      <c r="E10302" s="380" t="s">
        <v>786</v>
      </c>
      <c r="F10302" s="380" t="s">
        <v>1039</v>
      </c>
      <c r="G10302" s="380" t="s">
        <v>1267</v>
      </c>
      <c r="H10302" s="380" t="s">
        <v>771</v>
      </c>
      <c r="I10302" s="380" t="s">
        <v>788</v>
      </c>
      <c r="J10302" s="380" t="s">
        <v>773</v>
      </c>
      <c r="K10302" s="381">
        <v>0.0</v>
      </c>
      <c r="L10302" s="382">
        <v>1.0</v>
      </c>
    </row>
    <row r="10303">
      <c r="A10303" s="380" t="s">
        <v>11177</v>
      </c>
      <c r="B10303" s="380" t="str">
        <f>IFERROR(__xludf.DUMMYFUNCTION("""COMPUTED_VALUE"""),"FILT Antipolen A/C T Prado A-0535c")</f>
        <v>FILT Antipolen A/C T Prado A-0535c</v>
      </c>
      <c r="C10303" s="380" t="str">
        <f>IFERROR(__xludf.DUMMYFUNCTION("""COMPUTED_VALUE"""),"70005727")</f>
        <v>70005727</v>
      </c>
      <c r="D10303" s="380" t="s">
        <v>767</v>
      </c>
      <c r="E10303" s="380" t="s">
        <v>786</v>
      </c>
      <c r="F10303" s="380" t="s">
        <v>5855</v>
      </c>
      <c r="G10303" s="380" t="s">
        <v>1267</v>
      </c>
      <c r="H10303" s="380" t="s">
        <v>771</v>
      </c>
      <c r="I10303" s="380" t="s">
        <v>788</v>
      </c>
      <c r="J10303" s="380" t="s">
        <v>773</v>
      </c>
      <c r="K10303" s="381">
        <v>0.0</v>
      </c>
      <c r="L10303" s="382">
        <v>1.0</v>
      </c>
    </row>
    <row r="10304">
      <c r="A10304" s="380" t="s">
        <v>11178</v>
      </c>
      <c r="B10304" s="380" t="str">
        <f>IFERROR(__xludf.DUMMYFUNCTION("""COMPUTED_VALUE"""),"SOP Estribo DER Daf Cf 480 Ftt 2035146")</f>
        <v>SOP Estribo DER Daf Cf 480 Ftt 2035146</v>
      </c>
      <c r="C10304" s="380" t="str">
        <f>IFERROR(__xludf.DUMMYFUNCTION("""COMPUTED_VALUE"""),"70005728")</f>
        <v>70005728</v>
      </c>
      <c r="D10304" s="380" t="s">
        <v>767</v>
      </c>
      <c r="E10304" s="380" t="s">
        <v>786</v>
      </c>
      <c r="F10304" s="380" t="s">
        <v>792</v>
      </c>
      <c r="G10304" s="380" t="s">
        <v>1267</v>
      </c>
      <c r="H10304" s="380" t="s">
        <v>771</v>
      </c>
      <c r="I10304" s="380" t="s">
        <v>788</v>
      </c>
      <c r="J10304" s="380" t="s">
        <v>773</v>
      </c>
      <c r="K10304" s="381">
        <v>1113500.0</v>
      </c>
      <c r="L10304" s="382">
        <v>1.0</v>
      </c>
    </row>
    <row r="10305">
      <c r="A10305" s="380" t="s">
        <v>11179</v>
      </c>
      <c r="B10305" s="380" t="str">
        <f>IFERROR(__xludf.DUMMYFUNCTION("""COMPUTED_VALUE"""),"Buje MUE DEL MCK Anthem 20908841")</f>
        <v>Buje MUE DEL MCK Anthem 20908841</v>
      </c>
      <c r="C10305" s="380" t="str">
        <f>IFERROR(__xludf.DUMMYFUNCTION("""COMPUTED_VALUE"""),"70005729")</f>
        <v>70005729</v>
      </c>
      <c r="D10305" s="380" t="s">
        <v>767</v>
      </c>
      <c r="E10305" s="380" t="s">
        <v>786</v>
      </c>
      <c r="F10305" s="380" t="s">
        <v>1039</v>
      </c>
      <c r="G10305" s="380" t="s">
        <v>1267</v>
      </c>
      <c r="H10305" s="380" t="s">
        <v>771</v>
      </c>
      <c r="I10305" s="380" t="s">
        <v>788</v>
      </c>
      <c r="J10305" s="380" t="s">
        <v>773</v>
      </c>
      <c r="K10305" s="381">
        <v>0.0</v>
      </c>
      <c r="L10305" s="382">
        <v>1.0</v>
      </c>
    </row>
    <row r="10306">
      <c r="A10306" s="380" t="s">
        <v>11180</v>
      </c>
      <c r="B10306" s="380" t="str">
        <f>IFERROR(__xludf.DUMMYFUNCTION("""COMPUTED_VALUE"""),"CTRL Comando Luces Hin 500 84112-Ev030")</f>
        <v>CTRL Comando Luces Hin 500 84112-Ev030</v>
      </c>
      <c r="C10306" s="380" t="str">
        <f>IFERROR(__xludf.DUMMYFUNCTION("""COMPUTED_VALUE"""),"70005730")</f>
        <v>70005730</v>
      </c>
      <c r="D10306" s="380" t="s">
        <v>767</v>
      </c>
      <c r="E10306" s="380" t="s">
        <v>786</v>
      </c>
      <c r="F10306" s="380" t="s">
        <v>998</v>
      </c>
      <c r="G10306" s="380" t="s">
        <v>1267</v>
      </c>
      <c r="H10306" s="380" t="s">
        <v>771</v>
      </c>
      <c r="I10306" s="380" t="s">
        <v>788</v>
      </c>
      <c r="J10306" s="380" t="s">
        <v>773</v>
      </c>
      <c r="K10306" s="381">
        <v>0.0</v>
      </c>
      <c r="L10306" s="382">
        <v>1.0</v>
      </c>
    </row>
    <row r="10307">
      <c r="A10307" s="380" t="s">
        <v>11181</v>
      </c>
      <c r="B10307" s="380" t="str">
        <f>IFERROR(__xludf.DUMMYFUNCTION("""COMPUTED_VALUE"""),"Cremallera Elevavidrio Izq Jac 1120 6104")</f>
        <v>Cremallera Elevavidrio Izq Jac 1120 6104</v>
      </c>
      <c r="C10307" s="380" t="str">
        <f>IFERROR(__xludf.DUMMYFUNCTION("""COMPUTED_VALUE"""),"70005731")</f>
        <v>70005731</v>
      </c>
      <c r="D10307" s="380" t="s">
        <v>767</v>
      </c>
      <c r="E10307" s="380" t="s">
        <v>786</v>
      </c>
      <c r="F10307" s="380" t="s">
        <v>792</v>
      </c>
      <c r="G10307" s="380" t="s">
        <v>1267</v>
      </c>
      <c r="H10307" s="380" t="s">
        <v>771</v>
      </c>
      <c r="I10307" s="380" t="s">
        <v>788</v>
      </c>
      <c r="J10307" s="380" t="s">
        <v>773</v>
      </c>
      <c r="K10307" s="381">
        <v>0.0</v>
      </c>
      <c r="L10307" s="382">
        <v>1.0</v>
      </c>
    </row>
    <row r="10308">
      <c r="A10308" s="380" t="s">
        <v>11182</v>
      </c>
      <c r="B10308" s="380" t="str">
        <f>IFERROR(__xludf.DUMMYFUNCTION("""COMPUTED_VALUE"""),"Ki Kit Calefacción Eagle 9400 4140513c91")</f>
        <v>Ki Kit Calefacción Eagle 9400 4140513c91</v>
      </c>
      <c r="C10308" s="380" t="str">
        <f>IFERROR(__xludf.DUMMYFUNCTION("""COMPUTED_VALUE"""),"70005732")</f>
        <v>70005732</v>
      </c>
      <c r="D10308" s="380" t="s">
        <v>767</v>
      </c>
      <c r="E10308" s="380" t="s">
        <v>786</v>
      </c>
      <c r="F10308" s="380" t="s">
        <v>1031</v>
      </c>
      <c r="G10308" s="380" t="s">
        <v>1267</v>
      </c>
      <c r="H10308" s="380" t="s">
        <v>771</v>
      </c>
      <c r="I10308" s="380" t="s">
        <v>788</v>
      </c>
      <c r="J10308" s="380" t="s">
        <v>773</v>
      </c>
      <c r="K10308" s="381">
        <v>0.0</v>
      </c>
      <c r="L10308" s="382">
        <v>1.0</v>
      </c>
    </row>
    <row r="10309">
      <c r="A10309" s="380" t="s">
        <v>11183</v>
      </c>
      <c r="B10309" s="380" t="str">
        <f>IFERROR(__xludf.DUMMYFUNCTION("""COMPUTED_VALUE"""),"Pedal De Freno Con Base Eagle 9400 20050")</f>
        <v>Pedal De Freno Con Base Eagle 9400 20050</v>
      </c>
      <c r="C10309" s="380" t="str">
        <f>IFERROR(__xludf.DUMMYFUNCTION("""COMPUTED_VALUE"""),"70005733")</f>
        <v>70005733</v>
      </c>
      <c r="D10309" s="380" t="s">
        <v>767</v>
      </c>
      <c r="E10309" s="380" t="s">
        <v>786</v>
      </c>
      <c r="F10309" s="380" t="s">
        <v>1017</v>
      </c>
      <c r="G10309" s="380" t="s">
        <v>1267</v>
      </c>
      <c r="H10309" s="380" t="s">
        <v>771</v>
      </c>
      <c r="I10309" s="380" t="s">
        <v>788</v>
      </c>
      <c r="J10309" s="380" t="s">
        <v>773</v>
      </c>
      <c r="K10309" s="381">
        <v>1783691.0</v>
      </c>
      <c r="L10309" s="382">
        <v>1.0</v>
      </c>
    </row>
    <row r="10310">
      <c r="A10310" s="380" t="s">
        <v>11184</v>
      </c>
      <c r="B10310" s="380" t="str">
        <f>IFERROR(__xludf.DUMMYFUNCTION("""COMPUTED_VALUE"""),"carcasa Inf Retovisor Daf Cf480 Ftt 1644")</f>
        <v>carcasa Inf Retovisor Daf Cf480 Ftt 1644</v>
      </c>
      <c r="C10310" s="380" t="str">
        <f>IFERROR(__xludf.DUMMYFUNCTION("""COMPUTED_VALUE"""),"70005734")</f>
        <v>70005734</v>
      </c>
      <c r="D10310" s="380" t="s">
        <v>767</v>
      </c>
      <c r="E10310" s="380" t="s">
        <v>786</v>
      </c>
      <c r="F10310" s="380" t="s">
        <v>792</v>
      </c>
      <c r="G10310" s="380" t="s">
        <v>1267</v>
      </c>
      <c r="H10310" s="380" t="s">
        <v>771</v>
      </c>
      <c r="I10310" s="380" t="s">
        <v>788</v>
      </c>
      <c r="J10310" s="380" t="s">
        <v>773</v>
      </c>
      <c r="K10310" s="381">
        <v>0.0</v>
      </c>
      <c r="L10310" s="382">
        <v>1.0</v>
      </c>
    </row>
    <row r="10311">
      <c r="A10311" s="380" t="s">
        <v>11185</v>
      </c>
      <c r="B10311" s="380" t="str">
        <f>IFERROR(__xludf.DUMMYFUNCTION("""COMPUTED_VALUE"""),"Bocel Exploradora DER Daf Cf 480 Ftt 184")</f>
        <v>Bocel Exploradora DER Daf Cf 480 Ftt 184</v>
      </c>
      <c r="C10311" s="380" t="str">
        <f>IFERROR(__xludf.DUMMYFUNCTION("""COMPUTED_VALUE"""),"70005735")</f>
        <v>70005735</v>
      </c>
      <c r="D10311" s="380" t="s">
        <v>767</v>
      </c>
      <c r="E10311" s="380" t="s">
        <v>786</v>
      </c>
      <c r="F10311" s="380" t="s">
        <v>792</v>
      </c>
      <c r="G10311" s="380" t="s">
        <v>1267</v>
      </c>
      <c r="H10311" s="380" t="s">
        <v>771</v>
      </c>
      <c r="I10311" s="380" t="s">
        <v>788</v>
      </c>
      <c r="J10311" s="380" t="s">
        <v>773</v>
      </c>
      <c r="K10311" s="381">
        <v>0.0</v>
      </c>
      <c r="L10311" s="382">
        <v>1.0</v>
      </c>
    </row>
    <row r="10312">
      <c r="A10312" s="380" t="s">
        <v>11186</v>
      </c>
      <c r="B10312" s="380" t="str">
        <f>IFERROR(__xludf.DUMMYFUNCTION("""COMPUTED_VALUE"""),"Tapa DEP Expansion Jac 1120 1304010d8bd0")</f>
        <v>Tapa DEP Expansion Jac 1120 1304010d8bd0</v>
      </c>
      <c r="C10312" s="380" t="str">
        <f>IFERROR(__xludf.DUMMYFUNCTION("""COMPUTED_VALUE"""),"70005736")</f>
        <v>70005736</v>
      </c>
      <c r="D10312" s="380" t="s">
        <v>767</v>
      </c>
      <c r="E10312" s="380" t="s">
        <v>786</v>
      </c>
      <c r="F10312" s="380" t="s">
        <v>787</v>
      </c>
      <c r="G10312" s="380" t="s">
        <v>1267</v>
      </c>
      <c r="H10312" s="380" t="s">
        <v>771</v>
      </c>
      <c r="I10312" s="380" t="s">
        <v>788</v>
      </c>
      <c r="J10312" s="380" t="s">
        <v>773</v>
      </c>
      <c r="K10312" s="381">
        <v>0.0</v>
      </c>
      <c r="L10312" s="382">
        <v>1.0</v>
      </c>
    </row>
    <row r="10313">
      <c r="A10313" s="380" t="s">
        <v>11187</v>
      </c>
      <c r="B10313" s="380" t="str">
        <f>IFERROR(__xludf.DUMMYFUNCTION("""COMPUTED_VALUE"""),"Tapa Inf FILT COMB Jac Jkr Euro V 110515")</f>
        <v>Tapa Inf FILT COMB Jac Jkr Euro V 110515</v>
      </c>
      <c r="C10313" s="380" t="str">
        <f>IFERROR(__xludf.DUMMYFUNCTION("""COMPUTED_VALUE"""),"70005737")</f>
        <v>70005737</v>
      </c>
      <c r="D10313" s="380" t="s">
        <v>767</v>
      </c>
      <c r="E10313" s="380" t="s">
        <v>786</v>
      </c>
      <c r="F10313" s="380" t="s">
        <v>792</v>
      </c>
      <c r="G10313" s="380" t="s">
        <v>1267</v>
      </c>
      <c r="H10313" s="380" t="s">
        <v>771</v>
      </c>
      <c r="I10313" s="380" t="s">
        <v>788</v>
      </c>
      <c r="J10313" s="380" t="s">
        <v>773</v>
      </c>
      <c r="K10313" s="381">
        <v>0.0</v>
      </c>
      <c r="L10313" s="382">
        <v>1.0</v>
      </c>
    </row>
    <row r="10314">
      <c r="A10314" s="380" t="s">
        <v>11188</v>
      </c>
      <c r="B10314" s="380" t="str">
        <f>IFERROR(__xludf.DUMMYFUNCTION("""COMPUTED_VALUE"""),"Termostato A/C Universal 12v Generico 1-")</f>
        <v>Termostato A/C Universal 12v Generico 1-</v>
      </c>
      <c r="C10314" s="380" t="str">
        <f>IFERROR(__xludf.DUMMYFUNCTION("""COMPUTED_VALUE"""),"70005738")</f>
        <v>70005738</v>
      </c>
      <c r="D10314" s="380" t="s">
        <v>767</v>
      </c>
      <c r="E10314" s="380" t="s">
        <v>786</v>
      </c>
      <c r="F10314" s="380" t="s">
        <v>998</v>
      </c>
      <c r="G10314" s="380" t="s">
        <v>1267</v>
      </c>
      <c r="H10314" s="380" t="s">
        <v>771</v>
      </c>
      <c r="I10314" s="380" t="s">
        <v>788</v>
      </c>
      <c r="J10314" s="380" t="s">
        <v>773</v>
      </c>
      <c r="K10314" s="381">
        <v>57000.0</v>
      </c>
      <c r="L10314" s="382">
        <v>1.0</v>
      </c>
    </row>
    <row r="10315">
      <c r="A10315" s="380" t="s">
        <v>11189</v>
      </c>
      <c r="B10315" s="380" t="str">
        <f>IFERROR(__xludf.DUMMYFUNCTION("""COMPUTED_VALUE"""),"Tubo De Aceite Sec2 Tensor Nkr Reward 89")</f>
        <v>Tubo De Aceite Sec2 Tensor Nkr Reward 89</v>
      </c>
      <c r="C10315" s="380" t="str">
        <f>IFERROR(__xludf.DUMMYFUNCTION("""COMPUTED_VALUE"""),"70005739")</f>
        <v>70005739</v>
      </c>
      <c r="D10315" s="380" t="s">
        <v>767</v>
      </c>
      <c r="E10315" s="380" t="s">
        <v>786</v>
      </c>
      <c r="F10315" s="380" t="s">
        <v>787</v>
      </c>
      <c r="G10315" s="380" t="s">
        <v>1267</v>
      </c>
      <c r="H10315" s="380" t="s">
        <v>771</v>
      </c>
      <c r="I10315" s="380" t="s">
        <v>788</v>
      </c>
      <c r="J10315" s="380" t="s">
        <v>773</v>
      </c>
      <c r="K10315" s="381">
        <v>0.0</v>
      </c>
      <c r="L10315" s="382">
        <v>1.0</v>
      </c>
    </row>
    <row r="10316">
      <c r="A10316" s="380" t="s">
        <v>11190</v>
      </c>
      <c r="B10316" s="380" t="str">
        <f>IFERROR(__xludf.DUMMYFUNCTION("""COMPUTED_VALUE"""),"Arandela Pasador Splinder 131633057")</f>
        <v>Arandela Pasador Splinder 131633057</v>
      </c>
      <c r="C10316" s="380" t="str">
        <f>IFERROR(__xludf.DUMMYFUNCTION("""COMPUTED_VALUE"""),"70005740")</f>
        <v>70005740</v>
      </c>
      <c r="D10316" s="380" t="s">
        <v>767</v>
      </c>
      <c r="E10316" s="380" t="s">
        <v>786</v>
      </c>
      <c r="F10316" s="380" t="s">
        <v>1039</v>
      </c>
      <c r="G10316" s="380" t="s">
        <v>1267</v>
      </c>
      <c r="H10316" s="380" t="s">
        <v>771</v>
      </c>
      <c r="I10316" s="380" t="s">
        <v>788</v>
      </c>
      <c r="J10316" s="380" t="s">
        <v>773</v>
      </c>
      <c r="K10316" s="381">
        <v>0.0</v>
      </c>
      <c r="L10316" s="382">
        <v>1.0</v>
      </c>
    </row>
    <row r="10317">
      <c r="A10317" s="380" t="s">
        <v>11191</v>
      </c>
      <c r="B10317" s="380" t="str">
        <f>IFERROR(__xludf.DUMMYFUNCTION("""COMPUTED_VALUE"""),"Rejilla Aluminio Estribo Inf Der Daf Cf4")</f>
        <v>Rejilla Aluminio Estribo Inf Der Daf Cf4</v>
      </c>
      <c r="C10317" s="380" t="str">
        <f>IFERROR(__xludf.DUMMYFUNCTION("""COMPUTED_VALUE"""),"70005741")</f>
        <v>70005741</v>
      </c>
      <c r="D10317" s="380" t="s">
        <v>767</v>
      </c>
      <c r="E10317" s="380" t="s">
        <v>786</v>
      </c>
      <c r="F10317" s="380" t="s">
        <v>792</v>
      </c>
      <c r="G10317" s="380" t="s">
        <v>1267</v>
      </c>
      <c r="H10317" s="380" t="s">
        <v>771</v>
      </c>
      <c r="I10317" s="380" t="s">
        <v>788</v>
      </c>
      <c r="J10317" s="380" t="s">
        <v>773</v>
      </c>
      <c r="K10317" s="381">
        <v>0.0</v>
      </c>
      <c r="L10317" s="382">
        <v>1.0</v>
      </c>
    </row>
    <row r="10318">
      <c r="A10318" s="380" t="s">
        <v>11192</v>
      </c>
      <c r="B10318" s="380" t="str">
        <f>IFERROR(__xludf.DUMMYFUNCTION("""COMPUTED_VALUE"""),"Tapa Lateral Estribo Inf DER Daf Cf480 1")</f>
        <v>Tapa Lateral Estribo Inf DER Daf Cf480 1</v>
      </c>
      <c r="C10318" s="380" t="str">
        <f>IFERROR(__xludf.DUMMYFUNCTION("""COMPUTED_VALUE"""),"70005742")</f>
        <v>70005742</v>
      </c>
      <c r="D10318" s="380" t="s">
        <v>767</v>
      </c>
      <c r="E10318" s="380" t="s">
        <v>786</v>
      </c>
      <c r="F10318" s="380" t="s">
        <v>792</v>
      </c>
      <c r="G10318" s="380" t="s">
        <v>1267</v>
      </c>
      <c r="H10318" s="380" t="s">
        <v>771</v>
      </c>
      <c r="I10318" s="380" t="s">
        <v>788</v>
      </c>
      <c r="J10318" s="380" t="s">
        <v>773</v>
      </c>
      <c r="K10318" s="381">
        <v>0.0</v>
      </c>
      <c r="L10318" s="382">
        <v>1.0</v>
      </c>
    </row>
    <row r="10319">
      <c r="A10319" s="380" t="s">
        <v>11193</v>
      </c>
      <c r="B10319" s="380" t="str">
        <f>IFERROR(__xludf.DUMMYFUNCTION("""COMPUTED_VALUE"""),"Kit Camisilla Cxu + Anillo Mack 85116162")</f>
        <v>Kit Camisilla Cxu + Anillo Mack 85116162</v>
      </c>
      <c r="C10319" s="380" t="str">
        <f>IFERROR(__xludf.DUMMYFUNCTION("""COMPUTED_VALUE"""),"70005743")</f>
        <v>70005743</v>
      </c>
      <c r="D10319" s="380" t="s">
        <v>767</v>
      </c>
      <c r="E10319" s="380" t="s">
        <v>786</v>
      </c>
      <c r="F10319" s="380" t="s">
        <v>787</v>
      </c>
      <c r="G10319" s="380" t="s">
        <v>1267</v>
      </c>
      <c r="H10319" s="380" t="s">
        <v>771</v>
      </c>
      <c r="I10319" s="380" t="s">
        <v>788</v>
      </c>
      <c r="J10319" s="380" t="s">
        <v>773</v>
      </c>
      <c r="K10319" s="381">
        <v>0.0</v>
      </c>
      <c r="L10319" s="382">
        <v>1.0</v>
      </c>
    </row>
    <row r="10320">
      <c r="A10320" s="380" t="s">
        <v>11194</v>
      </c>
      <c r="B10320" s="380" t="str">
        <f>IFERROR(__xludf.DUMMYFUNCTION("""COMPUTED_VALUE"""),"carcasa Bomba Agua Mack Cxu 22195464")</f>
        <v>carcasa Bomba Agua Mack Cxu 22195464</v>
      </c>
      <c r="C10320" s="380" t="str">
        <f>IFERROR(__xludf.DUMMYFUNCTION("""COMPUTED_VALUE"""),"70005744")</f>
        <v>70005744</v>
      </c>
      <c r="D10320" s="380" t="s">
        <v>767</v>
      </c>
      <c r="E10320" s="380" t="s">
        <v>786</v>
      </c>
      <c r="F10320" s="380" t="s">
        <v>787</v>
      </c>
      <c r="G10320" s="380" t="s">
        <v>1267</v>
      </c>
      <c r="H10320" s="380" t="s">
        <v>771</v>
      </c>
      <c r="I10320" s="380" t="s">
        <v>788</v>
      </c>
      <c r="J10320" s="380" t="s">
        <v>773</v>
      </c>
      <c r="K10320" s="381">
        <v>0.0</v>
      </c>
      <c r="L10320" s="382">
        <v>1.0</v>
      </c>
    </row>
    <row r="10321">
      <c r="A10321" s="380" t="s">
        <v>11195</v>
      </c>
      <c r="B10321" s="380" t="str">
        <f>IFERROR(__xludf.DUMMYFUNCTION("""COMPUTED_VALUE"""),"Disco Embrague Chevrolet Ftr 1876101190")</f>
        <v>Disco Embrague Chevrolet Ftr 1876101190</v>
      </c>
      <c r="C10321" s="380" t="str">
        <f>IFERROR(__xludf.DUMMYFUNCTION("""COMPUTED_VALUE"""),"70005745")</f>
        <v>70005745</v>
      </c>
      <c r="D10321" s="380" t="s">
        <v>767</v>
      </c>
      <c r="E10321" s="380" t="s">
        <v>786</v>
      </c>
      <c r="F10321" s="380" t="s">
        <v>5661</v>
      </c>
      <c r="G10321" s="380" t="s">
        <v>1267</v>
      </c>
      <c r="H10321" s="380" t="s">
        <v>771</v>
      </c>
      <c r="I10321" s="380" t="s">
        <v>788</v>
      </c>
      <c r="J10321" s="380" t="s">
        <v>773</v>
      </c>
      <c r="K10321" s="381">
        <v>0.0</v>
      </c>
      <c r="L10321" s="382">
        <v>1.0</v>
      </c>
    </row>
    <row r="10322">
      <c r="A10322" s="380" t="s">
        <v>11196</v>
      </c>
      <c r="B10322" s="380" t="str">
        <f>IFERROR(__xludf.DUMMYFUNCTION("""COMPUTED_VALUE"""),"BMB Hidraulico DIR HN 500 44310-E0125")</f>
        <v>BMB Hidraulico DIR HN 500 44310-E0125</v>
      </c>
      <c r="C10322" s="380" t="str">
        <f>IFERROR(__xludf.DUMMYFUNCTION("""COMPUTED_VALUE"""),"70005746")</f>
        <v>70005746</v>
      </c>
      <c r="D10322" s="380" t="s">
        <v>767</v>
      </c>
      <c r="E10322" s="380" t="s">
        <v>786</v>
      </c>
      <c r="F10322" s="380" t="s">
        <v>1020</v>
      </c>
      <c r="G10322" s="380" t="s">
        <v>1267</v>
      </c>
      <c r="H10322" s="380" t="s">
        <v>771</v>
      </c>
      <c r="I10322" s="380" t="s">
        <v>788</v>
      </c>
      <c r="J10322" s="380" t="s">
        <v>773</v>
      </c>
      <c r="K10322" s="381">
        <v>0.0</v>
      </c>
      <c r="L10322" s="382">
        <v>1.0</v>
      </c>
    </row>
    <row r="10323">
      <c r="A10323" s="380" t="s">
        <v>11197</v>
      </c>
      <c r="B10323" s="380" t="str">
        <f>IFERROR(__xludf.DUMMYFUNCTION("""COMPUTED_VALUE"""),"Empaque Inyector Mack Cxu 276948")</f>
        <v>Empaque Inyector Mack Cxu 276948</v>
      </c>
      <c r="C10323" s="380" t="str">
        <f>IFERROR(__xludf.DUMMYFUNCTION("""COMPUTED_VALUE"""),"70005747")</f>
        <v>70005747</v>
      </c>
      <c r="D10323" s="380" t="s">
        <v>767</v>
      </c>
      <c r="E10323" s="380" t="s">
        <v>786</v>
      </c>
      <c r="F10323" s="380" t="s">
        <v>787</v>
      </c>
      <c r="G10323" s="380" t="s">
        <v>1267</v>
      </c>
      <c r="H10323" s="380" t="s">
        <v>771</v>
      </c>
      <c r="I10323" s="380" t="s">
        <v>788</v>
      </c>
      <c r="J10323" s="380" t="s">
        <v>773</v>
      </c>
      <c r="K10323" s="381">
        <v>0.0</v>
      </c>
      <c r="L10323" s="382">
        <v>1.0</v>
      </c>
    </row>
    <row r="10324">
      <c r="A10324" s="380" t="s">
        <v>11198</v>
      </c>
      <c r="B10324" s="380" t="str">
        <f>IFERROR(__xludf.DUMMYFUNCTION("""COMPUTED_VALUE"""),"Kit Completo FILT Urea Daf Cf 480 Ftt 21")</f>
        <v>Kit Completo FILT Urea Daf Cf 480 Ftt 21</v>
      </c>
      <c r="C10324" s="380" t="str">
        <f>IFERROR(__xludf.DUMMYFUNCTION("""COMPUTED_VALUE"""),"70005748")</f>
        <v>70005748</v>
      </c>
      <c r="D10324" s="380" t="s">
        <v>767</v>
      </c>
      <c r="E10324" s="380" t="s">
        <v>786</v>
      </c>
      <c r="F10324" s="380" t="s">
        <v>5855</v>
      </c>
      <c r="G10324" s="380" t="s">
        <v>1267</v>
      </c>
      <c r="H10324" s="380" t="s">
        <v>771</v>
      </c>
      <c r="I10324" s="380" t="s">
        <v>788</v>
      </c>
      <c r="J10324" s="380" t="s">
        <v>773</v>
      </c>
      <c r="K10324" s="381">
        <v>0.0</v>
      </c>
      <c r="L10324" s="382">
        <v>1.0</v>
      </c>
    </row>
    <row r="10325">
      <c r="A10325" s="380" t="s">
        <v>11199</v>
      </c>
      <c r="B10325" s="380" t="str">
        <f>IFERROR(__xludf.DUMMYFUNCTION("""COMPUTED_VALUE"""),"Empaque Tapa Valvulas Mack Cxu 20538793")</f>
        <v>Empaque Tapa Valvulas Mack Cxu 20538793</v>
      </c>
      <c r="C10325" s="380" t="str">
        <f>IFERROR(__xludf.DUMMYFUNCTION("""COMPUTED_VALUE"""),"70005749")</f>
        <v>70005749</v>
      </c>
      <c r="D10325" s="380" t="s">
        <v>767</v>
      </c>
      <c r="E10325" s="380" t="s">
        <v>786</v>
      </c>
      <c r="F10325" s="380" t="s">
        <v>787</v>
      </c>
      <c r="G10325" s="380" t="s">
        <v>1267</v>
      </c>
      <c r="H10325" s="380" t="s">
        <v>771</v>
      </c>
      <c r="I10325" s="380" t="s">
        <v>788</v>
      </c>
      <c r="J10325" s="380" t="s">
        <v>773</v>
      </c>
      <c r="K10325" s="381">
        <v>0.0</v>
      </c>
      <c r="L10325" s="382">
        <v>1.0</v>
      </c>
    </row>
    <row r="10326">
      <c r="A10326" s="380" t="s">
        <v>11200</v>
      </c>
      <c r="B10326" s="380" t="str">
        <f>IFERROR(__xludf.DUMMYFUNCTION("""COMPUTED_VALUE"""),"Pedal Acelerador Hino 300 78010-37040")</f>
        <v>Pedal Acelerador Hino 300 78010-37040</v>
      </c>
      <c r="C10326" s="380" t="str">
        <f>IFERROR(__xludf.DUMMYFUNCTION("""COMPUTED_VALUE"""),"70005750")</f>
        <v>70005750</v>
      </c>
      <c r="D10326" s="380" t="s">
        <v>767</v>
      </c>
      <c r="E10326" s="380" t="s">
        <v>786</v>
      </c>
      <c r="F10326" s="380" t="s">
        <v>998</v>
      </c>
      <c r="G10326" s="380" t="s">
        <v>1267</v>
      </c>
      <c r="H10326" s="380" t="s">
        <v>771</v>
      </c>
      <c r="I10326" s="380" t="s">
        <v>788</v>
      </c>
      <c r="J10326" s="380" t="s">
        <v>773</v>
      </c>
      <c r="K10326" s="381">
        <v>0.0</v>
      </c>
      <c r="L10326" s="382">
        <v>1.0</v>
      </c>
    </row>
    <row r="10327">
      <c r="A10327" s="380" t="s">
        <v>11201</v>
      </c>
      <c r="B10327" s="380" t="str">
        <f>IFERROR(__xludf.DUMMYFUNCTION("""COMPUTED_VALUE"""),"Bomper Izquierdo Mack Anthem 23356090")</f>
        <v>Bomper Izquierdo Mack Anthem 23356090</v>
      </c>
      <c r="C10327" s="380" t="str">
        <f>IFERROR(__xludf.DUMMYFUNCTION("""COMPUTED_VALUE"""),"70005751")</f>
        <v>70005751</v>
      </c>
      <c r="D10327" s="380" t="s">
        <v>767</v>
      </c>
      <c r="E10327" s="380" t="s">
        <v>786</v>
      </c>
      <c r="F10327" s="380" t="s">
        <v>792</v>
      </c>
      <c r="G10327" s="380" t="s">
        <v>1267</v>
      </c>
      <c r="H10327" s="380" t="s">
        <v>771</v>
      </c>
      <c r="I10327" s="380" t="s">
        <v>788</v>
      </c>
      <c r="J10327" s="380" t="s">
        <v>773</v>
      </c>
      <c r="K10327" s="381">
        <v>0.0</v>
      </c>
      <c r="L10327" s="382">
        <v>1.0</v>
      </c>
    </row>
    <row r="10328">
      <c r="A10328" s="380" t="s">
        <v>11202</v>
      </c>
      <c r="B10328" s="380" t="str">
        <f>IFERROR(__xludf.DUMMYFUNCTION("""COMPUTED_VALUE"""),"TANQ AUX RAD Con Tapa FT 1129 7701023294")</f>
        <v>TANQ AUX RAD Con Tapa FT 1129 7701023294</v>
      </c>
      <c r="C10328" s="380" t="str">
        <f>IFERROR(__xludf.DUMMYFUNCTION("""COMPUTED_VALUE"""),"70005752")</f>
        <v>70005752</v>
      </c>
      <c r="D10328" s="380" t="s">
        <v>767</v>
      </c>
      <c r="E10328" s="380" t="s">
        <v>786</v>
      </c>
      <c r="F10328" s="380" t="s">
        <v>787</v>
      </c>
      <c r="G10328" s="380" t="s">
        <v>1267</v>
      </c>
      <c r="H10328" s="380" t="s">
        <v>771</v>
      </c>
      <c r="I10328" s="380" t="s">
        <v>788</v>
      </c>
      <c r="J10328" s="380" t="s">
        <v>773</v>
      </c>
      <c r="K10328" s="381">
        <v>0.0</v>
      </c>
      <c r="L10328" s="382">
        <v>1.0</v>
      </c>
    </row>
    <row r="10329">
      <c r="A10329" s="380" t="s">
        <v>11203</v>
      </c>
      <c r="B10329" s="380" t="str">
        <f>IFERROR(__xludf.DUMMYFUNCTION("""COMPUTED_VALUE"""),"Amortiguador TRAS FT 1128 7705946766722")</f>
        <v>Amortiguador TRAS FT 1128 7705946766722</v>
      </c>
      <c r="C10329" s="380" t="str">
        <f>IFERROR(__xludf.DUMMYFUNCTION("""COMPUTED_VALUE"""),"70005753")</f>
        <v>70005753</v>
      </c>
      <c r="D10329" s="380" t="s">
        <v>767</v>
      </c>
      <c r="E10329" s="380" t="s">
        <v>786</v>
      </c>
      <c r="F10329" s="380" t="s">
        <v>1039</v>
      </c>
      <c r="G10329" s="380" t="s">
        <v>1267</v>
      </c>
      <c r="H10329" s="380" t="s">
        <v>771</v>
      </c>
      <c r="I10329" s="380" t="s">
        <v>788</v>
      </c>
      <c r="J10329" s="380" t="s">
        <v>773</v>
      </c>
      <c r="K10329" s="381">
        <v>0.0</v>
      </c>
      <c r="L10329" s="382">
        <v>1.0</v>
      </c>
    </row>
    <row r="10330">
      <c r="A10330" s="380" t="s">
        <v>11204</v>
      </c>
      <c r="B10330" s="380" t="str">
        <f>IFERROR(__xludf.DUMMYFUNCTION("""COMPUTED_VALUE"""),"Embellecedor Plastico Negro F 5392837011")</f>
        <v>Embellecedor Plastico Negro F 5392837011</v>
      </c>
      <c r="C10330" s="380" t="str">
        <f>IFERROR(__xludf.DUMMYFUNCTION("""COMPUTED_VALUE"""),"70005754")</f>
        <v>70005754</v>
      </c>
      <c r="D10330" s="380" t="s">
        <v>767</v>
      </c>
      <c r="E10330" s="380" t="s">
        <v>786</v>
      </c>
      <c r="F10330" s="380" t="s">
        <v>792</v>
      </c>
      <c r="G10330" s="380" t="s">
        <v>1267</v>
      </c>
      <c r="H10330" s="380" t="s">
        <v>771</v>
      </c>
      <c r="I10330" s="380" t="s">
        <v>788</v>
      </c>
      <c r="J10330" s="380" t="s">
        <v>773</v>
      </c>
      <c r="K10330" s="381">
        <v>0.0</v>
      </c>
      <c r="L10330" s="382">
        <v>1.0</v>
      </c>
    </row>
    <row r="10331">
      <c r="A10331" s="380" t="s">
        <v>11205</v>
      </c>
      <c r="B10331" s="380" t="str">
        <f>IFERROR(__xludf.DUMMYFUNCTION("""COMPUTED_VALUE"""),"Panel Esquinero IZQ HN 300 Dutro 53802-3")</f>
        <v>Panel Esquinero IZQ HN 300 Dutro 53802-3</v>
      </c>
      <c r="C10331" s="380" t="str">
        <f>IFERROR(__xludf.DUMMYFUNCTION("""COMPUTED_VALUE"""),"70005755")</f>
        <v>70005755</v>
      </c>
      <c r="D10331" s="380" t="s">
        <v>767</v>
      </c>
      <c r="E10331" s="380" t="s">
        <v>786</v>
      </c>
      <c r="F10331" s="380" t="s">
        <v>792</v>
      </c>
      <c r="G10331" s="380" t="s">
        <v>1267</v>
      </c>
      <c r="H10331" s="380" t="s">
        <v>771</v>
      </c>
      <c r="I10331" s="380" t="s">
        <v>788</v>
      </c>
      <c r="J10331" s="380" t="s">
        <v>773</v>
      </c>
      <c r="K10331" s="381">
        <v>0.0</v>
      </c>
      <c r="L10331" s="382">
        <v>1.0</v>
      </c>
    </row>
    <row r="10332">
      <c r="A10332" s="380" t="s">
        <v>11206</v>
      </c>
      <c r="B10332" s="380" t="str">
        <f>IFERROR(__xludf.DUMMYFUNCTION("""COMPUTED_VALUE"""),"Panel Frontal Superior Hino 300 Dutro 55")</f>
        <v>Panel Frontal Superior Hino 300 Dutro 55</v>
      </c>
      <c r="C10332" s="380" t="str">
        <f>IFERROR(__xludf.DUMMYFUNCTION("""COMPUTED_VALUE"""),"70005756")</f>
        <v>70005756</v>
      </c>
      <c r="D10332" s="380" t="s">
        <v>767</v>
      </c>
      <c r="E10332" s="380" t="s">
        <v>786</v>
      </c>
      <c r="F10332" s="380" t="s">
        <v>792</v>
      </c>
      <c r="G10332" s="380" t="s">
        <v>1267</v>
      </c>
      <c r="H10332" s="380" t="s">
        <v>771</v>
      </c>
      <c r="I10332" s="380" t="s">
        <v>788</v>
      </c>
      <c r="J10332" s="380" t="s">
        <v>773</v>
      </c>
      <c r="K10332" s="381">
        <v>0.0</v>
      </c>
      <c r="L10332" s="382">
        <v>1.0</v>
      </c>
    </row>
    <row r="10333">
      <c r="A10333" s="380" t="s">
        <v>11207</v>
      </c>
      <c r="B10333" s="380" t="str">
        <f>IFERROR(__xludf.DUMMYFUNCTION("""COMPUTED_VALUE"""),"Amortiguador Del FT 1128 7705946767996")</f>
        <v>Amortiguador Del FT 1128 7705946767996</v>
      </c>
      <c r="C10333" s="380" t="str">
        <f>IFERROR(__xludf.DUMMYFUNCTION("""COMPUTED_VALUE"""),"70005757")</f>
        <v>70005757</v>
      </c>
      <c r="D10333" s="380" t="s">
        <v>767</v>
      </c>
      <c r="E10333" s="380" t="s">
        <v>786</v>
      </c>
      <c r="F10333" s="380" t="s">
        <v>1039</v>
      </c>
      <c r="G10333" s="380" t="s">
        <v>1267</v>
      </c>
      <c r="H10333" s="380" t="s">
        <v>771</v>
      </c>
      <c r="I10333" s="380" t="s">
        <v>788</v>
      </c>
      <c r="J10333" s="380" t="s">
        <v>773</v>
      </c>
      <c r="K10333" s="381">
        <v>0.0</v>
      </c>
      <c r="L10333" s="382">
        <v>1.0</v>
      </c>
    </row>
    <row r="10334">
      <c r="A10334" s="380" t="s">
        <v>11208</v>
      </c>
      <c r="B10334" s="380" t="str">
        <f>IFERROR(__xludf.DUMMYFUNCTION("""COMPUTED_VALUE"""),"VALV Moduladora Abs Del Der FT 1128 7705")</f>
        <v>VALV Moduladora Abs Del Der FT 1128 7705</v>
      </c>
      <c r="C10334" s="380" t="str">
        <f>IFERROR(__xludf.DUMMYFUNCTION("""COMPUTED_VALUE"""),"70005759")</f>
        <v>70005759</v>
      </c>
      <c r="D10334" s="380" t="s">
        <v>767</v>
      </c>
      <c r="E10334" s="380" t="s">
        <v>786</v>
      </c>
      <c r="F10334" s="380" t="s">
        <v>1017</v>
      </c>
      <c r="G10334" s="380" t="s">
        <v>1267</v>
      </c>
      <c r="H10334" s="380" t="s">
        <v>771</v>
      </c>
      <c r="I10334" s="380" t="s">
        <v>788</v>
      </c>
      <c r="J10334" s="380" t="s">
        <v>773</v>
      </c>
      <c r="K10334" s="381">
        <v>0.0</v>
      </c>
      <c r="L10334" s="382">
        <v>1.0</v>
      </c>
    </row>
    <row r="10335">
      <c r="A10335" s="380" t="s">
        <v>11209</v>
      </c>
      <c r="B10335" s="380" t="str">
        <f>IFERROR(__xludf.DUMMYFUNCTION("""COMPUTED_VALUE"""),"Aro Pin Sincronismo 5ta Y Rev Nkr 898189")</f>
        <v>Aro Pin Sincronismo 5ta Y Rev Nkr 898189</v>
      </c>
      <c r="C10335" s="380" t="str">
        <f>IFERROR(__xludf.DUMMYFUNCTION("""COMPUTED_VALUE"""),"70005760")</f>
        <v>70005760</v>
      </c>
      <c r="D10335" s="380" t="s">
        <v>767</v>
      </c>
      <c r="E10335" s="380" t="s">
        <v>786</v>
      </c>
      <c r="F10335" s="380" t="s">
        <v>928</v>
      </c>
      <c r="G10335" s="380" t="s">
        <v>1267</v>
      </c>
      <c r="H10335" s="380" t="s">
        <v>771</v>
      </c>
      <c r="I10335" s="380" t="s">
        <v>788</v>
      </c>
      <c r="J10335" s="380" t="s">
        <v>773</v>
      </c>
      <c r="K10335" s="381">
        <v>0.0</v>
      </c>
      <c r="L10335" s="382">
        <v>1.0</v>
      </c>
    </row>
    <row r="10336">
      <c r="A10336" s="380" t="s">
        <v>11210</v>
      </c>
      <c r="B10336" s="380" t="str">
        <f>IFERROR(__xludf.DUMMYFUNCTION("""COMPUTED_VALUE"""),"INTruptor Elevavidrio PTA Der Jac 1042 3")</f>
        <v>INTruptor Elevavidrio PTA Der Jac 1042 3</v>
      </c>
      <c r="C10336" s="380" t="str">
        <f>IFERROR(__xludf.DUMMYFUNCTION("""COMPUTED_VALUE"""),"70005761")</f>
        <v>70005761</v>
      </c>
      <c r="D10336" s="380" t="s">
        <v>767</v>
      </c>
      <c r="E10336" s="380" t="s">
        <v>786</v>
      </c>
      <c r="F10336" s="380" t="s">
        <v>998</v>
      </c>
      <c r="G10336" s="380" t="s">
        <v>1267</v>
      </c>
      <c r="H10336" s="380" t="s">
        <v>771</v>
      </c>
      <c r="I10336" s="380" t="s">
        <v>788</v>
      </c>
      <c r="J10336" s="380" t="s">
        <v>773</v>
      </c>
      <c r="K10336" s="381">
        <v>0.0</v>
      </c>
      <c r="L10336" s="382">
        <v>1.0</v>
      </c>
    </row>
    <row r="10337">
      <c r="A10337" s="380" t="s">
        <v>11211</v>
      </c>
      <c r="B10337" s="380" t="str">
        <f>IFERROR(__xludf.DUMMYFUNCTION("""COMPUTED_VALUE"""),"Cuña De Sincronismo 5ta Y Rev Nkr 898190")</f>
        <v>Cuña De Sincronismo 5ta Y Rev Nkr 898190</v>
      </c>
      <c r="C10337" s="380" t="str">
        <f>IFERROR(__xludf.DUMMYFUNCTION("""COMPUTED_VALUE"""),"70005762")</f>
        <v>70005762</v>
      </c>
      <c r="D10337" s="380" t="s">
        <v>767</v>
      </c>
      <c r="E10337" s="380" t="s">
        <v>786</v>
      </c>
      <c r="F10337" s="380" t="s">
        <v>928</v>
      </c>
      <c r="G10337" s="380" t="s">
        <v>1267</v>
      </c>
      <c r="H10337" s="380" t="s">
        <v>771</v>
      </c>
      <c r="I10337" s="380" t="s">
        <v>788</v>
      </c>
      <c r="J10337" s="380" t="s">
        <v>773</v>
      </c>
      <c r="K10337" s="381">
        <v>0.0</v>
      </c>
      <c r="L10337" s="382">
        <v>1.0</v>
      </c>
    </row>
    <row r="10338">
      <c r="A10338" s="380" t="s">
        <v>11212</v>
      </c>
      <c r="B10338" s="380" t="str">
        <f>IFERROR(__xludf.DUMMYFUNCTION("""COMPUTED_VALUE"""),"Piñon Lo Gran Primera Caja 16918 4303409")</f>
        <v>Piñon Lo Gran Primera Caja 16918 4303409</v>
      </c>
      <c r="C10338" s="380" t="str">
        <f>IFERROR(__xludf.DUMMYFUNCTION("""COMPUTED_VALUE"""),"70005763")</f>
        <v>70005763</v>
      </c>
      <c r="D10338" s="380" t="s">
        <v>767</v>
      </c>
      <c r="E10338" s="380" t="s">
        <v>786</v>
      </c>
      <c r="F10338" s="380" t="s">
        <v>928</v>
      </c>
      <c r="G10338" s="380" t="s">
        <v>1267</v>
      </c>
      <c r="H10338" s="380" t="s">
        <v>771</v>
      </c>
      <c r="I10338" s="380" t="s">
        <v>788</v>
      </c>
      <c r="J10338" s="380" t="s">
        <v>773</v>
      </c>
      <c r="K10338" s="381">
        <v>0.0</v>
      </c>
      <c r="L10338" s="382">
        <v>1.0</v>
      </c>
    </row>
    <row r="10339">
      <c r="A10339" s="380" t="s">
        <v>11213</v>
      </c>
      <c r="B10339" s="380" t="str">
        <f>IFERROR(__xludf.DUMMYFUNCTION("""COMPUTED_VALUE"""),"Manzana De Sincronismo 5ta Y Rev Nkr 897")</f>
        <v>Manzana De Sincronismo 5ta Y Rev Nkr 897</v>
      </c>
      <c r="C10339" s="380" t="str">
        <f>IFERROR(__xludf.DUMMYFUNCTION("""COMPUTED_VALUE"""),"70005764")</f>
        <v>70005764</v>
      </c>
      <c r="D10339" s="380" t="s">
        <v>767</v>
      </c>
      <c r="E10339" s="380" t="s">
        <v>786</v>
      </c>
      <c r="F10339" s="380" t="s">
        <v>928</v>
      </c>
      <c r="G10339" s="380" t="s">
        <v>1267</v>
      </c>
      <c r="H10339" s="380" t="s">
        <v>771</v>
      </c>
      <c r="I10339" s="380" t="s">
        <v>788</v>
      </c>
      <c r="J10339" s="380" t="s">
        <v>773</v>
      </c>
      <c r="K10339" s="381">
        <v>0.0</v>
      </c>
      <c r="L10339" s="382">
        <v>1.0</v>
      </c>
    </row>
    <row r="10340">
      <c r="A10340" s="380" t="s">
        <v>11214</v>
      </c>
      <c r="B10340" s="380" t="str">
        <f>IFERROR(__xludf.DUMMYFUNCTION("""COMPUTED_VALUE"""),"Bombillo Luces INT Lt Mrz Pro Ultra H11")</f>
        <v>Bombillo Luces INT Lt Mrz Pro Ultra H11</v>
      </c>
      <c r="C10340" s="380" t="str">
        <f>IFERROR(__xludf.DUMMYFUNCTION("""COMPUTED_VALUE"""),"70005765")</f>
        <v>70005765</v>
      </c>
      <c r="D10340" s="380" t="s">
        <v>767</v>
      </c>
      <c r="E10340" s="380" t="s">
        <v>786</v>
      </c>
      <c r="F10340" s="380" t="s">
        <v>998</v>
      </c>
      <c r="G10340" s="380" t="s">
        <v>1267</v>
      </c>
      <c r="H10340" s="380" t="s">
        <v>771</v>
      </c>
      <c r="I10340" s="380" t="s">
        <v>788</v>
      </c>
      <c r="J10340" s="380" t="s">
        <v>773</v>
      </c>
      <c r="K10340" s="381">
        <v>242760.0</v>
      </c>
      <c r="L10340" s="382">
        <v>1.0</v>
      </c>
    </row>
    <row r="10341">
      <c r="A10341" s="380" t="s">
        <v>11215</v>
      </c>
      <c r="B10341" s="380" t="str">
        <f>IFERROR(__xludf.DUMMYFUNCTION("""COMPUTED_VALUE"""),"MotoVENT Condensador A/C FT 1128 REP")</f>
        <v>MotoVENT Condensador A/C FT 1128 REP</v>
      </c>
      <c r="C10341" s="380" t="str">
        <f>IFERROR(__xludf.DUMMYFUNCTION("""COMPUTED_VALUE"""),"70005766")</f>
        <v>70005766</v>
      </c>
      <c r="D10341" s="380" t="s">
        <v>767</v>
      </c>
      <c r="E10341" s="380" t="s">
        <v>786</v>
      </c>
      <c r="F10341" s="380" t="s">
        <v>998</v>
      </c>
      <c r="G10341" s="380" t="s">
        <v>1267</v>
      </c>
      <c r="H10341" s="380" t="s">
        <v>771</v>
      </c>
      <c r="I10341" s="380" t="s">
        <v>788</v>
      </c>
      <c r="J10341" s="380" t="s">
        <v>773</v>
      </c>
      <c r="K10341" s="381">
        <v>0.0</v>
      </c>
      <c r="L10341" s="382">
        <v>1.0</v>
      </c>
    </row>
    <row r="10342">
      <c r="A10342" s="380" t="s">
        <v>11216</v>
      </c>
      <c r="B10342" s="380" t="str">
        <f>IFERROR(__xludf.DUMMYFUNCTION("""COMPUTED_VALUE"""),"Separador Engranaje Del Distrbucion Isx")</f>
        <v>Separador Engranaje Del Distrbucion Isx</v>
      </c>
      <c r="C10342" s="380" t="str">
        <f>IFERROR(__xludf.DUMMYFUNCTION("""COMPUTED_VALUE"""),"70005767")</f>
        <v>70005767</v>
      </c>
      <c r="D10342" s="380" t="s">
        <v>767</v>
      </c>
      <c r="E10342" s="380" t="s">
        <v>786</v>
      </c>
      <c r="F10342" s="380" t="s">
        <v>787</v>
      </c>
      <c r="G10342" s="380" t="s">
        <v>1267</v>
      </c>
      <c r="H10342" s="380" t="s">
        <v>771</v>
      </c>
      <c r="I10342" s="380" t="s">
        <v>788</v>
      </c>
      <c r="J10342" s="380" t="s">
        <v>773</v>
      </c>
      <c r="K10342" s="381">
        <v>0.0</v>
      </c>
      <c r="L10342" s="382">
        <v>1.0</v>
      </c>
    </row>
    <row r="10343">
      <c r="A10343" s="380" t="s">
        <v>11217</v>
      </c>
      <c r="B10343" s="380" t="str">
        <f>IFERROR(__xludf.DUMMYFUNCTION("""COMPUTED_VALUE"""),"Racor Tanque Aire 3830946c1")</f>
        <v>Racor Tanque Aire 3830946c1</v>
      </c>
      <c r="C10343" s="380" t="str">
        <f>IFERROR(__xludf.DUMMYFUNCTION("""COMPUTED_VALUE"""),"70005768")</f>
        <v>70005768</v>
      </c>
      <c r="D10343" s="380" t="s">
        <v>767</v>
      </c>
      <c r="E10343" s="380" t="s">
        <v>786</v>
      </c>
      <c r="F10343" s="380" t="s">
        <v>787</v>
      </c>
      <c r="G10343" s="380" t="s">
        <v>1267</v>
      </c>
      <c r="H10343" s="380" t="s">
        <v>771</v>
      </c>
      <c r="I10343" s="380" t="s">
        <v>788</v>
      </c>
      <c r="J10343" s="380" t="s">
        <v>773</v>
      </c>
      <c r="K10343" s="381">
        <v>0.0</v>
      </c>
      <c r="L10343" s="382">
        <v>1.0</v>
      </c>
    </row>
    <row r="10344">
      <c r="A10344" s="380" t="s">
        <v>11218</v>
      </c>
      <c r="B10344" s="380" t="str">
        <f>IFERROR(__xludf.DUMMYFUNCTION("""COMPUTED_VALUE"""),"Esquinero Frontal Lh HN 500 53814-E0110")</f>
        <v>Esquinero Frontal Lh HN 500 53814-E0110</v>
      </c>
      <c r="C10344" s="380" t="str">
        <f>IFERROR(__xludf.DUMMYFUNCTION("""COMPUTED_VALUE"""),"70005769")</f>
        <v>70005769</v>
      </c>
      <c r="D10344" s="380" t="s">
        <v>767</v>
      </c>
      <c r="E10344" s="380" t="s">
        <v>786</v>
      </c>
      <c r="F10344" s="380" t="s">
        <v>792</v>
      </c>
      <c r="G10344" s="380" t="s">
        <v>1267</v>
      </c>
      <c r="H10344" s="380" t="s">
        <v>771</v>
      </c>
      <c r="I10344" s="380" t="s">
        <v>788</v>
      </c>
      <c r="J10344" s="380" t="s">
        <v>773</v>
      </c>
      <c r="K10344" s="381">
        <v>0.0</v>
      </c>
      <c r="L10344" s="382">
        <v>1.0</v>
      </c>
    </row>
    <row r="10345">
      <c r="A10345" s="380" t="s">
        <v>11219</v>
      </c>
      <c r="B10345" s="380" t="str">
        <f>IFERROR(__xludf.DUMMYFUNCTION("""COMPUTED_VALUE"""),"SENS Velocidad Vehiculo FT Bj5 770594602")</f>
        <v>SENS Velocidad Vehiculo FT Bj5 770594602</v>
      </c>
      <c r="C10345" s="380" t="str">
        <f>IFERROR(__xludf.DUMMYFUNCTION("""COMPUTED_VALUE"""),"70005770")</f>
        <v>70005770</v>
      </c>
      <c r="D10345" s="380" t="s">
        <v>767</v>
      </c>
      <c r="E10345" s="380" t="s">
        <v>786</v>
      </c>
      <c r="F10345" s="380" t="s">
        <v>998</v>
      </c>
      <c r="G10345" s="380" t="s">
        <v>1267</v>
      </c>
      <c r="H10345" s="380" t="s">
        <v>771</v>
      </c>
      <c r="I10345" s="380" t="s">
        <v>788</v>
      </c>
      <c r="J10345" s="380" t="s">
        <v>773</v>
      </c>
      <c r="K10345" s="381">
        <v>0.0</v>
      </c>
      <c r="L10345" s="382">
        <v>1.0</v>
      </c>
    </row>
    <row r="10346">
      <c r="A10346" s="380" t="s">
        <v>11220</v>
      </c>
      <c r="B10346" s="380" t="str">
        <f>IFERROR(__xludf.DUMMYFUNCTION("""COMPUTED_VALUE"""),"SENS Presión Luz De Freno INT Lt 2505850")</f>
        <v>SENS Presión Luz De Freno INT Lt 2505850</v>
      </c>
      <c r="C10346" s="380" t="str">
        <f>IFERROR(__xludf.DUMMYFUNCTION("""COMPUTED_VALUE"""),"70005771")</f>
        <v>70005771</v>
      </c>
      <c r="D10346" s="380" t="s">
        <v>767</v>
      </c>
      <c r="E10346" s="380" t="s">
        <v>786</v>
      </c>
      <c r="F10346" s="380" t="s">
        <v>998</v>
      </c>
      <c r="G10346" s="380" t="s">
        <v>1267</v>
      </c>
      <c r="H10346" s="380" t="s">
        <v>771</v>
      </c>
      <c r="I10346" s="380" t="s">
        <v>788</v>
      </c>
      <c r="J10346" s="380" t="s">
        <v>773</v>
      </c>
      <c r="K10346" s="381">
        <v>173072.0</v>
      </c>
      <c r="L10346" s="382">
        <v>1.0</v>
      </c>
    </row>
    <row r="10347">
      <c r="A10347" s="380" t="s">
        <v>11221</v>
      </c>
      <c r="B10347" s="380" t="str">
        <f>IFERROR(__xludf.DUMMYFUNCTION("""COMPUTED_VALUE"""),"Vidrio TRAS CAB FT 1039 7705946173803")</f>
        <v>Vidrio TRAS CAB FT 1039 7705946173803</v>
      </c>
      <c r="C10347" s="380" t="str">
        <f>IFERROR(__xludf.DUMMYFUNCTION("""COMPUTED_VALUE"""),"70005772")</f>
        <v>70005772</v>
      </c>
      <c r="D10347" s="380" t="s">
        <v>767</v>
      </c>
      <c r="E10347" s="380" t="s">
        <v>786</v>
      </c>
      <c r="F10347" s="380" t="s">
        <v>792</v>
      </c>
      <c r="G10347" s="380" t="s">
        <v>1267</v>
      </c>
      <c r="H10347" s="380" t="s">
        <v>771</v>
      </c>
      <c r="I10347" s="380" t="s">
        <v>788</v>
      </c>
      <c r="J10347" s="380" t="s">
        <v>773</v>
      </c>
      <c r="K10347" s="381">
        <v>0.0</v>
      </c>
      <c r="L10347" s="382">
        <v>1.0</v>
      </c>
    </row>
    <row r="10348">
      <c r="A10348" s="380" t="s">
        <v>11222</v>
      </c>
      <c r="B10348" s="380" t="str">
        <f>IFERROR(__xludf.DUMMYFUNCTION("""COMPUTED_VALUE"""),"Caja Direccion Toyota Vxa 1330")</f>
        <v>Caja Direccion Toyota Vxa 1330</v>
      </c>
      <c r="C10348" s="380" t="str">
        <f>IFERROR(__xludf.DUMMYFUNCTION("""COMPUTED_VALUE"""),"70005773")</f>
        <v>70005773</v>
      </c>
      <c r="D10348" s="380" t="s">
        <v>767</v>
      </c>
      <c r="E10348" s="380" t="s">
        <v>786</v>
      </c>
      <c r="F10348" s="380" t="s">
        <v>1020</v>
      </c>
      <c r="G10348" s="380" t="s">
        <v>1267</v>
      </c>
      <c r="H10348" s="380" t="s">
        <v>771</v>
      </c>
      <c r="I10348" s="380" t="s">
        <v>788</v>
      </c>
      <c r="J10348" s="380" t="s">
        <v>773</v>
      </c>
      <c r="K10348" s="381">
        <v>0.0</v>
      </c>
      <c r="L10348" s="382">
        <v>1.0</v>
      </c>
    </row>
    <row r="10349">
      <c r="A10349" s="380" t="s">
        <v>11223</v>
      </c>
      <c r="B10349" s="380" t="str">
        <f>IFERROR(__xludf.DUMMYFUNCTION("""COMPUTED_VALUE"""),"Bujes Inserto Horquilla 4 Y 5 Npr CJ Hie")</f>
        <v>Bujes Inserto Horquilla 4 Y 5 Npr CJ Hie</v>
      </c>
      <c r="C10349" s="380" t="str">
        <f>IFERROR(__xludf.DUMMYFUNCTION("""COMPUTED_VALUE"""),"70005774")</f>
        <v>70005774</v>
      </c>
      <c r="D10349" s="380" t="s">
        <v>767</v>
      </c>
      <c r="E10349" s="380" t="s">
        <v>786</v>
      </c>
      <c r="F10349" s="380" t="s">
        <v>928</v>
      </c>
      <c r="G10349" s="380" t="s">
        <v>1267</v>
      </c>
      <c r="H10349" s="380" t="s">
        <v>771</v>
      </c>
      <c r="I10349" s="380" t="s">
        <v>788</v>
      </c>
      <c r="J10349" s="380" t="s">
        <v>773</v>
      </c>
      <c r="K10349" s="381">
        <v>0.0</v>
      </c>
      <c r="L10349" s="382">
        <v>1.0</v>
      </c>
    </row>
    <row r="10350">
      <c r="A10350" s="380" t="s">
        <v>11224</v>
      </c>
      <c r="B10350" s="380" t="str">
        <f>IFERROR(__xludf.DUMMYFUNCTION("""COMPUTED_VALUE"""),"Conector Inyector Motor Nkr Reward")</f>
        <v>Conector Inyector Motor Nkr Reward</v>
      </c>
      <c r="C10350" s="380" t="str">
        <f>IFERROR(__xludf.DUMMYFUNCTION("""COMPUTED_VALUE"""),"70005775")</f>
        <v>70005775</v>
      </c>
      <c r="D10350" s="380" t="s">
        <v>767</v>
      </c>
      <c r="E10350" s="380" t="s">
        <v>786</v>
      </c>
      <c r="F10350" s="380" t="s">
        <v>998</v>
      </c>
      <c r="G10350" s="380" t="s">
        <v>1267</v>
      </c>
      <c r="H10350" s="380" t="s">
        <v>771</v>
      </c>
      <c r="I10350" s="380" t="s">
        <v>788</v>
      </c>
      <c r="J10350" s="380" t="s">
        <v>773</v>
      </c>
      <c r="K10350" s="381">
        <v>0.0</v>
      </c>
      <c r="L10350" s="382">
        <v>1.0</v>
      </c>
    </row>
    <row r="10351">
      <c r="A10351" s="380" t="s">
        <v>11225</v>
      </c>
      <c r="B10351" s="380" t="str">
        <f>IFERROR(__xludf.DUMMYFUNCTION("""COMPUTED_VALUE"""),"MOT ARR CH Frr Nuevo 8982452600")</f>
        <v>MOT ARR CH Frr Nuevo 8982452600</v>
      </c>
      <c r="C10351" s="380" t="str">
        <f>IFERROR(__xludf.DUMMYFUNCTION("""COMPUTED_VALUE"""),"70005776")</f>
        <v>70005776</v>
      </c>
      <c r="D10351" s="380" t="s">
        <v>767</v>
      </c>
      <c r="E10351" s="380" t="s">
        <v>786</v>
      </c>
      <c r="F10351" s="380" t="s">
        <v>998</v>
      </c>
      <c r="G10351" s="380" t="s">
        <v>1267</v>
      </c>
      <c r="H10351" s="380" t="s">
        <v>771</v>
      </c>
      <c r="I10351" s="380" t="s">
        <v>788</v>
      </c>
      <c r="J10351" s="380" t="s">
        <v>773</v>
      </c>
      <c r="K10351" s="381">
        <v>0.0</v>
      </c>
      <c r="L10351" s="382">
        <v>1.0</v>
      </c>
    </row>
    <row r="10352">
      <c r="A10352" s="380" t="s">
        <v>11226</v>
      </c>
      <c r="B10352" s="380" t="str">
        <f>IFERROR(__xludf.DUMMYFUNCTION("""COMPUTED_VALUE"""),"MMANG A/C Compresor - Conde Baja FT 1128")</f>
        <v>MMANG A/C Compresor - Conde Baja FT 1128</v>
      </c>
      <c r="C10352" s="380" t="str">
        <f>IFERROR(__xludf.DUMMYFUNCTION("""COMPUTED_VALUE"""),"70005777")</f>
        <v>70005777</v>
      </c>
      <c r="D10352" s="380" t="s">
        <v>767</v>
      </c>
      <c r="E10352" s="380" t="s">
        <v>786</v>
      </c>
      <c r="F10352" s="380" t="s">
        <v>1031</v>
      </c>
      <c r="G10352" s="380" t="s">
        <v>1267</v>
      </c>
      <c r="H10352" s="380" t="s">
        <v>771</v>
      </c>
      <c r="I10352" s="380" t="s">
        <v>788</v>
      </c>
      <c r="J10352" s="380" t="s">
        <v>773</v>
      </c>
      <c r="K10352" s="381">
        <v>0.0</v>
      </c>
      <c r="L10352" s="382">
        <v>1.0</v>
      </c>
    </row>
    <row r="10353">
      <c r="A10353" s="380" t="s">
        <v>11227</v>
      </c>
      <c r="B10353" s="380" t="str">
        <f>IFERROR(__xludf.DUMMYFUNCTION("""COMPUTED_VALUE"""),"Estribo INF DER Daf Cf480 1952792")</f>
        <v>Estribo INF DER Daf Cf480 1952792</v>
      </c>
      <c r="C10353" s="380" t="str">
        <f>IFERROR(__xludf.DUMMYFUNCTION("""COMPUTED_VALUE"""),"70005778")</f>
        <v>70005778</v>
      </c>
      <c r="D10353" s="380" t="s">
        <v>767</v>
      </c>
      <c r="E10353" s="380" t="s">
        <v>786</v>
      </c>
      <c r="F10353" s="380" t="s">
        <v>792</v>
      </c>
      <c r="G10353" s="380" t="s">
        <v>1267</v>
      </c>
      <c r="H10353" s="380" t="s">
        <v>771</v>
      </c>
      <c r="I10353" s="380" t="s">
        <v>788</v>
      </c>
      <c r="J10353" s="380" t="s">
        <v>773</v>
      </c>
      <c r="K10353" s="381">
        <v>0.0</v>
      </c>
      <c r="L10353" s="382">
        <v>1.0</v>
      </c>
    </row>
    <row r="10354">
      <c r="A10354" s="380" t="s">
        <v>11228</v>
      </c>
      <c r="B10354" s="380" t="str">
        <f>IFERROR(__xludf.DUMMYFUNCTION("""COMPUTED_VALUE"""),"Cilindro De Elevacion Cabina Daf 2117329")</f>
        <v>Cilindro De Elevacion Cabina Daf 2117329</v>
      </c>
      <c r="C10354" s="380" t="str">
        <f>IFERROR(__xludf.DUMMYFUNCTION("""COMPUTED_VALUE"""),"70005779")</f>
        <v>70005779</v>
      </c>
      <c r="D10354" s="380" t="s">
        <v>767</v>
      </c>
      <c r="E10354" s="380" t="s">
        <v>786</v>
      </c>
      <c r="F10354" s="380" t="s">
        <v>792</v>
      </c>
      <c r="G10354" s="380" t="s">
        <v>1267</v>
      </c>
      <c r="H10354" s="380" t="s">
        <v>771</v>
      </c>
      <c r="I10354" s="380" t="s">
        <v>788</v>
      </c>
      <c r="J10354" s="380" t="s">
        <v>773</v>
      </c>
      <c r="K10354" s="381">
        <v>0.0</v>
      </c>
      <c r="L10354" s="382">
        <v>1.0</v>
      </c>
    </row>
    <row r="10355">
      <c r="A10355" s="380" t="s">
        <v>11229</v>
      </c>
      <c r="B10355" s="380" t="str">
        <f>IFERROR(__xludf.DUMMYFUNCTION("""COMPUTED_VALUE"""),"MOT Limpiabrisas FT 1128 7700149016438")</f>
        <v>MOT Limpiabrisas FT 1128 7700149016438</v>
      </c>
      <c r="C10355" s="380" t="str">
        <f>IFERROR(__xludf.DUMMYFUNCTION("""COMPUTED_VALUE"""),"70005780")</f>
        <v>70005780</v>
      </c>
      <c r="D10355" s="380" t="s">
        <v>767</v>
      </c>
      <c r="E10355" s="380" t="s">
        <v>786</v>
      </c>
      <c r="F10355" s="380" t="s">
        <v>998</v>
      </c>
      <c r="G10355" s="380" t="s">
        <v>1267</v>
      </c>
      <c r="H10355" s="380" t="s">
        <v>771</v>
      </c>
      <c r="I10355" s="380" t="s">
        <v>788</v>
      </c>
      <c r="J10355" s="380" t="s">
        <v>773</v>
      </c>
      <c r="K10355" s="381">
        <v>0.0</v>
      </c>
      <c r="L10355" s="382">
        <v>1.0</v>
      </c>
    </row>
    <row r="10356">
      <c r="A10356" s="380" t="s">
        <v>11230</v>
      </c>
      <c r="B10356" s="380" t="str">
        <f>IFERROR(__xludf.DUMMYFUNCTION("""COMPUTED_VALUE"""),"Farola Derecha Mack Anthem 23992218")</f>
        <v>Farola Derecha Mack Anthem 23992218</v>
      </c>
      <c r="C10356" s="380" t="str">
        <f>IFERROR(__xludf.DUMMYFUNCTION("""COMPUTED_VALUE"""),"70005781")</f>
        <v>70005781</v>
      </c>
      <c r="D10356" s="380" t="s">
        <v>767</v>
      </c>
      <c r="E10356" s="380" t="s">
        <v>786</v>
      </c>
      <c r="F10356" s="380" t="s">
        <v>998</v>
      </c>
      <c r="G10356" s="380" t="s">
        <v>1267</v>
      </c>
      <c r="H10356" s="380" t="s">
        <v>771</v>
      </c>
      <c r="I10356" s="380" t="s">
        <v>788</v>
      </c>
      <c r="J10356" s="380" t="s">
        <v>773</v>
      </c>
      <c r="K10356" s="381">
        <v>0.0</v>
      </c>
      <c r="L10356" s="382">
        <v>1.0</v>
      </c>
    </row>
    <row r="10357">
      <c r="A10357" s="380" t="s">
        <v>11231</v>
      </c>
      <c r="B10357" s="380" t="str">
        <f>IFERROR(__xludf.DUMMYFUNCTION("""COMPUTED_VALUE"""),"Condensador A/C Foton 1128 7705946759564")</f>
        <v>Condensador A/C Foton 1128 7705946759564</v>
      </c>
      <c r="C10357" s="380" t="str">
        <f>IFERROR(__xludf.DUMMYFUNCTION("""COMPUTED_VALUE"""),"70005782")</f>
        <v>70005782</v>
      </c>
      <c r="D10357" s="380" t="s">
        <v>767</v>
      </c>
      <c r="E10357" s="380" t="s">
        <v>786</v>
      </c>
      <c r="F10357" s="380" t="s">
        <v>1031</v>
      </c>
      <c r="G10357" s="380" t="s">
        <v>1267</v>
      </c>
      <c r="H10357" s="380" t="s">
        <v>771</v>
      </c>
      <c r="I10357" s="380" t="s">
        <v>788</v>
      </c>
      <c r="J10357" s="380" t="s">
        <v>773</v>
      </c>
      <c r="K10357" s="381">
        <v>0.0</v>
      </c>
      <c r="L10357" s="382">
        <v>1.0</v>
      </c>
    </row>
    <row r="10358">
      <c r="A10358" s="380" t="s">
        <v>11232</v>
      </c>
      <c r="B10358" s="380" t="str">
        <f>IFERROR(__xludf.DUMMYFUNCTION("""COMPUTED_VALUE"""),"Arandela Espaciadora Piñon Loco Distri F")</f>
        <v>Arandela Espaciadora Piñon Loco Distri F</v>
      </c>
      <c r="C10358" s="380" t="str">
        <f>IFERROR(__xludf.DUMMYFUNCTION("""COMPUTED_VALUE"""),"70005783")</f>
        <v>70005783</v>
      </c>
      <c r="D10358" s="380" t="s">
        <v>767</v>
      </c>
      <c r="E10358" s="380" t="s">
        <v>786</v>
      </c>
      <c r="F10358" s="380" t="s">
        <v>787</v>
      </c>
      <c r="G10358" s="380" t="s">
        <v>1267</v>
      </c>
      <c r="H10358" s="380" t="s">
        <v>771</v>
      </c>
      <c r="I10358" s="380" t="s">
        <v>788</v>
      </c>
      <c r="J10358" s="380" t="s">
        <v>773</v>
      </c>
      <c r="K10358" s="381">
        <v>0.0</v>
      </c>
      <c r="L10358" s="382">
        <v>1.0</v>
      </c>
    </row>
    <row r="10359">
      <c r="A10359" s="380" t="s">
        <v>11233</v>
      </c>
      <c r="B10359" s="380" t="str">
        <f>IFERROR(__xludf.DUMMYFUNCTION("""COMPUTED_VALUE"""),"Automático ARR 24v HN 300 Saw-2010")</f>
        <v>Automático ARR 24v HN 300 Saw-2010</v>
      </c>
      <c r="C10359" s="380" t="str">
        <f>IFERROR(__xludf.DUMMYFUNCTION("""COMPUTED_VALUE"""),"70005784")</f>
        <v>70005784</v>
      </c>
      <c r="D10359" s="380" t="s">
        <v>767</v>
      </c>
      <c r="E10359" s="380" t="s">
        <v>786</v>
      </c>
      <c r="F10359" s="380" t="s">
        <v>998</v>
      </c>
      <c r="G10359" s="380" t="s">
        <v>1267</v>
      </c>
      <c r="H10359" s="380" t="s">
        <v>771</v>
      </c>
      <c r="I10359" s="380" t="s">
        <v>788</v>
      </c>
      <c r="J10359" s="380" t="s">
        <v>773</v>
      </c>
      <c r="K10359" s="381">
        <v>0.0</v>
      </c>
      <c r="L10359" s="382">
        <v>1.0</v>
      </c>
    </row>
    <row r="10360">
      <c r="A10360" s="380" t="s">
        <v>11234</v>
      </c>
      <c r="B10360" s="380" t="str">
        <f>IFERROR(__xludf.DUMMYFUNCTION("""COMPUTED_VALUE"""),"Soporte Cardan Kenworth T660 K257-223-6")</f>
        <v>Soporte Cardan Kenworth T660 K257-223-6</v>
      </c>
      <c r="C10360" s="380" t="str">
        <f>IFERROR(__xludf.DUMMYFUNCTION("""COMPUTED_VALUE"""),"70005785")</f>
        <v>70005785</v>
      </c>
      <c r="D10360" s="380" t="s">
        <v>767</v>
      </c>
      <c r="E10360" s="380" t="s">
        <v>786</v>
      </c>
      <c r="F10360" s="380" t="s">
        <v>5683</v>
      </c>
      <c r="G10360" s="380" t="s">
        <v>1267</v>
      </c>
      <c r="H10360" s="380" t="s">
        <v>771</v>
      </c>
      <c r="I10360" s="380" t="s">
        <v>788</v>
      </c>
      <c r="J10360" s="380" t="s">
        <v>773</v>
      </c>
      <c r="K10360" s="381">
        <v>0.0</v>
      </c>
      <c r="L10360" s="382">
        <v>1.0</v>
      </c>
    </row>
    <row r="10361">
      <c r="A10361" s="380" t="s">
        <v>11235</v>
      </c>
      <c r="B10361" s="380" t="str">
        <f>IFERROR(__xludf.DUMMYFUNCTION("""COMPUTED_VALUE"""),"Caucho SOP Izq CAB HN 500 S5220-31520")</f>
        <v>Caucho SOP Izq CAB HN 500 S5220-31520</v>
      </c>
      <c r="C10361" s="380" t="str">
        <f>IFERROR(__xludf.DUMMYFUNCTION("""COMPUTED_VALUE"""),"70005786")</f>
        <v>70005786</v>
      </c>
      <c r="D10361" s="380" t="s">
        <v>767</v>
      </c>
      <c r="E10361" s="380" t="s">
        <v>786</v>
      </c>
      <c r="F10361" s="380" t="s">
        <v>792</v>
      </c>
      <c r="G10361" s="380" t="s">
        <v>1267</v>
      </c>
      <c r="H10361" s="380" t="s">
        <v>771</v>
      </c>
      <c r="I10361" s="380" t="s">
        <v>788</v>
      </c>
      <c r="J10361" s="380" t="s">
        <v>773</v>
      </c>
      <c r="K10361" s="381">
        <v>0.0</v>
      </c>
      <c r="L10361" s="382">
        <v>1.0</v>
      </c>
    </row>
    <row r="10362">
      <c r="A10362" s="380" t="s">
        <v>11236</v>
      </c>
      <c r="B10362" s="380" t="str">
        <f>IFERROR(__xludf.DUMMYFUNCTION("""COMPUTED_VALUE"""),"Suavizador Embrague Foton 1039")</f>
        <v>Suavizador Embrague Foton 1039</v>
      </c>
      <c r="C10362" s="380" t="str">
        <f>IFERROR(__xludf.DUMMYFUNCTION("""COMPUTED_VALUE"""),"70005787")</f>
        <v>70005787</v>
      </c>
      <c r="D10362" s="380" t="s">
        <v>767</v>
      </c>
      <c r="E10362" s="380" t="s">
        <v>786</v>
      </c>
      <c r="F10362" s="380" t="s">
        <v>5661</v>
      </c>
      <c r="G10362" s="380" t="s">
        <v>1267</v>
      </c>
      <c r="H10362" s="380" t="s">
        <v>771</v>
      </c>
      <c r="I10362" s="380" t="s">
        <v>788</v>
      </c>
      <c r="J10362" s="380" t="s">
        <v>773</v>
      </c>
      <c r="K10362" s="381">
        <v>0.0</v>
      </c>
      <c r="L10362" s="382">
        <v>1.0</v>
      </c>
    </row>
    <row r="10363">
      <c r="A10363" s="380" t="s">
        <v>11237</v>
      </c>
      <c r="B10363" s="380" t="str">
        <f>IFERROR(__xludf.DUMMYFUNCTION("""COMPUTED_VALUE"""),"Bateria MOT Red Contra Incendio Duncan 8")</f>
        <v>Bateria MOT Red Contra Incendio Duncan 8</v>
      </c>
      <c r="C10363" s="380" t="str">
        <f>IFERROR(__xludf.DUMMYFUNCTION("""COMPUTED_VALUE"""),"70005788")</f>
        <v>70005788</v>
      </c>
      <c r="D10363" s="380" t="s">
        <v>767</v>
      </c>
      <c r="E10363" s="380" t="s">
        <v>786</v>
      </c>
      <c r="F10363" s="380" t="s">
        <v>998</v>
      </c>
      <c r="G10363" s="380" t="s">
        <v>1267</v>
      </c>
      <c r="H10363" s="380" t="s">
        <v>771</v>
      </c>
      <c r="I10363" s="380" t="s">
        <v>788</v>
      </c>
      <c r="J10363" s="380" t="s">
        <v>773</v>
      </c>
      <c r="K10363" s="381">
        <v>0.0</v>
      </c>
      <c r="L10363" s="382">
        <v>1.0</v>
      </c>
    </row>
    <row r="10364">
      <c r="A10364" s="380" t="s">
        <v>11238</v>
      </c>
      <c r="B10364" s="380" t="str">
        <f>IFERROR(__xludf.DUMMYFUNCTION("""COMPUTED_VALUE"""),"Transformador De Voltaje Hino 700011041")</f>
        <v>Transformador De Voltaje Hino 700011041</v>
      </c>
      <c r="C10364" s="380" t="str">
        <f>IFERROR(__xludf.DUMMYFUNCTION("""COMPUTED_VALUE"""),"70005789")</f>
        <v>70005789</v>
      </c>
      <c r="D10364" s="380" t="s">
        <v>767</v>
      </c>
      <c r="E10364" s="380" t="s">
        <v>786</v>
      </c>
      <c r="F10364" s="380" t="s">
        <v>998</v>
      </c>
      <c r="G10364" s="380" t="s">
        <v>1267</v>
      </c>
      <c r="H10364" s="380" t="s">
        <v>771</v>
      </c>
      <c r="I10364" s="380" t="s">
        <v>788</v>
      </c>
      <c r="J10364" s="380" t="s">
        <v>773</v>
      </c>
      <c r="K10364" s="381">
        <v>0.0</v>
      </c>
      <c r="L10364" s="382">
        <v>1.0</v>
      </c>
    </row>
    <row r="10365">
      <c r="A10365" s="380" t="s">
        <v>11239</v>
      </c>
      <c r="B10365" s="380" t="str">
        <f>IFERROR(__xludf.DUMMYFUNCTION("""COMPUTED_VALUE"""),"Tapa Radiador Foton 1129 7703304002550")</f>
        <v>Tapa Radiador Foton 1129 7703304002550</v>
      </c>
      <c r="C10365" s="380" t="str">
        <f>IFERROR(__xludf.DUMMYFUNCTION("""COMPUTED_VALUE"""),"70005790")</f>
        <v>70005790</v>
      </c>
      <c r="D10365" s="380" t="s">
        <v>767</v>
      </c>
      <c r="E10365" s="380" t="s">
        <v>786</v>
      </c>
      <c r="F10365" s="380" t="s">
        <v>787</v>
      </c>
      <c r="G10365" s="380" t="s">
        <v>1267</v>
      </c>
      <c r="H10365" s="380" t="s">
        <v>771</v>
      </c>
      <c r="I10365" s="380" t="s">
        <v>788</v>
      </c>
      <c r="J10365" s="380" t="s">
        <v>773</v>
      </c>
      <c r="K10365" s="381">
        <v>0.0</v>
      </c>
      <c r="L10365" s="382">
        <v>1.0</v>
      </c>
    </row>
    <row r="10366">
      <c r="A10366" s="380" t="s">
        <v>11240</v>
      </c>
      <c r="B10366" s="380" t="str">
        <f>IFERROR(__xludf.DUMMYFUNCTION("""COMPUTED_VALUE"""),"Bombillo DIRal T20 Prostar 12v 1 F 17632")</f>
        <v>Bombillo DIRal T20 Prostar 12v 1 F 17632</v>
      </c>
      <c r="C10366" s="380" t="str">
        <f>IFERROR(__xludf.DUMMYFUNCTION("""COMPUTED_VALUE"""),"70005791")</f>
        <v>70005791</v>
      </c>
      <c r="D10366" s="380" t="s">
        <v>767</v>
      </c>
      <c r="E10366" s="380" t="s">
        <v>786</v>
      </c>
      <c r="F10366" s="380" t="s">
        <v>998</v>
      </c>
      <c r="G10366" s="380" t="s">
        <v>1267</v>
      </c>
      <c r="H10366" s="380" t="s">
        <v>771</v>
      </c>
      <c r="I10366" s="380" t="s">
        <v>788</v>
      </c>
      <c r="J10366" s="380" t="s">
        <v>773</v>
      </c>
      <c r="K10366" s="381">
        <v>0.0</v>
      </c>
      <c r="L10366" s="382">
        <v>1.0</v>
      </c>
    </row>
    <row r="10367">
      <c r="A10367" s="380" t="s">
        <v>11241</v>
      </c>
      <c r="B10367" s="380" t="str">
        <f>IFERROR(__xludf.DUMMYFUNCTION("""COMPUTED_VALUE"""),"Selector Marcha CJ Mdrive MCK 2330005270")</f>
        <v>Selector Marcha CJ Mdrive MCK 2330005270</v>
      </c>
      <c r="C10367" s="380" t="str">
        <f>IFERROR(__xludf.DUMMYFUNCTION("""COMPUTED_VALUE"""),"70005792")</f>
        <v>70005792</v>
      </c>
      <c r="D10367" s="380" t="s">
        <v>767</v>
      </c>
      <c r="E10367" s="380" t="s">
        <v>786</v>
      </c>
      <c r="F10367" s="380" t="s">
        <v>928</v>
      </c>
      <c r="G10367" s="380" t="s">
        <v>1267</v>
      </c>
      <c r="H10367" s="380" t="s">
        <v>771</v>
      </c>
      <c r="I10367" s="380" t="s">
        <v>788</v>
      </c>
      <c r="J10367" s="380" t="s">
        <v>773</v>
      </c>
      <c r="K10367" s="381">
        <v>0.0</v>
      </c>
      <c r="L10367" s="382">
        <v>1.0</v>
      </c>
    </row>
    <row r="10368">
      <c r="A10368" s="380" t="s">
        <v>11242</v>
      </c>
      <c r="B10368" s="380" t="str">
        <f>IFERROR(__xludf.DUMMYFUNCTION("""COMPUTED_VALUE"""),"CIL Principal Freno FT Mv5 7705946458597")</f>
        <v>CIL Principal Freno FT Mv5 7705946458597</v>
      </c>
      <c r="C10368" s="380" t="str">
        <f>IFERROR(__xludf.DUMMYFUNCTION("""COMPUTED_VALUE"""),"70005793")</f>
        <v>70005793</v>
      </c>
      <c r="D10368" s="380" t="s">
        <v>767</v>
      </c>
      <c r="E10368" s="380" t="s">
        <v>786</v>
      </c>
      <c r="F10368" s="380" t="s">
        <v>1017</v>
      </c>
      <c r="G10368" s="380" t="s">
        <v>1267</v>
      </c>
      <c r="H10368" s="380" t="s">
        <v>771</v>
      </c>
      <c r="I10368" s="380" t="s">
        <v>788</v>
      </c>
      <c r="J10368" s="380" t="s">
        <v>773</v>
      </c>
      <c r="K10368" s="381">
        <v>0.0</v>
      </c>
      <c r="L10368" s="382">
        <v>1.0</v>
      </c>
    </row>
    <row r="10369">
      <c r="A10369" s="380" t="s">
        <v>11243</v>
      </c>
      <c r="B10369" s="380" t="str">
        <f>IFERROR(__xludf.DUMMYFUNCTION("""COMPUTED_VALUE"""),"Bisagra PTA TRL Fabricada Fabricado")</f>
        <v>Bisagra PTA TRL Fabricada Fabricado</v>
      </c>
      <c r="C10369" s="380" t="str">
        <f>IFERROR(__xludf.DUMMYFUNCTION("""COMPUTED_VALUE"""),"70005794")</f>
        <v>70005794</v>
      </c>
      <c r="D10369" s="380" t="s">
        <v>767</v>
      </c>
      <c r="E10369" s="380" t="s">
        <v>786</v>
      </c>
      <c r="F10369" s="380" t="s">
        <v>792</v>
      </c>
      <c r="G10369" s="380" t="s">
        <v>1267</v>
      </c>
      <c r="H10369" s="380" t="s">
        <v>771</v>
      </c>
      <c r="I10369" s="380" t="s">
        <v>788</v>
      </c>
      <c r="J10369" s="380" t="s">
        <v>773</v>
      </c>
      <c r="K10369" s="381">
        <v>46529.0</v>
      </c>
      <c r="L10369" s="382">
        <v>1.0</v>
      </c>
    </row>
    <row r="10370">
      <c r="A10370" s="380" t="s">
        <v>11244</v>
      </c>
      <c r="B10370" s="380" t="str">
        <f>IFERROR(__xludf.DUMMYFUNCTION("""COMPUTED_VALUE"""),"Cableado Tapa CJ Mdrive MCK 2330000700")</f>
        <v>Cableado Tapa CJ Mdrive MCK 2330000700</v>
      </c>
      <c r="C10370" s="380" t="str">
        <f>IFERROR(__xludf.DUMMYFUNCTION("""COMPUTED_VALUE"""),"70005795")</f>
        <v>70005795</v>
      </c>
      <c r="D10370" s="380" t="s">
        <v>767</v>
      </c>
      <c r="E10370" s="380" t="s">
        <v>786</v>
      </c>
      <c r="F10370" s="380" t="s">
        <v>928</v>
      </c>
      <c r="G10370" s="380" t="s">
        <v>1267</v>
      </c>
      <c r="H10370" s="380" t="s">
        <v>771</v>
      </c>
      <c r="I10370" s="380" t="s">
        <v>788</v>
      </c>
      <c r="J10370" s="380" t="s">
        <v>773</v>
      </c>
      <c r="K10370" s="381">
        <v>0.0</v>
      </c>
      <c r="L10370" s="382">
        <v>1.0</v>
      </c>
    </row>
    <row r="10371">
      <c r="A10371" s="380" t="s">
        <v>11245</v>
      </c>
      <c r="B10371" s="380" t="str">
        <f>IFERROR(__xludf.DUMMYFUNCTION("""COMPUTED_VALUE"""),"Insumos Genericos Mack")</f>
        <v>Insumos Genericos Mack</v>
      </c>
      <c r="C10371" s="380" t="str">
        <f>IFERROR(__xludf.DUMMYFUNCTION("""COMPUTED_VALUE"""),"70005796")</f>
        <v>70005796</v>
      </c>
      <c r="D10371" s="380" t="s">
        <v>767</v>
      </c>
      <c r="E10371" s="380" t="s">
        <v>786</v>
      </c>
      <c r="F10371" s="380" t="s">
        <v>792</v>
      </c>
      <c r="G10371" s="380" t="s">
        <v>1267</v>
      </c>
      <c r="H10371" s="380" t="s">
        <v>771</v>
      </c>
      <c r="I10371" s="380" t="s">
        <v>788</v>
      </c>
      <c r="J10371" s="380" t="s">
        <v>773</v>
      </c>
      <c r="K10371" s="381">
        <v>0.0</v>
      </c>
      <c r="L10371" s="382">
        <v>1.0</v>
      </c>
    </row>
    <row r="10372">
      <c r="A10372" s="380" t="s">
        <v>11246</v>
      </c>
      <c r="B10372" s="380" t="str">
        <f>IFERROR(__xludf.DUMMYFUNCTION("""COMPUTED_VALUE"""),"Tapa CJ Baterias KW T800 N22-1025-1")</f>
        <v>Tapa CJ Baterias KW T800 N22-1025-1</v>
      </c>
      <c r="C10372" s="380" t="str">
        <f>IFERROR(__xludf.DUMMYFUNCTION("""COMPUTED_VALUE"""),"70005797")</f>
        <v>70005797</v>
      </c>
      <c r="D10372" s="380" t="s">
        <v>767</v>
      </c>
      <c r="E10372" s="380" t="s">
        <v>786</v>
      </c>
      <c r="F10372" s="380" t="s">
        <v>792</v>
      </c>
      <c r="G10372" s="380" t="s">
        <v>1267</v>
      </c>
      <c r="H10372" s="380" t="s">
        <v>771</v>
      </c>
      <c r="I10372" s="380" t="s">
        <v>788</v>
      </c>
      <c r="J10372" s="380" t="s">
        <v>773</v>
      </c>
      <c r="K10372" s="381">
        <v>0.0</v>
      </c>
      <c r="L10372" s="382">
        <v>1.0</v>
      </c>
    </row>
    <row r="10373">
      <c r="A10373" s="380" t="s">
        <v>11247</v>
      </c>
      <c r="B10373" s="380" t="str">
        <f>IFERROR(__xludf.DUMMYFUNCTION("""COMPUTED_VALUE"""),"SENS Presion Freno Stop INT Lt 4200246c1")</f>
        <v>SENS Presion Freno Stop INT Lt 4200246c1</v>
      </c>
      <c r="C10373" s="380" t="str">
        <f>IFERROR(__xludf.DUMMYFUNCTION("""COMPUTED_VALUE"""),"70005798")</f>
        <v>70005798</v>
      </c>
      <c r="D10373" s="380" t="s">
        <v>767</v>
      </c>
      <c r="E10373" s="380" t="s">
        <v>786</v>
      </c>
      <c r="F10373" s="380" t="s">
        <v>1017</v>
      </c>
      <c r="G10373" s="380" t="s">
        <v>1267</v>
      </c>
      <c r="H10373" s="380" t="s">
        <v>771</v>
      </c>
      <c r="I10373" s="380" t="s">
        <v>788</v>
      </c>
      <c r="J10373" s="380" t="s">
        <v>773</v>
      </c>
      <c r="K10373" s="381">
        <v>0.0</v>
      </c>
      <c r="L10373" s="382">
        <v>1.0</v>
      </c>
    </row>
    <row r="10374">
      <c r="A10374" s="380" t="s">
        <v>11248</v>
      </c>
      <c r="B10374" s="380" t="str">
        <f>IFERROR(__xludf.DUMMYFUNCTION("""COMPUTED_VALUE"""),"VALV Freno De Ahogo FT 1065 770594669487")</f>
        <v>VALV Freno De Ahogo FT 1065 770594669487</v>
      </c>
      <c r="C10374" s="380" t="str">
        <f>IFERROR(__xludf.DUMMYFUNCTION("""COMPUTED_VALUE"""),"70005799")</f>
        <v>70005799</v>
      </c>
      <c r="D10374" s="380" t="s">
        <v>767</v>
      </c>
      <c r="E10374" s="380" t="s">
        <v>786</v>
      </c>
      <c r="F10374" s="380" t="s">
        <v>1017</v>
      </c>
      <c r="G10374" s="380" t="s">
        <v>1267</v>
      </c>
      <c r="H10374" s="380" t="s">
        <v>771</v>
      </c>
      <c r="I10374" s="380" t="s">
        <v>788</v>
      </c>
      <c r="J10374" s="380" t="s">
        <v>773</v>
      </c>
      <c r="K10374" s="381">
        <v>0.0</v>
      </c>
      <c r="L10374" s="382">
        <v>1.0</v>
      </c>
    </row>
    <row r="10375">
      <c r="A10375" s="380" t="s">
        <v>11249</v>
      </c>
      <c r="B10375" s="380" t="str">
        <f>IFERROR(__xludf.DUMMYFUNCTION("""COMPUTED_VALUE"""),"BMB Principal Clutch FT 1128 77059469889")</f>
        <v>BMB Principal Clutch FT 1128 77059469889</v>
      </c>
      <c r="C10375" s="380" t="str">
        <f>IFERROR(__xludf.DUMMYFUNCTION("""COMPUTED_VALUE"""),"70005800")</f>
        <v>70005800</v>
      </c>
      <c r="D10375" s="380" t="s">
        <v>767</v>
      </c>
      <c r="E10375" s="380" t="s">
        <v>786</v>
      </c>
      <c r="F10375" s="380" t="s">
        <v>5661</v>
      </c>
      <c r="G10375" s="380" t="s">
        <v>1267</v>
      </c>
      <c r="H10375" s="380" t="s">
        <v>771</v>
      </c>
      <c r="I10375" s="380" t="s">
        <v>788</v>
      </c>
      <c r="J10375" s="380" t="s">
        <v>773</v>
      </c>
      <c r="K10375" s="381">
        <v>0.0</v>
      </c>
      <c r="L10375" s="382">
        <v>1.0</v>
      </c>
    </row>
    <row r="10376">
      <c r="A10376" s="380" t="s">
        <v>11250</v>
      </c>
      <c r="B10376" s="380" t="str">
        <f>IFERROR(__xludf.DUMMYFUNCTION("""COMPUTED_VALUE"""),"INTruptor Ignicion FT 1128 7705946944250")</f>
        <v>INTruptor Ignicion FT 1128 7705946944250</v>
      </c>
      <c r="C10376" s="380" t="str">
        <f>IFERROR(__xludf.DUMMYFUNCTION("""COMPUTED_VALUE"""),"70005801")</f>
        <v>70005801</v>
      </c>
      <c r="D10376" s="380" t="s">
        <v>767</v>
      </c>
      <c r="E10376" s="380" t="s">
        <v>786</v>
      </c>
      <c r="F10376" s="380" t="s">
        <v>998</v>
      </c>
      <c r="G10376" s="380" t="s">
        <v>1267</v>
      </c>
      <c r="H10376" s="380" t="s">
        <v>771</v>
      </c>
      <c r="I10376" s="380" t="s">
        <v>788</v>
      </c>
      <c r="J10376" s="380" t="s">
        <v>773</v>
      </c>
      <c r="K10376" s="381">
        <v>317599.0</v>
      </c>
      <c r="L10376" s="382">
        <v>1.0</v>
      </c>
    </row>
    <row r="10377">
      <c r="A10377" s="380" t="s">
        <v>11251</v>
      </c>
      <c r="B10377" s="380" t="str">
        <f>IFERROR(__xludf.DUMMYFUNCTION("""COMPUTED_VALUE"""),"Booster Embrague Foton 1128 770594624554")</f>
        <v>Booster Embrague Foton 1128 770594624554</v>
      </c>
      <c r="C10377" s="380" t="str">
        <f>IFERROR(__xludf.DUMMYFUNCTION("""COMPUTED_VALUE"""),"70005802")</f>
        <v>70005802</v>
      </c>
      <c r="D10377" s="380" t="s">
        <v>767</v>
      </c>
      <c r="E10377" s="380" t="s">
        <v>786</v>
      </c>
      <c r="F10377" s="380" t="s">
        <v>5661</v>
      </c>
      <c r="G10377" s="380" t="s">
        <v>1267</v>
      </c>
      <c r="H10377" s="380" t="s">
        <v>771</v>
      </c>
      <c r="I10377" s="380" t="s">
        <v>788</v>
      </c>
      <c r="J10377" s="380" t="s">
        <v>773</v>
      </c>
      <c r="K10377" s="381">
        <v>0.0</v>
      </c>
      <c r="L10377" s="382">
        <v>1.0</v>
      </c>
    </row>
    <row r="10378">
      <c r="A10378" s="380" t="s">
        <v>11252</v>
      </c>
      <c r="B10378" s="380" t="str">
        <f>IFERROR(__xludf.DUMMYFUNCTION("""COMPUTED_VALUE"""),"RAD MOT REN Master Mod 2017 214108535r")</f>
        <v>RAD MOT REN Master Mod 2017 214108535r</v>
      </c>
      <c r="C10378" s="380" t="str">
        <f>IFERROR(__xludf.DUMMYFUNCTION("""COMPUTED_VALUE"""),"70005803")</f>
        <v>70005803</v>
      </c>
      <c r="D10378" s="380" t="s">
        <v>767</v>
      </c>
      <c r="E10378" s="380" t="s">
        <v>786</v>
      </c>
      <c r="F10378" s="380" t="s">
        <v>787</v>
      </c>
      <c r="G10378" s="380" t="s">
        <v>1267</v>
      </c>
      <c r="H10378" s="380" t="s">
        <v>771</v>
      </c>
      <c r="I10378" s="380" t="s">
        <v>788</v>
      </c>
      <c r="J10378" s="380" t="s">
        <v>773</v>
      </c>
      <c r="K10378" s="381">
        <v>0.0</v>
      </c>
      <c r="L10378" s="382">
        <v>1.0</v>
      </c>
    </row>
    <row r="10379">
      <c r="A10379" s="380" t="s">
        <v>11253</v>
      </c>
      <c r="B10379" s="380" t="str">
        <f>IFERROR(__xludf.DUMMYFUNCTION("""COMPUTED_VALUE"""),"EMP Multiple De Escape A Turbo Frr 89804")</f>
        <v>EMP Multiple De Escape A Turbo Frr 89804</v>
      </c>
      <c r="C10379" s="380" t="str">
        <f>IFERROR(__xludf.DUMMYFUNCTION("""COMPUTED_VALUE"""),"70005804")</f>
        <v>70005804</v>
      </c>
      <c r="D10379" s="380" t="s">
        <v>767</v>
      </c>
      <c r="E10379" s="380" t="s">
        <v>786</v>
      </c>
      <c r="F10379" s="380" t="s">
        <v>787</v>
      </c>
      <c r="G10379" s="380" t="s">
        <v>1267</v>
      </c>
      <c r="H10379" s="380" t="s">
        <v>771</v>
      </c>
      <c r="I10379" s="380" t="s">
        <v>788</v>
      </c>
      <c r="J10379" s="380" t="s">
        <v>773</v>
      </c>
      <c r="K10379" s="381">
        <v>0.0</v>
      </c>
      <c r="L10379" s="382">
        <v>1.0</v>
      </c>
    </row>
    <row r="10380">
      <c r="A10380" s="380" t="s">
        <v>11254</v>
      </c>
      <c r="B10380" s="380" t="str">
        <f>IFERROR(__xludf.DUMMYFUNCTION("""COMPUTED_VALUE"""),"Panel Frontal CAB Jac Jkr 1042 5301100ld")</f>
        <v>Panel Frontal CAB Jac Jkr 1042 5301100ld</v>
      </c>
      <c r="C10380" s="380" t="str">
        <f>IFERROR(__xludf.DUMMYFUNCTION("""COMPUTED_VALUE"""),"70005805")</f>
        <v>70005805</v>
      </c>
      <c r="D10380" s="380" t="s">
        <v>767</v>
      </c>
      <c r="E10380" s="380" t="s">
        <v>786</v>
      </c>
      <c r="F10380" s="380" t="s">
        <v>792</v>
      </c>
      <c r="G10380" s="380" t="s">
        <v>1267</v>
      </c>
      <c r="H10380" s="380" t="s">
        <v>771</v>
      </c>
      <c r="I10380" s="380" t="s">
        <v>788</v>
      </c>
      <c r="J10380" s="380" t="s">
        <v>773</v>
      </c>
      <c r="K10380" s="381">
        <v>0.0</v>
      </c>
      <c r="L10380" s="382">
        <v>1.0</v>
      </c>
    </row>
    <row r="10381">
      <c r="A10381" s="380" t="s">
        <v>11255</v>
      </c>
      <c r="B10381" s="380" t="str">
        <f>IFERROR(__xludf.DUMMYFUNCTION("""COMPUTED_VALUE"""),"MANG Flexible EMB HN 500 Sz940-72219")</f>
        <v>MANG Flexible EMB HN 500 Sz940-72219</v>
      </c>
      <c r="C10381" s="380" t="str">
        <f>IFERROR(__xludf.DUMMYFUNCTION("""COMPUTED_VALUE"""),"70005806")</f>
        <v>70005806</v>
      </c>
      <c r="D10381" s="380" t="s">
        <v>767</v>
      </c>
      <c r="E10381" s="380" t="s">
        <v>786</v>
      </c>
      <c r="F10381" s="380" t="s">
        <v>5661</v>
      </c>
      <c r="G10381" s="380" t="s">
        <v>1267</v>
      </c>
      <c r="H10381" s="380" t="s">
        <v>771</v>
      </c>
      <c r="I10381" s="380" t="s">
        <v>788</v>
      </c>
      <c r="J10381" s="380" t="s">
        <v>773</v>
      </c>
      <c r="K10381" s="381">
        <v>0.0</v>
      </c>
      <c r="L10381" s="382">
        <v>1.0</v>
      </c>
    </row>
    <row r="10382">
      <c r="A10382" s="380" t="s">
        <v>11256</v>
      </c>
      <c r="B10382" s="380" t="str">
        <f>IFERROR(__xludf.DUMMYFUNCTION("""COMPUTED_VALUE"""),"Kit Bomba Agua Mack Mp8 21103569")</f>
        <v>Kit Bomba Agua Mack Mp8 21103569</v>
      </c>
      <c r="C10382" s="380" t="str">
        <f>IFERROR(__xludf.DUMMYFUNCTION("""COMPUTED_VALUE"""),"70005807")</f>
        <v>70005807</v>
      </c>
      <c r="D10382" s="380" t="s">
        <v>767</v>
      </c>
      <c r="E10382" s="380" t="s">
        <v>786</v>
      </c>
      <c r="F10382" s="380" t="s">
        <v>787</v>
      </c>
      <c r="G10382" s="380" t="s">
        <v>1267</v>
      </c>
      <c r="H10382" s="380" t="s">
        <v>771</v>
      </c>
      <c r="I10382" s="380" t="s">
        <v>788</v>
      </c>
      <c r="J10382" s="380" t="s">
        <v>773</v>
      </c>
      <c r="K10382" s="381">
        <v>0.0</v>
      </c>
      <c r="L10382" s="382">
        <v>1.0</v>
      </c>
    </row>
    <row r="10383">
      <c r="A10383" s="380" t="s">
        <v>11257</v>
      </c>
      <c r="B10383" s="380" t="str">
        <f>IFERROR(__xludf.DUMMYFUNCTION("""COMPUTED_VALUE"""),"SOP Bomper IZQ HN 500 52082-E0010")</f>
        <v>SOP Bomper IZQ HN 500 52082-E0010</v>
      </c>
      <c r="C10383" s="380" t="str">
        <f>IFERROR(__xludf.DUMMYFUNCTION("""COMPUTED_VALUE"""),"70005808")</f>
        <v>70005808</v>
      </c>
      <c r="D10383" s="380" t="s">
        <v>767</v>
      </c>
      <c r="E10383" s="380" t="s">
        <v>786</v>
      </c>
      <c r="F10383" s="380" t="s">
        <v>792</v>
      </c>
      <c r="G10383" s="380" t="s">
        <v>1267</v>
      </c>
      <c r="H10383" s="380" t="s">
        <v>771</v>
      </c>
      <c r="I10383" s="380" t="s">
        <v>788</v>
      </c>
      <c r="J10383" s="380" t="s">
        <v>773</v>
      </c>
      <c r="K10383" s="381">
        <v>0.0</v>
      </c>
      <c r="L10383" s="382">
        <v>1.0</v>
      </c>
    </row>
    <row r="10384">
      <c r="A10384" s="380" t="s">
        <v>11258</v>
      </c>
      <c r="B10384" s="380" t="str">
        <f>IFERROR(__xludf.DUMMYFUNCTION("""COMPUTED_VALUE"""),"Bomper Frontal Hino 500 52101-E0c90")</f>
        <v>Bomper Frontal Hino 500 52101-E0c90</v>
      </c>
      <c r="C10384" s="380" t="str">
        <f>IFERROR(__xludf.DUMMYFUNCTION("""COMPUTED_VALUE"""),"70005809")</f>
        <v>70005809</v>
      </c>
      <c r="D10384" s="380" t="s">
        <v>767</v>
      </c>
      <c r="E10384" s="380" t="s">
        <v>786</v>
      </c>
      <c r="F10384" s="380" t="s">
        <v>792</v>
      </c>
      <c r="G10384" s="380" t="s">
        <v>1267</v>
      </c>
      <c r="H10384" s="380" t="s">
        <v>771</v>
      </c>
      <c r="I10384" s="380" t="s">
        <v>788</v>
      </c>
      <c r="J10384" s="380" t="s">
        <v>773</v>
      </c>
      <c r="K10384" s="381">
        <v>0.0</v>
      </c>
      <c r="L10384" s="382">
        <v>1.0</v>
      </c>
    </row>
    <row r="10385">
      <c r="A10385" s="380" t="s">
        <v>11259</v>
      </c>
      <c r="B10385" s="380" t="str">
        <f>IFERROR(__xludf.DUMMYFUNCTION("""COMPUTED_VALUE"""),"Ajustador Freno TRAS IZQ NS Urvan 44201")</f>
        <v>Ajustador Freno TRAS IZQ NS Urvan 44201</v>
      </c>
      <c r="C10385" s="380" t="str">
        <f>IFERROR(__xludf.DUMMYFUNCTION("""COMPUTED_VALUE"""),"70005810")</f>
        <v>70005810</v>
      </c>
      <c r="D10385" s="380" t="s">
        <v>767</v>
      </c>
      <c r="E10385" s="380" t="s">
        <v>786</v>
      </c>
      <c r="F10385" s="380" t="s">
        <v>1017</v>
      </c>
      <c r="G10385" s="380" t="s">
        <v>1267</v>
      </c>
      <c r="H10385" s="380" t="s">
        <v>771</v>
      </c>
      <c r="I10385" s="380" t="s">
        <v>788</v>
      </c>
      <c r="J10385" s="380" t="s">
        <v>773</v>
      </c>
      <c r="K10385" s="381">
        <v>0.0</v>
      </c>
      <c r="L10385" s="382">
        <v>1.0</v>
      </c>
    </row>
    <row r="10386">
      <c r="A10386" s="380" t="s">
        <v>11260</v>
      </c>
      <c r="B10386" s="380" t="str">
        <f>IFERROR(__xludf.DUMMYFUNCTION("""COMPUTED_VALUE"""),"Conjunto Perno RDA Tras FT 1065 77059466")</f>
        <v>Conjunto Perno RDA Tras FT 1065 77059466</v>
      </c>
      <c r="C10386" s="380" t="str">
        <f>IFERROR(__xludf.DUMMYFUNCTION("""COMPUTED_VALUE"""),"70005811")</f>
        <v>70005811</v>
      </c>
      <c r="D10386" s="380" t="s">
        <v>767</v>
      </c>
      <c r="E10386" s="380" t="s">
        <v>786</v>
      </c>
      <c r="F10386" s="380" t="s">
        <v>1039</v>
      </c>
      <c r="G10386" s="380" t="s">
        <v>1267</v>
      </c>
      <c r="H10386" s="380" t="s">
        <v>771</v>
      </c>
      <c r="I10386" s="380" t="s">
        <v>788</v>
      </c>
      <c r="J10386" s="380" t="s">
        <v>773</v>
      </c>
      <c r="K10386" s="381">
        <v>0.0</v>
      </c>
      <c r="L10386" s="382">
        <v>1.0</v>
      </c>
    </row>
    <row r="10387">
      <c r="A10387" s="380" t="s">
        <v>11261</v>
      </c>
      <c r="B10387" s="380" t="str">
        <f>IFERROR(__xludf.DUMMYFUNCTION("""COMPUTED_VALUE"""),"Conector SENS De Presión A/C INT Lt 2514")</f>
        <v>Conector SENS De Presión A/C INT Lt 2514</v>
      </c>
      <c r="C10387" s="380" t="str">
        <f>IFERROR(__xludf.DUMMYFUNCTION("""COMPUTED_VALUE"""),"70005812")</f>
        <v>70005812</v>
      </c>
      <c r="D10387" s="380" t="s">
        <v>767</v>
      </c>
      <c r="E10387" s="380" t="s">
        <v>786</v>
      </c>
      <c r="F10387" s="380" t="s">
        <v>998</v>
      </c>
      <c r="G10387" s="380" t="s">
        <v>1267</v>
      </c>
      <c r="H10387" s="380" t="s">
        <v>771</v>
      </c>
      <c r="I10387" s="380" t="s">
        <v>788</v>
      </c>
      <c r="J10387" s="380" t="s">
        <v>773</v>
      </c>
      <c r="K10387" s="381">
        <v>1257123.0</v>
      </c>
      <c r="L10387" s="382">
        <v>1.0</v>
      </c>
    </row>
    <row r="10388">
      <c r="A10388" s="380" t="s">
        <v>11262</v>
      </c>
      <c r="B10388" s="380" t="str">
        <f>IFERROR(__xludf.DUMMYFUNCTION("""COMPUTED_VALUE"""),"Porta Escobilla Arranque Hino 500 223-25")</f>
        <v>Porta Escobilla Arranque Hino 500 223-25</v>
      </c>
      <c r="C10388" s="380" t="str">
        <f>IFERROR(__xludf.DUMMYFUNCTION("""COMPUTED_VALUE"""),"70005813")</f>
        <v>70005813</v>
      </c>
      <c r="D10388" s="380" t="s">
        <v>767</v>
      </c>
      <c r="E10388" s="380" t="s">
        <v>786</v>
      </c>
      <c r="F10388" s="380" t="s">
        <v>998</v>
      </c>
      <c r="G10388" s="380" t="s">
        <v>1267</v>
      </c>
      <c r="H10388" s="380" t="s">
        <v>771</v>
      </c>
      <c r="I10388" s="380" t="s">
        <v>788</v>
      </c>
      <c r="J10388" s="380" t="s">
        <v>773</v>
      </c>
      <c r="K10388" s="381">
        <v>0.0</v>
      </c>
      <c r="L10388" s="382">
        <v>1.0</v>
      </c>
    </row>
    <row r="10389">
      <c r="A10389" s="380" t="s">
        <v>11263</v>
      </c>
      <c r="B10389" s="380" t="str">
        <f>IFERROR(__xludf.DUMMYFUNCTION("""COMPUTED_VALUE"""),"Inducido MOT ARR HN 500 Ar0355-502-0016")</f>
        <v>Inducido MOT ARR HN 500 Ar0355-502-0016</v>
      </c>
      <c r="C10389" s="380" t="str">
        <f>IFERROR(__xludf.DUMMYFUNCTION("""COMPUTED_VALUE"""),"70005814")</f>
        <v>70005814</v>
      </c>
      <c r="D10389" s="380" t="s">
        <v>767</v>
      </c>
      <c r="E10389" s="380" t="s">
        <v>786</v>
      </c>
      <c r="F10389" s="380" t="s">
        <v>998</v>
      </c>
      <c r="G10389" s="380" t="s">
        <v>1267</v>
      </c>
      <c r="H10389" s="380" t="s">
        <v>771</v>
      </c>
      <c r="I10389" s="380" t="s">
        <v>788</v>
      </c>
      <c r="J10389" s="380" t="s">
        <v>773</v>
      </c>
      <c r="K10389" s="381">
        <v>0.0</v>
      </c>
      <c r="L10389" s="382">
        <v>1.0</v>
      </c>
    </row>
    <row r="10390">
      <c r="A10390" s="380" t="s">
        <v>11264</v>
      </c>
      <c r="B10390" s="380" t="str">
        <f>IFERROR(__xludf.DUMMYFUNCTION("""COMPUTED_VALUE"""),"Conjunto Regulador Alternador Npr Con Ba")</f>
        <v>Conjunto Regulador Alternador Npr Con Ba</v>
      </c>
      <c r="C10390" s="380" t="str">
        <f>IFERROR(__xludf.DUMMYFUNCTION("""COMPUTED_VALUE"""),"70005815")</f>
        <v>70005815</v>
      </c>
      <c r="D10390" s="380" t="s">
        <v>767</v>
      </c>
      <c r="E10390" s="380" t="s">
        <v>786</v>
      </c>
      <c r="F10390" s="380" t="s">
        <v>998</v>
      </c>
      <c r="G10390" s="380" t="s">
        <v>1267</v>
      </c>
      <c r="H10390" s="380" t="s">
        <v>771</v>
      </c>
      <c r="I10390" s="380" t="s">
        <v>788</v>
      </c>
      <c r="J10390" s="380" t="s">
        <v>773</v>
      </c>
      <c r="K10390" s="381">
        <v>0.0</v>
      </c>
      <c r="L10390" s="382">
        <v>1.0</v>
      </c>
    </row>
    <row r="10391">
      <c r="A10391" s="380" t="s">
        <v>11265</v>
      </c>
      <c r="B10391" s="380" t="str">
        <f>IFERROR(__xludf.DUMMYFUNCTION("""COMPUTED_VALUE"""),"Lampara Farola DER HN 500 81110e0671")</f>
        <v>Lampara Farola DER HN 500 81110e0671</v>
      </c>
      <c r="C10391" s="380" t="str">
        <f>IFERROR(__xludf.DUMMYFUNCTION("""COMPUTED_VALUE"""),"70005816")</f>
        <v>70005816</v>
      </c>
      <c r="D10391" s="380" t="s">
        <v>767</v>
      </c>
      <c r="E10391" s="380" t="s">
        <v>786</v>
      </c>
      <c r="F10391" s="380" t="s">
        <v>998</v>
      </c>
      <c r="G10391" s="380" t="s">
        <v>1267</v>
      </c>
      <c r="H10391" s="380" t="s">
        <v>771</v>
      </c>
      <c r="I10391" s="380" t="s">
        <v>788</v>
      </c>
      <c r="J10391" s="380" t="s">
        <v>773</v>
      </c>
      <c r="K10391" s="381">
        <v>0.0</v>
      </c>
      <c r="L10391" s="382">
        <v>1.0</v>
      </c>
    </row>
    <row r="10392">
      <c r="A10392" s="380" t="s">
        <v>11266</v>
      </c>
      <c r="B10392" s="380" t="str">
        <f>IFERROR(__xludf.DUMMYFUNCTION("""COMPUTED_VALUE"""),"Piñon Eje De Levas CH N200 24518545")</f>
        <v>Piñon Eje De Levas CH N200 24518545</v>
      </c>
      <c r="C10392" s="380" t="str">
        <f>IFERROR(__xludf.DUMMYFUNCTION("""COMPUTED_VALUE"""),"70005817")</f>
        <v>70005817</v>
      </c>
      <c r="D10392" s="380" t="s">
        <v>767</v>
      </c>
      <c r="E10392" s="380" t="s">
        <v>786</v>
      </c>
      <c r="F10392" s="380" t="s">
        <v>787</v>
      </c>
      <c r="G10392" s="380" t="s">
        <v>1267</v>
      </c>
      <c r="H10392" s="380" t="s">
        <v>771</v>
      </c>
      <c r="I10392" s="380" t="s">
        <v>788</v>
      </c>
      <c r="J10392" s="380" t="s">
        <v>773</v>
      </c>
      <c r="K10392" s="381">
        <v>0.0</v>
      </c>
      <c r="L10392" s="382">
        <v>1.0</v>
      </c>
    </row>
    <row r="10393">
      <c r="A10393" s="380" t="s">
        <v>11267</v>
      </c>
      <c r="B10393" s="380" t="str">
        <f>IFERROR(__xludf.DUMMYFUNCTION("""COMPUTED_VALUE"""),"Tapon Tapa Frontal Inf Cubierta 3688114")</f>
        <v>Tapon Tapa Frontal Inf Cubierta 3688114</v>
      </c>
      <c r="C10393" s="380" t="str">
        <f>IFERROR(__xludf.DUMMYFUNCTION("""COMPUTED_VALUE"""),"70005818")</f>
        <v>70005818</v>
      </c>
      <c r="D10393" s="380" t="s">
        <v>767</v>
      </c>
      <c r="E10393" s="380" t="s">
        <v>786</v>
      </c>
      <c r="F10393" s="380" t="s">
        <v>787</v>
      </c>
      <c r="G10393" s="380" t="s">
        <v>1267</v>
      </c>
      <c r="H10393" s="380" t="s">
        <v>771</v>
      </c>
      <c r="I10393" s="380" t="s">
        <v>788</v>
      </c>
      <c r="J10393" s="380" t="s">
        <v>773</v>
      </c>
      <c r="K10393" s="381">
        <v>0.0</v>
      </c>
      <c r="L10393" s="382">
        <v>1.0</v>
      </c>
    </row>
    <row r="10394">
      <c r="A10394" s="380" t="s">
        <v>11268</v>
      </c>
      <c r="B10394" s="380" t="str">
        <f>IFERROR(__xludf.DUMMYFUNCTION("""COMPUTED_VALUE"""),"Juego Conectores Modulo MOT HN 300 Recon")</f>
        <v>Juego Conectores Modulo MOT HN 300 Recon</v>
      </c>
      <c r="C10394" s="380" t="str">
        <f>IFERROR(__xludf.DUMMYFUNCTION("""COMPUTED_VALUE"""),"70005819")</f>
        <v>70005819</v>
      </c>
      <c r="D10394" s="380" t="s">
        <v>767</v>
      </c>
      <c r="E10394" s="380" t="s">
        <v>786</v>
      </c>
      <c r="F10394" s="380" t="s">
        <v>998</v>
      </c>
      <c r="G10394" s="380" t="s">
        <v>1267</v>
      </c>
      <c r="H10394" s="380" t="s">
        <v>771</v>
      </c>
      <c r="I10394" s="380" t="s">
        <v>788</v>
      </c>
      <c r="J10394" s="380" t="s">
        <v>773</v>
      </c>
      <c r="K10394" s="381">
        <v>0.0</v>
      </c>
      <c r="L10394" s="382">
        <v>1.0</v>
      </c>
    </row>
    <row r="10395">
      <c r="A10395" s="380" t="s">
        <v>11269</v>
      </c>
      <c r="B10395" s="380" t="str">
        <f>IFERROR(__xludf.DUMMYFUNCTION("""COMPUTED_VALUE"""),"CJ DIR DFENG ELEC REP")</f>
        <v>CJ DIR DFENG ELEC REP</v>
      </c>
      <c r="C10395" s="380" t="str">
        <f>IFERROR(__xludf.DUMMYFUNCTION("""COMPUTED_VALUE"""),"70005820")</f>
        <v>70005820</v>
      </c>
      <c r="D10395" s="380" t="s">
        <v>767</v>
      </c>
      <c r="E10395" s="380" t="s">
        <v>786</v>
      </c>
      <c r="F10395" s="380" t="s">
        <v>1020</v>
      </c>
      <c r="G10395" s="380" t="s">
        <v>1267</v>
      </c>
      <c r="H10395" s="380" t="s">
        <v>771</v>
      </c>
      <c r="I10395" s="380" t="s">
        <v>788</v>
      </c>
      <c r="J10395" s="380" t="s">
        <v>773</v>
      </c>
      <c r="K10395" s="381">
        <v>0.0</v>
      </c>
      <c r="L10395" s="382">
        <v>1.0</v>
      </c>
    </row>
    <row r="10396">
      <c r="A10396" s="380" t="s">
        <v>11270</v>
      </c>
      <c r="B10396" s="380" t="str">
        <f>IFERROR(__xludf.DUMMYFUNCTION("""COMPUTED_VALUE"""),"VALV Presion BMB INY HN Dutropack 04226-")</f>
        <v>VALV Presion BMB INY HN Dutropack 04226-</v>
      </c>
      <c r="C10396" s="380" t="str">
        <f>IFERROR(__xludf.DUMMYFUNCTION("""COMPUTED_VALUE"""),"70005821")</f>
        <v>70005821</v>
      </c>
      <c r="D10396" s="380" t="s">
        <v>767</v>
      </c>
      <c r="E10396" s="380" t="s">
        <v>786</v>
      </c>
      <c r="F10396" s="380" t="s">
        <v>998</v>
      </c>
      <c r="G10396" s="380" t="s">
        <v>1267</v>
      </c>
      <c r="H10396" s="380" t="s">
        <v>771</v>
      </c>
      <c r="I10396" s="380" t="s">
        <v>788</v>
      </c>
      <c r="J10396" s="380" t="s">
        <v>773</v>
      </c>
      <c r="K10396" s="381">
        <v>0.0</v>
      </c>
      <c r="L10396" s="382">
        <v>1.0</v>
      </c>
    </row>
    <row r="10397">
      <c r="A10397" s="380" t="s">
        <v>11271</v>
      </c>
      <c r="B10397" s="380" t="str">
        <f>IFERROR(__xludf.DUMMYFUNCTION("""COMPUTED_VALUE"""),"Gancho Capot Kw T660 S-23780")</f>
        <v>Gancho Capot Kw T660 S-23780</v>
      </c>
      <c r="C10397" s="380" t="str">
        <f>IFERROR(__xludf.DUMMYFUNCTION("""COMPUTED_VALUE"""),"70005822")</f>
        <v>70005822</v>
      </c>
      <c r="D10397" s="380" t="s">
        <v>767</v>
      </c>
      <c r="E10397" s="380" t="s">
        <v>786</v>
      </c>
      <c r="F10397" s="380" t="s">
        <v>792</v>
      </c>
      <c r="G10397" s="380" t="s">
        <v>1267</v>
      </c>
      <c r="H10397" s="380" t="s">
        <v>771</v>
      </c>
      <c r="I10397" s="380" t="s">
        <v>788</v>
      </c>
      <c r="J10397" s="380" t="s">
        <v>773</v>
      </c>
      <c r="K10397" s="381">
        <v>0.0</v>
      </c>
      <c r="L10397" s="382">
        <v>1.0</v>
      </c>
    </row>
    <row r="10398">
      <c r="A10398" s="380" t="s">
        <v>11272</v>
      </c>
      <c r="B10398" s="380" t="str">
        <f>IFERROR(__xludf.DUMMYFUNCTION("""COMPUTED_VALUE"""),"Manija INTna PTA Izq FT Minitruck 770014")</f>
        <v>Manija INTna PTA Izq FT Minitruck 770014</v>
      </c>
      <c r="C10398" s="380" t="str">
        <f>IFERROR(__xludf.DUMMYFUNCTION("""COMPUTED_VALUE"""),"70005823")</f>
        <v>70005823</v>
      </c>
      <c r="D10398" s="380" t="s">
        <v>767</v>
      </c>
      <c r="E10398" s="380" t="s">
        <v>786</v>
      </c>
      <c r="F10398" s="380" t="s">
        <v>792</v>
      </c>
      <c r="G10398" s="380" t="s">
        <v>1267</v>
      </c>
      <c r="H10398" s="380" t="s">
        <v>771</v>
      </c>
      <c r="I10398" s="380" t="s">
        <v>788</v>
      </c>
      <c r="J10398" s="380" t="s">
        <v>773</v>
      </c>
      <c r="K10398" s="381">
        <v>0.0</v>
      </c>
      <c r="L10398" s="382">
        <v>1.0</v>
      </c>
    </row>
    <row r="10399">
      <c r="A10399" s="380" t="s">
        <v>11273</v>
      </c>
      <c r="B10399" s="380" t="str">
        <f>IFERROR(__xludf.DUMMYFUNCTION("""COMPUTED_VALUE"""),"Convertidor 24v A 12v Daf Cf480 Ftt Otr-")</f>
        <v>Convertidor 24v A 12v Daf Cf480 Ftt Otr-</v>
      </c>
      <c r="C10399" s="380" t="str">
        <f>IFERROR(__xludf.DUMMYFUNCTION("""COMPUTED_VALUE"""),"70005824")</f>
        <v>70005824</v>
      </c>
      <c r="D10399" s="380" t="s">
        <v>767</v>
      </c>
      <c r="E10399" s="380" t="s">
        <v>786</v>
      </c>
      <c r="F10399" s="380" t="s">
        <v>998</v>
      </c>
      <c r="G10399" s="380" t="s">
        <v>1267</v>
      </c>
      <c r="H10399" s="380" t="s">
        <v>771</v>
      </c>
      <c r="I10399" s="380" t="s">
        <v>788</v>
      </c>
      <c r="J10399" s="380" t="s">
        <v>773</v>
      </c>
      <c r="K10399" s="381">
        <v>1819999.0</v>
      </c>
      <c r="L10399" s="382">
        <v>1.0</v>
      </c>
    </row>
    <row r="10400">
      <c r="A10400" s="380" t="s">
        <v>11274</v>
      </c>
      <c r="B10400" s="380" t="str">
        <f>IFERROR(__xludf.DUMMYFUNCTION("""COMPUTED_VALUE"""),"Valvula Cheque SB 22521")</f>
        <v>Valvula Cheque SB 22521</v>
      </c>
      <c r="C10400" s="380" t="str">
        <f>IFERROR(__xludf.DUMMYFUNCTION("""COMPUTED_VALUE"""),"70005825")</f>
        <v>70005825</v>
      </c>
      <c r="D10400" s="380" t="s">
        <v>767</v>
      </c>
      <c r="E10400" s="380" t="s">
        <v>786</v>
      </c>
      <c r="F10400" s="380" t="s">
        <v>787</v>
      </c>
      <c r="G10400" s="380" t="s">
        <v>1267</v>
      </c>
      <c r="H10400" s="380" t="s">
        <v>771</v>
      </c>
      <c r="I10400" s="380" t="s">
        <v>788</v>
      </c>
      <c r="J10400" s="380" t="s">
        <v>773</v>
      </c>
      <c r="K10400" s="381">
        <v>0.0</v>
      </c>
      <c r="L10400" s="382">
        <v>1.0</v>
      </c>
    </row>
    <row r="10401">
      <c r="A10401" s="380" t="s">
        <v>11275</v>
      </c>
      <c r="B10401" s="380" t="str">
        <f>IFERROR(__xludf.DUMMYFUNCTION("""COMPUTED_VALUE"""),"CIL Principal Clutch FT 1030 77059469229")</f>
        <v>CIL Principal Clutch FT 1030 77059469229</v>
      </c>
      <c r="C10401" s="380" t="str">
        <f>IFERROR(__xludf.DUMMYFUNCTION("""COMPUTED_VALUE"""),"70005826")</f>
        <v>70005826</v>
      </c>
      <c r="D10401" s="380" t="s">
        <v>767</v>
      </c>
      <c r="E10401" s="380" t="s">
        <v>786</v>
      </c>
      <c r="F10401" s="380" t="s">
        <v>5661</v>
      </c>
      <c r="G10401" s="380" t="s">
        <v>1267</v>
      </c>
      <c r="H10401" s="380" t="s">
        <v>771</v>
      </c>
      <c r="I10401" s="380" t="s">
        <v>788</v>
      </c>
      <c r="J10401" s="380" t="s">
        <v>773</v>
      </c>
      <c r="K10401" s="381">
        <v>0.0</v>
      </c>
      <c r="L10401" s="382">
        <v>1.0</v>
      </c>
    </row>
    <row r="10402">
      <c r="A10402" s="380" t="s">
        <v>11276</v>
      </c>
      <c r="B10402" s="380" t="str">
        <f>IFERROR(__xludf.DUMMYFUNCTION("""COMPUTED_VALUE"""),"Bombin Vaso Sedimentador FRR 8981629044")</f>
        <v>Bombin Vaso Sedimentador FRR 8981629044</v>
      </c>
      <c r="C10402" s="380" t="str">
        <f>IFERROR(__xludf.DUMMYFUNCTION("""COMPUTED_VALUE"""),"70005827")</f>
        <v>70005827</v>
      </c>
      <c r="D10402" s="380" t="s">
        <v>767</v>
      </c>
      <c r="E10402" s="380" t="s">
        <v>786</v>
      </c>
      <c r="F10402" s="380" t="s">
        <v>787</v>
      </c>
      <c r="G10402" s="380" t="s">
        <v>1267</v>
      </c>
      <c r="H10402" s="380" t="s">
        <v>771</v>
      </c>
      <c r="I10402" s="380" t="s">
        <v>788</v>
      </c>
      <c r="J10402" s="380" t="s">
        <v>773</v>
      </c>
      <c r="K10402" s="381">
        <v>0.0</v>
      </c>
      <c r="L10402" s="382">
        <v>1.0</v>
      </c>
    </row>
    <row r="10403">
      <c r="A10403" s="380" t="s">
        <v>11277</v>
      </c>
      <c r="B10403" s="380" t="str">
        <f>IFERROR(__xludf.DUMMYFUNCTION("""COMPUTED_VALUE"""),"Tensor Correa VENT Isx Kw T800 Mod 2012")</f>
        <v>Tensor Correa VENT Isx Kw T800 Mod 2012</v>
      </c>
      <c r="C10403" s="380" t="str">
        <f>IFERROR(__xludf.DUMMYFUNCTION("""COMPUTED_VALUE"""),"70005828")</f>
        <v>70005828</v>
      </c>
      <c r="D10403" s="380" t="s">
        <v>767</v>
      </c>
      <c r="E10403" s="380" t="s">
        <v>786</v>
      </c>
      <c r="F10403" s="380" t="s">
        <v>787</v>
      </c>
      <c r="G10403" s="380" t="s">
        <v>1267</v>
      </c>
      <c r="H10403" s="380" t="s">
        <v>771</v>
      </c>
      <c r="I10403" s="380" t="s">
        <v>788</v>
      </c>
      <c r="J10403" s="380" t="s">
        <v>773</v>
      </c>
      <c r="K10403" s="381">
        <v>0.0</v>
      </c>
      <c r="L10403" s="382">
        <v>1.0</v>
      </c>
    </row>
    <row r="10404">
      <c r="A10404" s="380" t="s">
        <v>11278</v>
      </c>
      <c r="B10404" s="380" t="str">
        <f>IFERROR(__xludf.DUMMYFUNCTION("""COMPUTED_VALUE"""),"Manija Descansabrazo PTA EGL REP")</f>
        <v>Manija Descansabrazo PTA EGL REP</v>
      </c>
      <c r="C10404" s="380" t="str">
        <f>IFERROR(__xludf.DUMMYFUNCTION("""COMPUTED_VALUE"""),"70005829")</f>
        <v>70005829</v>
      </c>
      <c r="D10404" s="380" t="s">
        <v>767</v>
      </c>
      <c r="E10404" s="380" t="s">
        <v>786</v>
      </c>
      <c r="F10404" s="380" t="s">
        <v>792</v>
      </c>
      <c r="G10404" s="380" t="s">
        <v>1267</v>
      </c>
      <c r="H10404" s="380" t="s">
        <v>771</v>
      </c>
      <c r="I10404" s="380" t="s">
        <v>788</v>
      </c>
      <c r="J10404" s="380" t="s">
        <v>773</v>
      </c>
      <c r="K10404" s="381">
        <v>0.0</v>
      </c>
      <c r="L10404" s="382">
        <v>1.0</v>
      </c>
    </row>
    <row r="10405">
      <c r="A10405" s="380" t="s">
        <v>11279</v>
      </c>
      <c r="B10405" s="380" t="str">
        <f>IFERROR(__xludf.DUMMYFUNCTION("""COMPUTED_VALUE"""),"Tanque De Aire Foton 1128 7705946732901")</f>
        <v>Tanque De Aire Foton 1128 7705946732901</v>
      </c>
      <c r="C10405" s="380" t="str">
        <f>IFERROR(__xludf.DUMMYFUNCTION("""COMPUTED_VALUE"""),"70005830")</f>
        <v>70005830</v>
      </c>
      <c r="D10405" s="380" t="s">
        <v>767</v>
      </c>
      <c r="E10405" s="380" t="s">
        <v>786</v>
      </c>
      <c r="F10405" s="380" t="s">
        <v>792</v>
      </c>
      <c r="G10405" s="380" t="s">
        <v>1267</v>
      </c>
      <c r="H10405" s="380" t="s">
        <v>771</v>
      </c>
      <c r="I10405" s="380" t="s">
        <v>788</v>
      </c>
      <c r="J10405" s="380" t="s">
        <v>773</v>
      </c>
      <c r="K10405" s="381">
        <v>0.0</v>
      </c>
      <c r="L10405" s="382">
        <v>1.0</v>
      </c>
    </row>
    <row r="10406">
      <c r="A10406" s="380" t="s">
        <v>11280</v>
      </c>
      <c r="B10406" s="380" t="str">
        <f>IFERROR(__xludf.DUMMYFUNCTION("""COMPUTED_VALUE"""),"Cuña De Splinder FT 1065 7701023690461")</f>
        <v>Cuña De Splinder FT 1065 7701023690461</v>
      </c>
      <c r="C10406" s="380" t="str">
        <f>IFERROR(__xludf.DUMMYFUNCTION("""COMPUTED_VALUE"""),"70005831")</f>
        <v>70005831</v>
      </c>
      <c r="D10406" s="380" t="s">
        <v>767</v>
      </c>
      <c r="E10406" s="380" t="s">
        <v>786</v>
      </c>
      <c r="F10406" s="380" t="s">
        <v>1039</v>
      </c>
      <c r="G10406" s="380" t="s">
        <v>1267</v>
      </c>
      <c r="H10406" s="380" t="s">
        <v>771</v>
      </c>
      <c r="I10406" s="380" t="s">
        <v>788</v>
      </c>
      <c r="J10406" s="380" t="s">
        <v>773</v>
      </c>
      <c r="K10406" s="381">
        <v>0.0</v>
      </c>
      <c r="L10406" s="382">
        <v>1.0</v>
      </c>
    </row>
    <row r="10407">
      <c r="A10407" s="380" t="s">
        <v>11281</v>
      </c>
      <c r="B10407" s="380" t="str">
        <f>IFERROR(__xludf.DUMMYFUNCTION("""COMPUTED_VALUE"""),"Terminal DIRción IZQ Jac 1042 3003520n")</f>
        <v>Terminal DIRción IZQ Jac 1042 3003520n</v>
      </c>
      <c r="C10407" s="380" t="str">
        <f>IFERROR(__xludf.DUMMYFUNCTION("""COMPUTED_VALUE"""),"70005832")</f>
        <v>70005832</v>
      </c>
      <c r="D10407" s="380" t="s">
        <v>767</v>
      </c>
      <c r="E10407" s="380" t="s">
        <v>786</v>
      </c>
      <c r="F10407" s="380" t="s">
        <v>1020</v>
      </c>
      <c r="G10407" s="380" t="s">
        <v>1267</v>
      </c>
      <c r="H10407" s="380" t="s">
        <v>771</v>
      </c>
      <c r="I10407" s="380" t="s">
        <v>788</v>
      </c>
      <c r="J10407" s="380" t="s">
        <v>773</v>
      </c>
      <c r="K10407" s="381">
        <v>0.0</v>
      </c>
      <c r="L10407" s="382">
        <v>1.0</v>
      </c>
    </row>
    <row r="10408">
      <c r="A10408" s="380" t="s">
        <v>11282</v>
      </c>
      <c r="B10408" s="380" t="str">
        <f>IFERROR(__xludf.DUMMYFUNCTION("""COMPUTED_VALUE"""),"Correa Ventilador Npr 17420")</f>
        <v>Correa Ventilador Npr 17420</v>
      </c>
      <c r="C10408" s="380" t="str">
        <f>IFERROR(__xludf.DUMMYFUNCTION("""COMPUTED_VALUE"""),"70005833")</f>
        <v>70005833</v>
      </c>
      <c r="D10408" s="380" t="s">
        <v>767</v>
      </c>
      <c r="E10408" s="380" t="s">
        <v>786</v>
      </c>
      <c r="F10408" s="380" t="s">
        <v>787</v>
      </c>
      <c r="G10408" s="380" t="s">
        <v>1267</v>
      </c>
      <c r="H10408" s="380" t="s">
        <v>771</v>
      </c>
      <c r="I10408" s="380" t="s">
        <v>788</v>
      </c>
      <c r="J10408" s="380" t="s">
        <v>773</v>
      </c>
      <c r="K10408" s="381">
        <v>0.0</v>
      </c>
      <c r="L10408" s="382">
        <v>1.0</v>
      </c>
    </row>
    <row r="10409">
      <c r="A10409" s="380" t="s">
        <v>11283</v>
      </c>
      <c r="B10409" s="380" t="str">
        <f>IFERROR(__xludf.DUMMYFUNCTION("""COMPUTED_VALUE"""),"Terminal DIRción DER Jac 1042 3003510n")</f>
        <v>Terminal DIRción DER Jac 1042 3003510n</v>
      </c>
      <c r="C10409" s="380" t="str">
        <f>IFERROR(__xludf.DUMMYFUNCTION("""COMPUTED_VALUE"""),"70005834")</f>
        <v>70005834</v>
      </c>
      <c r="D10409" s="380" t="s">
        <v>767</v>
      </c>
      <c r="E10409" s="380" t="s">
        <v>786</v>
      </c>
      <c r="F10409" s="380" t="s">
        <v>1020</v>
      </c>
      <c r="G10409" s="380" t="s">
        <v>1267</v>
      </c>
      <c r="H10409" s="380" t="s">
        <v>771</v>
      </c>
      <c r="I10409" s="380" t="s">
        <v>788</v>
      </c>
      <c r="J10409" s="380" t="s">
        <v>773</v>
      </c>
      <c r="K10409" s="381">
        <v>0.0</v>
      </c>
      <c r="L10409" s="382">
        <v>1.0</v>
      </c>
    </row>
    <row r="10410">
      <c r="A10410" s="380" t="s">
        <v>11284</v>
      </c>
      <c r="B10410" s="380" t="str">
        <f>IFERROR(__xludf.DUMMYFUNCTION("""COMPUTED_VALUE"""),"Cartera PTA Deslizante Izq FT 5946023535")</f>
        <v>Cartera PTA Deslizante Izq FT 5946023535</v>
      </c>
      <c r="C10410" s="380" t="str">
        <f>IFERROR(__xludf.DUMMYFUNCTION("""COMPUTED_VALUE"""),"70005835")</f>
        <v>70005835</v>
      </c>
      <c r="D10410" s="380" t="s">
        <v>767</v>
      </c>
      <c r="E10410" s="380" t="s">
        <v>786</v>
      </c>
      <c r="F10410" s="380" t="s">
        <v>792</v>
      </c>
      <c r="G10410" s="380" t="s">
        <v>1267</v>
      </c>
      <c r="H10410" s="380" t="s">
        <v>771</v>
      </c>
      <c r="I10410" s="380" t="s">
        <v>788</v>
      </c>
      <c r="J10410" s="380" t="s">
        <v>773</v>
      </c>
      <c r="K10410" s="381">
        <v>0.0</v>
      </c>
      <c r="L10410" s="382">
        <v>1.0</v>
      </c>
    </row>
    <row r="10411">
      <c r="A10411" s="380" t="s">
        <v>11285</v>
      </c>
      <c r="B10411" s="380" t="str">
        <f>IFERROR(__xludf.DUMMYFUNCTION("""COMPUTED_VALUE"""),"Cartera PTA Deslizante Der FT 5946023542")</f>
        <v>Cartera PTA Deslizante Der FT 5946023542</v>
      </c>
      <c r="C10411" s="380" t="str">
        <f>IFERROR(__xludf.DUMMYFUNCTION("""COMPUTED_VALUE"""),"70005836")</f>
        <v>70005836</v>
      </c>
      <c r="D10411" s="380" t="s">
        <v>767</v>
      </c>
      <c r="E10411" s="380" t="s">
        <v>786</v>
      </c>
      <c r="F10411" s="380" t="s">
        <v>792</v>
      </c>
      <c r="G10411" s="380" t="s">
        <v>1267</v>
      </c>
      <c r="H10411" s="380" t="s">
        <v>771</v>
      </c>
      <c r="I10411" s="380" t="s">
        <v>788</v>
      </c>
      <c r="J10411" s="380" t="s">
        <v>773</v>
      </c>
      <c r="K10411" s="381">
        <v>0.0</v>
      </c>
      <c r="L10411" s="382">
        <v>1.0</v>
      </c>
    </row>
    <row r="10412">
      <c r="A10412" s="380" t="s">
        <v>11286</v>
      </c>
      <c r="B10412" s="380" t="str">
        <f>IFERROR(__xludf.DUMMYFUNCTION("""COMPUTED_VALUE"""),"Bobina De Ignicion FT Mv5 7705946023146")</f>
        <v>Bobina De Ignicion FT Mv5 7705946023146</v>
      </c>
      <c r="C10412" s="380" t="str">
        <f>IFERROR(__xludf.DUMMYFUNCTION("""COMPUTED_VALUE"""),"70005837")</f>
        <v>70005837</v>
      </c>
      <c r="D10412" s="380" t="s">
        <v>767</v>
      </c>
      <c r="E10412" s="380" t="s">
        <v>786</v>
      </c>
      <c r="F10412" s="380" t="s">
        <v>998</v>
      </c>
      <c r="G10412" s="380" t="s">
        <v>1267</v>
      </c>
      <c r="H10412" s="380" t="s">
        <v>771</v>
      </c>
      <c r="I10412" s="380" t="s">
        <v>788</v>
      </c>
      <c r="J10412" s="380" t="s">
        <v>773</v>
      </c>
      <c r="K10412" s="381">
        <v>0.0</v>
      </c>
      <c r="L10412" s="382">
        <v>1.0</v>
      </c>
    </row>
    <row r="10413">
      <c r="A10413" s="380" t="s">
        <v>11287</v>
      </c>
      <c r="B10413" s="380" t="str">
        <f>IFERROR(__xludf.DUMMYFUNCTION("""COMPUTED_VALUE"""),"Manguera Acoplada Freno Nkr Iii Rw")</f>
        <v>Manguera Acoplada Freno Nkr Iii Rw</v>
      </c>
      <c r="C10413" s="380" t="str">
        <f>IFERROR(__xludf.DUMMYFUNCTION("""COMPUTED_VALUE"""),"70005838")</f>
        <v>70005838</v>
      </c>
      <c r="D10413" s="380" t="s">
        <v>767</v>
      </c>
      <c r="E10413" s="380" t="s">
        <v>786</v>
      </c>
      <c r="F10413" s="380" t="s">
        <v>1017</v>
      </c>
      <c r="G10413" s="380" t="s">
        <v>1267</v>
      </c>
      <c r="H10413" s="380" t="s">
        <v>771</v>
      </c>
      <c r="I10413" s="380" t="s">
        <v>788</v>
      </c>
      <c r="J10413" s="380" t="s">
        <v>773</v>
      </c>
      <c r="K10413" s="381">
        <v>0.0</v>
      </c>
      <c r="L10413" s="382">
        <v>1.0</v>
      </c>
    </row>
    <row r="10414">
      <c r="A10414" s="380" t="s">
        <v>11288</v>
      </c>
      <c r="B10414" s="380" t="str">
        <f>IFERROR(__xludf.DUMMYFUNCTION("""COMPUTED_VALUE"""),"carcasa Filtro Aire Ftr 8983888890")</f>
        <v>carcasa Filtro Aire Ftr 8983888890</v>
      </c>
      <c r="C10414" s="380" t="str">
        <f>IFERROR(__xludf.DUMMYFUNCTION("""COMPUTED_VALUE"""),"70005839")</f>
        <v>70005839</v>
      </c>
      <c r="D10414" s="380" t="s">
        <v>767</v>
      </c>
      <c r="E10414" s="380" t="s">
        <v>786</v>
      </c>
      <c r="F10414" s="380" t="s">
        <v>787</v>
      </c>
      <c r="G10414" s="380" t="s">
        <v>1267</v>
      </c>
      <c r="H10414" s="380" t="s">
        <v>771</v>
      </c>
      <c r="I10414" s="380" t="s">
        <v>788</v>
      </c>
      <c r="J10414" s="380" t="s">
        <v>773</v>
      </c>
      <c r="K10414" s="381">
        <v>0.0</v>
      </c>
      <c r="L10414" s="382">
        <v>1.0</v>
      </c>
    </row>
    <row r="10415">
      <c r="A10415" s="380" t="s">
        <v>11289</v>
      </c>
      <c r="B10415" s="380" t="str">
        <f>IFERROR(__xludf.DUMMYFUNCTION("""COMPUTED_VALUE"""),"Modulo CTRL MOT Ecu HN 300 89661-3755")</f>
        <v>Modulo CTRL MOT Ecu HN 300 89661-3755</v>
      </c>
      <c r="C10415" s="380" t="str">
        <f>IFERROR(__xludf.DUMMYFUNCTION("""COMPUTED_VALUE"""),"70005840")</f>
        <v>70005840</v>
      </c>
      <c r="D10415" s="380" t="s">
        <v>767</v>
      </c>
      <c r="E10415" s="380" t="s">
        <v>786</v>
      </c>
      <c r="F10415" s="380" t="s">
        <v>787</v>
      </c>
      <c r="G10415" s="380" t="s">
        <v>1267</v>
      </c>
      <c r="H10415" s="380" t="s">
        <v>771</v>
      </c>
      <c r="I10415" s="380" t="s">
        <v>788</v>
      </c>
      <c r="J10415" s="380" t="s">
        <v>773</v>
      </c>
      <c r="K10415" s="381">
        <v>0.0</v>
      </c>
      <c r="L10415" s="382">
        <v>1.0</v>
      </c>
    </row>
    <row r="10416">
      <c r="A10416" s="380" t="s">
        <v>11290</v>
      </c>
      <c r="B10416" s="380" t="str">
        <f>IFERROR(__xludf.DUMMYFUNCTION("""COMPUTED_VALUE"""),"Bastidor Sistema Neumatico New 90516740")</f>
        <v>Bastidor Sistema Neumatico New 90516740</v>
      </c>
      <c r="C10416" s="380" t="str">
        <f>IFERROR(__xludf.DUMMYFUNCTION("""COMPUTED_VALUE"""),"70005841")</f>
        <v>70005841</v>
      </c>
      <c r="D10416" s="380" t="s">
        <v>767</v>
      </c>
      <c r="E10416" s="380" t="s">
        <v>786</v>
      </c>
      <c r="F10416" s="380" t="s">
        <v>1039</v>
      </c>
      <c r="G10416" s="380" t="s">
        <v>1267</v>
      </c>
      <c r="H10416" s="380" t="s">
        <v>771</v>
      </c>
      <c r="I10416" s="380" t="s">
        <v>788</v>
      </c>
      <c r="J10416" s="380" t="s">
        <v>773</v>
      </c>
      <c r="K10416" s="381">
        <v>0.0</v>
      </c>
      <c r="L10416" s="382">
        <v>1.0</v>
      </c>
    </row>
    <row r="10417">
      <c r="A10417" s="380" t="s">
        <v>11291</v>
      </c>
      <c r="B10417" s="380" t="str">
        <f>IFERROR(__xludf.DUMMYFUNCTION("""COMPUTED_VALUE"""),"Bastidor Sistema Neumatico Neway Iz 9051")</f>
        <v>Bastidor Sistema Neumatico Neway Iz 9051</v>
      </c>
      <c r="C10417" s="380" t="str">
        <f>IFERROR(__xludf.DUMMYFUNCTION("""COMPUTED_VALUE"""),"70005842")</f>
        <v>70005842</v>
      </c>
      <c r="D10417" s="380" t="s">
        <v>767</v>
      </c>
      <c r="E10417" s="380" t="s">
        <v>786</v>
      </c>
      <c r="F10417" s="380" t="s">
        <v>1039</v>
      </c>
      <c r="G10417" s="380" t="s">
        <v>1267</v>
      </c>
      <c r="H10417" s="380" t="s">
        <v>771</v>
      </c>
      <c r="I10417" s="380" t="s">
        <v>788</v>
      </c>
      <c r="J10417" s="380" t="s">
        <v>773</v>
      </c>
      <c r="K10417" s="381">
        <v>0.0</v>
      </c>
      <c r="L10417" s="382">
        <v>1.0</v>
      </c>
    </row>
    <row r="10418">
      <c r="A10418" s="380" t="s">
        <v>11292</v>
      </c>
      <c r="B10418" s="380" t="str">
        <f>IFERROR(__xludf.DUMMYFUNCTION("""COMPUTED_VALUE"""),"Piñon Cigueñal Foton 1039 7705946395410")</f>
        <v>Piñon Cigueñal Foton 1039 7705946395410</v>
      </c>
      <c r="C10418" s="380" t="str">
        <f>IFERROR(__xludf.DUMMYFUNCTION("""COMPUTED_VALUE"""),"70005843")</f>
        <v>70005843</v>
      </c>
      <c r="D10418" s="380" t="s">
        <v>767</v>
      </c>
      <c r="E10418" s="380" t="s">
        <v>786</v>
      </c>
      <c r="F10418" s="380" t="s">
        <v>787</v>
      </c>
      <c r="G10418" s="380" t="s">
        <v>1267</v>
      </c>
      <c r="H10418" s="380" t="s">
        <v>771</v>
      </c>
      <c r="I10418" s="380" t="s">
        <v>788</v>
      </c>
      <c r="J10418" s="380" t="s">
        <v>773</v>
      </c>
      <c r="K10418" s="381">
        <v>0.0</v>
      </c>
      <c r="L10418" s="382">
        <v>1.0</v>
      </c>
    </row>
    <row r="10419">
      <c r="A10419" s="380" t="s">
        <v>11293</v>
      </c>
      <c r="B10419" s="380" t="str">
        <f>IFERROR(__xludf.DUMMYFUNCTION("""COMPUTED_VALUE"""),"Rodamiento Piñon Loco Distribucion FT 10")</f>
        <v>Rodamiento Piñon Loco Distribucion FT 10</v>
      </c>
      <c r="C10419" s="380" t="str">
        <f>IFERROR(__xludf.DUMMYFUNCTION("""COMPUTED_VALUE"""),"70005844")</f>
        <v>70005844</v>
      </c>
      <c r="D10419" s="380" t="s">
        <v>767</v>
      </c>
      <c r="E10419" s="380" t="s">
        <v>786</v>
      </c>
      <c r="F10419" s="380" t="s">
        <v>787</v>
      </c>
      <c r="G10419" s="380" t="s">
        <v>1267</v>
      </c>
      <c r="H10419" s="380" t="s">
        <v>771</v>
      </c>
      <c r="I10419" s="380" t="s">
        <v>788</v>
      </c>
      <c r="J10419" s="380" t="s">
        <v>773</v>
      </c>
      <c r="K10419" s="381">
        <v>0.0</v>
      </c>
      <c r="L10419" s="382">
        <v>1.0</v>
      </c>
    </row>
    <row r="10420">
      <c r="A10420" s="380" t="s">
        <v>11294</v>
      </c>
      <c r="B10420" s="380" t="str">
        <f>IFERROR(__xludf.DUMMYFUNCTION("""COMPUTED_VALUE"""),"Piñon Arbol De Levas FT 1039 77010234936")</f>
        <v>Piñon Arbol De Levas FT 1039 77010234936</v>
      </c>
      <c r="C10420" s="380" t="str">
        <f>IFERROR(__xludf.DUMMYFUNCTION("""COMPUTED_VALUE"""),"70005845")</f>
        <v>70005845</v>
      </c>
      <c r="D10420" s="380" t="s">
        <v>767</v>
      </c>
      <c r="E10420" s="380" t="s">
        <v>786</v>
      </c>
      <c r="F10420" s="380" t="s">
        <v>787</v>
      </c>
      <c r="G10420" s="380" t="s">
        <v>1267</v>
      </c>
      <c r="H10420" s="380" t="s">
        <v>771</v>
      </c>
      <c r="I10420" s="380" t="s">
        <v>788</v>
      </c>
      <c r="J10420" s="380" t="s">
        <v>773</v>
      </c>
      <c r="K10420" s="381">
        <v>0.0</v>
      </c>
      <c r="L10420" s="382">
        <v>1.0</v>
      </c>
    </row>
    <row r="10421">
      <c r="A10421" s="380" t="s">
        <v>11295</v>
      </c>
      <c r="B10421" s="380" t="str">
        <f>IFERROR(__xludf.DUMMYFUNCTION("""COMPUTED_VALUE"""),"Piñon Loco Sup. Distribucion Foton 1039")</f>
        <v>Piñon Loco Sup. Distribucion Foton 1039</v>
      </c>
      <c r="C10421" s="380" t="str">
        <f>IFERROR(__xludf.DUMMYFUNCTION("""COMPUTED_VALUE"""),"70005846")</f>
        <v>70005846</v>
      </c>
      <c r="D10421" s="380" t="s">
        <v>767</v>
      </c>
      <c r="E10421" s="380" t="s">
        <v>786</v>
      </c>
      <c r="F10421" s="380" t="s">
        <v>787</v>
      </c>
      <c r="G10421" s="380" t="s">
        <v>1267</v>
      </c>
      <c r="H10421" s="380" t="s">
        <v>771</v>
      </c>
      <c r="I10421" s="380" t="s">
        <v>788</v>
      </c>
      <c r="J10421" s="380" t="s">
        <v>773</v>
      </c>
      <c r="K10421" s="381">
        <v>0.0</v>
      </c>
      <c r="L10421" s="382">
        <v>1.0</v>
      </c>
    </row>
    <row r="10422">
      <c r="A10422" s="380" t="s">
        <v>11296</v>
      </c>
      <c r="B10422" s="380" t="str">
        <f>IFERROR(__xludf.DUMMYFUNCTION("""COMPUTED_VALUE"""),"Piñon Loco Inf Distribucion FT 1039 7701")</f>
        <v>Piñon Loco Inf Distribucion FT 1039 7701</v>
      </c>
      <c r="C10422" s="380" t="str">
        <f>IFERROR(__xludf.DUMMYFUNCTION("""COMPUTED_VALUE"""),"70005847")</f>
        <v>70005847</v>
      </c>
      <c r="D10422" s="380" t="s">
        <v>767</v>
      </c>
      <c r="E10422" s="380" t="s">
        <v>786</v>
      </c>
      <c r="F10422" s="380" t="s">
        <v>787</v>
      </c>
      <c r="G10422" s="380" t="s">
        <v>1267</v>
      </c>
      <c r="H10422" s="380" t="s">
        <v>771</v>
      </c>
      <c r="I10422" s="380" t="s">
        <v>788</v>
      </c>
      <c r="J10422" s="380" t="s">
        <v>773</v>
      </c>
      <c r="K10422" s="381">
        <v>0.0</v>
      </c>
      <c r="L10422" s="382">
        <v>1.0</v>
      </c>
    </row>
    <row r="10423">
      <c r="A10423" s="380" t="s">
        <v>11297</v>
      </c>
      <c r="B10423" s="380" t="str">
        <f>IFERROR(__xludf.DUMMYFUNCTION("""COMPUTED_VALUE"""),"Rodamiento De Agujas 4ta Y 5t 8972531120")</f>
        <v>Rodamiento De Agujas 4ta Y 5t 8972531120</v>
      </c>
      <c r="C10423" s="380" t="str">
        <f>IFERROR(__xludf.DUMMYFUNCTION("""COMPUTED_VALUE"""),"70005848")</f>
        <v>70005848</v>
      </c>
      <c r="D10423" s="380" t="s">
        <v>767</v>
      </c>
      <c r="E10423" s="380" t="s">
        <v>786</v>
      </c>
      <c r="F10423" s="380" t="s">
        <v>928</v>
      </c>
      <c r="G10423" s="380" t="s">
        <v>1267</v>
      </c>
      <c r="H10423" s="380" t="s">
        <v>771</v>
      </c>
      <c r="I10423" s="380" t="s">
        <v>788</v>
      </c>
      <c r="J10423" s="380" t="s">
        <v>773</v>
      </c>
      <c r="K10423" s="381">
        <v>0.0</v>
      </c>
      <c r="L10423" s="382">
        <v>1.0</v>
      </c>
    </row>
    <row r="10424">
      <c r="A10424" s="380" t="s">
        <v>11298</v>
      </c>
      <c r="B10424" s="380" t="str">
        <f>IFERROR(__xludf.DUMMYFUNCTION("""COMPUTED_VALUE"""),"Reflectivo TRAS DER FT Mv5 7705946041294")</f>
        <v>Reflectivo TRAS DER FT Mv5 7705946041294</v>
      </c>
      <c r="C10424" s="380" t="str">
        <f>IFERROR(__xludf.DUMMYFUNCTION("""COMPUTED_VALUE"""),"70005849")</f>
        <v>70005849</v>
      </c>
      <c r="D10424" s="380" t="s">
        <v>767</v>
      </c>
      <c r="E10424" s="380" t="s">
        <v>786</v>
      </c>
      <c r="F10424" s="380" t="s">
        <v>998</v>
      </c>
      <c r="G10424" s="380" t="s">
        <v>1267</v>
      </c>
      <c r="H10424" s="380" t="s">
        <v>771</v>
      </c>
      <c r="I10424" s="380" t="s">
        <v>788</v>
      </c>
      <c r="J10424" s="380" t="s">
        <v>773</v>
      </c>
      <c r="K10424" s="381">
        <v>0.0</v>
      </c>
      <c r="L10424" s="382">
        <v>1.0</v>
      </c>
    </row>
    <row r="10425">
      <c r="A10425" s="380" t="s">
        <v>11299</v>
      </c>
      <c r="B10425" s="380" t="str">
        <f>IFERROR(__xludf.DUMMYFUNCTION("""COMPUTED_VALUE"""),"Pasamanos IZQ CAB INT Lt 3840988c4")</f>
        <v>Pasamanos IZQ CAB INT Lt 3840988c4</v>
      </c>
      <c r="C10425" s="380" t="str">
        <f>IFERROR(__xludf.DUMMYFUNCTION("""COMPUTED_VALUE"""),"70005850")</f>
        <v>70005850</v>
      </c>
      <c r="D10425" s="380" t="s">
        <v>767</v>
      </c>
      <c r="E10425" s="380" t="s">
        <v>786</v>
      </c>
      <c r="F10425" s="380" t="s">
        <v>792</v>
      </c>
      <c r="G10425" s="380" t="s">
        <v>1267</v>
      </c>
      <c r="H10425" s="380" t="s">
        <v>771</v>
      </c>
      <c r="I10425" s="380" t="s">
        <v>788</v>
      </c>
      <c r="J10425" s="380" t="s">
        <v>773</v>
      </c>
      <c r="K10425" s="381">
        <v>0.0</v>
      </c>
      <c r="L10425" s="382">
        <v>1.0</v>
      </c>
    </row>
    <row r="10426">
      <c r="A10426" s="380" t="s">
        <v>11300</v>
      </c>
      <c r="B10426" s="380" t="str">
        <f>IFERROR(__xludf.DUMMYFUNCTION("""COMPUTED_VALUE"""),"RET Speed FT 1039 47x84x10 1023087148")</f>
        <v>RET Speed FT 1039 47x84x10 1023087148</v>
      </c>
      <c r="C10426" s="380" t="str">
        <f>IFERROR(__xludf.DUMMYFUNCTION("""COMPUTED_VALUE"""),"70005851")</f>
        <v>70005851</v>
      </c>
      <c r="D10426" s="380" t="s">
        <v>767</v>
      </c>
      <c r="E10426" s="380" t="s">
        <v>786</v>
      </c>
      <c r="F10426" s="380" t="s">
        <v>5683</v>
      </c>
      <c r="G10426" s="380" t="s">
        <v>1267</v>
      </c>
      <c r="H10426" s="380" t="s">
        <v>771</v>
      </c>
      <c r="I10426" s="380" t="s">
        <v>788</v>
      </c>
      <c r="J10426" s="380" t="s">
        <v>773</v>
      </c>
      <c r="K10426" s="381">
        <v>0.0</v>
      </c>
      <c r="L10426" s="382">
        <v>1.0</v>
      </c>
    </row>
    <row r="10427">
      <c r="A10427" s="380" t="s">
        <v>11301</v>
      </c>
      <c r="B10427" s="380" t="str">
        <f>IFERROR(__xludf.DUMMYFUNCTION("""COMPUTED_VALUE"""),"Juego Bandas Freno REN Duster 7701210109")</f>
        <v>Juego Bandas Freno REN Duster 7701210109</v>
      </c>
      <c r="C10427" s="380" t="str">
        <f>IFERROR(__xludf.DUMMYFUNCTION("""COMPUTED_VALUE"""),"70005852")</f>
        <v>70005852</v>
      </c>
      <c r="D10427" s="380" t="s">
        <v>767</v>
      </c>
      <c r="E10427" s="380" t="s">
        <v>786</v>
      </c>
      <c r="F10427" s="380" t="s">
        <v>1017</v>
      </c>
      <c r="G10427" s="380" t="s">
        <v>1267</v>
      </c>
      <c r="H10427" s="380" t="s">
        <v>771</v>
      </c>
      <c r="I10427" s="380" t="s">
        <v>788</v>
      </c>
      <c r="J10427" s="380" t="s">
        <v>773</v>
      </c>
      <c r="K10427" s="381">
        <v>0.0</v>
      </c>
      <c r="L10427" s="382">
        <v>1.0</v>
      </c>
    </row>
    <row r="10428">
      <c r="A10428" s="380" t="s">
        <v>11302</v>
      </c>
      <c r="B10428" s="380" t="str">
        <f>IFERROR(__xludf.DUMMYFUNCTION("""COMPUTED_VALUE"""),"SOP Tensor Correa VENT Isx Kw T800 36811")</f>
        <v>SOP Tensor Correa VENT Isx Kw T800 36811</v>
      </c>
      <c r="C10428" s="380" t="str">
        <f>IFERROR(__xludf.DUMMYFUNCTION("""COMPUTED_VALUE"""),"70005853")</f>
        <v>70005853</v>
      </c>
      <c r="D10428" s="380" t="s">
        <v>767</v>
      </c>
      <c r="E10428" s="380" t="s">
        <v>786</v>
      </c>
      <c r="F10428" s="380" t="s">
        <v>787</v>
      </c>
      <c r="G10428" s="380" t="s">
        <v>1267</v>
      </c>
      <c r="H10428" s="380" t="s">
        <v>771</v>
      </c>
      <c r="I10428" s="380" t="s">
        <v>788</v>
      </c>
      <c r="J10428" s="380" t="s">
        <v>773</v>
      </c>
      <c r="K10428" s="381">
        <v>0.0</v>
      </c>
      <c r="L10428" s="382">
        <v>1.0</v>
      </c>
    </row>
    <row r="10429">
      <c r="A10429" s="380" t="s">
        <v>11303</v>
      </c>
      <c r="B10429" s="380" t="str">
        <f>IFERROR(__xludf.DUMMYFUNCTION("""COMPUTED_VALUE"""),"Inducudo Arranque Nkr Ref 618207")</f>
        <v>Inducudo Arranque Nkr Ref 618207</v>
      </c>
      <c r="C10429" s="380" t="str">
        <f>IFERROR(__xludf.DUMMYFUNCTION("""COMPUTED_VALUE"""),"70005854")</f>
        <v>70005854</v>
      </c>
      <c r="D10429" s="380" t="s">
        <v>767</v>
      </c>
      <c r="E10429" s="380" t="s">
        <v>786</v>
      </c>
      <c r="F10429" s="380" t="s">
        <v>998</v>
      </c>
      <c r="G10429" s="380" t="s">
        <v>1267</v>
      </c>
      <c r="H10429" s="380" t="s">
        <v>771</v>
      </c>
      <c r="I10429" s="380" t="s">
        <v>788</v>
      </c>
      <c r="J10429" s="380" t="s">
        <v>773</v>
      </c>
      <c r="K10429" s="381">
        <v>0.0</v>
      </c>
      <c r="L10429" s="382">
        <v>1.0</v>
      </c>
    </row>
    <row r="10430">
      <c r="A10430" s="380" t="s">
        <v>11304</v>
      </c>
      <c r="B10430" s="380" t="str">
        <f>IFERROR(__xludf.DUMMYFUNCTION("""COMPUTED_VALUE"""),"Rodamiento Splinder FT 1065 770102354906")</f>
        <v>Rodamiento Splinder FT 1065 770102354906</v>
      </c>
      <c r="C10430" s="380" t="str">
        <f>IFERROR(__xludf.DUMMYFUNCTION("""COMPUTED_VALUE"""),"70005855")</f>
        <v>70005855</v>
      </c>
      <c r="D10430" s="380" t="s">
        <v>767</v>
      </c>
      <c r="E10430" s="380" t="s">
        <v>786</v>
      </c>
      <c r="F10430" s="380" t="s">
        <v>1039</v>
      </c>
      <c r="G10430" s="380" t="s">
        <v>1267</v>
      </c>
      <c r="H10430" s="380" t="s">
        <v>771</v>
      </c>
      <c r="I10430" s="380" t="s">
        <v>788</v>
      </c>
      <c r="J10430" s="380" t="s">
        <v>773</v>
      </c>
      <c r="K10430" s="381">
        <v>0.0</v>
      </c>
      <c r="L10430" s="382">
        <v>1.0</v>
      </c>
    </row>
    <row r="10431">
      <c r="A10431" s="380" t="s">
        <v>11305</v>
      </c>
      <c r="B10431" s="380" t="str">
        <f>IFERROR(__xludf.DUMMYFUNCTION("""COMPUTED_VALUE"""),"Buje Splinder Foton 1065 7701023695794")</f>
        <v>Buje Splinder Foton 1065 7701023695794</v>
      </c>
      <c r="C10431" s="380" t="str">
        <f>IFERROR(__xludf.DUMMYFUNCTION("""COMPUTED_VALUE"""),"70005856")</f>
        <v>70005856</v>
      </c>
      <c r="D10431" s="380" t="s">
        <v>767</v>
      </c>
      <c r="E10431" s="380" t="s">
        <v>786</v>
      </c>
      <c r="F10431" s="380" t="s">
        <v>1039</v>
      </c>
      <c r="G10431" s="380" t="s">
        <v>1267</v>
      </c>
      <c r="H10431" s="380" t="s">
        <v>771</v>
      </c>
      <c r="I10431" s="380" t="s">
        <v>788</v>
      </c>
      <c r="J10431" s="380" t="s">
        <v>773</v>
      </c>
      <c r="K10431" s="381">
        <v>0.0</v>
      </c>
      <c r="L10431" s="382">
        <v>1.0</v>
      </c>
    </row>
    <row r="10432">
      <c r="A10432" s="380" t="s">
        <v>11306</v>
      </c>
      <c r="B10432" s="380" t="str">
        <f>IFERROR(__xludf.DUMMYFUNCTION("""COMPUTED_VALUE"""),"Lamina Fabricada Luz TRAS Furgon Generic")</f>
        <v>Lamina Fabricada Luz TRAS Furgon Generic</v>
      </c>
      <c r="C10432" s="380" t="str">
        <f>IFERROR(__xludf.DUMMYFUNCTION("""COMPUTED_VALUE"""),"70005857")</f>
        <v>70005857</v>
      </c>
      <c r="D10432" s="380" t="s">
        <v>767</v>
      </c>
      <c r="E10432" s="380" t="s">
        <v>786</v>
      </c>
      <c r="F10432" s="380" t="s">
        <v>792</v>
      </c>
      <c r="G10432" s="380" t="s">
        <v>1267</v>
      </c>
      <c r="H10432" s="380" t="s">
        <v>771</v>
      </c>
      <c r="I10432" s="380" t="s">
        <v>788</v>
      </c>
      <c r="J10432" s="380" t="s">
        <v>773</v>
      </c>
      <c r="K10432" s="381">
        <v>0.0</v>
      </c>
      <c r="L10432" s="382">
        <v>1.0</v>
      </c>
    </row>
    <row r="10433">
      <c r="A10433" s="380" t="s">
        <v>11307</v>
      </c>
      <c r="B10433" s="380" t="str">
        <f>IFERROR(__xludf.DUMMYFUNCTION("""COMPUTED_VALUE"""),"Pasador Splinder FT 1065 7701023700214")</f>
        <v>Pasador Splinder FT 1065 7701023700214</v>
      </c>
      <c r="C10433" s="380" t="str">
        <f>IFERROR(__xludf.DUMMYFUNCTION("""COMPUTED_VALUE"""),"70005858")</f>
        <v>70005858</v>
      </c>
      <c r="D10433" s="380" t="s">
        <v>767</v>
      </c>
      <c r="E10433" s="380" t="s">
        <v>786</v>
      </c>
      <c r="F10433" s="380" t="s">
        <v>1039</v>
      </c>
      <c r="G10433" s="380" t="s">
        <v>1267</v>
      </c>
      <c r="H10433" s="380" t="s">
        <v>771</v>
      </c>
      <c r="I10433" s="380" t="s">
        <v>788</v>
      </c>
      <c r="J10433" s="380" t="s">
        <v>773</v>
      </c>
      <c r="K10433" s="381">
        <v>0.0</v>
      </c>
      <c r="L10433" s="382">
        <v>1.0</v>
      </c>
    </row>
    <row r="10434">
      <c r="A10434" s="380" t="s">
        <v>11308</v>
      </c>
      <c r="B10434" s="380" t="str">
        <f>IFERROR(__xludf.DUMMYFUNCTION("""COMPUTED_VALUE"""),"Turbo Cargador Motor Cummins Isf 3.8 Rep")</f>
        <v>Turbo Cargador Motor Cummins Isf 3.8 Rep</v>
      </c>
      <c r="C10434" s="380" t="str">
        <f>IFERROR(__xludf.DUMMYFUNCTION("""COMPUTED_VALUE"""),"70005859")</f>
        <v>70005859</v>
      </c>
      <c r="D10434" s="380" t="s">
        <v>767</v>
      </c>
      <c r="E10434" s="380" t="s">
        <v>786</v>
      </c>
      <c r="F10434" s="380" t="s">
        <v>787</v>
      </c>
      <c r="G10434" s="380" t="s">
        <v>1267</v>
      </c>
      <c r="H10434" s="380" t="s">
        <v>771</v>
      </c>
      <c r="I10434" s="380" t="s">
        <v>788</v>
      </c>
      <c r="J10434" s="380" t="s">
        <v>773</v>
      </c>
      <c r="K10434" s="381">
        <v>0.0</v>
      </c>
      <c r="L10434" s="382">
        <v>1.0</v>
      </c>
    </row>
    <row r="10435">
      <c r="A10435" s="380" t="s">
        <v>11309</v>
      </c>
      <c r="B10435" s="380" t="str">
        <f>IFERROR(__xludf.DUMMYFUNCTION("""COMPUTED_VALUE"""),"Plato Freno De Mano HN Dutropack 46503-3")</f>
        <v>Plato Freno De Mano HN Dutropack 46503-3</v>
      </c>
      <c r="C10435" s="380" t="str">
        <f>IFERROR(__xludf.DUMMYFUNCTION("""COMPUTED_VALUE"""),"70005860")</f>
        <v>70005860</v>
      </c>
      <c r="D10435" s="380" t="s">
        <v>767</v>
      </c>
      <c r="E10435" s="380" t="s">
        <v>786</v>
      </c>
      <c r="F10435" s="380" t="s">
        <v>1017</v>
      </c>
      <c r="G10435" s="380" t="s">
        <v>1267</v>
      </c>
      <c r="H10435" s="380" t="s">
        <v>771</v>
      </c>
      <c r="I10435" s="380" t="s">
        <v>788</v>
      </c>
      <c r="J10435" s="380" t="s">
        <v>773</v>
      </c>
      <c r="K10435" s="381">
        <v>0.0</v>
      </c>
      <c r="L10435" s="382">
        <v>1.0</v>
      </c>
    </row>
    <row r="10436">
      <c r="A10436" s="380" t="s">
        <v>11310</v>
      </c>
      <c r="B10436" s="380" t="str">
        <f>IFERROR(__xludf.DUMMYFUNCTION("""COMPUTED_VALUE"""),"Mecanismo Seguro PTA Izq FT 11 149030199")</f>
        <v>Mecanismo Seguro PTA Izq FT 11 149030199</v>
      </c>
      <c r="C10436" s="380" t="str">
        <f>IFERROR(__xludf.DUMMYFUNCTION("""COMPUTED_VALUE"""),"70005861")</f>
        <v>70005861</v>
      </c>
      <c r="D10436" s="380" t="s">
        <v>767</v>
      </c>
      <c r="E10436" s="380" t="s">
        <v>786</v>
      </c>
      <c r="F10436" s="380" t="s">
        <v>792</v>
      </c>
      <c r="G10436" s="380" t="s">
        <v>1267</v>
      </c>
      <c r="H10436" s="380" t="s">
        <v>771</v>
      </c>
      <c r="I10436" s="380" t="s">
        <v>788</v>
      </c>
      <c r="J10436" s="380" t="s">
        <v>773</v>
      </c>
      <c r="K10436" s="381">
        <v>472319.0</v>
      </c>
      <c r="L10436" s="382">
        <v>1.0</v>
      </c>
    </row>
    <row r="10437">
      <c r="A10437" s="380" t="s">
        <v>11311</v>
      </c>
      <c r="B10437" s="380" t="str">
        <f>IFERROR(__xludf.DUMMYFUNCTION("""COMPUTED_VALUE"""),"Resorte Superior Ajustador Freno Tras Ni")</f>
        <v>Resorte Superior Ajustador Freno Tras Ni</v>
      </c>
      <c r="C10437" s="380" t="str">
        <f>IFERROR(__xludf.DUMMYFUNCTION("""COMPUTED_VALUE"""),"70005862")</f>
        <v>70005862</v>
      </c>
      <c r="D10437" s="380" t="s">
        <v>767</v>
      </c>
      <c r="E10437" s="380" t="s">
        <v>786</v>
      </c>
      <c r="F10437" s="380" t="s">
        <v>1017</v>
      </c>
      <c r="G10437" s="380" t="s">
        <v>1267</v>
      </c>
      <c r="H10437" s="380" t="s">
        <v>771</v>
      </c>
      <c r="I10437" s="380" t="s">
        <v>788</v>
      </c>
      <c r="J10437" s="380" t="s">
        <v>773</v>
      </c>
      <c r="K10437" s="381">
        <v>0.0</v>
      </c>
      <c r="L10437" s="382">
        <v>1.0</v>
      </c>
    </row>
    <row r="10438">
      <c r="A10438" s="380" t="s">
        <v>11312</v>
      </c>
      <c r="B10438" s="380" t="str">
        <f>IFERROR(__xludf.DUMMYFUNCTION("""COMPUTED_VALUE"""),"Tuerca Exterior Ajuste Bocin Tras 1128 7")</f>
        <v>Tuerca Exterior Ajuste Bocin Tras 1128 7</v>
      </c>
      <c r="C10438" s="380" t="str">
        <f>IFERROR(__xludf.DUMMYFUNCTION("""COMPUTED_VALUE"""),"70005863")</f>
        <v>70005863</v>
      </c>
      <c r="D10438" s="380" t="s">
        <v>767</v>
      </c>
      <c r="E10438" s="380" t="s">
        <v>786</v>
      </c>
      <c r="F10438" s="380" t="s">
        <v>1039</v>
      </c>
      <c r="G10438" s="380" t="s">
        <v>1267</v>
      </c>
      <c r="H10438" s="380" t="s">
        <v>771</v>
      </c>
      <c r="I10438" s="380" t="s">
        <v>788</v>
      </c>
      <c r="J10438" s="380" t="s">
        <v>773</v>
      </c>
      <c r="K10438" s="381">
        <v>72480.0</v>
      </c>
      <c r="L10438" s="382">
        <v>1.0</v>
      </c>
    </row>
    <row r="10439">
      <c r="A10439" s="380" t="s">
        <v>11313</v>
      </c>
      <c r="B10439" s="380" t="str">
        <f>IFERROR(__xludf.DUMMYFUNCTION("""COMPUTED_VALUE"""),"Balancin Escape MOT HN Dutropack 13811-E")</f>
        <v>Balancin Escape MOT HN Dutropack 13811-E</v>
      </c>
      <c r="C10439" s="380" t="str">
        <f>IFERROR(__xludf.DUMMYFUNCTION("""COMPUTED_VALUE"""),"70005864")</f>
        <v>70005864</v>
      </c>
      <c r="D10439" s="380" t="s">
        <v>767</v>
      </c>
      <c r="E10439" s="380" t="s">
        <v>786</v>
      </c>
      <c r="F10439" s="380" t="s">
        <v>787</v>
      </c>
      <c r="G10439" s="380" t="s">
        <v>1267</v>
      </c>
      <c r="H10439" s="380" t="s">
        <v>771</v>
      </c>
      <c r="I10439" s="380" t="s">
        <v>788</v>
      </c>
      <c r="J10439" s="380" t="s">
        <v>773</v>
      </c>
      <c r="K10439" s="381">
        <v>0.0</v>
      </c>
      <c r="L10439" s="382">
        <v>1.0</v>
      </c>
    </row>
    <row r="10440">
      <c r="A10440" s="380" t="s">
        <v>11314</v>
      </c>
      <c r="B10440" s="380" t="str">
        <f>IFERROR(__xludf.DUMMYFUNCTION("""COMPUTED_VALUE"""),"Balancin Admisión MOT HN Dutropack 13811")</f>
        <v>Balancin Admisión MOT HN Dutropack 13811</v>
      </c>
      <c r="C10440" s="380" t="str">
        <f>IFERROR(__xludf.DUMMYFUNCTION("""COMPUTED_VALUE"""),"70005865")</f>
        <v>70005865</v>
      </c>
      <c r="D10440" s="380" t="s">
        <v>767</v>
      </c>
      <c r="E10440" s="380" t="s">
        <v>786</v>
      </c>
      <c r="F10440" s="380" t="s">
        <v>787</v>
      </c>
      <c r="G10440" s="380" t="s">
        <v>1267</v>
      </c>
      <c r="H10440" s="380" t="s">
        <v>771</v>
      </c>
      <c r="I10440" s="380" t="s">
        <v>788</v>
      </c>
      <c r="J10440" s="380" t="s">
        <v>773</v>
      </c>
      <c r="K10440" s="381">
        <v>0.0</v>
      </c>
      <c r="L10440" s="382">
        <v>1.0</v>
      </c>
    </row>
    <row r="10441">
      <c r="A10441" s="380" t="s">
        <v>11315</v>
      </c>
      <c r="B10441" s="380" t="str">
        <f>IFERROR(__xludf.DUMMYFUNCTION("""COMPUTED_VALUE"""),"Modulo CTRL Luces INT Lt 4080940c3")</f>
        <v>Modulo CTRL Luces INT Lt 4080940c3</v>
      </c>
      <c r="C10441" s="380" t="str">
        <f>IFERROR(__xludf.DUMMYFUNCTION("""COMPUTED_VALUE"""),"70005866")</f>
        <v>70005866</v>
      </c>
      <c r="D10441" s="380" t="s">
        <v>767</v>
      </c>
      <c r="E10441" s="380" t="s">
        <v>786</v>
      </c>
      <c r="F10441" s="380" t="s">
        <v>998</v>
      </c>
      <c r="G10441" s="380" t="s">
        <v>1267</v>
      </c>
      <c r="H10441" s="380" t="s">
        <v>771</v>
      </c>
      <c r="I10441" s="380" t="s">
        <v>788</v>
      </c>
      <c r="J10441" s="380" t="s">
        <v>773</v>
      </c>
      <c r="K10441" s="381">
        <v>0.0</v>
      </c>
      <c r="L10441" s="382">
        <v>1.0</v>
      </c>
    </row>
    <row r="10442">
      <c r="A10442" s="380" t="s">
        <v>11316</v>
      </c>
      <c r="B10442" s="380" t="str">
        <f>IFERROR(__xludf.DUMMYFUNCTION("""COMPUTED_VALUE"""),"Amortiguador ComPTA PTA Tras 5946040037")</f>
        <v>Amortiguador ComPTA PTA Tras 5946040037</v>
      </c>
      <c r="C10442" s="380" t="str">
        <f>IFERROR(__xludf.DUMMYFUNCTION("""COMPUTED_VALUE"""),"70005867")</f>
        <v>70005867</v>
      </c>
      <c r="D10442" s="380" t="s">
        <v>767</v>
      </c>
      <c r="E10442" s="380" t="s">
        <v>786</v>
      </c>
      <c r="F10442" s="380" t="s">
        <v>792</v>
      </c>
      <c r="G10442" s="380" t="s">
        <v>1267</v>
      </c>
      <c r="H10442" s="380" t="s">
        <v>771</v>
      </c>
      <c r="I10442" s="380" t="s">
        <v>788</v>
      </c>
      <c r="J10442" s="380" t="s">
        <v>773</v>
      </c>
      <c r="K10442" s="381">
        <v>0.0</v>
      </c>
      <c r="L10442" s="382">
        <v>1.0</v>
      </c>
    </row>
    <row r="10443">
      <c r="A10443" s="380" t="s">
        <v>11317</v>
      </c>
      <c r="B10443" s="380" t="str">
        <f>IFERROR(__xludf.DUMMYFUNCTION("""COMPUTED_VALUE"""),"Resorte Actuador Freno De Ahogo FT 1128")</f>
        <v>Resorte Actuador Freno De Ahogo FT 1128</v>
      </c>
      <c r="C10443" s="380" t="str">
        <f>IFERROR(__xludf.DUMMYFUNCTION("""COMPUTED_VALUE"""),"70005868")</f>
        <v>70005868</v>
      </c>
      <c r="D10443" s="380" t="s">
        <v>767</v>
      </c>
      <c r="E10443" s="380" t="s">
        <v>786</v>
      </c>
      <c r="F10443" s="380" t="s">
        <v>1017</v>
      </c>
      <c r="G10443" s="380" t="s">
        <v>1267</v>
      </c>
      <c r="H10443" s="380" t="s">
        <v>771</v>
      </c>
      <c r="I10443" s="380" t="s">
        <v>788</v>
      </c>
      <c r="J10443" s="380" t="s">
        <v>773</v>
      </c>
      <c r="K10443" s="381">
        <v>0.0</v>
      </c>
      <c r="L10443" s="382">
        <v>1.0</v>
      </c>
    </row>
    <row r="10444">
      <c r="A10444" s="380" t="s">
        <v>11318</v>
      </c>
      <c r="B10444" s="380" t="str">
        <f>IFERROR(__xludf.DUMMYFUNCTION("""COMPUTED_VALUE"""),"Juego Escobilla Arranque Nkr Iii Ir1088a")</f>
        <v>Juego Escobilla Arranque Nkr Iii Ir1088a</v>
      </c>
      <c r="C10444" s="380" t="str">
        <f>IFERROR(__xludf.DUMMYFUNCTION("""COMPUTED_VALUE"""),"70005869")</f>
        <v>70005869</v>
      </c>
      <c r="D10444" s="380" t="s">
        <v>767</v>
      </c>
      <c r="E10444" s="380" t="s">
        <v>786</v>
      </c>
      <c r="F10444" s="380" t="s">
        <v>998</v>
      </c>
      <c r="G10444" s="380" t="s">
        <v>1267</v>
      </c>
      <c r="H10444" s="380" t="s">
        <v>771</v>
      </c>
      <c r="I10444" s="380" t="s">
        <v>788</v>
      </c>
      <c r="J10444" s="380" t="s">
        <v>773</v>
      </c>
      <c r="K10444" s="381">
        <v>0.0</v>
      </c>
      <c r="L10444" s="382">
        <v>1.0</v>
      </c>
    </row>
    <row r="10445">
      <c r="A10445" s="380" t="s">
        <v>11319</v>
      </c>
      <c r="B10445" s="380" t="str">
        <f>IFERROR(__xludf.DUMMYFUNCTION("""COMPUTED_VALUE"""),"Buje Guia Frontal Distribucion MOT Isx 3")</f>
        <v>Buje Guia Frontal Distribucion MOT Isx 3</v>
      </c>
      <c r="C10445" s="380" t="str">
        <f>IFERROR(__xludf.DUMMYFUNCTION("""COMPUTED_VALUE"""),"70005870")</f>
        <v>70005870</v>
      </c>
      <c r="D10445" s="380" t="s">
        <v>767</v>
      </c>
      <c r="E10445" s="380" t="s">
        <v>786</v>
      </c>
      <c r="F10445" s="380" t="s">
        <v>787</v>
      </c>
      <c r="G10445" s="380" t="s">
        <v>1267</v>
      </c>
      <c r="H10445" s="380" t="s">
        <v>771</v>
      </c>
      <c r="I10445" s="380" t="s">
        <v>788</v>
      </c>
      <c r="J10445" s="380" t="s">
        <v>773</v>
      </c>
      <c r="K10445" s="381">
        <v>0.0</v>
      </c>
      <c r="L10445" s="382">
        <v>1.0</v>
      </c>
    </row>
    <row r="10446">
      <c r="A10446" s="380" t="s">
        <v>11320</v>
      </c>
      <c r="B10446" s="380" t="str">
        <f>IFERROR(__xludf.DUMMYFUNCTION("""COMPUTED_VALUE"""),"Resorte Pedal EMB FT 1039 Fabricado")</f>
        <v>Resorte Pedal EMB FT 1039 Fabricado</v>
      </c>
      <c r="C10446" s="380" t="str">
        <f>IFERROR(__xludf.DUMMYFUNCTION("""COMPUTED_VALUE"""),"70005871")</f>
        <v>70005871</v>
      </c>
      <c r="D10446" s="380" t="s">
        <v>767</v>
      </c>
      <c r="E10446" s="380" t="s">
        <v>786</v>
      </c>
      <c r="F10446" s="380" t="s">
        <v>5661</v>
      </c>
      <c r="G10446" s="380" t="s">
        <v>1267</v>
      </c>
      <c r="H10446" s="380" t="s">
        <v>771</v>
      </c>
      <c r="I10446" s="380" t="s">
        <v>788</v>
      </c>
      <c r="J10446" s="380" t="s">
        <v>773</v>
      </c>
      <c r="K10446" s="381">
        <v>0.0</v>
      </c>
      <c r="L10446" s="382">
        <v>1.0</v>
      </c>
    </row>
    <row r="10447">
      <c r="A10447" s="380" t="s">
        <v>11321</v>
      </c>
      <c r="B10447" s="380" t="str">
        <f>IFERROR(__xludf.DUMMYFUNCTION("""COMPUTED_VALUE"""),"Terminal Axial Hembra DIR FT Bj5 7705946")</f>
        <v>Terminal Axial Hembra DIR FT Bj5 7705946</v>
      </c>
      <c r="C10447" s="380" t="str">
        <f>IFERROR(__xludf.DUMMYFUNCTION("""COMPUTED_VALUE"""),"70005872")</f>
        <v>70005872</v>
      </c>
      <c r="D10447" s="380" t="s">
        <v>767</v>
      </c>
      <c r="E10447" s="380" t="s">
        <v>786</v>
      </c>
      <c r="F10447" s="380" t="s">
        <v>1020</v>
      </c>
      <c r="G10447" s="380" t="s">
        <v>1267</v>
      </c>
      <c r="H10447" s="380" t="s">
        <v>771</v>
      </c>
      <c r="I10447" s="380" t="s">
        <v>788</v>
      </c>
      <c r="J10447" s="380" t="s">
        <v>773</v>
      </c>
      <c r="K10447" s="381">
        <v>0.0</v>
      </c>
      <c r="L10447" s="382">
        <v>1.0</v>
      </c>
    </row>
    <row r="10448">
      <c r="A10448" s="380" t="s">
        <v>11322</v>
      </c>
      <c r="B10448" s="380" t="str">
        <f>IFERROR(__xludf.DUMMYFUNCTION("""COMPUTED_VALUE"""),"Vaso Racor Trampa MCK Anthem 7005-Rk1116")</f>
        <v>Vaso Racor Trampa MCK Anthem 7005-Rk1116</v>
      </c>
      <c r="C10448" s="380" t="str">
        <f>IFERROR(__xludf.DUMMYFUNCTION("""COMPUTED_VALUE"""),"70005873")</f>
        <v>70005873</v>
      </c>
      <c r="D10448" s="380" t="s">
        <v>767</v>
      </c>
      <c r="E10448" s="380" t="s">
        <v>786</v>
      </c>
      <c r="F10448" s="380" t="s">
        <v>787</v>
      </c>
      <c r="G10448" s="380" t="s">
        <v>1267</v>
      </c>
      <c r="H10448" s="380" t="s">
        <v>771</v>
      </c>
      <c r="I10448" s="380" t="s">
        <v>788</v>
      </c>
      <c r="J10448" s="380" t="s">
        <v>773</v>
      </c>
      <c r="K10448" s="381">
        <v>0.0</v>
      </c>
      <c r="L10448" s="382">
        <v>1.0</v>
      </c>
    </row>
    <row r="10449">
      <c r="A10449" s="380" t="s">
        <v>11323</v>
      </c>
      <c r="B10449" s="380" t="str">
        <f>IFERROR(__xludf.DUMMYFUNCTION("""COMPUTED_VALUE"""),"Rache Freno Del IZQ Jac 1120 3501200e834")</f>
        <v>Rache Freno Del IZQ Jac 1120 3501200e834</v>
      </c>
      <c r="C10449" s="380" t="str">
        <f>IFERROR(__xludf.DUMMYFUNCTION("""COMPUTED_VALUE"""),"70005874")</f>
        <v>70005874</v>
      </c>
      <c r="D10449" s="380" t="s">
        <v>767</v>
      </c>
      <c r="E10449" s="380" t="s">
        <v>786</v>
      </c>
      <c r="F10449" s="380" t="s">
        <v>1017</v>
      </c>
      <c r="G10449" s="380" t="s">
        <v>1267</v>
      </c>
      <c r="H10449" s="380" t="s">
        <v>771</v>
      </c>
      <c r="I10449" s="380" t="s">
        <v>788</v>
      </c>
      <c r="J10449" s="380" t="s">
        <v>773</v>
      </c>
      <c r="K10449" s="381">
        <v>0.0</v>
      </c>
      <c r="L10449" s="382">
        <v>1.0</v>
      </c>
    </row>
    <row r="10450">
      <c r="A10450" s="380" t="s">
        <v>11324</v>
      </c>
      <c r="B10450" s="380" t="str">
        <f>IFERROR(__xludf.DUMMYFUNCTION("""COMPUTED_VALUE"""),"Filtro Tanque Def Mack Anthem 2330005491")</f>
        <v>Filtro Tanque Def Mack Anthem 2330005491</v>
      </c>
      <c r="C10450" s="380" t="str">
        <f>IFERROR(__xludf.DUMMYFUNCTION("""COMPUTED_VALUE"""),"70005875")</f>
        <v>70005875</v>
      </c>
      <c r="D10450" s="380" t="s">
        <v>767</v>
      </c>
      <c r="E10450" s="380" t="s">
        <v>786</v>
      </c>
      <c r="F10450" s="380" t="s">
        <v>5855</v>
      </c>
      <c r="G10450" s="380" t="s">
        <v>1267</v>
      </c>
      <c r="H10450" s="380" t="s">
        <v>771</v>
      </c>
      <c r="I10450" s="380" t="s">
        <v>788</v>
      </c>
      <c r="J10450" s="380" t="s">
        <v>773</v>
      </c>
      <c r="K10450" s="381">
        <v>0.0</v>
      </c>
      <c r="L10450" s="382">
        <v>1.0</v>
      </c>
    </row>
    <row r="10451">
      <c r="A10451" s="380" t="s">
        <v>11325</v>
      </c>
      <c r="B10451" s="380" t="str">
        <f>IFERROR(__xludf.DUMMYFUNCTION("""COMPUTED_VALUE"""),"SENS TEMP Aceite MCK Cxu 2330000287")</f>
        <v>SENS TEMP Aceite MCK Cxu 2330000287</v>
      </c>
      <c r="C10451" s="380" t="str">
        <f>IFERROR(__xludf.DUMMYFUNCTION("""COMPUTED_VALUE"""),"70005876")</f>
        <v>70005876</v>
      </c>
      <c r="D10451" s="380" t="s">
        <v>767</v>
      </c>
      <c r="E10451" s="380" t="s">
        <v>786</v>
      </c>
      <c r="F10451" s="380" t="s">
        <v>998</v>
      </c>
      <c r="G10451" s="380" t="s">
        <v>1267</v>
      </c>
      <c r="H10451" s="380" t="s">
        <v>771</v>
      </c>
      <c r="I10451" s="380" t="s">
        <v>788</v>
      </c>
      <c r="J10451" s="380" t="s">
        <v>773</v>
      </c>
      <c r="K10451" s="381">
        <v>0.0</v>
      </c>
      <c r="L10451" s="382">
        <v>1.0</v>
      </c>
    </row>
    <row r="10452">
      <c r="A10452" s="380" t="s">
        <v>11326</v>
      </c>
      <c r="B10452" s="380" t="str">
        <f>IFERROR(__xludf.DUMMYFUNCTION("""COMPUTED_VALUE"""),"Cremallera Volante Motor Isx 3680913")</f>
        <v>Cremallera Volante Motor Isx 3680913</v>
      </c>
      <c r="C10452" s="380" t="str">
        <f>IFERROR(__xludf.DUMMYFUNCTION("""COMPUTED_VALUE"""),"70005877")</f>
        <v>70005877</v>
      </c>
      <c r="D10452" s="380" t="s">
        <v>767</v>
      </c>
      <c r="E10452" s="380" t="s">
        <v>786</v>
      </c>
      <c r="F10452" s="380" t="s">
        <v>787</v>
      </c>
      <c r="G10452" s="380" t="s">
        <v>1267</v>
      </c>
      <c r="H10452" s="380" t="s">
        <v>771</v>
      </c>
      <c r="I10452" s="380" t="s">
        <v>788</v>
      </c>
      <c r="J10452" s="380" t="s">
        <v>773</v>
      </c>
      <c r="K10452" s="381">
        <v>0.0</v>
      </c>
      <c r="L10452" s="382">
        <v>1.0</v>
      </c>
    </row>
    <row r="10453">
      <c r="A10453" s="380" t="s">
        <v>11327</v>
      </c>
      <c r="B10453" s="380" t="str">
        <f>IFERROR(__xludf.DUMMYFUNCTION("""COMPUTED_VALUE"""),"Modulo CTRL DIR FT Mv5 7705946028028")</f>
        <v>Modulo CTRL DIR FT Mv5 7705946028028</v>
      </c>
      <c r="C10453" s="380" t="str">
        <f>IFERROR(__xludf.DUMMYFUNCTION("""COMPUTED_VALUE"""),"70005878")</f>
        <v>70005878</v>
      </c>
      <c r="D10453" s="380" t="s">
        <v>767</v>
      </c>
      <c r="E10453" s="380" t="s">
        <v>786</v>
      </c>
      <c r="F10453" s="380" t="s">
        <v>998</v>
      </c>
      <c r="G10453" s="380" t="s">
        <v>1267</v>
      </c>
      <c r="H10453" s="380" t="s">
        <v>771</v>
      </c>
      <c r="I10453" s="380" t="s">
        <v>788</v>
      </c>
      <c r="J10453" s="380" t="s">
        <v>773</v>
      </c>
      <c r="K10453" s="381">
        <v>0.0</v>
      </c>
      <c r="L10453" s="382">
        <v>1.0</v>
      </c>
    </row>
    <row r="10454">
      <c r="A10454" s="380" t="s">
        <v>11328</v>
      </c>
      <c r="B10454" s="380" t="str">
        <f>IFERROR(__xludf.DUMMYFUNCTION("""COMPUTED_VALUE"""),"Rodamiento De Agujas Piñon Re 8972531140")</f>
        <v>Rodamiento De Agujas Piñon Re 8972531140</v>
      </c>
      <c r="C10454" s="380" t="str">
        <f>IFERROR(__xludf.DUMMYFUNCTION("""COMPUTED_VALUE"""),"70005879")</f>
        <v>70005879</v>
      </c>
      <c r="D10454" s="380" t="s">
        <v>767</v>
      </c>
      <c r="E10454" s="380" t="s">
        <v>786</v>
      </c>
      <c r="F10454" s="380" t="s">
        <v>928</v>
      </c>
      <c r="G10454" s="380" t="s">
        <v>1267</v>
      </c>
      <c r="H10454" s="380" t="s">
        <v>771</v>
      </c>
      <c r="I10454" s="380" t="s">
        <v>788</v>
      </c>
      <c r="J10454" s="380" t="s">
        <v>773</v>
      </c>
      <c r="K10454" s="381">
        <v>0.0</v>
      </c>
      <c r="L10454" s="382">
        <v>1.0</v>
      </c>
    </row>
    <row r="10455">
      <c r="A10455" s="380" t="s">
        <v>11329</v>
      </c>
      <c r="B10455" s="380" t="str">
        <f>IFERROR(__xludf.DUMMYFUNCTION("""COMPUTED_VALUE"""),"Cabina Nhr Convencional Reman 8975812980")</f>
        <v>Cabina Nhr Convencional Reman 8975812980</v>
      </c>
      <c r="C10455" s="380" t="str">
        <f>IFERROR(__xludf.DUMMYFUNCTION("""COMPUTED_VALUE"""),"70005880")</f>
        <v>70005880</v>
      </c>
      <c r="D10455" s="380" t="s">
        <v>767</v>
      </c>
      <c r="E10455" s="380" t="s">
        <v>786</v>
      </c>
      <c r="F10455" s="380" t="s">
        <v>792</v>
      </c>
      <c r="G10455" s="380" t="s">
        <v>1267</v>
      </c>
      <c r="H10455" s="380" t="s">
        <v>771</v>
      </c>
      <c r="I10455" s="380" t="s">
        <v>788</v>
      </c>
      <c r="J10455" s="380" t="s">
        <v>773</v>
      </c>
      <c r="K10455" s="381">
        <v>0.0</v>
      </c>
      <c r="L10455" s="382">
        <v>1.0</v>
      </c>
    </row>
    <row r="10456">
      <c r="A10456" s="380" t="s">
        <v>11330</v>
      </c>
      <c r="B10456" s="380" t="str">
        <f>IFERROR(__xludf.DUMMYFUNCTION("""COMPUTED_VALUE"""),"Sensor Freno Jac 1042 1635050u1050")</f>
        <v>Sensor Freno Jac 1042 1635050u1050</v>
      </c>
      <c r="C10456" s="380" t="str">
        <f>IFERROR(__xludf.DUMMYFUNCTION("""COMPUTED_VALUE"""),"70005881")</f>
        <v>70005881</v>
      </c>
      <c r="D10456" s="380" t="s">
        <v>767</v>
      </c>
      <c r="E10456" s="380" t="s">
        <v>786</v>
      </c>
      <c r="F10456" s="380" t="s">
        <v>998</v>
      </c>
      <c r="G10456" s="380" t="s">
        <v>1267</v>
      </c>
      <c r="H10456" s="380" t="s">
        <v>771</v>
      </c>
      <c r="I10456" s="380" t="s">
        <v>788</v>
      </c>
      <c r="J10456" s="380" t="s">
        <v>773</v>
      </c>
      <c r="K10456" s="381">
        <v>0.0</v>
      </c>
      <c r="L10456" s="382">
        <v>1.0</v>
      </c>
    </row>
    <row r="10457">
      <c r="A10457" s="380" t="s">
        <v>11331</v>
      </c>
      <c r="B10457" s="380" t="str">
        <f>IFERROR(__xludf.DUMMYFUNCTION("""COMPUTED_VALUE"""),"MANG TANQ Aux RAD FT MV5 5946027144")</f>
        <v>MANG TANQ Aux RAD FT MV5 5946027144</v>
      </c>
      <c r="C10457" s="380" t="str">
        <f>IFERROR(__xludf.DUMMYFUNCTION("""COMPUTED_VALUE"""),"70005882")</f>
        <v>70005882</v>
      </c>
      <c r="D10457" s="380" t="s">
        <v>767</v>
      </c>
      <c r="E10457" s="380" t="s">
        <v>786</v>
      </c>
      <c r="F10457" s="380" t="s">
        <v>787</v>
      </c>
      <c r="G10457" s="380" t="s">
        <v>1267</v>
      </c>
      <c r="H10457" s="380" t="s">
        <v>771</v>
      </c>
      <c r="I10457" s="380" t="s">
        <v>788</v>
      </c>
      <c r="J10457" s="380" t="s">
        <v>773</v>
      </c>
      <c r="K10457" s="381">
        <v>0.0</v>
      </c>
      <c r="L10457" s="382">
        <v>1.0</v>
      </c>
    </row>
    <row r="10458">
      <c r="A10458" s="380" t="s">
        <v>11332</v>
      </c>
      <c r="B10458" s="380" t="str">
        <f>IFERROR(__xludf.DUMMYFUNCTION("""COMPUTED_VALUE"""),"Racor T MANG RAD FT MV5 5946040679")</f>
        <v>Racor T MANG RAD FT MV5 5946040679</v>
      </c>
      <c r="C10458" s="380" t="str">
        <f>IFERROR(__xludf.DUMMYFUNCTION("""COMPUTED_VALUE"""),"70005883")</f>
        <v>70005883</v>
      </c>
      <c r="D10458" s="380" t="s">
        <v>767</v>
      </c>
      <c r="E10458" s="380" t="s">
        <v>786</v>
      </c>
      <c r="F10458" s="380" t="s">
        <v>787</v>
      </c>
      <c r="G10458" s="380" t="s">
        <v>1267</v>
      </c>
      <c r="H10458" s="380" t="s">
        <v>771</v>
      </c>
      <c r="I10458" s="380" t="s">
        <v>788</v>
      </c>
      <c r="J10458" s="380" t="s">
        <v>773</v>
      </c>
      <c r="K10458" s="381">
        <v>0.0</v>
      </c>
      <c r="L10458" s="382">
        <v>1.0</v>
      </c>
    </row>
    <row r="10459">
      <c r="A10459" s="380" t="s">
        <v>11333</v>
      </c>
      <c r="B10459" s="380" t="str">
        <f>IFERROR(__xludf.DUMMYFUNCTION("""COMPUTED_VALUE"""),"MANG Salida RAD FT MV5 5946025515")</f>
        <v>MANG Salida RAD FT MV5 5946025515</v>
      </c>
      <c r="C10459" s="380" t="str">
        <f>IFERROR(__xludf.DUMMYFUNCTION("""COMPUTED_VALUE"""),"70005884")</f>
        <v>70005884</v>
      </c>
      <c r="D10459" s="380" t="s">
        <v>767</v>
      </c>
      <c r="E10459" s="380" t="s">
        <v>786</v>
      </c>
      <c r="F10459" s="380" t="s">
        <v>787</v>
      </c>
      <c r="G10459" s="380" t="s">
        <v>1267</v>
      </c>
      <c r="H10459" s="380" t="s">
        <v>771</v>
      </c>
      <c r="I10459" s="380" t="s">
        <v>788</v>
      </c>
      <c r="J10459" s="380" t="s">
        <v>773</v>
      </c>
      <c r="K10459" s="381">
        <v>0.0</v>
      </c>
      <c r="L10459" s="382">
        <v>1.0</v>
      </c>
    </row>
    <row r="10460">
      <c r="A10460" s="380" t="s">
        <v>11334</v>
      </c>
      <c r="B10460" s="380" t="str">
        <f>IFERROR(__xludf.DUMMYFUNCTION("""COMPUTED_VALUE"""),"MANG Salida Refrigeracion MOT 5946025591")</f>
        <v>MANG Salida Refrigeracion MOT 5946025591</v>
      </c>
      <c r="C10460" s="380" t="str">
        <f>IFERROR(__xludf.DUMMYFUNCTION("""COMPUTED_VALUE"""),"70005885")</f>
        <v>70005885</v>
      </c>
      <c r="D10460" s="380" t="s">
        <v>767</v>
      </c>
      <c r="E10460" s="380" t="s">
        <v>786</v>
      </c>
      <c r="F10460" s="380" t="s">
        <v>787</v>
      </c>
      <c r="G10460" s="380" t="s">
        <v>1267</v>
      </c>
      <c r="H10460" s="380" t="s">
        <v>771</v>
      </c>
      <c r="I10460" s="380" t="s">
        <v>788</v>
      </c>
      <c r="J10460" s="380" t="s">
        <v>773</v>
      </c>
      <c r="K10460" s="381">
        <v>0.0</v>
      </c>
      <c r="L10460" s="382">
        <v>1.0</v>
      </c>
    </row>
    <row r="10461">
      <c r="A10461" s="380" t="s">
        <v>11335</v>
      </c>
      <c r="B10461" s="380" t="str">
        <f>IFERROR(__xludf.DUMMYFUNCTION("""COMPUTED_VALUE"""),"Tensor Correa Ventilador Isx 3691282")</f>
        <v>Tensor Correa Ventilador Isx 3691282</v>
      </c>
      <c r="C10461" s="380" t="str">
        <f>IFERROR(__xludf.DUMMYFUNCTION("""COMPUTED_VALUE"""),"70005886")</f>
        <v>70005886</v>
      </c>
      <c r="D10461" s="380" t="s">
        <v>767</v>
      </c>
      <c r="E10461" s="380" t="s">
        <v>786</v>
      </c>
      <c r="F10461" s="380" t="s">
        <v>787</v>
      </c>
      <c r="G10461" s="380" t="s">
        <v>1267</v>
      </c>
      <c r="H10461" s="380" t="s">
        <v>771</v>
      </c>
      <c r="I10461" s="380" t="s">
        <v>788</v>
      </c>
      <c r="J10461" s="380" t="s">
        <v>773</v>
      </c>
      <c r="K10461" s="381">
        <v>0.0</v>
      </c>
      <c r="L10461" s="382">
        <v>1.0</v>
      </c>
    </row>
    <row r="10462">
      <c r="A10462" s="380" t="s">
        <v>11336</v>
      </c>
      <c r="B10462" s="380" t="str">
        <f>IFERROR(__xludf.DUMMYFUNCTION("""COMPUTED_VALUE"""),"Sincronizador De 3ra Y 4ta Nk 8970487452")</f>
        <v>Sincronizador De 3ra Y 4ta Nk 8970487452</v>
      </c>
      <c r="C10462" s="380" t="str">
        <f>IFERROR(__xludf.DUMMYFUNCTION("""COMPUTED_VALUE"""),"70005887")</f>
        <v>70005887</v>
      </c>
      <c r="D10462" s="380" t="s">
        <v>767</v>
      </c>
      <c r="E10462" s="380" t="s">
        <v>786</v>
      </c>
      <c r="F10462" s="380" t="s">
        <v>928</v>
      </c>
      <c r="G10462" s="380" t="s">
        <v>1267</v>
      </c>
      <c r="H10462" s="380" t="s">
        <v>771</v>
      </c>
      <c r="I10462" s="380" t="s">
        <v>788</v>
      </c>
      <c r="J10462" s="380" t="s">
        <v>773</v>
      </c>
      <c r="K10462" s="381">
        <v>0.0</v>
      </c>
      <c r="L10462" s="382">
        <v>1.0</v>
      </c>
    </row>
    <row r="10463">
      <c r="A10463" s="380" t="s">
        <v>11337</v>
      </c>
      <c r="B10463" s="380" t="str">
        <f>IFERROR(__xludf.DUMMYFUNCTION("""COMPUTED_VALUE"""),"Piñon 5ta DeSplazable CJ Fuller 4302381")</f>
        <v>Piñon 5ta DeSplazable CJ Fuller 4302381</v>
      </c>
      <c r="C10463" s="380" t="str">
        <f>IFERROR(__xludf.DUMMYFUNCTION("""COMPUTED_VALUE"""),"70005888")</f>
        <v>70005888</v>
      </c>
      <c r="D10463" s="380" t="s">
        <v>767</v>
      </c>
      <c r="E10463" s="380" t="s">
        <v>786</v>
      </c>
      <c r="F10463" s="380" t="s">
        <v>928</v>
      </c>
      <c r="G10463" s="380" t="s">
        <v>1267</v>
      </c>
      <c r="H10463" s="380" t="s">
        <v>771</v>
      </c>
      <c r="I10463" s="380" t="s">
        <v>788</v>
      </c>
      <c r="J10463" s="380" t="s">
        <v>773</v>
      </c>
      <c r="K10463" s="381">
        <v>0.0</v>
      </c>
      <c r="L10463" s="382">
        <v>1.0</v>
      </c>
    </row>
    <row r="10464">
      <c r="A10464" s="380" t="s">
        <v>11338</v>
      </c>
      <c r="B10464" s="380" t="str">
        <f>IFERROR(__xludf.DUMMYFUNCTION("""COMPUTED_VALUE"""),"Hoja Resorte Del Nkr 0722934/2s")</f>
        <v>Hoja Resorte Del Nkr 0722934/2s</v>
      </c>
      <c r="C10464" s="380" t="str">
        <f>IFERROR(__xludf.DUMMYFUNCTION("""COMPUTED_VALUE"""),"70005889")</f>
        <v>70005889</v>
      </c>
      <c r="D10464" s="380" t="s">
        <v>767</v>
      </c>
      <c r="E10464" s="380" t="s">
        <v>786</v>
      </c>
      <c r="F10464" s="380" t="s">
        <v>1039</v>
      </c>
      <c r="G10464" s="380" t="s">
        <v>1267</v>
      </c>
      <c r="H10464" s="380" t="s">
        <v>771</v>
      </c>
      <c r="I10464" s="380" t="s">
        <v>788</v>
      </c>
      <c r="J10464" s="380" t="s">
        <v>773</v>
      </c>
      <c r="K10464" s="381">
        <v>0.0</v>
      </c>
      <c r="L10464" s="382">
        <v>1.0</v>
      </c>
    </row>
    <row r="10465">
      <c r="A10465" s="380" t="s">
        <v>11339</v>
      </c>
      <c r="B10465" s="380" t="str">
        <f>IFERROR(__xludf.DUMMYFUNCTION("""COMPUTED_VALUE"""),"Bombillos Varios")</f>
        <v>Bombillos Varios</v>
      </c>
      <c r="C10465" s="380" t="str">
        <f>IFERROR(__xludf.DUMMYFUNCTION("""COMPUTED_VALUE"""),"70005890")</f>
        <v>70005890</v>
      </c>
      <c r="D10465" s="380" t="s">
        <v>767</v>
      </c>
      <c r="E10465" s="380" t="s">
        <v>786</v>
      </c>
      <c r="F10465" s="380" t="s">
        <v>998</v>
      </c>
      <c r="G10465" s="380" t="s">
        <v>1267</v>
      </c>
      <c r="H10465" s="380" t="s">
        <v>771</v>
      </c>
      <c r="I10465" s="380" t="s">
        <v>788</v>
      </c>
      <c r="J10465" s="380" t="s">
        <v>773</v>
      </c>
      <c r="K10465" s="381">
        <v>0.0</v>
      </c>
      <c r="L10465" s="382">
        <v>1.0</v>
      </c>
    </row>
    <row r="10466">
      <c r="A10466" s="380" t="s">
        <v>11340</v>
      </c>
      <c r="B10466" s="380" t="str">
        <f>IFERROR(__xludf.DUMMYFUNCTION("""COMPUTED_VALUE"""),"Oring Termostato Npr 8972318480")</f>
        <v>Oring Termostato Npr 8972318480</v>
      </c>
      <c r="C10466" s="380" t="str">
        <f>IFERROR(__xludf.DUMMYFUNCTION("""COMPUTED_VALUE"""),"70005891")</f>
        <v>70005891</v>
      </c>
      <c r="D10466" s="380" t="s">
        <v>767</v>
      </c>
      <c r="E10466" s="380" t="s">
        <v>786</v>
      </c>
      <c r="F10466" s="380" t="s">
        <v>787</v>
      </c>
      <c r="G10466" s="380" t="s">
        <v>1267</v>
      </c>
      <c r="H10466" s="380" t="s">
        <v>771</v>
      </c>
      <c r="I10466" s="380" t="s">
        <v>788</v>
      </c>
      <c r="J10466" s="380" t="s">
        <v>773</v>
      </c>
      <c r="K10466" s="381">
        <v>0.0</v>
      </c>
      <c r="L10466" s="382">
        <v>1.0</v>
      </c>
    </row>
    <row r="10467">
      <c r="A10467" s="380" t="s">
        <v>11341</v>
      </c>
      <c r="B10467" s="380" t="str">
        <f>IFERROR(__xludf.DUMMYFUNCTION("""COMPUTED_VALUE"""),"Diafragma VALV Descargue Bajo 245835 Sb")</f>
        <v>Diafragma VALV Descargue Bajo 245835 Sb</v>
      </c>
      <c r="C10467" s="380" t="str">
        <f>IFERROR(__xludf.DUMMYFUNCTION("""COMPUTED_VALUE"""),"70005892")</f>
        <v>70005892</v>
      </c>
      <c r="D10467" s="380" t="s">
        <v>767</v>
      </c>
      <c r="E10467" s="380" t="s">
        <v>786</v>
      </c>
      <c r="F10467" s="380" t="s">
        <v>1017</v>
      </c>
      <c r="G10467" s="380" t="s">
        <v>1267</v>
      </c>
      <c r="H10467" s="380" t="s">
        <v>771</v>
      </c>
      <c r="I10467" s="380" t="s">
        <v>788</v>
      </c>
      <c r="J10467" s="380" t="s">
        <v>773</v>
      </c>
      <c r="K10467" s="381">
        <v>57061.0</v>
      </c>
      <c r="L10467" s="382">
        <v>1.0</v>
      </c>
    </row>
    <row r="10468">
      <c r="A10468" s="380" t="s">
        <v>11342</v>
      </c>
      <c r="B10468" s="380" t="str">
        <f>IFERROR(__xludf.DUMMYFUNCTION("""COMPUTED_VALUE"""),"Ban Banda Del.Tras. Nkr 20104x Remachada")</f>
        <v>Ban Banda Del.Tras. Nkr 20104x Remachada</v>
      </c>
      <c r="C10468" s="380" t="str">
        <f>IFERROR(__xludf.DUMMYFUNCTION("""COMPUTED_VALUE"""),"70005893")</f>
        <v>70005893</v>
      </c>
      <c r="D10468" s="380" t="s">
        <v>767</v>
      </c>
      <c r="E10468" s="380" t="s">
        <v>786</v>
      </c>
      <c r="F10468" s="380" t="s">
        <v>1017</v>
      </c>
      <c r="G10468" s="380" t="s">
        <v>1267</v>
      </c>
      <c r="H10468" s="380" t="s">
        <v>771</v>
      </c>
      <c r="I10468" s="380" t="s">
        <v>788</v>
      </c>
      <c r="J10468" s="380" t="s">
        <v>773</v>
      </c>
      <c r="K10468" s="381">
        <v>0.0</v>
      </c>
      <c r="L10468" s="382">
        <v>1.0</v>
      </c>
    </row>
    <row r="10469">
      <c r="A10469" s="380" t="s">
        <v>11343</v>
      </c>
      <c r="B10469" s="380" t="str">
        <f>IFERROR(__xludf.DUMMYFUNCTION("""COMPUTED_VALUE"""),"Varilla Suspens NeumaticaEGL 2022081c91")</f>
        <v>Varilla Suspens NeumaticaEGL 2022081c91</v>
      </c>
      <c r="C10469" s="380" t="str">
        <f>IFERROR(__xludf.DUMMYFUNCTION("""COMPUTED_VALUE"""),"70005894")</f>
        <v>70005894</v>
      </c>
      <c r="D10469" s="380" t="s">
        <v>767</v>
      </c>
      <c r="E10469" s="380" t="s">
        <v>786</v>
      </c>
      <c r="F10469" s="380" t="s">
        <v>1039</v>
      </c>
      <c r="G10469" s="380" t="s">
        <v>1267</v>
      </c>
      <c r="H10469" s="380" t="s">
        <v>771</v>
      </c>
      <c r="I10469" s="380" t="s">
        <v>788</v>
      </c>
      <c r="J10469" s="380" t="s">
        <v>773</v>
      </c>
      <c r="K10469" s="381">
        <v>0.0</v>
      </c>
      <c r="L10469" s="382">
        <v>1.0</v>
      </c>
    </row>
    <row r="10470">
      <c r="A10470" s="380" t="s">
        <v>11344</v>
      </c>
      <c r="B10470" s="380" t="str">
        <f>IFERROR(__xludf.DUMMYFUNCTION("""COMPUTED_VALUE"""),"Guaya Acelerador Akat125")</f>
        <v>Guaya Acelerador Akat125</v>
      </c>
      <c r="C10470" s="380" t="str">
        <f>IFERROR(__xludf.DUMMYFUNCTION("""COMPUTED_VALUE"""),"70005895")</f>
        <v>70005895</v>
      </c>
      <c r="D10470" s="380" t="s">
        <v>767</v>
      </c>
      <c r="E10470" s="380" t="s">
        <v>786</v>
      </c>
      <c r="F10470" s="380" t="s">
        <v>787</v>
      </c>
      <c r="G10470" s="380" t="s">
        <v>1267</v>
      </c>
      <c r="H10470" s="380" t="s">
        <v>771</v>
      </c>
      <c r="I10470" s="380" t="s">
        <v>788</v>
      </c>
      <c r="J10470" s="380" t="s">
        <v>773</v>
      </c>
      <c r="K10470" s="381">
        <v>0.0</v>
      </c>
      <c r="L10470" s="382">
        <v>1.0</v>
      </c>
    </row>
    <row r="10471">
      <c r="A10471" s="380" t="s">
        <v>11345</v>
      </c>
      <c r="B10471" s="380" t="str">
        <f>IFERROR(__xludf.DUMMYFUNCTION("""COMPUTED_VALUE"""),"Chapa Puerta Super Carry 8250085811")</f>
        <v>Chapa Puerta Super Carry 8250085811</v>
      </c>
      <c r="C10471" s="380" t="str">
        <f>IFERROR(__xludf.DUMMYFUNCTION("""COMPUTED_VALUE"""),"70005896")</f>
        <v>70005896</v>
      </c>
      <c r="D10471" s="380" t="s">
        <v>767</v>
      </c>
      <c r="E10471" s="380" t="s">
        <v>786</v>
      </c>
      <c r="F10471" s="380" t="s">
        <v>792</v>
      </c>
      <c r="G10471" s="380" t="s">
        <v>1267</v>
      </c>
      <c r="H10471" s="380" t="s">
        <v>771</v>
      </c>
      <c r="I10471" s="380" t="s">
        <v>788</v>
      </c>
      <c r="J10471" s="380" t="s">
        <v>773</v>
      </c>
      <c r="K10471" s="381">
        <v>0.0</v>
      </c>
      <c r="L10471" s="382">
        <v>1.0</v>
      </c>
    </row>
    <row r="10472">
      <c r="A10472" s="380" t="s">
        <v>11346</v>
      </c>
      <c r="B10472" s="380" t="str">
        <f>IFERROR(__xludf.DUMMYFUNCTION("""COMPUTED_VALUE"""),"Retenedor Caja 14718 Eagle K2262")</f>
        <v>Retenedor Caja 14718 Eagle K2262</v>
      </c>
      <c r="C10472" s="380" t="str">
        <f>IFERROR(__xludf.DUMMYFUNCTION("""COMPUTED_VALUE"""),"70005897")</f>
        <v>70005897</v>
      </c>
      <c r="D10472" s="380" t="s">
        <v>767</v>
      </c>
      <c r="E10472" s="380" t="s">
        <v>786</v>
      </c>
      <c r="F10472" s="380" t="s">
        <v>928</v>
      </c>
      <c r="G10472" s="380" t="s">
        <v>1267</v>
      </c>
      <c r="H10472" s="380" t="s">
        <v>771</v>
      </c>
      <c r="I10472" s="380" t="s">
        <v>788</v>
      </c>
      <c r="J10472" s="380" t="s">
        <v>773</v>
      </c>
      <c r="K10472" s="381">
        <v>0.0</v>
      </c>
      <c r="L10472" s="382">
        <v>1.0</v>
      </c>
    </row>
    <row r="10473">
      <c r="A10473" s="380" t="s">
        <v>11347</v>
      </c>
      <c r="B10473" s="380" t="str">
        <f>IFERROR(__xludf.DUMMYFUNCTION("""COMPUTED_VALUE"""),"Hoja Resorte Tras Npr 5ta 22917/5")</f>
        <v>Hoja Resorte Tras Npr 5ta 22917/5</v>
      </c>
      <c r="C10473" s="380" t="str">
        <f>IFERROR(__xludf.DUMMYFUNCTION("""COMPUTED_VALUE"""),"70005898")</f>
        <v>70005898</v>
      </c>
      <c r="D10473" s="380" t="s">
        <v>767</v>
      </c>
      <c r="E10473" s="380" t="s">
        <v>786</v>
      </c>
      <c r="F10473" s="380" t="s">
        <v>1039</v>
      </c>
      <c r="G10473" s="380" t="s">
        <v>1267</v>
      </c>
      <c r="H10473" s="380" t="s">
        <v>771</v>
      </c>
      <c r="I10473" s="380" t="s">
        <v>788</v>
      </c>
      <c r="J10473" s="380" t="s">
        <v>773</v>
      </c>
      <c r="K10473" s="381">
        <v>0.0</v>
      </c>
      <c r="L10473" s="382">
        <v>1.0</v>
      </c>
    </row>
    <row r="10474">
      <c r="A10474" s="380" t="s">
        <v>11348</v>
      </c>
      <c r="B10474" s="380" t="str">
        <f>IFERROR(__xludf.DUMMYFUNCTION("""COMPUTED_VALUE"""),"Hoja Resorte Tras Npr 6ta 22917/6")</f>
        <v>Hoja Resorte Tras Npr 6ta 22917/6</v>
      </c>
      <c r="C10474" s="380" t="str">
        <f>IFERROR(__xludf.DUMMYFUNCTION("""COMPUTED_VALUE"""),"70005899")</f>
        <v>70005899</v>
      </c>
      <c r="D10474" s="380" t="s">
        <v>767</v>
      </c>
      <c r="E10474" s="380" t="s">
        <v>786</v>
      </c>
      <c r="F10474" s="380" t="s">
        <v>1039</v>
      </c>
      <c r="G10474" s="380" t="s">
        <v>1267</v>
      </c>
      <c r="H10474" s="380" t="s">
        <v>771</v>
      </c>
      <c r="I10474" s="380" t="s">
        <v>788</v>
      </c>
      <c r="J10474" s="380" t="s">
        <v>773</v>
      </c>
      <c r="K10474" s="381">
        <v>0.0</v>
      </c>
      <c r="L10474" s="382">
        <v>1.0</v>
      </c>
    </row>
    <row r="10475">
      <c r="A10475" s="380" t="s">
        <v>11349</v>
      </c>
      <c r="B10475" s="380" t="str">
        <f>IFERROR(__xludf.DUMMYFUNCTION("""COMPUTED_VALUE"""),"Cabeza De Vaca Caja Eagle S60 23522643")</f>
        <v>Cabeza De Vaca Caja Eagle S60 23522643</v>
      </c>
      <c r="C10475" s="380" t="str">
        <f>IFERROR(__xludf.DUMMYFUNCTION("""COMPUTED_VALUE"""),"70005900")</f>
        <v>70005900</v>
      </c>
      <c r="D10475" s="380" t="s">
        <v>767</v>
      </c>
      <c r="E10475" s="380" t="s">
        <v>786</v>
      </c>
      <c r="F10475" s="380" t="s">
        <v>928</v>
      </c>
      <c r="G10475" s="380" t="s">
        <v>1267</v>
      </c>
      <c r="H10475" s="380" t="s">
        <v>771</v>
      </c>
      <c r="I10475" s="380" t="s">
        <v>788</v>
      </c>
      <c r="J10475" s="380" t="s">
        <v>773</v>
      </c>
      <c r="K10475" s="381">
        <v>0.0</v>
      </c>
      <c r="L10475" s="382">
        <v>1.0</v>
      </c>
    </row>
    <row r="10476">
      <c r="A10476" s="380" t="s">
        <v>11350</v>
      </c>
      <c r="B10476" s="380" t="str">
        <f>IFERROR(__xludf.DUMMYFUNCTION("""COMPUTED_VALUE"""),"Sirena 6 Tonos Nkr Yh4627")</f>
        <v>Sirena 6 Tonos Nkr Yh4627</v>
      </c>
      <c r="C10476" s="380" t="str">
        <f>IFERROR(__xludf.DUMMYFUNCTION("""COMPUTED_VALUE"""),"70005901")</f>
        <v>70005901</v>
      </c>
      <c r="D10476" s="380" t="s">
        <v>767</v>
      </c>
      <c r="E10476" s="380" t="s">
        <v>786</v>
      </c>
      <c r="F10476" s="380" t="s">
        <v>998</v>
      </c>
      <c r="G10476" s="380" t="s">
        <v>1267</v>
      </c>
      <c r="H10476" s="380" t="s">
        <v>771</v>
      </c>
      <c r="I10476" s="380" t="s">
        <v>788</v>
      </c>
      <c r="J10476" s="380" t="s">
        <v>773</v>
      </c>
      <c r="K10476" s="381">
        <v>80000.0</v>
      </c>
      <c r="L10476" s="382">
        <v>1.0</v>
      </c>
    </row>
    <row r="10477">
      <c r="A10477" s="380" t="s">
        <v>11351</v>
      </c>
      <c r="B10477" s="380" t="str">
        <f>IFERROR(__xludf.DUMMYFUNCTION("""COMPUTED_VALUE"""),"Grapa Muelle 7/8x5x13 Trailer")</f>
        <v>Grapa Muelle 7/8x5x13 Trailer</v>
      </c>
      <c r="C10477" s="380" t="str">
        <f>IFERROR(__xludf.DUMMYFUNCTION("""COMPUTED_VALUE"""),"70005902")</f>
        <v>70005902</v>
      </c>
      <c r="D10477" s="380" t="s">
        <v>767</v>
      </c>
      <c r="E10477" s="380" t="s">
        <v>786</v>
      </c>
      <c r="F10477" s="380" t="s">
        <v>1039</v>
      </c>
      <c r="G10477" s="380" t="s">
        <v>1267</v>
      </c>
      <c r="H10477" s="380" t="s">
        <v>771</v>
      </c>
      <c r="I10477" s="380" t="s">
        <v>788</v>
      </c>
      <c r="J10477" s="380" t="s">
        <v>773</v>
      </c>
      <c r="K10477" s="381">
        <v>0.0</v>
      </c>
      <c r="L10477" s="382">
        <v>1.0</v>
      </c>
    </row>
    <row r="10478">
      <c r="A10478" s="380" t="s">
        <v>11352</v>
      </c>
      <c r="B10478" s="380" t="str">
        <f>IFERROR(__xludf.DUMMYFUNCTION("""COMPUTED_VALUE"""),"Plumilla Limpiabrisas Nkr 8971374692")</f>
        <v>Plumilla Limpiabrisas Nkr 8971374692</v>
      </c>
      <c r="C10478" s="380" t="str">
        <f>IFERROR(__xludf.DUMMYFUNCTION("""COMPUTED_VALUE"""),"70005903")</f>
        <v>70005903</v>
      </c>
      <c r="D10478" s="380" t="s">
        <v>767</v>
      </c>
      <c r="E10478" s="380" t="s">
        <v>786</v>
      </c>
      <c r="F10478" s="380" t="s">
        <v>792</v>
      </c>
      <c r="G10478" s="380" t="s">
        <v>1267</v>
      </c>
      <c r="H10478" s="380" t="s">
        <v>771</v>
      </c>
      <c r="I10478" s="380" t="s">
        <v>788</v>
      </c>
      <c r="J10478" s="380" t="s">
        <v>773</v>
      </c>
      <c r="K10478" s="381">
        <v>0.0</v>
      </c>
      <c r="L10478" s="382">
        <v>1.0</v>
      </c>
    </row>
    <row r="10479">
      <c r="A10479" s="380" t="s">
        <v>11353</v>
      </c>
      <c r="B10479" s="380" t="str">
        <f>IFERROR(__xludf.DUMMYFUNCTION("""COMPUTED_VALUE"""),"Soporte Motor Tras KWh 11540")</f>
        <v>Soporte Motor Tras KWh 11540</v>
      </c>
      <c r="C10479" s="380" t="str">
        <f>IFERROR(__xludf.DUMMYFUNCTION("""COMPUTED_VALUE"""),"70005904")</f>
        <v>70005904</v>
      </c>
      <c r="D10479" s="380" t="s">
        <v>767</v>
      </c>
      <c r="E10479" s="380" t="s">
        <v>786</v>
      </c>
      <c r="F10479" s="380" t="s">
        <v>787</v>
      </c>
      <c r="G10479" s="380" t="s">
        <v>1267</v>
      </c>
      <c r="H10479" s="380" t="s">
        <v>771</v>
      </c>
      <c r="I10479" s="380" t="s">
        <v>788</v>
      </c>
      <c r="J10479" s="380" t="s">
        <v>773</v>
      </c>
      <c r="K10479" s="381">
        <v>0.0</v>
      </c>
      <c r="L10479" s="382">
        <v>1.0</v>
      </c>
    </row>
    <row r="10480">
      <c r="A10480" s="380" t="s">
        <v>11354</v>
      </c>
      <c r="B10480" s="380" t="str">
        <f>IFERROR(__xludf.DUMMYFUNCTION("""COMPUTED_VALUE"""),"Brazo Plumilla Izuierdo Limpi 8971845551")</f>
        <v>Brazo Plumilla Izuierdo Limpi 8971845551</v>
      </c>
      <c r="C10480" s="380" t="str">
        <f>IFERROR(__xludf.DUMMYFUNCTION("""COMPUTED_VALUE"""),"70005905")</f>
        <v>70005905</v>
      </c>
      <c r="D10480" s="380" t="s">
        <v>767</v>
      </c>
      <c r="E10480" s="380" t="s">
        <v>786</v>
      </c>
      <c r="F10480" s="380" t="s">
        <v>792</v>
      </c>
      <c r="G10480" s="380" t="s">
        <v>1267</v>
      </c>
      <c r="H10480" s="380" t="s">
        <v>771</v>
      </c>
      <c r="I10480" s="380" t="s">
        <v>788</v>
      </c>
      <c r="J10480" s="380" t="s">
        <v>773</v>
      </c>
      <c r="K10480" s="381">
        <v>0.0</v>
      </c>
      <c r="L10480" s="382">
        <v>1.0</v>
      </c>
    </row>
    <row r="10481">
      <c r="A10481" s="380" t="s">
        <v>11355</v>
      </c>
      <c r="B10481" s="380" t="str">
        <f>IFERROR(__xludf.DUMMYFUNCTION("""COMPUTED_VALUE"""),"Luna Espejo Convexo Hi 4300 S 2505815 C2")</f>
        <v>Luna Espejo Convexo Hi 4300 S 2505815 C2</v>
      </c>
      <c r="C10481" s="380" t="str">
        <f>IFERROR(__xludf.DUMMYFUNCTION("""COMPUTED_VALUE"""),"70005906")</f>
        <v>70005906</v>
      </c>
      <c r="D10481" s="380" t="s">
        <v>767</v>
      </c>
      <c r="E10481" s="380" t="s">
        <v>786</v>
      </c>
      <c r="F10481" s="380" t="s">
        <v>1031</v>
      </c>
      <c r="G10481" s="380" t="s">
        <v>1267</v>
      </c>
      <c r="H10481" s="380" t="s">
        <v>771</v>
      </c>
      <c r="I10481" s="380" t="s">
        <v>788</v>
      </c>
      <c r="J10481" s="380" t="s">
        <v>773</v>
      </c>
      <c r="K10481" s="381">
        <v>138495.0</v>
      </c>
      <c r="L10481" s="382">
        <v>1.0</v>
      </c>
    </row>
    <row r="10482">
      <c r="A10482" s="380" t="s">
        <v>11356</v>
      </c>
      <c r="B10482" s="380" t="str">
        <f>IFERROR(__xludf.DUMMYFUNCTION("""COMPUTED_VALUE"""),"Rodillo Rda Del Inter Nhr")</f>
        <v>Rodillo Rda Del Inter Nhr</v>
      </c>
      <c r="C10482" s="380" t="str">
        <f>IFERROR(__xludf.DUMMYFUNCTION("""COMPUTED_VALUE"""),"70005907")</f>
        <v>70005907</v>
      </c>
      <c r="D10482" s="380" t="s">
        <v>767</v>
      </c>
      <c r="E10482" s="380" t="s">
        <v>786</v>
      </c>
      <c r="F10482" s="380" t="s">
        <v>1039</v>
      </c>
      <c r="G10482" s="380" t="s">
        <v>1267</v>
      </c>
      <c r="H10482" s="380" t="s">
        <v>771</v>
      </c>
      <c r="I10482" s="380" t="s">
        <v>788</v>
      </c>
      <c r="J10482" s="380" t="s">
        <v>773</v>
      </c>
      <c r="K10482" s="381">
        <v>0.0</v>
      </c>
      <c r="L10482" s="382">
        <v>1.0</v>
      </c>
    </row>
    <row r="10483">
      <c r="A10483" s="380" t="s">
        <v>11357</v>
      </c>
      <c r="B10483" s="380" t="str">
        <f>IFERROR(__xludf.DUMMYFUNCTION("""COMPUTED_VALUE"""),"Rodillo Rda Del Exter Nhr")</f>
        <v>Rodillo Rda Del Exter Nhr</v>
      </c>
      <c r="C10483" s="380" t="str">
        <f>IFERROR(__xludf.DUMMYFUNCTION("""COMPUTED_VALUE"""),"70005908")</f>
        <v>70005908</v>
      </c>
      <c r="D10483" s="380" t="s">
        <v>767</v>
      </c>
      <c r="E10483" s="380" t="s">
        <v>786</v>
      </c>
      <c r="F10483" s="380" t="s">
        <v>1039</v>
      </c>
      <c r="G10483" s="380" t="s">
        <v>1267</v>
      </c>
      <c r="H10483" s="380" t="s">
        <v>771</v>
      </c>
      <c r="I10483" s="380" t="s">
        <v>788</v>
      </c>
      <c r="J10483" s="380" t="s">
        <v>773</v>
      </c>
      <c r="K10483" s="381">
        <v>0.0</v>
      </c>
      <c r="L10483" s="382">
        <v>1.0</v>
      </c>
    </row>
    <row r="10484">
      <c r="A10484" s="380" t="s">
        <v>11358</v>
      </c>
      <c r="B10484" s="380" t="str">
        <f>IFERROR(__xludf.DUMMYFUNCTION("""COMPUTED_VALUE"""),"Filtros Varios")</f>
        <v>Filtros Varios</v>
      </c>
      <c r="C10484" s="380" t="str">
        <f>IFERROR(__xludf.DUMMYFUNCTION("""COMPUTED_VALUE"""),"70005909")</f>
        <v>70005909</v>
      </c>
      <c r="D10484" s="380" t="s">
        <v>767</v>
      </c>
      <c r="E10484" s="380" t="s">
        <v>786</v>
      </c>
      <c r="F10484" s="380" t="s">
        <v>5855</v>
      </c>
      <c r="G10484" s="380" t="s">
        <v>1267</v>
      </c>
      <c r="H10484" s="380" t="s">
        <v>771</v>
      </c>
      <c r="I10484" s="380" t="s">
        <v>788</v>
      </c>
      <c r="J10484" s="380" t="s">
        <v>773</v>
      </c>
      <c r="K10484" s="381">
        <v>0.0</v>
      </c>
      <c r="L10484" s="382">
        <v>1.0</v>
      </c>
    </row>
    <row r="10485">
      <c r="A10485" s="380" t="s">
        <v>11359</v>
      </c>
      <c r="B10485" s="380" t="str">
        <f>IFERROR(__xludf.DUMMYFUNCTION("""COMPUTED_VALUE"""),"Empaque Multiple Escape Npr 8971464990")</f>
        <v>Empaque Multiple Escape Npr 8971464990</v>
      </c>
      <c r="C10485" s="380" t="str">
        <f>IFERROR(__xludf.DUMMYFUNCTION("""COMPUTED_VALUE"""),"70005910")</f>
        <v>70005910</v>
      </c>
      <c r="D10485" s="380" t="s">
        <v>767</v>
      </c>
      <c r="E10485" s="380" t="s">
        <v>786</v>
      </c>
      <c r="F10485" s="380" t="s">
        <v>787</v>
      </c>
      <c r="G10485" s="380" t="s">
        <v>1267</v>
      </c>
      <c r="H10485" s="380" t="s">
        <v>771</v>
      </c>
      <c r="I10485" s="380" t="s">
        <v>788</v>
      </c>
      <c r="J10485" s="380" t="s">
        <v>773</v>
      </c>
      <c r="K10485" s="381">
        <v>0.0</v>
      </c>
      <c r="L10485" s="382">
        <v>1.0</v>
      </c>
    </row>
    <row r="10486">
      <c r="A10486" s="380" t="s">
        <v>11360</v>
      </c>
      <c r="B10486" s="380" t="str">
        <f>IFERROR(__xludf.DUMMYFUNCTION("""COMPUTED_VALUE"""),"Empaque Tapa Valvulas Npr 8917056902")</f>
        <v>Empaque Tapa Valvulas Npr 8917056902</v>
      </c>
      <c r="C10486" s="380" t="str">
        <f>IFERROR(__xludf.DUMMYFUNCTION("""COMPUTED_VALUE"""),"70005911")</f>
        <v>70005911</v>
      </c>
      <c r="D10486" s="380" t="s">
        <v>767</v>
      </c>
      <c r="E10486" s="380" t="s">
        <v>786</v>
      </c>
      <c r="F10486" s="380" t="s">
        <v>787</v>
      </c>
      <c r="G10486" s="380" t="s">
        <v>1267</v>
      </c>
      <c r="H10486" s="380" t="s">
        <v>771</v>
      </c>
      <c r="I10486" s="380" t="s">
        <v>788</v>
      </c>
      <c r="J10486" s="380" t="s">
        <v>773</v>
      </c>
      <c r="K10486" s="381">
        <v>0.0</v>
      </c>
      <c r="L10486" s="382">
        <v>1.0</v>
      </c>
    </row>
    <row r="10487">
      <c r="A10487" s="380" t="s">
        <v>11361</v>
      </c>
      <c r="B10487" s="380" t="str">
        <f>IFERROR(__xludf.DUMMYFUNCTION("""COMPUTED_VALUE"""),"Brazo Plumilla Der Limpiabris 8971845561")</f>
        <v>Brazo Plumilla Der Limpiabris 8971845561</v>
      </c>
      <c r="C10487" s="380" t="str">
        <f>IFERROR(__xludf.DUMMYFUNCTION("""COMPUTED_VALUE"""),"70005912")</f>
        <v>70005912</v>
      </c>
      <c r="D10487" s="380" t="s">
        <v>767</v>
      </c>
      <c r="E10487" s="380" t="s">
        <v>786</v>
      </c>
      <c r="F10487" s="380" t="s">
        <v>792</v>
      </c>
      <c r="G10487" s="380" t="s">
        <v>1267</v>
      </c>
      <c r="H10487" s="380" t="s">
        <v>771</v>
      </c>
      <c r="I10487" s="380" t="s">
        <v>788</v>
      </c>
      <c r="J10487" s="380" t="s">
        <v>773</v>
      </c>
      <c r="K10487" s="381">
        <v>0.0</v>
      </c>
      <c r="L10487" s="382">
        <v>1.0</v>
      </c>
    </row>
    <row r="10488">
      <c r="A10488" s="380" t="s">
        <v>11362</v>
      </c>
      <c r="B10488" s="380" t="str">
        <f>IFERROR(__xludf.DUMMYFUNCTION("""COMPUTED_VALUE"""),"Palanca Der Limpiabrisas Nkr 8978551500")</f>
        <v>Palanca Der Limpiabrisas Nkr 8978551500</v>
      </c>
      <c r="C10488" s="380" t="str">
        <f>IFERROR(__xludf.DUMMYFUNCTION("""COMPUTED_VALUE"""),"70005913")</f>
        <v>70005913</v>
      </c>
      <c r="D10488" s="380" t="s">
        <v>767</v>
      </c>
      <c r="E10488" s="380" t="s">
        <v>786</v>
      </c>
      <c r="F10488" s="380" t="s">
        <v>792</v>
      </c>
      <c r="G10488" s="380" t="s">
        <v>1267</v>
      </c>
      <c r="H10488" s="380" t="s">
        <v>771</v>
      </c>
      <c r="I10488" s="380" t="s">
        <v>788</v>
      </c>
      <c r="J10488" s="380" t="s">
        <v>773</v>
      </c>
      <c r="K10488" s="381">
        <v>0.0</v>
      </c>
      <c r="L10488" s="382">
        <v>1.0</v>
      </c>
    </row>
    <row r="10489">
      <c r="A10489" s="380" t="s">
        <v>11363</v>
      </c>
      <c r="B10489" s="380" t="str">
        <f>IFERROR(__xludf.DUMMYFUNCTION("""COMPUTED_VALUE"""),"Cilindro Freno Del Der Npr 8971398200")</f>
        <v>Cilindro Freno Del Der Npr 8971398200</v>
      </c>
      <c r="C10489" s="380" t="str">
        <f>IFERROR(__xludf.DUMMYFUNCTION("""COMPUTED_VALUE"""),"70005914")</f>
        <v>70005914</v>
      </c>
      <c r="D10489" s="380" t="s">
        <v>767</v>
      </c>
      <c r="E10489" s="380" t="s">
        <v>786</v>
      </c>
      <c r="F10489" s="380" t="s">
        <v>1017</v>
      </c>
      <c r="G10489" s="380" t="s">
        <v>1267</v>
      </c>
      <c r="H10489" s="380" t="s">
        <v>771</v>
      </c>
      <c r="I10489" s="380" t="s">
        <v>788</v>
      </c>
      <c r="J10489" s="380" t="s">
        <v>773</v>
      </c>
      <c r="K10489" s="381">
        <v>0.0</v>
      </c>
      <c r="L10489" s="382">
        <v>1.0</v>
      </c>
    </row>
    <row r="10490">
      <c r="A10490" s="380" t="s">
        <v>11364</v>
      </c>
      <c r="B10490" s="380" t="str">
        <f>IFERROR(__xludf.DUMMYFUNCTION("""COMPUTED_VALUE"""),"Palanca Izq Limpiabrisas Nkr 8978551530")</f>
        <v>Palanca Izq Limpiabrisas Nkr 8978551530</v>
      </c>
      <c r="C10490" s="380" t="str">
        <f>IFERROR(__xludf.DUMMYFUNCTION("""COMPUTED_VALUE"""),"70005915")</f>
        <v>70005915</v>
      </c>
      <c r="D10490" s="380" t="s">
        <v>767</v>
      </c>
      <c r="E10490" s="380" t="s">
        <v>786</v>
      </c>
      <c r="F10490" s="380" t="s">
        <v>792</v>
      </c>
      <c r="G10490" s="380" t="s">
        <v>1267</v>
      </c>
      <c r="H10490" s="380" t="s">
        <v>771</v>
      </c>
      <c r="I10490" s="380" t="s">
        <v>788</v>
      </c>
      <c r="J10490" s="380" t="s">
        <v>773</v>
      </c>
      <c r="K10490" s="381">
        <v>0.0</v>
      </c>
      <c r="L10490" s="382">
        <v>1.0</v>
      </c>
    </row>
    <row r="10491">
      <c r="A10491" s="380" t="s">
        <v>11365</v>
      </c>
      <c r="B10491" s="380" t="str">
        <f>IFERROR(__xludf.DUMMYFUNCTION("""COMPUTED_VALUE"""),"Caucho Zapata Muelle Trailer Tl08032")</f>
        <v>Caucho Zapata Muelle Trailer Tl08032</v>
      </c>
      <c r="C10491" s="380" t="str">
        <f>IFERROR(__xludf.DUMMYFUNCTION("""COMPUTED_VALUE"""),"70005916")</f>
        <v>70005916</v>
      </c>
      <c r="D10491" s="380" t="s">
        <v>767</v>
      </c>
      <c r="E10491" s="380" t="s">
        <v>786</v>
      </c>
      <c r="F10491" s="380" t="s">
        <v>1039</v>
      </c>
      <c r="G10491" s="380" t="s">
        <v>1267</v>
      </c>
      <c r="H10491" s="380" t="s">
        <v>771</v>
      </c>
      <c r="I10491" s="380" t="s">
        <v>788</v>
      </c>
      <c r="J10491" s="380" t="s">
        <v>773</v>
      </c>
      <c r="K10491" s="381">
        <v>0.0</v>
      </c>
      <c r="L10491" s="382">
        <v>1.0</v>
      </c>
    </row>
    <row r="10492">
      <c r="A10492" s="380" t="s">
        <v>11366</v>
      </c>
      <c r="B10492" s="380" t="str">
        <f>IFERROR(__xludf.DUMMYFUNCTION("""COMPUTED_VALUE"""),"Balancin Fundido Trailer Dite Tl15006")</f>
        <v>Balancin Fundido Trailer Dite Tl15006</v>
      </c>
      <c r="C10492" s="380" t="str">
        <f>IFERROR(__xludf.DUMMYFUNCTION("""COMPUTED_VALUE"""),"70005917")</f>
        <v>70005917</v>
      </c>
      <c r="D10492" s="380" t="s">
        <v>767</v>
      </c>
      <c r="E10492" s="380" t="s">
        <v>786</v>
      </c>
      <c r="F10492" s="380" t="s">
        <v>1039</v>
      </c>
      <c r="G10492" s="380" t="s">
        <v>1267</v>
      </c>
      <c r="H10492" s="380" t="s">
        <v>771</v>
      </c>
      <c r="I10492" s="380" t="s">
        <v>788</v>
      </c>
      <c r="J10492" s="380" t="s">
        <v>773</v>
      </c>
      <c r="K10492" s="381">
        <v>0.0</v>
      </c>
      <c r="L10492" s="382">
        <v>1.0</v>
      </c>
    </row>
    <row r="10493">
      <c r="A10493" s="380" t="s">
        <v>11367</v>
      </c>
      <c r="B10493" s="380" t="str">
        <f>IFERROR(__xludf.DUMMYFUNCTION("""COMPUTED_VALUE"""),"Torre Central Trailer Dite Tl20002")</f>
        <v>Torre Central Trailer Dite Tl20002</v>
      </c>
      <c r="C10493" s="380" t="str">
        <f>IFERROR(__xludf.DUMMYFUNCTION("""COMPUTED_VALUE"""),"70005918")</f>
        <v>70005918</v>
      </c>
      <c r="D10493" s="380" t="s">
        <v>767</v>
      </c>
      <c r="E10493" s="380" t="s">
        <v>786</v>
      </c>
      <c r="F10493" s="380" t="s">
        <v>1039</v>
      </c>
      <c r="G10493" s="380" t="s">
        <v>1267</v>
      </c>
      <c r="H10493" s="380" t="s">
        <v>771</v>
      </c>
      <c r="I10493" s="380" t="s">
        <v>788</v>
      </c>
      <c r="J10493" s="380" t="s">
        <v>773</v>
      </c>
      <c r="K10493" s="381">
        <v>0.0</v>
      </c>
      <c r="L10493" s="382">
        <v>1.0</v>
      </c>
    </row>
    <row r="10494">
      <c r="A10494" s="380" t="s">
        <v>11368</v>
      </c>
      <c r="B10494" s="380" t="str">
        <f>IFERROR(__xludf.DUMMYFUNCTION("""COMPUTED_VALUE"""),"Chumasera Sin Vena Trailer Dite Tl18024")</f>
        <v>Chumasera Sin Vena Trailer Dite Tl18024</v>
      </c>
      <c r="C10494" s="380" t="str">
        <f>IFERROR(__xludf.DUMMYFUNCTION("""COMPUTED_VALUE"""),"70005919")</f>
        <v>70005919</v>
      </c>
      <c r="D10494" s="380" t="s">
        <v>767</v>
      </c>
      <c r="E10494" s="380" t="s">
        <v>786</v>
      </c>
      <c r="F10494" s="380" t="s">
        <v>1039</v>
      </c>
      <c r="G10494" s="380" t="s">
        <v>1267</v>
      </c>
      <c r="H10494" s="380" t="s">
        <v>771</v>
      </c>
      <c r="I10494" s="380" t="s">
        <v>788</v>
      </c>
      <c r="J10494" s="380" t="s">
        <v>773</v>
      </c>
      <c r="K10494" s="381">
        <v>0.0</v>
      </c>
      <c r="L10494" s="382">
        <v>1.0</v>
      </c>
    </row>
    <row r="10495">
      <c r="A10495" s="380" t="s">
        <v>11369</v>
      </c>
      <c r="B10495" s="380" t="str">
        <f>IFERROR(__xludf.DUMMYFUNCTION("""COMPUTED_VALUE"""),"Tapa Caja Bateria Hi-4300 3535374c2")</f>
        <v>Tapa Caja Bateria Hi-4300 3535374c2</v>
      </c>
      <c r="C10495" s="380" t="str">
        <f>IFERROR(__xludf.DUMMYFUNCTION("""COMPUTED_VALUE"""),"70005920")</f>
        <v>70005920</v>
      </c>
      <c r="D10495" s="380" t="s">
        <v>767</v>
      </c>
      <c r="E10495" s="380" t="s">
        <v>786</v>
      </c>
      <c r="F10495" s="380" t="s">
        <v>792</v>
      </c>
      <c r="G10495" s="380" t="s">
        <v>1267</v>
      </c>
      <c r="H10495" s="380" t="s">
        <v>771</v>
      </c>
      <c r="I10495" s="380" t="s">
        <v>788</v>
      </c>
      <c r="J10495" s="380" t="s">
        <v>773</v>
      </c>
      <c r="K10495" s="381">
        <v>368186.0</v>
      </c>
      <c r="L10495" s="382">
        <v>1.0</v>
      </c>
    </row>
    <row r="10496">
      <c r="A10496" s="380" t="s">
        <v>11370</v>
      </c>
      <c r="B10496" s="380" t="str">
        <f>IFERROR(__xludf.DUMMYFUNCTION("""COMPUTED_VALUE"""),"Biela Piston Motor Nkr 8980132901")</f>
        <v>Biela Piston Motor Nkr 8980132901</v>
      </c>
      <c r="C10496" s="380" t="str">
        <f>IFERROR(__xludf.DUMMYFUNCTION("""COMPUTED_VALUE"""),"70005921")</f>
        <v>70005921</v>
      </c>
      <c r="D10496" s="380" t="s">
        <v>767</v>
      </c>
      <c r="E10496" s="380" t="s">
        <v>786</v>
      </c>
      <c r="F10496" s="380" t="s">
        <v>787</v>
      </c>
      <c r="G10496" s="380" t="s">
        <v>1267</v>
      </c>
      <c r="H10496" s="380" t="s">
        <v>771</v>
      </c>
      <c r="I10496" s="380" t="s">
        <v>788</v>
      </c>
      <c r="J10496" s="380" t="s">
        <v>773</v>
      </c>
      <c r="K10496" s="381">
        <v>0.0</v>
      </c>
      <c r="L10496" s="382">
        <v>1.0</v>
      </c>
    </row>
    <row r="10497">
      <c r="A10497" s="380" t="s">
        <v>11371</v>
      </c>
      <c r="B10497" s="380" t="str">
        <f>IFERROR(__xludf.DUMMYFUNCTION("""COMPUTED_VALUE"""),"Balinera 6204 Zz")</f>
        <v>Balinera 6204 Zz</v>
      </c>
      <c r="C10497" s="380" t="str">
        <f>IFERROR(__xludf.DUMMYFUNCTION("""COMPUTED_VALUE"""),"70005922")</f>
        <v>70005922</v>
      </c>
      <c r="D10497" s="380" t="s">
        <v>767</v>
      </c>
      <c r="E10497" s="380" t="s">
        <v>786</v>
      </c>
      <c r="F10497" s="380" t="s">
        <v>998</v>
      </c>
      <c r="G10497" s="380" t="s">
        <v>1267</v>
      </c>
      <c r="H10497" s="380" t="s">
        <v>771</v>
      </c>
      <c r="I10497" s="380" t="s">
        <v>788</v>
      </c>
      <c r="J10497" s="380" t="s">
        <v>773</v>
      </c>
      <c r="K10497" s="381">
        <v>0.0</v>
      </c>
      <c r="L10497" s="382">
        <v>1.0</v>
      </c>
    </row>
    <row r="10498">
      <c r="A10498" s="380" t="s">
        <v>11372</v>
      </c>
      <c r="B10498" s="380" t="str">
        <f>IFERROR(__xludf.DUMMYFUNCTION("""COMPUTED_VALUE"""),"Anillo Standar Nkr 8942478671")</f>
        <v>Anillo Standar Nkr 8942478671</v>
      </c>
      <c r="C10498" s="380" t="str">
        <f>IFERROR(__xludf.DUMMYFUNCTION("""COMPUTED_VALUE"""),"70005923")</f>
        <v>70005923</v>
      </c>
      <c r="D10498" s="380" t="s">
        <v>767</v>
      </c>
      <c r="E10498" s="380" t="s">
        <v>786</v>
      </c>
      <c r="F10498" s="380" t="s">
        <v>787</v>
      </c>
      <c r="G10498" s="380" t="s">
        <v>1267</v>
      </c>
      <c r="H10498" s="380" t="s">
        <v>771</v>
      </c>
      <c r="I10498" s="380" t="s">
        <v>788</v>
      </c>
      <c r="J10498" s="380" t="s">
        <v>773</v>
      </c>
      <c r="K10498" s="381">
        <v>0.0</v>
      </c>
      <c r="L10498" s="382">
        <v>1.0</v>
      </c>
    </row>
    <row r="10499">
      <c r="A10499" s="380" t="s">
        <v>11373</v>
      </c>
      <c r="B10499" s="380" t="str">
        <f>IFERROR(__xludf.DUMMYFUNCTION("""COMPUTED_VALUE"""),"Bomba Hidraulica Hi Eagle 542013010")</f>
        <v>Bomba Hidraulica Hi Eagle 542013010</v>
      </c>
      <c r="C10499" s="380" t="str">
        <f>IFERROR(__xludf.DUMMYFUNCTION("""COMPUTED_VALUE"""),"70005924")</f>
        <v>70005924</v>
      </c>
      <c r="D10499" s="380" t="s">
        <v>767</v>
      </c>
      <c r="E10499" s="380" t="s">
        <v>786</v>
      </c>
      <c r="F10499" s="380" t="s">
        <v>1020</v>
      </c>
      <c r="G10499" s="380" t="s">
        <v>1267</v>
      </c>
      <c r="H10499" s="380" t="s">
        <v>771</v>
      </c>
      <c r="I10499" s="380" t="s">
        <v>788</v>
      </c>
      <c r="J10499" s="380" t="s">
        <v>773</v>
      </c>
      <c r="K10499" s="381">
        <v>1176772.0</v>
      </c>
      <c r="L10499" s="382">
        <v>1.0</v>
      </c>
    </row>
    <row r="10500">
      <c r="A10500" s="380" t="s">
        <v>11374</v>
      </c>
      <c r="B10500" s="380" t="str">
        <f>IFERROR(__xludf.DUMMYFUNCTION("""COMPUTED_VALUE"""),"Pasador Balancin MUE EGL 2674 507203c1")</f>
        <v>Pasador Balancin MUE EGL 2674 507203c1</v>
      </c>
      <c r="C10500" s="380" t="str">
        <f>IFERROR(__xludf.DUMMYFUNCTION("""COMPUTED_VALUE"""),"70005925")</f>
        <v>70005925</v>
      </c>
      <c r="D10500" s="380" t="s">
        <v>767</v>
      </c>
      <c r="E10500" s="380" t="s">
        <v>786</v>
      </c>
      <c r="F10500" s="380" t="s">
        <v>1039</v>
      </c>
      <c r="G10500" s="380" t="s">
        <v>1267</v>
      </c>
      <c r="H10500" s="380" t="s">
        <v>771</v>
      </c>
      <c r="I10500" s="380" t="s">
        <v>788</v>
      </c>
      <c r="J10500" s="380" t="s">
        <v>773</v>
      </c>
      <c r="K10500" s="381">
        <v>0.0</v>
      </c>
      <c r="L10500" s="382">
        <v>1.0</v>
      </c>
    </row>
    <row r="10501">
      <c r="A10501" s="380" t="s">
        <v>11375</v>
      </c>
      <c r="B10501" s="380" t="str">
        <f>IFERROR(__xludf.DUMMYFUNCTION("""COMPUTED_VALUE"""),"Juego Splinder Nkr III Isuzu 5878321830")</f>
        <v>Juego Splinder Nkr III Isuzu 5878321830</v>
      </c>
      <c r="C10501" s="380" t="str">
        <f>IFERROR(__xludf.DUMMYFUNCTION("""COMPUTED_VALUE"""),"70005926")</f>
        <v>70005926</v>
      </c>
      <c r="D10501" s="380" t="s">
        <v>767</v>
      </c>
      <c r="E10501" s="380" t="s">
        <v>786</v>
      </c>
      <c r="F10501" s="380" t="s">
        <v>1039</v>
      </c>
      <c r="G10501" s="380" t="s">
        <v>1267</v>
      </c>
      <c r="H10501" s="380" t="s">
        <v>771</v>
      </c>
      <c r="I10501" s="380" t="s">
        <v>788</v>
      </c>
      <c r="J10501" s="380" t="s">
        <v>773</v>
      </c>
      <c r="K10501" s="381">
        <v>0.0</v>
      </c>
      <c r="L10501" s="382">
        <v>1.0</v>
      </c>
    </row>
    <row r="10502">
      <c r="A10502" s="380" t="s">
        <v>11376</v>
      </c>
      <c r="B10502" s="380" t="str">
        <f>IFERROR(__xludf.DUMMYFUNCTION("""COMPUTED_VALUE"""),"Horquilla Extrabajo CJ 14718 EGL A7011")</f>
        <v>Horquilla Extrabajo CJ 14718 EGL A7011</v>
      </c>
      <c r="C10502" s="380" t="str">
        <f>IFERROR(__xludf.DUMMYFUNCTION("""COMPUTED_VALUE"""),"70005927")</f>
        <v>70005927</v>
      </c>
      <c r="D10502" s="380" t="s">
        <v>767</v>
      </c>
      <c r="E10502" s="380" t="s">
        <v>786</v>
      </c>
      <c r="F10502" s="380" t="s">
        <v>928</v>
      </c>
      <c r="G10502" s="380" t="s">
        <v>1267</v>
      </c>
      <c r="H10502" s="380" t="s">
        <v>771</v>
      </c>
      <c r="I10502" s="380" t="s">
        <v>788</v>
      </c>
      <c r="J10502" s="380" t="s">
        <v>773</v>
      </c>
      <c r="K10502" s="381">
        <v>0.0</v>
      </c>
      <c r="L10502" s="382">
        <v>1.0</v>
      </c>
    </row>
    <row r="10503">
      <c r="A10503" s="380" t="s">
        <v>11377</v>
      </c>
      <c r="B10503" s="380" t="str">
        <f>IFERROR(__xludf.DUMMYFUNCTION("""COMPUTED_VALUE"""),"Dam Damper Vibr. Motor Eagle Isx 4101884")</f>
        <v>Dam Damper Vibr. Motor Eagle Isx 4101884</v>
      </c>
      <c r="C10503" s="380" t="str">
        <f>IFERROR(__xludf.DUMMYFUNCTION("""COMPUTED_VALUE"""),"70005928")</f>
        <v>70005928</v>
      </c>
      <c r="D10503" s="380" t="s">
        <v>767</v>
      </c>
      <c r="E10503" s="380" t="s">
        <v>786</v>
      </c>
      <c r="F10503" s="380" t="s">
        <v>787</v>
      </c>
      <c r="G10503" s="380" t="s">
        <v>1267</v>
      </c>
      <c r="H10503" s="380" t="s">
        <v>771</v>
      </c>
      <c r="I10503" s="380" t="s">
        <v>788</v>
      </c>
      <c r="J10503" s="380" t="s">
        <v>773</v>
      </c>
      <c r="K10503" s="381">
        <v>0.0</v>
      </c>
      <c r="L10503" s="382">
        <v>1.0</v>
      </c>
    </row>
    <row r="10504">
      <c r="A10504" s="380" t="s">
        <v>11378</v>
      </c>
      <c r="B10504" s="380" t="str">
        <f>IFERROR(__xludf.DUMMYFUNCTION("""COMPUTED_VALUE"""),"Retenedor Speed Npr 1096254840")</f>
        <v>Retenedor Speed Npr 1096254840</v>
      </c>
      <c r="C10504" s="380" t="str">
        <f>IFERROR(__xludf.DUMMYFUNCTION("""COMPUTED_VALUE"""),"70005929")</f>
        <v>70005929</v>
      </c>
      <c r="D10504" s="380" t="s">
        <v>767</v>
      </c>
      <c r="E10504" s="380" t="s">
        <v>786</v>
      </c>
      <c r="F10504" s="380" t="s">
        <v>5683</v>
      </c>
      <c r="G10504" s="380" t="s">
        <v>1267</v>
      </c>
      <c r="H10504" s="380" t="s">
        <v>771</v>
      </c>
      <c r="I10504" s="380" t="s">
        <v>788</v>
      </c>
      <c r="J10504" s="380" t="s">
        <v>773</v>
      </c>
      <c r="K10504" s="381">
        <v>0.0</v>
      </c>
      <c r="L10504" s="382">
        <v>1.0</v>
      </c>
    </row>
    <row r="10505">
      <c r="A10505" s="380" t="s">
        <v>11379</v>
      </c>
      <c r="B10505" s="380" t="str">
        <f>IFERROR(__xludf.DUMMYFUNCTION("""COMPUTED_VALUE"""),"CIL Freno Tras Der Npr Con Pu 8973322250")</f>
        <v>CIL Freno Tras Der Npr Con Pu 8973322250</v>
      </c>
      <c r="C10505" s="380" t="str">
        <f>IFERROR(__xludf.DUMMYFUNCTION("""COMPUTED_VALUE"""),"70005930")</f>
        <v>70005930</v>
      </c>
      <c r="D10505" s="380" t="s">
        <v>767</v>
      </c>
      <c r="E10505" s="380" t="s">
        <v>786</v>
      </c>
      <c r="F10505" s="380" t="s">
        <v>1017</v>
      </c>
      <c r="G10505" s="380" t="s">
        <v>1267</v>
      </c>
      <c r="H10505" s="380" t="s">
        <v>771</v>
      </c>
      <c r="I10505" s="380" t="s">
        <v>788</v>
      </c>
      <c r="J10505" s="380" t="s">
        <v>773</v>
      </c>
      <c r="K10505" s="381">
        <v>0.0</v>
      </c>
      <c r="L10505" s="382">
        <v>1.0</v>
      </c>
    </row>
    <row r="10506">
      <c r="A10506" s="380" t="s">
        <v>11380</v>
      </c>
      <c r="B10506" s="380" t="str">
        <f>IFERROR(__xludf.DUMMYFUNCTION("""COMPUTED_VALUE"""),"Palanca Corta 14715 Eagle Isx40 21236")</f>
        <v>Palanca Corta 14715 Eagle Isx40 21236</v>
      </c>
      <c r="C10506" s="380" t="str">
        <f>IFERROR(__xludf.DUMMYFUNCTION("""COMPUTED_VALUE"""),"70005931")</f>
        <v>70005931</v>
      </c>
      <c r="D10506" s="380" t="s">
        <v>767</v>
      </c>
      <c r="E10506" s="380" t="s">
        <v>786</v>
      </c>
      <c r="F10506" s="380" t="s">
        <v>928</v>
      </c>
      <c r="G10506" s="380" t="s">
        <v>1267</v>
      </c>
      <c r="H10506" s="380" t="s">
        <v>771</v>
      </c>
      <c r="I10506" s="380" t="s">
        <v>788</v>
      </c>
      <c r="J10506" s="380" t="s">
        <v>773</v>
      </c>
      <c r="K10506" s="381">
        <v>0.0</v>
      </c>
      <c r="L10506" s="382">
        <v>1.0</v>
      </c>
    </row>
    <row r="10507">
      <c r="A10507" s="380" t="s">
        <v>11381</v>
      </c>
      <c r="B10507" s="380" t="str">
        <f>IFERROR(__xludf.DUMMYFUNCTION("""COMPUTED_VALUE"""),"Llave Paso 3/8 X 5/8 Calefaccio 157098fp")</f>
        <v>Llave Paso 3/8 X 5/8 Calefaccio 157098fp</v>
      </c>
      <c r="C10507" s="380" t="str">
        <f>IFERROR(__xludf.DUMMYFUNCTION("""COMPUTED_VALUE"""),"70005932")</f>
        <v>70005932</v>
      </c>
      <c r="D10507" s="380" t="s">
        <v>767</v>
      </c>
      <c r="E10507" s="380" t="s">
        <v>786</v>
      </c>
      <c r="F10507" s="380" t="s">
        <v>792</v>
      </c>
      <c r="G10507" s="380" t="s">
        <v>1267</v>
      </c>
      <c r="H10507" s="380" t="s">
        <v>771</v>
      </c>
      <c r="I10507" s="380" t="s">
        <v>788</v>
      </c>
      <c r="J10507" s="380" t="s">
        <v>773</v>
      </c>
      <c r="K10507" s="381">
        <v>0.0</v>
      </c>
      <c r="L10507" s="382">
        <v>1.0</v>
      </c>
    </row>
    <row r="10508">
      <c r="A10508" s="380" t="s">
        <v>11382</v>
      </c>
      <c r="B10508" s="380" t="str">
        <f>IFERROR(__xludf.DUMMYFUNCTION("""COMPUTED_VALUE"""),"Espejo Retrovisor Externo Nkr 8942625423")</f>
        <v>Espejo Retrovisor Externo Nkr 8942625423</v>
      </c>
      <c r="C10508" s="380" t="str">
        <f>IFERROR(__xludf.DUMMYFUNCTION("""COMPUTED_VALUE"""),"70005933")</f>
        <v>70005933</v>
      </c>
      <c r="D10508" s="380" t="s">
        <v>767</v>
      </c>
      <c r="E10508" s="380" t="s">
        <v>786</v>
      </c>
      <c r="F10508" s="380" t="s">
        <v>792</v>
      </c>
      <c r="G10508" s="380" t="s">
        <v>1267</v>
      </c>
      <c r="H10508" s="380" t="s">
        <v>771</v>
      </c>
      <c r="I10508" s="380" t="s">
        <v>788</v>
      </c>
      <c r="J10508" s="380" t="s">
        <v>773</v>
      </c>
      <c r="K10508" s="381">
        <v>113908.0</v>
      </c>
      <c r="L10508" s="382">
        <v>1.0</v>
      </c>
    </row>
    <row r="10509">
      <c r="A10509" s="380" t="s">
        <v>11383</v>
      </c>
      <c r="B10509" s="380" t="str">
        <f>IFERROR(__xludf.DUMMYFUNCTION("""COMPUTED_VALUE"""),"MANG Siliconada 2 1/2 EGL- En Centimetro")</f>
        <v>MANG Siliconada 2 1/2 EGL- En Centimetro</v>
      </c>
      <c r="C10509" s="380" t="str">
        <f>IFERROR(__xludf.DUMMYFUNCTION("""COMPUTED_VALUE"""),"70005934")</f>
        <v>70005934</v>
      </c>
      <c r="D10509" s="380" t="s">
        <v>767</v>
      </c>
      <c r="E10509" s="380" t="s">
        <v>786</v>
      </c>
      <c r="F10509" s="380" t="s">
        <v>787</v>
      </c>
      <c r="G10509" s="380" t="s">
        <v>1267</v>
      </c>
      <c r="H10509" s="380" t="s">
        <v>771</v>
      </c>
      <c r="I10509" s="380" t="s">
        <v>788</v>
      </c>
      <c r="J10509" s="380" t="s">
        <v>773</v>
      </c>
      <c r="K10509" s="381">
        <v>0.0</v>
      </c>
      <c r="L10509" s="382">
        <v>1.0</v>
      </c>
    </row>
    <row r="10510">
      <c r="A10510" s="380" t="s">
        <v>11384</v>
      </c>
      <c r="B10510" s="380" t="str">
        <f>IFERROR(__xludf.DUMMYFUNCTION("""COMPUTED_VALUE"""),"Relay 4 Pines 70 Amp 12v")</f>
        <v>Relay 4 Pines 70 Amp 12v</v>
      </c>
      <c r="C10510" s="380" t="str">
        <f>IFERROR(__xludf.DUMMYFUNCTION("""COMPUTED_VALUE"""),"70005935")</f>
        <v>70005935</v>
      </c>
      <c r="D10510" s="380" t="s">
        <v>767</v>
      </c>
      <c r="E10510" s="380" t="s">
        <v>786</v>
      </c>
      <c r="F10510" s="380" t="s">
        <v>998</v>
      </c>
      <c r="G10510" s="380" t="s">
        <v>1267</v>
      </c>
      <c r="H10510" s="380" t="s">
        <v>771</v>
      </c>
      <c r="I10510" s="380" t="s">
        <v>788</v>
      </c>
      <c r="J10510" s="380" t="s">
        <v>773</v>
      </c>
      <c r="K10510" s="381">
        <v>0.0</v>
      </c>
      <c r="L10510" s="382">
        <v>1.0</v>
      </c>
    </row>
    <row r="10511">
      <c r="A10511" s="380" t="s">
        <v>11385</v>
      </c>
      <c r="B10511" s="380" t="str">
        <f>IFERROR(__xludf.DUMMYFUNCTION("""COMPUTED_VALUE"""),"Clip Panel Instrumentos Nhr 8978531705")</f>
        <v>Clip Panel Instrumentos Nhr 8978531705</v>
      </c>
      <c r="C10511" s="380" t="str">
        <f>IFERROR(__xludf.DUMMYFUNCTION("""COMPUTED_VALUE"""),"70005936")</f>
        <v>70005936</v>
      </c>
      <c r="D10511" s="380" t="s">
        <v>767</v>
      </c>
      <c r="E10511" s="380" t="s">
        <v>786</v>
      </c>
      <c r="F10511" s="380" t="s">
        <v>792</v>
      </c>
      <c r="G10511" s="380" t="s">
        <v>1267</v>
      </c>
      <c r="H10511" s="380" t="s">
        <v>771</v>
      </c>
      <c r="I10511" s="380" t="s">
        <v>788</v>
      </c>
      <c r="J10511" s="380" t="s">
        <v>773</v>
      </c>
      <c r="K10511" s="381">
        <v>0.0</v>
      </c>
      <c r="L10511" s="382">
        <v>1.0</v>
      </c>
    </row>
    <row r="10512">
      <c r="A10512" s="380" t="s">
        <v>11386</v>
      </c>
      <c r="B10512" s="380" t="str">
        <f>IFERROR(__xludf.DUMMYFUNCTION("""COMPUTED_VALUE"""),"Ducto Central Calefactor Nkr 8972626970")</f>
        <v>Ducto Central Calefactor Nkr 8972626970</v>
      </c>
      <c r="C10512" s="380" t="str">
        <f>IFERROR(__xludf.DUMMYFUNCTION("""COMPUTED_VALUE"""),"70005937")</f>
        <v>70005937</v>
      </c>
      <c r="D10512" s="380" t="s">
        <v>767</v>
      </c>
      <c r="E10512" s="380" t="s">
        <v>786</v>
      </c>
      <c r="F10512" s="380" t="s">
        <v>792</v>
      </c>
      <c r="G10512" s="380" t="s">
        <v>1267</v>
      </c>
      <c r="H10512" s="380" t="s">
        <v>771</v>
      </c>
      <c r="I10512" s="380" t="s">
        <v>788</v>
      </c>
      <c r="J10512" s="380" t="s">
        <v>773</v>
      </c>
      <c r="K10512" s="381">
        <v>0.0</v>
      </c>
      <c r="L10512" s="382">
        <v>1.0</v>
      </c>
    </row>
    <row r="10513">
      <c r="A10513" s="380" t="s">
        <v>11387</v>
      </c>
      <c r="B10513" s="380" t="str">
        <f>IFERROR(__xludf.DUMMYFUNCTION("""COMPUTED_VALUE"""),"Tuerca Fija Esparrago RDA Npr 1094000370")</f>
        <v>Tuerca Fija Esparrago RDA Npr 1094000370</v>
      </c>
      <c r="C10513" s="380" t="str">
        <f>IFERROR(__xludf.DUMMYFUNCTION("""COMPUTED_VALUE"""),"70005938")</f>
        <v>70005938</v>
      </c>
      <c r="D10513" s="380" t="s">
        <v>767</v>
      </c>
      <c r="E10513" s="380" t="s">
        <v>786</v>
      </c>
      <c r="F10513" s="380" t="s">
        <v>1039</v>
      </c>
      <c r="G10513" s="380" t="s">
        <v>1267</v>
      </c>
      <c r="H10513" s="380" t="s">
        <v>771</v>
      </c>
      <c r="I10513" s="380" t="s">
        <v>788</v>
      </c>
      <c r="J10513" s="380" t="s">
        <v>773</v>
      </c>
      <c r="K10513" s="381">
        <v>0.0</v>
      </c>
      <c r="L10513" s="382">
        <v>1.0</v>
      </c>
    </row>
    <row r="10514">
      <c r="A10514" s="380" t="s">
        <v>11388</v>
      </c>
      <c r="B10514" s="380" t="str">
        <f>IFERROR(__xludf.DUMMYFUNCTION("""COMPUTED_VALUE"""),"Tuerca Esparrago Izq Npr 1423340230")</f>
        <v>Tuerca Esparrago Izq Npr 1423340230</v>
      </c>
      <c r="C10514" s="380" t="str">
        <f>IFERROR(__xludf.DUMMYFUNCTION("""COMPUTED_VALUE"""),"70005939")</f>
        <v>70005939</v>
      </c>
      <c r="D10514" s="380" t="s">
        <v>767</v>
      </c>
      <c r="E10514" s="380" t="s">
        <v>786</v>
      </c>
      <c r="F10514" s="380" t="s">
        <v>1039</v>
      </c>
      <c r="G10514" s="380" t="s">
        <v>1267</v>
      </c>
      <c r="H10514" s="380" t="s">
        <v>771</v>
      </c>
      <c r="I10514" s="380" t="s">
        <v>788</v>
      </c>
      <c r="J10514" s="380" t="s">
        <v>773</v>
      </c>
      <c r="K10514" s="381">
        <v>0.0</v>
      </c>
      <c r="L10514" s="382">
        <v>1.0</v>
      </c>
    </row>
    <row r="10515">
      <c r="A10515" s="380" t="s">
        <v>11389</v>
      </c>
      <c r="B10515" s="380" t="str">
        <f>IFERROR(__xludf.DUMMYFUNCTION("""COMPUTED_VALUE"""),"CIL Freno Izq Tras Sin Purga 8973322270")</f>
        <v>CIL Freno Izq Tras Sin Purga 8973322270</v>
      </c>
      <c r="C10515" s="380" t="str">
        <f>IFERROR(__xludf.DUMMYFUNCTION("""COMPUTED_VALUE"""),"70005940")</f>
        <v>70005940</v>
      </c>
      <c r="D10515" s="380" t="s">
        <v>767</v>
      </c>
      <c r="E10515" s="380" t="s">
        <v>786</v>
      </c>
      <c r="F10515" s="380" t="s">
        <v>1017</v>
      </c>
      <c r="G10515" s="380" t="s">
        <v>1267</v>
      </c>
      <c r="H10515" s="380" t="s">
        <v>771</v>
      </c>
      <c r="I10515" s="380" t="s">
        <v>788</v>
      </c>
      <c r="J10515" s="380" t="s">
        <v>773</v>
      </c>
      <c r="K10515" s="381">
        <v>0.0</v>
      </c>
      <c r="L10515" s="382">
        <v>1.0</v>
      </c>
    </row>
    <row r="10516">
      <c r="A10516" s="380" t="s">
        <v>11390</v>
      </c>
      <c r="B10516" s="380" t="str">
        <f>IFERROR(__xludf.DUMMYFUNCTION("""COMPUTED_VALUE"""),"Casquetes Biela Motor Nhr-Nkr 8973582340")</f>
        <v>Casquetes Biela Motor Nhr-Nkr 8973582340</v>
      </c>
      <c r="C10516" s="380" t="str">
        <f>IFERROR(__xludf.DUMMYFUNCTION("""COMPUTED_VALUE"""),"70005941")</f>
        <v>70005941</v>
      </c>
      <c r="D10516" s="380" t="s">
        <v>767</v>
      </c>
      <c r="E10516" s="380" t="s">
        <v>786</v>
      </c>
      <c r="F10516" s="380" t="s">
        <v>787</v>
      </c>
      <c r="G10516" s="380" t="s">
        <v>1267</v>
      </c>
      <c r="H10516" s="380" t="s">
        <v>771</v>
      </c>
      <c r="I10516" s="380" t="s">
        <v>788</v>
      </c>
      <c r="J10516" s="380" t="s">
        <v>773</v>
      </c>
      <c r="K10516" s="381">
        <v>0.0</v>
      </c>
      <c r="L10516" s="382">
        <v>1.0</v>
      </c>
    </row>
    <row r="10517">
      <c r="A10517" s="380" t="s">
        <v>11391</v>
      </c>
      <c r="B10517" s="380" t="str">
        <f>IFERROR(__xludf.DUMMYFUNCTION("""COMPUTED_VALUE"""),"Bomba Aceite Nhr-Nkr 8973859840")</f>
        <v>Bomba Aceite Nhr-Nkr 8973859840</v>
      </c>
      <c r="C10517" s="380" t="str">
        <f>IFERROR(__xludf.DUMMYFUNCTION("""COMPUTED_VALUE"""),"70005942")</f>
        <v>70005942</v>
      </c>
      <c r="D10517" s="380" t="s">
        <v>767</v>
      </c>
      <c r="E10517" s="380" t="s">
        <v>786</v>
      </c>
      <c r="F10517" s="380" t="s">
        <v>787</v>
      </c>
      <c r="G10517" s="380" t="s">
        <v>1267</v>
      </c>
      <c r="H10517" s="380" t="s">
        <v>771</v>
      </c>
      <c r="I10517" s="380" t="s">
        <v>788</v>
      </c>
      <c r="J10517" s="380" t="s">
        <v>773</v>
      </c>
      <c r="K10517" s="381">
        <v>0.0</v>
      </c>
      <c r="L10517" s="382">
        <v>1.0</v>
      </c>
    </row>
    <row r="10518">
      <c r="A10518" s="380" t="s">
        <v>11392</v>
      </c>
      <c r="B10518" s="380" t="str">
        <f>IFERROR(__xludf.DUMMYFUNCTION("""COMPUTED_VALUE"""),"Persiana Capo Eagle 3566927c91")</f>
        <v>Persiana Capo Eagle 3566927c91</v>
      </c>
      <c r="C10518" s="380" t="str">
        <f>IFERROR(__xludf.DUMMYFUNCTION("""COMPUTED_VALUE"""),"70005943")</f>
        <v>70005943</v>
      </c>
      <c r="D10518" s="380" t="s">
        <v>767</v>
      </c>
      <c r="E10518" s="380" t="s">
        <v>786</v>
      </c>
      <c r="F10518" s="380" t="s">
        <v>792</v>
      </c>
      <c r="G10518" s="380" t="s">
        <v>1267</v>
      </c>
      <c r="H10518" s="380" t="s">
        <v>771</v>
      </c>
      <c r="I10518" s="380" t="s">
        <v>788</v>
      </c>
      <c r="J10518" s="380" t="s">
        <v>773</v>
      </c>
      <c r="K10518" s="381">
        <v>0.0</v>
      </c>
      <c r="L10518" s="382">
        <v>1.0</v>
      </c>
    </row>
    <row r="10519">
      <c r="A10519" s="380" t="s">
        <v>11393</v>
      </c>
      <c r="B10519" s="380" t="str">
        <f>IFERROR(__xludf.DUMMYFUNCTION("""COMPUTED_VALUE"""),"Brazo Bomper Inf Der Isx 3508351c1")</f>
        <v>Brazo Bomper Inf Der Isx 3508351c1</v>
      </c>
      <c r="C10519" s="380" t="str">
        <f>IFERROR(__xludf.DUMMYFUNCTION("""COMPUTED_VALUE"""),"70005944")</f>
        <v>70005944</v>
      </c>
      <c r="D10519" s="380" t="s">
        <v>767</v>
      </c>
      <c r="E10519" s="380" t="s">
        <v>786</v>
      </c>
      <c r="F10519" s="380" t="s">
        <v>792</v>
      </c>
      <c r="G10519" s="380" t="s">
        <v>1267</v>
      </c>
      <c r="H10519" s="380" t="s">
        <v>771</v>
      </c>
      <c r="I10519" s="380" t="s">
        <v>788</v>
      </c>
      <c r="J10519" s="380" t="s">
        <v>773</v>
      </c>
      <c r="K10519" s="381">
        <v>0.0</v>
      </c>
      <c r="L10519" s="382">
        <v>1.0</v>
      </c>
    </row>
    <row r="10520">
      <c r="A10520" s="380" t="s">
        <v>11394</v>
      </c>
      <c r="B10520" s="380" t="str">
        <f>IFERROR(__xludf.DUMMYFUNCTION("""COMPUTED_VALUE"""),"Termostato Bomba Agua Nhr 8944822772")</f>
        <v>Termostato Bomba Agua Nhr 8944822772</v>
      </c>
      <c r="C10520" s="380" t="str">
        <f>IFERROR(__xludf.DUMMYFUNCTION("""COMPUTED_VALUE"""),"70005945")</f>
        <v>70005945</v>
      </c>
      <c r="D10520" s="380" t="s">
        <v>767</v>
      </c>
      <c r="E10520" s="380" t="s">
        <v>786</v>
      </c>
      <c r="F10520" s="380" t="s">
        <v>787</v>
      </c>
      <c r="G10520" s="380" t="s">
        <v>1267</v>
      </c>
      <c r="H10520" s="380" t="s">
        <v>771</v>
      </c>
      <c r="I10520" s="380" t="s">
        <v>788</v>
      </c>
      <c r="J10520" s="380" t="s">
        <v>773</v>
      </c>
      <c r="K10520" s="381">
        <v>0.0</v>
      </c>
      <c r="L10520" s="382">
        <v>1.0</v>
      </c>
    </row>
    <row r="10521">
      <c r="A10521" s="380" t="s">
        <v>11395</v>
      </c>
      <c r="B10521" s="380" t="str">
        <f>IFERROR(__xludf.DUMMYFUNCTION("""COMPUTED_VALUE"""),"Balinera Piñon Loco Distribucion Nhr")</f>
        <v>Balinera Piñon Loco Distribucion Nhr</v>
      </c>
      <c r="C10521" s="380" t="str">
        <f>IFERROR(__xludf.DUMMYFUNCTION("""COMPUTED_VALUE"""),"70005946")</f>
        <v>70005946</v>
      </c>
      <c r="D10521" s="380" t="s">
        <v>767</v>
      </c>
      <c r="E10521" s="380" t="s">
        <v>786</v>
      </c>
      <c r="F10521" s="380" t="s">
        <v>787</v>
      </c>
      <c r="G10521" s="380" t="s">
        <v>1267</v>
      </c>
      <c r="H10521" s="380" t="s">
        <v>771</v>
      </c>
      <c r="I10521" s="380" t="s">
        <v>788</v>
      </c>
      <c r="J10521" s="380" t="s">
        <v>773</v>
      </c>
      <c r="K10521" s="381">
        <v>0.0</v>
      </c>
      <c r="L10521" s="382">
        <v>1.0</v>
      </c>
    </row>
    <row r="10522">
      <c r="A10522" s="380" t="s">
        <v>11396</v>
      </c>
      <c r="B10522" s="380" t="str">
        <f>IFERROR(__xludf.DUMMYFUNCTION("""COMPUTED_VALUE"""),"Cuna Rueda Ext Del K-552a Sb")</f>
        <v>Cuna Rueda Ext Del K-552a Sb</v>
      </c>
      <c r="C10522" s="380" t="str">
        <f>IFERROR(__xludf.DUMMYFUNCTION("""COMPUTED_VALUE"""),"70005947")</f>
        <v>70005947</v>
      </c>
      <c r="D10522" s="380" t="s">
        <v>767</v>
      </c>
      <c r="E10522" s="380" t="s">
        <v>786</v>
      </c>
      <c r="F10522" s="380" t="s">
        <v>1039</v>
      </c>
      <c r="G10522" s="380" t="s">
        <v>1267</v>
      </c>
      <c r="H10522" s="380" t="s">
        <v>771</v>
      </c>
      <c r="I10522" s="380" t="s">
        <v>788</v>
      </c>
      <c r="J10522" s="380" t="s">
        <v>773</v>
      </c>
      <c r="K10522" s="381">
        <v>0.0</v>
      </c>
      <c r="L10522" s="382">
        <v>1.0</v>
      </c>
    </row>
    <row r="10523">
      <c r="A10523" s="380" t="s">
        <v>11397</v>
      </c>
      <c r="B10523" s="380" t="str">
        <f>IFERROR(__xludf.DUMMYFUNCTION("""COMPUTED_VALUE"""),"Buje Barra Estabilizadora Nhr Generico")</f>
        <v>Buje Barra Estabilizadora Nhr Generico</v>
      </c>
      <c r="C10523" s="380" t="str">
        <f>IFERROR(__xludf.DUMMYFUNCTION("""COMPUTED_VALUE"""),"70005948")</f>
        <v>70005948</v>
      </c>
      <c r="D10523" s="380" t="s">
        <v>767</v>
      </c>
      <c r="E10523" s="380" t="s">
        <v>786</v>
      </c>
      <c r="F10523" s="380" t="s">
        <v>1039</v>
      </c>
      <c r="G10523" s="380" t="s">
        <v>1267</v>
      </c>
      <c r="H10523" s="380" t="s">
        <v>771</v>
      </c>
      <c r="I10523" s="380" t="s">
        <v>788</v>
      </c>
      <c r="J10523" s="380" t="s">
        <v>773</v>
      </c>
      <c r="K10523" s="381">
        <v>0.0</v>
      </c>
      <c r="L10523" s="382">
        <v>1.0</v>
      </c>
    </row>
    <row r="10524">
      <c r="A10524" s="380" t="s">
        <v>11398</v>
      </c>
      <c r="B10524" s="380" t="str">
        <f>IFERROR(__xludf.DUMMYFUNCTION("""COMPUTED_VALUE"""),"Cabeza De Vaca Caja Eagle Fula3713p")</f>
        <v>Cabeza De Vaca Caja Eagle Fula3713p</v>
      </c>
      <c r="C10524" s="380" t="str">
        <f>IFERROR(__xludf.DUMMYFUNCTION("""COMPUTED_VALUE"""),"70005949")</f>
        <v>70005949</v>
      </c>
      <c r="D10524" s="380" t="s">
        <v>767</v>
      </c>
      <c r="E10524" s="380" t="s">
        <v>786</v>
      </c>
      <c r="F10524" s="380" t="s">
        <v>928</v>
      </c>
      <c r="G10524" s="380" t="s">
        <v>1267</v>
      </c>
      <c r="H10524" s="380" t="s">
        <v>771</v>
      </c>
      <c r="I10524" s="380" t="s">
        <v>788</v>
      </c>
      <c r="J10524" s="380" t="s">
        <v>773</v>
      </c>
      <c r="K10524" s="381">
        <v>0.0</v>
      </c>
      <c r="L10524" s="382">
        <v>1.0</v>
      </c>
    </row>
    <row r="10525">
      <c r="A10525" s="380" t="s">
        <v>11399</v>
      </c>
      <c r="B10525" s="380" t="str">
        <f>IFERROR(__xludf.DUMMYFUNCTION("""COMPUTED_VALUE"""),"Servo Freno Nkr Nuevo 8971627981")</f>
        <v>Servo Freno Nkr Nuevo 8971627981</v>
      </c>
      <c r="C10525" s="380" t="str">
        <f>IFERROR(__xludf.DUMMYFUNCTION("""COMPUTED_VALUE"""),"70005950")</f>
        <v>70005950</v>
      </c>
      <c r="D10525" s="380" t="s">
        <v>767</v>
      </c>
      <c r="E10525" s="380" t="s">
        <v>786</v>
      </c>
      <c r="F10525" s="380" t="s">
        <v>1017</v>
      </c>
      <c r="G10525" s="380" t="s">
        <v>1267</v>
      </c>
      <c r="H10525" s="380" t="s">
        <v>771</v>
      </c>
      <c r="I10525" s="380" t="s">
        <v>788</v>
      </c>
      <c r="J10525" s="380" t="s">
        <v>773</v>
      </c>
      <c r="K10525" s="381">
        <v>0.0</v>
      </c>
      <c r="L10525" s="382">
        <v>1.0</v>
      </c>
    </row>
    <row r="10526">
      <c r="A10526" s="380" t="s">
        <v>11400</v>
      </c>
      <c r="B10526" s="380" t="str">
        <f>IFERROR(__xludf.DUMMYFUNCTION("""COMPUTED_VALUE"""),"Eje Sup Columna Dir Nkr 8972011070")</f>
        <v>Eje Sup Columna Dir Nkr 8972011070</v>
      </c>
      <c r="C10526" s="380" t="str">
        <f>IFERROR(__xludf.DUMMYFUNCTION("""COMPUTED_VALUE"""),"70005951")</f>
        <v>70005951</v>
      </c>
      <c r="D10526" s="380" t="s">
        <v>767</v>
      </c>
      <c r="E10526" s="380" t="s">
        <v>786</v>
      </c>
      <c r="F10526" s="380" t="s">
        <v>1020</v>
      </c>
      <c r="G10526" s="380" t="s">
        <v>1267</v>
      </c>
      <c r="H10526" s="380" t="s">
        <v>771</v>
      </c>
      <c r="I10526" s="380" t="s">
        <v>788</v>
      </c>
      <c r="J10526" s="380" t="s">
        <v>773</v>
      </c>
      <c r="K10526" s="381">
        <v>0.0</v>
      </c>
      <c r="L10526" s="382">
        <v>1.0</v>
      </c>
    </row>
    <row r="10527">
      <c r="A10527" s="380" t="s">
        <v>11401</v>
      </c>
      <c r="B10527" s="380" t="str">
        <f>IFERROR(__xludf.DUMMYFUNCTION("""COMPUTED_VALUE"""),"Amortiguador Tras Nhr 358025")</f>
        <v>Amortiguador Tras Nhr 358025</v>
      </c>
      <c r="C10527" s="380" t="str">
        <f>IFERROR(__xludf.DUMMYFUNCTION("""COMPUTED_VALUE"""),"70005952")</f>
        <v>70005952</v>
      </c>
      <c r="D10527" s="380" t="s">
        <v>767</v>
      </c>
      <c r="E10527" s="380" t="s">
        <v>786</v>
      </c>
      <c r="F10527" s="380" t="s">
        <v>1039</v>
      </c>
      <c r="G10527" s="380" t="s">
        <v>1267</v>
      </c>
      <c r="H10527" s="380" t="s">
        <v>771</v>
      </c>
      <c r="I10527" s="380" t="s">
        <v>788</v>
      </c>
      <c r="J10527" s="380" t="s">
        <v>773</v>
      </c>
      <c r="K10527" s="381">
        <v>0.0</v>
      </c>
      <c r="L10527" s="382">
        <v>1.0</v>
      </c>
    </row>
    <row r="10528">
      <c r="A10528" s="380" t="s">
        <v>11402</v>
      </c>
      <c r="B10528" s="380" t="str">
        <f>IFERROR(__xludf.DUMMYFUNCTION("""COMPUTED_VALUE"""),"Hoja Soporte Amort Del KWh K324-383")</f>
        <v>Hoja Soporte Amort Del KWh K324-383</v>
      </c>
      <c r="C10528" s="380" t="str">
        <f>IFERROR(__xludf.DUMMYFUNCTION("""COMPUTED_VALUE"""),"70005953")</f>
        <v>70005953</v>
      </c>
      <c r="D10528" s="380" t="s">
        <v>767</v>
      </c>
      <c r="E10528" s="380" t="s">
        <v>786</v>
      </c>
      <c r="F10528" s="380" t="s">
        <v>1039</v>
      </c>
      <c r="G10528" s="380" t="s">
        <v>1267</v>
      </c>
      <c r="H10528" s="380" t="s">
        <v>771</v>
      </c>
      <c r="I10528" s="380" t="s">
        <v>788</v>
      </c>
      <c r="J10528" s="380" t="s">
        <v>773</v>
      </c>
      <c r="K10528" s="381">
        <v>0.0</v>
      </c>
      <c r="L10528" s="382">
        <v>1.0</v>
      </c>
    </row>
    <row r="10529">
      <c r="A10529" s="380" t="s">
        <v>11403</v>
      </c>
      <c r="B10529" s="380" t="str">
        <f>IFERROR(__xludf.DUMMYFUNCTION("""COMPUTED_VALUE"""),"Set Rodillo Rda Del INT Hi466-4 Hm212049")</f>
        <v>Set Rodillo Rda Del INT Hi466-4 Hm212049</v>
      </c>
      <c r="C10529" s="380" t="str">
        <f>IFERROR(__xludf.DUMMYFUNCTION("""COMPUTED_VALUE"""),"70005954")</f>
        <v>70005954</v>
      </c>
      <c r="D10529" s="380" t="s">
        <v>767</v>
      </c>
      <c r="E10529" s="380" t="s">
        <v>786</v>
      </c>
      <c r="F10529" s="380" t="s">
        <v>1039</v>
      </c>
      <c r="G10529" s="380" t="s">
        <v>1267</v>
      </c>
      <c r="H10529" s="380" t="s">
        <v>771</v>
      </c>
      <c r="I10529" s="380" t="s">
        <v>788</v>
      </c>
      <c r="J10529" s="380" t="s">
        <v>773</v>
      </c>
      <c r="K10529" s="381">
        <v>0.0</v>
      </c>
      <c r="L10529" s="382">
        <v>1.0</v>
      </c>
    </row>
    <row r="10530">
      <c r="A10530" s="380" t="s">
        <v>11404</v>
      </c>
      <c r="B10530" s="380" t="str">
        <f>IFERROR(__xludf.DUMMYFUNCTION("""COMPUTED_VALUE"""),"Caja Dir Hidraulica Nkr Nueva 8973561051")</f>
        <v>Caja Dir Hidraulica Nkr Nueva 8973561051</v>
      </c>
      <c r="C10530" s="380" t="str">
        <f>IFERROR(__xludf.DUMMYFUNCTION("""COMPUTED_VALUE"""),"70005955")</f>
        <v>70005955</v>
      </c>
      <c r="D10530" s="380" t="s">
        <v>767</v>
      </c>
      <c r="E10530" s="380" t="s">
        <v>786</v>
      </c>
      <c r="F10530" s="380" t="s">
        <v>1020</v>
      </c>
      <c r="G10530" s="380" t="s">
        <v>1267</v>
      </c>
      <c r="H10530" s="380" t="s">
        <v>771</v>
      </c>
      <c r="I10530" s="380" t="s">
        <v>788</v>
      </c>
      <c r="J10530" s="380" t="s">
        <v>773</v>
      </c>
      <c r="K10530" s="381">
        <v>0.0</v>
      </c>
      <c r="L10530" s="382">
        <v>1.0</v>
      </c>
    </row>
    <row r="10531">
      <c r="A10531" s="380" t="s">
        <v>11405</v>
      </c>
      <c r="B10531" s="380" t="str">
        <f>IFERROR(__xludf.DUMMYFUNCTION("""COMPUTED_VALUE"""),"Chapeta Rueda Del SB Dstz 1042")</f>
        <v>Chapeta Rueda Del SB Dstz 1042</v>
      </c>
      <c r="C10531" s="380" t="str">
        <f>IFERROR(__xludf.DUMMYFUNCTION("""COMPUTED_VALUE"""),"70005956")</f>
        <v>70005956</v>
      </c>
      <c r="D10531" s="380" t="s">
        <v>767</v>
      </c>
      <c r="E10531" s="380" t="s">
        <v>786</v>
      </c>
      <c r="F10531" s="380" t="s">
        <v>1039</v>
      </c>
      <c r="G10531" s="380" t="s">
        <v>1267</v>
      </c>
      <c r="H10531" s="380" t="s">
        <v>771</v>
      </c>
      <c r="I10531" s="380" t="s">
        <v>788</v>
      </c>
      <c r="J10531" s="380" t="s">
        <v>773</v>
      </c>
      <c r="K10531" s="381">
        <v>0.0</v>
      </c>
      <c r="L10531" s="382">
        <v>1.0</v>
      </c>
    </row>
    <row r="10532">
      <c r="A10532" s="380" t="s">
        <v>11406</v>
      </c>
      <c r="B10532" s="380" t="str">
        <f>IFERROR(__xludf.DUMMYFUNCTION("""COMPUTED_VALUE"""),"Chapeta Rueda Del Trailer 213435r2")</f>
        <v>Chapeta Rueda Del Trailer 213435r2</v>
      </c>
      <c r="C10532" s="380" t="str">
        <f>IFERROR(__xludf.DUMMYFUNCTION("""COMPUTED_VALUE"""),"70005957")</f>
        <v>70005957</v>
      </c>
      <c r="D10532" s="380" t="s">
        <v>767</v>
      </c>
      <c r="E10532" s="380" t="s">
        <v>786</v>
      </c>
      <c r="F10532" s="380" t="s">
        <v>1039</v>
      </c>
      <c r="G10532" s="380" t="s">
        <v>1267</v>
      </c>
      <c r="H10532" s="380" t="s">
        <v>771</v>
      </c>
      <c r="I10532" s="380" t="s">
        <v>788</v>
      </c>
      <c r="J10532" s="380" t="s">
        <v>773</v>
      </c>
      <c r="K10532" s="381">
        <v>0.0</v>
      </c>
      <c r="L10532" s="382">
        <v>1.0</v>
      </c>
    </row>
    <row r="10533">
      <c r="A10533" s="380" t="s">
        <v>11407</v>
      </c>
      <c r="B10533" s="380" t="str">
        <f>IFERROR(__xludf.DUMMYFUNCTION("""COMPUTED_VALUE"""),"carcasa Columna Direc Nkr 8978683587")</f>
        <v>carcasa Columna Direc Nkr 8978683587</v>
      </c>
      <c r="C10533" s="380" t="str">
        <f>IFERROR(__xludf.DUMMYFUNCTION("""COMPUTED_VALUE"""),"70005958")</f>
        <v>70005958</v>
      </c>
      <c r="D10533" s="380" t="s">
        <v>767</v>
      </c>
      <c r="E10533" s="380" t="s">
        <v>786</v>
      </c>
      <c r="F10533" s="380" t="s">
        <v>1020</v>
      </c>
      <c r="G10533" s="380" t="s">
        <v>1267</v>
      </c>
      <c r="H10533" s="380" t="s">
        <v>771</v>
      </c>
      <c r="I10533" s="380" t="s">
        <v>788</v>
      </c>
      <c r="J10533" s="380" t="s">
        <v>773</v>
      </c>
      <c r="K10533" s="381">
        <v>0.0</v>
      </c>
      <c r="L10533" s="382">
        <v>1.0</v>
      </c>
    </row>
    <row r="10534">
      <c r="A10534" s="380" t="s">
        <v>11408</v>
      </c>
      <c r="B10534" s="380" t="str">
        <f>IFERROR(__xludf.DUMMYFUNCTION("""COMPUTED_VALUE"""),"Cuna Rodillo Trailer Hm-518410")</f>
        <v>Cuna Rodillo Trailer Hm-518410</v>
      </c>
      <c r="C10534" s="380" t="str">
        <f>IFERROR(__xludf.DUMMYFUNCTION("""COMPUTED_VALUE"""),"70005959")</f>
        <v>70005959</v>
      </c>
      <c r="D10534" s="380" t="s">
        <v>767</v>
      </c>
      <c r="E10534" s="380" t="s">
        <v>786</v>
      </c>
      <c r="F10534" s="380" t="s">
        <v>1039</v>
      </c>
      <c r="G10534" s="380" t="s">
        <v>1267</v>
      </c>
      <c r="H10534" s="380" t="s">
        <v>771</v>
      </c>
      <c r="I10534" s="380" t="s">
        <v>788</v>
      </c>
      <c r="J10534" s="380" t="s">
        <v>773</v>
      </c>
      <c r="K10534" s="381">
        <v>0.0</v>
      </c>
      <c r="L10534" s="382">
        <v>1.0</v>
      </c>
    </row>
    <row r="10535">
      <c r="A10535" s="380" t="s">
        <v>11409</v>
      </c>
      <c r="B10535" s="380" t="str">
        <f>IFERROR(__xludf.DUMMYFUNCTION("""COMPUTED_VALUE"""),"Codo Punta Mofle 5""")</f>
        <v>Codo Punta Mofle 5"</v>
      </c>
      <c r="C10535" s="380" t="str">
        <f>IFERROR(__xludf.DUMMYFUNCTION("""COMPUTED_VALUE"""),"70005960")</f>
        <v>70005960</v>
      </c>
      <c r="D10535" s="380" t="s">
        <v>767</v>
      </c>
      <c r="E10535" s="380" t="s">
        <v>786</v>
      </c>
      <c r="F10535" s="380" t="s">
        <v>792</v>
      </c>
      <c r="G10535" s="380" t="s">
        <v>1267</v>
      </c>
      <c r="H10535" s="380" t="s">
        <v>771</v>
      </c>
      <c r="I10535" s="380" t="s">
        <v>788</v>
      </c>
      <c r="J10535" s="380" t="s">
        <v>773</v>
      </c>
      <c r="K10535" s="381">
        <v>0.0</v>
      </c>
      <c r="L10535" s="382">
        <v>1.0</v>
      </c>
    </row>
    <row r="10536">
      <c r="A10536" s="380" t="s">
        <v>11410</v>
      </c>
      <c r="B10536" s="380" t="str">
        <f>IFERROR(__xludf.DUMMYFUNCTION("""COMPUTED_VALUE"""),"Cuna Del Int Rueda Wolskwagen 25522")</f>
        <v>Cuna Del Int Rueda Wolskwagen 25522</v>
      </c>
      <c r="C10536" s="380" t="str">
        <f>IFERROR(__xludf.DUMMYFUNCTION("""COMPUTED_VALUE"""),"70005961")</f>
        <v>70005961</v>
      </c>
      <c r="D10536" s="380" t="s">
        <v>767</v>
      </c>
      <c r="E10536" s="380" t="s">
        <v>786</v>
      </c>
      <c r="F10536" s="380" t="s">
        <v>1039</v>
      </c>
      <c r="G10536" s="380" t="s">
        <v>1267</v>
      </c>
      <c r="H10536" s="380" t="s">
        <v>771</v>
      </c>
      <c r="I10536" s="380" t="s">
        <v>788</v>
      </c>
      <c r="J10536" s="380" t="s">
        <v>773</v>
      </c>
      <c r="K10536" s="381">
        <v>0.0</v>
      </c>
      <c r="L10536" s="382">
        <v>1.0</v>
      </c>
    </row>
    <row r="10537">
      <c r="A10537" s="380" t="s">
        <v>11411</v>
      </c>
      <c r="B10537" s="380" t="str">
        <f>IFERROR(__xludf.DUMMYFUNCTION("""COMPUTED_VALUE"""),"Talco Stop Dir Mz T45 R04-084 R 475-1")</f>
        <v>Talco Stop Dir Mz T45 R04-084 R 475-1</v>
      </c>
      <c r="C10537" s="380" t="str">
        <f>IFERROR(__xludf.DUMMYFUNCTION("""COMPUTED_VALUE"""),"70005962")</f>
        <v>70005962</v>
      </c>
      <c r="D10537" s="380" t="s">
        <v>767</v>
      </c>
      <c r="E10537" s="380" t="s">
        <v>786</v>
      </c>
      <c r="F10537" s="380" t="s">
        <v>998</v>
      </c>
      <c r="G10537" s="380" t="s">
        <v>1267</v>
      </c>
      <c r="H10537" s="380" t="s">
        <v>771</v>
      </c>
      <c r="I10537" s="380" t="s">
        <v>788</v>
      </c>
      <c r="J10537" s="380" t="s">
        <v>773</v>
      </c>
      <c r="K10537" s="381">
        <v>0.0</v>
      </c>
      <c r="L10537" s="382">
        <v>1.0</v>
      </c>
    </row>
    <row r="10538">
      <c r="A10538" s="380" t="s">
        <v>11412</v>
      </c>
      <c r="B10538" s="380" t="str">
        <f>IFERROR(__xludf.DUMMYFUNCTION("""COMPUTED_VALUE"""),"Talco Lampara Forgon R04075 4-148-13")</f>
        <v>Talco Lampara Forgon R04075 4-148-13</v>
      </c>
      <c r="C10538" s="380" t="str">
        <f>IFERROR(__xludf.DUMMYFUNCTION("""COMPUTED_VALUE"""),"70005963")</f>
        <v>70005963</v>
      </c>
      <c r="D10538" s="380" t="s">
        <v>767</v>
      </c>
      <c r="E10538" s="380" t="s">
        <v>786</v>
      </c>
      <c r="F10538" s="380" t="s">
        <v>998</v>
      </c>
      <c r="G10538" s="380" t="s">
        <v>1267</v>
      </c>
      <c r="H10538" s="380" t="s">
        <v>771</v>
      </c>
      <c r="I10538" s="380" t="s">
        <v>788</v>
      </c>
      <c r="J10538" s="380" t="s">
        <v>773</v>
      </c>
      <c r="K10538" s="381">
        <v>7140.0</v>
      </c>
      <c r="L10538" s="382">
        <v>1.0</v>
      </c>
    </row>
    <row r="10539">
      <c r="A10539" s="380" t="s">
        <v>11413</v>
      </c>
      <c r="B10539" s="380" t="str">
        <f>IFERROR(__xludf.DUMMYFUNCTION("""COMPUTED_VALUE"""),"Retenedor Rueda Del KWh B370001a")</f>
        <v>Retenedor Rueda Del KWh B370001a</v>
      </c>
      <c r="C10539" s="380" t="str">
        <f>IFERROR(__xludf.DUMMYFUNCTION("""COMPUTED_VALUE"""),"70005964")</f>
        <v>70005964</v>
      </c>
      <c r="D10539" s="380" t="s">
        <v>767</v>
      </c>
      <c r="E10539" s="380" t="s">
        <v>786</v>
      </c>
      <c r="F10539" s="380" t="s">
        <v>1039</v>
      </c>
      <c r="G10539" s="380" t="s">
        <v>1267</v>
      </c>
      <c r="H10539" s="380" t="s">
        <v>771</v>
      </c>
      <c r="I10539" s="380" t="s">
        <v>788</v>
      </c>
      <c r="J10539" s="380" t="s">
        <v>773</v>
      </c>
      <c r="K10539" s="381">
        <v>41275.0</v>
      </c>
      <c r="L10539" s="382">
        <v>1.0</v>
      </c>
    </row>
    <row r="10540">
      <c r="A10540" s="380" t="s">
        <v>11414</v>
      </c>
      <c r="B10540" s="380" t="str">
        <f>IFERROR(__xludf.DUMMYFUNCTION("""COMPUTED_VALUE"""),"Sensor Velocimetro Nhr 8973779200")</f>
        <v>Sensor Velocimetro Nhr 8973779200</v>
      </c>
      <c r="C10540" s="380" t="str">
        <f>IFERROR(__xludf.DUMMYFUNCTION("""COMPUTED_VALUE"""),"70005965")</f>
        <v>70005965</v>
      </c>
      <c r="D10540" s="380" t="s">
        <v>767</v>
      </c>
      <c r="E10540" s="380" t="s">
        <v>786</v>
      </c>
      <c r="F10540" s="380" t="s">
        <v>998</v>
      </c>
      <c r="G10540" s="380" t="s">
        <v>1267</v>
      </c>
      <c r="H10540" s="380" t="s">
        <v>771</v>
      </c>
      <c r="I10540" s="380" t="s">
        <v>788</v>
      </c>
      <c r="J10540" s="380" t="s">
        <v>773</v>
      </c>
      <c r="K10540" s="381">
        <v>0.0</v>
      </c>
      <c r="L10540" s="382">
        <v>1.0</v>
      </c>
    </row>
    <row r="10541">
      <c r="A10541" s="380" t="s">
        <v>11415</v>
      </c>
      <c r="B10541" s="380" t="str">
        <f>IFERROR(__xludf.DUMMYFUNCTION("""COMPUTED_VALUE"""),"Muelle Del Eagle M2004524c9")</f>
        <v>Muelle Del Eagle M2004524c9</v>
      </c>
      <c r="C10541" s="380" t="str">
        <f>IFERROR(__xludf.DUMMYFUNCTION("""COMPUTED_VALUE"""),"70005966")</f>
        <v>70005966</v>
      </c>
      <c r="D10541" s="380" t="s">
        <v>767</v>
      </c>
      <c r="E10541" s="380" t="s">
        <v>786</v>
      </c>
      <c r="F10541" s="380" t="s">
        <v>1039</v>
      </c>
      <c r="G10541" s="380" t="s">
        <v>1267</v>
      </c>
      <c r="H10541" s="380" t="s">
        <v>771</v>
      </c>
      <c r="I10541" s="380" t="s">
        <v>788</v>
      </c>
      <c r="J10541" s="380" t="s">
        <v>773</v>
      </c>
      <c r="K10541" s="381">
        <v>0.0</v>
      </c>
      <c r="L10541" s="382">
        <v>1.0</v>
      </c>
    </row>
    <row r="10542">
      <c r="A10542" s="380" t="s">
        <v>11416</v>
      </c>
      <c r="B10542" s="380" t="str">
        <f>IFERROR(__xludf.DUMMYFUNCTION("""COMPUTED_VALUE"""),"Tuerca Cacho Rueda Del KWorht 4484837")</f>
        <v>Tuerca Cacho Rueda Del KWorht 4484837</v>
      </c>
      <c r="C10542" s="380" t="str">
        <f>IFERROR(__xludf.DUMMYFUNCTION("""COMPUTED_VALUE"""),"70005967")</f>
        <v>70005967</v>
      </c>
      <c r="D10542" s="380" t="s">
        <v>767</v>
      </c>
      <c r="E10542" s="380" t="s">
        <v>786</v>
      </c>
      <c r="F10542" s="380" t="s">
        <v>1039</v>
      </c>
      <c r="G10542" s="380" t="s">
        <v>1267</v>
      </c>
      <c r="H10542" s="380" t="s">
        <v>771</v>
      </c>
      <c r="I10542" s="380" t="s">
        <v>788</v>
      </c>
      <c r="J10542" s="380" t="s">
        <v>773</v>
      </c>
      <c r="K10542" s="381">
        <v>0.0</v>
      </c>
      <c r="L10542" s="382">
        <v>1.0</v>
      </c>
    </row>
    <row r="10543">
      <c r="A10543" s="380" t="s">
        <v>11417</v>
      </c>
      <c r="B10543" s="380" t="str">
        <f>IFERROR(__xludf.DUMMYFUNCTION("""COMPUTED_VALUE"""),"Banda Tras P Banda Tras. Paif. Remachada")</f>
        <v>Banda Tras P Banda Tras. Paif. Remachada</v>
      </c>
      <c r="C10543" s="380" t="str">
        <f>IFERROR(__xludf.DUMMYFUNCTION("""COMPUTED_VALUE"""),"70005968")</f>
        <v>70005968</v>
      </c>
      <c r="D10543" s="380" t="s">
        <v>767</v>
      </c>
      <c r="E10543" s="380" t="s">
        <v>786</v>
      </c>
      <c r="F10543" s="380" t="s">
        <v>1017</v>
      </c>
      <c r="G10543" s="380" t="s">
        <v>1267</v>
      </c>
      <c r="H10543" s="380" t="s">
        <v>771</v>
      </c>
      <c r="I10543" s="380" t="s">
        <v>788</v>
      </c>
      <c r="J10543" s="380" t="s">
        <v>773</v>
      </c>
      <c r="K10543" s="381">
        <v>0.0</v>
      </c>
      <c r="L10543" s="382">
        <v>1.0</v>
      </c>
    </row>
    <row r="10544">
      <c r="A10544" s="380" t="s">
        <v>11418</v>
      </c>
      <c r="B10544" s="380" t="str">
        <f>IFERROR(__xludf.DUMMYFUNCTION("""COMPUTED_VALUE"""),"Cojin C Cojin Cond-Ayud R.Master Repardo")</f>
        <v>Cojin C Cojin Cond-Ayud R.Master Repardo</v>
      </c>
      <c r="C10544" s="380" t="str">
        <f>IFERROR(__xludf.DUMMYFUNCTION("""COMPUTED_VALUE"""),"70005969")</f>
        <v>70005969</v>
      </c>
      <c r="D10544" s="380" t="s">
        <v>767</v>
      </c>
      <c r="E10544" s="380" t="s">
        <v>786</v>
      </c>
      <c r="F10544" s="380" t="s">
        <v>792</v>
      </c>
      <c r="G10544" s="380" t="s">
        <v>1267</v>
      </c>
      <c r="H10544" s="380" t="s">
        <v>771</v>
      </c>
      <c r="I10544" s="380" t="s">
        <v>788</v>
      </c>
      <c r="J10544" s="380" t="s">
        <v>773</v>
      </c>
      <c r="K10544" s="381">
        <v>0.0</v>
      </c>
      <c r="L10544" s="382">
        <v>1.0</v>
      </c>
    </row>
    <row r="10545">
      <c r="A10545" s="380" t="s">
        <v>11419</v>
      </c>
      <c r="B10545" s="380" t="str">
        <f>IFERROR(__xludf.DUMMYFUNCTION("""COMPUTED_VALUE"""),"Cuna Rueda Del Hi K 3720 Tim")</f>
        <v>Cuna Rueda Del Hi K 3720 Tim</v>
      </c>
      <c r="C10545" s="380" t="str">
        <f>IFERROR(__xludf.DUMMYFUNCTION("""COMPUTED_VALUE"""),"70005970")</f>
        <v>70005970</v>
      </c>
      <c r="D10545" s="380" t="s">
        <v>767</v>
      </c>
      <c r="E10545" s="380" t="s">
        <v>786</v>
      </c>
      <c r="F10545" s="380" t="s">
        <v>1039</v>
      </c>
      <c r="G10545" s="380" t="s">
        <v>1267</v>
      </c>
      <c r="H10545" s="380" t="s">
        <v>771</v>
      </c>
      <c r="I10545" s="380" t="s">
        <v>788</v>
      </c>
      <c r="J10545" s="380" t="s">
        <v>773</v>
      </c>
      <c r="K10545" s="381">
        <v>0.0</v>
      </c>
      <c r="L10545" s="382">
        <v>1.0</v>
      </c>
    </row>
    <row r="10546">
      <c r="A10546" s="380" t="s">
        <v>11420</v>
      </c>
      <c r="B10546" s="380" t="str">
        <f>IFERROR(__xludf.DUMMYFUNCTION("""COMPUTED_VALUE"""),"Puente Bomper De Eagle 3501125c94")</f>
        <v>Puente Bomper De Eagle 3501125c94</v>
      </c>
      <c r="C10546" s="380" t="str">
        <f>IFERROR(__xludf.DUMMYFUNCTION("""COMPUTED_VALUE"""),"70005971")</f>
        <v>70005971</v>
      </c>
      <c r="D10546" s="380" t="s">
        <v>767</v>
      </c>
      <c r="E10546" s="380" t="s">
        <v>786</v>
      </c>
      <c r="F10546" s="380" t="s">
        <v>792</v>
      </c>
      <c r="G10546" s="380" t="s">
        <v>1267</v>
      </c>
      <c r="H10546" s="380" t="s">
        <v>771</v>
      </c>
      <c r="I10546" s="380" t="s">
        <v>788</v>
      </c>
      <c r="J10546" s="380" t="s">
        <v>773</v>
      </c>
      <c r="K10546" s="381">
        <v>0.0</v>
      </c>
      <c r="L10546" s="382">
        <v>1.0</v>
      </c>
    </row>
    <row r="10547">
      <c r="A10547" s="380" t="s">
        <v>11421</v>
      </c>
      <c r="B10547" s="380" t="str">
        <f>IFERROR(__xludf.DUMMYFUNCTION("""COMPUTED_VALUE"""),"Bomper Alumi Base Negra Eagle 3502238c2")</f>
        <v>Bomper Alumi Base Negra Eagle 3502238c2</v>
      </c>
      <c r="C10547" s="380" t="str">
        <f>IFERROR(__xludf.DUMMYFUNCTION("""COMPUTED_VALUE"""),"70005972")</f>
        <v>70005972</v>
      </c>
      <c r="D10547" s="380" t="s">
        <v>767</v>
      </c>
      <c r="E10547" s="380" t="s">
        <v>786</v>
      </c>
      <c r="F10547" s="380" t="s">
        <v>792</v>
      </c>
      <c r="G10547" s="380" t="s">
        <v>1267</v>
      </c>
      <c r="H10547" s="380" t="s">
        <v>771</v>
      </c>
      <c r="I10547" s="380" t="s">
        <v>788</v>
      </c>
      <c r="J10547" s="380" t="s">
        <v>773</v>
      </c>
      <c r="K10547" s="381">
        <v>0.0</v>
      </c>
      <c r="L10547" s="382">
        <v>1.0</v>
      </c>
    </row>
    <row r="10548">
      <c r="A10548" s="380" t="s">
        <v>11422</v>
      </c>
      <c r="B10548" s="380" t="str">
        <f>IFERROR(__xludf.DUMMYFUNCTION("""COMPUTED_VALUE"""),"Manguera Radiador Recta Eagle 503232c1")</f>
        <v>Manguera Radiador Recta Eagle 503232c1</v>
      </c>
      <c r="C10548" s="380" t="str">
        <f>IFERROR(__xludf.DUMMYFUNCTION("""COMPUTED_VALUE"""),"70005973")</f>
        <v>70005973</v>
      </c>
      <c r="D10548" s="380" t="s">
        <v>767</v>
      </c>
      <c r="E10548" s="380" t="s">
        <v>786</v>
      </c>
      <c r="F10548" s="380" t="s">
        <v>787</v>
      </c>
      <c r="G10548" s="380" t="s">
        <v>1267</v>
      </c>
      <c r="H10548" s="380" t="s">
        <v>771</v>
      </c>
      <c r="I10548" s="380" t="s">
        <v>788</v>
      </c>
      <c r="J10548" s="380" t="s">
        <v>773</v>
      </c>
      <c r="K10548" s="381">
        <v>0.0</v>
      </c>
      <c r="L10548" s="382">
        <v>1.0</v>
      </c>
    </row>
    <row r="10549">
      <c r="A10549" s="380" t="s">
        <v>11423</v>
      </c>
      <c r="B10549" s="380" t="str">
        <f>IFERROR(__xludf.DUMMYFUNCTION("""COMPUTED_VALUE"""),"Brazo Bomper Inf Izq Isx 3508350c1")</f>
        <v>Brazo Bomper Inf Izq Isx 3508350c1</v>
      </c>
      <c r="C10549" s="380" t="str">
        <f>IFERROR(__xludf.DUMMYFUNCTION("""COMPUTED_VALUE"""),"70005974")</f>
        <v>70005974</v>
      </c>
      <c r="D10549" s="380" t="s">
        <v>767</v>
      </c>
      <c r="E10549" s="380" t="s">
        <v>786</v>
      </c>
      <c r="F10549" s="380" t="s">
        <v>792</v>
      </c>
      <c r="G10549" s="380" t="s">
        <v>1267</v>
      </c>
      <c r="H10549" s="380" t="s">
        <v>771</v>
      </c>
      <c r="I10549" s="380" t="s">
        <v>788</v>
      </c>
      <c r="J10549" s="380" t="s">
        <v>773</v>
      </c>
      <c r="K10549" s="381">
        <v>0.0</v>
      </c>
      <c r="L10549" s="382">
        <v>1.0</v>
      </c>
    </row>
    <row r="10550">
      <c r="A10550" s="380" t="s">
        <v>11424</v>
      </c>
      <c r="B10550" s="380" t="str">
        <f>IFERROR(__xludf.DUMMYFUNCTION("""COMPUTED_VALUE"""),"Lampara Lateral Furgon Nhr Pequeña")</f>
        <v>Lampara Lateral Furgon Nhr Pequeña</v>
      </c>
      <c r="C10550" s="380" t="str">
        <f>IFERROR(__xludf.DUMMYFUNCTION("""COMPUTED_VALUE"""),"70005975")</f>
        <v>70005975</v>
      </c>
      <c r="D10550" s="380" t="s">
        <v>767</v>
      </c>
      <c r="E10550" s="380" t="s">
        <v>786</v>
      </c>
      <c r="F10550" s="380" t="s">
        <v>998</v>
      </c>
      <c r="G10550" s="380" t="s">
        <v>1267</v>
      </c>
      <c r="H10550" s="380" t="s">
        <v>771</v>
      </c>
      <c r="I10550" s="380" t="s">
        <v>788</v>
      </c>
      <c r="J10550" s="380" t="s">
        <v>773</v>
      </c>
      <c r="K10550" s="381">
        <v>27296.0</v>
      </c>
      <c r="L10550" s="382">
        <v>1.0</v>
      </c>
    </row>
    <row r="10551">
      <c r="A10551" s="380" t="s">
        <v>11425</v>
      </c>
      <c r="B10551" s="380" t="str">
        <f>IFERROR(__xludf.DUMMYFUNCTION("""COMPUTED_VALUE"""),"Conector Rapido Rosca Hembra 1/4"" Mangu")</f>
        <v>Conector Rapido Rosca Hembra 1/4" Mangu</v>
      </c>
      <c r="C10551" s="380" t="str">
        <f>IFERROR(__xludf.DUMMYFUNCTION("""COMPUTED_VALUE"""),"70005976")</f>
        <v>70005976</v>
      </c>
      <c r="D10551" s="380" t="s">
        <v>767</v>
      </c>
      <c r="E10551" s="380" t="s">
        <v>786</v>
      </c>
      <c r="F10551" s="380" t="s">
        <v>989</v>
      </c>
      <c r="G10551" s="380" t="s">
        <v>1267</v>
      </c>
      <c r="H10551" s="380" t="s">
        <v>771</v>
      </c>
      <c r="I10551" s="380" t="s">
        <v>788</v>
      </c>
      <c r="J10551" s="380" t="s">
        <v>773</v>
      </c>
      <c r="K10551" s="381">
        <v>0.0</v>
      </c>
      <c r="L10551" s="382">
        <v>1.0</v>
      </c>
    </row>
    <row r="10552">
      <c r="A10552" s="380" t="s">
        <v>11426</v>
      </c>
      <c r="B10552" s="380" t="str">
        <f>IFERROR(__xludf.DUMMYFUNCTION("""COMPUTED_VALUE"""),"Tuerca Cabrilla Direc Hi 4700 384725c1")</f>
        <v>Tuerca Cabrilla Direc Hi 4700 384725c1</v>
      </c>
      <c r="C10552" s="380" t="str">
        <f>IFERROR(__xludf.DUMMYFUNCTION("""COMPUTED_VALUE"""),"70005977")</f>
        <v>70005977</v>
      </c>
      <c r="D10552" s="380" t="s">
        <v>767</v>
      </c>
      <c r="E10552" s="380" t="s">
        <v>786</v>
      </c>
      <c r="F10552" s="380" t="s">
        <v>792</v>
      </c>
      <c r="G10552" s="380" t="s">
        <v>1267</v>
      </c>
      <c r="H10552" s="380" t="s">
        <v>771</v>
      </c>
      <c r="I10552" s="380" t="s">
        <v>788</v>
      </c>
      <c r="J10552" s="380" t="s">
        <v>773</v>
      </c>
      <c r="K10552" s="381">
        <v>0.0</v>
      </c>
      <c r="L10552" s="382">
        <v>1.0</v>
      </c>
    </row>
    <row r="10553">
      <c r="A10553" s="380" t="s">
        <v>11427</v>
      </c>
      <c r="B10553" s="380" t="str">
        <f>IFERROR(__xludf.DUMMYFUNCTION("""COMPUTED_VALUE"""),"Encendedor Para Cigarrilos V022001")</f>
        <v>Encendedor Para Cigarrilos V022001</v>
      </c>
      <c r="C10553" s="380" t="str">
        <f>IFERROR(__xludf.DUMMYFUNCTION("""COMPUTED_VALUE"""),"70005978")</f>
        <v>70005978</v>
      </c>
      <c r="D10553" s="380" t="s">
        <v>767</v>
      </c>
      <c r="E10553" s="380" t="s">
        <v>786</v>
      </c>
      <c r="F10553" s="380" t="s">
        <v>792</v>
      </c>
      <c r="G10553" s="380" t="s">
        <v>1267</v>
      </c>
      <c r="H10553" s="380" t="s">
        <v>771</v>
      </c>
      <c r="I10553" s="380" t="s">
        <v>788</v>
      </c>
      <c r="J10553" s="380" t="s">
        <v>773</v>
      </c>
      <c r="K10553" s="381">
        <v>0.0</v>
      </c>
      <c r="L10553" s="382">
        <v>1.0</v>
      </c>
    </row>
    <row r="10554">
      <c r="A10554" s="380" t="s">
        <v>11428</v>
      </c>
      <c r="B10554" s="380" t="str">
        <f>IFERROR(__xludf.DUMMYFUNCTION("""COMPUTED_VALUE"""),"Codo Conector Turbo SB 214038a 214024")</f>
        <v>Codo Conector Turbo SB 214038a 214024</v>
      </c>
      <c r="C10554" s="380" t="str">
        <f>IFERROR(__xludf.DUMMYFUNCTION("""COMPUTED_VALUE"""),"70005979")</f>
        <v>70005979</v>
      </c>
      <c r="D10554" s="380" t="s">
        <v>767</v>
      </c>
      <c r="E10554" s="380" t="s">
        <v>786</v>
      </c>
      <c r="F10554" s="380" t="s">
        <v>787</v>
      </c>
      <c r="G10554" s="380" t="s">
        <v>1267</v>
      </c>
      <c r="H10554" s="380" t="s">
        <v>771</v>
      </c>
      <c r="I10554" s="380" t="s">
        <v>788</v>
      </c>
      <c r="J10554" s="380" t="s">
        <v>773</v>
      </c>
      <c r="K10554" s="381">
        <v>321433.0</v>
      </c>
      <c r="L10554" s="382">
        <v>1.0</v>
      </c>
    </row>
    <row r="10555">
      <c r="A10555" s="380" t="s">
        <v>11429</v>
      </c>
      <c r="B10555" s="380" t="str">
        <f>IFERROR(__xludf.DUMMYFUNCTION("""COMPUTED_VALUE"""),"Unidad Calefaccion Npr 8971747336")</f>
        <v>Unidad Calefaccion Npr 8971747336</v>
      </c>
      <c r="C10555" s="380" t="str">
        <f>IFERROR(__xludf.DUMMYFUNCTION("""COMPUTED_VALUE"""),"70005980")</f>
        <v>70005980</v>
      </c>
      <c r="D10555" s="380" t="s">
        <v>767</v>
      </c>
      <c r="E10555" s="380" t="s">
        <v>786</v>
      </c>
      <c r="F10555" s="380" t="s">
        <v>792</v>
      </c>
      <c r="G10555" s="380" t="s">
        <v>1267</v>
      </c>
      <c r="H10555" s="380" t="s">
        <v>771</v>
      </c>
      <c r="I10555" s="380" t="s">
        <v>788</v>
      </c>
      <c r="J10555" s="380" t="s">
        <v>773</v>
      </c>
      <c r="K10555" s="381">
        <v>0.0</v>
      </c>
      <c r="L10555" s="382">
        <v>1.0</v>
      </c>
    </row>
    <row r="10556">
      <c r="A10556" s="380" t="s">
        <v>11430</v>
      </c>
      <c r="B10556" s="380" t="str">
        <f>IFERROR(__xludf.DUMMYFUNCTION("""COMPUTED_VALUE"""),"Bocel Farola Del Der Npr 8975810880")</f>
        <v>Bocel Farola Del Der Npr 8975810880</v>
      </c>
      <c r="C10556" s="380" t="str">
        <f>IFERROR(__xludf.DUMMYFUNCTION("""COMPUTED_VALUE"""),"70005981")</f>
        <v>70005981</v>
      </c>
      <c r="D10556" s="380" t="s">
        <v>767</v>
      </c>
      <c r="E10556" s="380" t="s">
        <v>786</v>
      </c>
      <c r="F10556" s="380" t="s">
        <v>792</v>
      </c>
      <c r="G10556" s="380" t="s">
        <v>1267</v>
      </c>
      <c r="H10556" s="380" t="s">
        <v>771</v>
      </c>
      <c r="I10556" s="380" t="s">
        <v>788</v>
      </c>
      <c r="J10556" s="380" t="s">
        <v>773</v>
      </c>
      <c r="K10556" s="381">
        <v>0.0</v>
      </c>
      <c r="L10556" s="382">
        <v>1.0</v>
      </c>
    </row>
    <row r="10557">
      <c r="A10557" s="380" t="s">
        <v>11431</v>
      </c>
      <c r="B10557" s="380" t="str">
        <f>IFERROR(__xludf.DUMMYFUNCTION("""COMPUTED_VALUE"""),"Pivote Brazo Limpiabrisas Izq 8978551471")</f>
        <v>Pivote Brazo Limpiabrisas Izq 8978551471</v>
      </c>
      <c r="C10557" s="380" t="str">
        <f>IFERROR(__xludf.DUMMYFUNCTION("""COMPUTED_VALUE"""),"70005982")</f>
        <v>70005982</v>
      </c>
      <c r="D10557" s="380" t="s">
        <v>767</v>
      </c>
      <c r="E10557" s="380" t="s">
        <v>786</v>
      </c>
      <c r="F10557" s="380" t="s">
        <v>792</v>
      </c>
      <c r="G10557" s="380" t="s">
        <v>1267</v>
      </c>
      <c r="H10557" s="380" t="s">
        <v>771</v>
      </c>
      <c r="I10557" s="380" t="s">
        <v>788</v>
      </c>
      <c r="J10557" s="380" t="s">
        <v>773</v>
      </c>
      <c r="K10557" s="381">
        <v>0.0</v>
      </c>
      <c r="L10557" s="382">
        <v>1.0</v>
      </c>
    </row>
    <row r="10558">
      <c r="A10558" s="380" t="s">
        <v>11432</v>
      </c>
      <c r="B10558" s="380" t="str">
        <f>IFERROR(__xludf.DUMMYFUNCTION("""COMPUTED_VALUE"""),"Empaque Bomba Agua Npr")</f>
        <v>Empaque Bomba Agua Npr</v>
      </c>
      <c r="C10558" s="380" t="str">
        <f>IFERROR(__xludf.DUMMYFUNCTION("""COMPUTED_VALUE"""),"70005983")</f>
        <v>70005983</v>
      </c>
      <c r="D10558" s="380" t="s">
        <v>767</v>
      </c>
      <c r="E10558" s="380" t="s">
        <v>786</v>
      </c>
      <c r="F10558" s="380" t="s">
        <v>787</v>
      </c>
      <c r="G10558" s="380" t="s">
        <v>1267</v>
      </c>
      <c r="H10558" s="380" t="s">
        <v>771</v>
      </c>
      <c r="I10558" s="380" t="s">
        <v>788</v>
      </c>
      <c r="J10558" s="380" t="s">
        <v>773</v>
      </c>
      <c r="K10558" s="381">
        <v>0.0</v>
      </c>
      <c r="L10558" s="382">
        <v>1.0</v>
      </c>
    </row>
    <row r="10559">
      <c r="A10559" s="380" t="s">
        <v>11433</v>
      </c>
      <c r="B10559" s="380" t="str">
        <f>IFERROR(__xludf.DUMMYFUNCTION("""COMPUTED_VALUE"""),"Codo Mofle Eagle 5""")</f>
        <v>Codo Mofle Eagle 5"</v>
      </c>
      <c r="C10559" s="380" t="str">
        <f>IFERROR(__xludf.DUMMYFUNCTION("""COMPUTED_VALUE"""),"70005984")</f>
        <v>70005984</v>
      </c>
      <c r="D10559" s="380" t="s">
        <v>767</v>
      </c>
      <c r="E10559" s="380" t="s">
        <v>786</v>
      </c>
      <c r="F10559" s="380" t="s">
        <v>792</v>
      </c>
      <c r="G10559" s="380" t="s">
        <v>1267</v>
      </c>
      <c r="H10559" s="380" t="s">
        <v>771</v>
      </c>
      <c r="I10559" s="380" t="s">
        <v>788</v>
      </c>
      <c r="J10559" s="380" t="s">
        <v>773</v>
      </c>
      <c r="K10559" s="381">
        <v>0.0</v>
      </c>
      <c r="L10559" s="382">
        <v>1.0</v>
      </c>
    </row>
    <row r="10560">
      <c r="A10560" s="380" t="s">
        <v>11434</v>
      </c>
      <c r="B10560" s="380" t="str">
        <f>IFERROR(__xludf.DUMMYFUNCTION("""COMPUTED_VALUE"""),"Pivote Brazo Limpiabrisas Der 8978551482")</f>
        <v>Pivote Brazo Limpiabrisas Der 8978551482</v>
      </c>
      <c r="C10560" s="380" t="str">
        <f>IFERROR(__xludf.DUMMYFUNCTION("""COMPUTED_VALUE"""),"70005985")</f>
        <v>70005985</v>
      </c>
      <c r="D10560" s="380" t="s">
        <v>767</v>
      </c>
      <c r="E10560" s="380" t="s">
        <v>786</v>
      </c>
      <c r="F10560" s="380" t="s">
        <v>792</v>
      </c>
      <c r="G10560" s="380" t="s">
        <v>1267</v>
      </c>
      <c r="H10560" s="380" t="s">
        <v>771</v>
      </c>
      <c r="I10560" s="380" t="s">
        <v>788</v>
      </c>
      <c r="J10560" s="380" t="s">
        <v>773</v>
      </c>
      <c r="K10560" s="381">
        <v>0.0</v>
      </c>
      <c r="L10560" s="382">
        <v>1.0</v>
      </c>
    </row>
    <row r="10561">
      <c r="A10561" s="380" t="s">
        <v>11435</v>
      </c>
      <c r="B10561" s="380" t="str">
        <f>IFERROR(__xludf.DUMMYFUNCTION("""COMPUTED_VALUE"""),"Cuna Rodillo Suspens Hi Hm 212011")</f>
        <v>Cuna Rodillo Suspens Hi Hm 212011</v>
      </c>
      <c r="C10561" s="380" t="str">
        <f>IFERROR(__xludf.DUMMYFUNCTION("""COMPUTED_VALUE"""),"70005986")</f>
        <v>70005986</v>
      </c>
      <c r="D10561" s="380" t="s">
        <v>767</v>
      </c>
      <c r="E10561" s="380" t="s">
        <v>786</v>
      </c>
      <c r="F10561" s="380" t="s">
        <v>1039</v>
      </c>
      <c r="G10561" s="380" t="s">
        <v>1267</v>
      </c>
      <c r="H10561" s="380" t="s">
        <v>771</v>
      </c>
      <c r="I10561" s="380" t="s">
        <v>788</v>
      </c>
      <c r="J10561" s="380" t="s">
        <v>773</v>
      </c>
      <c r="K10561" s="381">
        <v>0.0</v>
      </c>
      <c r="L10561" s="382">
        <v>1.0</v>
      </c>
    </row>
    <row r="10562">
      <c r="A10562" s="380" t="s">
        <v>11436</v>
      </c>
      <c r="B10562" s="380" t="str">
        <f>IFERROR(__xludf.DUMMYFUNCTION("""COMPUTED_VALUE"""),"Motor Calefaccion Npr 8972881670")</f>
        <v>Motor Calefaccion Npr 8972881670</v>
      </c>
      <c r="C10562" s="380" t="str">
        <f>IFERROR(__xludf.DUMMYFUNCTION("""COMPUTED_VALUE"""),"70005987")</f>
        <v>70005987</v>
      </c>
      <c r="D10562" s="380" t="s">
        <v>767</v>
      </c>
      <c r="E10562" s="380" t="s">
        <v>786</v>
      </c>
      <c r="F10562" s="380" t="s">
        <v>1031</v>
      </c>
      <c r="G10562" s="380" t="s">
        <v>1267</v>
      </c>
      <c r="H10562" s="380" t="s">
        <v>771</v>
      </c>
      <c r="I10562" s="380" t="s">
        <v>788</v>
      </c>
      <c r="J10562" s="380" t="s">
        <v>773</v>
      </c>
      <c r="K10562" s="381">
        <v>0.0</v>
      </c>
      <c r="L10562" s="382">
        <v>1.0</v>
      </c>
    </row>
    <row r="10563">
      <c r="A10563" s="380" t="s">
        <v>11437</v>
      </c>
      <c r="B10563" s="380" t="str">
        <f>IFERROR(__xludf.DUMMYFUNCTION("""COMPUTED_VALUE"""),"Codo Mofle Eagle Recto 5""")</f>
        <v>Codo Mofle Eagle Recto 5"</v>
      </c>
      <c r="C10563" s="380" t="str">
        <f>IFERROR(__xludf.DUMMYFUNCTION("""COMPUTED_VALUE"""),"70005988")</f>
        <v>70005988</v>
      </c>
      <c r="D10563" s="380" t="s">
        <v>767</v>
      </c>
      <c r="E10563" s="380" t="s">
        <v>786</v>
      </c>
      <c r="F10563" s="380" t="s">
        <v>792</v>
      </c>
      <c r="G10563" s="380" t="s">
        <v>1267</v>
      </c>
      <c r="H10563" s="380" t="s">
        <v>771</v>
      </c>
      <c r="I10563" s="380" t="s">
        <v>788</v>
      </c>
      <c r="J10563" s="380" t="s">
        <v>773</v>
      </c>
      <c r="K10563" s="381">
        <v>0.0</v>
      </c>
      <c r="L10563" s="382">
        <v>1.0</v>
      </c>
    </row>
    <row r="10564">
      <c r="A10564" s="380" t="s">
        <v>11438</v>
      </c>
      <c r="B10564" s="380" t="str">
        <f>IFERROR(__xludf.DUMMYFUNCTION("""COMPUTED_VALUE"""),"Oring Conector Deus Hi 4700 1824908c1")</f>
        <v>Oring Conector Deus Hi 4700 1824908c1</v>
      </c>
      <c r="C10564" s="380" t="str">
        <f>IFERROR(__xludf.DUMMYFUNCTION("""COMPUTED_VALUE"""),"70005989")</f>
        <v>70005989</v>
      </c>
      <c r="D10564" s="380" t="s">
        <v>767</v>
      </c>
      <c r="E10564" s="380" t="s">
        <v>786</v>
      </c>
      <c r="F10564" s="380" t="s">
        <v>787</v>
      </c>
      <c r="G10564" s="380" t="s">
        <v>1267</v>
      </c>
      <c r="H10564" s="380" t="s">
        <v>771</v>
      </c>
      <c r="I10564" s="380" t="s">
        <v>788</v>
      </c>
      <c r="J10564" s="380" t="s">
        <v>773</v>
      </c>
      <c r="K10564" s="381">
        <v>0.0</v>
      </c>
      <c r="L10564" s="382">
        <v>1.0</v>
      </c>
    </row>
    <row r="10565">
      <c r="A10565" s="380" t="s">
        <v>11439</v>
      </c>
      <c r="B10565" s="380" t="str">
        <f>IFERROR(__xludf.DUMMYFUNCTION("""COMPUTED_VALUE"""),"CIL Freno Del Sin Purga Npr 8970220300")</f>
        <v>CIL Freno Del Sin Purga Npr 8970220300</v>
      </c>
      <c r="C10565" s="380" t="str">
        <f>IFERROR(__xludf.DUMMYFUNCTION("""COMPUTED_VALUE"""),"70005990")</f>
        <v>70005990</v>
      </c>
      <c r="D10565" s="380" t="s">
        <v>767</v>
      </c>
      <c r="E10565" s="380" t="s">
        <v>786</v>
      </c>
      <c r="F10565" s="380" t="s">
        <v>1017</v>
      </c>
      <c r="G10565" s="380" t="s">
        <v>1267</v>
      </c>
      <c r="H10565" s="380" t="s">
        <v>771</v>
      </c>
      <c r="I10565" s="380" t="s">
        <v>788</v>
      </c>
      <c r="J10565" s="380" t="s">
        <v>773</v>
      </c>
      <c r="K10565" s="381">
        <v>0.0</v>
      </c>
      <c r="L10565" s="382">
        <v>1.0</v>
      </c>
    </row>
    <row r="10566">
      <c r="A10566" s="380" t="s">
        <v>11440</v>
      </c>
      <c r="B10566" s="380" t="str">
        <f>IFERROR(__xludf.DUMMYFUNCTION("""COMPUTED_VALUE"""),"Stop Completo Akt Carguero B19201001")</f>
        <v>Stop Completo Akt Carguero B19201001</v>
      </c>
      <c r="C10566" s="380" t="str">
        <f>IFERROR(__xludf.DUMMYFUNCTION("""COMPUTED_VALUE"""),"70005991")</f>
        <v>70005991</v>
      </c>
      <c r="D10566" s="380" t="s">
        <v>767</v>
      </c>
      <c r="E10566" s="380" t="s">
        <v>786</v>
      </c>
      <c r="F10566" s="380" t="s">
        <v>998</v>
      </c>
      <c r="G10566" s="380" t="s">
        <v>1267</v>
      </c>
      <c r="H10566" s="380" t="s">
        <v>771</v>
      </c>
      <c r="I10566" s="380" t="s">
        <v>788</v>
      </c>
      <c r="J10566" s="380" t="s">
        <v>773</v>
      </c>
      <c r="K10566" s="381">
        <v>0.0</v>
      </c>
      <c r="L10566" s="382">
        <v>1.0</v>
      </c>
    </row>
    <row r="10567">
      <c r="A10567" s="380" t="s">
        <v>11441</v>
      </c>
      <c r="B10567" s="380" t="str">
        <f>IFERROR(__xludf.DUMMYFUNCTION("""COMPUTED_VALUE"""),"Retenedor Speed 41x8 Nhr 8944080840")</f>
        <v>Retenedor Speed 41x8 Nhr 8944080840</v>
      </c>
      <c r="C10567" s="380" t="str">
        <f>IFERROR(__xludf.DUMMYFUNCTION("""COMPUTED_VALUE"""),"70005992")</f>
        <v>70005992</v>
      </c>
      <c r="D10567" s="380" t="s">
        <v>767</v>
      </c>
      <c r="E10567" s="380" t="s">
        <v>786</v>
      </c>
      <c r="F10567" s="380" t="s">
        <v>5683</v>
      </c>
      <c r="G10567" s="380" t="s">
        <v>1267</v>
      </c>
      <c r="H10567" s="380" t="s">
        <v>771</v>
      </c>
      <c r="I10567" s="380" t="s">
        <v>788</v>
      </c>
      <c r="J10567" s="380" t="s">
        <v>773</v>
      </c>
      <c r="K10567" s="381">
        <v>0.0</v>
      </c>
      <c r="L10567" s="382">
        <v>1.0</v>
      </c>
    </row>
    <row r="10568">
      <c r="A10568" s="380" t="s">
        <v>11442</v>
      </c>
      <c r="B10568" s="380" t="str">
        <f>IFERROR(__xludf.DUMMYFUNCTION("""COMPUTED_VALUE"""),"Tuerca Speed 41x8 Nhr")</f>
        <v>Tuerca Speed 41x8 Nhr</v>
      </c>
      <c r="C10568" s="380" t="str">
        <f>IFERROR(__xludf.DUMMYFUNCTION("""COMPUTED_VALUE"""),"70005993")</f>
        <v>70005993</v>
      </c>
      <c r="D10568" s="380" t="s">
        <v>767</v>
      </c>
      <c r="E10568" s="380" t="s">
        <v>786</v>
      </c>
      <c r="F10568" s="380" t="s">
        <v>5683</v>
      </c>
      <c r="G10568" s="380" t="s">
        <v>1267</v>
      </c>
      <c r="H10568" s="380" t="s">
        <v>771</v>
      </c>
      <c r="I10568" s="380" t="s">
        <v>788</v>
      </c>
      <c r="J10568" s="380" t="s">
        <v>773</v>
      </c>
      <c r="K10568" s="381">
        <v>0.0</v>
      </c>
      <c r="L10568" s="382">
        <v>1.0</v>
      </c>
    </row>
    <row r="10569">
      <c r="A10569" s="380" t="s">
        <v>11443</v>
      </c>
      <c r="B10569" s="380" t="str">
        <f>IFERROR(__xludf.DUMMYFUNCTION("""COMPUTED_VALUE"""),"Rodillo Speed Ext 41x8 Nhr 9000930780")</f>
        <v>Rodillo Speed Ext 41x8 Nhr 9000930780</v>
      </c>
      <c r="C10569" s="380" t="str">
        <f>IFERROR(__xludf.DUMMYFUNCTION("""COMPUTED_VALUE"""),"70005994")</f>
        <v>70005994</v>
      </c>
      <c r="D10569" s="380" t="s">
        <v>767</v>
      </c>
      <c r="E10569" s="380" t="s">
        <v>786</v>
      </c>
      <c r="F10569" s="380" t="s">
        <v>5683</v>
      </c>
      <c r="G10569" s="380" t="s">
        <v>1267</v>
      </c>
      <c r="H10569" s="380" t="s">
        <v>771</v>
      </c>
      <c r="I10569" s="380" t="s">
        <v>788</v>
      </c>
      <c r="J10569" s="380" t="s">
        <v>773</v>
      </c>
      <c r="K10569" s="381">
        <v>0.0</v>
      </c>
      <c r="L10569" s="382">
        <v>1.0</v>
      </c>
    </row>
    <row r="10570">
      <c r="A10570" s="380" t="s">
        <v>11444</v>
      </c>
      <c r="B10570" s="380" t="str">
        <f>IFERROR(__xludf.DUMMYFUNCTION("""COMPUTED_VALUE"""),"Rodillo Speed 41x8 Nhr 0203000b")</f>
        <v>Rodillo Speed 41x8 Nhr 0203000b</v>
      </c>
      <c r="C10570" s="380" t="str">
        <f>IFERROR(__xludf.DUMMYFUNCTION("""COMPUTED_VALUE"""),"70005995")</f>
        <v>70005995</v>
      </c>
      <c r="D10570" s="380" t="s">
        <v>767</v>
      </c>
      <c r="E10570" s="380" t="s">
        <v>786</v>
      </c>
      <c r="F10570" s="380" t="s">
        <v>5683</v>
      </c>
      <c r="G10570" s="380" t="s">
        <v>1267</v>
      </c>
      <c r="H10570" s="380" t="s">
        <v>771</v>
      </c>
      <c r="I10570" s="380" t="s">
        <v>788</v>
      </c>
      <c r="J10570" s="380" t="s">
        <v>773</v>
      </c>
      <c r="K10570" s="381">
        <v>0.0</v>
      </c>
      <c r="L10570" s="382">
        <v>1.0</v>
      </c>
    </row>
    <row r="10571">
      <c r="A10571" s="380" t="s">
        <v>11445</v>
      </c>
      <c r="B10571" s="380" t="str">
        <f>IFERROR(__xludf.DUMMYFUNCTION("""COMPUTED_VALUE"""),"Cuna Ext Rueda Tras SB 572 Sb")</f>
        <v>Cuna Ext Rueda Tras SB 572 Sb</v>
      </c>
      <c r="C10571" s="380" t="str">
        <f>IFERROR(__xludf.DUMMYFUNCTION("""COMPUTED_VALUE"""),"70005996")</f>
        <v>70005996</v>
      </c>
      <c r="D10571" s="380" t="s">
        <v>767</v>
      </c>
      <c r="E10571" s="380" t="s">
        <v>786</v>
      </c>
      <c r="F10571" s="380" t="s">
        <v>1039</v>
      </c>
      <c r="G10571" s="380" t="s">
        <v>1267</v>
      </c>
      <c r="H10571" s="380" t="s">
        <v>771</v>
      </c>
      <c r="I10571" s="380" t="s">
        <v>788</v>
      </c>
      <c r="J10571" s="380" t="s">
        <v>773</v>
      </c>
      <c r="K10571" s="381">
        <v>0.0</v>
      </c>
      <c r="L10571" s="382">
        <v>1.0</v>
      </c>
    </row>
    <row r="10572">
      <c r="A10572" s="380" t="s">
        <v>11446</v>
      </c>
      <c r="B10572" s="380" t="str">
        <f>IFERROR(__xludf.DUMMYFUNCTION("""COMPUTED_VALUE"""),"Lente Guia Bomper KWh B1103a")</f>
        <v>Lente Guia Bomper KWh B1103a</v>
      </c>
      <c r="C10572" s="380" t="str">
        <f>IFERROR(__xludf.DUMMYFUNCTION("""COMPUTED_VALUE"""),"70005997")</f>
        <v>70005997</v>
      </c>
      <c r="D10572" s="380" t="s">
        <v>767</v>
      </c>
      <c r="E10572" s="380" t="s">
        <v>786</v>
      </c>
      <c r="F10572" s="380" t="s">
        <v>1031</v>
      </c>
      <c r="G10572" s="380" t="s">
        <v>1267</v>
      </c>
      <c r="H10572" s="380" t="s">
        <v>771</v>
      </c>
      <c r="I10572" s="380" t="s">
        <v>788</v>
      </c>
      <c r="J10572" s="380" t="s">
        <v>773</v>
      </c>
      <c r="K10572" s="381">
        <v>26426.0</v>
      </c>
      <c r="L10572" s="382">
        <v>1.0</v>
      </c>
    </row>
    <row r="10573">
      <c r="A10573" s="380" t="s">
        <v>11447</v>
      </c>
      <c r="B10573" s="380" t="str">
        <f>IFERROR(__xludf.DUMMYFUNCTION("""COMPUTED_VALUE"""),"Cuna Int Rueda Del SB 6420 Sb")</f>
        <v>Cuna Int Rueda Del SB 6420 Sb</v>
      </c>
      <c r="C10573" s="380" t="str">
        <f>IFERROR(__xludf.DUMMYFUNCTION("""COMPUTED_VALUE"""),"70005998")</f>
        <v>70005998</v>
      </c>
      <c r="D10573" s="380" t="s">
        <v>767</v>
      </c>
      <c r="E10573" s="380" t="s">
        <v>786</v>
      </c>
      <c r="F10573" s="380" t="s">
        <v>1039</v>
      </c>
      <c r="G10573" s="380" t="s">
        <v>1267</v>
      </c>
      <c r="H10573" s="380" t="s">
        <v>771</v>
      </c>
      <c r="I10573" s="380" t="s">
        <v>788</v>
      </c>
      <c r="J10573" s="380" t="s">
        <v>773</v>
      </c>
      <c r="K10573" s="381">
        <v>0.0</v>
      </c>
      <c r="L10573" s="382">
        <v>1.0</v>
      </c>
    </row>
    <row r="10574">
      <c r="A10574" s="380" t="s">
        <v>11448</v>
      </c>
      <c r="B10574" s="380" t="str">
        <f>IFERROR(__xludf.DUMMYFUNCTION("""COMPUTED_VALUE"""),"Cilindro Con Llave Pta Nhr-Npr Cp-112")</f>
        <v>Cilindro Con Llave Pta Nhr-Npr Cp-112</v>
      </c>
      <c r="C10574" s="380" t="str">
        <f>IFERROR(__xludf.DUMMYFUNCTION("""COMPUTED_VALUE"""),"70005999")</f>
        <v>70005999</v>
      </c>
      <c r="D10574" s="380" t="s">
        <v>767</v>
      </c>
      <c r="E10574" s="380" t="s">
        <v>786</v>
      </c>
      <c r="F10574" s="380" t="s">
        <v>792</v>
      </c>
      <c r="G10574" s="380" t="s">
        <v>1267</v>
      </c>
      <c r="H10574" s="380" t="s">
        <v>771</v>
      </c>
      <c r="I10574" s="380" t="s">
        <v>788</v>
      </c>
      <c r="J10574" s="380" t="s">
        <v>773</v>
      </c>
      <c r="K10574" s="381">
        <v>0.0</v>
      </c>
      <c r="L10574" s="382">
        <v>1.0</v>
      </c>
    </row>
    <row r="10575">
      <c r="A10575" s="380" t="s">
        <v>11449</v>
      </c>
      <c r="B10575" s="380" t="str">
        <f>IFERROR(__xludf.DUMMYFUNCTION("""COMPUTED_VALUE"""),"Cuna Int Rueda Tras 592-A")</f>
        <v>Cuna Int Rueda Tras 592-A</v>
      </c>
      <c r="C10575" s="380" t="str">
        <f>IFERROR(__xludf.DUMMYFUNCTION("""COMPUTED_VALUE"""),"70006000")</f>
        <v>70006000</v>
      </c>
      <c r="D10575" s="380" t="s">
        <v>767</v>
      </c>
      <c r="E10575" s="380" t="s">
        <v>786</v>
      </c>
      <c r="F10575" s="380" t="s">
        <v>1039</v>
      </c>
      <c r="G10575" s="380" t="s">
        <v>1267</v>
      </c>
      <c r="H10575" s="380" t="s">
        <v>771</v>
      </c>
      <c r="I10575" s="380" t="s">
        <v>788</v>
      </c>
      <c r="J10575" s="380" t="s">
        <v>773</v>
      </c>
      <c r="K10575" s="381">
        <v>0.0</v>
      </c>
      <c r="L10575" s="382">
        <v>1.0</v>
      </c>
    </row>
    <row r="10576">
      <c r="A10576" s="380" t="s">
        <v>11450</v>
      </c>
      <c r="B10576" s="380" t="str">
        <f>IFERROR(__xludf.DUMMYFUNCTION("""COMPUTED_VALUE"""),"Fri Feb 01 6307 00:00:00 GMT-0500 (hora")</f>
        <v>Fri Feb 01 6307 00:00:00 GMT-0500 (hora</v>
      </c>
      <c r="C10576" s="380" t="str">
        <f>IFERROR(__xludf.DUMMYFUNCTION("""COMPUTED_VALUE"""),"70006001")</f>
        <v>70006001</v>
      </c>
      <c r="D10576" s="380" t="s">
        <v>767</v>
      </c>
      <c r="E10576" s="380" t="s">
        <v>786</v>
      </c>
      <c r="F10576" s="380" t="s">
        <v>787</v>
      </c>
      <c r="G10576" s="380" t="s">
        <v>1267</v>
      </c>
      <c r="H10576" s="380" t="s">
        <v>771</v>
      </c>
      <c r="I10576" s="380" t="s">
        <v>788</v>
      </c>
      <c r="J10576" s="380" t="s">
        <v>773</v>
      </c>
      <c r="K10576" s="381">
        <v>0.0</v>
      </c>
      <c r="L10576" s="382">
        <v>1.0</v>
      </c>
    </row>
    <row r="10577">
      <c r="A10577" s="380" t="s">
        <v>11451</v>
      </c>
      <c r="B10577" s="380" t="str">
        <f>IFERROR(__xludf.DUMMYFUNCTION("""COMPUTED_VALUE"""),"Reflectivo Amarillo Der Nhr N 8978550094")</f>
        <v>Reflectivo Amarillo Der Nhr N 8978550094</v>
      </c>
      <c r="C10577" s="380" t="str">
        <f>IFERROR(__xludf.DUMMYFUNCTION("""COMPUTED_VALUE"""),"70006002")</f>
        <v>70006002</v>
      </c>
      <c r="D10577" s="380" t="s">
        <v>767</v>
      </c>
      <c r="E10577" s="380" t="s">
        <v>786</v>
      </c>
      <c r="F10577" s="380" t="s">
        <v>792</v>
      </c>
      <c r="G10577" s="380" t="s">
        <v>1267</v>
      </c>
      <c r="H10577" s="380" t="s">
        <v>771</v>
      </c>
      <c r="I10577" s="380" t="s">
        <v>788</v>
      </c>
      <c r="J10577" s="380" t="s">
        <v>773</v>
      </c>
      <c r="K10577" s="381">
        <v>0.0</v>
      </c>
      <c r="L10577" s="382">
        <v>1.0</v>
      </c>
    </row>
    <row r="10578">
      <c r="A10578" s="380" t="s">
        <v>11452</v>
      </c>
      <c r="B10578" s="380" t="str">
        <f>IFERROR(__xludf.DUMMYFUNCTION("""COMPUTED_VALUE"""),"Amortiguador Del Kw Mod 2013 8507 385305")</f>
        <v>Amortiguador Del Kw Mod 2013 8507 385305</v>
      </c>
      <c r="C10578" s="380" t="str">
        <f>IFERROR(__xludf.DUMMYFUNCTION("""COMPUTED_VALUE"""),"70006003")</f>
        <v>70006003</v>
      </c>
      <c r="D10578" s="380" t="s">
        <v>767</v>
      </c>
      <c r="E10578" s="380" t="s">
        <v>786</v>
      </c>
      <c r="F10578" s="380" t="s">
        <v>1039</v>
      </c>
      <c r="G10578" s="380" t="s">
        <v>1267</v>
      </c>
      <c r="H10578" s="380" t="s">
        <v>771</v>
      </c>
      <c r="I10578" s="380" t="s">
        <v>788</v>
      </c>
      <c r="J10578" s="380" t="s">
        <v>773</v>
      </c>
      <c r="K10578" s="381">
        <v>0.0</v>
      </c>
      <c r="L10578" s="382">
        <v>1.0</v>
      </c>
    </row>
    <row r="10579">
      <c r="A10579" s="380" t="s">
        <v>11453</v>
      </c>
      <c r="B10579" s="380" t="str">
        <f>IFERROR(__xludf.DUMMYFUNCTION("""COMPUTED_VALUE"""),"Pasador Central 1/2 X 12""")</f>
        <v>Pasador Central 1/2 X 12"</v>
      </c>
      <c r="C10579" s="380" t="str">
        <f>IFERROR(__xludf.DUMMYFUNCTION("""COMPUTED_VALUE"""),"70006004")</f>
        <v>70006004</v>
      </c>
      <c r="D10579" s="380" t="s">
        <v>767</v>
      </c>
      <c r="E10579" s="380" t="s">
        <v>786</v>
      </c>
      <c r="F10579" s="380" t="s">
        <v>1039</v>
      </c>
      <c r="G10579" s="380" t="s">
        <v>1267</v>
      </c>
      <c r="H10579" s="380" t="s">
        <v>771</v>
      </c>
      <c r="I10579" s="380" t="s">
        <v>788</v>
      </c>
      <c r="J10579" s="380" t="s">
        <v>773</v>
      </c>
      <c r="K10579" s="381">
        <v>0.0</v>
      </c>
      <c r="L10579" s="382">
        <v>1.0</v>
      </c>
    </row>
    <row r="10580">
      <c r="A10580" s="380" t="s">
        <v>11454</v>
      </c>
      <c r="B10580" s="380" t="str">
        <f>IFERROR(__xludf.DUMMYFUNCTION("""COMPUTED_VALUE"""),"Cacho Direccion Derecho Nkr M2010")</f>
        <v>Cacho Direccion Derecho Nkr M2010</v>
      </c>
      <c r="C10580" s="380" t="str">
        <f>IFERROR(__xludf.DUMMYFUNCTION("""COMPUTED_VALUE"""),"70006005")</f>
        <v>70006005</v>
      </c>
      <c r="D10580" s="380" t="s">
        <v>767</v>
      </c>
      <c r="E10580" s="380" t="s">
        <v>786</v>
      </c>
      <c r="F10580" s="380" t="s">
        <v>1020</v>
      </c>
      <c r="G10580" s="380" t="s">
        <v>1267</v>
      </c>
      <c r="H10580" s="380" t="s">
        <v>771</v>
      </c>
      <c r="I10580" s="380" t="s">
        <v>788</v>
      </c>
      <c r="J10580" s="380" t="s">
        <v>773</v>
      </c>
      <c r="K10580" s="381">
        <v>0.0</v>
      </c>
      <c r="L10580" s="382">
        <v>1.0</v>
      </c>
    </row>
    <row r="10581">
      <c r="A10581" s="380" t="s">
        <v>11455</v>
      </c>
      <c r="B10581" s="380" t="str">
        <f>IFERROR(__xludf.DUMMYFUNCTION("""COMPUTED_VALUE"""),"Conector Rapido Rosca Macho 1 1/4"" Rosca")</f>
        <v>Conector Rapido Rosca Macho 1 1/4" Rosca</v>
      </c>
      <c r="C10581" s="380" t="str">
        <f>IFERROR(__xludf.DUMMYFUNCTION("""COMPUTED_VALUE"""),"70006006")</f>
        <v>70006006</v>
      </c>
      <c r="D10581" s="380" t="s">
        <v>767</v>
      </c>
      <c r="E10581" s="380" t="s">
        <v>786</v>
      </c>
      <c r="F10581" s="380" t="s">
        <v>989</v>
      </c>
      <c r="G10581" s="380" t="s">
        <v>1267</v>
      </c>
      <c r="H10581" s="380" t="s">
        <v>771</v>
      </c>
      <c r="I10581" s="380" t="s">
        <v>788</v>
      </c>
      <c r="J10581" s="380" t="s">
        <v>773</v>
      </c>
      <c r="K10581" s="381">
        <v>0.0</v>
      </c>
      <c r="L10581" s="382">
        <v>1.0</v>
      </c>
    </row>
    <row r="10582">
      <c r="A10582" s="380" t="s">
        <v>11456</v>
      </c>
      <c r="B10582" s="380" t="str">
        <f>IFERROR(__xludf.DUMMYFUNCTION("""COMPUTED_VALUE"""),"Lampara Dire Tras Der 3w180 B06201160")</f>
        <v>Lampara Dire Tras Der 3w180 B06201160</v>
      </c>
      <c r="C10582" s="380" t="str">
        <f>IFERROR(__xludf.DUMMYFUNCTION("""COMPUTED_VALUE"""),"70006007")</f>
        <v>70006007</v>
      </c>
      <c r="D10582" s="380" t="s">
        <v>767</v>
      </c>
      <c r="E10582" s="380" t="s">
        <v>786</v>
      </c>
      <c r="F10582" s="380" t="s">
        <v>998</v>
      </c>
      <c r="G10582" s="380" t="s">
        <v>1267</v>
      </c>
      <c r="H10582" s="380" t="s">
        <v>771</v>
      </c>
      <c r="I10582" s="380" t="s">
        <v>788</v>
      </c>
      <c r="J10582" s="380" t="s">
        <v>773</v>
      </c>
      <c r="K10582" s="381">
        <v>0.0</v>
      </c>
      <c r="L10582" s="382">
        <v>1.0</v>
      </c>
    </row>
    <row r="10583">
      <c r="A10583" s="380" t="s">
        <v>11457</v>
      </c>
      <c r="B10583" s="380" t="str">
        <f>IFERROR(__xludf.DUMMYFUNCTION("""COMPUTED_VALUE"""),"Rejilla Frontal A/C Kw S45-1023")</f>
        <v>Rejilla Frontal A/C Kw S45-1023</v>
      </c>
      <c r="C10583" s="380" t="str">
        <f>IFERROR(__xludf.DUMMYFUNCTION("""COMPUTED_VALUE"""),"70006008")</f>
        <v>70006008</v>
      </c>
      <c r="D10583" s="380" t="s">
        <v>767</v>
      </c>
      <c r="E10583" s="380" t="s">
        <v>786</v>
      </c>
      <c r="F10583" s="380" t="s">
        <v>792</v>
      </c>
      <c r="G10583" s="380" t="s">
        <v>1267</v>
      </c>
      <c r="H10583" s="380" t="s">
        <v>771</v>
      </c>
      <c r="I10583" s="380" t="s">
        <v>788</v>
      </c>
      <c r="J10583" s="380" t="s">
        <v>773</v>
      </c>
      <c r="K10583" s="381">
        <v>0.0</v>
      </c>
      <c r="L10583" s="382">
        <v>1.0</v>
      </c>
    </row>
    <row r="10584">
      <c r="A10584" s="380" t="s">
        <v>11458</v>
      </c>
      <c r="B10584" s="380" t="str">
        <f>IFERROR(__xludf.DUMMYFUNCTION("""COMPUTED_VALUE"""),"Kit Reparticion MOT HY H100 Porter")</f>
        <v>Kit Reparticion MOT HY H100 Porter</v>
      </c>
      <c r="C10584" s="380" t="str">
        <f>IFERROR(__xludf.DUMMYFUNCTION("""COMPUTED_VALUE"""),"70006009")</f>
        <v>70006009</v>
      </c>
      <c r="D10584" s="380" t="s">
        <v>767</v>
      </c>
      <c r="E10584" s="380" t="s">
        <v>786</v>
      </c>
      <c r="F10584" s="380" t="s">
        <v>787</v>
      </c>
      <c r="G10584" s="380" t="s">
        <v>1267</v>
      </c>
      <c r="H10584" s="380" t="s">
        <v>771</v>
      </c>
      <c r="I10584" s="380" t="s">
        <v>788</v>
      </c>
      <c r="J10584" s="380" t="s">
        <v>773</v>
      </c>
      <c r="K10584" s="381">
        <v>0.0</v>
      </c>
      <c r="L10584" s="382">
        <v>1.0</v>
      </c>
    </row>
    <row r="10585">
      <c r="A10585" s="380" t="s">
        <v>11459</v>
      </c>
      <c r="B10585" s="380" t="str">
        <f>IFERROR(__xludf.DUMMYFUNCTION("""COMPUTED_VALUE"""),"Tapa Palanca Cambios EGL Fulk2973 K1630")</f>
        <v>Tapa Palanca Cambios EGL Fulk2973 K1630</v>
      </c>
      <c r="C10585" s="380" t="str">
        <f>IFERROR(__xludf.DUMMYFUNCTION("""COMPUTED_VALUE"""),"70006010")</f>
        <v>70006010</v>
      </c>
      <c r="D10585" s="380" t="s">
        <v>767</v>
      </c>
      <c r="E10585" s="380" t="s">
        <v>786</v>
      </c>
      <c r="F10585" s="380" t="s">
        <v>928</v>
      </c>
      <c r="G10585" s="380" t="s">
        <v>1267</v>
      </c>
      <c r="H10585" s="380" t="s">
        <v>771</v>
      </c>
      <c r="I10585" s="380" t="s">
        <v>788</v>
      </c>
      <c r="J10585" s="380" t="s">
        <v>773</v>
      </c>
      <c r="K10585" s="381">
        <v>0.0</v>
      </c>
      <c r="L10585" s="382">
        <v>1.0</v>
      </c>
    </row>
    <row r="10586">
      <c r="A10586" s="380" t="s">
        <v>11460</v>
      </c>
      <c r="B10586" s="380" t="str">
        <f>IFERROR(__xludf.DUMMYFUNCTION("""COMPUTED_VALUE"""),"Cilindro Freno Del Der Nhr 8941281620")</f>
        <v>Cilindro Freno Del Der Nhr 8941281620</v>
      </c>
      <c r="C10586" s="380" t="str">
        <f>IFERROR(__xludf.DUMMYFUNCTION("""COMPUTED_VALUE"""),"70006011")</f>
        <v>70006011</v>
      </c>
      <c r="D10586" s="380" t="s">
        <v>767</v>
      </c>
      <c r="E10586" s="380" t="s">
        <v>786</v>
      </c>
      <c r="F10586" s="380" t="s">
        <v>1017</v>
      </c>
      <c r="G10586" s="380" t="s">
        <v>1267</v>
      </c>
      <c r="H10586" s="380" t="s">
        <v>771</v>
      </c>
      <c r="I10586" s="380" t="s">
        <v>788</v>
      </c>
      <c r="J10586" s="380" t="s">
        <v>773</v>
      </c>
      <c r="K10586" s="381">
        <v>0.0</v>
      </c>
      <c r="L10586" s="382">
        <v>1.0</v>
      </c>
    </row>
    <row r="10587">
      <c r="A10587" s="380" t="s">
        <v>11461</v>
      </c>
      <c r="B10587" s="380" t="str">
        <f>IFERROR(__xludf.DUMMYFUNCTION("""COMPUTED_VALUE"""),"Retenedor Eje Tras Int Nhr 5096250920")</f>
        <v>Retenedor Eje Tras Int Nhr 5096250920</v>
      </c>
      <c r="C10587" s="380" t="str">
        <f>IFERROR(__xludf.DUMMYFUNCTION("""COMPUTED_VALUE"""),"70006012")</f>
        <v>70006012</v>
      </c>
      <c r="D10587" s="380" t="s">
        <v>767</v>
      </c>
      <c r="E10587" s="380" t="s">
        <v>786</v>
      </c>
      <c r="F10587" s="380" t="s">
        <v>1039</v>
      </c>
      <c r="G10587" s="380" t="s">
        <v>1267</v>
      </c>
      <c r="H10587" s="380" t="s">
        <v>771</v>
      </c>
      <c r="I10587" s="380" t="s">
        <v>788</v>
      </c>
      <c r="J10587" s="380" t="s">
        <v>773</v>
      </c>
      <c r="K10587" s="381">
        <v>0.0</v>
      </c>
      <c r="L10587" s="382">
        <v>1.0</v>
      </c>
    </row>
    <row r="10588">
      <c r="A10588" s="380" t="s">
        <v>11462</v>
      </c>
      <c r="B10588" s="380" t="str">
        <f>IFERROR(__xludf.DUMMYFUNCTION("""COMPUTED_VALUE"""),"Retenedor Rda Tras Ext Nhr 9097240221")</f>
        <v>Retenedor Rda Tras Ext Nhr 9097240221</v>
      </c>
      <c r="C10588" s="380" t="str">
        <f>IFERROR(__xludf.DUMMYFUNCTION("""COMPUTED_VALUE"""),"70006013")</f>
        <v>70006013</v>
      </c>
      <c r="D10588" s="380" t="s">
        <v>767</v>
      </c>
      <c r="E10588" s="380" t="s">
        <v>786</v>
      </c>
      <c r="F10588" s="380" t="s">
        <v>1039</v>
      </c>
      <c r="G10588" s="380" t="s">
        <v>1267</v>
      </c>
      <c r="H10588" s="380" t="s">
        <v>771</v>
      </c>
      <c r="I10588" s="380" t="s">
        <v>788</v>
      </c>
      <c r="J10588" s="380" t="s">
        <v>773</v>
      </c>
      <c r="K10588" s="381">
        <v>0.0</v>
      </c>
      <c r="L10588" s="382">
        <v>1.0</v>
      </c>
    </row>
    <row r="10589">
      <c r="A10589" s="380" t="s">
        <v>11463</v>
      </c>
      <c r="B10589" s="380" t="str">
        <f>IFERROR(__xludf.DUMMYFUNCTION("""COMPUTED_VALUE"""),"Persiana Del Nhr 8978685803")</f>
        <v>Persiana Del Nhr 8978685803</v>
      </c>
      <c r="C10589" s="380" t="str">
        <f>IFERROR(__xludf.DUMMYFUNCTION("""COMPUTED_VALUE"""),"70006014")</f>
        <v>70006014</v>
      </c>
      <c r="D10589" s="380" t="s">
        <v>767</v>
      </c>
      <c r="E10589" s="380" t="s">
        <v>786</v>
      </c>
      <c r="F10589" s="380" t="s">
        <v>792</v>
      </c>
      <c r="G10589" s="380" t="s">
        <v>1267</v>
      </c>
      <c r="H10589" s="380" t="s">
        <v>771</v>
      </c>
      <c r="I10589" s="380" t="s">
        <v>788</v>
      </c>
      <c r="J10589" s="380" t="s">
        <v>773</v>
      </c>
      <c r="K10589" s="381">
        <v>0.0</v>
      </c>
      <c r="L10589" s="382">
        <v>1.0</v>
      </c>
    </row>
    <row r="10590">
      <c r="A10590" s="380" t="s">
        <v>11464</v>
      </c>
      <c r="B10590" s="380" t="str">
        <f>IFERROR(__xludf.DUMMYFUNCTION("""COMPUTED_VALUE"""),"Vaso Sedimetador COMB Nhr 8973166300")</f>
        <v>Vaso Sedimetador COMB Nhr 8973166300</v>
      </c>
      <c r="C10590" s="380" t="str">
        <f>IFERROR(__xludf.DUMMYFUNCTION("""COMPUTED_VALUE"""),"70006015")</f>
        <v>70006015</v>
      </c>
      <c r="D10590" s="380" t="s">
        <v>767</v>
      </c>
      <c r="E10590" s="380" t="s">
        <v>786</v>
      </c>
      <c r="F10590" s="380" t="s">
        <v>787</v>
      </c>
      <c r="G10590" s="380" t="s">
        <v>1267</v>
      </c>
      <c r="H10590" s="380" t="s">
        <v>771</v>
      </c>
      <c r="I10590" s="380" t="s">
        <v>788</v>
      </c>
      <c r="J10590" s="380" t="s">
        <v>773</v>
      </c>
      <c r="K10590" s="381">
        <v>0.0</v>
      </c>
      <c r="L10590" s="382">
        <v>1.0</v>
      </c>
    </row>
    <row r="10591">
      <c r="A10591" s="380" t="s">
        <v>11465</v>
      </c>
      <c r="B10591" s="380" t="str">
        <f>IFERROR(__xludf.DUMMYFUNCTION("""COMPUTED_VALUE"""),"Hoja Resorte Del Nkr-Npr 0722934/5")</f>
        <v>Hoja Resorte Del Nkr-Npr 0722934/5</v>
      </c>
      <c r="C10591" s="380" t="str">
        <f>IFERROR(__xludf.DUMMYFUNCTION("""COMPUTED_VALUE"""),"70006016")</f>
        <v>70006016</v>
      </c>
      <c r="D10591" s="380" t="s">
        <v>767</v>
      </c>
      <c r="E10591" s="380" t="s">
        <v>786</v>
      </c>
      <c r="F10591" s="380" t="s">
        <v>1039</v>
      </c>
      <c r="G10591" s="380" t="s">
        <v>1267</v>
      </c>
      <c r="H10591" s="380" t="s">
        <v>771</v>
      </c>
      <c r="I10591" s="380" t="s">
        <v>788</v>
      </c>
      <c r="J10591" s="380" t="s">
        <v>773</v>
      </c>
      <c r="K10591" s="381">
        <v>0.0</v>
      </c>
      <c r="L10591" s="382">
        <v>1.0</v>
      </c>
    </row>
    <row r="10592">
      <c r="A10592" s="380" t="s">
        <v>11466</v>
      </c>
      <c r="B10592" s="380" t="str">
        <f>IFERROR(__xludf.DUMMYFUNCTION("""COMPUTED_VALUE"""),"Pasador SOP Amortiguador Kw 3000100562")</f>
        <v>Pasador SOP Amortiguador Kw 3000100562</v>
      </c>
      <c r="C10592" s="380" t="str">
        <f>IFERROR(__xludf.DUMMYFUNCTION("""COMPUTED_VALUE"""),"70006017")</f>
        <v>70006017</v>
      </c>
      <c r="D10592" s="380" t="s">
        <v>767</v>
      </c>
      <c r="E10592" s="380" t="s">
        <v>786</v>
      </c>
      <c r="F10592" s="380" t="s">
        <v>1039</v>
      </c>
      <c r="G10592" s="380" t="s">
        <v>1267</v>
      </c>
      <c r="H10592" s="380" t="s">
        <v>771</v>
      </c>
      <c r="I10592" s="380" t="s">
        <v>788</v>
      </c>
      <c r="J10592" s="380" t="s">
        <v>773</v>
      </c>
      <c r="K10592" s="381">
        <v>0.0</v>
      </c>
      <c r="L10592" s="382">
        <v>1.0</v>
      </c>
    </row>
    <row r="10593">
      <c r="A10593" s="380" t="s">
        <v>11467</v>
      </c>
      <c r="B10593" s="380" t="str">
        <f>IFERROR(__xludf.DUMMYFUNCTION("""COMPUTED_VALUE"""),"Bomper Del Nhr 8975826310")</f>
        <v>Bomper Del Nhr 8975826310</v>
      </c>
      <c r="C10593" s="380" t="str">
        <f>IFERROR(__xludf.DUMMYFUNCTION("""COMPUTED_VALUE"""),"70006018")</f>
        <v>70006018</v>
      </c>
      <c r="D10593" s="380" t="s">
        <v>767</v>
      </c>
      <c r="E10593" s="380" t="s">
        <v>786</v>
      </c>
      <c r="F10593" s="380" t="s">
        <v>792</v>
      </c>
      <c r="G10593" s="380" t="s">
        <v>1267</v>
      </c>
      <c r="H10593" s="380" t="s">
        <v>771</v>
      </c>
      <c r="I10593" s="380" t="s">
        <v>788</v>
      </c>
      <c r="J10593" s="380" t="s">
        <v>773</v>
      </c>
      <c r="K10593" s="381">
        <v>0.0</v>
      </c>
      <c r="L10593" s="382">
        <v>1.0</v>
      </c>
    </row>
    <row r="10594">
      <c r="A10594" s="380" t="s">
        <v>11468</v>
      </c>
      <c r="B10594" s="380" t="str">
        <f>IFERROR(__xludf.DUMMYFUNCTION("""COMPUTED_VALUE"""),"Abrazadera Cremallera 8")</f>
        <v>Abrazadera Cremallera 8</v>
      </c>
      <c r="C10594" s="380" t="str">
        <f>IFERROR(__xludf.DUMMYFUNCTION("""COMPUTED_VALUE"""),"70006019")</f>
        <v>70006019</v>
      </c>
      <c r="D10594" s="380" t="s">
        <v>767</v>
      </c>
      <c r="E10594" s="380" t="s">
        <v>786</v>
      </c>
      <c r="F10594" s="380" t="s">
        <v>989</v>
      </c>
      <c r="G10594" s="380" t="s">
        <v>1267</v>
      </c>
      <c r="H10594" s="380" t="s">
        <v>771</v>
      </c>
      <c r="I10594" s="380" t="s">
        <v>788</v>
      </c>
      <c r="J10594" s="380" t="s">
        <v>773</v>
      </c>
      <c r="K10594" s="381">
        <v>2618.0</v>
      </c>
      <c r="L10594" s="382">
        <v>1.0</v>
      </c>
    </row>
    <row r="10595">
      <c r="A10595" s="380" t="s">
        <v>11469</v>
      </c>
      <c r="B10595" s="380" t="str">
        <f>IFERROR(__xludf.DUMMYFUNCTION("""COMPUTED_VALUE"""),"Lampara Principal Izq Nhr 8978550484")</f>
        <v>Lampara Principal Izq Nhr 8978550484</v>
      </c>
      <c r="C10595" s="380" t="str">
        <f>IFERROR(__xludf.DUMMYFUNCTION("""COMPUTED_VALUE"""),"70006020")</f>
        <v>70006020</v>
      </c>
      <c r="D10595" s="380" t="s">
        <v>767</v>
      </c>
      <c r="E10595" s="380" t="s">
        <v>786</v>
      </c>
      <c r="F10595" s="380" t="s">
        <v>998</v>
      </c>
      <c r="G10595" s="380" t="s">
        <v>1267</v>
      </c>
      <c r="H10595" s="380" t="s">
        <v>771</v>
      </c>
      <c r="I10595" s="380" t="s">
        <v>788</v>
      </c>
      <c r="J10595" s="380" t="s">
        <v>773</v>
      </c>
      <c r="K10595" s="381">
        <v>0.0</v>
      </c>
      <c r="L10595" s="382">
        <v>1.0</v>
      </c>
    </row>
    <row r="10596">
      <c r="A10596" s="380" t="s">
        <v>11470</v>
      </c>
      <c r="B10596" s="380" t="str">
        <f>IFERROR(__xludf.DUMMYFUNCTION("""COMPUTED_VALUE"""),"Piñon Pata Trailer Inca Xd-V06606")</f>
        <v>Piñon Pata Trailer Inca Xd-V06606</v>
      </c>
      <c r="C10596" s="380" t="str">
        <f>IFERROR(__xludf.DUMMYFUNCTION("""COMPUTED_VALUE"""),"70006021")</f>
        <v>70006021</v>
      </c>
      <c r="D10596" s="380" t="s">
        <v>767</v>
      </c>
      <c r="E10596" s="380" t="s">
        <v>786</v>
      </c>
      <c r="F10596" s="380" t="s">
        <v>792</v>
      </c>
      <c r="G10596" s="380" t="s">
        <v>1267</v>
      </c>
      <c r="H10596" s="380" t="s">
        <v>771</v>
      </c>
      <c r="I10596" s="380" t="s">
        <v>788</v>
      </c>
      <c r="J10596" s="380" t="s">
        <v>773</v>
      </c>
      <c r="K10596" s="381">
        <v>0.0</v>
      </c>
      <c r="L10596" s="382">
        <v>1.0</v>
      </c>
    </row>
    <row r="10597">
      <c r="A10597" s="380" t="s">
        <v>11471</v>
      </c>
      <c r="B10597" s="380" t="str">
        <f>IFERROR(__xludf.DUMMYFUNCTION("""COMPUTED_VALUE"""),"Piñon Pata Trailer Inca Xd-V06603")</f>
        <v>Piñon Pata Trailer Inca Xd-V06603</v>
      </c>
      <c r="C10597" s="380" t="str">
        <f>IFERROR(__xludf.DUMMYFUNCTION("""COMPUTED_VALUE"""),"70006022")</f>
        <v>70006022</v>
      </c>
      <c r="D10597" s="380" t="s">
        <v>767</v>
      </c>
      <c r="E10597" s="380" t="s">
        <v>786</v>
      </c>
      <c r="F10597" s="380" t="s">
        <v>792</v>
      </c>
      <c r="G10597" s="380" t="s">
        <v>1267</v>
      </c>
      <c r="H10597" s="380" t="s">
        <v>771</v>
      </c>
      <c r="I10597" s="380" t="s">
        <v>788</v>
      </c>
      <c r="J10597" s="380" t="s">
        <v>773</v>
      </c>
      <c r="K10597" s="381">
        <v>0.0</v>
      </c>
      <c r="L10597" s="382">
        <v>1.0</v>
      </c>
    </row>
    <row r="10598">
      <c r="A10598" s="380" t="s">
        <v>11472</v>
      </c>
      <c r="B10598" s="380" t="str">
        <f>IFERROR(__xludf.DUMMYFUNCTION("""COMPUTED_VALUE"""),"Terminal BRR Transversal Izq E3hz3a131a")</f>
        <v>Terminal BRR Transversal Izq E3hz3a131a</v>
      </c>
      <c r="C10598" s="380" t="str">
        <f>IFERROR(__xludf.DUMMYFUNCTION("""COMPUTED_VALUE"""),"70006023")</f>
        <v>70006023</v>
      </c>
      <c r="D10598" s="380" t="s">
        <v>767</v>
      </c>
      <c r="E10598" s="380" t="s">
        <v>786</v>
      </c>
      <c r="F10598" s="380" t="s">
        <v>1020</v>
      </c>
      <c r="G10598" s="380" t="s">
        <v>1267</v>
      </c>
      <c r="H10598" s="380" t="s">
        <v>771</v>
      </c>
      <c r="I10598" s="380" t="s">
        <v>788</v>
      </c>
      <c r="J10598" s="380" t="s">
        <v>773</v>
      </c>
      <c r="K10598" s="381">
        <v>0.0</v>
      </c>
      <c r="L10598" s="382">
        <v>1.0</v>
      </c>
    </row>
    <row r="10599">
      <c r="A10599" s="380" t="s">
        <v>11473</v>
      </c>
      <c r="B10599" s="380" t="str">
        <f>IFERROR(__xludf.DUMMYFUNCTION("""COMPUTED_VALUE"""),"Oring Tapa Frontal Npr 8970287481")</f>
        <v>Oring Tapa Frontal Npr 8970287481</v>
      </c>
      <c r="C10599" s="380" t="str">
        <f>IFERROR(__xludf.DUMMYFUNCTION("""COMPUTED_VALUE"""),"70006024")</f>
        <v>70006024</v>
      </c>
      <c r="D10599" s="380" t="s">
        <v>767</v>
      </c>
      <c r="E10599" s="380" t="s">
        <v>786</v>
      </c>
      <c r="F10599" s="380" t="s">
        <v>787</v>
      </c>
      <c r="G10599" s="380" t="s">
        <v>1267</v>
      </c>
      <c r="H10599" s="380" t="s">
        <v>771</v>
      </c>
      <c r="I10599" s="380" t="s">
        <v>788</v>
      </c>
      <c r="J10599" s="380" t="s">
        <v>773</v>
      </c>
      <c r="K10599" s="381">
        <v>0.0</v>
      </c>
      <c r="L10599" s="382">
        <v>1.0</v>
      </c>
    </row>
    <row r="10600">
      <c r="A10600" s="380" t="s">
        <v>11474</v>
      </c>
      <c r="B10600" s="380" t="str">
        <f>IFERROR(__xludf.DUMMYFUNCTION("""COMPUTED_VALUE"""),"Oring Tapa Del Reparticion Np 9095613180")</f>
        <v>Oring Tapa Del Reparticion Np 9095613180</v>
      </c>
      <c r="C10600" s="380" t="str">
        <f>IFERROR(__xludf.DUMMYFUNCTION("""COMPUTED_VALUE"""),"70006025")</f>
        <v>70006025</v>
      </c>
      <c r="D10600" s="380" t="s">
        <v>767</v>
      </c>
      <c r="E10600" s="380" t="s">
        <v>786</v>
      </c>
      <c r="F10600" s="380" t="s">
        <v>787</v>
      </c>
      <c r="G10600" s="380" t="s">
        <v>1267</v>
      </c>
      <c r="H10600" s="380" t="s">
        <v>771</v>
      </c>
      <c r="I10600" s="380" t="s">
        <v>788</v>
      </c>
      <c r="J10600" s="380" t="s">
        <v>773</v>
      </c>
      <c r="K10600" s="381">
        <v>0.0</v>
      </c>
      <c r="L10600" s="382">
        <v>1.0</v>
      </c>
    </row>
    <row r="10601">
      <c r="A10601" s="380" t="s">
        <v>11475</v>
      </c>
      <c r="B10601" s="380" t="str">
        <f>IFERROR(__xludf.DUMMYFUNCTION("""COMPUTED_VALUE"""),"Boton Valvula Seguridad Amarillo 248433")</f>
        <v>Boton Valvula Seguridad Amarillo 248433</v>
      </c>
      <c r="C10601" s="380" t="str">
        <f>IFERROR(__xludf.DUMMYFUNCTION("""COMPUTED_VALUE"""),"70006026")</f>
        <v>70006026</v>
      </c>
      <c r="D10601" s="380" t="s">
        <v>767</v>
      </c>
      <c r="E10601" s="380" t="s">
        <v>786</v>
      </c>
      <c r="F10601" s="380" t="s">
        <v>1017</v>
      </c>
      <c r="G10601" s="380" t="s">
        <v>1267</v>
      </c>
      <c r="H10601" s="380" t="s">
        <v>771</v>
      </c>
      <c r="I10601" s="380" t="s">
        <v>788</v>
      </c>
      <c r="J10601" s="380" t="s">
        <v>773</v>
      </c>
      <c r="K10601" s="381">
        <v>0.0</v>
      </c>
      <c r="L10601" s="382">
        <v>1.0</v>
      </c>
    </row>
    <row r="10602">
      <c r="A10602" s="380" t="s">
        <v>11476</v>
      </c>
      <c r="B10602" s="380" t="str">
        <f>IFERROR(__xludf.DUMMYFUNCTION("""COMPUTED_VALUE"""),"Set Rodillo Trailer 414 218248/10")</f>
        <v>Set Rodillo Trailer 414 218248/10</v>
      </c>
      <c r="C10602" s="380" t="str">
        <f>IFERROR(__xludf.DUMMYFUNCTION("""COMPUTED_VALUE"""),"70006027")</f>
        <v>70006027</v>
      </c>
      <c r="D10602" s="380" t="s">
        <v>767</v>
      </c>
      <c r="E10602" s="380" t="s">
        <v>786</v>
      </c>
      <c r="F10602" s="380" t="s">
        <v>1039</v>
      </c>
      <c r="G10602" s="380" t="s">
        <v>1267</v>
      </c>
      <c r="H10602" s="380" t="s">
        <v>771</v>
      </c>
      <c r="I10602" s="380" t="s">
        <v>788</v>
      </c>
      <c r="J10602" s="380" t="s">
        <v>773</v>
      </c>
      <c r="K10602" s="381">
        <v>0.0</v>
      </c>
      <c r="L10602" s="382">
        <v>1.0</v>
      </c>
    </row>
    <row r="10603">
      <c r="A10603" s="380" t="s">
        <v>11477</v>
      </c>
      <c r="B10603" s="380" t="str">
        <f>IFERROR(__xludf.DUMMYFUNCTION("""COMPUTED_VALUE"""),"Boton Valvula Seguridad Rojo 4175")</f>
        <v>Boton Valvula Seguridad Rojo 4175</v>
      </c>
      <c r="C10603" s="380" t="str">
        <f>IFERROR(__xludf.DUMMYFUNCTION("""COMPUTED_VALUE"""),"70006028")</f>
        <v>70006028</v>
      </c>
      <c r="D10603" s="380" t="s">
        <v>767</v>
      </c>
      <c r="E10603" s="380" t="s">
        <v>786</v>
      </c>
      <c r="F10603" s="380" t="s">
        <v>1017</v>
      </c>
      <c r="G10603" s="380" t="s">
        <v>1267</v>
      </c>
      <c r="H10603" s="380" t="s">
        <v>771</v>
      </c>
      <c r="I10603" s="380" t="s">
        <v>788</v>
      </c>
      <c r="J10603" s="380" t="s">
        <v>773</v>
      </c>
      <c r="K10603" s="381">
        <v>0.0</v>
      </c>
      <c r="L10603" s="382">
        <v>1.0</v>
      </c>
    </row>
    <row r="10604">
      <c r="A10604" s="380" t="s">
        <v>11478</v>
      </c>
      <c r="B10604" s="380" t="str">
        <f>IFERROR(__xludf.DUMMYFUNCTION("""COMPUTED_VALUE"""),"Reata Cinturon Seguridad De 5 Cms")</f>
        <v>Reata Cinturon Seguridad De 5 Cms</v>
      </c>
      <c r="C10604" s="380" t="str">
        <f>IFERROR(__xludf.DUMMYFUNCTION("""COMPUTED_VALUE"""),"70006029")</f>
        <v>70006029</v>
      </c>
      <c r="D10604" s="380" t="s">
        <v>767</v>
      </c>
      <c r="E10604" s="380" t="s">
        <v>786</v>
      </c>
      <c r="F10604" s="380" t="s">
        <v>792</v>
      </c>
      <c r="G10604" s="380" t="s">
        <v>1267</v>
      </c>
      <c r="H10604" s="380" t="s">
        <v>771</v>
      </c>
      <c r="I10604" s="380" t="s">
        <v>788</v>
      </c>
      <c r="J10604" s="380" t="s">
        <v>773</v>
      </c>
      <c r="K10604" s="381">
        <v>0.0</v>
      </c>
      <c r="L10604" s="382">
        <v>1.0</v>
      </c>
    </row>
    <row r="10605">
      <c r="A10605" s="380" t="s">
        <v>11479</v>
      </c>
      <c r="B10605" s="380" t="str">
        <f>IFERROR(__xludf.DUMMYFUNCTION("""COMPUTED_VALUE"""),"Empaquet Valvula Mono-Extra SB N14 K2054")</f>
        <v>Empaquet Valvula Mono-Extra SB N14 K2054</v>
      </c>
      <c r="C10605" s="380" t="str">
        <f>IFERROR(__xludf.DUMMYFUNCTION("""COMPUTED_VALUE"""),"70006030")</f>
        <v>70006030</v>
      </c>
      <c r="D10605" s="380" t="s">
        <v>767</v>
      </c>
      <c r="E10605" s="380" t="s">
        <v>786</v>
      </c>
      <c r="F10605" s="380" t="s">
        <v>928</v>
      </c>
      <c r="G10605" s="380" t="s">
        <v>1267</v>
      </c>
      <c r="H10605" s="380" t="s">
        <v>771</v>
      </c>
      <c r="I10605" s="380" t="s">
        <v>788</v>
      </c>
      <c r="J10605" s="380" t="s">
        <v>773</v>
      </c>
      <c r="K10605" s="381">
        <v>0.0</v>
      </c>
      <c r="L10605" s="382">
        <v>1.0</v>
      </c>
    </row>
    <row r="10606">
      <c r="A10606" s="380" t="s">
        <v>11480</v>
      </c>
      <c r="B10606" s="380" t="str">
        <f>IFERROR(__xludf.DUMMYFUNCTION("""COMPUTED_VALUE"""),"Rodillo Agujas Alternador SB N14 Sch1413")</f>
        <v>Rodillo Agujas Alternador SB N14 Sch1413</v>
      </c>
      <c r="C10606" s="380" t="str">
        <f>IFERROR(__xludf.DUMMYFUNCTION("""COMPUTED_VALUE"""),"70006031")</f>
        <v>70006031</v>
      </c>
      <c r="D10606" s="380" t="s">
        <v>767</v>
      </c>
      <c r="E10606" s="380" t="s">
        <v>786</v>
      </c>
      <c r="F10606" s="380" t="s">
        <v>998</v>
      </c>
      <c r="G10606" s="380" t="s">
        <v>1267</v>
      </c>
      <c r="H10606" s="380" t="s">
        <v>771</v>
      </c>
      <c r="I10606" s="380" t="s">
        <v>788</v>
      </c>
      <c r="J10606" s="380" t="s">
        <v>773</v>
      </c>
      <c r="K10606" s="381">
        <v>0.0</v>
      </c>
      <c r="L10606" s="382">
        <v>1.0</v>
      </c>
    </row>
    <row r="10607">
      <c r="A10607" s="380" t="s">
        <v>11481</v>
      </c>
      <c r="B10607" s="380" t="str">
        <f>IFERROR(__xludf.DUMMYFUNCTION("""COMPUTED_VALUE"""),"Varilla Medidora Aceite Hi466 1820396c3")</f>
        <v>Varilla Medidora Aceite Hi466 1820396c3</v>
      </c>
      <c r="C10607" s="380" t="str">
        <f>IFERROR(__xludf.DUMMYFUNCTION("""COMPUTED_VALUE"""),"70006032")</f>
        <v>70006032</v>
      </c>
      <c r="D10607" s="380" t="s">
        <v>767</v>
      </c>
      <c r="E10607" s="380" t="s">
        <v>786</v>
      </c>
      <c r="F10607" s="380" t="s">
        <v>787</v>
      </c>
      <c r="G10607" s="380" t="s">
        <v>1267</v>
      </c>
      <c r="H10607" s="380" t="s">
        <v>771</v>
      </c>
      <c r="I10607" s="380" t="s">
        <v>788</v>
      </c>
      <c r="J10607" s="380" t="s">
        <v>773</v>
      </c>
      <c r="K10607" s="381">
        <v>0.0</v>
      </c>
      <c r="L10607" s="382">
        <v>1.0</v>
      </c>
    </row>
    <row r="10608">
      <c r="A10608" s="380" t="s">
        <v>11482</v>
      </c>
      <c r="B10608" s="380" t="str">
        <f>IFERROR(__xludf.DUMMYFUNCTION("""COMPUTED_VALUE"""),"Medidor De COMB Nhr-Nkr Isuzu 94316190")</f>
        <v>Medidor De COMB Nhr-Nkr Isuzu 94316190</v>
      </c>
      <c r="C10608" s="380" t="str">
        <f>IFERROR(__xludf.DUMMYFUNCTION("""COMPUTED_VALUE"""),"70006033")</f>
        <v>70006033</v>
      </c>
      <c r="D10608" s="380" t="s">
        <v>767</v>
      </c>
      <c r="E10608" s="380" t="s">
        <v>786</v>
      </c>
      <c r="F10608" s="380" t="s">
        <v>998</v>
      </c>
      <c r="G10608" s="380" t="s">
        <v>1267</v>
      </c>
      <c r="H10608" s="380" t="s">
        <v>771</v>
      </c>
      <c r="I10608" s="380" t="s">
        <v>788</v>
      </c>
      <c r="J10608" s="380" t="s">
        <v>773</v>
      </c>
      <c r="K10608" s="381">
        <v>0.0</v>
      </c>
      <c r="L10608" s="382">
        <v>1.0</v>
      </c>
    </row>
    <row r="10609">
      <c r="A10609" s="380" t="s">
        <v>11483</v>
      </c>
      <c r="B10609" s="380" t="str">
        <f>IFERROR(__xludf.DUMMYFUNCTION("""COMPUTED_VALUE"""),"Bomba Agua Motor Nhr 8971050123")</f>
        <v>Bomba Agua Motor Nhr 8971050123</v>
      </c>
      <c r="C10609" s="380" t="str">
        <f>IFERROR(__xludf.DUMMYFUNCTION("""COMPUTED_VALUE"""),"70006034")</f>
        <v>70006034</v>
      </c>
      <c r="D10609" s="380" t="s">
        <v>767</v>
      </c>
      <c r="E10609" s="380" t="s">
        <v>786</v>
      </c>
      <c r="F10609" s="380" t="s">
        <v>787</v>
      </c>
      <c r="G10609" s="380" t="s">
        <v>1267</v>
      </c>
      <c r="H10609" s="380" t="s">
        <v>771</v>
      </c>
      <c r="I10609" s="380" t="s">
        <v>788</v>
      </c>
      <c r="J10609" s="380" t="s">
        <v>773</v>
      </c>
      <c r="K10609" s="381">
        <v>0.0</v>
      </c>
      <c r="L10609" s="382">
        <v>1.0</v>
      </c>
    </row>
    <row r="10610">
      <c r="A10610" s="380" t="s">
        <v>11484</v>
      </c>
      <c r="B10610" s="380" t="str">
        <f>IFERROR(__xludf.DUMMYFUNCTION("""COMPUTED_VALUE"""),"Terminal Control Cambios Nhr 1097601181")</f>
        <v>Terminal Control Cambios Nhr 1097601181</v>
      </c>
      <c r="C10610" s="380" t="str">
        <f>IFERROR(__xludf.DUMMYFUNCTION("""COMPUTED_VALUE"""),"70006035")</f>
        <v>70006035</v>
      </c>
      <c r="D10610" s="380" t="s">
        <v>767</v>
      </c>
      <c r="E10610" s="380" t="s">
        <v>786</v>
      </c>
      <c r="F10610" s="380" t="s">
        <v>787</v>
      </c>
      <c r="G10610" s="380" t="s">
        <v>1267</v>
      </c>
      <c r="H10610" s="380" t="s">
        <v>771</v>
      </c>
      <c r="I10610" s="380" t="s">
        <v>788</v>
      </c>
      <c r="J10610" s="380" t="s">
        <v>773</v>
      </c>
      <c r="K10610" s="381">
        <v>0.0</v>
      </c>
      <c r="L10610" s="382">
        <v>1.0</v>
      </c>
    </row>
    <row r="10611">
      <c r="A10611" s="380" t="s">
        <v>11485</v>
      </c>
      <c r="B10611" s="380" t="str">
        <f>IFERROR(__xludf.DUMMYFUNCTION("""COMPUTED_VALUE"""),"Gancho Tensor Capo KWh L56 0001")</f>
        <v>Gancho Tensor Capo KWh L56 0001</v>
      </c>
      <c r="C10611" s="380" t="str">
        <f>IFERROR(__xludf.DUMMYFUNCTION("""COMPUTED_VALUE"""),"70006036")</f>
        <v>70006036</v>
      </c>
      <c r="D10611" s="380" t="s">
        <v>767</v>
      </c>
      <c r="E10611" s="380" t="s">
        <v>786</v>
      </c>
      <c r="F10611" s="380" t="s">
        <v>792</v>
      </c>
      <c r="G10611" s="380" t="s">
        <v>1267</v>
      </c>
      <c r="H10611" s="380" t="s">
        <v>771</v>
      </c>
      <c r="I10611" s="380" t="s">
        <v>788</v>
      </c>
      <c r="J10611" s="380" t="s">
        <v>773</v>
      </c>
      <c r="K10611" s="381">
        <v>0.0</v>
      </c>
      <c r="L10611" s="382">
        <v>1.0</v>
      </c>
    </row>
    <row r="10612">
      <c r="A10612" s="380" t="s">
        <v>11486</v>
      </c>
      <c r="B10612" s="380" t="str">
        <f>IFERROR(__xludf.DUMMYFUNCTION("""COMPUTED_VALUE"""),"RET Sin Fin CJ DIRc Npr Nkr 8941180910")</f>
        <v>RET Sin Fin CJ DIRc Npr Nkr 8941180910</v>
      </c>
      <c r="C10612" s="380" t="str">
        <f>IFERROR(__xludf.DUMMYFUNCTION("""COMPUTED_VALUE"""),"70006037")</f>
        <v>70006037</v>
      </c>
      <c r="D10612" s="380" t="s">
        <v>767</v>
      </c>
      <c r="E10612" s="380" t="s">
        <v>786</v>
      </c>
      <c r="F10612" s="380" t="s">
        <v>1020</v>
      </c>
      <c r="G10612" s="380" t="s">
        <v>1267</v>
      </c>
      <c r="H10612" s="380" t="s">
        <v>771</v>
      </c>
      <c r="I10612" s="380" t="s">
        <v>788</v>
      </c>
      <c r="J10612" s="380" t="s">
        <v>773</v>
      </c>
      <c r="K10612" s="381">
        <v>0.0</v>
      </c>
      <c r="L10612" s="382">
        <v>1.0</v>
      </c>
    </row>
    <row r="10613">
      <c r="A10613" s="380" t="s">
        <v>11487</v>
      </c>
      <c r="B10613" s="380" t="str">
        <f>IFERROR(__xludf.DUMMYFUNCTION("""COMPUTED_VALUE"""),"Bocel Farola KWh 320483")</f>
        <v>Bocel Farola KWh 320483</v>
      </c>
      <c r="C10613" s="380" t="str">
        <f>IFERROR(__xludf.DUMMYFUNCTION("""COMPUTED_VALUE"""),"70006038")</f>
        <v>70006038</v>
      </c>
      <c r="D10613" s="380" t="s">
        <v>767</v>
      </c>
      <c r="E10613" s="380" t="s">
        <v>786</v>
      </c>
      <c r="F10613" s="380" t="s">
        <v>792</v>
      </c>
      <c r="G10613" s="380" t="s">
        <v>1267</v>
      </c>
      <c r="H10613" s="380" t="s">
        <v>771</v>
      </c>
      <c r="I10613" s="380" t="s">
        <v>788</v>
      </c>
      <c r="J10613" s="380" t="s">
        <v>773</v>
      </c>
      <c r="K10613" s="381">
        <v>0.0</v>
      </c>
      <c r="L10613" s="382">
        <v>1.0</v>
      </c>
    </row>
    <row r="10614">
      <c r="A10614" s="380" t="s">
        <v>11488</v>
      </c>
      <c r="B10614" s="380" t="str">
        <f>IFERROR(__xludf.DUMMYFUNCTION("""COMPUTED_VALUE"""),"Sensor Temperatura Agua Npr 8971703270")</f>
        <v>Sensor Temperatura Agua Npr 8971703270</v>
      </c>
      <c r="C10614" s="380" t="str">
        <f>IFERROR(__xludf.DUMMYFUNCTION("""COMPUTED_VALUE"""),"70006039")</f>
        <v>70006039</v>
      </c>
      <c r="D10614" s="380" t="s">
        <v>767</v>
      </c>
      <c r="E10614" s="380" t="s">
        <v>786</v>
      </c>
      <c r="F10614" s="380" t="s">
        <v>998</v>
      </c>
      <c r="G10614" s="380" t="s">
        <v>1267</v>
      </c>
      <c r="H10614" s="380" t="s">
        <v>771</v>
      </c>
      <c r="I10614" s="380" t="s">
        <v>788</v>
      </c>
      <c r="J10614" s="380" t="s">
        <v>773</v>
      </c>
      <c r="K10614" s="381">
        <v>0.0</v>
      </c>
      <c r="L10614" s="382">
        <v>1.0</v>
      </c>
    </row>
    <row r="10615">
      <c r="A10615" s="380" t="s">
        <v>11489</v>
      </c>
      <c r="B10615" s="380" t="str">
        <f>IFERROR(__xludf.DUMMYFUNCTION("""COMPUTED_VALUE"""),"Unidad Farola Con carcasa KWh 9k2568802")</f>
        <v>Unidad Farola Con carcasa KWh 9k2568802</v>
      </c>
      <c r="C10615" s="380" t="str">
        <f>IFERROR(__xludf.DUMMYFUNCTION("""COMPUTED_VALUE"""),"70006040")</f>
        <v>70006040</v>
      </c>
      <c r="D10615" s="380" t="s">
        <v>767</v>
      </c>
      <c r="E10615" s="380" t="s">
        <v>786</v>
      </c>
      <c r="F10615" s="380" t="s">
        <v>792</v>
      </c>
      <c r="G10615" s="380" t="s">
        <v>1267</v>
      </c>
      <c r="H10615" s="380" t="s">
        <v>771</v>
      </c>
      <c r="I10615" s="380" t="s">
        <v>788</v>
      </c>
      <c r="J10615" s="380" t="s">
        <v>773</v>
      </c>
      <c r="K10615" s="381">
        <v>0.0</v>
      </c>
      <c r="L10615" s="382">
        <v>1.0</v>
      </c>
    </row>
    <row r="10616">
      <c r="A10616" s="380" t="s">
        <v>11490</v>
      </c>
      <c r="B10616" s="380" t="str">
        <f>IFERROR(__xludf.DUMMYFUNCTION("""COMPUTED_VALUE"""),"Amortiguador Del Hi4300 3533357c1")</f>
        <v>Amortiguador Del Hi4300 3533357c1</v>
      </c>
      <c r="C10616" s="380" t="str">
        <f>IFERROR(__xludf.DUMMYFUNCTION("""COMPUTED_VALUE"""),"70006041")</f>
        <v>70006041</v>
      </c>
      <c r="D10616" s="380" t="s">
        <v>767</v>
      </c>
      <c r="E10616" s="380" t="s">
        <v>786</v>
      </c>
      <c r="F10616" s="380" t="s">
        <v>1039</v>
      </c>
      <c r="G10616" s="380" t="s">
        <v>1267</v>
      </c>
      <c r="H10616" s="380" t="s">
        <v>771</v>
      </c>
      <c r="I10616" s="380" t="s">
        <v>788</v>
      </c>
      <c r="J10616" s="380" t="s">
        <v>773</v>
      </c>
      <c r="K10616" s="381">
        <v>0.0</v>
      </c>
      <c r="L10616" s="382">
        <v>1.0</v>
      </c>
    </row>
    <row r="10617">
      <c r="A10617" s="380" t="s">
        <v>11491</v>
      </c>
      <c r="B10617" s="380" t="str">
        <f>IFERROR(__xludf.DUMMYFUNCTION("""COMPUTED_VALUE"""),"Manija Ext Pta Manija Exterior Pta S. C.")</f>
        <v>Manija Ext Pta Manija Exterior Pta S. C.</v>
      </c>
      <c r="C10617" s="380" t="str">
        <f>IFERROR(__xludf.DUMMYFUNCTION("""COMPUTED_VALUE"""),"70006042")</f>
        <v>70006042</v>
      </c>
      <c r="D10617" s="380" t="s">
        <v>767</v>
      </c>
      <c r="E10617" s="380" t="s">
        <v>786</v>
      </c>
      <c r="F10617" s="380" t="s">
        <v>792</v>
      </c>
      <c r="G10617" s="380" t="s">
        <v>1267</v>
      </c>
      <c r="H10617" s="380" t="s">
        <v>771</v>
      </c>
      <c r="I10617" s="380" t="s">
        <v>788</v>
      </c>
      <c r="J10617" s="380" t="s">
        <v>773</v>
      </c>
      <c r="K10617" s="381">
        <v>0.0</v>
      </c>
      <c r="L10617" s="382">
        <v>1.0</v>
      </c>
    </row>
    <row r="10618">
      <c r="A10618" s="380" t="s">
        <v>11492</v>
      </c>
      <c r="B10618" s="380" t="str">
        <f>IFERROR(__xludf.DUMMYFUNCTION("""COMPUTED_VALUE"""),"Brazo Plumilla Limpiabrisas SB 628060007")</f>
        <v>Brazo Plumilla Limpiabrisas SB 628060007</v>
      </c>
      <c r="C10618" s="380" t="str">
        <f>IFERROR(__xludf.DUMMYFUNCTION("""COMPUTED_VALUE"""),"70006043")</f>
        <v>70006043</v>
      </c>
      <c r="D10618" s="380" t="s">
        <v>767</v>
      </c>
      <c r="E10618" s="380" t="s">
        <v>786</v>
      </c>
      <c r="F10618" s="380" t="s">
        <v>792</v>
      </c>
      <c r="G10618" s="380" t="s">
        <v>1267</v>
      </c>
      <c r="H10618" s="380" t="s">
        <v>771</v>
      </c>
      <c r="I10618" s="380" t="s">
        <v>788</v>
      </c>
      <c r="J10618" s="380" t="s">
        <v>773</v>
      </c>
      <c r="K10618" s="381">
        <v>0.0</v>
      </c>
      <c r="L10618" s="382">
        <v>1.0</v>
      </c>
    </row>
    <row r="10619">
      <c r="A10619" s="380" t="s">
        <v>11493</v>
      </c>
      <c r="B10619" s="380" t="str">
        <f>IFERROR(__xludf.DUMMYFUNCTION("""COMPUTED_VALUE"""),"Tobera Inyector Npr 1050173250")</f>
        <v>Tobera Inyector Npr 1050173250</v>
      </c>
      <c r="C10619" s="380" t="str">
        <f>IFERROR(__xludf.DUMMYFUNCTION("""COMPUTED_VALUE"""),"70006044")</f>
        <v>70006044</v>
      </c>
      <c r="D10619" s="380" t="s">
        <v>767</v>
      </c>
      <c r="E10619" s="380" t="s">
        <v>786</v>
      </c>
      <c r="F10619" s="380" t="s">
        <v>787</v>
      </c>
      <c r="G10619" s="380" t="s">
        <v>1267</v>
      </c>
      <c r="H10619" s="380" t="s">
        <v>771</v>
      </c>
      <c r="I10619" s="380" t="s">
        <v>788</v>
      </c>
      <c r="J10619" s="380" t="s">
        <v>773</v>
      </c>
      <c r="K10619" s="381">
        <v>0.0</v>
      </c>
      <c r="L10619" s="382">
        <v>1.0</v>
      </c>
    </row>
    <row r="10620">
      <c r="A10620" s="380" t="s">
        <v>11494</v>
      </c>
      <c r="B10620" s="380" t="str">
        <f>IFERROR(__xludf.DUMMYFUNCTION("""COMPUTED_VALUE"""),"Grapa MUE Del 9/16C2 1/2x6 Nk 9/16x21/2x")</f>
        <v>Grapa MUE Del 9/16C2 1/2x6 Nk 9/16x21/2x</v>
      </c>
      <c r="C10620" s="380" t="str">
        <f>IFERROR(__xludf.DUMMYFUNCTION("""COMPUTED_VALUE"""),"70006045")</f>
        <v>70006045</v>
      </c>
      <c r="D10620" s="380" t="s">
        <v>767</v>
      </c>
      <c r="E10620" s="380" t="s">
        <v>786</v>
      </c>
      <c r="F10620" s="380" t="s">
        <v>1039</v>
      </c>
      <c r="G10620" s="380" t="s">
        <v>1267</v>
      </c>
      <c r="H10620" s="380" t="s">
        <v>771</v>
      </c>
      <c r="I10620" s="380" t="s">
        <v>788</v>
      </c>
      <c r="J10620" s="380" t="s">
        <v>773</v>
      </c>
      <c r="K10620" s="381">
        <v>0.0</v>
      </c>
      <c r="L10620" s="382">
        <v>1.0</v>
      </c>
    </row>
    <row r="10621">
      <c r="A10621" s="380" t="s">
        <v>11495</v>
      </c>
      <c r="B10621" s="380" t="str">
        <f>IFERROR(__xludf.DUMMYFUNCTION("""COMPUTED_VALUE"""),"Tope Montaje Cabina Nkr 8970951481")</f>
        <v>Tope Montaje Cabina Nkr 8970951481</v>
      </c>
      <c r="C10621" s="380" t="str">
        <f>IFERROR(__xludf.DUMMYFUNCTION("""COMPUTED_VALUE"""),"70006046")</f>
        <v>70006046</v>
      </c>
      <c r="D10621" s="380" t="s">
        <v>767</v>
      </c>
      <c r="E10621" s="380" t="s">
        <v>786</v>
      </c>
      <c r="F10621" s="380" t="s">
        <v>792</v>
      </c>
      <c r="G10621" s="380" t="s">
        <v>1267</v>
      </c>
      <c r="H10621" s="380" t="s">
        <v>771</v>
      </c>
      <c r="I10621" s="380" t="s">
        <v>788</v>
      </c>
      <c r="J10621" s="380" t="s">
        <v>773</v>
      </c>
      <c r="K10621" s="381">
        <v>0.0</v>
      </c>
      <c r="L10621" s="382">
        <v>1.0</v>
      </c>
    </row>
    <row r="10622">
      <c r="A10622" s="380" t="s">
        <v>11496</v>
      </c>
      <c r="B10622" s="380" t="str">
        <f>IFERROR(__xludf.DUMMYFUNCTION("""COMPUTED_VALUE"""),"Terminal BRR Transversal Der E3hz3a130a")</f>
        <v>Terminal BRR Transversal Der E3hz3a130a</v>
      </c>
      <c r="C10622" s="380" t="str">
        <f>IFERROR(__xludf.DUMMYFUNCTION("""COMPUTED_VALUE"""),"70006047")</f>
        <v>70006047</v>
      </c>
      <c r="D10622" s="380" t="s">
        <v>767</v>
      </c>
      <c r="E10622" s="380" t="s">
        <v>786</v>
      </c>
      <c r="F10622" s="380" t="s">
        <v>1020</v>
      </c>
      <c r="G10622" s="380" t="s">
        <v>1267</v>
      </c>
      <c r="H10622" s="380" t="s">
        <v>771</v>
      </c>
      <c r="I10622" s="380" t="s">
        <v>788</v>
      </c>
      <c r="J10622" s="380" t="s">
        <v>773</v>
      </c>
      <c r="K10622" s="381">
        <v>0.0</v>
      </c>
      <c r="L10622" s="382">
        <v>1.0</v>
      </c>
    </row>
    <row r="10623">
      <c r="A10623" s="380" t="s">
        <v>11497</v>
      </c>
      <c r="B10623" s="380" t="str">
        <f>IFERROR(__xludf.DUMMYFUNCTION("""COMPUTED_VALUE"""),"Rodamiento Eje Tras Volswaguen 362a/368a")</f>
        <v>Rodamiento Eje Tras Volswaguen 362a/368a</v>
      </c>
      <c r="C10623" s="380" t="str">
        <f>IFERROR(__xludf.DUMMYFUNCTION("""COMPUTED_VALUE"""),"70006048")</f>
        <v>70006048</v>
      </c>
      <c r="D10623" s="380" t="s">
        <v>767</v>
      </c>
      <c r="E10623" s="380" t="s">
        <v>786</v>
      </c>
      <c r="F10623" s="380" t="s">
        <v>1039</v>
      </c>
      <c r="G10623" s="380" t="s">
        <v>1267</v>
      </c>
      <c r="H10623" s="380" t="s">
        <v>771</v>
      </c>
      <c r="I10623" s="380" t="s">
        <v>788</v>
      </c>
      <c r="J10623" s="380" t="s">
        <v>773</v>
      </c>
      <c r="K10623" s="381">
        <v>0.0</v>
      </c>
      <c r="L10623" s="382">
        <v>1.0</v>
      </c>
    </row>
    <row r="10624">
      <c r="A10624" s="380" t="s">
        <v>11498</v>
      </c>
      <c r="B10624" s="380" t="str">
        <f>IFERROR(__xludf.DUMMYFUNCTION("""COMPUTED_VALUE"""),"Oring Base Enfriador Aceite Gran 21254r1")</f>
        <v>Oring Base Enfriador Aceite Gran 21254r1</v>
      </c>
      <c r="C10624" s="380" t="str">
        <f>IFERROR(__xludf.DUMMYFUNCTION("""COMPUTED_VALUE"""),"70006049")</f>
        <v>70006049</v>
      </c>
      <c r="D10624" s="380" t="s">
        <v>767</v>
      </c>
      <c r="E10624" s="380" t="s">
        <v>786</v>
      </c>
      <c r="F10624" s="380" t="s">
        <v>787</v>
      </c>
      <c r="G10624" s="380" t="s">
        <v>1267</v>
      </c>
      <c r="H10624" s="380" t="s">
        <v>771</v>
      </c>
      <c r="I10624" s="380" t="s">
        <v>788</v>
      </c>
      <c r="J10624" s="380" t="s">
        <v>773</v>
      </c>
      <c r="K10624" s="381">
        <v>0.0</v>
      </c>
      <c r="L10624" s="382">
        <v>1.0</v>
      </c>
    </row>
    <row r="10625">
      <c r="A10625" s="380" t="s">
        <v>11499</v>
      </c>
      <c r="B10625" s="380" t="str">
        <f>IFERROR(__xludf.DUMMYFUNCTION("""COMPUTED_VALUE"""),"Disco Embrague Volkswagen 8 5 333006811")</f>
        <v>Disco Embrague Volkswagen 8 5 333006811</v>
      </c>
      <c r="C10625" s="380" t="str">
        <f>IFERROR(__xludf.DUMMYFUNCTION("""COMPUTED_VALUE"""),"70006050")</f>
        <v>70006050</v>
      </c>
      <c r="D10625" s="380" t="s">
        <v>767</v>
      </c>
      <c r="E10625" s="380" t="s">
        <v>786</v>
      </c>
      <c r="F10625" s="380" t="s">
        <v>5661</v>
      </c>
      <c r="G10625" s="380" t="s">
        <v>1267</v>
      </c>
      <c r="H10625" s="380" t="s">
        <v>771</v>
      </c>
      <c r="I10625" s="380" t="s">
        <v>788</v>
      </c>
      <c r="J10625" s="380" t="s">
        <v>773</v>
      </c>
      <c r="K10625" s="381">
        <v>0.0</v>
      </c>
      <c r="L10625" s="382">
        <v>1.0</v>
      </c>
    </row>
    <row r="10626">
      <c r="A10626" s="380" t="s">
        <v>11500</v>
      </c>
      <c r="B10626" s="380" t="str">
        <f>IFERROR(__xludf.DUMMYFUNCTION("""COMPUTED_VALUE"""),"Manguera Hidraulica R-5 De 5/16""")</f>
        <v>Manguera Hidraulica R-5 De 5/16"</v>
      </c>
      <c r="C10626" s="380" t="str">
        <f>IFERROR(__xludf.DUMMYFUNCTION("""COMPUTED_VALUE"""),"70006051")</f>
        <v>70006051</v>
      </c>
      <c r="D10626" s="380" t="s">
        <v>767</v>
      </c>
      <c r="E10626" s="380" t="s">
        <v>786</v>
      </c>
      <c r="F10626" s="380" t="s">
        <v>989</v>
      </c>
      <c r="G10626" s="380" t="s">
        <v>1267</v>
      </c>
      <c r="H10626" s="380" t="s">
        <v>771</v>
      </c>
      <c r="I10626" s="380" t="s">
        <v>788</v>
      </c>
      <c r="J10626" s="380" t="s">
        <v>773</v>
      </c>
      <c r="K10626" s="381">
        <v>0.0</v>
      </c>
      <c r="L10626" s="382">
        <v>1.0</v>
      </c>
    </row>
    <row r="10627">
      <c r="A10627" s="380" t="s">
        <v>11501</v>
      </c>
      <c r="B10627" s="380" t="str">
        <f>IFERROR(__xludf.DUMMYFUNCTION("""COMPUTED_VALUE"""),"Prensa Embrague Volkswagen 8 5 133001012")</f>
        <v>Prensa Embrague Volkswagen 8 5 133001012</v>
      </c>
      <c r="C10627" s="380" t="str">
        <f>IFERROR(__xludf.DUMMYFUNCTION("""COMPUTED_VALUE"""),"70006052")</f>
        <v>70006052</v>
      </c>
      <c r="D10627" s="380" t="s">
        <v>767</v>
      </c>
      <c r="E10627" s="380" t="s">
        <v>786</v>
      </c>
      <c r="F10627" s="380" t="s">
        <v>5661</v>
      </c>
      <c r="G10627" s="380" t="s">
        <v>1267</v>
      </c>
      <c r="H10627" s="380" t="s">
        <v>771</v>
      </c>
      <c r="I10627" s="380" t="s">
        <v>788</v>
      </c>
      <c r="J10627" s="380" t="s">
        <v>773</v>
      </c>
      <c r="K10627" s="381">
        <v>0.0</v>
      </c>
      <c r="L10627" s="382">
        <v>1.0</v>
      </c>
    </row>
    <row r="10628">
      <c r="A10628" s="380" t="s">
        <v>11502</v>
      </c>
      <c r="B10628" s="380" t="str">
        <f>IFERROR(__xludf.DUMMYFUNCTION("""COMPUTED_VALUE"""),"Gancho Tapa Caja Bateria Eagle 359074c1")</f>
        <v>Gancho Tapa Caja Bateria Eagle 359074c1</v>
      </c>
      <c r="C10628" s="380" t="str">
        <f>IFERROR(__xludf.DUMMYFUNCTION("""COMPUTED_VALUE"""),"70006053")</f>
        <v>70006053</v>
      </c>
      <c r="D10628" s="380" t="s">
        <v>767</v>
      </c>
      <c r="E10628" s="380" t="s">
        <v>786</v>
      </c>
      <c r="F10628" s="380" t="s">
        <v>792</v>
      </c>
      <c r="G10628" s="380" t="s">
        <v>1267</v>
      </c>
      <c r="H10628" s="380" t="s">
        <v>771</v>
      </c>
      <c r="I10628" s="380" t="s">
        <v>788</v>
      </c>
      <c r="J10628" s="380" t="s">
        <v>773</v>
      </c>
      <c r="K10628" s="381">
        <v>471068.0</v>
      </c>
      <c r="L10628" s="382">
        <v>1.0</v>
      </c>
    </row>
    <row r="10629">
      <c r="A10629" s="380" t="s">
        <v>11503</v>
      </c>
      <c r="B10629" s="380" t="str">
        <f>IFERROR(__xludf.DUMMYFUNCTION("""COMPUTED_VALUE"""),"Grapa Grapa Muelle Del. 9/16x2.3/4x5 Npr")</f>
        <v>Grapa Grapa Muelle Del. 9/16x2.3/4x5 Npr</v>
      </c>
      <c r="C10629" s="380" t="str">
        <f>IFERROR(__xludf.DUMMYFUNCTION("""COMPUTED_VALUE"""),"70006054")</f>
        <v>70006054</v>
      </c>
      <c r="D10629" s="380" t="s">
        <v>767</v>
      </c>
      <c r="E10629" s="380" t="s">
        <v>786</v>
      </c>
      <c r="F10629" s="380" t="s">
        <v>1039</v>
      </c>
      <c r="G10629" s="380" t="s">
        <v>1267</v>
      </c>
      <c r="H10629" s="380" t="s">
        <v>771</v>
      </c>
      <c r="I10629" s="380" t="s">
        <v>788</v>
      </c>
      <c r="J10629" s="380" t="s">
        <v>773</v>
      </c>
      <c r="K10629" s="381">
        <v>0.0</v>
      </c>
      <c r="L10629" s="382">
        <v>1.0</v>
      </c>
    </row>
    <row r="10630">
      <c r="A10630" s="380" t="s">
        <v>11504</v>
      </c>
      <c r="B10630" s="380" t="str">
        <f>IFERROR(__xludf.DUMMYFUNCTION("""COMPUTED_VALUE"""),"Rodillo Tras Externo Npr 28680")</f>
        <v>Rodillo Tras Externo Npr 28680</v>
      </c>
      <c r="C10630" s="380" t="str">
        <f>IFERROR(__xludf.DUMMYFUNCTION("""COMPUTED_VALUE"""),"70006055")</f>
        <v>70006055</v>
      </c>
      <c r="D10630" s="380" t="s">
        <v>767</v>
      </c>
      <c r="E10630" s="380" t="s">
        <v>786</v>
      </c>
      <c r="F10630" s="380" t="s">
        <v>1039</v>
      </c>
      <c r="G10630" s="380" t="s">
        <v>1267</v>
      </c>
      <c r="H10630" s="380" t="s">
        <v>771</v>
      </c>
      <c r="I10630" s="380" t="s">
        <v>788</v>
      </c>
      <c r="J10630" s="380" t="s">
        <v>773</v>
      </c>
      <c r="K10630" s="381">
        <v>0.0</v>
      </c>
      <c r="L10630" s="382">
        <v>1.0</v>
      </c>
    </row>
    <row r="10631">
      <c r="A10631" s="380" t="s">
        <v>11505</v>
      </c>
      <c r="B10631" s="380" t="str">
        <f>IFERROR(__xludf.DUMMYFUNCTION("""COMPUTED_VALUE"""),"carcasa FILTm AIR MOT Nhr- Nk 8970620531")</f>
        <v>carcasa FILTm AIR MOT Nhr- Nk 8970620531</v>
      </c>
      <c r="C10631" s="380" t="str">
        <f>IFERROR(__xludf.DUMMYFUNCTION("""COMPUTED_VALUE"""),"70006056")</f>
        <v>70006056</v>
      </c>
      <c r="D10631" s="380" t="s">
        <v>767</v>
      </c>
      <c r="E10631" s="380" t="s">
        <v>786</v>
      </c>
      <c r="F10631" s="380" t="s">
        <v>787</v>
      </c>
      <c r="G10631" s="380" t="s">
        <v>1267</v>
      </c>
      <c r="H10631" s="380" t="s">
        <v>771</v>
      </c>
      <c r="I10631" s="380" t="s">
        <v>788</v>
      </c>
      <c r="J10631" s="380" t="s">
        <v>773</v>
      </c>
      <c r="K10631" s="381">
        <v>0.0</v>
      </c>
      <c r="L10631" s="382">
        <v>1.0</v>
      </c>
    </row>
    <row r="10632">
      <c r="A10632" s="380" t="s">
        <v>11506</v>
      </c>
      <c r="B10632" s="380" t="str">
        <f>IFERROR(__xludf.DUMMYFUNCTION("""COMPUTED_VALUE"""),"Amortiguador Del Npr 8972536170")</f>
        <v>Amortiguador Del Npr 8972536170</v>
      </c>
      <c r="C10632" s="380" t="str">
        <f>IFERROR(__xludf.DUMMYFUNCTION("""COMPUTED_VALUE"""),"70006057")</f>
        <v>70006057</v>
      </c>
      <c r="D10632" s="380" t="s">
        <v>767</v>
      </c>
      <c r="E10632" s="380" t="s">
        <v>786</v>
      </c>
      <c r="F10632" s="380" t="s">
        <v>1039</v>
      </c>
      <c r="G10632" s="380" t="s">
        <v>1267</v>
      </c>
      <c r="H10632" s="380" t="s">
        <v>771</v>
      </c>
      <c r="I10632" s="380" t="s">
        <v>788</v>
      </c>
      <c r="J10632" s="380" t="s">
        <v>773</v>
      </c>
      <c r="K10632" s="381">
        <v>0.0</v>
      </c>
      <c r="L10632" s="382">
        <v>1.0</v>
      </c>
    </row>
    <row r="10633">
      <c r="A10633" s="380" t="s">
        <v>11507</v>
      </c>
      <c r="B10633" s="380" t="str">
        <f>IFERROR(__xludf.DUMMYFUNCTION("""COMPUTED_VALUE"""),"Caucho Suspens Neway Eagle S 60 90008175")</f>
        <v>Caucho Suspens Neway Eagle S 60 90008175</v>
      </c>
      <c r="C10633" s="380" t="str">
        <f>IFERROR(__xludf.DUMMYFUNCTION("""COMPUTED_VALUE"""),"70006058")</f>
        <v>70006058</v>
      </c>
      <c r="D10633" s="380" t="s">
        <v>767</v>
      </c>
      <c r="E10633" s="380" t="s">
        <v>786</v>
      </c>
      <c r="F10633" s="380" t="s">
        <v>787</v>
      </c>
      <c r="G10633" s="380" t="s">
        <v>1267</v>
      </c>
      <c r="H10633" s="380" t="s">
        <v>771</v>
      </c>
      <c r="I10633" s="380" t="s">
        <v>788</v>
      </c>
      <c r="J10633" s="380" t="s">
        <v>773</v>
      </c>
      <c r="K10633" s="381">
        <v>0.0</v>
      </c>
      <c r="L10633" s="382">
        <v>1.0</v>
      </c>
    </row>
    <row r="10634">
      <c r="A10634" s="380" t="s">
        <v>11508</v>
      </c>
      <c r="B10634" s="380" t="str">
        <f>IFERROR(__xludf.DUMMYFUNCTION("""COMPUTED_VALUE"""),"Empaque Media Caja Fuller Eagle Ful14335")</f>
        <v>Empaque Media Caja Fuller Eagle Ful14335</v>
      </c>
      <c r="C10634" s="380" t="str">
        <f>IFERROR(__xludf.DUMMYFUNCTION("""COMPUTED_VALUE"""),"70006059")</f>
        <v>70006059</v>
      </c>
      <c r="D10634" s="380" t="s">
        <v>767</v>
      </c>
      <c r="E10634" s="380" t="s">
        <v>786</v>
      </c>
      <c r="F10634" s="380" t="s">
        <v>928</v>
      </c>
      <c r="G10634" s="380" t="s">
        <v>1267</v>
      </c>
      <c r="H10634" s="380" t="s">
        <v>771</v>
      </c>
      <c r="I10634" s="380" t="s">
        <v>788</v>
      </c>
      <c r="J10634" s="380" t="s">
        <v>773</v>
      </c>
      <c r="K10634" s="381">
        <v>0.0</v>
      </c>
      <c r="L10634" s="382">
        <v>1.0</v>
      </c>
    </row>
    <row r="10635">
      <c r="A10635" s="380" t="s">
        <v>11509</v>
      </c>
      <c r="B10635" s="380" t="str">
        <f>IFERROR(__xludf.DUMMYFUNCTION("""COMPUTED_VALUE"""),"Empaque Monoshift Caja Hi4700 Ful4302246")</f>
        <v>Empaque Monoshift Caja Hi4700 Ful4302246</v>
      </c>
      <c r="C10635" s="380" t="str">
        <f>IFERROR(__xludf.DUMMYFUNCTION("""COMPUTED_VALUE"""),"70006060")</f>
        <v>70006060</v>
      </c>
      <c r="D10635" s="380" t="s">
        <v>767</v>
      </c>
      <c r="E10635" s="380" t="s">
        <v>786</v>
      </c>
      <c r="F10635" s="380" t="s">
        <v>928</v>
      </c>
      <c r="G10635" s="380" t="s">
        <v>1267</v>
      </c>
      <c r="H10635" s="380" t="s">
        <v>771</v>
      </c>
      <c r="I10635" s="380" t="s">
        <v>788</v>
      </c>
      <c r="J10635" s="380" t="s">
        <v>773</v>
      </c>
      <c r="K10635" s="381">
        <v>5474.0</v>
      </c>
      <c r="L10635" s="382">
        <v>1.0</v>
      </c>
    </row>
    <row r="10636">
      <c r="A10636" s="380" t="s">
        <v>11510</v>
      </c>
      <c r="B10636" s="380" t="str">
        <f>IFERROR(__xludf.DUMMYFUNCTION("""COMPUTED_VALUE"""),"Panel Frontal Cabina Npr 8978592563")</f>
        <v>Panel Frontal Cabina Npr 8978592563</v>
      </c>
      <c r="C10636" s="380" t="str">
        <f>IFERROR(__xludf.DUMMYFUNCTION("""COMPUTED_VALUE"""),"70006061")</f>
        <v>70006061</v>
      </c>
      <c r="D10636" s="380" t="s">
        <v>767</v>
      </c>
      <c r="E10636" s="380" t="s">
        <v>786</v>
      </c>
      <c r="F10636" s="380" t="s">
        <v>792</v>
      </c>
      <c r="G10636" s="380" t="s">
        <v>1267</v>
      </c>
      <c r="H10636" s="380" t="s">
        <v>771</v>
      </c>
      <c r="I10636" s="380" t="s">
        <v>788</v>
      </c>
      <c r="J10636" s="380" t="s">
        <v>773</v>
      </c>
      <c r="K10636" s="381">
        <v>0.0</v>
      </c>
      <c r="L10636" s="382">
        <v>1.0</v>
      </c>
    </row>
    <row r="10637">
      <c r="A10637" s="380" t="s">
        <v>11511</v>
      </c>
      <c r="B10637" s="380" t="str">
        <f>IFERROR(__xludf.DUMMYFUNCTION("""COMPUTED_VALUE"""),"Silenciador Mofle Nhr")</f>
        <v>Silenciador Mofle Nhr</v>
      </c>
      <c r="C10637" s="380" t="str">
        <f>IFERROR(__xludf.DUMMYFUNCTION("""COMPUTED_VALUE"""),"70006062")</f>
        <v>70006062</v>
      </c>
      <c r="D10637" s="380" t="s">
        <v>767</v>
      </c>
      <c r="E10637" s="380" t="s">
        <v>786</v>
      </c>
      <c r="F10637" s="380" t="s">
        <v>792</v>
      </c>
      <c r="G10637" s="380" t="s">
        <v>1267</v>
      </c>
      <c r="H10637" s="380" t="s">
        <v>771</v>
      </c>
      <c r="I10637" s="380" t="s">
        <v>788</v>
      </c>
      <c r="J10637" s="380" t="s">
        <v>773</v>
      </c>
      <c r="K10637" s="381">
        <v>0.0</v>
      </c>
      <c r="L10637" s="382">
        <v>1.0</v>
      </c>
    </row>
    <row r="10638">
      <c r="A10638" s="380" t="s">
        <v>11512</v>
      </c>
      <c r="B10638" s="380" t="str">
        <f>IFERROR(__xludf.DUMMYFUNCTION("""COMPUTED_VALUE"""),"Filtro Secador Aire Acondicionado Inter")</f>
        <v>Filtro Secador Aire Acondicionado Inter</v>
      </c>
      <c r="C10638" s="380" t="str">
        <f>IFERROR(__xludf.DUMMYFUNCTION("""COMPUTED_VALUE"""),"70006063")</f>
        <v>70006063</v>
      </c>
      <c r="D10638" s="380" t="s">
        <v>767</v>
      </c>
      <c r="E10638" s="380" t="s">
        <v>786</v>
      </c>
      <c r="F10638" s="380" t="s">
        <v>5855</v>
      </c>
      <c r="G10638" s="380" t="s">
        <v>1267</v>
      </c>
      <c r="H10638" s="380" t="s">
        <v>771</v>
      </c>
      <c r="I10638" s="380" t="s">
        <v>788</v>
      </c>
      <c r="J10638" s="380" t="s">
        <v>773</v>
      </c>
      <c r="K10638" s="381">
        <v>131214.0</v>
      </c>
      <c r="L10638" s="382">
        <v>1.0</v>
      </c>
    </row>
    <row r="10639">
      <c r="A10639" s="380" t="s">
        <v>11513</v>
      </c>
      <c r="B10639" s="380" t="str">
        <f>IFERROR(__xludf.DUMMYFUNCTION("""COMPUTED_VALUE"""),"Cojin Cond-Ayudante Npr Repardo")</f>
        <v>Cojin Cond-Ayudante Npr Repardo</v>
      </c>
      <c r="C10639" s="380" t="str">
        <f>IFERROR(__xludf.DUMMYFUNCTION("""COMPUTED_VALUE"""),"70006064")</f>
        <v>70006064</v>
      </c>
      <c r="D10639" s="380" t="s">
        <v>767</v>
      </c>
      <c r="E10639" s="380" t="s">
        <v>786</v>
      </c>
      <c r="F10639" s="380" t="s">
        <v>792</v>
      </c>
      <c r="G10639" s="380" t="s">
        <v>1267</v>
      </c>
      <c r="H10639" s="380" t="s">
        <v>771</v>
      </c>
      <c r="I10639" s="380" t="s">
        <v>788</v>
      </c>
      <c r="J10639" s="380" t="s">
        <v>773</v>
      </c>
      <c r="K10639" s="381">
        <v>0.0</v>
      </c>
      <c r="L10639" s="382">
        <v>1.0</v>
      </c>
    </row>
    <row r="10640">
      <c r="A10640" s="380" t="s">
        <v>11514</v>
      </c>
      <c r="B10640" s="380" t="str">
        <f>IFERROR(__xludf.DUMMYFUNCTION("""COMPUTED_VALUE"""),"Retenedor Speed Del Eagle 2502762c1")</f>
        <v>Retenedor Speed Del Eagle 2502762c1</v>
      </c>
      <c r="C10640" s="380" t="str">
        <f>IFERROR(__xludf.DUMMYFUNCTION("""COMPUTED_VALUE"""),"70006065")</f>
        <v>70006065</v>
      </c>
      <c r="D10640" s="380" t="s">
        <v>767</v>
      </c>
      <c r="E10640" s="380" t="s">
        <v>786</v>
      </c>
      <c r="F10640" s="380" t="s">
        <v>5683</v>
      </c>
      <c r="G10640" s="380" t="s">
        <v>1267</v>
      </c>
      <c r="H10640" s="380" t="s">
        <v>771</v>
      </c>
      <c r="I10640" s="380" t="s">
        <v>788</v>
      </c>
      <c r="J10640" s="380" t="s">
        <v>773</v>
      </c>
      <c r="K10640" s="381">
        <v>0.0</v>
      </c>
      <c r="L10640" s="382">
        <v>1.0</v>
      </c>
    </row>
    <row r="10641">
      <c r="A10641" s="380" t="s">
        <v>11515</v>
      </c>
      <c r="B10641" s="380" t="str">
        <f>IFERROR(__xludf.DUMMYFUNCTION("""COMPUTED_VALUE"""),"Retenedor Speed Tras Eagle 2502764c1")</f>
        <v>Retenedor Speed Tras Eagle 2502764c1</v>
      </c>
      <c r="C10641" s="380" t="str">
        <f>IFERROR(__xludf.DUMMYFUNCTION("""COMPUTED_VALUE"""),"70006066")</f>
        <v>70006066</v>
      </c>
      <c r="D10641" s="380" t="s">
        <v>767</v>
      </c>
      <c r="E10641" s="380" t="s">
        <v>786</v>
      </c>
      <c r="F10641" s="380" t="s">
        <v>5683</v>
      </c>
      <c r="G10641" s="380" t="s">
        <v>1267</v>
      </c>
      <c r="H10641" s="380" t="s">
        <v>771</v>
      </c>
      <c r="I10641" s="380" t="s">
        <v>788</v>
      </c>
      <c r="J10641" s="380" t="s">
        <v>773</v>
      </c>
      <c r="K10641" s="381">
        <v>0.0</v>
      </c>
      <c r="L10641" s="382">
        <v>1.0</v>
      </c>
    </row>
    <row r="10642">
      <c r="A10642" s="380" t="s">
        <v>11516</v>
      </c>
      <c r="B10642" s="380" t="str">
        <f>IFERROR(__xludf.DUMMYFUNCTION("""COMPUTED_VALUE"""),"Bocel Persiana KWh K212-189")</f>
        <v>Bocel Persiana KWh K212-189</v>
      </c>
      <c r="C10642" s="380" t="str">
        <f>IFERROR(__xludf.DUMMYFUNCTION("""COMPUTED_VALUE"""),"70006067")</f>
        <v>70006067</v>
      </c>
      <c r="D10642" s="380" t="s">
        <v>767</v>
      </c>
      <c r="E10642" s="380" t="s">
        <v>786</v>
      </c>
      <c r="F10642" s="380" t="s">
        <v>792</v>
      </c>
      <c r="G10642" s="380" t="s">
        <v>1267</v>
      </c>
      <c r="H10642" s="380" t="s">
        <v>771</v>
      </c>
      <c r="I10642" s="380" t="s">
        <v>788</v>
      </c>
      <c r="J10642" s="380" t="s">
        <v>773</v>
      </c>
      <c r="K10642" s="381">
        <v>0.0</v>
      </c>
      <c r="L10642" s="382">
        <v>1.0</v>
      </c>
    </row>
    <row r="10643">
      <c r="A10643" s="380" t="s">
        <v>11517</v>
      </c>
      <c r="B10643" s="380" t="str">
        <f>IFERROR(__xludf.DUMMYFUNCTION("""COMPUTED_VALUE"""),"Barra Direc Corta Nhr 8972225020")</f>
        <v>Barra Direc Corta Nhr 8972225020</v>
      </c>
      <c r="C10643" s="380" t="str">
        <f>IFERROR(__xludf.DUMMYFUNCTION("""COMPUTED_VALUE"""),"70006068")</f>
        <v>70006068</v>
      </c>
      <c r="D10643" s="380" t="s">
        <v>767</v>
      </c>
      <c r="E10643" s="380" t="s">
        <v>786</v>
      </c>
      <c r="F10643" s="380" t="s">
        <v>1020</v>
      </c>
      <c r="G10643" s="380" t="s">
        <v>1267</v>
      </c>
      <c r="H10643" s="380" t="s">
        <v>771</v>
      </c>
      <c r="I10643" s="380" t="s">
        <v>788</v>
      </c>
      <c r="J10643" s="380" t="s">
        <v>773</v>
      </c>
      <c r="K10643" s="381">
        <v>0.0</v>
      </c>
      <c r="L10643" s="382">
        <v>1.0</v>
      </c>
    </row>
    <row r="10644">
      <c r="A10644" s="380" t="s">
        <v>11518</v>
      </c>
      <c r="B10644" s="380" t="str">
        <f>IFERROR(__xludf.DUMMYFUNCTION("""COMPUTED_VALUE"""),"Caucho Pedal S Car Caucho Pedal S. Carry")</f>
        <v>Caucho Pedal S Car Caucho Pedal S. Carry</v>
      </c>
      <c r="C10644" s="380" t="str">
        <f>IFERROR(__xludf.DUMMYFUNCTION("""COMPUTED_VALUE"""),"70006069")</f>
        <v>70006069</v>
      </c>
      <c r="D10644" s="380" t="s">
        <v>767</v>
      </c>
      <c r="E10644" s="380" t="s">
        <v>786</v>
      </c>
      <c r="F10644" s="380" t="s">
        <v>1017</v>
      </c>
      <c r="G10644" s="380" t="s">
        <v>1267</v>
      </c>
      <c r="H10644" s="380" t="s">
        <v>771</v>
      </c>
      <c r="I10644" s="380" t="s">
        <v>788</v>
      </c>
      <c r="J10644" s="380" t="s">
        <v>773</v>
      </c>
      <c r="K10644" s="381">
        <v>0.0</v>
      </c>
      <c r="L10644" s="382">
        <v>1.0</v>
      </c>
    </row>
    <row r="10645">
      <c r="A10645" s="380" t="s">
        <v>11519</v>
      </c>
      <c r="B10645" s="380" t="str">
        <f>IFERROR(__xludf.DUMMYFUNCTION("""COMPUTED_VALUE"""),"Bronce Diferencial Hi 466 Mjass100")</f>
        <v>Bronce Diferencial Hi 466 Mjass100</v>
      </c>
      <c r="C10645" s="380" t="str">
        <f>IFERROR(__xludf.DUMMYFUNCTION("""COMPUTED_VALUE"""),"70006070")</f>
        <v>70006070</v>
      </c>
      <c r="D10645" s="380" t="s">
        <v>767</v>
      </c>
      <c r="E10645" s="380" t="s">
        <v>786</v>
      </c>
      <c r="F10645" s="380" t="s">
        <v>5683</v>
      </c>
      <c r="G10645" s="380" t="s">
        <v>1267</v>
      </c>
      <c r="H10645" s="380" t="s">
        <v>771</v>
      </c>
      <c r="I10645" s="380" t="s">
        <v>788</v>
      </c>
      <c r="J10645" s="380" t="s">
        <v>773</v>
      </c>
      <c r="K10645" s="381">
        <v>0.0</v>
      </c>
      <c r="L10645" s="382">
        <v>1.0</v>
      </c>
    </row>
    <row r="10646">
      <c r="A10646" s="380" t="s">
        <v>11520</v>
      </c>
      <c r="B10646" s="380" t="str">
        <f>IFERROR(__xludf.DUMMYFUNCTION("""COMPUTED_VALUE"""),"Fusible Rojo 50 Amp Nkr III 8944686630")</f>
        <v>Fusible Rojo 50 Amp Nkr III 8944686630</v>
      </c>
      <c r="C10646" s="380" t="str">
        <f>IFERROR(__xludf.DUMMYFUNCTION("""COMPUTED_VALUE"""),"70006071")</f>
        <v>70006071</v>
      </c>
      <c r="D10646" s="380" t="s">
        <v>767</v>
      </c>
      <c r="E10646" s="380" t="s">
        <v>786</v>
      </c>
      <c r="F10646" s="380" t="s">
        <v>998</v>
      </c>
      <c r="G10646" s="380" t="s">
        <v>1267</v>
      </c>
      <c r="H10646" s="380" t="s">
        <v>771</v>
      </c>
      <c r="I10646" s="380" t="s">
        <v>788</v>
      </c>
      <c r="J10646" s="380" t="s">
        <v>773</v>
      </c>
      <c r="K10646" s="381">
        <v>0.0</v>
      </c>
      <c r="L10646" s="382">
        <v>1.0</v>
      </c>
    </row>
    <row r="10647">
      <c r="A10647" s="380" t="s">
        <v>11521</v>
      </c>
      <c r="B10647" s="380" t="str">
        <f>IFERROR(__xludf.DUMMYFUNCTION("""COMPUTED_VALUE"""),"Relay Motor Arranque Nkr III 8971739510")</f>
        <v>Relay Motor Arranque Nkr III 8971739510</v>
      </c>
      <c r="C10647" s="380" t="str">
        <f>IFERROR(__xludf.DUMMYFUNCTION("""COMPUTED_VALUE"""),"70006072")</f>
        <v>70006072</v>
      </c>
      <c r="D10647" s="380" t="s">
        <v>767</v>
      </c>
      <c r="E10647" s="380" t="s">
        <v>786</v>
      </c>
      <c r="F10647" s="380" t="s">
        <v>998</v>
      </c>
      <c r="G10647" s="380" t="s">
        <v>1267</v>
      </c>
      <c r="H10647" s="380" t="s">
        <v>771</v>
      </c>
      <c r="I10647" s="380" t="s">
        <v>788</v>
      </c>
      <c r="J10647" s="380" t="s">
        <v>773</v>
      </c>
      <c r="K10647" s="381">
        <v>0.0</v>
      </c>
      <c r="L10647" s="382">
        <v>1.0</v>
      </c>
    </row>
    <row r="10648">
      <c r="A10648" s="380" t="s">
        <v>11522</v>
      </c>
      <c r="B10648" s="380" t="str">
        <f>IFERROR(__xludf.DUMMYFUNCTION("""COMPUTED_VALUE"""),"Tapa Fusibles Nkr III 8970631521")</f>
        <v>Tapa Fusibles Nkr III 8970631521</v>
      </c>
      <c r="C10648" s="380" t="str">
        <f>IFERROR(__xludf.DUMMYFUNCTION("""COMPUTED_VALUE"""),"70006073")</f>
        <v>70006073</v>
      </c>
      <c r="D10648" s="380" t="s">
        <v>767</v>
      </c>
      <c r="E10648" s="380" t="s">
        <v>786</v>
      </c>
      <c r="F10648" s="380" t="s">
        <v>998</v>
      </c>
      <c r="G10648" s="380" t="s">
        <v>1267</v>
      </c>
      <c r="H10648" s="380" t="s">
        <v>771</v>
      </c>
      <c r="I10648" s="380" t="s">
        <v>788</v>
      </c>
      <c r="J10648" s="380" t="s">
        <v>773</v>
      </c>
      <c r="K10648" s="381">
        <v>0.0</v>
      </c>
      <c r="L10648" s="382">
        <v>1.0</v>
      </c>
    </row>
    <row r="10649">
      <c r="A10649" s="380" t="s">
        <v>11523</v>
      </c>
      <c r="B10649" s="380" t="str">
        <f>IFERROR(__xludf.DUMMYFUNCTION("""COMPUTED_VALUE"""),"Fusible Amarillo 60amp Nkr II 8943883031")</f>
        <v>Fusible Amarillo 60amp Nkr II 8943883031</v>
      </c>
      <c r="C10649" s="380" t="str">
        <f>IFERROR(__xludf.DUMMYFUNCTION("""COMPUTED_VALUE"""),"70006074")</f>
        <v>70006074</v>
      </c>
      <c r="D10649" s="380" t="s">
        <v>767</v>
      </c>
      <c r="E10649" s="380" t="s">
        <v>786</v>
      </c>
      <c r="F10649" s="380" t="s">
        <v>998</v>
      </c>
      <c r="G10649" s="380" t="s">
        <v>1267</v>
      </c>
      <c r="H10649" s="380" t="s">
        <v>771</v>
      </c>
      <c r="I10649" s="380" t="s">
        <v>788</v>
      </c>
      <c r="J10649" s="380" t="s">
        <v>773</v>
      </c>
      <c r="K10649" s="381">
        <v>0.0</v>
      </c>
      <c r="L10649" s="382">
        <v>1.0</v>
      </c>
    </row>
    <row r="10650">
      <c r="A10650" s="380" t="s">
        <v>11524</v>
      </c>
      <c r="B10650" s="380" t="str">
        <f>IFERROR(__xludf.DUMMYFUNCTION("""COMPUTED_VALUE"""),"Buje Muelle Npr Rb-414")</f>
        <v>Buje Muelle Npr Rb-414</v>
      </c>
      <c r="C10650" s="380" t="str">
        <f>IFERROR(__xludf.DUMMYFUNCTION("""COMPUTED_VALUE"""),"70006075")</f>
        <v>70006075</v>
      </c>
      <c r="D10650" s="380" t="s">
        <v>767</v>
      </c>
      <c r="E10650" s="380" t="s">
        <v>786</v>
      </c>
      <c r="F10650" s="380" t="s">
        <v>1039</v>
      </c>
      <c r="G10650" s="380" t="s">
        <v>1267</v>
      </c>
      <c r="H10650" s="380" t="s">
        <v>771</v>
      </c>
      <c r="I10650" s="380" t="s">
        <v>788</v>
      </c>
      <c r="J10650" s="380" t="s">
        <v>773</v>
      </c>
      <c r="K10650" s="381">
        <v>17750.0</v>
      </c>
      <c r="L10650" s="382">
        <v>1.0</v>
      </c>
    </row>
    <row r="10651">
      <c r="A10651" s="380" t="s">
        <v>11525</v>
      </c>
      <c r="B10651" s="380" t="str">
        <f>IFERROR(__xludf.DUMMYFUNCTION("""COMPUTED_VALUE"""),"Empaque Culata Npr 8973494900")</f>
        <v>Empaque Culata Npr 8973494900</v>
      </c>
      <c r="C10651" s="380" t="str">
        <f>IFERROR(__xludf.DUMMYFUNCTION("""COMPUTED_VALUE"""),"70006076")</f>
        <v>70006076</v>
      </c>
      <c r="D10651" s="380" t="s">
        <v>767</v>
      </c>
      <c r="E10651" s="380" t="s">
        <v>786</v>
      </c>
      <c r="F10651" s="380" t="s">
        <v>787</v>
      </c>
      <c r="G10651" s="380" t="s">
        <v>1267</v>
      </c>
      <c r="H10651" s="380" t="s">
        <v>771</v>
      </c>
      <c r="I10651" s="380" t="s">
        <v>788</v>
      </c>
      <c r="J10651" s="380" t="s">
        <v>773</v>
      </c>
      <c r="K10651" s="381">
        <v>0.0</v>
      </c>
      <c r="L10651" s="382">
        <v>1.0</v>
      </c>
    </row>
    <row r="10652">
      <c r="A10652" s="380" t="s">
        <v>11526</v>
      </c>
      <c r="B10652" s="380" t="str">
        <f>IFERROR(__xludf.DUMMYFUNCTION("""COMPUTED_VALUE"""),"Cerradura Chapa Tras S Carry 8251085500")</f>
        <v>Cerradura Chapa Tras S Carry 8251085500</v>
      </c>
      <c r="C10652" s="380" t="str">
        <f>IFERROR(__xludf.DUMMYFUNCTION("""COMPUTED_VALUE"""),"70006077")</f>
        <v>70006077</v>
      </c>
      <c r="D10652" s="380" t="s">
        <v>767</v>
      </c>
      <c r="E10652" s="380" t="s">
        <v>786</v>
      </c>
      <c r="F10652" s="380" t="s">
        <v>792</v>
      </c>
      <c r="G10652" s="380" t="s">
        <v>1267</v>
      </c>
      <c r="H10652" s="380" t="s">
        <v>771</v>
      </c>
      <c r="I10652" s="380" t="s">
        <v>788</v>
      </c>
      <c r="J10652" s="380" t="s">
        <v>773</v>
      </c>
      <c r="K10652" s="381">
        <v>0.0</v>
      </c>
      <c r="L10652" s="382">
        <v>1.0</v>
      </c>
    </row>
    <row r="10653">
      <c r="A10653" s="380" t="s">
        <v>11527</v>
      </c>
      <c r="B10653" s="380" t="str">
        <f>IFERROR(__xludf.DUMMYFUNCTION("""COMPUTED_VALUE"""),"Zapa MUE Tras Parte Del Izq E Hd50181004")</f>
        <v>Zapa MUE Tras Parte Del Izq E Hd50181004</v>
      </c>
      <c r="C10653" s="380" t="str">
        <f>IFERROR(__xludf.DUMMYFUNCTION("""COMPUTED_VALUE"""),"70006078")</f>
        <v>70006078</v>
      </c>
      <c r="D10653" s="380" t="s">
        <v>767</v>
      </c>
      <c r="E10653" s="380" t="s">
        <v>786</v>
      </c>
      <c r="F10653" s="380" t="s">
        <v>1039</v>
      </c>
      <c r="G10653" s="380" t="s">
        <v>1267</v>
      </c>
      <c r="H10653" s="380" t="s">
        <v>771</v>
      </c>
      <c r="I10653" s="380" t="s">
        <v>788</v>
      </c>
      <c r="J10653" s="380" t="s">
        <v>773</v>
      </c>
      <c r="K10653" s="381">
        <v>0.0</v>
      </c>
      <c r="L10653" s="382">
        <v>1.0</v>
      </c>
    </row>
    <row r="10654">
      <c r="A10654" s="380" t="s">
        <v>11528</v>
      </c>
      <c r="B10654" s="380" t="str">
        <f>IFERROR(__xludf.DUMMYFUNCTION("""COMPUTED_VALUE"""),"Retenedor Rueda Trasera Ftr 1096253500")</f>
        <v>Retenedor Rueda Trasera Ftr 1096253500</v>
      </c>
      <c r="C10654" s="380" t="str">
        <f>IFERROR(__xludf.DUMMYFUNCTION("""COMPUTED_VALUE"""),"70006079")</f>
        <v>70006079</v>
      </c>
      <c r="D10654" s="380" t="s">
        <v>767</v>
      </c>
      <c r="E10654" s="380" t="s">
        <v>786</v>
      </c>
      <c r="F10654" s="380" t="s">
        <v>1039</v>
      </c>
      <c r="G10654" s="380" t="s">
        <v>1267</v>
      </c>
      <c r="H10654" s="380" t="s">
        <v>771</v>
      </c>
      <c r="I10654" s="380" t="s">
        <v>788</v>
      </c>
      <c r="J10654" s="380" t="s">
        <v>773</v>
      </c>
      <c r="K10654" s="381">
        <v>0.0</v>
      </c>
      <c r="L10654" s="382">
        <v>1.0</v>
      </c>
    </row>
    <row r="10655">
      <c r="A10655" s="380" t="s">
        <v>11529</v>
      </c>
      <c r="B10655" s="380" t="str">
        <f>IFERROR(__xludf.DUMMYFUNCTION("""COMPUTED_VALUE"""),"Perno Rueda Trasera Npr Izq.")</f>
        <v>Perno Rueda Trasera Npr Izq.</v>
      </c>
      <c r="C10655" s="380" t="str">
        <f>IFERROR(__xludf.DUMMYFUNCTION("""COMPUTED_VALUE"""),"70006080")</f>
        <v>70006080</v>
      </c>
      <c r="D10655" s="380" t="s">
        <v>767</v>
      </c>
      <c r="E10655" s="380" t="s">
        <v>786</v>
      </c>
      <c r="F10655" s="380" t="s">
        <v>5683</v>
      </c>
      <c r="G10655" s="380" t="s">
        <v>1267</v>
      </c>
      <c r="H10655" s="380" t="s">
        <v>771</v>
      </c>
      <c r="I10655" s="380" t="s">
        <v>788</v>
      </c>
      <c r="J10655" s="380" t="s">
        <v>773</v>
      </c>
      <c r="K10655" s="381">
        <v>0.0</v>
      </c>
      <c r="L10655" s="382">
        <v>1.0</v>
      </c>
    </row>
    <row r="10656">
      <c r="A10656" s="380" t="s">
        <v>11530</v>
      </c>
      <c r="B10656" s="380" t="str">
        <f>IFERROR(__xludf.DUMMYFUNCTION("""COMPUTED_VALUE"""),"Plato Sincronizador CJ 14915 SB N1 20323")</f>
        <v>Plato Sincronizador CJ 14915 SB N1 20323</v>
      </c>
      <c r="C10656" s="380" t="str">
        <f>IFERROR(__xludf.DUMMYFUNCTION("""COMPUTED_VALUE"""),"70006081")</f>
        <v>70006081</v>
      </c>
      <c r="D10656" s="380" t="s">
        <v>767</v>
      </c>
      <c r="E10656" s="380" t="s">
        <v>786</v>
      </c>
      <c r="F10656" s="380" t="s">
        <v>928</v>
      </c>
      <c r="G10656" s="380" t="s">
        <v>1267</v>
      </c>
      <c r="H10656" s="380" t="s">
        <v>771</v>
      </c>
      <c r="I10656" s="380" t="s">
        <v>788</v>
      </c>
      <c r="J10656" s="380" t="s">
        <v>773</v>
      </c>
      <c r="K10656" s="381">
        <v>0.0</v>
      </c>
      <c r="L10656" s="382">
        <v>1.0</v>
      </c>
    </row>
    <row r="10657">
      <c r="A10657" s="380" t="s">
        <v>11531</v>
      </c>
      <c r="B10657" s="380" t="str">
        <f>IFERROR(__xludf.DUMMYFUNCTION("""COMPUTED_VALUE"""),"Switch CTRL Luz Tablero EGL 2029843c3")</f>
        <v>Switch CTRL Luz Tablero EGL 2029843c3</v>
      </c>
      <c r="C10657" s="380" t="str">
        <f>IFERROR(__xludf.DUMMYFUNCTION("""COMPUTED_VALUE"""),"70006082")</f>
        <v>70006082</v>
      </c>
      <c r="D10657" s="380" t="s">
        <v>767</v>
      </c>
      <c r="E10657" s="380" t="s">
        <v>786</v>
      </c>
      <c r="F10657" s="380" t="s">
        <v>998</v>
      </c>
      <c r="G10657" s="380" t="s">
        <v>1267</v>
      </c>
      <c r="H10657" s="380" t="s">
        <v>771</v>
      </c>
      <c r="I10657" s="380" t="s">
        <v>788</v>
      </c>
      <c r="J10657" s="380" t="s">
        <v>773</v>
      </c>
      <c r="K10657" s="381">
        <v>622073.0</v>
      </c>
      <c r="L10657" s="382">
        <v>1.0</v>
      </c>
    </row>
    <row r="10658">
      <c r="A10658" s="380" t="s">
        <v>11532</v>
      </c>
      <c r="B10658" s="380" t="str">
        <f>IFERROR(__xludf.DUMMYFUNCTION("""COMPUTED_VALUE"""),"Corbatin Barra Tensora Eagle 44695 Hi E")</f>
        <v>Corbatin Barra Tensora Eagle 44695 Hi E</v>
      </c>
      <c r="C10658" s="380" t="str">
        <f>IFERROR(__xludf.DUMMYFUNCTION("""COMPUTED_VALUE"""),"70006083")</f>
        <v>70006083</v>
      </c>
      <c r="D10658" s="380" t="s">
        <v>767</v>
      </c>
      <c r="E10658" s="380" t="s">
        <v>786</v>
      </c>
      <c r="F10658" s="380" t="s">
        <v>1039</v>
      </c>
      <c r="G10658" s="380" t="s">
        <v>1267</v>
      </c>
      <c r="H10658" s="380" t="s">
        <v>771</v>
      </c>
      <c r="I10658" s="380" t="s">
        <v>788</v>
      </c>
      <c r="J10658" s="380" t="s">
        <v>773</v>
      </c>
      <c r="K10658" s="381">
        <v>0.0</v>
      </c>
      <c r="L10658" s="382">
        <v>1.0</v>
      </c>
    </row>
    <row r="10659">
      <c r="A10659" s="380" t="s">
        <v>11533</v>
      </c>
      <c r="B10659" s="380" t="str">
        <f>IFERROR(__xludf.DUMMYFUNCTION("""COMPUTED_VALUE"""),"Juego Pastas Freno Motofurgon 3w180")</f>
        <v>Juego Pastas Freno Motofurgon 3w180</v>
      </c>
      <c r="C10659" s="380" t="str">
        <f>IFERROR(__xludf.DUMMYFUNCTION("""COMPUTED_VALUE"""),"70006084")</f>
        <v>70006084</v>
      </c>
      <c r="D10659" s="380" t="s">
        <v>767</v>
      </c>
      <c r="E10659" s="380" t="s">
        <v>786</v>
      </c>
      <c r="F10659" s="380" t="s">
        <v>1017</v>
      </c>
      <c r="G10659" s="380" t="s">
        <v>1267</v>
      </c>
      <c r="H10659" s="380" t="s">
        <v>771</v>
      </c>
      <c r="I10659" s="380" t="s">
        <v>788</v>
      </c>
      <c r="J10659" s="380" t="s">
        <v>773</v>
      </c>
      <c r="K10659" s="381">
        <v>0.0</v>
      </c>
      <c r="L10659" s="382">
        <v>1.0</v>
      </c>
    </row>
    <row r="10660">
      <c r="A10660" s="380" t="s">
        <v>11534</v>
      </c>
      <c r="B10660" s="380" t="str">
        <f>IFERROR(__xludf.DUMMYFUNCTION("""COMPUTED_VALUE"""),"Motor Arranque Nkr Nhr Turbo 8970429972")</f>
        <v>Motor Arranque Nkr Nhr Turbo 8970429972</v>
      </c>
      <c r="C10660" s="380" t="str">
        <f>IFERROR(__xludf.DUMMYFUNCTION("""COMPUTED_VALUE"""),"70006085")</f>
        <v>70006085</v>
      </c>
      <c r="D10660" s="380" t="s">
        <v>767</v>
      </c>
      <c r="E10660" s="380" t="s">
        <v>786</v>
      </c>
      <c r="F10660" s="380" t="s">
        <v>998</v>
      </c>
      <c r="G10660" s="380" t="s">
        <v>1267</v>
      </c>
      <c r="H10660" s="380" t="s">
        <v>771</v>
      </c>
      <c r="I10660" s="380" t="s">
        <v>788</v>
      </c>
      <c r="J10660" s="380" t="s">
        <v>773</v>
      </c>
      <c r="K10660" s="381">
        <v>0.0</v>
      </c>
      <c r="L10660" s="382">
        <v>1.0</v>
      </c>
    </row>
    <row r="10661">
      <c r="A10661" s="380" t="s">
        <v>11535</v>
      </c>
      <c r="B10661" s="380" t="str">
        <f>IFERROR(__xludf.DUMMYFUNCTION("""COMPUTED_VALUE"""),"Tapa Tanque Acpm Npr-Nkr 8970956862")</f>
        <v>Tapa Tanque Acpm Npr-Nkr 8970956862</v>
      </c>
      <c r="C10661" s="380" t="str">
        <f>IFERROR(__xludf.DUMMYFUNCTION("""COMPUTED_VALUE"""),"70006086")</f>
        <v>70006086</v>
      </c>
      <c r="D10661" s="380" t="s">
        <v>767</v>
      </c>
      <c r="E10661" s="380" t="s">
        <v>786</v>
      </c>
      <c r="F10661" s="380" t="s">
        <v>792</v>
      </c>
      <c r="G10661" s="380" t="s">
        <v>1267</v>
      </c>
      <c r="H10661" s="380" t="s">
        <v>771</v>
      </c>
      <c r="I10661" s="380" t="s">
        <v>788</v>
      </c>
      <c r="J10661" s="380" t="s">
        <v>773</v>
      </c>
      <c r="K10661" s="381">
        <v>0.0</v>
      </c>
      <c r="L10661" s="382">
        <v>1.0</v>
      </c>
    </row>
    <row r="10662">
      <c r="A10662" s="380" t="s">
        <v>11536</v>
      </c>
      <c r="B10662" s="380" t="str">
        <f>IFERROR(__xludf.DUMMYFUNCTION("""COMPUTED_VALUE"""),"Complemento Soporte Motor Tras Kw 11541")</f>
        <v>Complemento Soporte Motor Tras Kw 11541</v>
      </c>
      <c r="C10662" s="380" t="str">
        <f>IFERROR(__xludf.DUMMYFUNCTION("""COMPUTED_VALUE"""),"70006087")</f>
        <v>70006087</v>
      </c>
      <c r="D10662" s="380" t="s">
        <v>767</v>
      </c>
      <c r="E10662" s="380" t="s">
        <v>786</v>
      </c>
      <c r="F10662" s="380" t="s">
        <v>787</v>
      </c>
      <c r="G10662" s="380" t="s">
        <v>1267</v>
      </c>
      <c r="H10662" s="380" t="s">
        <v>771</v>
      </c>
      <c r="I10662" s="380" t="s">
        <v>788</v>
      </c>
      <c r="J10662" s="380" t="s">
        <v>773</v>
      </c>
      <c r="K10662" s="381">
        <v>0.0</v>
      </c>
      <c r="L10662" s="382">
        <v>1.0</v>
      </c>
    </row>
    <row r="10663">
      <c r="A10663" s="380" t="s">
        <v>11537</v>
      </c>
      <c r="B10663" s="380" t="str">
        <f>IFERROR(__xludf.DUMMYFUNCTION("""COMPUTED_VALUE"""),"Bicel Direcal Der Int Eagle 2505371c1")</f>
        <v>Bicel Direcal Der Int Eagle 2505371c1</v>
      </c>
      <c r="C10663" s="380" t="str">
        <f>IFERROR(__xludf.DUMMYFUNCTION("""COMPUTED_VALUE"""),"70006088")</f>
        <v>70006088</v>
      </c>
      <c r="D10663" s="380" t="s">
        <v>767</v>
      </c>
      <c r="E10663" s="380" t="s">
        <v>786</v>
      </c>
      <c r="F10663" s="380" t="s">
        <v>792</v>
      </c>
      <c r="G10663" s="380" t="s">
        <v>1267</v>
      </c>
      <c r="H10663" s="380" t="s">
        <v>771</v>
      </c>
      <c r="I10663" s="380" t="s">
        <v>788</v>
      </c>
      <c r="J10663" s="380" t="s">
        <v>773</v>
      </c>
      <c r="K10663" s="381">
        <v>0.0</v>
      </c>
      <c r="L10663" s="382">
        <v>1.0</v>
      </c>
    </row>
    <row r="10664">
      <c r="A10664" s="380" t="s">
        <v>11538</v>
      </c>
      <c r="B10664" s="380" t="str">
        <f>IFERROR(__xludf.DUMMYFUNCTION("""COMPUTED_VALUE"""),"Cuna Splinder Nkr")</f>
        <v>Cuna Splinder Nkr</v>
      </c>
      <c r="C10664" s="380" t="str">
        <f>IFERROR(__xludf.DUMMYFUNCTION("""COMPUTED_VALUE"""),"70006089")</f>
        <v>70006089</v>
      </c>
      <c r="D10664" s="380" t="s">
        <v>767</v>
      </c>
      <c r="E10664" s="380" t="s">
        <v>786</v>
      </c>
      <c r="F10664" s="380" t="s">
        <v>1039</v>
      </c>
      <c r="G10664" s="380" t="s">
        <v>1267</v>
      </c>
      <c r="H10664" s="380" t="s">
        <v>771</v>
      </c>
      <c r="I10664" s="380" t="s">
        <v>788</v>
      </c>
      <c r="J10664" s="380" t="s">
        <v>773</v>
      </c>
      <c r="K10664" s="381">
        <v>0.0</v>
      </c>
      <c r="L10664" s="382">
        <v>1.0</v>
      </c>
    </row>
    <row r="10665">
      <c r="A10665" s="380" t="s">
        <v>11539</v>
      </c>
      <c r="B10665" s="380" t="str">
        <f>IFERROR(__xludf.DUMMYFUNCTION("""COMPUTED_VALUE"""),"Bateria Mack 42650m N200")</f>
        <v>Bateria Mack 42650m N200</v>
      </c>
      <c r="C10665" s="380" t="str">
        <f>IFERROR(__xludf.DUMMYFUNCTION("""COMPUTED_VALUE"""),"70006090")</f>
        <v>70006090</v>
      </c>
      <c r="D10665" s="380" t="s">
        <v>767</v>
      </c>
      <c r="E10665" s="380" t="s">
        <v>786</v>
      </c>
      <c r="F10665" s="380" t="s">
        <v>998</v>
      </c>
      <c r="G10665" s="380" t="s">
        <v>1267</v>
      </c>
      <c r="H10665" s="380" t="s">
        <v>771</v>
      </c>
      <c r="I10665" s="380" t="s">
        <v>788</v>
      </c>
      <c r="J10665" s="380" t="s">
        <v>773</v>
      </c>
      <c r="K10665" s="381">
        <v>0.0</v>
      </c>
      <c r="L10665" s="382">
        <v>1.0</v>
      </c>
    </row>
    <row r="10666">
      <c r="A10666" s="380" t="s">
        <v>11540</v>
      </c>
      <c r="B10666" s="380" t="str">
        <f>IFERROR(__xludf.DUMMYFUNCTION("""COMPUTED_VALUE"""),"Brazo DIR Npr Isuzu 897170160 8972225080")</f>
        <v>Brazo DIR Npr Isuzu 897170160 8972225080</v>
      </c>
      <c r="C10666" s="380" t="str">
        <f>IFERROR(__xludf.DUMMYFUNCTION("""COMPUTED_VALUE"""),"70006091")</f>
        <v>70006091</v>
      </c>
      <c r="D10666" s="380" t="s">
        <v>767</v>
      </c>
      <c r="E10666" s="380" t="s">
        <v>786</v>
      </c>
      <c r="F10666" s="380" t="s">
        <v>1020</v>
      </c>
      <c r="G10666" s="380" t="s">
        <v>1267</v>
      </c>
      <c r="H10666" s="380" t="s">
        <v>771</v>
      </c>
      <c r="I10666" s="380" t="s">
        <v>788</v>
      </c>
      <c r="J10666" s="380" t="s">
        <v>773</v>
      </c>
      <c r="K10666" s="381">
        <v>0.0</v>
      </c>
      <c r="L10666" s="382">
        <v>1.0</v>
      </c>
    </row>
    <row r="10667">
      <c r="A10667" s="380" t="s">
        <v>11541</v>
      </c>
      <c r="B10667" s="380" t="str">
        <f>IFERROR(__xludf.DUMMYFUNCTION("""COMPUTED_VALUE"""),"Unidad Farola Pqueña 3177001 K256-880-2")</f>
        <v>Unidad Farola Pqueña 3177001 K256-880-2</v>
      </c>
      <c r="C10667" s="380" t="str">
        <f>IFERROR(__xludf.DUMMYFUNCTION("""COMPUTED_VALUE"""),"70006092")</f>
        <v>70006092</v>
      </c>
      <c r="D10667" s="380" t="s">
        <v>767</v>
      </c>
      <c r="E10667" s="380" t="s">
        <v>786</v>
      </c>
      <c r="F10667" s="380" t="s">
        <v>998</v>
      </c>
      <c r="G10667" s="380" t="s">
        <v>1267</v>
      </c>
      <c r="H10667" s="380" t="s">
        <v>771</v>
      </c>
      <c r="I10667" s="380" t="s">
        <v>788</v>
      </c>
      <c r="J10667" s="380" t="s">
        <v>773</v>
      </c>
      <c r="K10667" s="381">
        <v>90544.0</v>
      </c>
      <c r="L10667" s="382">
        <v>1.0</v>
      </c>
    </row>
    <row r="10668">
      <c r="A10668" s="380" t="s">
        <v>11542</v>
      </c>
      <c r="B10668" s="380" t="str">
        <f>IFERROR(__xludf.DUMMYFUNCTION("""COMPUTED_VALUE"""),"RET RDA Tras VW 2re501317p")</f>
        <v>RET RDA Tras VW 2re501317p</v>
      </c>
      <c r="C10668" s="380" t="str">
        <f>IFERROR(__xludf.DUMMYFUNCTION("""COMPUTED_VALUE"""),"70006093")</f>
        <v>70006093</v>
      </c>
      <c r="D10668" s="380" t="s">
        <v>767</v>
      </c>
      <c r="E10668" s="380" t="s">
        <v>786</v>
      </c>
      <c r="F10668" s="380" t="s">
        <v>1039</v>
      </c>
      <c r="G10668" s="380" t="s">
        <v>1267</v>
      </c>
      <c r="H10668" s="380" t="s">
        <v>771</v>
      </c>
      <c r="I10668" s="380" t="s">
        <v>788</v>
      </c>
      <c r="J10668" s="380" t="s">
        <v>773</v>
      </c>
      <c r="K10668" s="381">
        <v>0.0</v>
      </c>
      <c r="L10668" s="382">
        <v>1.0</v>
      </c>
    </row>
    <row r="10669">
      <c r="A10669" s="380" t="s">
        <v>11543</v>
      </c>
      <c r="B10669" s="380" t="str">
        <f>IFERROR(__xludf.DUMMYFUNCTION("""COMPUTED_VALUE"""),"Aro Farola Sellada KWh 3-2048-3")</f>
        <v>Aro Farola Sellada KWh 3-2048-3</v>
      </c>
      <c r="C10669" s="380" t="str">
        <f>IFERROR(__xludf.DUMMYFUNCTION("""COMPUTED_VALUE"""),"70006094")</f>
        <v>70006094</v>
      </c>
      <c r="D10669" s="380" t="s">
        <v>767</v>
      </c>
      <c r="E10669" s="380" t="s">
        <v>786</v>
      </c>
      <c r="F10669" s="380" t="s">
        <v>792</v>
      </c>
      <c r="G10669" s="380" t="s">
        <v>1267</v>
      </c>
      <c r="H10669" s="380" t="s">
        <v>771</v>
      </c>
      <c r="I10669" s="380" t="s">
        <v>788</v>
      </c>
      <c r="J10669" s="380" t="s">
        <v>773</v>
      </c>
      <c r="K10669" s="381">
        <v>0.0</v>
      </c>
      <c r="L10669" s="382">
        <v>1.0</v>
      </c>
    </row>
    <row r="10670">
      <c r="A10670" s="380" t="s">
        <v>11544</v>
      </c>
      <c r="B10670" s="380" t="str">
        <f>IFERROR(__xludf.DUMMYFUNCTION("""COMPUTED_VALUE"""),"Conector Luces 4 Sal Tc-46")</f>
        <v>Conector Luces 4 Sal Tc-46</v>
      </c>
      <c r="C10670" s="380" t="str">
        <f>IFERROR(__xludf.DUMMYFUNCTION("""COMPUTED_VALUE"""),"70006095")</f>
        <v>70006095</v>
      </c>
      <c r="D10670" s="380" t="s">
        <v>767</v>
      </c>
      <c r="E10670" s="380" t="s">
        <v>786</v>
      </c>
      <c r="F10670" s="380" t="s">
        <v>998</v>
      </c>
      <c r="G10670" s="380" t="s">
        <v>1267</v>
      </c>
      <c r="H10670" s="380" t="s">
        <v>771</v>
      </c>
      <c r="I10670" s="380" t="s">
        <v>788</v>
      </c>
      <c r="J10670" s="380" t="s">
        <v>773</v>
      </c>
      <c r="K10670" s="381">
        <v>0.0</v>
      </c>
      <c r="L10670" s="382">
        <v>1.0</v>
      </c>
    </row>
    <row r="10671">
      <c r="A10671" s="380" t="s">
        <v>11545</v>
      </c>
      <c r="B10671" s="380" t="str">
        <f>IFERROR(__xludf.DUMMYFUNCTION("""COMPUTED_VALUE"""),"Conector Luces 6 Salidas Polla C/12600")</f>
        <v>Conector Luces 6 Salidas Polla C/12600</v>
      </c>
      <c r="C10671" s="380" t="str">
        <f>IFERROR(__xludf.DUMMYFUNCTION("""COMPUTED_VALUE"""),"70006096")</f>
        <v>70006096</v>
      </c>
      <c r="D10671" s="380" t="s">
        <v>767</v>
      </c>
      <c r="E10671" s="380" t="s">
        <v>786</v>
      </c>
      <c r="F10671" s="380" t="s">
        <v>998</v>
      </c>
      <c r="G10671" s="380" t="s">
        <v>1267</v>
      </c>
      <c r="H10671" s="380" t="s">
        <v>771</v>
      </c>
      <c r="I10671" s="380" t="s">
        <v>788</v>
      </c>
      <c r="J10671" s="380" t="s">
        <v>773</v>
      </c>
      <c r="K10671" s="381">
        <v>0.0</v>
      </c>
      <c r="L10671" s="382">
        <v>1.0</v>
      </c>
    </row>
    <row r="10672">
      <c r="A10672" s="380" t="s">
        <v>11546</v>
      </c>
      <c r="B10672" s="380" t="str">
        <f>IFERROR(__xludf.DUMMYFUNCTION("""COMPUTED_VALUE"""),"Conector Luces Hembra 11720")</f>
        <v>Conector Luces Hembra 11720</v>
      </c>
      <c r="C10672" s="380" t="str">
        <f>IFERROR(__xludf.DUMMYFUNCTION("""COMPUTED_VALUE"""),"70006097")</f>
        <v>70006097</v>
      </c>
      <c r="D10672" s="380" t="s">
        <v>767</v>
      </c>
      <c r="E10672" s="380" t="s">
        <v>786</v>
      </c>
      <c r="F10672" s="380" t="s">
        <v>998</v>
      </c>
      <c r="G10672" s="380" t="s">
        <v>1267</v>
      </c>
      <c r="H10672" s="380" t="s">
        <v>771</v>
      </c>
      <c r="I10672" s="380" t="s">
        <v>788</v>
      </c>
      <c r="J10672" s="380" t="s">
        <v>773</v>
      </c>
      <c r="K10672" s="381">
        <v>53610.0</v>
      </c>
      <c r="L10672" s="382">
        <v>1.0</v>
      </c>
    </row>
    <row r="10673">
      <c r="A10673" s="380" t="s">
        <v>11547</v>
      </c>
      <c r="B10673" s="380" t="str">
        <f>IFERROR(__xludf.DUMMYFUNCTION("""COMPUTED_VALUE"""),"Clip Cojin Asiento Pasajero N 8942799770")</f>
        <v>Clip Cojin Asiento Pasajero N 8942799770</v>
      </c>
      <c r="C10673" s="380" t="str">
        <f>IFERROR(__xludf.DUMMYFUNCTION("""COMPUTED_VALUE"""),"70006098")</f>
        <v>70006098</v>
      </c>
      <c r="D10673" s="380" t="s">
        <v>767</v>
      </c>
      <c r="E10673" s="380" t="s">
        <v>786</v>
      </c>
      <c r="F10673" s="380" t="s">
        <v>792</v>
      </c>
      <c r="G10673" s="380" t="s">
        <v>1267</v>
      </c>
      <c r="H10673" s="380" t="s">
        <v>771</v>
      </c>
      <c r="I10673" s="380" t="s">
        <v>788</v>
      </c>
      <c r="J10673" s="380" t="s">
        <v>773</v>
      </c>
      <c r="K10673" s="381">
        <v>0.0</v>
      </c>
      <c r="L10673" s="382">
        <v>1.0</v>
      </c>
    </row>
    <row r="10674">
      <c r="A10674" s="380" t="s">
        <v>11548</v>
      </c>
      <c r="B10674" s="380" t="str">
        <f>IFERROR(__xludf.DUMMYFUNCTION("""COMPUTED_VALUE"""),"Retenedor Rueda Tras Nhr 57x72x10")</f>
        <v>Retenedor Rueda Tras Nhr 57x72x10</v>
      </c>
      <c r="C10674" s="380" t="str">
        <f>IFERROR(__xludf.DUMMYFUNCTION("""COMPUTED_VALUE"""),"70006099")</f>
        <v>70006099</v>
      </c>
      <c r="D10674" s="380" t="s">
        <v>767</v>
      </c>
      <c r="E10674" s="380" t="s">
        <v>786</v>
      </c>
      <c r="F10674" s="380" t="s">
        <v>1039</v>
      </c>
      <c r="G10674" s="380" t="s">
        <v>1267</v>
      </c>
      <c r="H10674" s="380" t="s">
        <v>771</v>
      </c>
      <c r="I10674" s="380" t="s">
        <v>788</v>
      </c>
      <c r="J10674" s="380" t="s">
        <v>773</v>
      </c>
      <c r="K10674" s="381">
        <v>0.0</v>
      </c>
      <c r="L10674" s="382">
        <v>1.0</v>
      </c>
    </row>
    <row r="10675">
      <c r="A10675" s="380" t="s">
        <v>11549</v>
      </c>
      <c r="B10675" s="380" t="str">
        <f>IFERROR(__xludf.DUMMYFUNCTION("""COMPUTED_VALUE"""),"Retenedor Rueda Tras Nhr 40x60x10")</f>
        <v>Retenedor Rueda Tras Nhr 40x60x10</v>
      </c>
      <c r="C10675" s="380" t="str">
        <f>IFERROR(__xludf.DUMMYFUNCTION("""COMPUTED_VALUE"""),"70006100")</f>
        <v>70006100</v>
      </c>
      <c r="D10675" s="380" t="s">
        <v>767</v>
      </c>
      <c r="E10675" s="380" t="s">
        <v>786</v>
      </c>
      <c r="F10675" s="380" t="s">
        <v>1039</v>
      </c>
      <c r="G10675" s="380" t="s">
        <v>1267</v>
      </c>
      <c r="H10675" s="380" t="s">
        <v>771</v>
      </c>
      <c r="I10675" s="380" t="s">
        <v>788</v>
      </c>
      <c r="J10675" s="380" t="s">
        <v>773</v>
      </c>
      <c r="K10675" s="381">
        <v>0.0</v>
      </c>
      <c r="L10675" s="382">
        <v>1.0</v>
      </c>
    </row>
    <row r="10676">
      <c r="A10676" s="380" t="s">
        <v>11550</v>
      </c>
      <c r="B10676" s="380" t="str">
        <f>IFERROR(__xludf.DUMMYFUNCTION("""COMPUTED_VALUE"""),"Conector Luces Macho 11702")</f>
        <v>Conector Luces Macho 11702</v>
      </c>
      <c r="C10676" s="380" t="str">
        <f>IFERROR(__xludf.DUMMYFUNCTION("""COMPUTED_VALUE"""),"70006101")</f>
        <v>70006101</v>
      </c>
      <c r="D10676" s="380" t="s">
        <v>767</v>
      </c>
      <c r="E10676" s="380" t="s">
        <v>786</v>
      </c>
      <c r="F10676" s="380" t="s">
        <v>998</v>
      </c>
      <c r="G10676" s="380" t="s">
        <v>1267</v>
      </c>
      <c r="H10676" s="380" t="s">
        <v>771</v>
      </c>
      <c r="I10676" s="380" t="s">
        <v>788</v>
      </c>
      <c r="J10676" s="380" t="s">
        <v>773</v>
      </c>
      <c r="K10676" s="381">
        <v>0.0</v>
      </c>
      <c r="L10676" s="382">
        <v>1.0</v>
      </c>
    </row>
    <row r="10677">
      <c r="A10677" s="380" t="s">
        <v>11551</v>
      </c>
      <c r="B10677" s="380" t="str">
        <f>IFERROR(__xludf.DUMMYFUNCTION("""COMPUTED_VALUE"""),"Unidad Sellada Eagle 4411")</f>
        <v>Unidad Sellada Eagle 4411</v>
      </c>
      <c r="C10677" s="380" t="str">
        <f>IFERROR(__xludf.DUMMYFUNCTION("""COMPUTED_VALUE"""),"70006102")</f>
        <v>70006102</v>
      </c>
      <c r="D10677" s="380" t="s">
        <v>767</v>
      </c>
      <c r="E10677" s="380" t="s">
        <v>786</v>
      </c>
      <c r="F10677" s="380" t="s">
        <v>998</v>
      </c>
      <c r="G10677" s="380" t="s">
        <v>1267</v>
      </c>
      <c r="H10677" s="380" t="s">
        <v>771</v>
      </c>
      <c r="I10677" s="380" t="s">
        <v>788</v>
      </c>
      <c r="J10677" s="380" t="s">
        <v>773</v>
      </c>
      <c r="K10677" s="381">
        <v>0.0</v>
      </c>
      <c r="L10677" s="382">
        <v>1.0</v>
      </c>
    </row>
    <row r="10678">
      <c r="A10678" s="380" t="s">
        <v>11552</v>
      </c>
      <c r="B10678" s="380" t="str">
        <f>IFERROR(__xludf.DUMMYFUNCTION("""COMPUTED_VALUE"""),"Grapa Muelle Trailer 7/8x5x7")</f>
        <v>Grapa Muelle Trailer 7/8x5x7</v>
      </c>
      <c r="C10678" s="380" t="str">
        <f>IFERROR(__xludf.DUMMYFUNCTION("""COMPUTED_VALUE"""),"70006103")</f>
        <v>70006103</v>
      </c>
      <c r="D10678" s="380" t="s">
        <v>767</v>
      </c>
      <c r="E10678" s="380" t="s">
        <v>786</v>
      </c>
      <c r="F10678" s="380" t="s">
        <v>1039</v>
      </c>
      <c r="G10678" s="380" t="s">
        <v>1267</v>
      </c>
      <c r="H10678" s="380" t="s">
        <v>771</v>
      </c>
      <c r="I10678" s="380" t="s">
        <v>788</v>
      </c>
      <c r="J10678" s="380" t="s">
        <v>773</v>
      </c>
      <c r="K10678" s="381">
        <v>0.0</v>
      </c>
      <c r="L10678" s="382">
        <v>1.0</v>
      </c>
    </row>
    <row r="10679">
      <c r="A10679" s="380" t="s">
        <v>11553</v>
      </c>
      <c r="B10679" s="380" t="str">
        <f>IFERROR(__xludf.DUMMYFUNCTION("""COMPUTED_VALUE"""),"Caucho Soporte Radiador Fabricado")</f>
        <v>Caucho Soporte Radiador Fabricado</v>
      </c>
      <c r="C10679" s="380" t="str">
        <f>IFERROR(__xludf.DUMMYFUNCTION("""COMPUTED_VALUE"""),"70006104")</f>
        <v>70006104</v>
      </c>
      <c r="D10679" s="380" t="s">
        <v>767</v>
      </c>
      <c r="E10679" s="380" t="s">
        <v>786</v>
      </c>
      <c r="F10679" s="380" t="s">
        <v>787</v>
      </c>
      <c r="G10679" s="380" t="s">
        <v>1267</v>
      </c>
      <c r="H10679" s="380" t="s">
        <v>771</v>
      </c>
      <c r="I10679" s="380" t="s">
        <v>788</v>
      </c>
      <c r="J10679" s="380" t="s">
        <v>773</v>
      </c>
      <c r="K10679" s="381">
        <v>0.0</v>
      </c>
      <c r="L10679" s="382">
        <v>1.0</v>
      </c>
    </row>
    <row r="10680">
      <c r="A10680" s="380" t="s">
        <v>11554</v>
      </c>
      <c r="B10680" s="380" t="str">
        <f>IFERROR(__xludf.DUMMYFUNCTION("""COMPUTED_VALUE"""),"Amortiguador Del Paifander 543023w485")</f>
        <v>Amortiguador Del Paifander 543023w485</v>
      </c>
      <c r="C10680" s="380" t="str">
        <f>IFERROR(__xludf.DUMMYFUNCTION("""COMPUTED_VALUE"""),"70006105")</f>
        <v>70006105</v>
      </c>
      <c r="D10680" s="380" t="s">
        <v>767</v>
      </c>
      <c r="E10680" s="380" t="s">
        <v>786</v>
      </c>
      <c r="F10680" s="380" t="s">
        <v>1039</v>
      </c>
      <c r="G10680" s="380" t="s">
        <v>1267</v>
      </c>
      <c r="H10680" s="380" t="s">
        <v>771</v>
      </c>
      <c r="I10680" s="380" t="s">
        <v>788</v>
      </c>
      <c r="J10680" s="380" t="s">
        <v>773</v>
      </c>
      <c r="K10680" s="381">
        <v>0.0</v>
      </c>
      <c r="L10680" s="382">
        <v>1.0</v>
      </c>
    </row>
    <row r="10681">
      <c r="A10681" s="380" t="s">
        <v>11555</v>
      </c>
      <c r="B10681" s="380" t="str">
        <f>IFERROR(__xludf.DUMMYFUNCTION("""COMPUTED_VALUE"""),"Pin Tras Salida Caja 14915 SB N14 16763")</f>
        <v>Pin Tras Salida Caja 14915 SB N14 16763</v>
      </c>
      <c r="C10681" s="380" t="str">
        <f>IFERROR(__xludf.DUMMYFUNCTION("""COMPUTED_VALUE"""),"70006107")</f>
        <v>70006107</v>
      </c>
      <c r="D10681" s="380" t="s">
        <v>767</v>
      </c>
      <c r="E10681" s="380" t="s">
        <v>786</v>
      </c>
      <c r="F10681" s="380" t="s">
        <v>928</v>
      </c>
      <c r="G10681" s="380" t="s">
        <v>1267</v>
      </c>
      <c r="H10681" s="380" t="s">
        <v>771</v>
      </c>
      <c r="I10681" s="380" t="s">
        <v>788</v>
      </c>
      <c r="J10681" s="380" t="s">
        <v>773</v>
      </c>
      <c r="K10681" s="381">
        <v>0.0</v>
      </c>
      <c r="L10681" s="382">
        <v>1.0</v>
      </c>
    </row>
    <row r="10682">
      <c r="A10682" s="380" t="s">
        <v>11556</v>
      </c>
      <c r="B10682" s="380" t="str">
        <f>IFERROR(__xludf.DUMMYFUNCTION("""COMPUTED_VALUE"""),"Balinera Manzana VENT Hi Koyo 3564a1cs31")</f>
        <v>Balinera Manzana VENT Hi Koyo 3564a1cs31</v>
      </c>
      <c r="C10682" s="380" t="str">
        <f>IFERROR(__xludf.DUMMYFUNCTION("""COMPUTED_VALUE"""),"70006108")</f>
        <v>70006108</v>
      </c>
      <c r="D10682" s="380" t="s">
        <v>767</v>
      </c>
      <c r="E10682" s="380" t="s">
        <v>786</v>
      </c>
      <c r="F10682" s="380" t="s">
        <v>787</v>
      </c>
      <c r="G10682" s="380" t="s">
        <v>1267</v>
      </c>
      <c r="H10682" s="380" t="s">
        <v>771</v>
      </c>
      <c r="I10682" s="380" t="s">
        <v>788</v>
      </c>
      <c r="J10682" s="380" t="s">
        <v>773</v>
      </c>
      <c r="K10682" s="381">
        <v>0.0</v>
      </c>
      <c r="L10682" s="382">
        <v>1.0</v>
      </c>
    </row>
    <row r="10683">
      <c r="A10683" s="380" t="s">
        <v>11557</v>
      </c>
      <c r="B10683" s="380" t="str">
        <f>IFERROR(__xludf.DUMMYFUNCTION("""COMPUTED_VALUE"""),"Piñon Limpiabrisas Hi Fabricado")</f>
        <v>Piñon Limpiabrisas Hi Fabricado</v>
      </c>
      <c r="C10683" s="380" t="str">
        <f>IFERROR(__xludf.DUMMYFUNCTION("""COMPUTED_VALUE"""),"70006109")</f>
        <v>70006109</v>
      </c>
      <c r="D10683" s="380" t="s">
        <v>767</v>
      </c>
      <c r="E10683" s="380" t="s">
        <v>786</v>
      </c>
      <c r="F10683" s="380" t="s">
        <v>998</v>
      </c>
      <c r="G10683" s="380" t="s">
        <v>1267</v>
      </c>
      <c r="H10683" s="380" t="s">
        <v>771</v>
      </c>
      <c r="I10683" s="380" t="s">
        <v>788</v>
      </c>
      <c r="J10683" s="380" t="s">
        <v>773</v>
      </c>
      <c r="K10683" s="381">
        <v>0.0</v>
      </c>
      <c r="L10683" s="382">
        <v>1.0</v>
      </c>
    </row>
    <row r="10684">
      <c r="A10684" s="380" t="s">
        <v>11558</v>
      </c>
      <c r="B10684" s="380" t="str">
        <f>IFERROR(__xludf.DUMMYFUNCTION("""COMPUTED_VALUE"""),"Valvula Doble Boton Raparada N14")</f>
        <v>Valvula Doble Boton Raparada N14</v>
      </c>
      <c r="C10684" s="380" t="str">
        <f>IFERROR(__xludf.DUMMYFUNCTION("""COMPUTED_VALUE"""),"70006110")</f>
        <v>70006110</v>
      </c>
      <c r="D10684" s="380" t="s">
        <v>767</v>
      </c>
      <c r="E10684" s="380" t="s">
        <v>786</v>
      </c>
      <c r="F10684" s="380" t="s">
        <v>1017</v>
      </c>
      <c r="G10684" s="380" t="s">
        <v>1267</v>
      </c>
      <c r="H10684" s="380" t="s">
        <v>771</v>
      </c>
      <c r="I10684" s="380" t="s">
        <v>788</v>
      </c>
      <c r="J10684" s="380" t="s">
        <v>773</v>
      </c>
      <c r="K10684" s="381">
        <v>0.0</v>
      </c>
      <c r="L10684" s="382">
        <v>1.0</v>
      </c>
    </row>
    <row r="10685">
      <c r="A10685" s="380" t="s">
        <v>11559</v>
      </c>
      <c r="B10685" s="380" t="str">
        <f>IFERROR(__xludf.DUMMYFUNCTION("""COMPUTED_VALUE"""),"Valvula Reguladora Caja SB N14 A4740-1")</f>
        <v>Valvula Reguladora Caja SB N14 A4740-1</v>
      </c>
      <c r="C10685" s="380" t="str">
        <f>IFERROR(__xludf.DUMMYFUNCTION("""COMPUTED_VALUE"""),"70006111")</f>
        <v>70006111</v>
      </c>
      <c r="D10685" s="380" t="s">
        <v>767</v>
      </c>
      <c r="E10685" s="380" t="s">
        <v>786</v>
      </c>
      <c r="F10685" s="380" t="s">
        <v>5683</v>
      </c>
      <c r="G10685" s="380" t="s">
        <v>1267</v>
      </c>
      <c r="H10685" s="380" t="s">
        <v>771</v>
      </c>
      <c r="I10685" s="380" t="s">
        <v>788</v>
      </c>
      <c r="J10685" s="380" t="s">
        <v>773</v>
      </c>
      <c r="K10685" s="381">
        <v>0.0</v>
      </c>
      <c r="L10685" s="382">
        <v>1.0</v>
      </c>
    </row>
    <row r="10686">
      <c r="A10686" s="380" t="s">
        <v>11560</v>
      </c>
      <c r="B10686" s="380" t="str">
        <f>IFERROR(__xludf.DUMMYFUNCTION("""COMPUTED_VALUE"""),"Soporte Eje Leva Trailer Coa001302")</f>
        <v>Soporte Eje Leva Trailer Coa001302</v>
      </c>
      <c r="C10686" s="380" t="str">
        <f>IFERROR(__xludf.DUMMYFUNCTION("""COMPUTED_VALUE"""),"70006112")</f>
        <v>70006112</v>
      </c>
      <c r="D10686" s="380" t="s">
        <v>767</v>
      </c>
      <c r="E10686" s="380" t="s">
        <v>786</v>
      </c>
      <c r="F10686" s="380" t="s">
        <v>1039</v>
      </c>
      <c r="G10686" s="380" t="s">
        <v>1267</v>
      </c>
      <c r="H10686" s="380" t="s">
        <v>771</v>
      </c>
      <c r="I10686" s="380" t="s">
        <v>788</v>
      </c>
      <c r="J10686" s="380" t="s">
        <v>773</v>
      </c>
      <c r="K10686" s="381">
        <v>0.0</v>
      </c>
      <c r="L10686" s="382">
        <v>1.0</v>
      </c>
    </row>
    <row r="10687">
      <c r="A10687" s="380" t="s">
        <v>11561</v>
      </c>
      <c r="B10687" s="380" t="str">
        <f>IFERROR(__xludf.DUMMYFUNCTION("""COMPUTED_VALUE"""),"Tapa Deposito Radiador Eagle 6 Psi")</f>
        <v>Tapa Deposito Radiador Eagle 6 Psi</v>
      </c>
      <c r="C10687" s="380" t="str">
        <f>IFERROR(__xludf.DUMMYFUNCTION("""COMPUTED_VALUE"""),"70006113")</f>
        <v>70006113</v>
      </c>
      <c r="D10687" s="380" t="s">
        <v>767</v>
      </c>
      <c r="E10687" s="380" t="s">
        <v>786</v>
      </c>
      <c r="F10687" s="380" t="s">
        <v>787</v>
      </c>
      <c r="G10687" s="380" t="s">
        <v>1267</v>
      </c>
      <c r="H10687" s="380" t="s">
        <v>771</v>
      </c>
      <c r="I10687" s="380" t="s">
        <v>788</v>
      </c>
      <c r="J10687" s="380" t="s">
        <v>773</v>
      </c>
      <c r="K10687" s="381">
        <v>0.0</v>
      </c>
      <c r="L10687" s="382">
        <v>1.0</v>
      </c>
    </row>
    <row r="10688">
      <c r="A10688" s="380" t="s">
        <v>11562</v>
      </c>
      <c r="B10688" s="380" t="str">
        <f>IFERROR(__xludf.DUMMYFUNCTION("""COMPUTED_VALUE"""),"Motor Arranque Montacarga Rep")</f>
        <v>Motor Arranque Montacarga Rep</v>
      </c>
      <c r="C10688" s="380" t="str">
        <f>IFERROR(__xludf.DUMMYFUNCTION("""COMPUTED_VALUE"""),"70006114")</f>
        <v>70006114</v>
      </c>
      <c r="D10688" s="380" t="s">
        <v>767</v>
      </c>
      <c r="E10688" s="380" t="s">
        <v>786</v>
      </c>
      <c r="F10688" s="380" t="s">
        <v>998</v>
      </c>
      <c r="G10688" s="380" t="s">
        <v>1267</v>
      </c>
      <c r="H10688" s="380" t="s">
        <v>771</v>
      </c>
      <c r="I10688" s="380" t="s">
        <v>788</v>
      </c>
      <c r="J10688" s="380" t="s">
        <v>773</v>
      </c>
      <c r="K10688" s="381">
        <v>0.0</v>
      </c>
      <c r="L10688" s="382">
        <v>1.0</v>
      </c>
    </row>
    <row r="10689">
      <c r="A10689" s="380" t="s">
        <v>11563</v>
      </c>
      <c r="B10689" s="380" t="str">
        <f>IFERROR(__xludf.DUMMYFUNCTION("""COMPUTED_VALUE"""),"Acoplamiento Ensamble Quinta RDA 5 Rueda")</f>
        <v>Acoplamiento Ensamble Quinta RDA 5 Rueda</v>
      </c>
      <c r="C10689" s="380" t="str">
        <f>IFERROR(__xludf.DUMMYFUNCTION("""COMPUTED_VALUE"""),"70006115")</f>
        <v>70006115</v>
      </c>
      <c r="D10689" s="380" t="s">
        <v>767</v>
      </c>
      <c r="E10689" s="380" t="s">
        <v>786</v>
      </c>
      <c r="F10689" s="380" t="s">
        <v>792</v>
      </c>
      <c r="G10689" s="380" t="s">
        <v>1267</v>
      </c>
      <c r="H10689" s="380" t="s">
        <v>771</v>
      </c>
      <c r="I10689" s="380" t="s">
        <v>788</v>
      </c>
      <c r="J10689" s="380" t="s">
        <v>773</v>
      </c>
      <c r="K10689" s="381">
        <v>0.0</v>
      </c>
      <c r="L10689" s="382">
        <v>1.0</v>
      </c>
    </row>
    <row r="10690">
      <c r="A10690" s="380" t="s">
        <v>11564</v>
      </c>
      <c r="B10690" s="380" t="str">
        <f>IFERROR(__xludf.DUMMYFUNCTION("""COMPUTED_VALUE"""),"Hoja Resorte Tras Eagle T800/2v")</f>
        <v>Hoja Resorte Tras Eagle T800/2v</v>
      </c>
      <c r="C10690" s="380" t="str">
        <f>IFERROR(__xludf.DUMMYFUNCTION("""COMPUTED_VALUE"""),"70006116")</f>
        <v>70006116</v>
      </c>
      <c r="D10690" s="380" t="s">
        <v>767</v>
      </c>
      <c r="E10690" s="380" t="s">
        <v>786</v>
      </c>
      <c r="F10690" s="380" t="s">
        <v>1039</v>
      </c>
      <c r="G10690" s="380" t="s">
        <v>1267</v>
      </c>
      <c r="H10690" s="380" t="s">
        <v>771</v>
      </c>
      <c r="I10690" s="380" t="s">
        <v>788</v>
      </c>
      <c r="J10690" s="380" t="s">
        <v>773</v>
      </c>
      <c r="K10690" s="381">
        <v>340000.0</v>
      </c>
      <c r="L10690" s="382">
        <v>1.0</v>
      </c>
    </row>
    <row r="10691">
      <c r="A10691" s="380" t="s">
        <v>11565</v>
      </c>
      <c r="B10691" s="380" t="str">
        <f>IFERROR(__xludf.DUMMYFUNCTION("""COMPUTED_VALUE"""),"Switch Direcal S Carry 3740083223")</f>
        <v>Switch Direcal S Carry 3740083223</v>
      </c>
      <c r="C10691" s="380" t="str">
        <f>IFERROR(__xludf.DUMMYFUNCTION("""COMPUTED_VALUE"""),"70006117")</f>
        <v>70006117</v>
      </c>
      <c r="D10691" s="380" t="s">
        <v>767</v>
      </c>
      <c r="E10691" s="380" t="s">
        <v>786</v>
      </c>
      <c r="F10691" s="380" t="s">
        <v>998</v>
      </c>
      <c r="G10691" s="380" t="s">
        <v>1267</v>
      </c>
      <c r="H10691" s="380" t="s">
        <v>771</v>
      </c>
      <c r="I10691" s="380" t="s">
        <v>788</v>
      </c>
      <c r="J10691" s="380" t="s">
        <v>773</v>
      </c>
      <c r="K10691" s="381">
        <v>0.0</v>
      </c>
      <c r="L10691" s="382">
        <v>1.0</v>
      </c>
    </row>
    <row r="10692">
      <c r="A10692" s="380" t="s">
        <v>11566</v>
      </c>
      <c r="B10692" s="380" t="str">
        <f>IFERROR(__xludf.DUMMYFUNCTION("""COMPUTED_VALUE"""),"Varilla Medidora Aceite Npr 8970944602")</f>
        <v>Varilla Medidora Aceite Npr 8970944602</v>
      </c>
      <c r="C10692" s="380" t="str">
        <f>IFERROR(__xludf.DUMMYFUNCTION("""COMPUTED_VALUE"""),"70006118")</f>
        <v>70006118</v>
      </c>
      <c r="D10692" s="380" t="s">
        <v>767</v>
      </c>
      <c r="E10692" s="380" t="s">
        <v>786</v>
      </c>
      <c r="F10692" s="380" t="s">
        <v>787</v>
      </c>
      <c r="G10692" s="380" t="s">
        <v>1267</v>
      </c>
      <c r="H10692" s="380" t="s">
        <v>771</v>
      </c>
      <c r="I10692" s="380" t="s">
        <v>788</v>
      </c>
      <c r="J10692" s="380" t="s">
        <v>773</v>
      </c>
      <c r="K10692" s="381">
        <v>0.0</v>
      </c>
      <c r="L10692" s="382">
        <v>1.0</v>
      </c>
    </row>
    <row r="10693">
      <c r="A10693" s="380" t="s">
        <v>11567</v>
      </c>
      <c r="B10693" s="380" t="str">
        <f>IFERROR(__xludf.DUMMYFUNCTION("""COMPUTED_VALUE"""),"Pasador Balancin Trailer H-830")</f>
        <v>Pasador Balancin Trailer H-830</v>
      </c>
      <c r="C10693" s="380" t="str">
        <f>IFERROR(__xludf.DUMMYFUNCTION("""COMPUTED_VALUE"""),"70006119")</f>
        <v>70006119</v>
      </c>
      <c r="D10693" s="380" t="s">
        <v>767</v>
      </c>
      <c r="E10693" s="380" t="s">
        <v>786</v>
      </c>
      <c r="F10693" s="380" t="s">
        <v>1039</v>
      </c>
      <c r="G10693" s="380" t="s">
        <v>1267</v>
      </c>
      <c r="H10693" s="380" t="s">
        <v>771</v>
      </c>
      <c r="I10693" s="380" t="s">
        <v>788</v>
      </c>
      <c r="J10693" s="380" t="s">
        <v>773</v>
      </c>
      <c r="K10693" s="381">
        <v>68425.0</v>
      </c>
      <c r="L10693" s="382">
        <v>1.0</v>
      </c>
    </row>
    <row r="10694">
      <c r="A10694" s="380" t="s">
        <v>11568</v>
      </c>
      <c r="B10694" s="380" t="str">
        <f>IFERROR(__xludf.DUMMYFUNCTION("""COMPUTED_VALUE"""),"Kit EMB Con Turbo Nhr 521 Isuzu 95622588")</f>
        <v>Kit EMB Con Turbo Nhr 521 Isuzu 95622588</v>
      </c>
      <c r="C10694" s="380" t="str">
        <f>IFERROR(__xludf.DUMMYFUNCTION("""COMPUTED_VALUE"""),"70006120")</f>
        <v>70006120</v>
      </c>
      <c r="D10694" s="380" t="s">
        <v>767</v>
      </c>
      <c r="E10694" s="380" t="s">
        <v>786</v>
      </c>
      <c r="F10694" s="380" t="s">
        <v>5661</v>
      </c>
      <c r="G10694" s="380" t="s">
        <v>1267</v>
      </c>
      <c r="H10694" s="380" t="s">
        <v>771</v>
      </c>
      <c r="I10694" s="380" t="s">
        <v>788</v>
      </c>
      <c r="J10694" s="380" t="s">
        <v>773</v>
      </c>
      <c r="K10694" s="381">
        <v>0.0</v>
      </c>
      <c r="L10694" s="382">
        <v>1.0</v>
      </c>
    </row>
    <row r="10695">
      <c r="A10695" s="380" t="s">
        <v>11569</v>
      </c>
      <c r="B10695" s="380" t="str">
        <f>IFERROR(__xludf.DUMMYFUNCTION("""COMPUTED_VALUE"""),"Barra Direc Eagle 3500966c91")</f>
        <v>Barra Direc Eagle 3500966c91</v>
      </c>
      <c r="C10695" s="380" t="str">
        <f>IFERROR(__xludf.DUMMYFUNCTION("""COMPUTED_VALUE"""),"70006121")</f>
        <v>70006121</v>
      </c>
      <c r="D10695" s="380" t="s">
        <v>767</v>
      </c>
      <c r="E10695" s="380" t="s">
        <v>786</v>
      </c>
      <c r="F10695" s="380" t="s">
        <v>1020</v>
      </c>
      <c r="G10695" s="380" t="s">
        <v>1267</v>
      </c>
      <c r="H10695" s="380" t="s">
        <v>771</v>
      </c>
      <c r="I10695" s="380" t="s">
        <v>788</v>
      </c>
      <c r="J10695" s="380" t="s">
        <v>773</v>
      </c>
      <c r="K10695" s="381">
        <v>0.0</v>
      </c>
      <c r="L10695" s="382">
        <v>1.0</v>
      </c>
    </row>
    <row r="10696">
      <c r="A10696" s="380" t="s">
        <v>11570</v>
      </c>
      <c r="B10696" s="380" t="str">
        <f>IFERROR(__xludf.DUMMYFUNCTION("""COMPUTED_VALUE"""),"Capo Eagle 3521969c91")</f>
        <v>Capo Eagle 3521969c91</v>
      </c>
      <c r="C10696" s="380" t="str">
        <f>IFERROR(__xludf.DUMMYFUNCTION("""COMPUTED_VALUE"""),"70006122")</f>
        <v>70006122</v>
      </c>
      <c r="D10696" s="380" t="s">
        <v>767</v>
      </c>
      <c r="E10696" s="380" t="s">
        <v>786</v>
      </c>
      <c r="F10696" s="380" t="s">
        <v>792</v>
      </c>
      <c r="G10696" s="380" t="s">
        <v>1267</v>
      </c>
      <c r="H10696" s="380" t="s">
        <v>771</v>
      </c>
      <c r="I10696" s="380" t="s">
        <v>788</v>
      </c>
      <c r="J10696" s="380" t="s">
        <v>773</v>
      </c>
      <c r="K10696" s="381">
        <v>0.0</v>
      </c>
      <c r="L10696" s="382">
        <v>1.0</v>
      </c>
    </row>
    <row r="10697">
      <c r="A10697" s="380" t="s">
        <v>11571</v>
      </c>
      <c r="B10697" s="380" t="str">
        <f>IFERROR(__xludf.DUMMYFUNCTION("""COMPUTED_VALUE"""),"Enfocador Radiador Eagle 3501656c2")</f>
        <v>Enfocador Radiador Eagle 3501656c2</v>
      </c>
      <c r="C10697" s="380" t="str">
        <f>IFERROR(__xludf.DUMMYFUNCTION("""COMPUTED_VALUE"""),"70006123")</f>
        <v>70006123</v>
      </c>
      <c r="D10697" s="380" t="s">
        <v>767</v>
      </c>
      <c r="E10697" s="380" t="s">
        <v>786</v>
      </c>
      <c r="F10697" s="380" t="s">
        <v>787</v>
      </c>
      <c r="G10697" s="380" t="s">
        <v>1267</v>
      </c>
      <c r="H10697" s="380" t="s">
        <v>771</v>
      </c>
      <c r="I10697" s="380" t="s">
        <v>788</v>
      </c>
      <c r="J10697" s="380" t="s">
        <v>773</v>
      </c>
      <c r="K10697" s="381">
        <v>986797.0</v>
      </c>
      <c r="L10697" s="382">
        <v>1.0</v>
      </c>
    </row>
    <row r="10698">
      <c r="A10698" s="380" t="s">
        <v>11572</v>
      </c>
      <c r="B10698" s="380" t="str">
        <f>IFERROR(__xludf.DUMMYFUNCTION("""COMPUTED_VALUE"""),"Moldura Limpiabrisas Npr 8978579801")</f>
        <v>Moldura Limpiabrisas Npr 8978579801</v>
      </c>
      <c r="C10698" s="380" t="str">
        <f>IFERROR(__xludf.DUMMYFUNCTION("""COMPUTED_VALUE"""),"70006124")</f>
        <v>70006124</v>
      </c>
      <c r="D10698" s="380" t="s">
        <v>767</v>
      </c>
      <c r="E10698" s="380" t="s">
        <v>786</v>
      </c>
      <c r="F10698" s="380" t="s">
        <v>792</v>
      </c>
      <c r="G10698" s="380" t="s">
        <v>1267</v>
      </c>
      <c r="H10698" s="380" t="s">
        <v>771</v>
      </c>
      <c r="I10698" s="380" t="s">
        <v>788</v>
      </c>
      <c r="J10698" s="380" t="s">
        <v>773</v>
      </c>
      <c r="K10698" s="381">
        <v>0.0</v>
      </c>
      <c r="L10698" s="382">
        <v>1.0</v>
      </c>
    </row>
    <row r="10699">
      <c r="A10699" s="380" t="s">
        <v>11573</v>
      </c>
      <c r="B10699" s="380" t="str">
        <f>IFERROR(__xludf.DUMMYFUNCTION("""COMPUTED_VALUE"""),"Complemento SOP MOT Chevrolet 12005-3208")</f>
        <v>Complemento SOP MOT Chevrolet 12005-3208</v>
      </c>
      <c r="C10699" s="380" t="str">
        <f>IFERROR(__xludf.DUMMYFUNCTION("""COMPUTED_VALUE"""),"70006125")</f>
        <v>70006125</v>
      </c>
      <c r="D10699" s="380" t="s">
        <v>767</v>
      </c>
      <c r="E10699" s="380" t="s">
        <v>786</v>
      </c>
      <c r="F10699" s="380" t="s">
        <v>787</v>
      </c>
      <c r="G10699" s="380" t="s">
        <v>1267</v>
      </c>
      <c r="H10699" s="380" t="s">
        <v>771</v>
      </c>
      <c r="I10699" s="380" t="s">
        <v>788</v>
      </c>
      <c r="J10699" s="380" t="s">
        <v>773</v>
      </c>
      <c r="K10699" s="381">
        <v>0.0</v>
      </c>
      <c r="L10699" s="382">
        <v>1.0</v>
      </c>
    </row>
    <row r="10700">
      <c r="A10700" s="380" t="s">
        <v>11574</v>
      </c>
      <c r="B10700" s="380" t="str">
        <f>IFERROR(__xludf.DUMMYFUNCTION("""COMPUTED_VALUE"""),"Kit Piston Moto Fr100")</f>
        <v>Kit Piston Moto Fr100</v>
      </c>
      <c r="C10700" s="380" t="str">
        <f>IFERROR(__xludf.DUMMYFUNCTION("""COMPUTED_VALUE"""),"70006126")</f>
        <v>70006126</v>
      </c>
      <c r="D10700" s="380" t="s">
        <v>767</v>
      </c>
      <c r="E10700" s="380" t="s">
        <v>786</v>
      </c>
      <c r="F10700" s="380" t="s">
        <v>787</v>
      </c>
      <c r="G10700" s="380" t="s">
        <v>1267</v>
      </c>
      <c r="H10700" s="380" t="s">
        <v>771</v>
      </c>
      <c r="I10700" s="380" t="s">
        <v>788</v>
      </c>
      <c r="J10700" s="380" t="s">
        <v>773</v>
      </c>
      <c r="K10700" s="381">
        <v>0.0</v>
      </c>
      <c r="L10700" s="382">
        <v>1.0</v>
      </c>
    </row>
    <row r="10701">
      <c r="A10701" s="380" t="s">
        <v>11575</v>
      </c>
      <c r="B10701" s="380" t="str">
        <f>IFERROR(__xludf.DUMMYFUNCTION("""COMPUTED_VALUE"""),"Emblema Persiana Eagle 3506645c3")</f>
        <v>Emblema Persiana Eagle 3506645c3</v>
      </c>
      <c r="C10701" s="380" t="str">
        <f>IFERROR(__xludf.DUMMYFUNCTION("""COMPUTED_VALUE"""),"70006127")</f>
        <v>70006127</v>
      </c>
      <c r="D10701" s="380" t="s">
        <v>767</v>
      </c>
      <c r="E10701" s="380" t="s">
        <v>786</v>
      </c>
      <c r="F10701" s="380" t="s">
        <v>792</v>
      </c>
      <c r="G10701" s="380" t="s">
        <v>1267</v>
      </c>
      <c r="H10701" s="380" t="s">
        <v>771</v>
      </c>
      <c r="I10701" s="380" t="s">
        <v>788</v>
      </c>
      <c r="J10701" s="380" t="s">
        <v>773</v>
      </c>
      <c r="K10701" s="381">
        <v>0.0</v>
      </c>
      <c r="L10701" s="382">
        <v>1.0</v>
      </c>
    </row>
    <row r="10702">
      <c r="A10702" s="380" t="s">
        <v>11576</v>
      </c>
      <c r="B10702" s="380" t="str">
        <f>IFERROR(__xludf.DUMMYFUNCTION("""COMPUTED_VALUE"""),"Tapa Tanque Expansion Npr 8972177960")</f>
        <v>Tapa Tanque Expansion Npr 8972177960</v>
      </c>
      <c r="C10702" s="380" t="str">
        <f>IFERROR(__xludf.DUMMYFUNCTION("""COMPUTED_VALUE"""),"70006128")</f>
        <v>70006128</v>
      </c>
      <c r="D10702" s="380" t="s">
        <v>767</v>
      </c>
      <c r="E10702" s="380" t="s">
        <v>786</v>
      </c>
      <c r="F10702" s="380" t="s">
        <v>787</v>
      </c>
      <c r="G10702" s="380" t="s">
        <v>1267</v>
      </c>
      <c r="H10702" s="380" t="s">
        <v>771</v>
      </c>
      <c r="I10702" s="380" t="s">
        <v>788</v>
      </c>
      <c r="J10702" s="380" t="s">
        <v>773</v>
      </c>
      <c r="K10702" s="381">
        <v>0.0</v>
      </c>
      <c r="L10702" s="382">
        <v>1.0</v>
      </c>
    </row>
    <row r="10703">
      <c r="A10703" s="380" t="s">
        <v>11577</v>
      </c>
      <c r="B10703" s="380" t="str">
        <f>IFERROR(__xludf.DUMMYFUNCTION("""COMPUTED_VALUE"""),"Placa Riel De 3/16 X 3mts Trailer")</f>
        <v>Placa Riel De 3/16 X 3mts Trailer</v>
      </c>
      <c r="C10703" s="380" t="str">
        <f>IFERROR(__xludf.DUMMYFUNCTION("""COMPUTED_VALUE"""),"70006129")</f>
        <v>70006129</v>
      </c>
      <c r="D10703" s="380" t="s">
        <v>767</v>
      </c>
      <c r="E10703" s="380" t="s">
        <v>786</v>
      </c>
      <c r="F10703" s="380" t="s">
        <v>792</v>
      </c>
      <c r="G10703" s="380" t="s">
        <v>1267</v>
      </c>
      <c r="H10703" s="380" t="s">
        <v>771</v>
      </c>
      <c r="I10703" s="380" t="s">
        <v>788</v>
      </c>
      <c r="J10703" s="380" t="s">
        <v>773</v>
      </c>
      <c r="K10703" s="381">
        <v>0.0</v>
      </c>
      <c r="L10703" s="382">
        <v>1.0</v>
      </c>
    </row>
    <row r="10704">
      <c r="A10704" s="380" t="s">
        <v>11578</v>
      </c>
      <c r="B10704" s="380" t="str">
        <f>IFERROR(__xludf.DUMMYFUNCTION("""COMPUTED_VALUE"""),"Rodillo Caja Fuller 14718b 4303031")</f>
        <v>Rodillo Caja Fuller 14718b 4303031</v>
      </c>
      <c r="C10704" s="380" t="str">
        <f>IFERROR(__xludf.DUMMYFUNCTION("""COMPUTED_VALUE"""),"70006130")</f>
        <v>70006130</v>
      </c>
      <c r="D10704" s="380" t="s">
        <v>767</v>
      </c>
      <c r="E10704" s="380" t="s">
        <v>786</v>
      </c>
      <c r="F10704" s="380" t="s">
        <v>928</v>
      </c>
      <c r="G10704" s="380" t="s">
        <v>1267</v>
      </c>
      <c r="H10704" s="380" t="s">
        <v>771</v>
      </c>
      <c r="I10704" s="380" t="s">
        <v>788</v>
      </c>
      <c r="J10704" s="380" t="s">
        <v>773</v>
      </c>
      <c r="K10704" s="381">
        <v>0.0</v>
      </c>
      <c r="L10704" s="382">
        <v>1.0</v>
      </c>
    </row>
    <row r="10705">
      <c r="A10705" s="380" t="s">
        <v>11579</v>
      </c>
      <c r="B10705" s="380" t="str">
        <f>IFERROR(__xludf.DUMMYFUNCTION("""COMPUTED_VALUE"""),"Deposito Aux Radiador Eagle 1675831c1")</f>
        <v>Deposito Aux Radiador Eagle 1675831c1</v>
      </c>
      <c r="C10705" s="380" t="str">
        <f>IFERROR(__xludf.DUMMYFUNCTION("""COMPUTED_VALUE"""),"70006131")</f>
        <v>70006131</v>
      </c>
      <c r="D10705" s="380" t="s">
        <v>767</v>
      </c>
      <c r="E10705" s="380" t="s">
        <v>786</v>
      </c>
      <c r="F10705" s="380" t="s">
        <v>787</v>
      </c>
      <c r="G10705" s="380" t="s">
        <v>1267</v>
      </c>
      <c r="H10705" s="380" t="s">
        <v>771</v>
      </c>
      <c r="I10705" s="380" t="s">
        <v>788</v>
      </c>
      <c r="J10705" s="380" t="s">
        <v>773</v>
      </c>
      <c r="K10705" s="381">
        <v>0.0</v>
      </c>
      <c r="L10705" s="382">
        <v>1.0</v>
      </c>
    </row>
    <row r="10706">
      <c r="A10706" s="380" t="s">
        <v>11580</v>
      </c>
      <c r="B10706" s="380" t="str">
        <f>IFERROR(__xludf.DUMMYFUNCTION("""COMPUTED_VALUE"""),"Eje Balancines Hyundai H100 Porter")</f>
        <v>Eje Balancines Hyundai H100 Porter</v>
      </c>
      <c r="C10706" s="380" t="str">
        <f>IFERROR(__xludf.DUMMYFUNCTION("""COMPUTED_VALUE"""),"70006132")</f>
        <v>70006132</v>
      </c>
      <c r="D10706" s="380" t="s">
        <v>767</v>
      </c>
      <c r="E10706" s="380" t="s">
        <v>786</v>
      </c>
      <c r="F10706" s="380" t="s">
        <v>787</v>
      </c>
      <c r="G10706" s="380" t="s">
        <v>1267</v>
      </c>
      <c r="H10706" s="380" t="s">
        <v>771</v>
      </c>
      <c r="I10706" s="380" t="s">
        <v>788</v>
      </c>
      <c r="J10706" s="380" t="s">
        <v>773</v>
      </c>
      <c r="K10706" s="381">
        <v>0.0</v>
      </c>
      <c r="L10706" s="382">
        <v>1.0</v>
      </c>
    </row>
    <row r="10707">
      <c r="A10707" s="380" t="s">
        <v>11581</v>
      </c>
      <c r="B10707" s="380" t="str">
        <f>IFERROR(__xludf.DUMMYFUNCTION("""COMPUTED_VALUE"""),"Sello Bobina Freno MO Cummins Sb-3871218")</f>
        <v>Sello Bobina Freno MO Cummins Sb-3871218</v>
      </c>
      <c r="C10707" s="380" t="str">
        <f>IFERROR(__xludf.DUMMYFUNCTION("""COMPUTED_VALUE"""),"70006133")</f>
        <v>70006133</v>
      </c>
      <c r="D10707" s="380" t="s">
        <v>767</v>
      </c>
      <c r="E10707" s="380" t="s">
        <v>786</v>
      </c>
      <c r="F10707" s="380" t="s">
        <v>787</v>
      </c>
      <c r="G10707" s="380" t="s">
        <v>1267</v>
      </c>
      <c r="H10707" s="380" t="s">
        <v>771</v>
      </c>
      <c r="I10707" s="380" t="s">
        <v>788</v>
      </c>
      <c r="J10707" s="380" t="s">
        <v>773</v>
      </c>
      <c r="K10707" s="381">
        <v>0.0</v>
      </c>
      <c r="L10707" s="382">
        <v>1.0</v>
      </c>
    </row>
    <row r="10708">
      <c r="A10708" s="380" t="s">
        <v>11582</v>
      </c>
      <c r="B10708" s="380" t="str">
        <f>IFERROR(__xludf.DUMMYFUNCTION("""COMPUTED_VALUE"""),"Buje BRR Torsion T 562000000000000000000")</f>
        <v>Buje BRR Torsion T 562000000000000000000</v>
      </c>
      <c r="C10708" s="380" t="str">
        <f>IFERROR(__xludf.DUMMYFUNCTION("""COMPUTED_VALUE"""),"70006134")</f>
        <v>70006134</v>
      </c>
      <c r="D10708" s="380" t="s">
        <v>767</v>
      </c>
      <c r="E10708" s="380" t="s">
        <v>786</v>
      </c>
      <c r="F10708" s="380" t="s">
        <v>1039</v>
      </c>
      <c r="G10708" s="380" t="s">
        <v>1267</v>
      </c>
      <c r="H10708" s="380" t="s">
        <v>771</v>
      </c>
      <c r="I10708" s="380" t="s">
        <v>788</v>
      </c>
      <c r="J10708" s="380" t="s">
        <v>773</v>
      </c>
      <c r="K10708" s="381">
        <v>0.0</v>
      </c>
      <c r="L10708" s="382">
        <v>1.0</v>
      </c>
    </row>
    <row r="10709">
      <c r="A10709" s="380" t="s">
        <v>11583</v>
      </c>
      <c r="B10709" s="380" t="str">
        <f>IFERROR(__xludf.DUMMYFUNCTION("""COMPUTED_VALUE"""),"Cable Encauchetado 3 X 14")</f>
        <v>Cable Encauchetado 3 X 14</v>
      </c>
      <c r="C10709" s="380" t="str">
        <f>IFERROR(__xludf.DUMMYFUNCTION("""COMPUTED_VALUE"""),"70006135")</f>
        <v>70006135</v>
      </c>
      <c r="D10709" s="380" t="s">
        <v>767</v>
      </c>
      <c r="E10709" s="380" t="s">
        <v>786</v>
      </c>
      <c r="F10709" s="380" t="s">
        <v>998</v>
      </c>
      <c r="G10709" s="380" t="s">
        <v>1267</v>
      </c>
      <c r="H10709" s="380" t="s">
        <v>771</v>
      </c>
      <c r="I10709" s="380" t="s">
        <v>788</v>
      </c>
      <c r="J10709" s="380" t="s">
        <v>773</v>
      </c>
      <c r="K10709" s="381">
        <v>0.0</v>
      </c>
      <c r="L10709" s="382">
        <v>1.0</v>
      </c>
    </row>
    <row r="10710">
      <c r="A10710" s="380" t="s">
        <v>11584</v>
      </c>
      <c r="B10710" s="380" t="str">
        <f>IFERROR(__xludf.DUMMYFUNCTION("""COMPUTED_VALUE"""),"Plumilla Limpiabrisas Hi4300 22""")</f>
        <v>Plumilla Limpiabrisas Hi4300 22"</v>
      </c>
      <c r="C10710" s="380" t="str">
        <f>IFERROR(__xludf.DUMMYFUNCTION("""COMPUTED_VALUE"""),"70006136")</f>
        <v>70006136</v>
      </c>
      <c r="D10710" s="380" t="s">
        <v>767</v>
      </c>
      <c r="E10710" s="380" t="s">
        <v>786</v>
      </c>
      <c r="F10710" s="380" t="s">
        <v>792</v>
      </c>
      <c r="G10710" s="380" t="s">
        <v>1267</v>
      </c>
      <c r="H10710" s="380" t="s">
        <v>771</v>
      </c>
      <c r="I10710" s="380" t="s">
        <v>788</v>
      </c>
      <c r="J10710" s="380" t="s">
        <v>773</v>
      </c>
      <c r="K10710" s="381">
        <v>0.0</v>
      </c>
      <c r="L10710" s="382">
        <v>1.0</v>
      </c>
    </row>
    <row r="10711">
      <c r="A10711" s="380" t="s">
        <v>11585</v>
      </c>
      <c r="B10711" s="380" t="str">
        <f>IFERROR(__xludf.DUMMYFUNCTION("""COMPUTED_VALUE"""),"Cremallera Elevavidrio Izq VW 2vc837501p")</f>
        <v>Cremallera Elevavidrio Izq VW 2vc837501p</v>
      </c>
      <c r="C10711" s="380" t="str">
        <f>IFERROR(__xludf.DUMMYFUNCTION("""COMPUTED_VALUE"""),"70006137")</f>
        <v>70006137</v>
      </c>
      <c r="D10711" s="380" t="s">
        <v>767</v>
      </c>
      <c r="E10711" s="380" t="s">
        <v>786</v>
      </c>
      <c r="F10711" s="380" t="s">
        <v>792</v>
      </c>
      <c r="G10711" s="380" t="s">
        <v>1267</v>
      </c>
      <c r="H10711" s="380" t="s">
        <v>771</v>
      </c>
      <c r="I10711" s="380" t="s">
        <v>788</v>
      </c>
      <c r="J10711" s="380" t="s">
        <v>773</v>
      </c>
      <c r="K10711" s="381">
        <v>0.0</v>
      </c>
      <c r="L10711" s="382">
        <v>1.0</v>
      </c>
    </row>
    <row r="10712">
      <c r="A10712" s="380" t="s">
        <v>11586</v>
      </c>
      <c r="B10712" s="380" t="str">
        <f>IFERROR(__xludf.DUMMYFUNCTION("""COMPUTED_VALUE"""),"Kit Embrague Nhr Sin Turbo 95622584")</f>
        <v>Kit Embrague Nhr Sin Turbo 95622584</v>
      </c>
      <c r="C10712" s="380" t="str">
        <f>IFERROR(__xludf.DUMMYFUNCTION("""COMPUTED_VALUE"""),"70006138")</f>
        <v>70006138</v>
      </c>
      <c r="D10712" s="380" t="s">
        <v>767</v>
      </c>
      <c r="E10712" s="380" t="s">
        <v>786</v>
      </c>
      <c r="F10712" s="380" t="s">
        <v>5661</v>
      </c>
      <c r="G10712" s="380" t="s">
        <v>1267</v>
      </c>
      <c r="H10712" s="380" t="s">
        <v>771</v>
      </c>
      <c r="I10712" s="380" t="s">
        <v>788</v>
      </c>
      <c r="J10712" s="380" t="s">
        <v>773</v>
      </c>
      <c r="K10712" s="381">
        <v>0.0</v>
      </c>
      <c r="L10712" s="382">
        <v>1.0</v>
      </c>
    </row>
    <row r="10713">
      <c r="A10713" s="380" t="s">
        <v>11587</v>
      </c>
      <c r="B10713" s="380" t="str">
        <f>IFERROR(__xludf.DUMMYFUNCTION("""COMPUTED_VALUE"""),"Switch Presion Valvula Hi 2021313c1")</f>
        <v>Switch Presion Valvula Hi 2021313c1</v>
      </c>
      <c r="C10713" s="380" t="str">
        <f>IFERROR(__xludf.DUMMYFUNCTION("""COMPUTED_VALUE"""),"70006139")</f>
        <v>70006139</v>
      </c>
      <c r="D10713" s="380" t="s">
        <v>767</v>
      </c>
      <c r="E10713" s="380" t="s">
        <v>786</v>
      </c>
      <c r="F10713" s="380" t="s">
        <v>998</v>
      </c>
      <c r="G10713" s="380" t="s">
        <v>1267</v>
      </c>
      <c r="H10713" s="380" t="s">
        <v>771</v>
      </c>
      <c r="I10713" s="380" t="s">
        <v>788</v>
      </c>
      <c r="J10713" s="380" t="s">
        <v>773</v>
      </c>
      <c r="K10713" s="381">
        <v>0.0</v>
      </c>
      <c r="L10713" s="382">
        <v>1.0</v>
      </c>
    </row>
    <row r="10714">
      <c r="A10714" s="380" t="s">
        <v>11588</v>
      </c>
      <c r="B10714" s="380" t="str">
        <f>IFERROR(__xludf.DUMMYFUNCTION("""COMPUTED_VALUE"""),"Empaque Turbo Foton 7701023331548")</f>
        <v>Empaque Turbo Foton 7701023331548</v>
      </c>
      <c r="C10714" s="380" t="str">
        <f>IFERROR(__xludf.DUMMYFUNCTION("""COMPUTED_VALUE"""),"70006140")</f>
        <v>70006140</v>
      </c>
      <c r="D10714" s="380" t="s">
        <v>767</v>
      </c>
      <c r="E10714" s="380" t="s">
        <v>786</v>
      </c>
      <c r="F10714" s="380" t="s">
        <v>787</v>
      </c>
      <c r="G10714" s="380" t="s">
        <v>1267</v>
      </c>
      <c r="H10714" s="380" t="s">
        <v>771</v>
      </c>
      <c r="I10714" s="380" t="s">
        <v>788</v>
      </c>
      <c r="J10714" s="380" t="s">
        <v>773</v>
      </c>
      <c r="K10714" s="381">
        <v>0.0</v>
      </c>
      <c r="L10714" s="382">
        <v>1.0</v>
      </c>
    </row>
    <row r="10715">
      <c r="A10715" s="380" t="s">
        <v>11589</v>
      </c>
      <c r="B10715" s="380" t="str">
        <f>IFERROR(__xludf.DUMMYFUNCTION("""COMPUTED_VALUE"""),"Balinera Arranque 608 Rs 608rs")</f>
        <v>Balinera Arranque 608 Rs 608rs</v>
      </c>
      <c r="C10715" s="380" t="str">
        <f>IFERROR(__xludf.DUMMYFUNCTION("""COMPUTED_VALUE"""),"70006141")</f>
        <v>70006141</v>
      </c>
      <c r="D10715" s="380" t="s">
        <v>767</v>
      </c>
      <c r="E10715" s="380" t="s">
        <v>786</v>
      </c>
      <c r="F10715" s="380" t="s">
        <v>998</v>
      </c>
      <c r="G10715" s="380" t="s">
        <v>1267</v>
      </c>
      <c r="H10715" s="380" t="s">
        <v>771</v>
      </c>
      <c r="I10715" s="380" t="s">
        <v>788</v>
      </c>
      <c r="J10715" s="380" t="s">
        <v>773</v>
      </c>
      <c r="K10715" s="381">
        <v>11730.0</v>
      </c>
      <c r="L10715" s="382">
        <v>1.0</v>
      </c>
    </row>
    <row r="10716">
      <c r="A10716" s="380" t="s">
        <v>11590</v>
      </c>
      <c r="B10716" s="380" t="str">
        <f>IFERROR(__xludf.DUMMYFUNCTION("""COMPUTED_VALUE"""),"Pasador Balancin DEL En Rosca EGL")</f>
        <v>Pasador Balancin DEL En Rosca EGL</v>
      </c>
      <c r="C10716" s="380" t="str">
        <f>IFERROR(__xludf.DUMMYFUNCTION("""COMPUTED_VALUE"""),"70006142")</f>
        <v>70006142</v>
      </c>
      <c r="D10716" s="380" t="s">
        <v>767</v>
      </c>
      <c r="E10716" s="380" t="s">
        <v>786</v>
      </c>
      <c r="F10716" s="380" t="s">
        <v>1039</v>
      </c>
      <c r="G10716" s="380" t="s">
        <v>1267</v>
      </c>
      <c r="H10716" s="380" t="s">
        <v>771</v>
      </c>
      <c r="I10716" s="380" t="s">
        <v>788</v>
      </c>
      <c r="J10716" s="380" t="s">
        <v>773</v>
      </c>
      <c r="K10716" s="381">
        <v>0.0</v>
      </c>
      <c r="L10716" s="382">
        <v>1.0</v>
      </c>
    </row>
    <row r="10717">
      <c r="A10717" s="380" t="s">
        <v>11591</v>
      </c>
      <c r="B10717" s="380" t="str">
        <f>IFERROR(__xludf.DUMMYFUNCTION("""COMPUTED_VALUE"""),"Manguera Bomba Agua Motor Nhr 8970374640")</f>
        <v>Manguera Bomba Agua Motor Nhr 8970374640</v>
      </c>
      <c r="C10717" s="380" t="str">
        <f>IFERROR(__xludf.DUMMYFUNCTION("""COMPUTED_VALUE"""),"70006143")</f>
        <v>70006143</v>
      </c>
      <c r="D10717" s="380" t="s">
        <v>767</v>
      </c>
      <c r="E10717" s="380" t="s">
        <v>786</v>
      </c>
      <c r="F10717" s="380" t="s">
        <v>787</v>
      </c>
      <c r="G10717" s="380" t="s">
        <v>1267</v>
      </c>
      <c r="H10717" s="380" t="s">
        <v>771</v>
      </c>
      <c r="I10717" s="380" t="s">
        <v>788</v>
      </c>
      <c r="J10717" s="380" t="s">
        <v>773</v>
      </c>
      <c r="K10717" s="381">
        <v>0.0</v>
      </c>
      <c r="L10717" s="382">
        <v>1.0</v>
      </c>
    </row>
    <row r="10718">
      <c r="A10718" s="380" t="s">
        <v>11592</v>
      </c>
      <c r="B10718" s="380" t="str">
        <f>IFERROR(__xludf.DUMMYFUNCTION("""COMPUTED_VALUE"""),"Empaque Parabrisas Sb N14")</f>
        <v>Empaque Parabrisas Sb N14</v>
      </c>
      <c r="C10718" s="380" t="str">
        <f>IFERROR(__xludf.DUMMYFUNCTION("""COMPUTED_VALUE"""),"70006144")</f>
        <v>70006144</v>
      </c>
      <c r="D10718" s="380" t="s">
        <v>767</v>
      </c>
      <c r="E10718" s="380" t="s">
        <v>786</v>
      </c>
      <c r="F10718" s="380" t="s">
        <v>792</v>
      </c>
      <c r="G10718" s="380" t="s">
        <v>1267</v>
      </c>
      <c r="H10718" s="380" t="s">
        <v>771</v>
      </c>
      <c r="I10718" s="380" t="s">
        <v>788</v>
      </c>
      <c r="J10718" s="380" t="s">
        <v>773</v>
      </c>
      <c r="K10718" s="381">
        <v>0.0</v>
      </c>
      <c r="L10718" s="382">
        <v>1.0</v>
      </c>
    </row>
    <row r="10719">
      <c r="A10719" s="380" t="s">
        <v>11593</v>
      </c>
      <c r="B10719" s="380" t="str">
        <f>IFERROR(__xludf.DUMMYFUNCTION("""COMPUTED_VALUE"""),"Cable Du Cable Duplex Para Vehiculo N.20")</f>
        <v>Cable Du Cable Duplex Para Vehiculo N.20</v>
      </c>
      <c r="C10719" s="380" t="str">
        <f>IFERROR(__xludf.DUMMYFUNCTION("""COMPUTED_VALUE"""),"70006145")</f>
        <v>70006145</v>
      </c>
      <c r="D10719" s="380" t="s">
        <v>767</v>
      </c>
      <c r="E10719" s="380" t="s">
        <v>786</v>
      </c>
      <c r="F10719" s="380" t="s">
        <v>998</v>
      </c>
      <c r="G10719" s="380" t="s">
        <v>1267</v>
      </c>
      <c r="H10719" s="380" t="s">
        <v>771</v>
      </c>
      <c r="I10719" s="380" t="s">
        <v>788</v>
      </c>
      <c r="J10719" s="380" t="s">
        <v>773</v>
      </c>
      <c r="K10719" s="381">
        <v>0.0</v>
      </c>
      <c r="L10719" s="382">
        <v>1.0</v>
      </c>
    </row>
    <row r="10720">
      <c r="A10720" s="380" t="s">
        <v>11594</v>
      </c>
      <c r="B10720" s="380" t="str">
        <f>IFERROR(__xludf.DUMMYFUNCTION("""COMPUTED_VALUE"""),"Paral Costado Furgon C-14")</f>
        <v>Paral Costado Furgon C-14</v>
      </c>
      <c r="C10720" s="380" t="str">
        <f>IFERROR(__xludf.DUMMYFUNCTION("""COMPUTED_VALUE"""),"70006146")</f>
        <v>70006146</v>
      </c>
      <c r="D10720" s="380" t="s">
        <v>767</v>
      </c>
      <c r="E10720" s="380" t="s">
        <v>786</v>
      </c>
      <c r="F10720" s="380" t="s">
        <v>792</v>
      </c>
      <c r="G10720" s="380" t="s">
        <v>1267</v>
      </c>
      <c r="H10720" s="380" t="s">
        <v>771</v>
      </c>
      <c r="I10720" s="380" t="s">
        <v>788</v>
      </c>
      <c r="J10720" s="380" t="s">
        <v>773</v>
      </c>
      <c r="K10720" s="381">
        <v>0.0</v>
      </c>
      <c r="L10720" s="382">
        <v>1.0</v>
      </c>
    </row>
    <row r="10721">
      <c r="A10721" s="380" t="s">
        <v>11595</v>
      </c>
      <c r="B10721" s="380" t="str">
        <f>IFERROR(__xludf.DUMMYFUNCTION("""COMPUTED_VALUE"""),"Motor Corte Combustible Npr 8972550730")</f>
        <v>Motor Corte Combustible Npr 8972550730</v>
      </c>
      <c r="C10721" s="380" t="str">
        <f>IFERROR(__xludf.DUMMYFUNCTION("""COMPUTED_VALUE"""),"70006147")</f>
        <v>70006147</v>
      </c>
      <c r="D10721" s="380" t="s">
        <v>767</v>
      </c>
      <c r="E10721" s="380" t="s">
        <v>786</v>
      </c>
      <c r="F10721" s="380" t="s">
        <v>998</v>
      </c>
      <c r="G10721" s="380" t="s">
        <v>1267</v>
      </c>
      <c r="H10721" s="380" t="s">
        <v>771</v>
      </c>
      <c r="I10721" s="380" t="s">
        <v>788</v>
      </c>
      <c r="J10721" s="380" t="s">
        <v>773</v>
      </c>
      <c r="K10721" s="381">
        <v>0.0</v>
      </c>
      <c r="L10721" s="382">
        <v>1.0</v>
      </c>
    </row>
    <row r="10722">
      <c r="A10722" s="380" t="s">
        <v>11596</v>
      </c>
      <c r="B10722" s="380" t="str">
        <f>IFERROR(__xludf.DUMMYFUNCTION("""COMPUTED_VALUE"""),"Emblema Logo Chevrolet Del Nhr 95610098")</f>
        <v>Emblema Logo Chevrolet Del Nhr 95610098</v>
      </c>
      <c r="C10722" s="380" t="str">
        <f>IFERROR(__xludf.DUMMYFUNCTION("""COMPUTED_VALUE"""),"70006149")</f>
        <v>70006149</v>
      </c>
      <c r="D10722" s="380" t="s">
        <v>767</v>
      </c>
      <c r="E10722" s="380" t="s">
        <v>786</v>
      </c>
      <c r="F10722" s="380" t="s">
        <v>792</v>
      </c>
      <c r="G10722" s="380" t="s">
        <v>1267</v>
      </c>
      <c r="H10722" s="380" t="s">
        <v>771</v>
      </c>
      <c r="I10722" s="380" t="s">
        <v>788</v>
      </c>
      <c r="J10722" s="380" t="s">
        <v>773</v>
      </c>
      <c r="K10722" s="381">
        <v>0.0</v>
      </c>
      <c r="L10722" s="382">
        <v>1.0</v>
      </c>
    </row>
    <row r="10723">
      <c r="A10723" s="380" t="s">
        <v>11597</v>
      </c>
      <c r="B10723" s="380" t="str">
        <f>IFERROR(__xludf.DUMMYFUNCTION("""COMPUTED_VALUE"""),"Brazo Plumilla Der Npr 8971194901")</f>
        <v>Brazo Plumilla Der Npr 8971194901</v>
      </c>
      <c r="C10723" s="380" t="str">
        <f>IFERROR(__xludf.DUMMYFUNCTION("""COMPUTED_VALUE"""),"70006150")</f>
        <v>70006150</v>
      </c>
      <c r="D10723" s="380" t="s">
        <v>767</v>
      </c>
      <c r="E10723" s="380" t="s">
        <v>786</v>
      </c>
      <c r="F10723" s="380" t="s">
        <v>792</v>
      </c>
      <c r="G10723" s="380" t="s">
        <v>1267</v>
      </c>
      <c r="H10723" s="380" t="s">
        <v>771</v>
      </c>
      <c r="I10723" s="380" t="s">
        <v>788</v>
      </c>
      <c r="J10723" s="380" t="s">
        <v>773</v>
      </c>
      <c r="K10723" s="381">
        <v>61950.0</v>
      </c>
      <c r="L10723" s="382">
        <v>1.0</v>
      </c>
    </row>
    <row r="10724">
      <c r="A10724" s="380" t="s">
        <v>11598</v>
      </c>
      <c r="B10724" s="380" t="str">
        <f>IFERROR(__xludf.DUMMYFUNCTION("""COMPUTED_VALUE"""),"Brazo Plumilla Izq Npr 8971194881")</f>
        <v>Brazo Plumilla Izq Npr 8971194881</v>
      </c>
      <c r="C10724" s="380" t="str">
        <f>IFERROR(__xludf.DUMMYFUNCTION("""COMPUTED_VALUE"""),"70006151")</f>
        <v>70006151</v>
      </c>
      <c r="D10724" s="380" t="s">
        <v>767</v>
      </c>
      <c r="E10724" s="380" t="s">
        <v>786</v>
      </c>
      <c r="F10724" s="380" t="s">
        <v>792</v>
      </c>
      <c r="G10724" s="380" t="s">
        <v>1267</v>
      </c>
      <c r="H10724" s="380" t="s">
        <v>771</v>
      </c>
      <c r="I10724" s="380" t="s">
        <v>788</v>
      </c>
      <c r="J10724" s="380" t="s">
        <v>773</v>
      </c>
      <c r="K10724" s="381">
        <v>0.0</v>
      </c>
      <c r="L10724" s="382">
        <v>1.0</v>
      </c>
    </row>
    <row r="10725">
      <c r="A10725" s="380" t="s">
        <v>11599</v>
      </c>
      <c r="B10725" s="380" t="str">
        <f>IFERROR(__xludf.DUMMYFUNCTION("""COMPUTED_VALUE"""),"Asiento Valvula Admision Npr 8943941270")</f>
        <v>Asiento Valvula Admision Npr 8943941270</v>
      </c>
      <c r="C10725" s="380" t="str">
        <f>IFERROR(__xludf.DUMMYFUNCTION("""COMPUTED_VALUE"""),"70006152")</f>
        <v>70006152</v>
      </c>
      <c r="D10725" s="380" t="s">
        <v>767</v>
      </c>
      <c r="E10725" s="380" t="s">
        <v>786</v>
      </c>
      <c r="F10725" s="380" t="s">
        <v>787</v>
      </c>
      <c r="G10725" s="380" t="s">
        <v>1267</v>
      </c>
      <c r="H10725" s="380" t="s">
        <v>771</v>
      </c>
      <c r="I10725" s="380" t="s">
        <v>788</v>
      </c>
      <c r="J10725" s="380" t="s">
        <v>773</v>
      </c>
      <c r="K10725" s="381">
        <v>0.0</v>
      </c>
      <c r="L10725" s="382">
        <v>1.0</v>
      </c>
    </row>
    <row r="10726">
      <c r="A10726" s="380" t="s">
        <v>11600</v>
      </c>
      <c r="B10726" s="380" t="str">
        <f>IFERROR(__xludf.DUMMYFUNCTION("""COMPUTED_VALUE"""),"RET Aceite RDA Tras Npr Isuzu 8943363172")</f>
        <v>RET Aceite RDA Tras Npr Isuzu 8943363172</v>
      </c>
      <c r="C10726" s="380" t="str">
        <f>IFERROR(__xludf.DUMMYFUNCTION("""COMPUTED_VALUE"""),"70006153")</f>
        <v>70006153</v>
      </c>
      <c r="D10726" s="380" t="s">
        <v>767</v>
      </c>
      <c r="E10726" s="380" t="s">
        <v>786</v>
      </c>
      <c r="F10726" s="380" t="s">
        <v>1039</v>
      </c>
      <c r="G10726" s="380" t="s">
        <v>1267</v>
      </c>
      <c r="H10726" s="380" t="s">
        <v>771</v>
      </c>
      <c r="I10726" s="380" t="s">
        <v>788</v>
      </c>
      <c r="J10726" s="380" t="s">
        <v>773</v>
      </c>
      <c r="K10726" s="381">
        <v>0.0</v>
      </c>
      <c r="L10726" s="382">
        <v>1.0</v>
      </c>
    </row>
    <row r="10727">
      <c r="A10727" s="380" t="s">
        <v>11601</v>
      </c>
      <c r="B10727" s="380" t="str">
        <f>IFERROR(__xludf.DUMMYFUNCTION("""COMPUTED_VALUE"""),"Cinturon Seguridad Retractil Nal 05c040")</f>
        <v>Cinturon Seguridad Retractil Nal 05c040</v>
      </c>
      <c r="C10727" s="380" t="str">
        <f>IFERROR(__xludf.DUMMYFUNCTION("""COMPUTED_VALUE"""),"70006154")</f>
        <v>70006154</v>
      </c>
      <c r="D10727" s="380" t="s">
        <v>767</v>
      </c>
      <c r="E10727" s="380" t="s">
        <v>786</v>
      </c>
      <c r="F10727" s="380" t="s">
        <v>792</v>
      </c>
      <c r="G10727" s="380" t="s">
        <v>1267</v>
      </c>
      <c r="H10727" s="380" t="s">
        <v>771</v>
      </c>
      <c r="I10727" s="380" t="s">
        <v>788</v>
      </c>
      <c r="J10727" s="380" t="s">
        <v>773</v>
      </c>
      <c r="K10727" s="381">
        <v>345000.0</v>
      </c>
      <c r="L10727" s="382">
        <v>1.0</v>
      </c>
    </row>
    <row r="10728">
      <c r="A10728" s="380" t="s">
        <v>11602</v>
      </c>
      <c r="B10728" s="380" t="str">
        <f>IFERROR(__xludf.DUMMYFUNCTION("""COMPUTED_VALUE"""),"Campana Del Nhr 1295 Chevrolet 129506 Lr")</f>
        <v>Campana Del Nhr 1295 Chevrolet 129506 Lr</v>
      </c>
      <c r="C10728" s="380" t="str">
        <f>IFERROR(__xludf.DUMMYFUNCTION("""COMPUTED_VALUE"""),"70006155")</f>
        <v>70006155</v>
      </c>
      <c r="D10728" s="380" t="s">
        <v>767</v>
      </c>
      <c r="E10728" s="380" t="s">
        <v>786</v>
      </c>
      <c r="F10728" s="380" t="s">
        <v>1017</v>
      </c>
      <c r="G10728" s="380" t="s">
        <v>1267</v>
      </c>
      <c r="H10728" s="380" t="s">
        <v>771</v>
      </c>
      <c r="I10728" s="380" t="s">
        <v>788</v>
      </c>
      <c r="J10728" s="380" t="s">
        <v>773</v>
      </c>
      <c r="K10728" s="381">
        <v>0.0</v>
      </c>
      <c r="L10728" s="382">
        <v>1.0</v>
      </c>
    </row>
    <row r="10729">
      <c r="A10729" s="380" t="s">
        <v>11603</v>
      </c>
      <c r="B10729" s="380" t="str">
        <f>IFERROR(__xludf.DUMMYFUNCTION("""COMPUTED_VALUE"""),"Banda Freno Del 4719d Kw Remac")</f>
        <v>Banda Freno Del 4719d Kw Remac</v>
      </c>
      <c r="C10729" s="380" t="str">
        <f>IFERROR(__xludf.DUMMYFUNCTION("""COMPUTED_VALUE"""),"70006156")</f>
        <v>70006156</v>
      </c>
      <c r="D10729" s="380" t="s">
        <v>767</v>
      </c>
      <c r="E10729" s="380" t="s">
        <v>786</v>
      </c>
      <c r="F10729" s="380" t="s">
        <v>1017</v>
      </c>
      <c r="G10729" s="380" t="s">
        <v>1267</v>
      </c>
      <c r="H10729" s="380" t="s">
        <v>771</v>
      </c>
      <c r="I10729" s="380" t="s">
        <v>788</v>
      </c>
      <c r="J10729" s="380" t="s">
        <v>773</v>
      </c>
      <c r="K10729" s="381">
        <v>66482.0</v>
      </c>
      <c r="L10729" s="382">
        <v>1.0</v>
      </c>
    </row>
    <row r="10730">
      <c r="A10730" s="380" t="s">
        <v>11604</v>
      </c>
      <c r="B10730" s="380" t="str">
        <f>IFERROR(__xludf.DUMMYFUNCTION("""COMPUTED_VALUE"""),"Guias Valvulas Npr 8943965980")</f>
        <v>Guias Valvulas Npr 8943965980</v>
      </c>
      <c r="C10730" s="380" t="str">
        <f>IFERROR(__xludf.DUMMYFUNCTION("""COMPUTED_VALUE"""),"70006157")</f>
        <v>70006157</v>
      </c>
      <c r="D10730" s="380" t="s">
        <v>767</v>
      </c>
      <c r="E10730" s="380" t="s">
        <v>786</v>
      </c>
      <c r="F10730" s="380" t="s">
        <v>787</v>
      </c>
      <c r="G10730" s="380" t="s">
        <v>1267</v>
      </c>
      <c r="H10730" s="380" t="s">
        <v>771</v>
      </c>
      <c r="I10730" s="380" t="s">
        <v>788</v>
      </c>
      <c r="J10730" s="380" t="s">
        <v>773</v>
      </c>
      <c r="K10730" s="381">
        <v>0.0</v>
      </c>
      <c r="L10730" s="382">
        <v>1.0</v>
      </c>
    </row>
    <row r="10731">
      <c r="A10731" s="380" t="s">
        <v>11605</v>
      </c>
      <c r="B10731" s="380" t="str">
        <f>IFERROR(__xludf.DUMMYFUNCTION("""COMPUTED_VALUE"""),"Campana 10 H 24cms Trailer 10 Hue 24c")</f>
        <v>Campana 10 H 24cms Trailer 10 Hue 24c</v>
      </c>
      <c r="C10731" s="380" t="str">
        <f>IFERROR(__xludf.DUMMYFUNCTION("""COMPUTED_VALUE"""),"70006158")</f>
        <v>70006158</v>
      </c>
      <c r="D10731" s="380" t="s">
        <v>767</v>
      </c>
      <c r="E10731" s="380" t="s">
        <v>786</v>
      </c>
      <c r="F10731" s="380" t="s">
        <v>1017</v>
      </c>
      <c r="G10731" s="380" t="s">
        <v>1267</v>
      </c>
      <c r="H10731" s="380" t="s">
        <v>771</v>
      </c>
      <c r="I10731" s="380" t="s">
        <v>788</v>
      </c>
      <c r="J10731" s="380" t="s">
        <v>773</v>
      </c>
      <c r="K10731" s="381">
        <v>487900.0</v>
      </c>
      <c r="L10731" s="382">
        <v>1.0</v>
      </c>
    </row>
    <row r="10732">
      <c r="A10732" s="380" t="s">
        <v>11606</v>
      </c>
      <c r="B10732" s="380" t="str">
        <f>IFERROR(__xludf.DUMMYFUNCTION("""COMPUTED_VALUE"""),"Pera De Pera De Reversahino 84210-37020")</f>
        <v>Pera De Pera De Reversahino 84210-37020</v>
      </c>
      <c r="C10732" s="380" t="str">
        <f>IFERROR(__xludf.DUMMYFUNCTION("""COMPUTED_VALUE"""),"70006159")</f>
        <v>70006159</v>
      </c>
      <c r="D10732" s="380" t="s">
        <v>767</v>
      </c>
      <c r="E10732" s="380" t="s">
        <v>786</v>
      </c>
      <c r="F10732" s="380" t="s">
        <v>998</v>
      </c>
      <c r="G10732" s="380" t="s">
        <v>1267</v>
      </c>
      <c r="H10732" s="380" t="s">
        <v>771</v>
      </c>
      <c r="I10732" s="380" t="s">
        <v>788</v>
      </c>
      <c r="J10732" s="380" t="s">
        <v>773</v>
      </c>
      <c r="K10732" s="381">
        <v>0.0</v>
      </c>
      <c r="L10732" s="382">
        <v>1.0</v>
      </c>
    </row>
    <row r="10733">
      <c r="A10733" s="380" t="s">
        <v>11607</v>
      </c>
      <c r="B10733" s="380" t="str">
        <f>IFERROR(__xludf.DUMMYFUNCTION("""COMPUTED_VALUE"""),"Empaque Exosto Hi 466 E111005101")</f>
        <v>Empaque Exosto Hi 466 E111005101</v>
      </c>
      <c r="C10733" s="380" t="str">
        <f>IFERROR(__xludf.DUMMYFUNCTION("""COMPUTED_VALUE"""),"70006160")</f>
        <v>70006160</v>
      </c>
      <c r="D10733" s="380" t="s">
        <v>767</v>
      </c>
      <c r="E10733" s="380" t="s">
        <v>786</v>
      </c>
      <c r="F10733" s="380" t="s">
        <v>787</v>
      </c>
      <c r="G10733" s="380" t="s">
        <v>1267</v>
      </c>
      <c r="H10733" s="380" t="s">
        <v>771</v>
      </c>
      <c r="I10733" s="380" t="s">
        <v>788</v>
      </c>
      <c r="J10733" s="380" t="s">
        <v>773</v>
      </c>
      <c r="K10733" s="381">
        <v>0.0</v>
      </c>
      <c r="L10733" s="382">
        <v>1.0</v>
      </c>
    </row>
    <row r="10734">
      <c r="A10734" s="380" t="s">
        <v>11608</v>
      </c>
      <c r="B10734" s="380" t="str">
        <f>IFERROR(__xludf.DUMMYFUNCTION("""COMPUTED_VALUE"""),"Bomba Principal Freno SB N14 286171")</f>
        <v>Bomba Principal Freno SB N14 286171</v>
      </c>
      <c r="C10734" s="380" t="str">
        <f>IFERROR(__xludf.DUMMYFUNCTION("""COMPUTED_VALUE"""),"70006161")</f>
        <v>70006161</v>
      </c>
      <c r="D10734" s="380" t="s">
        <v>767</v>
      </c>
      <c r="E10734" s="380" t="s">
        <v>786</v>
      </c>
      <c r="F10734" s="380" t="s">
        <v>1017</v>
      </c>
      <c r="G10734" s="380" t="s">
        <v>1267</v>
      </c>
      <c r="H10734" s="380" t="s">
        <v>771</v>
      </c>
      <c r="I10734" s="380" t="s">
        <v>788</v>
      </c>
      <c r="J10734" s="380" t="s">
        <v>773</v>
      </c>
      <c r="K10734" s="381">
        <v>0.0</v>
      </c>
      <c r="L10734" s="382">
        <v>1.0</v>
      </c>
    </row>
    <row r="10735">
      <c r="A10735" s="380" t="s">
        <v>11609</v>
      </c>
      <c r="B10735" s="380" t="str">
        <f>IFERROR(__xludf.DUMMYFUNCTION("""COMPUTED_VALUE"""),"Vidrio Puerta Der Nhr A163bv")</f>
        <v>Vidrio Puerta Der Nhr A163bv</v>
      </c>
      <c r="C10735" s="380" t="str">
        <f>IFERROR(__xludf.DUMMYFUNCTION("""COMPUTED_VALUE"""),"70006162")</f>
        <v>70006162</v>
      </c>
      <c r="D10735" s="380" t="s">
        <v>767</v>
      </c>
      <c r="E10735" s="380" t="s">
        <v>786</v>
      </c>
      <c r="F10735" s="380" t="s">
        <v>792</v>
      </c>
      <c r="G10735" s="380" t="s">
        <v>1267</v>
      </c>
      <c r="H10735" s="380" t="s">
        <v>771</v>
      </c>
      <c r="I10735" s="380" t="s">
        <v>788</v>
      </c>
      <c r="J10735" s="380" t="s">
        <v>773</v>
      </c>
      <c r="K10735" s="381">
        <v>0.0</v>
      </c>
      <c r="L10735" s="382">
        <v>1.0</v>
      </c>
    </row>
    <row r="10736">
      <c r="A10736" s="380" t="s">
        <v>11610</v>
      </c>
      <c r="B10736" s="380" t="str">
        <f>IFERROR(__xludf.DUMMYFUNCTION("""COMPUTED_VALUE"""),"Tapon Valvula Motor Npr 8943960132")</f>
        <v>Tapon Valvula Motor Npr 8943960132</v>
      </c>
      <c r="C10736" s="380" t="str">
        <f>IFERROR(__xludf.DUMMYFUNCTION("""COMPUTED_VALUE"""),"70006163")</f>
        <v>70006163</v>
      </c>
      <c r="D10736" s="380" t="s">
        <v>767</v>
      </c>
      <c r="E10736" s="380" t="s">
        <v>786</v>
      </c>
      <c r="F10736" s="380" t="s">
        <v>787</v>
      </c>
      <c r="G10736" s="380" t="s">
        <v>1267</v>
      </c>
      <c r="H10736" s="380" t="s">
        <v>771</v>
      </c>
      <c r="I10736" s="380" t="s">
        <v>788</v>
      </c>
      <c r="J10736" s="380" t="s">
        <v>773</v>
      </c>
      <c r="K10736" s="381">
        <v>0.0</v>
      </c>
      <c r="L10736" s="382">
        <v>1.0</v>
      </c>
    </row>
    <row r="10737">
      <c r="A10737" s="380" t="s">
        <v>11611</v>
      </c>
      <c r="B10737" s="380" t="str">
        <f>IFERROR(__xludf.DUMMYFUNCTION("""COMPUTED_VALUE"""),"Damper Vibracion Hi4700 1820855c92")</f>
        <v>Damper Vibracion Hi4700 1820855c92</v>
      </c>
      <c r="C10737" s="380" t="str">
        <f>IFERROR(__xludf.DUMMYFUNCTION("""COMPUTED_VALUE"""),"70006164")</f>
        <v>70006164</v>
      </c>
      <c r="D10737" s="380" t="s">
        <v>767</v>
      </c>
      <c r="E10737" s="380" t="s">
        <v>786</v>
      </c>
      <c r="F10737" s="380" t="s">
        <v>787</v>
      </c>
      <c r="G10737" s="380" t="s">
        <v>1267</v>
      </c>
      <c r="H10737" s="380" t="s">
        <v>771</v>
      </c>
      <c r="I10737" s="380" t="s">
        <v>788</v>
      </c>
      <c r="J10737" s="380" t="s">
        <v>773</v>
      </c>
      <c r="K10737" s="381">
        <v>0.0</v>
      </c>
      <c r="L10737" s="382">
        <v>1.0</v>
      </c>
    </row>
    <row r="10738">
      <c r="A10738" s="380" t="s">
        <v>11612</v>
      </c>
      <c r="B10738" s="380" t="str">
        <f>IFERROR(__xludf.DUMMYFUNCTION("""COMPUTED_VALUE"""),"Kit Sproket Akt")</f>
        <v>Kit Sproket Akt</v>
      </c>
      <c r="C10738" s="380" t="str">
        <f>IFERROR(__xludf.DUMMYFUNCTION("""COMPUTED_VALUE"""),"70006165")</f>
        <v>70006165</v>
      </c>
      <c r="D10738" s="380" t="s">
        <v>767</v>
      </c>
      <c r="E10738" s="380" t="s">
        <v>786</v>
      </c>
      <c r="F10738" s="380" t="s">
        <v>787</v>
      </c>
      <c r="G10738" s="380" t="s">
        <v>1267</v>
      </c>
      <c r="H10738" s="380" t="s">
        <v>771</v>
      </c>
      <c r="I10738" s="380" t="s">
        <v>788</v>
      </c>
      <c r="J10738" s="380" t="s">
        <v>773</v>
      </c>
      <c r="K10738" s="381">
        <v>0.0</v>
      </c>
      <c r="L10738" s="382">
        <v>1.0</v>
      </c>
    </row>
    <row r="10739">
      <c r="A10739" s="380" t="s">
        <v>11613</v>
      </c>
      <c r="B10739" s="380" t="str">
        <f>IFERROR(__xludf.DUMMYFUNCTION("""COMPUTED_VALUE"""),"Camara Freno Con Horquilla Trailer T-30")</f>
        <v>Camara Freno Con Horquilla Trailer T-30</v>
      </c>
      <c r="C10739" s="380" t="str">
        <f>IFERROR(__xludf.DUMMYFUNCTION("""COMPUTED_VALUE"""),"70006166")</f>
        <v>70006166</v>
      </c>
      <c r="D10739" s="380" t="s">
        <v>767</v>
      </c>
      <c r="E10739" s="380" t="s">
        <v>786</v>
      </c>
      <c r="F10739" s="380" t="s">
        <v>1017</v>
      </c>
      <c r="G10739" s="380" t="s">
        <v>1267</v>
      </c>
      <c r="H10739" s="380" t="s">
        <v>771</v>
      </c>
      <c r="I10739" s="380" t="s">
        <v>788</v>
      </c>
      <c r="J10739" s="380" t="s">
        <v>773</v>
      </c>
      <c r="K10739" s="381">
        <v>0.0</v>
      </c>
      <c r="L10739" s="382">
        <v>1.0</v>
      </c>
    </row>
    <row r="10740">
      <c r="A10740" s="380" t="s">
        <v>11614</v>
      </c>
      <c r="B10740" s="380" t="str">
        <f>IFERROR(__xludf.DUMMYFUNCTION("""COMPUTED_VALUE"""),"Retenedor Caja Direc SBn14 Hs2908")</f>
        <v>Retenedor Caja Direc SBn14 Hs2908</v>
      </c>
      <c r="C10740" s="380" t="str">
        <f>IFERROR(__xludf.DUMMYFUNCTION("""COMPUTED_VALUE"""),"70006167")</f>
        <v>70006167</v>
      </c>
      <c r="D10740" s="380" t="s">
        <v>767</v>
      </c>
      <c r="E10740" s="380" t="s">
        <v>786</v>
      </c>
      <c r="F10740" s="380" t="s">
        <v>1020</v>
      </c>
      <c r="G10740" s="380" t="s">
        <v>1267</v>
      </c>
      <c r="H10740" s="380" t="s">
        <v>771</v>
      </c>
      <c r="I10740" s="380" t="s">
        <v>788</v>
      </c>
      <c r="J10740" s="380" t="s">
        <v>773</v>
      </c>
      <c r="K10740" s="381">
        <v>0.0</v>
      </c>
      <c r="L10740" s="382">
        <v>1.0</v>
      </c>
    </row>
    <row r="10741">
      <c r="A10741" s="380" t="s">
        <v>11615</v>
      </c>
      <c r="B10741" s="380" t="str">
        <f>IFERROR(__xludf.DUMMYFUNCTION("""COMPUTED_VALUE"""),"Campana Del Nhr 97034798")</f>
        <v>Campana Del Nhr 97034798</v>
      </c>
      <c r="C10741" s="380" t="str">
        <f>IFERROR(__xludf.DUMMYFUNCTION("""COMPUTED_VALUE"""),"70006168")</f>
        <v>70006168</v>
      </c>
      <c r="D10741" s="380" t="s">
        <v>767</v>
      </c>
      <c r="E10741" s="380" t="s">
        <v>786</v>
      </c>
      <c r="F10741" s="380" t="s">
        <v>1017</v>
      </c>
      <c r="G10741" s="380" t="s">
        <v>1267</v>
      </c>
      <c r="H10741" s="380" t="s">
        <v>771</v>
      </c>
      <c r="I10741" s="380" t="s">
        <v>788</v>
      </c>
      <c r="J10741" s="380" t="s">
        <v>773</v>
      </c>
      <c r="K10741" s="381">
        <v>0.0</v>
      </c>
      <c r="L10741" s="382">
        <v>1.0</v>
      </c>
    </row>
    <row r="10742">
      <c r="A10742" s="380" t="s">
        <v>11616</v>
      </c>
      <c r="B10742" s="380" t="str">
        <f>IFERROR(__xludf.DUMMYFUNCTION("""COMPUTED_VALUE"""),"Grapa Furgon 3/4 X 3 X 15""")</f>
        <v>Grapa Furgon 3/4 X 3 X 15"</v>
      </c>
      <c r="C10742" s="380" t="str">
        <f>IFERROR(__xludf.DUMMYFUNCTION("""COMPUTED_VALUE"""),"70006169")</f>
        <v>70006169</v>
      </c>
      <c r="D10742" s="380" t="s">
        <v>767</v>
      </c>
      <c r="E10742" s="380" t="s">
        <v>786</v>
      </c>
      <c r="F10742" s="380" t="s">
        <v>1039</v>
      </c>
      <c r="G10742" s="380" t="s">
        <v>1267</v>
      </c>
      <c r="H10742" s="380" t="s">
        <v>771</v>
      </c>
      <c r="I10742" s="380" t="s">
        <v>788</v>
      </c>
      <c r="J10742" s="380" t="s">
        <v>773</v>
      </c>
      <c r="K10742" s="381">
        <v>0.0</v>
      </c>
      <c r="L10742" s="382">
        <v>1.0</v>
      </c>
    </row>
    <row r="10743">
      <c r="A10743" s="380" t="s">
        <v>11617</v>
      </c>
      <c r="B10743" s="380" t="str">
        <f>IFERROR(__xludf.DUMMYFUNCTION("""COMPUTED_VALUE"""),"Bombillo Cabina Eagle Ref17314 1004")</f>
        <v>Bombillo Cabina Eagle Ref17314 1004</v>
      </c>
      <c r="C10743" s="380" t="str">
        <f>IFERROR(__xludf.DUMMYFUNCTION("""COMPUTED_VALUE"""),"70006170")</f>
        <v>70006170</v>
      </c>
      <c r="D10743" s="380" t="s">
        <v>767</v>
      </c>
      <c r="E10743" s="380" t="s">
        <v>786</v>
      </c>
      <c r="F10743" s="380" t="s">
        <v>998</v>
      </c>
      <c r="G10743" s="380" t="s">
        <v>1267</v>
      </c>
      <c r="H10743" s="380" t="s">
        <v>771</v>
      </c>
      <c r="I10743" s="380" t="s">
        <v>788</v>
      </c>
      <c r="J10743" s="380" t="s">
        <v>773</v>
      </c>
      <c r="K10743" s="381">
        <v>0.0</v>
      </c>
      <c r="L10743" s="382">
        <v>1.0</v>
      </c>
    </row>
    <row r="10744">
      <c r="A10744" s="380" t="s">
        <v>11618</v>
      </c>
      <c r="B10744" s="380" t="str">
        <f>IFERROR(__xludf.DUMMYFUNCTION("""COMPUTED_VALUE"""),"Motor Elevavidrio Van N200 Ok57767350")</f>
        <v>Motor Elevavidrio Van N200 Ok57767350</v>
      </c>
      <c r="C10744" s="380" t="str">
        <f>IFERROR(__xludf.DUMMYFUNCTION("""COMPUTED_VALUE"""),"70006172")</f>
        <v>70006172</v>
      </c>
      <c r="D10744" s="380" t="s">
        <v>767</v>
      </c>
      <c r="E10744" s="380" t="s">
        <v>786</v>
      </c>
      <c r="F10744" s="380" t="s">
        <v>998</v>
      </c>
      <c r="G10744" s="380" t="s">
        <v>1267</v>
      </c>
      <c r="H10744" s="380" t="s">
        <v>771</v>
      </c>
      <c r="I10744" s="380" t="s">
        <v>788</v>
      </c>
      <c r="J10744" s="380" t="s">
        <v>773</v>
      </c>
      <c r="K10744" s="381">
        <v>0.0</v>
      </c>
      <c r="L10744" s="382">
        <v>1.0</v>
      </c>
    </row>
    <row r="10745">
      <c r="A10745" s="380" t="s">
        <v>11619</v>
      </c>
      <c r="B10745" s="380" t="str">
        <f>IFERROR(__xludf.DUMMYFUNCTION("""COMPUTED_VALUE"""),"Balinera 6004 Zz")</f>
        <v>Balinera 6004 Zz</v>
      </c>
      <c r="C10745" s="380" t="str">
        <f>IFERROR(__xludf.DUMMYFUNCTION("""COMPUTED_VALUE"""),"70006173")</f>
        <v>70006173</v>
      </c>
      <c r="D10745" s="380" t="s">
        <v>767</v>
      </c>
      <c r="E10745" s="380" t="s">
        <v>786</v>
      </c>
      <c r="F10745" s="380" t="s">
        <v>998</v>
      </c>
      <c r="G10745" s="380" t="s">
        <v>1267</v>
      </c>
      <c r="H10745" s="380" t="s">
        <v>771</v>
      </c>
      <c r="I10745" s="380" t="s">
        <v>788</v>
      </c>
      <c r="J10745" s="380" t="s">
        <v>773</v>
      </c>
      <c r="K10745" s="381">
        <v>0.0</v>
      </c>
      <c r="L10745" s="382">
        <v>1.0</v>
      </c>
    </row>
    <row r="10746">
      <c r="A10746" s="380" t="s">
        <v>11620</v>
      </c>
      <c r="B10746" s="380" t="str">
        <f>IFERROR(__xludf.DUMMYFUNCTION("""COMPUTED_VALUE"""),"Plumilla Limpiabrisas NS Paif B8890u52xb")</f>
        <v>Plumilla Limpiabrisas NS Paif B8890u52xb</v>
      </c>
      <c r="C10746" s="380" t="str">
        <f>IFERROR(__xludf.DUMMYFUNCTION("""COMPUTED_VALUE"""),"70006174")</f>
        <v>70006174</v>
      </c>
      <c r="D10746" s="380" t="s">
        <v>767</v>
      </c>
      <c r="E10746" s="380" t="s">
        <v>786</v>
      </c>
      <c r="F10746" s="380" t="s">
        <v>792</v>
      </c>
      <c r="G10746" s="380" t="s">
        <v>1267</v>
      </c>
      <c r="H10746" s="380" t="s">
        <v>771</v>
      </c>
      <c r="I10746" s="380" t="s">
        <v>788</v>
      </c>
      <c r="J10746" s="380" t="s">
        <v>773</v>
      </c>
      <c r="K10746" s="381">
        <v>0.0</v>
      </c>
      <c r="L10746" s="382">
        <v>1.0</v>
      </c>
    </row>
    <row r="10747">
      <c r="A10747" s="380" t="s">
        <v>11621</v>
      </c>
      <c r="B10747" s="380" t="str">
        <f>IFERROR(__xludf.DUMMYFUNCTION("""COMPUTED_VALUE"""),"Muelle Tras Aux Npr 22917")</f>
        <v>Muelle Tras Aux Npr 22917</v>
      </c>
      <c r="C10747" s="380" t="str">
        <f>IFERROR(__xludf.DUMMYFUNCTION("""COMPUTED_VALUE"""),"70006175")</f>
        <v>70006175</v>
      </c>
      <c r="D10747" s="380" t="s">
        <v>767</v>
      </c>
      <c r="E10747" s="380" t="s">
        <v>786</v>
      </c>
      <c r="F10747" s="380" t="s">
        <v>1039</v>
      </c>
      <c r="G10747" s="380" t="s">
        <v>1267</v>
      </c>
      <c r="H10747" s="380" t="s">
        <v>771</v>
      </c>
      <c r="I10747" s="380" t="s">
        <v>788</v>
      </c>
      <c r="J10747" s="380" t="s">
        <v>773</v>
      </c>
      <c r="K10747" s="381">
        <v>0.0</v>
      </c>
      <c r="L10747" s="382">
        <v>1.0</v>
      </c>
    </row>
    <row r="10748">
      <c r="A10748" s="380" t="s">
        <v>11622</v>
      </c>
      <c r="B10748" s="380" t="str">
        <f>IFERROR(__xludf.DUMMYFUNCTION("""COMPUTED_VALUE"""),"Speed Y Corona Diferencial Nh 8972112380")</f>
        <v>Speed Y Corona Diferencial Nh 8972112380</v>
      </c>
      <c r="C10748" s="380" t="str">
        <f>IFERROR(__xludf.DUMMYFUNCTION("""COMPUTED_VALUE"""),"70006176")</f>
        <v>70006176</v>
      </c>
      <c r="D10748" s="380" t="s">
        <v>767</v>
      </c>
      <c r="E10748" s="380" t="s">
        <v>786</v>
      </c>
      <c r="F10748" s="380" t="s">
        <v>5683</v>
      </c>
      <c r="G10748" s="380" t="s">
        <v>1267</v>
      </c>
      <c r="H10748" s="380" t="s">
        <v>771</v>
      </c>
      <c r="I10748" s="380" t="s">
        <v>788</v>
      </c>
      <c r="J10748" s="380" t="s">
        <v>773</v>
      </c>
      <c r="K10748" s="381">
        <v>0.0</v>
      </c>
      <c r="L10748" s="382">
        <v>1.0</v>
      </c>
    </row>
    <row r="10749">
      <c r="A10749" s="380" t="s">
        <v>11623</v>
      </c>
      <c r="B10749" s="380" t="str">
        <f>IFERROR(__xludf.DUMMYFUNCTION("""COMPUTED_VALUE"""),"Campana 6 Huecos Trailer 308-1")</f>
        <v>Campana 6 Huecos Trailer 308-1</v>
      </c>
      <c r="C10749" s="380" t="str">
        <f>IFERROR(__xludf.DUMMYFUNCTION("""COMPUTED_VALUE"""),"70006177")</f>
        <v>70006177</v>
      </c>
      <c r="D10749" s="380" t="s">
        <v>767</v>
      </c>
      <c r="E10749" s="380" t="s">
        <v>786</v>
      </c>
      <c r="F10749" s="380" t="s">
        <v>1017</v>
      </c>
      <c r="G10749" s="380" t="s">
        <v>1267</v>
      </c>
      <c r="H10749" s="380" t="s">
        <v>771</v>
      </c>
      <c r="I10749" s="380" t="s">
        <v>788</v>
      </c>
      <c r="J10749" s="380" t="s">
        <v>773</v>
      </c>
      <c r="K10749" s="381">
        <v>0.0</v>
      </c>
      <c r="L10749" s="382">
        <v>1.0</v>
      </c>
    </row>
    <row r="10750">
      <c r="A10750" s="380" t="s">
        <v>11624</v>
      </c>
      <c r="B10750" s="380" t="str">
        <f>IFERROR(__xludf.DUMMYFUNCTION("""COMPUTED_VALUE"""),"Cable Duplex 2 X 22")</f>
        <v>Cable Duplex 2 X 22</v>
      </c>
      <c r="C10750" s="380" t="str">
        <f>IFERROR(__xludf.DUMMYFUNCTION("""COMPUTED_VALUE"""),"70006178")</f>
        <v>70006178</v>
      </c>
      <c r="D10750" s="380" t="s">
        <v>767</v>
      </c>
      <c r="E10750" s="380" t="s">
        <v>786</v>
      </c>
      <c r="F10750" s="380" t="s">
        <v>998</v>
      </c>
      <c r="G10750" s="380" t="s">
        <v>1267</v>
      </c>
      <c r="H10750" s="380" t="s">
        <v>771</v>
      </c>
      <c r="I10750" s="380" t="s">
        <v>788</v>
      </c>
      <c r="J10750" s="380" t="s">
        <v>773</v>
      </c>
      <c r="K10750" s="381">
        <v>0.0</v>
      </c>
      <c r="L10750" s="382">
        <v>1.0</v>
      </c>
    </row>
    <row r="10751">
      <c r="A10751" s="380" t="s">
        <v>11625</v>
      </c>
      <c r="B10751" s="380" t="str">
        <f>IFERROR(__xludf.DUMMYFUNCTION("""COMPUTED_VALUE"""),"Freno Sincronismo Caja Fuller K1946")</f>
        <v>Freno Sincronismo Caja Fuller K1946</v>
      </c>
      <c r="C10751" s="380" t="str">
        <f>IFERROR(__xludf.DUMMYFUNCTION("""COMPUTED_VALUE"""),"70006179")</f>
        <v>70006179</v>
      </c>
      <c r="D10751" s="380" t="s">
        <v>767</v>
      </c>
      <c r="E10751" s="380" t="s">
        <v>786</v>
      </c>
      <c r="F10751" s="380" t="s">
        <v>928</v>
      </c>
      <c r="G10751" s="380" t="s">
        <v>1267</v>
      </c>
      <c r="H10751" s="380" t="s">
        <v>771</v>
      </c>
      <c r="I10751" s="380" t="s">
        <v>788</v>
      </c>
      <c r="J10751" s="380" t="s">
        <v>773</v>
      </c>
      <c r="K10751" s="381">
        <v>0.0</v>
      </c>
      <c r="L10751" s="382">
        <v>1.0</v>
      </c>
    </row>
    <row r="10752">
      <c r="A10752" s="380" t="s">
        <v>11626</v>
      </c>
      <c r="B10752" s="380" t="str">
        <f>IFERROR(__xludf.DUMMYFUNCTION("""COMPUTED_VALUE"""),"Guaya Apagado Npr 11161")</f>
        <v>Guaya Apagado Npr 11161</v>
      </c>
      <c r="C10752" s="380" t="str">
        <f>IFERROR(__xludf.DUMMYFUNCTION("""COMPUTED_VALUE"""),"70006180")</f>
        <v>70006180</v>
      </c>
      <c r="D10752" s="380" t="s">
        <v>767</v>
      </c>
      <c r="E10752" s="380" t="s">
        <v>786</v>
      </c>
      <c r="F10752" s="380" t="s">
        <v>787</v>
      </c>
      <c r="G10752" s="380" t="s">
        <v>1267</v>
      </c>
      <c r="H10752" s="380" t="s">
        <v>771</v>
      </c>
      <c r="I10752" s="380" t="s">
        <v>788</v>
      </c>
      <c r="J10752" s="380" t="s">
        <v>773</v>
      </c>
      <c r="K10752" s="381">
        <v>0.0</v>
      </c>
      <c r="L10752" s="382">
        <v>1.0</v>
      </c>
    </row>
    <row r="10753">
      <c r="A10753" s="380" t="s">
        <v>11627</v>
      </c>
      <c r="B10753" s="380" t="str">
        <f>IFERROR(__xludf.DUMMYFUNCTION("""COMPUTED_VALUE"""),"Conector Solenoide Bomba Combustible Nkr")</f>
        <v>Conector Solenoide Bomba Combustible Nkr</v>
      </c>
      <c r="C10753" s="380" t="str">
        <f>IFERROR(__xludf.DUMMYFUNCTION("""COMPUTED_VALUE"""),"70006181")</f>
        <v>70006181</v>
      </c>
      <c r="D10753" s="380" t="s">
        <v>767</v>
      </c>
      <c r="E10753" s="380" t="s">
        <v>786</v>
      </c>
      <c r="F10753" s="380" t="s">
        <v>998</v>
      </c>
      <c r="G10753" s="380" t="s">
        <v>1267</v>
      </c>
      <c r="H10753" s="380" t="s">
        <v>771</v>
      </c>
      <c r="I10753" s="380" t="s">
        <v>788</v>
      </c>
      <c r="J10753" s="380" t="s">
        <v>773</v>
      </c>
      <c r="K10753" s="381">
        <v>0.0</v>
      </c>
      <c r="L10753" s="382">
        <v>1.0</v>
      </c>
    </row>
    <row r="10754">
      <c r="A10754" s="380" t="s">
        <v>11628</v>
      </c>
      <c r="B10754" s="380" t="str">
        <f>IFERROR(__xludf.DUMMYFUNCTION("""COMPUTED_VALUE"""),"Diafragma Freno Ahogo Nhr")</f>
        <v>Diafragma Freno Ahogo Nhr</v>
      </c>
      <c r="C10754" s="380" t="str">
        <f>IFERROR(__xludf.DUMMYFUNCTION("""COMPUTED_VALUE"""),"70006182")</f>
        <v>70006182</v>
      </c>
      <c r="D10754" s="380" t="s">
        <v>767</v>
      </c>
      <c r="E10754" s="380" t="s">
        <v>786</v>
      </c>
      <c r="F10754" s="380" t="s">
        <v>1017</v>
      </c>
      <c r="G10754" s="380" t="s">
        <v>1267</v>
      </c>
      <c r="H10754" s="380" t="s">
        <v>771</v>
      </c>
      <c r="I10754" s="380" t="s">
        <v>788</v>
      </c>
      <c r="J10754" s="380" t="s">
        <v>773</v>
      </c>
      <c r="K10754" s="381">
        <v>0.0</v>
      </c>
      <c r="L10754" s="382">
        <v>1.0</v>
      </c>
    </row>
    <row r="10755">
      <c r="A10755" s="380" t="s">
        <v>11629</v>
      </c>
      <c r="B10755" s="380" t="str">
        <f>IFERROR(__xludf.DUMMYFUNCTION("""COMPUTED_VALUE"""),"Stop Trasero Nhr")</f>
        <v>Stop Trasero Nhr</v>
      </c>
      <c r="C10755" s="380" t="str">
        <f>IFERROR(__xludf.DUMMYFUNCTION("""COMPUTED_VALUE"""),"70006183")</f>
        <v>70006183</v>
      </c>
      <c r="D10755" s="380" t="s">
        <v>767</v>
      </c>
      <c r="E10755" s="380" t="s">
        <v>786</v>
      </c>
      <c r="F10755" s="380" t="s">
        <v>998</v>
      </c>
      <c r="G10755" s="380" t="s">
        <v>1267</v>
      </c>
      <c r="H10755" s="380" t="s">
        <v>771</v>
      </c>
      <c r="I10755" s="380" t="s">
        <v>788</v>
      </c>
      <c r="J10755" s="380" t="s">
        <v>773</v>
      </c>
      <c r="K10755" s="381">
        <v>0.0</v>
      </c>
      <c r="L10755" s="382">
        <v>1.0</v>
      </c>
    </row>
    <row r="10756">
      <c r="A10756" s="380" t="s">
        <v>11630</v>
      </c>
      <c r="B10756" s="380" t="str">
        <f>IFERROR(__xludf.DUMMYFUNCTION("""COMPUTED_VALUE"""),"Retenedor Rueda Tras Npr 8943363161")</f>
        <v>Retenedor Rueda Tras Npr 8943363161</v>
      </c>
      <c r="C10756" s="380" t="str">
        <f>IFERROR(__xludf.DUMMYFUNCTION("""COMPUTED_VALUE"""),"70006184")</f>
        <v>70006184</v>
      </c>
      <c r="D10756" s="380" t="s">
        <v>767</v>
      </c>
      <c r="E10756" s="380" t="s">
        <v>786</v>
      </c>
      <c r="F10756" s="380" t="s">
        <v>1039</v>
      </c>
      <c r="G10756" s="380" t="s">
        <v>1267</v>
      </c>
      <c r="H10756" s="380" t="s">
        <v>771</v>
      </c>
      <c r="I10756" s="380" t="s">
        <v>788</v>
      </c>
      <c r="J10756" s="380" t="s">
        <v>773</v>
      </c>
      <c r="K10756" s="381">
        <v>0.0</v>
      </c>
      <c r="L10756" s="382">
        <v>1.0</v>
      </c>
    </row>
    <row r="10757">
      <c r="A10757" s="380" t="s">
        <v>11631</v>
      </c>
      <c r="B10757" s="380" t="str">
        <f>IFERROR(__xludf.DUMMYFUNCTION("""COMPUTED_VALUE"""),"Lente Tablero Instrumentos Np 8971854520")</f>
        <v>Lente Tablero Instrumentos Np 8971854520</v>
      </c>
      <c r="C10757" s="380" t="str">
        <f>IFERROR(__xludf.DUMMYFUNCTION("""COMPUTED_VALUE"""),"70006185")</f>
        <v>70006185</v>
      </c>
      <c r="D10757" s="380" t="s">
        <v>767</v>
      </c>
      <c r="E10757" s="380" t="s">
        <v>786</v>
      </c>
      <c r="F10757" s="380" t="s">
        <v>792</v>
      </c>
      <c r="G10757" s="380" t="s">
        <v>1267</v>
      </c>
      <c r="H10757" s="380" t="s">
        <v>771</v>
      </c>
      <c r="I10757" s="380" t="s">
        <v>788</v>
      </c>
      <c r="J10757" s="380" t="s">
        <v>773</v>
      </c>
      <c r="K10757" s="381">
        <v>0.0</v>
      </c>
      <c r="L10757" s="382">
        <v>1.0</v>
      </c>
    </row>
    <row r="10758">
      <c r="A10758" s="380" t="s">
        <v>11632</v>
      </c>
      <c r="B10758" s="380" t="str">
        <f>IFERROR(__xludf.DUMMYFUNCTION("""COMPUTED_VALUE"""),"Perfil Techo Furgon Nkr-Nhr")</f>
        <v>Perfil Techo Furgon Nkr-Nhr</v>
      </c>
      <c r="C10758" s="380" t="str">
        <f>IFERROR(__xludf.DUMMYFUNCTION("""COMPUTED_VALUE"""),"70006187")</f>
        <v>70006187</v>
      </c>
      <c r="D10758" s="380" t="s">
        <v>767</v>
      </c>
      <c r="E10758" s="380" t="s">
        <v>786</v>
      </c>
      <c r="F10758" s="380" t="s">
        <v>792</v>
      </c>
      <c r="G10758" s="380" t="s">
        <v>1267</v>
      </c>
      <c r="H10758" s="380" t="s">
        <v>771</v>
      </c>
      <c r="I10758" s="380" t="s">
        <v>788</v>
      </c>
      <c r="J10758" s="380" t="s">
        <v>773</v>
      </c>
      <c r="K10758" s="381">
        <v>0.0</v>
      </c>
      <c r="L10758" s="382">
        <v>1.0</v>
      </c>
    </row>
    <row r="10759">
      <c r="A10759" s="380" t="s">
        <v>11633</v>
      </c>
      <c r="B10759" s="380" t="str">
        <f>IFERROR(__xludf.DUMMYFUNCTION("""COMPUTED_VALUE"""),"Automatico ARR Super Carry 3122051a10")</f>
        <v>Automatico ARR Super Carry 3122051a10</v>
      </c>
      <c r="C10759" s="380" t="str">
        <f>IFERROR(__xludf.DUMMYFUNCTION("""COMPUTED_VALUE"""),"70006188")</f>
        <v>70006188</v>
      </c>
      <c r="D10759" s="380" t="s">
        <v>767</v>
      </c>
      <c r="E10759" s="380" t="s">
        <v>786</v>
      </c>
      <c r="F10759" s="380" t="s">
        <v>998</v>
      </c>
      <c r="G10759" s="380" t="s">
        <v>1267</v>
      </c>
      <c r="H10759" s="380" t="s">
        <v>771</v>
      </c>
      <c r="I10759" s="380" t="s">
        <v>788</v>
      </c>
      <c r="J10759" s="380" t="s">
        <v>773</v>
      </c>
      <c r="K10759" s="381">
        <v>0.0</v>
      </c>
      <c r="L10759" s="382">
        <v>1.0</v>
      </c>
    </row>
    <row r="10760">
      <c r="A10760" s="380" t="s">
        <v>11634</v>
      </c>
      <c r="B10760" s="380" t="str">
        <f>IFERROR(__xludf.DUMMYFUNCTION("""COMPUTED_VALUE"""),"Arco Techo Furgon C-14")</f>
        <v>Arco Techo Furgon C-14</v>
      </c>
      <c r="C10760" s="380" t="str">
        <f>IFERROR(__xludf.DUMMYFUNCTION("""COMPUTED_VALUE"""),"70006189")</f>
        <v>70006189</v>
      </c>
      <c r="D10760" s="380" t="s">
        <v>767</v>
      </c>
      <c r="E10760" s="380" t="s">
        <v>786</v>
      </c>
      <c r="F10760" s="380" t="s">
        <v>792</v>
      </c>
      <c r="G10760" s="380" t="s">
        <v>1267</v>
      </c>
      <c r="H10760" s="380" t="s">
        <v>771</v>
      </c>
      <c r="I10760" s="380" t="s">
        <v>788</v>
      </c>
      <c r="J10760" s="380" t="s">
        <v>773</v>
      </c>
      <c r="K10760" s="381">
        <v>0.0</v>
      </c>
      <c r="L10760" s="382">
        <v>1.0</v>
      </c>
    </row>
    <row r="10761">
      <c r="A10761" s="380" t="s">
        <v>11635</v>
      </c>
      <c r="B10761" s="380" t="str">
        <f>IFERROR(__xludf.DUMMYFUNCTION("""COMPUTED_VALUE"""),"Jgo Bobinas De Campo M ARR 42mt 59136")</f>
        <v>Jgo Bobinas De Campo M ARR 42mt 59136</v>
      </c>
      <c r="C10761" s="380" t="str">
        <f>IFERROR(__xludf.DUMMYFUNCTION("""COMPUTED_VALUE"""),"70006190")</f>
        <v>70006190</v>
      </c>
      <c r="D10761" s="380" t="s">
        <v>767</v>
      </c>
      <c r="E10761" s="380" t="s">
        <v>786</v>
      </c>
      <c r="F10761" s="380" t="s">
        <v>998</v>
      </c>
      <c r="G10761" s="380" t="s">
        <v>1267</v>
      </c>
      <c r="H10761" s="380" t="s">
        <v>771</v>
      </c>
      <c r="I10761" s="380" t="s">
        <v>788</v>
      </c>
      <c r="J10761" s="380" t="s">
        <v>773</v>
      </c>
      <c r="K10761" s="381">
        <v>0.0</v>
      </c>
      <c r="L10761" s="382">
        <v>1.0</v>
      </c>
    </row>
    <row r="10762">
      <c r="A10762" s="380" t="s">
        <v>11636</v>
      </c>
      <c r="B10762" s="380" t="str">
        <f>IFERROR(__xludf.DUMMYFUNCTION("""COMPUTED_VALUE"""),"Juego Bandas Motofurgon 3w180")</f>
        <v>Juego Bandas Motofurgon 3w180</v>
      </c>
      <c r="C10762" s="380" t="str">
        <f>IFERROR(__xludf.DUMMYFUNCTION("""COMPUTED_VALUE"""),"70006191")</f>
        <v>70006191</v>
      </c>
      <c r="D10762" s="380" t="s">
        <v>767</v>
      </c>
      <c r="E10762" s="380" t="s">
        <v>786</v>
      </c>
      <c r="F10762" s="380" t="s">
        <v>1017</v>
      </c>
      <c r="G10762" s="380" t="s">
        <v>1267</v>
      </c>
      <c r="H10762" s="380" t="s">
        <v>771</v>
      </c>
      <c r="I10762" s="380" t="s">
        <v>788</v>
      </c>
      <c r="J10762" s="380" t="s">
        <v>773</v>
      </c>
      <c r="K10762" s="381">
        <v>0.0</v>
      </c>
      <c r="L10762" s="382">
        <v>1.0</v>
      </c>
    </row>
    <row r="10763">
      <c r="A10763" s="380" t="s">
        <v>11637</v>
      </c>
      <c r="B10763" s="380" t="str">
        <f>IFERROR(__xludf.DUMMYFUNCTION("""COMPUTED_VALUE"""),"Tuerca Suspens EGL/ Internatio 2022653c1")</f>
        <v>Tuerca Suspens EGL/ Internatio 2022653c1</v>
      </c>
      <c r="C10763" s="380" t="str">
        <f>IFERROR(__xludf.DUMMYFUNCTION("""COMPUTED_VALUE"""),"70006192")</f>
        <v>70006192</v>
      </c>
      <c r="D10763" s="380" t="s">
        <v>767</v>
      </c>
      <c r="E10763" s="380" t="s">
        <v>786</v>
      </c>
      <c r="F10763" s="380" t="s">
        <v>1039</v>
      </c>
      <c r="G10763" s="380" t="s">
        <v>1267</v>
      </c>
      <c r="H10763" s="380" t="s">
        <v>771</v>
      </c>
      <c r="I10763" s="380" t="s">
        <v>788</v>
      </c>
      <c r="J10763" s="380" t="s">
        <v>773</v>
      </c>
      <c r="K10763" s="381">
        <v>0.0</v>
      </c>
      <c r="L10763" s="382">
        <v>1.0</v>
      </c>
    </row>
    <row r="10764">
      <c r="A10764" s="380" t="s">
        <v>11638</v>
      </c>
      <c r="B10764" s="380" t="str">
        <f>IFERROR(__xludf.DUMMYFUNCTION("""COMPUTED_VALUE"""),"Empaquetadura Motor Npr Isuzu 5878139563")</f>
        <v>Empaquetadura Motor Npr Isuzu 5878139563</v>
      </c>
      <c r="C10764" s="380" t="str">
        <f>IFERROR(__xludf.DUMMYFUNCTION("""COMPUTED_VALUE"""),"70006193")</f>
        <v>70006193</v>
      </c>
      <c r="D10764" s="380" t="s">
        <v>767</v>
      </c>
      <c r="E10764" s="380" t="s">
        <v>786</v>
      </c>
      <c r="F10764" s="380" t="s">
        <v>787</v>
      </c>
      <c r="G10764" s="380" t="s">
        <v>1267</v>
      </c>
      <c r="H10764" s="380" t="s">
        <v>771</v>
      </c>
      <c r="I10764" s="380" t="s">
        <v>788</v>
      </c>
      <c r="J10764" s="380" t="s">
        <v>773</v>
      </c>
      <c r="K10764" s="381">
        <v>0.0</v>
      </c>
      <c r="L10764" s="382">
        <v>1.0</v>
      </c>
    </row>
    <row r="10765">
      <c r="A10765" s="380" t="s">
        <v>11639</v>
      </c>
      <c r="B10765" s="380" t="str">
        <f>IFERROR(__xludf.DUMMYFUNCTION("""COMPUTED_VALUE"""),"Camara Freno Aire Seguridad 3030 286366")</f>
        <v>Camara Freno Aire Seguridad 3030 286366</v>
      </c>
      <c r="C10765" s="380" t="str">
        <f>IFERROR(__xludf.DUMMYFUNCTION("""COMPUTED_VALUE"""),"70006194")</f>
        <v>70006194</v>
      </c>
      <c r="D10765" s="380" t="s">
        <v>767</v>
      </c>
      <c r="E10765" s="380" t="s">
        <v>786</v>
      </c>
      <c r="F10765" s="380" t="s">
        <v>1017</v>
      </c>
      <c r="G10765" s="380" t="s">
        <v>1267</v>
      </c>
      <c r="H10765" s="380" t="s">
        <v>771</v>
      </c>
      <c r="I10765" s="380" t="s">
        <v>788</v>
      </c>
      <c r="J10765" s="380" t="s">
        <v>773</v>
      </c>
      <c r="K10765" s="381">
        <v>141518.0</v>
      </c>
      <c r="L10765" s="382">
        <v>1.0</v>
      </c>
    </row>
    <row r="10766">
      <c r="A10766" s="380" t="s">
        <v>11640</v>
      </c>
      <c r="B10766" s="380" t="str">
        <f>IFERROR(__xludf.DUMMYFUNCTION("""COMPUTED_VALUE"""),"Motor Limpiabrisas S Carry 46")</f>
        <v>Motor Limpiabrisas S Carry 46</v>
      </c>
      <c r="C10766" s="380" t="str">
        <f>IFERROR(__xludf.DUMMYFUNCTION("""COMPUTED_VALUE"""),"70006195")</f>
        <v>70006195</v>
      </c>
      <c r="D10766" s="380" t="s">
        <v>767</v>
      </c>
      <c r="E10766" s="380" t="s">
        <v>786</v>
      </c>
      <c r="F10766" s="380" t="s">
        <v>998</v>
      </c>
      <c r="G10766" s="380" t="s">
        <v>1267</v>
      </c>
      <c r="H10766" s="380" t="s">
        <v>771</v>
      </c>
      <c r="I10766" s="380" t="s">
        <v>788</v>
      </c>
      <c r="J10766" s="380" t="s">
        <v>773</v>
      </c>
      <c r="K10766" s="381">
        <v>0.0</v>
      </c>
      <c r="L10766" s="382">
        <v>1.0</v>
      </c>
    </row>
    <row r="10767">
      <c r="A10767" s="380" t="s">
        <v>11641</v>
      </c>
      <c r="B10767" s="380" t="str">
        <f>IFERROR(__xludf.DUMMYFUNCTION("""COMPUTED_VALUE"""),"Valvula Admision Culata Npr 8971713980")</f>
        <v>Valvula Admision Culata Npr 8971713980</v>
      </c>
      <c r="C10767" s="380" t="str">
        <f>IFERROR(__xludf.DUMMYFUNCTION("""COMPUTED_VALUE"""),"70006196")</f>
        <v>70006196</v>
      </c>
      <c r="D10767" s="380" t="s">
        <v>767</v>
      </c>
      <c r="E10767" s="380" t="s">
        <v>786</v>
      </c>
      <c r="F10767" s="380" t="s">
        <v>787</v>
      </c>
      <c r="G10767" s="380" t="s">
        <v>1267</v>
      </c>
      <c r="H10767" s="380" t="s">
        <v>771</v>
      </c>
      <c r="I10767" s="380" t="s">
        <v>788</v>
      </c>
      <c r="J10767" s="380" t="s">
        <v>773</v>
      </c>
      <c r="K10767" s="381">
        <v>0.0</v>
      </c>
      <c r="L10767" s="382">
        <v>1.0</v>
      </c>
    </row>
    <row r="10768">
      <c r="A10768" s="380" t="s">
        <v>11642</v>
      </c>
      <c r="B10768" s="380" t="str">
        <f>IFERROR(__xludf.DUMMYFUNCTION("""COMPUTED_VALUE"""),"Valvula Escape Culata Npr 8971713990")</f>
        <v>Valvula Escape Culata Npr 8971713990</v>
      </c>
      <c r="C10768" s="380" t="str">
        <f>IFERROR(__xludf.DUMMYFUNCTION("""COMPUTED_VALUE"""),"70006197")</f>
        <v>70006197</v>
      </c>
      <c r="D10768" s="380" t="s">
        <v>767</v>
      </c>
      <c r="E10768" s="380" t="s">
        <v>786</v>
      </c>
      <c r="F10768" s="380" t="s">
        <v>787</v>
      </c>
      <c r="G10768" s="380" t="s">
        <v>1267</v>
      </c>
      <c r="H10768" s="380" t="s">
        <v>771</v>
      </c>
      <c r="I10768" s="380" t="s">
        <v>788</v>
      </c>
      <c r="J10768" s="380" t="s">
        <v>773</v>
      </c>
      <c r="K10768" s="381">
        <v>0.0</v>
      </c>
      <c r="L10768" s="382">
        <v>1.0</v>
      </c>
    </row>
    <row r="10769">
      <c r="A10769" s="380" t="s">
        <v>11643</v>
      </c>
      <c r="B10769" s="380" t="str">
        <f>IFERROR(__xludf.DUMMYFUNCTION("""COMPUTED_VALUE"""),"Buje Base Palanca Cambios Gra 8971740570")</f>
        <v>Buje Base Palanca Cambios Gra 8971740570</v>
      </c>
      <c r="C10769" s="380" t="str">
        <f>IFERROR(__xludf.DUMMYFUNCTION("""COMPUTED_VALUE"""),"70006198")</f>
        <v>70006198</v>
      </c>
      <c r="D10769" s="380" t="s">
        <v>767</v>
      </c>
      <c r="E10769" s="380" t="s">
        <v>786</v>
      </c>
      <c r="F10769" s="380" t="s">
        <v>1020</v>
      </c>
      <c r="G10769" s="380" t="s">
        <v>1267</v>
      </c>
      <c r="H10769" s="380" t="s">
        <v>771</v>
      </c>
      <c r="I10769" s="380" t="s">
        <v>788</v>
      </c>
      <c r="J10769" s="380" t="s">
        <v>773</v>
      </c>
      <c r="K10769" s="381">
        <v>10427.0</v>
      </c>
      <c r="L10769" s="382">
        <v>1.0</v>
      </c>
    </row>
    <row r="10770">
      <c r="A10770" s="380" t="s">
        <v>11644</v>
      </c>
      <c r="B10770" s="380" t="str">
        <f>IFERROR(__xludf.DUMMYFUNCTION("""COMPUTED_VALUE"""),"Tapa Termostato Nhr-Npr 8972041990")</f>
        <v>Tapa Termostato Nhr-Npr 8972041990</v>
      </c>
      <c r="C10770" s="380" t="str">
        <f>IFERROR(__xludf.DUMMYFUNCTION("""COMPUTED_VALUE"""),"70006199")</f>
        <v>70006199</v>
      </c>
      <c r="D10770" s="380" t="s">
        <v>767</v>
      </c>
      <c r="E10770" s="380" t="s">
        <v>786</v>
      </c>
      <c r="F10770" s="380" t="s">
        <v>787</v>
      </c>
      <c r="G10770" s="380" t="s">
        <v>1267</v>
      </c>
      <c r="H10770" s="380" t="s">
        <v>771</v>
      </c>
      <c r="I10770" s="380" t="s">
        <v>788</v>
      </c>
      <c r="J10770" s="380" t="s">
        <v>773</v>
      </c>
      <c r="K10770" s="381">
        <v>0.0</v>
      </c>
      <c r="L10770" s="382">
        <v>1.0</v>
      </c>
    </row>
    <row r="10771">
      <c r="A10771" s="380" t="s">
        <v>11645</v>
      </c>
      <c r="B10771" s="380" t="str">
        <f>IFERROR(__xludf.DUMMYFUNCTION("""COMPUTED_VALUE"""),"Motor Arranque Npr Isuzu 8972077862")</f>
        <v>Motor Arranque Npr Isuzu 8972077862</v>
      </c>
      <c r="C10771" s="380" t="str">
        <f>IFERROR(__xludf.DUMMYFUNCTION("""COMPUTED_VALUE"""),"70006200")</f>
        <v>70006200</v>
      </c>
      <c r="D10771" s="380" t="s">
        <v>767</v>
      </c>
      <c r="E10771" s="380" t="s">
        <v>786</v>
      </c>
      <c r="F10771" s="380" t="s">
        <v>998</v>
      </c>
      <c r="G10771" s="380" t="s">
        <v>1267</v>
      </c>
      <c r="H10771" s="380" t="s">
        <v>771</v>
      </c>
      <c r="I10771" s="380" t="s">
        <v>788</v>
      </c>
      <c r="J10771" s="380" t="s">
        <v>773</v>
      </c>
      <c r="K10771" s="381">
        <v>0.0</v>
      </c>
      <c r="L10771" s="382">
        <v>1.0</v>
      </c>
    </row>
    <row r="10772">
      <c r="A10772" s="380" t="s">
        <v>11646</v>
      </c>
      <c r="B10772" s="380" t="str">
        <f>IFERROR(__xludf.DUMMYFUNCTION("""COMPUTED_VALUE"""),"Empaque Mofle Motos Varias S147711730")</f>
        <v>Empaque Mofle Motos Varias S147711730</v>
      </c>
      <c r="C10772" s="380" t="str">
        <f>IFERROR(__xludf.DUMMYFUNCTION("""COMPUTED_VALUE"""),"70006201")</f>
        <v>70006201</v>
      </c>
      <c r="D10772" s="380" t="s">
        <v>767</v>
      </c>
      <c r="E10772" s="380" t="s">
        <v>786</v>
      </c>
      <c r="F10772" s="380" t="s">
        <v>928</v>
      </c>
      <c r="G10772" s="380" t="s">
        <v>1267</v>
      </c>
      <c r="H10772" s="380" t="s">
        <v>771</v>
      </c>
      <c r="I10772" s="380" t="s">
        <v>788</v>
      </c>
      <c r="J10772" s="380" t="s">
        <v>773</v>
      </c>
      <c r="K10772" s="381">
        <v>0.0</v>
      </c>
      <c r="L10772" s="382">
        <v>1.0</v>
      </c>
    </row>
    <row r="10773">
      <c r="A10773" s="380" t="s">
        <v>11647</v>
      </c>
      <c r="B10773" s="380" t="str">
        <f>IFERROR(__xludf.DUMMYFUNCTION("""COMPUTED_VALUE"""),"Lampara DIRal Frontal Der Vols Tac953041")</f>
        <v>Lampara DIRal Frontal Der Vols Tac953041</v>
      </c>
      <c r="C10773" s="380" t="str">
        <f>IFERROR(__xludf.DUMMYFUNCTION("""COMPUTED_VALUE"""),"70006202")</f>
        <v>70006202</v>
      </c>
      <c r="D10773" s="380" t="s">
        <v>767</v>
      </c>
      <c r="E10773" s="380" t="s">
        <v>786</v>
      </c>
      <c r="F10773" s="380" t="s">
        <v>998</v>
      </c>
      <c r="G10773" s="380" t="s">
        <v>1267</v>
      </c>
      <c r="H10773" s="380" t="s">
        <v>771</v>
      </c>
      <c r="I10773" s="380" t="s">
        <v>788</v>
      </c>
      <c r="J10773" s="380" t="s">
        <v>773</v>
      </c>
      <c r="K10773" s="381">
        <v>0.0</v>
      </c>
      <c r="L10773" s="382">
        <v>1.0</v>
      </c>
    </row>
    <row r="10774">
      <c r="A10774" s="380" t="s">
        <v>11648</v>
      </c>
      <c r="B10774" s="380" t="str">
        <f>IFERROR(__xludf.DUMMYFUNCTION("""COMPUTED_VALUE"""),"Balancin Largo Trailer 017")</f>
        <v>Balancin Largo Trailer 017</v>
      </c>
      <c r="C10774" s="380" t="str">
        <f>IFERROR(__xludf.DUMMYFUNCTION("""COMPUTED_VALUE"""),"70006203")</f>
        <v>70006203</v>
      </c>
      <c r="D10774" s="380" t="s">
        <v>767</v>
      </c>
      <c r="E10774" s="380" t="s">
        <v>786</v>
      </c>
      <c r="F10774" s="380" t="s">
        <v>1039</v>
      </c>
      <c r="G10774" s="380" t="s">
        <v>1267</v>
      </c>
      <c r="H10774" s="380" t="s">
        <v>771</v>
      </c>
      <c r="I10774" s="380" t="s">
        <v>788</v>
      </c>
      <c r="J10774" s="380" t="s">
        <v>773</v>
      </c>
      <c r="K10774" s="381">
        <v>148750.0</v>
      </c>
      <c r="L10774" s="382">
        <v>1.0</v>
      </c>
    </row>
    <row r="10775">
      <c r="A10775" s="380" t="s">
        <v>11649</v>
      </c>
      <c r="B10775" s="380" t="str">
        <f>IFERROR(__xludf.DUMMYFUNCTION("""COMPUTED_VALUE"""),"Grapa Furgon Npr De 5/8x3x14")</f>
        <v>Grapa Furgon Npr De 5/8x3x14</v>
      </c>
      <c r="C10775" s="380" t="str">
        <f>IFERROR(__xludf.DUMMYFUNCTION("""COMPUTED_VALUE"""),"70006204")</f>
        <v>70006204</v>
      </c>
      <c r="D10775" s="380" t="s">
        <v>767</v>
      </c>
      <c r="E10775" s="380" t="s">
        <v>786</v>
      </c>
      <c r="F10775" s="380" t="s">
        <v>792</v>
      </c>
      <c r="G10775" s="380" t="s">
        <v>1267</v>
      </c>
      <c r="H10775" s="380" t="s">
        <v>771</v>
      </c>
      <c r="I10775" s="380" t="s">
        <v>788</v>
      </c>
      <c r="J10775" s="380" t="s">
        <v>773</v>
      </c>
      <c r="K10775" s="381">
        <v>0.0</v>
      </c>
      <c r="L10775" s="382">
        <v>1.0</v>
      </c>
    </row>
    <row r="10776">
      <c r="A10776" s="380" t="s">
        <v>11650</v>
      </c>
      <c r="B10776" s="380" t="str">
        <f>IFERROR(__xludf.DUMMYFUNCTION("""COMPUTED_VALUE"""),"Espejo Convexo Aux Internatio 2589242c1")</f>
        <v>Espejo Convexo Aux Internatio 2589242c1</v>
      </c>
      <c r="C10776" s="380" t="str">
        <f>IFERROR(__xludf.DUMMYFUNCTION("""COMPUTED_VALUE"""),"70006205")</f>
        <v>70006205</v>
      </c>
      <c r="D10776" s="380" t="s">
        <v>767</v>
      </c>
      <c r="E10776" s="380" t="s">
        <v>786</v>
      </c>
      <c r="F10776" s="380" t="s">
        <v>792</v>
      </c>
      <c r="G10776" s="380" t="s">
        <v>1267</v>
      </c>
      <c r="H10776" s="380" t="s">
        <v>771</v>
      </c>
      <c r="I10776" s="380" t="s">
        <v>788</v>
      </c>
      <c r="J10776" s="380" t="s">
        <v>773</v>
      </c>
      <c r="K10776" s="381">
        <v>216354.0</v>
      </c>
      <c r="L10776" s="382">
        <v>1.0</v>
      </c>
    </row>
    <row r="10777">
      <c r="A10777" s="380" t="s">
        <v>11651</v>
      </c>
      <c r="B10777" s="380" t="str">
        <f>IFERROR(__xludf.DUMMYFUNCTION("""COMPUTED_VALUE"""),"Culata Motor Npr Isuzu 8973583680")</f>
        <v>Culata Motor Npr Isuzu 8973583680</v>
      </c>
      <c r="C10777" s="380" t="str">
        <f>IFERROR(__xludf.DUMMYFUNCTION("""COMPUTED_VALUE"""),"70006206")</f>
        <v>70006206</v>
      </c>
      <c r="D10777" s="380" t="s">
        <v>767</v>
      </c>
      <c r="E10777" s="380" t="s">
        <v>786</v>
      </c>
      <c r="F10777" s="380" t="s">
        <v>787</v>
      </c>
      <c r="G10777" s="380" t="s">
        <v>1267</v>
      </c>
      <c r="H10777" s="380" t="s">
        <v>771</v>
      </c>
      <c r="I10777" s="380" t="s">
        <v>788</v>
      </c>
      <c r="J10777" s="380" t="s">
        <v>773</v>
      </c>
      <c r="K10777" s="381">
        <v>0.0</v>
      </c>
      <c r="L10777" s="382">
        <v>1.0</v>
      </c>
    </row>
    <row r="10778">
      <c r="A10778" s="380" t="s">
        <v>11652</v>
      </c>
      <c r="B10778" s="380" t="str">
        <f>IFERROR(__xludf.DUMMYFUNCTION("""COMPUTED_VALUE"""),"Tapa Bocin RDA Del EGL Internatio Cr1630")</f>
        <v>Tapa Bocin RDA Del EGL Internatio Cr1630</v>
      </c>
      <c r="C10778" s="380" t="str">
        <f>IFERROR(__xludf.DUMMYFUNCTION("""COMPUTED_VALUE"""),"70006207")</f>
        <v>70006207</v>
      </c>
      <c r="D10778" s="380" t="s">
        <v>767</v>
      </c>
      <c r="E10778" s="380" t="s">
        <v>786</v>
      </c>
      <c r="F10778" s="380" t="s">
        <v>1017</v>
      </c>
      <c r="G10778" s="380" t="s">
        <v>1267</v>
      </c>
      <c r="H10778" s="380" t="s">
        <v>771</v>
      </c>
      <c r="I10778" s="380" t="s">
        <v>788</v>
      </c>
      <c r="J10778" s="380" t="s">
        <v>773</v>
      </c>
      <c r="K10778" s="381">
        <v>0.0</v>
      </c>
      <c r="L10778" s="382">
        <v>1.0</v>
      </c>
    </row>
    <row r="10779">
      <c r="A10779" s="380" t="s">
        <v>11653</v>
      </c>
      <c r="B10779" s="380" t="str">
        <f>IFERROR(__xludf.DUMMYFUNCTION("""COMPUTED_VALUE"""),"Manija Int Pta Der Npr Rmh28fanam")</f>
        <v>Manija Int Pta Der Npr Rmh28fanam</v>
      </c>
      <c r="C10779" s="380" t="str">
        <f>IFERROR(__xludf.DUMMYFUNCTION("""COMPUTED_VALUE"""),"70006208")</f>
        <v>70006208</v>
      </c>
      <c r="D10779" s="380" t="s">
        <v>767</v>
      </c>
      <c r="E10779" s="380" t="s">
        <v>786</v>
      </c>
      <c r="F10779" s="380" t="s">
        <v>792</v>
      </c>
      <c r="G10779" s="380" t="s">
        <v>1267</v>
      </c>
      <c r="H10779" s="380" t="s">
        <v>771</v>
      </c>
      <c r="I10779" s="380" t="s">
        <v>788</v>
      </c>
      <c r="J10779" s="380" t="s">
        <v>773</v>
      </c>
      <c r="K10779" s="381">
        <v>0.0</v>
      </c>
      <c r="L10779" s="382">
        <v>1.0</v>
      </c>
    </row>
    <row r="10780">
      <c r="A10780" s="380" t="s">
        <v>11654</v>
      </c>
      <c r="B10780" s="380" t="str">
        <f>IFERROR(__xludf.DUMMYFUNCTION("""COMPUTED_VALUE"""),"Manija Int Pta Izq Npr Rmh29fanam")</f>
        <v>Manija Int Pta Izq Npr Rmh29fanam</v>
      </c>
      <c r="C10780" s="380" t="str">
        <f>IFERROR(__xludf.DUMMYFUNCTION("""COMPUTED_VALUE"""),"70006209")</f>
        <v>70006209</v>
      </c>
      <c r="D10780" s="380" t="s">
        <v>767</v>
      </c>
      <c r="E10780" s="380" t="s">
        <v>786</v>
      </c>
      <c r="F10780" s="380" t="s">
        <v>792</v>
      </c>
      <c r="G10780" s="380" t="s">
        <v>1267</v>
      </c>
      <c r="H10780" s="380" t="s">
        <v>771</v>
      </c>
      <c r="I10780" s="380" t="s">
        <v>788</v>
      </c>
      <c r="J10780" s="380" t="s">
        <v>773</v>
      </c>
      <c r="K10780" s="381">
        <v>0.0</v>
      </c>
      <c r="L10780" s="382">
        <v>1.0</v>
      </c>
    </row>
    <row r="10781">
      <c r="A10781" s="380" t="s">
        <v>11655</v>
      </c>
      <c r="B10781" s="380" t="str">
        <f>IFERROR(__xludf.DUMMYFUNCTION("""COMPUTED_VALUE"""),"Fusible Enlace 50 Amperios Npr")</f>
        <v>Fusible Enlace 50 Amperios Npr</v>
      </c>
      <c r="C10781" s="380" t="str">
        <f>IFERROR(__xludf.DUMMYFUNCTION("""COMPUTED_VALUE"""),"70006210")</f>
        <v>70006210</v>
      </c>
      <c r="D10781" s="380" t="s">
        <v>767</v>
      </c>
      <c r="E10781" s="380" t="s">
        <v>786</v>
      </c>
      <c r="F10781" s="380" t="s">
        <v>998</v>
      </c>
      <c r="G10781" s="380" t="s">
        <v>1267</v>
      </c>
      <c r="H10781" s="380" t="s">
        <v>771</v>
      </c>
      <c r="I10781" s="380" t="s">
        <v>788</v>
      </c>
      <c r="J10781" s="380" t="s">
        <v>773</v>
      </c>
      <c r="K10781" s="381">
        <v>0.0</v>
      </c>
      <c r="L10781" s="382">
        <v>1.0</v>
      </c>
    </row>
    <row r="10782">
      <c r="A10782" s="380" t="s">
        <v>11656</v>
      </c>
      <c r="B10782" s="380" t="str">
        <f>IFERROR(__xludf.DUMMYFUNCTION("""COMPUTED_VALUE"""),"Abrazadera Cremallera 6")</f>
        <v>Abrazadera Cremallera 6</v>
      </c>
      <c r="C10782" s="380" t="str">
        <f>IFERROR(__xludf.DUMMYFUNCTION("""COMPUTED_VALUE"""),"70006211")</f>
        <v>70006211</v>
      </c>
      <c r="D10782" s="380" t="s">
        <v>767</v>
      </c>
      <c r="E10782" s="380" t="s">
        <v>786</v>
      </c>
      <c r="F10782" s="380" t="s">
        <v>989</v>
      </c>
      <c r="G10782" s="380" t="s">
        <v>1267</v>
      </c>
      <c r="H10782" s="380" t="s">
        <v>771</v>
      </c>
      <c r="I10782" s="380" t="s">
        <v>788</v>
      </c>
      <c r="J10782" s="380" t="s">
        <v>773</v>
      </c>
      <c r="K10782" s="381">
        <v>2499.0</v>
      </c>
      <c r="L10782" s="382">
        <v>1.0</v>
      </c>
    </row>
    <row r="10783">
      <c r="A10783" s="380" t="s">
        <v>11657</v>
      </c>
      <c r="B10783" s="380" t="str">
        <f>IFERROR(__xludf.DUMMYFUNCTION("""COMPUTED_VALUE"""),"Bujia Encendido Motor Nissan 2240153j06")</f>
        <v>Bujia Encendido Motor Nissan 2240153j06</v>
      </c>
      <c r="C10783" s="380" t="str">
        <f>IFERROR(__xludf.DUMMYFUNCTION("""COMPUTED_VALUE"""),"70006212")</f>
        <v>70006212</v>
      </c>
      <c r="D10783" s="380" t="s">
        <v>767</v>
      </c>
      <c r="E10783" s="380" t="s">
        <v>786</v>
      </c>
      <c r="F10783" s="380" t="s">
        <v>787</v>
      </c>
      <c r="G10783" s="380" t="s">
        <v>1267</v>
      </c>
      <c r="H10783" s="380" t="s">
        <v>771</v>
      </c>
      <c r="I10783" s="380" t="s">
        <v>788</v>
      </c>
      <c r="J10783" s="380" t="s">
        <v>773</v>
      </c>
      <c r="K10783" s="381">
        <v>0.0</v>
      </c>
      <c r="L10783" s="382">
        <v>1.0</v>
      </c>
    </row>
    <row r="10784">
      <c r="A10784" s="380" t="s">
        <v>11658</v>
      </c>
      <c r="B10784" s="380" t="str">
        <f>IFERROR(__xludf.DUMMYFUNCTION("""COMPUTED_VALUE"""),"Juego Guia Acero Bomper KWh 99027")</f>
        <v>Juego Guia Acero Bomper KWh 99027</v>
      </c>
      <c r="C10784" s="380" t="str">
        <f>IFERROR(__xludf.DUMMYFUNCTION("""COMPUTED_VALUE"""),"70006213")</f>
        <v>70006213</v>
      </c>
      <c r="D10784" s="380" t="s">
        <v>767</v>
      </c>
      <c r="E10784" s="380" t="s">
        <v>786</v>
      </c>
      <c r="F10784" s="380" t="s">
        <v>787</v>
      </c>
      <c r="G10784" s="380" t="s">
        <v>1267</v>
      </c>
      <c r="H10784" s="380" t="s">
        <v>771</v>
      </c>
      <c r="I10784" s="380" t="s">
        <v>788</v>
      </c>
      <c r="J10784" s="380" t="s">
        <v>773</v>
      </c>
      <c r="K10784" s="381">
        <v>271231.0</v>
      </c>
      <c r="L10784" s="382">
        <v>1.0</v>
      </c>
    </row>
    <row r="10785">
      <c r="A10785" s="380" t="s">
        <v>11659</v>
      </c>
      <c r="B10785" s="380" t="str">
        <f>IFERROR(__xludf.DUMMYFUNCTION("""COMPUTED_VALUE"""),"Balinera 6301-2rs")</f>
        <v>Balinera 6301-2rs</v>
      </c>
      <c r="C10785" s="380" t="str">
        <f>IFERROR(__xludf.DUMMYFUNCTION("""COMPUTED_VALUE"""),"70006214")</f>
        <v>70006214</v>
      </c>
      <c r="D10785" s="380" t="s">
        <v>767</v>
      </c>
      <c r="E10785" s="380" t="s">
        <v>786</v>
      </c>
      <c r="F10785" s="380" t="s">
        <v>1039</v>
      </c>
      <c r="G10785" s="380" t="s">
        <v>1267</v>
      </c>
      <c r="H10785" s="380" t="s">
        <v>771</v>
      </c>
      <c r="I10785" s="380" t="s">
        <v>788</v>
      </c>
      <c r="J10785" s="380" t="s">
        <v>773</v>
      </c>
      <c r="K10785" s="381">
        <v>0.0</v>
      </c>
      <c r="L10785" s="382">
        <v>1.0</v>
      </c>
    </row>
    <row r="10786">
      <c r="A10786" s="380" t="s">
        <v>11660</v>
      </c>
      <c r="B10786" s="380" t="str">
        <f>IFERROR(__xludf.DUMMYFUNCTION("""COMPUTED_VALUE"""),"Terminal Electrica Plana Faston")</f>
        <v>Terminal Electrica Plana Faston</v>
      </c>
      <c r="C10786" s="380" t="str">
        <f>IFERROR(__xludf.DUMMYFUNCTION("""COMPUTED_VALUE"""),"70006215")</f>
        <v>70006215</v>
      </c>
      <c r="D10786" s="380" t="s">
        <v>767</v>
      </c>
      <c r="E10786" s="380" t="s">
        <v>786</v>
      </c>
      <c r="F10786" s="380" t="s">
        <v>998</v>
      </c>
      <c r="G10786" s="380" t="s">
        <v>1267</v>
      </c>
      <c r="H10786" s="380" t="s">
        <v>771</v>
      </c>
      <c r="I10786" s="380" t="s">
        <v>788</v>
      </c>
      <c r="J10786" s="380" t="s">
        <v>773</v>
      </c>
      <c r="K10786" s="381">
        <v>0.0</v>
      </c>
      <c r="L10786" s="382">
        <v>1.0</v>
      </c>
    </row>
    <row r="10787">
      <c r="A10787" s="380" t="s">
        <v>11661</v>
      </c>
      <c r="B10787" s="380" t="str">
        <f>IFERROR(__xludf.DUMMYFUNCTION("""COMPUTED_VALUE"""),"Buje Tensor Pequeño Inca")</f>
        <v>Buje Tensor Pequeño Inca</v>
      </c>
      <c r="C10787" s="380" t="str">
        <f>IFERROR(__xludf.DUMMYFUNCTION("""COMPUTED_VALUE"""),"70006216")</f>
        <v>70006216</v>
      </c>
      <c r="D10787" s="380" t="s">
        <v>767</v>
      </c>
      <c r="E10787" s="380" t="s">
        <v>786</v>
      </c>
      <c r="F10787" s="380" t="s">
        <v>1039</v>
      </c>
      <c r="G10787" s="380" t="s">
        <v>1267</v>
      </c>
      <c r="H10787" s="380" t="s">
        <v>771</v>
      </c>
      <c r="I10787" s="380" t="s">
        <v>788</v>
      </c>
      <c r="J10787" s="380" t="s">
        <v>773</v>
      </c>
      <c r="K10787" s="381">
        <v>6260.0</v>
      </c>
      <c r="L10787" s="382">
        <v>1.0</v>
      </c>
    </row>
    <row r="10788">
      <c r="A10788" s="380" t="s">
        <v>11662</v>
      </c>
      <c r="B10788" s="380" t="str">
        <f>IFERROR(__xludf.DUMMYFUNCTION("""COMPUTED_VALUE"""),"Buje Trapecio Embrague 12815 Sb C")</f>
        <v>Buje Trapecio Embrague 12815 Sb C</v>
      </c>
      <c r="C10788" s="380" t="str">
        <f>IFERROR(__xludf.DUMMYFUNCTION("""COMPUTED_VALUE"""),"70006217")</f>
        <v>70006217</v>
      </c>
      <c r="D10788" s="380" t="s">
        <v>767</v>
      </c>
      <c r="E10788" s="380" t="s">
        <v>786</v>
      </c>
      <c r="F10788" s="380" t="s">
        <v>5661</v>
      </c>
      <c r="G10788" s="380" t="s">
        <v>1267</v>
      </c>
      <c r="H10788" s="380" t="s">
        <v>771</v>
      </c>
      <c r="I10788" s="380" t="s">
        <v>788</v>
      </c>
      <c r="J10788" s="380" t="s">
        <v>773</v>
      </c>
      <c r="K10788" s="381">
        <v>0.0</v>
      </c>
      <c r="L10788" s="382">
        <v>1.0</v>
      </c>
    </row>
    <row r="10789">
      <c r="A10789" s="380" t="s">
        <v>11663</v>
      </c>
      <c r="B10789" s="380" t="str">
        <f>IFERROR(__xludf.DUMMYFUNCTION("""COMPUTED_VALUE"""),"Soporte Caucho Cabina KWh K066176")</f>
        <v>Soporte Caucho Cabina KWh K066176</v>
      </c>
      <c r="C10789" s="380" t="str">
        <f>IFERROR(__xludf.DUMMYFUNCTION("""COMPUTED_VALUE"""),"70006218")</f>
        <v>70006218</v>
      </c>
      <c r="D10789" s="380" t="s">
        <v>767</v>
      </c>
      <c r="E10789" s="380" t="s">
        <v>786</v>
      </c>
      <c r="F10789" s="380" t="s">
        <v>792</v>
      </c>
      <c r="G10789" s="380" t="s">
        <v>1267</v>
      </c>
      <c r="H10789" s="380" t="s">
        <v>771</v>
      </c>
      <c r="I10789" s="380" t="s">
        <v>788</v>
      </c>
      <c r="J10789" s="380" t="s">
        <v>773</v>
      </c>
      <c r="K10789" s="381">
        <v>0.0</v>
      </c>
      <c r="L10789" s="382">
        <v>1.0</v>
      </c>
    </row>
    <row r="10790">
      <c r="A10790" s="380" t="s">
        <v>11664</v>
      </c>
      <c r="B10790" s="380" t="str">
        <f>IFERROR(__xludf.DUMMYFUNCTION("""COMPUTED_VALUE"""),"Protector Guardabarro D Isuzu 8970487283")</f>
        <v>Protector Guardabarro D Isuzu 8970487283</v>
      </c>
      <c r="C10790" s="380" t="str">
        <f>IFERROR(__xludf.DUMMYFUNCTION("""COMPUTED_VALUE"""),"70006219")</f>
        <v>70006219</v>
      </c>
      <c r="D10790" s="380" t="s">
        <v>767</v>
      </c>
      <c r="E10790" s="380" t="s">
        <v>786</v>
      </c>
      <c r="F10790" s="380" t="s">
        <v>792</v>
      </c>
      <c r="G10790" s="380" t="s">
        <v>1267</v>
      </c>
      <c r="H10790" s="380" t="s">
        <v>771</v>
      </c>
      <c r="I10790" s="380" t="s">
        <v>788</v>
      </c>
      <c r="J10790" s="380" t="s">
        <v>773</v>
      </c>
      <c r="K10790" s="381">
        <v>0.0</v>
      </c>
      <c r="L10790" s="382">
        <v>1.0</v>
      </c>
    </row>
    <row r="10791">
      <c r="A10791" s="380" t="s">
        <v>11665</v>
      </c>
      <c r="B10791" s="380" t="str">
        <f>IFERROR(__xludf.DUMMYFUNCTION("""COMPUTED_VALUE"""),"Cigueñal Cigueñal Motor S. Carry Repara")</f>
        <v>Cigueñal Cigueñal Motor S. Carry Repara</v>
      </c>
      <c r="C10791" s="380" t="str">
        <f>IFERROR(__xludf.DUMMYFUNCTION("""COMPUTED_VALUE"""),"70006220")</f>
        <v>70006220</v>
      </c>
      <c r="D10791" s="380" t="s">
        <v>767</v>
      </c>
      <c r="E10791" s="380" t="s">
        <v>786</v>
      </c>
      <c r="F10791" s="380" t="s">
        <v>787</v>
      </c>
      <c r="G10791" s="380" t="s">
        <v>1267</v>
      </c>
      <c r="H10791" s="380" t="s">
        <v>771</v>
      </c>
      <c r="I10791" s="380" t="s">
        <v>788</v>
      </c>
      <c r="J10791" s="380" t="s">
        <v>773</v>
      </c>
      <c r="K10791" s="381">
        <v>0.0</v>
      </c>
      <c r="L10791" s="382">
        <v>1.0</v>
      </c>
    </row>
    <row r="10792">
      <c r="A10792" s="380" t="s">
        <v>11666</v>
      </c>
      <c r="B10792" s="380" t="str">
        <f>IFERROR(__xludf.DUMMYFUNCTION("""COMPUTED_VALUE"""),"Sello VALV Oil Dt 4 Internatio 1820907c2")</f>
        <v>Sello VALV Oil Dt 4 Internatio 1820907c2</v>
      </c>
      <c r="C10792" s="380" t="str">
        <f>IFERROR(__xludf.DUMMYFUNCTION("""COMPUTED_VALUE"""),"70006221")</f>
        <v>70006221</v>
      </c>
      <c r="D10792" s="380" t="s">
        <v>767</v>
      </c>
      <c r="E10792" s="380" t="s">
        <v>786</v>
      </c>
      <c r="F10792" s="380" t="s">
        <v>787</v>
      </c>
      <c r="G10792" s="380" t="s">
        <v>1267</v>
      </c>
      <c r="H10792" s="380" t="s">
        <v>771</v>
      </c>
      <c r="I10792" s="380" t="s">
        <v>788</v>
      </c>
      <c r="J10792" s="380" t="s">
        <v>773</v>
      </c>
      <c r="K10792" s="381">
        <v>0.0</v>
      </c>
      <c r="L10792" s="382">
        <v>1.0</v>
      </c>
    </row>
    <row r="10793">
      <c r="A10793" s="380" t="s">
        <v>11667</v>
      </c>
      <c r="B10793" s="380" t="str">
        <f>IFERROR(__xludf.DUMMYFUNCTION("""COMPUTED_VALUE"""),"Correa Alternador Agrale 8pk 1285")</f>
        <v>Correa Alternador Agrale 8pk 1285</v>
      </c>
      <c r="C10793" s="380" t="str">
        <f>IFERROR(__xludf.DUMMYFUNCTION("""COMPUTED_VALUE"""),"70006222")</f>
        <v>70006222</v>
      </c>
      <c r="D10793" s="380" t="s">
        <v>767</v>
      </c>
      <c r="E10793" s="380" t="s">
        <v>786</v>
      </c>
      <c r="F10793" s="380" t="s">
        <v>787</v>
      </c>
      <c r="G10793" s="380" t="s">
        <v>1267</v>
      </c>
      <c r="H10793" s="380" t="s">
        <v>771</v>
      </c>
      <c r="I10793" s="380" t="s">
        <v>788</v>
      </c>
      <c r="J10793" s="380" t="s">
        <v>773</v>
      </c>
      <c r="K10793" s="381">
        <v>0.0</v>
      </c>
      <c r="L10793" s="382">
        <v>1.0</v>
      </c>
    </row>
    <row r="10794">
      <c r="A10794" s="380" t="s">
        <v>11668</v>
      </c>
      <c r="B10794" s="380" t="str">
        <f>IFERROR(__xludf.DUMMYFUNCTION("""COMPUTED_VALUE"""),"Pito 24 V Pito 24 Vol. 3ba002768431 Hell")</f>
        <v>Pito 24 V Pito 24 Vol. 3ba002768431 Hell</v>
      </c>
      <c r="C10794" s="380" t="str">
        <f>IFERROR(__xludf.DUMMYFUNCTION("""COMPUTED_VALUE"""),"70006223")</f>
        <v>70006223</v>
      </c>
      <c r="D10794" s="380" t="s">
        <v>767</v>
      </c>
      <c r="E10794" s="380" t="s">
        <v>786</v>
      </c>
      <c r="F10794" s="380" t="s">
        <v>998</v>
      </c>
      <c r="G10794" s="380" t="s">
        <v>1267</v>
      </c>
      <c r="H10794" s="380" t="s">
        <v>771</v>
      </c>
      <c r="I10794" s="380" t="s">
        <v>788</v>
      </c>
      <c r="J10794" s="380" t="s">
        <v>773</v>
      </c>
      <c r="K10794" s="381">
        <v>60846.0</v>
      </c>
      <c r="L10794" s="382">
        <v>1.0</v>
      </c>
    </row>
    <row r="10795">
      <c r="A10795" s="380" t="s">
        <v>11669</v>
      </c>
      <c r="B10795" s="380" t="str">
        <f>IFERROR(__xludf.DUMMYFUNCTION("""COMPUTED_VALUE"""),"G Grapa Muelle Tras 3/4 X 2.3/4 X 13 Npr")</f>
        <v>G Grapa Muelle Tras 3/4 X 2.3/4 X 13 Npr</v>
      </c>
      <c r="C10795" s="380" t="str">
        <f>IFERROR(__xludf.DUMMYFUNCTION("""COMPUTED_VALUE"""),"70006224")</f>
        <v>70006224</v>
      </c>
      <c r="D10795" s="380" t="s">
        <v>767</v>
      </c>
      <c r="E10795" s="380" t="s">
        <v>786</v>
      </c>
      <c r="F10795" s="380" t="s">
        <v>1039</v>
      </c>
      <c r="G10795" s="380" t="s">
        <v>1267</v>
      </c>
      <c r="H10795" s="380" t="s">
        <v>771</v>
      </c>
      <c r="I10795" s="380" t="s">
        <v>788</v>
      </c>
      <c r="J10795" s="380" t="s">
        <v>773</v>
      </c>
      <c r="K10795" s="381">
        <v>0.0</v>
      </c>
      <c r="L10795" s="382">
        <v>1.0</v>
      </c>
    </row>
    <row r="10796">
      <c r="A10796" s="380" t="s">
        <v>11670</v>
      </c>
      <c r="B10796" s="380" t="str">
        <f>IFERROR(__xludf.DUMMYFUNCTION("""COMPUTED_VALUE"""),"Oring Eje Divisor Diferen De Eaton 78931")</f>
        <v>Oring Eje Divisor Diferen De Eaton 78931</v>
      </c>
      <c r="C10796" s="380" t="str">
        <f>IFERROR(__xludf.DUMMYFUNCTION("""COMPUTED_VALUE"""),"70006225")</f>
        <v>70006225</v>
      </c>
      <c r="D10796" s="380" t="s">
        <v>767</v>
      </c>
      <c r="E10796" s="380" t="s">
        <v>786</v>
      </c>
      <c r="F10796" s="380" t="s">
        <v>5683</v>
      </c>
      <c r="G10796" s="380" t="s">
        <v>1267</v>
      </c>
      <c r="H10796" s="380" t="s">
        <v>771</v>
      </c>
      <c r="I10796" s="380" t="s">
        <v>788</v>
      </c>
      <c r="J10796" s="380" t="s">
        <v>773</v>
      </c>
      <c r="K10796" s="381">
        <v>0.0</v>
      </c>
      <c r="L10796" s="382">
        <v>1.0</v>
      </c>
    </row>
    <row r="10797">
      <c r="A10797" s="380" t="s">
        <v>11671</v>
      </c>
      <c r="B10797" s="380" t="str">
        <f>IFERROR(__xludf.DUMMYFUNCTION("""COMPUTED_VALUE"""),"Bomba Agua Hi 466 Nueva Internatio 06c93")</f>
        <v>Bomba Agua Hi 466 Nueva Internatio 06c93</v>
      </c>
      <c r="C10797" s="380" t="str">
        <f>IFERROR(__xludf.DUMMYFUNCTION("""COMPUTED_VALUE"""),"70006226")</f>
        <v>70006226</v>
      </c>
      <c r="D10797" s="380" t="s">
        <v>767</v>
      </c>
      <c r="E10797" s="380" t="s">
        <v>786</v>
      </c>
      <c r="F10797" s="380" t="s">
        <v>787</v>
      </c>
      <c r="G10797" s="380" t="s">
        <v>1267</v>
      </c>
      <c r="H10797" s="380" t="s">
        <v>771</v>
      </c>
      <c r="I10797" s="380" t="s">
        <v>788</v>
      </c>
      <c r="J10797" s="380" t="s">
        <v>773</v>
      </c>
      <c r="K10797" s="381">
        <v>0.0</v>
      </c>
      <c r="L10797" s="382">
        <v>1.0</v>
      </c>
    </row>
    <row r="10798">
      <c r="A10798" s="380" t="s">
        <v>11672</v>
      </c>
      <c r="B10798" s="380" t="str">
        <f>IFERROR(__xludf.DUMMYFUNCTION("""COMPUTED_VALUE"""),"Retenedor Alternador Npr-Nhr 8941565890")</f>
        <v>Retenedor Alternador Npr-Nhr 8941565890</v>
      </c>
      <c r="C10798" s="380" t="str">
        <f>IFERROR(__xludf.DUMMYFUNCTION("""COMPUTED_VALUE"""),"70006227")</f>
        <v>70006227</v>
      </c>
      <c r="D10798" s="380" t="s">
        <v>767</v>
      </c>
      <c r="E10798" s="380" t="s">
        <v>786</v>
      </c>
      <c r="F10798" s="380" t="s">
        <v>998</v>
      </c>
      <c r="G10798" s="380" t="s">
        <v>1267</v>
      </c>
      <c r="H10798" s="380" t="s">
        <v>771</v>
      </c>
      <c r="I10798" s="380" t="s">
        <v>788</v>
      </c>
      <c r="J10798" s="380" t="s">
        <v>773</v>
      </c>
      <c r="K10798" s="381">
        <v>14163.0</v>
      </c>
      <c r="L10798" s="382">
        <v>1.0</v>
      </c>
    </row>
    <row r="10799">
      <c r="A10799" s="380" t="s">
        <v>11673</v>
      </c>
      <c r="B10799" s="380" t="str">
        <f>IFERROR(__xludf.DUMMYFUNCTION("""COMPUTED_VALUE"""),"Kit Bujes Palanca Cambios S B K Sb 63274")</f>
        <v>Kit Bujes Palanca Cambios S B K Sb 63274</v>
      </c>
      <c r="C10799" s="380" t="str">
        <f>IFERROR(__xludf.DUMMYFUNCTION("""COMPUTED_VALUE"""),"70006228")</f>
        <v>70006228</v>
      </c>
      <c r="D10799" s="380" t="s">
        <v>767</v>
      </c>
      <c r="E10799" s="380" t="s">
        <v>786</v>
      </c>
      <c r="F10799" s="380" t="s">
        <v>928</v>
      </c>
      <c r="G10799" s="380" t="s">
        <v>1267</v>
      </c>
      <c r="H10799" s="380" t="s">
        <v>771</v>
      </c>
      <c r="I10799" s="380" t="s">
        <v>788</v>
      </c>
      <c r="J10799" s="380" t="s">
        <v>773</v>
      </c>
      <c r="K10799" s="381">
        <v>0.0</v>
      </c>
      <c r="L10799" s="382">
        <v>1.0</v>
      </c>
    </row>
    <row r="10800">
      <c r="A10800" s="380" t="s">
        <v>11674</v>
      </c>
      <c r="B10800" s="380" t="str">
        <f>IFERROR(__xludf.DUMMYFUNCTION("""COMPUTED_VALUE"""),"Bateria Paifander D27f 25650t")</f>
        <v>Bateria Paifander D27f 25650t</v>
      </c>
      <c r="C10800" s="380" t="str">
        <f>IFERROR(__xludf.DUMMYFUNCTION("""COMPUTED_VALUE"""),"70006229")</f>
        <v>70006229</v>
      </c>
      <c r="D10800" s="380" t="s">
        <v>767</v>
      </c>
      <c r="E10800" s="380" t="s">
        <v>786</v>
      </c>
      <c r="F10800" s="380" t="s">
        <v>998</v>
      </c>
      <c r="G10800" s="380" t="s">
        <v>1267</v>
      </c>
      <c r="H10800" s="380" t="s">
        <v>771</v>
      </c>
      <c r="I10800" s="380" t="s">
        <v>788</v>
      </c>
      <c r="J10800" s="380" t="s">
        <v>773</v>
      </c>
      <c r="K10800" s="381">
        <v>0.0</v>
      </c>
      <c r="L10800" s="382">
        <v>1.0</v>
      </c>
    </row>
    <row r="10801">
      <c r="A10801" s="380" t="s">
        <v>11675</v>
      </c>
      <c r="B10801" s="380" t="str">
        <f>IFERROR(__xludf.DUMMYFUNCTION("""COMPUTED_VALUE"""),"Percha Central Trailer 43""")</f>
        <v>Percha Central Trailer 43"</v>
      </c>
      <c r="C10801" s="380" t="str">
        <f>IFERROR(__xludf.DUMMYFUNCTION("""COMPUTED_VALUE"""),"70006230")</f>
        <v>70006230</v>
      </c>
      <c r="D10801" s="380" t="s">
        <v>767</v>
      </c>
      <c r="E10801" s="380" t="s">
        <v>786</v>
      </c>
      <c r="F10801" s="380" t="s">
        <v>1039</v>
      </c>
      <c r="G10801" s="380" t="s">
        <v>1267</v>
      </c>
      <c r="H10801" s="380" t="s">
        <v>771</v>
      </c>
      <c r="I10801" s="380" t="s">
        <v>788</v>
      </c>
      <c r="J10801" s="380" t="s">
        <v>773</v>
      </c>
      <c r="K10801" s="381">
        <v>0.0</v>
      </c>
      <c r="L10801" s="382">
        <v>1.0</v>
      </c>
    </row>
    <row r="10802">
      <c r="A10802" s="380" t="s">
        <v>11676</v>
      </c>
      <c r="B10802" s="380" t="str">
        <f>IFERROR(__xludf.DUMMYFUNCTION("""COMPUTED_VALUE"""),"Caucho Buje Tensor Radiador Fabricado")</f>
        <v>Caucho Buje Tensor Radiador Fabricado</v>
      </c>
      <c r="C10802" s="380" t="str">
        <f>IFERROR(__xludf.DUMMYFUNCTION("""COMPUTED_VALUE"""),"70006231")</f>
        <v>70006231</v>
      </c>
      <c r="D10802" s="380" t="s">
        <v>767</v>
      </c>
      <c r="E10802" s="380" t="s">
        <v>786</v>
      </c>
      <c r="F10802" s="380" t="s">
        <v>787</v>
      </c>
      <c r="G10802" s="380" t="s">
        <v>1267</v>
      </c>
      <c r="H10802" s="380" t="s">
        <v>771</v>
      </c>
      <c r="I10802" s="380" t="s">
        <v>788</v>
      </c>
      <c r="J10802" s="380" t="s">
        <v>773</v>
      </c>
      <c r="K10802" s="381">
        <v>0.0</v>
      </c>
      <c r="L10802" s="382">
        <v>1.0</v>
      </c>
    </row>
    <row r="10803">
      <c r="A10803" s="380" t="s">
        <v>11677</v>
      </c>
      <c r="B10803" s="380" t="str">
        <f>IFERROR(__xludf.DUMMYFUNCTION("""COMPUTED_VALUE"""),"Abrazadera Fijacion 1,3/4,1/2,3/8 Varias")</f>
        <v>Abrazadera Fijacion 1,3/4,1/2,3/8 Varias</v>
      </c>
      <c r="C10803" s="380" t="str">
        <f>IFERROR(__xludf.DUMMYFUNCTION("""COMPUTED_VALUE"""),"70006232")</f>
        <v>70006232</v>
      </c>
      <c r="D10803" s="380" t="s">
        <v>767</v>
      </c>
      <c r="E10803" s="380" t="s">
        <v>786</v>
      </c>
      <c r="F10803" s="380" t="s">
        <v>989</v>
      </c>
      <c r="G10803" s="380" t="s">
        <v>1267</v>
      </c>
      <c r="H10803" s="380" t="s">
        <v>771</v>
      </c>
      <c r="I10803" s="380" t="s">
        <v>788</v>
      </c>
      <c r="J10803" s="380" t="s">
        <v>773</v>
      </c>
      <c r="K10803" s="381">
        <v>0.0</v>
      </c>
      <c r="L10803" s="382">
        <v>1.0</v>
      </c>
    </row>
    <row r="10804">
      <c r="A10804" s="380" t="s">
        <v>11678</v>
      </c>
      <c r="B10804" s="380" t="str">
        <f>IFERROR(__xludf.DUMMYFUNCTION("""COMPUTED_VALUE"""),"Caucho Pedal Freno-Clucht Npr-Nkr 2117")</f>
        <v>Caucho Pedal Freno-Clucht Npr-Nkr 2117</v>
      </c>
      <c r="C10804" s="380" t="str">
        <f>IFERROR(__xludf.DUMMYFUNCTION("""COMPUTED_VALUE"""),"70006233")</f>
        <v>70006233</v>
      </c>
      <c r="D10804" s="380" t="s">
        <v>767</v>
      </c>
      <c r="E10804" s="380" t="s">
        <v>786</v>
      </c>
      <c r="F10804" s="380" t="s">
        <v>1017</v>
      </c>
      <c r="G10804" s="380" t="s">
        <v>1267</v>
      </c>
      <c r="H10804" s="380" t="s">
        <v>771</v>
      </c>
      <c r="I10804" s="380" t="s">
        <v>788</v>
      </c>
      <c r="J10804" s="380" t="s">
        <v>773</v>
      </c>
      <c r="K10804" s="381">
        <v>21662.0</v>
      </c>
      <c r="L10804" s="382">
        <v>1.0</v>
      </c>
    </row>
    <row r="10805">
      <c r="A10805" s="380" t="s">
        <v>11679</v>
      </c>
      <c r="B10805" s="380" t="str">
        <f>IFERROR(__xludf.DUMMYFUNCTION("""COMPUTED_VALUE"""),"Abrazadera Espejo Aluminio 1""")</f>
        <v>Abrazadera Espejo Aluminio 1"</v>
      </c>
      <c r="C10805" s="380" t="str">
        <f>IFERROR(__xludf.DUMMYFUNCTION("""COMPUTED_VALUE"""),"70006234")</f>
        <v>70006234</v>
      </c>
      <c r="D10805" s="380" t="s">
        <v>767</v>
      </c>
      <c r="E10805" s="380" t="s">
        <v>786</v>
      </c>
      <c r="F10805" s="380" t="s">
        <v>792</v>
      </c>
      <c r="G10805" s="380" t="s">
        <v>1267</v>
      </c>
      <c r="H10805" s="380" t="s">
        <v>771</v>
      </c>
      <c r="I10805" s="380" t="s">
        <v>788</v>
      </c>
      <c r="J10805" s="380" t="s">
        <v>773</v>
      </c>
      <c r="K10805" s="381">
        <v>11872.0</v>
      </c>
      <c r="L10805" s="382">
        <v>1.0</v>
      </c>
    </row>
    <row r="10806">
      <c r="A10806" s="380" t="s">
        <v>11680</v>
      </c>
      <c r="B10806" s="380" t="str">
        <f>IFERROR(__xludf.DUMMYFUNCTION("""COMPUTED_VALUE"""),"Tope MUE Tras Suspens Npr-Nkr 8941185104")</f>
        <v>Tope MUE Tras Suspens Npr-Nkr 8941185104</v>
      </c>
      <c r="C10806" s="380" t="str">
        <f>IFERROR(__xludf.DUMMYFUNCTION("""COMPUTED_VALUE"""),"70006235")</f>
        <v>70006235</v>
      </c>
      <c r="D10806" s="380" t="s">
        <v>767</v>
      </c>
      <c r="E10806" s="380" t="s">
        <v>786</v>
      </c>
      <c r="F10806" s="380" t="s">
        <v>1039</v>
      </c>
      <c r="G10806" s="380" t="s">
        <v>1267</v>
      </c>
      <c r="H10806" s="380" t="s">
        <v>771</v>
      </c>
      <c r="I10806" s="380" t="s">
        <v>788</v>
      </c>
      <c r="J10806" s="380" t="s">
        <v>773</v>
      </c>
      <c r="K10806" s="381">
        <v>80600.0</v>
      </c>
      <c r="L10806" s="382">
        <v>1.0</v>
      </c>
    </row>
    <row r="10807">
      <c r="A10807" s="380" t="s">
        <v>11681</v>
      </c>
      <c r="B10807" s="380" t="str">
        <f>IFERROR(__xludf.DUMMYFUNCTION("""COMPUTED_VALUE"""),"Caucho Mano Trailer Pai 248579")</f>
        <v>Caucho Mano Trailer Pai 248579</v>
      </c>
      <c r="C10807" s="380" t="str">
        <f>IFERROR(__xludf.DUMMYFUNCTION("""COMPUTED_VALUE"""),"70006236")</f>
        <v>70006236</v>
      </c>
      <c r="D10807" s="380" t="s">
        <v>767</v>
      </c>
      <c r="E10807" s="380" t="s">
        <v>786</v>
      </c>
      <c r="F10807" s="380" t="s">
        <v>998</v>
      </c>
      <c r="G10807" s="380" t="s">
        <v>1267</v>
      </c>
      <c r="H10807" s="380" t="s">
        <v>771</v>
      </c>
      <c r="I10807" s="380" t="s">
        <v>788</v>
      </c>
      <c r="J10807" s="380" t="s">
        <v>773</v>
      </c>
      <c r="K10807" s="381">
        <v>1786.0</v>
      </c>
      <c r="L10807" s="382">
        <v>1.0</v>
      </c>
    </row>
    <row r="10808">
      <c r="A10808" s="380" t="s">
        <v>11682</v>
      </c>
      <c r="B10808" s="380" t="str">
        <f>IFERROR(__xludf.DUMMYFUNCTION("""COMPUTED_VALUE"""),"Jgo Bobinas De Campo M ARR Hi 4 10468110")</f>
        <v>Jgo Bobinas De Campo M ARR Hi 4 10468110</v>
      </c>
      <c r="C10808" s="380" t="str">
        <f>IFERROR(__xludf.DUMMYFUNCTION("""COMPUTED_VALUE"""),"70006237")</f>
        <v>70006237</v>
      </c>
      <c r="D10808" s="380" t="s">
        <v>767</v>
      </c>
      <c r="E10808" s="380" t="s">
        <v>786</v>
      </c>
      <c r="F10808" s="380" t="s">
        <v>998</v>
      </c>
      <c r="G10808" s="380" t="s">
        <v>1267</v>
      </c>
      <c r="H10808" s="380" t="s">
        <v>771</v>
      </c>
      <c r="I10808" s="380" t="s">
        <v>788</v>
      </c>
      <c r="J10808" s="380" t="s">
        <v>773</v>
      </c>
      <c r="K10808" s="381">
        <v>0.0</v>
      </c>
      <c r="L10808" s="382">
        <v>1.0</v>
      </c>
    </row>
    <row r="10809">
      <c r="A10809" s="380" t="s">
        <v>11683</v>
      </c>
      <c r="B10809" s="380" t="str">
        <f>IFERROR(__xludf.DUMMYFUNCTION("""COMPUTED_VALUE"""),"Tapa Cabrilla Columna DIR Npr 8970985260")</f>
        <v>Tapa Cabrilla Columna DIR Npr 8970985260</v>
      </c>
      <c r="C10809" s="380" t="str">
        <f>IFERROR(__xludf.DUMMYFUNCTION("""COMPUTED_VALUE"""),"70006238")</f>
        <v>70006238</v>
      </c>
      <c r="D10809" s="380" t="s">
        <v>767</v>
      </c>
      <c r="E10809" s="380" t="s">
        <v>786</v>
      </c>
      <c r="F10809" s="380" t="s">
        <v>792</v>
      </c>
      <c r="G10809" s="380" t="s">
        <v>1267</v>
      </c>
      <c r="H10809" s="380" t="s">
        <v>771</v>
      </c>
      <c r="I10809" s="380" t="s">
        <v>788</v>
      </c>
      <c r="J10809" s="380" t="s">
        <v>773</v>
      </c>
      <c r="K10809" s="381">
        <v>0.0</v>
      </c>
      <c r="L10809" s="382">
        <v>1.0</v>
      </c>
    </row>
    <row r="10810">
      <c r="A10810" s="380" t="s">
        <v>11684</v>
      </c>
      <c r="B10810" s="380" t="str">
        <f>IFERROR(__xludf.DUMMYFUNCTION("""COMPUTED_VALUE"""),"Empaque Carter Npr Grueso 8971461482")</f>
        <v>Empaque Carter Npr Grueso 8971461482</v>
      </c>
      <c r="C10810" s="380" t="str">
        <f>IFERROR(__xludf.DUMMYFUNCTION("""COMPUTED_VALUE"""),"70006239")</f>
        <v>70006239</v>
      </c>
      <c r="D10810" s="380" t="s">
        <v>767</v>
      </c>
      <c r="E10810" s="380" t="s">
        <v>786</v>
      </c>
      <c r="F10810" s="380" t="s">
        <v>787</v>
      </c>
      <c r="G10810" s="380" t="s">
        <v>1267</v>
      </c>
      <c r="H10810" s="380" t="s">
        <v>771</v>
      </c>
      <c r="I10810" s="380" t="s">
        <v>788</v>
      </c>
      <c r="J10810" s="380" t="s">
        <v>773</v>
      </c>
      <c r="K10810" s="381">
        <v>171685.0</v>
      </c>
      <c r="L10810" s="382">
        <v>1.0</v>
      </c>
    </row>
    <row r="10811">
      <c r="A10811" s="380" t="s">
        <v>11685</v>
      </c>
      <c r="B10811" s="380" t="str">
        <f>IFERROR(__xludf.DUMMYFUNCTION("""COMPUTED_VALUE"""),"Racor 3/8x1/4 547")</f>
        <v>Racor 3/8x1/4 547</v>
      </c>
      <c r="C10811" s="380" t="str">
        <f>IFERROR(__xludf.DUMMYFUNCTION("""COMPUTED_VALUE"""),"70006240")</f>
        <v>70006240</v>
      </c>
      <c r="D10811" s="380" t="s">
        <v>767</v>
      </c>
      <c r="E10811" s="380" t="s">
        <v>786</v>
      </c>
      <c r="F10811" s="380" t="s">
        <v>989</v>
      </c>
      <c r="G10811" s="380" t="s">
        <v>1267</v>
      </c>
      <c r="H10811" s="380" t="s">
        <v>771</v>
      </c>
      <c r="I10811" s="380" t="s">
        <v>788</v>
      </c>
      <c r="J10811" s="380" t="s">
        <v>773</v>
      </c>
      <c r="K10811" s="381">
        <v>0.0</v>
      </c>
      <c r="L10811" s="382">
        <v>1.0</v>
      </c>
    </row>
    <row r="10812">
      <c r="A10812" s="380" t="s">
        <v>11686</v>
      </c>
      <c r="B10812" s="380" t="str">
        <f>IFERROR(__xludf.DUMMYFUNCTION("""COMPUTED_VALUE"""),"Guia Valvula Motor S Carry 1111582000")</f>
        <v>Guia Valvula Motor S Carry 1111582000</v>
      </c>
      <c r="C10812" s="380" t="str">
        <f>IFERROR(__xludf.DUMMYFUNCTION("""COMPUTED_VALUE"""),"70006241")</f>
        <v>70006241</v>
      </c>
      <c r="D10812" s="380" t="s">
        <v>767</v>
      </c>
      <c r="E10812" s="380" t="s">
        <v>786</v>
      </c>
      <c r="F10812" s="380" t="s">
        <v>787</v>
      </c>
      <c r="G10812" s="380" t="s">
        <v>1267</v>
      </c>
      <c r="H10812" s="380" t="s">
        <v>771</v>
      </c>
      <c r="I10812" s="380" t="s">
        <v>788</v>
      </c>
      <c r="J10812" s="380" t="s">
        <v>773</v>
      </c>
      <c r="K10812" s="381">
        <v>0.0</v>
      </c>
      <c r="L10812" s="382">
        <v>1.0</v>
      </c>
    </row>
    <row r="10813">
      <c r="A10813" s="380" t="s">
        <v>11687</v>
      </c>
      <c r="B10813" s="380" t="str">
        <f>IFERROR(__xludf.DUMMYFUNCTION("""COMPUTED_VALUE"""),"Balinera 6201 2rsC3 Koyo")</f>
        <v>Balinera 6201 2rsC3 Koyo</v>
      </c>
      <c r="C10813" s="380" t="str">
        <f>IFERROR(__xludf.DUMMYFUNCTION("""COMPUTED_VALUE"""),"70006242")</f>
        <v>70006242</v>
      </c>
      <c r="D10813" s="380" t="s">
        <v>767</v>
      </c>
      <c r="E10813" s="380" t="s">
        <v>786</v>
      </c>
      <c r="F10813" s="380" t="s">
        <v>787</v>
      </c>
      <c r="G10813" s="380" t="s">
        <v>1267</v>
      </c>
      <c r="H10813" s="380" t="s">
        <v>771</v>
      </c>
      <c r="I10813" s="380" t="s">
        <v>788</v>
      </c>
      <c r="J10813" s="380" t="s">
        <v>773</v>
      </c>
      <c r="K10813" s="381">
        <v>0.0</v>
      </c>
      <c r="L10813" s="382">
        <v>1.0</v>
      </c>
    </row>
    <row r="10814">
      <c r="A10814" s="380" t="s">
        <v>11688</v>
      </c>
      <c r="B10814" s="380" t="str">
        <f>IFERROR(__xludf.DUMMYFUNCTION("""COMPUTED_VALUE"""),"Perno Rueda Del-Tras Int Eagle 2010358c1")</f>
        <v>Perno Rueda Del-Tras Int Eagle 2010358c1</v>
      </c>
      <c r="C10814" s="380" t="str">
        <f>IFERROR(__xludf.DUMMYFUNCTION("""COMPUTED_VALUE"""),"70006243")</f>
        <v>70006243</v>
      </c>
      <c r="D10814" s="380" t="s">
        <v>767</v>
      </c>
      <c r="E10814" s="380" t="s">
        <v>786</v>
      </c>
      <c r="F10814" s="380" t="s">
        <v>1039</v>
      </c>
      <c r="G10814" s="380" t="s">
        <v>1267</v>
      </c>
      <c r="H10814" s="380" t="s">
        <v>771</v>
      </c>
      <c r="I10814" s="380" t="s">
        <v>788</v>
      </c>
      <c r="J10814" s="380" t="s">
        <v>773</v>
      </c>
      <c r="K10814" s="381">
        <v>0.0</v>
      </c>
      <c r="L10814" s="382">
        <v>1.0</v>
      </c>
    </row>
    <row r="10815">
      <c r="A10815" s="380" t="s">
        <v>11689</v>
      </c>
      <c r="B10815" s="380" t="str">
        <f>IFERROR(__xludf.DUMMYFUNCTION("""COMPUTED_VALUE"""),"Abrazadera Turbo M Internatio 2015699 C1")</f>
        <v>Abrazadera Turbo M Internatio 2015699 C1</v>
      </c>
      <c r="C10815" s="380" t="str">
        <f>IFERROR(__xludf.DUMMYFUNCTION("""COMPUTED_VALUE"""),"70006244")</f>
        <v>70006244</v>
      </c>
      <c r="D10815" s="380" t="s">
        <v>767</v>
      </c>
      <c r="E10815" s="380" t="s">
        <v>786</v>
      </c>
      <c r="F10815" s="380" t="s">
        <v>787</v>
      </c>
      <c r="G10815" s="380" t="s">
        <v>1267</v>
      </c>
      <c r="H10815" s="380" t="s">
        <v>771</v>
      </c>
      <c r="I10815" s="380" t="s">
        <v>788</v>
      </c>
      <c r="J10815" s="380" t="s">
        <v>773</v>
      </c>
      <c r="K10815" s="381">
        <v>0.0</v>
      </c>
      <c r="L10815" s="382">
        <v>1.0</v>
      </c>
    </row>
    <row r="10816">
      <c r="A10816" s="380" t="s">
        <v>11690</v>
      </c>
      <c r="B10816" s="380" t="str">
        <f>IFERROR(__xludf.DUMMYFUNCTION("""COMPUTED_VALUE"""),"Buje Leva Estriado Trailer")</f>
        <v>Buje Leva Estriado Trailer</v>
      </c>
      <c r="C10816" s="380" t="str">
        <f>IFERROR(__xludf.DUMMYFUNCTION("""COMPUTED_VALUE"""),"70006245")</f>
        <v>70006245</v>
      </c>
      <c r="D10816" s="380" t="s">
        <v>767</v>
      </c>
      <c r="E10816" s="380" t="s">
        <v>786</v>
      </c>
      <c r="F10816" s="380" t="s">
        <v>1017</v>
      </c>
      <c r="G10816" s="380" t="s">
        <v>1267</v>
      </c>
      <c r="H10816" s="380" t="s">
        <v>771</v>
      </c>
      <c r="I10816" s="380" t="s">
        <v>788</v>
      </c>
      <c r="J10816" s="380" t="s">
        <v>773</v>
      </c>
      <c r="K10816" s="381">
        <v>3928.0</v>
      </c>
      <c r="L10816" s="382">
        <v>1.0</v>
      </c>
    </row>
    <row r="10817">
      <c r="A10817" s="380" t="s">
        <v>11691</v>
      </c>
      <c r="B10817" s="380" t="str">
        <f>IFERROR(__xludf.DUMMYFUNCTION("""COMPUTED_VALUE"""),"Buje Leva Freno SB N14 E536")</f>
        <v>Buje Leva Freno SB N14 E536</v>
      </c>
      <c r="C10817" s="380" t="str">
        <f>IFERROR(__xludf.DUMMYFUNCTION("""COMPUTED_VALUE"""),"70006246")</f>
        <v>70006246</v>
      </c>
      <c r="D10817" s="380" t="s">
        <v>767</v>
      </c>
      <c r="E10817" s="380" t="s">
        <v>786</v>
      </c>
      <c r="F10817" s="380" t="s">
        <v>1017</v>
      </c>
      <c r="G10817" s="380" t="s">
        <v>1267</v>
      </c>
      <c r="H10817" s="380" t="s">
        <v>771</v>
      </c>
      <c r="I10817" s="380" t="s">
        <v>788</v>
      </c>
      <c r="J10817" s="380" t="s">
        <v>773</v>
      </c>
      <c r="K10817" s="381">
        <v>0.0</v>
      </c>
      <c r="L10817" s="382">
        <v>1.0</v>
      </c>
    </row>
    <row r="10818">
      <c r="A10818" s="380" t="s">
        <v>11692</v>
      </c>
      <c r="B10818" s="380" t="str">
        <f>IFERROR(__xludf.DUMMYFUNCTION("""COMPUTED_VALUE"""),"Electrovalvula Fanclutch SB N14 993281")</f>
        <v>Electrovalvula Fanclutch SB N14 993281</v>
      </c>
      <c r="C10818" s="380" t="str">
        <f>IFERROR(__xludf.DUMMYFUNCTION("""COMPUTED_VALUE"""),"70006247")</f>
        <v>70006247</v>
      </c>
      <c r="D10818" s="380" t="s">
        <v>767</v>
      </c>
      <c r="E10818" s="380" t="s">
        <v>786</v>
      </c>
      <c r="F10818" s="380" t="s">
        <v>787</v>
      </c>
      <c r="G10818" s="380" t="s">
        <v>1267</v>
      </c>
      <c r="H10818" s="380" t="s">
        <v>771</v>
      </c>
      <c r="I10818" s="380" t="s">
        <v>788</v>
      </c>
      <c r="J10818" s="380" t="s">
        <v>773</v>
      </c>
      <c r="K10818" s="381">
        <v>452200.0</v>
      </c>
      <c r="L10818" s="382">
        <v>1.0</v>
      </c>
    </row>
    <row r="10819">
      <c r="A10819" s="380" t="s">
        <v>11693</v>
      </c>
      <c r="B10819" s="380" t="str">
        <f>IFERROR(__xludf.DUMMYFUNCTION("""COMPUTED_VALUE"""),"Switch Luces Eagle Internatio 2007296c1")</f>
        <v>Switch Luces Eagle Internatio 2007296c1</v>
      </c>
      <c r="C10819" s="380" t="str">
        <f>IFERROR(__xludf.DUMMYFUNCTION("""COMPUTED_VALUE"""),"70006248")</f>
        <v>70006248</v>
      </c>
      <c r="D10819" s="380" t="s">
        <v>767</v>
      </c>
      <c r="E10819" s="380" t="s">
        <v>786</v>
      </c>
      <c r="F10819" s="380" t="s">
        <v>998</v>
      </c>
      <c r="G10819" s="380" t="s">
        <v>1267</v>
      </c>
      <c r="H10819" s="380" t="s">
        <v>771</v>
      </c>
      <c r="I10819" s="380" t="s">
        <v>788</v>
      </c>
      <c r="J10819" s="380" t="s">
        <v>773</v>
      </c>
      <c r="K10819" s="381">
        <v>0.0</v>
      </c>
      <c r="L10819" s="382">
        <v>1.0</v>
      </c>
    </row>
    <row r="10820">
      <c r="A10820" s="380" t="s">
        <v>11694</v>
      </c>
      <c r="B10820" s="380" t="str">
        <f>IFERROR(__xludf.DUMMYFUNCTION("""COMPUTED_VALUE"""),"Valvula Perilla Doble SB N14 Eaton A6915")</f>
        <v>Valvula Perilla Doble SB N14 Eaton A6915</v>
      </c>
      <c r="C10820" s="380" t="str">
        <f>IFERROR(__xludf.DUMMYFUNCTION("""COMPUTED_VALUE"""),"70006249")</f>
        <v>70006249</v>
      </c>
      <c r="D10820" s="380" t="s">
        <v>767</v>
      </c>
      <c r="E10820" s="380" t="s">
        <v>786</v>
      </c>
      <c r="F10820" s="380" t="s">
        <v>5683</v>
      </c>
      <c r="G10820" s="380" t="s">
        <v>1267</v>
      </c>
      <c r="H10820" s="380" t="s">
        <v>771</v>
      </c>
      <c r="I10820" s="380" t="s">
        <v>788</v>
      </c>
      <c r="J10820" s="380" t="s">
        <v>773</v>
      </c>
      <c r="K10820" s="381">
        <v>0.0</v>
      </c>
      <c r="L10820" s="382">
        <v>1.0</v>
      </c>
    </row>
    <row r="10821">
      <c r="A10821" s="380" t="s">
        <v>11695</v>
      </c>
      <c r="B10821" s="380" t="str">
        <f>IFERROR(__xludf.DUMMYFUNCTION("""COMPUTED_VALUE"""),"Pasador Biela Npr 8943965891")</f>
        <v>Pasador Biela Npr 8943965891</v>
      </c>
      <c r="C10821" s="380" t="str">
        <f>IFERROR(__xludf.DUMMYFUNCTION("""COMPUTED_VALUE"""),"70006250")</f>
        <v>70006250</v>
      </c>
      <c r="D10821" s="380" t="s">
        <v>767</v>
      </c>
      <c r="E10821" s="380" t="s">
        <v>786</v>
      </c>
      <c r="F10821" s="380" t="s">
        <v>787</v>
      </c>
      <c r="G10821" s="380" t="s">
        <v>1267</v>
      </c>
      <c r="H10821" s="380" t="s">
        <v>771</v>
      </c>
      <c r="I10821" s="380" t="s">
        <v>788</v>
      </c>
      <c r="J10821" s="380" t="s">
        <v>773</v>
      </c>
      <c r="K10821" s="381">
        <v>0.0</v>
      </c>
      <c r="L10821" s="382">
        <v>1.0</v>
      </c>
    </row>
    <row r="10822">
      <c r="A10822" s="380" t="s">
        <v>11696</v>
      </c>
      <c r="B10822" s="380" t="str">
        <f>IFERROR(__xludf.DUMMYFUNCTION("""COMPUTED_VALUE"""),"Buje Biela Npr 1122510360")</f>
        <v>Buje Biela Npr 1122510360</v>
      </c>
      <c r="C10822" s="380" t="str">
        <f>IFERROR(__xludf.DUMMYFUNCTION("""COMPUTED_VALUE"""),"70006251")</f>
        <v>70006251</v>
      </c>
      <c r="D10822" s="380" t="s">
        <v>767</v>
      </c>
      <c r="E10822" s="380" t="s">
        <v>786</v>
      </c>
      <c r="F10822" s="380" t="s">
        <v>787</v>
      </c>
      <c r="G10822" s="380" t="s">
        <v>1267</v>
      </c>
      <c r="H10822" s="380" t="s">
        <v>771</v>
      </c>
      <c r="I10822" s="380" t="s">
        <v>788</v>
      </c>
      <c r="J10822" s="380" t="s">
        <v>773</v>
      </c>
      <c r="K10822" s="381">
        <v>0.0</v>
      </c>
      <c r="L10822" s="382">
        <v>1.0</v>
      </c>
    </row>
    <row r="10823">
      <c r="A10823" s="380" t="s">
        <v>11697</v>
      </c>
      <c r="B10823" s="380" t="str">
        <f>IFERROR(__xludf.DUMMYFUNCTION("""COMPUTED_VALUE"""),"Embolo Motor Arranque Npr Delta Np130")</f>
        <v>Embolo Motor Arranque Npr Delta Np130</v>
      </c>
      <c r="C10823" s="380" t="str">
        <f>IFERROR(__xludf.DUMMYFUNCTION("""COMPUTED_VALUE"""),"70006252")</f>
        <v>70006252</v>
      </c>
      <c r="D10823" s="380" t="s">
        <v>767</v>
      </c>
      <c r="E10823" s="380" t="s">
        <v>786</v>
      </c>
      <c r="F10823" s="380" t="s">
        <v>998</v>
      </c>
      <c r="G10823" s="380" t="s">
        <v>1267</v>
      </c>
      <c r="H10823" s="380" t="s">
        <v>771</v>
      </c>
      <c r="I10823" s="380" t="s">
        <v>788</v>
      </c>
      <c r="J10823" s="380" t="s">
        <v>773</v>
      </c>
      <c r="K10823" s="381">
        <v>0.0</v>
      </c>
      <c r="L10823" s="382">
        <v>1.0</v>
      </c>
    </row>
    <row r="10824">
      <c r="A10824" s="380" t="s">
        <v>11698</v>
      </c>
      <c r="B10824" s="380" t="str">
        <f>IFERROR(__xludf.DUMMYFUNCTION("""COMPUTED_VALUE"""),"Carreta Caja Fuller 14718b 16118")</f>
        <v>Carreta Caja Fuller 14718b 16118</v>
      </c>
      <c r="C10824" s="380" t="str">
        <f>IFERROR(__xludf.DUMMYFUNCTION("""COMPUTED_VALUE"""),"70006253")</f>
        <v>70006253</v>
      </c>
      <c r="D10824" s="380" t="s">
        <v>767</v>
      </c>
      <c r="E10824" s="380" t="s">
        <v>786</v>
      </c>
      <c r="F10824" s="380" t="s">
        <v>928</v>
      </c>
      <c r="G10824" s="380" t="s">
        <v>1267</v>
      </c>
      <c r="H10824" s="380" t="s">
        <v>771</v>
      </c>
      <c r="I10824" s="380" t="s">
        <v>788</v>
      </c>
      <c r="J10824" s="380" t="s">
        <v>773</v>
      </c>
      <c r="K10824" s="381">
        <v>0.0</v>
      </c>
      <c r="L10824" s="382">
        <v>1.0</v>
      </c>
    </row>
    <row r="10825">
      <c r="A10825" s="380" t="s">
        <v>11699</v>
      </c>
      <c r="B10825" s="380" t="str">
        <f>IFERROR(__xludf.DUMMYFUNCTION("""COMPUTED_VALUE"""),"Pin Caja Fuller 14718b 4301254")</f>
        <v>Pin Caja Fuller 14718b 4301254</v>
      </c>
      <c r="C10825" s="380" t="str">
        <f>IFERROR(__xludf.DUMMYFUNCTION("""COMPUTED_VALUE"""),"70006254")</f>
        <v>70006254</v>
      </c>
      <c r="D10825" s="380" t="s">
        <v>767</v>
      </c>
      <c r="E10825" s="380" t="s">
        <v>786</v>
      </c>
      <c r="F10825" s="380" t="s">
        <v>928</v>
      </c>
      <c r="G10825" s="380" t="s">
        <v>1267</v>
      </c>
      <c r="H10825" s="380" t="s">
        <v>771</v>
      </c>
      <c r="I10825" s="380" t="s">
        <v>788</v>
      </c>
      <c r="J10825" s="380" t="s">
        <v>773</v>
      </c>
      <c r="K10825" s="381">
        <v>0.0</v>
      </c>
      <c r="L10825" s="382">
        <v>1.0</v>
      </c>
    </row>
    <row r="10826">
      <c r="A10826" s="380" t="s">
        <v>11700</v>
      </c>
      <c r="B10826" s="380" t="str">
        <f>IFERROR(__xludf.DUMMYFUNCTION("""COMPUTED_VALUE"""),"Tapa Radiador Npr 15 Psi")</f>
        <v>Tapa Radiador Npr 15 Psi</v>
      </c>
      <c r="C10826" s="380" t="str">
        <f>IFERROR(__xludf.DUMMYFUNCTION("""COMPUTED_VALUE"""),"70006255")</f>
        <v>70006255</v>
      </c>
      <c r="D10826" s="380" t="s">
        <v>767</v>
      </c>
      <c r="E10826" s="380" t="s">
        <v>786</v>
      </c>
      <c r="F10826" s="380" t="s">
        <v>787</v>
      </c>
      <c r="G10826" s="380" t="s">
        <v>1267</v>
      </c>
      <c r="H10826" s="380" t="s">
        <v>771</v>
      </c>
      <c r="I10826" s="380" t="s">
        <v>788</v>
      </c>
      <c r="J10826" s="380" t="s">
        <v>773</v>
      </c>
      <c r="K10826" s="381">
        <v>0.0</v>
      </c>
      <c r="L10826" s="382">
        <v>1.0</v>
      </c>
    </row>
    <row r="10827">
      <c r="A10827" s="380" t="s">
        <v>11701</v>
      </c>
      <c r="B10827" s="380" t="str">
        <f>IFERROR(__xludf.DUMMYFUNCTION("""COMPUTED_VALUE"""),"Balinera Volante Npr 8970317410")</f>
        <v>Balinera Volante Npr 8970317410</v>
      </c>
      <c r="C10827" s="380" t="str">
        <f>IFERROR(__xludf.DUMMYFUNCTION("""COMPUTED_VALUE"""),"70006256")</f>
        <v>70006256</v>
      </c>
      <c r="D10827" s="380" t="s">
        <v>767</v>
      </c>
      <c r="E10827" s="380" t="s">
        <v>786</v>
      </c>
      <c r="F10827" s="380" t="s">
        <v>5661</v>
      </c>
      <c r="G10827" s="380" t="s">
        <v>1267</v>
      </c>
      <c r="H10827" s="380" t="s">
        <v>771</v>
      </c>
      <c r="I10827" s="380" t="s">
        <v>788</v>
      </c>
      <c r="J10827" s="380" t="s">
        <v>773</v>
      </c>
      <c r="K10827" s="381">
        <v>0.0</v>
      </c>
      <c r="L10827" s="382">
        <v>1.0</v>
      </c>
    </row>
    <row r="10828">
      <c r="A10828" s="380" t="s">
        <v>11702</v>
      </c>
      <c r="B10828" s="380" t="str">
        <f>IFERROR(__xludf.DUMMYFUNCTION("""COMPUTED_VALUE"""),"Banda Freno Emergencia Nkr Vulca")</f>
        <v>Banda Freno Emergencia Nkr Vulca</v>
      </c>
      <c r="C10828" s="380" t="str">
        <f>IFERROR(__xludf.DUMMYFUNCTION("""COMPUTED_VALUE"""),"70006257")</f>
        <v>70006257</v>
      </c>
      <c r="D10828" s="380" t="s">
        <v>767</v>
      </c>
      <c r="E10828" s="380" t="s">
        <v>786</v>
      </c>
      <c r="F10828" s="380" t="s">
        <v>1017</v>
      </c>
      <c r="G10828" s="380" t="s">
        <v>1267</v>
      </c>
      <c r="H10828" s="380" t="s">
        <v>771</v>
      </c>
      <c r="I10828" s="380" t="s">
        <v>788</v>
      </c>
      <c r="J10828" s="380" t="s">
        <v>773</v>
      </c>
      <c r="K10828" s="381">
        <v>0.0</v>
      </c>
      <c r="L10828" s="382">
        <v>1.0</v>
      </c>
    </row>
    <row r="10829">
      <c r="A10829" s="380" t="s">
        <v>11703</v>
      </c>
      <c r="B10829" s="380" t="str">
        <f>IFERROR(__xludf.DUMMYFUNCTION("""COMPUTED_VALUE"""),"Abrazadera Turbo 4"" SB 3067979")</f>
        <v>Abrazadera Turbo 4" SB 3067979</v>
      </c>
      <c r="C10829" s="380" t="str">
        <f>IFERROR(__xludf.DUMMYFUNCTION("""COMPUTED_VALUE"""),"70006258")</f>
        <v>70006258</v>
      </c>
      <c r="D10829" s="380" t="s">
        <v>767</v>
      </c>
      <c r="E10829" s="380" t="s">
        <v>786</v>
      </c>
      <c r="F10829" s="380" t="s">
        <v>787</v>
      </c>
      <c r="G10829" s="380" t="s">
        <v>1267</v>
      </c>
      <c r="H10829" s="380" t="s">
        <v>771</v>
      </c>
      <c r="I10829" s="380" t="s">
        <v>788</v>
      </c>
      <c r="J10829" s="380" t="s">
        <v>773</v>
      </c>
      <c r="K10829" s="381">
        <v>0.0</v>
      </c>
      <c r="L10829" s="382">
        <v>1.0</v>
      </c>
    </row>
    <row r="10830">
      <c r="A10830" s="380" t="s">
        <v>11704</v>
      </c>
      <c r="B10830" s="380" t="str">
        <f>IFERROR(__xludf.DUMMYFUNCTION("""COMPUTED_VALUE"""),"Buje Central Basti Internatio 2501025 C1")</f>
        <v>Buje Central Basti Internatio 2501025 C1</v>
      </c>
      <c r="C10830" s="380" t="str">
        <f>IFERROR(__xludf.DUMMYFUNCTION("""COMPUTED_VALUE"""),"70006259")</f>
        <v>70006259</v>
      </c>
      <c r="D10830" s="380" t="s">
        <v>767</v>
      </c>
      <c r="E10830" s="380" t="s">
        <v>786</v>
      </c>
      <c r="F10830" s="380" t="s">
        <v>1039</v>
      </c>
      <c r="G10830" s="380" t="s">
        <v>1267</v>
      </c>
      <c r="H10830" s="380" t="s">
        <v>771</v>
      </c>
      <c r="I10830" s="380" t="s">
        <v>788</v>
      </c>
      <c r="J10830" s="380" t="s">
        <v>773</v>
      </c>
      <c r="K10830" s="381">
        <v>0.0</v>
      </c>
      <c r="L10830" s="382">
        <v>1.0</v>
      </c>
    </row>
    <row r="10831">
      <c r="A10831" s="380" t="s">
        <v>11705</v>
      </c>
      <c r="B10831" s="380" t="str">
        <f>IFERROR(__xludf.DUMMYFUNCTION("""COMPUTED_VALUE"""),"Soporte Motor Super Carry 1164085201")</f>
        <v>Soporte Motor Super Carry 1164085201</v>
      </c>
      <c r="C10831" s="380" t="str">
        <f>IFERROR(__xludf.DUMMYFUNCTION("""COMPUTED_VALUE"""),"70006260")</f>
        <v>70006260</v>
      </c>
      <c r="D10831" s="380" t="s">
        <v>767</v>
      </c>
      <c r="E10831" s="380" t="s">
        <v>786</v>
      </c>
      <c r="F10831" s="380" t="s">
        <v>787</v>
      </c>
      <c r="G10831" s="380" t="s">
        <v>1267</v>
      </c>
      <c r="H10831" s="380" t="s">
        <v>771</v>
      </c>
      <c r="I10831" s="380" t="s">
        <v>788</v>
      </c>
      <c r="J10831" s="380" t="s">
        <v>773</v>
      </c>
      <c r="K10831" s="381">
        <v>0.0</v>
      </c>
      <c r="L10831" s="382">
        <v>1.0</v>
      </c>
    </row>
    <row r="10832">
      <c r="A10832" s="380" t="s">
        <v>11706</v>
      </c>
      <c r="B10832" s="380" t="str">
        <f>IFERROR(__xludf.DUMMYFUNCTION("""COMPUTED_VALUE"""),"Stop Tras Der S C 3565085521")</f>
        <v>Stop Tras Der S C 3565085521</v>
      </c>
      <c r="C10832" s="380" t="str">
        <f>IFERROR(__xludf.DUMMYFUNCTION("""COMPUTED_VALUE"""),"70006261")</f>
        <v>70006261</v>
      </c>
      <c r="D10832" s="380" t="s">
        <v>767</v>
      </c>
      <c r="E10832" s="380" t="s">
        <v>786</v>
      </c>
      <c r="F10832" s="380" t="s">
        <v>998</v>
      </c>
      <c r="G10832" s="380" t="s">
        <v>1267</v>
      </c>
      <c r="H10832" s="380" t="s">
        <v>771</v>
      </c>
      <c r="I10832" s="380" t="s">
        <v>788</v>
      </c>
      <c r="J10832" s="380" t="s">
        <v>773</v>
      </c>
      <c r="K10832" s="381">
        <v>0.0</v>
      </c>
      <c r="L10832" s="382">
        <v>1.0</v>
      </c>
    </row>
    <row r="10833">
      <c r="A10833" s="380" t="s">
        <v>11707</v>
      </c>
      <c r="B10833" s="380" t="str">
        <f>IFERROR(__xludf.DUMMYFUNCTION("""COMPUTED_VALUE"""),"EMPtadura VALV Seguridad EGL 107217")</f>
        <v>EMPtadura VALV Seguridad EGL 107217</v>
      </c>
      <c r="C10833" s="380" t="str">
        <f>IFERROR(__xludf.DUMMYFUNCTION("""COMPUTED_VALUE"""),"70006262")</f>
        <v>70006262</v>
      </c>
      <c r="D10833" s="380" t="s">
        <v>767</v>
      </c>
      <c r="E10833" s="380" t="s">
        <v>786</v>
      </c>
      <c r="F10833" s="380" t="s">
        <v>787</v>
      </c>
      <c r="G10833" s="380" t="s">
        <v>1267</v>
      </c>
      <c r="H10833" s="380" t="s">
        <v>771</v>
      </c>
      <c r="I10833" s="380" t="s">
        <v>788</v>
      </c>
      <c r="J10833" s="380" t="s">
        <v>773</v>
      </c>
      <c r="K10833" s="381">
        <v>0.0</v>
      </c>
      <c r="L10833" s="382">
        <v>1.0</v>
      </c>
    </row>
    <row r="10834">
      <c r="A10834" s="380" t="s">
        <v>11708</v>
      </c>
      <c r="B10834" s="380" t="str">
        <f>IFERROR(__xludf.DUMMYFUNCTION("""COMPUTED_VALUE"""),"Lampara Direcal Tras Yamaha 3tlh334070")</f>
        <v>Lampara Direcal Tras Yamaha 3tlh334070</v>
      </c>
      <c r="C10834" s="380" t="str">
        <f>IFERROR(__xludf.DUMMYFUNCTION("""COMPUTED_VALUE"""),"70006263")</f>
        <v>70006263</v>
      </c>
      <c r="D10834" s="380" t="s">
        <v>767</v>
      </c>
      <c r="E10834" s="380" t="s">
        <v>786</v>
      </c>
      <c r="F10834" s="380" t="s">
        <v>998</v>
      </c>
      <c r="G10834" s="380" t="s">
        <v>1267</v>
      </c>
      <c r="H10834" s="380" t="s">
        <v>771</v>
      </c>
      <c r="I10834" s="380" t="s">
        <v>788</v>
      </c>
      <c r="J10834" s="380" t="s">
        <v>773</v>
      </c>
      <c r="K10834" s="381">
        <v>0.0</v>
      </c>
      <c r="L10834" s="382">
        <v>1.0</v>
      </c>
    </row>
    <row r="10835">
      <c r="A10835" s="380" t="s">
        <v>11709</v>
      </c>
      <c r="B10835" s="380" t="str">
        <f>IFERROR(__xludf.DUMMYFUNCTION("""COMPUTED_VALUE"""),"Varilla Pin DeSplazable SB N14 4300890")</f>
        <v>Varilla Pin DeSplazable SB N14 4300890</v>
      </c>
      <c r="C10835" s="380" t="str">
        <f>IFERROR(__xludf.DUMMYFUNCTION("""COMPUTED_VALUE"""),"70006264")</f>
        <v>70006264</v>
      </c>
      <c r="D10835" s="380" t="s">
        <v>767</v>
      </c>
      <c r="E10835" s="380" t="s">
        <v>786</v>
      </c>
      <c r="F10835" s="380" t="s">
        <v>928</v>
      </c>
      <c r="G10835" s="380" t="s">
        <v>1267</v>
      </c>
      <c r="H10835" s="380" t="s">
        <v>771</v>
      </c>
      <c r="I10835" s="380" t="s">
        <v>788</v>
      </c>
      <c r="J10835" s="380" t="s">
        <v>773</v>
      </c>
      <c r="K10835" s="381">
        <v>0.0</v>
      </c>
      <c r="L10835" s="382">
        <v>1.0</v>
      </c>
    </row>
    <row r="10836">
      <c r="A10836" s="380" t="s">
        <v>11710</v>
      </c>
      <c r="B10836" s="380" t="str">
        <f>IFERROR(__xludf.DUMMYFUNCTION("""COMPUTED_VALUE"""),"Piñon 5ta Corredizo 54 Dientes SB 22025")</f>
        <v>Piñon 5ta Corredizo 54 Dientes SB 22025</v>
      </c>
      <c r="C10836" s="380" t="str">
        <f>IFERROR(__xludf.DUMMYFUNCTION("""COMPUTED_VALUE"""),"70006265")</f>
        <v>70006265</v>
      </c>
      <c r="D10836" s="380" t="s">
        <v>767</v>
      </c>
      <c r="E10836" s="380" t="s">
        <v>786</v>
      </c>
      <c r="F10836" s="380" t="s">
        <v>928</v>
      </c>
      <c r="G10836" s="380" t="s">
        <v>1267</v>
      </c>
      <c r="H10836" s="380" t="s">
        <v>771</v>
      </c>
      <c r="I10836" s="380" t="s">
        <v>788</v>
      </c>
      <c r="J10836" s="380" t="s">
        <v>773</v>
      </c>
      <c r="K10836" s="381">
        <v>0.0</v>
      </c>
      <c r="L10836" s="382">
        <v>1.0</v>
      </c>
    </row>
    <row r="10837">
      <c r="A10837" s="380" t="s">
        <v>11711</v>
      </c>
      <c r="B10837" s="380" t="str">
        <f>IFERROR(__xludf.DUMMYFUNCTION("""COMPUTED_VALUE"""),"Puerta Del Der Npr 8978928851")</f>
        <v>Puerta Del Der Npr 8978928851</v>
      </c>
      <c r="C10837" s="380" t="str">
        <f>IFERROR(__xludf.DUMMYFUNCTION("""COMPUTED_VALUE"""),"70006266")</f>
        <v>70006266</v>
      </c>
      <c r="D10837" s="380" t="s">
        <v>767</v>
      </c>
      <c r="E10837" s="380" t="s">
        <v>786</v>
      </c>
      <c r="F10837" s="380" t="s">
        <v>792</v>
      </c>
      <c r="G10837" s="380" t="s">
        <v>1267</v>
      </c>
      <c r="H10837" s="380" t="s">
        <v>771</v>
      </c>
      <c r="I10837" s="380" t="s">
        <v>788</v>
      </c>
      <c r="J10837" s="380" t="s">
        <v>773</v>
      </c>
      <c r="K10837" s="381">
        <v>0.0</v>
      </c>
      <c r="L10837" s="382">
        <v>1.0</v>
      </c>
    </row>
    <row r="10838">
      <c r="A10838" s="380" t="s">
        <v>11712</v>
      </c>
      <c r="B10838" s="380" t="str">
        <f>IFERROR(__xludf.DUMMYFUNCTION("""COMPUTED_VALUE"""),"Arandela Caja Fuller SB N14 4300830")</f>
        <v>Arandela Caja Fuller SB N14 4300830</v>
      </c>
      <c r="C10838" s="380" t="str">
        <f>IFERROR(__xludf.DUMMYFUNCTION("""COMPUTED_VALUE"""),"70006267")</f>
        <v>70006267</v>
      </c>
      <c r="D10838" s="380" t="s">
        <v>767</v>
      </c>
      <c r="E10838" s="380" t="s">
        <v>786</v>
      </c>
      <c r="F10838" s="380" t="s">
        <v>928</v>
      </c>
      <c r="G10838" s="380" t="s">
        <v>1267</v>
      </c>
      <c r="H10838" s="380" t="s">
        <v>771</v>
      </c>
      <c r="I10838" s="380" t="s">
        <v>788</v>
      </c>
      <c r="J10838" s="380" t="s">
        <v>773</v>
      </c>
      <c r="K10838" s="381">
        <v>0.0</v>
      </c>
      <c r="L10838" s="382">
        <v>1.0</v>
      </c>
    </row>
    <row r="10839">
      <c r="A10839" s="380" t="s">
        <v>11713</v>
      </c>
      <c r="B10839" s="380" t="str">
        <f>IFERROR(__xludf.DUMMYFUNCTION("""COMPUTED_VALUE"""),"Amortiguador ComPTA Tras S C 8180185501")</f>
        <v>Amortiguador ComPTA Tras S C 8180185501</v>
      </c>
      <c r="C10839" s="380" t="str">
        <f>IFERROR(__xludf.DUMMYFUNCTION("""COMPUTED_VALUE"""),"70006268")</f>
        <v>70006268</v>
      </c>
      <c r="D10839" s="380" t="s">
        <v>767</v>
      </c>
      <c r="E10839" s="380" t="s">
        <v>786</v>
      </c>
      <c r="F10839" s="380" t="s">
        <v>1039</v>
      </c>
      <c r="G10839" s="380" t="s">
        <v>1267</v>
      </c>
      <c r="H10839" s="380" t="s">
        <v>771</v>
      </c>
      <c r="I10839" s="380" t="s">
        <v>788</v>
      </c>
      <c r="J10839" s="380" t="s">
        <v>773</v>
      </c>
      <c r="K10839" s="381">
        <v>0.0</v>
      </c>
      <c r="L10839" s="382">
        <v>1.0</v>
      </c>
    </row>
    <row r="10840">
      <c r="A10840" s="380" t="s">
        <v>11714</v>
      </c>
      <c r="B10840" s="380" t="str">
        <f>IFERROR(__xludf.DUMMYFUNCTION("""COMPUTED_VALUE"""),"Buje Leva Bola Trailer")</f>
        <v>Buje Leva Bola Trailer</v>
      </c>
      <c r="C10840" s="380" t="str">
        <f>IFERROR(__xludf.DUMMYFUNCTION("""COMPUTED_VALUE"""),"70006269")</f>
        <v>70006269</v>
      </c>
      <c r="D10840" s="380" t="s">
        <v>767</v>
      </c>
      <c r="E10840" s="380" t="s">
        <v>786</v>
      </c>
      <c r="F10840" s="380" t="s">
        <v>1017</v>
      </c>
      <c r="G10840" s="380" t="s">
        <v>1267</v>
      </c>
      <c r="H10840" s="380" t="s">
        <v>771</v>
      </c>
      <c r="I10840" s="380" t="s">
        <v>788</v>
      </c>
      <c r="J10840" s="380" t="s">
        <v>773</v>
      </c>
      <c r="K10840" s="381">
        <v>8330.0</v>
      </c>
      <c r="L10840" s="382">
        <v>1.0</v>
      </c>
    </row>
    <row r="10841">
      <c r="A10841" s="380" t="s">
        <v>11715</v>
      </c>
      <c r="B10841" s="380" t="str">
        <f>IFERROR(__xludf.DUMMYFUNCTION("""COMPUTED_VALUE"""),"Embolo Motor Arranque 42mt 1948522")</f>
        <v>Embolo Motor Arranque 42mt 1948522</v>
      </c>
      <c r="C10841" s="380" t="str">
        <f>IFERROR(__xludf.DUMMYFUNCTION("""COMPUTED_VALUE"""),"70006270")</f>
        <v>70006270</v>
      </c>
      <c r="D10841" s="380" t="s">
        <v>767</v>
      </c>
      <c r="E10841" s="380" t="s">
        <v>786</v>
      </c>
      <c r="F10841" s="380" t="s">
        <v>998</v>
      </c>
      <c r="G10841" s="380" t="s">
        <v>1267</v>
      </c>
      <c r="H10841" s="380" t="s">
        <v>771</v>
      </c>
      <c r="I10841" s="380" t="s">
        <v>788</v>
      </c>
      <c r="J10841" s="380" t="s">
        <v>773</v>
      </c>
      <c r="K10841" s="381">
        <v>41650.0</v>
      </c>
      <c r="L10841" s="382">
        <v>1.0</v>
      </c>
    </row>
    <row r="10842">
      <c r="A10842" s="380" t="s">
        <v>11716</v>
      </c>
      <c r="B10842" s="380" t="str">
        <f>IFERROR(__xludf.DUMMYFUNCTION("""COMPUTED_VALUE"""),"Talco Furgon Npr FRR 0106-018b")</f>
        <v>Talco Furgon Npr FRR 0106-018b</v>
      </c>
      <c r="C10842" s="380" t="str">
        <f>IFERROR(__xludf.DUMMYFUNCTION("""COMPUTED_VALUE"""),"70006271")</f>
        <v>70006271</v>
      </c>
      <c r="D10842" s="380" t="s">
        <v>767</v>
      </c>
      <c r="E10842" s="380" t="s">
        <v>786</v>
      </c>
      <c r="F10842" s="380" t="s">
        <v>998</v>
      </c>
      <c r="G10842" s="380" t="s">
        <v>1267</v>
      </c>
      <c r="H10842" s="380" t="s">
        <v>771</v>
      </c>
      <c r="I10842" s="380" t="s">
        <v>788</v>
      </c>
      <c r="J10842" s="380" t="s">
        <v>773</v>
      </c>
      <c r="K10842" s="381">
        <v>0.0</v>
      </c>
      <c r="L10842" s="382">
        <v>1.0</v>
      </c>
    </row>
    <row r="10843">
      <c r="A10843" s="380" t="s">
        <v>11717</v>
      </c>
      <c r="B10843" s="380" t="str">
        <f>IFERROR(__xludf.DUMMYFUNCTION("""COMPUTED_VALUE"""),"Buje Arranque Pequeño 4284 Hi-Sb")</f>
        <v>Buje Arranque Pequeño 4284 Hi-Sb</v>
      </c>
      <c r="C10843" s="380" t="str">
        <f>IFERROR(__xludf.DUMMYFUNCTION("""COMPUTED_VALUE"""),"70006272")</f>
        <v>70006272</v>
      </c>
      <c r="D10843" s="380" t="s">
        <v>767</v>
      </c>
      <c r="E10843" s="380" t="s">
        <v>786</v>
      </c>
      <c r="F10843" s="380" t="s">
        <v>998</v>
      </c>
      <c r="G10843" s="380" t="s">
        <v>1267</v>
      </c>
      <c r="H10843" s="380" t="s">
        <v>771</v>
      </c>
      <c r="I10843" s="380" t="s">
        <v>788</v>
      </c>
      <c r="J10843" s="380" t="s">
        <v>773</v>
      </c>
      <c r="K10843" s="381">
        <v>0.0</v>
      </c>
      <c r="L10843" s="382">
        <v>1.0</v>
      </c>
    </row>
    <row r="10844">
      <c r="A10844" s="380" t="s">
        <v>11718</v>
      </c>
      <c r="B10844" s="380" t="str">
        <f>IFERROR(__xludf.DUMMYFUNCTION("""COMPUTED_VALUE"""),"Buje Balancin Pasador U-X0004")</f>
        <v>Buje Balancin Pasador U-X0004</v>
      </c>
      <c r="C10844" s="380" t="str">
        <f>IFERROR(__xludf.DUMMYFUNCTION("""COMPUTED_VALUE"""),"70006273")</f>
        <v>70006273</v>
      </c>
      <c r="D10844" s="380" t="s">
        <v>767</v>
      </c>
      <c r="E10844" s="380" t="s">
        <v>786</v>
      </c>
      <c r="F10844" s="380" t="s">
        <v>1039</v>
      </c>
      <c r="G10844" s="380" t="s">
        <v>1267</v>
      </c>
      <c r="H10844" s="380" t="s">
        <v>771</v>
      </c>
      <c r="I10844" s="380" t="s">
        <v>788</v>
      </c>
      <c r="J10844" s="380" t="s">
        <v>773</v>
      </c>
      <c r="K10844" s="381">
        <v>15610.0</v>
      </c>
      <c r="L10844" s="382">
        <v>1.0</v>
      </c>
    </row>
    <row r="10845">
      <c r="A10845" s="380" t="s">
        <v>11719</v>
      </c>
      <c r="B10845" s="380" t="str">
        <f>IFERROR(__xludf.DUMMYFUNCTION("""COMPUTED_VALUE"""),"Buje Bastidor Lateral SB 3401388l N")</f>
        <v>Buje Bastidor Lateral SB 3401388l N</v>
      </c>
      <c r="C10845" s="380" t="str">
        <f>IFERROR(__xludf.DUMMYFUNCTION("""COMPUTED_VALUE"""),"70006274")</f>
        <v>70006274</v>
      </c>
      <c r="D10845" s="380" t="s">
        <v>767</v>
      </c>
      <c r="E10845" s="380" t="s">
        <v>786</v>
      </c>
      <c r="F10845" s="380" t="s">
        <v>1039</v>
      </c>
      <c r="G10845" s="380" t="s">
        <v>1267</v>
      </c>
      <c r="H10845" s="380" t="s">
        <v>771</v>
      </c>
      <c r="I10845" s="380" t="s">
        <v>788</v>
      </c>
      <c r="J10845" s="380" t="s">
        <v>773</v>
      </c>
      <c r="K10845" s="381">
        <v>0.0</v>
      </c>
      <c r="L10845" s="382">
        <v>1.0</v>
      </c>
    </row>
    <row r="10846">
      <c r="A10846" s="380" t="s">
        <v>11720</v>
      </c>
      <c r="B10846" s="380" t="str">
        <f>IFERROR(__xludf.DUMMYFUNCTION("""COMPUTED_VALUE"""),"Pin Guaya Control Cambios Npr 04cc01/02")</f>
        <v>Pin Guaya Control Cambios Npr 04cc01/02</v>
      </c>
      <c r="C10846" s="380" t="str">
        <f>IFERROR(__xludf.DUMMYFUNCTION("""COMPUTED_VALUE"""),"70006275")</f>
        <v>70006275</v>
      </c>
      <c r="D10846" s="380" t="s">
        <v>767</v>
      </c>
      <c r="E10846" s="380" t="s">
        <v>786</v>
      </c>
      <c r="F10846" s="380" t="s">
        <v>787</v>
      </c>
      <c r="G10846" s="380" t="s">
        <v>1267</v>
      </c>
      <c r="H10846" s="380" t="s">
        <v>771</v>
      </c>
      <c r="I10846" s="380" t="s">
        <v>788</v>
      </c>
      <c r="J10846" s="380" t="s">
        <v>773</v>
      </c>
      <c r="K10846" s="381">
        <v>0.0</v>
      </c>
      <c r="L10846" s="382">
        <v>1.0</v>
      </c>
    </row>
    <row r="10847">
      <c r="A10847" s="380" t="s">
        <v>11721</v>
      </c>
      <c r="B10847" s="380" t="str">
        <f>IFERROR(__xludf.DUMMYFUNCTION("""COMPUTED_VALUE"""),"Deposito Aux Radiador Npr 8972108440")</f>
        <v>Deposito Aux Radiador Npr 8972108440</v>
      </c>
      <c r="C10847" s="380" t="str">
        <f>IFERROR(__xludf.DUMMYFUNCTION("""COMPUTED_VALUE"""),"70006276")</f>
        <v>70006276</v>
      </c>
      <c r="D10847" s="380" t="s">
        <v>767</v>
      </c>
      <c r="E10847" s="380" t="s">
        <v>786</v>
      </c>
      <c r="F10847" s="380" t="s">
        <v>787</v>
      </c>
      <c r="G10847" s="380" t="s">
        <v>1267</v>
      </c>
      <c r="H10847" s="380" t="s">
        <v>771</v>
      </c>
      <c r="I10847" s="380" t="s">
        <v>788</v>
      </c>
      <c r="J10847" s="380" t="s">
        <v>773</v>
      </c>
      <c r="K10847" s="381">
        <v>0.0</v>
      </c>
      <c r="L10847" s="382">
        <v>1.0</v>
      </c>
    </row>
    <row r="10848">
      <c r="A10848" s="380" t="s">
        <v>11722</v>
      </c>
      <c r="B10848" s="380" t="str">
        <f>IFERROR(__xludf.DUMMYFUNCTION("""COMPUTED_VALUE"""),"Buje Bronce Principal Tras Tpk")</f>
        <v>Buje Bronce Principal Tras Tpk</v>
      </c>
      <c r="C10848" s="380" t="str">
        <f>IFERROR(__xludf.DUMMYFUNCTION("""COMPUTED_VALUE"""),"70006277")</f>
        <v>70006277</v>
      </c>
      <c r="D10848" s="380" t="s">
        <v>767</v>
      </c>
      <c r="E10848" s="380" t="s">
        <v>786</v>
      </c>
      <c r="F10848" s="380" t="s">
        <v>1039</v>
      </c>
      <c r="G10848" s="380" t="s">
        <v>1267</v>
      </c>
      <c r="H10848" s="380" t="s">
        <v>771</v>
      </c>
      <c r="I10848" s="380" t="s">
        <v>788</v>
      </c>
      <c r="J10848" s="380" t="s">
        <v>773</v>
      </c>
      <c r="K10848" s="381">
        <v>17057.0</v>
      </c>
      <c r="L10848" s="382">
        <v>1.0</v>
      </c>
    </row>
    <row r="10849">
      <c r="A10849" s="380" t="s">
        <v>11723</v>
      </c>
      <c r="B10849" s="380" t="str">
        <f>IFERROR(__xludf.DUMMYFUNCTION("""COMPUTED_VALUE"""),"Aislante Varios Arranque-Alternador")</f>
        <v>Aislante Varios Arranque-Alternador</v>
      </c>
      <c r="C10849" s="380" t="str">
        <f>IFERROR(__xludf.DUMMYFUNCTION("""COMPUTED_VALUE"""),"70006278")</f>
        <v>70006278</v>
      </c>
      <c r="D10849" s="380" t="s">
        <v>767</v>
      </c>
      <c r="E10849" s="380" t="s">
        <v>786</v>
      </c>
      <c r="F10849" s="380" t="s">
        <v>998</v>
      </c>
      <c r="G10849" s="380" t="s">
        <v>1267</v>
      </c>
      <c r="H10849" s="380" t="s">
        <v>771</v>
      </c>
      <c r="I10849" s="380" t="s">
        <v>788</v>
      </c>
      <c r="J10849" s="380" t="s">
        <v>773</v>
      </c>
      <c r="K10849" s="381">
        <v>0.0</v>
      </c>
      <c r="L10849" s="382">
        <v>1.0</v>
      </c>
    </row>
    <row r="10850">
      <c r="A10850" s="380" t="s">
        <v>11724</v>
      </c>
      <c r="B10850" s="380" t="str">
        <f>IFERROR(__xludf.DUMMYFUNCTION("""COMPUTED_VALUE"""),"Tapizado PTA Der Izq Super Carr 95617106")</f>
        <v>Tapizado PTA Der Izq Super Carr 95617106</v>
      </c>
      <c r="C10850" s="380" t="str">
        <f>IFERROR(__xludf.DUMMYFUNCTION("""COMPUTED_VALUE"""),"70006279")</f>
        <v>70006279</v>
      </c>
      <c r="D10850" s="380" t="s">
        <v>767</v>
      </c>
      <c r="E10850" s="380" t="s">
        <v>786</v>
      </c>
      <c r="F10850" s="380" t="s">
        <v>792</v>
      </c>
      <c r="G10850" s="380" t="s">
        <v>1267</v>
      </c>
      <c r="H10850" s="380" t="s">
        <v>771</v>
      </c>
      <c r="I10850" s="380" t="s">
        <v>788</v>
      </c>
      <c r="J10850" s="380" t="s">
        <v>773</v>
      </c>
      <c r="K10850" s="381">
        <v>0.0</v>
      </c>
      <c r="L10850" s="382">
        <v>1.0</v>
      </c>
    </row>
    <row r="10851">
      <c r="A10851" s="380" t="s">
        <v>11725</v>
      </c>
      <c r="B10851" s="380" t="str">
        <f>IFERROR(__xludf.DUMMYFUNCTION("""COMPUTED_VALUE"""),"Tapa Frontal Bloque Npr 8970748593")</f>
        <v>Tapa Frontal Bloque Npr 8970748593</v>
      </c>
      <c r="C10851" s="380" t="str">
        <f>IFERROR(__xludf.DUMMYFUNCTION("""COMPUTED_VALUE"""),"70006280")</f>
        <v>70006280</v>
      </c>
      <c r="D10851" s="380" t="s">
        <v>767</v>
      </c>
      <c r="E10851" s="380" t="s">
        <v>786</v>
      </c>
      <c r="F10851" s="380" t="s">
        <v>787</v>
      </c>
      <c r="G10851" s="380" t="s">
        <v>1267</v>
      </c>
      <c r="H10851" s="380" t="s">
        <v>771</v>
      </c>
      <c r="I10851" s="380" t="s">
        <v>788</v>
      </c>
      <c r="J10851" s="380" t="s">
        <v>773</v>
      </c>
      <c r="K10851" s="381">
        <v>0.0</v>
      </c>
      <c r="L10851" s="382">
        <v>1.0</v>
      </c>
    </row>
    <row r="10852">
      <c r="A10852" s="380" t="s">
        <v>11726</v>
      </c>
      <c r="B10852" s="380" t="str">
        <f>IFERROR(__xludf.DUMMYFUNCTION("""COMPUTED_VALUE"""),"Hoja Resorte Del Nhr 22934-1")</f>
        <v>Hoja Resorte Del Nhr 22934-1</v>
      </c>
      <c r="C10852" s="380" t="str">
        <f>IFERROR(__xludf.DUMMYFUNCTION("""COMPUTED_VALUE"""),"70006281")</f>
        <v>70006281</v>
      </c>
      <c r="D10852" s="380" t="s">
        <v>767</v>
      </c>
      <c r="E10852" s="380" t="s">
        <v>786</v>
      </c>
      <c r="F10852" s="380" t="s">
        <v>1039</v>
      </c>
      <c r="G10852" s="380" t="s">
        <v>1267</v>
      </c>
      <c r="H10852" s="380" t="s">
        <v>771</v>
      </c>
      <c r="I10852" s="380" t="s">
        <v>788</v>
      </c>
      <c r="J10852" s="380" t="s">
        <v>773</v>
      </c>
      <c r="K10852" s="381">
        <v>0.0</v>
      </c>
      <c r="L10852" s="382">
        <v>1.0</v>
      </c>
    </row>
    <row r="10853">
      <c r="A10853" s="380" t="s">
        <v>11727</v>
      </c>
      <c r="B10853" s="380" t="str">
        <f>IFERROR(__xludf.DUMMYFUNCTION("""COMPUTED_VALUE"""),"Buje Caucho 5 Rueda Nylon Rojo")</f>
        <v>Buje Caucho 5 Rueda Nylon Rojo</v>
      </c>
      <c r="C10853" s="380" t="str">
        <f>IFERROR(__xludf.DUMMYFUNCTION("""COMPUTED_VALUE"""),"70006282")</f>
        <v>70006282</v>
      </c>
      <c r="D10853" s="380" t="s">
        <v>767</v>
      </c>
      <c r="E10853" s="380" t="s">
        <v>786</v>
      </c>
      <c r="F10853" s="380" t="s">
        <v>792</v>
      </c>
      <c r="G10853" s="380" t="s">
        <v>1267</v>
      </c>
      <c r="H10853" s="380" t="s">
        <v>771</v>
      </c>
      <c r="I10853" s="380" t="s">
        <v>788</v>
      </c>
      <c r="J10853" s="380" t="s">
        <v>773</v>
      </c>
      <c r="K10853" s="381">
        <v>0.0</v>
      </c>
      <c r="L10853" s="382">
        <v>1.0</v>
      </c>
    </row>
    <row r="10854">
      <c r="A10854" s="380" t="s">
        <v>11728</v>
      </c>
      <c r="B10854" s="380" t="str">
        <f>IFERROR(__xludf.DUMMYFUNCTION("""COMPUTED_VALUE"""),"Vidrio Puerta Izquierda Mack Mt8")</f>
        <v>Vidrio Puerta Izquierda Mack Mt8</v>
      </c>
      <c r="C10854" s="380" t="str">
        <f>IFERROR(__xludf.DUMMYFUNCTION("""COMPUTED_VALUE"""),"70006283")</f>
        <v>70006283</v>
      </c>
      <c r="D10854" s="380" t="s">
        <v>767</v>
      </c>
      <c r="E10854" s="380" t="s">
        <v>786</v>
      </c>
      <c r="F10854" s="380" t="s">
        <v>792</v>
      </c>
      <c r="G10854" s="380" t="s">
        <v>1267</v>
      </c>
      <c r="H10854" s="380" t="s">
        <v>771</v>
      </c>
      <c r="I10854" s="380" t="s">
        <v>788</v>
      </c>
      <c r="J10854" s="380" t="s">
        <v>773</v>
      </c>
      <c r="K10854" s="381">
        <v>0.0</v>
      </c>
      <c r="L10854" s="382">
        <v>1.0</v>
      </c>
    </row>
    <row r="10855">
      <c r="A10855" s="380" t="s">
        <v>11729</v>
      </c>
      <c r="B10855" s="380" t="str">
        <f>IFERROR(__xludf.DUMMYFUNCTION("""COMPUTED_VALUE"""),"Porta Disyuntor De Regleta 201192")</f>
        <v>Porta Disyuntor De Regleta 201192</v>
      </c>
      <c r="C10855" s="380" t="str">
        <f>IFERROR(__xludf.DUMMYFUNCTION("""COMPUTED_VALUE"""),"70006284")</f>
        <v>70006284</v>
      </c>
      <c r="D10855" s="380" t="s">
        <v>767</v>
      </c>
      <c r="E10855" s="380" t="s">
        <v>786</v>
      </c>
      <c r="F10855" s="380" t="s">
        <v>998</v>
      </c>
      <c r="G10855" s="380" t="s">
        <v>1267</v>
      </c>
      <c r="H10855" s="380" t="s">
        <v>771</v>
      </c>
      <c r="I10855" s="380" t="s">
        <v>788</v>
      </c>
      <c r="J10855" s="380" t="s">
        <v>773</v>
      </c>
      <c r="K10855" s="381">
        <v>0.0</v>
      </c>
      <c r="L10855" s="382">
        <v>1.0</v>
      </c>
    </row>
    <row r="10856">
      <c r="A10856" s="380" t="s">
        <v>11730</v>
      </c>
      <c r="B10856" s="380" t="str">
        <f>IFERROR(__xludf.DUMMYFUNCTION("""COMPUTED_VALUE"""),"Racor Union En T Rapida 1/4 X 1/4 X 1/4")</f>
        <v>Racor Union En T Rapida 1/4 X 1/4 X 1/4</v>
      </c>
      <c r="C10856" s="380" t="str">
        <f>IFERROR(__xludf.DUMMYFUNCTION("""COMPUTED_VALUE"""),"70006285")</f>
        <v>70006285</v>
      </c>
      <c r="D10856" s="380" t="s">
        <v>767</v>
      </c>
      <c r="E10856" s="380" t="s">
        <v>786</v>
      </c>
      <c r="F10856" s="380" t="s">
        <v>989</v>
      </c>
      <c r="G10856" s="380" t="s">
        <v>1267</v>
      </c>
      <c r="H10856" s="380" t="s">
        <v>771</v>
      </c>
      <c r="I10856" s="380" t="s">
        <v>788</v>
      </c>
      <c r="J10856" s="380" t="s">
        <v>773</v>
      </c>
      <c r="K10856" s="381">
        <v>0.0</v>
      </c>
      <c r="L10856" s="382">
        <v>1.0</v>
      </c>
    </row>
    <row r="10857">
      <c r="A10857" s="380" t="s">
        <v>11731</v>
      </c>
      <c r="B10857" s="380" t="str">
        <f>IFERROR(__xludf.DUMMYFUNCTION("""COMPUTED_VALUE"""),"Tapa Bocin Rueda Del Eagle Kw 1695989c91")</f>
        <v>Tapa Bocin Rueda Del Eagle Kw 1695989c91</v>
      </c>
      <c r="C10857" s="380" t="str">
        <f>IFERROR(__xludf.DUMMYFUNCTION("""COMPUTED_VALUE"""),"70006286")</f>
        <v>70006286</v>
      </c>
      <c r="D10857" s="380" t="s">
        <v>767</v>
      </c>
      <c r="E10857" s="380" t="s">
        <v>786</v>
      </c>
      <c r="F10857" s="380" t="s">
        <v>1017</v>
      </c>
      <c r="G10857" s="380" t="s">
        <v>1267</v>
      </c>
      <c r="H10857" s="380" t="s">
        <v>771</v>
      </c>
      <c r="I10857" s="380" t="s">
        <v>788</v>
      </c>
      <c r="J10857" s="380" t="s">
        <v>773</v>
      </c>
      <c r="K10857" s="381">
        <v>0.0</v>
      </c>
      <c r="L10857" s="382">
        <v>1.0</v>
      </c>
    </row>
    <row r="10858">
      <c r="A10858" s="380" t="s">
        <v>11732</v>
      </c>
      <c r="B10858" s="380" t="str">
        <f>IFERROR(__xludf.DUMMYFUNCTION("""COMPUTED_VALUE"""),"Hoja Resorte Tras Hi 466 55029/8")</f>
        <v>Hoja Resorte Tras Hi 466 55029/8</v>
      </c>
      <c r="C10858" s="380" t="str">
        <f>IFERROR(__xludf.DUMMYFUNCTION("""COMPUTED_VALUE"""),"70006287")</f>
        <v>70006287</v>
      </c>
      <c r="D10858" s="380" t="s">
        <v>767</v>
      </c>
      <c r="E10858" s="380" t="s">
        <v>786</v>
      </c>
      <c r="F10858" s="380" t="s">
        <v>1039</v>
      </c>
      <c r="G10858" s="380" t="s">
        <v>1267</v>
      </c>
      <c r="H10858" s="380" t="s">
        <v>771</v>
      </c>
      <c r="I10858" s="380" t="s">
        <v>788</v>
      </c>
      <c r="J10858" s="380" t="s">
        <v>773</v>
      </c>
      <c r="K10858" s="381">
        <v>0.0</v>
      </c>
      <c r="L10858" s="382">
        <v>1.0</v>
      </c>
    </row>
    <row r="10859">
      <c r="A10859" s="380" t="s">
        <v>11733</v>
      </c>
      <c r="B10859" s="380" t="str">
        <f>IFERROR(__xludf.DUMMYFUNCTION("""COMPUTED_VALUE"""),"Felpa Vidrio Puerta Generico Varios")</f>
        <v>Felpa Vidrio Puerta Generico Varios</v>
      </c>
      <c r="C10859" s="380" t="str">
        <f>IFERROR(__xludf.DUMMYFUNCTION("""COMPUTED_VALUE"""),"70006288")</f>
        <v>70006288</v>
      </c>
      <c r="D10859" s="380" t="s">
        <v>767</v>
      </c>
      <c r="E10859" s="380" t="s">
        <v>786</v>
      </c>
      <c r="F10859" s="380" t="s">
        <v>792</v>
      </c>
      <c r="G10859" s="380" t="s">
        <v>1267</v>
      </c>
      <c r="H10859" s="380" t="s">
        <v>771</v>
      </c>
      <c r="I10859" s="380" t="s">
        <v>788</v>
      </c>
      <c r="J10859" s="380" t="s">
        <v>773</v>
      </c>
      <c r="K10859" s="381">
        <v>0.0</v>
      </c>
      <c r="L10859" s="382">
        <v>1.0</v>
      </c>
    </row>
    <row r="10860">
      <c r="A10860" s="380" t="s">
        <v>11734</v>
      </c>
      <c r="B10860" s="380" t="str">
        <f>IFERROR(__xludf.DUMMYFUNCTION("""COMPUTED_VALUE"""),"Resorte Sincronismo EGL N14 Eaton 14897")</f>
        <v>Resorte Sincronismo EGL N14 Eaton 14897</v>
      </c>
      <c r="C10860" s="380" t="str">
        <f>IFERROR(__xludf.DUMMYFUNCTION("""COMPUTED_VALUE"""),"70006289")</f>
        <v>70006289</v>
      </c>
      <c r="D10860" s="380" t="s">
        <v>767</v>
      </c>
      <c r="E10860" s="380" t="s">
        <v>786</v>
      </c>
      <c r="F10860" s="380" t="s">
        <v>928</v>
      </c>
      <c r="G10860" s="380" t="s">
        <v>1267</v>
      </c>
      <c r="H10860" s="380" t="s">
        <v>771</v>
      </c>
      <c r="I10860" s="380" t="s">
        <v>788</v>
      </c>
      <c r="J10860" s="380" t="s">
        <v>773</v>
      </c>
      <c r="K10860" s="381">
        <v>0.0</v>
      </c>
      <c r="L10860" s="382">
        <v>1.0</v>
      </c>
    </row>
    <row r="10861">
      <c r="A10861" s="380" t="s">
        <v>11735</v>
      </c>
      <c r="B10861" s="380" t="str">
        <f>IFERROR(__xludf.DUMMYFUNCTION("""COMPUTED_VALUE"""),"Buje Arranque Grande 4332 Sb")</f>
        <v>Buje Arranque Grande 4332 Sb</v>
      </c>
      <c r="C10861" s="380" t="str">
        <f>IFERROR(__xludf.DUMMYFUNCTION("""COMPUTED_VALUE"""),"70006290")</f>
        <v>70006290</v>
      </c>
      <c r="D10861" s="380" t="s">
        <v>767</v>
      </c>
      <c r="E10861" s="380" t="s">
        <v>786</v>
      </c>
      <c r="F10861" s="380" t="s">
        <v>998</v>
      </c>
      <c r="G10861" s="380" t="s">
        <v>1267</v>
      </c>
      <c r="H10861" s="380" t="s">
        <v>771</v>
      </c>
      <c r="I10861" s="380" t="s">
        <v>788</v>
      </c>
      <c r="J10861" s="380" t="s">
        <v>773</v>
      </c>
      <c r="K10861" s="381">
        <v>0.0</v>
      </c>
      <c r="L10861" s="382">
        <v>1.0</v>
      </c>
    </row>
    <row r="10862">
      <c r="A10862" s="380" t="s">
        <v>11736</v>
      </c>
      <c r="B10862" s="380" t="str">
        <f>IFERROR(__xludf.DUMMYFUNCTION("""COMPUTED_VALUE"""),"Felpa Puerta Vidrio Eagle Mts")</f>
        <v>Felpa Puerta Vidrio Eagle Mts</v>
      </c>
      <c r="C10862" s="380" t="str">
        <f>IFERROR(__xludf.DUMMYFUNCTION("""COMPUTED_VALUE"""),"70006291")</f>
        <v>70006291</v>
      </c>
      <c r="D10862" s="380" t="s">
        <v>767</v>
      </c>
      <c r="E10862" s="380" t="s">
        <v>786</v>
      </c>
      <c r="F10862" s="380" t="s">
        <v>792</v>
      </c>
      <c r="G10862" s="380" t="s">
        <v>1267</v>
      </c>
      <c r="H10862" s="380" t="s">
        <v>771</v>
      </c>
      <c r="I10862" s="380" t="s">
        <v>788</v>
      </c>
      <c r="J10862" s="380" t="s">
        <v>773</v>
      </c>
      <c r="K10862" s="381">
        <v>0.0</v>
      </c>
      <c r="L10862" s="382">
        <v>1.0</v>
      </c>
    </row>
    <row r="10863">
      <c r="A10863" s="380" t="s">
        <v>11737</v>
      </c>
      <c r="B10863" s="380" t="str">
        <f>IFERROR(__xludf.DUMMYFUNCTION("""COMPUTED_VALUE"""),"Buje Arranque Mediano 4245 S.B.")</f>
        <v>Buje Arranque Mediano 4245 S.B.</v>
      </c>
      <c r="C10863" s="380" t="str">
        <f>IFERROR(__xludf.DUMMYFUNCTION("""COMPUTED_VALUE"""),"70006292")</f>
        <v>70006292</v>
      </c>
      <c r="D10863" s="380" t="s">
        <v>767</v>
      </c>
      <c r="E10863" s="380" t="s">
        <v>786</v>
      </c>
      <c r="F10863" s="380" t="s">
        <v>998</v>
      </c>
      <c r="G10863" s="380" t="s">
        <v>1267</v>
      </c>
      <c r="H10863" s="380" t="s">
        <v>771</v>
      </c>
      <c r="I10863" s="380" t="s">
        <v>788</v>
      </c>
      <c r="J10863" s="380" t="s">
        <v>773</v>
      </c>
      <c r="K10863" s="381">
        <v>0.0</v>
      </c>
      <c r="L10863" s="382">
        <v>1.0</v>
      </c>
    </row>
    <row r="10864">
      <c r="A10864" s="380" t="s">
        <v>11738</v>
      </c>
      <c r="B10864" s="380" t="str">
        <f>IFERROR(__xludf.DUMMYFUNCTION("""COMPUTED_VALUE"""),"Tensor Correa VENT EGL 1687801c91")</f>
        <v>Tensor Correa VENT EGL 1687801c91</v>
      </c>
      <c r="C10864" s="380" t="str">
        <f>IFERROR(__xludf.DUMMYFUNCTION("""COMPUTED_VALUE"""),"70006293")</f>
        <v>70006293</v>
      </c>
      <c r="D10864" s="380" t="s">
        <v>767</v>
      </c>
      <c r="E10864" s="380" t="s">
        <v>786</v>
      </c>
      <c r="F10864" s="380" t="s">
        <v>787</v>
      </c>
      <c r="G10864" s="380" t="s">
        <v>1267</v>
      </c>
      <c r="H10864" s="380" t="s">
        <v>771</v>
      </c>
      <c r="I10864" s="380" t="s">
        <v>788</v>
      </c>
      <c r="J10864" s="380" t="s">
        <v>773</v>
      </c>
      <c r="K10864" s="381">
        <v>0.0</v>
      </c>
      <c r="L10864" s="382">
        <v>1.0</v>
      </c>
    </row>
    <row r="10865">
      <c r="A10865" s="380" t="s">
        <v>11739</v>
      </c>
      <c r="B10865" s="380" t="str">
        <f>IFERROR(__xludf.DUMMYFUNCTION("""COMPUTED_VALUE"""),"VALV CTRL AIR Suspens EGL N14 Had500rs")</f>
        <v>VALV CTRL AIR Suspens EGL N14 Had500rs</v>
      </c>
      <c r="C10865" s="380" t="str">
        <f>IFERROR(__xludf.DUMMYFUNCTION("""COMPUTED_VALUE"""),"70006294")</f>
        <v>70006294</v>
      </c>
      <c r="D10865" s="380" t="s">
        <v>767</v>
      </c>
      <c r="E10865" s="380" t="s">
        <v>786</v>
      </c>
      <c r="F10865" s="380" t="s">
        <v>1017</v>
      </c>
      <c r="G10865" s="380" t="s">
        <v>1267</v>
      </c>
      <c r="H10865" s="380" t="s">
        <v>771</v>
      </c>
      <c r="I10865" s="380" t="s">
        <v>788</v>
      </c>
      <c r="J10865" s="380" t="s">
        <v>773</v>
      </c>
      <c r="K10865" s="381">
        <v>0.0</v>
      </c>
      <c r="L10865" s="382">
        <v>1.0</v>
      </c>
    </row>
    <row r="10866">
      <c r="A10866" s="380" t="s">
        <v>11740</v>
      </c>
      <c r="B10866" s="380" t="str">
        <f>IFERROR(__xludf.DUMMYFUNCTION("""COMPUTED_VALUE"""),"Interruptor Freno Super Carry 3774066010")</f>
        <v>Interruptor Freno Super Carry 3774066010</v>
      </c>
      <c r="C10866" s="380" t="str">
        <f>IFERROR(__xludf.DUMMYFUNCTION("""COMPUTED_VALUE"""),"70006295")</f>
        <v>70006295</v>
      </c>
      <c r="D10866" s="380" t="s">
        <v>767</v>
      </c>
      <c r="E10866" s="380" t="s">
        <v>786</v>
      </c>
      <c r="F10866" s="380" t="s">
        <v>998</v>
      </c>
      <c r="G10866" s="380" t="s">
        <v>1267</v>
      </c>
      <c r="H10866" s="380" t="s">
        <v>771</v>
      </c>
      <c r="I10866" s="380" t="s">
        <v>788</v>
      </c>
      <c r="J10866" s="380" t="s">
        <v>773</v>
      </c>
      <c r="K10866" s="381">
        <v>0.0</v>
      </c>
      <c r="L10866" s="382">
        <v>1.0</v>
      </c>
    </row>
    <row r="10867">
      <c r="A10867" s="380" t="s">
        <v>11741</v>
      </c>
      <c r="B10867" s="380" t="str">
        <f>IFERROR(__xludf.DUMMYFUNCTION("""COMPUTED_VALUE"""),"Abrazadera Tornillo T-517")</f>
        <v>Abrazadera Tornillo T-517</v>
      </c>
      <c r="C10867" s="380" t="str">
        <f>IFERROR(__xludf.DUMMYFUNCTION("""COMPUTED_VALUE"""),"70006296")</f>
        <v>70006296</v>
      </c>
      <c r="D10867" s="380" t="s">
        <v>767</v>
      </c>
      <c r="E10867" s="380" t="s">
        <v>786</v>
      </c>
      <c r="F10867" s="380" t="s">
        <v>989</v>
      </c>
      <c r="G10867" s="380" t="s">
        <v>1267</v>
      </c>
      <c r="H10867" s="380" t="s">
        <v>771</v>
      </c>
      <c r="I10867" s="380" t="s">
        <v>788</v>
      </c>
      <c r="J10867" s="380" t="s">
        <v>773</v>
      </c>
      <c r="K10867" s="381">
        <v>13592.0</v>
      </c>
      <c r="L10867" s="382">
        <v>1.0</v>
      </c>
    </row>
    <row r="10868">
      <c r="A10868" s="380" t="s">
        <v>11742</v>
      </c>
      <c r="B10868" s="380" t="str">
        <f>IFERROR(__xludf.DUMMYFUNCTION("""COMPUTED_VALUE"""),"Paral Esquinero Furgon Nkr-Nhr")</f>
        <v>Paral Esquinero Furgon Nkr-Nhr</v>
      </c>
      <c r="C10868" s="380" t="str">
        <f>IFERROR(__xludf.DUMMYFUNCTION("""COMPUTED_VALUE"""),"70006297")</f>
        <v>70006297</v>
      </c>
      <c r="D10868" s="380" t="s">
        <v>767</v>
      </c>
      <c r="E10868" s="380" t="s">
        <v>786</v>
      </c>
      <c r="F10868" s="380" t="s">
        <v>792</v>
      </c>
      <c r="G10868" s="380" t="s">
        <v>1267</v>
      </c>
      <c r="H10868" s="380" t="s">
        <v>771</v>
      </c>
      <c r="I10868" s="380" t="s">
        <v>788</v>
      </c>
      <c r="J10868" s="380" t="s">
        <v>773</v>
      </c>
      <c r="K10868" s="381">
        <v>0.0</v>
      </c>
      <c r="L10868" s="382">
        <v>1.0</v>
      </c>
    </row>
    <row r="10869">
      <c r="A10869" s="380" t="s">
        <v>11743</v>
      </c>
      <c r="B10869" s="380" t="str">
        <f>IFERROR(__xludf.DUMMYFUNCTION("""COMPUTED_VALUE"""),"Capo Renault 7751474717")</f>
        <v>Capo Renault 7751474717</v>
      </c>
      <c r="C10869" s="380" t="str">
        <f>IFERROR(__xludf.DUMMYFUNCTION("""COMPUTED_VALUE"""),"70006298")</f>
        <v>70006298</v>
      </c>
      <c r="D10869" s="380" t="s">
        <v>767</v>
      </c>
      <c r="E10869" s="380" t="s">
        <v>786</v>
      </c>
      <c r="F10869" s="380" t="s">
        <v>792</v>
      </c>
      <c r="G10869" s="380" t="s">
        <v>1267</v>
      </c>
      <c r="H10869" s="380" t="s">
        <v>771</v>
      </c>
      <c r="I10869" s="380" t="s">
        <v>788</v>
      </c>
      <c r="J10869" s="380" t="s">
        <v>773</v>
      </c>
      <c r="K10869" s="381">
        <v>0.0</v>
      </c>
      <c r="L10869" s="382">
        <v>1.0</v>
      </c>
    </row>
    <row r="10870">
      <c r="A10870" s="380" t="s">
        <v>11744</v>
      </c>
      <c r="B10870" s="380" t="str">
        <f>IFERROR(__xludf.DUMMYFUNCTION("""COMPUTED_VALUE"""),"Caucho Amortiguador Nkr Npr")</f>
        <v>Caucho Amortiguador Nkr Npr</v>
      </c>
      <c r="C10870" s="380" t="str">
        <f>IFERROR(__xludf.DUMMYFUNCTION("""COMPUTED_VALUE"""),"70006299")</f>
        <v>70006299</v>
      </c>
      <c r="D10870" s="380" t="s">
        <v>767</v>
      </c>
      <c r="E10870" s="380" t="s">
        <v>786</v>
      </c>
      <c r="F10870" s="380" t="s">
        <v>1039</v>
      </c>
      <c r="G10870" s="380" t="s">
        <v>1267</v>
      </c>
      <c r="H10870" s="380" t="s">
        <v>771</v>
      </c>
      <c r="I10870" s="380" t="s">
        <v>788</v>
      </c>
      <c r="J10870" s="380" t="s">
        <v>773</v>
      </c>
      <c r="K10870" s="381">
        <v>0.0</v>
      </c>
      <c r="L10870" s="382">
        <v>1.0</v>
      </c>
    </row>
    <row r="10871">
      <c r="A10871" s="380" t="s">
        <v>11745</v>
      </c>
      <c r="B10871" s="380" t="str">
        <f>IFERROR(__xludf.DUMMYFUNCTION("""COMPUTED_VALUE"""),"SENS Nivel Refrigerante EGL 2005190c1")</f>
        <v>SENS Nivel Refrigerante EGL 2005190c1</v>
      </c>
      <c r="C10871" s="380" t="str">
        <f>IFERROR(__xludf.DUMMYFUNCTION("""COMPUTED_VALUE"""),"70006300")</f>
        <v>70006300</v>
      </c>
      <c r="D10871" s="380" t="s">
        <v>767</v>
      </c>
      <c r="E10871" s="380" t="s">
        <v>786</v>
      </c>
      <c r="F10871" s="380" t="s">
        <v>998</v>
      </c>
      <c r="G10871" s="380" t="s">
        <v>1267</v>
      </c>
      <c r="H10871" s="380" t="s">
        <v>771</v>
      </c>
      <c r="I10871" s="380" t="s">
        <v>788</v>
      </c>
      <c r="J10871" s="380" t="s">
        <v>773</v>
      </c>
      <c r="K10871" s="381">
        <v>0.0</v>
      </c>
      <c r="L10871" s="382">
        <v>1.0</v>
      </c>
    </row>
    <row r="10872">
      <c r="A10872" s="380" t="s">
        <v>11746</v>
      </c>
      <c r="B10872" s="380" t="str">
        <f>IFERROR(__xludf.DUMMYFUNCTION("""COMPUTED_VALUE"""),"Estribo Izq Metalico Mod Viej 8978679691")</f>
        <v>Estribo Izq Metalico Mod Viej 8978679691</v>
      </c>
      <c r="C10872" s="380" t="str">
        <f>IFERROR(__xludf.DUMMYFUNCTION("""COMPUTED_VALUE"""),"70006301")</f>
        <v>70006301</v>
      </c>
      <c r="D10872" s="380" t="s">
        <v>767</v>
      </c>
      <c r="E10872" s="380" t="s">
        <v>786</v>
      </c>
      <c r="F10872" s="380" t="s">
        <v>792</v>
      </c>
      <c r="G10872" s="380" t="s">
        <v>1267</v>
      </c>
      <c r="H10872" s="380" t="s">
        <v>771</v>
      </c>
      <c r="I10872" s="380" t="s">
        <v>788</v>
      </c>
      <c r="J10872" s="380" t="s">
        <v>773</v>
      </c>
      <c r="K10872" s="381">
        <v>0.0</v>
      </c>
      <c r="L10872" s="382">
        <v>1.0</v>
      </c>
    </row>
    <row r="10873">
      <c r="A10873" s="380" t="s">
        <v>11747</v>
      </c>
      <c r="B10873" s="380" t="str">
        <f>IFERROR(__xludf.DUMMYFUNCTION("""COMPUTED_VALUE"""),"Chapa Puerta Izq Npr-Nhr 8978921981")</f>
        <v>Chapa Puerta Izq Npr-Nhr 8978921981</v>
      </c>
      <c r="C10873" s="380" t="str">
        <f>IFERROR(__xludf.DUMMYFUNCTION("""COMPUTED_VALUE"""),"70006302")</f>
        <v>70006302</v>
      </c>
      <c r="D10873" s="380" t="s">
        <v>767</v>
      </c>
      <c r="E10873" s="380" t="s">
        <v>786</v>
      </c>
      <c r="F10873" s="380" t="s">
        <v>792</v>
      </c>
      <c r="G10873" s="380" t="s">
        <v>1267</v>
      </c>
      <c r="H10873" s="380" t="s">
        <v>771</v>
      </c>
      <c r="I10873" s="380" t="s">
        <v>788</v>
      </c>
      <c r="J10873" s="380" t="s">
        <v>773</v>
      </c>
      <c r="K10873" s="381">
        <v>0.0</v>
      </c>
      <c r="L10873" s="382">
        <v>1.0</v>
      </c>
    </row>
    <row r="10874">
      <c r="A10874" s="380" t="s">
        <v>11748</v>
      </c>
      <c r="B10874" s="380" t="str">
        <f>IFERROR(__xludf.DUMMYFUNCTION("""COMPUTED_VALUE"""),"Bisagra Puerta Izq Npr-Nhr 8978520075")</f>
        <v>Bisagra Puerta Izq Npr-Nhr 8978520075</v>
      </c>
      <c r="C10874" s="380" t="str">
        <f>IFERROR(__xludf.DUMMYFUNCTION("""COMPUTED_VALUE"""),"70006303")</f>
        <v>70006303</v>
      </c>
      <c r="D10874" s="380" t="s">
        <v>767</v>
      </c>
      <c r="E10874" s="380" t="s">
        <v>786</v>
      </c>
      <c r="F10874" s="380" t="s">
        <v>792</v>
      </c>
      <c r="G10874" s="380" t="s">
        <v>1267</v>
      </c>
      <c r="H10874" s="380" t="s">
        <v>771</v>
      </c>
      <c r="I10874" s="380" t="s">
        <v>788</v>
      </c>
      <c r="J10874" s="380" t="s">
        <v>773</v>
      </c>
      <c r="K10874" s="381">
        <v>0.0</v>
      </c>
      <c r="L10874" s="382">
        <v>1.0</v>
      </c>
    </row>
    <row r="10875">
      <c r="A10875" s="380" t="s">
        <v>11749</v>
      </c>
      <c r="B10875" s="380" t="str">
        <f>IFERROR(__xludf.DUMMYFUNCTION("""COMPUTED_VALUE"""),"Amortiguador Del Kwt800 Mod 2005 85001")</f>
        <v>Amortiguador Del Kwt800 Mod 2005 85001</v>
      </c>
      <c r="C10875" s="380" t="str">
        <f>IFERROR(__xludf.DUMMYFUNCTION("""COMPUTED_VALUE"""),"70006304")</f>
        <v>70006304</v>
      </c>
      <c r="D10875" s="380" t="s">
        <v>767</v>
      </c>
      <c r="E10875" s="380" t="s">
        <v>786</v>
      </c>
      <c r="F10875" s="380" t="s">
        <v>1039</v>
      </c>
      <c r="G10875" s="380" t="s">
        <v>1267</v>
      </c>
      <c r="H10875" s="380" t="s">
        <v>771</v>
      </c>
      <c r="I10875" s="380" t="s">
        <v>788</v>
      </c>
      <c r="J10875" s="380" t="s">
        <v>773</v>
      </c>
      <c r="K10875" s="381">
        <v>237207.0</v>
      </c>
      <c r="L10875" s="382">
        <v>1.0</v>
      </c>
    </row>
    <row r="10876">
      <c r="A10876" s="380" t="s">
        <v>11750</v>
      </c>
      <c r="B10876" s="380" t="str">
        <f>IFERROR(__xludf.DUMMYFUNCTION("""COMPUTED_VALUE"""),"Triodo Alternador SBn14 33si 5270")</f>
        <v>Triodo Alternador SBn14 33si 5270</v>
      </c>
      <c r="C10876" s="380" t="str">
        <f>IFERROR(__xludf.DUMMYFUNCTION("""COMPUTED_VALUE"""),"70006305")</f>
        <v>70006305</v>
      </c>
      <c r="D10876" s="380" t="s">
        <v>767</v>
      </c>
      <c r="E10876" s="380" t="s">
        <v>786</v>
      </c>
      <c r="F10876" s="380" t="s">
        <v>998</v>
      </c>
      <c r="G10876" s="380" t="s">
        <v>1267</v>
      </c>
      <c r="H10876" s="380" t="s">
        <v>771</v>
      </c>
      <c r="I10876" s="380" t="s">
        <v>788</v>
      </c>
      <c r="J10876" s="380" t="s">
        <v>773</v>
      </c>
      <c r="K10876" s="381">
        <v>0.0</v>
      </c>
      <c r="L10876" s="382">
        <v>1.0</v>
      </c>
    </row>
    <row r="10877">
      <c r="A10877" s="380" t="s">
        <v>11751</v>
      </c>
      <c r="B10877" s="380" t="str">
        <f>IFERROR(__xludf.DUMMYFUNCTION("""COMPUTED_VALUE"""),"Tapa Deposito Hidraulico Sb N14")</f>
        <v>Tapa Deposito Hidraulico Sb N14</v>
      </c>
      <c r="C10877" s="380" t="str">
        <f>IFERROR(__xludf.DUMMYFUNCTION("""COMPUTED_VALUE"""),"70006306")</f>
        <v>70006306</v>
      </c>
      <c r="D10877" s="380" t="s">
        <v>767</v>
      </c>
      <c r="E10877" s="380" t="s">
        <v>786</v>
      </c>
      <c r="F10877" s="380" t="s">
        <v>1020</v>
      </c>
      <c r="G10877" s="380" t="s">
        <v>1267</v>
      </c>
      <c r="H10877" s="380" t="s">
        <v>771</v>
      </c>
      <c r="I10877" s="380" t="s">
        <v>788</v>
      </c>
      <c r="J10877" s="380" t="s">
        <v>773</v>
      </c>
      <c r="K10877" s="381">
        <v>0.0</v>
      </c>
      <c r="L10877" s="382">
        <v>1.0</v>
      </c>
    </row>
    <row r="10878">
      <c r="A10878" s="380" t="s">
        <v>11752</v>
      </c>
      <c r="B10878" s="380" t="str">
        <f>IFERROR(__xludf.DUMMYFUNCTION("""COMPUTED_VALUE"""),"Piñon DeSplazable Eagle N14 4302393")</f>
        <v>Piñon DeSplazable Eagle N14 4302393</v>
      </c>
      <c r="C10878" s="380" t="str">
        <f>IFERROR(__xludf.DUMMYFUNCTION("""COMPUTED_VALUE"""),"70006307")</f>
        <v>70006307</v>
      </c>
      <c r="D10878" s="380" t="s">
        <v>767</v>
      </c>
      <c r="E10878" s="380" t="s">
        <v>786</v>
      </c>
      <c r="F10878" s="380" t="s">
        <v>928</v>
      </c>
      <c r="G10878" s="380" t="s">
        <v>1267</v>
      </c>
      <c r="H10878" s="380" t="s">
        <v>771</v>
      </c>
      <c r="I10878" s="380" t="s">
        <v>788</v>
      </c>
      <c r="J10878" s="380" t="s">
        <v>773</v>
      </c>
      <c r="K10878" s="381">
        <v>0.0</v>
      </c>
      <c r="L10878" s="382">
        <v>1.0</v>
      </c>
    </row>
    <row r="10879">
      <c r="A10879" s="380" t="s">
        <v>11753</v>
      </c>
      <c r="B10879" s="380" t="str">
        <f>IFERROR(__xludf.DUMMYFUNCTION("""COMPUTED_VALUE"""),"Piñon 2da Eje DeSplazable EGL N1 4302394")</f>
        <v>Piñon 2da Eje DeSplazable EGL N1 4302394</v>
      </c>
      <c r="C10879" s="380" t="str">
        <f>IFERROR(__xludf.DUMMYFUNCTION("""COMPUTED_VALUE"""),"70006308")</f>
        <v>70006308</v>
      </c>
      <c r="D10879" s="380" t="s">
        <v>767</v>
      </c>
      <c r="E10879" s="380" t="s">
        <v>786</v>
      </c>
      <c r="F10879" s="380" t="s">
        <v>928</v>
      </c>
      <c r="G10879" s="380" t="s">
        <v>1267</v>
      </c>
      <c r="H10879" s="380" t="s">
        <v>771</v>
      </c>
      <c r="I10879" s="380" t="s">
        <v>788</v>
      </c>
      <c r="J10879" s="380" t="s">
        <v>773</v>
      </c>
      <c r="K10879" s="381">
        <v>0.0</v>
      </c>
      <c r="L10879" s="382">
        <v>1.0</v>
      </c>
    </row>
    <row r="10880">
      <c r="A10880" s="380" t="s">
        <v>11754</v>
      </c>
      <c r="B10880" s="380" t="str">
        <f>IFERROR(__xludf.DUMMYFUNCTION("""COMPUTED_VALUE"""),"Varilla CJ DeSplazable EGL N14 4304615")</f>
        <v>Varilla CJ DeSplazable EGL N14 4304615</v>
      </c>
      <c r="C10880" s="380" t="str">
        <f>IFERROR(__xludf.DUMMYFUNCTION("""COMPUTED_VALUE"""),"70006309")</f>
        <v>70006309</v>
      </c>
      <c r="D10880" s="380" t="s">
        <v>767</v>
      </c>
      <c r="E10880" s="380" t="s">
        <v>786</v>
      </c>
      <c r="F10880" s="380" t="s">
        <v>928</v>
      </c>
      <c r="G10880" s="380" t="s">
        <v>1267</v>
      </c>
      <c r="H10880" s="380" t="s">
        <v>771</v>
      </c>
      <c r="I10880" s="380" t="s">
        <v>788</v>
      </c>
      <c r="J10880" s="380" t="s">
        <v>773</v>
      </c>
      <c r="K10880" s="381">
        <v>0.0</v>
      </c>
      <c r="L10880" s="382">
        <v>1.0</v>
      </c>
    </row>
    <row r="10881">
      <c r="A10881" s="380" t="s">
        <v>11755</v>
      </c>
      <c r="B10881" s="380" t="str">
        <f>IFERROR(__xludf.DUMMYFUNCTION("""COMPUTED_VALUE"""),"Arandela Caja Eagle N14 Zbf4301842")</f>
        <v>Arandela Caja Eagle N14 Zbf4301842</v>
      </c>
      <c r="C10881" s="380" t="str">
        <f>IFERROR(__xludf.DUMMYFUNCTION("""COMPUTED_VALUE"""),"70006310")</f>
        <v>70006310</v>
      </c>
      <c r="D10881" s="380" t="s">
        <v>767</v>
      </c>
      <c r="E10881" s="380" t="s">
        <v>786</v>
      </c>
      <c r="F10881" s="380" t="s">
        <v>928</v>
      </c>
      <c r="G10881" s="380" t="s">
        <v>1267</v>
      </c>
      <c r="H10881" s="380" t="s">
        <v>771</v>
      </c>
      <c r="I10881" s="380" t="s">
        <v>788</v>
      </c>
      <c r="J10881" s="380" t="s">
        <v>773</v>
      </c>
      <c r="K10881" s="381">
        <v>0.0</v>
      </c>
      <c r="L10881" s="382">
        <v>1.0</v>
      </c>
    </row>
    <row r="10882">
      <c r="A10882" s="380" t="s">
        <v>11756</v>
      </c>
      <c r="B10882" s="380" t="str">
        <f>IFERROR(__xludf.DUMMYFUNCTION("""COMPUTED_VALUE"""),"Socket Farola Nhr-Npr")</f>
        <v>Socket Farola Nhr-Npr</v>
      </c>
      <c r="C10882" s="380" t="str">
        <f>IFERROR(__xludf.DUMMYFUNCTION("""COMPUTED_VALUE"""),"70006311")</f>
        <v>70006311</v>
      </c>
      <c r="D10882" s="380" t="s">
        <v>767</v>
      </c>
      <c r="E10882" s="380" t="s">
        <v>786</v>
      </c>
      <c r="F10882" s="380" t="s">
        <v>998</v>
      </c>
      <c r="G10882" s="380" t="s">
        <v>1267</v>
      </c>
      <c r="H10882" s="380" t="s">
        <v>771</v>
      </c>
      <c r="I10882" s="380" t="s">
        <v>788</v>
      </c>
      <c r="J10882" s="380" t="s">
        <v>773</v>
      </c>
      <c r="K10882" s="381">
        <v>0.0</v>
      </c>
      <c r="L10882" s="382">
        <v>1.0</v>
      </c>
    </row>
    <row r="10883">
      <c r="A10883" s="380" t="s">
        <v>11757</v>
      </c>
      <c r="B10883" s="380" t="str">
        <f>IFERROR(__xludf.DUMMYFUNCTION("""COMPUTED_VALUE"""),"Correa Alternador VENT Nhr-Nkr 22400")</f>
        <v>Correa Alternador VENT Nhr-Nkr 22400</v>
      </c>
      <c r="C10883" s="380" t="str">
        <f>IFERROR(__xludf.DUMMYFUNCTION("""COMPUTED_VALUE"""),"70006312")</f>
        <v>70006312</v>
      </c>
      <c r="D10883" s="380" t="s">
        <v>767</v>
      </c>
      <c r="E10883" s="380" t="s">
        <v>786</v>
      </c>
      <c r="F10883" s="380" t="s">
        <v>787</v>
      </c>
      <c r="G10883" s="380" t="s">
        <v>1267</v>
      </c>
      <c r="H10883" s="380" t="s">
        <v>771</v>
      </c>
      <c r="I10883" s="380" t="s">
        <v>788</v>
      </c>
      <c r="J10883" s="380" t="s">
        <v>773</v>
      </c>
      <c r="K10883" s="381">
        <v>37798.0</v>
      </c>
      <c r="L10883" s="382">
        <v>1.0</v>
      </c>
    </row>
    <row r="10884">
      <c r="A10884" s="380" t="s">
        <v>11758</v>
      </c>
      <c r="B10884" s="380" t="str">
        <f>IFERROR(__xludf.DUMMYFUNCTION("""COMPUTED_VALUE"""),"Rodillo Agujas Alternador Hi Tnd79")</f>
        <v>Rodillo Agujas Alternador Hi Tnd79</v>
      </c>
      <c r="C10884" s="380" t="str">
        <f>IFERROR(__xludf.DUMMYFUNCTION("""COMPUTED_VALUE"""),"70006313")</f>
        <v>70006313</v>
      </c>
      <c r="D10884" s="380" t="s">
        <v>767</v>
      </c>
      <c r="E10884" s="380" t="s">
        <v>786</v>
      </c>
      <c r="F10884" s="380" t="s">
        <v>998</v>
      </c>
      <c r="G10884" s="380" t="s">
        <v>1267</v>
      </c>
      <c r="H10884" s="380" t="s">
        <v>771</v>
      </c>
      <c r="I10884" s="380" t="s">
        <v>788</v>
      </c>
      <c r="J10884" s="380" t="s">
        <v>773</v>
      </c>
      <c r="K10884" s="381">
        <v>0.0</v>
      </c>
      <c r="L10884" s="382">
        <v>1.0</v>
      </c>
    </row>
    <row r="10885">
      <c r="A10885" s="380" t="s">
        <v>11759</v>
      </c>
      <c r="B10885" s="380" t="str">
        <f>IFERROR(__xludf.DUMMYFUNCTION("""COMPUTED_VALUE"""),"Control Direcal Npr 8972878900")</f>
        <v>Control Direcal Npr 8972878900</v>
      </c>
      <c r="C10885" s="380" t="str">
        <f>IFERROR(__xludf.DUMMYFUNCTION("""COMPUTED_VALUE"""),"70006314")</f>
        <v>70006314</v>
      </c>
      <c r="D10885" s="380" t="s">
        <v>767</v>
      </c>
      <c r="E10885" s="380" t="s">
        <v>786</v>
      </c>
      <c r="F10885" s="380" t="s">
        <v>998</v>
      </c>
      <c r="G10885" s="380" t="s">
        <v>1267</v>
      </c>
      <c r="H10885" s="380" t="s">
        <v>771</v>
      </c>
      <c r="I10885" s="380" t="s">
        <v>788</v>
      </c>
      <c r="J10885" s="380" t="s">
        <v>773</v>
      </c>
      <c r="K10885" s="381">
        <v>0.0</v>
      </c>
      <c r="L10885" s="382">
        <v>1.0</v>
      </c>
    </row>
    <row r="10886">
      <c r="A10886" s="380" t="s">
        <v>11760</v>
      </c>
      <c r="B10886" s="380" t="str">
        <f>IFERROR(__xludf.DUMMYFUNCTION("""COMPUTED_VALUE"""),"Filtro Combustible Volkswagen 9054115100")</f>
        <v>Filtro Combustible Volkswagen 9054115100</v>
      </c>
      <c r="C10886" s="380" t="str">
        <f>IFERROR(__xludf.DUMMYFUNCTION("""COMPUTED_VALUE"""),"70006315")</f>
        <v>70006315</v>
      </c>
      <c r="D10886" s="380" t="s">
        <v>767</v>
      </c>
      <c r="E10886" s="380" t="s">
        <v>786</v>
      </c>
      <c r="F10886" s="380" t="s">
        <v>5855</v>
      </c>
      <c r="G10886" s="380" t="s">
        <v>1267</v>
      </c>
      <c r="H10886" s="380" t="s">
        <v>771</v>
      </c>
      <c r="I10886" s="380" t="s">
        <v>788</v>
      </c>
      <c r="J10886" s="380" t="s">
        <v>773</v>
      </c>
      <c r="K10886" s="381">
        <v>0.0</v>
      </c>
      <c r="L10886" s="382">
        <v>1.0</v>
      </c>
    </row>
    <row r="10887">
      <c r="A10887" s="380" t="s">
        <v>11761</v>
      </c>
      <c r="B10887" s="380" t="str">
        <f>IFERROR(__xludf.DUMMYFUNCTION("""COMPUTED_VALUE"""),"Bloque Banda Reposicion 4515 Af600")</f>
        <v>Bloque Banda Reposicion 4515 Af600</v>
      </c>
      <c r="C10887" s="380" t="str">
        <f>IFERROR(__xludf.DUMMYFUNCTION("""COMPUTED_VALUE"""),"70006316")</f>
        <v>70006316</v>
      </c>
      <c r="D10887" s="380" t="s">
        <v>767</v>
      </c>
      <c r="E10887" s="380" t="s">
        <v>786</v>
      </c>
      <c r="F10887" s="380" t="s">
        <v>1017</v>
      </c>
      <c r="G10887" s="380" t="s">
        <v>1267</v>
      </c>
      <c r="H10887" s="380" t="s">
        <v>771</v>
      </c>
      <c r="I10887" s="380" t="s">
        <v>788</v>
      </c>
      <c r="J10887" s="380" t="s">
        <v>773</v>
      </c>
      <c r="K10887" s="381">
        <v>0.0</v>
      </c>
      <c r="L10887" s="382">
        <v>1.0</v>
      </c>
    </row>
    <row r="10888">
      <c r="A10888" s="380" t="s">
        <v>11762</v>
      </c>
      <c r="B10888" s="380" t="str">
        <f>IFERROR(__xludf.DUMMYFUNCTION("""COMPUTED_VALUE"""),"Tubo Aceite Bomba Vacio Npr 8972286700")</f>
        <v>Tubo Aceite Bomba Vacio Npr 8972286700</v>
      </c>
      <c r="C10888" s="380" t="str">
        <f>IFERROR(__xludf.DUMMYFUNCTION("""COMPUTED_VALUE"""),"70006317")</f>
        <v>70006317</v>
      </c>
      <c r="D10888" s="380" t="s">
        <v>767</v>
      </c>
      <c r="E10888" s="380" t="s">
        <v>786</v>
      </c>
      <c r="F10888" s="380" t="s">
        <v>787</v>
      </c>
      <c r="G10888" s="380" t="s">
        <v>1267</v>
      </c>
      <c r="H10888" s="380" t="s">
        <v>771</v>
      </c>
      <c r="I10888" s="380" t="s">
        <v>788</v>
      </c>
      <c r="J10888" s="380" t="s">
        <v>773</v>
      </c>
      <c r="K10888" s="381">
        <v>0.0</v>
      </c>
      <c r="L10888" s="382">
        <v>1.0</v>
      </c>
    </row>
    <row r="10889">
      <c r="A10889" s="380" t="s">
        <v>11763</v>
      </c>
      <c r="B10889" s="380" t="str">
        <f>IFERROR(__xludf.DUMMYFUNCTION("""COMPUTED_VALUE"""),"Retenedor Eje Cambios Akt200 744246")</f>
        <v>Retenedor Eje Cambios Akt200 744246</v>
      </c>
      <c r="C10889" s="380" t="str">
        <f>IFERROR(__xludf.DUMMYFUNCTION("""COMPUTED_VALUE"""),"70006318")</f>
        <v>70006318</v>
      </c>
      <c r="D10889" s="380" t="s">
        <v>767</v>
      </c>
      <c r="E10889" s="380" t="s">
        <v>786</v>
      </c>
      <c r="F10889" s="380" t="s">
        <v>787</v>
      </c>
      <c r="G10889" s="380" t="s">
        <v>1267</v>
      </c>
      <c r="H10889" s="380" t="s">
        <v>771</v>
      </c>
      <c r="I10889" s="380" t="s">
        <v>788</v>
      </c>
      <c r="J10889" s="380" t="s">
        <v>773</v>
      </c>
      <c r="K10889" s="381">
        <v>0.0</v>
      </c>
      <c r="L10889" s="382">
        <v>1.0</v>
      </c>
    </row>
    <row r="10890">
      <c r="A10890" s="380" t="s">
        <v>11764</v>
      </c>
      <c r="B10890" s="380" t="str">
        <f>IFERROR(__xludf.DUMMYFUNCTION("""COMPUTED_VALUE"""),"Piñon Salida Caja Moto Akt125 713149")</f>
        <v>Piñon Salida Caja Moto Akt125 713149</v>
      </c>
      <c r="C10890" s="380" t="str">
        <f>IFERROR(__xludf.DUMMYFUNCTION("""COMPUTED_VALUE"""),"70006319")</f>
        <v>70006319</v>
      </c>
      <c r="D10890" s="380" t="s">
        <v>767</v>
      </c>
      <c r="E10890" s="380" t="s">
        <v>786</v>
      </c>
      <c r="F10890" s="380" t="s">
        <v>928</v>
      </c>
      <c r="G10890" s="380" t="s">
        <v>1267</v>
      </c>
      <c r="H10890" s="380" t="s">
        <v>771</v>
      </c>
      <c r="I10890" s="380" t="s">
        <v>788</v>
      </c>
      <c r="J10890" s="380" t="s">
        <v>773</v>
      </c>
      <c r="K10890" s="381">
        <v>0.0</v>
      </c>
      <c r="L10890" s="382">
        <v>1.0</v>
      </c>
    </row>
    <row r="10891">
      <c r="A10891" s="380" t="s">
        <v>11765</v>
      </c>
      <c r="B10891" s="380" t="str">
        <f>IFERROR(__xludf.DUMMYFUNCTION("""COMPUTED_VALUE"""),"Termostato De Baja Npr 8973007891")</f>
        <v>Termostato De Baja Npr 8973007891</v>
      </c>
      <c r="C10891" s="380" t="str">
        <f>IFERROR(__xludf.DUMMYFUNCTION("""COMPUTED_VALUE"""),"70006320")</f>
        <v>70006320</v>
      </c>
      <c r="D10891" s="380" t="s">
        <v>767</v>
      </c>
      <c r="E10891" s="380" t="s">
        <v>786</v>
      </c>
      <c r="F10891" s="380" t="s">
        <v>787</v>
      </c>
      <c r="G10891" s="380" t="s">
        <v>1267</v>
      </c>
      <c r="H10891" s="380" t="s">
        <v>771</v>
      </c>
      <c r="I10891" s="380" t="s">
        <v>788</v>
      </c>
      <c r="J10891" s="380" t="s">
        <v>773</v>
      </c>
      <c r="K10891" s="381">
        <v>0.0</v>
      </c>
      <c r="L10891" s="382">
        <v>1.0</v>
      </c>
    </row>
    <row r="10892">
      <c r="A10892" s="380" t="s">
        <v>11766</v>
      </c>
      <c r="B10892" s="380" t="str">
        <f>IFERROR(__xludf.DUMMYFUNCTION("""COMPUTED_VALUE"""),"Termostato De Alta Motor Npr 8973007872")</f>
        <v>Termostato De Alta Motor Npr 8973007872</v>
      </c>
      <c r="C10892" s="380" t="str">
        <f>IFERROR(__xludf.DUMMYFUNCTION("""COMPUTED_VALUE"""),"70006321")</f>
        <v>70006321</v>
      </c>
      <c r="D10892" s="380" t="s">
        <v>767</v>
      </c>
      <c r="E10892" s="380" t="s">
        <v>786</v>
      </c>
      <c r="F10892" s="380" t="s">
        <v>787</v>
      </c>
      <c r="G10892" s="380" t="s">
        <v>1267</v>
      </c>
      <c r="H10892" s="380" t="s">
        <v>771</v>
      </c>
      <c r="I10892" s="380" t="s">
        <v>788</v>
      </c>
      <c r="J10892" s="380" t="s">
        <v>773</v>
      </c>
      <c r="K10892" s="381">
        <v>0.0</v>
      </c>
      <c r="L10892" s="382">
        <v>1.0</v>
      </c>
    </row>
    <row r="10893">
      <c r="A10893" s="380" t="s">
        <v>11767</v>
      </c>
      <c r="B10893" s="380" t="str">
        <f>IFERROR(__xludf.DUMMYFUNCTION("""COMPUTED_VALUE"""),"Hoja Resorte Del Nhr 22940/2")</f>
        <v>Hoja Resorte Del Nhr 22940/2</v>
      </c>
      <c r="C10893" s="380" t="str">
        <f>IFERROR(__xludf.DUMMYFUNCTION("""COMPUTED_VALUE"""),"70006322")</f>
        <v>70006322</v>
      </c>
      <c r="D10893" s="380" t="s">
        <v>767</v>
      </c>
      <c r="E10893" s="380" t="s">
        <v>786</v>
      </c>
      <c r="F10893" s="380" t="s">
        <v>1039</v>
      </c>
      <c r="G10893" s="380" t="s">
        <v>1267</v>
      </c>
      <c r="H10893" s="380" t="s">
        <v>771</v>
      </c>
      <c r="I10893" s="380" t="s">
        <v>788</v>
      </c>
      <c r="J10893" s="380" t="s">
        <v>773</v>
      </c>
      <c r="K10893" s="381">
        <v>0.0</v>
      </c>
      <c r="L10893" s="382">
        <v>1.0</v>
      </c>
    </row>
    <row r="10894">
      <c r="A10894" s="380" t="s">
        <v>11768</v>
      </c>
      <c r="B10894" s="380" t="str">
        <f>IFERROR(__xludf.DUMMYFUNCTION("""COMPUTED_VALUE"""),"Bombillo Gotera Ref 17919 2626189947")</f>
        <v>Bombillo Gotera Ref 17919 2626189947</v>
      </c>
      <c r="C10894" s="380" t="str">
        <f>IFERROR(__xludf.DUMMYFUNCTION("""COMPUTED_VALUE"""),"70006323")</f>
        <v>70006323</v>
      </c>
      <c r="D10894" s="380" t="s">
        <v>767</v>
      </c>
      <c r="E10894" s="380" t="s">
        <v>786</v>
      </c>
      <c r="F10894" s="380" t="s">
        <v>998</v>
      </c>
      <c r="G10894" s="380" t="s">
        <v>1267</v>
      </c>
      <c r="H10894" s="380" t="s">
        <v>771</v>
      </c>
      <c r="I10894" s="380" t="s">
        <v>788</v>
      </c>
      <c r="J10894" s="380" t="s">
        <v>773</v>
      </c>
      <c r="K10894" s="381">
        <v>13343.0</v>
      </c>
      <c r="L10894" s="382">
        <v>1.0</v>
      </c>
    </row>
    <row r="10895">
      <c r="A10895" s="380" t="s">
        <v>11769</v>
      </c>
      <c r="B10895" s="380" t="str">
        <f>IFERROR(__xludf.DUMMYFUNCTION("""COMPUTED_VALUE"""),"Kit De Tuercas Eje Trailer 79560")</f>
        <v>Kit De Tuercas Eje Trailer 79560</v>
      </c>
      <c r="C10895" s="380" t="str">
        <f>IFERROR(__xludf.DUMMYFUNCTION("""COMPUTED_VALUE"""),"70006324")</f>
        <v>70006324</v>
      </c>
      <c r="D10895" s="380" t="s">
        <v>767</v>
      </c>
      <c r="E10895" s="380" t="s">
        <v>786</v>
      </c>
      <c r="F10895" s="380" t="s">
        <v>1039</v>
      </c>
      <c r="G10895" s="380" t="s">
        <v>1267</v>
      </c>
      <c r="H10895" s="380" t="s">
        <v>771</v>
      </c>
      <c r="I10895" s="380" t="s">
        <v>788</v>
      </c>
      <c r="J10895" s="380" t="s">
        <v>773</v>
      </c>
      <c r="K10895" s="381">
        <v>0.0</v>
      </c>
      <c r="L10895" s="382">
        <v>1.0</v>
      </c>
    </row>
    <row r="10896">
      <c r="A10896" s="380" t="s">
        <v>11770</v>
      </c>
      <c r="B10896" s="380" t="str">
        <f>IFERROR(__xludf.DUMMYFUNCTION("""COMPUTED_VALUE"""),"Cilindro Freno Del Der Nkr 8970220290")</f>
        <v>Cilindro Freno Del Der Nkr 8970220290</v>
      </c>
      <c r="C10896" s="380" t="str">
        <f>IFERROR(__xludf.DUMMYFUNCTION("""COMPUTED_VALUE"""),"70006325")</f>
        <v>70006325</v>
      </c>
      <c r="D10896" s="380" t="s">
        <v>767</v>
      </c>
      <c r="E10896" s="380" t="s">
        <v>786</v>
      </c>
      <c r="F10896" s="380" t="s">
        <v>1017</v>
      </c>
      <c r="G10896" s="380" t="s">
        <v>1267</v>
      </c>
      <c r="H10896" s="380" t="s">
        <v>771</v>
      </c>
      <c r="I10896" s="380" t="s">
        <v>788</v>
      </c>
      <c r="J10896" s="380" t="s">
        <v>773</v>
      </c>
      <c r="K10896" s="381">
        <v>0.0</v>
      </c>
      <c r="L10896" s="382">
        <v>1.0</v>
      </c>
    </row>
    <row r="10897">
      <c r="A10897" s="380" t="s">
        <v>11771</v>
      </c>
      <c r="B10897" s="380" t="str">
        <f>IFERROR(__xludf.DUMMYFUNCTION("""COMPUTED_VALUE"""),"Cable Alambre # 14")</f>
        <v>Cable Alambre # 14</v>
      </c>
      <c r="C10897" s="380" t="str">
        <f>IFERROR(__xludf.DUMMYFUNCTION("""COMPUTED_VALUE"""),"70006326")</f>
        <v>70006326</v>
      </c>
      <c r="D10897" s="380" t="s">
        <v>767</v>
      </c>
      <c r="E10897" s="380" t="s">
        <v>786</v>
      </c>
      <c r="F10897" s="380" t="s">
        <v>998</v>
      </c>
      <c r="G10897" s="380" t="s">
        <v>1267</v>
      </c>
      <c r="H10897" s="380" t="s">
        <v>771</v>
      </c>
      <c r="I10897" s="380" t="s">
        <v>788</v>
      </c>
      <c r="J10897" s="380" t="s">
        <v>773</v>
      </c>
      <c r="K10897" s="381">
        <v>0.0</v>
      </c>
      <c r="L10897" s="382">
        <v>1.0</v>
      </c>
    </row>
    <row r="10898">
      <c r="A10898" s="380" t="s">
        <v>11772</v>
      </c>
      <c r="B10898" s="380" t="str">
        <f>IFERROR(__xludf.DUMMYFUNCTION("""COMPUTED_VALUE"""),"Recibidor Cinturon Seguridad Ref 009065")</f>
        <v>Recibidor Cinturon Seguridad Ref 009065</v>
      </c>
      <c r="C10898" s="380" t="str">
        <f>IFERROR(__xludf.DUMMYFUNCTION("""COMPUTED_VALUE"""),"70006327")</f>
        <v>70006327</v>
      </c>
      <c r="D10898" s="380" t="s">
        <v>767</v>
      </c>
      <c r="E10898" s="380" t="s">
        <v>786</v>
      </c>
      <c r="F10898" s="380" t="s">
        <v>792</v>
      </c>
      <c r="G10898" s="380" t="s">
        <v>1267</v>
      </c>
      <c r="H10898" s="380" t="s">
        <v>771</v>
      </c>
      <c r="I10898" s="380" t="s">
        <v>788</v>
      </c>
      <c r="J10898" s="380" t="s">
        <v>773</v>
      </c>
      <c r="K10898" s="381">
        <v>50000.0</v>
      </c>
      <c r="L10898" s="382">
        <v>1.0</v>
      </c>
    </row>
    <row r="10899">
      <c r="A10899" s="380" t="s">
        <v>11773</v>
      </c>
      <c r="B10899" s="380" t="str">
        <f>IFERROR(__xludf.DUMMYFUNCTION("""COMPUTED_VALUE"""),"Tornillo SOP Amortiguador KWh K233509")</f>
        <v>Tornillo SOP Amortiguador KWh K233509</v>
      </c>
      <c r="C10899" s="380" t="str">
        <f>IFERROR(__xludf.DUMMYFUNCTION("""COMPUTED_VALUE"""),"70006328")</f>
        <v>70006328</v>
      </c>
      <c r="D10899" s="380" t="s">
        <v>767</v>
      </c>
      <c r="E10899" s="380" t="s">
        <v>786</v>
      </c>
      <c r="F10899" s="380" t="s">
        <v>1039</v>
      </c>
      <c r="G10899" s="380" t="s">
        <v>1267</v>
      </c>
      <c r="H10899" s="380" t="s">
        <v>771</v>
      </c>
      <c r="I10899" s="380" t="s">
        <v>788</v>
      </c>
      <c r="J10899" s="380" t="s">
        <v>773</v>
      </c>
      <c r="K10899" s="381">
        <v>0.0</v>
      </c>
      <c r="L10899" s="382">
        <v>1.0</v>
      </c>
    </row>
    <row r="10900">
      <c r="A10900" s="380" t="s">
        <v>11774</v>
      </c>
      <c r="B10900" s="380" t="str">
        <f>IFERROR(__xludf.DUMMYFUNCTION("""COMPUTED_VALUE"""),"Chupa Chupa Cilindro Toyota Delta 1.1/4")</f>
        <v>Chupa Chupa Cilindro Toyota Delta 1.1/4</v>
      </c>
      <c r="C10900" s="380" t="str">
        <f>IFERROR(__xludf.DUMMYFUNCTION("""COMPUTED_VALUE"""),"70006329")</f>
        <v>70006329</v>
      </c>
      <c r="D10900" s="380" t="s">
        <v>767</v>
      </c>
      <c r="E10900" s="380" t="s">
        <v>786</v>
      </c>
      <c r="F10900" s="380" t="s">
        <v>1039</v>
      </c>
      <c r="G10900" s="380" t="s">
        <v>1267</v>
      </c>
      <c r="H10900" s="380" t="s">
        <v>771</v>
      </c>
      <c r="I10900" s="380" t="s">
        <v>788</v>
      </c>
      <c r="J10900" s="380" t="s">
        <v>773</v>
      </c>
      <c r="K10900" s="381">
        <v>10312.0</v>
      </c>
      <c r="L10900" s="382">
        <v>1.0</v>
      </c>
    </row>
    <row r="10901">
      <c r="A10901" s="380" t="s">
        <v>11775</v>
      </c>
      <c r="B10901" s="380" t="str">
        <f>IFERROR(__xludf.DUMMYFUNCTION("""COMPUTED_VALUE"""),"SOP Puente MOT Izq KW T800 A11-1367")</f>
        <v>SOP Puente MOT Izq KW T800 A11-1367</v>
      </c>
      <c r="C10901" s="380" t="str">
        <f>IFERROR(__xludf.DUMMYFUNCTION("""COMPUTED_VALUE"""),"70006330")</f>
        <v>70006330</v>
      </c>
      <c r="D10901" s="380" t="s">
        <v>767</v>
      </c>
      <c r="E10901" s="380" t="s">
        <v>786</v>
      </c>
      <c r="F10901" s="380" t="s">
        <v>792</v>
      </c>
      <c r="G10901" s="380" t="s">
        <v>1267</v>
      </c>
      <c r="H10901" s="380" t="s">
        <v>771</v>
      </c>
      <c r="I10901" s="380" t="s">
        <v>788</v>
      </c>
      <c r="J10901" s="380" t="s">
        <v>773</v>
      </c>
      <c r="K10901" s="381">
        <v>0.0</v>
      </c>
      <c r="L10901" s="382">
        <v>1.0</v>
      </c>
    </row>
    <row r="10902">
      <c r="A10902" s="380" t="s">
        <v>11776</v>
      </c>
      <c r="B10902" s="380" t="str">
        <f>IFERROR(__xludf.DUMMYFUNCTION("""COMPUTED_VALUE"""),"Correa Planta Electrica Cummins B5.9 Ref")</f>
        <v>Correa Planta Electrica Cummins B5.9 Ref</v>
      </c>
      <c r="C10902" s="380" t="str">
        <f>IFERROR(__xludf.DUMMYFUNCTION("""COMPUTED_VALUE"""),"70006331")</f>
        <v>70006331</v>
      </c>
      <c r="D10902" s="380" t="s">
        <v>767</v>
      </c>
      <c r="E10902" s="380" t="s">
        <v>786</v>
      </c>
      <c r="F10902" s="380" t="s">
        <v>787</v>
      </c>
      <c r="G10902" s="380" t="s">
        <v>1267</v>
      </c>
      <c r="H10902" s="380" t="s">
        <v>771</v>
      </c>
      <c r="I10902" s="380" t="s">
        <v>788</v>
      </c>
      <c r="J10902" s="380" t="s">
        <v>773</v>
      </c>
      <c r="K10902" s="381">
        <v>0.0</v>
      </c>
      <c r="L10902" s="382">
        <v>1.0</v>
      </c>
    </row>
    <row r="10903">
      <c r="A10903" s="380" t="s">
        <v>11777</v>
      </c>
      <c r="B10903" s="380" t="str">
        <f>IFERROR(__xludf.DUMMYFUNCTION("""COMPUTED_VALUE"""),"Selenoide BMB INY Agrale 1466500720")</f>
        <v>Selenoide BMB INY Agrale 1466500720</v>
      </c>
      <c r="C10903" s="380" t="str">
        <f>IFERROR(__xludf.DUMMYFUNCTION("""COMPUTED_VALUE"""),"70006332")</f>
        <v>70006332</v>
      </c>
      <c r="D10903" s="380" t="s">
        <v>767</v>
      </c>
      <c r="E10903" s="380" t="s">
        <v>786</v>
      </c>
      <c r="F10903" s="380" t="s">
        <v>787</v>
      </c>
      <c r="G10903" s="380" t="s">
        <v>1267</v>
      </c>
      <c r="H10903" s="380" t="s">
        <v>771</v>
      </c>
      <c r="I10903" s="380" t="s">
        <v>788</v>
      </c>
      <c r="J10903" s="380" t="s">
        <v>773</v>
      </c>
      <c r="K10903" s="381">
        <v>0.0</v>
      </c>
      <c r="L10903" s="382">
        <v>1.0</v>
      </c>
    </row>
    <row r="10904">
      <c r="A10904" s="380" t="s">
        <v>11778</v>
      </c>
      <c r="B10904" s="380" t="str">
        <f>IFERROR(__xludf.DUMMYFUNCTION("""COMPUTED_VALUE"""),"Stop Tras Izq S C Isuzu 3567085521")</f>
        <v>Stop Tras Izq S C Isuzu 3567085521</v>
      </c>
      <c r="C10904" s="380" t="str">
        <f>IFERROR(__xludf.DUMMYFUNCTION("""COMPUTED_VALUE"""),"70006333")</f>
        <v>70006333</v>
      </c>
      <c r="D10904" s="380" t="s">
        <v>767</v>
      </c>
      <c r="E10904" s="380" t="s">
        <v>786</v>
      </c>
      <c r="F10904" s="380" t="s">
        <v>998</v>
      </c>
      <c r="G10904" s="380" t="s">
        <v>1267</v>
      </c>
      <c r="H10904" s="380" t="s">
        <v>771</v>
      </c>
      <c r="I10904" s="380" t="s">
        <v>788</v>
      </c>
      <c r="J10904" s="380" t="s">
        <v>773</v>
      </c>
      <c r="K10904" s="381">
        <v>0.0</v>
      </c>
      <c r="L10904" s="382">
        <v>1.0</v>
      </c>
    </row>
    <row r="10905">
      <c r="A10905" s="380" t="s">
        <v>11779</v>
      </c>
      <c r="B10905" s="380" t="str">
        <f>IFERROR(__xludf.DUMMYFUNCTION("""COMPUTED_VALUE"""),"Correa Compresor Lubric Good Year A062gy")</f>
        <v>Correa Compresor Lubric Good Year A062gy</v>
      </c>
      <c r="C10905" s="380" t="str">
        <f>IFERROR(__xludf.DUMMYFUNCTION("""COMPUTED_VALUE"""),"70006334")</f>
        <v>70006334</v>
      </c>
      <c r="D10905" s="380" t="s">
        <v>767</v>
      </c>
      <c r="E10905" s="380" t="s">
        <v>786</v>
      </c>
      <c r="F10905" s="380" t="s">
        <v>787</v>
      </c>
      <c r="G10905" s="380" t="s">
        <v>1267</v>
      </c>
      <c r="H10905" s="380" t="s">
        <v>771</v>
      </c>
      <c r="I10905" s="380" t="s">
        <v>788</v>
      </c>
      <c r="J10905" s="380" t="s">
        <v>773</v>
      </c>
      <c r="K10905" s="381">
        <v>91460.0</v>
      </c>
      <c r="L10905" s="382">
        <v>1.0</v>
      </c>
    </row>
    <row r="10906">
      <c r="A10906" s="380" t="s">
        <v>11780</v>
      </c>
      <c r="B10906" s="380" t="str">
        <f>IFERROR(__xludf.DUMMYFUNCTION("""COMPUTED_VALUE"""),"Bajo AIR Der Diferencia SB- Spicer 73507")</f>
        <v>Bajo AIR Der Diferencia SB- Spicer 73507</v>
      </c>
      <c r="C10906" s="380" t="str">
        <f>IFERROR(__xludf.DUMMYFUNCTION("""COMPUTED_VALUE"""),"70006335")</f>
        <v>70006335</v>
      </c>
      <c r="D10906" s="380" t="s">
        <v>767</v>
      </c>
      <c r="E10906" s="380" t="s">
        <v>786</v>
      </c>
      <c r="F10906" s="380" t="s">
        <v>5683</v>
      </c>
      <c r="G10906" s="380" t="s">
        <v>1267</v>
      </c>
      <c r="H10906" s="380" t="s">
        <v>771</v>
      </c>
      <c r="I10906" s="380" t="s">
        <v>788</v>
      </c>
      <c r="J10906" s="380" t="s">
        <v>773</v>
      </c>
      <c r="K10906" s="381">
        <v>0.0</v>
      </c>
      <c r="L10906" s="382">
        <v>1.0</v>
      </c>
    </row>
    <row r="10907">
      <c r="A10907" s="380" t="s">
        <v>11781</v>
      </c>
      <c r="B10907" s="380" t="str">
        <f>IFERROR(__xludf.DUMMYFUNCTION("""COMPUTED_VALUE"""),"Parabrisas Laminado T800 KWh")</f>
        <v>Parabrisas Laminado T800 KWh</v>
      </c>
      <c r="C10907" s="380" t="str">
        <f>IFERROR(__xludf.DUMMYFUNCTION("""COMPUTED_VALUE"""),"70006336")</f>
        <v>70006336</v>
      </c>
      <c r="D10907" s="380" t="s">
        <v>767</v>
      </c>
      <c r="E10907" s="380" t="s">
        <v>786</v>
      </c>
      <c r="F10907" s="380" t="s">
        <v>792</v>
      </c>
      <c r="G10907" s="380" t="s">
        <v>1267</v>
      </c>
      <c r="H10907" s="380" t="s">
        <v>771</v>
      </c>
      <c r="I10907" s="380" t="s">
        <v>788</v>
      </c>
      <c r="J10907" s="380" t="s">
        <v>773</v>
      </c>
      <c r="K10907" s="381">
        <v>0.0</v>
      </c>
      <c r="L10907" s="382">
        <v>1.0</v>
      </c>
    </row>
    <row r="10908">
      <c r="A10908" s="380" t="s">
        <v>11782</v>
      </c>
      <c r="B10908" s="380" t="str">
        <f>IFERROR(__xludf.DUMMYFUNCTION("""COMPUTED_VALUE"""),"Buje Muelle Tras Del S C 931912032")</f>
        <v>Buje Muelle Tras Del S C 931912032</v>
      </c>
      <c r="C10908" s="380" t="str">
        <f>IFERROR(__xludf.DUMMYFUNCTION("""COMPUTED_VALUE"""),"70006337")</f>
        <v>70006337</v>
      </c>
      <c r="D10908" s="380" t="s">
        <v>767</v>
      </c>
      <c r="E10908" s="380" t="s">
        <v>786</v>
      </c>
      <c r="F10908" s="380" t="s">
        <v>1039</v>
      </c>
      <c r="G10908" s="380" t="s">
        <v>1267</v>
      </c>
      <c r="H10908" s="380" t="s">
        <v>771</v>
      </c>
      <c r="I10908" s="380" t="s">
        <v>788</v>
      </c>
      <c r="J10908" s="380" t="s">
        <v>773</v>
      </c>
      <c r="K10908" s="381">
        <v>12000.0</v>
      </c>
      <c r="L10908" s="382">
        <v>1.0</v>
      </c>
    </row>
    <row r="10909">
      <c r="A10909" s="380" t="s">
        <v>11783</v>
      </c>
      <c r="B10909" s="380" t="str">
        <f>IFERROR(__xludf.DUMMYFUNCTION("""COMPUTED_VALUE"""),"Hoja Resorte Tras Eagle 4ta 59007/4")</f>
        <v>Hoja Resorte Tras Eagle 4ta 59007/4</v>
      </c>
      <c r="C10909" s="380" t="str">
        <f>IFERROR(__xludf.DUMMYFUNCTION("""COMPUTED_VALUE"""),"70006338")</f>
        <v>70006338</v>
      </c>
      <c r="D10909" s="380" t="s">
        <v>767</v>
      </c>
      <c r="E10909" s="380" t="s">
        <v>786</v>
      </c>
      <c r="F10909" s="380" t="s">
        <v>1039</v>
      </c>
      <c r="G10909" s="380" t="s">
        <v>1267</v>
      </c>
      <c r="H10909" s="380" t="s">
        <v>771</v>
      </c>
      <c r="I10909" s="380" t="s">
        <v>788</v>
      </c>
      <c r="J10909" s="380" t="s">
        <v>773</v>
      </c>
      <c r="K10909" s="381">
        <v>0.0</v>
      </c>
      <c r="L10909" s="382">
        <v>1.0</v>
      </c>
    </row>
    <row r="10910">
      <c r="A10910" s="380" t="s">
        <v>11784</v>
      </c>
      <c r="B10910" s="380" t="str">
        <f>IFERROR(__xludf.DUMMYFUNCTION("""COMPUTED_VALUE"""),"Bomba Agua De Super Carry 1740078821")</f>
        <v>Bomba Agua De Super Carry 1740078821</v>
      </c>
      <c r="C10910" s="380" t="str">
        <f>IFERROR(__xludf.DUMMYFUNCTION("""COMPUTED_VALUE"""),"70006339")</f>
        <v>70006339</v>
      </c>
      <c r="D10910" s="380" t="s">
        <v>767</v>
      </c>
      <c r="E10910" s="380" t="s">
        <v>786</v>
      </c>
      <c r="F10910" s="380" t="s">
        <v>787</v>
      </c>
      <c r="G10910" s="380" t="s">
        <v>1267</v>
      </c>
      <c r="H10910" s="380" t="s">
        <v>771</v>
      </c>
      <c r="I10910" s="380" t="s">
        <v>788</v>
      </c>
      <c r="J10910" s="380" t="s">
        <v>773</v>
      </c>
      <c r="K10910" s="381">
        <v>0.0</v>
      </c>
      <c r="L10910" s="382">
        <v>1.0</v>
      </c>
    </row>
    <row r="10911">
      <c r="A10911" s="380" t="s">
        <v>11785</v>
      </c>
      <c r="B10911" s="380" t="str">
        <f>IFERROR(__xludf.DUMMYFUNCTION("""COMPUTED_VALUE"""),"Bujia Motor S Carry 9482001310")</f>
        <v>Bujia Motor S Carry 9482001310</v>
      </c>
      <c r="C10911" s="380" t="str">
        <f>IFERROR(__xludf.DUMMYFUNCTION("""COMPUTED_VALUE"""),"70006340")</f>
        <v>70006340</v>
      </c>
      <c r="D10911" s="380" t="s">
        <v>767</v>
      </c>
      <c r="E10911" s="380" t="s">
        <v>786</v>
      </c>
      <c r="F10911" s="380" t="s">
        <v>787</v>
      </c>
      <c r="G10911" s="380" t="s">
        <v>1267</v>
      </c>
      <c r="H10911" s="380" t="s">
        <v>771</v>
      </c>
      <c r="I10911" s="380" t="s">
        <v>788</v>
      </c>
      <c r="J10911" s="380" t="s">
        <v>773</v>
      </c>
      <c r="K10911" s="381">
        <v>0.0</v>
      </c>
      <c r="L10911" s="382">
        <v>1.0</v>
      </c>
    </row>
    <row r="10912">
      <c r="A10912" s="380" t="s">
        <v>11786</v>
      </c>
      <c r="B10912" s="380" t="str">
        <f>IFERROR(__xludf.DUMMYFUNCTION("""COMPUTED_VALUE"""),"Vidrio Vidrio Puerta Der. Izq. S.Carrry")</f>
        <v>Vidrio Vidrio Puerta Der. Izq. S.Carrry</v>
      </c>
      <c r="C10912" s="380" t="str">
        <f>IFERROR(__xludf.DUMMYFUNCTION("""COMPUTED_VALUE"""),"70006341")</f>
        <v>70006341</v>
      </c>
      <c r="D10912" s="380" t="s">
        <v>767</v>
      </c>
      <c r="E10912" s="380" t="s">
        <v>786</v>
      </c>
      <c r="F10912" s="380" t="s">
        <v>792</v>
      </c>
      <c r="G10912" s="380" t="s">
        <v>1267</v>
      </c>
      <c r="H10912" s="380" t="s">
        <v>771</v>
      </c>
      <c r="I10912" s="380" t="s">
        <v>788</v>
      </c>
      <c r="J10912" s="380" t="s">
        <v>773</v>
      </c>
      <c r="K10912" s="381">
        <v>0.0</v>
      </c>
      <c r="L10912" s="382">
        <v>1.0</v>
      </c>
    </row>
    <row r="10913">
      <c r="A10913" s="380" t="s">
        <v>11787</v>
      </c>
      <c r="B10913" s="380" t="str">
        <f>IFERROR(__xludf.DUMMYFUNCTION("""COMPUTED_VALUE"""),"Cable Bateria # 4 En Metros #4")</f>
        <v>Cable Bateria # 4 En Metros #4</v>
      </c>
      <c r="C10913" s="380" t="str">
        <f>IFERROR(__xludf.DUMMYFUNCTION("""COMPUTED_VALUE"""),"70006342")</f>
        <v>70006342</v>
      </c>
      <c r="D10913" s="380" t="s">
        <v>767</v>
      </c>
      <c r="E10913" s="380" t="s">
        <v>786</v>
      </c>
      <c r="F10913" s="380" t="s">
        <v>998</v>
      </c>
      <c r="G10913" s="380" t="s">
        <v>1267</v>
      </c>
      <c r="H10913" s="380" t="s">
        <v>771</v>
      </c>
      <c r="I10913" s="380" t="s">
        <v>788</v>
      </c>
      <c r="J10913" s="380" t="s">
        <v>773</v>
      </c>
      <c r="K10913" s="381">
        <v>0.0</v>
      </c>
      <c r="L10913" s="382">
        <v>1.0</v>
      </c>
    </row>
    <row r="10914">
      <c r="A10914" s="380" t="s">
        <v>11788</v>
      </c>
      <c r="B10914" s="380" t="str">
        <f>IFERROR(__xludf.DUMMYFUNCTION("""COMPUTED_VALUE"""),"Cinturon Tanque Combustible K23140413")</f>
        <v>Cinturon Tanque Combustible K23140413</v>
      </c>
      <c r="C10914" s="380" t="str">
        <f>IFERROR(__xludf.DUMMYFUNCTION("""COMPUTED_VALUE"""),"70006343")</f>
        <v>70006343</v>
      </c>
      <c r="D10914" s="380" t="s">
        <v>767</v>
      </c>
      <c r="E10914" s="380" t="s">
        <v>786</v>
      </c>
      <c r="F10914" s="380" t="s">
        <v>792</v>
      </c>
      <c r="G10914" s="380" t="s">
        <v>1267</v>
      </c>
      <c r="H10914" s="380" t="s">
        <v>771</v>
      </c>
      <c r="I10914" s="380" t="s">
        <v>788</v>
      </c>
      <c r="J10914" s="380" t="s">
        <v>773</v>
      </c>
      <c r="K10914" s="381">
        <v>0.0</v>
      </c>
      <c r="L10914" s="382">
        <v>1.0</v>
      </c>
    </row>
    <row r="10915">
      <c r="A10915" s="380" t="s">
        <v>11789</v>
      </c>
      <c r="B10915" s="380" t="str">
        <f>IFERROR(__xludf.DUMMYFUNCTION("""COMPUTED_VALUE"""),"Silenciador Del Exosto KW M10196")</f>
        <v>Silenciador Del Exosto KW M10196</v>
      </c>
      <c r="C10915" s="380" t="str">
        <f>IFERROR(__xludf.DUMMYFUNCTION("""COMPUTED_VALUE"""),"70006344")</f>
        <v>70006344</v>
      </c>
      <c r="D10915" s="380" t="s">
        <v>767</v>
      </c>
      <c r="E10915" s="380" t="s">
        <v>786</v>
      </c>
      <c r="F10915" s="380" t="s">
        <v>792</v>
      </c>
      <c r="G10915" s="380" t="s">
        <v>1267</v>
      </c>
      <c r="H10915" s="380" t="s">
        <v>771</v>
      </c>
      <c r="I10915" s="380" t="s">
        <v>788</v>
      </c>
      <c r="J10915" s="380" t="s">
        <v>773</v>
      </c>
      <c r="K10915" s="381">
        <v>0.0</v>
      </c>
      <c r="L10915" s="382">
        <v>1.0</v>
      </c>
    </row>
    <row r="10916">
      <c r="A10916" s="380" t="s">
        <v>11790</v>
      </c>
      <c r="B10916" s="380" t="str">
        <f>IFERROR(__xludf.DUMMYFUNCTION("""COMPUTED_VALUE"""),"Cable Conector Luces 7 Vias V-15212")</f>
        <v>Cable Conector Luces 7 Vias V-15212</v>
      </c>
      <c r="C10916" s="380" t="str">
        <f>IFERROR(__xludf.DUMMYFUNCTION("""COMPUTED_VALUE"""),"70006345")</f>
        <v>70006345</v>
      </c>
      <c r="D10916" s="380" t="s">
        <v>767</v>
      </c>
      <c r="E10916" s="380" t="s">
        <v>786</v>
      </c>
      <c r="F10916" s="380" t="s">
        <v>998</v>
      </c>
      <c r="G10916" s="380" t="s">
        <v>1267</v>
      </c>
      <c r="H10916" s="380" t="s">
        <v>771</v>
      </c>
      <c r="I10916" s="380" t="s">
        <v>788</v>
      </c>
      <c r="J10916" s="380" t="s">
        <v>773</v>
      </c>
      <c r="K10916" s="381">
        <v>0.0</v>
      </c>
      <c r="L10916" s="382">
        <v>1.0</v>
      </c>
    </row>
    <row r="10917">
      <c r="A10917" s="380" t="s">
        <v>11791</v>
      </c>
      <c r="B10917" s="380" t="str">
        <f>IFERROR(__xludf.DUMMYFUNCTION("""COMPUTED_VALUE"""),"Guaya Clucht Moto Akt 125 H22870kbb9")</f>
        <v>Guaya Clucht Moto Akt 125 H22870kbb9</v>
      </c>
      <c r="C10917" s="380" t="str">
        <f>IFERROR(__xludf.DUMMYFUNCTION("""COMPUTED_VALUE"""),"70006346")</f>
        <v>70006346</v>
      </c>
      <c r="D10917" s="380" t="s">
        <v>767</v>
      </c>
      <c r="E10917" s="380" t="s">
        <v>786</v>
      </c>
      <c r="F10917" s="380" t="s">
        <v>5661</v>
      </c>
      <c r="G10917" s="380" t="s">
        <v>1267</v>
      </c>
      <c r="H10917" s="380" t="s">
        <v>771</v>
      </c>
      <c r="I10917" s="380" t="s">
        <v>788</v>
      </c>
      <c r="J10917" s="380" t="s">
        <v>773</v>
      </c>
      <c r="K10917" s="381">
        <v>0.0</v>
      </c>
      <c r="L10917" s="382">
        <v>1.0</v>
      </c>
    </row>
    <row r="10918">
      <c r="A10918" s="380" t="s">
        <v>11792</v>
      </c>
      <c r="B10918" s="380" t="str">
        <f>IFERROR(__xludf.DUMMYFUNCTION("""COMPUTED_VALUE"""),"Balinera Sello Metalico 6300zz")</f>
        <v>Balinera Sello Metalico 6300zz</v>
      </c>
      <c r="C10918" s="380" t="str">
        <f>IFERROR(__xludf.DUMMYFUNCTION("""COMPUTED_VALUE"""),"70006348")</f>
        <v>70006348</v>
      </c>
      <c r="D10918" s="380" t="s">
        <v>767</v>
      </c>
      <c r="E10918" s="380" t="s">
        <v>786</v>
      </c>
      <c r="F10918" s="380" t="s">
        <v>787</v>
      </c>
      <c r="G10918" s="380" t="s">
        <v>1267</v>
      </c>
      <c r="H10918" s="380" t="s">
        <v>771</v>
      </c>
      <c r="I10918" s="380" t="s">
        <v>788</v>
      </c>
      <c r="J10918" s="380" t="s">
        <v>773</v>
      </c>
      <c r="K10918" s="381">
        <v>27451.0</v>
      </c>
      <c r="L10918" s="382">
        <v>1.0</v>
      </c>
    </row>
    <row r="10919">
      <c r="A10919" s="380" t="s">
        <v>11793</v>
      </c>
      <c r="B10919" s="380" t="str">
        <f>IFERROR(__xludf.DUMMYFUNCTION("""COMPUTED_VALUE"""),"Balinera Arranque 6200 Zz 6200zz")</f>
        <v>Balinera Arranque 6200 Zz 6200zz</v>
      </c>
      <c r="C10919" s="380" t="str">
        <f>IFERROR(__xludf.DUMMYFUNCTION("""COMPUTED_VALUE"""),"70006349")</f>
        <v>70006349</v>
      </c>
      <c r="D10919" s="380" t="s">
        <v>767</v>
      </c>
      <c r="E10919" s="380" t="s">
        <v>786</v>
      </c>
      <c r="F10919" s="380" t="s">
        <v>787</v>
      </c>
      <c r="G10919" s="380" t="s">
        <v>1267</v>
      </c>
      <c r="H10919" s="380" t="s">
        <v>771</v>
      </c>
      <c r="I10919" s="380" t="s">
        <v>788</v>
      </c>
      <c r="J10919" s="380" t="s">
        <v>773</v>
      </c>
      <c r="K10919" s="381">
        <v>0.0</v>
      </c>
      <c r="L10919" s="382">
        <v>1.0</v>
      </c>
    </row>
    <row r="10920">
      <c r="A10920" s="380" t="s">
        <v>11794</v>
      </c>
      <c r="B10920" s="380" t="str">
        <f>IFERROR(__xludf.DUMMYFUNCTION("""COMPUTED_VALUE"""),"Zapa Tensor Trailer")</f>
        <v>Zapa Tensor Trailer</v>
      </c>
      <c r="C10920" s="380" t="str">
        <f>IFERROR(__xludf.DUMMYFUNCTION("""COMPUTED_VALUE"""),"70006350")</f>
        <v>70006350</v>
      </c>
      <c r="D10920" s="380" t="s">
        <v>767</v>
      </c>
      <c r="E10920" s="380" t="s">
        <v>786</v>
      </c>
      <c r="F10920" s="380" t="s">
        <v>1039</v>
      </c>
      <c r="G10920" s="380" t="s">
        <v>1267</v>
      </c>
      <c r="H10920" s="380" t="s">
        <v>771</v>
      </c>
      <c r="I10920" s="380" t="s">
        <v>788</v>
      </c>
      <c r="J10920" s="380" t="s">
        <v>773</v>
      </c>
      <c r="K10920" s="381">
        <v>0.0</v>
      </c>
      <c r="L10920" s="382">
        <v>1.0</v>
      </c>
    </row>
    <row r="10921">
      <c r="A10921" s="380" t="s">
        <v>11795</v>
      </c>
      <c r="B10921" s="380" t="str">
        <f>IFERROR(__xludf.DUMMYFUNCTION("""COMPUTED_VALUE"""),"Empaque Tapa Sup Caja SB N14 14918")</f>
        <v>Empaque Tapa Sup Caja SB N14 14918</v>
      </c>
      <c r="C10921" s="380" t="str">
        <f>IFERROR(__xludf.DUMMYFUNCTION("""COMPUTED_VALUE"""),"70006351")</f>
        <v>70006351</v>
      </c>
      <c r="D10921" s="380" t="s">
        <v>767</v>
      </c>
      <c r="E10921" s="380" t="s">
        <v>786</v>
      </c>
      <c r="F10921" s="380" t="s">
        <v>928</v>
      </c>
      <c r="G10921" s="380" t="s">
        <v>1267</v>
      </c>
      <c r="H10921" s="380" t="s">
        <v>771</v>
      </c>
      <c r="I10921" s="380" t="s">
        <v>788</v>
      </c>
      <c r="J10921" s="380" t="s">
        <v>773</v>
      </c>
      <c r="K10921" s="381">
        <v>0.0</v>
      </c>
      <c r="L10921" s="382">
        <v>1.0</v>
      </c>
    </row>
    <row r="10922">
      <c r="A10922" s="380" t="s">
        <v>11796</v>
      </c>
      <c r="B10922" s="380" t="str">
        <f>IFERROR(__xludf.DUMMYFUNCTION("""COMPUTED_VALUE"""),"Anillo Piston Npr 8972190540")</f>
        <v>Anillo Piston Npr 8972190540</v>
      </c>
      <c r="C10922" s="380" t="str">
        <f>IFERROR(__xludf.DUMMYFUNCTION("""COMPUTED_VALUE"""),"70006352")</f>
        <v>70006352</v>
      </c>
      <c r="D10922" s="380" t="s">
        <v>767</v>
      </c>
      <c r="E10922" s="380" t="s">
        <v>786</v>
      </c>
      <c r="F10922" s="380" t="s">
        <v>787</v>
      </c>
      <c r="G10922" s="380" t="s">
        <v>1267</v>
      </c>
      <c r="H10922" s="380" t="s">
        <v>771</v>
      </c>
      <c r="I10922" s="380" t="s">
        <v>788</v>
      </c>
      <c r="J10922" s="380" t="s">
        <v>773</v>
      </c>
      <c r="K10922" s="381">
        <v>0.0</v>
      </c>
      <c r="L10922" s="382">
        <v>1.0</v>
      </c>
    </row>
    <row r="10923">
      <c r="A10923" s="380" t="s">
        <v>11797</v>
      </c>
      <c r="B10923" s="380" t="str">
        <f>IFERROR(__xludf.DUMMYFUNCTION("""COMPUTED_VALUE"""),"Piston Motor Npr 8972190320")</f>
        <v>Piston Motor Npr 8972190320</v>
      </c>
      <c r="C10923" s="380" t="str">
        <f>IFERROR(__xludf.DUMMYFUNCTION("""COMPUTED_VALUE"""),"70006353")</f>
        <v>70006353</v>
      </c>
      <c r="D10923" s="380" t="s">
        <v>767</v>
      </c>
      <c r="E10923" s="380" t="s">
        <v>786</v>
      </c>
      <c r="F10923" s="380" t="s">
        <v>787</v>
      </c>
      <c r="G10923" s="380" t="s">
        <v>1267</v>
      </c>
      <c r="H10923" s="380" t="s">
        <v>771</v>
      </c>
      <c r="I10923" s="380" t="s">
        <v>788</v>
      </c>
      <c r="J10923" s="380" t="s">
        <v>773</v>
      </c>
      <c r="K10923" s="381">
        <v>0.0</v>
      </c>
      <c r="L10923" s="382">
        <v>1.0</v>
      </c>
    </row>
    <row r="10924">
      <c r="A10924" s="380" t="s">
        <v>11798</v>
      </c>
      <c r="B10924" s="380" t="str">
        <f>IFERROR(__xludf.DUMMYFUNCTION("""COMPUTED_VALUE"""),"Guardapolvo Palanca Cambios Nhr")</f>
        <v>Guardapolvo Palanca Cambios Nhr</v>
      </c>
      <c r="C10924" s="380" t="str">
        <f>IFERROR(__xludf.DUMMYFUNCTION("""COMPUTED_VALUE"""),"70006354")</f>
        <v>70006354</v>
      </c>
      <c r="D10924" s="380" t="s">
        <v>767</v>
      </c>
      <c r="E10924" s="380" t="s">
        <v>786</v>
      </c>
      <c r="F10924" s="380" t="s">
        <v>928</v>
      </c>
      <c r="G10924" s="380" t="s">
        <v>1267</v>
      </c>
      <c r="H10924" s="380" t="s">
        <v>771</v>
      </c>
      <c r="I10924" s="380" t="s">
        <v>788</v>
      </c>
      <c r="J10924" s="380" t="s">
        <v>773</v>
      </c>
      <c r="K10924" s="381">
        <v>0.0</v>
      </c>
      <c r="L10924" s="382">
        <v>1.0</v>
      </c>
    </row>
    <row r="10925">
      <c r="A10925" s="380" t="s">
        <v>11799</v>
      </c>
      <c r="B10925" s="380" t="str">
        <f>IFERROR(__xludf.DUMMYFUNCTION("""COMPUTED_VALUE"""),"Juego Casquetes Biela Npr Ama 8970458000")</f>
        <v>Juego Casquetes Biela Npr Ama 8970458000</v>
      </c>
      <c r="C10925" s="380" t="str">
        <f>IFERROR(__xludf.DUMMYFUNCTION("""COMPUTED_VALUE"""),"70006355")</f>
        <v>70006355</v>
      </c>
      <c r="D10925" s="380" t="s">
        <v>767</v>
      </c>
      <c r="E10925" s="380" t="s">
        <v>786</v>
      </c>
      <c r="F10925" s="380" t="s">
        <v>787</v>
      </c>
      <c r="G10925" s="380" t="s">
        <v>1267</v>
      </c>
      <c r="H10925" s="380" t="s">
        <v>771</v>
      </c>
      <c r="I10925" s="380" t="s">
        <v>788</v>
      </c>
      <c r="J10925" s="380" t="s">
        <v>773</v>
      </c>
      <c r="K10925" s="381">
        <v>0.0</v>
      </c>
      <c r="L10925" s="382">
        <v>1.0</v>
      </c>
    </row>
    <row r="10926">
      <c r="A10926" s="380" t="s">
        <v>11800</v>
      </c>
      <c r="B10926" s="380" t="str">
        <f>IFERROR(__xludf.DUMMYFUNCTION("""COMPUTED_VALUE"""),"Tapa Llenado Aceite Motor Npr 8941332075")</f>
        <v>Tapa Llenado Aceite Motor Npr 8941332075</v>
      </c>
      <c r="C10926" s="380" t="str">
        <f>IFERROR(__xludf.DUMMYFUNCTION("""COMPUTED_VALUE"""),"70006356")</f>
        <v>70006356</v>
      </c>
      <c r="D10926" s="380" t="s">
        <v>767</v>
      </c>
      <c r="E10926" s="380" t="s">
        <v>786</v>
      </c>
      <c r="F10926" s="380" t="s">
        <v>787</v>
      </c>
      <c r="G10926" s="380" t="s">
        <v>1267</v>
      </c>
      <c r="H10926" s="380" t="s">
        <v>771</v>
      </c>
      <c r="I10926" s="380" t="s">
        <v>788</v>
      </c>
      <c r="J10926" s="380" t="s">
        <v>773</v>
      </c>
      <c r="K10926" s="381">
        <v>0.0</v>
      </c>
      <c r="L10926" s="382">
        <v>1.0</v>
      </c>
    </row>
    <row r="10927">
      <c r="A10927" s="380" t="s">
        <v>11801</v>
      </c>
      <c r="B10927" s="380" t="str">
        <f>IFERROR(__xludf.DUMMYFUNCTION("""COMPUTED_VALUE"""),"Pin Propulsor Caja Fuller 14718b 16980")</f>
        <v>Pin Propulsor Caja Fuller 14718b 16980</v>
      </c>
      <c r="C10927" s="380" t="str">
        <f>IFERROR(__xludf.DUMMYFUNCTION("""COMPUTED_VALUE"""),"70006357")</f>
        <v>70006357</v>
      </c>
      <c r="D10927" s="380" t="s">
        <v>767</v>
      </c>
      <c r="E10927" s="380" t="s">
        <v>786</v>
      </c>
      <c r="F10927" s="380" t="s">
        <v>928</v>
      </c>
      <c r="G10927" s="380" t="s">
        <v>1267</v>
      </c>
      <c r="H10927" s="380" t="s">
        <v>771</v>
      </c>
      <c r="I10927" s="380" t="s">
        <v>788</v>
      </c>
      <c r="J10927" s="380" t="s">
        <v>773</v>
      </c>
      <c r="K10927" s="381">
        <v>0.0</v>
      </c>
      <c r="L10927" s="382">
        <v>1.0</v>
      </c>
    </row>
    <row r="10928">
      <c r="A10928" s="380" t="s">
        <v>11802</v>
      </c>
      <c r="B10928" s="380" t="str">
        <f>IFERROR(__xludf.DUMMYFUNCTION("""COMPUTED_VALUE"""),"Interruptor Encendido 24527383 N200")</f>
        <v>Interruptor Encendido 24527383 N200</v>
      </c>
      <c r="C10928" s="380" t="str">
        <f>IFERROR(__xludf.DUMMYFUNCTION("""COMPUTED_VALUE"""),"70006359")</f>
        <v>70006359</v>
      </c>
      <c r="D10928" s="380" t="s">
        <v>767</v>
      </c>
      <c r="E10928" s="380" t="s">
        <v>786</v>
      </c>
      <c r="F10928" s="380" t="s">
        <v>998</v>
      </c>
      <c r="G10928" s="380" t="s">
        <v>1267</v>
      </c>
      <c r="H10928" s="380" t="s">
        <v>771</v>
      </c>
      <c r="I10928" s="380" t="s">
        <v>788</v>
      </c>
      <c r="J10928" s="380" t="s">
        <v>773</v>
      </c>
      <c r="K10928" s="381">
        <v>0.0</v>
      </c>
      <c r="L10928" s="382">
        <v>1.0</v>
      </c>
    </row>
    <row r="10929">
      <c r="A10929" s="380" t="s">
        <v>11803</v>
      </c>
      <c r="B10929" s="380" t="str">
        <f>IFERROR(__xludf.DUMMYFUNCTION("""COMPUTED_VALUE"""),"BRR DIR Barra Direccion Kenworth Ds-1279")</f>
        <v>BRR DIR Barra Direccion Kenworth Ds-1279</v>
      </c>
      <c r="C10929" s="380" t="str">
        <f>IFERROR(__xludf.DUMMYFUNCTION("""COMPUTED_VALUE"""),"70006360")</f>
        <v>70006360</v>
      </c>
      <c r="D10929" s="380" t="s">
        <v>767</v>
      </c>
      <c r="E10929" s="380" t="s">
        <v>786</v>
      </c>
      <c r="F10929" s="380" t="s">
        <v>1020</v>
      </c>
      <c r="G10929" s="380" t="s">
        <v>1267</v>
      </c>
      <c r="H10929" s="380" t="s">
        <v>771</v>
      </c>
      <c r="I10929" s="380" t="s">
        <v>788</v>
      </c>
      <c r="J10929" s="380" t="s">
        <v>773</v>
      </c>
      <c r="K10929" s="381">
        <v>0.0</v>
      </c>
      <c r="L10929" s="382">
        <v>1.0</v>
      </c>
    </row>
    <row r="10930">
      <c r="A10930" s="380" t="s">
        <v>11804</v>
      </c>
      <c r="B10930" s="380" t="str">
        <f>IFERROR(__xludf.DUMMYFUNCTION("""COMPUTED_VALUE"""),"Bombona Trailer Con Tuercas 1380608")</f>
        <v>Bombona Trailer Con Tuercas 1380608</v>
      </c>
      <c r="C10930" s="380" t="str">
        <f>IFERROR(__xludf.DUMMYFUNCTION("""COMPUTED_VALUE"""),"70006361")</f>
        <v>70006361</v>
      </c>
      <c r="D10930" s="380" t="s">
        <v>767</v>
      </c>
      <c r="E10930" s="380" t="s">
        <v>786</v>
      </c>
      <c r="F10930" s="380" t="s">
        <v>1039</v>
      </c>
      <c r="G10930" s="380" t="s">
        <v>1267</v>
      </c>
      <c r="H10930" s="380" t="s">
        <v>771</v>
      </c>
      <c r="I10930" s="380" t="s">
        <v>788</v>
      </c>
      <c r="J10930" s="380" t="s">
        <v>773</v>
      </c>
      <c r="K10930" s="381">
        <v>0.0</v>
      </c>
      <c r="L10930" s="382">
        <v>1.0</v>
      </c>
    </row>
    <row r="10931">
      <c r="A10931" s="380" t="s">
        <v>11805</v>
      </c>
      <c r="B10931" s="380" t="str">
        <f>IFERROR(__xludf.DUMMYFUNCTION("""COMPUTED_VALUE"""),"Puerta Der Super Carry Suzuki 6800171d00")</f>
        <v>Puerta Der Super Carry Suzuki 6800171d00</v>
      </c>
      <c r="C10931" s="380" t="str">
        <f>IFERROR(__xludf.DUMMYFUNCTION("""COMPUTED_VALUE"""),"70006362")</f>
        <v>70006362</v>
      </c>
      <c r="D10931" s="380" t="s">
        <v>767</v>
      </c>
      <c r="E10931" s="380" t="s">
        <v>786</v>
      </c>
      <c r="F10931" s="380" t="s">
        <v>792</v>
      </c>
      <c r="G10931" s="380" t="s">
        <v>1267</v>
      </c>
      <c r="H10931" s="380" t="s">
        <v>771</v>
      </c>
      <c r="I10931" s="380" t="s">
        <v>788</v>
      </c>
      <c r="J10931" s="380" t="s">
        <v>773</v>
      </c>
      <c r="K10931" s="381">
        <v>0.0</v>
      </c>
      <c r="L10931" s="382">
        <v>1.0</v>
      </c>
    </row>
    <row r="10932">
      <c r="A10932" s="380" t="s">
        <v>11806</v>
      </c>
      <c r="B10932" s="380" t="str">
        <f>IFERROR(__xludf.DUMMYFUNCTION("""COMPUTED_VALUE"""),"Stop Trasero Izquierdo Npr")</f>
        <v>Stop Trasero Izquierdo Npr</v>
      </c>
      <c r="C10932" s="380" t="str">
        <f>IFERROR(__xludf.DUMMYFUNCTION("""COMPUTED_VALUE"""),"70006363")</f>
        <v>70006363</v>
      </c>
      <c r="D10932" s="380" t="s">
        <v>767</v>
      </c>
      <c r="E10932" s="380" t="s">
        <v>786</v>
      </c>
      <c r="F10932" s="380" t="s">
        <v>998</v>
      </c>
      <c r="G10932" s="380" t="s">
        <v>1267</v>
      </c>
      <c r="H10932" s="380" t="s">
        <v>771</v>
      </c>
      <c r="I10932" s="380" t="s">
        <v>788</v>
      </c>
      <c r="J10932" s="380" t="s">
        <v>773</v>
      </c>
      <c r="K10932" s="381">
        <v>0.0</v>
      </c>
      <c r="L10932" s="382">
        <v>1.0</v>
      </c>
    </row>
    <row r="10933">
      <c r="A10933" s="380" t="s">
        <v>11807</v>
      </c>
      <c r="B10933" s="380" t="str">
        <f>IFERROR(__xludf.DUMMYFUNCTION("""COMPUTED_VALUE"""),"Abrazadera Tanque Acpm Cinta 95615481 S")</f>
        <v>Abrazadera Tanque Acpm Cinta 95615481 S</v>
      </c>
      <c r="C10933" s="380" t="str">
        <f>IFERROR(__xludf.DUMMYFUNCTION("""COMPUTED_VALUE"""),"70006364")</f>
        <v>70006364</v>
      </c>
      <c r="D10933" s="380" t="s">
        <v>767</v>
      </c>
      <c r="E10933" s="380" t="s">
        <v>786</v>
      </c>
      <c r="F10933" s="380" t="s">
        <v>792</v>
      </c>
      <c r="G10933" s="380" t="s">
        <v>1267</v>
      </c>
      <c r="H10933" s="380" t="s">
        <v>771</v>
      </c>
      <c r="I10933" s="380" t="s">
        <v>788</v>
      </c>
      <c r="J10933" s="380" t="s">
        <v>773</v>
      </c>
      <c r="K10933" s="381">
        <v>0.0</v>
      </c>
      <c r="L10933" s="382">
        <v>1.0</v>
      </c>
    </row>
    <row r="10934">
      <c r="A10934" s="380" t="s">
        <v>11808</v>
      </c>
      <c r="B10934" s="380" t="str">
        <f>IFERROR(__xludf.DUMMYFUNCTION("""COMPUTED_VALUE"""),"Tapa Propulsor SB N14 20550")</f>
        <v>Tapa Propulsor SB N14 20550</v>
      </c>
      <c r="C10934" s="380" t="str">
        <f>IFERROR(__xludf.DUMMYFUNCTION("""COMPUTED_VALUE"""),"70006365")</f>
        <v>70006365</v>
      </c>
      <c r="D10934" s="380" t="s">
        <v>767</v>
      </c>
      <c r="E10934" s="380" t="s">
        <v>786</v>
      </c>
      <c r="F10934" s="380" t="s">
        <v>928</v>
      </c>
      <c r="G10934" s="380" t="s">
        <v>1267</v>
      </c>
      <c r="H10934" s="380" t="s">
        <v>771</v>
      </c>
      <c r="I10934" s="380" t="s">
        <v>788</v>
      </c>
      <c r="J10934" s="380" t="s">
        <v>773</v>
      </c>
      <c r="K10934" s="381">
        <v>0.0</v>
      </c>
      <c r="L10934" s="382">
        <v>1.0</v>
      </c>
    </row>
    <row r="10935">
      <c r="A10935" s="380" t="s">
        <v>11809</v>
      </c>
      <c r="B10935" s="380" t="str">
        <f>IFERROR(__xludf.DUMMYFUNCTION("""COMPUTED_VALUE"""),"Brazo Espejo Ext Der Npr/Nkr 8978565588")</f>
        <v>Brazo Espejo Ext Der Npr/Nkr 8978565588</v>
      </c>
      <c r="C10935" s="380" t="str">
        <f>IFERROR(__xludf.DUMMYFUNCTION("""COMPUTED_VALUE"""),"70006366")</f>
        <v>70006366</v>
      </c>
      <c r="D10935" s="380" t="s">
        <v>767</v>
      </c>
      <c r="E10935" s="380" t="s">
        <v>786</v>
      </c>
      <c r="F10935" s="380" t="s">
        <v>792</v>
      </c>
      <c r="G10935" s="380" t="s">
        <v>1267</v>
      </c>
      <c r="H10935" s="380" t="s">
        <v>771</v>
      </c>
      <c r="I10935" s="380" t="s">
        <v>788</v>
      </c>
      <c r="J10935" s="380" t="s">
        <v>773</v>
      </c>
      <c r="K10935" s="381">
        <v>0.0</v>
      </c>
      <c r="L10935" s="382">
        <v>1.0</v>
      </c>
    </row>
    <row r="10936">
      <c r="A10936" s="380" t="s">
        <v>11810</v>
      </c>
      <c r="B10936" s="380" t="str">
        <f>IFERROR(__xludf.DUMMYFUNCTION("""COMPUTED_VALUE"""),"Tapa Torre Mono 14718 Eag 900 Isx")</f>
        <v>Tapa Torre Mono 14718 Eag 900 Isx</v>
      </c>
      <c r="C10936" s="380" t="str">
        <f>IFERROR(__xludf.DUMMYFUNCTION("""COMPUTED_VALUE"""),"70006367")</f>
        <v>70006367</v>
      </c>
      <c r="D10936" s="380" t="s">
        <v>767</v>
      </c>
      <c r="E10936" s="380" t="s">
        <v>786</v>
      </c>
      <c r="F10936" s="380" t="s">
        <v>928</v>
      </c>
      <c r="G10936" s="380" t="s">
        <v>1267</v>
      </c>
      <c r="H10936" s="380" t="s">
        <v>771</v>
      </c>
      <c r="I10936" s="380" t="s">
        <v>788</v>
      </c>
      <c r="J10936" s="380" t="s">
        <v>773</v>
      </c>
      <c r="K10936" s="381">
        <v>0.0</v>
      </c>
      <c r="L10936" s="382">
        <v>1.0</v>
      </c>
    </row>
    <row r="10937">
      <c r="A10937" s="380" t="s">
        <v>11811</v>
      </c>
      <c r="B10937" s="380" t="str">
        <f>IFERROR(__xludf.DUMMYFUNCTION("""COMPUTED_VALUE"""),"Tobera Npr 1050172650")</f>
        <v>Tobera Npr 1050172650</v>
      </c>
      <c r="C10937" s="380" t="str">
        <f>IFERROR(__xludf.DUMMYFUNCTION("""COMPUTED_VALUE"""),"70006368")</f>
        <v>70006368</v>
      </c>
      <c r="D10937" s="380" t="s">
        <v>767</v>
      </c>
      <c r="E10937" s="380" t="s">
        <v>786</v>
      </c>
      <c r="F10937" s="380" t="s">
        <v>787</v>
      </c>
      <c r="G10937" s="380" t="s">
        <v>1267</v>
      </c>
      <c r="H10937" s="380" t="s">
        <v>771</v>
      </c>
      <c r="I10937" s="380" t="s">
        <v>788</v>
      </c>
      <c r="J10937" s="380" t="s">
        <v>773</v>
      </c>
      <c r="K10937" s="381">
        <v>0.0</v>
      </c>
      <c r="L10937" s="382">
        <v>1.0</v>
      </c>
    </row>
    <row r="10938">
      <c r="A10938" s="380" t="s">
        <v>11812</v>
      </c>
      <c r="B10938" s="380" t="str">
        <f>IFERROR(__xludf.DUMMYFUNCTION("""COMPUTED_VALUE"""),"Camisa Bloque Motor Npr 8973515580")</f>
        <v>Camisa Bloque Motor Npr 8973515580</v>
      </c>
      <c r="C10938" s="380" t="str">
        <f>IFERROR(__xludf.DUMMYFUNCTION("""COMPUTED_VALUE"""),"70006369")</f>
        <v>70006369</v>
      </c>
      <c r="D10938" s="380" t="s">
        <v>767</v>
      </c>
      <c r="E10938" s="380" t="s">
        <v>786</v>
      </c>
      <c r="F10938" s="380" t="s">
        <v>787</v>
      </c>
      <c r="G10938" s="380" t="s">
        <v>1267</v>
      </c>
      <c r="H10938" s="380" t="s">
        <v>771</v>
      </c>
      <c r="I10938" s="380" t="s">
        <v>788</v>
      </c>
      <c r="J10938" s="380" t="s">
        <v>773</v>
      </c>
      <c r="K10938" s="381">
        <v>0.0</v>
      </c>
      <c r="L10938" s="382">
        <v>1.0</v>
      </c>
    </row>
    <row r="10939">
      <c r="A10939" s="380" t="s">
        <v>11813</v>
      </c>
      <c r="B10939" s="380" t="str">
        <f>IFERROR(__xludf.DUMMYFUNCTION("""COMPUTED_VALUE"""),"Switch Parqueo Nhr Nkr 897202476")</f>
        <v>Switch Parqueo Nhr Nkr 897202476</v>
      </c>
      <c r="C10939" s="380" t="str">
        <f>IFERROR(__xludf.DUMMYFUNCTION("""COMPUTED_VALUE"""),"70006370")</f>
        <v>70006370</v>
      </c>
      <c r="D10939" s="380" t="s">
        <v>767</v>
      </c>
      <c r="E10939" s="380" t="s">
        <v>786</v>
      </c>
      <c r="F10939" s="380" t="s">
        <v>792</v>
      </c>
      <c r="G10939" s="380" t="s">
        <v>1267</v>
      </c>
      <c r="H10939" s="380" t="s">
        <v>771</v>
      </c>
      <c r="I10939" s="380" t="s">
        <v>788</v>
      </c>
      <c r="J10939" s="380" t="s">
        <v>773</v>
      </c>
      <c r="K10939" s="381">
        <v>0.0</v>
      </c>
      <c r="L10939" s="382">
        <v>1.0</v>
      </c>
    </row>
    <row r="10940">
      <c r="A10940" s="380" t="s">
        <v>11814</v>
      </c>
      <c r="B10940" s="380" t="str">
        <f>IFERROR(__xludf.DUMMYFUNCTION("""COMPUTED_VALUE"""),"Guardapolvo Embrague Nissan 3054212u00")</f>
        <v>Guardapolvo Embrague Nissan 3054212u00</v>
      </c>
      <c r="C10940" s="380" t="str">
        <f>IFERROR(__xludf.DUMMYFUNCTION("""COMPUTED_VALUE"""),"70006371")</f>
        <v>70006371</v>
      </c>
      <c r="D10940" s="380" t="s">
        <v>767</v>
      </c>
      <c r="E10940" s="380" t="s">
        <v>786</v>
      </c>
      <c r="F10940" s="380" t="s">
        <v>5661</v>
      </c>
      <c r="G10940" s="380" t="s">
        <v>1267</v>
      </c>
      <c r="H10940" s="380" t="s">
        <v>771</v>
      </c>
      <c r="I10940" s="380" t="s">
        <v>788</v>
      </c>
      <c r="J10940" s="380" t="s">
        <v>773</v>
      </c>
      <c r="K10940" s="381">
        <v>0.0</v>
      </c>
      <c r="L10940" s="382">
        <v>1.0</v>
      </c>
    </row>
    <row r="10941">
      <c r="A10941" s="380" t="s">
        <v>11815</v>
      </c>
      <c r="B10941" s="380" t="str">
        <f>IFERROR(__xludf.DUMMYFUNCTION("""COMPUTED_VALUE"""),"Unidad Sellada Bomper KWh M-4701")</f>
        <v>Unidad Sellada Bomper KWh M-4701</v>
      </c>
      <c r="C10941" s="380" t="str">
        <f>IFERROR(__xludf.DUMMYFUNCTION("""COMPUTED_VALUE"""),"70006372")</f>
        <v>70006372</v>
      </c>
      <c r="D10941" s="380" t="s">
        <v>767</v>
      </c>
      <c r="E10941" s="380" t="s">
        <v>786</v>
      </c>
      <c r="F10941" s="380" t="s">
        <v>792</v>
      </c>
      <c r="G10941" s="380" t="s">
        <v>1267</v>
      </c>
      <c r="H10941" s="380" t="s">
        <v>771</v>
      </c>
      <c r="I10941" s="380" t="s">
        <v>788</v>
      </c>
      <c r="J10941" s="380" t="s">
        <v>773</v>
      </c>
      <c r="K10941" s="381">
        <v>0.0</v>
      </c>
      <c r="L10941" s="382">
        <v>1.0</v>
      </c>
    </row>
    <row r="10942">
      <c r="A10942" s="380" t="s">
        <v>11816</v>
      </c>
      <c r="B10942" s="380" t="str">
        <f>IFERROR(__xludf.DUMMYFUNCTION("""COMPUTED_VALUE"""),"Bombillo Halogeno Sin Patas 90 H-4/ P45t")</f>
        <v>Bombillo Halogeno Sin Patas 90 H-4/ P45t</v>
      </c>
      <c r="C10942" s="380" t="str">
        <f>IFERROR(__xludf.DUMMYFUNCTION("""COMPUTED_VALUE"""),"70006373")</f>
        <v>70006373</v>
      </c>
      <c r="D10942" s="380" t="s">
        <v>767</v>
      </c>
      <c r="E10942" s="380" t="s">
        <v>786</v>
      </c>
      <c r="F10942" s="380" t="s">
        <v>998</v>
      </c>
      <c r="G10942" s="380" t="s">
        <v>1267</v>
      </c>
      <c r="H10942" s="380" t="s">
        <v>771</v>
      </c>
      <c r="I10942" s="380" t="s">
        <v>788</v>
      </c>
      <c r="J10942" s="380" t="s">
        <v>773</v>
      </c>
      <c r="K10942" s="381">
        <v>0.0</v>
      </c>
      <c r="L10942" s="382">
        <v>1.0</v>
      </c>
    </row>
    <row r="10943">
      <c r="A10943" s="380" t="s">
        <v>11817</v>
      </c>
      <c r="B10943" s="380" t="str">
        <f>IFERROR(__xludf.DUMMYFUNCTION("""COMPUTED_VALUE"""),"Plato Sincronismo EGL N14 Eaton 4301840")</f>
        <v>Plato Sincronismo EGL N14 Eaton 4301840</v>
      </c>
      <c r="C10943" s="380" t="str">
        <f>IFERROR(__xludf.DUMMYFUNCTION("""COMPUTED_VALUE"""),"70006374")</f>
        <v>70006374</v>
      </c>
      <c r="D10943" s="380" t="s">
        <v>767</v>
      </c>
      <c r="E10943" s="380" t="s">
        <v>786</v>
      </c>
      <c r="F10943" s="380" t="s">
        <v>928</v>
      </c>
      <c r="G10943" s="380" t="s">
        <v>1267</v>
      </c>
      <c r="H10943" s="380" t="s">
        <v>771</v>
      </c>
      <c r="I10943" s="380" t="s">
        <v>788</v>
      </c>
      <c r="J10943" s="380" t="s">
        <v>773</v>
      </c>
      <c r="K10943" s="381">
        <v>0.0</v>
      </c>
      <c r="L10943" s="382">
        <v>1.0</v>
      </c>
    </row>
    <row r="10944">
      <c r="A10944" s="380" t="s">
        <v>11818</v>
      </c>
      <c r="B10944" s="380" t="str">
        <f>IFERROR(__xludf.DUMMYFUNCTION("""COMPUTED_VALUE"""),"Valvula Egr Para Npr 8971155333")</f>
        <v>Valvula Egr Para Npr 8971155333</v>
      </c>
      <c r="C10944" s="380" t="str">
        <f>IFERROR(__xludf.DUMMYFUNCTION("""COMPUTED_VALUE"""),"70006375")</f>
        <v>70006375</v>
      </c>
      <c r="D10944" s="380" t="s">
        <v>767</v>
      </c>
      <c r="E10944" s="380" t="s">
        <v>786</v>
      </c>
      <c r="F10944" s="380" t="s">
        <v>787</v>
      </c>
      <c r="G10944" s="380" t="s">
        <v>1267</v>
      </c>
      <c r="H10944" s="380" t="s">
        <v>771</v>
      </c>
      <c r="I10944" s="380" t="s">
        <v>788</v>
      </c>
      <c r="J10944" s="380" t="s">
        <v>773</v>
      </c>
      <c r="K10944" s="381">
        <v>0.0</v>
      </c>
      <c r="L10944" s="382">
        <v>1.0</v>
      </c>
    </row>
    <row r="10945">
      <c r="A10945" s="380" t="s">
        <v>11819</v>
      </c>
      <c r="B10945" s="380" t="str">
        <f>IFERROR(__xludf.DUMMYFUNCTION("""COMPUTED_VALUE"""),"Tapa Sincronismo Eagle N14 Eaton A007254")</f>
        <v>Tapa Sincronismo Eagle N14 Eaton A007254</v>
      </c>
      <c r="C10945" s="380" t="str">
        <f>IFERROR(__xludf.DUMMYFUNCTION("""COMPUTED_VALUE"""),"70006376")</f>
        <v>70006376</v>
      </c>
      <c r="D10945" s="380" t="s">
        <v>767</v>
      </c>
      <c r="E10945" s="380" t="s">
        <v>786</v>
      </c>
      <c r="F10945" s="380" t="s">
        <v>928</v>
      </c>
      <c r="G10945" s="380" t="s">
        <v>1267</v>
      </c>
      <c r="H10945" s="380" t="s">
        <v>771</v>
      </c>
      <c r="I10945" s="380" t="s">
        <v>788</v>
      </c>
      <c r="J10945" s="380" t="s">
        <v>773</v>
      </c>
      <c r="K10945" s="381">
        <v>0.0</v>
      </c>
      <c r="L10945" s="382">
        <v>1.0</v>
      </c>
    </row>
    <row r="10946">
      <c r="A10946" s="380" t="s">
        <v>11820</v>
      </c>
      <c r="B10946" s="380" t="str">
        <f>IFERROR(__xludf.DUMMYFUNCTION("""COMPUTED_VALUE"""),"Valvula Freno Aire Hi 466 Zac065661")</f>
        <v>Valvula Freno Aire Hi 466 Zac065661</v>
      </c>
      <c r="C10946" s="380" t="str">
        <f>IFERROR(__xludf.DUMMYFUNCTION("""COMPUTED_VALUE"""),"70006377")</f>
        <v>70006377</v>
      </c>
      <c r="D10946" s="380" t="s">
        <v>767</v>
      </c>
      <c r="E10946" s="380" t="s">
        <v>786</v>
      </c>
      <c r="F10946" s="380" t="s">
        <v>1017</v>
      </c>
      <c r="G10946" s="380" t="s">
        <v>1267</v>
      </c>
      <c r="H10946" s="380" t="s">
        <v>771</v>
      </c>
      <c r="I10946" s="380" t="s">
        <v>788</v>
      </c>
      <c r="J10946" s="380" t="s">
        <v>773</v>
      </c>
      <c r="K10946" s="381">
        <v>0.0</v>
      </c>
      <c r="L10946" s="382">
        <v>1.0</v>
      </c>
    </row>
    <row r="10947">
      <c r="A10947" s="380" t="s">
        <v>11821</v>
      </c>
      <c r="B10947" s="380" t="str">
        <f>IFERROR(__xludf.DUMMYFUNCTION("""COMPUTED_VALUE"""),"Parabrisas Laminado Nhr- Nkr 97114295")</f>
        <v>Parabrisas Laminado Nhr- Nkr 97114295</v>
      </c>
      <c r="C10947" s="380" t="str">
        <f>IFERROR(__xludf.DUMMYFUNCTION("""COMPUTED_VALUE"""),"70006378")</f>
        <v>70006378</v>
      </c>
      <c r="D10947" s="380" t="s">
        <v>767</v>
      </c>
      <c r="E10947" s="380" t="s">
        <v>786</v>
      </c>
      <c r="F10947" s="380" t="s">
        <v>792</v>
      </c>
      <c r="G10947" s="380" t="s">
        <v>1267</v>
      </c>
      <c r="H10947" s="380" t="s">
        <v>771</v>
      </c>
      <c r="I10947" s="380" t="s">
        <v>788</v>
      </c>
      <c r="J10947" s="380" t="s">
        <v>773</v>
      </c>
      <c r="K10947" s="381">
        <v>0.0</v>
      </c>
      <c r="L10947" s="382">
        <v>1.0</v>
      </c>
    </row>
    <row r="10948">
      <c r="A10948" s="380" t="s">
        <v>11822</v>
      </c>
      <c r="B10948" s="380" t="str">
        <f>IFERROR(__xludf.DUMMYFUNCTION("""COMPUTED_VALUE"""),"Moldura Vidrio Panoramico Nhr 8978902141")</f>
        <v>Moldura Vidrio Panoramico Nhr 8978902141</v>
      </c>
      <c r="C10948" s="380" t="str">
        <f>IFERROR(__xludf.DUMMYFUNCTION("""COMPUTED_VALUE"""),"70006379")</f>
        <v>70006379</v>
      </c>
      <c r="D10948" s="380" t="s">
        <v>767</v>
      </c>
      <c r="E10948" s="380" t="s">
        <v>786</v>
      </c>
      <c r="F10948" s="380" t="s">
        <v>792</v>
      </c>
      <c r="G10948" s="380" t="s">
        <v>1267</v>
      </c>
      <c r="H10948" s="380" t="s">
        <v>771</v>
      </c>
      <c r="I10948" s="380" t="s">
        <v>788</v>
      </c>
      <c r="J10948" s="380" t="s">
        <v>773</v>
      </c>
      <c r="K10948" s="381">
        <v>0.0</v>
      </c>
      <c r="L10948" s="382">
        <v>1.0</v>
      </c>
    </row>
    <row r="10949">
      <c r="A10949" s="380" t="s">
        <v>11823</v>
      </c>
      <c r="B10949" s="380" t="str">
        <f>IFERROR(__xludf.DUMMYFUNCTION("""COMPUTED_VALUE"""),"Tapa Sincronismo Eagle N14 Eaton A007331")</f>
        <v>Tapa Sincronismo Eagle N14 Eaton A007331</v>
      </c>
      <c r="C10949" s="380" t="str">
        <f>IFERROR(__xludf.DUMMYFUNCTION("""COMPUTED_VALUE"""),"70006380")</f>
        <v>70006380</v>
      </c>
      <c r="D10949" s="380" t="s">
        <v>767</v>
      </c>
      <c r="E10949" s="380" t="s">
        <v>786</v>
      </c>
      <c r="F10949" s="380" t="s">
        <v>928</v>
      </c>
      <c r="G10949" s="380" t="s">
        <v>1267</v>
      </c>
      <c r="H10949" s="380" t="s">
        <v>771</v>
      </c>
      <c r="I10949" s="380" t="s">
        <v>788</v>
      </c>
      <c r="J10949" s="380" t="s">
        <v>773</v>
      </c>
      <c r="K10949" s="381">
        <v>0.0</v>
      </c>
      <c r="L10949" s="382">
        <v>1.0</v>
      </c>
    </row>
    <row r="10950">
      <c r="A10950" s="380" t="s">
        <v>11824</v>
      </c>
      <c r="B10950" s="380" t="str">
        <f>IFERROR(__xludf.DUMMYFUNCTION("""COMPUTED_VALUE"""),"Hoja Resorte Tras Eagle T800/6")</f>
        <v>Hoja Resorte Tras Eagle T800/6</v>
      </c>
      <c r="C10950" s="380" t="str">
        <f>IFERROR(__xludf.DUMMYFUNCTION("""COMPUTED_VALUE"""),"70006381")</f>
        <v>70006381</v>
      </c>
      <c r="D10950" s="380" t="s">
        <v>767</v>
      </c>
      <c r="E10950" s="380" t="s">
        <v>786</v>
      </c>
      <c r="F10950" s="380" t="s">
        <v>1039</v>
      </c>
      <c r="G10950" s="380" t="s">
        <v>1267</v>
      </c>
      <c r="H10950" s="380" t="s">
        <v>771</v>
      </c>
      <c r="I10950" s="380" t="s">
        <v>788</v>
      </c>
      <c r="J10950" s="380" t="s">
        <v>773</v>
      </c>
      <c r="K10950" s="381">
        <v>0.0</v>
      </c>
      <c r="L10950" s="382">
        <v>1.0</v>
      </c>
    </row>
    <row r="10951">
      <c r="A10951" s="380" t="s">
        <v>11825</v>
      </c>
      <c r="B10951" s="380" t="str">
        <f>IFERROR(__xludf.DUMMYFUNCTION("""COMPUTED_VALUE"""),"Tensor Prensa SB N14 Eaton 125489")</f>
        <v>Tensor Prensa SB N14 Eaton 125489</v>
      </c>
      <c r="C10951" s="380" t="str">
        <f>IFERROR(__xludf.DUMMYFUNCTION("""COMPUTED_VALUE"""),"70006382")</f>
        <v>70006382</v>
      </c>
      <c r="D10951" s="380" t="s">
        <v>767</v>
      </c>
      <c r="E10951" s="380" t="s">
        <v>786</v>
      </c>
      <c r="F10951" s="380" t="s">
        <v>5661</v>
      </c>
      <c r="G10951" s="380" t="s">
        <v>1267</v>
      </c>
      <c r="H10951" s="380" t="s">
        <v>771</v>
      </c>
      <c r="I10951" s="380" t="s">
        <v>788</v>
      </c>
      <c r="J10951" s="380" t="s">
        <v>773</v>
      </c>
      <c r="K10951" s="381">
        <v>0.0</v>
      </c>
      <c r="L10951" s="382">
        <v>1.0</v>
      </c>
    </row>
    <row r="10952">
      <c r="A10952" s="380" t="s">
        <v>11826</v>
      </c>
      <c r="B10952" s="380" t="str">
        <f>IFERROR(__xludf.DUMMYFUNCTION("""COMPUTED_VALUE"""),"Bombillo Gotera Pequeño 17037 158 Ge-37")</f>
        <v>Bombillo Gotera Pequeño 17037 158 Ge-37</v>
      </c>
      <c r="C10952" s="380" t="str">
        <f>IFERROR(__xludf.DUMMYFUNCTION("""COMPUTED_VALUE"""),"70006383")</f>
        <v>70006383</v>
      </c>
      <c r="D10952" s="380" t="s">
        <v>767</v>
      </c>
      <c r="E10952" s="380" t="s">
        <v>786</v>
      </c>
      <c r="F10952" s="380" t="s">
        <v>998</v>
      </c>
      <c r="G10952" s="380" t="s">
        <v>1267</v>
      </c>
      <c r="H10952" s="380" t="s">
        <v>771</v>
      </c>
      <c r="I10952" s="380" t="s">
        <v>788</v>
      </c>
      <c r="J10952" s="380" t="s">
        <v>773</v>
      </c>
      <c r="K10952" s="381">
        <v>0.0</v>
      </c>
      <c r="L10952" s="382">
        <v>1.0</v>
      </c>
    </row>
    <row r="10953">
      <c r="A10953" s="380" t="s">
        <v>11827</v>
      </c>
      <c r="B10953" s="380" t="str">
        <f>IFERROR(__xludf.DUMMYFUNCTION("""COMPUTED_VALUE"""),"Bombillo Unidad Optica Del Moto 62x25")</f>
        <v>Bombillo Unidad Optica Del Moto 62x25</v>
      </c>
      <c r="C10953" s="380" t="str">
        <f>IFERROR(__xludf.DUMMYFUNCTION("""COMPUTED_VALUE"""),"70006384")</f>
        <v>70006384</v>
      </c>
      <c r="D10953" s="380" t="s">
        <v>767</v>
      </c>
      <c r="E10953" s="380" t="s">
        <v>786</v>
      </c>
      <c r="F10953" s="380" t="s">
        <v>998</v>
      </c>
      <c r="G10953" s="380" t="s">
        <v>1267</v>
      </c>
      <c r="H10953" s="380" t="s">
        <v>771</v>
      </c>
      <c r="I10953" s="380" t="s">
        <v>788</v>
      </c>
      <c r="J10953" s="380" t="s">
        <v>773</v>
      </c>
      <c r="K10953" s="381">
        <v>0.0</v>
      </c>
      <c r="L10953" s="382">
        <v>1.0</v>
      </c>
    </row>
    <row r="10954">
      <c r="A10954" s="380" t="s">
        <v>11828</v>
      </c>
      <c r="B10954" s="380" t="str">
        <f>IFERROR(__xludf.DUMMYFUNCTION("""COMPUTED_VALUE"""),"Rodaja Rodaja Banda Kenworth B.L. 1 1/4")</f>
        <v>Rodaja Rodaja Banda Kenworth B.L. 1 1/4</v>
      </c>
      <c r="C10954" s="380" t="str">
        <f>IFERROR(__xludf.DUMMYFUNCTION("""COMPUTED_VALUE"""),"70006385")</f>
        <v>70006385</v>
      </c>
      <c r="D10954" s="380" t="s">
        <v>767</v>
      </c>
      <c r="E10954" s="380" t="s">
        <v>786</v>
      </c>
      <c r="F10954" s="380" t="s">
        <v>1017</v>
      </c>
      <c r="G10954" s="380" t="s">
        <v>1267</v>
      </c>
      <c r="H10954" s="380" t="s">
        <v>771</v>
      </c>
      <c r="I10954" s="380" t="s">
        <v>788</v>
      </c>
      <c r="J10954" s="380" t="s">
        <v>773</v>
      </c>
      <c r="K10954" s="381">
        <v>0.0</v>
      </c>
      <c r="L10954" s="382">
        <v>1.0</v>
      </c>
    </row>
    <row r="10955">
      <c r="A10955" s="380" t="s">
        <v>11829</v>
      </c>
      <c r="B10955" s="380" t="str">
        <f>IFERROR(__xludf.DUMMYFUNCTION("""COMPUTED_VALUE"""),"Tapa Bocin Rueda Del Hi 4300 3531209c91")</f>
        <v>Tapa Bocin Rueda Del Hi 4300 3531209c91</v>
      </c>
      <c r="C10955" s="380" t="str">
        <f>IFERROR(__xludf.DUMMYFUNCTION("""COMPUTED_VALUE"""),"70006386")</f>
        <v>70006386</v>
      </c>
      <c r="D10955" s="380" t="s">
        <v>767</v>
      </c>
      <c r="E10955" s="380" t="s">
        <v>786</v>
      </c>
      <c r="F10955" s="380" t="s">
        <v>1017</v>
      </c>
      <c r="G10955" s="380" t="s">
        <v>1267</v>
      </c>
      <c r="H10955" s="380" t="s">
        <v>771</v>
      </c>
      <c r="I10955" s="380" t="s">
        <v>788</v>
      </c>
      <c r="J10955" s="380" t="s">
        <v>773</v>
      </c>
      <c r="K10955" s="381">
        <v>0.0</v>
      </c>
      <c r="L10955" s="382">
        <v>1.0</v>
      </c>
    </row>
    <row r="10956">
      <c r="A10956" s="380" t="s">
        <v>11830</v>
      </c>
      <c r="B10956" s="380" t="str">
        <f>IFERROR(__xludf.DUMMYFUNCTION("""COMPUTED_VALUE"""),"Cilindro Freno Del Izq Nkr Cp 8971793590")</f>
        <v>Cilindro Freno Del Izq Nkr Cp 8971793590</v>
      </c>
      <c r="C10956" s="380" t="str">
        <f>IFERROR(__xludf.DUMMYFUNCTION("""COMPUTED_VALUE"""),"70006387")</f>
        <v>70006387</v>
      </c>
      <c r="D10956" s="380" t="s">
        <v>767</v>
      </c>
      <c r="E10956" s="380" t="s">
        <v>786</v>
      </c>
      <c r="F10956" s="380" t="s">
        <v>1017</v>
      </c>
      <c r="G10956" s="380" t="s">
        <v>1267</v>
      </c>
      <c r="H10956" s="380" t="s">
        <v>771</v>
      </c>
      <c r="I10956" s="380" t="s">
        <v>788</v>
      </c>
      <c r="J10956" s="380" t="s">
        <v>773</v>
      </c>
      <c r="K10956" s="381">
        <v>0.0</v>
      </c>
      <c r="L10956" s="382">
        <v>1.0</v>
      </c>
    </row>
    <row r="10957">
      <c r="A10957" s="380" t="s">
        <v>11831</v>
      </c>
      <c r="B10957" s="380" t="str">
        <f>IFERROR(__xludf.DUMMYFUNCTION("""COMPUTED_VALUE"""),"Bocin Rueda Del Der Eagle 3533019c91")</f>
        <v>Bocin Rueda Del Der Eagle 3533019c91</v>
      </c>
      <c r="C10957" s="380" t="str">
        <f>IFERROR(__xludf.DUMMYFUNCTION("""COMPUTED_VALUE"""),"70006388")</f>
        <v>70006388</v>
      </c>
      <c r="D10957" s="380" t="s">
        <v>767</v>
      </c>
      <c r="E10957" s="380" t="s">
        <v>786</v>
      </c>
      <c r="F10957" s="380" t="s">
        <v>1017</v>
      </c>
      <c r="G10957" s="380" t="s">
        <v>1267</v>
      </c>
      <c r="H10957" s="380" t="s">
        <v>771</v>
      </c>
      <c r="I10957" s="380" t="s">
        <v>788</v>
      </c>
      <c r="J10957" s="380" t="s">
        <v>773</v>
      </c>
      <c r="K10957" s="381">
        <v>0.0</v>
      </c>
      <c r="L10957" s="382">
        <v>1.0</v>
      </c>
    </row>
    <row r="10958">
      <c r="A10958" s="380" t="s">
        <v>11832</v>
      </c>
      <c r="B10958" s="380" t="str">
        <f>IFERROR(__xludf.DUMMYFUNCTION("""COMPUTED_VALUE"""),"Bombillo Moto Farola 1154x6v")</f>
        <v>Bombillo Moto Farola 1154x6v</v>
      </c>
      <c r="C10958" s="380" t="str">
        <f>IFERROR(__xludf.DUMMYFUNCTION("""COMPUTED_VALUE"""),"70006389")</f>
        <v>70006389</v>
      </c>
      <c r="D10958" s="380" t="s">
        <v>767</v>
      </c>
      <c r="E10958" s="380" t="s">
        <v>786</v>
      </c>
      <c r="F10958" s="380" t="s">
        <v>998</v>
      </c>
      <c r="G10958" s="380" t="s">
        <v>1267</v>
      </c>
      <c r="H10958" s="380" t="s">
        <v>771</v>
      </c>
      <c r="I10958" s="380" t="s">
        <v>788</v>
      </c>
      <c r="J10958" s="380" t="s">
        <v>773</v>
      </c>
      <c r="K10958" s="381">
        <v>0.0</v>
      </c>
      <c r="L10958" s="382">
        <v>1.0</v>
      </c>
    </row>
    <row r="10959">
      <c r="A10959" s="380" t="s">
        <v>11833</v>
      </c>
      <c r="B10959" s="380" t="str">
        <f>IFERROR(__xludf.DUMMYFUNCTION("""COMPUTED_VALUE"""),"Retenedor Diferencial 9412276010 Npr")</f>
        <v>Retenedor Diferencial 9412276010 Npr</v>
      </c>
      <c r="C10959" s="380" t="str">
        <f>IFERROR(__xludf.DUMMYFUNCTION("""COMPUTED_VALUE"""),"70006390")</f>
        <v>70006390</v>
      </c>
      <c r="D10959" s="380" t="s">
        <v>767</v>
      </c>
      <c r="E10959" s="380" t="s">
        <v>786</v>
      </c>
      <c r="F10959" s="380" t="s">
        <v>928</v>
      </c>
      <c r="G10959" s="380" t="s">
        <v>1267</v>
      </c>
      <c r="H10959" s="380" t="s">
        <v>771</v>
      </c>
      <c r="I10959" s="380" t="s">
        <v>788</v>
      </c>
      <c r="J10959" s="380" t="s">
        <v>773</v>
      </c>
      <c r="K10959" s="381">
        <v>0.0</v>
      </c>
      <c r="L10959" s="382">
        <v>1.0</v>
      </c>
    </row>
    <row r="10960">
      <c r="A10960" s="380" t="s">
        <v>11834</v>
      </c>
      <c r="B10960" s="380" t="str">
        <f>IFERROR(__xludf.DUMMYFUNCTION("""COMPUTED_VALUE"""),"Eje Embrague Eagle N14 Eaton 2005406c1")</f>
        <v>Eje Embrague Eagle N14 Eaton 2005406c1</v>
      </c>
      <c r="C10960" s="380" t="str">
        <f>IFERROR(__xludf.DUMMYFUNCTION("""COMPUTED_VALUE"""),"70006391")</f>
        <v>70006391</v>
      </c>
      <c r="D10960" s="380" t="s">
        <v>767</v>
      </c>
      <c r="E10960" s="380" t="s">
        <v>786</v>
      </c>
      <c r="F10960" s="380" t="s">
        <v>5661</v>
      </c>
      <c r="G10960" s="380" t="s">
        <v>1267</v>
      </c>
      <c r="H10960" s="380" t="s">
        <v>771</v>
      </c>
      <c r="I10960" s="380" t="s">
        <v>788</v>
      </c>
      <c r="J10960" s="380" t="s">
        <v>773</v>
      </c>
      <c r="K10960" s="381">
        <v>0.0</v>
      </c>
      <c r="L10960" s="382">
        <v>1.0</v>
      </c>
    </row>
    <row r="10961">
      <c r="A10961" s="380" t="s">
        <v>11835</v>
      </c>
      <c r="B10961" s="380" t="str">
        <f>IFERROR(__xludf.DUMMYFUNCTION("""COMPUTED_VALUE"""),"Radiador Motor Hino Nuevo")</f>
        <v>Radiador Motor Hino Nuevo</v>
      </c>
      <c r="C10961" s="380" t="str">
        <f>IFERROR(__xludf.DUMMYFUNCTION("""COMPUTED_VALUE"""),"70006392")</f>
        <v>70006392</v>
      </c>
      <c r="D10961" s="380" t="s">
        <v>767</v>
      </c>
      <c r="E10961" s="380" t="s">
        <v>786</v>
      </c>
      <c r="F10961" s="380" t="s">
        <v>787</v>
      </c>
      <c r="G10961" s="380" t="s">
        <v>1267</v>
      </c>
      <c r="H10961" s="380" t="s">
        <v>771</v>
      </c>
      <c r="I10961" s="380" t="s">
        <v>788</v>
      </c>
      <c r="J10961" s="380" t="s">
        <v>773</v>
      </c>
      <c r="K10961" s="381">
        <v>0.0</v>
      </c>
      <c r="L10961" s="382">
        <v>1.0</v>
      </c>
    </row>
    <row r="10962">
      <c r="A10962" s="380" t="s">
        <v>11836</v>
      </c>
      <c r="B10962" s="380" t="str">
        <f>IFERROR(__xludf.DUMMYFUNCTION("""COMPUTED_VALUE"""),"Bombillo Piloto N-53 12 Voltios")</f>
        <v>Bombillo Piloto N-53 12 Voltios</v>
      </c>
      <c r="C10962" s="380" t="str">
        <f>IFERROR(__xludf.DUMMYFUNCTION("""COMPUTED_VALUE"""),"70006393")</f>
        <v>70006393</v>
      </c>
      <c r="D10962" s="380" t="s">
        <v>767</v>
      </c>
      <c r="E10962" s="380" t="s">
        <v>786</v>
      </c>
      <c r="F10962" s="380" t="s">
        <v>998</v>
      </c>
      <c r="G10962" s="380" t="s">
        <v>1267</v>
      </c>
      <c r="H10962" s="380" t="s">
        <v>771</v>
      </c>
      <c r="I10962" s="380" t="s">
        <v>788</v>
      </c>
      <c r="J10962" s="380" t="s">
        <v>773</v>
      </c>
      <c r="K10962" s="381">
        <v>0.0</v>
      </c>
      <c r="L10962" s="382">
        <v>1.0</v>
      </c>
    </row>
    <row r="10963">
      <c r="A10963" s="380" t="s">
        <v>11837</v>
      </c>
      <c r="B10963" s="380" t="str">
        <f>IFERROR(__xludf.DUMMYFUNCTION("""COMPUTED_VALUE"""),"Chapa Puerta Der Nhr 8978920981")</f>
        <v>Chapa Puerta Der Nhr 8978920981</v>
      </c>
      <c r="C10963" s="380" t="str">
        <f>IFERROR(__xludf.DUMMYFUNCTION("""COMPUTED_VALUE"""),"70006394")</f>
        <v>70006394</v>
      </c>
      <c r="D10963" s="380" t="s">
        <v>767</v>
      </c>
      <c r="E10963" s="380" t="s">
        <v>786</v>
      </c>
      <c r="F10963" s="380" t="s">
        <v>792</v>
      </c>
      <c r="G10963" s="380" t="s">
        <v>1267</v>
      </c>
      <c r="H10963" s="380" t="s">
        <v>771</v>
      </c>
      <c r="I10963" s="380" t="s">
        <v>788</v>
      </c>
      <c r="J10963" s="380" t="s">
        <v>773</v>
      </c>
      <c r="K10963" s="381">
        <v>0.0</v>
      </c>
      <c r="L10963" s="382">
        <v>1.0</v>
      </c>
    </row>
    <row r="10964">
      <c r="A10964" s="380" t="s">
        <v>11838</v>
      </c>
      <c r="B10964" s="380" t="str">
        <f>IFERROR(__xludf.DUMMYFUNCTION("""COMPUTED_VALUE"""),"Eje Embrague Eagle N14 309129c1")</f>
        <v>Eje Embrague Eagle N14 309129c1</v>
      </c>
      <c r="C10964" s="380" t="str">
        <f>IFERROR(__xludf.DUMMYFUNCTION("""COMPUTED_VALUE"""),"70006395")</f>
        <v>70006395</v>
      </c>
      <c r="D10964" s="380" t="s">
        <v>767</v>
      </c>
      <c r="E10964" s="380" t="s">
        <v>786</v>
      </c>
      <c r="F10964" s="380" t="s">
        <v>5661</v>
      </c>
      <c r="G10964" s="380" t="s">
        <v>1267</v>
      </c>
      <c r="H10964" s="380" t="s">
        <v>771</v>
      </c>
      <c r="I10964" s="380" t="s">
        <v>788</v>
      </c>
      <c r="J10964" s="380" t="s">
        <v>773</v>
      </c>
      <c r="K10964" s="381">
        <v>41650.0</v>
      </c>
      <c r="L10964" s="382">
        <v>1.0</v>
      </c>
    </row>
    <row r="10965">
      <c r="A10965" s="380" t="s">
        <v>11839</v>
      </c>
      <c r="B10965" s="380" t="str">
        <f>IFERROR(__xludf.DUMMYFUNCTION("""COMPUTED_VALUE"""),"Carreta DeSplazable CJ EGL Eaton 220026")</f>
        <v>Carreta DeSplazable CJ EGL Eaton 220026</v>
      </c>
      <c r="C10965" s="380" t="str">
        <f>IFERROR(__xludf.DUMMYFUNCTION("""COMPUTED_VALUE"""),"70006396")</f>
        <v>70006396</v>
      </c>
      <c r="D10965" s="380" t="s">
        <v>767</v>
      </c>
      <c r="E10965" s="380" t="s">
        <v>786</v>
      </c>
      <c r="F10965" s="380" t="s">
        <v>928</v>
      </c>
      <c r="G10965" s="380" t="s">
        <v>1267</v>
      </c>
      <c r="H10965" s="380" t="s">
        <v>771</v>
      </c>
      <c r="I10965" s="380" t="s">
        <v>788</v>
      </c>
      <c r="J10965" s="380" t="s">
        <v>773</v>
      </c>
      <c r="K10965" s="381">
        <v>0.0</v>
      </c>
      <c r="L10965" s="382">
        <v>1.0</v>
      </c>
    </row>
    <row r="10966">
      <c r="A10966" s="380" t="s">
        <v>11840</v>
      </c>
      <c r="B10966" s="380" t="str">
        <f>IFERROR(__xludf.DUMMYFUNCTION("""COMPUTED_VALUE"""),"Abrazadera Cremallera 4")</f>
        <v>Abrazadera Cremallera 4</v>
      </c>
      <c r="C10966" s="380" t="str">
        <f>IFERROR(__xludf.DUMMYFUNCTION("""COMPUTED_VALUE"""),"70006397")</f>
        <v>70006397</v>
      </c>
      <c r="D10966" s="380" t="s">
        <v>767</v>
      </c>
      <c r="E10966" s="380" t="s">
        <v>786</v>
      </c>
      <c r="F10966" s="380" t="s">
        <v>989</v>
      </c>
      <c r="G10966" s="380" t="s">
        <v>1267</v>
      </c>
      <c r="H10966" s="380" t="s">
        <v>771</v>
      </c>
      <c r="I10966" s="380" t="s">
        <v>788</v>
      </c>
      <c r="J10966" s="380" t="s">
        <v>773</v>
      </c>
      <c r="K10966" s="381">
        <v>2075.0</v>
      </c>
      <c r="L10966" s="382">
        <v>1.0</v>
      </c>
    </row>
    <row r="10967">
      <c r="A10967" s="380" t="s">
        <v>11841</v>
      </c>
      <c r="B10967" s="380" t="str">
        <f>IFERROR(__xludf.DUMMYFUNCTION("""COMPUTED_VALUE"""),"Abrazadera Muelle Tras 4 1/2 X 5")</f>
        <v>Abrazadera Muelle Tras 4 1/2 X 5</v>
      </c>
      <c r="C10967" s="380" t="str">
        <f>IFERROR(__xludf.DUMMYFUNCTION("""COMPUTED_VALUE"""),"70006398")</f>
        <v>70006398</v>
      </c>
      <c r="D10967" s="380" t="s">
        <v>767</v>
      </c>
      <c r="E10967" s="380" t="s">
        <v>786</v>
      </c>
      <c r="F10967" s="380" t="s">
        <v>1039</v>
      </c>
      <c r="G10967" s="380" t="s">
        <v>1267</v>
      </c>
      <c r="H10967" s="380" t="s">
        <v>771</v>
      </c>
      <c r="I10967" s="380" t="s">
        <v>788</v>
      </c>
      <c r="J10967" s="380" t="s">
        <v>773</v>
      </c>
      <c r="K10967" s="381">
        <v>0.0</v>
      </c>
      <c r="L10967" s="382">
        <v>1.0</v>
      </c>
    </row>
    <row r="10968">
      <c r="A10968" s="380" t="s">
        <v>11842</v>
      </c>
      <c r="B10968" s="380" t="str">
        <f>IFERROR(__xludf.DUMMYFUNCTION("""COMPUTED_VALUE"""),"Abrazadera Tornillo T510")</f>
        <v>Abrazadera Tornillo T510</v>
      </c>
      <c r="C10968" s="380" t="str">
        <f>IFERROR(__xludf.DUMMYFUNCTION("""COMPUTED_VALUE"""),"70006399")</f>
        <v>70006399</v>
      </c>
      <c r="D10968" s="380" t="s">
        <v>767</v>
      </c>
      <c r="E10968" s="380" t="s">
        <v>786</v>
      </c>
      <c r="F10968" s="380" t="s">
        <v>787</v>
      </c>
      <c r="G10968" s="380" t="s">
        <v>1267</v>
      </c>
      <c r="H10968" s="380" t="s">
        <v>771</v>
      </c>
      <c r="I10968" s="380" t="s">
        <v>788</v>
      </c>
      <c r="J10968" s="380" t="s">
        <v>773</v>
      </c>
      <c r="K10968" s="381">
        <v>0.0</v>
      </c>
      <c r="L10968" s="382">
        <v>1.0</v>
      </c>
    </row>
    <row r="10969">
      <c r="A10969" s="380" t="s">
        <v>11843</v>
      </c>
      <c r="B10969" s="380" t="str">
        <f>IFERROR(__xludf.DUMMYFUNCTION("""COMPUTED_VALUE"""),"Buje Suspens Neumati Internatio 90008219")</f>
        <v>Buje Suspens Neumati Internatio 90008219</v>
      </c>
      <c r="C10969" s="380" t="str">
        <f>IFERROR(__xludf.DUMMYFUNCTION("""COMPUTED_VALUE"""),"70006400")</f>
        <v>70006400</v>
      </c>
      <c r="D10969" s="380" t="s">
        <v>767</v>
      </c>
      <c r="E10969" s="380" t="s">
        <v>786</v>
      </c>
      <c r="F10969" s="380" t="s">
        <v>1039</v>
      </c>
      <c r="G10969" s="380" t="s">
        <v>1267</v>
      </c>
      <c r="H10969" s="380" t="s">
        <v>771</v>
      </c>
      <c r="I10969" s="380" t="s">
        <v>788</v>
      </c>
      <c r="J10969" s="380" t="s">
        <v>773</v>
      </c>
      <c r="K10969" s="381">
        <v>212841.0</v>
      </c>
      <c r="L10969" s="382">
        <v>1.0</v>
      </c>
    </row>
    <row r="10970">
      <c r="A10970" s="380" t="s">
        <v>11844</v>
      </c>
      <c r="B10970" s="380" t="str">
        <f>IFERROR(__xludf.DUMMYFUNCTION("""COMPUTED_VALUE"""),"Bendix MOT ARR Super Carr Zen 3132051a10")</f>
        <v>Bendix MOT ARR Super Carr Zen 3132051a10</v>
      </c>
      <c r="C10970" s="380" t="str">
        <f>IFERROR(__xludf.DUMMYFUNCTION("""COMPUTED_VALUE"""),"70006401")</f>
        <v>70006401</v>
      </c>
      <c r="D10970" s="380" t="s">
        <v>767</v>
      </c>
      <c r="E10970" s="380" t="s">
        <v>786</v>
      </c>
      <c r="F10970" s="380" t="s">
        <v>998</v>
      </c>
      <c r="G10970" s="380" t="s">
        <v>1267</v>
      </c>
      <c r="H10970" s="380" t="s">
        <v>771</v>
      </c>
      <c r="I10970" s="380" t="s">
        <v>788</v>
      </c>
      <c r="J10970" s="380" t="s">
        <v>773</v>
      </c>
      <c r="K10970" s="381">
        <v>0.0</v>
      </c>
      <c r="L10970" s="382">
        <v>1.0</v>
      </c>
    </row>
    <row r="10971">
      <c r="A10971" s="380" t="s">
        <v>11845</v>
      </c>
      <c r="B10971" s="380" t="str">
        <f>IFERROR(__xludf.DUMMYFUNCTION("""COMPUTED_VALUE"""),"Bombillo Unidad Halogeno Hi Ge 9007")</f>
        <v>Bombillo Unidad Halogeno Hi Ge 9007</v>
      </c>
      <c r="C10971" s="380" t="str">
        <f>IFERROR(__xludf.DUMMYFUNCTION("""COMPUTED_VALUE"""),"70006402")</f>
        <v>70006402</v>
      </c>
      <c r="D10971" s="380" t="s">
        <v>767</v>
      </c>
      <c r="E10971" s="380" t="s">
        <v>786</v>
      </c>
      <c r="F10971" s="380" t="s">
        <v>998</v>
      </c>
      <c r="G10971" s="380" t="s">
        <v>1267</v>
      </c>
      <c r="H10971" s="380" t="s">
        <v>771</v>
      </c>
      <c r="I10971" s="380" t="s">
        <v>788</v>
      </c>
      <c r="J10971" s="380" t="s">
        <v>773</v>
      </c>
      <c r="K10971" s="381">
        <v>0.0</v>
      </c>
      <c r="L10971" s="382">
        <v>1.0</v>
      </c>
    </row>
    <row r="10972">
      <c r="A10972" s="380" t="s">
        <v>11846</v>
      </c>
      <c r="B10972" s="380" t="str">
        <f>IFERROR(__xludf.DUMMYFUNCTION("""COMPUTED_VALUE"""),"Clip Persiana Radiador Nhr 8978927290")</f>
        <v>Clip Persiana Radiador Nhr 8978927290</v>
      </c>
      <c r="C10972" s="380" t="str">
        <f>IFERROR(__xludf.DUMMYFUNCTION("""COMPUTED_VALUE"""),"70006403")</f>
        <v>70006403</v>
      </c>
      <c r="D10972" s="380" t="s">
        <v>767</v>
      </c>
      <c r="E10972" s="380" t="s">
        <v>786</v>
      </c>
      <c r="F10972" s="380" t="s">
        <v>792</v>
      </c>
      <c r="G10972" s="380" t="s">
        <v>1267</v>
      </c>
      <c r="H10972" s="380" t="s">
        <v>771</v>
      </c>
      <c r="I10972" s="380" t="s">
        <v>788</v>
      </c>
      <c r="J10972" s="380" t="s">
        <v>773</v>
      </c>
      <c r="K10972" s="381">
        <v>0.0</v>
      </c>
      <c r="L10972" s="382">
        <v>1.0</v>
      </c>
    </row>
    <row r="10973">
      <c r="A10973" s="380" t="s">
        <v>11847</v>
      </c>
      <c r="B10973" s="380" t="str">
        <f>IFERROR(__xludf.DUMMYFUNCTION("""COMPUTED_VALUE"""),"Medidor Tanque Combustible Npr 95617872")</f>
        <v>Medidor Tanque Combustible Npr 95617872</v>
      </c>
      <c r="C10973" s="380" t="str">
        <f>IFERROR(__xludf.DUMMYFUNCTION("""COMPUTED_VALUE"""),"70006404")</f>
        <v>70006404</v>
      </c>
      <c r="D10973" s="380" t="s">
        <v>767</v>
      </c>
      <c r="E10973" s="380" t="s">
        <v>786</v>
      </c>
      <c r="F10973" s="380" t="s">
        <v>998</v>
      </c>
      <c r="G10973" s="380" t="s">
        <v>1267</v>
      </c>
      <c r="H10973" s="380" t="s">
        <v>771</v>
      </c>
      <c r="I10973" s="380" t="s">
        <v>788</v>
      </c>
      <c r="J10973" s="380" t="s">
        <v>773</v>
      </c>
      <c r="K10973" s="381">
        <v>0.0</v>
      </c>
      <c r="L10973" s="382">
        <v>1.0</v>
      </c>
    </row>
    <row r="10974">
      <c r="A10974" s="380" t="s">
        <v>11848</v>
      </c>
      <c r="B10974" s="380" t="str">
        <f>IFERROR(__xludf.DUMMYFUNCTION("""COMPUTED_VALUE"""),"Bombillo Halogeno Sin Patas 5 48884 12 V")</f>
        <v>Bombillo Halogeno Sin Patas 5 48884 12 V</v>
      </c>
      <c r="C10974" s="380" t="str">
        <f>IFERROR(__xludf.DUMMYFUNCTION("""COMPUTED_VALUE"""),"70006405")</f>
        <v>70006405</v>
      </c>
      <c r="D10974" s="380" t="s">
        <v>767</v>
      </c>
      <c r="E10974" s="380" t="s">
        <v>786</v>
      </c>
      <c r="F10974" s="380" t="s">
        <v>998</v>
      </c>
      <c r="G10974" s="380" t="s">
        <v>1267</v>
      </c>
      <c r="H10974" s="380" t="s">
        <v>771</v>
      </c>
      <c r="I10974" s="380" t="s">
        <v>788</v>
      </c>
      <c r="J10974" s="380" t="s">
        <v>773</v>
      </c>
      <c r="K10974" s="381">
        <v>15191.0</v>
      </c>
      <c r="L10974" s="382">
        <v>1.0</v>
      </c>
    </row>
    <row r="10975">
      <c r="A10975" s="380" t="s">
        <v>11849</v>
      </c>
      <c r="B10975" s="380" t="str">
        <f>IFERROR(__xludf.DUMMYFUNCTION("""COMPUTED_VALUE"""),"Tapa Tanque Acpm Volswagen 6007006321")</f>
        <v>Tapa Tanque Acpm Volswagen 6007006321</v>
      </c>
      <c r="C10975" s="380" t="str">
        <f>IFERROR(__xludf.DUMMYFUNCTION("""COMPUTED_VALUE"""),"70006406")</f>
        <v>70006406</v>
      </c>
      <c r="D10975" s="380" t="s">
        <v>767</v>
      </c>
      <c r="E10975" s="380" t="s">
        <v>786</v>
      </c>
      <c r="F10975" s="380" t="s">
        <v>792</v>
      </c>
      <c r="G10975" s="380" t="s">
        <v>1267</v>
      </c>
      <c r="H10975" s="380" t="s">
        <v>771</v>
      </c>
      <c r="I10975" s="380" t="s">
        <v>788</v>
      </c>
      <c r="J10975" s="380" t="s">
        <v>773</v>
      </c>
      <c r="K10975" s="381">
        <v>0.0</v>
      </c>
      <c r="L10975" s="382">
        <v>1.0</v>
      </c>
    </row>
    <row r="10976">
      <c r="A10976" s="380" t="s">
        <v>11850</v>
      </c>
      <c r="B10976" s="380" t="str">
        <f>IFERROR(__xludf.DUMMYFUNCTION("""COMPUTED_VALUE"""),"Brazo Plumilla Hi Internatio 2015296 C1")</f>
        <v>Brazo Plumilla Hi Internatio 2015296 C1</v>
      </c>
      <c r="C10976" s="380" t="str">
        <f>IFERROR(__xludf.DUMMYFUNCTION("""COMPUTED_VALUE"""),"70006407")</f>
        <v>70006407</v>
      </c>
      <c r="D10976" s="380" t="s">
        <v>767</v>
      </c>
      <c r="E10976" s="380" t="s">
        <v>786</v>
      </c>
      <c r="F10976" s="380" t="s">
        <v>998</v>
      </c>
      <c r="G10976" s="380" t="s">
        <v>1267</v>
      </c>
      <c r="H10976" s="380" t="s">
        <v>771</v>
      </c>
      <c r="I10976" s="380" t="s">
        <v>788</v>
      </c>
      <c r="J10976" s="380" t="s">
        <v>773</v>
      </c>
      <c r="K10976" s="381">
        <v>0.0</v>
      </c>
      <c r="L10976" s="382">
        <v>1.0</v>
      </c>
    </row>
    <row r="10977">
      <c r="A10977" s="380" t="s">
        <v>11851</v>
      </c>
      <c r="B10977" s="380" t="str">
        <f>IFERROR(__xludf.DUMMYFUNCTION("""COMPUTED_VALUE"""),"Tensor Embrague Fabricado Nkr")</f>
        <v>Tensor Embrague Fabricado Nkr</v>
      </c>
      <c r="C10977" s="380" t="str">
        <f>IFERROR(__xludf.DUMMYFUNCTION("""COMPUTED_VALUE"""),"70006408")</f>
        <v>70006408</v>
      </c>
      <c r="D10977" s="380" t="s">
        <v>767</v>
      </c>
      <c r="E10977" s="380" t="s">
        <v>786</v>
      </c>
      <c r="F10977" s="380" t="s">
        <v>5661</v>
      </c>
      <c r="G10977" s="380" t="s">
        <v>1267</v>
      </c>
      <c r="H10977" s="380" t="s">
        <v>771</v>
      </c>
      <c r="I10977" s="380" t="s">
        <v>788</v>
      </c>
      <c r="J10977" s="380" t="s">
        <v>773</v>
      </c>
      <c r="K10977" s="381">
        <v>0.0</v>
      </c>
      <c r="L10977" s="382">
        <v>1.0</v>
      </c>
    </row>
    <row r="10978">
      <c r="A10978" s="380" t="s">
        <v>11852</v>
      </c>
      <c r="B10978" s="380" t="str">
        <f>IFERROR(__xludf.DUMMYFUNCTION("""COMPUTED_VALUE"""),"SOP Estribo CAB Nhr Izq 8978929661")</f>
        <v>SOP Estribo CAB Nhr Izq 8978929661</v>
      </c>
      <c r="C10978" s="380" t="str">
        <f>IFERROR(__xludf.DUMMYFUNCTION("""COMPUTED_VALUE"""),"70006409")</f>
        <v>70006409</v>
      </c>
      <c r="D10978" s="380" t="s">
        <v>767</v>
      </c>
      <c r="E10978" s="380" t="s">
        <v>786</v>
      </c>
      <c r="F10978" s="380" t="s">
        <v>792</v>
      </c>
      <c r="G10978" s="380" t="s">
        <v>1267</v>
      </c>
      <c r="H10978" s="380" t="s">
        <v>771</v>
      </c>
      <c r="I10978" s="380" t="s">
        <v>788</v>
      </c>
      <c r="J10978" s="380" t="s">
        <v>773</v>
      </c>
      <c r="K10978" s="381">
        <v>0.0</v>
      </c>
      <c r="L10978" s="382">
        <v>1.0</v>
      </c>
    </row>
    <row r="10979">
      <c r="A10979" s="380" t="s">
        <v>11853</v>
      </c>
      <c r="B10979" s="380" t="str">
        <f>IFERROR(__xludf.DUMMYFUNCTION("""COMPUTED_VALUE"""),"Hoja Resorte Del Nhr Imal 22940/3")</f>
        <v>Hoja Resorte Del Nhr Imal 22940/3</v>
      </c>
      <c r="C10979" s="380" t="str">
        <f>IFERROR(__xludf.DUMMYFUNCTION("""COMPUTED_VALUE"""),"70006410")</f>
        <v>70006410</v>
      </c>
      <c r="D10979" s="380" t="s">
        <v>767</v>
      </c>
      <c r="E10979" s="380" t="s">
        <v>786</v>
      </c>
      <c r="F10979" s="380" t="s">
        <v>1039</v>
      </c>
      <c r="G10979" s="380" t="s">
        <v>1267</v>
      </c>
      <c r="H10979" s="380" t="s">
        <v>771</v>
      </c>
      <c r="I10979" s="380" t="s">
        <v>788</v>
      </c>
      <c r="J10979" s="380" t="s">
        <v>773</v>
      </c>
      <c r="K10979" s="381">
        <v>0.0</v>
      </c>
      <c r="L10979" s="382">
        <v>1.0</v>
      </c>
    </row>
    <row r="10980">
      <c r="A10980" s="380" t="s">
        <v>11854</v>
      </c>
      <c r="B10980" s="380" t="str">
        <f>IFERROR(__xludf.DUMMYFUNCTION("""COMPUTED_VALUE"""),"Hoja Resorte Del Nhr Imal 22940/4")</f>
        <v>Hoja Resorte Del Nhr Imal 22940/4</v>
      </c>
      <c r="C10980" s="380" t="str">
        <f>IFERROR(__xludf.DUMMYFUNCTION("""COMPUTED_VALUE"""),"70006411")</f>
        <v>70006411</v>
      </c>
      <c r="D10980" s="380" t="s">
        <v>767</v>
      </c>
      <c r="E10980" s="380" t="s">
        <v>786</v>
      </c>
      <c r="F10980" s="380" t="s">
        <v>1039</v>
      </c>
      <c r="G10980" s="380" t="s">
        <v>1267</v>
      </c>
      <c r="H10980" s="380" t="s">
        <v>771</v>
      </c>
      <c r="I10980" s="380" t="s">
        <v>788</v>
      </c>
      <c r="J10980" s="380" t="s">
        <v>773</v>
      </c>
      <c r="K10980" s="381">
        <v>0.0</v>
      </c>
      <c r="L10980" s="382">
        <v>1.0</v>
      </c>
    </row>
    <row r="10981">
      <c r="A10981" s="380" t="s">
        <v>11855</v>
      </c>
      <c r="B10981" s="380" t="str">
        <f>IFERROR(__xludf.DUMMYFUNCTION("""COMPUTED_VALUE"""),"Bomper Npr 8979990130")</f>
        <v>Bomper Npr 8979990130</v>
      </c>
      <c r="C10981" s="380" t="str">
        <f>IFERROR(__xludf.DUMMYFUNCTION("""COMPUTED_VALUE"""),"70006412")</f>
        <v>70006412</v>
      </c>
      <c r="D10981" s="380" t="s">
        <v>767</v>
      </c>
      <c r="E10981" s="380" t="s">
        <v>786</v>
      </c>
      <c r="F10981" s="380" t="s">
        <v>792</v>
      </c>
      <c r="G10981" s="380" t="s">
        <v>1267</v>
      </c>
      <c r="H10981" s="380" t="s">
        <v>771</v>
      </c>
      <c r="I10981" s="380" t="s">
        <v>788</v>
      </c>
      <c r="J10981" s="380" t="s">
        <v>773</v>
      </c>
      <c r="K10981" s="381">
        <v>788384.0</v>
      </c>
      <c r="L10981" s="382">
        <v>1.0</v>
      </c>
    </row>
    <row r="10982">
      <c r="A10982" s="380" t="s">
        <v>11856</v>
      </c>
      <c r="B10982" s="380" t="str">
        <f>IFERROR(__xludf.DUMMYFUNCTION("""COMPUTED_VALUE"""),"Clip Int Panel Nhr 8978532495")</f>
        <v>Clip Int Panel Nhr 8978532495</v>
      </c>
      <c r="C10982" s="380" t="str">
        <f>IFERROR(__xludf.DUMMYFUNCTION("""COMPUTED_VALUE"""),"70006413")</f>
        <v>70006413</v>
      </c>
      <c r="D10982" s="380" t="s">
        <v>767</v>
      </c>
      <c r="E10982" s="380" t="s">
        <v>786</v>
      </c>
      <c r="F10982" s="380" t="s">
        <v>792</v>
      </c>
      <c r="G10982" s="380" t="s">
        <v>1267</v>
      </c>
      <c r="H10982" s="380" t="s">
        <v>771</v>
      </c>
      <c r="I10982" s="380" t="s">
        <v>788</v>
      </c>
      <c r="J10982" s="380" t="s">
        <v>773</v>
      </c>
      <c r="K10982" s="381">
        <v>0.0</v>
      </c>
      <c r="L10982" s="382">
        <v>1.0</v>
      </c>
    </row>
    <row r="10983">
      <c r="A10983" s="380" t="s">
        <v>11857</v>
      </c>
      <c r="B10983" s="380" t="str">
        <f>IFERROR(__xludf.DUMMYFUNCTION("""COMPUTED_VALUE"""),"Bombillo Farola Moto 35-35p/ 12")</f>
        <v>Bombillo Farola Moto 35-35p/ 12</v>
      </c>
      <c r="C10983" s="380" t="str">
        <f>IFERROR(__xludf.DUMMYFUNCTION("""COMPUTED_VALUE"""),"70006414")</f>
        <v>70006414</v>
      </c>
      <c r="D10983" s="380" t="s">
        <v>767</v>
      </c>
      <c r="E10983" s="380" t="s">
        <v>786</v>
      </c>
      <c r="F10983" s="380" t="s">
        <v>998</v>
      </c>
      <c r="G10983" s="380" t="s">
        <v>1267</v>
      </c>
      <c r="H10983" s="380" t="s">
        <v>771</v>
      </c>
      <c r="I10983" s="380" t="s">
        <v>788</v>
      </c>
      <c r="J10983" s="380" t="s">
        <v>773</v>
      </c>
      <c r="K10983" s="381">
        <v>0.0</v>
      </c>
      <c r="L10983" s="382">
        <v>1.0</v>
      </c>
    </row>
    <row r="10984">
      <c r="A10984" s="380" t="s">
        <v>11858</v>
      </c>
      <c r="B10984" s="380" t="str">
        <f>IFERROR(__xludf.DUMMYFUNCTION("""COMPUTED_VALUE"""),"Brazo Espejo Nhr")</f>
        <v>Brazo Espejo Nhr</v>
      </c>
      <c r="C10984" s="380" t="str">
        <f>IFERROR(__xludf.DUMMYFUNCTION("""COMPUTED_VALUE"""),"70006415")</f>
        <v>70006415</v>
      </c>
      <c r="D10984" s="380" t="s">
        <v>767</v>
      </c>
      <c r="E10984" s="380" t="s">
        <v>786</v>
      </c>
      <c r="F10984" s="380" t="s">
        <v>792</v>
      </c>
      <c r="G10984" s="380" t="s">
        <v>1267</v>
      </c>
      <c r="H10984" s="380" t="s">
        <v>771</v>
      </c>
      <c r="I10984" s="380" t="s">
        <v>788</v>
      </c>
      <c r="J10984" s="380" t="s">
        <v>773</v>
      </c>
      <c r="K10984" s="381">
        <v>0.0</v>
      </c>
      <c r="L10984" s="382">
        <v>1.0</v>
      </c>
    </row>
    <row r="10985">
      <c r="A10985" s="380" t="s">
        <v>11859</v>
      </c>
      <c r="B10985" s="380" t="str">
        <f>IFERROR(__xludf.DUMMYFUNCTION("""COMPUTED_VALUE"""),"Lampara Direcal Der Nhr 8978550052")</f>
        <v>Lampara Direcal Der Nhr 8978550052</v>
      </c>
      <c r="C10985" s="380" t="str">
        <f>IFERROR(__xludf.DUMMYFUNCTION("""COMPUTED_VALUE"""),"70006416")</f>
        <v>70006416</v>
      </c>
      <c r="D10985" s="380" t="s">
        <v>767</v>
      </c>
      <c r="E10985" s="380" t="s">
        <v>786</v>
      </c>
      <c r="F10985" s="380" t="s">
        <v>998</v>
      </c>
      <c r="G10985" s="380" t="s">
        <v>1267</v>
      </c>
      <c r="H10985" s="380" t="s">
        <v>771</v>
      </c>
      <c r="I10985" s="380" t="s">
        <v>788</v>
      </c>
      <c r="J10985" s="380" t="s">
        <v>773</v>
      </c>
      <c r="K10985" s="381">
        <v>0.0</v>
      </c>
      <c r="L10985" s="382">
        <v>1.0</v>
      </c>
    </row>
    <row r="10986">
      <c r="A10986" s="380" t="s">
        <v>11860</v>
      </c>
      <c r="B10986" s="380" t="str">
        <f>IFERROR(__xludf.DUMMYFUNCTION("""COMPUTED_VALUE"""),"Tope Muelle Del Npr 8941013474")</f>
        <v>Tope Muelle Del Npr 8941013474</v>
      </c>
      <c r="C10986" s="380" t="str">
        <f>IFERROR(__xludf.DUMMYFUNCTION("""COMPUTED_VALUE"""),"70006417")</f>
        <v>70006417</v>
      </c>
      <c r="D10986" s="380" t="s">
        <v>767</v>
      </c>
      <c r="E10986" s="380" t="s">
        <v>786</v>
      </c>
      <c r="F10986" s="380" t="s">
        <v>1039</v>
      </c>
      <c r="G10986" s="380" t="s">
        <v>1267</v>
      </c>
      <c r="H10986" s="380" t="s">
        <v>771</v>
      </c>
      <c r="I10986" s="380" t="s">
        <v>788</v>
      </c>
      <c r="J10986" s="380" t="s">
        <v>773</v>
      </c>
      <c r="K10986" s="381">
        <v>0.0</v>
      </c>
      <c r="L10986" s="382">
        <v>1.0</v>
      </c>
    </row>
    <row r="10987">
      <c r="A10987" s="380" t="s">
        <v>11861</v>
      </c>
      <c r="B10987" s="380" t="str">
        <f>IFERROR(__xludf.DUMMYFUNCTION("""COMPUTED_VALUE"""),"Abrazadera Mofle 5"" SB 5"" Ecl 194")</f>
        <v>Abrazadera Mofle 5" SB 5" Ecl 194</v>
      </c>
      <c r="C10987" s="380" t="str">
        <f>IFERROR(__xludf.DUMMYFUNCTION("""COMPUTED_VALUE"""),"70006418")</f>
        <v>70006418</v>
      </c>
      <c r="D10987" s="380" t="s">
        <v>767</v>
      </c>
      <c r="E10987" s="380" t="s">
        <v>786</v>
      </c>
      <c r="F10987" s="380" t="s">
        <v>989</v>
      </c>
      <c r="G10987" s="380" t="s">
        <v>1267</v>
      </c>
      <c r="H10987" s="380" t="s">
        <v>771</v>
      </c>
      <c r="I10987" s="380" t="s">
        <v>788</v>
      </c>
      <c r="J10987" s="380" t="s">
        <v>773</v>
      </c>
      <c r="K10987" s="381">
        <v>36415.0</v>
      </c>
      <c r="L10987" s="382">
        <v>1.0</v>
      </c>
    </row>
    <row r="10988">
      <c r="A10988" s="380" t="s">
        <v>11862</v>
      </c>
      <c r="B10988" s="380" t="str">
        <f>IFERROR(__xludf.DUMMYFUNCTION("""COMPUTED_VALUE"""),"Bombillo Gotera Grande 17177 158 12 Vol")</f>
        <v>Bombillo Gotera Grande 17177 158 12 Vol</v>
      </c>
      <c r="C10988" s="380" t="str">
        <f>IFERROR(__xludf.DUMMYFUNCTION("""COMPUTED_VALUE"""),"70006419")</f>
        <v>70006419</v>
      </c>
      <c r="D10988" s="380" t="s">
        <v>767</v>
      </c>
      <c r="E10988" s="380" t="s">
        <v>786</v>
      </c>
      <c r="F10988" s="380" t="s">
        <v>998</v>
      </c>
      <c r="G10988" s="380" t="s">
        <v>1267</v>
      </c>
      <c r="H10988" s="380" t="s">
        <v>771</v>
      </c>
      <c r="I10988" s="380" t="s">
        <v>788</v>
      </c>
      <c r="J10988" s="380" t="s">
        <v>773</v>
      </c>
      <c r="K10988" s="381">
        <v>1214.0</v>
      </c>
      <c r="L10988" s="382">
        <v>1.0</v>
      </c>
    </row>
    <row r="10989">
      <c r="A10989" s="380" t="s">
        <v>11863</v>
      </c>
      <c r="B10989" s="380" t="str">
        <f>IFERROR(__xludf.DUMMYFUNCTION("""COMPUTED_VALUE"""),"Bombillo Gotera 17197 24v 906")</f>
        <v>Bombillo Gotera 17197 24v 906</v>
      </c>
      <c r="C10989" s="380" t="str">
        <f>IFERROR(__xludf.DUMMYFUNCTION("""COMPUTED_VALUE"""),"70006420")</f>
        <v>70006420</v>
      </c>
      <c r="D10989" s="380" t="s">
        <v>767</v>
      </c>
      <c r="E10989" s="380" t="s">
        <v>786</v>
      </c>
      <c r="F10989" s="380" t="s">
        <v>998</v>
      </c>
      <c r="G10989" s="380" t="s">
        <v>1267</v>
      </c>
      <c r="H10989" s="380" t="s">
        <v>771</v>
      </c>
      <c r="I10989" s="380" t="s">
        <v>788</v>
      </c>
      <c r="J10989" s="380" t="s">
        <v>773</v>
      </c>
      <c r="K10989" s="381">
        <v>2827.0</v>
      </c>
      <c r="L10989" s="382">
        <v>1.0</v>
      </c>
    </row>
    <row r="10990">
      <c r="A10990" s="380" t="s">
        <v>11864</v>
      </c>
      <c r="B10990" s="380" t="str">
        <f>IFERROR(__xludf.DUMMYFUNCTION("""COMPUTED_VALUE"""),"Empaque Puerta Sup Izq Nhr 8978521185")</f>
        <v>Empaque Puerta Sup Izq Nhr 8978521185</v>
      </c>
      <c r="C10990" s="380" t="str">
        <f>IFERROR(__xludf.DUMMYFUNCTION("""COMPUTED_VALUE"""),"70006421")</f>
        <v>70006421</v>
      </c>
      <c r="D10990" s="380" t="s">
        <v>767</v>
      </c>
      <c r="E10990" s="380" t="s">
        <v>786</v>
      </c>
      <c r="F10990" s="380" t="s">
        <v>792</v>
      </c>
      <c r="G10990" s="380" t="s">
        <v>1267</v>
      </c>
      <c r="H10990" s="380" t="s">
        <v>771</v>
      </c>
      <c r="I10990" s="380" t="s">
        <v>788</v>
      </c>
      <c r="J10990" s="380" t="s">
        <v>773</v>
      </c>
      <c r="K10990" s="381">
        <v>0.0</v>
      </c>
      <c r="L10990" s="382">
        <v>1.0</v>
      </c>
    </row>
    <row r="10991">
      <c r="A10991" s="380" t="s">
        <v>11865</v>
      </c>
      <c r="B10991" s="380" t="str">
        <f>IFERROR(__xludf.DUMMYFUNCTION("""COMPUTED_VALUE"""),"Sello Puerta Izq Nhr 8978929030")</f>
        <v>Sello Puerta Izq Nhr 8978929030</v>
      </c>
      <c r="C10991" s="380" t="str">
        <f>IFERROR(__xludf.DUMMYFUNCTION("""COMPUTED_VALUE"""),"70006422")</f>
        <v>70006422</v>
      </c>
      <c r="D10991" s="380" t="s">
        <v>767</v>
      </c>
      <c r="E10991" s="380" t="s">
        <v>786</v>
      </c>
      <c r="F10991" s="380" t="s">
        <v>792</v>
      </c>
      <c r="G10991" s="380" t="s">
        <v>1267</v>
      </c>
      <c r="H10991" s="380" t="s">
        <v>771</v>
      </c>
      <c r="I10991" s="380" t="s">
        <v>788</v>
      </c>
      <c r="J10991" s="380" t="s">
        <v>773</v>
      </c>
      <c r="K10991" s="381">
        <v>0.0</v>
      </c>
      <c r="L10991" s="382">
        <v>1.0</v>
      </c>
    </row>
    <row r="10992">
      <c r="A10992" s="380" t="s">
        <v>11866</v>
      </c>
      <c r="B10992" s="380" t="str">
        <f>IFERROR(__xludf.DUMMYFUNCTION("""COMPUTED_VALUE"""),"Lampara Direcal Izq Nhr 8978550062")</f>
        <v>Lampara Direcal Izq Nhr 8978550062</v>
      </c>
      <c r="C10992" s="380" t="str">
        <f>IFERROR(__xludf.DUMMYFUNCTION("""COMPUTED_VALUE"""),"70006423")</f>
        <v>70006423</v>
      </c>
      <c r="D10992" s="380" t="s">
        <v>767</v>
      </c>
      <c r="E10992" s="380" t="s">
        <v>786</v>
      </c>
      <c r="F10992" s="380" t="s">
        <v>998</v>
      </c>
      <c r="G10992" s="380" t="s">
        <v>1267</v>
      </c>
      <c r="H10992" s="380" t="s">
        <v>771</v>
      </c>
      <c r="I10992" s="380" t="s">
        <v>788</v>
      </c>
      <c r="J10992" s="380" t="s">
        <v>773</v>
      </c>
      <c r="K10992" s="381">
        <v>0.0</v>
      </c>
      <c r="L10992" s="382">
        <v>1.0</v>
      </c>
    </row>
    <row r="10993">
      <c r="A10993" s="380" t="s">
        <v>11867</v>
      </c>
      <c r="B10993" s="380" t="str">
        <f>IFERROR(__xludf.DUMMYFUNCTION("""COMPUTED_VALUE"""),"SOP CAB Del Izq Nhr-Nkr 8970968971")</f>
        <v>SOP CAB Del Izq Nhr-Nkr 8970968971</v>
      </c>
      <c r="C10993" s="380" t="str">
        <f>IFERROR(__xludf.DUMMYFUNCTION("""COMPUTED_VALUE"""),"70006424")</f>
        <v>70006424</v>
      </c>
      <c r="D10993" s="380" t="s">
        <v>767</v>
      </c>
      <c r="E10993" s="380" t="s">
        <v>786</v>
      </c>
      <c r="F10993" s="380" t="s">
        <v>792</v>
      </c>
      <c r="G10993" s="380" t="s">
        <v>1267</v>
      </c>
      <c r="H10993" s="380" t="s">
        <v>771</v>
      </c>
      <c r="I10993" s="380" t="s">
        <v>788</v>
      </c>
      <c r="J10993" s="380" t="s">
        <v>773</v>
      </c>
      <c r="K10993" s="381">
        <v>0.0</v>
      </c>
      <c r="L10993" s="382">
        <v>1.0</v>
      </c>
    </row>
    <row r="10994">
      <c r="A10994" s="380" t="s">
        <v>11868</v>
      </c>
      <c r="B10994" s="380" t="str">
        <f>IFERROR(__xludf.DUMMYFUNCTION("""COMPUTED_VALUE"""),"Vidrio Puerta Izq Npr 97123507")</f>
        <v>Vidrio Puerta Izq Npr 97123507</v>
      </c>
      <c r="C10994" s="380" t="str">
        <f>IFERROR(__xludf.DUMMYFUNCTION("""COMPUTED_VALUE"""),"70006425")</f>
        <v>70006425</v>
      </c>
      <c r="D10994" s="380" t="s">
        <v>767</v>
      </c>
      <c r="E10994" s="380" t="s">
        <v>786</v>
      </c>
      <c r="F10994" s="380" t="s">
        <v>792</v>
      </c>
      <c r="G10994" s="380" t="s">
        <v>1267</v>
      </c>
      <c r="H10994" s="380" t="s">
        <v>771</v>
      </c>
      <c r="I10994" s="380" t="s">
        <v>788</v>
      </c>
      <c r="J10994" s="380" t="s">
        <v>773</v>
      </c>
      <c r="K10994" s="381">
        <v>0.0</v>
      </c>
      <c r="L10994" s="382">
        <v>1.0</v>
      </c>
    </row>
    <row r="10995">
      <c r="A10995" s="380" t="s">
        <v>11869</v>
      </c>
      <c r="B10995" s="380" t="str">
        <f>IFERROR(__xludf.DUMMYFUNCTION("""COMPUTED_VALUE"""),"FILT AIR Planta ELEC Fleetguard Af1855")</f>
        <v>FILT AIR Planta ELEC Fleetguard Af1855</v>
      </c>
      <c r="C10995" s="380" t="str">
        <f>IFERROR(__xludf.DUMMYFUNCTION("""COMPUTED_VALUE"""),"70006426")</f>
        <v>70006426</v>
      </c>
      <c r="D10995" s="380" t="s">
        <v>767</v>
      </c>
      <c r="E10995" s="380" t="s">
        <v>786</v>
      </c>
      <c r="F10995" s="380" t="s">
        <v>5855</v>
      </c>
      <c r="G10995" s="380" t="s">
        <v>1267</v>
      </c>
      <c r="H10995" s="380" t="s">
        <v>771</v>
      </c>
      <c r="I10995" s="380" t="s">
        <v>788</v>
      </c>
      <c r="J10995" s="380" t="s">
        <v>773</v>
      </c>
      <c r="K10995" s="381">
        <v>0.0</v>
      </c>
      <c r="L10995" s="382">
        <v>1.0</v>
      </c>
    </row>
    <row r="10996">
      <c r="A10996" s="380" t="s">
        <v>11870</v>
      </c>
      <c r="B10996" s="380" t="str">
        <f>IFERROR(__xludf.DUMMYFUNCTION("""COMPUTED_VALUE"""),"Base Manija Tras Cabina Eagle 1663492c1")</f>
        <v>Base Manija Tras Cabina Eagle 1663492c1</v>
      </c>
      <c r="C10996" s="380" t="str">
        <f>IFERROR(__xludf.DUMMYFUNCTION("""COMPUTED_VALUE"""),"70006427")</f>
        <v>70006427</v>
      </c>
      <c r="D10996" s="380" t="s">
        <v>767</v>
      </c>
      <c r="E10996" s="380" t="s">
        <v>786</v>
      </c>
      <c r="F10996" s="380" t="s">
        <v>792</v>
      </c>
      <c r="G10996" s="380" t="s">
        <v>1267</v>
      </c>
      <c r="H10996" s="380" t="s">
        <v>771</v>
      </c>
      <c r="I10996" s="380" t="s">
        <v>788</v>
      </c>
      <c r="J10996" s="380" t="s">
        <v>773</v>
      </c>
      <c r="K10996" s="381">
        <v>0.0</v>
      </c>
      <c r="L10996" s="382">
        <v>1.0</v>
      </c>
    </row>
    <row r="10997">
      <c r="A10997" s="380" t="s">
        <v>11871</v>
      </c>
      <c r="B10997" s="380" t="str">
        <f>IFERROR(__xludf.DUMMYFUNCTION("""COMPUTED_VALUE"""),"Base Farola Interna Cabina Nhr")</f>
        <v>Base Farola Interna Cabina Nhr</v>
      </c>
      <c r="C10997" s="380" t="str">
        <f>IFERROR(__xludf.DUMMYFUNCTION("""COMPUTED_VALUE"""),"70006428")</f>
        <v>70006428</v>
      </c>
      <c r="D10997" s="380" t="s">
        <v>767</v>
      </c>
      <c r="E10997" s="380" t="s">
        <v>786</v>
      </c>
      <c r="F10997" s="380" t="s">
        <v>792</v>
      </c>
      <c r="G10997" s="380" t="s">
        <v>1267</v>
      </c>
      <c r="H10997" s="380" t="s">
        <v>771</v>
      </c>
      <c r="I10997" s="380" t="s">
        <v>788</v>
      </c>
      <c r="J10997" s="380" t="s">
        <v>773</v>
      </c>
      <c r="K10997" s="381">
        <v>0.0</v>
      </c>
      <c r="L10997" s="382">
        <v>1.0</v>
      </c>
    </row>
    <row r="10998">
      <c r="A10998" s="380" t="s">
        <v>11872</v>
      </c>
      <c r="B10998" s="380" t="str">
        <f>IFERROR(__xludf.DUMMYFUNCTION("""COMPUTED_VALUE"""),"Persiana Capot Eagle 3566927c91")</f>
        <v>Persiana Capot Eagle 3566927c91</v>
      </c>
      <c r="C10998" s="380" t="str">
        <f>IFERROR(__xludf.DUMMYFUNCTION("""COMPUTED_VALUE"""),"70006429")</f>
        <v>70006429</v>
      </c>
      <c r="D10998" s="380" t="s">
        <v>767</v>
      </c>
      <c r="E10998" s="380" t="s">
        <v>786</v>
      </c>
      <c r="F10998" s="380" t="s">
        <v>792</v>
      </c>
      <c r="G10998" s="380" t="s">
        <v>1267</v>
      </c>
      <c r="H10998" s="380" t="s">
        <v>771</v>
      </c>
      <c r="I10998" s="380" t="s">
        <v>788</v>
      </c>
      <c r="J10998" s="380" t="s">
        <v>773</v>
      </c>
      <c r="K10998" s="381">
        <v>0.0</v>
      </c>
      <c r="L10998" s="382">
        <v>1.0</v>
      </c>
    </row>
    <row r="10999">
      <c r="A10999" s="380" t="s">
        <v>11873</v>
      </c>
      <c r="B10999" s="380" t="str">
        <f>IFERROR(__xludf.DUMMYFUNCTION("""COMPUTED_VALUE"""),"Tablero Instrumentos CAB Nhr 8971959612")</f>
        <v>Tablero Instrumentos CAB Nhr 8971959612</v>
      </c>
      <c r="C10999" s="380" t="str">
        <f>IFERROR(__xludf.DUMMYFUNCTION("""COMPUTED_VALUE"""),"70006430")</f>
        <v>70006430</v>
      </c>
      <c r="D10999" s="380" t="s">
        <v>767</v>
      </c>
      <c r="E10999" s="380" t="s">
        <v>786</v>
      </c>
      <c r="F10999" s="380" t="s">
        <v>792</v>
      </c>
      <c r="G10999" s="380" t="s">
        <v>1267</v>
      </c>
      <c r="H10999" s="380" t="s">
        <v>771</v>
      </c>
      <c r="I10999" s="380" t="s">
        <v>788</v>
      </c>
      <c r="J10999" s="380" t="s">
        <v>773</v>
      </c>
      <c r="K10999" s="381">
        <v>0.0</v>
      </c>
      <c r="L10999" s="382">
        <v>1.0</v>
      </c>
    </row>
    <row r="11000">
      <c r="A11000" s="380" t="s">
        <v>11874</v>
      </c>
      <c r="B11000" s="380" t="str">
        <f>IFERROR(__xludf.DUMMYFUNCTION("""COMPUTED_VALUE"""),"Grifo Limpiabrisas Nhr 8978551341")</f>
        <v>Grifo Limpiabrisas Nhr 8978551341</v>
      </c>
      <c r="C11000" s="380" t="str">
        <f>IFERROR(__xludf.DUMMYFUNCTION("""COMPUTED_VALUE"""),"70006431")</f>
        <v>70006431</v>
      </c>
      <c r="D11000" s="380" t="s">
        <v>767</v>
      </c>
      <c r="E11000" s="380" t="s">
        <v>786</v>
      </c>
      <c r="F11000" s="380" t="s">
        <v>792</v>
      </c>
      <c r="G11000" s="380" t="s">
        <v>1267</v>
      </c>
      <c r="H11000" s="380" t="s">
        <v>771</v>
      </c>
      <c r="I11000" s="380" t="s">
        <v>788</v>
      </c>
      <c r="J11000" s="380" t="s">
        <v>773</v>
      </c>
      <c r="K11000" s="381">
        <v>0.0</v>
      </c>
      <c r="L11000" s="382">
        <v>1.0</v>
      </c>
    </row>
    <row r="11001">
      <c r="A11001" s="380" t="s">
        <v>11875</v>
      </c>
      <c r="B11001" s="380" t="str">
        <f>IFERROR(__xludf.DUMMYFUNCTION("""COMPUTED_VALUE"""),"Embellecedor Frontal De Nhr")</f>
        <v>Embellecedor Frontal De Nhr</v>
      </c>
      <c r="C11001" s="380" t="str">
        <f>IFERROR(__xludf.DUMMYFUNCTION("""COMPUTED_VALUE"""),"70006432")</f>
        <v>70006432</v>
      </c>
      <c r="D11001" s="380" t="s">
        <v>767</v>
      </c>
      <c r="E11001" s="380" t="s">
        <v>786</v>
      </c>
      <c r="F11001" s="380" t="s">
        <v>792</v>
      </c>
      <c r="G11001" s="380" t="s">
        <v>1267</v>
      </c>
      <c r="H11001" s="380" t="s">
        <v>771</v>
      </c>
      <c r="I11001" s="380" t="s">
        <v>788</v>
      </c>
      <c r="J11001" s="380" t="s">
        <v>773</v>
      </c>
      <c r="K11001" s="381">
        <v>1350276.0</v>
      </c>
      <c r="L11001" s="382">
        <v>1.0</v>
      </c>
    </row>
    <row r="11002">
      <c r="A11002" s="380" t="s">
        <v>11876</v>
      </c>
      <c r="B11002" s="380" t="str">
        <f>IFERROR(__xludf.DUMMYFUNCTION("""COMPUTED_VALUE"""),"Buje Del Templete Nissan 55045w023")</f>
        <v>Buje Del Templete Nissan 55045w023</v>
      </c>
      <c r="C11002" s="380" t="str">
        <f>IFERROR(__xludf.DUMMYFUNCTION("""COMPUTED_VALUE"""),"70006433")</f>
        <v>70006433</v>
      </c>
      <c r="D11002" s="380" t="s">
        <v>767</v>
      </c>
      <c r="E11002" s="380" t="s">
        <v>786</v>
      </c>
      <c r="F11002" s="380" t="s">
        <v>1039</v>
      </c>
      <c r="G11002" s="380" t="s">
        <v>1267</v>
      </c>
      <c r="H11002" s="380" t="s">
        <v>771</v>
      </c>
      <c r="I11002" s="380" t="s">
        <v>788</v>
      </c>
      <c r="J11002" s="380" t="s">
        <v>773</v>
      </c>
      <c r="K11002" s="381">
        <v>0.0</v>
      </c>
      <c r="L11002" s="382">
        <v>1.0</v>
      </c>
    </row>
    <row r="11003">
      <c r="A11003" s="380" t="s">
        <v>11877</v>
      </c>
      <c r="B11003" s="380" t="str">
        <f>IFERROR(__xludf.DUMMYFUNCTION("""COMPUTED_VALUE"""),"Stop Tras Izq Eagle Internatio Zbj53762")</f>
        <v>Stop Tras Izq Eagle Internatio Zbj53762</v>
      </c>
      <c r="C11003" s="380" t="str">
        <f>IFERROR(__xludf.DUMMYFUNCTION("""COMPUTED_VALUE"""),"70006434")</f>
        <v>70006434</v>
      </c>
      <c r="D11003" s="380" t="s">
        <v>767</v>
      </c>
      <c r="E11003" s="380" t="s">
        <v>786</v>
      </c>
      <c r="F11003" s="380" t="s">
        <v>998</v>
      </c>
      <c r="G11003" s="380" t="s">
        <v>1267</v>
      </c>
      <c r="H11003" s="380" t="s">
        <v>771</v>
      </c>
      <c r="I11003" s="380" t="s">
        <v>788</v>
      </c>
      <c r="J11003" s="380" t="s">
        <v>773</v>
      </c>
      <c r="K11003" s="381">
        <v>0.0</v>
      </c>
      <c r="L11003" s="382">
        <v>1.0</v>
      </c>
    </row>
    <row r="11004">
      <c r="A11004" s="380" t="s">
        <v>11878</v>
      </c>
      <c r="B11004" s="380" t="str">
        <f>IFERROR(__xludf.DUMMYFUNCTION("""COMPUTED_VALUE"""),"Espejo Retrovisor Npr 8942625433")</f>
        <v>Espejo Retrovisor Npr 8942625433</v>
      </c>
      <c r="C11004" s="380" t="str">
        <f>IFERROR(__xludf.DUMMYFUNCTION("""COMPUTED_VALUE"""),"70006435")</f>
        <v>70006435</v>
      </c>
      <c r="D11004" s="380" t="s">
        <v>767</v>
      </c>
      <c r="E11004" s="380" t="s">
        <v>786</v>
      </c>
      <c r="F11004" s="380" t="s">
        <v>792</v>
      </c>
      <c r="G11004" s="380" t="s">
        <v>1267</v>
      </c>
      <c r="H11004" s="380" t="s">
        <v>771</v>
      </c>
      <c r="I11004" s="380" t="s">
        <v>788</v>
      </c>
      <c r="J11004" s="380" t="s">
        <v>773</v>
      </c>
      <c r="K11004" s="381">
        <v>0.0</v>
      </c>
      <c r="L11004" s="382">
        <v>1.0</v>
      </c>
    </row>
    <row r="11005">
      <c r="A11005" s="380" t="s">
        <v>11879</v>
      </c>
      <c r="B11005" s="380" t="str">
        <f>IFERROR(__xludf.DUMMYFUNCTION("""COMPUTED_VALUE"""),"Lampara Ppal Der Completa Npr 8978550447")</f>
        <v>Lampara Ppal Der Completa Npr 8978550447</v>
      </c>
      <c r="C11005" s="380" t="str">
        <f>IFERROR(__xludf.DUMMYFUNCTION("""COMPUTED_VALUE"""),"70006436")</f>
        <v>70006436</v>
      </c>
      <c r="D11005" s="380" t="s">
        <v>767</v>
      </c>
      <c r="E11005" s="380" t="s">
        <v>786</v>
      </c>
      <c r="F11005" s="380" t="s">
        <v>998</v>
      </c>
      <c r="G11005" s="380" t="s">
        <v>1267</v>
      </c>
      <c r="H11005" s="380" t="s">
        <v>771</v>
      </c>
      <c r="I11005" s="380" t="s">
        <v>788</v>
      </c>
      <c r="J11005" s="380" t="s">
        <v>773</v>
      </c>
      <c r="K11005" s="381">
        <v>0.0</v>
      </c>
      <c r="L11005" s="382">
        <v>1.0</v>
      </c>
    </row>
    <row r="11006">
      <c r="A11006" s="380" t="s">
        <v>11880</v>
      </c>
      <c r="B11006" s="380" t="str">
        <f>IFERROR(__xludf.DUMMYFUNCTION("""COMPUTED_VALUE"""),"Clip Embellecedor Nhr 8978531690")</f>
        <v>Clip Embellecedor Nhr 8978531690</v>
      </c>
      <c r="C11006" s="380" t="str">
        <f>IFERROR(__xludf.DUMMYFUNCTION("""COMPUTED_VALUE"""),"70006438")</f>
        <v>70006438</v>
      </c>
      <c r="D11006" s="380" t="s">
        <v>767</v>
      </c>
      <c r="E11006" s="380" t="s">
        <v>786</v>
      </c>
      <c r="F11006" s="380" t="s">
        <v>792</v>
      </c>
      <c r="G11006" s="380" t="s">
        <v>1267</v>
      </c>
      <c r="H11006" s="380" t="s">
        <v>771</v>
      </c>
      <c r="I11006" s="380" t="s">
        <v>788</v>
      </c>
      <c r="J11006" s="380" t="s">
        <v>773</v>
      </c>
      <c r="K11006" s="381">
        <v>0.0</v>
      </c>
      <c r="L11006" s="382">
        <v>1.0</v>
      </c>
    </row>
    <row r="11007">
      <c r="A11007" s="380" t="s">
        <v>11881</v>
      </c>
      <c r="B11007" s="380" t="str">
        <f>IFERROR(__xludf.DUMMYFUNCTION("""COMPUTED_VALUE"""),"Bombillo Un Contacto 1141- 17 12 Voltios")</f>
        <v>Bombillo Un Contacto 1141- 17 12 Voltios</v>
      </c>
      <c r="C11007" s="380" t="str">
        <f>IFERROR(__xludf.DUMMYFUNCTION("""COMPUTED_VALUE"""),"70006439")</f>
        <v>70006439</v>
      </c>
      <c r="D11007" s="380" t="s">
        <v>767</v>
      </c>
      <c r="E11007" s="380" t="s">
        <v>786</v>
      </c>
      <c r="F11007" s="380" t="s">
        <v>998</v>
      </c>
      <c r="G11007" s="380" t="s">
        <v>1267</v>
      </c>
      <c r="H11007" s="380" t="s">
        <v>771</v>
      </c>
      <c r="I11007" s="380" t="s">
        <v>788</v>
      </c>
      <c r="J11007" s="380" t="s">
        <v>773</v>
      </c>
      <c r="K11007" s="381">
        <v>1814.0</v>
      </c>
      <c r="L11007" s="382">
        <v>1.0</v>
      </c>
    </row>
    <row r="11008">
      <c r="A11008" s="380" t="s">
        <v>11882</v>
      </c>
      <c r="B11008" s="380" t="str">
        <f>IFERROR(__xludf.DUMMYFUNCTION("""COMPUTED_VALUE"""),"Freno Parqueo Npr 8971002123")</f>
        <v>Freno Parqueo Npr 8971002123</v>
      </c>
      <c r="C11008" s="380" t="str">
        <f>IFERROR(__xludf.DUMMYFUNCTION("""COMPUTED_VALUE"""),"70006440")</f>
        <v>70006440</v>
      </c>
      <c r="D11008" s="380" t="s">
        <v>767</v>
      </c>
      <c r="E11008" s="380" t="s">
        <v>786</v>
      </c>
      <c r="F11008" s="380" t="s">
        <v>1017</v>
      </c>
      <c r="G11008" s="380" t="s">
        <v>1267</v>
      </c>
      <c r="H11008" s="380" t="s">
        <v>771</v>
      </c>
      <c r="I11008" s="380" t="s">
        <v>788</v>
      </c>
      <c r="J11008" s="380" t="s">
        <v>773</v>
      </c>
      <c r="K11008" s="381">
        <v>0.0</v>
      </c>
      <c r="L11008" s="382">
        <v>1.0</v>
      </c>
    </row>
    <row r="11009">
      <c r="A11009" s="380" t="s">
        <v>11883</v>
      </c>
      <c r="B11009" s="380" t="str">
        <f>IFERROR(__xludf.DUMMYFUNCTION("""COMPUTED_VALUE"""),"Clip Persiana Radiador Nhr 8971024150")</f>
        <v>Clip Persiana Radiador Nhr 8971024150</v>
      </c>
      <c r="C11009" s="380" t="str">
        <f>IFERROR(__xludf.DUMMYFUNCTION("""COMPUTED_VALUE"""),"70006441")</f>
        <v>70006441</v>
      </c>
      <c r="D11009" s="380" t="s">
        <v>767</v>
      </c>
      <c r="E11009" s="380" t="s">
        <v>786</v>
      </c>
      <c r="F11009" s="380" t="s">
        <v>792</v>
      </c>
      <c r="G11009" s="380" t="s">
        <v>1267</v>
      </c>
      <c r="H11009" s="380" t="s">
        <v>771</v>
      </c>
      <c r="I11009" s="380" t="s">
        <v>788</v>
      </c>
      <c r="J11009" s="380" t="s">
        <v>773</v>
      </c>
      <c r="K11009" s="381">
        <v>0.0</v>
      </c>
      <c r="L11009" s="382">
        <v>1.0</v>
      </c>
    </row>
    <row r="11010">
      <c r="A11010" s="380" t="s">
        <v>11884</v>
      </c>
      <c r="B11010" s="380" t="str">
        <f>IFERROR(__xludf.DUMMYFUNCTION("""COMPUTED_VALUE"""),"Bombillo Un Contacto 24 Vol 24 Voltios")</f>
        <v>Bombillo Un Contacto 24 Vol 24 Voltios</v>
      </c>
      <c r="C11010" s="380" t="str">
        <f>IFERROR(__xludf.DUMMYFUNCTION("""COMPUTED_VALUE"""),"70006442")</f>
        <v>70006442</v>
      </c>
      <c r="D11010" s="380" t="s">
        <v>767</v>
      </c>
      <c r="E11010" s="380" t="s">
        <v>786</v>
      </c>
      <c r="F11010" s="380" t="s">
        <v>998</v>
      </c>
      <c r="G11010" s="380" t="s">
        <v>1267</v>
      </c>
      <c r="H11010" s="380" t="s">
        <v>771</v>
      </c>
      <c r="I11010" s="380" t="s">
        <v>788</v>
      </c>
      <c r="J11010" s="380" t="s">
        <v>773</v>
      </c>
      <c r="K11010" s="381">
        <v>3540.0</v>
      </c>
      <c r="L11010" s="382">
        <v>1.0</v>
      </c>
    </row>
    <row r="11011">
      <c r="A11011" s="380" t="s">
        <v>11885</v>
      </c>
      <c r="B11011" s="380" t="str">
        <f>IFERROR(__xludf.DUMMYFUNCTION("""COMPUTED_VALUE"""),"Puerta Izq Npr- Nkr 8975814431")</f>
        <v>Puerta Izq Npr- Nkr 8975814431</v>
      </c>
      <c r="C11011" s="380" t="str">
        <f>IFERROR(__xludf.DUMMYFUNCTION("""COMPUTED_VALUE"""),"70006443")</f>
        <v>70006443</v>
      </c>
      <c r="D11011" s="380" t="s">
        <v>767</v>
      </c>
      <c r="E11011" s="380" t="s">
        <v>786</v>
      </c>
      <c r="F11011" s="380" t="s">
        <v>792</v>
      </c>
      <c r="G11011" s="380" t="s">
        <v>1267</v>
      </c>
      <c r="H11011" s="380" t="s">
        <v>771</v>
      </c>
      <c r="I11011" s="380" t="s">
        <v>788</v>
      </c>
      <c r="J11011" s="380" t="s">
        <v>773</v>
      </c>
      <c r="K11011" s="381">
        <v>0.0</v>
      </c>
      <c r="L11011" s="382">
        <v>1.0</v>
      </c>
    </row>
    <row r="11012">
      <c r="A11012" s="380" t="s">
        <v>11886</v>
      </c>
      <c r="B11012" s="380" t="str">
        <f>IFERROR(__xludf.DUMMYFUNCTION("""COMPUTED_VALUE"""),"Abrazadera Mofle Turbo Cum-186917")</f>
        <v>Abrazadera Mofle Turbo Cum-186917</v>
      </c>
      <c r="C11012" s="380" t="str">
        <f>IFERROR(__xludf.DUMMYFUNCTION("""COMPUTED_VALUE"""),"70006444")</f>
        <v>70006444</v>
      </c>
      <c r="D11012" s="380" t="s">
        <v>767</v>
      </c>
      <c r="E11012" s="380" t="s">
        <v>786</v>
      </c>
      <c r="F11012" s="380" t="s">
        <v>792</v>
      </c>
      <c r="G11012" s="380" t="s">
        <v>1267</v>
      </c>
      <c r="H11012" s="380" t="s">
        <v>771</v>
      </c>
      <c r="I11012" s="380" t="s">
        <v>788</v>
      </c>
      <c r="J11012" s="380" t="s">
        <v>773</v>
      </c>
      <c r="K11012" s="381">
        <v>0.0</v>
      </c>
      <c r="L11012" s="382">
        <v>1.0</v>
      </c>
    </row>
    <row r="11013">
      <c r="A11013" s="380" t="s">
        <v>11887</v>
      </c>
      <c r="B11013" s="380" t="str">
        <f>IFERROR(__xludf.DUMMYFUNCTION("""COMPUTED_VALUE"""),"Bombillo Cabina 1248")</f>
        <v>Bombillo Cabina 1248</v>
      </c>
      <c r="C11013" s="380" t="str">
        <f>IFERROR(__xludf.DUMMYFUNCTION("""COMPUTED_VALUE"""),"70006445")</f>
        <v>70006445</v>
      </c>
      <c r="D11013" s="380" t="s">
        <v>767</v>
      </c>
      <c r="E11013" s="380" t="s">
        <v>786</v>
      </c>
      <c r="F11013" s="380" t="s">
        <v>998</v>
      </c>
      <c r="G11013" s="380" t="s">
        <v>1267</v>
      </c>
      <c r="H11013" s="380" t="s">
        <v>771</v>
      </c>
      <c r="I11013" s="380" t="s">
        <v>788</v>
      </c>
      <c r="J11013" s="380" t="s">
        <v>773</v>
      </c>
      <c r="K11013" s="381">
        <v>0.0</v>
      </c>
      <c r="L11013" s="382">
        <v>1.0</v>
      </c>
    </row>
    <row r="11014">
      <c r="A11014" s="380" t="s">
        <v>11888</v>
      </c>
      <c r="B11014" s="380" t="str">
        <f>IFERROR(__xludf.DUMMYFUNCTION("""COMPUTED_VALUE"""),"MANG Sup RAD Super Carry 95617027")</f>
        <v>MANG Sup RAD Super Carry 95617027</v>
      </c>
      <c r="C11014" s="380" t="str">
        <f>IFERROR(__xludf.DUMMYFUNCTION("""COMPUTED_VALUE"""),"70006446")</f>
        <v>70006446</v>
      </c>
      <c r="D11014" s="380" t="s">
        <v>767</v>
      </c>
      <c r="E11014" s="380" t="s">
        <v>786</v>
      </c>
      <c r="F11014" s="380" t="s">
        <v>787</v>
      </c>
      <c r="G11014" s="380" t="s">
        <v>1267</v>
      </c>
      <c r="H11014" s="380" t="s">
        <v>771</v>
      </c>
      <c r="I11014" s="380" t="s">
        <v>788</v>
      </c>
      <c r="J11014" s="380" t="s">
        <v>773</v>
      </c>
      <c r="K11014" s="381">
        <v>0.0</v>
      </c>
      <c r="L11014" s="382">
        <v>1.0</v>
      </c>
    </row>
    <row r="11015">
      <c r="A11015" s="380" t="s">
        <v>11889</v>
      </c>
      <c r="B11015" s="380" t="str">
        <f>IFERROR(__xludf.DUMMYFUNCTION("""COMPUTED_VALUE"""),"Guaya Selector Cambios Nhr 8970899872")</f>
        <v>Guaya Selector Cambios Nhr 8970899872</v>
      </c>
      <c r="C11015" s="380" t="str">
        <f>IFERROR(__xludf.DUMMYFUNCTION("""COMPUTED_VALUE"""),"70006447")</f>
        <v>70006447</v>
      </c>
      <c r="D11015" s="380" t="s">
        <v>767</v>
      </c>
      <c r="E11015" s="380" t="s">
        <v>786</v>
      </c>
      <c r="F11015" s="380" t="s">
        <v>928</v>
      </c>
      <c r="G11015" s="380" t="s">
        <v>1267</v>
      </c>
      <c r="H11015" s="380" t="s">
        <v>771</v>
      </c>
      <c r="I11015" s="380" t="s">
        <v>788</v>
      </c>
      <c r="J11015" s="380" t="s">
        <v>773</v>
      </c>
      <c r="K11015" s="381">
        <v>0.0</v>
      </c>
      <c r="L11015" s="382">
        <v>1.0</v>
      </c>
    </row>
    <row r="11016">
      <c r="A11016" s="380" t="s">
        <v>11890</v>
      </c>
      <c r="B11016" s="380" t="str">
        <f>IFERROR(__xludf.DUMMYFUNCTION("""COMPUTED_VALUE"""),"Guaya Control Cambios Nhr 8970899863")</f>
        <v>Guaya Control Cambios Nhr 8970899863</v>
      </c>
      <c r="C11016" s="380" t="str">
        <f>IFERROR(__xludf.DUMMYFUNCTION("""COMPUTED_VALUE"""),"70006448")</f>
        <v>70006448</v>
      </c>
      <c r="D11016" s="380" t="s">
        <v>767</v>
      </c>
      <c r="E11016" s="380" t="s">
        <v>786</v>
      </c>
      <c r="F11016" s="380" t="s">
        <v>928</v>
      </c>
      <c r="G11016" s="380" t="s">
        <v>1267</v>
      </c>
      <c r="H11016" s="380" t="s">
        <v>771</v>
      </c>
      <c r="I11016" s="380" t="s">
        <v>788</v>
      </c>
      <c r="J11016" s="380" t="s">
        <v>773</v>
      </c>
      <c r="K11016" s="381">
        <v>0.0</v>
      </c>
      <c r="L11016" s="382">
        <v>1.0</v>
      </c>
    </row>
    <row r="11017">
      <c r="A11017" s="380" t="s">
        <v>11891</v>
      </c>
      <c r="B11017" s="380" t="str">
        <f>IFERROR(__xludf.DUMMYFUNCTION("""COMPUTED_VALUE"""),"Bombillo Lampara Cabina Hi Ge2112 211-2")</f>
        <v>Bombillo Lampara Cabina Hi Ge2112 211-2</v>
      </c>
      <c r="C11017" s="380" t="str">
        <f>IFERROR(__xludf.DUMMYFUNCTION("""COMPUTED_VALUE"""),"70006449")</f>
        <v>70006449</v>
      </c>
      <c r="D11017" s="380" t="s">
        <v>767</v>
      </c>
      <c r="E11017" s="380" t="s">
        <v>786</v>
      </c>
      <c r="F11017" s="380" t="s">
        <v>998</v>
      </c>
      <c r="G11017" s="380" t="s">
        <v>1267</v>
      </c>
      <c r="H11017" s="380" t="s">
        <v>771</v>
      </c>
      <c r="I11017" s="380" t="s">
        <v>788</v>
      </c>
      <c r="J11017" s="380" t="s">
        <v>773</v>
      </c>
      <c r="K11017" s="381">
        <v>4538.0</v>
      </c>
      <c r="L11017" s="382">
        <v>1.0</v>
      </c>
    </row>
    <row r="11018">
      <c r="A11018" s="380" t="s">
        <v>11892</v>
      </c>
      <c r="B11018" s="380" t="str">
        <f>IFERROR(__xludf.DUMMYFUNCTION("""COMPUTED_VALUE"""),"Espejo Retrovisor Nhr")</f>
        <v>Espejo Retrovisor Nhr</v>
      </c>
      <c r="C11018" s="380" t="str">
        <f>IFERROR(__xludf.DUMMYFUNCTION("""COMPUTED_VALUE"""),"70006450")</f>
        <v>70006450</v>
      </c>
      <c r="D11018" s="380" t="s">
        <v>767</v>
      </c>
      <c r="E11018" s="380" t="s">
        <v>786</v>
      </c>
      <c r="F11018" s="380" t="s">
        <v>792</v>
      </c>
      <c r="G11018" s="380" t="s">
        <v>1267</v>
      </c>
      <c r="H11018" s="380" t="s">
        <v>771</v>
      </c>
      <c r="I11018" s="380" t="s">
        <v>788</v>
      </c>
      <c r="J11018" s="380" t="s">
        <v>773</v>
      </c>
      <c r="K11018" s="381">
        <v>0.0</v>
      </c>
      <c r="L11018" s="382">
        <v>1.0</v>
      </c>
    </row>
    <row r="11019">
      <c r="A11019" s="380" t="s">
        <v>11893</v>
      </c>
      <c r="B11019" s="380" t="str">
        <f>IFERROR(__xludf.DUMMYFUNCTION("""COMPUTED_VALUE"""),"Buje Templete Sup Nissan 550460w001")</f>
        <v>Buje Templete Sup Nissan 550460w001</v>
      </c>
      <c r="C11019" s="380" t="str">
        <f>IFERROR(__xludf.DUMMYFUNCTION("""COMPUTED_VALUE"""),"70006451")</f>
        <v>70006451</v>
      </c>
      <c r="D11019" s="380" t="s">
        <v>767</v>
      </c>
      <c r="E11019" s="380" t="s">
        <v>786</v>
      </c>
      <c r="F11019" s="380" t="s">
        <v>1039</v>
      </c>
      <c r="G11019" s="380" t="s">
        <v>1267</v>
      </c>
      <c r="H11019" s="380" t="s">
        <v>771</v>
      </c>
      <c r="I11019" s="380" t="s">
        <v>788</v>
      </c>
      <c r="J11019" s="380" t="s">
        <v>773</v>
      </c>
      <c r="K11019" s="381">
        <v>0.0</v>
      </c>
      <c r="L11019" s="382">
        <v>1.0</v>
      </c>
    </row>
    <row r="11020">
      <c r="A11020" s="380" t="s">
        <v>11894</v>
      </c>
      <c r="B11020" s="380" t="str">
        <f>IFERROR(__xludf.DUMMYFUNCTION("""COMPUTED_VALUE"""),"Bombillo D Contacto Pata Parejo Hi 1142")</f>
        <v>Bombillo D Contacto Pata Parejo Hi 1142</v>
      </c>
      <c r="C11020" s="380" t="str">
        <f>IFERROR(__xludf.DUMMYFUNCTION("""COMPUTED_VALUE"""),"70006452")</f>
        <v>70006452</v>
      </c>
      <c r="D11020" s="380" t="s">
        <v>767</v>
      </c>
      <c r="E11020" s="380" t="s">
        <v>786</v>
      </c>
      <c r="F11020" s="380" t="s">
        <v>998</v>
      </c>
      <c r="G11020" s="380" t="s">
        <v>1267</v>
      </c>
      <c r="H11020" s="380" t="s">
        <v>771</v>
      </c>
      <c r="I11020" s="380" t="s">
        <v>788</v>
      </c>
      <c r="J11020" s="380" t="s">
        <v>773</v>
      </c>
      <c r="K11020" s="381">
        <v>3819.0</v>
      </c>
      <c r="L11020" s="382">
        <v>1.0</v>
      </c>
    </row>
    <row r="11021">
      <c r="A11021" s="380" t="s">
        <v>11895</v>
      </c>
      <c r="B11021" s="380" t="str">
        <f>IFERROR(__xludf.DUMMYFUNCTION("""COMPUTED_VALUE"""),"Base Farola Cabina Nhr")</f>
        <v>Base Farola Cabina Nhr</v>
      </c>
      <c r="C11021" s="380" t="str">
        <f>IFERROR(__xludf.DUMMYFUNCTION("""COMPUTED_VALUE"""),"70006453")</f>
        <v>70006453</v>
      </c>
      <c r="D11021" s="380" t="s">
        <v>767</v>
      </c>
      <c r="E11021" s="380" t="s">
        <v>786</v>
      </c>
      <c r="F11021" s="380" t="s">
        <v>792</v>
      </c>
      <c r="G11021" s="380" t="s">
        <v>1267</v>
      </c>
      <c r="H11021" s="380" t="s">
        <v>771</v>
      </c>
      <c r="I11021" s="380" t="s">
        <v>788</v>
      </c>
      <c r="J11021" s="380" t="s">
        <v>773</v>
      </c>
      <c r="K11021" s="381">
        <v>0.0</v>
      </c>
      <c r="L11021" s="382">
        <v>1.0</v>
      </c>
    </row>
    <row r="11022">
      <c r="A11022" s="380" t="s">
        <v>11896</v>
      </c>
      <c r="B11022" s="380" t="str">
        <f>IFERROR(__xludf.DUMMYFUNCTION("""COMPUTED_VALUE"""),"Piñon Divisor De Potencia Eaton Eg113328")</f>
        <v>Piñon Divisor De Potencia Eaton Eg113328</v>
      </c>
      <c r="C11022" s="380" t="str">
        <f>IFERROR(__xludf.DUMMYFUNCTION("""COMPUTED_VALUE"""),"70006454")</f>
        <v>70006454</v>
      </c>
      <c r="D11022" s="380" t="s">
        <v>767</v>
      </c>
      <c r="E11022" s="380" t="s">
        <v>786</v>
      </c>
      <c r="F11022" s="380" t="s">
        <v>5683</v>
      </c>
      <c r="G11022" s="380" t="s">
        <v>1267</v>
      </c>
      <c r="H11022" s="380" t="s">
        <v>771</v>
      </c>
      <c r="I11022" s="380" t="s">
        <v>788</v>
      </c>
      <c r="J11022" s="380" t="s">
        <v>773</v>
      </c>
      <c r="K11022" s="381">
        <v>0.0</v>
      </c>
      <c r="L11022" s="382">
        <v>1.0</v>
      </c>
    </row>
    <row r="11023">
      <c r="A11023" s="380" t="s">
        <v>11897</v>
      </c>
      <c r="B11023" s="380" t="str">
        <f>IFERROR(__xludf.DUMMYFUNCTION("""COMPUTED_VALUE"""),"Varilla Cilindro Embrague Nhr 8944596980")</f>
        <v>Varilla Cilindro Embrague Nhr 8944596980</v>
      </c>
      <c r="C11023" s="380" t="str">
        <f>IFERROR(__xludf.DUMMYFUNCTION("""COMPUTED_VALUE"""),"70006455")</f>
        <v>70006455</v>
      </c>
      <c r="D11023" s="380" t="s">
        <v>767</v>
      </c>
      <c r="E11023" s="380" t="s">
        <v>786</v>
      </c>
      <c r="F11023" s="380" t="s">
        <v>5661</v>
      </c>
      <c r="G11023" s="380" t="s">
        <v>1267</v>
      </c>
      <c r="H11023" s="380" t="s">
        <v>771</v>
      </c>
      <c r="I11023" s="380" t="s">
        <v>788</v>
      </c>
      <c r="J11023" s="380" t="s">
        <v>773</v>
      </c>
      <c r="K11023" s="381">
        <v>0.0</v>
      </c>
      <c r="L11023" s="382">
        <v>1.0</v>
      </c>
    </row>
    <row r="11024">
      <c r="A11024" s="380" t="s">
        <v>11898</v>
      </c>
      <c r="B11024" s="380" t="str">
        <f>IFERROR(__xludf.DUMMYFUNCTION("""COMPUTED_VALUE"""),"SOP Palanca EMB Nhr - Nkr 8971821660")</f>
        <v>SOP Palanca EMB Nhr - Nkr 8971821660</v>
      </c>
      <c r="C11024" s="380" t="str">
        <f>IFERROR(__xludf.DUMMYFUNCTION("""COMPUTED_VALUE"""),"70006456")</f>
        <v>70006456</v>
      </c>
      <c r="D11024" s="380" t="s">
        <v>767</v>
      </c>
      <c r="E11024" s="380" t="s">
        <v>786</v>
      </c>
      <c r="F11024" s="380" t="s">
        <v>5661</v>
      </c>
      <c r="G11024" s="380" t="s">
        <v>1267</v>
      </c>
      <c r="H11024" s="380" t="s">
        <v>771</v>
      </c>
      <c r="I11024" s="380" t="s">
        <v>788</v>
      </c>
      <c r="J11024" s="380" t="s">
        <v>773</v>
      </c>
      <c r="K11024" s="381">
        <v>140251.0</v>
      </c>
      <c r="L11024" s="382">
        <v>1.0</v>
      </c>
    </row>
    <row r="11025">
      <c r="A11025" s="380" t="s">
        <v>11899</v>
      </c>
      <c r="B11025" s="380" t="str">
        <f>IFERROR(__xludf.DUMMYFUNCTION("""COMPUTED_VALUE"""),"Perno Rueda Del Tras S C 911912012")</f>
        <v>Perno Rueda Del Tras S C 911912012</v>
      </c>
      <c r="C11025" s="380" t="str">
        <f>IFERROR(__xludf.DUMMYFUNCTION("""COMPUTED_VALUE"""),"70006457")</f>
        <v>70006457</v>
      </c>
      <c r="D11025" s="380" t="s">
        <v>767</v>
      </c>
      <c r="E11025" s="380" t="s">
        <v>786</v>
      </c>
      <c r="F11025" s="380" t="s">
        <v>1039</v>
      </c>
      <c r="G11025" s="380" t="s">
        <v>1267</v>
      </c>
      <c r="H11025" s="380" t="s">
        <v>771</v>
      </c>
      <c r="I11025" s="380" t="s">
        <v>788</v>
      </c>
      <c r="J11025" s="380" t="s">
        <v>773</v>
      </c>
      <c r="K11025" s="381">
        <v>0.0</v>
      </c>
      <c r="L11025" s="382">
        <v>1.0</v>
      </c>
    </row>
    <row r="11026">
      <c r="A11026" s="380" t="s">
        <v>11900</v>
      </c>
      <c r="B11026" s="380" t="str">
        <f>IFERROR(__xludf.DUMMYFUNCTION("""COMPUTED_VALUE"""),"Abrazadera Tubo Agua EGL Tipo Her 2 1/2""")</f>
        <v>Abrazadera Tubo Agua EGL Tipo Her 2 1/2"</v>
      </c>
      <c r="C11026" s="380" t="str">
        <f>IFERROR(__xludf.DUMMYFUNCTION("""COMPUTED_VALUE"""),"70006458")</f>
        <v>70006458</v>
      </c>
      <c r="D11026" s="380" t="s">
        <v>767</v>
      </c>
      <c r="E11026" s="380" t="s">
        <v>786</v>
      </c>
      <c r="F11026" s="380" t="s">
        <v>787</v>
      </c>
      <c r="G11026" s="380" t="s">
        <v>1267</v>
      </c>
      <c r="H11026" s="380" t="s">
        <v>771</v>
      </c>
      <c r="I11026" s="380" t="s">
        <v>788</v>
      </c>
      <c r="J11026" s="380" t="s">
        <v>773</v>
      </c>
      <c r="K11026" s="381">
        <v>20485.0</v>
      </c>
      <c r="L11026" s="382">
        <v>1.0</v>
      </c>
    </row>
    <row r="11027">
      <c r="A11027" s="380" t="s">
        <v>11901</v>
      </c>
      <c r="B11027" s="380" t="str">
        <f>IFERROR(__xludf.DUMMYFUNCTION("""COMPUTED_VALUE"""),"Vidrio Seguridad Puerta Izquierda Nkr")</f>
        <v>Vidrio Seguridad Puerta Izquierda Nkr</v>
      </c>
      <c r="C11027" s="380" t="str">
        <f>IFERROR(__xludf.DUMMYFUNCTION("""COMPUTED_VALUE"""),"70006459")</f>
        <v>70006459</v>
      </c>
      <c r="D11027" s="380" t="s">
        <v>767</v>
      </c>
      <c r="E11027" s="380" t="s">
        <v>786</v>
      </c>
      <c r="F11027" s="380" t="s">
        <v>792</v>
      </c>
      <c r="G11027" s="380" t="s">
        <v>1267</v>
      </c>
      <c r="H11027" s="380" t="s">
        <v>771</v>
      </c>
      <c r="I11027" s="380" t="s">
        <v>788</v>
      </c>
      <c r="J11027" s="380" t="s">
        <v>773</v>
      </c>
      <c r="K11027" s="381">
        <v>0.0</v>
      </c>
      <c r="L11027" s="382">
        <v>1.0</v>
      </c>
    </row>
    <row r="11028">
      <c r="A11028" s="380" t="s">
        <v>11902</v>
      </c>
      <c r="B11028" s="380" t="str">
        <f>IFERROR(__xludf.DUMMYFUNCTION("""COMPUTED_VALUE"""),"Tope Muelle Del Npr 51372059")</f>
        <v>Tope Muelle Del Npr 51372059</v>
      </c>
      <c r="C11028" s="380" t="str">
        <f>IFERROR(__xludf.DUMMYFUNCTION("""COMPUTED_VALUE"""),"70006460")</f>
        <v>70006460</v>
      </c>
      <c r="D11028" s="380" t="s">
        <v>767</v>
      </c>
      <c r="E11028" s="380" t="s">
        <v>786</v>
      </c>
      <c r="F11028" s="380" t="s">
        <v>1039</v>
      </c>
      <c r="G11028" s="380" t="s">
        <v>1267</v>
      </c>
      <c r="H11028" s="380" t="s">
        <v>771</v>
      </c>
      <c r="I11028" s="380" t="s">
        <v>788</v>
      </c>
      <c r="J11028" s="380" t="s">
        <v>773</v>
      </c>
      <c r="K11028" s="381">
        <v>0.0</v>
      </c>
      <c r="L11028" s="382">
        <v>1.0</v>
      </c>
    </row>
    <row r="11029">
      <c r="A11029" s="380" t="s">
        <v>11903</v>
      </c>
      <c r="B11029" s="380" t="str">
        <f>IFERROR(__xludf.DUMMYFUNCTION("""COMPUTED_VALUE"""),"Tope Caucho Suspens Paitnfind 540500w002")</f>
        <v>Tope Caucho Suspens Paitnfind 540500w002</v>
      </c>
      <c r="C11029" s="380" t="str">
        <f>IFERROR(__xludf.DUMMYFUNCTION("""COMPUTED_VALUE"""),"70006461")</f>
        <v>70006461</v>
      </c>
      <c r="D11029" s="380" t="s">
        <v>767</v>
      </c>
      <c r="E11029" s="380" t="s">
        <v>786</v>
      </c>
      <c r="F11029" s="380" t="s">
        <v>1039</v>
      </c>
      <c r="G11029" s="380" t="s">
        <v>1267</v>
      </c>
      <c r="H11029" s="380" t="s">
        <v>771</v>
      </c>
      <c r="I11029" s="380" t="s">
        <v>788</v>
      </c>
      <c r="J11029" s="380" t="s">
        <v>773</v>
      </c>
      <c r="K11029" s="381">
        <v>0.0</v>
      </c>
      <c r="L11029" s="382">
        <v>1.0</v>
      </c>
    </row>
    <row r="11030">
      <c r="A11030" s="380" t="s">
        <v>11904</v>
      </c>
      <c r="B11030" s="380" t="str">
        <f>IFERROR(__xludf.DUMMYFUNCTION("""COMPUTED_VALUE"""),"Hoja Resorte Tras KWh T800-007/4")</f>
        <v>Hoja Resorte Tras KWh T800-007/4</v>
      </c>
      <c r="C11030" s="380" t="str">
        <f>IFERROR(__xludf.DUMMYFUNCTION("""COMPUTED_VALUE"""),"70006462")</f>
        <v>70006462</v>
      </c>
      <c r="D11030" s="380" t="s">
        <v>767</v>
      </c>
      <c r="E11030" s="380" t="s">
        <v>786</v>
      </c>
      <c r="F11030" s="380" t="s">
        <v>1039</v>
      </c>
      <c r="G11030" s="380" t="s">
        <v>1267</v>
      </c>
      <c r="H11030" s="380" t="s">
        <v>771</v>
      </c>
      <c r="I11030" s="380" t="s">
        <v>788</v>
      </c>
      <c r="J11030" s="380" t="s">
        <v>773</v>
      </c>
      <c r="K11030" s="381">
        <v>0.0</v>
      </c>
      <c r="L11030" s="382">
        <v>1.0</v>
      </c>
    </row>
    <row r="11031">
      <c r="A11031" s="380" t="s">
        <v>11905</v>
      </c>
      <c r="B11031" s="380" t="str">
        <f>IFERROR(__xludf.DUMMYFUNCTION("""COMPUTED_VALUE"""),"Puente Rectificador Alternador Nhr D-056")</f>
        <v>Puente Rectificador Alternador Nhr D-056</v>
      </c>
      <c r="C11031" s="380" t="str">
        <f>IFERROR(__xludf.DUMMYFUNCTION("""COMPUTED_VALUE"""),"70006463")</f>
        <v>70006463</v>
      </c>
      <c r="D11031" s="380" t="s">
        <v>767</v>
      </c>
      <c r="E11031" s="380" t="s">
        <v>786</v>
      </c>
      <c r="F11031" s="380" t="s">
        <v>998</v>
      </c>
      <c r="G11031" s="380" t="s">
        <v>1267</v>
      </c>
      <c r="H11031" s="380" t="s">
        <v>771</v>
      </c>
      <c r="I11031" s="380" t="s">
        <v>788</v>
      </c>
      <c r="J11031" s="380" t="s">
        <v>773</v>
      </c>
      <c r="K11031" s="381">
        <v>0.0</v>
      </c>
      <c r="L11031" s="382">
        <v>1.0</v>
      </c>
    </row>
    <row r="11032">
      <c r="A11032" s="380" t="s">
        <v>11906</v>
      </c>
      <c r="B11032" s="380" t="str">
        <f>IFERROR(__xludf.DUMMYFUNCTION("""COMPUTED_VALUE"""),"Corona Alternador Nhr Remanufact")</f>
        <v>Corona Alternador Nhr Remanufact</v>
      </c>
      <c r="C11032" s="380" t="str">
        <f>IFERROR(__xludf.DUMMYFUNCTION("""COMPUTED_VALUE"""),"70006464")</f>
        <v>70006464</v>
      </c>
      <c r="D11032" s="380" t="s">
        <v>767</v>
      </c>
      <c r="E11032" s="380" t="s">
        <v>786</v>
      </c>
      <c r="F11032" s="380" t="s">
        <v>998</v>
      </c>
      <c r="G11032" s="380" t="s">
        <v>1267</v>
      </c>
      <c r="H11032" s="380" t="s">
        <v>771</v>
      </c>
      <c r="I11032" s="380" t="s">
        <v>788</v>
      </c>
      <c r="J11032" s="380" t="s">
        <v>773</v>
      </c>
      <c r="K11032" s="381">
        <v>0.0</v>
      </c>
      <c r="L11032" s="382">
        <v>1.0</v>
      </c>
    </row>
    <row r="11033">
      <c r="A11033" s="380" t="s">
        <v>11907</v>
      </c>
      <c r="B11033" s="380" t="str">
        <f>IFERROR(__xludf.DUMMYFUNCTION("""COMPUTED_VALUE"""),"Bombillo Doble Contacto 1034 12 Voltios")</f>
        <v>Bombillo Doble Contacto 1034 12 Voltios</v>
      </c>
      <c r="C11033" s="380" t="str">
        <f>IFERROR(__xludf.DUMMYFUNCTION("""COMPUTED_VALUE"""),"70006465")</f>
        <v>70006465</v>
      </c>
      <c r="D11033" s="380" t="s">
        <v>767</v>
      </c>
      <c r="E11033" s="380" t="s">
        <v>786</v>
      </c>
      <c r="F11033" s="380" t="s">
        <v>998</v>
      </c>
      <c r="G11033" s="380" t="s">
        <v>1267</v>
      </c>
      <c r="H11033" s="380" t="s">
        <v>771</v>
      </c>
      <c r="I11033" s="380" t="s">
        <v>788</v>
      </c>
      <c r="J11033" s="380" t="s">
        <v>773</v>
      </c>
      <c r="K11033" s="381">
        <v>2124.0</v>
      </c>
      <c r="L11033" s="382">
        <v>1.0</v>
      </c>
    </row>
    <row r="11034">
      <c r="A11034" s="380" t="s">
        <v>11908</v>
      </c>
      <c r="B11034" s="380" t="str">
        <f>IFERROR(__xludf.DUMMYFUNCTION("""COMPUTED_VALUE"""),"Espejo Retrovisor Izq Completo Jmc 1054")</f>
        <v>Espejo Retrovisor Izq Completo Jmc 1054</v>
      </c>
      <c r="C11034" s="380" t="str">
        <f>IFERROR(__xludf.DUMMYFUNCTION("""COMPUTED_VALUE"""),"70006466")</f>
        <v>70006466</v>
      </c>
      <c r="D11034" s="380" t="s">
        <v>767</v>
      </c>
      <c r="E11034" s="380" t="s">
        <v>786</v>
      </c>
      <c r="F11034" s="380" t="s">
        <v>792</v>
      </c>
      <c r="G11034" s="380" t="s">
        <v>1267</v>
      </c>
      <c r="H11034" s="380" t="s">
        <v>771</v>
      </c>
      <c r="I11034" s="380" t="s">
        <v>788</v>
      </c>
      <c r="J11034" s="380" t="s">
        <v>773</v>
      </c>
      <c r="K11034" s="381">
        <v>938285.0</v>
      </c>
      <c r="L11034" s="382">
        <v>1.0</v>
      </c>
    </row>
    <row r="11035">
      <c r="A11035" s="380" t="s">
        <v>11909</v>
      </c>
      <c r="B11035" s="380" t="str">
        <f>IFERROR(__xludf.DUMMYFUNCTION("""COMPUTED_VALUE"""),"Amortiguador Tras KWh 74003-P900")</f>
        <v>Amortiguador Tras KWh 74003-P900</v>
      </c>
      <c r="C11035" s="380" t="str">
        <f>IFERROR(__xludf.DUMMYFUNCTION("""COMPUTED_VALUE"""),"70006467")</f>
        <v>70006467</v>
      </c>
      <c r="D11035" s="380" t="s">
        <v>767</v>
      </c>
      <c r="E11035" s="380" t="s">
        <v>786</v>
      </c>
      <c r="F11035" s="380" t="s">
        <v>1039</v>
      </c>
      <c r="G11035" s="380" t="s">
        <v>1267</v>
      </c>
      <c r="H11035" s="380" t="s">
        <v>771</v>
      </c>
      <c r="I11035" s="380" t="s">
        <v>788</v>
      </c>
      <c r="J11035" s="380" t="s">
        <v>773</v>
      </c>
      <c r="K11035" s="381">
        <v>0.0</v>
      </c>
      <c r="L11035" s="382">
        <v>1.0</v>
      </c>
    </row>
    <row r="11036">
      <c r="A11036" s="380" t="s">
        <v>11910</v>
      </c>
      <c r="B11036" s="380" t="str">
        <f>IFERROR(__xludf.DUMMYFUNCTION("""COMPUTED_VALUE"""),"Panel Frontal Cabi Nhr Nkr M 8978690301")</f>
        <v>Panel Frontal Cabi Nhr Nkr M 8978690301</v>
      </c>
      <c r="C11036" s="380" t="str">
        <f>IFERROR(__xludf.DUMMYFUNCTION("""COMPUTED_VALUE"""),"70006468")</f>
        <v>70006468</v>
      </c>
      <c r="D11036" s="380" t="s">
        <v>767</v>
      </c>
      <c r="E11036" s="380" t="s">
        <v>786</v>
      </c>
      <c r="F11036" s="380" t="s">
        <v>792</v>
      </c>
      <c r="G11036" s="380" t="s">
        <v>1267</v>
      </c>
      <c r="H11036" s="380" t="s">
        <v>771</v>
      </c>
      <c r="I11036" s="380" t="s">
        <v>788</v>
      </c>
      <c r="J11036" s="380" t="s">
        <v>773</v>
      </c>
      <c r="K11036" s="381">
        <v>0.0</v>
      </c>
      <c r="L11036" s="382">
        <v>1.0</v>
      </c>
    </row>
    <row r="11037">
      <c r="A11037" s="380" t="s">
        <v>11911</v>
      </c>
      <c r="B11037" s="380" t="str">
        <f>IFERROR(__xludf.DUMMYFUNCTION("""COMPUTED_VALUE"""),"Bocel Farola Del Izq Nhr 8975810890")</f>
        <v>Bocel Farola Del Izq Nhr 8975810890</v>
      </c>
      <c r="C11037" s="380" t="str">
        <f>IFERROR(__xludf.DUMMYFUNCTION("""COMPUTED_VALUE"""),"70006469")</f>
        <v>70006469</v>
      </c>
      <c r="D11037" s="380" t="s">
        <v>767</v>
      </c>
      <c r="E11037" s="380" t="s">
        <v>786</v>
      </c>
      <c r="F11037" s="380" t="s">
        <v>792</v>
      </c>
      <c r="G11037" s="380" t="s">
        <v>1267</v>
      </c>
      <c r="H11037" s="380" t="s">
        <v>771</v>
      </c>
      <c r="I11037" s="380" t="s">
        <v>788</v>
      </c>
      <c r="J11037" s="380" t="s">
        <v>773</v>
      </c>
      <c r="K11037" s="381">
        <v>0.0</v>
      </c>
      <c r="L11037" s="382">
        <v>1.0</v>
      </c>
    </row>
    <row r="11038">
      <c r="A11038" s="380" t="s">
        <v>11912</v>
      </c>
      <c r="B11038" s="380" t="str">
        <f>IFERROR(__xludf.DUMMYFUNCTION("""COMPUTED_VALUE"""),"Bomba Aire Freno Trailer Kn-30300")</f>
        <v>Bomba Aire Freno Trailer Kn-30300</v>
      </c>
      <c r="C11038" s="380" t="str">
        <f>IFERROR(__xludf.DUMMYFUNCTION("""COMPUTED_VALUE"""),"70006470")</f>
        <v>70006470</v>
      </c>
      <c r="D11038" s="380" t="s">
        <v>767</v>
      </c>
      <c r="E11038" s="380" t="s">
        <v>786</v>
      </c>
      <c r="F11038" s="380" t="s">
        <v>1017</v>
      </c>
      <c r="G11038" s="380" t="s">
        <v>1267</v>
      </c>
      <c r="H11038" s="380" t="s">
        <v>771</v>
      </c>
      <c r="I11038" s="380" t="s">
        <v>788</v>
      </c>
      <c r="J11038" s="380" t="s">
        <v>773</v>
      </c>
      <c r="K11038" s="381">
        <v>0.0</v>
      </c>
      <c r="L11038" s="382">
        <v>1.0</v>
      </c>
    </row>
    <row r="11039">
      <c r="A11039" s="380" t="s">
        <v>11913</v>
      </c>
      <c r="B11039" s="380" t="str">
        <f>IFERROR(__xludf.DUMMYFUNCTION("""COMPUTED_VALUE"""),"Embellecedor Lampara Principa 8978636230")</f>
        <v>Embellecedor Lampara Principa 8978636230</v>
      </c>
      <c r="C11039" s="380" t="str">
        <f>IFERROR(__xludf.DUMMYFUNCTION("""COMPUTED_VALUE"""),"70006471")</f>
        <v>70006471</v>
      </c>
      <c r="D11039" s="380" t="s">
        <v>767</v>
      </c>
      <c r="E11039" s="380" t="s">
        <v>786</v>
      </c>
      <c r="F11039" s="380" t="s">
        <v>792</v>
      </c>
      <c r="G11039" s="380" t="s">
        <v>1267</v>
      </c>
      <c r="H11039" s="380" t="s">
        <v>771</v>
      </c>
      <c r="I11039" s="380" t="s">
        <v>788</v>
      </c>
      <c r="J11039" s="380" t="s">
        <v>773</v>
      </c>
      <c r="K11039" s="381">
        <v>0.0</v>
      </c>
      <c r="L11039" s="382">
        <v>1.0</v>
      </c>
    </row>
    <row r="11040">
      <c r="A11040" s="380" t="s">
        <v>11914</v>
      </c>
      <c r="B11040" s="380" t="str">
        <f>IFERROR(__xludf.DUMMYFUNCTION("""COMPUTED_VALUE"""),"Bomba Aire Freno Tras Repar Kn-30300")</f>
        <v>Bomba Aire Freno Tras Repar Kn-30300</v>
      </c>
      <c r="C11040" s="380" t="str">
        <f>IFERROR(__xludf.DUMMYFUNCTION("""COMPUTED_VALUE"""),"70006472")</f>
        <v>70006472</v>
      </c>
      <c r="D11040" s="380" t="s">
        <v>767</v>
      </c>
      <c r="E11040" s="380" t="s">
        <v>786</v>
      </c>
      <c r="F11040" s="380" t="s">
        <v>1017</v>
      </c>
      <c r="G11040" s="380" t="s">
        <v>1267</v>
      </c>
      <c r="H11040" s="380" t="s">
        <v>771</v>
      </c>
      <c r="I11040" s="380" t="s">
        <v>788</v>
      </c>
      <c r="J11040" s="380" t="s">
        <v>773</v>
      </c>
      <c r="K11040" s="381">
        <v>0.0</v>
      </c>
      <c r="L11040" s="382">
        <v>1.0</v>
      </c>
    </row>
    <row r="11041">
      <c r="A11041" s="380" t="s">
        <v>11915</v>
      </c>
      <c r="B11041" s="380" t="str">
        <f>IFERROR(__xludf.DUMMYFUNCTION("""COMPUTED_VALUE"""),"Farola Capo Der EG Internatio 3502929c94")</f>
        <v>Farola Capo Der EG Internatio 3502929c94</v>
      </c>
      <c r="C11041" s="380" t="str">
        <f>IFERROR(__xludf.DUMMYFUNCTION("""COMPUTED_VALUE"""),"70006473")</f>
        <v>70006473</v>
      </c>
      <c r="D11041" s="380" t="s">
        <v>767</v>
      </c>
      <c r="E11041" s="380" t="s">
        <v>786</v>
      </c>
      <c r="F11041" s="380" t="s">
        <v>998</v>
      </c>
      <c r="G11041" s="380" t="s">
        <v>1267</v>
      </c>
      <c r="H11041" s="380" t="s">
        <v>771</v>
      </c>
      <c r="I11041" s="380" t="s">
        <v>788</v>
      </c>
      <c r="J11041" s="380" t="s">
        <v>773</v>
      </c>
      <c r="K11041" s="381">
        <v>0.0</v>
      </c>
      <c r="L11041" s="382">
        <v>1.0</v>
      </c>
    </row>
    <row r="11042">
      <c r="A11042" s="380" t="s">
        <v>11916</v>
      </c>
      <c r="B11042" s="380" t="str">
        <f>IFERROR(__xludf.DUMMYFUNCTION("""COMPUTED_VALUE"""),"Pivote Brazo Plumilla Izq Nhr 8978551480")</f>
        <v>Pivote Brazo Plumilla Izq Nhr 8978551480</v>
      </c>
      <c r="C11042" s="380" t="str">
        <f>IFERROR(__xludf.DUMMYFUNCTION("""COMPUTED_VALUE"""),"70006474")</f>
        <v>70006474</v>
      </c>
      <c r="D11042" s="380" t="s">
        <v>767</v>
      </c>
      <c r="E11042" s="380" t="s">
        <v>786</v>
      </c>
      <c r="F11042" s="380" t="s">
        <v>792</v>
      </c>
      <c r="G11042" s="380" t="s">
        <v>1267</v>
      </c>
      <c r="H11042" s="380" t="s">
        <v>771</v>
      </c>
      <c r="I11042" s="380" t="s">
        <v>788</v>
      </c>
      <c r="J11042" s="380" t="s">
        <v>773</v>
      </c>
      <c r="K11042" s="381">
        <v>0.0</v>
      </c>
      <c r="L11042" s="382">
        <v>1.0</v>
      </c>
    </row>
    <row r="11043">
      <c r="A11043" s="380" t="s">
        <v>11917</v>
      </c>
      <c r="B11043" s="380" t="str">
        <f>IFERROR(__xludf.DUMMYFUNCTION("""COMPUTED_VALUE"""),"Caja Direc Mecanica Nhr Nkr 8970697060")</f>
        <v>Caja Direc Mecanica Nhr Nkr 8970697060</v>
      </c>
      <c r="C11043" s="380" t="str">
        <f>IFERROR(__xludf.DUMMYFUNCTION("""COMPUTED_VALUE"""),"70006475")</f>
        <v>70006475</v>
      </c>
      <c r="D11043" s="380" t="s">
        <v>767</v>
      </c>
      <c r="E11043" s="380" t="s">
        <v>786</v>
      </c>
      <c r="F11043" s="380" t="s">
        <v>1020</v>
      </c>
      <c r="G11043" s="380" t="s">
        <v>1267</v>
      </c>
      <c r="H11043" s="380" t="s">
        <v>771</v>
      </c>
      <c r="I11043" s="380" t="s">
        <v>788</v>
      </c>
      <c r="J11043" s="380" t="s">
        <v>773</v>
      </c>
      <c r="K11043" s="381">
        <v>0.0</v>
      </c>
      <c r="L11043" s="382">
        <v>1.0</v>
      </c>
    </row>
    <row r="11044">
      <c r="A11044" s="380" t="s">
        <v>11918</v>
      </c>
      <c r="B11044" s="380" t="str">
        <f>IFERROR(__xludf.DUMMYFUNCTION("""COMPUTED_VALUE"""),"Cruceta Cardan KWh Spicer Spl170x")</f>
        <v>Cruceta Cardan KWh Spicer Spl170x</v>
      </c>
      <c r="C11044" s="380" t="str">
        <f>IFERROR(__xludf.DUMMYFUNCTION("""COMPUTED_VALUE"""),"70006476")</f>
        <v>70006476</v>
      </c>
      <c r="D11044" s="380" t="s">
        <v>767</v>
      </c>
      <c r="E11044" s="380" t="s">
        <v>786</v>
      </c>
      <c r="F11044" s="380" t="s">
        <v>5683</v>
      </c>
      <c r="G11044" s="380" t="s">
        <v>1267</v>
      </c>
      <c r="H11044" s="380" t="s">
        <v>771</v>
      </c>
      <c r="I11044" s="380" t="s">
        <v>788</v>
      </c>
      <c r="J11044" s="380" t="s">
        <v>773</v>
      </c>
      <c r="K11044" s="381">
        <v>0.0</v>
      </c>
      <c r="L11044" s="382">
        <v>1.0</v>
      </c>
    </row>
    <row r="11045">
      <c r="A11045" s="380" t="s">
        <v>11919</v>
      </c>
      <c r="B11045" s="380" t="str">
        <f>IFERROR(__xludf.DUMMYFUNCTION("""COMPUTED_VALUE"""),"Guaya Velocimetro Moto Varias Ofk 767110")</f>
        <v>Guaya Velocimetro Moto Varias Ofk 767110</v>
      </c>
      <c r="C11045" s="380" t="str">
        <f>IFERROR(__xludf.DUMMYFUNCTION("""COMPUTED_VALUE"""),"70006477")</f>
        <v>70006477</v>
      </c>
      <c r="D11045" s="380" t="s">
        <v>767</v>
      </c>
      <c r="E11045" s="380" t="s">
        <v>786</v>
      </c>
      <c r="F11045" s="380" t="s">
        <v>928</v>
      </c>
      <c r="G11045" s="380" t="s">
        <v>1267</v>
      </c>
      <c r="H11045" s="380" t="s">
        <v>771</v>
      </c>
      <c r="I11045" s="380" t="s">
        <v>788</v>
      </c>
      <c r="J11045" s="380" t="s">
        <v>773</v>
      </c>
      <c r="K11045" s="381">
        <v>0.0</v>
      </c>
      <c r="L11045" s="382">
        <v>1.0</v>
      </c>
    </row>
    <row r="11046">
      <c r="A11046" s="380" t="s">
        <v>11920</v>
      </c>
      <c r="B11046" s="380" t="str">
        <f>IFERROR(__xludf.DUMMYFUNCTION("""COMPUTED_VALUE"""),"Soporte Oreja Housing SB N14 305351")</f>
        <v>Soporte Oreja Housing SB N14 305351</v>
      </c>
      <c r="C11046" s="380" t="str">
        <f>IFERROR(__xludf.DUMMYFUNCTION("""COMPUTED_VALUE"""),"70006478")</f>
        <v>70006478</v>
      </c>
      <c r="D11046" s="380" t="s">
        <v>767</v>
      </c>
      <c r="E11046" s="380" t="s">
        <v>786</v>
      </c>
      <c r="F11046" s="380" t="s">
        <v>5683</v>
      </c>
      <c r="G11046" s="380" t="s">
        <v>1267</v>
      </c>
      <c r="H11046" s="380" t="s">
        <v>771</v>
      </c>
      <c r="I11046" s="380" t="s">
        <v>788</v>
      </c>
      <c r="J11046" s="380" t="s">
        <v>773</v>
      </c>
      <c r="K11046" s="381">
        <v>0.0</v>
      </c>
      <c r="L11046" s="382">
        <v>1.0</v>
      </c>
    </row>
    <row r="11047">
      <c r="A11047" s="380" t="s">
        <v>11921</v>
      </c>
      <c r="B11047" s="380" t="str">
        <f>IFERROR(__xludf.DUMMYFUNCTION("""COMPUTED_VALUE"""),"Tuerca Ventilador 911801060 Npr Nkr")</f>
        <v>Tuerca Ventilador 911801060 Npr Nkr</v>
      </c>
      <c r="C11047" s="380" t="str">
        <f>IFERROR(__xludf.DUMMYFUNCTION("""COMPUTED_VALUE"""),"70006479")</f>
        <v>70006479</v>
      </c>
      <c r="D11047" s="380" t="s">
        <v>767</v>
      </c>
      <c r="E11047" s="380" t="s">
        <v>786</v>
      </c>
      <c r="F11047" s="380" t="s">
        <v>787</v>
      </c>
      <c r="G11047" s="380" t="s">
        <v>1267</v>
      </c>
      <c r="H11047" s="380" t="s">
        <v>771</v>
      </c>
      <c r="I11047" s="380" t="s">
        <v>788</v>
      </c>
      <c r="J11047" s="380" t="s">
        <v>773</v>
      </c>
      <c r="K11047" s="381">
        <v>0.0</v>
      </c>
      <c r="L11047" s="382">
        <v>1.0</v>
      </c>
    </row>
    <row r="11048">
      <c r="A11048" s="380" t="s">
        <v>11922</v>
      </c>
      <c r="B11048" s="380" t="str">
        <f>IFERROR(__xludf.DUMMYFUNCTION("""COMPUTED_VALUE"""),"Rodillo Eje Salida Divisor 9 Tkn K104949")</f>
        <v>Rodillo Eje Salida Divisor 9 Tkn K104949</v>
      </c>
      <c r="C11048" s="380" t="str">
        <f>IFERROR(__xludf.DUMMYFUNCTION("""COMPUTED_VALUE"""),"70006480")</f>
        <v>70006480</v>
      </c>
      <c r="D11048" s="380" t="s">
        <v>767</v>
      </c>
      <c r="E11048" s="380" t="s">
        <v>786</v>
      </c>
      <c r="F11048" s="380" t="s">
        <v>5683</v>
      </c>
      <c r="G11048" s="380" t="s">
        <v>1267</v>
      </c>
      <c r="H11048" s="380" t="s">
        <v>771</v>
      </c>
      <c r="I11048" s="380" t="s">
        <v>788</v>
      </c>
      <c r="J11048" s="380" t="s">
        <v>773</v>
      </c>
      <c r="K11048" s="381">
        <v>0.0</v>
      </c>
      <c r="L11048" s="382">
        <v>1.0</v>
      </c>
    </row>
    <row r="11049">
      <c r="A11049" s="380" t="s">
        <v>11923</v>
      </c>
      <c r="B11049" s="380" t="str">
        <f>IFERROR(__xludf.DUMMYFUNCTION("""COMPUTED_VALUE"""),"Disco EMB Paintfinder Nissan 30100aa068")</f>
        <v>Disco EMB Paintfinder Nissan 30100aa068</v>
      </c>
      <c r="C11049" s="380" t="str">
        <f>IFERROR(__xludf.DUMMYFUNCTION("""COMPUTED_VALUE"""),"70006481")</f>
        <v>70006481</v>
      </c>
      <c r="D11049" s="380" t="s">
        <v>767</v>
      </c>
      <c r="E11049" s="380" t="s">
        <v>786</v>
      </c>
      <c r="F11049" s="380" t="s">
        <v>5661</v>
      </c>
      <c r="G11049" s="380" t="s">
        <v>1267</v>
      </c>
      <c r="H11049" s="380" t="s">
        <v>771</v>
      </c>
      <c r="I11049" s="380" t="s">
        <v>788</v>
      </c>
      <c r="J11049" s="380" t="s">
        <v>773</v>
      </c>
      <c r="K11049" s="381">
        <v>0.0</v>
      </c>
      <c r="L11049" s="382">
        <v>1.0</v>
      </c>
    </row>
    <row r="11050">
      <c r="A11050" s="380" t="s">
        <v>11924</v>
      </c>
      <c r="B11050" s="380" t="str">
        <f>IFERROR(__xludf.DUMMYFUNCTION("""COMPUTED_VALUE"""),"Farola Rewa Farola Reward Ftr 8982413170")</f>
        <v>Farola Rewa Farola Reward Ftr 8982413170</v>
      </c>
      <c r="C11050" s="380" t="str">
        <f>IFERROR(__xludf.DUMMYFUNCTION("""COMPUTED_VALUE"""),"70006482")</f>
        <v>70006482</v>
      </c>
      <c r="D11050" s="380" t="s">
        <v>767</v>
      </c>
      <c r="E11050" s="380" t="s">
        <v>786</v>
      </c>
      <c r="F11050" s="380" t="s">
        <v>998</v>
      </c>
      <c r="G11050" s="380" t="s">
        <v>1267</v>
      </c>
      <c r="H11050" s="380" t="s">
        <v>771</v>
      </c>
      <c r="I11050" s="380" t="s">
        <v>788</v>
      </c>
      <c r="J11050" s="380" t="s">
        <v>773</v>
      </c>
      <c r="K11050" s="381">
        <v>0.0</v>
      </c>
      <c r="L11050" s="382">
        <v>1.0</v>
      </c>
    </row>
    <row r="11051">
      <c r="A11051" s="380" t="s">
        <v>11925</v>
      </c>
      <c r="B11051" s="380" t="str">
        <f>IFERROR(__xludf.DUMMYFUNCTION("""COMPUTED_VALUE"""),"Valvula Dosificadora Urea 2115847rn")</f>
        <v>Valvula Dosificadora Urea 2115847rn</v>
      </c>
      <c r="C11051" s="380" t="str">
        <f>IFERROR(__xludf.DUMMYFUNCTION("""COMPUTED_VALUE"""),"70006483")</f>
        <v>70006483</v>
      </c>
      <c r="D11051" s="380" t="s">
        <v>767</v>
      </c>
      <c r="E11051" s="380" t="s">
        <v>786</v>
      </c>
      <c r="F11051" s="380" t="s">
        <v>787</v>
      </c>
      <c r="G11051" s="380" t="s">
        <v>1267</v>
      </c>
      <c r="H11051" s="380" t="s">
        <v>771</v>
      </c>
      <c r="I11051" s="380" t="s">
        <v>788</v>
      </c>
      <c r="J11051" s="380" t="s">
        <v>773</v>
      </c>
      <c r="K11051" s="381">
        <v>0.0</v>
      </c>
      <c r="L11051" s="382">
        <v>1.0</v>
      </c>
    </row>
    <row r="11052">
      <c r="A11052" s="380" t="s">
        <v>11926</v>
      </c>
      <c r="B11052" s="380" t="str">
        <f>IFERROR(__xludf.DUMMYFUNCTION("""COMPUTED_VALUE"""),"Acople Reusable Manguera R5")</f>
        <v>Acople Reusable Manguera R5</v>
      </c>
      <c r="C11052" s="380" t="str">
        <f>IFERROR(__xludf.DUMMYFUNCTION("""COMPUTED_VALUE"""),"70006484")</f>
        <v>70006484</v>
      </c>
      <c r="D11052" s="380" t="s">
        <v>767</v>
      </c>
      <c r="E11052" s="380" t="s">
        <v>786</v>
      </c>
      <c r="F11052" s="380" t="s">
        <v>787</v>
      </c>
      <c r="G11052" s="380" t="s">
        <v>1267</v>
      </c>
      <c r="H11052" s="380" t="s">
        <v>771</v>
      </c>
      <c r="I11052" s="380" t="s">
        <v>788</v>
      </c>
      <c r="J11052" s="380" t="s">
        <v>773</v>
      </c>
      <c r="K11052" s="381">
        <v>0.0</v>
      </c>
      <c r="L11052" s="382">
        <v>1.0</v>
      </c>
    </row>
    <row r="11053">
      <c r="A11053" s="380" t="s">
        <v>11927</v>
      </c>
      <c r="B11053" s="380" t="str">
        <f>IFERROR(__xludf.DUMMYFUNCTION("""COMPUTED_VALUE"""),"Cruceta Cardan Npr 5-160")</f>
        <v>Cruceta Cardan Npr 5-160</v>
      </c>
      <c r="C11053" s="380" t="str">
        <f>IFERROR(__xludf.DUMMYFUNCTION("""COMPUTED_VALUE"""),"70006485")</f>
        <v>70006485</v>
      </c>
      <c r="D11053" s="380" t="s">
        <v>767</v>
      </c>
      <c r="E11053" s="380" t="s">
        <v>786</v>
      </c>
      <c r="F11053" s="380" t="s">
        <v>5683</v>
      </c>
      <c r="G11053" s="380" t="s">
        <v>1267</v>
      </c>
      <c r="H11053" s="380" t="s">
        <v>771</v>
      </c>
      <c r="I11053" s="380" t="s">
        <v>788</v>
      </c>
      <c r="J11053" s="380" t="s">
        <v>773</v>
      </c>
      <c r="K11053" s="381">
        <v>0.0</v>
      </c>
      <c r="L11053" s="382">
        <v>1.0</v>
      </c>
    </row>
    <row r="11054">
      <c r="A11054" s="380" t="s">
        <v>11928</v>
      </c>
      <c r="B11054" s="380" t="str">
        <f>IFERROR(__xludf.DUMMYFUNCTION("""COMPUTED_VALUE"""),"Pelicula Seguridad Ventana")</f>
        <v>Pelicula Seguridad Ventana</v>
      </c>
      <c r="C11054" s="380" t="str">
        <f>IFERROR(__xludf.DUMMYFUNCTION("""COMPUTED_VALUE"""),"70006486")</f>
        <v>70006486</v>
      </c>
      <c r="D11054" s="380" t="s">
        <v>767</v>
      </c>
      <c r="E11054" s="380" t="s">
        <v>786</v>
      </c>
      <c r="F11054" s="380" t="s">
        <v>1031</v>
      </c>
      <c r="G11054" s="380" t="s">
        <v>1267</v>
      </c>
      <c r="H11054" s="380" t="s">
        <v>771</v>
      </c>
      <c r="I11054" s="380" t="s">
        <v>788</v>
      </c>
      <c r="J11054" s="380" t="s">
        <v>773</v>
      </c>
      <c r="K11054" s="381">
        <v>0.0</v>
      </c>
      <c r="L11054" s="382">
        <v>1.0</v>
      </c>
    </row>
    <row r="11055">
      <c r="A11055" s="380" t="s">
        <v>11929</v>
      </c>
      <c r="B11055" s="380" t="str">
        <f>IFERROR(__xludf.DUMMYFUNCTION("""COMPUTED_VALUE"""),"Kit Reparacion Distribucion S 1138073000")</f>
        <v>Kit Reparacion Distribucion S 1138073000</v>
      </c>
      <c r="C11055" s="380" t="str">
        <f>IFERROR(__xludf.DUMMYFUNCTION("""COMPUTED_VALUE"""),"70006487")</f>
        <v>70006487</v>
      </c>
      <c r="D11055" s="380" t="s">
        <v>767</v>
      </c>
      <c r="E11055" s="380" t="s">
        <v>786</v>
      </c>
      <c r="F11055" s="380" t="s">
        <v>787</v>
      </c>
      <c r="G11055" s="380" t="s">
        <v>1267</v>
      </c>
      <c r="H11055" s="380" t="s">
        <v>771</v>
      </c>
      <c r="I11055" s="380" t="s">
        <v>788</v>
      </c>
      <c r="J11055" s="380" t="s">
        <v>773</v>
      </c>
      <c r="K11055" s="381">
        <v>0.0</v>
      </c>
      <c r="L11055" s="382">
        <v>1.0</v>
      </c>
    </row>
    <row r="11056">
      <c r="A11056" s="380" t="s">
        <v>11930</v>
      </c>
      <c r="B11056" s="380" t="str">
        <f>IFERROR(__xludf.DUMMYFUNCTION("""COMPUTED_VALUE"""),"Empaque Mofle Super Carry 1418185200")</f>
        <v>Empaque Mofle Super Carry 1418185200</v>
      </c>
      <c r="C11056" s="380" t="str">
        <f>IFERROR(__xludf.DUMMYFUNCTION("""COMPUTED_VALUE"""),"70006488")</f>
        <v>70006488</v>
      </c>
      <c r="D11056" s="380" t="s">
        <v>767</v>
      </c>
      <c r="E11056" s="380" t="s">
        <v>786</v>
      </c>
      <c r="F11056" s="380" t="s">
        <v>792</v>
      </c>
      <c r="G11056" s="380" t="s">
        <v>1267</v>
      </c>
      <c r="H11056" s="380" t="s">
        <v>771</v>
      </c>
      <c r="I11056" s="380" t="s">
        <v>788</v>
      </c>
      <c r="J11056" s="380" t="s">
        <v>773</v>
      </c>
      <c r="K11056" s="381">
        <v>0.0</v>
      </c>
      <c r="L11056" s="382">
        <v>1.0</v>
      </c>
    </row>
    <row r="11057">
      <c r="A11057" s="380" t="s">
        <v>11931</v>
      </c>
      <c r="B11057" s="380" t="str">
        <f>IFERROR(__xludf.DUMMYFUNCTION("""COMPUTED_VALUE"""),"Cremallera Elevavidrio Izq Nh 8978521165")</f>
        <v>Cremallera Elevavidrio Izq Nh 8978521165</v>
      </c>
      <c r="C11057" s="380" t="str">
        <f>IFERROR(__xludf.DUMMYFUNCTION("""COMPUTED_VALUE"""),"70006489")</f>
        <v>70006489</v>
      </c>
      <c r="D11057" s="380" t="s">
        <v>767</v>
      </c>
      <c r="E11057" s="380" t="s">
        <v>786</v>
      </c>
      <c r="F11057" s="380" t="s">
        <v>792</v>
      </c>
      <c r="G11057" s="380" t="s">
        <v>1267</v>
      </c>
      <c r="H11057" s="380" t="s">
        <v>771</v>
      </c>
      <c r="I11057" s="380" t="s">
        <v>788</v>
      </c>
      <c r="J11057" s="380" t="s">
        <v>773</v>
      </c>
      <c r="K11057" s="381">
        <v>0.0</v>
      </c>
      <c r="L11057" s="382">
        <v>1.0</v>
      </c>
    </row>
    <row r="11058">
      <c r="A11058" s="380" t="s">
        <v>11932</v>
      </c>
      <c r="B11058" s="380" t="str">
        <f>IFERROR(__xludf.DUMMYFUNCTION("""COMPUTED_VALUE"""),"Kit Empaques Aire Acondicionado Inter Lt")</f>
        <v>Kit Empaques Aire Acondicionado Inter Lt</v>
      </c>
      <c r="C11058" s="380" t="str">
        <f>IFERROR(__xludf.DUMMYFUNCTION("""COMPUTED_VALUE"""),"70006490")</f>
        <v>70006490</v>
      </c>
      <c r="D11058" s="380" t="s">
        <v>767</v>
      </c>
      <c r="E11058" s="380" t="s">
        <v>786</v>
      </c>
      <c r="F11058" s="380" t="s">
        <v>1031</v>
      </c>
      <c r="G11058" s="380" t="s">
        <v>1267</v>
      </c>
      <c r="H11058" s="380" t="s">
        <v>771</v>
      </c>
      <c r="I11058" s="380" t="s">
        <v>788</v>
      </c>
      <c r="J11058" s="380" t="s">
        <v>773</v>
      </c>
      <c r="K11058" s="381">
        <v>0.0</v>
      </c>
      <c r="L11058" s="382">
        <v>1.0</v>
      </c>
    </row>
    <row r="11059">
      <c r="A11059" s="380" t="s">
        <v>11933</v>
      </c>
      <c r="B11059" s="380" t="str">
        <f>IFERROR(__xludf.DUMMYFUNCTION("""COMPUTED_VALUE"""),"Racor Codo B69r 90 Grado 1/2 Sinflex X 3")</f>
        <v>Racor Codo B69r 90 Grado 1/2 Sinflex X 3</v>
      </c>
      <c r="C11059" s="380" t="str">
        <f>IFERROR(__xludf.DUMMYFUNCTION("""COMPUTED_VALUE"""),"70006491")</f>
        <v>70006491</v>
      </c>
      <c r="D11059" s="380" t="s">
        <v>767</v>
      </c>
      <c r="E11059" s="380" t="s">
        <v>786</v>
      </c>
      <c r="F11059" s="380" t="s">
        <v>989</v>
      </c>
      <c r="G11059" s="380" t="s">
        <v>1267</v>
      </c>
      <c r="H11059" s="380" t="s">
        <v>771</v>
      </c>
      <c r="I11059" s="380" t="s">
        <v>788</v>
      </c>
      <c r="J11059" s="380" t="s">
        <v>773</v>
      </c>
      <c r="K11059" s="381">
        <v>0.0</v>
      </c>
      <c r="L11059" s="382">
        <v>1.0</v>
      </c>
    </row>
    <row r="11060">
      <c r="A11060" s="380" t="s">
        <v>11934</v>
      </c>
      <c r="B11060" s="380" t="str">
        <f>IFERROR(__xludf.DUMMYFUNCTION("""COMPUTED_VALUE"""),"Embellecedor Lampara Principa 8978983911")</f>
        <v>Embellecedor Lampara Principa 8978983911</v>
      </c>
      <c r="C11060" s="380" t="str">
        <f>IFERROR(__xludf.DUMMYFUNCTION("""COMPUTED_VALUE"""),"70006492")</f>
        <v>70006492</v>
      </c>
      <c r="D11060" s="380" t="s">
        <v>767</v>
      </c>
      <c r="E11060" s="380" t="s">
        <v>786</v>
      </c>
      <c r="F11060" s="380" t="s">
        <v>792</v>
      </c>
      <c r="G11060" s="380" t="s">
        <v>1267</v>
      </c>
      <c r="H11060" s="380" t="s">
        <v>771</v>
      </c>
      <c r="I11060" s="380" t="s">
        <v>788</v>
      </c>
      <c r="J11060" s="380" t="s">
        <v>773</v>
      </c>
      <c r="K11060" s="381">
        <v>0.0</v>
      </c>
      <c r="L11060" s="382">
        <v>1.0</v>
      </c>
    </row>
    <row r="11061">
      <c r="A11061" s="380" t="s">
        <v>11935</v>
      </c>
      <c r="B11061" s="380" t="str">
        <f>IFERROR(__xludf.DUMMYFUNCTION("""COMPUTED_VALUE"""),"Kit Chapetas Cruceta Ca Cummins 657018xa")</f>
        <v>Kit Chapetas Cruceta Ca Cummins 657018xa</v>
      </c>
      <c r="C11061" s="380" t="str">
        <f>IFERROR(__xludf.DUMMYFUNCTION("""COMPUTED_VALUE"""),"70006493")</f>
        <v>70006493</v>
      </c>
      <c r="D11061" s="380" t="s">
        <v>767</v>
      </c>
      <c r="E11061" s="380" t="s">
        <v>786</v>
      </c>
      <c r="F11061" s="380" t="s">
        <v>5683</v>
      </c>
      <c r="G11061" s="380" t="s">
        <v>1267</v>
      </c>
      <c r="H11061" s="380" t="s">
        <v>771</v>
      </c>
      <c r="I11061" s="380" t="s">
        <v>788</v>
      </c>
      <c r="J11061" s="380" t="s">
        <v>773</v>
      </c>
      <c r="K11061" s="381">
        <v>0.0</v>
      </c>
      <c r="L11061" s="382">
        <v>1.0</v>
      </c>
    </row>
    <row r="11062">
      <c r="A11062" s="380" t="s">
        <v>11936</v>
      </c>
      <c r="B11062" s="380" t="str">
        <f>IFERROR(__xludf.DUMMYFUNCTION("""COMPUTED_VALUE"""),"Panel Frontal Cabina Nhr 8978966530")</f>
        <v>Panel Frontal Cabina Nhr 8978966530</v>
      </c>
      <c r="C11062" s="380" t="str">
        <f>IFERROR(__xludf.DUMMYFUNCTION("""COMPUTED_VALUE"""),"70006494")</f>
        <v>70006494</v>
      </c>
      <c r="D11062" s="380" t="s">
        <v>767</v>
      </c>
      <c r="E11062" s="380" t="s">
        <v>786</v>
      </c>
      <c r="F11062" s="380" t="s">
        <v>792</v>
      </c>
      <c r="G11062" s="380" t="s">
        <v>1267</v>
      </c>
      <c r="H11062" s="380" t="s">
        <v>771</v>
      </c>
      <c r="I11062" s="380" t="s">
        <v>788</v>
      </c>
      <c r="J11062" s="380" t="s">
        <v>773</v>
      </c>
      <c r="K11062" s="381">
        <v>0.0</v>
      </c>
      <c r="L11062" s="382">
        <v>1.0</v>
      </c>
    </row>
    <row r="11063">
      <c r="A11063" s="380" t="s">
        <v>11937</v>
      </c>
      <c r="B11063" s="380" t="str">
        <f>IFERROR(__xludf.DUMMYFUNCTION("""COMPUTED_VALUE"""),"Balinera Embrague Agrale 7003048005")</f>
        <v>Balinera Embrague Agrale 7003048005</v>
      </c>
      <c r="C11063" s="380" t="str">
        <f>IFERROR(__xludf.DUMMYFUNCTION("""COMPUTED_VALUE"""),"70006495")</f>
        <v>70006495</v>
      </c>
      <c r="D11063" s="380" t="s">
        <v>767</v>
      </c>
      <c r="E11063" s="380" t="s">
        <v>786</v>
      </c>
      <c r="F11063" s="380" t="s">
        <v>5661</v>
      </c>
      <c r="G11063" s="380" t="s">
        <v>1267</v>
      </c>
      <c r="H11063" s="380" t="s">
        <v>771</v>
      </c>
      <c r="I11063" s="380" t="s">
        <v>788</v>
      </c>
      <c r="J11063" s="380" t="s">
        <v>773</v>
      </c>
      <c r="K11063" s="381">
        <v>0.0</v>
      </c>
      <c r="L11063" s="382">
        <v>1.0</v>
      </c>
    </row>
    <row r="11064">
      <c r="A11064" s="380" t="s">
        <v>11938</v>
      </c>
      <c r="B11064" s="380" t="str">
        <f>IFERROR(__xludf.DUMMYFUNCTION("""COMPUTED_VALUE"""),"Bocel Farola Der Npr - Nhr 8978983661")</f>
        <v>Bocel Farola Der Npr - Nhr 8978983661</v>
      </c>
      <c r="C11064" s="380" t="str">
        <f>IFERROR(__xludf.DUMMYFUNCTION("""COMPUTED_VALUE"""),"70006496")</f>
        <v>70006496</v>
      </c>
      <c r="D11064" s="380" t="s">
        <v>767</v>
      </c>
      <c r="E11064" s="380" t="s">
        <v>786</v>
      </c>
      <c r="F11064" s="380" t="s">
        <v>792</v>
      </c>
      <c r="G11064" s="380" t="s">
        <v>1267</v>
      </c>
      <c r="H11064" s="380" t="s">
        <v>771</v>
      </c>
      <c r="I11064" s="380" t="s">
        <v>788</v>
      </c>
      <c r="J11064" s="380" t="s">
        <v>773</v>
      </c>
      <c r="K11064" s="381">
        <v>0.0</v>
      </c>
      <c r="L11064" s="382">
        <v>1.0</v>
      </c>
    </row>
    <row r="11065">
      <c r="A11065" s="380" t="s">
        <v>11939</v>
      </c>
      <c r="B11065" s="380" t="str">
        <f>IFERROR(__xludf.DUMMYFUNCTION("""COMPUTED_VALUE"""),"SOP Lateral Izq Bomper Jac Sunray 280300")</f>
        <v>SOP Lateral Izq Bomper Jac Sunray 280300</v>
      </c>
      <c r="C11065" s="380" t="str">
        <f>IFERROR(__xludf.DUMMYFUNCTION("""COMPUTED_VALUE"""),"70006497")</f>
        <v>70006497</v>
      </c>
      <c r="D11065" s="380" t="s">
        <v>767</v>
      </c>
      <c r="E11065" s="380" t="s">
        <v>786</v>
      </c>
      <c r="F11065" s="380" t="s">
        <v>792</v>
      </c>
      <c r="G11065" s="380" t="s">
        <v>1267</v>
      </c>
      <c r="H11065" s="380" t="s">
        <v>771</v>
      </c>
      <c r="I11065" s="380" t="s">
        <v>788</v>
      </c>
      <c r="J11065" s="380" t="s">
        <v>773</v>
      </c>
      <c r="K11065" s="381">
        <v>0.0</v>
      </c>
      <c r="L11065" s="382">
        <v>1.0</v>
      </c>
    </row>
    <row r="11066">
      <c r="A11066" s="380" t="s">
        <v>11940</v>
      </c>
      <c r="B11066" s="380" t="str">
        <f>IFERROR(__xludf.DUMMYFUNCTION("""COMPUTED_VALUE"""),"Kit Reparacion MAY MOT Jac Jhr Ev Jac309")</f>
        <v>Kit Reparacion MAY MOT Jac Jhr Ev Jac309</v>
      </c>
      <c r="C11066" s="380" t="str">
        <f>IFERROR(__xludf.DUMMYFUNCTION("""COMPUTED_VALUE"""),"70006498")</f>
        <v>70006498</v>
      </c>
      <c r="D11066" s="380" t="s">
        <v>767</v>
      </c>
      <c r="E11066" s="380" t="s">
        <v>786</v>
      </c>
      <c r="F11066" s="380" t="s">
        <v>787</v>
      </c>
      <c r="G11066" s="380" t="s">
        <v>1267</v>
      </c>
      <c r="H11066" s="380" t="s">
        <v>771</v>
      </c>
      <c r="I11066" s="380" t="s">
        <v>788</v>
      </c>
      <c r="J11066" s="380" t="s">
        <v>773</v>
      </c>
      <c r="K11066" s="381">
        <v>0.0</v>
      </c>
      <c r="L11066" s="382">
        <v>1.0</v>
      </c>
    </row>
    <row r="11067">
      <c r="A11067" s="380" t="s">
        <v>11941</v>
      </c>
      <c r="B11067" s="380" t="str">
        <f>IFERROR(__xludf.DUMMYFUNCTION("""COMPUTED_VALUE"""),"Vidrio Puerta Der Npr 97123506")</f>
        <v>Vidrio Puerta Der Npr 97123506</v>
      </c>
      <c r="C11067" s="380" t="str">
        <f>IFERROR(__xludf.DUMMYFUNCTION("""COMPUTED_VALUE"""),"70006499")</f>
        <v>70006499</v>
      </c>
      <c r="D11067" s="380" t="s">
        <v>767</v>
      </c>
      <c r="E11067" s="380" t="s">
        <v>786</v>
      </c>
      <c r="F11067" s="380" t="s">
        <v>792</v>
      </c>
      <c r="G11067" s="380" t="s">
        <v>1267</v>
      </c>
      <c r="H11067" s="380" t="s">
        <v>771</v>
      </c>
      <c r="I11067" s="380" t="s">
        <v>788</v>
      </c>
      <c r="J11067" s="380" t="s">
        <v>773</v>
      </c>
      <c r="K11067" s="381">
        <v>0.0</v>
      </c>
      <c r="L11067" s="382">
        <v>1.0</v>
      </c>
    </row>
    <row r="11068">
      <c r="A11068" s="380" t="s">
        <v>11942</v>
      </c>
      <c r="B11068" s="380" t="str">
        <f>IFERROR(__xludf.DUMMYFUNCTION("""COMPUTED_VALUE"""),"Piñon BMB COMB Jac Jhr Ev 1021080fe030")</f>
        <v>Piñon BMB COMB Jac Jhr Ev 1021080fe030</v>
      </c>
      <c r="C11068" s="380" t="str">
        <f>IFERROR(__xludf.DUMMYFUNCTION("""COMPUTED_VALUE"""),"70006500")</f>
        <v>70006500</v>
      </c>
      <c r="D11068" s="380" t="s">
        <v>767</v>
      </c>
      <c r="E11068" s="380" t="s">
        <v>786</v>
      </c>
      <c r="F11068" s="380" t="s">
        <v>787</v>
      </c>
      <c r="G11068" s="380" t="s">
        <v>1267</v>
      </c>
      <c r="H11068" s="380" t="s">
        <v>771</v>
      </c>
      <c r="I11068" s="380" t="s">
        <v>788</v>
      </c>
      <c r="J11068" s="380" t="s">
        <v>773</v>
      </c>
      <c r="K11068" s="381">
        <v>0.0</v>
      </c>
      <c r="L11068" s="382">
        <v>1.0</v>
      </c>
    </row>
    <row r="11069">
      <c r="A11069" s="380" t="s">
        <v>11943</v>
      </c>
      <c r="B11069" s="380" t="str">
        <f>IFERROR(__xludf.DUMMYFUNCTION("""COMPUTED_VALUE"""),"Piñon Engranaje Relenti Jac Jhr Ev 10210")</f>
        <v>Piñon Engranaje Relenti Jac Jhr Ev 10210</v>
      </c>
      <c r="C11069" s="380" t="str">
        <f>IFERROR(__xludf.DUMMYFUNCTION("""COMPUTED_VALUE"""),"70006501")</f>
        <v>70006501</v>
      </c>
      <c r="D11069" s="380" t="s">
        <v>767</v>
      </c>
      <c r="E11069" s="380" t="s">
        <v>786</v>
      </c>
      <c r="F11069" s="380" t="s">
        <v>787</v>
      </c>
      <c r="G11069" s="380" t="s">
        <v>1267</v>
      </c>
      <c r="H11069" s="380" t="s">
        <v>771</v>
      </c>
      <c r="I11069" s="380" t="s">
        <v>788</v>
      </c>
      <c r="J11069" s="380" t="s">
        <v>773</v>
      </c>
      <c r="K11069" s="381">
        <v>0.0</v>
      </c>
      <c r="L11069" s="382">
        <v>1.0</v>
      </c>
    </row>
    <row r="11070">
      <c r="A11070" s="380" t="s">
        <v>11944</v>
      </c>
      <c r="B11070" s="380" t="str">
        <f>IFERROR(__xludf.DUMMYFUNCTION("""COMPUTED_VALUE"""),"Biela Motor Jac Jhr Ev 1004010fe010")</f>
        <v>Biela Motor Jac Jhr Ev 1004010fe010</v>
      </c>
      <c r="C11070" s="380" t="str">
        <f>IFERROR(__xludf.DUMMYFUNCTION("""COMPUTED_VALUE"""),"70006502")</f>
        <v>70006502</v>
      </c>
      <c r="D11070" s="380" t="s">
        <v>767</v>
      </c>
      <c r="E11070" s="380" t="s">
        <v>786</v>
      </c>
      <c r="F11070" s="380" t="s">
        <v>787</v>
      </c>
      <c r="G11070" s="380" t="s">
        <v>1267</v>
      </c>
      <c r="H11070" s="380" t="s">
        <v>771</v>
      </c>
      <c r="I11070" s="380" t="s">
        <v>788</v>
      </c>
      <c r="J11070" s="380" t="s">
        <v>773</v>
      </c>
      <c r="K11070" s="381">
        <v>0.0</v>
      </c>
      <c r="L11070" s="382">
        <v>1.0</v>
      </c>
    </row>
    <row r="11071">
      <c r="A11071" s="380" t="s">
        <v>11945</v>
      </c>
      <c r="B11071" s="380" t="str">
        <f>IFERROR(__xludf.DUMMYFUNCTION("""COMPUTED_VALUE"""),"Arandela Bronce 1ra Y 2da Jac 1035 R1708")</f>
        <v>Arandela Bronce 1ra Y 2da Jac 1035 R1708</v>
      </c>
      <c r="C11071" s="380" t="str">
        <f>IFERROR(__xludf.DUMMYFUNCTION("""COMPUTED_VALUE"""),"70006503")</f>
        <v>70006503</v>
      </c>
      <c r="D11071" s="380" t="s">
        <v>767</v>
      </c>
      <c r="E11071" s="380" t="s">
        <v>786</v>
      </c>
      <c r="F11071" s="380" t="s">
        <v>928</v>
      </c>
      <c r="G11071" s="380" t="s">
        <v>1267</v>
      </c>
      <c r="H11071" s="380" t="s">
        <v>771</v>
      </c>
      <c r="I11071" s="380" t="s">
        <v>788</v>
      </c>
      <c r="J11071" s="380" t="s">
        <v>773</v>
      </c>
      <c r="K11071" s="381">
        <v>0.0</v>
      </c>
      <c r="L11071" s="382">
        <v>1.0</v>
      </c>
    </row>
    <row r="11072">
      <c r="A11072" s="380" t="s">
        <v>11946</v>
      </c>
      <c r="B11072" s="380" t="str">
        <f>IFERROR(__xludf.DUMMYFUNCTION("""COMPUTED_VALUE"""),"EMPtadura BMB Principal EMB Frr 18557646")</f>
        <v>EMPtadura BMB Principal EMB Frr 18557646</v>
      </c>
      <c r="C11072" s="380" t="str">
        <f>IFERROR(__xludf.DUMMYFUNCTION("""COMPUTED_VALUE"""),"70006504")</f>
        <v>70006504</v>
      </c>
      <c r="D11072" s="380" t="s">
        <v>767</v>
      </c>
      <c r="E11072" s="380" t="s">
        <v>786</v>
      </c>
      <c r="F11072" s="380" t="s">
        <v>5661</v>
      </c>
      <c r="G11072" s="380" t="s">
        <v>1267</v>
      </c>
      <c r="H11072" s="380" t="s">
        <v>771</v>
      </c>
      <c r="I11072" s="380" t="s">
        <v>788</v>
      </c>
      <c r="J11072" s="380" t="s">
        <v>773</v>
      </c>
      <c r="K11072" s="381">
        <v>0.0</v>
      </c>
      <c r="L11072" s="382">
        <v>1.0</v>
      </c>
    </row>
    <row r="11073">
      <c r="A11073" s="380" t="s">
        <v>11947</v>
      </c>
      <c r="B11073" s="380" t="str">
        <f>IFERROR(__xludf.DUMMYFUNCTION("""COMPUTED_VALUE"""),"Farola Izq Jac Sunray 4121100r001")</f>
        <v>Farola Izq Jac Sunray 4121100r001</v>
      </c>
      <c r="C11073" s="380" t="str">
        <f>IFERROR(__xludf.DUMMYFUNCTION("""COMPUTED_VALUE"""),"70006505")</f>
        <v>70006505</v>
      </c>
      <c r="D11073" s="380" t="s">
        <v>767</v>
      </c>
      <c r="E11073" s="380" t="s">
        <v>786</v>
      </c>
      <c r="F11073" s="380" t="s">
        <v>998</v>
      </c>
      <c r="G11073" s="380" t="s">
        <v>1267</v>
      </c>
      <c r="H11073" s="380" t="s">
        <v>771</v>
      </c>
      <c r="I11073" s="380" t="s">
        <v>788</v>
      </c>
      <c r="J11073" s="380" t="s">
        <v>773</v>
      </c>
      <c r="K11073" s="381">
        <v>0.0</v>
      </c>
      <c r="L11073" s="382">
        <v>1.0</v>
      </c>
    </row>
    <row r="11074">
      <c r="A11074" s="380" t="s">
        <v>11948</v>
      </c>
      <c r="B11074" s="380" t="str">
        <f>IFERROR(__xludf.DUMMYFUNCTION("""COMPUTED_VALUE"""),"SENS Posicion Cigueñal FT 1030 770594687")</f>
        <v>SENS Posicion Cigueñal FT 1030 770594687</v>
      </c>
      <c r="C11074" s="380" t="str">
        <f>IFERROR(__xludf.DUMMYFUNCTION("""COMPUTED_VALUE"""),"70006506")</f>
        <v>70006506</v>
      </c>
      <c r="D11074" s="380" t="s">
        <v>767</v>
      </c>
      <c r="E11074" s="380" t="s">
        <v>786</v>
      </c>
      <c r="F11074" s="380" t="s">
        <v>787</v>
      </c>
      <c r="G11074" s="380" t="s">
        <v>1267</v>
      </c>
      <c r="H11074" s="380" t="s">
        <v>771</v>
      </c>
      <c r="I11074" s="380" t="s">
        <v>788</v>
      </c>
      <c r="J11074" s="380" t="s">
        <v>773</v>
      </c>
      <c r="K11074" s="381">
        <v>0.0</v>
      </c>
      <c r="L11074" s="382">
        <v>1.0</v>
      </c>
    </row>
    <row r="11075">
      <c r="A11075" s="380" t="s">
        <v>11949</v>
      </c>
      <c r="B11075" s="380" t="str">
        <f>IFERROR(__xludf.DUMMYFUNCTION("""COMPUTED_VALUE"""),"Panel Frontal Izq Nhr 8978966540")</f>
        <v>Panel Frontal Izq Nhr 8978966540</v>
      </c>
      <c r="C11075" s="380" t="str">
        <f>IFERROR(__xludf.DUMMYFUNCTION("""COMPUTED_VALUE"""),"70006507")</f>
        <v>70006507</v>
      </c>
      <c r="D11075" s="380" t="s">
        <v>767</v>
      </c>
      <c r="E11075" s="380" t="s">
        <v>786</v>
      </c>
      <c r="F11075" s="380" t="s">
        <v>792</v>
      </c>
      <c r="G11075" s="380" t="s">
        <v>1267</v>
      </c>
      <c r="H11075" s="380" t="s">
        <v>771</v>
      </c>
      <c r="I11075" s="380" t="s">
        <v>788</v>
      </c>
      <c r="J11075" s="380" t="s">
        <v>773</v>
      </c>
      <c r="K11075" s="381">
        <v>0.0</v>
      </c>
      <c r="L11075" s="382">
        <v>1.0</v>
      </c>
    </row>
    <row r="11076">
      <c r="A11076" s="380" t="s">
        <v>11950</v>
      </c>
      <c r="B11076" s="380" t="str">
        <f>IFERROR(__xludf.DUMMYFUNCTION("""COMPUTED_VALUE"""),"Marco Puerta Izq Nkr 8978903961")</f>
        <v>Marco Puerta Izq Nkr 8978903961</v>
      </c>
      <c r="C11076" s="380" t="str">
        <f>IFERROR(__xludf.DUMMYFUNCTION("""COMPUTED_VALUE"""),"70006508")</f>
        <v>70006508</v>
      </c>
      <c r="D11076" s="380" t="s">
        <v>767</v>
      </c>
      <c r="E11076" s="380" t="s">
        <v>786</v>
      </c>
      <c r="F11076" s="380" t="s">
        <v>792</v>
      </c>
      <c r="G11076" s="380" t="s">
        <v>1267</v>
      </c>
      <c r="H11076" s="380" t="s">
        <v>771</v>
      </c>
      <c r="I11076" s="380" t="s">
        <v>788</v>
      </c>
      <c r="J11076" s="380" t="s">
        <v>773</v>
      </c>
      <c r="K11076" s="381">
        <v>0.0</v>
      </c>
      <c r="L11076" s="382">
        <v>1.0</v>
      </c>
    </row>
    <row r="11077">
      <c r="A11077" s="380" t="s">
        <v>11951</v>
      </c>
      <c r="B11077" s="380" t="str">
        <f>IFERROR(__xludf.DUMMYFUNCTION("""COMPUTED_VALUE"""),"VENT RAD FT Mv5 7705946025508")</f>
        <v>VENT RAD FT Mv5 7705946025508</v>
      </c>
      <c r="C11077" s="380" t="str">
        <f>IFERROR(__xludf.DUMMYFUNCTION("""COMPUTED_VALUE"""),"70006509")</f>
        <v>70006509</v>
      </c>
      <c r="D11077" s="380" t="s">
        <v>767</v>
      </c>
      <c r="E11077" s="380" t="s">
        <v>786</v>
      </c>
      <c r="F11077" s="380" t="s">
        <v>787</v>
      </c>
      <c r="G11077" s="380" t="s">
        <v>1267</v>
      </c>
      <c r="H11077" s="380" t="s">
        <v>771</v>
      </c>
      <c r="I11077" s="380" t="s">
        <v>788</v>
      </c>
      <c r="J11077" s="380" t="s">
        <v>773</v>
      </c>
      <c r="K11077" s="381">
        <v>0.0</v>
      </c>
      <c r="L11077" s="382">
        <v>1.0</v>
      </c>
    </row>
    <row r="11078">
      <c r="A11078" s="380" t="s">
        <v>11952</v>
      </c>
      <c r="B11078" s="380" t="str">
        <f>IFERROR(__xludf.DUMMYFUNCTION("""COMPUTED_VALUE"""),"Bocel Farola Izq Nhr 8978983871")</f>
        <v>Bocel Farola Izq Nhr 8978983871</v>
      </c>
      <c r="C11078" s="380" t="str">
        <f>IFERROR(__xludf.DUMMYFUNCTION("""COMPUTED_VALUE"""),"70006510")</f>
        <v>70006510</v>
      </c>
      <c r="D11078" s="380" t="s">
        <v>767</v>
      </c>
      <c r="E11078" s="380" t="s">
        <v>786</v>
      </c>
      <c r="F11078" s="380" t="s">
        <v>792</v>
      </c>
      <c r="G11078" s="380" t="s">
        <v>1267</v>
      </c>
      <c r="H11078" s="380" t="s">
        <v>771</v>
      </c>
      <c r="I11078" s="380" t="s">
        <v>788</v>
      </c>
      <c r="J11078" s="380" t="s">
        <v>773</v>
      </c>
      <c r="K11078" s="381">
        <v>0.0</v>
      </c>
      <c r="L11078" s="382">
        <v>1.0</v>
      </c>
    </row>
    <row r="11079">
      <c r="A11079" s="380" t="s">
        <v>11953</v>
      </c>
      <c r="B11079" s="380" t="str">
        <f>IFERROR(__xludf.DUMMYFUNCTION("""COMPUTED_VALUE"""),"Manija Int PTA Der Van DFENG 11054533")</f>
        <v>Manija Int PTA Der Van DFENG 11054533</v>
      </c>
      <c r="C11079" s="380" t="str">
        <f>IFERROR(__xludf.DUMMYFUNCTION("""COMPUTED_VALUE"""),"70006511")</f>
        <v>70006511</v>
      </c>
      <c r="D11079" s="380" t="s">
        <v>767</v>
      </c>
      <c r="E11079" s="380" t="s">
        <v>786</v>
      </c>
      <c r="F11079" s="380" t="s">
        <v>792</v>
      </c>
      <c r="G11079" s="380" t="s">
        <v>1267</v>
      </c>
      <c r="H11079" s="380" t="s">
        <v>771</v>
      </c>
      <c r="I11079" s="380" t="s">
        <v>788</v>
      </c>
      <c r="J11079" s="380" t="s">
        <v>773</v>
      </c>
      <c r="K11079" s="381">
        <v>0.0</v>
      </c>
      <c r="L11079" s="382">
        <v>1.0</v>
      </c>
    </row>
    <row r="11080">
      <c r="A11080" s="380" t="s">
        <v>11954</v>
      </c>
      <c r="B11080" s="380" t="str">
        <f>IFERROR(__xludf.DUMMYFUNCTION("""COMPUTED_VALUE"""),"Kit Pistones Mordaza Jac 1042- Yf3501a10")</f>
        <v>Kit Pistones Mordaza Jac 1042- Yf3501a10</v>
      </c>
      <c r="C11080" s="380" t="str">
        <f>IFERROR(__xludf.DUMMYFUNCTION("""COMPUTED_VALUE"""),"70006512")</f>
        <v>70006512</v>
      </c>
      <c r="D11080" s="380" t="s">
        <v>767</v>
      </c>
      <c r="E11080" s="380" t="s">
        <v>786</v>
      </c>
      <c r="F11080" s="380" t="s">
        <v>5683</v>
      </c>
      <c r="G11080" s="380" t="s">
        <v>1267</v>
      </c>
      <c r="H11080" s="380" t="s">
        <v>771</v>
      </c>
      <c r="I11080" s="380" t="s">
        <v>788</v>
      </c>
      <c r="J11080" s="380" t="s">
        <v>773</v>
      </c>
      <c r="K11080" s="381">
        <v>0.0</v>
      </c>
      <c r="L11080" s="382">
        <v>1.0</v>
      </c>
    </row>
    <row r="11081">
      <c r="A11081" s="380" t="s">
        <v>11955</v>
      </c>
      <c r="B11081" s="380" t="str">
        <f>IFERROR(__xludf.DUMMYFUNCTION("""COMPUTED_VALUE"""),"Yoke Cardan Lado Caja SB N14 6531371")</f>
        <v>Yoke Cardan Lado Caja SB N14 6531371</v>
      </c>
      <c r="C11081" s="380" t="str">
        <f>IFERROR(__xludf.DUMMYFUNCTION("""COMPUTED_VALUE"""),"70006513")</f>
        <v>70006513</v>
      </c>
      <c r="D11081" s="380" t="s">
        <v>767</v>
      </c>
      <c r="E11081" s="380" t="s">
        <v>786</v>
      </c>
      <c r="F11081" s="380" t="s">
        <v>5683</v>
      </c>
      <c r="G11081" s="380" t="s">
        <v>1267</v>
      </c>
      <c r="H11081" s="380" t="s">
        <v>771</v>
      </c>
      <c r="I11081" s="380" t="s">
        <v>788</v>
      </c>
      <c r="J11081" s="380" t="s">
        <v>773</v>
      </c>
      <c r="K11081" s="381">
        <v>0.0</v>
      </c>
      <c r="L11081" s="382">
        <v>1.0</v>
      </c>
    </row>
    <row r="11082">
      <c r="A11082" s="380" t="s">
        <v>11956</v>
      </c>
      <c r="B11082" s="380" t="str">
        <f>IFERROR(__xludf.DUMMYFUNCTION("""COMPUTED_VALUE"""),"Bocel Unidad Optica Izq Eagle 2505370c1")</f>
        <v>Bocel Unidad Optica Izq Eagle 2505370c1</v>
      </c>
      <c r="C11082" s="380" t="str">
        <f>IFERROR(__xludf.DUMMYFUNCTION("""COMPUTED_VALUE"""),"70006514")</f>
        <v>70006514</v>
      </c>
      <c r="D11082" s="380" t="s">
        <v>767</v>
      </c>
      <c r="E11082" s="380" t="s">
        <v>786</v>
      </c>
      <c r="F11082" s="380" t="s">
        <v>792</v>
      </c>
      <c r="G11082" s="380" t="s">
        <v>1267</v>
      </c>
      <c r="H11082" s="380" t="s">
        <v>771</v>
      </c>
      <c r="I11082" s="380" t="s">
        <v>788</v>
      </c>
      <c r="J11082" s="380" t="s">
        <v>773</v>
      </c>
      <c r="K11082" s="381">
        <v>0.0</v>
      </c>
      <c r="L11082" s="382">
        <v>1.0</v>
      </c>
    </row>
    <row r="11083">
      <c r="A11083" s="380" t="s">
        <v>11957</v>
      </c>
      <c r="B11083" s="380" t="str">
        <f>IFERROR(__xludf.DUMMYFUNCTION("""COMPUTED_VALUE"""),"Leva Freno Del Der Inter Lt 2210k7473")</f>
        <v>Leva Freno Del Der Inter Lt 2210k7473</v>
      </c>
      <c r="C11083" s="380" t="str">
        <f>IFERROR(__xludf.DUMMYFUNCTION("""COMPUTED_VALUE"""),"70006515")</f>
        <v>70006515</v>
      </c>
      <c r="D11083" s="380" t="s">
        <v>767</v>
      </c>
      <c r="E11083" s="380" t="s">
        <v>786</v>
      </c>
      <c r="F11083" s="380" t="s">
        <v>1017</v>
      </c>
      <c r="G11083" s="380" t="s">
        <v>1267</v>
      </c>
      <c r="H11083" s="380" t="s">
        <v>771</v>
      </c>
      <c r="I11083" s="380" t="s">
        <v>788</v>
      </c>
      <c r="J11083" s="380" t="s">
        <v>773</v>
      </c>
      <c r="K11083" s="381">
        <v>0.0</v>
      </c>
      <c r="L11083" s="382">
        <v>1.0</v>
      </c>
    </row>
    <row r="11084">
      <c r="A11084" s="380" t="s">
        <v>11958</v>
      </c>
      <c r="B11084" s="380" t="str">
        <f>IFERROR(__xludf.DUMMYFUNCTION("""COMPUTED_VALUE"""),"Panel Perciana Eagle 3501482c1")</f>
        <v>Panel Perciana Eagle 3501482c1</v>
      </c>
      <c r="C11084" s="380" t="str">
        <f>IFERROR(__xludf.DUMMYFUNCTION("""COMPUTED_VALUE"""),"70006516")</f>
        <v>70006516</v>
      </c>
      <c r="D11084" s="380" t="s">
        <v>767</v>
      </c>
      <c r="E11084" s="380" t="s">
        <v>786</v>
      </c>
      <c r="F11084" s="380" t="s">
        <v>792</v>
      </c>
      <c r="G11084" s="380" t="s">
        <v>1267</v>
      </c>
      <c r="H11084" s="380" t="s">
        <v>771</v>
      </c>
      <c r="I11084" s="380" t="s">
        <v>788</v>
      </c>
      <c r="J11084" s="380" t="s">
        <v>773</v>
      </c>
      <c r="K11084" s="381">
        <v>0.0</v>
      </c>
      <c r="L11084" s="382">
        <v>1.0</v>
      </c>
    </row>
    <row r="11085">
      <c r="A11085" s="380" t="s">
        <v>11959</v>
      </c>
      <c r="B11085" s="380" t="str">
        <f>IFERROR(__xludf.DUMMYFUNCTION("""COMPUTED_VALUE"""),"Mico Amarre General")</f>
        <v>Mico Amarre General</v>
      </c>
      <c r="C11085" s="380" t="str">
        <f>IFERROR(__xludf.DUMMYFUNCTION("""COMPUTED_VALUE"""),"70006517")</f>
        <v>70006517</v>
      </c>
      <c r="D11085" s="380" t="s">
        <v>767</v>
      </c>
      <c r="E11085" s="380" t="s">
        <v>786</v>
      </c>
      <c r="F11085" s="380" t="s">
        <v>989</v>
      </c>
      <c r="G11085" s="380" t="s">
        <v>1267</v>
      </c>
      <c r="H11085" s="380" t="s">
        <v>771</v>
      </c>
      <c r="I11085" s="380" t="s">
        <v>788</v>
      </c>
      <c r="J11085" s="380" t="s">
        <v>773</v>
      </c>
      <c r="K11085" s="381">
        <v>0.0</v>
      </c>
      <c r="L11085" s="382">
        <v>1.0</v>
      </c>
    </row>
    <row r="11086">
      <c r="A11086" s="380" t="s">
        <v>11960</v>
      </c>
      <c r="B11086" s="380" t="str">
        <f>IFERROR(__xludf.DUMMYFUNCTION("""COMPUTED_VALUE"""),"Guaya CTRL Cambios FT 1045 7700149106832")</f>
        <v>Guaya CTRL Cambios FT 1045 7700149106832</v>
      </c>
      <c r="C11086" s="380" t="str">
        <f>IFERROR(__xludf.DUMMYFUNCTION("""COMPUTED_VALUE"""),"70006518")</f>
        <v>70006518</v>
      </c>
      <c r="D11086" s="380" t="s">
        <v>767</v>
      </c>
      <c r="E11086" s="380" t="s">
        <v>786</v>
      </c>
      <c r="F11086" s="380" t="s">
        <v>787</v>
      </c>
      <c r="G11086" s="380" t="s">
        <v>1267</v>
      </c>
      <c r="H11086" s="380" t="s">
        <v>771</v>
      </c>
      <c r="I11086" s="380" t="s">
        <v>788</v>
      </c>
      <c r="J11086" s="380" t="s">
        <v>773</v>
      </c>
      <c r="K11086" s="381">
        <v>353120.0</v>
      </c>
      <c r="L11086" s="382">
        <v>1.0</v>
      </c>
    </row>
    <row r="11087">
      <c r="A11087" s="380" t="s">
        <v>11961</v>
      </c>
      <c r="B11087" s="380" t="str">
        <f>IFERROR(__xludf.DUMMYFUNCTION("""COMPUTED_VALUE"""),"Guaya Neutra Foton 1046 7700149106849")</f>
        <v>Guaya Neutra Foton 1046 7700149106849</v>
      </c>
      <c r="C11087" s="380" t="str">
        <f>IFERROR(__xludf.DUMMYFUNCTION("""COMPUTED_VALUE"""),"70006519")</f>
        <v>70006519</v>
      </c>
      <c r="D11087" s="380" t="s">
        <v>767</v>
      </c>
      <c r="E11087" s="380" t="s">
        <v>786</v>
      </c>
      <c r="F11087" s="380" t="s">
        <v>787</v>
      </c>
      <c r="G11087" s="380" t="s">
        <v>1267</v>
      </c>
      <c r="H11087" s="380" t="s">
        <v>771</v>
      </c>
      <c r="I11087" s="380" t="s">
        <v>788</v>
      </c>
      <c r="J11087" s="380" t="s">
        <v>773</v>
      </c>
      <c r="K11087" s="381">
        <v>327759.0</v>
      </c>
      <c r="L11087" s="382">
        <v>1.0</v>
      </c>
    </row>
    <row r="11088">
      <c r="A11088" s="380" t="s">
        <v>11962</v>
      </c>
      <c r="B11088" s="380" t="str">
        <f>IFERROR(__xludf.DUMMYFUNCTION("""COMPUTED_VALUE"""),"TANQ COMB Der 100gl INT Lt 2516133c91")</f>
        <v>TANQ COMB Der 100gl INT Lt 2516133c91</v>
      </c>
      <c r="C11088" s="380" t="str">
        <f>IFERROR(__xludf.DUMMYFUNCTION("""COMPUTED_VALUE"""),"70006520")</f>
        <v>70006520</v>
      </c>
      <c r="D11088" s="380" t="s">
        <v>767</v>
      </c>
      <c r="E11088" s="380" t="s">
        <v>786</v>
      </c>
      <c r="F11088" s="380" t="s">
        <v>792</v>
      </c>
      <c r="G11088" s="380" t="s">
        <v>1267</v>
      </c>
      <c r="H11088" s="380" t="s">
        <v>771</v>
      </c>
      <c r="I11088" s="380" t="s">
        <v>788</v>
      </c>
      <c r="J11088" s="380" t="s">
        <v>773</v>
      </c>
      <c r="K11088" s="381">
        <v>0.0</v>
      </c>
      <c r="L11088" s="382">
        <v>1.0</v>
      </c>
    </row>
    <row r="11089">
      <c r="A11089" s="380" t="s">
        <v>11963</v>
      </c>
      <c r="B11089" s="380" t="str">
        <f>IFERROR(__xludf.DUMMYFUNCTION("""COMPUTED_VALUE"""),"TANQ COMB Izq 100gl INT Lt 4184159c1s")</f>
        <v>TANQ COMB Izq 100gl INT Lt 4184159c1s</v>
      </c>
      <c r="C11089" s="380" t="str">
        <f>IFERROR(__xludf.DUMMYFUNCTION("""COMPUTED_VALUE"""),"70006521")</f>
        <v>70006521</v>
      </c>
      <c r="D11089" s="380" t="s">
        <v>767</v>
      </c>
      <c r="E11089" s="380" t="s">
        <v>786</v>
      </c>
      <c r="F11089" s="380" t="s">
        <v>792</v>
      </c>
      <c r="G11089" s="380" t="s">
        <v>1267</v>
      </c>
      <c r="H11089" s="380" t="s">
        <v>771</v>
      </c>
      <c r="I11089" s="380" t="s">
        <v>788</v>
      </c>
      <c r="J11089" s="380" t="s">
        <v>773</v>
      </c>
      <c r="K11089" s="381">
        <v>0.0</v>
      </c>
      <c r="L11089" s="382">
        <v>1.0</v>
      </c>
    </row>
    <row r="11090">
      <c r="A11090" s="380" t="s">
        <v>11964</v>
      </c>
      <c r="B11090" s="380" t="str">
        <f>IFERROR(__xludf.DUMMYFUNCTION("""COMPUTED_VALUE"""),"Base FILT COMB INT Lt 3989924c92")</f>
        <v>Base FILT COMB INT Lt 3989924c92</v>
      </c>
      <c r="C11090" s="380" t="str">
        <f>IFERROR(__xludf.DUMMYFUNCTION("""COMPUTED_VALUE"""),"70006522")</f>
        <v>70006522</v>
      </c>
      <c r="D11090" s="380" t="s">
        <v>767</v>
      </c>
      <c r="E11090" s="380" t="s">
        <v>786</v>
      </c>
      <c r="F11090" s="380" t="s">
        <v>792</v>
      </c>
      <c r="G11090" s="380" t="s">
        <v>1267</v>
      </c>
      <c r="H11090" s="380" t="s">
        <v>771</v>
      </c>
      <c r="I11090" s="380" t="s">
        <v>788</v>
      </c>
      <c r="J11090" s="380" t="s">
        <v>773</v>
      </c>
      <c r="K11090" s="381">
        <v>0.0</v>
      </c>
      <c r="L11090" s="382">
        <v>1.0</v>
      </c>
    </row>
    <row r="11091">
      <c r="A11091" s="380" t="s">
        <v>11965</v>
      </c>
      <c r="B11091" s="380" t="str">
        <f>IFERROR(__xludf.DUMMYFUNCTION("""COMPUTED_VALUE"""),"RET Diferencial FT 1128 7705946730747")</f>
        <v>RET Diferencial FT 1128 7705946730747</v>
      </c>
      <c r="C11091" s="380" t="str">
        <f>IFERROR(__xludf.DUMMYFUNCTION("""COMPUTED_VALUE"""),"70006523")</f>
        <v>70006523</v>
      </c>
      <c r="D11091" s="380" t="s">
        <v>767</v>
      </c>
      <c r="E11091" s="380" t="s">
        <v>786</v>
      </c>
      <c r="F11091" s="380" t="s">
        <v>5683</v>
      </c>
      <c r="G11091" s="380" t="s">
        <v>1267</v>
      </c>
      <c r="H11091" s="380" t="s">
        <v>771</v>
      </c>
      <c r="I11091" s="380" t="s">
        <v>788</v>
      </c>
      <c r="J11091" s="380" t="s">
        <v>773</v>
      </c>
      <c r="K11091" s="381">
        <v>0.0</v>
      </c>
      <c r="L11091" s="382">
        <v>1.0</v>
      </c>
    </row>
    <row r="11092">
      <c r="A11092" s="380" t="s">
        <v>11966</v>
      </c>
      <c r="B11092" s="380" t="str">
        <f>IFERROR(__xludf.DUMMYFUNCTION("""COMPUTED_VALUE"""),"Caja Portafusible Ato 5p 30amp 10-P /12v")</f>
        <v>Caja Portafusible Ato 5p 30amp 10-P /12v</v>
      </c>
      <c r="C11092" s="380" t="str">
        <f>IFERROR(__xludf.DUMMYFUNCTION("""COMPUTED_VALUE"""),"70006524")</f>
        <v>70006524</v>
      </c>
      <c r="D11092" s="380" t="s">
        <v>767</v>
      </c>
      <c r="E11092" s="380" t="s">
        <v>786</v>
      </c>
      <c r="F11092" s="380" t="s">
        <v>998</v>
      </c>
      <c r="G11092" s="380" t="s">
        <v>1267</v>
      </c>
      <c r="H11092" s="380" t="s">
        <v>771</v>
      </c>
      <c r="I11092" s="380" t="s">
        <v>788</v>
      </c>
      <c r="J11092" s="380" t="s">
        <v>773</v>
      </c>
      <c r="K11092" s="381">
        <v>0.0</v>
      </c>
      <c r="L11092" s="382">
        <v>1.0</v>
      </c>
    </row>
    <row r="11093">
      <c r="A11093" s="380" t="s">
        <v>11967</v>
      </c>
      <c r="B11093" s="380" t="str">
        <f>IFERROR(__xludf.DUMMYFUNCTION("""COMPUTED_VALUE"""),"Espejo Retrovisor Der Completo Daf Cf 48")</f>
        <v>Espejo Retrovisor Der Completo Daf Cf 48</v>
      </c>
      <c r="C11093" s="380" t="str">
        <f>IFERROR(__xludf.DUMMYFUNCTION("""COMPUTED_VALUE"""),"70006525")</f>
        <v>70006525</v>
      </c>
      <c r="D11093" s="380" t="s">
        <v>767</v>
      </c>
      <c r="E11093" s="380" t="s">
        <v>786</v>
      </c>
      <c r="F11093" s="380" t="s">
        <v>792</v>
      </c>
      <c r="G11093" s="380" t="s">
        <v>1267</v>
      </c>
      <c r="H11093" s="380" t="s">
        <v>771</v>
      </c>
      <c r="I11093" s="380" t="s">
        <v>788</v>
      </c>
      <c r="J11093" s="380" t="s">
        <v>773</v>
      </c>
      <c r="K11093" s="381">
        <v>0.0</v>
      </c>
      <c r="L11093" s="382">
        <v>1.0</v>
      </c>
    </row>
    <row r="11094">
      <c r="A11094" s="380" t="s">
        <v>11968</v>
      </c>
      <c r="B11094" s="380" t="str">
        <f>IFERROR(__xludf.DUMMYFUNCTION("""COMPUTED_VALUE"""),"Piñon De Hierro 2da Eje Corredizo 37 Die")</f>
        <v>Piñon De Hierro 2da Eje Corredizo 37 Die</v>
      </c>
      <c r="C11094" s="380" t="str">
        <f>IFERROR(__xludf.DUMMYFUNCTION("""COMPUTED_VALUE"""),"70006526")</f>
        <v>70006526</v>
      </c>
      <c r="D11094" s="380" t="s">
        <v>767</v>
      </c>
      <c r="E11094" s="380" t="s">
        <v>786</v>
      </c>
      <c r="F11094" s="380" t="s">
        <v>928</v>
      </c>
      <c r="G11094" s="380" t="s">
        <v>1267</v>
      </c>
      <c r="H11094" s="380" t="s">
        <v>771</v>
      </c>
      <c r="I11094" s="380" t="s">
        <v>788</v>
      </c>
      <c r="J11094" s="380" t="s">
        <v>773</v>
      </c>
      <c r="K11094" s="381">
        <v>0.0</v>
      </c>
      <c r="L11094" s="382">
        <v>1.0</v>
      </c>
    </row>
    <row r="11095">
      <c r="A11095" s="380" t="s">
        <v>11969</v>
      </c>
      <c r="B11095" s="380" t="str">
        <f>IFERROR(__xludf.DUMMYFUNCTION("""COMPUTED_VALUE"""),"Bomper Der Mack Anthem 23356091")</f>
        <v>Bomper Der Mack Anthem 23356091</v>
      </c>
      <c r="C11095" s="380" t="str">
        <f>IFERROR(__xludf.DUMMYFUNCTION("""COMPUTED_VALUE"""),"70006527")</f>
        <v>70006527</v>
      </c>
      <c r="D11095" s="380" t="s">
        <v>767</v>
      </c>
      <c r="E11095" s="380" t="s">
        <v>786</v>
      </c>
      <c r="F11095" s="380" t="s">
        <v>792</v>
      </c>
      <c r="G11095" s="380" t="s">
        <v>1267</v>
      </c>
      <c r="H11095" s="380" t="s">
        <v>771</v>
      </c>
      <c r="I11095" s="380" t="s">
        <v>788</v>
      </c>
      <c r="J11095" s="380" t="s">
        <v>773</v>
      </c>
      <c r="K11095" s="381">
        <v>0.0</v>
      </c>
      <c r="L11095" s="382">
        <v>1.0</v>
      </c>
    </row>
    <row r="11096">
      <c r="A11096" s="380" t="s">
        <v>11970</v>
      </c>
      <c r="B11096" s="380" t="str">
        <f>IFERROR(__xludf.DUMMYFUNCTION("""COMPUTED_VALUE"""),"Bomper Central Mack Anthem 23367142")</f>
        <v>Bomper Central Mack Anthem 23367142</v>
      </c>
      <c r="C11096" s="380" t="str">
        <f>IFERROR(__xludf.DUMMYFUNCTION("""COMPUTED_VALUE"""),"70006528")</f>
        <v>70006528</v>
      </c>
      <c r="D11096" s="380" t="s">
        <v>767</v>
      </c>
      <c r="E11096" s="380" t="s">
        <v>786</v>
      </c>
      <c r="F11096" s="380" t="s">
        <v>792</v>
      </c>
      <c r="G11096" s="380" t="s">
        <v>1267</v>
      </c>
      <c r="H11096" s="380" t="s">
        <v>771</v>
      </c>
      <c r="I11096" s="380" t="s">
        <v>788</v>
      </c>
      <c r="J11096" s="380" t="s">
        <v>773</v>
      </c>
      <c r="K11096" s="381">
        <v>0.0</v>
      </c>
      <c r="L11096" s="382">
        <v>1.0</v>
      </c>
    </row>
    <row r="11097">
      <c r="A11097" s="380" t="s">
        <v>11971</v>
      </c>
      <c r="B11097" s="380" t="str">
        <f>IFERROR(__xludf.DUMMYFUNCTION("""COMPUTED_VALUE"""),"Diafragma Freno De Ahogo 8944197491")</f>
        <v>Diafragma Freno De Ahogo 8944197491</v>
      </c>
      <c r="C11097" s="380" t="str">
        <f>IFERROR(__xludf.DUMMYFUNCTION("""COMPUTED_VALUE"""),"70006529")</f>
        <v>70006529</v>
      </c>
      <c r="D11097" s="380" t="s">
        <v>767</v>
      </c>
      <c r="E11097" s="380" t="s">
        <v>786</v>
      </c>
      <c r="F11097" s="380" t="s">
        <v>787</v>
      </c>
      <c r="G11097" s="380" t="s">
        <v>1267</v>
      </c>
      <c r="H11097" s="380" t="s">
        <v>771</v>
      </c>
      <c r="I11097" s="380" t="s">
        <v>788</v>
      </c>
      <c r="J11097" s="380" t="s">
        <v>773</v>
      </c>
      <c r="K11097" s="381">
        <v>0.0</v>
      </c>
      <c r="L11097" s="382">
        <v>1.0</v>
      </c>
    </row>
    <row r="11098">
      <c r="A11098" s="380" t="s">
        <v>11972</v>
      </c>
      <c r="B11098" s="380" t="str">
        <f>IFERROR(__xludf.DUMMYFUNCTION("""COMPUTED_VALUE"""),"Luna Espejo Retrovisor Sup DER FT 4269 H")</f>
        <v>Luna Espejo Retrovisor Sup DER FT 4269 H</v>
      </c>
      <c r="C11098" s="380" t="str">
        <f>IFERROR(__xludf.DUMMYFUNCTION("""COMPUTED_VALUE"""),"70006530")</f>
        <v>70006530</v>
      </c>
      <c r="D11098" s="380" t="s">
        <v>767</v>
      </c>
      <c r="E11098" s="380" t="s">
        <v>786</v>
      </c>
      <c r="F11098" s="380" t="s">
        <v>792</v>
      </c>
      <c r="G11098" s="380" t="s">
        <v>1267</v>
      </c>
      <c r="H11098" s="380" t="s">
        <v>771</v>
      </c>
      <c r="I11098" s="380" t="s">
        <v>788</v>
      </c>
      <c r="J11098" s="380" t="s">
        <v>773</v>
      </c>
      <c r="K11098" s="381">
        <v>120473.0</v>
      </c>
      <c r="L11098" s="382">
        <v>1.0</v>
      </c>
    </row>
    <row r="11099">
      <c r="A11099" s="380" t="s">
        <v>11973</v>
      </c>
      <c r="B11099" s="380" t="str">
        <f>IFERROR(__xludf.DUMMYFUNCTION("""COMPUTED_VALUE"""),"Luna Espejo Retrovisor Infe Izq FT 4269")</f>
        <v>Luna Espejo Retrovisor Infe Izq FT 4269</v>
      </c>
      <c r="C11099" s="380" t="str">
        <f>IFERROR(__xludf.DUMMYFUNCTION("""COMPUTED_VALUE"""),"70006531")</f>
        <v>70006531</v>
      </c>
      <c r="D11099" s="380" t="s">
        <v>767</v>
      </c>
      <c r="E11099" s="380" t="s">
        <v>786</v>
      </c>
      <c r="F11099" s="380" t="s">
        <v>792</v>
      </c>
      <c r="G11099" s="380" t="s">
        <v>1267</v>
      </c>
      <c r="H11099" s="380" t="s">
        <v>771</v>
      </c>
      <c r="I11099" s="380" t="s">
        <v>788</v>
      </c>
      <c r="J11099" s="380" t="s">
        <v>773</v>
      </c>
      <c r="K11099" s="381">
        <v>0.0</v>
      </c>
      <c r="L11099" s="382">
        <v>1.0</v>
      </c>
    </row>
    <row r="11100">
      <c r="A11100" s="380" t="s">
        <v>11974</v>
      </c>
      <c r="B11100" s="380" t="str">
        <f>IFERROR(__xludf.DUMMYFUNCTION("""COMPUTED_VALUE"""),"Bomba Agua Motor Isx15 Inter Lt 4386570")</f>
        <v>Bomba Agua Motor Isx15 Inter Lt 4386570</v>
      </c>
      <c r="C11100" s="380" t="str">
        <f>IFERROR(__xludf.DUMMYFUNCTION("""COMPUTED_VALUE"""),"70006532")</f>
        <v>70006532</v>
      </c>
      <c r="D11100" s="380" t="s">
        <v>767</v>
      </c>
      <c r="E11100" s="380" t="s">
        <v>786</v>
      </c>
      <c r="F11100" s="380" t="s">
        <v>787</v>
      </c>
      <c r="G11100" s="380" t="s">
        <v>1267</v>
      </c>
      <c r="H11100" s="380" t="s">
        <v>771</v>
      </c>
      <c r="I11100" s="380" t="s">
        <v>788</v>
      </c>
      <c r="J11100" s="380" t="s">
        <v>773</v>
      </c>
      <c r="K11100" s="381">
        <v>0.0</v>
      </c>
      <c r="L11100" s="382">
        <v>1.0</v>
      </c>
    </row>
    <row r="11101">
      <c r="A11101" s="380" t="s">
        <v>11975</v>
      </c>
      <c r="B11101" s="380" t="str">
        <f>IFERROR(__xludf.DUMMYFUNCTION("""COMPUTED_VALUE"""),"Plumilla Limpiabrisas Kentworth Anco 18""")</f>
        <v>Plumilla Limpiabrisas Kentworth Anco 18"</v>
      </c>
      <c r="C11101" s="380" t="str">
        <f>IFERROR(__xludf.DUMMYFUNCTION("""COMPUTED_VALUE"""),"70006533")</f>
        <v>70006533</v>
      </c>
      <c r="D11101" s="380" t="s">
        <v>767</v>
      </c>
      <c r="E11101" s="380" t="s">
        <v>786</v>
      </c>
      <c r="F11101" s="380" t="s">
        <v>792</v>
      </c>
      <c r="G11101" s="380" t="s">
        <v>1267</v>
      </c>
      <c r="H11101" s="380" t="s">
        <v>771</v>
      </c>
      <c r="I11101" s="380" t="s">
        <v>788</v>
      </c>
      <c r="J11101" s="380" t="s">
        <v>773</v>
      </c>
      <c r="K11101" s="381">
        <v>65450.0</v>
      </c>
      <c r="L11101" s="382">
        <v>1.0</v>
      </c>
    </row>
    <row r="11102">
      <c r="A11102" s="380" t="s">
        <v>11976</v>
      </c>
      <c r="B11102" s="380" t="str">
        <f>IFERROR(__xludf.DUMMYFUNCTION("""COMPUTED_VALUE"""),"Hoja 2da MUE DEL FT 1039 7701023528252")</f>
        <v>Hoja 2da MUE DEL FT 1039 7701023528252</v>
      </c>
      <c r="C11102" s="380" t="str">
        <f>IFERROR(__xludf.DUMMYFUNCTION("""COMPUTED_VALUE"""),"70006534")</f>
        <v>70006534</v>
      </c>
      <c r="D11102" s="380" t="s">
        <v>767</v>
      </c>
      <c r="E11102" s="380" t="s">
        <v>786</v>
      </c>
      <c r="F11102" s="380" t="s">
        <v>1039</v>
      </c>
      <c r="G11102" s="380" t="s">
        <v>1267</v>
      </c>
      <c r="H11102" s="380" t="s">
        <v>771</v>
      </c>
      <c r="I11102" s="380" t="s">
        <v>788</v>
      </c>
      <c r="J11102" s="380" t="s">
        <v>773</v>
      </c>
      <c r="K11102" s="381">
        <v>0.0</v>
      </c>
      <c r="L11102" s="382">
        <v>1.0</v>
      </c>
    </row>
    <row r="11103">
      <c r="A11103" s="380" t="s">
        <v>11977</v>
      </c>
      <c r="B11103" s="380" t="str">
        <f>IFERROR(__xludf.DUMMYFUNCTION("""COMPUTED_VALUE"""),"Hoja 3ra MUE DEL FT 1039 7701023528269")</f>
        <v>Hoja 3ra MUE DEL FT 1039 7701023528269</v>
      </c>
      <c r="C11103" s="380" t="str">
        <f>IFERROR(__xludf.DUMMYFUNCTION("""COMPUTED_VALUE"""),"70006535")</f>
        <v>70006535</v>
      </c>
      <c r="D11103" s="380" t="s">
        <v>767</v>
      </c>
      <c r="E11103" s="380" t="s">
        <v>786</v>
      </c>
      <c r="F11103" s="380" t="s">
        <v>1039</v>
      </c>
      <c r="G11103" s="380" t="s">
        <v>1267</v>
      </c>
      <c r="H11103" s="380" t="s">
        <v>771</v>
      </c>
      <c r="I11103" s="380" t="s">
        <v>788</v>
      </c>
      <c r="J11103" s="380" t="s">
        <v>773</v>
      </c>
      <c r="K11103" s="381">
        <v>0.0</v>
      </c>
      <c r="L11103" s="382">
        <v>1.0</v>
      </c>
    </row>
    <row r="11104">
      <c r="A11104" s="380" t="s">
        <v>11978</v>
      </c>
      <c r="B11104" s="380" t="str">
        <f>IFERROR(__xludf.DUMMYFUNCTION("""COMPUTED_VALUE"""),"Chapeta Seguro Vidrio Fabricad")</f>
        <v>Chapeta Seguro Vidrio Fabricad</v>
      </c>
      <c r="C11104" s="380" t="str">
        <f>IFERROR(__xludf.DUMMYFUNCTION("""COMPUTED_VALUE"""),"70006536")</f>
        <v>70006536</v>
      </c>
      <c r="D11104" s="380" t="s">
        <v>767</v>
      </c>
      <c r="E11104" s="380" t="s">
        <v>786</v>
      </c>
      <c r="F11104" s="380" t="s">
        <v>792</v>
      </c>
      <c r="G11104" s="380" t="s">
        <v>1267</v>
      </c>
      <c r="H11104" s="380" t="s">
        <v>771</v>
      </c>
      <c r="I11104" s="380" t="s">
        <v>788</v>
      </c>
      <c r="J11104" s="380" t="s">
        <v>773</v>
      </c>
      <c r="K11104" s="381">
        <v>8120.0</v>
      </c>
      <c r="L11104" s="382">
        <v>1.0</v>
      </c>
    </row>
    <row r="11105">
      <c r="A11105" s="380" t="s">
        <v>11979</v>
      </c>
      <c r="B11105" s="380" t="str">
        <f>IFERROR(__xludf.DUMMYFUNCTION("""COMPUTED_VALUE"""),"Amortiguador Trasero Daf Cf480 2027152")</f>
        <v>Amortiguador Trasero Daf Cf480 2027152</v>
      </c>
      <c r="C11105" s="380" t="str">
        <f>IFERROR(__xludf.DUMMYFUNCTION("""COMPUTED_VALUE"""),"70006537")</f>
        <v>70006537</v>
      </c>
      <c r="D11105" s="380" t="s">
        <v>767</v>
      </c>
      <c r="E11105" s="380" t="s">
        <v>786</v>
      </c>
      <c r="F11105" s="380" t="s">
        <v>1039</v>
      </c>
      <c r="G11105" s="380" t="s">
        <v>1267</v>
      </c>
      <c r="H11105" s="380" t="s">
        <v>771</v>
      </c>
      <c r="I11105" s="380" t="s">
        <v>788</v>
      </c>
      <c r="J11105" s="380" t="s">
        <v>773</v>
      </c>
      <c r="K11105" s="381">
        <v>0.0</v>
      </c>
      <c r="L11105" s="382">
        <v>1.0</v>
      </c>
    </row>
    <row r="11106">
      <c r="A11106" s="380" t="s">
        <v>11980</v>
      </c>
      <c r="B11106" s="380" t="str">
        <f>IFERROR(__xludf.DUMMYFUNCTION("""COMPUTED_VALUE"""),"Switch Retrovisores FT Est Amt H43730400")</f>
        <v>Switch Retrovisores FT Est Amt H43730400</v>
      </c>
      <c r="C11106" s="380" t="str">
        <f>IFERROR(__xludf.DUMMYFUNCTION("""COMPUTED_VALUE"""),"70006538")</f>
        <v>70006538</v>
      </c>
      <c r="D11106" s="380" t="s">
        <v>767</v>
      </c>
      <c r="E11106" s="380" t="s">
        <v>786</v>
      </c>
      <c r="F11106" s="380" t="s">
        <v>998</v>
      </c>
      <c r="G11106" s="380" t="s">
        <v>1267</v>
      </c>
      <c r="H11106" s="380" t="s">
        <v>771</v>
      </c>
      <c r="I11106" s="380" t="s">
        <v>788</v>
      </c>
      <c r="J11106" s="380" t="s">
        <v>773</v>
      </c>
      <c r="K11106" s="381">
        <v>0.0</v>
      </c>
      <c r="L11106" s="382">
        <v>1.0</v>
      </c>
    </row>
    <row r="11107">
      <c r="A11107" s="380" t="s">
        <v>11981</v>
      </c>
      <c r="B11107" s="380" t="str">
        <f>IFERROR(__xludf.DUMMYFUNCTION("""COMPUTED_VALUE"""),"Asiento Muelle Trailer Inca Coa004501")</f>
        <v>Asiento Muelle Trailer Inca Coa004501</v>
      </c>
      <c r="C11107" s="380" t="str">
        <f>IFERROR(__xludf.DUMMYFUNCTION("""COMPUTED_VALUE"""),"70006539")</f>
        <v>70006539</v>
      </c>
      <c r="D11107" s="380" t="s">
        <v>767</v>
      </c>
      <c r="E11107" s="380" t="s">
        <v>786</v>
      </c>
      <c r="F11107" s="380" t="s">
        <v>1039</v>
      </c>
      <c r="G11107" s="380" t="s">
        <v>1267</v>
      </c>
      <c r="H11107" s="380" t="s">
        <v>771</v>
      </c>
      <c r="I11107" s="380" t="s">
        <v>788</v>
      </c>
      <c r="J11107" s="380" t="s">
        <v>773</v>
      </c>
      <c r="K11107" s="381">
        <v>0.0</v>
      </c>
      <c r="L11107" s="382">
        <v>1.0</v>
      </c>
    </row>
    <row r="11108">
      <c r="A11108" s="380" t="s">
        <v>11982</v>
      </c>
      <c r="B11108" s="380" t="str">
        <f>IFERROR(__xludf.DUMMYFUNCTION("""COMPUTED_VALUE"""),"Tapa Tanque Acpm Nhr 8971158561")</f>
        <v>Tapa Tanque Acpm Nhr 8971158561</v>
      </c>
      <c r="C11108" s="380" t="str">
        <f>IFERROR(__xludf.DUMMYFUNCTION("""COMPUTED_VALUE"""),"70006540")</f>
        <v>70006540</v>
      </c>
      <c r="D11108" s="380" t="s">
        <v>767</v>
      </c>
      <c r="E11108" s="380" t="s">
        <v>786</v>
      </c>
      <c r="F11108" s="380" t="s">
        <v>792</v>
      </c>
      <c r="G11108" s="380" t="s">
        <v>1267</v>
      </c>
      <c r="H11108" s="380" t="s">
        <v>771</v>
      </c>
      <c r="I11108" s="380" t="s">
        <v>788</v>
      </c>
      <c r="J11108" s="380" t="s">
        <v>773</v>
      </c>
      <c r="K11108" s="381">
        <v>0.0</v>
      </c>
      <c r="L11108" s="382">
        <v>1.0</v>
      </c>
    </row>
    <row r="11109">
      <c r="A11109" s="380" t="s">
        <v>11983</v>
      </c>
      <c r="B11109" s="380" t="str">
        <f>IFERROR(__xludf.DUMMYFUNCTION("""COMPUTED_VALUE"""),"Cable Duplex 2 X 14")</f>
        <v>Cable Duplex 2 X 14</v>
      </c>
      <c r="C11109" s="380" t="str">
        <f>IFERROR(__xludf.DUMMYFUNCTION("""COMPUTED_VALUE"""),"70006541")</f>
        <v>70006541</v>
      </c>
      <c r="D11109" s="380" t="s">
        <v>767</v>
      </c>
      <c r="E11109" s="380" t="s">
        <v>786</v>
      </c>
      <c r="F11109" s="380" t="s">
        <v>998</v>
      </c>
      <c r="G11109" s="380" t="s">
        <v>1267</v>
      </c>
      <c r="H11109" s="380" t="s">
        <v>771</v>
      </c>
      <c r="I11109" s="380" t="s">
        <v>788</v>
      </c>
      <c r="J11109" s="380" t="s">
        <v>773</v>
      </c>
      <c r="K11109" s="381">
        <v>0.0</v>
      </c>
      <c r="L11109" s="382">
        <v>1.0</v>
      </c>
    </row>
    <row r="11110">
      <c r="A11110" s="380" t="s">
        <v>11984</v>
      </c>
      <c r="B11110" s="380" t="str">
        <f>IFERROR(__xludf.DUMMYFUNCTION("""COMPUTED_VALUE"""),"Sensor De Velocidad Jac 1042 Dllg901q4a")</f>
        <v>Sensor De Velocidad Jac 1042 Dllg901q4a</v>
      </c>
      <c r="C11110" s="380" t="str">
        <f>IFERROR(__xludf.DUMMYFUNCTION("""COMPUTED_VALUE"""),"70006542")</f>
        <v>70006542</v>
      </c>
      <c r="D11110" s="380" t="s">
        <v>767</v>
      </c>
      <c r="E11110" s="380" t="s">
        <v>786</v>
      </c>
      <c r="F11110" s="380" t="s">
        <v>998</v>
      </c>
      <c r="G11110" s="380" t="s">
        <v>1267</v>
      </c>
      <c r="H11110" s="380" t="s">
        <v>771</v>
      </c>
      <c r="I11110" s="380" t="s">
        <v>788</v>
      </c>
      <c r="J11110" s="380" t="s">
        <v>773</v>
      </c>
      <c r="K11110" s="381">
        <v>0.0</v>
      </c>
      <c r="L11110" s="382">
        <v>1.0</v>
      </c>
    </row>
    <row r="11111">
      <c r="A11111" s="380" t="s">
        <v>11985</v>
      </c>
      <c r="B11111" s="380" t="str">
        <f>IFERROR(__xludf.DUMMYFUNCTION("""COMPUTED_VALUE"""),"Prensa Embrague Agrale Nueva 8003715007")</f>
        <v>Prensa Embrague Agrale Nueva 8003715007</v>
      </c>
      <c r="C11111" s="380" t="str">
        <f>IFERROR(__xludf.DUMMYFUNCTION("""COMPUTED_VALUE"""),"70006543")</f>
        <v>70006543</v>
      </c>
      <c r="D11111" s="380" t="s">
        <v>767</v>
      </c>
      <c r="E11111" s="380" t="s">
        <v>786</v>
      </c>
      <c r="F11111" s="380" t="s">
        <v>5661</v>
      </c>
      <c r="G11111" s="380" t="s">
        <v>1267</v>
      </c>
      <c r="H11111" s="380" t="s">
        <v>771</v>
      </c>
      <c r="I11111" s="380" t="s">
        <v>788</v>
      </c>
      <c r="J11111" s="380" t="s">
        <v>773</v>
      </c>
      <c r="K11111" s="381">
        <v>0.0</v>
      </c>
      <c r="L11111" s="382">
        <v>1.0</v>
      </c>
    </row>
    <row r="11112">
      <c r="A11112" s="380" t="s">
        <v>11986</v>
      </c>
      <c r="B11112" s="380" t="str">
        <f>IFERROR(__xludf.DUMMYFUNCTION("""COMPUTED_VALUE"""),"Kit SOP Cardan FT 1030 7705946980982")</f>
        <v>Kit SOP Cardan FT 1030 7705946980982</v>
      </c>
      <c r="C11112" s="380" t="str">
        <f>IFERROR(__xludf.DUMMYFUNCTION("""COMPUTED_VALUE"""),"70006544")</f>
        <v>70006544</v>
      </c>
      <c r="D11112" s="380" t="s">
        <v>767</v>
      </c>
      <c r="E11112" s="380" t="s">
        <v>786</v>
      </c>
      <c r="F11112" s="380" t="s">
        <v>5683</v>
      </c>
      <c r="G11112" s="380" t="s">
        <v>1267</v>
      </c>
      <c r="H11112" s="380" t="s">
        <v>771</v>
      </c>
      <c r="I11112" s="380" t="s">
        <v>788</v>
      </c>
      <c r="J11112" s="380" t="s">
        <v>773</v>
      </c>
      <c r="K11112" s="381">
        <v>0.0</v>
      </c>
      <c r="L11112" s="382">
        <v>1.0</v>
      </c>
    </row>
    <row r="11113">
      <c r="A11113" s="380" t="s">
        <v>11987</v>
      </c>
      <c r="B11113" s="380" t="str">
        <f>IFERROR(__xludf.DUMMYFUNCTION("""COMPUTED_VALUE"""),"Disco Embrague Agrale 9003502007")</f>
        <v>Disco Embrague Agrale 9003502007</v>
      </c>
      <c r="C11113" s="380" t="str">
        <f>IFERROR(__xludf.DUMMYFUNCTION("""COMPUTED_VALUE"""),"70006545")</f>
        <v>70006545</v>
      </c>
      <c r="D11113" s="380" t="s">
        <v>767</v>
      </c>
      <c r="E11113" s="380" t="s">
        <v>786</v>
      </c>
      <c r="F11113" s="380" t="s">
        <v>5661</v>
      </c>
      <c r="G11113" s="380" t="s">
        <v>1267</v>
      </c>
      <c r="H11113" s="380" t="s">
        <v>771</v>
      </c>
      <c r="I11113" s="380" t="s">
        <v>788</v>
      </c>
      <c r="J11113" s="380" t="s">
        <v>773</v>
      </c>
      <c r="K11113" s="381">
        <v>0.0</v>
      </c>
      <c r="L11113" s="382">
        <v>1.0</v>
      </c>
    </row>
    <row r="11114">
      <c r="A11114" s="380" t="s">
        <v>11988</v>
      </c>
      <c r="B11114" s="380" t="str">
        <f>IFERROR(__xludf.DUMMYFUNCTION("""COMPUTED_VALUE"""),"Rodamiento Tren Desplazable FT 1129 7705")</f>
        <v>Rodamiento Tren Desplazable FT 1129 7705</v>
      </c>
      <c r="C11114" s="380" t="str">
        <f>IFERROR(__xludf.DUMMYFUNCTION("""COMPUTED_VALUE"""),"70006546")</f>
        <v>70006546</v>
      </c>
      <c r="D11114" s="380" t="s">
        <v>767</v>
      </c>
      <c r="E11114" s="380" t="s">
        <v>786</v>
      </c>
      <c r="F11114" s="380" t="s">
        <v>928</v>
      </c>
      <c r="G11114" s="380" t="s">
        <v>1267</v>
      </c>
      <c r="H11114" s="380" t="s">
        <v>771</v>
      </c>
      <c r="I11114" s="380" t="s">
        <v>788</v>
      </c>
      <c r="J11114" s="380" t="s">
        <v>773</v>
      </c>
      <c r="K11114" s="381">
        <v>0.0</v>
      </c>
      <c r="L11114" s="382">
        <v>1.0</v>
      </c>
    </row>
    <row r="11115">
      <c r="A11115" s="380" t="s">
        <v>11989</v>
      </c>
      <c r="B11115" s="380" t="str">
        <f>IFERROR(__xludf.DUMMYFUNCTION("""COMPUTED_VALUE"""),"Soporte Trasero Cabina Volkswagen 899397")</f>
        <v>Soporte Trasero Cabina Volkswagen 899397</v>
      </c>
      <c r="C11115" s="380" t="str">
        <f>IFERROR(__xludf.DUMMYFUNCTION("""COMPUTED_VALUE"""),"70006547")</f>
        <v>70006547</v>
      </c>
      <c r="D11115" s="380" t="s">
        <v>767</v>
      </c>
      <c r="E11115" s="380" t="s">
        <v>786</v>
      </c>
      <c r="F11115" s="380" t="s">
        <v>792</v>
      </c>
      <c r="G11115" s="380" t="s">
        <v>1267</v>
      </c>
      <c r="H11115" s="380" t="s">
        <v>771</v>
      </c>
      <c r="I11115" s="380" t="s">
        <v>788</v>
      </c>
      <c r="J11115" s="380" t="s">
        <v>773</v>
      </c>
      <c r="K11115" s="381">
        <v>0.0</v>
      </c>
      <c r="L11115" s="382">
        <v>1.0</v>
      </c>
    </row>
    <row r="11116">
      <c r="A11116" s="380" t="s">
        <v>11990</v>
      </c>
      <c r="B11116" s="380" t="str">
        <f>IFERROR(__xludf.DUMMYFUNCTION("""COMPUTED_VALUE"""),"BMB De Freno REN Nueva Master 460110032r")</f>
        <v>BMB De Freno REN Nueva Master 460110032r</v>
      </c>
      <c r="C11116" s="380" t="str">
        <f>IFERROR(__xludf.DUMMYFUNCTION("""COMPUTED_VALUE"""),"70006548")</f>
        <v>70006548</v>
      </c>
      <c r="D11116" s="380" t="s">
        <v>767</v>
      </c>
      <c r="E11116" s="380" t="s">
        <v>786</v>
      </c>
      <c r="F11116" s="380" t="s">
        <v>1017</v>
      </c>
      <c r="G11116" s="380" t="s">
        <v>1267</v>
      </c>
      <c r="H11116" s="380" t="s">
        <v>771</v>
      </c>
      <c r="I11116" s="380" t="s">
        <v>788</v>
      </c>
      <c r="J11116" s="380" t="s">
        <v>773</v>
      </c>
      <c r="K11116" s="381">
        <v>0.0</v>
      </c>
      <c r="L11116" s="382">
        <v>1.0</v>
      </c>
    </row>
    <row r="11117">
      <c r="A11117" s="380" t="s">
        <v>11991</v>
      </c>
      <c r="B11117" s="380" t="str">
        <f>IFERROR(__xludf.DUMMYFUNCTION("""COMPUTED_VALUE"""),"Fusible Varios Miniato")</f>
        <v>Fusible Varios Miniato</v>
      </c>
      <c r="C11117" s="380" t="str">
        <f>IFERROR(__xludf.DUMMYFUNCTION("""COMPUTED_VALUE"""),"70006549")</f>
        <v>70006549</v>
      </c>
      <c r="D11117" s="380" t="s">
        <v>767</v>
      </c>
      <c r="E11117" s="380" t="s">
        <v>786</v>
      </c>
      <c r="F11117" s="380" t="s">
        <v>998</v>
      </c>
      <c r="G11117" s="380" t="s">
        <v>1267</v>
      </c>
      <c r="H11117" s="380" t="s">
        <v>771</v>
      </c>
      <c r="I11117" s="380" t="s">
        <v>788</v>
      </c>
      <c r="J11117" s="380" t="s">
        <v>773</v>
      </c>
      <c r="K11117" s="381">
        <v>551.0</v>
      </c>
      <c r="L11117" s="382">
        <v>1.0</v>
      </c>
    </row>
    <row r="11118">
      <c r="A11118" s="380" t="s">
        <v>11992</v>
      </c>
      <c r="B11118" s="380" t="str">
        <f>IFERROR(__xludf.DUMMYFUNCTION("""COMPUTED_VALUE"""),"Cuna Eje Salida Divisor 9400 Tkn K104910")</f>
        <v>Cuna Eje Salida Divisor 9400 Tkn K104910</v>
      </c>
      <c r="C11118" s="380" t="str">
        <f>IFERROR(__xludf.DUMMYFUNCTION("""COMPUTED_VALUE"""),"70006550")</f>
        <v>70006550</v>
      </c>
      <c r="D11118" s="380" t="s">
        <v>767</v>
      </c>
      <c r="E11118" s="380" t="s">
        <v>786</v>
      </c>
      <c r="F11118" s="380" t="s">
        <v>5683</v>
      </c>
      <c r="G11118" s="380" t="s">
        <v>1267</v>
      </c>
      <c r="H11118" s="380" t="s">
        <v>771</v>
      </c>
      <c r="I11118" s="380" t="s">
        <v>788</v>
      </c>
      <c r="J11118" s="380" t="s">
        <v>773</v>
      </c>
      <c r="K11118" s="381">
        <v>0.0</v>
      </c>
      <c r="L11118" s="382">
        <v>1.0</v>
      </c>
    </row>
    <row r="11119">
      <c r="A11119" s="380" t="s">
        <v>11993</v>
      </c>
      <c r="B11119" s="380" t="str">
        <f>IFERROR(__xludf.DUMMYFUNCTION("""COMPUTED_VALUE"""),"Bombillo H4 Led")</f>
        <v>Bombillo H4 Led</v>
      </c>
      <c r="C11119" s="380" t="str">
        <f>IFERROR(__xludf.DUMMYFUNCTION("""COMPUTED_VALUE"""),"70006551")</f>
        <v>70006551</v>
      </c>
      <c r="D11119" s="380" t="s">
        <v>767</v>
      </c>
      <c r="E11119" s="380" t="s">
        <v>786</v>
      </c>
      <c r="F11119" s="380" t="s">
        <v>998</v>
      </c>
      <c r="G11119" s="380" t="s">
        <v>1267</v>
      </c>
      <c r="H11119" s="380" t="s">
        <v>771</v>
      </c>
      <c r="I11119" s="380" t="s">
        <v>788</v>
      </c>
      <c r="J11119" s="380" t="s">
        <v>773</v>
      </c>
      <c r="K11119" s="381">
        <v>161840.0</v>
      </c>
      <c r="L11119" s="382">
        <v>1.0</v>
      </c>
    </row>
    <row r="11120">
      <c r="A11120" s="380" t="s">
        <v>11994</v>
      </c>
      <c r="B11120" s="380" t="str">
        <f>IFERROR(__xludf.DUMMYFUNCTION("""COMPUTED_VALUE"""),"Manija INTna Izq FT 1128 7700149106894")</f>
        <v>Manija INTna Izq FT 1128 7700149106894</v>
      </c>
      <c r="C11120" s="380" t="str">
        <f>IFERROR(__xludf.DUMMYFUNCTION("""COMPUTED_VALUE"""),"70006552")</f>
        <v>70006552</v>
      </c>
      <c r="D11120" s="380" t="s">
        <v>767</v>
      </c>
      <c r="E11120" s="380" t="s">
        <v>786</v>
      </c>
      <c r="F11120" s="380" t="s">
        <v>792</v>
      </c>
      <c r="G11120" s="380" t="s">
        <v>1267</v>
      </c>
      <c r="H11120" s="380" t="s">
        <v>771</v>
      </c>
      <c r="I11120" s="380" t="s">
        <v>788</v>
      </c>
      <c r="J11120" s="380" t="s">
        <v>773</v>
      </c>
      <c r="K11120" s="381">
        <v>0.0</v>
      </c>
      <c r="L11120" s="382">
        <v>1.0</v>
      </c>
    </row>
    <row r="11121">
      <c r="A11121" s="380" t="s">
        <v>11995</v>
      </c>
      <c r="B11121" s="380" t="str">
        <f>IFERROR(__xludf.DUMMYFUNCTION("""COMPUTED_VALUE"""),"Guaya Acelerador Super Suzuki 1591085611")</f>
        <v>Guaya Acelerador Super Suzuki 1591085611</v>
      </c>
      <c r="C11121" s="380" t="str">
        <f>IFERROR(__xludf.DUMMYFUNCTION("""COMPUTED_VALUE"""),"70006553")</f>
        <v>70006553</v>
      </c>
      <c r="D11121" s="380" t="s">
        <v>767</v>
      </c>
      <c r="E11121" s="380" t="s">
        <v>786</v>
      </c>
      <c r="F11121" s="380" t="s">
        <v>787</v>
      </c>
      <c r="G11121" s="380" t="s">
        <v>1267</v>
      </c>
      <c r="H11121" s="380" t="s">
        <v>771</v>
      </c>
      <c r="I11121" s="380" t="s">
        <v>788</v>
      </c>
      <c r="J11121" s="380" t="s">
        <v>773</v>
      </c>
      <c r="K11121" s="381">
        <v>0.0</v>
      </c>
      <c r="L11121" s="382">
        <v>1.0</v>
      </c>
    </row>
    <row r="11122">
      <c r="A11122" s="380" t="s">
        <v>11996</v>
      </c>
      <c r="B11122" s="380" t="str">
        <f>IFERROR(__xludf.DUMMYFUNCTION("""COMPUTED_VALUE"""),"DEP Limpia Parabrisas FT 1030 7700149143")</f>
        <v>DEP Limpia Parabrisas FT 1030 7700149143</v>
      </c>
      <c r="C11122" s="380" t="str">
        <f>IFERROR(__xludf.DUMMYFUNCTION("""COMPUTED_VALUE"""),"70006554")</f>
        <v>70006554</v>
      </c>
      <c r="D11122" s="380" t="s">
        <v>767</v>
      </c>
      <c r="E11122" s="380" t="s">
        <v>786</v>
      </c>
      <c r="F11122" s="380" t="s">
        <v>792</v>
      </c>
      <c r="G11122" s="380" t="s">
        <v>1267</v>
      </c>
      <c r="H11122" s="380" t="s">
        <v>771</v>
      </c>
      <c r="I11122" s="380" t="s">
        <v>788</v>
      </c>
      <c r="J11122" s="380" t="s">
        <v>773</v>
      </c>
      <c r="K11122" s="381">
        <v>0.0</v>
      </c>
      <c r="L11122" s="382">
        <v>1.0</v>
      </c>
    </row>
    <row r="11123">
      <c r="A11123" s="380" t="s">
        <v>11997</v>
      </c>
      <c r="B11123" s="380" t="str">
        <f>IFERROR(__xludf.DUMMYFUNCTION("""COMPUTED_VALUE"""),"Troque Trasero Cuadrado Trailer Nuevo")</f>
        <v>Troque Trasero Cuadrado Trailer Nuevo</v>
      </c>
      <c r="C11123" s="380" t="str">
        <f>IFERROR(__xludf.DUMMYFUNCTION("""COMPUTED_VALUE"""),"70006556")</f>
        <v>70006556</v>
      </c>
      <c r="D11123" s="380" t="s">
        <v>767</v>
      </c>
      <c r="E11123" s="380" t="s">
        <v>786</v>
      </c>
      <c r="F11123" s="380" t="s">
        <v>792</v>
      </c>
      <c r="G11123" s="380" t="s">
        <v>1267</v>
      </c>
      <c r="H11123" s="380" t="s">
        <v>771</v>
      </c>
      <c r="I11123" s="380" t="s">
        <v>788</v>
      </c>
      <c r="J11123" s="380" t="s">
        <v>773</v>
      </c>
      <c r="K11123" s="381">
        <v>0.0</v>
      </c>
      <c r="L11123" s="382">
        <v>1.0</v>
      </c>
    </row>
    <row r="11124">
      <c r="A11124" s="380" t="s">
        <v>11998</v>
      </c>
      <c r="B11124" s="380" t="str">
        <f>IFERROR(__xludf.DUMMYFUNCTION("""COMPUTED_VALUE"""),"Base SOP De MOT TRAS IZQ X15 4056601c3")</f>
        <v>Base SOP De MOT TRAS IZQ X15 4056601c3</v>
      </c>
      <c r="C11124" s="380" t="str">
        <f>IFERROR(__xludf.DUMMYFUNCTION("""COMPUTED_VALUE"""),"70006558")</f>
        <v>70006558</v>
      </c>
      <c r="D11124" s="380" t="s">
        <v>767</v>
      </c>
      <c r="E11124" s="380" t="s">
        <v>786</v>
      </c>
      <c r="F11124" s="380" t="s">
        <v>787</v>
      </c>
      <c r="G11124" s="380" t="s">
        <v>1267</v>
      </c>
      <c r="H11124" s="380" t="s">
        <v>771</v>
      </c>
      <c r="I11124" s="380" t="s">
        <v>788</v>
      </c>
      <c r="J11124" s="380" t="s">
        <v>773</v>
      </c>
      <c r="K11124" s="381">
        <v>1072309.0</v>
      </c>
      <c r="L11124" s="382">
        <v>1.0</v>
      </c>
    </row>
    <row r="11125">
      <c r="A11125" s="380" t="s">
        <v>11999</v>
      </c>
      <c r="B11125" s="380" t="str">
        <f>IFERROR(__xludf.DUMMYFUNCTION("""COMPUTED_VALUE"""),"Base SOP MOT TRAS DER X15 4056602c2")</f>
        <v>Base SOP MOT TRAS DER X15 4056602c2</v>
      </c>
      <c r="C11125" s="380" t="str">
        <f>IFERROR(__xludf.DUMMYFUNCTION("""COMPUTED_VALUE"""),"70006559")</f>
        <v>70006559</v>
      </c>
      <c r="D11125" s="380" t="s">
        <v>767</v>
      </c>
      <c r="E11125" s="380" t="s">
        <v>786</v>
      </c>
      <c r="F11125" s="380" t="s">
        <v>787</v>
      </c>
      <c r="G11125" s="380" t="s">
        <v>1267</v>
      </c>
      <c r="H11125" s="380" t="s">
        <v>771</v>
      </c>
      <c r="I11125" s="380" t="s">
        <v>788</v>
      </c>
      <c r="J11125" s="380" t="s">
        <v>773</v>
      </c>
      <c r="K11125" s="381">
        <v>935578.0</v>
      </c>
      <c r="L11125" s="382">
        <v>1.0</v>
      </c>
    </row>
    <row r="11126">
      <c r="A11126" s="380" t="s">
        <v>12000</v>
      </c>
      <c r="B11126" s="380" t="str">
        <f>IFERROR(__xludf.DUMMYFUNCTION("""COMPUTED_VALUE"""),"Amortiguador Asiento COND Daf Cf480 1893")</f>
        <v>Amortiguador Asiento COND Daf Cf480 1893</v>
      </c>
      <c r="C11126" s="380" t="str">
        <f>IFERROR(__xludf.DUMMYFUNCTION("""COMPUTED_VALUE"""),"70006560")</f>
        <v>70006560</v>
      </c>
      <c r="D11126" s="380" t="s">
        <v>767</v>
      </c>
      <c r="E11126" s="380" t="s">
        <v>786</v>
      </c>
      <c r="F11126" s="380" t="s">
        <v>792</v>
      </c>
      <c r="G11126" s="380" t="s">
        <v>1267</v>
      </c>
      <c r="H11126" s="380" t="s">
        <v>771</v>
      </c>
      <c r="I11126" s="380" t="s">
        <v>788</v>
      </c>
      <c r="J11126" s="380" t="s">
        <v>773</v>
      </c>
      <c r="K11126" s="381">
        <v>0.0</v>
      </c>
      <c r="L11126" s="382">
        <v>1.0</v>
      </c>
    </row>
    <row r="11127">
      <c r="A11127" s="380" t="s">
        <v>12001</v>
      </c>
      <c r="B11127" s="380" t="str">
        <f>IFERROR(__xludf.DUMMYFUNCTION("""COMPUTED_VALUE"""),"Caucho Cardan Npr Nkr 101390")</f>
        <v>Caucho Cardan Npr Nkr 101390</v>
      </c>
      <c r="C11127" s="380" t="str">
        <f>IFERROR(__xludf.DUMMYFUNCTION("""COMPUTED_VALUE"""),"70006561")</f>
        <v>70006561</v>
      </c>
      <c r="D11127" s="380" t="s">
        <v>767</v>
      </c>
      <c r="E11127" s="380" t="s">
        <v>786</v>
      </c>
      <c r="F11127" s="380" t="s">
        <v>5683</v>
      </c>
      <c r="G11127" s="380" t="s">
        <v>1267</v>
      </c>
      <c r="H11127" s="380" t="s">
        <v>771</v>
      </c>
      <c r="I11127" s="380" t="s">
        <v>788</v>
      </c>
      <c r="J11127" s="380" t="s">
        <v>773</v>
      </c>
      <c r="K11127" s="381">
        <v>0.0</v>
      </c>
      <c r="L11127" s="382">
        <v>1.0</v>
      </c>
    </row>
    <row r="11128">
      <c r="A11128" s="380" t="s">
        <v>12002</v>
      </c>
      <c r="B11128" s="380" t="str">
        <f>IFERROR(__xludf.DUMMYFUNCTION("""COMPUTED_VALUE"""),"Pasador MUE Del Parte Tras FT 1129 77010")</f>
        <v>Pasador MUE Del Parte Tras FT 1129 77010</v>
      </c>
      <c r="C11128" s="380" t="str">
        <f>IFERROR(__xludf.DUMMYFUNCTION("""COMPUTED_VALUE"""),"70006562")</f>
        <v>70006562</v>
      </c>
      <c r="D11128" s="380" t="s">
        <v>767</v>
      </c>
      <c r="E11128" s="380" t="s">
        <v>786</v>
      </c>
      <c r="F11128" s="380" t="s">
        <v>1039</v>
      </c>
      <c r="G11128" s="380" t="s">
        <v>1267</v>
      </c>
      <c r="H11128" s="380" t="s">
        <v>771</v>
      </c>
      <c r="I11128" s="380" t="s">
        <v>788</v>
      </c>
      <c r="J11128" s="380" t="s">
        <v>773</v>
      </c>
      <c r="K11128" s="381">
        <v>0.0</v>
      </c>
      <c r="L11128" s="382">
        <v>1.0</v>
      </c>
    </row>
    <row r="11129">
      <c r="A11129" s="380" t="s">
        <v>12003</v>
      </c>
      <c r="B11129" s="380" t="str">
        <f>IFERROR(__xludf.DUMMYFUNCTION("""COMPUTED_VALUE"""),"Pasador MUE Del Parte Del FT 1129 770102")</f>
        <v>Pasador MUE Del Parte Del FT 1129 770102</v>
      </c>
      <c r="C11129" s="380" t="str">
        <f>IFERROR(__xludf.DUMMYFUNCTION("""COMPUTED_VALUE"""),"70006563")</f>
        <v>70006563</v>
      </c>
      <c r="D11129" s="380" t="s">
        <v>767</v>
      </c>
      <c r="E11129" s="380" t="s">
        <v>786</v>
      </c>
      <c r="F11129" s="380" t="s">
        <v>1039</v>
      </c>
      <c r="G11129" s="380" t="s">
        <v>1267</v>
      </c>
      <c r="H11129" s="380" t="s">
        <v>771</v>
      </c>
      <c r="I11129" s="380" t="s">
        <v>788</v>
      </c>
      <c r="J11129" s="380" t="s">
        <v>773</v>
      </c>
      <c r="K11129" s="381">
        <v>0.0</v>
      </c>
      <c r="L11129" s="382">
        <v>1.0</v>
      </c>
    </row>
    <row r="11130">
      <c r="A11130" s="380" t="s">
        <v>12004</v>
      </c>
      <c r="B11130" s="380" t="str">
        <f>IFERROR(__xludf.DUMMYFUNCTION("""COMPUTED_VALUE"""),"Bombona Suspension Cabina Inter Lt 25106")</f>
        <v>Bombona Suspension Cabina Inter Lt 25106</v>
      </c>
      <c r="C11130" s="380" t="str">
        <f>IFERROR(__xludf.DUMMYFUNCTION("""COMPUTED_VALUE"""),"70006564")</f>
        <v>70006564</v>
      </c>
      <c r="D11130" s="380" t="s">
        <v>767</v>
      </c>
      <c r="E11130" s="380" t="s">
        <v>786</v>
      </c>
      <c r="F11130" s="380" t="s">
        <v>792</v>
      </c>
      <c r="G11130" s="380" t="s">
        <v>1267</v>
      </c>
      <c r="H11130" s="380" t="s">
        <v>771</v>
      </c>
      <c r="I11130" s="380" t="s">
        <v>788</v>
      </c>
      <c r="J11130" s="380" t="s">
        <v>773</v>
      </c>
      <c r="K11130" s="381">
        <v>0.0</v>
      </c>
      <c r="L11130" s="382">
        <v>1.0</v>
      </c>
    </row>
    <row r="11131">
      <c r="A11131" s="380" t="s">
        <v>12005</v>
      </c>
      <c r="B11131" s="380" t="str">
        <f>IFERROR(__xludf.DUMMYFUNCTION("""COMPUTED_VALUE"""),"Pines Plasticos Generico")</f>
        <v>Pines Plasticos Generico</v>
      </c>
      <c r="C11131" s="380" t="str">
        <f>IFERROR(__xludf.DUMMYFUNCTION("""COMPUTED_VALUE"""),"70006565")</f>
        <v>70006565</v>
      </c>
      <c r="D11131" s="380" t="s">
        <v>767</v>
      </c>
      <c r="E11131" s="380" t="s">
        <v>786</v>
      </c>
      <c r="F11131" s="380" t="s">
        <v>792</v>
      </c>
      <c r="G11131" s="380" t="s">
        <v>1267</v>
      </c>
      <c r="H11131" s="380" t="s">
        <v>771</v>
      </c>
      <c r="I11131" s="380" t="s">
        <v>788</v>
      </c>
      <c r="J11131" s="380" t="s">
        <v>773</v>
      </c>
      <c r="K11131" s="381">
        <v>0.0</v>
      </c>
      <c r="L11131" s="382">
        <v>1.0</v>
      </c>
    </row>
    <row r="11132">
      <c r="A11132" s="380" t="s">
        <v>12006</v>
      </c>
      <c r="B11132" s="380" t="str">
        <f>IFERROR(__xludf.DUMMYFUNCTION("""COMPUTED_VALUE"""),"SOP Capo DER MCK Anthem 23631164")</f>
        <v>SOP Capo DER MCK Anthem 23631164</v>
      </c>
      <c r="C11132" s="380" t="str">
        <f>IFERROR(__xludf.DUMMYFUNCTION("""COMPUTED_VALUE"""),"70006566")</f>
        <v>70006566</v>
      </c>
      <c r="D11132" s="380" t="s">
        <v>767</v>
      </c>
      <c r="E11132" s="380" t="s">
        <v>786</v>
      </c>
      <c r="F11132" s="380" t="s">
        <v>792</v>
      </c>
      <c r="G11132" s="380" t="s">
        <v>1267</v>
      </c>
      <c r="H11132" s="380" t="s">
        <v>771</v>
      </c>
      <c r="I11132" s="380" t="s">
        <v>788</v>
      </c>
      <c r="J11132" s="380" t="s">
        <v>773</v>
      </c>
      <c r="K11132" s="381">
        <v>0.0</v>
      </c>
      <c r="L11132" s="382">
        <v>1.0</v>
      </c>
    </row>
    <row r="11133">
      <c r="A11133" s="380" t="s">
        <v>12007</v>
      </c>
      <c r="B11133" s="380" t="str">
        <f>IFERROR(__xludf.DUMMYFUNCTION("""COMPUTED_VALUE"""),"Persiana Capo Mack Anthem 23809750")</f>
        <v>Persiana Capo Mack Anthem 23809750</v>
      </c>
      <c r="C11133" s="380" t="str">
        <f>IFERROR(__xludf.DUMMYFUNCTION("""COMPUTED_VALUE"""),"70006567")</f>
        <v>70006567</v>
      </c>
      <c r="D11133" s="380" t="s">
        <v>767</v>
      </c>
      <c r="E11133" s="380" t="s">
        <v>786</v>
      </c>
      <c r="F11133" s="380" t="s">
        <v>792</v>
      </c>
      <c r="G11133" s="380" t="s">
        <v>1267</v>
      </c>
      <c r="H11133" s="380" t="s">
        <v>771</v>
      </c>
      <c r="I11133" s="380" t="s">
        <v>788</v>
      </c>
      <c r="J11133" s="380" t="s">
        <v>773</v>
      </c>
      <c r="K11133" s="381">
        <v>0.0</v>
      </c>
      <c r="L11133" s="382">
        <v>1.0</v>
      </c>
    </row>
    <row r="11134">
      <c r="A11134" s="380" t="s">
        <v>12008</v>
      </c>
      <c r="B11134" s="380" t="str">
        <f>IFERROR(__xludf.DUMMYFUNCTION("""COMPUTED_VALUE"""),"Amortiguador Pta Tr Chevrolet 8180185550")</f>
        <v>Amortiguador Pta Tr Chevrolet 8180185550</v>
      </c>
      <c r="C11134" s="380" t="str">
        <f>IFERROR(__xludf.DUMMYFUNCTION("""COMPUTED_VALUE"""),"70006568")</f>
        <v>70006568</v>
      </c>
      <c r="D11134" s="380" t="s">
        <v>767</v>
      </c>
      <c r="E11134" s="380" t="s">
        <v>786</v>
      </c>
      <c r="F11134" s="380" t="s">
        <v>792</v>
      </c>
      <c r="G11134" s="380" t="s">
        <v>1267</v>
      </c>
      <c r="H11134" s="380" t="s">
        <v>771</v>
      </c>
      <c r="I11134" s="380" t="s">
        <v>788</v>
      </c>
      <c r="J11134" s="380" t="s">
        <v>773</v>
      </c>
      <c r="K11134" s="381">
        <v>128078.0</v>
      </c>
      <c r="L11134" s="382">
        <v>1.0</v>
      </c>
    </row>
    <row r="11135">
      <c r="A11135" s="380" t="s">
        <v>12009</v>
      </c>
      <c r="B11135" s="380" t="str">
        <f>IFERROR(__xludf.DUMMYFUNCTION("""COMPUTED_VALUE"""),"SOP DER RAD MCK Anthem 20976567")</f>
        <v>SOP DER RAD MCK Anthem 20976567</v>
      </c>
      <c r="C11135" s="380" t="str">
        <f>IFERROR(__xludf.DUMMYFUNCTION("""COMPUTED_VALUE"""),"70006569")</f>
        <v>70006569</v>
      </c>
      <c r="D11135" s="380" t="s">
        <v>767</v>
      </c>
      <c r="E11135" s="380" t="s">
        <v>786</v>
      </c>
      <c r="F11135" s="380" t="s">
        <v>792</v>
      </c>
      <c r="G11135" s="380" t="s">
        <v>1267</v>
      </c>
      <c r="H11135" s="380" t="s">
        <v>771</v>
      </c>
      <c r="I11135" s="380" t="s">
        <v>788</v>
      </c>
      <c r="J11135" s="380" t="s">
        <v>773</v>
      </c>
      <c r="K11135" s="381">
        <v>0.0</v>
      </c>
      <c r="L11135" s="382">
        <v>1.0</v>
      </c>
    </row>
    <row r="11136">
      <c r="A11136" s="380" t="s">
        <v>12010</v>
      </c>
      <c r="B11136" s="380" t="str">
        <f>IFERROR(__xludf.DUMMYFUNCTION("""COMPUTED_VALUE"""),"Amortiguador Trasero Dongfeng 11054113")</f>
        <v>Amortiguador Trasero Dongfeng 11054113</v>
      </c>
      <c r="C11136" s="380" t="str">
        <f>IFERROR(__xludf.DUMMYFUNCTION("""COMPUTED_VALUE"""),"70006570")</f>
        <v>70006570</v>
      </c>
      <c r="D11136" s="380" t="s">
        <v>767</v>
      </c>
      <c r="E11136" s="380" t="s">
        <v>786</v>
      </c>
      <c r="F11136" s="380" t="s">
        <v>792</v>
      </c>
      <c r="G11136" s="380" t="s">
        <v>1267</v>
      </c>
      <c r="H11136" s="380" t="s">
        <v>771</v>
      </c>
      <c r="I11136" s="380" t="s">
        <v>788</v>
      </c>
      <c r="J11136" s="380" t="s">
        <v>773</v>
      </c>
      <c r="K11136" s="381">
        <v>0.0</v>
      </c>
      <c r="L11136" s="382">
        <v>1.0</v>
      </c>
    </row>
    <row r="11137">
      <c r="A11137" s="380" t="s">
        <v>12011</v>
      </c>
      <c r="B11137" s="380" t="str">
        <f>IFERROR(__xludf.DUMMYFUNCTION("""COMPUTED_VALUE"""),"Semieje Trasero Foton 1039 7701023086349")</f>
        <v>Semieje Trasero Foton 1039 7701023086349</v>
      </c>
      <c r="C11137" s="380" t="str">
        <f>IFERROR(__xludf.DUMMYFUNCTION("""COMPUTED_VALUE"""),"70006571")</f>
        <v>70006571</v>
      </c>
      <c r="D11137" s="380" t="s">
        <v>767</v>
      </c>
      <c r="E11137" s="380" t="s">
        <v>786</v>
      </c>
      <c r="F11137" s="380" t="s">
        <v>792</v>
      </c>
      <c r="G11137" s="380" t="s">
        <v>1267</v>
      </c>
      <c r="H11137" s="380" t="s">
        <v>771</v>
      </c>
      <c r="I11137" s="380" t="s">
        <v>788</v>
      </c>
      <c r="J11137" s="380" t="s">
        <v>773</v>
      </c>
      <c r="K11137" s="381">
        <v>0.0</v>
      </c>
      <c r="L11137" s="382">
        <v>1.0</v>
      </c>
    </row>
    <row r="11138">
      <c r="A11138" s="380" t="s">
        <v>12012</v>
      </c>
      <c r="B11138" s="380" t="str">
        <f>IFERROR(__xludf.DUMMYFUNCTION("""COMPUTED_VALUE"""),"Bombillo Luz Freno 1 Fil 24v 10w FT Amt")</f>
        <v>Bombillo Luz Freno 1 Fil 24v 10w FT Amt</v>
      </c>
      <c r="C11138" s="380" t="str">
        <f>IFERROR(__xludf.DUMMYFUNCTION("""COMPUTED_VALUE"""),"70006572")</f>
        <v>70006572</v>
      </c>
      <c r="D11138" s="380" t="s">
        <v>767</v>
      </c>
      <c r="E11138" s="380" t="s">
        <v>786</v>
      </c>
      <c r="F11138" s="380" t="s">
        <v>998</v>
      </c>
      <c r="G11138" s="380" t="s">
        <v>1267</v>
      </c>
      <c r="H11138" s="380" t="s">
        <v>771</v>
      </c>
      <c r="I11138" s="380" t="s">
        <v>788</v>
      </c>
      <c r="J11138" s="380" t="s">
        <v>773</v>
      </c>
      <c r="K11138" s="381">
        <v>0.0</v>
      </c>
      <c r="L11138" s="382">
        <v>1.0</v>
      </c>
    </row>
    <row r="11139">
      <c r="A11139" s="380" t="s">
        <v>12013</v>
      </c>
      <c r="B11139" s="380" t="str">
        <f>IFERROR(__xludf.DUMMYFUNCTION("""COMPUTED_VALUE"""),"Cremallera Elevavidrio Der Dongfeng 1.0")</f>
        <v>Cremallera Elevavidrio Der Dongfeng 1.0</v>
      </c>
      <c r="C11139" s="380" t="str">
        <f>IFERROR(__xludf.DUMMYFUNCTION("""COMPUTED_VALUE"""),"70006573")</f>
        <v>70006573</v>
      </c>
      <c r="D11139" s="380" t="s">
        <v>767</v>
      </c>
      <c r="E11139" s="380" t="s">
        <v>786</v>
      </c>
      <c r="F11139" s="380" t="s">
        <v>792</v>
      </c>
      <c r="G11139" s="380" t="s">
        <v>1267</v>
      </c>
      <c r="H11139" s="380" t="s">
        <v>771</v>
      </c>
      <c r="I11139" s="380" t="s">
        <v>788</v>
      </c>
      <c r="J11139" s="380" t="s">
        <v>773</v>
      </c>
      <c r="K11139" s="381">
        <v>0.0</v>
      </c>
      <c r="L11139" s="382">
        <v>1.0</v>
      </c>
    </row>
    <row r="11140">
      <c r="A11140" s="380" t="s">
        <v>12014</v>
      </c>
      <c r="B11140" s="380" t="str">
        <f>IFERROR(__xludf.DUMMYFUNCTION("""COMPUTED_VALUE"""),"Puerta Izq Foton 1030 7705946735117")</f>
        <v>Puerta Izq Foton 1030 7705946735117</v>
      </c>
      <c r="C11140" s="380" t="str">
        <f>IFERROR(__xludf.DUMMYFUNCTION("""COMPUTED_VALUE"""),"70006574")</f>
        <v>70006574</v>
      </c>
      <c r="D11140" s="380" t="s">
        <v>767</v>
      </c>
      <c r="E11140" s="380" t="s">
        <v>786</v>
      </c>
      <c r="F11140" s="380" t="s">
        <v>792</v>
      </c>
      <c r="G11140" s="380" t="s">
        <v>1267</v>
      </c>
      <c r="H11140" s="380" t="s">
        <v>771</v>
      </c>
      <c r="I11140" s="380" t="s">
        <v>788</v>
      </c>
      <c r="J11140" s="380" t="s">
        <v>773</v>
      </c>
      <c r="K11140" s="381">
        <v>0.0</v>
      </c>
      <c r="L11140" s="382">
        <v>1.0</v>
      </c>
    </row>
    <row r="11141">
      <c r="A11141" s="380" t="s">
        <v>12015</v>
      </c>
      <c r="B11141" s="380" t="str">
        <f>IFERROR(__xludf.DUMMYFUNCTION("""COMPUTED_VALUE"""),"Panel Esquinero Izq FT 1030 770014942957")</f>
        <v>Panel Esquinero Izq FT 1030 770014942957</v>
      </c>
      <c r="C11141" s="380" t="str">
        <f>IFERROR(__xludf.DUMMYFUNCTION("""COMPUTED_VALUE"""),"70006575")</f>
        <v>70006575</v>
      </c>
      <c r="D11141" s="380" t="s">
        <v>767</v>
      </c>
      <c r="E11141" s="380" t="s">
        <v>786</v>
      </c>
      <c r="F11141" s="380" t="s">
        <v>792</v>
      </c>
      <c r="G11141" s="380" t="s">
        <v>1267</v>
      </c>
      <c r="H11141" s="380" t="s">
        <v>771</v>
      </c>
      <c r="I11141" s="380" t="s">
        <v>788</v>
      </c>
      <c r="J11141" s="380" t="s">
        <v>773</v>
      </c>
      <c r="K11141" s="381">
        <v>0.0</v>
      </c>
      <c r="L11141" s="382">
        <v>1.0</v>
      </c>
    </row>
    <row r="11142">
      <c r="A11142" s="380" t="s">
        <v>12016</v>
      </c>
      <c r="B11142" s="380" t="str">
        <f>IFERROR(__xludf.DUMMYFUNCTION("""COMPUTED_VALUE"""),"Tapa DEP Urea FT 4269 H4125133010a0")</f>
        <v>Tapa DEP Urea FT 4269 H4125133010a0</v>
      </c>
      <c r="C11142" s="380" t="str">
        <f>IFERROR(__xludf.DUMMYFUNCTION("""COMPUTED_VALUE"""),"70006576")</f>
        <v>70006576</v>
      </c>
      <c r="D11142" s="380" t="s">
        <v>767</v>
      </c>
      <c r="E11142" s="380" t="s">
        <v>786</v>
      </c>
      <c r="F11142" s="380" t="s">
        <v>792</v>
      </c>
      <c r="G11142" s="380" t="s">
        <v>1267</v>
      </c>
      <c r="H11142" s="380" t="s">
        <v>771</v>
      </c>
      <c r="I11142" s="380" t="s">
        <v>788</v>
      </c>
      <c r="J11142" s="380" t="s">
        <v>773</v>
      </c>
      <c r="K11142" s="381">
        <v>0.0</v>
      </c>
      <c r="L11142" s="382">
        <v>1.0</v>
      </c>
    </row>
    <row r="11143">
      <c r="A11143" s="380" t="s">
        <v>12017</v>
      </c>
      <c r="B11143" s="380" t="str">
        <f>IFERROR(__xludf.DUMMYFUNCTION("""COMPUTED_VALUE"""),"Cigueñal Jac Jhr Ev 1005010fe030")</f>
        <v>Cigueñal Jac Jhr Ev 1005010fe030</v>
      </c>
      <c r="C11143" s="380" t="str">
        <f>IFERROR(__xludf.DUMMYFUNCTION("""COMPUTED_VALUE"""),"70006577")</f>
        <v>70006577</v>
      </c>
      <c r="D11143" s="380" t="s">
        <v>767</v>
      </c>
      <c r="E11143" s="380" t="s">
        <v>786</v>
      </c>
      <c r="F11143" s="380" t="s">
        <v>787</v>
      </c>
      <c r="G11143" s="380" t="s">
        <v>1267</v>
      </c>
      <c r="H11143" s="380" t="s">
        <v>771</v>
      </c>
      <c r="I11143" s="380" t="s">
        <v>788</v>
      </c>
      <c r="J11143" s="380" t="s">
        <v>773</v>
      </c>
      <c r="K11143" s="381">
        <v>0.0</v>
      </c>
      <c r="L11143" s="382">
        <v>1.0</v>
      </c>
    </row>
    <row r="11144">
      <c r="A11144" s="380" t="s">
        <v>12018</v>
      </c>
      <c r="B11144" s="380" t="str">
        <f>IFERROR(__xludf.DUMMYFUNCTION("""COMPUTED_VALUE"""),"Silla COND INT Lt 4080282c92")</f>
        <v>Silla COND INT Lt 4080282c92</v>
      </c>
      <c r="C11144" s="380" t="str">
        <f>IFERROR(__xludf.DUMMYFUNCTION("""COMPUTED_VALUE"""),"70006578")</f>
        <v>70006578</v>
      </c>
      <c r="D11144" s="380" t="s">
        <v>767</v>
      </c>
      <c r="E11144" s="380" t="s">
        <v>786</v>
      </c>
      <c r="F11144" s="380" t="s">
        <v>792</v>
      </c>
      <c r="G11144" s="380" t="s">
        <v>1267</v>
      </c>
      <c r="H11144" s="380" t="s">
        <v>771</v>
      </c>
      <c r="I11144" s="380" t="s">
        <v>788</v>
      </c>
      <c r="J11144" s="380" t="s">
        <v>773</v>
      </c>
      <c r="K11144" s="381">
        <v>7787241.0</v>
      </c>
      <c r="L11144" s="382">
        <v>1.0</v>
      </c>
    </row>
    <row r="11145">
      <c r="A11145" s="380" t="s">
        <v>12019</v>
      </c>
      <c r="B11145" s="380" t="str">
        <f>IFERROR(__xludf.DUMMYFUNCTION("""COMPUTED_VALUE"""),"Bocin Trasero Foton 1128 7705946766586")</f>
        <v>Bocin Trasero Foton 1128 7705946766586</v>
      </c>
      <c r="C11145" s="380" t="str">
        <f>IFERROR(__xludf.DUMMYFUNCTION("""COMPUTED_VALUE"""),"70006579")</f>
        <v>70006579</v>
      </c>
      <c r="D11145" s="380" t="s">
        <v>767</v>
      </c>
      <c r="E11145" s="380" t="s">
        <v>786</v>
      </c>
      <c r="F11145" s="380" t="s">
        <v>1017</v>
      </c>
      <c r="G11145" s="380" t="s">
        <v>1267</v>
      </c>
      <c r="H11145" s="380" t="s">
        <v>771</v>
      </c>
      <c r="I11145" s="380" t="s">
        <v>788</v>
      </c>
      <c r="J11145" s="380" t="s">
        <v>773</v>
      </c>
      <c r="K11145" s="381">
        <v>1151439.0</v>
      </c>
      <c r="L11145" s="382">
        <v>1.0</v>
      </c>
    </row>
    <row r="11146">
      <c r="A11146" s="380" t="s">
        <v>12020</v>
      </c>
      <c r="B11146" s="380" t="str">
        <f>IFERROR(__xludf.DUMMYFUNCTION("""COMPUTED_VALUE"""),"Farola Izquierda Jac 1042 4121910le010")</f>
        <v>Farola Izquierda Jac 1042 4121910le010</v>
      </c>
      <c r="C11146" s="380" t="str">
        <f>IFERROR(__xludf.DUMMYFUNCTION("""COMPUTED_VALUE"""),"70006580")</f>
        <v>70006580</v>
      </c>
      <c r="D11146" s="380" t="s">
        <v>767</v>
      </c>
      <c r="E11146" s="380" t="s">
        <v>786</v>
      </c>
      <c r="F11146" s="380" t="s">
        <v>998</v>
      </c>
      <c r="G11146" s="380" t="s">
        <v>1267</v>
      </c>
      <c r="H11146" s="380" t="s">
        <v>771</v>
      </c>
      <c r="I11146" s="380" t="s">
        <v>788</v>
      </c>
      <c r="J11146" s="380" t="s">
        <v>773</v>
      </c>
      <c r="K11146" s="381">
        <v>0.0</v>
      </c>
      <c r="L11146" s="382">
        <v>1.0</v>
      </c>
    </row>
    <row r="11147">
      <c r="A11147" s="380" t="s">
        <v>12021</v>
      </c>
      <c r="B11147" s="380" t="str">
        <f>IFERROR(__xludf.DUMMYFUNCTION("""COMPUTED_VALUE"""),"Acople Hembra Recto COMB INT Lt 3551188c")</f>
        <v>Acople Hembra Recto COMB INT Lt 3551188c</v>
      </c>
      <c r="C11147" s="380" t="str">
        <f>IFERROR(__xludf.DUMMYFUNCTION("""COMPUTED_VALUE"""),"70006581")</f>
        <v>70006581</v>
      </c>
      <c r="D11147" s="380" t="s">
        <v>767</v>
      </c>
      <c r="E11147" s="380" t="s">
        <v>786</v>
      </c>
      <c r="F11147" s="380" t="s">
        <v>787</v>
      </c>
      <c r="G11147" s="380" t="s">
        <v>1267</v>
      </c>
      <c r="H11147" s="380" t="s">
        <v>771</v>
      </c>
      <c r="I11147" s="380" t="s">
        <v>788</v>
      </c>
      <c r="J11147" s="380" t="s">
        <v>773</v>
      </c>
      <c r="K11147" s="381">
        <v>0.0</v>
      </c>
      <c r="L11147" s="382">
        <v>1.0</v>
      </c>
    </row>
    <row r="11148">
      <c r="A11148" s="380" t="s">
        <v>12022</v>
      </c>
      <c r="B11148" s="380" t="str">
        <f>IFERROR(__xludf.DUMMYFUNCTION("""COMPUTED_VALUE"""),"TANQ Vapor COMB FT Mv5 7701023488235")</f>
        <v>TANQ Vapor COMB FT Mv5 7701023488235</v>
      </c>
      <c r="C11148" s="380" t="str">
        <f>IFERROR(__xludf.DUMMYFUNCTION("""COMPUTED_VALUE"""),"70006582")</f>
        <v>70006582</v>
      </c>
      <c r="D11148" s="380" t="s">
        <v>767</v>
      </c>
      <c r="E11148" s="380" t="s">
        <v>786</v>
      </c>
      <c r="F11148" s="380" t="s">
        <v>787</v>
      </c>
      <c r="G11148" s="380" t="s">
        <v>1267</v>
      </c>
      <c r="H11148" s="380" t="s">
        <v>771</v>
      </c>
      <c r="I11148" s="380" t="s">
        <v>788</v>
      </c>
      <c r="J11148" s="380" t="s">
        <v>773</v>
      </c>
      <c r="K11148" s="381">
        <v>0.0</v>
      </c>
      <c r="L11148" s="382">
        <v>1.0</v>
      </c>
    </row>
    <row r="11149">
      <c r="A11149" s="380" t="s">
        <v>12023</v>
      </c>
      <c r="B11149" s="380" t="str">
        <f>IFERROR(__xludf.DUMMYFUNCTION("""COMPUTED_VALUE"""),"Porta Leva Freno Del Der INT Lt 2587567c")</f>
        <v>Porta Leva Freno Del Der INT Lt 2587567c</v>
      </c>
      <c r="C11149" s="380" t="str">
        <f>IFERROR(__xludf.DUMMYFUNCTION("""COMPUTED_VALUE"""),"70006583")</f>
        <v>70006583</v>
      </c>
      <c r="D11149" s="380" t="s">
        <v>767</v>
      </c>
      <c r="E11149" s="380" t="s">
        <v>786</v>
      </c>
      <c r="F11149" s="380" t="s">
        <v>1017</v>
      </c>
      <c r="G11149" s="380" t="s">
        <v>1267</v>
      </c>
      <c r="H11149" s="380" t="s">
        <v>771</v>
      </c>
      <c r="I11149" s="380" t="s">
        <v>788</v>
      </c>
      <c r="J11149" s="380" t="s">
        <v>773</v>
      </c>
      <c r="K11149" s="381">
        <v>0.0</v>
      </c>
      <c r="L11149" s="382">
        <v>1.0</v>
      </c>
    </row>
    <row r="11150">
      <c r="A11150" s="380" t="s">
        <v>12024</v>
      </c>
      <c r="B11150" s="380" t="str">
        <f>IFERROR(__xludf.DUMMYFUNCTION("""COMPUTED_VALUE"""),"Rejilla Motor Derecha Dongfeng 11054488")</f>
        <v>Rejilla Motor Derecha Dongfeng 11054488</v>
      </c>
      <c r="C11150" s="380" t="str">
        <f>IFERROR(__xludf.DUMMYFUNCTION("""COMPUTED_VALUE"""),"70006584")</f>
        <v>70006584</v>
      </c>
      <c r="D11150" s="380" t="s">
        <v>767</v>
      </c>
      <c r="E11150" s="380" t="s">
        <v>786</v>
      </c>
      <c r="F11150" s="380" t="s">
        <v>792</v>
      </c>
      <c r="G11150" s="380" t="s">
        <v>1267</v>
      </c>
      <c r="H11150" s="380" t="s">
        <v>771</v>
      </c>
      <c r="I11150" s="380" t="s">
        <v>788</v>
      </c>
      <c r="J11150" s="380" t="s">
        <v>773</v>
      </c>
      <c r="K11150" s="381">
        <v>0.0</v>
      </c>
      <c r="L11150" s="382">
        <v>1.0</v>
      </c>
    </row>
    <row r="11151">
      <c r="A11151" s="380" t="s">
        <v>12025</v>
      </c>
      <c r="B11151" s="380" t="str">
        <f>IFERROR(__xludf.DUMMYFUNCTION("""COMPUTED_VALUE"""),"CIL Freno Tras DER Cp Jac Jhr Bj1029agfa")</f>
        <v>CIL Freno Tras DER Cp Jac Jhr Bj1029agfa</v>
      </c>
      <c r="C11151" s="380" t="str">
        <f>IFERROR(__xludf.DUMMYFUNCTION("""COMPUTED_VALUE"""),"70006585")</f>
        <v>70006585</v>
      </c>
      <c r="D11151" s="380" t="s">
        <v>767</v>
      </c>
      <c r="E11151" s="380" t="s">
        <v>786</v>
      </c>
      <c r="F11151" s="380" t="s">
        <v>1017</v>
      </c>
      <c r="G11151" s="380" t="s">
        <v>1267</v>
      </c>
      <c r="H11151" s="380" t="s">
        <v>771</v>
      </c>
      <c r="I11151" s="380" t="s">
        <v>788</v>
      </c>
      <c r="J11151" s="380" t="s">
        <v>773</v>
      </c>
      <c r="K11151" s="381">
        <v>0.0</v>
      </c>
      <c r="L11151" s="382">
        <v>1.0</v>
      </c>
    </row>
    <row r="11152">
      <c r="A11152" s="380" t="s">
        <v>12026</v>
      </c>
      <c r="B11152" s="380" t="str">
        <f>IFERROR(__xludf.DUMMYFUNCTION("""COMPUTED_VALUE"""),"Kit Presion Aceite Bomba Divisor Eagle/K")</f>
        <v>Kit Presion Aceite Bomba Divisor Eagle/K</v>
      </c>
      <c r="C11152" s="380" t="str">
        <f>IFERROR(__xludf.DUMMYFUNCTION("""COMPUTED_VALUE"""),"70006586")</f>
        <v>70006586</v>
      </c>
      <c r="D11152" s="380" t="s">
        <v>767</v>
      </c>
      <c r="E11152" s="380" t="s">
        <v>786</v>
      </c>
      <c r="F11152" s="380" t="s">
        <v>5683</v>
      </c>
      <c r="G11152" s="380" t="s">
        <v>1267</v>
      </c>
      <c r="H11152" s="380" t="s">
        <v>771</v>
      </c>
      <c r="I11152" s="380" t="s">
        <v>788</v>
      </c>
      <c r="J11152" s="380" t="s">
        <v>773</v>
      </c>
      <c r="K11152" s="381">
        <v>0.0</v>
      </c>
      <c r="L11152" s="382">
        <v>1.0</v>
      </c>
    </row>
    <row r="11153">
      <c r="A11153" s="380" t="s">
        <v>12027</v>
      </c>
      <c r="B11153" s="380" t="str">
        <f>IFERROR(__xludf.DUMMYFUNCTION("""COMPUTED_VALUE"""),"SOP MUE Del Tra CH Frr 1533521542")</f>
        <v>SOP MUE Del Tra CH Frr 1533521542</v>
      </c>
      <c r="C11153" s="380" t="str">
        <f>IFERROR(__xludf.DUMMYFUNCTION("""COMPUTED_VALUE"""),"70006587")</f>
        <v>70006587</v>
      </c>
      <c r="D11153" s="380" t="s">
        <v>767</v>
      </c>
      <c r="E11153" s="380" t="s">
        <v>786</v>
      </c>
      <c r="F11153" s="380" t="s">
        <v>1039</v>
      </c>
      <c r="G11153" s="380" t="s">
        <v>1267</v>
      </c>
      <c r="H11153" s="380" t="s">
        <v>771</v>
      </c>
      <c r="I11153" s="380" t="s">
        <v>788</v>
      </c>
      <c r="J11153" s="380" t="s">
        <v>773</v>
      </c>
      <c r="K11153" s="381">
        <v>0.0</v>
      </c>
      <c r="L11153" s="382">
        <v>1.0</v>
      </c>
    </row>
    <row r="11154">
      <c r="A11154" s="380" t="s">
        <v>12028</v>
      </c>
      <c r="B11154" s="380" t="str">
        <f>IFERROR(__xludf.DUMMYFUNCTION("""COMPUTED_VALUE"""),"SOP MUE Del Del Izq CH Frr 8980592010")</f>
        <v>SOP MUE Del Del Izq CH Frr 8980592010</v>
      </c>
      <c r="C11154" s="380" t="str">
        <f>IFERROR(__xludf.DUMMYFUNCTION("""COMPUTED_VALUE"""),"70006588")</f>
        <v>70006588</v>
      </c>
      <c r="D11154" s="380" t="s">
        <v>767</v>
      </c>
      <c r="E11154" s="380" t="s">
        <v>786</v>
      </c>
      <c r="F11154" s="380" t="s">
        <v>1039</v>
      </c>
      <c r="G11154" s="380" t="s">
        <v>1267</v>
      </c>
      <c r="H11154" s="380" t="s">
        <v>771</v>
      </c>
      <c r="I11154" s="380" t="s">
        <v>788</v>
      </c>
      <c r="J11154" s="380" t="s">
        <v>773</v>
      </c>
      <c r="K11154" s="381">
        <v>0.0</v>
      </c>
      <c r="L11154" s="382">
        <v>1.0</v>
      </c>
    </row>
    <row r="11155">
      <c r="A11155" s="380" t="s">
        <v>12029</v>
      </c>
      <c r="B11155" s="380" t="str">
        <f>IFERROR(__xludf.DUMMYFUNCTION("""COMPUTED_VALUE"""),"SOP MUE Del Del Der CH Frr 8980592030")</f>
        <v>SOP MUE Del Del Der CH Frr 8980592030</v>
      </c>
      <c r="C11155" s="380" t="str">
        <f>IFERROR(__xludf.DUMMYFUNCTION("""COMPUTED_VALUE"""),"70006589")</f>
        <v>70006589</v>
      </c>
      <c r="D11155" s="380" t="s">
        <v>767</v>
      </c>
      <c r="E11155" s="380" t="s">
        <v>786</v>
      </c>
      <c r="F11155" s="380" t="s">
        <v>1039</v>
      </c>
      <c r="G11155" s="380" t="s">
        <v>1267</v>
      </c>
      <c r="H11155" s="380" t="s">
        <v>771</v>
      </c>
      <c r="I11155" s="380" t="s">
        <v>788</v>
      </c>
      <c r="J11155" s="380" t="s">
        <v>773</v>
      </c>
      <c r="K11155" s="381">
        <v>0.0</v>
      </c>
      <c r="L11155" s="382">
        <v>1.0</v>
      </c>
    </row>
    <row r="11156">
      <c r="A11156" s="380" t="s">
        <v>12030</v>
      </c>
      <c r="B11156" s="380" t="str">
        <f>IFERROR(__xludf.DUMMYFUNCTION("""COMPUTED_VALUE"""),"Base Silla Conductor Prostar 3624377c93")</f>
        <v>Base Silla Conductor Prostar 3624377c93</v>
      </c>
      <c r="C11156" s="380" t="str">
        <f>IFERROR(__xludf.DUMMYFUNCTION("""COMPUTED_VALUE"""),"70006590")</f>
        <v>70006590</v>
      </c>
      <c r="D11156" s="380" t="s">
        <v>767</v>
      </c>
      <c r="E11156" s="380" t="s">
        <v>786</v>
      </c>
      <c r="F11156" s="380" t="s">
        <v>792</v>
      </c>
      <c r="G11156" s="380" t="s">
        <v>1267</v>
      </c>
      <c r="H11156" s="380" t="s">
        <v>771</v>
      </c>
      <c r="I11156" s="380" t="s">
        <v>788</v>
      </c>
      <c r="J11156" s="380" t="s">
        <v>773</v>
      </c>
      <c r="K11156" s="381">
        <v>0.0</v>
      </c>
      <c r="L11156" s="382">
        <v>1.0</v>
      </c>
    </row>
    <row r="11157">
      <c r="A11157" s="380" t="s">
        <v>12031</v>
      </c>
      <c r="B11157" s="380" t="str">
        <f>IFERROR(__xludf.DUMMYFUNCTION("""COMPUTED_VALUE"""),"SOP DEP Refrigeracion INT Lt 4225127c1")</f>
        <v>SOP DEP Refrigeracion INT Lt 4225127c1</v>
      </c>
      <c r="C11157" s="380" t="str">
        <f>IFERROR(__xludf.DUMMYFUNCTION("""COMPUTED_VALUE"""),"70006591")</f>
        <v>70006591</v>
      </c>
      <c r="D11157" s="380" t="s">
        <v>767</v>
      </c>
      <c r="E11157" s="380" t="s">
        <v>786</v>
      </c>
      <c r="F11157" s="380" t="s">
        <v>787</v>
      </c>
      <c r="G11157" s="380" t="s">
        <v>1267</v>
      </c>
      <c r="H11157" s="380" t="s">
        <v>771</v>
      </c>
      <c r="I11157" s="380" t="s">
        <v>788</v>
      </c>
      <c r="J11157" s="380" t="s">
        <v>773</v>
      </c>
      <c r="K11157" s="381">
        <v>0.0</v>
      </c>
      <c r="L11157" s="382">
        <v>1.0</v>
      </c>
    </row>
    <row r="11158">
      <c r="A11158" s="380" t="s">
        <v>12032</v>
      </c>
      <c r="B11158" s="380" t="str">
        <f>IFERROR(__xludf.DUMMYFUNCTION("""COMPUTED_VALUE"""),"MANG INF Base FILT Agua INT Lt 4060106c1")</f>
        <v>MANG INF Base FILT Agua INT Lt 4060106c1</v>
      </c>
      <c r="C11158" s="380" t="str">
        <f>IFERROR(__xludf.DUMMYFUNCTION("""COMPUTED_VALUE"""),"70006592")</f>
        <v>70006592</v>
      </c>
      <c r="D11158" s="380" t="s">
        <v>767</v>
      </c>
      <c r="E11158" s="380" t="s">
        <v>786</v>
      </c>
      <c r="F11158" s="380" t="s">
        <v>787</v>
      </c>
      <c r="G11158" s="380" t="s">
        <v>1267</v>
      </c>
      <c r="H11158" s="380" t="s">
        <v>771</v>
      </c>
      <c r="I11158" s="380" t="s">
        <v>788</v>
      </c>
      <c r="J11158" s="380" t="s">
        <v>773</v>
      </c>
      <c r="K11158" s="381">
        <v>0.0</v>
      </c>
      <c r="L11158" s="382">
        <v>1.0</v>
      </c>
    </row>
    <row r="11159">
      <c r="A11159" s="380" t="s">
        <v>12033</v>
      </c>
      <c r="B11159" s="380" t="str">
        <f>IFERROR(__xludf.DUMMYFUNCTION("""COMPUTED_VALUE"""),"Oring Adaptador ENT De AIR X15 3033247")</f>
        <v>Oring Adaptador ENT De AIR X15 3033247</v>
      </c>
      <c r="C11159" s="380" t="str">
        <f>IFERROR(__xludf.DUMMYFUNCTION("""COMPUTED_VALUE"""),"70006593")</f>
        <v>70006593</v>
      </c>
      <c r="D11159" s="380" t="s">
        <v>767</v>
      </c>
      <c r="E11159" s="380" t="s">
        <v>786</v>
      </c>
      <c r="F11159" s="380" t="s">
        <v>787</v>
      </c>
      <c r="G11159" s="380" t="s">
        <v>1267</v>
      </c>
      <c r="H11159" s="380" t="s">
        <v>771</v>
      </c>
      <c r="I11159" s="380" t="s">
        <v>788</v>
      </c>
      <c r="J11159" s="380" t="s">
        <v>773</v>
      </c>
      <c r="K11159" s="381">
        <v>0.0</v>
      </c>
      <c r="L11159" s="382">
        <v>1.0</v>
      </c>
    </row>
    <row r="11160">
      <c r="A11160" s="380" t="s">
        <v>12034</v>
      </c>
      <c r="B11160" s="380" t="str">
        <f>IFERROR(__xludf.DUMMYFUNCTION("""COMPUTED_VALUE"""),"Panel Frontal CAB FT 1030 7705946735056")</f>
        <v>Panel Frontal CAB FT 1030 7705946735056</v>
      </c>
      <c r="C11160" s="380" t="str">
        <f>IFERROR(__xludf.DUMMYFUNCTION("""COMPUTED_VALUE"""),"70006594")</f>
        <v>70006594</v>
      </c>
      <c r="D11160" s="380" t="s">
        <v>767</v>
      </c>
      <c r="E11160" s="380" t="s">
        <v>786</v>
      </c>
      <c r="F11160" s="380" t="s">
        <v>792</v>
      </c>
      <c r="G11160" s="380" t="s">
        <v>1267</v>
      </c>
      <c r="H11160" s="380" t="s">
        <v>771</v>
      </c>
      <c r="I11160" s="380" t="s">
        <v>788</v>
      </c>
      <c r="J11160" s="380" t="s">
        <v>773</v>
      </c>
      <c r="K11160" s="381">
        <v>0.0</v>
      </c>
      <c r="L11160" s="382">
        <v>1.0</v>
      </c>
    </row>
    <row r="11161">
      <c r="A11161" s="380" t="s">
        <v>12035</v>
      </c>
      <c r="B11161" s="380" t="str">
        <f>IFERROR(__xludf.DUMMYFUNCTION("""COMPUTED_VALUE"""),"Empaque Multiple De Admisión X15 3688347")</f>
        <v>Empaque Multiple De Admisión X15 3688347</v>
      </c>
      <c r="C11161" s="380" t="str">
        <f>IFERROR(__xludf.DUMMYFUNCTION("""COMPUTED_VALUE"""),"70006595")</f>
        <v>70006595</v>
      </c>
      <c r="D11161" s="380" t="s">
        <v>767</v>
      </c>
      <c r="E11161" s="380" t="s">
        <v>786</v>
      </c>
      <c r="F11161" s="380" t="s">
        <v>787</v>
      </c>
      <c r="G11161" s="380" t="s">
        <v>1267</v>
      </c>
      <c r="H11161" s="380" t="s">
        <v>771</v>
      </c>
      <c r="I11161" s="380" t="s">
        <v>788</v>
      </c>
      <c r="J11161" s="380" t="s">
        <v>773</v>
      </c>
      <c r="K11161" s="381">
        <v>0.0</v>
      </c>
      <c r="L11161" s="382">
        <v>1.0</v>
      </c>
    </row>
    <row r="11162">
      <c r="A11162" s="380" t="s">
        <v>12036</v>
      </c>
      <c r="B11162" s="380" t="str">
        <f>IFERROR(__xludf.DUMMYFUNCTION("""COMPUTED_VALUE"""),"carcasa Espejo Retrovisor Sup Daf Cf 480")</f>
        <v>carcasa Espejo Retrovisor Sup Daf Cf 480</v>
      </c>
      <c r="C11162" s="380" t="str">
        <f>IFERROR(__xludf.DUMMYFUNCTION("""COMPUTED_VALUE"""),"70006596")</f>
        <v>70006596</v>
      </c>
      <c r="D11162" s="380" t="s">
        <v>767</v>
      </c>
      <c r="E11162" s="380" t="s">
        <v>786</v>
      </c>
      <c r="F11162" s="380" t="s">
        <v>792</v>
      </c>
      <c r="G11162" s="380" t="s">
        <v>1267</v>
      </c>
      <c r="H11162" s="380" t="s">
        <v>771</v>
      </c>
      <c r="I11162" s="380" t="s">
        <v>788</v>
      </c>
      <c r="J11162" s="380" t="s">
        <v>773</v>
      </c>
      <c r="K11162" s="381">
        <v>0.0</v>
      </c>
      <c r="L11162" s="382">
        <v>1.0</v>
      </c>
    </row>
    <row r="11163">
      <c r="A11163" s="380" t="s">
        <v>12037</v>
      </c>
      <c r="B11163" s="380" t="str">
        <f>IFERROR(__xludf.DUMMYFUNCTION("""COMPUTED_VALUE"""),"Oring Bomba De Agua Motor X15 3685456")</f>
        <v>Oring Bomba De Agua Motor X15 3685456</v>
      </c>
      <c r="C11163" s="380" t="str">
        <f>IFERROR(__xludf.DUMMYFUNCTION("""COMPUTED_VALUE"""),"70006597")</f>
        <v>70006597</v>
      </c>
      <c r="D11163" s="380" t="s">
        <v>767</v>
      </c>
      <c r="E11163" s="380" t="s">
        <v>786</v>
      </c>
      <c r="F11163" s="380" t="s">
        <v>787</v>
      </c>
      <c r="G11163" s="380" t="s">
        <v>1267</v>
      </c>
      <c r="H11163" s="380" t="s">
        <v>771</v>
      </c>
      <c r="I11163" s="380" t="s">
        <v>788</v>
      </c>
      <c r="J11163" s="380" t="s">
        <v>773</v>
      </c>
      <c r="K11163" s="381">
        <v>0.0</v>
      </c>
      <c r="L11163" s="382">
        <v>1.0</v>
      </c>
    </row>
    <row r="11164">
      <c r="A11164" s="380" t="s">
        <v>12038</v>
      </c>
      <c r="B11164" s="380" t="str">
        <f>IFERROR(__xludf.DUMMYFUNCTION("""COMPUTED_VALUE"""),"Conjunto Sincronizador 1ra/2da Jac 1035")</f>
        <v>Conjunto Sincronizador 1ra/2da Jac 1035</v>
      </c>
      <c r="C11164" s="380" t="str">
        <f>IFERROR(__xludf.DUMMYFUNCTION("""COMPUTED_VALUE"""),"70006598")</f>
        <v>70006598</v>
      </c>
      <c r="D11164" s="380" t="s">
        <v>767</v>
      </c>
      <c r="E11164" s="380" t="s">
        <v>786</v>
      </c>
      <c r="F11164" s="380" t="s">
        <v>928</v>
      </c>
      <c r="G11164" s="380" t="s">
        <v>1267</v>
      </c>
      <c r="H11164" s="380" t="s">
        <v>771</v>
      </c>
      <c r="I11164" s="380" t="s">
        <v>788</v>
      </c>
      <c r="J11164" s="380" t="s">
        <v>773</v>
      </c>
      <c r="K11164" s="381">
        <v>0.0</v>
      </c>
      <c r="L11164" s="382">
        <v>1.0</v>
      </c>
    </row>
    <row r="11165">
      <c r="A11165" s="380" t="s">
        <v>12039</v>
      </c>
      <c r="B11165" s="380" t="str">
        <f>IFERROR(__xludf.DUMMYFUNCTION("""COMPUTED_VALUE"""),"Tubo Llenado De Aceite Motor X15 3686344")</f>
        <v>Tubo Llenado De Aceite Motor X15 3686344</v>
      </c>
      <c r="C11165" s="380" t="str">
        <f>IFERROR(__xludf.DUMMYFUNCTION("""COMPUTED_VALUE"""),"70006599")</f>
        <v>70006599</v>
      </c>
      <c r="D11165" s="380" t="s">
        <v>767</v>
      </c>
      <c r="E11165" s="380" t="s">
        <v>786</v>
      </c>
      <c r="F11165" s="380" t="s">
        <v>787</v>
      </c>
      <c r="G11165" s="380" t="s">
        <v>1267</v>
      </c>
      <c r="H11165" s="380" t="s">
        <v>771</v>
      </c>
      <c r="I11165" s="380" t="s">
        <v>788</v>
      </c>
      <c r="J11165" s="380" t="s">
        <v>773</v>
      </c>
      <c r="K11165" s="381">
        <v>0.0</v>
      </c>
      <c r="L11165" s="382">
        <v>1.0</v>
      </c>
    </row>
    <row r="11166">
      <c r="A11166" s="380" t="s">
        <v>12040</v>
      </c>
      <c r="B11166" s="380" t="str">
        <f>IFERROR(__xludf.DUMMYFUNCTION("""COMPUTED_VALUE"""),"Oring Adaptador Del Respiradero MOT X15")</f>
        <v>Oring Adaptador Del Respiradero MOT X15</v>
      </c>
      <c r="C11166" s="380" t="str">
        <f>IFERROR(__xludf.DUMMYFUNCTION("""COMPUTED_VALUE"""),"70006600")</f>
        <v>70006600</v>
      </c>
      <c r="D11166" s="380" t="s">
        <v>767</v>
      </c>
      <c r="E11166" s="380" t="s">
        <v>786</v>
      </c>
      <c r="F11166" s="380" t="s">
        <v>787</v>
      </c>
      <c r="G11166" s="380" t="s">
        <v>1267</v>
      </c>
      <c r="H11166" s="380" t="s">
        <v>771</v>
      </c>
      <c r="I11166" s="380" t="s">
        <v>788</v>
      </c>
      <c r="J11166" s="380" t="s">
        <v>773</v>
      </c>
      <c r="K11166" s="381">
        <v>511462.0</v>
      </c>
      <c r="L11166" s="382">
        <v>1.0</v>
      </c>
    </row>
    <row r="11167">
      <c r="A11167" s="380" t="s">
        <v>12041</v>
      </c>
      <c r="B11167" s="380" t="str">
        <f>IFERROR(__xludf.DUMMYFUNCTION("""COMPUTED_VALUE"""),"MANG Tapa VALVs - Respiradero MOT X15 36")</f>
        <v>MANG Tapa VALVs - Respiradero MOT X15 36</v>
      </c>
      <c r="C11167" s="380" t="str">
        <f>IFERROR(__xludf.DUMMYFUNCTION("""COMPUTED_VALUE"""),"70006601")</f>
        <v>70006601</v>
      </c>
      <c r="D11167" s="380" t="s">
        <v>767</v>
      </c>
      <c r="E11167" s="380" t="s">
        <v>786</v>
      </c>
      <c r="F11167" s="380" t="s">
        <v>787</v>
      </c>
      <c r="G11167" s="380" t="s">
        <v>1267</v>
      </c>
      <c r="H11167" s="380" t="s">
        <v>771</v>
      </c>
      <c r="I11167" s="380" t="s">
        <v>788</v>
      </c>
      <c r="J11167" s="380" t="s">
        <v>773</v>
      </c>
      <c r="K11167" s="381">
        <v>0.0</v>
      </c>
      <c r="L11167" s="382">
        <v>1.0</v>
      </c>
    </row>
    <row r="11168">
      <c r="A11168" s="380" t="s">
        <v>12042</v>
      </c>
      <c r="B11168" s="380" t="str">
        <f>IFERROR(__xludf.DUMMYFUNCTION("""COMPUTED_VALUE"""),"Puente DEL Chasis INT Lt 3882617c4")</f>
        <v>Puente DEL Chasis INT Lt 3882617c4</v>
      </c>
      <c r="C11168" s="380" t="str">
        <f>IFERROR(__xludf.DUMMYFUNCTION("""COMPUTED_VALUE"""),"70006602")</f>
        <v>70006602</v>
      </c>
      <c r="D11168" s="380" t="s">
        <v>767</v>
      </c>
      <c r="E11168" s="380" t="s">
        <v>786</v>
      </c>
      <c r="F11168" s="380" t="s">
        <v>792</v>
      </c>
      <c r="G11168" s="380" t="s">
        <v>1267</v>
      </c>
      <c r="H11168" s="380" t="s">
        <v>771</v>
      </c>
      <c r="I11168" s="380" t="s">
        <v>788</v>
      </c>
      <c r="J11168" s="380" t="s">
        <v>773</v>
      </c>
      <c r="K11168" s="381">
        <v>0.0</v>
      </c>
      <c r="L11168" s="382">
        <v>1.0</v>
      </c>
    </row>
    <row r="11169">
      <c r="A11169" s="380" t="s">
        <v>12043</v>
      </c>
      <c r="B11169" s="380" t="str">
        <f>IFERROR(__xludf.DUMMYFUNCTION("""COMPUTED_VALUE"""),"Abrazadera Mofle Tipo Herradur 5"" 186917")</f>
        <v>Abrazadera Mofle Tipo Herradur 5" 186917</v>
      </c>
      <c r="C11169" s="380" t="str">
        <f>IFERROR(__xludf.DUMMYFUNCTION("""COMPUTED_VALUE"""),"70006603")</f>
        <v>70006603</v>
      </c>
      <c r="D11169" s="380" t="s">
        <v>767</v>
      </c>
      <c r="E11169" s="380" t="s">
        <v>786</v>
      </c>
      <c r="F11169" s="380" t="s">
        <v>792</v>
      </c>
      <c r="G11169" s="380" t="s">
        <v>1267</v>
      </c>
      <c r="H11169" s="380" t="s">
        <v>771</v>
      </c>
      <c r="I11169" s="380" t="s">
        <v>788</v>
      </c>
      <c r="J11169" s="380" t="s">
        <v>773</v>
      </c>
      <c r="K11169" s="381">
        <v>37200.0</v>
      </c>
      <c r="L11169" s="382">
        <v>1.0</v>
      </c>
    </row>
    <row r="11170">
      <c r="A11170" s="380" t="s">
        <v>12044</v>
      </c>
      <c r="B11170" s="380" t="str">
        <f>IFERROR(__xludf.DUMMYFUNCTION("""COMPUTED_VALUE"""),"Pin Biela Piston Npr 8943187982")</f>
        <v>Pin Biela Piston Npr 8943187982</v>
      </c>
      <c r="C11170" s="380" t="str">
        <f>IFERROR(__xludf.DUMMYFUNCTION("""COMPUTED_VALUE"""),"70006604")</f>
        <v>70006604</v>
      </c>
      <c r="D11170" s="380" t="s">
        <v>767</v>
      </c>
      <c r="E11170" s="380" t="s">
        <v>786</v>
      </c>
      <c r="F11170" s="380" t="s">
        <v>787</v>
      </c>
      <c r="G11170" s="380" t="s">
        <v>1267</v>
      </c>
      <c r="H11170" s="380" t="s">
        <v>771</v>
      </c>
      <c r="I11170" s="380" t="s">
        <v>788</v>
      </c>
      <c r="J11170" s="380" t="s">
        <v>773</v>
      </c>
      <c r="K11170" s="381">
        <v>0.0</v>
      </c>
      <c r="L11170" s="382">
        <v>1.0</v>
      </c>
    </row>
    <row r="11171">
      <c r="A11171" s="380" t="s">
        <v>12045</v>
      </c>
      <c r="B11171" s="380" t="str">
        <f>IFERROR(__xludf.DUMMYFUNCTION("""COMPUTED_VALUE"""),"Cartera Izq Foton 4269 H4610160101a0")</f>
        <v>Cartera Izq Foton 4269 H4610160101a0</v>
      </c>
      <c r="C11171" s="380" t="str">
        <f>IFERROR(__xludf.DUMMYFUNCTION("""COMPUTED_VALUE"""),"70006605")</f>
        <v>70006605</v>
      </c>
      <c r="D11171" s="380" t="s">
        <v>767</v>
      </c>
      <c r="E11171" s="380" t="s">
        <v>786</v>
      </c>
      <c r="F11171" s="380" t="s">
        <v>792</v>
      </c>
      <c r="G11171" s="380" t="s">
        <v>1267</v>
      </c>
      <c r="H11171" s="380" t="s">
        <v>771</v>
      </c>
      <c r="I11171" s="380" t="s">
        <v>788</v>
      </c>
      <c r="J11171" s="380" t="s">
        <v>773</v>
      </c>
      <c r="K11171" s="381">
        <v>378320.0</v>
      </c>
      <c r="L11171" s="382">
        <v>1.0</v>
      </c>
    </row>
    <row r="11172">
      <c r="A11172" s="380" t="s">
        <v>12046</v>
      </c>
      <c r="B11172" s="380" t="str">
        <f>IFERROR(__xludf.DUMMYFUNCTION("""COMPUTED_VALUE"""),"Trapecio Limpia Parabrisas FT 1039 77010")</f>
        <v>Trapecio Limpia Parabrisas FT 1039 77010</v>
      </c>
      <c r="C11172" s="380" t="str">
        <f>IFERROR(__xludf.DUMMYFUNCTION("""COMPUTED_VALUE"""),"70006606")</f>
        <v>70006606</v>
      </c>
      <c r="D11172" s="380" t="s">
        <v>767</v>
      </c>
      <c r="E11172" s="380" t="s">
        <v>786</v>
      </c>
      <c r="F11172" s="380" t="s">
        <v>998</v>
      </c>
      <c r="G11172" s="380" t="s">
        <v>1267</v>
      </c>
      <c r="H11172" s="380" t="s">
        <v>771</v>
      </c>
      <c r="I11172" s="380" t="s">
        <v>788</v>
      </c>
      <c r="J11172" s="380" t="s">
        <v>773</v>
      </c>
      <c r="K11172" s="381">
        <v>0.0</v>
      </c>
      <c r="L11172" s="382">
        <v>1.0</v>
      </c>
    </row>
    <row r="11173">
      <c r="A11173" s="380" t="s">
        <v>12047</v>
      </c>
      <c r="B11173" s="380" t="str">
        <f>IFERROR(__xludf.DUMMYFUNCTION("""COMPUTED_VALUE"""),"RET Booster HN Dutro Pack 86024101")</f>
        <v>RET Booster HN Dutro Pack 86024101</v>
      </c>
      <c r="C11173" s="380" t="str">
        <f>IFERROR(__xludf.DUMMYFUNCTION("""COMPUTED_VALUE"""),"70006607")</f>
        <v>70006607</v>
      </c>
      <c r="D11173" s="380" t="s">
        <v>767</v>
      </c>
      <c r="E11173" s="380" t="s">
        <v>786</v>
      </c>
      <c r="F11173" s="380" t="s">
        <v>1017</v>
      </c>
      <c r="G11173" s="380" t="s">
        <v>1267</v>
      </c>
      <c r="H11173" s="380" t="s">
        <v>771</v>
      </c>
      <c r="I11173" s="380" t="s">
        <v>788</v>
      </c>
      <c r="J11173" s="380" t="s">
        <v>773</v>
      </c>
      <c r="K11173" s="381">
        <v>0.0</v>
      </c>
      <c r="L11173" s="382">
        <v>1.0</v>
      </c>
    </row>
    <row r="11174">
      <c r="A11174" s="380" t="s">
        <v>12048</v>
      </c>
      <c r="B11174" s="380" t="str">
        <f>IFERROR(__xludf.DUMMYFUNCTION("""COMPUTED_VALUE"""),"Tubo Succión/Retorno COMB INT Lt 4176455")</f>
        <v>Tubo Succión/Retorno COMB INT Lt 4176455</v>
      </c>
      <c r="C11174" s="380" t="str">
        <f>IFERROR(__xludf.DUMMYFUNCTION("""COMPUTED_VALUE"""),"70006608")</f>
        <v>70006608</v>
      </c>
      <c r="D11174" s="380" t="s">
        <v>767</v>
      </c>
      <c r="E11174" s="380" t="s">
        <v>786</v>
      </c>
      <c r="F11174" s="380" t="s">
        <v>792</v>
      </c>
      <c r="G11174" s="380" t="s">
        <v>1267</v>
      </c>
      <c r="H11174" s="380" t="s">
        <v>771</v>
      </c>
      <c r="I11174" s="380" t="s">
        <v>788</v>
      </c>
      <c r="J11174" s="380" t="s">
        <v>773</v>
      </c>
      <c r="K11174" s="381">
        <v>368091.0</v>
      </c>
      <c r="L11174" s="382">
        <v>1.0</v>
      </c>
    </row>
    <row r="11175">
      <c r="A11175" s="380" t="s">
        <v>12049</v>
      </c>
      <c r="B11175" s="380" t="str">
        <f>IFERROR(__xludf.DUMMYFUNCTION("""COMPUTED_VALUE"""),"Reductor CJ DIR FT 1030 7705946764261")</f>
        <v>Reductor CJ DIR FT 1030 7705946764261</v>
      </c>
      <c r="C11175" s="380" t="str">
        <f>IFERROR(__xludf.DUMMYFUNCTION("""COMPUTED_VALUE"""),"70006609")</f>
        <v>70006609</v>
      </c>
      <c r="D11175" s="380" t="s">
        <v>767</v>
      </c>
      <c r="E11175" s="380" t="s">
        <v>786</v>
      </c>
      <c r="F11175" s="380" t="s">
        <v>1020</v>
      </c>
      <c r="G11175" s="380" t="s">
        <v>1267</v>
      </c>
      <c r="H11175" s="380" t="s">
        <v>771</v>
      </c>
      <c r="I11175" s="380" t="s">
        <v>788</v>
      </c>
      <c r="J11175" s="380" t="s">
        <v>773</v>
      </c>
      <c r="K11175" s="381">
        <v>0.0</v>
      </c>
      <c r="L11175" s="382">
        <v>1.0</v>
      </c>
    </row>
    <row r="11176">
      <c r="A11176" s="380" t="s">
        <v>12050</v>
      </c>
      <c r="B11176" s="380" t="str">
        <f>IFERROR(__xludf.DUMMYFUNCTION("""COMPUTED_VALUE"""),"EMPtadura Servo Booster EMB CH Frr 13182")</f>
        <v>EMPtadura Servo Booster EMB CH Frr 13182</v>
      </c>
      <c r="C11176" s="380" t="str">
        <f>IFERROR(__xludf.DUMMYFUNCTION("""COMPUTED_VALUE"""),"70006610")</f>
        <v>70006610</v>
      </c>
      <c r="D11176" s="380" t="s">
        <v>767</v>
      </c>
      <c r="E11176" s="380" t="s">
        <v>786</v>
      </c>
      <c r="F11176" s="380" t="s">
        <v>5661</v>
      </c>
      <c r="G11176" s="380" t="s">
        <v>1267</v>
      </c>
      <c r="H11176" s="380" t="s">
        <v>771</v>
      </c>
      <c r="I11176" s="380" t="s">
        <v>788</v>
      </c>
      <c r="J11176" s="380" t="s">
        <v>773</v>
      </c>
      <c r="K11176" s="381">
        <v>0.0</v>
      </c>
      <c r="L11176" s="382">
        <v>1.0</v>
      </c>
    </row>
    <row r="11177">
      <c r="A11177" s="380" t="s">
        <v>12051</v>
      </c>
      <c r="B11177" s="380" t="str">
        <f>IFERROR(__xludf.DUMMYFUNCTION("""COMPUTED_VALUE"""),"Hoja Principal MUE DEL Frr 8980642670")</f>
        <v>Hoja Principal MUE DEL Frr 8980642670</v>
      </c>
      <c r="C11177" s="380" t="str">
        <f>IFERROR(__xludf.DUMMYFUNCTION("""COMPUTED_VALUE"""),"70006611")</f>
        <v>70006611</v>
      </c>
      <c r="D11177" s="380" t="s">
        <v>767</v>
      </c>
      <c r="E11177" s="380" t="s">
        <v>786</v>
      </c>
      <c r="F11177" s="380" t="s">
        <v>1039</v>
      </c>
      <c r="G11177" s="380" t="s">
        <v>1267</v>
      </c>
      <c r="H11177" s="380" t="s">
        <v>771</v>
      </c>
      <c r="I11177" s="380" t="s">
        <v>788</v>
      </c>
      <c r="J11177" s="380" t="s">
        <v>773</v>
      </c>
      <c r="K11177" s="381">
        <v>0.0</v>
      </c>
      <c r="L11177" s="382">
        <v>1.0</v>
      </c>
    </row>
    <row r="11178">
      <c r="A11178" s="380" t="s">
        <v>12052</v>
      </c>
      <c r="B11178" s="380" t="str">
        <f>IFERROR(__xludf.DUMMYFUNCTION("""COMPUTED_VALUE"""),"Juego Parlante X 2 Ovalado 5"" X 7""")</f>
        <v>Juego Parlante X 2 Ovalado 5" X 7"</v>
      </c>
      <c r="C11178" s="380" t="str">
        <f>IFERROR(__xludf.DUMMYFUNCTION("""COMPUTED_VALUE"""),"70006612")</f>
        <v>70006612</v>
      </c>
      <c r="D11178" s="380" t="s">
        <v>767</v>
      </c>
      <c r="E11178" s="380" t="s">
        <v>786</v>
      </c>
      <c r="F11178" s="380" t="s">
        <v>1031</v>
      </c>
      <c r="G11178" s="380" t="s">
        <v>1267</v>
      </c>
      <c r="H11178" s="380" t="s">
        <v>771</v>
      </c>
      <c r="I11178" s="380" t="s">
        <v>788</v>
      </c>
      <c r="J11178" s="380" t="s">
        <v>773</v>
      </c>
      <c r="K11178" s="381">
        <v>0.0</v>
      </c>
      <c r="L11178" s="382">
        <v>1.0</v>
      </c>
    </row>
    <row r="11179">
      <c r="A11179" s="380" t="s">
        <v>12053</v>
      </c>
      <c r="B11179" s="380" t="str">
        <f>IFERROR(__xludf.DUMMYFUNCTION("""COMPUTED_VALUE"""),"MANG INF RAD INT Lt 4060108c1")</f>
        <v>MANG INF RAD INT Lt 4060108c1</v>
      </c>
      <c r="C11179" s="380" t="str">
        <f>IFERROR(__xludf.DUMMYFUNCTION("""COMPUTED_VALUE"""),"70006613")</f>
        <v>70006613</v>
      </c>
      <c r="D11179" s="380" t="s">
        <v>767</v>
      </c>
      <c r="E11179" s="380" t="s">
        <v>786</v>
      </c>
      <c r="F11179" s="380" t="s">
        <v>787</v>
      </c>
      <c r="G11179" s="380" t="s">
        <v>1267</v>
      </c>
      <c r="H11179" s="380" t="s">
        <v>771</v>
      </c>
      <c r="I11179" s="380" t="s">
        <v>788</v>
      </c>
      <c r="J11179" s="380" t="s">
        <v>773</v>
      </c>
      <c r="K11179" s="381">
        <v>0.0</v>
      </c>
      <c r="L11179" s="382">
        <v>1.0</v>
      </c>
    </row>
    <row r="11180">
      <c r="A11180" s="380" t="s">
        <v>12054</v>
      </c>
      <c r="B11180" s="380" t="str">
        <f>IFERROR(__xludf.DUMMYFUNCTION("""COMPUTED_VALUE"""),"MANG Hidraulico DEP A Enfriador INT Lt 4")</f>
        <v>MANG Hidraulico DEP A Enfriador INT Lt 4</v>
      </c>
      <c r="C11180" s="380" t="str">
        <f>IFERROR(__xludf.DUMMYFUNCTION("""COMPUTED_VALUE"""),"70006614")</f>
        <v>70006614</v>
      </c>
      <c r="D11180" s="380" t="s">
        <v>767</v>
      </c>
      <c r="E11180" s="380" t="s">
        <v>786</v>
      </c>
      <c r="F11180" s="380" t="s">
        <v>1020</v>
      </c>
      <c r="G11180" s="380" t="s">
        <v>1267</v>
      </c>
      <c r="H11180" s="380" t="s">
        <v>771</v>
      </c>
      <c r="I11180" s="380" t="s">
        <v>788</v>
      </c>
      <c r="J11180" s="380" t="s">
        <v>773</v>
      </c>
      <c r="K11180" s="381">
        <v>0.0</v>
      </c>
      <c r="L11180" s="382">
        <v>1.0</v>
      </c>
    </row>
    <row r="11181">
      <c r="A11181" s="380" t="s">
        <v>12055</v>
      </c>
      <c r="B11181" s="380" t="str">
        <f>IFERROR(__xludf.DUMMYFUNCTION("""COMPUTED_VALUE"""),"MANG Hidraulico DEP A BMB INT Lt 4069661")</f>
        <v>MANG Hidraulico DEP A BMB INT Lt 4069661</v>
      </c>
      <c r="C11181" s="380" t="str">
        <f>IFERROR(__xludf.DUMMYFUNCTION("""COMPUTED_VALUE"""),"70006615")</f>
        <v>70006615</v>
      </c>
      <c r="D11181" s="380" t="s">
        <v>767</v>
      </c>
      <c r="E11181" s="380" t="s">
        <v>786</v>
      </c>
      <c r="F11181" s="380" t="s">
        <v>1020</v>
      </c>
      <c r="G11181" s="380" t="s">
        <v>1267</v>
      </c>
      <c r="H11181" s="380" t="s">
        <v>771</v>
      </c>
      <c r="I11181" s="380" t="s">
        <v>788</v>
      </c>
      <c r="J11181" s="380" t="s">
        <v>773</v>
      </c>
      <c r="K11181" s="381">
        <v>0.0</v>
      </c>
      <c r="L11181" s="382">
        <v>1.0</v>
      </c>
    </row>
    <row r="11182">
      <c r="A11182" s="380" t="s">
        <v>12056</v>
      </c>
      <c r="B11182" s="380" t="str">
        <f>IFERROR(__xludf.DUMMYFUNCTION("""COMPUTED_VALUE"""),"Swich Luz Puerta Inter Lt 4091611c1")</f>
        <v>Swich Luz Puerta Inter Lt 4091611c1</v>
      </c>
      <c r="C11182" s="380" t="str">
        <f>IFERROR(__xludf.DUMMYFUNCTION("""COMPUTED_VALUE"""),"70006616")</f>
        <v>70006616</v>
      </c>
      <c r="D11182" s="380" t="s">
        <v>767</v>
      </c>
      <c r="E11182" s="380" t="s">
        <v>786</v>
      </c>
      <c r="F11182" s="380" t="s">
        <v>998</v>
      </c>
      <c r="G11182" s="380" t="s">
        <v>1267</v>
      </c>
      <c r="H11182" s="380" t="s">
        <v>771</v>
      </c>
      <c r="I11182" s="380" t="s">
        <v>788</v>
      </c>
      <c r="J11182" s="380" t="s">
        <v>773</v>
      </c>
      <c r="K11182" s="381">
        <v>79168.0</v>
      </c>
      <c r="L11182" s="382">
        <v>1.0</v>
      </c>
    </row>
    <row r="11183">
      <c r="A11183" s="380" t="s">
        <v>12057</v>
      </c>
      <c r="B11183" s="380" t="str">
        <f>IFERROR(__xludf.DUMMYFUNCTION("""COMPUTED_VALUE"""),"Tapa carcasa FILT AIR FT 1129 7701023333")</f>
        <v>Tapa carcasa FILT AIR FT 1129 7701023333</v>
      </c>
      <c r="C11183" s="380" t="str">
        <f>IFERROR(__xludf.DUMMYFUNCTION("""COMPUTED_VALUE"""),"70006617")</f>
        <v>70006617</v>
      </c>
      <c r="D11183" s="380" t="s">
        <v>767</v>
      </c>
      <c r="E11183" s="380" t="s">
        <v>786</v>
      </c>
      <c r="F11183" s="380" t="s">
        <v>787</v>
      </c>
      <c r="G11183" s="380" t="s">
        <v>1267</v>
      </c>
      <c r="H11183" s="380" t="s">
        <v>771</v>
      </c>
      <c r="I11183" s="380" t="s">
        <v>788</v>
      </c>
      <c r="J11183" s="380" t="s">
        <v>773</v>
      </c>
      <c r="K11183" s="381">
        <v>0.0</v>
      </c>
      <c r="L11183" s="382">
        <v>1.0</v>
      </c>
    </row>
    <row r="11184">
      <c r="A11184" s="380" t="s">
        <v>12058</v>
      </c>
      <c r="B11184" s="380" t="str">
        <f>IFERROR(__xludf.DUMMYFUNCTION("""COMPUTED_VALUE"""),"Pin Torre Palanca Cambios Eagle 4303030")</f>
        <v>Pin Torre Palanca Cambios Eagle 4303030</v>
      </c>
      <c r="C11184" s="380" t="str">
        <f>IFERROR(__xludf.DUMMYFUNCTION("""COMPUTED_VALUE"""),"70006618")</f>
        <v>70006618</v>
      </c>
      <c r="D11184" s="380" t="s">
        <v>767</v>
      </c>
      <c r="E11184" s="380" t="s">
        <v>786</v>
      </c>
      <c r="F11184" s="380" t="s">
        <v>928</v>
      </c>
      <c r="G11184" s="380" t="s">
        <v>1267</v>
      </c>
      <c r="H11184" s="380" t="s">
        <v>771</v>
      </c>
      <c r="I11184" s="380" t="s">
        <v>788</v>
      </c>
      <c r="J11184" s="380" t="s">
        <v>773</v>
      </c>
      <c r="K11184" s="381">
        <v>0.0</v>
      </c>
      <c r="L11184" s="382">
        <v>1.0</v>
      </c>
    </row>
    <row r="11185">
      <c r="A11185" s="380" t="s">
        <v>12059</v>
      </c>
      <c r="B11185" s="380" t="str">
        <f>IFERROR(__xludf.DUMMYFUNCTION("""COMPUTED_VALUE"""),"EMP Base FILT Aceite FT 1039 77010235217")</f>
        <v>EMP Base FILT Aceite FT 1039 77010235217</v>
      </c>
      <c r="C11185" s="380" t="str">
        <f>IFERROR(__xludf.DUMMYFUNCTION("""COMPUTED_VALUE"""),"70006619")</f>
        <v>70006619</v>
      </c>
      <c r="D11185" s="380" t="s">
        <v>767</v>
      </c>
      <c r="E11185" s="380" t="s">
        <v>786</v>
      </c>
      <c r="F11185" s="380" t="s">
        <v>787</v>
      </c>
      <c r="G11185" s="380" t="s">
        <v>1267</v>
      </c>
      <c r="H11185" s="380" t="s">
        <v>771</v>
      </c>
      <c r="I11185" s="380" t="s">
        <v>788</v>
      </c>
      <c r="J11185" s="380" t="s">
        <v>773</v>
      </c>
      <c r="K11185" s="381">
        <v>0.0</v>
      </c>
      <c r="L11185" s="382">
        <v>1.0</v>
      </c>
    </row>
    <row r="11186">
      <c r="A11186" s="380" t="s">
        <v>12060</v>
      </c>
      <c r="B11186" s="380" t="str">
        <f>IFERROR(__xludf.DUMMYFUNCTION("""COMPUTED_VALUE"""),"Condensador Mack Anthem 22386057")</f>
        <v>Condensador Mack Anthem 22386057</v>
      </c>
      <c r="C11186" s="380" t="str">
        <f>IFERROR(__xludf.DUMMYFUNCTION("""COMPUTED_VALUE"""),"70006620")</f>
        <v>70006620</v>
      </c>
      <c r="D11186" s="380" t="s">
        <v>767</v>
      </c>
      <c r="E11186" s="380" t="s">
        <v>786</v>
      </c>
      <c r="F11186" s="380" t="s">
        <v>1031</v>
      </c>
      <c r="G11186" s="380" t="s">
        <v>1267</v>
      </c>
      <c r="H11186" s="380" t="s">
        <v>771</v>
      </c>
      <c r="I11186" s="380" t="s">
        <v>788</v>
      </c>
      <c r="J11186" s="380" t="s">
        <v>773</v>
      </c>
      <c r="K11186" s="381">
        <v>0.0</v>
      </c>
      <c r="L11186" s="382">
        <v>1.0</v>
      </c>
    </row>
    <row r="11187">
      <c r="A11187" s="380" t="s">
        <v>12061</v>
      </c>
      <c r="B11187" s="380" t="str">
        <f>IFERROR(__xludf.DUMMYFUNCTION("""COMPUTED_VALUE"""),"Bloque Hidraulico Montacargas T S90f")</f>
        <v>Bloque Hidraulico Montacargas T S90f</v>
      </c>
      <c r="C11187" s="380" t="str">
        <f>IFERROR(__xludf.DUMMYFUNCTION("""COMPUTED_VALUE"""),"70006621")</f>
        <v>70006621</v>
      </c>
      <c r="D11187" s="380" t="s">
        <v>767</v>
      </c>
      <c r="E11187" s="380" t="s">
        <v>786</v>
      </c>
      <c r="F11187" s="380" t="s">
        <v>787</v>
      </c>
      <c r="G11187" s="380" t="s">
        <v>1267</v>
      </c>
      <c r="H11187" s="380" t="s">
        <v>771</v>
      </c>
      <c r="I11187" s="380" t="s">
        <v>788</v>
      </c>
      <c r="J11187" s="380" t="s">
        <v>773</v>
      </c>
      <c r="K11187" s="381">
        <v>0.0</v>
      </c>
      <c r="L11187" s="382">
        <v>1.0</v>
      </c>
    </row>
    <row r="11188">
      <c r="A11188" s="380" t="s">
        <v>12062</v>
      </c>
      <c r="B11188" s="380" t="str">
        <f>IFERROR(__xludf.DUMMYFUNCTION("""COMPUTED_VALUE"""),"Disco De Freno Van Dongfeng 21009171")</f>
        <v>Disco De Freno Van Dongfeng 21009171</v>
      </c>
      <c r="C11188" s="380" t="str">
        <f>IFERROR(__xludf.DUMMYFUNCTION("""COMPUTED_VALUE"""),"70006622")</f>
        <v>70006622</v>
      </c>
      <c r="D11188" s="380" t="s">
        <v>767</v>
      </c>
      <c r="E11188" s="380" t="s">
        <v>786</v>
      </c>
      <c r="F11188" s="380" t="s">
        <v>1017</v>
      </c>
      <c r="G11188" s="380" t="s">
        <v>1267</v>
      </c>
      <c r="H11188" s="380" t="s">
        <v>771</v>
      </c>
      <c r="I11188" s="380" t="s">
        <v>788</v>
      </c>
      <c r="J11188" s="380" t="s">
        <v>773</v>
      </c>
      <c r="K11188" s="381">
        <v>0.0</v>
      </c>
      <c r="L11188" s="382">
        <v>1.0</v>
      </c>
    </row>
    <row r="11189">
      <c r="A11189" s="380" t="s">
        <v>12063</v>
      </c>
      <c r="B11189" s="380" t="str">
        <f>IFERROR(__xludf.DUMMYFUNCTION("""COMPUTED_VALUE"""),"Manija Externa Izq FT 1030 7700149248402")</f>
        <v>Manija Externa Izq FT 1030 7700149248402</v>
      </c>
      <c r="C11189" s="380" t="str">
        <f>IFERROR(__xludf.DUMMYFUNCTION("""COMPUTED_VALUE"""),"70006623")</f>
        <v>70006623</v>
      </c>
      <c r="D11189" s="380" t="s">
        <v>767</v>
      </c>
      <c r="E11189" s="380" t="s">
        <v>786</v>
      </c>
      <c r="F11189" s="380" t="s">
        <v>792</v>
      </c>
      <c r="G11189" s="380" t="s">
        <v>1267</v>
      </c>
      <c r="H11189" s="380" t="s">
        <v>771</v>
      </c>
      <c r="I11189" s="380" t="s">
        <v>788</v>
      </c>
      <c r="J11189" s="380" t="s">
        <v>773</v>
      </c>
      <c r="K11189" s="381">
        <v>0.0</v>
      </c>
      <c r="L11189" s="382">
        <v>1.0</v>
      </c>
    </row>
    <row r="11190">
      <c r="A11190" s="380" t="s">
        <v>12064</v>
      </c>
      <c r="B11190" s="380" t="str">
        <f>IFERROR(__xludf.DUMMYFUNCTION("""COMPUTED_VALUE"""),"Disco Freno Delantero Hyundai")</f>
        <v>Disco Freno Delantero Hyundai</v>
      </c>
      <c r="C11190" s="380" t="str">
        <f>IFERROR(__xludf.DUMMYFUNCTION("""COMPUTED_VALUE"""),"70006624")</f>
        <v>70006624</v>
      </c>
      <c r="D11190" s="380" t="s">
        <v>767</v>
      </c>
      <c r="E11190" s="380" t="s">
        <v>786</v>
      </c>
      <c r="F11190" s="380" t="s">
        <v>1017</v>
      </c>
      <c r="G11190" s="380" t="s">
        <v>1267</v>
      </c>
      <c r="H11190" s="380" t="s">
        <v>771</v>
      </c>
      <c r="I11190" s="380" t="s">
        <v>788</v>
      </c>
      <c r="J11190" s="380" t="s">
        <v>773</v>
      </c>
      <c r="K11190" s="381">
        <v>0.0</v>
      </c>
      <c r="L11190" s="382">
        <v>1.0</v>
      </c>
    </row>
    <row r="11191">
      <c r="A11191" s="380" t="s">
        <v>12065</v>
      </c>
      <c r="B11191" s="380" t="str">
        <f>IFERROR(__xludf.DUMMYFUNCTION("""COMPUTED_VALUE"""),"Sensor Freno Abs Inter Lt Bx801549")</f>
        <v>Sensor Freno Abs Inter Lt Bx801549</v>
      </c>
      <c r="C11191" s="380" t="str">
        <f>IFERROR(__xludf.DUMMYFUNCTION("""COMPUTED_VALUE"""),"70006625")</f>
        <v>70006625</v>
      </c>
      <c r="D11191" s="380" t="s">
        <v>767</v>
      </c>
      <c r="E11191" s="380" t="s">
        <v>786</v>
      </c>
      <c r="F11191" s="380" t="s">
        <v>998</v>
      </c>
      <c r="G11191" s="380" t="s">
        <v>1267</v>
      </c>
      <c r="H11191" s="380" t="s">
        <v>771</v>
      </c>
      <c r="I11191" s="380" t="s">
        <v>788</v>
      </c>
      <c r="J11191" s="380" t="s">
        <v>773</v>
      </c>
      <c r="K11191" s="381">
        <v>0.0</v>
      </c>
      <c r="L11191" s="382">
        <v>1.0</v>
      </c>
    </row>
    <row r="11192">
      <c r="A11192" s="380" t="s">
        <v>12066</v>
      </c>
      <c r="B11192" s="380" t="str">
        <f>IFERROR(__xludf.DUMMYFUNCTION("""COMPUTED_VALUE"""),"EMP Termostato FT 1039 7701023517249")</f>
        <v>EMP Termostato FT 1039 7701023517249</v>
      </c>
      <c r="C11192" s="380" t="str">
        <f>IFERROR(__xludf.DUMMYFUNCTION("""COMPUTED_VALUE"""),"70006626")</f>
        <v>70006626</v>
      </c>
      <c r="D11192" s="380" t="s">
        <v>767</v>
      </c>
      <c r="E11192" s="380" t="s">
        <v>786</v>
      </c>
      <c r="F11192" s="380" t="s">
        <v>787</v>
      </c>
      <c r="G11192" s="380" t="s">
        <v>1267</v>
      </c>
      <c r="H11192" s="380" t="s">
        <v>771</v>
      </c>
      <c r="I11192" s="380" t="s">
        <v>788</v>
      </c>
      <c r="J11192" s="380" t="s">
        <v>773</v>
      </c>
      <c r="K11192" s="381">
        <v>0.0</v>
      </c>
      <c r="L11192" s="382">
        <v>1.0</v>
      </c>
    </row>
    <row r="11193">
      <c r="A11193" s="380" t="s">
        <v>12067</v>
      </c>
      <c r="B11193" s="380" t="str">
        <f>IFERROR(__xludf.DUMMYFUNCTION("""COMPUTED_VALUE"""),"EMP CJ Termostatica FT 1039 770102351726")</f>
        <v>EMP CJ Termostatica FT 1039 770102351726</v>
      </c>
      <c r="C11193" s="380" t="str">
        <f>IFERROR(__xludf.DUMMYFUNCTION("""COMPUTED_VALUE"""),"70006627")</f>
        <v>70006627</v>
      </c>
      <c r="D11193" s="380" t="s">
        <v>767</v>
      </c>
      <c r="E11193" s="380" t="s">
        <v>786</v>
      </c>
      <c r="F11193" s="380" t="s">
        <v>787</v>
      </c>
      <c r="G11193" s="380" t="s">
        <v>1267</v>
      </c>
      <c r="H11193" s="380" t="s">
        <v>771</v>
      </c>
      <c r="I11193" s="380" t="s">
        <v>788</v>
      </c>
      <c r="J11193" s="380" t="s">
        <v>773</v>
      </c>
      <c r="K11193" s="381">
        <v>0.0</v>
      </c>
      <c r="L11193" s="382">
        <v>1.0</v>
      </c>
    </row>
    <row r="11194">
      <c r="A11194" s="380" t="s">
        <v>12068</v>
      </c>
      <c r="B11194" s="380" t="str">
        <f>IFERROR(__xludf.DUMMYFUNCTION("""COMPUTED_VALUE"""),"Tubo Calefaccion FT 1039 7705946609517")</f>
        <v>Tubo Calefaccion FT 1039 7705946609517</v>
      </c>
      <c r="C11194" s="380" t="str">
        <f>IFERROR(__xludf.DUMMYFUNCTION("""COMPUTED_VALUE"""),"70006628")</f>
        <v>70006628</v>
      </c>
      <c r="D11194" s="380" t="s">
        <v>767</v>
      </c>
      <c r="E11194" s="380" t="s">
        <v>786</v>
      </c>
      <c r="F11194" s="380" t="s">
        <v>787</v>
      </c>
      <c r="G11194" s="380" t="s">
        <v>1267</v>
      </c>
      <c r="H11194" s="380" t="s">
        <v>771</v>
      </c>
      <c r="I11194" s="380" t="s">
        <v>788</v>
      </c>
      <c r="J11194" s="380" t="s">
        <v>773</v>
      </c>
      <c r="K11194" s="381">
        <v>0.0</v>
      </c>
      <c r="L11194" s="382">
        <v>1.0</v>
      </c>
    </row>
    <row r="11195">
      <c r="A11195" s="380" t="s">
        <v>12069</v>
      </c>
      <c r="B11195" s="380" t="str">
        <f>IFERROR(__xludf.DUMMYFUNCTION("""COMPUTED_VALUE"""),"Racor Codo 45 Direccion Hidr. Eagle 9400")</f>
        <v>Racor Codo 45 Direccion Hidr. Eagle 9400</v>
      </c>
      <c r="C11195" s="380" t="str">
        <f>IFERROR(__xludf.DUMMYFUNCTION("""COMPUTED_VALUE"""),"70006629")</f>
        <v>70006629</v>
      </c>
      <c r="D11195" s="380" t="s">
        <v>767</v>
      </c>
      <c r="E11195" s="380" t="s">
        <v>786</v>
      </c>
      <c r="F11195" s="380" t="s">
        <v>1020</v>
      </c>
      <c r="G11195" s="380" t="s">
        <v>1267</v>
      </c>
      <c r="H11195" s="380" t="s">
        <v>771</v>
      </c>
      <c r="I11195" s="380" t="s">
        <v>788</v>
      </c>
      <c r="J11195" s="380" t="s">
        <v>773</v>
      </c>
      <c r="K11195" s="381">
        <v>0.0</v>
      </c>
      <c r="L11195" s="382">
        <v>1.0</v>
      </c>
    </row>
    <row r="11196">
      <c r="A11196" s="380" t="s">
        <v>12070</v>
      </c>
      <c r="B11196" s="380" t="str">
        <f>IFERROR(__xludf.DUMMYFUNCTION("""COMPUTED_VALUE"""),"Racor Codo 90 Bomba Hidaulica Eagle 9400")</f>
        <v>Racor Codo 90 Bomba Hidaulica Eagle 9400</v>
      </c>
      <c r="C11196" s="380" t="str">
        <f>IFERROR(__xludf.DUMMYFUNCTION("""COMPUTED_VALUE"""),"70006630")</f>
        <v>70006630</v>
      </c>
      <c r="D11196" s="380" t="s">
        <v>767</v>
      </c>
      <c r="E11196" s="380" t="s">
        <v>786</v>
      </c>
      <c r="F11196" s="380" t="s">
        <v>1020</v>
      </c>
      <c r="G11196" s="380" t="s">
        <v>1267</v>
      </c>
      <c r="H11196" s="380" t="s">
        <v>771</v>
      </c>
      <c r="I11196" s="380" t="s">
        <v>788</v>
      </c>
      <c r="J11196" s="380" t="s">
        <v>773</v>
      </c>
      <c r="K11196" s="381">
        <v>194046.0</v>
      </c>
      <c r="L11196" s="382">
        <v>1.0</v>
      </c>
    </row>
    <row r="11197">
      <c r="A11197" s="380" t="s">
        <v>12071</v>
      </c>
      <c r="B11197" s="380" t="str">
        <f>IFERROR(__xludf.DUMMYFUNCTION("""COMPUTED_VALUE"""),"Tubo Flex Aire Motor Vw Worker Tat129625")</f>
        <v>Tubo Flex Aire Motor Vw Worker Tat129625</v>
      </c>
      <c r="C11197" s="380" t="str">
        <f>IFERROR(__xludf.DUMMYFUNCTION("""COMPUTED_VALUE"""),"70006631")</f>
        <v>70006631</v>
      </c>
      <c r="D11197" s="380" t="s">
        <v>767</v>
      </c>
      <c r="E11197" s="380" t="s">
        <v>786</v>
      </c>
      <c r="F11197" s="380" t="s">
        <v>787</v>
      </c>
      <c r="G11197" s="380" t="s">
        <v>1267</v>
      </c>
      <c r="H11197" s="380" t="s">
        <v>771</v>
      </c>
      <c r="I11197" s="380" t="s">
        <v>788</v>
      </c>
      <c r="J11197" s="380" t="s">
        <v>773</v>
      </c>
      <c r="K11197" s="381">
        <v>0.0</v>
      </c>
      <c r="L11197" s="382">
        <v>1.0</v>
      </c>
    </row>
    <row r="11198">
      <c r="A11198" s="380" t="s">
        <v>12072</v>
      </c>
      <c r="B11198" s="380" t="str">
        <f>IFERROR(__xludf.DUMMYFUNCTION("""COMPUTED_VALUE"""),"Puente Central Chasis Inter Lt 3616006c4")</f>
        <v>Puente Central Chasis Inter Lt 3616006c4</v>
      </c>
      <c r="C11198" s="380" t="str">
        <f>IFERROR(__xludf.DUMMYFUNCTION("""COMPUTED_VALUE"""),"70006632")</f>
        <v>70006632</v>
      </c>
      <c r="D11198" s="380" t="s">
        <v>767</v>
      </c>
      <c r="E11198" s="380" t="s">
        <v>786</v>
      </c>
      <c r="F11198" s="380" t="s">
        <v>792</v>
      </c>
      <c r="G11198" s="380" t="s">
        <v>1267</v>
      </c>
      <c r="H11198" s="380" t="s">
        <v>771</v>
      </c>
      <c r="I11198" s="380" t="s">
        <v>788</v>
      </c>
      <c r="J11198" s="380" t="s">
        <v>773</v>
      </c>
      <c r="K11198" s="381">
        <v>0.0</v>
      </c>
      <c r="L11198" s="382">
        <v>1.0</v>
      </c>
    </row>
    <row r="11199">
      <c r="A11199" s="380" t="s">
        <v>12073</v>
      </c>
      <c r="B11199" s="380" t="str">
        <f>IFERROR(__xludf.DUMMYFUNCTION("""COMPUTED_VALUE"""),"Amortiguador + Resorte Del Iz FT 1030 77")</f>
        <v>Amortiguador + Resorte Del Iz FT 1030 77</v>
      </c>
      <c r="C11199" s="380" t="str">
        <f>IFERROR(__xludf.DUMMYFUNCTION("""COMPUTED_VALUE"""),"70006633")</f>
        <v>70006633</v>
      </c>
      <c r="D11199" s="380" t="s">
        <v>767</v>
      </c>
      <c r="E11199" s="380" t="s">
        <v>786</v>
      </c>
      <c r="F11199" s="380" t="s">
        <v>792</v>
      </c>
      <c r="G11199" s="380" t="s">
        <v>1267</v>
      </c>
      <c r="H11199" s="380" t="s">
        <v>771</v>
      </c>
      <c r="I11199" s="380" t="s">
        <v>788</v>
      </c>
      <c r="J11199" s="380" t="s">
        <v>773</v>
      </c>
      <c r="K11199" s="381">
        <v>0.0</v>
      </c>
      <c r="L11199" s="382">
        <v>1.0</v>
      </c>
    </row>
    <row r="11200">
      <c r="A11200" s="380" t="s">
        <v>12074</v>
      </c>
      <c r="B11200" s="380" t="str">
        <f>IFERROR(__xludf.DUMMYFUNCTION("""COMPUTED_VALUE"""),"Servo Booster EMB CH Frr REP")</f>
        <v>Servo Booster EMB CH Frr REP</v>
      </c>
      <c r="C11200" s="380" t="str">
        <f>IFERROR(__xludf.DUMMYFUNCTION("""COMPUTED_VALUE"""),"70006634")</f>
        <v>70006634</v>
      </c>
      <c r="D11200" s="380" t="s">
        <v>767</v>
      </c>
      <c r="E11200" s="380" t="s">
        <v>786</v>
      </c>
      <c r="F11200" s="380" t="s">
        <v>5661</v>
      </c>
      <c r="G11200" s="380" t="s">
        <v>1267</v>
      </c>
      <c r="H11200" s="380" t="s">
        <v>771</v>
      </c>
      <c r="I11200" s="380" t="s">
        <v>788</v>
      </c>
      <c r="J11200" s="380" t="s">
        <v>773</v>
      </c>
      <c r="K11200" s="381">
        <v>750083.0</v>
      </c>
      <c r="L11200" s="382">
        <v>1.0</v>
      </c>
    </row>
    <row r="11201">
      <c r="A11201" s="380" t="s">
        <v>12075</v>
      </c>
      <c r="B11201" s="380" t="str">
        <f>IFERROR(__xludf.DUMMYFUNCTION("""COMPUTED_VALUE"""),"Grapa 1 Muelle Delantero Foton 1065 3"" X")</f>
        <v>Grapa 1 Muelle Delantero Foton 1065 3" X</v>
      </c>
      <c r="C11201" s="380" t="str">
        <f>IFERROR(__xludf.DUMMYFUNCTION("""COMPUTED_VALUE"""),"70006635")</f>
        <v>70006635</v>
      </c>
      <c r="D11201" s="380" t="s">
        <v>767</v>
      </c>
      <c r="E11201" s="380" t="s">
        <v>786</v>
      </c>
      <c r="F11201" s="380" t="s">
        <v>1039</v>
      </c>
      <c r="G11201" s="380" t="s">
        <v>1267</v>
      </c>
      <c r="H11201" s="380" t="s">
        <v>771</v>
      </c>
      <c r="I11201" s="380" t="s">
        <v>788</v>
      </c>
      <c r="J11201" s="380" t="s">
        <v>773</v>
      </c>
      <c r="K11201" s="381">
        <v>0.0</v>
      </c>
      <c r="L11201" s="382">
        <v>1.0</v>
      </c>
    </row>
    <row r="11202">
      <c r="A11202" s="380" t="s">
        <v>12076</v>
      </c>
      <c r="B11202" s="380" t="str">
        <f>IFERROR(__xludf.DUMMYFUNCTION("""COMPUTED_VALUE"""),"Grapa 2 MUE DEL FT 1065 3"" X 6"" X 9/16""")</f>
        <v>Grapa 2 MUE DEL FT 1065 3" X 6" X 9/16"</v>
      </c>
      <c r="C11202" s="380" t="str">
        <f>IFERROR(__xludf.DUMMYFUNCTION("""COMPUTED_VALUE"""),"70006636")</f>
        <v>70006636</v>
      </c>
      <c r="D11202" s="380" t="s">
        <v>767</v>
      </c>
      <c r="E11202" s="380" t="s">
        <v>786</v>
      </c>
      <c r="F11202" s="380" t="s">
        <v>1039</v>
      </c>
      <c r="G11202" s="380" t="s">
        <v>1267</v>
      </c>
      <c r="H11202" s="380" t="s">
        <v>771</v>
      </c>
      <c r="I11202" s="380" t="s">
        <v>788</v>
      </c>
      <c r="J11202" s="380" t="s">
        <v>773</v>
      </c>
      <c r="K11202" s="381">
        <v>0.0</v>
      </c>
      <c r="L11202" s="382">
        <v>1.0</v>
      </c>
    </row>
    <row r="11203">
      <c r="A11203" s="380" t="s">
        <v>12077</v>
      </c>
      <c r="B11203" s="380" t="str">
        <f>IFERROR(__xludf.DUMMYFUNCTION("""COMPUTED_VALUE"""),"Disco Freno Tras Ventilado T Prado Df-05")</f>
        <v>Disco Freno Tras Ventilado T Prado Df-05</v>
      </c>
      <c r="C11203" s="380" t="str">
        <f>IFERROR(__xludf.DUMMYFUNCTION("""COMPUTED_VALUE"""),"70006637")</f>
        <v>70006637</v>
      </c>
      <c r="D11203" s="380" t="s">
        <v>767</v>
      </c>
      <c r="E11203" s="380" t="s">
        <v>786</v>
      </c>
      <c r="F11203" s="380" t="s">
        <v>1017</v>
      </c>
      <c r="G11203" s="380" t="s">
        <v>1267</v>
      </c>
      <c r="H11203" s="380" t="s">
        <v>771</v>
      </c>
      <c r="I11203" s="380" t="s">
        <v>788</v>
      </c>
      <c r="J11203" s="380" t="s">
        <v>773</v>
      </c>
      <c r="K11203" s="381">
        <v>0.0</v>
      </c>
      <c r="L11203" s="382">
        <v>1.0</v>
      </c>
    </row>
    <row r="11204">
      <c r="A11204" s="380" t="s">
        <v>12078</v>
      </c>
      <c r="B11204" s="380" t="str">
        <f>IFERROR(__xludf.DUMMYFUNCTION("""COMPUTED_VALUE"""),"Lampara Led Rectangular 12v Techo Furgon")</f>
        <v>Lampara Led Rectangular 12v Techo Furgon</v>
      </c>
      <c r="C11204" s="380" t="str">
        <f>IFERROR(__xludf.DUMMYFUNCTION("""COMPUTED_VALUE"""),"70006638")</f>
        <v>70006638</v>
      </c>
      <c r="D11204" s="380" t="s">
        <v>767</v>
      </c>
      <c r="E11204" s="380" t="s">
        <v>786</v>
      </c>
      <c r="F11204" s="380" t="s">
        <v>998</v>
      </c>
      <c r="G11204" s="380" t="s">
        <v>1267</v>
      </c>
      <c r="H11204" s="380" t="s">
        <v>771</v>
      </c>
      <c r="I11204" s="380" t="s">
        <v>788</v>
      </c>
      <c r="J11204" s="380" t="s">
        <v>773</v>
      </c>
      <c r="K11204" s="381">
        <v>55633.0</v>
      </c>
      <c r="L11204" s="382">
        <v>1.0</v>
      </c>
    </row>
    <row r="11205">
      <c r="A11205" s="380" t="s">
        <v>12079</v>
      </c>
      <c r="B11205" s="380" t="str">
        <f>IFERROR(__xludf.DUMMYFUNCTION("""COMPUTED_VALUE"""),"SOP MOT DER FT Mv5 7705946023122")</f>
        <v>SOP MOT DER FT Mv5 7705946023122</v>
      </c>
      <c r="C11205" s="380" t="str">
        <f>IFERROR(__xludf.DUMMYFUNCTION("""COMPUTED_VALUE"""),"70006639")</f>
        <v>70006639</v>
      </c>
      <c r="D11205" s="380" t="s">
        <v>767</v>
      </c>
      <c r="E11205" s="380" t="s">
        <v>786</v>
      </c>
      <c r="F11205" s="380" t="s">
        <v>792</v>
      </c>
      <c r="G11205" s="380" t="s">
        <v>1267</v>
      </c>
      <c r="H11205" s="380" t="s">
        <v>771</v>
      </c>
      <c r="I11205" s="380" t="s">
        <v>788</v>
      </c>
      <c r="J11205" s="380" t="s">
        <v>773</v>
      </c>
      <c r="K11205" s="381">
        <v>0.0</v>
      </c>
      <c r="L11205" s="382">
        <v>1.0</v>
      </c>
    </row>
    <row r="11206">
      <c r="A11206" s="380" t="s">
        <v>12080</v>
      </c>
      <c r="B11206" s="380" t="str">
        <f>IFERROR(__xludf.DUMMYFUNCTION("""COMPUTED_VALUE"""),"SOP MOT Izq FT Mv5 7705946023115")</f>
        <v>SOP MOT Izq FT Mv5 7705946023115</v>
      </c>
      <c r="C11206" s="380" t="str">
        <f>IFERROR(__xludf.DUMMYFUNCTION("""COMPUTED_VALUE"""),"70006640")</f>
        <v>70006640</v>
      </c>
      <c r="D11206" s="380" t="s">
        <v>767</v>
      </c>
      <c r="E11206" s="380" t="s">
        <v>786</v>
      </c>
      <c r="F11206" s="380" t="s">
        <v>792</v>
      </c>
      <c r="G11206" s="380" t="s">
        <v>1267</v>
      </c>
      <c r="H11206" s="380" t="s">
        <v>771</v>
      </c>
      <c r="I11206" s="380" t="s">
        <v>788</v>
      </c>
      <c r="J11206" s="380" t="s">
        <v>773</v>
      </c>
      <c r="K11206" s="381">
        <v>0.0</v>
      </c>
      <c r="L11206" s="382">
        <v>1.0</v>
      </c>
    </row>
    <row r="11207">
      <c r="A11207" s="380" t="s">
        <v>12081</v>
      </c>
      <c r="B11207" s="380" t="str">
        <f>IFERROR(__xludf.DUMMYFUNCTION("""COMPUTED_VALUE"""),"CIL Freno TRAS Van DFENG Wc5659bex")</f>
        <v>CIL Freno TRAS Van DFENG Wc5659bex</v>
      </c>
      <c r="C11207" s="380" t="str">
        <f>IFERROR(__xludf.DUMMYFUNCTION("""COMPUTED_VALUE"""),"70006641")</f>
        <v>70006641</v>
      </c>
      <c r="D11207" s="380" t="s">
        <v>767</v>
      </c>
      <c r="E11207" s="380" t="s">
        <v>786</v>
      </c>
      <c r="F11207" s="380" t="s">
        <v>1017</v>
      </c>
      <c r="G11207" s="380" t="s">
        <v>1267</v>
      </c>
      <c r="H11207" s="380" t="s">
        <v>771</v>
      </c>
      <c r="I11207" s="380" t="s">
        <v>788</v>
      </c>
      <c r="J11207" s="380" t="s">
        <v>773</v>
      </c>
      <c r="K11207" s="381">
        <v>0.0</v>
      </c>
      <c r="L11207" s="382">
        <v>1.0</v>
      </c>
    </row>
    <row r="11208">
      <c r="A11208" s="380" t="s">
        <v>12082</v>
      </c>
      <c r="B11208" s="380" t="str">
        <f>IFERROR(__xludf.DUMMYFUNCTION("""COMPUTED_VALUE"""),"EMP Carter HY H100 Porter 020340590")</f>
        <v>EMP Carter HY H100 Porter 020340590</v>
      </c>
      <c r="C11208" s="380" t="str">
        <f>IFERROR(__xludf.DUMMYFUNCTION("""COMPUTED_VALUE"""),"70006642")</f>
        <v>70006642</v>
      </c>
      <c r="D11208" s="380" t="s">
        <v>767</v>
      </c>
      <c r="E11208" s="380" t="s">
        <v>786</v>
      </c>
      <c r="F11208" s="380" t="s">
        <v>787</v>
      </c>
      <c r="G11208" s="380" t="s">
        <v>1267</v>
      </c>
      <c r="H11208" s="380" t="s">
        <v>771</v>
      </c>
      <c r="I11208" s="380" t="s">
        <v>788</v>
      </c>
      <c r="J11208" s="380" t="s">
        <v>773</v>
      </c>
      <c r="K11208" s="381">
        <v>0.0</v>
      </c>
      <c r="L11208" s="382">
        <v>1.0</v>
      </c>
    </row>
    <row r="11209">
      <c r="A11209" s="380" t="s">
        <v>12083</v>
      </c>
      <c r="B11209" s="380" t="str">
        <f>IFERROR(__xludf.DUMMYFUNCTION("""COMPUTED_VALUE"""),"Tapa Selectora De Cambios FT 1129 770594")</f>
        <v>Tapa Selectora De Cambios FT 1129 770594</v>
      </c>
      <c r="C11209" s="380" t="str">
        <f>IFERROR(__xludf.DUMMYFUNCTION("""COMPUTED_VALUE"""),"70006643")</f>
        <v>70006643</v>
      </c>
      <c r="D11209" s="380" t="s">
        <v>767</v>
      </c>
      <c r="E11209" s="380" t="s">
        <v>786</v>
      </c>
      <c r="F11209" s="380" t="s">
        <v>928</v>
      </c>
      <c r="G11209" s="380" t="s">
        <v>1267</v>
      </c>
      <c r="H11209" s="380" t="s">
        <v>771</v>
      </c>
      <c r="I11209" s="380" t="s">
        <v>788</v>
      </c>
      <c r="J11209" s="380" t="s">
        <v>773</v>
      </c>
      <c r="K11209" s="381">
        <v>0.0</v>
      </c>
      <c r="L11209" s="382">
        <v>1.0</v>
      </c>
    </row>
    <row r="11210">
      <c r="A11210" s="380" t="s">
        <v>12084</v>
      </c>
      <c r="B11210" s="380" t="str">
        <f>IFERROR(__xludf.DUMMYFUNCTION("""COMPUTED_VALUE"""),"Caja Direccion Jac Jhr Jkr 3401000ld010")</f>
        <v>Caja Direccion Jac Jhr Jkr 3401000ld010</v>
      </c>
      <c r="C11210" s="380" t="str">
        <f>IFERROR(__xludf.DUMMYFUNCTION("""COMPUTED_VALUE"""),"70006644")</f>
        <v>70006644</v>
      </c>
      <c r="D11210" s="380" t="s">
        <v>767</v>
      </c>
      <c r="E11210" s="380" t="s">
        <v>786</v>
      </c>
      <c r="F11210" s="380" t="s">
        <v>1020</v>
      </c>
      <c r="G11210" s="380" t="s">
        <v>1267</v>
      </c>
      <c r="H11210" s="380" t="s">
        <v>771</v>
      </c>
      <c r="I11210" s="380" t="s">
        <v>788</v>
      </c>
      <c r="J11210" s="380" t="s">
        <v>773</v>
      </c>
      <c r="K11210" s="381">
        <v>0.0</v>
      </c>
      <c r="L11210" s="382">
        <v>1.0</v>
      </c>
    </row>
    <row r="11211">
      <c r="A11211" s="380" t="s">
        <v>12085</v>
      </c>
      <c r="B11211" s="380" t="str">
        <f>IFERROR(__xludf.DUMMYFUNCTION("""COMPUTED_VALUE"""),"Switch Desempañante Espejos KW T800 2007")</f>
        <v>Switch Desempañante Espejos KW T800 2007</v>
      </c>
      <c r="C11211" s="380" t="str">
        <f>IFERROR(__xludf.DUMMYFUNCTION("""COMPUTED_VALUE"""),"70006645")</f>
        <v>70006645</v>
      </c>
      <c r="D11211" s="380" t="s">
        <v>767</v>
      </c>
      <c r="E11211" s="380" t="s">
        <v>786</v>
      </c>
      <c r="F11211" s="380" t="s">
        <v>998</v>
      </c>
      <c r="G11211" s="380" t="s">
        <v>1267</v>
      </c>
      <c r="H11211" s="380" t="s">
        <v>771</v>
      </c>
      <c r="I11211" s="380" t="s">
        <v>788</v>
      </c>
      <c r="J11211" s="380" t="s">
        <v>773</v>
      </c>
      <c r="K11211" s="381">
        <v>0.0</v>
      </c>
      <c r="L11211" s="382">
        <v>1.0</v>
      </c>
    </row>
    <row r="11212">
      <c r="A11212" s="380" t="s">
        <v>12086</v>
      </c>
      <c r="B11212" s="380" t="str">
        <f>IFERROR(__xludf.DUMMYFUNCTION("""COMPUTED_VALUE"""),"Freno De Ahogo Jac Jhr Jkr 1203120ld300")</f>
        <v>Freno De Ahogo Jac Jhr Jkr 1203120ld300</v>
      </c>
      <c r="C11212" s="380" t="str">
        <f>IFERROR(__xludf.DUMMYFUNCTION("""COMPUTED_VALUE"""),"70006646")</f>
        <v>70006646</v>
      </c>
      <c r="D11212" s="380" t="s">
        <v>767</v>
      </c>
      <c r="E11212" s="380" t="s">
        <v>786</v>
      </c>
      <c r="F11212" s="380" t="s">
        <v>787</v>
      </c>
      <c r="G11212" s="380" t="s">
        <v>1267</v>
      </c>
      <c r="H11212" s="380" t="s">
        <v>771</v>
      </c>
      <c r="I11212" s="380" t="s">
        <v>788</v>
      </c>
      <c r="J11212" s="380" t="s">
        <v>773</v>
      </c>
      <c r="K11212" s="381">
        <v>0.0</v>
      </c>
      <c r="L11212" s="382">
        <v>1.0</v>
      </c>
    </row>
    <row r="11213">
      <c r="A11213" s="380" t="s">
        <v>12087</v>
      </c>
      <c r="B11213" s="380" t="str">
        <f>IFERROR(__xludf.DUMMYFUNCTION("""COMPUTED_VALUE"""),"Caja Direccion FT 1039 7701023085380")</f>
        <v>Caja Direccion FT 1039 7701023085380</v>
      </c>
      <c r="C11213" s="380" t="str">
        <f>IFERROR(__xludf.DUMMYFUNCTION("""COMPUTED_VALUE"""),"70006647")</f>
        <v>70006647</v>
      </c>
      <c r="D11213" s="380" t="s">
        <v>767</v>
      </c>
      <c r="E11213" s="380" t="s">
        <v>786</v>
      </c>
      <c r="F11213" s="380" t="s">
        <v>1020</v>
      </c>
      <c r="G11213" s="380" t="s">
        <v>1267</v>
      </c>
      <c r="H11213" s="380" t="s">
        <v>771</v>
      </c>
      <c r="I11213" s="380" t="s">
        <v>788</v>
      </c>
      <c r="J11213" s="380" t="s">
        <v>773</v>
      </c>
      <c r="K11213" s="381">
        <v>0.0</v>
      </c>
      <c r="L11213" s="382">
        <v>1.0</v>
      </c>
    </row>
    <row r="11214">
      <c r="A11214" s="380" t="s">
        <v>12088</v>
      </c>
      <c r="B11214" s="380" t="str">
        <f>IFERROR(__xludf.DUMMYFUNCTION("""COMPUTED_VALUE"""),"Abrazadera Tubo Llenado Aceite MOT Isx 3")</f>
        <v>Abrazadera Tubo Llenado Aceite MOT Isx 3</v>
      </c>
      <c r="C11214" s="380" t="str">
        <f>IFERROR(__xludf.DUMMYFUNCTION("""COMPUTED_VALUE"""),"70006648")</f>
        <v>70006648</v>
      </c>
      <c r="D11214" s="380" t="s">
        <v>767</v>
      </c>
      <c r="E11214" s="380" t="s">
        <v>786</v>
      </c>
      <c r="F11214" s="380" t="s">
        <v>787</v>
      </c>
      <c r="G11214" s="380" t="s">
        <v>1267</v>
      </c>
      <c r="H11214" s="380" t="s">
        <v>771</v>
      </c>
      <c r="I11214" s="380" t="s">
        <v>788</v>
      </c>
      <c r="J11214" s="380" t="s">
        <v>773</v>
      </c>
      <c r="K11214" s="381">
        <v>0.0</v>
      </c>
      <c r="L11214" s="382">
        <v>1.0</v>
      </c>
    </row>
    <row r="11215">
      <c r="A11215" s="380" t="s">
        <v>12089</v>
      </c>
      <c r="B11215" s="380" t="str">
        <f>IFERROR(__xludf.DUMMYFUNCTION("""COMPUTED_VALUE"""),"Respiradero Carter Motor X15 5679573")</f>
        <v>Respiradero Carter Motor X15 5679573</v>
      </c>
      <c r="C11215" s="380" t="str">
        <f>IFERROR(__xludf.DUMMYFUNCTION("""COMPUTED_VALUE"""),"70006649")</f>
        <v>70006649</v>
      </c>
      <c r="D11215" s="380" t="s">
        <v>767</v>
      </c>
      <c r="E11215" s="380" t="s">
        <v>786</v>
      </c>
      <c r="F11215" s="380" t="s">
        <v>787</v>
      </c>
      <c r="G11215" s="380" t="s">
        <v>1267</v>
      </c>
      <c r="H11215" s="380" t="s">
        <v>771</v>
      </c>
      <c r="I11215" s="380" t="s">
        <v>788</v>
      </c>
      <c r="J11215" s="380" t="s">
        <v>773</v>
      </c>
      <c r="K11215" s="381">
        <v>0.0</v>
      </c>
      <c r="L11215" s="382">
        <v>1.0</v>
      </c>
    </row>
    <row r="11216">
      <c r="A11216" s="380" t="s">
        <v>12090</v>
      </c>
      <c r="B11216" s="380" t="str">
        <f>IFERROR(__xludf.DUMMYFUNCTION("""COMPUTED_VALUE"""),"Adaptador Del Respiradero MOT X15 369232")</f>
        <v>Adaptador Del Respiradero MOT X15 369232</v>
      </c>
      <c r="C11216" s="380" t="str">
        <f>IFERROR(__xludf.DUMMYFUNCTION("""COMPUTED_VALUE"""),"70006650")</f>
        <v>70006650</v>
      </c>
      <c r="D11216" s="380" t="s">
        <v>767</v>
      </c>
      <c r="E11216" s="380" t="s">
        <v>786</v>
      </c>
      <c r="F11216" s="380" t="s">
        <v>787</v>
      </c>
      <c r="G11216" s="380" t="s">
        <v>1267</v>
      </c>
      <c r="H11216" s="380" t="s">
        <v>771</v>
      </c>
      <c r="I11216" s="380" t="s">
        <v>788</v>
      </c>
      <c r="J11216" s="380" t="s">
        <v>773</v>
      </c>
      <c r="K11216" s="381">
        <v>0.0</v>
      </c>
      <c r="L11216" s="382">
        <v>1.0</v>
      </c>
    </row>
    <row r="11217">
      <c r="A11217" s="380" t="s">
        <v>12091</v>
      </c>
      <c r="B11217" s="380" t="str">
        <f>IFERROR(__xludf.DUMMYFUNCTION("""COMPUTED_VALUE"""),"SENS CTRL Velocidad A/C MCK Anthem 85115")</f>
        <v>SENS CTRL Velocidad A/C MCK Anthem 85115</v>
      </c>
      <c r="C11217" s="380" t="str">
        <f>IFERROR(__xludf.DUMMYFUNCTION("""COMPUTED_VALUE"""),"70006651")</f>
        <v>70006651</v>
      </c>
      <c r="D11217" s="380" t="s">
        <v>767</v>
      </c>
      <c r="E11217" s="380" t="s">
        <v>786</v>
      </c>
      <c r="F11217" s="380" t="s">
        <v>998</v>
      </c>
      <c r="G11217" s="380" t="s">
        <v>1267</v>
      </c>
      <c r="H11217" s="380" t="s">
        <v>771</v>
      </c>
      <c r="I11217" s="380" t="s">
        <v>788</v>
      </c>
      <c r="J11217" s="380" t="s">
        <v>773</v>
      </c>
      <c r="K11217" s="381">
        <v>0.0</v>
      </c>
      <c r="L11217" s="382">
        <v>1.0</v>
      </c>
    </row>
    <row r="11218">
      <c r="A11218" s="380" t="s">
        <v>12092</v>
      </c>
      <c r="B11218" s="380" t="str">
        <f>IFERROR(__xludf.DUMMYFUNCTION("""COMPUTED_VALUE"""),"Tapa Carcasa Distribución MOT X15 369101")</f>
        <v>Tapa Carcasa Distribución MOT X15 369101</v>
      </c>
      <c r="C11218" s="380" t="str">
        <f>IFERROR(__xludf.DUMMYFUNCTION("""COMPUTED_VALUE"""),"70006652")</f>
        <v>70006652</v>
      </c>
      <c r="D11218" s="380" t="s">
        <v>767</v>
      </c>
      <c r="E11218" s="380" t="s">
        <v>786</v>
      </c>
      <c r="F11218" s="380" t="s">
        <v>787</v>
      </c>
      <c r="G11218" s="380" t="s">
        <v>1267</v>
      </c>
      <c r="H11218" s="380" t="s">
        <v>771</v>
      </c>
      <c r="I11218" s="380" t="s">
        <v>788</v>
      </c>
      <c r="J11218" s="380" t="s">
        <v>773</v>
      </c>
      <c r="K11218" s="381">
        <v>0.0</v>
      </c>
      <c r="L11218" s="382">
        <v>1.0</v>
      </c>
    </row>
    <row r="11219">
      <c r="A11219" s="380" t="s">
        <v>12093</v>
      </c>
      <c r="B11219" s="380" t="str">
        <f>IFERROR(__xludf.DUMMYFUNCTION("""COMPUTED_VALUE"""),"Ducto Turbo - Carcasa FILT AIR INT Lt 41")</f>
        <v>Ducto Turbo - Carcasa FILT AIR INT Lt 41</v>
      </c>
      <c r="C11219" s="380" t="str">
        <f>IFERROR(__xludf.DUMMYFUNCTION("""COMPUTED_VALUE"""),"70006653")</f>
        <v>70006653</v>
      </c>
      <c r="D11219" s="380" t="s">
        <v>767</v>
      </c>
      <c r="E11219" s="380" t="s">
        <v>786</v>
      </c>
      <c r="F11219" s="380" t="s">
        <v>787</v>
      </c>
      <c r="G11219" s="380" t="s">
        <v>1267</v>
      </c>
      <c r="H11219" s="380" t="s">
        <v>771</v>
      </c>
      <c r="I11219" s="380" t="s">
        <v>788</v>
      </c>
      <c r="J11219" s="380" t="s">
        <v>773</v>
      </c>
      <c r="K11219" s="381">
        <v>0.0</v>
      </c>
      <c r="L11219" s="382">
        <v>1.0</v>
      </c>
    </row>
    <row r="11220">
      <c r="A11220" s="380" t="s">
        <v>12094</v>
      </c>
      <c r="B11220" s="380" t="str">
        <f>IFERROR(__xludf.DUMMYFUNCTION("""COMPUTED_VALUE"""),"Tubo Codo INF Escape MCK Anthem 21801778")</f>
        <v>Tubo Codo INF Escape MCK Anthem 21801778</v>
      </c>
      <c r="C11220" s="380" t="str">
        <f>IFERROR(__xludf.DUMMYFUNCTION("""COMPUTED_VALUE"""),"70006654")</f>
        <v>70006654</v>
      </c>
      <c r="D11220" s="380" t="s">
        <v>767</v>
      </c>
      <c r="E11220" s="380" t="s">
        <v>786</v>
      </c>
      <c r="F11220" s="380" t="s">
        <v>787</v>
      </c>
      <c r="G11220" s="380" t="s">
        <v>1267</v>
      </c>
      <c r="H11220" s="380" t="s">
        <v>771</v>
      </c>
      <c r="I11220" s="380" t="s">
        <v>788</v>
      </c>
      <c r="J11220" s="380" t="s">
        <v>773</v>
      </c>
      <c r="K11220" s="381">
        <v>1031730.0</v>
      </c>
      <c r="L11220" s="382">
        <v>1.0</v>
      </c>
    </row>
    <row r="11221">
      <c r="A11221" s="380" t="s">
        <v>12095</v>
      </c>
      <c r="B11221" s="380" t="str">
        <f>IFERROR(__xludf.DUMMYFUNCTION("""COMPUTED_VALUE"""),"Cacho Direccion Derecho Eagle 9400 A2311")</f>
        <v>Cacho Direccion Derecho Eagle 9400 A2311</v>
      </c>
      <c r="C11221" s="380" t="str">
        <f>IFERROR(__xludf.DUMMYFUNCTION("""COMPUTED_VALUE"""),"70006655")</f>
        <v>70006655</v>
      </c>
      <c r="D11221" s="380" t="s">
        <v>767</v>
      </c>
      <c r="E11221" s="380" t="s">
        <v>786</v>
      </c>
      <c r="F11221" s="380" t="s">
        <v>1020</v>
      </c>
      <c r="G11221" s="380" t="s">
        <v>1267</v>
      </c>
      <c r="H11221" s="380" t="s">
        <v>771</v>
      </c>
      <c r="I11221" s="380" t="s">
        <v>788</v>
      </c>
      <c r="J11221" s="380" t="s">
        <v>773</v>
      </c>
      <c r="K11221" s="381">
        <v>0.0</v>
      </c>
      <c r="L11221" s="382">
        <v>1.0</v>
      </c>
    </row>
    <row r="11222">
      <c r="A11222" s="380" t="s">
        <v>12096</v>
      </c>
      <c r="B11222" s="380" t="str">
        <f>IFERROR(__xludf.DUMMYFUNCTION("""COMPUTED_VALUE"""),"Manija Externa PTA Iz FT 1065 7700149051")</f>
        <v>Manija Externa PTA Iz FT 1065 7700149051</v>
      </c>
      <c r="C11222" s="380" t="str">
        <f>IFERROR(__xludf.DUMMYFUNCTION("""COMPUTED_VALUE"""),"70006656")</f>
        <v>70006656</v>
      </c>
      <c r="D11222" s="380" t="s">
        <v>767</v>
      </c>
      <c r="E11222" s="380" t="s">
        <v>786</v>
      </c>
      <c r="F11222" s="380" t="s">
        <v>792</v>
      </c>
      <c r="G11222" s="380" t="s">
        <v>1267</v>
      </c>
      <c r="H11222" s="380" t="s">
        <v>771</v>
      </c>
      <c r="I11222" s="380" t="s">
        <v>788</v>
      </c>
      <c r="J11222" s="380" t="s">
        <v>773</v>
      </c>
      <c r="K11222" s="381">
        <v>0.0</v>
      </c>
      <c r="L11222" s="382">
        <v>1.0</v>
      </c>
    </row>
    <row r="11223">
      <c r="A11223" s="380" t="s">
        <v>12097</v>
      </c>
      <c r="B11223" s="380" t="str">
        <f>IFERROR(__xludf.DUMMYFUNCTION("""COMPUTED_VALUE"""),"Tuerca Bocin DEL Daf Cf 480 1396606")</f>
        <v>Tuerca Bocin DEL Daf Cf 480 1396606</v>
      </c>
      <c r="C11223" s="380" t="str">
        <f>IFERROR(__xludf.DUMMYFUNCTION("""COMPUTED_VALUE"""),"70006657")</f>
        <v>70006657</v>
      </c>
      <c r="D11223" s="380" t="s">
        <v>767</v>
      </c>
      <c r="E11223" s="380" t="s">
        <v>786</v>
      </c>
      <c r="F11223" s="380" t="s">
        <v>1017</v>
      </c>
      <c r="G11223" s="380" t="s">
        <v>1267</v>
      </c>
      <c r="H11223" s="380" t="s">
        <v>771</v>
      </c>
      <c r="I11223" s="380" t="s">
        <v>788</v>
      </c>
      <c r="J11223" s="380" t="s">
        <v>773</v>
      </c>
      <c r="K11223" s="381">
        <v>0.0</v>
      </c>
      <c r="L11223" s="382">
        <v>1.0</v>
      </c>
    </row>
    <row r="11224">
      <c r="A11224" s="380" t="s">
        <v>12098</v>
      </c>
      <c r="B11224" s="380" t="str">
        <f>IFERROR(__xludf.DUMMYFUNCTION("""COMPUTED_VALUE"""),"FILT De Aceite FT Emt Ast MOT X13 Lf1400")</f>
        <v>FILT De Aceite FT Emt Ast MOT X13 Lf1400</v>
      </c>
      <c r="C11224" s="380" t="str">
        <f>IFERROR(__xludf.DUMMYFUNCTION("""COMPUTED_VALUE"""),"70006658")</f>
        <v>70006658</v>
      </c>
      <c r="D11224" s="380" t="s">
        <v>767</v>
      </c>
      <c r="E11224" s="380" t="s">
        <v>786</v>
      </c>
      <c r="F11224" s="380" t="s">
        <v>5855</v>
      </c>
      <c r="G11224" s="380" t="s">
        <v>1267</v>
      </c>
      <c r="H11224" s="380" t="s">
        <v>771</v>
      </c>
      <c r="I11224" s="380" t="s">
        <v>788</v>
      </c>
      <c r="J11224" s="380" t="s">
        <v>773</v>
      </c>
      <c r="K11224" s="381">
        <v>0.0</v>
      </c>
      <c r="L11224" s="382">
        <v>1.0</v>
      </c>
    </row>
    <row r="11225">
      <c r="A11225" s="380" t="s">
        <v>12099</v>
      </c>
      <c r="B11225" s="380" t="str">
        <f>IFERROR(__xludf.DUMMYFUNCTION("""COMPUTED_VALUE"""),"FILT COMB FT Est Amt MOT X13 H4110000005")</f>
        <v>FILT COMB FT Est Amt MOT X13 H4110000005</v>
      </c>
      <c r="C11225" s="380" t="str">
        <f>IFERROR(__xludf.DUMMYFUNCTION("""COMPUTED_VALUE"""),"70006659")</f>
        <v>70006659</v>
      </c>
      <c r="D11225" s="380" t="s">
        <v>767</v>
      </c>
      <c r="E11225" s="380" t="s">
        <v>786</v>
      </c>
      <c r="F11225" s="380" t="s">
        <v>5855</v>
      </c>
      <c r="G11225" s="380" t="s">
        <v>1267</v>
      </c>
      <c r="H11225" s="380" t="s">
        <v>771</v>
      </c>
      <c r="I11225" s="380" t="s">
        <v>788</v>
      </c>
      <c r="J11225" s="380" t="s">
        <v>773</v>
      </c>
      <c r="K11225" s="381">
        <v>368549.0</v>
      </c>
      <c r="L11225" s="382">
        <v>1.0</v>
      </c>
    </row>
    <row r="11226">
      <c r="A11226" s="380" t="s">
        <v>12100</v>
      </c>
      <c r="B11226" s="380" t="str">
        <f>IFERROR(__xludf.DUMMYFUNCTION("""COMPUTED_VALUE"""),"FILT Separador COMB FT Est Amt Fs53040nn")</f>
        <v>FILT Separador COMB FT Est Amt Fs53040nn</v>
      </c>
      <c r="C11226" s="380" t="str">
        <f>IFERROR(__xludf.DUMMYFUNCTION("""COMPUTED_VALUE"""),"70006660")</f>
        <v>70006660</v>
      </c>
      <c r="D11226" s="380" t="s">
        <v>767</v>
      </c>
      <c r="E11226" s="380" t="s">
        <v>786</v>
      </c>
      <c r="F11226" s="380" t="s">
        <v>5855</v>
      </c>
      <c r="G11226" s="380" t="s">
        <v>1267</v>
      </c>
      <c r="H11226" s="380" t="s">
        <v>771</v>
      </c>
      <c r="I11226" s="380" t="s">
        <v>788</v>
      </c>
      <c r="J11226" s="380" t="s">
        <v>773</v>
      </c>
      <c r="K11226" s="381">
        <v>303307.0</v>
      </c>
      <c r="L11226" s="382">
        <v>1.0</v>
      </c>
    </row>
    <row r="11227">
      <c r="A11227" s="380" t="s">
        <v>12101</v>
      </c>
      <c r="B11227" s="380" t="str">
        <f>IFERROR(__xludf.DUMMYFUNCTION("""COMPUTED_VALUE"""),"Kit FILT AIR FT Est Amt H411900001225zh")</f>
        <v>Kit FILT AIR FT Est Amt H411900001225zh</v>
      </c>
      <c r="C11227" s="380" t="str">
        <f>IFERROR(__xludf.DUMMYFUNCTION("""COMPUTED_VALUE"""),"70006661")</f>
        <v>70006661</v>
      </c>
      <c r="D11227" s="380" t="s">
        <v>767</v>
      </c>
      <c r="E11227" s="380" t="s">
        <v>786</v>
      </c>
      <c r="F11227" s="380" t="s">
        <v>5855</v>
      </c>
      <c r="G11227" s="380" t="s">
        <v>1267</v>
      </c>
      <c r="H11227" s="380" t="s">
        <v>771</v>
      </c>
      <c r="I11227" s="380" t="s">
        <v>788</v>
      </c>
      <c r="J11227" s="380" t="s">
        <v>773</v>
      </c>
      <c r="K11227" s="381">
        <v>393838.0</v>
      </c>
      <c r="L11227" s="382">
        <v>1.0</v>
      </c>
    </row>
    <row r="11228">
      <c r="A11228" s="380" t="s">
        <v>12102</v>
      </c>
      <c r="B11228" s="380" t="str">
        <f>IFERROR(__xludf.DUMMYFUNCTION("""COMPUTED_VALUE"""),"Filtro De Aceite Eagle Y Kenworth Fleetr")</f>
        <v>Filtro De Aceite Eagle Y Kenworth Fleetr</v>
      </c>
      <c r="C11228" s="380" t="str">
        <f>IFERROR(__xludf.DUMMYFUNCTION("""COMPUTED_VALUE"""),"70006662")</f>
        <v>70006662</v>
      </c>
      <c r="D11228" s="380" t="s">
        <v>767</v>
      </c>
      <c r="E11228" s="380" t="s">
        <v>786</v>
      </c>
      <c r="F11228" s="380" t="s">
        <v>5855</v>
      </c>
      <c r="G11228" s="380" t="s">
        <v>1267</v>
      </c>
      <c r="H11228" s="380" t="s">
        <v>771</v>
      </c>
      <c r="I11228" s="380" t="s">
        <v>788</v>
      </c>
      <c r="J11228" s="380" t="s">
        <v>773</v>
      </c>
      <c r="K11228" s="381">
        <v>122584.0</v>
      </c>
      <c r="L11228" s="382">
        <v>1.0</v>
      </c>
    </row>
    <row r="11229">
      <c r="A11229" s="380" t="s">
        <v>12103</v>
      </c>
      <c r="B11229" s="380" t="str">
        <f>IFERROR(__xludf.DUMMYFUNCTION("""COMPUTED_VALUE"""),"Cigueñal Motor Chevrolet Npr 8971129813")</f>
        <v>Cigueñal Motor Chevrolet Npr 8971129813</v>
      </c>
      <c r="C11229" s="380" t="str">
        <f>IFERROR(__xludf.DUMMYFUNCTION("""COMPUTED_VALUE"""),"70006663")</f>
        <v>70006663</v>
      </c>
      <c r="D11229" s="380" t="s">
        <v>767</v>
      </c>
      <c r="E11229" s="380" t="s">
        <v>786</v>
      </c>
      <c r="F11229" s="380" t="s">
        <v>787</v>
      </c>
      <c r="G11229" s="380" t="s">
        <v>1267</v>
      </c>
      <c r="H11229" s="380" t="s">
        <v>771</v>
      </c>
      <c r="I11229" s="380" t="s">
        <v>788</v>
      </c>
      <c r="J11229" s="380" t="s">
        <v>773</v>
      </c>
      <c r="K11229" s="381">
        <v>0.0</v>
      </c>
      <c r="L11229" s="382">
        <v>1.0</v>
      </c>
    </row>
    <row r="11230">
      <c r="A11230" s="380" t="s">
        <v>12104</v>
      </c>
      <c r="B11230" s="380" t="str">
        <f>IFERROR(__xludf.DUMMYFUNCTION("""COMPUTED_VALUE"""),"Amortiguador + Resorte Del Dere FT 1030")</f>
        <v>Amortiguador + Resorte Del Dere FT 1030</v>
      </c>
      <c r="C11230" s="380" t="str">
        <f>IFERROR(__xludf.DUMMYFUNCTION("""COMPUTED_VALUE"""),"70006664")</f>
        <v>70006664</v>
      </c>
      <c r="D11230" s="380" t="s">
        <v>767</v>
      </c>
      <c r="E11230" s="380" t="s">
        <v>786</v>
      </c>
      <c r="F11230" s="380" t="s">
        <v>792</v>
      </c>
      <c r="G11230" s="380" t="s">
        <v>1267</v>
      </c>
      <c r="H11230" s="380" t="s">
        <v>771</v>
      </c>
      <c r="I11230" s="380" t="s">
        <v>788</v>
      </c>
      <c r="J11230" s="380" t="s">
        <v>773</v>
      </c>
      <c r="K11230" s="381">
        <v>0.0</v>
      </c>
      <c r="L11230" s="382">
        <v>1.0</v>
      </c>
    </row>
    <row r="11231">
      <c r="A11231" s="380" t="s">
        <v>12105</v>
      </c>
      <c r="B11231" s="380" t="str">
        <f>IFERROR(__xludf.DUMMYFUNCTION("""COMPUTED_VALUE"""),"Parabrisas Laminado FT Est Amt H45210000")</f>
        <v>Parabrisas Laminado FT Est Amt H45210000</v>
      </c>
      <c r="C11231" s="380" t="str">
        <f>IFERROR(__xludf.DUMMYFUNCTION("""COMPUTED_VALUE"""),"70006665")</f>
        <v>70006665</v>
      </c>
      <c r="D11231" s="380" t="s">
        <v>767</v>
      </c>
      <c r="E11231" s="380" t="s">
        <v>786</v>
      </c>
      <c r="F11231" s="380" t="s">
        <v>792</v>
      </c>
      <c r="G11231" s="380" t="s">
        <v>1267</v>
      </c>
      <c r="H11231" s="380" t="s">
        <v>771</v>
      </c>
      <c r="I11231" s="380" t="s">
        <v>788</v>
      </c>
      <c r="J11231" s="380" t="s">
        <v>773</v>
      </c>
      <c r="K11231" s="381">
        <v>0.0</v>
      </c>
      <c r="L11231" s="382">
        <v>1.0</v>
      </c>
    </row>
    <row r="11232">
      <c r="A11232" s="380" t="s">
        <v>12106</v>
      </c>
      <c r="B11232" s="380" t="str">
        <f>IFERROR(__xludf.DUMMYFUNCTION("""COMPUTED_VALUE"""),"FILT De AIR Donsson Da3113 Planta ELEC")</f>
        <v>FILT De AIR Donsson Da3113 Planta ELEC</v>
      </c>
      <c r="C11232" s="380" t="str">
        <f>IFERROR(__xludf.DUMMYFUNCTION("""COMPUTED_VALUE"""),"70006666")</f>
        <v>70006666</v>
      </c>
      <c r="D11232" s="380" t="s">
        <v>767</v>
      </c>
      <c r="E11232" s="380" t="s">
        <v>786</v>
      </c>
      <c r="F11232" s="380" t="s">
        <v>5855</v>
      </c>
      <c r="G11232" s="380" t="s">
        <v>1267</v>
      </c>
      <c r="H11232" s="380" t="s">
        <v>771</v>
      </c>
      <c r="I11232" s="380" t="s">
        <v>788</v>
      </c>
      <c r="J11232" s="380" t="s">
        <v>773</v>
      </c>
      <c r="K11232" s="381">
        <v>0.0</v>
      </c>
      <c r="L11232" s="382">
        <v>1.0</v>
      </c>
    </row>
    <row r="11233">
      <c r="A11233" s="380" t="s">
        <v>12107</v>
      </c>
      <c r="B11233" s="380" t="str">
        <f>IFERROR(__xludf.DUMMYFUNCTION("""COMPUTED_VALUE"""),"FILT De AIR Donsson Da2695 Planta ELEC")</f>
        <v>FILT De AIR Donsson Da2695 Planta ELEC</v>
      </c>
      <c r="C11233" s="380" t="str">
        <f>IFERROR(__xludf.DUMMYFUNCTION("""COMPUTED_VALUE"""),"70006667")</f>
        <v>70006667</v>
      </c>
      <c r="D11233" s="380" t="s">
        <v>767</v>
      </c>
      <c r="E11233" s="380" t="s">
        <v>786</v>
      </c>
      <c r="F11233" s="380" t="s">
        <v>5855</v>
      </c>
      <c r="G11233" s="380" t="s">
        <v>1267</v>
      </c>
      <c r="H11233" s="380" t="s">
        <v>771</v>
      </c>
      <c r="I11233" s="380" t="s">
        <v>788</v>
      </c>
      <c r="J11233" s="380" t="s">
        <v>773</v>
      </c>
      <c r="K11233" s="381">
        <v>0.0</v>
      </c>
      <c r="L11233" s="382">
        <v>1.0</v>
      </c>
    </row>
    <row r="11234">
      <c r="A11234" s="380" t="s">
        <v>12108</v>
      </c>
      <c r="B11234" s="380" t="str">
        <f>IFERROR(__xludf.DUMMYFUNCTION("""COMPUTED_VALUE"""),"FILT De AIR Af25539 O Perkins 26510362")</f>
        <v>FILT De AIR Af25539 O Perkins 26510362</v>
      </c>
      <c r="C11234" s="380" t="str">
        <f>IFERROR(__xludf.DUMMYFUNCTION("""COMPUTED_VALUE"""),"70006668")</f>
        <v>70006668</v>
      </c>
      <c r="D11234" s="380" t="s">
        <v>767</v>
      </c>
      <c r="E11234" s="380" t="s">
        <v>786</v>
      </c>
      <c r="F11234" s="380" t="s">
        <v>5855</v>
      </c>
      <c r="G11234" s="380" t="s">
        <v>1267</v>
      </c>
      <c r="H11234" s="380" t="s">
        <v>771</v>
      </c>
      <c r="I11234" s="380" t="s">
        <v>788</v>
      </c>
      <c r="J11234" s="380" t="s">
        <v>773</v>
      </c>
      <c r="K11234" s="381">
        <v>0.0</v>
      </c>
      <c r="L11234" s="382">
        <v>1.0</v>
      </c>
    </row>
    <row r="11235">
      <c r="A11235" s="380" t="s">
        <v>12109</v>
      </c>
      <c r="B11235" s="380" t="str">
        <f>IFERROR(__xludf.DUMMYFUNCTION("""COMPUTED_VALUE"""),"Filtro De Aire Af 4060 Planta Electrica")</f>
        <v>Filtro De Aire Af 4060 Planta Electrica</v>
      </c>
      <c r="C11235" s="380" t="str">
        <f>IFERROR(__xludf.DUMMYFUNCTION("""COMPUTED_VALUE"""),"70006669")</f>
        <v>70006669</v>
      </c>
      <c r="D11235" s="380" t="s">
        <v>767</v>
      </c>
      <c r="E11235" s="380" t="s">
        <v>786</v>
      </c>
      <c r="F11235" s="380" t="s">
        <v>5855</v>
      </c>
      <c r="G11235" s="380" t="s">
        <v>1267</v>
      </c>
      <c r="H11235" s="380" t="s">
        <v>771</v>
      </c>
      <c r="I11235" s="380" t="s">
        <v>788</v>
      </c>
      <c r="J11235" s="380" t="s">
        <v>773</v>
      </c>
      <c r="K11235" s="381">
        <v>0.0</v>
      </c>
      <c r="L11235" s="382">
        <v>1.0</v>
      </c>
    </row>
    <row r="11236">
      <c r="A11236" s="380" t="s">
        <v>12110</v>
      </c>
      <c r="B11236" s="380" t="str">
        <f>IFERROR(__xludf.DUMMYFUNCTION("""COMPUTED_VALUE"""),"FILT De AIR Af26207 O Rs4989 Planta ELEC")</f>
        <v>FILT De AIR Af26207 O Rs4989 Planta ELEC</v>
      </c>
      <c r="C11236" s="380" t="str">
        <f>IFERROR(__xludf.DUMMYFUNCTION("""COMPUTED_VALUE"""),"70006670")</f>
        <v>70006670</v>
      </c>
      <c r="D11236" s="380" t="s">
        <v>767</v>
      </c>
      <c r="E11236" s="380" t="s">
        <v>786</v>
      </c>
      <c r="F11236" s="380" t="s">
        <v>5855</v>
      </c>
      <c r="G11236" s="380" t="s">
        <v>1267</v>
      </c>
      <c r="H11236" s="380" t="s">
        <v>771</v>
      </c>
      <c r="I11236" s="380" t="s">
        <v>788</v>
      </c>
      <c r="J11236" s="380" t="s">
        <v>773</v>
      </c>
      <c r="K11236" s="381">
        <v>0.0</v>
      </c>
      <c r="L11236" s="382">
        <v>1.0</v>
      </c>
    </row>
    <row r="11237">
      <c r="A11237" s="380" t="s">
        <v>12111</v>
      </c>
      <c r="B11237" s="380" t="str">
        <f>IFERROR(__xludf.DUMMYFUNCTION("""COMPUTED_VALUE"""),"Filtro De Aceite Lf699 Planta Electrica")</f>
        <v>Filtro De Aceite Lf699 Planta Electrica</v>
      </c>
      <c r="C11237" s="380" t="str">
        <f>IFERROR(__xludf.DUMMYFUNCTION("""COMPUTED_VALUE"""),"70006671")</f>
        <v>70006671</v>
      </c>
      <c r="D11237" s="380" t="s">
        <v>767</v>
      </c>
      <c r="E11237" s="380" t="s">
        <v>786</v>
      </c>
      <c r="F11237" s="380" t="s">
        <v>5855</v>
      </c>
      <c r="G11237" s="380" t="s">
        <v>1267</v>
      </c>
      <c r="H11237" s="380" t="s">
        <v>771</v>
      </c>
      <c r="I11237" s="380" t="s">
        <v>788</v>
      </c>
      <c r="J11237" s="380" t="s">
        <v>773</v>
      </c>
      <c r="K11237" s="381">
        <v>0.0</v>
      </c>
      <c r="L11237" s="382">
        <v>1.0</v>
      </c>
    </row>
    <row r="11238">
      <c r="A11238" s="380" t="s">
        <v>12112</v>
      </c>
      <c r="B11238" s="380" t="str">
        <f>IFERROR(__xludf.DUMMYFUNCTION("""COMPUTED_VALUE"""),"Camisilla Inyector X15")</f>
        <v>Camisilla Inyector X15</v>
      </c>
      <c r="C11238" s="380" t="str">
        <f>IFERROR(__xludf.DUMMYFUNCTION("""COMPUTED_VALUE"""),"70006672")</f>
        <v>70006672</v>
      </c>
      <c r="D11238" s="380" t="s">
        <v>767</v>
      </c>
      <c r="E11238" s="380" t="s">
        <v>786</v>
      </c>
      <c r="F11238" s="380" t="s">
        <v>787</v>
      </c>
      <c r="G11238" s="380" t="s">
        <v>1267</v>
      </c>
      <c r="H11238" s="380" t="s">
        <v>771</v>
      </c>
      <c r="I11238" s="380" t="s">
        <v>788</v>
      </c>
      <c r="J11238" s="380" t="s">
        <v>773</v>
      </c>
      <c r="K11238" s="381">
        <v>0.0</v>
      </c>
      <c r="L11238" s="382">
        <v>1.0</v>
      </c>
    </row>
    <row r="11239">
      <c r="A11239" s="380" t="s">
        <v>12113</v>
      </c>
      <c r="B11239" s="380" t="str">
        <f>IFERROR(__xludf.DUMMYFUNCTION("""COMPUTED_VALUE"""),"FILT De Aceite Perkins Ch10929 Planta EL")</f>
        <v>FILT De Aceite Perkins Ch10929 Planta EL</v>
      </c>
      <c r="C11239" s="380" t="str">
        <f>IFERROR(__xludf.DUMMYFUNCTION("""COMPUTED_VALUE"""),"70006673")</f>
        <v>70006673</v>
      </c>
      <c r="D11239" s="380" t="s">
        <v>767</v>
      </c>
      <c r="E11239" s="380" t="s">
        <v>786</v>
      </c>
      <c r="F11239" s="380" t="s">
        <v>5855</v>
      </c>
      <c r="G11239" s="380" t="s">
        <v>1267</v>
      </c>
      <c r="H11239" s="380" t="s">
        <v>771</v>
      </c>
      <c r="I11239" s="380" t="s">
        <v>788</v>
      </c>
      <c r="J11239" s="380" t="s">
        <v>773</v>
      </c>
      <c r="K11239" s="381">
        <v>0.0</v>
      </c>
      <c r="L11239" s="382">
        <v>1.0</v>
      </c>
    </row>
    <row r="11240">
      <c r="A11240" s="380" t="s">
        <v>12114</v>
      </c>
      <c r="B11240" s="380" t="str">
        <f>IFERROR(__xludf.DUMMYFUNCTION("""COMPUTED_VALUE"""),"FILT De COMB Planta ELEC Ff5040")</f>
        <v>FILT De COMB Planta ELEC Ff5040</v>
      </c>
      <c r="C11240" s="380" t="str">
        <f>IFERROR(__xludf.DUMMYFUNCTION("""COMPUTED_VALUE"""),"70006674")</f>
        <v>70006674</v>
      </c>
      <c r="D11240" s="380" t="s">
        <v>767</v>
      </c>
      <c r="E11240" s="380" t="s">
        <v>786</v>
      </c>
      <c r="F11240" s="380" t="s">
        <v>5855</v>
      </c>
      <c r="G11240" s="380" t="s">
        <v>1267</v>
      </c>
      <c r="H11240" s="380" t="s">
        <v>771</v>
      </c>
      <c r="I11240" s="380" t="s">
        <v>788</v>
      </c>
      <c r="J11240" s="380" t="s">
        <v>773</v>
      </c>
      <c r="K11240" s="381">
        <v>0.0</v>
      </c>
      <c r="L11240" s="382">
        <v>1.0</v>
      </c>
    </row>
    <row r="11241">
      <c r="A11241" s="380" t="s">
        <v>12115</v>
      </c>
      <c r="B11241" s="380" t="str">
        <f>IFERROR(__xludf.DUMMYFUNCTION("""COMPUTED_VALUE"""),"FILT De COMB PRIM Perkins Ch10930")</f>
        <v>FILT De COMB PRIM Perkins Ch10930</v>
      </c>
      <c r="C11241" s="380" t="str">
        <f>IFERROR(__xludf.DUMMYFUNCTION("""COMPUTED_VALUE"""),"70006675")</f>
        <v>70006675</v>
      </c>
      <c r="D11241" s="380" t="s">
        <v>767</v>
      </c>
      <c r="E11241" s="380" t="s">
        <v>786</v>
      </c>
      <c r="F11241" s="380" t="s">
        <v>5855</v>
      </c>
      <c r="G11241" s="380" t="s">
        <v>1267</v>
      </c>
      <c r="H11241" s="380" t="s">
        <v>771</v>
      </c>
      <c r="I11241" s="380" t="s">
        <v>788</v>
      </c>
      <c r="J11241" s="380" t="s">
        <v>773</v>
      </c>
      <c r="K11241" s="381">
        <v>0.0</v>
      </c>
      <c r="L11241" s="382">
        <v>1.0</v>
      </c>
    </row>
    <row r="11242">
      <c r="A11242" s="380" t="s">
        <v>12116</v>
      </c>
      <c r="B11242" s="380" t="str">
        <f>IFERROR(__xludf.DUMMYFUNCTION("""COMPUTED_VALUE"""),"FILT De COMB Secundario Perkins Ch10931")</f>
        <v>FILT De COMB Secundario Perkins Ch10931</v>
      </c>
      <c r="C11242" s="380" t="str">
        <f>IFERROR(__xludf.DUMMYFUNCTION("""COMPUTED_VALUE"""),"70006676")</f>
        <v>70006676</v>
      </c>
      <c r="D11242" s="380" t="s">
        <v>767</v>
      </c>
      <c r="E11242" s="380" t="s">
        <v>786</v>
      </c>
      <c r="F11242" s="380" t="s">
        <v>5855</v>
      </c>
      <c r="G11242" s="380" t="s">
        <v>1267</v>
      </c>
      <c r="H11242" s="380" t="s">
        <v>771</v>
      </c>
      <c r="I11242" s="380" t="s">
        <v>788</v>
      </c>
      <c r="J11242" s="380" t="s">
        <v>773</v>
      </c>
      <c r="K11242" s="381">
        <v>0.0</v>
      </c>
      <c r="L11242" s="382">
        <v>1.0</v>
      </c>
    </row>
    <row r="11243">
      <c r="A11243" s="380" t="s">
        <v>12117</v>
      </c>
      <c r="B11243" s="380" t="str">
        <f>IFERROR(__xludf.DUMMYFUNCTION("""COMPUTED_VALUE"""),"Adaptador Entrada De Aire X15 4316715")</f>
        <v>Adaptador Entrada De Aire X15 4316715</v>
      </c>
      <c r="C11243" s="380" t="str">
        <f>IFERROR(__xludf.DUMMYFUNCTION("""COMPUTED_VALUE"""),"70006677")</f>
        <v>70006677</v>
      </c>
      <c r="D11243" s="380" t="s">
        <v>767</v>
      </c>
      <c r="E11243" s="380" t="s">
        <v>786</v>
      </c>
      <c r="F11243" s="380" t="s">
        <v>787</v>
      </c>
      <c r="G11243" s="380" t="s">
        <v>1267</v>
      </c>
      <c r="H11243" s="380" t="s">
        <v>771</v>
      </c>
      <c r="I11243" s="380" t="s">
        <v>788</v>
      </c>
      <c r="J11243" s="380" t="s">
        <v>773</v>
      </c>
      <c r="K11243" s="381">
        <v>0.0</v>
      </c>
      <c r="L11243" s="382">
        <v>1.0</v>
      </c>
    </row>
    <row r="11244">
      <c r="A11244" s="380" t="s">
        <v>12118</v>
      </c>
      <c r="B11244" s="380" t="str">
        <f>IFERROR(__xludf.DUMMYFUNCTION("""COMPUTED_VALUE"""),"Multiple De Admision X15 5440760")</f>
        <v>Multiple De Admision X15 5440760</v>
      </c>
      <c r="C11244" s="380" t="str">
        <f>IFERROR(__xludf.DUMMYFUNCTION("""COMPUTED_VALUE"""),"70006678")</f>
        <v>70006678</v>
      </c>
      <c r="D11244" s="380" t="s">
        <v>767</v>
      </c>
      <c r="E11244" s="380" t="s">
        <v>786</v>
      </c>
      <c r="F11244" s="380" t="s">
        <v>787</v>
      </c>
      <c r="G11244" s="380" t="s">
        <v>1267</v>
      </c>
      <c r="H11244" s="380" t="s">
        <v>771</v>
      </c>
      <c r="I11244" s="380" t="s">
        <v>788</v>
      </c>
      <c r="J11244" s="380" t="s">
        <v>773</v>
      </c>
      <c r="K11244" s="381">
        <v>0.0</v>
      </c>
      <c r="L11244" s="382">
        <v>1.0</v>
      </c>
    </row>
    <row r="11245">
      <c r="A11245" s="380" t="s">
        <v>12119</v>
      </c>
      <c r="B11245" s="380" t="str">
        <f>IFERROR(__xludf.DUMMYFUNCTION("""COMPUTED_VALUE"""),"Sensor Maf Hino 500 89421-E0050")</f>
        <v>Sensor Maf Hino 500 89421-E0050</v>
      </c>
      <c r="C11245" s="380" t="str">
        <f>IFERROR(__xludf.DUMMYFUNCTION("""COMPUTED_VALUE"""),"70006679")</f>
        <v>70006679</v>
      </c>
      <c r="D11245" s="380" t="s">
        <v>767</v>
      </c>
      <c r="E11245" s="380" t="s">
        <v>786</v>
      </c>
      <c r="F11245" s="380" t="s">
        <v>998</v>
      </c>
      <c r="G11245" s="380" t="s">
        <v>1267</v>
      </c>
      <c r="H11245" s="380" t="s">
        <v>771</v>
      </c>
      <c r="I11245" s="380" t="s">
        <v>788</v>
      </c>
      <c r="J11245" s="380" t="s">
        <v>773</v>
      </c>
      <c r="K11245" s="381">
        <v>0.0</v>
      </c>
      <c r="L11245" s="382">
        <v>1.0</v>
      </c>
    </row>
    <row r="11246">
      <c r="A11246" s="380" t="s">
        <v>12120</v>
      </c>
      <c r="B11246" s="380" t="str">
        <f>IFERROR(__xludf.DUMMYFUNCTION("""COMPUTED_VALUE"""),"Kit Rodillos RDA DEL Daf Cf 480 1801594")</f>
        <v>Kit Rodillos RDA DEL Daf Cf 480 1801594</v>
      </c>
      <c r="C11246" s="380" t="str">
        <f>IFERROR(__xludf.DUMMYFUNCTION("""COMPUTED_VALUE"""),"70006680")</f>
        <v>70006680</v>
      </c>
      <c r="D11246" s="380" t="s">
        <v>767</v>
      </c>
      <c r="E11246" s="380" t="s">
        <v>786</v>
      </c>
      <c r="F11246" s="380" t="s">
        <v>1017</v>
      </c>
      <c r="G11246" s="380" t="s">
        <v>1267</v>
      </c>
      <c r="H11246" s="380" t="s">
        <v>771</v>
      </c>
      <c r="I11246" s="380" t="s">
        <v>788</v>
      </c>
      <c r="J11246" s="380" t="s">
        <v>773</v>
      </c>
      <c r="K11246" s="381">
        <v>0.0</v>
      </c>
      <c r="L11246" s="382">
        <v>1.0</v>
      </c>
    </row>
    <row r="11247">
      <c r="A11247" s="380" t="s">
        <v>12121</v>
      </c>
      <c r="B11247" s="380" t="str">
        <f>IFERROR(__xludf.DUMMYFUNCTION("""COMPUTED_VALUE"""),"FILT De AIR Goby Ag961276r Planta ELEC")</f>
        <v>FILT De AIR Goby Ag961276r Planta ELEC</v>
      </c>
      <c r="C11247" s="380" t="str">
        <f>IFERROR(__xludf.DUMMYFUNCTION("""COMPUTED_VALUE"""),"70006681")</f>
        <v>70006681</v>
      </c>
      <c r="D11247" s="380" t="s">
        <v>767</v>
      </c>
      <c r="E11247" s="380" t="s">
        <v>786</v>
      </c>
      <c r="F11247" s="380" t="s">
        <v>5855</v>
      </c>
      <c r="G11247" s="380" t="s">
        <v>1267</v>
      </c>
      <c r="H11247" s="380" t="s">
        <v>771</v>
      </c>
      <c r="I11247" s="380" t="s">
        <v>788</v>
      </c>
      <c r="J11247" s="380" t="s">
        <v>773</v>
      </c>
      <c r="K11247" s="381">
        <v>0.0</v>
      </c>
      <c r="L11247" s="382">
        <v>1.0</v>
      </c>
    </row>
    <row r="11248">
      <c r="A11248" s="380" t="s">
        <v>12122</v>
      </c>
      <c r="B11248" s="380" t="str">
        <f>IFERROR(__xludf.DUMMYFUNCTION("""COMPUTED_VALUE"""),"FILT De AIR Goby Ag961264r Planta ELEC")</f>
        <v>FILT De AIR Goby Ag961264r Planta ELEC</v>
      </c>
      <c r="C11248" s="380" t="str">
        <f>IFERROR(__xludf.DUMMYFUNCTION("""COMPUTED_VALUE"""),"70006682")</f>
        <v>70006682</v>
      </c>
      <c r="D11248" s="380" t="s">
        <v>767</v>
      </c>
      <c r="E11248" s="380" t="s">
        <v>786</v>
      </c>
      <c r="F11248" s="380" t="s">
        <v>5855</v>
      </c>
      <c r="G11248" s="380" t="s">
        <v>1267</v>
      </c>
      <c r="H11248" s="380" t="s">
        <v>771</v>
      </c>
      <c r="I11248" s="380" t="s">
        <v>788</v>
      </c>
      <c r="J11248" s="380" t="s">
        <v>773</v>
      </c>
      <c r="K11248" s="381">
        <v>0.0</v>
      </c>
      <c r="L11248" s="382">
        <v>1.0</v>
      </c>
    </row>
    <row r="11249">
      <c r="A11249" s="380" t="s">
        <v>12123</v>
      </c>
      <c r="B11249" s="380" t="str">
        <f>IFERROR(__xludf.DUMMYFUNCTION("""COMPUTED_VALUE"""),"FILT De AIR Goby Ag971855a Planta ELEC")</f>
        <v>FILT De AIR Goby Ag971855a Planta ELEC</v>
      </c>
      <c r="C11249" s="380" t="str">
        <f>IFERROR(__xludf.DUMMYFUNCTION("""COMPUTED_VALUE"""),"70006683")</f>
        <v>70006683</v>
      </c>
      <c r="D11249" s="380" t="s">
        <v>767</v>
      </c>
      <c r="E11249" s="380" t="s">
        <v>786</v>
      </c>
      <c r="F11249" s="380" t="s">
        <v>5855</v>
      </c>
      <c r="G11249" s="380" t="s">
        <v>1267</v>
      </c>
      <c r="H11249" s="380" t="s">
        <v>771</v>
      </c>
      <c r="I11249" s="380" t="s">
        <v>788</v>
      </c>
      <c r="J11249" s="380" t="s">
        <v>773</v>
      </c>
      <c r="K11249" s="381">
        <v>117956.0</v>
      </c>
      <c r="L11249" s="382">
        <v>1.0</v>
      </c>
    </row>
    <row r="11250">
      <c r="A11250" s="380" t="s">
        <v>12124</v>
      </c>
      <c r="B11250" s="380" t="str">
        <f>IFERROR(__xludf.DUMMYFUNCTION("""COMPUTED_VALUE"""),"FILT De AIR Goby Ag971541a Planta ELEC")</f>
        <v>FILT De AIR Goby Ag971541a Planta ELEC</v>
      </c>
      <c r="C11250" s="380" t="str">
        <f>IFERROR(__xludf.DUMMYFUNCTION("""COMPUTED_VALUE"""),"70006684")</f>
        <v>70006684</v>
      </c>
      <c r="D11250" s="380" t="s">
        <v>767</v>
      </c>
      <c r="E11250" s="380" t="s">
        <v>786</v>
      </c>
      <c r="F11250" s="380" t="s">
        <v>5855</v>
      </c>
      <c r="G11250" s="380" t="s">
        <v>1267</v>
      </c>
      <c r="H11250" s="380" t="s">
        <v>771</v>
      </c>
      <c r="I11250" s="380" t="s">
        <v>788</v>
      </c>
      <c r="J11250" s="380" t="s">
        <v>773</v>
      </c>
      <c r="K11250" s="381">
        <v>0.0</v>
      </c>
      <c r="L11250" s="382">
        <v>1.0</v>
      </c>
    </row>
    <row r="11251">
      <c r="A11251" s="380" t="s">
        <v>12125</v>
      </c>
      <c r="B11251" s="380" t="str">
        <f>IFERROR(__xludf.DUMMYFUNCTION("""COMPUTED_VALUE"""),"Compresor Sistema Neumatico FT 1128 5693")</f>
        <v>Compresor Sistema Neumatico FT 1128 5693</v>
      </c>
      <c r="C11251" s="380" t="str">
        <f>IFERROR(__xludf.DUMMYFUNCTION("""COMPUTED_VALUE"""),"70006685")</f>
        <v>70006685</v>
      </c>
      <c r="D11251" s="380" t="s">
        <v>767</v>
      </c>
      <c r="E11251" s="380" t="s">
        <v>786</v>
      </c>
      <c r="F11251" s="380" t="s">
        <v>787</v>
      </c>
      <c r="G11251" s="380" t="s">
        <v>1267</v>
      </c>
      <c r="H11251" s="380" t="s">
        <v>771</v>
      </c>
      <c r="I11251" s="380" t="s">
        <v>788</v>
      </c>
      <c r="J11251" s="380" t="s">
        <v>773</v>
      </c>
      <c r="K11251" s="381">
        <v>0.0</v>
      </c>
      <c r="L11251" s="382">
        <v>1.0</v>
      </c>
    </row>
    <row r="11252">
      <c r="A11252" s="380" t="s">
        <v>12126</v>
      </c>
      <c r="B11252" s="380" t="str">
        <f>IFERROR(__xludf.DUMMYFUNCTION("""COMPUTED_VALUE"""),"Damper Amort De Embrague Npr - Nkr Rewar")</f>
        <v>Damper Amort De Embrague Npr - Nkr Rewar</v>
      </c>
      <c r="C11252" s="380" t="str">
        <f>IFERROR(__xludf.DUMMYFUNCTION("""COMPUTED_VALUE"""),"70006686")</f>
        <v>70006686</v>
      </c>
      <c r="D11252" s="380" t="s">
        <v>767</v>
      </c>
      <c r="E11252" s="380" t="s">
        <v>786</v>
      </c>
      <c r="F11252" s="380" t="s">
        <v>1017</v>
      </c>
      <c r="G11252" s="380" t="s">
        <v>1267</v>
      </c>
      <c r="H11252" s="380" t="s">
        <v>771</v>
      </c>
      <c r="I11252" s="380" t="s">
        <v>788</v>
      </c>
      <c r="J11252" s="380" t="s">
        <v>773</v>
      </c>
      <c r="K11252" s="381">
        <v>0.0</v>
      </c>
      <c r="L11252" s="382">
        <v>1.0</v>
      </c>
    </row>
    <row r="11253">
      <c r="A11253" s="380" t="s">
        <v>12127</v>
      </c>
      <c r="B11253" s="380" t="str">
        <f>IFERROR(__xludf.DUMMYFUNCTION("""COMPUTED_VALUE"""),"FILT Turbina Gases De Carter Daf Cf 480")</f>
        <v>FILT Turbina Gases De Carter Daf Cf 480</v>
      </c>
      <c r="C11253" s="380" t="str">
        <f>IFERROR(__xludf.DUMMYFUNCTION("""COMPUTED_VALUE"""),"70006687")</f>
        <v>70006687</v>
      </c>
      <c r="D11253" s="380" t="s">
        <v>767</v>
      </c>
      <c r="E11253" s="380" t="s">
        <v>786</v>
      </c>
      <c r="F11253" s="380" t="s">
        <v>787</v>
      </c>
      <c r="G11253" s="380" t="s">
        <v>1267</v>
      </c>
      <c r="H11253" s="380" t="s">
        <v>771</v>
      </c>
      <c r="I11253" s="380" t="s">
        <v>788</v>
      </c>
      <c r="J11253" s="380" t="s">
        <v>773</v>
      </c>
      <c r="K11253" s="381">
        <v>757273.0</v>
      </c>
      <c r="L11253" s="382">
        <v>1.0</v>
      </c>
    </row>
    <row r="11254">
      <c r="A11254" s="380" t="s">
        <v>12128</v>
      </c>
      <c r="B11254" s="380" t="str">
        <f>IFERROR(__xludf.DUMMYFUNCTION("""COMPUTED_VALUE"""),"Bloque Motor Isx 288208800nx")</f>
        <v>Bloque Motor Isx 288208800nx</v>
      </c>
      <c r="C11254" s="380" t="str">
        <f>IFERROR(__xludf.DUMMYFUNCTION("""COMPUTED_VALUE"""),"70006688")</f>
        <v>70006688</v>
      </c>
      <c r="D11254" s="380" t="s">
        <v>767</v>
      </c>
      <c r="E11254" s="380" t="s">
        <v>786</v>
      </c>
      <c r="F11254" s="380" t="s">
        <v>787</v>
      </c>
      <c r="G11254" s="380" t="s">
        <v>1267</v>
      </c>
      <c r="H11254" s="380" t="s">
        <v>771</v>
      </c>
      <c r="I11254" s="380" t="s">
        <v>788</v>
      </c>
      <c r="J11254" s="380" t="s">
        <v>773</v>
      </c>
      <c r="K11254" s="381">
        <v>0.0</v>
      </c>
      <c r="L11254" s="382">
        <v>1.0</v>
      </c>
    </row>
    <row r="11255">
      <c r="A11255" s="380" t="s">
        <v>12129</v>
      </c>
      <c r="B11255" s="380" t="str">
        <f>IFERROR(__xludf.DUMMYFUNCTION("""COMPUTED_VALUE"""),"Antena Radio Mack Anthem 22478499")</f>
        <v>Antena Radio Mack Anthem 22478499</v>
      </c>
      <c r="C11255" s="380" t="str">
        <f>IFERROR(__xludf.DUMMYFUNCTION("""COMPUTED_VALUE"""),"70006689")</f>
        <v>70006689</v>
      </c>
      <c r="D11255" s="380" t="s">
        <v>767</v>
      </c>
      <c r="E11255" s="380" t="s">
        <v>786</v>
      </c>
      <c r="F11255" s="380" t="s">
        <v>998</v>
      </c>
      <c r="G11255" s="380" t="s">
        <v>1267</v>
      </c>
      <c r="H11255" s="380" t="s">
        <v>771</v>
      </c>
      <c r="I11255" s="380" t="s">
        <v>788</v>
      </c>
      <c r="J11255" s="380" t="s">
        <v>773</v>
      </c>
      <c r="K11255" s="381">
        <v>0.0</v>
      </c>
      <c r="L11255" s="382">
        <v>1.0</v>
      </c>
    </row>
    <row r="11256">
      <c r="A11256" s="380" t="s">
        <v>12130</v>
      </c>
      <c r="B11256" s="380" t="str">
        <f>IFERROR(__xludf.DUMMYFUNCTION("""COMPUTED_VALUE"""),"Servo Booster EMB CH Frr 1318005103")</f>
        <v>Servo Booster EMB CH Frr 1318005103</v>
      </c>
      <c r="C11256" s="380" t="str">
        <f>IFERROR(__xludf.DUMMYFUNCTION("""COMPUTED_VALUE"""),"70006690")</f>
        <v>70006690</v>
      </c>
      <c r="D11256" s="380" t="s">
        <v>767</v>
      </c>
      <c r="E11256" s="380" t="s">
        <v>786</v>
      </c>
      <c r="F11256" s="380" t="s">
        <v>5661</v>
      </c>
      <c r="G11256" s="380" t="s">
        <v>1267</v>
      </c>
      <c r="H11256" s="380" t="s">
        <v>771</v>
      </c>
      <c r="I11256" s="380" t="s">
        <v>788</v>
      </c>
      <c r="J11256" s="380" t="s">
        <v>773</v>
      </c>
      <c r="K11256" s="381">
        <v>0.0</v>
      </c>
      <c r="L11256" s="382">
        <v>1.0</v>
      </c>
    </row>
    <row r="11257">
      <c r="A11257" s="380" t="s">
        <v>12131</v>
      </c>
      <c r="B11257" s="380" t="str">
        <f>IFERROR(__xludf.DUMMYFUNCTION("""COMPUTED_VALUE"""),"SENS De Presion Posterior A La Bpv Daf C")</f>
        <v>SENS De Presion Posterior A La Bpv Daf C</v>
      </c>
      <c r="C11257" s="380" t="str">
        <f>IFERROR(__xludf.DUMMYFUNCTION("""COMPUTED_VALUE"""),"70006691")</f>
        <v>70006691</v>
      </c>
      <c r="D11257" s="380" t="s">
        <v>767</v>
      </c>
      <c r="E11257" s="380" t="s">
        <v>786</v>
      </c>
      <c r="F11257" s="380" t="s">
        <v>787</v>
      </c>
      <c r="G11257" s="380" t="s">
        <v>1267</v>
      </c>
      <c r="H11257" s="380" t="s">
        <v>771</v>
      </c>
      <c r="I11257" s="380" t="s">
        <v>788</v>
      </c>
      <c r="J11257" s="380" t="s">
        <v>773</v>
      </c>
      <c r="K11257" s="381">
        <v>0.0</v>
      </c>
      <c r="L11257" s="382">
        <v>1.0</v>
      </c>
    </row>
    <row r="11258">
      <c r="A11258" s="380" t="s">
        <v>12132</v>
      </c>
      <c r="B11258" s="380" t="str">
        <f>IFERROR(__xludf.DUMMYFUNCTION("""COMPUTED_VALUE"""),"Polea Loca Motor Foton Mv5 7705946036368")</f>
        <v>Polea Loca Motor Foton Mv5 7705946036368</v>
      </c>
      <c r="C11258" s="380" t="str">
        <f>IFERROR(__xludf.DUMMYFUNCTION("""COMPUTED_VALUE"""),"70006692")</f>
        <v>70006692</v>
      </c>
      <c r="D11258" s="380" t="s">
        <v>767</v>
      </c>
      <c r="E11258" s="380" t="s">
        <v>786</v>
      </c>
      <c r="F11258" s="380" t="s">
        <v>787</v>
      </c>
      <c r="G11258" s="380" t="s">
        <v>1267</v>
      </c>
      <c r="H11258" s="380" t="s">
        <v>771</v>
      </c>
      <c r="I11258" s="380" t="s">
        <v>788</v>
      </c>
      <c r="J11258" s="380" t="s">
        <v>773</v>
      </c>
      <c r="K11258" s="381">
        <v>0.0</v>
      </c>
      <c r="L11258" s="382">
        <v>1.0</v>
      </c>
    </row>
    <row r="11259">
      <c r="A11259" s="380" t="s">
        <v>12133</v>
      </c>
      <c r="B11259" s="380" t="str">
        <f>IFERROR(__xludf.DUMMYFUNCTION("""COMPUTED_VALUE"""),"CTRLador Bujias Precalentamiento FT 1065")</f>
        <v>CTRLador Bujias Precalentamiento FT 1065</v>
      </c>
      <c r="C11259" s="380" t="str">
        <f>IFERROR(__xludf.DUMMYFUNCTION("""COMPUTED_VALUE"""),"70006693")</f>
        <v>70006693</v>
      </c>
      <c r="D11259" s="380" t="s">
        <v>767</v>
      </c>
      <c r="E11259" s="380" t="s">
        <v>786</v>
      </c>
      <c r="F11259" s="380" t="s">
        <v>998</v>
      </c>
      <c r="G11259" s="380" t="s">
        <v>1267</v>
      </c>
      <c r="H11259" s="380" t="s">
        <v>771</v>
      </c>
      <c r="I11259" s="380" t="s">
        <v>788</v>
      </c>
      <c r="J11259" s="380" t="s">
        <v>773</v>
      </c>
      <c r="K11259" s="381">
        <v>0.0</v>
      </c>
      <c r="L11259" s="382">
        <v>1.0</v>
      </c>
    </row>
    <row r="11260">
      <c r="A11260" s="380" t="s">
        <v>12134</v>
      </c>
      <c r="B11260" s="380" t="str">
        <f>IFERROR(__xludf.DUMMYFUNCTION("""COMPUTED_VALUE"""),"Cacho DIR DER FT 1039 7705946305839")</f>
        <v>Cacho DIR DER FT 1039 7705946305839</v>
      </c>
      <c r="C11260" s="380" t="str">
        <f>IFERROR(__xludf.DUMMYFUNCTION("""COMPUTED_VALUE"""),"70006694")</f>
        <v>70006694</v>
      </c>
      <c r="D11260" s="380" t="s">
        <v>767</v>
      </c>
      <c r="E11260" s="380" t="s">
        <v>786</v>
      </c>
      <c r="F11260" s="380" t="s">
        <v>1020</v>
      </c>
      <c r="G11260" s="380" t="s">
        <v>1267</v>
      </c>
      <c r="H11260" s="380" t="s">
        <v>771</v>
      </c>
      <c r="I11260" s="380" t="s">
        <v>788</v>
      </c>
      <c r="J11260" s="380" t="s">
        <v>773</v>
      </c>
      <c r="K11260" s="381">
        <v>0.0</v>
      </c>
      <c r="L11260" s="382">
        <v>1.0</v>
      </c>
    </row>
    <row r="11261">
      <c r="A11261" s="380" t="s">
        <v>12135</v>
      </c>
      <c r="B11261" s="380" t="str">
        <f>IFERROR(__xludf.DUMMYFUNCTION("""COMPUTED_VALUE"""),"Cacho DIR IZQ FT 1039 7705946305860")</f>
        <v>Cacho DIR IZQ FT 1039 7705946305860</v>
      </c>
      <c r="C11261" s="380" t="str">
        <f>IFERROR(__xludf.DUMMYFUNCTION("""COMPUTED_VALUE"""),"70006695")</f>
        <v>70006695</v>
      </c>
      <c r="D11261" s="380" t="s">
        <v>767</v>
      </c>
      <c r="E11261" s="380" t="s">
        <v>786</v>
      </c>
      <c r="F11261" s="380" t="s">
        <v>1020</v>
      </c>
      <c r="G11261" s="380" t="s">
        <v>1267</v>
      </c>
      <c r="H11261" s="380" t="s">
        <v>771</v>
      </c>
      <c r="I11261" s="380" t="s">
        <v>788</v>
      </c>
      <c r="J11261" s="380" t="s">
        <v>773</v>
      </c>
      <c r="K11261" s="381">
        <v>0.0</v>
      </c>
      <c r="L11261" s="382">
        <v>1.0</v>
      </c>
    </row>
    <row r="11262">
      <c r="A11262" s="380" t="s">
        <v>12136</v>
      </c>
      <c r="B11262" s="380" t="str">
        <f>IFERROR(__xludf.DUMMYFUNCTION("""COMPUTED_VALUE"""),"Banda Delantera Jac 1120 Remachada")</f>
        <v>Banda Delantera Jac 1120 Remachada</v>
      </c>
      <c r="C11262" s="380" t="str">
        <f>IFERROR(__xludf.DUMMYFUNCTION("""COMPUTED_VALUE"""),"70006696")</f>
        <v>70006696</v>
      </c>
      <c r="D11262" s="380" t="s">
        <v>767</v>
      </c>
      <c r="E11262" s="380" t="s">
        <v>786</v>
      </c>
      <c r="F11262" s="380" t="s">
        <v>1017</v>
      </c>
      <c r="G11262" s="380" t="s">
        <v>1267</v>
      </c>
      <c r="H11262" s="380" t="s">
        <v>771</v>
      </c>
      <c r="I11262" s="380" t="s">
        <v>788</v>
      </c>
      <c r="J11262" s="380" t="s">
        <v>773</v>
      </c>
      <c r="K11262" s="381">
        <v>0.0</v>
      </c>
      <c r="L11262" s="382">
        <v>1.0</v>
      </c>
    </row>
    <row r="11263">
      <c r="A11263" s="380" t="s">
        <v>12137</v>
      </c>
      <c r="B11263" s="380" t="str">
        <f>IFERROR(__xludf.DUMMYFUNCTION("""COMPUTED_VALUE"""),"Brazo DIR DER FT 1039 7705946305846")</f>
        <v>Brazo DIR DER FT 1039 7705946305846</v>
      </c>
      <c r="C11263" s="380" t="str">
        <f>IFERROR(__xludf.DUMMYFUNCTION("""COMPUTED_VALUE"""),"70006697")</f>
        <v>70006697</v>
      </c>
      <c r="D11263" s="380" t="s">
        <v>767</v>
      </c>
      <c r="E11263" s="380" t="s">
        <v>786</v>
      </c>
      <c r="F11263" s="380" t="s">
        <v>1020</v>
      </c>
      <c r="G11263" s="380" t="s">
        <v>1267</v>
      </c>
      <c r="H11263" s="380" t="s">
        <v>771</v>
      </c>
      <c r="I11263" s="380" t="s">
        <v>788</v>
      </c>
      <c r="J11263" s="380" t="s">
        <v>773</v>
      </c>
      <c r="K11263" s="381">
        <v>0.0</v>
      </c>
      <c r="L11263" s="382">
        <v>1.0</v>
      </c>
    </row>
    <row r="11264">
      <c r="A11264" s="380" t="s">
        <v>12138</v>
      </c>
      <c r="B11264" s="380" t="str">
        <f>IFERROR(__xludf.DUMMYFUNCTION("""COMPUTED_VALUE"""),"Actuador De Dosificación MOT Isx REP")</f>
        <v>Actuador De Dosificación MOT Isx REP</v>
      </c>
      <c r="C11264" s="380" t="str">
        <f>IFERROR(__xludf.DUMMYFUNCTION("""COMPUTED_VALUE"""),"70006698")</f>
        <v>70006698</v>
      </c>
      <c r="D11264" s="380" t="s">
        <v>767</v>
      </c>
      <c r="E11264" s="380" t="s">
        <v>786</v>
      </c>
      <c r="F11264" s="380" t="s">
        <v>787</v>
      </c>
      <c r="G11264" s="380" t="s">
        <v>1267</v>
      </c>
      <c r="H11264" s="380" t="s">
        <v>771</v>
      </c>
      <c r="I11264" s="380" t="s">
        <v>788</v>
      </c>
      <c r="J11264" s="380" t="s">
        <v>773</v>
      </c>
      <c r="K11264" s="381">
        <v>0.0</v>
      </c>
      <c r="L11264" s="382">
        <v>1.0</v>
      </c>
    </row>
    <row r="11265">
      <c r="A11265" s="380" t="s">
        <v>12139</v>
      </c>
      <c r="B11265" s="380" t="str">
        <f>IFERROR(__xludf.DUMMYFUNCTION("""COMPUTED_VALUE"""),"Kit Tablero Instrumentos Completo Eagle")</f>
        <v>Kit Tablero Instrumentos Completo Eagle</v>
      </c>
      <c r="C11265" s="380" t="str">
        <f>IFERROR(__xludf.DUMMYFUNCTION("""COMPUTED_VALUE"""),"70006699")</f>
        <v>70006699</v>
      </c>
      <c r="D11265" s="380" t="s">
        <v>767</v>
      </c>
      <c r="E11265" s="380" t="s">
        <v>786</v>
      </c>
      <c r="F11265" s="380" t="s">
        <v>792</v>
      </c>
      <c r="G11265" s="380" t="s">
        <v>1267</v>
      </c>
      <c r="H11265" s="380" t="s">
        <v>771</v>
      </c>
      <c r="I11265" s="380" t="s">
        <v>788</v>
      </c>
      <c r="J11265" s="380" t="s">
        <v>773</v>
      </c>
      <c r="K11265" s="381">
        <v>5003740.0</v>
      </c>
      <c r="L11265" s="382">
        <v>1.0</v>
      </c>
    </row>
    <row r="11266">
      <c r="A11266" s="380" t="s">
        <v>12140</v>
      </c>
      <c r="B11266" s="380" t="str">
        <f>IFERROR(__xludf.DUMMYFUNCTION("""COMPUTED_VALUE"""),"INTruptor Estacionarias INT Lt 4057706c3")</f>
        <v>INTruptor Estacionarias INT Lt 4057706c3</v>
      </c>
      <c r="C11266" s="380" t="str">
        <f>IFERROR(__xludf.DUMMYFUNCTION("""COMPUTED_VALUE"""),"70006700")</f>
        <v>70006700</v>
      </c>
      <c r="D11266" s="380" t="s">
        <v>767</v>
      </c>
      <c r="E11266" s="380" t="s">
        <v>786</v>
      </c>
      <c r="F11266" s="380" t="s">
        <v>998</v>
      </c>
      <c r="G11266" s="380" t="s">
        <v>1267</v>
      </c>
      <c r="H11266" s="380" t="s">
        <v>771</v>
      </c>
      <c r="I11266" s="380" t="s">
        <v>788</v>
      </c>
      <c r="J11266" s="380" t="s">
        <v>773</v>
      </c>
      <c r="K11266" s="381">
        <v>340792.0</v>
      </c>
      <c r="L11266" s="382">
        <v>1.0</v>
      </c>
    </row>
    <row r="11267">
      <c r="A11267" s="380" t="s">
        <v>12141</v>
      </c>
      <c r="B11267" s="380" t="str">
        <f>IFERROR(__xludf.DUMMYFUNCTION("""COMPUTED_VALUE"""),"Valvula 2 Vias Volkswagen Knorr Ae-4258")</f>
        <v>Valvula 2 Vias Volkswagen Knorr Ae-4258</v>
      </c>
      <c r="C11267" s="380" t="str">
        <f>IFERROR(__xludf.DUMMYFUNCTION("""COMPUTED_VALUE"""),"70006701")</f>
        <v>70006701</v>
      </c>
      <c r="D11267" s="380" t="s">
        <v>767</v>
      </c>
      <c r="E11267" s="380" t="s">
        <v>786</v>
      </c>
      <c r="F11267" s="380" t="s">
        <v>787</v>
      </c>
      <c r="G11267" s="380" t="s">
        <v>1267</v>
      </c>
      <c r="H11267" s="380" t="s">
        <v>771</v>
      </c>
      <c r="I11267" s="380" t="s">
        <v>788</v>
      </c>
      <c r="J11267" s="380" t="s">
        <v>773</v>
      </c>
      <c r="K11267" s="381">
        <v>0.0</v>
      </c>
      <c r="L11267" s="382">
        <v>1.0</v>
      </c>
    </row>
    <row r="11268">
      <c r="A11268" s="380" t="s">
        <v>12142</v>
      </c>
      <c r="B11268" s="380" t="str">
        <f>IFERROR(__xludf.DUMMYFUNCTION("""COMPUTED_VALUE"""),"Empaque Vidrio Panoramico Jac")</f>
        <v>Empaque Vidrio Panoramico Jac</v>
      </c>
      <c r="C11268" s="380" t="str">
        <f>IFERROR(__xludf.DUMMYFUNCTION("""COMPUTED_VALUE"""),"70006702")</f>
        <v>70006702</v>
      </c>
      <c r="D11268" s="380" t="s">
        <v>767</v>
      </c>
      <c r="E11268" s="380" t="s">
        <v>786</v>
      </c>
      <c r="F11268" s="380" t="s">
        <v>792</v>
      </c>
      <c r="G11268" s="380" t="s">
        <v>1267</v>
      </c>
      <c r="H11268" s="380" t="s">
        <v>771</v>
      </c>
      <c r="I11268" s="380" t="s">
        <v>788</v>
      </c>
      <c r="J11268" s="380" t="s">
        <v>773</v>
      </c>
      <c r="K11268" s="381">
        <v>0.0</v>
      </c>
      <c r="L11268" s="382">
        <v>1.0</v>
      </c>
    </row>
    <row r="11269">
      <c r="A11269" s="380" t="s">
        <v>12143</v>
      </c>
      <c r="B11269" s="380" t="str">
        <f>IFERROR(__xludf.DUMMYFUNCTION("""COMPUTED_VALUE"""),"Balancin Escape DEL MOT Isx 4059294")</f>
        <v>Balancin Escape DEL MOT Isx 4059294</v>
      </c>
      <c r="C11269" s="380" t="str">
        <f>IFERROR(__xludf.DUMMYFUNCTION("""COMPUTED_VALUE"""),"70006703")</f>
        <v>70006703</v>
      </c>
      <c r="D11269" s="380" t="s">
        <v>767</v>
      </c>
      <c r="E11269" s="380" t="s">
        <v>786</v>
      </c>
      <c r="F11269" s="380" t="s">
        <v>787</v>
      </c>
      <c r="G11269" s="380" t="s">
        <v>1267</v>
      </c>
      <c r="H11269" s="380" t="s">
        <v>771</v>
      </c>
      <c r="I11269" s="380" t="s">
        <v>788</v>
      </c>
      <c r="J11269" s="380" t="s">
        <v>773</v>
      </c>
      <c r="K11269" s="381">
        <v>0.0</v>
      </c>
      <c r="L11269" s="382">
        <v>1.0</v>
      </c>
    </row>
    <row r="11270">
      <c r="A11270" s="380" t="s">
        <v>12144</v>
      </c>
      <c r="B11270" s="380" t="str">
        <f>IFERROR(__xludf.DUMMYFUNCTION("""COMPUTED_VALUE"""),"Rele Ppal De ARR 12v 70a FT 1039-1065 77")</f>
        <v>Rele Ppal De ARR 12v 70a FT 1039-1065 77</v>
      </c>
      <c r="C11270" s="380" t="str">
        <f>IFERROR(__xludf.DUMMYFUNCTION("""COMPUTED_VALUE"""),"70006704")</f>
        <v>70006704</v>
      </c>
      <c r="D11270" s="380" t="s">
        <v>767</v>
      </c>
      <c r="E11270" s="380" t="s">
        <v>786</v>
      </c>
      <c r="F11270" s="380" t="s">
        <v>998</v>
      </c>
      <c r="G11270" s="380" t="s">
        <v>1267</v>
      </c>
      <c r="H11270" s="380" t="s">
        <v>771</v>
      </c>
      <c r="I11270" s="380" t="s">
        <v>788</v>
      </c>
      <c r="J11270" s="380" t="s">
        <v>773</v>
      </c>
      <c r="K11270" s="381">
        <v>0.0</v>
      </c>
      <c r="L11270" s="382">
        <v>1.0</v>
      </c>
    </row>
    <row r="11271">
      <c r="A11271" s="380" t="s">
        <v>12145</v>
      </c>
      <c r="B11271" s="380" t="str">
        <f>IFERROR(__xludf.DUMMYFUNCTION("""COMPUTED_VALUE"""),"Guardabarro TRAS Der Daf Cf 480 1875550")</f>
        <v>Guardabarro TRAS Der Daf Cf 480 1875550</v>
      </c>
      <c r="C11271" s="380" t="str">
        <f>IFERROR(__xludf.DUMMYFUNCTION("""COMPUTED_VALUE"""),"70006705")</f>
        <v>70006705</v>
      </c>
      <c r="D11271" s="380" t="s">
        <v>767</v>
      </c>
      <c r="E11271" s="380" t="s">
        <v>786</v>
      </c>
      <c r="F11271" s="380" t="s">
        <v>792</v>
      </c>
      <c r="G11271" s="380" t="s">
        <v>1267</v>
      </c>
      <c r="H11271" s="380" t="s">
        <v>771</v>
      </c>
      <c r="I11271" s="380" t="s">
        <v>788</v>
      </c>
      <c r="J11271" s="380" t="s">
        <v>773</v>
      </c>
      <c r="K11271" s="381">
        <v>0.0</v>
      </c>
      <c r="L11271" s="382">
        <v>1.0</v>
      </c>
    </row>
    <row r="11272">
      <c r="A11272" s="380" t="s">
        <v>12146</v>
      </c>
      <c r="B11272" s="380" t="str">
        <f>IFERROR(__xludf.DUMMYFUNCTION("""COMPUTED_VALUE"""),"Caja Direccion Foton 1030")</f>
        <v>Caja Direccion Foton 1030</v>
      </c>
      <c r="C11272" s="380" t="str">
        <f>IFERROR(__xludf.DUMMYFUNCTION("""COMPUTED_VALUE"""),"70006706")</f>
        <v>70006706</v>
      </c>
      <c r="D11272" s="380" t="s">
        <v>767</v>
      </c>
      <c r="E11272" s="380" t="s">
        <v>786</v>
      </c>
      <c r="F11272" s="380" t="s">
        <v>1020</v>
      </c>
      <c r="G11272" s="380" t="s">
        <v>1267</v>
      </c>
      <c r="H11272" s="380" t="s">
        <v>771</v>
      </c>
      <c r="I11272" s="380" t="s">
        <v>788</v>
      </c>
      <c r="J11272" s="380" t="s">
        <v>773</v>
      </c>
      <c r="K11272" s="381">
        <v>0.0</v>
      </c>
      <c r="L11272" s="382">
        <v>1.0</v>
      </c>
    </row>
    <row r="11273">
      <c r="A11273" s="380" t="s">
        <v>12147</v>
      </c>
      <c r="B11273" s="380" t="str">
        <f>IFERROR(__xludf.DUMMYFUNCTION("""COMPUTED_VALUE"""),"Reductor Caja Direccion Foton 1030")</f>
        <v>Reductor Caja Direccion Foton 1030</v>
      </c>
      <c r="C11273" s="380" t="str">
        <f>IFERROR(__xludf.DUMMYFUNCTION("""COMPUTED_VALUE"""),"70006707")</f>
        <v>70006707</v>
      </c>
      <c r="D11273" s="380" t="s">
        <v>767</v>
      </c>
      <c r="E11273" s="380" t="s">
        <v>786</v>
      </c>
      <c r="F11273" s="380" t="s">
        <v>1020</v>
      </c>
      <c r="G11273" s="380" t="s">
        <v>1267</v>
      </c>
      <c r="H11273" s="380" t="s">
        <v>771</v>
      </c>
      <c r="I11273" s="380" t="s">
        <v>788</v>
      </c>
      <c r="J11273" s="380" t="s">
        <v>773</v>
      </c>
      <c r="K11273" s="381">
        <v>0.0</v>
      </c>
      <c r="L11273" s="382">
        <v>1.0</v>
      </c>
    </row>
    <row r="11274">
      <c r="A11274" s="380" t="s">
        <v>12148</v>
      </c>
      <c r="B11274" s="380" t="str">
        <f>IFERROR(__xludf.DUMMYFUNCTION("""COMPUTED_VALUE"""),"MOT Elevavidrio DER CH Frr 8980584290")</f>
        <v>MOT Elevavidrio DER CH Frr 8980584290</v>
      </c>
      <c r="C11274" s="380" t="str">
        <f>IFERROR(__xludf.DUMMYFUNCTION("""COMPUTED_VALUE"""),"70006708")</f>
        <v>70006708</v>
      </c>
      <c r="D11274" s="380" t="s">
        <v>767</v>
      </c>
      <c r="E11274" s="380" t="s">
        <v>786</v>
      </c>
      <c r="F11274" s="380" t="s">
        <v>998</v>
      </c>
      <c r="G11274" s="380" t="s">
        <v>1267</v>
      </c>
      <c r="H11274" s="380" t="s">
        <v>771</v>
      </c>
      <c r="I11274" s="380" t="s">
        <v>788</v>
      </c>
      <c r="J11274" s="380" t="s">
        <v>773</v>
      </c>
      <c r="K11274" s="381">
        <v>0.0</v>
      </c>
      <c r="L11274" s="382">
        <v>1.0</v>
      </c>
    </row>
    <row r="11275">
      <c r="A11275" s="380" t="s">
        <v>12149</v>
      </c>
      <c r="B11275" s="380" t="str">
        <f>IFERROR(__xludf.DUMMYFUNCTION("""COMPUTED_VALUE"""),"SOP En Z Alargador PTA DER Daf 1926387")</f>
        <v>SOP En Z Alargador PTA DER Daf 1926387</v>
      </c>
      <c r="C11275" s="380" t="str">
        <f>IFERROR(__xludf.DUMMYFUNCTION("""COMPUTED_VALUE"""),"70006709")</f>
        <v>70006709</v>
      </c>
      <c r="D11275" s="380" t="s">
        <v>767</v>
      </c>
      <c r="E11275" s="380" t="s">
        <v>786</v>
      </c>
      <c r="F11275" s="380" t="s">
        <v>792</v>
      </c>
      <c r="G11275" s="380" t="s">
        <v>1267</v>
      </c>
      <c r="H11275" s="380" t="s">
        <v>771</v>
      </c>
      <c r="I11275" s="380" t="s">
        <v>788</v>
      </c>
      <c r="J11275" s="380" t="s">
        <v>773</v>
      </c>
      <c r="K11275" s="381">
        <v>121171.0</v>
      </c>
      <c r="L11275" s="382">
        <v>1.0</v>
      </c>
    </row>
    <row r="11276">
      <c r="A11276" s="380" t="s">
        <v>12150</v>
      </c>
      <c r="B11276" s="380" t="str">
        <f>IFERROR(__xludf.DUMMYFUNCTION("""COMPUTED_VALUE"""),"Bocel Inferior Persiana Kenworth K213-90")</f>
        <v>Bocel Inferior Persiana Kenworth K213-90</v>
      </c>
      <c r="C11276" s="380" t="str">
        <f>IFERROR(__xludf.DUMMYFUNCTION("""COMPUTED_VALUE"""),"70006710")</f>
        <v>70006710</v>
      </c>
      <c r="D11276" s="380" t="s">
        <v>767</v>
      </c>
      <c r="E11276" s="380" t="s">
        <v>786</v>
      </c>
      <c r="F11276" s="380" t="s">
        <v>792</v>
      </c>
      <c r="G11276" s="380" t="s">
        <v>1267</v>
      </c>
      <c r="H11276" s="380" t="s">
        <v>771</v>
      </c>
      <c r="I11276" s="380" t="s">
        <v>788</v>
      </c>
      <c r="J11276" s="380" t="s">
        <v>773</v>
      </c>
      <c r="K11276" s="381">
        <v>0.0</v>
      </c>
      <c r="L11276" s="382">
        <v>1.0</v>
      </c>
    </row>
    <row r="11277">
      <c r="A11277" s="380" t="s">
        <v>12151</v>
      </c>
      <c r="B11277" s="380" t="str">
        <f>IFERROR(__xludf.DUMMYFUNCTION("""COMPUTED_VALUE"""),"Puente Pescado Fabricado")</f>
        <v>Puente Pescado Fabricado</v>
      </c>
      <c r="C11277" s="380" t="str">
        <f>IFERROR(__xludf.DUMMYFUNCTION("""COMPUTED_VALUE"""),"70006711")</f>
        <v>70006711</v>
      </c>
      <c r="D11277" s="380" t="s">
        <v>767</v>
      </c>
      <c r="E11277" s="380" t="s">
        <v>786</v>
      </c>
      <c r="F11277" s="380" t="s">
        <v>792</v>
      </c>
      <c r="G11277" s="380" t="s">
        <v>1267</v>
      </c>
      <c r="H11277" s="380" t="s">
        <v>771</v>
      </c>
      <c r="I11277" s="380" t="s">
        <v>788</v>
      </c>
      <c r="J11277" s="380" t="s">
        <v>773</v>
      </c>
      <c r="K11277" s="381">
        <v>0.0</v>
      </c>
      <c r="L11277" s="382">
        <v>1.0</v>
      </c>
    </row>
    <row r="11278">
      <c r="A11278" s="380" t="s">
        <v>12152</v>
      </c>
      <c r="B11278" s="380" t="str">
        <f>IFERROR(__xludf.DUMMYFUNCTION("""COMPUTED_VALUE"""),"Bocin Delantero Daf Cf 480 2019789")</f>
        <v>Bocin Delantero Daf Cf 480 2019789</v>
      </c>
      <c r="C11278" s="380" t="str">
        <f>IFERROR(__xludf.DUMMYFUNCTION("""COMPUTED_VALUE"""),"70006712")</f>
        <v>70006712</v>
      </c>
      <c r="D11278" s="380" t="s">
        <v>767</v>
      </c>
      <c r="E11278" s="380" t="s">
        <v>786</v>
      </c>
      <c r="F11278" s="380" t="s">
        <v>1017</v>
      </c>
      <c r="G11278" s="380" t="s">
        <v>1267</v>
      </c>
      <c r="H11278" s="380" t="s">
        <v>771</v>
      </c>
      <c r="I11278" s="380" t="s">
        <v>788</v>
      </c>
      <c r="J11278" s="380" t="s">
        <v>773</v>
      </c>
      <c r="K11278" s="381">
        <v>0.0</v>
      </c>
      <c r="L11278" s="382">
        <v>1.0</v>
      </c>
    </row>
    <row r="11279">
      <c r="A11279" s="380" t="s">
        <v>12153</v>
      </c>
      <c r="B11279" s="380" t="str">
        <f>IFERROR(__xludf.DUMMYFUNCTION("""COMPUTED_VALUE"""),"Disco Freno Delantero Daf Cf 480 1812563")</f>
        <v>Disco Freno Delantero Daf Cf 480 1812563</v>
      </c>
      <c r="C11279" s="380" t="str">
        <f>IFERROR(__xludf.DUMMYFUNCTION("""COMPUTED_VALUE"""),"70006713")</f>
        <v>70006713</v>
      </c>
      <c r="D11279" s="380" t="s">
        <v>767</v>
      </c>
      <c r="E11279" s="380" t="s">
        <v>786</v>
      </c>
      <c r="F11279" s="380" t="s">
        <v>1017</v>
      </c>
      <c r="G11279" s="380" t="s">
        <v>1267</v>
      </c>
      <c r="H11279" s="380" t="s">
        <v>771</v>
      </c>
      <c r="I11279" s="380" t="s">
        <v>788</v>
      </c>
      <c r="J11279" s="380" t="s">
        <v>773</v>
      </c>
      <c r="K11279" s="381">
        <v>988275.0</v>
      </c>
      <c r="L11279" s="382">
        <v>1.0</v>
      </c>
    </row>
    <row r="11280">
      <c r="A11280" s="380" t="s">
        <v>12154</v>
      </c>
      <c r="B11280" s="380" t="str">
        <f>IFERROR(__xludf.DUMMYFUNCTION("""COMPUTED_VALUE"""),"INTruptor Pedal EMB INT Lt 4219604c1")</f>
        <v>INTruptor Pedal EMB INT Lt 4219604c1</v>
      </c>
      <c r="C11280" s="380" t="str">
        <f>IFERROR(__xludf.DUMMYFUNCTION("""COMPUTED_VALUE"""),"70006714")</f>
        <v>70006714</v>
      </c>
      <c r="D11280" s="380" t="s">
        <v>767</v>
      </c>
      <c r="E11280" s="380" t="s">
        <v>786</v>
      </c>
      <c r="F11280" s="380" t="s">
        <v>998</v>
      </c>
      <c r="G11280" s="380" t="s">
        <v>1267</v>
      </c>
      <c r="H11280" s="380" t="s">
        <v>771</v>
      </c>
      <c r="I11280" s="380" t="s">
        <v>788</v>
      </c>
      <c r="J11280" s="380" t="s">
        <v>773</v>
      </c>
      <c r="K11280" s="381">
        <v>0.0</v>
      </c>
      <c r="L11280" s="382">
        <v>1.0</v>
      </c>
    </row>
    <row r="11281">
      <c r="A11281" s="380" t="s">
        <v>12155</v>
      </c>
      <c r="B11281" s="380" t="str">
        <f>IFERROR(__xludf.DUMMYFUNCTION("""COMPUTED_VALUE"""),"Polarizado Parabrisas Vehiculo")</f>
        <v>Polarizado Parabrisas Vehiculo</v>
      </c>
      <c r="C11281" s="380" t="str">
        <f>IFERROR(__xludf.DUMMYFUNCTION("""COMPUTED_VALUE"""),"70006715")</f>
        <v>70006715</v>
      </c>
      <c r="D11281" s="380" t="s">
        <v>767</v>
      </c>
      <c r="E11281" s="380" t="s">
        <v>786</v>
      </c>
      <c r="F11281" s="380" t="s">
        <v>1031</v>
      </c>
      <c r="G11281" s="380" t="s">
        <v>1267</v>
      </c>
      <c r="H11281" s="380" t="s">
        <v>771</v>
      </c>
      <c r="I11281" s="380" t="s">
        <v>788</v>
      </c>
      <c r="J11281" s="380" t="s">
        <v>773</v>
      </c>
      <c r="K11281" s="381">
        <v>0.0</v>
      </c>
      <c r="L11281" s="382">
        <v>1.0</v>
      </c>
    </row>
    <row r="11282">
      <c r="A11282" s="380" t="s">
        <v>12156</v>
      </c>
      <c r="B11282" s="380" t="str">
        <f>IFERROR(__xludf.DUMMYFUNCTION("""COMPUTED_VALUE"""),"Inyector Urea International Lt 5307918")</f>
        <v>Inyector Urea International Lt 5307918</v>
      </c>
      <c r="C11282" s="380" t="str">
        <f>IFERROR(__xludf.DUMMYFUNCTION("""COMPUTED_VALUE"""),"70006716")</f>
        <v>70006716</v>
      </c>
      <c r="D11282" s="380" t="s">
        <v>767</v>
      </c>
      <c r="E11282" s="380" t="s">
        <v>786</v>
      </c>
      <c r="F11282" s="380" t="s">
        <v>787</v>
      </c>
      <c r="G11282" s="380" t="s">
        <v>1267</v>
      </c>
      <c r="H11282" s="380" t="s">
        <v>771</v>
      </c>
      <c r="I11282" s="380" t="s">
        <v>788</v>
      </c>
      <c r="J11282" s="380" t="s">
        <v>773</v>
      </c>
      <c r="K11282" s="381">
        <v>0.0</v>
      </c>
      <c r="L11282" s="382">
        <v>1.0</v>
      </c>
    </row>
    <row r="11283">
      <c r="A11283" s="380" t="s">
        <v>12157</v>
      </c>
      <c r="B11283" s="380" t="str">
        <f>IFERROR(__xludf.DUMMYFUNCTION("""COMPUTED_VALUE"""),"Soporte Caucho Cardan Jac 1042 Zf0194")</f>
        <v>Soporte Caucho Cardan Jac 1042 Zf0194</v>
      </c>
      <c r="C11283" s="380" t="str">
        <f>IFERROR(__xludf.DUMMYFUNCTION("""COMPUTED_VALUE"""),"70006717")</f>
        <v>70006717</v>
      </c>
      <c r="D11283" s="380" t="s">
        <v>767</v>
      </c>
      <c r="E11283" s="380" t="s">
        <v>786</v>
      </c>
      <c r="F11283" s="380" t="s">
        <v>5683</v>
      </c>
      <c r="G11283" s="380" t="s">
        <v>1267</v>
      </c>
      <c r="H11283" s="380" t="s">
        <v>771</v>
      </c>
      <c r="I11283" s="380" t="s">
        <v>788</v>
      </c>
      <c r="J11283" s="380" t="s">
        <v>773</v>
      </c>
      <c r="K11283" s="381">
        <v>0.0</v>
      </c>
      <c r="L11283" s="382">
        <v>1.0</v>
      </c>
    </row>
    <row r="11284">
      <c r="A11284" s="380" t="s">
        <v>12158</v>
      </c>
      <c r="B11284" s="380" t="str">
        <f>IFERROR(__xludf.DUMMYFUNCTION("""COMPUTED_VALUE"""),"Polarizado Ventana Vehiculo")</f>
        <v>Polarizado Ventana Vehiculo</v>
      </c>
      <c r="C11284" s="380" t="str">
        <f>IFERROR(__xludf.DUMMYFUNCTION("""COMPUTED_VALUE"""),"70006718")</f>
        <v>70006718</v>
      </c>
      <c r="D11284" s="380" t="s">
        <v>767</v>
      </c>
      <c r="E11284" s="380" t="s">
        <v>786</v>
      </c>
      <c r="F11284" s="380" t="s">
        <v>1031</v>
      </c>
      <c r="G11284" s="380" t="s">
        <v>1267</v>
      </c>
      <c r="H11284" s="380" t="s">
        <v>771</v>
      </c>
      <c r="I11284" s="380" t="s">
        <v>788</v>
      </c>
      <c r="J11284" s="380" t="s">
        <v>773</v>
      </c>
      <c r="K11284" s="381">
        <v>0.0</v>
      </c>
      <c r="L11284" s="382">
        <v>1.0</v>
      </c>
    </row>
    <row r="11285">
      <c r="A11285" s="380" t="s">
        <v>12159</v>
      </c>
      <c r="B11285" s="380" t="str">
        <f>IFERROR(__xludf.DUMMYFUNCTION("""COMPUTED_VALUE"""),"Correa VENT Planta ELEC 8pk1460 Dayco 8p")</f>
        <v>Correa VENT Planta ELEC 8pk1460 Dayco 8p</v>
      </c>
      <c r="C11285" s="380" t="str">
        <f>IFERROR(__xludf.DUMMYFUNCTION("""COMPUTED_VALUE"""),"70006719")</f>
        <v>70006719</v>
      </c>
      <c r="D11285" s="380" t="s">
        <v>767</v>
      </c>
      <c r="E11285" s="380" t="s">
        <v>786</v>
      </c>
      <c r="F11285" s="380" t="s">
        <v>787</v>
      </c>
      <c r="G11285" s="380" t="s">
        <v>1267</v>
      </c>
      <c r="H11285" s="380" t="s">
        <v>771</v>
      </c>
      <c r="I11285" s="380" t="s">
        <v>788</v>
      </c>
      <c r="J11285" s="380" t="s">
        <v>773</v>
      </c>
      <c r="K11285" s="381">
        <v>0.0</v>
      </c>
      <c r="L11285" s="382">
        <v>1.0</v>
      </c>
    </row>
    <row r="11286">
      <c r="A11286" s="380" t="s">
        <v>12160</v>
      </c>
      <c r="B11286" s="380" t="str">
        <f>IFERROR(__xludf.DUMMYFUNCTION("""COMPUTED_VALUE"""),"Horquilla Rodamiento EMB FT 1039 7701023")</f>
        <v>Horquilla Rodamiento EMB FT 1039 7701023</v>
      </c>
      <c r="C11286" s="380" t="str">
        <f>IFERROR(__xludf.DUMMYFUNCTION("""COMPUTED_VALUE"""),"70006720")</f>
        <v>70006720</v>
      </c>
      <c r="D11286" s="380" t="s">
        <v>767</v>
      </c>
      <c r="E11286" s="380" t="s">
        <v>786</v>
      </c>
      <c r="F11286" s="380" t="s">
        <v>928</v>
      </c>
      <c r="G11286" s="380" t="s">
        <v>1267</v>
      </c>
      <c r="H11286" s="380" t="s">
        <v>771</v>
      </c>
      <c r="I11286" s="380" t="s">
        <v>788</v>
      </c>
      <c r="J11286" s="380" t="s">
        <v>773</v>
      </c>
      <c r="K11286" s="381">
        <v>0.0</v>
      </c>
      <c r="L11286" s="382">
        <v>1.0</v>
      </c>
    </row>
    <row r="11287">
      <c r="A11287" s="380" t="s">
        <v>12161</v>
      </c>
      <c r="B11287" s="380" t="str">
        <f>IFERROR(__xludf.DUMMYFUNCTION("""COMPUTED_VALUE"""),"Modulo Abs Inter Lt K168419sc010")</f>
        <v>Modulo Abs Inter Lt K168419sc010</v>
      </c>
      <c r="C11287" s="380" t="str">
        <f>IFERROR(__xludf.DUMMYFUNCTION("""COMPUTED_VALUE"""),"70006721")</f>
        <v>70006721</v>
      </c>
      <c r="D11287" s="380" t="s">
        <v>767</v>
      </c>
      <c r="E11287" s="380" t="s">
        <v>786</v>
      </c>
      <c r="F11287" s="380" t="s">
        <v>998</v>
      </c>
      <c r="G11287" s="380" t="s">
        <v>1267</v>
      </c>
      <c r="H11287" s="380" t="s">
        <v>771</v>
      </c>
      <c r="I11287" s="380" t="s">
        <v>788</v>
      </c>
      <c r="J11287" s="380" t="s">
        <v>773</v>
      </c>
      <c r="K11287" s="381">
        <v>0.0</v>
      </c>
      <c r="L11287" s="382">
        <v>1.0</v>
      </c>
    </row>
    <row r="11288">
      <c r="A11288" s="380" t="s">
        <v>12162</v>
      </c>
      <c r="B11288" s="380" t="str">
        <f>IFERROR(__xludf.DUMMYFUNCTION("""COMPUTED_VALUE"""),"Tapa Valvulas Foton Mv5 7705946015721")</f>
        <v>Tapa Valvulas Foton Mv5 7705946015721</v>
      </c>
      <c r="C11288" s="380" t="str">
        <f>IFERROR(__xludf.DUMMYFUNCTION("""COMPUTED_VALUE"""),"70006722")</f>
        <v>70006722</v>
      </c>
      <c r="D11288" s="380" t="s">
        <v>767</v>
      </c>
      <c r="E11288" s="380" t="s">
        <v>786</v>
      </c>
      <c r="F11288" s="380" t="s">
        <v>787</v>
      </c>
      <c r="G11288" s="380" t="s">
        <v>1267</v>
      </c>
      <c r="H11288" s="380" t="s">
        <v>771</v>
      </c>
      <c r="I11288" s="380" t="s">
        <v>788</v>
      </c>
      <c r="J11288" s="380" t="s">
        <v>773</v>
      </c>
      <c r="K11288" s="381">
        <v>0.0</v>
      </c>
      <c r="L11288" s="382">
        <v>1.0</v>
      </c>
    </row>
    <row r="11289">
      <c r="A11289" s="380" t="s">
        <v>12163</v>
      </c>
      <c r="B11289" s="380" t="str">
        <f>IFERROR(__xludf.DUMMYFUNCTION("""COMPUTED_VALUE"""),"Compresor A/C Foton Mv5 7705946193443")</f>
        <v>Compresor A/C Foton Mv5 7705946193443</v>
      </c>
      <c r="C11289" s="380" t="str">
        <f>IFERROR(__xludf.DUMMYFUNCTION("""COMPUTED_VALUE"""),"70006723")</f>
        <v>70006723</v>
      </c>
      <c r="D11289" s="380" t="s">
        <v>767</v>
      </c>
      <c r="E11289" s="380" t="s">
        <v>786</v>
      </c>
      <c r="F11289" s="380" t="s">
        <v>787</v>
      </c>
      <c r="G11289" s="380" t="s">
        <v>1267</v>
      </c>
      <c r="H11289" s="380" t="s">
        <v>771</v>
      </c>
      <c r="I11289" s="380" t="s">
        <v>788</v>
      </c>
      <c r="J11289" s="380" t="s">
        <v>773</v>
      </c>
      <c r="K11289" s="381">
        <v>1622799.0</v>
      </c>
      <c r="L11289" s="382">
        <v>1.0</v>
      </c>
    </row>
    <row r="11290">
      <c r="A11290" s="380" t="s">
        <v>12164</v>
      </c>
      <c r="B11290" s="380" t="str">
        <f>IFERROR(__xludf.DUMMYFUNCTION("""COMPUTED_VALUE"""),"EMP Vidrio TRAS MCK Anthem 25170843")</f>
        <v>EMP Vidrio TRAS MCK Anthem 25170843</v>
      </c>
      <c r="C11290" s="380" t="str">
        <f>IFERROR(__xludf.DUMMYFUNCTION("""COMPUTED_VALUE"""),"70006724")</f>
        <v>70006724</v>
      </c>
      <c r="D11290" s="380" t="s">
        <v>767</v>
      </c>
      <c r="E11290" s="380" t="s">
        <v>786</v>
      </c>
      <c r="F11290" s="380" t="s">
        <v>792</v>
      </c>
      <c r="G11290" s="380" t="s">
        <v>1267</v>
      </c>
      <c r="H11290" s="380" t="s">
        <v>771</v>
      </c>
      <c r="I11290" s="380" t="s">
        <v>788</v>
      </c>
      <c r="J11290" s="380" t="s">
        <v>773</v>
      </c>
      <c r="K11290" s="381">
        <v>0.0</v>
      </c>
      <c r="L11290" s="382">
        <v>1.0</v>
      </c>
    </row>
    <row r="11291">
      <c r="A11291" s="380" t="s">
        <v>12165</v>
      </c>
      <c r="B11291" s="380" t="str">
        <f>IFERROR(__xludf.DUMMYFUNCTION("""COMPUTED_VALUE"""),"Sensor Flujo Aire Maf Nkr Reward 8981132")</f>
        <v>Sensor Flujo Aire Maf Nkr Reward 8981132</v>
      </c>
      <c r="C11291" s="380" t="str">
        <f>IFERROR(__xludf.DUMMYFUNCTION("""COMPUTED_VALUE"""),"70006725")</f>
        <v>70006725</v>
      </c>
      <c r="D11291" s="380" t="s">
        <v>767</v>
      </c>
      <c r="E11291" s="380" t="s">
        <v>786</v>
      </c>
      <c r="F11291" s="380" t="s">
        <v>998</v>
      </c>
      <c r="G11291" s="380" t="s">
        <v>1267</v>
      </c>
      <c r="H11291" s="380" t="s">
        <v>771</v>
      </c>
      <c r="I11291" s="380" t="s">
        <v>788</v>
      </c>
      <c r="J11291" s="380" t="s">
        <v>773</v>
      </c>
      <c r="K11291" s="381">
        <v>0.0</v>
      </c>
      <c r="L11291" s="382">
        <v>1.0</v>
      </c>
    </row>
    <row r="11292">
      <c r="A11292" s="380" t="s">
        <v>12166</v>
      </c>
      <c r="B11292" s="380" t="str">
        <f>IFERROR(__xludf.DUMMYFUNCTION("""COMPUTED_VALUE"""),"Fan Clutch Termico T Prado 16210-62011")</f>
        <v>Fan Clutch Termico T Prado 16210-62011</v>
      </c>
      <c r="C11292" s="380" t="str">
        <f>IFERROR(__xludf.DUMMYFUNCTION("""COMPUTED_VALUE"""),"70006726")</f>
        <v>70006726</v>
      </c>
      <c r="D11292" s="380" t="s">
        <v>767</v>
      </c>
      <c r="E11292" s="380" t="s">
        <v>786</v>
      </c>
      <c r="F11292" s="380" t="s">
        <v>787</v>
      </c>
      <c r="G11292" s="380" t="s">
        <v>1267</v>
      </c>
      <c r="H11292" s="380" t="s">
        <v>771</v>
      </c>
      <c r="I11292" s="380" t="s">
        <v>788</v>
      </c>
      <c r="J11292" s="380" t="s">
        <v>773</v>
      </c>
      <c r="K11292" s="381">
        <v>0.0</v>
      </c>
      <c r="L11292" s="382">
        <v>1.0</v>
      </c>
    </row>
    <row r="11293">
      <c r="A11293" s="380" t="s">
        <v>12167</v>
      </c>
      <c r="B11293" s="380" t="str">
        <f>IFERROR(__xludf.DUMMYFUNCTION("""COMPUTED_VALUE"""),"Alargador Puerta Exterior Derecha Daf 18")</f>
        <v>Alargador Puerta Exterior Derecha Daf 18</v>
      </c>
      <c r="C11293" s="380" t="str">
        <f>IFERROR(__xludf.DUMMYFUNCTION("""COMPUTED_VALUE"""),"70006727")</f>
        <v>70006727</v>
      </c>
      <c r="D11293" s="380" t="s">
        <v>767</v>
      </c>
      <c r="E11293" s="380" t="s">
        <v>786</v>
      </c>
      <c r="F11293" s="380" t="s">
        <v>792</v>
      </c>
      <c r="G11293" s="380" t="s">
        <v>1267</v>
      </c>
      <c r="H11293" s="380" t="s">
        <v>771</v>
      </c>
      <c r="I11293" s="380" t="s">
        <v>788</v>
      </c>
      <c r="J11293" s="380" t="s">
        <v>773</v>
      </c>
      <c r="K11293" s="381">
        <v>0.0</v>
      </c>
      <c r="L11293" s="382">
        <v>1.0</v>
      </c>
    </row>
    <row r="11294">
      <c r="A11294" s="380" t="s">
        <v>12168</v>
      </c>
      <c r="B11294" s="380" t="str">
        <f>IFERROR(__xludf.DUMMYFUNCTION("""COMPUTED_VALUE"""),"SENS De Temp Y Pres De Admision 1128 / 1")</f>
        <v>SENS De Temp Y Pres De Admision 1128 / 1</v>
      </c>
      <c r="C11294" s="380" t="str">
        <f>IFERROR(__xludf.DUMMYFUNCTION("""COMPUTED_VALUE"""),"70006728")</f>
        <v>70006728</v>
      </c>
      <c r="D11294" s="380" t="s">
        <v>767</v>
      </c>
      <c r="E11294" s="380" t="s">
        <v>786</v>
      </c>
      <c r="F11294" s="380" t="s">
        <v>998</v>
      </c>
      <c r="G11294" s="380" t="s">
        <v>1267</v>
      </c>
      <c r="H11294" s="380" t="s">
        <v>771</v>
      </c>
      <c r="I11294" s="380" t="s">
        <v>788</v>
      </c>
      <c r="J11294" s="380" t="s">
        <v>773</v>
      </c>
      <c r="K11294" s="381">
        <v>0.0</v>
      </c>
      <c r="L11294" s="382">
        <v>1.0</v>
      </c>
    </row>
    <row r="11295">
      <c r="A11295" s="380" t="s">
        <v>12169</v>
      </c>
      <c r="B11295" s="380" t="str">
        <f>IFERROR(__xludf.DUMMYFUNCTION("""COMPUTED_VALUE"""),"Jaula De Cojinete De Impulsión Diferenci")</f>
        <v>Jaula De Cojinete De Impulsión Diferenci</v>
      </c>
      <c r="C11295" s="380" t="str">
        <f>IFERROR(__xludf.DUMMYFUNCTION("""COMPUTED_VALUE"""),"70006729")</f>
        <v>70006729</v>
      </c>
      <c r="D11295" s="380" t="s">
        <v>767</v>
      </c>
      <c r="E11295" s="380" t="s">
        <v>786</v>
      </c>
      <c r="F11295" s="380" t="s">
        <v>5683</v>
      </c>
      <c r="G11295" s="380" t="s">
        <v>1267</v>
      </c>
      <c r="H11295" s="380" t="s">
        <v>771</v>
      </c>
      <c r="I11295" s="380" t="s">
        <v>788</v>
      </c>
      <c r="J11295" s="380" t="s">
        <v>773</v>
      </c>
      <c r="K11295" s="381">
        <v>0.0</v>
      </c>
      <c r="L11295" s="382">
        <v>1.0</v>
      </c>
    </row>
    <row r="11296">
      <c r="A11296" s="380" t="s">
        <v>12170</v>
      </c>
      <c r="B11296" s="380" t="str">
        <f>IFERROR(__xludf.DUMMYFUNCTION("""COMPUTED_VALUE"""),"Exploradora Rectangular Led 9 X 15 Cm")</f>
        <v>Exploradora Rectangular Led 9 X 15 Cm</v>
      </c>
      <c r="C11296" s="380" t="str">
        <f>IFERROR(__xludf.DUMMYFUNCTION("""COMPUTED_VALUE"""),"70006730")</f>
        <v>70006730</v>
      </c>
      <c r="D11296" s="380" t="s">
        <v>767</v>
      </c>
      <c r="E11296" s="380" t="s">
        <v>786</v>
      </c>
      <c r="F11296" s="380" t="s">
        <v>998</v>
      </c>
      <c r="G11296" s="380" t="s">
        <v>1267</v>
      </c>
      <c r="H11296" s="380" t="s">
        <v>771</v>
      </c>
      <c r="I11296" s="380" t="s">
        <v>788</v>
      </c>
      <c r="J11296" s="380" t="s">
        <v>773</v>
      </c>
      <c r="K11296" s="381">
        <v>0.0</v>
      </c>
      <c r="L11296" s="382">
        <v>1.0</v>
      </c>
    </row>
    <row r="11297">
      <c r="A11297" s="380" t="s">
        <v>12171</v>
      </c>
      <c r="B11297" s="380" t="str">
        <f>IFERROR(__xludf.DUMMYFUNCTION("""COMPUTED_VALUE"""),"SENS Flujo AIR Maf FT 1039/1065 E Iv 770")</f>
        <v>SENS Flujo AIR Maf FT 1039/1065 E Iv 770</v>
      </c>
      <c r="C11297" s="380" t="str">
        <f>IFERROR(__xludf.DUMMYFUNCTION("""COMPUTED_VALUE"""),"70006731")</f>
        <v>70006731</v>
      </c>
      <c r="D11297" s="380" t="s">
        <v>767</v>
      </c>
      <c r="E11297" s="380" t="s">
        <v>786</v>
      </c>
      <c r="F11297" s="380" t="s">
        <v>998</v>
      </c>
      <c r="G11297" s="380" t="s">
        <v>1267</v>
      </c>
      <c r="H11297" s="380" t="s">
        <v>771</v>
      </c>
      <c r="I11297" s="380" t="s">
        <v>788</v>
      </c>
      <c r="J11297" s="380" t="s">
        <v>773</v>
      </c>
      <c r="K11297" s="381">
        <v>0.0</v>
      </c>
      <c r="L11297" s="382">
        <v>1.0</v>
      </c>
    </row>
    <row r="11298">
      <c r="A11298" s="380" t="s">
        <v>12172</v>
      </c>
      <c r="B11298" s="380" t="str">
        <f>IFERROR(__xludf.DUMMYFUNCTION("""COMPUTED_VALUE"""),"Tubo De Conexion BMB De Agua Daf Cf480 1")</f>
        <v>Tubo De Conexion BMB De Agua Daf Cf480 1</v>
      </c>
      <c r="C11298" s="380" t="str">
        <f>IFERROR(__xludf.DUMMYFUNCTION("""COMPUTED_VALUE"""),"70006732")</f>
        <v>70006732</v>
      </c>
      <c r="D11298" s="380" t="s">
        <v>767</v>
      </c>
      <c r="E11298" s="380" t="s">
        <v>786</v>
      </c>
      <c r="F11298" s="380" t="s">
        <v>787</v>
      </c>
      <c r="G11298" s="380" t="s">
        <v>1267</v>
      </c>
      <c r="H11298" s="380" t="s">
        <v>771</v>
      </c>
      <c r="I11298" s="380" t="s">
        <v>788</v>
      </c>
      <c r="J11298" s="380" t="s">
        <v>773</v>
      </c>
      <c r="K11298" s="381">
        <v>0.0</v>
      </c>
      <c r="L11298" s="382">
        <v>1.0</v>
      </c>
    </row>
    <row r="11299">
      <c r="A11299" s="380" t="s">
        <v>12173</v>
      </c>
      <c r="B11299" s="380" t="str">
        <f>IFERROR(__xludf.DUMMYFUNCTION("""COMPUTED_VALUE"""),"VALV Moduladora Freno Bendix M10 3/8"" IN")</f>
        <v>VALV Moduladora Freno Bendix M10 3/8" IN</v>
      </c>
      <c r="C11299" s="380" t="str">
        <f>IFERROR(__xludf.DUMMYFUNCTION("""COMPUTED_VALUE"""),"70006733")</f>
        <v>70006733</v>
      </c>
      <c r="D11299" s="380" t="s">
        <v>767</v>
      </c>
      <c r="E11299" s="380" t="s">
        <v>786</v>
      </c>
      <c r="F11299" s="380" t="s">
        <v>1017</v>
      </c>
      <c r="G11299" s="380" t="s">
        <v>1267</v>
      </c>
      <c r="H11299" s="380" t="s">
        <v>771</v>
      </c>
      <c r="I11299" s="380" t="s">
        <v>788</v>
      </c>
      <c r="J11299" s="380" t="s">
        <v>773</v>
      </c>
      <c r="K11299" s="381">
        <v>0.0</v>
      </c>
      <c r="L11299" s="382">
        <v>1.0</v>
      </c>
    </row>
    <row r="11300">
      <c r="A11300" s="380" t="s">
        <v>12174</v>
      </c>
      <c r="B11300" s="380" t="str">
        <f>IFERROR(__xludf.DUMMYFUNCTION("""COMPUTED_VALUE"""),"SENS Presion Riel De INY FT 1039 7705946")</f>
        <v>SENS Presion Riel De INY FT 1039 7705946</v>
      </c>
      <c r="C11300" s="380" t="str">
        <f>IFERROR(__xludf.DUMMYFUNCTION("""COMPUTED_VALUE"""),"70006734")</f>
        <v>70006734</v>
      </c>
      <c r="D11300" s="380" t="s">
        <v>767</v>
      </c>
      <c r="E11300" s="380" t="s">
        <v>786</v>
      </c>
      <c r="F11300" s="380" t="s">
        <v>998</v>
      </c>
      <c r="G11300" s="380" t="s">
        <v>1267</v>
      </c>
      <c r="H11300" s="380" t="s">
        <v>771</v>
      </c>
      <c r="I11300" s="380" t="s">
        <v>788</v>
      </c>
      <c r="J11300" s="380" t="s">
        <v>773</v>
      </c>
      <c r="K11300" s="381">
        <v>0.0</v>
      </c>
      <c r="L11300" s="382">
        <v>1.0</v>
      </c>
    </row>
    <row r="11301">
      <c r="A11301" s="380" t="s">
        <v>12175</v>
      </c>
      <c r="B11301" s="380" t="str">
        <f>IFERROR(__xludf.DUMMYFUNCTION("""COMPUTED_VALUE"""),"Modulo Ecu Daf Cf 480ftt 2298833rn")</f>
        <v>Modulo Ecu Daf Cf 480ftt 2298833rn</v>
      </c>
      <c r="C11301" s="380" t="str">
        <f>IFERROR(__xludf.DUMMYFUNCTION("""COMPUTED_VALUE"""),"70006735")</f>
        <v>70006735</v>
      </c>
      <c r="D11301" s="380" t="s">
        <v>767</v>
      </c>
      <c r="E11301" s="380" t="s">
        <v>786</v>
      </c>
      <c r="F11301" s="380" t="s">
        <v>787</v>
      </c>
      <c r="G11301" s="380" t="s">
        <v>1267</v>
      </c>
      <c r="H11301" s="380" t="s">
        <v>771</v>
      </c>
      <c r="I11301" s="380" t="s">
        <v>788</v>
      </c>
      <c r="J11301" s="380" t="s">
        <v>773</v>
      </c>
      <c r="K11301" s="381">
        <v>0.0</v>
      </c>
      <c r="L11301" s="382">
        <v>1.0</v>
      </c>
    </row>
    <row r="11302">
      <c r="A11302" s="380" t="s">
        <v>12176</v>
      </c>
      <c r="B11302" s="380" t="str">
        <f>IFERROR(__xludf.DUMMYFUNCTION("""COMPUTED_VALUE"""),"Perno Culata MOT FT Mv5 7705946015851")</f>
        <v>Perno Culata MOT FT Mv5 7705946015851</v>
      </c>
      <c r="C11302" s="380" t="str">
        <f>IFERROR(__xludf.DUMMYFUNCTION("""COMPUTED_VALUE"""),"70006736")</f>
        <v>70006736</v>
      </c>
      <c r="D11302" s="380" t="s">
        <v>767</v>
      </c>
      <c r="E11302" s="380" t="s">
        <v>786</v>
      </c>
      <c r="F11302" s="380" t="s">
        <v>787</v>
      </c>
      <c r="G11302" s="380" t="s">
        <v>1267</v>
      </c>
      <c r="H11302" s="380" t="s">
        <v>771</v>
      </c>
      <c r="I11302" s="380" t="s">
        <v>788</v>
      </c>
      <c r="J11302" s="380" t="s">
        <v>773</v>
      </c>
      <c r="K11302" s="381">
        <v>0.0</v>
      </c>
      <c r="L11302" s="382">
        <v>1.0</v>
      </c>
    </row>
    <row r="11303">
      <c r="A11303" s="380" t="s">
        <v>12177</v>
      </c>
      <c r="B11303" s="380" t="str">
        <f>IFERROR(__xludf.DUMMYFUNCTION("""COMPUTED_VALUE"""),"Zapa DEL Der MUE DEL INT Lt 3843482c4")</f>
        <v>Zapa DEL Der MUE DEL INT Lt 3843482c4</v>
      </c>
      <c r="C11303" s="380" t="str">
        <f>IFERROR(__xludf.DUMMYFUNCTION("""COMPUTED_VALUE"""),"70006737")</f>
        <v>70006737</v>
      </c>
      <c r="D11303" s="380" t="s">
        <v>767</v>
      </c>
      <c r="E11303" s="380" t="s">
        <v>786</v>
      </c>
      <c r="F11303" s="380" t="s">
        <v>1039</v>
      </c>
      <c r="G11303" s="380" t="s">
        <v>1267</v>
      </c>
      <c r="H11303" s="380" t="s">
        <v>771</v>
      </c>
      <c r="I11303" s="380" t="s">
        <v>788</v>
      </c>
      <c r="J11303" s="380" t="s">
        <v>773</v>
      </c>
      <c r="K11303" s="381">
        <v>0.0</v>
      </c>
      <c r="L11303" s="382">
        <v>1.0</v>
      </c>
    </row>
    <row r="11304">
      <c r="A11304" s="380" t="s">
        <v>12178</v>
      </c>
      <c r="B11304" s="380" t="str">
        <f>IFERROR(__xludf.DUMMYFUNCTION("""COMPUTED_VALUE"""),"Columna DIR FT Mv5 7705946028011")</f>
        <v>Columna DIR FT Mv5 7705946028011</v>
      </c>
      <c r="C11304" s="380" t="str">
        <f>IFERROR(__xludf.DUMMYFUNCTION("""COMPUTED_VALUE"""),"70006738")</f>
        <v>70006738</v>
      </c>
      <c r="D11304" s="380" t="s">
        <v>767</v>
      </c>
      <c r="E11304" s="380" t="s">
        <v>786</v>
      </c>
      <c r="F11304" s="380" t="s">
        <v>1020</v>
      </c>
      <c r="G11304" s="380" t="s">
        <v>1267</v>
      </c>
      <c r="H11304" s="380" t="s">
        <v>771</v>
      </c>
      <c r="I11304" s="380" t="s">
        <v>788</v>
      </c>
      <c r="J11304" s="380" t="s">
        <v>773</v>
      </c>
      <c r="K11304" s="381">
        <v>0.0</v>
      </c>
      <c r="L11304" s="382">
        <v>1.0</v>
      </c>
    </row>
    <row r="11305">
      <c r="A11305" s="380" t="s">
        <v>12179</v>
      </c>
      <c r="B11305" s="380" t="str">
        <f>IFERROR(__xludf.DUMMYFUNCTION("""COMPUTED_VALUE"""),"Refuerzo Apertura Rejilla Capo INT Lt 41")</f>
        <v>Refuerzo Apertura Rejilla Capo INT Lt 41</v>
      </c>
      <c r="C11305" s="380" t="str">
        <f>IFERROR(__xludf.DUMMYFUNCTION("""COMPUTED_VALUE"""),"70006739")</f>
        <v>70006739</v>
      </c>
      <c r="D11305" s="380" t="s">
        <v>767</v>
      </c>
      <c r="E11305" s="380" t="s">
        <v>786</v>
      </c>
      <c r="F11305" s="380" t="s">
        <v>792</v>
      </c>
      <c r="G11305" s="380" t="s">
        <v>1267</v>
      </c>
      <c r="H11305" s="380" t="s">
        <v>771</v>
      </c>
      <c r="I11305" s="380" t="s">
        <v>788</v>
      </c>
      <c r="J11305" s="380" t="s">
        <v>773</v>
      </c>
      <c r="K11305" s="381">
        <v>0.0</v>
      </c>
      <c r="L11305" s="382">
        <v>1.0</v>
      </c>
    </row>
    <row r="11306">
      <c r="A11306" s="380" t="s">
        <v>12180</v>
      </c>
      <c r="B11306" s="380" t="str">
        <f>IFERROR(__xludf.DUMMYFUNCTION("""COMPUTED_VALUE"""),"Relay Hino 300 24v 90987-02018")</f>
        <v>Relay Hino 300 24v 90987-02018</v>
      </c>
      <c r="C11306" s="380" t="str">
        <f>IFERROR(__xludf.DUMMYFUNCTION("""COMPUTED_VALUE"""),"70006740")</f>
        <v>70006740</v>
      </c>
      <c r="D11306" s="380" t="s">
        <v>767</v>
      </c>
      <c r="E11306" s="380" t="s">
        <v>786</v>
      </c>
      <c r="F11306" s="380" t="s">
        <v>998</v>
      </c>
      <c r="G11306" s="380" t="s">
        <v>1267</v>
      </c>
      <c r="H11306" s="380" t="s">
        <v>771</v>
      </c>
      <c r="I11306" s="380" t="s">
        <v>788</v>
      </c>
      <c r="J11306" s="380" t="s">
        <v>773</v>
      </c>
      <c r="K11306" s="381">
        <v>48300.0</v>
      </c>
      <c r="L11306" s="382">
        <v>1.0</v>
      </c>
    </row>
    <row r="11307">
      <c r="A11307" s="380" t="s">
        <v>12181</v>
      </c>
      <c r="B11307" s="380" t="str">
        <f>IFERROR(__xludf.DUMMYFUNCTION("""COMPUTED_VALUE"""),"Manija Interior Derecha Nkr Iii 89740938")</f>
        <v>Manija Interior Derecha Nkr Iii 89740938</v>
      </c>
      <c r="C11307" s="380" t="str">
        <f>IFERROR(__xludf.DUMMYFUNCTION("""COMPUTED_VALUE"""),"70006741")</f>
        <v>70006741</v>
      </c>
      <c r="D11307" s="380" t="s">
        <v>767</v>
      </c>
      <c r="E11307" s="380" t="s">
        <v>786</v>
      </c>
      <c r="F11307" s="380" t="s">
        <v>792</v>
      </c>
      <c r="G11307" s="380" t="s">
        <v>1267</v>
      </c>
      <c r="H11307" s="380" t="s">
        <v>771</v>
      </c>
      <c r="I11307" s="380" t="s">
        <v>788</v>
      </c>
      <c r="J11307" s="380" t="s">
        <v>773</v>
      </c>
      <c r="K11307" s="381">
        <v>0.0</v>
      </c>
      <c r="L11307" s="382">
        <v>1.0</v>
      </c>
    </row>
    <row r="11308">
      <c r="A11308" s="380" t="s">
        <v>12182</v>
      </c>
      <c r="B11308" s="380" t="str">
        <f>IFERROR(__xludf.DUMMYFUNCTION("""COMPUTED_VALUE"""),"Varilla Medidora Aceite HN 500 15301e087")</f>
        <v>Varilla Medidora Aceite HN 500 15301e087</v>
      </c>
      <c r="C11308" s="380" t="str">
        <f>IFERROR(__xludf.DUMMYFUNCTION("""COMPUTED_VALUE"""),"70006742")</f>
        <v>70006742</v>
      </c>
      <c r="D11308" s="380" t="s">
        <v>767</v>
      </c>
      <c r="E11308" s="380" t="s">
        <v>786</v>
      </c>
      <c r="F11308" s="380" t="s">
        <v>787</v>
      </c>
      <c r="G11308" s="380" t="s">
        <v>1267</v>
      </c>
      <c r="H11308" s="380" t="s">
        <v>771</v>
      </c>
      <c r="I11308" s="380" t="s">
        <v>788</v>
      </c>
      <c r="J11308" s="380" t="s">
        <v>773</v>
      </c>
      <c r="K11308" s="381">
        <v>0.0</v>
      </c>
      <c r="L11308" s="382">
        <v>1.0</v>
      </c>
    </row>
    <row r="11309">
      <c r="A11309" s="380" t="s">
        <v>12183</v>
      </c>
      <c r="B11309" s="380" t="str">
        <f>IFERROR(__xludf.DUMMYFUNCTION("""COMPUTED_VALUE"""),"Blower Aire Acondicionado Inter Lt 40688")</f>
        <v>Blower Aire Acondicionado Inter Lt 40688</v>
      </c>
      <c r="C11309" s="380" t="str">
        <f>IFERROR(__xludf.DUMMYFUNCTION("""COMPUTED_VALUE"""),"70006743")</f>
        <v>70006743</v>
      </c>
      <c r="D11309" s="380" t="s">
        <v>767</v>
      </c>
      <c r="E11309" s="380" t="s">
        <v>786</v>
      </c>
      <c r="F11309" s="380" t="s">
        <v>1031</v>
      </c>
      <c r="G11309" s="380" t="s">
        <v>1267</v>
      </c>
      <c r="H11309" s="380" t="s">
        <v>771</v>
      </c>
      <c r="I11309" s="380" t="s">
        <v>788</v>
      </c>
      <c r="J11309" s="380" t="s">
        <v>773</v>
      </c>
      <c r="K11309" s="381">
        <v>0.0</v>
      </c>
      <c r="L11309" s="382">
        <v>1.0</v>
      </c>
    </row>
    <row r="11310">
      <c r="A11310" s="380" t="s">
        <v>12184</v>
      </c>
      <c r="B11310" s="380" t="str">
        <f>IFERROR(__xludf.DUMMYFUNCTION("""COMPUTED_VALUE"""),"Base Fan Clutch Kenworth T800 010024118")</f>
        <v>Base Fan Clutch Kenworth T800 010024118</v>
      </c>
      <c r="C11310" s="380" t="str">
        <f>IFERROR(__xludf.DUMMYFUNCTION("""COMPUTED_VALUE"""),"70006744")</f>
        <v>70006744</v>
      </c>
      <c r="D11310" s="380" t="s">
        <v>767</v>
      </c>
      <c r="E11310" s="380" t="s">
        <v>786</v>
      </c>
      <c r="F11310" s="380" t="s">
        <v>787</v>
      </c>
      <c r="G11310" s="380" t="s">
        <v>1267</v>
      </c>
      <c r="H11310" s="380" t="s">
        <v>771</v>
      </c>
      <c r="I11310" s="380" t="s">
        <v>788</v>
      </c>
      <c r="J11310" s="380" t="s">
        <v>773</v>
      </c>
      <c r="K11310" s="381">
        <v>0.0</v>
      </c>
      <c r="L11310" s="382">
        <v>1.0</v>
      </c>
    </row>
    <row r="11311">
      <c r="A11311" s="380" t="s">
        <v>12185</v>
      </c>
      <c r="B11311" s="380" t="str">
        <f>IFERROR(__xludf.DUMMYFUNCTION("""COMPUTED_VALUE"""),"Polea Cigueñal Damper FT 1039 7701023551")</f>
        <v>Polea Cigueñal Damper FT 1039 7701023551</v>
      </c>
      <c r="C11311" s="380" t="str">
        <f>IFERROR(__xludf.DUMMYFUNCTION("""COMPUTED_VALUE"""),"70006745")</f>
        <v>70006745</v>
      </c>
      <c r="D11311" s="380" t="s">
        <v>767</v>
      </c>
      <c r="E11311" s="380" t="s">
        <v>786</v>
      </c>
      <c r="F11311" s="380" t="s">
        <v>787</v>
      </c>
      <c r="G11311" s="380" t="s">
        <v>1267</v>
      </c>
      <c r="H11311" s="380" t="s">
        <v>771</v>
      </c>
      <c r="I11311" s="380" t="s">
        <v>788</v>
      </c>
      <c r="J11311" s="380" t="s">
        <v>773</v>
      </c>
      <c r="K11311" s="381">
        <v>0.0</v>
      </c>
      <c r="L11311" s="382">
        <v>1.0</v>
      </c>
    </row>
    <row r="11312">
      <c r="A11312" s="380" t="s">
        <v>12186</v>
      </c>
      <c r="B11312" s="380" t="str">
        <f>IFERROR(__xludf.DUMMYFUNCTION("""COMPUTED_VALUE"""),"Tanque De Vacio Dong Feng 1.0t 11054168")</f>
        <v>Tanque De Vacio Dong Feng 1.0t 11054168</v>
      </c>
      <c r="C11312" s="380" t="str">
        <f>IFERROR(__xludf.DUMMYFUNCTION("""COMPUTED_VALUE"""),"70006746")</f>
        <v>70006746</v>
      </c>
      <c r="D11312" s="380" t="s">
        <v>767</v>
      </c>
      <c r="E11312" s="380" t="s">
        <v>786</v>
      </c>
      <c r="F11312" s="380" t="s">
        <v>1017</v>
      </c>
      <c r="G11312" s="380" t="s">
        <v>1267</v>
      </c>
      <c r="H11312" s="380" t="s">
        <v>771</v>
      </c>
      <c r="I11312" s="380" t="s">
        <v>788</v>
      </c>
      <c r="J11312" s="380" t="s">
        <v>773</v>
      </c>
      <c r="K11312" s="381">
        <v>0.0</v>
      </c>
      <c r="L11312" s="382">
        <v>1.0</v>
      </c>
    </row>
    <row r="11313">
      <c r="A11313" s="380" t="s">
        <v>12187</v>
      </c>
      <c r="B11313" s="380" t="str">
        <f>IFERROR(__xludf.DUMMYFUNCTION("""COMPUTED_VALUE"""),"Alargador Puerta Interior Derecha Daf 18")</f>
        <v>Alargador Puerta Interior Derecha Daf 18</v>
      </c>
      <c r="C11313" s="380" t="str">
        <f>IFERROR(__xludf.DUMMYFUNCTION("""COMPUTED_VALUE"""),"70006747")</f>
        <v>70006747</v>
      </c>
      <c r="D11313" s="380" t="s">
        <v>767</v>
      </c>
      <c r="E11313" s="380" t="s">
        <v>786</v>
      </c>
      <c r="F11313" s="380" t="s">
        <v>792</v>
      </c>
      <c r="G11313" s="380" t="s">
        <v>1267</v>
      </c>
      <c r="H11313" s="380" t="s">
        <v>771</v>
      </c>
      <c r="I11313" s="380" t="s">
        <v>788</v>
      </c>
      <c r="J11313" s="380" t="s">
        <v>773</v>
      </c>
      <c r="K11313" s="381">
        <v>729817.0</v>
      </c>
      <c r="L11313" s="382">
        <v>1.0</v>
      </c>
    </row>
    <row r="11314">
      <c r="A11314" s="380" t="s">
        <v>12188</v>
      </c>
      <c r="B11314" s="380" t="str">
        <f>IFERROR(__xludf.DUMMYFUNCTION("""COMPUTED_VALUE"""),"Seccion De Fijacion Alargador PTA DER Da")</f>
        <v>Seccion De Fijacion Alargador PTA DER Da</v>
      </c>
      <c r="C11314" s="380" t="str">
        <f>IFERROR(__xludf.DUMMYFUNCTION("""COMPUTED_VALUE"""),"70006748")</f>
        <v>70006748</v>
      </c>
      <c r="D11314" s="380" t="s">
        <v>767</v>
      </c>
      <c r="E11314" s="380" t="s">
        <v>786</v>
      </c>
      <c r="F11314" s="380" t="s">
        <v>792</v>
      </c>
      <c r="G11314" s="380" t="s">
        <v>1267</v>
      </c>
      <c r="H11314" s="380" t="s">
        <v>771</v>
      </c>
      <c r="I11314" s="380" t="s">
        <v>788</v>
      </c>
      <c r="J11314" s="380" t="s">
        <v>773</v>
      </c>
      <c r="K11314" s="381">
        <v>0.0</v>
      </c>
      <c r="L11314" s="382">
        <v>1.0</v>
      </c>
    </row>
    <row r="11315">
      <c r="A11315" s="380" t="s">
        <v>12189</v>
      </c>
      <c r="B11315" s="380" t="str">
        <f>IFERROR(__xludf.DUMMYFUNCTION("""COMPUTED_VALUE"""),"DEP Liquido De Frenos Nhr/Nkr Hasta 2011")</f>
        <v>DEP Liquido De Frenos Nhr/Nkr Hasta 2011</v>
      </c>
      <c r="C11315" s="380" t="str">
        <f>IFERROR(__xludf.DUMMYFUNCTION("""COMPUTED_VALUE"""),"70006749")</f>
        <v>70006749</v>
      </c>
      <c r="D11315" s="380" t="s">
        <v>767</v>
      </c>
      <c r="E11315" s="380" t="s">
        <v>786</v>
      </c>
      <c r="F11315" s="380" t="s">
        <v>1017</v>
      </c>
      <c r="G11315" s="380" t="s">
        <v>1267</v>
      </c>
      <c r="H11315" s="380" t="s">
        <v>771</v>
      </c>
      <c r="I11315" s="380" t="s">
        <v>788</v>
      </c>
      <c r="J11315" s="380" t="s">
        <v>773</v>
      </c>
      <c r="K11315" s="381">
        <v>0.0</v>
      </c>
      <c r="L11315" s="382">
        <v>1.0</v>
      </c>
    </row>
    <row r="11316">
      <c r="A11316" s="380" t="s">
        <v>12190</v>
      </c>
      <c r="B11316" s="380" t="str">
        <f>IFERROR(__xludf.DUMMYFUNCTION("""COMPUTED_VALUE"""),"Grapa 1 MUE DEL FT 1128 5/8"" X3"" X7""")</f>
        <v>Grapa 1 MUE DEL FT 1128 5/8" X3" X7"</v>
      </c>
      <c r="C11316" s="380" t="str">
        <f>IFERROR(__xludf.DUMMYFUNCTION("""COMPUTED_VALUE"""),"70006750")</f>
        <v>70006750</v>
      </c>
      <c r="D11316" s="380" t="s">
        <v>767</v>
      </c>
      <c r="E11316" s="380" t="s">
        <v>786</v>
      </c>
      <c r="F11316" s="380" t="s">
        <v>1039</v>
      </c>
      <c r="G11316" s="380" t="s">
        <v>1267</v>
      </c>
      <c r="H11316" s="380" t="s">
        <v>771</v>
      </c>
      <c r="I11316" s="380" t="s">
        <v>788</v>
      </c>
      <c r="J11316" s="380" t="s">
        <v>773</v>
      </c>
      <c r="K11316" s="381">
        <v>0.0</v>
      </c>
      <c r="L11316" s="382">
        <v>1.0</v>
      </c>
    </row>
    <row r="11317">
      <c r="A11317" s="380" t="s">
        <v>12191</v>
      </c>
      <c r="B11317" s="380" t="str">
        <f>IFERROR(__xludf.DUMMYFUNCTION("""COMPUTED_VALUE"""),"Varilla CTRL Altura CAB EGL 2586494c1")</f>
        <v>Varilla CTRL Altura CAB EGL 2586494c1</v>
      </c>
      <c r="C11317" s="380" t="str">
        <f>IFERROR(__xludf.DUMMYFUNCTION("""COMPUTED_VALUE"""),"70006751")</f>
        <v>70006751</v>
      </c>
      <c r="D11317" s="380" t="s">
        <v>767</v>
      </c>
      <c r="E11317" s="380" t="s">
        <v>786</v>
      </c>
      <c r="F11317" s="380" t="s">
        <v>792</v>
      </c>
      <c r="G11317" s="380" t="s">
        <v>1267</v>
      </c>
      <c r="H11317" s="380" t="s">
        <v>771</v>
      </c>
      <c r="I11317" s="380" t="s">
        <v>788</v>
      </c>
      <c r="J11317" s="380" t="s">
        <v>773</v>
      </c>
      <c r="K11317" s="381">
        <v>77598.0</v>
      </c>
      <c r="L11317" s="382">
        <v>1.0</v>
      </c>
    </row>
    <row r="11318">
      <c r="A11318" s="380" t="s">
        <v>12192</v>
      </c>
      <c r="B11318" s="380" t="str">
        <f>IFERROR(__xludf.DUMMYFUNCTION("""COMPUTED_VALUE"""),"Grapa 2 MUE DEL FT 1128 5/8"" X3"" X9""")</f>
        <v>Grapa 2 MUE DEL FT 1128 5/8" X3" X9"</v>
      </c>
      <c r="C11318" s="380" t="str">
        <f>IFERROR(__xludf.DUMMYFUNCTION("""COMPUTED_VALUE"""),"70006752")</f>
        <v>70006752</v>
      </c>
      <c r="D11318" s="380" t="s">
        <v>767</v>
      </c>
      <c r="E11318" s="380" t="s">
        <v>786</v>
      </c>
      <c r="F11318" s="380" t="s">
        <v>1039</v>
      </c>
      <c r="G11318" s="380" t="s">
        <v>1267</v>
      </c>
      <c r="H11318" s="380" t="s">
        <v>771</v>
      </c>
      <c r="I11318" s="380" t="s">
        <v>788</v>
      </c>
      <c r="J11318" s="380" t="s">
        <v>773</v>
      </c>
      <c r="K11318" s="381">
        <v>0.0</v>
      </c>
      <c r="L11318" s="382">
        <v>1.0</v>
      </c>
    </row>
    <row r="11319">
      <c r="A11319" s="380" t="s">
        <v>12193</v>
      </c>
      <c r="B11319" s="380" t="str">
        <f>IFERROR(__xludf.DUMMYFUNCTION("""COMPUTED_VALUE"""),"Tuerca De Brida Diferencial Daf Cf480- 1")</f>
        <v>Tuerca De Brida Diferencial Daf Cf480- 1</v>
      </c>
      <c r="C11319" s="380" t="str">
        <f>IFERROR(__xludf.DUMMYFUNCTION("""COMPUTED_VALUE"""),"70006753")</f>
        <v>70006753</v>
      </c>
      <c r="D11319" s="380" t="s">
        <v>767</v>
      </c>
      <c r="E11319" s="380" t="s">
        <v>786</v>
      </c>
      <c r="F11319" s="380" t="s">
        <v>5683</v>
      </c>
      <c r="G11319" s="380" t="s">
        <v>1267</v>
      </c>
      <c r="H11319" s="380" t="s">
        <v>771</v>
      </c>
      <c r="I11319" s="380" t="s">
        <v>788</v>
      </c>
      <c r="J11319" s="380" t="s">
        <v>773</v>
      </c>
      <c r="K11319" s="381">
        <v>0.0</v>
      </c>
      <c r="L11319" s="382">
        <v>1.0</v>
      </c>
    </row>
    <row r="11320">
      <c r="A11320" s="380" t="s">
        <v>12194</v>
      </c>
      <c r="B11320" s="380" t="str">
        <f>IFERROR(__xludf.DUMMYFUNCTION("""COMPUTED_VALUE"""),"Arandela De Empuje Diferencial Daf Cf480")</f>
        <v>Arandela De Empuje Diferencial Daf Cf480</v>
      </c>
      <c r="C11320" s="380" t="str">
        <f>IFERROR(__xludf.DUMMYFUNCTION("""COMPUTED_VALUE"""),"70006754")</f>
        <v>70006754</v>
      </c>
      <c r="D11320" s="380" t="s">
        <v>767</v>
      </c>
      <c r="E11320" s="380" t="s">
        <v>786</v>
      </c>
      <c r="F11320" s="380" t="s">
        <v>5683</v>
      </c>
      <c r="G11320" s="380" t="s">
        <v>1267</v>
      </c>
      <c r="H11320" s="380" t="s">
        <v>771</v>
      </c>
      <c r="I11320" s="380" t="s">
        <v>788</v>
      </c>
      <c r="J11320" s="380" t="s">
        <v>773</v>
      </c>
      <c r="K11320" s="381">
        <v>0.0</v>
      </c>
      <c r="L11320" s="382">
        <v>1.0</v>
      </c>
    </row>
    <row r="11321">
      <c r="A11321" s="380" t="s">
        <v>12195</v>
      </c>
      <c r="B11321" s="380" t="str">
        <f>IFERROR(__xludf.DUMMYFUNCTION("""COMPUTED_VALUE"""),"FILT AIR Secundario Planta Sincelejo Gob")</f>
        <v>FILT AIR Secundario Planta Sincelejo Gob</v>
      </c>
      <c r="C11321" s="380" t="str">
        <f>IFERROR(__xludf.DUMMYFUNCTION("""COMPUTED_VALUE"""),"70006755")</f>
        <v>70006755</v>
      </c>
      <c r="D11321" s="380" t="s">
        <v>767</v>
      </c>
      <c r="E11321" s="380" t="s">
        <v>786</v>
      </c>
      <c r="F11321" s="380" t="s">
        <v>5855</v>
      </c>
      <c r="G11321" s="380" t="s">
        <v>1267</v>
      </c>
      <c r="H11321" s="380" t="s">
        <v>771</v>
      </c>
      <c r="I11321" s="380" t="s">
        <v>788</v>
      </c>
      <c r="J11321" s="380" t="s">
        <v>773</v>
      </c>
      <c r="K11321" s="381">
        <v>0.0</v>
      </c>
      <c r="L11321" s="382">
        <v>1.0</v>
      </c>
    </row>
    <row r="11322">
      <c r="A11322" s="380" t="s">
        <v>12196</v>
      </c>
      <c r="B11322" s="380" t="str">
        <f>IFERROR(__xludf.DUMMYFUNCTION("""COMPUTED_VALUE"""),"Kit Graduacion Freno Tras Izq FT 1030 77")</f>
        <v>Kit Graduacion Freno Tras Izq FT 1030 77</v>
      </c>
      <c r="C11322" s="380" t="str">
        <f>IFERROR(__xludf.DUMMYFUNCTION("""COMPUTED_VALUE"""),"70006756")</f>
        <v>70006756</v>
      </c>
      <c r="D11322" s="380" t="s">
        <v>767</v>
      </c>
      <c r="E11322" s="380" t="s">
        <v>786</v>
      </c>
      <c r="F11322" s="380" t="s">
        <v>1017</v>
      </c>
      <c r="G11322" s="380" t="s">
        <v>1267</v>
      </c>
      <c r="H11322" s="380" t="s">
        <v>771</v>
      </c>
      <c r="I11322" s="380" t="s">
        <v>788</v>
      </c>
      <c r="J11322" s="380" t="s">
        <v>773</v>
      </c>
      <c r="K11322" s="381">
        <v>0.0</v>
      </c>
      <c r="L11322" s="382">
        <v>1.0</v>
      </c>
    </row>
    <row r="11323">
      <c r="A11323" s="380" t="s">
        <v>12197</v>
      </c>
      <c r="B11323" s="380" t="str">
        <f>IFERROR(__xludf.DUMMYFUNCTION("""COMPUTED_VALUE"""),"Kit Graduacion Freno Tras Der FT 1030 77")</f>
        <v>Kit Graduacion Freno Tras Der FT 1030 77</v>
      </c>
      <c r="C11323" s="380" t="str">
        <f>IFERROR(__xludf.DUMMYFUNCTION("""COMPUTED_VALUE"""),"70006757")</f>
        <v>70006757</v>
      </c>
      <c r="D11323" s="380" t="s">
        <v>767</v>
      </c>
      <c r="E11323" s="380" t="s">
        <v>786</v>
      </c>
      <c r="F11323" s="380" t="s">
        <v>1017</v>
      </c>
      <c r="G11323" s="380" t="s">
        <v>1267</v>
      </c>
      <c r="H11323" s="380" t="s">
        <v>771</v>
      </c>
      <c r="I11323" s="380" t="s">
        <v>788</v>
      </c>
      <c r="J11323" s="380" t="s">
        <v>773</v>
      </c>
      <c r="K11323" s="381">
        <v>0.0</v>
      </c>
      <c r="L11323" s="382">
        <v>1.0</v>
      </c>
    </row>
    <row r="11324">
      <c r="A11324" s="380" t="s">
        <v>12198</v>
      </c>
      <c r="B11324" s="380" t="str">
        <f>IFERROR(__xludf.DUMMYFUNCTION("""COMPUTED_VALUE"""),"Riel Silla International Lt 2614642c91")</f>
        <v>Riel Silla International Lt 2614642c91</v>
      </c>
      <c r="C11324" s="380" t="str">
        <f>IFERROR(__xludf.DUMMYFUNCTION("""COMPUTED_VALUE"""),"70006758")</f>
        <v>70006758</v>
      </c>
      <c r="D11324" s="380" t="s">
        <v>767</v>
      </c>
      <c r="E11324" s="380" t="s">
        <v>786</v>
      </c>
      <c r="F11324" s="380" t="s">
        <v>792</v>
      </c>
      <c r="G11324" s="380" t="s">
        <v>1267</v>
      </c>
      <c r="H11324" s="380" t="s">
        <v>771</v>
      </c>
      <c r="I11324" s="380" t="s">
        <v>788</v>
      </c>
      <c r="J11324" s="380" t="s">
        <v>773</v>
      </c>
      <c r="K11324" s="381">
        <v>0.0</v>
      </c>
      <c r="L11324" s="382">
        <v>1.0</v>
      </c>
    </row>
    <row r="11325">
      <c r="A11325" s="380" t="s">
        <v>12199</v>
      </c>
      <c r="B11325" s="380" t="str">
        <f>IFERROR(__xludf.DUMMYFUNCTION("""COMPUTED_VALUE"""),"SOP MUE TRAS Parte DEL Frr 1533530904")</f>
        <v>SOP MUE TRAS Parte DEL Frr 1533530904</v>
      </c>
      <c r="C11325" s="380" t="str">
        <f>IFERROR(__xludf.DUMMYFUNCTION("""COMPUTED_VALUE"""),"70006759")</f>
        <v>70006759</v>
      </c>
      <c r="D11325" s="380" t="s">
        <v>767</v>
      </c>
      <c r="E11325" s="380" t="s">
        <v>786</v>
      </c>
      <c r="F11325" s="380" t="s">
        <v>792</v>
      </c>
      <c r="G11325" s="380" t="s">
        <v>1267</v>
      </c>
      <c r="H11325" s="380" t="s">
        <v>771</v>
      </c>
      <c r="I11325" s="380" t="s">
        <v>788</v>
      </c>
      <c r="J11325" s="380" t="s">
        <v>773</v>
      </c>
      <c r="K11325" s="381">
        <v>0.0</v>
      </c>
      <c r="L11325" s="382">
        <v>1.0</v>
      </c>
    </row>
    <row r="11326">
      <c r="A11326" s="380" t="s">
        <v>12200</v>
      </c>
      <c r="B11326" s="380" t="str">
        <f>IFERROR(__xludf.DUMMYFUNCTION("""COMPUTED_VALUE"""),"Barra Tensora Troque Traser0 29"" Eagle 9")</f>
        <v>Barra Tensora Troque Traser0 29" Eagle 9</v>
      </c>
      <c r="C11326" s="380" t="str">
        <f>IFERROR(__xludf.DUMMYFUNCTION("""COMPUTED_VALUE"""),"70006760")</f>
        <v>70006760</v>
      </c>
      <c r="D11326" s="380" t="s">
        <v>767</v>
      </c>
      <c r="E11326" s="380" t="s">
        <v>786</v>
      </c>
      <c r="F11326" s="380" t="s">
        <v>792</v>
      </c>
      <c r="G11326" s="380" t="s">
        <v>1267</v>
      </c>
      <c r="H11326" s="380" t="s">
        <v>771</v>
      </c>
      <c r="I11326" s="380" t="s">
        <v>788</v>
      </c>
      <c r="J11326" s="380" t="s">
        <v>773</v>
      </c>
      <c r="K11326" s="381">
        <v>0.0</v>
      </c>
      <c r="L11326" s="382">
        <v>1.0</v>
      </c>
    </row>
    <row r="11327">
      <c r="A11327" s="380" t="s">
        <v>12201</v>
      </c>
      <c r="B11327" s="380" t="str">
        <f>IFERROR(__xludf.DUMMYFUNCTION("""COMPUTED_VALUE"""),"Hoja Principal MUE TRAS Frr 8980816350")</f>
        <v>Hoja Principal MUE TRAS Frr 8980816350</v>
      </c>
      <c r="C11327" s="380" t="str">
        <f>IFERROR(__xludf.DUMMYFUNCTION("""COMPUTED_VALUE"""),"70006761")</f>
        <v>70006761</v>
      </c>
      <c r="D11327" s="380" t="s">
        <v>767</v>
      </c>
      <c r="E11327" s="380" t="s">
        <v>786</v>
      </c>
      <c r="F11327" s="380" t="s">
        <v>1039</v>
      </c>
      <c r="G11327" s="380" t="s">
        <v>1267</v>
      </c>
      <c r="H11327" s="380" t="s">
        <v>771</v>
      </c>
      <c r="I11327" s="380" t="s">
        <v>788</v>
      </c>
      <c r="J11327" s="380" t="s">
        <v>773</v>
      </c>
      <c r="K11327" s="381">
        <v>0.0</v>
      </c>
      <c r="L11327" s="382">
        <v>1.0</v>
      </c>
    </row>
    <row r="11328">
      <c r="A11328" s="380" t="s">
        <v>12202</v>
      </c>
      <c r="B11328" s="380" t="str">
        <f>IFERROR(__xludf.DUMMYFUNCTION("""COMPUTED_VALUE"""),"Intercooler Kenworth T800 Fabricado")</f>
        <v>Intercooler Kenworth T800 Fabricado</v>
      </c>
      <c r="C11328" s="380" t="str">
        <f>IFERROR(__xludf.DUMMYFUNCTION("""COMPUTED_VALUE"""),"70006763")</f>
        <v>70006763</v>
      </c>
      <c r="D11328" s="380" t="s">
        <v>767</v>
      </c>
      <c r="E11328" s="380" t="s">
        <v>786</v>
      </c>
      <c r="F11328" s="380" t="s">
        <v>787</v>
      </c>
      <c r="G11328" s="380" t="s">
        <v>1267</v>
      </c>
      <c r="H11328" s="380" t="s">
        <v>771</v>
      </c>
      <c r="I11328" s="380" t="s">
        <v>788</v>
      </c>
      <c r="J11328" s="380" t="s">
        <v>773</v>
      </c>
      <c r="K11328" s="381">
        <v>0.0</v>
      </c>
      <c r="L11328" s="382">
        <v>1.0</v>
      </c>
    </row>
    <row r="11329">
      <c r="A11329" s="380" t="s">
        <v>12203</v>
      </c>
      <c r="B11329" s="380" t="str">
        <f>IFERROR(__xludf.DUMMYFUNCTION("""COMPUTED_VALUE"""),"Rodamiento INTno Eje Diferencial Daf 203")</f>
        <v>Rodamiento INTno Eje Diferencial Daf 203</v>
      </c>
      <c r="C11329" s="380" t="str">
        <f>IFERROR(__xludf.DUMMYFUNCTION("""COMPUTED_VALUE"""),"70006764")</f>
        <v>70006764</v>
      </c>
      <c r="D11329" s="380" t="s">
        <v>767</v>
      </c>
      <c r="E11329" s="380" t="s">
        <v>786</v>
      </c>
      <c r="F11329" s="380" t="s">
        <v>5683</v>
      </c>
      <c r="G11329" s="380" t="s">
        <v>1267</v>
      </c>
      <c r="H11329" s="380" t="s">
        <v>771</v>
      </c>
      <c r="I11329" s="380" t="s">
        <v>788</v>
      </c>
      <c r="J11329" s="380" t="s">
        <v>773</v>
      </c>
      <c r="K11329" s="381">
        <v>0.0</v>
      </c>
      <c r="L11329" s="382">
        <v>1.0</v>
      </c>
    </row>
    <row r="11330">
      <c r="A11330" s="380" t="s">
        <v>12204</v>
      </c>
      <c r="B11330" s="380" t="str">
        <f>IFERROR(__xludf.DUMMYFUNCTION("""COMPUTED_VALUE"""),"FILT COMB Bf825 Planta ELEC Pasto")</f>
        <v>FILT COMB Bf825 Planta ELEC Pasto</v>
      </c>
      <c r="C11330" s="380" t="str">
        <f>IFERROR(__xludf.DUMMYFUNCTION("""COMPUTED_VALUE"""),"70006765")</f>
        <v>70006765</v>
      </c>
      <c r="D11330" s="380" t="s">
        <v>767</v>
      </c>
      <c r="E11330" s="380" t="s">
        <v>786</v>
      </c>
      <c r="F11330" s="380" t="s">
        <v>5855</v>
      </c>
      <c r="G11330" s="380" t="s">
        <v>1267</v>
      </c>
      <c r="H11330" s="380" t="s">
        <v>771</v>
      </c>
      <c r="I11330" s="380" t="s">
        <v>788</v>
      </c>
      <c r="J11330" s="380" t="s">
        <v>773</v>
      </c>
      <c r="K11330" s="381">
        <v>0.0</v>
      </c>
      <c r="L11330" s="382">
        <v>1.0</v>
      </c>
    </row>
    <row r="11331">
      <c r="A11331" s="380" t="s">
        <v>12205</v>
      </c>
      <c r="B11331" s="380" t="str">
        <f>IFERROR(__xludf.DUMMYFUNCTION("""COMPUTED_VALUE"""),"FILT Aceite Bt237 Planta ELEC Pasto")</f>
        <v>FILT Aceite Bt237 Planta ELEC Pasto</v>
      </c>
      <c r="C11331" s="380" t="str">
        <f>IFERROR(__xludf.DUMMYFUNCTION("""COMPUTED_VALUE"""),"70006766")</f>
        <v>70006766</v>
      </c>
      <c r="D11331" s="380" t="s">
        <v>767</v>
      </c>
      <c r="E11331" s="380" t="s">
        <v>786</v>
      </c>
      <c r="F11331" s="380" t="s">
        <v>5855</v>
      </c>
      <c r="G11331" s="380" t="s">
        <v>1267</v>
      </c>
      <c r="H11331" s="380" t="s">
        <v>771</v>
      </c>
      <c r="I11331" s="380" t="s">
        <v>788</v>
      </c>
      <c r="J11331" s="380" t="s">
        <v>773</v>
      </c>
      <c r="K11331" s="381">
        <v>0.0</v>
      </c>
      <c r="L11331" s="382">
        <v>1.0</v>
      </c>
    </row>
    <row r="11332">
      <c r="A11332" s="380" t="s">
        <v>12206</v>
      </c>
      <c r="B11332" s="380" t="str">
        <f>IFERROR(__xludf.DUMMYFUNCTION("""COMPUTED_VALUE"""),"Juego INTruptores Cabrilla INT Lt 439258")</f>
        <v>Juego INTruptores Cabrilla INT Lt 439258</v>
      </c>
      <c r="C11332" s="380" t="str">
        <f>IFERROR(__xludf.DUMMYFUNCTION("""COMPUTED_VALUE"""),"70006767")</f>
        <v>70006767</v>
      </c>
      <c r="D11332" s="380" t="s">
        <v>767</v>
      </c>
      <c r="E11332" s="380" t="s">
        <v>786</v>
      </c>
      <c r="F11332" s="380" t="s">
        <v>998</v>
      </c>
      <c r="G11332" s="380" t="s">
        <v>1267</v>
      </c>
      <c r="H11332" s="380" t="s">
        <v>771</v>
      </c>
      <c r="I11332" s="380" t="s">
        <v>788</v>
      </c>
      <c r="J11332" s="380" t="s">
        <v>773</v>
      </c>
      <c r="K11332" s="381">
        <v>0.0</v>
      </c>
      <c r="L11332" s="382">
        <v>1.0</v>
      </c>
    </row>
    <row r="11333">
      <c r="A11333" s="380" t="s">
        <v>12207</v>
      </c>
      <c r="B11333" s="380" t="str">
        <f>IFERROR(__xludf.DUMMYFUNCTION("""COMPUTED_VALUE"""),"Correa VENT Planta ELEC 6ct CUMM 3288944")</f>
        <v>Correa VENT Planta ELEC 6ct CUMM 3288944</v>
      </c>
      <c r="C11333" s="380" t="str">
        <f>IFERROR(__xludf.DUMMYFUNCTION("""COMPUTED_VALUE"""),"70006768")</f>
        <v>70006768</v>
      </c>
      <c r="D11333" s="380" t="s">
        <v>767</v>
      </c>
      <c r="E11333" s="380" t="s">
        <v>786</v>
      </c>
      <c r="F11333" s="380" t="s">
        <v>787</v>
      </c>
      <c r="G11333" s="380" t="s">
        <v>1267</v>
      </c>
      <c r="H11333" s="380" t="s">
        <v>771</v>
      </c>
      <c r="I11333" s="380" t="s">
        <v>788</v>
      </c>
      <c r="J11333" s="380" t="s">
        <v>773</v>
      </c>
      <c r="K11333" s="381">
        <v>0.0</v>
      </c>
      <c r="L11333" s="382">
        <v>1.0</v>
      </c>
    </row>
    <row r="11334">
      <c r="A11334" s="380" t="s">
        <v>12208</v>
      </c>
      <c r="B11334" s="380" t="str">
        <f>IFERROR(__xludf.DUMMYFUNCTION("""COMPUTED_VALUE"""),"Varilla Medidora Aceite MOT FRL Cl120- 2")</f>
        <v>Varilla Medidora Aceite MOT FRL Cl120- 2</v>
      </c>
      <c r="C11334" s="380" t="str">
        <f>IFERROR(__xludf.DUMMYFUNCTION("""COMPUTED_VALUE"""),"70006769")</f>
        <v>70006769</v>
      </c>
      <c r="D11334" s="380" t="s">
        <v>767</v>
      </c>
      <c r="E11334" s="380" t="s">
        <v>786</v>
      </c>
      <c r="F11334" s="380" t="s">
        <v>787</v>
      </c>
      <c r="G11334" s="380" t="s">
        <v>1267</v>
      </c>
      <c r="H11334" s="380" t="s">
        <v>771</v>
      </c>
      <c r="I11334" s="380" t="s">
        <v>788</v>
      </c>
      <c r="J11334" s="380" t="s">
        <v>773</v>
      </c>
      <c r="K11334" s="381">
        <v>0.0</v>
      </c>
      <c r="L11334" s="382">
        <v>1.0</v>
      </c>
    </row>
    <row r="11335">
      <c r="A11335" s="380" t="s">
        <v>12209</v>
      </c>
      <c r="B11335" s="380" t="str">
        <f>IFERROR(__xludf.DUMMYFUNCTION("""COMPUTED_VALUE"""),"Espejo Frontal Sup DER FT Est Amt H48210")</f>
        <v>Espejo Frontal Sup DER FT Est Amt H48210</v>
      </c>
      <c r="C11335" s="380" t="str">
        <f>IFERROR(__xludf.DUMMYFUNCTION("""COMPUTED_VALUE"""),"70006770")</f>
        <v>70006770</v>
      </c>
      <c r="D11335" s="380" t="s">
        <v>767</v>
      </c>
      <c r="E11335" s="380" t="s">
        <v>786</v>
      </c>
      <c r="F11335" s="380" t="s">
        <v>792</v>
      </c>
      <c r="G11335" s="380" t="s">
        <v>1267</v>
      </c>
      <c r="H11335" s="380" t="s">
        <v>771</v>
      </c>
      <c r="I11335" s="380" t="s">
        <v>788</v>
      </c>
      <c r="J11335" s="380" t="s">
        <v>773</v>
      </c>
      <c r="K11335" s="381">
        <v>0.0</v>
      </c>
      <c r="L11335" s="382">
        <v>1.0</v>
      </c>
    </row>
    <row r="11336">
      <c r="A11336" s="380" t="s">
        <v>12210</v>
      </c>
      <c r="B11336" s="380" t="str">
        <f>IFERROR(__xludf.DUMMYFUNCTION("""COMPUTED_VALUE"""),"Rodillo Agujas 1ra CJ HN 300- 90364-4900")</f>
        <v>Rodillo Agujas 1ra CJ HN 300- 90364-4900</v>
      </c>
      <c r="C11336" s="380" t="str">
        <f>IFERROR(__xludf.DUMMYFUNCTION("""COMPUTED_VALUE"""),"70006771")</f>
        <v>70006771</v>
      </c>
      <c r="D11336" s="380" t="s">
        <v>767</v>
      </c>
      <c r="E11336" s="380" t="s">
        <v>786</v>
      </c>
      <c r="F11336" s="380" t="s">
        <v>928</v>
      </c>
      <c r="G11336" s="380" t="s">
        <v>1267</v>
      </c>
      <c r="H11336" s="380" t="s">
        <v>771</v>
      </c>
      <c r="I11336" s="380" t="s">
        <v>788</v>
      </c>
      <c r="J11336" s="380" t="s">
        <v>773</v>
      </c>
      <c r="K11336" s="381">
        <v>0.0</v>
      </c>
      <c r="L11336" s="382">
        <v>1.0</v>
      </c>
    </row>
    <row r="11337">
      <c r="A11337" s="380" t="s">
        <v>12211</v>
      </c>
      <c r="B11337" s="380" t="str">
        <f>IFERROR(__xludf.DUMMYFUNCTION("""COMPUTED_VALUE"""),"Kit Empaquetadura Superior Motor Isf 3.8")</f>
        <v>Kit Empaquetadura Superior Motor Isf 3.8</v>
      </c>
      <c r="C11337" s="380" t="str">
        <f>IFERROR(__xludf.DUMMYFUNCTION("""COMPUTED_VALUE"""),"70006772")</f>
        <v>70006772</v>
      </c>
      <c r="D11337" s="380" t="s">
        <v>767</v>
      </c>
      <c r="E11337" s="380" t="s">
        <v>786</v>
      </c>
      <c r="F11337" s="380" t="s">
        <v>787</v>
      </c>
      <c r="G11337" s="380" t="s">
        <v>1267</v>
      </c>
      <c r="H11337" s="380" t="s">
        <v>771</v>
      </c>
      <c r="I11337" s="380" t="s">
        <v>788</v>
      </c>
      <c r="J11337" s="380" t="s">
        <v>773</v>
      </c>
      <c r="K11337" s="381">
        <v>0.0</v>
      </c>
      <c r="L11337" s="382">
        <v>1.0</v>
      </c>
    </row>
    <row r="11338">
      <c r="A11338" s="380" t="s">
        <v>12212</v>
      </c>
      <c r="B11338" s="380" t="str">
        <f>IFERROR(__xludf.DUMMYFUNCTION("""COMPUTED_VALUE"""),"Correa VENT CUMM 5690177 MOT B3.9 569017")</f>
        <v>Correa VENT CUMM 5690177 MOT B3.9 569017</v>
      </c>
      <c r="C11338" s="380" t="str">
        <f>IFERROR(__xludf.DUMMYFUNCTION("""COMPUTED_VALUE"""),"70006774")</f>
        <v>70006774</v>
      </c>
      <c r="D11338" s="380" t="s">
        <v>767</v>
      </c>
      <c r="E11338" s="380" t="s">
        <v>786</v>
      </c>
      <c r="F11338" s="380" t="s">
        <v>787</v>
      </c>
      <c r="G11338" s="380" t="s">
        <v>1267</v>
      </c>
      <c r="H11338" s="380" t="s">
        <v>771</v>
      </c>
      <c r="I11338" s="380" t="s">
        <v>788</v>
      </c>
      <c r="J11338" s="380" t="s">
        <v>773</v>
      </c>
      <c r="K11338" s="381">
        <v>0.0</v>
      </c>
      <c r="L11338" s="382">
        <v>1.0</v>
      </c>
    </row>
    <row r="11339">
      <c r="A11339" s="380" t="s">
        <v>12213</v>
      </c>
      <c r="B11339" s="380" t="str">
        <f>IFERROR(__xludf.DUMMYFUNCTION("""COMPUTED_VALUE"""),"Exosto De Nhr Reparado")</f>
        <v>Exosto De Nhr Reparado</v>
      </c>
      <c r="C11339" s="380" t="str">
        <f>IFERROR(__xludf.DUMMYFUNCTION("""COMPUTED_VALUE"""),"70006775")</f>
        <v>70006775</v>
      </c>
      <c r="D11339" s="380" t="s">
        <v>767</v>
      </c>
      <c r="E11339" s="380" t="s">
        <v>786</v>
      </c>
      <c r="F11339" s="380" t="s">
        <v>787</v>
      </c>
      <c r="G11339" s="380" t="s">
        <v>1267</v>
      </c>
      <c r="H11339" s="380" t="s">
        <v>771</v>
      </c>
      <c r="I11339" s="380" t="s">
        <v>788</v>
      </c>
      <c r="J11339" s="380" t="s">
        <v>773</v>
      </c>
      <c r="K11339" s="381">
        <v>0.0</v>
      </c>
      <c r="L11339" s="382">
        <v>1.0</v>
      </c>
    </row>
    <row r="11340">
      <c r="A11340" s="380" t="s">
        <v>12214</v>
      </c>
      <c r="B11340" s="380" t="str">
        <f>IFERROR(__xludf.DUMMYFUNCTION("""COMPUTED_VALUE"""),"Banda Del. Vol. Remachada Reparado")</f>
        <v>Banda Del. Vol. Remachada Reparado</v>
      </c>
      <c r="C11340" s="380" t="str">
        <f>IFERROR(__xludf.DUMMYFUNCTION("""COMPUTED_VALUE"""),"70006776")</f>
        <v>70006776</v>
      </c>
      <c r="D11340" s="380" t="s">
        <v>767</v>
      </c>
      <c r="E11340" s="380" t="s">
        <v>786</v>
      </c>
      <c r="F11340" s="380" t="s">
        <v>1017</v>
      </c>
      <c r="G11340" s="380" t="s">
        <v>1267</v>
      </c>
      <c r="H11340" s="380" t="s">
        <v>771</v>
      </c>
      <c r="I11340" s="380" t="s">
        <v>788</v>
      </c>
      <c r="J11340" s="380" t="s">
        <v>773</v>
      </c>
      <c r="K11340" s="381">
        <v>0.0</v>
      </c>
      <c r="L11340" s="382">
        <v>1.0</v>
      </c>
    </row>
    <row r="11341">
      <c r="A11341" s="380" t="s">
        <v>12215</v>
      </c>
      <c r="B11341" s="380" t="str">
        <f>IFERROR(__xludf.DUMMYFUNCTION("""COMPUTED_VALUE"""),"Hoja Articulada Deflector Angular Der Da")</f>
        <v>Hoja Articulada Deflector Angular Der Da</v>
      </c>
      <c r="C11341" s="380" t="str">
        <f>IFERROR(__xludf.DUMMYFUNCTION("""COMPUTED_VALUE"""),"70006777")</f>
        <v>70006777</v>
      </c>
      <c r="D11341" s="380" t="s">
        <v>767</v>
      </c>
      <c r="E11341" s="380" t="s">
        <v>786</v>
      </c>
      <c r="F11341" s="380" t="s">
        <v>792</v>
      </c>
      <c r="G11341" s="380" t="s">
        <v>1267</v>
      </c>
      <c r="H11341" s="380" t="s">
        <v>771</v>
      </c>
      <c r="I11341" s="380" t="s">
        <v>788</v>
      </c>
      <c r="J11341" s="380" t="s">
        <v>773</v>
      </c>
      <c r="K11341" s="381">
        <v>0.0</v>
      </c>
      <c r="L11341" s="382">
        <v>1.0</v>
      </c>
    </row>
    <row r="11342">
      <c r="A11342" s="380" t="s">
        <v>12216</v>
      </c>
      <c r="B11342" s="380" t="str">
        <f>IFERROR(__xludf.DUMMYFUNCTION("""COMPUTED_VALUE"""),"Motor Arranque Foton 1128 Reparado")</f>
        <v>Motor Arranque Foton 1128 Reparado</v>
      </c>
      <c r="C11342" s="380" t="str">
        <f>IFERROR(__xludf.DUMMYFUNCTION("""COMPUTED_VALUE"""),"70006779")</f>
        <v>70006779</v>
      </c>
      <c r="D11342" s="380" t="s">
        <v>767</v>
      </c>
      <c r="E11342" s="380" t="s">
        <v>786</v>
      </c>
      <c r="F11342" s="380" t="s">
        <v>998</v>
      </c>
      <c r="G11342" s="380" t="s">
        <v>1267</v>
      </c>
      <c r="H11342" s="380" t="s">
        <v>771</v>
      </c>
      <c r="I11342" s="380" t="s">
        <v>788</v>
      </c>
      <c r="J11342" s="380" t="s">
        <v>773</v>
      </c>
      <c r="K11342" s="381">
        <v>0.0</v>
      </c>
      <c r="L11342" s="382">
        <v>1.0</v>
      </c>
    </row>
    <row r="11343">
      <c r="A11343" s="380" t="s">
        <v>12217</v>
      </c>
      <c r="B11343" s="380" t="str">
        <f>IFERROR(__xludf.DUMMYFUNCTION("""COMPUTED_VALUE"""),"Banda Freno Del 4719d Kw")</f>
        <v>Banda Freno Del 4719d Kw</v>
      </c>
      <c r="C11343" s="380" t="str">
        <f>IFERROR(__xludf.DUMMYFUNCTION("""COMPUTED_VALUE"""),"70006780")</f>
        <v>70006780</v>
      </c>
      <c r="D11343" s="380" t="s">
        <v>767</v>
      </c>
      <c r="E11343" s="380" t="s">
        <v>786</v>
      </c>
      <c r="F11343" s="380" t="s">
        <v>1017</v>
      </c>
      <c r="G11343" s="380" t="s">
        <v>1267</v>
      </c>
      <c r="H11343" s="380" t="s">
        <v>771</v>
      </c>
      <c r="I11343" s="380" t="s">
        <v>788</v>
      </c>
      <c r="J11343" s="380" t="s">
        <v>773</v>
      </c>
      <c r="K11343" s="381">
        <v>0.0</v>
      </c>
      <c r="L11343" s="382">
        <v>1.0</v>
      </c>
    </row>
    <row r="11344">
      <c r="A11344" s="380" t="s">
        <v>12218</v>
      </c>
      <c r="B11344" s="380" t="str">
        <f>IFERROR(__xludf.DUMMYFUNCTION("""COMPUTED_VALUE"""),"EMPtadura VALV Doble Tablero Rn31bf Sb")</f>
        <v>EMPtadura VALV Doble Tablero Rn31bf Sb</v>
      </c>
      <c r="C11344" s="380" t="str">
        <f>IFERROR(__xludf.DUMMYFUNCTION("""COMPUTED_VALUE"""),"70006781")</f>
        <v>70006781</v>
      </c>
      <c r="D11344" s="380" t="s">
        <v>767</v>
      </c>
      <c r="E11344" s="380" t="s">
        <v>786</v>
      </c>
      <c r="F11344" s="380" t="s">
        <v>792</v>
      </c>
      <c r="G11344" s="380" t="s">
        <v>1267</v>
      </c>
      <c r="H11344" s="380" t="s">
        <v>771</v>
      </c>
      <c r="I11344" s="380" t="s">
        <v>788</v>
      </c>
      <c r="J11344" s="380" t="s">
        <v>773</v>
      </c>
      <c r="K11344" s="381">
        <v>0.0</v>
      </c>
      <c r="L11344" s="382">
        <v>1.0</v>
      </c>
    </row>
    <row r="11345">
      <c r="A11345" s="380" t="s">
        <v>12219</v>
      </c>
      <c r="B11345" s="380" t="str">
        <f>IFERROR(__xludf.DUMMYFUNCTION("""COMPUTED_VALUE"""),"Empaquetadura Valvula Relay SB Rn10hm")</f>
        <v>Empaquetadura Valvula Relay SB Rn10hm</v>
      </c>
      <c r="C11345" s="380" t="str">
        <f>IFERROR(__xludf.DUMMYFUNCTION("""COMPUTED_VALUE"""),"70006782")</f>
        <v>70006782</v>
      </c>
      <c r="D11345" s="380" t="s">
        <v>767</v>
      </c>
      <c r="E11345" s="380" t="s">
        <v>786</v>
      </c>
      <c r="F11345" s="380" t="s">
        <v>1017</v>
      </c>
      <c r="G11345" s="380" t="s">
        <v>1267</v>
      </c>
      <c r="H11345" s="380" t="s">
        <v>771</v>
      </c>
      <c r="I11345" s="380" t="s">
        <v>788</v>
      </c>
      <c r="J11345" s="380" t="s">
        <v>773</v>
      </c>
      <c r="K11345" s="381">
        <v>0.0</v>
      </c>
      <c r="L11345" s="382">
        <v>1.0</v>
      </c>
    </row>
    <row r="11346">
      <c r="A11346" s="380" t="s">
        <v>12220</v>
      </c>
      <c r="B11346" s="380" t="str">
        <f>IFERROR(__xludf.DUMMYFUNCTION("""COMPUTED_VALUE"""),"Anillo Bronce Sincronizmo De 8941287752")</f>
        <v>Anillo Bronce Sincronizmo De 8941287752</v>
      </c>
      <c r="C11346" s="380" t="str">
        <f>IFERROR(__xludf.DUMMYFUNCTION("""COMPUTED_VALUE"""),"70006783")</f>
        <v>70006783</v>
      </c>
      <c r="D11346" s="380" t="s">
        <v>767</v>
      </c>
      <c r="E11346" s="380" t="s">
        <v>786</v>
      </c>
      <c r="F11346" s="380" t="s">
        <v>928</v>
      </c>
      <c r="G11346" s="380" t="s">
        <v>1267</v>
      </c>
      <c r="H11346" s="380" t="s">
        <v>771</v>
      </c>
      <c r="I11346" s="380" t="s">
        <v>788</v>
      </c>
      <c r="J11346" s="380" t="s">
        <v>773</v>
      </c>
      <c r="K11346" s="381">
        <v>0.0</v>
      </c>
      <c r="L11346" s="382">
        <v>1.0</v>
      </c>
    </row>
    <row r="11347">
      <c r="A11347" s="380" t="s">
        <v>12221</v>
      </c>
      <c r="B11347" s="380" t="str">
        <f>IFERROR(__xludf.DUMMYFUNCTION("""COMPUTED_VALUE"""),"Base Quinta Rueda Fabricad")</f>
        <v>Base Quinta Rueda Fabricad</v>
      </c>
      <c r="C11347" s="380" t="str">
        <f>IFERROR(__xludf.DUMMYFUNCTION("""COMPUTED_VALUE"""),"70006784")</f>
        <v>70006784</v>
      </c>
      <c r="D11347" s="380" t="s">
        <v>767</v>
      </c>
      <c r="E11347" s="380" t="s">
        <v>786</v>
      </c>
      <c r="F11347" s="380" t="s">
        <v>792</v>
      </c>
      <c r="G11347" s="380" t="s">
        <v>1267</v>
      </c>
      <c r="H11347" s="380" t="s">
        <v>771</v>
      </c>
      <c r="I11347" s="380" t="s">
        <v>788</v>
      </c>
      <c r="J11347" s="380" t="s">
        <v>773</v>
      </c>
      <c r="K11347" s="381">
        <v>0.0</v>
      </c>
      <c r="L11347" s="382">
        <v>1.0</v>
      </c>
    </row>
    <row r="11348">
      <c r="A11348" s="380" t="s">
        <v>12222</v>
      </c>
      <c r="B11348" s="380" t="str">
        <f>IFERROR(__xludf.DUMMYFUNCTION("""COMPUTED_VALUE"""),"Regulador Moto Akt 200 31600")</f>
        <v>Regulador Moto Akt 200 31600</v>
      </c>
      <c r="C11348" s="380" t="str">
        <f>IFERROR(__xludf.DUMMYFUNCTION("""COMPUTED_VALUE"""),"70006785")</f>
        <v>70006785</v>
      </c>
      <c r="D11348" s="380" t="s">
        <v>767</v>
      </c>
      <c r="E11348" s="380" t="s">
        <v>786</v>
      </c>
      <c r="F11348" s="380" t="s">
        <v>787</v>
      </c>
      <c r="G11348" s="380" t="s">
        <v>1267</v>
      </c>
      <c r="H11348" s="380" t="s">
        <v>771</v>
      </c>
      <c r="I11348" s="380" t="s">
        <v>788</v>
      </c>
      <c r="J11348" s="380" t="s">
        <v>773</v>
      </c>
      <c r="K11348" s="381">
        <v>0.0</v>
      </c>
      <c r="L11348" s="382">
        <v>1.0</v>
      </c>
    </row>
    <row r="11349">
      <c r="A11349" s="380" t="s">
        <v>12223</v>
      </c>
      <c r="B11349" s="380" t="str">
        <f>IFERROR(__xludf.DUMMYFUNCTION("""COMPUTED_VALUE"""),"Hoja Resorte Tras Nkr 22935/1")</f>
        <v>Hoja Resorte Tras Nkr 22935/1</v>
      </c>
      <c r="C11349" s="380" t="str">
        <f>IFERROR(__xludf.DUMMYFUNCTION("""COMPUTED_VALUE"""),"70006786")</f>
        <v>70006786</v>
      </c>
      <c r="D11349" s="380" t="s">
        <v>767</v>
      </c>
      <c r="E11349" s="380" t="s">
        <v>786</v>
      </c>
      <c r="F11349" s="380" t="s">
        <v>1039</v>
      </c>
      <c r="G11349" s="380" t="s">
        <v>1267</v>
      </c>
      <c r="H11349" s="380" t="s">
        <v>771</v>
      </c>
      <c r="I11349" s="380" t="s">
        <v>788</v>
      </c>
      <c r="J11349" s="380" t="s">
        <v>773</v>
      </c>
      <c r="K11349" s="381">
        <v>0.0</v>
      </c>
      <c r="L11349" s="382">
        <v>1.0</v>
      </c>
    </row>
    <row r="11350">
      <c r="A11350" s="380" t="s">
        <v>12224</v>
      </c>
      <c r="B11350" s="380" t="str">
        <f>IFERROR(__xludf.DUMMYFUNCTION("""COMPUTED_VALUE"""),"Rodillo Rueda Tras Externa Canter 30211")</f>
        <v>Rodillo Rueda Tras Externa Canter 30211</v>
      </c>
      <c r="C11350" s="380" t="str">
        <f>IFERROR(__xludf.DUMMYFUNCTION("""COMPUTED_VALUE"""),"70006787")</f>
        <v>70006787</v>
      </c>
      <c r="D11350" s="380" t="s">
        <v>767</v>
      </c>
      <c r="E11350" s="380" t="s">
        <v>786</v>
      </c>
      <c r="F11350" s="380" t="s">
        <v>1039</v>
      </c>
      <c r="G11350" s="380" t="s">
        <v>1267</v>
      </c>
      <c r="H11350" s="380" t="s">
        <v>771</v>
      </c>
      <c r="I11350" s="380" t="s">
        <v>788</v>
      </c>
      <c r="J11350" s="380" t="s">
        <v>773</v>
      </c>
      <c r="K11350" s="381">
        <v>0.0</v>
      </c>
      <c r="L11350" s="382">
        <v>1.0</v>
      </c>
    </row>
    <row r="11351">
      <c r="A11351" s="380" t="s">
        <v>12225</v>
      </c>
      <c r="B11351" s="380" t="str">
        <f>IFERROR(__xludf.DUMMYFUNCTION("""COMPUTED_VALUE"""),"Hoja Resorte Trasera 22917/4 Npr")</f>
        <v>Hoja Resorte Trasera 22917/4 Npr</v>
      </c>
      <c r="C11351" s="380" t="str">
        <f>IFERROR(__xludf.DUMMYFUNCTION("""COMPUTED_VALUE"""),"70006788")</f>
        <v>70006788</v>
      </c>
      <c r="D11351" s="380" t="s">
        <v>767</v>
      </c>
      <c r="E11351" s="380" t="s">
        <v>786</v>
      </c>
      <c r="F11351" s="380" t="s">
        <v>1039</v>
      </c>
      <c r="G11351" s="380" t="s">
        <v>1267</v>
      </c>
      <c r="H11351" s="380" t="s">
        <v>771</v>
      </c>
      <c r="I11351" s="380" t="s">
        <v>788</v>
      </c>
      <c r="J11351" s="380" t="s">
        <v>773</v>
      </c>
      <c r="K11351" s="381">
        <v>0.0</v>
      </c>
      <c r="L11351" s="382">
        <v>1.0</v>
      </c>
    </row>
    <row r="11352">
      <c r="A11352" s="380" t="s">
        <v>12226</v>
      </c>
      <c r="B11352" s="380" t="str">
        <f>IFERROR(__xludf.DUMMYFUNCTION("""COMPUTED_VALUE"""),"Espejo Panoramico INTnacional 6 6"" Nk Sb")</f>
        <v>Espejo Panoramico INTnacional 6 6" Nk Sb</v>
      </c>
      <c r="C11352" s="380" t="str">
        <f>IFERROR(__xludf.DUMMYFUNCTION("""COMPUTED_VALUE"""),"70006789")</f>
        <v>70006789</v>
      </c>
      <c r="D11352" s="380" t="s">
        <v>767</v>
      </c>
      <c r="E11352" s="380" t="s">
        <v>786</v>
      </c>
      <c r="F11352" s="380" t="s">
        <v>1031</v>
      </c>
      <c r="G11352" s="380" t="s">
        <v>1267</v>
      </c>
      <c r="H11352" s="380" t="s">
        <v>771</v>
      </c>
      <c r="I11352" s="380" t="s">
        <v>788</v>
      </c>
      <c r="J11352" s="380" t="s">
        <v>773</v>
      </c>
      <c r="K11352" s="381">
        <v>55633.0</v>
      </c>
      <c r="L11352" s="382">
        <v>1.0</v>
      </c>
    </row>
    <row r="11353">
      <c r="A11353" s="380" t="s">
        <v>12227</v>
      </c>
      <c r="B11353" s="380" t="str">
        <f>IFERROR(__xludf.DUMMYFUNCTION("""COMPUTED_VALUE"""),"VALV Descargue Freno VW 2vc607271b")</f>
        <v>VALV Descargue Freno VW 2vc607271b</v>
      </c>
      <c r="C11353" s="380" t="str">
        <f>IFERROR(__xludf.DUMMYFUNCTION("""COMPUTED_VALUE"""),"70006790")</f>
        <v>70006790</v>
      </c>
      <c r="D11353" s="380" t="s">
        <v>767</v>
      </c>
      <c r="E11353" s="380" t="s">
        <v>786</v>
      </c>
      <c r="F11353" s="380" t="s">
        <v>1017</v>
      </c>
      <c r="G11353" s="380" t="s">
        <v>1267</v>
      </c>
      <c r="H11353" s="380" t="s">
        <v>771</v>
      </c>
      <c r="I11353" s="380" t="s">
        <v>788</v>
      </c>
      <c r="J11353" s="380" t="s">
        <v>773</v>
      </c>
      <c r="K11353" s="381">
        <v>0.0</v>
      </c>
      <c r="L11353" s="382">
        <v>1.0</v>
      </c>
    </row>
    <row r="11354">
      <c r="A11354" s="380" t="s">
        <v>12228</v>
      </c>
      <c r="B11354" s="380" t="str">
        <f>IFERROR(__xludf.DUMMYFUNCTION("""COMPUTED_VALUE"""),"Radiador Motor Eagle 9400")</f>
        <v>Radiador Motor Eagle 9400</v>
      </c>
      <c r="C11354" s="380" t="str">
        <f>IFERROR(__xludf.DUMMYFUNCTION("""COMPUTED_VALUE"""),"70006791")</f>
        <v>70006791</v>
      </c>
      <c r="D11354" s="380" t="s">
        <v>767</v>
      </c>
      <c r="E11354" s="380" t="s">
        <v>786</v>
      </c>
      <c r="F11354" s="380" t="s">
        <v>787</v>
      </c>
      <c r="G11354" s="380" t="s">
        <v>1267</v>
      </c>
      <c r="H11354" s="380" t="s">
        <v>771</v>
      </c>
      <c r="I11354" s="380" t="s">
        <v>788</v>
      </c>
      <c r="J11354" s="380" t="s">
        <v>773</v>
      </c>
      <c r="K11354" s="381">
        <v>3153500.0</v>
      </c>
      <c r="L11354" s="382">
        <v>1.0</v>
      </c>
    </row>
    <row r="11355">
      <c r="A11355" s="380" t="s">
        <v>12229</v>
      </c>
      <c r="B11355" s="380" t="str">
        <f>IFERROR(__xludf.DUMMYFUNCTION("""COMPUTED_VALUE"""),"RAD MOT NS Pathfinder Pa66-Gf30")</f>
        <v>RAD MOT NS Pathfinder Pa66-Gf30</v>
      </c>
      <c r="C11355" s="380" t="str">
        <f>IFERROR(__xludf.DUMMYFUNCTION("""COMPUTED_VALUE"""),"70006792")</f>
        <v>70006792</v>
      </c>
      <c r="D11355" s="380" t="s">
        <v>767</v>
      </c>
      <c r="E11355" s="380" t="s">
        <v>786</v>
      </c>
      <c r="F11355" s="380" t="s">
        <v>787</v>
      </c>
      <c r="G11355" s="380" t="s">
        <v>1267</v>
      </c>
      <c r="H11355" s="380" t="s">
        <v>771</v>
      </c>
      <c r="I11355" s="380" t="s">
        <v>788</v>
      </c>
      <c r="J11355" s="380" t="s">
        <v>773</v>
      </c>
      <c r="K11355" s="381">
        <v>0.0</v>
      </c>
      <c r="L11355" s="382">
        <v>1.0</v>
      </c>
    </row>
    <row r="11356">
      <c r="A11356" s="380" t="s">
        <v>12230</v>
      </c>
      <c r="B11356" s="380" t="str">
        <f>IFERROR(__xludf.DUMMYFUNCTION("""COMPUTED_VALUE"""),"Balinera Piñon Loco Distrib Nk 60/28nr-2")</f>
        <v>Balinera Piñon Loco Distrib Nk 60/28nr-2</v>
      </c>
      <c r="C11356" s="380" t="str">
        <f>IFERROR(__xludf.DUMMYFUNCTION("""COMPUTED_VALUE"""),"70006793")</f>
        <v>70006793</v>
      </c>
      <c r="D11356" s="380" t="s">
        <v>767</v>
      </c>
      <c r="E11356" s="380" t="s">
        <v>786</v>
      </c>
      <c r="F11356" s="380" t="s">
        <v>787</v>
      </c>
      <c r="G11356" s="380" t="s">
        <v>1267</v>
      </c>
      <c r="H11356" s="380" t="s">
        <v>771</v>
      </c>
      <c r="I11356" s="380" t="s">
        <v>788</v>
      </c>
      <c r="J11356" s="380" t="s">
        <v>773</v>
      </c>
      <c r="K11356" s="381">
        <v>0.0</v>
      </c>
      <c r="L11356" s="382">
        <v>1.0</v>
      </c>
    </row>
    <row r="11357">
      <c r="A11357" s="380" t="s">
        <v>12231</v>
      </c>
      <c r="B11357" s="380" t="str">
        <f>IFERROR(__xludf.DUMMYFUNCTION("""COMPUTED_VALUE"""),"Manguera Agua By-Pass Npr 8972099480")</f>
        <v>Manguera Agua By-Pass Npr 8972099480</v>
      </c>
      <c r="C11357" s="380" t="str">
        <f>IFERROR(__xludf.DUMMYFUNCTION("""COMPUTED_VALUE"""),"70006794")</f>
        <v>70006794</v>
      </c>
      <c r="D11357" s="380" t="s">
        <v>767</v>
      </c>
      <c r="E11357" s="380" t="s">
        <v>786</v>
      </c>
      <c r="F11357" s="380" t="s">
        <v>787</v>
      </c>
      <c r="G11357" s="380" t="s">
        <v>1267</v>
      </c>
      <c r="H11357" s="380" t="s">
        <v>771</v>
      </c>
      <c r="I11357" s="380" t="s">
        <v>788</v>
      </c>
      <c r="J11357" s="380" t="s">
        <v>773</v>
      </c>
      <c r="K11357" s="381">
        <v>0.0</v>
      </c>
      <c r="L11357" s="382">
        <v>1.0</v>
      </c>
    </row>
    <row r="11358">
      <c r="A11358" s="380" t="s">
        <v>12232</v>
      </c>
      <c r="B11358" s="380" t="str">
        <f>IFERROR(__xludf.DUMMYFUNCTION("""COMPUTED_VALUE"""),"Kit Reparacion MOT Nhr Sin Turb 95622028")</f>
        <v>Kit Reparacion MOT Nhr Sin Turb 95622028</v>
      </c>
      <c r="C11358" s="380" t="str">
        <f>IFERROR(__xludf.DUMMYFUNCTION("""COMPUTED_VALUE"""),"70006795")</f>
        <v>70006795</v>
      </c>
      <c r="D11358" s="380" t="s">
        <v>767</v>
      </c>
      <c r="E11358" s="380" t="s">
        <v>786</v>
      </c>
      <c r="F11358" s="380" t="s">
        <v>787</v>
      </c>
      <c r="G11358" s="380" t="s">
        <v>1267</v>
      </c>
      <c r="H11358" s="380" t="s">
        <v>771</v>
      </c>
      <c r="I11358" s="380" t="s">
        <v>788</v>
      </c>
      <c r="J11358" s="380" t="s">
        <v>773</v>
      </c>
      <c r="K11358" s="381">
        <v>0.0</v>
      </c>
      <c r="L11358" s="382">
        <v>1.0</v>
      </c>
    </row>
    <row r="11359">
      <c r="A11359" s="380" t="s">
        <v>12233</v>
      </c>
      <c r="B11359" s="380" t="str">
        <f>IFERROR(__xludf.DUMMYFUNCTION("""COMPUTED_VALUE"""),"EMPtadura Secador AIR S60 N14 322-Eagle")</f>
        <v>EMPtadura Secador AIR S60 N14 322-Eagle</v>
      </c>
      <c r="C11359" s="380" t="str">
        <f>IFERROR(__xludf.DUMMYFUNCTION("""COMPUTED_VALUE"""),"70006796")</f>
        <v>70006796</v>
      </c>
      <c r="D11359" s="380" t="s">
        <v>767</v>
      </c>
      <c r="E11359" s="380" t="s">
        <v>786</v>
      </c>
      <c r="F11359" s="380" t="s">
        <v>1017</v>
      </c>
      <c r="G11359" s="380" t="s">
        <v>1267</v>
      </c>
      <c r="H11359" s="380" t="s">
        <v>771</v>
      </c>
      <c r="I11359" s="380" t="s">
        <v>788</v>
      </c>
      <c r="J11359" s="380" t="s">
        <v>773</v>
      </c>
      <c r="K11359" s="381">
        <v>242303.0</v>
      </c>
      <c r="L11359" s="382">
        <v>1.0</v>
      </c>
    </row>
    <row r="11360">
      <c r="A11360" s="380" t="s">
        <v>12234</v>
      </c>
      <c r="B11360" s="380" t="str">
        <f>IFERROR(__xludf.DUMMYFUNCTION("""COMPUTED_VALUE"""),"Soporte Muelle Tras Izq Npr 8941820991")</f>
        <v>Soporte Muelle Tras Izq Npr 8941820991</v>
      </c>
      <c r="C11360" s="380" t="str">
        <f>IFERROR(__xludf.DUMMYFUNCTION("""COMPUTED_VALUE"""),"70006797")</f>
        <v>70006797</v>
      </c>
      <c r="D11360" s="380" t="s">
        <v>767</v>
      </c>
      <c r="E11360" s="380" t="s">
        <v>786</v>
      </c>
      <c r="F11360" s="380" t="s">
        <v>1039</v>
      </c>
      <c r="G11360" s="380" t="s">
        <v>1267</v>
      </c>
      <c r="H11360" s="380" t="s">
        <v>771</v>
      </c>
      <c r="I11360" s="380" t="s">
        <v>788</v>
      </c>
      <c r="J11360" s="380" t="s">
        <v>773</v>
      </c>
      <c r="K11360" s="381">
        <v>0.0</v>
      </c>
      <c r="L11360" s="382">
        <v>1.0</v>
      </c>
    </row>
    <row r="11361">
      <c r="A11361" s="380" t="s">
        <v>12235</v>
      </c>
      <c r="B11361" s="380" t="str">
        <f>IFERROR(__xludf.DUMMYFUNCTION("""COMPUTED_VALUE"""),"Soporte Muelle Del Npr 8944434060")</f>
        <v>Soporte Muelle Del Npr 8944434060</v>
      </c>
      <c r="C11361" s="380" t="str">
        <f>IFERROR(__xludf.DUMMYFUNCTION("""COMPUTED_VALUE"""),"70006798")</f>
        <v>70006798</v>
      </c>
      <c r="D11361" s="380" t="s">
        <v>767</v>
      </c>
      <c r="E11361" s="380" t="s">
        <v>786</v>
      </c>
      <c r="F11361" s="380" t="s">
        <v>1039</v>
      </c>
      <c r="G11361" s="380" t="s">
        <v>1267</v>
      </c>
      <c r="H11361" s="380" t="s">
        <v>771</v>
      </c>
      <c r="I11361" s="380" t="s">
        <v>788</v>
      </c>
      <c r="J11361" s="380" t="s">
        <v>773</v>
      </c>
      <c r="K11361" s="381">
        <v>0.0</v>
      </c>
      <c r="L11361" s="382">
        <v>1.0</v>
      </c>
    </row>
    <row r="11362">
      <c r="A11362" s="380" t="s">
        <v>12236</v>
      </c>
      <c r="B11362" s="380" t="str">
        <f>IFERROR(__xludf.DUMMYFUNCTION("""COMPUTED_VALUE"""),"Arandela Axial Ajuste Cigueña 8973837400")</f>
        <v>Arandela Axial Ajuste Cigueña 8973837400</v>
      </c>
      <c r="C11362" s="380" t="str">
        <f>IFERROR(__xludf.DUMMYFUNCTION("""COMPUTED_VALUE"""),"70006799")</f>
        <v>70006799</v>
      </c>
      <c r="D11362" s="380" t="s">
        <v>767</v>
      </c>
      <c r="E11362" s="380" t="s">
        <v>786</v>
      </c>
      <c r="F11362" s="380" t="s">
        <v>787</v>
      </c>
      <c r="G11362" s="380" t="s">
        <v>1267</v>
      </c>
      <c r="H11362" s="380" t="s">
        <v>771</v>
      </c>
      <c r="I11362" s="380" t="s">
        <v>788</v>
      </c>
      <c r="J11362" s="380" t="s">
        <v>773</v>
      </c>
      <c r="K11362" s="381">
        <v>0.0</v>
      </c>
      <c r="L11362" s="382">
        <v>1.0</v>
      </c>
    </row>
    <row r="11363">
      <c r="A11363" s="380" t="s">
        <v>12237</v>
      </c>
      <c r="B11363" s="380" t="str">
        <f>IFERROR(__xludf.DUMMYFUNCTION("""COMPUTED_VALUE"""),"Biela Caja Direc Eagle 3571525c1")</f>
        <v>Biela Caja Direc Eagle 3571525c1</v>
      </c>
      <c r="C11363" s="380" t="str">
        <f>IFERROR(__xludf.DUMMYFUNCTION("""COMPUTED_VALUE"""),"70006800")</f>
        <v>70006800</v>
      </c>
      <c r="D11363" s="380" t="s">
        <v>767</v>
      </c>
      <c r="E11363" s="380" t="s">
        <v>786</v>
      </c>
      <c r="F11363" s="380" t="s">
        <v>1020</v>
      </c>
      <c r="G11363" s="380" t="s">
        <v>1267</v>
      </c>
      <c r="H11363" s="380" t="s">
        <v>771</v>
      </c>
      <c r="I11363" s="380" t="s">
        <v>788</v>
      </c>
      <c r="J11363" s="380" t="s">
        <v>773</v>
      </c>
      <c r="K11363" s="381">
        <v>0.0</v>
      </c>
      <c r="L11363" s="382">
        <v>1.0</v>
      </c>
    </row>
    <row r="11364">
      <c r="A11364" s="380" t="s">
        <v>12238</v>
      </c>
      <c r="B11364" s="380" t="str">
        <f>IFERROR(__xludf.DUMMYFUNCTION("""COMPUTED_VALUE"""),"Lampara Oval Led Amarilla 4172 12v 9017")</f>
        <v>Lampara Oval Led Amarilla 4172 12v 9017</v>
      </c>
      <c r="C11364" s="380" t="str">
        <f>IFERROR(__xludf.DUMMYFUNCTION("""COMPUTED_VALUE"""),"70006801")</f>
        <v>70006801</v>
      </c>
      <c r="D11364" s="380" t="s">
        <v>767</v>
      </c>
      <c r="E11364" s="380" t="s">
        <v>786</v>
      </c>
      <c r="F11364" s="380" t="s">
        <v>998</v>
      </c>
      <c r="G11364" s="380" t="s">
        <v>1267</v>
      </c>
      <c r="H11364" s="380" t="s">
        <v>771</v>
      </c>
      <c r="I11364" s="380" t="s">
        <v>788</v>
      </c>
      <c r="J11364" s="380" t="s">
        <v>773</v>
      </c>
      <c r="K11364" s="381">
        <v>0.0</v>
      </c>
      <c r="L11364" s="382">
        <v>1.0</v>
      </c>
    </row>
    <row r="11365">
      <c r="A11365" s="380" t="s">
        <v>12239</v>
      </c>
      <c r="B11365" s="380" t="str">
        <f>IFERROR(__xludf.DUMMYFUNCTION("""COMPUTED_VALUE"""),"Enfriador Aceite Motor KWIsx 4965870")</f>
        <v>Enfriador Aceite Motor KWIsx 4965870</v>
      </c>
      <c r="C11365" s="380" t="str">
        <f>IFERROR(__xludf.DUMMYFUNCTION("""COMPUTED_VALUE"""),"70006802")</f>
        <v>70006802</v>
      </c>
      <c r="D11365" s="380" t="s">
        <v>767</v>
      </c>
      <c r="E11365" s="380" t="s">
        <v>786</v>
      </c>
      <c r="F11365" s="380" t="s">
        <v>787</v>
      </c>
      <c r="G11365" s="380" t="s">
        <v>1267</v>
      </c>
      <c r="H11365" s="380" t="s">
        <v>771</v>
      </c>
      <c r="I11365" s="380" t="s">
        <v>788</v>
      </c>
      <c r="J11365" s="380" t="s">
        <v>773</v>
      </c>
      <c r="K11365" s="381">
        <v>0.0</v>
      </c>
      <c r="L11365" s="382">
        <v>1.0</v>
      </c>
    </row>
    <row r="11366">
      <c r="A11366" s="380" t="s">
        <v>12240</v>
      </c>
      <c r="B11366" s="380" t="str">
        <f>IFERROR(__xludf.DUMMYFUNCTION("""COMPUTED_VALUE"""),"Bocin Rueda Tras Npr 8970813232 Mb6b081")</f>
        <v>Bocin Rueda Tras Npr 8970813232 Mb6b081</v>
      </c>
      <c r="C11366" s="380" t="str">
        <f>IFERROR(__xludf.DUMMYFUNCTION("""COMPUTED_VALUE"""),"70006803")</f>
        <v>70006803</v>
      </c>
      <c r="D11366" s="380" t="s">
        <v>767</v>
      </c>
      <c r="E11366" s="380" t="s">
        <v>786</v>
      </c>
      <c r="F11366" s="380" t="s">
        <v>1017</v>
      </c>
      <c r="G11366" s="380" t="s">
        <v>1267</v>
      </c>
      <c r="H11366" s="380" t="s">
        <v>771</v>
      </c>
      <c r="I11366" s="380" t="s">
        <v>788</v>
      </c>
      <c r="J11366" s="380" t="s">
        <v>773</v>
      </c>
      <c r="K11366" s="381">
        <v>0.0</v>
      </c>
      <c r="L11366" s="382">
        <v>1.0</v>
      </c>
    </row>
    <row r="11367">
      <c r="A11367" s="380" t="s">
        <v>12241</v>
      </c>
      <c r="B11367" s="380" t="str">
        <f>IFERROR(__xludf.DUMMYFUNCTION("""COMPUTED_VALUE"""),"Campana Trasera Nkr Iii Nueva 617")</f>
        <v>Campana Trasera Nkr Iii Nueva 617</v>
      </c>
      <c r="C11367" s="380" t="str">
        <f>IFERROR(__xludf.DUMMYFUNCTION("""COMPUTED_VALUE"""),"70006804")</f>
        <v>70006804</v>
      </c>
      <c r="D11367" s="380" t="s">
        <v>767</v>
      </c>
      <c r="E11367" s="380" t="s">
        <v>786</v>
      </c>
      <c r="F11367" s="380" t="s">
        <v>1017</v>
      </c>
      <c r="G11367" s="380" t="s">
        <v>1267</v>
      </c>
      <c r="H11367" s="380" t="s">
        <v>771</v>
      </c>
      <c r="I11367" s="380" t="s">
        <v>788</v>
      </c>
      <c r="J11367" s="380" t="s">
        <v>773</v>
      </c>
      <c r="K11367" s="381">
        <v>0.0</v>
      </c>
      <c r="L11367" s="382">
        <v>1.0</v>
      </c>
    </row>
    <row r="11368">
      <c r="A11368" s="380" t="s">
        <v>12242</v>
      </c>
      <c r="B11368" s="380" t="str">
        <f>IFERROR(__xludf.DUMMYFUNCTION("""COMPUTED_VALUE"""),"CJ DIR Hidraulica Nhr-Nkr REP")</f>
        <v>CJ DIR Hidraulica Nhr-Nkr REP</v>
      </c>
      <c r="C11368" s="380" t="str">
        <f>IFERROR(__xludf.DUMMYFUNCTION("""COMPUTED_VALUE"""),"70006805")</f>
        <v>70006805</v>
      </c>
      <c r="D11368" s="380" t="s">
        <v>767</v>
      </c>
      <c r="E11368" s="380" t="s">
        <v>786</v>
      </c>
      <c r="F11368" s="380" t="s">
        <v>1020</v>
      </c>
      <c r="G11368" s="380" t="s">
        <v>1267</v>
      </c>
      <c r="H11368" s="380" t="s">
        <v>771</v>
      </c>
      <c r="I11368" s="380" t="s">
        <v>788</v>
      </c>
      <c r="J11368" s="380" t="s">
        <v>773</v>
      </c>
      <c r="K11368" s="381">
        <v>0.0</v>
      </c>
      <c r="L11368" s="382">
        <v>1.0</v>
      </c>
    </row>
    <row r="11369">
      <c r="A11369" s="380" t="s">
        <v>12243</v>
      </c>
      <c r="B11369" s="380" t="str">
        <f>IFERROR(__xludf.DUMMYFUNCTION("""COMPUTED_VALUE"""),"Fusible Termico 30 Amp 12v 54725")</f>
        <v>Fusible Termico 30 Amp 12v 54725</v>
      </c>
      <c r="C11369" s="380" t="str">
        <f>IFERROR(__xludf.DUMMYFUNCTION("""COMPUTED_VALUE"""),"70006806")</f>
        <v>70006806</v>
      </c>
      <c r="D11369" s="380" t="s">
        <v>767</v>
      </c>
      <c r="E11369" s="380" t="s">
        <v>786</v>
      </c>
      <c r="F11369" s="380" t="s">
        <v>998</v>
      </c>
      <c r="G11369" s="380" t="s">
        <v>1267</v>
      </c>
      <c r="H11369" s="380" t="s">
        <v>771</v>
      </c>
      <c r="I11369" s="380" t="s">
        <v>788</v>
      </c>
      <c r="J11369" s="380" t="s">
        <v>773</v>
      </c>
      <c r="K11369" s="381">
        <v>28322.0</v>
      </c>
      <c r="L11369" s="382">
        <v>1.0</v>
      </c>
    </row>
    <row r="11370">
      <c r="A11370" s="380" t="s">
        <v>12244</v>
      </c>
      <c r="B11370" s="380" t="str">
        <f>IFERROR(__xludf.DUMMYFUNCTION("""COMPUTED_VALUE"""),"Bombillo Unidad Halogena Bajas Hb3-9005")</f>
        <v>Bombillo Unidad Halogena Bajas Hb3-9005</v>
      </c>
      <c r="C11370" s="380" t="str">
        <f>IFERROR(__xludf.DUMMYFUNCTION("""COMPUTED_VALUE"""),"70006807")</f>
        <v>70006807</v>
      </c>
      <c r="D11370" s="380" t="s">
        <v>767</v>
      </c>
      <c r="E11370" s="380" t="s">
        <v>786</v>
      </c>
      <c r="F11370" s="380" t="s">
        <v>998</v>
      </c>
      <c r="G11370" s="380" t="s">
        <v>1267</v>
      </c>
      <c r="H11370" s="380" t="s">
        <v>771</v>
      </c>
      <c r="I11370" s="380" t="s">
        <v>788</v>
      </c>
      <c r="J11370" s="380" t="s">
        <v>773</v>
      </c>
      <c r="K11370" s="381">
        <v>0.0</v>
      </c>
      <c r="L11370" s="382">
        <v>1.0</v>
      </c>
    </row>
    <row r="11371">
      <c r="A11371" s="380" t="s">
        <v>12245</v>
      </c>
      <c r="B11371" s="380" t="str">
        <f>IFERROR(__xludf.DUMMYFUNCTION("""COMPUTED_VALUE"""),"Unidad Hologena Der FRL Ra06510410")</f>
        <v>Unidad Hologena Der FRL Ra06510410</v>
      </c>
      <c r="C11371" s="380" t="str">
        <f>IFERROR(__xludf.DUMMYFUNCTION("""COMPUTED_VALUE"""),"70006808")</f>
        <v>70006808</v>
      </c>
      <c r="D11371" s="380" t="s">
        <v>767</v>
      </c>
      <c r="E11371" s="380" t="s">
        <v>786</v>
      </c>
      <c r="F11371" s="380" t="s">
        <v>998</v>
      </c>
      <c r="G11371" s="380" t="s">
        <v>1267</v>
      </c>
      <c r="H11371" s="380" t="s">
        <v>771</v>
      </c>
      <c r="I11371" s="380" t="s">
        <v>788</v>
      </c>
      <c r="J11371" s="380" t="s">
        <v>773</v>
      </c>
      <c r="K11371" s="381">
        <v>0.0</v>
      </c>
      <c r="L11371" s="382">
        <v>1.0</v>
      </c>
    </row>
    <row r="11372">
      <c r="A11372" s="380" t="s">
        <v>12246</v>
      </c>
      <c r="B11372" s="380" t="str">
        <f>IFERROR(__xludf.DUMMYFUNCTION("""COMPUTED_VALUE"""),"Fusible Vidrio")</f>
        <v>Fusible Vidrio</v>
      </c>
      <c r="C11372" s="380" t="str">
        <f>IFERROR(__xludf.DUMMYFUNCTION("""COMPUTED_VALUE"""),"70006809")</f>
        <v>70006809</v>
      </c>
      <c r="D11372" s="380" t="s">
        <v>767</v>
      </c>
      <c r="E11372" s="380" t="s">
        <v>786</v>
      </c>
      <c r="F11372" s="380" t="s">
        <v>998</v>
      </c>
      <c r="G11372" s="380" t="s">
        <v>1267</v>
      </c>
      <c r="H11372" s="380" t="s">
        <v>771</v>
      </c>
      <c r="I11372" s="380" t="s">
        <v>788</v>
      </c>
      <c r="J11372" s="380" t="s">
        <v>773</v>
      </c>
      <c r="K11372" s="381">
        <v>0.0</v>
      </c>
      <c r="L11372" s="382">
        <v>1.0</v>
      </c>
    </row>
    <row r="11373">
      <c r="A11373" s="380" t="s">
        <v>12247</v>
      </c>
      <c r="B11373" s="380" t="str">
        <f>IFERROR(__xludf.DUMMYFUNCTION("""COMPUTED_VALUE"""),"Gancho Capot")</f>
        <v>Gancho Capot</v>
      </c>
      <c r="C11373" s="380" t="str">
        <f>IFERROR(__xludf.DUMMYFUNCTION("""COMPUTED_VALUE"""),"70006810")</f>
        <v>70006810</v>
      </c>
      <c r="D11373" s="380" t="s">
        <v>767</v>
      </c>
      <c r="E11373" s="380" t="s">
        <v>786</v>
      </c>
      <c r="F11373" s="380" t="s">
        <v>792</v>
      </c>
      <c r="G11373" s="380" t="s">
        <v>1267</v>
      </c>
      <c r="H11373" s="380" t="s">
        <v>771</v>
      </c>
      <c r="I11373" s="380" t="s">
        <v>788</v>
      </c>
      <c r="J11373" s="380" t="s">
        <v>773</v>
      </c>
      <c r="K11373" s="381">
        <v>0.0</v>
      </c>
      <c r="L11373" s="382">
        <v>1.0</v>
      </c>
    </row>
    <row r="11374">
      <c r="A11374" s="380" t="s">
        <v>12248</v>
      </c>
      <c r="B11374" s="380" t="str">
        <f>IFERROR(__xludf.DUMMYFUNCTION("""COMPUTED_VALUE"""),"Gancho Capot Hi4700 Internatio 499523 C3")</f>
        <v>Gancho Capot Hi4700 Internatio 499523 C3</v>
      </c>
      <c r="C11374" s="380" t="str">
        <f>IFERROR(__xludf.DUMMYFUNCTION("""COMPUTED_VALUE"""),"70006811")</f>
        <v>70006811</v>
      </c>
      <c r="D11374" s="380" t="s">
        <v>767</v>
      </c>
      <c r="E11374" s="380" t="s">
        <v>786</v>
      </c>
      <c r="F11374" s="380" t="s">
        <v>792</v>
      </c>
      <c r="G11374" s="380" t="s">
        <v>1267</v>
      </c>
      <c r="H11374" s="380" t="s">
        <v>771</v>
      </c>
      <c r="I11374" s="380" t="s">
        <v>788</v>
      </c>
      <c r="J11374" s="380" t="s">
        <v>773</v>
      </c>
      <c r="K11374" s="381">
        <v>0.0</v>
      </c>
      <c r="L11374" s="382">
        <v>1.0</v>
      </c>
    </row>
    <row r="11375">
      <c r="A11375" s="380" t="s">
        <v>12249</v>
      </c>
      <c r="B11375" s="380" t="str">
        <f>IFERROR(__xludf.DUMMYFUNCTION("""COMPUTED_VALUE"""),"Empaquetadura Fan Clucht SB 3918365")</f>
        <v>Empaquetadura Fan Clucht SB 3918365</v>
      </c>
      <c r="C11375" s="380" t="str">
        <f>IFERROR(__xludf.DUMMYFUNCTION("""COMPUTED_VALUE"""),"70006812")</f>
        <v>70006812</v>
      </c>
      <c r="D11375" s="380" t="s">
        <v>767</v>
      </c>
      <c r="E11375" s="380" t="s">
        <v>786</v>
      </c>
      <c r="F11375" s="380" t="s">
        <v>787</v>
      </c>
      <c r="G11375" s="380" t="s">
        <v>1267</v>
      </c>
      <c r="H11375" s="380" t="s">
        <v>771</v>
      </c>
      <c r="I11375" s="380" t="s">
        <v>788</v>
      </c>
      <c r="J11375" s="380" t="s">
        <v>773</v>
      </c>
      <c r="K11375" s="381">
        <v>0.0</v>
      </c>
      <c r="L11375" s="382">
        <v>1.0</v>
      </c>
    </row>
    <row r="11376">
      <c r="A11376" s="380" t="s">
        <v>12250</v>
      </c>
      <c r="B11376" s="380" t="str">
        <f>IFERROR(__xludf.DUMMYFUNCTION("""COMPUTED_VALUE"""),"Gancho Tapa Bateria V8075993")</f>
        <v>Gancho Tapa Bateria V8075993</v>
      </c>
      <c r="C11376" s="380" t="str">
        <f>IFERROR(__xludf.DUMMYFUNCTION("""COMPUTED_VALUE"""),"70006813")</f>
        <v>70006813</v>
      </c>
      <c r="D11376" s="380" t="s">
        <v>767</v>
      </c>
      <c r="E11376" s="380" t="s">
        <v>786</v>
      </c>
      <c r="F11376" s="380" t="s">
        <v>792</v>
      </c>
      <c r="G11376" s="380" t="s">
        <v>1267</v>
      </c>
      <c r="H11376" s="380" t="s">
        <v>771</v>
      </c>
      <c r="I11376" s="380" t="s">
        <v>788</v>
      </c>
      <c r="J11376" s="380" t="s">
        <v>773</v>
      </c>
      <c r="K11376" s="381">
        <v>0.0</v>
      </c>
      <c r="L11376" s="382">
        <v>1.0</v>
      </c>
    </row>
    <row r="11377">
      <c r="A11377" s="380" t="s">
        <v>12251</v>
      </c>
      <c r="B11377" s="380" t="str">
        <f>IFERROR(__xludf.DUMMYFUNCTION("""COMPUTED_VALUE"""),"Lampara Furgon 4-075-6-1 Grande")</f>
        <v>Lampara Furgon 4-075-6-1 Grande</v>
      </c>
      <c r="C11377" s="380" t="str">
        <f>IFERROR(__xludf.DUMMYFUNCTION("""COMPUTED_VALUE"""),"70006814")</f>
        <v>70006814</v>
      </c>
      <c r="D11377" s="380" t="s">
        <v>767</v>
      </c>
      <c r="E11377" s="380" t="s">
        <v>786</v>
      </c>
      <c r="F11377" s="380" t="s">
        <v>998</v>
      </c>
      <c r="G11377" s="380" t="s">
        <v>1267</v>
      </c>
      <c r="H11377" s="380" t="s">
        <v>771</v>
      </c>
      <c r="I11377" s="380" t="s">
        <v>788</v>
      </c>
      <c r="J11377" s="380" t="s">
        <v>773</v>
      </c>
      <c r="K11377" s="381">
        <v>21415.0</v>
      </c>
      <c r="L11377" s="382">
        <v>1.0</v>
      </c>
    </row>
    <row r="11378">
      <c r="A11378" s="380" t="s">
        <v>12252</v>
      </c>
      <c r="B11378" s="380" t="str">
        <f>IFERROR(__xludf.DUMMYFUNCTION("""COMPUTED_VALUE"""),"Empaquetadura Gobernador Aire Sb-276121")</f>
        <v>Empaquetadura Gobernador Aire Sb-276121</v>
      </c>
      <c r="C11378" s="380" t="str">
        <f>IFERROR(__xludf.DUMMYFUNCTION("""COMPUTED_VALUE"""),"70006815")</f>
        <v>70006815</v>
      </c>
      <c r="D11378" s="380" t="s">
        <v>767</v>
      </c>
      <c r="E11378" s="380" t="s">
        <v>786</v>
      </c>
      <c r="F11378" s="380" t="s">
        <v>1017</v>
      </c>
      <c r="G11378" s="380" t="s">
        <v>1267</v>
      </c>
      <c r="H11378" s="380" t="s">
        <v>771</v>
      </c>
      <c r="I11378" s="380" t="s">
        <v>788</v>
      </c>
      <c r="J11378" s="380" t="s">
        <v>773</v>
      </c>
      <c r="K11378" s="381">
        <v>0.0</v>
      </c>
      <c r="L11378" s="382">
        <v>1.0</v>
      </c>
    </row>
    <row r="11379">
      <c r="A11379" s="380" t="s">
        <v>12253</v>
      </c>
      <c r="B11379" s="380" t="str">
        <f>IFERROR(__xludf.DUMMYFUNCTION("""COMPUTED_VALUE"""),"Porta Escobillas Arranque T D Alpe046")</f>
        <v>Porta Escobillas Arranque T D Alpe046</v>
      </c>
      <c r="C11379" s="380" t="str">
        <f>IFERROR(__xludf.DUMMYFUNCTION("""COMPUTED_VALUE"""),"70006816")</f>
        <v>70006816</v>
      </c>
      <c r="D11379" s="380" t="s">
        <v>767</v>
      </c>
      <c r="E11379" s="380" t="s">
        <v>786</v>
      </c>
      <c r="F11379" s="380" t="s">
        <v>998</v>
      </c>
      <c r="G11379" s="380" t="s">
        <v>1267</v>
      </c>
      <c r="H11379" s="380" t="s">
        <v>771</v>
      </c>
      <c r="I11379" s="380" t="s">
        <v>788</v>
      </c>
      <c r="J11379" s="380" t="s">
        <v>773</v>
      </c>
      <c r="K11379" s="381">
        <v>0.0</v>
      </c>
      <c r="L11379" s="382">
        <v>1.0</v>
      </c>
    </row>
    <row r="11380">
      <c r="A11380" s="380" t="s">
        <v>12254</v>
      </c>
      <c r="B11380" s="380" t="str">
        <f>IFERROR(__xludf.DUMMYFUNCTION("""COMPUTED_VALUE"""),"Gancho Tensor Capot SB 671010008")</f>
        <v>Gancho Tensor Capot SB 671010008</v>
      </c>
      <c r="C11380" s="380" t="str">
        <f>IFERROR(__xludf.DUMMYFUNCTION("""COMPUTED_VALUE"""),"70006817")</f>
        <v>70006817</v>
      </c>
      <c r="D11380" s="380" t="s">
        <v>767</v>
      </c>
      <c r="E11380" s="380" t="s">
        <v>786</v>
      </c>
      <c r="F11380" s="380" t="s">
        <v>792</v>
      </c>
      <c r="G11380" s="380" t="s">
        <v>1267</v>
      </c>
      <c r="H11380" s="380" t="s">
        <v>771</v>
      </c>
      <c r="I11380" s="380" t="s">
        <v>788</v>
      </c>
      <c r="J11380" s="380" t="s">
        <v>773</v>
      </c>
      <c r="K11380" s="381">
        <v>228600.0</v>
      </c>
      <c r="L11380" s="382">
        <v>1.0</v>
      </c>
    </row>
    <row r="11381">
      <c r="A11381" s="380" t="s">
        <v>12255</v>
      </c>
      <c r="B11381" s="380" t="str">
        <f>IFERROR(__xludf.DUMMYFUNCTION("""COMPUTED_VALUE"""),"Soporte Guaradpolvo Tras Der 3593192c92")</f>
        <v>Soporte Guaradpolvo Tras Der 3593192c92</v>
      </c>
      <c r="C11381" s="380" t="str">
        <f>IFERROR(__xludf.DUMMYFUNCTION("""COMPUTED_VALUE"""),"70006818")</f>
        <v>70006818</v>
      </c>
      <c r="D11381" s="380" t="s">
        <v>767</v>
      </c>
      <c r="E11381" s="380" t="s">
        <v>786</v>
      </c>
      <c r="F11381" s="380" t="s">
        <v>792</v>
      </c>
      <c r="G11381" s="380" t="s">
        <v>1267</v>
      </c>
      <c r="H11381" s="380" t="s">
        <v>771</v>
      </c>
      <c r="I11381" s="380" t="s">
        <v>788</v>
      </c>
      <c r="J11381" s="380" t="s">
        <v>773</v>
      </c>
      <c r="K11381" s="381">
        <v>0.0</v>
      </c>
      <c r="L11381" s="382">
        <v>1.0</v>
      </c>
    </row>
    <row r="11382">
      <c r="A11382" s="380" t="s">
        <v>12256</v>
      </c>
      <c r="B11382" s="380" t="str">
        <f>IFERROR(__xludf.DUMMYFUNCTION("""COMPUTED_VALUE"""),"Interruptor Rev Caja Vel Npr 8980371600")</f>
        <v>Interruptor Rev Caja Vel Npr 8980371600</v>
      </c>
      <c r="C11382" s="380" t="str">
        <f>IFERROR(__xludf.DUMMYFUNCTION("""COMPUTED_VALUE"""),"70006819")</f>
        <v>70006819</v>
      </c>
      <c r="D11382" s="380" t="s">
        <v>767</v>
      </c>
      <c r="E11382" s="380" t="s">
        <v>786</v>
      </c>
      <c r="F11382" s="380" t="s">
        <v>998</v>
      </c>
      <c r="G11382" s="380" t="s">
        <v>1267</v>
      </c>
      <c r="H11382" s="380" t="s">
        <v>771</v>
      </c>
      <c r="I11382" s="380" t="s">
        <v>788</v>
      </c>
      <c r="J11382" s="380" t="s">
        <v>773</v>
      </c>
      <c r="K11382" s="381">
        <v>0.0</v>
      </c>
      <c r="L11382" s="382">
        <v>1.0</v>
      </c>
    </row>
    <row r="11383">
      <c r="A11383" s="380" t="s">
        <v>12257</v>
      </c>
      <c r="B11383" s="380" t="str">
        <f>IFERROR(__xludf.DUMMYFUNCTION("""COMPUTED_VALUE"""),"Hoja Resorte Ppal Tras Kw W-900tra/1")</f>
        <v>Hoja Resorte Ppal Tras Kw W-900tra/1</v>
      </c>
      <c r="C11383" s="380" t="str">
        <f>IFERROR(__xludf.DUMMYFUNCTION("""COMPUTED_VALUE"""),"70006820")</f>
        <v>70006820</v>
      </c>
      <c r="D11383" s="380" t="s">
        <v>767</v>
      </c>
      <c r="E11383" s="380" t="s">
        <v>786</v>
      </c>
      <c r="F11383" s="380" t="s">
        <v>1039</v>
      </c>
      <c r="G11383" s="380" t="s">
        <v>1267</v>
      </c>
      <c r="H11383" s="380" t="s">
        <v>771</v>
      </c>
      <c r="I11383" s="380" t="s">
        <v>788</v>
      </c>
      <c r="J11383" s="380" t="s">
        <v>773</v>
      </c>
      <c r="K11383" s="381">
        <v>349999.0</v>
      </c>
      <c r="L11383" s="382">
        <v>1.0</v>
      </c>
    </row>
    <row r="11384">
      <c r="A11384" s="380" t="s">
        <v>12258</v>
      </c>
      <c r="B11384" s="380" t="str">
        <f>IFERROR(__xludf.DUMMYFUNCTION("""COMPUTED_VALUE"""),"EMP Bba COMB Isx EGL 4954473")</f>
        <v>EMP Bba COMB Isx EGL 4954473</v>
      </c>
      <c r="C11384" s="380" t="str">
        <f>IFERROR(__xludf.DUMMYFUNCTION("""COMPUTED_VALUE"""),"70006821")</f>
        <v>70006821</v>
      </c>
      <c r="D11384" s="380" t="s">
        <v>767</v>
      </c>
      <c r="E11384" s="380" t="s">
        <v>786</v>
      </c>
      <c r="F11384" s="380" t="s">
        <v>787</v>
      </c>
      <c r="G11384" s="380" t="s">
        <v>1267</v>
      </c>
      <c r="H11384" s="380" t="s">
        <v>771</v>
      </c>
      <c r="I11384" s="380" t="s">
        <v>788</v>
      </c>
      <c r="J11384" s="380" t="s">
        <v>773</v>
      </c>
      <c r="K11384" s="381">
        <v>0.0</v>
      </c>
      <c r="L11384" s="382">
        <v>1.0</v>
      </c>
    </row>
    <row r="11385">
      <c r="A11385" s="380" t="s">
        <v>12259</v>
      </c>
      <c r="B11385" s="380" t="str">
        <f>IFERROR(__xludf.DUMMYFUNCTION("""COMPUTED_VALUE"""),"Automatico Aux Arranqu Eagle Sw15330-1")</f>
        <v>Automatico Aux Arranqu Eagle Sw15330-1</v>
      </c>
      <c r="C11385" s="380" t="str">
        <f>IFERROR(__xludf.DUMMYFUNCTION("""COMPUTED_VALUE"""),"70006822")</f>
        <v>70006822</v>
      </c>
      <c r="D11385" s="380" t="s">
        <v>767</v>
      </c>
      <c r="E11385" s="380" t="s">
        <v>786</v>
      </c>
      <c r="F11385" s="380" t="s">
        <v>998</v>
      </c>
      <c r="G11385" s="380" t="s">
        <v>1267</v>
      </c>
      <c r="H11385" s="380" t="s">
        <v>771</v>
      </c>
      <c r="I11385" s="380" t="s">
        <v>788</v>
      </c>
      <c r="J11385" s="380" t="s">
        <v>773</v>
      </c>
      <c r="K11385" s="381">
        <v>0.0</v>
      </c>
      <c r="L11385" s="382">
        <v>1.0</v>
      </c>
    </row>
    <row r="11386">
      <c r="A11386" s="380" t="s">
        <v>12260</v>
      </c>
      <c r="B11386" s="380" t="str">
        <f>IFERROR(__xludf.DUMMYFUNCTION("""COMPUTED_VALUE"""),"Parabrisas Laminado Hi Eagle 2008")</f>
        <v>Parabrisas Laminado Hi Eagle 2008</v>
      </c>
      <c r="C11386" s="380" t="str">
        <f>IFERROR(__xludf.DUMMYFUNCTION("""COMPUTED_VALUE"""),"70006823")</f>
        <v>70006823</v>
      </c>
      <c r="D11386" s="380" t="s">
        <v>767</v>
      </c>
      <c r="E11386" s="380" t="s">
        <v>786</v>
      </c>
      <c r="F11386" s="380" t="s">
        <v>792</v>
      </c>
      <c r="G11386" s="380" t="s">
        <v>1267</v>
      </c>
      <c r="H11386" s="380" t="s">
        <v>771</v>
      </c>
      <c r="I11386" s="380" t="s">
        <v>788</v>
      </c>
      <c r="J11386" s="380" t="s">
        <v>773</v>
      </c>
      <c r="K11386" s="381">
        <v>0.0</v>
      </c>
      <c r="L11386" s="382">
        <v>1.0</v>
      </c>
    </row>
    <row r="11387">
      <c r="A11387" s="380" t="s">
        <v>12261</v>
      </c>
      <c r="B11387" s="380" t="str">
        <f>IFERROR(__xludf.DUMMYFUNCTION("""COMPUTED_VALUE"""),"Boquilla MANG Limpia Parabris 8980101720")</f>
        <v>Boquilla MANG Limpia Parabris 8980101720</v>
      </c>
      <c r="C11387" s="380" t="str">
        <f>IFERROR(__xludf.DUMMYFUNCTION("""COMPUTED_VALUE"""),"70006824")</f>
        <v>70006824</v>
      </c>
      <c r="D11387" s="380" t="s">
        <v>767</v>
      </c>
      <c r="E11387" s="380" t="s">
        <v>786</v>
      </c>
      <c r="F11387" s="380" t="s">
        <v>792</v>
      </c>
      <c r="G11387" s="380" t="s">
        <v>1267</v>
      </c>
      <c r="H11387" s="380" t="s">
        <v>771</v>
      </c>
      <c r="I11387" s="380" t="s">
        <v>788</v>
      </c>
      <c r="J11387" s="380" t="s">
        <v>773</v>
      </c>
      <c r="K11387" s="381">
        <v>0.0</v>
      </c>
      <c r="L11387" s="382">
        <v>1.0</v>
      </c>
    </row>
    <row r="11388">
      <c r="A11388" s="380" t="s">
        <v>12262</v>
      </c>
      <c r="B11388" s="380" t="str">
        <f>IFERROR(__xludf.DUMMYFUNCTION("""COMPUTED_VALUE"""),"Perilla Aire AC Eagle Isx 2587970c1")</f>
        <v>Perilla Aire AC Eagle Isx 2587970c1</v>
      </c>
      <c r="C11388" s="380" t="str">
        <f>IFERROR(__xludf.DUMMYFUNCTION("""COMPUTED_VALUE"""),"70006825")</f>
        <v>70006825</v>
      </c>
      <c r="D11388" s="380" t="s">
        <v>767</v>
      </c>
      <c r="E11388" s="380" t="s">
        <v>786</v>
      </c>
      <c r="F11388" s="380" t="s">
        <v>792</v>
      </c>
      <c r="G11388" s="380" t="s">
        <v>1267</v>
      </c>
      <c r="H11388" s="380" t="s">
        <v>771</v>
      </c>
      <c r="I11388" s="380" t="s">
        <v>788</v>
      </c>
      <c r="J11388" s="380" t="s">
        <v>773</v>
      </c>
      <c r="K11388" s="381">
        <v>0.0</v>
      </c>
      <c r="L11388" s="382">
        <v>1.0</v>
      </c>
    </row>
    <row r="11389">
      <c r="A11389" s="380" t="s">
        <v>12263</v>
      </c>
      <c r="B11389" s="380" t="str">
        <f>IFERROR(__xludf.DUMMYFUNCTION("""COMPUTED_VALUE"""),"Fusible EGL 150 Am Internatio 3500133 C2")</f>
        <v>Fusible EGL 150 Am Internatio 3500133 C2</v>
      </c>
      <c r="C11389" s="380" t="str">
        <f>IFERROR(__xludf.DUMMYFUNCTION("""COMPUTED_VALUE"""),"70006826")</f>
        <v>70006826</v>
      </c>
      <c r="D11389" s="380" t="s">
        <v>767</v>
      </c>
      <c r="E11389" s="380" t="s">
        <v>786</v>
      </c>
      <c r="F11389" s="380" t="s">
        <v>998</v>
      </c>
      <c r="G11389" s="380" t="s">
        <v>1267</v>
      </c>
      <c r="H11389" s="380" t="s">
        <v>771</v>
      </c>
      <c r="I11389" s="380" t="s">
        <v>788</v>
      </c>
      <c r="J11389" s="380" t="s">
        <v>773</v>
      </c>
      <c r="K11389" s="381">
        <v>0.0</v>
      </c>
      <c r="L11389" s="382">
        <v>1.0</v>
      </c>
    </row>
    <row r="11390">
      <c r="A11390" s="380" t="s">
        <v>12264</v>
      </c>
      <c r="B11390" s="380" t="str">
        <f>IFERROR(__xludf.DUMMYFUNCTION("""COMPUTED_VALUE"""),"EMPtadura VALV Doble EGL 5002741")</f>
        <v>EMPtadura VALV Doble EGL 5002741</v>
      </c>
      <c r="C11390" s="380" t="str">
        <f>IFERROR(__xludf.DUMMYFUNCTION("""COMPUTED_VALUE"""),"70006827")</f>
        <v>70006827</v>
      </c>
      <c r="D11390" s="380" t="s">
        <v>767</v>
      </c>
      <c r="E11390" s="380" t="s">
        <v>786</v>
      </c>
      <c r="F11390" s="380" t="s">
        <v>1017</v>
      </c>
      <c r="G11390" s="380" t="s">
        <v>1267</v>
      </c>
      <c r="H11390" s="380" t="s">
        <v>771</v>
      </c>
      <c r="I11390" s="380" t="s">
        <v>788</v>
      </c>
      <c r="J11390" s="380" t="s">
        <v>773</v>
      </c>
      <c r="K11390" s="381">
        <v>0.0</v>
      </c>
      <c r="L11390" s="382">
        <v>1.0</v>
      </c>
    </row>
    <row r="11391">
      <c r="A11391" s="380" t="s">
        <v>12265</v>
      </c>
      <c r="B11391" s="380" t="str">
        <f>IFERROR(__xludf.DUMMYFUNCTION("""COMPUTED_VALUE"""),"Malla Protector RAD Acero Inoxidable KWh")</f>
        <v>Malla Protector RAD Acero Inoxidable KWh</v>
      </c>
      <c r="C11391" s="380" t="str">
        <f>IFERROR(__xludf.DUMMYFUNCTION("""COMPUTED_VALUE"""),"70006828")</f>
        <v>70006828</v>
      </c>
      <c r="D11391" s="380" t="s">
        <v>767</v>
      </c>
      <c r="E11391" s="380" t="s">
        <v>786</v>
      </c>
      <c r="F11391" s="380" t="s">
        <v>792</v>
      </c>
      <c r="G11391" s="380" t="s">
        <v>1267</v>
      </c>
      <c r="H11391" s="380" t="s">
        <v>771</v>
      </c>
      <c r="I11391" s="380" t="s">
        <v>788</v>
      </c>
      <c r="J11391" s="380" t="s">
        <v>773</v>
      </c>
      <c r="K11391" s="381">
        <v>0.0</v>
      </c>
      <c r="L11391" s="382">
        <v>1.0</v>
      </c>
    </row>
    <row r="11392">
      <c r="A11392" s="380" t="s">
        <v>12266</v>
      </c>
      <c r="B11392" s="380" t="str">
        <f>IFERROR(__xludf.DUMMYFUNCTION("""COMPUTED_VALUE"""),"Manguera Salida Radiador Eagle 3606264c1")</f>
        <v>Manguera Salida Radiador Eagle 3606264c1</v>
      </c>
      <c r="C11392" s="380" t="str">
        <f>IFERROR(__xludf.DUMMYFUNCTION("""COMPUTED_VALUE"""),"70006829")</f>
        <v>70006829</v>
      </c>
      <c r="D11392" s="380" t="s">
        <v>767</v>
      </c>
      <c r="E11392" s="380" t="s">
        <v>786</v>
      </c>
      <c r="F11392" s="380" t="s">
        <v>787</v>
      </c>
      <c r="G11392" s="380" t="s">
        <v>1267</v>
      </c>
      <c r="H11392" s="380" t="s">
        <v>771</v>
      </c>
      <c r="I11392" s="380" t="s">
        <v>788</v>
      </c>
      <c r="J11392" s="380" t="s">
        <v>773</v>
      </c>
      <c r="K11392" s="381">
        <v>140156.0</v>
      </c>
      <c r="L11392" s="382">
        <v>1.0</v>
      </c>
    </row>
    <row r="11393">
      <c r="A11393" s="380" t="s">
        <v>12267</v>
      </c>
      <c r="B11393" s="380" t="str">
        <f>IFERROR(__xludf.DUMMYFUNCTION("""COMPUTED_VALUE"""),"Fan Clucht Nkr 8971297350")</f>
        <v>Fan Clucht Nkr 8971297350</v>
      </c>
      <c r="C11393" s="380" t="str">
        <f>IFERROR(__xludf.DUMMYFUNCTION("""COMPUTED_VALUE"""),"70006830")</f>
        <v>70006830</v>
      </c>
      <c r="D11393" s="380" t="s">
        <v>767</v>
      </c>
      <c r="E11393" s="380" t="s">
        <v>786</v>
      </c>
      <c r="F11393" s="380" t="s">
        <v>787</v>
      </c>
      <c r="G11393" s="380" t="s">
        <v>1267</v>
      </c>
      <c r="H11393" s="380" t="s">
        <v>771</v>
      </c>
      <c r="I11393" s="380" t="s">
        <v>788</v>
      </c>
      <c r="J11393" s="380" t="s">
        <v>773</v>
      </c>
      <c r="K11393" s="381">
        <v>0.0</v>
      </c>
      <c r="L11393" s="382">
        <v>1.0</v>
      </c>
    </row>
    <row r="11394">
      <c r="A11394" s="380" t="s">
        <v>12268</v>
      </c>
      <c r="B11394" s="380" t="str">
        <f>IFERROR(__xludf.DUMMYFUNCTION("""COMPUTED_VALUE"""),"EMPt Cja DIRc Chep Internatio 2502008 C9")</f>
        <v>EMPt Cja DIRc Chep Internatio 2502008 C9</v>
      </c>
      <c r="C11394" s="380" t="str">
        <f>IFERROR(__xludf.DUMMYFUNCTION("""COMPUTED_VALUE"""),"70006831")</f>
        <v>70006831</v>
      </c>
      <c r="D11394" s="380" t="s">
        <v>767</v>
      </c>
      <c r="E11394" s="380" t="s">
        <v>786</v>
      </c>
      <c r="F11394" s="380" t="s">
        <v>1020</v>
      </c>
      <c r="G11394" s="380" t="s">
        <v>1267</v>
      </c>
      <c r="H11394" s="380" t="s">
        <v>771</v>
      </c>
      <c r="I11394" s="380" t="s">
        <v>788</v>
      </c>
      <c r="J11394" s="380" t="s">
        <v>773</v>
      </c>
      <c r="K11394" s="381">
        <v>0.0</v>
      </c>
      <c r="L11394" s="382">
        <v>1.0</v>
      </c>
    </row>
    <row r="11395">
      <c r="A11395" s="380" t="s">
        <v>12269</v>
      </c>
      <c r="B11395" s="380" t="str">
        <f>IFERROR(__xludf.DUMMYFUNCTION("""COMPUTED_VALUE"""),"Bocel Lateral Perciana KWh K212189r")</f>
        <v>Bocel Lateral Perciana KWh K212189r</v>
      </c>
      <c r="C11395" s="380" t="str">
        <f>IFERROR(__xludf.DUMMYFUNCTION("""COMPUTED_VALUE"""),"70006832")</f>
        <v>70006832</v>
      </c>
      <c r="D11395" s="380" t="s">
        <v>767</v>
      </c>
      <c r="E11395" s="380" t="s">
        <v>786</v>
      </c>
      <c r="F11395" s="380" t="s">
        <v>792</v>
      </c>
      <c r="G11395" s="380" t="s">
        <v>1267</v>
      </c>
      <c r="H11395" s="380" t="s">
        <v>771</v>
      </c>
      <c r="I11395" s="380" t="s">
        <v>788</v>
      </c>
      <c r="J11395" s="380" t="s">
        <v>773</v>
      </c>
      <c r="K11395" s="381">
        <v>0.0</v>
      </c>
      <c r="L11395" s="382">
        <v>1.0</v>
      </c>
    </row>
    <row r="11396">
      <c r="A11396" s="380" t="s">
        <v>12270</v>
      </c>
      <c r="B11396" s="380" t="str">
        <f>IFERROR(__xludf.DUMMYFUNCTION("""COMPUTED_VALUE"""),"Empaquetadura Valvula Relay KWh 102802")</f>
        <v>Empaquetadura Valvula Relay KWh 102802</v>
      </c>
      <c r="C11396" s="380" t="str">
        <f>IFERROR(__xludf.DUMMYFUNCTION("""COMPUTED_VALUE"""),"70006833")</f>
        <v>70006833</v>
      </c>
      <c r="D11396" s="380" t="s">
        <v>767</v>
      </c>
      <c r="E11396" s="380" t="s">
        <v>786</v>
      </c>
      <c r="F11396" s="380" t="s">
        <v>1017</v>
      </c>
      <c r="G11396" s="380" t="s">
        <v>1267</v>
      </c>
      <c r="H11396" s="380" t="s">
        <v>771</v>
      </c>
      <c r="I11396" s="380" t="s">
        <v>788</v>
      </c>
      <c r="J11396" s="380" t="s">
        <v>773</v>
      </c>
      <c r="K11396" s="381">
        <v>113050.0</v>
      </c>
      <c r="L11396" s="382">
        <v>1.0</v>
      </c>
    </row>
    <row r="11397">
      <c r="A11397" s="380" t="s">
        <v>12271</v>
      </c>
      <c r="B11397" s="380" t="str">
        <f>IFERROR(__xludf.DUMMYFUNCTION("""COMPUTED_VALUE"""),"EMPtadura BMB Principal Freno 287368 Sb")</f>
        <v>EMPtadura BMB Principal Freno 287368 Sb</v>
      </c>
      <c r="C11397" s="380" t="str">
        <f>IFERROR(__xludf.DUMMYFUNCTION("""COMPUTED_VALUE"""),"70006834")</f>
        <v>70006834</v>
      </c>
      <c r="D11397" s="380" t="s">
        <v>767</v>
      </c>
      <c r="E11397" s="380" t="s">
        <v>786</v>
      </c>
      <c r="F11397" s="380" t="s">
        <v>1017</v>
      </c>
      <c r="G11397" s="380" t="s">
        <v>1267</v>
      </c>
      <c r="H11397" s="380" t="s">
        <v>771</v>
      </c>
      <c r="I11397" s="380" t="s">
        <v>788</v>
      </c>
      <c r="J11397" s="380" t="s">
        <v>773</v>
      </c>
      <c r="K11397" s="381">
        <v>0.0</v>
      </c>
      <c r="L11397" s="382">
        <v>1.0</v>
      </c>
    </row>
    <row r="11398">
      <c r="A11398" s="380" t="s">
        <v>12272</v>
      </c>
      <c r="B11398" s="380" t="str">
        <f>IFERROR(__xludf.DUMMYFUNCTION("""COMPUTED_VALUE"""),"SENS Neumatico Stop Crucero FRL 17492134")</f>
        <v>SENS Neumatico Stop Crucero FRL 17492134</v>
      </c>
      <c r="C11398" s="380" t="str">
        <f>IFERROR(__xludf.DUMMYFUNCTION("""COMPUTED_VALUE"""),"70006835")</f>
        <v>70006835</v>
      </c>
      <c r="D11398" s="380" t="s">
        <v>767</v>
      </c>
      <c r="E11398" s="380" t="s">
        <v>786</v>
      </c>
      <c r="F11398" s="380" t="s">
        <v>998</v>
      </c>
      <c r="G11398" s="380" t="s">
        <v>1267</v>
      </c>
      <c r="H11398" s="380" t="s">
        <v>771</v>
      </c>
      <c r="I11398" s="380" t="s">
        <v>788</v>
      </c>
      <c r="J11398" s="380" t="s">
        <v>773</v>
      </c>
      <c r="K11398" s="381">
        <v>0.0</v>
      </c>
      <c r="L11398" s="382">
        <v>1.0</v>
      </c>
    </row>
    <row r="11399">
      <c r="A11399" s="380" t="s">
        <v>12273</v>
      </c>
      <c r="B11399" s="380" t="str">
        <f>IFERROR(__xludf.DUMMYFUNCTION("""COMPUTED_VALUE"""),"Borne Bateria Cruzado Torre Tornillo")</f>
        <v>Borne Bateria Cruzado Torre Tornillo</v>
      </c>
      <c r="C11399" s="380" t="str">
        <f>IFERROR(__xludf.DUMMYFUNCTION("""COMPUTED_VALUE"""),"70006836")</f>
        <v>70006836</v>
      </c>
      <c r="D11399" s="380" t="s">
        <v>767</v>
      </c>
      <c r="E11399" s="380" t="s">
        <v>786</v>
      </c>
      <c r="F11399" s="380" t="s">
        <v>998</v>
      </c>
      <c r="G11399" s="380" t="s">
        <v>1267</v>
      </c>
      <c r="H11399" s="380" t="s">
        <v>771</v>
      </c>
      <c r="I11399" s="380" t="s">
        <v>788</v>
      </c>
      <c r="J11399" s="380" t="s">
        <v>773</v>
      </c>
      <c r="K11399" s="381">
        <v>15173.0</v>
      </c>
      <c r="L11399" s="382">
        <v>1.0</v>
      </c>
    </row>
    <row r="11400">
      <c r="A11400" s="380" t="s">
        <v>12274</v>
      </c>
      <c r="B11400" s="380" t="str">
        <f>IFERROR(__xludf.DUMMYFUNCTION("""COMPUTED_VALUE"""),"Bobina Freno Motor Eagle S60 1024612")</f>
        <v>Bobina Freno Motor Eagle S60 1024612</v>
      </c>
      <c r="C11400" s="380" t="str">
        <f>IFERROR(__xludf.DUMMYFUNCTION("""COMPUTED_VALUE"""),"70006837")</f>
        <v>70006837</v>
      </c>
      <c r="D11400" s="380" t="s">
        <v>767</v>
      </c>
      <c r="E11400" s="380" t="s">
        <v>786</v>
      </c>
      <c r="F11400" s="380" t="s">
        <v>787</v>
      </c>
      <c r="G11400" s="380" t="s">
        <v>1267</v>
      </c>
      <c r="H11400" s="380" t="s">
        <v>771</v>
      </c>
      <c r="I11400" s="380" t="s">
        <v>788</v>
      </c>
      <c r="J11400" s="380" t="s">
        <v>773</v>
      </c>
      <c r="K11400" s="381">
        <v>0.0</v>
      </c>
      <c r="L11400" s="382">
        <v>1.0</v>
      </c>
    </row>
    <row r="11401">
      <c r="A11401" s="380" t="s">
        <v>12275</v>
      </c>
      <c r="B11401" s="380" t="str">
        <f>IFERROR(__xludf.DUMMYFUNCTION("""COMPUTED_VALUE"""),"Manija Ext Pta Der T Delta 6921095400")</f>
        <v>Manija Ext Pta Der T Delta 6921095400</v>
      </c>
      <c r="C11401" s="380" t="str">
        <f>IFERROR(__xludf.DUMMYFUNCTION("""COMPUTED_VALUE"""),"70006838")</f>
        <v>70006838</v>
      </c>
      <c r="D11401" s="380" t="s">
        <v>767</v>
      </c>
      <c r="E11401" s="380" t="s">
        <v>786</v>
      </c>
      <c r="F11401" s="380" t="s">
        <v>792</v>
      </c>
      <c r="G11401" s="380" t="s">
        <v>1267</v>
      </c>
      <c r="H11401" s="380" t="s">
        <v>771</v>
      </c>
      <c r="I11401" s="380" t="s">
        <v>788</v>
      </c>
      <c r="J11401" s="380" t="s">
        <v>773</v>
      </c>
      <c r="K11401" s="381">
        <v>0.0</v>
      </c>
      <c r="L11401" s="382">
        <v>1.0</v>
      </c>
    </row>
    <row r="11402">
      <c r="A11402" s="380" t="s">
        <v>12276</v>
      </c>
      <c r="B11402" s="380" t="str">
        <f>IFERROR(__xludf.DUMMYFUNCTION("""COMPUTED_VALUE"""),"TANQ Recuperacion Agua RAD Nh 8972051361")</f>
        <v>TANQ Recuperacion Agua RAD Nh 8972051361</v>
      </c>
      <c r="C11402" s="380" t="str">
        <f>IFERROR(__xludf.DUMMYFUNCTION("""COMPUTED_VALUE"""),"70006839")</f>
        <v>70006839</v>
      </c>
      <c r="D11402" s="380" t="s">
        <v>767</v>
      </c>
      <c r="E11402" s="380" t="s">
        <v>786</v>
      </c>
      <c r="F11402" s="380" t="s">
        <v>787</v>
      </c>
      <c r="G11402" s="380" t="s">
        <v>1267</v>
      </c>
      <c r="H11402" s="380" t="s">
        <v>771</v>
      </c>
      <c r="I11402" s="380" t="s">
        <v>788</v>
      </c>
      <c r="J11402" s="380" t="s">
        <v>773</v>
      </c>
      <c r="K11402" s="381">
        <v>0.0</v>
      </c>
      <c r="L11402" s="382">
        <v>1.0</v>
      </c>
    </row>
    <row r="11403">
      <c r="A11403" s="380" t="s">
        <v>12277</v>
      </c>
      <c r="B11403" s="380" t="str">
        <f>IFERROR(__xludf.DUMMYFUNCTION("""COMPUTED_VALUE"""),"Piñon 1ra DeSplazable CJ 14718 I 4303420")</f>
        <v>Piñon 1ra DeSplazable CJ 14718 I 4303420</v>
      </c>
      <c r="C11403" s="380" t="str">
        <f>IFERROR(__xludf.DUMMYFUNCTION("""COMPUTED_VALUE"""),"70006840")</f>
        <v>70006840</v>
      </c>
      <c r="D11403" s="380" t="s">
        <v>767</v>
      </c>
      <c r="E11403" s="380" t="s">
        <v>786</v>
      </c>
      <c r="F11403" s="380" t="s">
        <v>928</v>
      </c>
      <c r="G11403" s="380" t="s">
        <v>1267</v>
      </c>
      <c r="H11403" s="380" t="s">
        <v>771</v>
      </c>
      <c r="I11403" s="380" t="s">
        <v>788</v>
      </c>
      <c r="J11403" s="380" t="s">
        <v>773</v>
      </c>
      <c r="K11403" s="381">
        <v>0.0</v>
      </c>
      <c r="L11403" s="382">
        <v>1.0</v>
      </c>
    </row>
    <row r="11404">
      <c r="A11404" s="380" t="s">
        <v>12278</v>
      </c>
      <c r="B11404" s="380" t="str">
        <f>IFERROR(__xludf.DUMMYFUNCTION("""COMPUTED_VALUE"""),"Termostato Motor Volskwagen 9610075701")</f>
        <v>Termostato Motor Volskwagen 9610075701</v>
      </c>
      <c r="C11404" s="380" t="str">
        <f>IFERROR(__xludf.DUMMYFUNCTION("""COMPUTED_VALUE"""),"70006841")</f>
        <v>70006841</v>
      </c>
      <c r="D11404" s="380" t="s">
        <v>767</v>
      </c>
      <c r="E11404" s="380" t="s">
        <v>786</v>
      </c>
      <c r="F11404" s="380" t="s">
        <v>787</v>
      </c>
      <c r="G11404" s="380" t="s">
        <v>1267</v>
      </c>
      <c r="H11404" s="380" t="s">
        <v>771</v>
      </c>
      <c r="I11404" s="380" t="s">
        <v>788</v>
      </c>
      <c r="J11404" s="380" t="s">
        <v>773</v>
      </c>
      <c r="K11404" s="381">
        <v>0.0</v>
      </c>
      <c r="L11404" s="382">
        <v>1.0</v>
      </c>
    </row>
    <row r="11405">
      <c r="A11405" s="380" t="s">
        <v>12279</v>
      </c>
      <c r="B11405" s="380" t="str">
        <f>IFERROR(__xludf.DUMMYFUNCTION("""COMPUTED_VALUE"""),"Banda Freno Tras 24545660 N200")</f>
        <v>Banda Freno Tras 24545660 N200</v>
      </c>
      <c r="C11405" s="380" t="str">
        <f>IFERROR(__xludf.DUMMYFUNCTION("""COMPUTED_VALUE"""),"70006842")</f>
        <v>70006842</v>
      </c>
      <c r="D11405" s="380" t="s">
        <v>767</v>
      </c>
      <c r="E11405" s="380" t="s">
        <v>786</v>
      </c>
      <c r="F11405" s="380" t="s">
        <v>1017</v>
      </c>
      <c r="G11405" s="380" t="s">
        <v>1267</v>
      </c>
      <c r="H11405" s="380" t="s">
        <v>771</v>
      </c>
      <c r="I11405" s="380" t="s">
        <v>788</v>
      </c>
      <c r="J11405" s="380" t="s">
        <v>773</v>
      </c>
      <c r="K11405" s="381">
        <v>0.0</v>
      </c>
      <c r="L11405" s="382">
        <v>1.0</v>
      </c>
    </row>
    <row r="11406">
      <c r="A11406" s="380" t="s">
        <v>12280</v>
      </c>
      <c r="B11406" s="380" t="str">
        <f>IFERROR(__xludf.DUMMYFUNCTION("""COMPUTED_VALUE"""),"Empaquetadura Bomba Freno Trailer Rn10hl")</f>
        <v>Empaquetadura Bomba Freno Trailer Rn10hl</v>
      </c>
      <c r="C11406" s="380" t="str">
        <f>IFERROR(__xludf.DUMMYFUNCTION("""COMPUTED_VALUE"""),"70006843")</f>
        <v>70006843</v>
      </c>
      <c r="D11406" s="380" t="s">
        <v>767</v>
      </c>
      <c r="E11406" s="380" t="s">
        <v>786</v>
      </c>
      <c r="F11406" s="380" t="s">
        <v>1017</v>
      </c>
      <c r="G11406" s="380" t="s">
        <v>1267</v>
      </c>
      <c r="H11406" s="380" t="s">
        <v>771</v>
      </c>
      <c r="I11406" s="380" t="s">
        <v>788</v>
      </c>
      <c r="J11406" s="380" t="s">
        <v>773</v>
      </c>
      <c r="K11406" s="381">
        <v>0.0</v>
      </c>
      <c r="L11406" s="382">
        <v>1.0</v>
      </c>
    </row>
    <row r="11407">
      <c r="A11407" s="380" t="s">
        <v>12281</v>
      </c>
      <c r="B11407" s="380" t="str">
        <f>IFERROR(__xludf.DUMMYFUNCTION("""COMPUTED_VALUE"""),"Terminales Electricas Varias")</f>
        <v>Terminales Electricas Varias</v>
      </c>
      <c r="C11407" s="380" t="str">
        <f>IFERROR(__xludf.DUMMYFUNCTION("""COMPUTED_VALUE"""),"70006844")</f>
        <v>70006844</v>
      </c>
      <c r="D11407" s="380" t="s">
        <v>767</v>
      </c>
      <c r="E11407" s="380" t="s">
        <v>786</v>
      </c>
      <c r="F11407" s="380" t="s">
        <v>998</v>
      </c>
      <c r="G11407" s="380" t="s">
        <v>1267</v>
      </c>
      <c r="H11407" s="380" t="s">
        <v>771</v>
      </c>
      <c r="I11407" s="380" t="s">
        <v>788</v>
      </c>
      <c r="J11407" s="380" t="s">
        <v>773</v>
      </c>
      <c r="K11407" s="381">
        <v>0.0</v>
      </c>
      <c r="L11407" s="382">
        <v>1.0</v>
      </c>
    </row>
    <row r="11408">
      <c r="A11408" s="380" t="s">
        <v>12282</v>
      </c>
      <c r="B11408" s="380" t="str">
        <f>IFERROR(__xludf.DUMMYFUNCTION("""COMPUTED_VALUE"""),"Correa Alternador Hyundai")</f>
        <v>Correa Alternador Hyundai</v>
      </c>
      <c r="C11408" s="380" t="str">
        <f>IFERROR(__xludf.DUMMYFUNCTION("""COMPUTED_VALUE"""),"70006845")</f>
        <v>70006845</v>
      </c>
      <c r="D11408" s="380" t="s">
        <v>767</v>
      </c>
      <c r="E11408" s="380" t="s">
        <v>786</v>
      </c>
      <c r="F11408" s="380" t="s">
        <v>787</v>
      </c>
      <c r="G11408" s="380" t="s">
        <v>1267</v>
      </c>
      <c r="H11408" s="380" t="s">
        <v>771</v>
      </c>
      <c r="I11408" s="380" t="s">
        <v>788</v>
      </c>
      <c r="J11408" s="380" t="s">
        <v>773</v>
      </c>
      <c r="K11408" s="381">
        <v>0.0</v>
      </c>
      <c r="L11408" s="382">
        <v>1.0</v>
      </c>
    </row>
    <row r="11409">
      <c r="A11409" s="380" t="s">
        <v>12283</v>
      </c>
      <c r="B11409" s="380" t="str">
        <f>IFERROR(__xludf.DUMMYFUNCTION("""COMPUTED_VALUE"""),"Empaque Puerta Trasera Van N200")</f>
        <v>Empaque Puerta Trasera Van N200</v>
      </c>
      <c r="C11409" s="380" t="str">
        <f>IFERROR(__xludf.DUMMYFUNCTION("""COMPUTED_VALUE"""),"70006846")</f>
        <v>70006846</v>
      </c>
      <c r="D11409" s="380" t="s">
        <v>767</v>
      </c>
      <c r="E11409" s="380" t="s">
        <v>786</v>
      </c>
      <c r="F11409" s="380" t="s">
        <v>792</v>
      </c>
      <c r="G11409" s="380" t="s">
        <v>1267</v>
      </c>
      <c r="H11409" s="380" t="s">
        <v>771</v>
      </c>
      <c r="I11409" s="380" t="s">
        <v>788</v>
      </c>
      <c r="J11409" s="380" t="s">
        <v>773</v>
      </c>
      <c r="K11409" s="381">
        <v>0.0</v>
      </c>
      <c r="L11409" s="382">
        <v>1.0</v>
      </c>
    </row>
    <row r="11410">
      <c r="A11410" s="380" t="s">
        <v>12284</v>
      </c>
      <c r="B11410" s="380" t="str">
        <f>IFERROR(__xludf.DUMMYFUNCTION("""COMPUTED_VALUE"""),"CIL Freno Tras Nkr Sin Purga 8970786830")</f>
        <v>CIL Freno Tras Nkr Sin Purga 8970786830</v>
      </c>
      <c r="C11410" s="380" t="str">
        <f>IFERROR(__xludf.DUMMYFUNCTION("""COMPUTED_VALUE"""),"70006847")</f>
        <v>70006847</v>
      </c>
      <c r="D11410" s="380" t="s">
        <v>767</v>
      </c>
      <c r="E11410" s="380" t="s">
        <v>786</v>
      </c>
      <c r="F11410" s="380" t="s">
        <v>1017</v>
      </c>
      <c r="G11410" s="380" t="s">
        <v>1267</v>
      </c>
      <c r="H11410" s="380" t="s">
        <v>771</v>
      </c>
      <c r="I11410" s="380" t="s">
        <v>788</v>
      </c>
      <c r="J11410" s="380" t="s">
        <v>773</v>
      </c>
      <c r="K11410" s="381">
        <v>0.0</v>
      </c>
      <c r="L11410" s="382">
        <v>1.0</v>
      </c>
    </row>
    <row r="11411">
      <c r="A11411" s="380" t="s">
        <v>12285</v>
      </c>
      <c r="B11411" s="380" t="str">
        <f>IFERROR(__xludf.DUMMYFUNCTION("""COMPUTED_VALUE"""),"Fusible Varios Aton 15 A 30 Am")</f>
        <v>Fusible Varios Aton 15 A 30 Am</v>
      </c>
      <c r="C11411" s="380" t="str">
        <f>IFERROR(__xludf.DUMMYFUNCTION("""COMPUTED_VALUE"""),"70006848")</f>
        <v>70006848</v>
      </c>
      <c r="D11411" s="380" t="s">
        <v>767</v>
      </c>
      <c r="E11411" s="380" t="s">
        <v>786</v>
      </c>
      <c r="F11411" s="380" t="s">
        <v>998</v>
      </c>
      <c r="G11411" s="380" t="s">
        <v>1267</v>
      </c>
      <c r="H11411" s="380" t="s">
        <v>771</v>
      </c>
      <c r="I11411" s="380" t="s">
        <v>788</v>
      </c>
      <c r="J11411" s="380" t="s">
        <v>773</v>
      </c>
      <c r="K11411" s="381">
        <v>556.0</v>
      </c>
      <c r="L11411" s="382">
        <v>1.0</v>
      </c>
    </row>
    <row r="11412">
      <c r="A11412" s="380" t="s">
        <v>12286</v>
      </c>
      <c r="B11412" s="380" t="str">
        <f>IFERROR(__xludf.DUMMYFUNCTION("""COMPUTED_VALUE"""),"Panel Sup Der Cabina Eagle Isx 3563207c1")</f>
        <v>Panel Sup Der Cabina Eagle Isx 3563207c1</v>
      </c>
      <c r="C11412" s="380" t="str">
        <f>IFERROR(__xludf.DUMMYFUNCTION("""COMPUTED_VALUE"""),"70006849")</f>
        <v>70006849</v>
      </c>
      <c r="D11412" s="380" t="s">
        <v>767</v>
      </c>
      <c r="E11412" s="380" t="s">
        <v>786</v>
      </c>
      <c r="F11412" s="380" t="s">
        <v>792</v>
      </c>
      <c r="G11412" s="380" t="s">
        <v>1267</v>
      </c>
      <c r="H11412" s="380" t="s">
        <v>771</v>
      </c>
      <c r="I11412" s="380" t="s">
        <v>788</v>
      </c>
      <c r="J11412" s="380" t="s">
        <v>773</v>
      </c>
      <c r="K11412" s="381">
        <v>0.0</v>
      </c>
      <c r="L11412" s="382">
        <v>1.0</v>
      </c>
    </row>
    <row r="11413">
      <c r="A11413" s="380" t="s">
        <v>12287</v>
      </c>
      <c r="B11413" s="380" t="str">
        <f>IFERROR(__xludf.DUMMYFUNCTION("""COMPUTED_VALUE"""),"Buje Base Palanca CTRL Camb N 8970118951")</f>
        <v>Buje Base Palanca CTRL Camb N 8970118951</v>
      </c>
      <c r="C11413" s="380" t="str">
        <f>IFERROR(__xludf.DUMMYFUNCTION("""COMPUTED_VALUE"""),"70006850")</f>
        <v>70006850</v>
      </c>
      <c r="D11413" s="380" t="s">
        <v>767</v>
      </c>
      <c r="E11413" s="380" t="s">
        <v>786</v>
      </c>
      <c r="F11413" s="380" t="s">
        <v>787</v>
      </c>
      <c r="G11413" s="380" t="s">
        <v>1267</v>
      </c>
      <c r="H11413" s="380" t="s">
        <v>771</v>
      </c>
      <c r="I11413" s="380" t="s">
        <v>788</v>
      </c>
      <c r="J11413" s="380" t="s">
        <v>773</v>
      </c>
      <c r="K11413" s="381">
        <v>0.0</v>
      </c>
      <c r="L11413" s="382">
        <v>1.0</v>
      </c>
    </row>
    <row r="11414">
      <c r="A11414" s="380" t="s">
        <v>12288</v>
      </c>
      <c r="B11414" s="380" t="str">
        <f>IFERROR(__xludf.DUMMYFUNCTION("""COMPUTED_VALUE"""),"Vidrio Puerta Der Eagle Isx 3516213c2")</f>
        <v>Vidrio Puerta Der Eagle Isx 3516213c2</v>
      </c>
      <c r="C11414" s="380" t="str">
        <f>IFERROR(__xludf.DUMMYFUNCTION("""COMPUTED_VALUE"""),"70006851")</f>
        <v>70006851</v>
      </c>
      <c r="D11414" s="380" t="s">
        <v>767</v>
      </c>
      <c r="E11414" s="380" t="s">
        <v>786</v>
      </c>
      <c r="F11414" s="380" t="s">
        <v>792</v>
      </c>
      <c r="G11414" s="380" t="s">
        <v>1267</v>
      </c>
      <c r="H11414" s="380" t="s">
        <v>771</v>
      </c>
      <c r="I11414" s="380" t="s">
        <v>788</v>
      </c>
      <c r="J11414" s="380" t="s">
        <v>773</v>
      </c>
      <c r="K11414" s="381">
        <v>0.0</v>
      </c>
      <c r="L11414" s="382">
        <v>1.0</v>
      </c>
    </row>
    <row r="11415">
      <c r="A11415" s="380" t="s">
        <v>12289</v>
      </c>
      <c r="B11415" s="380" t="str">
        <f>IFERROR(__xludf.DUMMYFUNCTION("""COMPUTED_VALUE"""),"RET Eje Toma CJ 14915 SB N14 23559")</f>
        <v>RET Eje Toma CJ 14915 SB N14 23559</v>
      </c>
      <c r="C11415" s="380" t="str">
        <f>IFERROR(__xludf.DUMMYFUNCTION("""COMPUTED_VALUE"""),"70006852")</f>
        <v>70006852</v>
      </c>
      <c r="D11415" s="380" t="s">
        <v>767</v>
      </c>
      <c r="E11415" s="380" t="s">
        <v>786</v>
      </c>
      <c r="F11415" s="380" t="s">
        <v>928</v>
      </c>
      <c r="G11415" s="380" t="s">
        <v>1267</v>
      </c>
      <c r="H11415" s="380" t="s">
        <v>771</v>
      </c>
      <c r="I11415" s="380" t="s">
        <v>788</v>
      </c>
      <c r="J11415" s="380" t="s">
        <v>773</v>
      </c>
      <c r="K11415" s="381">
        <v>0.0</v>
      </c>
      <c r="L11415" s="382">
        <v>1.0</v>
      </c>
    </row>
    <row r="11416">
      <c r="A11416" s="380" t="s">
        <v>12290</v>
      </c>
      <c r="B11416" s="380" t="str">
        <f>IFERROR(__xludf.DUMMYFUNCTION("""COMPUTED_VALUE"""),"Emblema Capo Eagle Isx 3550924c1")</f>
        <v>Emblema Capo Eagle Isx 3550924c1</v>
      </c>
      <c r="C11416" s="380" t="str">
        <f>IFERROR(__xludf.DUMMYFUNCTION("""COMPUTED_VALUE"""),"70006853")</f>
        <v>70006853</v>
      </c>
      <c r="D11416" s="380" t="s">
        <v>767</v>
      </c>
      <c r="E11416" s="380" t="s">
        <v>786</v>
      </c>
      <c r="F11416" s="380" t="s">
        <v>792</v>
      </c>
      <c r="G11416" s="380" t="s">
        <v>1267</v>
      </c>
      <c r="H11416" s="380" t="s">
        <v>771</v>
      </c>
      <c r="I11416" s="380" t="s">
        <v>788</v>
      </c>
      <c r="J11416" s="380" t="s">
        <v>773</v>
      </c>
      <c r="K11416" s="381">
        <v>0.0</v>
      </c>
      <c r="L11416" s="382">
        <v>1.0</v>
      </c>
    </row>
    <row r="11417">
      <c r="A11417" s="380" t="s">
        <v>12291</v>
      </c>
      <c r="B11417" s="380" t="str">
        <f>IFERROR(__xludf.DUMMYFUNCTION("""COMPUTED_VALUE"""),"Buje Eje De Toma Caja 14915 SB N14 16566")</f>
        <v>Buje Eje De Toma Caja 14915 SB N14 16566</v>
      </c>
      <c r="C11417" s="380" t="str">
        <f>IFERROR(__xludf.DUMMYFUNCTION("""COMPUTED_VALUE"""),"70006854")</f>
        <v>70006854</v>
      </c>
      <c r="D11417" s="380" t="s">
        <v>767</v>
      </c>
      <c r="E11417" s="380" t="s">
        <v>786</v>
      </c>
      <c r="F11417" s="380" t="s">
        <v>928</v>
      </c>
      <c r="G11417" s="380" t="s">
        <v>1267</v>
      </c>
      <c r="H11417" s="380" t="s">
        <v>771</v>
      </c>
      <c r="I11417" s="380" t="s">
        <v>788</v>
      </c>
      <c r="J11417" s="380" t="s">
        <v>773</v>
      </c>
      <c r="K11417" s="381">
        <v>0.0</v>
      </c>
      <c r="L11417" s="382">
        <v>1.0</v>
      </c>
    </row>
    <row r="11418">
      <c r="A11418" s="380" t="s">
        <v>12292</v>
      </c>
      <c r="B11418" s="380" t="str">
        <f>IFERROR(__xludf.DUMMYFUNCTION("""COMPUTED_VALUE"""),"Pasador Corto EMB CJ 14915 SB N 106c1185")</f>
        <v>Pasador Corto EMB CJ 14915 SB N 106c1185</v>
      </c>
      <c r="C11418" s="380" t="str">
        <f>IFERROR(__xludf.DUMMYFUNCTION("""COMPUTED_VALUE"""),"70006855")</f>
        <v>70006855</v>
      </c>
      <c r="D11418" s="380" t="s">
        <v>767</v>
      </c>
      <c r="E11418" s="380" t="s">
        <v>786</v>
      </c>
      <c r="F11418" s="380" t="s">
        <v>928</v>
      </c>
      <c r="G11418" s="380" t="s">
        <v>1267</v>
      </c>
      <c r="H11418" s="380" t="s">
        <v>771</v>
      </c>
      <c r="I11418" s="380" t="s">
        <v>788</v>
      </c>
      <c r="J11418" s="380" t="s">
        <v>773</v>
      </c>
      <c r="K11418" s="381">
        <v>0.0</v>
      </c>
      <c r="L11418" s="382">
        <v>1.0</v>
      </c>
    </row>
    <row r="11419">
      <c r="A11419" s="380" t="s">
        <v>12293</v>
      </c>
      <c r="B11419" s="380" t="str">
        <f>IFERROR(__xludf.DUMMYFUNCTION("""COMPUTED_VALUE"""),"Rodamiento Nylon Puerta Cortina Tr 3228")</f>
        <v>Rodamiento Nylon Puerta Cortina Tr 3228</v>
      </c>
      <c r="C11419" s="380" t="str">
        <f>IFERROR(__xludf.DUMMYFUNCTION("""COMPUTED_VALUE"""),"70006856")</f>
        <v>70006856</v>
      </c>
      <c r="D11419" s="380" t="s">
        <v>767</v>
      </c>
      <c r="E11419" s="380" t="s">
        <v>786</v>
      </c>
      <c r="F11419" s="380" t="s">
        <v>792</v>
      </c>
      <c r="G11419" s="380" t="s">
        <v>1267</v>
      </c>
      <c r="H11419" s="380" t="s">
        <v>771</v>
      </c>
      <c r="I11419" s="380" t="s">
        <v>788</v>
      </c>
      <c r="J11419" s="380" t="s">
        <v>773</v>
      </c>
      <c r="K11419" s="381">
        <v>32371.0</v>
      </c>
      <c r="L11419" s="382">
        <v>1.0</v>
      </c>
    </row>
    <row r="11420">
      <c r="A11420" s="380" t="s">
        <v>12294</v>
      </c>
      <c r="B11420" s="380" t="str">
        <f>IFERROR(__xludf.DUMMYFUNCTION("""COMPUTED_VALUE"""),"Carcaza Infer Espejo Der Isx 3535076c2")</f>
        <v>Carcaza Infer Espejo Der Isx 3535076c2</v>
      </c>
      <c r="C11420" s="380" t="str">
        <f>IFERROR(__xludf.DUMMYFUNCTION("""COMPUTED_VALUE"""),"70006857")</f>
        <v>70006857</v>
      </c>
      <c r="D11420" s="380" t="s">
        <v>767</v>
      </c>
      <c r="E11420" s="380" t="s">
        <v>786</v>
      </c>
      <c r="F11420" s="380" t="s">
        <v>792</v>
      </c>
      <c r="G11420" s="380" t="s">
        <v>1267</v>
      </c>
      <c r="H11420" s="380" t="s">
        <v>771</v>
      </c>
      <c r="I11420" s="380" t="s">
        <v>788</v>
      </c>
      <c r="J11420" s="380" t="s">
        <v>773</v>
      </c>
      <c r="K11420" s="381">
        <v>0.0</v>
      </c>
      <c r="L11420" s="382">
        <v>1.0</v>
      </c>
    </row>
    <row r="11421">
      <c r="A11421" s="380" t="s">
        <v>12295</v>
      </c>
      <c r="B11421" s="380" t="str">
        <f>IFERROR(__xludf.DUMMYFUNCTION("""COMPUTED_VALUE"""),"Juego Splinder T Delta 443187304")</f>
        <v>Juego Splinder T Delta 443187304</v>
      </c>
      <c r="C11421" s="380" t="str">
        <f>IFERROR(__xludf.DUMMYFUNCTION("""COMPUTED_VALUE"""),"70006858")</f>
        <v>70006858</v>
      </c>
      <c r="D11421" s="380" t="s">
        <v>767</v>
      </c>
      <c r="E11421" s="380" t="s">
        <v>786</v>
      </c>
      <c r="F11421" s="380" t="s">
        <v>1039</v>
      </c>
      <c r="G11421" s="380" t="s">
        <v>1267</v>
      </c>
      <c r="H11421" s="380" t="s">
        <v>771</v>
      </c>
      <c r="I11421" s="380" t="s">
        <v>788</v>
      </c>
      <c r="J11421" s="380" t="s">
        <v>773</v>
      </c>
      <c r="K11421" s="381">
        <v>0.0</v>
      </c>
      <c r="L11421" s="382">
        <v>1.0</v>
      </c>
    </row>
    <row r="11422">
      <c r="A11422" s="380" t="s">
        <v>12296</v>
      </c>
      <c r="B11422" s="380" t="str">
        <f>IFERROR(__xludf.DUMMYFUNCTION("""COMPUTED_VALUE"""),"Palanca Selector CTRL Cambios 8971740552")</f>
        <v>Palanca Selector CTRL Cambios 8971740552</v>
      </c>
      <c r="C11422" s="380" t="str">
        <f>IFERROR(__xludf.DUMMYFUNCTION("""COMPUTED_VALUE"""),"70006859")</f>
        <v>70006859</v>
      </c>
      <c r="D11422" s="380" t="s">
        <v>767</v>
      </c>
      <c r="E11422" s="380" t="s">
        <v>786</v>
      </c>
      <c r="F11422" s="380" t="s">
        <v>1020</v>
      </c>
      <c r="G11422" s="380" t="s">
        <v>1267</v>
      </c>
      <c r="H11422" s="380" t="s">
        <v>771</v>
      </c>
      <c r="I11422" s="380" t="s">
        <v>788</v>
      </c>
      <c r="J11422" s="380" t="s">
        <v>773</v>
      </c>
      <c r="K11422" s="381">
        <v>0.0</v>
      </c>
      <c r="L11422" s="382">
        <v>1.0</v>
      </c>
    </row>
    <row r="11423">
      <c r="A11423" s="380" t="s">
        <v>12297</v>
      </c>
      <c r="B11423" s="380" t="str">
        <f>IFERROR(__xludf.DUMMYFUNCTION("""COMPUTED_VALUE"""),"Estribo Derecho Nkr 8978679681")</f>
        <v>Estribo Derecho Nkr 8978679681</v>
      </c>
      <c r="C11423" s="380" t="str">
        <f>IFERROR(__xludf.DUMMYFUNCTION("""COMPUTED_VALUE"""),"70006860")</f>
        <v>70006860</v>
      </c>
      <c r="D11423" s="380" t="s">
        <v>767</v>
      </c>
      <c r="E11423" s="380" t="s">
        <v>786</v>
      </c>
      <c r="F11423" s="380" t="s">
        <v>792</v>
      </c>
      <c r="G11423" s="380" t="s">
        <v>1267</v>
      </c>
      <c r="H11423" s="380" t="s">
        <v>771</v>
      </c>
      <c r="I11423" s="380" t="s">
        <v>788</v>
      </c>
      <c r="J11423" s="380" t="s">
        <v>773</v>
      </c>
      <c r="K11423" s="381">
        <v>0.0</v>
      </c>
      <c r="L11423" s="382">
        <v>1.0</v>
      </c>
    </row>
    <row r="11424">
      <c r="A11424" s="380" t="s">
        <v>12298</v>
      </c>
      <c r="B11424" s="380" t="str">
        <f>IFERROR(__xludf.DUMMYFUNCTION("""COMPUTED_VALUE"""),"Empaquetadura Bajo Aire Int SB 73507")</f>
        <v>Empaquetadura Bajo Aire Int SB 73507</v>
      </c>
      <c r="C11424" s="380" t="str">
        <f>IFERROR(__xludf.DUMMYFUNCTION("""COMPUTED_VALUE"""),"70006861")</f>
        <v>70006861</v>
      </c>
      <c r="D11424" s="380" t="s">
        <v>767</v>
      </c>
      <c r="E11424" s="380" t="s">
        <v>786</v>
      </c>
      <c r="F11424" s="380" t="s">
        <v>928</v>
      </c>
      <c r="G11424" s="380" t="s">
        <v>1267</v>
      </c>
      <c r="H11424" s="380" t="s">
        <v>771</v>
      </c>
      <c r="I11424" s="380" t="s">
        <v>788</v>
      </c>
      <c r="J11424" s="380" t="s">
        <v>773</v>
      </c>
      <c r="K11424" s="381">
        <v>0.0</v>
      </c>
      <c r="L11424" s="382">
        <v>1.0</v>
      </c>
    </row>
    <row r="11425">
      <c r="A11425" s="380" t="s">
        <v>12299</v>
      </c>
      <c r="B11425" s="380" t="str">
        <f>IFERROR(__xludf.DUMMYFUNCTION("""COMPUTED_VALUE"""),"Filtro Aire Secador KWh Donalson P781466")</f>
        <v>Filtro Aire Secador KWh Donalson P781466</v>
      </c>
      <c r="C11425" s="380" t="str">
        <f>IFERROR(__xludf.DUMMYFUNCTION("""COMPUTED_VALUE"""),"70006862")</f>
        <v>70006862</v>
      </c>
      <c r="D11425" s="380" t="s">
        <v>767</v>
      </c>
      <c r="E11425" s="380" t="s">
        <v>786</v>
      </c>
      <c r="F11425" s="380" t="s">
        <v>5855</v>
      </c>
      <c r="G11425" s="380" t="s">
        <v>1267</v>
      </c>
      <c r="H11425" s="380" t="s">
        <v>771</v>
      </c>
      <c r="I11425" s="380" t="s">
        <v>788</v>
      </c>
      <c r="J11425" s="380" t="s">
        <v>773</v>
      </c>
      <c r="K11425" s="381">
        <v>160064.0</v>
      </c>
      <c r="L11425" s="382">
        <v>1.0</v>
      </c>
    </row>
    <row r="11426">
      <c r="A11426" s="380" t="s">
        <v>12300</v>
      </c>
      <c r="B11426" s="380" t="str">
        <f>IFERROR(__xludf.DUMMYFUNCTION("""COMPUTED_VALUE"""),"Soporte Caucho Cab Del KW800 7000100425")</f>
        <v>Soporte Caucho Cab Del KW800 7000100425</v>
      </c>
      <c r="C11426" s="380" t="str">
        <f>IFERROR(__xludf.DUMMYFUNCTION("""COMPUTED_VALUE"""),"70006863")</f>
        <v>70006863</v>
      </c>
      <c r="D11426" s="380" t="s">
        <v>767</v>
      </c>
      <c r="E11426" s="380" t="s">
        <v>786</v>
      </c>
      <c r="F11426" s="380" t="s">
        <v>1039</v>
      </c>
      <c r="G11426" s="380" t="s">
        <v>1267</v>
      </c>
      <c r="H11426" s="380" t="s">
        <v>771</v>
      </c>
      <c r="I11426" s="380" t="s">
        <v>788</v>
      </c>
      <c r="J11426" s="380" t="s">
        <v>773</v>
      </c>
      <c r="K11426" s="381">
        <v>0.0</v>
      </c>
      <c r="L11426" s="382">
        <v>1.0</v>
      </c>
    </row>
    <row r="11427">
      <c r="A11427" s="380" t="s">
        <v>12301</v>
      </c>
      <c r="B11427" s="380" t="str">
        <f>IFERROR(__xludf.DUMMYFUNCTION("""COMPUTED_VALUE"""),"Freno Embrague Desarmado SB 20371883 N")</f>
        <v>Freno Embrague Desarmado SB 20371883 N</v>
      </c>
      <c r="C11427" s="380" t="str">
        <f>IFERROR(__xludf.DUMMYFUNCTION("""COMPUTED_VALUE"""),"70006864")</f>
        <v>70006864</v>
      </c>
      <c r="D11427" s="380" t="s">
        <v>767</v>
      </c>
      <c r="E11427" s="380" t="s">
        <v>786</v>
      </c>
      <c r="F11427" s="380" t="s">
        <v>5661</v>
      </c>
      <c r="G11427" s="380" t="s">
        <v>1267</v>
      </c>
      <c r="H11427" s="380" t="s">
        <v>771</v>
      </c>
      <c r="I11427" s="380" t="s">
        <v>788</v>
      </c>
      <c r="J11427" s="380" t="s">
        <v>773</v>
      </c>
      <c r="K11427" s="381">
        <v>0.0</v>
      </c>
      <c r="L11427" s="382">
        <v>1.0</v>
      </c>
    </row>
    <row r="11428">
      <c r="A11428" s="380" t="s">
        <v>12302</v>
      </c>
      <c r="B11428" s="380" t="str">
        <f>IFERROR(__xludf.DUMMYFUNCTION("""COMPUTED_VALUE"""),"Templete Ajuste Alternador Nk 8970805561")</f>
        <v>Templete Ajuste Alternador Nk 8970805561</v>
      </c>
      <c r="C11428" s="380" t="str">
        <f>IFERROR(__xludf.DUMMYFUNCTION("""COMPUTED_VALUE"""),"70006865")</f>
        <v>70006865</v>
      </c>
      <c r="D11428" s="380" t="s">
        <v>767</v>
      </c>
      <c r="E11428" s="380" t="s">
        <v>786</v>
      </c>
      <c r="F11428" s="380" t="s">
        <v>787</v>
      </c>
      <c r="G11428" s="380" t="s">
        <v>1267</v>
      </c>
      <c r="H11428" s="380" t="s">
        <v>771</v>
      </c>
      <c r="I11428" s="380" t="s">
        <v>788</v>
      </c>
      <c r="J11428" s="380" t="s">
        <v>773</v>
      </c>
      <c r="K11428" s="381">
        <v>0.0</v>
      </c>
      <c r="L11428" s="382">
        <v>1.0</v>
      </c>
    </row>
    <row r="11429">
      <c r="A11429" s="380" t="s">
        <v>12303</v>
      </c>
      <c r="B11429" s="380" t="str">
        <f>IFERROR(__xludf.DUMMYFUNCTION("""COMPUTED_VALUE"""),"Abrazadera Tanque Comb Nkr 95614258")</f>
        <v>Abrazadera Tanque Comb Nkr 95614258</v>
      </c>
      <c r="C11429" s="380" t="str">
        <f>IFERROR(__xludf.DUMMYFUNCTION("""COMPUTED_VALUE"""),"70006866")</f>
        <v>70006866</v>
      </c>
      <c r="D11429" s="380" t="s">
        <v>767</v>
      </c>
      <c r="E11429" s="380" t="s">
        <v>786</v>
      </c>
      <c r="F11429" s="380" t="s">
        <v>792</v>
      </c>
      <c r="G11429" s="380" t="s">
        <v>1267</v>
      </c>
      <c r="H11429" s="380" t="s">
        <v>771</v>
      </c>
      <c r="I11429" s="380" t="s">
        <v>788</v>
      </c>
      <c r="J11429" s="380" t="s">
        <v>773</v>
      </c>
      <c r="K11429" s="381">
        <v>0.0</v>
      </c>
      <c r="L11429" s="382">
        <v>1.0</v>
      </c>
    </row>
    <row r="11430">
      <c r="A11430" s="380" t="s">
        <v>12304</v>
      </c>
      <c r="B11430" s="380" t="str">
        <f>IFERROR(__xludf.DUMMYFUNCTION("""COMPUTED_VALUE"""),"Paral Parabrisas Der Eagle 3512442c2")</f>
        <v>Paral Parabrisas Der Eagle 3512442c2</v>
      </c>
      <c r="C11430" s="380" t="str">
        <f>IFERROR(__xludf.DUMMYFUNCTION("""COMPUTED_VALUE"""),"70006867")</f>
        <v>70006867</v>
      </c>
      <c r="D11430" s="380" t="s">
        <v>767</v>
      </c>
      <c r="E11430" s="380" t="s">
        <v>786</v>
      </c>
      <c r="F11430" s="380" t="s">
        <v>792</v>
      </c>
      <c r="G11430" s="380" t="s">
        <v>1267</v>
      </c>
      <c r="H11430" s="380" t="s">
        <v>771</v>
      </c>
      <c r="I11430" s="380" t="s">
        <v>788</v>
      </c>
      <c r="J11430" s="380" t="s">
        <v>773</v>
      </c>
      <c r="K11430" s="381">
        <v>0.0</v>
      </c>
      <c r="L11430" s="382">
        <v>1.0</v>
      </c>
    </row>
    <row r="11431">
      <c r="A11431" s="380" t="s">
        <v>12305</v>
      </c>
      <c r="B11431" s="380" t="str">
        <f>IFERROR(__xludf.DUMMYFUNCTION("""COMPUTED_VALUE"""),"Flasher Corto 2 Patas Hd12trid Dh-552 12")</f>
        <v>Flasher Corto 2 Patas Hd12trid Dh-552 12</v>
      </c>
      <c r="C11431" s="380" t="str">
        <f>IFERROR(__xludf.DUMMYFUNCTION("""COMPUTED_VALUE"""),"70006868")</f>
        <v>70006868</v>
      </c>
      <c r="D11431" s="380" t="s">
        <v>767</v>
      </c>
      <c r="E11431" s="380" t="s">
        <v>786</v>
      </c>
      <c r="F11431" s="380" t="s">
        <v>998</v>
      </c>
      <c r="G11431" s="380" t="s">
        <v>1267</v>
      </c>
      <c r="H11431" s="380" t="s">
        <v>771</v>
      </c>
      <c r="I11431" s="380" t="s">
        <v>788</v>
      </c>
      <c r="J11431" s="380" t="s">
        <v>773</v>
      </c>
      <c r="K11431" s="381">
        <v>35403.0</v>
      </c>
      <c r="L11431" s="382">
        <v>1.0</v>
      </c>
    </row>
    <row r="11432">
      <c r="A11432" s="380" t="s">
        <v>12306</v>
      </c>
      <c r="B11432" s="380" t="str">
        <f>IFERROR(__xludf.DUMMYFUNCTION("""COMPUTED_VALUE"""),"Palanca Selectora Npr 8971431990")</f>
        <v>Palanca Selectora Npr 8971431990</v>
      </c>
      <c r="C11432" s="380" t="str">
        <f>IFERROR(__xludf.DUMMYFUNCTION("""COMPUTED_VALUE"""),"70006869")</f>
        <v>70006869</v>
      </c>
      <c r="D11432" s="380" t="s">
        <v>767</v>
      </c>
      <c r="E11432" s="380" t="s">
        <v>786</v>
      </c>
      <c r="F11432" s="380" t="s">
        <v>928</v>
      </c>
      <c r="G11432" s="380" t="s">
        <v>1267</v>
      </c>
      <c r="H11432" s="380" t="s">
        <v>771</v>
      </c>
      <c r="I11432" s="380" t="s">
        <v>788</v>
      </c>
      <c r="J11432" s="380" t="s">
        <v>773</v>
      </c>
      <c r="K11432" s="381">
        <v>0.0</v>
      </c>
      <c r="L11432" s="382">
        <v>1.0</v>
      </c>
    </row>
    <row r="11433">
      <c r="A11433" s="380" t="s">
        <v>12307</v>
      </c>
      <c r="B11433" s="380" t="str">
        <f>IFERROR(__xludf.DUMMYFUNCTION("""COMPUTED_VALUE"""),"Sensor Stop Aire Freno Eagle 2035006c2")</f>
        <v>Sensor Stop Aire Freno Eagle 2035006c2</v>
      </c>
      <c r="C11433" s="380" t="str">
        <f>IFERROR(__xludf.DUMMYFUNCTION("""COMPUTED_VALUE"""),"70006870")</f>
        <v>70006870</v>
      </c>
      <c r="D11433" s="380" t="s">
        <v>767</v>
      </c>
      <c r="E11433" s="380" t="s">
        <v>786</v>
      </c>
      <c r="F11433" s="380" t="s">
        <v>998</v>
      </c>
      <c r="G11433" s="380" t="s">
        <v>1267</v>
      </c>
      <c r="H11433" s="380" t="s">
        <v>771</v>
      </c>
      <c r="I11433" s="380" t="s">
        <v>788</v>
      </c>
      <c r="J11433" s="380" t="s">
        <v>773</v>
      </c>
      <c r="K11433" s="381">
        <v>156783.0</v>
      </c>
      <c r="L11433" s="382">
        <v>1.0</v>
      </c>
    </row>
    <row r="11434">
      <c r="A11434" s="380" t="s">
        <v>12308</v>
      </c>
      <c r="B11434" s="380" t="str">
        <f>IFERROR(__xludf.DUMMYFUNCTION("""COMPUTED_VALUE"""),"Resorte Capo Eagle 3588532c1")</f>
        <v>Resorte Capo Eagle 3588532c1</v>
      </c>
      <c r="C11434" s="380" t="str">
        <f>IFERROR(__xludf.DUMMYFUNCTION("""COMPUTED_VALUE"""),"70006871")</f>
        <v>70006871</v>
      </c>
      <c r="D11434" s="380" t="s">
        <v>767</v>
      </c>
      <c r="E11434" s="380" t="s">
        <v>786</v>
      </c>
      <c r="F11434" s="380" t="s">
        <v>792</v>
      </c>
      <c r="G11434" s="380" t="s">
        <v>1267</v>
      </c>
      <c r="H11434" s="380" t="s">
        <v>771</v>
      </c>
      <c r="I11434" s="380" t="s">
        <v>788</v>
      </c>
      <c r="J11434" s="380" t="s">
        <v>773</v>
      </c>
      <c r="K11434" s="381">
        <v>353375.0</v>
      </c>
      <c r="L11434" s="382">
        <v>1.0</v>
      </c>
    </row>
    <row r="11435">
      <c r="A11435" s="380" t="s">
        <v>12309</v>
      </c>
      <c r="B11435" s="380" t="str">
        <f>IFERROR(__xludf.DUMMYFUNCTION("""COMPUTED_VALUE"""),"Carter Aceite Motor Isx 4952540")</f>
        <v>Carter Aceite Motor Isx 4952540</v>
      </c>
      <c r="C11435" s="380" t="str">
        <f>IFERROR(__xludf.DUMMYFUNCTION("""COMPUTED_VALUE"""),"70006872")</f>
        <v>70006872</v>
      </c>
      <c r="D11435" s="380" t="s">
        <v>767</v>
      </c>
      <c r="E11435" s="380" t="s">
        <v>786</v>
      </c>
      <c r="F11435" s="380" t="s">
        <v>787</v>
      </c>
      <c r="G11435" s="380" t="s">
        <v>1267</v>
      </c>
      <c r="H11435" s="380" t="s">
        <v>771</v>
      </c>
      <c r="I11435" s="380" t="s">
        <v>788</v>
      </c>
      <c r="J11435" s="380" t="s">
        <v>773</v>
      </c>
      <c r="K11435" s="381">
        <v>0.0</v>
      </c>
      <c r="L11435" s="382">
        <v>1.0</v>
      </c>
    </row>
    <row r="11436">
      <c r="A11436" s="380" t="s">
        <v>12310</v>
      </c>
      <c r="B11436" s="380" t="str">
        <f>IFERROR(__xludf.DUMMYFUNCTION("""COMPUTED_VALUE"""),"Juego Escobillas M ARR Hi 4300 Zln225267")</f>
        <v>Juego Escobillas M ARR Hi 4300 Zln225267</v>
      </c>
      <c r="C11436" s="380" t="str">
        <f>IFERROR(__xludf.DUMMYFUNCTION("""COMPUTED_VALUE"""),"70006875")</f>
        <v>70006875</v>
      </c>
      <c r="D11436" s="380" t="s">
        <v>767</v>
      </c>
      <c r="E11436" s="380" t="s">
        <v>786</v>
      </c>
      <c r="F11436" s="380" t="s">
        <v>998</v>
      </c>
      <c r="G11436" s="380" t="s">
        <v>1267</v>
      </c>
      <c r="H11436" s="380" t="s">
        <v>771</v>
      </c>
      <c r="I11436" s="380" t="s">
        <v>788</v>
      </c>
      <c r="J11436" s="380" t="s">
        <v>773</v>
      </c>
      <c r="K11436" s="381">
        <v>0.0</v>
      </c>
      <c r="L11436" s="382">
        <v>1.0</v>
      </c>
    </row>
    <row r="11437">
      <c r="A11437" s="380" t="s">
        <v>12311</v>
      </c>
      <c r="B11437" s="380" t="str">
        <f>IFERROR(__xludf.DUMMYFUNCTION("""COMPUTED_VALUE"""),"Pasta Puerta Izq Eagle Isx 3516218c93")</f>
        <v>Pasta Puerta Izq Eagle Isx 3516218c93</v>
      </c>
      <c r="C11437" s="380" t="str">
        <f>IFERROR(__xludf.DUMMYFUNCTION("""COMPUTED_VALUE"""),"70006876")</f>
        <v>70006876</v>
      </c>
      <c r="D11437" s="380" t="s">
        <v>767</v>
      </c>
      <c r="E11437" s="380" t="s">
        <v>786</v>
      </c>
      <c r="F11437" s="380" t="s">
        <v>792</v>
      </c>
      <c r="G11437" s="380" t="s">
        <v>1267</v>
      </c>
      <c r="H11437" s="380" t="s">
        <v>771</v>
      </c>
      <c r="I11437" s="380" t="s">
        <v>788</v>
      </c>
      <c r="J11437" s="380" t="s">
        <v>773</v>
      </c>
      <c r="K11437" s="381">
        <v>773500.0</v>
      </c>
      <c r="L11437" s="382">
        <v>1.0</v>
      </c>
    </row>
    <row r="11438">
      <c r="A11438" s="380" t="s">
        <v>12312</v>
      </c>
      <c r="B11438" s="380" t="str">
        <f>IFERROR(__xludf.DUMMYFUNCTION("""COMPUTED_VALUE"""),"Panel Der Cabina Eagle Isx M3515932c1")</f>
        <v>Panel Der Cabina Eagle Isx M3515932c1</v>
      </c>
      <c r="C11438" s="380" t="str">
        <f>IFERROR(__xludf.DUMMYFUNCTION("""COMPUTED_VALUE"""),"70006877")</f>
        <v>70006877</v>
      </c>
      <c r="D11438" s="380" t="s">
        <v>767</v>
      </c>
      <c r="E11438" s="380" t="s">
        <v>786</v>
      </c>
      <c r="F11438" s="380" t="s">
        <v>792</v>
      </c>
      <c r="G11438" s="380" t="s">
        <v>1267</v>
      </c>
      <c r="H11438" s="380" t="s">
        <v>771</v>
      </c>
      <c r="I11438" s="380" t="s">
        <v>788</v>
      </c>
      <c r="J11438" s="380" t="s">
        <v>773</v>
      </c>
      <c r="K11438" s="381">
        <v>0.0</v>
      </c>
      <c r="L11438" s="382">
        <v>1.0</v>
      </c>
    </row>
    <row r="11439">
      <c r="A11439" s="380" t="s">
        <v>12313</v>
      </c>
      <c r="B11439" s="380" t="str">
        <f>IFERROR(__xludf.DUMMYFUNCTION("""COMPUTED_VALUE"""),"Soporte Cabina T Delta 5222387303")</f>
        <v>Soporte Cabina T Delta 5222387303</v>
      </c>
      <c r="C11439" s="380" t="str">
        <f>IFERROR(__xludf.DUMMYFUNCTION("""COMPUTED_VALUE"""),"70006878")</f>
        <v>70006878</v>
      </c>
      <c r="D11439" s="380" t="s">
        <v>767</v>
      </c>
      <c r="E11439" s="380" t="s">
        <v>786</v>
      </c>
      <c r="F11439" s="380" t="s">
        <v>792</v>
      </c>
      <c r="G11439" s="380" t="s">
        <v>1267</v>
      </c>
      <c r="H11439" s="380" t="s">
        <v>771</v>
      </c>
      <c r="I11439" s="380" t="s">
        <v>788</v>
      </c>
      <c r="J11439" s="380" t="s">
        <v>773</v>
      </c>
      <c r="K11439" s="381">
        <v>0.0</v>
      </c>
      <c r="L11439" s="382">
        <v>1.0</v>
      </c>
    </row>
    <row r="11440">
      <c r="A11440" s="380" t="s">
        <v>12314</v>
      </c>
      <c r="B11440" s="380" t="str">
        <f>IFERROR(__xludf.DUMMYFUNCTION("""COMPUTED_VALUE"""),"Soporte Caucho Cabina T Delta 5222487302")</f>
        <v>Soporte Caucho Cabina T Delta 5222487302</v>
      </c>
      <c r="C11440" s="380" t="str">
        <f>IFERROR(__xludf.DUMMYFUNCTION("""COMPUTED_VALUE"""),"70006879")</f>
        <v>70006879</v>
      </c>
      <c r="D11440" s="380" t="s">
        <v>767</v>
      </c>
      <c r="E11440" s="380" t="s">
        <v>786</v>
      </c>
      <c r="F11440" s="380" t="s">
        <v>792</v>
      </c>
      <c r="G11440" s="380" t="s">
        <v>1267</v>
      </c>
      <c r="H11440" s="380" t="s">
        <v>771</v>
      </c>
      <c r="I11440" s="380" t="s">
        <v>788</v>
      </c>
      <c r="J11440" s="380" t="s">
        <v>773</v>
      </c>
      <c r="K11440" s="381">
        <v>0.0</v>
      </c>
      <c r="L11440" s="382">
        <v>1.0</v>
      </c>
    </row>
    <row r="11441">
      <c r="A11441" s="380" t="s">
        <v>12315</v>
      </c>
      <c r="B11441" s="380" t="str">
        <f>IFERROR(__xludf.DUMMYFUNCTION("""COMPUTED_VALUE"""),"Empaque Multiple Admision Nhr 8973018381")</f>
        <v>Empaque Multiple Admision Nhr 8973018381</v>
      </c>
      <c r="C11441" s="380" t="str">
        <f>IFERROR(__xludf.DUMMYFUNCTION("""COMPUTED_VALUE"""),"70006881")</f>
        <v>70006881</v>
      </c>
      <c r="D11441" s="380" t="s">
        <v>767</v>
      </c>
      <c r="E11441" s="380" t="s">
        <v>786</v>
      </c>
      <c r="F11441" s="380" t="s">
        <v>787</v>
      </c>
      <c r="G11441" s="380" t="s">
        <v>1267</v>
      </c>
      <c r="H11441" s="380" t="s">
        <v>771</v>
      </c>
      <c r="I11441" s="380" t="s">
        <v>788</v>
      </c>
      <c r="J11441" s="380" t="s">
        <v>773</v>
      </c>
      <c r="K11441" s="381">
        <v>0.0</v>
      </c>
      <c r="L11441" s="382">
        <v>1.0</v>
      </c>
    </row>
    <row r="11442">
      <c r="A11442" s="380" t="s">
        <v>12316</v>
      </c>
      <c r="B11442" s="380" t="str">
        <f>IFERROR(__xludf.DUMMYFUNCTION("""COMPUTED_VALUE"""),"Empaque Caja Termostatica Nhr 8972161560")</f>
        <v>Empaque Caja Termostatica Nhr 8972161560</v>
      </c>
      <c r="C11442" s="380" t="str">
        <f>IFERROR(__xludf.DUMMYFUNCTION("""COMPUTED_VALUE"""),"70006882")</f>
        <v>70006882</v>
      </c>
      <c r="D11442" s="380" t="s">
        <v>767</v>
      </c>
      <c r="E11442" s="380" t="s">
        <v>786</v>
      </c>
      <c r="F11442" s="380" t="s">
        <v>787</v>
      </c>
      <c r="G11442" s="380" t="s">
        <v>1267</v>
      </c>
      <c r="H11442" s="380" t="s">
        <v>771</v>
      </c>
      <c r="I11442" s="380" t="s">
        <v>788</v>
      </c>
      <c r="J11442" s="380" t="s">
        <v>773</v>
      </c>
      <c r="K11442" s="381">
        <v>0.0</v>
      </c>
      <c r="L11442" s="382">
        <v>1.0</v>
      </c>
    </row>
    <row r="11443">
      <c r="A11443" s="380" t="s">
        <v>12317</v>
      </c>
      <c r="B11443" s="380" t="str">
        <f>IFERROR(__xludf.DUMMYFUNCTION("""COMPUTED_VALUE"""),"Bomba Aux Embrague Volswagen 2sl721261")</f>
        <v>Bomba Aux Embrague Volswagen 2sl721261</v>
      </c>
      <c r="C11443" s="380" t="str">
        <f>IFERROR(__xludf.DUMMYFUNCTION("""COMPUTED_VALUE"""),"70006883")</f>
        <v>70006883</v>
      </c>
      <c r="D11443" s="380" t="s">
        <v>767</v>
      </c>
      <c r="E11443" s="380" t="s">
        <v>786</v>
      </c>
      <c r="F11443" s="380" t="s">
        <v>5661</v>
      </c>
      <c r="G11443" s="380" t="s">
        <v>1267</v>
      </c>
      <c r="H11443" s="380" t="s">
        <v>771</v>
      </c>
      <c r="I11443" s="380" t="s">
        <v>788</v>
      </c>
      <c r="J11443" s="380" t="s">
        <v>773</v>
      </c>
      <c r="K11443" s="381">
        <v>0.0</v>
      </c>
      <c r="L11443" s="382">
        <v>1.0</v>
      </c>
    </row>
    <row r="11444">
      <c r="A11444" s="380" t="s">
        <v>12318</v>
      </c>
      <c r="B11444" s="380" t="str">
        <f>IFERROR(__xludf.DUMMYFUNCTION("""COMPUTED_VALUE"""),"Campana RDA Del Y Tras Volwsw 6007700548")</f>
        <v>Campana RDA Del Y Tras Volwsw 6007700548</v>
      </c>
      <c r="C11444" s="380" t="str">
        <f>IFERROR(__xludf.DUMMYFUNCTION("""COMPUTED_VALUE"""),"70006884")</f>
        <v>70006884</v>
      </c>
      <c r="D11444" s="380" t="s">
        <v>767</v>
      </c>
      <c r="E11444" s="380" t="s">
        <v>786</v>
      </c>
      <c r="F11444" s="380" t="s">
        <v>1017</v>
      </c>
      <c r="G11444" s="380" t="s">
        <v>1267</v>
      </c>
      <c r="H11444" s="380" t="s">
        <v>771</v>
      </c>
      <c r="I11444" s="380" t="s">
        <v>788</v>
      </c>
      <c r="J11444" s="380" t="s">
        <v>773</v>
      </c>
      <c r="K11444" s="381">
        <v>0.0</v>
      </c>
      <c r="L11444" s="382">
        <v>1.0</v>
      </c>
    </row>
    <row r="11445">
      <c r="A11445" s="380" t="s">
        <v>12319</v>
      </c>
      <c r="B11445" s="380" t="str">
        <f>IFERROR(__xludf.DUMMYFUNCTION("""COMPUTED_VALUE"""),"Tapa Guantera T Delta 5550187306")</f>
        <v>Tapa Guantera T Delta 5550187306</v>
      </c>
      <c r="C11445" s="380" t="str">
        <f>IFERROR(__xludf.DUMMYFUNCTION("""COMPUTED_VALUE"""),"70006885")</f>
        <v>70006885</v>
      </c>
      <c r="D11445" s="380" t="s">
        <v>767</v>
      </c>
      <c r="E11445" s="380" t="s">
        <v>786</v>
      </c>
      <c r="F11445" s="380" t="s">
        <v>792</v>
      </c>
      <c r="G11445" s="380" t="s">
        <v>1267</v>
      </c>
      <c r="H11445" s="380" t="s">
        <v>771</v>
      </c>
      <c r="I11445" s="380" t="s">
        <v>788</v>
      </c>
      <c r="J11445" s="380" t="s">
        <v>773</v>
      </c>
      <c r="K11445" s="381">
        <v>0.0</v>
      </c>
      <c r="L11445" s="382">
        <v>1.0</v>
      </c>
    </row>
    <row r="11446">
      <c r="A11446" s="380" t="s">
        <v>12320</v>
      </c>
      <c r="B11446" s="380" t="str">
        <f>IFERROR(__xludf.DUMMYFUNCTION("""COMPUTED_VALUE"""),"Cruceta Caña Direc Npr St1640")</f>
        <v>Cruceta Caña Direc Npr St1640</v>
      </c>
      <c r="C11446" s="380" t="str">
        <f>IFERROR(__xludf.DUMMYFUNCTION("""COMPUTED_VALUE"""),"70006886")</f>
        <v>70006886</v>
      </c>
      <c r="D11446" s="380" t="s">
        <v>767</v>
      </c>
      <c r="E11446" s="380" t="s">
        <v>786</v>
      </c>
      <c r="F11446" s="380" t="s">
        <v>1020</v>
      </c>
      <c r="G11446" s="380" t="s">
        <v>1267</v>
      </c>
      <c r="H11446" s="380" t="s">
        <v>771</v>
      </c>
      <c r="I11446" s="380" t="s">
        <v>788</v>
      </c>
      <c r="J11446" s="380" t="s">
        <v>773</v>
      </c>
      <c r="K11446" s="381">
        <v>0.0</v>
      </c>
      <c r="L11446" s="382">
        <v>1.0</v>
      </c>
    </row>
    <row r="11447">
      <c r="A11447" s="380" t="s">
        <v>12321</v>
      </c>
      <c r="B11447" s="380" t="str">
        <f>IFERROR(__xludf.DUMMYFUNCTION("""COMPUTED_VALUE"""),"Kit Caucho Rodamiento Cardan Nkr-Npr")</f>
        <v>Kit Caucho Rodamiento Cardan Nkr-Npr</v>
      </c>
      <c r="C11447" s="380" t="str">
        <f>IFERROR(__xludf.DUMMYFUNCTION("""COMPUTED_VALUE"""),"70006887")</f>
        <v>70006887</v>
      </c>
      <c r="D11447" s="380" t="s">
        <v>767</v>
      </c>
      <c r="E11447" s="380" t="s">
        <v>786</v>
      </c>
      <c r="F11447" s="380" t="s">
        <v>5683</v>
      </c>
      <c r="G11447" s="380" t="s">
        <v>1267</v>
      </c>
      <c r="H11447" s="380" t="s">
        <v>771</v>
      </c>
      <c r="I11447" s="380" t="s">
        <v>788</v>
      </c>
      <c r="J11447" s="380" t="s">
        <v>773</v>
      </c>
      <c r="K11447" s="381">
        <v>0.0</v>
      </c>
      <c r="L11447" s="382">
        <v>1.0</v>
      </c>
    </row>
    <row r="11448">
      <c r="A11448" s="380" t="s">
        <v>12322</v>
      </c>
      <c r="B11448" s="380" t="str">
        <f>IFERROR(__xludf.DUMMYFUNCTION("""COMPUTED_VALUE"""),"Balinera Cardan Nkr 88107 Completo Con C")</f>
        <v>Balinera Cardan Nkr 88107 Completo Con C</v>
      </c>
      <c r="C11448" s="380" t="str">
        <f>IFERROR(__xludf.DUMMYFUNCTION("""COMPUTED_VALUE"""),"70006888")</f>
        <v>70006888</v>
      </c>
      <c r="D11448" s="380" t="s">
        <v>767</v>
      </c>
      <c r="E11448" s="380" t="s">
        <v>786</v>
      </c>
      <c r="F11448" s="380" t="s">
        <v>5683</v>
      </c>
      <c r="G11448" s="380" t="s">
        <v>1267</v>
      </c>
      <c r="H11448" s="380" t="s">
        <v>771</v>
      </c>
      <c r="I11448" s="380" t="s">
        <v>788</v>
      </c>
      <c r="J11448" s="380" t="s">
        <v>773</v>
      </c>
      <c r="K11448" s="381">
        <v>0.0</v>
      </c>
      <c r="L11448" s="382">
        <v>1.0</v>
      </c>
    </row>
    <row r="11449">
      <c r="A11449" s="380" t="s">
        <v>12323</v>
      </c>
      <c r="B11449" s="380" t="str">
        <f>IFERROR(__xludf.DUMMYFUNCTION("""COMPUTED_VALUE"""),"Hoja Resorte Trailer Dite 3ra Tl644a 4/3")</f>
        <v>Hoja Resorte Trailer Dite 3ra Tl644a 4/3</v>
      </c>
      <c r="C11449" s="380" t="str">
        <f>IFERROR(__xludf.DUMMYFUNCTION("""COMPUTED_VALUE"""),"70006889")</f>
        <v>70006889</v>
      </c>
      <c r="D11449" s="380" t="s">
        <v>767</v>
      </c>
      <c r="E11449" s="380" t="s">
        <v>786</v>
      </c>
      <c r="F11449" s="380" t="s">
        <v>1039</v>
      </c>
      <c r="G11449" s="380" t="s">
        <v>1267</v>
      </c>
      <c r="H11449" s="380" t="s">
        <v>771</v>
      </c>
      <c r="I11449" s="380" t="s">
        <v>788</v>
      </c>
      <c r="J11449" s="380" t="s">
        <v>773</v>
      </c>
      <c r="K11449" s="381">
        <v>0.0</v>
      </c>
      <c r="L11449" s="382">
        <v>1.0</v>
      </c>
    </row>
    <row r="11450">
      <c r="A11450" s="380" t="s">
        <v>12324</v>
      </c>
      <c r="B11450" s="380" t="str">
        <f>IFERROR(__xludf.DUMMYFUNCTION("""COMPUTED_VALUE"""),"Puerta Der Cabina Eagle 3570697c94")</f>
        <v>Puerta Der Cabina Eagle 3570697c94</v>
      </c>
      <c r="C11450" s="380" t="str">
        <f>IFERROR(__xludf.DUMMYFUNCTION("""COMPUTED_VALUE"""),"70006890")</f>
        <v>70006890</v>
      </c>
      <c r="D11450" s="380" t="s">
        <v>767</v>
      </c>
      <c r="E11450" s="380" t="s">
        <v>786</v>
      </c>
      <c r="F11450" s="380" t="s">
        <v>792</v>
      </c>
      <c r="G11450" s="380" t="s">
        <v>1267</v>
      </c>
      <c r="H11450" s="380" t="s">
        <v>771</v>
      </c>
      <c r="I11450" s="380" t="s">
        <v>788</v>
      </c>
      <c r="J11450" s="380" t="s">
        <v>773</v>
      </c>
      <c r="K11450" s="381">
        <v>0.0</v>
      </c>
      <c r="L11450" s="382">
        <v>1.0</v>
      </c>
    </row>
    <row r="11451">
      <c r="A11451" s="380" t="s">
        <v>12325</v>
      </c>
      <c r="B11451" s="380" t="str">
        <f>IFERROR(__xludf.DUMMYFUNCTION("""COMPUTED_VALUE"""),"Bombillo Halogeno Hb4 9006 12v Hb4-9006")</f>
        <v>Bombillo Halogeno Hb4 9006 12v Hb4-9006</v>
      </c>
      <c r="C11451" s="380" t="str">
        <f>IFERROR(__xludf.DUMMYFUNCTION("""COMPUTED_VALUE"""),"70006891")</f>
        <v>70006891</v>
      </c>
      <c r="D11451" s="380" t="s">
        <v>767</v>
      </c>
      <c r="E11451" s="380" t="s">
        <v>786</v>
      </c>
      <c r="F11451" s="380" t="s">
        <v>998</v>
      </c>
      <c r="G11451" s="380" t="s">
        <v>1267</v>
      </c>
      <c r="H11451" s="380" t="s">
        <v>771</v>
      </c>
      <c r="I11451" s="380" t="s">
        <v>788</v>
      </c>
      <c r="J11451" s="380" t="s">
        <v>773</v>
      </c>
      <c r="K11451" s="381">
        <v>24038.0</v>
      </c>
      <c r="L11451" s="382">
        <v>1.0</v>
      </c>
    </row>
    <row r="11452">
      <c r="A11452" s="380" t="s">
        <v>12326</v>
      </c>
      <c r="B11452" s="380" t="str">
        <f>IFERROR(__xludf.DUMMYFUNCTION("""COMPUTED_VALUE"""),"Flasher Direcal 3-Patas 12v 4lz961553")</f>
        <v>Flasher Direcal 3-Patas 12v 4lz961553</v>
      </c>
      <c r="C11452" s="380" t="str">
        <f>IFERROR(__xludf.DUMMYFUNCTION("""COMPUTED_VALUE"""),"70006892")</f>
        <v>70006892</v>
      </c>
      <c r="D11452" s="380" t="s">
        <v>767</v>
      </c>
      <c r="E11452" s="380" t="s">
        <v>786</v>
      </c>
      <c r="F11452" s="380" t="s">
        <v>998</v>
      </c>
      <c r="G11452" s="380" t="s">
        <v>1267</v>
      </c>
      <c r="H11452" s="380" t="s">
        <v>771</v>
      </c>
      <c r="I11452" s="380" t="s">
        <v>788</v>
      </c>
      <c r="J11452" s="380" t="s">
        <v>773</v>
      </c>
      <c r="K11452" s="381">
        <v>0.0</v>
      </c>
      <c r="L11452" s="382">
        <v>1.0</v>
      </c>
    </row>
    <row r="11453">
      <c r="A11453" s="380" t="s">
        <v>12327</v>
      </c>
      <c r="B11453" s="380" t="str">
        <f>IFERROR(__xludf.DUMMYFUNCTION("""COMPUTED_VALUE"""),"Deposito Lavaparabrisas Npr 8978550656")</f>
        <v>Deposito Lavaparabrisas Npr 8978550656</v>
      </c>
      <c r="C11453" s="380" t="str">
        <f>IFERROR(__xludf.DUMMYFUNCTION("""COMPUTED_VALUE"""),"70006893")</f>
        <v>70006893</v>
      </c>
      <c r="D11453" s="380" t="s">
        <v>767</v>
      </c>
      <c r="E11453" s="380" t="s">
        <v>786</v>
      </c>
      <c r="F11453" s="380" t="s">
        <v>787</v>
      </c>
      <c r="G11453" s="380" t="s">
        <v>1267</v>
      </c>
      <c r="H11453" s="380" t="s">
        <v>771</v>
      </c>
      <c r="I11453" s="380" t="s">
        <v>788</v>
      </c>
      <c r="J11453" s="380" t="s">
        <v>773</v>
      </c>
      <c r="K11453" s="381">
        <v>0.0</v>
      </c>
      <c r="L11453" s="382">
        <v>1.0</v>
      </c>
    </row>
    <row r="11454">
      <c r="A11454" s="380" t="s">
        <v>12328</v>
      </c>
      <c r="B11454" s="380" t="str">
        <f>IFERROR(__xludf.DUMMYFUNCTION("""COMPUTED_VALUE"""),"Guaya Acelerador Nkr 8971185372")</f>
        <v>Guaya Acelerador Nkr 8971185372</v>
      </c>
      <c r="C11454" s="380" t="str">
        <f>IFERROR(__xludf.DUMMYFUNCTION("""COMPUTED_VALUE"""),"70006894")</f>
        <v>70006894</v>
      </c>
      <c r="D11454" s="380" t="s">
        <v>767</v>
      </c>
      <c r="E11454" s="380" t="s">
        <v>786</v>
      </c>
      <c r="F11454" s="380" t="s">
        <v>787</v>
      </c>
      <c r="G11454" s="380" t="s">
        <v>1267</v>
      </c>
      <c r="H11454" s="380" t="s">
        <v>771</v>
      </c>
      <c r="I11454" s="380" t="s">
        <v>788</v>
      </c>
      <c r="J11454" s="380" t="s">
        <v>773</v>
      </c>
      <c r="K11454" s="381">
        <v>0.0</v>
      </c>
      <c r="L11454" s="382">
        <v>1.0</v>
      </c>
    </row>
    <row r="11455">
      <c r="A11455" s="380" t="s">
        <v>12329</v>
      </c>
      <c r="B11455" s="380" t="str">
        <f>IFERROR(__xludf.DUMMYFUNCTION("""COMPUTED_VALUE"""),"Varilla Medidora TANQ Hidrauli 1681924c3")</f>
        <v>Varilla Medidora TANQ Hidrauli 1681924c3</v>
      </c>
      <c r="C11455" s="380" t="str">
        <f>IFERROR(__xludf.DUMMYFUNCTION("""COMPUTED_VALUE"""),"70006895")</f>
        <v>70006895</v>
      </c>
      <c r="D11455" s="380" t="s">
        <v>767</v>
      </c>
      <c r="E11455" s="380" t="s">
        <v>786</v>
      </c>
      <c r="F11455" s="380" t="s">
        <v>1020</v>
      </c>
      <c r="G11455" s="380" t="s">
        <v>1267</v>
      </c>
      <c r="H11455" s="380" t="s">
        <v>771</v>
      </c>
      <c r="I11455" s="380" t="s">
        <v>788</v>
      </c>
      <c r="J11455" s="380" t="s">
        <v>773</v>
      </c>
      <c r="K11455" s="381">
        <v>188706.0</v>
      </c>
      <c r="L11455" s="382">
        <v>1.0</v>
      </c>
    </row>
    <row r="11456">
      <c r="A11456" s="380" t="s">
        <v>12330</v>
      </c>
      <c r="B11456" s="380" t="str">
        <f>IFERROR(__xludf.DUMMYFUNCTION("""COMPUTED_VALUE"""),"Empaque Plano Puerta Esponjoso 266")</f>
        <v>Empaque Plano Puerta Esponjoso 266</v>
      </c>
      <c r="C11456" s="380" t="str">
        <f>IFERROR(__xludf.DUMMYFUNCTION("""COMPUTED_VALUE"""),"70006896")</f>
        <v>70006896</v>
      </c>
      <c r="D11456" s="380" t="s">
        <v>767</v>
      </c>
      <c r="E11456" s="380" t="s">
        <v>786</v>
      </c>
      <c r="F11456" s="380" t="s">
        <v>792</v>
      </c>
      <c r="G11456" s="380" t="s">
        <v>1267</v>
      </c>
      <c r="H11456" s="380" t="s">
        <v>771</v>
      </c>
      <c r="I11456" s="380" t="s">
        <v>788</v>
      </c>
      <c r="J11456" s="380" t="s">
        <v>773</v>
      </c>
      <c r="K11456" s="381">
        <v>0.0</v>
      </c>
      <c r="L11456" s="382">
        <v>1.0</v>
      </c>
    </row>
    <row r="11457">
      <c r="A11457" s="380" t="s">
        <v>12331</v>
      </c>
      <c r="B11457" s="380" t="str">
        <f>IFERROR(__xludf.DUMMYFUNCTION("""COMPUTED_VALUE"""),"Banda Tras Nueva T Delta 449487315")</f>
        <v>Banda Tras Nueva T Delta 449487315</v>
      </c>
      <c r="C11457" s="380" t="str">
        <f>IFERROR(__xludf.DUMMYFUNCTION("""COMPUTED_VALUE"""),"70006897")</f>
        <v>70006897</v>
      </c>
      <c r="D11457" s="380" t="s">
        <v>767</v>
      </c>
      <c r="E11457" s="380" t="s">
        <v>786</v>
      </c>
      <c r="F11457" s="380" t="s">
        <v>1017</v>
      </c>
      <c r="G11457" s="380" t="s">
        <v>1267</v>
      </c>
      <c r="H11457" s="380" t="s">
        <v>771</v>
      </c>
      <c r="I11457" s="380" t="s">
        <v>788</v>
      </c>
      <c r="J11457" s="380" t="s">
        <v>773</v>
      </c>
      <c r="K11457" s="381">
        <v>0.0</v>
      </c>
      <c r="L11457" s="382">
        <v>1.0</v>
      </c>
    </row>
    <row r="11458">
      <c r="A11458" s="380" t="s">
        <v>12332</v>
      </c>
      <c r="B11458" s="380" t="str">
        <f>IFERROR(__xludf.DUMMYFUNCTION("""COMPUTED_VALUE"""),"Campana Tras T Delta 4243187308")</f>
        <v>Campana Tras T Delta 4243187308</v>
      </c>
      <c r="C11458" s="380" t="str">
        <f>IFERROR(__xludf.DUMMYFUNCTION("""COMPUTED_VALUE"""),"70006898")</f>
        <v>70006898</v>
      </c>
      <c r="D11458" s="380" t="s">
        <v>767</v>
      </c>
      <c r="E11458" s="380" t="s">
        <v>786</v>
      </c>
      <c r="F11458" s="380" t="s">
        <v>1017</v>
      </c>
      <c r="G11458" s="380" t="s">
        <v>1267</v>
      </c>
      <c r="H11458" s="380" t="s">
        <v>771</v>
      </c>
      <c r="I11458" s="380" t="s">
        <v>788</v>
      </c>
      <c r="J11458" s="380" t="s">
        <v>773</v>
      </c>
      <c r="K11458" s="381">
        <v>0.0</v>
      </c>
      <c r="L11458" s="382">
        <v>1.0</v>
      </c>
    </row>
    <row r="11459">
      <c r="A11459" s="380" t="s">
        <v>12333</v>
      </c>
      <c r="B11459" s="380" t="str">
        <f>IFERROR(__xludf.DUMMYFUNCTION("""COMPUTED_VALUE"""),"Pivote Valvula Selectora Cj 14715 20490")</f>
        <v>Pivote Valvula Selectora Cj 14715 20490</v>
      </c>
      <c r="C11459" s="380" t="str">
        <f>IFERROR(__xludf.DUMMYFUNCTION("""COMPUTED_VALUE"""),"70006899")</f>
        <v>70006899</v>
      </c>
      <c r="D11459" s="380" t="s">
        <v>767</v>
      </c>
      <c r="E11459" s="380" t="s">
        <v>786</v>
      </c>
      <c r="F11459" s="380" t="s">
        <v>928</v>
      </c>
      <c r="G11459" s="380" t="s">
        <v>1267</v>
      </c>
      <c r="H11459" s="380" t="s">
        <v>771</v>
      </c>
      <c r="I11459" s="380" t="s">
        <v>788</v>
      </c>
      <c r="J11459" s="380" t="s">
        <v>773</v>
      </c>
      <c r="K11459" s="381">
        <v>0.0</v>
      </c>
      <c r="L11459" s="382">
        <v>1.0</v>
      </c>
    </row>
    <row r="11460">
      <c r="A11460" s="380" t="s">
        <v>12334</v>
      </c>
      <c r="B11460" s="380" t="str">
        <f>IFERROR(__xludf.DUMMYFUNCTION("""COMPUTED_VALUE"""),"Valvula Freno Doble Parqueo Eagle 800257")</f>
        <v>Valvula Freno Doble Parqueo Eagle 800257</v>
      </c>
      <c r="C11460" s="380" t="str">
        <f>IFERROR(__xludf.DUMMYFUNCTION("""COMPUTED_VALUE"""),"70006900")</f>
        <v>70006900</v>
      </c>
      <c r="D11460" s="380" t="s">
        <v>767</v>
      </c>
      <c r="E11460" s="380" t="s">
        <v>786</v>
      </c>
      <c r="F11460" s="380" t="s">
        <v>1017</v>
      </c>
      <c r="G11460" s="380" t="s">
        <v>1267</v>
      </c>
      <c r="H11460" s="380" t="s">
        <v>771</v>
      </c>
      <c r="I11460" s="380" t="s">
        <v>788</v>
      </c>
      <c r="J11460" s="380" t="s">
        <v>773</v>
      </c>
      <c r="K11460" s="381">
        <v>0.0</v>
      </c>
      <c r="L11460" s="382">
        <v>1.0</v>
      </c>
    </row>
    <row r="11461">
      <c r="A11461" s="380" t="s">
        <v>12335</v>
      </c>
      <c r="B11461" s="380" t="str">
        <f>IFERROR(__xludf.DUMMYFUNCTION("""COMPUTED_VALUE"""),"Balinera Embraguem Npr 8972553130")</f>
        <v>Balinera Embraguem Npr 8972553130</v>
      </c>
      <c r="C11461" s="380" t="str">
        <f>IFERROR(__xludf.DUMMYFUNCTION("""COMPUTED_VALUE"""),"70006901")</f>
        <v>70006901</v>
      </c>
      <c r="D11461" s="380" t="s">
        <v>767</v>
      </c>
      <c r="E11461" s="380" t="s">
        <v>786</v>
      </c>
      <c r="F11461" s="380" t="s">
        <v>5661</v>
      </c>
      <c r="G11461" s="380" t="s">
        <v>1267</v>
      </c>
      <c r="H11461" s="380" t="s">
        <v>771</v>
      </c>
      <c r="I11461" s="380" t="s">
        <v>788</v>
      </c>
      <c r="J11461" s="380" t="s">
        <v>773</v>
      </c>
      <c r="K11461" s="381">
        <v>0.0</v>
      </c>
      <c r="L11461" s="382">
        <v>1.0</v>
      </c>
    </row>
    <row r="11462">
      <c r="A11462" s="380" t="s">
        <v>12336</v>
      </c>
      <c r="B11462" s="380" t="str">
        <f>IFERROR(__xludf.DUMMYFUNCTION("""COMPUTED_VALUE"""),"Valvula Admision Culata Nhr 8944649212")</f>
        <v>Valvula Admision Culata Nhr 8944649212</v>
      </c>
      <c r="C11462" s="380" t="str">
        <f>IFERROR(__xludf.DUMMYFUNCTION("""COMPUTED_VALUE"""),"70006902")</f>
        <v>70006902</v>
      </c>
      <c r="D11462" s="380" t="s">
        <v>767</v>
      </c>
      <c r="E11462" s="380" t="s">
        <v>786</v>
      </c>
      <c r="F11462" s="380" t="s">
        <v>787</v>
      </c>
      <c r="G11462" s="380" t="s">
        <v>1267</v>
      </c>
      <c r="H11462" s="380" t="s">
        <v>771</v>
      </c>
      <c r="I11462" s="380" t="s">
        <v>788</v>
      </c>
      <c r="J11462" s="380" t="s">
        <v>773</v>
      </c>
      <c r="K11462" s="381">
        <v>0.0</v>
      </c>
      <c r="L11462" s="382">
        <v>1.0</v>
      </c>
    </row>
    <row r="11463">
      <c r="A11463" s="380" t="s">
        <v>12337</v>
      </c>
      <c r="B11463" s="380" t="str">
        <f>IFERROR(__xludf.DUMMYFUNCTION("""COMPUTED_VALUE"""),"Barra Estabilizadora Del Nhr 8971796570")</f>
        <v>Barra Estabilizadora Del Nhr 8971796570</v>
      </c>
      <c r="C11463" s="380" t="str">
        <f>IFERROR(__xludf.DUMMYFUNCTION("""COMPUTED_VALUE"""),"70006903")</f>
        <v>70006903</v>
      </c>
      <c r="D11463" s="380" t="s">
        <v>767</v>
      </c>
      <c r="E11463" s="380" t="s">
        <v>786</v>
      </c>
      <c r="F11463" s="380" t="s">
        <v>1039</v>
      </c>
      <c r="G11463" s="380" t="s">
        <v>1267</v>
      </c>
      <c r="H11463" s="380" t="s">
        <v>771</v>
      </c>
      <c r="I11463" s="380" t="s">
        <v>788</v>
      </c>
      <c r="J11463" s="380" t="s">
        <v>773</v>
      </c>
      <c r="K11463" s="381">
        <v>0.0</v>
      </c>
      <c r="L11463" s="382">
        <v>1.0</v>
      </c>
    </row>
    <row r="11464">
      <c r="A11464" s="380" t="s">
        <v>12338</v>
      </c>
      <c r="B11464" s="380" t="str">
        <f>IFERROR(__xludf.DUMMYFUNCTION("""COMPUTED_VALUE"""),"Enflanche Divisor Potencia N14 4 6543911")</f>
        <v>Enflanche Divisor Potencia N14 4 6543911</v>
      </c>
      <c r="C11464" s="380" t="str">
        <f>IFERROR(__xludf.DUMMYFUNCTION("""COMPUTED_VALUE"""),"70006904")</f>
        <v>70006904</v>
      </c>
      <c r="D11464" s="380" t="s">
        <v>767</v>
      </c>
      <c r="E11464" s="380" t="s">
        <v>786</v>
      </c>
      <c r="F11464" s="380" t="s">
        <v>5683</v>
      </c>
      <c r="G11464" s="380" t="s">
        <v>1267</v>
      </c>
      <c r="H11464" s="380" t="s">
        <v>771</v>
      </c>
      <c r="I11464" s="380" t="s">
        <v>788</v>
      </c>
      <c r="J11464" s="380" t="s">
        <v>773</v>
      </c>
      <c r="K11464" s="381">
        <v>0.0</v>
      </c>
      <c r="L11464" s="382">
        <v>1.0</v>
      </c>
    </row>
    <row r="11465">
      <c r="A11465" s="380" t="s">
        <v>12339</v>
      </c>
      <c r="B11465" s="380" t="str">
        <f>IFERROR(__xludf.DUMMYFUNCTION("""COMPUTED_VALUE"""),"Biela Direccion Kemworth 844328-02")</f>
        <v>Biela Direccion Kemworth 844328-02</v>
      </c>
      <c r="C11465" s="380" t="str">
        <f>IFERROR(__xludf.DUMMYFUNCTION("""COMPUTED_VALUE"""),"70006905")</f>
        <v>70006905</v>
      </c>
      <c r="D11465" s="380" t="s">
        <v>767</v>
      </c>
      <c r="E11465" s="380" t="s">
        <v>786</v>
      </c>
      <c r="F11465" s="380" t="s">
        <v>1020</v>
      </c>
      <c r="G11465" s="380" t="s">
        <v>1267</v>
      </c>
      <c r="H11465" s="380" t="s">
        <v>771</v>
      </c>
      <c r="I11465" s="380" t="s">
        <v>788</v>
      </c>
      <c r="J11465" s="380" t="s">
        <v>773</v>
      </c>
      <c r="K11465" s="381">
        <v>0.0</v>
      </c>
      <c r="L11465" s="382">
        <v>1.0</v>
      </c>
    </row>
    <row r="11466">
      <c r="A11466" s="380" t="s">
        <v>12340</v>
      </c>
      <c r="B11466" s="380" t="str">
        <f>IFERROR(__xludf.DUMMYFUNCTION("""COMPUTED_VALUE"""),"Oring Tapa Frontal Repart Nhr 8941097070")</f>
        <v>Oring Tapa Frontal Repart Nhr 8941097070</v>
      </c>
      <c r="C11466" s="380" t="str">
        <f>IFERROR(__xludf.DUMMYFUNCTION("""COMPUTED_VALUE"""),"70006906")</f>
        <v>70006906</v>
      </c>
      <c r="D11466" s="380" t="s">
        <v>767</v>
      </c>
      <c r="E11466" s="380" t="s">
        <v>786</v>
      </c>
      <c r="F11466" s="380" t="s">
        <v>787</v>
      </c>
      <c r="G11466" s="380" t="s">
        <v>1267</v>
      </c>
      <c r="H11466" s="380" t="s">
        <v>771</v>
      </c>
      <c r="I11466" s="380" t="s">
        <v>788</v>
      </c>
      <c r="J11466" s="380" t="s">
        <v>773</v>
      </c>
      <c r="K11466" s="381">
        <v>0.0</v>
      </c>
      <c r="L11466" s="382">
        <v>1.0</v>
      </c>
    </row>
    <row r="11467">
      <c r="A11467" s="380" t="s">
        <v>12341</v>
      </c>
      <c r="B11467" s="380" t="str">
        <f>IFERROR(__xludf.DUMMYFUNCTION("""COMPUTED_VALUE"""),"Panel Casco Tras Cabina Eagle 3540098c2")</f>
        <v>Panel Casco Tras Cabina Eagle 3540098c2</v>
      </c>
      <c r="C11467" s="380" t="str">
        <f>IFERROR(__xludf.DUMMYFUNCTION("""COMPUTED_VALUE"""),"70006907")</f>
        <v>70006907</v>
      </c>
      <c r="D11467" s="380" t="s">
        <v>767</v>
      </c>
      <c r="E11467" s="380" t="s">
        <v>786</v>
      </c>
      <c r="F11467" s="380" t="s">
        <v>792</v>
      </c>
      <c r="G11467" s="380" t="s">
        <v>1267</v>
      </c>
      <c r="H11467" s="380" t="s">
        <v>771</v>
      </c>
      <c r="I11467" s="380" t="s">
        <v>788</v>
      </c>
      <c r="J11467" s="380" t="s">
        <v>773</v>
      </c>
      <c r="K11467" s="381">
        <v>0.0</v>
      </c>
      <c r="L11467" s="382">
        <v>1.0</v>
      </c>
    </row>
    <row r="11468">
      <c r="A11468" s="380" t="s">
        <v>12342</v>
      </c>
      <c r="B11468" s="380" t="str">
        <f>IFERROR(__xludf.DUMMYFUNCTION("""COMPUTED_VALUE"""),"Espaldar Cabina Eagle 3536506c93")</f>
        <v>Espaldar Cabina Eagle 3536506c93</v>
      </c>
      <c r="C11468" s="380" t="str">
        <f>IFERROR(__xludf.DUMMYFUNCTION("""COMPUTED_VALUE"""),"70006908")</f>
        <v>70006908</v>
      </c>
      <c r="D11468" s="380" t="s">
        <v>767</v>
      </c>
      <c r="E11468" s="380" t="s">
        <v>786</v>
      </c>
      <c r="F11468" s="380" t="s">
        <v>792</v>
      </c>
      <c r="G11468" s="380" t="s">
        <v>1267</v>
      </c>
      <c r="H11468" s="380" t="s">
        <v>771</v>
      </c>
      <c r="I11468" s="380" t="s">
        <v>788</v>
      </c>
      <c r="J11468" s="380" t="s">
        <v>773</v>
      </c>
      <c r="K11468" s="381">
        <v>0.0</v>
      </c>
      <c r="L11468" s="382">
        <v>1.0</v>
      </c>
    </row>
    <row r="11469">
      <c r="A11469" s="380" t="s">
        <v>12343</v>
      </c>
      <c r="B11469" s="380" t="str">
        <f>IFERROR(__xludf.DUMMYFUNCTION("""COMPUTED_VALUE"""),"Empaque Tapa Valvulas Nhr 8973494161")</f>
        <v>Empaque Tapa Valvulas Nhr 8973494161</v>
      </c>
      <c r="C11469" s="380" t="str">
        <f>IFERROR(__xludf.DUMMYFUNCTION("""COMPUTED_VALUE"""),"70006909")</f>
        <v>70006909</v>
      </c>
      <c r="D11469" s="380" t="s">
        <v>767</v>
      </c>
      <c r="E11469" s="380" t="s">
        <v>786</v>
      </c>
      <c r="F11469" s="380" t="s">
        <v>787</v>
      </c>
      <c r="G11469" s="380" t="s">
        <v>1267</v>
      </c>
      <c r="H11469" s="380" t="s">
        <v>771</v>
      </c>
      <c r="I11469" s="380" t="s">
        <v>788</v>
      </c>
      <c r="J11469" s="380" t="s">
        <v>773</v>
      </c>
      <c r="K11469" s="381">
        <v>0.0</v>
      </c>
      <c r="L11469" s="382">
        <v>1.0</v>
      </c>
    </row>
    <row r="11470">
      <c r="A11470" s="380" t="s">
        <v>12344</v>
      </c>
      <c r="B11470" s="380" t="str">
        <f>IFERROR(__xludf.DUMMYFUNCTION("""COMPUTED_VALUE"""),"Empaque Culata Nhr Nkr 2010 8973503190")</f>
        <v>Empaque Culata Nhr Nkr 2010 8973503190</v>
      </c>
      <c r="C11470" s="380" t="str">
        <f>IFERROR(__xludf.DUMMYFUNCTION("""COMPUTED_VALUE"""),"70006910")</f>
        <v>70006910</v>
      </c>
      <c r="D11470" s="380" t="s">
        <v>767</v>
      </c>
      <c r="E11470" s="380" t="s">
        <v>786</v>
      </c>
      <c r="F11470" s="380" t="s">
        <v>787</v>
      </c>
      <c r="G11470" s="380" t="s">
        <v>1267</v>
      </c>
      <c r="H11470" s="380" t="s">
        <v>771</v>
      </c>
      <c r="I11470" s="380" t="s">
        <v>788</v>
      </c>
      <c r="J11470" s="380" t="s">
        <v>773</v>
      </c>
      <c r="K11470" s="381">
        <v>0.0</v>
      </c>
      <c r="L11470" s="382">
        <v>1.0</v>
      </c>
    </row>
    <row r="11471">
      <c r="A11471" s="380" t="s">
        <v>12345</v>
      </c>
      <c r="B11471" s="380" t="str">
        <f>IFERROR(__xludf.DUMMYFUNCTION("""COMPUTED_VALUE"""),"Empaque Multiple Escape Nhr 8973503170")</f>
        <v>Empaque Multiple Escape Nhr 8973503170</v>
      </c>
      <c r="C11471" s="380" t="str">
        <f>IFERROR(__xludf.DUMMYFUNCTION("""COMPUTED_VALUE"""),"70006911")</f>
        <v>70006911</v>
      </c>
      <c r="D11471" s="380" t="s">
        <v>767</v>
      </c>
      <c r="E11471" s="380" t="s">
        <v>786</v>
      </c>
      <c r="F11471" s="380" t="s">
        <v>787</v>
      </c>
      <c r="G11471" s="380" t="s">
        <v>1267</v>
      </c>
      <c r="H11471" s="380" t="s">
        <v>771</v>
      </c>
      <c r="I11471" s="380" t="s">
        <v>788</v>
      </c>
      <c r="J11471" s="380" t="s">
        <v>773</v>
      </c>
      <c r="K11471" s="381">
        <v>0.0</v>
      </c>
      <c r="L11471" s="382">
        <v>1.0</v>
      </c>
    </row>
    <row r="11472">
      <c r="A11472" s="380" t="s">
        <v>12346</v>
      </c>
      <c r="B11472" s="380" t="str">
        <f>IFERROR(__xludf.DUMMYFUNCTION("""COMPUTED_VALUE"""),"Corneta Kenworth Tn M/93 2000grv")</f>
        <v>Corneta Kenworth Tn M/93 2000grv</v>
      </c>
      <c r="C11472" s="380" t="str">
        <f>IFERROR(__xludf.DUMMYFUNCTION("""COMPUTED_VALUE"""),"70006912")</f>
        <v>70006912</v>
      </c>
      <c r="D11472" s="380" t="s">
        <v>767</v>
      </c>
      <c r="E11472" s="380" t="s">
        <v>786</v>
      </c>
      <c r="F11472" s="380" t="s">
        <v>792</v>
      </c>
      <c r="G11472" s="380" t="s">
        <v>1267</v>
      </c>
      <c r="H11472" s="380" t="s">
        <v>771</v>
      </c>
      <c r="I11472" s="380" t="s">
        <v>788</v>
      </c>
      <c r="J11472" s="380" t="s">
        <v>773</v>
      </c>
      <c r="K11472" s="381">
        <v>0.0</v>
      </c>
      <c r="L11472" s="382">
        <v>1.0</v>
      </c>
    </row>
    <row r="11473">
      <c r="A11473" s="380" t="s">
        <v>12347</v>
      </c>
      <c r="B11473" s="380" t="str">
        <f>IFERROR(__xludf.DUMMYFUNCTION("""COMPUTED_VALUE"""),"Empaque Deposito Hidraulico Nitrilo")</f>
        <v>Empaque Deposito Hidraulico Nitrilo</v>
      </c>
      <c r="C11473" s="380" t="str">
        <f>IFERROR(__xludf.DUMMYFUNCTION("""COMPUTED_VALUE"""),"70006913")</f>
        <v>70006913</v>
      </c>
      <c r="D11473" s="380" t="s">
        <v>767</v>
      </c>
      <c r="E11473" s="380" t="s">
        <v>786</v>
      </c>
      <c r="F11473" s="380" t="s">
        <v>1020</v>
      </c>
      <c r="G11473" s="380" t="s">
        <v>1267</v>
      </c>
      <c r="H11473" s="380" t="s">
        <v>771</v>
      </c>
      <c r="I11473" s="380" t="s">
        <v>788</v>
      </c>
      <c r="J11473" s="380" t="s">
        <v>773</v>
      </c>
      <c r="K11473" s="381">
        <v>0.0</v>
      </c>
      <c r="L11473" s="382">
        <v>1.0</v>
      </c>
    </row>
    <row r="11474">
      <c r="A11474" s="380" t="s">
        <v>12348</v>
      </c>
      <c r="B11474" s="380" t="str">
        <f>IFERROR(__xludf.DUMMYFUNCTION("""COMPUTED_VALUE"""),"Guaya TANQ AIR Hi Internatio Intta21771")</f>
        <v>Guaya TANQ AIR Hi Internatio Intta21771</v>
      </c>
      <c r="C11474" s="380" t="str">
        <f>IFERROR(__xludf.DUMMYFUNCTION("""COMPUTED_VALUE"""),"70006914")</f>
        <v>70006914</v>
      </c>
      <c r="D11474" s="380" t="s">
        <v>767</v>
      </c>
      <c r="E11474" s="380" t="s">
        <v>786</v>
      </c>
      <c r="F11474" s="380" t="s">
        <v>792</v>
      </c>
      <c r="G11474" s="380" t="s">
        <v>1267</v>
      </c>
      <c r="H11474" s="380" t="s">
        <v>771</v>
      </c>
      <c r="I11474" s="380" t="s">
        <v>788</v>
      </c>
      <c r="J11474" s="380" t="s">
        <v>773</v>
      </c>
      <c r="K11474" s="381">
        <v>0.0</v>
      </c>
      <c r="L11474" s="382">
        <v>1.0</v>
      </c>
    </row>
    <row r="11475">
      <c r="A11475" s="380" t="s">
        <v>12349</v>
      </c>
      <c r="B11475" s="380" t="str">
        <f>IFERROR(__xludf.DUMMYFUNCTION("""COMPUTED_VALUE"""),"Guardapolvo Palanca Cambios K 3001004849")</f>
        <v>Guardapolvo Palanca Cambios K 3001004849</v>
      </c>
      <c r="C11475" s="380" t="str">
        <f>IFERROR(__xludf.DUMMYFUNCTION("""COMPUTED_VALUE"""),"70006915")</f>
        <v>70006915</v>
      </c>
      <c r="D11475" s="380" t="s">
        <v>767</v>
      </c>
      <c r="E11475" s="380" t="s">
        <v>786</v>
      </c>
      <c r="F11475" s="380" t="s">
        <v>928</v>
      </c>
      <c r="G11475" s="380" t="s">
        <v>1267</v>
      </c>
      <c r="H11475" s="380" t="s">
        <v>771</v>
      </c>
      <c r="I11475" s="380" t="s">
        <v>788</v>
      </c>
      <c r="J11475" s="380" t="s">
        <v>773</v>
      </c>
      <c r="K11475" s="381">
        <v>0.0</v>
      </c>
      <c r="L11475" s="382">
        <v>1.0</v>
      </c>
    </row>
    <row r="11476">
      <c r="A11476" s="380" t="s">
        <v>12350</v>
      </c>
      <c r="B11476" s="380" t="str">
        <f>IFERROR(__xludf.DUMMYFUNCTION("""COMPUTED_VALUE"""),"Parabrisas Laminado Delta 78610233")</f>
        <v>Parabrisas Laminado Delta 78610233</v>
      </c>
      <c r="C11476" s="380" t="str">
        <f>IFERROR(__xludf.DUMMYFUNCTION("""COMPUTED_VALUE"""),"70006916")</f>
        <v>70006916</v>
      </c>
      <c r="D11476" s="380" t="s">
        <v>767</v>
      </c>
      <c r="E11476" s="380" t="s">
        <v>786</v>
      </c>
      <c r="F11476" s="380" t="s">
        <v>792</v>
      </c>
      <c r="G11476" s="380" t="s">
        <v>1267</v>
      </c>
      <c r="H11476" s="380" t="s">
        <v>771</v>
      </c>
      <c r="I11476" s="380" t="s">
        <v>788</v>
      </c>
      <c r="J11476" s="380" t="s">
        <v>773</v>
      </c>
      <c r="K11476" s="381">
        <v>0.0</v>
      </c>
      <c r="L11476" s="382">
        <v>1.0</v>
      </c>
    </row>
    <row r="11477">
      <c r="A11477" s="380" t="s">
        <v>12351</v>
      </c>
      <c r="B11477" s="380" t="str">
        <f>IFERROR(__xludf.DUMMYFUNCTION("""COMPUTED_VALUE"""),"Eje Columna Infererior Dccion 8970946251")</f>
        <v>Eje Columna Infererior Dccion 8970946251</v>
      </c>
      <c r="C11477" s="380" t="str">
        <f>IFERROR(__xludf.DUMMYFUNCTION("""COMPUTED_VALUE"""),"70006917")</f>
        <v>70006917</v>
      </c>
      <c r="D11477" s="380" t="s">
        <v>767</v>
      </c>
      <c r="E11477" s="380" t="s">
        <v>786</v>
      </c>
      <c r="F11477" s="380" t="s">
        <v>1020</v>
      </c>
      <c r="G11477" s="380" t="s">
        <v>1267</v>
      </c>
      <c r="H11477" s="380" t="s">
        <v>771</v>
      </c>
      <c r="I11477" s="380" t="s">
        <v>788</v>
      </c>
      <c r="J11477" s="380" t="s">
        <v>773</v>
      </c>
      <c r="K11477" s="381">
        <v>0.0</v>
      </c>
      <c r="L11477" s="382">
        <v>1.0</v>
      </c>
    </row>
    <row r="11478">
      <c r="A11478" s="380" t="s">
        <v>12352</v>
      </c>
      <c r="B11478" s="380" t="str">
        <f>IFERROR(__xludf.DUMMYFUNCTION("""COMPUTED_VALUE"""),"Empaque Eje Tras SB Int F 900")</f>
        <v>Empaque Eje Tras SB Int F 900</v>
      </c>
      <c r="C11478" s="380" t="str">
        <f>IFERROR(__xludf.DUMMYFUNCTION("""COMPUTED_VALUE"""),"70006918")</f>
        <v>70006918</v>
      </c>
      <c r="D11478" s="380" t="s">
        <v>767</v>
      </c>
      <c r="E11478" s="380" t="s">
        <v>786</v>
      </c>
      <c r="F11478" s="380" t="s">
        <v>1039</v>
      </c>
      <c r="G11478" s="380" t="s">
        <v>1267</v>
      </c>
      <c r="H11478" s="380" t="s">
        <v>771</v>
      </c>
      <c r="I11478" s="380" t="s">
        <v>788</v>
      </c>
      <c r="J11478" s="380" t="s">
        <v>773</v>
      </c>
      <c r="K11478" s="381">
        <v>4718.0</v>
      </c>
      <c r="L11478" s="382">
        <v>1.0</v>
      </c>
    </row>
    <row r="11479">
      <c r="A11479" s="380" t="s">
        <v>12353</v>
      </c>
      <c r="B11479" s="380" t="str">
        <f>IFERROR(__xludf.DUMMYFUNCTION("""COMPUTED_VALUE"""),"Kit Reparacion MOT ARR Hi4300 Zln120455")</f>
        <v>Kit Reparacion MOT ARR Hi4300 Zln120455</v>
      </c>
      <c r="C11479" s="380" t="str">
        <f>IFERROR(__xludf.DUMMYFUNCTION("""COMPUTED_VALUE"""),"70006919")</f>
        <v>70006919</v>
      </c>
      <c r="D11479" s="380" t="s">
        <v>767</v>
      </c>
      <c r="E11479" s="380" t="s">
        <v>786</v>
      </c>
      <c r="F11479" s="380" t="s">
        <v>787</v>
      </c>
      <c r="G11479" s="380" t="s">
        <v>1267</v>
      </c>
      <c r="H11479" s="380" t="s">
        <v>771</v>
      </c>
      <c r="I11479" s="380" t="s">
        <v>788</v>
      </c>
      <c r="J11479" s="380" t="s">
        <v>773</v>
      </c>
      <c r="K11479" s="381">
        <v>0.0</v>
      </c>
      <c r="L11479" s="382">
        <v>1.0</v>
      </c>
    </row>
    <row r="11480">
      <c r="A11480" s="380" t="s">
        <v>12354</v>
      </c>
      <c r="B11480" s="380" t="str">
        <f>IFERROR(__xludf.DUMMYFUNCTION("""COMPUTED_VALUE"""),"Campana Trasera Mb628 Nhr")</f>
        <v>Campana Trasera Mb628 Nhr</v>
      </c>
      <c r="C11480" s="380" t="str">
        <f>IFERROR(__xludf.DUMMYFUNCTION("""COMPUTED_VALUE"""),"70006920")</f>
        <v>70006920</v>
      </c>
      <c r="D11480" s="380" t="s">
        <v>767</v>
      </c>
      <c r="E11480" s="380" t="s">
        <v>786</v>
      </c>
      <c r="F11480" s="380" t="s">
        <v>1017</v>
      </c>
      <c r="G11480" s="380" t="s">
        <v>1267</v>
      </c>
      <c r="H11480" s="380" t="s">
        <v>771</v>
      </c>
      <c r="I11480" s="380" t="s">
        <v>788</v>
      </c>
      <c r="J11480" s="380" t="s">
        <v>773</v>
      </c>
      <c r="K11480" s="381">
        <v>0.0</v>
      </c>
      <c r="L11480" s="382">
        <v>1.0</v>
      </c>
    </row>
    <row r="11481">
      <c r="A11481" s="380" t="s">
        <v>12355</v>
      </c>
      <c r="B11481" s="380" t="str">
        <f>IFERROR(__xludf.DUMMYFUNCTION("""COMPUTED_VALUE"""),"Niple Galvanizado 3/4 X 6")</f>
        <v>Niple Galvanizado 3/4 X 6</v>
      </c>
      <c r="C11481" s="380" t="str">
        <f>IFERROR(__xludf.DUMMYFUNCTION("""COMPUTED_VALUE"""),"70006921")</f>
        <v>70006921</v>
      </c>
      <c r="D11481" s="380" t="s">
        <v>767</v>
      </c>
      <c r="E11481" s="380" t="s">
        <v>786</v>
      </c>
      <c r="F11481" s="380" t="s">
        <v>1031</v>
      </c>
      <c r="G11481" s="380" t="s">
        <v>1267</v>
      </c>
      <c r="H11481" s="380" t="s">
        <v>771</v>
      </c>
      <c r="I11481" s="380" t="s">
        <v>788</v>
      </c>
      <c r="J11481" s="380" t="s">
        <v>773</v>
      </c>
      <c r="K11481" s="381">
        <v>0.0</v>
      </c>
      <c r="L11481" s="382">
        <v>1.0</v>
      </c>
    </row>
    <row r="11482">
      <c r="A11482" s="380" t="s">
        <v>12356</v>
      </c>
      <c r="B11482" s="380" t="str">
        <f>IFERROR(__xludf.DUMMYFUNCTION("""COMPUTED_VALUE"""),"Yoke TRAS Transm DEL 6"" 646371-1r")</f>
        <v>Yoke TRAS Transm DEL 6" 646371-1r</v>
      </c>
      <c r="C11482" s="380" t="str">
        <f>IFERROR(__xludf.DUMMYFUNCTION("""COMPUTED_VALUE"""),"70006922")</f>
        <v>70006922</v>
      </c>
      <c r="D11482" s="380" t="s">
        <v>767</v>
      </c>
      <c r="E11482" s="380" t="s">
        <v>786</v>
      </c>
      <c r="F11482" s="380" t="s">
        <v>5683</v>
      </c>
      <c r="G11482" s="380" t="s">
        <v>1267</v>
      </c>
      <c r="H11482" s="380" t="s">
        <v>771</v>
      </c>
      <c r="I11482" s="380" t="s">
        <v>788</v>
      </c>
      <c r="J11482" s="380" t="s">
        <v>773</v>
      </c>
      <c r="K11482" s="381">
        <v>0.0</v>
      </c>
      <c r="L11482" s="382">
        <v>1.0</v>
      </c>
    </row>
    <row r="11483">
      <c r="A11483" s="380" t="s">
        <v>12357</v>
      </c>
      <c r="B11483" s="380" t="str">
        <f>IFERROR(__xludf.DUMMYFUNCTION("""COMPUTED_VALUE"""),"Talco Direc Del Der Nhr-Npr 012131518r")</f>
        <v>Talco Direc Del Der Nhr-Npr 012131518r</v>
      </c>
      <c r="C11483" s="380" t="str">
        <f>IFERROR(__xludf.DUMMYFUNCTION("""COMPUTED_VALUE"""),"70006923")</f>
        <v>70006923</v>
      </c>
      <c r="D11483" s="380" t="s">
        <v>767</v>
      </c>
      <c r="E11483" s="380" t="s">
        <v>786</v>
      </c>
      <c r="F11483" s="380" t="s">
        <v>998</v>
      </c>
      <c r="G11483" s="380" t="s">
        <v>1267</v>
      </c>
      <c r="H11483" s="380" t="s">
        <v>771</v>
      </c>
      <c r="I11483" s="380" t="s">
        <v>788</v>
      </c>
      <c r="J11483" s="380" t="s">
        <v>773</v>
      </c>
      <c r="K11483" s="381">
        <v>0.0</v>
      </c>
      <c r="L11483" s="382">
        <v>1.0</v>
      </c>
    </row>
    <row r="11484">
      <c r="A11484" s="380" t="s">
        <v>12358</v>
      </c>
      <c r="B11484" s="380" t="str">
        <f>IFERROR(__xludf.DUMMYFUNCTION("""COMPUTED_VALUE"""),"Tapa TANQ Recuperacion Nkr II 8972177990")</f>
        <v>Tapa TANQ Recuperacion Nkr II 8972177990</v>
      </c>
      <c r="C11484" s="380" t="str">
        <f>IFERROR(__xludf.DUMMYFUNCTION("""COMPUTED_VALUE"""),"70006924")</f>
        <v>70006924</v>
      </c>
      <c r="D11484" s="380" t="s">
        <v>767</v>
      </c>
      <c r="E11484" s="380" t="s">
        <v>786</v>
      </c>
      <c r="F11484" s="380" t="s">
        <v>787</v>
      </c>
      <c r="G11484" s="380" t="s">
        <v>1267</v>
      </c>
      <c r="H11484" s="380" t="s">
        <v>771</v>
      </c>
      <c r="I11484" s="380" t="s">
        <v>788</v>
      </c>
      <c r="J11484" s="380" t="s">
        <v>773</v>
      </c>
      <c r="K11484" s="381">
        <v>0.0</v>
      </c>
      <c r="L11484" s="382">
        <v>1.0</v>
      </c>
    </row>
    <row r="11485">
      <c r="A11485" s="380" t="s">
        <v>12359</v>
      </c>
      <c r="B11485" s="380" t="str">
        <f>IFERROR(__xludf.DUMMYFUNCTION("""COMPUTED_VALUE"""),"Empaque Freno Ahogo Hi 18963")</f>
        <v>Empaque Freno Ahogo Hi 18963</v>
      </c>
      <c r="C11485" s="380" t="str">
        <f>IFERROR(__xludf.DUMMYFUNCTION("""COMPUTED_VALUE"""),"70006925")</f>
        <v>70006925</v>
      </c>
      <c r="D11485" s="380" t="s">
        <v>767</v>
      </c>
      <c r="E11485" s="380" t="s">
        <v>786</v>
      </c>
      <c r="F11485" s="380" t="s">
        <v>1017</v>
      </c>
      <c r="G11485" s="380" t="s">
        <v>1267</v>
      </c>
      <c r="H11485" s="380" t="s">
        <v>771</v>
      </c>
      <c r="I11485" s="380" t="s">
        <v>788</v>
      </c>
      <c r="J11485" s="380" t="s">
        <v>773</v>
      </c>
      <c r="K11485" s="381">
        <v>0.0</v>
      </c>
      <c r="L11485" s="382">
        <v>1.0</v>
      </c>
    </row>
    <row r="11486">
      <c r="A11486" s="380" t="s">
        <v>12360</v>
      </c>
      <c r="B11486" s="380" t="str">
        <f>IFERROR(__xludf.DUMMYFUNCTION("""COMPUTED_VALUE"""),"Banda Tras Del Npr Nueva 8941547730")</f>
        <v>Banda Tras Del Npr Nueva 8941547730</v>
      </c>
      <c r="C11486" s="380" t="str">
        <f>IFERROR(__xludf.DUMMYFUNCTION("""COMPUTED_VALUE"""),"70006926")</f>
        <v>70006926</v>
      </c>
      <c r="D11486" s="380" t="s">
        <v>767</v>
      </c>
      <c r="E11486" s="380" t="s">
        <v>786</v>
      </c>
      <c r="F11486" s="380" t="s">
        <v>1017</v>
      </c>
      <c r="G11486" s="380" t="s">
        <v>1267</v>
      </c>
      <c r="H11486" s="380" t="s">
        <v>771</v>
      </c>
      <c r="I11486" s="380" t="s">
        <v>788</v>
      </c>
      <c r="J11486" s="380" t="s">
        <v>773</v>
      </c>
      <c r="K11486" s="381">
        <v>0.0</v>
      </c>
      <c r="L11486" s="382">
        <v>1.0</v>
      </c>
    </row>
    <row r="11487">
      <c r="A11487" s="380" t="s">
        <v>12361</v>
      </c>
      <c r="B11487" s="380" t="str">
        <f>IFERROR(__xludf.DUMMYFUNCTION("""COMPUTED_VALUE"""),"Empaquetadura Bomba Ppal Eagle 289335")</f>
        <v>Empaquetadura Bomba Ppal Eagle 289335</v>
      </c>
      <c r="C11487" s="380" t="str">
        <f>IFERROR(__xludf.DUMMYFUNCTION("""COMPUTED_VALUE"""),"70006927")</f>
        <v>70006927</v>
      </c>
      <c r="D11487" s="380" t="s">
        <v>767</v>
      </c>
      <c r="E11487" s="380" t="s">
        <v>786</v>
      </c>
      <c r="F11487" s="380" t="s">
        <v>1017</v>
      </c>
      <c r="G11487" s="380" t="s">
        <v>1267</v>
      </c>
      <c r="H11487" s="380" t="s">
        <v>771</v>
      </c>
      <c r="I11487" s="380" t="s">
        <v>788</v>
      </c>
      <c r="J11487" s="380" t="s">
        <v>773</v>
      </c>
      <c r="K11487" s="381">
        <v>294604.0</v>
      </c>
      <c r="L11487" s="382">
        <v>1.0</v>
      </c>
    </row>
    <row r="11488">
      <c r="A11488" s="380" t="s">
        <v>12362</v>
      </c>
      <c r="B11488" s="380" t="str">
        <f>IFERROR(__xludf.DUMMYFUNCTION("""COMPUTED_VALUE"""),"Condensador AIR A/C Isx Hi 94 2591621c91")</f>
        <v>Condensador AIR A/C Isx Hi 94 2591621c91</v>
      </c>
      <c r="C11488" s="380" t="str">
        <f>IFERROR(__xludf.DUMMYFUNCTION("""COMPUTED_VALUE"""),"70006928")</f>
        <v>70006928</v>
      </c>
      <c r="D11488" s="380" t="s">
        <v>767</v>
      </c>
      <c r="E11488" s="380" t="s">
        <v>786</v>
      </c>
      <c r="F11488" s="380" t="s">
        <v>1031</v>
      </c>
      <c r="G11488" s="380" t="s">
        <v>1267</v>
      </c>
      <c r="H11488" s="380" t="s">
        <v>771</v>
      </c>
      <c r="I11488" s="380" t="s">
        <v>788</v>
      </c>
      <c r="J11488" s="380" t="s">
        <v>773</v>
      </c>
      <c r="K11488" s="381">
        <v>734540.0</v>
      </c>
      <c r="L11488" s="382">
        <v>1.0</v>
      </c>
    </row>
    <row r="11489">
      <c r="A11489" s="380" t="s">
        <v>12363</v>
      </c>
      <c r="B11489" s="380" t="str">
        <f>IFERROR(__xludf.DUMMYFUNCTION("""COMPUTED_VALUE"""),"Hoja Resorte Tras KWh 759007/8")</f>
        <v>Hoja Resorte Tras KWh 759007/8</v>
      </c>
      <c r="C11489" s="380" t="str">
        <f>IFERROR(__xludf.DUMMYFUNCTION("""COMPUTED_VALUE"""),"70006929")</f>
        <v>70006929</v>
      </c>
      <c r="D11489" s="380" t="s">
        <v>767</v>
      </c>
      <c r="E11489" s="380" t="s">
        <v>786</v>
      </c>
      <c r="F11489" s="380" t="s">
        <v>1039</v>
      </c>
      <c r="G11489" s="380" t="s">
        <v>1267</v>
      </c>
      <c r="H11489" s="380" t="s">
        <v>771</v>
      </c>
      <c r="I11489" s="380" t="s">
        <v>788</v>
      </c>
      <c r="J11489" s="380" t="s">
        <v>773</v>
      </c>
      <c r="K11489" s="381">
        <v>0.0</v>
      </c>
      <c r="L11489" s="382">
        <v>1.0</v>
      </c>
    </row>
    <row r="11490">
      <c r="A11490" s="380" t="s">
        <v>12364</v>
      </c>
      <c r="B11490" s="380" t="str">
        <f>IFERROR(__xludf.DUMMYFUNCTION("""COMPUTED_VALUE"""),"Kit Splinder Jac 1042 Loc0561")</f>
        <v>Kit Splinder Jac 1042 Loc0561</v>
      </c>
      <c r="C11490" s="380" t="str">
        <f>IFERROR(__xludf.DUMMYFUNCTION("""COMPUTED_VALUE"""),"70006930")</f>
        <v>70006930</v>
      </c>
      <c r="D11490" s="380" t="s">
        <v>767</v>
      </c>
      <c r="E11490" s="380" t="s">
        <v>786</v>
      </c>
      <c r="F11490" s="380" t="s">
        <v>1039</v>
      </c>
      <c r="G11490" s="380" t="s">
        <v>1267</v>
      </c>
      <c r="H11490" s="380" t="s">
        <v>771</v>
      </c>
      <c r="I11490" s="380" t="s">
        <v>788</v>
      </c>
      <c r="J11490" s="380" t="s">
        <v>773</v>
      </c>
      <c r="K11490" s="381">
        <v>0.0</v>
      </c>
      <c r="L11490" s="382">
        <v>1.0</v>
      </c>
    </row>
    <row r="11491">
      <c r="A11491" s="380" t="s">
        <v>12365</v>
      </c>
      <c r="B11491" s="380" t="str">
        <f>IFERROR(__xludf.DUMMYFUNCTION("""COMPUTED_VALUE"""),"Abrazadera Cremallera 12")</f>
        <v>Abrazadera Cremallera 12</v>
      </c>
      <c r="C11491" s="380" t="str">
        <f>IFERROR(__xludf.DUMMYFUNCTION("""COMPUTED_VALUE"""),"70006931")</f>
        <v>70006931</v>
      </c>
      <c r="D11491" s="380" t="s">
        <v>767</v>
      </c>
      <c r="E11491" s="380" t="s">
        <v>786</v>
      </c>
      <c r="F11491" s="380" t="s">
        <v>989</v>
      </c>
      <c r="G11491" s="380" t="s">
        <v>1267</v>
      </c>
      <c r="H11491" s="380" t="s">
        <v>771</v>
      </c>
      <c r="I11491" s="380" t="s">
        <v>788</v>
      </c>
      <c r="J11491" s="380" t="s">
        <v>773</v>
      </c>
      <c r="K11491" s="381">
        <v>2678.0</v>
      </c>
      <c r="L11491" s="382">
        <v>1.0</v>
      </c>
    </row>
    <row r="11492">
      <c r="A11492" s="380" t="s">
        <v>12366</v>
      </c>
      <c r="B11492" s="380" t="str">
        <f>IFERROR(__xludf.DUMMYFUNCTION("""COMPUTED_VALUE"""),"Filtro Magnetico Motor Ken Isx 3090769")</f>
        <v>Filtro Magnetico Motor Ken Isx 3090769</v>
      </c>
      <c r="C11492" s="380" t="str">
        <f>IFERROR(__xludf.DUMMYFUNCTION("""COMPUTED_VALUE"""),"70006932")</f>
        <v>70006932</v>
      </c>
      <c r="D11492" s="380" t="s">
        <v>767</v>
      </c>
      <c r="E11492" s="380" t="s">
        <v>786</v>
      </c>
      <c r="F11492" s="380" t="s">
        <v>5855</v>
      </c>
      <c r="G11492" s="380" t="s">
        <v>1267</v>
      </c>
      <c r="H11492" s="380" t="s">
        <v>771</v>
      </c>
      <c r="I11492" s="380" t="s">
        <v>788</v>
      </c>
      <c r="J11492" s="380" t="s">
        <v>773</v>
      </c>
      <c r="K11492" s="381">
        <v>0.0</v>
      </c>
      <c r="L11492" s="382">
        <v>1.0</v>
      </c>
    </row>
    <row r="11493">
      <c r="A11493" s="380" t="s">
        <v>12367</v>
      </c>
      <c r="B11493" s="380" t="str">
        <f>IFERROR(__xludf.DUMMYFUNCTION("""COMPUTED_VALUE"""),"Cilindro Freno Del Izq Npr 8971398190")</f>
        <v>Cilindro Freno Del Izq Npr 8971398190</v>
      </c>
      <c r="C11493" s="380" t="str">
        <f>IFERROR(__xludf.DUMMYFUNCTION("""COMPUTED_VALUE"""),"70006933")</f>
        <v>70006933</v>
      </c>
      <c r="D11493" s="380" t="s">
        <v>767</v>
      </c>
      <c r="E11493" s="380" t="s">
        <v>786</v>
      </c>
      <c r="F11493" s="380" t="s">
        <v>1017</v>
      </c>
      <c r="G11493" s="380" t="s">
        <v>1267</v>
      </c>
      <c r="H11493" s="380" t="s">
        <v>771</v>
      </c>
      <c r="I11493" s="380" t="s">
        <v>788</v>
      </c>
      <c r="J11493" s="380" t="s">
        <v>773</v>
      </c>
      <c r="K11493" s="381">
        <v>0.0</v>
      </c>
      <c r="L11493" s="382">
        <v>1.0</v>
      </c>
    </row>
    <row r="11494">
      <c r="A11494" s="380" t="s">
        <v>12368</v>
      </c>
      <c r="B11494" s="380" t="str">
        <f>IFERROR(__xludf.DUMMYFUNCTION("""COMPUTED_VALUE"""),"Guaya Acelerador T Delta 7815087383")</f>
        <v>Guaya Acelerador T Delta 7815087383</v>
      </c>
      <c r="C11494" s="380" t="str">
        <f>IFERROR(__xludf.DUMMYFUNCTION("""COMPUTED_VALUE"""),"70006934")</f>
        <v>70006934</v>
      </c>
      <c r="D11494" s="380" t="s">
        <v>767</v>
      </c>
      <c r="E11494" s="380" t="s">
        <v>786</v>
      </c>
      <c r="F11494" s="380" t="s">
        <v>787</v>
      </c>
      <c r="G11494" s="380" t="s">
        <v>1267</v>
      </c>
      <c r="H11494" s="380" t="s">
        <v>771</v>
      </c>
      <c r="I11494" s="380" t="s">
        <v>788</v>
      </c>
      <c r="J11494" s="380" t="s">
        <v>773</v>
      </c>
      <c r="K11494" s="381">
        <v>72300.0</v>
      </c>
      <c r="L11494" s="382">
        <v>1.0</v>
      </c>
    </row>
    <row r="11495">
      <c r="A11495" s="380" t="s">
        <v>12369</v>
      </c>
      <c r="B11495" s="380" t="str">
        <f>IFERROR(__xludf.DUMMYFUNCTION("""COMPUTED_VALUE"""),"Cilindro Freno Tras Der Npr 8973322260")</f>
        <v>Cilindro Freno Tras Der Npr 8973322260</v>
      </c>
      <c r="C11495" s="380" t="str">
        <f>IFERROR(__xludf.DUMMYFUNCTION("""COMPUTED_VALUE"""),"70006935")</f>
        <v>70006935</v>
      </c>
      <c r="D11495" s="380" t="s">
        <v>767</v>
      </c>
      <c r="E11495" s="380" t="s">
        <v>786</v>
      </c>
      <c r="F11495" s="380" t="s">
        <v>1017</v>
      </c>
      <c r="G11495" s="380" t="s">
        <v>1267</v>
      </c>
      <c r="H11495" s="380" t="s">
        <v>771</v>
      </c>
      <c r="I11495" s="380" t="s">
        <v>788</v>
      </c>
      <c r="J11495" s="380" t="s">
        <v>773</v>
      </c>
      <c r="K11495" s="381">
        <v>0.0</v>
      </c>
      <c r="L11495" s="382">
        <v>1.0</v>
      </c>
    </row>
    <row r="11496">
      <c r="A11496" s="380" t="s">
        <v>12370</v>
      </c>
      <c r="B11496" s="380" t="str">
        <f>IFERROR(__xludf.DUMMYFUNCTION("""COMPUTED_VALUE"""),"Guaya Tanque Aire Hi 4300 455538c1")</f>
        <v>Guaya Tanque Aire Hi 4300 455538c1</v>
      </c>
      <c r="C11496" s="380" t="str">
        <f>IFERROR(__xludf.DUMMYFUNCTION("""COMPUTED_VALUE"""),"70006936")</f>
        <v>70006936</v>
      </c>
      <c r="D11496" s="380" t="s">
        <v>767</v>
      </c>
      <c r="E11496" s="380" t="s">
        <v>786</v>
      </c>
      <c r="F11496" s="380" t="s">
        <v>792</v>
      </c>
      <c r="G11496" s="380" t="s">
        <v>1267</v>
      </c>
      <c r="H11496" s="380" t="s">
        <v>771</v>
      </c>
      <c r="I11496" s="380" t="s">
        <v>788</v>
      </c>
      <c r="J11496" s="380" t="s">
        <v>773</v>
      </c>
      <c r="K11496" s="381">
        <v>0.0</v>
      </c>
      <c r="L11496" s="382">
        <v>1.0</v>
      </c>
    </row>
    <row r="11497">
      <c r="A11497" s="380" t="s">
        <v>12371</v>
      </c>
      <c r="B11497" s="380" t="str">
        <f>IFERROR(__xludf.DUMMYFUNCTION("""COMPUTED_VALUE"""),"Piñon 2da Del Corredizo 57 Dient 4303428")</f>
        <v>Piñon 2da Del Corredizo 57 Dient 4303428</v>
      </c>
      <c r="C11497" s="380" t="str">
        <f>IFERROR(__xludf.DUMMYFUNCTION("""COMPUTED_VALUE"""),"70006937")</f>
        <v>70006937</v>
      </c>
      <c r="D11497" s="380" t="s">
        <v>767</v>
      </c>
      <c r="E11497" s="380" t="s">
        <v>786</v>
      </c>
      <c r="F11497" s="380" t="s">
        <v>928</v>
      </c>
      <c r="G11497" s="380" t="s">
        <v>1267</v>
      </c>
      <c r="H11497" s="380" t="s">
        <v>771</v>
      </c>
      <c r="I11497" s="380" t="s">
        <v>788</v>
      </c>
      <c r="J11497" s="380" t="s">
        <v>773</v>
      </c>
      <c r="K11497" s="381">
        <v>0.0</v>
      </c>
      <c r="L11497" s="382">
        <v>1.0</v>
      </c>
    </row>
    <row r="11498">
      <c r="A11498" s="380" t="s">
        <v>12372</v>
      </c>
      <c r="B11498" s="380" t="str">
        <f>IFERROR(__xludf.DUMMYFUNCTION("""COMPUTED_VALUE"""),"Hoja Resorte Tras Volkswagen 98007/4")</f>
        <v>Hoja Resorte Tras Volkswagen 98007/4</v>
      </c>
      <c r="C11498" s="380" t="str">
        <f>IFERROR(__xludf.DUMMYFUNCTION("""COMPUTED_VALUE"""),"70006938")</f>
        <v>70006938</v>
      </c>
      <c r="D11498" s="380" t="s">
        <v>767</v>
      </c>
      <c r="E11498" s="380" t="s">
        <v>786</v>
      </c>
      <c r="F11498" s="380" t="s">
        <v>1039</v>
      </c>
      <c r="G11498" s="380" t="s">
        <v>1267</v>
      </c>
      <c r="H11498" s="380" t="s">
        <v>771</v>
      </c>
      <c r="I11498" s="380" t="s">
        <v>788</v>
      </c>
      <c r="J11498" s="380" t="s">
        <v>773</v>
      </c>
      <c r="K11498" s="381">
        <v>0.0</v>
      </c>
      <c r="L11498" s="382">
        <v>1.0</v>
      </c>
    </row>
    <row r="11499">
      <c r="A11499" s="380" t="s">
        <v>12373</v>
      </c>
      <c r="B11499" s="380" t="str">
        <f>IFERROR(__xludf.DUMMYFUNCTION("""COMPUTED_VALUE"""),"Switch Luz Cortesia Cabina KWh Ba2860")</f>
        <v>Switch Luz Cortesia Cabina KWh Ba2860</v>
      </c>
      <c r="C11499" s="380" t="str">
        <f>IFERROR(__xludf.DUMMYFUNCTION("""COMPUTED_VALUE"""),"70006939")</f>
        <v>70006939</v>
      </c>
      <c r="D11499" s="380" t="s">
        <v>767</v>
      </c>
      <c r="E11499" s="380" t="s">
        <v>786</v>
      </c>
      <c r="F11499" s="380" t="s">
        <v>998</v>
      </c>
      <c r="G11499" s="380" t="s">
        <v>1267</v>
      </c>
      <c r="H11499" s="380" t="s">
        <v>771</v>
      </c>
      <c r="I11499" s="380" t="s">
        <v>788</v>
      </c>
      <c r="J11499" s="380" t="s">
        <v>773</v>
      </c>
      <c r="K11499" s="381">
        <v>0.0</v>
      </c>
      <c r="L11499" s="382">
        <v>1.0</v>
      </c>
    </row>
    <row r="11500">
      <c r="A11500" s="380" t="s">
        <v>12374</v>
      </c>
      <c r="B11500" s="380" t="str">
        <f>IFERROR(__xludf.DUMMYFUNCTION("""COMPUTED_VALUE"""),"Coraza RAD Isx Hi 9400-2008 2591606c91")</f>
        <v>Coraza RAD Isx Hi 9400-2008 2591606c91</v>
      </c>
      <c r="C11500" s="380" t="str">
        <f>IFERROR(__xludf.DUMMYFUNCTION("""COMPUTED_VALUE"""),"70006940")</f>
        <v>70006940</v>
      </c>
      <c r="D11500" s="380" t="s">
        <v>767</v>
      </c>
      <c r="E11500" s="380" t="s">
        <v>786</v>
      </c>
      <c r="F11500" s="380" t="s">
        <v>787</v>
      </c>
      <c r="G11500" s="380" t="s">
        <v>1267</v>
      </c>
      <c r="H11500" s="380" t="s">
        <v>771</v>
      </c>
      <c r="I11500" s="380" t="s">
        <v>788</v>
      </c>
      <c r="J11500" s="380" t="s">
        <v>773</v>
      </c>
      <c r="K11500" s="381">
        <v>0.0</v>
      </c>
      <c r="L11500" s="382">
        <v>1.0</v>
      </c>
    </row>
    <row r="11501">
      <c r="A11501" s="380" t="s">
        <v>12375</v>
      </c>
      <c r="B11501" s="380" t="str">
        <f>IFERROR(__xludf.DUMMYFUNCTION("""COMPUTED_VALUE"""),"Tubo Freno Tras 1/4 Npr Fabric")</f>
        <v>Tubo Freno Tras 1/4 Npr Fabric</v>
      </c>
      <c r="C11501" s="380" t="str">
        <f>IFERROR(__xludf.DUMMYFUNCTION("""COMPUTED_VALUE"""),"70006941")</f>
        <v>70006941</v>
      </c>
      <c r="D11501" s="380" t="s">
        <v>767</v>
      </c>
      <c r="E11501" s="380" t="s">
        <v>786</v>
      </c>
      <c r="F11501" s="380" t="s">
        <v>1017</v>
      </c>
      <c r="G11501" s="380" t="s">
        <v>1267</v>
      </c>
      <c r="H11501" s="380" t="s">
        <v>771</v>
      </c>
      <c r="I11501" s="380" t="s">
        <v>788</v>
      </c>
      <c r="J11501" s="380" t="s">
        <v>773</v>
      </c>
      <c r="K11501" s="381">
        <v>0.0</v>
      </c>
      <c r="L11501" s="382">
        <v>1.0</v>
      </c>
    </row>
    <row r="11502">
      <c r="A11502" s="380" t="s">
        <v>12376</v>
      </c>
      <c r="B11502" s="380" t="str">
        <f>IFERROR(__xludf.DUMMYFUNCTION("""COMPUTED_VALUE"""),"Kit Bujes Pasador Splinder VW 805709")</f>
        <v>Kit Bujes Pasador Splinder VW 805709</v>
      </c>
      <c r="C11502" s="380" t="str">
        <f>IFERROR(__xludf.DUMMYFUNCTION("""COMPUTED_VALUE"""),"70006942")</f>
        <v>70006942</v>
      </c>
      <c r="D11502" s="380" t="s">
        <v>767</v>
      </c>
      <c r="E11502" s="380" t="s">
        <v>786</v>
      </c>
      <c r="F11502" s="380" t="s">
        <v>1039</v>
      </c>
      <c r="G11502" s="380" t="s">
        <v>1267</v>
      </c>
      <c r="H11502" s="380" t="s">
        <v>771</v>
      </c>
      <c r="I11502" s="380" t="s">
        <v>788</v>
      </c>
      <c r="J11502" s="380" t="s">
        <v>773</v>
      </c>
      <c r="K11502" s="381">
        <v>0.0</v>
      </c>
      <c r="L11502" s="382">
        <v>1.0</v>
      </c>
    </row>
    <row r="11503">
      <c r="A11503" s="380" t="s">
        <v>12377</v>
      </c>
      <c r="B11503" s="380" t="str">
        <f>IFERROR(__xludf.DUMMYFUNCTION("""COMPUTED_VALUE"""),"Retenedor Cigueñal Tras Npr 8976023790")</f>
        <v>Retenedor Cigueñal Tras Npr 8976023790</v>
      </c>
      <c r="C11503" s="380" t="str">
        <f>IFERROR(__xludf.DUMMYFUNCTION("""COMPUTED_VALUE"""),"70006943")</f>
        <v>70006943</v>
      </c>
      <c r="D11503" s="380" t="s">
        <v>767</v>
      </c>
      <c r="E11503" s="380" t="s">
        <v>786</v>
      </c>
      <c r="F11503" s="380" t="s">
        <v>787</v>
      </c>
      <c r="G11503" s="380" t="s">
        <v>1267</v>
      </c>
      <c r="H11503" s="380" t="s">
        <v>771</v>
      </c>
      <c r="I11503" s="380" t="s">
        <v>788</v>
      </c>
      <c r="J11503" s="380" t="s">
        <v>773</v>
      </c>
      <c r="K11503" s="381">
        <v>0.0</v>
      </c>
      <c r="L11503" s="382">
        <v>1.0</v>
      </c>
    </row>
    <row r="11504">
      <c r="A11504" s="380" t="s">
        <v>12378</v>
      </c>
      <c r="B11504" s="380" t="str">
        <f>IFERROR(__xludf.DUMMYFUNCTION("""COMPUTED_VALUE"""),"Interruptor Encendido S Carry 371108200")</f>
        <v>Interruptor Encendido S Carry 371108200</v>
      </c>
      <c r="C11504" s="380" t="str">
        <f>IFERROR(__xludf.DUMMYFUNCTION("""COMPUTED_VALUE"""),"70006944")</f>
        <v>70006944</v>
      </c>
      <c r="D11504" s="380" t="s">
        <v>767</v>
      </c>
      <c r="E11504" s="380" t="s">
        <v>786</v>
      </c>
      <c r="F11504" s="380" t="s">
        <v>998</v>
      </c>
      <c r="G11504" s="380" t="s">
        <v>1267</v>
      </c>
      <c r="H11504" s="380" t="s">
        <v>771</v>
      </c>
      <c r="I11504" s="380" t="s">
        <v>788</v>
      </c>
      <c r="J11504" s="380" t="s">
        <v>773</v>
      </c>
      <c r="K11504" s="381">
        <v>0.0</v>
      </c>
      <c r="L11504" s="382">
        <v>1.0</v>
      </c>
    </row>
    <row r="11505">
      <c r="A11505" s="380" t="s">
        <v>12379</v>
      </c>
      <c r="B11505" s="380" t="str">
        <f>IFERROR(__xludf.DUMMYFUNCTION("""COMPUTED_VALUE"""),"Hoja Resorte Tras Nkr 22935/5")</f>
        <v>Hoja Resorte Tras Nkr 22935/5</v>
      </c>
      <c r="C11505" s="380" t="str">
        <f>IFERROR(__xludf.DUMMYFUNCTION("""COMPUTED_VALUE"""),"70006945")</f>
        <v>70006945</v>
      </c>
      <c r="D11505" s="380" t="s">
        <v>767</v>
      </c>
      <c r="E11505" s="380" t="s">
        <v>786</v>
      </c>
      <c r="F11505" s="380" t="s">
        <v>1039</v>
      </c>
      <c r="G11505" s="380" t="s">
        <v>1267</v>
      </c>
      <c r="H11505" s="380" t="s">
        <v>771</v>
      </c>
      <c r="I11505" s="380" t="s">
        <v>788</v>
      </c>
      <c r="J11505" s="380" t="s">
        <v>773</v>
      </c>
      <c r="K11505" s="381">
        <v>0.0</v>
      </c>
      <c r="L11505" s="382">
        <v>1.0</v>
      </c>
    </row>
    <row r="11506">
      <c r="A11506" s="380" t="s">
        <v>12380</v>
      </c>
      <c r="B11506" s="380" t="str">
        <f>IFERROR(__xludf.DUMMYFUNCTION("""COMPUTED_VALUE"""),"Hoja Resorte Trasera Npr 22917/3")</f>
        <v>Hoja Resorte Trasera Npr 22917/3</v>
      </c>
      <c r="C11506" s="380" t="str">
        <f>IFERROR(__xludf.DUMMYFUNCTION("""COMPUTED_VALUE"""),"70006946")</f>
        <v>70006946</v>
      </c>
      <c r="D11506" s="380" t="s">
        <v>767</v>
      </c>
      <c r="E11506" s="380" t="s">
        <v>786</v>
      </c>
      <c r="F11506" s="380" t="s">
        <v>1039</v>
      </c>
      <c r="G11506" s="380" t="s">
        <v>1267</v>
      </c>
      <c r="H11506" s="380" t="s">
        <v>771</v>
      </c>
      <c r="I11506" s="380" t="s">
        <v>788</v>
      </c>
      <c r="J11506" s="380" t="s">
        <v>773</v>
      </c>
      <c r="K11506" s="381">
        <v>0.0</v>
      </c>
      <c r="L11506" s="382">
        <v>1.0</v>
      </c>
    </row>
    <row r="11507">
      <c r="A11507" s="380" t="s">
        <v>12381</v>
      </c>
      <c r="B11507" s="380" t="str">
        <f>IFERROR(__xludf.DUMMYFUNCTION("""COMPUTED_VALUE"""),"Cabeza De Vaca MOT Isx Hi 9400-2 3103584")</f>
        <v>Cabeza De Vaca MOT Isx Hi 9400-2 3103584</v>
      </c>
      <c r="C11507" s="380" t="str">
        <f>IFERROR(__xludf.DUMMYFUNCTION("""COMPUTED_VALUE"""),"70006947")</f>
        <v>70006947</v>
      </c>
      <c r="D11507" s="380" t="s">
        <v>767</v>
      </c>
      <c r="E11507" s="380" t="s">
        <v>786</v>
      </c>
      <c r="F11507" s="380" t="s">
        <v>787</v>
      </c>
      <c r="G11507" s="380" t="s">
        <v>1267</v>
      </c>
      <c r="H11507" s="380" t="s">
        <v>771</v>
      </c>
      <c r="I11507" s="380" t="s">
        <v>788</v>
      </c>
      <c r="J11507" s="380" t="s">
        <v>773</v>
      </c>
      <c r="K11507" s="381">
        <v>0.0</v>
      </c>
      <c r="L11507" s="382">
        <v>1.0</v>
      </c>
    </row>
    <row r="11508">
      <c r="A11508" s="380" t="s">
        <v>12382</v>
      </c>
      <c r="B11508" s="380" t="str">
        <f>IFERROR(__xludf.DUMMYFUNCTION("""COMPUTED_VALUE"""),"Arandela Ajuste Piñon 3ra Agr 23127")</f>
        <v>Arandela Ajuste Piñon 3ra Agr 23127</v>
      </c>
      <c r="C11508" s="380" t="str">
        <f>IFERROR(__xludf.DUMMYFUNCTION("""COMPUTED_VALUE"""),"70006948")</f>
        <v>70006948</v>
      </c>
      <c r="D11508" s="380" t="s">
        <v>767</v>
      </c>
      <c r="E11508" s="380" t="s">
        <v>786</v>
      </c>
      <c r="F11508" s="380" t="s">
        <v>928</v>
      </c>
      <c r="G11508" s="380" t="s">
        <v>1267</v>
      </c>
      <c r="H11508" s="380" t="s">
        <v>771</v>
      </c>
      <c r="I11508" s="380" t="s">
        <v>788</v>
      </c>
      <c r="J11508" s="380" t="s">
        <v>773</v>
      </c>
      <c r="K11508" s="381">
        <v>0.0</v>
      </c>
      <c r="L11508" s="382">
        <v>1.0</v>
      </c>
    </row>
    <row r="11509">
      <c r="A11509" s="380" t="s">
        <v>12383</v>
      </c>
      <c r="B11509" s="380" t="str">
        <f>IFERROR(__xludf.DUMMYFUNCTION("""COMPUTED_VALUE"""),"Tubo BMB INY N-3 Nkr III 897223925")</f>
        <v>Tubo BMB INY N-3 Nkr III 897223925</v>
      </c>
      <c r="C11509" s="380" t="str">
        <f>IFERROR(__xludf.DUMMYFUNCTION("""COMPUTED_VALUE"""),"70006949")</f>
        <v>70006949</v>
      </c>
      <c r="D11509" s="380" t="s">
        <v>767</v>
      </c>
      <c r="E11509" s="380" t="s">
        <v>786</v>
      </c>
      <c r="F11509" s="380" t="s">
        <v>787</v>
      </c>
      <c r="G11509" s="380" t="s">
        <v>1267</v>
      </c>
      <c r="H11509" s="380" t="s">
        <v>771</v>
      </c>
      <c r="I11509" s="380" t="s">
        <v>788</v>
      </c>
      <c r="J11509" s="380" t="s">
        <v>773</v>
      </c>
      <c r="K11509" s="381">
        <v>0.0</v>
      </c>
      <c r="L11509" s="382">
        <v>1.0</v>
      </c>
    </row>
    <row r="11510">
      <c r="A11510" s="380" t="s">
        <v>12384</v>
      </c>
      <c r="B11510" s="380" t="str">
        <f>IFERROR(__xludf.DUMMYFUNCTION("""COMPUTED_VALUE"""),"SOP Caucho Tubo AIR Npr 89708 8970801490")</f>
        <v>SOP Caucho Tubo AIR Npr 89708 8970801490</v>
      </c>
      <c r="C11510" s="380" t="str">
        <f>IFERROR(__xludf.DUMMYFUNCTION("""COMPUTED_VALUE"""),"70006950")</f>
        <v>70006950</v>
      </c>
      <c r="D11510" s="380" t="s">
        <v>767</v>
      </c>
      <c r="E11510" s="380" t="s">
        <v>786</v>
      </c>
      <c r="F11510" s="380" t="s">
        <v>792</v>
      </c>
      <c r="G11510" s="380" t="s">
        <v>1267</v>
      </c>
      <c r="H11510" s="380" t="s">
        <v>771</v>
      </c>
      <c r="I11510" s="380" t="s">
        <v>788</v>
      </c>
      <c r="J11510" s="380" t="s">
        <v>773</v>
      </c>
      <c r="K11510" s="381">
        <v>0.0</v>
      </c>
      <c r="L11510" s="382">
        <v>1.0</v>
      </c>
    </row>
    <row r="11511">
      <c r="A11511" s="380" t="s">
        <v>12385</v>
      </c>
      <c r="B11511" s="380" t="str">
        <f>IFERROR(__xludf.DUMMYFUNCTION("""COMPUTED_VALUE"""),"Empaquetadura Bba Freno Npr 8971304710")</f>
        <v>Empaquetadura Bba Freno Npr 8971304710</v>
      </c>
      <c r="C11511" s="380" t="str">
        <f>IFERROR(__xludf.DUMMYFUNCTION("""COMPUTED_VALUE"""),"70006951")</f>
        <v>70006951</v>
      </c>
      <c r="D11511" s="380" t="s">
        <v>767</v>
      </c>
      <c r="E11511" s="380" t="s">
        <v>786</v>
      </c>
      <c r="F11511" s="380" t="s">
        <v>1017</v>
      </c>
      <c r="G11511" s="380" t="s">
        <v>1267</v>
      </c>
      <c r="H11511" s="380" t="s">
        <v>771</v>
      </c>
      <c r="I11511" s="380" t="s">
        <v>788</v>
      </c>
      <c r="J11511" s="380" t="s">
        <v>773</v>
      </c>
      <c r="K11511" s="381">
        <v>0.0</v>
      </c>
      <c r="L11511" s="382">
        <v>1.0</v>
      </c>
    </row>
    <row r="11512">
      <c r="A11512" s="380" t="s">
        <v>12386</v>
      </c>
      <c r="B11512" s="380" t="str">
        <f>IFERROR(__xludf.DUMMYFUNCTION("""COMPUTED_VALUE"""),"Turbo Alimentador MOT Isx Hi 9 4089754rx")</f>
        <v>Turbo Alimentador MOT Isx Hi 9 4089754rx</v>
      </c>
      <c r="C11512" s="380" t="str">
        <f>IFERROR(__xludf.DUMMYFUNCTION("""COMPUTED_VALUE"""),"70006952")</f>
        <v>70006952</v>
      </c>
      <c r="D11512" s="380" t="s">
        <v>767</v>
      </c>
      <c r="E11512" s="380" t="s">
        <v>786</v>
      </c>
      <c r="F11512" s="380" t="s">
        <v>787</v>
      </c>
      <c r="G11512" s="380" t="s">
        <v>1267</v>
      </c>
      <c r="H11512" s="380" t="s">
        <v>771</v>
      </c>
      <c r="I11512" s="380" t="s">
        <v>788</v>
      </c>
      <c r="J11512" s="380" t="s">
        <v>773</v>
      </c>
      <c r="K11512" s="381">
        <v>9990032.0</v>
      </c>
      <c r="L11512" s="382">
        <v>1.0</v>
      </c>
    </row>
    <row r="11513">
      <c r="A11513" s="380" t="s">
        <v>12387</v>
      </c>
      <c r="B11513" s="380" t="str">
        <f>IFERROR(__xludf.DUMMYFUNCTION("""COMPUTED_VALUE"""),"Hoja Resorte Trailer Dite 4ta Tl644a4/4")</f>
        <v>Hoja Resorte Trailer Dite 4ta Tl644a4/4</v>
      </c>
      <c r="C11513" s="380" t="str">
        <f>IFERROR(__xludf.DUMMYFUNCTION("""COMPUTED_VALUE"""),"70006953")</f>
        <v>70006953</v>
      </c>
      <c r="D11513" s="380" t="s">
        <v>767</v>
      </c>
      <c r="E11513" s="380" t="s">
        <v>786</v>
      </c>
      <c r="F11513" s="380" t="s">
        <v>1039</v>
      </c>
      <c r="G11513" s="380" t="s">
        <v>1267</v>
      </c>
      <c r="H11513" s="380" t="s">
        <v>771</v>
      </c>
      <c r="I11513" s="380" t="s">
        <v>788</v>
      </c>
      <c r="J11513" s="380" t="s">
        <v>773</v>
      </c>
      <c r="K11513" s="381">
        <v>0.0</v>
      </c>
      <c r="L11513" s="382">
        <v>1.0</v>
      </c>
    </row>
    <row r="11514">
      <c r="A11514" s="380" t="s">
        <v>12388</v>
      </c>
      <c r="B11514" s="380" t="str">
        <f>IFERROR(__xludf.DUMMYFUNCTION("""COMPUTED_VALUE"""),"SENS Presion AIR Ambient Cummins 4076493")</f>
        <v>SENS Presion AIR Ambient Cummins 4076493</v>
      </c>
      <c r="C11514" s="380" t="str">
        <f>IFERROR(__xludf.DUMMYFUNCTION("""COMPUTED_VALUE"""),"70006954")</f>
        <v>70006954</v>
      </c>
      <c r="D11514" s="380" t="s">
        <v>767</v>
      </c>
      <c r="E11514" s="380" t="s">
        <v>786</v>
      </c>
      <c r="F11514" s="380" t="s">
        <v>998</v>
      </c>
      <c r="G11514" s="380" t="s">
        <v>1267</v>
      </c>
      <c r="H11514" s="380" t="s">
        <v>771</v>
      </c>
      <c r="I11514" s="380" t="s">
        <v>788</v>
      </c>
      <c r="J11514" s="380" t="s">
        <v>773</v>
      </c>
      <c r="K11514" s="381">
        <v>0.0</v>
      </c>
      <c r="L11514" s="382">
        <v>1.0</v>
      </c>
    </row>
    <row r="11515">
      <c r="A11515" s="380" t="s">
        <v>12389</v>
      </c>
      <c r="B11515" s="380" t="str">
        <f>IFERROR(__xludf.DUMMYFUNCTION("""COMPUTED_VALUE"""),"Tuerca Speed Del SB N14 126182")</f>
        <v>Tuerca Speed Del SB N14 126182</v>
      </c>
      <c r="C11515" s="380" t="str">
        <f>IFERROR(__xludf.DUMMYFUNCTION("""COMPUTED_VALUE"""),"70006955")</f>
        <v>70006955</v>
      </c>
      <c r="D11515" s="380" t="s">
        <v>767</v>
      </c>
      <c r="E11515" s="380" t="s">
        <v>786</v>
      </c>
      <c r="F11515" s="380" t="s">
        <v>5683</v>
      </c>
      <c r="G11515" s="380" t="s">
        <v>1267</v>
      </c>
      <c r="H11515" s="380" t="s">
        <v>771</v>
      </c>
      <c r="I11515" s="380" t="s">
        <v>788</v>
      </c>
      <c r="J11515" s="380" t="s">
        <v>773</v>
      </c>
      <c r="K11515" s="381">
        <v>0.0</v>
      </c>
      <c r="L11515" s="382">
        <v>1.0</v>
      </c>
    </row>
    <row r="11516">
      <c r="A11516" s="380" t="s">
        <v>12390</v>
      </c>
      <c r="B11516" s="380" t="str">
        <f>IFERROR(__xludf.DUMMYFUNCTION("""COMPUTED_VALUE"""),"Amortiguador Tras Npr 8971600940")</f>
        <v>Amortiguador Tras Npr 8971600940</v>
      </c>
      <c r="C11516" s="380" t="str">
        <f>IFERROR(__xludf.DUMMYFUNCTION("""COMPUTED_VALUE"""),"70006956")</f>
        <v>70006956</v>
      </c>
      <c r="D11516" s="380" t="s">
        <v>767</v>
      </c>
      <c r="E11516" s="380" t="s">
        <v>786</v>
      </c>
      <c r="F11516" s="380" t="s">
        <v>1039</v>
      </c>
      <c r="G11516" s="380" t="s">
        <v>1267</v>
      </c>
      <c r="H11516" s="380" t="s">
        <v>771</v>
      </c>
      <c r="I11516" s="380" t="s">
        <v>788</v>
      </c>
      <c r="J11516" s="380" t="s">
        <v>773</v>
      </c>
      <c r="K11516" s="381">
        <v>0.0</v>
      </c>
      <c r="L11516" s="382">
        <v>1.0</v>
      </c>
    </row>
    <row r="11517">
      <c r="A11517" s="380" t="s">
        <v>12391</v>
      </c>
      <c r="B11517" s="380" t="str">
        <f>IFERROR(__xludf.DUMMYFUNCTION("""COMPUTED_VALUE"""),"VALV Multiple Admsion Nhr-Npr 8972086563")</f>
        <v>VALV Multiple Admsion Nhr-Npr 8972086563</v>
      </c>
      <c r="C11517" s="380" t="str">
        <f>IFERROR(__xludf.DUMMYFUNCTION("""COMPUTED_VALUE"""),"70006957")</f>
        <v>70006957</v>
      </c>
      <c r="D11517" s="380" t="s">
        <v>767</v>
      </c>
      <c r="E11517" s="380" t="s">
        <v>786</v>
      </c>
      <c r="F11517" s="380" t="s">
        <v>787</v>
      </c>
      <c r="G11517" s="380" t="s">
        <v>1267</v>
      </c>
      <c r="H11517" s="380" t="s">
        <v>771</v>
      </c>
      <c r="I11517" s="380" t="s">
        <v>788</v>
      </c>
      <c r="J11517" s="380" t="s">
        <v>773</v>
      </c>
      <c r="K11517" s="381">
        <v>0.0</v>
      </c>
      <c r="L11517" s="382">
        <v>1.0</v>
      </c>
    </row>
    <row r="11518">
      <c r="A11518" s="380" t="s">
        <v>12392</v>
      </c>
      <c r="B11518" s="380" t="str">
        <f>IFERROR(__xludf.DUMMYFUNCTION("""COMPUTED_VALUE"""),"Correa Alternador 6pk1740 KWh 4060685dyc")</f>
        <v>Correa Alternador 6pk1740 KWh 4060685dyc</v>
      </c>
      <c r="C11518" s="380" t="str">
        <f>IFERROR(__xludf.DUMMYFUNCTION("""COMPUTED_VALUE"""),"70006958")</f>
        <v>70006958</v>
      </c>
      <c r="D11518" s="380" t="s">
        <v>767</v>
      </c>
      <c r="E11518" s="380" t="s">
        <v>786</v>
      </c>
      <c r="F11518" s="380" t="s">
        <v>787</v>
      </c>
      <c r="G11518" s="380" t="s">
        <v>1267</v>
      </c>
      <c r="H11518" s="380" t="s">
        <v>771</v>
      </c>
      <c r="I11518" s="380" t="s">
        <v>788</v>
      </c>
      <c r="J11518" s="380" t="s">
        <v>773</v>
      </c>
      <c r="K11518" s="381">
        <v>0.0</v>
      </c>
      <c r="L11518" s="382">
        <v>1.0</v>
      </c>
    </row>
    <row r="11519">
      <c r="A11519" s="380" t="s">
        <v>12393</v>
      </c>
      <c r="B11519" s="380" t="str">
        <f>IFERROR(__xludf.DUMMYFUNCTION("""COMPUTED_VALUE"""),"EMP Base Turbo Hi Internatio 1822120c1")</f>
        <v>EMP Base Turbo Hi Internatio 1822120c1</v>
      </c>
      <c r="C11519" s="380" t="str">
        <f>IFERROR(__xludf.DUMMYFUNCTION("""COMPUTED_VALUE"""),"70006959")</f>
        <v>70006959</v>
      </c>
      <c r="D11519" s="380" t="s">
        <v>767</v>
      </c>
      <c r="E11519" s="380" t="s">
        <v>786</v>
      </c>
      <c r="F11519" s="380" t="s">
        <v>787</v>
      </c>
      <c r="G11519" s="380" t="s">
        <v>1267</v>
      </c>
      <c r="H11519" s="380" t="s">
        <v>771</v>
      </c>
      <c r="I11519" s="380" t="s">
        <v>788</v>
      </c>
      <c r="J11519" s="380" t="s">
        <v>773</v>
      </c>
      <c r="K11519" s="381">
        <v>0.0</v>
      </c>
      <c r="L11519" s="382">
        <v>1.0</v>
      </c>
    </row>
    <row r="11520">
      <c r="A11520" s="380" t="s">
        <v>12394</v>
      </c>
      <c r="B11520" s="380" t="str">
        <f>IFERROR(__xludf.DUMMYFUNCTION("""COMPUTED_VALUE"""),"RET INTno RDA Tras Npr 8970239771")</f>
        <v>RET INTno RDA Tras Npr 8970239771</v>
      </c>
      <c r="C11520" s="380" t="str">
        <f>IFERROR(__xludf.DUMMYFUNCTION("""COMPUTED_VALUE"""),"70006960")</f>
        <v>70006960</v>
      </c>
      <c r="D11520" s="380" t="s">
        <v>767</v>
      </c>
      <c r="E11520" s="380" t="s">
        <v>786</v>
      </c>
      <c r="F11520" s="380" t="s">
        <v>1039</v>
      </c>
      <c r="G11520" s="380" t="s">
        <v>1267</v>
      </c>
      <c r="H11520" s="380" t="s">
        <v>771</v>
      </c>
      <c r="I11520" s="380" t="s">
        <v>788</v>
      </c>
      <c r="J11520" s="380" t="s">
        <v>773</v>
      </c>
      <c r="K11520" s="381">
        <v>0.0</v>
      </c>
      <c r="L11520" s="382">
        <v>1.0</v>
      </c>
    </row>
    <row r="11521">
      <c r="A11521" s="380" t="s">
        <v>12395</v>
      </c>
      <c r="B11521" s="380" t="str">
        <f>IFERROR(__xludf.DUMMYFUNCTION("""COMPUTED_VALUE"""),"Chapa INTna Izq PTA EGL 251364 1677432c1")</f>
        <v>Chapa INTna Izq PTA EGL 251364 1677432c1</v>
      </c>
      <c r="C11521" s="380" t="str">
        <f>IFERROR(__xludf.DUMMYFUNCTION("""COMPUTED_VALUE"""),"70006961")</f>
        <v>70006961</v>
      </c>
      <c r="D11521" s="380" t="s">
        <v>767</v>
      </c>
      <c r="E11521" s="380" t="s">
        <v>786</v>
      </c>
      <c r="F11521" s="380" t="s">
        <v>792</v>
      </c>
      <c r="G11521" s="380" t="s">
        <v>1267</v>
      </c>
      <c r="H11521" s="380" t="s">
        <v>771</v>
      </c>
      <c r="I11521" s="380" t="s">
        <v>788</v>
      </c>
      <c r="J11521" s="380" t="s">
        <v>773</v>
      </c>
      <c r="K11521" s="381">
        <v>0.0</v>
      </c>
      <c r="L11521" s="382">
        <v>1.0</v>
      </c>
    </row>
    <row r="11522">
      <c r="A11522" s="380" t="s">
        <v>12396</v>
      </c>
      <c r="B11522" s="380" t="str">
        <f>IFERROR(__xludf.DUMMYFUNCTION("""COMPUTED_VALUE"""),"Sensor Temperatura Motor Nkr 8942378610")</f>
        <v>Sensor Temperatura Motor Nkr 8942378610</v>
      </c>
      <c r="C11522" s="380" t="str">
        <f>IFERROR(__xludf.DUMMYFUNCTION("""COMPUTED_VALUE"""),"70006962")</f>
        <v>70006962</v>
      </c>
      <c r="D11522" s="380" t="s">
        <v>767</v>
      </c>
      <c r="E11522" s="380" t="s">
        <v>786</v>
      </c>
      <c r="F11522" s="380" t="s">
        <v>998</v>
      </c>
      <c r="G11522" s="380" t="s">
        <v>1267</v>
      </c>
      <c r="H11522" s="380" t="s">
        <v>771</v>
      </c>
      <c r="I11522" s="380" t="s">
        <v>788</v>
      </c>
      <c r="J11522" s="380" t="s">
        <v>773</v>
      </c>
      <c r="K11522" s="381">
        <v>0.0</v>
      </c>
      <c r="L11522" s="382">
        <v>1.0</v>
      </c>
    </row>
    <row r="11523">
      <c r="A11523" s="380" t="s">
        <v>12397</v>
      </c>
      <c r="B11523" s="380" t="str">
        <f>IFERROR(__xludf.DUMMYFUNCTION("""COMPUTED_VALUE"""),"Piñon 3ra CJ Fuller 14915 SB N14 4302484")</f>
        <v>Piñon 3ra CJ Fuller 14915 SB N14 4302484</v>
      </c>
      <c r="C11523" s="380" t="str">
        <f>IFERROR(__xludf.DUMMYFUNCTION("""COMPUTED_VALUE"""),"70006963")</f>
        <v>70006963</v>
      </c>
      <c r="D11523" s="380" t="s">
        <v>767</v>
      </c>
      <c r="E11523" s="380" t="s">
        <v>786</v>
      </c>
      <c r="F11523" s="380" t="s">
        <v>928</v>
      </c>
      <c r="G11523" s="380" t="s">
        <v>1267</v>
      </c>
      <c r="H11523" s="380" t="s">
        <v>771</v>
      </c>
      <c r="I11523" s="380" t="s">
        <v>788</v>
      </c>
      <c r="J11523" s="380" t="s">
        <v>773</v>
      </c>
      <c r="K11523" s="381">
        <v>0.0</v>
      </c>
      <c r="L11523" s="382">
        <v>1.0</v>
      </c>
    </row>
    <row r="11524">
      <c r="A11524" s="380" t="s">
        <v>12398</v>
      </c>
      <c r="B11524" s="380" t="str">
        <f>IFERROR(__xludf.DUMMYFUNCTION("""COMPUTED_VALUE"""),"Pasador Pasador Central Del. Nkr 5"" X 10")</f>
        <v>Pasador Pasador Central Del. Nkr 5" X 10</v>
      </c>
      <c r="C11524" s="380" t="str">
        <f>IFERROR(__xludf.DUMMYFUNCTION("""COMPUTED_VALUE"""),"70006964")</f>
        <v>70006964</v>
      </c>
      <c r="D11524" s="380" t="s">
        <v>767</v>
      </c>
      <c r="E11524" s="380" t="s">
        <v>786</v>
      </c>
      <c r="F11524" s="380" t="s">
        <v>1039</v>
      </c>
      <c r="G11524" s="380" t="s">
        <v>1267</v>
      </c>
      <c r="H11524" s="380" t="s">
        <v>771</v>
      </c>
      <c r="I11524" s="380" t="s">
        <v>788</v>
      </c>
      <c r="J11524" s="380" t="s">
        <v>773</v>
      </c>
      <c r="K11524" s="381">
        <v>0.0</v>
      </c>
      <c r="L11524" s="382">
        <v>1.0</v>
      </c>
    </row>
    <row r="11525">
      <c r="A11525" s="380" t="s">
        <v>12399</v>
      </c>
      <c r="B11525" s="380" t="str">
        <f>IFERROR(__xludf.DUMMYFUNCTION("""COMPUTED_VALUE"""),"SOP MUE Del Izq FRL 1615773000")</f>
        <v>SOP MUE Del Izq FRL 1615773000</v>
      </c>
      <c r="C11525" s="380" t="str">
        <f>IFERROR(__xludf.DUMMYFUNCTION("""COMPUTED_VALUE"""),"70006965")</f>
        <v>70006965</v>
      </c>
      <c r="D11525" s="380" t="s">
        <v>767</v>
      </c>
      <c r="E11525" s="380" t="s">
        <v>786</v>
      </c>
      <c r="F11525" s="380" t="s">
        <v>1039</v>
      </c>
      <c r="G11525" s="380" t="s">
        <v>1267</v>
      </c>
      <c r="H11525" s="380" t="s">
        <v>771</v>
      </c>
      <c r="I11525" s="380" t="s">
        <v>788</v>
      </c>
      <c r="J11525" s="380" t="s">
        <v>773</v>
      </c>
      <c r="K11525" s="381">
        <v>0.0</v>
      </c>
      <c r="L11525" s="382">
        <v>1.0</v>
      </c>
    </row>
    <row r="11526">
      <c r="A11526" s="380" t="s">
        <v>12400</v>
      </c>
      <c r="B11526" s="380" t="str">
        <f>IFERROR(__xludf.DUMMYFUNCTION("""COMPUTED_VALUE"""),"Vidrio Puerta Cabina Kemworth")</f>
        <v>Vidrio Puerta Cabina Kemworth</v>
      </c>
      <c r="C11526" s="380" t="str">
        <f>IFERROR(__xludf.DUMMYFUNCTION("""COMPUTED_VALUE"""),"70006966")</f>
        <v>70006966</v>
      </c>
      <c r="D11526" s="380" t="s">
        <v>767</v>
      </c>
      <c r="E11526" s="380" t="s">
        <v>786</v>
      </c>
      <c r="F11526" s="380" t="s">
        <v>792</v>
      </c>
      <c r="G11526" s="380" t="s">
        <v>1267</v>
      </c>
      <c r="H11526" s="380" t="s">
        <v>771</v>
      </c>
      <c r="I11526" s="380" t="s">
        <v>788</v>
      </c>
      <c r="J11526" s="380" t="s">
        <v>773</v>
      </c>
      <c r="K11526" s="381">
        <v>0.0</v>
      </c>
      <c r="L11526" s="382">
        <v>1.0</v>
      </c>
    </row>
    <row r="11527">
      <c r="A11527" s="380" t="s">
        <v>12401</v>
      </c>
      <c r="B11527" s="380" t="str">
        <f>IFERROR(__xludf.DUMMYFUNCTION("""COMPUTED_VALUE"""),"Rodillo Central Cj Fuller 14718 5566508")</f>
        <v>Rodillo Central Cj Fuller 14718 5566508</v>
      </c>
      <c r="C11527" s="380" t="str">
        <f>IFERROR(__xludf.DUMMYFUNCTION("""COMPUTED_VALUE"""),"70006967")</f>
        <v>70006967</v>
      </c>
      <c r="D11527" s="380" t="s">
        <v>767</v>
      </c>
      <c r="E11527" s="380" t="s">
        <v>786</v>
      </c>
      <c r="F11527" s="380" t="s">
        <v>928</v>
      </c>
      <c r="G11527" s="380" t="s">
        <v>1267</v>
      </c>
      <c r="H11527" s="380" t="s">
        <v>771</v>
      </c>
      <c r="I11527" s="380" t="s">
        <v>788</v>
      </c>
      <c r="J11527" s="380" t="s">
        <v>773</v>
      </c>
      <c r="K11527" s="381">
        <v>0.0</v>
      </c>
      <c r="L11527" s="382">
        <v>1.0</v>
      </c>
    </row>
    <row r="11528">
      <c r="A11528" s="380" t="s">
        <v>12402</v>
      </c>
      <c r="B11528" s="380" t="str">
        <f>IFERROR(__xludf.DUMMYFUNCTION("""COMPUTED_VALUE"""),"Polea Alternador Nhr 8970290040")</f>
        <v>Polea Alternador Nhr 8970290040</v>
      </c>
      <c r="C11528" s="380" t="str">
        <f>IFERROR(__xludf.DUMMYFUNCTION("""COMPUTED_VALUE"""),"70006968")</f>
        <v>70006968</v>
      </c>
      <c r="D11528" s="380" t="s">
        <v>767</v>
      </c>
      <c r="E11528" s="380" t="s">
        <v>786</v>
      </c>
      <c r="F11528" s="380" t="s">
        <v>998</v>
      </c>
      <c r="G11528" s="380" t="s">
        <v>1267</v>
      </c>
      <c r="H11528" s="380" t="s">
        <v>771</v>
      </c>
      <c r="I11528" s="380" t="s">
        <v>788</v>
      </c>
      <c r="J11528" s="380" t="s">
        <v>773</v>
      </c>
      <c r="K11528" s="381">
        <v>0.0</v>
      </c>
      <c r="L11528" s="382">
        <v>1.0</v>
      </c>
    </row>
    <row r="11529">
      <c r="A11529" s="380" t="s">
        <v>12403</v>
      </c>
      <c r="B11529" s="380" t="str">
        <f>IFERROR(__xludf.DUMMYFUNCTION("""COMPUTED_VALUE"""),"Medidor De Combustible Hi 9400 3595187c2")</f>
        <v>Medidor De Combustible Hi 9400 3595187c2</v>
      </c>
      <c r="C11529" s="380" t="str">
        <f>IFERROR(__xludf.DUMMYFUNCTION("""COMPUTED_VALUE"""),"70006969")</f>
        <v>70006969</v>
      </c>
      <c r="D11529" s="380" t="s">
        <v>767</v>
      </c>
      <c r="E11529" s="380" t="s">
        <v>786</v>
      </c>
      <c r="F11529" s="380" t="s">
        <v>998</v>
      </c>
      <c r="G11529" s="380" t="s">
        <v>1267</v>
      </c>
      <c r="H11529" s="380" t="s">
        <v>771</v>
      </c>
      <c r="I11529" s="380" t="s">
        <v>788</v>
      </c>
      <c r="J11529" s="380" t="s">
        <v>773</v>
      </c>
      <c r="K11529" s="381">
        <v>0.0</v>
      </c>
      <c r="L11529" s="382">
        <v>1.0</v>
      </c>
    </row>
    <row r="11530">
      <c r="A11530" s="380" t="s">
        <v>12404</v>
      </c>
      <c r="B11530" s="380" t="str">
        <f>IFERROR(__xludf.DUMMYFUNCTION("""COMPUTED_VALUE"""),"Caucho Pedal Freno/Clutch Toyota D. 2118")</f>
        <v>Caucho Pedal Freno/Clutch Toyota D. 2118</v>
      </c>
      <c r="C11530" s="380" t="str">
        <f>IFERROR(__xludf.DUMMYFUNCTION("""COMPUTED_VALUE"""),"70006970")</f>
        <v>70006970</v>
      </c>
      <c r="D11530" s="380" t="s">
        <v>767</v>
      </c>
      <c r="E11530" s="380" t="s">
        <v>786</v>
      </c>
      <c r="F11530" s="380" t="s">
        <v>1017</v>
      </c>
      <c r="G11530" s="380" t="s">
        <v>1267</v>
      </c>
      <c r="H11530" s="380" t="s">
        <v>771</v>
      </c>
      <c r="I11530" s="380" t="s">
        <v>788</v>
      </c>
      <c r="J11530" s="380" t="s">
        <v>773</v>
      </c>
      <c r="K11530" s="381">
        <v>16301.0</v>
      </c>
      <c r="L11530" s="382">
        <v>1.0</v>
      </c>
    </row>
    <row r="11531">
      <c r="A11531" s="380" t="s">
        <v>12405</v>
      </c>
      <c r="B11531" s="380" t="str">
        <f>IFERROR(__xludf.DUMMYFUNCTION("""COMPUTED_VALUE"""),"EMP Lateral Base Turbo Isuzu 8971397260")</f>
        <v>EMP Lateral Base Turbo Isuzu 8971397260</v>
      </c>
      <c r="C11531" s="380" t="str">
        <f>IFERROR(__xludf.DUMMYFUNCTION("""COMPUTED_VALUE"""),"70006971")</f>
        <v>70006971</v>
      </c>
      <c r="D11531" s="380" t="s">
        <v>767</v>
      </c>
      <c r="E11531" s="380" t="s">
        <v>786</v>
      </c>
      <c r="F11531" s="380" t="s">
        <v>787</v>
      </c>
      <c r="G11531" s="380" t="s">
        <v>1267</v>
      </c>
      <c r="H11531" s="380" t="s">
        <v>771</v>
      </c>
      <c r="I11531" s="380" t="s">
        <v>788</v>
      </c>
      <c r="J11531" s="380" t="s">
        <v>773</v>
      </c>
      <c r="K11531" s="381">
        <v>0.0</v>
      </c>
      <c r="L11531" s="382">
        <v>1.0</v>
      </c>
    </row>
    <row r="11532">
      <c r="A11532" s="380" t="s">
        <v>12406</v>
      </c>
      <c r="B11532" s="380" t="str">
        <f>IFERROR(__xludf.DUMMYFUNCTION("""COMPUTED_VALUE"""),"RET Cigueñal Del Nhr Isuzu 8970491450")</f>
        <v>RET Cigueñal Del Nhr Isuzu 8970491450</v>
      </c>
      <c r="C11532" s="380" t="str">
        <f>IFERROR(__xludf.DUMMYFUNCTION("""COMPUTED_VALUE"""),"70006972")</f>
        <v>70006972</v>
      </c>
      <c r="D11532" s="380" t="s">
        <v>767</v>
      </c>
      <c r="E11532" s="380" t="s">
        <v>786</v>
      </c>
      <c r="F11532" s="380" t="s">
        <v>787</v>
      </c>
      <c r="G11532" s="380" t="s">
        <v>1267</v>
      </c>
      <c r="H11532" s="380" t="s">
        <v>771</v>
      </c>
      <c r="I11532" s="380" t="s">
        <v>788</v>
      </c>
      <c r="J11532" s="380" t="s">
        <v>773</v>
      </c>
      <c r="K11532" s="381">
        <v>0.0</v>
      </c>
      <c r="L11532" s="382">
        <v>1.0</v>
      </c>
    </row>
    <row r="11533">
      <c r="A11533" s="380" t="s">
        <v>12407</v>
      </c>
      <c r="B11533" s="380" t="str">
        <f>IFERROR(__xludf.DUMMYFUNCTION("""COMPUTED_VALUE"""),"Set Rodillo Transmicion N Koyo 30309d Jr")</f>
        <v>Set Rodillo Transmicion N Koyo 30309d Jr</v>
      </c>
      <c r="C11533" s="380" t="str">
        <f>IFERROR(__xludf.DUMMYFUNCTION("""COMPUTED_VALUE"""),"70006973")</f>
        <v>70006973</v>
      </c>
      <c r="D11533" s="380" t="s">
        <v>767</v>
      </c>
      <c r="E11533" s="380" t="s">
        <v>786</v>
      </c>
      <c r="F11533" s="380" t="s">
        <v>5683</v>
      </c>
      <c r="G11533" s="380" t="s">
        <v>1267</v>
      </c>
      <c r="H11533" s="380" t="s">
        <v>771</v>
      </c>
      <c r="I11533" s="380" t="s">
        <v>788</v>
      </c>
      <c r="J11533" s="380" t="s">
        <v>773</v>
      </c>
      <c r="K11533" s="381">
        <v>0.0</v>
      </c>
      <c r="L11533" s="382">
        <v>1.0</v>
      </c>
    </row>
    <row r="11534">
      <c r="A11534" s="380" t="s">
        <v>12408</v>
      </c>
      <c r="B11534" s="380" t="str">
        <f>IFERROR(__xludf.DUMMYFUNCTION("""COMPUTED_VALUE"""),"Radiador Nhr-Nkr Nuevo 95621328 Isuzu")</f>
        <v>Radiador Nhr-Nkr Nuevo 95621328 Isuzu</v>
      </c>
      <c r="C11534" s="380" t="str">
        <f>IFERROR(__xludf.DUMMYFUNCTION("""COMPUTED_VALUE"""),"70006974")</f>
        <v>70006974</v>
      </c>
      <c r="D11534" s="380" t="s">
        <v>767</v>
      </c>
      <c r="E11534" s="380" t="s">
        <v>786</v>
      </c>
      <c r="F11534" s="380" t="s">
        <v>787</v>
      </c>
      <c r="G11534" s="380" t="s">
        <v>1267</v>
      </c>
      <c r="H11534" s="380" t="s">
        <v>771</v>
      </c>
      <c r="I11534" s="380" t="s">
        <v>788</v>
      </c>
      <c r="J11534" s="380" t="s">
        <v>773</v>
      </c>
      <c r="K11534" s="381">
        <v>0.0</v>
      </c>
      <c r="L11534" s="382">
        <v>1.0</v>
      </c>
    </row>
    <row r="11535">
      <c r="A11535" s="380" t="s">
        <v>12409</v>
      </c>
      <c r="B11535" s="380" t="str">
        <f>IFERROR(__xludf.DUMMYFUNCTION("""COMPUTED_VALUE"""),"Buje Soporte Tras Motor Eagle 503579c1")</f>
        <v>Buje Soporte Tras Motor Eagle 503579c1</v>
      </c>
      <c r="C11535" s="380" t="str">
        <f>IFERROR(__xludf.DUMMYFUNCTION("""COMPUTED_VALUE"""),"70006975")</f>
        <v>70006975</v>
      </c>
      <c r="D11535" s="380" t="s">
        <v>767</v>
      </c>
      <c r="E11535" s="380" t="s">
        <v>786</v>
      </c>
      <c r="F11535" s="380" t="s">
        <v>787</v>
      </c>
      <c r="G11535" s="380" t="s">
        <v>1267</v>
      </c>
      <c r="H11535" s="380" t="s">
        <v>771</v>
      </c>
      <c r="I11535" s="380" t="s">
        <v>788</v>
      </c>
      <c r="J11535" s="380" t="s">
        <v>773</v>
      </c>
      <c r="K11535" s="381">
        <v>0.0</v>
      </c>
      <c r="L11535" s="382">
        <v>1.0</v>
      </c>
    </row>
    <row r="11536">
      <c r="A11536" s="380" t="s">
        <v>12410</v>
      </c>
      <c r="B11536" s="380" t="str">
        <f>IFERROR(__xludf.DUMMYFUNCTION("""COMPUTED_VALUE"""),"SOP CJ Soporte Caja Vs Kenworth K223-974")</f>
        <v>SOP CJ Soporte Caja Vs Kenworth K223-974</v>
      </c>
      <c r="C11536" s="380" t="str">
        <f>IFERROR(__xludf.DUMMYFUNCTION("""COMPUTED_VALUE"""),"70006976")</f>
        <v>70006976</v>
      </c>
      <c r="D11536" s="380" t="s">
        <v>767</v>
      </c>
      <c r="E11536" s="380" t="s">
        <v>786</v>
      </c>
      <c r="F11536" s="380" t="s">
        <v>928</v>
      </c>
      <c r="G11536" s="380" t="s">
        <v>1267</v>
      </c>
      <c r="H11536" s="380" t="s">
        <v>771</v>
      </c>
      <c r="I11536" s="380" t="s">
        <v>788</v>
      </c>
      <c r="J11536" s="380" t="s">
        <v>773</v>
      </c>
      <c r="K11536" s="381">
        <v>0.0</v>
      </c>
      <c r="L11536" s="382">
        <v>1.0</v>
      </c>
    </row>
    <row r="11537">
      <c r="A11537" s="380" t="s">
        <v>12411</v>
      </c>
      <c r="B11537" s="380" t="str">
        <f>IFERROR(__xludf.DUMMYFUNCTION("""COMPUTED_VALUE"""),"Bomba Inyeccion Nkr Iii 8972630863")</f>
        <v>Bomba Inyeccion Nkr Iii 8972630863</v>
      </c>
      <c r="C11537" s="380" t="str">
        <f>IFERROR(__xludf.DUMMYFUNCTION("""COMPUTED_VALUE"""),"70006977")</f>
        <v>70006977</v>
      </c>
      <c r="D11537" s="380" t="s">
        <v>767</v>
      </c>
      <c r="E11537" s="380" t="s">
        <v>786</v>
      </c>
      <c r="F11537" s="380" t="s">
        <v>787</v>
      </c>
      <c r="G11537" s="380" t="s">
        <v>1267</v>
      </c>
      <c r="H11537" s="380" t="s">
        <v>771</v>
      </c>
      <c r="I11537" s="380" t="s">
        <v>788</v>
      </c>
      <c r="J11537" s="380" t="s">
        <v>773</v>
      </c>
      <c r="K11537" s="381">
        <v>0.0</v>
      </c>
      <c r="L11537" s="382">
        <v>1.0</v>
      </c>
    </row>
    <row r="11538">
      <c r="A11538" s="380" t="s">
        <v>12412</v>
      </c>
      <c r="B11538" s="380" t="str">
        <f>IFERROR(__xludf.DUMMYFUNCTION("""COMPUTED_VALUE"""),"Kit EMP Compresor VW 1131374006")</f>
        <v>Kit EMP Compresor VW 1131374006</v>
      </c>
      <c r="C11538" s="380" t="str">
        <f>IFERROR(__xludf.DUMMYFUNCTION("""COMPUTED_VALUE"""),"70006978")</f>
        <v>70006978</v>
      </c>
      <c r="D11538" s="380" t="s">
        <v>767</v>
      </c>
      <c r="E11538" s="380" t="s">
        <v>786</v>
      </c>
      <c r="F11538" s="380" t="s">
        <v>787</v>
      </c>
      <c r="G11538" s="380" t="s">
        <v>1267</v>
      </c>
      <c r="H11538" s="380" t="s">
        <v>771</v>
      </c>
      <c r="I11538" s="380" t="s">
        <v>788</v>
      </c>
      <c r="J11538" s="380" t="s">
        <v>773</v>
      </c>
      <c r="K11538" s="381">
        <v>0.0</v>
      </c>
      <c r="L11538" s="382">
        <v>1.0</v>
      </c>
    </row>
    <row r="11539">
      <c r="A11539" s="380" t="s">
        <v>12413</v>
      </c>
      <c r="B11539" s="380" t="str">
        <f>IFERROR(__xludf.DUMMYFUNCTION("""COMPUTED_VALUE"""),"Bombillo Tablero Hi 4300 2506796c1")</f>
        <v>Bombillo Tablero Hi 4300 2506796c1</v>
      </c>
      <c r="C11539" s="380" t="str">
        <f>IFERROR(__xludf.DUMMYFUNCTION("""COMPUTED_VALUE"""),"70006979")</f>
        <v>70006979</v>
      </c>
      <c r="D11539" s="380" t="s">
        <v>767</v>
      </c>
      <c r="E11539" s="380" t="s">
        <v>786</v>
      </c>
      <c r="F11539" s="380" t="s">
        <v>998</v>
      </c>
      <c r="G11539" s="380" t="s">
        <v>1267</v>
      </c>
      <c r="H11539" s="380" t="s">
        <v>771</v>
      </c>
      <c r="I11539" s="380" t="s">
        <v>788</v>
      </c>
      <c r="J11539" s="380" t="s">
        <v>773</v>
      </c>
      <c r="K11539" s="381">
        <v>0.0</v>
      </c>
      <c r="L11539" s="382">
        <v>1.0</v>
      </c>
    </row>
    <row r="11540">
      <c r="A11540" s="380" t="s">
        <v>12414</v>
      </c>
      <c r="B11540" s="380" t="str">
        <f>IFERROR(__xludf.DUMMYFUNCTION("""COMPUTED_VALUE"""),"Termostato Motor Nkr III 8972548160")</f>
        <v>Termostato Motor Nkr III 8972548160</v>
      </c>
      <c r="C11540" s="380" t="str">
        <f>IFERROR(__xludf.DUMMYFUNCTION("""COMPUTED_VALUE"""),"70006980")</f>
        <v>70006980</v>
      </c>
      <c r="D11540" s="380" t="s">
        <v>767</v>
      </c>
      <c r="E11540" s="380" t="s">
        <v>786</v>
      </c>
      <c r="F11540" s="380" t="s">
        <v>787</v>
      </c>
      <c r="G11540" s="380" t="s">
        <v>1267</v>
      </c>
      <c r="H11540" s="380" t="s">
        <v>771</v>
      </c>
      <c r="I11540" s="380" t="s">
        <v>788</v>
      </c>
      <c r="J11540" s="380" t="s">
        <v>773</v>
      </c>
      <c r="K11540" s="381">
        <v>109258.0</v>
      </c>
      <c r="L11540" s="382">
        <v>1.0</v>
      </c>
    </row>
    <row r="11541">
      <c r="A11541" s="380" t="s">
        <v>12415</v>
      </c>
      <c r="B11541" s="380" t="str">
        <f>IFERROR(__xludf.DUMMYFUNCTION("""COMPUTED_VALUE"""),"Terminal Barra Direc Izq Npr 8972225100")</f>
        <v>Terminal Barra Direc Izq Npr 8972225100</v>
      </c>
      <c r="C11541" s="380" t="str">
        <f>IFERROR(__xludf.DUMMYFUNCTION("""COMPUTED_VALUE"""),"70006981")</f>
        <v>70006981</v>
      </c>
      <c r="D11541" s="380" t="s">
        <v>767</v>
      </c>
      <c r="E11541" s="380" t="s">
        <v>786</v>
      </c>
      <c r="F11541" s="380" t="s">
        <v>1020</v>
      </c>
      <c r="G11541" s="380" t="s">
        <v>1267</v>
      </c>
      <c r="H11541" s="380" t="s">
        <v>771</v>
      </c>
      <c r="I11541" s="380" t="s">
        <v>788</v>
      </c>
      <c r="J11541" s="380" t="s">
        <v>773</v>
      </c>
      <c r="K11541" s="381">
        <v>0.0</v>
      </c>
      <c r="L11541" s="382">
        <v>1.0</v>
      </c>
    </row>
    <row r="11542">
      <c r="A11542" s="380" t="s">
        <v>12416</v>
      </c>
      <c r="B11542" s="380" t="str">
        <f>IFERROR(__xludf.DUMMYFUNCTION("""COMPUTED_VALUE"""),"Bomba Aux Pedal Clucht Agrale 6007003334")</f>
        <v>Bomba Aux Pedal Clucht Agrale 6007003334</v>
      </c>
      <c r="C11542" s="380" t="str">
        <f>IFERROR(__xludf.DUMMYFUNCTION("""COMPUTED_VALUE"""),"70006982")</f>
        <v>70006982</v>
      </c>
      <c r="D11542" s="380" t="s">
        <v>767</v>
      </c>
      <c r="E11542" s="380" t="s">
        <v>786</v>
      </c>
      <c r="F11542" s="380" t="s">
        <v>5661</v>
      </c>
      <c r="G11542" s="380" t="s">
        <v>1267</v>
      </c>
      <c r="H11542" s="380" t="s">
        <v>771</v>
      </c>
      <c r="I11542" s="380" t="s">
        <v>788</v>
      </c>
      <c r="J11542" s="380" t="s">
        <v>773</v>
      </c>
      <c r="K11542" s="381">
        <v>0.0</v>
      </c>
      <c r="L11542" s="382">
        <v>1.0</v>
      </c>
    </row>
    <row r="11543">
      <c r="A11543" s="380" t="s">
        <v>12417</v>
      </c>
      <c r="B11543" s="380" t="str">
        <f>IFERROR(__xludf.DUMMYFUNCTION("""COMPUTED_VALUE"""),"Empaquetadura Valvula Pt5 SB 289061")</f>
        <v>Empaquetadura Valvula Pt5 SB 289061</v>
      </c>
      <c r="C11543" s="380" t="str">
        <f>IFERROR(__xludf.DUMMYFUNCTION("""COMPUTED_VALUE"""),"70006983")</f>
        <v>70006983</v>
      </c>
      <c r="D11543" s="380" t="s">
        <v>767</v>
      </c>
      <c r="E11543" s="380" t="s">
        <v>786</v>
      </c>
      <c r="F11543" s="380" t="s">
        <v>792</v>
      </c>
      <c r="G11543" s="380" t="s">
        <v>1267</v>
      </c>
      <c r="H11543" s="380" t="s">
        <v>771</v>
      </c>
      <c r="I11543" s="380" t="s">
        <v>788</v>
      </c>
      <c r="J11543" s="380" t="s">
        <v>773</v>
      </c>
      <c r="K11543" s="381">
        <v>0.0</v>
      </c>
      <c r="L11543" s="382">
        <v>1.0</v>
      </c>
    </row>
    <row r="11544">
      <c r="A11544" s="380" t="s">
        <v>12418</v>
      </c>
      <c r="B11544" s="380" t="str">
        <f>IFERROR(__xludf.DUMMYFUNCTION("""COMPUTED_VALUE"""),"Retenedor Propulsor Nkr 8943264410")</f>
        <v>Retenedor Propulsor Nkr 8943264410</v>
      </c>
      <c r="C11544" s="380" t="str">
        <f>IFERROR(__xludf.DUMMYFUNCTION("""COMPUTED_VALUE"""),"70006984")</f>
        <v>70006984</v>
      </c>
      <c r="D11544" s="380" t="s">
        <v>767</v>
      </c>
      <c r="E11544" s="380" t="s">
        <v>786</v>
      </c>
      <c r="F11544" s="380" t="s">
        <v>928</v>
      </c>
      <c r="G11544" s="380" t="s">
        <v>1267</v>
      </c>
      <c r="H11544" s="380" t="s">
        <v>771</v>
      </c>
      <c r="I11544" s="380" t="s">
        <v>788</v>
      </c>
      <c r="J11544" s="380" t="s">
        <v>773</v>
      </c>
      <c r="K11544" s="381">
        <v>0.0</v>
      </c>
      <c r="L11544" s="382">
        <v>1.0</v>
      </c>
    </row>
    <row r="11545">
      <c r="A11545" s="380" t="s">
        <v>12419</v>
      </c>
      <c r="B11545" s="380" t="str">
        <f>IFERROR(__xludf.DUMMYFUNCTION("""COMPUTED_VALUE"""),"SENS Presion Temp Admision AIR I 4921473")</f>
        <v>SENS Presion Temp Admision AIR I 4921473</v>
      </c>
      <c r="C11545" s="380" t="str">
        <f>IFERROR(__xludf.DUMMYFUNCTION("""COMPUTED_VALUE"""),"70006985")</f>
        <v>70006985</v>
      </c>
      <c r="D11545" s="380" t="s">
        <v>767</v>
      </c>
      <c r="E11545" s="380" t="s">
        <v>786</v>
      </c>
      <c r="F11545" s="380" t="s">
        <v>998</v>
      </c>
      <c r="G11545" s="380" t="s">
        <v>1267</v>
      </c>
      <c r="H11545" s="380" t="s">
        <v>771</v>
      </c>
      <c r="I11545" s="380" t="s">
        <v>788</v>
      </c>
      <c r="J11545" s="380" t="s">
        <v>773</v>
      </c>
      <c r="K11545" s="381">
        <v>0.0</v>
      </c>
      <c r="L11545" s="382">
        <v>1.0</v>
      </c>
    </row>
    <row r="11546">
      <c r="A11546" s="380" t="s">
        <v>12420</v>
      </c>
      <c r="B11546" s="380" t="str">
        <f>IFERROR(__xludf.DUMMYFUNCTION("""COMPUTED_VALUE"""),"Escotilla Der Aire Eagle 3660647c1")</f>
        <v>Escotilla Der Aire Eagle 3660647c1</v>
      </c>
      <c r="C11546" s="380" t="str">
        <f>IFERROR(__xludf.DUMMYFUNCTION("""COMPUTED_VALUE"""),"70006986")</f>
        <v>70006986</v>
      </c>
      <c r="D11546" s="380" t="s">
        <v>767</v>
      </c>
      <c r="E11546" s="380" t="s">
        <v>786</v>
      </c>
      <c r="F11546" s="380" t="s">
        <v>792</v>
      </c>
      <c r="G11546" s="380" t="s">
        <v>1267</v>
      </c>
      <c r="H11546" s="380" t="s">
        <v>771</v>
      </c>
      <c r="I11546" s="380" t="s">
        <v>788</v>
      </c>
      <c r="J11546" s="380" t="s">
        <v>773</v>
      </c>
      <c r="K11546" s="381">
        <v>0.0</v>
      </c>
      <c r="L11546" s="382">
        <v>1.0</v>
      </c>
    </row>
    <row r="11547">
      <c r="A11547" s="380" t="s">
        <v>12421</v>
      </c>
      <c r="B11547" s="380" t="str">
        <f>IFERROR(__xludf.DUMMYFUNCTION("""COMPUTED_VALUE"""),"INTruptor Pedal EMB Nkr 8943317231")</f>
        <v>INTruptor Pedal EMB Nkr 8943317231</v>
      </c>
      <c r="C11547" s="380" t="str">
        <f>IFERROR(__xludf.DUMMYFUNCTION("""COMPUTED_VALUE"""),"70006987")</f>
        <v>70006987</v>
      </c>
      <c r="D11547" s="380" t="s">
        <v>767</v>
      </c>
      <c r="E11547" s="380" t="s">
        <v>786</v>
      </c>
      <c r="F11547" s="380" t="s">
        <v>998</v>
      </c>
      <c r="G11547" s="380" t="s">
        <v>1267</v>
      </c>
      <c r="H11547" s="380" t="s">
        <v>771</v>
      </c>
      <c r="I11547" s="380" t="s">
        <v>788</v>
      </c>
      <c r="J11547" s="380" t="s">
        <v>773</v>
      </c>
      <c r="K11547" s="381">
        <v>0.0</v>
      </c>
      <c r="L11547" s="382">
        <v>1.0</v>
      </c>
    </row>
    <row r="11548">
      <c r="A11548" s="380" t="s">
        <v>12422</v>
      </c>
      <c r="B11548" s="380" t="str">
        <f>IFERROR(__xludf.DUMMYFUNCTION("""COMPUTED_VALUE"""),"Guaya Capo KWh 3000100345")</f>
        <v>Guaya Capo KWh 3000100345</v>
      </c>
      <c r="C11548" s="380" t="str">
        <f>IFERROR(__xludf.DUMMYFUNCTION("""COMPUTED_VALUE"""),"70006988")</f>
        <v>70006988</v>
      </c>
      <c r="D11548" s="380" t="s">
        <v>767</v>
      </c>
      <c r="E11548" s="380" t="s">
        <v>786</v>
      </c>
      <c r="F11548" s="380" t="s">
        <v>792</v>
      </c>
      <c r="G11548" s="380" t="s">
        <v>1267</v>
      </c>
      <c r="H11548" s="380" t="s">
        <v>771</v>
      </c>
      <c r="I11548" s="380" t="s">
        <v>788</v>
      </c>
      <c r="J11548" s="380" t="s">
        <v>773</v>
      </c>
      <c r="K11548" s="381">
        <v>0.0</v>
      </c>
      <c r="L11548" s="382">
        <v>1.0</v>
      </c>
    </row>
    <row r="11549">
      <c r="A11549" s="380" t="s">
        <v>12423</v>
      </c>
      <c r="B11549" s="380" t="str">
        <f>IFERROR(__xludf.DUMMYFUNCTION("""COMPUTED_VALUE"""),"EMPtadura BMB Aux Clucht Nhr 5878314020")</f>
        <v>EMPtadura BMB Aux Clucht Nhr 5878314020</v>
      </c>
      <c r="C11549" s="380" t="str">
        <f>IFERROR(__xludf.DUMMYFUNCTION("""COMPUTED_VALUE"""),"70006989")</f>
        <v>70006989</v>
      </c>
      <c r="D11549" s="380" t="s">
        <v>767</v>
      </c>
      <c r="E11549" s="380" t="s">
        <v>786</v>
      </c>
      <c r="F11549" s="380" t="s">
        <v>5661</v>
      </c>
      <c r="G11549" s="380" t="s">
        <v>1267</v>
      </c>
      <c r="H11549" s="380" t="s">
        <v>771</v>
      </c>
      <c r="I11549" s="380" t="s">
        <v>788</v>
      </c>
      <c r="J11549" s="380" t="s">
        <v>773</v>
      </c>
      <c r="K11549" s="381">
        <v>0.0</v>
      </c>
      <c r="L11549" s="382">
        <v>1.0</v>
      </c>
    </row>
    <row r="11550">
      <c r="A11550" s="380" t="s">
        <v>12424</v>
      </c>
      <c r="B11550" s="380" t="str">
        <f>IFERROR(__xludf.DUMMYFUNCTION("""COMPUTED_VALUE"""),"Correa Ventilador KWh 4100660 Dy")</f>
        <v>Correa Ventilador KWh 4100660 Dy</v>
      </c>
      <c r="C11550" s="380" t="str">
        <f>IFERROR(__xludf.DUMMYFUNCTION("""COMPUTED_VALUE"""),"70006990")</f>
        <v>70006990</v>
      </c>
      <c r="D11550" s="380" t="s">
        <v>767</v>
      </c>
      <c r="E11550" s="380" t="s">
        <v>786</v>
      </c>
      <c r="F11550" s="380" t="s">
        <v>787</v>
      </c>
      <c r="G11550" s="380" t="s">
        <v>1267</v>
      </c>
      <c r="H11550" s="380" t="s">
        <v>771</v>
      </c>
      <c r="I11550" s="380" t="s">
        <v>788</v>
      </c>
      <c r="J11550" s="380" t="s">
        <v>773</v>
      </c>
      <c r="K11550" s="381">
        <v>133393.0</v>
      </c>
      <c r="L11550" s="382">
        <v>1.0</v>
      </c>
    </row>
    <row r="11551">
      <c r="A11551" s="380" t="s">
        <v>12425</v>
      </c>
      <c r="B11551" s="380" t="str">
        <f>IFERROR(__xludf.DUMMYFUNCTION("""COMPUTED_VALUE"""),"Resorte Banda Corto KWh Fabricado")</f>
        <v>Resorte Banda Corto KWh Fabricado</v>
      </c>
      <c r="C11551" s="380" t="str">
        <f>IFERROR(__xludf.DUMMYFUNCTION("""COMPUTED_VALUE"""),"70006991")</f>
        <v>70006991</v>
      </c>
      <c r="D11551" s="380" t="s">
        <v>767</v>
      </c>
      <c r="E11551" s="380" t="s">
        <v>786</v>
      </c>
      <c r="F11551" s="380" t="s">
        <v>1017</v>
      </c>
      <c r="G11551" s="380" t="s">
        <v>1267</v>
      </c>
      <c r="H11551" s="380" t="s">
        <v>771</v>
      </c>
      <c r="I11551" s="380" t="s">
        <v>788</v>
      </c>
      <c r="J11551" s="380" t="s">
        <v>773</v>
      </c>
      <c r="K11551" s="381">
        <v>0.0</v>
      </c>
      <c r="L11551" s="382">
        <v>1.0</v>
      </c>
    </row>
    <row r="11552">
      <c r="A11552" s="380" t="s">
        <v>12426</v>
      </c>
      <c r="B11552" s="380" t="str">
        <f>IFERROR(__xludf.DUMMYFUNCTION("""COMPUTED_VALUE"""),"Hoja Resorte Del KWh 59400/2")</f>
        <v>Hoja Resorte Del KWh 59400/2</v>
      </c>
      <c r="C11552" s="380" t="str">
        <f>IFERROR(__xludf.DUMMYFUNCTION("""COMPUTED_VALUE"""),"70006992")</f>
        <v>70006992</v>
      </c>
      <c r="D11552" s="380" t="s">
        <v>767</v>
      </c>
      <c r="E11552" s="380" t="s">
        <v>786</v>
      </c>
      <c r="F11552" s="380" t="s">
        <v>1039</v>
      </c>
      <c r="G11552" s="380" t="s">
        <v>1267</v>
      </c>
      <c r="H11552" s="380" t="s">
        <v>771</v>
      </c>
      <c r="I11552" s="380" t="s">
        <v>788</v>
      </c>
      <c r="J11552" s="380" t="s">
        <v>773</v>
      </c>
      <c r="K11552" s="381">
        <v>0.0</v>
      </c>
      <c r="L11552" s="382">
        <v>1.0</v>
      </c>
    </row>
    <row r="11553">
      <c r="A11553" s="380" t="s">
        <v>12427</v>
      </c>
      <c r="B11553" s="380" t="str">
        <f>IFERROR(__xludf.DUMMYFUNCTION("""COMPUTED_VALUE"""),"Soporte Tope Caucho Capo KWo K179-450")</f>
        <v>Soporte Tope Caucho Capo KWo K179-450</v>
      </c>
      <c r="C11553" s="380" t="str">
        <f>IFERROR(__xludf.DUMMYFUNCTION("""COMPUTED_VALUE"""),"70006993")</f>
        <v>70006993</v>
      </c>
      <c r="D11553" s="380" t="s">
        <v>767</v>
      </c>
      <c r="E11553" s="380" t="s">
        <v>786</v>
      </c>
      <c r="F11553" s="380" t="s">
        <v>792</v>
      </c>
      <c r="G11553" s="380" t="s">
        <v>1267</v>
      </c>
      <c r="H11553" s="380" t="s">
        <v>771</v>
      </c>
      <c r="I11553" s="380" t="s">
        <v>788</v>
      </c>
      <c r="J11553" s="380" t="s">
        <v>773</v>
      </c>
      <c r="K11553" s="381">
        <v>59500.0</v>
      </c>
      <c r="L11553" s="382">
        <v>1.0</v>
      </c>
    </row>
    <row r="11554">
      <c r="A11554" s="380" t="s">
        <v>12428</v>
      </c>
      <c r="B11554" s="380" t="str">
        <f>IFERROR(__xludf.DUMMYFUNCTION("""COMPUTED_VALUE"""),"SENS TEMP MOT Isx KW4954905 3865346")</f>
        <v>SENS TEMP MOT Isx KW4954905 3865346</v>
      </c>
      <c r="C11554" s="380" t="str">
        <f>IFERROR(__xludf.DUMMYFUNCTION("""COMPUTED_VALUE"""),"70006994")</f>
        <v>70006994</v>
      </c>
      <c r="D11554" s="380" t="s">
        <v>767</v>
      </c>
      <c r="E11554" s="380" t="s">
        <v>786</v>
      </c>
      <c r="F11554" s="380" t="s">
        <v>998</v>
      </c>
      <c r="G11554" s="380" t="s">
        <v>1267</v>
      </c>
      <c r="H11554" s="380" t="s">
        <v>771</v>
      </c>
      <c r="I11554" s="380" t="s">
        <v>788</v>
      </c>
      <c r="J11554" s="380" t="s">
        <v>773</v>
      </c>
      <c r="K11554" s="381">
        <v>0.0</v>
      </c>
      <c r="L11554" s="382">
        <v>1.0</v>
      </c>
    </row>
    <row r="11555">
      <c r="A11555" s="380" t="s">
        <v>12429</v>
      </c>
      <c r="B11555" s="380" t="str">
        <f>IFERROR(__xludf.DUMMYFUNCTION("""COMPUTED_VALUE"""),"Caucho Barra Torcion S Carry 4534150f10")</f>
        <v>Caucho Barra Torcion S Carry 4534150f10</v>
      </c>
      <c r="C11555" s="380" t="str">
        <f>IFERROR(__xludf.DUMMYFUNCTION("""COMPUTED_VALUE"""),"70006995")</f>
        <v>70006995</v>
      </c>
      <c r="D11555" s="380" t="s">
        <v>767</v>
      </c>
      <c r="E11555" s="380" t="s">
        <v>786</v>
      </c>
      <c r="F11555" s="380" t="s">
        <v>1039</v>
      </c>
      <c r="G11555" s="380" t="s">
        <v>1267</v>
      </c>
      <c r="H11555" s="380" t="s">
        <v>771</v>
      </c>
      <c r="I11555" s="380" t="s">
        <v>788</v>
      </c>
      <c r="J11555" s="380" t="s">
        <v>773</v>
      </c>
      <c r="K11555" s="381">
        <v>0.0</v>
      </c>
      <c r="L11555" s="382">
        <v>1.0</v>
      </c>
    </row>
    <row r="11556">
      <c r="A11556" s="380" t="s">
        <v>12430</v>
      </c>
      <c r="B11556" s="380" t="str">
        <f>IFERROR(__xludf.DUMMYFUNCTION("""COMPUTED_VALUE"""),"Cremallera Elevavidrio Delta 6981087301")</f>
        <v>Cremallera Elevavidrio Delta 6981087301</v>
      </c>
      <c r="C11556" s="380" t="str">
        <f>IFERROR(__xludf.DUMMYFUNCTION("""COMPUTED_VALUE"""),"70006996")</f>
        <v>70006996</v>
      </c>
      <c r="D11556" s="380" t="s">
        <v>767</v>
      </c>
      <c r="E11556" s="380" t="s">
        <v>786</v>
      </c>
      <c r="F11556" s="380" t="s">
        <v>792</v>
      </c>
      <c r="G11556" s="380" t="s">
        <v>1267</v>
      </c>
      <c r="H11556" s="380" t="s">
        <v>771</v>
      </c>
      <c r="I11556" s="380" t="s">
        <v>788</v>
      </c>
      <c r="J11556" s="380" t="s">
        <v>773</v>
      </c>
      <c r="K11556" s="381">
        <v>196350.0</v>
      </c>
      <c r="L11556" s="382">
        <v>1.0</v>
      </c>
    </row>
    <row r="11557">
      <c r="A11557" s="380" t="s">
        <v>12431</v>
      </c>
      <c r="B11557" s="380" t="str">
        <f>IFERROR(__xludf.DUMMYFUNCTION("""COMPUTED_VALUE"""),"Espaciador Ajuste Media CJ 14718 4300912")</f>
        <v>Espaciador Ajuste Media CJ 14718 4300912</v>
      </c>
      <c r="C11557" s="380" t="str">
        <f>IFERROR(__xludf.DUMMYFUNCTION("""COMPUTED_VALUE"""),"70006997")</f>
        <v>70006997</v>
      </c>
      <c r="D11557" s="380" t="s">
        <v>767</v>
      </c>
      <c r="E11557" s="380" t="s">
        <v>786</v>
      </c>
      <c r="F11557" s="380" t="s">
        <v>928</v>
      </c>
      <c r="G11557" s="380" t="s">
        <v>1267</v>
      </c>
      <c r="H11557" s="380" t="s">
        <v>771</v>
      </c>
      <c r="I11557" s="380" t="s">
        <v>788</v>
      </c>
      <c r="J11557" s="380" t="s">
        <v>773</v>
      </c>
      <c r="K11557" s="381">
        <v>0.0</v>
      </c>
      <c r="L11557" s="382">
        <v>1.0</v>
      </c>
    </row>
    <row r="11558">
      <c r="A11558" s="380" t="s">
        <v>12432</v>
      </c>
      <c r="B11558" s="380" t="str">
        <f>IFERROR(__xludf.DUMMYFUNCTION("""COMPUTED_VALUE"""),"Disyuntor Luces 5 Patas 12v 4rd0077940")</f>
        <v>Disyuntor Luces 5 Patas 12v 4rd0077940</v>
      </c>
      <c r="C11558" s="380" t="str">
        <f>IFERROR(__xludf.DUMMYFUNCTION("""COMPUTED_VALUE"""),"70006998")</f>
        <v>70006998</v>
      </c>
      <c r="D11558" s="380" t="s">
        <v>767</v>
      </c>
      <c r="E11558" s="380" t="s">
        <v>786</v>
      </c>
      <c r="F11558" s="380" t="s">
        <v>998</v>
      </c>
      <c r="G11558" s="380" t="s">
        <v>1267</v>
      </c>
      <c r="H11558" s="380" t="s">
        <v>771</v>
      </c>
      <c r="I11558" s="380" t="s">
        <v>788</v>
      </c>
      <c r="J11558" s="380" t="s">
        <v>773</v>
      </c>
      <c r="K11558" s="381">
        <v>11025.0</v>
      </c>
      <c r="L11558" s="382">
        <v>1.0</v>
      </c>
    </row>
    <row r="11559">
      <c r="A11559" s="380" t="s">
        <v>12433</v>
      </c>
      <c r="B11559" s="380" t="str">
        <f>IFERROR(__xludf.DUMMYFUNCTION("""COMPUTED_VALUE"""),"Manguera Sup Radiador Nkr 8971474730")</f>
        <v>Manguera Sup Radiador Nkr 8971474730</v>
      </c>
      <c r="C11559" s="380" t="str">
        <f>IFERROR(__xludf.DUMMYFUNCTION("""COMPUTED_VALUE"""),"70006999")</f>
        <v>70006999</v>
      </c>
      <c r="D11559" s="380" t="s">
        <v>767</v>
      </c>
      <c r="E11559" s="380" t="s">
        <v>786</v>
      </c>
      <c r="F11559" s="380" t="s">
        <v>787</v>
      </c>
      <c r="G11559" s="380" t="s">
        <v>1267</v>
      </c>
      <c r="H11559" s="380" t="s">
        <v>771</v>
      </c>
      <c r="I11559" s="380" t="s">
        <v>788</v>
      </c>
      <c r="J11559" s="380" t="s">
        <v>773</v>
      </c>
      <c r="K11559" s="381">
        <v>0.0</v>
      </c>
      <c r="L11559" s="382">
        <v>1.0</v>
      </c>
    </row>
    <row r="11560">
      <c r="A11560" s="380" t="s">
        <v>12434</v>
      </c>
      <c r="B11560" s="380" t="str">
        <f>IFERROR(__xludf.DUMMYFUNCTION("""COMPUTED_VALUE"""),"Biela Piston Motor Npr 8971350321")</f>
        <v>Biela Piston Motor Npr 8971350321</v>
      </c>
      <c r="C11560" s="380" t="str">
        <f>IFERROR(__xludf.DUMMYFUNCTION("""COMPUTED_VALUE"""),"70007000")</f>
        <v>70007000</v>
      </c>
      <c r="D11560" s="380" t="s">
        <v>767</v>
      </c>
      <c r="E11560" s="380" t="s">
        <v>786</v>
      </c>
      <c r="F11560" s="380" t="s">
        <v>787</v>
      </c>
      <c r="G11560" s="380" t="s">
        <v>1267</v>
      </c>
      <c r="H11560" s="380" t="s">
        <v>771</v>
      </c>
      <c r="I11560" s="380" t="s">
        <v>788</v>
      </c>
      <c r="J11560" s="380" t="s">
        <v>773</v>
      </c>
      <c r="K11560" s="381">
        <v>0.0</v>
      </c>
      <c r="L11560" s="382">
        <v>1.0</v>
      </c>
    </row>
    <row r="11561">
      <c r="A11561" s="380" t="s">
        <v>12435</v>
      </c>
      <c r="B11561" s="380" t="str">
        <f>IFERROR(__xludf.DUMMYFUNCTION("""COMPUTED_VALUE"""),"Bujia Precalentamiento Npr 8941337599")</f>
        <v>Bujia Precalentamiento Npr 8941337599</v>
      </c>
      <c r="C11561" s="380" t="str">
        <f>IFERROR(__xludf.DUMMYFUNCTION("""COMPUTED_VALUE"""),"70007001")</f>
        <v>70007001</v>
      </c>
      <c r="D11561" s="380" t="s">
        <v>767</v>
      </c>
      <c r="E11561" s="380" t="s">
        <v>786</v>
      </c>
      <c r="F11561" s="380" t="s">
        <v>787</v>
      </c>
      <c r="G11561" s="380" t="s">
        <v>1267</v>
      </c>
      <c r="H11561" s="380" t="s">
        <v>771</v>
      </c>
      <c r="I11561" s="380" t="s">
        <v>788</v>
      </c>
      <c r="J11561" s="380" t="s">
        <v>773</v>
      </c>
      <c r="K11561" s="381">
        <v>39335.0</v>
      </c>
      <c r="L11561" s="382">
        <v>1.0</v>
      </c>
    </row>
    <row r="11562">
      <c r="A11562" s="380" t="s">
        <v>12436</v>
      </c>
      <c r="B11562" s="380" t="str">
        <f>IFERROR(__xludf.DUMMYFUNCTION("""COMPUTED_VALUE"""),"Arandela Axial Cigueñal Isuzu 8943992770")</f>
        <v>Arandela Axial Cigueñal Isuzu 8943992770</v>
      </c>
      <c r="C11562" s="380" t="str">
        <f>IFERROR(__xludf.DUMMYFUNCTION("""COMPUTED_VALUE"""),"70007002")</f>
        <v>70007002</v>
      </c>
      <c r="D11562" s="380" t="s">
        <v>767</v>
      </c>
      <c r="E11562" s="380" t="s">
        <v>786</v>
      </c>
      <c r="F11562" s="380" t="s">
        <v>787</v>
      </c>
      <c r="G11562" s="380" t="s">
        <v>1267</v>
      </c>
      <c r="H11562" s="380" t="s">
        <v>771</v>
      </c>
      <c r="I11562" s="380" t="s">
        <v>788</v>
      </c>
      <c r="J11562" s="380" t="s">
        <v>773</v>
      </c>
      <c r="K11562" s="381">
        <v>0.0</v>
      </c>
      <c r="L11562" s="382">
        <v>1.0</v>
      </c>
    </row>
    <row r="11563">
      <c r="A11563" s="380" t="s">
        <v>12437</v>
      </c>
      <c r="B11563" s="380" t="str">
        <f>IFERROR(__xludf.DUMMYFUNCTION("""COMPUTED_VALUE"""),"Arandela Axial Cigueñal Isuzu 8943992830")</f>
        <v>Arandela Axial Cigueñal Isuzu 8943992830</v>
      </c>
      <c r="C11563" s="380" t="str">
        <f>IFERROR(__xludf.DUMMYFUNCTION("""COMPUTED_VALUE"""),"70007003")</f>
        <v>70007003</v>
      </c>
      <c r="D11563" s="380" t="s">
        <v>767</v>
      </c>
      <c r="E11563" s="380" t="s">
        <v>786</v>
      </c>
      <c r="F11563" s="380" t="s">
        <v>787</v>
      </c>
      <c r="G11563" s="380" t="s">
        <v>1267</v>
      </c>
      <c r="H11563" s="380" t="s">
        <v>771</v>
      </c>
      <c r="I11563" s="380" t="s">
        <v>788</v>
      </c>
      <c r="J11563" s="380" t="s">
        <v>773</v>
      </c>
      <c r="K11563" s="381">
        <v>0.0</v>
      </c>
      <c r="L11563" s="382">
        <v>1.0</v>
      </c>
    </row>
    <row r="11564">
      <c r="A11564" s="380" t="s">
        <v>12438</v>
      </c>
      <c r="B11564" s="380" t="str">
        <f>IFERROR(__xludf.DUMMYFUNCTION("""COMPUTED_VALUE"""),"Alternador Npr 8971896500")</f>
        <v>Alternador Npr 8971896500</v>
      </c>
      <c r="C11564" s="380" t="str">
        <f>IFERROR(__xludf.DUMMYFUNCTION("""COMPUTED_VALUE"""),"70007004")</f>
        <v>70007004</v>
      </c>
      <c r="D11564" s="380" t="s">
        <v>767</v>
      </c>
      <c r="E11564" s="380" t="s">
        <v>786</v>
      </c>
      <c r="F11564" s="380" t="s">
        <v>998</v>
      </c>
      <c r="G11564" s="380" t="s">
        <v>1267</v>
      </c>
      <c r="H11564" s="380" t="s">
        <v>771</v>
      </c>
      <c r="I11564" s="380" t="s">
        <v>788</v>
      </c>
      <c r="J11564" s="380" t="s">
        <v>773</v>
      </c>
      <c r="K11564" s="381">
        <v>0.0</v>
      </c>
      <c r="L11564" s="382">
        <v>1.0</v>
      </c>
    </row>
    <row r="11565">
      <c r="A11565" s="380" t="s">
        <v>12439</v>
      </c>
      <c r="B11565" s="380" t="str">
        <f>IFERROR(__xludf.DUMMYFUNCTION("""COMPUTED_VALUE"""),"Kit Chapeta Cruceta Cardan KW T 1707018x")</f>
        <v>Kit Chapeta Cruceta Cardan KW T 1707018x</v>
      </c>
      <c r="C11565" s="380" t="str">
        <f>IFERROR(__xludf.DUMMYFUNCTION("""COMPUTED_VALUE"""),"70007005")</f>
        <v>70007005</v>
      </c>
      <c r="D11565" s="380" t="s">
        <v>767</v>
      </c>
      <c r="E11565" s="380" t="s">
        <v>786</v>
      </c>
      <c r="F11565" s="380" t="s">
        <v>5683</v>
      </c>
      <c r="G11565" s="380" t="s">
        <v>1267</v>
      </c>
      <c r="H11565" s="380" t="s">
        <v>771</v>
      </c>
      <c r="I11565" s="380" t="s">
        <v>788</v>
      </c>
      <c r="J11565" s="380" t="s">
        <v>773</v>
      </c>
      <c r="K11565" s="381">
        <v>0.0</v>
      </c>
      <c r="L11565" s="382">
        <v>1.0</v>
      </c>
    </row>
    <row r="11566">
      <c r="A11566" s="380" t="s">
        <v>12440</v>
      </c>
      <c r="B11566" s="380" t="str">
        <f>IFERROR(__xludf.DUMMYFUNCTION("""COMPUTED_VALUE"""),"Soporte Motor Izq Npr Isuzu 897201671")</f>
        <v>Soporte Motor Izq Npr Isuzu 897201671</v>
      </c>
      <c r="C11566" s="380" t="str">
        <f>IFERROR(__xludf.DUMMYFUNCTION("""COMPUTED_VALUE"""),"70007006")</f>
        <v>70007006</v>
      </c>
      <c r="D11566" s="380" t="s">
        <v>767</v>
      </c>
      <c r="E11566" s="380" t="s">
        <v>786</v>
      </c>
      <c r="F11566" s="380" t="s">
        <v>787</v>
      </c>
      <c r="G11566" s="380" t="s">
        <v>1267</v>
      </c>
      <c r="H11566" s="380" t="s">
        <v>771</v>
      </c>
      <c r="I11566" s="380" t="s">
        <v>788</v>
      </c>
      <c r="J11566" s="380" t="s">
        <v>773</v>
      </c>
      <c r="K11566" s="381">
        <v>0.0</v>
      </c>
      <c r="L11566" s="382">
        <v>1.0</v>
      </c>
    </row>
    <row r="11567">
      <c r="A11567" s="380" t="s">
        <v>12441</v>
      </c>
      <c r="B11567" s="380" t="str">
        <f>IFERROR(__xludf.DUMMYFUNCTION("""COMPUTED_VALUE"""),"Soporte Motor Der Npr Isuzu 897201669")</f>
        <v>Soporte Motor Der Npr Isuzu 897201669</v>
      </c>
      <c r="C11567" s="380" t="str">
        <f>IFERROR(__xludf.DUMMYFUNCTION("""COMPUTED_VALUE"""),"70007007")</f>
        <v>70007007</v>
      </c>
      <c r="D11567" s="380" t="s">
        <v>767</v>
      </c>
      <c r="E11567" s="380" t="s">
        <v>786</v>
      </c>
      <c r="F11567" s="380" t="s">
        <v>787</v>
      </c>
      <c r="G11567" s="380" t="s">
        <v>1267</v>
      </c>
      <c r="H11567" s="380" t="s">
        <v>771</v>
      </c>
      <c r="I11567" s="380" t="s">
        <v>788</v>
      </c>
      <c r="J11567" s="380" t="s">
        <v>773</v>
      </c>
      <c r="K11567" s="381">
        <v>0.0</v>
      </c>
      <c r="L11567" s="382">
        <v>1.0</v>
      </c>
    </row>
    <row r="11568">
      <c r="A11568" s="380" t="s">
        <v>12442</v>
      </c>
      <c r="B11568" s="380" t="str">
        <f>IFERROR(__xludf.DUMMYFUNCTION("""COMPUTED_VALUE"""),"Manguera Inf Radiador Npr Isuzu 97177372")</f>
        <v>Manguera Inf Radiador Npr Isuzu 97177372</v>
      </c>
      <c r="C11568" s="380" t="str">
        <f>IFERROR(__xludf.DUMMYFUNCTION("""COMPUTED_VALUE"""),"70007008")</f>
        <v>70007008</v>
      </c>
      <c r="D11568" s="380" t="s">
        <v>767</v>
      </c>
      <c r="E11568" s="380" t="s">
        <v>786</v>
      </c>
      <c r="F11568" s="380" t="s">
        <v>787</v>
      </c>
      <c r="G11568" s="380" t="s">
        <v>1267</v>
      </c>
      <c r="H11568" s="380" t="s">
        <v>771</v>
      </c>
      <c r="I11568" s="380" t="s">
        <v>788</v>
      </c>
      <c r="J11568" s="380" t="s">
        <v>773</v>
      </c>
      <c r="K11568" s="381">
        <v>0.0</v>
      </c>
      <c r="L11568" s="382">
        <v>1.0</v>
      </c>
    </row>
    <row r="11569">
      <c r="A11569" s="380" t="s">
        <v>12443</v>
      </c>
      <c r="B11569" s="380" t="str">
        <f>IFERROR(__xludf.DUMMYFUNCTION("""COMPUTED_VALUE"""),"Actuador De Sincronizacion KWh 4089540rv")</f>
        <v>Actuador De Sincronizacion KWh 4089540rv</v>
      </c>
      <c r="C11569" s="380" t="str">
        <f>IFERROR(__xludf.DUMMYFUNCTION("""COMPUTED_VALUE"""),"70007009")</f>
        <v>70007009</v>
      </c>
      <c r="D11569" s="380" t="s">
        <v>767</v>
      </c>
      <c r="E11569" s="380" t="s">
        <v>786</v>
      </c>
      <c r="F11569" s="380" t="s">
        <v>787</v>
      </c>
      <c r="G11569" s="380" t="s">
        <v>1267</v>
      </c>
      <c r="H11569" s="380" t="s">
        <v>771</v>
      </c>
      <c r="I11569" s="380" t="s">
        <v>788</v>
      </c>
      <c r="J11569" s="380" t="s">
        <v>773</v>
      </c>
      <c r="K11569" s="381">
        <v>0.0</v>
      </c>
      <c r="L11569" s="382">
        <v>1.0</v>
      </c>
    </row>
    <row r="11570">
      <c r="A11570" s="380" t="s">
        <v>12444</v>
      </c>
      <c r="B11570" s="380" t="str">
        <f>IFERROR(__xludf.DUMMYFUNCTION("""COMPUTED_VALUE"""),"Terminal Barra Direc Der Npr 8972225090")</f>
        <v>Terminal Barra Direc Der Npr 8972225090</v>
      </c>
      <c r="C11570" s="380" t="str">
        <f>IFERROR(__xludf.DUMMYFUNCTION("""COMPUTED_VALUE"""),"70007010")</f>
        <v>70007010</v>
      </c>
      <c r="D11570" s="380" t="s">
        <v>767</v>
      </c>
      <c r="E11570" s="380" t="s">
        <v>786</v>
      </c>
      <c r="F11570" s="380" t="s">
        <v>1020</v>
      </c>
      <c r="G11570" s="380" t="s">
        <v>1267</v>
      </c>
      <c r="H11570" s="380" t="s">
        <v>771</v>
      </c>
      <c r="I11570" s="380" t="s">
        <v>788</v>
      </c>
      <c r="J11570" s="380" t="s">
        <v>773</v>
      </c>
      <c r="K11570" s="381">
        <v>0.0</v>
      </c>
      <c r="L11570" s="382">
        <v>1.0</v>
      </c>
    </row>
    <row r="11571">
      <c r="A11571" s="380" t="s">
        <v>12445</v>
      </c>
      <c r="B11571" s="380" t="str">
        <f>IFERROR(__xludf.DUMMYFUNCTION("""COMPUTED_VALUE"""),"Correa Ventilador Freighliner 8pk1700")</f>
        <v>Correa Ventilador Freighliner 8pk1700</v>
      </c>
      <c r="C11571" s="380" t="str">
        <f>IFERROR(__xludf.DUMMYFUNCTION("""COMPUTED_VALUE"""),"70007011")</f>
        <v>70007011</v>
      </c>
      <c r="D11571" s="380" t="s">
        <v>767</v>
      </c>
      <c r="E11571" s="380" t="s">
        <v>786</v>
      </c>
      <c r="F11571" s="380" t="s">
        <v>787</v>
      </c>
      <c r="G11571" s="380" t="s">
        <v>1267</v>
      </c>
      <c r="H11571" s="380" t="s">
        <v>771</v>
      </c>
      <c r="I11571" s="380" t="s">
        <v>788</v>
      </c>
      <c r="J11571" s="380" t="s">
        <v>773</v>
      </c>
      <c r="K11571" s="381">
        <v>0.0</v>
      </c>
      <c r="L11571" s="382">
        <v>1.0</v>
      </c>
    </row>
    <row r="11572">
      <c r="A11572" s="380" t="s">
        <v>12446</v>
      </c>
      <c r="B11572" s="380" t="str">
        <f>IFERROR(__xludf.DUMMYFUNCTION("""COMPUTED_VALUE"""),"Manija Elevavidrio PTA Hi4300 3508990c4")</f>
        <v>Manija Elevavidrio PTA Hi4300 3508990c4</v>
      </c>
      <c r="C11572" s="380" t="str">
        <f>IFERROR(__xludf.DUMMYFUNCTION("""COMPUTED_VALUE"""),"70007012")</f>
        <v>70007012</v>
      </c>
      <c r="D11572" s="380" t="s">
        <v>767</v>
      </c>
      <c r="E11572" s="380" t="s">
        <v>786</v>
      </c>
      <c r="F11572" s="380" t="s">
        <v>792</v>
      </c>
      <c r="G11572" s="380" t="s">
        <v>1267</v>
      </c>
      <c r="H11572" s="380" t="s">
        <v>771</v>
      </c>
      <c r="I11572" s="380" t="s">
        <v>788</v>
      </c>
      <c r="J11572" s="380" t="s">
        <v>773</v>
      </c>
      <c r="K11572" s="381">
        <v>132994.0</v>
      </c>
      <c r="L11572" s="382">
        <v>1.0</v>
      </c>
    </row>
    <row r="11573">
      <c r="A11573" s="380" t="s">
        <v>12447</v>
      </c>
      <c r="B11573" s="380" t="str">
        <f>IFERROR(__xludf.DUMMYFUNCTION("""COMPUTED_VALUE"""),"Carbura Carburador Motor S.C. Y Van N200")</f>
        <v>Carbura Carburador Motor S.C. Y Van N200</v>
      </c>
      <c r="C11573" s="380" t="str">
        <f>IFERROR(__xludf.DUMMYFUNCTION("""COMPUTED_VALUE"""),"70007013")</f>
        <v>70007013</v>
      </c>
      <c r="D11573" s="380" t="s">
        <v>767</v>
      </c>
      <c r="E11573" s="380" t="s">
        <v>786</v>
      </c>
      <c r="F11573" s="380" t="s">
        <v>787</v>
      </c>
      <c r="G11573" s="380" t="s">
        <v>1267</v>
      </c>
      <c r="H11573" s="380" t="s">
        <v>771</v>
      </c>
      <c r="I11573" s="380" t="s">
        <v>788</v>
      </c>
      <c r="J11573" s="380" t="s">
        <v>773</v>
      </c>
      <c r="K11573" s="381">
        <v>0.0</v>
      </c>
      <c r="L11573" s="382">
        <v>1.0</v>
      </c>
    </row>
    <row r="11574">
      <c r="A11574" s="380" t="s">
        <v>12448</v>
      </c>
      <c r="B11574" s="380" t="str">
        <f>IFERROR(__xludf.DUMMYFUNCTION("""COMPUTED_VALUE"""),"Borne De P Borne De Plomo S.Carry 903100")</f>
        <v>Borne De P Borne De Plomo S.Carry 903100</v>
      </c>
      <c r="C11574" s="380" t="str">
        <f>IFERROR(__xludf.DUMMYFUNCTION("""COMPUTED_VALUE"""),"70007014")</f>
        <v>70007014</v>
      </c>
      <c r="D11574" s="380" t="s">
        <v>767</v>
      </c>
      <c r="E11574" s="380" t="s">
        <v>786</v>
      </c>
      <c r="F11574" s="380" t="s">
        <v>998</v>
      </c>
      <c r="G11574" s="380" t="s">
        <v>1267</v>
      </c>
      <c r="H11574" s="380" t="s">
        <v>771</v>
      </c>
      <c r="I11574" s="380" t="s">
        <v>788</v>
      </c>
      <c r="J11574" s="380" t="s">
        <v>773</v>
      </c>
      <c r="K11574" s="381">
        <v>0.0</v>
      </c>
      <c r="L11574" s="382">
        <v>1.0</v>
      </c>
    </row>
    <row r="11575">
      <c r="A11575" s="380" t="s">
        <v>12449</v>
      </c>
      <c r="B11575" s="380" t="str">
        <f>IFERROR(__xludf.DUMMYFUNCTION("""COMPUTED_VALUE"""),"Extension Der Capo Hi 4300 3566717c2")</f>
        <v>Extension Der Capo Hi 4300 3566717c2</v>
      </c>
      <c r="C11575" s="380" t="str">
        <f>IFERROR(__xludf.DUMMYFUNCTION("""COMPUTED_VALUE"""),"70007015")</f>
        <v>70007015</v>
      </c>
      <c r="D11575" s="380" t="s">
        <v>767</v>
      </c>
      <c r="E11575" s="380" t="s">
        <v>786</v>
      </c>
      <c r="F11575" s="380" t="s">
        <v>792</v>
      </c>
      <c r="G11575" s="380" t="s">
        <v>1267</v>
      </c>
      <c r="H11575" s="380" t="s">
        <v>771</v>
      </c>
      <c r="I11575" s="380" t="s">
        <v>788</v>
      </c>
      <c r="J11575" s="380" t="s">
        <v>773</v>
      </c>
      <c r="K11575" s="381">
        <v>0.0</v>
      </c>
      <c r="L11575" s="382">
        <v>1.0</v>
      </c>
    </row>
    <row r="11576">
      <c r="A11576" s="380" t="s">
        <v>12450</v>
      </c>
      <c r="B11576" s="380" t="str">
        <f>IFERROR(__xludf.DUMMYFUNCTION("""COMPUTED_VALUE"""),"EMP Inf Vidrio PTA Hi4300 3557122c2-")</f>
        <v>EMP Inf Vidrio PTA Hi4300 3557122c2-</v>
      </c>
      <c r="C11576" s="380" t="str">
        <f>IFERROR(__xludf.DUMMYFUNCTION("""COMPUTED_VALUE"""),"70007016")</f>
        <v>70007016</v>
      </c>
      <c r="D11576" s="380" t="s">
        <v>767</v>
      </c>
      <c r="E11576" s="380" t="s">
        <v>786</v>
      </c>
      <c r="F11576" s="380" t="s">
        <v>792</v>
      </c>
      <c r="G11576" s="380" t="s">
        <v>1267</v>
      </c>
      <c r="H11576" s="380" t="s">
        <v>771</v>
      </c>
      <c r="I11576" s="380" t="s">
        <v>788</v>
      </c>
      <c r="J11576" s="380" t="s">
        <v>773</v>
      </c>
      <c r="K11576" s="381">
        <v>0.0</v>
      </c>
      <c r="L11576" s="382">
        <v>1.0</v>
      </c>
    </row>
    <row r="11577">
      <c r="A11577" s="380" t="s">
        <v>12451</v>
      </c>
      <c r="B11577" s="380" t="str">
        <f>IFERROR(__xludf.DUMMYFUNCTION("""COMPUTED_VALUE"""),"EMP Sup Vidrio PTA Hi4300 3588772c1")</f>
        <v>EMP Sup Vidrio PTA Hi4300 3588772c1</v>
      </c>
      <c r="C11577" s="380" t="str">
        <f>IFERROR(__xludf.DUMMYFUNCTION("""COMPUTED_VALUE"""),"70007017")</f>
        <v>70007017</v>
      </c>
      <c r="D11577" s="380" t="s">
        <v>767</v>
      </c>
      <c r="E11577" s="380" t="s">
        <v>786</v>
      </c>
      <c r="F11577" s="380" t="s">
        <v>792</v>
      </c>
      <c r="G11577" s="380" t="s">
        <v>1267</v>
      </c>
      <c r="H11577" s="380" t="s">
        <v>771</v>
      </c>
      <c r="I11577" s="380" t="s">
        <v>788</v>
      </c>
      <c r="J11577" s="380" t="s">
        <v>773</v>
      </c>
      <c r="K11577" s="381">
        <v>0.0</v>
      </c>
      <c r="L11577" s="382">
        <v>1.0</v>
      </c>
    </row>
    <row r="11578">
      <c r="A11578" s="380" t="s">
        <v>12452</v>
      </c>
      <c r="B11578" s="380" t="str">
        <f>IFERROR(__xludf.DUMMYFUNCTION("""COMPUTED_VALUE"""),"Motor Limpiabrisas Eagle 900 2015299c1")</f>
        <v>Motor Limpiabrisas Eagle 900 2015299c1</v>
      </c>
      <c r="C11578" s="380" t="str">
        <f>IFERROR(__xludf.DUMMYFUNCTION("""COMPUTED_VALUE"""),"70007018")</f>
        <v>70007018</v>
      </c>
      <c r="D11578" s="380" t="s">
        <v>767</v>
      </c>
      <c r="E11578" s="380" t="s">
        <v>786</v>
      </c>
      <c r="F11578" s="380" t="s">
        <v>998</v>
      </c>
      <c r="G11578" s="380" t="s">
        <v>1267</v>
      </c>
      <c r="H11578" s="380" t="s">
        <v>771</v>
      </c>
      <c r="I11578" s="380" t="s">
        <v>788</v>
      </c>
      <c r="J11578" s="380" t="s">
        <v>773</v>
      </c>
      <c r="K11578" s="381">
        <v>0.0</v>
      </c>
      <c r="L11578" s="382">
        <v>1.0</v>
      </c>
    </row>
    <row r="11579">
      <c r="A11579" s="380" t="s">
        <v>12453</v>
      </c>
      <c r="B11579" s="380" t="str">
        <f>IFERROR(__xludf.DUMMYFUNCTION("""COMPUTED_VALUE"""),"Bocel Inf Capo Kemworth K2122900")</f>
        <v>Bocel Inf Capo Kemworth K2122900</v>
      </c>
      <c r="C11579" s="380" t="str">
        <f>IFERROR(__xludf.DUMMYFUNCTION("""COMPUTED_VALUE"""),"70007019")</f>
        <v>70007019</v>
      </c>
      <c r="D11579" s="380" t="s">
        <v>767</v>
      </c>
      <c r="E11579" s="380" t="s">
        <v>786</v>
      </c>
      <c r="F11579" s="380" t="s">
        <v>792</v>
      </c>
      <c r="G11579" s="380" t="s">
        <v>1267</v>
      </c>
      <c r="H11579" s="380" t="s">
        <v>771</v>
      </c>
      <c r="I11579" s="380" t="s">
        <v>788</v>
      </c>
      <c r="J11579" s="380" t="s">
        <v>773</v>
      </c>
      <c r="K11579" s="381">
        <v>0.0</v>
      </c>
      <c r="L11579" s="382">
        <v>1.0</v>
      </c>
    </row>
    <row r="11580">
      <c r="A11580" s="380" t="s">
        <v>12454</v>
      </c>
      <c r="B11580" s="380" t="str">
        <f>IFERROR(__xludf.DUMMYFUNCTION("""COMPUTED_VALUE"""),"Tuerca Base Muelle Del Hi 4300 416743c1")</f>
        <v>Tuerca Base Muelle Del Hi 4300 416743c1</v>
      </c>
      <c r="C11580" s="380" t="str">
        <f>IFERROR(__xludf.DUMMYFUNCTION("""COMPUTED_VALUE"""),"70007020")</f>
        <v>70007020</v>
      </c>
      <c r="D11580" s="380" t="s">
        <v>767</v>
      </c>
      <c r="E11580" s="380" t="s">
        <v>786</v>
      </c>
      <c r="F11580" s="380" t="s">
        <v>1039</v>
      </c>
      <c r="G11580" s="380" t="s">
        <v>1267</v>
      </c>
      <c r="H11580" s="380" t="s">
        <v>771</v>
      </c>
      <c r="I11580" s="380" t="s">
        <v>788</v>
      </c>
      <c r="J11580" s="380" t="s">
        <v>773</v>
      </c>
      <c r="K11580" s="381">
        <v>0.0</v>
      </c>
      <c r="L11580" s="382">
        <v>1.0</v>
      </c>
    </row>
    <row r="11581">
      <c r="A11581" s="380" t="s">
        <v>12455</v>
      </c>
      <c r="B11581" s="380" t="str">
        <f>IFERROR(__xludf.DUMMYFUNCTION("""COMPUTED_VALUE"""),"Ele Bisagra Capo Kemworth K282352")</f>
        <v>Ele Bisagra Capo Kemworth K282352</v>
      </c>
      <c r="C11581" s="380" t="str">
        <f>IFERROR(__xludf.DUMMYFUNCTION("""COMPUTED_VALUE"""),"70007021")</f>
        <v>70007021</v>
      </c>
      <c r="D11581" s="380" t="s">
        <v>767</v>
      </c>
      <c r="E11581" s="380" t="s">
        <v>786</v>
      </c>
      <c r="F11581" s="380" t="s">
        <v>792</v>
      </c>
      <c r="G11581" s="380" t="s">
        <v>1267</v>
      </c>
      <c r="H11581" s="380" t="s">
        <v>771</v>
      </c>
      <c r="I11581" s="380" t="s">
        <v>788</v>
      </c>
      <c r="J11581" s="380" t="s">
        <v>773</v>
      </c>
      <c r="K11581" s="381">
        <v>0.0</v>
      </c>
      <c r="L11581" s="382">
        <v>1.0</v>
      </c>
    </row>
    <row r="11582">
      <c r="A11582" s="380" t="s">
        <v>12456</v>
      </c>
      <c r="B11582" s="380" t="str">
        <f>IFERROR(__xludf.DUMMYFUNCTION("""COMPUTED_VALUE"""),"RAD Co Radiador Con Panal Kenworth Nuevo")</f>
        <v>RAD Co Radiador Con Panal Kenworth Nuevo</v>
      </c>
      <c r="C11582" s="380" t="str">
        <f>IFERROR(__xludf.DUMMYFUNCTION("""COMPUTED_VALUE"""),"70007022")</f>
        <v>70007022</v>
      </c>
      <c r="D11582" s="380" t="s">
        <v>767</v>
      </c>
      <c r="E11582" s="380" t="s">
        <v>786</v>
      </c>
      <c r="F11582" s="380" t="s">
        <v>787</v>
      </c>
      <c r="G11582" s="380" t="s">
        <v>1267</v>
      </c>
      <c r="H11582" s="380" t="s">
        <v>771</v>
      </c>
      <c r="I11582" s="380" t="s">
        <v>788</v>
      </c>
      <c r="J11582" s="380" t="s">
        <v>773</v>
      </c>
      <c r="K11582" s="381">
        <v>6783000.0</v>
      </c>
      <c r="L11582" s="382">
        <v>1.0</v>
      </c>
    </row>
    <row r="11583">
      <c r="A11583" s="380" t="s">
        <v>12457</v>
      </c>
      <c r="B11583" s="380" t="str">
        <f>IFERROR(__xludf.DUMMYFUNCTION("""COMPUTED_VALUE"""),"Cilindro Freno Del Izq Nhr 8971793580")</f>
        <v>Cilindro Freno Del Izq Nhr 8971793580</v>
      </c>
      <c r="C11583" s="380" t="str">
        <f>IFERROR(__xludf.DUMMYFUNCTION("""COMPUTED_VALUE"""),"70007023")</f>
        <v>70007023</v>
      </c>
      <c r="D11583" s="380" t="s">
        <v>767</v>
      </c>
      <c r="E11583" s="380" t="s">
        <v>786</v>
      </c>
      <c r="F11583" s="380" t="s">
        <v>1017</v>
      </c>
      <c r="G11583" s="380" t="s">
        <v>1267</v>
      </c>
      <c r="H11583" s="380" t="s">
        <v>771</v>
      </c>
      <c r="I11583" s="380" t="s">
        <v>788</v>
      </c>
      <c r="J11583" s="380" t="s">
        <v>773</v>
      </c>
      <c r="K11583" s="381">
        <v>0.0</v>
      </c>
      <c r="L11583" s="382">
        <v>1.0</v>
      </c>
    </row>
    <row r="11584">
      <c r="A11584" s="380" t="s">
        <v>12458</v>
      </c>
      <c r="B11584" s="380" t="str">
        <f>IFERROR(__xludf.DUMMYFUNCTION("""COMPUTED_VALUE"""),"Base Emblema Frontal Capo KWh K170461")</f>
        <v>Base Emblema Frontal Capo KWh K170461</v>
      </c>
      <c r="C11584" s="380" t="str">
        <f>IFERROR(__xludf.DUMMYFUNCTION("""COMPUTED_VALUE"""),"70007024")</f>
        <v>70007024</v>
      </c>
      <c r="D11584" s="380" t="s">
        <v>767</v>
      </c>
      <c r="E11584" s="380" t="s">
        <v>786</v>
      </c>
      <c r="F11584" s="380" t="s">
        <v>792</v>
      </c>
      <c r="G11584" s="380" t="s">
        <v>1267</v>
      </c>
      <c r="H11584" s="380" t="s">
        <v>771</v>
      </c>
      <c r="I11584" s="380" t="s">
        <v>788</v>
      </c>
      <c r="J11584" s="380" t="s">
        <v>773</v>
      </c>
      <c r="K11584" s="381">
        <v>0.0</v>
      </c>
      <c r="L11584" s="382">
        <v>1.0</v>
      </c>
    </row>
    <row r="11585">
      <c r="A11585" s="380" t="s">
        <v>12459</v>
      </c>
      <c r="B11585" s="380" t="str">
        <f>IFERROR(__xludf.DUMMYFUNCTION("""COMPUTED_VALUE"""),"Lampara Techo Ext Hi4300 3524553c94")</f>
        <v>Lampara Techo Ext Hi4300 3524553c94</v>
      </c>
      <c r="C11585" s="380" t="str">
        <f>IFERROR(__xludf.DUMMYFUNCTION("""COMPUTED_VALUE"""),"70007025")</f>
        <v>70007025</v>
      </c>
      <c r="D11585" s="380" t="s">
        <v>767</v>
      </c>
      <c r="E11585" s="380" t="s">
        <v>786</v>
      </c>
      <c r="F11585" s="380" t="s">
        <v>998</v>
      </c>
      <c r="G11585" s="380" t="s">
        <v>1267</v>
      </c>
      <c r="H11585" s="380" t="s">
        <v>771</v>
      </c>
      <c r="I11585" s="380" t="s">
        <v>788</v>
      </c>
      <c r="J11585" s="380" t="s">
        <v>773</v>
      </c>
      <c r="K11585" s="381">
        <v>0.0</v>
      </c>
      <c r="L11585" s="382">
        <v>1.0</v>
      </c>
    </row>
    <row r="11586">
      <c r="A11586" s="380" t="s">
        <v>12460</v>
      </c>
      <c r="B11586" s="380" t="str">
        <f>IFERROR(__xludf.DUMMYFUNCTION("""COMPUTED_VALUE"""),"Disyuntor Luces 4 Patas 00351-0081")</f>
        <v>Disyuntor Luces 4 Patas 00351-0081</v>
      </c>
      <c r="C11586" s="380" t="str">
        <f>IFERROR(__xludf.DUMMYFUNCTION("""COMPUTED_VALUE"""),"70007026")</f>
        <v>70007026</v>
      </c>
      <c r="D11586" s="380" t="s">
        <v>767</v>
      </c>
      <c r="E11586" s="380" t="s">
        <v>786</v>
      </c>
      <c r="F11586" s="380" t="s">
        <v>998</v>
      </c>
      <c r="G11586" s="380" t="s">
        <v>1267</v>
      </c>
      <c r="H11586" s="380" t="s">
        <v>771</v>
      </c>
      <c r="I11586" s="380" t="s">
        <v>788</v>
      </c>
      <c r="J11586" s="380" t="s">
        <v>773</v>
      </c>
      <c r="K11586" s="381">
        <v>0.0</v>
      </c>
      <c r="L11586" s="382">
        <v>1.0</v>
      </c>
    </row>
    <row r="11587">
      <c r="A11587" s="380" t="s">
        <v>12461</v>
      </c>
      <c r="B11587" s="380" t="str">
        <f>IFERROR(__xludf.DUMMYFUNCTION("""COMPUTED_VALUE"""),"Fan Clucht Npr 8971392990")</f>
        <v>Fan Clucht Npr 8971392990</v>
      </c>
      <c r="C11587" s="380" t="str">
        <f>IFERROR(__xludf.DUMMYFUNCTION("""COMPUTED_VALUE"""),"70007027")</f>
        <v>70007027</v>
      </c>
      <c r="D11587" s="380" t="s">
        <v>767</v>
      </c>
      <c r="E11587" s="380" t="s">
        <v>786</v>
      </c>
      <c r="F11587" s="380" t="s">
        <v>787</v>
      </c>
      <c r="G11587" s="380" t="s">
        <v>1267</v>
      </c>
      <c r="H11587" s="380" t="s">
        <v>771</v>
      </c>
      <c r="I11587" s="380" t="s">
        <v>788</v>
      </c>
      <c r="J11587" s="380" t="s">
        <v>773</v>
      </c>
      <c r="K11587" s="381">
        <v>0.0</v>
      </c>
      <c r="L11587" s="382">
        <v>1.0</v>
      </c>
    </row>
    <row r="11588">
      <c r="A11588" s="380" t="s">
        <v>12462</v>
      </c>
      <c r="B11588" s="380" t="str">
        <f>IFERROR(__xludf.DUMMYFUNCTION("""COMPUTED_VALUE"""),"EMP Tapa VALVs Isx KWh Cummins 4026507")</f>
        <v>EMP Tapa VALVs Isx KWh Cummins 4026507</v>
      </c>
      <c r="C11588" s="380" t="str">
        <f>IFERROR(__xludf.DUMMYFUNCTION("""COMPUTED_VALUE"""),"70007028")</f>
        <v>70007028</v>
      </c>
      <c r="D11588" s="380" t="s">
        <v>767</v>
      </c>
      <c r="E11588" s="380" t="s">
        <v>786</v>
      </c>
      <c r="F11588" s="380" t="s">
        <v>787</v>
      </c>
      <c r="G11588" s="380" t="s">
        <v>1267</v>
      </c>
      <c r="H11588" s="380" t="s">
        <v>771</v>
      </c>
      <c r="I11588" s="380" t="s">
        <v>788</v>
      </c>
      <c r="J11588" s="380" t="s">
        <v>773</v>
      </c>
      <c r="K11588" s="381">
        <v>0.0</v>
      </c>
      <c r="L11588" s="382">
        <v>1.0</v>
      </c>
    </row>
    <row r="11589">
      <c r="A11589" s="380" t="s">
        <v>12463</v>
      </c>
      <c r="B11589" s="380" t="str">
        <f>IFERROR(__xludf.DUMMYFUNCTION("""COMPUTED_VALUE"""),"Esparrago Rueda Tras Dcha Npr 8970815841")</f>
        <v>Esparrago Rueda Tras Dcha Npr 8970815841</v>
      </c>
      <c r="C11589" s="380" t="str">
        <f>IFERROR(__xludf.DUMMYFUNCTION("""COMPUTED_VALUE"""),"70007029")</f>
        <v>70007029</v>
      </c>
      <c r="D11589" s="380" t="s">
        <v>767</v>
      </c>
      <c r="E11589" s="380" t="s">
        <v>786</v>
      </c>
      <c r="F11589" s="380" t="s">
        <v>1039</v>
      </c>
      <c r="G11589" s="380" t="s">
        <v>1267</v>
      </c>
      <c r="H11589" s="380" t="s">
        <v>771</v>
      </c>
      <c r="I11589" s="380" t="s">
        <v>788</v>
      </c>
      <c r="J11589" s="380" t="s">
        <v>773</v>
      </c>
      <c r="K11589" s="381">
        <v>0.0</v>
      </c>
      <c r="L11589" s="382">
        <v>1.0</v>
      </c>
    </row>
    <row r="11590">
      <c r="A11590" s="380" t="s">
        <v>12464</v>
      </c>
      <c r="B11590" s="380" t="str">
        <f>IFERROR(__xludf.DUMMYFUNCTION("""COMPUTED_VALUE"""),"Tuerca Esparrago RDA Tras Npr 9091105220")</f>
        <v>Tuerca Esparrago RDA Tras Npr 9091105220</v>
      </c>
      <c r="C11590" s="380" t="str">
        <f>IFERROR(__xludf.DUMMYFUNCTION("""COMPUTED_VALUE"""),"70007030")</f>
        <v>70007030</v>
      </c>
      <c r="D11590" s="380" t="s">
        <v>767</v>
      </c>
      <c r="E11590" s="380" t="s">
        <v>786</v>
      </c>
      <c r="F11590" s="380" t="s">
        <v>1039</v>
      </c>
      <c r="G11590" s="380" t="s">
        <v>1267</v>
      </c>
      <c r="H11590" s="380" t="s">
        <v>771</v>
      </c>
      <c r="I11590" s="380" t="s">
        <v>788</v>
      </c>
      <c r="J11590" s="380" t="s">
        <v>773</v>
      </c>
      <c r="K11590" s="381">
        <v>0.0</v>
      </c>
      <c r="L11590" s="382">
        <v>1.0</v>
      </c>
    </row>
    <row r="11591">
      <c r="A11591" s="380" t="s">
        <v>12465</v>
      </c>
      <c r="B11591" s="380" t="str">
        <f>IFERROR(__xludf.DUMMYFUNCTION("""COMPUTED_VALUE"""),"Pivote Valvula Suspens Eagle 2501304c1")</f>
        <v>Pivote Valvula Suspens Eagle 2501304c1</v>
      </c>
      <c r="C11591" s="380" t="str">
        <f>IFERROR(__xludf.DUMMYFUNCTION("""COMPUTED_VALUE"""),"70007031")</f>
        <v>70007031</v>
      </c>
      <c r="D11591" s="380" t="s">
        <v>767</v>
      </c>
      <c r="E11591" s="380" t="s">
        <v>786</v>
      </c>
      <c r="F11591" s="380" t="s">
        <v>1039</v>
      </c>
      <c r="G11591" s="380" t="s">
        <v>1267</v>
      </c>
      <c r="H11591" s="380" t="s">
        <v>771</v>
      </c>
      <c r="I11591" s="380" t="s">
        <v>788</v>
      </c>
      <c r="J11591" s="380" t="s">
        <v>773</v>
      </c>
      <c r="K11591" s="381">
        <v>0.0</v>
      </c>
      <c r="L11591" s="382">
        <v>1.0</v>
      </c>
    </row>
    <row r="11592">
      <c r="A11592" s="380" t="s">
        <v>12466</v>
      </c>
      <c r="B11592" s="380" t="str">
        <f>IFERROR(__xludf.DUMMYFUNCTION("""COMPUTED_VALUE"""),"Alternador Nhr Recom")</f>
        <v>Alternador Nhr Recom</v>
      </c>
      <c r="C11592" s="380" t="str">
        <f>IFERROR(__xludf.DUMMYFUNCTION("""COMPUTED_VALUE"""),"70007032")</f>
        <v>70007032</v>
      </c>
      <c r="D11592" s="380" t="s">
        <v>767</v>
      </c>
      <c r="E11592" s="380" t="s">
        <v>786</v>
      </c>
      <c r="F11592" s="380" t="s">
        <v>998</v>
      </c>
      <c r="G11592" s="380" t="s">
        <v>1267</v>
      </c>
      <c r="H11592" s="380" t="s">
        <v>771</v>
      </c>
      <c r="I11592" s="380" t="s">
        <v>788</v>
      </c>
      <c r="J11592" s="380" t="s">
        <v>773</v>
      </c>
      <c r="K11592" s="381">
        <v>0.0</v>
      </c>
      <c r="L11592" s="382">
        <v>1.0</v>
      </c>
    </row>
    <row r="11593">
      <c r="A11593" s="380" t="s">
        <v>12467</v>
      </c>
      <c r="B11593" s="380" t="str">
        <f>IFERROR(__xludf.DUMMYFUNCTION("""COMPUTED_VALUE"""),"Balinera Tapa Propulsor 6212-Znbr 6212zz")</f>
        <v>Balinera Tapa Propulsor 6212-Znbr 6212zz</v>
      </c>
      <c r="C11593" s="380" t="str">
        <f>IFERROR(__xludf.DUMMYFUNCTION("""COMPUTED_VALUE"""),"70007033")</f>
        <v>70007033</v>
      </c>
      <c r="D11593" s="380" t="s">
        <v>767</v>
      </c>
      <c r="E11593" s="380" t="s">
        <v>786</v>
      </c>
      <c r="F11593" s="380" t="s">
        <v>928</v>
      </c>
      <c r="G11593" s="380" t="s">
        <v>1267</v>
      </c>
      <c r="H11593" s="380" t="s">
        <v>771</v>
      </c>
      <c r="I11593" s="380" t="s">
        <v>788</v>
      </c>
      <c r="J11593" s="380" t="s">
        <v>773</v>
      </c>
      <c r="K11593" s="381">
        <v>0.0</v>
      </c>
      <c r="L11593" s="382">
        <v>1.0</v>
      </c>
    </row>
    <row r="11594">
      <c r="A11594" s="380" t="s">
        <v>12468</v>
      </c>
      <c r="B11594" s="380" t="str">
        <f>IFERROR(__xludf.DUMMYFUNCTION("""COMPUTED_VALUE"""),"EMPtadura CJ 14915 SB N14 Fuller K2061")</f>
        <v>EMPtadura CJ 14915 SB N14 Fuller K2061</v>
      </c>
      <c r="C11594" s="380" t="str">
        <f>IFERROR(__xludf.DUMMYFUNCTION("""COMPUTED_VALUE"""),"70007034")</f>
        <v>70007034</v>
      </c>
      <c r="D11594" s="380" t="s">
        <v>767</v>
      </c>
      <c r="E11594" s="380" t="s">
        <v>786</v>
      </c>
      <c r="F11594" s="380" t="s">
        <v>928</v>
      </c>
      <c r="G11594" s="380" t="s">
        <v>1267</v>
      </c>
      <c r="H11594" s="380" t="s">
        <v>771</v>
      </c>
      <c r="I11594" s="380" t="s">
        <v>788</v>
      </c>
      <c r="J11594" s="380" t="s">
        <v>773</v>
      </c>
      <c r="K11594" s="381">
        <v>0.0</v>
      </c>
      <c r="L11594" s="382">
        <v>1.0</v>
      </c>
    </row>
    <row r="11595">
      <c r="A11595" s="380" t="s">
        <v>12469</v>
      </c>
      <c r="B11595" s="380" t="str">
        <f>IFERROR(__xludf.DUMMYFUNCTION("""COMPUTED_VALUE"""),"Piñon 2da Tren Fijo Cj14915 Fuller 20380")</f>
        <v>Piñon 2da Tren Fijo Cj14915 Fuller 20380</v>
      </c>
      <c r="C11595" s="380" t="str">
        <f>IFERROR(__xludf.DUMMYFUNCTION("""COMPUTED_VALUE"""),"70007035")</f>
        <v>70007035</v>
      </c>
      <c r="D11595" s="380" t="s">
        <v>767</v>
      </c>
      <c r="E11595" s="380" t="s">
        <v>786</v>
      </c>
      <c r="F11595" s="380" t="s">
        <v>928</v>
      </c>
      <c r="G11595" s="380" t="s">
        <v>1267</v>
      </c>
      <c r="H11595" s="380" t="s">
        <v>771</v>
      </c>
      <c r="I11595" s="380" t="s">
        <v>788</v>
      </c>
      <c r="J11595" s="380" t="s">
        <v>773</v>
      </c>
      <c r="K11595" s="381">
        <v>0.0</v>
      </c>
      <c r="L11595" s="382">
        <v>1.0</v>
      </c>
    </row>
    <row r="11596">
      <c r="A11596" s="380" t="s">
        <v>12470</v>
      </c>
      <c r="B11596" s="380" t="str">
        <f>IFERROR(__xludf.DUMMYFUNCTION("""COMPUTED_VALUE"""),"Troque Redondo Spicer Inca Nuevo Wn6775")</f>
        <v>Troque Redondo Spicer Inca Nuevo Wn6775</v>
      </c>
      <c r="C11596" s="380" t="str">
        <f>IFERROR(__xludf.DUMMYFUNCTION("""COMPUTED_VALUE"""),"70007036")</f>
        <v>70007036</v>
      </c>
      <c r="D11596" s="380" t="s">
        <v>767</v>
      </c>
      <c r="E11596" s="380" t="s">
        <v>786</v>
      </c>
      <c r="F11596" s="380" t="s">
        <v>792</v>
      </c>
      <c r="G11596" s="380" t="s">
        <v>1267</v>
      </c>
      <c r="H11596" s="380" t="s">
        <v>771</v>
      </c>
      <c r="I11596" s="380" t="s">
        <v>788</v>
      </c>
      <c r="J11596" s="380" t="s">
        <v>773</v>
      </c>
      <c r="K11596" s="381">
        <v>0.0</v>
      </c>
      <c r="L11596" s="382">
        <v>1.0</v>
      </c>
    </row>
    <row r="11597">
      <c r="A11597" s="380" t="s">
        <v>12471</v>
      </c>
      <c r="B11597" s="380" t="str">
        <f>IFERROR(__xludf.DUMMYFUNCTION("""COMPUTED_VALUE"""),"Valvula Pivote Freno SB N14 101860")</f>
        <v>Valvula Pivote Freno SB N14 101860</v>
      </c>
      <c r="C11597" s="380" t="str">
        <f>IFERROR(__xludf.DUMMYFUNCTION("""COMPUTED_VALUE"""),"70007037")</f>
        <v>70007037</v>
      </c>
      <c r="D11597" s="380" t="s">
        <v>767</v>
      </c>
      <c r="E11597" s="380" t="s">
        <v>786</v>
      </c>
      <c r="F11597" s="380" t="s">
        <v>1017</v>
      </c>
      <c r="G11597" s="380" t="s">
        <v>1267</v>
      </c>
      <c r="H11597" s="380" t="s">
        <v>771</v>
      </c>
      <c r="I11597" s="380" t="s">
        <v>788</v>
      </c>
      <c r="J11597" s="380" t="s">
        <v>773</v>
      </c>
      <c r="K11597" s="381">
        <v>0.0</v>
      </c>
      <c r="L11597" s="382">
        <v>1.0</v>
      </c>
    </row>
    <row r="11598">
      <c r="A11598" s="380" t="s">
        <v>12472</v>
      </c>
      <c r="B11598" s="380" t="str">
        <f>IFERROR(__xludf.DUMMYFUNCTION("""COMPUTED_VALUE"""),"Esparrago Eje Nkrii 5093000661")</f>
        <v>Esparrago Eje Nkrii 5093000661</v>
      </c>
      <c r="C11598" s="380" t="str">
        <f>IFERROR(__xludf.DUMMYFUNCTION("""COMPUTED_VALUE"""),"70007038")</f>
        <v>70007038</v>
      </c>
      <c r="D11598" s="380" t="s">
        <v>767</v>
      </c>
      <c r="E11598" s="380" t="s">
        <v>786</v>
      </c>
      <c r="F11598" s="380" t="s">
        <v>5683</v>
      </c>
      <c r="G11598" s="380" t="s">
        <v>1267</v>
      </c>
      <c r="H11598" s="380" t="s">
        <v>771</v>
      </c>
      <c r="I11598" s="380" t="s">
        <v>788</v>
      </c>
      <c r="J11598" s="380" t="s">
        <v>773</v>
      </c>
      <c r="K11598" s="381">
        <v>0.0</v>
      </c>
      <c r="L11598" s="382">
        <v>1.0</v>
      </c>
    </row>
    <row r="11599">
      <c r="A11599" s="380" t="s">
        <v>12473</v>
      </c>
      <c r="B11599" s="380" t="str">
        <f>IFERROR(__xludf.DUMMYFUNCTION("""COMPUTED_VALUE"""),"Tuerca Esparrago Nkrii 911802100")</f>
        <v>Tuerca Esparrago Nkrii 911802100</v>
      </c>
      <c r="C11599" s="380" t="str">
        <f>IFERROR(__xludf.DUMMYFUNCTION("""COMPUTED_VALUE"""),"70007039")</f>
        <v>70007039</v>
      </c>
      <c r="D11599" s="380" t="s">
        <v>767</v>
      </c>
      <c r="E11599" s="380" t="s">
        <v>786</v>
      </c>
      <c r="F11599" s="380" t="s">
        <v>5683</v>
      </c>
      <c r="G11599" s="380" t="s">
        <v>1267</v>
      </c>
      <c r="H11599" s="380" t="s">
        <v>771</v>
      </c>
      <c r="I11599" s="380" t="s">
        <v>788</v>
      </c>
      <c r="J11599" s="380" t="s">
        <v>773</v>
      </c>
      <c r="K11599" s="381">
        <v>0.0</v>
      </c>
      <c r="L11599" s="382">
        <v>1.0</v>
      </c>
    </row>
    <row r="11600">
      <c r="A11600" s="380" t="s">
        <v>12474</v>
      </c>
      <c r="B11600" s="380" t="str">
        <f>IFERROR(__xludf.DUMMYFUNCTION("""COMPUTED_VALUE"""),"Arandela Fijacion Esparrago N 9098552070")</f>
        <v>Arandela Fijacion Esparrago N 9098552070</v>
      </c>
      <c r="C11600" s="380" t="str">
        <f>IFERROR(__xludf.DUMMYFUNCTION("""COMPUTED_VALUE"""),"70007040")</f>
        <v>70007040</v>
      </c>
      <c r="D11600" s="380" t="s">
        <v>767</v>
      </c>
      <c r="E11600" s="380" t="s">
        <v>786</v>
      </c>
      <c r="F11600" s="380" t="s">
        <v>5683</v>
      </c>
      <c r="G11600" s="380" t="s">
        <v>1267</v>
      </c>
      <c r="H11600" s="380" t="s">
        <v>771</v>
      </c>
      <c r="I11600" s="380" t="s">
        <v>788</v>
      </c>
      <c r="J11600" s="380" t="s">
        <v>773</v>
      </c>
      <c r="K11600" s="381">
        <v>0.0</v>
      </c>
      <c r="L11600" s="382">
        <v>1.0</v>
      </c>
    </row>
    <row r="11601">
      <c r="A11601" s="380" t="s">
        <v>12475</v>
      </c>
      <c r="B11601" s="380" t="str">
        <f>IFERROR(__xludf.DUMMYFUNCTION("""COMPUTED_VALUE"""),"Volante Motor Npr 8971157820")</f>
        <v>Volante Motor Npr 8971157820</v>
      </c>
      <c r="C11601" s="380" t="str">
        <f>IFERROR(__xludf.DUMMYFUNCTION("""COMPUTED_VALUE"""),"70007041")</f>
        <v>70007041</v>
      </c>
      <c r="D11601" s="380" t="s">
        <v>767</v>
      </c>
      <c r="E11601" s="380" t="s">
        <v>786</v>
      </c>
      <c r="F11601" s="380" t="s">
        <v>787</v>
      </c>
      <c r="G11601" s="380" t="s">
        <v>1267</v>
      </c>
      <c r="H11601" s="380" t="s">
        <v>771</v>
      </c>
      <c r="I11601" s="380" t="s">
        <v>788</v>
      </c>
      <c r="J11601" s="380" t="s">
        <v>773</v>
      </c>
      <c r="K11601" s="381">
        <v>0.0</v>
      </c>
      <c r="L11601" s="382">
        <v>1.0</v>
      </c>
    </row>
    <row r="11602">
      <c r="A11602" s="380" t="s">
        <v>12476</v>
      </c>
      <c r="B11602" s="380" t="str">
        <f>IFERROR(__xludf.DUMMYFUNCTION("""COMPUTED_VALUE"""),"Porta Escobillas ARR 41495 Nk 8971128730")</f>
        <v>Porta Escobillas ARR 41495 Nk 8971128730</v>
      </c>
      <c r="C11602" s="380" t="str">
        <f>IFERROR(__xludf.DUMMYFUNCTION("""COMPUTED_VALUE"""),"70007042")</f>
        <v>70007042</v>
      </c>
      <c r="D11602" s="380" t="s">
        <v>767</v>
      </c>
      <c r="E11602" s="380" t="s">
        <v>786</v>
      </c>
      <c r="F11602" s="380" t="s">
        <v>998</v>
      </c>
      <c r="G11602" s="380" t="s">
        <v>1267</v>
      </c>
      <c r="H11602" s="380" t="s">
        <v>771</v>
      </c>
      <c r="I11602" s="380" t="s">
        <v>788</v>
      </c>
      <c r="J11602" s="380" t="s">
        <v>773</v>
      </c>
      <c r="K11602" s="381">
        <v>0.0</v>
      </c>
      <c r="L11602" s="382">
        <v>1.0</v>
      </c>
    </row>
    <row r="11603">
      <c r="A11603" s="380" t="s">
        <v>12477</v>
      </c>
      <c r="B11603" s="380" t="str">
        <f>IFERROR(__xludf.DUMMYFUNCTION("""COMPUTED_VALUE"""),"Empaquetadura Bomba Auxiliar Clucht Nhr")</f>
        <v>Empaquetadura Bomba Auxiliar Clucht Nhr</v>
      </c>
      <c r="C11603" s="380" t="str">
        <f>IFERROR(__xludf.DUMMYFUNCTION("""COMPUTED_VALUE"""),"70007043")</f>
        <v>70007043</v>
      </c>
      <c r="D11603" s="380" t="s">
        <v>767</v>
      </c>
      <c r="E11603" s="380" t="s">
        <v>786</v>
      </c>
      <c r="F11603" s="380" t="s">
        <v>5661</v>
      </c>
      <c r="G11603" s="380" t="s">
        <v>1267</v>
      </c>
      <c r="H11603" s="380" t="s">
        <v>771</v>
      </c>
      <c r="I11603" s="380" t="s">
        <v>788</v>
      </c>
      <c r="J11603" s="380" t="s">
        <v>773</v>
      </c>
      <c r="K11603" s="381">
        <v>0.0</v>
      </c>
      <c r="L11603" s="382">
        <v>1.0</v>
      </c>
    </row>
    <row r="11604">
      <c r="A11604" s="380" t="s">
        <v>12478</v>
      </c>
      <c r="B11604" s="380" t="str">
        <f>IFERROR(__xludf.DUMMYFUNCTION("""COMPUTED_VALUE"""),"Abrazadera Mofle 5"" Ref Ab-5 Tipo Herrad")</f>
        <v>Abrazadera Mofle 5" Ref Ab-5 Tipo Herrad</v>
      </c>
      <c r="C11604" s="380" t="str">
        <f>IFERROR(__xludf.DUMMYFUNCTION("""COMPUTED_VALUE"""),"70007044")</f>
        <v>70007044</v>
      </c>
      <c r="D11604" s="380" t="s">
        <v>767</v>
      </c>
      <c r="E11604" s="380" t="s">
        <v>786</v>
      </c>
      <c r="F11604" s="380" t="s">
        <v>989</v>
      </c>
      <c r="G11604" s="380" t="s">
        <v>1267</v>
      </c>
      <c r="H11604" s="380" t="s">
        <v>771</v>
      </c>
      <c r="I11604" s="380" t="s">
        <v>788</v>
      </c>
      <c r="J11604" s="380" t="s">
        <v>773</v>
      </c>
      <c r="K11604" s="381">
        <v>0.0</v>
      </c>
      <c r="L11604" s="382">
        <v>1.0</v>
      </c>
    </row>
    <row r="11605">
      <c r="A11605" s="380" t="s">
        <v>12479</v>
      </c>
      <c r="B11605" s="380" t="str">
        <f>IFERROR(__xludf.DUMMYFUNCTION("""COMPUTED_VALUE"""),"Panel Lateral Izq NkrIII 8975821693")</f>
        <v>Panel Lateral Izq NkrIII 8975821693</v>
      </c>
      <c r="C11605" s="380" t="str">
        <f>IFERROR(__xludf.DUMMYFUNCTION("""COMPUTED_VALUE"""),"70007045")</f>
        <v>70007045</v>
      </c>
      <c r="D11605" s="380" t="s">
        <v>767</v>
      </c>
      <c r="E11605" s="380" t="s">
        <v>786</v>
      </c>
      <c r="F11605" s="380" t="s">
        <v>792</v>
      </c>
      <c r="G11605" s="380" t="s">
        <v>1267</v>
      </c>
      <c r="H11605" s="380" t="s">
        <v>771</v>
      </c>
      <c r="I11605" s="380" t="s">
        <v>788</v>
      </c>
      <c r="J11605" s="380" t="s">
        <v>773</v>
      </c>
      <c r="K11605" s="381">
        <v>0.0</v>
      </c>
      <c r="L11605" s="382">
        <v>1.0</v>
      </c>
    </row>
    <row r="11606">
      <c r="A11606" s="380" t="s">
        <v>12480</v>
      </c>
      <c r="B11606" s="380" t="str">
        <f>IFERROR(__xludf.DUMMYFUNCTION("""COMPUTED_VALUE"""),"Cubierta Espejo Ext Izq Nkr I 8975828404")</f>
        <v>Cubierta Espejo Ext Izq Nkr I 8975828404</v>
      </c>
      <c r="C11606" s="380" t="str">
        <f>IFERROR(__xludf.DUMMYFUNCTION("""COMPUTED_VALUE"""),"70007046")</f>
        <v>70007046</v>
      </c>
      <c r="D11606" s="380" t="s">
        <v>767</v>
      </c>
      <c r="E11606" s="380" t="s">
        <v>786</v>
      </c>
      <c r="F11606" s="380" t="s">
        <v>792</v>
      </c>
      <c r="G11606" s="380" t="s">
        <v>1267</v>
      </c>
      <c r="H11606" s="380" t="s">
        <v>771</v>
      </c>
      <c r="I11606" s="380" t="s">
        <v>788</v>
      </c>
      <c r="J11606" s="380" t="s">
        <v>773</v>
      </c>
      <c r="K11606" s="381">
        <v>0.0</v>
      </c>
      <c r="L11606" s="382">
        <v>1.0</v>
      </c>
    </row>
    <row r="11607">
      <c r="A11607" s="380" t="s">
        <v>12481</v>
      </c>
      <c r="B11607" s="380" t="str">
        <f>IFERROR(__xludf.DUMMYFUNCTION("""COMPUTED_VALUE"""),"Tapa Llenado Aceite Eagle 3914136")</f>
        <v>Tapa Llenado Aceite Eagle 3914136</v>
      </c>
      <c r="C11607" s="380" t="str">
        <f>IFERROR(__xludf.DUMMYFUNCTION("""COMPUTED_VALUE"""),"70007047")</f>
        <v>70007047</v>
      </c>
      <c r="D11607" s="380" t="s">
        <v>767</v>
      </c>
      <c r="E11607" s="380" t="s">
        <v>786</v>
      </c>
      <c r="F11607" s="380" t="s">
        <v>787</v>
      </c>
      <c r="G11607" s="380" t="s">
        <v>1267</v>
      </c>
      <c r="H11607" s="380" t="s">
        <v>771</v>
      </c>
      <c r="I11607" s="380" t="s">
        <v>788</v>
      </c>
      <c r="J11607" s="380" t="s">
        <v>773</v>
      </c>
      <c r="K11607" s="381">
        <v>0.0</v>
      </c>
      <c r="L11607" s="382">
        <v>1.0</v>
      </c>
    </row>
    <row r="11608">
      <c r="A11608" s="380" t="s">
        <v>12482</v>
      </c>
      <c r="B11608" s="380" t="str">
        <f>IFERROR(__xludf.DUMMYFUNCTION("""COMPUTED_VALUE"""),"Kit Chapetas Cardan Hi 4300/4700")</f>
        <v>Kit Chapetas Cardan Hi 4300/4700</v>
      </c>
      <c r="C11608" s="380" t="str">
        <f>IFERROR(__xludf.DUMMYFUNCTION("""COMPUTED_VALUE"""),"70007048")</f>
        <v>70007048</v>
      </c>
      <c r="D11608" s="380" t="s">
        <v>767</v>
      </c>
      <c r="E11608" s="380" t="s">
        <v>786</v>
      </c>
      <c r="F11608" s="380" t="s">
        <v>5683</v>
      </c>
      <c r="G11608" s="380" t="s">
        <v>1267</v>
      </c>
      <c r="H11608" s="380" t="s">
        <v>771</v>
      </c>
      <c r="I11608" s="380" t="s">
        <v>788</v>
      </c>
      <c r="J11608" s="380" t="s">
        <v>773</v>
      </c>
      <c r="K11608" s="381">
        <v>0.0</v>
      </c>
      <c r="L11608" s="382">
        <v>1.0</v>
      </c>
    </row>
    <row r="11609">
      <c r="A11609" s="380" t="s">
        <v>12483</v>
      </c>
      <c r="B11609" s="380" t="str">
        <f>IFERROR(__xludf.DUMMYFUNCTION("""COMPUTED_VALUE"""),"Tapon Carter Nkr Iii 8943168000")</f>
        <v>Tapon Carter Nkr Iii 8943168000</v>
      </c>
      <c r="C11609" s="380" t="str">
        <f>IFERROR(__xludf.DUMMYFUNCTION("""COMPUTED_VALUE"""),"70007049")</f>
        <v>70007049</v>
      </c>
      <c r="D11609" s="380" t="s">
        <v>767</v>
      </c>
      <c r="E11609" s="380" t="s">
        <v>786</v>
      </c>
      <c r="F11609" s="380" t="s">
        <v>787</v>
      </c>
      <c r="G11609" s="380" t="s">
        <v>1267</v>
      </c>
      <c r="H11609" s="380" t="s">
        <v>771</v>
      </c>
      <c r="I11609" s="380" t="s">
        <v>788</v>
      </c>
      <c r="J11609" s="380" t="s">
        <v>773</v>
      </c>
      <c r="K11609" s="381">
        <v>0.0</v>
      </c>
      <c r="L11609" s="382">
        <v>1.0</v>
      </c>
    </row>
    <row r="11610">
      <c r="A11610" s="380" t="s">
        <v>12484</v>
      </c>
      <c r="B11610" s="380" t="str">
        <f>IFERROR(__xludf.DUMMYFUNCTION("""COMPUTED_VALUE"""),"Puerta Cortina Accesorios Sencilla")</f>
        <v>Puerta Cortina Accesorios Sencilla</v>
      </c>
      <c r="C11610" s="380" t="str">
        <f>IFERROR(__xludf.DUMMYFUNCTION("""COMPUTED_VALUE"""),"70007050")</f>
        <v>70007050</v>
      </c>
      <c r="D11610" s="380" t="s">
        <v>767</v>
      </c>
      <c r="E11610" s="380" t="s">
        <v>786</v>
      </c>
      <c r="F11610" s="380" t="s">
        <v>792</v>
      </c>
      <c r="G11610" s="380" t="s">
        <v>1267</v>
      </c>
      <c r="H11610" s="380" t="s">
        <v>771</v>
      </c>
      <c r="I11610" s="380" t="s">
        <v>788</v>
      </c>
      <c r="J11610" s="380" t="s">
        <v>773</v>
      </c>
      <c r="K11610" s="381">
        <v>0.0</v>
      </c>
      <c r="L11610" s="382">
        <v>1.0</v>
      </c>
    </row>
    <row r="11611">
      <c r="A11611" s="380" t="s">
        <v>12485</v>
      </c>
      <c r="B11611" s="380" t="str">
        <f>IFERROR(__xludf.DUMMYFUNCTION("""COMPUTED_VALUE"""),"BMB Agua VW 919052930 9610873100")</f>
        <v>BMB Agua VW 919052930 9610873100</v>
      </c>
      <c r="C11611" s="380" t="str">
        <f>IFERROR(__xludf.DUMMYFUNCTION("""COMPUTED_VALUE"""),"70007051")</f>
        <v>70007051</v>
      </c>
      <c r="D11611" s="380" t="s">
        <v>767</v>
      </c>
      <c r="E11611" s="380" t="s">
        <v>786</v>
      </c>
      <c r="F11611" s="380" t="s">
        <v>787</v>
      </c>
      <c r="G11611" s="380" t="s">
        <v>1267</v>
      </c>
      <c r="H11611" s="380" t="s">
        <v>771</v>
      </c>
      <c r="I11611" s="380" t="s">
        <v>788</v>
      </c>
      <c r="J11611" s="380" t="s">
        <v>773</v>
      </c>
      <c r="K11611" s="381">
        <v>0.0</v>
      </c>
      <c r="L11611" s="382">
        <v>1.0</v>
      </c>
    </row>
    <row r="11612">
      <c r="A11612" s="380" t="s">
        <v>12486</v>
      </c>
      <c r="B11612" s="380" t="str">
        <f>IFERROR(__xludf.DUMMYFUNCTION("""COMPUTED_VALUE"""),"Codo Entrada Turbo Hi Eagle 1687612c1")</f>
        <v>Codo Entrada Turbo Hi Eagle 1687612c1</v>
      </c>
      <c r="C11612" s="380" t="str">
        <f>IFERROR(__xludf.DUMMYFUNCTION("""COMPUTED_VALUE"""),"70007052")</f>
        <v>70007052</v>
      </c>
      <c r="D11612" s="380" t="s">
        <v>767</v>
      </c>
      <c r="E11612" s="380" t="s">
        <v>786</v>
      </c>
      <c r="F11612" s="380" t="s">
        <v>787</v>
      </c>
      <c r="G11612" s="380" t="s">
        <v>1267</v>
      </c>
      <c r="H11612" s="380" t="s">
        <v>771</v>
      </c>
      <c r="I11612" s="380" t="s">
        <v>788</v>
      </c>
      <c r="J11612" s="380" t="s">
        <v>773</v>
      </c>
      <c r="K11612" s="381">
        <v>273700.0</v>
      </c>
      <c r="L11612" s="382">
        <v>1.0</v>
      </c>
    </row>
    <row r="11613">
      <c r="A11613" s="380" t="s">
        <v>12487</v>
      </c>
      <c r="B11613" s="380" t="str">
        <f>IFERROR(__xludf.DUMMYFUNCTION("""COMPUTED_VALUE"""),"Sedimentador Combustible Npr 8970818142")</f>
        <v>Sedimentador Combustible Npr 8970818142</v>
      </c>
      <c r="C11613" s="380" t="str">
        <f>IFERROR(__xludf.DUMMYFUNCTION("""COMPUTED_VALUE"""),"70007053")</f>
        <v>70007053</v>
      </c>
      <c r="D11613" s="380" t="s">
        <v>767</v>
      </c>
      <c r="E11613" s="380" t="s">
        <v>786</v>
      </c>
      <c r="F11613" s="380" t="s">
        <v>787</v>
      </c>
      <c r="G11613" s="380" t="s">
        <v>1267</v>
      </c>
      <c r="H11613" s="380" t="s">
        <v>771</v>
      </c>
      <c r="I11613" s="380" t="s">
        <v>788</v>
      </c>
      <c r="J11613" s="380" t="s">
        <v>773</v>
      </c>
      <c r="K11613" s="381">
        <v>0.0</v>
      </c>
      <c r="L11613" s="382">
        <v>1.0</v>
      </c>
    </row>
    <row r="11614">
      <c r="A11614" s="380" t="s">
        <v>12488</v>
      </c>
      <c r="B11614" s="380" t="str">
        <f>IFERROR(__xludf.DUMMYFUNCTION("""COMPUTED_VALUE"""),"Soporte Camara Freno Tras Rh KWh 805944")</f>
        <v>Soporte Camara Freno Tras Rh KWh 805944</v>
      </c>
      <c r="C11614" s="380" t="str">
        <f>IFERROR(__xludf.DUMMYFUNCTION("""COMPUTED_VALUE"""),"70007054")</f>
        <v>70007054</v>
      </c>
      <c r="D11614" s="380" t="s">
        <v>767</v>
      </c>
      <c r="E11614" s="380" t="s">
        <v>786</v>
      </c>
      <c r="F11614" s="380" t="s">
        <v>1017</v>
      </c>
      <c r="G11614" s="380" t="s">
        <v>1267</v>
      </c>
      <c r="H11614" s="380" t="s">
        <v>771</v>
      </c>
      <c r="I11614" s="380" t="s">
        <v>788</v>
      </c>
      <c r="J11614" s="380" t="s">
        <v>773</v>
      </c>
      <c r="K11614" s="381">
        <v>0.0</v>
      </c>
      <c r="L11614" s="382">
        <v>1.0</v>
      </c>
    </row>
    <row r="11615">
      <c r="A11615" s="380" t="s">
        <v>12489</v>
      </c>
      <c r="B11615" s="380" t="str">
        <f>IFERROR(__xludf.DUMMYFUNCTION("""COMPUTED_VALUE"""),"Chapa Puerta Der S Carry 8220170d00")</f>
        <v>Chapa Puerta Der S Carry 8220170d00</v>
      </c>
      <c r="C11615" s="380" t="str">
        <f>IFERROR(__xludf.DUMMYFUNCTION("""COMPUTED_VALUE"""),"70007055")</f>
        <v>70007055</v>
      </c>
      <c r="D11615" s="380" t="s">
        <v>767</v>
      </c>
      <c r="E11615" s="380" t="s">
        <v>786</v>
      </c>
      <c r="F11615" s="380" t="s">
        <v>792</v>
      </c>
      <c r="G11615" s="380" t="s">
        <v>1267</v>
      </c>
      <c r="H11615" s="380" t="s">
        <v>771</v>
      </c>
      <c r="I11615" s="380" t="s">
        <v>788</v>
      </c>
      <c r="J11615" s="380" t="s">
        <v>773</v>
      </c>
      <c r="K11615" s="381">
        <v>0.0</v>
      </c>
      <c r="L11615" s="382">
        <v>1.0</v>
      </c>
    </row>
    <row r="11616">
      <c r="A11616" s="380" t="s">
        <v>12490</v>
      </c>
      <c r="B11616" s="380" t="str">
        <f>IFERROR(__xludf.DUMMYFUNCTION("""COMPUTED_VALUE"""),"Lampara Luz Del Techo S Carry 3621085040")</f>
        <v>Lampara Luz Del Techo S Carry 3621085040</v>
      </c>
      <c r="C11616" s="380" t="str">
        <f>IFERROR(__xludf.DUMMYFUNCTION("""COMPUTED_VALUE"""),"70007056")</f>
        <v>70007056</v>
      </c>
      <c r="D11616" s="380" t="s">
        <v>767</v>
      </c>
      <c r="E11616" s="380" t="s">
        <v>786</v>
      </c>
      <c r="F11616" s="380" t="s">
        <v>998</v>
      </c>
      <c r="G11616" s="380" t="s">
        <v>1267</v>
      </c>
      <c r="H11616" s="380" t="s">
        <v>771</v>
      </c>
      <c r="I11616" s="380" t="s">
        <v>788</v>
      </c>
      <c r="J11616" s="380" t="s">
        <v>773</v>
      </c>
      <c r="K11616" s="381">
        <v>0.0</v>
      </c>
      <c r="L11616" s="382">
        <v>1.0</v>
      </c>
    </row>
    <row r="11617">
      <c r="A11617" s="380" t="s">
        <v>12491</v>
      </c>
      <c r="B11617" s="380" t="str">
        <f>IFERROR(__xludf.DUMMYFUNCTION("""COMPUTED_VALUE"""),"Brazo Valvula Suspens Eagle 15000240")</f>
        <v>Brazo Valvula Suspens Eagle 15000240</v>
      </c>
      <c r="C11617" s="380" t="str">
        <f>IFERROR(__xludf.DUMMYFUNCTION("""COMPUTED_VALUE"""),"70007057")</f>
        <v>70007057</v>
      </c>
      <c r="D11617" s="380" t="s">
        <v>767</v>
      </c>
      <c r="E11617" s="380" t="s">
        <v>786</v>
      </c>
      <c r="F11617" s="380" t="s">
        <v>792</v>
      </c>
      <c r="G11617" s="380" t="s">
        <v>1267</v>
      </c>
      <c r="H11617" s="380" t="s">
        <v>771</v>
      </c>
      <c r="I11617" s="380" t="s">
        <v>788</v>
      </c>
      <c r="J11617" s="380" t="s">
        <v>773</v>
      </c>
      <c r="K11617" s="381">
        <v>0.0</v>
      </c>
      <c r="L11617" s="382">
        <v>1.0</v>
      </c>
    </row>
    <row r="11618">
      <c r="A11618" s="380" t="s">
        <v>12492</v>
      </c>
      <c r="B11618" s="380" t="str">
        <f>IFERROR(__xludf.DUMMYFUNCTION("""COMPUTED_VALUE"""),"Esquinero Frontal De Trailer")</f>
        <v>Esquinero Frontal De Trailer</v>
      </c>
      <c r="C11618" s="380" t="str">
        <f>IFERROR(__xludf.DUMMYFUNCTION("""COMPUTED_VALUE"""),"70007058")</f>
        <v>70007058</v>
      </c>
      <c r="D11618" s="380" t="s">
        <v>767</v>
      </c>
      <c r="E11618" s="380" t="s">
        <v>786</v>
      </c>
      <c r="F11618" s="380" t="s">
        <v>792</v>
      </c>
      <c r="G11618" s="380" t="s">
        <v>1267</v>
      </c>
      <c r="H11618" s="380" t="s">
        <v>771</v>
      </c>
      <c r="I11618" s="380" t="s">
        <v>788</v>
      </c>
      <c r="J11618" s="380" t="s">
        <v>773</v>
      </c>
      <c r="K11618" s="381">
        <v>0.0</v>
      </c>
      <c r="L11618" s="382">
        <v>1.0</v>
      </c>
    </row>
    <row r="11619">
      <c r="A11619" s="380" t="s">
        <v>12493</v>
      </c>
      <c r="B11619" s="380" t="str">
        <f>IFERROR(__xludf.DUMMYFUNCTION("""COMPUTED_VALUE"""),"Lampara DIRal Lateral Sup VW 3a0949101a")</f>
        <v>Lampara DIRal Lateral Sup VW 3a0949101a</v>
      </c>
      <c r="C11619" s="380" t="str">
        <f>IFERROR(__xludf.DUMMYFUNCTION("""COMPUTED_VALUE"""),"70007059")</f>
        <v>70007059</v>
      </c>
      <c r="D11619" s="380" t="s">
        <v>767</v>
      </c>
      <c r="E11619" s="380" t="s">
        <v>786</v>
      </c>
      <c r="F11619" s="380" t="s">
        <v>998</v>
      </c>
      <c r="G11619" s="380" t="s">
        <v>1267</v>
      </c>
      <c r="H11619" s="380" t="s">
        <v>771</v>
      </c>
      <c r="I11619" s="380" t="s">
        <v>788</v>
      </c>
      <c r="J11619" s="380" t="s">
        <v>773</v>
      </c>
      <c r="K11619" s="381">
        <v>0.0</v>
      </c>
      <c r="L11619" s="382">
        <v>1.0</v>
      </c>
    </row>
    <row r="11620">
      <c r="A11620" s="380" t="s">
        <v>12494</v>
      </c>
      <c r="B11620" s="380" t="str">
        <f>IFERROR(__xludf.DUMMYFUNCTION("""COMPUTED_VALUE"""),"Chapa PTA Tras S Carry Suzuki 316070d007")</f>
        <v>Chapa PTA Tras S Carry Suzuki 316070d007</v>
      </c>
      <c r="C11620" s="380" t="str">
        <f>IFERROR(__xludf.DUMMYFUNCTION("""COMPUTED_VALUE"""),"70007060")</f>
        <v>70007060</v>
      </c>
      <c r="D11620" s="380" t="s">
        <v>767</v>
      </c>
      <c r="E11620" s="380" t="s">
        <v>786</v>
      </c>
      <c r="F11620" s="380" t="s">
        <v>792</v>
      </c>
      <c r="G11620" s="380" t="s">
        <v>1267</v>
      </c>
      <c r="H11620" s="380" t="s">
        <v>771</v>
      </c>
      <c r="I11620" s="380" t="s">
        <v>788</v>
      </c>
      <c r="J11620" s="380" t="s">
        <v>773</v>
      </c>
      <c r="K11620" s="381">
        <v>0.0</v>
      </c>
      <c r="L11620" s="382">
        <v>1.0</v>
      </c>
    </row>
    <row r="11621">
      <c r="A11621" s="380" t="s">
        <v>12495</v>
      </c>
      <c r="B11621" s="380" t="str">
        <f>IFERROR(__xludf.DUMMYFUNCTION("""COMPUTED_VALUE"""),"Empaquetadura De Motor Nkr 5878147340")</f>
        <v>Empaquetadura De Motor Nkr 5878147340</v>
      </c>
      <c r="C11621" s="380" t="str">
        <f>IFERROR(__xludf.DUMMYFUNCTION("""COMPUTED_VALUE"""),"70007061")</f>
        <v>70007061</v>
      </c>
      <c r="D11621" s="380" t="s">
        <v>767</v>
      </c>
      <c r="E11621" s="380" t="s">
        <v>786</v>
      </c>
      <c r="F11621" s="380" t="s">
        <v>787</v>
      </c>
      <c r="G11621" s="380" t="s">
        <v>1267</v>
      </c>
      <c r="H11621" s="380" t="s">
        <v>771</v>
      </c>
      <c r="I11621" s="380" t="s">
        <v>788</v>
      </c>
      <c r="J11621" s="380" t="s">
        <v>773</v>
      </c>
      <c r="K11621" s="381">
        <v>0.0</v>
      </c>
      <c r="L11621" s="382">
        <v>1.0</v>
      </c>
    </row>
    <row r="11622">
      <c r="A11622" s="380" t="s">
        <v>12496</v>
      </c>
      <c r="B11622" s="380" t="str">
        <f>IFERROR(__xludf.DUMMYFUNCTION("""COMPUTED_VALUE"""),"Buje Biela Motor Nkr 8974574580")</f>
        <v>Buje Biela Motor Nkr 8974574580</v>
      </c>
      <c r="C11622" s="380" t="str">
        <f>IFERROR(__xludf.DUMMYFUNCTION("""COMPUTED_VALUE"""),"70007062")</f>
        <v>70007062</v>
      </c>
      <c r="D11622" s="380" t="s">
        <v>767</v>
      </c>
      <c r="E11622" s="380" t="s">
        <v>786</v>
      </c>
      <c r="F11622" s="380" t="s">
        <v>787</v>
      </c>
      <c r="G11622" s="380" t="s">
        <v>1267</v>
      </c>
      <c r="H11622" s="380" t="s">
        <v>771</v>
      </c>
      <c r="I11622" s="380" t="s">
        <v>788</v>
      </c>
      <c r="J11622" s="380" t="s">
        <v>773</v>
      </c>
      <c r="K11622" s="381">
        <v>0.0</v>
      </c>
      <c r="L11622" s="382">
        <v>1.0</v>
      </c>
    </row>
    <row r="11623">
      <c r="A11623" s="380" t="s">
        <v>12497</v>
      </c>
      <c r="B11623" s="380" t="str">
        <f>IFERROR(__xludf.DUMMYFUNCTION("""COMPUTED_VALUE"""),"Unidad Farola Grande 3427011 Iae-003427")</f>
        <v>Unidad Farola Grande 3427011 Iae-003427</v>
      </c>
      <c r="C11623" s="380" t="str">
        <f>IFERROR(__xludf.DUMMYFUNCTION("""COMPUTED_VALUE"""),"70007063")</f>
        <v>70007063</v>
      </c>
      <c r="D11623" s="380" t="s">
        <v>767</v>
      </c>
      <c r="E11623" s="380" t="s">
        <v>786</v>
      </c>
      <c r="F11623" s="380" t="s">
        <v>998</v>
      </c>
      <c r="G11623" s="380" t="s">
        <v>1267</v>
      </c>
      <c r="H11623" s="380" t="s">
        <v>771</v>
      </c>
      <c r="I11623" s="380" t="s">
        <v>788</v>
      </c>
      <c r="J11623" s="380" t="s">
        <v>773</v>
      </c>
      <c r="K11623" s="381">
        <v>232645.0</v>
      </c>
      <c r="L11623" s="382">
        <v>1.0</v>
      </c>
    </row>
    <row r="11624">
      <c r="A11624" s="380" t="s">
        <v>12498</v>
      </c>
      <c r="B11624" s="380" t="str">
        <f>IFERROR(__xludf.DUMMYFUNCTION("""COMPUTED_VALUE"""),"Puerta Der Nkr-Nhr 8975814441")</f>
        <v>Puerta Der Nkr-Nhr 8975814441</v>
      </c>
      <c r="C11624" s="380" t="str">
        <f>IFERROR(__xludf.DUMMYFUNCTION("""COMPUTED_VALUE"""),"70007064")</f>
        <v>70007064</v>
      </c>
      <c r="D11624" s="380" t="s">
        <v>767</v>
      </c>
      <c r="E11624" s="380" t="s">
        <v>786</v>
      </c>
      <c r="F11624" s="380" t="s">
        <v>792</v>
      </c>
      <c r="G11624" s="380" t="s">
        <v>1267</v>
      </c>
      <c r="H11624" s="380" t="s">
        <v>771</v>
      </c>
      <c r="I11624" s="380" t="s">
        <v>788</v>
      </c>
      <c r="J11624" s="380" t="s">
        <v>773</v>
      </c>
      <c r="K11624" s="381">
        <v>0.0</v>
      </c>
      <c r="L11624" s="382">
        <v>1.0</v>
      </c>
    </row>
    <row r="11625">
      <c r="A11625" s="380" t="s">
        <v>12499</v>
      </c>
      <c r="B11625" s="380" t="str">
        <f>IFERROR(__xludf.DUMMYFUNCTION("""COMPUTED_VALUE"""),"VALV Admision Culata Nk Isuzu 8941332752")</f>
        <v>VALV Admision Culata Nk Isuzu 8941332752</v>
      </c>
      <c r="C11625" s="380" t="str">
        <f>IFERROR(__xludf.DUMMYFUNCTION("""COMPUTED_VALUE"""),"70007065")</f>
        <v>70007065</v>
      </c>
      <c r="D11625" s="380" t="s">
        <v>767</v>
      </c>
      <c r="E11625" s="380" t="s">
        <v>786</v>
      </c>
      <c r="F11625" s="380" t="s">
        <v>787</v>
      </c>
      <c r="G11625" s="380" t="s">
        <v>1267</v>
      </c>
      <c r="H11625" s="380" t="s">
        <v>771</v>
      </c>
      <c r="I11625" s="380" t="s">
        <v>788</v>
      </c>
      <c r="J11625" s="380" t="s">
        <v>773</v>
      </c>
      <c r="K11625" s="381">
        <v>0.0</v>
      </c>
      <c r="L11625" s="382">
        <v>1.0</v>
      </c>
    </row>
    <row r="11626">
      <c r="A11626" s="380" t="s">
        <v>12500</v>
      </c>
      <c r="B11626" s="380" t="str">
        <f>IFERROR(__xludf.DUMMYFUNCTION("""COMPUTED_VALUE"""),"Tablero Odometro Cabina Nkrii 6910032830")</f>
        <v>Tablero Odometro Cabina Nkrii 6910032830</v>
      </c>
      <c r="C11626" s="380" t="str">
        <f>IFERROR(__xludf.DUMMYFUNCTION("""COMPUTED_VALUE"""),"70007066")</f>
        <v>70007066</v>
      </c>
      <c r="D11626" s="380" t="s">
        <v>767</v>
      </c>
      <c r="E11626" s="380" t="s">
        <v>786</v>
      </c>
      <c r="F11626" s="380" t="s">
        <v>792</v>
      </c>
      <c r="G11626" s="380" t="s">
        <v>1267</v>
      </c>
      <c r="H11626" s="380" t="s">
        <v>771</v>
      </c>
      <c r="I11626" s="380" t="s">
        <v>788</v>
      </c>
      <c r="J11626" s="380" t="s">
        <v>773</v>
      </c>
      <c r="K11626" s="381">
        <v>0.0</v>
      </c>
      <c r="L11626" s="382">
        <v>1.0</v>
      </c>
    </row>
    <row r="11627">
      <c r="A11627" s="380" t="s">
        <v>12501</v>
      </c>
      <c r="B11627" s="380" t="str">
        <f>IFERROR(__xludf.DUMMYFUNCTION("""COMPUTED_VALUE"""),"Grapa Muelle Tras Hi 4700 7/8x3x19""")</f>
        <v>Grapa Muelle Tras Hi 4700 7/8x3x19"</v>
      </c>
      <c r="C11627" s="380" t="str">
        <f>IFERROR(__xludf.DUMMYFUNCTION("""COMPUTED_VALUE"""),"70007067")</f>
        <v>70007067</v>
      </c>
      <c r="D11627" s="380" t="s">
        <v>767</v>
      </c>
      <c r="E11627" s="380" t="s">
        <v>786</v>
      </c>
      <c r="F11627" s="380" t="s">
        <v>1039</v>
      </c>
      <c r="G11627" s="380" t="s">
        <v>1267</v>
      </c>
      <c r="H11627" s="380" t="s">
        <v>771</v>
      </c>
      <c r="I11627" s="380" t="s">
        <v>788</v>
      </c>
      <c r="J11627" s="380" t="s">
        <v>773</v>
      </c>
      <c r="K11627" s="381">
        <v>0.0</v>
      </c>
      <c r="L11627" s="382">
        <v>1.0</v>
      </c>
    </row>
    <row r="11628">
      <c r="A11628" s="380" t="s">
        <v>12502</v>
      </c>
      <c r="B11628" s="380" t="str">
        <f>IFERROR(__xludf.DUMMYFUNCTION("""COMPUTED_VALUE"""),"Porta Repuesto Nkrii 8970158831")</f>
        <v>Porta Repuesto Nkrii 8970158831</v>
      </c>
      <c r="C11628" s="380" t="str">
        <f>IFERROR(__xludf.DUMMYFUNCTION("""COMPUTED_VALUE"""),"70007068")</f>
        <v>70007068</v>
      </c>
      <c r="D11628" s="380" t="s">
        <v>767</v>
      </c>
      <c r="E11628" s="380" t="s">
        <v>786</v>
      </c>
      <c r="F11628" s="380" t="s">
        <v>792</v>
      </c>
      <c r="G11628" s="380" t="s">
        <v>1267</v>
      </c>
      <c r="H11628" s="380" t="s">
        <v>771</v>
      </c>
      <c r="I11628" s="380" t="s">
        <v>788</v>
      </c>
      <c r="J11628" s="380" t="s">
        <v>773</v>
      </c>
      <c r="K11628" s="381">
        <v>0.0</v>
      </c>
      <c r="L11628" s="382">
        <v>1.0</v>
      </c>
    </row>
    <row r="11629">
      <c r="A11629" s="380" t="s">
        <v>12503</v>
      </c>
      <c r="B11629" s="380" t="str">
        <f>IFERROR(__xludf.DUMMYFUNCTION("""COMPUTED_VALUE"""),"Disco Embrague T Delta 3125036570")</f>
        <v>Disco Embrague T Delta 3125036570</v>
      </c>
      <c r="C11629" s="380" t="str">
        <f>IFERROR(__xludf.DUMMYFUNCTION("""COMPUTED_VALUE"""),"70007069")</f>
        <v>70007069</v>
      </c>
      <c r="D11629" s="380" t="s">
        <v>767</v>
      </c>
      <c r="E11629" s="380" t="s">
        <v>786</v>
      </c>
      <c r="F11629" s="380" t="s">
        <v>5661</v>
      </c>
      <c r="G11629" s="380" t="s">
        <v>1267</v>
      </c>
      <c r="H11629" s="380" t="s">
        <v>771</v>
      </c>
      <c r="I11629" s="380" t="s">
        <v>788</v>
      </c>
      <c r="J11629" s="380" t="s">
        <v>773</v>
      </c>
      <c r="K11629" s="381">
        <v>0.0</v>
      </c>
      <c r="L11629" s="382">
        <v>1.0</v>
      </c>
    </row>
    <row r="11630">
      <c r="A11630" s="380" t="s">
        <v>12504</v>
      </c>
      <c r="B11630" s="380" t="str">
        <f>IFERROR(__xludf.DUMMYFUNCTION("""COMPUTED_VALUE"""),"Soporte Caucho Radiador KWh 3000100515")</f>
        <v>Soporte Caucho Radiador KWh 3000100515</v>
      </c>
      <c r="C11630" s="380" t="str">
        <f>IFERROR(__xludf.DUMMYFUNCTION("""COMPUTED_VALUE"""),"70007070")</f>
        <v>70007070</v>
      </c>
      <c r="D11630" s="380" t="s">
        <v>767</v>
      </c>
      <c r="E11630" s="380" t="s">
        <v>786</v>
      </c>
      <c r="F11630" s="380" t="s">
        <v>787</v>
      </c>
      <c r="G11630" s="380" t="s">
        <v>1267</v>
      </c>
      <c r="H11630" s="380" t="s">
        <v>771</v>
      </c>
      <c r="I11630" s="380" t="s">
        <v>788</v>
      </c>
      <c r="J11630" s="380" t="s">
        <v>773</v>
      </c>
      <c r="K11630" s="381">
        <v>0.0</v>
      </c>
      <c r="L11630" s="382">
        <v>1.0</v>
      </c>
    </row>
    <row r="11631">
      <c r="A11631" s="380" t="s">
        <v>12505</v>
      </c>
      <c r="B11631" s="380" t="str">
        <f>IFERROR(__xludf.DUMMYFUNCTION("""COMPUTED_VALUE"""),"Prensa Embrague T Delta 3121037030")</f>
        <v>Prensa Embrague T Delta 3121037030</v>
      </c>
      <c r="C11631" s="380" t="str">
        <f>IFERROR(__xludf.DUMMYFUNCTION("""COMPUTED_VALUE"""),"70007071")</f>
        <v>70007071</v>
      </c>
      <c r="D11631" s="380" t="s">
        <v>767</v>
      </c>
      <c r="E11631" s="380" t="s">
        <v>786</v>
      </c>
      <c r="F11631" s="380" t="s">
        <v>5661</v>
      </c>
      <c r="G11631" s="380" t="s">
        <v>1267</v>
      </c>
      <c r="H11631" s="380" t="s">
        <v>771</v>
      </c>
      <c r="I11631" s="380" t="s">
        <v>788</v>
      </c>
      <c r="J11631" s="380" t="s">
        <v>773</v>
      </c>
      <c r="K11631" s="381">
        <v>0.0</v>
      </c>
      <c r="L11631" s="382">
        <v>1.0</v>
      </c>
    </row>
    <row r="11632">
      <c r="A11632" s="380" t="s">
        <v>12506</v>
      </c>
      <c r="B11632" s="380" t="str">
        <f>IFERROR(__xludf.DUMMYFUNCTION("""COMPUTED_VALUE"""),"Set Rodillo Eje Nhr Foton 32209 Timken")</f>
        <v>Set Rodillo Eje Nhr Foton 32209 Timken</v>
      </c>
      <c r="C11632" s="380" t="str">
        <f>IFERROR(__xludf.DUMMYFUNCTION("""COMPUTED_VALUE"""),"70007072")</f>
        <v>70007072</v>
      </c>
      <c r="D11632" s="380" t="s">
        <v>767</v>
      </c>
      <c r="E11632" s="380" t="s">
        <v>786</v>
      </c>
      <c r="F11632" s="380" t="s">
        <v>1039</v>
      </c>
      <c r="G11632" s="380" t="s">
        <v>1267</v>
      </c>
      <c r="H11632" s="380" t="s">
        <v>771</v>
      </c>
      <c r="I11632" s="380" t="s">
        <v>788</v>
      </c>
      <c r="J11632" s="380" t="s">
        <v>773</v>
      </c>
      <c r="K11632" s="381">
        <v>0.0</v>
      </c>
      <c r="L11632" s="382">
        <v>1.0</v>
      </c>
    </row>
    <row r="11633">
      <c r="A11633" s="380" t="s">
        <v>12507</v>
      </c>
      <c r="B11633" s="380" t="str">
        <f>IFERROR(__xludf.DUMMYFUNCTION("""COMPUTED_VALUE"""),"Retenedores Varios Vehículos")</f>
        <v>Retenedores Varios Vehículos</v>
      </c>
      <c r="C11633" s="380" t="str">
        <f>IFERROR(__xludf.DUMMYFUNCTION("""COMPUTED_VALUE"""),"70007073")</f>
        <v>70007073</v>
      </c>
      <c r="D11633" s="380" t="s">
        <v>767</v>
      </c>
      <c r="E11633" s="380" t="s">
        <v>786</v>
      </c>
      <c r="F11633" s="380" t="s">
        <v>1039</v>
      </c>
      <c r="G11633" s="380" t="s">
        <v>1267</v>
      </c>
      <c r="H11633" s="380" t="s">
        <v>771</v>
      </c>
      <c r="I11633" s="380" t="s">
        <v>788</v>
      </c>
      <c r="J11633" s="380" t="s">
        <v>773</v>
      </c>
      <c r="K11633" s="381">
        <v>0.0</v>
      </c>
      <c r="L11633" s="382">
        <v>1.0</v>
      </c>
    </row>
    <row r="11634">
      <c r="A11634" s="380" t="s">
        <v>12508</v>
      </c>
      <c r="B11634" s="380" t="str">
        <f>IFERROR(__xludf.DUMMYFUNCTION("""COMPUTED_VALUE"""),"Lampara DIRal Del Internatio 1661761 C-")</f>
        <v>Lampara DIRal Del Internatio 1661761 C-</v>
      </c>
      <c r="C11634" s="380" t="str">
        <f>IFERROR(__xludf.DUMMYFUNCTION("""COMPUTED_VALUE"""),"70007074")</f>
        <v>70007074</v>
      </c>
      <c r="D11634" s="380" t="s">
        <v>767</v>
      </c>
      <c r="E11634" s="380" t="s">
        <v>786</v>
      </c>
      <c r="F11634" s="380" t="s">
        <v>998</v>
      </c>
      <c r="G11634" s="380" t="s">
        <v>1267</v>
      </c>
      <c r="H11634" s="380" t="s">
        <v>771</v>
      </c>
      <c r="I11634" s="380" t="s">
        <v>788</v>
      </c>
      <c r="J11634" s="380" t="s">
        <v>773</v>
      </c>
      <c r="K11634" s="381">
        <v>0.0</v>
      </c>
      <c r="L11634" s="382">
        <v>1.0</v>
      </c>
    </row>
    <row r="11635">
      <c r="A11635" s="380" t="s">
        <v>12509</v>
      </c>
      <c r="B11635" s="380" t="str">
        <f>IFERROR(__xludf.DUMMYFUNCTION("""COMPUTED_VALUE"""),"Sensor Presion Combustible KWh 4921499")</f>
        <v>Sensor Presion Combustible KWh 4921499</v>
      </c>
      <c r="C11635" s="380" t="str">
        <f>IFERROR(__xludf.DUMMYFUNCTION("""COMPUTED_VALUE"""),"70007075")</f>
        <v>70007075</v>
      </c>
      <c r="D11635" s="380" t="s">
        <v>767</v>
      </c>
      <c r="E11635" s="380" t="s">
        <v>786</v>
      </c>
      <c r="F11635" s="380" t="s">
        <v>998</v>
      </c>
      <c r="G11635" s="380" t="s">
        <v>1267</v>
      </c>
      <c r="H11635" s="380" t="s">
        <v>771</v>
      </c>
      <c r="I11635" s="380" t="s">
        <v>788</v>
      </c>
      <c r="J11635" s="380" t="s">
        <v>773</v>
      </c>
      <c r="K11635" s="381">
        <v>0.0</v>
      </c>
      <c r="L11635" s="382">
        <v>1.0</v>
      </c>
    </row>
    <row r="11636">
      <c r="A11636" s="380" t="s">
        <v>12510</v>
      </c>
      <c r="B11636" s="380" t="str">
        <f>IFERROR(__xludf.DUMMYFUNCTION("""COMPUTED_VALUE"""),"Hoja Resorte Tras Nkr 3ra 22935/3")</f>
        <v>Hoja Resorte Tras Nkr 3ra 22935/3</v>
      </c>
      <c r="C11636" s="380" t="str">
        <f>IFERROR(__xludf.DUMMYFUNCTION("""COMPUTED_VALUE"""),"70007076")</f>
        <v>70007076</v>
      </c>
      <c r="D11636" s="380" t="s">
        <v>767</v>
      </c>
      <c r="E11636" s="380" t="s">
        <v>786</v>
      </c>
      <c r="F11636" s="380" t="s">
        <v>1039</v>
      </c>
      <c r="G11636" s="380" t="s">
        <v>1267</v>
      </c>
      <c r="H11636" s="380" t="s">
        <v>771</v>
      </c>
      <c r="I11636" s="380" t="s">
        <v>788</v>
      </c>
      <c r="J11636" s="380" t="s">
        <v>773</v>
      </c>
      <c r="K11636" s="381">
        <v>0.0</v>
      </c>
      <c r="L11636" s="382">
        <v>1.0</v>
      </c>
    </row>
    <row r="11637">
      <c r="A11637" s="380" t="s">
        <v>12511</v>
      </c>
      <c r="B11637" s="380" t="str">
        <f>IFERROR(__xludf.DUMMYFUNCTION("""COMPUTED_VALUE"""),"Rache Freno Tras Eagle Hal4001014")</f>
        <v>Rache Freno Tras Eagle Hal4001014</v>
      </c>
      <c r="C11637" s="380" t="str">
        <f>IFERROR(__xludf.DUMMYFUNCTION("""COMPUTED_VALUE"""),"70007077")</f>
        <v>70007077</v>
      </c>
      <c r="D11637" s="380" t="s">
        <v>767</v>
      </c>
      <c r="E11637" s="380" t="s">
        <v>786</v>
      </c>
      <c r="F11637" s="380" t="s">
        <v>1017</v>
      </c>
      <c r="G11637" s="380" t="s">
        <v>1267</v>
      </c>
      <c r="H11637" s="380" t="s">
        <v>771</v>
      </c>
      <c r="I11637" s="380" t="s">
        <v>788</v>
      </c>
      <c r="J11637" s="380" t="s">
        <v>773</v>
      </c>
      <c r="K11637" s="381">
        <v>0.0</v>
      </c>
      <c r="L11637" s="382">
        <v>1.0</v>
      </c>
    </row>
    <row r="11638">
      <c r="A11638" s="380" t="s">
        <v>12512</v>
      </c>
      <c r="B11638" s="380" t="str">
        <f>IFERROR(__xludf.DUMMYFUNCTION("""COMPUTED_VALUE"""),"Tornillo Central MUE Del Nkr I Fabricado")</f>
        <v>Tornillo Central MUE Del Nkr I Fabricado</v>
      </c>
      <c r="C11638" s="380" t="str">
        <f>IFERROR(__xludf.DUMMYFUNCTION("""COMPUTED_VALUE"""),"70007078")</f>
        <v>70007078</v>
      </c>
      <c r="D11638" s="380" t="s">
        <v>767</v>
      </c>
      <c r="E11638" s="380" t="s">
        <v>786</v>
      </c>
      <c r="F11638" s="380" t="s">
        <v>1039</v>
      </c>
      <c r="G11638" s="380" t="s">
        <v>1267</v>
      </c>
      <c r="H11638" s="380" t="s">
        <v>771</v>
      </c>
      <c r="I11638" s="380" t="s">
        <v>788</v>
      </c>
      <c r="J11638" s="380" t="s">
        <v>773</v>
      </c>
      <c r="K11638" s="381">
        <v>0.0</v>
      </c>
      <c r="L11638" s="382">
        <v>1.0</v>
      </c>
    </row>
    <row r="11639">
      <c r="A11639" s="380" t="s">
        <v>12513</v>
      </c>
      <c r="B11639" s="380" t="str">
        <f>IFERROR(__xludf.DUMMYFUNCTION("""COMPUTED_VALUE"""),"Set Rodillo Rda Del Ex Timken 15106/250x")</f>
        <v>Set Rodillo Rda Del Ex Timken 15106/250x</v>
      </c>
      <c r="C11639" s="380" t="str">
        <f>IFERROR(__xludf.DUMMYFUNCTION("""COMPUTED_VALUE"""),"70007079")</f>
        <v>70007079</v>
      </c>
      <c r="D11639" s="380" t="s">
        <v>767</v>
      </c>
      <c r="E11639" s="380" t="s">
        <v>786</v>
      </c>
      <c r="F11639" s="380" t="s">
        <v>1039</v>
      </c>
      <c r="G11639" s="380" t="s">
        <v>1267</v>
      </c>
      <c r="H11639" s="380" t="s">
        <v>771</v>
      </c>
      <c r="I11639" s="380" t="s">
        <v>788</v>
      </c>
      <c r="J11639" s="380" t="s">
        <v>773</v>
      </c>
      <c r="K11639" s="381">
        <v>0.0</v>
      </c>
      <c r="L11639" s="382">
        <v>1.0</v>
      </c>
    </row>
    <row r="11640">
      <c r="A11640" s="380" t="s">
        <v>12514</v>
      </c>
      <c r="B11640" s="380" t="str">
        <f>IFERROR(__xludf.DUMMYFUNCTION("""COMPUTED_VALUE"""),"Bocin Rin Disco Nuevo Trailer B-12")</f>
        <v>Bocin Rin Disco Nuevo Trailer B-12</v>
      </c>
      <c r="C11640" s="380" t="str">
        <f>IFERROR(__xludf.DUMMYFUNCTION("""COMPUTED_VALUE"""),"70007080")</f>
        <v>70007080</v>
      </c>
      <c r="D11640" s="380" t="s">
        <v>767</v>
      </c>
      <c r="E11640" s="380" t="s">
        <v>786</v>
      </c>
      <c r="F11640" s="380" t="s">
        <v>1017</v>
      </c>
      <c r="G11640" s="380" t="s">
        <v>1267</v>
      </c>
      <c r="H11640" s="380" t="s">
        <v>771</v>
      </c>
      <c r="I11640" s="380" t="s">
        <v>788</v>
      </c>
      <c r="J11640" s="380" t="s">
        <v>773</v>
      </c>
      <c r="K11640" s="381">
        <v>0.0</v>
      </c>
      <c r="L11640" s="382">
        <v>1.0</v>
      </c>
    </row>
    <row r="11641">
      <c r="A11641" s="380" t="s">
        <v>12515</v>
      </c>
      <c r="B11641" s="380" t="str">
        <f>IFERROR(__xludf.DUMMYFUNCTION("""COMPUTED_VALUE"""),"Set Rodillo Rda Ext Del KWh 807040/10")</f>
        <v>Set Rodillo Rda Ext Del KWh 807040/10</v>
      </c>
      <c r="C11641" s="380" t="str">
        <f>IFERROR(__xludf.DUMMYFUNCTION("""COMPUTED_VALUE"""),"70007081")</f>
        <v>70007081</v>
      </c>
      <c r="D11641" s="380" t="s">
        <v>767</v>
      </c>
      <c r="E11641" s="380" t="s">
        <v>786</v>
      </c>
      <c r="F11641" s="380" t="s">
        <v>1039</v>
      </c>
      <c r="G11641" s="380" t="s">
        <v>1267</v>
      </c>
      <c r="H11641" s="380" t="s">
        <v>771</v>
      </c>
      <c r="I11641" s="380" t="s">
        <v>788</v>
      </c>
      <c r="J11641" s="380" t="s">
        <v>773</v>
      </c>
      <c r="K11641" s="381">
        <v>0.0</v>
      </c>
      <c r="L11641" s="382">
        <v>1.0</v>
      </c>
    </row>
    <row r="11642">
      <c r="A11642" s="380" t="s">
        <v>12516</v>
      </c>
      <c r="B11642" s="380" t="str">
        <f>IFERROR(__xludf.DUMMYFUNCTION("""COMPUTED_VALUE"""),"Volante Motor N200 9016610")</f>
        <v>Volante Motor N200 9016610</v>
      </c>
      <c r="C11642" s="380" t="str">
        <f>IFERROR(__xludf.DUMMYFUNCTION("""COMPUTED_VALUE"""),"70007082")</f>
        <v>70007082</v>
      </c>
      <c r="D11642" s="380" t="s">
        <v>767</v>
      </c>
      <c r="E11642" s="380" t="s">
        <v>786</v>
      </c>
      <c r="F11642" s="380" t="s">
        <v>787</v>
      </c>
      <c r="G11642" s="380" t="s">
        <v>1267</v>
      </c>
      <c r="H11642" s="380" t="s">
        <v>771</v>
      </c>
      <c r="I11642" s="380" t="s">
        <v>788</v>
      </c>
      <c r="J11642" s="380" t="s">
        <v>773</v>
      </c>
      <c r="K11642" s="381">
        <v>0.0</v>
      </c>
      <c r="L11642" s="382">
        <v>1.0</v>
      </c>
    </row>
    <row r="11643">
      <c r="A11643" s="380" t="s">
        <v>12517</v>
      </c>
      <c r="B11643" s="380" t="str">
        <f>IFERROR(__xludf.DUMMYFUNCTION("""COMPUTED_VALUE"""),"Empaque Carter Nkr 8970801940")</f>
        <v>Empaque Carter Nkr 8970801940</v>
      </c>
      <c r="C11643" s="380" t="str">
        <f>IFERROR(__xludf.DUMMYFUNCTION("""COMPUTED_VALUE"""),"70007083")</f>
        <v>70007083</v>
      </c>
      <c r="D11643" s="380" t="s">
        <v>767</v>
      </c>
      <c r="E11643" s="380" t="s">
        <v>786</v>
      </c>
      <c r="F11643" s="380" t="s">
        <v>787</v>
      </c>
      <c r="G11643" s="380" t="s">
        <v>1267</v>
      </c>
      <c r="H11643" s="380" t="s">
        <v>771</v>
      </c>
      <c r="I11643" s="380" t="s">
        <v>788</v>
      </c>
      <c r="J11643" s="380" t="s">
        <v>773</v>
      </c>
      <c r="K11643" s="381">
        <v>0.0</v>
      </c>
      <c r="L11643" s="382">
        <v>1.0</v>
      </c>
    </row>
    <row r="11644">
      <c r="A11644" s="380" t="s">
        <v>12518</v>
      </c>
      <c r="B11644" s="380" t="str">
        <f>IFERROR(__xludf.DUMMYFUNCTION("""COMPUTED_VALUE"""),"Manguera Sup Radiador Npr 97210676")</f>
        <v>Manguera Sup Radiador Npr 97210676</v>
      </c>
      <c r="C11644" s="380" t="str">
        <f>IFERROR(__xludf.DUMMYFUNCTION("""COMPUTED_VALUE"""),"70007084")</f>
        <v>70007084</v>
      </c>
      <c r="D11644" s="380" t="s">
        <v>767</v>
      </c>
      <c r="E11644" s="380" t="s">
        <v>786</v>
      </c>
      <c r="F11644" s="380" t="s">
        <v>787</v>
      </c>
      <c r="G11644" s="380" t="s">
        <v>1267</v>
      </c>
      <c r="H11644" s="380" t="s">
        <v>771</v>
      </c>
      <c r="I11644" s="380" t="s">
        <v>788</v>
      </c>
      <c r="J11644" s="380" t="s">
        <v>773</v>
      </c>
      <c r="K11644" s="381">
        <v>0.0</v>
      </c>
      <c r="L11644" s="382">
        <v>1.0</v>
      </c>
    </row>
    <row r="11645">
      <c r="A11645" s="380" t="s">
        <v>12519</v>
      </c>
      <c r="B11645" s="380" t="str">
        <f>IFERROR(__xludf.DUMMYFUNCTION("""COMPUTED_VALUE"""),"Automatico Aux Arranq Eag 1693494c91")</f>
        <v>Automatico Aux Arranq Eag 1693494c91</v>
      </c>
      <c r="C11645" s="380" t="str">
        <f>IFERROR(__xludf.DUMMYFUNCTION("""COMPUTED_VALUE"""),"70007085")</f>
        <v>70007085</v>
      </c>
      <c r="D11645" s="380" t="s">
        <v>767</v>
      </c>
      <c r="E11645" s="380" t="s">
        <v>786</v>
      </c>
      <c r="F11645" s="380" t="s">
        <v>998</v>
      </c>
      <c r="G11645" s="380" t="s">
        <v>1267</v>
      </c>
      <c r="H11645" s="380" t="s">
        <v>771</v>
      </c>
      <c r="I11645" s="380" t="s">
        <v>788</v>
      </c>
      <c r="J11645" s="380" t="s">
        <v>773</v>
      </c>
      <c r="K11645" s="381">
        <v>75863.0</v>
      </c>
      <c r="L11645" s="382">
        <v>1.0</v>
      </c>
    </row>
    <row r="11646">
      <c r="A11646" s="380" t="s">
        <v>12520</v>
      </c>
      <c r="B11646" s="380" t="str">
        <f>IFERROR(__xludf.DUMMYFUNCTION("""COMPUTED_VALUE"""),"Tapa DEP Limpiabrisas Kemwort C5720s")</f>
        <v>Tapa DEP Limpiabrisas Kemwort C5720s</v>
      </c>
      <c r="C11646" s="380" t="str">
        <f>IFERROR(__xludf.DUMMYFUNCTION("""COMPUTED_VALUE"""),"70007086")</f>
        <v>70007086</v>
      </c>
      <c r="D11646" s="380" t="s">
        <v>767</v>
      </c>
      <c r="E11646" s="380" t="s">
        <v>786</v>
      </c>
      <c r="F11646" s="380" t="s">
        <v>792</v>
      </c>
      <c r="G11646" s="380" t="s">
        <v>1267</v>
      </c>
      <c r="H11646" s="380" t="s">
        <v>771</v>
      </c>
      <c r="I11646" s="380" t="s">
        <v>788</v>
      </c>
      <c r="J11646" s="380" t="s">
        <v>773</v>
      </c>
      <c r="K11646" s="381">
        <v>0.0</v>
      </c>
      <c r="L11646" s="382">
        <v>1.0</v>
      </c>
    </row>
    <row r="11647">
      <c r="A11647" s="380" t="s">
        <v>12521</v>
      </c>
      <c r="B11647" s="380" t="str">
        <f>IFERROR(__xludf.DUMMYFUNCTION("""COMPUTED_VALUE"""),"Tope Tope Muelle Trasero Toy Delta 1471")</f>
        <v>Tope Tope Muelle Trasero Toy Delta 1471</v>
      </c>
      <c r="C11647" s="380" t="str">
        <f>IFERROR(__xludf.DUMMYFUNCTION("""COMPUTED_VALUE"""),"70007087")</f>
        <v>70007087</v>
      </c>
      <c r="D11647" s="380" t="s">
        <v>767</v>
      </c>
      <c r="E11647" s="380" t="s">
        <v>786</v>
      </c>
      <c r="F11647" s="380" t="s">
        <v>1039</v>
      </c>
      <c r="G11647" s="380" t="s">
        <v>1267</v>
      </c>
      <c r="H11647" s="380" t="s">
        <v>771</v>
      </c>
      <c r="I11647" s="380" t="s">
        <v>788</v>
      </c>
      <c r="J11647" s="380" t="s">
        <v>773</v>
      </c>
      <c r="K11647" s="381">
        <v>41610.0</v>
      </c>
      <c r="L11647" s="382">
        <v>1.0</v>
      </c>
    </row>
    <row r="11648">
      <c r="A11648" s="380" t="s">
        <v>12522</v>
      </c>
      <c r="B11648" s="380" t="str">
        <f>IFERROR(__xludf.DUMMYFUNCTION("""COMPUTED_VALUE"""),"Juego Escobillas X 4 M ARR 42mt 1852892")</f>
        <v>Juego Escobillas X 4 M ARR 42mt 1852892</v>
      </c>
      <c r="C11648" s="380" t="str">
        <f>IFERROR(__xludf.DUMMYFUNCTION("""COMPUTED_VALUE"""),"70007088")</f>
        <v>70007088</v>
      </c>
      <c r="D11648" s="380" t="s">
        <v>767</v>
      </c>
      <c r="E11648" s="380" t="s">
        <v>786</v>
      </c>
      <c r="F11648" s="380" t="s">
        <v>998</v>
      </c>
      <c r="G11648" s="380" t="s">
        <v>1267</v>
      </c>
      <c r="H11648" s="380" t="s">
        <v>771</v>
      </c>
      <c r="I11648" s="380" t="s">
        <v>788</v>
      </c>
      <c r="J11648" s="380" t="s">
        <v>773</v>
      </c>
      <c r="K11648" s="381">
        <v>0.0</v>
      </c>
      <c r="L11648" s="382">
        <v>1.0</v>
      </c>
    </row>
    <row r="11649">
      <c r="A11649" s="380" t="s">
        <v>12523</v>
      </c>
      <c r="B11649" s="380" t="str">
        <f>IFERROR(__xludf.DUMMYFUNCTION("""COMPUTED_VALUE"""),"Banda Tras Eagle - Kw T800 4709")</f>
        <v>Banda Tras Eagle - Kw T800 4709</v>
      </c>
      <c r="C11649" s="380" t="str">
        <f>IFERROR(__xludf.DUMMYFUNCTION("""COMPUTED_VALUE"""),"70007089")</f>
        <v>70007089</v>
      </c>
      <c r="D11649" s="380" t="s">
        <v>767</v>
      </c>
      <c r="E11649" s="380" t="s">
        <v>786</v>
      </c>
      <c r="F11649" s="380" t="s">
        <v>1017</v>
      </c>
      <c r="G11649" s="380" t="s">
        <v>1267</v>
      </c>
      <c r="H11649" s="380" t="s">
        <v>771</v>
      </c>
      <c r="I11649" s="380" t="s">
        <v>788</v>
      </c>
      <c r="J11649" s="380" t="s">
        <v>773</v>
      </c>
      <c r="K11649" s="381">
        <v>0.0</v>
      </c>
      <c r="L11649" s="382">
        <v>1.0</v>
      </c>
    </row>
    <row r="11650">
      <c r="A11650" s="380" t="s">
        <v>12524</v>
      </c>
      <c r="B11650" s="380" t="str">
        <f>IFERROR(__xludf.DUMMYFUNCTION("""COMPUTED_VALUE"""),"Hoja Resorte Tras Nkr 4ta 22935/4")</f>
        <v>Hoja Resorte Tras Nkr 4ta 22935/4</v>
      </c>
      <c r="C11650" s="380" t="str">
        <f>IFERROR(__xludf.DUMMYFUNCTION("""COMPUTED_VALUE"""),"70007090")</f>
        <v>70007090</v>
      </c>
      <c r="D11650" s="380" t="s">
        <v>767</v>
      </c>
      <c r="E11650" s="380" t="s">
        <v>786</v>
      </c>
      <c r="F11650" s="380" t="s">
        <v>1039</v>
      </c>
      <c r="G11650" s="380" t="s">
        <v>1267</v>
      </c>
      <c r="H11650" s="380" t="s">
        <v>771</v>
      </c>
      <c r="I11650" s="380" t="s">
        <v>788</v>
      </c>
      <c r="J11650" s="380" t="s">
        <v>773</v>
      </c>
      <c r="K11650" s="381">
        <v>0.0</v>
      </c>
      <c r="L11650" s="382">
        <v>1.0</v>
      </c>
    </row>
    <row r="11651">
      <c r="A11651" s="380" t="s">
        <v>12525</v>
      </c>
      <c r="B11651" s="380" t="str">
        <f>IFERROR(__xludf.DUMMYFUNCTION("""COMPUTED_VALUE"""),"Balinera Polea Tensora KW Df0617llv")</f>
        <v>Balinera Polea Tensora KW Df0617llv</v>
      </c>
      <c r="C11651" s="380" t="str">
        <f>IFERROR(__xludf.DUMMYFUNCTION("""COMPUTED_VALUE"""),"70007091")</f>
        <v>70007091</v>
      </c>
      <c r="D11651" s="380" t="s">
        <v>767</v>
      </c>
      <c r="E11651" s="380" t="s">
        <v>786</v>
      </c>
      <c r="F11651" s="380" t="s">
        <v>787</v>
      </c>
      <c r="G11651" s="380" t="s">
        <v>1267</v>
      </c>
      <c r="H11651" s="380" t="s">
        <v>771</v>
      </c>
      <c r="I11651" s="380" t="s">
        <v>788</v>
      </c>
      <c r="J11651" s="380" t="s">
        <v>773</v>
      </c>
      <c r="K11651" s="381">
        <v>0.0</v>
      </c>
      <c r="L11651" s="382">
        <v>1.0</v>
      </c>
    </row>
    <row r="11652">
      <c r="A11652" s="380" t="s">
        <v>12526</v>
      </c>
      <c r="B11652" s="380" t="str">
        <f>IFERROR(__xludf.DUMMYFUNCTION("""COMPUTED_VALUE"""),"Lampara Ppal Izq Completa Nkr")</f>
        <v>Lampara Ppal Izq Completa Nkr</v>
      </c>
      <c r="C11652" s="380" t="str">
        <f>IFERROR(__xludf.DUMMYFUNCTION("""COMPUTED_VALUE"""),"70007092")</f>
        <v>70007092</v>
      </c>
      <c r="D11652" s="380" t="s">
        <v>767</v>
      </c>
      <c r="E11652" s="380" t="s">
        <v>786</v>
      </c>
      <c r="F11652" s="380" t="s">
        <v>792</v>
      </c>
      <c r="G11652" s="380" t="s">
        <v>1267</v>
      </c>
      <c r="H11652" s="380" t="s">
        <v>771</v>
      </c>
      <c r="I11652" s="380" t="s">
        <v>788</v>
      </c>
      <c r="J11652" s="380" t="s">
        <v>773</v>
      </c>
      <c r="K11652" s="381">
        <v>0.0</v>
      </c>
      <c r="L11652" s="382">
        <v>1.0</v>
      </c>
    </row>
    <row r="11653">
      <c r="A11653" s="380" t="s">
        <v>12527</v>
      </c>
      <c r="B11653" s="380" t="str">
        <f>IFERROR(__xludf.DUMMYFUNCTION("""COMPUTED_VALUE"""),"Kit Sellos BMB Hidraulica Luk 1669456c91")</f>
        <v>Kit Sellos BMB Hidraulica Luk 1669456c91</v>
      </c>
      <c r="C11653" s="380" t="str">
        <f>IFERROR(__xludf.DUMMYFUNCTION("""COMPUTED_VALUE"""),"70007093")</f>
        <v>70007093</v>
      </c>
      <c r="D11653" s="380" t="s">
        <v>767</v>
      </c>
      <c r="E11653" s="380" t="s">
        <v>786</v>
      </c>
      <c r="F11653" s="380" t="s">
        <v>1020</v>
      </c>
      <c r="G11653" s="380" t="s">
        <v>1267</v>
      </c>
      <c r="H11653" s="380" t="s">
        <v>771</v>
      </c>
      <c r="I11653" s="380" t="s">
        <v>788</v>
      </c>
      <c r="J11653" s="380" t="s">
        <v>773</v>
      </c>
      <c r="K11653" s="381">
        <v>164155.0</v>
      </c>
      <c r="L11653" s="382">
        <v>1.0</v>
      </c>
    </row>
    <row r="11654">
      <c r="A11654" s="380" t="s">
        <v>12528</v>
      </c>
      <c r="B11654" s="380" t="str">
        <f>IFERROR(__xludf.DUMMYFUNCTION("""COMPUTED_VALUE"""),"Hoja Resorte Del Nkrii 3ra 22934/3")</f>
        <v>Hoja Resorte Del Nkrii 3ra 22934/3</v>
      </c>
      <c r="C11654" s="380" t="str">
        <f>IFERROR(__xludf.DUMMYFUNCTION("""COMPUTED_VALUE"""),"70007094")</f>
        <v>70007094</v>
      </c>
      <c r="D11654" s="380" t="s">
        <v>767</v>
      </c>
      <c r="E11654" s="380" t="s">
        <v>786</v>
      </c>
      <c r="F11654" s="380" t="s">
        <v>1039</v>
      </c>
      <c r="G11654" s="380" t="s">
        <v>1267</v>
      </c>
      <c r="H11654" s="380" t="s">
        <v>771</v>
      </c>
      <c r="I11654" s="380" t="s">
        <v>788</v>
      </c>
      <c r="J11654" s="380" t="s">
        <v>773</v>
      </c>
      <c r="K11654" s="381">
        <v>0.0</v>
      </c>
      <c r="L11654" s="382">
        <v>1.0</v>
      </c>
    </row>
    <row r="11655">
      <c r="A11655" s="380" t="s">
        <v>12529</v>
      </c>
      <c r="B11655" s="380" t="str">
        <f>IFERROR(__xludf.DUMMYFUNCTION("""COMPUTED_VALUE"""),"Hoja Resorte Del Nkrii 4ta 22934/4")</f>
        <v>Hoja Resorte Del Nkrii 4ta 22934/4</v>
      </c>
      <c r="C11655" s="380" t="str">
        <f>IFERROR(__xludf.DUMMYFUNCTION("""COMPUTED_VALUE"""),"70007095")</f>
        <v>70007095</v>
      </c>
      <c r="D11655" s="380" t="s">
        <v>767</v>
      </c>
      <c r="E11655" s="380" t="s">
        <v>786</v>
      </c>
      <c r="F11655" s="380" t="s">
        <v>1039</v>
      </c>
      <c r="G11655" s="380" t="s">
        <v>1267</v>
      </c>
      <c r="H11655" s="380" t="s">
        <v>771</v>
      </c>
      <c r="I11655" s="380" t="s">
        <v>788</v>
      </c>
      <c r="J11655" s="380" t="s">
        <v>773</v>
      </c>
      <c r="K11655" s="381">
        <v>0.0</v>
      </c>
      <c r="L11655" s="382">
        <v>1.0</v>
      </c>
    </row>
    <row r="11656">
      <c r="A11656" s="380" t="s">
        <v>12530</v>
      </c>
      <c r="B11656" s="380" t="str">
        <f>IFERROR(__xludf.DUMMYFUNCTION("""COMPUTED_VALUE"""),"FILT COMB VW Tecfil Psc491")</f>
        <v>FILT COMB VW Tecfil Psc491</v>
      </c>
      <c r="C11656" s="380" t="str">
        <f>IFERROR(__xludf.DUMMYFUNCTION("""COMPUTED_VALUE"""),"70007096")</f>
        <v>70007096</v>
      </c>
      <c r="D11656" s="380" t="s">
        <v>767</v>
      </c>
      <c r="E11656" s="380" t="s">
        <v>786</v>
      </c>
      <c r="F11656" s="380" t="s">
        <v>5855</v>
      </c>
      <c r="G11656" s="380" t="s">
        <v>1267</v>
      </c>
      <c r="H11656" s="380" t="s">
        <v>771</v>
      </c>
      <c r="I11656" s="380" t="s">
        <v>788</v>
      </c>
      <c r="J11656" s="380" t="s">
        <v>773</v>
      </c>
      <c r="K11656" s="381">
        <v>0.0</v>
      </c>
      <c r="L11656" s="382">
        <v>1.0</v>
      </c>
    </row>
    <row r="11657">
      <c r="A11657" s="380" t="s">
        <v>12531</v>
      </c>
      <c r="B11657" s="380" t="str">
        <f>IFERROR(__xludf.DUMMYFUNCTION("""COMPUTED_VALUE"""),"Tapizado Techo Cabina Nhr Nkr")</f>
        <v>Tapizado Techo Cabina Nhr Nkr</v>
      </c>
      <c r="C11657" s="380" t="str">
        <f>IFERROR(__xludf.DUMMYFUNCTION("""COMPUTED_VALUE"""),"70007097")</f>
        <v>70007097</v>
      </c>
      <c r="D11657" s="380" t="s">
        <v>767</v>
      </c>
      <c r="E11657" s="380" t="s">
        <v>786</v>
      </c>
      <c r="F11657" s="380" t="s">
        <v>792</v>
      </c>
      <c r="G11657" s="380" t="s">
        <v>1267</v>
      </c>
      <c r="H11657" s="380" t="s">
        <v>771</v>
      </c>
      <c r="I11657" s="380" t="s">
        <v>788</v>
      </c>
      <c r="J11657" s="380" t="s">
        <v>773</v>
      </c>
      <c r="K11657" s="381">
        <v>0.0</v>
      </c>
      <c r="L11657" s="382">
        <v>1.0</v>
      </c>
    </row>
    <row r="11658">
      <c r="A11658" s="380" t="s">
        <v>12532</v>
      </c>
      <c r="B11658" s="380" t="str">
        <f>IFERROR(__xludf.DUMMYFUNCTION("""COMPUTED_VALUE"""),"Lampara DIRal Del Internatio 1661762 C-")</f>
        <v>Lampara DIRal Del Internatio 1661762 C-</v>
      </c>
      <c r="C11658" s="380" t="str">
        <f>IFERROR(__xludf.DUMMYFUNCTION("""COMPUTED_VALUE"""),"70007098")</f>
        <v>70007098</v>
      </c>
      <c r="D11658" s="380" t="s">
        <v>767</v>
      </c>
      <c r="E11658" s="380" t="s">
        <v>786</v>
      </c>
      <c r="F11658" s="380" t="s">
        <v>998</v>
      </c>
      <c r="G11658" s="380" t="s">
        <v>1267</v>
      </c>
      <c r="H11658" s="380" t="s">
        <v>771</v>
      </c>
      <c r="I11658" s="380" t="s">
        <v>788</v>
      </c>
      <c r="J11658" s="380" t="s">
        <v>773</v>
      </c>
      <c r="K11658" s="381">
        <v>0.0</v>
      </c>
      <c r="L11658" s="382">
        <v>1.0</v>
      </c>
    </row>
    <row r="11659">
      <c r="A11659" s="380" t="s">
        <v>12533</v>
      </c>
      <c r="B11659" s="380" t="str">
        <f>IFERROR(__xludf.DUMMYFUNCTION("""COMPUTED_VALUE"""),"Resorte Banda Freno Del Nkr 8970787390")</f>
        <v>Resorte Banda Freno Del Nkr 8970787390</v>
      </c>
      <c r="C11659" s="380" t="str">
        <f>IFERROR(__xludf.DUMMYFUNCTION("""COMPUTED_VALUE"""),"70007099")</f>
        <v>70007099</v>
      </c>
      <c r="D11659" s="380" t="s">
        <v>767</v>
      </c>
      <c r="E11659" s="380" t="s">
        <v>786</v>
      </c>
      <c r="F11659" s="380" t="s">
        <v>1017</v>
      </c>
      <c r="G11659" s="380" t="s">
        <v>1267</v>
      </c>
      <c r="H11659" s="380" t="s">
        <v>771</v>
      </c>
      <c r="I11659" s="380" t="s">
        <v>788</v>
      </c>
      <c r="J11659" s="380" t="s">
        <v>773</v>
      </c>
      <c r="K11659" s="381">
        <v>0.0</v>
      </c>
      <c r="L11659" s="382">
        <v>1.0</v>
      </c>
    </row>
    <row r="11660">
      <c r="A11660" s="380" t="s">
        <v>12534</v>
      </c>
      <c r="B11660" s="380" t="str">
        <f>IFERROR(__xludf.DUMMYFUNCTION("""COMPUTED_VALUE"""),"Balancin Muelle Tras Npr 15530009")</f>
        <v>Balancin Muelle Tras Npr 15530009</v>
      </c>
      <c r="C11660" s="380" t="str">
        <f>IFERROR(__xludf.DUMMYFUNCTION("""COMPUTED_VALUE"""),"70007100")</f>
        <v>70007100</v>
      </c>
      <c r="D11660" s="380" t="s">
        <v>767</v>
      </c>
      <c r="E11660" s="380" t="s">
        <v>786</v>
      </c>
      <c r="F11660" s="380" t="s">
        <v>1039</v>
      </c>
      <c r="G11660" s="380" t="s">
        <v>1267</v>
      </c>
      <c r="H11660" s="380" t="s">
        <v>771</v>
      </c>
      <c r="I11660" s="380" t="s">
        <v>788</v>
      </c>
      <c r="J11660" s="380" t="s">
        <v>773</v>
      </c>
      <c r="K11660" s="381">
        <v>0.0</v>
      </c>
      <c r="L11660" s="382">
        <v>1.0</v>
      </c>
    </row>
    <row r="11661">
      <c r="A11661" s="380" t="s">
        <v>12535</v>
      </c>
      <c r="B11661" s="380" t="str">
        <f>IFERROR(__xludf.DUMMYFUNCTION("""COMPUTED_VALUE"""),"Juego Casquete Bancada Nkrii 8970632600")</f>
        <v>Juego Casquete Bancada Nkrii 8970632600</v>
      </c>
      <c r="C11661" s="380" t="str">
        <f>IFERROR(__xludf.DUMMYFUNCTION("""COMPUTED_VALUE"""),"70007101")</f>
        <v>70007101</v>
      </c>
      <c r="D11661" s="380" t="s">
        <v>767</v>
      </c>
      <c r="E11661" s="380" t="s">
        <v>786</v>
      </c>
      <c r="F11661" s="380" t="s">
        <v>787</v>
      </c>
      <c r="G11661" s="380" t="s">
        <v>1267</v>
      </c>
      <c r="H11661" s="380" t="s">
        <v>771</v>
      </c>
      <c r="I11661" s="380" t="s">
        <v>788</v>
      </c>
      <c r="J11661" s="380" t="s">
        <v>773</v>
      </c>
      <c r="K11661" s="381">
        <v>0.0</v>
      </c>
      <c r="L11661" s="382">
        <v>1.0</v>
      </c>
    </row>
    <row r="11662">
      <c r="A11662" s="380" t="s">
        <v>12536</v>
      </c>
      <c r="B11662" s="380" t="str">
        <f>IFERROR(__xludf.DUMMYFUNCTION("""COMPUTED_VALUE"""),"Retenedor Rueda Tras Nkr III 8943363141")</f>
        <v>Retenedor Rueda Tras Nkr III 8943363141</v>
      </c>
      <c r="C11662" s="380" t="str">
        <f>IFERROR(__xludf.DUMMYFUNCTION("""COMPUTED_VALUE"""),"70007102")</f>
        <v>70007102</v>
      </c>
      <c r="D11662" s="380" t="s">
        <v>767</v>
      </c>
      <c r="E11662" s="380" t="s">
        <v>786</v>
      </c>
      <c r="F11662" s="380" t="s">
        <v>1039</v>
      </c>
      <c r="G11662" s="380" t="s">
        <v>1267</v>
      </c>
      <c r="H11662" s="380" t="s">
        <v>771</v>
      </c>
      <c r="I11662" s="380" t="s">
        <v>788</v>
      </c>
      <c r="J11662" s="380" t="s">
        <v>773</v>
      </c>
      <c r="K11662" s="381">
        <v>24495.0</v>
      </c>
      <c r="L11662" s="382">
        <v>1.0</v>
      </c>
    </row>
    <row r="11663">
      <c r="A11663" s="380" t="s">
        <v>12537</v>
      </c>
      <c r="B11663" s="380" t="str">
        <f>IFERROR(__xludf.DUMMYFUNCTION("""COMPUTED_VALUE"""),"Tobera Inyector Nkr 1050172380")</f>
        <v>Tobera Inyector Nkr 1050172380</v>
      </c>
      <c r="C11663" s="380" t="str">
        <f>IFERROR(__xludf.DUMMYFUNCTION("""COMPUTED_VALUE"""),"70007103")</f>
        <v>70007103</v>
      </c>
      <c r="D11663" s="380" t="s">
        <v>767</v>
      </c>
      <c r="E11663" s="380" t="s">
        <v>786</v>
      </c>
      <c r="F11663" s="380" t="s">
        <v>787</v>
      </c>
      <c r="G11663" s="380" t="s">
        <v>1267</v>
      </c>
      <c r="H11663" s="380" t="s">
        <v>771</v>
      </c>
      <c r="I11663" s="380" t="s">
        <v>788</v>
      </c>
      <c r="J11663" s="380" t="s">
        <v>773</v>
      </c>
      <c r="K11663" s="381">
        <v>0.0</v>
      </c>
      <c r="L11663" s="382">
        <v>1.0</v>
      </c>
    </row>
    <row r="11664">
      <c r="A11664" s="380" t="s">
        <v>12538</v>
      </c>
      <c r="B11664" s="380" t="str">
        <f>IFERROR(__xludf.DUMMYFUNCTION("""COMPUTED_VALUE"""),"Kit Mayor Fan Clucht KWh 994985")</f>
        <v>Kit Mayor Fan Clucht KWh 994985</v>
      </c>
      <c r="C11664" s="380" t="str">
        <f>IFERROR(__xludf.DUMMYFUNCTION("""COMPUTED_VALUE"""),"70007104")</f>
        <v>70007104</v>
      </c>
      <c r="D11664" s="380" t="s">
        <v>767</v>
      </c>
      <c r="E11664" s="380" t="s">
        <v>786</v>
      </c>
      <c r="F11664" s="380" t="s">
        <v>787</v>
      </c>
      <c r="G11664" s="380" t="s">
        <v>1267</v>
      </c>
      <c r="H11664" s="380" t="s">
        <v>771</v>
      </c>
      <c r="I11664" s="380" t="s">
        <v>788</v>
      </c>
      <c r="J11664" s="380" t="s">
        <v>773</v>
      </c>
      <c r="K11664" s="381">
        <v>0.0</v>
      </c>
      <c r="L11664" s="382">
        <v>1.0</v>
      </c>
    </row>
    <row r="11665">
      <c r="A11665" s="380" t="s">
        <v>12539</v>
      </c>
      <c r="B11665" s="380" t="str">
        <f>IFERROR(__xludf.DUMMYFUNCTION("""COMPUTED_VALUE"""),"Empaquetadura Secador Aire KWh 109495bxw")</f>
        <v>Empaquetadura Secador Aire KWh 109495bxw</v>
      </c>
      <c r="C11665" s="380" t="str">
        <f>IFERROR(__xludf.DUMMYFUNCTION("""COMPUTED_VALUE"""),"70007105")</f>
        <v>70007105</v>
      </c>
      <c r="D11665" s="380" t="s">
        <v>767</v>
      </c>
      <c r="E11665" s="380" t="s">
        <v>786</v>
      </c>
      <c r="F11665" s="380" t="s">
        <v>1017</v>
      </c>
      <c r="G11665" s="380" t="s">
        <v>1267</v>
      </c>
      <c r="H11665" s="380" t="s">
        <v>771</v>
      </c>
      <c r="I11665" s="380" t="s">
        <v>788</v>
      </c>
      <c r="J11665" s="380" t="s">
        <v>773</v>
      </c>
      <c r="K11665" s="381">
        <v>0.0</v>
      </c>
      <c r="L11665" s="382">
        <v>1.0</v>
      </c>
    </row>
    <row r="11666">
      <c r="A11666" s="380" t="s">
        <v>12540</v>
      </c>
      <c r="B11666" s="380" t="str">
        <f>IFERROR(__xludf.DUMMYFUNCTION("""COMPUTED_VALUE"""),"Deposito Liquido Freno Moto 3w180")</f>
        <v>Deposito Liquido Freno Moto 3w180</v>
      </c>
      <c r="C11666" s="380" t="str">
        <f>IFERROR(__xludf.DUMMYFUNCTION("""COMPUTED_VALUE"""),"70007106")</f>
        <v>70007106</v>
      </c>
      <c r="D11666" s="380" t="s">
        <v>767</v>
      </c>
      <c r="E11666" s="380" t="s">
        <v>786</v>
      </c>
      <c r="F11666" s="380" t="s">
        <v>1017</v>
      </c>
      <c r="G11666" s="380" t="s">
        <v>1267</v>
      </c>
      <c r="H11666" s="380" t="s">
        <v>771</v>
      </c>
      <c r="I11666" s="380" t="s">
        <v>788</v>
      </c>
      <c r="J11666" s="380" t="s">
        <v>773</v>
      </c>
      <c r="K11666" s="381">
        <v>0.0</v>
      </c>
      <c r="L11666" s="382">
        <v>1.0</v>
      </c>
    </row>
    <row r="11667">
      <c r="A11667" s="380" t="s">
        <v>12541</v>
      </c>
      <c r="B11667" s="380" t="str">
        <f>IFERROR(__xludf.DUMMYFUNCTION("""COMPUTED_VALUE"""),"Campana Freno Trasera Jac 1120")</f>
        <v>Campana Freno Trasera Jac 1120</v>
      </c>
      <c r="C11667" s="380" t="str">
        <f>IFERROR(__xludf.DUMMYFUNCTION("""COMPUTED_VALUE"""),"70007107")</f>
        <v>70007107</v>
      </c>
      <c r="D11667" s="380" t="s">
        <v>767</v>
      </c>
      <c r="E11667" s="380" t="s">
        <v>786</v>
      </c>
      <c r="F11667" s="380" t="s">
        <v>1017</v>
      </c>
      <c r="G11667" s="380" t="s">
        <v>1267</v>
      </c>
      <c r="H11667" s="380" t="s">
        <v>771</v>
      </c>
      <c r="I11667" s="380" t="s">
        <v>788</v>
      </c>
      <c r="J11667" s="380" t="s">
        <v>773</v>
      </c>
      <c r="K11667" s="381">
        <v>0.0</v>
      </c>
      <c r="L11667" s="382">
        <v>1.0</v>
      </c>
    </row>
    <row r="11668">
      <c r="A11668" s="380" t="s">
        <v>12542</v>
      </c>
      <c r="B11668" s="380" t="str">
        <f>IFERROR(__xludf.DUMMYFUNCTION("""COMPUTED_VALUE"""),"Banda Del Tras Jack 9146 Remachada")</f>
        <v>Banda Del Tras Jack 9146 Remachada</v>
      </c>
      <c r="C11668" s="380" t="str">
        <f>IFERROR(__xludf.DUMMYFUNCTION("""COMPUTED_VALUE"""),"70007108")</f>
        <v>70007108</v>
      </c>
      <c r="D11668" s="380" t="s">
        <v>767</v>
      </c>
      <c r="E11668" s="380" t="s">
        <v>786</v>
      </c>
      <c r="F11668" s="380" t="s">
        <v>1017</v>
      </c>
      <c r="G11668" s="380" t="s">
        <v>1267</v>
      </c>
      <c r="H11668" s="380" t="s">
        <v>771</v>
      </c>
      <c r="I11668" s="380" t="s">
        <v>788</v>
      </c>
      <c r="J11668" s="380" t="s">
        <v>773</v>
      </c>
      <c r="K11668" s="381">
        <v>0.0</v>
      </c>
      <c r="L11668" s="382">
        <v>1.0</v>
      </c>
    </row>
    <row r="11669">
      <c r="A11669" s="380" t="s">
        <v>12543</v>
      </c>
      <c r="B11669" s="380" t="str">
        <f>IFERROR(__xludf.DUMMYFUNCTION("""COMPUTED_VALUE"""),"Juego Escobillas Arranque Npr Bye-65")</f>
        <v>Juego Escobillas Arranque Npr Bye-65</v>
      </c>
      <c r="C11669" s="380" t="str">
        <f>IFERROR(__xludf.DUMMYFUNCTION("""COMPUTED_VALUE"""),"70007109")</f>
        <v>70007109</v>
      </c>
      <c r="D11669" s="380" t="s">
        <v>767</v>
      </c>
      <c r="E11669" s="380" t="s">
        <v>786</v>
      </c>
      <c r="F11669" s="380" t="s">
        <v>998</v>
      </c>
      <c r="G11669" s="380" t="s">
        <v>1267</v>
      </c>
      <c r="H11669" s="380" t="s">
        <v>771</v>
      </c>
      <c r="I11669" s="380" t="s">
        <v>788</v>
      </c>
      <c r="J11669" s="380" t="s">
        <v>773</v>
      </c>
      <c r="K11669" s="381">
        <v>0.0</v>
      </c>
      <c r="L11669" s="382">
        <v>1.0</v>
      </c>
    </row>
    <row r="11670">
      <c r="A11670" s="380" t="s">
        <v>12544</v>
      </c>
      <c r="B11670" s="380" t="str">
        <f>IFERROR(__xludf.DUMMYFUNCTION("""COMPUTED_VALUE"""),"Codo Escualizable Manguera Acpm Husk-05")</f>
        <v>Codo Escualizable Manguera Acpm Husk-05</v>
      </c>
      <c r="C11670" s="380" t="str">
        <f>IFERROR(__xludf.DUMMYFUNCTION("""COMPUTED_VALUE"""),"70007110")</f>
        <v>70007110</v>
      </c>
      <c r="D11670" s="380" t="s">
        <v>767</v>
      </c>
      <c r="E11670" s="380" t="s">
        <v>786</v>
      </c>
      <c r="F11670" s="380" t="s">
        <v>989</v>
      </c>
      <c r="G11670" s="380" t="s">
        <v>1267</v>
      </c>
      <c r="H11670" s="380" t="s">
        <v>771</v>
      </c>
      <c r="I11670" s="380" t="s">
        <v>788</v>
      </c>
      <c r="J11670" s="380" t="s">
        <v>773</v>
      </c>
      <c r="K11670" s="381">
        <v>0.0</v>
      </c>
      <c r="L11670" s="382">
        <v>1.0</v>
      </c>
    </row>
    <row r="11671">
      <c r="A11671" s="380" t="s">
        <v>12545</v>
      </c>
      <c r="B11671" s="380" t="str">
        <f>IFERROR(__xludf.DUMMYFUNCTION("""COMPUTED_VALUE"""),"Juego Contacto Arranque Npr Cat")</f>
        <v>Juego Contacto Arranque Npr Cat</v>
      </c>
      <c r="C11671" s="380" t="str">
        <f>IFERROR(__xludf.DUMMYFUNCTION("""COMPUTED_VALUE"""),"70007111")</f>
        <v>70007111</v>
      </c>
      <c r="D11671" s="380" t="s">
        <v>767</v>
      </c>
      <c r="E11671" s="380" t="s">
        <v>786</v>
      </c>
      <c r="F11671" s="380" t="s">
        <v>998</v>
      </c>
      <c r="G11671" s="380" t="s">
        <v>1267</v>
      </c>
      <c r="H11671" s="380" t="s">
        <v>771</v>
      </c>
      <c r="I11671" s="380" t="s">
        <v>788</v>
      </c>
      <c r="J11671" s="380" t="s">
        <v>773</v>
      </c>
      <c r="K11671" s="381">
        <v>0.0</v>
      </c>
      <c r="L11671" s="382">
        <v>1.0</v>
      </c>
    </row>
    <row r="11672">
      <c r="A11672" s="380" t="s">
        <v>12546</v>
      </c>
      <c r="B11672" s="380" t="str">
        <f>IFERROR(__xludf.DUMMYFUNCTION("""COMPUTED_VALUE"""),"Mon Jan 01 8125 00:00:00 GMT-0500 (hora")</f>
        <v>Mon Jan 01 8125 00:00:00 GMT-0500 (hora</v>
      </c>
      <c r="C11672" s="380" t="str">
        <f>IFERROR(__xludf.DUMMYFUNCTION("""COMPUTED_VALUE"""),"70007112")</f>
        <v>70007112</v>
      </c>
      <c r="D11672" s="380" t="s">
        <v>767</v>
      </c>
      <c r="E11672" s="380" t="s">
        <v>786</v>
      </c>
      <c r="F11672" s="380" t="s">
        <v>792</v>
      </c>
      <c r="G11672" s="380" t="s">
        <v>1267</v>
      </c>
      <c r="H11672" s="380" t="s">
        <v>771</v>
      </c>
      <c r="I11672" s="380" t="s">
        <v>788</v>
      </c>
      <c r="J11672" s="380" t="s">
        <v>773</v>
      </c>
      <c r="K11672" s="381">
        <v>53357.0</v>
      </c>
      <c r="L11672" s="382">
        <v>1.0</v>
      </c>
    </row>
    <row r="11673">
      <c r="A11673" s="380" t="s">
        <v>12547</v>
      </c>
      <c r="B11673" s="380" t="str">
        <f>IFERROR(__xludf.DUMMYFUNCTION("""COMPUTED_VALUE"""),"Eje Corredizo Caja 14915 SB N14 S2688")</f>
        <v>Eje Corredizo Caja 14915 SB N14 S2688</v>
      </c>
      <c r="C11673" s="380" t="str">
        <f>IFERROR(__xludf.DUMMYFUNCTION("""COMPUTED_VALUE"""),"70007113")</f>
        <v>70007113</v>
      </c>
      <c r="D11673" s="380" t="s">
        <v>767</v>
      </c>
      <c r="E11673" s="380" t="s">
        <v>786</v>
      </c>
      <c r="F11673" s="380" t="s">
        <v>928</v>
      </c>
      <c r="G11673" s="380" t="s">
        <v>1267</v>
      </c>
      <c r="H11673" s="380" t="s">
        <v>771</v>
      </c>
      <c r="I11673" s="380" t="s">
        <v>788</v>
      </c>
      <c r="J11673" s="380" t="s">
        <v>773</v>
      </c>
      <c r="K11673" s="381">
        <v>0.0</v>
      </c>
      <c r="L11673" s="382">
        <v>1.0</v>
      </c>
    </row>
    <row r="11674">
      <c r="A11674" s="380" t="s">
        <v>12548</v>
      </c>
      <c r="B11674" s="380" t="str">
        <f>IFERROR(__xludf.DUMMYFUNCTION("""COMPUTED_VALUE"""),"Diafragma Camara Aire Tipo 30")</f>
        <v>Diafragma Camara Aire Tipo 30</v>
      </c>
      <c r="C11674" s="380" t="str">
        <f>IFERROR(__xludf.DUMMYFUNCTION("""COMPUTED_VALUE"""),"70007114")</f>
        <v>70007114</v>
      </c>
      <c r="D11674" s="380" t="s">
        <v>767</v>
      </c>
      <c r="E11674" s="380" t="s">
        <v>786</v>
      </c>
      <c r="F11674" s="380" t="s">
        <v>1017</v>
      </c>
      <c r="G11674" s="380" t="s">
        <v>1267</v>
      </c>
      <c r="H11674" s="380" t="s">
        <v>771</v>
      </c>
      <c r="I11674" s="380" t="s">
        <v>788</v>
      </c>
      <c r="J11674" s="380" t="s">
        <v>773</v>
      </c>
      <c r="K11674" s="381">
        <v>12830.0</v>
      </c>
      <c r="L11674" s="382">
        <v>1.0</v>
      </c>
    </row>
    <row r="11675">
      <c r="A11675" s="380" t="s">
        <v>12549</v>
      </c>
      <c r="B11675" s="380" t="str">
        <f>IFERROR(__xludf.DUMMYFUNCTION("""COMPUTED_VALUE"""),"Plato Freno Parqueo Nkr 8970345532")</f>
        <v>Plato Freno Parqueo Nkr 8970345532</v>
      </c>
      <c r="C11675" s="380" t="str">
        <f>IFERROR(__xludf.DUMMYFUNCTION("""COMPUTED_VALUE"""),"70007115")</f>
        <v>70007115</v>
      </c>
      <c r="D11675" s="380" t="s">
        <v>767</v>
      </c>
      <c r="E11675" s="380" t="s">
        <v>786</v>
      </c>
      <c r="F11675" s="380" t="s">
        <v>1017</v>
      </c>
      <c r="G11675" s="380" t="s">
        <v>1267</v>
      </c>
      <c r="H11675" s="380" t="s">
        <v>771</v>
      </c>
      <c r="I11675" s="380" t="s">
        <v>788</v>
      </c>
      <c r="J11675" s="380" t="s">
        <v>773</v>
      </c>
      <c r="K11675" s="381">
        <v>0.0</v>
      </c>
      <c r="L11675" s="382">
        <v>1.0</v>
      </c>
    </row>
    <row r="11676">
      <c r="A11676" s="380" t="s">
        <v>12550</v>
      </c>
      <c r="B11676" s="380" t="str">
        <f>IFERROR(__xludf.DUMMYFUNCTION("""COMPUTED_VALUE"""),"Hoja Resorte Delantera Nkr 22934/6")</f>
        <v>Hoja Resorte Delantera Nkr 22934/6</v>
      </c>
      <c r="C11676" s="380" t="str">
        <f>IFERROR(__xludf.DUMMYFUNCTION("""COMPUTED_VALUE"""),"70007116")</f>
        <v>70007116</v>
      </c>
      <c r="D11676" s="380" t="s">
        <v>767</v>
      </c>
      <c r="E11676" s="380" t="s">
        <v>786</v>
      </c>
      <c r="F11676" s="380" t="s">
        <v>1039</v>
      </c>
      <c r="G11676" s="380" t="s">
        <v>1267</v>
      </c>
      <c r="H11676" s="380" t="s">
        <v>771</v>
      </c>
      <c r="I11676" s="380" t="s">
        <v>788</v>
      </c>
      <c r="J11676" s="380" t="s">
        <v>773</v>
      </c>
      <c r="K11676" s="381">
        <v>0.0</v>
      </c>
      <c r="L11676" s="382">
        <v>1.0</v>
      </c>
    </row>
    <row r="11677">
      <c r="A11677" s="380" t="s">
        <v>12551</v>
      </c>
      <c r="B11677" s="380" t="str">
        <f>IFERROR(__xludf.DUMMYFUNCTION("""COMPUTED_VALUE"""),"VALV Silla AIR Baja Presion EG 2505476c1")</f>
        <v>VALV Silla AIR Baja Presion EG 2505476c1</v>
      </c>
      <c r="C11677" s="380" t="str">
        <f>IFERROR(__xludf.DUMMYFUNCTION("""COMPUTED_VALUE"""),"70007117")</f>
        <v>70007117</v>
      </c>
      <c r="D11677" s="380" t="s">
        <v>767</v>
      </c>
      <c r="E11677" s="380" t="s">
        <v>786</v>
      </c>
      <c r="F11677" s="380" t="s">
        <v>792</v>
      </c>
      <c r="G11677" s="380" t="s">
        <v>1267</v>
      </c>
      <c r="H11677" s="380" t="s">
        <v>771</v>
      </c>
      <c r="I11677" s="380" t="s">
        <v>788</v>
      </c>
      <c r="J11677" s="380" t="s">
        <v>773</v>
      </c>
      <c r="K11677" s="381">
        <v>0.0</v>
      </c>
      <c r="L11677" s="382">
        <v>1.0</v>
      </c>
    </row>
    <row r="11678">
      <c r="A11678" s="380" t="s">
        <v>12552</v>
      </c>
      <c r="B11678" s="380" t="str">
        <f>IFERROR(__xludf.DUMMYFUNCTION("""COMPUTED_VALUE"""),"Diafragma Camara Del Tipo 24")</f>
        <v>Diafragma Camara Del Tipo 24</v>
      </c>
      <c r="C11678" s="380" t="str">
        <f>IFERROR(__xludf.DUMMYFUNCTION("""COMPUTED_VALUE"""),"70007118")</f>
        <v>70007118</v>
      </c>
      <c r="D11678" s="380" t="s">
        <v>767</v>
      </c>
      <c r="E11678" s="380" t="s">
        <v>786</v>
      </c>
      <c r="F11678" s="380" t="s">
        <v>1017</v>
      </c>
      <c r="G11678" s="380" t="s">
        <v>1267</v>
      </c>
      <c r="H11678" s="380" t="s">
        <v>771</v>
      </c>
      <c r="I11678" s="380" t="s">
        <v>788</v>
      </c>
      <c r="J11678" s="380" t="s">
        <v>773</v>
      </c>
      <c r="K11678" s="381">
        <v>10021.0</v>
      </c>
      <c r="L11678" s="382">
        <v>1.0</v>
      </c>
    </row>
    <row r="11679">
      <c r="A11679" s="380" t="s">
        <v>12553</v>
      </c>
      <c r="B11679" s="380" t="str">
        <f>IFERROR(__xludf.DUMMYFUNCTION("""COMPUTED_VALUE"""),"BMB Transferencia Isx EGL 536225 4935094")</f>
        <v>BMB Transferencia Isx EGL 536225 4935094</v>
      </c>
      <c r="C11679" s="380" t="str">
        <f>IFERROR(__xludf.DUMMYFUNCTION("""COMPUTED_VALUE"""),"70007119")</f>
        <v>70007119</v>
      </c>
      <c r="D11679" s="380" t="s">
        <v>767</v>
      </c>
      <c r="E11679" s="380" t="s">
        <v>786</v>
      </c>
      <c r="F11679" s="380" t="s">
        <v>787</v>
      </c>
      <c r="G11679" s="380" t="s">
        <v>1267</v>
      </c>
      <c r="H11679" s="380" t="s">
        <v>771</v>
      </c>
      <c r="I11679" s="380" t="s">
        <v>788</v>
      </c>
      <c r="J11679" s="380" t="s">
        <v>773</v>
      </c>
      <c r="K11679" s="381">
        <v>0.0</v>
      </c>
      <c r="L11679" s="382">
        <v>1.0</v>
      </c>
    </row>
    <row r="11680">
      <c r="A11680" s="380" t="s">
        <v>12554</v>
      </c>
      <c r="B11680" s="380" t="str">
        <f>IFERROR(__xludf.DUMMYFUNCTION("""COMPUTED_VALUE"""),"Tope Bomper Octagonal Contenedor 1583")</f>
        <v>Tope Bomper Octagonal Contenedor 1583</v>
      </c>
      <c r="C11680" s="380" t="str">
        <f>IFERROR(__xludf.DUMMYFUNCTION("""COMPUTED_VALUE"""),"70007120")</f>
        <v>70007120</v>
      </c>
      <c r="D11680" s="380" t="s">
        <v>767</v>
      </c>
      <c r="E11680" s="380" t="s">
        <v>786</v>
      </c>
      <c r="F11680" s="380" t="s">
        <v>792</v>
      </c>
      <c r="G11680" s="380" t="s">
        <v>1267</v>
      </c>
      <c r="H11680" s="380" t="s">
        <v>771</v>
      </c>
      <c r="I11680" s="380" t="s">
        <v>788</v>
      </c>
      <c r="J11680" s="380" t="s">
        <v>773</v>
      </c>
      <c r="K11680" s="381">
        <v>0.0</v>
      </c>
      <c r="L11680" s="382">
        <v>1.0</v>
      </c>
    </row>
    <row r="11681">
      <c r="A11681" s="380" t="s">
        <v>12555</v>
      </c>
      <c r="B11681" s="380" t="str">
        <f>IFERROR(__xludf.DUMMYFUNCTION("""COMPUTED_VALUE"""),"Bomba Freno Npr - 8972243710")</f>
        <v>Bomba Freno Npr - 8972243710</v>
      </c>
      <c r="C11681" s="380" t="str">
        <f>IFERROR(__xludf.DUMMYFUNCTION("""COMPUTED_VALUE"""),"70007121")</f>
        <v>70007121</v>
      </c>
      <c r="D11681" s="380" t="s">
        <v>767</v>
      </c>
      <c r="E11681" s="380" t="s">
        <v>786</v>
      </c>
      <c r="F11681" s="380" t="s">
        <v>1017</v>
      </c>
      <c r="G11681" s="380" t="s">
        <v>1267</v>
      </c>
      <c r="H11681" s="380" t="s">
        <v>771</v>
      </c>
      <c r="I11681" s="380" t="s">
        <v>788</v>
      </c>
      <c r="J11681" s="380" t="s">
        <v>773</v>
      </c>
      <c r="K11681" s="381">
        <v>0.0</v>
      </c>
      <c r="L11681" s="382">
        <v>1.0</v>
      </c>
    </row>
    <row r="11682">
      <c r="A11682" s="380" t="s">
        <v>12556</v>
      </c>
      <c r="B11682" s="380" t="str">
        <f>IFERROR(__xludf.DUMMYFUNCTION("""COMPUTED_VALUE"""),"Kit Reparacion Motor 3 Nkr 5878131950")</f>
        <v>Kit Reparacion Motor 3 Nkr 5878131950</v>
      </c>
      <c r="C11682" s="380" t="str">
        <f>IFERROR(__xludf.DUMMYFUNCTION("""COMPUTED_VALUE"""),"70007122")</f>
        <v>70007122</v>
      </c>
      <c r="D11682" s="380" t="s">
        <v>767</v>
      </c>
      <c r="E11682" s="380" t="s">
        <v>786</v>
      </c>
      <c r="F11682" s="380" t="s">
        <v>787</v>
      </c>
      <c r="G11682" s="380" t="s">
        <v>1267</v>
      </c>
      <c r="H11682" s="380" t="s">
        <v>771</v>
      </c>
      <c r="I11682" s="380" t="s">
        <v>788</v>
      </c>
      <c r="J11682" s="380" t="s">
        <v>773</v>
      </c>
      <c r="K11682" s="381">
        <v>0.0</v>
      </c>
      <c r="L11682" s="382">
        <v>1.0</v>
      </c>
    </row>
    <row r="11683">
      <c r="A11683" s="380" t="s">
        <v>12557</v>
      </c>
      <c r="B11683" s="380" t="str">
        <f>IFERROR(__xludf.DUMMYFUNCTION("""COMPUTED_VALUE"""),"Clip Mascarilla Radiad Npr-Nk 8978927300")</f>
        <v>Clip Mascarilla Radiad Npr-Nk 8978927300</v>
      </c>
      <c r="C11683" s="380" t="str">
        <f>IFERROR(__xludf.DUMMYFUNCTION("""COMPUTED_VALUE"""),"70007123")</f>
        <v>70007123</v>
      </c>
      <c r="D11683" s="380" t="s">
        <v>767</v>
      </c>
      <c r="E11683" s="380" t="s">
        <v>786</v>
      </c>
      <c r="F11683" s="380" t="s">
        <v>792</v>
      </c>
      <c r="G11683" s="380" t="s">
        <v>1267</v>
      </c>
      <c r="H11683" s="380" t="s">
        <v>771</v>
      </c>
      <c r="I11683" s="380" t="s">
        <v>788</v>
      </c>
      <c r="J11683" s="380" t="s">
        <v>773</v>
      </c>
      <c r="K11683" s="381">
        <v>0.0</v>
      </c>
      <c r="L11683" s="382">
        <v>1.0</v>
      </c>
    </row>
    <row r="11684">
      <c r="A11684" s="380" t="s">
        <v>12558</v>
      </c>
      <c r="B11684" s="380" t="str">
        <f>IFERROR(__xludf.DUMMYFUNCTION("""COMPUTED_VALUE"""),"Empaque Culata N-1 Nkr 8973503180")</f>
        <v>Empaque Culata N-1 Nkr 8973503180</v>
      </c>
      <c r="C11684" s="380" t="str">
        <f>IFERROR(__xludf.DUMMYFUNCTION("""COMPUTED_VALUE"""),"70007124")</f>
        <v>70007124</v>
      </c>
      <c r="D11684" s="380" t="s">
        <v>767</v>
      </c>
      <c r="E11684" s="380" t="s">
        <v>786</v>
      </c>
      <c r="F11684" s="380" t="s">
        <v>787</v>
      </c>
      <c r="G11684" s="380" t="s">
        <v>1267</v>
      </c>
      <c r="H11684" s="380" t="s">
        <v>771</v>
      </c>
      <c r="I11684" s="380" t="s">
        <v>788</v>
      </c>
      <c r="J11684" s="380" t="s">
        <v>773</v>
      </c>
      <c r="K11684" s="381">
        <v>0.0</v>
      </c>
      <c r="L11684" s="382">
        <v>1.0</v>
      </c>
    </row>
    <row r="11685">
      <c r="A11685" s="380" t="s">
        <v>12559</v>
      </c>
      <c r="B11685" s="380" t="str">
        <f>IFERROR(__xludf.DUMMYFUNCTION("""COMPUTED_VALUE"""),"Racor Mano Trailer Especial 248")</f>
        <v>Racor Mano Trailer Especial 248</v>
      </c>
      <c r="C11685" s="380" t="str">
        <f>IFERROR(__xludf.DUMMYFUNCTION("""COMPUTED_VALUE"""),"70007125")</f>
        <v>70007125</v>
      </c>
      <c r="D11685" s="380" t="s">
        <v>767</v>
      </c>
      <c r="E11685" s="380" t="s">
        <v>786</v>
      </c>
      <c r="F11685" s="380" t="s">
        <v>1017</v>
      </c>
      <c r="G11685" s="380" t="s">
        <v>1267</v>
      </c>
      <c r="H11685" s="380" t="s">
        <v>771</v>
      </c>
      <c r="I11685" s="380" t="s">
        <v>788</v>
      </c>
      <c r="J11685" s="380" t="s">
        <v>773</v>
      </c>
      <c r="K11685" s="381">
        <v>0.0</v>
      </c>
      <c r="L11685" s="382">
        <v>1.0</v>
      </c>
    </row>
    <row r="11686">
      <c r="A11686" s="380" t="s">
        <v>12560</v>
      </c>
      <c r="B11686" s="380" t="str">
        <f>IFERROR(__xludf.DUMMYFUNCTION("""COMPUTED_VALUE"""),"Cremallera Puerta Der Eagle M2009876c1")</f>
        <v>Cremallera Puerta Der Eagle M2009876c1</v>
      </c>
      <c r="C11686" s="380" t="str">
        <f>IFERROR(__xludf.DUMMYFUNCTION("""COMPUTED_VALUE"""),"70007126")</f>
        <v>70007126</v>
      </c>
      <c r="D11686" s="380" t="s">
        <v>767</v>
      </c>
      <c r="E11686" s="380" t="s">
        <v>786</v>
      </c>
      <c r="F11686" s="380" t="s">
        <v>792</v>
      </c>
      <c r="G11686" s="380" t="s">
        <v>1267</v>
      </c>
      <c r="H11686" s="380" t="s">
        <v>771</v>
      </c>
      <c r="I11686" s="380" t="s">
        <v>788</v>
      </c>
      <c r="J11686" s="380" t="s">
        <v>773</v>
      </c>
      <c r="K11686" s="381">
        <v>0.0</v>
      </c>
      <c r="L11686" s="382">
        <v>1.0</v>
      </c>
    </row>
    <row r="11687">
      <c r="A11687" s="380" t="s">
        <v>12561</v>
      </c>
      <c r="B11687" s="380" t="str">
        <f>IFERROR(__xludf.DUMMYFUNCTION("""COMPUTED_VALUE"""),"Cerradura INTna PTA Dcha Delt 6931097301")</f>
        <v>Cerradura INTna PTA Dcha Delt 6931097301</v>
      </c>
      <c r="C11687" s="380" t="str">
        <f>IFERROR(__xludf.DUMMYFUNCTION("""COMPUTED_VALUE"""),"70007127")</f>
        <v>70007127</v>
      </c>
      <c r="D11687" s="380" t="s">
        <v>767</v>
      </c>
      <c r="E11687" s="380" t="s">
        <v>786</v>
      </c>
      <c r="F11687" s="380" t="s">
        <v>792</v>
      </c>
      <c r="G11687" s="380" t="s">
        <v>1267</v>
      </c>
      <c r="H11687" s="380" t="s">
        <v>771</v>
      </c>
      <c r="I11687" s="380" t="s">
        <v>788</v>
      </c>
      <c r="J11687" s="380" t="s">
        <v>773</v>
      </c>
      <c r="K11687" s="381">
        <v>0.0</v>
      </c>
      <c r="L11687" s="382">
        <v>1.0</v>
      </c>
    </row>
    <row r="11688">
      <c r="A11688" s="380" t="s">
        <v>12562</v>
      </c>
      <c r="B11688" s="380" t="str">
        <f>IFERROR(__xludf.DUMMYFUNCTION("""COMPUTED_VALUE"""),"Panel CTRL AIR Calefacción KWh F2110073")</f>
        <v>Panel CTRL AIR Calefacción KWh F2110073</v>
      </c>
      <c r="C11688" s="380" t="str">
        <f>IFERROR(__xludf.DUMMYFUNCTION("""COMPUTED_VALUE"""),"70007128")</f>
        <v>70007128</v>
      </c>
      <c r="D11688" s="380" t="s">
        <v>767</v>
      </c>
      <c r="E11688" s="380" t="s">
        <v>786</v>
      </c>
      <c r="F11688" s="380" t="s">
        <v>792</v>
      </c>
      <c r="G11688" s="380" t="s">
        <v>1267</v>
      </c>
      <c r="H11688" s="380" t="s">
        <v>771</v>
      </c>
      <c r="I11688" s="380" t="s">
        <v>788</v>
      </c>
      <c r="J11688" s="380" t="s">
        <v>773</v>
      </c>
      <c r="K11688" s="381">
        <v>0.0</v>
      </c>
      <c r="L11688" s="382">
        <v>1.0</v>
      </c>
    </row>
    <row r="11689">
      <c r="A11689" s="380" t="s">
        <v>12563</v>
      </c>
      <c r="B11689" s="380" t="str">
        <f>IFERROR(__xludf.DUMMYFUNCTION("""COMPUTED_VALUE"""),"Pasador Central Nkr III 12mmx140mm")</f>
        <v>Pasador Central Nkr III 12mmx140mm</v>
      </c>
      <c r="C11689" s="380" t="str">
        <f>IFERROR(__xludf.DUMMYFUNCTION("""COMPUTED_VALUE"""),"70007129")</f>
        <v>70007129</v>
      </c>
      <c r="D11689" s="380" t="s">
        <v>767</v>
      </c>
      <c r="E11689" s="380" t="s">
        <v>786</v>
      </c>
      <c r="F11689" s="380" t="s">
        <v>1039</v>
      </c>
      <c r="G11689" s="380" t="s">
        <v>1267</v>
      </c>
      <c r="H11689" s="380" t="s">
        <v>771</v>
      </c>
      <c r="I11689" s="380" t="s">
        <v>788</v>
      </c>
      <c r="J11689" s="380" t="s">
        <v>773</v>
      </c>
      <c r="K11689" s="381">
        <v>0.0</v>
      </c>
      <c r="L11689" s="382">
        <v>1.0</v>
      </c>
    </row>
    <row r="11690">
      <c r="A11690" s="380" t="s">
        <v>12564</v>
      </c>
      <c r="B11690" s="380" t="str">
        <f>IFERROR(__xludf.DUMMYFUNCTION("""COMPUTED_VALUE"""),"Acople Divisor Potencia SB N1 6.5-4-3911")</f>
        <v>Acople Divisor Potencia SB N1 6.5-4-3911</v>
      </c>
      <c r="C11690" s="380" t="str">
        <f>IFERROR(__xludf.DUMMYFUNCTION("""COMPUTED_VALUE"""),"70007130")</f>
        <v>70007130</v>
      </c>
      <c r="D11690" s="380" t="s">
        <v>767</v>
      </c>
      <c r="E11690" s="380" t="s">
        <v>786</v>
      </c>
      <c r="F11690" s="380" t="s">
        <v>5683</v>
      </c>
      <c r="G11690" s="380" t="s">
        <v>1267</v>
      </c>
      <c r="H11690" s="380" t="s">
        <v>771</v>
      </c>
      <c r="I11690" s="380" t="s">
        <v>788</v>
      </c>
      <c r="J11690" s="380" t="s">
        <v>773</v>
      </c>
      <c r="K11690" s="381">
        <v>0.0</v>
      </c>
      <c r="L11690" s="382">
        <v>1.0</v>
      </c>
    </row>
    <row r="11691">
      <c r="A11691" s="380" t="s">
        <v>12565</v>
      </c>
      <c r="B11691" s="380" t="str">
        <f>IFERROR(__xludf.DUMMYFUNCTION("""COMPUTED_VALUE"""),"Sensor Crucero Hi 4700 Eagle 2042478c2")</f>
        <v>Sensor Crucero Hi 4700 Eagle 2042478c2</v>
      </c>
      <c r="C11691" s="380" t="str">
        <f>IFERROR(__xludf.DUMMYFUNCTION("""COMPUTED_VALUE"""),"70007131")</f>
        <v>70007131</v>
      </c>
      <c r="D11691" s="380" t="s">
        <v>767</v>
      </c>
      <c r="E11691" s="380" t="s">
        <v>786</v>
      </c>
      <c r="F11691" s="380" t="s">
        <v>998</v>
      </c>
      <c r="G11691" s="380" t="s">
        <v>1267</v>
      </c>
      <c r="H11691" s="380" t="s">
        <v>771</v>
      </c>
      <c r="I11691" s="380" t="s">
        <v>788</v>
      </c>
      <c r="J11691" s="380" t="s">
        <v>773</v>
      </c>
      <c r="K11691" s="381">
        <v>0.0</v>
      </c>
      <c r="L11691" s="382">
        <v>1.0</v>
      </c>
    </row>
    <row r="11692">
      <c r="A11692" s="380" t="s">
        <v>12566</v>
      </c>
      <c r="B11692" s="380" t="str">
        <f>IFERROR(__xludf.DUMMYFUNCTION("""COMPUTED_VALUE"""),"Manguera Siliconada 1 3/4")</f>
        <v>Manguera Siliconada 1 3/4</v>
      </c>
      <c r="C11692" s="380" t="str">
        <f>IFERROR(__xludf.DUMMYFUNCTION("""COMPUTED_VALUE"""),"70007132")</f>
        <v>70007132</v>
      </c>
      <c r="D11692" s="380" t="s">
        <v>767</v>
      </c>
      <c r="E11692" s="380" t="s">
        <v>786</v>
      </c>
      <c r="F11692" s="380" t="s">
        <v>989</v>
      </c>
      <c r="G11692" s="380" t="s">
        <v>1267</v>
      </c>
      <c r="H11692" s="380" t="s">
        <v>771</v>
      </c>
      <c r="I11692" s="380" t="s">
        <v>788</v>
      </c>
      <c r="J11692" s="380" t="s">
        <v>773</v>
      </c>
      <c r="K11692" s="381">
        <v>0.0</v>
      </c>
      <c r="L11692" s="382">
        <v>1.0</v>
      </c>
    </row>
    <row r="11693">
      <c r="A11693" s="380" t="s">
        <v>12567</v>
      </c>
      <c r="B11693" s="380" t="str">
        <f>IFERROR(__xludf.DUMMYFUNCTION("""COMPUTED_VALUE"""),"Pin Piñon DeSplazable CJ 14718 EGL 14750")</f>
        <v>Pin Piñon DeSplazable CJ 14718 EGL 14750</v>
      </c>
      <c r="C11693" s="380" t="str">
        <f>IFERROR(__xludf.DUMMYFUNCTION("""COMPUTED_VALUE"""),"70007133")</f>
        <v>70007133</v>
      </c>
      <c r="D11693" s="380" t="s">
        <v>767</v>
      </c>
      <c r="E11693" s="380" t="s">
        <v>786</v>
      </c>
      <c r="F11693" s="380" t="s">
        <v>928</v>
      </c>
      <c r="G11693" s="380" t="s">
        <v>1267</v>
      </c>
      <c r="H11693" s="380" t="s">
        <v>771</v>
      </c>
      <c r="I11693" s="380" t="s">
        <v>788</v>
      </c>
      <c r="J11693" s="380" t="s">
        <v>773</v>
      </c>
      <c r="K11693" s="381">
        <v>0.0</v>
      </c>
      <c r="L11693" s="382">
        <v>1.0</v>
      </c>
    </row>
    <row r="11694">
      <c r="A11694" s="380" t="s">
        <v>12568</v>
      </c>
      <c r="B11694" s="380" t="str">
        <f>IFERROR(__xludf.DUMMYFUNCTION("""COMPUTED_VALUE"""),"Balinera Torre CJ 14718 EGL Ful4301851")</f>
        <v>Balinera Torre CJ 14718 EGL Ful4301851</v>
      </c>
      <c r="C11694" s="380" t="str">
        <f>IFERROR(__xludf.DUMMYFUNCTION("""COMPUTED_VALUE"""),"70007134")</f>
        <v>70007134</v>
      </c>
      <c r="D11694" s="380" t="s">
        <v>767</v>
      </c>
      <c r="E11694" s="380" t="s">
        <v>786</v>
      </c>
      <c r="F11694" s="380" t="s">
        <v>928</v>
      </c>
      <c r="G11694" s="380" t="s">
        <v>1267</v>
      </c>
      <c r="H11694" s="380" t="s">
        <v>771</v>
      </c>
      <c r="I11694" s="380" t="s">
        <v>788</v>
      </c>
      <c r="J11694" s="380" t="s">
        <v>773</v>
      </c>
      <c r="K11694" s="381">
        <v>0.0</v>
      </c>
      <c r="L11694" s="382">
        <v>1.0</v>
      </c>
    </row>
    <row r="11695">
      <c r="A11695" s="380" t="s">
        <v>12569</v>
      </c>
      <c r="B11695" s="380" t="str">
        <f>IFERROR(__xludf.DUMMYFUNCTION("""COMPUTED_VALUE"""),"Hoja Resorte Del Npr 22916/6")</f>
        <v>Hoja Resorte Del Npr 22916/6</v>
      </c>
      <c r="C11695" s="380" t="str">
        <f>IFERROR(__xludf.DUMMYFUNCTION("""COMPUTED_VALUE"""),"70007135")</f>
        <v>70007135</v>
      </c>
      <c r="D11695" s="380" t="s">
        <v>767</v>
      </c>
      <c r="E11695" s="380" t="s">
        <v>786</v>
      </c>
      <c r="F11695" s="380" t="s">
        <v>1039</v>
      </c>
      <c r="G11695" s="380" t="s">
        <v>1267</v>
      </c>
      <c r="H11695" s="380" t="s">
        <v>771</v>
      </c>
      <c r="I11695" s="380" t="s">
        <v>788</v>
      </c>
      <c r="J11695" s="380" t="s">
        <v>773</v>
      </c>
      <c r="K11695" s="381">
        <v>0.0</v>
      </c>
      <c r="L11695" s="382">
        <v>1.0</v>
      </c>
    </row>
    <row r="11696">
      <c r="A11696" s="380" t="s">
        <v>12570</v>
      </c>
      <c r="B11696" s="380" t="str">
        <f>IFERROR(__xludf.DUMMYFUNCTION("""COMPUTED_VALUE"""),"RET Tras CJ Nkr-Nhr 898189443 8972572960")</f>
        <v>RET Tras CJ Nkr-Nhr 898189443 8972572960</v>
      </c>
      <c r="C11696" s="380" t="str">
        <f>IFERROR(__xludf.DUMMYFUNCTION("""COMPUTED_VALUE"""),"70007136")</f>
        <v>70007136</v>
      </c>
      <c r="D11696" s="380" t="s">
        <v>767</v>
      </c>
      <c r="E11696" s="380" t="s">
        <v>786</v>
      </c>
      <c r="F11696" s="380" t="s">
        <v>928</v>
      </c>
      <c r="G11696" s="380" t="s">
        <v>1267</v>
      </c>
      <c r="H11696" s="380" t="s">
        <v>771</v>
      </c>
      <c r="I11696" s="380" t="s">
        <v>788</v>
      </c>
      <c r="J11696" s="380" t="s">
        <v>773</v>
      </c>
      <c r="K11696" s="381">
        <v>0.0</v>
      </c>
      <c r="L11696" s="382">
        <v>1.0</v>
      </c>
    </row>
    <row r="11697">
      <c r="A11697" s="380" t="s">
        <v>12571</v>
      </c>
      <c r="B11697" s="380" t="str">
        <f>IFERROR(__xludf.DUMMYFUNCTION("""COMPUTED_VALUE"""),"Varilla Cilindro Embrague Npr 8944578600")</f>
        <v>Varilla Cilindro Embrague Npr 8944578600</v>
      </c>
      <c r="C11697" s="380" t="str">
        <f>IFERROR(__xludf.DUMMYFUNCTION("""COMPUTED_VALUE"""),"70007137")</f>
        <v>70007137</v>
      </c>
      <c r="D11697" s="380" t="s">
        <v>767</v>
      </c>
      <c r="E11697" s="380" t="s">
        <v>786</v>
      </c>
      <c r="F11697" s="380" t="s">
        <v>5661</v>
      </c>
      <c r="G11697" s="380" t="s">
        <v>1267</v>
      </c>
      <c r="H11697" s="380" t="s">
        <v>771</v>
      </c>
      <c r="I11697" s="380" t="s">
        <v>788</v>
      </c>
      <c r="J11697" s="380" t="s">
        <v>773</v>
      </c>
      <c r="K11697" s="381">
        <v>0.0</v>
      </c>
      <c r="L11697" s="382">
        <v>1.0</v>
      </c>
    </row>
    <row r="11698">
      <c r="A11698" s="380" t="s">
        <v>12572</v>
      </c>
      <c r="B11698" s="380" t="str">
        <f>IFERROR(__xludf.DUMMYFUNCTION("""COMPUTED_VALUE"""),"Piñon Torre 1ra Cj 14718 EGL Eaton 21025")</f>
        <v>Piñon Torre 1ra Cj 14718 EGL Eaton 21025</v>
      </c>
      <c r="C11698" s="380" t="str">
        <f>IFERROR(__xludf.DUMMYFUNCTION("""COMPUTED_VALUE"""),"70007138")</f>
        <v>70007138</v>
      </c>
      <c r="D11698" s="380" t="s">
        <v>767</v>
      </c>
      <c r="E11698" s="380" t="s">
        <v>786</v>
      </c>
      <c r="F11698" s="380" t="s">
        <v>928</v>
      </c>
      <c r="G11698" s="380" t="s">
        <v>1267</v>
      </c>
      <c r="H11698" s="380" t="s">
        <v>771</v>
      </c>
      <c r="I11698" s="380" t="s">
        <v>788</v>
      </c>
      <c r="J11698" s="380" t="s">
        <v>773</v>
      </c>
      <c r="K11698" s="381">
        <v>0.0</v>
      </c>
      <c r="L11698" s="382">
        <v>1.0</v>
      </c>
    </row>
    <row r="11699">
      <c r="A11699" s="380" t="s">
        <v>12573</v>
      </c>
      <c r="B11699" s="380" t="str">
        <f>IFERROR(__xludf.DUMMYFUNCTION("""COMPUTED_VALUE"""),"Piñon Doble Bajo Cj 14718 Eaton 4300938")</f>
        <v>Piñon Doble Bajo Cj 14718 Eaton 4300938</v>
      </c>
      <c r="C11699" s="380" t="str">
        <f>IFERROR(__xludf.DUMMYFUNCTION("""COMPUTED_VALUE"""),"70007139")</f>
        <v>70007139</v>
      </c>
      <c r="D11699" s="380" t="s">
        <v>767</v>
      </c>
      <c r="E11699" s="380" t="s">
        <v>786</v>
      </c>
      <c r="F11699" s="380" t="s">
        <v>928</v>
      </c>
      <c r="G11699" s="380" t="s">
        <v>1267</v>
      </c>
      <c r="H11699" s="380" t="s">
        <v>771</v>
      </c>
      <c r="I11699" s="380" t="s">
        <v>788</v>
      </c>
      <c r="J11699" s="380" t="s">
        <v>773</v>
      </c>
      <c r="K11699" s="381">
        <v>0.0</v>
      </c>
      <c r="L11699" s="382">
        <v>1.0</v>
      </c>
    </row>
    <row r="11700">
      <c r="A11700" s="380" t="s">
        <v>12574</v>
      </c>
      <c r="B11700" s="380" t="str">
        <f>IFERROR(__xludf.DUMMYFUNCTION("""COMPUTED_VALUE"""),"Desfogue Tanque Acpm SB N14 3587712c1")</f>
        <v>Desfogue Tanque Acpm SB N14 3587712c1</v>
      </c>
      <c r="C11700" s="380" t="str">
        <f>IFERROR(__xludf.DUMMYFUNCTION("""COMPUTED_VALUE"""),"70007140")</f>
        <v>70007140</v>
      </c>
      <c r="D11700" s="380" t="s">
        <v>767</v>
      </c>
      <c r="E11700" s="380" t="s">
        <v>786</v>
      </c>
      <c r="F11700" s="380" t="s">
        <v>787</v>
      </c>
      <c r="G11700" s="380" t="s">
        <v>1267</v>
      </c>
      <c r="H11700" s="380" t="s">
        <v>771</v>
      </c>
      <c r="I11700" s="380" t="s">
        <v>788</v>
      </c>
      <c r="J11700" s="380" t="s">
        <v>773</v>
      </c>
      <c r="K11700" s="381">
        <v>0.0</v>
      </c>
      <c r="L11700" s="382">
        <v>1.0</v>
      </c>
    </row>
    <row r="11701">
      <c r="A11701" s="380" t="s">
        <v>12575</v>
      </c>
      <c r="B11701" s="380" t="str">
        <f>IFERROR(__xludf.DUMMYFUNCTION("""COMPUTED_VALUE"""),"Cremallera Volante Motor Nhr 8944196021")</f>
        <v>Cremallera Volante Motor Nhr 8944196021</v>
      </c>
      <c r="C11701" s="380" t="str">
        <f>IFERROR(__xludf.DUMMYFUNCTION("""COMPUTED_VALUE"""),"70007141")</f>
        <v>70007141</v>
      </c>
      <c r="D11701" s="380" t="s">
        <v>767</v>
      </c>
      <c r="E11701" s="380" t="s">
        <v>786</v>
      </c>
      <c r="F11701" s="380" t="s">
        <v>787</v>
      </c>
      <c r="G11701" s="380" t="s">
        <v>1267</v>
      </c>
      <c r="H11701" s="380" t="s">
        <v>771</v>
      </c>
      <c r="I11701" s="380" t="s">
        <v>788</v>
      </c>
      <c r="J11701" s="380" t="s">
        <v>773</v>
      </c>
      <c r="K11701" s="381">
        <v>0.0</v>
      </c>
      <c r="L11701" s="382">
        <v>1.0</v>
      </c>
    </row>
    <row r="11702">
      <c r="A11702" s="380" t="s">
        <v>12576</v>
      </c>
      <c r="B11702" s="380" t="str">
        <f>IFERROR(__xludf.DUMMYFUNCTION("""COMPUTED_VALUE"""),"Fan Clucht Nhr 8942444090 8978551530")</f>
        <v>Fan Clucht Nhr 8942444090 8978551530</v>
      </c>
      <c r="C11702" s="380" t="str">
        <f>IFERROR(__xludf.DUMMYFUNCTION("""COMPUTED_VALUE"""),"70007142")</f>
        <v>70007142</v>
      </c>
      <c r="D11702" s="380" t="s">
        <v>767</v>
      </c>
      <c r="E11702" s="380" t="s">
        <v>786</v>
      </c>
      <c r="F11702" s="380" t="s">
        <v>787</v>
      </c>
      <c r="G11702" s="380" t="s">
        <v>1267</v>
      </c>
      <c r="H11702" s="380" t="s">
        <v>771</v>
      </c>
      <c r="I11702" s="380" t="s">
        <v>788</v>
      </c>
      <c r="J11702" s="380" t="s">
        <v>773</v>
      </c>
      <c r="K11702" s="381">
        <v>0.0</v>
      </c>
      <c r="L11702" s="382">
        <v>1.0</v>
      </c>
    </row>
    <row r="11703">
      <c r="A11703" s="380" t="s">
        <v>12577</v>
      </c>
      <c r="B11703" s="380" t="str">
        <f>IFERROR(__xludf.DUMMYFUNCTION("""COMPUTED_VALUE"""),"Unidad Optica Rectangular Delta 4651")</f>
        <v>Unidad Optica Rectangular Delta 4651</v>
      </c>
      <c r="C11703" s="380" t="str">
        <f>IFERROR(__xludf.DUMMYFUNCTION("""COMPUTED_VALUE"""),"70007143")</f>
        <v>70007143</v>
      </c>
      <c r="D11703" s="380" t="s">
        <v>767</v>
      </c>
      <c r="E11703" s="380" t="s">
        <v>786</v>
      </c>
      <c r="F11703" s="380" t="s">
        <v>998</v>
      </c>
      <c r="G11703" s="380" t="s">
        <v>1267</v>
      </c>
      <c r="H11703" s="380" t="s">
        <v>771</v>
      </c>
      <c r="I11703" s="380" t="s">
        <v>788</v>
      </c>
      <c r="J11703" s="380" t="s">
        <v>773</v>
      </c>
      <c r="K11703" s="381">
        <v>0.0</v>
      </c>
      <c r="L11703" s="382">
        <v>1.0</v>
      </c>
    </row>
    <row r="11704">
      <c r="A11704" s="380" t="s">
        <v>12578</v>
      </c>
      <c r="B11704" s="380" t="str">
        <f>IFERROR(__xludf.DUMMYFUNCTION("""COMPUTED_VALUE"""),"Buje Balancin Nylon Trailer Dite Tl08006")</f>
        <v>Buje Balancin Nylon Trailer Dite Tl08006</v>
      </c>
      <c r="C11704" s="380" t="str">
        <f>IFERROR(__xludf.DUMMYFUNCTION("""COMPUTED_VALUE"""),"70007144")</f>
        <v>70007144</v>
      </c>
      <c r="D11704" s="380" t="s">
        <v>767</v>
      </c>
      <c r="E11704" s="380" t="s">
        <v>786</v>
      </c>
      <c r="F11704" s="380" t="s">
        <v>1039</v>
      </c>
      <c r="G11704" s="380" t="s">
        <v>1267</v>
      </c>
      <c r="H11704" s="380" t="s">
        <v>771</v>
      </c>
      <c r="I11704" s="380" t="s">
        <v>788</v>
      </c>
      <c r="J11704" s="380" t="s">
        <v>773</v>
      </c>
      <c r="K11704" s="381">
        <v>0.0</v>
      </c>
      <c r="L11704" s="382">
        <v>1.0</v>
      </c>
    </row>
    <row r="11705">
      <c r="A11705" s="380" t="s">
        <v>12579</v>
      </c>
      <c r="B11705" s="380" t="str">
        <f>IFERROR(__xludf.DUMMYFUNCTION("""COMPUTED_VALUE"""),"Deposito Liquido De Frenos 3985063 Sb")</f>
        <v>Deposito Liquido De Frenos 3985063 Sb</v>
      </c>
      <c r="C11705" s="380" t="str">
        <f>IFERROR(__xludf.DUMMYFUNCTION("""COMPUTED_VALUE"""),"70007145")</f>
        <v>70007145</v>
      </c>
      <c r="D11705" s="380" t="s">
        <v>767</v>
      </c>
      <c r="E11705" s="380" t="s">
        <v>786</v>
      </c>
      <c r="F11705" s="380" t="s">
        <v>1017</v>
      </c>
      <c r="G11705" s="380" t="s">
        <v>1267</v>
      </c>
      <c r="H11705" s="380" t="s">
        <v>771</v>
      </c>
      <c r="I11705" s="380" t="s">
        <v>788</v>
      </c>
      <c r="J11705" s="380" t="s">
        <v>773</v>
      </c>
      <c r="K11705" s="381">
        <v>0.0</v>
      </c>
      <c r="L11705" s="382">
        <v>1.0</v>
      </c>
    </row>
    <row r="11706">
      <c r="A11706" s="380" t="s">
        <v>12580</v>
      </c>
      <c r="B11706" s="380" t="str">
        <f>IFERROR(__xludf.DUMMYFUNCTION("""COMPUTED_VALUE"""),"Buje Caucho Balancin TRL Dite Tl08003")</f>
        <v>Buje Caucho Balancin TRL Dite Tl08003</v>
      </c>
      <c r="C11706" s="380" t="str">
        <f>IFERROR(__xludf.DUMMYFUNCTION("""COMPUTED_VALUE"""),"70007146")</f>
        <v>70007146</v>
      </c>
      <c r="D11706" s="380" t="s">
        <v>767</v>
      </c>
      <c r="E11706" s="380" t="s">
        <v>786</v>
      </c>
      <c r="F11706" s="380" t="s">
        <v>1039</v>
      </c>
      <c r="G11706" s="380" t="s">
        <v>1267</v>
      </c>
      <c r="H11706" s="380" t="s">
        <v>771</v>
      </c>
      <c r="I11706" s="380" t="s">
        <v>788</v>
      </c>
      <c r="J11706" s="380" t="s">
        <v>773</v>
      </c>
      <c r="K11706" s="381">
        <v>0.0</v>
      </c>
      <c r="L11706" s="382">
        <v>1.0</v>
      </c>
    </row>
    <row r="11707">
      <c r="A11707" s="380" t="s">
        <v>12581</v>
      </c>
      <c r="B11707" s="380" t="str">
        <f>IFERROR(__xludf.DUMMYFUNCTION("""COMPUTED_VALUE"""),"RET Externo Resorte Caucho Dite Tl01062")</f>
        <v>RET Externo Resorte Caucho Dite Tl01062</v>
      </c>
      <c r="C11707" s="380" t="str">
        <f>IFERROR(__xludf.DUMMYFUNCTION("""COMPUTED_VALUE"""),"70007147")</f>
        <v>70007147</v>
      </c>
      <c r="D11707" s="380" t="s">
        <v>767</v>
      </c>
      <c r="E11707" s="380" t="s">
        <v>786</v>
      </c>
      <c r="F11707" s="380" t="s">
        <v>1039</v>
      </c>
      <c r="G11707" s="380" t="s">
        <v>1267</v>
      </c>
      <c r="H11707" s="380" t="s">
        <v>771</v>
      </c>
      <c r="I11707" s="380" t="s">
        <v>788</v>
      </c>
      <c r="J11707" s="380" t="s">
        <v>773</v>
      </c>
      <c r="K11707" s="381">
        <v>0.0</v>
      </c>
      <c r="L11707" s="382">
        <v>1.0</v>
      </c>
    </row>
    <row r="11708">
      <c r="A11708" s="380" t="s">
        <v>12582</v>
      </c>
      <c r="B11708" s="380" t="str">
        <f>IFERROR(__xludf.DUMMYFUNCTION("""COMPUTED_VALUE"""),"Zapa Del Tras Izq Eagle 3500954c1")</f>
        <v>Zapa Del Tras Izq Eagle 3500954c1</v>
      </c>
      <c r="C11708" s="380" t="str">
        <f>IFERROR(__xludf.DUMMYFUNCTION("""COMPUTED_VALUE"""),"70007148")</f>
        <v>70007148</v>
      </c>
      <c r="D11708" s="380" t="s">
        <v>767</v>
      </c>
      <c r="E11708" s="380" t="s">
        <v>786</v>
      </c>
      <c r="F11708" s="380" t="s">
        <v>1039</v>
      </c>
      <c r="G11708" s="380" t="s">
        <v>1267</v>
      </c>
      <c r="H11708" s="380" t="s">
        <v>771</v>
      </c>
      <c r="I11708" s="380" t="s">
        <v>788</v>
      </c>
      <c r="J11708" s="380" t="s">
        <v>773</v>
      </c>
      <c r="K11708" s="381">
        <v>0.0</v>
      </c>
      <c r="L11708" s="382">
        <v>1.0</v>
      </c>
    </row>
    <row r="11709">
      <c r="A11709" s="380" t="s">
        <v>12583</v>
      </c>
      <c r="B11709" s="380" t="str">
        <f>IFERROR(__xludf.DUMMYFUNCTION("""COMPUTED_VALUE"""),"Resorte Tapa Torre 2536")</f>
        <v>Resorte Tapa Torre 2536</v>
      </c>
      <c r="C11709" s="380" t="str">
        <f>IFERROR(__xludf.DUMMYFUNCTION("""COMPUTED_VALUE"""),"70007149")</f>
        <v>70007149</v>
      </c>
      <c r="D11709" s="380" t="s">
        <v>767</v>
      </c>
      <c r="E11709" s="380" t="s">
        <v>786</v>
      </c>
      <c r="F11709" s="380" t="s">
        <v>928</v>
      </c>
      <c r="G11709" s="380" t="s">
        <v>1267</v>
      </c>
      <c r="H11709" s="380" t="s">
        <v>771</v>
      </c>
      <c r="I11709" s="380" t="s">
        <v>788</v>
      </c>
      <c r="J11709" s="380" t="s">
        <v>773</v>
      </c>
      <c r="K11709" s="381">
        <v>0.0</v>
      </c>
      <c r="L11709" s="382">
        <v>1.0</v>
      </c>
    </row>
    <row r="11710">
      <c r="A11710" s="380" t="s">
        <v>12584</v>
      </c>
      <c r="B11710" s="380" t="str">
        <f>IFERROR(__xludf.DUMMYFUNCTION("""COMPUTED_VALUE"""),"Carcaza Infer Espejo Izq Isx 3535075c2")</f>
        <v>Carcaza Infer Espejo Izq Isx 3535075c2</v>
      </c>
      <c r="C11710" s="380" t="str">
        <f>IFERROR(__xludf.DUMMYFUNCTION("""COMPUTED_VALUE"""),"70007150")</f>
        <v>70007150</v>
      </c>
      <c r="D11710" s="380" t="s">
        <v>767</v>
      </c>
      <c r="E11710" s="380" t="s">
        <v>786</v>
      </c>
      <c r="F11710" s="380" t="s">
        <v>792</v>
      </c>
      <c r="G11710" s="380" t="s">
        <v>1267</v>
      </c>
      <c r="H11710" s="380" t="s">
        <v>771</v>
      </c>
      <c r="I11710" s="380" t="s">
        <v>788</v>
      </c>
      <c r="J11710" s="380" t="s">
        <v>773</v>
      </c>
      <c r="K11710" s="381">
        <v>0.0</v>
      </c>
      <c r="L11710" s="382">
        <v>1.0</v>
      </c>
    </row>
    <row r="11711">
      <c r="A11711" s="380" t="s">
        <v>12585</v>
      </c>
      <c r="B11711" s="380" t="str">
        <f>IFERROR(__xludf.DUMMYFUNCTION("""COMPUTED_VALUE"""),"Soporte Del Motor Eagle 23509771")</f>
        <v>Soporte Del Motor Eagle 23509771</v>
      </c>
      <c r="C11711" s="380" t="str">
        <f>IFERROR(__xludf.DUMMYFUNCTION("""COMPUTED_VALUE"""),"70007151")</f>
        <v>70007151</v>
      </c>
      <c r="D11711" s="380" t="s">
        <v>767</v>
      </c>
      <c r="E11711" s="380" t="s">
        <v>786</v>
      </c>
      <c r="F11711" s="380" t="s">
        <v>787</v>
      </c>
      <c r="G11711" s="380" t="s">
        <v>1267</v>
      </c>
      <c r="H11711" s="380" t="s">
        <v>771</v>
      </c>
      <c r="I11711" s="380" t="s">
        <v>788</v>
      </c>
      <c r="J11711" s="380" t="s">
        <v>773</v>
      </c>
      <c r="K11711" s="381">
        <v>0.0</v>
      </c>
      <c r="L11711" s="382">
        <v>1.0</v>
      </c>
    </row>
    <row r="11712">
      <c r="A11712" s="380" t="s">
        <v>12586</v>
      </c>
      <c r="B11712" s="380" t="str">
        <f>IFERROR(__xludf.DUMMYFUNCTION("""COMPUTED_VALUE"""),"Seguro Persiana T Delta 9004468328")</f>
        <v>Seguro Persiana T Delta 9004468328</v>
      </c>
      <c r="C11712" s="380" t="str">
        <f>IFERROR(__xludf.DUMMYFUNCTION("""COMPUTED_VALUE"""),"70007152")</f>
        <v>70007152</v>
      </c>
      <c r="D11712" s="380" t="s">
        <v>767</v>
      </c>
      <c r="E11712" s="380" t="s">
        <v>786</v>
      </c>
      <c r="F11712" s="380" t="s">
        <v>792</v>
      </c>
      <c r="G11712" s="380" t="s">
        <v>1267</v>
      </c>
      <c r="H11712" s="380" t="s">
        <v>771</v>
      </c>
      <c r="I11712" s="380" t="s">
        <v>788</v>
      </c>
      <c r="J11712" s="380" t="s">
        <v>773</v>
      </c>
      <c r="K11712" s="381">
        <v>0.0</v>
      </c>
      <c r="L11712" s="382">
        <v>1.0</v>
      </c>
    </row>
    <row r="11713">
      <c r="A11713" s="380" t="s">
        <v>12587</v>
      </c>
      <c r="B11713" s="380" t="str">
        <f>IFERROR(__xludf.DUMMYFUNCTION("""COMPUTED_VALUE"""),"Balinera Fan Clucht Y Eje Caja 6207 2rs")</f>
        <v>Balinera Fan Clucht Y Eje Caja 6207 2rs</v>
      </c>
      <c r="C11713" s="380" t="str">
        <f>IFERROR(__xludf.DUMMYFUNCTION("""COMPUTED_VALUE"""),"70007153")</f>
        <v>70007153</v>
      </c>
      <c r="D11713" s="380" t="s">
        <v>767</v>
      </c>
      <c r="E11713" s="380" t="s">
        <v>786</v>
      </c>
      <c r="F11713" s="380" t="s">
        <v>1039</v>
      </c>
      <c r="G11713" s="380" t="s">
        <v>1267</v>
      </c>
      <c r="H11713" s="380" t="s">
        <v>771</v>
      </c>
      <c r="I11713" s="380" t="s">
        <v>788</v>
      </c>
      <c r="J11713" s="380" t="s">
        <v>773</v>
      </c>
      <c r="K11713" s="381">
        <v>0.0</v>
      </c>
      <c r="L11713" s="382">
        <v>1.0</v>
      </c>
    </row>
    <row r="11714">
      <c r="A11714" s="380" t="s">
        <v>12588</v>
      </c>
      <c r="B11714" s="380" t="str">
        <f>IFERROR(__xludf.DUMMYFUNCTION("""COMPUTED_VALUE"""),"Harness Freno Motor Isx KWh 4059210")</f>
        <v>Harness Freno Motor Isx KWh 4059210</v>
      </c>
      <c r="C11714" s="380" t="str">
        <f>IFERROR(__xludf.DUMMYFUNCTION("""COMPUTED_VALUE"""),"70007154")</f>
        <v>70007154</v>
      </c>
      <c r="D11714" s="380" t="s">
        <v>767</v>
      </c>
      <c r="E11714" s="380" t="s">
        <v>786</v>
      </c>
      <c r="F11714" s="380" t="s">
        <v>787</v>
      </c>
      <c r="G11714" s="380" t="s">
        <v>1267</v>
      </c>
      <c r="H11714" s="380" t="s">
        <v>771</v>
      </c>
      <c r="I11714" s="380" t="s">
        <v>788</v>
      </c>
      <c r="J11714" s="380" t="s">
        <v>773</v>
      </c>
      <c r="K11714" s="381">
        <v>0.0</v>
      </c>
      <c r="L11714" s="382">
        <v>1.0</v>
      </c>
    </row>
    <row r="11715">
      <c r="A11715" s="380" t="s">
        <v>12589</v>
      </c>
      <c r="B11715" s="380" t="str">
        <f>IFERROR(__xludf.DUMMYFUNCTION("""COMPUTED_VALUE"""),"Pin Eje Revso Caja 14915 SB N14 4303336")</f>
        <v>Pin Eje Revso Caja 14915 SB N14 4303336</v>
      </c>
      <c r="C11715" s="380" t="str">
        <f>IFERROR(__xludf.DUMMYFUNCTION("""COMPUTED_VALUE"""),"70007155")</f>
        <v>70007155</v>
      </c>
      <c r="D11715" s="380" t="s">
        <v>767</v>
      </c>
      <c r="E11715" s="380" t="s">
        <v>786</v>
      </c>
      <c r="F11715" s="380" t="s">
        <v>928</v>
      </c>
      <c r="G11715" s="380" t="s">
        <v>1267</v>
      </c>
      <c r="H11715" s="380" t="s">
        <v>771</v>
      </c>
      <c r="I11715" s="380" t="s">
        <v>788</v>
      </c>
      <c r="J11715" s="380" t="s">
        <v>773</v>
      </c>
      <c r="K11715" s="381">
        <v>0.0</v>
      </c>
      <c r="L11715" s="382">
        <v>1.0</v>
      </c>
    </row>
    <row r="11716">
      <c r="A11716" s="380" t="s">
        <v>12590</v>
      </c>
      <c r="B11716" s="380" t="str">
        <f>IFERROR(__xludf.DUMMYFUNCTION("""COMPUTED_VALUE"""),"Bracket Sup Tipo Cortina Pta 6943")</f>
        <v>Bracket Sup Tipo Cortina Pta 6943</v>
      </c>
      <c r="C11716" s="380" t="str">
        <f>IFERROR(__xludf.DUMMYFUNCTION("""COMPUTED_VALUE"""),"70007156")</f>
        <v>70007156</v>
      </c>
      <c r="D11716" s="380" t="s">
        <v>767</v>
      </c>
      <c r="E11716" s="380" t="s">
        <v>786</v>
      </c>
      <c r="F11716" s="380" t="s">
        <v>792</v>
      </c>
      <c r="G11716" s="380" t="s">
        <v>1267</v>
      </c>
      <c r="H11716" s="380" t="s">
        <v>771</v>
      </c>
      <c r="I11716" s="380" t="s">
        <v>788</v>
      </c>
      <c r="J11716" s="380" t="s">
        <v>773</v>
      </c>
      <c r="K11716" s="381">
        <v>0.0</v>
      </c>
      <c r="L11716" s="382">
        <v>1.0</v>
      </c>
    </row>
    <row r="11717">
      <c r="A11717" s="380" t="s">
        <v>12591</v>
      </c>
      <c r="B11717" s="380" t="str">
        <f>IFERROR(__xludf.DUMMYFUNCTION("""COMPUTED_VALUE"""),"Switch Direcales KWh 480796")</f>
        <v>Switch Direcales KWh 480796</v>
      </c>
      <c r="C11717" s="380" t="str">
        <f>IFERROR(__xludf.DUMMYFUNCTION("""COMPUTED_VALUE"""),"70007157")</f>
        <v>70007157</v>
      </c>
      <c r="D11717" s="380" t="s">
        <v>767</v>
      </c>
      <c r="E11717" s="380" t="s">
        <v>786</v>
      </c>
      <c r="F11717" s="380" t="s">
        <v>998</v>
      </c>
      <c r="G11717" s="380" t="s">
        <v>1267</v>
      </c>
      <c r="H11717" s="380" t="s">
        <v>771</v>
      </c>
      <c r="I11717" s="380" t="s">
        <v>788</v>
      </c>
      <c r="J11717" s="380" t="s">
        <v>773</v>
      </c>
      <c r="K11717" s="381">
        <v>666403.0</v>
      </c>
      <c r="L11717" s="382">
        <v>1.0</v>
      </c>
    </row>
    <row r="11718">
      <c r="A11718" s="380" t="s">
        <v>12592</v>
      </c>
      <c r="B11718" s="380" t="str">
        <f>IFERROR(__xludf.DUMMYFUNCTION("""COMPUTED_VALUE"""),"Deposito Aceite Hidraulico SB N14 3530")</f>
        <v>Deposito Aceite Hidraulico SB N14 3530</v>
      </c>
      <c r="C11718" s="380" t="str">
        <f>IFERROR(__xludf.DUMMYFUNCTION("""COMPUTED_VALUE"""),"70007158")</f>
        <v>70007158</v>
      </c>
      <c r="D11718" s="380" t="s">
        <v>767</v>
      </c>
      <c r="E11718" s="380" t="s">
        <v>786</v>
      </c>
      <c r="F11718" s="380" t="s">
        <v>1020</v>
      </c>
      <c r="G11718" s="380" t="s">
        <v>1267</v>
      </c>
      <c r="H11718" s="380" t="s">
        <v>771</v>
      </c>
      <c r="I11718" s="380" t="s">
        <v>788</v>
      </c>
      <c r="J11718" s="380" t="s">
        <v>773</v>
      </c>
      <c r="K11718" s="381">
        <v>0.0</v>
      </c>
      <c r="L11718" s="382">
        <v>1.0</v>
      </c>
    </row>
    <row r="11719">
      <c r="A11719" s="380" t="s">
        <v>12593</v>
      </c>
      <c r="B11719" s="380" t="str">
        <f>IFERROR(__xludf.DUMMYFUNCTION("""COMPUTED_VALUE"""),"Buje Tensor Trailer Gran Danes Usa300")</f>
        <v>Buje Tensor Trailer Gran Danes Usa300</v>
      </c>
      <c r="C11719" s="380" t="str">
        <f>IFERROR(__xludf.DUMMYFUNCTION("""COMPUTED_VALUE"""),"70007159")</f>
        <v>70007159</v>
      </c>
      <c r="D11719" s="380" t="s">
        <v>767</v>
      </c>
      <c r="E11719" s="380" t="s">
        <v>786</v>
      </c>
      <c r="F11719" s="380" t="s">
        <v>1020</v>
      </c>
      <c r="G11719" s="380" t="s">
        <v>1267</v>
      </c>
      <c r="H11719" s="380" t="s">
        <v>771</v>
      </c>
      <c r="I11719" s="380" t="s">
        <v>788</v>
      </c>
      <c r="J11719" s="380" t="s">
        <v>773</v>
      </c>
      <c r="K11719" s="381">
        <v>0.0</v>
      </c>
      <c r="L11719" s="382">
        <v>1.0</v>
      </c>
    </row>
    <row r="11720">
      <c r="A11720" s="380" t="s">
        <v>12594</v>
      </c>
      <c r="B11720" s="380" t="str">
        <f>IFERROR(__xludf.DUMMYFUNCTION("""COMPUTED_VALUE"""),"Bateria 31h - 1250 T/P Willard")</f>
        <v>Bateria 31h - 1250 T/P Willard</v>
      </c>
      <c r="C11720" s="380" t="str">
        <f>IFERROR(__xludf.DUMMYFUNCTION("""COMPUTED_VALUE"""),"70007160")</f>
        <v>70007160</v>
      </c>
      <c r="D11720" s="380" t="s">
        <v>767</v>
      </c>
      <c r="E11720" s="380" t="s">
        <v>786</v>
      </c>
      <c r="F11720" s="380" t="s">
        <v>998</v>
      </c>
      <c r="G11720" s="380" t="s">
        <v>1267</v>
      </c>
      <c r="H11720" s="380" t="s">
        <v>771</v>
      </c>
      <c r="I11720" s="380" t="s">
        <v>788</v>
      </c>
      <c r="J11720" s="380" t="s">
        <v>773</v>
      </c>
      <c r="K11720" s="381">
        <v>0.0</v>
      </c>
      <c r="L11720" s="382">
        <v>1.0</v>
      </c>
    </row>
    <row r="11721">
      <c r="A11721" s="380" t="s">
        <v>12595</v>
      </c>
      <c r="B11721" s="380" t="str">
        <f>IFERROR(__xludf.DUMMYFUNCTION("""COMPUTED_VALUE"""),"Kit Camisa Piston Mot G 4 Nhr 5878131960")</f>
        <v>Kit Camisa Piston Mot G 4 Nhr 5878131960</v>
      </c>
      <c r="C11721" s="380" t="str">
        <f>IFERROR(__xludf.DUMMYFUNCTION("""COMPUTED_VALUE"""),"70007161")</f>
        <v>70007161</v>
      </c>
      <c r="D11721" s="380" t="s">
        <v>767</v>
      </c>
      <c r="E11721" s="380" t="s">
        <v>786</v>
      </c>
      <c r="F11721" s="380" t="s">
        <v>787</v>
      </c>
      <c r="G11721" s="380" t="s">
        <v>1267</v>
      </c>
      <c r="H11721" s="380" t="s">
        <v>771</v>
      </c>
      <c r="I11721" s="380" t="s">
        <v>788</v>
      </c>
      <c r="J11721" s="380" t="s">
        <v>773</v>
      </c>
      <c r="K11721" s="381">
        <v>0.0</v>
      </c>
      <c r="L11721" s="382">
        <v>1.0</v>
      </c>
    </row>
    <row r="11722">
      <c r="A11722" s="380" t="s">
        <v>12596</v>
      </c>
      <c r="B11722" s="380" t="str">
        <f>IFERROR(__xludf.DUMMYFUNCTION("""COMPUTED_VALUE"""),"Conector MANG Desfogue S Carr 8970777131")</f>
        <v>Conector MANG Desfogue S Carr 8970777131</v>
      </c>
      <c r="C11722" s="380" t="str">
        <f>IFERROR(__xludf.DUMMYFUNCTION("""COMPUTED_VALUE"""),"70007163")</f>
        <v>70007163</v>
      </c>
      <c r="D11722" s="380" t="s">
        <v>767</v>
      </c>
      <c r="E11722" s="380" t="s">
        <v>786</v>
      </c>
      <c r="F11722" s="380" t="s">
        <v>787</v>
      </c>
      <c r="G11722" s="380" t="s">
        <v>1267</v>
      </c>
      <c r="H11722" s="380" t="s">
        <v>771</v>
      </c>
      <c r="I11722" s="380" t="s">
        <v>788</v>
      </c>
      <c r="J11722" s="380" t="s">
        <v>773</v>
      </c>
      <c r="K11722" s="381">
        <v>0.0</v>
      </c>
      <c r="L11722" s="382">
        <v>1.0</v>
      </c>
    </row>
    <row r="11723">
      <c r="A11723" s="380" t="s">
        <v>12597</v>
      </c>
      <c r="B11723" s="380" t="str">
        <f>IFERROR(__xludf.DUMMYFUNCTION("""COMPUTED_VALUE"""),"Bomba Vacio Nhr - 8973513410")</f>
        <v>Bomba Vacio Nhr - 8973513410</v>
      </c>
      <c r="C11723" s="380" t="str">
        <f>IFERROR(__xludf.DUMMYFUNCTION("""COMPUTED_VALUE"""),"70007164")</f>
        <v>70007164</v>
      </c>
      <c r="D11723" s="380" t="s">
        <v>767</v>
      </c>
      <c r="E11723" s="380" t="s">
        <v>786</v>
      </c>
      <c r="F11723" s="380" t="s">
        <v>787</v>
      </c>
      <c r="G11723" s="380" t="s">
        <v>1267</v>
      </c>
      <c r="H11723" s="380" t="s">
        <v>771</v>
      </c>
      <c r="I11723" s="380" t="s">
        <v>788</v>
      </c>
      <c r="J11723" s="380" t="s">
        <v>773</v>
      </c>
      <c r="K11723" s="381">
        <v>0.0</v>
      </c>
      <c r="L11723" s="382">
        <v>1.0</v>
      </c>
    </row>
    <row r="11724">
      <c r="A11724" s="380" t="s">
        <v>12598</v>
      </c>
      <c r="B11724" s="380" t="str">
        <f>IFERROR(__xludf.DUMMYFUNCTION("""COMPUTED_VALUE"""),"Guaya Control Acelerador Nkr 8978562234")</f>
        <v>Guaya Control Acelerador Nkr 8978562234</v>
      </c>
      <c r="C11724" s="380" t="str">
        <f>IFERROR(__xludf.DUMMYFUNCTION("""COMPUTED_VALUE"""),"70007165")</f>
        <v>70007165</v>
      </c>
      <c r="D11724" s="380" t="s">
        <v>767</v>
      </c>
      <c r="E11724" s="380" t="s">
        <v>786</v>
      </c>
      <c r="F11724" s="380" t="s">
        <v>787</v>
      </c>
      <c r="G11724" s="380" t="s">
        <v>1267</v>
      </c>
      <c r="H11724" s="380" t="s">
        <v>771</v>
      </c>
      <c r="I11724" s="380" t="s">
        <v>788</v>
      </c>
      <c r="J11724" s="380" t="s">
        <v>773</v>
      </c>
      <c r="K11724" s="381">
        <v>0.0</v>
      </c>
      <c r="L11724" s="382">
        <v>1.0</v>
      </c>
    </row>
    <row r="11725">
      <c r="A11725" s="380" t="s">
        <v>12599</v>
      </c>
      <c r="B11725" s="380" t="str">
        <f>IFERROR(__xludf.DUMMYFUNCTION("""COMPUTED_VALUE"""),"Paral Frente Trailer Fabricado")</f>
        <v>Paral Frente Trailer Fabricado</v>
      </c>
      <c r="C11725" s="380" t="str">
        <f>IFERROR(__xludf.DUMMYFUNCTION("""COMPUTED_VALUE"""),"70007166")</f>
        <v>70007166</v>
      </c>
      <c r="D11725" s="380" t="s">
        <v>767</v>
      </c>
      <c r="E11725" s="380" t="s">
        <v>786</v>
      </c>
      <c r="F11725" s="380" t="s">
        <v>1039</v>
      </c>
      <c r="G11725" s="380" t="s">
        <v>1267</v>
      </c>
      <c r="H11725" s="380" t="s">
        <v>771</v>
      </c>
      <c r="I11725" s="380" t="s">
        <v>788</v>
      </c>
      <c r="J11725" s="380" t="s">
        <v>773</v>
      </c>
      <c r="K11725" s="381">
        <v>0.0</v>
      </c>
      <c r="L11725" s="382">
        <v>1.0</v>
      </c>
    </row>
    <row r="11726">
      <c r="A11726" s="380" t="s">
        <v>12600</v>
      </c>
      <c r="B11726" s="380" t="str">
        <f>IFERROR(__xludf.DUMMYFUNCTION("""COMPUTED_VALUE"""),"SENS TEMP MOT Agrale 7001523009")</f>
        <v>SENS TEMP MOT Agrale 7001523009</v>
      </c>
      <c r="C11726" s="380" t="str">
        <f>IFERROR(__xludf.DUMMYFUNCTION("""COMPUTED_VALUE"""),"70007167")</f>
        <v>70007167</v>
      </c>
      <c r="D11726" s="380" t="s">
        <v>767</v>
      </c>
      <c r="E11726" s="380" t="s">
        <v>786</v>
      </c>
      <c r="F11726" s="380" t="s">
        <v>998</v>
      </c>
      <c r="G11726" s="380" t="s">
        <v>1267</v>
      </c>
      <c r="H11726" s="380" t="s">
        <v>771</v>
      </c>
      <c r="I11726" s="380" t="s">
        <v>788</v>
      </c>
      <c r="J11726" s="380" t="s">
        <v>773</v>
      </c>
      <c r="K11726" s="381">
        <v>0.0</v>
      </c>
      <c r="L11726" s="382">
        <v>1.0</v>
      </c>
    </row>
    <row r="11727">
      <c r="A11727" s="380" t="s">
        <v>12601</v>
      </c>
      <c r="B11727" s="380" t="str">
        <f>IFERROR(__xludf.DUMMYFUNCTION("""COMPUTED_VALUE"""),"Propulsor 2"" Caja 1715 Eagle 20535")</f>
        <v>Propulsor 2" Caja 1715 Eagle 20535</v>
      </c>
      <c r="C11727" s="380" t="str">
        <f>IFERROR(__xludf.DUMMYFUNCTION("""COMPUTED_VALUE"""),"70007168")</f>
        <v>70007168</v>
      </c>
      <c r="D11727" s="380" t="s">
        <v>767</v>
      </c>
      <c r="E11727" s="380" t="s">
        <v>786</v>
      </c>
      <c r="F11727" s="380" t="s">
        <v>928</v>
      </c>
      <c r="G11727" s="380" t="s">
        <v>1267</v>
      </c>
      <c r="H11727" s="380" t="s">
        <v>771</v>
      </c>
      <c r="I11727" s="380" t="s">
        <v>788</v>
      </c>
      <c r="J11727" s="380" t="s">
        <v>773</v>
      </c>
      <c r="K11727" s="381">
        <v>0.0</v>
      </c>
      <c r="L11727" s="382">
        <v>1.0</v>
      </c>
    </row>
    <row r="11728">
      <c r="A11728" s="380" t="s">
        <v>12602</v>
      </c>
      <c r="B11728" s="380" t="str">
        <f>IFERROR(__xludf.DUMMYFUNCTION("""COMPUTED_VALUE"""),"Pin Tren Fijo Rt 906 Eagle 14317")</f>
        <v>Pin Tren Fijo Rt 906 Eagle 14317</v>
      </c>
      <c r="C11728" s="380" t="str">
        <f>IFERROR(__xludf.DUMMYFUNCTION("""COMPUTED_VALUE"""),"70007169")</f>
        <v>70007169</v>
      </c>
      <c r="D11728" s="380" t="s">
        <v>767</v>
      </c>
      <c r="E11728" s="380" t="s">
        <v>786</v>
      </c>
      <c r="F11728" s="380" t="s">
        <v>928</v>
      </c>
      <c r="G11728" s="380" t="s">
        <v>1267</v>
      </c>
      <c r="H11728" s="380" t="s">
        <v>771</v>
      </c>
      <c r="I11728" s="380" t="s">
        <v>788</v>
      </c>
      <c r="J11728" s="380" t="s">
        <v>773</v>
      </c>
      <c r="K11728" s="381">
        <v>0.0</v>
      </c>
      <c r="L11728" s="382">
        <v>1.0</v>
      </c>
    </row>
    <row r="11729">
      <c r="A11729" s="380" t="s">
        <v>12603</v>
      </c>
      <c r="B11729" s="380" t="str">
        <f>IFERROR(__xludf.DUMMYFUNCTION("""COMPUTED_VALUE"""),"Tuerca Caja Fuller 14718 Eagle 22254")</f>
        <v>Tuerca Caja Fuller 14718 Eagle 22254</v>
      </c>
      <c r="C11729" s="380" t="str">
        <f>IFERROR(__xludf.DUMMYFUNCTION("""COMPUTED_VALUE"""),"70007170")</f>
        <v>70007170</v>
      </c>
      <c r="D11729" s="380" t="s">
        <v>767</v>
      </c>
      <c r="E11729" s="380" t="s">
        <v>786</v>
      </c>
      <c r="F11729" s="380" t="s">
        <v>928</v>
      </c>
      <c r="G11729" s="380" t="s">
        <v>1267</v>
      </c>
      <c r="H11729" s="380" t="s">
        <v>771</v>
      </c>
      <c r="I11729" s="380" t="s">
        <v>788</v>
      </c>
      <c r="J11729" s="380" t="s">
        <v>773</v>
      </c>
      <c r="K11729" s="381">
        <v>0.0</v>
      </c>
      <c r="L11729" s="382">
        <v>1.0</v>
      </c>
    </row>
    <row r="11730">
      <c r="A11730" s="380" t="s">
        <v>12604</v>
      </c>
      <c r="B11730" s="380" t="str">
        <f>IFERROR(__xludf.DUMMYFUNCTION("""COMPUTED_VALUE"""),"Buje CTRL Cambios Pequeño Nhr 8970851570")</f>
        <v>Buje CTRL Cambios Pequeño Nhr 8970851570</v>
      </c>
      <c r="C11730" s="380" t="str">
        <f>IFERROR(__xludf.DUMMYFUNCTION("""COMPUTED_VALUE"""),"70007171")</f>
        <v>70007171</v>
      </c>
      <c r="D11730" s="380" t="s">
        <v>767</v>
      </c>
      <c r="E11730" s="380" t="s">
        <v>786</v>
      </c>
      <c r="F11730" s="380" t="s">
        <v>787</v>
      </c>
      <c r="G11730" s="380" t="s">
        <v>1267</v>
      </c>
      <c r="H11730" s="380" t="s">
        <v>771</v>
      </c>
      <c r="I11730" s="380" t="s">
        <v>788</v>
      </c>
      <c r="J11730" s="380" t="s">
        <v>773</v>
      </c>
      <c r="K11730" s="381">
        <v>13795.0</v>
      </c>
      <c r="L11730" s="382">
        <v>1.0</v>
      </c>
    </row>
    <row r="11731">
      <c r="A11731" s="380" t="s">
        <v>12605</v>
      </c>
      <c r="B11731" s="380" t="str">
        <f>IFERROR(__xludf.DUMMYFUNCTION("""COMPUTED_VALUE"""),"Tapa Filtro Combustible Npr 8971725431")</f>
        <v>Tapa Filtro Combustible Npr 8971725431</v>
      </c>
      <c r="C11731" s="380" t="str">
        <f>IFERROR(__xludf.DUMMYFUNCTION("""COMPUTED_VALUE"""),"70007172")</f>
        <v>70007172</v>
      </c>
      <c r="D11731" s="380" t="s">
        <v>767</v>
      </c>
      <c r="E11731" s="380" t="s">
        <v>786</v>
      </c>
      <c r="F11731" s="380" t="s">
        <v>787</v>
      </c>
      <c r="G11731" s="380" t="s">
        <v>1267</v>
      </c>
      <c r="H11731" s="380" t="s">
        <v>771</v>
      </c>
      <c r="I11731" s="380" t="s">
        <v>788</v>
      </c>
      <c r="J11731" s="380" t="s">
        <v>773</v>
      </c>
      <c r="K11731" s="381">
        <v>0.0</v>
      </c>
      <c r="L11731" s="382">
        <v>1.0</v>
      </c>
    </row>
    <row r="11732">
      <c r="A11732" s="380" t="s">
        <v>12606</v>
      </c>
      <c r="B11732" s="380" t="str">
        <f>IFERROR(__xludf.DUMMYFUNCTION("""COMPUTED_VALUE"""),"CIL Freno Del Sin Purga Npr 8971398210")</f>
        <v>CIL Freno Del Sin Purga Npr 8971398210</v>
      </c>
      <c r="C11732" s="380" t="str">
        <f>IFERROR(__xludf.DUMMYFUNCTION("""COMPUTED_VALUE"""),"70007173")</f>
        <v>70007173</v>
      </c>
      <c r="D11732" s="380" t="s">
        <v>767</v>
      </c>
      <c r="E11732" s="380" t="s">
        <v>786</v>
      </c>
      <c r="F11732" s="380" t="s">
        <v>1017</v>
      </c>
      <c r="G11732" s="380" t="s">
        <v>1267</v>
      </c>
      <c r="H11732" s="380" t="s">
        <v>771</v>
      </c>
      <c r="I11732" s="380" t="s">
        <v>788</v>
      </c>
      <c r="J11732" s="380" t="s">
        <v>773</v>
      </c>
      <c r="K11732" s="381">
        <v>0.0</v>
      </c>
      <c r="L11732" s="382">
        <v>1.0</v>
      </c>
    </row>
    <row r="11733">
      <c r="A11733" s="380" t="s">
        <v>12607</v>
      </c>
      <c r="B11733" s="380" t="str">
        <f>IFERROR(__xludf.DUMMYFUNCTION("""COMPUTED_VALUE"""),"Cruceta Cardan Nkr Ii 95607079")</f>
        <v>Cruceta Cardan Nkr Ii 95607079</v>
      </c>
      <c r="C11733" s="380" t="str">
        <f>IFERROR(__xludf.DUMMYFUNCTION("""COMPUTED_VALUE"""),"70007174")</f>
        <v>70007174</v>
      </c>
      <c r="D11733" s="380" t="s">
        <v>767</v>
      </c>
      <c r="E11733" s="380" t="s">
        <v>786</v>
      </c>
      <c r="F11733" s="380" t="s">
        <v>5683</v>
      </c>
      <c r="G11733" s="380" t="s">
        <v>1267</v>
      </c>
      <c r="H11733" s="380" t="s">
        <v>771</v>
      </c>
      <c r="I11733" s="380" t="s">
        <v>788</v>
      </c>
      <c r="J11733" s="380" t="s">
        <v>773</v>
      </c>
      <c r="K11733" s="381">
        <v>0.0</v>
      </c>
      <c r="L11733" s="382">
        <v>1.0</v>
      </c>
    </row>
    <row r="11734">
      <c r="A11734" s="380" t="s">
        <v>12608</v>
      </c>
      <c r="B11734" s="380" t="str">
        <f>IFERROR(__xludf.DUMMYFUNCTION("""COMPUTED_VALUE"""),"Kit Embrague Nhr Nuevo")</f>
        <v>Kit Embrague Nhr Nuevo</v>
      </c>
      <c r="C11734" s="380" t="str">
        <f>IFERROR(__xludf.DUMMYFUNCTION("""COMPUTED_VALUE"""),"70007175")</f>
        <v>70007175</v>
      </c>
      <c r="D11734" s="380" t="s">
        <v>767</v>
      </c>
      <c r="E11734" s="380" t="s">
        <v>786</v>
      </c>
      <c r="F11734" s="380" t="s">
        <v>5661</v>
      </c>
      <c r="G11734" s="380" t="s">
        <v>1267</v>
      </c>
      <c r="H11734" s="380" t="s">
        <v>771</v>
      </c>
      <c r="I11734" s="380" t="s">
        <v>788</v>
      </c>
      <c r="J11734" s="380" t="s">
        <v>773</v>
      </c>
      <c r="K11734" s="381">
        <v>0.0</v>
      </c>
      <c r="L11734" s="382">
        <v>1.0</v>
      </c>
    </row>
    <row r="11735">
      <c r="A11735" s="380" t="s">
        <v>12609</v>
      </c>
      <c r="B11735" s="380" t="str">
        <f>IFERROR(__xludf.DUMMYFUNCTION("""COMPUTED_VALUE"""),"Campana Freno Parqueo Npr 8970339891")</f>
        <v>Campana Freno Parqueo Npr 8970339891</v>
      </c>
      <c r="C11735" s="380" t="str">
        <f>IFERROR(__xludf.DUMMYFUNCTION("""COMPUTED_VALUE"""),"70007176")</f>
        <v>70007176</v>
      </c>
      <c r="D11735" s="380" t="s">
        <v>767</v>
      </c>
      <c r="E11735" s="380" t="s">
        <v>786</v>
      </c>
      <c r="F11735" s="380" t="s">
        <v>1017</v>
      </c>
      <c r="G11735" s="380" t="s">
        <v>1267</v>
      </c>
      <c r="H11735" s="380" t="s">
        <v>771</v>
      </c>
      <c r="I11735" s="380" t="s">
        <v>788</v>
      </c>
      <c r="J11735" s="380" t="s">
        <v>773</v>
      </c>
      <c r="K11735" s="381">
        <v>0.0</v>
      </c>
      <c r="L11735" s="382">
        <v>1.0</v>
      </c>
    </row>
    <row r="11736">
      <c r="A11736" s="380" t="s">
        <v>12610</v>
      </c>
      <c r="B11736" s="380" t="str">
        <f>IFERROR(__xludf.DUMMYFUNCTION("""COMPUTED_VALUE"""),"Valvula Palanca Cambios KWh A6918")</f>
        <v>Valvula Palanca Cambios KWh A6918</v>
      </c>
      <c r="C11736" s="380" t="str">
        <f>IFERROR(__xludf.DUMMYFUNCTION("""COMPUTED_VALUE"""),"70007177")</f>
        <v>70007177</v>
      </c>
      <c r="D11736" s="380" t="s">
        <v>767</v>
      </c>
      <c r="E11736" s="380" t="s">
        <v>786</v>
      </c>
      <c r="F11736" s="380" t="s">
        <v>5683</v>
      </c>
      <c r="G11736" s="380" t="s">
        <v>1267</v>
      </c>
      <c r="H11736" s="380" t="s">
        <v>771</v>
      </c>
      <c r="I11736" s="380" t="s">
        <v>788</v>
      </c>
      <c r="J11736" s="380" t="s">
        <v>773</v>
      </c>
      <c r="K11736" s="381">
        <v>0.0</v>
      </c>
      <c r="L11736" s="382">
        <v>1.0</v>
      </c>
    </row>
    <row r="11737">
      <c r="A11737" s="380" t="s">
        <v>12611</v>
      </c>
      <c r="B11737" s="380" t="str">
        <f>IFERROR(__xludf.DUMMYFUNCTION("""COMPUTED_VALUE"""),"Barra Direccion Npr 8970618690")</f>
        <v>Barra Direccion Npr 8970618690</v>
      </c>
      <c r="C11737" s="380" t="str">
        <f>IFERROR(__xludf.DUMMYFUNCTION("""COMPUTED_VALUE"""),"70007178")</f>
        <v>70007178</v>
      </c>
      <c r="D11737" s="380" t="s">
        <v>767</v>
      </c>
      <c r="E11737" s="380" t="s">
        <v>786</v>
      </c>
      <c r="F11737" s="380" t="s">
        <v>1020</v>
      </c>
      <c r="G11737" s="380" t="s">
        <v>1267</v>
      </c>
      <c r="H11737" s="380" t="s">
        <v>771</v>
      </c>
      <c r="I11737" s="380" t="s">
        <v>788</v>
      </c>
      <c r="J11737" s="380" t="s">
        <v>773</v>
      </c>
      <c r="K11737" s="381">
        <v>0.0</v>
      </c>
      <c r="L11737" s="382">
        <v>1.0</v>
      </c>
    </row>
    <row r="11738">
      <c r="A11738" s="380" t="s">
        <v>12612</v>
      </c>
      <c r="B11738" s="380" t="str">
        <f>IFERROR(__xludf.DUMMYFUNCTION("""COMPUTED_VALUE"""),"Resorte Capot Eagle 598574c3")</f>
        <v>Resorte Capot Eagle 598574c3</v>
      </c>
      <c r="C11738" s="380" t="str">
        <f>IFERROR(__xludf.DUMMYFUNCTION("""COMPUTED_VALUE"""),"70007179")</f>
        <v>70007179</v>
      </c>
      <c r="D11738" s="380" t="s">
        <v>767</v>
      </c>
      <c r="E11738" s="380" t="s">
        <v>786</v>
      </c>
      <c r="F11738" s="380" t="s">
        <v>792</v>
      </c>
      <c r="G11738" s="380" t="s">
        <v>1267</v>
      </c>
      <c r="H11738" s="380" t="s">
        <v>771</v>
      </c>
      <c r="I11738" s="380" t="s">
        <v>788</v>
      </c>
      <c r="J11738" s="380" t="s">
        <v>773</v>
      </c>
      <c r="K11738" s="381">
        <v>0.0</v>
      </c>
      <c r="L11738" s="382">
        <v>1.0</v>
      </c>
    </row>
    <row r="11739">
      <c r="A11739" s="380" t="s">
        <v>12613</v>
      </c>
      <c r="B11739" s="380" t="str">
        <f>IFERROR(__xludf.DUMMYFUNCTION("""COMPUTED_VALUE"""),"Kit Embrague Eagle 10893582mo")</f>
        <v>Kit Embrague Eagle 10893582mo</v>
      </c>
      <c r="C11739" s="380" t="str">
        <f>IFERROR(__xludf.DUMMYFUNCTION("""COMPUTED_VALUE"""),"70007180")</f>
        <v>70007180</v>
      </c>
      <c r="D11739" s="380" t="s">
        <v>767</v>
      </c>
      <c r="E11739" s="380" t="s">
        <v>786</v>
      </c>
      <c r="F11739" s="380" t="s">
        <v>5661</v>
      </c>
      <c r="G11739" s="380" t="s">
        <v>1267</v>
      </c>
      <c r="H11739" s="380" t="s">
        <v>771</v>
      </c>
      <c r="I11739" s="380" t="s">
        <v>788</v>
      </c>
      <c r="J11739" s="380" t="s">
        <v>773</v>
      </c>
      <c r="K11739" s="381">
        <v>2796500.0</v>
      </c>
      <c r="L11739" s="382">
        <v>1.0</v>
      </c>
    </row>
    <row r="11740">
      <c r="A11740" s="380" t="s">
        <v>12614</v>
      </c>
      <c r="B11740" s="380" t="str">
        <f>IFERROR(__xludf.DUMMYFUNCTION("""COMPUTED_VALUE"""),"Recibidor Chapa Puerta KW 7000100673")</f>
        <v>Recibidor Chapa Puerta KW 7000100673</v>
      </c>
      <c r="C11740" s="380" t="str">
        <f>IFERROR(__xludf.DUMMYFUNCTION("""COMPUTED_VALUE"""),"70007181")</f>
        <v>70007181</v>
      </c>
      <c r="D11740" s="380" t="s">
        <v>767</v>
      </c>
      <c r="E11740" s="380" t="s">
        <v>786</v>
      </c>
      <c r="F11740" s="380" t="s">
        <v>792</v>
      </c>
      <c r="G11740" s="380" t="s">
        <v>1267</v>
      </c>
      <c r="H11740" s="380" t="s">
        <v>771</v>
      </c>
      <c r="I11740" s="380" t="s">
        <v>788</v>
      </c>
      <c r="J11740" s="380" t="s">
        <v>773</v>
      </c>
      <c r="K11740" s="381">
        <v>84166.0</v>
      </c>
      <c r="L11740" s="382">
        <v>1.0</v>
      </c>
    </row>
    <row r="11741">
      <c r="A11741" s="380" t="s">
        <v>12615</v>
      </c>
      <c r="B11741" s="380" t="str">
        <f>IFERROR(__xludf.DUMMYFUNCTION("""COMPUTED_VALUE"""),"Extension Capot Izq Eagle 3518981c3")</f>
        <v>Extension Capot Izq Eagle 3518981c3</v>
      </c>
      <c r="C11741" s="380" t="str">
        <f>IFERROR(__xludf.DUMMYFUNCTION("""COMPUTED_VALUE"""),"70007182")</f>
        <v>70007182</v>
      </c>
      <c r="D11741" s="380" t="s">
        <v>767</v>
      </c>
      <c r="E11741" s="380" t="s">
        <v>786</v>
      </c>
      <c r="F11741" s="380" t="s">
        <v>792</v>
      </c>
      <c r="G11741" s="380" t="s">
        <v>1267</v>
      </c>
      <c r="H11741" s="380" t="s">
        <v>771</v>
      </c>
      <c r="I11741" s="380" t="s">
        <v>788</v>
      </c>
      <c r="J11741" s="380" t="s">
        <v>773</v>
      </c>
      <c r="K11741" s="381">
        <v>0.0</v>
      </c>
      <c r="L11741" s="382">
        <v>1.0</v>
      </c>
    </row>
    <row r="11742">
      <c r="A11742" s="380" t="s">
        <v>12616</v>
      </c>
      <c r="B11742" s="380" t="str">
        <f>IFERROR(__xludf.DUMMYFUNCTION("""COMPUTED_VALUE"""),"Tapa Cubo Rueda Del Npr 8973601010")</f>
        <v>Tapa Cubo Rueda Del Npr 8973601010</v>
      </c>
      <c r="C11742" s="380" t="str">
        <f>IFERROR(__xludf.DUMMYFUNCTION("""COMPUTED_VALUE"""),"70007183")</f>
        <v>70007183</v>
      </c>
      <c r="D11742" s="380" t="s">
        <v>767</v>
      </c>
      <c r="E11742" s="380" t="s">
        <v>786</v>
      </c>
      <c r="F11742" s="380" t="s">
        <v>1039</v>
      </c>
      <c r="G11742" s="380" t="s">
        <v>1267</v>
      </c>
      <c r="H11742" s="380" t="s">
        <v>771</v>
      </c>
      <c r="I11742" s="380" t="s">
        <v>788</v>
      </c>
      <c r="J11742" s="380" t="s">
        <v>773</v>
      </c>
      <c r="K11742" s="381">
        <v>0.0</v>
      </c>
      <c r="L11742" s="382">
        <v>1.0</v>
      </c>
    </row>
    <row r="11743">
      <c r="A11743" s="380" t="s">
        <v>12617</v>
      </c>
      <c r="B11743" s="380" t="str">
        <f>IFERROR(__xludf.DUMMYFUNCTION("""COMPUTED_VALUE"""),"Cruceta Cardan Mixta Del Spl250x Kw")</f>
        <v>Cruceta Cardan Mixta Del Spl250x Kw</v>
      </c>
      <c r="C11743" s="380" t="str">
        <f>IFERROR(__xludf.DUMMYFUNCTION("""COMPUTED_VALUE"""),"70007184")</f>
        <v>70007184</v>
      </c>
      <c r="D11743" s="380" t="s">
        <v>767</v>
      </c>
      <c r="E11743" s="380" t="s">
        <v>786</v>
      </c>
      <c r="F11743" s="380" t="s">
        <v>5683</v>
      </c>
      <c r="G11743" s="380" t="s">
        <v>1267</v>
      </c>
      <c r="H11743" s="380" t="s">
        <v>771</v>
      </c>
      <c r="I11743" s="380" t="s">
        <v>788</v>
      </c>
      <c r="J11743" s="380" t="s">
        <v>773</v>
      </c>
      <c r="K11743" s="381">
        <v>0.0</v>
      </c>
      <c r="L11743" s="382">
        <v>1.0</v>
      </c>
    </row>
    <row r="11744">
      <c r="A11744" s="380" t="s">
        <v>12618</v>
      </c>
      <c r="B11744" s="380" t="str">
        <f>IFERROR(__xludf.DUMMYFUNCTION("""COMPUTED_VALUE"""),"Lampara Lateral Dir Eagle 2001304c92")</f>
        <v>Lampara Lateral Dir Eagle 2001304c92</v>
      </c>
      <c r="C11744" s="380" t="str">
        <f>IFERROR(__xludf.DUMMYFUNCTION("""COMPUTED_VALUE"""),"70007185")</f>
        <v>70007185</v>
      </c>
      <c r="D11744" s="380" t="s">
        <v>767</v>
      </c>
      <c r="E11744" s="380" t="s">
        <v>786</v>
      </c>
      <c r="F11744" s="380" t="s">
        <v>998</v>
      </c>
      <c r="G11744" s="380" t="s">
        <v>1267</v>
      </c>
      <c r="H11744" s="380" t="s">
        <v>771</v>
      </c>
      <c r="I11744" s="380" t="s">
        <v>788</v>
      </c>
      <c r="J11744" s="380" t="s">
        <v>773</v>
      </c>
      <c r="K11744" s="381">
        <v>123360.0</v>
      </c>
      <c r="L11744" s="382">
        <v>1.0</v>
      </c>
    </row>
    <row r="11745">
      <c r="A11745" s="380" t="s">
        <v>12619</v>
      </c>
      <c r="B11745" s="380" t="str">
        <f>IFERROR(__xludf.DUMMYFUNCTION("""COMPUTED_VALUE"""),"Kit Em Kit Embrag.Con Turbo Nkrii 510035")</f>
        <v>Kit Em Kit Embrag.Con Turbo Nkrii 510035</v>
      </c>
      <c r="C11745" s="380" t="str">
        <f>IFERROR(__xludf.DUMMYFUNCTION("""COMPUTED_VALUE"""),"70007186")</f>
        <v>70007186</v>
      </c>
      <c r="D11745" s="380" t="s">
        <v>767</v>
      </c>
      <c r="E11745" s="380" t="s">
        <v>786</v>
      </c>
      <c r="F11745" s="380" t="s">
        <v>5661</v>
      </c>
      <c r="G11745" s="380" t="s">
        <v>1267</v>
      </c>
      <c r="H11745" s="380" t="s">
        <v>771</v>
      </c>
      <c r="I11745" s="380" t="s">
        <v>788</v>
      </c>
      <c r="J11745" s="380" t="s">
        <v>773</v>
      </c>
      <c r="K11745" s="381">
        <v>621894.0</v>
      </c>
      <c r="L11745" s="382">
        <v>1.0</v>
      </c>
    </row>
    <row r="11746">
      <c r="A11746" s="380" t="s">
        <v>12620</v>
      </c>
      <c r="B11746" s="380" t="str">
        <f>IFERROR(__xludf.DUMMYFUNCTION("""COMPUTED_VALUE"""),"Soporte Tope Capo Izquiero KWh K179-481")</f>
        <v>Soporte Tope Capo Izquiero KWh K179-481</v>
      </c>
      <c r="C11746" s="380" t="str">
        <f>IFERROR(__xludf.DUMMYFUNCTION("""COMPUTED_VALUE"""),"70007187")</f>
        <v>70007187</v>
      </c>
      <c r="D11746" s="380" t="s">
        <v>767</v>
      </c>
      <c r="E11746" s="380" t="s">
        <v>786</v>
      </c>
      <c r="F11746" s="380" t="s">
        <v>792</v>
      </c>
      <c r="G11746" s="380" t="s">
        <v>1267</v>
      </c>
      <c r="H11746" s="380" t="s">
        <v>771</v>
      </c>
      <c r="I11746" s="380" t="s">
        <v>788</v>
      </c>
      <c r="J11746" s="380" t="s">
        <v>773</v>
      </c>
      <c r="K11746" s="381">
        <v>0.0</v>
      </c>
      <c r="L11746" s="382">
        <v>1.0</v>
      </c>
    </row>
    <row r="11747">
      <c r="A11747" s="380" t="s">
        <v>12621</v>
      </c>
      <c r="B11747" s="380" t="str">
        <f>IFERROR(__xludf.DUMMYFUNCTION("""COMPUTED_VALUE"""),"Exploradora Pequeña Redonda 8 2031355c91")</f>
        <v>Exploradora Pequeña Redonda 8 2031355c91</v>
      </c>
      <c r="C11747" s="380" t="str">
        <f>IFERROR(__xludf.DUMMYFUNCTION("""COMPUTED_VALUE"""),"70007188")</f>
        <v>70007188</v>
      </c>
      <c r="D11747" s="380" t="s">
        <v>767</v>
      </c>
      <c r="E11747" s="380" t="s">
        <v>786</v>
      </c>
      <c r="F11747" s="380" t="s">
        <v>998</v>
      </c>
      <c r="G11747" s="380" t="s">
        <v>1267</v>
      </c>
      <c r="H11747" s="380" t="s">
        <v>771</v>
      </c>
      <c r="I11747" s="380" t="s">
        <v>788</v>
      </c>
      <c r="J11747" s="380" t="s">
        <v>773</v>
      </c>
      <c r="K11747" s="381">
        <v>0.0</v>
      </c>
      <c r="L11747" s="382">
        <v>1.0</v>
      </c>
    </row>
    <row r="11748">
      <c r="A11748" s="380" t="s">
        <v>12622</v>
      </c>
      <c r="B11748" s="380" t="str">
        <f>IFERROR(__xludf.DUMMYFUNCTION("""COMPUTED_VALUE"""),"Guardapolvo Columna Dir Nkr 8970768220")</f>
        <v>Guardapolvo Columna Dir Nkr 8970768220</v>
      </c>
      <c r="C11748" s="380" t="str">
        <f>IFERROR(__xludf.DUMMYFUNCTION("""COMPUTED_VALUE"""),"70007189")</f>
        <v>70007189</v>
      </c>
      <c r="D11748" s="380" t="s">
        <v>767</v>
      </c>
      <c r="E11748" s="380" t="s">
        <v>786</v>
      </c>
      <c r="F11748" s="380" t="s">
        <v>1020</v>
      </c>
      <c r="G11748" s="380" t="s">
        <v>1267</v>
      </c>
      <c r="H11748" s="380" t="s">
        <v>771</v>
      </c>
      <c r="I11748" s="380" t="s">
        <v>788</v>
      </c>
      <c r="J11748" s="380" t="s">
        <v>773</v>
      </c>
      <c r="K11748" s="381">
        <v>0.0</v>
      </c>
      <c r="L11748" s="382">
        <v>1.0</v>
      </c>
    </row>
    <row r="11749">
      <c r="A11749" s="380" t="s">
        <v>12623</v>
      </c>
      <c r="B11749" s="380" t="str">
        <f>IFERROR(__xludf.DUMMYFUNCTION("""COMPUTED_VALUE"""),"Base Espejo Retrovisor Dcho D 8790287329")</f>
        <v>Base Espejo Retrovisor Dcho D 8790287329</v>
      </c>
      <c r="C11749" s="380" t="str">
        <f>IFERROR(__xludf.DUMMYFUNCTION("""COMPUTED_VALUE"""),"70007190")</f>
        <v>70007190</v>
      </c>
      <c r="D11749" s="380" t="s">
        <v>767</v>
      </c>
      <c r="E11749" s="380" t="s">
        <v>786</v>
      </c>
      <c r="F11749" s="380" t="s">
        <v>792</v>
      </c>
      <c r="G11749" s="380" t="s">
        <v>1267</v>
      </c>
      <c r="H11749" s="380" t="s">
        <v>771</v>
      </c>
      <c r="I11749" s="380" t="s">
        <v>788</v>
      </c>
      <c r="J11749" s="380" t="s">
        <v>773</v>
      </c>
      <c r="K11749" s="381">
        <v>0.0</v>
      </c>
      <c r="L11749" s="382">
        <v>1.0</v>
      </c>
    </row>
    <row r="11750">
      <c r="A11750" s="380" t="s">
        <v>12624</v>
      </c>
      <c r="B11750" s="380" t="str">
        <f>IFERROR(__xludf.DUMMYFUNCTION("""COMPUTED_VALUE"""),"Guardafango Del Der Npr 8975812400")</f>
        <v>Guardafango Del Der Npr 8975812400</v>
      </c>
      <c r="C11750" s="380" t="str">
        <f>IFERROR(__xludf.DUMMYFUNCTION("""COMPUTED_VALUE"""),"70007191")</f>
        <v>70007191</v>
      </c>
      <c r="D11750" s="380" t="s">
        <v>767</v>
      </c>
      <c r="E11750" s="380" t="s">
        <v>786</v>
      </c>
      <c r="F11750" s="380" t="s">
        <v>792</v>
      </c>
      <c r="G11750" s="380" t="s">
        <v>1267</v>
      </c>
      <c r="H11750" s="380" t="s">
        <v>771</v>
      </c>
      <c r="I11750" s="380" t="s">
        <v>788</v>
      </c>
      <c r="J11750" s="380" t="s">
        <v>773</v>
      </c>
      <c r="K11750" s="381">
        <v>0.0</v>
      </c>
      <c r="L11750" s="382">
        <v>1.0</v>
      </c>
    </row>
    <row r="11751">
      <c r="A11751" s="380" t="s">
        <v>12625</v>
      </c>
      <c r="B11751" s="380" t="str">
        <f>IFERROR(__xludf.DUMMYFUNCTION("""COMPUTED_VALUE"""),"Guardapolvo Columna Direc Nkr 8972011150")</f>
        <v>Guardapolvo Columna Direc Nkr 8972011150</v>
      </c>
      <c r="C11751" s="380" t="str">
        <f>IFERROR(__xludf.DUMMYFUNCTION("""COMPUTED_VALUE"""),"70007192")</f>
        <v>70007192</v>
      </c>
      <c r="D11751" s="380" t="s">
        <v>767</v>
      </c>
      <c r="E11751" s="380" t="s">
        <v>786</v>
      </c>
      <c r="F11751" s="380" t="s">
        <v>1020</v>
      </c>
      <c r="G11751" s="380" t="s">
        <v>1267</v>
      </c>
      <c r="H11751" s="380" t="s">
        <v>771</v>
      </c>
      <c r="I11751" s="380" t="s">
        <v>788</v>
      </c>
      <c r="J11751" s="380" t="s">
        <v>773</v>
      </c>
      <c r="K11751" s="381">
        <v>0.0</v>
      </c>
      <c r="L11751" s="382">
        <v>1.0</v>
      </c>
    </row>
    <row r="11752">
      <c r="A11752" s="380" t="s">
        <v>12626</v>
      </c>
      <c r="B11752" s="380" t="str">
        <f>IFERROR(__xludf.DUMMYFUNCTION("""COMPUTED_VALUE"""),"Manguera Agua Motor Nkr 8972216760")</f>
        <v>Manguera Agua Motor Nkr 8972216760</v>
      </c>
      <c r="C11752" s="380" t="str">
        <f>IFERROR(__xludf.DUMMYFUNCTION("""COMPUTED_VALUE"""),"70007193")</f>
        <v>70007193</v>
      </c>
      <c r="D11752" s="380" t="s">
        <v>767</v>
      </c>
      <c r="E11752" s="380" t="s">
        <v>786</v>
      </c>
      <c r="F11752" s="380" t="s">
        <v>787</v>
      </c>
      <c r="G11752" s="380" t="s">
        <v>1267</v>
      </c>
      <c r="H11752" s="380" t="s">
        <v>771</v>
      </c>
      <c r="I11752" s="380" t="s">
        <v>788</v>
      </c>
      <c r="J11752" s="380" t="s">
        <v>773</v>
      </c>
      <c r="K11752" s="381">
        <v>0.0</v>
      </c>
      <c r="L11752" s="382">
        <v>1.0</v>
      </c>
    </row>
    <row r="11753">
      <c r="A11753" s="380" t="s">
        <v>12627</v>
      </c>
      <c r="B11753" s="380" t="str">
        <f>IFERROR(__xludf.DUMMYFUNCTION("""COMPUTED_VALUE"""),"Bomba Principal Freno Nkr 8973151640")</f>
        <v>Bomba Principal Freno Nkr 8973151640</v>
      </c>
      <c r="C11753" s="380" t="str">
        <f>IFERROR(__xludf.DUMMYFUNCTION("""COMPUTED_VALUE"""),"70007194")</f>
        <v>70007194</v>
      </c>
      <c r="D11753" s="380" t="s">
        <v>767</v>
      </c>
      <c r="E11753" s="380" t="s">
        <v>786</v>
      </c>
      <c r="F11753" s="380" t="s">
        <v>1017</v>
      </c>
      <c r="G11753" s="380" t="s">
        <v>1267</v>
      </c>
      <c r="H11753" s="380" t="s">
        <v>771</v>
      </c>
      <c r="I11753" s="380" t="s">
        <v>788</v>
      </c>
      <c r="J11753" s="380" t="s">
        <v>773</v>
      </c>
      <c r="K11753" s="381">
        <v>0.0</v>
      </c>
      <c r="L11753" s="382">
        <v>1.0</v>
      </c>
    </row>
    <row r="11754">
      <c r="A11754" s="380" t="s">
        <v>12628</v>
      </c>
      <c r="B11754" s="380" t="str">
        <f>IFERROR(__xludf.DUMMYFUNCTION("""COMPUTED_VALUE"""),"Amortiguador Capot Eagle 3501427c1")</f>
        <v>Amortiguador Capot Eagle 3501427c1</v>
      </c>
      <c r="C11754" s="380" t="str">
        <f>IFERROR(__xludf.DUMMYFUNCTION("""COMPUTED_VALUE"""),"70007196")</f>
        <v>70007196</v>
      </c>
      <c r="D11754" s="380" t="s">
        <v>767</v>
      </c>
      <c r="E11754" s="380" t="s">
        <v>786</v>
      </c>
      <c r="F11754" s="380" t="s">
        <v>792</v>
      </c>
      <c r="G11754" s="380" t="s">
        <v>1267</v>
      </c>
      <c r="H11754" s="380" t="s">
        <v>771</v>
      </c>
      <c r="I11754" s="380" t="s">
        <v>788</v>
      </c>
      <c r="J11754" s="380" t="s">
        <v>773</v>
      </c>
      <c r="K11754" s="381">
        <v>554597.0</v>
      </c>
      <c r="L11754" s="382">
        <v>1.0</v>
      </c>
    </row>
    <row r="11755">
      <c r="A11755" s="380" t="s">
        <v>12629</v>
      </c>
      <c r="B11755" s="380" t="str">
        <f>IFERROR(__xludf.DUMMYFUNCTION("""COMPUTED_VALUE"""),"Graduacion Freno Trasero Toyota Delta")</f>
        <v>Graduacion Freno Trasero Toyota Delta</v>
      </c>
      <c r="C11755" s="380" t="str">
        <f>IFERROR(__xludf.DUMMYFUNCTION("""COMPUTED_VALUE"""),"70007197")</f>
        <v>70007197</v>
      </c>
      <c r="D11755" s="380" t="s">
        <v>767</v>
      </c>
      <c r="E11755" s="380" t="s">
        <v>786</v>
      </c>
      <c r="F11755" s="380" t="s">
        <v>1017</v>
      </c>
      <c r="G11755" s="380" t="s">
        <v>1267</v>
      </c>
      <c r="H11755" s="380" t="s">
        <v>771</v>
      </c>
      <c r="I11755" s="380" t="s">
        <v>788</v>
      </c>
      <c r="J11755" s="380" t="s">
        <v>773</v>
      </c>
      <c r="K11755" s="381">
        <v>0.0</v>
      </c>
      <c r="L11755" s="382">
        <v>1.0</v>
      </c>
    </row>
    <row r="11756">
      <c r="A11756" s="380" t="s">
        <v>12630</v>
      </c>
      <c r="B11756" s="380" t="str">
        <f>IFERROR(__xludf.DUMMYFUNCTION("""COMPUTED_VALUE"""),"Asiento Valvulas Admision Nhr 8972312280")</f>
        <v>Asiento Valvulas Admision Nhr 8972312280</v>
      </c>
      <c r="C11756" s="380" t="str">
        <f>IFERROR(__xludf.DUMMYFUNCTION("""COMPUTED_VALUE"""),"70007198")</f>
        <v>70007198</v>
      </c>
      <c r="D11756" s="380" t="s">
        <v>767</v>
      </c>
      <c r="E11756" s="380" t="s">
        <v>786</v>
      </c>
      <c r="F11756" s="380" t="s">
        <v>787</v>
      </c>
      <c r="G11756" s="380" t="s">
        <v>1267</v>
      </c>
      <c r="H11756" s="380" t="s">
        <v>771</v>
      </c>
      <c r="I11756" s="380" t="s">
        <v>788</v>
      </c>
      <c r="J11756" s="380" t="s">
        <v>773</v>
      </c>
      <c r="K11756" s="381">
        <v>0.0</v>
      </c>
      <c r="L11756" s="382">
        <v>1.0</v>
      </c>
    </row>
    <row r="11757">
      <c r="A11757" s="380" t="s">
        <v>12631</v>
      </c>
      <c r="B11757" s="380" t="str">
        <f>IFERROR(__xludf.DUMMYFUNCTION("""COMPUTED_VALUE"""),"Fan Clutch Eagle Isx 10900950001")</f>
        <v>Fan Clutch Eagle Isx 10900950001</v>
      </c>
      <c r="C11757" s="380" t="str">
        <f>IFERROR(__xludf.DUMMYFUNCTION("""COMPUTED_VALUE"""),"70007199")</f>
        <v>70007199</v>
      </c>
      <c r="D11757" s="380" t="s">
        <v>767</v>
      </c>
      <c r="E11757" s="380" t="s">
        <v>786</v>
      </c>
      <c r="F11757" s="380" t="s">
        <v>787</v>
      </c>
      <c r="G11757" s="380" t="s">
        <v>1267</v>
      </c>
      <c r="H11757" s="380" t="s">
        <v>771</v>
      </c>
      <c r="I11757" s="380" t="s">
        <v>788</v>
      </c>
      <c r="J11757" s="380" t="s">
        <v>773</v>
      </c>
      <c r="K11757" s="381">
        <v>0.0</v>
      </c>
      <c r="L11757" s="382">
        <v>1.0</v>
      </c>
    </row>
    <row r="11758">
      <c r="A11758" s="380" t="s">
        <v>12632</v>
      </c>
      <c r="B11758" s="380" t="str">
        <f>IFERROR(__xludf.DUMMYFUNCTION("""COMPUTED_VALUE"""),"Asiento Valvulas Escape Nhr 8972312290")</f>
        <v>Asiento Valvulas Escape Nhr 8972312290</v>
      </c>
      <c r="C11758" s="380" t="str">
        <f>IFERROR(__xludf.DUMMYFUNCTION("""COMPUTED_VALUE"""),"70007200")</f>
        <v>70007200</v>
      </c>
      <c r="D11758" s="380" t="s">
        <v>767</v>
      </c>
      <c r="E11758" s="380" t="s">
        <v>786</v>
      </c>
      <c r="F11758" s="380" t="s">
        <v>787</v>
      </c>
      <c r="G11758" s="380" t="s">
        <v>1267</v>
      </c>
      <c r="H11758" s="380" t="s">
        <v>771</v>
      </c>
      <c r="I11758" s="380" t="s">
        <v>788</v>
      </c>
      <c r="J11758" s="380" t="s">
        <v>773</v>
      </c>
      <c r="K11758" s="381">
        <v>0.0</v>
      </c>
      <c r="L11758" s="382">
        <v>1.0</v>
      </c>
    </row>
    <row r="11759">
      <c r="A11759" s="380" t="s">
        <v>12633</v>
      </c>
      <c r="B11759" s="380" t="str">
        <f>IFERROR(__xludf.DUMMYFUNCTION("""COMPUTED_VALUE"""),"Relay Intermitente Nhr 8972283980")</f>
        <v>Relay Intermitente Nhr 8972283980</v>
      </c>
      <c r="C11759" s="380" t="str">
        <f>IFERROR(__xludf.DUMMYFUNCTION("""COMPUTED_VALUE"""),"70007201")</f>
        <v>70007201</v>
      </c>
      <c r="D11759" s="380" t="s">
        <v>767</v>
      </c>
      <c r="E11759" s="380" t="s">
        <v>786</v>
      </c>
      <c r="F11759" s="380" t="s">
        <v>998</v>
      </c>
      <c r="G11759" s="380" t="s">
        <v>1267</v>
      </c>
      <c r="H11759" s="380" t="s">
        <v>771</v>
      </c>
      <c r="I11759" s="380" t="s">
        <v>788</v>
      </c>
      <c r="J11759" s="380" t="s">
        <v>773</v>
      </c>
      <c r="K11759" s="381">
        <v>0.0</v>
      </c>
      <c r="L11759" s="382">
        <v>1.0</v>
      </c>
    </row>
    <row r="11760">
      <c r="A11760" s="380" t="s">
        <v>12634</v>
      </c>
      <c r="B11760" s="380" t="str">
        <f>IFERROR(__xludf.DUMMYFUNCTION("""COMPUTED_VALUE"""),"Manguera Pos-Enfriador Eagle 1673866c1")</f>
        <v>Manguera Pos-Enfriador Eagle 1673866c1</v>
      </c>
      <c r="C11760" s="380" t="str">
        <f>IFERROR(__xludf.DUMMYFUNCTION("""COMPUTED_VALUE"""),"70007202")</f>
        <v>70007202</v>
      </c>
      <c r="D11760" s="380" t="s">
        <v>767</v>
      </c>
      <c r="E11760" s="380" t="s">
        <v>786</v>
      </c>
      <c r="F11760" s="380" t="s">
        <v>787</v>
      </c>
      <c r="G11760" s="380" t="s">
        <v>1267</v>
      </c>
      <c r="H11760" s="380" t="s">
        <v>771</v>
      </c>
      <c r="I11760" s="380" t="s">
        <v>788</v>
      </c>
      <c r="J11760" s="380" t="s">
        <v>773</v>
      </c>
      <c r="K11760" s="381">
        <v>0.0</v>
      </c>
      <c r="L11760" s="382">
        <v>1.0</v>
      </c>
    </row>
    <row r="11761">
      <c r="A11761" s="380" t="s">
        <v>12635</v>
      </c>
      <c r="B11761" s="380" t="str">
        <f>IFERROR(__xludf.DUMMYFUNCTION("""COMPUTED_VALUE"""),"Terminal Barra Dccion Dcha KWh Es2091r")</f>
        <v>Terminal Barra Dccion Dcha KWh Es2091r</v>
      </c>
      <c r="C11761" s="380" t="str">
        <f>IFERROR(__xludf.DUMMYFUNCTION("""COMPUTED_VALUE"""),"70007203")</f>
        <v>70007203</v>
      </c>
      <c r="D11761" s="380" t="s">
        <v>767</v>
      </c>
      <c r="E11761" s="380" t="s">
        <v>786</v>
      </c>
      <c r="F11761" s="380" t="s">
        <v>1020</v>
      </c>
      <c r="G11761" s="380" t="s">
        <v>1267</v>
      </c>
      <c r="H11761" s="380" t="s">
        <v>771</v>
      </c>
      <c r="I11761" s="380" t="s">
        <v>788</v>
      </c>
      <c r="J11761" s="380" t="s">
        <v>773</v>
      </c>
      <c r="K11761" s="381">
        <v>0.0</v>
      </c>
      <c r="L11761" s="382">
        <v>1.0</v>
      </c>
    </row>
    <row r="11762">
      <c r="A11762" s="380" t="s">
        <v>12636</v>
      </c>
      <c r="B11762" s="380" t="str">
        <f>IFERROR(__xludf.DUMMYFUNCTION("""COMPUTED_VALUE"""),"Arandela SOP Del CAB EGL 3514218c1")</f>
        <v>Arandela SOP Del CAB EGL 3514218c1</v>
      </c>
      <c r="C11762" s="380" t="str">
        <f>IFERROR(__xludf.DUMMYFUNCTION("""COMPUTED_VALUE"""),"70007204")</f>
        <v>70007204</v>
      </c>
      <c r="D11762" s="380" t="s">
        <v>767</v>
      </c>
      <c r="E11762" s="380" t="s">
        <v>786</v>
      </c>
      <c r="F11762" s="380" t="s">
        <v>792</v>
      </c>
      <c r="G11762" s="380" t="s">
        <v>1267</v>
      </c>
      <c r="H11762" s="380" t="s">
        <v>771</v>
      </c>
      <c r="I11762" s="380" t="s">
        <v>788</v>
      </c>
      <c r="J11762" s="380" t="s">
        <v>773</v>
      </c>
      <c r="K11762" s="381">
        <v>237881.0</v>
      </c>
      <c r="L11762" s="382">
        <v>1.0</v>
      </c>
    </row>
    <row r="11763">
      <c r="A11763" s="380" t="s">
        <v>12637</v>
      </c>
      <c r="B11763" s="380" t="str">
        <f>IFERROR(__xludf.DUMMYFUNCTION("""COMPUTED_VALUE"""),"Extension Capot Der Eagle 3518982c3")</f>
        <v>Extension Capot Der Eagle 3518982c3</v>
      </c>
      <c r="C11763" s="380" t="str">
        <f>IFERROR(__xludf.DUMMYFUNCTION("""COMPUTED_VALUE"""),"70007205")</f>
        <v>70007205</v>
      </c>
      <c r="D11763" s="380" t="s">
        <v>767</v>
      </c>
      <c r="E11763" s="380" t="s">
        <v>786</v>
      </c>
      <c r="F11763" s="380" t="s">
        <v>792</v>
      </c>
      <c r="G11763" s="380" t="s">
        <v>1267</v>
      </c>
      <c r="H11763" s="380" t="s">
        <v>771</v>
      </c>
      <c r="I11763" s="380" t="s">
        <v>788</v>
      </c>
      <c r="J11763" s="380" t="s">
        <v>773</v>
      </c>
      <c r="K11763" s="381">
        <v>0.0</v>
      </c>
      <c r="L11763" s="382">
        <v>1.0</v>
      </c>
    </row>
    <row r="11764">
      <c r="A11764" s="380" t="s">
        <v>12638</v>
      </c>
      <c r="B11764" s="380" t="str">
        <f>IFERROR(__xludf.DUMMYFUNCTION("""COMPUTED_VALUE"""),"Horquilla Eje Clutch Eagle 3523967c2")</f>
        <v>Horquilla Eje Clutch Eagle 3523967c2</v>
      </c>
      <c r="C11764" s="380" t="str">
        <f>IFERROR(__xludf.DUMMYFUNCTION("""COMPUTED_VALUE"""),"70007206")</f>
        <v>70007206</v>
      </c>
      <c r="D11764" s="380" t="s">
        <v>767</v>
      </c>
      <c r="E11764" s="380" t="s">
        <v>786</v>
      </c>
      <c r="F11764" s="380" t="s">
        <v>5661</v>
      </c>
      <c r="G11764" s="380" t="s">
        <v>1267</v>
      </c>
      <c r="H11764" s="380" t="s">
        <v>771</v>
      </c>
      <c r="I11764" s="380" t="s">
        <v>788</v>
      </c>
      <c r="J11764" s="380" t="s">
        <v>773</v>
      </c>
      <c r="K11764" s="381">
        <v>0.0</v>
      </c>
      <c r="L11764" s="382">
        <v>1.0</v>
      </c>
    </row>
    <row r="11765">
      <c r="A11765" s="380" t="s">
        <v>12639</v>
      </c>
      <c r="B11765" s="380" t="str">
        <f>IFERROR(__xludf.DUMMYFUNCTION("""COMPUTED_VALUE"""),"Sello Bomper Izq Eagle 3590925c1")</f>
        <v>Sello Bomper Izq Eagle 3590925c1</v>
      </c>
      <c r="C11765" s="380" t="str">
        <f>IFERROR(__xludf.DUMMYFUNCTION("""COMPUTED_VALUE"""),"70007207")</f>
        <v>70007207</v>
      </c>
      <c r="D11765" s="380" t="s">
        <v>767</v>
      </c>
      <c r="E11765" s="380" t="s">
        <v>786</v>
      </c>
      <c r="F11765" s="380" t="s">
        <v>792</v>
      </c>
      <c r="G11765" s="380" t="s">
        <v>1267</v>
      </c>
      <c r="H11765" s="380" t="s">
        <v>771</v>
      </c>
      <c r="I11765" s="380" t="s">
        <v>788</v>
      </c>
      <c r="J11765" s="380" t="s">
        <v>773</v>
      </c>
      <c r="K11765" s="381">
        <v>170932.0</v>
      </c>
      <c r="L11765" s="382">
        <v>1.0</v>
      </c>
    </row>
    <row r="11766">
      <c r="A11766" s="380" t="s">
        <v>12640</v>
      </c>
      <c r="B11766" s="380" t="str">
        <f>IFERROR(__xludf.DUMMYFUNCTION("""COMPUTED_VALUE"""),"Sello Bomper Der Eagle 3590926c1")</f>
        <v>Sello Bomper Der Eagle 3590926c1</v>
      </c>
      <c r="C11766" s="380" t="str">
        <f>IFERROR(__xludf.DUMMYFUNCTION("""COMPUTED_VALUE"""),"70007208")</f>
        <v>70007208</v>
      </c>
      <c r="D11766" s="380" t="s">
        <v>767</v>
      </c>
      <c r="E11766" s="380" t="s">
        <v>786</v>
      </c>
      <c r="F11766" s="380" t="s">
        <v>792</v>
      </c>
      <c r="G11766" s="380" t="s">
        <v>1267</v>
      </c>
      <c r="H11766" s="380" t="s">
        <v>771</v>
      </c>
      <c r="I11766" s="380" t="s">
        <v>788</v>
      </c>
      <c r="J11766" s="380" t="s">
        <v>773</v>
      </c>
      <c r="K11766" s="381">
        <v>194672.0</v>
      </c>
      <c r="L11766" s="382">
        <v>1.0</v>
      </c>
    </row>
    <row r="11767">
      <c r="A11767" s="380" t="s">
        <v>12641</v>
      </c>
      <c r="B11767" s="380" t="str">
        <f>IFERROR(__xludf.DUMMYFUNCTION("""COMPUTED_VALUE"""),"Soporte Tras Motor Eagle 507569c91")</f>
        <v>Soporte Tras Motor Eagle 507569c91</v>
      </c>
      <c r="C11767" s="380" t="str">
        <f>IFERROR(__xludf.DUMMYFUNCTION("""COMPUTED_VALUE"""),"70007209")</f>
        <v>70007209</v>
      </c>
      <c r="D11767" s="380" t="s">
        <v>767</v>
      </c>
      <c r="E11767" s="380" t="s">
        <v>786</v>
      </c>
      <c r="F11767" s="380" t="s">
        <v>787</v>
      </c>
      <c r="G11767" s="380" t="s">
        <v>1267</v>
      </c>
      <c r="H11767" s="380" t="s">
        <v>771</v>
      </c>
      <c r="I11767" s="380" t="s">
        <v>788</v>
      </c>
      <c r="J11767" s="380" t="s">
        <v>773</v>
      </c>
      <c r="K11767" s="381">
        <v>0.0</v>
      </c>
      <c r="L11767" s="382">
        <v>1.0</v>
      </c>
    </row>
    <row r="11768">
      <c r="A11768" s="380" t="s">
        <v>12642</v>
      </c>
      <c r="B11768" s="380" t="str">
        <f>IFERROR(__xludf.DUMMYFUNCTION("""COMPUTED_VALUE"""),"Estribo TANQ Combus EGL 3585893 556680c3")</f>
        <v>Estribo TANQ Combus EGL 3585893 556680c3</v>
      </c>
      <c r="C11768" s="380" t="str">
        <f>IFERROR(__xludf.DUMMYFUNCTION("""COMPUTED_VALUE"""),"70007210")</f>
        <v>70007210</v>
      </c>
      <c r="D11768" s="380" t="s">
        <v>767</v>
      </c>
      <c r="E11768" s="380" t="s">
        <v>786</v>
      </c>
      <c r="F11768" s="380" t="s">
        <v>792</v>
      </c>
      <c r="G11768" s="380" t="s">
        <v>1267</v>
      </c>
      <c r="H11768" s="380" t="s">
        <v>771</v>
      </c>
      <c r="I11768" s="380" t="s">
        <v>788</v>
      </c>
      <c r="J11768" s="380" t="s">
        <v>773</v>
      </c>
      <c r="K11768" s="381">
        <v>0.0</v>
      </c>
      <c r="L11768" s="382">
        <v>1.0</v>
      </c>
    </row>
    <row r="11769">
      <c r="A11769" s="380" t="s">
        <v>12643</v>
      </c>
      <c r="B11769" s="380" t="str">
        <f>IFERROR(__xludf.DUMMYFUNCTION("""COMPUTED_VALUE"""),"Motor Tanque Limpiabrisas Npr 8978551380")</f>
        <v>Motor Tanque Limpiabrisas Npr 8978551380</v>
      </c>
      <c r="C11769" s="380" t="str">
        <f>IFERROR(__xludf.DUMMYFUNCTION("""COMPUTED_VALUE"""),"70007211")</f>
        <v>70007211</v>
      </c>
      <c r="D11769" s="380" t="s">
        <v>767</v>
      </c>
      <c r="E11769" s="380" t="s">
        <v>786</v>
      </c>
      <c r="F11769" s="380" t="s">
        <v>998</v>
      </c>
      <c r="G11769" s="380" t="s">
        <v>1267</v>
      </c>
      <c r="H11769" s="380" t="s">
        <v>771</v>
      </c>
      <c r="I11769" s="380" t="s">
        <v>788</v>
      </c>
      <c r="J11769" s="380" t="s">
        <v>773</v>
      </c>
      <c r="K11769" s="381">
        <v>0.0</v>
      </c>
      <c r="L11769" s="382">
        <v>1.0</v>
      </c>
    </row>
    <row r="11770">
      <c r="A11770" s="380" t="s">
        <v>12644</v>
      </c>
      <c r="B11770" s="380" t="str">
        <f>IFERROR(__xludf.DUMMYFUNCTION("""COMPUTED_VALUE"""),"BRR Estabilizadora Tandem EGL 1516350c91")</f>
        <v>BRR Estabilizadora Tandem EGL 1516350c91</v>
      </c>
      <c r="C11770" s="380" t="str">
        <f>IFERROR(__xludf.DUMMYFUNCTION("""COMPUTED_VALUE"""),"70007212")</f>
        <v>70007212</v>
      </c>
      <c r="D11770" s="380" t="s">
        <v>767</v>
      </c>
      <c r="E11770" s="380" t="s">
        <v>786</v>
      </c>
      <c r="F11770" s="380" t="s">
        <v>792</v>
      </c>
      <c r="G11770" s="380" t="s">
        <v>1267</v>
      </c>
      <c r="H11770" s="380" t="s">
        <v>771</v>
      </c>
      <c r="I11770" s="380" t="s">
        <v>788</v>
      </c>
      <c r="J11770" s="380" t="s">
        <v>773</v>
      </c>
      <c r="K11770" s="381">
        <v>0.0</v>
      </c>
      <c r="L11770" s="382">
        <v>1.0</v>
      </c>
    </row>
    <row r="11771">
      <c r="A11771" s="380" t="s">
        <v>12645</v>
      </c>
      <c r="B11771" s="380" t="str">
        <f>IFERROR(__xludf.DUMMYFUNCTION("""COMPUTED_VALUE"""),"Sillin Tandem Suspencion EGL Hd31017096")</f>
        <v>Sillin Tandem Suspencion EGL Hd31017096</v>
      </c>
      <c r="C11771" s="380" t="str">
        <f>IFERROR(__xludf.DUMMYFUNCTION("""COMPUTED_VALUE"""),"70007213")</f>
        <v>70007213</v>
      </c>
      <c r="D11771" s="380" t="s">
        <v>767</v>
      </c>
      <c r="E11771" s="380" t="s">
        <v>786</v>
      </c>
      <c r="F11771" s="380" t="s">
        <v>1039</v>
      </c>
      <c r="G11771" s="380" t="s">
        <v>1267</v>
      </c>
      <c r="H11771" s="380" t="s">
        <v>771</v>
      </c>
      <c r="I11771" s="380" t="s">
        <v>788</v>
      </c>
      <c r="J11771" s="380" t="s">
        <v>773</v>
      </c>
      <c r="K11771" s="381">
        <v>0.0</v>
      </c>
      <c r="L11771" s="382">
        <v>1.0</v>
      </c>
    </row>
    <row r="11772">
      <c r="A11772" s="380" t="s">
        <v>12646</v>
      </c>
      <c r="B11772" s="380" t="str">
        <f>IFERROR(__xludf.DUMMYFUNCTION("""COMPUTED_VALUE"""),"Varilla Mecanismo Limpiab Izq 8978551540")</f>
        <v>Varilla Mecanismo Limpiab Izq 8978551540</v>
      </c>
      <c r="C11772" s="380" t="str">
        <f>IFERROR(__xludf.DUMMYFUNCTION("""COMPUTED_VALUE"""),"70007214")</f>
        <v>70007214</v>
      </c>
      <c r="D11772" s="380" t="s">
        <v>767</v>
      </c>
      <c r="E11772" s="380" t="s">
        <v>786</v>
      </c>
      <c r="F11772" s="380" t="s">
        <v>792</v>
      </c>
      <c r="G11772" s="380" t="s">
        <v>1267</v>
      </c>
      <c r="H11772" s="380" t="s">
        <v>771</v>
      </c>
      <c r="I11772" s="380" t="s">
        <v>788</v>
      </c>
      <c r="J11772" s="380" t="s">
        <v>773</v>
      </c>
      <c r="K11772" s="381">
        <v>0.0</v>
      </c>
      <c r="L11772" s="382">
        <v>1.0</v>
      </c>
    </row>
    <row r="11773">
      <c r="A11773" s="380" t="s">
        <v>12647</v>
      </c>
      <c r="B11773" s="380" t="str">
        <f>IFERROR(__xludf.DUMMYFUNCTION("""COMPUTED_VALUE"""),"Pasador Central 7/16 X 8"" Nkr")</f>
        <v>Pasador Central 7/16 X 8" Nkr</v>
      </c>
      <c r="C11773" s="380" t="str">
        <f>IFERROR(__xludf.DUMMYFUNCTION("""COMPUTED_VALUE"""),"70007215")</f>
        <v>70007215</v>
      </c>
      <c r="D11773" s="380" t="s">
        <v>767</v>
      </c>
      <c r="E11773" s="380" t="s">
        <v>786</v>
      </c>
      <c r="F11773" s="380" t="s">
        <v>1039</v>
      </c>
      <c r="G11773" s="380" t="s">
        <v>1267</v>
      </c>
      <c r="H11773" s="380" t="s">
        <v>771</v>
      </c>
      <c r="I11773" s="380" t="s">
        <v>788</v>
      </c>
      <c r="J11773" s="380" t="s">
        <v>773</v>
      </c>
      <c r="K11773" s="381">
        <v>0.0</v>
      </c>
      <c r="L11773" s="382">
        <v>1.0</v>
      </c>
    </row>
    <row r="11774">
      <c r="A11774" s="380" t="s">
        <v>12648</v>
      </c>
      <c r="B11774" s="380" t="str">
        <f>IFERROR(__xludf.DUMMYFUNCTION("""COMPUTED_VALUE"""),"BRR Estabilizadora Tandem EGL Hd44643009")</f>
        <v>BRR Estabilizadora Tandem EGL Hd44643009</v>
      </c>
      <c r="C11774" s="380" t="str">
        <f>IFERROR(__xludf.DUMMYFUNCTION("""COMPUTED_VALUE"""),"70007216")</f>
        <v>70007216</v>
      </c>
      <c r="D11774" s="380" t="s">
        <v>767</v>
      </c>
      <c r="E11774" s="380" t="s">
        <v>786</v>
      </c>
      <c r="F11774" s="380" t="s">
        <v>1039</v>
      </c>
      <c r="G11774" s="380" t="s">
        <v>1267</v>
      </c>
      <c r="H11774" s="380" t="s">
        <v>771</v>
      </c>
      <c r="I11774" s="380" t="s">
        <v>788</v>
      </c>
      <c r="J11774" s="380" t="s">
        <v>773</v>
      </c>
      <c r="K11774" s="381">
        <v>0.0</v>
      </c>
      <c r="L11774" s="382">
        <v>1.0</v>
      </c>
    </row>
    <row r="11775">
      <c r="A11775" s="380" t="s">
        <v>12649</v>
      </c>
      <c r="B11775" s="380" t="str">
        <f>IFERROR(__xludf.DUMMYFUNCTION("""COMPUTED_VALUE"""),"Caja Direc T Delta 4411087303")</f>
        <v>Caja Direc T Delta 4411087303</v>
      </c>
      <c r="C11775" s="380" t="str">
        <f>IFERROR(__xludf.DUMMYFUNCTION("""COMPUTED_VALUE"""),"70007217")</f>
        <v>70007217</v>
      </c>
      <c r="D11775" s="380" t="s">
        <v>767</v>
      </c>
      <c r="E11775" s="380" t="s">
        <v>786</v>
      </c>
      <c r="F11775" s="380" t="s">
        <v>1020</v>
      </c>
      <c r="G11775" s="380" t="s">
        <v>1267</v>
      </c>
      <c r="H11775" s="380" t="s">
        <v>771</v>
      </c>
      <c r="I11775" s="380" t="s">
        <v>788</v>
      </c>
      <c r="J11775" s="380" t="s">
        <v>773</v>
      </c>
      <c r="K11775" s="381">
        <v>0.0</v>
      </c>
      <c r="L11775" s="382">
        <v>1.0</v>
      </c>
    </row>
    <row r="11776">
      <c r="A11776" s="380" t="s">
        <v>12650</v>
      </c>
      <c r="B11776" s="380" t="str">
        <f>IFERROR(__xludf.DUMMYFUNCTION("""COMPUTED_VALUE"""),"Barra Torcion Cabina Npr 8972618720")</f>
        <v>Barra Torcion Cabina Npr 8972618720</v>
      </c>
      <c r="C11776" s="380" t="str">
        <f>IFERROR(__xludf.DUMMYFUNCTION("""COMPUTED_VALUE"""),"70007218")</f>
        <v>70007218</v>
      </c>
      <c r="D11776" s="380" t="s">
        <v>767</v>
      </c>
      <c r="E11776" s="380" t="s">
        <v>786</v>
      </c>
      <c r="F11776" s="380" t="s">
        <v>792</v>
      </c>
      <c r="G11776" s="380" t="s">
        <v>1267</v>
      </c>
      <c r="H11776" s="380" t="s">
        <v>771</v>
      </c>
      <c r="I11776" s="380" t="s">
        <v>788</v>
      </c>
      <c r="J11776" s="380" t="s">
        <v>773</v>
      </c>
      <c r="K11776" s="381">
        <v>0.0</v>
      </c>
      <c r="L11776" s="382">
        <v>1.0</v>
      </c>
    </row>
    <row r="11777">
      <c r="A11777" s="380" t="s">
        <v>12651</v>
      </c>
      <c r="B11777" s="380" t="str">
        <f>IFERROR(__xludf.DUMMYFUNCTION("""COMPUTED_VALUE"""),"Quinta Rueda Holland Inca Fw357801xr")</f>
        <v>Quinta Rueda Holland Inca Fw357801xr</v>
      </c>
      <c r="C11777" s="380" t="str">
        <f>IFERROR(__xludf.DUMMYFUNCTION("""COMPUTED_VALUE"""),"70007219")</f>
        <v>70007219</v>
      </c>
      <c r="D11777" s="380" t="s">
        <v>767</v>
      </c>
      <c r="E11777" s="380" t="s">
        <v>786</v>
      </c>
      <c r="F11777" s="380" t="s">
        <v>1039</v>
      </c>
      <c r="G11777" s="380" t="s">
        <v>1267</v>
      </c>
      <c r="H11777" s="380" t="s">
        <v>771</v>
      </c>
      <c r="I11777" s="380" t="s">
        <v>788</v>
      </c>
      <c r="J11777" s="380" t="s">
        <v>773</v>
      </c>
      <c r="K11777" s="381">
        <v>0.0</v>
      </c>
      <c r="L11777" s="382">
        <v>1.0</v>
      </c>
    </row>
    <row r="11778">
      <c r="A11778" s="380" t="s">
        <v>12652</v>
      </c>
      <c r="B11778" s="380" t="str">
        <f>IFERROR(__xludf.DUMMYFUNCTION("""COMPUTED_VALUE"""),"Bomba Direc Hidraulica Npr 8971365741")</f>
        <v>Bomba Direc Hidraulica Npr 8971365741</v>
      </c>
      <c r="C11778" s="380" t="str">
        <f>IFERROR(__xludf.DUMMYFUNCTION("""COMPUTED_VALUE"""),"70007220")</f>
        <v>70007220</v>
      </c>
      <c r="D11778" s="380" t="s">
        <v>767</v>
      </c>
      <c r="E11778" s="380" t="s">
        <v>786</v>
      </c>
      <c r="F11778" s="380" t="s">
        <v>1020</v>
      </c>
      <c r="G11778" s="380" t="s">
        <v>1267</v>
      </c>
      <c r="H11778" s="380" t="s">
        <v>771</v>
      </c>
      <c r="I11778" s="380" t="s">
        <v>788</v>
      </c>
      <c r="J11778" s="380" t="s">
        <v>773</v>
      </c>
      <c r="K11778" s="381">
        <v>0.0</v>
      </c>
      <c r="L11778" s="382">
        <v>1.0</v>
      </c>
    </row>
    <row r="11779">
      <c r="A11779" s="380" t="s">
        <v>12653</v>
      </c>
      <c r="B11779" s="380" t="str">
        <f>IFERROR(__xludf.DUMMYFUNCTION("""COMPUTED_VALUE"""),"Eje De Toma S1659 Caja SB N14 20535")</f>
        <v>Eje De Toma S1659 Caja SB N14 20535</v>
      </c>
      <c r="C11779" s="380" t="str">
        <f>IFERROR(__xludf.DUMMYFUNCTION("""COMPUTED_VALUE"""),"70007221")</f>
        <v>70007221</v>
      </c>
      <c r="D11779" s="380" t="s">
        <v>767</v>
      </c>
      <c r="E11779" s="380" t="s">
        <v>786</v>
      </c>
      <c r="F11779" s="380" t="s">
        <v>928</v>
      </c>
      <c r="G11779" s="380" t="s">
        <v>1267</v>
      </c>
      <c r="H11779" s="380" t="s">
        <v>771</v>
      </c>
      <c r="I11779" s="380" t="s">
        <v>788</v>
      </c>
      <c r="J11779" s="380" t="s">
        <v>773</v>
      </c>
      <c r="K11779" s="381">
        <v>0.0</v>
      </c>
      <c r="L11779" s="382">
        <v>1.0</v>
      </c>
    </row>
    <row r="11780">
      <c r="A11780" s="380" t="s">
        <v>12654</v>
      </c>
      <c r="B11780" s="380" t="str">
        <f>IFERROR(__xludf.DUMMYFUNCTION("""COMPUTED_VALUE"""),"Kit Embrague Foton 1030 5946758178")</f>
        <v>Kit Embrague Foton 1030 5946758178</v>
      </c>
      <c r="C11780" s="380" t="str">
        <f>IFERROR(__xludf.DUMMYFUNCTION("""COMPUTED_VALUE"""),"70007222")</f>
        <v>70007222</v>
      </c>
      <c r="D11780" s="380" t="s">
        <v>767</v>
      </c>
      <c r="E11780" s="380" t="s">
        <v>786</v>
      </c>
      <c r="F11780" s="380" t="s">
        <v>5661</v>
      </c>
      <c r="G11780" s="380" t="s">
        <v>1267</v>
      </c>
      <c r="H11780" s="380" t="s">
        <v>771</v>
      </c>
      <c r="I11780" s="380" t="s">
        <v>788</v>
      </c>
      <c r="J11780" s="380" t="s">
        <v>773</v>
      </c>
      <c r="K11780" s="381">
        <v>501960.0</v>
      </c>
      <c r="L11780" s="382">
        <v>1.0</v>
      </c>
    </row>
    <row r="11781">
      <c r="A11781" s="380" t="s">
        <v>12655</v>
      </c>
      <c r="B11781" s="380" t="str">
        <f>IFERROR(__xludf.DUMMYFUNCTION("""COMPUTED_VALUE"""),"Vidrio Puerta Izquierda Delta")</f>
        <v>Vidrio Puerta Izquierda Delta</v>
      </c>
      <c r="C11781" s="380" t="str">
        <f>IFERROR(__xludf.DUMMYFUNCTION("""COMPUTED_VALUE"""),"70007223")</f>
        <v>70007223</v>
      </c>
      <c r="D11781" s="380" t="s">
        <v>767</v>
      </c>
      <c r="E11781" s="380" t="s">
        <v>786</v>
      </c>
      <c r="F11781" s="380" t="s">
        <v>792</v>
      </c>
      <c r="G11781" s="380" t="s">
        <v>1267</v>
      </c>
      <c r="H11781" s="380" t="s">
        <v>771</v>
      </c>
      <c r="I11781" s="380" t="s">
        <v>788</v>
      </c>
      <c r="J11781" s="380" t="s">
        <v>773</v>
      </c>
      <c r="K11781" s="381">
        <v>0.0</v>
      </c>
      <c r="L11781" s="382">
        <v>1.0</v>
      </c>
    </row>
    <row r="11782">
      <c r="A11782" s="380" t="s">
        <v>12656</v>
      </c>
      <c r="B11782" s="380" t="str">
        <f>IFERROR(__xludf.DUMMYFUNCTION("""COMPUTED_VALUE"""),"Kit Soporte Radiador Eagle M1693647c9")</f>
        <v>Kit Soporte Radiador Eagle M1693647c9</v>
      </c>
      <c r="C11782" s="380" t="str">
        <f>IFERROR(__xludf.DUMMYFUNCTION("""COMPUTED_VALUE"""),"70007224")</f>
        <v>70007224</v>
      </c>
      <c r="D11782" s="380" t="s">
        <v>767</v>
      </c>
      <c r="E11782" s="380" t="s">
        <v>786</v>
      </c>
      <c r="F11782" s="380" t="s">
        <v>787</v>
      </c>
      <c r="G11782" s="380" t="s">
        <v>1267</v>
      </c>
      <c r="H11782" s="380" t="s">
        <v>771</v>
      </c>
      <c r="I11782" s="380" t="s">
        <v>788</v>
      </c>
      <c r="J11782" s="380" t="s">
        <v>773</v>
      </c>
      <c r="K11782" s="381">
        <v>0.0</v>
      </c>
      <c r="L11782" s="382">
        <v>1.0</v>
      </c>
    </row>
    <row r="11783">
      <c r="A11783" s="380" t="s">
        <v>12657</v>
      </c>
      <c r="B11783" s="380" t="str">
        <f>IFERROR(__xludf.DUMMYFUNCTION("""COMPUTED_VALUE"""),"Tapa Tras Motor Arranque SBn14 42-Mt")</f>
        <v>Tapa Tras Motor Arranque SBn14 42-Mt</v>
      </c>
      <c r="C11783" s="380" t="str">
        <f>IFERROR(__xludf.DUMMYFUNCTION("""COMPUTED_VALUE"""),"70007225")</f>
        <v>70007225</v>
      </c>
      <c r="D11783" s="380" t="s">
        <v>767</v>
      </c>
      <c r="E11783" s="380" t="s">
        <v>786</v>
      </c>
      <c r="F11783" s="380" t="s">
        <v>998</v>
      </c>
      <c r="G11783" s="380" t="s">
        <v>1267</v>
      </c>
      <c r="H11783" s="380" t="s">
        <v>771</v>
      </c>
      <c r="I11783" s="380" t="s">
        <v>788</v>
      </c>
      <c r="J11783" s="380" t="s">
        <v>773</v>
      </c>
      <c r="K11783" s="381">
        <v>0.0</v>
      </c>
      <c r="L11783" s="382">
        <v>1.0</v>
      </c>
    </row>
    <row r="11784">
      <c r="A11784" s="380" t="s">
        <v>12658</v>
      </c>
      <c r="B11784" s="380" t="str">
        <f>IFERROR(__xludf.DUMMYFUNCTION("""COMPUTED_VALUE"""),"Bomba Direc Hca Eagle S60 791114")</f>
        <v>Bomba Direc Hca Eagle S60 791114</v>
      </c>
      <c r="C11784" s="380" t="str">
        <f>IFERROR(__xludf.DUMMYFUNCTION("""COMPUTED_VALUE"""),"70007226")</f>
        <v>70007226</v>
      </c>
      <c r="D11784" s="380" t="s">
        <v>767</v>
      </c>
      <c r="E11784" s="380" t="s">
        <v>786</v>
      </c>
      <c r="F11784" s="380" t="s">
        <v>1020</v>
      </c>
      <c r="G11784" s="380" t="s">
        <v>1267</v>
      </c>
      <c r="H11784" s="380" t="s">
        <v>771</v>
      </c>
      <c r="I11784" s="380" t="s">
        <v>788</v>
      </c>
      <c r="J11784" s="380" t="s">
        <v>773</v>
      </c>
      <c r="K11784" s="381">
        <v>0.0</v>
      </c>
      <c r="L11784" s="382">
        <v>1.0</v>
      </c>
    </row>
    <row r="11785">
      <c r="A11785" s="380" t="s">
        <v>12659</v>
      </c>
      <c r="B11785" s="380" t="str">
        <f>IFERROR(__xludf.DUMMYFUNCTION("""COMPUTED_VALUE"""),"Eliminador Empaque 515")</f>
        <v>Eliminador Empaque 515</v>
      </c>
      <c r="C11785" s="380" t="str">
        <f>IFERROR(__xludf.DUMMYFUNCTION("""COMPUTED_VALUE"""),"70007227")</f>
        <v>70007227</v>
      </c>
      <c r="D11785" s="380" t="s">
        <v>767</v>
      </c>
      <c r="E11785" s="380" t="s">
        <v>786</v>
      </c>
      <c r="F11785" s="380" t="s">
        <v>787</v>
      </c>
      <c r="G11785" s="380" t="s">
        <v>1267</v>
      </c>
      <c r="H11785" s="380" t="s">
        <v>771</v>
      </c>
      <c r="I11785" s="380" t="s">
        <v>788</v>
      </c>
      <c r="J11785" s="380" t="s">
        <v>773</v>
      </c>
      <c r="K11785" s="381">
        <v>0.0</v>
      </c>
      <c r="L11785" s="382">
        <v>1.0</v>
      </c>
    </row>
    <row r="11786">
      <c r="A11786" s="380" t="s">
        <v>12660</v>
      </c>
      <c r="B11786" s="380" t="str">
        <f>IFERROR(__xludf.DUMMYFUNCTION("""COMPUTED_VALUE"""),"Kit Soporte Cardan Npr 95615972")</f>
        <v>Kit Soporte Cardan Npr 95615972</v>
      </c>
      <c r="C11786" s="380" t="str">
        <f>IFERROR(__xludf.DUMMYFUNCTION("""COMPUTED_VALUE"""),"70007228")</f>
        <v>70007228</v>
      </c>
      <c r="D11786" s="380" t="s">
        <v>767</v>
      </c>
      <c r="E11786" s="380" t="s">
        <v>786</v>
      </c>
      <c r="F11786" s="380" t="s">
        <v>5683</v>
      </c>
      <c r="G11786" s="380" t="s">
        <v>1267</v>
      </c>
      <c r="H11786" s="380" t="s">
        <v>771</v>
      </c>
      <c r="I11786" s="380" t="s">
        <v>788</v>
      </c>
      <c r="J11786" s="380" t="s">
        <v>773</v>
      </c>
      <c r="K11786" s="381">
        <v>0.0</v>
      </c>
      <c r="L11786" s="382">
        <v>1.0</v>
      </c>
    </row>
    <row r="11787">
      <c r="A11787" s="380" t="s">
        <v>12661</v>
      </c>
      <c r="B11787" s="380" t="str">
        <f>IFERROR(__xludf.DUMMYFUNCTION("""COMPUTED_VALUE"""),"Puerta Del Izq Super Carry 6800271d00")</f>
        <v>Puerta Del Izq Super Carry 6800271d00</v>
      </c>
      <c r="C11787" s="380" t="str">
        <f>IFERROR(__xludf.DUMMYFUNCTION("""COMPUTED_VALUE"""),"70007229")</f>
        <v>70007229</v>
      </c>
      <c r="D11787" s="380" t="s">
        <v>767</v>
      </c>
      <c r="E11787" s="380" t="s">
        <v>786</v>
      </c>
      <c r="F11787" s="380" t="s">
        <v>792</v>
      </c>
      <c r="G11787" s="380" t="s">
        <v>1267</v>
      </c>
      <c r="H11787" s="380" t="s">
        <v>771</v>
      </c>
      <c r="I11787" s="380" t="s">
        <v>788</v>
      </c>
      <c r="J11787" s="380" t="s">
        <v>773</v>
      </c>
      <c r="K11787" s="381">
        <v>0.0</v>
      </c>
      <c r="L11787" s="382">
        <v>1.0</v>
      </c>
    </row>
    <row r="11788">
      <c r="A11788" s="380" t="s">
        <v>12662</v>
      </c>
      <c r="B11788" s="380" t="str">
        <f>IFERROR(__xludf.DUMMYFUNCTION("""COMPUTED_VALUE"""),"Arandela Picaporte TRL Fabric 1.7/16x7/8")</f>
        <v>Arandela Picaporte TRL Fabric 1.7/16x7/8</v>
      </c>
      <c r="C11788" s="380" t="str">
        <f>IFERROR(__xludf.DUMMYFUNCTION("""COMPUTED_VALUE"""),"70007230")</f>
        <v>70007230</v>
      </c>
      <c r="D11788" s="380" t="s">
        <v>767</v>
      </c>
      <c r="E11788" s="380" t="s">
        <v>786</v>
      </c>
      <c r="F11788" s="380" t="s">
        <v>792</v>
      </c>
      <c r="G11788" s="380" t="s">
        <v>1267</v>
      </c>
      <c r="H11788" s="380" t="s">
        <v>771</v>
      </c>
      <c r="I11788" s="380" t="s">
        <v>788</v>
      </c>
      <c r="J11788" s="380" t="s">
        <v>773</v>
      </c>
      <c r="K11788" s="381">
        <v>0.0</v>
      </c>
      <c r="L11788" s="382">
        <v>1.0</v>
      </c>
    </row>
    <row r="11789">
      <c r="A11789" s="380" t="s">
        <v>12663</v>
      </c>
      <c r="B11789" s="380" t="str">
        <f>IFERROR(__xludf.DUMMYFUNCTION("""COMPUTED_VALUE"""),"Disco Embrague Npr 9"" Nuevo 581039")</f>
        <v>Disco Embrague Npr 9" Nuevo 581039</v>
      </c>
      <c r="C11789" s="380" t="str">
        <f>IFERROR(__xludf.DUMMYFUNCTION("""COMPUTED_VALUE"""),"70007231")</f>
        <v>70007231</v>
      </c>
      <c r="D11789" s="380" t="s">
        <v>767</v>
      </c>
      <c r="E11789" s="380" t="s">
        <v>786</v>
      </c>
      <c r="F11789" s="380" t="s">
        <v>5661</v>
      </c>
      <c r="G11789" s="380" t="s">
        <v>1267</v>
      </c>
      <c r="H11789" s="380" t="s">
        <v>771</v>
      </c>
      <c r="I11789" s="380" t="s">
        <v>788</v>
      </c>
      <c r="J11789" s="380" t="s">
        <v>773</v>
      </c>
      <c r="K11789" s="381">
        <v>0.0</v>
      </c>
      <c r="L11789" s="382">
        <v>1.0</v>
      </c>
    </row>
    <row r="11790">
      <c r="A11790" s="380" t="s">
        <v>12664</v>
      </c>
      <c r="B11790" s="380" t="str">
        <f>IFERROR(__xludf.DUMMYFUNCTION("""COMPUTED_VALUE"""),"Kit Bujes Levas Hi 4700 Fp 680117")</f>
        <v>Kit Bujes Levas Hi 4700 Fp 680117</v>
      </c>
      <c r="C11790" s="380" t="str">
        <f>IFERROR(__xludf.DUMMYFUNCTION("""COMPUTED_VALUE"""),"70007232")</f>
        <v>70007232</v>
      </c>
      <c r="D11790" s="380" t="s">
        <v>767</v>
      </c>
      <c r="E11790" s="380" t="s">
        <v>786</v>
      </c>
      <c r="F11790" s="380" t="s">
        <v>787</v>
      </c>
      <c r="G11790" s="380" t="s">
        <v>1267</v>
      </c>
      <c r="H11790" s="380" t="s">
        <v>771</v>
      </c>
      <c r="I11790" s="380" t="s">
        <v>788</v>
      </c>
      <c r="J11790" s="380" t="s">
        <v>773</v>
      </c>
      <c r="K11790" s="381">
        <v>0.0</v>
      </c>
      <c r="L11790" s="382">
        <v>1.0</v>
      </c>
    </row>
    <row r="11791">
      <c r="A11791" s="380" t="s">
        <v>12665</v>
      </c>
      <c r="B11791" s="380" t="str">
        <f>IFERROR(__xludf.DUMMYFUNCTION("""COMPUTED_VALUE"""),"Abrazadera Cremallera 10")</f>
        <v>Abrazadera Cremallera 10</v>
      </c>
      <c r="C11791" s="380" t="str">
        <f>IFERROR(__xludf.DUMMYFUNCTION("""COMPUTED_VALUE"""),"70007233")</f>
        <v>70007233</v>
      </c>
      <c r="D11791" s="380" t="s">
        <v>767</v>
      </c>
      <c r="E11791" s="380" t="s">
        <v>786</v>
      </c>
      <c r="F11791" s="380" t="s">
        <v>989</v>
      </c>
      <c r="G11791" s="380" t="s">
        <v>1267</v>
      </c>
      <c r="H11791" s="380" t="s">
        <v>771</v>
      </c>
      <c r="I11791" s="380" t="s">
        <v>788</v>
      </c>
      <c r="J11791" s="380" t="s">
        <v>773</v>
      </c>
      <c r="K11791" s="381">
        <v>2618.0</v>
      </c>
      <c r="L11791" s="382">
        <v>1.0</v>
      </c>
    </row>
    <row r="11792">
      <c r="A11792" s="380" t="s">
        <v>12666</v>
      </c>
      <c r="B11792" s="380" t="str">
        <f>IFERROR(__xludf.DUMMYFUNCTION("""COMPUTED_VALUE"""),"Recibidor Cinturon Seguridad Mula")</f>
        <v>Recibidor Cinturon Seguridad Mula</v>
      </c>
      <c r="C11792" s="380" t="str">
        <f>IFERROR(__xludf.DUMMYFUNCTION("""COMPUTED_VALUE"""),"70007234")</f>
        <v>70007234</v>
      </c>
      <c r="D11792" s="380" t="s">
        <v>767</v>
      </c>
      <c r="E11792" s="380" t="s">
        <v>786</v>
      </c>
      <c r="F11792" s="380" t="s">
        <v>792</v>
      </c>
      <c r="G11792" s="380" t="s">
        <v>1267</v>
      </c>
      <c r="H11792" s="380" t="s">
        <v>771</v>
      </c>
      <c r="I11792" s="380" t="s">
        <v>788</v>
      </c>
      <c r="J11792" s="380" t="s">
        <v>773</v>
      </c>
      <c r="K11792" s="381">
        <v>0.0</v>
      </c>
      <c r="L11792" s="382">
        <v>1.0</v>
      </c>
    </row>
    <row r="11793">
      <c r="A11793" s="380" t="s">
        <v>12667</v>
      </c>
      <c r="B11793" s="380" t="str">
        <f>IFERROR(__xludf.DUMMYFUNCTION("""COMPUTED_VALUE"""),"Ador Adorno Faro Del. Nkr Iii 8979947930")</f>
        <v>Ador Adorno Faro Del. Nkr Iii 8979947930</v>
      </c>
      <c r="C11793" s="380" t="str">
        <f>IFERROR(__xludf.DUMMYFUNCTION("""COMPUTED_VALUE"""),"70007235")</f>
        <v>70007235</v>
      </c>
      <c r="D11793" s="380" t="s">
        <v>767</v>
      </c>
      <c r="E11793" s="380" t="s">
        <v>786</v>
      </c>
      <c r="F11793" s="380" t="s">
        <v>792</v>
      </c>
      <c r="G11793" s="380" t="s">
        <v>1267</v>
      </c>
      <c r="H11793" s="380" t="s">
        <v>771</v>
      </c>
      <c r="I11793" s="380" t="s">
        <v>788</v>
      </c>
      <c r="J11793" s="380" t="s">
        <v>773</v>
      </c>
      <c r="K11793" s="381">
        <v>0.0</v>
      </c>
      <c r="L11793" s="382">
        <v>1.0</v>
      </c>
    </row>
    <row r="11794">
      <c r="A11794" s="380" t="s">
        <v>12668</v>
      </c>
      <c r="B11794" s="380" t="str">
        <f>IFERROR(__xludf.DUMMYFUNCTION("""COMPUTED_VALUE"""),"EMP Lamevidrio PTA Izq Nkr Nh 8978521186")</f>
        <v>EMP Lamevidrio PTA Izq Nkr Nh 8978521186</v>
      </c>
      <c r="C11794" s="380" t="str">
        <f>IFERROR(__xludf.DUMMYFUNCTION("""COMPUTED_VALUE"""),"70007236")</f>
        <v>70007236</v>
      </c>
      <c r="D11794" s="380" t="s">
        <v>767</v>
      </c>
      <c r="E11794" s="380" t="s">
        <v>786</v>
      </c>
      <c r="F11794" s="380" t="s">
        <v>792</v>
      </c>
      <c r="G11794" s="380" t="s">
        <v>1267</v>
      </c>
      <c r="H11794" s="380" t="s">
        <v>771</v>
      </c>
      <c r="I11794" s="380" t="s">
        <v>788</v>
      </c>
      <c r="J11794" s="380" t="s">
        <v>773</v>
      </c>
      <c r="K11794" s="381">
        <v>0.0</v>
      </c>
      <c r="L11794" s="382">
        <v>1.0</v>
      </c>
    </row>
    <row r="11795">
      <c r="A11795" s="380" t="s">
        <v>12669</v>
      </c>
      <c r="B11795" s="380" t="str">
        <f>IFERROR(__xludf.DUMMYFUNCTION("""COMPUTED_VALUE"""),"EMP Lamevidrio Pta Int Izq Nk 8978552936")</f>
        <v>EMP Lamevidrio Pta Int Izq Nk 8978552936</v>
      </c>
      <c r="C11795" s="380" t="str">
        <f>IFERROR(__xludf.DUMMYFUNCTION("""COMPUTED_VALUE"""),"70007237")</f>
        <v>70007237</v>
      </c>
      <c r="D11795" s="380" t="s">
        <v>767</v>
      </c>
      <c r="E11795" s="380" t="s">
        <v>786</v>
      </c>
      <c r="F11795" s="380" t="s">
        <v>792</v>
      </c>
      <c r="G11795" s="380" t="s">
        <v>1267</v>
      </c>
      <c r="H11795" s="380" t="s">
        <v>771</v>
      </c>
      <c r="I11795" s="380" t="s">
        <v>788</v>
      </c>
      <c r="J11795" s="380" t="s">
        <v>773</v>
      </c>
      <c r="K11795" s="381">
        <v>0.0</v>
      </c>
      <c r="L11795" s="382">
        <v>1.0</v>
      </c>
    </row>
    <row r="11796">
      <c r="A11796" s="380" t="s">
        <v>12670</v>
      </c>
      <c r="B11796" s="380" t="str">
        <f>IFERROR(__xludf.DUMMYFUNCTION("""COMPUTED_VALUE"""),"Stop Der Nissan Pathfinder 265502w625")</f>
        <v>Stop Der Nissan Pathfinder 265502w625</v>
      </c>
      <c r="C11796" s="380" t="str">
        <f>IFERROR(__xludf.DUMMYFUNCTION("""COMPUTED_VALUE"""),"70007238")</f>
        <v>70007238</v>
      </c>
      <c r="D11796" s="380" t="s">
        <v>767</v>
      </c>
      <c r="E11796" s="380" t="s">
        <v>786</v>
      </c>
      <c r="F11796" s="380" t="s">
        <v>998</v>
      </c>
      <c r="G11796" s="380" t="s">
        <v>1267</v>
      </c>
      <c r="H11796" s="380" t="s">
        <v>771</v>
      </c>
      <c r="I11796" s="380" t="s">
        <v>788</v>
      </c>
      <c r="J11796" s="380" t="s">
        <v>773</v>
      </c>
      <c r="K11796" s="381">
        <v>0.0</v>
      </c>
      <c r="L11796" s="382">
        <v>1.0</v>
      </c>
    </row>
    <row r="11797">
      <c r="A11797" s="380" t="s">
        <v>12671</v>
      </c>
      <c r="B11797" s="380" t="str">
        <f>IFERROR(__xludf.DUMMYFUNCTION("""COMPUTED_VALUE"""),"Hoja Resorte Ppal Trailer Dite Tl644 E3h")</f>
        <v>Hoja Resorte Ppal Trailer Dite Tl644 E3h</v>
      </c>
      <c r="C11797" s="380" t="str">
        <f>IFERROR(__xludf.DUMMYFUNCTION("""COMPUTED_VALUE"""),"70007239")</f>
        <v>70007239</v>
      </c>
      <c r="D11797" s="380" t="s">
        <v>767</v>
      </c>
      <c r="E11797" s="380" t="s">
        <v>786</v>
      </c>
      <c r="F11797" s="380" t="s">
        <v>1039</v>
      </c>
      <c r="G11797" s="380" t="s">
        <v>1267</v>
      </c>
      <c r="H11797" s="380" t="s">
        <v>771</v>
      </c>
      <c r="I11797" s="380" t="s">
        <v>788</v>
      </c>
      <c r="J11797" s="380" t="s">
        <v>773</v>
      </c>
      <c r="K11797" s="381">
        <v>0.0</v>
      </c>
      <c r="L11797" s="382">
        <v>1.0</v>
      </c>
    </row>
    <row r="11798">
      <c r="A11798" s="380" t="s">
        <v>12672</v>
      </c>
      <c r="B11798" s="380" t="str">
        <f>IFERROR(__xludf.DUMMYFUNCTION("""COMPUTED_VALUE"""),"Bomba Freno Nhr 8970706280")</f>
        <v>Bomba Freno Nhr 8970706280</v>
      </c>
      <c r="C11798" s="380" t="str">
        <f>IFERROR(__xludf.DUMMYFUNCTION("""COMPUTED_VALUE"""),"70007240")</f>
        <v>70007240</v>
      </c>
      <c r="D11798" s="380" t="s">
        <v>767</v>
      </c>
      <c r="E11798" s="380" t="s">
        <v>786</v>
      </c>
      <c r="F11798" s="380" t="s">
        <v>1017</v>
      </c>
      <c r="G11798" s="380" t="s">
        <v>1267</v>
      </c>
      <c r="H11798" s="380" t="s">
        <v>771</v>
      </c>
      <c r="I11798" s="380" t="s">
        <v>788</v>
      </c>
      <c r="J11798" s="380" t="s">
        <v>773</v>
      </c>
      <c r="K11798" s="381">
        <v>0.0</v>
      </c>
      <c r="L11798" s="382">
        <v>1.0</v>
      </c>
    </row>
    <row r="11799">
      <c r="A11799" s="380" t="s">
        <v>12673</v>
      </c>
      <c r="B11799" s="380" t="str">
        <f>IFERROR(__xludf.DUMMYFUNCTION("""COMPUTED_VALUE"""),"Tapa Tanque Acpm T Delta 7730187309")</f>
        <v>Tapa Tanque Acpm T Delta 7730187309</v>
      </c>
      <c r="C11799" s="380" t="str">
        <f>IFERROR(__xludf.DUMMYFUNCTION("""COMPUTED_VALUE"""),"70007241")</f>
        <v>70007241</v>
      </c>
      <c r="D11799" s="380" t="s">
        <v>767</v>
      </c>
      <c r="E11799" s="380" t="s">
        <v>786</v>
      </c>
      <c r="F11799" s="380" t="s">
        <v>792</v>
      </c>
      <c r="G11799" s="380" t="s">
        <v>1267</v>
      </c>
      <c r="H11799" s="380" t="s">
        <v>771</v>
      </c>
      <c r="I11799" s="380" t="s">
        <v>788</v>
      </c>
      <c r="J11799" s="380" t="s">
        <v>773</v>
      </c>
      <c r="K11799" s="381">
        <v>0.0</v>
      </c>
      <c r="L11799" s="382">
        <v>1.0</v>
      </c>
    </row>
    <row r="11800">
      <c r="A11800" s="380" t="s">
        <v>12674</v>
      </c>
      <c r="B11800" s="380" t="str">
        <f>IFERROR(__xludf.DUMMYFUNCTION("""COMPUTED_VALUE"""),"Juego Casquetes Cigueña Isuzu 8972194570")</f>
        <v>Juego Casquetes Cigueña Isuzu 8972194570</v>
      </c>
      <c r="C11800" s="380" t="str">
        <f>IFERROR(__xludf.DUMMYFUNCTION("""COMPUTED_VALUE"""),"70007242")</f>
        <v>70007242</v>
      </c>
      <c r="D11800" s="380" t="s">
        <v>767</v>
      </c>
      <c r="E11800" s="380" t="s">
        <v>786</v>
      </c>
      <c r="F11800" s="380" t="s">
        <v>787</v>
      </c>
      <c r="G11800" s="380" t="s">
        <v>1267</v>
      </c>
      <c r="H11800" s="380" t="s">
        <v>771</v>
      </c>
      <c r="I11800" s="380" t="s">
        <v>788</v>
      </c>
      <c r="J11800" s="380" t="s">
        <v>773</v>
      </c>
      <c r="K11800" s="381">
        <v>0.0</v>
      </c>
      <c r="L11800" s="382">
        <v>1.0</v>
      </c>
    </row>
    <row r="11801">
      <c r="A11801" s="380" t="s">
        <v>12675</v>
      </c>
      <c r="B11801" s="380" t="str">
        <f>IFERROR(__xludf.DUMMYFUNCTION("""COMPUTED_VALUE"""),"Lampara DIRal Capo Izq EGL 2505366c91")</f>
        <v>Lampara DIRal Capo Izq EGL 2505366c91</v>
      </c>
      <c r="C11801" s="380" t="str">
        <f>IFERROR(__xludf.DUMMYFUNCTION("""COMPUTED_VALUE"""),"70007243")</f>
        <v>70007243</v>
      </c>
      <c r="D11801" s="380" t="s">
        <v>767</v>
      </c>
      <c r="E11801" s="380" t="s">
        <v>786</v>
      </c>
      <c r="F11801" s="380" t="s">
        <v>998</v>
      </c>
      <c r="G11801" s="380" t="s">
        <v>1267</v>
      </c>
      <c r="H11801" s="380" t="s">
        <v>771</v>
      </c>
      <c r="I11801" s="380" t="s">
        <v>788</v>
      </c>
      <c r="J11801" s="380" t="s">
        <v>773</v>
      </c>
      <c r="K11801" s="381">
        <v>0.0</v>
      </c>
      <c r="L11801" s="382">
        <v>1.0</v>
      </c>
    </row>
    <row r="11802">
      <c r="A11802" s="380" t="s">
        <v>12676</v>
      </c>
      <c r="B11802" s="380" t="str">
        <f>IFERROR(__xludf.DUMMYFUNCTION("""COMPUTED_VALUE"""),"Kit Chupas Freno Del Nhr 5878316020")</f>
        <v>Kit Chupas Freno Del Nhr 5878316020</v>
      </c>
      <c r="C11802" s="380" t="str">
        <f>IFERROR(__xludf.DUMMYFUNCTION("""COMPUTED_VALUE"""),"70007244")</f>
        <v>70007244</v>
      </c>
      <c r="D11802" s="380" t="s">
        <v>767</v>
      </c>
      <c r="E11802" s="380" t="s">
        <v>786</v>
      </c>
      <c r="F11802" s="380" t="s">
        <v>1017</v>
      </c>
      <c r="G11802" s="380" t="s">
        <v>1267</v>
      </c>
      <c r="H11802" s="380" t="s">
        <v>771</v>
      </c>
      <c r="I11802" s="380" t="s">
        <v>788</v>
      </c>
      <c r="J11802" s="380" t="s">
        <v>773</v>
      </c>
      <c r="K11802" s="381">
        <v>0.0</v>
      </c>
      <c r="L11802" s="382">
        <v>1.0</v>
      </c>
    </row>
    <row r="11803">
      <c r="A11803" s="380" t="s">
        <v>12677</v>
      </c>
      <c r="B11803" s="380" t="str">
        <f>IFERROR(__xludf.DUMMYFUNCTION("""COMPUTED_VALUE"""),"Kit Chupas Freno Tras Nhr 5878316250")</f>
        <v>Kit Chupas Freno Tras Nhr 5878316250</v>
      </c>
      <c r="C11803" s="380" t="str">
        <f>IFERROR(__xludf.DUMMYFUNCTION("""COMPUTED_VALUE"""),"70007245")</f>
        <v>70007245</v>
      </c>
      <c r="D11803" s="380" t="s">
        <v>767</v>
      </c>
      <c r="E11803" s="380" t="s">
        <v>786</v>
      </c>
      <c r="F11803" s="380" t="s">
        <v>1017</v>
      </c>
      <c r="G11803" s="380" t="s">
        <v>1267</v>
      </c>
      <c r="H11803" s="380" t="s">
        <v>771</v>
      </c>
      <c r="I11803" s="380" t="s">
        <v>788</v>
      </c>
      <c r="J11803" s="380" t="s">
        <v>773</v>
      </c>
      <c r="K11803" s="381">
        <v>126223.0</v>
      </c>
      <c r="L11803" s="382">
        <v>1.0</v>
      </c>
    </row>
    <row r="11804">
      <c r="A11804" s="380" t="s">
        <v>12678</v>
      </c>
      <c r="B11804" s="380" t="str">
        <f>IFERROR(__xludf.DUMMYFUNCTION("""COMPUTED_VALUE"""),"Balancin Muelle Tras Nhr 8944382352")</f>
        <v>Balancin Muelle Tras Nhr 8944382352</v>
      </c>
      <c r="C11804" s="380" t="str">
        <f>IFERROR(__xludf.DUMMYFUNCTION("""COMPUTED_VALUE"""),"70007246")</f>
        <v>70007246</v>
      </c>
      <c r="D11804" s="380" t="s">
        <v>767</v>
      </c>
      <c r="E11804" s="380" t="s">
        <v>786</v>
      </c>
      <c r="F11804" s="380" t="s">
        <v>1039</v>
      </c>
      <c r="G11804" s="380" t="s">
        <v>1267</v>
      </c>
      <c r="H11804" s="380" t="s">
        <v>771</v>
      </c>
      <c r="I11804" s="380" t="s">
        <v>788</v>
      </c>
      <c r="J11804" s="380" t="s">
        <v>773</v>
      </c>
      <c r="K11804" s="381">
        <v>0.0</v>
      </c>
      <c r="L11804" s="382">
        <v>1.0</v>
      </c>
    </row>
    <row r="11805">
      <c r="A11805" s="380" t="s">
        <v>12679</v>
      </c>
      <c r="B11805" s="380" t="str">
        <f>IFERROR(__xludf.DUMMYFUNCTION("""COMPUTED_VALUE"""),"Tapa Baja Caja Fuller SB N14 K 1476")</f>
        <v>Tapa Baja Caja Fuller SB N14 K 1476</v>
      </c>
      <c r="C11805" s="380" t="str">
        <f>IFERROR(__xludf.DUMMYFUNCTION("""COMPUTED_VALUE"""),"70007247")</f>
        <v>70007247</v>
      </c>
      <c r="D11805" s="380" t="s">
        <v>767</v>
      </c>
      <c r="E11805" s="380" t="s">
        <v>786</v>
      </c>
      <c r="F11805" s="380" t="s">
        <v>928</v>
      </c>
      <c r="G11805" s="380" t="s">
        <v>1267</v>
      </c>
      <c r="H11805" s="380" t="s">
        <v>771</v>
      </c>
      <c r="I11805" s="380" t="s">
        <v>788</v>
      </c>
      <c r="J11805" s="380" t="s">
        <v>773</v>
      </c>
      <c r="K11805" s="381">
        <v>0.0</v>
      </c>
      <c r="L11805" s="382">
        <v>1.0</v>
      </c>
    </row>
    <row r="11806">
      <c r="A11806" s="380" t="s">
        <v>12680</v>
      </c>
      <c r="B11806" s="380" t="str">
        <f>IFERROR(__xludf.DUMMYFUNCTION("""COMPUTED_VALUE"""),"Kit Bujes Leva Motor Isx 368058000")</f>
        <v>Kit Bujes Leva Motor Isx 368058000</v>
      </c>
      <c r="C11806" s="380" t="str">
        <f>IFERROR(__xludf.DUMMYFUNCTION("""COMPUTED_VALUE"""),"70007248")</f>
        <v>70007248</v>
      </c>
      <c r="D11806" s="380" t="s">
        <v>767</v>
      </c>
      <c r="E11806" s="380" t="s">
        <v>786</v>
      </c>
      <c r="F11806" s="380" t="s">
        <v>787</v>
      </c>
      <c r="G11806" s="380" t="s">
        <v>1267</v>
      </c>
      <c r="H11806" s="380" t="s">
        <v>771</v>
      </c>
      <c r="I11806" s="380" t="s">
        <v>788</v>
      </c>
      <c r="J11806" s="380" t="s">
        <v>773</v>
      </c>
      <c r="K11806" s="381">
        <v>0.0</v>
      </c>
      <c r="L11806" s="382">
        <v>1.0</v>
      </c>
    </row>
    <row r="11807">
      <c r="A11807" s="380" t="s">
        <v>12681</v>
      </c>
      <c r="B11807" s="380" t="str">
        <f>IFERROR(__xludf.DUMMYFUNCTION("""COMPUTED_VALUE"""),"Kit Empaque Yamaha Dt 175")</f>
        <v>Kit Empaque Yamaha Dt 175</v>
      </c>
      <c r="C11807" s="380" t="str">
        <f>IFERROR(__xludf.DUMMYFUNCTION("""COMPUTED_VALUE"""),"70007249")</f>
        <v>70007249</v>
      </c>
      <c r="D11807" s="380" t="s">
        <v>767</v>
      </c>
      <c r="E11807" s="380" t="s">
        <v>786</v>
      </c>
      <c r="F11807" s="380" t="s">
        <v>787</v>
      </c>
      <c r="G11807" s="380" t="s">
        <v>1267</v>
      </c>
      <c r="H11807" s="380" t="s">
        <v>771</v>
      </c>
      <c r="I11807" s="380" t="s">
        <v>788</v>
      </c>
      <c r="J11807" s="380" t="s">
        <v>773</v>
      </c>
      <c r="K11807" s="381">
        <v>0.0</v>
      </c>
      <c r="L11807" s="382">
        <v>1.0</v>
      </c>
    </row>
    <row r="11808">
      <c r="A11808" s="380" t="s">
        <v>12682</v>
      </c>
      <c r="B11808" s="380" t="str">
        <f>IFERROR(__xludf.DUMMYFUNCTION("""COMPUTED_VALUE"""),"Kit Retenedores Caja Akt 125")</f>
        <v>Kit Retenedores Caja Akt 125</v>
      </c>
      <c r="C11808" s="380" t="str">
        <f>IFERROR(__xludf.DUMMYFUNCTION("""COMPUTED_VALUE"""),"70007250")</f>
        <v>70007250</v>
      </c>
      <c r="D11808" s="380" t="s">
        <v>767</v>
      </c>
      <c r="E11808" s="380" t="s">
        <v>786</v>
      </c>
      <c r="F11808" s="380" t="s">
        <v>928</v>
      </c>
      <c r="G11808" s="380" t="s">
        <v>1267</v>
      </c>
      <c r="H11808" s="380" t="s">
        <v>771</v>
      </c>
      <c r="I11808" s="380" t="s">
        <v>788</v>
      </c>
      <c r="J11808" s="380" t="s">
        <v>773</v>
      </c>
      <c r="K11808" s="381">
        <v>0.0</v>
      </c>
      <c r="L11808" s="382">
        <v>1.0</v>
      </c>
    </row>
    <row r="11809">
      <c r="A11809" s="380" t="s">
        <v>12683</v>
      </c>
      <c r="B11809" s="380" t="str">
        <f>IFERROR(__xludf.DUMMYFUNCTION("""COMPUTED_VALUE"""),"Kit Embrague Yamaha Dt 175")</f>
        <v>Kit Embrague Yamaha Dt 175</v>
      </c>
      <c r="C11809" s="380" t="str">
        <f>IFERROR(__xludf.DUMMYFUNCTION("""COMPUTED_VALUE"""),"70007251")</f>
        <v>70007251</v>
      </c>
      <c r="D11809" s="380" t="s">
        <v>767</v>
      </c>
      <c r="E11809" s="380" t="s">
        <v>786</v>
      </c>
      <c r="F11809" s="380" t="s">
        <v>787</v>
      </c>
      <c r="G11809" s="380" t="s">
        <v>1267</v>
      </c>
      <c r="H11809" s="380" t="s">
        <v>771</v>
      </c>
      <c r="I11809" s="380" t="s">
        <v>788</v>
      </c>
      <c r="J11809" s="380" t="s">
        <v>773</v>
      </c>
      <c r="K11809" s="381">
        <v>0.0</v>
      </c>
      <c r="L11809" s="382">
        <v>1.0</v>
      </c>
    </row>
    <row r="11810">
      <c r="A11810" s="380" t="s">
        <v>12684</v>
      </c>
      <c r="B11810" s="380" t="str">
        <f>IFERROR(__xludf.DUMMYFUNCTION("""COMPUTED_VALUE"""),"Bocin Eje Rueda Tras KWh Hr 935")</f>
        <v>Bocin Eje Rueda Tras KWh Hr 935</v>
      </c>
      <c r="C11810" s="380" t="str">
        <f>IFERROR(__xludf.DUMMYFUNCTION("""COMPUTED_VALUE"""),"70007252")</f>
        <v>70007252</v>
      </c>
      <c r="D11810" s="380" t="s">
        <v>767</v>
      </c>
      <c r="E11810" s="380" t="s">
        <v>786</v>
      </c>
      <c r="F11810" s="380" t="s">
        <v>1017</v>
      </c>
      <c r="G11810" s="380" t="s">
        <v>1267</v>
      </c>
      <c r="H11810" s="380" t="s">
        <v>771</v>
      </c>
      <c r="I11810" s="380" t="s">
        <v>788</v>
      </c>
      <c r="J11810" s="380" t="s">
        <v>773</v>
      </c>
      <c r="K11810" s="381">
        <v>0.0</v>
      </c>
      <c r="L11810" s="382">
        <v>1.0</v>
      </c>
    </row>
    <row r="11811">
      <c r="A11811" s="380" t="s">
        <v>12685</v>
      </c>
      <c r="B11811" s="380" t="str">
        <f>IFERROR(__xludf.DUMMYFUNCTION("""COMPUTED_VALUE"""),"Piñon 4ta Fijo Caja 14715 KWh 20378")</f>
        <v>Piñon 4ta Fijo Caja 14715 KWh 20378</v>
      </c>
      <c r="C11811" s="380" t="str">
        <f>IFERROR(__xludf.DUMMYFUNCTION("""COMPUTED_VALUE"""),"70007253")</f>
        <v>70007253</v>
      </c>
      <c r="D11811" s="380" t="s">
        <v>767</v>
      </c>
      <c r="E11811" s="380" t="s">
        <v>786</v>
      </c>
      <c r="F11811" s="380" t="s">
        <v>928</v>
      </c>
      <c r="G11811" s="380" t="s">
        <v>1267</v>
      </c>
      <c r="H11811" s="380" t="s">
        <v>771</v>
      </c>
      <c r="I11811" s="380" t="s">
        <v>788</v>
      </c>
      <c r="J11811" s="380" t="s">
        <v>773</v>
      </c>
      <c r="K11811" s="381">
        <v>0.0</v>
      </c>
      <c r="L11811" s="382">
        <v>1.0</v>
      </c>
    </row>
    <row r="11812">
      <c r="A11812" s="380" t="s">
        <v>12686</v>
      </c>
      <c r="B11812" s="380" t="str">
        <f>IFERROR(__xludf.DUMMYFUNCTION("""COMPUTED_VALUE"""),"Piñon 5ta Fijo Caja 14715 SB350 20459")</f>
        <v>Piñon 5ta Fijo Caja 14715 SB350 20459</v>
      </c>
      <c r="C11812" s="380" t="str">
        <f>IFERROR(__xludf.DUMMYFUNCTION("""COMPUTED_VALUE"""),"70007254")</f>
        <v>70007254</v>
      </c>
      <c r="D11812" s="380" t="s">
        <v>767</v>
      </c>
      <c r="E11812" s="380" t="s">
        <v>786</v>
      </c>
      <c r="F11812" s="380" t="s">
        <v>928</v>
      </c>
      <c r="G11812" s="380" t="s">
        <v>1267</v>
      </c>
      <c r="H11812" s="380" t="s">
        <v>771</v>
      </c>
      <c r="I11812" s="380" t="s">
        <v>788</v>
      </c>
      <c r="J11812" s="380" t="s">
        <v>773</v>
      </c>
      <c r="K11812" s="381">
        <v>0.0</v>
      </c>
      <c r="L11812" s="382">
        <v>1.0</v>
      </c>
    </row>
    <row r="11813">
      <c r="A11813" s="380" t="s">
        <v>12687</v>
      </c>
      <c r="B11813" s="380" t="str">
        <f>IFERROR(__xludf.DUMMYFUNCTION("""COMPUTED_VALUE"""),"Juego Cilindro Puerta Nkr III 897095870")</f>
        <v>Juego Cilindro Puerta Nkr III 897095870</v>
      </c>
      <c r="C11813" s="380" t="str">
        <f>IFERROR(__xludf.DUMMYFUNCTION("""COMPUTED_VALUE"""),"70007255")</f>
        <v>70007255</v>
      </c>
      <c r="D11813" s="380" t="s">
        <v>767</v>
      </c>
      <c r="E11813" s="380" t="s">
        <v>786</v>
      </c>
      <c r="F11813" s="380" t="s">
        <v>787</v>
      </c>
      <c r="G11813" s="380" t="s">
        <v>1267</v>
      </c>
      <c r="H11813" s="380" t="s">
        <v>771</v>
      </c>
      <c r="I11813" s="380" t="s">
        <v>788</v>
      </c>
      <c r="J11813" s="380" t="s">
        <v>773</v>
      </c>
      <c r="K11813" s="381">
        <v>0.0</v>
      </c>
      <c r="L11813" s="382">
        <v>1.0</v>
      </c>
    </row>
    <row r="11814">
      <c r="A11814" s="380" t="s">
        <v>12688</v>
      </c>
      <c r="B11814" s="380" t="str">
        <f>IFERROR(__xludf.DUMMYFUNCTION("""COMPUTED_VALUE"""),"ElectroVALV Freno Internatio 288905 C-1")</f>
        <v>ElectroVALV Freno Internatio 288905 C-1</v>
      </c>
      <c r="C11814" s="380" t="str">
        <f>IFERROR(__xludf.DUMMYFUNCTION("""COMPUTED_VALUE"""),"70007256")</f>
        <v>70007256</v>
      </c>
      <c r="D11814" s="380" t="s">
        <v>767</v>
      </c>
      <c r="E11814" s="380" t="s">
        <v>786</v>
      </c>
      <c r="F11814" s="380" t="s">
        <v>998</v>
      </c>
      <c r="G11814" s="380" t="s">
        <v>1267</v>
      </c>
      <c r="H11814" s="380" t="s">
        <v>771</v>
      </c>
      <c r="I11814" s="380" t="s">
        <v>788</v>
      </c>
      <c r="J11814" s="380" t="s">
        <v>773</v>
      </c>
      <c r="K11814" s="381">
        <v>0.0</v>
      </c>
      <c r="L11814" s="382">
        <v>1.0</v>
      </c>
    </row>
    <row r="11815">
      <c r="A11815" s="380" t="s">
        <v>12689</v>
      </c>
      <c r="B11815" s="380" t="str">
        <f>IFERROR(__xludf.DUMMYFUNCTION("""COMPUTED_VALUE"""),"Base Muelle Del Hi 4300 3533236c1")</f>
        <v>Base Muelle Del Hi 4300 3533236c1</v>
      </c>
      <c r="C11815" s="380" t="str">
        <f>IFERROR(__xludf.DUMMYFUNCTION("""COMPUTED_VALUE"""),"70007257")</f>
        <v>70007257</v>
      </c>
      <c r="D11815" s="380" t="s">
        <v>767</v>
      </c>
      <c r="E11815" s="380" t="s">
        <v>786</v>
      </c>
      <c r="F11815" s="380" t="s">
        <v>1039</v>
      </c>
      <c r="G11815" s="380" t="s">
        <v>1267</v>
      </c>
      <c r="H11815" s="380" t="s">
        <v>771</v>
      </c>
      <c r="I11815" s="380" t="s">
        <v>788</v>
      </c>
      <c r="J11815" s="380" t="s">
        <v>773</v>
      </c>
      <c r="K11815" s="381">
        <v>0.0</v>
      </c>
      <c r="L11815" s="382">
        <v>1.0</v>
      </c>
    </row>
    <row r="11816">
      <c r="A11816" s="380" t="s">
        <v>12690</v>
      </c>
      <c r="B11816" s="380" t="str">
        <f>IFERROR(__xludf.DUMMYFUNCTION("""COMPUTED_VALUE"""),"Tope Muelle Del Hi 4300 3534827c1")</f>
        <v>Tope Muelle Del Hi 4300 3534827c1</v>
      </c>
      <c r="C11816" s="380" t="str">
        <f>IFERROR(__xludf.DUMMYFUNCTION("""COMPUTED_VALUE"""),"70007258")</f>
        <v>70007258</v>
      </c>
      <c r="D11816" s="380" t="s">
        <v>767</v>
      </c>
      <c r="E11816" s="380" t="s">
        <v>786</v>
      </c>
      <c r="F11816" s="380" t="s">
        <v>1039</v>
      </c>
      <c r="G11816" s="380" t="s">
        <v>1267</v>
      </c>
      <c r="H11816" s="380" t="s">
        <v>771</v>
      </c>
      <c r="I11816" s="380" t="s">
        <v>788</v>
      </c>
      <c r="J11816" s="380" t="s">
        <v>773</v>
      </c>
      <c r="K11816" s="381">
        <v>11989.0</v>
      </c>
      <c r="L11816" s="382">
        <v>1.0</v>
      </c>
    </row>
    <row r="11817">
      <c r="A11817" s="380" t="s">
        <v>12691</v>
      </c>
      <c r="B11817" s="380" t="str">
        <f>IFERROR(__xludf.DUMMYFUNCTION("""COMPUTED_VALUE"""),"Seguro Puerta Hi4300 3511058c2")</f>
        <v>Seguro Puerta Hi4300 3511058c2</v>
      </c>
      <c r="C11817" s="380" t="str">
        <f>IFERROR(__xludf.DUMMYFUNCTION("""COMPUTED_VALUE"""),"70007259")</f>
        <v>70007259</v>
      </c>
      <c r="D11817" s="380" t="s">
        <v>767</v>
      </c>
      <c r="E11817" s="380" t="s">
        <v>786</v>
      </c>
      <c r="F11817" s="380" t="s">
        <v>792</v>
      </c>
      <c r="G11817" s="380" t="s">
        <v>1267</v>
      </c>
      <c r="H11817" s="380" t="s">
        <v>771</v>
      </c>
      <c r="I11817" s="380" t="s">
        <v>788</v>
      </c>
      <c r="J11817" s="380" t="s">
        <v>773</v>
      </c>
      <c r="K11817" s="381">
        <v>0.0</v>
      </c>
      <c r="L11817" s="382">
        <v>1.0</v>
      </c>
    </row>
    <row r="11818">
      <c r="A11818" s="380" t="s">
        <v>12692</v>
      </c>
      <c r="B11818" s="380" t="str">
        <f>IFERROR(__xludf.DUMMYFUNCTION("""COMPUTED_VALUE"""),"Hoja Resorte Tras 4ta S Carry 4131063710")</f>
        <v>Hoja Resorte Tras 4ta S Carry 4131063710</v>
      </c>
      <c r="C11818" s="380" t="str">
        <f>IFERROR(__xludf.DUMMYFUNCTION("""COMPUTED_VALUE"""),"70007260")</f>
        <v>70007260</v>
      </c>
      <c r="D11818" s="380" t="s">
        <v>767</v>
      </c>
      <c r="E11818" s="380" t="s">
        <v>786</v>
      </c>
      <c r="F11818" s="380" t="s">
        <v>1039</v>
      </c>
      <c r="G11818" s="380" t="s">
        <v>1267</v>
      </c>
      <c r="H11818" s="380" t="s">
        <v>771</v>
      </c>
      <c r="I11818" s="380" t="s">
        <v>788</v>
      </c>
      <c r="J11818" s="380" t="s">
        <v>773</v>
      </c>
      <c r="K11818" s="381">
        <v>0.0</v>
      </c>
      <c r="L11818" s="382">
        <v>1.0</v>
      </c>
    </row>
    <row r="11819">
      <c r="A11819" s="380" t="s">
        <v>12693</v>
      </c>
      <c r="B11819" s="380" t="str">
        <f>IFERROR(__xludf.DUMMYFUNCTION("""COMPUTED_VALUE"""),"Cruceta Mixta Cardan SB 5-281x 5-510x 8""")</f>
        <v>Cruceta Mixta Cardan SB 5-281x 5-510x 8"</v>
      </c>
      <c r="C11819" s="380" t="str">
        <f>IFERROR(__xludf.DUMMYFUNCTION("""COMPUTED_VALUE"""),"70007261")</f>
        <v>70007261</v>
      </c>
      <c r="D11819" s="380" t="s">
        <v>767</v>
      </c>
      <c r="E11819" s="380" t="s">
        <v>786</v>
      </c>
      <c r="F11819" s="380" t="s">
        <v>5683</v>
      </c>
      <c r="G11819" s="380" t="s">
        <v>1267</v>
      </c>
      <c r="H11819" s="380" t="s">
        <v>771</v>
      </c>
      <c r="I11819" s="380" t="s">
        <v>788</v>
      </c>
      <c r="J11819" s="380" t="s">
        <v>773</v>
      </c>
      <c r="K11819" s="381">
        <v>0.0</v>
      </c>
      <c r="L11819" s="382">
        <v>1.0</v>
      </c>
    </row>
    <row r="11820">
      <c r="A11820" s="380" t="s">
        <v>12694</v>
      </c>
      <c r="B11820" s="380" t="str">
        <f>IFERROR(__xludf.DUMMYFUNCTION("""COMPUTED_VALUE"""),"Gancho Capo Hi4300 3544924c1")</f>
        <v>Gancho Capo Hi4300 3544924c1</v>
      </c>
      <c r="C11820" s="380" t="str">
        <f>IFERROR(__xludf.DUMMYFUNCTION("""COMPUTED_VALUE"""),"70007262")</f>
        <v>70007262</v>
      </c>
      <c r="D11820" s="380" t="s">
        <v>767</v>
      </c>
      <c r="E11820" s="380" t="s">
        <v>786</v>
      </c>
      <c r="F11820" s="380" t="s">
        <v>792</v>
      </c>
      <c r="G11820" s="380" t="s">
        <v>1267</v>
      </c>
      <c r="H11820" s="380" t="s">
        <v>771</v>
      </c>
      <c r="I11820" s="380" t="s">
        <v>788</v>
      </c>
      <c r="J11820" s="380" t="s">
        <v>773</v>
      </c>
      <c r="K11820" s="381">
        <v>0.0</v>
      </c>
      <c r="L11820" s="382">
        <v>1.0</v>
      </c>
    </row>
    <row r="11821">
      <c r="A11821" s="380" t="s">
        <v>12695</v>
      </c>
      <c r="B11821" s="380" t="str">
        <f>IFERROR(__xludf.DUMMYFUNCTION("""COMPUTED_VALUE"""),"EMP Lamevidrio Pta Ext Der Np 8978552926")</f>
        <v>EMP Lamevidrio Pta Ext Der Np 8978552926</v>
      </c>
      <c r="C11821" s="380" t="str">
        <f>IFERROR(__xludf.DUMMYFUNCTION("""COMPUTED_VALUE"""),"70007263")</f>
        <v>70007263</v>
      </c>
      <c r="D11821" s="380" t="s">
        <v>767</v>
      </c>
      <c r="E11821" s="380" t="s">
        <v>786</v>
      </c>
      <c r="F11821" s="380" t="s">
        <v>792</v>
      </c>
      <c r="G11821" s="380" t="s">
        <v>1267</v>
      </c>
      <c r="H11821" s="380" t="s">
        <v>771</v>
      </c>
      <c r="I11821" s="380" t="s">
        <v>788</v>
      </c>
      <c r="J11821" s="380" t="s">
        <v>773</v>
      </c>
      <c r="K11821" s="381">
        <v>0.0</v>
      </c>
      <c r="L11821" s="382">
        <v>1.0</v>
      </c>
    </row>
    <row r="11822">
      <c r="A11822" s="380" t="s">
        <v>12696</v>
      </c>
      <c r="B11822" s="380" t="str">
        <f>IFERROR(__xludf.DUMMYFUNCTION("""COMPUTED_VALUE"""),"Balinera Piñon Loco Nkr Jgox2 8972189471")</f>
        <v>Balinera Piñon Loco Nkr Jgox2 8972189471</v>
      </c>
      <c r="C11822" s="380" t="str">
        <f>IFERROR(__xludf.DUMMYFUNCTION("""COMPUTED_VALUE"""),"70007264")</f>
        <v>70007264</v>
      </c>
      <c r="D11822" s="380" t="s">
        <v>767</v>
      </c>
      <c r="E11822" s="380" t="s">
        <v>786</v>
      </c>
      <c r="F11822" s="380" t="s">
        <v>787</v>
      </c>
      <c r="G11822" s="380" t="s">
        <v>1267</v>
      </c>
      <c r="H11822" s="380" t="s">
        <v>771</v>
      </c>
      <c r="I11822" s="380" t="s">
        <v>788</v>
      </c>
      <c r="J11822" s="380" t="s">
        <v>773</v>
      </c>
      <c r="K11822" s="381">
        <v>0.0</v>
      </c>
      <c r="L11822" s="382">
        <v>1.0</v>
      </c>
    </row>
    <row r="11823">
      <c r="A11823" s="380" t="s">
        <v>12697</v>
      </c>
      <c r="B11823" s="380" t="str">
        <f>IFERROR(__xludf.DUMMYFUNCTION("""COMPUTED_VALUE"""),"Tubo Inyector Aceite Dist Piñ 8971607060")</f>
        <v>Tubo Inyector Aceite Dist Piñ 8971607060</v>
      </c>
      <c r="C11823" s="380" t="str">
        <f>IFERROR(__xludf.DUMMYFUNCTION("""COMPUTED_VALUE"""),"70007265")</f>
        <v>70007265</v>
      </c>
      <c r="D11823" s="380" t="s">
        <v>767</v>
      </c>
      <c r="E11823" s="380" t="s">
        <v>786</v>
      </c>
      <c r="F11823" s="380" t="s">
        <v>787</v>
      </c>
      <c r="G11823" s="380" t="s">
        <v>1267</v>
      </c>
      <c r="H11823" s="380" t="s">
        <v>771</v>
      </c>
      <c r="I11823" s="380" t="s">
        <v>788</v>
      </c>
      <c r="J11823" s="380" t="s">
        <v>773</v>
      </c>
      <c r="K11823" s="381">
        <v>0.0</v>
      </c>
      <c r="L11823" s="382">
        <v>1.0</v>
      </c>
    </row>
    <row r="11824">
      <c r="A11824" s="380" t="s">
        <v>12698</v>
      </c>
      <c r="B11824" s="380" t="str">
        <f>IFERROR(__xludf.DUMMYFUNCTION("""COMPUTED_VALUE"""),"Recibidor Gancho Hi 4300 3544925c2")</f>
        <v>Recibidor Gancho Hi 4300 3544925c2</v>
      </c>
      <c r="C11824" s="380" t="str">
        <f>IFERROR(__xludf.DUMMYFUNCTION("""COMPUTED_VALUE"""),"70007266")</f>
        <v>70007266</v>
      </c>
      <c r="D11824" s="380" t="s">
        <v>767</v>
      </c>
      <c r="E11824" s="380" t="s">
        <v>786</v>
      </c>
      <c r="F11824" s="380" t="s">
        <v>792</v>
      </c>
      <c r="G11824" s="380" t="s">
        <v>1267</v>
      </c>
      <c r="H11824" s="380" t="s">
        <v>771</v>
      </c>
      <c r="I11824" s="380" t="s">
        <v>788</v>
      </c>
      <c r="J11824" s="380" t="s">
        <v>773</v>
      </c>
      <c r="K11824" s="381">
        <v>0.0</v>
      </c>
      <c r="L11824" s="382">
        <v>1.0</v>
      </c>
    </row>
    <row r="11825">
      <c r="A11825" s="380" t="s">
        <v>12699</v>
      </c>
      <c r="B11825" s="380" t="str">
        <f>IFERROR(__xludf.DUMMYFUNCTION("""COMPUTED_VALUE"""),"Bomba Aux Clutch Nhr-Nkr 8970479710")</f>
        <v>Bomba Aux Clutch Nhr-Nkr 8970479710</v>
      </c>
      <c r="C11825" s="380" t="str">
        <f>IFERROR(__xludf.DUMMYFUNCTION("""COMPUTED_VALUE"""),"70007267")</f>
        <v>70007267</v>
      </c>
      <c r="D11825" s="380" t="s">
        <v>767</v>
      </c>
      <c r="E11825" s="380" t="s">
        <v>786</v>
      </c>
      <c r="F11825" s="380" t="s">
        <v>5661</v>
      </c>
      <c r="G11825" s="380" t="s">
        <v>1267</v>
      </c>
      <c r="H11825" s="380" t="s">
        <v>771</v>
      </c>
      <c r="I11825" s="380" t="s">
        <v>788</v>
      </c>
      <c r="J11825" s="380" t="s">
        <v>773</v>
      </c>
      <c r="K11825" s="381">
        <v>0.0</v>
      </c>
      <c r="L11825" s="382">
        <v>1.0</v>
      </c>
    </row>
    <row r="11826">
      <c r="A11826" s="380" t="s">
        <v>12700</v>
      </c>
      <c r="B11826" s="380" t="str">
        <f>IFERROR(__xludf.DUMMYFUNCTION("""COMPUTED_VALUE"""),"Turbo Alimentador MOT Garret 8973311850")</f>
        <v>Turbo Alimentador MOT Garret 8973311850</v>
      </c>
      <c r="C11826" s="380" t="str">
        <f>IFERROR(__xludf.DUMMYFUNCTION("""COMPUTED_VALUE"""),"70007268")</f>
        <v>70007268</v>
      </c>
      <c r="D11826" s="380" t="s">
        <v>767</v>
      </c>
      <c r="E11826" s="380" t="s">
        <v>786</v>
      </c>
      <c r="F11826" s="380" t="s">
        <v>787</v>
      </c>
      <c r="G11826" s="380" t="s">
        <v>1267</v>
      </c>
      <c r="H11826" s="380" t="s">
        <v>771</v>
      </c>
      <c r="I11826" s="380" t="s">
        <v>788</v>
      </c>
      <c r="J11826" s="380" t="s">
        <v>773</v>
      </c>
      <c r="K11826" s="381">
        <v>0.0</v>
      </c>
      <c r="L11826" s="382">
        <v>1.0</v>
      </c>
    </row>
    <row r="11827">
      <c r="A11827" s="380" t="s">
        <v>12701</v>
      </c>
      <c r="B11827" s="380" t="str">
        <f>IFERROR(__xludf.DUMMYFUNCTION("""COMPUTED_VALUE"""),"VALV Freno Estacionamiento Vol 2vc607403")</f>
        <v>VALV Freno Estacionamiento Vol 2vc607403</v>
      </c>
      <c r="C11827" s="380" t="str">
        <f>IFERROR(__xludf.DUMMYFUNCTION("""COMPUTED_VALUE"""),"70007269")</f>
        <v>70007269</v>
      </c>
      <c r="D11827" s="380" t="s">
        <v>767</v>
      </c>
      <c r="E11827" s="380" t="s">
        <v>786</v>
      </c>
      <c r="F11827" s="380" t="s">
        <v>1017</v>
      </c>
      <c r="G11827" s="380" t="s">
        <v>1267</v>
      </c>
      <c r="H11827" s="380" t="s">
        <v>771</v>
      </c>
      <c r="I11827" s="380" t="s">
        <v>788</v>
      </c>
      <c r="J11827" s="380" t="s">
        <v>773</v>
      </c>
      <c r="K11827" s="381">
        <v>0.0</v>
      </c>
      <c r="L11827" s="382">
        <v>1.0</v>
      </c>
    </row>
    <row r="11828">
      <c r="A11828" s="380" t="s">
        <v>12702</v>
      </c>
      <c r="B11828" s="380" t="str">
        <f>IFERROR(__xludf.DUMMYFUNCTION("""COMPUTED_VALUE"""),"Broche Sujetador Panel CAB Hi4 3548696c3")</f>
        <v>Broche Sujetador Panel CAB Hi4 3548696c3</v>
      </c>
      <c r="C11828" s="380" t="str">
        <f>IFERROR(__xludf.DUMMYFUNCTION("""COMPUTED_VALUE"""),"70007270")</f>
        <v>70007270</v>
      </c>
      <c r="D11828" s="380" t="s">
        <v>767</v>
      </c>
      <c r="E11828" s="380" t="s">
        <v>786</v>
      </c>
      <c r="F11828" s="380" t="s">
        <v>792</v>
      </c>
      <c r="G11828" s="380" t="s">
        <v>1267</v>
      </c>
      <c r="H11828" s="380" t="s">
        <v>771</v>
      </c>
      <c r="I11828" s="380" t="s">
        <v>788</v>
      </c>
      <c r="J11828" s="380" t="s">
        <v>773</v>
      </c>
      <c r="K11828" s="381">
        <v>0.0</v>
      </c>
      <c r="L11828" s="382">
        <v>1.0</v>
      </c>
    </row>
    <row r="11829">
      <c r="A11829" s="380" t="s">
        <v>12703</v>
      </c>
      <c r="B11829" s="380" t="str">
        <f>IFERROR(__xludf.DUMMYFUNCTION("""COMPUTED_VALUE"""),"Juego Splinder KW800 328347etn")</f>
        <v>Juego Splinder KW800 328347etn</v>
      </c>
      <c r="C11829" s="380" t="str">
        <f>IFERROR(__xludf.DUMMYFUNCTION("""COMPUTED_VALUE"""),"70007271")</f>
        <v>70007271</v>
      </c>
      <c r="D11829" s="380" t="s">
        <v>767</v>
      </c>
      <c r="E11829" s="380" t="s">
        <v>786</v>
      </c>
      <c r="F11829" s="380" t="s">
        <v>1039</v>
      </c>
      <c r="G11829" s="380" t="s">
        <v>1267</v>
      </c>
      <c r="H11829" s="380" t="s">
        <v>771</v>
      </c>
      <c r="I11829" s="380" t="s">
        <v>788</v>
      </c>
      <c r="J11829" s="380" t="s">
        <v>773</v>
      </c>
      <c r="K11829" s="381">
        <v>0.0</v>
      </c>
      <c r="L11829" s="382">
        <v>1.0</v>
      </c>
    </row>
    <row r="11830">
      <c r="A11830" s="380" t="s">
        <v>12704</v>
      </c>
      <c r="B11830" s="380" t="str">
        <f>IFERROR(__xludf.DUMMYFUNCTION("""COMPUTED_VALUE"""),"SOP Bomper Del Der Nhr Isuzu 8970357516")</f>
        <v>SOP Bomper Del Der Nhr Isuzu 8970357516</v>
      </c>
      <c r="C11830" s="380" t="str">
        <f>IFERROR(__xludf.DUMMYFUNCTION("""COMPUTED_VALUE"""),"70007272")</f>
        <v>70007272</v>
      </c>
      <c r="D11830" s="380" t="s">
        <v>767</v>
      </c>
      <c r="E11830" s="380" t="s">
        <v>786</v>
      </c>
      <c r="F11830" s="380" t="s">
        <v>792</v>
      </c>
      <c r="G11830" s="380" t="s">
        <v>1267</v>
      </c>
      <c r="H11830" s="380" t="s">
        <v>771</v>
      </c>
      <c r="I11830" s="380" t="s">
        <v>788</v>
      </c>
      <c r="J11830" s="380" t="s">
        <v>773</v>
      </c>
      <c r="K11830" s="381">
        <v>0.0</v>
      </c>
      <c r="L11830" s="382">
        <v>1.0</v>
      </c>
    </row>
    <row r="11831">
      <c r="A11831" s="380" t="s">
        <v>12705</v>
      </c>
      <c r="B11831" s="380" t="str">
        <f>IFERROR(__xludf.DUMMYFUNCTION("""COMPUTED_VALUE"""),"SOP Bomper Del Izq Nhr Isuzu 8970357526")</f>
        <v>SOP Bomper Del Izq Nhr Isuzu 8970357526</v>
      </c>
      <c r="C11831" s="380" t="str">
        <f>IFERROR(__xludf.DUMMYFUNCTION("""COMPUTED_VALUE"""),"70007273")</f>
        <v>70007273</v>
      </c>
      <c r="D11831" s="380" t="s">
        <v>767</v>
      </c>
      <c r="E11831" s="380" t="s">
        <v>786</v>
      </c>
      <c r="F11831" s="380" t="s">
        <v>792</v>
      </c>
      <c r="G11831" s="380" t="s">
        <v>1267</v>
      </c>
      <c r="H11831" s="380" t="s">
        <v>771</v>
      </c>
      <c r="I11831" s="380" t="s">
        <v>788</v>
      </c>
      <c r="J11831" s="380" t="s">
        <v>773</v>
      </c>
      <c r="K11831" s="381">
        <v>0.0</v>
      </c>
      <c r="L11831" s="382">
        <v>1.0</v>
      </c>
    </row>
    <row r="11832">
      <c r="A11832" s="380" t="s">
        <v>12706</v>
      </c>
      <c r="B11832" s="380" t="str">
        <f>IFERROR(__xludf.DUMMYFUNCTION("""COMPUTED_VALUE"""),"Yoke Del Yoke Delan. Kenworth 1704341 Ix")</f>
        <v>Yoke Del Yoke Delan. Kenworth 1704341 Ix</v>
      </c>
      <c r="C11832" s="380" t="str">
        <f>IFERROR(__xludf.DUMMYFUNCTION("""COMPUTED_VALUE"""),"70007274")</f>
        <v>70007274</v>
      </c>
      <c r="D11832" s="380" t="s">
        <v>767</v>
      </c>
      <c r="E11832" s="380" t="s">
        <v>786</v>
      </c>
      <c r="F11832" s="380" t="s">
        <v>5683</v>
      </c>
      <c r="G11832" s="380" t="s">
        <v>1267</v>
      </c>
      <c r="H11832" s="380" t="s">
        <v>771</v>
      </c>
      <c r="I11832" s="380" t="s">
        <v>788</v>
      </c>
      <c r="J11832" s="380" t="s">
        <v>773</v>
      </c>
      <c r="K11832" s="381">
        <v>0.0</v>
      </c>
      <c r="L11832" s="382">
        <v>1.0</v>
      </c>
    </row>
    <row r="11833">
      <c r="A11833" s="380" t="s">
        <v>12707</v>
      </c>
      <c r="B11833" s="380" t="str">
        <f>IFERROR(__xludf.DUMMYFUNCTION("""COMPUTED_VALUE"""),"Terminal Mando CJ Volskwagen Ap2rp71155")</f>
        <v>Terminal Mando CJ Volskwagen Ap2rp71155</v>
      </c>
      <c r="C11833" s="380" t="str">
        <f>IFERROR(__xludf.DUMMYFUNCTION("""COMPUTED_VALUE"""),"70007275")</f>
        <v>70007275</v>
      </c>
      <c r="D11833" s="380" t="s">
        <v>767</v>
      </c>
      <c r="E11833" s="380" t="s">
        <v>786</v>
      </c>
      <c r="F11833" s="380" t="s">
        <v>928</v>
      </c>
      <c r="G11833" s="380" t="s">
        <v>1267</v>
      </c>
      <c r="H11833" s="380" t="s">
        <v>771</v>
      </c>
      <c r="I11833" s="380" t="s">
        <v>788</v>
      </c>
      <c r="J11833" s="380" t="s">
        <v>773</v>
      </c>
      <c r="K11833" s="381">
        <v>0.0</v>
      </c>
      <c r="L11833" s="382">
        <v>1.0</v>
      </c>
    </row>
    <row r="11834">
      <c r="A11834" s="380" t="s">
        <v>12708</v>
      </c>
      <c r="B11834" s="380" t="str">
        <f>IFERROR(__xludf.DUMMYFUNCTION("""COMPUTED_VALUE"""),"Tapa TANQ COMB Freigthliner R033446700")</f>
        <v>Tapa TANQ COMB Freigthliner R033446700</v>
      </c>
      <c r="C11834" s="380" t="str">
        <f>IFERROR(__xludf.DUMMYFUNCTION("""COMPUTED_VALUE"""),"70007276")</f>
        <v>70007276</v>
      </c>
      <c r="D11834" s="380" t="s">
        <v>767</v>
      </c>
      <c r="E11834" s="380" t="s">
        <v>786</v>
      </c>
      <c r="F11834" s="380" t="s">
        <v>792</v>
      </c>
      <c r="G11834" s="380" t="s">
        <v>1267</v>
      </c>
      <c r="H11834" s="380" t="s">
        <v>771</v>
      </c>
      <c r="I11834" s="380" t="s">
        <v>788</v>
      </c>
      <c r="J11834" s="380" t="s">
        <v>773</v>
      </c>
      <c r="K11834" s="381">
        <v>0.0</v>
      </c>
      <c r="L11834" s="382">
        <v>1.0</v>
      </c>
    </row>
    <row r="11835">
      <c r="A11835" s="380" t="s">
        <v>12709</v>
      </c>
      <c r="B11835" s="380" t="str">
        <f>IFERROR(__xludf.DUMMYFUNCTION("""COMPUTED_VALUE"""),"Kin Ping De Plato Con Tornillo Pr1012-01")</f>
        <v>Kin Ping De Plato Con Tornillo Pr1012-01</v>
      </c>
      <c r="C11835" s="380" t="str">
        <f>IFERROR(__xludf.DUMMYFUNCTION("""COMPUTED_VALUE"""),"70007277")</f>
        <v>70007277</v>
      </c>
      <c r="D11835" s="380" t="s">
        <v>767</v>
      </c>
      <c r="E11835" s="380" t="s">
        <v>786</v>
      </c>
      <c r="F11835" s="380" t="s">
        <v>792</v>
      </c>
      <c r="G11835" s="380" t="s">
        <v>1267</v>
      </c>
      <c r="H11835" s="380" t="s">
        <v>771</v>
      </c>
      <c r="I11835" s="380" t="s">
        <v>788</v>
      </c>
      <c r="J11835" s="380" t="s">
        <v>773</v>
      </c>
      <c r="K11835" s="381">
        <v>0.0</v>
      </c>
      <c r="L11835" s="382">
        <v>1.0</v>
      </c>
    </row>
    <row r="11836">
      <c r="A11836" s="380" t="s">
        <v>12710</v>
      </c>
      <c r="B11836" s="380" t="str">
        <f>IFERROR(__xludf.DUMMYFUNCTION("""COMPUTED_VALUE"""),"Trapecio Brazo Limpiabrisas KWh K339-861")</f>
        <v>Trapecio Brazo Limpiabrisas KWh K339-861</v>
      </c>
      <c r="C11836" s="380" t="str">
        <f>IFERROR(__xludf.DUMMYFUNCTION("""COMPUTED_VALUE"""),"70007278")</f>
        <v>70007278</v>
      </c>
      <c r="D11836" s="380" t="s">
        <v>767</v>
      </c>
      <c r="E11836" s="380" t="s">
        <v>786</v>
      </c>
      <c r="F11836" s="380" t="s">
        <v>792</v>
      </c>
      <c r="G11836" s="380" t="s">
        <v>1267</v>
      </c>
      <c r="H11836" s="380" t="s">
        <v>771</v>
      </c>
      <c r="I11836" s="380" t="s">
        <v>788</v>
      </c>
      <c r="J11836" s="380" t="s">
        <v>773</v>
      </c>
      <c r="K11836" s="381">
        <v>0.0</v>
      </c>
      <c r="L11836" s="382">
        <v>1.0</v>
      </c>
    </row>
    <row r="11837">
      <c r="A11837" s="380" t="s">
        <v>12711</v>
      </c>
      <c r="B11837" s="380" t="str">
        <f>IFERROR(__xludf.DUMMYFUNCTION("""COMPUTED_VALUE"""),"Kit Valvula Divisor KWh Fulk3331")</f>
        <v>Kit Valvula Divisor KWh Fulk3331</v>
      </c>
      <c r="C11837" s="380" t="str">
        <f>IFERROR(__xludf.DUMMYFUNCTION("""COMPUTED_VALUE"""),"70007279")</f>
        <v>70007279</v>
      </c>
      <c r="D11837" s="380" t="s">
        <v>767</v>
      </c>
      <c r="E11837" s="380" t="s">
        <v>786</v>
      </c>
      <c r="F11837" s="380" t="s">
        <v>928</v>
      </c>
      <c r="G11837" s="380" t="s">
        <v>1267</v>
      </c>
      <c r="H11837" s="380" t="s">
        <v>771</v>
      </c>
      <c r="I11837" s="380" t="s">
        <v>788</v>
      </c>
      <c r="J11837" s="380" t="s">
        <v>773</v>
      </c>
      <c r="K11837" s="381">
        <v>0.0</v>
      </c>
      <c r="L11837" s="382">
        <v>1.0</v>
      </c>
    </row>
    <row r="11838">
      <c r="A11838" s="380" t="s">
        <v>12712</v>
      </c>
      <c r="B11838" s="380" t="str">
        <f>IFERROR(__xludf.DUMMYFUNCTION("""COMPUTED_VALUE"""),"Caja Guantera Panel Nkr 8978531505")</f>
        <v>Caja Guantera Panel Nkr 8978531505</v>
      </c>
      <c r="C11838" s="380" t="str">
        <f>IFERROR(__xludf.DUMMYFUNCTION("""COMPUTED_VALUE"""),"70007280")</f>
        <v>70007280</v>
      </c>
      <c r="D11838" s="380" t="s">
        <v>767</v>
      </c>
      <c r="E11838" s="380" t="s">
        <v>786</v>
      </c>
      <c r="F11838" s="380" t="s">
        <v>792</v>
      </c>
      <c r="G11838" s="380" t="s">
        <v>1267</v>
      </c>
      <c r="H11838" s="380" t="s">
        <v>771</v>
      </c>
      <c r="I11838" s="380" t="s">
        <v>788</v>
      </c>
      <c r="J11838" s="380" t="s">
        <v>773</v>
      </c>
      <c r="K11838" s="381">
        <v>0.0</v>
      </c>
      <c r="L11838" s="382">
        <v>1.0</v>
      </c>
    </row>
    <row r="11839">
      <c r="A11839" s="380" t="s">
        <v>12713</v>
      </c>
      <c r="B11839" s="380" t="str">
        <f>IFERROR(__xludf.DUMMYFUNCTION("""COMPUTED_VALUE"""),"RET Divisor Tras Del EGL A1120 1205p2590")</f>
        <v>RET Divisor Tras Del EGL A1120 1205p2590</v>
      </c>
      <c r="C11839" s="380" t="str">
        <f>IFERROR(__xludf.DUMMYFUNCTION("""COMPUTED_VALUE"""),"70007281")</f>
        <v>70007281</v>
      </c>
      <c r="D11839" s="380" t="s">
        <v>767</v>
      </c>
      <c r="E11839" s="380" t="s">
        <v>786</v>
      </c>
      <c r="F11839" s="380" t="s">
        <v>5683</v>
      </c>
      <c r="G11839" s="380" t="s">
        <v>1267</v>
      </c>
      <c r="H11839" s="380" t="s">
        <v>771</v>
      </c>
      <c r="I11839" s="380" t="s">
        <v>788</v>
      </c>
      <c r="J11839" s="380" t="s">
        <v>773</v>
      </c>
      <c r="K11839" s="381">
        <v>0.0</v>
      </c>
      <c r="L11839" s="382">
        <v>1.0</v>
      </c>
    </row>
    <row r="11840">
      <c r="A11840" s="380" t="s">
        <v>12714</v>
      </c>
      <c r="B11840" s="380" t="str">
        <f>IFERROR(__xludf.DUMMYFUNCTION("""COMPUTED_VALUE"""),"EMPtadura VALV Selectora SB N14 K1935")</f>
        <v>EMPtadura VALV Selectora SB N14 K1935</v>
      </c>
      <c r="C11840" s="380" t="str">
        <f>IFERROR(__xludf.DUMMYFUNCTION("""COMPUTED_VALUE"""),"70007282")</f>
        <v>70007282</v>
      </c>
      <c r="D11840" s="380" t="s">
        <v>767</v>
      </c>
      <c r="E11840" s="380" t="s">
        <v>786</v>
      </c>
      <c r="F11840" s="380" t="s">
        <v>928</v>
      </c>
      <c r="G11840" s="380" t="s">
        <v>1267</v>
      </c>
      <c r="H11840" s="380" t="s">
        <v>771</v>
      </c>
      <c r="I11840" s="380" t="s">
        <v>788</v>
      </c>
      <c r="J11840" s="380" t="s">
        <v>773</v>
      </c>
      <c r="K11840" s="381">
        <v>0.0</v>
      </c>
      <c r="L11840" s="382">
        <v>1.0</v>
      </c>
    </row>
    <row r="11841">
      <c r="A11841" s="380" t="s">
        <v>12715</v>
      </c>
      <c r="B11841" s="380" t="str">
        <f>IFERROR(__xludf.DUMMYFUNCTION("""COMPUTED_VALUE"""),"Vidrio Puerta Izquierda Nkrii")</f>
        <v>Vidrio Puerta Izquierda Nkrii</v>
      </c>
      <c r="C11841" s="380" t="str">
        <f>IFERROR(__xludf.DUMMYFUNCTION("""COMPUTED_VALUE"""),"70007283")</f>
        <v>70007283</v>
      </c>
      <c r="D11841" s="380" t="s">
        <v>767</v>
      </c>
      <c r="E11841" s="380" t="s">
        <v>786</v>
      </c>
      <c r="F11841" s="380" t="s">
        <v>792</v>
      </c>
      <c r="G11841" s="380" t="s">
        <v>1267</v>
      </c>
      <c r="H11841" s="380" t="s">
        <v>771</v>
      </c>
      <c r="I11841" s="380" t="s">
        <v>788</v>
      </c>
      <c r="J11841" s="380" t="s">
        <v>773</v>
      </c>
      <c r="K11841" s="381">
        <v>0.0</v>
      </c>
      <c r="L11841" s="382">
        <v>1.0</v>
      </c>
    </row>
    <row r="11842">
      <c r="A11842" s="380" t="s">
        <v>12716</v>
      </c>
      <c r="B11842" s="380" t="str">
        <f>IFERROR(__xludf.DUMMYFUNCTION("""COMPUTED_VALUE"""),"Brazo Plumilla Izq Hi4300 3535049c2")</f>
        <v>Brazo Plumilla Izq Hi4300 3535049c2</v>
      </c>
      <c r="C11842" s="380" t="str">
        <f>IFERROR(__xludf.DUMMYFUNCTION("""COMPUTED_VALUE"""),"70007284")</f>
        <v>70007284</v>
      </c>
      <c r="D11842" s="380" t="s">
        <v>767</v>
      </c>
      <c r="E11842" s="380" t="s">
        <v>786</v>
      </c>
      <c r="F11842" s="380" t="s">
        <v>792</v>
      </c>
      <c r="G11842" s="380" t="s">
        <v>1267</v>
      </c>
      <c r="H11842" s="380" t="s">
        <v>771</v>
      </c>
      <c r="I11842" s="380" t="s">
        <v>788</v>
      </c>
      <c r="J11842" s="380" t="s">
        <v>773</v>
      </c>
      <c r="K11842" s="381">
        <v>0.0</v>
      </c>
      <c r="L11842" s="382">
        <v>1.0</v>
      </c>
    </row>
    <row r="11843">
      <c r="A11843" s="380" t="s">
        <v>12717</v>
      </c>
      <c r="B11843" s="380" t="str">
        <f>IFERROR(__xludf.DUMMYFUNCTION("""COMPUTED_VALUE"""),"Brazo Plumilla Der Hi4300 3535050c3")</f>
        <v>Brazo Plumilla Der Hi4300 3535050c3</v>
      </c>
      <c r="C11843" s="380" t="str">
        <f>IFERROR(__xludf.DUMMYFUNCTION("""COMPUTED_VALUE"""),"70007285")</f>
        <v>70007285</v>
      </c>
      <c r="D11843" s="380" t="s">
        <v>767</v>
      </c>
      <c r="E11843" s="380" t="s">
        <v>786</v>
      </c>
      <c r="F11843" s="380" t="s">
        <v>792</v>
      </c>
      <c r="G11843" s="380" t="s">
        <v>1267</v>
      </c>
      <c r="H11843" s="380" t="s">
        <v>771</v>
      </c>
      <c r="I11843" s="380" t="s">
        <v>788</v>
      </c>
      <c r="J11843" s="380" t="s">
        <v>773</v>
      </c>
      <c r="K11843" s="381">
        <v>0.0</v>
      </c>
      <c r="L11843" s="382">
        <v>1.0</v>
      </c>
    </row>
    <row r="11844">
      <c r="A11844" s="380" t="s">
        <v>12718</v>
      </c>
      <c r="B11844" s="380" t="str">
        <f>IFERROR(__xludf.DUMMYFUNCTION("""COMPUTED_VALUE"""),"Panel Techo Cabina Hi4300 2506061c91")</f>
        <v>Panel Techo Cabina Hi4300 2506061c91</v>
      </c>
      <c r="C11844" s="380" t="str">
        <f>IFERROR(__xludf.DUMMYFUNCTION("""COMPUTED_VALUE"""),"70007286")</f>
        <v>70007286</v>
      </c>
      <c r="D11844" s="380" t="s">
        <v>767</v>
      </c>
      <c r="E11844" s="380" t="s">
        <v>786</v>
      </c>
      <c r="F11844" s="380" t="s">
        <v>792</v>
      </c>
      <c r="G11844" s="380" t="s">
        <v>1267</v>
      </c>
      <c r="H11844" s="380" t="s">
        <v>771</v>
      </c>
      <c r="I11844" s="380" t="s">
        <v>788</v>
      </c>
      <c r="J11844" s="380" t="s">
        <v>773</v>
      </c>
      <c r="K11844" s="381">
        <v>0.0</v>
      </c>
      <c r="L11844" s="382">
        <v>1.0</v>
      </c>
    </row>
    <row r="11845">
      <c r="A11845" s="380" t="s">
        <v>12719</v>
      </c>
      <c r="B11845" s="380" t="str">
        <f>IFERROR(__xludf.DUMMYFUNCTION("""COMPUTED_VALUE"""),"Zapa Del Tras Hi 4300 3527264c91")</f>
        <v>Zapa Del Tras Hi 4300 3527264c91</v>
      </c>
      <c r="C11845" s="380" t="str">
        <f>IFERROR(__xludf.DUMMYFUNCTION("""COMPUTED_VALUE"""),"70007287")</f>
        <v>70007287</v>
      </c>
      <c r="D11845" s="380" t="s">
        <v>767</v>
      </c>
      <c r="E11845" s="380" t="s">
        <v>786</v>
      </c>
      <c r="F11845" s="380" t="s">
        <v>1039</v>
      </c>
      <c r="G11845" s="380" t="s">
        <v>1267</v>
      </c>
      <c r="H11845" s="380" t="s">
        <v>771</v>
      </c>
      <c r="I11845" s="380" t="s">
        <v>788</v>
      </c>
      <c r="J11845" s="380" t="s">
        <v>773</v>
      </c>
      <c r="K11845" s="381">
        <v>0.0</v>
      </c>
      <c r="L11845" s="382">
        <v>1.0</v>
      </c>
    </row>
    <row r="11846">
      <c r="A11846" s="380" t="s">
        <v>12720</v>
      </c>
      <c r="B11846" s="380" t="str">
        <f>IFERROR(__xludf.DUMMYFUNCTION("""COMPUTED_VALUE"""),"Correa VENT Nhr Ref 897315153 8971415140")</f>
        <v>Correa VENT Nhr Ref 897315153 8971415140</v>
      </c>
      <c r="C11846" s="380" t="str">
        <f>IFERROR(__xludf.DUMMYFUNCTION("""COMPUTED_VALUE"""),"70007288")</f>
        <v>70007288</v>
      </c>
      <c r="D11846" s="380" t="s">
        <v>767</v>
      </c>
      <c r="E11846" s="380" t="s">
        <v>786</v>
      </c>
      <c r="F11846" s="380" t="s">
        <v>787</v>
      </c>
      <c r="G11846" s="380" t="s">
        <v>1267</v>
      </c>
      <c r="H11846" s="380" t="s">
        <v>771</v>
      </c>
      <c r="I11846" s="380" t="s">
        <v>788</v>
      </c>
      <c r="J11846" s="380" t="s">
        <v>773</v>
      </c>
      <c r="K11846" s="381">
        <v>0.0</v>
      </c>
      <c r="L11846" s="382">
        <v>1.0</v>
      </c>
    </row>
    <row r="11847">
      <c r="A11847" s="380" t="s">
        <v>12721</v>
      </c>
      <c r="B11847" s="380" t="str">
        <f>IFERROR(__xludf.DUMMYFUNCTION("""COMPUTED_VALUE"""),"Kit Amortiguador Tras Npr 95622276")</f>
        <v>Kit Amortiguador Tras Npr 95622276</v>
      </c>
      <c r="C11847" s="380" t="str">
        <f>IFERROR(__xludf.DUMMYFUNCTION("""COMPUTED_VALUE"""),"70007289")</f>
        <v>70007289</v>
      </c>
      <c r="D11847" s="380" t="s">
        <v>767</v>
      </c>
      <c r="E11847" s="380" t="s">
        <v>786</v>
      </c>
      <c r="F11847" s="380" t="s">
        <v>1039</v>
      </c>
      <c r="G11847" s="380" t="s">
        <v>1267</v>
      </c>
      <c r="H11847" s="380" t="s">
        <v>771</v>
      </c>
      <c r="I11847" s="380" t="s">
        <v>788</v>
      </c>
      <c r="J11847" s="380" t="s">
        <v>773</v>
      </c>
      <c r="K11847" s="381">
        <v>0.0</v>
      </c>
      <c r="L11847" s="382">
        <v>1.0</v>
      </c>
    </row>
    <row r="11848">
      <c r="A11848" s="380" t="s">
        <v>12722</v>
      </c>
      <c r="B11848" s="380" t="str">
        <f>IFERROR(__xludf.DUMMYFUNCTION("""COMPUTED_VALUE"""),"Tapa CJ Bateria EGL 3578369C2 2001527c94")</f>
        <v>Tapa CJ Bateria EGL 3578369C2 2001527c94</v>
      </c>
      <c r="C11848" s="380" t="str">
        <f>IFERROR(__xludf.DUMMYFUNCTION("""COMPUTED_VALUE"""),"70007290")</f>
        <v>70007290</v>
      </c>
      <c r="D11848" s="380" t="s">
        <v>767</v>
      </c>
      <c r="E11848" s="380" t="s">
        <v>786</v>
      </c>
      <c r="F11848" s="380" t="s">
        <v>792</v>
      </c>
      <c r="G11848" s="380" t="s">
        <v>1267</v>
      </c>
      <c r="H11848" s="380" t="s">
        <v>771</v>
      </c>
      <c r="I11848" s="380" t="s">
        <v>788</v>
      </c>
      <c r="J11848" s="380" t="s">
        <v>773</v>
      </c>
      <c r="K11848" s="381">
        <v>0.0</v>
      </c>
      <c r="L11848" s="382">
        <v>1.0</v>
      </c>
    </row>
    <row r="11849">
      <c r="A11849" s="380" t="s">
        <v>12723</v>
      </c>
      <c r="B11849" s="380" t="str">
        <f>IFERROR(__xludf.DUMMYFUNCTION("""COMPUTED_VALUE"""),"FILT Separ Combu Frei Fleetguard Fs19593")</f>
        <v>FILT Separ Combu Frei Fleetguard Fs19593</v>
      </c>
      <c r="C11849" s="380" t="str">
        <f>IFERROR(__xludf.DUMMYFUNCTION("""COMPUTED_VALUE"""),"70007291")</f>
        <v>70007291</v>
      </c>
      <c r="D11849" s="380" t="s">
        <v>767</v>
      </c>
      <c r="E11849" s="380" t="s">
        <v>786</v>
      </c>
      <c r="F11849" s="380" t="s">
        <v>5855</v>
      </c>
      <c r="G11849" s="380" t="s">
        <v>1267</v>
      </c>
      <c r="H11849" s="380" t="s">
        <v>771</v>
      </c>
      <c r="I11849" s="380" t="s">
        <v>788</v>
      </c>
      <c r="J11849" s="380" t="s">
        <v>773</v>
      </c>
      <c r="K11849" s="381">
        <v>0.0</v>
      </c>
      <c r="L11849" s="382">
        <v>1.0</v>
      </c>
    </row>
    <row r="11850">
      <c r="A11850" s="380" t="s">
        <v>12724</v>
      </c>
      <c r="B11850" s="380" t="str">
        <f>IFERROR(__xludf.DUMMYFUNCTION("""COMPUTED_VALUE"""),"EMP Base Lateral Turbo Npr 8971466830")</f>
        <v>EMP Base Lateral Turbo Npr 8971466830</v>
      </c>
      <c r="C11850" s="380" t="str">
        <f>IFERROR(__xludf.DUMMYFUNCTION("""COMPUTED_VALUE"""),"70007292")</f>
        <v>70007292</v>
      </c>
      <c r="D11850" s="380" t="s">
        <v>767</v>
      </c>
      <c r="E11850" s="380" t="s">
        <v>786</v>
      </c>
      <c r="F11850" s="380" t="s">
        <v>787</v>
      </c>
      <c r="G11850" s="380" t="s">
        <v>1267</v>
      </c>
      <c r="H11850" s="380" t="s">
        <v>771</v>
      </c>
      <c r="I11850" s="380" t="s">
        <v>788</v>
      </c>
      <c r="J11850" s="380" t="s">
        <v>773</v>
      </c>
      <c r="K11850" s="381">
        <v>0.0</v>
      </c>
      <c r="L11850" s="382">
        <v>1.0</v>
      </c>
    </row>
    <row r="11851">
      <c r="A11851" s="380" t="s">
        <v>12725</v>
      </c>
      <c r="B11851" s="380" t="str">
        <f>IFERROR(__xludf.DUMMYFUNCTION("""COMPUTED_VALUE"""),"Correa Ventilador Nhr 22405")</f>
        <v>Correa Ventilador Nhr 22405</v>
      </c>
      <c r="C11851" s="380" t="str">
        <f>IFERROR(__xludf.DUMMYFUNCTION("""COMPUTED_VALUE"""),"70007293")</f>
        <v>70007293</v>
      </c>
      <c r="D11851" s="380" t="s">
        <v>767</v>
      </c>
      <c r="E11851" s="380" t="s">
        <v>786</v>
      </c>
      <c r="F11851" s="380" t="s">
        <v>787</v>
      </c>
      <c r="G11851" s="380" t="s">
        <v>1267</v>
      </c>
      <c r="H11851" s="380" t="s">
        <v>771</v>
      </c>
      <c r="I11851" s="380" t="s">
        <v>788</v>
      </c>
      <c r="J11851" s="380" t="s">
        <v>773</v>
      </c>
      <c r="K11851" s="381">
        <v>0.0</v>
      </c>
      <c r="L11851" s="382">
        <v>1.0</v>
      </c>
    </row>
    <row r="11852">
      <c r="A11852" s="380" t="s">
        <v>12726</v>
      </c>
      <c r="B11852" s="380" t="str">
        <f>IFERROR(__xludf.DUMMYFUNCTION("""COMPUTED_VALUE"""),"Juego Splinder Nkr Ii 5878316082")</f>
        <v>Juego Splinder Nkr Ii 5878316082</v>
      </c>
      <c r="C11852" s="380" t="str">
        <f>IFERROR(__xludf.DUMMYFUNCTION("""COMPUTED_VALUE"""),"70007294")</f>
        <v>70007294</v>
      </c>
      <c r="D11852" s="380" t="s">
        <v>767</v>
      </c>
      <c r="E11852" s="380" t="s">
        <v>786</v>
      </c>
      <c r="F11852" s="380" t="s">
        <v>1039</v>
      </c>
      <c r="G11852" s="380" t="s">
        <v>1267</v>
      </c>
      <c r="H11852" s="380" t="s">
        <v>771</v>
      </c>
      <c r="I11852" s="380" t="s">
        <v>788</v>
      </c>
      <c r="J11852" s="380" t="s">
        <v>773</v>
      </c>
      <c r="K11852" s="381">
        <v>0.0</v>
      </c>
      <c r="L11852" s="382">
        <v>1.0</v>
      </c>
    </row>
    <row r="11853">
      <c r="A11853" s="380" t="s">
        <v>12727</v>
      </c>
      <c r="B11853" s="380" t="str">
        <f>IFERROR(__xludf.DUMMYFUNCTION("""COMPUTED_VALUE"""),"Manija Ext Puerta Izq Npr 8978677221")</f>
        <v>Manija Ext Puerta Izq Npr 8978677221</v>
      </c>
      <c r="C11853" s="380" t="str">
        <f>IFERROR(__xludf.DUMMYFUNCTION("""COMPUTED_VALUE"""),"70007295")</f>
        <v>70007295</v>
      </c>
      <c r="D11853" s="380" t="s">
        <v>767</v>
      </c>
      <c r="E11853" s="380" t="s">
        <v>786</v>
      </c>
      <c r="F11853" s="380" t="s">
        <v>792</v>
      </c>
      <c r="G11853" s="380" t="s">
        <v>1267</v>
      </c>
      <c r="H11853" s="380" t="s">
        <v>771</v>
      </c>
      <c r="I11853" s="380" t="s">
        <v>788</v>
      </c>
      <c r="J11853" s="380" t="s">
        <v>773</v>
      </c>
      <c r="K11853" s="381">
        <v>0.0</v>
      </c>
      <c r="L11853" s="382">
        <v>1.0</v>
      </c>
    </row>
    <row r="11854">
      <c r="A11854" s="380" t="s">
        <v>12728</v>
      </c>
      <c r="B11854" s="380" t="str">
        <f>IFERROR(__xludf.DUMMYFUNCTION("""COMPUTED_VALUE"""),"Hoja Resort Tras KW-Eagle 0759007/7")</f>
        <v>Hoja Resort Tras KW-Eagle 0759007/7</v>
      </c>
      <c r="C11854" s="380" t="str">
        <f>IFERROR(__xludf.DUMMYFUNCTION("""COMPUTED_VALUE"""),"70007296")</f>
        <v>70007296</v>
      </c>
      <c r="D11854" s="380" t="s">
        <v>767</v>
      </c>
      <c r="E11854" s="380" t="s">
        <v>786</v>
      </c>
      <c r="F11854" s="380" t="s">
        <v>1039</v>
      </c>
      <c r="G11854" s="380" t="s">
        <v>1267</v>
      </c>
      <c r="H11854" s="380" t="s">
        <v>771</v>
      </c>
      <c r="I11854" s="380" t="s">
        <v>788</v>
      </c>
      <c r="J11854" s="380" t="s">
        <v>773</v>
      </c>
      <c r="K11854" s="381">
        <v>0.0</v>
      </c>
      <c r="L11854" s="382">
        <v>1.0</v>
      </c>
    </row>
    <row r="11855">
      <c r="A11855" s="380" t="s">
        <v>12729</v>
      </c>
      <c r="B11855" s="380" t="str">
        <f>IFERROR(__xludf.DUMMYFUNCTION("""COMPUTED_VALUE"""),"Hoja Resorte Tras Nkr 22935/2cv")</f>
        <v>Hoja Resorte Tras Nkr 22935/2cv</v>
      </c>
      <c r="C11855" s="380" t="str">
        <f>IFERROR(__xludf.DUMMYFUNCTION("""COMPUTED_VALUE"""),"70007297")</f>
        <v>70007297</v>
      </c>
      <c r="D11855" s="380" t="s">
        <v>767</v>
      </c>
      <c r="E11855" s="380" t="s">
        <v>786</v>
      </c>
      <c r="F11855" s="380" t="s">
        <v>1039</v>
      </c>
      <c r="G11855" s="380" t="s">
        <v>1267</v>
      </c>
      <c r="H11855" s="380" t="s">
        <v>771</v>
      </c>
      <c r="I11855" s="380" t="s">
        <v>788</v>
      </c>
      <c r="J11855" s="380" t="s">
        <v>773</v>
      </c>
      <c r="K11855" s="381">
        <v>0.0</v>
      </c>
      <c r="L11855" s="382">
        <v>1.0</v>
      </c>
    </row>
    <row r="11856">
      <c r="A11856" s="380" t="s">
        <v>12730</v>
      </c>
      <c r="B11856" s="380" t="str">
        <f>IFERROR(__xludf.DUMMYFUNCTION("""COMPUTED_VALUE"""),"Acople Rapido Hembra 91404")</f>
        <v>Acople Rapido Hembra 91404</v>
      </c>
      <c r="C11856" s="380" t="str">
        <f>IFERROR(__xludf.DUMMYFUNCTION("""COMPUTED_VALUE"""),"70007298")</f>
        <v>70007298</v>
      </c>
      <c r="D11856" s="380" t="s">
        <v>767</v>
      </c>
      <c r="E11856" s="380" t="s">
        <v>786</v>
      </c>
      <c r="F11856" s="380" t="s">
        <v>989</v>
      </c>
      <c r="G11856" s="380" t="s">
        <v>1267</v>
      </c>
      <c r="H11856" s="380" t="s">
        <v>771</v>
      </c>
      <c r="I11856" s="380" t="s">
        <v>788</v>
      </c>
      <c r="J11856" s="380" t="s">
        <v>773</v>
      </c>
      <c r="K11856" s="381">
        <v>0.0</v>
      </c>
      <c r="L11856" s="382">
        <v>1.0</v>
      </c>
    </row>
    <row r="11857">
      <c r="A11857" s="380" t="s">
        <v>12731</v>
      </c>
      <c r="B11857" s="380" t="str">
        <f>IFERROR(__xludf.DUMMYFUNCTION("""COMPUTED_VALUE"""),"Cardan Co Cardan Corto Kenwort C-1708239")</f>
        <v>Cardan Co Cardan Corto Kenwort C-1708239</v>
      </c>
      <c r="C11857" s="380" t="str">
        <f>IFERROR(__xludf.DUMMYFUNCTION("""COMPUTED_VALUE"""),"70007299")</f>
        <v>70007299</v>
      </c>
      <c r="D11857" s="380" t="s">
        <v>767</v>
      </c>
      <c r="E11857" s="380" t="s">
        <v>786</v>
      </c>
      <c r="F11857" s="380" t="s">
        <v>5683</v>
      </c>
      <c r="G11857" s="380" t="s">
        <v>1267</v>
      </c>
      <c r="H11857" s="380" t="s">
        <v>771</v>
      </c>
      <c r="I11857" s="380" t="s">
        <v>788</v>
      </c>
      <c r="J11857" s="380" t="s">
        <v>773</v>
      </c>
      <c r="K11857" s="381">
        <v>0.0</v>
      </c>
      <c r="L11857" s="382">
        <v>1.0</v>
      </c>
    </row>
    <row r="11858">
      <c r="A11858" s="380" t="s">
        <v>12732</v>
      </c>
      <c r="B11858" s="380" t="str">
        <f>IFERROR(__xludf.DUMMYFUNCTION("""COMPUTED_VALUE"""),"Terminal Direc Der Nhr Isuzu 8971073482")</f>
        <v>Terminal Direc Der Nhr Isuzu 8971073482</v>
      </c>
      <c r="C11858" s="380" t="str">
        <f>IFERROR(__xludf.DUMMYFUNCTION("""COMPUTED_VALUE"""),"70007300")</f>
        <v>70007300</v>
      </c>
      <c r="D11858" s="380" t="s">
        <v>767</v>
      </c>
      <c r="E11858" s="380" t="s">
        <v>786</v>
      </c>
      <c r="F11858" s="380" t="s">
        <v>1020</v>
      </c>
      <c r="G11858" s="380" t="s">
        <v>1267</v>
      </c>
      <c r="H11858" s="380" t="s">
        <v>771</v>
      </c>
      <c r="I11858" s="380" t="s">
        <v>788</v>
      </c>
      <c r="J11858" s="380" t="s">
        <v>773</v>
      </c>
      <c r="K11858" s="381">
        <v>144955.0</v>
      </c>
      <c r="L11858" s="382">
        <v>1.0</v>
      </c>
    </row>
    <row r="11859">
      <c r="A11859" s="380" t="s">
        <v>12733</v>
      </c>
      <c r="B11859" s="380" t="str">
        <f>IFERROR(__xludf.DUMMYFUNCTION("""COMPUTED_VALUE"""),"Terminal Direc Izq Nhr Isuzu 8971073492")</f>
        <v>Terminal Direc Izq Nhr Isuzu 8971073492</v>
      </c>
      <c r="C11859" s="380" t="str">
        <f>IFERROR(__xludf.DUMMYFUNCTION("""COMPUTED_VALUE"""),"70007301")</f>
        <v>70007301</v>
      </c>
      <c r="D11859" s="380" t="s">
        <v>767</v>
      </c>
      <c r="E11859" s="380" t="s">
        <v>786</v>
      </c>
      <c r="F11859" s="380" t="s">
        <v>1020</v>
      </c>
      <c r="G11859" s="380" t="s">
        <v>1267</v>
      </c>
      <c r="H11859" s="380" t="s">
        <v>771</v>
      </c>
      <c r="I11859" s="380" t="s">
        <v>788</v>
      </c>
      <c r="J11859" s="380" t="s">
        <v>773</v>
      </c>
      <c r="K11859" s="381">
        <v>0.0</v>
      </c>
      <c r="L11859" s="382">
        <v>1.0</v>
      </c>
    </row>
    <row r="11860">
      <c r="A11860" s="380" t="s">
        <v>12734</v>
      </c>
      <c r="B11860" s="380" t="str">
        <f>IFERROR(__xludf.DUMMYFUNCTION("""COMPUTED_VALUE"""),"DEP Agua Limpiabrisas EGL 497961c91")</f>
        <v>DEP Agua Limpiabrisas EGL 497961c91</v>
      </c>
      <c r="C11860" s="380" t="str">
        <f>IFERROR(__xludf.DUMMYFUNCTION("""COMPUTED_VALUE"""),"70007302")</f>
        <v>70007302</v>
      </c>
      <c r="D11860" s="380" t="s">
        <v>767</v>
      </c>
      <c r="E11860" s="380" t="s">
        <v>786</v>
      </c>
      <c r="F11860" s="380" t="s">
        <v>792</v>
      </c>
      <c r="G11860" s="380" t="s">
        <v>1267</v>
      </c>
      <c r="H11860" s="380" t="s">
        <v>771</v>
      </c>
      <c r="I11860" s="380" t="s">
        <v>788</v>
      </c>
      <c r="J11860" s="380" t="s">
        <v>773</v>
      </c>
      <c r="K11860" s="381">
        <v>0.0</v>
      </c>
      <c r="L11860" s="382">
        <v>1.0</v>
      </c>
    </row>
    <row r="11861">
      <c r="A11861" s="380" t="s">
        <v>12735</v>
      </c>
      <c r="B11861" s="380" t="str">
        <f>IFERROR(__xludf.DUMMYFUNCTION("""COMPUTED_VALUE"""),"Guia VALV Culata Nkr II Isuzu 5117210160")</f>
        <v>Guia VALV Culata Nkr II Isuzu 5117210160</v>
      </c>
      <c r="C11861" s="380" t="str">
        <f>IFERROR(__xludf.DUMMYFUNCTION("""COMPUTED_VALUE"""),"70007303")</f>
        <v>70007303</v>
      </c>
      <c r="D11861" s="380" t="s">
        <v>767</v>
      </c>
      <c r="E11861" s="380" t="s">
        <v>786</v>
      </c>
      <c r="F11861" s="380" t="s">
        <v>787</v>
      </c>
      <c r="G11861" s="380" t="s">
        <v>1267</v>
      </c>
      <c r="H11861" s="380" t="s">
        <v>771</v>
      </c>
      <c r="I11861" s="380" t="s">
        <v>788</v>
      </c>
      <c r="J11861" s="380" t="s">
        <v>773</v>
      </c>
      <c r="K11861" s="381">
        <v>0.0</v>
      </c>
      <c r="L11861" s="382">
        <v>1.0</v>
      </c>
    </row>
    <row r="11862">
      <c r="A11862" s="380" t="s">
        <v>12736</v>
      </c>
      <c r="B11862" s="380" t="str">
        <f>IFERROR(__xludf.DUMMYFUNCTION("""COMPUTED_VALUE"""),"VALV Escape Culata Nkr Isuzu 8942478752")</f>
        <v>VALV Escape Culata Nkr Isuzu 8942478752</v>
      </c>
      <c r="C11862" s="380" t="str">
        <f>IFERROR(__xludf.DUMMYFUNCTION("""COMPUTED_VALUE"""),"70007304")</f>
        <v>70007304</v>
      </c>
      <c r="D11862" s="380" t="s">
        <v>767</v>
      </c>
      <c r="E11862" s="380" t="s">
        <v>786</v>
      </c>
      <c r="F11862" s="380" t="s">
        <v>787</v>
      </c>
      <c r="G11862" s="380" t="s">
        <v>1267</v>
      </c>
      <c r="H11862" s="380" t="s">
        <v>771</v>
      </c>
      <c r="I11862" s="380" t="s">
        <v>788</v>
      </c>
      <c r="J11862" s="380" t="s">
        <v>773</v>
      </c>
      <c r="K11862" s="381">
        <v>0.0</v>
      </c>
      <c r="L11862" s="382">
        <v>1.0</v>
      </c>
    </row>
    <row r="11863">
      <c r="A11863" s="380" t="s">
        <v>12737</v>
      </c>
      <c r="B11863" s="380" t="str">
        <f>IFERROR(__xludf.DUMMYFUNCTION("""COMPUTED_VALUE"""),"Balinera Embrague Volkswagen 8 5 3367")</f>
        <v>Balinera Embrague Volkswagen 8 5 3367</v>
      </c>
      <c r="C11863" s="380" t="str">
        <f>IFERROR(__xludf.DUMMYFUNCTION("""COMPUTED_VALUE"""),"70007305")</f>
        <v>70007305</v>
      </c>
      <c r="D11863" s="380" t="s">
        <v>767</v>
      </c>
      <c r="E11863" s="380" t="s">
        <v>786</v>
      </c>
      <c r="F11863" s="380" t="s">
        <v>5661</v>
      </c>
      <c r="G11863" s="380" t="s">
        <v>1267</v>
      </c>
      <c r="H11863" s="380" t="s">
        <v>771</v>
      </c>
      <c r="I11863" s="380" t="s">
        <v>788</v>
      </c>
      <c r="J11863" s="380" t="s">
        <v>773</v>
      </c>
      <c r="K11863" s="381">
        <v>0.0</v>
      </c>
      <c r="L11863" s="382">
        <v>1.0</v>
      </c>
    </row>
    <row r="11864">
      <c r="A11864" s="380" t="s">
        <v>12738</v>
      </c>
      <c r="B11864" s="380" t="str">
        <f>IFERROR(__xludf.DUMMYFUNCTION("""COMPUTED_VALUE"""),"Correa VENT 8pk1855 Internatio 8pk 1855")</f>
        <v>Correa VENT 8pk1855 Internatio 8pk 1855</v>
      </c>
      <c r="C11864" s="380" t="str">
        <f>IFERROR(__xludf.DUMMYFUNCTION("""COMPUTED_VALUE"""),"70007306")</f>
        <v>70007306</v>
      </c>
      <c r="D11864" s="380" t="s">
        <v>767</v>
      </c>
      <c r="E11864" s="380" t="s">
        <v>786</v>
      </c>
      <c r="F11864" s="380" t="s">
        <v>787</v>
      </c>
      <c r="G11864" s="380" t="s">
        <v>1267</v>
      </c>
      <c r="H11864" s="380" t="s">
        <v>771</v>
      </c>
      <c r="I11864" s="380" t="s">
        <v>788</v>
      </c>
      <c r="J11864" s="380" t="s">
        <v>773</v>
      </c>
      <c r="K11864" s="381">
        <v>0.0</v>
      </c>
      <c r="L11864" s="382">
        <v>1.0</v>
      </c>
    </row>
    <row r="11865">
      <c r="A11865" s="380" t="s">
        <v>12739</v>
      </c>
      <c r="B11865" s="380" t="str">
        <f>IFERROR(__xludf.DUMMYFUNCTION("""COMPUTED_VALUE"""),"Termostato Motor Nhr 897367700")</f>
        <v>Termostato Motor Nhr 897367700</v>
      </c>
      <c r="C11865" s="380" t="str">
        <f>IFERROR(__xludf.DUMMYFUNCTION("""COMPUTED_VALUE"""),"70007307")</f>
        <v>70007307</v>
      </c>
      <c r="D11865" s="380" t="s">
        <v>767</v>
      </c>
      <c r="E11865" s="380" t="s">
        <v>786</v>
      </c>
      <c r="F11865" s="380" t="s">
        <v>787</v>
      </c>
      <c r="G11865" s="380" t="s">
        <v>1267</v>
      </c>
      <c r="H11865" s="380" t="s">
        <v>771</v>
      </c>
      <c r="I11865" s="380" t="s">
        <v>788</v>
      </c>
      <c r="J11865" s="380" t="s">
        <v>773</v>
      </c>
      <c r="K11865" s="381">
        <v>0.0</v>
      </c>
      <c r="L11865" s="382">
        <v>1.0</v>
      </c>
    </row>
    <row r="11866">
      <c r="A11866" s="380" t="s">
        <v>12740</v>
      </c>
      <c r="B11866" s="380" t="str">
        <f>IFERROR(__xludf.DUMMYFUNCTION("""COMPUTED_VALUE"""),"Stop Tras Izq Eagle 1661281c91")</f>
        <v>Stop Tras Izq Eagle 1661281c91</v>
      </c>
      <c r="C11866" s="380" t="str">
        <f>IFERROR(__xludf.DUMMYFUNCTION("""COMPUTED_VALUE"""),"70007308")</f>
        <v>70007308</v>
      </c>
      <c r="D11866" s="380" t="s">
        <v>767</v>
      </c>
      <c r="E11866" s="380" t="s">
        <v>786</v>
      </c>
      <c r="F11866" s="380" t="s">
        <v>998</v>
      </c>
      <c r="G11866" s="380" t="s">
        <v>1267</v>
      </c>
      <c r="H11866" s="380" t="s">
        <v>771</v>
      </c>
      <c r="I11866" s="380" t="s">
        <v>788</v>
      </c>
      <c r="J11866" s="380" t="s">
        <v>773</v>
      </c>
      <c r="K11866" s="381">
        <v>0.0</v>
      </c>
      <c r="L11866" s="382">
        <v>1.0</v>
      </c>
    </row>
    <row r="11867">
      <c r="A11867" s="380" t="s">
        <v>12741</v>
      </c>
      <c r="B11867" s="380" t="str">
        <f>IFERROR(__xludf.DUMMYFUNCTION("""COMPUTED_VALUE"""),"Tapa Guantera Npr 8971821900")</f>
        <v>Tapa Guantera Npr 8971821900</v>
      </c>
      <c r="C11867" s="380" t="str">
        <f>IFERROR(__xludf.DUMMYFUNCTION("""COMPUTED_VALUE"""),"70007309")</f>
        <v>70007309</v>
      </c>
      <c r="D11867" s="380" t="s">
        <v>767</v>
      </c>
      <c r="E11867" s="380" t="s">
        <v>786</v>
      </c>
      <c r="F11867" s="380" t="s">
        <v>792</v>
      </c>
      <c r="G11867" s="380" t="s">
        <v>1267</v>
      </c>
      <c r="H11867" s="380" t="s">
        <v>771</v>
      </c>
      <c r="I11867" s="380" t="s">
        <v>788</v>
      </c>
      <c r="J11867" s="380" t="s">
        <v>773</v>
      </c>
      <c r="K11867" s="381">
        <v>0.0</v>
      </c>
      <c r="L11867" s="382">
        <v>1.0</v>
      </c>
    </row>
    <row r="11868">
      <c r="A11868" s="380" t="s">
        <v>12742</v>
      </c>
      <c r="B11868" s="380" t="str">
        <f>IFERROR(__xludf.DUMMYFUNCTION("""COMPUTED_VALUE"""),"CIL Freno Del Trs Izq Nh Nk S 8971793600")</f>
        <v>CIL Freno Del Trs Izq Nh Nk S 8971793600</v>
      </c>
      <c r="C11868" s="380" t="str">
        <f>IFERROR(__xludf.DUMMYFUNCTION("""COMPUTED_VALUE"""),"70007310")</f>
        <v>70007310</v>
      </c>
      <c r="D11868" s="380" t="s">
        <v>767</v>
      </c>
      <c r="E11868" s="380" t="s">
        <v>786</v>
      </c>
      <c r="F11868" s="380" t="s">
        <v>1017</v>
      </c>
      <c r="G11868" s="380" t="s">
        <v>1267</v>
      </c>
      <c r="H11868" s="380" t="s">
        <v>771</v>
      </c>
      <c r="I11868" s="380" t="s">
        <v>788</v>
      </c>
      <c r="J11868" s="380" t="s">
        <v>773</v>
      </c>
      <c r="K11868" s="381">
        <v>0.0</v>
      </c>
      <c r="L11868" s="382">
        <v>1.0</v>
      </c>
    </row>
    <row r="11869">
      <c r="A11869" s="380" t="s">
        <v>12743</v>
      </c>
      <c r="B11869" s="380" t="str">
        <f>IFERROR(__xludf.DUMMYFUNCTION("""COMPUTED_VALUE"""),"Tapa RAD MOT Nkr Conven Isuzu 8971829350")</f>
        <v>Tapa RAD MOT Nkr Conven Isuzu 8971829350</v>
      </c>
      <c r="C11869" s="380" t="str">
        <f>IFERROR(__xludf.DUMMYFUNCTION("""COMPUTED_VALUE"""),"70007311")</f>
        <v>70007311</v>
      </c>
      <c r="D11869" s="380" t="s">
        <v>767</v>
      </c>
      <c r="E11869" s="380" t="s">
        <v>786</v>
      </c>
      <c r="F11869" s="380" t="s">
        <v>787</v>
      </c>
      <c r="G11869" s="380" t="s">
        <v>1267</v>
      </c>
      <c r="H11869" s="380" t="s">
        <v>771</v>
      </c>
      <c r="I11869" s="380" t="s">
        <v>788</v>
      </c>
      <c r="J11869" s="380" t="s">
        <v>773</v>
      </c>
      <c r="K11869" s="381">
        <v>0.0</v>
      </c>
      <c r="L11869" s="382">
        <v>1.0</v>
      </c>
    </row>
    <row r="11870">
      <c r="A11870" s="380" t="s">
        <v>12744</v>
      </c>
      <c r="B11870" s="380" t="str">
        <f>IFERROR(__xludf.DUMMYFUNCTION("""COMPUTED_VALUE"""),"Hoja Resorte Del Npr 22918/2")</f>
        <v>Hoja Resorte Del Npr 22918/2</v>
      </c>
      <c r="C11870" s="380" t="str">
        <f>IFERROR(__xludf.DUMMYFUNCTION("""COMPUTED_VALUE"""),"70007312")</f>
        <v>70007312</v>
      </c>
      <c r="D11870" s="380" t="s">
        <v>767</v>
      </c>
      <c r="E11870" s="380" t="s">
        <v>786</v>
      </c>
      <c r="F11870" s="380" t="s">
        <v>1039</v>
      </c>
      <c r="G11870" s="380" t="s">
        <v>1267</v>
      </c>
      <c r="H11870" s="380" t="s">
        <v>771</v>
      </c>
      <c r="I11870" s="380" t="s">
        <v>788</v>
      </c>
      <c r="J11870" s="380" t="s">
        <v>773</v>
      </c>
      <c r="K11870" s="381">
        <v>0.0</v>
      </c>
      <c r="L11870" s="382">
        <v>1.0</v>
      </c>
    </row>
    <row r="11871">
      <c r="A11871" s="380" t="s">
        <v>12745</v>
      </c>
      <c r="B11871" s="380" t="str">
        <f>IFERROR(__xludf.DUMMYFUNCTION("""COMPUTED_VALUE"""),"Oring Enfriador Aceite Npr 8973841300")</f>
        <v>Oring Enfriador Aceite Npr 8973841300</v>
      </c>
      <c r="C11871" s="380" t="str">
        <f>IFERROR(__xludf.DUMMYFUNCTION("""COMPUTED_VALUE"""),"70007313")</f>
        <v>70007313</v>
      </c>
      <c r="D11871" s="380" t="s">
        <v>767</v>
      </c>
      <c r="E11871" s="380" t="s">
        <v>786</v>
      </c>
      <c r="F11871" s="380" t="s">
        <v>787</v>
      </c>
      <c r="G11871" s="380" t="s">
        <v>1267</v>
      </c>
      <c r="H11871" s="380" t="s">
        <v>771</v>
      </c>
      <c r="I11871" s="380" t="s">
        <v>788</v>
      </c>
      <c r="J11871" s="380" t="s">
        <v>773</v>
      </c>
      <c r="K11871" s="381">
        <v>0.0</v>
      </c>
      <c r="L11871" s="382">
        <v>1.0</v>
      </c>
    </row>
    <row r="11872">
      <c r="A11872" s="380" t="s">
        <v>12746</v>
      </c>
      <c r="B11872" s="380" t="str">
        <f>IFERROR(__xludf.DUMMYFUNCTION("""COMPUTED_VALUE"""),"Oring Enfriador Aceite Npr 8943388781")</f>
        <v>Oring Enfriador Aceite Npr 8943388781</v>
      </c>
      <c r="C11872" s="380" t="str">
        <f>IFERROR(__xludf.DUMMYFUNCTION("""COMPUTED_VALUE"""),"70007314")</f>
        <v>70007314</v>
      </c>
      <c r="D11872" s="380" t="s">
        <v>767</v>
      </c>
      <c r="E11872" s="380" t="s">
        <v>786</v>
      </c>
      <c r="F11872" s="380" t="s">
        <v>787</v>
      </c>
      <c r="G11872" s="380" t="s">
        <v>1267</v>
      </c>
      <c r="H11872" s="380" t="s">
        <v>771</v>
      </c>
      <c r="I11872" s="380" t="s">
        <v>788</v>
      </c>
      <c r="J11872" s="380" t="s">
        <v>773</v>
      </c>
      <c r="K11872" s="381">
        <v>0.0</v>
      </c>
      <c r="L11872" s="382">
        <v>1.0</v>
      </c>
    </row>
    <row r="11873">
      <c r="A11873" s="380" t="s">
        <v>12747</v>
      </c>
      <c r="B11873" s="380" t="str">
        <f>IFERROR(__xludf.DUMMYFUNCTION("""COMPUTED_VALUE"""),"Tapiz Piso Cabina Nhr-Nkr 97070834")</f>
        <v>Tapiz Piso Cabina Nhr-Nkr 97070834</v>
      </c>
      <c r="C11873" s="380" t="str">
        <f>IFERROR(__xludf.DUMMYFUNCTION("""COMPUTED_VALUE"""),"70007315")</f>
        <v>70007315</v>
      </c>
      <c r="D11873" s="380" t="s">
        <v>767</v>
      </c>
      <c r="E11873" s="380" t="s">
        <v>786</v>
      </c>
      <c r="F11873" s="380" t="s">
        <v>792</v>
      </c>
      <c r="G11873" s="380" t="s">
        <v>1267</v>
      </c>
      <c r="H11873" s="380" t="s">
        <v>771</v>
      </c>
      <c r="I11873" s="380" t="s">
        <v>788</v>
      </c>
      <c r="J11873" s="380" t="s">
        <v>773</v>
      </c>
      <c r="K11873" s="381">
        <v>0.0</v>
      </c>
      <c r="L11873" s="382">
        <v>1.0</v>
      </c>
    </row>
    <row r="11874">
      <c r="A11874" s="380" t="s">
        <v>12748</v>
      </c>
      <c r="B11874" s="380" t="str">
        <f>IFERROR(__xludf.DUMMYFUNCTION("""COMPUTED_VALUE"""),"Manguera Enfriador Aceite Nhr 8941744641")</f>
        <v>Manguera Enfriador Aceite Nhr 8941744641</v>
      </c>
      <c r="C11874" s="380" t="str">
        <f>IFERROR(__xludf.DUMMYFUNCTION("""COMPUTED_VALUE"""),"70007316")</f>
        <v>70007316</v>
      </c>
      <c r="D11874" s="380" t="s">
        <v>767</v>
      </c>
      <c r="E11874" s="380" t="s">
        <v>786</v>
      </c>
      <c r="F11874" s="380" t="s">
        <v>787</v>
      </c>
      <c r="G11874" s="380" t="s">
        <v>1267</v>
      </c>
      <c r="H11874" s="380" t="s">
        <v>771</v>
      </c>
      <c r="I11874" s="380" t="s">
        <v>788</v>
      </c>
      <c r="J11874" s="380" t="s">
        <v>773</v>
      </c>
      <c r="K11874" s="381">
        <v>0.0</v>
      </c>
      <c r="L11874" s="382">
        <v>1.0</v>
      </c>
    </row>
    <row r="11875">
      <c r="A11875" s="380" t="s">
        <v>12749</v>
      </c>
      <c r="B11875" s="380" t="str">
        <f>IFERROR(__xludf.DUMMYFUNCTION("""COMPUTED_VALUE"""),"Piñon Velocimetro Cj 14715 N Eaton 20191")</f>
        <v>Piñon Velocimetro Cj 14715 N Eaton 20191</v>
      </c>
      <c r="C11875" s="380" t="str">
        <f>IFERROR(__xludf.DUMMYFUNCTION("""COMPUTED_VALUE"""),"70007317")</f>
        <v>70007317</v>
      </c>
      <c r="D11875" s="380" t="s">
        <v>767</v>
      </c>
      <c r="E11875" s="380" t="s">
        <v>786</v>
      </c>
      <c r="F11875" s="380" t="s">
        <v>928</v>
      </c>
      <c r="G11875" s="380" t="s">
        <v>1267</v>
      </c>
      <c r="H11875" s="380" t="s">
        <v>771</v>
      </c>
      <c r="I11875" s="380" t="s">
        <v>788</v>
      </c>
      <c r="J11875" s="380" t="s">
        <v>773</v>
      </c>
      <c r="K11875" s="381">
        <v>0.0</v>
      </c>
      <c r="L11875" s="382">
        <v>1.0</v>
      </c>
    </row>
    <row r="11876">
      <c r="A11876" s="380" t="s">
        <v>12750</v>
      </c>
      <c r="B11876" s="380" t="str">
        <f>IFERROR(__xludf.DUMMYFUNCTION("""COMPUTED_VALUE"""),"Tubo Terminal Mofle 5"" Cromado 207002")</f>
        <v>Tubo Terminal Mofle 5" Cromado 207002</v>
      </c>
      <c r="C11876" s="380" t="str">
        <f>IFERROR(__xludf.DUMMYFUNCTION("""COMPUTED_VALUE"""),"70007318")</f>
        <v>70007318</v>
      </c>
      <c r="D11876" s="380" t="s">
        <v>767</v>
      </c>
      <c r="E11876" s="380" t="s">
        <v>786</v>
      </c>
      <c r="F11876" s="380" t="s">
        <v>792</v>
      </c>
      <c r="G11876" s="380" t="s">
        <v>1267</v>
      </c>
      <c r="H11876" s="380" t="s">
        <v>771</v>
      </c>
      <c r="I11876" s="380" t="s">
        <v>788</v>
      </c>
      <c r="J11876" s="380" t="s">
        <v>773</v>
      </c>
      <c r="K11876" s="381">
        <v>0.0</v>
      </c>
      <c r="L11876" s="382">
        <v>1.0</v>
      </c>
    </row>
    <row r="11877">
      <c r="A11877" s="380" t="s">
        <v>12751</v>
      </c>
      <c r="B11877" s="380" t="str">
        <f>IFERROR(__xludf.DUMMYFUNCTION("""COMPUTED_VALUE"""),"Modulo Alarma CTRL Nivel Refr 8970632730")</f>
        <v>Modulo Alarma CTRL Nivel Refr 8970632730</v>
      </c>
      <c r="C11877" s="380" t="str">
        <f>IFERROR(__xludf.DUMMYFUNCTION("""COMPUTED_VALUE"""),"70007319")</f>
        <v>70007319</v>
      </c>
      <c r="D11877" s="380" t="s">
        <v>767</v>
      </c>
      <c r="E11877" s="380" t="s">
        <v>786</v>
      </c>
      <c r="F11877" s="380" t="s">
        <v>787</v>
      </c>
      <c r="G11877" s="380" t="s">
        <v>1267</v>
      </c>
      <c r="H11877" s="380" t="s">
        <v>771</v>
      </c>
      <c r="I11877" s="380" t="s">
        <v>788</v>
      </c>
      <c r="J11877" s="380" t="s">
        <v>773</v>
      </c>
      <c r="K11877" s="381">
        <v>0.0</v>
      </c>
      <c r="L11877" s="382">
        <v>1.0</v>
      </c>
    </row>
    <row r="11878">
      <c r="A11878" s="380" t="s">
        <v>12752</v>
      </c>
      <c r="B11878" s="380" t="str">
        <f>IFERROR(__xludf.DUMMYFUNCTION("""COMPUTED_VALUE"""),"Bomba Aux Clutch Npr 8970328471")</f>
        <v>Bomba Aux Clutch Npr 8970328471</v>
      </c>
      <c r="C11878" s="380" t="str">
        <f>IFERROR(__xludf.DUMMYFUNCTION("""COMPUTED_VALUE"""),"70007320")</f>
        <v>70007320</v>
      </c>
      <c r="D11878" s="380" t="s">
        <v>767</v>
      </c>
      <c r="E11878" s="380" t="s">
        <v>786</v>
      </c>
      <c r="F11878" s="380" t="s">
        <v>5661</v>
      </c>
      <c r="G11878" s="380" t="s">
        <v>1267</v>
      </c>
      <c r="H11878" s="380" t="s">
        <v>771</v>
      </c>
      <c r="I11878" s="380" t="s">
        <v>788</v>
      </c>
      <c r="J11878" s="380" t="s">
        <v>773</v>
      </c>
      <c r="K11878" s="381">
        <v>0.0</v>
      </c>
      <c r="L11878" s="382">
        <v>1.0</v>
      </c>
    </row>
    <row r="11879">
      <c r="A11879" s="380" t="s">
        <v>12753</v>
      </c>
      <c r="B11879" s="380" t="str">
        <f>IFERROR(__xludf.DUMMYFUNCTION("""COMPUTED_VALUE"""),"Bomba Engranaje Asx KWh 4089431rx")</f>
        <v>Bomba Engranaje Asx KWh 4089431rx</v>
      </c>
      <c r="C11879" s="380" t="str">
        <f>IFERROR(__xludf.DUMMYFUNCTION("""COMPUTED_VALUE"""),"70007321")</f>
        <v>70007321</v>
      </c>
      <c r="D11879" s="380" t="s">
        <v>767</v>
      </c>
      <c r="E11879" s="380" t="s">
        <v>786</v>
      </c>
      <c r="F11879" s="380" t="s">
        <v>787</v>
      </c>
      <c r="G11879" s="380" t="s">
        <v>1267</v>
      </c>
      <c r="H11879" s="380" t="s">
        <v>771</v>
      </c>
      <c r="I11879" s="380" t="s">
        <v>788</v>
      </c>
      <c r="J11879" s="380" t="s">
        <v>773</v>
      </c>
      <c r="K11879" s="381">
        <v>0.0</v>
      </c>
      <c r="L11879" s="382">
        <v>1.0</v>
      </c>
    </row>
    <row r="11880">
      <c r="A11880" s="380" t="s">
        <v>12754</v>
      </c>
      <c r="B11880" s="380" t="str">
        <f>IFERROR(__xludf.DUMMYFUNCTION("""COMPUTED_VALUE"""),"Amortiguador Del Nhr-Nkr 8972536150")</f>
        <v>Amortiguador Del Nhr-Nkr 8972536150</v>
      </c>
      <c r="C11880" s="380" t="str">
        <f>IFERROR(__xludf.DUMMYFUNCTION("""COMPUTED_VALUE"""),"70007322")</f>
        <v>70007322</v>
      </c>
      <c r="D11880" s="380" t="s">
        <v>767</v>
      </c>
      <c r="E11880" s="380" t="s">
        <v>786</v>
      </c>
      <c r="F11880" s="380" t="s">
        <v>1039</v>
      </c>
      <c r="G11880" s="380" t="s">
        <v>1267</v>
      </c>
      <c r="H11880" s="380" t="s">
        <v>771</v>
      </c>
      <c r="I11880" s="380" t="s">
        <v>788</v>
      </c>
      <c r="J11880" s="380" t="s">
        <v>773</v>
      </c>
      <c r="K11880" s="381">
        <v>0.0</v>
      </c>
      <c r="L11880" s="382">
        <v>1.0</v>
      </c>
    </row>
    <row r="11881">
      <c r="A11881" s="380" t="s">
        <v>12755</v>
      </c>
      <c r="B11881" s="380" t="str">
        <f>IFERROR(__xludf.DUMMYFUNCTION("""COMPUTED_VALUE"""),"BMB Transferencia Elect Isx KWh 4076580")</f>
        <v>BMB Transferencia Elect Isx KWh 4076580</v>
      </c>
      <c r="C11881" s="380" t="str">
        <f>IFERROR(__xludf.DUMMYFUNCTION("""COMPUTED_VALUE"""),"70007323")</f>
        <v>70007323</v>
      </c>
      <c r="D11881" s="380" t="s">
        <v>767</v>
      </c>
      <c r="E11881" s="380" t="s">
        <v>786</v>
      </c>
      <c r="F11881" s="380" t="s">
        <v>787</v>
      </c>
      <c r="G11881" s="380" t="s">
        <v>1267</v>
      </c>
      <c r="H11881" s="380" t="s">
        <v>771</v>
      </c>
      <c r="I11881" s="380" t="s">
        <v>788</v>
      </c>
      <c r="J11881" s="380" t="s">
        <v>773</v>
      </c>
      <c r="K11881" s="381">
        <v>0.0</v>
      </c>
      <c r="L11881" s="382">
        <v>1.0</v>
      </c>
    </row>
    <row r="11882">
      <c r="A11882" s="380" t="s">
        <v>12756</v>
      </c>
      <c r="B11882" s="380" t="str">
        <f>IFERROR(__xludf.DUMMYFUNCTION("""COMPUTED_VALUE"""),"Acople Rapido Aire Ara-06 3/8")</f>
        <v>Acople Rapido Aire Ara-06 3/8</v>
      </c>
      <c r="C11882" s="380" t="str">
        <f>IFERROR(__xludf.DUMMYFUNCTION("""COMPUTED_VALUE"""),"70007324")</f>
        <v>70007324</v>
      </c>
      <c r="D11882" s="380" t="s">
        <v>767</v>
      </c>
      <c r="E11882" s="380" t="s">
        <v>786</v>
      </c>
      <c r="F11882" s="380" t="s">
        <v>989</v>
      </c>
      <c r="G11882" s="380" t="s">
        <v>1267</v>
      </c>
      <c r="H11882" s="380" t="s">
        <v>771</v>
      </c>
      <c r="I11882" s="380" t="s">
        <v>788</v>
      </c>
      <c r="J11882" s="380" t="s">
        <v>773</v>
      </c>
      <c r="K11882" s="381">
        <v>0.0</v>
      </c>
      <c r="L11882" s="382">
        <v>1.0</v>
      </c>
    </row>
    <row r="11883">
      <c r="A11883" s="380" t="s">
        <v>12757</v>
      </c>
      <c r="B11883" s="380" t="str">
        <f>IFERROR(__xludf.DUMMYFUNCTION("""COMPUTED_VALUE"""),"Multiple Sensores 2015711c1 Hi 9400")</f>
        <v>Multiple Sensores 2015711c1 Hi 9400</v>
      </c>
      <c r="C11883" s="380" t="str">
        <f>IFERROR(__xludf.DUMMYFUNCTION("""COMPUTED_VALUE"""),"70007325")</f>
        <v>70007325</v>
      </c>
      <c r="D11883" s="380" t="s">
        <v>767</v>
      </c>
      <c r="E11883" s="380" t="s">
        <v>786</v>
      </c>
      <c r="F11883" s="380" t="s">
        <v>998</v>
      </c>
      <c r="G11883" s="380" t="s">
        <v>1267</v>
      </c>
      <c r="H11883" s="380" t="s">
        <v>771</v>
      </c>
      <c r="I11883" s="380" t="s">
        <v>788</v>
      </c>
      <c r="J11883" s="380" t="s">
        <v>773</v>
      </c>
      <c r="K11883" s="381">
        <v>0.0</v>
      </c>
      <c r="L11883" s="382">
        <v>1.0</v>
      </c>
    </row>
    <row r="11884">
      <c r="A11884" s="380" t="s">
        <v>12758</v>
      </c>
      <c r="B11884" s="380" t="str">
        <f>IFERROR(__xludf.DUMMYFUNCTION("""COMPUTED_VALUE"""),"Bomba Agua Toyota Delta 161005916600")</f>
        <v>Bomba Agua Toyota Delta 161005916600</v>
      </c>
      <c r="C11884" s="380" t="str">
        <f>IFERROR(__xludf.DUMMYFUNCTION("""COMPUTED_VALUE"""),"70007326")</f>
        <v>70007326</v>
      </c>
      <c r="D11884" s="380" t="s">
        <v>767</v>
      </c>
      <c r="E11884" s="380" t="s">
        <v>786</v>
      </c>
      <c r="F11884" s="380" t="s">
        <v>787</v>
      </c>
      <c r="G11884" s="380" t="s">
        <v>1267</v>
      </c>
      <c r="H11884" s="380" t="s">
        <v>771</v>
      </c>
      <c r="I11884" s="380" t="s">
        <v>788</v>
      </c>
      <c r="J11884" s="380" t="s">
        <v>773</v>
      </c>
      <c r="K11884" s="381">
        <v>0.0</v>
      </c>
      <c r="L11884" s="382">
        <v>1.0</v>
      </c>
    </row>
    <row r="11885">
      <c r="A11885" s="380" t="s">
        <v>12759</v>
      </c>
      <c r="B11885" s="380" t="str">
        <f>IFERROR(__xludf.DUMMYFUNCTION("""COMPUTED_VALUE"""),"Medidor Tanque Combustible Kw 3000100331")</f>
        <v>Medidor Tanque Combustible Kw 3000100331</v>
      </c>
      <c r="C11885" s="380" t="str">
        <f>IFERROR(__xludf.DUMMYFUNCTION("""COMPUTED_VALUE"""),"70007327")</f>
        <v>70007327</v>
      </c>
      <c r="D11885" s="380" t="s">
        <v>767</v>
      </c>
      <c r="E11885" s="380" t="s">
        <v>786</v>
      </c>
      <c r="F11885" s="380" t="s">
        <v>998</v>
      </c>
      <c r="G11885" s="380" t="s">
        <v>1267</v>
      </c>
      <c r="H11885" s="380" t="s">
        <v>771</v>
      </c>
      <c r="I11885" s="380" t="s">
        <v>788</v>
      </c>
      <c r="J11885" s="380" t="s">
        <v>773</v>
      </c>
      <c r="K11885" s="381">
        <v>0.0</v>
      </c>
      <c r="L11885" s="382">
        <v>1.0</v>
      </c>
    </row>
    <row r="11886">
      <c r="A11886" s="380" t="s">
        <v>12760</v>
      </c>
      <c r="B11886" s="380" t="str">
        <f>IFERROR(__xludf.DUMMYFUNCTION("""COMPUTED_VALUE"""),"Juego Guardapolvo Tras KWh Gmx1900")</f>
        <v>Juego Guardapolvo Tras KWh Gmx1900</v>
      </c>
      <c r="C11886" s="380" t="str">
        <f>IFERROR(__xludf.DUMMYFUNCTION("""COMPUTED_VALUE"""),"70007328")</f>
        <v>70007328</v>
      </c>
      <c r="D11886" s="380" t="s">
        <v>767</v>
      </c>
      <c r="E11886" s="380" t="s">
        <v>786</v>
      </c>
      <c r="F11886" s="380" t="s">
        <v>792</v>
      </c>
      <c r="G11886" s="380" t="s">
        <v>1267</v>
      </c>
      <c r="H11886" s="380" t="s">
        <v>771</v>
      </c>
      <c r="I11886" s="380" t="s">
        <v>788</v>
      </c>
      <c r="J11886" s="380" t="s">
        <v>773</v>
      </c>
      <c r="K11886" s="381">
        <v>273700.0</v>
      </c>
      <c r="L11886" s="382">
        <v>1.0</v>
      </c>
    </row>
    <row r="11887">
      <c r="A11887" s="380" t="s">
        <v>12761</v>
      </c>
      <c r="B11887" s="380" t="str">
        <f>IFERROR(__xludf.DUMMYFUNCTION("""COMPUTED_VALUE"""),"Cremallera Elevavidrio Dcho N 8978521155")</f>
        <v>Cremallera Elevavidrio Dcho N 8978521155</v>
      </c>
      <c r="C11887" s="380" t="str">
        <f>IFERROR(__xludf.DUMMYFUNCTION("""COMPUTED_VALUE"""),"70007329")</f>
        <v>70007329</v>
      </c>
      <c r="D11887" s="380" t="s">
        <v>767</v>
      </c>
      <c r="E11887" s="380" t="s">
        <v>786</v>
      </c>
      <c r="F11887" s="380" t="s">
        <v>792</v>
      </c>
      <c r="G11887" s="380" t="s">
        <v>1267</v>
      </c>
      <c r="H11887" s="380" t="s">
        <v>771</v>
      </c>
      <c r="I11887" s="380" t="s">
        <v>788</v>
      </c>
      <c r="J11887" s="380" t="s">
        <v>773</v>
      </c>
      <c r="K11887" s="381">
        <v>0.0</v>
      </c>
      <c r="L11887" s="382">
        <v>1.0</v>
      </c>
    </row>
    <row r="11888">
      <c r="A11888" s="380" t="s">
        <v>12762</v>
      </c>
      <c r="B11888" s="380" t="str">
        <f>IFERROR(__xludf.DUMMYFUNCTION("""COMPUTED_VALUE"""),"Enflanche Trasm Tras SB Spicer 6-4-7561x")</f>
        <v>Enflanche Trasm Tras SB Spicer 6-4-7561x</v>
      </c>
      <c r="C11888" s="380" t="str">
        <f>IFERROR(__xludf.DUMMYFUNCTION("""COMPUTED_VALUE"""),"70007330")</f>
        <v>70007330</v>
      </c>
      <c r="D11888" s="380" t="s">
        <v>767</v>
      </c>
      <c r="E11888" s="380" t="s">
        <v>786</v>
      </c>
      <c r="F11888" s="380" t="s">
        <v>5683</v>
      </c>
      <c r="G11888" s="380" t="s">
        <v>1267</v>
      </c>
      <c r="H11888" s="380" t="s">
        <v>771</v>
      </c>
      <c r="I11888" s="380" t="s">
        <v>788</v>
      </c>
      <c r="J11888" s="380" t="s">
        <v>773</v>
      </c>
      <c r="K11888" s="381">
        <v>0.0</v>
      </c>
      <c r="L11888" s="382">
        <v>1.0</v>
      </c>
    </row>
    <row r="11889">
      <c r="A11889" s="380" t="s">
        <v>12763</v>
      </c>
      <c r="B11889" s="380" t="str">
        <f>IFERROR(__xludf.DUMMYFUNCTION("""COMPUTED_VALUE"""),"Thu Feb 01 2463 00:00:00 GMT-0500 (hora")</f>
        <v>Thu Feb 01 2463 00:00:00 GMT-0500 (hora</v>
      </c>
      <c r="C11889" s="380" t="str">
        <f>IFERROR(__xludf.DUMMYFUNCTION("""COMPUTED_VALUE"""),"70007331")</f>
        <v>70007331</v>
      </c>
      <c r="D11889" s="380" t="s">
        <v>767</v>
      </c>
      <c r="E11889" s="380" t="s">
        <v>786</v>
      </c>
      <c r="F11889" s="380" t="s">
        <v>1039</v>
      </c>
      <c r="G11889" s="380" t="s">
        <v>1267</v>
      </c>
      <c r="H11889" s="380" t="s">
        <v>771</v>
      </c>
      <c r="I11889" s="380" t="s">
        <v>788</v>
      </c>
      <c r="J11889" s="380" t="s">
        <v>773</v>
      </c>
      <c r="K11889" s="381">
        <v>0.0</v>
      </c>
      <c r="L11889" s="382">
        <v>1.0</v>
      </c>
    </row>
    <row r="11890">
      <c r="A11890" s="380" t="s">
        <v>12764</v>
      </c>
      <c r="B11890" s="380" t="str">
        <f>IFERROR(__xludf.DUMMYFUNCTION("""COMPUTED_VALUE"""),"Balancin Motor Hyundai H100 Poter")</f>
        <v>Balancin Motor Hyundai H100 Poter</v>
      </c>
      <c r="C11890" s="380" t="str">
        <f>IFERROR(__xludf.DUMMYFUNCTION("""COMPUTED_VALUE"""),"70007332")</f>
        <v>70007332</v>
      </c>
      <c r="D11890" s="380" t="s">
        <v>767</v>
      </c>
      <c r="E11890" s="380" t="s">
        <v>786</v>
      </c>
      <c r="F11890" s="380" t="s">
        <v>787</v>
      </c>
      <c r="G11890" s="380" t="s">
        <v>1267</v>
      </c>
      <c r="H11890" s="380" t="s">
        <v>771</v>
      </c>
      <c r="I11890" s="380" t="s">
        <v>788</v>
      </c>
      <c r="J11890" s="380" t="s">
        <v>773</v>
      </c>
      <c r="K11890" s="381">
        <v>0.0</v>
      </c>
      <c r="L11890" s="382">
        <v>1.0</v>
      </c>
    </row>
    <row r="11891">
      <c r="A11891" s="380" t="s">
        <v>12765</v>
      </c>
      <c r="B11891" s="380" t="str">
        <f>IFERROR(__xludf.DUMMYFUNCTION("""COMPUTED_VALUE"""),"Radiador Npr Nuevo 95620780")</f>
        <v>Radiador Npr Nuevo 95620780</v>
      </c>
      <c r="C11891" s="380" t="str">
        <f>IFERROR(__xludf.DUMMYFUNCTION("""COMPUTED_VALUE"""),"70007333")</f>
        <v>70007333</v>
      </c>
      <c r="D11891" s="380" t="s">
        <v>767</v>
      </c>
      <c r="E11891" s="380" t="s">
        <v>786</v>
      </c>
      <c r="F11891" s="380" t="s">
        <v>787</v>
      </c>
      <c r="G11891" s="380" t="s">
        <v>1267</v>
      </c>
      <c r="H11891" s="380" t="s">
        <v>771</v>
      </c>
      <c r="I11891" s="380" t="s">
        <v>788</v>
      </c>
      <c r="J11891" s="380" t="s">
        <v>773</v>
      </c>
      <c r="K11891" s="381">
        <v>0.0</v>
      </c>
      <c r="L11891" s="382">
        <v>1.0</v>
      </c>
    </row>
    <row r="11892">
      <c r="A11892" s="380" t="s">
        <v>12766</v>
      </c>
      <c r="B11892" s="380" t="str">
        <f>IFERROR(__xludf.DUMMYFUNCTION("""COMPUTED_VALUE"""),"Tapon Conducto Admision Nkr Fabricado")</f>
        <v>Tapon Conducto Admision Nkr Fabricado</v>
      </c>
      <c r="C11892" s="380" t="str">
        <f>IFERROR(__xludf.DUMMYFUNCTION("""COMPUTED_VALUE"""),"70007334")</f>
        <v>70007334</v>
      </c>
      <c r="D11892" s="380" t="s">
        <v>767</v>
      </c>
      <c r="E11892" s="380" t="s">
        <v>786</v>
      </c>
      <c r="F11892" s="380" t="s">
        <v>787</v>
      </c>
      <c r="G11892" s="380" t="s">
        <v>1267</v>
      </c>
      <c r="H11892" s="380" t="s">
        <v>771</v>
      </c>
      <c r="I11892" s="380" t="s">
        <v>788</v>
      </c>
      <c r="J11892" s="380" t="s">
        <v>773</v>
      </c>
      <c r="K11892" s="381">
        <v>0.0</v>
      </c>
      <c r="L11892" s="382">
        <v>1.0</v>
      </c>
    </row>
    <row r="11893">
      <c r="A11893" s="380" t="s">
        <v>12767</v>
      </c>
      <c r="B11893" s="380" t="str">
        <f>IFERROR(__xludf.DUMMYFUNCTION("""COMPUTED_VALUE"""),"Tapa Radiador Motor KWh Acx1852")</f>
        <v>Tapa Radiador Motor KWh Acx1852</v>
      </c>
      <c r="C11893" s="380" t="str">
        <f>IFERROR(__xludf.DUMMYFUNCTION("""COMPUTED_VALUE"""),"70007335")</f>
        <v>70007335</v>
      </c>
      <c r="D11893" s="380" t="s">
        <v>767</v>
      </c>
      <c r="E11893" s="380" t="s">
        <v>786</v>
      </c>
      <c r="F11893" s="380" t="s">
        <v>787</v>
      </c>
      <c r="G11893" s="380" t="s">
        <v>1267</v>
      </c>
      <c r="H11893" s="380" t="s">
        <v>771</v>
      </c>
      <c r="I11893" s="380" t="s">
        <v>788</v>
      </c>
      <c r="J11893" s="380" t="s">
        <v>773</v>
      </c>
      <c r="K11893" s="381">
        <v>0.0</v>
      </c>
      <c r="L11893" s="382">
        <v>1.0</v>
      </c>
    </row>
    <row r="11894">
      <c r="A11894" s="380" t="s">
        <v>12768</v>
      </c>
      <c r="B11894" s="380" t="str">
        <f>IFERROR(__xludf.DUMMYFUNCTION("""COMPUTED_VALUE"""),"Lampara Direcal KWh 55340")</f>
        <v>Lampara Direcal KWh 55340</v>
      </c>
      <c r="C11894" s="380" t="str">
        <f>IFERROR(__xludf.DUMMYFUNCTION("""COMPUTED_VALUE"""),"70007336")</f>
        <v>70007336</v>
      </c>
      <c r="D11894" s="380" t="s">
        <v>767</v>
      </c>
      <c r="E11894" s="380" t="s">
        <v>786</v>
      </c>
      <c r="F11894" s="380" t="s">
        <v>998</v>
      </c>
      <c r="G11894" s="380" t="s">
        <v>1267</v>
      </c>
      <c r="H11894" s="380" t="s">
        <v>771</v>
      </c>
      <c r="I11894" s="380" t="s">
        <v>788</v>
      </c>
      <c r="J11894" s="380" t="s">
        <v>773</v>
      </c>
      <c r="K11894" s="381">
        <v>0.0</v>
      </c>
      <c r="L11894" s="382">
        <v>1.0</v>
      </c>
    </row>
    <row r="11895">
      <c r="A11895" s="380" t="s">
        <v>12769</v>
      </c>
      <c r="B11895" s="380" t="str">
        <f>IFERROR(__xludf.DUMMYFUNCTION("""COMPUTED_VALUE"""),"Buje Bisagra Capo KWh M300-70nr")</f>
        <v>Buje Bisagra Capo KWh M300-70nr</v>
      </c>
      <c r="C11895" s="380" t="str">
        <f>IFERROR(__xludf.DUMMYFUNCTION("""COMPUTED_VALUE"""),"70007337")</f>
        <v>70007337</v>
      </c>
      <c r="D11895" s="380" t="s">
        <v>767</v>
      </c>
      <c r="E11895" s="380" t="s">
        <v>786</v>
      </c>
      <c r="F11895" s="380" t="s">
        <v>792</v>
      </c>
      <c r="G11895" s="380" t="s">
        <v>1267</v>
      </c>
      <c r="H11895" s="380" t="s">
        <v>771</v>
      </c>
      <c r="I11895" s="380" t="s">
        <v>788</v>
      </c>
      <c r="J11895" s="380" t="s">
        <v>773</v>
      </c>
      <c r="K11895" s="381">
        <v>0.0</v>
      </c>
      <c r="L11895" s="382">
        <v>1.0</v>
      </c>
    </row>
    <row r="11896">
      <c r="A11896" s="380" t="s">
        <v>12770</v>
      </c>
      <c r="B11896" s="380" t="str">
        <f>IFERROR(__xludf.DUMMYFUNCTION("""COMPUTED_VALUE"""),"Correa Bomba Agua 6pk-1040")</f>
        <v>Correa Bomba Agua 6pk-1040</v>
      </c>
      <c r="C11896" s="380" t="str">
        <f>IFERROR(__xludf.DUMMYFUNCTION("""COMPUTED_VALUE"""),"70007338")</f>
        <v>70007338</v>
      </c>
      <c r="D11896" s="380" t="s">
        <v>767</v>
      </c>
      <c r="E11896" s="380" t="s">
        <v>786</v>
      </c>
      <c r="F11896" s="380" t="s">
        <v>787</v>
      </c>
      <c r="G11896" s="380" t="s">
        <v>1267</v>
      </c>
      <c r="H11896" s="380" t="s">
        <v>771</v>
      </c>
      <c r="I11896" s="380" t="s">
        <v>788</v>
      </c>
      <c r="J11896" s="380" t="s">
        <v>773</v>
      </c>
      <c r="K11896" s="381">
        <v>0.0</v>
      </c>
      <c r="L11896" s="382">
        <v>1.0</v>
      </c>
    </row>
    <row r="11897">
      <c r="A11897" s="380" t="s">
        <v>12771</v>
      </c>
      <c r="B11897" s="380" t="str">
        <f>IFERROR(__xludf.DUMMYFUNCTION("""COMPUTED_VALUE"""),"Varilla Sup Espejo KWh 9-K053-562")</f>
        <v>Varilla Sup Espejo KWh 9-K053-562</v>
      </c>
      <c r="C11897" s="380" t="str">
        <f>IFERROR(__xludf.DUMMYFUNCTION("""COMPUTED_VALUE"""),"70007339")</f>
        <v>70007339</v>
      </c>
      <c r="D11897" s="380" t="s">
        <v>767</v>
      </c>
      <c r="E11897" s="380" t="s">
        <v>786</v>
      </c>
      <c r="F11897" s="380" t="s">
        <v>792</v>
      </c>
      <c r="G11897" s="380" t="s">
        <v>1267</v>
      </c>
      <c r="H11897" s="380" t="s">
        <v>771</v>
      </c>
      <c r="I11897" s="380" t="s">
        <v>788</v>
      </c>
      <c r="J11897" s="380" t="s">
        <v>773</v>
      </c>
      <c r="K11897" s="381">
        <v>0.0</v>
      </c>
      <c r="L11897" s="382">
        <v>1.0</v>
      </c>
    </row>
    <row r="11898">
      <c r="A11898" s="380" t="s">
        <v>12772</v>
      </c>
      <c r="B11898" s="380" t="str">
        <f>IFERROR(__xludf.DUMMYFUNCTION("""COMPUTED_VALUE"""),"Buje Central Bastidor SB N14 5919")</f>
        <v>Buje Central Bastidor SB N14 5919</v>
      </c>
      <c r="C11898" s="380" t="str">
        <f>IFERROR(__xludf.DUMMYFUNCTION("""COMPUTED_VALUE"""),"70007340")</f>
        <v>70007340</v>
      </c>
      <c r="D11898" s="380" t="s">
        <v>767</v>
      </c>
      <c r="E11898" s="380" t="s">
        <v>786</v>
      </c>
      <c r="F11898" s="380" t="s">
        <v>787</v>
      </c>
      <c r="G11898" s="380" t="s">
        <v>1267</v>
      </c>
      <c r="H11898" s="380" t="s">
        <v>771</v>
      </c>
      <c r="I11898" s="380" t="s">
        <v>788</v>
      </c>
      <c r="J11898" s="380" t="s">
        <v>773</v>
      </c>
      <c r="K11898" s="381">
        <v>0.0</v>
      </c>
      <c r="L11898" s="382">
        <v>1.0</v>
      </c>
    </row>
    <row r="11899">
      <c r="A11899" s="380" t="s">
        <v>12773</v>
      </c>
      <c r="B11899" s="380" t="str">
        <f>IFERROR(__xludf.DUMMYFUNCTION("""COMPUTED_VALUE"""),"Piñon Corredizo SB N14 4ta Eaton 4304317")</f>
        <v>Piñon Corredizo SB N14 4ta Eaton 4304317</v>
      </c>
      <c r="C11899" s="380" t="str">
        <f>IFERROR(__xludf.DUMMYFUNCTION("""COMPUTED_VALUE"""),"70007341")</f>
        <v>70007341</v>
      </c>
      <c r="D11899" s="380" t="s">
        <v>767</v>
      </c>
      <c r="E11899" s="380" t="s">
        <v>786</v>
      </c>
      <c r="F11899" s="380" t="s">
        <v>928</v>
      </c>
      <c r="G11899" s="380" t="s">
        <v>1267</v>
      </c>
      <c r="H11899" s="380" t="s">
        <v>771</v>
      </c>
      <c r="I11899" s="380" t="s">
        <v>788</v>
      </c>
      <c r="J11899" s="380" t="s">
        <v>773</v>
      </c>
      <c r="K11899" s="381">
        <v>0.0</v>
      </c>
      <c r="L11899" s="382">
        <v>1.0</v>
      </c>
    </row>
    <row r="11900">
      <c r="A11900" s="380" t="s">
        <v>12774</v>
      </c>
      <c r="B11900" s="380" t="str">
        <f>IFERROR(__xludf.DUMMYFUNCTION("""COMPUTED_VALUE"""),"Pasador Horquilla 3-4 N200 24517070")</f>
        <v>Pasador Horquilla 3-4 N200 24517070</v>
      </c>
      <c r="C11900" s="380" t="str">
        <f>IFERROR(__xludf.DUMMYFUNCTION("""COMPUTED_VALUE"""),"70007342")</f>
        <v>70007342</v>
      </c>
      <c r="D11900" s="380" t="s">
        <v>767</v>
      </c>
      <c r="E11900" s="380" t="s">
        <v>786</v>
      </c>
      <c r="F11900" s="380" t="s">
        <v>928</v>
      </c>
      <c r="G11900" s="380" t="s">
        <v>1267</v>
      </c>
      <c r="H11900" s="380" t="s">
        <v>771</v>
      </c>
      <c r="I11900" s="380" t="s">
        <v>788</v>
      </c>
      <c r="J11900" s="380" t="s">
        <v>773</v>
      </c>
      <c r="K11900" s="381">
        <v>0.0</v>
      </c>
      <c r="L11900" s="382">
        <v>1.0</v>
      </c>
    </row>
    <row r="11901">
      <c r="A11901" s="380" t="s">
        <v>12775</v>
      </c>
      <c r="B11901" s="380" t="str">
        <f>IFERROR(__xludf.DUMMYFUNCTION("""COMPUTED_VALUE"""),"Terminal Direc Der S Carry 4881079000")</f>
        <v>Terminal Direc Der S Carry 4881079000</v>
      </c>
      <c r="C11901" s="380" t="str">
        <f>IFERROR(__xludf.DUMMYFUNCTION("""COMPUTED_VALUE"""),"70007343")</f>
        <v>70007343</v>
      </c>
      <c r="D11901" s="380" t="s">
        <v>767</v>
      </c>
      <c r="E11901" s="380" t="s">
        <v>786</v>
      </c>
      <c r="F11901" s="380" t="s">
        <v>1020</v>
      </c>
      <c r="G11901" s="380" t="s">
        <v>1267</v>
      </c>
      <c r="H11901" s="380" t="s">
        <v>771</v>
      </c>
      <c r="I11901" s="380" t="s">
        <v>788</v>
      </c>
      <c r="J11901" s="380" t="s">
        <v>773</v>
      </c>
      <c r="K11901" s="381">
        <v>0.0</v>
      </c>
      <c r="L11901" s="382">
        <v>1.0</v>
      </c>
    </row>
    <row r="11902">
      <c r="A11902" s="380" t="s">
        <v>12776</v>
      </c>
      <c r="B11902" s="380" t="str">
        <f>IFERROR(__xludf.DUMMYFUNCTION("""COMPUTED_VALUE"""),"Terminal Direc Izq S Carry 4882079000")</f>
        <v>Terminal Direc Izq S Carry 4882079000</v>
      </c>
      <c r="C11902" s="380" t="str">
        <f>IFERROR(__xludf.DUMMYFUNCTION("""COMPUTED_VALUE"""),"70007344")</f>
        <v>70007344</v>
      </c>
      <c r="D11902" s="380" t="s">
        <v>767</v>
      </c>
      <c r="E11902" s="380" t="s">
        <v>786</v>
      </c>
      <c r="F11902" s="380" t="s">
        <v>1020</v>
      </c>
      <c r="G11902" s="380" t="s">
        <v>1267</v>
      </c>
      <c r="H11902" s="380" t="s">
        <v>771</v>
      </c>
      <c r="I11902" s="380" t="s">
        <v>788</v>
      </c>
      <c r="J11902" s="380" t="s">
        <v>773</v>
      </c>
      <c r="K11902" s="381">
        <v>0.0</v>
      </c>
      <c r="L11902" s="382">
        <v>1.0</v>
      </c>
    </row>
    <row r="11903">
      <c r="A11903" s="380" t="s">
        <v>12777</v>
      </c>
      <c r="B11903" s="380" t="str">
        <f>IFERROR(__xludf.DUMMYFUNCTION("""COMPUTED_VALUE"""),"Guaya Selectora Cambios Nkr 8970899864")</f>
        <v>Guaya Selectora Cambios Nkr 8970899864</v>
      </c>
      <c r="C11903" s="380" t="str">
        <f>IFERROR(__xludf.DUMMYFUNCTION("""COMPUTED_VALUE"""),"70007345")</f>
        <v>70007345</v>
      </c>
      <c r="D11903" s="380" t="s">
        <v>767</v>
      </c>
      <c r="E11903" s="380" t="s">
        <v>786</v>
      </c>
      <c r="F11903" s="380" t="s">
        <v>787</v>
      </c>
      <c r="G11903" s="380" t="s">
        <v>1267</v>
      </c>
      <c r="H11903" s="380" t="s">
        <v>771</v>
      </c>
      <c r="I11903" s="380" t="s">
        <v>788</v>
      </c>
      <c r="J11903" s="380" t="s">
        <v>773</v>
      </c>
      <c r="K11903" s="381">
        <v>0.0</v>
      </c>
      <c r="L11903" s="382">
        <v>1.0</v>
      </c>
    </row>
    <row r="11904">
      <c r="A11904" s="380" t="s">
        <v>12778</v>
      </c>
      <c r="B11904" s="380" t="str">
        <f>IFERROR(__xludf.DUMMYFUNCTION("""COMPUTED_VALUE"""),"Horquilla Bendix ARR SB 42mt 1945484")</f>
        <v>Horquilla Bendix ARR SB 42mt 1945484</v>
      </c>
      <c r="C11904" s="380" t="str">
        <f>IFERROR(__xludf.DUMMYFUNCTION("""COMPUTED_VALUE"""),"70007346")</f>
        <v>70007346</v>
      </c>
      <c r="D11904" s="380" t="s">
        <v>767</v>
      </c>
      <c r="E11904" s="380" t="s">
        <v>786</v>
      </c>
      <c r="F11904" s="380" t="s">
        <v>998</v>
      </c>
      <c r="G11904" s="380" t="s">
        <v>1267</v>
      </c>
      <c r="H11904" s="380" t="s">
        <v>771</v>
      </c>
      <c r="I11904" s="380" t="s">
        <v>788</v>
      </c>
      <c r="J11904" s="380" t="s">
        <v>773</v>
      </c>
      <c r="K11904" s="381">
        <v>0.0</v>
      </c>
      <c r="L11904" s="382">
        <v>1.0</v>
      </c>
    </row>
    <row r="11905">
      <c r="A11905" s="380" t="s">
        <v>12779</v>
      </c>
      <c r="B11905" s="380" t="str">
        <f>IFERROR(__xludf.DUMMYFUNCTION("""COMPUTED_VALUE"""),"Horquilla CJ 14715 SB N14 Eaton 105c137")</f>
        <v>Horquilla CJ 14715 SB N14 Eaton 105c137</v>
      </c>
      <c r="C11905" s="380" t="str">
        <f>IFERROR(__xludf.DUMMYFUNCTION("""COMPUTED_VALUE"""),"70007347")</f>
        <v>70007347</v>
      </c>
      <c r="D11905" s="380" t="s">
        <v>767</v>
      </c>
      <c r="E11905" s="380" t="s">
        <v>786</v>
      </c>
      <c r="F11905" s="380" t="s">
        <v>928</v>
      </c>
      <c r="G11905" s="380" t="s">
        <v>1267</v>
      </c>
      <c r="H11905" s="380" t="s">
        <v>771</v>
      </c>
      <c r="I11905" s="380" t="s">
        <v>788</v>
      </c>
      <c r="J11905" s="380" t="s">
        <v>773</v>
      </c>
      <c r="K11905" s="381">
        <v>0.0</v>
      </c>
      <c r="L11905" s="382">
        <v>1.0</v>
      </c>
    </row>
    <row r="11906">
      <c r="A11906" s="380" t="s">
        <v>12780</v>
      </c>
      <c r="B11906" s="380" t="str">
        <f>IFERROR(__xludf.DUMMYFUNCTION("""COMPUTED_VALUE"""),"Balinera Volante Nkr Rewar 5876101100")</f>
        <v>Balinera Volante Nkr Rewar 5876101100</v>
      </c>
      <c r="C11906" s="380" t="str">
        <f>IFERROR(__xludf.DUMMYFUNCTION("""COMPUTED_VALUE"""),"70007348")</f>
        <v>70007348</v>
      </c>
      <c r="D11906" s="380" t="s">
        <v>767</v>
      </c>
      <c r="E11906" s="380" t="s">
        <v>786</v>
      </c>
      <c r="F11906" s="380" t="s">
        <v>787</v>
      </c>
      <c r="G11906" s="380" t="s">
        <v>1267</v>
      </c>
      <c r="H11906" s="380" t="s">
        <v>771</v>
      </c>
      <c r="I11906" s="380" t="s">
        <v>788</v>
      </c>
      <c r="J11906" s="380" t="s">
        <v>773</v>
      </c>
      <c r="K11906" s="381">
        <v>0.0</v>
      </c>
      <c r="L11906" s="382">
        <v>1.0</v>
      </c>
    </row>
    <row r="11907">
      <c r="A11907" s="380" t="s">
        <v>12781</v>
      </c>
      <c r="B11907" s="380" t="str">
        <f>IFERROR(__xludf.DUMMYFUNCTION("""COMPUTED_VALUE"""),"RET Tras Externo FT BJ 1128 5946737425")</f>
        <v>RET Tras Externo FT BJ 1128 5946737425</v>
      </c>
      <c r="C11907" s="380" t="str">
        <f>IFERROR(__xludf.DUMMYFUNCTION("""COMPUTED_VALUE"""),"70007349")</f>
        <v>70007349</v>
      </c>
      <c r="D11907" s="380" t="s">
        <v>767</v>
      </c>
      <c r="E11907" s="380" t="s">
        <v>786</v>
      </c>
      <c r="F11907" s="380" t="s">
        <v>1039</v>
      </c>
      <c r="G11907" s="380" t="s">
        <v>1267</v>
      </c>
      <c r="H11907" s="380" t="s">
        <v>771</v>
      </c>
      <c r="I11907" s="380" t="s">
        <v>788</v>
      </c>
      <c r="J11907" s="380" t="s">
        <v>773</v>
      </c>
      <c r="K11907" s="381">
        <v>27679.0</v>
      </c>
      <c r="L11907" s="382">
        <v>1.0</v>
      </c>
    </row>
    <row r="11908">
      <c r="A11908" s="380" t="s">
        <v>12782</v>
      </c>
      <c r="B11908" s="380" t="str">
        <f>IFERROR(__xludf.DUMMYFUNCTION("""COMPUTED_VALUE"""),"Swicht Selector Velocidad Cruc P27104015")</f>
        <v>Swicht Selector Velocidad Cruc P27104015</v>
      </c>
      <c r="C11908" s="380" t="str">
        <f>IFERROR(__xludf.DUMMYFUNCTION("""COMPUTED_VALUE"""),"70007350")</f>
        <v>70007350</v>
      </c>
      <c r="D11908" s="380" t="s">
        <v>767</v>
      </c>
      <c r="E11908" s="380" t="s">
        <v>786</v>
      </c>
      <c r="F11908" s="380" t="s">
        <v>998</v>
      </c>
      <c r="G11908" s="380" t="s">
        <v>1267</v>
      </c>
      <c r="H11908" s="380" t="s">
        <v>771</v>
      </c>
      <c r="I11908" s="380" t="s">
        <v>788</v>
      </c>
      <c r="J11908" s="380" t="s">
        <v>773</v>
      </c>
      <c r="K11908" s="381">
        <v>368900.0</v>
      </c>
      <c r="L11908" s="382">
        <v>1.0</v>
      </c>
    </row>
    <row r="11909">
      <c r="A11909" s="380" t="s">
        <v>12783</v>
      </c>
      <c r="B11909" s="380" t="str">
        <f>IFERROR(__xludf.DUMMYFUNCTION("""COMPUTED_VALUE"""),"Filtro Aire KW T800 Goby Ag961194r")</f>
        <v>Filtro Aire KW T800 Goby Ag961194r</v>
      </c>
      <c r="C11909" s="380" t="str">
        <f>IFERROR(__xludf.DUMMYFUNCTION("""COMPUTED_VALUE"""),"70007351")</f>
        <v>70007351</v>
      </c>
      <c r="D11909" s="380" t="s">
        <v>767</v>
      </c>
      <c r="E11909" s="380" t="s">
        <v>786</v>
      </c>
      <c r="F11909" s="380" t="s">
        <v>5855</v>
      </c>
      <c r="G11909" s="380" t="s">
        <v>1267</v>
      </c>
      <c r="H11909" s="380" t="s">
        <v>771</v>
      </c>
      <c r="I11909" s="380" t="s">
        <v>788</v>
      </c>
      <c r="J11909" s="380" t="s">
        <v>773</v>
      </c>
      <c r="K11909" s="381">
        <v>237619.0</v>
      </c>
      <c r="L11909" s="382">
        <v>1.0</v>
      </c>
    </row>
    <row r="11910">
      <c r="A11910" s="380" t="s">
        <v>12784</v>
      </c>
      <c r="B11910" s="380" t="str">
        <f>IFERROR(__xludf.DUMMYFUNCTION("""COMPUTED_VALUE"""),"Tapiz Interior Pilar Cabina Nkr Rw 89740")</f>
        <v>Tapiz Interior Pilar Cabina Nkr Rw 89740</v>
      </c>
      <c r="C11910" s="380" t="str">
        <f>IFERROR(__xludf.DUMMYFUNCTION("""COMPUTED_VALUE"""),"70007352")</f>
        <v>70007352</v>
      </c>
      <c r="D11910" s="380" t="s">
        <v>767</v>
      </c>
      <c r="E11910" s="380" t="s">
        <v>786</v>
      </c>
      <c r="F11910" s="380" t="s">
        <v>792</v>
      </c>
      <c r="G11910" s="380" t="s">
        <v>1267</v>
      </c>
      <c r="H11910" s="380" t="s">
        <v>771</v>
      </c>
      <c r="I11910" s="380" t="s">
        <v>788</v>
      </c>
      <c r="J11910" s="380" t="s">
        <v>773</v>
      </c>
      <c r="K11910" s="381">
        <v>0.0</v>
      </c>
      <c r="L11910" s="382">
        <v>1.0</v>
      </c>
    </row>
    <row r="11911">
      <c r="A11911" s="380" t="s">
        <v>12785</v>
      </c>
      <c r="B11911" s="380" t="str">
        <f>IFERROR(__xludf.DUMMYFUNCTION("""COMPUTED_VALUE"""),"Tapiz Puerta Derecha Nkr Rw 8974053056")</f>
        <v>Tapiz Puerta Derecha Nkr Rw 8974053056</v>
      </c>
      <c r="C11911" s="380" t="str">
        <f>IFERROR(__xludf.DUMMYFUNCTION("""COMPUTED_VALUE"""),"70007353")</f>
        <v>70007353</v>
      </c>
      <c r="D11911" s="380" t="s">
        <v>767</v>
      </c>
      <c r="E11911" s="380" t="s">
        <v>786</v>
      </c>
      <c r="F11911" s="380" t="s">
        <v>792</v>
      </c>
      <c r="G11911" s="380" t="s">
        <v>1267</v>
      </c>
      <c r="H11911" s="380" t="s">
        <v>771</v>
      </c>
      <c r="I11911" s="380" t="s">
        <v>788</v>
      </c>
      <c r="J11911" s="380" t="s">
        <v>773</v>
      </c>
      <c r="K11911" s="381">
        <v>0.0</v>
      </c>
      <c r="L11911" s="382">
        <v>1.0</v>
      </c>
    </row>
    <row r="11912">
      <c r="A11912" s="380" t="s">
        <v>12786</v>
      </c>
      <c r="B11912" s="380" t="str">
        <f>IFERROR(__xludf.DUMMYFUNCTION("""COMPUTED_VALUE"""),"Panel Lateral Carroceria Nkr Rw 89749876")</f>
        <v>Panel Lateral Carroceria Nkr Rw 89749876</v>
      </c>
      <c r="C11912" s="380" t="str">
        <f>IFERROR(__xludf.DUMMYFUNCTION("""COMPUTED_VALUE"""),"70007354")</f>
        <v>70007354</v>
      </c>
      <c r="D11912" s="380" t="s">
        <v>767</v>
      </c>
      <c r="E11912" s="380" t="s">
        <v>786</v>
      </c>
      <c r="F11912" s="380" t="s">
        <v>792</v>
      </c>
      <c r="G11912" s="380" t="s">
        <v>1267</v>
      </c>
      <c r="H11912" s="380" t="s">
        <v>771</v>
      </c>
      <c r="I11912" s="380" t="s">
        <v>788</v>
      </c>
      <c r="J11912" s="380" t="s">
        <v>773</v>
      </c>
      <c r="K11912" s="381">
        <v>0.0</v>
      </c>
      <c r="L11912" s="382">
        <v>1.0</v>
      </c>
    </row>
    <row r="11913">
      <c r="A11913" s="380" t="s">
        <v>12787</v>
      </c>
      <c r="B11913" s="380" t="str">
        <f>IFERROR(__xludf.DUMMYFUNCTION("""COMPUTED_VALUE"""),"Moldura Puerta Rh Nmr Nkr Rw 8980227601")</f>
        <v>Moldura Puerta Rh Nmr Nkr Rw 8980227601</v>
      </c>
      <c r="C11913" s="380" t="str">
        <f>IFERROR(__xludf.DUMMYFUNCTION("""COMPUTED_VALUE"""),"70007355")</f>
        <v>70007355</v>
      </c>
      <c r="D11913" s="380" t="s">
        <v>767</v>
      </c>
      <c r="E11913" s="380" t="s">
        <v>786</v>
      </c>
      <c r="F11913" s="380" t="s">
        <v>792</v>
      </c>
      <c r="G11913" s="380" t="s">
        <v>1267</v>
      </c>
      <c r="H11913" s="380" t="s">
        <v>771</v>
      </c>
      <c r="I11913" s="380" t="s">
        <v>788</v>
      </c>
      <c r="J11913" s="380" t="s">
        <v>773</v>
      </c>
      <c r="K11913" s="381">
        <v>0.0</v>
      </c>
      <c r="L11913" s="382">
        <v>1.0</v>
      </c>
    </row>
    <row r="11914">
      <c r="A11914" s="380" t="s">
        <v>12788</v>
      </c>
      <c r="B11914" s="380" t="str">
        <f>IFERROR(__xludf.DUMMYFUNCTION("""COMPUTED_VALUE"""),"Tapon Agujero Pta Del Der Nkr Rw 8980299")</f>
        <v>Tapon Agujero Pta Del Der Nkr Rw 8980299</v>
      </c>
      <c r="C11914" s="380" t="str">
        <f>IFERROR(__xludf.DUMMYFUNCTION("""COMPUTED_VALUE"""),"70007356")</f>
        <v>70007356</v>
      </c>
      <c r="D11914" s="380" t="s">
        <v>767</v>
      </c>
      <c r="E11914" s="380" t="s">
        <v>786</v>
      </c>
      <c r="F11914" s="380" t="s">
        <v>792</v>
      </c>
      <c r="G11914" s="380" t="s">
        <v>1267</v>
      </c>
      <c r="H11914" s="380" t="s">
        <v>771</v>
      </c>
      <c r="I11914" s="380" t="s">
        <v>788</v>
      </c>
      <c r="J11914" s="380" t="s">
        <v>773</v>
      </c>
      <c r="K11914" s="381">
        <v>0.0</v>
      </c>
      <c r="L11914" s="382">
        <v>1.0</v>
      </c>
    </row>
    <row r="11915">
      <c r="A11915" s="380" t="s">
        <v>12789</v>
      </c>
      <c r="B11915" s="380" t="str">
        <f>IFERROR(__xludf.DUMMYFUNCTION("""COMPUTED_VALUE"""),"Moldura INF Farolma Nkr Rw 8980340561")</f>
        <v>Moldura INF Farolma Nkr Rw 8980340561</v>
      </c>
      <c r="C11915" s="380" t="str">
        <f>IFERROR(__xludf.DUMMYFUNCTION("""COMPUTED_VALUE"""),"70007357")</f>
        <v>70007357</v>
      </c>
      <c r="D11915" s="380" t="s">
        <v>767</v>
      </c>
      <c r="E11915" s="380" t="s">
        <v>786</v>
      </c>
      <c r="F11915" s="380" t="s">
        <v>792</v>
      </c>
      <c r="G11915" s="380" t="s">
        <v>1267</v>
      </c>
      <c r="H11915" s="380" t="s">
        <v>771</v>
      </c>
      <c r="I11915" s="380" t="s">
        <v>788</v>
      </c>
      <c r="J11915" s="380" t="s">
        <v>773</v>
      </c>
      <c r="K11915" s="381">
        <v>0.0</v>
      </c>
      <c r="L11915" s="382">
        <v>1.0</v>
      </c>
    </row>
    <row r="11916">
      <c r="A11916" s="380" t="s">
        <v>12790</v>
      </c>
      <c r="B11916" s="380" t="str">
        <f>IFERROR(__xludf.DUMMYFUNCTION("""COMPUTED_VALUE"""),"RET 60x90x12 Bocin Del FT 7701023998475")</f>
        <v>RET 60x90x12 Bocin Del FT 7701023998475</v>
      </c>
      <c r="C11916" s="380" t="str">
        <f>IFERROR(__xludf.DUMMYFUNCTION("""COMPUTED_VALUE"""),"70007358")</f>
        <v>70007358</v>
      </c>
      <c r="D11916" s="380" t="s">
        <v>767</v>
      </c>
      <c r="E11916" s="380" t="s">
        <v>786</v>
      </c>
      <c r="F11916" s="380" t="s">
        <v>1017</v>
      </c>
      <c r="G11916" s="380" t="s">
        <v>1267</v>
      </c>
      <c r="H11916" s="380" t="s">
        <v>771</v>
      </c>
      <c r="I11916" s="380" t="s">
        <v>788</v>
      </c>
      <c r="J11916" s="380" t="s">
        <v>773</v>
      </c>
      <c r="K11916" s="381">
        <v>0.0</v>
      </c>
      <c r="L11916" s="382">
        <v>1.0</v>
      </c>
    </row>
    <row r="11917">
      <c r="A11917" s="380" t="s">
        <v>12791</v>
      </c>
      <c r="B11917" s="380" t="str">
        <f>IFERROR(__xludf.DUMMYFUNCTION("""COMPUTED_VALUE"""),"RET 100x120x13 Tras FT 7701023493512")</f>
        <v>RET 100x120x13 Tras FT 7701023493512</v>
      </c>
      <c r="C11917" s="380" t="str">
        <f>IFERROR(__xludf.DUMMYFUNCTION("""COMPUTED_VALUE"""),"70007359")</f>
        <v>70007359</v>
      </c>
      <c r="D11917" s="380" t="s">
        <v>767</v>
      </c>
      <c r="E11917" s="380" t="s">
        <v>786</v>
      </c>
      <c r="F11917" s="380" t="s">
        <v>1039</v>
      </c>
      <c r="G11917" s="380" t="s">
        <v>1267</v>
      </c>
      <c r="H11917" s="380" t="s">
        <v>771</v>
      </c>
      <c r="I11917" s="380" t="s">
        <v>788</v>
      </c>
      <c r="J11917" s="380" t="s">
        <v>773</v>
      </c>
      <c r="K11917" s="381">
        <v>0.0</v>
      </c>
      <c r="L11917" s="382">
        <v>1.0</v>
      </c>
    </row>
    <row r="11918">
      <c r="A11918" s="380" t="s">
        <v>12792</v>
      </c>
      <c r="B11918" s="380" t="str">
        <f>IFERROR(__xludf.DUMMYFUNCTION("""COMPUTED_VALUE"""),"RET 35x46x7 Sem Tras FT 7701023086332")</f>
        <v>RET 35x46x7 Sem Tras FT 7701023086332</v>
      </c>
      <c r="C11918" s="380" t="str">
        <f>IFERROR(__xludf.DUMMYFUNCTION("""COMPUTED_VALUE"""),"70007360")</f>
        <v>70007360</v>
      </c>
      <c r="D11918" s="380" t="s">
        <v>767</v>
      </c>
      <c r="E11918" s="380" t="s">
        <v>786</v>
      </c>
      <c r="F11918" s="380" t="s">
        <v>1039</v>
      </c>
      <c r="G11918" s="380" t="s">
        <v>1267</v>
      </c>
      <c r="H11918" s="380" t="s">
        <v>771</v>
      </c>
      <c r="I11918" s="380" t="s">
        <v>788</v>
      </c>
      <c r="J11918" s="380" t="s">
        <v>773</v>
      </c>
      <c r="K11918" s="381">
        <v>11199.0</v>
      </c>
      <c r="L11918" s="382">
        <v>1.0</v>
      </c>
    </row>
    <row r="11919">
      <c r="A11919" s="380" t="s">
        <v>12793</v>
      </c>
      <c r="B11919" s="380" t="str">
        <f>IFERROR(__xludf.DUMMYFUNCTION("""COMPUTED_VALUE"""),"Horquilla Embrague Nhr 8970245280")</f>
        <v>Horquilla Embrague Nhr 8970245280</v>
      </c>
      <c r="C11919" s="380" t="str">
        <f>IFERROR(__xludf.DUMMYFUNCTION("""COMPUTED_VALUE"""),"70007361")</f>
        <v>70007361</v>
      </c>
      <c r="D11919" s="380" t="s">
        <v>767</v>
      </c>
      <c r="E11919" s="380" t="s">
        <v>786</v>
      </c>
      <c r="F11919" s="380" t="s">
        <v>5661</v>
      </c>
      <c r="G11919" s="380" t="s">
        <v>1267</v>
      </c>
      <c r="H11919" s="380" t="s">
        <v>771</v>
      </c>
      <c r="I11919" s="380" t="s">
        <v>788</v>
      </c>
      <c r="J11919" s="380" t="s">
        <v>773</v>
      </c>
      <c r="K11919" s="381">
        <v>0.0</v>
      </c>
      <c r="L11919" s="382">
        <v>1.0</v>
      </c>
    </row>
    <row r="11920">
      <c r="A11920" s="380" t="s">
        <v>12794</v>
      </c>
      <c r="B11920" s="380" t="str">
        <f>IFERROR(__xludf.DUMMYFUNCTION("""COMPUTED_VALUE"""),"Esparrago Eje 10 X 50 Y Tuerca Nkr")</f>
        <v>Esparrago Eje 10 X 50 Y Tuerca Nkr</v>
      </c>
      <c r="C11920" s="380" t="str">
        <f>IFERROR(__xludf.DUMMYFUNCTION("""COMPUTED_VALUE"""),"70007362")</f>
        <v>70007362</v>
      </c>
      <c r="D11920" s="380" t="s">
        <v>767</v>
      </c>
      <c r="E11920" s="380" t="s">
        <v>786</v>
      </c>
      <c r="F11920" s="380" t="s">
        <v>5683</v>
      </c>
      <c r="G11920" s="380" t="s">
        <v>1267</v>
      </c>
      <c r="H11920" s="380" t="s">
        <v>771</v>
      </c>
      <c r="I11920" s="380" t="s">
        <v>788</v>
      </c>
      <c r="J11920" s="380" t="s">
        <v>773</v>
      </c>
      <c r="K11920" s="381">
        <v>0.0</v>
      </c>
      <c r="L11920" s="382">
        <v>1.0</v>
      </c>
    </row>
    <row r="11921">
      <c r="A11921" s="380" t="s">
        <v>12795</v>
      </c>
      <c r="B11921" s="380" t="str">
        <f>IFERROR(__xludf.DUMMYFUNCTION("""COMPUTED_VALUE"""),"Tapa Valvula Motor Npr 8943960152")</f>
        <v>Tapa Valvula Motor Npr 8943960152</v>
      </c>
      <c r="C11921" s="380" t="str">
        <f>IFERROR(__xludf.DUMMYFUNCTION("""COMPUTED_VALUE"""),"70007363")</f>
        <v>70007363</v>
      </c>
      <c r="D11921" s="380" t="s">
        <v>767</v>
      </c>
      <c r="E11921" s="380" t="s">
        <v>786</v>
      </c>
      <c r="F11921" s="380" t="s">
        <v>787</v>
      </c>
      <c r="G11921" s="380" t="s">
        <v>1267</v>
      </c>
      <c r="H11921" s="380" t="s">
        <v>771</v>
      </c>
      <c r="I11921" s="380" t="s">
        <v>788</v>
      </c>
      <c r="J11921" s="380" t="s">
        <v>773</v>
      </c>
      <c r="K11921" s="381">
        <v>0.0</v>
      </c>
      <c r="L11921" s="382">
        <v>1.0</v>
      </c>
    </row>
    <row r="11922">
      <c r="A11922" s="380" t="s">
        <v>12796</v>
      </c>
      <c r="B11922" s="380" t="str">
        <f>IFERROR(__xludf.DUMMYFUNCTION("""COMPUTED_VALUE"""),"FILT Secador AIR Prostar Wabco Bx5008414")</f>
        <v>FILT Secador AIR Prostar Wabco Bx5008414</v>
      </c>
      <c r="C11922" s="380" t="str">
        <f>IFERROR(__xludf.DUMMYFUNCTION("""COMPUTED_VALUE"""),"70007364")</f>
        <v>70007364</v>
      </c>
      <c r="D11922" s="380" t="s">
        <v>767</v>
      </c>
      <c r="E11922" s="380" t="s">
        <v>786</v>
      </c>
      <c r="F11922" s="380" t="s">
        <v>5855</v>
      </c>
      <c r="G11922" s="380" t="s">
        <v>1267</v>
      </c>
      <c r="H11922" s="380" t="s">
        <v>771</v>
      </c>
      <c r="I11922" s="380" t="s">
        <v>788</v>
      </c>
      <c r="J11922" s="380" t="s">
        <v>773</v>
      </c>
      <c r="K11922" s="381">
        <v>0.0</v>
      </c>
      <c r="L11922" s="382">
        <v>1.0</v>
      </c>
    </row>
    <row r="11923">
      <c r="A11923" s="380" t="s">
        <v>12797</v>
      </c>
      <c r="B11923" s="380" t="str">
        <f>IFERROR(__xludf.DUMMYFUNCTION("""COMPUTED_VALUE"""),"Piñón Tercera Ftr 8981685010")</f>
        <v>Piñón Tercera Ftr 8981685010</v>
      </c>
      <c r="C11923" s="380" t="str">
        <f>IFERROR(__xludf.DUMMYFUNCTION("""COMPUTED_VALUE"""),"70007365")</f>
        <v>70007365</v>
      </c>
      <c r="D11923" s="380" t="s">
        <v>767</v>
      </c>
      <c r="E11923" s="380" t="s">
        <v>786</v>
      </c>
      <c r="F11923" s="380" t="s">
        <v>928</v>
      </c>
      <c r="G11923" s="380" t="s">
        <v>1267</v>
      </c>
      <c r="H11923" s="380" t="s">
        <v>771</v>
      </c>
      <c r="I11923" s="380" t="s">
        <v>788</v>
      </c>
      <c r="J11923" s="380" t="s">
        <v>773</v>
      </c>
      <c r="K11923" s="381">
        <v>0.0</v>
      </c>
      <c r="L11923" s="382">
        <v>1.0</v>
      </c>
    </row>
    <row r="11924">
      <c r="A11924" s="380" t="s">
        <v>12798</v>
      </c>
      <c r="B11924" s="380" t="str">
        <f>IFERROR(__xludf.DUMMYFUNCTION("""COMPUTED_VALUE"""),"Alternador 100a Mack Cxu 21286172")</f>
        <v>Alternador 100a Mack Cxu 21286172</v>
      </c>
      <c r="C11924" s="380" t="str">
        <f>IFERROR(__xludf.DUMMYFUNCTION("""COMPUTED_VALUE"""),"70007366")</f>
        <v>70007366</v>
      </c>
      <c r="D11924" s="380" t="s">
        <v>767</v>
      </c>
      <c r="E11924" s="380" t="s">
        <v>786</v>
      </c>
      <c r="F11924" s="380" t="s">
        <v>998</v>
      </c>
      <c r="G11924" s="380" t="s">
        <v>1267</v>
      </c>
      <c r="H11924" s="380" t="s">
        <v>771</v>
      </c>
      <c r="I11924" s="380" t="s">
        <v>788</v>
      </c>
      <c r="J11924" s="380" t="s">
        <v>773</v>
      </c>
      <c r="K11924" s="381">
        <v>0.0</v>
      </c>
      <c r="L11924" s="382">
        <v>1.0</v>
      </c>
    </row>
    <row r="11925">
      <c r="A11925" s="380" t="s">
        <v>12799</v>
      </c>
      <c r="B11925" s="380" t="str">
        <f>IFERROR(__xludf.DUMMYFUNCTION("""COMPUTED_VALUE"""),"Tubo BRR Tensora Corta Prosta Hd64473000")</f>
        <v>Tubo BRR Tensora Corta Prosta Hd64473000</v>
      </c>
      <c r="C11925" s="380" t="str">
        <f>IFERROR(__xludf.DUMMYFUNCTION("""COMPUTED_VALUE"""),"70007367")</f>
        <v>70007367</v>
      </c>
      <c r="D11925" s="380" t="s">
        <v>767</v>
      </c>
      <c r="E11925" s="380" t="s">
        <v>786</v>
      </c>
      <c r="F11925" s="380" t="s">
        <v>1039</v>
      </c>
      <c r="G11925" s="380" t="s">
        <v>1267</v>
      </c>
      <c r="H11925" s="380" t="s">
        <v>771</v>
      </c>
      <c r="I11925" s="380" t="s">
        <v>788</v>
      </c>
      <c r="J11925" s="380" t="s">
        <v>773</v>
      </c>
      <c r="K11925" s="381">
        <v>0.0</v>
      </c>
      <c r="L11925" s="382">
        <v>1.0</v>
      </c>
    </row>
    <row r="11926">
      <c r="A11926" s="380" t="s">
        <v>12800</v>
      </c>
      <c r="B11926" s="380" t="str">
        <f>IFERROR(__xludf.DUMMYFUNCTION("""COMPUTED_VALUE"""),"Buje Xtrb Corbatin Barpin Pro Hd66649002")</f>
        <v>Buje Xtrb Corbatin Barpin Pro Hd66649002</v>
      </c>
      <c r="C11926" s="380" t="str">
        <f>IFERROR(__xludf.DUMMYFUNCTION("""COMPUTED_VALUE"""),"70007368")</f>
        <v>70007368</v>
      </c>
      <c r="D11926" s="380" t="s">
        <v>767</v>
      </c>
      <c r="E11926" s="380" t="s">
        <v>786</v>
      </c>
      <c r="F11926" s="380" t="s">
        <v>1039</v>
      </c>
      <c r="G11926" s="380" t="s">
        <v>1267</v>
      </c>
      <c r="H11926" s="380" t="s">
        <v>771</v>
      </c>
      <c r="I11926" s="380" t="s">
        <v>788</v>
      </c>
      <c r="J11926" s="380" t="s">
        <v>773</v>
      </c>
      <c r="K11926" s="381">
        <v>0.0</v>
      </c>
      <c r="L11926" s="382">
        <v>1.0</v>
      </c>
    </row>
    <row r="11927">
      <c r="A11927" s="380" t="s">
        <v>12801</v>
      </c>
      <c r="B11927" s="380" t="str">
        <f>IFERROR(__xludf.DUMMYFUNCTION("""COMPUTED_VALUE"""),"Buje Xtrb Conico Prostar Hend Hd66649004")</f>
        <v>Buje Xtrb Conico Prostar Hend Hd66649004</v>
      </c>
      <c r="C11927" s="380" t="str">
        <f>IFERROR(__xludf.DUMMYFUNCTION("""COMPUTED_VALUE"""),"70007369")</f>
        <v>70007369</v>
      </c>
      <c r="D11927" s="380" t="s">
        <v>767</v>
      </c>
      <c r="E11927" s="380" t="s">
        <v>786</v>
      </c>
      <c r="F11927" s="380" t="s">
        <v>1039</v>
      </c>
      <c r="G11927" s="380" t="s">
        <v>1267</v>
      </c>
      <c r="H11927" s="380" t="s">
        <v>771</v>
      </c>
      <c r="I11927" s="380" t="s">
        <v>788</v>
      </c>
      <c r="J11927" s="380" t="s">
        <v>773</v>
      </c>
      <c r="K11927" s="381">
        <v>0.0</v>
      </c>
      <c r="L11927" s="382">
        <v>1.0</v>
      </c>
    </row>
    <row r="11928">
      <c r="A11928" s="380" t="s">
        <v>12802</v>
      </c>
      <c r="B11928" s="380" t="str">
        <f>IFERROR(__xludf.DUMMYFUNCTION("""COMPUTED_VALUE"""),"Grapa Muelle Tras FTR 1878702681")</f>
        <v>Grapa Muelle Tras FTR 1878702681</v>
      </c>
      <c r="C11928" s="380" t="str">
        <f>IFERROR(__xludf.DUMMYFUNCTION("""COMPUTED_VALUE"""),"70007370")</f>
        <v>70007370</v>
      </c>
      <c r="D11928" s="380" t="s">
        <v>767</v>
      </c>
      <c r="E11928" s="380" t="s">
        <v>786</v>
      </c>
      <c r="F11928" s="380" t="s">
        <v>1039</v>
      </c>
      <c r="G11928" s="380" t="s">
        <v>1267</v>
      </c>
      <c r="H11928" s="380" t="s">
        <v>771</v>
      </c>
      <c r="I11928" s="380" t="s">
        <v>788</v>
      </c>
      <c r="J11928" s="380" t="s">
        <v>773</v>
      </c>
      <c r="K11928" s="381">
        <v>0.0</v>
      </c>
      <c r="L11928" s="382">
        <v>1.0</v>
      </c>
    </row>
    <row r="11929">
      <c r="A11929" s="380" t="s">
        <v>12803</v>
      </c>
      <c r="B11929" s="380" t="str">
        <f>IFERROR(__xludf.DUMMYFUNCTION("""COMPUTED_VALUE"""),"VALV Seguro TANQ AIR MCK Anthem 23300004")</f>
        <v>VALV Seguro TANQ AIR MCK Anthem 23300004</v>
      </c>
      <c r="C11929" s="380" t="str">
        <f>IFERROR(__xludf.DUMMYFUNCTION("""COMPUTED_VALUE"""),"70007371")</f>
        <v>70007371</v>
      </c>
      <c r="D11929" s="380" t="s">
        <v>767</v>
      </c>
      <c r="E11929" s="380" t="s">
        <v>786</v>
      </c>
      <c r="F11929" s="380" t="s">
        <v>792</v>
      </c>
      <c r="G11929" s="380" t="s">
        <v>1267</v>
      </c>
      <c r="H11929" s="380" t="s">
        <v>771</v>
      </c>
      <c r="I11929" s="380" t="s">
        <v>788</v>
      </c>
      <c r="J11929" s="380" t="s">
        <v>773</v>
      </c>
      <c r="K11929" s="381">
        <v>0.0</v>
      </c>
      <c r="L11929" s="382">
        <v>1.0</v>
      </c>
    </row>
    <row r="11930">
      <c r="A11930" s="380" t="s">
        <v>12804</v>
      </c>
      <c r="B11930" s="380" t="str">
        <f>IFERROR(__xludf.DUMMYFUNCTION("""COMPUTED_VALUE"""),"Camara Freno Ahogo Nkr III 8980435960")</f>
        <v>Camara Freno Ahogo Nkr III 8980435960</v>
      </c>
      <c r="C11930" s="380" t="str">
        <f>IFERROR(__xludf.DUMMYFUNCTION("""COMPUTED_VALUE"""),"70007372")</f>
        <v>70007372</v>
      </c>
      <c r="D11930" s="380" t="s">
        <v>767</v>
      </c>
      <c r="E11930" s="380" t="s">
        <v>786</v>
      </c>
      <c r="F11930" s="380" t="s">
        <v>1017</v>
      </c>
      <c r="G11930" s="380" t="s">
        <v>1267</v>
      </c>
      <c r="H11930" s="380" t="s">
        <v>771</v>
      </c>
      <c r="I11930" s="380" t="s">
        <v>788</v>
      </c>
      <c r="J11930" s="380" t="s">
        <v>773</v>
      </c>
      <c r="K11930" s="381">
        <v>0.0</v>
      </c>
      <c r="L11930" s="382">
        <v>1.0</v>
      </c>
    </row>
    <row r="11931">
      <c r="A11931" s="380" t="s">
        <v>12805</v>
      </c>
      <c r="B11931" s="380" t="str">
        <f>IFERROR(__xludf.DUMMYFUNCTION("""COMPUTED_VALUE"""),"Retrovisor Con Desempañante KW T8 Sh716s")</f>
        <v>Retrovisor Con Desempañante KW T8 Sh716s</v>
      </c>
      <c r="C11931" s="380" t="str">
        <f>IFERROR(__xludf.DUMMYFUNCTION("""COMPUTED_VALUE"""),"70007373")</f>
        <v>70007373</v>
      </c>
      <c r="D11931" s="380" t="s">
        <v>767</v>
      </c>
      <c r="E11931" s="380" t="s">
        <v>786</v>
      </c>
      <c r="F11931" s="380" t="s">
        <v>792</v>
      </c>
      <c r="G11931" s="380" t="s">
        <v>1267</v>
      </c>
      <c r="H11931" s="380" t="s">
        <v>771</v>
      </c>
      <c r="I11931" s="380" t="s">
        <v>788</v>
      </c>
      <c r="J11931" s="380" t="s">
        <v>773</v>
      </c>
      <c r="K11931" s="381">
        <v>0.0</v>
      </c>
      <c r="L11931" s="382">
        <v>1.0</v>
      </c>
    </row>
    <row r="11932">
      <c r="A11932" s="380" t="s">
        <v>12806</v>
      </c>
      <c r="B11932" s="380" t="str">
        <f>IFERROR(__xludf.DUMMYFUNCTION("""COMPUTED_VALUE"""),"Barra Corta Direccion Mack Cxu 25190682")</f>
        <v>Barra Corta Direccion Mack Cxu 25190682</v>
      </c>
      <c r="C11932" s="380" t="str">
        <f>IFERROR(__xludf.DUMMYFUNCTION("""COMPUTED_VALUE"""),"70007374")</f>
        <v>70007374</v>
      </c>
      <c r="D11932" s="380" t="s">
        <v>767</v>
      </c>
      <c r="E11932" s="380" t="s">
        <v>786</v>
      </c>
      <c r="F11932" s="380" t="s">
        <v>928</v>
      </c>
      <c r="G11932" s="380" t="s">
        <v>1267</v>
      </c>
      <c r="H11932" s="380" t="s">
        <v>771</v>
      </c>
      <c r="I11932" s="380" t="s">
        <v>788</v>
      </c>
      <c r="J11932" s="380" t="s">
        <v>773</v>
      </c>
      <c r="K11932" s="381">
        <v>0.0</v>
      </c>
      <c r="L11932" s="382">
        <v>1.0</v>
      </c>
    </row>
    <row r="11933">
      <c r="A11933" s="380" t="s">
        <v>12807</v>
      </c>
      <c r="B11933" s="380" t="str">
        <f>IFERROR(__xludf.DUMMYFUNCTION("""COMPUTED_VALUE"""),"BMB Principal EMB Jac 1042 1605010le0")</f>
        <v>BMB Principal EMB Jac 1042 1605010le0</v>
      </c>
      <c r="C11933" s="380" t="str">
        <f>IFERROR(__xludf.DUMMYFUNCTION("""COMPUTED_VALUE"""),"70007375")</f>
        <v>70007375</v>
      </c>
      <c r="D11933" s="380" t="s">
        <v>767</v>
      </c>
      <c r="E11933" s="380" t="s">
        <v>786</v>
      </c>
      <c r="F11933" s="380" t="s">
        <v>5661</v>
      </c>
      <c r="G11933" s="380" t="s">
        <v>1267</v>
      </c>
      <c r="H11933" s="380" t="s">
        <v>771</v>
      </c>
      <c r="I11933" s="380" t="s">
        <v>788</v>
      </c>
      <c r="J11933" s="380" t="s">
        <v>773</v>
      </c>
      <c r="K11933" s="381">
        <v>0.0</v>
      </c>
      <c r="L11933" s="382">
        <v>1.0</v>
      </c>
    </row>
    <row r="11934">
      <c r="A11934" s="380" t="s">
        <v>12808</v>
      </c>
      <c r="B11934" s="380" t="str">
        <f>IFERROR(__xludf.DUMMYFUNCTION("""COMPUTED_VALUE"""),"Zapata 1 Freno Tras FT 1128 770594692708")</f>
        <v>Zapata 1 Freno Tras FT 1128 770594692708</v>
      </c>
      <c r="C11934" s="380" t="str">
        <f>IFERROR(__xludf.DUMMYFUNCTION("""COMPUTED_VALUE"""),"70007376")</f>
        <v>70007376</v>
      </c>
      <c r="D11934" s="380" t="s">
        <v>767</v>
      </c>
      <c r="E11934" s="380" t="s">
        <v>786</v>
      </c>
      <c r="F11934" s="380" t="s">
        <v>1017</v>
      </c>
      <c r="G11934" s="380" t="s">
        <v>1267</v>
      </c>
      <c r="H11934" s="380" t="s">
        <v>771</v>
      </c>
      <c r="I11934" s="380" t="s">
        <v>788</v>
      </c>
      <c r="J11934" s="380" t="s">
        <v>773</v>
      </c>
      <c r="K11934" s="381">
        <v>0.0</v>
      </c>
      <c r="L11934" s="382">
        <v>1.0</v>
      </c>
    </row>
    <row r="11935">
      <c r="A11935" s="380" t="s">
        <v>12809</v>
      </c>
      <c r="B11935" s="380" t="str">
        <f>IFERROR(__xludf.DUMMYFUNCTION("""COMPUTED_VALUE"""),"Zapata 2 Freno Tras FT 1128 770594692709")</f>
        <v>Zapata 2 Freno Tras FT 1128 770594692709</v>
      </c>
      <c r="C11935" s="380" t="str">
        <f>IFERROR(__xludf.DUMMYFUNCTION("""COMPUTED_VALUE"""),"70007377")</f>
        <v>70007377</v>
      </c>
      <c r="D11935" s="380" t="s">
        <v>767</v>
      </c>
      <c r="E11935" s="380" t="s">
        <v>786</v>
      </c>
      <c r="F11935" s="380" t="s">
        <v>1017</v>
      </c>
      <c r="G11935" s="380" t="s">
        <v>1267</v>
      </c>
      <c r="H11935" s="380" t="s">
        <v>771</v>
      </c>
      <c r="I11935" s="380" t="s">
        <v>788</v>
      </c>
      <c r="J11935" s="380" t="s">
        <v>773</v>
      </c>
      <c r="K11935" s="381">
        <v>0.0</v>
      </c>
      <c r="L11935" s="382">
        <v>1.0</v>
      </c>
    </row>
    <row r="11936">
      <c r="A11936" s="380" t="s">
        <v>12810</v>
      </c>
      <c r="B11936" s="380" t="str">
        <f>IFERROR(__xludf.DUMMYFUNCTION("""COMPUTED_VALUE"""),"Pin Plastico Esquinero Jac 1120 5302103l")</f>
        <v>Pin Plastico Esquinero Jac 1120 5302103l</v>
      </c>
      <c r="C11936" s="380" t="str">
        <f>IFERROR(__xludf.DUMMYFUNCTION("""COMPUTED_VALUE"""),"70007378")</f>
        <v>70007378</v>
      </c>
      <c r="D11936" s="380" t="s">
        <v>767</v>
      </c>
      <c r="E11936" s="380" t="s">
        <v>786</v>
      </c>
      <c r="F11936" s="380" t="s">
        <v>792</v>
      </c>
      <c r="G11936" s="380" t="s">
        <v>1267</v>
      </c>
      <c r="H11936" s="380" t="s">
        <v>771</v>
      </c>
      <c r="I11936" s="380" t="s">
        <v>788</v>
      </c>
      <c r="J11936" s="380" t="s">
        <v>773</v>
      </c>
      <c r="K11936" s="381">
        <v>0.0</v>
      </c>
      <c r="L11936" s="382">
        <v>1.0</v>
      </c>
    </row>
    <row r="11937">
      <c r="A11937" s="380" t="s">
        <v>12811</v>
      </c>
      <c r="B11937" s="380" t="str">
        <f>IFERROR(__xludf.DUMMYFUNCTION("""COMPUTED_VALUE"""),"SOP Sup Amortiguador/Cxu 8083 2330000297")</f>
        <v>SOP Sup Amortiguador/Cxu 8083 2330000297</v>
      </c>
      <c r="C11937" s="380" t="str">
        <f>IFERROR(__xludf.DUMMYFUNCTION("""COMPUTED_VALUE"""),"70007379")</f>
        <v>70007379</v>
      </c>
      <c r="D11937" s="380" t="s">
        <v>767</v>
      </c>
      <c r="E11937" s="380" t="s">
        <v>786</v>
      </c>
      <c r="F11937" s="380" t="s">
        <v>792</v>
      </c>
      <c r="G11937" s="380" t="s">
        <v>1267</v>
      </c>
      <c r="H11937" s="380" t="s">
        <v>771</v>
      </c>
      <c r="I11937" s="380" t="s">
        <v>788</v>
      </c>
      <c r="J11937" s="380" t="s">
        <v>773</v>
      </c>
      <c r="K11937" s="381">
        <v>428876.0</v>
      </c>
      <c r="L11937" s="382">
        <v>1.0</v>
      </c>
    </row>
    <row r="11938">
      <c r="A11938" s="380" t="s">
        <v>12812</v>
      </c>
      <c r="B11938" s="380" t="str">
        <f>IFERROR(__xludf.DUMMYFUNCTION("""COMPUTED_VALUE"""),"Zapa Muelle Tras Part. Del Derecha Ftr 1")</f>
        <v>Zapa Muelle Tras Part. Del Derecha Ftr 1</v>
      </c>
      <c r="C11938" s="380" t="str">
        <f>IFERROR(__xludf.DUMMYFUNCTION("""COMPUTED_VALUE"""),"70007380")</f>
        <v>70007380</v>
      </c>
      <c r="D11938" s="380" t="s">
        <v>767</v>
      </c>
      <c r="E11938" s="380" t="s">
        <v>786</v>
      </c>
      <c r="F11938" s="380" t="s">
        <v>1039</v>
      </c>
      <c r="G11938" s="380" t="s">
        <v>1267</v>
      </c>
      <c r="H11938" s="380" t="s">
        <v>771</v>
      </c>
      <c r="I11938" s="380" t="s">
        <v>788</v>
      </c>
      <c r="J11938" s="380" t="s">
        <v>773</v>
      </c>
      <c r="K11938" s="381">
        <v>0.0</v>
      </c>
      <c r="L11938" s="382">
        <v>1.0</v>
      </c>
    </row>
    <row r="11939">
      <c r="A11939" s="380" t="s">
        <v>12813</v>
      </c>
      <c r="B11939" s="380" t="str">
        <f>IFERROR(__xludf.DUMMYFUNCTION("""COMPUTED_VALUE"""),"Carcasa Espejo Retrovisor Izq INT Lt 251")</f>
        <v>Carcasa Espejo Retrovisor Izq INT Lt 251</v>
      </c>
      <c r="C11939" s="380" t="str">
        <f>IFERROR(__xludf.DUMMYFUNCTION("""COMPUTED_VALUE"""),"70007381")</f>
        <v>70007381</v>
      </c>
      <c r="D11939" s="380" t="s">
        <v>767</v>
      </c>
      <c r="E11939" s="380" t="s">
        <v>786</v>
      </c>
      <c r="F11939" s="380" t="s">
        <v>792</v>
      </c>
      <c r="G11939" s="380" t="s">
        <v>1267</v>
      </c>
      <c r="H11939" s="380" t="s">
        <v>771</v>
      </c>
      <c r="I11939" s="380" t="s">
        <v>788</v>
      </c>
      <c r="J11939" s="380" t="s">
        <v>773</v>
      </c>
      <c r="K11939" s="381">
        <v>0.0</v>
      </c>
      <c r="L11939" s="382">
        <v>1.0</v>
      </c>
    </row>
    <row r="11940">
      <c r="A11940" s="380" t="s">
        <v>12814</v>
      </c>
      <c r="B11940" s="380" t="str">
        <f>IFERROR(__xludf.DUMMYFUNCTION("""COMPUTED_VALUE"""),"Anillos X 1 Piston FT 1030 7705946686143")</f>
        <v>Anillos X 1 Piston FT 1030 7705946686143</v>
      </c>
      <c r="C11940" s="380" t="str">
        <f>IFERROR(__xludf.DUMMYFUNCTION("""COMPUTED_VALUE"""),"70007382")</f>
        <v>70007382</v>
      </c>
      <c r="D11940" s="380" t="s">
        <v>767</v>
      </c>
      <c r="E11940" s="380" t="s">
        <v>786</v>
      </c>
      <c r="F11940" s="380" t="s">
        <v>787</v>
      </c>
      <c r="G11940" s="380" t="s">
        <v>1267</v>
      </c>
      <c r="H11940" s="380" t="s">
        <v>771</v>
      </c>
      <c r="I11940" s="380" t="s">
        <v>788</v>
      </c>
      <c r="J11940" s="380" t="s">
        <v>773</v>
      </c>
      <c r="K11940" s="381">
        <v>0.0</v>
      </c>
      <c r="L11940" s="382">
        <v>1.0</v>
      </c>
    </row>
    <row r="11941">
      <c r="A11941" s="380" t="s">
        <v>12815</v>
      </c>
      <c r="B11941" s="380" t="str">
        <f>IFERROR(__xludf.DUMMYFUNCTION("""COMPUTED_VALUE"""),"Casquetes De Bancada FT 1030 77095946760")</f>
        <v>Casquetes De Bancada FT 1030 77095946760</v>
      </c>
      <c r="C11941" s="380" t="str">
        <f>IFERROR(__xludf.DUMMYFUNCTION("""COMPUTED_VALUE"""),"70007383")</f>
        <v>70007383</v>
      </c>
      <c r="D11941" s="380" t="s">
        <v>767</v>
      </c>
      <c r="E11941" s="380" t="s">
        <v>786</v>
      </c>
      <c r="F11941" s="380" t="s">
        <v>787</v>
      </c>
      <c r="G11941" s="380" t="s">
        <v>1267</v>
      </c>
      <c r="H11941" s="380" t="s">
        <v>771</v>
      </c>
      <c r="I11941" s="380" t="s">
        <v>788</v>
      </c>
      <c r="J11941" s="380" t="s">
        <v>773</v>
      </c>
      <c r="K11941" s="381">
        <v>0.0</v>
      </c>
      <c r="L11941" s="382">
        <v>1.0</v>
      </c>
    </row>
    <row r="11942">
      <c r="A11942" s="380" t="s">
        <v>12816</v>
      </c>
      <c r="B11942" s="380" t="str">
        <f>IFERROR(__xludf.DUMMYFUNCTION("""COMPUTED_VALUE"""),"Casquetes De Biela FT 1030 7709594676028")</f>
        <v>Casquetes De Biela FT 1030 7709594676028</v>
      </c>
      <c r="C11942" s="380" t="str">
        <f>IFERROR(__xludf.DUMMYFUNCTION("""COMPUTED_VALUE"""),"70007384")</f>
        <v>70007384</v>
      </c>
      <c r="D11942" s="380" t="s">
        <v>767</v>
      </c>
      <c r="E11942" s="380" t="s">
        <v>786</v>
      </c>
      <c r="F11942" s="380" t="s">
        <v>787</v>
      </c>
      <c r="G11942" s="380" t="s">
        <v>1267</v>
      </c>
      <c r="H11942" s="380" t="s">
        <v>771</v>
      </c>
      <c r="I11942" s="380" t="s">
        <v>788</v>
      </c>
      <c r="J11942" s="380" t="s">
        <v>773</v>
      </c>
      <c r="K11942" s="381">
        <v>150880.0</v>
      </c>
      <c r="L11942" s="382">
        <v>1.0</v>
      </c>
    </row>
    <row r="11943">
      <c r="A11943" s="380" t="s">
        <v>12817</v>
      </c>
      <c r="B11943" s="380" t="str">
        <f>IFERROR(__xludf.DUMMYFUNCTION("""COMPUTED_VALUE"""),"BMB Transferencia CUMM 4983584 Planta EL")</f>
        <v>BMB Transferencia CUMM 4983584 Planta EL</v>
      </c>
      <c r="C11943" s="380" t="str">
        <f>IFERROR(__xludf.DUMMYFUNCTION("""COMPUTED_VALUE"""),"70007385")</f>
        <v>70007385</v>
      </c>
      <c r="D11943" s="380" t="s">
        <v>767</v>
      </c>
      <c r="E11943" s="380" t="s">
        <v>786</v>
      </c>
      <c r="F11943" s="380" t="s">
        <v>787</v>
      </c>
      <c r="G11943" s="380" t="s">
        <v>1267</v>
      </c>
      <c r="H11943" s="380" t="s">
        <v>771</v>
      </c>
      <c r="I11943" s="380" t="s">
        <v>788</v>
      </c>
      <c r="J11943" s="380" t="s">
        <v>773</v>
      </c>
      <c r="K11943" s="381">
        <v>0.0</v>
      </c>
      <c r="L11943" s="382">
        <v>1.0</v>
      </c>
    </row>
    <row r="11944">
      <c r="A11944" s="380" t="s">
        <v>12818</v>
      </c>
      <c r="B11944" s="380" t="str">
        <f>IFERROR(__xludf.DUMMYFUNCTION("""COMPUTED_VALUE"""),"Carcasa Switch Encendido INT Lt 3545580c")</f>
        <v>Carcasa Switch Encendido INT Lt 3545580c</v>
      </c>
      <c r="C11944" s="380" t="str">
        <f>IFERROR(__xludf.DUMMYFUNCTION("""COMPUTED_VALUE"""),"70007386")</f>
        <v>70007386</v>
      </c>
      <c r="D11944" s="380" t="s">
        <v>767</v>
      </c>
      <c r="E11944" s="380" t="s">
        <v>786</v>
      </c>
      <c r="F11944" s="380" t="s">
        <v>998</v>
      </c>
      <c r="G11944" s="380" t="s">
        <v>1267</v>
      </c>
      <c r="H11944" s="380" t="s">
        <v>771</v>
      </c>
      <c r="I11944" s="380" t="s">
        <v>788</v>
      </c>
      <c r="J11944" s="380" t="s">
        <v>773</v>
      </c>
      <c r="K11944" s="381">
        <v>0.0</v>
      </c>
      <c r="L11944" s="382">
        <v>1.0</v>
      </c>
    </row>
    <row r="11945">
      <c r="A11945" s="380" t="s">
        <v>12819</v>
      </c>
      <c r="B11945" s="380" t="str">
        <f>IFERROR(__xludf.DUMMYFUNCTION("""COMPUTED_VALUE"""),"Medidor De COMB Hi Internatio 1684364c7")</f>
        <v>Medidor De COMB Hi Internatio 1684364c7</v>
      </c>
      <c r="C11945" s="380" t="str">
        <f>IFERROR(__xludf.DUMMYFUNCTION("""COMPUTED_VALUE"""),"70007387")</f>
        <v>70007387</v>
      </c>
      <c r="D11945" s="380" t="s">
        <v>767</v>
      </c>
      <c r="E11945" s="380" t="s">
        <v>786</v>
      </c>
      <c r="F11945" s="380" t="s">
        <v>998</v>
      </c>
      <c r="G11945" s="380" t="s">
        <v>1267</v>
      </c>
      <c r="H11945" s="380" t="s">
        <v>771</v>
      </c>
      <c r="I11945" s="380" t="s">
        <v>788</v>
      </c>
      <c r="J11945" s="380" t="s">
        <v>773</v>
      </c>
      <c r="K11945" s="381">
        <v>0.0</v>
      </c>
      <c r="L11945" s="382">
        <v>1.0</v>
      </c>
    </row>
    <row r="11946">
      <c r="A11946" s="380" t="s">
        <v>12820</v>
      </c>
      <c r="B11946" s="380" t="str">
        <f>IFERROR(__xludf.DUMMYFUNCTION("""COMPUTED_VALUE"""),"BMB Hidraulica Plataforma Quimicos 12v 0")</f>
        <v>BMB Hidraulica Plataforma Quimicos 12v 0</v>
      </c>
      <c r="C11946" s="380" t="str">
        <f>IFERROR(__xludf.DUMMYFUNCTION("""COMPUTED_VALUE"""),"70007388")</f>
        <v>70007388</v>
      </c>
      <c r="D11946" s="380" t="s">
        <v>767</v>
      </c>
      <c r="E11946" s="380" t="s">
        <v>786</v>
      </c>
      <c r="F11946" s="380" t="s">
        <v>998</v>
      </c>
      <c r="G11946" s="380" t="s">
        <v>1267</v>
      </c>
      <c r="H11946" s="380" t="s">
        <v>771</v>
      </c>
      <c r="I11946" s="380" t="s">
        <v>788</v>
      </c>
      <c r="J11946" s="380" t="s">
        <v>773</v>
      </c>
      <c r="K11946" s="381">
        <v>0.0</v>
      </c>
      <c r="L11946" s="382">
        <v>1.0</v>
      </c>
    </row>
    <row r="11947">
      <c r="A11947" s="380" t="s">
        <v>12821</v>
      </c>
      <c r="B11947" s="380" t="str">
        <f>IFERROR(__xludf.DUMMYFUNCTION("""COMPUTED_VALUE"""),"Tuerca Tornillo Su Internatio 2022651 C1")</f>
        <v>Tuerca Tornillo Su Internatio 2022651 C1</v>
      </c>
      <c r="C11947" s="380" t="str">
        <f>IFERROR(__xludf.DUMMYFUNCTION("""COMPUTED_VALUE"""),"70007389")</f>
        <v>70007389</v>
      </c>
      <c r="D11947" s="380" t="s">
        <v>767</v>
      </c>
      <c r="E11947" s="380" t="s">
        <v>786</v>
      </c>
      <c r="F11947" s="380" t="s">
        <v>1039</v>
      </c>
      <c r="G11947" s="380" t="s">
        <v>1267</v>
      </c>
      <c r="H11947" s="380" t="s">
        <v>771</v>
      </c>
      <c r="I11947" s="380" t="s">
        <v>788</v>
      </c>
      <c r="J11947" s="380" t="s">
        <v>773</v>
      </c>
      <c r="K11947" s="381">
        <v>0.0</v>
      </c>
      <c r="L11947" s="382">
        <v>1.0</v>
      </c>
    </row>
    <row r="11948">
      <c r="A11948" s="380" t="s">
        <v>12822</v>
      </c>
      <c r="B11948" s="380" t="str">
        <f>IFERROR(__xludf.DUMMYFUNCTION("""COMPUTED_VALUE"""),"Balinera Embrague Jac 1120 J7516010307")</f>
        <v>Balinera Embrague Jac 1120 J7516010307</v>
      </c>
      <c r="C11948" s="380" t="str">
        <f>IFERROR(__xludf.DUMMYFUNCTION("""COMPUTED_VALUE"""),"70007390")</f>
        <v>70007390</v>
      </c>
      <c r="D11948" s="380" t="s">
        <v>767</v>
      </c>
      <c r="E11948" s="380" t="s">
        <v>786</v>
      </c>
      <c r="F11948" s="380" t="s">
        <v>5661</v>
      </c>
      <c r="G11948" s="380" t="s">
        <v>1267</v>
      </c>
      <c r="H11948" s="380" t="s">
        <v>771</v>
      </c>
      <c r="I11948" s="380" t="s">
        <v>788</v>
      </c>
      <c r="J11948" s="380" t="s">
        <v>773</v>
      </c>
      <c r="K11948" s="381">
        <v>0.0</v>
      </c>
      <c r="L11948" s="382">
        <v>1.0</v>
      </c>
    </row>
    <row r="11949">
      <c r="A11949" s="380" t="s">
        <v>12823</v>
      </c>
      <c r="B11949" s="380" t="str">
        <f>IFERROR(__xludf.DUMMYFUNCTION("""COMPUTED_VALUE"""),"Tornillo Tapa Distribucion Nkr Rw Fabric")</f>
        <v>Tornillo Tapa Distribucion Nkr Rw Fabric</v>
      </c>
      <c r="C11949" s="380" t="str">
        <f>IFERROR(__xludf.DUMMYFUNCTION("""COMPUTED_VALUE"""),"70007391")</f>
        <v>70007391</v>
      </c>
      <c r="D11949" s="380" t="s">
        <v>767</v>
      </c>
      <c r="E11949" s="380" t="s">
        <v>786</v>
      </c>
      <c r="F11949" s="380" t="s">
        <v>787</v>
      </c>
      <c r="G11949" s="380" t="s">
        <v>1267</v>
      </c>
      <c r="H11949" s="380" t="s">
        <v>771</v>
      </c>
      <c r="I11949" s="380" t="s">
        <v>788</v>
      </c>
      <c r="J11949" s="380" t="s">
        <v>773</v>
      </c>
      <c r="K11949" s="381">
        <v>0.0</v>
      </c>
      <c r="L11949" s="382">
        <v>1.0</v>
      </c>
    </row>
    <row r="11950">
      <c r="A11950" s="380" t="s">
        <v>12824</v>
      </c>
      <c r="B11950" s="380" t="str">
        <f>IFERROR(__xludf.DUMMYFUNCTION("""COMPUTED_VALUE"""),"Sensor Freno Mack Cxu 25165995")</f>
        <v>Sensor Freno Mack Cxu 25165995</v>
      </c>
      <c r="C11950" s="380" t="str">
        <f>IFERROR(__xludf.DUMMYFUNCTION("""COMPUTED_VALUE"""),"70007392")</f>
        <v>70007392</v>
      </c>
      <c r="D11950" s="380" t="s">
        <v>767</v>
      </c>
      <c r="E11950" s="380" t="s">
        <v>786</v>
      </c>
      <c r="F11950" s="380" t="s">
        <v>998</v>
      </c>
      <c r="G11950" s="380" t="s">
        <v>1267</v>
      </c>
      <c r="H11950" s="380" t="s">
        <v>771</v>
      </c>
      <c r="I11950" s="380" t="s">
        <v>788</v>
      </c>
      <c r="J11950" s="380" t="s">
        <v>773</v>
      </c>
      <c r="K11950" s="381">
        <v>0.0</v>
      </c>
      <c r="L11950" s="382">
        <v>1.0</v>
      </c>
    </row>
    <row r="11951">
      <c r="A11951" s="380" t="s">
        <v>12825</v>
      </c>
      <c r="B11951" s="380" t="str">
        <f>IFERROR(__xludf.DUMMYFUNCTION("""COMPUTED_VALUE"""),"Interruptor Encendido Nkr III 8975567310")</f>
        <v>Interruptor Encendido Nkr III 8975567310</v>
      </c>
      <c r="C11951" s="380" t="str">
        <f>IFERROR(__xludf.DUMMYFUNCTION("""COMPUTED_VALUE"""),"70007393")</f>
        <v>70007393</v>
      </c>
      <c r="D11951" s="380" t="s">
        <v>767</v>
      </c>
      <c r="E11951" s="380" t="s">
        <v>786</v>
      </c>
      <c r="F11951" s="380" t="s">
        <v>998</v>
      </c>
      <c r="G11951" s="380" t="s">
        <v>1267</v>
      </c>
      <c r="H11951" s="380" t="s">
        <v>771</v>
      </c>
      <c r="I11951" s="380" t="s">
        <v>788</v>
      </c>
      <c r="J11951" s="380" t="s">
        <v>773</v>
      </c>
      <c r="K11951" s="381">
        <v>0.0</v>
      </c>
      <c r="L11951" s="382">
        <v>1.0</v>
      </c>
    </row>
    <row r="11952">
      <c r="A11952" s="380" t="s">
        <v>12826</v>
      </c>
      <c r="B11952" s="380" t="str">
        <f>IFERROR(__xludf.DUMMYFUNCTION("""COMPUTED_VALUE"""),"Luna Espejo Sup Eagle 2514725c2")</f>
        <v>Luna Espejo Sup Eagle 2514725c2</v>
      </c>
      <c r="C11952" s="380" t="str">
        <f>IFERROR(__xludf.DUMMYFUNCTION("""COMPUTED_VALUE"""),"70007394")</f>
        <v>70007394</v>
      </c>
      <c r="D11952" s="380" t="s">
        <v>767</v>
      </c>
      <c r="E11952" s="380" t="s">
        <v>786</v>
      </c>
      <c r="F11952" s="380" t="s">
        <v>1031</v>
      </c>
      <c r="G11952" s="380" t="s">
        <v>1267</v>
      </c>
      <c r="H11952" s="380" t="s">
        <v>771</v>
      </c>
      <c r="I11952" s="380" t="s">
        <v>788</v>
      </c>
      <c r="J11952" s="380" t="s">
        <v>773</v>
      </c>
      <c r="K11952" s="381">
        <v>0.0</v>
      </c>
      <c r="L11952" s="382">
        <v>1.0</v>
      </c>
    </row>
    <row r="11953">
      <c r="A11953" s="380" t="s">
        <v>12827</v>
      </c>
      <c r="B11953" s="380" t="str">
        <f>IFERROR(__xludf.DUMMYFUNCTION("""COMPUTED_VALUE"""),"Resorte Zapata Freno Tras FT 1023082433")</f>
        <v>Resorte Zapata Freno Tras FT 1023082433</v>
      </c>
      <c r="C11953" s="380" t="str">
        <f>IFERROR(__xludf.DUMMYFUNCTION("""COMPUTED_VALUE"""),"70007395")</f>
        <v>70007395</v>
      </c>
      <c r="D11953" s="380" t="s">
        <v>767</v>
      </c>
      <c r="E11953" s="380" t="s">
        <v>786</v>
      </c>
      <c r="F11953" s="380" t="s">
        <v>1017</v>
      </c>
      <c r="G11953" s="380" t="s">
        <v>1267</v>
      </c>
      <c r="H11953" s="380" t="s">
        <v>771</v>
      </c>
      <c r="I11953" s="380" t="s">
        <v>788</v>
      </c>
      <c r="J11953" s="380" t="s">
        <v>773</v>
      </c>
      <c r="K11953" s="381">
        <v>0.0</v>
      </c>
      <c r="L11953" s="382">
        <v>1.0</v>
      </c>
    </row>
    <row r="11954">
      <c r="A11954" s="380" t="s">
        <v>12828</v>
      </c>
      <c r="B11954" s="380" t="str">
        <f>IFERROR(__xludf.DUMMYFUNCTION("""COMPUTED_VALUE"""),"Tubo De Inyeccion N-3 Hi466 1817933c4")</f>
        <v>Tubo De Inyeccion N-3 Hi466 1817933c4</v>
      </c>
      <c r="C11954" s="380" t="str">
        <f>IFERROR(__xludf.DUMMYFUNCTION("""COMPUTED_VALUE"""),"70007396")</f>
        <v>70007396</v>
      </c>
      <c r="D11954" s="380" t="s">
        <v>767</v>
      </c>
      <c r="E11954" s="380" t="s">
        <v>786</v>
      </c>
      <c r="F11954" s="380" t="s">
        <v>787</v>
      </c>
      <c r="G11954" s="380" t="s">
        <v>1267</v>
      </c>
      <c r="H11954" s="380" t="s">
        <v>771</v>
      </c>
      <c r="I11954" s="380" t="s">
        <v>788</v>
      </c>
      <c r="J11954" s="380" t="s">
        <v>773</v>
      </c>
      <c r="K11954" s="381">
        <v>0.0</v>
      </c>
      <c r="L11954" s="382">
        <v>1.0</v>
      </c>
    </row>
    <row r="11955">
      <c r="A11955" s="380" t="s">
        <v>12829</v>
      </c>
      <c r="B11955" s="380" t="str">
        <f>IFERROR(__xludf.DUMMYFUNCTION("""COMPUTED_VALUE"""),"Tornillo Carcaza Volante Isx EGL 3022148")</f>
        <v>Tornillo Carcaza Volante Isx EGL 3022148</v>
      </c>
      <c r="C11955" s="380" t="str">
        <f>IFERROR(__xludf.DUMMYFUNCTION("""COMPUTED_VALUE"""),"70007397")</f>
        <v>70007397</v>
      </c>
      <c r="D11955" s="380" t="s">
        <v>767</v>
      </c>
      <c r="E11955" s="380" t="s">
        <v>786</v>
      </c>
      <c r="F11955" s="380" t="s">
        <v>787</v>
      </c>
      <c r="G11955" s="380" t="s">
        <v>1267</v>
      </c>
      <c r="H11955" s="380" t="s">
        <v>771</v>
      </c>
      <c r="I11955" s="380" t="s">
        <v>788</v>
      </c>
      <c r="J11955" s="380" t="s">
        <v>773</v>
      </c>
      <c r="K11955" s="381">
        <v>0.0</v>
      </c>
      <c r="L11955" s="382">
        <v>1.0</v>
      </c>
    </row>
    <row r="11956">
      <c r="A11956" s="380" t="s">
        <v>12830</v>
      </c>
      <c r="B11956" s="380" t="str">
        <f>IFERROR(__xludf.DUMMYFUNCTION("""COMPUTED_VALUE"""),"Arandela Carcaza Volante Isx EGL 127316")</f>
        <v>Arandela Carcaza Volante Isx EGL 127316</v>
      </c>
      <c r="C11956" s="380" t="str">
        <f>IFERROR(__xludf.DUMMYFUNCTION("""COMPUTED_VALUE"""),"70007398")</f>
        <v>70007398</v>
      </c>
      <c r="D11956" s="380" t="s">
        <v>767</v>
      </c>
      <c r="E11956" s="380" t="s">
        <v>786</v>
      </c>
      <c r="F11956" s="380" t="s">
        <v>787</v>
      </c>
      <c r="G11956" s="380" t="s">
        <v>1267</v>
      </c>
      <c r="H11956" s="380" t="s">
        <v>771</v>
      </c>
      <c r="I11956" s="380" t="s">
        <v>788</v>
      </c>
      <c r="J11956" s="380" t="s">
        <v>773</v>
      </c>
      <c r="K11956" s="381">
        <v>0.0</v>
      </c>
      <c r="L11956" s="382">
        <v>1.0</v>
      </c>
    </row>
    <row r="11957">
      <c r="A11957" s="380" t="s">
        <v>12831</v>
      </c>
      <c r="B11957" s="380" t="str">
        <f>IFERROR(__xludf.DUMMYFUNCTION("""COMPUTED_VALUE"""),"Oring Bomba Hidraulico Npr 8971018752")</f>
        <v>Oring Bomba Hidraulico Npr 8971018752</v>
      </c>
      <c r="C11957" s="380" t="str">
        <f>IFERROR(__xludf.DUMMYFUNCTION("""COMPUTED_VALUE"""),"70007399")</f>
        <v>70007399</v>
      </c>
      <c r="D11957" s="380" t="s">
        <v>767</v>
      </c>
      <c r="E11957" s="380" t="s">
        <v>786</v>
      </c>
      <c r="F11957" s="380" t="s">
        <v>1020</v>
      </c>
      <c r="G11957" s="380" t="s">
        <v>1267</v>
      </c>
      <c r="H11957" s="380" t="s">
        <v>771</v>
      </c>
      <c r="I11957" s="380" t="s">
        <v>788</v>
      </c>
      <c r="J11957" s="380" t="s">
        <v>773</v>
      </c>
      <c r="K11957" s="381">
        <v>0.0</v>
      </c>
      <c r="L11957" s="382">
        <v>1.0</v>
      </c>
    </row>
    <row r="11958">
      <c r="A11958" s="380" t="s">
        <v>12832</v>
      </c>
      <c r="B11958" s="380" t="str">
        <f>IFERROR(__xludf.DUMMYFUNCTION("""COMPUTED_VALUE"""),"SOP INTno Sup Persiana KW T800 N77-1167")</f>
        <v>SOP INTno Sup Persiana KW T800 N77-1167</v>
      </c>
      <c r="C11958" s="380" t="str">
        <f>IFERROR(__xludf.DUMMYFUNCTION("""COMPUTED_VALUE"""),"70007400")</f>
        <v>70007400</v>
      </c>
      <c r="D11958" s="380" t="s">
        <v>767</v>
      </c>
      <c r="E11958" s="380" t="s">
        <v>786</v>
      </c>
      <c r="F11958" s="380" t="s">
        <v>792</v>
      </c>
      <c r="G11958" s="380" t="s">
        <v>1267</v>
      </c>
      <c r="H11958" s="380" t="s">
        <v>771</v>
      </c>
      <c r="I11958" s="380" t="s">
        <v>788</v>
      </c>
      <c r="J11958" s="380" t="s">
        <v>773</v>
      </c>
      <c r="K11958" s="381">
        <v>0.0</v>
      </c>
      <c r="L11958" s="382">
        <v>1.0</v>
      </c>
    </row>
    <row r="11959">
      <c r="A11959" s="380" t="s">
        <v>12833</v>
      </c>
      <c r="B11959" s="380" t="str">
        <f>IFERROR(__xludf.DUMMYFUNCTION("""COMPUTED_VALUE"""),"Buje Frontal Arbol De Levas FT 1065 7701")</f>
        <v>Buje Frontal Arbol De Levas FT 1065 7701</v>
      </c>
      <c r="C11959" s="380" t="str">
        <f>IFERROR(__xludf.DUMMYFUNCTION("""COMPUTED_VALUE"""),"70007401")</f>
        <v>70007401</v>
      </c>
      <c r="D11959" s="380" t="s">
        <v>767</v>
      </c>
      <c r="E11959" s="380" t="s">
        <v>786</v>
      </c>
      <c r="F11959" s="380" t="s">
        <v>787</v>
      </c>
      <c r="G11959" s="380" t="s">
        <v>1267</v>
      </c>
      <c r="H11959" s="380" t="s">
        <v>771</v>
      </c>
      <c r="I11959" s="380" t="s">
        <v>788</v>
      </c>
      <c r="J11959" s="380" t="s">
        <v>773</v>
      </c>
      <c r="K11959" s="381">
        <v>0.0</v>
      </c>
      <c r="L11959" s="382">
        <v>1.0</v>
      </c>
    </row>
    <row r="11960">
      <c r="A11960" s="380" t="s">
        <v>12834</v>
      </c>
      <c r="B11960" s="380" t="str">
        <f>IFERROR(__xludf.DUMMYFUNCTION("""COMPUTED_VALUE"""),"FILT AIR Da2671 Planta ELEC Pasto Da2671")</f>
        <v>FILT AIR Da2671 Planta ELEC Pasto Da2671</v>
      </c>
      <c r="C11960" s="380" t="str">
        <f>IFERROR(__xludf.DUMMYFUNCTION("""COMPUTED_VALUE"""),"70007402")</f>
        <v>70007402</v>
      </c>
      <c r="D11960" s="380" t="s">
        <v>767</v>
      </c>
      <c r="E11960" s="380" t="s">
        <v>786</v>
      </c>
      <c r="F11960" s="380" t="s">
        <v>5855</v>
      </c>
      <c r="G11960" s="380" t="s">
        <v>1267</v>
      </c>
      <c r="H11960" s="380" t="s">
        <v>771</v>
      </c>
      <c r="I11960" s="380" t="s">
        <v>788</v>
      </c>
      <c r="J11960" s="380" t="s">
        <v>773</v>
      </c>
      <c r="K11960" s="381">
        <v>0.0</v>
      </c>
      <c r="L11960" s="382">
        <v>1.0</v>
      </c>
    </row>
    <row r="11961">
      <c r="A11961" s="380" t="s">
        <v>12835</v>
      </c>
      <c r="B11961" s="380" t="str">
        <f>IFERROR(__xludf.DUMMYFUNCTION("""COMPUTED_VALUE"""),"Piñon De 3ra Eje Corredizo CJ FT 1129 77")</f>
        <v>Piñon De 3ra Eje Corredizo CJ FT 1129 77</v>
      </c>
      <c r="C11961" s="380" t="str">
        <f>IFERROR(__xludf.DUMMYFUNCTION("""COMPUTED_VALUE"""),"70007403")</f>
        <v>70007403</v>
      </c>
      <c r="D11961" s="380" t="s">
        <v>767</v>
      </c>
      <c r="E11961" s="380" t="s">
        <v>786</v>
      </c>
      <c r="F11961" s="380" t="s">
        <v>928</v>
      </c>
      <c r="G11961" s="380" t="s">
        <v>1267</v>
      </c>
      <c r="H11961" s="380" t="s">
        <v>771</v>
      </c>
      <c r="I11961" s="380" t="s">
        <v>788</v>
      </c>
      <c r="J11961" s="380" t="s">
        <v>773</v>
      </c>
      <c r="K11961" s="381">
        <v>0.0</v>
      </c>
      <c r="L11961" s="382">
        <v>1.0</v>
      </c>
    </row>
    <row r="11962">
      <c r="A11962" s="380" t="s">
        <v>12836</v>
      </c>
      <c r="B11962" s="380" t="str">
        <f>IFERROR(__xludf.DUMMYFUNCTION("""COMPUTED_VALUE"""),"Varilla Nivel De Aceite T Prado 53015014")</f>
        <v>Varilla Nivel De Aceite T Prado 53015014</v>
      </c>
      <c r="C11962" s="380" t="str">
        <f>IFERROR(__xludf.DUMMYFUNCTION("""COMPUTED_VALUE"""),"70007404")</f>
        <v>70007404</v>
      </c>
      <c r="D11962" s="380" t="s">
        <v>767</v>
      </c>
      <c r="E11962" s="380" t="s">
        <v>786</v>
      </c>
      <c r="F11962" s="380" t="s">
        <v>787</v>
      </c>
      <c r="G11962" s="380" t="s">
        <v>1267</v>
      </c>
      <c r="H11962" s="380" t="s">
        <v>771</v>
      </c>
      <c r="I11962" s="380" t="s">
        <v>788</v>
      </c>
      <c r="J11962" s="380" t="s">
        <v>773</v>
      </c>
      <c r="K11962" s="381">
        <v>0.0</v>
      </c>
      <c r="L11962" s="382">
        <v>1.0</v>
      </c>
    </row>
    <row r="11963">
      <c r="A11963" s="380" t="s">
        <v>12837</v>
      </c>
      <c r="B11963" s="380" t="str">
        <f>IFERROR(__xludf.DUMMYFUNCTION("""COMPUTED_VALUE"""),"Espejo Retrovisor Izq DFENG ELEC 1105465")</f>
        <v>Espejo Retrovisor Izq DFENG ELEC 1105465</v>
      </c>
      <c r="C11963" s="380" t="str">
        <f>IFERROR(__xludf.DUMMYFUNCTION("""COMPUTED_VALUE"""),"70007405")</f>
        <v>70007405</v>
      </c>
      <c r="D11963" s="380" t="s">
        <v>767</v>
      </c>
      <c r="E11963" s="380" t="s">
        <v>786</v>
      </c>
      <c r="F11963" s="380" t="s">
        <v>792</v>
      </c>
      <c r="G11963" s="380" t="s">
        <v>1267</v>
      </c>
      <c r="H11963" s="380" t="s">
        <v>771</v>
      </c>
      <c r="I11963" s="380" t="s">
        <v>788</v>
      </c>
      <c r="J11963" s="380" t="s">
        <v>773</v>
      </c>
      <c r="K11963" s="381">
        <v>0.0</v>
      </c>
      <c r="L11963" s="382">
        <v>1.0</v>
      </c>
    </row>
    <row r="11964">
      <c r="A11964" s="380" t="s">
        <v>12838</v>
      </c>
      <c r="B11964" s="380" t="str">
        <f>IFERROR(__xludf.DUMMYFUNCTION("""COMPUTED_VALUE"""),"EMP Silenciador Escape Van N200 24515268")</f>
        <v>EMP Silenciador Escape Van N200 24515268</v>
      </c>
      <c r="C11964" s="380" t="str">
        <f>IFERROR(__xludf.DUMMYFUNCTION("""COMPUTED_VALUE"""),"70007406")</f>
        <v>70007406</v>
      </c>
      <c r="D11964" s="380" t="s">
        <v>767</v>
      </c>
      <c r="E11964" s="380" t="s">
        <v>786</v>
      </c>
      <c r="F11964" s="380" t="s">
        <v>787</v>
      </c>
      <c r="G11964" s="380" t="s">
        <v>1267</v>
      </c>
      <c r="H11964" s="380" t="s">
        <v>771</v>
      </c>
      <c r="I11964" s="380" t="s">
        <v>788</v>
      </c>
      <c r="J11964" s="380" t="s">
        <v>773</v>
      </c>
      <c r="K11964" s="381">
        <v>0.0</v>
      </c>
      <c r="L11964" s="382">
        <v>1.0</v>
      </c>
    </row>
    <row r="11965">
      <c r="A11965" s="380" t="s">
        <v>12839</v>
      </c>
      <c r="B11965" s="380" t="str">
        <f>IFERROR(__xludf.DUMMYFUNCTION("""COMPUTED_VALUE"""),"INTruptor Ignicion FT Mv5 7705946027663")</f>
        <v>INTruptor Ignicion FT Mv5 7705946027663</v>
      </c>
      <c r="C11965" s="380" t="str">
        <f>IFERROR(__xludf.DUMMYFUNCTION("""COMPUTED_VALUE"""),"70007407")</f>
        <v>70007407</v>
      </c>
      <c r="D11965" s="380" t="s">
        <v>767</v>
      </c>
      <c r="E11965" s="380" t="s">
        <v>786</v>
      </c>
      <c r="F11965" s="380" t="s">
        <v>998</v>
      </c>
      <c r="G11965" s="380" t="s">
        <v>1267</v>
      </c>
      <c r="H11965" s="380" t="s">
        <v>771</v>
      </c>
      <c r="I11965" s="380" t="s">
        <v>788</v>
      </c>
      <c r="J11965" s="380" t="s">
        <v>773</v>
      </c>
      <c r="K11965" s="381">
        <v>0.0</v>
      </c>
      <c r="L11965" s="382">
        <v>1.0</v>
      </c>
    </row>
    <row r="11966">
      <c r="A11966" s="380" t="s">
        <v>12840</v>
      </c>
      <c r="B11966" s="380" t="str">
        <f>IFERROR(__xludf.DUMMYFUNCTION("""COMPUTED_VALUE"""),"RET DEL Cigueñal Daf Cf480 1876189")</f>
        <v>RET DEL Cigueñal Daf Cf480 1876189</v>
      </c>
      <c r="C11966" s="380" t="str">
        <f>IFERROR(__xludf.DUMMYFUNCTION("""COMPUTED_VALUE"""),"70007408")</f>
        <v>70007408</v>
      </c>
      <c r="D11966" s="380" t="s">
        <v>767</v>
      </c>
      <c r="E11966" s="380" t="s">
        <v>786</v>
      </c>
      <c r="F11966" s="380" t="s">
        <v>787</v>
      </c>
      <c r="G11966" s="380" t="s">
        <v>1267</v>
      </c>
      <c r="H11966" s="380" t="s">
        <v>771</v>
      </c>
      <c r="I11966" s="380" t="s">
        <v>788</v>
      </c>
      <c r="J11966" s="380" t="s">
        <v>773</v>
      </c>
      <c r="K11966" s="381">
        <v>0.0</v>
      </c>
      <c r="L11966" s="382">
        <v>1.0</v>
      </c>
    </row>
    <row r="11967">
      <c r="A11967" s="380" t="s">
        <v>12841</v>
      </c>
      <c r="B11967" s="380" t="str">
        <f>IFERROR(__xludf.DUMMYFUNCTION("""COMPUTED_VALUE"""),"Rodamiento DEL Tren Fijo CJ 16918 430602")</f>
        <v>Rodamiento DEL Tren Fijo CJ 16918 430602</v>
      </c>
      <c r="C11967" s="380" t="str">
        <f>IFERROR(__xludf.DUMMYFUNCTION("""COMPUTED_VALUE"""),"70007409")</f>
        <v>70007409</v>
      </c>
      <c r="D11967" s="380" t="s">
        <v>767</v>
      </c>
      <c r="E11967" s="380" t="s">
        <v>786</v>
      </c>
      <c r="F11967" s="380" t="s">
        <v>928</v>
      </c>
      <c r="G11967" s="380" t="s">
        <v>1267</v>
      </c>
      <c r="H11967" s="380" t="s">
        <v>771</v>
      </c>
      <c r="I11967" s="380" t="s">
        <v>788</v>
      </c>
      <c r="J11967" s="380" t="s">
        <v>773</v>
      </c>
      <c r="K11967" s="381">
        <v>0.0</v>
      </c>
      <c r="L11967" s="382">
        <v>1.0</v>
      </c>
    </row>
    <row r="11968">
      <c r="A11968" s="380" t="s">
        <v>12842</v>
      </c>
      <c r="B11968" s="380" t="str">
        <f>IFERROR(__xludf.DUMMYFUNCTION("""COMPUTED_VALUE"""),"Rodamiento Eje Toma Caja 16918 81504")</f>
        <v>Rodamiento Eje Toma Caja 16918 81504</v>
      </c>
      <c r="C11968" s="380" t="str">
        <f>IFERROR(__xludf.DUMMYFUNCTION("""COMPUTED_VALUE"""),"70007410")</f>
        <v>70007410</v>
      </c>
      <c r="D11968" s="380" t="s">
        <v>767</v>
      </c>
      <c r="E11968" s="380" t="s">
        <v>786</v>
      </c>
      <c r="F11968" s="380" t="s">
        <v>928</v>
      </c>
      <c r="G11968" s="380" t="s">
        <v>1267</v>
      </c>
      <c r="H11968" s="380" t="s">
        <v>771</v>
      </c>
      <c r="I11968" s="380" t="s">
        <v>788</v>
      </c>
      <c r="J11968" s="380" t="s">
        <v>773</v>
      </c>
      <c r="K11968" s="381">
        <v>0.0</v>
      </c>
      <c r="L11968" s="382">
        <v>1.0</v>
      </c>
    </row>
    <row r="11969">
      <c r="A11969" s="380" t="s">
        <v>12843</v>
      </c>
      <c r="B11969" s="380" t="str">
        <f>IFERROR(__xludf.DUMMYFUNCTION("""COMPUTED_VALUE"""),"Rodamiento TRAS Tren Fijo CJ 16918 43060")</f>
        <v>Rodamiento TRAS Tren Fijo CJ 16918 43060</v>
      </c>
      <c r="C11969" s="380" t="str">
        <f>IFERROR(__xludf.DUMMYFUNCTION("""COMPUTED_VALUE"""),"70007411")</f>
        <v>70007411</v>
      </c>
      <c r="D11969" s="380" t="s">
        <v>767</v>
      </c>
      <c r="E11969" s="380" t="s">
        <v>786</v>
      </c>
      <c r="F11969" s="380" t="s">
        <v>928</v>
      </c>
      <c r="G11969" s="380" t="s">
        <v>1267</v>
      </c>
      <c r="H11969" s="380" t="s">
        <v>771</v>
      </c>
      <c r="I11969" s="380" t="s">
        <v>788</v>
      </c>
      <c r="J11969" s="380" t="s">
        <v>773</v>
      </c>
      <c r="K11969" s="381">
        <v>0.0</v>
      </c>
      <c r="L11969" s="382">
        <v>1.0</v>
      </c>
    </row>
    <row r="11970">
      <c r="A11970" s="380" t="s">
        <v>12844</v>
      </c>
      <c r="B11970" s="380" t="str">
        <f>IFERROR(__xludf.DUMMYFUNCTION("""COMPUTED_VALUE"""),"Recibidor Chapa Puerta Eagle 1677462c1")</f>
        <v>Recibidor Chapa Puerta Eagle 1677462c1</v>
      </c>
      <c r="C11970" s="380" t="str">
        <f>IFERROR(__xludf.DUMMYFUNCTION("""COMPUTED_VALUE"""),"70007412")</f>
        <v>70007412</v>
      </c>
      <c r="D11970" s="380" t="s">
        <v>767</v>
      </c>
      <c r="E11970" s="380" t="s">
        <v>786</v>
      </c>
      <c r="F11970" s="380" t="s">
        <v>792</v>
      </c>
      <c r="G11970" s="380" t="s">
        <v>1267</v>
      </c>
      <c r="H11970" s="380" t="s">
        <v>771</v>
      </c>
      <c r="I11970" s="380" t="s">
        <v>788</v>
      </c>
      <c r="J11970" s="380" t="s">
        <v>773</v>
      </c>
      <c r="K11970" s="381">
        <v>87822.0</v>
      </c>
      <c r="L11970" s="382">
        <v>1.0</v>
      </c>
    </row>
    <row r="11971">
      <c r="A11971" s="380" t="s">
        <v>12845</v>
      </c>
      <c r="B11971" s="380" t="str">
        <f>IFERROR(__xludf.DUMMYFUNCTION("""COMPUTED_VALUE"""),"Bujias Moto")</f>
        <v>Bujias Moto</v>
      </c>
      <c r="C11971" s="380" t="str">
        <f>IFERROR(__xludf.DUMMYFUNCTION("""COMPUTED_VALUE"""),"70007413")</f>
        <v>70007413</v>
      </c>
      <c r="D11971" s="380" t="s">
        <v>767</v>
      </c>
      <c r="E11971" s="380" t="s">
        <v>786</v>
      </c>
      <c r="F11971" s="380" t="s">
        <v>998</v>
      </c>
      <c r="G11971" s="380" t="s">
        <v>1267</v>
      </c>
      <c r="H11971" s="380" t="s">
        <v>771</v>
      </c>
      <c r="I11971" s="380" t="s">
        <v>788</v>
      </c>
      <c r="J11971" s="380" t="s">
        <v>773</v>
      </c>
      <c r="K11971" s="381">
        <v>0.0</v>
      </c>
      <c r="L11971" s="382">
        <v>1.0</v>
      </c>
    </row>
    <row r="11972">
      <c r="A11972" s="380" t="s">
        <v>12846</v>
      </c>
      <c r="B11972" s="380" t="str">
        <f>IFERROR(__xludf.DUMMYFUNCTION("""COMPUTED_VALUE"""),"Boquilla Salida Turbo 3540376c1")</f>
        <v>Boquilla Salida Turbo 3540376c1</v>
      </c>
      <c r="C11972" s="380" t="str">
        <f>IFERROR(__xludf.DUMMYFUNCTION("""COMPUTED_VALUE"""),"70007414")</f>
        <v>70007414</v>
      </c>
      <c r="D11972" s="380" t="s">
        <v>767</v>
      </c>
      <c r="E11972" s="380" t="s">
        <v>786</v>
      </c>
      <c r="F11972" s="380" t="s">
        <v>787</v>
      </c>
      <c r="G11972" s="380" t="s">
        <v>1267</v>
      </c>
      <c r="H11972" s="380" t="s">
        <v>771</v>
      </c>
      <c r="I11972" s="380" t="s">
        <v>788</v>
      </c>
      <c r="J11972" s="380" t="s">
        <v>773</v>
      </c>
      <c r="K11972" s="381">
        <v>0.0</v>
      </c>
      <c r="L11972" s="382">
        <v>1.0</v>
      </c>
    </row>
    <row r="11973">
      <c r="A11973" s="380" t="s">
        <v>12847</v>
      </c>
      <c r="B11973" s="380" t="str">
        <f>IFERROR(__xludf.DUMMYFUNCTION("""COMPUTED_VALUE"""),"Cremallera Vidrio Pta Izq Npr 8978521167")</f>
        <v>Cremallera Vidrio Pta Izq Npr 8978521167</v>
      </c>
      <c r="C11973" s="380" t="str">
        <f>IFERROR(__xludf.DUMMYFUNCTION("""COMPUTED_VALUE"""),"70007415")</f>
        <v>70007415</v>
      </c>
      <c r="D11973" s="380" t="s">
        <v>767</v>
      </c>
      <c r="E11973" s="380" t="s">
        <v>786</v>
      </c>
      <c r="F11973" s="380" t="s">
        <v>792</v>
      </c>
      <c r="G11973" s="380" t="s">
        <v>1267</v>
      </c>
      <c r="H11973" s="380" t="s">
        <v>771</v>
      </c>
      <c r="I11973" s="380" t="s">
        <v>788</v>
      </c>
      <c r="J11973" s="380" t="s">
        <v>773</v>
      </c>
      <c r="K11973" s="381">
        <v>0.0</v>
      </c>
      <c r="L11973" s="382">
        <v>1.0</v>
      </c>
    </row>
    <row r="11974">
      <c r="A11974" s="380" t="s">
        <v>12848</v>
      </c>
      <c r="B11974" s="380" t="str">
        <f>IFERROR(__xludf.DUMMYFUNCTION("""COMPUTED_VALUE"""),"Disco Embrague SB N14 128257-258")</f>
        <v>Disco Embrague SB N14 128257-258</v>
      </c>
      <c r="C11974" s="380" t="str">
        <f>IFERROR(__xludf.DUMMYFUNCTION("""COMPUTED_VALUE"""),"70007416")</f>
        <v>70007416</v>
      </c>
      <c r="D11974" s="380" t="s">
        <v>767</v>
      </c>
      <c r="E11974" s="380" t="s">
        <v>786</v>
      </c>
      <c r="F11974" s="380" t="s">
        <v>5661</v>
      </c>
      <c r="G11974" s="380" t="s">
        <v>1267</v>
      </c>
      <c r="H11974" s="380" t="s">
        <v>771</v>
      </c>
      <c r="I11974" s="380" t="s">
        <v>788</v>
      </c>
      <c r="J11974" s="380" t="s">
        <v>773</v>
      </c>
      <c r="K11974" s="381">
        <v>0.0</v>
      </c>
      <c r="L11974" s="382">
        <v>1.0</v>
      </c>
    </row>
    <row r="11975">
      <c r="A11975" s="380" t="s">
        <v>12849</v>
      </c>
      <c r="B11975" s="380" t="str">
        <f>IFERROR(__xludf.DUMMYFUNCTION("""COMPUTED_VALUE"""),"Joke Cardan Central Npr 14342002kt")</f>
        <v>Joke Cardan Central Npr 14342002kt</v>
      </c>
      <c r="C11975" s="380" t="str">
        <f>IFERROR(__xludf.DUMMYFUNCTION("""COMPUTED_VALUE"""),"70007417")</f>
        <v>70007417</v>
      </c>
      <c r="D11975" s="380" t="s">
        <v>767</v>
      </c>
      <c r="E11975" s="380" t="s">
        <v>786</v>
      </c>
      <c r="F11975" s="380" t="s">
        <v>5683</v>
      </c>
      <c r="G11975" s="380" t="s">
        <v>1267</v>
      </c>
      <c r="H11975" s="380" t="s">
        <v>771</v>
      </c>
      <c r="I11975" s="380" t="s">
        <v>788</v>
      </c>
      <c r="J11975" s="380" t="s">
        <v>773</v>
      </c>
      <c r="K11975" s="381">
        <v>0.0</v>
      </c>
      <c r="L11975" s="382">
        <v>1.0</v>
      </c>
    </row>
    <row r="11976">
      <c r="A11976" s="380" t="s">
        <v>12850</v>
      </c>
      <c r="B11976" s="380" t="str">
        <f>IFERROR(__xludf.DUMMYFUNCTION("""COMPUTED_VALUE"""),"Tapa Bocin RDA Del EGL Kw Eaton 1613chr")</f>
        <v>Tapa Bocin RDA Del EGL Kw Eaton 1613chr</v>
      </c>
      <c r="C11976" s="380" t="str">
        <f>IFERROR(__xludf.DUMMYFUNCTION("""COMPUTED_VALUE"""),"70007418")</f>
        <v>70007418</v>
      </c>
      <c r="D11976" s="380" t="s">
        <v>767</v>
      </c>
      <c r="E11976" s="380" t="s">
        <v>786</v>
      </c>
      <c r="F11976" s="380" t="s">
        <v>1017</v>
      </c>
      <c r="G11976" s="380" t="s">
        <v>1267</v>
      </c>
      <c r="H11976" s="380" t="s">
        <v>771</v>
      </c>
      <c r="I11976" s="380" t="s">
        <v>788</v>
      </c>
      <c r="J11976" s="380" t="s">
        <v>773</v>
      </c>
      <c r="K11976" s="381">
        <v>0.0</v>
      </c>
      <c r="L11976" s="382">
        <v>1.0</v>
      </c>
    </row>
    <row r="11977">
      <c r="A11977" s="380" t="s">
        <v>12851</v>
      </c>
      <c r="B11977" s="380" t="str">
        <f>IFERROR(__xludf.DUMMYFUNCTION("""COMPUTED_VALUE"""),"Jgo Bobinas De Campo Motor Arranque Nkr")</f>
        <v>Jgo Bobinas De Campo Motor Arranque Nkr</v>
      </c>
      <c r="C11977" s="380" t="str">
        <f>IFERROR(__xludf.DUMMYFUNCTION("""COMPUTED_VALUE"""),"70007420")</f>
        <v>70007420</v>
      </c>
      <c r="D11977" s="380" t="s">
        <v>767</v>
      </c>
      <c r="E11977" s="380" t="s">
        <v>786</v>
      </c>
      <c r="F11977" s="380" t="s">
        <v>998</v>
      </c>
      <c r="G11977" s="380" t="s">
        <v>1267</v>
      </c>
      <c r="H11977" s="380" t="s">
        <v>771</v>
      </c>
      <c r="I11977" s="380" t="s">
        <v>788</v>
      </c>
      <c r="J11977" s="380" t="s">
        <v>773</v>
      </c>
      <c r="K11977" s="381">
        <v>0.0</v>
      </c>
      <c r="L11977" s="382">
        <v>1.0</v>
      </c>
    </row>
    <row r="11978">
      <c r="A11978" s="380" t="s">
        <v>12852</v>
      </c>
      <c r="B11978" s="380" t="str">
        <f>IFERROR(__xludf.DUMMYFUNCTION("""COMPUTED_VALUE"""),"Trampa Filtro Fuel Pro SB N14 Fh23029flg")</f>
        <v>Trampa Filtro Fuel Pro SB N14 Fh23029flg</v>
      </c>
      <c r="C11978" s="380" t="str">
        <f>IFERROR(__xludf.DUMMYFUNCTION("""COMPUTED_VALUE"""),"70007421")</f>
        <v>70007421</v>
      </c>
      <c r="D11978" s="380" t="s">
        <v>767</v>
      </c>
      <c r="E11978" s="380" t="s">
        <v>786</v>
      </c>
      <c r="F11978" s="380" t="s">
        <v>787</v>
      </c>
      <c r="G11978" s="380" t="s">
        <v>1267</v>
      </c>
      <c r="H11978" s="380" t="s">
        <v>771</v>
      </c>
      <c r="I11978" s="380" t="s">
        <v>788</v>
      </c>
      <c r="J11978" s="380" t="s">
        <v>773</v>
      </c>
      <c r="K11978" s="381">
        <v>0.0</v>
      </c>
      <c r="L11978" s="382">
        <v>1.0</v>
      </c>
    </row>
    <row r="11979">
      <c r="A11979" s="380" t="s">
        <v>12853</v>
      </c>
      <c r="B11979" s="380" t="str">
        <f>IFERROR(__xludf.DUMMYFUNCTION("""COMPUTED_VALUE"""),"Grifo Tanque Aire 59211")</f>
        <v>Grifo Tanque Aire 59211</v>
      </c>
      <c r="C11979" s="380" t="str">
        <f>IFERROR(__xludf.DUMMYFUNCTION("""COMPUTED_VALUE"""),"70007422")</f>
        <v>70007422</v>
      </c>
      <c r="D11979" s="380" t="s">
        <v>767</v>
      </c>
      <c r="E11979" s="380" t="s">
        <v>786</v>
      </c>
      <c r="F11979" s="380" t="s">
        <v>1017</v>
      </c>
      <c r="G11979" s="380" t="s">
        <v>1267</v>
      </c>
      <c r="H11979" s="380" t="s">
        <v>771</v>
      </c>
      <c r="I11979" s="380" t="s">
        <v>788</v>
      </c>
      <c r="J11979" s="380" t="s">
        <v>773</v>
      </c>
      <c r="K11979" s="381">
        <v>79378.0</v>
      </c>
      <c r="L11979" s="382">
        <v>1.0</v>
      </c>
    </row>
    <row r="11980">
      <c r="A11980" s="380" t="s">
        <v>12854</v>
      </c>
      <c r="B11980" s="380" t="str">
        <f>IFERROR(__xludf.DUMMYFUNCTION("""COMPUTED_VALUE"""),"Lampara Direcal Izq Nkr 8980539780")</f>
        <v>Lampara Direcal Izq Nkr 8980539780</v>
      </c>
      <c r="C11980" s="380" t="str">
        <f>IFERROR(__xludf.DUMMYFUNCTION("""COMPUTED_VALUE"""),"70007423")</f>
        <v>70007423</v>
      </c>
      <c r="D11980" s="380" t="s">
        <v>767</v>
      </c>
      <c r="E11980" s="380" t="s">
        <v>786</v>
      </c>
      <c r="F11980" s="380" t="s">
        <v>998</v>
      </c>
      <c r="G11980" s="380" t="s">
        <v>1267</v>
      </c>
      <c r="H11980" s="380" t="s">
        <v>771</v>
      </c>
      <c r="I11980" s="380" t="s">
        <v>788</v>
      </c>
      <c r="J11980" s="380" t="s">
        <v>773</v>
      </c>
      <c r="K11980" s="381">
        <v>0.0</v>
      </c>
      <c r="L11980" s="382">
        <v>1.0</v>
      </c>
    </row>
    <row r="11981">
      <c r="A11981" s="380" t="s">
        <v>12855</v>
      </c>
      <c r="B11981" s="380" t="str">
        <f>IFERROR(__xludf.DUMMYFUNCTION("""COMPUTED_VALUE"""),"Buje Eje Levas Motor Nkr III 8973781480")</f>
        <v>Buje Eje Levas Motor Nkr III 8973781480</v>
      </c>
      <c r="C11981" s="380" t="str">
        <f>IFERROR(__xludf.DUMMYFUNCTION("""COMPUTED_VALUE"""),"70007424")</f>
        <v>70007424</v>
      </c>
      <c r="D11981" s="380" t="s">
        <v>767</v>
      </c>
      <c r="E11981" s="380" t="s">
        <v>786</v>
      </c>
      <c r="F11981" s="380" t="s">
        <v>787</v>
      </c>
      <c r="G11981" s="380" t="s">
        <v>1267</v>
      </c>
      <c r="H11981" s="380" t="s">
        <v>771</v>
      </c>
      <c r="I11981" s="380" t="s">
        <v>788</v>
      </c>
      <c r="J11981" s="380" t="s">
        <v>773</v>
      </c>
      <c r="K11981" s="381">
        <v>0.0</v>
      </c>
      <c r="L11981" s="382">
        <v>1.0</v>
      </c>
    </row>
    <row r="11982">
      <c r="A11982" s="380" t="s">
        <v>12856</v>
      </c>
      <c r="B11982" s="380" t="str">
        <f>IFERROR(__xludf.DUMMYFUNCTION("""COMPUTED_VALUE"""),"Sensor Presion Crucero SB N14 76061")</f>
        <v>Sensor Presion Crucero SB N14 76061</v>
      </c>
      <c r="C11982" s="380" t="str">
        <f>IFERROR(__xludf.DUMMYFUNCTION("""COMPUTED_VALUE"""),"70007425")</f>
        <v>70007425</v>
      </c>
      <c r="D11982" s="380" t="s">
        <v>767</v>
      </c>
      <c r="E11982" s="380" t="s">
        <v>786</v>
      </c>
      <c r="F11982" s="380" t="s">
        <v>998</v>
      </c>
      <c r="G11982" s="380" t="s">
        <v>1267</v>
      </c>
      <c r="H11982" s="380" t="s">
        <v>771</v>
      </c>
      <c r="I11982" s="380" t="s">
        <v>788</v>
      </c>
      <c r="J11982" s="380" t="s">
        <v>773</v>
      </c>
      <c r="K11982" s="381">
        <v>0.0</v>
      </c>
      <c r="L11982" s="382">
        <v>1.0</v>
      </c>
    </row>
    <row r="11983">
      <c r="A11983" s="380" t="s">
        <v>12857</v>
      </c>
      <c r="B11983" s="380" t="str">
        <f>IFERROR(__xludf.DUMMYFUNCTION("""COMPUTED_VALUE"""),"Carcaza Reparticion Isx 4059396")</f>
        <v>Carcaza Reparticion Isx 4059396</v>
      </c>
      <c r="C11983" s="380" t="str">
        <f>IFERROR(__xludf.DUMMYFUNCTION("""COMPUTED_VALUE"""),"70007426")</f>
        <v>70007426</v>
      </c>
      <c r="D11983" s="380" t="s">
        <v>767</v>
      </c>
      <c r="E11983" s="380" t="s">
        <v>786</v>
      </c>
      <c r="F11983" s="380" t="s">
        <v>787</v>
      </c>
      <c r="G11983" s="380" t="s">
        <v>1267</v>
      </c>
      <c r="H11983" s="380" t="s">
        <v>771</v>
      </c>
      <c r="I11983" s="380" t="s">
        <v>788</v>
      </c>
      <c r="J11983" s="380" t="s">
        <v>773</v>
      </c>
      <c r="K11983" s="381">
        <v>0.0</v>
      </c>
      <c r="L11983" s="382">
        <v>1.0</v>
      </c>
    </row>
    <row r="11984">
      <c r="A11984" s="380" t="s">
        <v>12858</v>
      </c>
      <c r="B11984" s="380" t="str">
        <f>IFERROR(__xludf.DUMMYFUNCTION("""COMPUTED_VALUE"""),"Juego Escobillas Arranque Motor Npr 3411")</f>
        <v>Juego Escobillas Arranque Motor Npr 3411</v>
      </c>
      <c r="C11984" s="380" t="str">
        <f>IFERROR(__xludf.DUMMYFUNCTION("""COMPUTED_VALUE"""),"70007427")</f>
        <v>70007427</v>
      </c>
      <c r="D11984" s="380" t="s">
        <v>767</v>
      </c>
      <c r="E11984" s="380" t="s">
        <v>786</v>
      </c>
      <c r="F11984" s="380" t="s">
        <v>998</v>
      </c>
      <c r="G11984" s="380" t="s">
        <v>1267</v>
      </c>
      <c r="H11984" s="380" t="s">
        <v>771</v>
      </c>
      <c r="I11984" s="380" t="s">
        <v>788</v>
      </c>
      <c r="J11984" s="380" t="s">
        <v>773</v>
      </c>
      <c r="K11984" s="381">
        <v>0.0</v>
      </c>
      <c r="L11984" s="382">
        <v>1.0</v>
      </c>
    </row>
    <row r="11985">
      <c r="A11985" s="380" t="s">
        <v>12859</v>
      </c>
      <c r="B11985" s="380" t="str">
        <f>IFERROR(__xludf.DUMMYFUNCTION("""COMPUTED_VALUE"""),"Tapa Filtro Aire Npr 8972280900")</f>
        <v>Tapa Filtro Aire Npr 8972280900</v>
      </c>
      <c r="C11985" s="380" t="str">
        <f>IFERROR(__xludf.DUMMYFUNCTION("""COMPUTED_VALUE"""),"70007428")</f>
        <v>70007428</v>
      </c>
      <c r="D11985" s="380" t="s">
        <v>767</v>
      </c>
      <c r="E11985" s="380" t="s">
        <v>786</v>
      </c>
      <c r="F11985" s="380" t="s">
        <v>787</v>
      </c>
      <c r="G11985" s="380" t="s">
        <v>1267</v>
      </c>
      <c r="H11985" s="380" t="s">
        <v>771</v>
      </c>
      <c r="I11985" s="380" t="s">
        <v>788</v>
      </c>
      <c r="J11985" s="380" t="s">
        <v>773</v>
      </c>
      <c r="K11985" s="381">
        <v>0.0</v>
      </c>
      <c r="L11985" s="382">
        <v>1.0</v>
      </c>
    </row>
    <row r="11986">
      <c r="A11986" s="380" t="s">
        <v>12860</v>
      </c>
      <c r="B11986" s="380" t="str">
        <f>IFERROR(__xludf.DUMMYFUNCTION("""COMPUTED_VALUE"""),"Cable Duplex 2 X 18 Negro")</f>
        <v>Cable Duplex 2 X 18 Negro</v>
      </c>
      <c r="C11986" s="380" t="str">
        <f>IFERROR(__xludf.DUMMYFUNCTION("""COMPUTED_VALUE"""),"70007430")</f>
        <v>70007430</v>
      </c>
      <c r="D11986" s="380" t="s">
        <v>767</v>
      </c>
      <c r="E11986" s="380" t="s">
        <v>786</v>
      </c>
      <c r="F11986" s="380" t="s">
        <v>998</v>
      </c>
      <c r="G11986" s="380" t="s">
        <v>1267</v>
      </c>
      <c r="H11986" s="380" t="s">
        <v>771</v>
      </c>
      <c r="I11986" s="380" t="s">
        <v>788</v>
      </c>
      <c r="J11986" s="380" t="s">
        <v>773</v>
      </c>
      <c r="K11986" s="381">
        <v>0.0</v>
      </c>
      <c r="L11986" s="382">
        <v>1.0</v>
      </c>
    </row>
    <row r="11987">
      <c r="A11987" s="380" t="s">
        <v>12861</v>
      </c>
      <c r="B11987" s="380" t="str">
        <f>IFERROR(__xludf.DUMMYFUNCTION("""COMPUTED_VALUE"""),"Pedal Clucht S Carry 4981085311")</f>
        <v>Pedal Clucht S Carry 4981085311</v>
      </c>
      <c r="C11987" s="380" t="str">
        <f>IFERROR(__xludf.DUMMYFUNCTION("""COMPUTED_VALUE"""),"70007431")</f>
        <v>70007431</v>
      </c>
      <c r="D11987" s="380" t="s">
        <v>767</v>
      </c>
      <c r="E11987" s="380" t="s">
        <v>786</v>
      </c>
      <c r="F11987" s="380" t="s">
        <v>5661</v>
      </c>
      <c r="G11987" s="380" t="s">
        <v>1267</v>
      </c>
      <c r="H11987" s="380" t="s">
        <v>771</v>
      </c>
      <c r="I11987" s="380" t="s">
        <v>788</v>
      </c>
      <c r="J11987" s="380" t="s">
        <v>773</v>
      </c>
      <c r="K11987" s="381">
        <v>0.0</v>
      </c>
      <c r="L11987" s="382">
        <v>1.0</v>
      </c>
    </row>
    <row r="11988">
      <c r="A11988" s="380" t="s">
        <v>12862</v>
      </c>
      <c r="B11988" s="380" t="str">
        <f>IFERROR(__xludf.DUMMYFUNCTION("""COMPUTED_VALUE"""),"Asiento Valvula Escape Npr 8943961720")</f>
        <v>Asiento Valvula Escape Npr 8943961720</v>
      </c>
      <c r="C11988" s="380" t="str">
        <f>IFERROR(__xludf.DUMMYFUNCTION("""COMPUTED_VALUE"""),"70007432")</f>
        <v>70007432</v>
      </c>
      <c r="D11988" s="380" t="s">
        <v>767</v>
      </c>
      <c r="E11988" s="380" t="s">
        <v>786</v>
      </c>
      <c r="F11988" s="380" t="s">
        <v>787</v>
      </c>
      <c r="G11988" s="380" t="s">
        <v>1267</v>
      </c>
      <c r="H11988" s="380" t="s">
        <v>771</v>
      </c>
      <c r="I11988" s="380" t="s">
        <v>788</v>
      </c>
      <c r="J11988" s="380" t="s">
        <v>773</v>
      </c>
      <c r="K11988" s="381">
        <v>0.0</v>
      </c>
      <c r="L11988" s="382">
        <v>1.0</v>
      </c>
    </row>
    <row r="11989">
      <c r="A11989" s="380" t="s">
        <v>12863</v>
      </c>
      <c r="B11989" s="380" t="str">
        <f>IFERROR(__xludf.DUMMYFUNCTION("""COMPUTED_VALUE"""),"Brazo Espejo Izq Nkr 8978562698")</f>
        <v>Brazo Espejo Izq Nkr 8978562698</v>
      </c>
      <c r="C11989" s="380" t="str">
        <f>IFERROR(__xludf.DUMMYFUNCTION("""COMPUTED_VALUE"""),"70007433")</f>
        <v>70007433</v>
      </c>
      <c r="D11989" s="380" t="s">
        <v>767</v>
      </c>
      <c r="E11989" s="380" t="s">
        <v>786</v>
      </c>
      <c r="F11989" s="380" t="s">
        <v>792</v>
      </c>
      <c r="G11989" s="380" t="s">
        <v>1267</v>
      </c>
      <c r="H11989" s="380" t="s">
        <v>771</v>
      </c>
      <c r="I11989" s="380" t="s">
        <v>788</v>
      </c>
      <c r="J11989" s="380" t="s">
        <v>773</v>
      </c>
      <c r="K11989" s="381">
        <v>0.0</v>
      </c>
      <c r="L11989" s="382">
        <v>1.0</v>
      </c>
    </row>
    <row r="11990">
      <c r="A11990" s="380" t="s">
        <v>12864</v>
      </c>
      <c r="B11990" s="380" t="str">
        <f>IFERROR(__xludf.DUMMYFUNCTION("""COMPUTED_VALUE"""),"Bocin Con Campana Y Esparrago Rin-Disco")</f>
        <v>Bocin Con Campana Y Esparrago Rin-Disco</v>
      </c>
      <c r="C11990" s="380" t="str">
        <f>IFERROR(__xludf.DUMMYFUNCTION("""COMPUTED_VALUE"""),"70007434")</f>
        <v>70007434</v>
      </c>
      <c r="D11990" s="380" t="s">
        <v>767</v>
      </c>
      <c r="E11990" s="380" t="s">
        <v>786</v>
      </c>
      <c r="F11990" s="380" t="s">
        <v>1017</v>
      </c>
      <c r="G11990" s="380" t="s">
        <v>1267</v>
      </c>
      <c r="H11990" s="380" t="s">
        <v>771</v>
      </c>
      <c r="I11990" s="380" t="s">
        <v>788</v>
      </c>
      <c r="J11990" s="380" t="s">
        <v>773</v>
      </c>
      <c r="K11990" s="381">
        <v>0.0</v>
      </c>
      <c r="L11990" s="382">
        <v>1.0</v>
      </c>
    </row>
    <row r="11991">
      <c r="A11991" s="380" t="s">
        <v>12865</v>
      </c>
      <c r="B11991" s="380" t="str">
        <f>IFERROR(__xludf.DUMMYFUNCTION("""COMPUTED_VALUE"""),"Tapa Grasera Del Nhr 8970126200")</f>
        <v>Tapa Grasera Del Nhr 8970126200</v>
      </c>
      <c r="C11991" s="380" t="str">
        <f>IFERROR(__xludf.DUMMYFUNCTION("""COMPUTED_VALUE"""),"70007435")</f>
        <v>70007435</v>
      </c>
      <c r="D11991" s="380" t="s">
        <v>767</v>
      </c>
      <c r="E11991" s="380" t="s">
        <v>786</v>
      </c>
      <c r="F11991" s="380" t="s">
        <v>1039</v>
      </c>
      <c r="G11991" s="380" t="s">
        <v>1267</v>
      </c>
      <c r="H11991" s="380" t="s">
        <v>771</v>
      </c>
      <c r="I11991" s="380" t="s">
        <v>788</v>
      </c>
      <c r="J11991" s="380" t="s">
        <v>773</v>
      </c>
      <c r="K11991" s="381">
        <v>0.0</v>
      </c>
      <c r="L11991" s="382">
        <v>1.0</v>
      </c>
    </row>
    <row r="11992">
      <c r="A11992" s="380" t="s">
        <v>12866</v>
      </c>
      <c r="B11992" s="380" t="str">
        <f>IFERROR(__xludf.DUMMYFUNCTION("""COMPUTED_VALUE"""),"Brazo Plumilla Hi Internatio 1690024 C9")</f>
        <v>Brazo Plumilla Hi Internatio 1690024 C9</v>
      </c>
      <c r="C11992" s="380" t="str">
        <f>IFERROR(__xludf.DUMMYFUNCTION("""COMPUTED_VALUE"""),"70007436")</f>
        <v>70007436</v>
      </c>
      <c r="D11992" s="380" t="s">
        <v>767</v>
      </c>
      <c r="E11992" s="380" t="s">
        <v>786</v>
      </c>
      <c r="F11992" s="380" t="s">
        <v>792</v>
      </c>
      <c r="G11992" s="380" t="s">
        <v>1267</v>
      </c>
      <c r="H11992" s="380" t="s">
        <v>771</v>
      </c>
      <c r="I11992" s="380" t="s">
        <v>788</v>
      </c>
      <c r="J11992" s="380" t="s">
        <v>773</v>
      </c>
      <c r="K11992" s="381">
        <v>0.0</v>
      </c>
      <c r="L11992" s="382">
        <v>1.0</v>
      </c>
    </row>
    <row r="11993">
      <c r="A11993" s="380" t="s">
        <v>12867</v>
      </c>
      <c r="B11993" s="380" t="str">
        <f>IFERROR(__xludf.DUMMYFUNCTION("""COMPUTED_VALUE"""),"Porta Diodo Alternador De Nhr 8942336470")</f>
        <v>Porta Diodo Alternador De Nhr 8942336470</v>
      </c>
      <c r="C11993" s="380" t="str">
        <f>IFERROR(__xludf.DUMMYFUNCTION("""COMPUTED_VALUE"""),"70007437")</f>
        <v>70007437</v>
      </c>
      <c r="D11993" s="380" t="s">
        <v>767</v>
      </c>
      <c r="E11993" s="380" t="s">
        <v>786</v>
      </c>
      <c r="F11993" s="380" t="s">
        <v>998</v>
      </c>
      <c r="G11993" s="380" t="s">
        <v>1267</v>
      </c>
      <c r="H11993" s="380" t="s">
        <v>771</v>
      </c>
      <c r="I11993" s="380" t="s">
        <v>788</v>
      </c>
      <c r="J11993" s="380" t="s">
        <v>773</v>
      </c>
      <c r="K11993" s="381">
        <v>0.0</v>
      </c>
      <c r="L11993" s="382">
        <v>1.0</v>
      </c>
    </row>
    <row r="11994">
      <c r="A11994" s="380" t="s">
        <v>12868</v>
      </c>
      <c r="B11994" s="380" t="str">
        <f>IFERROR(__xludf.DUMMYFUNCTION("""COMPUTED_VALUE"""),"Caja Direc Super Carry Dw48500a85")</f>
        <v>Caja Direc Super Carry Dw48500a85</v>
      </c>
      <c r="C11994" s="380" t="str">
        <f>IFERROR(__xludf.DUMMYFUNCTION("""COMPUTED_VALUE"""),"70007438")</f>
        <v>70007438</v>
      </c>
      <c r="D11994" s="380" t="s">
        <v>767</v>
      </c>
      <c r="E11994" s="380" t="s">
        <v>786</v>
      </c>
      <c r="F11994" s="380" t="s">
        <v>1020</v>
      </c>
      <c r="G11994" s="380" t="s">
        <v>1267</v>
      </c>
      <c r="H11994" s="380" t="s">
        <v>771</v>
      </c>
      <c r="I11994" s="380" t="s">
        <v>788</v>
      </c>
      <c r="J11994" s="380" t="s">
        <v>773</v>
      </c>
      <c r="K11994" s="381">
        <v>0.0</v>
      </c>
      <c r="L11994" s="382">
        <v>1.0</v>
      </c>
    </row>
    <row r="11995">
      <c r="A11995" s="380" t="s">
        <v>12869</v>
      </c>
      <c r="B11995" s="380" t="str">
        <f>IFERROR(__xludf.DUMMYFUNCTION("""COMPUTED_VALUE"""),"Pulverizador Limpiavidrios Nk Aa33167510")</f>
        <v>Pulverizador Limpiavidrios Nk Aa33167510</v>
      </c>
      <c r="C11995" s="380" t="str">
        <f>IFERROR(__xludf.DUMMYFUNCTION("""COMPUTED_VALUE"""),"70007439")</f>
        <v>70007439</v>
      </c>
      <c r="D11995" s="380" t="s">
        <v>767</v>
      </c>
      <c r="E11995" s="380" t="s">
        <v>786</v>
      </c>
      <c r="F11995" s="380" t="s">
        <v>792</v>
      </c>
      <c r="G11995" s="380" t="s">
        <v>1267</v>
      </c>
      <c r="H11995" s="380" t="s">
        <v>771</v>
      </c>
      <c r="I11995" s="380" t="s">
        <v>788</v>
      </c>
      <c r="J11995" s="380" t="s">
        <v>773</v>
      </c>
      <c r="K11995" s="381">
        <v>0.0</v>
      </c>
      <c r="L11995" s="382">
        <v>1.0</v>
      </c>
    </row>
    <row r="11996">
      <c r="A11996" s="380" t="s">
        <v>12870</v>
      </c>
      <c r="B11996" s="380" t="str">
        <f>IFERROR(__xludf.DUMMYFUNCTION("""COMPUTED_VALUE"""),"Flasher Direcales Tres Patas S 712")</f>
        <v>Flasher Direcales Tres Patas S 712</v>
      </c>
      <c r="C11996" s="380" t="str">
        <f>IFERROR(__xludf.DUMMYFUNCTION("""COMPUTED_VALUE"""),"70007441")</f>
        <v>70007441</v>
      </c>
      <c r="D11996" s="380" t="s">
        <v>767</v>
      </c>
      <c r="E11996" s="380" t="s">
        <v>786</v>
      </c>
      <c r="F11996" s="380" t="s">
        <v>998</v>
      </c>
      <c r="G11996" s="380" t="s">
        <v>1267</v>
      </c>
      <c r="H11996" s="380" t="s">
        <v>771</v>
      </c>
      <c r="I11996" s="380" t="s">
        <v>788</v>
      </c>
      <c r="J11996" s="380" t="s">
        <v>773</v>
      </c>
      <c r="K11996" s="381">
        <v>0.0</v>
      </c>
      <c r="L11996" s="382">
        <v>1.0</v>
      </c>
    </row>
    <row r="11997">
      <c r="A11997" s="380" t="s">
        <v>12871</v>
      </c>
      <c r="B11997" s="380" t="str">
        <f>IFERROR(__xludf.DUMMYFUNCTION("""COMPUTED_VALUE"""),"BMB Principal EMB Nkr III Con 8981176440")</f>
        <v>BMB Principal EMB Nkr III Con 8981176440</v>
      </c>
      <c r="C11997" s="380" t="str">
        <f>IFERROR(__xludf.DUMMYFUNCTION("""COMPUTED_VALUE"""),"70007444")</f>
        <v>70007444</v>
      </c>
      <c r="D11997" s="380" t="s">
        <v>767</v>
      </c>
      <c r="E11997" s="380" t="s">
        <v>786</v>
      </c>
      <c r="F11997" s="380" t="s">
        <v>5661</v>
      </c>
      <c r="G11997" s="380" t="s">
        <v>1267</v>
      </c>
      <c r="H11997" s="380" t="s">
        <v>771</v>
      </c>
      <c r="I11997" s="380" t="s">
        <v>788</v>
      </c>
      <c r="J11997" s="380" t="s">
        <v>773</v>
      </c>
      <c r="K11997" s="381">
        <v>0.0</v>
      </c>
      <c r="L11997" s="382">
        <v>1.0</v>
      </c>
    </row>
    <row r="11998">
      <c r="A11998" s="380" t="s">
        <v>12872</v>
      </c>
      <c r="B11998" s="380" t="str">
        <f>IFERROR(__xludf.DUMMYFUNCTION("""COMPUTED_VALUE"""),"Terminal Electrica Redonda Hem")</f>
        <v>Terminal Electrica Redonda Hem</v>
      </c>
      <c r="C11998" s="380" t="str">
        <f>IFERROR(__xludf.DUMMYFUNCTION("""COMPUTED_VALUE"""),"70007446")</f>
        <v>70007446</v>
      </c>
      <c r="D11998" s="380" t="s">
        <v>767</v>
      </c>
      <c r="E11998" s="380" t="s">
        <v>786</v>
      </c>
      <c r="F11998" s="380" t="s">
        <v>998</v>
      </c>
      <c r="G11998" s="380" t="s">
        <v>1267</v>
      </c>
      <c r="H11998" s="380" t="s">
        <v>771</v>
      </c>
      <c r="I11998" s="380" t="s">
        <v>788</v>
      </c>
      <c r="J11998" s="380" t="s">
        <v>773</v>
      </c>
      <c r="K11998" s="381">
        <v>0.0</v>
      </c>
      <c r="L11998" s="382">
        <v>1.0</v>
      </c>
    </row>
    <row r="11999">
      <c r="A11999" s="380" t="s">
        <v>12873</v>
      </c>
      <c r="B11999" s="380" t="str">
        <f>IFERROR(__xludf.DUMMYFUNCTION("""COMPUTED_VALUE"""),"Terminal Electrico Redondo Macho")</f>
        <v>Terminal Electrico Redondo Macho</v>
      </c>
      <c r="C11999" s="380" t="str">
        <f>IFERROR(__xludf.DUMMYFUNCTION("""COMPUTED_VALUE"""),"70007447")</f>
        <v>70007447</v>
      </c>
      <c r="D11999" s="380" t="s">
        <v>767</v>
      </c>
      <c r="E11999" s="380" t="s">
        <v>786</v>
      </c>
      <c r="F11999" s="380" t="s">
        <v>998</v>
      </c>
      <c r="G11999" s="380" t="s">
        <v>1267</v>
      </c>
      <c r="H11999" s="380" t="s">
        <v>771</v>
      </c>
      <c r="I11999" s="380" t="s">
        <v>788</v>
      </c>
      <c r="J11999" s="380" t="s">
        <v>773</v>
      </c>
      <c r="K11999" s="381">
        <v>0.0</v>
      </c>
      <c r="L11999" s="382">
        <v>1.0</v>
      </c>
    </row>
    <row r="12000">
      <c r="A12000" s="380" t="s">
        <v>12874</v>
      </c>
      <c r="B12000" s="380" t="str">
        <f>IFERROR(__xludf.DUMMYFUNCTION("""COMPUTED_VALUE"""),"MOT 3/4 REN Master Mod 2017 8201627658")</f>
        <v>MOT 3/4 REN Master Mod 2017 8201627658</v>
      </c>
      <c r="C12000" s="380" t="str">
        <f>IFERROR(__xludf.DUMMYFUNCTION("""COMPUTED_VALUE"""),"70007448")</f>
        <v>70007448</v>
      </c>
      <c r="D12000" s="380" t="s">
        <v>767</v>
      </c>
      <c r="E12000" s="380" t="s">
        <v>786</v>
      </c>
      <c r="F12000" s="380" t="s">
        <v>787</v>
      </c>
      <c r="G12000" s="380" t="s">
        <v>1267</v>
      </c>
      <c r="H12000" s="380" t="s">
        <v>771</v>
      </c>
      <c r="I12000" s="380" t="s">
        <v>788</v>
      </c>
      <c r="J12000" s="380" t="s">
        <v>773</v>
      </c>
      <c r="K12000" s="381">
        <v>0.0</v>
      </c>
      <c r="L12000" s="382">
        <v>1.0</v>
      </c>
    </row>
    <row r="12001">
      <c r="A12001" s="380" t="s">
        <v>12875</v>
      </c>
      <c r="B12001" s="380" t="str">
        <f>IFERROR(__xludf.DUMMYFUNCTION("""COMPUTED_VALUE"""),"Transmision DEL T Vxa Remanufacturada")</f>
        <v>Transmision DEL T Vxa Remanufacturada</v>
      </c>
      <c r="C12001" s="380" t="str">
        <f>IFERROR(__xludf.DUMMYFUNCTION("""COMPUTED_VALUE"""),"70007449")</f>
        <v>70007449</v>
      </c>
      <c r="D12001" s="380" t="s">
        <v>767</v>
      </c>
      <c r="E12001" s="380" t="s">
        <v>786</v>
      </c>
      <c r="F12001" s="380" t="s">
        <v>5683</v>
      </c>
      <c r="G12001" s="380" t="s">
        <v>1267</v>
      </c>
      <c r="H12001" s="380" t="s">
        <v>771</v>
      </c>
      <c r="I12001" s="380" t="s">
        <v>788</v>
      </c>
      <c r="J12001" s="380" t="s">
        <v>773</v>
      </c>
      <c r="K12001" s="381">
        <v>0.0</v>
      </c>
      <c r="L12001" s="382">
        <v>1.0</v>
      </c>
    </row>
    <row r="12002">
      <c r="A12002" s="380" t="s">
        <v>12876</v>
      </c>
      <c r="B12002" s="380" t="str">
        <f>IFERROR(__xludf.DUMMYFUNCTION("""COMPUTED_VALUE"""),"Conector BMB De Agua FT Mv5 770594601959")</f>
        <v>Conector BMB De Agua FT Mv5 770594601959</v>
      </c>
      <c r="C12002" s="380" t="str">
        <f>IFERROR(__xludf.DUMMYFUNCTION("""COMPUTED_VALUE"""),"70007450")</f>
        <v>70007450</v>
      </c>
      <c r="D12002" s="380" t="s">
        <v>767</v>
      </c>
      <c r="E12002" s="380" t="s">
        <v>786</v>
      </c>
      <c r="F12002" s="380" t="s">
        <v>787</v>
      </c>
      <c r="G12002" s="380" t="s">
        <v>1267</v>
      </c>
      <c r="H12002" s="380" t="s">
        <v>771</v>
      </c>
      <c r="I12002" s="380" t="s">
        <v>788</v>
      </c>
      <c r="J12002" s="380" t="s">
        <v>773</v>
      </c>
      <c r="K12002" s="381">
        <v>0.0</v>
      </c>
      <c r="L12002" s="382">
        <v>1.0</v>
      </c>
    </row>
    <row r="12003">
      <c r="A12003" s="380" t="s">
        <v>12877</v>
      </c>
      <c r="B12003" s="380" t="str">
        <f>IFERROR(__xludf.DUMMYFUNCTION("""COMPUTED_VALUE"""),"Cubierta Externa Base Trapecio Plumillas")</f>
        <v>Cubierta Externa Base Trapecio Plumillas</v>
      </c>
      <c r="C12003" s="380" t="str">
        <f>IFERROR(__xludf.DUMMYFUNCTION("""COMPUTED_VALUE"""),"70007451")</f>
        <v>70007451</v>
      </c>
      <c r="D12003" s="380" t="s">
        <v>767</v>
      </c>
      <c r="E12003" s="380" t="s">
        <v>786</v>
      </c>
      <c r="F12003" s="380" t="s">
        <v>792</v>
      </c>
      <c r="G12003" s="380" t="s">
        <v>1267</v>
      </c>
      <c r="H12003" s="380" t="s">
        <v>771</v>
      </c>
      <c r="I12003" s="380" t="s">
        <v>788</v>
      </c>
      <c r="J12003" s="380" t="s">
        <v>773</v>
      </c>
      <c r="K12003" s="381">
        <v>0.0</v>
      </c>
      <c r="L12003" s="382">
        <v>1.0</v>
      </c>
    </row>
    <row r="12004">
      <c r="A12004" s="380" t="s">
        <v>12878</v>
      </c>
      <c r="B12004" s="380" t="str">
        <f>IFERROR(__xludf.DUMMYFUNCTION("""COMPUTED_VALUE"""),"Zapa DEL Izq MUE DEL INT Lt 3839131c4")</f>
        <v>Zapa DEL Izq MUE DEL INT Lt 3839131c4</v>
      </c>
      <c r="C12004" s="380" t="str">
        <f>IFERROR(__xludf.DUMMYFUNCTION("""COMPUTED_VALUE"""),"70007452")</f>
        <v>70007452</v>
      </c>
      <c r="D12004" s="380" t="s">
        <v>767</v>
      </c>
      <c r="E12004" s="380" t="s">
        <v>786</v>
      </c>
      <c r="F12004" s="380" t="s">
        <v>787</v>
      </c>
      <c r="G12004" s="380" t="s">
        <v>1267</v>
      </c>
      <c r="H12004" s="380" t="s">
        <v>771</v>
      </c>
      <c r="I12004" s="380" t="s">
        <v>788</v>
      </c>
      <c r="J12004" s="380" t="s">
        <v>773</v>
      </c>
      <c r="K12004" s="381">
        <v>0.0</v>
      </c>
      <c r="L12004" s="382">
        <v>1.0</v>
      </c>
    </row>
    <row r="12005">
      <c r="A12005" s="380" t="s">
        <v>12879</v>
      </c>
      <c r="B12005" s="380" t="str">
        <f>IFERROR(__xludf.DUMMYFUNCTION("""COMPUTED_VALUE"""),"Pin Eje ENT Divisor KW T 800 Eaton 78909")</f>
        <v>Pin Eje ENT Divisor KW T 800 Eaton 78909</v>
      </c>
      <c r="C12005" s="380" t="str">
        <f>IFERROR(__xludf.DUMMYFUNCTION("""COMPUTED_VALUE"""),"70007454")</f>
        <v>70007454</v>
      </c>
      <c r="D12005" s="380" t="s">
        <v>767</v>
      </c>
      <c r="E12005" s="380" t="s">
        <v>786</v>
      </c>
      <c r="F12005" s="380" t="s">
        <v>5683</v>
      </c>
      <c r="G12005" s="380" t="s">
        <v>1267</v>
      </c>
      <c r="H12005" s="380" t="s">
        <v>771</v>
      </c>
      <c r="I12005" s="380" t="s">
        <v>788</v>
      </c>
      <c r="J12005" s="380" t="s">
        <v>773</v>
      </c>
      <c r="K12005" s="381">
        <v>0.0</v>
      </c>
      <c r="L12005" s="382">
        <v>1.0</v>
      </c>
    </row>
    <row r="12006">
      <c r="A12006" s="380" t="s">
        <v>12880</v>
      </c>
      <c r="B12006" s="380" t="str">
        <f>IFERROR(__xludf.DUMMYFUNCTION("""COMPUTED_VALUE"""),"Protector Guardabarro Izq Npr 8973669881")</f>
        <v>Protector Guardabarro Izq Npr 8973669881</v>
      </c>
      <c r="C12006" s="380" t="str">
        <f>IFERROR(__xludf.DUMMYFUNCTION("""COMPUTED_VALUE"""),"70007455")</f>
        <v>70007455</v>
      </c>
      <c r="D12006" s="380" t="s">
        <v>767</v>
      </c>
      <c r="E12006" s="380" t="s">
        <v>786</v>
      </c>
      <c r="F12006" s="380" t="s">
        <v>792</v>
      </c>
      <c r="G12006" s="380" t="s">
        <v>1267</v>
      </c>
      <c r="H12006" s="380" t="s">
        <v>771</v>
      </c>
      <c r="I12006" s="380" t="s">
        <v>788</v>
      </c>
      <c r="J12006" s="380" t="s">
        <v>773</v>
      </c>
      <c r="K12006" s="381">
        <v>0.0</v>
      </c>
      <c r="L12006" s="382">
        <v>1.0</v>
      </c>
    </row>
    <row r="12007">
      <c r="A12007" s="380" t="s">
        <v>12881</v>
      </c>
      <c r="B12007" s="380" t="str">
        <f>IFERROR(__xludf.DUMMYFUNCTION("""COMPUTED_VALUE"""),"EMPt BMB Ppal BX28 Internatio 464903 C-2")</f>
        <v>EMPt BMB Ppal BX28 Internatio 464903 C-2</v>
      </c>
      <c r="C12007" s="380" t="str">
        <f>IFERROR(__xludf.DUMMYFUNCTION("""COMPUTED_VALUE"""),"70007456")</f>
        <v>70007456</v>
      </c>
      <c r="D12007" s="380" t="s">
        <v>767</v>
      </c>
      <c r="E12007" s="380" t="s">
        <v>786</v>
      </c>
      <c r="F12007" s="380" t="s">
        <v>1017</v>
      </c>
      <c r="G12007" s="380" t="s">
        <v>1267</v>
      </c>
      <c r="H12007" s="380" t="s">
        <v>771</v>
      </c>
      <c r="I12007" s="380" t="s">
        <v>788</v>
      </c>
      <c r="J12007" s="380" t="s">
        <v>773</v>
      </c>
      <c r="K12007" s="381">
        <v>0.0</v>
      </c>
      <c r="L12007" s="382">
        <v>1.0</v>
      </c>
    </row>
    <row r="12008">
      <c r="A12008" s="380" t="s">
        <v>12882</v>
      </c>
      <c r="B12008" s="380" t="str">
        <f>IFERROR(__xludf.DUMMYFUNCTION("""COMPUTED_VALUE"""),"Resorte PTA Furgon Tipocortina 2376/162")</f>
        <v>Resorte PTA Furgon Tipocortina 2376/162</v>
      </c>
      <c r="C12008" s="380" t="str">
        <f>IFERROR(__xludf.DUMMYFUNCTION("""COMPUTED_VALUE"""),"70007457")</f>
        <v>70007457</v>
      </c>
      <c r="D12008" s="380" t="s">
        <v>767</v>
      </c>
      <c r="E12008" s="380" t="s">
        <v>786</v>
      </c>
      <c r="F12008" s="380" t="s">
        <v>792</v>
      </c>
      <c r="G12008" s="380" t="s">
        <v>1267</v>
      </c>
      <c r="H12008" s="380" t="s">
        <v>771</v>
      </c>
      <c r="I12008" s="380" t="s">
        <v>788</v>
      </c>
      <c r="J12008" s="380" t="s">
        <v>773</v>
      </c>
      <c r="K12008" s="381">
        <v>0.0</v>
      </c>
      <c r="L12008" s="382">
        <v>1.0</v>
      </c>
    </row>
    <row r="12009">
      <c r="A12009" s="380" t="s">
        <v>12883</v>
      </c>
      <c r="B12009" s="380" t="str">
        <f>IFERROR(__xludf.DUMMYFUNCTION("""COMPUTED_VALUE"""),"Hoja Resorte Tras 3ra Suzuki 43-136/2ad")</f>
        <v>Hoja Resorte Tras 3ra Suzuki 43-136/2ad</v>
      </c>
      <c r="C12009" s="380" t="str">
        <f>IFERROR(__xludf.DUMMYFUNCTION("""COMPUTED_VALUE"""),"70007458")</f>
        <v>70007458</v>
      </c>
      <c r="D12009" s="380" t="s">
        <v>767</v>
      </c>
      <c r="E12009" s="380" t="s">
        <v>786</v>
      </c>
      <c r="F12009" s="380" t="s">
        <v>1039</v>
      </c>
      <c r="G12009" s="380" t="s">
        <v>1267</v>
      </c>
      <c r="H12009" s="380" t="s">
        <v>771</v>
      </c>
      <c r="I12009" s="380" t="s">
        <v>788</v>
      </c>
      <c r="J12009" s="380" t="s">
        <v>773</v>
      </c>
      <c r="K12009" s="381">
        <v>0.0</v>
      </c>
      <c r="L12009" s="382">
        <v>1.0</v>
      </c>
    </row>
    <row r="12010">
      <c r="A12010" s="380" t="s">
        <v>12884</v>
      </c>
      <c r="B12010" s="380" t="str">
        <f>IFERROR(__xludf.DUMMYFUNCTION("""COMPUTED_VALUE"""),"Balinera Splinder Npr 8971419430")</f>
        <v>Balinera Splinder Npr 8971419430</v>
      </c>
      <c r="C12010" s="380" t="str">
        <f>IFERROR(__xludf.DUMMYFUNCTION("""COMPUTED_VALUE"""),"70007460")</f>
        <v>70007460</v>
      </c>
      <c r="D12010" s="380" t="s">
        <v>767</v>
      </c>
      <c r="E12010" s="380" t="s">
        <v>786</v>
      </c>
      <c r="F12010" s="380" t="s">
        <v>1039</v>
      </c>
      <c r="G12010" s="380" t="s">
        <v>1267</v>
      </c>
      <c r="H12010" s="380" t="s">
        <v>771</v>
      </c>
      <c r="I12010" s="380" t="s">
        <v>788</v>
      </c>
      <c r="J12010" s="380" t="s">
        <v>773</v>
      </c>
      <c r="K12010" s="381">
        <v>0.0</v>
      </c>
      <c r="L12010" s="382">
        <v>1.0</v>
      </c>
    </row>
    <row r="12011">
      <c r="A12011" s="380" t="s">
        <v>12885</v>
      </c>
      <c r="B12011" s="380" t="str">
        <f>IFERROR(__xludf.DUMMYFUNCTION("""COMPUTED_VALUE"""),"Post E Post Enfriador Aire Rep. Kenworth")</f>
        <v>Post E Post Enfriador Aire Rep. Kenworth</v>
      </c>
      <c r="C12011" s="380" t="str">
        <f>IFERROR(__xludf.DUMMYFUNCTION("""COMPUTED_VALUE"""),"70007461")</f>
        <v>70007461</v>
      </c>
      <c r="D12011" s="380" t="s">
        <v>767</v>
      </c>
      <c r="E12011" s="380" t="s">
        <v>786</v>
      </c>
      <c r="F12011" s="380" t="s">
        <v>787</v>
      </c>
      <c r="G12011" s="380" t="s">
        <v>1267</v>
      </c>
      <c r="H12011" s="380" t="s">
        <v>771</v>
      </c>
      <c r="I12011" s="380" t="s">
        <v>788</v>
      </c>
      <c r="J12011" s="380" t="s">
        <v>773</v>
      </c>
      <c r="K12011" s="381">
        <v>585000.0</v>
      </c>
      <c r="L12011" s="382">
        <v>1.0</v>
      </c>
    </row>
    <row r="12012">
      <c r="A12012" s="380" t="s">
        <v>12886</v>
      </c>
      <c r="B12012" s="380" t="str">
        <f>IFERROR(__xludf.DUMMYFUNCTION("""COMPUTED_VALUE"""),"Buje Largo Muelle Tras Npr 41413")</f>
        <v>Buje Largo Muelle Tras Npr 41413</v>
      </c>
      <c r="C12012" s="380" t="str">
        <f>IFERROR(__xludf.DUMMYFUNCTION("""COMPUTED_VALUE"""),"70007462")</f>
        <v>70007462</v>
      </c>
      <c r="D12012" s="380" t="s">
        <v>767</v>
      </c>
      <c r="E12012" s="380" t="s">
        <v>786</v>
      </c>
      <c r="F12012" s="380" t="s">
        <v>1039</v>
      </c>
      <c r="G12012" s="380" t="s">
        <v>1267</v>
      </c>
      <c r="H12012" s="380" t="s">
        <v>771</v>
      </c>
      <c r="I12012" s="380" t="s">
        <v>788</v>
      </c>
      <c r="J12012" s="380" t="s">
        <v>773</v>
      </c>
      <c r="K12012" s="381">
        <v>33157.0</v>
      </c>
      <c r="L12012" s="382">
        <v>1.0</v>
      </c>
    </row>
    <row r="12013">
      <c r="A12013" s="380" t="s">
        <v>12887</v>
      </c>
      <c r="B12013" s="380" t="str">
        <f>IFERROR(__xludf.DUMMYFUNCTION("""COMPUTED_VALUE"""),"Empaque Tubo De Escape Nhr 8973814560")</f>
        <v>Empaque Tubo De Escape Nhr 8973814560</v>
      </c>
      <c r="C12013" s="380" t="str">
        <f>IFERROR(__xludf.DUMMYFUNCTION("""COMPUTED_VALUE"""),"70007463")</f>
        <v>70007463</v>
      </c>
      <c r="D12013" s="380" t="s">
        <v>767</v>
      </c>
      <c r="E12013" s="380" t="s">
        <v>786</v>
      </c>
      <c r="F12013" s="380" t="s">
        <v>787</v>
      </c>
      <c r="G12013" s="380" t="s">
        <v>1267</v>
      </c>
      <c r="H12013" s="380" t="s">
        <v>771</v>
      </c>
      <c r="I12013" s="380" t="s">
        <v>788</v>
      </c>
      <c r="J12013" s="380" t="s">
        <v>773</v>
      </c>
      <c r="K12013" s="381">
        <v>0.0</v>
      </c>
      <c r="L12013" s="382">
        <v>1.0</v>
      </c>
    </row>
    <row r="12014">
      <c r="A12014" s="380" t="s">
        <v>12888</v>
      </c>
      <c r="B12014" s="380" t="str">
        <f>IFERROR(__xludf.DUMMYFUNCTION("""COMPUTED_VALUE"""),"Valvula Freno Seguridad Hi 466 65661")</f>
        <v>Valvula Freno Seguridad Hi 466 65661</v>
      </c>
      <c r="C12014" s="380" t="str">
        <f>IFERROR(__xludf.DUMMYFUNCTION("""COMPUTED_VALUE"""),"70007464")</f>
        <v>70007464</v>
      </c>
      <c r="D12014" s="380" t="s">
        <v>767</v>
      </c>
      <c r="E12014" s="380" t="s">
        <v>786</v>
      </c>
      <c r="F12014" s="380" t="s">
        <v>1017</v>
      </c>
      <c r="G12014" s="380" t="s">
        <v>1267</v>
      </c>
      <c r="H12014" s="380" t="s">
        <v>771</v>
      </c>
      <c r="I12014" s="380" t="s">
        <v>788</v>
      </c>
      <c r="J12014" s="380" t="s">
        <v>773</v>
      </c>
      <c r="K12014" s="381">
        <v>0.0</v>
      </c>
      <c r="L12014" s="382">
        <v>1.0</v>
      </c>
    </row>
    <row r="12015">
      <c r="A12015" s="380" t="s">
        <v>12889</v>
      </c>
      <c r="B12015" s="380" t="str">
        <f>IFERROR(__xludf.DUMMYFUNCTION("""COMPUTED_VALUE"""),"Conjunto Sincronizador 5ta/Re R170825000")</f>
        <v>Conjunto Sincronizador 5ta/Re R170825000</v>
      </c>
      <c r="C12015" s="380" t="str">
        <f>IFERROR(__xludf.DUMMYFUNCTION("""COMPUTED_VALUE"""),"70007465")</f>
        <v>70007465</v>
      </c>
      <c r="D12015" s="380" t="s">
        <v>767</v>
      </c>
      <c r="E12015" s="380" t="s">
        <v>786</v>
      </c>
      <c r="F12015" s="380" t="s">
        <v>928</v>
      </c>
      <c r="G12015" s="380" t="s">
        <v>1267</v>
      </c>
      <c r="H12015" s="380" t="s">
        <v>771</v>
      </c>
      <c r="I12015" s="380" t="s">
        <v>788</v>
      </c>
      <c r="J12015" s="380" t="s">
        <v>773</v>
      </c>
      <c r="K12015" s="381">
        <v>0.0</v>
      </c>
      <c r="L12015" s="382">
        <v>1.0</v>
      </c>
    </row>
    <row r="12016">
      <c r="A12016" s="380" t="s">
        <v>12890</v>
      </c>
      <c r="B12016" s="380" t="str">
        <f>IFERROR(__xludf.DUMMYFUNCTION("""COMPUTED_VALUE"""),"CJ Panel De Instrumentos Lh EG 2023427c1")</f>
        <v>CJ Panel De Instrumentos Lh EG 2023427c1</v>
      </c>
      <c r="C12016" s="380" t="str">
        <f>IFERROR(__xludf.DUMMYFUNCTION("""COMPUTED_VALUE"""),"70007466")</f>
        <v>70007466</v>
      </c>
      <c r="D12016" s="380" t="s">
        <v>767</v>
      </c>
      <c r="E12016" s="380" t="s">
        <v>786</v>
      </c>
      <c r="F12016" s="380" t="s">
        <v>792</v>
      </c>
      <c r="G12016" s="380" t="s">
        <v>1267</v>
      </c>
      <c r="H12016" s="380" t="s">
        <v>771</v>
      </c>
      <c r="I12016" s="380" t="s">
        <v>788</v>
      </c>
      <c r="J12016" s="380" t="s">
        <v>773</v>
      </c>
      <c r="K12016" s="381">
        <v>0.0</v>
      </c>
      <c r="L12016" s="382">
        <v>1.0</v>
      </c>
    </row>
    <row r="12017">
      <c r="A12017" s="380" t="s">
        <v>12891</v>
      </c>
      <c r="B12017" s="380" t="str">
        <f>IFERROR(__xludf.DUMMYFUNCTION("""COMPUTED_VALUE"""),"Anillo Sincronismo Alta FT MV 1023482134")</f>
        <v>Anillo Sincronismo Alta FT MV 1023482134</v>
      </c>
      <c r="C12017" s="380" t="str">
        <f>IFERROR(__xludf.DUMMYFUNCTION("""COMPUTED_VALUE"""),"70007467")</f>
        <v>70007467</v>
      </c>
      <c r="D12017" s="380" t="s">
        <v>767</v>
      </c>
      <c r="E12017" s="380" t="s">
        <v>786</v>
      </c>
      <c r="F12017" s="380" t="s">
        <v>928</v>
      </c>
      <c r="G12017" s="380" t="s">
        <v>1267</v>
      </c>
      <c r="H12017" s="380" t="s">
        <v>771</v>
      </c>
      <c r="I12017" s="380" t="s">
        <v>788</v>
      </c>
      <c r="J12017" s="380" t="s">
        <v>773</v>
      </c>
      <c r="K12017" s="381">
        <v>0.0</v>
      </c>
      <c r="L12017" s="382">
        <v>1.0</v>
      </c>
    </row>
    <row r="12018">
      <c r="A12018" s="380" t="s">
        <v>12892</v>
      </c>
      <c r="B12018" s="380" t="str">
        <f>IFERROR(__xludf.DUMMYFUNCTION("""COMPUTED_VALUE"""),"Panel INTno Marco PTA Izq INT 6127680c2")</f>
        <v>Panel INTno Marco PTA Izq INT 6127680c2</v>
      </c>
      <c r="C12018" s="380" t="str">
        <f>IFERROR(__xludf.DUMMYFUNCTION("""COMPUTED_VALUE"""),"70007468")</f>
        <v>70007468</v>
      </c>
      <c r="D12018" s="380" t="s">
        <v>767</v>
      </c>
      <c r="E12018" s="380" t="s">
        <v>786</v>
      </c>
      <c r="F12018" s="380" t="s">
        <v>792</v>
      </c>
      <c r="G12018" s="380" t="s">
        <v>1267</v>
      </c>
      <c r="H12018" s="380" t="s">
        <v>771</v>
      </c>
      <c r="I12018" s="380" t="s">
        <v>788</v>
      </c>
      <c r="J12018" s="380" t="s">
        <v>773</v>
      </c>
      <c r="K12018" s="381">
        <v>0.0</v>
      </c>
      <c r="L12018" s="382">
        <v>1.0</v>
      </c>
    </row>
    <row r="12019">
      <c r="A12019" s="380" t="s">
        <v>12893</v>
      </c>
      <c r="B12019" s="380" t="str">
        <f>IFERROR(__xludf.DUMMYFUNCTION("""COMPUTED_VALUE"""),"Tapa Sup DEP Refrigerante MCK Cxu 230590")</f>
        <v>Tapa Sup DEP Refrigerante MCK Cxu 230590</v>
      </c>
      <c r="C12019" s="380" t="str">
        <f>IFERROR(__xludf.DUMMYFUNCTION("""COMPUTED_VALUE"""),"70007469")</f>
        <v>70007469</v>
      </c>
      <c r="D12019" s="380" t="s">
        <v>767</v>
      </c>
      <c r="E12019" s="380" t="s">
        <v>786</v>
      </c>
      <c r="F12019" s="380" t="s">
        <v>787</v>
      </c>
      <c r="G12019" s="380" t="s">
        <v>1267</v>
      </c>
      <c r="H12019" s="380" t="s">
        <v>771</v>
      </c>
      <c r="I12019" s="380" t="s">
        <v>788</v>
      </c>
      <c r="J12019" s="380" t="s">
        <v>773</v>
      </c>
      <c r="K12019" s="381">
        <v>0.0</v>
      </c>
      <c r="L12019" s="382">
        <v>1.0</v>
      </c>
    </row>
    <row r="12020">
      <c r="A12020" s="380" t="s">
        <v>12894</v>
      </c>
      <c r="B12020" s="380" t="str">
        <f>IFERROR(__xludf.DUMMYFUNCTION("""COMPUTED_VALUE"""),"Emblema Lateral Capot Kenworth K281-1348")</f>
        <v>Emblema Lateral Capot Kenworth K281-1348</v>
      </c>
      <c r="C12020" s="380" t="str">
        <f>IFERROR(__xludf.DUMMYFUNCTION("""COMPUTED_VALUE"""),"70007470")</f>
        <v>70007470</v>
      </c>
      <c r="D12020" s="380" t="s">
        <v>767</v>
      </c>
      <c r="E12020" s="380" t="s">
        <v>786</v>
      </c>
      <c r="F12020" s="380" t="s">
        <v>792</v>
      </c>
      <c r="G12020" s="380" t="s">
        <v>1267</v>
      </c>
      <c r="H12020" s="380" t="s">
        <v>771</v>
      </c>
      <c r="I12020" s="380" t="s">
        <v>788</v>
      </c>
      <c r="J12020" s="380" t="s">
        <v>773</v>
      </c>
      <c r="K12020" s="381">
        <v>0.0</v>
      </c>
      <c r="L12020" s="382">
        <v>1.0</v>
      </c>
    </row>
    <row r="12021">
      <c r="A12021" s="380" t="s">
        <v>12895</v>
      </c>
      <c r="B12021" s="380" t="str">
        <f>IFERROR(__xludf.DUMMYFUNCTION("""COMPUTED_VALUE"""),"Brazo Espejo Izq Completo KW T800 30cc8")</f>
        <v>Brazo Espejo Izq Completo KW T800 30cc8</v>
      </c>
      <c r="C12021" s="380" t="str">
        <f>IFERROR(__xludf.DUMMYFUNCTION("""COMPUTED_VALUE"""),"70007471")</f>
        <v>70007471</v>
      </c>
      <c r="D12021" s="380" t="s">
        <v>767</v>
      </c>
      <c r="E12021" s="380" t="s">
        <v>786</v>
      </c>
      <c r="F12021" s="380" t="s">
        <v>792</v>
      </c>
      <c r="G12021" s="380" t="s">
        <v>1267</v>
      </c>
      <c r="H12021" s="380" t="s">
        <v>771</v>
      </c>
      <c r="I12021" s="380" t="s">
        <v>788</v>
      </c>
      <c r="J12021" s="380" t="s">
        <v>773</v>
      </c>
      <c r="K12021" s="381">
        <v>0.0</v>
      </c>
      <c r="L12021" s="382">
        <v>1.0</v>
      </c>
    </row>
    <row r="12022">
      <c r="A12022" s="380" t="s">
        <v>12896</v>
      </c>
      <c r="B12022" s="380" t="str">
        <f>IFERROR(__xludf.DUMMYFUNCTION("""COMPUTED_VALUE"""),"Empaquetadura Mono Y Bajo KWh Fulk 3341")</f>
        <v>Empaquetadura Mono Y Bajo KWh Fulk 3341</v>
      </c>
      <c r="C12022" s="380" t="str">
        <f>IFERROR(__xludf.DUMMYFUNCTION("""COMPUTED_VALUE"""),"70007472")</f>
        <v>70007472</v>
      </c>
      <c r="D12022" s="380" t="s">
        <v>767</v>
      </c>
      <c r="E12022" s="380" t="s">
        <v>786</v>
      </c>
      <c r="F12022" s="380" t="s">
        <v>928</v>
      </c>
      <c r="G12022" s="380" t="s">
        <v>1267</v>
      </c>
      <c r="H12022" s="380" t="s">
        <v>771</v>
      </c>
      <c r="I12022" s="380" t="s">
        <v>788</v>
      </c>
      <c r="J12022" s="380" t="s">
        <v>773</v>
      </c>
      <c r="K12022" s="381">
        <v>0.0</v>
      </c>
      <c r="L12022" s="382">
        <v>1.0</v>
      </c>
    </row>
    <row r="12023">
      <c r="A12023" s="380" t="s">
        <v>12897</v>
      </c>
      <c r="B12023" s="380" t="str">
        <f>IFERROR(__xludf.DUMMYFUNCTION("""COMPUTED_VALUE"""),"Piñon Sencillo Pata Holland TRL V-1927")</f>
        <v>Piñon Sencillo Pata Holland TRL V-1927</v>
      </c>
      <c r="C12023" s="380" t="str">
        <f>IFERROR(__xludf.DUMMYFUNCTION("""COMPUTED_VALUE"""),"70007473")</f>
        <v>70007473</v>
      </c>
      <c r="D12023" s="380" t="s">
        <v>767</v>
      </c>
      <c r="E12023" s="380" t="s">
        <v>786</v>
      </c>
      <c r="F12023" s="380" t="s">
        <v>792</v>
      </c>
      <c r="G12023" s="380" t="s">
        <v>1267</v>
      </c>
      <c r="H12023" s="380" t="s">
        <v>771</v>
      </c>
      <c r="I12023" s="380" t="s">
        <v>788</v>
      </c>
      <c r="J12023" s="380" t="s">
        <v>773</v>
      </c>
      <c r="K12023" s="381">
        <v>0.0</v>
      </c>
      <c r="L12023" s="382">
        <v>1.0</v>
      </c>
    </row>
    <row r="12024">
      <c r="A12024" s="380" t="s">
        <v>12898</v>
      </c>
      <c r="B12024" s="380" t="str">
        <f>IFERROR(__xludf.DUMMYFUNCTION("""COMPUTED_VALUE"""),"Valvula Relay Trailer 110200")</f>
        <v>Valvula Relay Trailer 110200</v>
      </c>
      <c r="C12024" s="380" t="str">
        <f>IFERROR(__xludf.DUMMYFUNCTION("""COMPUTED_VALUE"""),"70007474")</f>
        <v>70007474</v>
      </c>
      <c r="D12024" s="380" t="s">
        <v>767</v>
      </c>
      <c r="E12024" s="380" t="s">
        <v>786</v>
      </c>
      <c r="F12024" s="380" t="s">
        <v>1017</v>
      </c>
      <c r="G12024" s="380" t="s">
        <v>1267</v>
      </c>
      <c r="H12024" s="380" t="s">
        <v>771</v>
      </c>
      <c r="I12024" s="380" t="s">
        <v>788</v>
      </c>
      <c r="J12024" s="380" t="s">
        <v>773</v>
      </c>
      <c r="K12024" s="381">
        <v>0.0</v>
      </c>
      <c r="L12024" s="382">
        <v>1.0</v>
      </c>
    </row>
    <row r="12025">
      <c r="A12025" s="380" t="s">
        <v>12899</v>
      </c>
      <c r="B12025" s="380" t="str">
        <f>IFERROR(__xludf.DUMMYFUNCTION("""COMPUTED_VALUE"""),"Horquilla Mono Caja 14915 SB N14 A 5160")</f>
        <v>Horquilla Mono Caja 14915 SB N14 A 5160</v>
      </c>
      <c r="C12025" s="380" t="str">
        <f>IFERROR(__xludf.DUMMYFUNCTION("""COMPUTED_VALUE"""),"70007475")</f>
        <v>70007475</v>
      </c>
      <c r="D12025" s="380" t="s">
        <v>767</v>
      </c>
      <c r="E12025" s="380" t="s">
        <v>786</v>
      </c>
      <c r="F12025" s="380" t="s">
        <v>928</v>
      </c>
      <c r="G12025" s="380" t="s">
        <v>1267</v>
      </c>
      <c r="H12025" s="380" t="s">
        <v>771</v>
      </c>
      <c r="I12025" s="380" t="s">
        <v>788</v>
      </c>
      <c r="J12025" s="380" t="s">
        <v>773</v>
      </c>
      <c r="K12025" s="381">
        <v>0.0</v>
      </c>
      <c r="L12025" s="382">
        <v>1.0</v>
      </c>
    </row>
    <row r="12026">
      <c r="A12026" s="380" t="s">
        <v>12900</v>
      </c>
      <c r="B12026" s="380" t="str">
        <f>IFERROR(__xludf.DUMMYFUNCTION("""COMPUTED_VALUE"""),"Buje BRR Tensora TRL Utility 620625")</f>
        <v>Buje BRR Tensora TRL Utility 620625</v>
      </c>
      <c r="C12026" s="380" t="str">
        <f>IFERROR(__xludf.DUMMYFUNCTION("""COMPUTED_VALUE"""),"70007476")</f>
        <v>70007476</v>
      </c>
      <c r="D12026" s="380" t="s">
        <v>767</v>
      </c>
      <c r="E12026" s="380" t="s">
        <v>786</v>
      </c>
      <c r="F12026" s="380" t="s">
        <v>1039</v>
      </c>
      <c r="G12026" s="380" t="s">
        <v>1267</v>
      </c>
      <c r="H12026" s="380" t="s">
        <v>771</v>
      </c>
      <c r="I12026" s="380" t="s">
        <v>788</v>
      </c>
      <c r="J12026" s="380" t="s">
        <v>773</v>
      </c>
      <c r="K12026" s="381">
        <v>0.0</v>
      </c>
      <c r="L12026" s="382">
        <v>1.0</v>
      </c>
    </row>
    <row r="12027">
      <c r="A12027" s="380" t="s">
        <v>12901</v>
      </c>
      <c r="B12027" s="380" t="str">
        <f>IFERROR(__xludf.DUMMYFUNCTION("""COMPUTED_VALUE"""),"Interruptor Luz Rev Nhr 8971659471")</f>
        <v>Interruptor Luz Rev Nhr 8971659471</v>
      </c>
      <c r="C12027" s="380" t="str">
        <f>IFERROR(__xludf.DUMMYFUNCTION("""COMPUTED_VALUE"""),"70007477")</f>
        <v>70007477</v>
      </c>
      <c r="D12027" s="380" t="s">
        <v>767</v>
      </c>
      <c r="E12027" s="380" t="s">
        <v>786</v>
      </c>
      <c r="F12027" s="380" t="s">
        <v>998</v>
      </c>
      <c r="G12027" s="380" t="s">
        <v>1267</v>
      </c>
      <c r="H12027" s="380" t="s">
        <v>771</v>
      </c>
      <c r="I12027" s="380" t="s">
        <v>788</v>
      </c>
      <c r="J12027" s="380" t="s">
        <v>773</v>
      </c>
      <c r="K12027" s="381">
        <v>0.0</v>
      </c>
      <c r="L12027" s="382">
        <v>1.0</v>
      </c>
    </row>
    <row r="12028">
      <c r="A12028" s="380" t="s">
        <v>12902</v>
      </c>
      <c r="B12028" s="380" t="str">
        <f>IFERROR(__xludf.DUMMYFUNCTION("""COMPUTED_VALUE"""),"Juego Pastas Freno Del T 446660020")</f>
        <v>Juego Pastas Freno Del T 446660020</v>
      </c>
      <c r="C12028" s="380" t="str">
        <f>IFERROR(__xludf.DUMMYFUNCTION("""COMPUTED_VALUE"""),"70007478")</f>
        <v>70007478</v>
      </c>
      <c r="D12028" s="380" t="s">
        <v>767</v>
      </c>
      <c r="E12028" s="380" t="s">
        <v>786</v>
      </c>
      <c r="F12028" s="380" t="s">
        <v>1017</v>
      </c>
      <c r="G12028" s="380" t="s">
        <v>1267</v>
      </c>
      <c r="H12028" s="380" t="s">
        <v>771</v>
      </c>
      <c r="I12028" s="380" t="s">
        <v>788</v>
      </c>
      <c r="J12028" s="380" t="s">
        <v>773</v>
      </c>
      <c r="K12028" s="381">
        <v>0.0</v>
      </c>
      <c r="L12028" s="382">
        <v>1.0</v>
      </c>
    </row>
    <row r="12029">
      <c r="A12029" s="380" t="s">
        <v>12903</v>
      </c>
      <c r="B12029" s="380" t="str">
        <f>IFERROR(__xludf.DUMMYFUNCTION("""COMPUTED_VALUE"""),"Juego Pastas Freno Tras T 446560020")</f>
        <v>Juego Pastas Freno Tras T 446560020</v>
      </c>
      <c r="C12029" s="380" t="str">
        <f>IFERROR(__xludf.DUMMYFUNCTION("""COMPUTED_VALUE"""),"70007479")</f>
        <v>70007479</v>
      </c>
      <c r="D12029" s="380" t="s">
        <v>767</v>
      </c>
      <c r="E12029" s="380" t="s">
        <v>786</v>
      </c>
      <c r="F12029" s="380" t="s">
        <v>1017</v>
      </c>
      <c r="G12029" s="380" t="s">
        <v>1267</v>
      </c>
      <c r="H12029" s="380" t="s">
        <v>771</v>
      </c>
      <c r="I12029" s="380" t="s">
        <v>788</v>
      </c>
      <c r="J12029" s="380" t="s">
        <v>773</v>
      </c>
      <c r="K12029" s="381">
        <v>0.0</v>
      </c>
      <c r="L12029" s="382">
        <v>1.0</v>
      </c>
    </row>
    <row r="12030">
      <c r="A12030" s="380" t="s">
        <v>12904</v>
      </c>
      <c r="B12030" s="380" t="str">
        <f>IFERROR(__xludf.DUMMYFUNCTION("""COMPUTED_VALUE"""),"Varilla Mecanismo Limpiab Der 8978551520")</f>
        <v>Varilla Mecanismo Limpiab Der 8978551520</v>
      </c>
      <c r="C12030" s="380" t="str">
        <f>IFERROR(__xludf.DUMMYFUNCTION("""COMPUTED_VALUE"""),"70007480")</f>
        <v>70007480</v>
      </c>
      <c r="D12030" s="380" t="s">
        <v>767</v>
      </c>
      <c r="E12030" s="380" t="s">
        <v>786</v>
      </c>
      <c r="F12030" s="380" t="s">
        <v>792</v>
      </c>
      <c r="G12030" s="380" t="s">
        <v>1267</v>
      </c>
      <c r="H12030" s="380" t="s">
        <v>771</v>
      </c>
      <c r="I12030" s="380" t="s">
        <v>788</v>
      </c>
      <c r="J12030" s="380" t="s">
        <v>773</v>
      </c>
      <c r="K12030" s="381">
        <v>0.0</v>
      </c>
      <c r="L12030" s="382">
        <v>1.0</v>
      </c>
    </row>
    <row r="12031">
      <c r="A12031" s="380" t="s">
        <v>12905</v>
      </c>
      <c r="B12031" s="380" t="str">
        <f>IFERROR(__xludf.DUMMYFUNCTION("""COMPUTED_VALUE"""),"RAD MOT Radiador Motor Kenwort Raparado")</f>
        <v>RAD MOT Radiador Motor Kenwort Raparado</v>
      </c>
      <c r="C12031" s="380" t="str">
        <f>IFERROR(__xludf.DUMMYFUNCTION("""COMPUTED_VALUE"""),"70007481")</f>
        <v>70007481</v>
      </c>
      <c r="D12031" s="380" t="s">
        <v>767</v>
      </c>
      <c r="E12031" s="380" t="s">
        <v>786</v>
      </c>
      <c r="F12031" s="380" t="s">
        <v>787</v>
      </c>
      <c r="G12031" s="380" t="s">
        <v>1267</v>
      </c>
      <c r="H12031" s="380" t="s">
        <v>771</v>
      </c>
      <c r="I12031" s="380" t="s">
        <v>788</v>
      </c>
      <c r="J12031" s="380" t="s">
        <v>773</v>
      </c>
      <c r="K12031" s="381">
        <v>603727.0</v>
      </c>
      <c r="L12031" s="382">
        <v>1.0</v>
      </c>
    </row>
    <row r="12032">
      <c r="A12032" s="380" t="s">
        <v>12906</v>
      </c>
      <c r="B12032" s="380" t="str">
        <f>IFERROR(__xludf.DUMMYFUNCTION("""COMPUTED_VALUE"""),"Manija Int Puerta S Carry 8311085000")</f>
        <v>Manija Int Puerta S Carry 8311085000</v>
      </c>
      <c r="C12032" s="380" t="str">
        <f>IFERROR(__xludf.DUMMYFUNCTION("""COMPUTED_VALUE"""),"70007483")</f>
        <v>70007483</v>
      </c>
      <c r="D12032" s="380" t="s">
        <v>767</v>
      </c>
      <c r="E12032" s="380" t="s">
        <v>786</v>
      </c>
      <c r="F12032" s="380" t="s">
        <v>792</v>
      </c>
      <c r="G12032" s="380" t="s">
        <v>1267</v>
      </c>
      <c r="H12032" s="380" t="s">
        <v>771</v>
      </c>
      <c r="I12032" s="380" t="s">
        <v>788</v>
      </c>
      <c r="J12032" s="380" t="s">
        <v>773</v>
      </c>
      <c r="K12032" s="381">
        <v>0.0</v>
      </c>
      <c r="L12032" s="382">
        <v>1.0</v>
      </c>
    </row>
    <row r="12033">
      <c r="A12033" s="380" t="s">
        <v>12907</v>
      </c>
      <c r="B12033" s="380" t="str">
        <f>IFERROR(__xludf.DUMMYFUNCTION("""COMPUTED_VALUE"""),"Sensor Nivel Refrigerante KWh 3000100587")</f>
        <v>Sensor Nivel Refrigerante KWh 3000100587</v>
      </c>
      <c r="C12033" s="380" t="str">
        <f>IFERROR(__xludf.DUMMYFUNCTION("""COMPUTED_VALUE"""),"70007484")</f>
        <v>70007484</v>
      </c>
      <c r="D12033" s="380" t="s">
        <v>767</v>
      </c>
      <c r="E12033" s="380" t="s">
        <v>786</v>
      </c>
      <c r="F12033" s="380" t="s">
        <v>998</v>
      </c>
      <c r="G12033" s="380" t="s">
        <v>1267</v>
      </c>
      <c r="H12033" s="380" t="s">
        <v>771</v>
      </c>
      <c r="I12033" s="380" t="s">
        <v>788</v>
      </c>
      <c r="J12033" s="380" t="s">
        <v>773</v>
      </c>
      <c r="K12033" s="381">
        <v>0.0</v>
      </c>
      <c r="L12033" s="382">
        <v>1.0</v>
      </c>
    </row>
    <row r="12034">
      <c r="A12034" s="380" t="s">
        <v>12908</v>
      </c>
      <c r="B12034" s="380" t="str">
        <f>IFERROR(__xludf.DUMMYFUNCTION("""COMPUTED_VALUE"""),"Varilla Impulsadora VALVs Nkr 8970716730")</f>
        <v>Varilla Impulsadora VALVs Nkr 8970716730</v>
      </c>
      <c r="C12034" s="380" t="str">
        <f>IFERROR(__xludf.DUMMYFUNCTION("""COMPUTED_VALUE"""),"70007485")</f>
        <v>70007485</v>
      </c>
      <c r="D12034" s="380" t="s">
        <v>767</v>
      </c>
      <c r="E12034" s="380" t="s">
        <v>786</v>
      </c>
      <c r="F12034" s="380" t="s">
        <v>787</v>
      </c>
      <c r="G12034" s="380" t="s">
        <v>1267</v>
      </c>
      <c r="H12034" s="380" t="s">
        <v>771</v>
      </c>
      <c r="I12034" s="380" t="s">
        <v>788</v>
      </c>
      <c r="J12034" s="380" t="s">
        <v>773</v>
      </c>
      <c r="K12034" s="381">
        <v>0.0</v>
      </c>
      <c r="L12034" s="382">
        <v>1.0</v>
      </c>
    </row>
    <row r="12035">
      <c r="A12035" s="380" t="s">
        <v>12909</v>
      </c>
      <c r="B12035" s="380" t="str">
        <f>IFERROR(__xludf.DUMMYFUNCTION("""COMPUTED_VALUE"""),"Retenedor Palanca Cambios Nhr 8973040680")</f>
        <v>Retenedor Palanca Cambios Nhr 8973040680</v>
      </c>
      <c r="C12035" s="380" t="str">
        <f>IFERROR(__xludf.DUMMYFUNCTION("""COMPUTED_VALUE"""),"70007486")</f>
        <v>70007486</v>
      </c>
      <c r="D12035" s="380" t="s">
        <v>767</v>
      </c>
      <c r="E12035" s="380" t="s">
        <v>786</v>
      </c>
      <c r="F12035" s="380" t="s">
        <v>928</v>
      </c>
      <c r="G12035" s="380" t="s">
        <v>1267</v>
      </c>
      <c r="H12035" s="380" t="s">
        <v>771</v>
      </c>
      <c r="I12035" s="380" t="s">
        <v>788</v>
      </c>
      <c r="J12035" s="380" t="s">
        <v>773</v>
      </c>
      <c r="K12035" s="381">
        <v>0.0</v>
      </c>
      <c r="L12035" s="382">
        <v>1.0</v>
      </c>
    </row>
    <row r="12036">
      <c r="A12036" s="380" t="s">
        <v>12910</v>
      </c>
      <c r="B12036" s="380" t="str">
        <f>IFERROR(__xludf.DUMMYFUNCTION("""COMPUTED_VALUE"""),"Bateria Moto Akt 125 - 200")</f>
        <v>Bateria Moto Akt 125 - 200</v>
      </c>
      <c r="C12036" s="380" t="str">
        <f>IFERROR(__xludf.DUMMYFUNCTION("""COMPUTED_VALUE"""),"70007487")</f>
        <v>70007487</v>
      </c>
      <c r="D12036" s="380" t="s">
        <v>767</v>
      </c>
      <c r="E12036" s="380" t="s">
        <v>786</v>
      </c>
      <c r="F12036" s="380" t="s">
        <v>998</v>
      </c>
      <c r="G12036" s="380" t="s">
        <v>1267</v>
      </c>
      <c r="H12036" s="380" t="s">
        <v>771</v>
      </c>
      <c r="I12036" s="380" t="s">
        <v>788</v>
      </c>
      <c r="J12036" s="380" t="s">
        <v>773</v>
      </c>
      <c r="K12036" s="381">
        <v>0.0</v>
      </c>
      <c r="L12036" s="382">
        <v>1.0</v>
      </c>
    </row>
    <row r="12037">
      <c r="A12037" s="380" t="s">
        <v>12911</v>
      </c>
      <c r="B12037" s="380" t="str">
        <f>IFERROR(__xludf.DUMMYFUNCTION("""COMPUTED_VALUE"""),"SOP Eje Rana Cuadrada TRL Ss5203sfr")</f>
        <v>SOP Eje Rana Cuadrada TRL Ss5203sfr</v>
      </c>
      <c r="C12037" s="380" t="str">
        <f>IFERROR(__xludf.DUMMYFUNCTION("""COMPUTED_VALUE"""),"70007488")</f>
        <v>70007488</v>
      </c>
      <c r="D12037" s="380" t="s">
        <v>767</v>
      </c>
      <c r="E12037" s="380" t="s">
        <v>786</v>
      </c>
      <c r="F12037" s="380" t="s">
        <v>1039</v>
      </c>
      <c r="G12037" s="380" t="s">
        <v>1267</v>
      </c>
      <c r="H12037" s="380" t="s">
        <v>771</v>
      </c>
      <c r="I12037" s="380" t="s">
        <v>788</v>
      </c>
      <c r="J12037" s="380" t="s">
        <v>773</v>
      </c>
      <c r="K12037" s="381">
        <v>0.0</v>
      </c>
      <c r="L12037" s="382">
        <v>1.0</v>
      </c>
    </row>
    <row r="12038">
      <c r="A12038" s="380" t="s">
        <v>12912</v>
      </c>
      <c r="B12038" s="380" t="str">
        <f>IFERROR(__xludf.DUMMYFUNCTION("""COMPUTED_VALUE"""),"Tornillo Tuerca Bastidor Neway Eagle")</f>
        <v>Tornillo Tuerca Bastidor Neway Eagle</v>
      </c>
      <c r="C12038" s="380" t="str">
        <f>IFERROR(__xludf.DUMMYFUNCTION("""COMPUTED_VALUE"""),"70007489")</f>
        <v>70007489</v>
      </c>
      <c r="D12038" s="380" t="s">
        <v>767</v>
      </c>
      <c r="E12038" s="380" t="s">
        <v>786</v>
      </c>
      <c r="F12038" s="380" t="s">
        <v>1039</v>
      </c>
      <c r="G12038" s="380" t="s">
        <v>1267</v>
      </c>
      <c r="H12038" s="380" t="s">
        <v>771</v>
      </c>
      <c r="I12038" s="380" t="s">
        <v>788</v>
      </c>
      <c r="J12038" s="380" t="s">
        <v>773</v>
      </c>
      <c r="K12038" s="381">
        <v>0.0</v>
      </c>
      <c r="L12038" s="382">
        <v>1.0</v>
      </c>
    </row>
    <row r="12039">
      <c r="A12039" s="380" t="s">
        <v>12913</v>
      </c>
      <c r="B12039" s="380" t="str">
        <f>IFERROR(__xludf.DUMMYFUNCTION("""COMPUTED_VALUE"""),"Campana 5-Huecos Trailer 1520004")</f>
        <v>Campana 5-Huecos Trailer 1520004</v>
      </c>
      <c r="C12039" s="380" t="str">
        <f>IFERROR(__xludf.DUMMYFUNCTION("""COMPUTED_VALUE"""),"70007490")</f>
        <v>70007490</v>
      </c>
      <c r="D12039" s="380" t="s">
        <v>767</v>
      </c>
      <c r="E12039" s="380" t="s">
        <v>786</v>
      </c>
      <c r="F12039" s="380" t="s">
        <v>1017</v>
      </c>
      <c r="G12039" s="380" t="s">
        <v>1267</v>
      </c>
      <c r="H12039" s="380" t="s">
        <v>771</v>
      </c>
      <c r="I12039" s="380" t="s">
        <v>788</v>
      </c>
      <c r="J12039" s="380" t="s">
        <v>773</v>
      </c>
      <c r="K12039" s="381">
        <v>0.0</v>
      </c>
      <c r="L12039" s="382">
        <v>1.0</v>
      </c>
    </row>
    <row r="12040">
      <c r="A12040" s="380" t="s">
        <v>12914</v>
      </c>
      <c r="B12040" s="380" t="str">
        <f>IFERROR(__xludf.DUMMYFUNCTION("""COMPUTED_VALUE"""),"Retenedor Cigueñal Del Npr Bz-4219")</f>
        <v>Retenedor Cigueñal Del Npr Bz-4219</v>
      </c>
      <c r="C12040" s="380" t="str">
        <f>IFERROR(__xludf.DUMMYFUNCTION("""COMPUTED_VALUE"""),"70007491")</f>
        <v>70007491</v>
      </c>
      <c r="D12040" s="380" t="s">
        <v>767</v>
      </c>
      <c r="E12040" s="380" t="s">
        <v>786</v>
      </c>
      <c r="F12040" s="380" t="s">
        <v>787</v>
      </c>
      <c r="G12040" s="380" t="s">
        <v>1267</v>
      </c>
      <c r="H12040" s="380" t="s">
        <v>771</v>
      </c>
      <c r="I12040" s="380" t="s">
        <v>788</v>
      </c>
      <c r="J12040" s="380" t="s">
        <v>773</v>
      </c>
      <c r="K12040" s="381">
        <v>0.0</v>
      </c>
      <c r="L12040" s="382">
        <v>1.0</v>
      </c>
    </row>
    <row r="12041">
      <c r="A12041" s="380" t="s">
        <v>12915</v>
      </c>
      <c r="B12041" s="380" t="str">
        <f>IFERROR(__xludf.DUMMYFUNCTION("""COMPUTED_VALUE"""),"Empaque Vidrio Panoramico Npr 8978561525")</f>
        <v>Empaque Vidrio Panoramico Npr 8978561525</v>
      </c>
      <c r="C12041" s="380" t="str">
        <f>IFERROR(__xludf.DUMMYFUNCTION("""COMPUTED_VALUE"""),"70007492")</f>
        <v>70007492</v>
      </c>
      <c r="D12041" s="380" t="s">
        <v>767</v>
      </c>
      <c r="E12041" s="380" t="s">
        <v>786</v>
      </c>
      <c r="F12041" s="380" t="s">
        <v>792</v>
      </c>
      <c r="G12041" s="380" t="s">
        <v>1267</v>
      </c>
      <c r="H12041" s="380" t="s">
        <v>771</v>
      </c>
      <c r="I12041" s="380" t="s">
        <v>788</v>
      </c>
      <c r="J12041" s="380" t="s">
        <v>773</v>
      </c>
      <c r="K12041" s="381">
        <v>0.0</v>
      </c>
      <c r="L12041" s="382">
        <v>1.0</v>
      </c>
    </row>
    <row r="12042">
      <c r="A12042" s="380" t="s">
        <v>12916</v>
      </c>
      <c r="B12042" s="380" t="str">
        <f>IFERROR(__xludf.DUMMYFUNCTION("""COMPUTED_VALUE"""),"Parabrisas Laminado Npr")</f>
        <v>Parabrisas Laminado Npr</v>
      </c>
      <c r="C12042" s="380" t="str">
        <f>IFERROR(__xludf.DUMMYFUNCTION("""COMPUTED_VALUE"""),"70007493")</f>
        <v>70007493</v>
      </c>
      <c r="D12042" s="380" t="s">
        <v>767</v>
      </c>
      <c r="E12042" s="380" t="s">
        <v>786</v>
      </c>
      <c r="F12042" s="380" t="s">
        <v>792</v>
      </c>
      <c r="G12042" s="380" t="s">
        <v>1267</v>
      </c>
      <c r="H12042" s="380" t="s">
        <v>771</v>
      </c>
      <c r="I12042" s="380" t="s">
        <v>788</v>
      </c>
      <c r="J12042" s="380" t="s">
        <v>773</v>
      </c>
      <c r="K12042" s="381">
        <v>0.0</v>
      </c>
      <c r="L12042" s="382">
        <v>1.0</v>
      </c>
    </row>
    <row r="12043">
      <c r="A12043" s="380" t="s">
        <v>12917</v>
      </c>
      <c r="B12043" s="380" t="str">
        <f>IFERROR(__xludf.DUMMYFUNCTION("""COMPUTED_VALUE"""),"Buje Metalico Hoja Principal 8944630200")</f>
        <v>Buje Metalico Hoja Principal 8944630200</v>
      </c>
      <c r="C12043" s="380" t="str">
        <f>IFERROR(__xludf.DUMMYFUNCTION("""COMPUTED_VALUE"""),"70007494")</f>
        <v>70007494</v>
      </c>
      <c r="D12043" s="380" t="s">
        <v>767</v>
      </c>
      <c r="E12043" s="380" t="s">
        <v>786</v>
      </c>
      <c r="F12043" s="380" t="s">
        <v>1039</v>
      </c>
      <c r="G12043" s="380" t="s">
        <v>1267</v>
      </c>
      <c r="H12043" s="380" t="s">
        <v>771</v>
      </c>
      <c r="I12043" s="380" t="s">
        <v>788</v>
      </c>
      <c r="J12043" s="380" t="s">
        <v>773</v>
      </c>
      <c r="K12043" s="381">
        <v>23304.0</v>
      </c>
      <c r="L12043" s="382">
        <v>1.0</v>
      </c>
    </row>
    <row r="12044">
      <c r="A12044" s="380" t="s">
        <v>12918</v>
      </c>
      <c r="B12044" s="380" t="str">
        <f>IFERROR(__xludf.DUMMYFUNCTION("""COMPUTED_VALUE"""),"Balinera Polea Tensora W5206 W 5206")</f>
        <v>Balinera Polea Tensora W5206 W 5206</v>
      </c>
      <c r="C12044" s="380" t="str">
        <f>IFERROR(__xludf.DUMMYFUNCTION("""COMPUTED_VALUE"""),"70007495")</f>
        <v>70007495</v>
      </c>
      <c r="D12044" s="380" t="s">
        <v>767</v>
      </c>
      <c r="E12044" s="380" t="s">
        <v>786</v>
      </c>
      <c r="F12044" s="380" t="s">
        <v>998</v>
      </c>
      <c r="G12044" s="380" t="s">
        <v>1267</v>
      </c>
      <c r="H12044" s="380" t="s">
        <v>771</v>
      </c>
      <c r="I12044" s="380" t="s">
        <v>788</v>
      </c>
      <c r="J12044" s="380" t="s">
        <v>773</v>
      </c>
      <c r="K12044" s="381">
        <v>0.0</v>
      </c>
      <c r="L12044" s="382">
        <v>1.0</v>
      </c>
    </row>
    <row r="12045">
      <c r="A12045" s="380" t="s">
        <v>12919</v>
      </c>
      <c r="B12045" s="380" t="str">
        <f>IFERROR(__xludf.DUMMYFUNCTION("""COMPUTED_VALUE"""),"Interruptor Control Direc Nhr 8972878820")</f>
        <v>Interruptor Control Direc Nhr 8972878820</v>
      </c>
      <c r="C12045" s="380" t="str">
        <f>IFERROR(__xludf.DUMMYFUNCTION("""COMPUTED_VALUE"""),"70007496")</f>
        <v>70007496</v>
      </c>
      <c r="D12045" s="380" t="s">
        <v>767</v>
      </c>
      <c r="E12045" s="380" t="s">
        <v>786</v>
      </c>
      <c r="F12045" s="380" t="s">
        <v>998</v>
      </c>
      <c r="G12045" s="380" t="s">
        <v>1267</v>
      </c>
      <c r="H12045" s="380" t="s">
        <v>771</v>
      </c>
      <c r="I12045" s="380" t="s">
        <v>788</v>
      </c>
      <c r="J12045" s="380" t="s">
        <v>773</v>
      </c>
      <c r="K12045" s="381">
        <v>0.0</v>
      </c>
      <c r="L12045" s="382">
        <v>1.0</v>
      </c>
    </row>
    <row r="12046">
      <c r="A12046" s="380" t="s">
        <v>12920</v>
      </c>
      <c r="B12046" s="380" t="str">
        <f>IFERROR(__xludf.DUMMYFUNCTION("""COMPUTED_VALUE"""),"Rodamiento Rueda Trasera Akt")</f>
        <v>Rodamiento Rueda Trasera Akt</v>
      </c>
      <c r="C12046" s="380" t="str">
        <f>IFERROR(__xludf.DUMMYFUNCTION("""COMPUTED_VALUE"""),"70007497")</f>
        <v>70007497</v>
      </c>
      <c r="D12046" s="380" t="s">
        <v>767</v>
      </c>
      <c r="E12046" s="380" t="s">
        <v>786</v>
      </c>
      <c r="F12046" s="380" t="s">
        <v>1039</v>
      </c>
      <c r="G12046" s="380" t="s">
        <v>1267</v>
      </c>
      <c r="H12046" s="380" t="s">
        <v>771</v>
      </c>
      <c r="I12046" s="380" t="s">
        <v>788</v>
      </c>
      <c r="J12046" s="380" t="s">
        <v>773</v>
      </c>
      <c r="K12046" s="381">
        <v>0.0</v>
      </c>
      <c r="L12046" s="382">
        <v>1.0</v>
      </c>
    </row>
    <row r="12047">
      <c r="A12047" s="380" t="s">
        <v>12921</v>
      </c>
      <c r="B12047" s="380" t="str">
        <f>IFERROR(__xludf.DUMMYFUNCTION("""COMPUTED_VALUE"""),"Retenedor Rueda Porta Contenedor 370025a")</f>
        <v>Retenedor Rueda Porta Contenedor 370025a</v>
      </c>
      <c r="C12047" s="380" t="str">
        <f>IFERROR(__xludf.DUMMYFUNCTION("""COMPUTED_VALUE"""),"70007500")</f>
        <v>70007500</v>
      </c>
      <c r="D12047" s="380" t="s">
        <v>767</v>
      </c>
      <c r="E12047" s="380" t="s">
        <v>786</v>
      </c>
      <c r="F12047" s="380" t="s">
        <v>1039</v>
      </c>
      <c r="G12047" s="380" t="s">
        <v>1267</v>
      </c>
      <c r="H12047" s="380" t="s">
        <v>771</v>
      </c>
      <c r="I12047" s="380" t="s">
        <v>788</v>
      </c>
      <c r="J12047" s="380" t="s">
        <v>773</v>
      </c>
      <c r="K12047" s="381">
        <v>59908.0</v>
      </c>
      <c r="L12047" s="382">
        <v>1.0</v>
      </c>
    </row>
    <row r="12048">
      <c r="A12048" s="380" t="s">
        <v>12922</v>
      </c>
      <c r="B12048" s="380" t="str">
        <f>IFERROR(__xludf.DUMMYFUNCTION("""COMPUTED_VALUE"""),"Tuerca Y Pin Cacho Rda Del KWh 4484836")</f>
        <v>Tuerca Y Pin Cacho Rda Del KWh 4484836</v>
      </c>
      <c r="C12048" s="380" t="str">
        <f>IFERROR(__xludf.DUMMYFUNCTION("""COMPUTED_VALUE"""),"70007501")</f>
        <v>70007501</v>
      </c>
      <c r="D12048" s="380" t="s">
        <v>767</v>
      </c>
      <c r="E12048" s="380" t="s">
        <v>786</v>
      </c>
      <c r="F12048" s="380" t="s">
        <v>1039</v>
      </c>
      <c r="G12048" s="380" t="s">
        <v>1267</v>
      </c>
      <c r="H12048" s="380" t="s">
        <v>771</v>
      </c>
      <c r="I12048" s="380" t="s">
        <v>788</v>
      </c>
      <c r="J12048" s="380" t="s">
        <v>773</v>
      </c>
      <c r="K12048" s="381">
        <v>216937.0</v>
      </c>
      <c r="L12048" s="382">
        <v>1.0</v>
      </c>
    </row>
    <row r="12049">
      <c r="A12049" s="380" t="s">
        <v>12923</v>
      </c>
      <c r="B12049" s="380" t="str">
        <f>IFERROR(__xludf.DUMMYFUNCTION("""COMPUTED_VALUE"""),"VALV Bajo Palanca Cambios Hi 466 U24877")</f>
        <v>VALV Bajo Palanca Cambios Hi 466 U24877</v>
      </c>
      <c r="C12049" s="380" t="str">
        <f>IFERROR(__xludf.DUMMYFUNCTION("""COMPUTED_VALUE"""),"70007502")</f>
        <v>70007502</v>
      </c>
      <c r="D12049" s="380" t="s">
        <v>767</v>
      </c>
      <c r="E12049" s="380" t="s">
        <v>786</v>
      </c>
      <c r="F12049" s="380" t="s">
        <v>928</v>
      </c>
      <c r="G12049" s="380" t="s">
        <v>1267</v>
      </c>
      <c r="H12049" s="380" t="s">
        <v>771</v>
      </c>
      <c r="I12049" s="380" t="s">
        <v>788</v>
      </c>
      <c r="J12049" s="380" t="s">
        <v>773</v>
      </c>
      <c r="K12049" s="381">
        <v>0.0</v>
      </c>
      <c r="L12049" s="382">
        <v>1.0</v>
      </c>
    </row>
    <row r="12050">
      <c r="A12050" s="380" t="s">
        <v>12924</v>
      </c>
      <c r="B12050" s="380" t="str">
        <f>IFERROR(__xludf.DUMMYFUNCTION("""COMPUTED_VALUE"""),"Stop Tras Der EGL Internatio 1661282c91")</f>
        <v>Stop Tras Der EGL Internatio 1661282c91</v>
      </c>
      <c r="C12050" s="380" t="str">
        <f>IFERROR(__xludf.DUMMYFUNCTION("""COMPUTED_VALUE"""),"70007503")</f>
        <v>70007503</v>
      </c>
      <c r="D12050" s="380" t="s">
        <v>767</v>
      </c>
      <c r="E12050" s="380" t="s">
        <v>786</v>
      </c>
      <c r="F12050" s="380" t="s">
        <v>998</v>
      </c>
      <c r="G12050" s="380" t="s">
        <v>1267</v>
      </c>
      <c r="H12050" s="380" t="s">
        <v>771</v>
      </c>
      <c r="I12050" s="380" t="s">
        <v>788</v>
      </c>
      <c r="J12050" s="380" t="s">
        <v>773</v>
      </c>
      <c r="K12050" s="381">
        <v>0.0</v>
      </c>
      <c r="L12050" s="382">
        <v>1.0</v>
      </c>
    </row>
    <row r="12051">
      <c r="A12051" s="380" t="s">
        <v>12925</v>
      </c>
      <c r="B12051" s="380" t="str">
        <f>IFERROR(__xludf.DUMMYFUNCTION("""COMPUTED_VALUE"""),"Silla Conductor Foton 1039 7705946305020")</f>
        <v>Silla Conductor Foton 1039 7705946305020</v>
      </c>
      <c r="C12051" s="380" t="str">
        <f>IFERROR(__xludf.DUMMYFUNCTION("""COMPUTED_VALUE"""),"70007504")</f>
        <v>70007504</v>
      </c>
      <c r="D12051" s="380" t="s">
        <v>767</v>
      </c>
      <c r="E12051" s="380" t="s">
        <v>786</v>
      </c>
      <c r="F12051" s="380" t="s">
        <v>792</v>
      </c>
      <c r="G12051" s="380" t="s">
        <v>1267</v>
      </c>
      <c r="H12051" s="380" t="s">
        <v>771</v>
      </c>
      <c r="I12051" s="380" t="s">
        <v>788</v>
      </c>
      <c r="J12051" s="380" t="s">
        <v>773</v>
      </c>
      <c r="K12051" s="381">
        <v>0.0</v>
      </c>
      <c r="L12051" s="382">
        <v>1.0</v>
      </c>
    </row>
    <row r="12052">
      <c r="A12052" s="380" t="s">
        <v>12926</v>
      </c>
      <c r="B12052" s="380" t="str">
        <f>IFERROR(__xludf.DUMMYFUNCTION("""COMPUTED_VALUE"""),"Regulador Alternador Nhr 8942059562")</f>
        <v>Regulador Alternador Nhr 8942059562</v>
      </c>
      <c r="C12052" s="380" t="str">
        <f>IFERROR(__xludf.DUMMYFUNCTION("""COMPUTED_VALUE"""),"70007505")</f>
        <v>70007505</v>
      </c>
      <c r="D12052" s="380" t="s">
        <v>767</v>
      </c>
      <c r="E12052" s="380" t="s">
        <v>786</v>
      </c>
      <c r="F12052" s="380" t="s">
        <v>998</v>
      </c>
      <c r="G12052" s="380" t="s">
        <v>1267</v>
      </c>
      <c r="H12052" s="380" t="s">
        <v>771</v>
      </c>
      <c r="I12052" s="380" t="s">
        <v>788</v>
      </c>
      <c r="J12052" s="380" t="s">
        <v>773</v>
      </c>
      <c r="K12052" s="381">
        <v>0.0</v>
      </c>
      <c r="L12052" s="382">
        <v>1.0</v>
      </c>
    </row>
    <row r="12053">
      <c r="A12053" s="380" t="s">
        <v>12927</v>
      </c>
      <c r="B12053" s="380" t="str">
        <f>IFERROR(__xludf.DUMMYFUNCTION("""COMPUTED_VALUE"""),"Buje Muelle Tras Balancin S C 9030513002")</f>
        <v>Buje Muelle Tras Balancin S C 9030513002</v>
      </c>
      <c r="C12053" s="380" t="str">
        <f>IFERROR(__xludf.DUMMYFUNCTION("""COMPUTED_VALUE"""),"70007506")</f>
        <v>70007506</v>
      </c>
      <c r="D12053" s="380" t="s">
        <v>767</v>
      </c>
      <c r="E12053" s="380" t="s">
        <v>786</v>
      </c>
      <c r="F12053" s="380" t="s">
        <v>1039</v>
      </c>
      <c r="G12053" s="380" t="s">
        <v>1267</v>
      </c>
      <c r="H12053" s="380" t="s">
        <v>771</v>
      </c>
      <c r="I12053" s="380" t="s">
        <v>788</v>
      </c>
      <c r="J12053" s="380" t="s">
        <v>773</v>
      </c>
      <c r="K12053" s="381">
        <v>9000.0</v>
      </c>
      <c r="L12053" s="382">
        <v>1.0</v>
      </c>
    </row>
    <row r="12054">
      <c r="A12054" s="380" t="s">
        <v>12928</v>
      </c>
      <c r="B12054" s="380" t="str">
        <f>IFERROR(__xludf.DUMMYFUNCTION("""COMPUTED_VALUE"""),"Abrazadera Tornillo T-512")</f>
        <v>Abrazadera Tornillo T-512</v>
      </c>
      <c r="C12054" s="380" t="str">
        <f>IFERROR(__xludf.DUMMYFUNCTION("""COMPUTED_VALUE"""),"70007507")</f>
        <v>70007507</v>
      </c>
      <c r="D12054" s="380" t="s">
        <v>767</v>
      </c>
      <c r="E12054" s="380" t="s">
        <v>786</v>
      </c>
      <c r="F12054" s="380" t="s">
        <v>989</v>
      </c>
      <c r="G12054" s="380" t="s">
        <v>1267</v>
      </c>
      <c r="H12054" s="380" t="s">
        <v>771</v>
      </c>
      <c r="I12054" s="380" t="s">
        <v>788</v>
      </c>
      <c r="J12054" s="380" t="s">
        <v>773</v>
      </c>
      <c r="K12054" s="381">
        <v>8345.0</v>
      </c>
      <c r="L12054" s="382">
        <v>1.0</v>
      </c>
    </row>
    <row r="12055">
      <c r="A12055" s="380" t="s">
        <v>12929</v>
      </c>
      <c r="B12055" s="380" t="str">
        <f>IFERROR(__xludf.DUMMYFUNCTION("""COMPUTED_VALUE"""),"Kit Chupas CIL Freno Tras Npr 5878307140")</f>
        <v>Kit Chupas CIL Freno Tras Npr 5878307140</v>
      </c>
      <c r="C12055" s="380" t="str">
        <f>IFERROR(__xludf.DUMMYFUNCTION("""COMPUTED_VALUE"""),"70007508")</f>
        <v>70007508</v>
      </c>
      <c r="D12055" s="380" t="s">
        <v>767</v>
      </c>
      <c r="E12055" s="380" t="s">
        <v>786</v>
      </c>
      <c r="F12055" s="380" t="s">
        <v>1017</v>
      </c>
      <c r="G12055" s="380" t="s">
        <v>1267</v>
      </c>
      <c r="H12055" s="380" t="s">
        <v>771</v>
      </c>
      <c r="I12055" s="380" t="s">
        <v>788</v>
      </c>
      <c r="J12055" s="380" t="s">
        <v>773</v>
      </c>
      <c r="K12055" s="381">
        <v>0.0</v>
      </c>
      <c r="L12055" s="382">
        <v>1.0</v>
      </c>
    </row>
    <row r="12056">
      <c r="A12056" s="380" t="s">
        <v>12930</v>
      </c>
      <c r="B12056" s="380" t="str">
        <f>IFERROR(__xludf.DUMMYFUNCTION("""COMPUTED_VALUE"""),"Campana Trasera Moto Akt200")</f>
        <v>Campana Trasera Moto Akt200</v>
      </c>
      <c r="C12056" s="380" t="str">
        <f>IFERROR(__xludf.DUMMYFUNCTION("""COMPUTED_VALUE"""),"70007510")</f>
        <v>70007510</v>
      </c>
      <c r="D12056" s="380" t="s">
        <v>767</v>
      </c>
      <c r="E12056" s="380" t="s">
        <v>786</v>
      </c>
      <c r="F12056" s="380" t="s">
        <v>1017</v>
      </c>
      <c r="G12056" s="380" t="s">
        <v>1267</v>
      </c>
      <c r="H12056" s="380" t="s">
        <v>771</v>
      </c>
      <c r="I12056" s="380" t="s">
        <v>788</v>
      </c>
      <c r="J12056" s="380" t="s">
        <v>773</v>
      </c>
      <c r="K12056" s="381">
        <v>0.0</v>
      </c>
      <c r="L12056" s="382">
        <v>1.0</v>
      </c>
    </row>
    <row r="12057">
      <c r="A12057" s="380" t="s">
        <v>12931</v>
      </c>
      <c r="B12057" s="380" t="str">
        <f>IFERROR(__xludf.DUMMYFUNCTION("""COMPUTED_VALUE"""),"Estribo Tanque KWh K22911695")</f>
        <v>Estribo Tanque KWh K22911695</v>
      </c>
      <c r="C12057" s="380" t="str">
        <f>IFERROR(__xludf.DUMMYFUNCTION("""COMPUTED_VALUE"""),"70007511")</f>
        <v>70007511</v>
      </c>
      <c r="D12057" s="380" t="s">
        <v>767</v>
      </c>
      <c r="E12057" s="380" t="s">
        <v>786</v>
      </c>
      <c r="F12057" s="380" t="s">
        <v>792</v>
      </c>
      <c r="G12057" s="380" t="s">
        <v>1267</v>
      </c>
      <c r="H12057" s="380" t="s">
        <v>771</v>
      </c>
      <c r="I12057" s="380" t="s">
        <v>788</v>
      </c>
      <c r="J12057" s="380" t="s">
        <v>773</v>
      </c>
      <c r="K12057" s="381">
        <v>0.0</v>
      </c>
      <c r="L12057" s="382">
        <v>1.0</v>
      </c>
    </row>
    <row r="12058">
      <c r="A12058" s="380" t="s">
        <v>12932</v>
      </c>
      <c r="B12058" s="380" t="str">
        <f>IFERROR(__xludf.DUMMYFUNCTION("""COMPUTED_VALUE"""),"Camara Freno Del T20 SB 288808")</f>
        <v>Camara Freno Del T20 SB 288808</v>
      </c>
      <c r="C12058" s="380" t="str">
        <f>IFERROR(__xludf.DUMMYFUNCTION("""COMPUTED_VALUE"""),"70007512")</f>
        <v>70007512</v>
      </c>
      <c r="D12058" s="380" t="s">
        <v>767</v>
      </c>
      <c r="E12058" s="380" t="s">
        <v>786</v>
      </c>
      <c r="F12058" s="380" t="s">
        <v>1017</v>
      </c>
      <c r="G12058" s="380" t="s">
        <v>1267</v>
      </c>
      <c r="H12058" s="380" t="s">
        <v>771</v>
      </c>
      <c r="I12058" s="380" t="s">
        <v>788</v>
      </c>
      <c r="J12058" s="380" t="s">
        <v>773</v>
      </c>
      <c r="K12058" s="381">
        <v>92406.0</v>
      </c>
      <c r="L12058" s="382">
        <v>1.0</v>
      </c>
    </row>
    <row r="12059">
      <c r="A12059" s="380" t="s">
        <v>12933</v>
      </c>
      <c r="B12059" s="380" t="str">
        <f>IFERROR(__xludf.DUMMYFUNCTION("""COMPUTED_VALUE"""),"Espejo Retrovisor Der Izq Akt")</f>
        <v>Espejo Retrovisor Der Izq Akt</v>
      </c>
      <c r="C12059" s="380" t="str">
        <f>IFERROR(__xludf.DUMMYFUNCTION("""COMPUTED_VALUE"""),"70007513")</f>
        <v>70007513</v>
      </c>
      <c r="D12059" s="380" t="s">
        <v>767</v>
      </c>
      <c r="E12059" s="380" t="s">
        <v>786</v>
      </c>
      <c r="F12059" s="380" t="s">
        <v>792</v>
      </c>
      <c r="G12059" s="380" t="s">
        <v>1267</v>
      </c>
      <c r="H12059" s="380" t="s">
        <v>771</v>
      </c>
      <c r="I12059" s="380" t="s">
        <v>788</v>
      </c>
      <c r="J12059" s="380" t="s">
        <v>773</v>
      </c>
      <c r="K12059" s="381">
        <v>0.0</v>
      </c>
      <c r="L12059" s="382">
        <v>1.0</v>
      </c>
    </row>
    <row r="12060">
      <c r="A12060" s="380" t="s">
        <v>12934</v>
      </c>
      <c r="B12060" s="380" t="str">
        <f>IFERROR(__xludf.DUMMYFUNCTION("""COMPUTED_VALUE"""),"Correa Accesorios Motor Isf 3.8 Fot 1128")</f>
        <v>Correa Accesorios Motor Isf 3.8 Fot 1128</v>
      </c>
      <c r="C12060" s="380" t="str">
        <f>IFERROR(__xludf.DUMMYFUNCTION("""COMPUTED_VALUE"""),"70007516")</f>
        <v>70007516</v>
      </c>
      <c r="D12060" s="380" t="s">
        <v>767</v>
      </c>
      <c r="E12060" s="380" t="s">
        <v>786</v>
      </c>
      <c r="F12060" s="380" t="s">
        <v>787</v>
      </c>
      <c r="G12060" s="380" t="s">
        <v>1267</v>
      </c>
      <c r="H12060" s="380" t="s">
        <v>771</v>
      </c>
      <c r="I12060" s="380" t="s">
        <v>788</v>
      </c>
      <c r="J12060" s="380" t="s">
        <v>773</v>
      </c>
      <c r="K12060" s="381">
        <v>0.0</v>
      </c>
      <c r="L12060" s="382">
        <v>1.0</v>
      </c>
    </row>
    <row r="12061">
      <c r="A12061" s="380" t="s">
        <v>12935</v>
      </c>
      <c r="B12061" s="380" t="str">
        <f>IFERROR(__xludf.DUMMYFUNCTION("""COMPUTED_VALUE"""),"SOP MOT IZQ FT 1039 7701023474849")</f>
        <v>SOP MOT IZQ FT 1039 7701023474849</v>
      </c>
      <c r="C12061" s="380" t="str">
        <f>IFERROR(__xludf.DUMMYFUNCTION("""COMPUTED_VALUE"""),"70007517")</f>
        <v>70007517</v>
      </c>
      <c r="D12061" s="380" t="s">
        <v>767</v>
      </c>
      <c r="E12061" s="380" t="s">
        <v>786</v>
      </c>
      <c r="F12061" s="380" t="s">
        <v>787</v>
      </c>
      <c r="G12061" s="380" t="s">
        <v>1267</v>
      </c>
      <c r="H12061" s="380" t="s">
        <v>771</v>
      </c>
      <c r="I12061" s="380" t="s">
        <v>788</v>
      </c>
      <c r="J12061" s="380" t="s">
        <v>773</v>
      </c>
      <c r="K12061" s="381">
        <v>0.0</v>
      </c>
      <c r="L12061" s="382">
        <v>1.0</v>
      </c>
    </row>
    <row r="12062">
      <c r="A12062" s="380" t="s">
        <v>12936</v>
      </c>
      <c r="B12062" s="380" t="str">
        <f>IFERROR(__xludf.DUMMYFUNCTION("""COMPUTED_VALUE"""),"INTruptor Elevavidrios Jac 1042 Mod 2018")</f>
        <v>INTruptor Elevavidrios Jac 1042 Mod 2018</v>
      </c>
      <c r="C12062" s="380" t="str">
        <f>IFERROR(__xludf.DUMMYFUNCTION("""COMPUTED_VALUE"""),"70007518")</f>
        <v>70007518</v>
      </c>
      <c r="D12062" s="380" t="s">
        <v>767</v>
      </c>
      <c r="E12062" s="380" t="s">
        <v>786</v>
      </c>
      <c r="F12062" s="380" t="s">
        <v>998</v>
      </c>
      <c r="G12062" s="380" t="s">
        <v>1267</v>
      </c>
      <c r="H12062" s="380" t="s">
        <v>771</v>
      </c>
      <c r="I12062" s="380" t="s">
        <v>788</v>
      </c>
      <c r="J12062" s="380" t="s">
        <v>773</v>
      </c>
      <c r="K12062" s="381">
        <v>0.0</v>
      </c>
      <c r="L12062" s="382">
        <v>1.0</v>
      </c>
    </row>
    <row r="12063">
      <c r="A12063" s="380" t="s">
        <v>12937</v>
      </c>
      <c r="B12063" s="380" t="str">
        <f>IFERROR(__xludf.DUMMYFUNCTION("""COMPUTED_VALUE"""),"FILT De COMB Ff5052 Planta ELEC")</f>
        <v>FILT De COMB Ff5052 Planta ELEC</v>
      </c>
      <c r="C12063" s="380" t="str">
        <f>IFERROR(__xludf.DUMMYFUNCTION("""COMPUTED_VALUE"""),"70007519")</f>
        <v>70007519</v>
      </c>
      <c r="D12063" s="380" t="s">
        <v>767</v>
      </c>
      <c r="E12063" s="380" t="s">
        <v>786</v>
      </c>
      <c r="F12063" s="380" t="s">
        <v>5855</v>
      </c>
      <c r="G12063" s="380" t="s">
        <v>1267</v>
      </c>
      <c r="H12063" s="380" t="s">
        <v>771</v>
      </c>
      <c r="I12063" s="380" t="s">
        <v>788</v>
      </c>
      <c r="J12063" s="380" t="s">
        <v>773</v>
      </c>
      <c r="K12063" s="381">
        <v>0.0</v>
      </c>
      <c r="L12063" s="382">
        <v>1.0</v>
      </c>
    </row>
    <row r="12064">
      <c r="A12064" s="380" t="s">
        <v>12938</v>
      </c>
      <c r="B12064" s="380" t="str">
        <f>IFERROR(__xludf.DUMMYFUNCTION("""COMPUTED_VALUE"""),"Balinera Volante Super Carry 6000")</f>
        <v>Balinera Volante Super Carry 6000</v>
      </c>
      <c r="C12064" s="380" t="str">
        <f>IFERROR(__xludf.DUMMYFUNCTION("""COMPUTED_VALUE"""),"70007520")</f>
        <v>70007520</v>
      </c>
      <c r="D12064" s="380" t="s">
        <v>767</v>
      </c>
      <c r="E12064" s="380" t="s">
        <v>786</v>
      </c>
      <c r="F12064" s="380" t="s">
        <v>787</v>
      </c>
      <c r="G12064" s="380" t="s">
        <v>1267</v>
      </c>
      <c r="H12064" s="380" t="s">
        <v>771</v>
      </c>
      <c r="I12064" s="380" t="s">
        <v>788</v>
      </c>
      <c r="J12064" s="380" t="s">
        <v>773</v>
      </c>
      <c r="K12064" s="381">
        <v>0.0</v>
      </c>
      <c r="L12064" s="382">
        <v>1.0</v>
      </c>
    </row>
    <row r="12065">
      <c r="A12065" s="380" t="s">
        <v>12939</v>
      </c>
      <c r="B12065" s="380" t="str">
        <f>IFERROR(__xludf.DUMMYFUNCTION("""COMPUTED_VALUE"""),"Abrazadera Mofle 4"" Ecl 1939")</f>
        <v>Abrazadera Mofle 4" Ecl 1939</v>
      </c>
      <c r="C12065" s="380" t="str">
        <f>IFERROR(__xludf.DUMMYFUNCTION("""COMPUTED_VALUE"""),"70007521")</f>
        <v>70007521</v>
      </c>
      <c r="D12065" s="380" t="s">
        <v>767</v>
      </c>
      <c r="E12065" s="380" t="s">
        <v>786</v>
      </c>
      <c r="F12065" s="380" t="s">
        <v>792</v>
      </c>
      <c r="G12065" s="380" t="s">
        <v>1267</v>
      </c>
      <c r="H12065" s="380" t="s">
        <v>771</v>
      </c>
      <c r="I12065" s="380" t="s">
        <v>788</v>
      </c>
      <c r="J12065" s="380" t="s">
        <v>773</v>
      </c>
      <c r="K12065" s="381">
        <v>0.0</v>
      </c>
      <c r="L12065" s="382">
        <v>1.0</v>
      </c>
    </row>
    <row r="12066">
      <c r="A12066" s="380" t="s">
        <v>12940</v>
      </c>
      <c r="B12066" s="380" t="str">
        <f>IFERROR(__xludf.DUMMYFUNCTION("""COMPUTED_VALUE"""),"Bombillo Halogeno Con Patas 90 H-4/ P43t")</f>
        <v>Bombillo Halogeno Con Patas 90 H-4/ P43t</v>
      </c>
      <c r="C12066" s="380" t="str">
        <f>IFERROR(__xludf.DUMMYFUNCTION("""COMPUTED_VALUE"""),"70007522")</f>
        <v>70007522</v>
      </c>
      <c r="D12066" s="380" t="s">
        <v>767</v>
      </c>
      <c r="E12066" s="380" t="s">
        <v>786</v>
      </c>
      <c r="F12066" s="380" t="s">
        <v>998</v>
      </c>
      <c r="G12066" s="380" t="s">
        <v>1267</v>
      </c>
      <c r="H12066" s="380" t="s">
        <v>771</v>
      </c>
      <c r="I12066" s="380" t="s">
        <v>788</v>
      </c>
      <c r="J12066" s="380" t="s">
        <v>773</v>
      </c>
      <c r="K12066" s="381">
        <v>14667.0</v>
      </c>
      <c r="L12066" s="382">
        <v>1.0</v>
      </c>
    </row>
    <row r="12067">
      <c r="A12067" s="380" t="s">
        <v>12941</v>
      </c>
      <c r="B12067" s="380" t="str">
        <f>IFERROR(__xludf.DUMMYFUNCTION("""COMPUTED_VALUE"""),"Bombillo Direcal Del Hi 3157")</f>
        <v>Bombillo Direcal Del Hi 3157</v>
      </c>
      <c r="C12067" s="380" t="str">
        <f>IFERROR(__xludf.DUMMYFUNCTION("""COMPUTED_VALUE"""),"70007523")</f>
        <v>70007523</v>
      </c>
      <c r="D12067" s="380" t="s">
        <v>767</v>
      </c>
      <c r="E12067" s="380" t="s">
        <v>786</v>
      </c>
      <c r="F12067" s="380" t="s">
        <v>998</v>
      </c>
      <c r="G12067" s="380" t="s">
        <v>1267</v>
      </c>
      <c r="H12067" s="380" t="s">
        <v>771</v>
      </c>
      <c r="I12067" s="380" t="s">
        <v>788</v>
      </c>
      <c r="J12067" s="380" t="s">
        <v>773</v>
      </c>
      <c r="K12067" s="381">
        <v>0.0</v>
      </c>
      <c r="L12067" s="382">
        <v>1.0</v>
      </c>
    </row>
    <row r="12068">
      <c r="A12068" s="380" t="s">
        <v>12942</v>
      </c>
      <c r="B12068" s="380" t="str">
        <f>IFERROR(__xludf.DUMMYFUNCTION("""COMPUTED_VALUE"""),"Bombillo N-67 1-Contacto Pata 12 Voltios")</f>
        <v>Bombillo N-67 1-Contacto Pata 12 Voltios</v>
      </c>
      <c r="C12068" s="380" t="str">
        <f>IFERROR(__xludf.DUMMYFUNCTION("""COMPUTED_VALUE"""),"70007524")</f>
        <v>70007524</v>
      </c>
      <c r="D12068" s="380" t="s">
        <v>767</v>
      </c>
      <c r="E12068" s="380" t="s">
        <v>786</v>
      </c>
      <c r="F12068" s="380" t="s">
        <v>998</v>
      </c>
      <c r="G12068" s="380" t="s">
        <v>1267</v>
      </c>
      <c r="H12068" s="380" t="s">
        <v>771</v>
      </c>
      <c r="I12068" s="380" t="s">
        <v>788</v>
      </c>
      <c r="J12068" s="380" t="s">
        <v>773</v>
      </c>
      <c r="K12068" s="381">
        <v>0.0</v>
      </c>
      <c r="L12068" s="382">
        <v>1.0</v>
      </c>
    </row>
    <row r="12069">
      <c r="A12069" s="380" t="s">
        <v>12943</v>
      </c>
      <c r="B12069" s="380" t="str">
        <f>IFERROR(__xludf.DUMMYFUNCTION("""COMPUTED_VALUE"""),"Kit Arrastre Moto Akt125 696a H41200kbb9")</f>
        <v>Kit Arrastre Moto Akt125 696a H41200kbb9</v>
      </c>
      <c r="C12069" s="380" t="str">
        <f>IFERROR(__xludf.DUMMYFUNCTION("""COMPUTED_VALUE"""),"70007525")</f>
        <v>70007525</v>
      </c>
      <c r="D12069" s="380" t="s">
        <v>767</v>
      </c>
      <c r="E12069" s="380" t="s">
        <v>786</v>
      </c>
      <c r="F12069" s="380" t="s">
        <v>1039</v>
      </c>
      <c r="G12069" s="380" t="s">
        <v>1267</v>
      </c>
      <c r="H12069" s="380" t="s">
        <v>771</v>
      </c>
      <c r="I12069" s="380" t="s">
        <v>788</v>
      </c>
      <c r="J12069" s="380" t="s">
        <v>773</v>
      </c>
      <c r="K12069" s="381">
        <v>0.0</v>
      </c>
      <c r="L12069" s="382">
        <v>1.0</v>
      </c>
    </row>
    <row r="12070">
      <c r="A12070" s="380" t="s">
        <v>12944</v>
      </c>
      <c r="B12070" s="380" t="str">
        <f>IFERROR(__xludf.DUMMYFUNCTION("""COMPUTED_VALUE"""),"Borne Bateria Pesado Torre Plomo 7710")</f>
        <v>Borne Bateria Pesado Torre Plomo 7710</v>
      </c>
      <c r="C12070" s="380" t="str">
        <f>IFERROR(__xludf.DUMMYFUNCTION("""COMPUTED_VALUE"""),"70007527")</f>
        <v>70007527</v>
      </c>
      <c r="D12070" s="380" t="s">
        <v>767</v>
      </c>
      <c r="E12070" s="380" t="s">
        <v>786</v>
      </c>
      <c r="F12070" s="380" t="s">
        <v>998</v>
      </c>
      <c r="G12070" s="380" t="s">
        <v>1267</v>
      </c>
      <c r="H12070" s="380" t="s">
        <v>771</v>
      </c>
      <c r="I12070" s="380" t="s">
        <v>788</v>
      </c>
      <c r="J12070" s="380" t="s">
        <v>773</v>
      </c>
      <c r="K12070" s="381">
        <v>15173.0</v>
      </c>
      <c r="L12070" s="382">
        <v>1.0</v>
      </c>
    </row>
    <row r="12071">
      <c r="A12071" s="380" t="s">
        <v>12945</v>
      </c>
      <c r="B12071" s="380" t="str">
        <f>IFERROR(__xludf.DUMMYFUNCTION("""COMPUTED_VALUE"""),"Balinera Cigueñal Moto B03100338")</f>
        <v>Balinera Cigueñal Moto B03100338</v>
      </c>
      <c r="C12071" s="380" t="str">
        <f>IFERROR(__xludf.DUMMYFUNCTION("""COMPUTED_VALUE"""),"70007528")</f>
        <v>70007528</v>
      </c>
      <c r="D12071" s="380" t="s">
        <v>767</v>
      </c>
      <c r="E12071" s="380" t="s">
        <v>786</v>
      </c>
      <c r="F12071" s="380" t="s">
        <v>787</v>
      </c>
      <c r="G12071" s="380" t="s">
        <v>1267</v>
      </c>
      <c r="H12071" s="380" t="s">
        <v>771</v>
      </c>
      <c r="I12071" s="380" t="s">
        <v>788</v>
      </c>
      <c r="J12071" s="380" t="s">
        <v>773</v>
      </c>
      <c r="K12071" s="381">
        <v>0.0</v>
      </c>
      <c r="L12071" s="382">
        <v>1.0</v>
      </c>
    </row>
    <row r="12072">
      <c r="A12072" s="380" t="s">
        <v>12946</v>
      </c>
      <c r="B12072" s="380" t="str">
        <f>IFERROR(__xludf.DUMMYFUNCTION("""COMPUTED_VALUE"""),"Borne Bateria Liviano 7610")</f>
        <v>Borne Bateria Liviano 7610</v>
      </c>
      <c r="C12072" s="380" t="str">
        <f>IFERROR(__xludf.DUMMYFUNCTION("""COMPUTED_VALUE"""),"70007529")</f>
        <v>70007529</v>
      </c>
      <c r="D12072" s="380" t="s">
        <v>767</v>
      </c>
      <c r="E12072" s="380" t="s">
        <v>786</v>
      </c>
      <c r="F12072" s="380" t="s">
        <v>998</v>
      </c>
      <c r="G12072" s="380" t="s">
        <v>1267</v>
      </c>
      <c r="H12072" s="380" t="s">
        <v>771</v>
      </c>
      <c r="I12072" s="380" t="s">
        <v>788</v>
      </c>
      <c r="J12072" s="380" t="s">
        <v>773</v>
      </c>
      <c r="K12072" s="381">
        <v>0.0</v>
      </c>
      <c r="L12072" s="382">
        <v>1.0</v>
      </c>
    </row>
    <row r="12073">
      <c r="A12073" s="380" t="s">
        <v>12947</v>
      </c>
      <c r="B12073" s="380" t="str">
        <f>IFERROR(__xludf.DUMMYFUNCTION("""COMPUTED_VALUE"""),"Amortiguador Del Daf Cf 480ft Ok67734700")</f>
        <v>Amortiguador Del Daf Cf 480ft Ok67734700</v>
      </c>
      <c r="C12073" s="380" t="str">
        <f>IFERROR(__xludf.DUMMYFUNCTION("""COMPUTED_VALUE"""),"70007530")</f>
        <v>70007530</v>
      </c>
      <c r="D12073" s="380" t="s">
        <v>767</v>
      </c>
      <c r="E12073" s="380" t="s">
        <v>786</v>
      </c>
      <c r="F12073" s="380" t="s">
        <v>1039</v>
      </c>
      <c r="G12073" s="380" t="s">
        <v>1267</v>
      </c>
      <c r="H12073" s="380" t="s">
        <v>771</v>
      </c>
      <c r="I12073" s="380" t="s">
        <v>788</v>
      </c>
      <c r="J12073" s="380" t="s">
        <v>773</v>
      </c>
      <c r="K12073" s="381">
        <v>0.0</v>
      </c>
      <c r="L12073" s="382">
        <v>1.0</v>
      </c>
    </row>
    <row r="12074">
      <c r="A12074" s="380" t="s">
        <v>12948</v>
      </c>
      <c r="B12074" s="380" t="str">
        <f>IFERROR(__xludf.DUMMYFUNCTION("""COMPUTED_VALUE"""),"Buje Brazo Loco Super Carry 4875085001")</f>
        <v>Buje Brazo Loco Super Carry 4875085001</v>
      </c>
      <c r="C12074" s="380" t="str">
        <f>IFERROR(__xludf.DUMMYFUNCTION("""COMPUTED_VALUE"""),"70007531")</f>
        <v>70007531</v>
      </c>
      <c r="D12074" s="380" t="s">
        <v>767</v>
      </c>
      <c r="E12074" s="380" t="s">
        <v>786</v>
      </c>
      <c r="F12074" s="380" t="s">
        <v>1020</v>
      </c>
      <c r="G12074" s="380" t="s">
        <v>1267</v>
      </c>
      <c r="H12074" s="380" t="s">
        <v>771</v>
      </c>
      <c r="I12074" s="380" t="s">
        <v>788</v>
      </c>
      <c r="J12074" s="380" t="s">
        <v>773</v>
      </c>
      <c r="K12074" s="381">
        <v>0.0</v>
      </c>
      <c r="L12074" s="382">
        <v>1.0</v>
      </c>
    </row>
    <row r="12075">
      <c r="A12075" s="380" t="s">
        <v>12949</v>
      </c>
      <c r="B12075" s="380" t="str">
        <f>IFERROR(__xludf.DUMMYFUNCTION("""COMPUTED_VALUE"""),"SOP IZQ Condensador A/C KW T800 K275-651")</f>
        <v>SOP IZQ Condensador A/C KW T800 K275-651</v>
      </c>
      <c r="C12075" s="380" t="str">
        <f>IFERROR(__xludf.DUMMYFUNCTION("""COMPUTED_VALUE"""),"70007532")</f>
        <v>70007532</v>
      </c>
      <c r="D12075" s="380" t="s">
        <v>767</v>
      </c>
      <c r="E12075" s="380" t="s">
        <v>786</v>
      </c>
      <c r="F12075" s="380" t="s">
        <v>792</v>
      </c>
      <c r="G12075" s="380" t="s">
        <v>1267</v>
      </c>
      <c r="H12075" s="380" t="s">
        <v>771</v>
      </c>
      <c r="I12075" s="380" t="s">
        <v>788</v>
      </c>
      <c r="J12075" s="380" t="s">
        <v>773</v>
      </c>
      <c r="K12075" s="381">
        <v>0.0</v>
      </c>
      <c r="L12075" s="382">
        <v>1.0</v>
      </c>
    </row>
    <row r="12076">
      <c r="A12076" s="380" t="s">
        <v>12950</v>
      </c>
      <c r="B12076" s="380" t="str">
        <f>IFERROR(__xludf.DUMMYFUNCTION("""COMPUTED_VALUE"""),"MANG A/C FILT-Evaporador KW T800 Mod 201")</f>
        <v>MANG A/C FILT-Evaporador KW T800 Mod 201</v>
      </c>
      <c r="C12076" s="380" t="str">
        <f>IFERROR(__xludf.DUMMYFUNCTION("""COMPUTED_VALUE"""),"70007533")</f>
        <v>70007533</v>
      </c>
      <c r="D12076" s="380" t="s">
        <v>767</v>
      </c>
      <c r="E12076" s="380" t="s">
        <v>786</v>
      </c>
      <c r="F12076" s="380" t="s">
        <v>1031</v>
      </c>
      <c r="G12076" s="380" t="s">
        <v>1267</v>
      </c>
      <c r="H12076" s="380" t="s">
        <v>771</v>
      </c>
      <c r="I12076" s="380" t="s">
        <v>788</v>
      </c>
      <c r="J12076" s="380" t="s">
        <v>773</v>
      </c>
      <c r="K12076" s="381">
        <v>0.0</v>
      </c>
      <c r="L12076" s="382">
        <v>1.0</v>
      </c>
    </row>
    <row r="12077">
      <c r="A12077" s="380" t="s">
        <v>12951</v>
      </c>
      <c r="B12077" s="380" t="str">
        <f>IFERROR(__xludf.DUMMYFUNCTION("""COMPUTED_VALUE"""),"Piñon De 3ra Td Foton 1039 7701023086073")</f>
        <v>Piñon De 3ra Td Foton 1039 7701023086073</v>
      </c>
      <c r="C12077" s="380" t="str">
        <f>IFERROR(__xludf.DUMMYFUNCTION("""COMPUTED_VALUE"""),"70007535")</f>
        <v>70007535</v>
      </c>
      <c r="D12077" s="380" t="s">
        <v>767</v>
      </c>
      <c r="E12077" s="380" t="s">
        <v>786</v>
      </c>
      <c r="F12077" s="380" t="s">
        <v>928</v>
      </c>
      <c r="G12077" s="380" t="s">
        <v>1267</v>
      </c>
      <c r="H12077" s="380" t="s">
        <v>771</v>
      </c>
      <c r="I12077" s="380" t="s">
        <v>788</v>
      </c>
      <c r="J12077" s="380" t="s">
        <v>773</v>
      </c>
      <c r="K12077" s="381">
        <v>0.0</v>
      </c>
      <c r="L12077" s="382">
        <v>1.0</v>
      </c>
    </row>
    <row r="12078">
      <c r="A12078" s="380" t="s">
        <v>12952</v>
      </c>
      <c r="B12078" s="380" t="str">
        <f>IFERROR(__xludf.DUMMYFUNCTION("""COMPUTED_VALUE"""),"MANG Conexion AIR Daf Cf480 Ftt")</f>
        <v>MANG Conexion AIR Daf Cf480 Ftt</v>
      </c>
      <c r="C12078" s="380" t="str">
        <f>IFERROR(__xludf.DUMMYFUNCTION("""COMPUTED_VALUE"""),"70007536")</f>
        <v>70007536</v>
      </c>
      <c r="D12078" s="380" t="s">
        <v>767</v>
      </c>
      <c r="E12078" s="380" t="s">
        <v>786</v>
      </c>
      <c r="F12078" s="380" t="s">
        <v>1017</v>
      </c>
      <c r="G12078" s="380" t="s">
        <v>1267</v>
      </c>
      <c r="H12078" s="380" t="s">
        <v>771</v>
      </c>
      <c r="I12078" s="380" t="s">
        <v>788</v>
      </c>
      <c r="J12078" s="380" t="s">
        <v>773</v>
      </c>
      <c r="K12078" s="381">
        <v>0.0</v>
      </c>
      <c r="L12078" s="382">
        <v>1.0</v>
      </c>
    </row>
    <row r="12079">
      <c r="A12079" s="380" t="s">
        <v>12953</v>
      </c>
      <c r="B12079" s="380" t="str">
        <f>IFERROR(__xludf.DUMMYFUNCTION("""COMPUTED_VALUE"""),"Kit Overhaul MOT Isx Camisa 150 Mm Kisx4")</f>
        <v>Kit Overhaul MOT Isx Camisa 150 Mm Kisx4</v>
      </c>
      <c r="C12079" s="380" t="str">
        <f>IFERROR(__xludf.DUMMYFUNCTION("""COMPUTED_VALUE"""),"70007537")</f>
        <v>70007537</v>
      </c>
      <c r="D12079" s="380" t="s">
        <v>767</v>
      </c>
      <c r="E12079" s="380" t="s">
        <v>786</v>
      </c>
      <c r="F12079" s="380" t="s">
        <v>787</v>
      </c>
      <c r="G12079" s="380" t="s">
        <v>1267</v>
      </c>
      <c r="H12079" s="380" t="s">
        <v>771</v>
      </c>
      <c r="I12079" s="380" t="s">
        <v>788</v>
      </c>
      <c r="J12079" s="380" t="s">
        <v>773</v>
      </c>
      <c r="K12079" s="381">
        <v>0.0</v>
      </c>
      <c r="L12079" s="382">
        <v>1.0</v>
      </c>
    </row>
    <row r="12080">
      <c r="A12080" s="380" t="s">
        <v>12954</v>
      </c>
      <c r="B12080" s="380" t="str">
        <f>IFERROR(__xludf.DUMMYFUNCTION("""COMPUTED_VALUE"""),"Rache Freno Del DER Jac 1120 3501210e834")</f>
        <v>Rache Freno Del DER Jac 1120 3501210e834</v>
      </c>
      <c r="C12080" s="380" t="str">
        <f>IFERROR(__xludf.DUMMYFUNCTION("""COMPUTED_VALUE"""),"70007538")</f>
        <v>70007538</v>
      </c>
      <c r="D12080" s="380" t="s">
        <v>767</v>
      </c>
      <c r="E12080" s="380" t="s">
        <v>786</v>
      </c>
      <c r="F12080" s="380" t="s">
        <v>1017</v>
      </c>
      <c r="G12080" s="380" t="s">
        <v>1267</v>
      </c>
      <c r="H12080" s="380" t="s">
        <v>771</v>
      </c>
      <c r="I12080" s="380" t="s">
        <v>788</v>
      </c>
      <c r="J12080" s="380" t="s">
        <v>773</v>
      </c>
      <c r="K12080" s="381">
        <v>0.0</v>
      </c>
      <c r="L12080" s="382">
        <v>1.0</v>
      </c>
    </row>
    <row r="12081">
      <c r="A12081" s="380" t="s">
        <v>12955</v>
      </c>
      <c r="B12081" s="380" t="str">
        <f>IFERROR(__xludf.DUMMYFUNCTION("""COMPUTED_VALUE"""),"Racor Union Rapido 5/8""")</f>
        <v>Racor Union Rapido 5/8"</v>
      </c>
      <c r="C12081" s="380" t="str">
        <f>IFERROR(__xludf.DUMMYFUNCTION("""COMPUTED_VALUE"""),"70007539")</f>
        <v>70007539</v>
      </c>
      <c r="D12081" s="380" t="s">
        <v>767</v>
      </c>
      <c r="E12081" s="380" t="s">
        <v>786</v>
      </c>
      <c r="F12081" s="380" t="s">
        <v>989</v>
      </c>
      <c r="G12081" s="380" t="s">
        <v>1267</v>
      </c>
      <c r="H12081" s="380" t="s">
        <v>771</v>
      </c>
      <c r="I12081" s="380" t="s">
        <v>788</v>
      </c>
      <c r="J12081" s="380" t="s">
        <v>773</v>
      </c>
      <c r="K12081" s="381">
        <v>0.0</v>
      </c>
      <c r="L12081" s="382">
        <v>1.0</v>
      </c>
    </row>
    <row r="12082">
      <c r="A12082" s="380" t="s">
        <v>12956</v>
      </c>
      <c r="B12082" s="380" t="str">
        <f>IFERROR(__xludf.DUMMYFUNCTION("""COMPUTED_VALUE"""),"Stop Izquierdo Foton 1065 7705946334570")</f>
        <v>Stop Izquierdo Foton 1065 7705946334570</v>
      </c>
      <c r="C12082" s="380" t="str">
        <f>IFERROR(__xludf.DUMMYFUNCTION("""COMPUTED_VALUE"""),"70007540")</f>
        <v>70007540</v>
      </c>
      <c r="D12082" s="380" t="s">
        <v>767</v>
      </c>
      <c r="E12082" s="380" t="s">
        <v>786</v>
      </c>
      <c r="F12082" s="380" t="s">
        <v>998</v>
      </c>
      <c r="G12082" s="380" t="s">
        <v>1267</v>
      </c>
      <c r="H12082" s="380" t="s">
        <v>771</v>
      </c>
      <c r="I12082" s="380" t="s">
        <v>788</v>
      </c>
      <c r="J12082" s="380" t="s">
        <v>773</v>
      </c>
      <c r="K12082" s="381">
        <v>0.0</v>
      </c>
      <c r="L12082" s="382">
        <v>1.0</v>
      </c>
    </row>
    <row r="12083">
      <c r="A12083" s="380" t="s">
        <v>12957</v>
      </c>
      <c r="B12083" s="380" t="str">
        <f>IFERROR(__xludf.DUMMYFUNCTION("""COMPUTED_VALUE"""),"Sensor Abs Frontal Mack Cxu 745k181265")</f>
        <v>Sensor Abs Frontal Mack Cxu 745k181265</v>
      </c>
      <c r="C12083" s="380" t="str">
        <f>IFERROR(__xludf.DUMMYFUNCTION("""COMPUTED_VALUE"""),"70007541")</f>
        <v>70007541</v>
      </c>
      <c r="D12083" s="380" t="s">
        <v>767</v>
      </c>
      <c r="E12083" s="380" t="s">
        <v>786</v>
      </c>
      <c r="F12083" s="380" t="s">
        <v>998</v>
      </c>
      <c r="G12083" s="380" t="s">
        <v>1267</v>
      </c>
      <c r="H12083" s="380" t="s">
        <v>771</v>
      </c>
      <c r="I12083" s="380" t="s">
        <v>788</v>
      </c>
      <c r="J12083" s="380" t="s">
        <v>773</v>
      </c>
      <c r="K12083" s="381">
        <v>0.0</v>
      </c>
      <c r="L12083" s="382">
        <v>1.0</v>
      </c>
    </row>
    <row r="12084">
      <c r="A12084" s="380" t="s">
        <v>12958</v>
      </c>
      <c r="B12084" s="380" t="str">
        <f>IFERROR(__xludf.DUMMYFUNCTION("""COMPUTED_VALUE"""),"FILT Urea FT 1045/1065/1128 Evi 77001492")</f>
        <v>FILT Urea FT 1045/1065/1128 Evi 77001492</v>
      </c>
      <c r="C12084" s="380" t="str">
        <f>IFERROR(__xludf.DUMMYFUNCTION("""COMPUTED_VALUE"""),"70007542")</f>
        <v>70007542</v>
      </c>
      <c r="D12084" s="380" t="s">
        <v>767</v>
      </c>
      <c r="E12084" s="380" t="s">
        <v>786</v>
      </c>
      <c r="F12084" s="380" t="s">
        <v>5855</v>
      </c>
      <c r="G12084" s="380" t="s">
        <v>1267</v>
      </c>
      <c r="H12084" s="380" t="s">
        <v>771</v>
      </c>
      <c r="I12084" s="380" t="s">
        <v>788</v>
      </c>
      <c r="J12084" s="380" t="s">
        <v>773</v>
      </c>
      <c r="K12084" s="381">
        <v>33404.0</v>
      </c>
      <c r="L12084" s="382">
        <v>1.0</v>
      </c>
    </row>
    <row r="12085">
      <c r="A12085" s="380" t="s">
        <v>12959</v>
      </c>
      <c r="B12085" s="380" t="str">
        <f>IFERROR(__xludf.DUMMYFUNCTION("""COMPUTED_VALUE"""),"Empaque Compresor Motor X15 3685614")</f>
        <v>Empaque Compresor Motor X15 3685614</v>
      </c>
      <c r="C12085" s="380" t="str">
        <f>IFERROR(__xludf.DUMMYFUNCTION("""COMPUTED_VALUE"""),"70007543")</f>
        <v>70007543</v>
      </c>
      <c r="D12085" s="380" t="s">
        <v>767</v>
      </c>
      <c r="E12085" s="380" t="s">
        <v>786</v>
      </c>
      <c r="F12085" s="380" t="s">
        <v>787</v>
      </c>
      <c r="G12085" s="380" t="s">
        <v>1267</v>
      </c>
      <c r="H12085" s="380" t="s">
        <v>771</v>
      </c>
      <c r="I12085" s="380" t="s">
        <v>788</v>
      </c>
      <c r="J12085" s="380" t="s">
        <v>773</v>
      </c>
      <c r="K12085" s="381">
        <v>0.0</v>
      </c>
      <c r="L12085" s="382">
        <v>1.0</v>
      </c>
    </row>
    <row r="12086">
      <c r="A12086" s="380" t="s">
        <v>12960</v>
      </c>
      <c r="B12086" s="380" t="str">
        <f>IFERROR(__xludf.DUMMYFUNCTION("""COMPUTED_VALUE"""),"Sello Anillo Rectangular Piñon Loco X15")</f>
        <v>Sello Anillo Rectangular Piñon Loco X15</v>
      </c>
      <c r="C12086" s="380" t="str">
        <f>IFERROR(__xludf.DUMMYFUNCTION("""COMPUTED_VALUE"""),"70007544")</f>
        <v>70007544</v>
      </c>
      <c r="D12086" s="380" t="s">
        <v>767</v>
      </c>
      <c r="E12086" s="380" t="s">
        <v>786</v>
      </c>
      <c r="F12086" s="380" t="s">
        <v>787</v>
      </c>
      <c r="G12086" s="380" t="s">
        <v>1267</v>
      </c>
      <c r="H12086" s="380" t="s">
        <v>771</v>
      </c>
      <c r="I12086" s="380" t="s">
        <v>788</v>
      </c>
      <c r="J12086" s="380" t="s">
        <v>773</v>
      </c>
      <c r="K12086" s="381">
        <v>0.0</v>
      </c>
      <c r="L12086" s="382">
        <v>1.0</v>
      </c>
    </row>
    <row r="12087">
      <c r="A12087" s="380" t="s">
        <v>12961</v>
      </c>
      <c r="B12087" s="380" t="str">
        <f>IFERROR(__xludf.DUMMYFUNCTION("""COMPUTED_VALUE"""),"Tornillo Base Alternador Largo Isx-X15 3")</f>
        <v>Tornillo Base Alternador Largo Isx-X15 3</v>
      </c>
      <c r="C12087" s="380" t="str">
        <f>IFERROR(__xludf.DUMMYFUNCTION("""COMPUTED_VALUE"""),"70007545")</f>
        <v>70007545</v>
      </c>
      <c r="D12087" s="380" t="s">
        <v>767</v>
      </c>
      <c r="E12087" s="380" t="s">
        <v>786</v>
      </c>
      <c r="F12087" s="380" t="s">
        <v>787</v>
      </c>
      <c r="G12087" s="380" t="s">
        <v>1267</v>
      </c>
      <c r="H12087" s="380" t="s">
        <v>771</v>
      </c>
      <c r="I12087" s="380" t="s">
        <v>788</v>
      </c>
      <c r="J12087" s="380" t="s">
        <v>773</v>
      </c>
      <c r="K12087" s="381">
        <v>0.0</v>
      </c>
      <c r="L12087" s="382">
        <v>1.0</v>
      </c>
    </row>
    <row r="12088">
      <c r="A12088" s="380" t="s">
        <v>12962</v>
      </c>
      <c r="B12088" s="380" t="str">
        <f>IFERROR(__xludf.DUMMYFUNCTION("""COMPUTED_VALUE"""),"DEP Aceite Hidraulico HN 4436037180")</f>
        <v>DEP Aceite Hidraulico HN 4436037180</v>
      </c>
      <c r="C12088" s="380" t="str">
        <f>IFERROR(__xludf.DUMMYFUNCTION("""COMPUTED_VALUE"""),"70007546")</f>
        <v>70007546</v>
      </c>
      <c r="D12088" s="380" t="s">
        <v>767</v>
      </c>
      <c r="E12088" s="380" t="s">
        <v>786</v>
      </c>
      <c r="F12088" s="380" t="s">
        <v>1020</v>
      </c>
      <c r="G12088" s="380" t="s">
        <v>1267</v>
      </c>
      <c r="H12088" s="380" t="s">
        <v>771</v>
      </c>
      <c r="I12088" s="380" t="s">
        <v>788</v>
      </c>
      <c r="J12088" s="380" t="s">
        <v>773</v>
      </c>
      <c r="K12088" s="381">
        <v>0.0</v>
      </c>
      <c r="L12088" s="382">
        <v>1.0</v>
      </c>
    </row>
    <row r="12089">
      <c r="A12089" s="380" t="s">
        <v>12963</v>
      </c>
      <c r="B12089" s="380" t="str">
        <f>IFERROR(__xludf.DUMMYFUNCTION("""COMPUTED_VALUE"""),"Turbo Nkr Rewar 8980540111")</f>
        <v>Turbo Nkr Rewar 8980540111</v>
      </c>
      <c r="C12089" s="380" t="str">
        <f>IFERROR(__xludf.DUMMYFUNCTION("""COMPUTED_VALUE"""),"70007547")</f>
        <v>70007547</v>
      </c>
      <c r="D12089" s="380" t="s">
        <v>767</v>
      </c>
      <c r="E12089" s="380" t="s">
        <v>786</v>
      </c>
      <c r="F12089" s="380" t="s">
        <v>787</v>
      </c>
      <c r="G12089" s="380" t="s">
        <v>1267</v>
      </c>
      <c r="H12089" s="380" t="s">
        <v>771</v>
      </c>
      <c r="I12089" s="380" t="s">
        <v>788</v>
      </c>
      <c r="J12089" s="380" t="s">
        <v>773</v>
      </c>
      <c r="K12089" s="381">
        <v>0.0</v>
      </c>
      <c r="L12089" s="382">
        <v>1.0</v>
      </c>
    </row>
    <row r="12090">
      <c r="A12090" s="380" t="s">
        <v>12964</v>
      </c>
      <c r="B12090" s="380" t="str">
        <f>IFERROR(__xludf.DUMMYFUNCTION("""COMPUTED_VALUE"""),"GY Capot Hi Larga Internatio 1677457c1")</f>
        <v>GY Capot Hi Larga Internatio 1677457c1</v>
      </c>
      <c r="C12090" s="380" t="str">
        <f>IFERROR(__xludf.DUMMYFUNCTION("""COMPUTED_VALUE"""),"70007548")</f>
        <v>70007548</v>
      </c>
      <c r="D12090" s="380" t="s">
        <v>767</v>
      </c>
      <c r="E12090" s="380" t="s">
        <v>786</v>
      </c>
      <c r="F12090" s="380" t="s">
        <v>792</v>
      </c>
      <c r="G12090" s="380" t="s">
        <v>1267</v>
      </c>
      <c r="H12090" s="380" t="s">
        <v>771</v>
      </c>
      <c r="I12090" s="380" t="s">
        <v>788</v>
      </c>
      <c r="J12090" s="380" t="s">
        <v>773</v>
      </c>
      <c r="K12090" s="381">
        <v>136035.0</v>
      </c>
      <c r="L12090" s="382">
        <v>1.0</v>
      </c>
    </row>
    <row r="12091">
      <c r="A12091" s="380" t="s">
        <v>12965</v>
      </c>
      <c r="B12091" s="380" t="str">
        <f>IFERROR(__xludf.DUMMYFUNCTION("""COMPUTED_VALUE"""),"Soporte Espejo Izq Npr 8978562697")</f>
        <v>Soporte Espejo Izq Npr 8978562697</v>
      </c>
      <c r="C12091" s="380" t="str">
        <f>IFERROR(__xludf.DUMMYFUNCTION("""COMPUTED_VALUE"""),"70007549")</f>
        <v>70007549</v>
      </c>
      <c r="D12091" s="380" t="s">
        <v>767</v>
      </c>
      <c r="E12091" s="380" t="s">
        <v>786</v>
      </c>
      <c r="F12091" s="380" t="s">
        <v>792</v>
      </c>
      <c r="G12091" s="380" t="s">
        <v>1267</v>
      </c>
      <c r="H12091" s="380" t="s">
        <v>771</v>
      </c>
      <c r="I12091" s="380" t="s">
        <v>788</v>
      </c>
      <c r="J12091" s="380" t="s">
        <v>773</v>
      </c>
      <c r="K12091" s="381">
        <v>0.0</v>
      </c>
      <c r="L12091" s="382">
        <v>1.0</v>
      </c>
    </row>
    <row r="12092">
      <c r="A12092" s="380" t="s">
        <v>12966</v>
      </c>
      <c r="B12092" s="380" t="str">
        <f>IFERROR(__xludf.DUMMYFUNCTION("""COMPUTED_VALUE"""),"Deposito Expansivo RAD REN 8200595002")</f>
        <v>Deposito Expansivo RAD REN 8200595002</v>
      </c>
      <c r="C12092" s="380" t="str">
        <f>IFERROR(__xludf.DUMMYFUNCTION("""COMPUTED_VALUE"""),"70007550")</f>
        <v>70007550</v>
      </c>
      <c r="D12092" s="380" t="s">
        <v>767</v>
      </c>
      <c r="E12092" s="380" t="s">
        <v>786</v>
      </c>
      <c r="F12092" s="380" t="s">
        <v>787</v>
      </c>
      <c r="G12092" s="380" t="s">
        <v>1267</v>
      </c>
      <c r="H12092" s="380" t="s">
        <v>771</v>
      </c>
      <c r="I12092" s="380" t="s">
        <v>788</v>
      </c>
      <c r="J12092" s="380" t="s">
        <v>773</v>
      </c>
      <c r="K12092" s="381">
        <v>0.0</v>
      </c>
      <c r="L12092" s="382">
        <v>1.0</v>
      </c>
    </row>
    <row r="12093">
      <c r="A12093" s="380" t="s">
        <v>12967</v>
      </c>
      <c r="B12093" s="380" t="str">
        <f>IFERROR(__xludf.DUMMYFUNCTION("""COMPUTED_VALUE"""),"Culata Motor Hyundai Porter H100")</f>
        <v>Culata Motor Hyundai Porter H100</v>
      </c>
      <c r="C12093" s="380" t="str">
        <f>IFERROR(__xludf.DUMMYFUNCTION("""COMPUTED_VALUE"""),"70007551")</f>
        <v>70007551</v>
      </c>
      <c r="D12093" s="380" t="s">
        <v>767</v>
      </c>
      <c r="E12093" s="380" t="s">
        <v>786</v>
      </c>
      <c r="F12093" s="380" t="s">
        <v>787</v>
      </c>
      <c r="G12093" s="380" t="s">
        <v>1267</v>
      </c>
      <c r="H12093" s="380" t="s">
        <v>771</v>
      </c>
      <c r="I12093" s="380" t="s">
        <v>788</v>
      </c>
      <c r="J12093" s="380" t="s">
        <v>773</v>
      </c>
      <c r="K12093" s="381">
        <v>0.0</v>
      </c>
      <c r="L12093" s="382">
        <v>1.0</v>
      </c>
    </row>
    <row r="12094">
      <c r="A12094" s="380" t="s">
        <v>12968</v>
      </c>
      <c r="B12094" s="380" t="str">
        <f>IFERROR(__xludf.DUMMYFUNCTION("""COMPUTED_VALUE"""),"Chapa Puerta Izq Foton 1039 1023706124")</f>
        <v>Chapa Puerta Izq Foton 1039 1023706124</v>
      </c>
      <c r="C12094" s="380" t="str">
        <f>IFERROR(__xludf.DUMMYFUNCTION("""COMPUTED_VALUE"""),"70007552")</f>
        <v>70007552</v>
      </c>
      <c r="D12094" s="380" t="s">
        <v>767</v>
      </c>
      <c r="E12094" s="380" t="s">
        <v>786</v>
      </c>
      <c r="F12094" s="380" t="s">
        <v>792</v>
      </c>
      <c r="G12094" s="380" t="s">
        <v>1267</v>
      </c>
      <c r="H12094" s="380" t="s">
        <v>771</v>
      </c>
      <c r="I12094" s="380" t="s">
        <v>788</v>
      </c>
      <c r="J12094" s="380" t="s">
        <v>773</v>
      </c>
      <c r="K12094" s="381">
        <v>0.0</v>
      </c>
      <c r="L12094" s="382">
        <v>1.0</v>
      </c>
    </row>
    <row r="12095">
      <c r="A12095" s="380" t="s">
        <v>12969</v>
      </c>
      <c r="B12095" s="380" t="str">
        <f>IFERROR(__xludf.DUMMYFUNCTION("""COMPUTED_VALUE"""),"Tubo BRR Tensora Larga Prosta Hd64474000")</f>
        <v>Tubo BRR Tensora Larga Prosta Hd64474000</v>
      </c>
      <c r="C12095" s="380" t="str">
        <f>IFERROR(__xludf.DUMMYFUNCTION("""COMPUTED_VALUE"""),"70007553")</f>
        <v>70007553</v>
      </c>
      <c r="D12095" s="380" t="s">
        <v>767</v>
      </c>
      <c r="E12095" s="380" t="s">
        <v>786</v>
      </c>
      <c r="F12095" s="380" t="s">
        <v>1039</v>
      </c>
      <c r="G12095" s="380" t="s">
        <v>1267</v>
      </c>
      <c r="H12095" s="380" t="s">
        <v>771</v>
      </c>
      <c r="I12095" s="380" t="s">
        <v>788</v>
      </c>
      <c r="J12095" s="380" t="s">
        <v>773</v>
      </c>
      <c r="K12095" s="381">
        <v>0.0</v>
      </c>
      <c r="L12095" s="382">
        <v>1.0</v>
      </c>
    </row>
    <row r="12096">
      <c r="A12096" s="380" t="s">
        <v>12970</v>
      </c>
      <c r="B12096" s="380" t="str">
        <f>IFERROR(__xludf.DUMMYFUNCTION("""COMPUTED_VALUE"""),"Guardapolvo Guardabarro Del F 5946036542")</f>
        <v>Guardapolvo Guardabarro Del F 5946036542</v>
      </c>
      <c r="C12096" s="380" t="str">
        <f>IFERROR(__xludf.DUMMYFUNCTION("""COMPUTED_VALUE"""),"70007554")</f>
        <v>70007554</v>
      </c>
      <c r="D12096" s="380" t="s">
        <v>767</v>
      </c>
      <c r="E12096" s="380" t="s">
        <v>786</v>
      </c>
      <c r="F12096" s="380" t="s">
        <v>1031</v>
      </c>
      <c r="G12096" s="380" t="s">
        <v>1267</v>
      </c>
      <c r="H12096" s="380" t="s">
        <v>771</v>
      </c>
      <c r="I12096" s="380" t="s">
        <v>788</v>
      </c>
      <c r="J12096" s="380" t="s">
        <v>773</v>
      </c>
      <c r="K12096" s="381">
        <v>0.0</v>
      </c>
      <c r="L12096" s="382">
        <v>1.0</v>
      </c>
    </row>
    <row r="12097">
      <c r="A12097" s="380" t="s">
        <v>12971</v>
      </c>
      <c r="B12097" s="380" t="str">
        <f>IFERROR(__xludf.DUMMYFUNCTION("""COMPUTED_VALUE"""),"RET Tras Cigueñal HY H100 2132142041")</f>
        <v>RET Tras Cigueñal HY H100 2132142041</v>
      </c>
      <c r="C12097" s="380" t="str">
        <f>IFERROR(__xludf.DUMMYFUNCTION("""COMPUTED_VALUE"""),"70007555")</f>
        <v>70007555</v>
      </c>
      <c r="D12097" s="380" t="s">
        <v>767</v>
      </c>
      <c r="E12097" s="380" t="s">
        <v>786</v>
      </c>
      <c r="F12097" s="380" t="s">
        <v>787</v>
      </c>
      <c r="G12097" s="380" t="s">
        <v>1267</v>
      </c>
      <c r="H12097" s="380" t="s">
        <v>771</v>
      </c>
      <c r="I12097" s="380" t="s">
        <v>788</v>
      </c>
      <c r="J12097" s="380" t="s">
        <v>773</v>
      </c>
      <c r="K12097" s="381">
        <v>0.0</v>
      </c>
      <c r="L12097" s="382">
        <v>1.0</v>
      </c>
    </row>
    <row r="12098">
      <c r="A12098" s="380" t="s">
        <v>12972</v>
      </c>
      <c r="B12098" s="380" t="str">
        <f>IFERROR(__xludf.DUMMYFUNCTION("""COMPUTED_VALUE"""),"DIRal PTA Rh C04 FT 1039 1023684019")</f>
        <v>DIRal PTA Rh C04 FT 1039 1023684019</v>
      </c>
      <c r="C12098" s="380" t="str">
        <f>IFERROR(__xludf.DUMMYFUNCTION("""COMPUTED_VALUE"""),"70007556")</f>
        <v>70007556</v>
      </c>
      <c r="D12098" s="380" t="s">
        <v>767</v>
      </c>
      <c r="E12098" s="380" t="s">
        <v>786</v>
      </c>
      <c r="F12098" s="380" t="s">
        <v>998</v>
      </c>
      <c r="G12098" s="380" t="s">
        <v>1267</v>
      </c>
      <c r="H12098" s="380" t="s">
        <v>771</v>
      </c>
      <c r="I12098" s="380" t="s">
        <v>788</v>
      </c>
      <c r="J12098" s="380" t="s">
        <v>773</v>
      </c>
      <c r="K12098" s="381">
        <v>0.0</v>
      </c>
      <c r="L12098" s="382">
        <v>1.0</v>
      </c>
    </row>
    <row r="12099">
      <c r="A12099" s="380" t="s">
        <v>12973</v>
      </c>
      <c r="B12099" s="380" t="str">
        <f>IFERROR(__xludf.DUMMYFUNCTION("""COMPUTED_VALUE"""),"Bateria Super Carry Ns40-550 N40bdm")</f>
        <v>Bateria Super Carry Ns40-550 N40bdm</v>
      </c>
      <c r="C12099" s="380" t="str">
        <f>IFERROR(__xludf.DUMMYFUNCTION("""COMPUTED_VALUE"""),"70007557")</f>
        <v>70007557</v>
      </c>
      <c r="D12099" s="380" t="s">
        <v>767</v>
      </c>
      <c r="E12099" s="380" t="s">
        <v>786</v>
      </c>
      <c r="F12099" s="380" t="s">
        <v>998</v>
      </c>
      <c r="G12099" s="380" t="s">
        <v>1267</v>
      </c>
      <c r="H12099" s="380" t="s">
        <v>771</v>
      </c>
      <c r="I12099" s="380" t="s">
        <v>788</v>
      </c>
      <c r="J12099" s="380" t="s">
        <v>773</v>
      </c>
      <c r="K12099" s="381">
        <v>0.0</v>
      </c>
      <c r="L12099" s="382">
        <v>1.0</v>
      </c>
    </row>
    <row r="12100">
      <c r="A12100" s="380" t="s">
        <v>12974</v>
      </c>
      <c r="B12100" s="380" t="str">
        <f>IFERROR(__xludf.DUMMYFUNCTION("""COMPUTED_VALUE"""),"BRR DIRción Completa FT 1128 946752121")</f>
        <v>BRR DIRción Completa FT 1128 946752121</v>
      </c>
      <c r="C12100" s="380" t="str">
        <f>IFERROR(__xludf.DUMMYFUNCTION("""COMPUTED_VALUE"""),"70007558")</f>
        <v>70007558</v>
      </c>
      <c r="D12100" s="380" t="s">
        <v>767</v>
      </c>
      <c r="E12100" s="380" t="s">
        <v>786</v>
      </c>
      <c r="F12100" s="380" t="s">
        <v>1020</v>
      </c>
      <c r="G12100" s="380" t="s">
        <v>1267</v>
      </c>
      <c r="H12100" s="380" t="s">
        <v>771</v>
      </c>
      <c r="I12100" s="380" t="s">
        <v>788</v>
      </c>
      <c r="J12100" s="380" t="s">
        <v>773</v>
      </c>
      <c r="K12100" s="381">
        <v>0.0</v>
      </c>
      <c r="L12100" s="382">
        <v>1.0</v>
      </c>
    </row>
    <row r="12101">
      <c r="A12101" s="380" t="s">
        <v>12975</v>
      </c>
      <c r="B12101" s="380" t="str">
        <f>IFERROR(__xludf.DUMMYFUNCTION("""COMPUTED_VALUE"""),"Automatico MOT ARR 24v FT 1129 Scn-2028")</f>
        <v>Automatico MOT ARR 24v FT 1129 Scn-2028</v>
      </c>
      <c r="C12101" s="380" t="str">
        <f>IFERROR(__xludf.DUMMYFUNCTION("""COMPUTED_VALUE"""),"70007559")</f>
        <v>70007559</v>
      </c>
      <c r="D12101" s="380" t="s">
        <v>767</v>
      </c>
      <c r="E12101" s="380" t="s">
        <v>786</v>
      </c>
      <c r="F12101" s="380" t="s">
        <v>998</v>
      </c>
      <c r="G12101" s="380" t="s">
        <v>1267</v>
      </c>
      <c r="H12101" s="380" t="s">
        <v>771</v>
      </c>
      <c r="I12101" s="380" t="s">
        <v>788</v>
      </c>
      <c r="J12101" s="380" t="s">
        <v>773</v>
      </c>
      <c r="K12101" s="381">
        <v>0.0</v>
      </c>
      <c r="L12101" s="382">
        <v>1.0</v>
      </c>
    </row>
    <row r="12102">
      <c r="A12102" s="380" t="s">
        <v>12976</v>
      </c>
      <c r="B12102" s="380" t="str">
        <f>IFERROR(__xludf.DUMMYFUNCTION("""COMPUTED_VALUE"""),"Valvula Iac Foton Mv5 7705946695770")</f>
        <v>Valvula Iac Foton Mv5 7705946695770</v>
      </c>
      <c r="C12102" s="380" t="str">
        <f>IFERROR(__xludf.DUMMYFUNCTION("""COMPUTED_VALUE"""),"70007560")</f>
        <v>70007560</v>
      </c>
      <c r="D12102" s="380" t="s">
        <v>767</v>
      </c>
      <c r="E12102" s="380" t="s">
        <v>786</v>
      </c>
      <c r="F12102" s="380" t="s">
        <v>998</v>
      </c>
      <c r="G12102" s="380" t="s">
        <v>1267</v>
      </c>
      <c r="H12102" s="380" t="s">
        <v>771</v>
      </c>
      <c r="I12102" s="380" t="s">
        <v>788</v>
      </c>
      <c r="J12102" s="380" t="s">
        <v>773</v>
      </c>
      <c r="K12102" s="381">
        <v>102000.0</v>
      </c>
      <c r="L12102" s="382">
        <v>1.0</v>
      </c>
    </row>
    <row r="12103">
      <c r="A12103" s="380" t="s">
        <v>12977</v>
      </c>
      <c r="B12103" s="380" t="str">
        <f>IFERROR(__xludf.DUMMYFUNCTION("""COMPUTED_VALUE"""),"Rodillo Inf Riel PTA Izq NS U 824213xa0c")</f>
        <v>Rodillo Inf Riel PTA Izq NS U 824213xa0c</v>
      </c>
      <c r="C12103" s="380" t="str">
        <f>IFERROR(__xludf.DUMMYFUNCTION("""COMPUTED_VALUE"""),"70007561")</f>
        <v>70007561</v>
      </c>
      <c r="D12103" s="380" t="s">
        <v>767</v>
      </c>
      <c r="E12103" s="380" t="s">
        <v>786</v>
      </c>
      <c r="F12103" s="380" t="s">
        <v>792</v>
      </c>
      <c r="G12103" s="380" t="s">
        <v>1267</v>
      </c>
      <c r="H12103" s="380" t="s">
        <v>771</v>
      </c>
      <c r="I12103" s="380" t="s">
        <v>788</v>
      </c>
      <c r="J12103" s="380" t="s">
        <v>773</v>
      </c>
      <c r="K12103" s="381">
        <v>0.0</v>
      </c>
      <c r="L12103" s="382">
        <v>1.0</v>
      </c>
    </row>
    <row r="12104">
      <c r="A12104" s="380" t="s">
        <v>12978</v>
      </c>
      <c r="B12104" s="380" t="str">
        <f>IFERROR(__xludf.DUMMYFUNCTION("""COMPUTED_VALUE"""),"MANG Sup TANQ Aux RAD FT MV5 5946025539")</f>
        <v>MANG Sup TANQ Aux RAD FT MV5 5946025539</v>
      </c>
      <c r="C12104" s="380" t="str">
        <f>IFERROR(__xludf.DUMMYFUNCTION("""COMPUTED_VALUE"""),"70007562")</f>
        <v>70007562</v>
      </c>
      <c r="D12104" s="380" t="s">
        <v>767</v>
      </c>
      <c r="E12104" s="380" t="s">
        <v>786</v>
      </c>
      <c r="F12104" s="380" t="s">
        <v>787</v>
      </c>
      <c r="G12104" s="380" t="s">
        <v>1267</v>
      </c>
      <c r="H12104" s="380" t="s">
        <v>771</v>
      </c>
      <c r="I12104" s="380" t="s">
        <v>788</v>
      </c>
      <c r="J12104" s="380" t="s">
        <v>773</v>
      </c>
      <c r="K12104" s="381">
        <v>0.0</v>
      </c>
      <c r="L12104" s="382">
        <v>1.0</v>
      </c>
    </row>
    <row r="12105">
      <c r="A12105" s="380" t="s">
        <v>12979</v>
      </c>
      <c r="B12105" s="380" t="str">
        <f>IFERROR(__xludf.DUMMYFUNCTION("""COMPUTED_VALUE"""),"Guaya Acelerador H Internatio 2010529 C9")</f>
        <v>Guaya Acelerador H Internatio 2010529 C9</v>
      </c>
      <c r="C12105" s="380" t="str">
        <f>IFERROR(__xludf.DUMMYFUNCTION("""COMPUTED_VALUE"""),"70007563")</f>
        <v>70007563</v>
      </c>
      <c r="D12105" s="380" t="s">
        <v>767</v>
      </c>
      <c r="E12105" s="380" t="s">
        <v>786</v>
      </c>
      <c r="F12105" s="380" t="s">
        <v>787</v>
      </c>
      <c r="G12105" s="380" t="s">
        <v>1267</v>
      </c>
      <c r="H12105" s="380" t="s">
        <v>771</v>
      </c>
      <c r="I12105" s="380" t="s">
        <v>788</v>
      </c>
      <c r="J12105" s="380" t="s">
        <v>773</v>
      </c>
      <c r="K12105" s="381">
        <v>0.0</v>
      </c>
      <c r="L12105" s="382">
        <v>1.0</v>
      </c>
    </row>
    <row r="12106">
      <c r="A12106" s="380" t="s">
        <v>12980</v>
      </c>
      <c r="B12106" s="380" t="str">
        <f>IFERROR(__xludf.DUMMYFUNCTION("""COMPUTED_VALUE"""),"Bombillo Direcional 17638n 12v Nkr")</f>
        <v>Bombillo Direcional 17638n 12v Nkr</v>
      </c>
      <c r="C12106" s="380" t="str">
        <f>IFERROR(__xludf.DUMMYFUNCTION("""COMPUTED_VALUE"""),"70007564")</f>
        <v>70007564</v>
      </c>
      <c r="D12106" s="380" t="s">
        <v>767</v>
      </c>
      <c r="E12106" s="380" t="s">
        <v>786</v>
      </c>
      <c r="F12106" s="380" t="s">
        <v>998</v>
      </c>
      <c r="G12106" s="380" t="s">
        <v>1267</v>
      </c>
      <c r="H12106" s="380" t="s">
        <v>771</v>
      </c>
      <c r="I12106" s="380" t="s">
        <v>788</v>
      </c>
      <c r="J12106" s="380" t="s">
        <v>773</v>
      </c>
      <c r="K12106" s="381">
        <v>5969.0</v>
      </c>
      <c r="L12106" s="382">
        <v>1.0</v>
      </c>
    </row>
    <row r="12107">
      <c r="A12107" s="380" t="s">
        <v>12981</v>
      </c>
      <c r="B12107" s="380" t="str">
        <f>IFERROR(__xludf.DUMMYFUNCTION("""COMPUTED_VALUE"""),"Booster Freno Nhr - Nkr 8970917062")</f>
        <v>Booster Freno Nhr - Nkr 8970917062</v>
      </c>
      <c r="C12107" s="380" t="str">
        <f>IFERROR(__xludf.DUMMYFUNCTION("""COMPUTED_VALUE"""),"70007565")</f>
        <v>70007565</v>
      </c>
      <c r="D12107" s="380" t="s">
        <v>767</v>
      </c>
      <c r="E12107" s="380" t="s">
        <v>786</v>
      </c>
      <c r="F12107" s="380" t="s">
        <v>1017</v>
      </c>
      <c r="G12107" s="380" t="s">
        <v>1267</v>
      </c>
      <c r="H12107" s="380" t="s">
        <v>771</v>
      </c>
      <c r="I12107" s="380" t="s">
        <v>788</v>
      </c>
      <c r="J12107" s="380" t="s">
        <v>773</v>
      </c>
      <c r="K12107" s="381">
        <v>0.0</v>
      </c>
      <c r="L12107" s="382">
        <v>1.0</v>
      </c>
    </row>
    <row r="12108">
      <c r="A12108" s="380" t="s">
        <v>12982</v>
      </c>
      <c r="B12108" s="380" t="str">
        <f>IFERROR(__xludf.DUMMYFUNCTION("""COMPUTED_VALUE"""),"Rodillo Piloto Speed Nkr 70081")</f>
        <v>Rodillo Piloto Speed Nkr 70081</v>
      </c>
      <c r="C12108" s="380" t="str">
        <f>IFERROR(__xludf.DUMMYFUNCTION("""COMPUTED_VALUE"""),"70007566")</f>
        <v>70007566</v>
      </c>
      <c r="D12108" s="380" t="s">
        <v>767</v>
      </c>
      <c r="E12108" s="380" t="s">
        <v>786</v>
      </c>
      <c r="F12108" s="380" t="s">
        <v>5683</v>
      </c>
      <c r="G12108" s="380" t="s">
        <v>1267</v>
      </c>
      <c r="H12108" s="380" t="s">
        <v>771</v>
      </c>
      <c r="I12108" s="380" t="s">
        <v>788</v>
      </c>
      <c r="J12108" s="380" t="s">
        <v>773</v>
      </c>
      <c r="K12108" s="381">
        <v>0.0</v>
      </c>
      <c r="L12108" s="382">
        <v>1.0</v>
      </c>
    </row>
    <row r="12109">
      <c r="A12109" s="380" t="s">
        <v>12983</v>
      </c>
      <c r="B12109" s="380" t="str">
        <f>IFERROR(__xludf.DUMMYFUNCTION("""COMPUTED_VALUE"""),"Reloj Presion De Aceite Eagle 2023356c1")</f>
        <v>Reloj Presion De Aceite Eagle 2023356c1</v>
      </c>
      <c r="C12109" s="380" t="str">
        <f>IFERROR(__xludf.DUMMYFUNCTION("""COMPUTED_VALUE"""),"70007567")</f>
        <v>70007567</v>
      </c>
      <c r="D12109" s="380" t="s">
        <v>767</v>
      </c>
      <c r="E12109" s="380" t="s">
        <v>786</v>
      </c>
      <c r="F12109" s="380" t="s">
        <v>792</v>
      </c>
      <c r="G12109" s="380" t="s">
        <v>1267</v>
      </c>
      <c r="H12109" s="380" t="s">
        <v>771</v>
      </c>
      <c r="I12109" s="380" t="s">
        <v>788</v>
      </c>
      <c r="J12109" s="380" t="s">
        <v>773</v>
      </c>
      <c r="K12109" s="381">
        <v>0.0</v>
      </c>
      <c r="L12109" s="382">
        <v>1.0</v>
      </c>
    </row>
    <row r="12110">
      <c r="A12110" s="380" t="s">
        <v>12984</v>
      </c>
      <c r="B12110" s="380" t="str">
        <f>IFERROR(__xludf.DUMMYFUNCTION("""COMPUTED_VALUE"""),"Filtro Agua Vaso Transpar F5l Hidrola")</f>
        <v>Filtro Agua Vaso Transpar F5l Hidrola</v>
      </c>
      <c r="C12110" s="380" t="str">
        <f>IFERROR(__xludf.DUMMYFUNCTION("""COMPUTED_VALUE"""),"70007568")</f>
        <v>70007568</v>
      </c>
      <c r="D12110" s="380" t="s">
        <v>767</v>
      </c>
      <c r="E12110" s="380" t="s">
        <v>786</v>
      </c>
      <c r="F12110" s="380" t="s">
        <v>5855</v>
      </c>
      <c r="G12110" s="380" t="s">
        <v>1267</v>
      </c>
      <c r="H12110" s="380" t="s">
        <v>771</v>
      </c>
      <c r="I12110" s="380" t="s">
        <v>788</v>
      </c>
      <c r="J12110" s="380" t="s">
        <v>773</v>
      </c>
      <c r="K12110" s="381">
        <v>0.0</v>
      </c>
      <c r="L12110" s="382">
        <v>1.0</v>
      </c>
    </row>
    <row r="12111">
      <c r="A12111" s="380" t="s">
        <v>12985</v>
      </c>
      <c r="B12111" s="380" t="str">
        <f>IFERROR(__xludf.DUMMYFUNCTION("""COMPUTED_VALUE"""),"Varilla CTRL Cambios Nhr-Nkr 8970851580")</f>
        <v>Varilla CTRL Cambios Nhr-Nkr 8970851580</v>
      </c>
      <c r="C12111" s="380" t="str">
        <f>IFERROR(__xludf.DUMMYFUNCTION("""COMPUTED_VALUE"""),"70007569")</f>
        <v>70007569</v>
      </c>
      <c r="D12111" s="380" t="s">
        <v>767</v>
      </c>
      <c r="E12111" s="380" t="s">
        <v>786</v>
      </c>
      <c r="F12111" s="380" t="s">
        <v>1020</v>
      </c>
      <c r="G12111" s="380" t="s">
        <v>1267</v>
      </c>
      <c r="H12111" s="380" t="s">
        <v>771</v>
      </c>
      <c r="I12111" s="380" t="s">
        <v>788</v>
      </c>
      <c r="J12111" s="380" t="s">
        <v>773</v>
      </c>
      <c r="K12111" s="381">
        <v>0.0</v>
      </c>
      <c r="L12111" s="382">
        <v>1.0</v>
      </c>
    </row>
    <row r="12112">
      <c r="A12112" s="380" t="s">
        <v>12986</v>
      </c>
      <c r="B12112" s="380" t="str">
        <f>IFERROR(__xludf.DUMMYFUNCTION("""COMPUTED_VALUE"""),"Guaya Capot Hi Larg Internatio 1677457c1")</f>
        <v>Guaya Capot Hi Larg Internatio 1677457c1</v>
      </c>
      <c r="C12112" s="380" t="str">
        <f>IFERROR(__xludf.DUMMYFUNCTION("""COMPUTED_VALUE"""),"70007570")</f>
        <v>70007570</v>
      </c>
      <c r="D12112" s="380" t="s">
        <v>767</v>
      </c>
      <c r="E12112" s="380" t="s">
        <v>786</v>
      </c>
      <c r="F12112" s="380" t="s">
        <v>792</v>
      </c>
      <c r="G12112" s="380" t="s">
        <v>1267</v>
      </c>
      <c r="H12112" s="380" t="s">
        <v>771</v>
      </c>
      <c r="I12112" s="380" t="s">
        <v>788</v>
      </c>
      <c r="J12112" s="380" t="s">
        <v>773</v>
      </c>
      <c r="K12112" s="381">
        <v>0.0</v>
      </c>
      <c r="L12112" s="382">
        <v>1.0</v>
      </c>
    </row>
    <row r="12113">
      <c r="A12113" s="380" t="s">
        <v>12987</v>
      </c>
      <c r="B12113" s="380" t="str">
        <f>IFERROR(__xludf.DUMMYFUNCTION("""COMPUTED_VALUE"""),"SENS TEMP Trans-Cj EGL Q21-1002")</f>
        <v>SENS TEMP Trans-Cj EGL Q21-1002</v>
      </c>
      <c r="C12113" s="380" t="str">
        <f>IFERROR(__xludf.DUMMYFUNCTION("""COMPUTED_VALUE"""),"70007571")</f>
        <v>70007571</v>
      </c>
      <c r="D12113" s="380" t="s">
        <v>767</v>
      </c>
      <c r="E12113" s="380" t="s">
        <v>786</v>
      </c>
      <c r="F12113" s="380" t="s">
        <v>998</v>
      </c>
      <c r="G12113" s="380" t="s">
        <v>1267</v>
      </c>
      <c r="H12113" s="380" t="s">
        <v>771</v>
      </c>
      <c r="I12113" s="380" t="s">
        <v>788</v>
      </c>
      <c r="J12113" s="380" t="s">
        <v>773</v>
      </c>
      <c r="K12113" s="381">
        <v>65450.0</v>
      </c>
      <c r="L12113" s="382">
        <v>1.0</v>
      </c>
    </row>
    <row r="12114">
      <c r="A12114" s="380" t="s">
        <v>12988</v>
      </c>
      <c r="B12114" s="380" t="str">
        <f>IFERROR(__xludf.DUMMYFUNCTION("""COMPUTED_VALUE"""),"Termostato Motor T Delta 1634058010")</f>
        <v>Termostato Motor T Delta 1634058010</v>
      </c>
      <c r="C12114" s="380" t="str">
        <f>IFERROR(__xludf.DUMMYFUNCTION("""COMPUTED_VALUE"""),"70007572")</f>
        <v>70007572</v>
      </c>
      <c r="D12114" s="380" t="s">
        <v>767</v>
      </c>
      <c r="E12114" s="380" t="s">
        <v>786</v>
      </c>
      <c r="F12114" s="380" t="s">
        <v>787</v>
      </c>
      <c r="G12114" s="380" t="s">
        <v>1267</v>
      </c>
      <c r="H12114" s="380" t="s">
        <v>771</v>
      </c>
      <c r="I12114" s="380" t="s">
        <v>788</v>
      </c>
      <c r="J12114" s="380" t="s">
        <v>773</v>
      </c>
      <c r="K12114" s="381">
        <v>0.0</v>
      </c>
      <c r="L12114" s="382">
        <v>1.0</v>
      </c>
    </row>
    <row r="12115">
      <c r="A12115" s="380" t="s">
        <v>12989</v>
      </c>
      <c r="B12115" s="380" t="str">
        <f>IFERROR(__xludf.DUMMYFUNCTION("""COMPUTED_VALUE"""),"Switch CTRL DIRal T Delta 9331915014")</f>
        <v>Switch CTRL DIRal T Delta 9331915014</v>
      </c>
      <c r="C12115" s="380" t="str">
        <f>IFERROR(__xludf.DUMMYFUNCTION("""COMPUTED_VALUE"""),"70007573")</f>
        <v>70007573</v>
      </c>
      <c r="D12115" s="380" t="s">
        <v>767</v>
      </c>
      <c r="E12115" s="380" t="s">
        <v>786</v>
      </c>
      <c r="F12115" s="380" t="s">
        <v>998</v>
      </c>
      <c r="G12115" s="380" t="s">
        <v>1267</v>
      </c>
      <c r="H12115" s="380" t="s">
        <v>771</v>
      </c>
      <c r="I12115" s="380" t="s">
        <v>788</v>
      </c>
      <c r="J12115" s="380" t="s">
        <v>773</v>
      </c>
      <c r="K12115" s="381">
        <v>0.0</v>
      </c>
      <c r="L12115" s="382">
        <v>1.0</v>
      </c>
    </row>
    <row r="12116">
      <c r="A12116" s="380" t="s">
        <v>12990</v>
      </c>
      <c r="B12116" s="380" t="str">
        <f>IFERROR(__xludf.DUMMYFUNCTION("""COMPUTED_VALUE"""),"Soporte Pedal Ftr Frr 8980719721")</f>
        <v>Soporte Pedal Ftr Frr 8980719721</v>
      </c>
      <c r="C12116" s="380" t="str">
        <f>IFERROR(__xludf.DUMMYFUNCTION("""COMPUTED_VALUE"""),"70007574")</f>
        <v>70007574</v>
      </c>
      <c r="D12116" s="380" t="s">
        <v>767</v>
      </c>
      <c r="E12116" s="380" t="s">
        <v>786</v>
      </c>
      <c r="F12116" s="380" t="s">
        <v>787</v>
      </c>
      <c r="G12116" s="380" t="s">
        <v>1267</v>
      </c>
      <c r="H12116" s="380" t="s">
        <v>771</v>
      </c>
      <c r="I12116" s="380" t="s">
        <v>788</v>
      </c>
      <c r="J12116" s="380" t="s">
        <v>773</v>
      </c>
      <c r="K12116" s="381">
        <v>0.0</v>
      </c>
      <c r="L12116" s="382">
        <v>1.0</v>
      </c>
    </row>
    <row r="12117">
      <c r="A12117" s="380" t="s">
        <v>12991</v>
      </c>
      <c r="B12117" s="380" t="str">
        <f>IFERROR(__xludf.DUMMYFUNCTION("""COMPUTED_VALUE"""),"DEP Expansivo RAD REN 8200595002")</f>
        <v>DEP Expansivo RAD REN 8200595002</v>
      </c>
      <c r="C12117" s="380" t="str">
        <f>IFERROR(__xludf.DUMMYFUNCTION("""COMPUTED_VALUE"""),"70007575")</f>
        <v>70007575</v>
      </c>
      <c r="D12117" s="380" t="s">
        <v>767</v>
      </c>
      <c r="E12117" s="380" t="s">
        <v>786</v>
      </c>
      <c r="F12117" s="380" t="s">
        <v>787</v>
      </c>
      <c r="G12117" s="380" t="s">
        <v>1267</v>
      </c>
      <c r="H12117" s="380" t="s">
        <v>771</v>
      </c>
      <c r="I12117" s="380" t="s">
        <v>788</v>
      </c>
      <c r="J12117" s="380" t="s">
        <v>773</v>
      </c>
      <c r="K12117" s="381">
        <v>0.0</v>
      </c>
      <c r="L12117" s="382">
        <v>1.0</v>
      </c>
    </row>
    <row r="12118">
      <c r="A12118" s="380" t="s">
        <v>12992</v>
      </c>
      <c r="B12118" s="380" t="str">
        <f>IFERROR(__xludf.DUMMYFUNCTION("""COMPUTED_VALUE"""),"Manguera Retorno Hco Nkr 8972113100")</f>
        <v>Manguera Retorno Hco Nkr 8972113100</v>
      </c>
      <c r="C12118" s="380" t="str">
        <f>IFERROR(__xludf.DUMMYFUNCTION("""COMPUTED_VALUE"""),"70007576")</f>
        <v>70007576</v>
      </c>
      <c r="D12118" s="380" t="s">
        <v>767</v>
      </c>
      <c r="E12118" s="380" t="s">
        <v>786</v>
      </c>
      <c r="F12118" s="380" t="s">
        <v>787</v>
      </c>
      <c r="G12118" s="380" t="s">
        <v>1267</v>
      </c>
      <c r="H12118" s="380" t="s">
        <v>771</v>
      </c>
      <c r="I12118" s="380" t="s">
        <v>788</v>
      </c>
      <c r="J12118" s="380" t="s">
        <v>773</v>
      </c>
      <c r="K12118" s="381">
        <v>0.0</v>
      </c>
      <c r="L12118" s="382">
        <v>1.0</v>
      </c>
    </row>
    <row r="12119">
      <c r="A12119" s="380" t="s">
        <v>12993</v>
      </c>
      <c r="B12119" s="380" t="str">
        <f>IFERROR(__xludf.DUMMYFUNCTION("""COMPUTED_VALUE"""),"Horquilla Embrague Hco Prostar Fula7786")</f>
        <v>Horquilla Embrague Hco Prostar Fula7786</v>
      </c>
      <c r="C12119" s="380" t="str">
        <f>IFERROR(__xludf.DUMMYFUNCTION("""COMPUTED_VALUE"""),"70007577")</f>
        <v>70007577</v>
      </c>
      <c r="D12119" s="380" t="s">
        <v>767</v>
      </c>
      <c r="E12119" s="380" t="s">
        <v>786</v>
      </c>
      <c r="F12119" s="380" t="s">
        <v>787</v>
      </c>
      <c r="G12119" s="380" t="s">
        <v>1267</v>
      </c>
      <c r="H12119" s="380" t="s">
        <v>771</v>
      </c>
      <c r="I12119" s="380" t="s">
        <v>788</v>
      </c>
      <c r="J12119" s="380" t="s">
        <v>773</v>
      </c>
      <c r="K12119" s="381">
        <v>0.0</v>
      </c>
      <c r="L12119" s="382">
        <v>1.0</v>
      </c>
    </row>
    <row r="12120">
      <c r="A12120" s="380" t="s">
        <v>12994</v>
      </c>
      <c r="B12120" s="380" t="str">
        <f>IFERROR(__xludf.DUMMYFUNCTION("""COMPUTED_VALUE"""),"Empaque Soporte Isx 4954472")</f>
        <v>Empaque Soporte Isx 4954472</v>
      </c>
      <c r="C12120" s="380" t="str">
        <f>IFERROR(__xludf.DUMMYFUNCTION("""COMPUTED_VALUE"""),"70007578")</f>
        <v>70007578</v>
      </c>
      <c r="D12120" s="380" t="s">
        <v>767</v>
      </c>
      <c r="E12120" s="380" t="s">
        <v>786</v>
      </c>
      <c r="F12120" s="380" t="s">
        <v>787</v>
      </c>
      <c r="G12120" s="380" t="s">
        <v>1267</v>
      </c>
      <c r="H12120" s="380" t="s">
        <v>771</v>
      </c>
      <c r="I12120" s="380" t="s">
        <v>788</v>
      </c>
      <c r="J12120" s="380" t="s">
        <v>773</v>
      </c>
      <c r="K12120" s="381">
        <v>0.0</v>
      </c>
      <c r="L12120" s="382">
        <v>1.0</v>
      </c>
    </row>
    <row r="12121">
      <c r="A12121" s="380" t="s">
        <v>12995</v>
      </c>
      <c r="B12121" s="380" t="str">
        <f>IFERROR(__xludf.DUMMYFUNCTION("""COMPUTED_VALUE"""),"Varilla Medidora Aceite Isx 9400 4026889")</f>
        <v>Varilla Medidora Aceite Isx 9400 4026889</v>
      </c>
      <c r="C12121" s="380" t="str">
        <f>IFERROR(__xludf.DUMMYFUNCTION("""COMPUTED_VALUE"""),"70007579")</f>
        <v>70007579</v>
      </c>
      <c r="D12121" s="380" t="s">
        <v>767</v>
      </c>
      <c r="E12121" s="380" t="s">
        <v>786</v>
      </c>
      <c r="F12121" s="380" t="s">
        <v>787</v>
      </c>
      <c r="G12121" s="380" t="s">
        <v>1267</v>
      </c>
      <c r="H12121" s="380" t="s">
        <v>771</v>
      </c>
      <c r="I12121" s="380" t="s">
        <v>788</v>
      </c>
      <c r="J12121" s="380" t="s">
        <v>773</v>
      </c>
      <c r="K12121" s="381">
        <v>0.0</v>
      </c>
      <c r="L12121" s="382">
        <v>1.0</v>
      </c>
    </row>
    <row r="12122">
      <c r="A12122" s="380" t="s">
        <v>12996</v>
      </c>
      <c r="B12122" s="380" t="str">
        <f>IFERROR(__xludf.DUMMYFUNCTION("""COMPUTED_VALUE"""),"Sensor Pedal Acelerador KW T800 131973")</f>
        <v>Sensor Pedal Acelerador KW T800 131973</v>
      </c>
      <c r="C12122" s="380" t="str">
        <f>IFERROR(__xludf.DUMMYFUNCTION("""COMPUTED_VALUE"""),"70007580")</f>
        <v>70007580</v>
      </c>
      <c r="D12122" s="380" t="s">
        <v>767</v>
      </c>
      <c r="E12122" s="380" t="s">
        <v>786</v>
      </c>
      <c r="F12122" s="380" t="s">
        <v>998</v>
      </c>
      <c r="G12122" s="380" t="s">
        <v>1267</v>
      </c>
      <c r="H12122" s="380" t="s">
        <v>771</v>
      </c>
      <c r="I12122" s="380" t="s">
        <v>788</v>
      </c>
      <c r="J12122" s="380" t="s">
        <v>773</v>
      </c>
      <c r="K12122" s="381">
        <v>0.0</v>
      </c>
      <c r="L12122" s="382">
        <v>1.0</v>
      </c>
    </row>
    <row r="12123">
      <c r="A12123" s="380" t="s">
        <v>12997</v>
      </c>
      <c r="B12123" s="380" t="str">
        <f>IFERROR(__xludf.DUMMYFUNCTION("""COMPUTED_VALUE"""),"Clip Tapizado Puerta Nkr III 8978934820")</f>
        <v>Clip Tapizado Puerta Nkr III 8978934820</v>
      </c>
      <c r="C12123" s="380" t="str">
        <f>IFERROR(__xludf.DUMMYFUNCTION("""COMPUTED_VALUE"""),"70007581")</f>
        <v>70007581</v>
      </c>
      <c r="D12123" s="380" t="s">
        <v>767</v>
      </c>
      <c r="E12123" s="380" t="s">
        <v>786</v>
      </c>
      <c r="F12123" s="380" t="s">
        <v>792</v>
      </c>
      <c r="G12123" s="380" t="s">
        <v>1267</v>
      </c>
      <c r="H12123" s="380" t="s">
        <v>771</v>
      </c>
      <c r="I12123" s="380" t="s">
        <v>788</v>
      </c>
      <c r="J12123" s="380" t="s">
        <v>773</v>
      </c>
      <c r="K12123" s="381">
        <v>0.0</v>
      </c>
      <c r="L12123" s="382">
        <v>1.0</v>
      </c>
    </row>
    <row r="12124">
      <c r="A12124" s="380" t="s">
        <v>12998</v>
      </c>
      <c r="B12124" s="380" t="str">
        <f>IFERROR(__xludf.DUMMYFUNCTION("""COMPUTED_VALUE"""),"Tuerca Clip Guardapolvo Nkr I 8942795260")</f>
        <v>Tuerca Clip Guardapolvo Nkr I 8942795260</v>
      </c>
      <c r="C12124" s="380" t="str">
        <f>IFERROR(__xludf.DUMMYFUNCTION("""COMPUTED_VALUE"""),"70007582")</f>
        <v>70007582</v>
      </c>
      <c r="D12124" s="380" t="s">
        <v>767</v>
      </c>
      <c r="E12124" s="380" t="s">
        <v>786</v>
      </c>
      <c r="F12124" s="380" t="s">
        <v>792</v>
      </c>
      <c r="G12124" s="380" t="s">
        <v>1267</v>
      </c>
      <c r="H12124" s="380" t="s">
        <v>771</v>
      </c>
      <c r="I12124" s="380" t="s">
        <v>788</v>
      </c>
      <c r="J12124" s="380" t="s">
        <v>773</v>
      </c>
      <c r="K12124" s="381">
        <v>0.0</v>
      </c>
      <c r="L12124" s="382">
        <v>1.0</v>
      </c>
    </row>
    <row r="12125">
      <c r="A12125" s="380" t="s">
        <v>12999</v>
      </c>
      <c r="B12125" s="380" t="str">
        <f>IFERROR(__xludf.DUMMYFUNCTION("""COMPUTED_VALUE"""),"Empaquetadura Cj 16718 Eagle K3288")</f>
        <v>Empaquetadura Cj 16718 Eagle K3288</v>
      </c>
      <c r="C12125" s="380" t="str">
        <f>IFERROR(__xludf.DUMMYFUNCTION("""COMPUTED_VALUE"""),"70007583")</f>
        <v>70007583</v>
      </c>
      <c r="D12125" s="380" t="s">
        <v>767</v>
      </c>
      <c r="E12125" s="380" t="s">
        <v>786</v>
      </c>
      <c r="F12125" s="380" t="s">
        <v>928</v>
      </c>
      <c r="G12125" s="380" t="s">
        <v>1267</v>
      </c>
      <c r="H12125" s="380" t="s">
        <v>771</v>
      </c>
      <c r="I12125" s="380" t="s">
        <v>788</v>
      </c>
      <c r="J12125" s="380" t="s">
        <v>773</v>
      </c>
      <c r="K12125" s="381">
        <v>0.0</v>
      </c>
      <c r="L12125" s="382">
        <v>1.0</v>
      </c>
    </row>
    <row r="12126">
      <c r="A12126" s="380" t="s">
        <v>13000</v>
      </c>
      <c r="B12126" s="380" t="str">
        <f>IFERROR(__xludf.DUMMYFUNCTION("""COMPUTED_VALUE"""),"Buje Leva Freno Kemworth 1000035")</f>
        <v>Buje Leva Freno Kemworth 1000035</v>
      </c>
      <c r="C12126" s="380" t="str">
        <f>IFERROR(__xludf.DUMMYFUNCTION("""COMPUTED_VALUE"""),"70007584")</f>
        <v>70007584</v>
      </c>
      <c r="D12126" s="380" t="s">
        <v>767</v>
      </c>
      <c r="E12126" s="380" t="s">
        <v>786</v>
      </c>
      <c r="F12126" s="380" t="s">
        <v>1017</v>
      </c>
      <c r="G12126" s="380" t="s">
        <v>1267</v>
      </c>
      <c r="H12126" s="380" t="s">
        <v>771</v>
      </c>
      <c r="I12126" s="380" t="s">
        <v>788</v>
      </c>
      <c r="J12126" s="380" t="s">
        <v>773</v>
      </c>
      <c r="K12126" s="381">
        <v>0.0</v>
      </c>
      <c r="L12126" s="382">
        <v>1.0</v>
      </c>
    </row>
    <row r="12127">
      <c r="A12127" s="380" t="s">
        <v>13001</v>
      </c>
      <c r="B12127" s="380" t="str">
        <f>IFERROR(__xludf.DUMMYFUNCTION("""COMPUTED_VALUE"""),"Hoja Muelle Tras Volkswagen 98007/5")</f>
        <v>Hoja Muelle Tras Volkswagen 98007/5</v>
      </c>
      <c r="C12127" s="380" t="str">
        <f>IFERROR(__xludf.DUMMYFUNCTION("""COMPUTED_VALUE"""),"70007585")</f>
        <v>70007585</v>
      </c>
      <c r="D12127" s="380" t="s">
        <v>767</v>
      </c>
      <c r="E12127" s="380" t="s">
        <v>786</v>
      </c>
      <c r="F12127" s="380" t="s">
        <v>1039</v>
      </c>
      <c r="G12127" s="380" t="s">
        <v>1267</v>
      </c>
      <c r="H12127" s="380" t="s">
        <v>771</v>
      </c>
      <c r="I12127" s="380" t="s">
        <v>788</v>
      </c>
      <c r="J12127" s="380" t="s">
        <v>773</v>
      </c>
      <c r="K12127" s="381">
        <v>0.0</v>
      </c>
      <c r="L12127" s="382">
        <v>1.0</v>
      </c>
    </row>
    <row r="12128">
      <c r="A12128" s="380" t="s">
        <v>13002</v>
      </c>
      <c r="B12128" s="380" t="str">
        <f>IFERROR(__xludf.DUMMYFUNCTION("""COMPUTED_VALUE"""),"Motor Arranque Hyundai")</f>
        <v>Motor Arranque Hyundai</v>
      </c>
      <c r="C12128" s="380" t="str">
        <f>IFERROR(__xludf.DUMMYFUNCTION("""COMPUTED_VALUE"""),"70007586")</f>
        <v>70007586</v>
      </c>
      <c r="D12128" s="380" t="s">
        <v>767</v>
      </c>
      <c r="E12128" s="380" t="s">
        <v>786</v>
      </c>
      <c r="F12128" s="380" t="s">
        <v>998</v>
      </c>
      <c r="G12128" s="380" t="s">
        <v>1267</v>
      </c>
      <c r="H12128" s="380" t="s">
        <v>771</v>
      </c>
      <c r="I12128" s="380" t="s">
        <v>788</v>
      </c>
      <c r="J12128" s="380" t="s">
        <v>773</v>
      </c>
      <c r="K12128" s="381">
        <v>0.0</v>
      </c>
      <c r="L12128" s="382">
        <v>1.0</v>
      </c>
    </row>
    <row r="12129">
      <c r="A12129" s="380" t="s">
        <v>13003</v>
      </c>
      <c r="B12129" s="380" t="str">
        <f>IFERROR(__xludf.DUMMYFUNCTION("""COMPUTED_VALUE"""),"VALV 4 Vias TANQ AIR VW 2vc607359")</f>
        <v>VALV 4 Vias TANQ AIR VW 2vc607359</v>
      </c>
      <c r="C12129" s="380" t="str">
        <f>IFERROR(__xludf.DUMMYFUNCTION("""COMPUTED_VALUE"""),"70007587")</f>
        <v>70007587</v>
      </c>
      <c r="D12129" s="380" t="s">
        <v>767</v>
      </c>
      <c r="E12129" s="380" t="s">
        <v>786</v>
      </c>
      <c r="F12129" s="380" t="s">
        <v>1017</v>
      </c>
      <c r="G12129" s="380" t="s">
        <v>1267</v>
      </c>
      <c r="H12129" s="380" t="s">
        <v>771</v>
      </c>
      <c r="I12129" s="380" t="s">
        <v>788</v>
      </c>
      <c r="J12129" s="380" t="s">
        <v>773</v>
      </c>
      <c r="K12129" s="381">
        <v>0.0</v>
      </c>
      <c r="L12129" s="382">
        <v>1.0</v>
      </c>
    </row>
    <row r="12130">
      <c r="A12130" s="380" t="s">
        <v>13004</v>
      </c>
      <c r="B12130" s="380" t="str">
        <f>IFERROR(__xludf.DUMMYFUNCTION("""COMPUTED_VALUE"""),"Inyector Motor Nkr 8973829450")</f>
        <v>Inyector Motor Nkr 8973829450</v>
      </c>
      <c r="C12130" s="380" t="str">
        <f>IFERROR(__xludf.DUMMYFUNCTION("""COMPUTED_VALUE"""),"70007588")</f>
        <v>70007588</v>
      </c>
      <c r="D12130" s="380" t="s">
        <v>767</v>
      </c>
      <c r="E12130" s="380" t="s">
        <v>786</v>
      </c>
      <c r="F12130" s="380" t="s">
        <v>787</v>
      </c>
      <c r="G12130" s="380" t="s">
        <v>1267</v>
      </c>
      <c r="H12130" s="380" t="s">
        <v>771</v>
      </c>
      <c r="I12130" s="380" t="s">
        <v>788</v>
      </c>
      <c r="J12130" s="380" t="s">
        <v>773</v>
      </c>
      <c r="K12130" s="381">
        <v>0.0</v>
      </c>
      <c r="L12130" s="382">
        <v>1.0</v>
      </c>
    </row>
    <row r="12131">
      <c r="A12131" s="380" t="s">
        <v>13005</v>
      </c>
      <c r="B12131" s="380" t="str">
        <f>IFERROR(__xludf.DUMMYFUNCTION("""COMPUTED_VALUE"""),"Soporte Motor Izq Nhr Nkr Npr 8970806210")</f>
        <v>Soporte Motor Izq Nhr Nkr Npr 8970806210</v>
      </c>
      <c r="C12131" s="380" t="str">
        <f>IFERROR(__xludf.DUMMYFUNCTION("""COMPUTED_VALUE"""),"70007589")</f>
        <v>70007589</v>
      </c>
      <c r="D12131" s="380" t="s">
        <v>767</v>
      </c>
      <c r="E12131" s="380" t="s">
        <v>786</v>
      </c>
      <c r="F12131" s="380" t="s">
        <v>792</v>
      </c>
      <c r="G12131" s="380" t="s">
        <v>1267</v>
      </c>
      <c r="H12131" s="380" t="s">
        <v>771</v>
      </c>
      <c r="I12131" s="380" t="s">
        <v>788</v>
      </c>
      <c r="J12131" s="380" t="s">
        <v>773</v>
      </c>
      <c r="K12131" s="381">
        <v>0.0</v>
      </c>
      <c r="L12131" s="382">
        <v>1.0</v>
      </c>
    </row>
    <row r="12132">
      <c r="A12132" s="380" t="s">
        <v>13006</v>
      </c>
      <c r="B12132" s="380" t="str">
        <f>IFERROR(__xludf.DUMMYFUNCTION("""COMPUTED_VALUE"""),"Soporte Guardapolvo Tras Izq")</f>
        <v>Soporte Guardapolvo Tras Izq</v>
      </c>
      <c r="C12132" s="380" t="str">
        <f>IFERROR(__xludf.DUMMYFUNCTION("""COMPUTED_VALUE"""),"70007590")</f>
        <v>70007590</v>
      </c>
      <c r="D12132" s="380" t="s">
        <v>767</v>
      </c>
      <c r="E12132" s="380" t="s">
        <v>786</v>
      </c>
      <c r="F12132" s="380" t="s">
        <v>792</v>
      </c>
      <c r="G12132" s="380" t="s">
        <v>1267</v>
      </c>
      <c r="H12132" s="380" t="s">
        <v>771</v>
      </c>
      <c r="I12132" s="380" t="s">
        <v>788</v>
      </c>
      <c r="J12132" s="380" t="s">
        <v>773</v>
      </c>
      <c r="K12132" s="381">
        <v>0.0</v>
      </c>
      <c r="L12132" s="382">
        <v>1.0</v>
      </c>
    </row>
    <row r="12133">
      <c r="A12133" s="380" t="s">
        <v>13007</v>
      </c>
      <c r="B12133" s="380" t="str">
        <f>IFERROR(__xludf.DUMMYFUNCTION("""COMPUTED_VALUE"""),"Guardapolvo Caucho Tras Mula")</f>
        <v>Guardapolvo Caucho Tras Mula</v>
      </c>
      <c r="C12133" s="380" t="str">
        <f>IFERROR(__xludf.DUMMYFUNCTION("""COMPUTED_VALUE"""),"70007591")</f>
        <v>70007591</v>
      </c>
      <c r="D12133" s="380" t="s">
        <v>767</v>
      </c>
      <c r="E12133" s="380" t="s">
        <v>786</v>
      </c>
      <c r="F12133" s="380" t="s">
        <v>792</v>
      </c>
      <c r="G12133" s="380" t="s">
        <v>1267</v>
      </c>
      <c r="H12133" s="380" t="s">
        <v>771</v>
      </c>
      <c r="I12133" s="380" t="s">
        <v>788</v>
      </c>
      <c r="J12133" s="380" t="s">
        <v>773</v>
      </c>
      <c r="K12133" s="381">
        <v>54464.0</v>
      </c>
      <c r="L12133" s="382">
        <v>1.0</v>
      </c>
    </row>
    <row r="12134">
      <c r="A12134" s="380" t="s">
        <v>13008</v>
      </c>
      <c r="B12134" s="380" t="str">
        <f>IFERROR(__xludf.DUMMYFUNCTION("""COMPUTED_VALUE"""),"Retenedor Aceite Caja T Delta 9031148011")</f>
        <v>Retenedor Aceite Caja T Delta 9031148011</v>
      </c>
      <c r="C12134" s="380" t="str">
        <f>IFERROR(__xludf.DUMMYFUNCTION("""COMPUTED_VALUE"""),"70007592")</f>
        <v>70007592</v>
      </c>
      <c r="D12134" s="380" t="s">
        <v>767</v>
      </c>
      <c r="E12134" s="380" t="s">
        <v>786</v>
      </c>
      <c r="F12134" s="380" t="s">
        <v>928</v>
      </c>
      <c r="G12134" s="380" t="s">
        <v>1267</v>
      </c>
      <c r="H12134" s="380" t="s">
        <v>771</v>
      </c>
      <c r="I12134" s="380" t="s">
        <v>788</v>
      </c>
      <c r="J12134" s="380" t="s">
        <v>773</v>
      </c>
      <c r="K12134" s="381">
        <v>0.0</v>
      </c>
      <c r="L12134" s="382">
        <v>1.0</v>
      </c>
    </row>
    <row r="12135">
      <c r="A12135" s="380" t="s">
        <v>13009</v>
      </c>
      <c r="B12135" s="380" t="str">
        <f>IFERROR(__xludf.DUMMYFUNCTION("""COMPUTED_VALUE"""),"Camara Freno Del T24 SB N14 Sap1024l")</f>
        <v>Camara Freno Del T24 SB N14 Sap1024l</v>
      </c>
      <c r="C12135" s="380" t="str">
        <f>IFERROR(__xludf.DUMMYFUNCTION("""COMPUTED_VALUE"""),"70007593")</f>
        <v>70007593</v>
      </c>
      <c r="D12135" s="380" t="s">
        <v>767</v>
      </c>
      <c r="E12135" s="380" t="s">
        <v>786</v>
      </c>
      <c r="F12135" s="380" t="s">
        <v>1017</v>
      </c>
      <c r="G12135" s="380" t="s">
        <v>1267</v>
      </c>
      <c r="H12135" s="380" t="s">
        <v>771</v>
      </c>
      <c r="I12135" s="380" t="s">
        <v>788</v>
      </c>
      <c r="J12135" s="380" t="s">
        <v>773</v>
      </c>
      <c r="K12135" s="381">
        <v>0.0</v>
      </c>
      <c r="L12135" s="382">
        <v>1.0</v>
      </c>
    </row>
    <row r="12136">
      <c r="A12136" s="380" t="s">
        <v>13010</v>
      </c>
      <c r="B12136" s="380" t="str">
        <f>IFERROR(__xludf.DUMMYFUNCTION("""COMPUTED_VALUE"""),"FILT COMB Ppal MOT H Original 2335578020")</f>
        <v>FILT COMB Ppal MOT H Original 2335578020</v>
      </c>
      <c r="C12136" s="380" t="str">
        <f>IFERROR(__xludf.DUMMYFUNCTION("""COMPUTED_VALUE"""),"70007594")</f>
        <v>70007594</v>
      </c>
      <c r="D12136" s="380" t="s">
        <v>767</v>
      </c>
      <c r="E12136" s="380" t="s">
        <v>786</v>
      </c>
      <c r="F12136" s="380" t="s">
        <v>5855</v>
      </c>
      <c r="G12136" s="380" t="s">
        <v>1267</v>
      </c>
      <c r="H12136" s="380" t="s">
        <v>771</v>
      </c>
      <c r="I12136" s="380" t="s">
        <v>788</v>
      </c>
      <c r="J12136" s="380" t="s">
        <v>773</v>
      </c>
      <c r="K12136" s="381">
        <v>58127.0</v>
      </c>
      <c r="L12136" s="382">
        <v>1.0</v>
      </c>
    </row>
    <row r="12137">
      <c r="A12137" s="380" t="s">
        <v>13011</v>
      </c>
      <c r="B12137" s="380" t="str">
        <f>IFERROR(__xludf.DUMMYFUNCTION("""COMPUTED_VALUE"""),"FILT COMB Secundario Original 2339078221")</f>
        <v>FILT COMB Secundario Original 2339078221</v>
      </c>
      <c r="C12137" s="380" t="str">
        <f>IFERROR(__xludf.DUMMYFUNCTION("""COMPUTED_VALUE"""),"70007595")</f>
        <v>70007595</v>
      </c>
      <c r="D12137" s="380" t="s">
        <v>767</v>
      </c>
      <c r="E12137" s="380" t="s">
        <v>786</v>
      </c>
      <c r="F12137" s="380" t="s">
        <v>5855</v>
      </c>
      <c r="G12137" s="380" t="s">
        <v>1267</v>
      </c>
      <c r="H12137" s="380" t="s">
        <v>771</v>
      </c>
      <c r="I12137" s="380" t="s">
        <v>788</v>
      </c>
      <c r="J12137" s="380" t="s">
        <v>773</v>
      </c>
      <c r="K12137" s="381">
        <v>0.0</v>
      </c>
      <c r="L12137" s="382">
        <v>1.0</v>
      </c>
    </row>
    <row r="12138">
      <c r="A12138" s="380" t="s">
        <v>13012</v>
      </c>
      <c r="B12138" s="380" t="str">
        <f>IFERROR(__xludf.DUMMYFUNCTION("""COMPUTED_VALUE"""),"Filtro Aceite Motor Hino S156072391")</f>
        <v>Filtro Aceite Motor Hino S156072391</v>
      </c>
      <c r="C12138" s="380" t="str">
        <f>IFERROR(__xludf.DUMMYFUNCTION("""COMPUTED_VALUE"""),"70007596")</f>
        <v>70007596</v>
      </c>
      <c r="D12138" s="380" t="s">
        <v>767</v>
      </c>
      <c r="E12138" s="380" t="s">
        <v>786</v>
      </c>
      <c r="F12138" s="380" t="s">
        <v>5855</v>
      </c>
      <c r="G12138" s="380" t="s">
        <v>1267</v>
      </c>
      <c r="H12138" s="380" t="s">
        <v>771</v>
      </c>
      <c r="I12138" s="380" t="s">
        <v>788</v>
      </c>
      <c r="J12138" s="380" t="s">
        <v>773</v>
      </c>
      <c r="K12138" s="381">
        <v>0.0</v>
      </c>
      <c r="L12138" s="382">
        <v>1.0</v>
      </c>
    </row>
    <row r="12139">
      <c r="A12139" s="380" t="s">
        <v>13013</v>
      </c>
      <c r="B12139" s="380" t="str">
        <f>IFERROR(__xludf.DUMMYFUNCTION("""COMPUTED_VALUE"""),"SOP Guardapolvo Tras Hi 4300 3545459c91")</f>
        <v>SOP Guardapolvo Tras Hi 4300 3545459c91</v>
      </c>
      <c r="C12139" s="380" t="str">
        <f>IFERROR(__xludf.DUMMYFUNCTION("""COMPUTED_VALUE"""),"70007597")</f>
        <v>70007597</v>
      </c>
      <c r="D12139" s="380" t="s">
        <v>767</v>
      </c>
      <c r="E12139" s="380" t="s">
        <v>786</v>
      </c>
      <c r="F12139" s="380" t="s">
        <v>792</v>
      </c>
      <c r="G12139" s="380" t="s">
        <v>1267</v>
      </c>
      <c r="H12139" s="380" t="s">
        <v>771</v>
      </c>
      <c r="I12139" s="380" t="s">
        <v>788</v>
      </c>
      <c r="J12139" s="380" t="s">
        <v>773</v>
      </c>
      <c r="K12139" s="381">
        <v>0.0</v>
      </c>
      <c r="L12139" s="382">
        <v>1.0</v>
      </c>
    </row>
    <row r="12140">
      <c r="A12140" s="380" t="s">
        <v>13014</v>
      </c>
      <c r="B12140" s="380" t="str">
        <f>IFERROR(__xludf.DUMMYFUNCTION("""COMPUTED_VALUE"""),"SENS L Sensor Luz Reversa Renault Master")</f>
        <v>SENS L Sensor Luz Reversa Renault Master</v>
      </c>
      <c r="C12140" s="380" t="str">
        <f>IFERROR(__xludf.DUMMYFUNCTION("""COMPUTED_VALUE"""),"70007598")</f>
        <v>70007598</v>
      </c>
      <c r="D12140" s="380" t="s">
        <v>767</v>
      </c>
      <c r="E12140" s="380" t="s">
        <v>786</v>
      </c>
      <c r="F12140" s="380" t="s">
        <v>998</v>
      </c>
      <c r="G12140" s="380" t="s">
        <v>1267</v>
      </c>
      <c r="H12140" s="380" t="s">
        <v>771</v>
      </c>
      <c r="I12140" s="380" t="s">
        <v>788</v>
      </c>
      <c r="J12140" s="380" t="s">
        <v>773</v>
      </c>
      <c r="K12140" s="381">
        <v>111464.0</v>
      </c>
      <c r="L12140" s="382">
        <v>1.0</v>
      </c>
    </row>
    <row r="12141">
      <c r="A12141" s="380" t="s">
        <v>13015</v>
      </c>
      <c r="B12141" s="380" t="str">
        <f>IFERROR(__xludf.DUMMYFUNCTION("""COMPUTED_VALUE"""),"Empaque Tapa Termostato Nkr 8943656742")</f>
        <v>Empaque Tapa Termostato Nkr 8943656742</v>
      </c>
      <c r="C12141" s="380" t="str">
        <f>IFERROR(__xludf.DUMMYFUNCTION("""COMPUTED_VALUE"""),"70007599")</f>
        <v>70007599</v>
      </c>
      <c r="D12141" s="380" t="s">
        <v>767</v>
      </c>
      <c r="E12141" s="380" t="s">
        <v>786</v>
      </c>
      <c r="F12141" s="380" t="s">
        <v>787</v>
      </c>
      <c r="G12141" s="380" t="s">
        <v>1267</v>
      </c>
      <c r="H12141" s="380" t="s">
        <v>771</v>
      </c>
      <c r="I12141" s="380" t="s">
        <v>788</v>
      </c>
      <c r="J12141" s="380" t="s">
        <v>773</v>
      </c>
      <c r="K12141" s="381">
        <v>0.0</v>
      </c>
      <c r="L12141" s="382">
        <v>1.0</v>
      </c>
    </row>
    <row r="12142">
      <c r="A12142" s="380" t="s">
        <v>13016</v>
      </c>
      <c r="B12142" s="380" t="str">
        <f>IFERROR(__xludf.DUMMYFUNCTION("""COMPUTED_VALUE"""),"Soporte Sup Tras Cabina Nhr 8980215610")</f>
        <v>Soporte Sup Tras Cabina Nhr 8980215610</v>
      </c>
      <c r="C12142" s="380" t="str">
        <f>IFERROR(__xludf.DUMMYFUNCTION("""COMPUTED_VALUE"""),"70007600")</f>
        <v>70007600</v>
      </c>
      <c r="D12142" s="380" t="s">
        <v>767</v>
      </c>
      <c r="E12142" s="380" t="s">
        <v>786</v>
      </c>
      <c r="F12142" s="380" t="s">
        <v>792</v>
      </c>
      <c r="G12142" s="380" t="s">
        <v>1267</v>
      </c>
      <c r="H12142" s="380" t="s">
        <v>771</v>
      </c>
      <c r="I12142" s="380" t="s">
        <v>788</v>
      </c>
      <c r="J12142" s="380" t="s">
        <v>773</v>
      </c>
      <c r="K12142" s="381">
        <v>0.0</v>
      </c>
      <c r="L12142" s="382">
        <v>1.0</v>
      </c>
    </row>
    <row r="12143">
      <c r="A12143" s="380" t="s">
        <v>13017</v>
      </c>
      <c r="B12143" s="380" t="str">
        <f>IFERROR(__xludf.DUMMYFUNCTION("""COMPUTED_VALUE"""),"Piñon De 2da Tren Fijo CJ 14715 SB 20382")</f>
        <v>Piñon De 2da Tren Fijo CJ 14715 SB 20382</v>
      </c>
      <c r="C12143" s="380" t="str">
        <f>IFERROR(__xludf.DUMMYFUNCTION("""COMPUTED_VALUE"""),"70007601")</f>
        <v>70007601</v>
      </c>
      <c r="D12143" s="380" t="s">
        <v>767</v>
      </c>
      <c r="E12143" s="380" t="s">
        <v>786</v>
      </c>
      <c r="F12143" s="380" t="s">
        <v>928</v>
      </c>
      <c r="G12143" s="380" t="s">
        <v>1267</v>
      </c>
      <c r="H12143" s="380" t="s">
        <v>771</v>
      </c>
      <c r="I12143" s="380" t="s">
        <v>788</v>
      </c>
      <c r="J12143" s="380" t="s">
        <v>773</v>
      </c>
      <c r="K12143" s="381">
        <v>0.0</v>
      </c>
      <c r="L12143" s="382">
        <v>1.0</v>
      </c>
    </row>
    <row r="12144">
      <c r="A12144" s="380" t="s">
        <v>13018</v>
      </c>
      <c r="B12144" s="380" t="str">
        <f>IFERROR(__xludf.DUMMYFUNCTION("""COMPUTED_VALUE"""),"Banda Freno Emergencia Npr Vulca")</f>
        <v>Banda Freno Emergencia Npr Vulca</v>
      </c>
      <c r="C12144" s="380" t="str">
        <f>IFERROR(__xludf.DUMMYFUNCTION("""COMPUTED_VALUE"""),"70007602")</f>
        <v>70007602</v>
      </c>
      <c r="D12144" s="380" t="s">
        <v>767</v>
      </c>
      <c r="E12144" s="380" t="s">
        <v>786</v>
      </c>
      <c r="F12144" s="380" t="s">
        <v>1017</v>
      </c>
      <c r="G12144" s="380" t="s">
        <v>1267</v>
      </c>
      <c r="H12144" s="380" t="s">
        <v>771</v>
      </c>
      <c r="I12144" s="380" t="s">
        <v>788</v>
      </c>
      <c r="J12144" s="380" t="s">
        <v>773</v>
      </c>
      <c r="K12144" s="381">
        <v>0.0</v>
      </c>
      <c r="L12144" s="382">
        <v>1.0</v>
      </c>
    </row>
    <row r="12145">
      <c r="A12145" s="380" t="s">
        <v>13019</v>
      </c>
      <c r="B12145" s="380" t="str">
        <f>IFERROR(__xludf.DUMMYFUNCTION("""COMPUTED_VALUE"""),"Kit Splinder FT 1039 X 2 RDAs 7705946756")</f>
        <v>Kit Splinder FT 1039 X 2 RDAs 7705946756</v>
      </c>
      <c r="C12145" s="380" t="str">
        <f>IFERROR(__xludf.DUMMYFUNCTION("""COMPUTED_VALUE"""),"70007603")</f>
        <v>70007603</v>
      </c>
      <c r="D12145" s="380" t="s">
        <v>767</v>
      </c>
      <c r="E12145" s="380" t="s">
        <v>786</v>
      </c>
      <c r="F12145" s="380" t="s">
        <v>1039</v>
      </c>
      <c r="G12145" s="380" t="s">
        <v>1267</v>
      </c>
      <c r="H12145" s="380" t="s">
        <v>771</v>
      </c>
      <c r="I12145" s="380" t="s">
        <v>788</v>
      </c>
      <c r="J12145" s="380" t="s">
        <v>773</v>
      </c>
      <c r="K12145" s="381">
        <v>0.0</v>
      </c>
      <c r="L12145" s="382">
        <v>1.0</v>
      </c>
    </row>
    <row r="12146">
      <c r="A12146" s="380" t="s">
        <v>13020</v>
      </c>
      <c r="B12146" s="380" t="str">
        <f>IFERROR(__xludf.DUMMYFUNCTION("""COMPUTED_VALUE"""),"Hoja Resorte Del Eagle 551218/1")</f>
        <v>Hoja Resorte Del Eagle 551218/1</v>
      </c>
      <c r="C12146" s="380" t="str">
        <f>IFERROR(__xludf.DUMMYFUNCTION("""COMPUTED_VALUE"""),"70007604")</f>
        <v>70007604</v>
      </c>
      <c r="D12146" s="380" t="s">
        <v>767</v>
      </c>
      <c r="E12146" s="380" t="s">
        <v>786</v>
      </c>
      <c r="F12146" s="380" t="s">
        <v>1039</v>
      </c>
      <c r="G12146" s="380" t="s">
        <v>1267</v>
      </c>
      <c r="H12146" s="380" t="s">
        <v>771</v>
      </c>
      <c r="I12146" s="380" t="s">
        <v>788</v>
      </c>
      <c r="J12146" s="380" t="s">
        <v>773</v>
      </c>
      <c r="K12146" s="381">
        <v>915467.0</v>
      </c>
      <c r="L12146" s="382">
        <v>1.0</v>
      </c>
    </row>
    <row r="12147">
      <c r="A12147" s="380" t="s">
        <v>13021</v>
      </c>
      <c r="B12147" s="380" t="str">
        <f>IFERROR(__xludf.DUMMYFUNCTION("""COMPUTED_VALUE"""),"Estribo Plastico Der Nkr III 8979978530")</f>
        <v>Estribo Plastico Der Nkr III 8979978530</v>
      </c>
      <c r="C12147" s="380" t="str">
        <f>IFERROR(__xludf.DUMMYFUNCTION("""COMPUTED_VALUE"""),"70007605")</f>
        <v>70007605</v>
      </c>
      <c r="D12147" s="380" t="s">
        <v>767</v>
      </c>
      <c r="E12147" s="380" t="s">
        <v>786</v>
      </c>
      <c r="F12147" s="380" t="s">
        <v>792</v>
      </c>
      <c r="G12147" s="380" t="s">
        <v>1267</v>
      </c>
      <c r="H12147" s="380" t="s">
        <v>771</v>
      </c>
      <c r="I12147" s="380" t="s">
        <v>788</v>
      </c>
      <c r="J12147" s="380" t="s">
        <v>773</v>
      </c>
      <c r="K12147" s="381">
        <v>0.0</v>
      </c>
      <c r="L12147" s="382">
        <v>1.0</v>
      </c>
    </row>
    <row r="12148">
      <c r="A12148" s="380" t="s">
        <v>13022</v>
      </c>
      <c r="B12148" s="380" t="str">
        <f>IFERROR(__xludf.DUMMYFUNCTION("""COMPUTED_VALUE"""),"Lampara Principal Del Der Nkr 8973695703")</f>
        <v>Lampara Principal Del Der Nkr 8973695703</v>
      </c>
      <c r="C12148" s="380" t="str">
        <f>IFERROR(__xludf.DUMMYFUNCTION("""COMPUTED_VALUE"""),"70007606")</f>
        <v>70007606</v>
      </c>
      <c r="D12148" s="380" t="s">
        <v>767</v>
      </c>
      <c r="E12148" s="380" t="s">
        <v>786</v>
      </c>
      <c r="F12148" s="380" t="s">
        <v>998</v>
      </c>
      <c r="G12148" s="380" t="s">
        <v>1267</v>
      </c>
      <c r="H12148" s="380" t="s">
        <v>771</v>
      </c>
      <c r="I12148" s="380" t="s">
        <v>788</v>
      </c>
      <c r="J12148" s="380" t="s">
        <v>773</v>
      </c>
      <c r="K12148" s="381">
        <v>0.0</v>
      </c>
      <c r="L12148" s="382">
        <v>1.0</v>
      </c>
    </row>
    <row r="12149">
      <c r="A12149" s="380" t="s">
        <v>13023</v>
      </c>
      <c r="B12149" s="380" t="str">
        <f>IFERROR(__xludf.DUMMYFUNCTION("""COMPUTED_VALUE"""),"Guardapolvo Palanc Internatio 556778c1 E")</f>
        <v>Guardapolvo Palanc Internatio 556778c1 E</v>
      </c>
      <c r="C12149" s="380" t="str">
        <f>IFERROR(__xludf.DUMMYFUNCTION("""COMPUTED_VALUE"""),"70007607")</f>
        <v>70007607</v>
      </c>
      <c r="D12149" s="380" t="s">
        <v>767</v>
      </c>
      <c r="E12149" s="380" t="s">
        <v>786</v>
      </c>
      <c r="F12149" s="380" t="s">
        <v>928</v>
      </c>
      <c r="G12149" s="380" t="s">
        <v>1267</v>
      </c>
      <c r="H12149" s="380" t="s">
        <v>771</v>
      </c>
      <c r="I12149" s="380" t="s">
        <v>788</v>
      </c>
      <c r="J12149" s="380" t="s">
        <v>773</v>
      </c>
      <c r="K12149" s="381">
        <v>215301.0</v>
      </c>
      <c r="L12149" s="382">
        <v>1.0</v>
      </c>
    </row>
    <row r="12150">
      <c r="A12150" s="380" t="s">
        <v>13024</v>
      </c>
      <c r="B12150" s="380" t="str">
        <f>IFERROR(__xludf.DUMMYFUNCTION("""COMPUTED_VALUE"""),"Persiana Radiador Nkr III 8975818252")</f>
        <v>Persiana Radiador Nkr III 8975818252</v>
      </c>
      <c r="C12150" s="380" t="str">
        <f>IFERROR(__xludf.DUMMYFUNCTION("""COMPUTED_VALUE"""),"70007608")</f>
        <v>70007608</v>
      </c>
      <c r="D12150" s="380" t="s">
        <v>767</v>
      </c>
      <c r="E12150" s="380" t="s">
        <v>786</v>
      </c>
      <c r="F12150" s="380" t="s">
        <v>792</v>
      </c>
      <c r="G12150" s="380" t="s">
        <v>1267</v>
      </c>
      <c r="H12150" s="380" t="s">
        <v>771</v>
      </c>
      <c r="I12150" s="380" t="s">
        <v>788</v>
      </c>
      <c r="J12150" s="380" t="s">
        <v>773</v>
      </c>
      <c r="K12150" s="381">
        <v>0.0</v>
      </c>
      <c r="L12150" s="382">
        <v>1.0</v>
      </c>
    </row>
    <row r="12151">
      <c r="A12151" s="380" t="s">
        <v>13025</v>
      </c>
      <c r="B12151" s="380" t="str">
        <f>IFERROR(__xludf.DUMMYFUNCTION("""COMPUTED_VALUE"""),"SOP Guardapolvo Tras Der EGL 3545460c91")</f>
        <v>SOP Guardapolvo Tras Der EGL 3545460c91</v>
      </c>
      <c r="C12151" s="380" t="str">
        <f>IFERROR(__xludf.DUMMYFUNCTION("""COMPUTED_VALUE"""),"70007609")</f>
        <v>70007609</v>
      </c>
      <c r="D12151" s="380" t="s">
        <v>767</v>
      </c>
      <c r="E12151" s="380" t="s">
        <v>786</v>
      </c>
      <c r="F12151" s="380" t="s">
        <v>792</v>
      </c>
      <c r="G12151" s="380" t="s">
        <v>1267</v>
      </c>
      <c r="H12151" s="380" t="s">
        <v>771</v>
      </c>
      <c r="I12151" s="380" t="s">
        <v>788</v>
      </c>
      <c r="J12151" s="380" t="s">
        <v>773</v>
      </c>
      <c r="K12151" s="381">
        <v>0.0</v>
      </c>
      <c r="L12151" s="382">
        <v>1.0</v>
      </c>
    </row>
    <row r="12152">
      <c r="A12152" s="380" t="s">
        <v>13026</v>
      </c>
      <c r="B12152" s="380" t="str">
        <f>IFERROR(__xludf.DUMMYFUNCTION("""COMPUTED_VALUE"""),"Manguera Sinflex 1/8")</f>
        <v>Manguera Sinflex 1/8</v>
      </c>
      <c r="C12152" s="380" t="str">
        <f>IFERROR(__xludf.DUMMYFUNCTION("""COMPUTED_VALUE"""),"70007610")</f>
        <v>70007610</v>
      </c>
      <c r="D12152" s="380" t="s">
        <v>767</v>
      </c>
      <c r="E12152" s="380" t="s">
        <v>786</v>
      </c>
      <c r="F12152" s="380" t="s">
        <v>989</v>
      </c>
      <c r="G12152" s="380" t="s">
        <v>1267</v>
      </c>
      <c r="H12152" s="380" t="s">
        <v>771</v>
      </c>
      <c r="I12152" s="380" t="s">
        <v>788</v>
      </c>
      <c r="J12152" s="380" t="s">
        <v>773</v>
      </c>
      <c r="K12152" s="381">
        <v>0.0</v>
      </c>
      <c r="L12152" s="382">
        <v>1.0</v>
      </c>
    </row>
    <row r="12153">
      <c r="A12153" s="380" t="s">
        <v>13027</v>
      </c>
      <c r="B12153" s="380" t="str">
        <f>IFERROR(__xludf.DUMMYFUNCTION("""COMPUTED_VALUE"""),"Tuerca Tapa Carca FILT AIR Nk 1142170680")</f>
        <v>Tuerca Tapa Carca FILT AIR Nk 1142170680</v>
      </c>
      <c r="C12153" s="380" t="str">
        <f>IFERROR(__xludf.DUMMYFUNCTION("""COMPUTED_VALUE"""),"70007611")</f>
        <v>70007611</v>
      </c>
      <c r="D12153" s="380" t="s">
        <v>767</v>
      </c>
      <c r="E12153" s="380" t="s">
        <v>786</v>
      </c>
      <c r="F12153" s="380" t="s">
        <v>5855</v>
      </c>
      <c r="G12153" s="380" t="s">
        <v>1267</v>
      </c>
      <c r="H12153" s="380" t="s">
        <v>771</v>
      </c>
      <c r="I12153" s="380" t="s">
        <v>788</v>
      </c>
      <c r="J12153" s="380" t="s">
        <v>773</v>
      </c>
      <c r="K12153" s="381">
        <v>0.0</v>
      </c>
      <c r="L12153" s="382">
        <v>1.0</v>
      </c>
    </row>
    <row r="12154">
      <c r="A12154" s="380" t="s">
        <v>13028</v>
      </c>
      <c r="B12154" s="380" t="str">
        <f>IFERROR(__xludf.DUMMYFUNCTION("""COMPUTED_VALUE"""),"Valvula Spliter Cj Fuller N14 Ful19974")</f>
        <v>Valvula Spliter Cj Fuller N14 Ful19974</v>
      </c>
      <c r="C12154" s="380" t="str">
        <f>IFERROR(__xludf.DUMMYFUNCTION("""COMPUTED_VALUE"""),"70007612")</f>
        <v>70007612</v>
      </c>
      <c r="D12154" s="380" t="s">
        <v>767</v>
      </c>
      <c r="E12154" s="380" t="s">
        <v>786</v>
      </c>
      <c r="F12154" s="380" t="s">
        <v>928</v>
      </c>
      <c r="G12154" s="380" t="s">
        <v>1267</v>
      </c>
      <c r="H12154" s="380" t="s">
        <v>771</v>
      </c>
      <c r="I12154" s="380" t="s">
        <v>788</v>
      </c>
      <c r="J12154" s="380" t="s">
        <v>773</v>
      </c>
      <c r="K12154" s="381">
        <v>0.0</v>
      </c>
      <c r="L12154" s="382">
        <v>1.0</v>
      </c>
    </row>
    <row r="12155">
      <c r="A12155" s="380" t="s">
        <v>13029</v>
      </c>
      <c r="B12155" s="380" t="str">
        <f>IFERROR(__xludf.DUMMYFUNCTION("""COMPUTED_VALUE"""),"Bomba Freno T Delta 4720187312")</f>
        <v>Bomba Freno T Delta 4720187312</v>
      </c>
      <c r="C12155" s="380" t="str">
        <f>IFERROR(__xludf.DUMMYFUNCTION("""COMPUTED_VALUE"""),"70007613")</f>
        <v>70007613</v>
      </c>
      <c r="D12155" s="380" t="s">
        <v>767</v>
      </c>
      <c r="E12155" s="380" t="s">
        <v>786</v>
      </c>
      <c r="F12155" s="380" t="s">
        <v>1017</v>
      </c>
      <c r="G12155" s="380" t="s">
        <v>1267</v>
      </c>
      <c r="H12155" s="380" t="s">
        <v>771</v>
      </c>
      <c r="I12155" s="380" t="s">
        <v>788</v>
      </c>
      <c r="J12155" s="380" t="s">
        <v>773</v>
      </c>
      <c r="K12155" s="381">
        <v>0.0</v>
      </c>
      <c r="L12155" s="382">
        <v>1.0</v>
      </c>
    </row>
    <row r="12156">
      <c r="A12156" s="380" t="s">
        <v>13030</v>
      </c>
      <c r="B12156" s="380" t="str">
        <f>IFERROR(__xludf.DUMMYFUNCTION("""COMPUTED_VALUE"""),"BMB Agua MOT Isx EGL 5473365 4089911nx")</f>
        <v>BMB Agua MOT Isx EGL 5473365 4089911nx</v>
      </c>
      <c r="C12156" s="380" t="str">
        <f>IFERROR(__xludf.DUMMYFUNCTION("""COMPUTED_VALUE"""),"70007614")</f>
        <v>70007614</v>
      </c>
      <c r="D12156" s="380" t="s">
        <v>767</v>
      </c>
      <c r="E12156" s="380" t="s">
        <v>786</v>
      </c>
      <c r="F12156" s="380" t="s">
        <v>787</v>
      </c>
      <c r="G12156" s="380" t="s">
        <v>1267</v>
      </c>
      <c r="H12156" s="380" t="s">
        <v>771</v>
      </c>
      <c r="I12156" s="380" t="s">
        <v>788</v>
      </c>
      <c r="J12156" s="380" t="s">
        <v>773</v>
      </c>
      <c r="K12156" s="381">
        <v>0.0</v>
      </c>
      <c r="L12156" s="382">
        <v>1.0</v>
      </c>
    </row>
    <row r="12157">
      <c r="A12157" s="380" t="s">
        <v>13031</v>
      </c>
      <c r="B12157" s="380" t="str">
        <f>IFERROR(__xludf.DUMMYFUNCTION("""COMPUTED_VALUE"""),"Bomba Agua Motor Isx KW 402509700r")</f>
        <v>Bomba Agua Motor Isx KW 402509700r</v>
      </c>
      <c r="C12157" s="380" t="str">
        <f>IFERROR(__xludf.DUMMYFUNCTION("""COMPUTED_VALUE"""),"70007615")</f>
        <v>70007615</v>
      </c>
      <c r="D12157" s="380" t="s">
        <v>767</v>
      </c>
      <c r="E12157" s="380" t="s">
        <v>786</v>
      </c>
      <c r="F12157" s="380" t="s">
        <v>787</v>
      </c>
      <c r="G12157" s="380" t="s">
        <v>1267</v>
      </c>
      <c r="H12157" s="380" t="s">
        <v>771</v>
      </c>
      <c r="I12157" s="380" t="s">
        <v>788</v>
      </c>
      <c r="J12157" s="380" t="s">
        <v>773</v>
      </c>
      <c r="K12157" s="381">
        <v>0.0</v>
      </c>
      <c r="L12157" s="382">
        <v>1.0</v>
      </c>
    </row>
    <row r="12158">
      <c r="A12158" s="380" t="s">
        <v>13032</v>
      </c>
      <c r="B12158" s="380" t="str">
        <f>IFERROR(__xludf.DUMMYFUNCTION("""COMPUTED_VALUE"""),"Buje Central Tras Eje Leva Nk 8973781470")</f>
        <v>Buje Central Tras Eje Leva Nk 8973781470</v>
      </c>
      <c r="C12158" s="380" t="str">
        <f>IFERROR(__xludf.DUMMYFUNCTION("""COMPUTED_VALUE"""),"70007616")</f>
        <v>70007616</v>
      </c>
      <c r="D12158" s="380" t="s">
        <v>767</v>
      </c>
      <c r="E12158" s="380" t="s">
        <v>786</v>
      </c>
      <c r="F12158" s="380" t="s">
        <v>787</v>
      </c>
      <c r="G12158" s="380" t="s">
        <v>1267</v>
      </c>
      <c r="H12158" s="380" t="s">
        <v>771</v>
      </c>
      <c r="I12158" s="380" t="s">
        <v>788</v>
      </c>
      <c r="J12158" s="380" t="s">
        <v>773</v>
      </c>
      <c r="K12158" s="381">
        <v>0.0</v>
      </c>
      <c r="L12158" s="382">
        <v>1.0</v>
      </c>
    </row>
    <row r="12159">
      <c r="A12159" s="380" t="s">
        <v>13033</v>
      </c>
      <c r="B12159" s="380" t="str">
        <f>IFERROR(__xludf.DUMMYFUNCTION("""COMPUTED_VALUE"""),"Tuerca Rueda Tras Der Nkr 8980078240")</f>
        <v>Tuerca Rueda Tras Der Nkr 8980078240</v>
      </c>
      <c r="C12159" s="380" t="str">
        <f>IFERROR(__xludf.DUMMYFUNCTION("""COMPUTED_VALUE"""),"70007617")</f>
        <v>70007617</v>
      </c>
      <c r="D12159" s="380" t="s">
        <v>767</v>
      </c>
      <c r="E12159" s="380" t="s">
        <v>786</v>
      </c>
      <c r="F12159" s="380" t="s">
        <v>1039</v>
      </c>
      <c r="G12159" s="380" t="s">
        <v>1267</v>
      </c>
      <c r="H12159" s="380" t="s">
        <v>771</v>
      </c>
      <c r="I12159" s="380" t="s">
        <v>788</v>
      </c>
      <c r="J12159" s="380" t="s">
        <v>773</v>
      </c>
      <c r="K12159" s="381">
        <v>0.0</v>
      </c>
      <c r="L12159" s="382">
        <v>1.0</v>
      </c>
    </row>
    <row r="12160">
      <c r="A12160" s="380" t="s">
        <v>13034</v>
      </c>
      <c r="B12160" s="380" t="str">
        <f>IFERROR(__xludf.DUMMYFUNCTION("""COMPUTED_VALUE"""),"Kit Sellos Secador Freno Eagle 5005037")</f>
        <v>Kit Sellos Secador Freno Eagle 5005037</v>
      </c>
      <c r="C12160" s="380" t="str">
        <f>IFERROR(__xludf.DUMMYFUNCTION("""COMPUTED_VALUE"""),"70007618")</f>
        <v>70007618</v>
      </c>
      <c r="D12160" s="380" t="s">
        <v>767</v>
      </c>
      <c r="E12160" s="380" t="s">
        <v>786</v>
      </c>
      <c r="F12160" s="380" t="s">
        <v>1017</v>
      </c>
      <c r="G12160" s="380" t="s">
        <v>1267</v>
      </c>
      <c r="H12160" s="380" t="s">
        <v>771</v>
      </c>
      <c r="I12160" s="380" t="s">
        <v>788</v>
      </c>
      <c r="J12160" s="380" t="s">
        <v>773</v>
      </c>
      <c r="K12160" s="381">
        <v>0.0</v>
      </c>
      <c r="L12160" s="382">
        <v>1.0</v>
      </c>
    </row>
    <row r="12161">
      <c r="A12161" s="380" t="s">
        <v>13035</v>
      </c>
      <c r="B12161" s="380" t="str">
        <f>IFERROR(__xludf.DUMMYFUNCTION("""COMPUTED_VALUE"""),"SOP Tras Izq Montaje MOT EGL 3524034c2")</f>
        <v>SOP Tras Izq Montaje MOT EGL 3524034c2</v>
      </c>
      <c r="C12161" s="380" t="str">
        <f>IFERROR(__xludf.DUMMYFUNCTION("""COMPUTED_VALUE"""),"70007619")</f>
        <v>70007619</v>
      </c>
      <c r="D12161" s="380" t="s">
        <v>767</v>
      </c>
      <c r="E12161" s="380" t="s">
        <v>786</v>
      </c>
      <c r="F12161" s="380" t="s">
        <v>792</v>
      </c>
      <c r="G12161" s="380" t="s">
        <v>1267</v>
      </c>
      <c r="H12161" s="380" t="s">
        <v>771</v>
      </c>
      <c r="I12161" s="380" t="s">
        <v>788</v>
      </c>
      <c r="J12161" s="380" t="s">
        <v>773</v>
      </c>
      <c r="K12161" s="381">
        <v>637840.0</v>
      </c>
      <c r="L12161" s="382">
        <v>1.0</v>
      </c>
    </row>
    <row r="12162">
      <c r="A12162" s="380" t="s">
        <v>13036</v>
      </c>
      <c r="B12162" s="380" t="str">
        <f>IFERROR(__xludf.DUMMYFUNCTION("""COMPUTED_VALUE"""),"Base Vaso SOP Sedimentador Nk 8970818143")</f>
        <v>Base Vaso SOP Sedimentador Nk 8970818143</v>
      </c>
      <c r="C12162" s="380" t="str">
        <f>IFERROR(__xludf.DUMMYFUNCTION("""COMPUTED_VALUE"""),"70007620")</f>
        <v>70007620</v>
      </c>
      <c r="D12162" s="380" t="s">
        <v>767</v>
      </c>
      <c r="E12162" s="380" t="s">
        <v>786</v>
      </c>
      <c r="F12162" s="380" t="s">
        <v>787</v>
      </c>
      <c r="G12162" s="380" t="s">
        <v>1267</v>
      </c>
      <c r="H12162" s="380" t="s">
        <v>771</v>
      </c>
      <c r="I12162" s="380" t="s">
        <v>788</v>
      </c>
      <c r="J12162" s="380" t="s">
        <v>773</v>
      </c>
      <c r="K12162" s="381">
        <v>0.0</v>
      </c>
      <c r="L12162" s="382">
        <v>1.0</v>
      </c>
    </row>
    <row r="12163">
      <c r="A12163" s="380" t="s">
        <v>13037</v>
      </c>
      <c r="B12163" s="380" t="str">
        <f>IFERROR(__xludf.DUMMYFUNCTION("""COMPUTED_VALUE"""),"Kit Amortiguador Del Npr 95622278")</f>
        <v>Kit Amortiguador Del Npr 95622278</v>
      </c>
      <c r="C12163" s="380" t="str">
        <f>IFERROR(__xludf.DUMMYFUNCTION("""COMPUTED_VALUE"""),"70007621")</f>
        <v>70007621</v>
      </c>
      <c r="D12163" s="380" t="s">
        <v>767</v>
      </c>
      <c r="E12163" s="380" t="s">
        <v>786</v>
      </c>
      <c r="F12163" s="380" t="s">
        <v>1039</v>
      </c>
      <c r="G12163" s="380" t="s">
        <v>1267</v>
      </c>
      <c r="H12163" s="380" t="s">
        <v>771</v>
      </c>
      <c r="I12163" s="380" t="s">
        <v>788</v>
      </c>
      <c r="J12163" s="380" t="s">
        <v>773</v>
      </c>
      <c r="K12163" s="381">
        <v>0.0</v>
      </c>
      <c r="L12163" s="382">
        <v>1.0</v>
      </c>
    </row>
    <row r="12164">
      <c r="A12164" s="380" t="s">
        <v>13038</v>
      </c>
      <c r="B12164" s="380" t="str">
        <f>IFERROR(__xludf.DUMMYFUNCTION("""COMPUTED_VALUE"""),"Hoja Resorte Del Npr 22918/3")</f>
        <v>Hoja Resorte Del Npr 22918/3</v>
      </c>
      <c r="C12164" s="380" t="str">
        <f>IFERROR(__xludf.DUMMYFUNCTION("""COMPUTED_VALUE"""),"70007622")</f>
        <v>70007622</v>
      </c>
      <c r="D12164" s="380" t="s">
        <v>767</v>
      </c>
      <c r="E12164" s="380" t="s">
        <v>786</v>
      </c>
      <c r="F12164" s="380" t="s">
        <v>1039</v>
      </c>
      <c r="G12164" s="380" t="s">
        <v>1267</v>
      </c>
      <c r="H12164" s="380" t="s">
        <v>771</v>
      </c>
      <c r="I12164" s="380" t="s">
        <v>788</v>
      </c>
      <c r="J12164" s="380" t="s">
        <v>773</v>
      </c>
      <c r="K12164" s="381">
        <v>0.0</v>
      </c>
      <c r="L12164" s="382">
        <v>1.0</v>
      </c>
    </row>
    <row r="12165">
      <c r="A12165" s="380" t="s">
        <v>13039</v>
      </c>
      <c r="B12165" s="380" t="str">
        <f>IFERROR(__xludf.DUMMYFUNCTION("""COMPUTED_VALUE"""),"Buje Susp Cauch Traser T Del 9004385049")</f>
        <v>Buje Susp Cauch Traser T Del 9004385049</v>
      </c>
      <c r="C12165" s="380" t="str">
        <f>IFERROR(__xludf.DUMMYFUNCTION("""COMPUTED_VALUE"""),"70007623")</f>
        <v>70007623</v>
      </c>
      <c r="D12165" s="380" t="s">
        <v>767</v>
      </c>
      <c r="E12165" s="380" t="s">
        <v>786</v>
      </c>
      <c r="F12165" s="380" t="s">
        <v>1039</v>
      </c>
      <c r="G12165" s="380" t="s">
        <v>1267</v>
      </c>
      <c r="H12165" s="380" t="s">
        <v>771</v>
      </c>
      <c r="I12165" s="380" t="s">
        <v>788</v>
      </c>
      <c r="J12165" s="380" t="s">
        <v>773</v>
      </c>
      <c r="K12165" s="381">
        <v>25000.0</v>
      </c>
      <c r="L12165" s="382">
        <v>1.0</v>
      </c>
    </row>
    <row r="12166">
      <c r="A12166" s="380" t="s">
        <v>13040</v>
      </c>
      <c r="B12166" s="380" t="str">
        <f>IFERROR(__xludf.DUMMYFUNCTION("""COMPUTED_VALUE"""),"Tapizado Puerta Der Nhr 8978526444")</f>
        <v>Tapizado Puerta Der Nhr 8978526444</v>
      </c>
      <c r="C12166" s="380" t="str">
        <f>IFERROR(__xludf.DUMMYFUNCTION("""COMPUTED_VALUE"""),"70007624")</f>
        <v>70007624</v>
      </c>
      <c r="D12166" s="380" t="s">
        <v>767</v>
      </c>
      <c r="E12166" s="380" t="s">
        <v>786</v>
      </c>
      <c r="F12166" s="380" t="s">
        <v>792</v>
      </c>
      <c r="G12166" s="380" t="s">
        <v>1267</v>
      </c>
      <c r="H12166" s="380" t="s">
        <v>771</v>
      </c>
      <c r="I12166" s="380" t="s">
        <v>788</v>
      </c>
      <c r="J12166" s="380" t="s">
        <v>773</v>
      </c>
      <c r="K12166" s="381">
        <v>0.0</v>
      </c>
      <c r="L12166" s="382">
        <v>1.0</v>
      </c>
    </row>
    <row r="12167">
      <c r="A12167" s="380" t="s">
        <v>13041</v>
      </c>
      <c r="B12167" s="380" t="str">
        <f>IFERROR(__xludf.DUMMYFUNCTION("""COMPUTED_VALUE"""),"Balinera Eje Corredizo CJ Nkr 63/3235tm2")</f>
        <v>Balinera Eje Corredizo CJ Nkr 63/3235tm2</v>
      </c>
      <c r="C12167" s="380" t="str">
        <f>IFERROR(__xludf.DUMMYFUNCTION("""COMPUTED_VALUE"""),"70007625")</f>
        <v>70007625</v>
      </c>
      <c r="D12167" s="380" t="s">
        <v>767</v>
      </c>
      <c r="E12167" s="380" t="s">
        <v>786</v>
      </c>
      <c r="F12167" s="380" t="s">
        <v>928</v>
      </c>
      <c r="G12167" s="380" t="s">
        <v>1267</v>
      </c>
      <c r="H12167" s="380" t="s">
        <v>771</v>
      </c>
      <c r="I12167" s="380" t="s">
        <v>788</v>
      </c>
      <c r="J12167" s="380" t="s">
        <v>773</v>
      </c>
      <c r="K12167" s="381">
        <v>0.0</v>
      </c>
      <c r="L12167" s="382">
        <v>1.0</v>
      </c>
    </row>
    <row r="12168">
      <c r="A12168" s="380" t="s">
        <v>13042</v>
      </c>
      <c r="B12168" s="380" t="str">
        <f>IFERROR(__xludf.DUMMYFUNCTION("""COMPUTED_VALUE"""),"Disyuntor Luces 4 Patas KWh 4ra0077930")</f>
        <v>Disyuntor Luces 4 Patas KWh 4ra0077930</v>
      </c>
      <c r="C12168" s="380" t="str">
        <f>IFERROR(__xludf.DUMMYFUNCTION("""COMPUTED_VALUE"""),"70007626")</f>
        <v>70007626</v>
      </c>
      <c r="D12168" s="380" t="s">
        <v>767</v>
      </c>
      <c r="E12168" s="380" t="s">
        <v>786</v>
      </c>
      <c r="F12168" s="380" t="s">
        <v>998</v>
      </c>
      <c r="G12168" s="380" t="s">
        <v>1267</v>
      </c>
      <c r="H12168" s="380" t="s">
        <v>771</v>
      </c>
      <c r="I12168" s="380" t="s">
        <v>788</v>
      </c>
      <c r="J12168" s="380" t="s">
        <v>773</v>
      </c>
      <c r="K12168" s="381">
        <v>0.0</v>
      </c>
      <c r="L12168" s="382">
        <v>1.0</v>
      </c>
    </row>
    <row r="12169">
      <c r="A12169" s="380" t="s">
        <v>13043</v>
      </c>
      <c r="B12169" s="380" t="str">
        <f>IFERROR(__xludf.DUMMYFUNCTION("""COMPUTED_VALUE"""),"Bombillo De Un Contacto 67-24 Vol.")</f>
        <v>Bombillo De Un Contacto 67-24 Vol.</v>
      </c>
      <c r="C12169" s="380" t="str">
        <f>IFERROR(__xludf.DUMMYFUNCTION("""COMPUTED_VALUE"""),"70007627")</f>
        <v>70007627</v>
      </c>
      <c r="D12169" s="380" t="s">
        <v>767</v>
      </c>
      <c r="E12169" s="380" t="s">
        <v>786</v>
      </c>
      <c r="F12169" s="380" t="s">
        <v>998</v>
      </c>
      <c r="G12169" s="380" t="s">
        <v>1267</v>
      </c>
      <c r="H12169" s="380" t="s">
        <v>771</v>
      </c>
      <c r="I12169" s="380" t="s">
        <v>788</v>
      </c>
      <c r="J12169" s="380" t="s">
        <v>773</v>
      </c>
      <c r="K12169" s="381">
        <v>0.0</v>
      </c>
      <c r="L12169" s="382">
        <v>1.0</v>
      </c>
    </row>
    <row r="12170">
      <c r="A12170" s="380" t="s">
        <v>13044</v>
      </c>
      <c r="B12170" s="380" t="str">
        <f>IFERROR(__xludf.DUMMYFUNCTION("""COMPUTED_VALUE"""),"Interruptor Rev T Delta 8421087305")</f>
        <v>Interruptor Rev T Delta 8421087305</v>
      </c>
      <c r="C12170" s="380" t="str">
        <f>IFERROR(__xludf.DUMMYFUNCTION("""COMPUTED_VALUE"""),"70007628")</f>
        <v>70007628</v>
      </c>
      <c r="D12170" s="380" t="s">
        <v>767</v>
      </c>
      <c r="E12170" s="380" t="s">
        <v>786</v>
      </c>
      <c r="F12170" s="380" t="s">
        <v>998</v>
      </c>
      <c r="G12170" s="380" t="s">
        <v>1267</v>
      </c>
      <c r="H12170" s="380" t="s">
        <v>771</v>
      </c>
      <c r="I12170" s="380" t="s">
        <v>788</v>
      </c>
      <c r="J12170" s="380" t="s">
        <v>773</v>
      </c>
      <c r="K12170" s="381">
        <v>0.0</v>
      </c>
      <c r="L12170" s="382">
        <v>1.0</v>
      </c>
    </row>
    <row r="12171">
      <c r="A12171" s="380" t="s">
        <v>13045</v>
      </c>
      <c r="B12171" s="380" t="str">
        <f>IFERROR(__xludf.DUMMYFUNCTION("""COMPUTED_VALUE"""),"Empaquetadura Caja Direc KWh Tas850005")</f>
        <v>Empaquetadura Caja Direc KWh Tas850005</v>
      </c>
      <c r="C12171" s="380" t="str">
        <f>IFERROR(__xludf.DUMMYFUNCTION("""COMPUTED_VALUE"""),"70007629")</f>
        <v>70007629</v>
      </c>
      <c r="D12171" s="380" t="s">
        <v>767</v>
      </c>
      <c r="E12171" s="380" t="s">
        <v>786</v>
      </c>
      <c r="F12171" s="380" t="s">
        <v>928</v>
      </c>
      <c r="G12171" s="380" t="s">
        <v>1267</v>
      </c>
      <c r="H12171" s="380" t="s">
        <v>771</v>
      </c>
      <c r="I12171" s="380" t="s">
        <v>788</v>
      </c>
      <c r="J12171" s="380" t="s">
        <v>773</v>
      </c>
      <c r="K12171" s="381">
        <v>0.0</v>
      </c>
      <c r="L12171" s="382">
        <v>1.0</v>
      </c>
    </row>
    <row r="12172">
      <c r="A12172" s="380" t="s">
        <v>13046</v>
      </c>
      <c r="B12172" s="380" t="str">
        <f>IFERROR(__xludf.DUMMYFUNCTION("""COMPUTED_VALUE"""),"Tuerca Ajuste Eje CIL Npr 9096440050")</f>
        <v>Tuerca Ajuste Eje CIL Npr 9096440050</v>
      </c>
      <c r="C12172" s="380" t="str">
        <f>IFERROR(__xludf.DUMMYFUNCTION("""COMPUTED_VALUE"""),"70007630")</f>
        <v>70007630</v>
      </c>
      <c r="D12172" s="380" t="s">
        <v>767</v>
      </c>
      <c r="E12172" s="380" t="s">
        <v>786</v>
      </c>
      <c r="F12172" s="380" t="s">
        <v>5661</v>
      </c>
      <c r="G12172" s="380" t="s">
        <v>1267</v>
      </c>
      <c r="H12172" s="380" t="s">
        <v>771</v>
      </c>
      <c r="I12172" s="380" t="s">
        <v>788</v>
      </c>
      <c r="J12172" s="380" t="s">
        <v>773</v>
      </c>
      <c r="K12172" s="381">
        <v>0.0</v>
      </c>
      <c r="L12172" s="382">
        <v>1.0</v>
      </c>
    </row>
    <row r="12173">
      <c r="A12173" s="380" t="s">
        <v>13047</v>
      </c>
      <c r="B12173" s="380" t="str">
        <f>IFERROR(__xludf.DUMMYFUNCTION("""COMPUTED_VALUE"""),"Tuerca Ajuste Embrague Npr 911115080")</f>
        <v>Tuerca Ajuste Embrague Npr 911115080</v>
      </c>
      <c r="C12173" s="380" t="str">
        <f>IFERROR(__xludf.DUMMYFUNCTION("""COMPUTED_VALUE"""),"70007631")</f>
        <v>70007631</v>
      </c>
      <c r="D12173" s="380" t="s">
        <v>767</v>
      </c>
      <c r="E12173" s="380" t="s">
        <v>786</v>
      </c>
      <c r="F12173" s="380" t="s">
        <v>5661</v>
      </c>
      <c r="G12173" s="380" t="s">
        <v>1267</v>
      </c>
      <c r="H12173" s="380" t="s">
        <v>771</v>
      </c>
      <c r="I12173" s="380" t="s">
        <v>788</v>
      </c>
      <c r="J12173" s="380" t="s">
        <v>773</v>
      </c>
      <c r="K12173" s="381">
        <v>0.0</v>
      </c>
      <c r="L12173" s="382">
        <v>1.0</v>
      </c>
    </row>
    <row r="12174">
      <c r="A12174" s="380" t="s">
        <v>13048</v>
      </c>
      <c r="B12174" s="380" t="str">
        <f>IFERROR(__xludf.DUMMYFUNCTION("""COMPUTED_VALUE"""),"Tubo Lubricacion Turbo Npr 8972320150")</f>
        <v>Tubo Lubricacion Turbo Npr 8972320150</v>
      </c>
      <c r="C12174" s="380" t="str">
        <f>IFERROR(__xludf.DUMMYFUNCTION("""COMPUTED_VALUE"""),"70007632")</f>
        <v>70007632</v>
      </c>
      <c r="D12174" s="380" t="s">
        <v>767</v>
      </c>
      <c r="E12174" s="380" t="s">
        <v>786</v>
      </c>
      <c r="F12174" s="380" t="s">
        <v>787</v>
      </c>
      <c r="G12174" s="380" t="s">
        <v>1267</v>
      </c>
      <c r="H12174" s="380" t="s">
        <v>771</v>
      </c>
      <c r="I12174" s="380" t="s">
        <v>788</v>
      </c>
      <c r="J12174" s="380" t="s">
        <v>773</v>
      </c>
      <c r="K12174" s="381">
        <v>0.0</v>
      </c>
      <c r="L12174" s="382">
        <v>1.0</v>
      </c>
    </row>
    <row r="12175">
      <c r="A12175" s="380" t="s">
        <v>13049</v>
      </c>
      <c r="B12175" s="380" t="str">
        <f>IFERROR(__xludf.DUMMYFUNCTION("""COMPUTED_VALUE"""),"Buje Leva Freno 1 5/8 Esferico TRL 2286")</f>
        <v>Buje Leva Freno 1 5/8 Esferico TRL 2286</v>
      </c>
      <c r="C12175" s="380" t="str">
        <f>IFERROR(__xludf.DUMMYFUNCTION("""COMPUTED_VALUE"""),"70007633")</f>
        <v>70007633</v>
      </c>
      <c r="D12175" s="380" t="s">
        <v>767</v>
      </c>
      <c r="E12175" s="380" t="s">
        <v>786</v>
      </c>
      <c r="F12175" s="380" t="s">
        <v>1017</v>
      </c>
      <c r="G12175" s="380" t="s">
        <v>1267</v>
      </c>
      <c r="H12175" s="380" t="s">
        <v>771</v>
      </c>
      <c r="I12175" s="380" t="s">
        <v>788</v>
      </c>
      <c r="J12175" s="380" t="s">
        <v>773</v>
      </c>
      <c r="K12175" s="381">
        <v>0.0</v>
      </c>
      <c r="L12175" s="382">
        <v>1.0</v>
      </c>
    </row>
    <row r="12176">
      <c r="A12176" s="380" t="s">
        <v>13050</v>
      </c>
      <c r="B12176" s="380" t="str">
        <f>IFERROR(__xludf.DUMMYFUNCTION("""COMPUTED_VALUE"""),"EMP Tapa VALVs HY H100 Porter")</f>
        <v>EMP Tapa VALVs HY H100 Porter</v>
      </c>
      <c r="C12176" s="380" t="str">
        <f>IFERROR(__xludf.DUMMYFUNCTION("""COMPUTED_VALUE"""),"70007634")</f>
        <v>70007634</v>
      </c>
      <c r="D12176" s="380" t="s">
        <v>767</v>
      </c>
      <c r="E12176" s="380" t="s">
        <v>786</v>
      </c>
      <c r="F12176" s="380" t="s">
        <v>787</v>
      </c>
      <c r="G12176" s="380" t="s">
        <v>1267</v>
      </c>
      <c r="H12176" s="380" t="s">
        <v>771</v>
      </c>
      <c r="I12176" s="380" t="s">
        <v>788</v>
      </c>
      <c r="J12176" s="380" t="s">
        <v>773</v>
      </c>
      <c r="K12176" s="381">
        <v>0.0</v>
      </c>
      <c r="L12176" s="382">
        <v>1.0</v>
      </c>
    </row>
    <row r="12177">
      <c r="A12177" s="380" t="s">
        <v>13051</v>
      </c>
      <c r="B12177" s="380" t="str">
        <f>IFERROR(__xludf.DUMMYFUNCTION("""COMPUTED_VALUE"""),"Booster Freno Nuevo Npr 8970369290")</f>
        <v>Booster Freno Nuevo Npr 8970369290</v>
      </c>
      <c r="C12177" s="380" t="str">
        <f>IFERROR(__xludf.DUMMYFUNCTION("""COMPUTED_VALUE"""),"70007635")</f>
        <v>70007635</v>
      </c>
      <c r="D12177" s="380" t="s">
        <v>767</v>
      </c>
      <c r="E12177" s="380" t="s">
        <v>786</v>
      </c>
      <c r="F12177" s="380" t="s">
        <v>1017</v>
      </c>
      <c r="G12177" s="380" t="s">
        <v>1267</v>
      </c>
      <c r="H12177" s="380" t="s">
        <v>771</v>
      </c>
      <c r="I12177" s="380" t="s">
        <v>788</v>
      </c>
      <c r="J12177" s="380" t="s">
        <v>773</v>
      </c>
      <c r="K12177" s="381">
        <v>0.0</v>
      </c>
      <c r="L12177" s="382">
        <v>1.0</v>
      </c>
    </row>
    <row r="12178">
      <c r="A12178" s="380" t="s">
        <v>13052</v>
      </c>
      <c r="B12178" s="380" t="str">
        <f>IFERROR(__xludf.DUMMYFUNCTION("""COMPUTED_VALUE"""),"Resorte Banda Freno Tras Npr Fabri")</f>
        <v>Resorte Banda Freno Tras Npr Fabri</v>
      </c>
      <c r="C12178" s="380" t="str">
        <f>IFERROR(__xludf.DUMMYFUNCTION("""COMPUTED_VALUE"""),"70007636")</f>
        <v>70007636</v>
      </c>
      <c r="D12178" s="380" t="s">
        <v>767</v>
      </c>
      <c r="E12178" s="380" t="s">
        <v>786</v>
      </c>
      <c r="F12178" s="380" t="s">
        <v>1017</v>
      </c>
      <c r="G12178" s="380" t="s">
        <v>1267</v>
      </c>
      <c r="H12178" s="380" t="s">
        <v>771</v>
      </c>
      <c r="I12178" s="380" t="s">
        <v>788</v>
      </c>
      <c r="J12178" s="380" t="s">
        <v>773</v>
      </c>
      <c r="K12178" s="381">
        <v>0.0</v>
      </c>
      <c r="L12178" s="382">
        <v>1.0</v>
      </c>
    </row>
    <row r="12179">
      <c r="A12179" s="380" t="s">
        <v>13053</v>
      </c>
      <c r="B12179" s="380" t="str">
        <f>IFERROR(__xludf.DUMMYFUNCTION("""COMPUTED_VALUE"""),"Buje Muelle Del Eagle S5601")</f>
        <v>Buje Muelle Del Eagle S5601</v>
      </c>
      <c r="C12179" s="380" t="str">
        <f>IFERROR(__xludf.DUMMYFUNCTION("""COMPUTED_VALUE"""),"70007637")</f>
        <v>70007637</v>
      </c>
      <c r="D12179" s="380" t="s">
        <v>767</v>
      </c>
      <c r="E12179" s="380" t="s">
        <v>786</v>
      </c>
      <c r="F12179" s="380" t="s">
        <v>1039</v>
      </c>
      <c r="G12179" s="380" t="s">
        <v>1267</v>
      </c>
      <c r="H12179" s="380" t="s">
        <v>771</v>
      </c>
      <c r="I12179" s="380" t="s">
        <v>788</v>
      </c>
      <c r="J12179" s="380" t="s">
        <v>773</v>
      </c>
      <c r="K12179" s="381">
        <v>0.0</v>
      </c>
      <c r="L12179" s="382">
        <v>1.0</v>
      </c>
    </row>
    <row r="12180">
      <c r="A12180" s="380" t="s">
        <v>13054</v>
      </c>
      <c r="B12180" s="380" t="str">
        <f>IFERROR(__xludf.DUMMYFUNCTION("""COMPUTED_VALUE"""),"Buje Balancin Muelle Tras Npr 8971846991")</f>
        <v>Buje Balancin Muelle Tras Npr 8971846991</v>
      </c>
      <c r="C12180" s="380" t="str">
        <f>IFERROR(__xludf.DUMMYFUNCTION("""COMPUTED_VALUE"""),"70007638")</f>
        <v>70007638</v>
      </c>
      <c r="D12180" s="380" t="s">
        <v>767</v>
      </c>
      <c r="E12180" s="380" t="s">
        <v>786</v>
      </c>
      <c r="F12180" s="380" t="s">
        <v>1039</v>
      </c>
      <c r="G12180" s="380" t="s">
        <v>1267</v>
      </c>
      <c r="H12180" s="380" t="s">
        <v>771</v>
      </c>
      <c r="I12180" s="380" t="s">
        <v>788</v>
      </c>
      <c r="J12180" s="380" t="s">
        <v>773</v>
      </c>
      <c r="K12180" s="381">
        <v>48047.0</v>
      </c>
      <c r="L12180" s="382">
        <v>1.0</v>
      </c>
    </row>
    <row r="12181">
      <c r="A12181" s="380" t="s">
        <v>13055</v>
      </c>
      <c r="B12181" s="380" t="str">
        <f>IFERROR(__xludf.DUMMYFUNCTION("""COMPUTED_VALUE"""),"Empaque Bomba Agua Kemwort Isx 3684338")</f>
        <v>Empaque Bomba Agua Kemwort Isx 3684338</v>
      </c>
      <c r="C12181" s="380" t="str">
        <f>IFERROR(__xludf.DUMMYFUNCTION("""COMPUTED_VALUE"""),"70007639")</f>
        <v>70007639</v>
      </c>
      <c r="D12181" s="380" t="s">
        <v>767</v>
      </c>
      <c r="E12181" s="380" t="s">
        <v>786</v>
      </c>
      <c r="F12181" s="380" t="s">
        <v>787</v>
      </c>
      <c r="G12181" s="380" t="s">
        <v>1267</v>
      </c>
      <c r="H12181" s="380" t="s">
        <v>771</v>
      </c>
      <c r="I12181" s="380" t="s">
        <v>788</v>
      </c>
      <c r="J12181" s="380" t="s">
        <v>773</v>
      </c>
      <c r="K12181" s="381">
        <v>0.0</v>
      </c>
      <c r="L12181" s="382">
        <v>1.0</v>
      </c>
    </row>
    <row r="12182">
      <c r="A12182" s="380" t="s">
        <v>13056</v>
      </c>
      <c r="B12182" s="380" t="str">
        <f>IFERROR(__xludf.DUMMYFUNCTION("""COMPUTED_VALUE"""),"Stop Tras Sobreponer Nk Nhr 4-161")</f>
        <v>Stop Tras Sobreponer Nk Nhr 4-161</v>
      </c>
      <c r="C12182" s="380" t="str">
        <f>IFERROR(__xludf.DUMMYFUNCTION("""COMPUTED_VALUE"""),"70007640")</f>
        <v>70007640</v>
      </c>
      <c r="D12182" s="380" t="s">
        <v>767</v>
      </c>
      <c r="E12182" s="380" t="s">
        <v>786</v>
      </c>
      <c r="F12182" s="380" t="s">
        <v>998</v>
      </c>
      <c r="G12182" s="380" t="s">
        <v>1267</v>
      </c>
      <c r="H12182" s="380" t="s">
        <v>771</v>
      </c>
      <c r="I12182" s="380" t="s">
        <v>788</v>
      </c>
      <c r="J12182" s="380" t="s">
        <v>773</v>
      </c>
      <c r="K12182" s="381">
        <v>0.0</v>
      </c>
      <c r="L12182" s="382">
        <v>1.0</v>
      </c>
    </row>
    <row r="12183">
      <c r="A12183" s="380" t="s">
        <v>13057</v>
      </c>
      <c r="B12183" s="380" t="str">
        <f>IFERROR(__xludf.DUMMYFUNCTION("""COMPUTED_VALUE"""),"EMP Carcaza Enfriador Aceite K 4955592cl")</f>
        <v>EMP Carcaza Enfriador Aceite K 4955592cl</v>
      </c>
      <c r="C12183" s="380" t="str">
        <f>IFERROR(__xludf.DUMMYFUNCTION("""COMPUTED_VALUE"""),"70007641")</f>
        <v>70007641</v>
      </c>
      <c r="D12183" s="380" t="s">
        <v>767</v>
      </c>
      <c r="E12183" s="380" t="s">
        <v>786</v>
      </c>
      <c r="F12183" s="380" t="s">
        <v>787</v>
      </c>
      <c r="G12183" s="380" t="s">
        <v>1267</v>
      </c>
      <c r="H12183" s="380" t="s">
        <v>771</v>
      </c>
      <c r="I12183" s="380" t="s">
        <v>788</v>
      </c>
      <c r="J12183" s="380" t="s">
        <v>773</v>
      </c>
      <c r="K12183" s="381">
        <v>0.0</v>
      </c>
      <c r="L12183" s="382">
        <v>1.0</v>
      </c>
    </row>
    <row r="12184">
      <c r="A12184" s="380" t="s">
        <v>13058</v>
      </c>
      <c r="B12184" s="380" t="str">
        <f>IFERROR(__xludf.DUMMYFUNCTION("""COMPUTED_VALUE"""),"DEP Agua Limpiabrisas KW T-800 K114-20")</f>
        <v>DEP Agua Limpiabrisas KW T-800 K114-20</v>
      </c>
      <c r="C12184" s="380" t="str">
        <f>IFERROR(__xludf.DUMMYFUNCTION("""COMPUTED_VALUE"""),"70007642")</f>
        <v>70007642</v>
      </c>
      <c r="D12184" s="380" t="s">
        <v>767</v>
      </c>
      <c r="E12184" s="380" t="s">
        <v>786</v>
      </c>
      <c r="F12184" s="380" t="s">
        <v>792</v>
      </c>
      <c r="G12184" s="380" t="s">
        <v>1267</v>
      </c>
      <c r="H12184" s="380" t="s">
        <v>771</v>
      </c>
      <c r="I12184" s="380" t="s">
        <v>788</v>
      </c>
      <c r="J12184" s="380" t="s">
        <v>773</v>
      </c>
      <c r="K12184" s="381">
        <v>0.0</v>
      </c>
      <c r="L12184" s="382">
        <v>1.0</v>
      </c>
    </row>
    <row r="12185">
      <c r="A12185" s="380" t="s">
        <v>13059</v>
      </c>
      <c r="B12185" s="380" t="str">
        <f>IFERROR(__xludf.DUMMYFUNCTION("""COMPUTED_VALUE"""),"Bomba Agua Nkr 8971050125 8973768510")</f>
        <v>Bomba Agua Nkr 8971050125 8973768510</v>
      </c>
      <c r="C12185" s="380" t="str">
        <f>IFERROR(__xludf.DUMMYFUNCTION("""COMPUTED_VALUE"""),"70007643")</f>
        <v>70007643</v>
      </c>
      <c r="D12185" s="380" t="s">
        <v>767</v>
      </c>
      <c r="E12185" s="380" t="s">
        <v>786</v>
      </c>
      <c r="F12185" s="380" t="s">
        <v>787</v>
      </c>
      <c r="G12185" s="380" t="s">
        <v>1267</v>
      </c>
      <c r="H12185" s="380" t="s">
        <v>771</v>
      </c>
      <c r="I12185" s="380" t="s">
        <v>788</v>
      </c>
      <c r="J12185" s="380" t="s">
        <v>773</v>
      </c>
      <c r="K12185" s="381">
        <v>0.0</v>
      </c>
      <c r="L12185" s="382">
        <v>1.0</v>
      </c>
    </row>
    <row r="12186">
      <c r="A12186" s="380" t="s">
        <v>13060</v>
      </c>
      <c r="B12186" s="380" t="str">
        <f>IFERROR(__xludf.DUMMYFUNCTION("""COMPUTED_VALUE"""),"CIL Freno Del Der Nkr Con Pur 8971793570")</f>
        <v>CIL Freno Del Der Nkr Con Pur 8971793570</v>
      </c>
      <c r="C12186" s="380" t="str">
        <f>IFERROR(__xludf.DUMMYFUNCTION("""COMPUTED_VALUE"""),"70007644")</f>
        <v>70007644</v>
      </c>
      <c r="D12186" s="380" t="s">
        <v>767</v>
      </c>
      <c r="E12186" s="380" t="s">
        <v>786</v>
      </c>
      <c r="F12186" s="380" t="s">
        <v>1017</v>
      </c>
      <c r="G12186" s="380" t="s">
        <v>1267</v>
      </c>
      <c r="H12186" s="380" t="s">
        <v>771</v>
      </c>
      <c r="I12186" s="380" t="s">
        <v>788</v>
      </c>
      <c r="J12186" s="380" t="s">
        <v>773</v>
      </c>
      <c r="K12186" s="381">
        <v>0.0</v>
      </c>
      <c r="L12186" s="382">
        <v>1.0</v>
      </c>
    </row>
    <row r="12187">
      <c r="A12187" s="380" t="s">
        <v>13061</v>
      </c>
      <c r="B12187" s="380" t="str">
        <f>IFERROR(__xludf.DUMMYFUNCTION("""COMPUTED_VALUE"""),"Oring Inyector Motor Npr 8943264390")</f>
        <v>Oring Inyector Motor Npr 8943264390</v>
      </c>
      <c r="C12187" s="380" t="str">
        <f>IFERROR(__xludf.DUMMYFUNCTION("""COMPUTED_VALUE"""),"70007645")</f>
        <v>70007645</v>
      </c>
      <c r="D12187" s="380" t="s">
        <v>767</v>
      </c>
      <c r="E12187" s="380" t="s">
        <v>786</v>
      </c>
      <c r="F12187" s="380" t="s">
        <v>787</v>
      </c>
      <c r="G12187" s="380" t="s">
        <v>1267</v>
      </c>
      <c r="H12187" s="380" t="s">
        <v>771</v>
      </c>
      <c r="I12187" s="380" t="s">
        <v>788</v>
      </c>
      <c r="J12187" s="380" t="s">
        <v>773</v>
      </c>
      <c r="K12187" s="381">
        <v>0.0</v>
      </c>
      <c r="L12187" s="382">
        <v>1.0</v>
      </c>
    </row>
    <row r="12188">
      <c r="A12188" s="380" t="s">
        <v>13062</v>
      </c>
      <c r="B12188" s="380" t="str">
        <f>IFERROR(__xludf.DUMMYFUNCTION("""COMPUTED_VALUE"""),"Esparrago Eje Npr 8973598030")</f>
        <v>Esparrago Eje Npr 8973598030</v>
      </c>
      <c r="C12188" s="380" t="str">
        <f>IFERROR(__xludf.DUMMYFUNCTION("""COMPUTED_VALUE"""),"70007646")</f>
        <v>70007646</v>
      </c>
      <c r="D12188" s="380" t="s">
        <v>767</v>
      </c>
      <c r="E12188" s="380" t="s">
        <v>786</v>
      </c>
      <c r="F12188" s="380" t="s">
        <v>5683</v>
      </c>
      <c r="G12188" s="380" t="s">
        <v>1267</v>
      </c>
      <c r="H12188" s="380" t="s">
        <v>771</v>
      </c>
      <c r="I12188" s="380" t="s">
        <v>788</v>
      </c>
      <c r="J12188" s="380" t="s">
        <v>773</v>
      </c>
      <c r="K12188" s="381">
        <v>0.0</v>
      </c>
      <c r="L12188" s="382">
        <v>1.0</v>
      </c>
    </row>
    <row r="12189">
      <c r="A12189" s="380" t="s">
        <v>13063</v>
      </c>
      <c r="B12189" s="380" t="str">
        <f>IFERROR(__xludf.DUMMYFUNCTION("""COMPUTED_VALUE"""),"Oring Bomba Aceite Volswagen Tae115107")</f>
        <v>Oring Bomba Aceite Volswagen Tae115107</v>
      </c>
      <c r="C12189" s="380" t="str">
        <f>IFERROR(__xludf.DUMMYFUNCTION("""COMPUTED_VALUE"""),"70007647")</f>
        <v>70007647</v>
      </c>
      <c r="D12189" s="380" t="s">
        <v>767</v>
      </c>
      <c r="E12189" s="380" t="s">
        <v>786</v>
      </c>
      <c r="F12189" s="380" t="s">
        <v>787</v>
      </c>
      <c r="G12189" s="380" t="s">
        <v>1267</v>
      </c>
      <c r="H12189" s="380" t="s">
        <v>771</v>
      </c>
      <c r="I12189" s="380" t="s">
        <v>788</v>
      </c>
      <c r="J12189" s="380" t="s">
        <v>773</v>
      </c>
      <c r="K12189" s="381">
        <v>0.0</v>
      </c>
      <c r="L12189" s="382">
        <v>1.0</v>
      </c>
    </row>
    <row r="12190">
      <c r="A12190" s="380" t="s">
        <v>13064</v>
      </c>
      <c r="B12190" s="380" t="str">
        <f>IFERROR(__xludf.DUMMYFUNCTION("""COMPUTED_VALUE"""),"Kit Reparacion Fanclutch- 940 1033093390")</f>
        <v>Kit Reparacion Fanclutch- 940 1033093390</v>
      </c>
      <c r="C12190" s="380" t="str">
        <f>IFERROR(__xludf.DUMMYFUNCTION("""COMPUTED_VALUE"""),"70007648")</f>
        <v>70007648</v>
      </c>
      <c r="D12190" s="380" t="s">
        <v>767</v>
      </c>
      <c r="E12190" s="380" t="s">
        <v>786</v>
      </c>
      <c r="F12190" s="380" t="s">
        <v>787</v>
      </c>
      <c r="G12190" s="380" t="s">
        <v>1267</v>
      </c>
      <c r="H12190" s="380" t="s">
        <v>771</v>
      </c>
      <c r="I12190" s="380" t="s">
        <v>788</v>
      </c>
      <c r="J12190" s="380" t="s">
        <v>773</v>
      </c>
      <c r="K12190" s="381">
        <v>0.0</v>
      </c>
      <c r="L12190" s="382">
        <v>1.0</v>
      </c>
    </row>
    <row r="12191">
      <c r="A12191" s="380" t="s">
        <v>13065</v>
      </c>
      <c r="B12191" s="380" t="str">
        <f>IFERROR(__xludf.DUMMYFUNCTION("""COMPUTED_VALUE"""),"Campana Freno Nissan Urvan")</f>
        <v>Campana Freno Nissan Urvan</v>
      </c>
      <c r="C12191" s="380" t="str">
        <f>IFERROR(__xludf.DUMMYFUNCTION("""COMPUTED_VALUE"""),"70007649")</f>
        <v>70007649</v>
      </c>
      <c r="D12191" s="380" t="s">
        <v>767</v>
      </c>
      <c r="E12191" s="380" t="s">
        <v>786</v>
      </c>
      <c r="F12191" s="380" t="s">
        <v>1017</v>
      </c>
      <c r="G12191" s="380" t="s">
        <v>1267</v>
      </c>
      <c r="H12191" s="380" t="s">
        <v>771</v>
      </c>
      <c r="I12191" s="380" t="s">
        <v>788</v>
      </c>
      <c r="J12191" s="380" t="s">
        <v>773</v>
      </c>
      <c r="K12191" s="381">
        <v>0.0</v>
      </c>
      <c r="L12191" s="382">
        <v>1.0</v>
      </c>
    </row>
    <row r="12192">
      <c r="A12192" s="380" t="s">
        <v>13066</v>
      </c>
      <c r="B12192" s="380" t="str">
        <f>IFERROR(__xludf.DUMMYFUNCTION("""COMPUTED_VALUE"""),"Resorte Plato Piñon Tren Fijo 8941321680")</f>
        <v>Resorte Plato Piñon Tren Fijo 8941321680</v>
      </c>
      <c r="C12192" s="380" t="str">
        <f>IFERROR(__xludf.DUMMYFUNCTION("""COMPUTED_VALUE"""),"70007650")</f>
        <v>70007650</v>
      </c>
      <c r="D12192" s="380" t="s">
        <v>767</v>
      </c>
      <c r="E12192" s="380" t="s">
        <v>786</v>
      </c>
      <c r="F12192" s="380" t="s">
        <v>928</v>
      </c>
      <c r="G12192" s="380" t="s">
        <v>1267</v>
      </c>
      <c r="H12192" s="380" t="s">
        <v>771</v>
      </c>
      <c r="I12192" s="380" t="s">
        <v>788</v>
      </c>
      <c r="J12192" s="380" t="s">
        <v>773</v>
      </c>
      <c r="K12192" s="381">
        <v>0.0</v>
      </c>
      <c r="L12192" s="382">
        <v>1.0</v>
      </c>
    </row>
    <row r="12193">
      <c r="A12193" s="380" t="s">
        <v>13067</v>
      </c>
      <c r="B12193" s="380" t="str">
        <f>IFERROR(__xludf.DUMMYFUNCTION("""COMPUTED_VALUE"""),"Arandela Plato Tren Fijo Nkr 8941287901")</f>
        <v>Arandela Plato Tren Fijo Nkr 8941287901</v>
      </c>
      <c r="C12193" s="380" t="str">
        <f>IFERROR(__xludf.DUMMYFUNCTION("""COMPUTED_VALUE"""),"70007651")</f>
        <v>70007651</v>
      </c>
      <c r="D12193" s="380" t="s">
        <v>767</v>
      </c>
      <c r="E12193" s="380" t="s">
        <v>786</v>
      </c>
      <c r="F12193" s="380" t="s">
        <v>928</v>
      </c>
      <c r="G12193" s="380" t="s">
        <v>1267</v>
      </c>
      <c r="H12193" s="380" t="s">
        <v>771</v>
      </c>
      <c r="I12193" s="380" t="s">
        <v>788</v>
      </c>
      <c r="J12193" s="380" t="s">
        <v>773</v>
      </c>
      <c r="K12193" s="381">
        <v>0.0</v>
      </c>
      <c r="L12193" s="382">
        <v>1.0</v>
      </c>
    </row>
    <row r="12194">
      <c r="A12194" s="380" t="s">
        <v>13068</v>
      </c>
      <c r="B12194" s="380" t="str">
        <f>IFERROR(__xludf.DUMMYFUNCTION("""COMPUTED_VALUE"""),"Pin Pasador Piñon Rev Nkr 8941287940")</f>
        <v>Pin Pasador Piñon Rev Nkr 8941287940</v>
      </c>
      <c r="C12194" s="380" t="str">
        <f>IFERROR(__xludf.DUMMYFUNCTION("""COMPUTED_VALUE"""),"70007652")</f>
        <v>70007652</v>
      </c>
      <c r="D12194" s="380" t="s">
        <v>767</v>
      </c>
      <c r="E12194" s="380" t="s">
        <v>786</v>
      </c>
      <c r="F12194" s="380" t="s">
        <v>928</v>
      </c>
      <c r="G12194" s="380" t="s">
        <v>1267</v>
      </c>
      <c r="H12194" s="380" t="s">
        <v>771</v>
      </c>
      <c r="I12194" s="380" t="s">
        <v>788</v>
      </c>
      <c r="J12194" s="380" t="s">
        <v>773</v>
      </c>
      <c r="K12194" s="381">
        <v>0.0</v>
      </c>
      <c r="L12194" s="382">
        <v>1.0</v>
      </c>
    </row>
    <row r="12195">
      <c r="A12195" s="380" t="s">
        <v>13069</v>
      </c>
      <c r="B12195" s="380" t="str">
        <f>IFERROR(__xludf.DUMMYFUNCTION("""COMPUTED_VALUE"""),"EMP Retorno Turbo FT 7701023510356")</f>
        <v>EMP Retorno Turbo FT 7701023510356</v>
      </c>
      <c r="C12195" s="380" t="str">
        <f>IFERROR(__xludf.DUMMYFUNCTION("""COMPUTED_VALUE"""),"70007653")</f>
        <v>70007653</v>
      </c>
      <c r="D12195" s="380" t="s">
        <v>767</v>
      </c>
      <c r="E12195" s="380" t="s">
        <v>786</v>
      </c>
      <c r="F12195" s="380" t="s">
        <v>787</v>
      </c>
      <c r="G12195" s="380" t="s">
        <v>1267</v>
      </c>
      <c r="H12195" s="380" t="s">
        <v>771</v>
      </c>
      <c r="I12195" s="380" t="s">
        <v>788</v>
      </c>
      <c r="J12195" s="380" t="s">
        <v>773</v>
      </c>
      <c r="K12195" s="381">
        <v>0.0</v>
      </c>
      <c r="L12195" s="382">
        <v>1.0</v>
      </c>
    </row>
    <row r="12196">
      <c r="A12196" s="380" t="s">
        <v>13070</v>
      </c>
      <c r="B12196" s="380" t="str">
        <f>IFERROR(__xludf.DUMMYFUNCTION("""COMPUTED_VALUE"""),"Rache Freno Tras Der Izq EGL R80 R803112")</f>
        <v>Rache Freno Tras Der Izq EGL R80 R803112</v>
      </c>
      <c r="C12196" s="380" t="str">
        <f>IFERROR(__xludf.DUMMYFUNCTION("""COMPUTED_VALUE"""),"70007654")</f>
        <v>70007654</v>
      </c>
      <c r="D12196" s="380" t="s">
        <v>767</v>
      </c>
      <c r="E12196" s="380" t="s">
        <v>786</v>
      </c>
      <c r="F12196" s="380" t="s">
        <v>1017</v>
      </c>
      <c r="G12196" s="380" t="s">
        <v>1267</v>
      </c>
      <c r="H12196" s="380" t="s">
        <v>771</v>
      </c>
      <c r="I12196" s="380" t="s">
        <v>788</v>
      </c>
      <c r="J12196" s="380" t="s">
        <v>773</v>
      </c>
      <c r="K12196" s="381">
        <v>317682.0</v>
      </c>
      <c r="L12196" s="382">
        <v>1.0</v>
      </c>
    </row>
    <row r="12197">
      <c r="A12197" s="380" t="s">
        <v>13071</v>
      </c>
      <c r="B12197" s="380" t="str">
        <f>IFERROR(__xludf.DUMMYFUNCTION("""COMPUTED_VALUE"""),"Radiador Motor KW T800 1a020256")</f>
        <v>Radiador Motor KW T800 1a020256</v>
      </c>
      <c r="C12197" s="380" t="str">
        <f>IFERROR(__xludf.DUMMYFUNCTION("""COMPUTED_VALUE"""),"70007655")</f>
        <v>70007655</v>
      </c>
      <c r="D12197" s="380" t="s">
        <v>767</v>
      </c>
      <c r="E12197" s="380" t="s">
        <v>786</v>
      </c>
      <c r="F12197" s="380" t="s">
        <v>787</v>
      </c>
      <c r="G12197" s="380" t="s">
        <v>1267</v>
      </c>
      <c r="H12197" s="380" t="s">
        <v>771</v>
      </c>
      <c r="I12197" s="380" t="s">
        <v>788</v>
      </c>
      <c r="J12197" s="380" t="s">
        <v>773</v>
      </c>
      <c r="K12197" s="381">
        <v>0.0</v>
      </c>
      <c r="L12197" s="382">
        <v>1.0</v>
      </c>
    </row>
    <row r="12198">
      <c r="A12198" s="380" t="s">
        <v>13072</v>
      </c>
      <c r="B12198" s="380" t="str">
        <f>IFERROR(__xludf.DUMMYFUNCTION("""COMPUTED_VALUE"""),"MANG Turbo Tubo Salidad Nkr 8972179112")</f>
        <v>MANG Turbo Tubo Salidad Nkr 8972179112</v>
      </c>
      <c r="C12198" s="380" t="str">
        <f>IFERROR(__xludf.DUMMYFUNCTION("""COMPUTED_VALUE"""),"70007656")</f>
        <v>70007656</v>
      </c>
      <c r="D12198" s="380" t="s">
        <v>767</v>
      </c>
      <c r="E12198" s="380" t="s">
        <v>786</v>
      </c>
      <c r="F12198" s="380" t="s">
        <v>787</v>
      </c>
      <c r="G12198" s="380" t="s">
        <v>1267</v>
      </c>
      <c r="H12198" s="380" t="s">
        <v>771</v>
      </c>
      <c r="I12198" s="380" t="s">
        <v>788</v>
      </c>
      <c r="J12198" s="380" t="s">
        <v>773</v>
      </c>
      <c r="K12198" s="381">
        <v>0.0</v>
      </c>
      <c r="L12198" s="382">
        <v>1.0</v>
      </c>
    </row>
    <row r="12199">
      <c r="A12199" s="380" t="s">
        <v>13073</v>
      </c>
      <c r="B12199" s="380" t="str">
        <f>IFERROR(__xludf.DUMMYFUNCTION("""COMPUTED_VALUE"""),"Rodillo Interno Eje Toma Nkr 8971616580")</f>
        <v>Rodillo Interno Eje Toma Nkr 8971616580</v>
      </c>
      <c r="C12199" s="380" t="str">
        <f>IFERROR(__xludf.DUMMYFUNCTION("""COMPUTED_VALUE"""),"70007657")</f>
        <v>70007657</v>
      </c>
      <c r="D12199" s="380" t="s">
        <v>767</v>
      </c>
      <c r="E12199" s="380" t="s">
        <v>786</v>
      </c>
      <c r="F12199" s="380" t="s">
        <v>928</v>
      </c>
      <c r="G12199" s="380" t="s">
        <v>1267</v>
      </c>
      <c r="H12199" s="380" t="s">
        <v>771</v>
      </c>
      <c r="I12199" s="380" t="s">
        <v>788</v>
      </c>
      <c r="J12199" s="380" t="s">
        <v>773</v>
      </c>
      <c r="K12199" s="381">
        <v>0.0</v>
      </c>
      <c r="L12199" s="382">
        <v>1.0</v>
      </c>
    </row>
    <row r="12200">
      <c r="A12200" s="380" t="s">
        <v>13074</v>
      </c>
      <c r="B12200" s="380" t="str">
        <f>IFERROR(__xludf.DUMMYFUNCTION("""COMPUTED_VALUE"""),"Piñon 5ta Tren Fijo Nkr 8943167861")</f>
        <v>Piñon 5ta Tren Fijo Nkr 8943167861</v>
      </c>
      <c r="C12200" s="380" t="str">
        <f>IFERROR(__xludf.DUMMYFUNCTION("""COMPUTED_VALUE"""),"70007658")</f>
        <v>70007658</v>
      </c>
      <c r="D12200" s="380" t="s">
        <v>767</v>
      </c>
      <c r="E12200" s="380" t="s">
        <v>786</v>
      </c>
      <c r="F12200" s="380" t="s">
        <v>5683</v>
      </c>
      <c r="G12200" s="380" t="s">
        <v>1267</v>
      </c>
      <c r="H12200" s="380" t="s">
        <v>771</v>
      </c>
      <c r="I12200" s="380" t="s">
        <v>788</v>
      </c>
      <c r="J12200" s="380" t="s">
        <v>773</v>
      </c>
      <c r="K12200" s="381">
        <v>0.0</v>
      </c>
      <c r="L12200" s="382">
        <v>1.0</v>
      </c>
    </row>
    <row r="12201">
      <c r="A12201" s="380" t="s">
        <v>13075</v>
      </c>
      <c r="B12201" s="380" t="str">
        <f>IFERROR(__xludf.DUMMYFUNCTION("""COMPUTED_VALUE"""),"Tubo Desfogue Tapa VALV SB N14 3047134")</f>
        <v>Tubo Desfogue Tapa VALV SB N14 3047134</v>
      </c>
      <c r="C12201" s="380" t="str">
        <f>IFERROR(__xludf.DUMMYFUNCTION("""COMPUTED_VALUE"""),"70007659")</f>
        <v>70007659</v>
      </c>
      <c r="D12201" s="380" t="s">
        <v>767</v>
      </c>
      <c r="E12201" s="380" t="s">
        <v>786</v>
      </c>
      <c r="F12201" s="380" t="s">
        <v>787</v>
      </c>
      <c r="G12201" s="380" t="s">
        <v>1267</v>
      </c>
      <c r="H12201" s="380" t="s">
        <v>771</v>
      </c>
      <c r="I12201" s="380" t="s">
        <v>788</v>
      </c>
      <c r="J12201" s="380" t="s">
        <v>773</v>
      </c>
      <c r="K12201" s="381">
        <v>0.0</v>
      </c>
      <c r="L12201" s="382">
        <v>1.0</v>
      </c>
    </row>
    <row r="12202">
      <c r="A12202" s="380" t="s">
        <v>13076</v>
      </c>
      <c r="B12202" s="380" t="str">
        <f>IFERROR(__xludf.DUMMYFUNCTION("""COMPUTED_VALUE"""),"Tuerca Capuchon RDA Tras Der 8973598090")</f>
        <v>Tuerca Capuchon RDA Tras Der 8973598090</v>
      </c>
      <c r="C12202" s="380" t="str">
        <f>IFERROR(__xludf.DUMMYFUNCTION("""COMPUTED_VALUE"""),"70007660")</f>
        <v>70007660</v>
      </c>
      <c r="D12202" s="380" t="s">
        <v>767</v>
      </c>
      <c r="E12202" s="380" t="s">
        <v>786</v>
      </c>
      <c r="F12202" s="380" t="s">
        <v>1039</v>
      </c>
      <c r="G12202" s="380" t="s">
        <v>1267</v>
      </c>
      <c r="H12202" s="380" t="s">
        <v>771</v>
      </c>
      <c r="I12202" s="380" t="s">
        <v>788</v>
      </c>
      <c r="J12202" s="380" t="s">
        <v>773</v>
      </c>
      <c r="K12202" s="381">
        <v>0.0</v>
      </c>
      <c r="L12202" s="382">
        <v>1.0</v>
      </c>
    </row>
    <row r="12203">
      <c r="A12203" s="380" t="s">
        <v>13077</v>
      </c>
      <c r="B12203" s="380" t="str">
        <f>IFERROR(__xludf.DUMMYFUNCTION("""COMPUTED_VALUE"""),"Tuerca Capuchon RDA Tras Izq 8973598100")</f>
        <v>Tuerca Capuchon RDA Tras Izq 8973598100</v>
      </c>
      <c r="C12203" s="380" t="str">
        <f>IFERROR(__xludf.DUMMYFUNCTION("""COMPUTED_VALUE"""),"70007661")</f>
        <v>70007661</v>
      </c>
      <c r="D12203" s="380" t="s">
        <v>767</v>
      </c>
      <c r="E12203" s="380" t="s">
        <v>786</v>
      </c>
      <c r="F12203" s="380" t="s">
        <v>1039</v>
      </c>
      <c r="G12203" s="380" t="s">
        <v>1267</v>
      </c>
      <c r="H12203" s="380" t="s">
        <v>771</v>
      </c>
      <c r="I12203" s="380" t="s">
        <v>788</v>
      </c>
      <c r="J12203" s="380" t="s">
        <v>773</v>
      </c>
      <c r="K12203" s="381">
        <v>0.0</v>
      </c>
      <c r="L12203" s="382">
        <v>1.0</v>
      </c>
    </row>
    <row r="12204">
      <c r="A12204" s="380" t="s">
        <v>13078</v>
      </c>
      <c r="B12204" s="380" t="str">
        <f>IFERROR(__xludf.DUMMYFUNCTION("""COMPUTED_VALUE"""),"Cruceta Cardan Corto Mixta 15 5515 X 6""")</f>
        <v>Cruceta Cardan Corto Mixta 15 5515 X 6"</v>
      </c>
      <c r="C12204" s="380" t="str">
        <f>IFERROR(__xludf.DUMMYFUNCTION("""COMPUTED_VALUE"""),"70007662")</f>
        <v>70007662</v>
      </c>
      <c r="D12204" s="380" t="s">
        <v>767</v>
      </c>
      <c r="E12204" s="380" t="s">
        <v>786</v>
      </c>
      <c r="F12204" s="380" t="s">
        <v>5683</v>
      </c>
      <c r="G12204" s="380" t="s">
        <v>1267</v>
      </c>
      <c r="H12204" s="380" t="s">
        <v>771</v>
      </c>
      <c r="I12204" s="380" t="s">
        <v>788</v>
      </c>
      <c r="J12204" s="380" t="s">
        <v>773</v>
      </c>
      <c r="K12204" s="381">
        <v>0.0</v>
      </c>
      <c r="L12204" s="382">
        <v>1.0</v>
      </c>
    </row>
    <row r="12205">
      <c r="A12205" s="380" t="s">
        <v>13079</v>
      </c>
      <c r="B12205" s="380" t="str">
        <f>IFERROR(__xludf.DUMMYFUNCTION("""COMPUTED_VALUE"""),"EMPtadura Reparacion Turbo Nkr II 661255")</f>
        <v>EMPtadura Reparacion Turbo Nkr II 661255</v>
      </c>
      <c r="C12205" s="380" t="str">
        <f>IFERROR(__xludf.DUMMYFUNCTION("""COMPUTED_VALUE"""),"70007663")</f>
        <v>70007663</v>
      </c>
      <c r="D12205" s="380" t="s">
        <v>767</v>
      </c>
      <c r="E12205" s="380" t="s">
        <v>786</v>
      </c>
      <c r="F12205" s="380" t="s">
        <v>787</v>
      </c>
      <c r="G12205" s="380" t="s">
        <v>1267</v>
      </c>
      <c r="H12205" s="380" t="s">
        <v>771</v>
      </c>
      <c r="I12205" s="380" t="s">
        <v>788</v>
      </c>
      <c r="J12205" s="380" t="s">
        <v>773</v>
      </c>
      <c r="K12205" s="381">
        <v>0.0</v>
      </c>
      <c r="L12205" s="382">
        <v>1.0</v>
      </c>
    </row>
    <row r="12206">
      <c r="A12206" s="380" t="s">
        <v>13080</v>
      </c>
      <c r="B12206" s="380" t="str">
        <f>IFERROR(__xludf.DUMMYFUNCTION("""COMPUTED_VALUE"""),"Piñon Engranaje 2da CJ T Delt 3303336100")</f>
        <v>Piñon Engranaje 2da CJ T Delt 3303336100</v>
      </c>
      <c r="C12206" s="380" t="str">
        <f>IFERROR(__xludf.DUMMYFUNCTION("""COMPUTED_VALUE"""),"70007664")</f>
        <v>70007664</v>
      </c>
      <c r="D12206" s="380" t="s">
        <v>767</v>
      </c>
      <c r="E12206" s="380" t="s">
        <v>786</v>
      </c>
      <c r="F12206" s="380" t="s">
        <v>928</v>
      </c>
      <c r="G12206" s="380" t="s">
        <v>1267</v>
      </c>
      <c r="H12206" s="380" t="s">
        <v>771</v>
      </c>
      <c r="I12206" s="380" t="s">
        <v>788</v>
      </c>
      <c r="J12206" s="380" t="s">
        <v>773</v>
      </c>
      <c r="K12206" s="381">
        <v>0.0</v>
      </c>
      <c r="L12206" s="382">
        <v>1.0</v>
      </c>
    </row>
    <row r="12207">
      <c r="A12207" s="380" t="s">
        <v>13081</v>
      </c>
      <c r="B12207" s="380" t="str">
        <f>IFERROR(__xludf.DUMMYFUNCTION("""COMPUTED_VALUE"""),"Switch Clutch Eagle 3538410c91")</f>
        <v>Switch Clutch Eagle 3538410c91</v>
      </c>
      <c r="C12207" s="380" t="str">
        <f>IFERROR(__xludf.DUMMYFUNCTION("""COMPUTED_VALUE"""),"70007665")</f>
        <v>70007665</v>
      </c>
      <c r="D12207" s="380" t="s">
        <v>767</v>
      </c>
      <c r="E12207" s="380" t="s">
        <v>786</v>
      </c>
      <c r="F12207" s="380" t="s">
        <v>998</v>
      </c>
      <c r="G12207" s="380" t="s">
        <v>1267</v>
      </c>
      <c r="H12207" s="380" t="s">
        <v>771</v>
      </c>
      <c r="I12207" s="380" t="s">
        <v>788</v>
      </c>
      <c r="J12207" s="380" t="s">
        <v>773</v>
      </c>
      <c r="K12207" s="381">
        <v>0.0</v>
      </c>
      <c r="L12207" s="382">
        <v>1.0</v>
      </c>
    </row>
    <row r="12208">
      <c r="A12208" s="380" t="s">
        <v>13082</v>
      </c>
      <c r="B12208" s="380" t="str">
        <f>IFERROR(__xludf.DUMMYFUNCTION("""COMPUTED_VALUE"""),"Lampara Direcal Der Nkr Rw 8980108890")</f>
        <v>Lampara Direcal Der Nkr Rw 8980108890</v>
      </c>
      <c r="C12208" s="380" t="str">
        <f>IFERROR(__xludf.DUMMYFUNCTION("""COMPUTED_VALUE"""),"70007666")</f>
        <v>70007666</v>
      </c>
      <c r="D12208" s="380" t="s">
        <v>767</v>
      </c>
      <c r="E12208" s="380" t="s">
        <v>786</v>
      </c>
      <c r="F12208" s="380" t="s">
        <v>998</v>
      </c>
      <c r="G12208" s="380" t="s">
        <v>1267</v>
      </c>
      <c r="H12208" s="380" t="s">
        <v>771</v>
      </c>
      <c r="I12208" s="380" t="s">
        <v>788</v>
      </c>
      <c r="J12208" s="380" t="s">
        <v>773</v>
      </c>
      <c r="K12208" s="381">
        <v>240827.0</v>
      </c>
      <c r="L12208" s="382">
        <v>1.0</v>
      </c>
    </row>
    <row r="12209">
      <c r="A12209" s="380" t="s">
        <v>13083</v>
      </c>
      <c r="B12209" s="380" t="str">
        <f>IFERROR(__xludf.DUMMYFUNCTION("""COMPUTED_VALUE"""),"CIL Freno Del Der T/Delta 4752087304")</f>
        <v>CIL Freno Del Der T/Delta 4752087304</v>
      </c>
      <c r="C12209" s="380" t="str">
        <f>IFERROR(__xludf.DUMMYFUNCTION("""COMPUTED_VALUE"""),"70007667")</f>
        <v>70007667</v>
      </c>
      <c r="D12209" s="380" t="s">
        <v>767</v>
      </c>
      <c r="E12209" s="380" t="s">
        <v>786</v>
      </c>
      <c r="F12209" s="380" t="s">
        <v>1017</v>
      </c>
      <c r="G12209" s="380" t="s">
        <v>1267</v>
      </c>
      <c r="H12209" s="380" t="s">
        <v>771</v>
      </c>
      <c r="I12209" s="380" t="s">
        <v>788</v>
      </c>
      <c r="J12209" s="380" t="s">
        <v>773</v>
      </c>
      <c r="K12209" s="381">
        <v>0.0</v>
      </c>
      <c r="L12209" s="382">
        <v>1.0</v>
      </c>
    </row>
    <row r="12210">
      <c r="A12210" s="380" t="s">
        <v>13084</v>
      </c>
      <c r="B12210" s="380" t="str">
        <f>IFERROR(__xludf.DUMMYFUNCTION("""COMPUTED_VALUE"""),"Correa Para Hidrolavadora A-43")</f>
        <v>Correa Para Hidrolavadora A-43</v>
      </c>
      <c r="C12210" s="380" t="str">
        <f>IFERROR(__xludf.DUMMYFUNCTION("""COMPUTED_VALUE"""),"70007668")</f>
        <v>70007668</v>
      </c>
      <c r="D12210" s="380" t="s">
        <v>767</v>
      </c>
      <c r="E12210" s="380" t="s">
        <v>786</v>
      </c>
      <c r="F12210" s="380" t="s">
        <v>989</v>
      </c>
      <c r="G12210" s="380" t="s">
        <v>1267</v>
      </c>
      <c r="H12210" s="380" t="s">
        <v>771</v>
      </c>
      <c r="I12210" s="380" t="s">
        <v>788</v>
      </c>
      <c r="J12210" s="380" t="s">
        <v>773</v>
      </c>
      <c r="K12210" s="381">
        <v>0.0</v>
      </c>
      <c r="L12210" s="382">
        <v>1.0</v>
      </c>
    </row>
    <row r="12211">
      <c r="A12211" s="380" t="s">
        <v>13085</v>
      </c>
      <c r="B12211" s="380" t="str">
        <f>IFERROR(__xludf.DUMMYFUNCTION("""COMPUTED_VALUE"""),"Amortiguador Del Eagle Isx 3581109c4")</f>
        <v>Amortiguador Del Eagle Isx 3581109c4</v>
      </c>
      <c r="C12211" s="380" t="str">
        <f>IFERROR(__xludf.DUMMYFUNCTION("""COMPUTED_VALUE"""),"70007669")</f>
        <v>70007669</v>
      </c>
      <c r="D12211" s="380" t="s">
        <v>767</v>
      </c>
      <c r="E12211" s="380" t="s">
        <v>786</v>
      </c>
      <c r="F12211" s="380" t="s">
        <v>1039</v>
      </c>
      <c r="G12211" s="380" t="s">
        <v>1267</v>
      </c>
      <c r="H12211" s="380" t="s">
        <v>771</v>
      </c>
      <c r="I12211" s="380" t="s">
        <v>788</v>
      </c>
      <c r="J12211" s="380" t="s">
        <v>773</v>
      </c>
      <c r="K12211" s="381">
        <v>0.0</v>
      </c>
      <c r="L12211" s="382">
        <v>1.0</v>
      </c>
    </row>
    <row r="12212">
      <c r="A12212" s="380" t="s">
        <v>13086</v>
      </c>
      <c r="B12212" s="380" t="str">
        <f>IFERROR(__xludf.DUMMYFUNCTION("""COMPUTED_VALUE"""),"Empaque Turbo Motor KWIsx 4026884cl")</f>
        <v>Empaque Turbo Motor KWIsx 4026884cl</v>
      </c>
      <c r="C12212" s="380" t="str">
        <f>IFERROR(__xludf.DUMMYFUNCTION("""COMPUTED_VALUE"""),"70007670")</f>
        <v>70007670</v>
      </c>
      <c r="D12212" s="380" t="s">
        <v>767</v>
      </c>
      <c r="E12212" s="380" t="s">
        <v>786</v>
      </c>
      <c r="F12212" s="380" t="s">
        <v>787</v>
      </c>
      <c r="G12212" s="380" t="s">
        <v>1267</v>
      </c>
      <c r="H12212" s="380" t="s">
        <v>771</v>
      </c>
      <c r="I12212" s="380" t="s">
        <v>788</v>
      </c>
      <c r="J12212" s="380" t="s">
        <v>773</v>
      </c>
      <c r="K12212" s="381">
        <v>0.0</v>
      </c>
      <c r="L12212" s="382">
        <v>1.0</v>
      </c>
    </row>
    <row r="12213">
      <c r="A12213" s="380" t="s">
        <v>13087</v>
      </c>
      <c r="B12213" s="380" t="str">
        <f>IFERROR(__xludf.DUMMYFUNCTION("""COMPUTED_VALUE"""),"Empaque Enfriador Aceite KWIsx 4973532cl")</f>
        <v>Empaque Enfriador Aceite KWIsx 4973532cl</v>
      </c>
      <c r="C12213" s="380" t="str">
        <f>IFERROR(__xludf.DUMMYFUNCTION("""COMPUTED_VALUE"""),"70007671")</f>
        <v>70007671</v>
      </c>
      <c r="D12213" s="380" t="s">
        <v>767</v>
      </c>
      <c r="E12213" s="380" t="s">
        <v>786</v>
      </c>
      <c r="F12213" s="380" t="s">
        <v>787</v>
      </c>
      <c r="G12213" s="380" t="s">
        <v>1267</v>
      </c>
      <c r="H12213" s="380" t="s">
        <v>771</v>
      </c>
      <c r="I12213" s="380" t="s">
        <v>788</v>
      </c>
      <c r="J12213" s="380" t="s">
        <v>773</v>
      </c>
      <c r="K12213" s="381">
        <v>0.0</v>
      </c>
      <c r="L12213" s="382">
        <v>1.0</v>
      </c>
    </row>
    <row r="12214">
      <c r="A12214" s="380" t="s">
        <v>13088</v>
      </c>
      <c r="B12214" s="380" t="str">
        <f>IFERROR(__xludf.DUMMYFUNCTION("""COMPUTED_VALUE"""),"Tuerca Eje Corredizo Nkr 8970877500")</f>
        <v>Tuerca Eje Corredizo Nkr 8970877500</v>
      </c>
      <c r="C12214" s="380" t="str">
        <f>IFERROR(__xludf.DUMMYFUNCTION("""COMPUTED_VALUE"""),"70007672")</f>
        <v>70007672</v>
      </c>
      <c r="D12214" s="380" t="s">
        <v>767</v>
      </c>
      <c r="E12214" s="380" t="s">
        <v>786</v>
      </c>
      <c r="F12214" s="380" t="s">
        <v>928</v>
      </c>
      <c r="G12214" s="380" t="s">
        <v>1267</v>
      </c>
      <c r="H12214" s="380" t="s">
        <v>771</v>
      </c>
      <c r="I12214" s="380" t="s">
        <v>788</v>
      </c>
      <c r="J12214" s="380" t="s">
        <v>773</v>
      </c>
      <c r="K12214" s="381">
        <v>0.0</v>
      </c>
      <c r="L12214" s="382">
        <v>1.0</v>
      </c>
    </row>
    <row r="12215">
      <c r="A12215" s="380" t="s">
        <v>13089</v>
      </c>
      <c r="B12215" s="380" t="str">
        <f>IFERROR(__xludf.DUMMYFUNCTION("""COMPUTED_VALUE"""),"VALV Selectora CJ Vs 14718 EGL A5000")</f>
        <v>VALV Selectora CJ Vs 14718 EGL A5000</v>
      </c>
      <c r="C12215" s="380" t="str">
        <f>IFERROR(__xludf.DUMMYFUNCTION("""COMPUTED_VALUE"""),"70007673")</f>
        <v>70007673</v>
      </c>
      <c r="D12215" s="380" t="s">
        <v>767</v>
      </c>
      <c r="E12215" s="380" t="s">
        <v>786</v>
      </c>
      <c r="F12215" s="380" t="s">
        <v>928</v>
      </c>
      <c r="G12215" s="380" t="s">
        <v>1267</v>
      </c>
      <c r="H12215" s="380" t="s">
        <v>771</v>
      </c>
      <c r="I12215" s="380" t="s">
        <v>788</v>
      </c>
      <c r="J12215" s="380" t="s">
        <v>773</v>
      </c>
      <c r="K12215" s="381">
        <v>0.0</v>
      </c>
      <c r="L12215" s="382">
        <v>1.0</v>
      </c>
    </row>
    <row r="12216">
      <c r="A12216" s="380" t="s">
        <v>13090</v>
      </c>
      <c r="B12216" s="380" t="str">
        <f>IFERROR(__xludf.DUMMYFUNCTION("""COMPUTED_VALUE"""),"Tuerca Boquilla MANG L/Parabr 8978550221")</f>
        <v>Tuerca Boquilla MANG L/Parabr 8978550221</v>
      </c>
      <c r="C12216" s="380" t="str">
        <f>IFERROR(__xludf.DUMMYFUNCTION("""COMPUTED_VALUE"""),"70007674")</f>
        <v>70007674</v>
      </c>
      <c r="D12216" s="380" t="s">
        <v>767</v>
      </c>
      <c r="E12216" s="380" t="s">
        <v>786</v>
      </c>
      <c r="F12216" s="380" t="s">
        <v>792</v>
      </c>
      <c r="G12216" s="380" t="s">
        <v>1267</v>
      </c>
      <c r="H12216" s="380" t="s">
        <v>771</v>
      </c>
      <c r="I12216" s="380" t="s">
        <v>788</v>
      </c>
      <c r="J12216" s="380" t="s">
        <v>773</v>
      </c>
      <c r="K12216" s="381">
        <v>0.0</v>
      </c>
      <c r="L12216" s="382">
        <v>1.0</v>
      </c>
    </row>
    <row r="12217">
      <c r="A12217" s="380" t="s">
        <v>13091</v>
      </c>
      <c r="B12217" s="380" t="str">
        <f>IFERROR(__xludf.DUMMYFUNCTION("""COMPUTED_VALUE"""),"Switch Luz Puerta Eagle Isx 2037331c1")</f>
        <v>Switch Luz Puerta Eagle Isx 2037331c1</v>
      </c>
      <c r="C12217" s="380" t="str">
        <f>IFERROR(__xludf.DUMMYFUNCTION("""COMPUTED_VALUE"""),"70007675")</f>
        <v>70007675</v>
      </c>
      <c r="D12217" s="380" t="s">
        <v>767</v>
      </c>
      <c r="E12217" s="380" t="s">
        <v>786</v>
      </c>
      <c r="F12217" s="380" t="s">
        <v>792</v>
      </c>
      <c r="G12217" s="380" t="s">
        <v>1267</v>
      </c>
      <c r="H12217" s="380" t="s">
        <v>771</v>
      </c>
      <c r="I12217" s="380" t="s">
        <v>788</v>
      </c>
      <c r="J12217" s="380" t="s">
        <v>773</v>
      </c>
      <c r="K12217" s="381">
        <v>0.0</v>
      </c>
      <c r="L12217" s="382">
        <v>1.0</v>
      </c>
    </row>
    <row r="12218">
      <c r="A12218" s="380" t="s">
        <v>13092</v>
      </c>
      <c r="B12218" s="380" t="str">
        <f>IFERROR(__xludf.DUMMYFUNCTION("""COMPUTED_VALUE"""),"Persiana Radiador Nkr 8979957580")</f>
        <v>Persiana Radiador Nkr 8979957580</v>
      </c>
      <c r="C12218" s="380" t="str">
        <f>IFERROR(__xludf.DUMMYFUNCTION("""COMPUTED_VALUE"""),"70007676")</f>
        <v>70007676</v>
      </c>
      <c r="D12218" s="380" t="s">
        <v>767</v>
      </c>
      <c r="E12218" s="380" t="s">
        <v>786</v>
      </c>
      <c r="F12218" s="380" t="s">
        <v>792</v>
      </c>
      <c r="G12218" s="380" t="s">
        <v>1267</v>
      </c>
      <c r="H12218" s="380" t="s">
        <v>771</v>
      </c>
      <c r="I12218" s="380" t="s">
        <v>788</v>
      </c>
      <c r="J12218" s="380" t="s">
        <v>773</v>
      </c>
      <c r="K12218" s="381">
        <v>0.0</v>
      </c>
      <c r="L12218" s="382">
        <v>1.0</v>
      </c>
    </row>
    <row r="12219">
      <c r="A12219" s="380" t="s">
        <v>13093</v>
      </c>
      <c r="B12219" s="380" t="str">
        <f>IFERROR(__xludf.DUMMYFUNCTION("""COMPUTED_VALUE"""),"Sensor Velocidad Nkr 8972565250")</f>
        <v>Sensor Velocidad Nkr 8972565250</v>
      </c>
      <c r="C12219" s="380" t="str">
        <f>IFERROR(__xludf.DUMMYFUNCTION("""COMPUTED_VALUE"""),"70007677")</f>
        <v>70007677</v>
      </c>
      <c r="D12219" s="380" t="s">
        <v>767</v>
      </c>
      <c r="E12219" s="380" t="s">
        <v>786</v>
      </c>
      <c r="F12219" s="380" t="s">
        <v>998</v>
      </c>
      <c r="G12219" s="380" t="s">
        <v>1267</v>
      </c>
      <c r="H12219" s="380" t="s">
        <v>771</v>
      </c>
      <c r="I12219" s="380" t="s">
        <v>788</v>
      </c>
      <c r="J12219" s="380" t="s">
        <v>773</v>
      </c>
      <c r="K12219" s="381">
        <v>0.0</v>
      </c>
      <c r="L12219" s="382">
        <v>1.0</v>
      </c>
    </row>
    <row r="12220">
      <c r="A12220" s="380" t="s">
        <v>13094</v>
      </c>
      <c r="B12220" s="380" t="str">
        <f>IFERROR(__xludf.DUMMYFUNCTION("""COMPUTED_VALUE"""),"SENS Bajo Nivel Refrigerante E 3572012c1")</f>
        <v>SENS Bajo Nivel Refrigerante E 3572012c1</v>
      </c>
      <c r="C12220" s="380" t="str">
        <f>IFERROR(__xludf.DUMMYFUNCTION("""COMPUTED_VALUE"""),"70007678")</f>
        <v>70007678</v>
      </c>
      <c r="D12220" s="380" t="s">
        <v>767</v>
      </c>
      <c r="E12220" s="380" t="s">
        <v>786</v>
      </c>
      <c r="F12220" s="380" t="s">
        <v>998</v>
      </c>
      <c r="G12220" s="380" t="s">
        <v>1267</v>
      </c>
      <c r="H12220" s="380" t="s">
        <v>771</v>
      </c>
      <c r="I12220" s="380" t="s">
        <v>788</v>
      </c>
      <c r="J12220" s="380" t="s">
        <v>773</v>
      </c>
      <c r="K12220" s="381">
        <v>0.0</v>
      </c>
      <c r="L12220" s="382">
        <v>1.0</v>
      </c>
    </row>
    <row r="12221">
      <c r="A12221" s="380" t="s">
        <v>13095</v>
      </c>
      <c r="B12221" s="380" t="str">
        <f>IFERROR(__xludf.DUMMYFUNCTION("""COMPUTED_VALUE"""),"VALV AIR Suspencion Tr Inca Cou006001")</f>
        <v>VALV AIR Suspencion Tr Inca Cou006001</v>
      </c>
      <c r="C12221" s="380" t="str">
        <f>IFERROR(__xludf.DUMMYFUNCTION("""COMPUTED_VALUE"""),"70007679")</f>
        <v>70007679</v>
      </c>
      <c r="D12221" s="380" t="s">
        <v>767</v>
      </c>
      <c r="E12221" s="380" t="s">
        <v>786</v>
      </c>
      <c r="F12221" s="380" t="s">
        <v>1039</v>
      </c>
      <c r="G12221" s="380" t="s">
        <v>1267</v>
      </c>
      <c r="H12221" s="380" t="s">
        <v>771</v>
      </c>
      <c r="I12221" s="380" t="s">
        <v>788</v>
      </c>
      <c r="J12221" s="380" t="s">
        <v>773</v>
      </c>
      <c r="K12221" s="381">
        <v>0.0</v>
      </c>
      <c r="L12221" s="382">
        <v>1.0</v>
      </c>
    </row>
    <row r="12222">
      <c r="A12222" s="380" t="s">
        <v>13096</v>
      </c>
      <c r="B12222" s="380" t="str">
        <f>IFERROR(__xludf.DUMMYFUNCTION("""COMPUTED_VALUE"""),"Racor Reduccion 1/4 X 3/8")</f>
        <v>Racor Reduccion 1/4 X 3/8</v>
      </c>
      <c r="C12222" s="380" t="str">
        <f>IFERROR(__xludf.DUMMYFUNCTION("""COMPUTED_VALUE"""),"70007680")</f>
        <v>70007680</v>
      </c>
      <c r="D12222" s="380" t="s">
        <v>767</v>
      </c>
      <c r="E12222" s="380" t="s">
        <v>786</v>
      </c>
      <c r="F12222" s="380" t="s">
        <v>989</v>
      </c>
      <c r="G12222" s="380" t="s">
        <v>1267</v>
      </c>
      <c r="H12222" s="380" t="s">
        <v>771</v>
      </c>
      <c r="I12222" s="380" t="s">
        <v>788</v>
      </c>
      <c r="J12222" s="380" t="s">
        <v>773</v>
      </c>
      <c r="K12222" s="381">
        <v>0.0</v>
      </c>
      <c r="L12222" s="382">
        <v>1.0</v>
      </c>
    </row>
    <row r="12223">
      <c r="A12223" s="380" t="s">
        <v>13097</v>
      </c>
      <c r="B12223" s="380" t="str">
        <f>IFERROR(__xludf.DUMMYFUNCTION("""COMPUTED_VALUE"""),"Racor Recto 507 1/4 X 3/8")</f>
        <v>Racor Recto 507 1/4 X 3/8</v>
      </c>
      <c r="C12223" s="380" t="str">
        <f>IFERROR(__xludf.DUMMYFUNCTION("""COMPUTED_VALUE"""),"70007681")</f>
        <v>70007681</v>
      </c>
      <c r="D12223" s="380" t="s">
        <v>767</v>
      </c>
      <c r="E12223" s="380" t="s">
        <v>786</v>
      </c>
      <c r="F12223" s="380" t="s">
        <v>989</v>
      </c>
      <c r="G12223" s="380" t="s">
        <v>1267</v>
      </c>
      <c r="H12223" s="380" t="s">
        <v>771</v>
      </c>
      <c r="I12223" s="380" t="s">
        <v>788</v>
      </c>
      <c r="J12223" s="380" t="s">
        <v>773</v>
      </c>
      <c r="K12223" s="381">
        <v>0.0</v>
      </c>
      <c r="L12223" s="382">
        <v>1.0</v>
      </c>
    </row>
    <row r="12224">
      <c r="A12224" s="380" t="s">
        <v>13098</v>
      </c>
      <c r="B12224" s="380" t="str">
        <f>IFERROR(__xludf.DUMMYFUNCTION("""COMPUTED_VALUE"""),"Cilindro Freno Tras Izq Nkr 8971398420")</f>
        <v>Cilindro Freno Tras Izq Nkr 8971398420</v>
      </c>
      <c r="C12224" s="380" t="str">
        <f>IFERROR(__xludf.DUMMYFUNCTION("""COMPUTED_VALUE"""),"70007682")</f>
        <v>70007682</v>
      </c>
      <c r="D12224" s="380" t="s">
        <v>767</v>
      </c>
      <c r="E12224" s="380" t="s">
        <v>786</v>
      </c>
      <c r="F12224" s="380" t="s">
        <v>1017</v>
      </c>
      <c r="G12224" s="380" t="s">
        <v>1267</v>
      </c>
      <c r="H12224" s="380" t="s">
        <v>771</v>
      </c>
      <c r="I12224" s="380" t="s">
        <v>788</v>
      </c>
      <c r="J12224" s="380" t="s">
        <v>773</v>
      </c>
      <c r="K12224" s="381">
        <v>0.0</v>
      </c>
      <c r="L12224" s="382">
        <v>1.0</v>
      </c>
    </row>
    <row r="12225">
      <c r="A12225" s="380" t="s">
        <v>13099</v>
      </c>
      <c r="B12225" s="380" t="str">
        <f>IFERROR(__xludf.DUMMYFUNCTION("""COMPUTED_VALUE"""),"Manija Elevavidr Pta Der Delta")</f>
        <v>Manija Elevavidr Pta Der Delta</v>
      </c>
      <c r="C12225" s="380" t="str">
        <f>IFERROR(__xludf.DUMMYFUNCTION("""COMPUTED_VALUE"""),"70007683")</f>
        <v>70007683</v>
      </c>
      <c r="D12225" s="380" t="s">
        <v>767</v>
      </c>
      <c r="E12225" s="380" t="s">
        <v>786</v>
      </c>
      <c r="F12225" s="380" t="s">
        <v>792</v>
      </c>
      <c r="G12225" s="380" t="s">
        <v>1267</v>
      </c>
      <c r="H12225" s="380" t="s">
        <v>771</v>
      </c>
      <c r="I12225" s="380" t="s">
        <v>788</v>
      </c>
      <c r="J12225" s="380" t="s">
        <v>773</v>
      </c>
      <c r="K12225" s="381">
        <v>0.0</v>
      </c>
      <c r="L12225" s="382">
        <v>1.0</v>
      </c>
    </row>
    <row r="12226">
      <c r="A12226" s="380" t="s">
        <v>13100</v>
      </c>
      <c r="B12226" s="380" t="str">
        <f>IFERROR(__xludf.DUMMYFUNCTION("""COMPUTED_VALUE"""),"Kit Reparacion Culata Compresor 4089238")</f>
        <v>Kit Reparacion Culata Compresor 4089238</v>
      </c>
      <c r="C12226" s="380" t="str">
        <f>IFERROR(__xludf.DUMMYFUNCTION("""COMPUTED_VALUE"""),"70007684")</f>
        <v>70007684</v>
      </c>
      <c r="D12226" s="380" t="s">
        <v>767</v>
      </c>
      <c r="E12226" s="380" t="s">
        <v>786</v>
      </c>
      <c r="F12226" s="380" t="s">
        <v>787</v>
      </c>
      <c r="G12226" s="380" t="s">
        <v>1267</v>
      </c>
      <c r="H12226" s="380" t="s">
        <v>771</v>
      </c>
      <c r="I12226" s="380" t="s">
        <v>788</v>
      </c>
      <c r="J12226" s="380" t="s">
        <v>773</v>
      </c>
      <c r="K12226" s="381">
        <v>0.0</v>
      </c>
      <c r="L12226" s="382">
        <v>1.0</v>
      </c>
    </row>
    <row r="12227">
      <c r="A12227" s="380" t="s">
        <v>13101</v>
      </c>
      <c r="B12227" s="380" t="str">
        <f>IFERROR(__xludf.DUMMYFUNCTION("""COMPUTED_VALUE"""),"Micro Switch Pedal Embrague SB N14 12246")</f>
        <v>Micro Switch Pedal Embrague SB N14 12246</v>
      </c>
      <c r="C12227" s="380" t="str">
        <f>IFERROR(__xludf.DUMMYFUNCTION("""COMPUTED_VALUE"""),"70007685")</f>
        <v>70007685</v>
      </c>
      <c r="D12227" s="380" t="s">
        <v>767</v>
      </c>
      <c r="E12227" s="380" t="s">
        <v>786</v>
      </c>
      <c r="F12227" s="380" t="s">
        <v>998</v>
      </c>
      <c r="G12227" s="380" t="s">
        <v>1267</v>
      </c>
      <c r="H12227" s="380" t="s">
        <v>771</v>
      </c>
      <c r="I12227" s="380" t="s">
        <v>788</v>
      </c>
      <c r="J12227" s="380" t="s">
        <v>773</v>
      </c>
      <c r="K12227" s="381">
        <v>0.0</v>
      </c>
      <c r="L12227" s="382">
        <v>1.0</v>
      </c>
    </row>
    <row r="12228">
      <c r="A12228" s="380" t="s">
        <v>13102</v>
      </c>
      <c r="B12228" s="380" t="str">
        <f>IFERROR(__xludf.DUMMYFUNCTION("""COMPUTED_VALUE"""),"Resorte Tornillo Graduacion F 8941076180")</f>
        <v>Resorte Tornillo Graduacion F 8941076180</v>
      </c>
      <c r="C12228" s="380" t="str">
        <f>IFERROR(__xludf.DUMMYFUNCTION("""COMPUTED_VALUE"""),"70007686")</f>
        <v>70007686</v>
      </c>
      <c r="D12228" s="380" t="s">
        <v>767</v>
      </c>
      <c r="E12228" s="380" t="s">
        <v>786</v>
      </c>
      <c r="F12228" s="380" t="s">
        <v>1017</v>
      </c>
      <c r="G12228" s="380" t="s">
        <v>1267</v>
      </c>
      <c r="H12228" s="380" t="s">
        <v>771</v>
      </c>
      <c r="I12228" s="380" t="s">
        <v>788</v>
      </c>
      <c r="J12228" s="380" t="s">
        <v>773</v>
      </c>
      <c r="K12228" s="381">
        <v>0.0</v>
      </c>
      <c r="L12228" s="382">
        <v>1.0</v>
      </c>
    </row>
    <row r="12229">
      <c r="A12229" s="380" t="s">
        <v>13103</v>
      </c>
      <c r="B12229" s="380" t="str">
        <f>IFERROR(__xludf.DUMMYFUNCTION("""COMPUTED_VALUE"""),"Tapizado Techo Cabina T Delta 6762587301")</f>
        <v>Tapizado Techo Cabina T Delta 6762587301</v>
      </c>
      <c r="C12229" s="380" t="str">
        <f>IFERROR(__xludf.DUMMYFUNCTION("""COMPUTED_VALUE"""),"70007687")</f>
        <v>70007687</v>
      </c>
      <c r="D12229" s="380" t="s">
        <v>767</v>
      </c>
      <c r="E12229" s="380" t="s">
        <v>786</v>
      </c>
      <c r="F12229" s="380" t="s">
        <v>792</v>
      </c>
      <c r="G12229" s="380" t="s">
        <v>1267</v>
      </c>
      <c r="H12229" s="380" t="s">
        <v>771</v>
      </c>
      <c r="I12229" s="380" t="s">
        <v>788</v>
      </c>
      <c r="J12229" s="380" t="s">
        <v>773</v>
      </c>
      <c r="K12229" s="381">
        <v>0.0</v>
      </c>
      <c r="L12229" s="382">
        <v>1.0</v>
      </c>
    </row>
    <row r="12230">
      <c r="A12230" s="380" t="s">
        <v>13104</v>
      </c>
      <c r="B12230" s="380" t="str">
        <f>IFERROR(__xludf.DUMMYFUNCTION("""COMPUTED_VALUE"""),"Chapa INTna Der CAB EGL Isx 1677435c2")</f>
        <v>Chapa INTna Der CAB EGL Isx 1677435c2</v>
      </c>
      <c r="C12230" s="380" t="str">
        <f>IFERROR(__xludf.DUMMYFUNCTION("""COMPUTED_VALUE"""),"70007688")</f>
        <v>70007688</v>
      </c>
      <c r="D12230" s="380" t="s">
        <v>767</v>
      </c>
      <c r="E12230" s="380" t="s">
        <v>786</v>
      </c>
      <c r="F12230" s="380" t="s">
        <v>792</v>
      </c>
      <c r="G12230" s="380" t="s">
        <v>1267</v>
      </c>
      <c r="H12230" s="380" t="s">
        <v>771</v>
      </c>
      <c r="I12230" s="380" t="s">
        <v>788</v>
      </c>
      <c r="J12230" s="380" t="s">
        <v>773</v>
      </c>
      <c r="K12230" s="381">
        <v>0.0</v>
      </c>
      <c r="L12230" s="382">
        <v>1.0</v>
      </c>
    </row>
    <row r="12231">
      <c r="A12231" s="380" t="s">
        <v>13105</v>
      </c>
      <c r="B12231" s="380" t="str">
        <f>IFERROR(__xludf.DUMMYFUNCTION("""COMPUTED_VALUE"""),"Chapa INTna Drecha CAB EGL Isx 1677433c1")</f>
        <v>Chapa INTna Drecha CAB EGL Isx 1677433c1</v>
      </c>
      <c r="C12231" s="380" t="str">
        <f>IFERROR(__xludf.DUMMYFUNCTION("""COMPUTED_VALUE"""),"70007689")</f>
        <v>70007689</v>
      </c>
      <c r="D12231" s="380" t="s">
        <v>767</v>
      </c>
      <c r="E12231" s="380" t="s">
        <v>786</v>
      </c>
      <c r="F12231" s="380" t="s">
        <v>792</v>
      </c>
      <c r="G12231" s="380" t="s">
        <v>1267</v>
      </c>
      <c r="H12231" s="380" t="s">
        <v>771</v>
      </c>
      <c r="I12231" s="380" t="s">
        <v>788</v>
      </c>
      <c r="J12231" s="380" t="s">
        <v>773</v>
      </c>
      <c r="K12231" s="381">
        <v>0.0</v>
      </c>
      <c r="L12231" s="382">
        <v>1.0</v>
      </c>
    </row>
    <row r="12232">
      <c r="A12232" s="380" t="s">
        <v>13106</v>
      </c>
      <c r="B12232" s="380" t="str">
        <f>IFERROR(__xludf.DUMMYFUNCTION("""COMPUTED_VALUE"""),"BMB De Agua Npr Con Turbo 897 8972126751")</f>
        <v>BMB De Agua Npr Con Turbo 897 8972126751</v>
      </c>
      <c r="C12232" s="380" t="str">
        <f>IFERROR(__xludf.DUMMYFUNCTION("""COMPUTED_VALUE"""),"70007690")</f>
        <v>70007690</v>
      </c>
      <c r="D12232" s="380" t="s">
        <v>767</v>
      </c>
      <c r="E12232" s="380" t="s">
        <v>786</v>
      </c>
      <c r="F12232" s="380" t="s">
        <v>787</v>
      </c>
      <c r="G12232" s="380" t="s">
        <v>1267</v>
      </c>
      <c r="H12232" s="380" t="s">
        <v>771</v>
      </c>
      <c r="I12232" s="380" t="s">
        <v>788</v>
      </c>
      <c r="J12232" s="380" t="s">
        <v>773</v>
      </c>
      <c r="K12232" s="381">
        <v>0.0</v>
      </c>
      <c r="L12232" s="382">
        <v>1.0</v>
      </c>
    </row>
    <row r="12233">
      <c r="A12233" s="380" t="s">
        <v>13107</v>
      </c>
      <c r="B12233" s="380" t="str">
        <f>IFERROR(__xludf.DUMMYFUNCTION("""COMPUTED_VALUE"""),"Lampara Ext Techo Eagle Isx 3529900c94")</f>
        <v>Lampara Ext Techo Eagle Isx 3529900c94</v>
      </c>
      <c r="C12233" s="380" t="str">
        <f>IFERROR(__xludf.DUMMYFUNCTION("""COMPUTED_VALUE"""),"70007691")</f>
        <v>70007691</v>
      </c>
      <c r="D12233" s="380" t="s">
        <v>767</v>
      </c>
      <c r="E12233" s="380" t="s">
        <v>786</v>
      </c>
      <c r="F12233" s="380" t="s">
        <v>998</v>
      </c>
      <c r="G12233" s="380" t="s">
        <v>1267</v>
      </c>
      <c r="H12233" s="380" t="s">
        <v>771</v>
      </c>
      <c r="I12233" s="380" t="s">
        <v>788</v>
      </c>
      <c r="J12233" s="380" t="s">
        <v>773</v>
      </c>
      <c r="K12233" s="381">
        <v>157604.0</v>
      </c>
      <c r="L12233" s="382">
        <v>1.0</v>
      </c>
    </row>
    <row r="12234">
      <c r="A12234" s="380" t="s">
        <v>13108</v>
      </c>
      <c r="B12234" s="380" t="str">
        <f>IFERROR(__xludf.DUMMYFUNCTION("""COMPUTED_VALUE"""),"SENS Presion Y TEMP Aceite KWIsx 4921475")</f>
        <v>SENS Presion Y TEMP Aceite KWIsx 4921475</v>
      </c>
      <c r="C12234" s="380" t="str">
        <f>IFERROR(__xludf.DUMMYFUNCTION("""COMPUTED_VALUE"""),"70007692")</f>
        <v>70007692</v>
      </c>
      <c r="D12234" s="380" t="s">
        <v>767</v>
      </c>
      <c r="E12234" s="380" t="s">
        <v>786</v>
      </c>
      <c r="F12234" s="380" t="s">
        <v>998</v>
      </c>
      <c r="G12234" s="380" t="s">
        <v>1267</v>
      </c>
      <c r="H12234" s="380" t="s">
        <v>771</v>
      </c>
      <c r="I12234" s="380" t="s">
        <v>788</v>
      </c>
      <c r="J12234" s="380" t="s">
        <v>773</v>
      </c>
      <c r="K12234" s="381">
        <v>471393.0</v>
      </c>
      <c r="L12234" s="382">
        <v>1.0</v>
      </c>
    </row>
    <row r="12235">
      <c r="A12235" s="380" t="s">
        <v>13109</v>
      </c>
      <c r="B12235" s="380" t="str">
        <f>IFERROR(__xludf.DUMMYFUNCTION("""COMPUTED_VALUE"""),"Balinera MOT ARR T Delta 6003zz 6003.2zr")</f>
        <v>Balinera MOT ARR T Delta 6003zz 6003.2zr</v>
      </c>
      <c r="C12235" s="380" t="str">
        <f>IFERROR(__xludf.DUMMYFUNCTION("""COMPUTED_VALUE"""),"70007693")</f>
        <v>70007693</v>
      </c>
      <c r="D12235" s="380" t="s">
        <v>767</v>
      </c>
      <c r="E12235" s="380" t="s">
        <v>786</v>
      </c>
      <c r="F12235" s="380" t="s">
        <v>998</v>
      </c>
      <c r="G12235" s="380" t="s">
        <v>1267</v>
      </c>
      <c r="H12235" s="380" t="s">
        <v>771</v>
      </c>
      <c r="I12235" s="380" t="s">
        <v>788</v>
      </c>
      <c r="J12235" s="380" t="s">
        <v>773</v>
      </c>
      <c r="K12235" s="381">
        <v>0.0</v>
      </c>
      <c r="L12235" s="382">
        <v>1.0</v>
      </c>
    </row>
    <row r="12236">
      <c r="A12236" s="380" t="s">
        <v>13110</v>
      </c>
      <c r="B12236" s="380" t="str">
        <f>IFERROR(__xludf.DUMMYFUNCTION("""COMPUTED_VALUE"""),"Balinera Motor Arranque Delta 6200.2zr")</f>
        <v>Balinera Motor Arranque Delta 6200.2zr</v>
      </c>
      <c r="C12236" s="380" t="str">
        <f>IFERROR(__xludf.DUMMYFUNCTION("""COMPUTED_VALUE"""),"70007694")</f>
        <v>70007694</v>
      </c>
      <c r="D12236" s="380" t="s">
        <v>767</v>
      </c>
      <c r="E12236" s="380" t="s">
        <v>786</v>
      </c>
      <c r="F12236" s="380" t="s">
        <v>998</v>
      </c>
      <c r="G12236" s="380" t="s">
        <v>1267</v>
      </c>
      <c r="H12236" s="380" t="s">
        <v>771</v>
      </c>
      <c r="I12236" s="380" t="s">
        <v>788</v>
      </c>
      <c r="J12236" s="380" t="s">
        <v>773</v>
      </c>
      <c r="K12236" s="381">
        <v>0.0</v>
      </c>
      <c r="L12236" s="382">
        <v>1.0</v>
      </c>
    </row>
    <row r="12237">
      <c r="A12237" s="380" t="s">
        <v>13111</v>
      </c>
      <c r="B12237" s="380" t="str">
        <f>IFERROR(__xludf.DUMMYFUNCTION("""COMPUTED_VALUE"""),"Empaques Ajuste Puerta Nk Nh Npr")</f>
        <v>Empaques Ajuste Puerta Nk Nh Npr</v>
      </c>
      <c r="C12237" s="380" t="str">
        <f>IFERROR(__xludf.DUMMYFUNCTION("""COMPUTED_VALUE"""),"70007695")</f>
        <v>70007695</v>
      </c>
      <c r="D12237" s="380" t="s">
        <v>767</v>
      </c>
      <c r="E12237" s="380" t="s">
        <v>786</v>
      </c>
      <c r="F12237" s="380" t="s">
        <v>792</v>
      </c>
      <c r="G12237" s="380" t="s">
        <v>1267</v>
      </c>
      <c r="H12237" s="380" t="s">
        <v>771</v>
      </c>
      <c r="I12237" s="380" t="s">
        <v>788</v>
      </c>
      <c r="J12237" s="380" t="s">
        <v>773</v>
      </c>
      <c r="K12237" s="381">
        <v>0.0</v>
      </c>
      <c r="L12237" s="382">
        <v>1.0</v>
      </c>
    </row>
    <row r="12238">
      <c r="A12238" s="380" t="s">
        <v>13112</v>
      </c>
      <c r="B12238" s="380" t="str">
        <f>IFERROR(__xludf.DUMMYFUNCTION("""COMPUTED_VALUE"""),"EMPs Ajuste PTA Nk Nh Npr 95624863")</f>
        <v>EMPs Ajuste PTA Nk Nh Npr 95624863</v>
      </c>
      <c r="C12238" s="380" t="str">
        <f>IFERROR(__xludf.DUMMYFUNCTION("""COMPUTED_VALUE"""),"70007696")</f>
        <v>70007696</v>
      </c>
      <c r="D12238" s="380" t="s">
        <v>767</v>
      </c>
      <c r="E12238" s="380" t="s">
        <v>786</v>
      </c>
      <c r="F12238" s="380" t="s">
        <v>792</v>
      </c>
      <c r="G12238" s="380" t="s">
        <v>1267</v>
      </c>
      <c r="H12238" s="380" t="s">
        <v>771</v>
      </c>
      <c r="I12238" s="380" t="s">
        <v>788</v>
      </c>
      <c r="J12238" s="380" t="s">
        <v>773</v>
      </c>
      <c r="K12238" s="381">
        <v>0.0</v>
      </c>
      <c r="L12238" s="382">
        <v>1.0</v>
      </c>
    </row>
    <row r="12239">
      <c r="A12239" s="380" t="s">
        <v>13113</v>
      </c>
      <c r="B12239" s="380" t="str">
        <f>IFERROR(__xludf.DUMMYFUNCTION("""COMPUTED_VALUE"""),"Tanque Combustible Npr 95624863")</f>
        <v>Tanque Combustible Npr 95624863</v>
      </c>
      <c r="C12239" s="380" t="str">
        <f>IFERROR(__xludf.DUMMYFUNCTION("""COMPUTED_VALUE"""),"70007697")</f>
        <v>70007697</v>
      </c>
      <c r="D12239" s="380" t="s">
        <v>767</v>
      </c>
      <c r="E12239" s="380" t="s">
        <v>786</v>
      </c>
      <c r="F12239" s="380" t="s">
        <v>792</v>
      </c>
      <c r="G12239" s="380" t="s">
        <v>1267</v>
      </c>
      <c r="H12239" s="380" t="s">
        <v>771</v>
      </c>
      <c r="I12239" s="380" t="s">
        <v>788</v>
      </c>
      <c r="J12239" s="380" t="s">
        <v>773</v>
      </c>
      <c r="K12239" s="381">
        <v>0.0</v>
      </c>
      <c r="L12239" s="382">
        <v>1.0</v>
      </c>
    </row>
    <row r="12240">
      <c r="A12240" s="380" t="s">
        <v>13114</v>
      </c>
      <c r="B12240" s="380" t="str">
        <f>IFERROR(__xludf.DUMMYFUNCTION("""COMPUTED_VALUE"""),"Kit Reparacion MAY Cja Dir EG 2592442c91")</f>
        <v>Kit Reparacion MAY Cja Dir EG 2592442c91</v>
      </c>
      <c r="C12240" s="380" t="str">
        <f>IFERROR(__xludf.DUMMYFUNCTION("""COMPUTED_VALUE"""),"70007698")</f>
        <v>70007698</v>
      </c>
      <c r="D12240" s="380" t="s">
        <v>767</v>
      </c>
      <c r="E12240" s="380" t="s">
        <v>786</v>
      </c>
      <c r="F12240" s="380" t="s">
        <v>1020</v>
      </c>
      <c r="G12240" s="380" t="s">
        <v>1267</v>
      </c>
      <c r="H12240" s="380" t="s">
        <v>771</v>
      </c>
      <c r="I12240" s="380" t="s">
        <v>788</v>
      </c>
      <c r="J12240" s="380" t="s">
        <v>773</v>
      </c>
      <c r="K12240" s="381">
        <v>0.0</v>
      </c>
      <c r="L12240" s="382">
        <v>1.0</v>
      </c>
    </row>
    <row r="12241">
      <c r="A12241" s="380" t="s">
        <v>13115</v>
      </c>
      <c r="B12241" s="380" t="str">
        <f>IFERROR(__xludf.DUMMYFUNCTION("""COMPUTED_VALUE"""),"Kit Reparacion Bba Agua Isx Kw 409002200")</f>
        <v>Kit Reparacion Bba Agua Isx Kw 409002200</v>
      </c>
      <c r="C12241" s="380" t="str">
        <f>IFERROR(__xludf.DUMMYFUNCTION("""COMPUTED_VALUE"""),"70007699")</f>
        <v>70007699</v>
      </c>
      <c r="D12241" s="380" t="s">
        <v>767</v>
      </c>
      <c r="E12241" s="380" t="s">
        <v>786</v>
      </c>
      <c r="F12241" s="380" t="s">
        <v>787</v>
      </c>
      <c r="G12241" s="380" t="s">
        <v>1267</v>
      </c>
      <c r="H12241" s="380" t="s">
        <v>771</v>
      </c>
      <c r="I12241" s="380" t="s">
        <v>788</v>
      </c>
      <c r="J12241" s="380" t="s">
        <v>773</v>
      </c>
      <c r="K12241" s="381">
        <v>369439.0</v>
      </c>
      <c r="L12241" s="382">
        <v>1.0</v>
      </c>
    </row>
    <row r="12242">
      <c r="A12242" s="380" t="s">
        <v>13116</v>
      </c>
      <c r="B12242" s="380" t="str">
        <f>IFERROR(__xludf.DUMMYFUNCTION("""COMPUTED_VALUE"""),"Pin Ajuste Torre Caja 14718 Zbf4303124")</f>
        <v>Pin Ajuste Torre Caja 14718 Zbf4303124</v>
      </c>
      <c r="C12242" s="380" t="str">
        <f>IFERROR(__xludf.DUMMYFUNCTION("""COMPUTED_VALUE"""),"70007700")</f>
        <v>70007700</v>
      </c>
      <c r="D12242" s="380" t="s">
        <v>767</v>
      </c>
      <c r="E12242" s="380" t="s">
        <v>786</v>
      </c>
      <c r="F12242" s="380" t="s">
        <v>928</v>
      </c>
      <c r="G12242" s="380" t="s">
        <v>1267</v>
      </c>
      <c r="H12242" s="380" t="s">
        <v>771</v>
      </c>
      <c r="I12242" s="380" t="s">
        <v>788</v>
      </c>
      <c r="J12242" s="380" t="s">
        <v>773</v>
      </c>
      <c r="K12242" s="381">
        <v>0.0</v>
      </c>
      <c r="L12242" s="382">
        <v>1.0</v>
      </c>
    </row>
    <row r="12243">
      <c r="A12243" s="380" t="s">
        <v>13117</v>
      </c>
      <c r="B12243" s="380" t="str">
        <f>IFERROR(__xludf.DUMMYFUNCTION("""COMPUTED_VALUE"""),"Varilla Tensora Clucht Eag S60 3523977c1")</f>
        <v>Varilla Tensora Clucht Eag S60 3523977c1</v>
      </c>
      <c r="C12243" s="380" t="str">
        <f>IFERROR(__xludf.DUMMYFUNCTION("""COMPUTED_VALUE"""),"70007701")</f>
        <v>70007701</v>
      </c>
      <c r="D12243" s="380" t="s">
        <v>767</v>
      </c>
      <c r="E12243" s="380" t="s">
        <v>786</v>
      </c>
      <c r="F12243" s="380" t="s">
        <v>928</v>
      </c>
      <c r="G12243" s="380" t="s">
        <v>1267</v>
      </c>
      <c r="H12243" s="380" t="s">
        <v>771</v>
      </c>
      <c r="I12243" s="380" t="s">
        <v>788</v>
      </c>
      <c r="J12243" s="380" t="s">
        <v>773</v>
      </c>
      <c r="K12243" s="381">
        <v>0.0</v>
      </c>
      <c r="L12243" s="382">
        <v>1.0</v>
      </c>
    </row>
    <row r="12244">
      <c r="A12244" s="380" t="s">
        <v>13118</v>
      </c>
      <c r="B12244" s="380" t="str">
        <f>IFERROR(__xludf.DUMMYFUNCTION("""COMPUTED_VALUE"""),"Rodillo Interno Rueda Tras Npr 29586")</f>
        <v>Rodillo Interno Rueda Tras Npr 29586</v>
      </c>
      <c r="C12244" s="380" t="str">
        <f>IFERROR(__xludf.DUMMYFUNCTION("""COMPUTED_VALUE"""),"70007702")</f>
        <v>70007702</v>
      </c>
      <c r="D12244" s="380" t="s">
        <v>767</v>
      </c>
      <c r="E12244" s="380" t="s">
        <v>786</v>
      </c>
      <c r="F12244" s="380" t="s">
        <v>1039</v>
      </c>
      <c r="G12244" s="380" t="s">
        <v>1267</v>
      </c>
      <c r="H12244" s="380" t="s">
        <v>771</v>
      </c>
      <c r="I12244" s="380" t="s">
        <v>788</v>
      </c>
      <c r="J12244" s="380" t="s">
        <v>773</v>
      </c>
      <c r="K12244" s="381">
        <v>0.0</v>
      </c>
      <c r="L12244" s="382">
        <v>1.0</v>
      </c>
    </row>
    <row r="12245">
      <c r="A12245" s="380" t="s">
        <v>13119</v>
      </c>
      <c r="B12245" s="380" t="str">
        <f>IFERROR(__xludf.DUMMYFUNCTION("""COMPUTED_VALUE"""),"Tornillo SOP Amortiguador Tra 8973169720")</f>
        <v>Tornillo SOP Amortiguador Tra 8973169720</v>
      </c>
      <c r="C12245" s="380" t="str">
        <f>IFERROR(__xludf.DUMMYFUNCTION("""COMPUTED_VALUE"""),"70007703")</f>
        <v>70007703</v>
      </c>
      <c r="D12245" s="380" t="s">
        <v>767</v>
      </c>
      <c r="E12245" s="380" t="s">
        <v>786</v>
      </c>
      <c r="F12245" s="380" t="s">
        <v>1039</v>
      </c>
      <c r="G12245" s="380" t="s">
        <v>1267</v>
      </c>
      <c r="H12245" s="380" t="s">
        <v>771</v>
      </c>
      <c r="I12245" s="380" t="s">
        <v>788</v>
      </c>
      <c r="J12245" s="380" t="s">
        <v>773</v>
      </c>
      <c r="K12245" s="381">
        <v>0.0</v>
      </c>
      <c r="L12245" s="382">
        <v>1.0</v>
      </c>
    </row>
    <row r="12246">
      <c r="A12246" s="380" t="s">
        <v>13120</v>
      </c>
      <c r="B12246" s="380" t="str">
        <f>IFERROR(__xludf.DUMMYFUNCTION("""COMPUTED_VALUE"""),"Soporte Der Cabina Eagle 3513631c1")</f>
        <v>Soporte Der Cabina Eagle 3513631c1</v>
      </c>
      <c r="C12246" s="380" t="str">
        <f>IFERROR(__xludf.DUMMYFUNCTION("""COMPUTED_VALUE"""),"70007704")</f>
        <v>70007704</v>
      </c>
      <c r="D12246" s="380" t="s">
        <v>767</v>
      </c>
      <c r="E12246" s="380" t="s">
        <v>786</v>
      </c>
      <c r="F12246" s="380" t="s">
        <v>792</v>
      </c>
      <c r="G12246" s="380" t="s">
        <v>1267</v>
      </c>
      <c r="H12246" s="380" t="s">
        <v>771</v>
      </c>
      <c r="I12246" s="380" t="s">
        <v>788</v>
      </c>
      <c r="J12246" s="380" t="s">
        <v>773</v>
      </c>
      <c r="K12246" s="381">
        <v>0.0</v>
      </c>
      <c r="L12246" s="382">
        <v>1.0</v>
      </c>
    </row>
    <row r="12247">
      <c r="A12247" s="380" t="s">
        <v>13121</v>
      </c>
      <c r="B12247" s="380" t="str">
        <f>IFERROR(__xludf.DUMMYFUNCTION("""COMPUTED_VALUE"""),"Soporte Cabina Del Eagle Isx 3515345c1")</f>
        <v>Soporte Cabina Del Eagle Isx 3515345c1</v>
      </c>
      <c r="C12247" s="380" t="str">
        <f>IFERROR(__xludf.DUMMYFUNCTION("""COMPUTED_VALUE"""),"70007705")</f>
        <v>70007705</v>
      </c>
      <c r="D12247" s="380" t="s">
        <v>767</v>
      </c>
      <c r="E12247" s="380" t="s">
        <v>786</v>
      </c>
      <c r="F12247" s="380" t="s">
        <v>792</v>
      </c>
      <c r="G12247" s="380" t="s">
        <v>1267</v>
      </c>
      <c r="H12247" s="380" t="s">
        <v>771</v>
      </c>
      <c r="I12247" s="380" t="s">
        <v>788</v>
      </c>
      <c r="J12247" s="380" t="s">
        <v>773</v>
      </c>
      <c r="K12247" s="381">
        <v>207962.0</v>
      </c>
      <c r="L12247" s="382">
        <v>1.0</v>
      </c>
    </row>
    <row r="12248">
      <c r="A12248" s="380" t="s">
        <v>13122</v>
      </c>
      <c r="B12248" s="380" t="str">
        <f>IFERROR(__xludf.DUMMYFUNCTION("""COMPUTED_VALUE"""),"Tanque Combustible Nkr 95618450")</f>
        <v>Tanque Combustible Nkr 95618450</v>
      </c>
      <c r="C12248" s="380" t="str">
        <f>IFERROR(__xludf.DUMMYFUNCTION("""COMPUTED_VALUE"""),"70007706")</f>
        <v>70007706</v>
      </c>
      <c r="D12248" s="380" t="s">
        <v>767</v>
      </c>
      <c r="E12248" s="380" t="s">
        <v>786</v>
      </c>
      <c r="F12248" s="380" t="s">
        <v>792</v>
      </c>
      <c r="G12248" s="380" t="s">
        <v>1267</v>
      </c>
      <c r="H12248" s="380" t="s">
        <v>771</v>
      </c>
      <c r="I12248" s="380" t="s">
        <v>788</v>
      </c>
      <c r="J12248" s="380" t="s">
        <v>773</v>
      </c>
      <c r="K12248" s="381">
        <v>0.0</v>
      </c>
      <c r="L12248" s="382">
        <v>1.0</v>
      </c>
    </row>
    <row r="12249">
      <c r="A12249" s="380" t="s">
        <v>13123</v>
      </c>
      <c r="B12249" s="380" t="str">
        <f>IFERROR(__xludf.DUMMYFUNCTION("""COMPUTED_VALUE"""),"Arandela Pinadora Cacho DIR N 8942473561")</f>
        <v>Arandela Pinadora Cacho DIR N 8942473561</v>
      </c>
      <c r="C12249" s="380" t="str">
        <f>IFERROR(__xludf.DUMMYFUNCTION("""COMPUTED_VALUE"""),"70007707")</f>
        <v>70007707</v>
      </c>
      <c r="D12249" s="380" t="s">
        <v>767</v>
      </c>
      <c r="E12249" s="380" t="s">
        <v>786</v>
      </c>
      <c r="F12249" s="380" t="s">
        <v>1039</v>
      </c>
      <c r="G12249" s="380" t="s">
        <v>1267</v>
      </c>
      <c r="H12249" s="380" t="s">
        <v>771</v>
      </c>
      <c r="I12249" s="380" t="s">
        <v>788</v>
      </c>
      <c r="J12249" s="380" t="s">
        <v>773</v>
      </c>
      <c r="K12249" s="381">
        <v>0.0</v>
      </c>
      <c r="L12249" s="382">
        <v>1.0</v>
      </c>
    </row>
    <row r="12250">
      <c r="A12250" s="380" t="s">
        <v>13124</v>
      </c>
      <c r="B12250" s="380" t="str">
        <f>IFERROR(__xludf.DUMMYFUNCTION("""COMPUTED_VALUE"""),"Banda Freno Emergencia Npr Nu 8970202502")</f>
        <v>Banda Freno Emergencia Npr Nu 8970202502</v>
      </c>
      <c r="C12250" s="380" t="str">
        <f>IFERROR(__xludf.DUMMYFUNCTION("""COMPUTED_VALUE"""),"70007708")</f>
        <v>70007708</v>
      </c>
      <c r="D12250" s="380" t="s">
        <v>767</v>
      </c>
      <c r="E12250" s="380" t="s">
        <v>786</v>
      </c>
      <c r="F12250" s="380" t="s">
        <v>1017</v>
      </c>
      <c r="G12250" s="380" t="s">
        <v>1267</v>
      </c>
      <c r="H12250" s="380" t="s">
        <v>771</v>
      </c>
      <c r="I12250" s="380" t="s">
        <v>788</v>
      </c>
      <c r="J12250" s="380" t="s">
        <v>773</v>
      </c>
      <c r="K12250" s="381">
        <v>0.0</v>
      </c>
      <c r="L12250" s="382">
        <v>1.0</v>
      </c>
    </row>
    <row r="12251">
      <c r="A12251" s="380" t="s">
        <v>13125</v>
      </c>
      <c r="B12251" s="380" t="str">
        <f>IFERROR(__xludf.DUMMYFUNCTION("""COMPUTED_VALUE"""),"FILT Maquina Surtidora Pf Esso Hcx-70016")</f>
        <v>FILT Maquina Surtidora Pf Esso Hcx-70016</v>
      </c>
      <c r="C12251" s="380" t="str">
        <f>IFERROR(__xludf.DUMMYFUNCTION("""COMPUTED_VALUE"""),"70007709")</f>
        <v>70007709</v>
      </c>
      <c r="D12251" s="380" t="s">
        <v>767</v>
      </c>
      <c r="E12251" s="380" t="s">
        <v>786</v>
      </c>
      <c r="F12251" s="380" t="s">
        <v>5855</v>
      </c>
      <c r="G12251" s="380" t="s">
        <v>1267</v>
      </c>
      <c r="H12251" s="380" t="s">
        <v>771</v>
      </c>
      <c r="I12251" s="380" t="s">
        <v>788</v>
      </c>
      <c r="J12251" s="380" t="s">
        <v>773</v>
      </c>
      <c r="K12251" s="381">
        <v>0.0</v>
      </c>
      <c r="L12251" s="382">
        <v>1.0</v>
      </c>
    </row>
    <row r="12252">
      <c r="A12252" s="380" t="s">
        <v>13126</v>
      </c>
      <c r="B12252" s="380" t="str">
        <f>IFERROR(__xludf.DUMMYFUNCTION("""COMPUTED_VALUE"""),"Oring Inyector Motor Nkr 8972874022")</f>
        <v>Oring Inyector Motor Nkr 8972874022</v>
      </c>
      <c r="C12252" s="380" t="str">
        <f>IFERROR(__xludf.DUMMYFUNCTION("""COMPUTED_VALUE"""),"70007710")</f>
        <v>70007710</v>
      </c>
      <c r="D12252" s="380" t="s">
        <v>767</v>
      </c>
      <c r="E12252" s="380" t="s">
        <v>786</v>
      </c>
      <c r="F12252" s="380" t="s">
        <v>787</v>
      </c>
      <c r="G12252" s="380" t="s">
        <v>1267</v>
      </c>
      <c r="H12252" s="380" t="s">
        <v>771</v>
      </c>
      <c r="I12252" s="380" t="s">
        <v>788</v>
      </c>
      <c r="J12252" s="380" t="s">
        <v>773</v>
      </c>
      <c r="K12252" s="381">
        <v>0.0</v>
      </c>
      <c r="L12252" s="382">
        <v>1.0</v>
      </c>
    </row>
    <row r="12253">
      <c r="A12253" s="380" t="s">
        <v>13127</v>
      </c>
      <c r="B12253" s="380" t="str">
        <f>IFERROR(__xludf.DUMMYFUNCTION("""COMPUTED_VALUE"""),"FILT Separador Agua Fleetguard Fs-19547")</f>
        <v>FILT Separador Agua Fleetguard Fs-19547</v>
      </c>
      <c r="C12253" s="380" t="str">
        <f>IFERROR(__xludf.DUMMYFUNCTION("""COMPUTED_VALUE"""),"70007711")</f>
        <v>70007711</v>
      </c>
      <c r="D12253" s="380" t="s">
        <v>767</v>
      </c>
      <c r="E12253" s="380" t="s">
        <v>786</v>
      </c>
      <c r="F12253" s="380" t="s">
        <v>5855</v>
      </c>
      <c r="G12253" s="380" t="s">
        <v>1267</v>
      </c>
      <c r="H12253" s="380" t="s">
        <v>771</v>
      </c>
      <c r="I12253" s="380" t="s">
        <v>788</v>
      </c>
      <c r="J12253" s="380" t="s">
        <v>773</v>
      </c>
      <c r="K12253" s="381">
        <v>0.0</v>
      </c>
      <c r="L12253" s="382">
        <v>1.0</v>
      </c>
    </row>
    <row r="12254">
      <c r="A12254" s="380" t="s">
        <v>13128</v>
      </c>
      <c r="B12254" s="380" t="str">
        <f>IFERROR(__xludf.DUMMYFUNCTION("""COMPUTED_VALUE"""),"Espejo Sup Ext Der CAB EGL 3571502c2")</f>
        <v>Espejo Sup Ext Der CAB EGL 3571502c2</v>
      </c>
      <c r="C12254" s="380" t="str">
        <f>IFERROR(__xludf.DUMMYFUNCTION("""COMPUTED_VALUE"""),"70007712")</f>
        <v>70007712</v>
      </c>
      <c r="D12254" s="380" t="s">
        <v>767</v>
      </c>
      <c r="E12254" s="380" t="s">
        <v>786</v>
      </c>
      <c r="F12254" s="380" t="s">
        <v>792</v>
      </c>
      <c r="G12254" s="380" t="s">
        <v>1267</v>
      </c>
      <c r="H12254" s="380" t="s">
        <v>771</v>
      </c>
      <c r="I12254" s="380" t="s">
        <v>788</v>
      </c>
      <c r="J12254" s="380" t="s">
        <v>773</v>
      </c>
      <c r="K12254" s="381">
        <v>512295.0</v>
      </c>
      <c r="L12254" s="382">
        <v>1.0</v>
      </c>
    </row>
    <row r="12255">
      <c r="A12255" s="380" t="s">
        <v>13129</v>
      </c>
      <c r="B12255" s="380" t="str">
        <f>IFERROR(__xludf.DUMMYFUNCTION("""COMPUTED_VALUE"""),"Tapizado PTA Der Rh T Delta 6761587308")</f>
        <v>Tapizado PTA Der Rh T Delta 6761587308</v>
      </c>
      <c r="C12255" s="380" t="str">
        <f>IFERROR(__xludf.DUMMYFUNCTION("""COMPUTED_VALUE"""),"70007713")</f>
        <v>70007713</v>
      </c>
      <c r="D12255" s="380" t="s">
        <v>767</v>
      </c>
      <c r="E12255" s="380" t="s">
        <v>786</v>
      </c>
      <c r="F12255" s="380" t="s">
        <v>792</v>
      </c>
      <c r="G12255" s="380" t="s">
        <v>1267</v>
      </c>
      <c r="H12255" s="380" t="s">
        <v>771</v>
      </c>
      <c r="I12255" s="380" t="s">
        <v>788</v>
      </c>
      <c r="J12255" s="380" t="s">
        <v>773</v>
      </c>
      <c r="K12255" s="381">
        <v>0.0</v>
      </c>
      <c r="L12255" s="382">
        <v>1.0</v>
      </c>
    </row>
    <row r="12256">
      <c r="A12256" s="380" t="s">
        <v>13130</v>
      </c>
      <c r="B12256" s="380" t="str">
        <f>IFERROR(__xludf.DUMMYFUNCTION("""COMPUTED_VALUE"""),"Lampara DIRal Del Izq T Delta 8152087383")</f>
        <v>Lampara DIRal Del Izq T Delta 8152087383</v>
      </c>
      <c r="C12256" s="380" t="str">
        <f>IFERROR(__xludf.DUMMYFUNCTION("""COMPUTED_VALUE"""),"70007714")</f>
        <v>70007714</v>
      </c>
      <c r="D12256" s="380" t="s">
        <v>767</v>
      </c>
      <c r="E12256" s="380" t="s">
        <v>786</v>
      </c>
      <c r="F12256" s="380" t="s">
        <v>998</v>
      </c>
      <c r="G12256" s="380" t="s">
        <v>1267</v>
      </c>
      <c r="H12256" s="380" t="s">
        <v>771</v>
      </c>
      <c r="I12256" s="380" t="s">
        <v>788</v>
      </c>
      <c r="J12256" s="380" t="s">
        <v>773</v>
      </c>
      <c r="K12256" s="381">
        <v>0.0</v>
      </c>
      <c r="L12256" s="382">
        <v>1.0</v>
      </c>
    </row>
    <row r="12257">
      <c r="A12257" s="380" t="s">
        <v>13131</v>
      </c>
      <c r="B12257" s="380" t="str">
        <f>IFERROR(__xludf.DUMMYFUNCTION("""COMPUTED_VALUE"""),"Moldura Der Techo Cabina Eagle 3518013c2")</f>
        <v>Moldura Der Techo Cabina Eagle 3518013c2</v>
      </c>
      <c r="C12257" s="380" t="str">
        <f>IFERROR(__xludf.DUMMYFUNCTION("""COMPUTED_VALUE"""),"70007715")</f>
        <v>70007715</v>
      </c>
      <c r="D12257" s="380" t="s">
        <v>767</v>
      </c>
      <c r="E12257" s="380" t="s">
        <v>786</v>
      </c>
      <c r="F12257" s="380" t="s">
        <v>792</v>
      </c>
      <c r="G12257" s="380" t="s">
        <v>1267</v>
      </c>
      <c r="H12257" s="380" t="s">
        <v>771</v>
      </c>
      <c r="I12257" s="380" t="s">
        <v>788</v>
      </c>
      <c r="J12257" s="380" t="s">
        <v>773</v>
      </c>
      <c r="K12257" s="381">
        <v>0.0</v>
      </c>
      <c r="L12257" s="382">
        <v>1.0</v>
      </c>
    </row>
    <row r="12258">
      <c r="A12258" s="380" t="s">
        <v>13132</v>
      </c>
      <c r="B12258" s="380" t="str">
        <f>IFERROR(__xludf.DUMMYFUNCTION("""COMPUTED_VALUE"""),"Varilla Tensora Clutch Eagle 2006333c2")</f>
        <v>Varilla Tensora Clutch Eagle 2006333c2</v>
      </c>
      <c r="C12258" s="380" t="str">
        <f>IFERROR(__xludf.DUMMYFUNCTION("""COMPUTED_VALUE"""),"70007716")</f>
        <v>70007716</v>
      </c>
      <c r="D12258" s="380" t="s">
        <v>767</v>
      </c>
      <c r="E12258" s="380" t="s">
        <v>786</v>
      </c>
      <c r="F12258" s="380" t="s">
        <v>928</v>
      </c>
      <c r="G12258" s="380" t="s">
        <v>1267</v>
      </c>
      <c r="H12258" s="380" t="s">
        <v>771</v>
      </c>
      <c r="I12258" s="380" t="s">
        <v>788</v>
      </c>
      <c r="J12258" s="380" t="s">
        <v>773</v>
      </c>
      <c r="K12258" s="381">
        <v>0.0</v>
      </c>
      <c r="L12258" s="382">
        <v>1.0</v>
      </c>
    </row>
    <row r="12259">
      <c r="A12259" s="380" t="s">
        <v>13133</v>
      </c>
      <c r="B12259" s="380" t="str">
        <f>IFERROR(__xludf.DUMMYFUNCTION("""COMPUTED_VALUE"""),"Tornillo Graduacion Banda Fre 5471650250")</f>
        <v>Tornillo Graduacion Banda Fre 5471650250</v>
      </c>
      <c r="C12259" s="380" t="str">
        <f>IFERROR(__xludf.DUMMYFUNCTION("""COMPUTED_VALUE"""),"70007717")</f>
        <v>70007717</v>
      </c>
      <c r="D12259" s="380" t="s">
        <v>767</v>
      </c>
      <c r="E12259" s="380" t="s">
        <v>786</v>
      </c>
      <c r="F12259" s="380" t="s">
        <v>1017</v>
      </c>
      <c r="G12259" s="380" t="s">
        <v>1267</v>
      </c>
      <c r="H12259" s="380" t="s">
        <v>771</v>
      </c>
      <c r="I12259" s="380" t="s">
        <v>788</v>
      </c>
      <c r="J12259" s="380" t="s">
        <v>773</v>
      </c>
      <c r="K12259" s="381">
        <v>0.0</v>
      </c>
      <c r="L12259" s="382">
        <v>1.0</v>
      </c>
    </row>
    <row r="12260">
      <c r="A12260" s="380" t="s">
        <v>13134</v>
      </c>
      <c r="B12260" s="380" t="str">
        <f>IFERROR(__xludf.DUMMYFUNCTION("""COMPUTED_VALUE"""),"MANG A/C Condensador Hi 9400 3626426c91")</f>
        <v>MANG A/C Condensador Hi 9400 3626426c91</v>
      </c>
      <c r="C12260" s="380" t="str">
        <f>IFERROR(__xludf.DUMMYFUNCTION("""COMPUTED_VALUE"""),"70007718")</f>
        <v>70007718</v>
      </c>
      <c r="D12260" s="380" t="s">
        <v>767</v>
      </c>
      <c r="E12260" s="380" t="s">
        <v>786</v>
      </c>
      <c r="F12260" s="380" t="s">
        <v>1031</v>
      </c>
      <c r="G12260" s="380" t="s">
        <v>1267</v>
      </c>
      <c r="H12260" s="380" t="s">
        <v>771</v>
      </c>
      <c r="I12260" s="380" t="s">
        <v>788</v>
      </c>
      <c r="J12260" s="380" t="s">
        <v>773</v>
      </c>
      <c r="K12260" s="381">
        <v>0.0</v>
      </c>
      <c r="L12260" s="382">
        <v>1.0</v>
      </c>
    </row>
    <row r="12261">
      <c r="A12261" s="380" t="s">
        <v>13135</v>
      </c>
      <c r="B12261" s="380" t="str">
        <f>IFERROR(__xludf.DUMMYFUNCTION("""COMPUTED_VALUE"""),"Soporte Espejo Retrovisor Kemwor 30cc15")</f>
        <v>Soporte Espejo Retrovisor Kemwor 30cc15</v>
      </c>
      <c r="C12261" s="380" t="str">
        <f>IFERROR(__xludf.DUMMYFUNCTION("""COMPUTED_VALUE"""),"70007719")</f>
        <v>70007719</v>
      </c>
      <c r="D12261" s="380" t="s">
        <v>767</v>
      </c>
      <c r="E12261" s="380" t="s">
        <v>786</v>
      </c>
      <c r="F12261" s="380" t="s">
        <v>792</v>
      </c>
      <c r="G12261" s="380" t="s">
        <v>1267</v>
      </c>
      <c r="H12261" s="380" t="s">
        <v>771</v>
      </c>
      <c r="I12261" s="380" t="s">
        <v>788</v>
      </c>
      <c r="J12261" s="380" t="s">
        <v>773</v>
      </c>
      <c r="K12261" s="381">
        <v>0.0</v>
      </c>
      <c r="L12261" s="382">
        <v>1.0</v>
      </c>
    </row>
    <row r="12262">
      <c r="A12262" s="380" t="s">
        <v>13136</v>
      </c>
      <c r="B12262" s="380" t="str">
        <f>IFERROR(__xludf.DUMMYFUNCTION("""COMPUTED_VALUE"""),"Buje Base Palanca Cambios Npr 8970491470")</f>
        <v>Buje Base Palanca Cambios Npr 8970491470</v>
      </c>
      <c r="C12262" s="380" t="str">
        <f>IFERROR(__xludf.DUMMYFUNCTION("""COMPUTED_VALUE"""),"70007720")</f>
        <v>70007720</v>
      </c>
      <c r="D12262" s="380" t="s">
        <v>767</v>
      </c>
      <c r="E12262" s="380" t="s">
        <v>786</v>
      </c>
      <c r="F12262" s="380" t="s">
        <v>928</v>
      </c>
      <c r="G12262" s="380" t="s">
        <v>1267</v>
      </c>
      <c r="H12262" s="380" t="s">
        <v>771</v>
      </c>
      <c r="I12262" s="380" t="s">
        <v>788</v>
      </c>
      <c r="J12262" s="380" t="s">
        <v>773</v>
      </c>
      <c r="K12262" s="381">
        <v>0.0</v>
      </c>
      <c r="L12262" s="382">
        <v>1.0</v>
      </c>
    </row>
    <row r="12263">
      <c r="A12263" s="380" t="s">
        <v>13137</v>
      </c>
      <c r="B12263" s="380" t="str">
        <f>IFERROR(__xludf.DUMMYFUNCTION("""COMPUTED_VALUE"""),"EMPtadura BMB Aux Clucht Npr 5878312040")</f>
        <v>EMPtadura BMB Aux Clucht Npr 5878312040</v>
      </c>
      <c r="C12263" s="380" t="str">
        <f>IFERROR(__xludf.DUMMYFUNCTION("""COMPUTED_VALUE"""),"70007721")</f>
        <v>70007721</v>
      </c>
      <c r="D12263" s="380" t="s">
        <v>767</v>
      </c>
      <c r="E12263" s="380" t="s">
        <v>786</v>
      </c>
      <c r="F12263" s="380" t="s">
        <v>5661</v>
      </c>
      <c r="G12263" s="380" t="s">
        <v>1267</v>
      </c>
      <c r="H12263" s="380" t="s">
        <v>771</v>
      </c>
      <c r="I12263" s="380" t="s">
        <v>788</v>
      </c>
      <c r="J12263" s="380" t="s">
        <v>773</v>
      </c>
      <c r="K12263" s="381">
        <v>0.0</v>
      </c>
      <c r="L12263" s="382">
        <v>1.0</v>
      </c>
    </row>
    <row r="12264">
      <c r="A12264" s="380" t="s">
        <v>13138</v>
      </c>
      <c r="B12264" s="380" t="str">
        <f>IFERROR(__xludf.DUMMYFUNCTION("""COMPUTED_VALUE"""),"Tapizado Pi Tapizado Piso S.C. Van N.200")</f>
        <v>Tapizado Pi Tapizado Piso S.C. Van N.200</v>
      </c>
      <c r="C12264" s="380" t="str">
        <f>IFERROR(__xludf.DUMMYFUNCTION("""COMPUTED_VALUE"""),"70007722")</f>
        <v>70007722</v>
      </c>
      <c r="D12264" s="380" t="s">
        <v>767</v>
      </c>
      <c r="E12264" s="380" t="s">
        <v>786</v>
      </c>
      <c r="F12264" s="380" t="s">
        <v>792</v>
      </c>
      <c r="G12264" s="380" t="s">
        <v>1267</v>
      </c>
      <c r="H12264" s="380" t="s">
        <v>771</v>
      </c>
      <c r="I12264" s="380" t="s">
        <v>788</v>
      </c>
      <c r="J12264" s="380" t="s">
        <v>773</v>
      </c>
      <c r="K12264" s="381">
        <v>0.0</v>
      </c>
      <c r="L12264" s="382">
        <v>1.0</v>
      </c>
    </row>
    <row r="12265">
      <c r="A12265" s="380" t="s">
        <v>13139</v>
      </c>
      <c r="B12265" s="380" t="str">
        <f>IFERROR(__xludf.DUMMYFUNCTION("""COMPUTED_VALUE"""),"Retenedor Rueda Del T Delta 9004311102")</f>
        <v>Retenedor Rueda Del T Delta 9004311102</v>
      </c>
      <c r="C12265" s="380" t="str">
        <f>IFERROR(__xludf.DUMMYFUNCTION("""COMPUTED_VALUE"""),"70007723")</f>
        <v>70007723</v>
      </c>
      <c r="D12265" s="380" t="s">
        <v>767</v>
      </c>
      <c r="E12265" s="380" t="s">
        <v>786</v>
      </c>
      <c r="F12265" s="380" t="s">
        <v>1039</v>
      </c>
      <c r="G12265" s="380" t="s">
        <v>1267</v>
      </c>
      <c r="H12265" s="380" t="s">
        <v>771</v>
      </c>
      <c r="I12265" s="380" t="s">
        <v>788</v>
      </c>
      <c r="J12265" s="380" t="s">
        <v>773</v>
      </c>
      <c r="K12265" s="381">
        <v>24131.0</v>
      </c>
      <c r="L12265" s="382">
        <v>1.0</v>
      </c>
    </row>
    <row r="12266">
      <c r="A12266" s="380" t="s">
        <v>13140</v>
      </c>
      <c r="B12266" s="380" t="str">
        <f>IFERROR(__xludf.DUMMYFUNCTION("""COMPUTED_VALUE"""),"Piñon 5ta 48d CJ Fs 6305 Freighl 3316196")</f>
        <v>Piñon 5ta 48d CJ Fs 6305 Freighl 3316196</v>
      </c>
      <c r="C12266" s="380" t="str">
        <f>IFERROR(__xludf.DUMMYFUNCTION("""COMPUTED_VALUE"""),"70007724")</f>
        <v>70007724</v>
      </c>
      <c r="D12266" s="380" t="s">
        <v>767</v>
      </c>
      <c r="E12266" s="380" t="s">
        <v>786</v>
      </c>
      <c r="F12266" s="380" t="s">
        <v>928</v>
      </c>
      <c r="G12266" s="380" t="s">
        <v>1267</v>
      </c>
      <c r="H12266" s="380" t="s">
        <v>771</v>
      </c>
      <c r="I12266" s="380" t="s">
        <v>788</v>
      </c>
      <c r="J12266" s="380" t="s">
        <v>773</v>
      </c>
      <c r="K12266" s="381">
        <v>0.0</v>
      </c>
      <c r="L12266" s="382">
        <v>1.0</v>
      </c>
    </row>
    <row r="12267">
      <c r="A12267" s="380" t="s">
        <v>13141</v>
      </c>
      <c r="B12267" s="380" t="str">
        <f>IFERROR(__xludf.DUMMYFUNCTION("""COMPUTED_VALUE"""),"VALV Reguladora De Frenado Nh 8943684552")</f>
        <v>VALV Reguladora De Frenado Nh 8943684552</v>
      </c>
      <c r="C12267" s="380" t="str">
        <f>IFERROR(__xludf.DUMMYFUNCTION("""COMPUTED_VALUE"""),"70007725")</f>
        <v>70007725</v>
      </c>
      <c r="D12267" s="380" t="s">
        <v>767</v>
      </c>
      <c r="E12267" s="380" t="s">
        <v>786</v>
      </c>
      <c r="F12267" s="380" t="s">
        <v>1017</v>
      </c>
      <c r="G12267" s="380" t="s">
        <v>1267</v>
      </c>
      <c r="H12267" s="380" t="s">
        <v>771</v>
      </c>
      <c r="I12267" s="380" t="s">
        <v>788</v>
      </c>
      <c r="J12267" s="380" t="s">
        <v>773</v>
      </c>
      <c r="K12267" s="381">
        <v>0.0</v>
      </c>
      <c r="L12267" s="382">
        <v>1.0</v>
      </c>
    </row>
    <row r="12268">
      <c r="A12268" s="380" t="s">
        <v>13142</v>
      </c>
      <c r="B12268" s="380" t="str">
        <f>IFERROR(__xludf.DUMMYFUNCTION("""COMPUTED_VALUE"""),"FILT Hidraulico Fr Internatio 1698964 C-")</f>
        <v>FILT Hidraulico Fr Internatio 1698964 C-</v>
      </c>
      <c r="C12268" s="380" t="str">
        <f>IFERROR(__xludf.DUMMYFUNCTION("""COMPUTED_VALUE"""),"70007726")</f>
        <v>70007726</v>
      </c>
      <c r="D12268" s="380" t="s">
        <v>767</v>
      </c>
      <c r="E12268" s="380" t="s">
        <v>786</v>
      </c>
      <c r="F12268" s="380" t="s">
        <v>5855</v>
      </c>
      <c r="G12268" s="380" t="s">
        <v>1267</v>
      </c>
      <c r="H12268" s="380" t="s">
        <v>771</v>
      </c>
      <c r="I12268" s="380" t="s">
        <v>788</v>
      </c>
      <c r="J12268" s="380" t="s">
        <v>773</v>
      </c>
      <c r="K12268" s="381">
        <v>0.0</v>
      </c>
      <c r="L12268" s="382">
        <v>1.0</v>
      </c>
    </row>
    <row r="12269">
      <c r="A12269" s="380" t="s">
        <v>13143</v>
      </c>
      <c r="B12269" s="380" t="str">
        <f>IFERROR(__xludf.DUMMYFUNCTION("""COMPUTED_VALUE"""),"CIL Freno Del Der Sin Purga N 8970811480")</f>
        <v>CIL Freno Del Der Sin Purga N 8970811480</v>
      </c>
      <c r="C12269" s="380" t="str">
        <f>IFERROR(__xludf.DUMMYFUNCTION("""COMPUTED_VALUE"""),"70007727")</f>
        <v>70007727</v>
      </c>
      <c r="D12269" s="380" t="s">
        <v>767</v>
      </c>
      <c r="E12269" s="380" t="s">
        <v>786</v>
      </c>
      <c r="F12269" s="380" t="s">
        <v>1017</v>
      </c>
      <c r="G12269" s="380" t="s">
        <v>1267</v>
      </c>
      <c r="H12269" s="380" t="s">
        <v>771</v>
      </c>
      <c r="I12269" s="380" t="s">
        <v>788</v>
      </c>
      <c r="J12269" s="380" t="s">
        <v>773</v>
      </c>
      <c r="K12269" s="381">
        <v>0.0</v>
      </c>
      <c r="L12269" s="382">
        <v>1.0</v>
      </c>
    </row>
    <row r="12270">
      <c r="A12270" s="380" t="s">
        <v>13144</v>
      </c>
      <c r="B12270" s="380" t="str">
        <f>IFERROR(__xludf.DUMMYFUNCTION("""COMPUTED_VALUE"""),"SENS Nivel Agua Isx-Kw T800 4 1673785c92")</f>
        <v>SENS Nivel Agua Isx-Kw T800 4 1673785c92</v>
      </c>
      <c r="C12270" s="380" t="str">
        <f>IFERROR(__xludf.DUMMYFUNCTION("""COMPUTED_VALUE"""),"70007728")</f>
        <v>70007728</v>
      </c>
      <c r="D12270" s="380" t="s">
        <v>767</v>
      </c>
      <c r="E12270" s="380" t="s">
        <v>786</v>
      </c>
      <c r="F12270" s="380" t="s">
        <v>998</v>
      </c>
      <c r="G12270" s="380" t="s">
        <v>1267</v>
      </c>
      <c r="H12270" s="380" t="s">
        <v>771</v>
      </c>
      <c r="I12270" s="380" t="s">
        <v>788</v>
      </c>
      <c r="J12270" s="380" t="s">
        <v>773</v>
      </c>
      <c r="K12270" s="381">
        <v>464100.0</v>
      </c>
      <c r="L12270" s="382">
        <v>1.0</v>
      </c>
    </row>
    <row r="12271">
      <c r="A12271" s="380" t="s">
        <v>13145</v>
      </c>
      <c r="B12271" s="380" t="str">
        <f>IFERROR(__xludf.DUMMYFUNCTION("""COMPUTED_VALUE"""),"FILT Hidraulico Hi4 Fleetguard Hf - 6162")</f>
        <v>FILT Hidraulico Hi4 Fleetguard Hf - 6162</v>
      </c>
      <c r="C12271" s="380" t="str">
        <f>IFERROR(__xludf.DUMMYFUNCTION("""COMPUTED_VALUE"""),"70007729")</f>
        <v>70007729</v>
      </c>
      <c r="D12271" s="380" t="s">
        <v>767</v>
      </c>
      <c r="E12271" s="380" t="s">
        <v>786</v>
      </c>
      <c r="F12271" s="380" t="s">
        <v>5855</v>
      </c>
      <c r="G12271" s="380" t="s">
        <v>1267</v>
      </c>
      <c r="H12271" s="380" t="s">
        <v>771</v>
      </c>
      <c r="I12271" s="380" t="s">
        <v>788</v>
      </c>
      <c r="J12271" s="380" t="s">
        <v>773</v>
      </c>
      <c r="K12271" s="381">
        <v>0.0</v>
      </c>
      <c r="L12271" s="382">
        <v>1.0</v>
      </c>
    </row>
    <row r="12272">
      <c r="A12272" s="380" t="s">
        <v>13146</v>
      </c>
      <c r="B12272" s="380" t="str">
        <f>IFERROR(__xludf.DUMMYFUNCTION("""COMPUTED_VALUE"""),"Luna Es Luna Espejo Generico 17.5 X 0.40")</f>
        <v>Luna Es Luna Espejo Generico 17.5 X 0.40</v>
      </c>
      <c r="C12272" s="380" t="str">
        <f>IFERROR(__xludf.DUMMYFUNCTION("""COMPUTED_VALUE"""),"70007730")</f>
        <v>70007730</v>
      </c>
      <c r="D12272" s="380" t="s">
        <v>767</v>
      </c>
      <c r="E12272" s="380" t="s">
        <v>786</v>
      </c>
      <c r="F12272" s="380" t="s">
        <v>1031</v>
      </c>
      <c r="G12272" s="380" t="s">
        <v>1267</v>
      </c>
      <c r="H12272" s="380" t="s">
        <v>771</v>
      </c>
      <c r="I12272" s="380" t="s">
        <v>788</v>
      </c>
      <c r="J12272" s="380" t="s">
        <v>773</v>
      </c>
      <c r="K12272" s="381">
        <v>24990.0</v>
      </c>
      <c r="L12272" s="382">
        <v>1.0</v>
      </c>
    </row>
    <row r="12273">
      <c r="A12273" s="380" t="s">
        <v>13147</v>
      </c>
      <c r="B12273" s="380" t="str">
        <f>IFERROR(__xludf.DUMMYFUNCTION("""COMPUTED_VALUE"""),"Campana Freno De Mano T Delta 4650187303")</f>
        <v>Campana Freno De Mano T Delta 4650187303</v>
      </c>
      <c r="C12273" s="380" t="str">
        <f>IFERROR(__xludf.DUMMYFUNCTION("""COMPUTED_VALUE"""),"70007731")</f>
        <v>70007731</v>
      </c>
      <c r="D12273" s="380" t="s">
        <v>767</v>
      </c>
      <c r="E12273" s="380" t="s">
        <v>786</v>
      </c>
      <c r="F12273" s="380" t="s">
        <v>1017</v>
      </c>
      <c r="G12273" s="380" t="s">
        <v>1267</v>
      </c>
      <c r="H12273" s="380" t="s">
        <v>771</v>
      </c>
      <c r="I12273" s="380" t="s">
        <v>788</v>
      </c>
      <c r="J12273" s="380" t="s">
        <v>773</v>
      </c>
      <c r="K12273" s="381">
        <v>0.0</v>
      </c>
      <c r="L12273" s="382">
        <v>1.0</v>
      </c>
    </row>
    <row r="12274">
      <c r="A12274" s="380" t="s">
        <v>13148</v>
      </c>
      <c r="B12274" s="380" t="str">
        <f>IFERROR(__xludf.DUMMYFUNCTION("""COMPUTED_VALUE"""),"Tuerca Eje Corredizo T Delta 9017924008")</f>
        <v>Tuerca Eje Corredizo T Delta 9017924008</v>
      </c>
      <c r="C12274" s="380" t="str">
        <f>IFERROR(__xludf.DUMMYFUNCTION("""COMPUTED_VALUE"""),"70007732")</f>
        <v>70007732</v>
      </c>
      <c r="D12274" s="380" t="s">
        <v>767</v>
      </c>
      <c r="E12274" s="380" t="s">
        <v>786</v>
      </c>
      <c r="F12274" s="380" t="s">
        <v>928</v>
      </c>
      <c r="G12274" s="380" t="s">
        <v>1267</v>
      </c>
      <c r="H12274" s="380" t="s">
        <v>771</v>
      </c>
      <c r="I12274" s="380" t="s">
        <v>788</v>
      </c>
      <c r="J12274" s="380" t="s">
        <v>773</v>
      </c>
      <c r="K12274" s="381">
        <v>0.0</v>
      </c>
      <c r="L12274" s="382">
        <v>1.0</v>
      </c>
    </row>
    <row r="12275">
      <c r="A12275" s="380" t="s">
        <v>13149</v>
      </c>
      <c r="B12275" s="380" t="str">
        <f>IFERROR(__xludf.DUMMYFUNCTION("""COMPUTED_VALUE"""),"Retenedor Rueda Tras T Delta 9004311053")</f>
        <v>Retenedor Rueda Tras T Delta 9004311053</v>
      </c>
      <c r="C12275" s="380" t="str">
        <f>IFERROR(__xludf.DUMMYFUNCTION("""COMPUTED_VALUE"""),"70007733")</f>
        <v>70007733</v>
      </c>
      <c r="D12275" s="380" t="s">
        <v>767</v>
      </c>
      <c r="E12275" s="380" t="s">
        <v>786</v>
      </c>
      <c r="F12275" s="380" t="s">
        <v>1039</v>
      </c>
      <c r="G12275" s="380" t="s">
        <v>1267</v>
      </c>
      <c r="H12275" s="380" t="s">
        <v>771</v>
      </c>
      <c r="I12275" s="380" t="s">
        <v>788</v>
      </c>
      <c r="J12275" s="380" t="s">
        <v>773</v>
      </c>
      <c r="K12275" s="381">
        <v>0.0</v>
      </c>
      <c r="L12275" s="382">
        <v>1.0</v>
      </c>
    </row>
    <row r="12276">
      <c r="A12276" s="380" t="s">
        <v>13150</v>
      </c>
      <c r="B12276" s="380" t="str">
        <f>IFERROR(__xludf.DUMMYFUNCTION("""COMPUTED_VALUE"""),"VENT RAD Isx 32"" 9400 3625639c1")</f>
        <v>VENT RAD Isx 32" 9400 3625639c1</v>
      </c>
      <c r="C12276" s="380" t="str">
        <f>IFERROR(__xludf.DUMMYFUNCTION("""COMPUTED_VALUE"""),"70007734")</f>
        <v>70007734</v>
      </c>
      <c r="D12276" s="380" t="s">
        <v>767</v>
      </c>
      <c r="E12276" s="380" t="s">
        <v>786</v>
      </c>
      <c r="F12276" s="380" t="s">
        <v>787</v>
      </c>
      <c r="G12276" s="380" t="s">
        <v>1267</v>
      </c>
      <c r="H12276" s="380" t="s">
        <v>771</v>
      </c>
      <c r="I12276" s="380" t="s">
        <v>788</v>
      </c>
      <c r="J12276" s="380" t="s">
        <v>773</v>
      </c>
      <c r="K12276" s="381">
        <v>0.0</v>
      </c>
      <c r="L12276" s="382">
        <v>1.0</v>
      </c>
    </row>
    <row r="12277">
      <c r="A12277" s="380" t="s">
        <v>13151</v>
      </c>
      <c r="B12277" s="380" t="str">
        <f>IFERROR(__xludf.DUMMYFUNCTION("""COMPUTED_VALUE"""),"Correa VENT 12pk2310 Hi 9400-2 3565410c3")</f>
        <v>Correa VENT 12pk2310 Hi 9400-2 3565410c3</v>
      </c>
      <c r="C12277" s="380" t="str">
        <f>IFERROR(__xludf.DUMMYFUNCTION("""COMPUTED_VALUE"""),"70007735")</f>
        <v>70007735</v>
      </c>
      <c r="D12277" s="380" t="s">
        <v>767</v>
      </c>
      <c r="E12277" s="380" t="s">
        <v>786</v>
      </c>
      <c r="F12277" s="380" t="s">
        <v>787</v>
      </c>
      <c r="G12277" s="380" t="s">
        <v>1267</v>
      </c>
      <c r="H12277" s="380" t="s">
        <v>771</v>
      </c>
      <c r="I12277" s="380" t="s">
        <v>788</v>
      </c>
      <c r="J12277" s="380" t="s">
        <v>773</v>
      </c>
      <c r="K12277" s="381">
        <v>186902.0</v>
      </c>
      <c r="L12277" s="382">
        <v>1.0</v>
      </c>
    </row>
    <row r="12278">
      <c r="A12278" s="380" t="s">
        <v>13152</v>
      </c>
      <c r="B12278" s="380" t="str">
        <f>IFERROR(__xludf.DUMMYFUNCTION("""COMPUTED_VALUE"""),"Correa A/C Isx Hi 9400-2008 6p 3565412c1")</f>
        <v>Correa A/C Isx Hi 9400-2008 6p 3565412c1</v>
      </c>
      <c r="C12278" s="380" t="str">
        <f>IFERROR(__xludf.DUMMYFUNCTION("""COMPUTED_VALUE"""),"70007736")</f>
        <v>70007736</v>
      </c>
      <c r="D12278" s="380" t="s">
        <v>767</v>
      </c>
      <c r="E12278" s="380" t="s">
        <v>786</v>
      </c>
      <c r="F12278" s="380" t="s">
        <v>787</v>
      </c>
      <c r="G12278" s="380" t="s">
        <v>1267</v>
      </c>
      <c r="H12278" s="380" t="s">
        <v>771</v>
      </c>
      <c r="I12278" s="380" t="s">
        <v>788</v>
      </c>
      <c r="J12278" s="380" t="s">
        <v>773</v>
      </c>
      <c r="K12278" s="381">
        <v>70181.0</v>
      </c>
      <c r="L12278" s="382">
        <v>1.0</v>
      </c>
    </row>
    <row r="12279">
      <c r="A12279" s="380" t="s">
        <v>13153</v>
      </c>
      <c r="B12279" s="380" t="str">
        <f>IFERROR(__xludf.DUMMYFUNCTION("""COMPUTED_VALUE"""),"Manguera Radiador 4"" Roja Isx 3558834c2")</f>
        <v>Manguera Radiador 4" Roja Isx 3558834c2</v>
      </c>
      <c r="C12279" s="380" t="str">
        <f>IFERROR(__xludf.DUMMYFUNCTION("""COMPUTED_VALUE"""),"70007737")</f>
        <v>70007737</v>
      </c>
      <c r="D12279" s="380" t="s">
        <v>767</v>
      </c>
      <c r="E12279" s="380" t="s">
        <v>786</v>
      </c>
      <c r="F12279" s="380" t="s">
        <v>787</v>
      </c>
      <c r="G12279" s="380" t="s">
        <v>1267</v>
      </c>
      <c r="H12279" s="380" t="s">
        <v>771</v>
      </c>
      <c r="I12279" s="380" t="s">
        <v>788</v>
      </c>
      <c r="J12279" s="380" t="s">
        <v>773</v>
      </c>
      <c r="K12279" s="381">
        <v>0.0</v>
      </c>
      <c r="L12279" s="382">
        <v>1.0</v>
      </c>
    </row>
    <row r="12280">
      <c r="A12280" s="380" t="s">
        <v>13154</v>
      </c>
      <c r="B12280" s="380" t="str">
        <f>IFERROR(__xludf.DUMMYFUNCTION("""COMPUTED_VALUE"""),"Post Enfriador AIR MOT Hi 940 2591600c91")</f>
        <v>Post Enfriador AIR MOT Hi 940 2591600c91</v>
      </c>
      <c r="C12280" s="380" t="str">
        <f>IFERROR(__xludf.DUMMYFUNCTION("""COMPUTED_VALUE"""),"70007738")</f>
        <v>70007738</v>
      </c>
      <c r="D12280" s="380" t="s">
        <v>767</v>
      </c>
      <c r="E12280" s="380" t="s">
        <v>786</v>
      </c>
      <c r="F12280" s="380" t="s">
        <v>787</v>
      </c>
      <c r="G12280" s="380" t="s">
        <v>1267</v>
      </c>
      <c r="H12280" s="380" t="s">
        <v>771</v>
      </c>
      <c r="I12280" s="380" t="s">
        <v>788</v>
      </c>
      <c r="J12280" s="380" t="s">
        <v>773</v>
      </c>
      <c r="K12280" s="381">
        <v>0.0</v>
      </c>
      <c r="L12280" s="382">
        <v>1.0</v>
      </c>
    </row>
    <row r="12281">
      <c r="A12281" s="380" t="s">
        <v>13155</v>
      </c>
      <c r="B12281" s="380" t="str">
        <f>IFERROR(__xludf.DUMMYFUNCTION("""COMPUTED_VALUE"""),"RAD MOT Isx Hi 9400-2008 20"" 2591559c91")</f>
        <v>RAD MOT Isx Hi 9400-2008 20" 2591559c91</v>
      </c>
      <c r="C12281" s="380" t="str">
        <f>IFERROR(__xludf.DUMMYFUNCTION("""COMPUTED_VALUE"""),"70007739")</f>
        <v>70007739</v>
      </c>
      <c r="D12281" s="380" t="s">
        <v>767</v>
      </c>
      <c r="E12281" s="380" t="s">
        <v>786</v>
      </c>
      <c r="F12281" s="380" t="s">
        <v>787</v>
      </c>
      <c r="G12281" s="380" t="s">
        <v>1267</v>
      </c>
      <c r="H12281" s="380" t="s">
        <v>771</v>
      </c>
      <c r="I12281" s="380" t="s">
        <v>788</v>
      </c>
      <c r="J12281" s="380" t="s">
        <v>773</v>
      </c>
      <c r="K12281" s="381">
        <v>0.0</v>
      </c>
      <c r="L12281" s="382">
        <v>1.0</v>
      </c>
    </row>
    <row r="12282">
      <c r="A12282" s="380" t="s">
        <v>13156</v>
      </c>
      <c r="B12282" s="380" t="str">
        <f>IFERROR(__xludf.DUMMYFUNCTION("""COMPUTED_VALUE"""),"Tubo Salida RAD De AIR Isx Hi 3808579c1")</f>
        <v>Tubo Salida RAD De AIR Isx Hi 3808579c1</v>
      </c>
      <c r="C12282" s="380" t="str">
        <f>IFERROR(__xludf.DUMMYFUNCTION("""COMPUTED_VALUE"""),"70007740")</f>
        <v>70007740</v>
      </c>
      <c r="D12282" s="380" t="s">
        <v>767</v>
      </c>
      <c r="E12282" s="380" t="s">
        <v>786</v>
      </c>
      <c r="F12282" s="380" t="s">
        <v>787</v>
      </c>
      <c r="G12282" s="380" t="s">
        <v>1267</v>
      </c>
      <c r="H12282" s="380" t="s">
        <v>771</v>
      </c>
      <c r="I12282" s="380" t="s">
        <v>788</v>
      </c>
      <c r="J12282" s="380" t="s">
        <v>773</v>
      </c>
      <c r="K12282" s="381">
        <v>0.0</v>
      </c>
      <c r="L12282" s="382">
        <v>1.0</v>
      </c>
    </row>
    <row r="12283">
      <c r="A12283" s="380" t="s">
        <v>13157</v>
      </c>
      <c r="B12283" s="380" t="str">
        <f>IFERROR(__xludf.DUMMYFUNCTION("""COMPUTED_VALUE"""),"FILT COMB S Carry Chevrolet 15410-8520")</f>
        <v>FILT COMB S Carry Chevrolet 15410-8520</v>
      </c>
      <c r="C12283" s="380" t="str">
        <f>IFERROR(__xludf.DUMMYFUNCTION("""COMPUTED_VALUE"""),"70007741")</f>
        <v>70007741</v>
      </c>
      <c r="D12283" s="380" t="s">
        <v>767</v>
      </c>
      <c r="E12283" s="380" t="s">
        <v>786</v>
      </c>
      <c r="F12283" s="380" t="s">
        <v>5855</v>
      </c>
      <c r="G12283" s="380" t="s">
        <v>1267</v>
      </c>
      <c r="H12283" s="380" t="s">
        <v>771</v>
      </c>
      <c r="I12283" s="380" t="s">
        <v>788</v>
      </c>
      <c r="J12283" s="380" t="s">
        <v>773</v>
      </c>
      <c r="K12283" s="381">
        <v>4501.0</v>
      </c>
      <c r="L12283" s="382">
        <v>1.0</v>
      </c>
    </row>
    <row r="12284">
      <c r="A12284" s="380" t="s">
        <v>13158</v>
      </c>
      <c r="B12284" s="380" t="str">
        <f>IFERROR(__xludf.DUMMYFUNCTION("""COMPUTED_VALUE"""),"BMB Principal Pedal Clucth VW 2vb721405")</f>
        <v>BMB Principal Pedal Clucth VW 2vb721405</v>
      </c>
      <c r="C12284" s="380" t="str">
        <f>IFERROR(__xludf.DUMMYFUNCTION("""COMPUTED_VALUE"""),"70007742")</f>
        <v>70007742</v>
      </c>
      <c r="D12284" s="380" t="s">
        <v>767</v>
      </c>
      <c r="E12284" s="380" t="s">
        <v>786</v>
      </c>
      <c r="F12284" s="380" t="s">
        <v>5661</v>
      </c>
      <c r="G12284" s="380" t="s">
        <v>1267</v>
      </c>
      <c r="H12284" s="380" t="s">
        <v>771</v>
      </c>
      <c r="I12284" s="380" t="s">
        <v>788</v>
      </c>
      <c r="J12284" s="380" t="s">
        <v>773</v>
      </c>
      <c r="K12284" s="381">
        <v>0.0</v>
      </c>
      <c r="L12284" s="382">
        <v>1.0</v>
      </c>
    </row>
    <row r="12285">
      <c r="A12285" s="380" t="s">
        <v>13159</v>
      </c>
      <c r="B12285" s="380" t="str">
        <f>IFERROR(__xludf.DUMMYFUNCTION("""COMPUTED_VALUE"""),"DEP Refrigerante Hi 9400/2008 M2591620c9")</f>
        <v>DEP Refrigerante Hi 9400/2008 M2591620c9</v>
      </c>
      <c r="C12285" s="380" t="str">
        <f>IFERROR(__xludf.DUMMYFUNCTION("""COMPUTED_VALUE"""),"70007743")</f>
        <v>70007743</v>
      </c>
      <c r="D12285" s="380" t="s">
        <v>767</v>
      </c>
      <c r="E12285" s="380" t="s">
        <v>786</v>
      </c>
      <c r="F12285" s="380" t="s">
        <v>787</v>
      </c>
      <c r="G12285" s="380" t="s">
        <v>1267</v>
      </c>
      <c r="H12285" s="380" t="s">
        <v>771</v>
      </c>
      <c r="I12285" s="380" t="s">
        <v>788</v>
      </c>
      <c r="J12285" s="380" t="s">
        <v>773</v>
      </c>
      <c r="K12285" s="381">
        <v>0.0</v>
      </c>
      <c r="L12285" s="382">
        <v>1.0</v>
      </c>
    </row>
    <row r="12286">
      <c r="A12286" s="380" t="s">
        <v>13160</v>
      </c>
      <c r="B12286" s="380" t="str">
        <f>IFERROR(__xludf.DUMMYFUNCTION("""COMPUTED_VALUE"""),"Varilla Tensora RAD Hi9400/200 3541975c3")</f>
        <v>Varilla Tensora RAD Hi9400/200 3541975c3</v>
      </c>
      <c r="C12286" s="380" t="str">
        <f>IFERROR(__xludf.DUMMYFUNCTION("""COMPUTED_VALUE"""),"70007744")</f>
        <v>70007744</v>
      </c>
      <c r="D12286" s="380" t="s">
        <v>767</v>
      </c>
      <c r="E12286" s="380" t="s">
        <v>786</v>
      </c>
      <c r="F12286" s="380" t="s">
        <v>787</v>
      </c>
      <c r="G12286" s="380" t="s">
        <v>1267</v>
      </c>
      <c r="H12286" s="380" t="s">
        <v>771</v>
      </c>
      <c r="I12286" s="380" t="s">
        <v>788</v>
      </c>
      <c r="J12286" s="380" t="s">
        <v>773</v>
      </c>
      <c r="K12286" s="381">
        <v>0.0</v>
      </c>
      <c r="L12286" s="382">
        <v>1.0</v>
      </c>
    </row>
    <row r="12287">
      <c r="A12287" s="380" t="s">
        <v>13161</v>
      </c>
      <c r="B12287" s="380" t="str">
        <f>IFERROR(__xludf.DUMMYFUNCTION("""COMPUTED_VALUE"""),"Tornillo Base Enfriador Aceite 1817962c1")</f>
        <v>Tornillo Base Enfriador Aceite 1817962c1</v>
      </c>
      <c r="C12287" s="380" t="str">
        <f>IFERROR(__xludf.DUMMYFUNCTION("""COMPUTED_VALUE"""),"70007745")</f>
        <v>70007745</v>
      </c>
      <c r="D12287" s="380" t="s">
        <v>767</v>
      </c>
      <c r="E12287" s="380" t="s">
        <v>786</v>
      </c>
      <c r="F12287" s="380" t="s">
        <v>787</v>
      </c>
      <c r="G12287" s="380" t="s">
        <v>1267</v>
      </c>
      <c r="H12287" s="380" t="s">
        <v>771</v>
      </c>
      <c r="I12287" s="380" t="s">
        <v>788</v>
      </c>
      <c r="J12287" s="380" t="s">
        <v>773</v>
      </c>
      <c r="K12287" s="381">
        <v>0.0</v>
      </c>
      <c r="L12287" s="382">
        <v>1.0</v>
      </c>
    </row>
    <row r="12288">
      <c r="A12288" s="380" t="s">
        <v>13162</v>
      </c>
      <c r="B12288" s="380" t="str">
        <f>IFERROR(__xludf.DUMMYFUNCTION("""COMPUTED_VALUE"""),"Guaya Selectora Cambios Nkr I 8970899873")</f>
        <v>Guaya Selectora Cambios Nkr I 8970899873</v>
      </c>
      <c r="C12288" s="380" t="str">
        <f>IFERROR(__xludf.DUMMYFUNCTION("""COMPUTED_VALUE"""),"70007746")</f>
        <v>70007746</v>
      </c>
      <c r="D12288" s="380" t="s">
        <v>767</v>
      </c>
      <c r="E12288" s="380" t="s">
        <v>786</v>
      </c>
      <c r="F12288" s="380" t="s">
        <v>787</v>
      </c>
      <c r="G12288" s="380" t="s">
        <v>1267</v>
      </c>
      <c r="H12288" s="380" t="s">
        <v>771</v>
      </c>
      <c r="I12288" s="380" t="s">
        <v>788</v>
      </c>
      <c r="J12288" s="380" t="s">
        <v>773</v>
      </c>
      <c r="K12288" s="381">
        <v>0.0</v>
      </c>
      <c r="L12288" s="382">
        <v>1.0</v>
      </c>
    </row>
    <row r="12289">
      <c r="A12289" s="380" t="s">
        <v>13163</v>
      </c>
      <c r="B12289" s="380" t="str">
        <f>IFERROR(__xludf.DUMMYFUNCTION("""COMPUTED_VALUE"""),"Pito Reversa")</f>
        <v>Pito Reversa</v>
      </c>
      <c r="C12289" s="380" t="str">
        <f>IFERROR(__xludf.DUMMYFUNCTION("""COMPUTED_VALUE"""),"70007747")</f>
        <v>70007747</v>
      </c>
      <c r="D12289" s="380" t="s">
        <v>767</v>
      </c>
      <c r="E12289" s="380" t="s">
        <v>786</v>
      </c>
      <c r="F12289" s="380" t="s">
        <v>998</v>
      </c>
      <c r="G12289" s="380" t="s">
        <v>1267</v>
      </c>
      <c r="H12289" s="380" t="s">
        <v>771</v>
      </c>
      <c r="I12289" s="380" t="s">
        <v>788</v>
      </c>
      <c r="J12289" s="380" t="s">
        <v>773</v>
      </c>
      <c r="K12289" s="381">
        <v>45518.0</v>
      </c>
      <c r="L12289" s="382">
        <v>1.0</v>
      </c>
    </row>
    <row r="12290">
      <c r="A12290" s="380" t="s">
        <v>13164</v>
      </c>
      <c r="B12290" s="380" t="str">
        <f>IFERROR(__xludf.DUMMYFUNCTION("""COMPUTED_VALUE"""),"Manguera Bomba Vacio Npr 94339073")</f>
        <v>Manguera Bomba Vacio Npr 94339073</v>
      </c>
      <c r="C12290" s="380" t="str">
        <f>IFERROR(__xludf.DUMMYFUNCTION("""COMPUTED_VALUE"""),"70007748")</f>
        <v>70007748</v>
      </c>
      <c r="D12290" s="380" t="s">
        <v>767</v>
      </c>
      <c r="E12290" s="380" t="s">
        <v>786</v>
      </c>
      <c r="F12290" s="380" t="s">
        <v>787</v>
      </c>
      <c r="G12290" s="380" t="s">
        <v>1267</v>
      </c>
      <c r="H12290" s="380" t="s">
        <v>771</v>
      </c>
      <c r="I12290" s="380" t="s">
        <v>788</v>
      </c>
      <c r="J12290" s="380" t="s">
        <v>773</v>
      </c>
      <c r="K12290" s="381">
        <v>0.0</v>
      </c>
      <c r="L12290" s="382">
        <v>1.0</v>
      </c>
    </row>
    <row r="12291">
      <c r="A12291" s="380" t="s">
        <v>13165</v>
      </c>
      <c r="B12291" s="380" t="str">
        <f>IFERROR(__xludf.DUMMYFUNCTION("""COMPUTED_VALUE"""),"Set Rodillo Rda Tras Int NkrIII 28985/21")</f>
        <v>Set Rodillo Rda Tras Int NkrIII 28985/21</v>
      </c>
      <c r="C12291" s="380" t="str">
        <f>IFERROR(__xludf.DUMMYFUNCTION("""COMPUTED_VALUE"""),"70007749")</f>
        <v>70007749</v>
      </c>
      <c r="D12291" s="380" t="s">
        <v>767</v>
      </c>
      <c r="E12291" s="380" t="s">
        <v>786</v>
      </c>
      <c r="F12291" s="380" t="s">
        <v>1039</v>
      </c>
      <c r="G12291" s="380" t="s">
        <v>1267</v>
      </c>
      <c r="H12291" s="380" t="s">
        <v>771</v>
      </c>
      <c r="I12291" s="380" t="s">
        <v>788</v>
      </c>
      <c r="J12291" s="380" t="s">
        <v>773</v>
      </c>
      <c r="K12291" s="381">
        <v>0.0</v>
      </c>
      <c r="L12291" s="382">
        <v>1.0</v>
      </c>
    </row>
    <row r="12292">
      <c r="A12292" s="380" t="s">
        <v>13166</v>
      </c>
      <c r="B12292" s="380" t="str">
        <f>IFERROR(__xludf.DUMMYFUNCTION("""COMPUTED_VALUE"""),"Amortiguador Apertura Capot F A171429700")</f>
        <v>Amortiguador Apertura Capot F A171429700</v>
      </c>
      <c r="C12292" s="380" t="str">
        <f>IFERROR(__xludf.DUMMYFUNCTION("""COMPUTED_VALUE"""),"70007750")</f>
        <v>70007750</v>
      </c>
      <c r="D12292" s="380" t="s">
        <v>767</v>
      </c>
      <c r="E12292" s="380" t="s">
        <v>786</v>
      </c>
      <c r="F12292" s="380" t="s">
        <v>792</v>
      </c>
      <c r="G12292" s="380" t="s">
        <v>1267</v>
      </c>
      <c r="H12292" s="380" t="s">
        <v>771</v>
      </c>
      <c r="I12292" s="380" t="s">
        <v>788</v>
      </c>
      <c r="J12292" s="380" t="s">
        <v>773</v>
      </c>
      <c r="K12292" s="381">
        <v>178500.0</v>
      </c>
      <c r="L12292" s="382">
        <v>1.0</v>
      </c>
    </row>
    <row r="12293">
      <c r="A12293" s="380" t="s">
        <v>13167</v>
      </c>
      <c r="B12293" s="380" t="str">
        <f>IFERROR(__xludf.DUMMYFUNCTION("""COMPUTED_VALUE"""),"Soporte Cabrilla Direc Hi 9400 2017902c2")</f>
        <v>Soporte Cabrilla Direc Hi 9400 2017902c2</v>
      </c>
      <c r="C12293" s="380" t="str">
        <f>IFERROR(__xludf.DUMMYFUNCTION("""COMPUTED_VALUE"""),"70007751")</f>
        <v>70007751</v>
      </c>
      <c r="D12293" s="380" t="s">
        <v>767</v>
      </c>
      <c r="E12293" s="380" t="s">
        <v>786</v>
      </c>
      <c r="F12293" s="380" t="s">
        <v>792</v>
      </c>
      <c r="G12293" s="380" t="s">
        <v>1267</v>
      </c>
      <c r="H12293" s="380" t="s">
        <v>771</v>
      </c>
      <c r="I12293" s="380" t="s">
        <v>788</v>
      </c>
      <c r="J12293" s="380" t="s">
        <v>773</v>
      </c>
      <c r="K12293" s="381">
        <v>0.0</v>
      </c>
      <c r="L12293" s="382">
        <v>1.0</v>
      </c>
    </row>
    <row r="12294">
      <c r="A12294" s="380" t="s">
        <v>13168</v>
      </c>
      <c r="B12294" s="380" t="str">
        <f>IFERROR(__xludf.DUMMYFUNCTION("""COMPUTED_VALUE"""),"Balinera Tren Fijo Nkr III 35mt22nr")</f>
        <v>Balinera Tren Fijo Nkr III 35mt22nr</v>
      </c>
      <c r="C12294" s="380" t="str">
        <f>IFERROR(__xludf.DUMMYFUNCTION("""COMPUTED_VALUE"""),"70007752")</f>
        <v>70007752</v>
      </c>
      <c r="D12294" s="380" t="s">
        <v>767</v>
      </c>
      <c r="E12294" s="380" t="s">
        <v>786</v>
      </c>
      <c r="F12294" s="380" t="s">
        <v>928</v>
      </c>
      <c r="G12294" s="380" t="s">
        <v>1267</v>
      </c>
      <c r="H12294" s="380" t="s">
        <v>771</v>
      </c>
      <c r="I12294" s="380" t="s">
        <v>788</v>
      </c>
      <c r="J12294" s="380" t="s">
        <v>773</v>
      </c>
      <c r="K12294" s="381">
        <v>0.0</v>
      </c>
      <c r="L12294" s="382">
        <v>1.0</v>
      </c>
    </row>
    <row r="12295">
      <c r="A12295" s="380" t="s">
        <v>13169</v>
      </c>
      <c r="B12295" s="380" t="str">
        <f>IFERROR(__xludf.DUMMYFUNCTION("""COMPUTED_VALUE"""),"Abrazadera Cremallera 20")</f>
        <v>Abrazadera Cremallera 20</v>
      </c>
      <c r="C12295" s="380" t="str">
        <f>IFERROR(__xludf.DUMMYFUNCTION("""COMPUTED_VALUE"""),"70007753")</f>
        <v>70007753</v>
      </c>
      <c r="D12295" s="380" t="s">
        <v>767</v>
      </c>
      <c r="E12295" s="380" t="s">
        <v>786</v>
      </c>
      <c r="F12295" s="380" t="s">
        <v>989</v>
      </c>
      <c r="G12295" s="380" t="s">
        <v>1267</v>
      </c>
      <c r="H12295" s="380" t="s">
        <v>771</v>
      </c>
      <c r="I12295" s="380" t="s">
        <v>788</v>
      </c>
      <c r="J12295" s="380" t="s">
        <v>773</v>
      </c>
      <c r="K12295" s="381">
        <v>0.0</v>
      </c>
      <c r="L12295" s="382">
        <v>1.0</v>
      </c>
    </row>
    <row r="12296">
      <c r="A12296" s="380" t="s">
        <v>13170</v>
      </c>
      <c r="B12296" s="380" t="str">
        <f>IFERROR(__xludf.DUMMYFUNCTION("""COMPUTED_VALUE"""),"Amortiguador Trailer Inca S-20126")</f>
        <v>Amortiguador Trailer Inca S-20126</v>
      </c>
      <c r="C12296" s="380" t="str">
        <f>IFERROR(__xludf.DUMMYFUNCTION("""COMPUTED_VALUE"""),"70007754")</f>
        <v>70007754</v>
      </c>
      <c r="D12296" s="380" t="s">
        <v>767</v>
      </c>
      <c r="E12296" s="380" t="s">
        <v>786</v>
      </c>
      <c r="F12296" s="380" t="s">
        <v>1039</v>
      </c>
      <c r="G12296" s="380" t="s">
        <v>1267</v>
      </c>
      <c r="H12296" s="380" t="s">
        <v>771</v>
      </c>
      <c r="I12296" s="380" t="s">
        <v>788</v>
      </c>
      <c r="J12296" s="380" t="s">
        <v>773</v>
      </c>
      <c r="K12296" s="381">
        <v>0.0</v>
      </c>
      <c r="L12296" s="382">
        <v>1.0</v>
      </c>
    </row>
    <row r="12297">
      <c r="A12297" s="380" t="s">
        <v>13171</v>
      </c>
      <c r="B12297" s="380" t="str">
        <f>IFERROR(__xludf.DUMMYFUNCTION("""COMPUTED_VALUE"""),"Balinera Drover Nkr III 8941787321")</f>
        <v>Balinera Drover Nkr III 8941787321</v>
      </c>
      <c r="C12297" s="380" t="str">
        <f>IFERROR(__xludf.DUMMYFUNCTION("""COMPUTED_VALUE"""),"70007755")</f>
        <v>70007755</v>
      </c>
      <c r="D12297" s="380" t="s">
        <v>767</v>
      </c>
      <c r="E12297" s="380" t="s">
        <v>786</v>
      </c>
      <c r="F12297" s="380" t="s">
        <v>928</v>
      </c>
      <c r="G12297" s="380" t="s">
        <v>1267</v>
      </c>
      <c r="H12297" s="380" t="s">
        <v>771</v>
      </c>
      <c r="I12297" s="380" t="s">
        <v>788</v>
      </c>
      <c r="J12297" s="380" t="s">
        <v>773</v>
      </c>
      <c r="K12297" s="381">
        <v>0.0</v>
      </c>
      <c r="L12297" s="382">
        <v>1.0</v>
      </c>
    </row>
    <row r="12298">
      <c r="A12298" s="380" t="s">
        <v>13172</v>
      </c>
      <c r="B12298" s="380" t="str">
        <f>IFERROR(__xludf.DUMMYFUNCTION("""COMPUTED_VALUE"""),"Bombillo Halogeno C Patas 488 12v 60/55w")</f>
        <v>Bombillo Halogeno C Patas 488 12v 60/55w</v>
      </c>
      <c r="C12298" s="380" t="str">
        <f>IFERROR(__xludf.DUMMYFUNCTION("""COMPUTED_VALUE"""),"70007756")</f>
        <v>70007756</v>
      </c>
      <c r="D12298" s="380" t="s">
        <v>767</v>
      </c>
      <c r="E12298" s="380" t="s">
        <v>786</v>
      </c>
      <c r="F12298" s="380" t="s">
        <v>998</v>
      </c>
      <c r="G12298" s="380" t="s">
        <v>1267</v>
      </c>
      <c r="H12298" s="380" t="s">
        <v>771</v>
      </c>
      <c r="I12298" s="380" t="s">
        <v>788</v>
      </c>
      <c r="J12298" s="380" t="s">
        <v>773</v>
      </c>
      <c r="K12298" s="381">
        <v>70438.0</v>
      </c>
      <c r="L12298" s="382">
        <v>1.0</v>
      </c>
    </row>
    <row r="12299">
      <c r="A12299" s="380" t="s">
        <v>13173</v>
      </c>
      <c r="B12299" s="380" t="str">
        <f>IFERROR(__xludf.DUMMYFUNCTION("""COMPUTED_VALUE"""),"INTruptor Neutro Nkr III 8981 8980371590")</f>
        <v>INTruptor Neutro Nkr III 8981 8980371590</v>
      </c>
      <c r="C12299" s="380" t="str">
        <f>IFERROR(__xludf.DUMMYFUNCTION("""COMPUTED_VALUE"""),"70007757")</f>
        <v>70007757</v>
      </c>
      <c r="D12299" s="380" t="s">
        <v>767</v>
      </c>
      <c r="E12299" s="380" t="s">
        <v>786</v>
      </c>
      <c r="F12299" s="380" t="s">
        <v>998</v>
      </c>
      <c r="G12299" s="380" t="s">
        <v>1267</v>
      </c>
      <c r="H12299" s="380" t="s">
        <v>771</v>
      </c>
      <c r="I12299" s="380" t="s">
        <v>788</v>
      </c>
      <c r="J12299" s="380" t="s">
        <v>773</v>
      </c>
      <c r="K12299" s="381">
        <v>141660.0</v>
      </c>
      <c r="L12299" s="382">
        <v>1.0</v>
      </c>
    </row>
    <row r="12300">
      <c r="A12300" s="380" t="s">
        <v>13174</v>
      </c>
      <c r="B12300" s="380" t="str">
        <f>IFERROR(__xludf.DUMMYFUNCTION("""COMPUTED_VALUE"""),"Esparrago RDA Del Izq Nkr III 8970815852")</f>
        <v>Esparrago RDA Del Izq Nkr III 8970815852</v>
      </c>
      <c r="C12300" s="380" t="str">
        <f>IFERROR(__xludf.DUMMYFUNCTION("""COMPUTED_VALUE"""),"70007758")</f>
        <v>70007758</v>
      </c>
      <c r="D12300" s="380" t="s">
        <v>767</v>
      </c>
      <c r="E12300" s="380" t="s">
        <v>786</v>
      </c>
      <c r="F12300" s="380" t="s">
        <v>1039</v>
      </c>
      <c r="G12300" s="380" t="s">
        <v>1267</v>
      </c>
      <c r="H12300" s="380" t="s">
        <v>771</v>
      </c>
      <c r="I12300" s="380" t="s">
        <v>788</v>
      </c>
      <c r="J12300" s="380" t="s">
        <v>773</v>
      </c>
      <c r="K12300" s="381">
        <v>0.0</v>
      </c>
      <c r="L12300" s="382">
        <v>1.0</v>
      </c>
    </row>
    <row r="12301">
      <c r="A12301" s="380" t="s">
        <v>13175</v>
      </c>
      <c r="B12301" s="380" t="str">
        <f>IFERROR(__xludf.DUMMYFUNCTION("""COMPUTED_VALUE"""),"Tuerca Esparrago RDA Del Izq 8973598080")</f>
        <v>Tuerca Esparrago RDA Del Izq 8973598080</v>
      </c>
      <c r="C12301" s="380" t="str">
        <f>IFERROR(__xludf.DUMMYFUNCTION("""COMPUTED_VALUE"""),"70007759")</f>
        <v>70007759</v>
      </c>
      <c r="D12301" s="380" t="s">
        <v>767</v>
      </c>
      <c r="E12301" s="380" t="s">
        <v>786</v>
      </c>
      <c r="F12301" s="380" t="s">
        <v>1039</v>
      </c>
      <c r="G12301" s="380" t="s">
        <v>1267</v>
      </c>
      <c r="H12301" s="380" t="s">
        <v>771</v>
      </c>
      <c r="I12301" s="380" t="s">
        <v>788</v>
      </c>
      <c r="J12301" s="380" t="s">
        <v>773</v>
      </c>
      <c r="K12301" s="381">
        <v>0.0</v>
      </c>
      <c r="L12301" s="382">
        <v>1.0</v>
      </c>
    </row>
    <row r="12302">
      <c r="A12302" s="380" t="s">
        <v>13176</v>
      </c>
      <c r="B12302" s="380" t="str">
        <f>IFERROR(__xludf.DUMMYFUNCTION("""COMPUTED_VALUE"""),"Arandela Ajuste Caja 14718 4302047")</f>
        <v>Arandela Ajuste Caja 14718 4302047</v>
      </c>
      <c r="C12302" s="380" t="str">
        <f>IFERROR(__xludf.DUMMYFUNCTION("""COMPUTED_VALUE"""),"70007760")</f>
        <v>70007760</v>
      </c>
      <c r="D12302" s="380" t="s">
        <v>767</v>
      </c>
      <c r="E12302" s="380" t="s">
        <v>786</v>
      </c>
      <c r="F12302" s="380" t="s">
        <v>928</v>
      </c>
      <c r="G12302" s="380" t="s">
        <v>1267</v>
      </c>
      <c r="H12302" s="380" t="s">
        <v>771</v>
      </c>
      <c r="I12302" s="380" t="s">
        <v>788</v>
      </c>
      <c r="J12302" s="380" t="s">
        <v>773</v>
      </c>
      <c r="K12302" s="381">
        <v>0.0</v>
      </c>
      <c r="L12302" s="382">
        <v>1.0</v>
      </c>
    </row>
    <row r="12303">
      <c r="A12303" s="380" t="s">
        <v>13177</v>
      </c>
      <c r="B12303" s="380" t="str">
        <f>IFERROR(__xludf.DUMMYFUNCTION("""COMPUTED_VALUE"""),"Eje Pata Ampro Contenedor 1 X 9 3/4 3289")</f>
        <v>Eje Pata Ampro Contenedor 1 X 9 3/4 3289</v>
      </c>
      <c r="C12303" s="380" t="str">
        <f>IFERROR(__xludf.DUMMYFUNCTION("""COMPUTED_VALUE"""),"70007761")</f>
        <v>70007761</v>
      </c>
      <c r="D12303" s="380" t="s">
        <v>767</v>
      </c>
      <c r="E12303" s="380" t="s">
        <v>786</v>
      </c>
      <c r="F12303" s="380" t="s">
        <v>792</v>
      </c>
      <c r="G12303" s="380" t="s">
        <v>1267</v>
      </c>
      <c r="H12303" s="380" t="s">
        <v>771</v>
      </c>
      <c r="I12303" s="380" t="s">
        <v>788</v>
      </c>
      <c r="J12303" s="380" t="s">
        <v>773</v>
      </c>
      <c r="K12303" s="381">
        <v>0.0</v>
      </c>
      <c r="L12303" s="382">
        <v>1.0</v>
      </c>
    </row>
    <row r="12304">
      <c r="A12304" s="380" t="s">
        <v>13178</v>
      </c>
      <c r="B12304" s="380" t="str">
        <f>IFERROR(__xludf.DUMMYFUNCTION("""COMPUTED_VALUE"""),"Juego Rodillo Y Cuna Transmisi K29590/22")</f>
        <v>Juego Rodillo Y Cuna Transmisi K29590/22</v>
      </c>
      <c r="C12304" s="380" t="str">
        <f>IFERROR(__xludf.DUMMYFUNCTION("""COMPUTED_VALUE"""),"70007762")</f>
        <v>70007762</v>
      </c>
      <c r="D12304" s="380" t="s">
        <v>767</v>
      </c>
      <c r="E12304" s="380" t="s">
        <v>786</v>
      </c>
      <c r="F12304" s="380" t="s">
        <v>5683</v>
      </c>
      <c r="G12304" s="380" t="s">
        <v>1267</v>
      </c>
      <c r="H12304" s="380" t="s">
        <v>771</v>
      </c>
      <c r="I12304" s="380" t="s">
        <v>788</v>
      </c>
      <c r="J12304" s="380" t="s">
        <v>773</v>
      </c>
      <c r="K12304" s="381">
        <v>0.0</v>
      </c>
      <c r="L12304" s="382">
        <v>1.0</v>
      </c>
    </row>
    <row r="12305">
      <c r="A12305" s="380" t="s">
        <v>13179</v>
      </c>
      <c r="B12305" s="380" t="str">
        <f>IFERROR(__xludf.DUMMYFUNCTION("""COMPUTED_VALUE"""),"Guaya Acelerador Akt 3w180 Motofurgon")</f>
        <v>Guaya Acelerador Akt 3w180 Motofurgon</v>
      </c>
      <c r="C12305" s="380" t="str">
        <f>IFERROR(__xludf.DUMMYFUNCTION("""COMPUTED_VALUE"""),"70007763")</f>
        <v>70007763</v>
      </c>
      <c r="D12305" s="380" t="s">
        <v>767</v>
      </c>
      <c r="E12305" s="380" t="s">
        <v>786</v>
      </c>
      <c r="F12305" s="380" t="s">
        <v>787</v>
      </c>
      <c r="G12305" s="380" t="s">
        <v>1267</v>
      </c>
      <c r="H12305" s="380" t="s">
        <v>771</v>
      </c>
      <c r="I12305" s="380" t="s">
        <v>788</v>
      </c>
      <c r="J12305" s="380" t="s">
        <v>773</v>
      </c>
      <c r="K12305" s="381">
        <v>18900.0</v>
      </c>
      <c r="L12305" s="382">
        <v>1.0</v>
      </c>
    </row>
    <row r="12306">
      <c r="A12306" s="380" t="s">
        <v>13180</v>
      </c>
      <c r="B12306" s="380" t="str">
        <f>IFERROR(__xludf.DUMMYFUNCTION("""COMPUTED_VALUE"""),"CIL Freno Tras Izq Sin Purga 4758087308")</f>
        <v>CIL Freno Tras Izq Sin Purga 4758087308</v>
      </c>
      <c r="C12306" s="380" t="str">
        <f>IFERROR(__xludf.DUMMYFUNCTION("""COMPUTED_VALUE"""),"70007764")</f>
        <v>70007764</v>
      </c>
      <c r="D12306" s="380" t="s">
        <v>767</v>
      </c>
      <c r="E12306" s="380" t="s">
        <v>786</v>
      </c>
      <c r="F12306" s="380" t="s">
        <v>1017</v>
      </c>
      <c r="G12306" s="380" t="s">
        <v>1267</v>
      </c>
      <c r="H12306" s="380" t="s">
        <v>771</v>
      </c>
      <c r="I12306" s="380" t="s">
        <v>788</v>
      </c>
      <c r="J12306" s="380" t="s">
        <v>773</v>
      </c>
      <c r="K12306" s="381">
        <v>0.0</v>
      </c>
      <c r="L12306" s="382">
        <v>1.0</v>
      </c>
    </row>
    <row r="12307">
      <c r="A12307" s="380" t="s">
        <v>13181</v>
      </c>
      <c r="B12307" s="380" t="str">
        <f>IFERROR(__xludf.DUMMYFUNCTION("""COMPUTED_VALUE"""),"Kit Chapetas Cruceta Kem Spicer 2507018x")</f>
        <v>Kit Chapetas Cruceta Kem Spicer 2507018x</v>
      </c>
      <c r="C12307" s="380" t="str">
        <f>IFERROR(__xludf.DUMMYFUNCTION("""COMPUTED_VALUE"""),"70007765")</f>
        <v>70007765</v>
      </c>
      <c r="D12307" s="380" t="s">
        <v>767</v>
      </c>
      <c r="E12307" s="380" t="s">
        <v>786</v>
      </c>
      <c r="F12307" s="380" t="s">
        <v>5683</v>
      </c>
      <c r="G12307" s="380" t="s">
        <v>1267</v>
      </c>
      <c r="H12307" s="380" t="s">
        <v>771</v>
      </c>
      <c r="I12307" s="380" t="s">
        <v>788</v>
      </c>
      <c r="J12307" s="380" t="s">
        <v>773</v>
      </c>
      <c r="K12307" s="381">
        <v>0.0</v>
      </c>
      <c r="L12307" s="382">
        <v>1.0</v>
      </c>
    </row>
    <row r="12308">
      <c r="A12308" s="380" t="s">
        <v>13182</v>
      </c>
      <c r="B12308" s="380" t="str">
        <f>IFERROR(__xludf.DUMMYFUNCTION("""COMPUTED_VALUE"""),"Retenedor Rueda Porta Contenedor 370065a")</f>
        <v>Retenedor Rueda Porta Contenedor 370065a</v>
      </c>
      <c r="C12308" s="380" t="str">
        <f>IFERROR(__xludf.DUMMYFUNCTION("""COMPUTED_VALUE"""),"70007766")</f>
        <v>70007766</v>
      </c>
      <c r="D12308" s="380" t="s">
        <v>767</v>
      </c>
      <c r="E12308" s="380" t="s">
        <v>786</v>
      </c>
      <c r="F12308" s="380" t="s">
        <v>1039</v>
      </c>
      <c r="G12308" s="380" t="s">
        <v>1267</v>
      </c>
      <c r="H12308" s="380" t="s">
        <v>771</v>
      </c>
      <c r="I12308" s="380" t="s">
        <v>788</v>
      </c>
      <c r="J12308" s="380" t="s">
        <v>773</v>
      </c>
      <c r="K12308" s="381">
        <v>0.0</v>
      </c>
      <c r="L12308" s="382">
        <v>1.0</v>
      </c>
    </row>
    <row r="12309">
      <c r="A12309" s="380" t="s">
        <v>13183</v>
      </c>
      <c r="B12309" s="380" t="str">
        <f>IFERROR(__xludf.DUMMYFUNCTION("""COMPUTED_VALUE"""),"Barra Direc Corta Nkr 8970342852")</f>
        <v>Barra Direc Corta Nkr 8970342852</v>
      </c>
      <c r="C12309" s="380" t="str">
        <f>IFERROR(__xludf.DUMMYFUNCTION("""COMPUTED_VALUE"""),"70007767")</f>
        <v>70007767</v>
      </c>
      <c r="D12309" s="380" t="s">
        <v>767</v>
      </c>
      <c r="E12309" s="380" t="s">
        <v>786</v>
      </c>
      <c r="F12309" s="380" t="s">
        <v>1020</v>
      </c>
      <c r="G12309" s="380" t="s">
        <v>1267</v>
      </c>
      <c r="H12309" s="380" t="s">
        <v>771</v>
      </c>
      <c r="I12309" s="380" t="s">
        <v>788</v>
      </c>
      <c r="J12309" s="380" t="s">
        <v>773</v>
      </c>
      <c r="K12309" s="381">
        <v>0.0</v>
      </c>
      <c r="L12309" s="382">
        <v>1.0</v>
      </c>
    </row>
    <row r="12310">
      <c r="A12310" s="380" t="s">
        <v>13184</v>
      </c>
      <c r="B12310" s="380" t="str">
        <f>IFERROR(__xludf.DUMMYFUNCTION("""COMPUTED_VALUE"""),"Sincronizmo 2da Y 3ra Caja Toyota Delta")</f>
        <v>Sincronizmo 2da Y 3ra Caja Toyota Delta</v>
      </c>
      <c r="C12310" s="380" t="str">
        <f>IFERROR(__xludf.DUMMYFUNCTION("""COMPUTED_VALUE"""),"70007768")</f>
        <v>70007768</v>
      </c>
      <c r="D12310" s="380" t="s">
        <v>767</v>
      </c>
      <c r="E12310" s="380" t="s">
        <v>786</v>
      </c>
      <c r="F12310" s="380" t="s">
        <v>787</v>
      </c>
      <c r="G12310" s="380" t="s">
        <v>1267</v>
      </c>
      <c r="H12310" s="380" t="s">
        <v>771</v>
      </c>
      <c r="I12310" s="380" t="s">
        <v>788</v>
      </c>
      <c r="J12310" s="380" t="s">
        <v>773</v>
      </c>
      <c r="K12310" s="381">
        <v>0.0</v>
      </c>
      <c r="L12310" s="382">
        <v>1.0</v>
      </c>
    </row>
    <row r="12311">
      <c r="A12311" s="380" t="s">
        <v>13185</v>
      </c>
      <c r="B12311" s="380" t="str">
        <f>IFERROR(__xludf.DUMMYFUNCTION("""COMPUTED_VALUE"""),"Sensor Temperatura Nkr 8943366680")</f>
        <v>Sensor Temperatura Nkr 8943366680</v>
      </c>
      <c r="C12311" s="380" t="str">
        <f>IFERROR(__xludf.DUMMYFUNCTION("""COMPUTED_VALUE"""),"70007769")</f>
        <v>70007769</v>
      </c>
      <c r="D12311" s="380" t="s">
        <v>767</v>
      </c>
      <c r="E12311" s="380" t="s">
        <v>786</v>
      </c>
      <c r="F12311" s="380" t="s">
        <v>998</v>
      </c>
      <c r="G12311" s="380" t="s">
        <v>1267</v>
      </c>
      <c r="H12311" s="380" t="s">
        <v>771</v>
      </c>
      <c r="I12311" s="380" t="s">
        <v>788</v>
      </c>
      <c r="J12311" s="380" t="s">
        <v>773</v>
      </c>
      <c r="K12311" s="381">
        <v>0.0</v>
      </c>
      <c r="L12311" s="382">
        <v>1.0</v>
      </c>
    </row>
    <row r="12312">
      <c r="A12312" s="380" t="s">
        <v>13186</v>
      </c>
      <c r="B12312" s="380" t="str">
        <f>IFERROR(__xludf.DUMMYFUNCTION("""COMPUTED_VALUE"""),"INTruptor Pedal Freno Nkr III 8978551870")</f>
        <v>INTruptor Pedal Freno Nkr III 8978551870</v>
      </c>
      <c r="C12312" s="380" t="str">
        <f>IFERROR(__xludf.DUMMYFUNCTION("""COMPUTED_VALUE"""),"70007770")</f>
        <v>70007770</v>
      </c>
      <c r="D12312" s="380" t="s">
        <v>767</v>
      </c>
      <c r="E12312" s="380" t="s">
        <v>786</v>
      </c>
      <c r="F12312" s="380" t="s">
        <v>998</v>
      </c>
      <c r="G12312" s="380" t="s">
        <v>1267</v>
      </c>
      <c r="H12312" s="380" t="s">
        <v>771</v>
      </c>
      <c r="I12312" s="380" t="s">
        <v>788</v>
      </c>
      <c r="J12312" s="380" t="s">
        <v>773</v>
      </c>
      <c r="K12312" s="381">
        <v>0.0</v>
      </c>
      <c r="L12312" s="382">
        <v>1.0</v>
      </c>
    </row>
    <row r="12313">
      <c r="A12313" s="380" t="s">
        <v>13187</v>
      </c>
      <c r="B12313" s="380" t="str">
        <f>IFERROR(__xludf.DUMMYFUNCTION("""COMPUTED_VALUE"""),"Brazo Espejo Izq Npr 8978562697")</f>
        <v>Brazo Espejo Izq Npr 8978562697</v>
      </c>
      <c r="C12313" s="380" t="str">
        <f>IFERROR(__xludf.DUMMYFUNCTION("""COMPUTED_VALUE"""),"70007771")</f>
        <v>70007771</v>
      </c>
      <c r="D12313" s="380" t="s">
        <v>767</v>
      </c>
      <c r="E12313" s="380" t="s">
        <v>786</v>
      </c>
      <c r="F12313" s="380" t="s">
        <v>792</v>
      </c>
      <c r="G12313" s="380" t="s">
        <v>1267</v>
      </c>
      <c r="H12313" s="380" t="s">
        <v>771</v>
      </c>
      <c r="I12313" s="380" t="s">
        <v>788</v>
      </c>
      <c r="J12313" s="380" t="s">
        <v>773</v>
      </c>
      <c r="K12313" s="381">
        <v>0.0</v>
      </c>
      <c r="L12313" s="382">
        <v>1.0</v>
      </c>
    </row>
    <row r="12314">
      <c r="A12314" s="380" t="s">
        <v>13188</v>
      </c>
      <c r="B12314" s="380" t="str">
        <f>IFERROR(__xludf.DUMMYFUNCTION("""COMPUTED_VALUE"""),"Piñon 3ra Eje Corredizo CJ Nk 8971749230")</f>
        <v>Piñon 3ra Eje Corredizo CJ Nk 8971749230</v>
      </c>
      <c r="C12314" s="380" t="str">
        <f>IFERROR(__xludf.DUMMYFUNCTION("""COMPUTED_VALUE"""),"70007772")</f>
        <v>70007772</v>
      </c>
      <c r="D12314" s="380" t="s">
        <v>767</v>
      </c>
      <c r="E12314" s="380" t="s">
        <v>786</v>
      </c>
      <c r="F12314" s="380" t="s">
        <v>928</v>
      </c>
      <c r="G12314" s="380" t="s">
        <v>1267</v>
      </c>
      <c r="H12314" s="380" t="s">
        <v>771</v>
      </c>
      <c r="I12314" s="380" t="s">
        <v>788</v>
      </c>
      <c r="J12314" s="380" t="s">
        <v>773</v>
      </c>
      <c r="K12314" s="381">
        <v>0.0</v>
      </c>
      <c r="L12314" s="382">
        <v>1.0</v>
      </c>
    </row>
    <row r="12315">
      <c r="A12315" s="380" t="s">
        <v>13189</v>
      </c>
      <c r="B12315" s="380" t="str">
        <f>IFERROR(__xludf.DUMMYFUNCTION("""COMPUTED_VALUE"""),"Tornillo Pasador Central Tc-1/2 X 6")</f>
        <v>Tornillo Pasador Central Tc-1/2 X 6</v>
      </c>
      <c r="C12315" s="380" t="str">
        <f>IFERROR(__xludf.DUMMYFUNCTION("""COMPUTED_VALUE"""),"70007773")</f>
        <v>70007773</v>
      </c>
      <c r="D12315" s="380" t="s">
        <v>767</v>
      </c>
      <c r="E12315" s="380" t="s">
        <v>786</v>
      </c>
      <c r="F12315" s="380" t="s">
        <v>1039</v>
      </c>
      <c r="G12315" s="380" t="s">
        <v>1267</v>
      </c>
      <c r="H12315" s="380" t="s">
        <v>771</v>
      </c>
      <c r="I12315" s="380" t="s">
        <v>788</v>
      </c>
      <c r="J12315" s="380" t="s">
        <v>773</v>
      </c>
      <c r="K12315" s="381">
        <v>0.0</v>
      </c>
      <c r="L12315" s="382">
        <v>1.0</v>
      </c>
    </row>
    <row r="12316">
      <c r="A12316" s="380" t="s">
        <v>13190</v>
      </c>
      <c r="B12316" s="380" t="str">
        <f>IFERROR(__xludf.DUMMYFUNCTION("""COMPUTED_VALUE"""),"Guardapolvo Del Npr 8972180800")</f>
        <v>Guardapolvo Del Npr 8972180800</v>
      </c>
      <c r="C12316" s="380" t="str">
        <f>IFERROR(__xludf.DUMMYFUNCTION("""COMPUTED_VALUE"""),"70007774")</f>
        <v>70007774</v>
      </c>
      <c r="D12316" s="380" t="s">
        <v>767</v>
      </c>
      <c r="E12316" s="380" t="s">
        <v>786</v>
      </c>
      <c r="F12316" s="380" t="s">
        <v>792</v>
      </c>
      <c r="G12316" s="380" t="s">
        <v>1267</v>
      </c>
      <c r="H12316" s="380" t="s">
        <v>771</v>
      </c>
      <c r="I12316" s="380" t="s">
        <v>788</v>
      </c>
      <c r="J12316" s="380" t="s">
        <v>773</v>
      </c>
      <c r="K12316" s="381">
        <v>0.0</v>
      </c>
      <c r="L12316" s="382">
        <v>1.0</v>
      </c>
    </row>
    <row r="12317">
      <c r="A12317" s="380" t="s">
        <v>13191</v>
      </c>
      <c r="B12317" s="380" t="str">
        <f>IFERROR(__xludf.DUMMYFUNCTION("""COMPUTED_VALUE"""),"Inducido Motor Arranque Npr Main295")</f>
        <v>Inducido Motor Arranque Npr Main295</v>
      </c>
      <c r="C12317" s="380" t="str">
        <f>IFERROR(__xludf.DUMMYFUNCTION("""COMPUTED_VALUE"""),"70007775")</f>
        <v>70007775</v>
      </c>
      <c r="D12317" s="380" t="s">
        <v>767</v>
      </c>
      <c r="E12317" s="380" t="s">
        <v>786</v>
      </c>
      <c r="F12317" s="380" t="s">
        <v>998</v>
      </c>
      <c r="G12317" s="380" t="s">
        <v>1267</v>
      </c>
      <c r="H12317" s="380" t="s">
        <v>771</v>
      </c>
      <c r="I12317" s="380" t="s">
        <v>788</v>
      </c>
      <c r="J12317" s="380" t="s">
        <v>773</v>
      </c>
      <c r="K12317" s="381">
        <v>0.0</v>
      </c>
      <c r="L12317" s="382">
        <v>1.0</v>
      </c>
    </row>
    <row r="12318">
      <c r="A12318" s="380" t="s">
        <v>13192</v>
      </c>
      <c r="B12318" s="380" t="str">
        <f>IFERROR(__xludf.DUMMYFUNCTION("""COMPUTED_VALUE"""),"MANG Agua Calefactor NkrIII T 8972046061")</f>
        <v>MANG Agua Calefactor NkrIII T 8972046061</v>
      </c>
      <c r="C12318" s="380" t="str">
        <f>IFERROR(__xludf.DUMMYFUNCTION("""COMPUTED_VALUE"""),"70007776")</f>
        <v>70007776</v>
      </c>
      <c r="D12318" s="380" t="s">
        <v>767</v>
      </c>
      <c r="E12318" s="380" t="s">
        <v>786</v>
      </c>
      <c r="F12318" s="380" t="s">
        <v>787</v>
      </c>
      <c r="G12318" s="380" t="s">
        <v>1267</v>
      </c>
      <c r="H12318" s="380" t="s">
        <v>771</v>
      </c>
      <c r="I12318" s="380" t="s">
        <v>788</v>
      </c>
      <c r="J12318" s="380" t="s">
        <v>773</v>
      </c>
      <c r="K12318" s="381">
        <v>0.0</v>
      </c>
      <c r="L12318" s="382">
        <v>1.0</v>
      </c>
    </row>
    <row r="12319">
      <c r="A12319" s="380" t="s">
        <v>13193</v>
      </c>
      <c r="B12319" s="380" t="str">
        <f>IFERROR(__xludf.DUMMYFUNCTION("""COMPUTED_VALUE"""),"Amortiguador Del Nhr Chevrolet 356074")</f>
        <v>Amortiguador Del Nhr Chevrolet 356074</v>
      </c>
      <c r="C12319" s="380" t="str">
        <f>IFERROR(__xludf.DUMMYFUNCTION("""COMPUTED_VALUE"""),"70007777")</f>
        <v>70007777</v>
      </c>
      <c r="D12319" s="380" t="s">
        <v>767</v>
      </c>
      <c r="E12319" s="380" t="s">
        <v>786</v>
      </c>
      <c r="F12319" s="380" t="s">
        <v>1039</v>
      </c>
      <c r="G12319" s="380" t="s">
        <v>1267</v>
      </c>
      <c r="H12319" s="380" t="s">
        <v>771</v>
      </c>
      <c r="I12319" s="380" t="s">
        <v>788</v>
      </c>
      <c r="J12319" s="380" t="s">
        <v>773</v>
      </c>
      <c r="K12319" s="381">
        <v>0.0</v>
      </c>
      <c r="L12319" s="382">
        <v>1.0</v>
      </c>
    </row>
    <row r="12320">
      <c r="A12320" s="380" t="s">
        <v>13194</v>
      </c>
      <c r="B12320" s="380" t="str">
        <f>IFERROR(__xludf.DUMMYFUNCTION("""COMPUTED_VALUE"""),"Vidrio Puerta Izquierda Eagle 9400")</f>
        <v>Vidrio Puerta Izquierda Eagle 9400</v>
      </c>
      <c r="C12320" s="380" t="str">
        <f>IFERROR(__xludf.DUMMYFUNCTION("""COMPUTED_VALUE"""),"70007778")</f>
        <v>70007778</v>
      </c>
      <c r="D12320" s="380" t="s">
        <v>767</v>
      </c>
      <c r="E12320" s="380" t="s">
        <v>786</v>
      </c>
      <c r="F12320" s="380" t="s">
        <v>792</v>
      </c>
      <c r="G12320" s="380" t="s">
        <v>1267</v>
      </c>
      <c r="H12320" s="380" t="s">
        <v>771</v>
      </c>
      <c r="I12320" s="380" t="s">
        <v>788</v>
      </c>
      <c r="J12320" s="380" t="s">
        <v>773</v>
      </c>
      <c r="K12320" s="381">
        <v>0.0</v>
      </c>
      <c r="L12320" s="382">
        <v>1.0</v>
      </c>
    </row>
    <row r="12321">
      <c r="A12321" s="380" t="s">
        <v>13195</v>
      </c>
      <c r="B12321" s="380" t="str">
        <f>IFERROR(__xludf.DUMMYFUNCTION("""COMPUTED_VALUE"""),"Tapa Timon Kw T800 S631010")</f>
        <v>Tapa Timon Kw T800 S631010</v>
      </c>
      <c r="C12321" s="380" t="str">
        <f>IFERROR(__xludf.DUMMYFUNCTION("""COMPUTED_VALUE"""),"70007779")</f>
        <v>70007779</v>
      </c>
      <c r="D12321" s="380" t="s">
        <v>767</v>
      </c>
      <c r="E12321" s="380" t="s">
        <v>786</v>
      </c>
      <c r="F12321" s="380" t="s">
        <v>1020</v>
      </c>
      <c r="G12321" s="380" t="s">
        <v>1267</v>
      </c>
      <c r="H12321" s="380" t="s">
        <v>771</v>
      </c>
      <c r="I12321" s="380" t="s">
        <v>788</v>
      </c>
      <c r="J12321" s="380" t="s">
        <v>773</v>
      </c>
      <c r="K12321" s="381">
        <v>0.0</v>
      </c>
      <c r="L12321" s="382">
        <v>1.0</v>
      </c>
    </row>
    <row r="12322">
      <c r="A12322" s="380" t="s">
        <v>13196</v>
      </c>
      <c r="B12322" s="380" t="str">
        <f>IFERROR(__xludf.DUMMYFUNCTION("""COMPUTED_VALUE"""),"Conector Rapido Fitting De 3/8")</f>
        <v>Conector Rapido Fitting De 3/8</v>
      </c>
      <c r="C12322" s="380" t="str">
        <f>IFERROR(__xludf.DUMMYFUNCTION("""COMPUTED_VALUE"""),"70007780")</f>
        <v>70007780</v>
      </c>
      <c r="D12322" s="380" t="s">
        <v>767</v>
      </c>
      <c r="E12322" s="380" t="s">
        <v>786</v>
      </c>
      <c r="F12322" s="380" t="s">
        <v>989</v>
      </c>
      <c r="G12322" s="380" t="s">
        <v>1267</v>
      </c>
      <c r="H12322" s="380" t="s">
        <v>771</v>
      </c>
      <c r="I12322" s="380" t="s">
        <v>788</v>
      </c>
      <c r="J12322" s="380" t="s">
        <v>773</v>
      </c>
      <c r="K12322" s="381">
        <v>0.0</v>
      </c>
      <c r="L12322" s="382">
        <v>1.0</v>
      </c>
    </row>
    <row r="12323">
      <c r="A12323" s="380" t="s">
        <v>13197</v>
      </c>
      <c r="B12323" s="380" t="str">
        <f>IFERROR(__xludf.DUMMYFUNCTION("""COMPUTED_VALUE"""),"Silenciador Mofle Nhr Nkr Repado")</f>
        <v>Silenciador Mofle Nhr Nkr Repado</v>
      </c>
      <c r="C12323" s="380" t="str">
        <f>IFERROR(__xludf.DUMMYFUNCTION("""COMPUTED_VALUE"""),"70007781")</f>
        <v>70007781</v>
      </c>
      <c r="D12323" s="380" t="s">
        <v>767</v>
      </c>
      <c r="E12323" s="380" t="s">
        <v>786</v>
      </c>
      <c r="F12323" s="380" t="s">
        <v>792</v>
      </c>
      <c r="G12323" s="380" t="s">
        <v>1267</v>
      </c>
      <c r="H12323" s="380" t="s">
        <v>771</v>
      </c>
      <c r="I12323" s="380" t="s">
        <v>788</v>
      </c>
      <c r="J12323" s="380" t="s">
        <v>773</v>
      </c>
      <c r="K12323" s="381">
        <v>0.0</v>
      </c>
      <c r="L12323" s="382">
        <v>1.0</v>
      </c>
    </row>
    <row r="12324">
      <c r="A12324" s="380" t="s">
        <v>13198</v>
      </c>
      <c r="B12324" s="380" t="str">
        <f>IFERROR(__xludf.DUMMYFUNCTION("""COMPUTED_VALUE"""),"Tuerca Eje Trailer Dite R.Gruesa 449-497")</f>
        <v>Tuerca Eje Trailer Dite R.Gruesa 449-497</v>
      </c>
      <c r="C12324" s="380" t="str">
        <f>IFERROR(__xludf.DUMMYFUNCTION("""COMPUTED_VALUE"""),"70007782")</f>
        <v>70007782</v>
      </c>
      <c r="D12324" s="380" t="s">
        <v>767</v>
      </c>
      <c r="E12324" s="380" t="s">
        <v>786</v>
      </c>
      <c r="F12324" s="380" t="s">
        <v>1039</v>
      </c>
      <c r="G12324" s="380" t="s">
        <v>1267</v>
      </c>
      <c r="H12324" s="380" t="s">
        <v>771</v>
      </c>
      <c r="I12324" s="380" t="s">
        <v>788</v>
      </c>
      <c r="J12324" s="380" t="s">
        <v>773</v>
      </c>
      <c r="K12324" s="381">
        <v>0.0</v>
      </c>
      <c r="L12324" s="382">
        <v>1.0</v>
      </c>
    </row>
    <row r="12325">
      <c r="A12325" s="380" t="s">
        <v>13199</v>
      </c>
      <c r="B12325" s="380" t="str">
        <f>IFERROR(__xludf.DUMMYFUNCTION("""COMPUTED_VALUE"""),"Farola Del Izq Volswagen 2rd941007")</f>
        <v>Farola Del Izq Volswagen 2rd941007</v>
      </c>
      <c r="C12325" s="380" t="str">
        <f>IFERROR(__xludf.DUMMYFUNCTION("""COMPUTED_VALUE"""),"70007783")</f>
        <v>70007783</v>
      </c>
      <c r="D12325" s="380" t="s">
        <v>767</v>
      </c>
      <c r="E12325" s="380" t="s">
        <v>786</v>
      </c>
      <c r="F12325" s="380" t="s">
        <v>998</v>
      </c>
      <c r="G12325" s="380" t="s">
        <v>1267</v>
      </c>
      <c r="H12325" s="380" t="s">
        <v>771</v>
      </c>
      <c r="I12325" s="380" t="s">
        <v>788</v>
      </c>
      <c r="J12325" s="380" t="s">
        <v>773</v>
      </c>
      <c r="K12325" s="381">
        <v>0.0</v>
      </c>
      <c r="L12325" s="382">
        <v>1.0</v>
      </c>
    </row>
    <row r="12326">
      <c r="A12326" s="380" t="s">
        <v>13200</v>
      </c>
      <c r="B12326" s="380" t="str">
        <f>IFERROR(__xludf.DUMMYFUNCTION("""COMPUTED_VALUE"""),"CIL Freno Tras Der Con Purga 4755087312")</f>
        <v>CIL Freno Tras Der Con Purga 4755087312</v>
      </c>
      <c r="C12326" s="380" t="str">
        <f>IFERROR(__xludf.DUMMYFUNCTION("""COMPUTED_VALUE"""),"70007784")</f>
        <v>70007784</v>
      </c>
      <c r="D12326" s="380" t="s">
        <v>767</v>
      </c>
      <c r="E12326" s="380" t="s">
        <v>786</v>
      </c>
      <c r="F12326" s="380" t="s">
        <v>1017</v>
      </c>
      <c r="G12326" s="380" t="s">
        <v>1267</v>
      </c>
      <c r="H12326" s="380" t="s">
        <v>771</v>
      </c>
      <c r="I12326" s="380" t="s">
        <v>788</v>
      </c>
      <c r="J12326" s="380" t="s">
        <v>773</v>
      </c>
      <c r="K12326" s="381">
        <v>0.0</v>
      </c>
      <c r="L12326" s="382">
        <v>1.0</v>
      </c>
    </row>
    <row r="12327">
      <c r="A12327" s="380" t="s">
        <v>13201</v>
      </c>
      <c r="B12327" s="380" t="str">
        <f>IFERROR(__xludf.DUMMYFUNCTION("""COMPUTED_VALUE"""),"CIL Freno Tras Der Sin Purga 4756087308")</f>
        <v>CIL Freno Tras Der Sin Purga 4756087308</v>
      </c>
      <c r="C12327" s="380" t="str">
        <f>IFERROR(__xludf.DUMMYFUNCTION("""COMPUTED_VALUE"""),"70007785")</f>
        <v>70007785</v>
      </c>
      <c r="D12327" s="380" t="s">
        <v>767</v>
      </c>
      <c r="E12327" s="380" t="s">
        <v>786</v>
      </c>
      <c r="F12327" s="380" t="s">
        <v>1017</v>
      </c>
      <c r="G12327" s="380" t="s">
        <v>1267</v>
      </c>
      <c r="H12327" s="380" t="s">
        <v>771</v>
      </c>
      <c r="I12327" s="380" t="s">
        <v>788</v>
      </c>
      <c r="J12327" s="380" t="s">
        <v>773</v>
      </c>
      <c r="K12327" s="381">
        <v>0.0</v>
      </c>
      <c r="L12327" s="382">
        <v>1.0</v>
      </c>
    </row>
    <row r="12328">
      <c r="A12328" s="380" t="s">
        <v>13202</v>
      </c>
      <c r="B12328" s="380" t="str">
        <f>IFERROR(__xludf.DUMMYFUNCTION("""COMPUTED_VALUE"""),"Tubo ENT Turbo Cargador Nkrll 8972242970")</f>
        <v>Tubo ENT Turbo Cargador Nkrll 8972242970</v>
      </c>
      <c r="C12328" s="380" t="str">
        <f>IFERROR(__xludf.DUMMYFUNCTION("""COMPUTED_VALUE"""),"70007786")</f>
        <v>70007786</v>
      </c>
      <c r="D12328" s="380" t="s">
        <v>767</v>
      </c>
      <c r="E12328" s="380" t="s">
        <v>786</v>
      </c>
      <c r="F12328" s="380" t="s">
        <v>787</v>
      </c>
      <c r="G12328" s="380" t="s">
        <v>1267</v>
      </c>
      <c r="H12328" s="380" t="s">
        <v>771</v>
      </c>
      <c r="I12328" s="380" t="s">
        <v>788</v>
      </c>
      <c r="J12328" s="380" t="s">
        <v>773</v>
      </c>
      <c r="K12328" s="381">
        <v>0.0</v>
      </c>
      <c r="L12328" s="382">
        <v>1.0</v>
      </c>
    </row>
    <row r="12329">
      <c r="A12329" s="380" t="s">
        <v>13203</v>
      </c>
      <c r="B12329" s="380" t="str">
        <f>IFERROR(__xludf.DUMMYFUNCTION("""COMPUTED_VALUE"""),"Oring Base Enfriador Aceite N 8980879650")</f>
        <v>Oring Base Enfriador Aceite N 8980879650</v>
      </c>
      <c r="C12329" s="380" t="str">
        <f>IFERROR(__xludf.DUMMYFUNCTION("""COMPUTED_VALUE"""),"70007787")</f>
        <v>70007787</v>
      </c>
      <c r="D12329" s="380" t="s">
        <v>767</v>
      </c>
      <c r="E12329" s="380" t="s">
        <v>786</v>
      </c>
      <c r="F12329" s="380" t="s">
        <v>787</v>
      </c>
      <c r="G12329" s="380" t="s">
        <v>1267</v>
      </c>
      <c r="H12329" s="380" t="s">
        <v>771</v>
      </c>
      <c r="I12329" s="380" t="s">
        <v>788</v>
      </c>
      <c r="J12329" s="380" t="s">
        <v>773</v>
      </c>
      <c r="K12329" s="381">
        <v>0.0</v>
      </c>
      <c r="L12329" s="382">
        <v>1.0</v>
      </c>
    </row>
    <row r="12330">
      <c r="A12330" s="380" t="s">
        <v>13204</v>
      </c>
      <c r="B12330" s="380" t="str">
        <f>IFERROR(__xludf.DUMMYFUNCTION("""COMPUTED_VALUE"""),"Campana Delantera Nkriii C618")</f>
        <v>Campana Delantera Nkriii C618</v>
      </c>
      <c r="C12330" s="380" t="str">
        <f>IFERROR(__xludf.DUMMYFUNCTION("""COMPUTED_VALUE"""),"70007788")</f>
        <v>70007788</v>
      </c>
      <c r="D12330" s="380" t="s">
        <v>767</v>
      </c>
      <c r="E12330" s="380" t="s">
        <v>786</v>
      </c>
      <c r="F12330" s="380" t="s">
        <v>1017</v>
      </c>
      <c r="G12330" s="380" t="s">
        <v>1267</v>
      </c>
      <c r="H12330" s="380" t="s">
        <v>771</v>
      </c>
      <c r="I12330" s="380" t="s">
        <v>788</v>
      </c>
      <c r="J12330" s="380" t="s">
        <v>773</v>
      </c>
      <c r="K12330" s="381">
        <v>0.0</v>
      </c>
      <c r="L12330" s="382">
        <v>1.0</v>
      </c>
    </row>
    <row r="12331">
      <c r="A12331" s="380" t="s">
        <v>13205</v>
      </c>
      <c r="B12331" s="380" t="str">
        <f>IFERROR(__xludf.DUMMYFUNCTION("""COMPUTED_VALUE"""),"Terminal BRR DIR Der T Delta 4504687380")</f>
        <v>Terminal BRR DIR Der T Delta 4504687380</v>
      </c>
      <c r="C12331" s="380" t="str">
        <f>IFERROR(__xludf.DUMMYFUNCTION("""COMPUTED_VALUE"""),"70007789")</f>
        <v>70007789</v>
      </c>
      <c r="D12331" s="380" t="s">
        <v>767</v>
      </c>
      <c r="E12331" s="380" t="s">
        <v>786</v>
      </c>
      <c r="F12331" s="380" t="s">
        <v>1020</v>
      </c>
      <c r="G12331" s="380" t="s">
        <v>1267</v>
      </c>
      <c r="H12331" s="380" t="s">
        <v>771</v>
      </c>
      <c r="I12331" s="380" t="s">
        <v>788</v>
      </c>
      <c r="J12331" s="380" t="s">
        <v>773</v>
      </c>
      <c r="K12331" s="381">
        <v>0.0</v>
      </c>
      <c r="L12331" s="382">
        <v>1.0</v>
      </c>
    </row>
    <row r="12332">
      <c r="A12332" s="380" t="s">
        <v>13206</v>
      </c>
      <c r="B12332" s="380" t="str">
        <f>IFERROR(__xludf.DUMMYFUNCTION("""COMPUTED_VALUE"""),"Terminal BRR DIR Izq T Delta 4504787381")</f>
        <v>Terminal BRR DIR Izq T Delta 4504787381</v>
      </c>
      <c r="C12332" s="380" t="str">
        <f>IFERROR(__xludf.DUMMYFUNCTION("""COMPUTED_VALUE"""),"70007790")</f>
        <v>70007790</v>
      </c>
      <c r="D12332" s="380" t="s">
        <v>767</v>
      </c>
      <c r="E12332" s="380" t="s">
        <v>786</v>
      </c>
      <c r="F12332" s="380" t="s">
        <v>1020</v>
      </c>
      <c r="G12332" s="380" t="s">
        <v>1267</v>
      </c>
      <c r="H12332" s="380" t="s">
        <v>771</v>
      </c>
      <c r="I12332" s="380" t="s">
        <v>788</v>
      </c>
      <c r="J12332" s="380" t="s">
        <v>773</v>
      </c>
      <c r="K12332" s="381">
        <v>0.0</v>
      </c>
      <c r="L12332" s="382">
        <v>1.0</v>
      </c>
    </row>
    <row r="12333">
      <c r="A12333" s="380" t="s">
        <v>13207</v>
      </c>
      <c r="B12333" s="380" t="str">
        <f>IFERROR(__xludf.DUMMYFUNCTION("""COMPUTED_VALUE"""),"Clip Persiana RAD Nkr III 8975816512")</f>
        <v>Clip Persiana RAD Nkr III 8975816512</v>
      </c>
      <c r="C12333" s="380" t="str">
        <f>IFERROR(__xludf.DUMMYFUNCTION("""COMPUTED_VALUE"""),"70007791")</f>
        <v>70007791</v>
      </c>
      <c r="D12333" s="380" t="s">
        <v>767</v>
      </c>
      <c r="E12333" s="380" t="s">
        <v>786</v>
      </c>
      <c r="F12333" s="380" t="s">
        <v>792</v>
      </c>
      <c r="G12333" s="380" t="s">
        <v>1267</v>
      </c>
      <c r="H12333" s="380" t="s">
        <v>771</v>
      </c>
      <c r="I12333" s="380" t="s">
        <v>788</v>
      </c>
      <c r="J12333" s="380" t="s">
        <v>773</v>
      </c>
      <c r="K12333" s="381">
        <v>0.0</v>
      </c>
      <c r="L12333" s="382">
        <v>1.0</v>
      </c>
    </row>
    <row r="12334">
      <c r="A12334" s="380" t="s">
        <v>13208</v>
      </c>
      <c r="B12334" s="380" t="str">
        <f>IFERROR(__xludf.DUMMYFUNCTION("""COMPUTED_VALUE"""),"Sincronismo Caja 16718 Eagle K3492")</f>
        <v>Sincronismo Caja 16718 Eagle K3492</v>
      </c>
      <c r="C12334" s="380" t="str">
        <f>IFERROR(__xludf.DUMMYFUNCTION("""COMPUTED_VALUE"""),"70007792")</f>
        <v>70007792</v>
      </c>
      <c r="D12334" s="380" t="s">
        <v>767</v>
      </c>
      <c r="E12334" s="380" t="s">
        <v>786</v>
      </c>
      <c r="F12334" s="380" t="s">
        <v>928</v>
      </c>
      <c r="G12334" s="380" t="s">
        <v>1267</v>
      </c>
      <c r="H12334" s="380" t="s">
        <v>771</v>
      </c>
      <c r="I12334" s="380" t="s">
        <v>788</v>
      </c>
      <c r="J12334" s="380" t="s">
        <v>773</v>
      </c>
      <c r="K12334" s="381">
        <v>0.0</v>
      </c>
      <c r="L12334" s="382">
        <v>1.0</v>
      </c>
    </row>
    <row r="12335">
      <c r="A12335" s="380" t="s">
        <v>13209</v>
      </c>
      <c r="B12335" s="380" t="str">
        <f>IFERROR(__xludf.DUMMYFUNCTION("""COMPUTED_VALUE"""),"Manguera Radiador 4"" Azul Isx 3625343c1")</f>
        <v>Manguera Radiador 4" Azul Isx 3625343c1</v>
      </c>
      <c r="C12335" s="380" t="str">
        <f>IFERROR(__xludf.DUMMYFUNCTION("""COMPUTED_VALUE"""),"70007793")</f>
        <v>70007793</v>
      </c>
      <c r="D12335" s="380" t="s">
        <v>767</v>
      </c>
      <c r="E12335" s="380" t="s">
        <v>786</v>
      </c>
      <c r="F12335" s="380" t="s">
        <v>787</v>
      </c>
      <c r="G12335" s="380" t="s">
        <v>1267</v>
      </c>
      <c r="H12335" s="380" t="s">
        <v>771</v>
      </c>
      <c r="I12335" s="380" t="s">
        <v>788</v>
      </c>
      <c r="J12335" s="380" t="s">
        <v>773</v>
      </c>
      <c r="K12335" s="381">
        <v>0.0</v>
      </c>
      <c r="L12335" s="382">
        <v>1.0</v>
      </c>
    </row>
    <row r="12336">
      <c r="A12336" s="380" t="s">
        <v>13210</v>
      </c>
      <c r="B12336" s="380" t="str">
        <f>IFERROR(__xludf.DUMMYFUNCTION("""COMPUTED_VALUE"""),"Switch Limpiabrisas Volswagen 2r09535199")</f>
        <v>Switch Limpiabrisas Volswagen 2r09535199</v>
      </c>
      <c r="C12336" s="380" t="str">
        <f>IFERROR(__xludf.DUMMYFUNCTION("""COMPUTED_VALUE"""),"70007794")</f>
        <v>70007794</v>
      </c>
      <c r="D12336" s="380" t="s">
        <v>767</v>
      </c>
      <c r="E12336" s="380" t="s">
        <v>786</v>
      </c>
      <c r="F12336" s="380" t="s">
        <v>998</v>
      </c>
      <c r="G12336" s="380" t="s">
        <v>1267</v>
      </c>
      <c r="H12336" s="380" t="s">
        <v>771</v>
      </c>
      <c r="I12336" s="380" t="s">
        <v>788</v>
      </c>
      <c r="J12336" s="380" t="s">
        <v>773</v>
      </c>
      <c r="K12336" s="381">
        <v>0.0</v>
      </c>
      <c r="L12336" s="382">
        <v>1.0</v>
      </c>
    </row>
    <row r="12337">
      <c r="A12337" s="380" t="s">
        <v>13211</v>
      </c>
      <c r="B12337" s="380" t="str">
        <f>IFERROR(__xludf.DUMMYFUNCTION("""COMPUTED_VALUE"""),"Soporte Motor Del Kemwort K066405")</f>
        <v>Soporte Motor Del Kemwort K066405</v>
      </c>
      <c r="C12337" s="380" t="str">
        <f>IFERROR(__xludf.DUMMYFUNCTION("""COMPUTED_VALUE"""),"70007795")</f>
        <v>70007795</v>
      </c>
      <c r="D12337" s="380" t="s">
        <v>767</v>
      </c>
      <c r="E12337" s="380" t="s">
        <v>786</v>
      </c>
      <c r="F12337" s="380" t="s">
        <v>787</v>
      </c>
      <c r="G12337" s="380" t="s">
        <v>1267</v>
      </c>
      <c r="H12337" s="380" t="s">
        <v>771</v>
      </c>
      <c r="I12337" s="380" t="s">
        <v>788</v>
      </c>
      <c r="J12337" s="380" t="s">
        <v>773</v>
      </c>
      <c r="K12337" s="381">
        <v>0.0</v>
      </c>
      <c r="L12337" s="382">
        <v>1.0</v>
      </c>
    </row>
    <row r="12338">
      <c r="A12338" s="380" t="s">
        <v>13212</v>
      </c>
      <c r="B12338" s="380" t="str">
        <f>IFERROR(__xludf.DUMMYFUNCTION("""COMPUTED_VALUE"""),"Torre Monoshift Cj16718 Eagle K3220")</f>
        <v>Torre Monoshift Cj16718 Eagle K3220</v>
      </c>
      <c r="C12338" s="380" t="str">
        <f>IFERROR(__xludf.DUMMYFUNCTION("""COMPUTED_VALUE"""),"70007796")</f>
        <v>70007796</v>
      </c>
      <c r="D12338" s="380" t="s">
        <v>767</v>
      </c>
      <c r="E12338" s="380" t="s">
        <v>786</v>
      </c>
      <c r="F12338" s="380" t="s">
        <v>928</v>
      </c>
      <c r="G12338" s="380" t="s">
        <v>1267</v>
      </c>
      <c r="H12338" s="380" t="s">
        <v>771</v>
      </c>
      <c r="I12338" s="380" t="s">
        <v>788</v>
      </c>
      <c r="J12338" s="380" t="s">
        <v>773</v>
      </c>
      <c r="K12338" s="381">
        <v>0.0</v>
      </c>
      <c r="L12338" s="382">
        <v>1.0</v>
      </c>
    </row>
    <row r="12339">
      <c r="A12339" s="380" t="s">
        <v>13213</v>
      </c>
      <c r="B12339" s="380" t="str">
        <f>IFERROR(__xludf.DUMMYFUNCTION("""COMPUTED_VALUE"""),"Post Enfriador Motor Kemworth F3110361ex")</f>
        <v>Post Enfriador Motor Kemworth F3110361ex</v>
      </c>
      <c r="C12339" s="380" t="str">
        <f>IFERROR(__xludf.DUMMYFUNCTION("""COMPUTED_VALUE"""),"70007797")</f>
        <v>70007797</v>
      </c>
      <c r="D12339" s="380" t="s">
        <v>767</v>
      </c>
      <c r="E12339" s="380" t="s">
        <v>786</v>
      </c>
      <c r="F12339" s="380" t="s">
        <v>787</v>
      </c>
      <c r="G12339" s="380" t="s">
        <v>1267</v>
      </c>
      <c r="H12339" s="380" t="s">
        <v>771</v>
      </c>
      <c r="I12339" s="380" t="s">
        <v>788</v>
      </c>
      <c r="J12339" s="380" t="s">
        <v>773</v>
      </c>
      <c r="K12339" s="381">
        <v>0.0</v>
      </c>
      <c r="L12339" s="382">
        <v>1.0</v>
      </c>
    </row>
    <row r="12340">
      <c r="A12340" s="380" t="s">
        <v>13214</v>
      </c>
      <c r="B12340" s="380" t="str">
        <f>IFERROR(__xludf.DUMMYFUNCTION("""COMPUTED_VALUE"""),"Fan Clutch Drive Kemworth 999168hor")</f>
        <v>Fan Clutch Drive Kemworth 999168hor</v>
      </c>
      <c r="C12340" s="380" t="str">
        <f>IFERROR(__xludf.DUMMYFUNCTION("""COMPUTED_VALUE"""),"70007798")</f>
        <v>70007798</v>
      </c>
      <c r="D12340" s="380" t="s">
        <v>767</v>
      </c>
      <c r="E12340" s="380" t="s">
        <v>786</v>
      </c>
      <c r="F12340" s="380" t="s">
        <v>787</v>
      </c>
      <c r="G12340" s="380" t="s">
        <v>1267</v>
      </c>
      <c r="H12340" s="380" t="s">
        <v>771</v>
      </c>
      <c r="I12340" s="380" t="s">
        <v>788</v>
      </c>
      <c r="J12340" s="380" t="s">
        <v>773</v>
      </c>
      <c r="K12340" s="381">
        <v>0.0</v>
      </c>
      <c r="L12340" s="382">
        <v>1.0</v>
      </c>
    </row>
    <row r="12341">
      <c r="A12341" s="380" t="s">
        <v>13215</v>
      </c>
      <c r="B12341" s="380" t="str">
        <f>IFERROR(__xludf.DUMMYFUNCTION("""COMPUTED_VALUE"""),"MANG Admision Turbo Kemworth D10298699")</f>
        <v>MANG Admision Turbo Kemworth D10298699</v>
      </c>
      <c r="C12341" s="380" t="str">
        <f>IFERROR(__xludf.DUMMYFUNCTION("""COMPUTED_VALUE"""),"70007799")</f>
        <v>70007799</v>
      </c>
      <c r="D12341" s="380" t="s">
        <v>767</v>
      </c>
      <c r="E12341" s="380" t="s">
        <v>786</v>
      </c>
      <c r="F12341" s="380" t="s">
        <v>787</v>
      </c>
      <c r="G12341" s="380" t="s">
        <v>1267</v>
      </c>
      <c r="H12341" s="380" t="s">
        <v>771</v>
      </c>
      <c r="I12341" s="380" t="s">
        <v>788</v>
      </c>
      <c r="J12341" s="380" t="s">
        <v>773</v>
      </c>
      <c r="K12341" s="381">
        <v>0.0</v>
      </c>
      <c r="L12341" s="382">
        <v>1.0</v>
      </c>
    </row>
    <row r="12342">
      <c r="A12342" s="380" t="s">
        <v>13216</v>
      </c>
      <c r="B12342" s="380" t="str">
        <f>IFERROR(__xludf.DUMMYFUNCTION("""COMPUTED_VALUE"""),"VENT RAD Isx Kemworth 39225630")</f>
        <v>VENT RAD Isx Kemworth 39225630</v>
      </c>
      <c r="C12342" s="380" t="str">
        <f>IFERROR(__xludf.DUMMYFUNCTION("""COMPUTED_VALUE"""),"70007800")</f>
        <v>70007800</v>
      </c>
      <c r="D12342" s="380" t="s">
        <v>767</v>
      </c>
      <c r="E12342" s="380" t="s">
        <v>786</v>
      </c>
      <c r="F12342" s="380" t="s">
        <v>787</v>
      </c>
      <c r="G12342" s="380" t="s">
        <v>1267</v>
      </c>
      <c r="H12342" s="380" t="s">
        <v>771</v>
      </c>
      <c r="I12342" s="380" t="s">
        <v>788</v>
      </c>
      <c r="J12342" s="380" t="s">
        <v>773</v>
      </c>
      <c r="K12342" s="381">
        <v>0.0</v>
      </c>
      <c r="L12342" s="382">
        <v>1.0</v>
      </c>
    </row>
    <row r="12343">
      <c r="A12343" s="380" t="s">
        <v>13217</v>
      </c>
      <c r="B12343" s="380" t="str">
        <f>IFERROR(__xludf.DUMMYFUNCTION("""COMPUTED_VALUE"""),"Persiana Sin Aire Capo Kemworth K137269")</f>
        <v>Persiana Sin Aire Capo Kemworth K137269</v>
      </c>
      <c r="C12343" s="380" t="str">
        <f>IFERROR(__xludf.DUMMYFUNCTION("""COMPUTED_VALUE"""),"70007801")</f>
        <v>70007801</v>
      </c>
      <c r="D12343" s="380" t="s">
        <v>767</v>
      </c>
      <c r="E12343" s="380" t="s">
        <v>786</v>
      </c>
      <c r="F12343" s="380" t="s">
        <v>792</v>
      </c>
      <c r="G12343" s="380" t="s">
        <v>1267</v>
      </c>
      <c r="H12343" s="380" t="s">
        <v>771</v>
      </c>
      <c r="I12343" s="380" t="s">
        <v>788</v>
      </c>
      <c r="J12343" s="380" t="s">
        <v>773</v>
      </c>
      <c r="K12343" s="381">
        <v>0.0</v>
      </c>
      <c r="L12343" s="382">
        <v>1.0</v>
      </c>
    </row>
    <row r="12344">
      <c r="A12344" s="380" t="s">
        <v>13218</v>
      </c>
      <c r="B12344" s="380" t="str">
        <f>IFERROR(__xludf.DUMMYFUNCTION("""COMPUTED_VALUE"""),"Inducido Motor Arraque Nkr Nhr Mape214")</f>
        <v>Inducido Motor Arraque Nkr Nhr Mape214</v>
      </c>
      <c r="C12344" s="380" t="str">
        <f>IFERROR(__xludf.DUMMYFUNCTION("""COMPUTED_VALUE"""),"70007802")</f>
        <v>70007802</v>
      </c>
      <c r="D12344" s="380" t="s">
        <v>767</v>
      </c>
      <c r="E12344" s="380" t="s">
        <v>786</v>
      </c>
      <c r="F12344" s="380" t="s">
        <v>998</v>
      </c>
      <c r="G12344" s="380" t="s">
        <v>1267</v>
      </c>
      <c r="H12344" s="380" t="s">
        <v>771</v>
      </c>
      <c r="I12344" s="380" t="s">
        <v>788</v>
      </c>
      <c r="J12344" s="380" t="s">
        <v>773</v>
      </c>
      <c r="K12344" s="381">
        <v>0.0</v>
      </c>
      <c r="L12344" s="382">
        <v>1.0</v>
      </c>
    </row>
    <row r="12345">
      <c r="A12345" s="380" t="s">
        <v>13219</v>
      </c>
      <c r="B12345" s="380" t="str">
        <f>IFERROR(__xludf.DUMMYFUNCTION("""COMPUTED_VALUE"""),"Tensor Correa VENT Isx KWh 4059201cl")</f>
        <v>Tensor Correa VENT Isx KWh 4059201cl</v>
      </c>
      <c r="C12345" s="380" t="str">
        <f>IFERROR(__xludf.DUMMYFUNCTION("""COMPUTED_VALUE"""),"70007803")</f>
        <v>70007803</v>
      </c>
      <c r="D12345" s="380" t="s">
        <v>767</v>
      </c>
      <c r="E12345" s="380" t="s">
        <v>786</v>
      </c>
      <c r="F12345" s="380" t="s">
        <v>787</v>
      </c>
      <c r="G12345" s="380" t="s">
        <v>1267</v>
      </c>
      <c r="H12345" s="380" t="s">
        <v>771</v>
      </c>
      <c r="I12345" s="380" t="s">
        <v>788</v>
      </c>
      <c r="J12345" s="380" t="s">
        <v>773</v>
      </c>
      <c r="K12345" s="381">
        <v>0.0</v>
      </c>
      <c r="L12345" s="382">
        <v>1.0</v>
      </c>
    </row>
    <row r="12346">
      <c r="A12346" s="380" t="s">
        <v>13220</v>
      </c>
      <c r="B12346" s="380" t="str">
        <f>IFERROR(__xludf.DUMMYFUNCTION("""COMPUTED_VALUE"""),"Jgo Bobinas De Campo M ARR Npr Maca084")</f>
        <v>Jgo Bobinas De Campo M ARR Npr Maca084</v>
      </c>
      <c r="C12346" s="380" t="str">
        <f>IFERROR(__xludf.DUMMYFUNCTION("""COMPUTED_VALUE"""),"70007804")</f>
        <v>70007804</v>
      </c>
      <c r="D12346" s="380" t="s">
        <v>767</v>
      </c>
      <c r="E12346" s="380" t="s">
        <v>786</v>
      </c>
      <c r="F12346" s="380" t="s">
        <v>998</v>
      </c>
      <c r="G12346" s="380" t="s">
        <v>1267</v>
      </c>
      <c r="H12346" s="380" t="s">
        <v>771</v>
      </c>
      <c r="I12346" s="380" t="s">
        <v>788</v>
      </c>
      <c r="J12346" s="380" t="s">
        <v>773</v>
      </c>
      <c r="K12346" s="381">
        <v>0.0</v>
      </c>
      <c r="L12346" s="382">
        <v>1.0</v>
      </c>
    </row>
    <row r="12347">
      <c r="A12347" s="380" t="s">
        <v>13221</v>
      </c>
      <c r="B12347" s="380" t="str">
        <f>IFERROR(__xludf.DUMMYFUNCTION("""COMPUTED_VALUE"""),"Soporte Bisagra Capo Kemworth 9k3615651")</f>
        <v>Soporte Bisagra Capo Kemworth 9k3615651</v>
      </c>
      <c r="C12347" s="380" t="str">
        <f>IFERROR(__xludf.DUMMYFUNCTION("""COMPUTED_VALUE"""),"70007805")</f>
        <v>70007805</v>
      </c>
      <c r="D12347" s="380" t="s">
        <v>767</v>
      </c>
      <c r="E12347" s="380" t="s">
        <v>786</v>
      </c>
      <c r="F12347" s="380" t="s">
        <v>792</v>
      </c>
      <c r="G12347" s="380" t="s">
        <v>1267</v>
      </c>
      <c r="H12347" s="380" t="s">
        <v>771</v>
      </c>
      <c r="I12347" s="380" t="s">
        <v>788</v>
      </c>
      <c r="J12347" s="380" t="s">
        <v>773</v>
      </c>
      <c r="K12347" s="381">
        <v>0.0</v>
      </c>
      <c r="L12347" s="382">
        <v>1.0</v>
      </c>
    </row>
    <row r="12348">
      <c r="A12348" s="380" t="s">
        <v>13222</v>
      </c>
      <c r="B12348" s="380" t="str">
        <f>IFERROR(__xludf.DUMMYFUNCTION("""COMPUTED_VALUE"""),"Cuna Rodillo Rda Tras Int NkrIII 28920")</f>
        <v>Cuna Rodillo Rda Tras Int NkrIII 28920</v>
      </c>
      <c r="C12348" s="380" t="str">
        <f>IFERROR(__xludf.DUMMYFUNCTION("""COMPUTED_VALUE"""),"70007806")</f>
        <v>70007806</v>
      </c>
      <c r="D12348" s="380" t="s">
        <v>767</v>
      </c>
      <c r="E12348" s="380" t="s">
        <v>786</v>
      </c>
      <c r="F12348" s="380" t="s">
        <v>1039</v>
      </c>
      <c r="G12348" s="380" t="s">
        <v>1267</v>
      </c>
      <c r="H12348" s="380" t="s">
        <v>771</v>
      </c>
      <c r="I12348" s="380" t="s">
        <v>788</v>
      </c>
      <c r="J12348" s="380" t="s">
        <v>773</v>
      </c>
      <c r="K12348" s="381">
        <v>0.0</v>
      </c>
      <c r="L12348" s="382">
        <v>1.0</v>
      </c>
    </row>
    <row r="12349">
      <c r="A12349" s="380" t="s">
        <v>13223</v>
      </c>
      <c r="B12349" s="380" t="str">
        <f>IFERROR(__xludf.DUMMYFUNCTION("""COMPUTED_VALUE"""),"Grapa Corredera Vidrio Pta Np 8978520761")</f>
        <v>Grapa Corredera Vidrio Pta Np 8978520761</v>
      </c>
      <c r="C12349" s="380" t="str">
        <f>IFERROR(__xludf.DUMMYFUNCTION("""COMPUTED_VALUE"""),"70007807")</f>
        <v>70007807</v>
      </c>
      <c r="D12349" s="380" t="s">
        <v>767</v>
      </c>
      <c r="E12349" s="380" t="s">
        <v>786</v>
      </c>
      <c r="F12349" s="380" t="s">
        <v>792</v>
      </c>
      <c r="G12349" s="380" t="s">
        <v>1267</v>
      </c>
      <c r="H12349" s="380" t="s">
        <v>771</v>
      </c>
      <c r="I12349" s="380" t="s">
        <v>788</v>
      </c>
      <c r="J12349" s="380" t="s">
        <v>773</v>
      </c>
      <c r="K12349" s="381">
        <v>0.0</v>
      </c>
      <c r="L12349" s="382">
        <v>1.0</v>
      </c>
    </row>
    <row r="12350">
      <c r="A12350" s="380" t="s">
        <v>13224</v>
      </c>
      <c r="B12350" s="380" t="str">
        <f>IFERROR(__xludf.DUMMYFUNCTION("""COMPUTED_VALUE"""),"Capuchon Rueda Tras Der Nkr 8980078100")</f>
        <v>Capuchon Rueda Tras Der Nkr 8980078100</v>
      </c>
      <c r="C12350" s="380" t="str">
        <f>IFERROR(__xludf.DUMMYFUNCTION("""COMPUTED_VALUE"""),"70007808")</f>
        <v>70007808</v>
      </c>
      <c r="D12350" s="380" t="s">
        <v>767</v>
      </c>
      <c r="E12350" s="380" t="s">
        <v>786</v>
      </c>
      <c r="F12350" s="380" t="s">
        <v>1039</v>
      </c>
      <c r="G12350" s="380" t="s">
        <v>1267</v>
      </c>
      <c r="H12350" s="380" t="s">
        <v>771</v>
      </c>
      <c r="I12350" s="380" t="s">
        <v>788</v>
      </c>
      <c r="J12350" s="380" t="s">
        <v>773</v>
      </c>
      <c r="K12350" s="381">
        <v>0.0</v>
      </c>
      <c r="L12350" s="382">
        <v>1.0</v>
      </c>
    </row>
    <row r="12351">
      <c r="A12351" s="380" t="s">
        <v>13225</v>
      </c>
      <c r="B12351" s="380" t="str">
        <f>IFERROR(__xludf.DUMMYFUNCTION("""COMPUTED_VALUE"""),"Juego Pastas Freno Del Akt200")</f>
        <v>Juego Pastas Freno Del Akt200</v>
      </c>
      <c r="C12351" s="380" t="str">
        <f>IFERROR(__xludf.DUMMYFUNCTION("""COMPUTED_VALUE"""),"70007809")</f>
        <v>70007809</v>
      </c>
      <c r="D12351" s="380" t="s">
        <v>767</v>
      </c>
      <c r="E12351" s="380" t="s">
        <v>786</v>
      </c>
      <c r="F12351" s="380" t="s">
        <v>1017</v>
      </c>
      <c r="G12351" s="380" t="s">
        <v>1267</v>
      </c>
      <c r="H12351" s="380" t="s">
        <v>771</v>
      </c>
      <c r="I12351" s="380" t="s">
        <v>788</v>
      </c>
      <c r="J12351" s="380" t="s">
        <v>773</v>
      </c>
      <c r="K12351" s="381">
        <v>0.0</v>
      </c>
      <c r="L12351" s="382">
        <v>1.0</v>
      </c>
    </row>
    <row r="12352">
      <c r="A12352" s="380" t="s">
        <v>13226</v>
      </c>
      <c r="B12352" s="380" t="str">
        <f>IFERROR(__xludf.DUMMYFUNCTION("""COMPUTED_VALUE"""),"Eje De Levas Motor Nkr 8972876571")</f>
        <v>Eje De Levas Motor Nkr 8972876571</v>
      </c>
      <c r="C12352" s="380" t="str">
        <f>IFERROR(__xludf.DUMMYFUNCTION("""COMPUTED_VALUE"""),"70007810")</f>
        <v>70007810</v>
      </c>
      <c r="D12352" s="380" t="s">
        <v>767</v>
      </c>
      <c r="E12352" s="380" t="s">
        <v>786</v>
      </c>
      <c r="F12352" s="380" t="s">
        <v>787</v>
      </c>
      <c r="G12352" s="380" t="s">
        <v>1267</v>
      </c>
      <c r="H12352" s="380" t="s">
        <v>771</v>
      </c>
      <c r="I12352" s="380" t="s">
        <v>788</v>
      </c>
      <c r="J12352" s="380" t="s">
        <v>773</v>
      </c>
      <c r="K12352" s="381">
        <v>0.0</v>
      </c>
      <c r="L12352" s="382">
        <v>1.0</v>
      </c>
    </row>
    <row r="12353">
      <c r="A12353" s="380" t="s">
        <v>13227</v>
      </c>
      <c r="B12353" s="380" t="str">
        <f>IFERROR(__xludf.DUMMYFUNCTION("""COMPUTED_VALUE"""),"Marco Puerta Der Nhr 8978903991")</f>
        <v>Marco Puerta Der Nhr 8978903991</v>
      </c>
      <c r="C12353" s="380" t="str">
        <f>IFERROR(__xludf.DUMMYFUNCTION("""COMPUTED_VALUE"""),"70007811")</f>
        <v>70007811</v>
      </c>
      <c r="D12353" s="380" t="s">
        <v>767</v>
      </c>
      <c r="E12353" s="380" t="s">
        <v>786</v>
      </c>
      <c r="F12353" s="380" t="s">
        <v>792</v>
      </c>
      <c r="G12353" s="380" t="s">
        <v>1267</v>
      </c>
      <c r="H12353" s="380" t="s">
        <v>771</v>
      </c>
      <c r="I12353" s="380" t="s">
        <v>788</v>
      </c>
      <c r="J12353" s="380" t="s">
        <v>773</v>
      </c>
      <c r="K12353" s="381">
        <v>0.0</v>
      </c>
      <c r="L12353" s="382">
        <v>1.0</v>
      </c>
    </row>
    <row r="12354">
      <c r="A12354" s="380" t="s">
        <v>13228</v>
      </c>
      <c r="B12354" s="380" t="str">
        <f>IFERROR(__xludf.DUMMYFUNCTION("""COMPUTED_VALUE"""),"RET Cigüeñal Tras EGL Isx 4965569")</f>
        <v>RET Cigüeñal Tras EGL Isx 4965569</v>
      </c>
      <c r="C12354" s="380" t="str">
        <f>IFERROR(__xludf.DUMMYFUNCTION("""COMPUTED_VALUE"""),"70007812")</f>
        <v>70007812</v>
      </c>
      <c r="D12354" s="380" t="s">
        <v>767</v>
      </c>
      <c r="E12354" s="380" t="s">
        <v>786</v>
      </c>
      <c r="F12354" s="380" t="s">
        <v>787</v>
      </c>
      <c r="G12354" s="380" t="s">
        <v>1267</v>
      </c>
      <c r="H12354" s="380" t="s">
        <v>771</v>
      </c>
      <c r="I12354" s="380" t="s">
        <v>788</v>
      </c>
      <c r="J12354" s="380" t="s">
        <v>773</v>
      </c>
      <c r="K12354" s="381">
        <v>0.0</v>
      </c>
      <c r="L12354" s="382">
        <v>1.0</v>
      </c>
    </row>
    <row r="12355">
      <c r="A12355" s="380" t="s">
        <v>13229</v>
      </c>
      <c r="B12355" s="380" t="str">
        <f>IFERROR(__xludf.DUMMYFUNCTION("""COMPUTED_VALUE"""),"Bocel Pisa Alfombras Der Nkr 8974094780")</f>
        <v>Bocel Pisa Alfombras Der Nkr 8974094780</v>
      </c>
      <c r="C12355" s="380" t="str">
        <f>IFERROR(__xludf.DUMMYFUNCTION("""COMPUTED_VALUE"""),"70007813")</f>
        <v>70007813</v>
      </c>
      <c r="D12355" s="380" t="s">
        <v>767</v>
      </c>
      <c r="E12355" s="380" t="s">
        <v>786</v>
      </c>
      <c r="F12355" s="380" t="s">
        <v>792</v>
      </c>
      <c r="G12355" s="380" t="s">
        <v>1267</v>
      </c>
      <c r="H12355" s="380" t="s">
        <v>771</v>
      </c>
      <c r="I12355" s="380" t="s">
        <v>788</v>
      </c>
      <c r="J12355" s="380" t="s">
        <v>773</v>
      </c>
      <c r="K12355" s="381">
        <v>0.0</v>
      </c>
      <c r="L12355" s="382">
        <v>1.0</v>
      </c>
    </row>
    <row r="12356">
      <c r="A12356" s="380" t="s">
        <v>13230</v>
      </c>
      <c r="B12356" s="380" t="str">
        <f>IFERROR(__xludf.DUMMYFUNCTION("""COMPUTED_VALUE"""),"Panel Lateral Del CAB Nkr III 8975824554")</f>
        <v>Panel Lateral Del CAB Nkr III 8975824554</v>
      </c>
      <c r="C12356" s="380" t="str">
        <f>IFERROR(__xludf.DUMMYFUNCTION("""COMPUTED_VALUE"""),"70007814")</f>
        <v>70007814</v>
      </c>
      <c r="D12356" s="380" t="s">
        <v>767</v>
      </c>
      <c r="E12356" s="380" t="s">
        <v>786</v>
      </c>
      <c r="F12356" s="380" t="s">
        <v>792</v>
      </c>
      <c r="G12356" s="380" t="s">
        <v>1267</v>
      </c>
      <c r="H12356" s="380" t="s">
        <v>771</v>
      </c>
      <c r="I12356" s="380" t="s">
        <v>788</v>
      </c>
      <c r="J12356" s="380" t="s">
        <v>773</v>
      </c>
      <c r="K12356" s="381">
        <v>0.0</v>
      </c>
      <c r="L12356" s="382">
        <v>1.0</v>
      </c>
    </row>
    <row r="12357">
      <c r="A12357" s="380" t="s">
        <v>13231</v>
      </c>
      <c r="B12357" s="380" t="str">
        <f>IFERROR(__xludf.DUMMYFUNCTION("""COMPUTED_VALUE"""),"Sinfín Caja Direc Nhr 8971082180")</f>
        <v>Sinfín Caja Direc Nhr 8971082180</v>
      </c>
      <c r="C12357" s="380" t="str">
        <f>IFERROR(__xludf.DUMMYFUNCTION("""COMPUTED_VALUE"""),"70007815")</f>
        <v>70007815</v>
      </c>
      <c r="D12357" s="380" t="s">
        <v>767</v>
      </c>
      <c r="E12357" s="380" t="s">
        <v>786</v>
      </c>
      <c r="F12357" s="380" t="s">
        <v>1020</v>
      </c>
      <c r="G12357" s="380" t="s">
        <v>1267</v>
      </c>
      <c r="H12357" s="380" t="s">
        <v>771</v>
      </c>
      <c r="I12357" s="380" t="s">
        <v>788</v>
      </c>
      <c r="J12357" s="380" t="s">
        <v>773</v>
      </c>
      <c r="K12357" s="381">
        <v>0.0</v>
      </c>
      <c r="L12357" s="382">
        <v>1.0</v>
      </c>
    </row>
    <row r="12358">
      <c r="A12358" s="380" t="s">
        <v>13232</v>
      </c>
      <c r="B12358" s="380" t="str">
        <f>IFERROR(__xludf.DUMMYFUNCTION("""COMPUTED_VALUE"""),"Cilindro Freno Del Izq Delta 4754087304")</f>
        <v>Cilindro Freno Del Izq Delta 4754087304</v>
      </c>
      <c r="C12358" s="380" t="str">
        <f>IFERROR(__xludf.DUMMYFUNCTION("""COMPUTED_VALUE"""),"70007816")</f>
        <v>70007816</v>
      </c>
      <c r="D12358" s="380" t="s">
        <v>767</v>
      </c>
      <c r="E12358" s="380" t="s">
        <v>786</v>
      </c>
      <c r="F12358" s="380" t="s">
        <v>1017</v>
      </c>
      <c r="G12358" s="380" t="s">
        <v>1267</v>
      </c>
      <c r="H12358" s="380" t="s">
        <v>771</v>
      </c>
      <c r="I12358" s="380" t="s">
        <v>788</v>
      </c>
      <c r="J12358" s="380" t="s">
        <v>773</v>
      </c>
      <c r="K12358" s="381">
        <v>0.0</v>
      </c>
      <c r="L12358" s="382">
        <v>1.0</v>
      </c>
    </row>
    <row r="12359">
      <c r="A12359" s="380" t="s">
        <v>13233</v>
      </c>
      <c r="B12359" s="380" t="str">
        <f>IFERROR(__xludf.DUMMYFUNCTION("""COMPUTED_VALUE"""),"Regulador Alternador Nkr 8941674100")</f>
        <v>Regulador Alternador Nkr 8941674100</v>
      </c>
      <c r="C12359" s="380" t="str">
        <f>IFERROR(__xludf.DUMMYFUNCTION("""COMPUTED_VALUE"""),"70007817")</f>
        <v>70007817</v>
      </c>
      <c r="D12359" s="380" t="s">
        <v>767</v>
      </c>
      <c r="E12359" s="380" t="s">
        <v>786</v>
      </c>
      <c r="F12359" s="380" t="s">
        <v>998</v>
      </c>
      <c r="G12359" s="380" t="s">
        <v>1267</v>
      </c>
      <c r="H12359" s="380" t="s">
        <v>771</v>
      </c>
      <c r="I12359" s="380" t="s">
        <v>788</v>
      </c>
      <c r="J12359" s="380" t="s">
        <v>773</v>
      </c>
      <c r="K12359" s="381">
        <v>0.0</v>
      </c>
      <c r="L12359" s="382">
        <v>1.0</v>
      </c>
    </row>
    <row r="12360">
      <c r="A12360" s="380" t="s">
        <v>13234</v>
      </c>
      <c r="B12360" s="380" t="str">
        <f>IFERROR(__xludf.DUMMYFUNCTION("""COMPUTED_VALUE"""),"Retenedor Cigüeñal Del Nkrii 8973517040")</f>
        <v>Retenedor Cigüeñal Del Nkrii 8973517040</v>
      </c>
      <c r="C12360" s="380" t="str">
        <f>IFERROR(__xludf.DUMMYFUNCTION("""COMPUTED_VALUE"""),"70007818")</f>
        <v>70007818</v>
      </c>
      <c r="D12360" s="380" t="s">
        <v>767</v>
      </c>
      <c r="E12360" s="380" t="s">
        <v>786</v>
      </c>
      <c r="F12360" s="380" t="s">
        <v>787</v>
      </c>
      <c r="G12360" s="380" t="s">
        <v>1267</v>
      </c>
      <c r="H12360" s="380" t="s">
        <v>771</v>
      </c>
      <c r="I12360" s="380" t="s">
        <v>788</v>
      </c>
      <c r="J12360" s="380" t="s">
        <v>773</v>
      </c>
      <c r="K12360" s="381">
        <v>0.0</v>
      </c>
      <c r="L12360" s="382">
        <v>1.0</v>
      </c>
    </row>
    <row r="12361">
      <c r="A12361" s="380" t="s">
        <v>13235</v>
      </c>
      <c r="B12361" s="380" t="str">
        <f>IFERROR(__xludf.DUMMYFUNCTION("""COMPUTED_VALUE"""),"Switch CTRL DIRal T Delta 8431087335")</f>
        <v>Switch CTRL DIRal T Delta 8431087335</v>
      </c>
      <c r="C12361" s="380" t="str">
        <f>IFERROR(__xludf.DUMMYFUNCTION("""COMPUTED_VALUE"""),"70007819")</f>
        <v>70007819</v>
      </c>
      <c r="D12361" s="380" t="s">
        <v>767</v>
      </c>
      <c r="E12361" s="380" t="s">
        <v>786</v>
      </c>
      <c r="F12361" s="380" t="s">
        <v>998</v>
      </c>
      <c r="G12361" s="380" t="s">
        <v>1267</v>
      </c>
      <c r="H12361" s="380" t="s">
        <v>771</v>
      </c>
      <c r="I12361" s="380" t="s">
        <v>788</v>
      </c>
      <c r="J12361" s="380" t="s">
        <v>773</v>
      </c>
      <c r="K12361" s="381">
        <v>0.0</v>
      </c>
      <c r="L12361" s="382">
        <v>1.0</v>
      </c>
    </row>
    <row r="12362">
      <c r="A12362" s="380" t="s">
        <v>13236</v>
      </c>
      <c r="B12362" s="380" t="str">
        <f>IFERROR(__xludf.DUMMYFUNCTION("""COMPUTED_VALUE"""),"Clip Panel Lateral Izq Nkr II 8975816321")</f>
        <v>Clip Panel Lateral Izq Nkr II 8975816321</v>
      </c>
      <c r="C12362" s="380" t="str">
        <f>IFERROR(__xludf.DUMMYFUNCTION("""COMPUTED_VALUE"""),"70007820")</f>
        <v>70007820</v>
      </c>
      <c r="D12362" s="380" t="s">
        <v>767</v>
      </c>
      <c r="E12362" s="380" t="s">
        <v>786</v>
      </c>
      <c r="F12362" s="380" t="s">
        <v>792</v>
      </c>
      <c r="G12362" s="380" t="s">
        <v>1267</v>
      </c>
      <c r="H12362" s="380" t="s">
        <v>771</v>
      </c>
      <c r="I12362" s="380" t="s">
        <v>788</v>
      </c>
      <c r="J12362" s="380" t="s">
        <v>773</v>
      </c>
      <c r="K12362" s="381">
        <v>0.0</v>
      </c>
      <c r="L12362" s="382">
        <v>1.0</v>
      </c>
    </row>
    <row r="12363">
      <c r="A12363" s="380" t="s">
        <v>13237</v>
      </c>
      <c r="B12363" s="380" t="str">
        <f>IFERROR(__xludf.DUMMYFUNCTION("""COMPUTED_VALUE"""),"Banda Delantera Hino Remachada")</f>
        <v>Banda Delantera Hino Remachada</v>
      </c>
      <c r="C12363" s="380" t="str">
        <f>IFERROR(__xludf.DUMMYFUNCTION("""COMPUTED_VALUE"""),"70007821")</f>
        <v>70007821</v>
      </c>
      <c r="D12363" s="380" t="s">
        <v>767</v>
      </c>
      <c r="E12363" s="380" t="s">
        <v>786</v>
      </c>
      <c r="F12363" s="380" t="s">
        <v>1017</v>
      </c>
      <c r="G12363" s="380" t="s">
        <v>1267</v>
      </c>
      <c r="H12363" s="380" t="s">
        <v>771</v>
      </c>
      <c r="I12363" s="380" t="s">
        <v>788</v>
      </c>
      <c r="J12363" s="380" t="s">
        <v>773</v>
      </c>
      <c r="K12363" s="381">
        <v>0.0</v>
      </c>
      <c r="L12363" s="382">
        <v>1.0</v>
      </c>
    </row>
    <row r="12364">
      <c r="A12364" s="380" t="s">
        <v>13238</v>
      </c>
      <c r="B12364" s="380" t="str">
        <f>IFERROR(__xludf.DUMMYFUNCTION("""COMPUTED_VALUE"""),"Tubo Freno Tras Nhr 97105827")</f>
        <v>Tubo Freno Tras Nhr 97105827</v>
      </c>
      <c r="C12364" s="380" t="str">
        <f>IFERROR(__xludf.DUMMYFUNCTION("""COMPUTED_VALUE"""),"70007823")</f>
        <v>70007823</v>
      </c>
      <c r="D12364" s="380" t="s">
        <v>767</v>
      </c>
      <c r="E12364" s="380" t="s">
        <v>786</v>
      </c>
      <c r="F12364" s="380" t="s">
        <v>1017</v>
      </c>
      <c r="G12364" s="380" t="s">
        <v>1267</v>
      </c>
      <c r="H12364" s="380" t="s">
        <v>771</v>
      </c>
      <c r="I12364" s="380" t="s">
        <v>788</v>
      </c>
      <c r="J12364" s="380" t="s">
        <v>773</v>
      </c>
      <c r="K12364" s="381">
        <v>0.0</v>
      </c>
      <c r="L12364" s="382">
        <v>1.0</v>
      </c>
    </row>
    <row r="12365">
      <c r="A12365" s="380" t="s">
        <v>13239</v>
      </c>
      <c r="B12365" s="380" t="str">
        <f>IFERROR(__xludf.DUMMYFUNCTION("""COMPUTED_VALUE"""),"Caña Direc Kemworth T-800 91665765sx")</f>
        <v>Caña Direc Kemworth T-800 91665765sx</v>
      </c>
      <c r="C12365" s="380" t="str">
        <f>IFERROR(__xludf.DUMMYFUNCTION("""COMPUTED_VALUE"""),"70007824")</f>
        <v>70007824</v>
      </c>
      <c r="D12365" s="380" t="s">
        <v>767</v>
      </c>
      <c r="E12365" s="380" t="s">
        <v>786</v>
      </c>
      <c r="F12365" s="380" t="s">
        <v>1020</v>
      </c>
      <c r="G12365" s="380" t="s">
        <v>1267</v>
      </c>
      <c r="H12365" s="380" t="s">
        <v>771</v>
      </c>
      <c r="I12365" s="380" t="s">
        <v>788</v>
      </c>
      <c r="J12365" s="380" t="s">
        <v>773</v>
      </c>
      <c r="K12365" s="381">
        <v>0.0</v>
      </c>
      <c r="L12365" s="382">
        <v>1.0</v>
      </c>
    </row>
    <row r="12366">
      <c r="A12366" s="380" t="s">
        <v>13240</v>
      </c>
      <c r="B12366" s="380" t="str">
        <f>IFERROR(__xludf.DUMMYFUNCTION("""COMPUTED_VALUE"""),"Grapa Furgon 3/4x4x19""")</f>
        <v>Grapa Furgon 3/4x4x19"</v>
      </c>
      <c r="C12366" s="380" t="str">
        <f>IFERROR(__xludf.DUMMYFUNCTION("""COMPUTED_VALUE"""),"70007825")</f>
        <v>70007825</v>
      </c>
      <c r="D12366" s="380" t="s">
        <v>767</v>
      </c>
      <c r="E12366" s="380" t="s">
        <v>786</v>
      </c>
      <c r="F12366" s="380" t="s">
        <v>1039</v>
      </c>
      <c r="G12366" s="380" t="s">
        <v>1267</v>
      </c>
      <c r="H12366" s="380" t="s">
        <v>771</v>
      </c>
      <c r="I12366" s="380" t="s">
        <v>788</v>
      </c>
      <c r="J12366" s="380" t="s">
        <v>773</v>
      </c>
      <c r="K12366" s="381">
        <v>0.0</v>
      </c>
      <c r="L12366" s="382">
        <v>1.0</v>
      </c>
    </row>
    <row r="12367">
      <c r="A12367" s="380" t="s">
        <v>13241</v>
      </c>
      <c r="B12367" s="380" t="str">
        <f>IFERROR(__xludf.DUMMYFUNCTION("""COMPUTED_VALUE"""),"Rodillo Piñon Central CJ Rtlo Zbf5566510")</f>
        <v>Rodillo Piñon Central CJ Rtlo Zbf5566510</v>
      </c>
      <c r="C12367" s="380" t="str">
        <f>IFERROR(__xludf.DUMMYFUNCTION("""COMPUTED_VALUE"""),"70007826")</f>
        <v>70007826</v>
      </c>
      <c r="D12367" s="380" t="s">
        <v>767</v>
      </c>
      <c r="E12367" s="380" t="s">
        <v>786</v>
      </c>
      <c r="F12367" s="380" t="s">
        <v>928</v>
      </c>
      <c r="G12367" s="380" t="s">
        <v>1267</v>
      </c>
      <c r="H12367" s="380" t="s">
        <v>771</v>
      </c>
      <c r="I12367" s="380" t="s">
        <v>788</v>
      </c>
      <c r="J12367" s="380" t="s">
        <v>773</v>
      </c>
      <c r="K12367" s="381">
        <v>0.0</v>
      </c>
      <c r="L12367" s="382">
        <v>1.0</v>
      </c>
    </row>
    <row r="12368">
      <c r="A12368" s="380" t="s">
        <v>13242</v>
      </c>
      <c r="B12368" s="380" t="str">
        <f>IFERROR(__xludf.DUMMYFUNCTION("""COMPUTED_VALUE"""),"Perilla Palanca Cambios Nkr 8971962851")</f>
        <v>Perilla Palanca Cambios Nkr 8971962851</v>
      </c>
      <c r="C12368" s="380" t="str">
        <f>IFERROR(__xludf.DUMMYFUNCTION("""COMPUTED_VALUE"""),"70007827")</f>
        <v>70007827</v>
      </c>
      <c r="D12368" s="380" t="s">
        <v>767</v>
      </c>
      <c r="E12368" s="380" t="s">
        <v>786</v>
      </c>
      <c r="F12368" s="380" t="s">
        <v>792</v>
      </c>
      <c r="G12368" s="380" t="s">
        <v>1267</v>
      </c>
      <c r="H12368" s="380" t="s">
        <v>771</v>
      </c>
      <c r="I12368" s="380" t="s">
        <v>788</v>
      </c>
      <c r="J12368" s="380" t="s">
        <v>773</v>
      </c>
      <c r="K12368" s="381">
        <v>0.0</v>
      </c>
      <c r="L12368" s="382">
        <v>1.0</v>
      </c>
    </row>
    <row r="12369">
      <c r="A12369" s="380" t="s">
        <v>13243</v>
      </c>
      <c r="B12369" s="380" t="str">
        <f>IFERROR(__xludf.DUMMYFUNCTION("""COMPUTED_VALUE"""),"Tapon Vaso Trampa COMB Nkr 8944537460")</f>
        <v>Tapon Vaso Trampa COMB Nkr 8944537460</v>
      </c>
      <c r="C12369" s="380" t="str">
        <f>IFERROR(__xludf.DUMMYFUNCTION("""COMPUTED_VALUE"""),"70007828")</f>
        <v>70007828</v>
      </c>
      <c r="D12369" s="380" t="s">
        <v>767</v>
      </c>
      <c r="E12369" s="380" t="s">
        <v>786</v>
      </c>
      <c r="F12369" s="380" t="s">
        <v>787</v>
      </c>
      <c r="G12369" s="380" t="s">
        <v>1267</v>
      </c>
      <c r="H12369" s="380" t="s">
        <v>771</v>
      </c>
      <c r="I12369" s="380" t="s">
        <v>788</v>
      </c>
      <c r="J12369" s="380" t="s">
        <v>773</v>
      </c>
      <c r="K12369" s="381">
        <v>16227.0</v>
      </c>
      <c r="L12369" s="382">
        <v>1.0</v>
      </c>
    </row>
    <row r="12370">
      <c r="A12370" s="380" t="s">
        <v>13244</v>
      </c>
      <c r="B12370" s="380" t="str">
        <f>IFERROR(__xludf.DUMMYFUNCTION("""COMPUTED_VALUE"""),"Empaque Enfriador Aceite Npr 9095662260")</f>
        <v>Empaque Enfriador Aceite Npr 9095662260</v>
      </c>
      <c r="C12370" s="380" t="str">
        <f>IFERROR(__xludf.DUMMYFUNCTION("""COMPUTED_VALUE"""),"70007829")</f>
        <v>70007829</v>
      </c>
      <c r="D12370" s="380" t="s">
        <v>767</v>
      </c>
      <c r="E12370" s="380" t="s">
        <v>786</v>
      </c>
      <c r="F12370" s="380" t="s">
        <v>787</v>
      </c>
      <c r="G12370" s="380" t="s">
        <v>1267</v>
      </c>
      <c r="H12370" s="380" t="s">
        <v>771</v>
      </c>
      <c r="I12370" s="380" t="s">
        <v>788</v>
      </c>
      <c r="J12370" s="380" t="s">
        <v>773</v>
      </c>
      <c r="K12370" s="381">
        <v>0.0</v>
      </c>
      <c r="L12370" s="382">
        <v>1.0</v>
      </c>
    </row>
    <row r="12371">
      <c r="A12371" s="380" t="s">
        <v>13245</v>
      </c>
      <c r="B12371" s="380" t="str">
        <f>IFERROR(__xludf.DUMMYFUNCTION("""COMPUTED_VALUE"""),"Grapa Muelle Del KW 3/4x4x10.1")</f>
        <v>Grapa Muelle Del KW 3/4x4x10.1</v>
      </c>
      <c r="C12371" s="380" t="str">
        <f>IFERROR(__xludf.DUMMYFUNCTION("""COMPUTED_VALUE"""),"70007830")</f>
        <v>70007830</v>
      </c>
      <c r="D12371" s="380" t="s">
        <v>767</v>
      </c>
      <c r="E12371" s="380" t="s">
        <v>786</v>
      </c>
      <c r="F12371" s="380" t="s">
        <v>1039</v>
      </c>
      <c r="G12371" s="380" t="s">
        <v>1267</v>
      </c>
      <c r="H12371" s="380" t="s">
        <v>771</v>
      </c>
      <c r="I12371" s="380" t="s">
        <v>788</v>
      </c>
      <c r="J12371" s="380" t="s">
        <v>773</v>
      </c>
      <c r="K12371" s="381">
        <v>0.0</v>
      </c>
      <c r="L12371" s="382">
        <v>1.0</v>
      </c>
    </row>
    <row r="12372">
      <c r="A12372" s="380" t="s">
        <v>13246</v>
      </c>
      <c r="B12372" s="380" t="str">
        <f>IFERROR(__xludf.DUMMYFUNCTION("""COMPUTED_VALUE"""),"RET Ext RDA Tras Delta Xhm5510147")</f>
        <v>RET Ext RDA Tras Delta Xhm5510147</v>
      </c>
      <c r="C12372" s="380" t="str">
        <f>IFERROR(__xludf.DUMMYFUNCTION("""COMPUTED_VALUE"""),"70007831")</f>
        <v>70007831</v>
      </c>
      <c r="D12372" s="380" t="s">
        <v>767</v>
      </c>
      <c r="E12372" s="380" t="s">
        <v>786</v>
      </c>
      <c r="F12372" s="380" t="s">
        <v>5683</v>
      </c>
      <c r="G12372" s="380" t="s">
        <v>1267</v>
      </c>
      <c r="H12372" s="380" t="s">
        <v>771</v>
      </c>
      <c r="I12372" s="380" t="s">
        <v>788</v>
      </c>
      <c r="J12372" s="380" t="s">
        <v>773</v>
      </c>
      <c r="K12372" s="381">
        <v>0.0</v>
      </c>
      <c r="L12372" s="382">
        <v>1.0</v>
      </c>
    </row>
    <row r="12373">
      <c r="A12373" s="380" t="s">
        <v>13247</v>
      </c>
      <c r="B12373" s="380" t="str">
        <f>IFERROR(__xludf.DUMMYFUNCTION("""COMPUTED_VALUE"""),"Tapon Filtro Magnetico Isx Ken 3014575")</f>
        <v>Tapon Filtro Magnetico Isx Ken 3014575</v>
      </c>
      <c r="C12373" s="380" t="str">
        <f>IFERROR(__xludf.DUMMYFUNCTION("""COMPUTED_VALUE"""),"70007832")</f>
        <v>70007832</v>
      </c>
      <c r="D12373" s="380" t="s">
        <v>767</v>
      </c>
      <c r="E12373" s="380" t="s">
        <v>786</v>
      </c>
      <c r="F12373" s="380" t="s">
        <v>787</v>
      </c>
      <c r="G12373" s="380" t="s">
        <v>1267</v>
      </c>
      <c r="H12373" s="380" t="s">
        <v>771</v>
      </c>
      <c r="I12373" s="380" t="s">
        <v>788</v>
      </c>
      <c r="J12373" s="380" t="s">
        <v>773</v>
      </c>
      <c r="K12373" s="381">
        <v>0.0</v>
      </c>
      <c r="L12373" s="382">
        <v>1.0</v>
      </c>
    </row>
    <row r="12374">
      <c r="A12374" s="380" t="s">
        <v>13248</v>
      </c>
      <c r="B12374" s="380" t="str">
        <f>IFERROR(__xludf.DUMMYFUNCTION("""COMPUTED_VALUE"""),"Filtro Aire Paifander Nissan 16546 Y 03")</f>
        <v>Filtro Aire Paifander Nissan 16546 Y 03</v>
      </c>
      <c r="C12374" s="380" t="str">
        <f>IFERROR(__xludf.DUMMYFUNCTION("""COMPUTED_VALUE"""),"70007833")</f>
        <v>70007833</v>
      </c>
      <c r="D12374" s="380" t="s">
        <v>767</v>
      </c>
      <c r="E12374" s="380" t="s">
        <v>786</v>
      </c>
      <c r="F12374" s="380" t="s">
        <v>5855</v>
      </c>
      <c r="G12374" s="380" t="s">
        <v>1267</v>
      </c>
      <c r="H12374" s="380" t="s">
        <v>771</v>
      </c>
      <c r="I12374" s="380" t="s">
        <v>788</v>
      </c>
      <c r="J12374" s="380" t="s">
        <v>773</v>
      </c>
      <c r="K12374" s="381">
        <v>0.0</v>
      </c>
      <c r="L12374" s="382">
        <v>1.0</v>
      </c>
    </row>
    <row r="12375">
      <c r="A12375" s="380" t="s">
        <v>13249</v>
      </c>
      <c r="B12375" s="380" t="str">
        <f>IFERROR(__xludf.DUMMYFUNCTION("""COMPUTED_VALUE"""),"Cojin C Cojin Cond-Ayudante H.I. Repardo")</f>
        <v>Cojin C Cojin Cond-Ayudante H.I. Repardo</v>
      </c>
      <c r="C12375" s="380" t="str">
        <f>IFERROR(__xludf.DUMMYFUNCTION("""COMPUTED_VALUE"""),"70007834")</f>
        <v>70007834</v>
      </c>
      <c r="D12375" s="380" t="s">
        <v>767</v>
      </c>
      <c r="E12375" s="380" t="s">
        <v>786</v>
      </c>
      <c r="F12375" s="380" t="s">
        <v>792</v>
      </c>
      <c r="G12375" s="380" t="s">
        <v>1267</v>
      </c>
      <c r="H12375" s="380" t="s">
        <v>771</v>
      </c>
      <c r="I12375" s="380" t="s">
        <v>788</v>
      </c>
      <c r="J12375" s="380" t="s">
        <v>773</v>
      </c>
      <c r="K12375" s="381">
        <v>0.0</v>
      </c>
      <c r="L12375" s="382">
        <v>1.0</v>
      </c>
    </row>
    <row r="12376">
      <c r="A12376" s="380" t="s">
        <v>13250</v>
      </c>
      <c r="B12376" s="380" t="str">
        <f>IFERROR(__xludf.DUMMYFUNCTION("""COMPUTED_VALUE"""),"Pasador Buje Palanca Cambios SB N K-2003")</f>
        <v>Pasador Buje Palanca Cambios SB N K-2003</v>
      </c>
      <c r="C12376" s="380" t="str">
        <f>IFERROR(__xludf.DUMMYFUNCTION("""COMPUTED_VALUE"""),"70007835")</f>
        <v>70007835</v>
      </c>
      <c r="D12376" s="380" t="s">
        <v>767</v>
      </c>
      <c r="E12376" s="380" t="s">
        <v>786</v>
      </c>
      <c r="F12376" s="380" t="s">
        <v>928</v>
      </c>
      <c r="G12376" s="380" t="s">
        <v>1267</v>
      </c>
      <c r="H12376" s="380" t="s">
        <v>771</v>
      </c>
      <c r="I12376" s="380" t="s">
        <v>788</v>
      </c>
      <c r="J12376" s="380" t="s">
        <v>773</v>
      </c>
      <c r="K12376" s="381">
        <v>0.0</v>
      </c>
      <c r="L12376" s="382">
        <v>1.0</v>
      </c>
    </row>
    <row r="12377">
      <c r="A12377" s="380" t="s">
        <v>13251</v>
      </c>
      <c r="B12377" s="380" t="str">
        <f>IFERROR(__xludf.DUMMYFUNCTION("""COMPUTED_VALUE"""),"Tuerca Eje Tras Housing T Del 4242787301")</f>
        <v>Tuerca Eje Tras Housing T Del 4242787301</v>
      </c>
      <c r="C12377" s="380" t="str">
        <f>IFERROR(__xludf.DUMMYFUNCTION("""COMPUTED_VALUE"""),"70007836")</f>
        <v>70007836</v>
      </c>
      <c r="D12377" s="380" t="s">
        <v>767</v>
      </c>
      <c r="E12377" s="380" t="s">
        <v>786</v>
      </c>
      <c r="F12377" s="380" t="s">
        <v>5683</v>
      </c>
      <c r="G12377" s="380" t="s">
        <v>1267</v>
      </c>
      <c r="H12377" s="380" t="s">
        <v>771</v>
      </c>
      <c r="I12377" s="380" t="s">
        <v>788</v>
      </c>
      <c r="J12377" s="380" t="s">
        <v>773</v>
      </c>
      <c r="K12377" s="381">
        <v>0.0</v>
      </c>
      <c r="L12377" s="382">
        <v>1.0</v>
      </c>
    </row>
    <row r="12378">
      <c r="A12378" s="380" t="s">
        <v>13252</v>
      </c>
      <c r="B12378" s="380" t="str">
        <f>IFERROR(__xludf.DUMMYFUNCTION("""COMPUTED_VALUE"""),"CIL Freno Tras Delanter Izq T 4757087312")</f>
        <v>CIL Freno Tras Delanter Izq T 4757087312</v>
      </c>
      <c r="C12378" s="380" t="str">
        <f>IFERROR(__xludf.DUMMYFUNCTION("""COMPUTED_VALUE"""),"70007837")</f>
        <v>70007837</v>
      </c>
      <c r="D12378" s="380" t="s">
        <v>767</v>
      </c>
      <c r="E12378" s="380" t="s">
        <v>786</v>
      </c>
      <c r="F12378" s="380" t="s">
        <v>1017</v>
      </c>
      <c r="G12378" s="380" t="s">
        <v>1267</v>
      </c>
      <c r="H12378" s="380" t="s">
        <v>771</v>
      </c>
      <c r="I12378" s="380" t="s">
        <v>788</v>
      </c>
      <c r="J12378" s="380" t="s">
        <v>773</v>
      </c>
      <c r="K12378" s="381">
        <v>0.0</v>
      </c>
      <c r="L12378" s="382">
        <v>1.0</v>
      </c>
    </row>
    <row r="12379">
      <c r="A12379" s="380" t="s">
        <v>13253</v>
      </c>
      <c r="B12379" s="380" t="str">
        <f>IFERROR(__xludf.DUMMYFUNCTION("""COMPUTED_VALUE"""),"Switch DIRales Nkr 8973835130 8970710072")</f>
        <v>Switch DIRales Nkr 8973835130 8970710072</v>
      </c>
      <c r="C12379" s="380" t="str">
        <f>IFERROR(__xludf.DUMMYFUNCTION("""COMPUTED_VALUE"""),"70007838")</f>
        <v>70007838</v>
      </c>
      <c r="D12379" s="380" t="s">
        <v>767</v>
      </c>
      <c r="E12379" s="380" t="s">
        <v>786</v>
      </c>
      <c r="F12379" s="380" t="s">
        <v>998</v>
      </c>
      <c r="G12379" s="380" t="s">
        <v>1267</v>
      </c>
      <c r="H12379" s="380" t="s">
        <v>771</v>
      </c>
      <c r="I12379" s="380" t="s">
        <v>788</v>
      </c>
      <c r="J12379" s="380" t="s">
        <v>773</v>
      </c>
      <c r="K12379" s="381">
        <v>0.0</v>
      </c>
      <c r="L12379" s="382">
        <v>1.0</v>
      </c>
    </row>
    <row r="12380">
      <c r="A12380" s="380" t="s">
        <v>13254</v>
      </c>
      <c r="B12380" s="380" t="str">
        <f>IFERROR(__xludf.DUMMYFUNCTION("""COMPUTED_VALUE"""),"FILT Aceite NS 1520865foe 15208-T54s")</f>
        <v>FILT Aceite NS 1520865foe 15208-T54s</v>
      </c>
      <c r="C12380" s="380" t="str">
        <f>IFERROR(__xludf.DUMMYFUNCTION("""COMPUTED_VALUE"""),"70007839")</f>
        <v>70007839</v>
      </c>
      <c r="D12380" s="380" t="s">
        <v>767</v>
      </c>
      <c r="E12380" s="380" t="s">
        <v>786</v>
      </c>
      <c r="F12380" s="380" t="s">
        <v>5855</v>
      </c>
      <c r="G12380" s="380" t="s">
        <v>1267</v>
      </c>
      <c r="H12380" s="380" t="s">
        <v>771</v>
      </c>
      <c r="I12380" s="380" t="s">
        <v>788</v>
      </c>
      <c r="J12380" s="380" t="s">
        <v>773</v>
      </c>
      <c r="K12380" s="381">
        <v>0.0</v>
      </c>
      <c r="L12380" s="382">
        <v>1.0</v>
      </c>
    </row>
    <row r="12381">
      <c r="A12381" s="380" t="s">
        <v>13255</v>
      </c>
      <c r="B12381" s="380" t="str">
        <f>IFERROR(__xludf.DUMMYFUNCTION("""COMPUTED_VALUE"""),"FILT Aceite Paifander Nissan 15208-9e00")</f>
        <v>FILT Aceite Paifander Nissan 15208-9e00</v>
      </c>
      <c r="C12381" s="380" t="str">
        <f>IFERROR(__xludf.DUMMYFUNCTION("""COMPUTED_VALUE"""),"70007840")</f>
        <v>70007840</v>
      </c>
      <c r="D12381" s="380" t="s">
        <v>767</v>
      </c>
      <c r="E12381" s="380" t="s">
        <v>786</v>
      </c>
      <c r="F12381" s="380" t="s">
        <v>5855</v>
      </c>
      <c r="G12381" s="380" t="s">
        <v>1267</v>
      </c>
      <c r="H12381" s="380" t="s">
        <v>771</v>
      </c>
      <c r="I12381" s="380" t="s">
        <v>788</v>
      </c>
      <c r="J12381" s="380" t="s">
        <v>773</v>
      </c>
      <c r="K12381" s="381">
        <v>0.0</v>
      </c>
      <c r="L12381" s="382">
        <v>1.0</v>
      </c>
    </row>
    <row r="12382">
      <c r="A12382" s="380" t="s">
        <v>13256</v>
      </c>
      <c r="B12382" s="380" t="str">
        <f>IFERROR(__xludf.DUMMYFUNCTION("""COMPUTED_VALUE"""),"MANG AIR Compresor Gobernador X 3/16 X 5")</f>
        <v>MANG AIR Compresor Gobernador X 3/16 X 5</v>
      </c>
      <c r="C12382" s="380" t="str">
        <f>IFERROR(__xludf.DUMMYFUNCTION("""COMPUTED_VALUE"""),"70007841")</f>
        <v>70007841</v>
      </c>
      <c r="D12382" s="380" t="s">
        <v>767</v>
      </c>
      <c r="E12382" s="380" t="s">
        <v>786</v>
      </c>
      <c r="F12382" s="380" t="s">
        <v>787</v>
      </c>
      <c r="G12382" s="380" t="s">
        <v>1267</v>
      </c>
      <c r="H12382" s="380" t="s">
        <v>771</v>
      </c>
      <c r="I12382" s="380" t="s">
        <v>788</v>
      </c>
      <c r="J12382" s="380" t="s">
        <v>773</v>
      </c>
      <c r="K12382" s="381">
        <v>0.0</v>
      </c>
      <c r="L12382" s="382">
        <v>1.0</v>
      </c>
    </row>
    <row r="12383">
      <c r="A12383" s="380" t="s">
        <v>13257</v>
      </c>
      <c r="B12383" s="380" t="str">
        <f>IFERROR(__xludf.DUMMYFUNCTION("""COMPUTED_VALUE"""),"FILT Aceite Planta EL Fleetguard Lf 3349")</f>
        <v>FILT Aceite Planta EL Fleetguard Lf 3349</v>
      </c>
      <c r="C12383" s="380" t="str">
        <f>IFERROR(__xludf.DUMMYFUNCTION("""COMPUTED_VALUE"""),"70007842")</f>
        <v>70007842</v>
      </c>
      <c r="D12383" s="380" t="s">
        <v>767</v>
      </c>
      <c r="E12383" s="380" t="s">
        <v>786</v>
      </c>
      <c r="F12383" s="380" t="s">
        <v>5855</v>
      </c>
      <c r="G12383" s="380" t="s">
        <v>1267</v>
      </c>
      <c r="H12383" s="380" t="s">
        <v>771</v>
      </c>
      <c r="I12383" s="380" t="s">
        <v>788</v>
      </c>
      <c r="J12383" s="380" t="s">
        <v>773</v>
      </c>
      <c r="K12383" s="381">
        <v>0.0</v>
      </c>
      <c r="L12383" s="382">
        <v>1.0</v>
      </c>
    </row>
    <row r="12384">
      <c r="A12384" s="380" t="s">
        <v>13258</v>
      </c>
      <c r="B12384" s="380" t="str">
        <f>IFERROR(__xludf.DUMMYFUNCTION("""COMPUTED_VALUE"""),"Buje Pasador Collarin Eagle")</f>
        <v>Buje Pasador Collarin Eagle</v>
      </c>
      <c r="C12384" s="380" t="str">
        <f>IFERROR(__xludf.DUMMYFUNCTION("""COMPUTED_VALUE"""),"70007843")</f>
        <v>70007843</v>
      </c>
      <c r="D12384" s="380" t="s">
        <v>767</v>
      </c>
      <c r="E12384" s="380" t="s">
        <v>786</v>
      </c>
      <c r="F12384" s="380" t="s">
        <v>1039</v>
      </c>
      <c r="G12384" s="380" t="s">
        <v>1267</v>
      </c>
      <c r="H12384" s="380" t="s">
        <v>771</v>
      </c>
      <c r="I12384" s="380" t="s">
        <v>788</v>
      </c>
      <c r="J12384" s="380" t="s">
        <v>773</v>
      </c>
      <c r="K12384" s="381">
        <v>0.0</v>
      </c>
      <c r="L12384" s="382">
        <v>1.0</v>
      </c>
    </row>
    <row r="12385">
      <c r="A12385" s="380" t="s">
        <v>13259</v>
      </c>
      <c r="B12385" s="380" t="str">
        <f>IFERROR(__xludf.DUMMYFUNCTION("""COMPUTED_VALUE"""),"FILT COMB Ppal Hi466 Fleetguard Ff 5078")</f>
        <v>FILT COMB Ppal Hi466 Fleetguard Ff 5078</v>
      </c>
      <c r="C12385" s="380" t="str">
        <f>IFERROR(__xludf.DUMMYFUNCTION("""COMPUTED_VALUE"""),"70007844")</f>
        <v>70007844</v>
      </c>
      <c r="D12385" s="380" t="s">
        <v>767</v>
      </c>
      <c r="E12385" s="380" t="s">
        <v>786</v>
      </c>
      <c r="F12385" s="380" t="s">
        <v>5855</v>
      </c>
      <c r="G12385" s="380" t="s">
        <v>1267</v>
      </c>
      <c r="H12385" s="380" t="s">
        <v>771</v>
      </c>
      <c r="I12385" s="380" t="s">
        <v>788</v>
      </c>
      <c r="J12385" s="380" t="s">
        <v>773</v>
      </c>
      <c r="K12385" s="381">
        <v>0.0</v>
      </c>
      <c r="L12385" s="382">
        <v>1.0</v>
      </c>
    </row>
    <row r="12386">
      <c r="A12386" s="380" t="s">
        <v>13260</v>
      </c>
      <c r="B12386" s="380" t="str">
        <f>IFERROR(__xludf.DUMMYFUNCTION("""COMPUTED_VALUE"""),"Eje Bomba Engrane Motor Isx Fabricado")</f>
        <v>Eje Bomba Engrane Motor Isx Fabricado</v>
      </c>
      <c r="C12386" s="380" t="str">
        <f>IFERROR(__xludf.DUMMYFUNCTION("""COMPUTED_VALUE"""),"70007845")</f>
        <v>70007845</v>
      </c>
      <c r="D12386" s="380" t="s">
        <v>767</v>
      </c>
      <c r="E12386" s="380" t="s">
        <v>786</v>
      </c>
      <c r="F12386" s="380" t="s">
        <v>787</v>
      </c>
      <c r="G12386" s="380" t="s">
        <v>1267</v>
      </c>
      <c r="H12386" s="380" t="s">
        <v>771</v>
      </c>
      <c r="I12386" s="380" t="s">
        <v>788</v>
      </c>
      <c r="J12386" s="380" t="s">
        <v>773</v>
      </c>
      <c r="K12386" s="381">
        <v>0.0</v>
      </c>
      <c r="L12386" s="382">
        <v>1.0</v>
      </c>
    </row>
    <row r="12387">
      <c r="A12387" s="380" t="s">
        <v>13261</v>
      </c>
      <c r="B12387" s="380" t="str">
        <f>IFERROR(__xludf.DUMMYFUNCTION("""COMPUTED_VALUE"""),"Tope MUE Suspensión Del Nkr 8941502653")</f>
        <v>Tope MUE Suspensión Del Nkr 8941502653</v>
      </c>
      <c r="C12387" s="380" t="str">
        <f>IFERROR(__xludf.DUMMYFUNCTION("""COMPUTED_VALUE"""),"70007846")</f>
        <v>70007846</v>
      </c>
      <c r="D12387" s="380" t="s">
        <v>767</v>
      </c>
      <c r="E12387" s="380" t="s">
        <v>786</v>
      </c>
      <c r="F12387" s="380" t="s">
        <v>1039</v>
      </c>
      <c r="G12387" s="380" t="s">
        <v>1267</v>
      </c>
      <c r="H12387" s="380" t="s">
        <v>771</v>
      </c>
      <c r="I12387" s="380" t="s">
        <v>788</v>
      </c>
      <c r="J12387" s="380" t="s">
        <v>773</v>
      </c>
      <c r="K12387" s="381">
        <v>0.0</v>
      </c>
      <c r="L12387" s="382">
        <v>1.0</v>
      </c>
    </row>
    <row r="12388">
      <c r="A12388" s="380" t="s">
        <v>13262</v>
      </c>
      <c r="B12388" s="380" t="str">
        <f>IFERROR(__xludf.DUMMYFUNCTION("""COMPUTED_VALUE"""),"Buje MUE Tras Parte Del Nkr 89707 Rb413b")</f>
        <v>Buje MUE Tras Parte Del Nkr 89707 Rb413b</v>
      </c>
      <c r="C12388" s="380" t="str">
        <f>IFERROR(__xludf.DUMMYFUNCTION("""COMPUTED_VALUE"""),"70007847")</f>
        <v>70007847</v>
      </c>
      <c r="D12388" s="380" t="s">
        <v>767</v>
      </c>
      <c r="E12388" s="380" t="s">
        <v>786</v>
      </c>
      <c r="F12388" s="380" t="s">
        <v>1039</v>
      </c>
      <c r="G12388" s="380" t="s">
        <v>1267</v>
      </c>
      <c r="H12388" s="380" t="s">
        <v>771</v>
      </c>
      <c r="I12388" s="380" t="s">
        <v>788</v>
      </c>
      <c r="J12388" s="380" t="s">
        <v>773</v>
      </c>
      <c r="K12388" s="381">
        <v>0.0</v>
      </c>
      <c r="L12388" s="382">
        <v>1.0</v>
      </c>
    </row>
    <row r="12389">
      <c r="A12389" s="380" t="s">
        <v>13263</v>
      </c>
      <c r="B12389" s="380" t="str">
        <f>IFERROR(__xludf.DUMMYFUNCTION("""COMPUTED_VALUE"""),"Pasador Muelle Tras Parte Del Nkr Dp809s")</f>
        <v>Pasador Muelle Tras Parte Del Nkr Dp809s</v>
      </c>
      <c r="C12389" s="380" t="str">
        <f>IFERROR(__xludf.DUMMYFUNCTION("""COMPUTED_VALUE"""),"70007848")</f>
        <v>70007848</v>
      </c>
      <c r="D12389" s="380" t="s">
        <v>767</v>
      </c>
      <c r="E12389" s="380" t="s">
        <v>786</v>
      </c>
      <c r="F12389" s="380" t="s">
        <v>1039</v>
      </c>
      <c r="G12389" s="380" t="s">
        <v>1267</v>
      </c>
      <c r="H12389" s="380" t="s">
        <v>771</v>
      </c>
      <c r="I12389" s="380" t="s">
        <v>788</v>
      </c>
      <c r="J12389" s="380" t="s">
        <v>773</v>
      </c>
      <c r="K12389" s="381">
        <v>0.0</v>
      </c>
      <c r="L12389" s="382">
        <v>1.0</v>
      </c>
    </row>
    <row r="12390">
      <c r="A12390" s="380" t="s">
        <v>13264</v>
      </c>
      <c r="B12390" s="380" t="str">
        <f>IFERROR(__xludf.DUMMYFUNCTION("""COMPUTED_VALUE"""),"EMPtadura VALV Relay Trayler 110201")</f>
        <v>EMPtadura VALV Relay Trayler 110201</v>
      </c>
      <c r="C12390" s="380" t="str">
        <f>IFERROR(__xludf.DUMMYFUNCTION("""COMPUTED_VALUE"""),"70007849")</f>
        <v>70007849</v>
      </c>
      <c r="D12390" s="380" t="s">
        <v>767</v>
      </c>
      <c r="E12390" s="380" t="s">
        <v>786</v>
      </c>
      <c r="F12390" s="380" t="s">
        <v>1017</v>
      </c>
      <c r="G12390" s="380" t="s">
        <v>1267</v>
      </c>
      <c r="H12390" s="380" t="s">
        <v>771</v>
      </c>
      <c r="I12390" s="380" t="s">
        <v>788</v>
      </c>
      <c r="J12390" s="380" t="s">
        <v>773</v>
      </c>
      <c r="K12390" s="381">
        <v>0.0</v>
      </c>
      <c r="L12390" s="382">
        <v>1.0</v>
      </c>
    </row>
    <row r="12391">
      <c r="A12391" s="380" t="s">
        <v>13265</v>
      </c>
      <c r="B12391" s="380" t="str">
        <f>IFERROR(__xludf.DUMMYFUNCTION("""COMPUTED_VALUE"""),"FILT Agua SB - EGL Mo Fleetguard Wf 2071")</f>
        <v>FILT Agua SB - EGL Mo Fleetguard Wf 2071</v>
      </c>
      <c r="C12391" s="380" t="str">
        <f>IFERROR(__xludf.DUMMYFUNCTION("""COMPUTED_VALUE"""),"70007850")</f>
        <v>70007850</v>
      </c>
      <c r="D12391" s="380" t="s">
        <v>767</v>
      </c>
      <c r="E12391" s="380" t="s">
        <v>786</v>
      </c>
      <c r="F12391" s="380" t="s">
        <v>5855</v>
      </c>
      <c r="G12391" s="380" t="s">
        <v>1267</v>
      </c>
      <c r="H12391" s="380" t="s">
        <v>771</v>
      </c>
      <c r="I12391" s="380" t="s">
        <v>788</v>
      </c>
      <c r="J12391" s="380" t="s">
        <v>773</v>
      </c>
      <c r="K12391" s="381">
        <v>0.0</v>
      </c>
      <c r="L12391" s="382">
        <v>1.0</v>
      </c>
    </row>
    <row r="12392">
      <c r="A12392" s="380" t="s">
        <v>13266</v>
      </c>
      <c r="B12392" s="380" t="str">
        <f>IFERROR(__xludf.DUMMYFUNCTION("""COMPUTED_VALUE"""),"Filtro Aire Compresor 32170979 I")</f>
        <v>Filtro Aire Compresor 32170979 I</v>
      </c>
      <c r="C12392" s="380" t="str">
        <f>IFERROR(__xludf.DUMMYFUNCTION("""COMPUTED_VALUE"""),"70007851")</f>
        <v>70007851</v>
      </c>
      <c r="D12392" s="380" t="s">
        <v>767</v>
      </c>
      <c r="E12392" s="380" t="s">
        <v>786</v>
      </c>
      <c r="F12392" s="380" t="s">
        <v>5855</v>
      </c>
      <c r="G12392" s="380" t="s">
        <v>1267</v>
      </c>
      <c r="H12392" s="380" t="s">
        <v>771</v>
      </c>
      <c r="I12392" s="380" t="s">
        <v>788</v>
      </c>
      <c r="J12392" s="380" t="s">
        <v>773</v>
      </c>
      <c r="K12392" s="381">
        <v>0.0</v>
      </c>
      <c r="L12392" s="382">
        <v>1.0</v>
      </c>
    </row>
    <row r="12393">
      <c r="A12393" s="380" t="s">
        <v>13267</v>
      </c>
      <c r="B12393" s="380" t="str">
        <f>IFERROR(__xludf.DUMMYFUNCTION("""COMPUTED_VALUE"""),"Lampara Reflectiva Nkr-Nhr 3119126")</f>
        <v>Lampara Reflectiva Nkr-Nhr 3119126</v>
      </c>
      <c r="C12393" s="380" t="str">
        <f>IFERROR(__xludf.DUMMYFUNCTION("""COMPUTED_VALUE"""),"70007852")</f>
        <v>70007852</v>
      </c>
      <c r="D12393" s="380" t="s">
        <v>767</v>
      </c>
      <c r="E12393" s="380" t="s">
        <v>786</v>
      </c>
      <c r="F12393" s="380" t="s">
        <v>998</v>
      </c>
      <c r="G12393" s="380" t="s">
        <v>1267</v>
      </c>
      <c r="H12393" s="380" t="s">
        <v>771</v>
      </c>
      <c r="I12393" s="380" t="s">
        <v>788</v>
      </c>
      <c r="J12393" s="380" t="s">
        <v>773</v>
      </c>
      <c r="K12393" s="381">
        <v>0.0</v>
      </c>
      <c r="L12393" s="382">
        <v>1.0</v>
      </c>
    </row>
    <row r="12394">
      <c r="A12394" s="380" t="s">
        <v>13268</v>
      </c>
      <c r="B12394" s="380" t="str">
        <f>IFERROR(__xludf.DUMMYFUNCTION("""COMPUTED_VALUE"""),"Kit Toberas Nkr-Nhrdlla145pn-238")</f>
        <v>Kit Toberas Nkr-Nhrdlla145pn-238</v>
      </c>
      <c r="C12394" s="380" t="str">
        <f>IFERROR(__xludf.DUMMYFUNCTION("""COMPUTED_VALUE"""),"70007853")</f>
        <v>70007853</v>
      </c>
      <c r="D12394" s="380" t="s">
        <v>767</v>
      </c>
      <c r="E12394" s="380" t="s">
        <v>786</v>
      </c>
      <c r="F12394" s="380" t="s">
        <v>787</v>
      </c>
      <c r="G12394" s="380" t="s">
        <v>1267</v>
      </c>
      <c r="H12394" s="380" t="s">
        <v>771</v>
      </c>
      <c r="I12394" s="380" t="s">
        <v>788</v>
      </c>
      <c r="J12394" s="380" t="s">
        <v>773</v>
      </c>
      <c r="K12394" s="381">
        <v>0.0</v>
      </c>
      <c r="L12394" s="382">
        <v>1.0</v>
      </c>
    </row>
    <row r="12395">
      <c r="A12395" s="380" t="s">
        <v>13269</v>
      </c>
      <c r="B12395" s="380" t="str">
        <f>IFERROR(__xludf.DUMMYFUNCTION("""COMPUTED_VALUE"""),"Switch Direcal Eagle M3544933c9")</f>
        <v>Switch Direcal Eagle M3544933c9</v>
      </c>
      <c r="C12395" s="380" t="str">
        <f>IFERROR(__xludf.DUMMYFUNCTION("""COMPUTED_VALUE"""),"70007854")</f>
        <v>70007854</v>
      </c>
      <c r="D12395" s="380" t="s">
        <v>767</v>
      </c>
      <c r="E12395" s="380" t="s">
        <v>786</v>
      </c>
      <c r="F12395" s="380" t="s">
        <v>998</v>
      </c>
      <c r="G12395" s="380" t="s">
        <v>1267</v>
      </c>
      <c r="H12395" s="380" t="s">
        <v>771</v>
      </c>
      <c r="I12395" s="380" t="s">
        <v>788</v>
      </c>
      <c r="J12395" s="380" t="s">
        <v>773</v>
      </c>
      <c r="K12395" s="381">
        <v>0.0</v>
      </c>
      <c r="L12395" s="382">
        <v>1.0</v>
      </c>
    </row>
    <row r="12396">
      <c r="A12396" s="380" t="s">
        <v>13270</v>
      </c>
      <c r="B12396" s="380" t="str">
        <f>IFERROR(__xludf.DUMMYFUNCTION("""COMPUTED_VALUE"""),"Switch Encendido Volswagen T00905855a")</f>
        <v>Switch Encendido Volswagen T00905855a</v>
      </c>
      <c r="C12396" s="380" t="str">
        <f>IFERROR(__xludf.DUMMYFUNCTION("""COMPUTED_VALUE"""),"70007855")</f>
        <v>70007855</v>
      </c>
      <c r="D12396" s="380" t="s">
        <v>767</v>
      </c>
      <c r="E12396" s="380" t="s">
        <v>786</v>
      </c>
      <c r="F12396" s="380" t="s">
        <v>998</v>
      </c>
      <c r="G12396" s="380" t="s">
        <v>1267</v>
      </c>
      <c r="H12396" s="380" t="s">
        <v>771</v>
      </c>
      <c r="I12396" s="380" t="s">
        <v>788</v>
      </c>
      <c r="J12396" s="380" t="s">
        <v>773</v>
      </c>
      <c r="K12396" s="381">
        <v>0.0</v>
      </c>
      <c r="L12396" s="382">
        <v>1.0</v>
      </c>
    </row>
    <row r="12397">
      <c r="A12397" s="380" t="s">
        <v>13271</v>
      </c>
      <c r="B12397" s="380" t="str">
        <f>IFERROR(__xludf.DUMMYFUNCTION("""COMPUTED_VALUE"""),"FILT COMB Nhr-Npr-Nkr-D Isuzu 5876100110")</f>
        <v>FILT COMB Nhr-Npr-Nkr-D Isuzu 5876100110</v>
      </c>
      <c r="C12397" s="380" t="str">
        <f>IFERROR(__xludf.DUMMYFUNCTION("""COMPUTED_VALUE"""),"70007856")</f>
        <v>70007856</v>
      </c>
      <c r="D12397" s="380" t="s">
        <v>767</v>
      </c>
      <c r="E12397" s="380" t="s">
        <v>786</v>
      </c>
      <c r="F12397" s="380" t="s">
        <v>5855</v>
      </c>
      <c r="G12397" s="380" t="s">
        <v>1267</v>
      </c>
      <c r="H12397" s="380" t="s">
        <v>771</v>
      </c>
      <c r="I12397" s="380" t="s">
        <v>788</v>
      </c>
      <c r="J12397" s="380" t="s">
        <v>773</v>
      </c>
      <c r="K12397" s="381">
        <v>24428.0</v>
      </c>
      <c r="L12397" s="382">
        <v>1.0</v>
      </c>
    </row>
    <row r="12398">
      <c r="A12398" s="380" t="s">
        <v>13272</v>
      </c>
      <c r="B12398" s="380" t="str">
        <f>IFERROR(__xludf.DUMMYFUNCTION("""COMPUTED_VALUE"""),"FILT Aceite Diferen Internatio 1685141 C")</f>
        <v>FILT Aceite Diferen Internatio 1685141 C</v>
      </c>
      <c r="C12398" s="380" t="str">
        <f>IFERROR(__xludf.DUMMYFUNCTION("""COMPUTED_VALUE"""),"70007857")</f>
        <v>70007857</v>
      </c>
      <c r="D12398" s="380" t="s">
        <v>767</v>
      </c>
      <c r="E12398" s="380" t="s">
        <v>786</v>
      </c>
      <c r="F12398" s="380" t="s">
        <v>5855</v>
      </c>
      <c r="G12398" s="380" t="s">
        <v>1267</v>
      </c>
      <c r="H12398" s="380" t="s">
        <v>771</v>
      </c>
      <c r="I12398" s="380" t="s">
        <v>788</v>
      </c>
      <c r="J12398" s="380" t="s">
        <v>773</v>
      </c>
      <c r="K12398" s="381">
        <v>0.0</v>
      </c>
      <c r="L12398" s="382">
        <v>1.0</v>
      </c>
    </row>
    <row r="12399">
      <c r="A12399" s="380" t="s">
        <v>13273</v>
      </c>
      <c r="B12399" s="380" t="str">
        <f>IFERROR(__xludf.DUMMYFUNCTION("""COMPUTED_VALUE"""),"Tapizado Piso Cabina Eagle Fabricado")</f>
        <v>Tapizado Piso Cabina Eagle Fabricado</v>
      </c>
      <c r="C12399" s="380" t="str">
        <f>IFERROR(__xludf.DUMMYFUNCTION("""COMPUTED_VALUE"""),"70007858")</f>
        <v>70007858</v>
      </c>
      <c r="D12399" s="380" t="s">
        <v>767</v>
      </c>
      <c r="E12399" s="380" t="s">
        <v>786</v>
      </c>
      <c r="F12399" s="380" t="s">
        <v>792</v>
      </c>
      <c r="G12399" s="380" t="s">
        <v>1267</v>
      </c>
      <c r="H12399" s="380" t="s">
        <v>771</v>
      </c>
      <c r="I12399" s="380" t="s">
        <v>788</v>
      </c>
      <c r="J12399" s="380" t="s">
        <v>773</v>
      </c>
      <c r="K12399" s="381">
        <v>550000.0</v>
      </c>
      <c r="L12399" s="382">
        <v>1.0</v>
      </c>
    </row>
    <row r="12400">
      <c r="A12400" s="380" t="s">
        <v>13274</v>
      </c>
      <c r="B12400" s="380" t="str">
        <f>IFERROR(__xludf.DUMMYFUNCTION("""COMPUTED_VALUE"""),"Guaya Freno Parqueo Nhr-Nkr 8971842720")</f>
        <v>Guaya Freno Parqueo Nhr-Nkr 8971842720</v>
      </c>
      <c r="C12400" s="380" t="str">
        <f>IFERROR(__xludf.DUMMYFUNCTION("""COMPUTED_VALUE"""),"70007859")</f>
        <v>70007859</v>
      </c>
      <c r="D12400" s="380" t="s">
        <v>767</v>
      </c>
      <c r="E12400" s="380" t="s">
        <v>786</v>
      </c>
      <c r="F12400" s="380" t="s">
        <v>1017</v>
      </c>
      <c r="G12400" s="380" t="s">
        <v>1267</v>
      </c>
      <c r="H12400" s="380" t="s">
        <v>771</v>
      </c>
      <c r="I12400" s="380" t="s">
        <v>788</v>
      </c>
      <c r="J12400" s="380" t="s">
        <v>773</v>
      </c>
      <c r="K12400" s="381">
        <v>0.0</v>
      </c>
      <c r="L12400" s="382">
        <v>1.0</v>
      </c>
    </row>
    <row r="12401">
      <c r="A12401" s="380" t="s">
        <v>13275</v>
      </c>
      <c r="B12401" s="380" t="str">
        <f>IFERROR(__xludf.DUMMYFUNCTION("""COMPUTED_VALUE"""),"Motor Limpiabrisas KWh 600228s")</f>
        <v>Motor Limpiabrisas KWh 600228s</v>
      </c>
      <c r="C12401" s="380" t="str">
        <f>IFERROR(__xludf.DUMMYFUNCTION("""COMPUTED_VALUE"""),"70007860")</f>
        <v>70007860</v>
      </c>
      <c r="D12401" s="380" t="s">
        <v>767</v>
      </c>
      <c r="E12401" s="380" t="s">
        <v>786</v>
      </c>
      <c r="F12401" s="380" t="s">
        <v>998</v>
      </c>
      <c r="G12401" s="380" t="s">
        <v>1267</v>
      </c>
      <c r="H12401" s="380" t="s">
        <v>771</v>
      </c>
      <c r="I12401" s="380" t="s">
        <v>788</v>
      </c>
      <c r="J12401" s="380" t="s">
        <v>773</v>
      </c>
      <c r="K12401" s="381">
        <v>0.0</v>
      </c>
      <c r="L12401" s="382">
        <v>1.0</v>
      </c>
    </row>
    <row r="12402">
      <c r="A12402" s="380" t="s">
        <v>13276</v>
      </c>
      <c r="B12402" s="380" t="str">
        <f>IFERROR(__xludf.DUMMYFUNCTION("""COMPUTED_VALUE"""),"FILT Aceite EGL Detro Fleetguard Lf-3620")</f>
        <v>FILT Aceite EGL Detro Fleetguard Lf-3620</v>
      </c>
      <c r="C12402" s="380" t="str">
        <f>IFERROR(__xludf.DUMMYFUNCTION("""COMPUTED_VALUE"""),"70007861")</f>
        <v>70007861</v>
      </c>
      <c r="D12402" s="380" t="s">
        <v>767</v>
      </c>
      <c r="E12402" s="380" t="s">
        <v>786</v>
      </c>
      <c r="F12402" s="380" t="s">
        <v>5855</v>
      </c>
      <c r="G12402" s="380" t="s">
        <v>1267</v>
      </c>
      <c r="H12402" s="380" t="s">
        <v>771</v>
      </c>
      <c r="I12402" s="380" t="s">
        <v>788</v>
      </c>
      <c r="J12402" s="380" t="s">
        <v>773</v>
      </c>
      <c r="K12402" s="381">
        <v>0.0</v>
      </c>
      <c r="L12402" s="382">
        <v>1.0</v>
      </c>
    </row>
    <row r="12403">
      <c r="A12403" s="380" t="s">
        <v>13277</v>
      </c>
      <c r="B12403" s="380" t="str">
        <f>IFERROR(__xludf.DUMMYFUNCTION("""COMPUTED_VALUE"""),"Tapa Filtro Aire Nkr III 8941560500")</f>
        <v>Tapa Filtro Aire Nkr III 8941560500</v>
      </c>
      <c r="C12403" s="380" t="str">
        <f>IFERROR(__xludf.DUMMYFUNCTION("""COMPUTED_VALUE"""),"70007862")</f>
        <v>70007862</v>
      </c>
      <c r="D12403" s="380" t="s">
        <v>767</v>
      </c>
      <c r="E12403" s="380" t="s">
        <v>786</v>
      </c>
      <c r="F12403" s="380" t="s">
        <v>792</v>
      </c>
      <c r="G12403" s="380" t="s">
        <v>1267</v>
      </c>
      <c r="H12403" s="380" t="s">
        <v>771</v>
      </c>
      <c r="I12403" s="380" t="s">
        <v>788</v>
      </c>
      <c r="J12403" s="380" t="s">
        <v>773</v>
      </c>
      <c r="K12403" s="381">
        <v>0.0</v>
      </c>
      <c r="L12403" s="382">
        <v>1.0</v>
      </c>
    </row>
    <row r="12404">
      <c r="A12404" s="380" t="s">
        <v>13278</v>
      </c>
      <c r="B12404" s="380" t="str">
        <f>IFERROR(__xludf.DUMMYFUNCTION("""COMPUTED_VALUE"""),"Cilindro Encendido Nkr 8970958690")</f>
        <v>Cilindro Encendido Nkr 8970958690</v>
      </c>
      <c r="C12404" s="380" t="str">
        <f>IFERROR(__xludf.DUMMYFUNCTION("""COMPUTED_VALUE"""),"70007863")</f>
        <v>70007863</v>
      </c>
      <c r="D12404" s="380" t="s">
        <v>767</v>
      </c>
      <c r="E12404" s="380" t="s">
        <v>786</v>
      </c>
      <c r="F12404" s="380" t="s">
        <v>792</v>
      </c>
      <c r="G12404" s="380" t="s">
        <v>1267</v>
      </c>
      <c r="H12404" s="380" t="s">
        <v>771</v>
      </c>
      <c r="I12404" s="380" t="s">
        <v>788</v>
      </c>
      <c r="J12404" s="380" t="s">
        <v>773</v>
      </c>
      <c r="K12404" s="381">
        <v>0.0</v>
      </c>
      <c r="L12404" s="382">
        <v>1.0</v>
      </c>
    </row>
    <row r="12405">
      <c r="A12405" s="380" t="s">
        <v>13279</v>
      </c>
      <c r="B12405" s="380" t="str">
        <f>IFERROR(__xludf.DUMMYFUNCTION("""COMPUTED_VALUE"""),"Balinera Embrague T Delta 3123037010")</f>
        <v>Balinera Embrague T Delta 3123037010</v>
      </c>
      <c r="C12405" s="380" t="str">
        <f>IFERROR(__xludf.DUMMYFUNCTION("""COMPUTED_VALUE"""),"70007864")</f>
        <v>70007864</v>
      </c>
      <c r="D12405" s="380" t="s">
        <v>767</v>
      </c>
      <c r="E12405" s="380" t="s">
        <v>786</v>
      </c>
      <c r="F12405" s="380" t="s">
        <v>5661</v>
      </c>
      <c r="G12405" s="380" t="s">
        <v>1267</v>
      </c>
      <c r="H12405" s="380" t="s">
        <v>771</v>
      </c>
      <c r="I12405" s="380" t="s">
        <v>788</v>
      </c>
      <c r="J12405" s="380" t="s">
        <v>773</v>
      </c>
      <c r="K12405" s="381">
        <v>0.0</v>
      </c>
      <c r="L12405" s="382">
        <v>1.0</v>
      </c>
    </row>
    <row r="12406">
      <c r="A12406" s="380" t="s">
        <v>13280</v>
      </c>
      <c r="B12406" s="380" t="str">
        <f>IFERROR(__xludf.DUMMYFUNCTION("""COMPUTED_VALUE"""),"Viser Visera Cabina Eagle 9400 3561065c2")</f>
        <v>Viser Visera Cabina Eagle 9400 3561065c2</v>
      </c>
      <c r="C12406" s="380" t="str">
        <f>IFERROR(__xludf.DUMMYFUNCTION("""COMPUTED_VALUE"""),"70007865")</f>
        <v>70007865</v>
      </c>
      <c r="D12406" s="380" t="s">
        <v>767</v>
      </c>
      <c r="E12406" s="380" t="s">
        <v>786</v>
      </c>
      <c r="F12406" s="380" t="s">
        <v>792</v>
      </c>
      <c r="G12406" s="380" t="s">
        <v>1267</v>
      </c>
      <c r="H12406" s="380" t="s">
        <v>771</v>
      </c>
      <c r="I12406" s="380" t="s">
        <v>788</v>
      </c>
      <c r="J12406" s="380" t="s">
        <v>773</v>
      </c>
      <c r="K12406" s="381">
        <v>0.0</v>
      </c>
      <c r="L12406" s="382">
        <v>1.0</v>
      </c>
    </row>
    <row r="12407">
      <c r="A12407" s="380" t="s">
        <v>13281</v>
      </c>
      <c r="B12407" s="380" t="str">
        <f>IFERROR(__xludf.DUMMYFUNCTION("""COMPUTED_VALUE"""),"Hoja Resorte Ppal TRL Dite 7644a4lt/1")</f>
        <v>Hoja Resorte Ppal TRL Dite 7644a4lt/1</v>
      </c>
      <c r="C12407" s="380" t="str">
        <f>IFERROR(__xludf.DUMMYFUNCTION("""COMPUTED_VALUE"""),"70007866")</f>
        <v>70007866</v>
      </c>
      <c r="D12407" s="380" t="s">
        <v>767</v>
      </c>
      <c r="E12407" s="380" t="s">
        <v>786</v>
      </c>
      <c r="F12407" s="380" t="s">
        <v>1039</v>
      </c>
      <c r="G12407" s="380" t="s">
        <v>1267</v>
      </c>
      <c r="H12407" s="380" t="s">
        <v>771</v>
      </c>
      <c r="I12407" s="380" t="s">
        <v>788</v>
      </c>
      <c r="J12407" s="380" t="s">
        <v>773</v>
      </c>
      <c r="K12407" s="381">
        <v>0.0</v>
      </c>
      <c r="L12407" s="382">
        <v>1.0</v>
      </c>
    </row>
    <row r="12408">
      <c r="A12408" s="380" t="s">
        <v>13282</v>
      </c>
      <c r="B12408" s="380" t="str">
        <f>IFERROR(__xludf.DUMMYFUNCTION("""COMPUTED_VALUE"""),"Hoja Resorte TRL Dite 2gda 7644a4lt/2")</f>
        <v>Hoja Resorte TRL Dite 2gda 7644a4lt/2</v>
      </c>
      <c r="C12408" s="380" t="str">
        <f>IFERROR(__xludf.DUMMYFUNCTION("""COMPUTED_VALUE"""),"70007867")</f>
        <v>70007867</v>
      </c>
      <c r="D12408" s="380" t="s">
        <v>767</v>
      </c>
      <c r="E12408" s="380" t="s">
        <v>786</v>
      </c>
      <c r="F12408" s="380" t="s">
        <v>1039</v>
      </c>
      <c r="G12408" s="380" t="s">
        <v>1267</v>
      </c>
      <c r="H12408" s="380" t="s">
        <v>771</v>
      </c>
      <c r="I12408" s="380" t="s">
        <v>788</v>
      </c>
      <c r="J12408" s="380" t="s">
        <v>773</v>
      </c>
      <c r="K12408" s="381">
        <v>0.0</v>
      </c>
      <c r="L12408" s="382">
        <v>1.0</v>
      </c>
    </row>
    <row r="12409">
      <c r="A12409" s="380" t="s">
        <v>13283</v>
      </c>
      <c r="B12409" s="380" t="str">
        <f>IFERROR(__xludf.DUMMYFUNCTION("""COMPUTED_VALUE"""),"Gobernador Aire Hi 275461")</f>
        <v>Gobernador Aire Hi 275461</v>
      </c>
      <c r="C12409" s="380" t="str">
        <f>IFERROR(__xludf.DUMMYFUNCTION("""COMPUTED_VALUE"""),"70007868")</f>
        <v>70007868</v>
      </c>
      <c r="D12409" s="380" t="s">
        <v>767</v>
      </c>
      <c r="E12409" s="380" t="s">
        <v>786</v>
      </c>
      <c r="F12409" s="380" t="s">
        <v>1017</v>
      </c>
      <c r="G12409" s="380" t="s">
        <v>1267</v>
      </c>
      <c r="H12409" s="380" t="s">
        <v>771</v>
      </c>
      <c r="I12409" s="380" t="s">
        <v>788</v>
      </c>
      <c r="J12409" s="380" t="s">
        <v>773</v>
      </c>
      <c r="K12409" s="381">
        <v>0.0</v>
      </c>
      <c r="L12409" s="382">
        <v>1.0</v>
      </c>
    </row>
    <row r="12410">
      <c r="A12410" s="380" t="s">
        <v>13284</v>
      </c>
      <c r="B12410" s="380" t="str">
        <f>IFERROR(__xludf.DUMMYFUNCTION("""COMPUTED_VALUE"""),"Gobernador Aire SB 18530/2754")</f>
        <v>Gobernador Aire SB 18530/2754</v>
      </c>
      <c r="C12410" s="380" t="str">
        <f>IFERROR(__xludf.DUMMYFUNCTION("""COMPUTED_VALUE"""),"70007869")</f>
        <v>70007869</v>
      </c>
      <c r="D12410" s="380" t="s">
        <v>767</v>
      </c>
      <c r="E12410" s="380" t="s">
        <v>786</v>
      </c>
      <c r="F12410" s="380" t="s">
        <v>1017</v>
      </c>
      <c r="G12410" s="380" t="s">
        <v>1267</v>
      </c>
      <c r="H12410" s="380" t="s">
        <v>771</v>
      </c>
      <c r="I12410" s="380" t="s">
        <v>788</v>
      </c>
      <c r="J12410" s="380" t="s">
        <v>773</v>
      </c>
      <c r="K12410" s="381">
        <v>130780.0</v>
      </c>
      <c r="L12410" s="382">
        <v>1.0</v>
      </c>
    </row>
    <row r="12411">
      <c r="A12411" s="380" t="s">
        <v>13285</v>
      </c>
      <c r="B12411" s="380" t="str">
        <f>IFERROR(__xludf.DUMMYFUNCTION("""COMPUTED_VALUE"""),"Relay Luces Principal Nkr III 8971730371")</f>
        <v>Relay Luces Principal Nkr III 8971730371</v>
      </c>
      <c r="C12411" s="380" t="str">
        <f>IFERROR(__xludf.DUMMYFUNCTION("""COMPUTED_VALUE"""),"70007870")</f>
        <v>70007870</v>
      </c>
      <c r="D12411" s="380" t="s">
        <v>767</v>
      </c>
      <c r="E12411" s="380" t="s">
        <v>786</v>
      </c>
      <c r="F12411" s="380" t="s">
        <v>998</v>
      </c>
      <c r="G12411" s="380" t="s">
        <v>1267</v>
      </c>
      <c r="H12411" s="380" t="s">
        <v>771</v>
      </c>
      <c r="I12411" s="380" t="s">
        <v>788</v>
      </c>
      <c r="J12411" s="380" t="s">
        <v>773</v>
      </c>
      <c r="K12411" s="381">
        <v>0.0</v>
      </c>
      <c r="L12411" s="382">
        <v>1.0</v>
      </c>
    </row>
    <row r="12412">
      <c r="A12412" s="380" t="s">
        <v>13286</v>
      </c>
      <c r="B12412" s="380" t="str">
        <f>IFERROR(__xludf.DUMMYFUNCTION("""COMPUTED_VALUE"""),"Niple Galv Niple Galvanizado 1.1/4""X5cms")</f>
        <v>Niple Galv Niple Galvanizado 1.1/4"X5cms</v>
      </c>
      <c r="C12412" s="380" t="str">
        <f>IFERROR(__xludf.DUMMYFUNCTION("""COMPUTED_VALUE"""),"70007871")</f>
        <v>70007871</v>
      </c>
      <c r="D12412" s="380" t="s">
        <v>767</v>
      </c>
      <c r="E12412" s="380" t="s">
        <v>786</v>
      </c>
      <c r="F12412" s="380" t="s">
        <v>1031</v>
      </c>
      <c r="G12412" s="380" t="s">
        <v>1267</v>
      </c>
      <c r="H12412" s="380" t="s">
        <v>771</v>
      </c>
      <c r="I12412" s="380" t="s">
        <v>788</v>
      </c>
      <c r="J12412" s="380" t="s">
        <v>773</v>
      </c>
      <c r="K12412" s="381">
        <v>6700.0</v>
      </c>
      <c r="L12412" s="382">
        <v>1.0</v>
      </c>
    </row>
    <row r="12413">
      <c r="A12413" s="380" t="s">
        <v>13287</v>
      </c>
      <c r="B12413" s="380" t="str">
        <f>IFERROR(__xludf.DUMMYFUNCTION("""COMPUTED_VALUE"""),"EMP Lamevidrio PTA Der Nkr Nh 8978521176")</f>
        <v>EMP Lamevidrio PTA Der Nkr Nh 8978521176</v>
      </c>
      <c r="C12413" s="380" t="str">
        <f>IFERROR(__xludf.DUMMYFUNCTION("""COMPUTED_VALUE"""),"70007872")</f>
        <v>70007872</v>
      </c>
      <c r="D12413" s="380" t="s">
        <v>767</v>
      </c>
      <c r="E12413" s="380" t="s">
        <v>786</v>
      </c>
      <c r="F12413" s="380" t="s">
        <v>792</v>
      </c>
      <c r="G12413" s="380" t="s">
        <v>1267</v>
      </c>
      <c r="H12413" s="380" t="s">
        <v>771</v>
      </c>
      <c r="I12413" s="380" t="s">
        <v>788</v>
      </c>
      <c r="J12413" s="380" t="s">
        <v>773</v>
      </c>
      <c r="K12413" s="381">
        <v>241569.0</v>
      </c>
      <c r="L12413" s="382">
        <v>1.0</v>
      </c>
    </row>
    <row r="12414">
      <c r="A12414" s="380" t="s">
        <v>13288</v>
      </c>
      <c r="B12414" s="380" t="str">
        <f>IFERROR(__xludf.DUMMYFUNCTION("""COMPUTED_VALUE"""),"EMP Lamevidrio Ext Nkr Nhr 8978552923")</f>
        <v>EMP Lamevidrio Ext Nkr Nhr 8978552923</v>
      </c>
      <c r="C12414" s="380" t="str">
        <f>IFERROR(__xludf.DUMMYFUNCTION("""COMPUTED_VALUE"""),"70007873")</f>
        <v>70007873</v>
      </c>
      <c r="D12414" s="380" t="s">
        <v>767</v>
      </c>
      <c r="E12414" s="380" t="s">
        <v>786</v>
      </c>
      <c r="F12414" s="380" t="s">
        <v>792</v>
      </c>
      <c r="G12414" s="380" t="s">
        <v>1267</v>
      </c>
      <c r="H12414" s="380" t="s">
        <v>771</v>
      </c>
      <c r="I12414" s="380" t="s">
        <v>788</v>
      </c>
      <c r="J12414" s="380" t="s">
        <v>773</v>
      </c>
      <c r="K12414" s="381">
        <v>0.0</v>
      </c>
      <c r="L12414" s="382">
        <v>1.0</v>
      </c>
    </row>
    <row r="12415">
      <c r="A12415" s="380" t="s">
        <v>13289</v>
      </c>
      <c r="B12415" s="380" t="str">
        <f>IFERROR(__xludf.DUMMYFUNCTION("""COMPUTED_VALUE"""),"FILT COMB Planta ELE Luberfiner Lff 3417")</f>
        <v>FILT COMB Planta ELE Luberfiner Lff 3417</v>
      </c>
      <c r="C12415" s="380" t="str">
        <f>IFERROR(__xludf.DUMMYFUNCTION("""COMPUTED_VALUE"""),"70007874")</f>
        <v>70007874</v>
      </c>
      <c r="D12415" s="380" t="s">
        <v>767</v>
      </c>
      <c r="E12415" s="380" t="s">
        <v>786</v>
      </c>
      <c r="F12415" s="380" t="s">
        <v>5855</v>
      </c>
      <c r="G12415" s="380" t="s">
        <v>1267</v>
      </c>
      <c r="H12415" s="380" t="s">
        <v>771</v>
      </c>
      <c r="I12415" s="380" t="s">
        <v>788</v>
      </c>
      <c r="J12415" s="380" t="s">
        <v>773</v>
      </c>
      <c r="K12415" s="381">
        <v>0.0</v>
      </c>
      <c r="L12415" s="382">
        <v>1.0</v>
      </c>
    </row>
    <row r="12416">
      <c r="A12416" s="380" t="s">
        <v>13290</v>
      </c>
      <c r="B12416" s="380" t="str">
        <f>IFERROR(__xludf.DUMMYFUNCTION("""COMPUTED_VALUE"""),"FILT COMB Planta ELEC Donalson P553004")</f>
        <v>FILT COMB Planta ELEC Donalson P553004</v>
      </c>
      <c r="C12416" s="380" t="str">
        <f>IFERROR(__xludf.DUMMYFUNCTION("""COMPUTED_VALUE"""),"70007875")</f>
        <v>70007875</v>
      </c>
      <c r="D12416" s="380" t="s">
        <v>767</v>
      </c>
      <c r="E12416" s="380" t="s">
        <v>786</v>
      </c>
      <c r="F12416" s="380" t="s">
        <v>5855</v>
      </c>
      <c r="G12416" s="380" t="s">
        <v>1267</v>
      </c>
      <c r="H12416" s="380" t="s">
        <v>771</v>
      </c>
      <c r="I12416" s="380" t="s">
        <v>788</v>
      </c>
      <c r="J12416" s="380" t="s">
        <v>773</v>
      </c>
      <c r="K12416" s="381">
        <v>0.0</v>
      </c>
      <c r="L12416" s="382">
        <v>1.0</v>
      </c>
    </row>
    <row r="12417">
      <c r="A12417" s="380" t="s">
        <v>13291</v>
      </c>
      <c r="B12417" s="380" t="str">
        <f>IFERROR(__xludf.DUMMYFUNCTION("""COMPUTED_VALUE"""),"SOP Montaje CAB Der Nkr-Nhr 8970951460")</f>
        <v>SOP Montaje CAB Der Nkr-Nhr 8970951460</v>
      </c>
      <c r="C12417" s="380" t="str">
        <f>IFERROR(__xludf.DUMMYFUNCTION("""COMPUTED_VALUE"""),"70007876")</f>
        <v>70007876</v>
      </c>
      <c r="D12417" s="380" t="s">
        <v>767</v>
      </c>
      <c r="E12417" s="380" t="s">
        <v>786</v>
      </c>
      <c r="F12417" s="380" t="s">
        <v>792</v>
      </c>
      <c r="G12417" s="380" t="s">
        <v>1267</v>
      </c>
      <c r="H12417" s="380" t="s">
        <v>771</v>
      </c>
      <c r="I12417" s="380" t="s">
        <v>788</v>
      </c>
      <c r="J12417" s="380" t="s">
        <v>773</v>
      </c>
      <c r="K12417" s="381">
        <v>0.0</v>
      </c>
      <c r="L12417" s="382">
        <v>1.0</v>
      </c>
    </row>
    <row r="12418">
      <c r="A12418" s="380" t="s">
        <v>13292</v>
      </c>
      <c r="B12418" s="380" t="str">
        <f>IFERROR(__xludf.DUMMYFUNCTION("""COMPUTED_VALUE"""),"Filtro Sepador Aire Eagle Isx 107796")</f>
        <v>Filtro Sepador Aire Eagle Isx 107796</v>
      </c>
      <c r="C12418" s="380" t="str">
        <f>IFERROR(__xludf.DUMMYFUNCTION("""COMPUTED_VALUE"""),"70007877")</f>
        <v>70007877</v>
      </c>
      <c r="D12418" s="380" t="s">
        <v>767</v>
      </c>
      <c r="E12418" s="380" t="s">
        <v>786</v>
      </c>
      <c r="F12418" s="380" t="s">
        <v>5855</v>
      </c>
      <c r="G12418" s="380" t="s">
        <v>1267</v>
      </c>
      <c r="H12418" s="380" t="s">
        <v>771</v>
      </c>
      <c r="I12418" s="380" t="s">
        <v>788</v>
      </c>
      <c r="J12418" s="380" t="s">
        <v>773</v>
      </c>
      <c r="K12418" s="381">
        <v>0.0</v>
      </c>
      <c r="L12418" s="382">
        <v>1.0</v>
      </c>
    </row>
    <row r="12419">
      <c r="A12419" s="380" t="s">
        <v>13293</v>
      </c>
      <c r="B12419" s="380" t="str">
        <f>IFERROR(__xludf.DUMMYFUNCTION("""COMPUTED_VALUE"""),"Rodillo Tras Tren Fijo Trasmi 8970959130")</f>
        <v>Rodillo Tras Tren Fijo Trasmi 8970959130</v>
      </c>
      <c r="C12419" s="380" t="str">
        <f>IFERROR(__xludf.DUMMYFUNCTION("""COMPUTED_VALUE"""),"70007878")</f>
        <v>70007878</v>
      </c>
      <c r="D12419" s="380" t="s">
        <v>767</v>
      </c>
      <c r="E12419" s="380" t="s">
        <v>786</v>
      </c>
      <c r="F12419" s="380" t="s">
        <v>5683</v>
      </c>
      <c r="G12419" s="380" t="s">
        <v>1267</v>
      </c>
      <c r="H12419" s="380" t="s">
        <v>771</v>
      </c>
      <c r="I12419" s="380" t="s">
        <v>788</v>
      </c>
      <c r="J12419" s="380" t="s">
        <v>773</v>
      </c>
      <c r="K12419" s="381">
        <v>0.0</v>
      </c>
      <c r="L12419" s="382">
        <v>1.0</v>
      </c>
    </row>
    <row r="12420">
      <c r="A12420" s="380" t="s">
        <v>13294</v>
      </c>
      <c r="B12420" s="380" t="str">
        <f>IFERROR(__xludf.DUMMYFUNCTION("""COMPUTED_VALUE"""),"Rodillo Del Tren Fijo Trasmis 5098000621")</f>
        <v>Rodillo Del Tren Fijo Trasmis 5098000621</v>
      </c>
      <c r="C12420" s="380" t="str">
        <f>IFERROR(__xludf.DUMMYFUNCTION("""COMPUTED_VALUE"""),"70007879")</f>
        <v>70007879</v>
      </c>
      <c r="D12420" s="380" t="s">
        <v>767</v>
      </c>
      <c r="E12420" s="380" t="s">
        <v>786</v>
      </c>
      <c r="F12420" s="380" t="s">
        <v>5683</v>
      </c>
      <c r="G12420" s="380" t="s">
        <v>1267</v>
      </c>
      <c r="H12420" s="380" t="s">
        <v>771</v>
      </c>
      <c r="I12420" s="380" t="s">
        <v>788</v>
      </c>
      <c r="J12420" s="380" t="s">
        <v>773</v>
      </c>
      <c r="K12420" s="381">
        <v>0.0</v>
      </c>
      <c r="L12420" s="382">
        <v>1.0</v>
      </c>
    </row>
    <row r="12421">
      <c r="A12421" s="380" t="s">
        <v>13295</v>
      </c>
      <c r="B12421" s="380" t="str">
        <f>IFERROR(__xludf.DUMMYFUNCTION("""COMPUTED_VALUE"""),"Campana Freno De Parqueo Nkr 5462100053")</f>
        <v>Campana Freno De Parqueo Nkr 5462100053</v>
      </c>
      <c r="C12421" s="380" t="str">
        <f>IFERROR(__xludf.DUMMYFUNCTION("""COMPUTED_VALUE"""),"70007880")</f>
        <v>70007880</v>
      </c>
      <c r="D12421" s="380" t="s">
        <v>767</v>
      </c>
      <c r="E12421" s="380" t="s">
        <v>786</v>
      </c>
      <c r="F12421" s="380" t="s">
        <v>1017</v>
      </c>
      <c r="G12421" s="380" t="s">
        <v>1267</v>
      </c>
      <c r="H12421" s="380" t="s">
        <v>771</v>
      </c>
      <c r="I12421" s="380" t="s">
        <v>788</v>
      </c>
      <c r="J12421" s="380" t="s">
        <v>773</v>
      </c>
      <c r="K12421" s="381">
        <v>0.0</v>
      </c>
      <c r="L12421" s="382">
        <v>1.0</v>
      </c>
    </row>
    <row r="12422">
      <c r="A12422" s="380" t="s">
        <v>13296</v>
      </c>
      <c r="B12422" s="380" t="str">
        <f>IFERROR(__xludf.DUMMYFUNCTION("""COMPUTED_VALUE"""),"Tapon Galvaniza Tapon Galvanizado 1.1/4""")</f>
        <v>Tapon Galvaniza Tapon Galvanizado 1.1/4"</v>
      </c>
      <c r="C12422" s="380" t="str">
        <f>IFERROR(__xludf.DUMMYFUNCTION("""COMPUTED_VALUE"""),"70007881")</f>
        <v>70007881</v>
      </c>
      <c r="D12422" s="380" t="s">
        <v>767</v>
      </c>
      <c r="E12422" s="380" t="s">
        <v>786</v>
      </c>
      <c r="F12422" s="380" t="s">
        <v>1031</v>
      </c>
      <c r="G12422" s="380" t="s">
        <v>1267</v>
      </c>
      <c r="H12422" s="380" t="s">
        <v>771</v>
      </c>
      <c r="I12422" s="380" t="s">
        <v>788</v>
      </c>
      <c r="J12422" s="380" t="s">
        <v>773</v>
      </c>
      <c r="K12422" s="381">
        <v>9544.0</v>
      </c>
      <c r="L12422" s="382">
        <v>1.0</v>
      </c>
    </row>
    <row r="12423">
      <c r="A12423" s="380" t="s">
        <v>13297</v>
      </c>
      <c r="B12423" s="380" t="str">
        <f>IFERROR(__xludf.DUMMYFUNCTION("""COMPUTED_VALUE"""),"Exploradora Rectangular Hella 550")</f>
        <v>Exploradora Rectangular Hella 550</v>
      </c>
      <c r="C12423" s="380" t="str">
        <f>IFERROR(__xludf.DUMMYFUNCTION("""COMPUTED_VALUE"""),"70007882")</f>
        <v>70007882</v>
      </c>
      <c r="D12423" s="380" t="s">
        <v>767</v>
      </c>
      <c r="E12423" s="380" t="s">
        <v>786</v>
      </c>
      <c r="F12423" s="380" t="s">
        <v>998</v>
      </c>
      <c r="G12423" s="380" t="s">
        <v>1267</v>
      </c>
      <c r="H12423" s="380" t="s">
        <v>771</v>
      </c>
      <c r="I12423" s="380" t="s">
        <v>788</v>
      </c>
      <c r="J12423" s="380" t="s">
        <v>773</v>
      </c>
      <c r="K12423" s="381">
        <v>202300.0</v>
      </c>
      <c r="L12423" s="382">
        <v>1.0</v>
      </c>
    </row>
    <row r="12424">
      <c r="A12424" s="380" t="s">
        <v>13298</v>
      </c>
      <c r="B12424" s="380" t="str">
        <f>IFERROR(__xludf.DUMMYFUNCTION("""COMPUTED_VALUE"""),"Exploradora Redonda Hella 500")</f>
        <v>Exploradora Redonda Hella 500</v>
      </c>
      <c r="C12424" s="380" t="str">
        <f>IFERROR(__xludf.DUMMYFUNCTION("""COMPUTED_VALUE"""),"70007883")</f>
        <v>70007883</v>
      </c>
      <c r="D12424" s="380" t="s">
        <v>767</v>
      </c>
      <c r="E12424" s="380" t="s">
        <v>786</v>
      </c>
      <c r="F12424" s="380" t="s">
        <v>998</v>
      </c>
      <c r="G12424" s="380" t="s">
        <v>1267</v>
      </c>
      <c r="H12424" s="380" t="s">
        <v>771</v>
      </c>
      <c r="I12424" s="380" t="s">
        <v>788</v>
      </c>
      <c r="J12424" s="380" t="s">
        <v>773</v>
      </c>
      <c r="K12424" s="381">
        <v>0.0</v>
      </c>
      <c r="L12424" s="382">
        <v>1.0</v>
      </c>
    </row>
    <row r="12425">
      <c r="A12425" s="380" t="s">
        <v>13299</v>
      </c>
      <c r="B12425" s="380" t="str">
        <f>IFERROR(__xludf.DUMMYFUNCTION("""COMPUTED_VALUE"""),"Terminal CJ Velocidades VW 6008004031")</f>
        <v>Terminal CJ Velocidades VW 6008004031</v>
      </c>
      <c r="C12425" s="380" t="str">
        <f>IFERROR(__xludf.DUMMYFUNCTION("""COMPUTED_VALUE"""),"70007884")</f>
        <v>70007884</v>
      </c>
      <c r="D12425" s="380" t="s">
        <v>767</v>
      </c>
      <c r="E12425" s="380" t="s">
        <v>786</v>
      </c>
      <c r="F12425" s="380" t="s">
        <v>928</v>
      </c>
      <c r="G12425" s="380" t="s">
        <v>1267</v>
      </c>
      <c r="H12425" s="380" t="s">
        <v>771</v>
      </c>
      <c r="I12425" s="380" t="s">
        <v>788</v>
      </c>
      <c r="J12425" s="380" t="s">
        <v>773</v>
      </c>
      <c r="K12425" s="381">
        <v>0.0</v>
      </c>
      <c r="L12425" s="382">
        <v>1.0</v>
      </c>
    </row>
    <row r="12426">
      <c r="A12426" s="380" t="s">
        <v>13300</v>
      </c>
      <c r="B12426" s="380" t="str">
        <f>IFERROR(__xludf.DUMMYFUNCTION("""COMPUTED_VALUE"""),"Alternador SB N14 35-Si Delco Remy 33si")</f>
        <v>Alternador SB N14 35-Si Delco Remy 33si</v>
      </c>
      <c r="C12426" s="380" t="str">
        <f>IFERROR(__xludf.DUMMYFUNCTION("""COMPUTED_VALUE"""),"70007885")</f>
        <v>70007885</v>
      </c>
      <c r="D12426" s="380" t="s">
        <v>767</v>
      </c>
      <c r="E12426" s="380" t="s">
        <v>786</v>
      </c>
      <c r="F12426" s="380" t="s">
        <v>998</v>
      </c>
      <c r="G12426" s="380" t="s">
        <v>1267</v>
      </c>
      <c r="H12426" s="380" t="s">
        <v>771</v>
      </c>
      <c r="I12426" s="380" t="s">
        <v>788</v>
      </c>
      <c r="J12426" s="380" t="s">
        <v>773</v>
      </c>
      <c r="K12426" s="381">
        <v>0.0</v>
      </c>
      <c r="L12426" s="382">
        <v>1.0</v>
      </c>
    </row>
    <row r="12427">
      <c r="A12427" s="380" t="s">
        <v>13301</v>
      </c>
      <c r="B12427" s="380" t="str">
        <f>IFERROR(__xludf.DUMMYFUNCTION("""COMPUTED_VALUE"""),"Valvula Paso Aire Sb - Trailer")</f>
        <v>Valvula Paso Aire Sb - Trailer</v>
      </c>
      <c r="C12427" s="380" t="str">
        <f>IFERROR(__xludf.DUMMYFUNCTION("""COMPUTED_VALUE"""),"70007893")</f>
        <v>70007893</v>
      </c>
      <c r="D12427" s="380" t="s">
        <v>767</v>
      </c>
      <c r="E12427" s="380" t="s">
        <v>786</v>
      </c>
      <c r="F12427" s="380" t="s">
        <v>1017</v>
      </c>
      <c r="G12427" s="380" t="s">
        <v>1267</v>
      </c>
      <c r="H12427" s="380" t="s">
        <v>771</v>
      </c>
      <c r="I12427" s="380" t="s">
        <v>788</v>
      </c>
      <c r="J12427" s="380" t="s">
        <v>773</v>
      </c>
      <c r="K12427" s="381">
        <v>0.0</v>
      </c>
      <c r="L12427" s="382">
        <v>1.0</v>
      </c>
    </row>
    <row r="12428">
      <c r="A12428" s="380" t="s">
        <v>13302</v>
      </c>
      <c r="B12428" s="380" t="str">
        <f>IFERROR(__xludf.DUMMYFUNCTION("""COMPUTED_VALUE"""),"Seguro Gancho Capo Hi466")</f>
        <v>Seguro Gancho Capo Hi466</v>
      </c>
      <c r="C12428" s="380" t="str">
        <f>IFERROR(__xludf.DUMMYFUNCTION("""COMPUTED_VALUE"""),"70007894")</f>
        <v>70007894</v>
      </c>
      <c r="D12428" s="380" t="s">
        <v>767</v>
      </c>
      <c r="E12428" s="380" t="s">
        <v>786</v>
      </c>
      <c r="F12428" s="380" t="s">
        <v>792</v>
      </c>
      <c r="G12428" s="380" t="s">
        <v>1267</v>
      </c>
      <c r="H12428" s="380" t="s">
        <v>771</v>
      </c>
      <c r="I12428" s="380" t="s">
        <v>788</v>
      </c>
      <c r="J12428" s="380" t="s">
        <v>773</v>
      </c>
      <c r="K12428" s="381">
        <v>0.0</v>
      </c>
      <c r="L12428" s="382">
        <v>1.0</v>
      </c>
    </row>
    <row r="12429">
      <c r="A12429" s="380" t="s">
        <v>13303</v>
      </c>
      <c r="B12429" s="380" t="str">
        <f>IFERROR(__xludf.DUMMYFUNCTION("""COMPUTED_VALUE"""),"Laina Ajuste Rodillo Speed Nhr")</f>
        <v>Laina Ajuste Rodillo Speed Nhr</v>
      </c>
      <c r="C12429" s="380" t="str">
        <f>IFERROR(__xludf.DUMMYFUNCTION("""COMPUTED_VALUE"""),"70007895")</f>
        <v>70007895</v>
      </c>
      <c r="D12429" s="380" t="s">
        <v>767</v>
      </c>
      <c r="E12429" s="380" t="s">
        <v>786</v>
      </c>
      <c r="F12429" s="380" t="s">
        <v>5683</v>
      </c>
      <c r="G12429" s="380" t="s">
        <v>1267</v>
      </c>
      <c r="H12429" s="380" t="s">
        <v>771</v>
      </c>
      <c r="I12429" s="380" t="s">
        <v>788</v>
      </c>
      <c r="J12429" s="380" t="s">
        <v>773</v>
      </c>
      <c r="K12429" s="381">
        <v>0.0</v>
      </c>
      <c r="L12429" s="382">
        <v>1.0</v>
      </c>
    </row>
    <row r="12430">
      <c r="A12430" s="380" t="s">
        <v>13304</v>
      </c>
      <c r="B12430" s="380" t="str">
        <f>IFERROR(__xludf.DUMMYFUNCTION("""COMPUTED_VALUE"""),"Tapa Frontal Motor Npr")</f>
        <v>Tapa Frontal Motor Npr</v>
      </c>
      <c r="C12430" s="380" t="str">
        <f>IFERROR(__xludf.DUMMYFUNCTION("""COMPUTED_VALUE"""),"70007896")</f>
        <v>70007896</v>
      </c>
      <c r="D12430" s="380" t="s">
        <v>767</v>
      </c>
      <c r="E12430" s="380" t="s">
        <v>786</v>
      </c>
      <c r="F12430" s="380" t="s">
        <v>787</v>
      </c>
      <c r="G12430" s="380" t="s">
        <v>1267</v>
      </c>
      <c r="H12430" s="380" t="s">
        <v>771</v>
      </c>
      <c r="I12430" s="380" t="s">
        <v>788</v>
      </c>
      <c r="J12430" s="380" t="s">
        <v>773</v>
      </c>
      <c r="K12430" s="381">
        <v>0.0</v>
      </c>
      <c r="L12430" s="382">
        <v>1.0</v>
      </c>
    </row>
    <row r="12431">
      <c r="A12431" s="380" t="s">
        <v>13305</v>
      </c>
      <c r="B12431" s="380" t="str">
        <f>IFERROR(__xludf.DUMMYFUNCTION("""COMPUTED_VALUE"""),"Valvula De Paso Trailer Sealco")</f>
        <v>Valvula De Paso Trailer Sealco</v>
      </c>
      <c r="C12431" s="380" t="str">
        <f>IFERROR(__xludf.DUMMYFUNCTION("""COMPUTED_VALUE"""),"70007897")</f>
        <v>70007897</v>
      </c>
      <c r="D12431" s="380" t="s">
        <v>767</v>
      </c>
      <c r="E12431" s="380" t="s">
        <v>786</v>
      </c>
      <c r="F12431" s="380" t="s">
        <v>792</v>
      </c>
      <c r="G12431" s="380" t="s">
        <v>1267</v>
      </c>
      <c r="H12431" s="380" t="s">
        <v>771</v>
      </c>
      <c r="I12431" s="380" t="s">
        <v>788</v>
      </c>
      <c r="J12431" s="380" t="s">
        <v>773</v>
      </c>
      <c r="K12431" s="381">
        <v>0.0</v>
      </c>
      <c r="L12431" s="382">
        <v>1.0</v>
      </c>
    </row>
    <row r="12432">
      <c r="A12432" s="380" t="s">
        <v>13306</v>
      </c>
      <c r="B12432" s="380" t="str">
        <f>IFERROR(__xludf.DUMMYFUNCTION("""COMPUTED_VALUE"""),"Empaque Turbo Daf Cf 480 21062")</f>
        <v>Empaque Turbo Daf Cf 480 21062</v>
      </c>
      <c r="C12432" s="380" t="str">
        <f>IFERROR(__xludf.DUMMYFUNCTION("""COMPUTED_VALUE"""),"70007898")</f>
        <v>70007898</v>
      </c>
      <c r="D12432" s="380" t="s">
        <v>767</v>
      </c>
      <c r="E12432" s="380" t="s">
        <v>786</v>
      </c>
      <c r="F12432" s="380" t="s">
        <v>787</v>
      </c>
      <c r="G12432" s="380" t="s">
        <v>1267</v>
      </c>
      <c r="H12432" s="380" t="s">
        <v>771</v>
      </c>
      <c r="I12432" s="380" t="s">
        <v>788</v>
      </c>
      <c r="J12432" s="380" t="s">
        <v>773</v>
      </c>
      <c r="K12432" s="381">
        <v>136965.0</v>
      </c>
      <c r="L12432" s="382">
        <v>1.0</v>
      </c>
    </row>
    <row r="12433">
      <c r="A12433" s="380" t="s">
        <v>13307</v>
      </c>
      <c r="B12433" s="380" t="str">
        <f>IFERROR(__xludf.DUMMYFUNCTION("""COMPUTED_VALUE"""),"Empaque Multiple Escape Dafcf4")</f>
        <v>Empaque Multiple Escape Dafcf4</v>
      </c>
      <c r="C12433" s="380" t="str">
        <f>IFERROR(__xludf.DUMMYFUNCTION("""COMPUTED_VALUE"""),"70007899")</f>
        <v>70007899</v>
      </c>
      <c r="D12433" s="380" t="s">
        <v>767</v>
      </c>
      <c r="E12433" s="380" t="s">
        <v>786</v>
      </c>
      <c r="F12433" s="380" t="s">
        <v>787</v>
      </c>
      <c r="G12433" s="380" t="s">
        <v>1267</v>
      </c>
      <c r="H12433" s="380" t="s">
        <v>771</v>
      </c>
      <c r="I12433" s="380" t="s">
        <v>788</v>
      </c>
      <c r="J12433" s="380" t="s">
        <v>773</v>
      </c>
      <c r="K12433" s="381">
        <v>55637.0</v>
      </c>
      <c r="L12433" s="382">
        <v>1.0</v>
      </c>
    </row>
    <row r="12434">
      <c r="A12434" s="380" t="s">
        <v>13308</v>
      </c>
      <c r="B12434" s="380" t="str">
        <f>IFERROR(__xludf.DUMMYFUNCTION("""COMPUTED_VALUE"""),"Bomba De Agua Mack Anthem Reparado")</f>
        <v>Bomba De Agua Mack Anthem Reparado</v>
      </c>
      <c r="C12434" s="380" t="str">
        <f>IFERROR(__xludf.DUMMYFUNCTION("""COMPUTED_VALUE"""),"70007900")</f>
        <v>70007900</v>
      </c>
      <c r="D12434" s="380" t="s">
        <v>767</v>
      </c>
      <c r="E12434" s="380" t="s">
        <v>786</v>
      </c>
      <c r="F12434" s="380" t="s">
        <v>787</v>
      </c>
      <c r="G12434" s="380" t="s">
        <v>1267</v>
      </c>
      <c r="H12434" s="380" t="s">
        <v>771</v>
      </c>
      <c r="I12434" s="380" t="s">
        <v>788</v>
      </c>
      <c r="J12434" s="380" t="s">
        <v>773</v>
      </c>
      <c r="K12434" s="381">
        <v>0.0</v>
      </c>
      <c r="L12434" s="382">
        <v>1.0</v>
      </c>
    </row>
    <row r="12435">
      <c r="A12435" s="380" t="s">
        <v>13309</v>
      </c>
      <c r="B12435" s="380" t="str">
        <f>IFERROR(__xludf.DUMMYFUNCTION("""COMPUTED_VALUE"""),"BRR Corta DIR Jac 1120 3003600le740")</f>
        <v>BRR Corta DIR Jac 1120 3003600le740</v>
      </c>
      <c r="C12435" s="380" t="str">
        <f>IFERROR(__xludf.DUMMYFUNCTION("""COMPUTED_VALUE"""),"70007901")</f>
        <v>70007901</v>
      </c>
      <c r="D12435" s="380" t="s">
        <v>767</v>
      </c>
      <c r="E12435" s="380" t="s">
        <v>786</v>
      </c>
      <c r="F12435" s="380" t="s">
        <v>1020</v>
      </c>
      <c r="G12435" s="380" t="s">
        <v>1267</v>
      </c>
      <c r="H12435" s="380" t="s">
        <v>771</v>
      </c>
      <c r="I12435" s="380" t="s">
        <v>788</v>
      </c>
      <c r="J12435" s="380" t="s">
        <v>773</v>
      </c>
      <c r="K12435" s="381">
        <v>0.0</v>
      </c>
      <c r="L12435" s="382">
        <v>1.0</v>
      </c>
    </row>
    <row r="12436">
      <c r="A12436" s="380" t="s">
        <v>13310</v>
      </c>
      <c r="B12436" s="380" t="str">
        <f>IFERROR(__xludf.DUMMYFUNCTION("""COMPUTED_VALUE"""),"Guardapolvo Tapa Cubo Jac 1120 3103109m1")</f>
        <v>Guardapolvo Tapa Cubo Jac 1120 3103109m1</v>
      </c>
      <c r="C12436" s="380" t="str">
        <f>IFERROR(__xludf.DUMMYFUNCTION("""COMPUTED_VALUE"""),"70007902")</f>
        <v>70007902</v>
      </c>
      <c r="D12436" s="380" t="s">
        <v>767</v>
      </c>
      <c r="E12436" s="380" t="s">
        <v>786</v>
      </c>
      <c r="F12436" s="380" t="s">
        <v>1039</v>
      </c>
      <c r="G12436" s="380" t="s">
        <v>1267</v>
      </c>
      <c r="H12436" s="380" t="s">
        <v>771</v>
      </c>
      <c r="I12436" s="380" t="s">
        <v>788</v>
      </c>
      <c r="J12436" s="380" t="s">
        <v>773</v>
      </c>
      <c r="K12436" s="381">
        <v>0.0</v>
      </c>
      <c r="L12436" s="382">
        <v>1.0</v>
      </c>
    </row>
    <row r="12437">
      <c r="A12437" s="380" t="s">
        <v>13311</v>
      </c>
      <c r="B12437" s="380" t="str">
        <f>IFERROR(__xludf.DUMMYFUNCTION("""COMPUTED_VALUE"""),"Caja De Velocidades N200 Reparado")</f>
        <v>Caja De Velocidades N200 Reparado</v>
      </c>
      <c r="C12437" s="380" t="str">
        <f>IFERROR(__xludf.DUMMYFUNCTION("""COMPUTED_VALUE"""),"70007903")</f>
        <v>70007903</v>
      </c>
      <c r="D12437" s="380" t="s">
        <v>767</v>
      </c>
      <c r="E12437" s="380" t="s">
        <v>786</v>
      </c>
      <c r="F12437" s="380" t="s">
        <v>928</v>
      </c>
      <c r="G12437" s="380" t="s">
        <v>1267</v>
      </c>
      <c r="H12437" s="380" t="s">
        <v>771</v>
      </c>
      <c r="I12437" s="380" t="s">
        <v>788</v>
      </c>
      <c r="J12437" s="380" t="s">
        <v>773</v>
      </c>
      <c r="K12437" s="381">
        <v>0.0</v>
      </c>
      <c r="L12437" s="382">
        <v>1.0</v>
      </c>
    </row>
    <row r="12438">
      <c r="A12438" s="380" t="s">
        <v>13312</v>
      </c>
      <c r="B12438" s="380" t="str">
        <f>IFERROR(__xludf.DUMMYFUNCTION("""COMPUTED_VALUE"""),"Pedal EMB Con Base CH Nkr 8978569790")</f>
        <v>Pedal EMB Con Base CH Nkr 8978569790</v>
      </c>
      <c r="C12438" s="380" t="str">
        <f>IFERROR(__xludf.DUMMYFUNCTION("""COMPUTED_VALUE"""),"70007904")</f>
        <v>70007904</v>
      </c>
      <c r="D12438" s="380" t="s">
        <v>767</v>
      </c>
      <c r="E12438" s="380" t="s">
        <v>786</v>
      </c>
      <c r="F12438" s="380" t="s">
        <v>5661</v>
      </c>
      <c r="G12438" s="380" t="s">
        <v>1267</v>
      </c>
      <c r="H12438" s="380" t="s">
        <v>771</v>
      </c>
      <c r="I12438" s="380" t="s">
        <v>788</v>
      </c>
      <c r="J12438" s="380" t="s">
        <v>773</v>
      </c>
      <c r="K12438" s="381">
        <v>0.0</v>
      </c>
      <c r="L12438" s="382">
        <v>1.0</v>
      </c>
    </row>
    <row r="12439">
      <c r="A12439" s="380" t="s">
        <v>13313</v>
      </c>
      <c r="B12439" s="380" t="str">
        <f>IFERROR(__xludf.DUMMYFUNCTION("""COMPUTED_VALUE"""),"Radiador Motor Jac 1120 Reparado")</f>
        <v>Radiador Motor Jac 1120 Reparado</v>
      </c>
      <c r="C12439" s="380" t="str">
        <f>IFERROR(__xludf.DUMMYFUNCTION("""COMPUTED_VALUE"""),"70007905")</f>
        <v>70007905</v>
      </c>
      <c r="D12439" s="380" t="s">
        <v>767</v>
      </c>
      <c r="E12439" s="380" t="s">
        <v>786</v>
      </c>
      <c r="F12439" s="380" t="s">
        <v>787</v>
      </c>
      <c r="G12439" s="380" t="s">
        <v>1267</v>
      </c>
      <c r="H12439" s="380" t="s">
        <v>771</v>
      </c>
      <c r="I12439" s="380" t="s">
        <v>788</v>
      </c>
      <c r="J12439" s="380" t="s">
        <v>773</v>
      </c>
      <c r="K12439" s="381">
        <v>0.0</v>
      </c>
      <c r="L12439" s="382">
        <v>1.0</v>
      </c>
    </row>
    <row r="12440">
      <c r="A12440" s="380" t="s">
        <v>13314</v>
      </c>
      <c r="B12440" s="380" t="str">
        <f>IFERROR(__xludf.DUMMYFUNCTION("""COMPUTED_VALUE"""),"Juego Rueda Dentada Satelite Daf 1012509")</f>
        <v>Juego Rueda Dentada Satelite Daf 1012509</v>
      </c>
      <c r="C12440" s="380" t="str">
        <f>IFERROR(__xludf.DUMMYFUNCTION("""COMPUTED_VALUE"""),"70007906")</f>
        <v>70007906</v>
      </c>
      <c r="D12440" s="380" t="s">
        <v>767</v>
      </c>
      <c r="E12440" s="380" t="s">
        <v>786</v>
      </c>
      <c r="F12440" s="380" t="s">
        <v>5683</v>
      </c>
      <c r="G12440" s="380" t="s">
        <v>1267</v>
      </c>
      <c r="H12440" s="380" t="s">
        <v>771</v>
      </c>
      <c r="I12440" s="380" t="s">
        <v>788</v>
      </c>
      <c r="J12440" s="380" t="s">
        <v>773</v>
      </c>
      <c r="K12440" s="381">
        <v>0.0</v>
      </c>
      <c r="L12440" s="382">
        <v>1.0</v>
      </c>
    </row>
    <row r="12441">
      <c r="A12441" s="380" t="s">
        <v>13315</v>
      </c>
      <c r="B12441" s="380" t="str">
        <f>IFERROR(__xludf.DUMMYFUNCTION("""COMPUTED_VALUE"""),"Cabrilla Direccion Reparado")</f>
        <v>Cabrilla Direccion Reparado</v>
      </c>
      <c r="C12441" s="380" t="str">
        <f>IFERROR(__xludf.DUMMYFUNCTION("""COMPUTED_VALUE"""),"70007907")</f>
        <v>70007907</v>
      </c>
      <c r="D12441" s="380" t="s">
        <v>767</v>
      </c>
      <c r="E12441" s="380" t="s">
        <v>786</v>
      </c>
      <c r="F12441" s="380" t="s">
        <v>792</v>
      </c>
      <c r="G12441" s="380" t="s">
        <v>1267</v>
      </c>
      <c r="H12441" s="380" t="s">
        <v>771</v>
      </c>
      <c r="I12441" s="380" t="s">
        <v>788</v>
      </c>
      <c r="J12441" s="380" t="s">
        <v>773</v>
      </c>
      <c r="K12441" s="381">
        <v>95987.0</v>
      </c>
      <c r="L12441" s="382">
        <v>1.0</v>
      </c>
    </row>
    <row r="12442">
      <c r="A12442" s="380" t="s">
        <v>13316</v>
      </c>
      <c r="B12442" s="380" t="str">
        <f>IFERROR(__xludf.DUMMYFUNCTION("""COMPUTED_VALUE"""),"Radiador Npr Reparado")</f>
        <v>Radiador Npr Reparado</v>
      </c>
      <c r="C12442" s="380" t="str">
        <f>IFERROR(__xludf.DUMMYFUNCTION("""COMPUTED_VALUE"""),"70007908")</f>
        <v>70007908</v>
      </c>
      <c r="D12442" s="380" t="s">
        <v>767</v>
      </c>
      <c r="E12442" s="380" t="s">
        <v>786</v>
      </c>
      <c r="F12442" s="380" t="s">
        <v>787</v>
      </c>
      <c r="G12442" s="380" t="s">
        <v>1267</v>
      </c>
      <c r="H12442" s="380" t="s">
        <v>771</v>
      </c>
      <c r="I12442" s="380" t="s">
        <v>788</v>
      </c>
      <c r="J12442" s="380" t="s">
        <v>773</v>
      </c>
      <c r="K12442" s="381">
        <v>0.0</v>
      </c>
      <c r="L12442" s="382">
        <v>1.0</v>
      </c>
    </row>
    <row r="12443">
      <c r="A12443" s="380" t="s">
        <v>13317</v>
      </c>
      <c r="B12443" s="380" t="str">
        <f>IFERROR(__xludf.DUMMYFUNCTION("""COMPUTED_VALUE"""),"Bocin Eje Trasero Eagle Reparado")</f>
        <v>Bocin Eje Trasero Eagle Reparado</v>
      </c>
      <c r="C12443" s="380" t="str">
        <f>IFERROR(__xludf.DUMMYFUNCTION("""COMPUTED_VALUE"""),"70007909")</f>
        <v>70007909</v>
      </c>
      <c r="D12443" s="380" t="s">
        <v>767</v>
      </c>
      <c r="E12443" s="380" t="s">
        <v>786</v>
      </c>
      <c r="F12443" s="380" t="s">
        <v>1017</v>
      </c>
      <c r="G12443" s="380" t="s">
        <v>1267</v>
      </c>
      <c r="H12443" s="380" t="s">
        <v>771</v>
      </c>
      <c r="I12443" s="380" t="s">
        <v>788</v>
      </c>
      <c r="J12443" s="380" t="s">
        <v>773</v>
      </c>
      <c r="K12443" s="381">
        <v>0.0</v>
      </c>
      <c r="L12443" s="382">
        <v>1.0</v>
      </c>
    </row>
    <row r="12444">
      <c r="A12444" s="380" t="s">
        <v>13318</v>
      </c>
      <c r="B12444" s="380" t="str">
        <f>IFERROR(__xludf.DUMMYFUNCTION("""COMPUTED_VALUE"""),"Modulo Cabina Prostar Reparado")</f>
        <v>Modulo Cabina Prostar Reparado</v>
      </c>
      <c r="C12444" s="380" t="str">
        <f>IFERROR(__xludf.DUMMYFUNCTION("""COMPUTED_VALUE"""),"70007910")</f>
        <v>70007910</v>
      </c>
      <c r="D12444" s="380" t="s">
        <v>767</v>
      </c>
      <c r="E12444" s="380" t="s">
        <v>786</v>
      </c>
      <c r="F12444" s="380" t="s">
        <v>998</v>
      </c>
      <c r="G12444" s="380" t="s">
        <v>1267</v>
      </c>
      <c r="H12444" s="380" t="s">
        <v>771</v>
      </c>
      <c r="I12444" s="380" t="s">
        <v>788</v>
      </c>
      <c r="J12444" s="380" t="s">
        <v>773</v>
      </c>
      <c r="K12444" s="381">
        <v>1844500.0</v>
      </c>
      <c r="L12444" s="382">
        <v>1.0</v>
      </c>
    </row>
    <row r="12445">
      <c r="A12445" s="380" t="s">
        <v>13319</v>
      </c>
      <c r="B12445" s="380" t="str">
        <f>IFERROR(__xludf.DUMMYFUNCTION("""COMPUTED_VALUE"""),"FILT AIR FT 1128-1065-1045 Mag961390r Go")</f>
        <v>FILT AIR FT 1128-1065-1045 Mag961390r Go</v>
      </c>
      <c r="C12445" s="380" t="str">
        <f>IFERROR(__xludf.DUMMYFUNCTION("""COMPUTED_VALUE"""),"70007911")</f>
        <v>70007911</v>
      </c>
      <c r="D12445" s="380" t="s">
        <v>767</v>
      </c>
      <c r="E12445" s="380" t="s">
        <v>786</v>
      </c>
      <c r="F12445" s="380" t="s">
        <v>5855</v>
      </c>
      <c r="G12445" s="380" t="s">
        <v>1267</v>
      </c>
      <c r="H12445" s="380" t="s">
        <v>771</v>
      </c>
      <c r="I12445" s="380" t="s">
        <v>788</v>
      </c>
      <c r="J12445" s="380" t="s">
        <v>773</v>
      </c>
      <c r="K12445" s="381">
        <v>94010.0</v>
      </c>
      <c r="L12445" s="382">
        <v>1.0</v>
      </c>
    </row>
    <row r="12446">
      <c r="A12446" s="380" t="s">
        <v>13320</v>
      </c>
      <c r="B12446" s="380" t="str">
        <f>IFERROR(__xludf.DUMMYFUNCTION("""COMPUTED_VALUE"""),"CJ Velocidades HN Dutropack Remanufactur")</f>
        <v>CJ Velocidades HN Dutropack Remanufactur</v>
      </c>
      <c r="C12446" s="380" t="str">
        <f>IFERROR(__xludf.DUMMYFUNCTION("""COMPUTED_VALUE"""),"70007912")</f>
        <v>70007912</v>
      </c>
      <c r="D12446" s="380" t="s">
        <v>767</v>
      </c>
      <c r="E12446" s="380" t="s">
        <v>786</v>
      </c>
      <c r="F12446" s="380" t="s">
        <v>928</v>
      </c>
      <c r="G12446" s="380" t="s">
        <v>1267</v>
      </c>
      <c r="H12446" s="380" t="s">
        <v>771</v>
      </c>
      <c r="I12446" s="380" t="s">
        <v>788</v>
      </c>
      <c r="J12446" s="380" t="s">
        <v>773</v>
      </c>
      <c r="K12446" s="381">
        <v>0.0</v>
      </c>
      <c r="L12446" s="382">
        <v>1.0</v>
      </c>
    </row>
    <row r="12447">
      <c r="A12447" s="380" t="s">
        <v>13321</v>
      </c>
      <c r="B12447" s="380" t="str">
        <f>IFERROR(__xludf.DUMMYFUNCTION("""COMPUTED_VALUE"""),"Caja De Direccion Mack Cxu Reparado")</f>
        <v>Caja De Direccion Mack Cxu Reparado</v>
      </c>
      <c r="C12447" s="380" t="str">
        <f>IFERROR(__xludf.DUMMYFUNCTION("""COMPUTED_VALUE"""),"70007913")</f>
        <v>70007913</v>
      </c>
      <c r="D12447" s="380" t="s">
        <v>767</v>
      </c>
      <c r="E12447" s="380" t="s">
        <v>786</v>
      </c>
      <c r="F12447" s="380" t="s">
        <v>928</v>
      </c>
      <c r="G12447" s="380" t="s">
        <v>1267</v>
      </c>
      <c r="H12447" s="380" t="s">
        <v>771</v>
      </c>
      <c r="I12447" s="380" t="s">
        <v>788</v>
      </c>
      <c r="J12447" s="380" t="s">
        <v>773</v>
      </c>
      <c r="K12447" s="381">
        <v>0.0</v>
      </c>
      <c r="L12447" s="382">
        <v>1.0</v>
      </c>
    </row>
    <row r="12448">
      <c r="A12448" s="380" t="s">
        <v>13322</v>
      </c>
      <c r="B12448" s="380" t="str">
        <f>IFERROR(__xludf.DUMMYFUNCTION("""COMPUTED_VALUE"""),"Inyector Motor Mack Anthem Reparado")</f>
        <v>Inyector Motor Mack Anthem Reparado</v>
      </c>
      <c r="C12448" s="380" t="str">
        <f>IFERROR(__xludf.DUMMYFUNCTION("""COMPUTED_VALUE"""),"70007914")</f>
        <v>70007914</v>
      </c>
      <c r="D12448" s="380" t="s">
        <v>767</v>
      </c>
      <c r="E12448" s="380" t="s">
        <v>786</v>
      </c>
      <c r="F12448" s="380" t="s">
        <v>787</v>
      </c>
      <c r="G12448" s="380" t="s">
        <v>1267</v>
      </c>
      <c r="H12448" s="380" t="s">
        <v>771</v>
      </c>
      <c r="I12448" s="380" t="s">
        <v>788</v>
      </c>
      <c r="J12448" s="380" t="s">
        <v>773</v>
      </c>
      <c r="K12448" s="381">
        <v>0.0</v>
      </c>
      <c r="L12448" s="382">
        <v>1.0</v>
      </c>
    </row>
    <row r="12449">
      <c r="A12449" s="380" t="s">
        <v>13323</v>
      </c>
      <c r="B12449" s="380" t="str">
        <f>IFERROR(__xludf.DUMMYFUNCTION("""COMPUTED_VALUE"""),"Kit Graduacion Freno Izq TRAS FT Mv5 770")</f>
        <v>Kit Graduacion Freno Izq TRAS FT Mv5 770</v>
      </c>
      <c r="C12449" s="380" t="str">
        <f>IFERROR(__xludf.DUMMYFUNCTION("""COMPUTED_VALUE"""),"70007915")</f>
        <v>70007915</v>
      </c>
      <c r="D12449" s="380" t="s">
        <v>767</v>
      </c>
      <c r="E12449" s="380" t="s">
        <v>786</v>
      </c>
      <c r="F12449" s="380" t="s">
        <v>1017</v>
      </c>
      <c r="G12449" s="380" t="s">
        <v>1267</v>
      </c>
      <c r="H12449" s="380" t="s">
        <v>771</v>
      </c>
      <c r="I12449" s="380" t="s">
        <v>788</v>
      </c>
      <c r="J12449" s="380" t="s">
        <v>773</v>
      </c>
      <c r="K12449" s="381">
        <v>0.0</v>
      </c>
      <c r="L12449" s="382">
        <v>1.0</v>
      </c>
    </row>
    <row r="12450">
      <c r="A12450" s="380" t="s">
        <v>13324</v>
      </c>
      <c r="B12450" s="380" t="str">
        <f>IFERROR(__xludf.DUMMYFUNCTION("""COMPUTED_VALUE"""),"Kit Graduacion Freno DER TRAS FT Mv5 770")</f>
        <v>Kit Graduacion Freno DER TRAS FT Mv5 770</v>
      </c>
      <c r="C12450" s="380" t="str">
        <f>IFERROR(__xludf.DUMMYFUNCTION("""COMPUTED_VALUE"""),"70007916")</f>
        <v>70007916</v>
      </c>
      <c r="D12450" s="380" t="s">
        <v>767</v>
      </c>
      <c r="E12450" s="380" t="s">
        <v>786</v>
      </c>
      <c r="F12450" s="380" t="s">
        <v>1017</v>
      </c>
      <c r="G12450" s="380" t="s">
        <v>1267</v>
      </c>
      <c r="H12450" s="380" t="s">
        <v>771</v>
      </c>
      <c r="I12450" s="380" t="s">
        <v>788</v>
      </c>
      <c r="J12450" s="380" t="s">
        <v>773</v>
      </c>
      <c r="K12450" s="381">
        <v>0.0</v>
      </c>
      <c r="L12450" s="382">
        <v>1.0</v>
      </c>
    </row>
    <row r="12451">
      <c r="A12451" s="380" t="s">
        <v>13325</v>
      </c>
      <c r="B12451" s="380" t="str">
        <f>IFERROR(__xludf.DUMMYFUNCTION("""COMPUTED_VALUE"""),"Rotula Suspension INF Izq T Vxa 43330")</f>
        <v>Rotula Suspension INF Izq T Vxa 43330</v>
      </c>
      <c r="C12451" s="380" t="str">
        <f>IFERROR(__xludf.DUMMYFUNCTION("""COMPUTED_VALUE"""),"70007917")</f>
        <v>70007917</v>
      </c>
      <c r="D12451" s="380" t="s">
        <v>767</v>
      </c>
      <c r="E12451" s="380" t="s">
        <v>786</v>
      </c>
      <c r="F12451" s="380" t="s">
        <v>1039</v>
      </c>
      <c r="G12451" s="380" t="s">
        <v>1267</v>
      </c>
      <c r="H12451" s="380" t="s">
        <v>771</v>
      </c>
      <c r="I12451" s="380" t="s">
        <v>788</v>
      </c>
      <c r="J12451" s="380" t="s">
        <v>773</v>
      </c>
      <c r="K12451" s="381">
        <v>0.0</v>
      </c>
      <c r="L12451" s="382">
        <v>1.0</v>
      </c>
    </row>
    <row r="12452">
      <c r="A12452" s="380" t="s">
        <v>13326</v>
      </c>
      <c r="B12452" s="380" t="str">
        <f>IFERROR(__xludf.DUMMYFUNCTION("""COMPUTED_VALUE"""),"BRR De DIR Larga KW T800 Mod 2012 817755")</f>
        <v>BRR De DIR Larga KW T800 Mod 2012 817755</v>
      </c>
      <c r="C12452" s="380" t="str">
        <f>IFERROR(__xludf.DUMMYFUNCTION("""COMPUTED_VALUE"""),"70007918")</f>
        <v>70007918</v>
      </c>
      <c r="D12452" s="380" t="s">
        <v>767</v>
      </c>
      <c r="E12452" s="380" t="s">
        <v>786</v>
      </c>
      <c r="F12452" s="380" t="s">
        <v>1020</v>
      </c>
      <c r="G12452" s="380" t="s">
        <v>1267</v>
      </c>
      <c r="H12452" s="380" t="s">
        <v>771</v>
      </c>
      <c r="I12452" s="380" t="s">
        <v>788</v>
      </c>
      <c r="J12452" s="380" t="s">
        <v>773</v>
      </c>
      <c r="K12452" s="381">
        <v>0.0</v>
      </c>
      <c r="L12452" s="382">
        <v>1.0</v>
      </c>
    </row>
    <row r="12453">
      <c r="A12453" s="380" t="s">
        <v>13327</v>
      </c>
      <c r="B12453" s="380" t="str">
        <f>IFERROR(__xludf.DUMMYFUNCTION("""COMPUTED_VALUE"""),"Bomba De Agua International Lt Reparado")</f>
        <v>Bomba De Agua International Lt Reparado</v>
      </c>
      <c r="C12453" s="380" t="str">
        <f>IFERROR(__xludf.DUMMYFUNCTION("""COMPUTED_VALUE"""),"70007919")</f>
        <v>70007919</v>
      </c>
      <c r="D12453" s="380" t="s">
        <v>767</v>
      </c>
      <c r="E12453" s="380" t="s">
        <v>786</v>
      </c>
      <c r="F12453" s="380" t="s">
        <v>787</v>
      </c>
      <c r="G12453" s="380" t="s">
        <v>1267</v>
      </c>
      <c r="H12453" s="380" t="s">
        <v>771</v>
      </c>
      <c r="I12453" s="380" t="s">
        <v>788</v>
      </c>
      <c r="J12453" s="380" t="s">
        <v>773</v>
      </c>
      <c r="K12453" s="381">
        <v>0.0</v>
      </c>
      <c r="L12453" s="382">
        <v>1.0</v>
      </c>
    </row>
    <row r="12454">
      <c r="A12454" s="380" t="s">
        <v>13328</v>
      </c>
      <c r="B12454" s="380" t="str">
        <f>IFERROR(__xludf.DUMMYFUNCTION("""COMPUTED_VALUE"""),"Banda Freno TRAS FT 1065 7705946680059")</f>
        <v>Banda Freno TRAS FT 1065 7705946680059</v>
      </c>
      <c r="C12454" s="380" t="str">
        <f>IFERROR(__xludf.DUMMYFUNCTION("""COMPUTED_VALUE"""),"70007921")</f>
        <v>70007921</v>
      </c>
      <c r="D12454" s="380" t="s">
        <v>767</v>
      </c>
      <c r="E12454" s="380" t="s">
        <v>786</v>
      </c>
      <c r="F12454" s="380" t="s">
        <v>1017</v>
      </c>
      <c r="G12454" s="380" t="s">
        <v>1267</v>
      </c>
      <c r="H12454" s="380" t="s">
        <v>771</v>
      </c>
      <c r="I12454" s="380" t="s">
        <v>788</v>
      </c>
      <c r="J12454" s="380" t="s">
        <v>773</v>
      </c>
      <c r="K12454" s="381">
        <v>0.0</v>
      </c>
      <c r="L12454" s="382">
        <v>1.0</v>
      </c>
    </row>
    <row r="12455">
      <c r="A12455" s="380" t="s">
        <v>13329</v>
      </c>
      <c r="B12455" s="380" t="str">
        <f>IFERROR(__xludf.DUMMYFUNCTION("""COMPUTED_VALUE"""),"Deflector Cabina Eagle Reparado")</f>
        <v>Deflector Cabina Eagle Reparado</v>
      </c>
      <c r="C12455" s="380" t="str">
        <f>IFERROR(__xludf.DUMMYFUNCTION("""COMPUTED_VALUE"""),"70007922")</f>
        <v>70007922</v>
      </c>
      <c r="D12455" s="380" t="s">
        <v>767</v>
      </c>
      <c r="E12455" s="380" t="s">
        <v>786</v>
      </c>
      <c r="F12455" s="380" t="s">
        <v>792</v>
      </c>
      <c r="G12455" s="380" t="s">
        <v>1267</v>
      </c>
      <c r="H12455" s="380" t="s">
        <v>771</v>
      </c>
      <c r="I12455" s="380" t="s">
        <v>788</v>
      </c>
      <c r="J12455" s="380" t="s">
        <v>773</v>
      </c>
      <c r="K12455" s="381">
        <v>0.0</v>
      </c>
      <c r="L12455" s="382">
        <v>1.0</v>
      </c>
    </row>
    <row r="12456">
      <c r="A12456" s="380" t="s">
        <v>13330</v>
      </c>
      <c r="B12456" s="380" t="str">
        <f>IFERROR(__xludf.DUMMYFUNCTION("""COMPUTED_VALUE"""),"Banda Freno TRAS Jac Jkr L1300061102b134")</f>
        <v>Banda Freno TRAS Jac Jkr L1300061102b134</v>
      </c>
      <c r="C12456" s="380" t="str">
        <f>IFERROR(__xludf.DUMMYFUNCTION("""COMPUTED_VALUE"""),"70007923")</f>
        <v>70007923</v>
      </c>
      <c r="D12456" s="380" t="s">
        <v>767</v>
      </c>
      <c r="E12456" s="380" t="s">
        <v>786</v>
      </c>
      <c r="F12456" s="380" t="s">
        <v>1017</v>
      </c>
      <c r="G12456" s="380" t="s">
        <v>1267</v>
      </c>
      <c r="H12456" s="380" t="s">
        <v>771</v>
      </c>
      <c r="I12456" s="380" t="s">
        <v>788</v>
      </c>
      <c r="J12456" s="380" t="s">
        <v>773</v>
      </c>
      <c r="K12456" s="381">
        <v>0.0</v>
      </c>
      <c r="L12456" s="382">
        <v>1.0</v>
      </c>
    </row>
    <row r="12457">
      <c r="A12457" s="380" t="s">
        <v>13331</v>
      </c>
      <c r="B12457" s="380" t="str">
        <f>IFERROR(__xludf.DUMMYFUNCTION("""COMPUTED_VALUE"""),"Tubo 1 Presion INY FT 1039/1065- 7701023")</f>
        <v>Tubo 1 Presion INY FT 1039/1065- 7701023</v>
      </c>
      <c r="C12457" s="380" t="str">
        <f>IFERROR(__xludf.DUMMYFUNCTION("""COMPUTED_VALUE"""),"70007924")</f>
        <v>70007924</v>
      </c>
      <c r="D12457" s="380" t="s">
        <v>767</v>
      </c>
      <c r="E12457" s="380" t="s">
        <v>786</v>
      </c>
      <c r="F12457" s="380" t="s">
        <v>787</v>
      </c>
      <c r="G12457" s="380" t="s">
        <v>1267</v>
      </c>
      <c r="H12457" s="380" t="s">
        <v>771</v>
      </c>
      <c r="I12457" s="380" t="s">
        <v>788</v>
      </c>
      <c r="J12457" s="380" t="s">
        <v>773</v>
      </c>
      <c r="K12457" s="381">
        <v>458720.0</v>
      </c>
      <c r="L12457" s="382">
        <v>1.0</v>
      </c>
    </row>
    <row r="12458">
      <c r="A12458" s="380" t="s">
        <v>13332</v>
      </c>
      <c r="B12458" s="380" t="str">
        <f>IFERROR(__xludf.DUMMYFUNCTION("""COMPUTED_VALUE"""),"Inducido MOT ARR MOT 39mt Generico 61-15")</f>
        <v>Inducido MOT ARR MOT 39mt Generico 61-15</v>
      </c>
      <c r="C12458" s="380" t="str">
        <f>IFERROR(__xludf.DUMMYFUNCTION("""COMPUTED_VALUE"""),"70007925")</f>
        <v>70007925</v>
      </c>
      <c r="D12458" s="380" t="s">
        <v>767</v>
      </c>
      <c r="E12458" s="380" t="s">
        <v>786</v>
      </c>
      <c r="F12458" s="380" t="s">
        <v>998</v>
      </c>
      <c r="G12458" s="380" t="s">
        <v>1267</v>
      </c>
      <c r="H12458" s="380" t="s">
        <v>771</v>
      </c>
      <c r="I12458" s="380" t="s">
        <v>788</v>
      </c>
      <c r="J12458" s="380" t="s">
        <v>773</v>
      </c>
      <c r="K12458" s="381">
        <v>0.0</v>
      </c>
      <c r="L12458" s="382">
        <v>1.0</v>
      </c>
    </row>
    <row r="12459">
      <c r="A12459" s="380" t="s">
        <v>13333</v>
      </c>
      <c r="B12459" s="380" t="str">
        <f>IFERROR(__xludf.DUMMYFUNCTION("""COMPUTED_VALUE"""),"Parasol Derecho Foton Mv5- 7705946039970")</f>
        <v>Parasol Derecho Foton Mv5- 7705946039970</v>
      </c>
      <c r="C12459" s="380" t="str">
        <f>IFERROR(__xludf.DUMMYFUNCTION("""COMPUTED_VALUE"""),"70007926")</f>
        <v>70007926</v>
      </c>
      <c r="D12459" s="380" t="s">
        <v>767</v>
      </c>
      <c r="E12459" s="380" t="s">
        <v>786</v>
      </c>
      <c r="F12459" s="380" t="s">
        <v>792</v>
      </c>
      <c r="G12459" s="380" t="s">
        <v>1267</v>
      </c>
      <c r="H12459" s="380" t="s">
        <v>771</v>
      </c>
      <c r="I12459" s="380" t="s">
        <v>788</v>
      </c>
      <c r="J12459" s="380" t="s">
        <v>773</v>
      </c>
      <c r="K12459" s="381">
        <v>0.0</v>
      </c>
      <c r="L12459" s="382">
        <v>1.0</v>
      </c>
    </row>
    <row r="12460">
      <c r="A12460" s="380" t="s">
        <v>13334</v>
      </c>
      <c r="B12460" s="380" t="str">
        <f>IFERROR(__xludf.DUMMYFUNCTION("""COMPUTED_VALUE"""),"Parasol IZQ FT Mv5- 7705946039963")</f>
        <v>Parasol IZQ FT Mv5- 7705946039963</v>
      </c>
      <c r="C12460" s="380" t="str">
        <f>IFERROR(__xludf.DUMMYFUNCTION("""COMPUTED_VALUE"""),"70007927")</f>
        <v>70007927</v>
      </c>
      <c r="D12460" s="380" t="s">
        <v>767</v>
      </c>
      <c r="E12460" s="380" t="s">
        <v>786</v>
      </c>
      <c r="F12460" s="380" t="s">
        <v>792</v>
      </c>
      <c r="G12460" s="380" t="s">
        <v>1267</v>
      </c>
      <c r="H12460" s="380" t="s">
        <v>771</v>
      </c>
      <c r="I12460" s="380" t="s">
        <v>788</v>
      </c>
      <c r="J12460" s="380" t="s">
        <v>773</v>
      </c>
      <c r="K12460" s="381">
        <v>0.0</v>
      </c>
      <c r="L12460" s="382">
        <v>1.0</v>
      </c>
    </row>
    <row r="12461">
      <c r="A12461" s="380" t="s">
        <v>13335</v>
      </c>
      <c r="B12461" s="380" t="str">
        <f>IFERROR(__xludf.DUMMYFUNCTION("""COMPUTED_VALUE"""),"Arnes De Chasis Jac 1120- 4010910le74020")</f>
        <v>Arnes De Chasis Jac 1120- 4010910le74020</v>
      </c>
      <c r="C12461" s="380" t="str">
        <f>IFERROR(__xludf.DUMMYFUNCTION("""COMPUTED_VALUE"""),"70007928")</f>
        <v>70007928</v>
      </c>
      <c r="D12461" s="380" t="s">
        <v>767</v>
      </c>
      <c r="E12461" s="380" t="s">
        <v>786</v>
      </c>
      <c r="F12461" s="380" t="s">
        <v>998</v>
      </c>
      <c r="G12461" s="380" t="s">
        <v>1267</v>
      </c>
      <c r="H12461" s="380" t="s">
        <v>771</v>
      </c>
      <c r="I12461" s="380" t="s">
        <v>788</v>
      </c>
      <c r="J12461" s="380" t="s">
        <v>773</v>
      </c>
      <c r="K12461" s="381">
        <v>0.0</v>
      </c>
      <c r="L12461" s="382">
        <v>1.0</v>
      </c>
    </row>
    <row r="12462">
      <c r="A12462" s="380" t="s">
        <v>13336</v>
      </c>
      <c r="B12462" s="380" t="str">
        <f>IFERROR(__xludf.DUMMYFUNCTION("""COMPUTED_VALUE"""),"Modulo Motor Ecu Jac 1120- 5293524")</f>
        <v>Modulo Motor Ecu Jac 1120- 5293524</v>
      </c>
      <c r="C12462" s="380" t="str">
        <f>IFERROR(__xludf.DUMMYFUNCTION("""COMPUTED_VALUE"""),"70007929")</f>
        <v>70007929</v>
      </c>
      <c r="D12462" s="380" t="s">
        <v>767</v>
      </c>
      <c r="E12462" s="380" t="s">
        <v>786</v>
      </c>
      <c r="F12462" s="380" t="s">
        <v>998</v>
      </c>
      <c r="G12462" s="380" t="s">
        <v>1267</v>
      </c>
      <c r="H12462" s="380" t="s">
        <v>771</v>
      </c>
      <c r="I12462" s="380" t="s">
        <v>788</v>
      </c>
      <c r="J12462" s="380" t="s">
        <v>773</v>
      </c>
      <c r="K12462" s="381">
        <v>0.0</v>
      </c>
      <c r="L12462" s="382">
        <v>1.0</v>
      </c>
    </row>
    <row r="12463">
      <c r="A12463" s="380" t="s">
        <v>13337</v>
      </c>
      <c r="B12463" s="380" t="str">
        <f>IFERROR(__xludf.DUMMYFUNCTION("""COMPUTED_VALUE"""),"Troque Trailer Reparado")</f>
        <v>Troque Trailer Reparado</v>
      </c>
      <c r="C12463" s="380" t="str">
        <f>IFERROR(__xludf.DUMMYFUNCTION("""COMPUTED_VALUE"""),"70007930")</f>
        <v>70007930</v>
      </c>
      <c r="D12463" s="380" t="s">
        <v>767</v>
      </c>
      <c r="E12463" s="380" t="s">
        <v>786</v>
      </c>
      <c r="F12463" s="380" t="s">
        <v>792</v>
      </c>
      <c r="G12463" s="380" t="s">
        <v>1267</v>
      </c>
      <c r="H12463" s="380" t="s">
        <v>771</v>
      </c>
      <c r="I12463" s="380" t="s">
        <v>788</v>
      </c>
      <c r="J12463" s="380" t="s">
        <v>773</v>
      </c>
      <c r="K12463" s="381">
        <v>0.0</v>
      </c>
      <c r="L12463" s="382">
        <v>1.0</v>
      </c>
    </row>
    <row r="12464">
      <c r="A12464" s="380" t="s">
        <v>13338</v>
      </c>
      <c r="B12464" s="380" t="str">
        <f>IFERROR(__xludf.DUMMYFUNCTION("""COMPUTED_VALUE"""),"Espaciador INF 1"" MUE Tras Suspension Ha")</f>
        <v>Espaciador INF 1" MUE Tras Suspension Ha</v>
      </c>
      <c r="C12464" s="380" t="str">
        <f>IFERROR(__xludf.DUMMYFUNCTION("""COMPUTED_VALUE"""),"70007931")</f>
        <v>70007931</v>
      </c>
      <c r="D12464" s="380" t="s">
        <v>767</v>
      </c>
      <c r="E12464" s="380" t="s">
        <v>786</v>
      </c>
      <c r="F12464" s="380" t="s">
        <v>1039</v>
      </c>
      <c r="G12464" s="380" t="s">
        <v>1267</v>
      </c>
      <c r="H12464" s="380" t="s">
        <v>771</v>
      </c>
      <c r="I12464" s="380" t="s">
        <v>788</v>
      </c>
      <c r="J12464" s="380" t="s">
        <v>773</v>
      </c>
      <c r="K12464" s="381">
        <v>0.0</v>
      </c>
      <c r="L12464" s="382">
        <v>1.0</v>
      </c>
    </row>
    <row r="12465">
      <c r="A12465" s="380" t="s">
        <v>13339</v>
      </c>
      <c r="B12465" s="380" t="str">
        <f>IFERROR(__xludf.DUMMYFUNCTION("""COMPUTED_VALUE"""),"Motor Arranque Foton Bj5 Reparado")</f>
        <v>Motor Arranque Foton Bj5 Reparado</v>
      </c>
      <c r="C12465" s="380" t="str">
        <f>IFERROR(__xludf.DUMMYFUNCTION("""COMPUTED_VALUE"""),"70007932")</f>
        <v>70007932</v>
      </c>
      <c r="D12465" s="380" t="s">
        <v>767</v>
      </c>
      <c r="E12465" s="380" t="s">
        <v>786</v>
      </c>
      <c r="F12465" s="380" t="s">
        <v>998</v>
      </c>
      <c r="G12465" s="380" t="s">
        <v>1267</v>
      </c>
      <c r="H12465" s="380" t="s">
        <v>771</v>
      </c>
      <c r="I12465" s="380" t="s">
        <v>788</v>
      </c>
      <c r="J12465" s="380" t="s">
        <v>773</v>
      </c>
      <c r="K12465" s="381">
        <v>150000.0</v>
      </c>
      <c r="L12465" s="382">
        <v>1.0</v>
      </c>
    </row>
    <row r="12466">
      <c r="A12466" s="380" t="s">
        <v>13340</v>
      </c>
      <c r="B12466" s="380" t="str">
        <f>IFERROR(__xludf.DUMMYFUNCTION("""COMPUTED_VALUE"""),"Bateria T.Tornillo 31-925 Fleetrite")</f>
        <v>Bateria T.Tornillo 31-925 Fleetrite</v>
      </c>
      <c r="C12466" s="380" t="str">
        <f>IFERROR(__xludf.DUMMYFUNCTION("""COMPUTED_VALUE"""),"70007933")</f>
        <v>70007933</v>
      </c>
      <c r="D12466" s="380" t="s">
        <v>767</v>
      </c>
      <c r="E12466" s="380" t="s">
        <v>786</v>
      </c>
      <c r="F12466" s="380" t="s">
        <v>998</v>
      </c>
      <c r="G12466" s="380" t="s">
        <v>1267</v>
      </c>
      <c r="H12466" s="380" t="s">
        <v>771</v>
      </c>
      <c r="I12466" s="380" t="s">
        <v>788</v>
      </c>
      <c r="J12466" s="380" t="s">
        <v>773</v>
      </c>
      <c r="K12466" s="381">
        <v>0.0</v>
      </c>
      <c r="L12466" s="382">
        <v>1.0</v>
      </c>
    </row>
    <row r="12467">
      <c r="A12467" s="380" t="s">
        <v>13341</v>
      </c>
      <c r="B12467" s="380" t="str">
        <f>IFERROR(__xludf.DUMMYFUNCTION("""COMPUTED_VALUE"""),"Tarjeta Unidad De Urea Inter Lt Reparado")</f>
        <v>Tarjeta Unidad De Urea Inter Lt Reparado</v>
      </c>
      <c r="C12467" s="380" t="str">
        <f>IFERROR(__xludf.DUMMYFUNCTION("""COMPUTED_VALUE"""),"70007934")</f>
        <v>70007934</v>
      </c>
      <c r="D12467" s="380" t="s">
        <v>767</v>
      </c>
      <c r="E12467" s="380" t="s">
        <v>786</v>
      </c>
      <c r="F12467" s="380" t="s">
        <v>998</v>
      </c>
      <c r="G12467" s="380" t="s">
        <v>1267</v>
      </c>
      <c r="H12467" s="380" t="s">
        <v>771</v>
      </c>
      <c r="I12467" s="380" t="s">
        <v>788</v>
      </c>
      <c r="J12467" s="380" t="s">
        <v>773</v>
      </c>
      <c r="K12467" s="381">
        <v>1661957.0</v>
      </c>
      <c r="L12467" s="382">
        <v>1.0</v>
      </c>
    </row>
    <row r="12468">
      <c r="A12468" s="380" t="s">
        <v>13342</v>
      </c>
      <c r="B12468" s="380" t="str">
        <f>IFERROR(__xludf.DUMMYFUNCTION("""COMPUTED_VALUE"""),"Protector Columna DIRción FT 1128 770014")</f>
        <v>Protector Columna DIRción FT 1128 770014</v>
      </c>
      <c r="C12468" s="380" t="str">
        <f>IFERROR(__xludf.DUMMYFUNCTION("""COMPUTED_VALUE"""),"70007935")</f>
        <v>70007935</v>
      </c>
      <c r="D12468" s="380" t="s">
        <v>767</v>
      </c>
      <c r="E12468" s="380" t="s">
        <v>786</v>
      </c>
      <c r="F12468" s="380" t="s">
        <v>1031</v>
      </c>
      <c r="G12468" s="380" t="s">
        <v>1267</v>
      </c>
      <c r="H12468" s="380" t="s">
        <v>771</v>
      </c>
      <c r="I12468" s="380" t="s">
        <v>788</v>
      </c>
      <c r="J12468" s="380" t="s">
        <v>773</v>
      </c>
      <c r="K12468" s="381">
        <v>0.0</v>
      </c>
      <c r="L12468" s="382">
        <v>1.0</v>
      </c>
    </row>
    <row r="12469">
      <c r="A12469" s="380" t="s">
        <v>13343</v>
      </c>
      <c r="B12469" s="380" t="str">
        <f>IFERROR(__xludf.DUMMYFUNCTION("""COMPUTED_VALUE"""),"Pedal Freno Reparado Eagle Reparado")</f>
        <v>Pedal Freno Reparado Eagle Reparado</v>
      </c>
      <c r="C12469" s="380" t="str">
        <f>IFERROR(__xludf.DUMMYFUNCTION("""COMPUTED_VALUE"""),"70007936")</f>
        <v>70007936</v>
      </c>
      <c r="D12469" s="380" t="s">
        <v>767</v>
      </c>
      <c r="E12469" s="380" t="s">
        <v>786</v>
      </c>
      <c r="F12469" s="380" t="s">
        <v>1017</v>
      </c>
      <c r="G12469" s="380" t="s">
        <v>1267</v>
      </c>
      <c r="H12469" s="380" t="s">
        <v>771</v>
      </c>
      <c r="I12469" s="380" t="s">
        <v>788</v>
      </c>
      <c r="J12469" s="380" t="s">
        <v>773</v>
      </c>
      <c r="K12469" s="381">
        <v>0.0</v>
      </c>
      <c r="L12469" s="382">
        <v>1.0</v>
      </c>
    </row>
    <row r="12470">
      <c r="A12470" s="380" t="s">
        <v>13344</v>
      </c>
      <c r="B12470" s="380" t="str">
        <f>IFERROR(__xludf.DUMMYFUNCTION("""COMPUTED_VALUE"""),"BRR Corta DIR FT 1065 7705946655842")</f>
        <v>BRR Corta DIR FT 1065 7705946655842</v>
      </c>
      <c r="C12470" s="380" t="str">
        <f>IFERROR(__xludf.DUMMYFUNCTION("""COMPUTED_VALUE"""),"70007937")</f>
        <v>70007937</v>
      </c>
      <c r="D12470" s="380" t="s">
        <v>767</v>
      </c>
      <c r="E12470" s="380" t="s">
        <v>786</v>
      </c>
      <c r="F12470" s="380" t="s">
        <v>1020</v>
      </c>
      <c r="G12470" s="380" t="s">
        <v>1267</v>
      </c>
      <c r="H12470" s="380" t="s">
        <v>771</v>
      </c>
      <c r="I12470" s="380" t="s">
        <v>788</v>
      </c>
      <c r="J12470" s="380" t="s">
        <v>773</v>
      </c>
      <c r="K12470" s="381">
        <v>374319.0</v>
      </c>
      <c r="L12470" s="382">
        <v>1.0</v>
      </c>
    </row>
    <row r="12471">
      <c r="A12471" s="380" t="s">
        <v>13345</v>
      </c>
      <c r="B12471" s="380" t="str">
        <f>IFERROR(__xludf.DUMMYFUNCTION("""COMPUTED_VALUE"""),"Filtro Aire Planta Bucaramanga P526505")</f>
        <v>Filtro Aire Planta Bucaramanga P526505</v>
      </c>
      <c r="C12471" s="380" t="str">
        <f>IFERROR(__xludf.DUMMYFUNCTION("""COMPUTED_VALUE"""),"70007938")</f>
        <v>70007938</v>
      </c>
      <c r="D12471" s="380" t="s">
        <v>767</v>
      </c>
      <c r="E12471" s="380" t="s">
        <v>786</v>
      </c>
      <c r="F12471" s="380" t="s">
        <v>5855</v>
      </c>
      <c r="G12471" s="380" t="s">
        <v>1267</v>
      </c>
      <c r="H12471" s="380" t="s">
        <v>771</v>
      </c>
      <c r="I12471" s="380" t="s">
        <v>788</v>
      </c>
      <c r="J12471" s="380" t="s">
        <v>773</v>
      </c>
      <c r="K12471" s="381">
        <v>0.0</v>
      </c>
      <c r="L12471" s="382">
        <v>1.0</v>
      </c>
    </row>
    <row r="12472">
      <c r="A12472" s="380" t="s">
        <v>13346</v>
      </c>
      <c r="B12472" s="380" t="str">
        <f>IFERROR(__xludf.DUMMYFUNCTION("""COMPUTED_VALUE"""),"VALV Escape X1 FT Mv5 7705946015790")</f>
        <v>VALV Escape X1 FT Mv5 7705946015790</v>
      </c>
      <c r="C12472" s="380" t="str">
        <f>IFERROR(__xludf.DUMMYFUNCTION("""COMPUTED_VALUE"""),"70007939")</f>
        <v>70007939</v>
      </c>
      <c r="D12472" s="380" t="s">
        <v>767</v>
      </c>
      <c r="E12472" s="380" t="s">
        <v>786</v>
      </c>
      <c r="F12472" s="380" t="s">
        <v>787</v>
      </c>
      <c r="G12472" s="380" t="s">
        <v>1267</v>
      </c>
      <c r="H12472" s="380" t="s">
        <v>771</v>
      </c>
      <c r="I12472" s="380" t="s">
        <v>788</v>
      </c>
      <c r="J12472" s="380" t="s">
        <v>773</v>
      </c>
      <c r="K12472" s="381">
        <v>0.0</v>
      </c>
      <c r="L12472" s="382">
        <v>1.0</v>
      </c>
    </row>
    <row r="12473">
      <c r="A12473" s="380" t="s">
        <v>13347</v>
      </c>
      <c r="B12473" s="380" t="str">
        <f>IFERROR(__xludf.DUMMYFUNCTION("""COMPUTED_VALUE"""),"Botador X1 Motor Foton Mv5 7705946015837")</f>
        <v>Botador X1 Motor Foton Mv5 7705946015837</v>
      </c>
      <c r="C12473" s="380" t="str">
        <f>IFERROR(__xludf.DUMMYFUNCTION("""COMPUTED_VALUE"""),"70007940")</f>
        <v>70007940</v>
      </c>
      <c r="D12473" s="380" t="s">
        <v>767</v>
      </c>
      <c r="E12473" s="380" t="s">
        <v>786</v>
      </c>
      <c r="F12473" s="380" t="s">
        <v>787</v>
      </c>
      <c r="G12473" s="380" t="s">
        <v>1267</v>
      </c>
      <c r="H12473" s="380" t="s">
        <v>771</v>
      </c>
      <c r="I12473" s="380" t="s">
        <v>788</v>
      </c>
      <c r="J12473" s="380" t="s">
        <v>773</v>
      </c>
      <c r="K12473" s="381">
        <v>0.0</v>
      </c>
      <c r="L12473" s="382">
        <v>1.0</v>
      </c>
    </row>
    <row r="12474">
      <c r="A12474" s="380" t="s">
        <v>13348</v>
      </c>
      <c r="B12474" s="380" t="str">
        <f>IFERROR(__xludf.DUMMYFUNCTION("""COMPUTED_VALUE"""),"RET TRAS Cigueñal FT Mv5 7705946015899")</f>
        <v>RET TRAS Cigueñal FT Mv5 7705946015899</v>
      </c>
      <c r="C12474" s="380" t="str">
        <f>IFERROR(__xludf.DUMMYFUNCTION("""COMPUTED_VALUE"""),"70007941")</f>
        <v>70007941</v>
      </c>
      <c r="D12474" s="380" t="s">
        <v>767</v>
      </c>
      <c r="E12474" s="380" t="s">
        <v>786</v>
      </c>
      <c r="F12474" s="380" t="s">
        <v>787</v>
      </c>
      <c r="G12474" s="380" t="s">
        <v>1267</v>
      </c>
      <c r="H12474" s="380" t="s">
        <v>771</v>
      </c>
      <c r="I12474" s="380" t="s">
        <v>788</v>
      </c>
      <c r="J12474" s="380" t="s">
        <v>773</v>
      </c>
      <c r="K12474" s="381">
        <v>0.0</v>
      </c>
      <c r="L12474" s="382">
        <v>1.0</v>
      </c>
    </row>
    <row r="12475">
      <c r="A12475" s="380" t="s">
        <v>13349</v>
      </c>
      <c r="B12475" s="380" t="str">
        <f>IFERROR(__xludf.DUMMYFUNCTION("""COMPUTED_VALUE"""),"Caja De Velocidades Foton 1039 Reparado")</f>
        <v>Caja De Velocidades Foton 1039 Reparado</v>
      </c>
      <c r="C12475" s="380" t="str">
        <f>IFERROR(__xludf.DUMMYFUNCTION("""COMPUTED_VALUE"""),"70007942")</f>
        <v>70007942</v>
      </c>
      <c r="D12475" s="380" t="s">
        <v>767</v>
      </c>
      <c r="E12475" s="380" t="s">
        <v>786</v>
      </c>
      <c r="F12475" s="380" t="s">
        <v>928</v>
      </c>
      <c r="G12475" s="380" t="s">
        <v>1267</v>
      </c>
      <c r="H12475" s="380" t="s">
        <v>771</v>
      </c>
      <c r="I12475" s="380" t="s">
        <v>788</v>
      </c>
      <c r="J12475" s="380" t="s">
        <v>773</v>
      </c>
      <c r="K12475" s="381">
        <v>0.0</v>
      </c>
      <c r="L12475" s="382">
        <v>1.0</v>
      </c>
    </row>
    <row r="12476">
      <c r="A12476" s="380" t="s">
        <v>13350</v>
      </c>
      <c r="B12476" s="380" t="str">
        <f>IFERROR(__xludf.DUMMYFUNCTION("""COMPUTED_VALUE"""),"Troque Delantero Nkr Reward Mod 2016")</f>
        <v>Troque Delantero Nkr Reward Mod 2016</v>
      </c>
      <c r="C12476" s="380" t="str">
        <f>IFERROR(__xludf.DUMMYFUNCTION("""COMPUTED_VALUE"""),"70007943")</f>
        <v>70007943</v>
      </c>
      <c r="D12476" s="380" t="s">
        <v>767</v>
      </c>
      <c r="E12476" s="380" t="s">
        <v>786</v>
      </c>
      <c r="F12476" s="380" t="s">
        <v>792</v>
      </c>
      <c r="G12476" s="380" t="s">
        <v>1267</v>
      </c>
      <c r="H12476" s="380" t="s">
        <v>771</v>
      </c>
      <c r="I12476" s="380" t="s">
        <v>788</v>
      </c>
      <c r="J12476" s="380" t="s">
        <v>773</v>
      </c>
      <c r="K12476" s="381">
        <v>0.0</v>
      </c>
      <c r="L12476" s="382">
        <v>1.0</v>
      </c>
    </row>
    <row r="12477">
      <c r="A12477" s="380" t="s">
        <v>13351</v>
      </c>
      <c r="B12477" s="380" t="str">
        <f>IFERROR(__xludf.DUMMYFUNCTION("""COMPUTED_VALUE"""),"Caña Direccion Volkswagen Reparado")</f>
        <v>Caña Direccion Volkswagen Reparado</v>
      </c>
      <c r="C12477" s="380" t="str">
        <f>IFERROR(__xludf.DUMMYFUNCTION("""COMPUTED_VALUE"""),"70007944")</f>
        <v>70007944</v>
      </c>
      <c r="D12477" s="380" t="s">
        <v>767</v>
      </c>
      <c r="E12477" s="380" t="s">
        <v>786</v>
      </c>
      <c r="F12477" s="380" t="s">
        <v>1020</v>
      </c>
      <c r="G12477" s="380" t="s">
        <v>1267</v>
      </c>
      <c r="H12477" s="380" t="s">
        <v>771</v>
      </c>
      <c r="I12477" s="380" t="s">
        <v>788</v>
      </c>
      <c r="J12477" s="380" t="s">
        <v>773</v>
      </c>
      <c r="K12477" s="381">
        <v>0.0</v>
      </c>
      <c r="L12477" s="382">
        <v>1.0</v>
      </c>
    </row>
    <row r="12478">
      <c r="A12478" s="380" t="s">
        <v>13352</v>
      </c>
      <c r="B12478" s="380" t="str">
        <f>IFERROR(__xludf.DUMMYFUNCTION("""COMPUTED_VALUE"""),"Stop Completo TRAS Der Daf Cf480 1875576")</f>
        <v>Stop Completo TRAS Der Daf Cf480 1875576</v>
      </c>
      <c r="C12478" s="380" t="str">
        <f>IFERROR(__xludf.DUMMYFUNCTION("""COMPUTED_VALUE"""),"70007945")</f>
        <v>70007945</v>
      </c>
      <c r="D12478" s="380" t="s">
        <v>767</v>
      </c>
      <c r="E12478" s="380" t="s">
        <v>786</v>
      </c>
      <c r="F12478" s="380" t="s">
        <v>998</v>
      </c>
      <c r="G12478" s="380" t="s">
        <v>1267</v>
      </c>
      <c r="H12478" s="380" t="s">
        <v>771</v>
      </c>
      <c r="I12478" s="380" t="s">
        <v>788</v>
      </c>
      <c r="J12478" s="380" t="s">
        <v>773</v>
      </c>
      <c r="K12478" s="381">
        <v>577922.0</v>
      </c>
      <c r="L12478" s="382">
        <v>1.0</v>
      </c>
    </row>
    <row r="12479">
      <c r="A12479" s="380" t="s">
        <v>13353</v>
      </c>
      <c r="B12479" s="380" t="str">
        <f>IFERROR(__xludf.DUMMYFUNCTION("""COMPUTED_VALUE"""),"Sensor Nox International Lt Reparado")</f>
        <v>Sensor Nox International Lt Reparado</v>
      </c>
      <c r="C12479" s="380" t="str">
        <f>IFERROR(__xludf.DUMMYFUNCTION("""COMPUTED_VALUE"""),"70007946")</f>
        <v>70007946</v>
      </c>
      <c r="D12479" s="380" t="s">
        <v>767</v>
      </c>
      <c r="E12479" s="380" t="s">
        <v>786</v>
      </c>
      <c r="F12479" s="380" t="s">
        <v>998</v>
      </c>
      <c r="G12479" s="380" t="s">
        <v>1267</v>
      </c>
      <c r="H12479" s="380" t="s">
        <v>771</v>
      </c>
      <c r="I12479" s="380" t="s">
        <v>788</v>
      </c>
      <c r="J12479" s="380" t="s">
        <v>773</v>
      </c>
      <c r="K12479" s="381">
        <v>761600.0</v>
      </c>
      <c r="L12479" s="382">
        <v>1.0</v>
      </c>
    </row>
    <row r="12480">
      <c r="A12480" s="380" t="s">
        <v>13354</v>
      </c>
      <c r="B12480" s="380" t="str">
        <f>IFERROR(__xludf.DUMMYFUNCTION("""COMPUTED_VALUE"""),"MANG Bypass Termostato FT 1039 770059466")</f>
        <v>MANG Bypass Termostato FT 1039 770059466</v>
      </c>
      <c r="C12480" s="380" t="str">
        <f>IFERROR(__xludf.DUMMYFUNCTION("""COMPUTED_VALUE"""),"70007947")</f>
        <v>70007947</v>
      </c>
      <c r="D12480" s="380" t="s">
        <v>767</v>
      </c>
      <c r="E12480" s="380" t="s">
        <v>786</v>
      </c>
      <c r="F12480" s="380" t="s">
        <v>787</v>
      </c>
      <c r="G12480" s="380" t="s">
        <v>1267</v>
      </c>
      <c r="H12480" s="380" t="s">
        <v>771</v>
      </c>
      <c r="I12480" s="380" t="s">
        <v>788</v>
      </c>
      <c r="J12480" s="380" t="s">
        <v>773</v>
      </c>
      <c r="K12480" s="381">
        <v>0.0</v>
      </c>
      <c r="L12480" s="382">
        <v>1.0</v>
      </c>
    </row>
    <row r="12481">
      <c r="A12481" s="380" t="s">
        <v>13355</v>
      </c>
      <c r="B12481" s="380" t="str">
        <f>IFERROR(__xludf.DUMMYFUNCTION("""COMPUTED_VALUE"""),"Silla Nissan Urban Reparado")</f>
        <v>Silla Nissan Urban Reparado</v>
      </c>
      <c r="C12481" s="380" t="str">
        <f>IFERROR(__xludf.DUMMYFUNCTION("""COMPUTED_VALUE"""),"70007948")</f>
        <v>70007948</v>
      </c>
      <c r="D12481" s="380" t="s">
        <v>767</v>
      </c>
      <c r="E12481" s="380" t="s">
        <v>786</v>
      </c>
      <c r="F12481" s="380" t="s">
        <v>792</v>
      </c>
      <c r="G12481" s="380" t="s">
        <v>1267</v>
      </c>
      <c r="H12481" s="380" t="s">
        <v>771</v>
      </c>
      <c r="I12481" s="380" t="s">
        <v>788</v>
      </c>
      <c r="J12481" s="380" t="s">
        <v>773</v>
      </c>
      <c r="K12481" s="381">
        <v>0.0</v>
      </c>
      <c r="L12481" s="382">
        <v>1.0</v>
      </c>
    </row>
    <row r="12482">
      <c r="A12482" s="380" t="s">
        <v>13356</v>
      </c>
      <c r="B12482" s="380" t="str">
        <f>IFERROR(__xludf.DUMMYFUNCTION("""COMPUTED_VALUE"""),"Radiador Motor X15 Inter Lt Reparado")</f>
        <v>Radiador Motor X15 Inter Lt Reparado</v>
      </c>
      <c r="C12482" s="380" t="str">
        <f>IFERROR(__xludf.DUMMYFUNCTION("""COMPUTED_VALUE"""),"70007949")</f>
        <v>70007949</v>
      </c>
      <c r="D12482" s="380" t="s">
        <v>767</v>
      </c>
      <c r="E12482" s="380" t="s">
        <v>786</v>
      </c>
      <c r="F12482" s="380" t="s">
        <v>787</v>
      </c>
      <c r="G12482" s="380" t="s">
        <v>1267</v>
      </c>
      <c r="H12482" s="380" t="s">
        <v>771</v>
      </c>
      <c r="I12482" s="380" t="s">
        <v>788</v>
      </c>
      <c r="J12482" s="380" t="s">
        <v>773</v>
      </c>
      <c r="K12482" s="381">
        <v>0.0</v>
      </c>
      <c r="L12482" s="382">
        <v>1.0</v>
      </c>
    </row>
    <row r="12483">
      <c r="A12483" s="380" t="s">
        <v>13357</v>
      </c>
      <c r="B12483" s="380" t="str">
        <f>IFERROR(__xludf.DUMMYFUNCTION("""COMPUTED_VALUE"""),"Gobernador Aire Reparado")</f>
        <v>Gobernador Aire Reparado</v>
      </c>
      <c r="C12483" s="380" t="str">
        <f>IFERROR(__xludf.DUMMYFUNCTION("""COMPUTED_VALUE"""),"70007950")</f>
        <v>70007950</v>
      </c>
      <c r="D12483" s="380" t="s">
        <v>767</v>
      </c>
      <c r="E12483" s="380" t="s">
        <v>786</v>
      </c>
      <c r="F12483" s="380" t="s">
        <v>787</v>
      </c>
      <c r="G12483" s="380" t="s">
        <v>1267</v>
      </c>
      <c r="H12483" s="380" t="s">
        <v>771</v>
      </c>
      <c r="I12483" s="380" t="s">
        <v>788</v>
      </c>
      <c r="J12483" s="380" t="s">
        <v>773</v>
      </c>
      <c r="K12483" s="381">
        <v>0.0</v>
      </c>
      <c r="L12483" s="382">
        <v>1.0</v>
      </c>
    </row>
    <row r="12484">
      <c r="A12484" s="380" t="s">
        <v>13358</v>
      </c>
      <c r="B12484" s="380" t="str">
        <f>IFERROR(__xludf.DUMMYFUNCTION("""COMPUTED_VALUE"""),"Condensador A/C Inter Lt Reparado")</f>
        <v>Condensador A/C Inter Lt Reparado</v>
      </c>
      <c r="C12484" s="380" t="str">
        <f>IFERROR(__xludf.DUMMYFUNCTION("""COMPUTED_VALUE"""),"70007951")</f>
        <v>70007951</v>
      </c>
      <c r="D12484" s="380" t="s">
        <v>767</v>
      </c>
      <c r="E12484" s="380" t="s">
        <v>786</v>
      </c>
      <c r="F12484" s="380" t="s">
        <v>1031</v>
      </c>
      <c r="G12484" s="380" t="s">
        <v>1267</v>
      </c>
      <c r="H12484" s="380" t="s">
        <v>771</v>
      </c>
      <c r="I12484" s="380" t="s">
        <v>788</v>
      </c>
      <c r="J12484" s="380" t="s">
        <v>773</v>
      </c>
      <c r="K12484" s="381">
        <v>0.0</v>
      </c>
      <c r="L12484" s="382">
        <v>1.0</v>
      </c>
    </row>
    <row r="12485">
      <c r="A12485" s="380" t="s">
        <v>13359</v>
      </c>
      <c r="B12485" s="380" t="str">
        <f>IFERROR(__xludf.DUMMYFUNCTION("""COMPUTED_VALUE"""),"Enfocador Radiador Inter Lt Reparado")</f>
        <v>Enfocador Radiador Inter Lt Reparado</v>
      </c>
      <c r="C12485" s="380" t="str">
        <f>IFERROR(__xludf.DUMMYFUNCTION("""COMPUTED_VALUE"""),"70007952")</f>
        <v>70007952</v>
      </c>
      <c r="D12485" s="380" t="s">
        <v>767</v>
      </c>
      <c r="E12485" s="380" t="s">
        <v>786</v>
      </c>
      <c r="F12485" s="380" t="s">
        <v>787</v>
      </c>
      <c r="G12485" s="380" t="s">
        <v>1267</v>
      </c>
      <c r="H12485" s="380" t="s">
        <v>771</v>
      </c>
      <c r="I12485" s="380" t="s">
        <v>788</v>
      </c>
      <c r="J12485" s="380" t="s">
        <v>773</v>
      </c>
      <c r="K12485" s="381">
        <v>0.0</v>
      </c>
      <c r="L12485" s="382">
        <v>1.0</v>
      </c>
    </row>
    <row r="12486">
      <c r="A12486" s="380" t="s">
        <v>13360</v>
      </c>
      <c r="B12486" s="380" t="str">
        <f>IFERROR(__xludf.DUMMYFUNCTION("""COMPUTED_VALUE"""),"Turbo Alimentador Hino Reparado")</f>
        <v>Turbo Alimentador Hino Reparado</v>
      </c>
      <c r="C12486" s="380" t="str">
        <f>IFERROR(__xludf.DUMMYFUNCTION("""COMPUTED_VALUE"""),"70007953")</f>
        <v>70007953</v>
      </c>
      <c r="D12486" s="380" t="s">
        <v>767</v>
      </c>
      <c r="E12486" s="380" t="s">
        <v>786</v>
      </c>
      <c r="F12486" s="380" t="s">
        <v>787</v>
      </c>
      <c r="G12486" s="380" t="s">
        <v>1267</v>
      </c>
      <c r="H12486" s="380" t="s">
        <v>771</v>
      </c>
      <c r="I12486" s="380" t="s">
        <v>788</v>
      </c>
      <c r="J12486" s="380" t="s">
        <v>773</v>
      </c>
      <c r="K12486" s="381">
        <v>0.0</v>
      </c>
      <c r="L12486" s="382">
        <v>1.0</v>
      </c>
    </row>
    <row r="12487">
      <c r="A12487" s="380" t="s">
        <v>13361</v>
      </c>
      <c r="B12487" s="380" t="str">
        <f>IFERROR(__xludf.DUMMYFUNCTION("""COMPUTED_VALUE"""),"Tapizado Piso CAB FT 1128 Fabricado")</f>
        <v>Tapizado Piso CAB FT 1128 Fabricado</v>
      </c>
      <c r="C12487" s="380" t="str">
        <f>IFERROR(__xludf.DUMMYFUNCTION("""COMPUTED_VALUE"""),"70007954")</f>
        <v>70007954</v>
      </c>
      <c r="D12487" s="380" t="s">
        <v>767</v>
      </c>
      <c r="E12487" s="380" t="s">
        <v>786</v>
      </c>
      <c r="F12487" s="380" t="s">
        <v>792</v>
      </c>
      <c r="G12487" s="380" t="s">
        <v>1267</v>
      </c>
      <c r="H12487" s="380" t="s">
        <v>771</v>
      </c>
      <c r="I12487" s="380" t="s">
        <v>788</v>
      </c>
      <c r="J12487" s="380" t="s">
        <v>773</v>
      </c>
      <c r="K12487" s="381">
        <v>0.0</v>
      </c>
      <c r="L12487" s="382">
        <v>1.0</v>
      </c>
    </row>
    <row r="12488">
      <c r="A12488" s="380" t="s">
        <v>13362</v>
      </c>
      <c r="B12488" s="380" t="str">
        <f>IFERROR(__xludf.DUMMYFUNCTION("""COMPUTED_VALUE"""),"Inyector Cummins Isf 3.8 Reparado")</f>
        <v>Inyector Cummins Isf 3.8 Reparado</v>
      </c>
      <c r="C12488" s="380" t="str">
        <f>IFERROR(__xludf.DUMMYFUNCTION("""COMPUTED_VALUE"""),"70007955")</f>
        <v>70007955</v>
      </c>
      <c r="D12488" s="380" t="s">
        <v>767</v>
      </c>
      <c r="E12488" s="380" t="s">
        <v>786</v>
      </c>
      <c r="F12488" s="380" t="s">
        <v>787</v>
      </c>
      <c r="G12488" s="380" t="s">
        <v>1267</v>
      </c>
      <c r="H12488" s="380" t="s">
        <v>771</v>
      </c>
      <c r="I12488" s="380" t="s">
        <v>788</v>
      </c>
      <c r="J12488" s="380" t="s">
        <v>773</v>
      </c>
      <c r="K12488" s="381">
        <v>0.0</v>
      </c>
      <c r="L12488" s="382">
        <v>1.0</v>
      </c>
    </row>
    <row r="12489">
      <c r="A12489" s="380" t="s">
        <v>13363</v>
      </c>
      <c r="B12489" s="380" t="str">
        <f>IFERROR(__xludf.DUMMYFUNCTION("""COMPUTED_VALUE"""),"Terminal De DIR Rh FT 1128 7700149277655")</f>
        <v>Terminal De DIR Rh FT 1128 7700149277655</v>
      </c>
      <c r="C12489" s="380" t="str">
        <f>IFERROR(__xludf.DUMMYFUNCTION("""COMPUTED_VALUE"""),"70007956")</f>
        <v>70007956</v>
      </c>
      <c r="D12489" s="380" t="s">
        <v>767</v>
      </c>
      <c r="E12489" s="380" t="s">
        <v>786</v>
      </c>
      <c r="F12489" s="380" t="s">
        <v>1020</v>
      </c>
      <c r="G12489" s="380" t="s">
        <v>1267</v>
      </c>
      <c r="H12489" s="380" t="s">
        <v>771</v>
      </c>
      <c r="I12489" s="380" t="s">
        <v>788</v>
      </c>
      <c r="J12489" s="380" t="s">
        <v>773</v>
      </c>
      <c r="K12489" s="381">
        <v>292080.0</v>
      </c>
      <c r="L12489" s="382">
        <v>1.0</v>
      </c>
    </row>
    <row r="12490">
      <c r="A12490" s="380" t="s">
        <v>13364</v>
      </c>
      <c r="B12490" s="380" t="str">
        <f>IFERROR(__xludf.DUMMYFUNCTION("""COMPUTED_VALUE"""),"Radiador Ftr Reparado")</f>
        <v>Radiador Ftr Reparado</v>
      </c>
      <c r="C12490" s="380" t="str">
        <f>IFERROR(__xludf.DUMMYFUNCTION("""COMPUTED_VALUE"""),"70007957")</f>
        <v>70007957</v>
      </c>
      <c r="D12490" s="380" t="s">
        <v>767</v>
      </c>
      <c r="E12490" s="380" t="s">
        <v>786</v>
      </c>
      <c r="F12490" s="380" t="s">
        <v>787</v>
      </c>
      <c r="G12490" s="380" t="s">
        <v>1267</v>
      </c>
      <c r="H12490" s="380" t="s">
        <v>771</v>
      </c>
      <c r="I12490" s="380" t="s">
        <v>788</v>
      </c>
      <c r="J12490" s="380" t="s">
        <v>773</v>
      </c>
      <c r="K12490" s="381">
        <v>0.0</v>
      </c>
      <c r="L12490" s="382">
        <v>1.0</v>
      </c>
    </row>
    <row r="12491">
      <c r="A12491" s="380" t="s">
        <v>13365</v>
      </c>
      <c r="B12491" s="380" t="str">
        <f>IFERROR(__xludf.DUMMYFUNCTION("""COMPUTED_VALUE"""),"DEP Agua Limpiabrisas INT Lt 3979542c93")</f>
        <v>DEP Agua Limpiabrisas INT Lt 3979542c93</v>
      </c>
      <c r="C12491" s="380" t="str">
        <f>IFERROR(__xludf.DUMMYFUNCTION("""COMPUTED_VALUE"""),"70007958")</f>
        <v>70007958</v>
      </c>
      <c r="D12491" s="380" t="s">
        <v>767</v>
      </c>
      <c r="E12491" s="380" t="s">
        <v>786</v>
      </c>
      <c r="F12491" s="380" t="s">
        <v>792</v>
      </c>
      <c r="G12491" s="380" t="s">
        <v>1267</v>
      </c>
      <c r="H12491" s="380" t="s">
        <v>771</v>
      </c>
      <c r="I12491" s="380" t="s">
        <v>788</v>
      </c>
      <c r="J12491" s="380" t="s">
        <v>773</v>
      </c>
      <c r="K12491" s="381">
        <v>0.0</v>
      </c>
      <c r="L12491" s="382">
        <v>1.0</v>
      </c>
    </row>
    <row r="12492">
      <c r="A12492" s="380" t="s">
        <v>13366</v>
      </c>
      <c r="B12492" s="380" t="str">
        <f>IFERROR(__xludf.DUMMYFUNCTION("""COMPUTED_VALUE"""),"Base Caja Bateria Kenworth T800 Reparado")</f>
        <v>Base Caja Bateria Kenworth T800 Reparado</v>
      </c>
      <c r="C12492" s="380" t="str">
        <f>IFERROR(__xludf.DUMMYFUNCTION("""COMPUTED_VALUE"""),"70007959")</f>
        <v>70007959</v>
      </c>
      <c r="D12492" s="380" t="s">
        <v>767</v>
      </c>
      <c r="E12492" s="380" t="s">
        <v>786</v>
      </c>
      <c r="F12492" s="380" t="s">
        <v>792</v>
      </c>
      <c r="G12492" s="380" t="s">
        <v>1267</v>
      </c>
      <c r="H12492" s="380" t="s">
        <v>771</v>
      </c>
      <c r="I12492" s="380" t="s">
        <v>788</v>
      </c>
      <c r="J12492" s="380" t="s">
        <v>773</v>
      </c>
      <c r="K12492" s="381">
        <v>0.0</v>
      </c>
      <c r="L12492" s="382">
        <v>1.0</v>
      </c>
    </row>
    <row r="12493">
      <c r="A12493" s="380" t="s">
        <v>13367</v>
      </c>
      <c r="B12493" s="380" t="str">
        <f>IFERROR(__xludf.DUMMYFUNCTION("""COMPUTED_VALUE"""),"Motor Arranque Daf Reparado")</f>
        <v>Motor Arranque Daf Reparado</v>
      </c>
      <c r="C12493" s="380" t="str">
        <f>IFERROR(__xludf.DUMMYFUNCTION("""COMPUTED_VALUE"""),"70007960")</f>
        <v>70007960</v>
      </c>
      <c r="D12493" s="380" t="s">
        <v>767</v>
      </c>
      <c r="E12493" s="380" t="s">
        <v>786</v>
      </c>
      <c r="F12493" s="380" t="s">
        <v>998</v>
      </c>
      <c r="G12493" s="380" t="s">
        <v>1267</v>
      </c>
      <c r="H12493" s="380" t="s">
        <v>771</v>
      </c>
      <c r="I12493" s="380" t="s">
        <v>788</v>
      </c>
      <c r="J12493" s="380" t="s">
        <v>773</v>
      </c>
      <c r="K12493" s="381">
        <v>0.0</v>
      </c>
      <c r="L12493" s="382">
        <v>1.0</v>
      </c>
    </row>
    <row r="12494">
      <c r="A12494" s="380" t="s">
        <v>13368</v>
      </c>
      <c r="B12494" s="380" t="str">
        <f>IFERROR(__xludf.DUMMYFUNCTION("""COMPUTED_VALUE"""),"Caja Direccion Foton 1039 Reparado")</f>
        <v>Caja Direccion Foton 1039 Reparado</v>
      </c>
      <c r="C12494" s="380" t="str">
        <f>IFERROR(__xludf.DUMMYFUNCTION("""COMPUTED_VALUE"""),"70007961")</f>
        <v>70007961</v>
      </c>
      <c r="D12494" s="380" t="s">
        <v>767</v>
      </c>
      <c r="E12494" s="380" t="s">
        <v>786</v>
      </c>
      <c r="F12494" s="380" t="s">
        <v>1020</v>
      </c>
      <c r="G12494" s="380" t="s">
        <v>1267</v>
      </c>
      <c r="H12494" s="380" t="s">
        <v>771</v>
      </c>
      <c r="I12494" s="380" t="s">
        <v>788</v>
      </c>
      <c r="J12494" s="380" t="s">
        <v>773</v>
      </c>
      <c r="K12494" s="381">
        <v>0.0</v>
      </c>
      <c r="L12494" s="382">
        <v>1.0</v>
      </c>
    </row>
    <row r="12495">
      <c r="A12495" s="380" t="s">
        <v>13369</v>
      </c>
      <c r="B12495" s="380" t="str">
        <f>IFERROR(__xludf.DUMMYFUNCTION("""COMPUTED_VALUE"""),"SENS Nivel COMB Daf Cf480 1785832")</f>
        <v>SENS Nivel COMB Daf Cf480 1785832</v>
      </c>
      <c r="C12495" s="380" t="str">
        <f>IFERROR(__xludf.DUMMYFUNCTION("""COMPUTED_VALUE"""),"70007962")</f>
        <v>70007962</v>
      </c>
      <c r="D12495" s="380" t="s">
        <v>767</v>
      </c>
      <c r="E12495" s="380" t="s">
        <v>786</v>
      </c>
      <c r="F12495" s="380" t="s">
        <v>998</v>
      </c>
      <c r="G12495" s="380" t="s">
        <v>1267</v>
      </c>
      <c r="H12495" s="380" t="s">
        <v>771</v>
      </c>
      <c r="I12495" s="380" t="s">
        <v>788</v>
      </c>
      <c r="J12495" s="380" t="s">
        <v>773</v>
      </c>
      <c r="K12495" s="381">
        <v>0.0</v>
      </c>
      <c r="L12495" s="382">
        <v>1.0</v>
      </c>
    </row>
    <row r="12496">
      <c r="A12496" s="380" t="s">
        <v>13370</v>
      </c>
      <c r="B12496" s="380" t="str">
        <f>IFERROR(__xludf.DUMMYFUNCTION("""COMPUTED_VALUE"""),"Cojin Auxiliar Silla Foton 1065 Reparado")</f>
        <v>Cojin Auxiliar Silla Foton 1065 Reparado</v>
      </c>
      <c r="C12496" s="380" t="str">
        <f>IFERROR(__xludf.DUMMYFUNCTION("""COMPUTED_VALUE"""),"70007963")</f>
        <v>70007963</v>
      </c>
      <c r="D12496" s="380" t="s">
        <v>767</v>
      </c>
      <c r="E12496" s="380" t="s">
        <v>786</v>
      </c>
      <c r="F12496" s="380" t="s">
        <v>792</v>
      </c>
      <c r="G12496" s="380" t="s">
        <v>1267</v>
      </c>
      <c r="H12496" s="380" t="s">
        <v>771</v>
      </c>
      <c r="I12496" s="380" t="s">
        <v>788</v>
      </c>
      <c r="J12496" s="380" t="s">
        <v>773</v>
      </c>
      <c r="K12496" s="381">
        <v>0.0</v>
      </c>
      <c r="L12496" s="382">
        <v>1.0</v>
      </c>
    </row>
    <row r="12497">
      <c r="A12497" s="380" t="s">
        <v>13371</v>
      </c>
      <c r="B12497" s="380" t="str">
        <f>IFERROR(__xludf.DUMMYFUNCTION("""COMPUTED_VALUE"""),"Espaldar Silla Foton 1065 Reparado")</f>
        <v>Espaldar Silla Foton 1065 Reparado</v>
      </c>
      <c r="C12497" s="380" t="str">
        <f>IFERROR(__xludf.DUMMYFUNCTION("""COMPUTED_VALUE"""),"70007964")</f>
        <v>70007964</v>
      </c>
      <c r="D12497" s="380" t="s">
        <v>767</v>
      </c>
      <c r="E12497" s="380" t="s">
        <v>786</v>
      </c>
      <c r="F12497" s="380" t="s">
        <v>792</v>
      </c>
      <c r="G12497" s="380" t="s">
        <v>1267</v>
      </c>
      <c r="H12497" s="380" t="s">
        <v>771</v>
      </c>
      <c r="I12497" s="380" t="s">
        <v>788</v>
      </c>
      <c r="J12497" s="380" t="s">
        <v>773</v>
      </c>
      <c r="K12497" s="381">
        <v>0.0</v>
      </c>
      <c r="L12497" s="382">
        <v>1.0</v>
      </c>
    </row>
    <row r="12498">
      <c r="A12498" s="380" t="s">
        <v>13372</v>
      </c>
      <c r="B12498" s="380" t="str">
        <f>IFERROR(__xludf.DUMMYFUNCTION("""COMPUTED_VALUE"""),"Silla Conductor Foton 1065 Reparado")</f>
        <v>Silla Conductor Foton 1065 Reparado</v>
      </c>
      <c r="C12498" s="380" t="str">
        <f>IFERROR(__xludf.DUMMYFUNCTION("""COMPUTED_VALUE"""),"70007965")</f>
        <v>70007965</v>
      </c>
      <c r="D12498" s="380" t="s">
        <v>767</v>
      </c>
      <c r="E12498" s="380" t="s">
        <v>786</v>
      </c>
      <c r="F12498" s="380" t="s">
        <v>792</v>
      </c>
      <c r="G12498" s="380" t="s">
        <v>1267</v>
      </c>
      <c r="H12498" s="380" t="s">
        <v>771</v>
      </c>
      <c r="I12498" s="380" t="s">
        <v>788</v>
      </c>
      <c r="J12498" s="380" t="s">
        <v>773</v>
      </c>
      <c r="K12498" s="381">
        <v>0.0</v>
      </c>
      <c r="L12498" s="382">
        <v>1.0</v>
      </c>
    </row>
    <row r="12499">
      <c r="A12499" s="380" t="s">
        <v>13373</v>
      </c>
      <c r="B12499" s="380" t="str">
        <f>IFERROR(__xludf.DUMMYFUNCTION("""COMPUTED_VALUE"""),"Sentadero Silla Foton 1065 Reparado")</f>
        <v>Sentadero Silla Foton 1065 Reparado</v>
      </c>
      <c r="C12499" s="380" t="str">
        <f>IFERROR(__xludf.DUMMYFUNCTION("""COMPUTED_VALUE"""),"70007966")</f>
        <v>70007966</v>
      </c>
      <c r="D12499" s="380" t="s">
        <v>767</v>
      </c>
      <c r="E12499" s="380" t="s">
        <v>786</v>
      </c>
      <c r="F12499" s="380" t="s">
        <v>792</v>
      </c>
      <c r="G12499" s="380" t="s">
        <v>1267</v>
      </c>
      <c r="H12499" s="380" t="s">
        <v>771</v>
      </c>
      <c r="I12499" s="380" t="s">
        <v>788</v>
      </c>
      <c r="J12499" s="380" t="s">
        <v>773</v>
      </c>
      <c r="K12499" s="381">
        <v>0.0</v>
      </c>
      <c r="L12499" s="382">
        <v>1.0</v>
      </c>
    </row>
    <row r="12500">
      <c r="A12500" s="380" t="s">
        <v>13374</v>
      </c>
      <c r="B12500" s="380" t="str">
        <f>IFERROR(__xludf.DUMMYFUNCTION("""COMPUTED_VALUE"""),"Valvula Admision X1 Foton Mv5 770594601")</f>
        <v>Valvula Admision X1 Foton Mv5 770594601</v>
      </c>
      <c r="C12500" s="380" t="str">
        <f>IFERROR(__xludf.DUMMYFUNCTION("""COMPUTED_VALUE"""),"70007967")</f>
        <v>70007967</v>
      </c>
      <c r="D12500" s="380" t="s">
        <v>767</v>
      </c>
      <c r="E12500" s="380" t="s">
        <v>786</v>
      </c>
      <c r="F12500" s="380" t="s">
        <v>787</v>
      </c>
      <c r="G12500" s="380" t="s">
        <v>1267</v>
      </c>
      <c r="H12500" s="380" t="s">
        <v>771</v>
      </c>
      <c r="I12500" s="380" t="s">
        <v>788</v>
      </c>
      <c r="J12500" s="380" t="s">
        <v>773</v>
      </c>
      <c r="K12500" s="381">
        <v>0.0</v>
      </c>
      <c r="L12500" s="382">
        <v>1.0</v>
      </c>
    </row>
    <row r="12501">
      <c r="A12501" s="380" t="s">
        <v>13375</v>
      </c>
      <c r="B12501" s="380" t="str">
        <f>IFERROR(__xludf.DUMMYFUNCTION("""COMPUTED_VALUE"""),"MOT ARR Jac Jhr Mod 2017 3701200fa171")</f>
        <v>MOT ARR Jac Jhr Mod 2017 3701200fa171</v>
      </c>
      <c r="C12501" s="380" t="str">
        <f>IFERROR(__xludf.DUMMYFUNCTION("""COMPUTED_VALUE"""),"70007968")</f>
        <v>70007968</v>
      </c>
      <c r="D12501" s="380" t="s">
        <v>767</v>
      </c>
      <c r="E12501" s="380" t="s">
        <v>786</v>
      </c>
      <c r="F12501" s="380" t="s">
        <v>998</v>
      </c>
      <c r="G12501" s="380" t="s">
        <v>1267</v>
      </c>
      <c r="H12501" s="380" t="s">
        <v>771</v>
      </c>
      <c r="I12501" s="380" t="s">
        <v>788</v>
      </c>
      <c r="J12501" s="380" t="s">
        <v>773</v>
      </c>
      <c r="K12501" s="381">
        <v>0.0</v>
      </c>
      <c r="L12501" s="382">
        <v>1.0</v>
      </c>
    </row>
    <row r="12502">
      <c r="A12502" s="380" t="s">
        <v>13376</v>
      </c>
      <c r="B12502" s="380" t="str">
        <f>IFERROR(__xludf.DUMMYFUNCTION("""COMPUTED_VALUE"""),"SOP Guayas Cambios FT 1039 7701023523073")</f>
        <v>SOP Guayas Cambios FT 1039 7701023523073</v>
      </c>
      <c r="C12502" s="380" t="str">
        <f>IFERROR(__xludf.DUMMYFUNCTION("""COMPUTED_VALUE"""),"70007969")</f>
        <v>70007969</v>
      </c>
      <c r="D12502" s="380" t="s">
        <v>767</v>
      </c>
      <c r="E12502" s="380" t="s">
        <v>786</v>
      </c>
      <c r="F12502" s="380" t="s">
        <v>928</v>
      </c>
      <c r="G12502" s="380" t="s">
        <v>1267</v>
      </c>
      <c r="H12502" s="380" t="s">
        <v>771</v>
      </c>
      <c r="I12502" s="380" t="s">
        <v>788</v>
      </c>
      <c r="J12502" s="380" t="s">
        <v>773</v>
      </c>
      <c r="K12502" s="381">
        <v>0.0</v>
      </c>
      <c r="L12502" s="382">
        <v>1.0</v>
      </c>
    </row>
    <row r="12503">
      <c r="A12503" s="380" t="s">
        <v>13377</v>
      </c>
      <c r="B12503" s="380" t="str">
        <f>IFERROR(__xludf.DUMMYFUNCTION("""COMPUTED_VALUE"""),"Radiador Motor Hino Reparado")</f>
        <v>Radiador Motor Hino Reparado</v>
      </c>
      <c r="C12503" s="380" t="str">
        <f>IFERROR(__xludf.DUMMYFUNCTION("""COMPUTED_VALUE"""),"70007970")</f>
        <v>70007970</v>
      </c>
      <c r="D12503" s="380" t="s">
        <v>767</v>
      </c>
      <c r="E12503" s="380" t="s">
        <v>786</v>
      </c>
      <c r="F12503" s="380" t="s">
        <v>787</v>
      </c>
      <c r="G12503" s="380" t="s">
        <v>1267</v>
      </c>
      <c r="H12503" s="380" t="s">
        <v>771</v>
      </c>
      <c r="I12503" s="380" t="s">
        <v>788</v>
      </c>
      <c r="J12503" s="380" t="s">
        <v>773</v>
      </c>
      <c r="K12503" s="381">
        <v>0.0</v>
      </c>
      <c r="L12503" s="382">
        <v>1.0</v>
      </c>
    </row>
    <row r="12504">
      <c r="A12504" s="380" t="s">
        <v>13378</v>
      </c>
      <c r="B12504" s="380" t="str">
        <f>IFERROR(__xludf.DUMMYFUNCTION("""COMPUTED_VALUE"""),"BMB Principal Freno Nhr Con Turbo 894441")</f>
        <v>BMB Principal Freno Nhr Con Turbo 894441</v>
      </c>
      <c r="C12504" s="380" t="str">
        <f>IFERROR(__xludf.DUMMYFUNCTION("""COMPUTED_VALUE"""),"70007971")</f>
        <v>70007971</v>
      </c>
      <c r="D12504" s="380" t="s">
        <v>767</v>
      </c>
      <c r="E12504" s="380" t="s">
        <v>786</v>
      </c>
      <c r="F12504" s="380" t="s">
        <v>1017</v>
      </c>
      <c r="G12504" s="380" t="s">
        <v>1267</v>
      </c>
      <c r="H12504" s="380" t="s">
        <v>771</v>
      </c>
      <c r="I12504" s="380" t="s">
        <v>788</v>
      </c>
      <c r="J12504" s="380" t="s">
        <v>773</v>
      </c>
      <c r="K12504" s="381">
        <v>0.0</v>
      </c>
      <c r="L12504" s="382">
        <v>1.0</v>
      </c>
    </row>
    <row r="12505">
      <c r="A12505" s="380" t="s">
        <v>13379</v>
      </c>
      <c r="B12505" s="380" t="str">
        <f>IFERROR(__xludf.DUMMYFUNCTION("""COMPUTED_VALUE"""),"Compresor AIR Acondicionado Daf Cf 480 F")</f>
        <v>Compresor AIR Acondicionado Daf Cf 480 F</v>
      </c>
      <c r="C12505" s="380" t="str">
        <f>IFERROR(__xludf.DUMMYFUNCTION("""COMPUTED_VALUE"""),"70007972")</f>
        <v>70007972</v>
      </c>
      <c r="D12505" s="380" t="s">
        <v>767</v>
      </c>
      <c r="E12505" s="380" t="s">
        <v>786</v>
      </c>
      <c r="F12505" s="380" t="s">
        <v>1031</v>
      </c>
      <c r="G12505" s="380" t="s">
        <v>1267</v>
      </c>
      <c r="H12505" s="380" t="s">
        <v>771</v>
      </c>
      <c r="I12505" s="380" t="s">
        <v>788</v>
      </c>
      <c r="J12505" s="380" t="s">
        <v>773</v>
      </c>
      <c r="K12505" s="381">
        <v>7413936.0</v>
      </c>
      <c r="L12505" s="382">
        <v>1.0</v>
      </c>
    </row>
    <row r="12506">
      <c r="A12506" s="380" t="s">
        <v>13380</v>
      </c>
      <c r="B12506" s="380" t="str">
        <f>IFERROR(__xludf.DUMMYFUNCTION("""COMPUTED_VALUE"""),"CJ De Velocidades FT 1039 7701023085144")</f>
        <v>CJ De Velocidades FT 1039 7701023085144</v>
      </c>
      <c r="C12506" s="380" t="str">
        <f>IFERROR(__xludf.DUMMYFUNCTION("""COMPUTED_VALUE"""),"70007973")</f>
        <v>70007973</v>
      </c>
      <c r="D12506" s="380" t="s">
        <v>767</v>
      </c>
      <c r="E12506" s="380" t="s">
        <v>786</v>
      </c>
      <c r="F12506" s="380" t="s">
        <v>928</v>
      </c>
      <c r="G12506" s="380" t="s">
        <v>1267</v>
      </c>
      <c r="H12506" s="380" t="s">
        <v>771</v>
      </c>
      <c r="I12506" s="380" t="s">
        <v>788</v>
      </c>
      <c r="J12506" s="380" t="s">
        <v>773</v>
      </c>
      <c r="K12506" s="381">
        <v>0.0</v>
      </c>
      <c r="L12506" s="382">
        <v>1.0</v>
      </c>
    </row>
    <row r="12507">
      <c r="A12507" s="380" t="s">
        <v>13381</v>
      </c>
      <c r="B12507" s="380" t="str">
        <f>IFERROR(__xludf.DUMMYFUNCTION("""COMPUTED_VALUE"""),"Modulo Control Motor Nkr Reward Reparado")</f>
        <v>Modulo Control Motor Nkr Reward Reparado</v>
      </c>
      <c r="C12507" s="380" t="str">
        <f>IFERROR(__xludf.DUMMYFUNCTION("""COMPUTED_VALUE"""),"70007974")</f>
        <v>70007974</v>
      </c>
      <c r="D12507" s="380" t="s">
        <v>767</v>
      </c>
      <c r="E12507" s="380" t="s">
        <v>786</v>
      </c>
      <c r="F12507" s="380" t="s">
        <v>998</v>
      </c>
      <c r="G12507" s="380" t="s">
        <v>1267</v>
      </c>
      <c r="H12507" s="380" t="s">
        <v>771</v>
      </c>
      <c r="I12507" s="380" t="s">
        <v>788</v>
      </c>
      <c r="J12507" s="380" t="s">
        <v>773</v>
      </c>
      <c r="K12507" s="381">
        <v>0.0</v>
      </c>
      <c r="L12507" s="382">
        <v>1.0</v>
      </c>
    </row>
    <row r="12508">
      <c r="A12508" s="380" t="s">
        <v>13382</v>
      </c>
      <c r="B12508" s="380" t="str">
        <f>IFERROR(__xludf.DUMMYFUNCTION("""COMPUTED_VALUE"""),"Modulo Control Motor Frr Reparado")</f>
        <v>Modulo Control Motor Frr Reparado</v>
      </c>
      <c r="C12508" s="380" t="str">
        <f>IFERROR(__xludf.DUMMYFUNCTION("""COMPUTED_VALUE"""),"70007975")</f>
        <v>70007975</v>
      </c>
      <c r="D12508" s="380" t="s">
        <v>767</v>
      </c>
      <c r="E12508" s="380" t="s">
        <v>786</v>
      </c>
      <c r="F12508" s="380" t="s">
        <v>998</v>
      </c>
      <c r="G12508" s="380" t="s">
        <v>1267</v>
      </c>
      <c r="H12508" s="380" t="s">
        <v>771</v>
      </c>
      <c r="I12508" s="380" t="s">
        <v>788</v>
      </c>
      <c r="J12508" s="380" t="s">
        <v>773</v>
      </c>
      <c r="K12508" s="381">
        <v>0.0</v>
      </c>
      <c r="L12508" s="382">
        <v>1.0</v>
      </c>
    </row>
    <row r="12509">
      <c r="A12509" s="380" t="s">
        <v>13383</v>
      </c>
      <c r="B12509" s="380" t="str">
        <f>IFERROR(__xludf.DUMMYFUNCTION("""COMPUTED_VALUE"""),"Turbo Alimentador Foton 1039 Reparado")</f>
        <v>Turbo Alimentador Foton 1039 Reparado</v>
      </c>
      <c r="C12509" s="380" t="str">
        <f>IFERROR(__xludf.DUMMYFUNCTION("""COMPUTED_VALUE"""),"70007976")</f>
        <v>70007976</v>
      </c>
      <c r="D12509" s="380" t="s">
        <v>767</v>
      </c>
      <c r="E12509" s="380" t="s">
        <v>786</v>
      </c>
      <c r="F12509" s="380" t="s">
        <v>787</v>
      </c>
      <c r="G12509" s="380" t="s">
        <v>1267</v>
      </c>
      <c r="H12509" s="380" t="s">
        <v>771</v>
      </c>
      <c r="I12509" s="380" t="s">
        <v>788</v>
      </c>
      <c r="J12509" s="380" t="s">
        <v>773</v>
      </c>
      <c r="K12509" s="381">
        <v>0.0</v>
      </c>
      <c r="L12509" s="382">
        <v>1.0</v>
      </c>
    </row>
    <row r="12510">
      <c r="A12510" s="380" t="s">
        <v>13384</v>
      </c>
      <c r="B12510" s="380" t="str">
        <f>IFERROR(__xludf.DUMMYFUNCTION("""COMPUTED_VALUE"""),"Capot Prostar Reparado")</f>
        <v>Capot Prostar Reparado</v>
      </c>
      <c r="C12510" s="380" t="str">
        <f>IFERROR(__xludf.DUMMYFUNCTION("""COMPUTED_VALUE"""),"70007977")</f>
        <v>70007977</v>
      </c>
      <c r="D12510" s="380" t="s">
        <v>767</v>
      </c>
      <c r="E12510" s="380" t="s">
        <v>786</v>
      </c>
      <c r="F12510" s="380" t="s">
        <v>792</v>
      </c>
      <c r="G12510" s="380" t="s">
        <v>1267</v>
      </c>
      <c r="H12510" s="380" t="s">
        <v>771</v>
      </c>
      <c r="I12510" s="380" t="s">
        <v>788</v>
      </c>
      <c r="J12510" s="380" t="s">
        <v>773</v>
      </c>
      <c r="K12510" s="381">
        <v>0.0</v>
      </c>
      <c r="L12510" s="382">
        <v>1.0</v>
      </c>
    </row>
    <row r="12511">
      <c r="A12511" s="380" t="s">
        <v>13385</v>
      </c>
      <c r="B12511" s="380" t="str">
        <f>IFERROR(__xludf.DUMMYFUNCTION("""COMPUTED_VALUE"""),"Recibidor Chapa PTA FRL Cl 120 A60-81000")</f>
        <v>Recibidor Chapa PTA FRL Cl 120 A60-81000</v>
      </c>
      <c r="C12511" s="380" t="str">
        <f>IFERROR(__xludf.DUMMYFUNCTION("""COMPUTED_VALUE"""),"70007978")</f>
        <v>70007978</v>
      </c>
      <c r="D12511" s="380" t="s">
        <v>767</v>
      </c>
      <c r="E12511" s="380" t="s">
        <v>786</v>
      </c>
      <c r="F12511" s="380" t="s">
        <v>792</v>
      </c>
      <c r="G12511" s="380" t="s">
        <v>1267</v>
      </c>
      <c r="H12511" s="380" t="s">
        <v>771</v>
      </c>
      <c r="I12511" s="380" t="s">
        <v>788</v>
      </c>
      <c r="J12511" s="380" t="s">
        <v>773</v>
      </c>
      <c r="K12511" s="381">
        <v>0.0</v>
      </c>
      <c r="L12511" s="382">
        <v>1.0</v>
      </c>
    </row>
    <row r="12512">
      <c r="A12512" s="380" t="s">
        <v>13386</v>
      </c>
      <c r="B12512" s="380" t="str">
        <f>IFERROR(__xludf.DUMMYFUNCTION("""COMPUTED_VALUE"""),"Banda De Freno TRAS MCK Anthem Remachado")</f>
        <v>Banda De Freno TRAS MCK Anthem Remachado</v>
      </c>
      <c r="C12512" s="380" t="str">
        <f>IFERROR(__xludf.DUMMYFUNCTION("""COMPUTED_VALUE"""),"70007979")</f>
        <v>70007979</v>
      </c>
      <c r="D12512" s="380" t="s">
        <v>767</v>
      </c>
      <c r="E12512" s="380" t="s">
        <v>786</v>
      </c>
      <c r="F12512" s="380" t="s">
        <v>1017</v>
      </c>
      <c r="G12512" s="380" t="s">
        <v>1267</v>
      </c>
      <c r="H12512" s="380" t="s">
        <v>771</v>
      </c>
      <c r="I12512" s="380" t="s">
        <v>788</v>
      </c>
      <c r="J12512" s="380" t="s">
        <v>773</v>
      </c>
      <c r="K12512" s="381">
        <v>0.0</v>
      </c>
      <c r="L12512" s="382">
        <v>1.0</v>
      </c>
    </row>
    <row r="12513">
      <c r="A12513" s="380" t="s">
        <v>13387</v>
      </c>
      <c r="B12513" s="380" t="str">
        <f>IFERROR(__xludf.DUMMYFUNCTION("""COMPUTED_VALUE"""),"Motor Arranque Foton 1065 Reparado")</f>
        <v>Motor Arranque Foton 1065 Reparado</v>
      </c>
      <c r="C12513" s="380" t="str">
        <f>IFERROR(__xludf.DUMMYFUNCTION("""COMPUTED_VALUE"""),"70007980")</f>
        <v>70007980</v>
      </c>
      <c r="D12513" s="380" t="s">
        <v>767</v>
      </c>
      <c r="E12513" s="380" t="s">
        <v>786</v>
      </c>
      <c r="F12513" s="380" t="s">
        <v>998</v>
      </c>
      <c r="G12513" s="380" t="s">
        <v>1267</v>
      </c>
      <c r="H12513" s="380" t="s">
        <v>771</v>
      </c>
      <c r="I12513" s="380" t="s">
        <v>788</v>
      </c>
      <c r="J12513" s="380" t="s">
        <v>773</v>
      </c>
      <c r="K12513" s="381">
        <v>357000.0</v>
      </c>
      <c r="L12513" s="382">
        <v>1.0</v>
      </c>
    </row>
    <row r="12514">
      <c r="A12514" s="380" t="s">
        <v>13388</v>
      </c>
      <c r="B12514" s="380" t="str">
        <f>IFERROR(__xludf.DUMMYFUNCTION("""COMPUTED_VALUE"""),"Correa A/C Foton 1065 7705946361194")</f>
        <v>Correa A/C Foton 1065 7705946361194</v>
      </c>
      <c r="C12514" s="380" t="str">
        <f>IFERROR(__xludf.DUMMYFUNCTION("""COMPUTED_VALUE"""),"70007981")</f>
        <v>70007981</v>
      </c>
      <c r="D12514" s="380" t="s">
        <v>767</v>
      </c>
      <c r="E12514" s="380" t="s">
        <v>786</v>
      </c>
      <c r="F12514" s="380" t="s">
        <v>787</v>
      </c>
      <c r="G12514" s="380" t="s">
        <v>1267</v>
      </c>
      <c r="H12514" s="380" t="s">
        <v>771</v>
      </c>
      <c r="I12514" s="380" t="s">
        <v>788</v>
      </c>
      <c r="J12514" s="380" t="s">
        <v>773</v>
      </c>
      <c r="K12514" s="381">
        <v>67760.0</v>
      </c>
      <c r="L12514" s="382">
        <v>1.0</v>
      </c>
    </row>
    <row r="12515">
      <c r="A12515" s="380" t="s">
        <v>13389</v>
      </c>
      <c r="B12515" s="380" t="str">
        <f>IFERROR(__xludf.DUMMYFUNCTION("""COMPUTED_VALUE"""),"Tapa Pin Carcasa CJ FT 1129 770594600279")</f>
        <v>Tapa Pin Carcasa CJ FT 1129 770594600279</v>
      </c>
      <c r="C12515" s="380" t="str">
        <f>IFERROR(__xludf.DUMMYFUNCTION("""COMPUTED_VALUE"""),"70007982")</f>
        <v>70007982</v>
      </c>
      <c r="D12515" s="380" t="s">
        <v>767</v>
      </c>
      <c r="E12515" s="380" t="s">
        <v>786</v>
      </c>
      <c r="F12515" s="380" t="s">
        <v>928</v>
      </c>
      <c r="G12515" s="380" t="s">
        <v>1267</v>
      </c>
      <c r="H12515" s="380" t="s">
        <v>771</v>
      </c>
      <c r="I12515" s="380" t="s">
        <v>788</v>
      </c>
      <c r="J12515" s="380" t="s">
        <v>773</v>
      </c>
      <c r="K12515" s="381">
        <v>14432.0</v>
      </c>
      <c r="L12515" s="382">
        <v>1.0</v>
      </c>
    </row>
    <row r="12516">
      <c r="A12516" s="380" t="s">
        <v>13390</v>
      </c>
      <c r="B12516" s="380" t="str">
        <f>IFERROR(__xludf.DUMMYFUNCTION("""COMPUTED_VALUE"""),"Manija Exterior Puerta Izq Kenworth T800")</f>
        <v>Manija Exterior Puerta Izq Kenworth T800</v>
      </c>
      <c r="C12516" s="380" t="str">
        <f>IFERROR(__xludf.DUMMYFUNCTION("""COMPUTED_VALUE"""),"70007983")</f>
        <v>70007983</v>
      </c>
      <c r="D12516" s="380" t="s">
        <v>767</v>
      </c>
      <c r="E12516" s="380" t="s">
        <v>786</v>
      </c>
      <c r="F12516" s="380" t="s">
        <v>792</v>
      </c>
      <c r="G12516" s="380" t="s">
        <v>1267</v>
      </c>
      <c r="H12516" s="380" t="s">
        <v>771</v>
      </c>
      <c r="I12516" s="380" t="s">
        <v>788</v>
      </c>
      <c r="J12516" s="380" t="s">
        <v>773</v>
      </c>
      <c r="K12516" s="381">
        <v>0.0</v>
      </c>
      <c r="L12516" s="382">
        <v>1.0</v>
      </c>
    </row>
    <row r="12517">
      <c r="A12517" s="380" t="s">
        <v>13391</v>
      </c>
      <c r="B12517" s="380" t="str">
        <f>IFERROR(__xludf.DUMMYFUNCTION("""COMPUTED_VALUE"""),"Oring BMB INY CH Ftr 1096234640")</f>
        <v>Oring BMB INY CH Ftr 1096234640</v>
      </c>
      <c r="C12517" s="380" t="str">
        <f>IFERROR(__xludf.DUMMYFUNCTION("""COMPUTED_VALUE"""),"70007984")</f>
        <v>70007984</v>
      </c>
      <c r="D12517" s="380" t="s">
        <v>767</v>
      </c>
      <c r="E12517" s="380" t="s">
        <v>786</v>
      </c>
      <c r="F12517" s="380" t="s">
        <v>787</v>
      </c>
      <c r="G12517" s="380" t="s">
        <v>1267</v>
      </c>
      <c r="H12517" s="380" t="s">
        <v>771</v>
      </c>
      <c r="I12517" s="380" t="s">
        <v>788</v>
      </c>
      <c r="J12517" s="380" t="s">
        <v>773</v>
      </c>
      <c r="K12517" s="381">
        <v>0.0</v>
      </c>
      <c r="L12517" s="382">
        <v>1.0</v>
      </c>
    </row>
    <row r="12518">
      <c r="A12518" s="380" t="s">
        <v>13392</v>
      </c>
      <c r="B12518" s="380" t="str">
        <f>IFERROR(__xludf.DUMMYFUNCTION("""COMPUTED_VALUE"""),"Radiador Foton Mv5 Reparado")</f>
        <v>Radiador Foton Mv5 Reparado</v>
      </c>
      <c r="C12518" s="380" t="str">
        <f>IFERROR(__xludf.DUMMYFUNCTION("""COMPUTED_VALUE"""),"70007985")</f>
        <v>70007985</v>
      </c>
      <c r="D12518" s="380" t="s">
        <v>767</v>
      </c>
      <c r="E12518" s="380" t="s">
        <v>786</v>
      </c>
      <c r="F12518" s="380" t="s">
        <v>787</v>
      </c>
      <c r="G12518" s="380" t="s">
        <v>1267</v>
      </c>
      <c r="H12518" s="380" t="s">
        <v>771</v>
      </c>
      <c r="I12518" s="380" t="s">
        <v>788</v>
      </c>
      <c r="J12518" s="380" t="s">
        <v>773</v>
      </c>
      <c r="K12518" s="381">
        <v>0.0</v>
      </c>
      <c r="L12518" s="382">
        <v>1.0</v>
      </c>
    </row>
    <row r="12519">
      <c r="A12519" s="380" t="s">
        <v>13393</v>
      </c>
      <c r="B12519" s="380" t="str">
        <f>IFERROR(__xludf.DUMMYFUNCTION("""COMPUTED_VALUE"""),"Tuerca Ajuste Bocin TRAS Fo 7701023082")</f>
        <v>Tuerca Ajuste Bocin TRAS Fo 7701023082</v>
      </c>
      <c r="C12519" s="380" t="str">
        <f>IFERROR(__xludf.DUMMYFUNCTION("""COMPUTED_VALUE"""),"70007986")</f>
        <v>70007986</v>
      </c>
      <c r="D12519" s="380" t="s">
        <v>767</v>
      </c>
      <c r="E12519" s="380" t="s">
        <v>786</v>
      </c>
      <c r="F12519" s="380" t="s">
        <v>1039</v>
      </c>
      <c r="G12519" s="380" t="s">
        <v>1267</v>
      </c>
      <c r="H12519" s="380" t="s">
        <v>771</v>
      </c>
      <c r="I12519" s="380" t="s">
        <v>788</v>
      </c>
      <c r="J12519" s="380" t="s">
        <v>773</v>
      </c>
      <c r="K12519" s="381">
        <v>0.0</v>
      </c>
      <c r="L12519" s="382">
        <v>1.0</v>
      </c>
    </row>
    <row r="12520">
      <c r="A12520" s="380" t="s">
        <v>13394</v>
      </c>
      <c r="B12520" s="380" t="str">
        <f>IFERROR(__xludf.DUMMYFUNCTION("""COMPUTED_VALUE"""),"Oring Compresor Chevrolet Ftr 8981924630")</f>
        <v>Oring Compresor Chevrolet Ftr 8981924630</v>
      </c>
      <c r="C12520" s="380" t="str">
        <f>IFERROR(__xludf.DUMMYFUNCTION("""COMPUTED_VALUE"""),"70007987")</f>
        <v>70007987</v>
      </c>
      <c r="D12520" s="380" t="s">
        <v>767</v>
      </c>
      <c r="E12520" s="380" t="s">
        <v>786</v>
      </c>
      <c r="F12520" s="380" t="s">
        <v>787</v>
      </c>
      <c r="G12520" s="380" t="s">
        <v>1267</v>
      </c>
      <c r="H12520" s="380" t="s">
        <v>771</v>
      </c>
      <c r="I12520" s="380" t="s">
        <v>788</v>
      </c>
      <c r="J12520" s="380" t="s">
        <v>773</v>
      </c>
      <c r="K12520" s="381">
        <v>0.0</v>
      </c>
      <c r="L12520" s="382">
        <v>1.0</v>
      </c>
    </row>
    <row r="12521">
      <c r="A12521" s="380" t="s">
        <v>13395</v>
      </c>
      <c r="B12521" s="380" t="str">
        <f>IFERROR(__xludf.DUMMYFUNCTION("""COMPUTED_VALUE"""),"RET RDA Tras INTno FT 1129 7701023706650")</f>
        <v>RET RDA Tras INTno FT 1129 7701023706650</v>
      </c>
      <c r="C12521" s="380" t="str">
        <f>IFERROR(__xludf.DUMMYFUNCTION("""COMPUTED_VALUE"""),"70007988")</f>
        <v>70007988</v>
      </c>
      <c r="D12521" s="380" t="s">
        <v>767</v>
      </c>
      <c r="E12521" s="380" t="s">
        <v>786</v>
      </c>
      <c r="F12521" s="380" t="s">
        <v>1039</v>
      </c>
      <c r="G12521" s="380" t="s">
        <v>1267</v>
      </c>
      <c r="H12521" s="380" t="s">
        <v>771</v>
      </c>
      <c r="I12521" s="380" t="s">
        <v>788</v>
      </c>
      <c r="J12521" s="380" t="s">
        <v>773</v>
      </c>
      <c r="K12521" s="381">
        <v>67024.0</v>
      </c>
      <c r="L12521" s="382">
        <v>1.0</v>
      </c>
    </row>
    <row r="12522">
      <c r="A12522" s="380" t="s">
        <v>13396</v>
      </c>
      <c r="B12522" s="380" t="str">
        <f>IFERROR(__xludf.DUMMYFUNCTION("""COMPUTED_VALUE"""),"Horquilla Caja Velocidades Nkr Reparado")</f>
        <v>Horquilla Caja Velocidades Nkr Reparado</v>
      </c>
      <c r="C12522" s="380" t="str">
        <f>IFERROR(__xludf.DUMMYFUNCTION("""COMPUTED_VALUE"""),"70007989")</f>
        <v>70007989</v>
      </c>
      <c r="D12522" s="380" t="s">
        <v>767</v>
      </c>
      <c r="E12522" s="380" t="s">
        <v>786</v>
      </c>
      <c r="F12522" s="380" t="s">
        <v>928</v>
      </c>
      <c r="G12522" s="380" t="s">
        <v>1267</v>
      </c>
      <c r="H12522" s="380" t="s">
        <v>771</v>
      </c>
      <c r="I12522" s="380" t="s">
        <v>788</v>
      </c>
      <c r="J12522" s="380" t="s">
        <v>773</v>
      </c>
      <c r="K12522" s="381">
        <v>0.0</v>
      </c>
      <c r="L12522" s="382">
        <v>1.0</v>
      </c>
    </row>
    <row r="12523">
      <c r="A12523" s="380" t="s">
        <v>13397</v>
      </c>
      <c r="B12523" s="380" t="str">
        <f>IFERROR(__xludf.DUMMYFUNCTION("""COMPUTED_VALUE"""),"Tuerca Speed 4700 Internatio 16966471c1")</f>
        <v>Tuerca Speed 4700 Internatio 16966471c1</v>
      </c>
      <c r="C12523" s="380" t="str">
        <f>IFERROR(__xludf.DUMMYFUNCTION("""COMPUTED_VALUE"""),"70007990")</f>
        <v>70007990</v>
      </c>
      <c r="D12523" s="380" t="s">
        <v>767</v>
      </c>
      <c r="E12523" s="380" t="s">
        <v>786</v>
      </c>
      <c r="F12523" s="380" t="s">
        <v>787</v>
      </c>
      <c r="G12523" s="380" t="s">
        <v>1267</v>
      </c>
      <c r="H12523" s="380" t="s">
        <v>771</v>
      </c>
      <c r="I12523" s="380" t="s">
        <v>788</v>
      </c>
      <c r="J12523" s="380" t="s">
        <v>773</v>
      </c>
      <c r="K12523" s="381">
        <v>0.0</v>
      </c>
      <c r="L12523" s="382">
        <v>1.0</v>
      </c>
    </row>
    <row r="12524">
      <c r="A12524" s="380" t="s">
        <v>13398</v>
      </c>
      <c r="B12524" s="380" t="str">
        <f>IFERROR(__xludf.DUMMYFUNCTION("""COMPUTED_VALUE"""),"Valvula Descargue Chasis 288251")</f>
        <v>Valvula Descargue Chasis 288251</v>
      </c>
      <c r="C12524" s="380" t="str">
        <f>IFERROR(__xludf.DUMMYFUNCTION("""COMPUTED_VALUE"""),"70007991")</f>
        <v>70007991</v>
      </c>
      <c r="D12524" s="380" t="s">
        <v>767</v>
      </c>
      <c r="E12524" s="380" t="s">
        <v>786</v>
      </c>
      <c r="F12524" s="380" t="s">
        <v>787</v>
      </c>
      <c r="G12524" s="380" t="s">
        <v>1267</v>
      </c>
      <c r="H12524" s="380" t="s">
        <v>771</v>
      </c>
      <c r="I12524" s="380" t="s">
        <v>788</v>
      </c>
      <c r="J12524" s="380" t="s">
        <v>773</v>
      </c>
      <c r="K12524" s="381">
        <v>0.0</v>
      </c>
      <c r="L12524" s="382">
        <v>1.0</v>
      </c>
    </row>
    <row r="12525">
      <c r="A12525" s="380" t="s">
        <v>13399</v>
      </c>
      <c r="B12525" s="380" t="str">
        <f>IFERROR(__xludf.DUMMYFUNCTION("""COMPUTED_VALUE"""),"Cargador De Bateria Montacarga Reparado")</f>
        <v>Cargador De Bateria Montacarga Reparado</v>
      </c>
      <c r="C12525" s="380" t="str">
        <f>IFERROR(__xludf.DUMMYFUNCTION("""COMPUTED_VALUE"""),"70007992")</f>
        <v>70007992</v>
      </c>
      <c r="D12525" s="380" t="s">
        <v>767</v>
      </c>
      <c r="E12525" s="380" t="s">
        <v>786</v>
      </c>
      <c r="F12525" s="380" t="s">
        <v>787</v>
      </c>
      <c r="G12525" s="380" t="s">
        <v>1267</v>
      </c>
      <c r="H12525" s="380" t="s">
        <v>771</v>
      </c>
      <c r="I12525" s="380" t="s">
        <v>788</v>
      </c>
      <c r="J12525" s="380" t="s">
        <v>773</v>
      </c>
      <c r="K12525" s="381">
        <v>0.0</v>
      </c>
      <c r="L12525" s="382">
        <v>1.0</v>
      </c>
    </row>
    <row r="12526">
      <c r="A12526" s="380" t="s">
        <v>13400</v>
      </c>
      <c r="B12526" s="380" t="str">
        <f>IFERROR(__xludf.DUMMYFUNCTION("""COMPUTED_VALUE"""),"Lampara DIRal IZQ HN 500 81520-E0091")</f>
        <v>Lampara DIRal IZQ HN 500 81520-E0091</v>
      </c>
      <c r="C12526" s="380" t="str">
        <f>IFERROR(__xludf.DUMMYFUNCTION("""COMPUTED_VALUE"""),"70007993")</f>
        <v>70007993</v>
      </c>
      <c r="D12526" s="380" t="s">
        <v>767</v>
      </c>
      <c r="E12526" s="380" t="s">
        <v>786</v>
      </c>
      <c r="F12526" s="380" t="s">
        <v>998</v>
      </c>
      <c r="G12526" s="380" t="s">
        <v>1267</v>
      </c>
      <c r="H12526" s="380" t="s">
        <v>771</v>
      </c>
      <c r="I12526" s="380" t="s">
        <v>788</v>
      </c>
      <c r="J12526" s="380" t="s">
        <v>773</v>
      </c>
      <c r="K12526" s="381">
        <v>0.0</v>
      </c>
      <c r="L12526" s="382">
        <v>1.0</v>
      </c>
    </row>
    <row r="12527">
      <c r="A12527" s="380" t="s">
        <v>13401</v>
      </c>
      <c r="B12527" s="380" t="str">
        <f>IFERROR(__xludf.DUMMYFUNCTION("""COMPUTED_VALUE"""),"Motor Limpiabrisas Foton 1128 Reparado")</f>
        <v>Motor Limpiabrisas Foton 1128 Reparado</v>
      </c>
      <c r="C12527" s="380" t="str">
        <f>IFERROR(__xludf.DUMMYFUNCTION("""COMPUTED_VALUE"""),"70007994")</f>
        <v>70007994</v>
      </c>
      <c r="D12527" s="380" t="s">
        <v>767</v>
      </c>
      <c r="E12527" s="380" t="s">
        <v>786</v>
      </c>
      <c r="F12527" s="380" t="s">
        <v>998</v>
      </c>
      <c r="G12527" s="380" t="s">
        <v>1267</v>
      </c>
      <c r="H12527" s="380" t="s">
        <v>771</v>
      </c>
      <c r="I12527" s="380" t="s">
        <v>788</v>
      </c>
      <c r="J12527" s="380" t="s">
        <v>773</v>
      </c>
      <c r="K12527" s="381">
        <v>0.0</v>
      </c>
      <c r="L12527" s="382">
        <v>1.0</v>
      </c>
    </row>
    <row r="12528">
      <c r="A12528" s="380" t="s">
        <v>13402</v>
      </c>
      <c r="B12528" s="380" t="str">
        <f>IFERROR(__xludf.DUMMYFUNCTION("""COMPUTED_VALUE"""),"Parabrisas Laminado Nissan Urvan")</f>
        <v>Parabrisas Laminado Nissan Urvan</v>
      </c>
      <c r="C12528" s="380" t="str">
        <f>IFERROR(__xludf.DUMMYFUNCTION("""COMPUTED_VALUE"""),"70007995")</f>
        <v>70007995</v>
      </c>
      <c r="D12528" s="380" t="s">
        <v>767</v>
      </c>
      <c r="E12528" s="380" t="s">
        <v>786</v>
      </c>
      <c r="F12528" s="380" t="s">
        <v>792</v>
      </c>
      <c r="G12528" s="380" t="s">
        <v>1267</v>
      </c>
      <c r="H12528" s="380" t="s">
        <v>771</v>
      </c>
      <c r="I12528" s="380" t="s">
        <v>788</v>
      </c>
      <c r="J12528" s="380" t="s">
        <v>773</v>
      </c>
      <c r="K12528" s="381">
        <v>0.0</v>
      </c>
      <c r="L12528" s="382">
        <v>1.0</v>
      </c>
    </row>
    <row r="12529">
      <c r="A12529" s="380" t="s">
        <v>13403</v>
      </c>
      <c r="B12529" s="380" t="str">
        <f>IFERROR(__xludf.DUMMYFUNCTION("""COMPUTED_VALUE"""),"Panel Plastico Vehiculo Reparado")</f>
        <v>Panel Plastico Vehiculo Reparado</v>
      </c>
      <c r="C12529" s="380" t="str">
        <f>IFERROR(__xludf.DUMMYFUNCTION("""COMPUTED_VALUE"""),"70007996")</f>
        <v>70007996</v>
      </c>
      <c r="D12529" s="380" t="s">
        <v>767</v>
      </c>
      <c r="E12529" s="380" t="s">
        <v>786</v>
      </c>
      <c r="F12529" s="380" t="s">
        <v>792</v>
      </c>
      <c r="G12529" s="380" t="s">
        <v>1267</v>
      </c>
      <c r="H12529" s="380" t="s">
        <v>771</v>
      </c>
      <c r="I12529" s="380" t="s">
        <v>788</v>
      </c>
      <c r="J12529" s="380" t="s">
        <v>773</v>
      </c>
      <c r="K12529" s="381">
        <v>0.0</v>
      </c>
      <c r="L12529" s="382">
        <v>1.0</v>
      </c>
    </row>
    <row r="12530">
      <c r="A12530" s="380" t="s">
        <v>13404</v>
      </c>
      <c r="B12530" s="380" t="str">
        <f>IFERROR(__xludf.DUMMYFUNCTION("""COMPUTED_VALUE"""),"Diferencial Nkr Reward 8x41 Reparado")</f>
        <v>Diferencial Nkr Reward 8x41 Reparado</v>
      </c>
      <c r="C12530" s="380" t="str">
        <f>IFERROR(__xludf.DUMMYFUNCTION("""COMPUTED_VALUE"""),"70007997")</f>
        <v>70007997</v>
      </c>
      <c r="D12530" s="380" t="s">
        <v>767</v>
      </c>
      <c r="E12530" s="380" t="s">
        <v>786</v>
      </c>
      <c r="F12530" s="380" t="s">
        <v>928</v>
      </c>
      <c r="G12530" s="380" t="s">
        <v>1267</v>
      </c>
      <c r="H12530" s="380" t="s">
        <v>771</v>
      </c>
      <c r="I12530" s="380" t="s">
        <v>788</v>
      </c>
      <c r="J12530" s="380" t="s">
        <v>773</v>
      </c>
      <c r="K12530" s="381">
        <v>0.0</v>
      </c>
      <c r="L12530" s="382">
        <v>1.0</v>
      </c>
    </row>
    <row r="12531">
      <c r="A12531" s="380" t="s">
        <v>13405</v>
      </c>
      <c r="B12531" s="380" t="str">
        <f>IFERROR(__xludf.DUMMYFUNCTION("""COMPUTED_VALUE"""),"FILT Silenciador Secador AIR Daf Cf480 F")</f>
        <v>FILT Silenciador Secador AIR Daf Cf480 F</v>
      </c>
      <c r="C12531" s="380" t="str">
        <f>IFERROR(__xludf.DUMMYFUNCTION("""COMPUTED_VALUE"""),"70007998")</f>
        <v>70007998</v>
      </c>
      <c r="D12531" s="380" t="s">
        <v>767</v>
      </c>
      <c r="E12531" s="380" t="s">
        <v>786</v>
      </c>
      <c r="F12531" s="380" t="s">
        <v>5855</v>
      </c>
      <c r="G12531" s="380" t="s">
        <v>1267</v>
      </c>
      <c r="H12531" s="380" t="s">
        <v>771</v>
      </c>
      <c r="I12531" s="380" t="s">
        <v>788</v>
      </c>
      <c r="J12531" s="380" t="s">
        <v>773</v>
      </c>
      <c r="K12531" s="381">
        <v>187231.0</v>
      </c>
      <c r="L12531" s="382">
        <v>1.0</v>
      </c>
    </row>
    <row r="12532">
      <c r="A12532" s="380" t="s">
        <v>13406</v>
      </c>
      <c r="B12532" s="380" t="str">
        <f>IFERROR(__xludf.DUMMYFUNCTION("""COMPUTED_VALUE"""),"Bocin Rueda Trasera Jac Jhr Reparado")</f>
        <v>Bocin Rueda Trasera Jac Jhr Reparado</v>
      </c>
      <c r="C12532" s="380" t="str">
        <f>IFERROR(__xludf.DUMMYFUNCTION("""COMPUTED_VALUE"""),"70007999")</f>
        <v>70007999</v>
      </c>
      <c r="D12532" s="380" t="s">
        <v>767</v>
      </c>
      <c r="E12532" s="380" t="s">
        <v>786</v>
      </c>
      <c r="F12532" s="380" t="s">
        <v>1017</v>
      </c>
      <c r="G12532" s="380" t="s">
        <v>1267</v>
      </c>
      <c r="H12532" s="380" t="s">
        <v>771</v>
      </c>
      <c r="I12532" s="380" t="s">
        <v>788</v>
      </c>
      <c r="J12532" s="380" t="s">
        <v>773</v>
      </c>
      <c r="K12532" s="381">
        <v>333152.0</v>
      </c>
      <c r="L12532" s="382">
        <v>1.0</v>
      </c>
    </row>
    <row r="12533">
      <c r="A12533" s="380" t="s">
        <v>13407</v>
      </c>
      <c r="B12533" s="380" t="str">
        <f>IFERROR(__xludf.DUMMYFUNCTION("""COMPUTED_VALUE"""),"Marco PTA IZQ INT L 4069566c93")</f>
        <v>Marco PTA IZQ INT L 4069566c93</v>
      </c>
      <c r="C12533" s="380" t="str">
        <f>IFERROR(__xludf.DUMMYFUNCTION("""COMPUTED_VALUE"""),"70008000")</f>
        <v>70008000</v>
      </c>
      <c r="D12533" s="380" t="s">
        <v>767</v>
      </c>
      <c r="E12533" s="380" t="s">
        <v>786</v>
      </c>
      <c r="F12533" s="380" t="s">
        <v>792</v>
      </c>
      <c r="G12533" s="380" t="s">
        <v>1267</v>
      </c>
      <c r="H12533" s="380" t="s">
        <v>771</v>
      </c>
      <c r="I12533" s="380" t="s">
        <v>788</v>
      </c>
      <c r="J12533" s="380" t="s">
        <v>773</v>
      </c>
      <c r="K12533" s="381">
        <v>0.0</v>
      </c>
      <c r="L12533" s="382">
        <v>1.0</v>
      </c>
    </row>
    <row r="12534">
      <c r="A12534" s="380" t="s">
        <v>13408</v>
      </c>
      <c r="B12534" s="380" t="str">
        <f>IFERROR(__xludf.DUMMYFUNCTION("""COMPUTED_VALUE"""),"Ballestatrasera Foton 1039 7701023085311")</f>
        <v>Ballestatrasera Foton 1039 7701023085311</v>
      </c>
      <c r="C12534" s="380" t="str">
        <f>IFERROR(__xludf.DUMMYFUNCTION("""COMPUTED_VALUE"""),"70008001")</f>
        <v>70008001</v>
      </c>
      <c r="D12534" s="380" t="s">
        <v>767</v>
      </c>
      <c r="E12534" s="380" t="s">
        <v>786</v>
      </c>
      <c r="F12534" s="380" t="s">
        <v>1039</v>
      </c>
      <c r="G12534" s="380" t="s">
        <v>1267</v>
      </c>
      <c r="H12534" s="380" t="s">
        <v>771</v>
      </c>
      <c r="I12534" s="380" t="s">
        <v>788</v>
      </c>
      <c r="J12534" s="380" t="s">
        <v>773</v>
      </c>
      <c r="K12534" s="381">
        <v>0.0</v>
      </c>
      <c r="L12534" s="382">
        <v>1.0</v>
      </c>
    </row>
    <row r="12535">
      <c r="A12535" s="380" t="s">
        <v>13409</v>
      </c>
      <c r="B12535" s="380" t="str">
        <f>IFERROR(__xludf.DUMMYFUNCTION("""COMPUTED_VALUE"""),"Abrazadera Tanque Acpm Reparado")</f>
        <v>Abrazadera Tanque Acpm Reparado</v>
      </c>
      <c r="C12535" s="380" t="str">
        <f>IFERROR(__xludf.DUMMYFUNCTION("""COMPUTED_VALUE"""),"70008002")</f>
        <v>70008002</v>
      </c>
      <c r="D12535" s="380" t="s">
        <v>767</v>
      </c>
      <c r="E12535" s="380" t="s">
        <v>786</v>
      </c>
      <c r="F12535" s="380" t="s">
        <v>792</v>
      </c>
      <c r="G12535" s="380" t="s">
        <v>1267</v>
      </c>
      <c r="H12535" s="380" t="s">
        <v>771</v>
      </c>
      <c r="I12535" s="380" t="s">
        <v>788</v>
      </c>
      <c r="J12535" s="380" t="s">
        <v>773</v>
      </c>
      <c r="K12535" s="381">
        <v>0.0</v>
      </c>
      <c r="L12535" s="382">
        <v>1.0</v>
      </c>
    </row>
    <row r="12536">
      <c r="A12536" s="380" t="s">
        <v>13410</v>
      </c>
      <c r="B12536" s="380" t="str">
        <f>IFERROR(__xludf.DUMMYFUNCTION("""COMPUTED_VALUE"""),"Manija INTna PTA Izquierd 7705946362")</f>
        <v>Manija INTna PTA Izquierd 7705946362</v>
      </c>
      <c r="C12536" s="380" t="str">
        <f>IFERROR(__xludf.DUMMYFUNCTION("""COMPUTED_VALUE"""),"70008003")</f>
        <v>70008003</v>
      </c>
      <c r="D12536" s="380" t="s">
        <v>767</v>
      </c>
      <c r="E12536" s="380" t="s">
        <v>786</v>
      </c>
      <c r="F12536" s="380" t="s">
        <v>792</v>
      </c>
      <c r="G12536" s="380" t="s">
        <v>1267</v>
      </c>
      <c r="H12536" s="380" t="s">
        <v>771</v>
      </c>
      <c r="I12536" s="380" t="s">
        <v>788</v>
      </c>
      <c r="J12536" s="380" t="s">
        <v>773</v>
      </c>
      <c r="K12536" s="381">
        <v>0.0</v>
      </c>
      <c r="L12536" s="382">
        <v>1.0</v>
      </c>
    </row>
    <row r="12537">
      <c r="A12537" s="380" t="s">
        <v>13411</v>
      </c>
      <c r="B12537" s="380" t="str">
        <f>IFERROR(__xludf.DUMMYFUNCTION("""COMPUTED_VALUE"""),"Caja De Velocidades Jac Jhr Reparado")</f>
        <v>Caja De Velocidades Jac Jhr Reparado</v>
      </c>
      <c r="C12537" s="380" t="str">
        <f>IFERROR(__xludf.DUMMYFUNCTION("""COMPUTED_VALUE"""),"70008004")</f>
        <v>70008004</v>
      </c>
      <c r="D12537" s="380" t="s">
        <v>767</v>
      </c>
      <c r="E12537" s="380" t="s">
        <v>786</v>
      </c>
      <c r="F12537" s="380" t="s">
        <v>928</v>
      </c>
      <c r="G12537" s="380" t="s">
        <v>1267</v>
      </c>
      <c r="H12537" s="380" t="s">
        <v>771</v>
      </c>
      <c r="I12537" s="380" t="s">
        <v>788</v>
      </c>
      <c r="J12537" s="380" t="s">
        <v>773</v>
      </c>
      <c r="K12537" s="381">
        <v>0.0</v>
      </c>
      <c r="L12537" s="382">
        <v>1.0</v>
      </c>
    </row>
    <row r="12538">
      <c r="A12538" s="380" t="s">
        <v>13412</v>
      </c>
      <c r="B12538" s="380" t="str">
        <f>IFERROR(__xludf.DUMMYFUNCTION("""COMPUTED_VALUE"""),"Alternador Foton 1039 Reparado")</f>
        <v>Alternador Foton 1039 Reparado</v>
      </c>
      <c r="C12538" s="380" t="str">
        <f>IFERROR(__xludf.DUMMYFUNCTION("""COMPUTED_VALUE"""),"70008005")</f>
        <v>70008005</v>
      </c>
      <c r="D12538" s="380" t="s">
        <v>767</v>
      </c>
      <c r="E12538" s="380" t="s">
        <v>786</v>
      </c>
      <c r="F12538" s="380" t="s">
        <v>998</v>
      </c>
      <c r="G12538" s="380" t="s">
        <v>1267</v>
      </c>
      <c r="H12538" s="380" t="s">
        <v>771</v>
      </c>
      <c r="I12538" s="380" t="s">
        <v>788</v>
      </c>
      <c r="J12538" s="380" t="s">
        <v>773</v>
      </c>
      <c r="K12538" s="381">
        <v>0.0</v>
      </c>
      <c r="L12538" s="382">
        <v>1.0</v>
      </c>
    </row>
    <row r="12539">
      <c r="A12539" s="380" t="s">
        <v>13413</v>
      </c>
      <c r="B12539" s="380" t="str">
        <f>IFERROR(__xludf.DUMMYFUNCTION("""COMPUTED_VALUE"""),"Motor Arranque Foton 1030 Reparado")</f>
        <v>Motor Arranque Foton 1030 Reparado</v>
      </c>
      <c r="C12539" s="380" t="str">
        <f>IFERROR(__xludf.DUMMYFUNCTION("""COMPUTED_VALUE"""),"70008006")</f>
        <v>70008006</v>
      </c>
      <c r="D12539" s="380" t="s">
        <v>767</v>
      </c>
      <c r="E12539" s="380" t="s">
        <v>786</v>
      </c>
      <c r="F12539" s="380" t="s">
        <v>998</v>
      </c>
      <c r="G12539" s="380" t="s">
        <v>1267</v>
      </c>
      <c r="H12539" s="380" t="s">
        <v>771</v>
      </c>
      <c r="I12539" s="380" t="s">
        <v>788</v>
      </c>
      <c r="J12539" s="380" t="s">
        <v>773</v>
      </c>
      <c r="K12539" s="381">
        <v>0.0</v>
      </c>
      <c r="L12539" s="382">
        <v>1.0</v>
      </c>
    </row>
    <row r="12540">
      <c r="A12540" s="380" t="s">
        <v>13414</v>
      </c>
      <c r="B12540" s="380" t="str">
        <f>IFERROR(__xludf.DUMMYFUNCTION("""COMPUTED_VALUE"""),"Moldura Lamevidrio INTna Der 8980292011")</f>
        <v>Moldura Lamevidrio INTna Der 8980292011</v>
      </c>
      <c r="C12540" s="380" t="str">
        <f>IFERROR(__xludf.DUMMYFUNCTION("""COMPUTED_VALUE"""),"70008007")</f>
        <v>70008007</v>
      </c>
      <c r="D12540" s="380" t="s">
        <v>767</v>
      </c>
      <c r="E12540" s="380" t="s">
        <v>786</v>
      </c>
      <c r="F12540" s="380" t="s">
        <v>792</v>
      </c>
      <c r="G12540" s="380" t="s">
        <v>1267</v>
      </c>
      <c r="H12540" s="380" t="s">
        <v>771</v>
      </c>
      <c r="I12540" s="380" t="s">
        <v>788</v>
      </c>
      <c r="J12540" s="380" t="s">
        <v>773</v>
      </c>
      <c r="K12540" s="381">
        <v>0.0</v>
      </c>
      <c r="L12540" s="382">
        <v>1.0</v>
      </c>
    </row>
    <row r="12541">
      <c r="A12541" s="380" t="s">
        <v>13415</v>
      </c>
      <c r="B12541" s="380" t="str">
        <f>IFERROR(__xludf.DUMMYFUNCTION("""COMPUTED_VALUE"""),"Broche Nylon Accesorios Cabina 3548695c1")</f>
        <v>Broche Nylon Accesorios Cabina 3548695c1</v>
      </c>
      <c r="C12541" s="380" t="str">
        <f>IFERROR(__xludf.DUMMYFUNCTION("""COMPUTED_VALUE"""),"70008008")</f>
        <v>70008008</v>
      </c>
      <c r="D12541" s="380" t="s">
        <v>767</v>
      </c>
      <c r="E12541" s="380" t="s">
        <v>786</v>
      </c>
      <c r="F12541" s="380" t="s">
        <v>792</v>
      </c>
      <c r="G12541" s="380" t="s">
        <v>1267</v>
      </c>
      <c r="H12541" s="380" t="s">
        <v>771</v>
      </c>
      <c r="I12541" s="380" t="s">
        <v>788</v>
      </c>
      <c r="J12541" s="380" t="s">
        <v>773</v>
      </c>
      <c r="K12541" s="381">
        <v>0.0</v>
      </c>
      <c r="L12541" s="382">
        <v>1.0</v>
      </c>
    </row>
    <row r="12542">
      <c r="A12542" s="380" t="s">
        <v>13416</v>
      </c>
      <c r="B12542" s="380" t="str">
        <f>IFERROR(__xludf.DUMMYFUNCTION("""COMPUTED_VALUE"""),"Bisagra Puerta Furgon Aluminio")</f>
        <v>Bisagra Puerta Furgon Aluminio</v>
      </c>
      <c r="C12542" s="380" t="str">
        <f>IFERROR(__xludf.DUMMYFUNCTION("""COMPUTED_VALUE"""),"70008009")</f>
        <v>70008009</v>
      </c>
      <c r="D12542" s="380" t="s">
        <v>767</v>
      </c>
      <c r="E12542" s="380" t="s">
        <v>786</v>
      </c>
      <c r="F12542" s="380" t="s">
        <v>792</v>
      </c>
      <c r="G12542" s="380" t="s">
        <v>1267</v>
      </c>
      <c r="H12542" s="380" t="s">
        <v>771</v>
      </c>
      <c r="I12542" s="380" t="s">
        <v>788</v>
      </c>
      <c r="J12542" s="380" t="s">
        <v>773</v>
      </c>
      <c r="K12542" s="381">
        <v>0.0</v>
      </c>
      <c r="L12542" s="382">
        <v>1.0</v>
      </c>
    </row>
    <row r="12543">
      <c r="A12543" s="380" t="s">
        <v>13417</v>
      </c>
      <c r="B12543" s="380" t="str">
        <f>IFERROR(__xludf.DUMMYFUNCTION("""COMPUTED_VALUE"""),"Empaque Enf Aceite Jac 1042 1041050fe010")</f>
        <v>Empaque Enf Aceite Jac 1042 1041050fe010</v>
      </c>
      <c r="C12543" s="380" t="str">
        <f>IFERROR(__xludf.DUMMYFUNCTION("""COMPUTED_VALUE"""),"70008010")</f>
        <v>70008010</v>
      </c>
      <c r="D12543" s="380" t="s">
        <v>767</v>
      </c>
      <c r="E12543" s="380" t="s">
        <v>786</v>
      </c>
      <c r="F12543" s="380" t="s">
        <v>787</v>
      </c>
      <c r="G12543" s="380" t="s">
        <v>1267</v>
      </c>
      <c r="H12543" s="380" t="s">
        <v>771</v>
      </c>
      <c r="I12543" s="380" t="s">
        <v>788</v>
      </c>
      <c r="J12543" s="380" t="s">
        <v>773</v>
      </c>
      <c r="K12543" s="381">
        <v>0.0</v>
      </c>
      <c r="L12543" s="382">
        <v>1.0</v>
      </c>
    </row>
    <row r="12544">
      <c r="A12544" s="380" t="s">
        <v>13418</v>
      </c>
      <c r="B12544" s="380" t="str">
        <f>IFERROR(__xludf.DUMMYFUNCTION("""COMPUTED_VALUE"""),"MANG Superior RAD Hin 16571-7843")</f>
        <v>MANG Superior RAD Hin 16571-7843</v>
      </c>
      <c r="C12544" s="380" t="str">
        <f>IFERROR(__xludf.DUMMYFUNCTION("""COMPUTED_VALUE"""),"70008011")</f>
        <v>70008011</v>
      </c>
      <c r="D12544" s="380" t="s">
        <v>767</v>
      </c>
      <c r="E12544" s="380" t="s">
        <v>786</v>
      </c>
      <c r="F12544" s="380" t="s">
        <v>787</v>
      </c>
      <c r="G12544" s="380" t="s">
        <v>1267</v>
      </c>
      <c r="H12544" s="380" t="s">
        <v>771</v>
      </c>
      <c r="I12544" s="380" t="s">
        <v>788</v>
      </c>
      <c r="J12544" s="380" t="s">
        <v>773</v>
      </c>
      <c r="K12544" s="381">
        <v>0.0</v>
      </c>
      <c r="L12544" s="382">
        <v>1.0</v>
      </c>
    </row>
    <row r="12545">
      <c r="A12545" s="380" t="s">
        <v>13419</v>
      </c>
      <c r="B12545" s="380" t="str">
        <f>IFERROR(__xludf.DUMMYFUNCTION("""COMPUTED_VALUE"""),"Modulo Control Motor Hino 500 Reparado")</f>
        <v>Modulo Control Motor Hino 500 Reparado</v>
      </c>
      <c r="C12545" s="380" t="str">
        <f>IFERROR(__xludf.DUMMYFUNCTION("""COMPUTED_VALUE"""),"70008012")</f>
        <v>70008012</v>
      </c>
      <c r="D12545" s="380" t="s">
        <v>767</v>
      </c>
      <c r="E12545" s="380" t="s">
        <v>786</v>
      </c>
      <c r="F12545" s="380" t="s">
        <v>998</v>
      </c>
      <c r="G12545" s="380" t="s">
        <v>1267</v>
      </c>
      <c r="H12545" s="380" t="s">
        <v>771</v>
      </c>
      <c r="I12545" s="380" t="s">
        <v>788</v>
      </c>
      <c r="J12545" s="380" t="s">
        <v>773</v>
      </c>
      <c r="K12545" s="381">
        <v>0.0</v>
      </c>
      <c r="L12545" s="382">
        <v>1.0</v>
      </c>
    </row>
    <row r="12546">
      <c r="A12546" s="380" t="s">
        <v>13420</v>
      </c>
      <c r="B12546" s="380" t="str">
        <f>IFERROR(__xludf.DUMMYFUNCTION("""COMPUTED_VALUE"""),"Hoja Muelle Trasera 2da Nhr Rw 22/081")</f>
        <v>Hoja Muelle Trasera 2da Nhr Rw 22/081</v>
      </c>
      <c r="C12546" s="380" t="str">
        <f>IFERROR(__xludf.DUMMYFUNCTION("""COMPUTED_VALUE"""),"70008013")</f>
        <v>70008013</v>
      </c>
      <c r="D12546" s="380" t="s">
        <v>767</v>
      </c>
      <c r="E12546" s="380" t="s">
        <v>786</v>
      </c>
      <c r="F12546" s="380" t="s">
        <v>1039</v>
      </c>
      <c r="G12546" s="380" t="s">
        <v>1267</v>
      </c>
      <c r="H12546" s="380" t="s">
        <v>771</v>
      </c>
      <c r="I12546" s="380" t="s">
        <v>788</v>
      </c>
      <c r="J12546" s="380" t="s">
        <v>773</v>
      </c>
      <c r="K12546" s="381">
        <v>0.0</v>
      </c>
      <c r="L12546" s="382">
        <v>1.0</v>
      </c>
    </row>
    <row r="12547">
      <c r="A12547" s="380" t="s">
        <v>13421</v>
      </c>
      <c r="B12547" s="380" t="str">
        <f>IFERROR(__xludf.DUMMYFUNCTION("""COMPUTED_VALUE"""),"Bisagra Puerta Varias Reparado")</f>
        <v>Bisagra Puerta Varias Reparado</v>
      </c>
      <c r="C12547" s="380" t="str">
        <f>IFERROR(__xludf.DUMMYFUNCTION("""COMPUTED_VALUE"""),"70008014")</f>
        <v>70008014</v>
      </c>
      <c r="D12547" s="380" t="s">
        <v>767</v>
      </c>
      <c r="E12547" s="380" t="s">
        <v>786</v>
      </c>
      <c r="F12547" s="380" t="s">
        <v>792</v>
      </c>
      <c r="G12547" s="380" t="s">
        <v>1267</v>
      </c>
      <c r="H12547" s="380" t="s">
        <v>771</v>
      </c>
      <c r="I12547" s="380" t="s">
        <v>788</v>
      </c>
      <c r="J12547" s="380" t="s">
        <v>773</v>
      </c>
      <c r="K12547" s="381">
        <v>0.0</v>
      </c>
      <c r="L12547" s="382">
        <v>1.0</v>
      </c>
    </row>
    <row r="12548">
      <c r="A12548" s="380" t="s">
        <v>13422</v>
      </c>
      <c r="B12548" s="380" t="str">
        <f>IFERROR(__xludf.DUMMYFUNCTION("""COMPUTED_VALUE"""),"Motor Arranque Hino 500 28100-E0082")</f>
        <v>Motor Arranque Hino 500 28100-E0082</v>
      </c>
      <c r="C12548" s="380" t="str">
        <f>IFERROR(__xludf.DUMMYFUNCTION("""COMPUTED_VALUE"""),"70008015")</f>
        <v>70008015</v>
      </c>
      <c r="D12548" s="380" t="s">
        <v>767</v>
      </c>
      <c r="E12548" s="380" t="s">
        <v>786</v>
      </c>
      <c r="F12548" s="380" t="s">
        <v>998</v>
      </c>
      <c r="G12548" s="380" t="s">
        <v>1267</v>
      </c>
      <c r="H12548" s="380" t="s">
        <v>771</v>
      </c>
      <c r="I12548" s="380" t="s">
        <v>788</v>
      </c>
      <c r="J12548" s="380" t="s">
        <v>773</v>
      </c>
      <c r="K12548" s="381">
        <v>0.0</v>
      </c>
      <c r="L12548" s="382">
        <v>1.0</v>
      </c>
    </row>
    <row r="12549">
      <c r="A12549" s="380" t="s">
        <v>13423</v>
      </c>
      <c r="B12549" s="380" t="str">
        <f>IFERROR(__xludf.DUMMYFUNCTION("""COMPUTED_VALUE"""),"Correa TANQ Comb Media Int Lt 4062596c3")</f>
        <v>Correa TANQ Comb Media Int Lt 4062596c3</v>
      </c>
      <c r="C12549" s="380" t="str">
        <f>IFERROR(__xludf.DUMMYFUNCTION("""COMPUTED_VALUE"""),"70008016")</f>
        <v>70008016</v>
      </c>
      <c r="D12549" s="380" t="s">
        <v>767</v>
      </c>
      <c r="E12549" s="380" t="s">
        <v>786</v>
      </c>
      <c r="F12549" s="380" t="s">
        <v>792</v>
      </c>
      <c r="G12549" s="380" t="s">
        <v>1267</v>
      </c>
      <c r="H12549" s="380" t="s">
        <v>771</v>
      </c>
      <c r="I12549" s="380" t="s">
        <v>788</v>
      </c>
      <c r="J12549" s="380" t="s">
        <v>773</v>
      </c>
      <c r="K12549" s="381">
        <v>0.0</v>
      </c>
      <c r="L12549" s="382">
        <v>1.0</v>
      </c>
    </row>
    <row r="12550">
      <c r="A12550" s="380" t="s">
        <v>13424</v>
      </c>
      <c r="B12550" s="380" t="str">
        <f>IFERROR(__xludf.DUMMYFUNCTION("""COMPUTED_VALUE"""),"Caja Direccion Mecanica Nhr Nkr Reparado")</f>
        <v>Caja Direccion Mecanica Nhr Nkr Reparado</v>
      </c>
      <c r="C12550" s="380" t="str">
        <f>IFERROR(__xludf.DUMMYFUNCTION("""COMPUTED_VALUE"""),"70008017")</f>
        <v>70008017</v>
      </c>
      <c r="D12550" s="380" t="s">
        <v>767</v>
      </c>
      <c r="E12550" s="380" t="s">
        <v>786</v>
      </c>
      <c r="F12550" s="380" t="s">
        <v>1020</v>
      </c>
      <c r="G12550" s="380" t="s">
        <v>1267</v>
      </c>
      <c r="H12550" s="380" t="s">
        <v>771</v>
      </c>
      <c r="I12550" s="380" t="s">
        <v>788</v>
      </c>
      <c r="J12550" s="380" t="s">
        <v>773</v>
      </c>
      <c r="K12550" s="381">
        <v>0.0</v>
      </c>
      <c r="L12550" s="382">
        <v>1.0</v>
      </c>
    </row>
    <row r="12551">
      <c r="A12551" s="380" t="s">
        <v>13425</v>
      </c>
      <c r="B12551" s="380" t="str">
        <f>IFERROR(__xludf.DUMMYFUNCTION("""COMPUTED_VALUE"""),"Extension Cabina Kenworth T800 Reparado")</f>
        <v>Extension Cabina Kenworth T800 Reparado</v>
      </c>
      <c r="C12551" s="380" t="str">
        <f>IFERROR(__xludf.DUMMYFUNCTION("""COMPUTED_VALUE"""),"70008018")</f>
        <v>70008018</v>
      </c>
      <c r="D12551" s="380" t="s">
        <v>767</v>
      </c>
      <c r="E12551" s="380" t="s">
        <v>786</v>
      </c>
      <c r="F12551" s="380" t="s">
        <v>792</v>
      </c>
      <c r="G12551" s="380" t="s">
        <v>1267</v>
      </c>
      <c r="H12551" s="380" t="s">
        <v>771</v>
      </c>
      <c r="I12551" s="380" t="s">
        <v>788</v>
      </c>
      <c r="J12551" s="380" t="s">
        <v>773</v>
      </c>
      <c r="K12551" s="381">
        <v>0.0</v>
      </c>
      <c r="L12551" s="382">
        <v>1.0</v>
      </c>
    </row>
    <row r="12552">
      <c r="A12552" s="380" t="s">
        <v>13426</v>
      </c>
      <c r="B12552" s="380" t="str">
        <f>IFERROR(__xludf.DUMMYFUNCTION("""COMPUTED_VALUE"""),"Exploradora Derecha Jac 110 4116920le010")</f>
        <v>Exploradora Derecha Jac 110 4116920le010</v>
      </c>
      <c r="C12552" s="380" t="str">
        <f>IFERROR(__xludf.DUMMYFUNCTION("""COMPUTED_VALUE"""),"70008019")</f>
        <v>70008019</v>
      </c>
      <c r="D12552" s="380" t="s">
        <v>767</v>
      </c>
      <c r="E12552" s="380" t="s">
        <v>786</v>
      </c>
      <c r="F12552" s="380" t="s">
        <v>998</v>
      </c>
      <c r="G12552" s="380" t="s">
        <v>1267</v>
      </c>
      <c r="H12552" s="380" t="s">
        <v>771</v>
      </c>
      <c r="I12552" s="380" t="s">
        <v>788</v>
      </c>
      <c r="J12552" s="380" t="s">
        <v>773</v>
      </c>
      <c r="K12552" s="381">
        <v>0.0</v>
      </c>
      <c r="L12552" s="382">
        <v>1.0</v>
      </c>
    </row>
    <row r="12553">
      <c r="A12553" s="380" t="s">
        <v>13427</v>
      </c>
      <c r="B12553" s="380" t="str">
        <f>IFERROR(__xludf.DUMMYFUNCTION("""COMPUTED_VALUE"""),"Pin Resorte Banda Freno Foton 1128")</f>
        <v>Pin Resorte Banda Freno Foton 1128</v>
      </c>
      <c r="C12553" s="380" t="str">
        <f>IFERROR(__xludf.DUMMYFUNCTION("""COMPUTED_VALUE"""),"70008020")</f>
        <v>70008020</v>
      </c>
      <c r="D12553" s="380" t="s">
        <v>767</v>
      </c>
      <c r="E12553" s="380" t="s">
        <v>786</v>
      </c>
      <c r="F12553" s="380" t="s">
        <v>1017</v>
      </c>
      <c r="G12553" s="380" t="s">
        <v>1267</v>
      </c>
      <c r="H12553" s="380" t="s">
        <v>771</v>
      </c>
      <c r="I12553" s="380" t="s">
        <v>788</v>
      </c>
      <c r="J12553" s="380" t="s">
        <v>773</v>
      </c>
      <c r="K12553" s="381">
        <v>0.0</v>
      </c>
      <c r="L12553" s="382">
        <v>1.0</v>
      </c>
    </row>
    <row r="12554">
      <c r="A12554" s="380" t="s">
        <v>13428</v>
      </c>
      <c r="B12554" s="380" t="str">
        <f>IFERROR(__xludf.DUMMYFUNCTION("""COMPUTED_VALUE"""),"Farola IZQ FT 1128 7705946724838")</f>
        <v>Farola IZQ FT 1128 7705946724838</v>
      </c>
      <c r="C12554" s="380" t="str">
        <f>IFERROR(__xludf.DUMMYFUNCTION("""COMPUTED_VALUE"""),"70008021")</f>
        <v>70008021</v>
      </c>
      <c r="D12554" s="380" t="s">
        <v>767</v>
      </c>
      <c r="E12554" s="380" t="s">
        <v>786</v>
      </c>
      <c r="F12554" s="380" t="s">
        <v>998</v>
      </c>
      <c r="G12554" s="380" t="s">
        <v>1267</v>
      </c>
      <c r="H12554" s="380" t="s">
        <v>771</v>
      </c>
      <c r="I12554" s="380" t="s">
        <v>788</v>
      </c>
      <c r="J12554" s="380" t="s">
        <v>773</v>
      </c>
      <c r="K12554" s="381">
        <v>0.0</v>
      </c>
      <c r="L12554" s="382">
        <v>1.0</v>
      </c>
    </row>
    <row r="12555">
      <c r="A12555" s="380" t="s">
        <v>13429</v>
      </c>
      <c r="B12555" s="380" t="str">
        <f>IFERROR(__xludf.DUMMYFUNCTION("""COMPUTED_VALUE"""),"Radiador Foton 1129 Reparado")</f>
        <v>Radiador Foton 1129 Reparado</v>
      </c>
      <c r="C12555" s="380" t="str">
        <f>IFERROR(__xludf.DUMMYFUNCTION("""COMPUTED_VALUE"""),"70008022")</f>
        <v>70008022</v>
      </c>
      <c r="D12555" s="380" t="s">
        <v>767</v>
      </c>
      <c r="E12555" s="380" t="s">
        <v>786</v>
      </c>
      <c r="F12555" s="380" t="s">
        <v>787</v>
      </c>
      <c r="G12555" s="380" t="s">
        <v>1267</v>
      </c>
      <c r="H12555" s="380" t="s">
        <v>771</v>
      </c>
      <c r="I12555" s="380" t="s">
        <v>788</v>
      </c>
      <c r="J12555" s="380" t="s">
        <v>773</v>
      </c>
      <c r="K12555" s="381">
        <v>0.0</v>
      </c>
      <c r="L12555" s="382">
        <v>1.0</v>
      </c>
    </row>
    <row r="12556">
      <c r="A12556" s="380" t="s">
        <v>13430</v>
      </c>
      <c r="B12556" s="380" t="str">
        <f>IFERROR(__xludf.DUMMYFUNCTION("""COMPUTED_VALUE"""),"Motor Arranque N200 Reparado")</f>
        <v>Motor Arranque N200 Reparado</v>
      </c>
      <c r="C12556" s="380" t="str">
        <f>IFERROR(__xludf.DUMMYFUNCTION("""COMPUTED_VALUE"""),"70008023")</f>
        <v>70008023</v>
      </c>
      <c r="D12556" s="380" t="s">
        <v>767</v>
      </c>
      <c r="E12556" s="380" t="s">
        <v>786</v>
      </c>
      <c r="F12556" s="380" t="s">
        <v>998</v>
      </c>
      <c r="G12556" s="380" t="s">
        <v>1267</v>
      </c>
      <c r="H12556" s="380" t="s">
        <v>771</v>
      </c>
      <c r="I12556" s="380" t="s">
        <v>788</v>
      </c>
      <c r="J12556" s="380" t="s">
        <v>773</v>
      </c>
      <c r="K12556" s="381">
        <v>0.0</v>
      </c>
      <c r="L12556" s="382">
        <v>1.0</v>
      </c>
    </row>
    <row r="12557">
      <c r="A12557" s="380" t="s">
        <v>13431</v>
      </c>
      <c r="B12557" s="380" t="str">
        <f>IFERROR(__xludf.DUMMYFUNCTION("""COMPUTED_VALUE"""),"Silla Conductor Dong Feng Reparado")</f>
        <v>Silla Conductor Dong Feng Reparado</v>
      </c>
      <c r="C12557" s="380" t="str">
        <f>IFERROR(__xludf.DUMMYFUNCTION("""COMPUTED_VALUE"""),"70008024")</f>
        <v>70008024</v>
      </c>
      <c r="D12557" s="380" t="s">
        <v>767</v>
      </c>
      <c r="E12557" s="380" t="s">
        <v>786</v>
      </c>
      <c r="F12557" s="380" t="s">
        <v>792</v>
      </c>
      <c r="G12557" s="380" t="s">
        <v>1267</v>
      </c>
      <c r="H12557" s="380" t="s">
        <v>771</v>
      </c>
      <c r="I12557" s="380" t="s">
        <v>788</v>
      </c>
      <c r="J12557" s="380" t="s">
        <v>773</v>
      </c>
      <c r="K12557" s="381">
        <v>0.0</v>
      </c>
      <c r="L12557" s="382">
        <v>1.0</v>
      </c>
    </row>
    <row r="12558">
      <c r="A12558" s="380" t="s">
        <v>13432</v>
      </c>
      <c r="B12558" s="380" t="str">
        <f>IFERROR(__xludf.DUMMYFUNCTION("""COMPUTED_VALUE"""),"Silla Ayudante Dong Feng Reparado")</f>
        <v>Silla Ayudante Dong Feng Reparado</v>
      </c>
      <c r="C12558" s="380" t="str">
        <f>IFERROR(__xludf.DUMMYFUNCTION("""COMPUTED_VALUE"""),"70008025")</f>
        <v>70008025</v>
      </c>
      <c r="D12558" s="380" t="s">
        <v>767</v>
      </c>
      <c r="E12558" s="380" t="s">
        <v>786</v>
      </c>
      <c r="F12558" s="380" t="s">
        <v>792</v>
      </c>
      <c r="G12558" s="380" t="s">
        <v>1267</v>
      </c>
      <c r="H12558" s="380" t="s">
        <v>771</v>
      </c>
      <c r="I12558" s="380" t="s">
        <v>788</v>
      </c>
      <c r="J12558" s="380" t="s">
        <v>773</v>
      </c>
      <c r="K12558" s="381">
        <v>0.0</v>
      </c>
      <c r="L12558" s="382">
        <v>1.0</v>
      </c>
    </row>
    <row r="12559">
      <c r="A12559" s="380" t="s">
        <v>13433</v>
      </c>
      <c r="B12559" s="380" t="str">
        <f>IFERROR(__xludf.DUMMYFUNCTION("""COMPUTED_VALUE"""),"Talco Stop Izquierdo Daf Cf480 1914690")</f>
        <v>Talco Stop Izquierdo Daf Cf480 1914690</v>
      </c>
      <c r="C12559" s="380" t="str">
        <f>IFERROR(__xludf.DUMMYFUNCTION("""COMPUTED_VALUE"""),"70008026")</f>
        <v>70008026</v>
      </c>
      <c r="D12559" s="380" t="s">
        <v>767</v>
      </c>
      <c r="E12559" s="380" t="s">
        <v>786</v>
      </c>
      <c r="F12559" s="380" t="s">
        <v>998</v>
      </c>
      <c r="G12559" s="380" t="s">
        <v>1267</v>
      </c>
      <c r="H12559" s="380" t="s">
        <v>771</v>
      </c>
      <c r="I12559" s="380" t="s">
        <v>788</v>
      </c>
      <c r="J12559" s="380" t="s">
        <v>773</v>
      </c>
      <c r="K12559" s="381">
        <v>0.0</v>
      </c>
      <c r="L12559" s="382">
        <v>1.0</v>
      </c>
    </row>
    <row r="12560">
      <c r="A12560" s="380" t="s">
        <v>13434</v>
      </c>
      <c r="B12560" s="380" t="str">
        <f>IFERROR(__xludf.DUMMYFUNCTION("""COMPUTED_VALUE"""),"Arranque Jac 1042 Reparado")</f>
        <v>Arranque Jac 1042 Reparado</v>
      </c>
      <c r="C12560" s="380" t="str">
        <f>IFERROR(__xludf.DUMMYFUNCTION("""COMPUTED_VALUE"""),"70008027")</f>
        <v>70008027</v>
      </c>
      <c r="D12560" s="380" t="s">
        <v>767</v>
      </c>
      <c r="E12560" s="380" t="s">
        <v>786</v>
      </c>
      <c r="F12560" s="380" t="s">
        <v>998</v>
      </c>
      <c r="G12560" s="380" t="s">
        <v>1267</v>
      </c>
      <c r="H12560" s="380" t="s">
        <v>771</v>
      </c>
      <c r="I12560" s="380" t="s">
        <v>788</v>
      </c>
      <c r="J12560" s="380" t="s">
        <v>773</v>
      </c>
      <c r="K12560" s="381">
        <v>0.0</v>
      </c>
      <c r="L12560" s="382">
        <v>1.0</v>
      </c>
    </row>
    <row r="12561">
      <c r="A12561" s="380" t="s">
        <v>13435</v>
      </c>
      <c r="B12561" s="380" t="str">
        <f>IFERROR(__xludf.DUMMYFUNCTION("""COMPUTED_VALUE"""),"Espejo Capot Lado IZQ In 3787834c92")</f>
        <v>Espejo Capot Lado IZQ In 3787834c92</v>
      </c>
      <c r="C12561" s="380" t="str">
        <f>IFERROR(__xludf.DUMMYFUNCTION("""COMPUTED_VALUE"""),"70008028")</f>
        <v>70008028</v>
      </c>
      <c r="D12561" s="380" t="s">
        <v>767</v>
      </c>
      <c r="E12561" s="380" t="s">
        <v>786</v>
      </c>
      <c r="F12561" s="380" t="s">
        <v>792</v>
      </c>
      <c r="G12561" s="380" t="s">
        <v>1267</v>
      </c>
      <c r="H12561" s="380" t="s">
        <v>771</v>
      </c>
      <c r="I12561" s="380" t="s">
        <v>788</v>
      </c>
      <c r="J12561" s="380" t="s">
        <v>773</v>
      </c>
      <c r="K12561" s="381">
        <v>1358409.0</v>
      </c>
      <c r="L12561" s="382">
        <v>1.0</v>
      </c>
    </row>
    <row r="12562">
      <c r="A12562" s="380" t="s">
        <v>13436</v>
      </c>
      <c r="B12562" s="380" t="str">
        <f>IFERROR(__xludf.DUMMYFUNCTION("""COMPUTED_VALUE"""),"Espaldar Cabina Inter Lt 4078280w92")</f>
        <v>Espaldar Cabina Inter Lt 4078280w92</v>
      </c>
      <c r="C12562" s="380" t="str">
        <f>IFERROR(__xludf.DUMMYFUNCTION("""COMPUTED_VALUE"""),"70008029")</f>
        <v>70008029</v>
      </c>
      <c r="D12562" s="380" t="s">
        <v>767</v>
      </c>
      <c r="E12562" s="380" t="s">
        <v>786</v>
      </c>
      <c r="F12562" s="380" t="s">
        <v>792</v>
      </c>
      <c r="G12562" s="380" t="s">
        <v>1267</v>
      </c>
      <c r="H12562" s="380" t="s">
        <v>771</v>
      </c>
      <c r="I12562" s="380" t="s">
        <v>788</v>
      </c>
      <c r="J12562" s="380" t="s">
        <v>773</v>
      </c>
      <c r="K12562" s="381">
        <v>3648350.0</v>
      </c>
      <c r="L12562" s="382">
        <v>1.0</v>
      </c>
    </row>
    <row r="12563">
      <c r="A12563" s="380" t="s">
        <v>13437</v>
      </c>
      <c r="B12563" s="380" t="str">
        <f>IFERROR(__xludf.DUMMYFUNCTION("""COMPUTED_VALUE"""),"Tornillo Montaje Enfriador De 4101867")</f>
        <v>Tornillo Montaje Enfriador De 4101867</v>
      </c>
      <c r="C12563" s="380" t="str">
        <f>IFERROR(__xludf.DUMMYFUNCTION("""COMPUTED_VALUE"""),"70008030")</f>
        <v>70008030</v>
      </c>
      <c r="D12563" s="380" t="s">
        <v>767</v>
      </c>
      <c r="E12563" s="380" t="s">
        <v>786</v>
      </c>
      <c r="F12563" s="380" t="s">
        <v>787</v>
      </c>
      <c r="G12563" s="380" t="s">
        <v>1267</v>
      </c>
      <c r="H12563" s="380" t="s">
        <v>771</v>
      </c>
      <c r="I12563" s="380" t="s">
        <v>788</v>
      </c>
      <c r="J12563" s="380" t="s">
        <v>773</v>
      </c>
      <c r="K12563" s="381">
        <v>0.0</v>
      </c>
      <c r="L12563" s="382">
        <v>1.0</v>
      </c>
    </row>
    <row r="12564">
      <c r="A12564" s="380" t="s">
        <v>13438</v>
      </c>
      <c r="B12564" s="380" t="str">
        <f>IFERROR(__xludf.DUMMYFUNCTION("""COMPUTED_VALUE"""),"Alternador Planta Eletrica Reparado")</f>
        <v>Alternador Planta Eletrica Reparado</v>
      </c>
      <c r="C12564" s="380" t="str">
        <f>IFERROR(__xludf.DUMMYFUNCTION("""COMPUTED_VALUE"""),"70008031")</f>
        <v>70008031</v>
      </c>
      <c r="D12564" s="380" t="s">
        <v>767</v>
      </c>
      <c r="E12564" s="380" t="s">
        <v>786</v>
      </c>
      <c r="F12564" s="380" t="s">
        <v>998</v>
      </c>
      <c r="G12564" s="380" t="s">
        <v>1267</v>
      </c>
      <c r="H12564" s="380" t="s">
        <v>771</v>
      </c>
      <c r="I12564" s="380" t="s">
        <v>788</v>
      </c>
      <c r="J12564" s="380" t="s">
        <v>773</v>
      </c>
      <c r="K12564" s="381">
        <v>0.0</v>
      </c>
      <c r="L12564" s="382">
        <v>1.0</v>
      </c>
    </row>
    <row r="12565">
      <c r="A12565" s="380" t="s">
        <v>13439</v>
      </c>
      <c r="B12565" s="380" t="str">
        <f>IFERROR(__xludf.DUMMYFUNCTION("""COMPUTED_VALUE"""),"Tapa Cabrilla DIR Nkr Rw 8974059851")</f>
        <v>Tapa Cabrilla DIR Nkr Rw 8974059851</v>
      </c>
      <c r="C12565" s="380" t="str">
        <f>IFERROR(__xludf.DUMMYFUNCTION("""COMPUTED_VALUE"""),"70008032")</f>
        <v>70008032</v>
      </c>
      <c r="D12565" s="380" t="s">
        <v>767</v>
      </c>
      <c r="E12565" s="380" t="s">
        <v>786</v>
      </c>
      <c r="F12565" s="380" t="s">
        <v>792</v>
      </c>
      <c r="G12565" s="380" t="s">
        <v>1267</v>
      </c>
      <c r="H12565" s="380" t="s">
        <v>771</v>
      </c>
      <c r="I12565" s="380" t="s">
        <v>788</v>
      </c>
      <c r="J12565" s="380" t="s">
        <v>773</v>
      </c>
      <c r="K12565" s="381">
        <v>0.0</v>
      </c>
      <c r="L12565" s="382">
        <v>1.0</v>
      </c>
    </row>
    <row r="12566">
      <c r="A12566" s="380" t="s">
        <v>13440</v>
      </c>
      <c r="B12566" s="380" t="str">
        <f>IFERROR(__xludf.DUMMYFUNCTION("""COMPUTED_VALUE"""),"Bateria Montacarga Electrico Reparado")</f>
        <v>Bateria Montacarga Electrico Reparado</v>
      </c>
      <c r="C12566" s="380" t="str">
        <f>IFERROR(__xludf.DUMMYFUNCTION("""COMPUTED_VALUE"""),"70008033")</f>
        <v>70008033</v>
      </c>
      <c r="D12566" s="380" t="s">
        <v>767</v>
      </c>
      <c r="E12566" s="380" t="s">
        <v>786</v>
      </c>
      <c r="F12566" s="380" t="s">
        <v>998</v>
      </c>
      <c r="G12566" s="380" t="s">
        <v>1267</v>
      </c>
      <c r="H12566" s="380" t="s">
        <v>771</v>
      </c>
      <c r="I12566" s="380" t="s">
        <v>788</v>
      </c>
      <c r="J12566" s="380" t="s">
        <v>773</v>
      </c>
      <c r="K12566" s="381">
        <v>0.0</v>
      </c>
      <c r="L12566" s="382">
        <v>1.0</v>
      </c>
    </row>
    <row r="12567">
      <c r="A12567" s="380" t="s">
        <v>13441</v>
      </c>
      <c r="B12567" s="380" t="str">
        <f>IFERROR(__xludf.DUMMYFUNCTION("""COMPUTED_VALUE"""),"Correa Motor Isf 3.8 Cummins J 5690221")</f>
        <v>Correa Motor Isf 3.8 Cummins J 5690221</v>
      </c>
      <c r="C12567" s="380" t="str">
        <f>IFERROR(__xludf.DUMMYFUNCTION("""COMPUTED_VALUE"""),"70008034")</f>
        <v>70008034</v>
      </c>
      <c r="D12567" s="380" t="s">
        <v>767</v>
      </c>
      <c r="E12567" s="380" t="s">
        <v>786</v>
      </c>
      <c r="F12567" s="380" t="s">
        <v>787</v>
      </c>
      <c r="G12567" s="380" t="s">
        <v>1267</v>
      </c>
      <c r="H12567" s="380" t="s">
        <v>771</v>
      </c>
      <c r="I12567" s="380" t="s">
        <v>788</v>
      </c>
      <c r="J12567" s="380" t="s">
        <v>773</v>
      </c>
      <c r="K12567" s="381">
        <v>0.0</v>
      </c>
      <c r="L12567" s="382">
        <v>1.0</v>
      </c>
    </row>
    <row r="12568">
      <c r="A12568" s="380" t="s">
        <v>13442</v>
      </c>
      <c r="B12568" s="380" t="str">
        <f>IFERROR(__xludf.DUMMYFUNCTION("""COMPUTED_VALUE"""),"Inyector Vans N200 Reparado")</f>
        <v>Inyector Vans N200 Reparado</v>
      </c>
      <c r="C12568" s="380" t="str">
        <f>IFERROR(__xludf.DUMMYFUNCTION("""COMPUTED_VALUE"""),"70008035")</f>
        <v>70008035</v>
      </c>
      <c r="D12568" s="380" t="s">
        <v>767</v>
      </c>
      <c r="E12568" s="380" t="s">
        <v>786</v>
      </c>
      <c r="F12568" s="380" t="s">
        <v>787</v>
      </c>
      <c r="G12568" s="380" t="s">
        <v>1267</v>
      </c>
      <c r="H12568" s="380" t="s">
        <v>771</v>
      </c>
      <c r="I12568" s="380" t="s">
        <v>788</v>
      </c>
      <c r="J12568" s="380" t="s">
        <v>773</v>
      </c>
      <c r="K12568" s="381">
        <v>0.0</v>
      </c>
      <c r="L12568" s="382">
        <v>1.0</v>
      </c>
    </row>
    <row r="12569">
      <c r="A12569" s="380" t="s">
        <v>13443</v>
      </c>
      <c r="B12569" s="380" t="str">
        <f>IFERROR(__xludf.DUMMYFUNCTION("""COMPUTED_VALUE"""),"Palanca Freno De Mano FT 1039 7701023698")</f>
        <v>Palanca Freno De Mano FT 1039 7701023698</v>
      </c>
      <c r="C12569" s="380" t="str">
        <f>IFERROR(__xludf.DUMMYFUNCTION("""COMPUTED_VALUE"""),"70008036")</f>
        <v>70008036</v>
      </c>
      <c r="D12569" s="380" t="s">
        <v>767</v>
      </c>
      <c r="E12569" s="380" t="s">
        <v>786</v>
      </c>
      <c r="F12569" s="380" t="s">
        <v>1017</v>
      </c>
      <c r="G12569" s="380" t="s">
        <v>1267</v>
      </c>
      <c r="H12569" s="380" t="s">
        <v>771</v>
      </c>
      <c r="I12569" s="380" t="s">
        <v>788</v>
      </c>
      <c r="J12569" s="380" t="s">
        <v>773</v>
      </c>
      <c r="K12569" s="381">
        <v>0.0</v>
      </c>
      <c r="L12569" s="382">
        <v>1.0</v>
      </c>
    </row>
    <row r="12570">
      <c r="A12570" s="380" t="s">
        <v>13444</v>
      </c>
      <c r="B12570" s="380" t="str">
        <f>IFERROR(__xludf.DUMMYFUNCTION("""COMPUTED_VALUE"""),"Comando Luces Moto Ax 100 57300h20715h00")</f>
        <v>Comando Luces Moto Ax 100 57300h20715h00</v>
      </c>
      <c r="C12570" s="380" t="str">
        <f>IFERROR(__xludf.DUMMYFUNCTION("""COMPUTED_VALUE"""),"70008037")</f>
        <v>70008037</v>
      </c>
      <c r="D12570" s="380" t="s">
        <v>767</v>
      </c>
      <c r="E12570" s="380" t="s">
        <v>786</v>
      </c>
      <c r="F12570" s="380" t="s">
        <v>998</v>
      </c>
      <c r="G12570" s="380" t="s">
        <v>1267</v>
      </c>
      <c r="H12570" s="380" t="s">
        <v>771</v>
      </c>
      <c r="I12570" s="380" t="s">
        <v>788</v>
      </c>
      <c r="J12570" s="380" t="s">
        <v>773</v>
      </c>
      <c r="K12570" s="381">
        <v>0.0</v>
      </c>
      <c r="L12570" s="382">
        <v>1.0</v>
      </c>
    </row>
    <row r="12571">
      <c r="A12571" s="380" t="s">
        <v>13445</v>
      </c>
      <c r="B12571" s="380" t="str">
        <f>IFERROR(__xludf.DUMMYFUNCTION("""COMPUTED_VALUE"""),"Modulo Control Jac Reparado")</f>
        <v>Modulo Control Jac Reparado</v>
      </c>
      <c r="C12571" s="380" t="str">
        <f>IFERROR(__xludf.DUMMYFUNCTION("""COMPUTED_VALUE"""),"70008038")</f>
        <v>70008038</v>
      </c>
      <c r="D12571" s="380" t="s">
        <v>767</v>
      </c>
      <c r="E12571" s="380" t="s">
        <v>786</v>
      </c>
      <c r="F12571" s="380" t="s">
        <v>998</v>
      </c>
      <c r="G12571" s="380" t="s">
        <v>1267</v>
      </c>
      <c r="H12571" s="380" t="s">
        <v>771</v>
      </c>
      <c r="I12571" s="380" t="s">
        <v>788</v>
      </c>
      <c r="J12571" s="380" t="s">
        <v>773</v>
      </c>
      <c r="K12571" s="381">
        <v>0.0</v>
      </c>
      <c r="L12571" s="382">
        <v>1.0</v>
      </c>
    </row>
    <row r="12572">
      <c r="A12572" s="380" t="s">
        <v>13446</v>
      </c>
      <c r="B12572" s="380" t="str">
        <f>IFERROR(__xludf.DUMMYFUNCTION("""COMPUTED_VALUE"""),"Arranque Jac Reparado")</f>
        <v>Arranque Jac Reparado</v>
      </c>
      <c r="C12572" s="380" t="str">
        <f>IFERROR(__xludf.DUMMYFUNCTION("""COMPUTED_VALUE"""),"70008039")</f>
        <v>70008039</v>
      </c>
      <c r="D12572" s="380" t="s">
        <v>767</v>
      </c>
      <c r="E12572" s="380" t="s">
        <v>786</v>
      </c>
      <c r="F12572" s="380" t="s">
        <v>998</v>
      </c>
      <c r="G12572" s="380" t="s">
        <v>1267</v>
      </c>
      <c r="H12572" s="380" t="s">
        <v>771</v>
      </c>
      <c r="I12572" s="380" t="s">
        <v>788</v>
      </c>
      <c r="J12572" s="380" t="s">
        <v>773</v>
      </c>
      <c r="K12572" s="381">
        <v>0.0</v>
      </c>
      <c r="L12572" s="382">
        <v>1.0</v>
      </c>
    </row>
    <row r="12573">
      <c r="A12573" s="380" t="s">
        <v>13447</v>
      </c>
      <c r="B12573" s="380" t="str">
        <f>IFERROR(__xludf.DUMMYFUNCTION("""COMPUTED_VALUE"""),"Rodamiento Polea VENT Fo Bd3512du8a")</f>
        <v>Rodamiento Polea VENT Fo Bd3512du8a</v>
      </c>
      <c r="C12573" s="380" t="str">
        <f>IFERROR(__xludf.DUMMYFUNCTION("""COMPUTED_VALUE"""),"70008040")</f>
        <v>70008040</v>
      </c>
      <c r="D12573" s="380" t="s">
        <v>767</v>
      </c>
      <c r="E12573" s="380" t="s">
        <v>786</v>
      </c>
      <c r="F12573" s="380" t="s">
        <v>787</v>
      </c>
      <c r="G12573" s="380" t="s">
        <v>1267</v>
      </c>
      <c r="H12573" s="380" t="s">
        <v>771</v>
      </c>
      <c r="I12573" s="380" t="s">
        <v>788</v>
      </c>
      <c r="J12573" s="380" t="s">
        <v>773</v>
      </c>
      <c r="K12573" s="381">
        <v>0.0</v>
      </c>
      <c r="L12573" s="382">
        <v>1.0</v>
      </c>
    </row>
    <row r="12574">
      <c r="A12574" s="380" t="s">
        <v>13448</v>
      </c>
      <c r="B12574" s="380" t="str">
        <f>IFERROR(__xludf.DUMMYFUNCTION("""COMPUTED_VALUE"""),"Bomba De Combustible Motor Frr Reparado")</f>
        <v>Bomba De Combustible Motor Frr Reparado</v>
      </c>
      <c r="C12574" s="380" t="str">
        <f>IFERROR(__xludf.DUMMYFUNCTION("""COMPUTED_VALUE"""),"70008041")</f>
        <v>70008041</v>
      </c>
      <c r="D12574" s="380" t="s">
        <v>767</v>
      </c>
      <c r="E12574" s="380" t="s">
        <v>786</v>
      </c>
      <c r="F12574" s="380" t="s">
        <v>787</v>
      </c>
      <c r="G12574" s="380" t="s">
        <v>1267</v>
      </c>
      <c r="H12574" s="380" t="s">
        <v>771</v>
      </c>
      <c r="I12574" s="380" t="s">
        <v>788</v>
      </c>
      <c r="J12574" s="380" t="s">
        <v>773</v>
      </c>
      <c r="K12574" s="381">
        <v>0.0</v>
      </c>
      <c r="L12574" s="382">
        <v>1.0</v>
      </c>
    </row>
    <row r="12575">
      <c r="A12575" s="380" t="s">
        <v>13449</v>
      </c>
      <c r="B12575" s="380" t="str">
        <f>IFERROR(__xludf.DUMMYFUNCTION("""COMPUTED_VALUE"""),"Esquinero Superior DER Hin 8791537020")</f>
        <v>Esquinero Superior DER Hin 8791537020</v>
      </c>
      <c r="C12575" s="380" t="str">
        <f>IFERROR(__xludf.DUMMYFUNCTION("""COMPUTED_VALUE"""),"70008042")</f>
        <v>70008042</v>
      </c>
      <c r="D12575" s="380" t="s">
        <v>767</v>
      </c>
      <c r="E12575" s="380" t="s">
        <v>786</v>
      </c>
      <c r="F12575" s="380" t="s">
        <v>792</v>
      </c>
      <c r="G12575" s="380" t="s">
        <v>1267</v>
      </c>
      <c r="H12575" s="380" t="s">
        <v>771</v>
      </c>
      <c r="I12575" s="380" t="s">
        <v>788</v>
      </c>
      <c r="J12575" s="380" t="s">
        <v>773</v>
      </c>
      <c r="K12575" s="381">
        <v>0.0</v>
      </c>
      <c r="L12575" s="382">
        <v>1.0</v>
      </c>
    </row>
    <row r="12576">
      <c r="A12576" s="380" t="s">
        <v>13450</v>
      </c>
      <c r="B12576" s="380" t="str">
        <f>IFERROR(__xludf.DUMMYFUNCTION("""COMPUTED_VALUE"""),"Kit Rodillos CJ Fuller Hi Eaton 4300902")</f>
        <v>Kit Rodillos CJ Fuller Hi Eaton 4300902</v>
      </c>
      <c r="C12576" s="380" t="str">
        <f>IFERROR(__xludf.DUMMYFUNCTION("""COMPUTED_VALUE"""),"70008043")</f>
        <v>70008043</v>
      </c>
      <c r="D12576" s="380" t="s">
        <v>767</v>
      </c>
      <c r="E12576" s="380" t="s">
        <v>786</v>
      </c>
      <c r="F12576" s="380" t="s">
        <v>928</v>
      </c>
      <c r="G12576" s="380" t="s">
        <v>1267</v>
      </c>
      <c r="H12576" s="380" t="s">
        <v>771</v>
      </c>
      <c r="I12576" s="380" t="s">
        <v>788</v>
      </c>
      <c r="J12576" s="380" t="s">
        <v>773</v>
      </c>
      <c r="K12576" s="381">
        <v>0.0</v>
      </c>
      <c r="L12576" s="382">
        <v>1.0</v>
      </c>
    </row>
    <row r="12577">
      <c r="A12577" s="380" t="s">
        <v>13451</v>
      </c>
      <c r="B12577" s="380" t="str">
        <f>IFERROR(__xludf.DUMMYFUNCTION("""COMPUTED_VALUE"""),"Radiador Motor Foton 1039 Reparado")</f>
        <v>Radiador Motor Foton 1039 Reparado</v>
      </c>
      <c r="C12577" s="380" t="str">
        <f>IFERROR(__xludf.DUMMYFUNCTION("""COMPUTED_VALUE"""),"70008044")</f>
        <v>70008044</v>
      </c>
      <c r="D12577" s="380" t="s">
        <v>767</v>
      </c>
      <c r="E12577" s="380" t="s">
        <v>786</v>
      </c>
      <c r="F12577" s="380" t="s">
        <v>787</v>
      </c>
      <c r="G12577" s="380" t="s">
        <v>1267</v>
      </c>
      <c r="H12577" s="380" t="s">
        <v>771</v>
      </c>
      <c r="I12577" s="380" t="s">
        <v>788</v>
      </c>
      <c r="J12577" s="380" t="s">
        <v>773</v>
      </c>
      <c r="K12577" s="381">
        <v>486000.0</v>
      </c>
      <c r="L12577" s="382">
        <v>1.0</v>
      </c>
    </row>
    <row r="12578">
      <c r="A12578" s="380" t="s">
        <v>13452</v>
      </c>
      <c r="B12578" s="380" t="str">
        <f>IFERROR(__xludf.DUMMYFUNCTION("""COMPUTED_VALUE"""),"Ensor Reversa HY H100 Por 938604a010")</f>
        <v>Ensor Reversa HY H100 Por 938604a010</v>
      </c>
      <c r="C12578" s="380" t="str">
        <f>IFERROR(__xludf.DUMMYFUNCTION("""COMPUTED_VALUE"""),"70008045")</f>
        <v>70008045</v>
      </c>
      <c r="D12578" s="380" t="s">
        <v>767</v>
      </c>
      <c r="E12578" s="380" t="s">
        <v>786</v>
      </c>
      <c r="F12578" s="380" t="s">
        <v>998</v>
      </c>
      <c r="G12578" s="380" t="s">
        <v>1267</v>
      </c>
      <c r="H12578" s="380" t="s">
        <v>771</v>
      </c>
      <c r="I12578" s="380" t="s">
        <v>788</v>
      </c>
      <c r="J12578" s="380" t="s">
        <v>773</v>
      </c>
      <c r="K12578" s="381">
        <v>0.0</v>
      </c>
      <c r="L12578" s="382">
        <v>1.0</v>
      </c>
    </row>
    <row r="12579">
      <c r="A12579" s="380" t="s">
        <v>13453</v>
      </c>
      <c r="B12579" s="380" t="str">
        <f>IFERROR(__xludf.DUMMYFUNCTION("""COMPUTED_VALUE"""),"Caja Hidraulica Renault Master J004")</f>
        <v>Caja Hidraulica Renault Master J004</v>
      </c>
      <c r="C12579" s="380" t="str">
        <f>IFERROR(__xludf.DUMMYFUNCTION("""COMPUTED_VALUE"""),"70008046")</f>
        <v>70008046</v>
      </c>
      <c r="D12579" s="380" t="s">
        <v>767</v>
      </c>
      <c r="E12579" s="380" t="s">
        <v>786</v>
      </c>
      <c r="F12579" s="380" t="s">
        <v>1020</v>
      </c>
      <c r="G12579" s="380" t="s">
        <v>1267</v>
      </c>
      <c r="H12579" s="380" t="s">
        <v>771</v>
      </c>
      <c r="I12579" s="380" t="s">
        <v>788</v>
      </c>
      <c r="J12579" s="380" t="s">
        <v>773</v>
      </c>
      <c r="K12579" s="381">
        <v>0.0</v>
      </c>
      <c r="L12579" s="382">
        <v>1.0</v>
      </c>
    </row>
    <row r="12580">
      <c r="A12580" s="380" t="s">
        <v>13454</v>
      </c>
      <c r="B12580" s="380" t="str">
        <f>IFERROR(__xludf.DUMMYFUNCTION("""COMPUTED_VALUE"""),"Bomba Inyeccion Hyundai H100 Reparado")</f>
        <v>Bomba Inyeccion Hyundai H100 Reparado</v>
      </c>
      <c r="C12580" s="380" t="str">
        <f>IFERROR(__xludf.DUMMYFUNCTION("""COMPUTED_VALUE"""),"70008047")</f>
        <v>70008047</v>
      </c>
      <c r="D12580" s="380" t="s">
        <v>767</v>
      </c>
      <c r="E12580" s="380" t="s">
        <v>786</v>
      </c>
      <c r="F12580" s="380" t="s">
        <v>787</v>
      </c>
      <c r="G12580" s="380" t="s">
        <v>1267</v>
      </c>
      <c r="H12580" s="380" t="s">
        <v>771</v>
      </c>
      <c r="I12580" s="380" t="s">
        <v>788</v>
      </c>
      <c r="J12580" s="380" t="s">
        <v>773</v>
      </c>
      <c r="K12580" s="381">
        <v>0.0</v>
      </c>
      <c r="L12580" s="382">
        <v>1.0</v>
      </c>
    </row>
    <row r="12581">
      <c r="A12581" s="380" t="s">
        <v>13455</v>
      </c>
      <c r="B12581" s="380" t="str">
        <f>IFERROR(__xludf.DUMMYFUNCTION("""COMPUTED_VALUE"""),"Bloque Motor Hyundai H100 Reparado")</f>
        <v>Bloque Motor Hyundai H100 Reparado</v>
      </c>
      <c r="C12581" s="380" t="str">
        <f>IFERROR(__xludf.DUMMYFUNCTION("""COMPUTED_VALUE"""),"70008048")</f>
        <v>70008048</v>
      </c>
      <c r="D12581" s="380" t="s">
        <v>767</v>
      </c>
      <c r="E12581" s="380" t="s">
        <v>786</v>
      </c>
      <c r="F12581" s="380" t="s">
        <v>787</v>
      </c>
      <c r="G12581" s="380" t="s">
        <v>1267</v>
      </c>
      <c r="H12581" s="380" t="s">
        <v>771</v>
      </c>
      <c r="I12581" s="380" t="s">
        <v>788</v>
      </c>
      <c r="J12581" s="380" t="s">
        <v>773</v>
      </c>
      <c r="K12581" s="381">
        <v>0.0</v>
      </c>
      <c r="L12581" s="382">
        <v>1.0</v>
      </c>
    </row>
    <row r="12582">
      <c r="A12582" s="380" t="s">
        <v>13456</v>
      </c>
      <c r="B12582" s="380" t="str">
        <f>IFERROR(__xludf.DUMMYFUNCTION("""COMPUTED_VALUE"""),"DIRal PTA DER Fot 1023095556")</f>
        <v>DIRal PTA DER Fot 1023095556</v>
      </c>
      <c r="C12582" s="380" t="str">
        <f>IFERROR(__xludf.DUMMYFUNCTION("""COMPUTED_VALUE"""),"70008049")</f>
        <v>70008049</v>
      </c>
      <c r="D12582" s="380" t="s">
        <v>767</v>
      </c>
      <c r="E12582" s="380" t="s">
        <v>786</v>
      </c>
      <c r="F12582" s="380" t="s">
        <v>998</v>
      </c>
      <c r="G12582" s="380" t="s">
        <v>1267</v>
      </c>
      <c r="H12582" s="380" t="s">
        <v>771</v>
      </c>
      <c r="I12582" s="380" t="s">
        <v>788</v>
      </c>
      <c r="J12582" s="380" t="s">
        <v>773</v>
      </c>
      <c r="K12582" s="381">
        <v>0.0</v>
      </c>
      <c r="L12582" s="382">
        <v>1.0</v>
      </c>
    </row>
    <row r="12583">
      <c r="A12583" s="380" t="s">
        <v>13457</v>
      </c>
      <c r="B12583" s="380" t="str">
        <f>IFERROR(__xludf.DUMMYFUNCTION("""COMPUTED_VALUE"""),"Multiple Admision Foton Mv5 5946036344")</f>
        <v>Multiple Admision Foton Mv5 5946036344</v>
      </c>
      <c r="C12583" s="380" t="str">
        <f>IFERROR(__xludf.DUMMYFUNCTION("""COMPUTED_VALUE"""),"70008050")</f>
        <v>70008050</v>
      </c>
      <c r="D12583" s="380" t="s">
        <v>767</v>
      </c>
      <c r="E12583" s="380" t="s">
        <v>786</v>
      </c>
      <c r="F12583" s="380" t="s">
        <v>787</v>
      </c>
      <c r="G12583" s="380" t="s">
        <v>1267</v>
      </c>
      <c r="H12583" s="380" t="s">
        <v>771</v>
      </c>
      <c r="I12583" s="380" t="s">
        <v>788</v>
      </c>
      <c r="J12583" s="380" t="s">
        <v>773</v>
      </c>
      <c r="K12583" s="381">
        <v>0.0</v>
      </c>
      <c r="L12583" s="382">
        <v>1.0</v>
      </c>
    </row>
    <row r="12584">
      <c r="A12584" s="380" t="s">
        <v>13458</v>
      </c>
      <c r="B12584" s="380" t="str">
        <f>IFERROR(__xludf.DUMMYFUNCTION("""COMPUTED_VALUE"""),"Inyector Hyundai H100 Reparado")</f>
        <v>Inyector Hyundai H100 Reparado</v>
      </c>
      <c r="C12584" s="380" t="str">
        <f>IFERROR(__xludf.DUMMYFUNCTION("""COMPUTED_VALUE"""),"70008051")</f>
        <v>70008051</v>
      </c>
      <c r="D12584" s="380" t="s">
        <v>767</v>
      </c>
      <c r="E12584" s="380" t="s">
        <v>786</v>
      </c>
      <c r="F12584" s="380" t="s">
        <v>787</v>
      </c>
      <c r="G12584" s="380" t="s">
        <v>1267</v>
      </c>
      <c r="H12584" s="380" t="s">
        <v>771</v>
      </c>
      <c r="I12584" s="380" t="s">
        <v>788</v>
      </c>
      <c r="J12584" s="380" t="s">
        <v>773</v>
      </c>
      <c r="K12584" s="381">
        <v>0.0</v>
      </c>
      <c r="L12584" s="382">
        <v>1.0</v>
      </c>
    </row>
    <row r="12585">
      <c r="A12585" s="380" t="s">
        <v>13459</v>
      </c>
      <c r="B12585" s="380" t="str">
        <f>IFERROR(__xludf.DUMMYFUNCTION("""COMPUTED_VALUE"""),"Cremallera Vidrio Elec DEL Mv5 770594619")</f>
        <v>Cremallera Vidrio Elec DEL Mv5 770594619</v>
      </c>
      <c r="C12585" s="380" t="str">
        <f>IFERROR(__xludf.DUMMYFUNCTION("""COMPUTED_VALUE"""),"70008052")</f>
        <v>70008052</v>
      </c>
      <c r="D12585" s="380" t="s">
        <v>767</v>
      </c>
      <c r="E12585" s="380" t="s">
        <v>786</v>
      </c>
      <c r="F12585" s="380" t="s">
        <v>792</v>
      </c>
      <c r="G12585" s="380" t="s">
        <v>1267</v>
      </c>
      <c r="H12585" s="380" t="s">
        <v>771</v>
      </c>
      <c r="I12585" s="380" t="s">
        <v>788</v>
      </c>
      <c r="J12585" s="380" t="s">
        <v>773</v>
      </c>
      <c r="K12585" s="381">
        <v>0.0</v>
      </c>
      <c r="L12585" s="382">
        <v>1.0</v>
      </c>
    </row>
    <row r="12586">
      <c r="A12586" s="380" t="s">
        <v>13460</v>
      </c>
      <c r="B12586" s="380" t="str">
        <f>IFERROR(__xludf.DUMMYFUNCTION("""COMPUTED_VALUE"""),"Cuna Direccion Moto Dr650")</f>
        <v>Cuna Direccion Moto Dr650</v>
      </c>
      <c r="C12586" s="380" t="str">
        <f>IFERROR(__xludf.DUMMYFUNCTION("""COMPUTED_VALUE"""),"70008053")</f>
        <v>70008053</v>
      </c>
      <c r="D12586" s="380" t="s">
        <v>767</v>
      </c>
      <c r="E12586" s="380" t="s">
        <v>786</v>
      </c>
      <c r="F12586" s="380" t="s">
        <v>1020</v>
      </c>
      <c r="G12586" s="380" t="s">
        <v>1267</v>
      </c>
      <c r="H12586" s="380" t="s">
        <v>771</v>
      </c>
      <c r="I12586" s="380" t="s">
        <v>788</v>
      </c>
      <c r="J12586" s="380" t="s">
        <v>773</v>
      </c>
      <c r="K12586" s="381">
        <v>0.0</v>
      </c>
      <c r="L12586" s="382">
        <v>1.0</v>
      </c>
    </row>
    <row r="12587">
      <c r="A12587" s="380" t="s">
        <v>13461</v>
      </c>
      <c r="B12587" s="380" t="str">
        <f>IFERROR(__xludf.DUMMYFUNCTION("""COMPUTED_VALUE"""),"Fan Clutch Completo Con Tornillos Lt Int")</f>
        <v>Fan Clutch Completo Con Tornillos Lt Int</v>
      </c>
      <c r="C12587" s="380" t="str">
        <f>IFERROR(__xludf.DUMMYFUNCTION("""COMPUTED_VALUE"""),"70008054")</f>
        <v>70008054</v>
      </c>
      <c r="D12587" s="380" t="s">
        <v>767</v>
      </c>
      <c r="E12587" s="380" t="s">
        <v>786</v>
      </c>
      <c r="F12587" s="380" t="s">
        <v>787</v>
      </c>
      <c r="G12587" s="380" t="s">
        <v>1267</v>
      </c>
      <c r="H12587" s="380" t="s">
        <v>771</v>
      </c>
      <c r="I12587" s="380" t="s">
        <v>788</v>
      </c>
      <c r="J12587" s="380" t="s">
        <v>773</v>
      </c>
      <c r="K12587" s="381">
        <v>0.0</v>
      </c>
      <c r="L12587" s="382">
        <v>1.0</v>
      </c>
    </row>
    <row r="12588">
      <c r="A12588" s="380" t="s">
        <v>13462</v>
      </c>
      <c r="B12588" s="380" t="str">
        <f>IFERROR(__xludf.DUMMYFUNCTION("""COMPUTED_VALUE"""),"Manubrio Moto Suzuki Dr 650")</f>
        <v>Manubrio Moto Suzuki Dr 650</v>
      </c>
      <c r="C12588" s="380" t="str">
        <f>IFERROR(__xludf.DUMMYFUNCTION("""COMPUTED_VALUE"""),"70008055")</f>
        <v>70008055</v>
      </c>
      <c r="D12588" s="380" t="s">
        <v>767</v>
      </c>
      <c r="E12588" s="380" t="s">
        <v>786</v>
      </c>
      <c r="F12588" s="380" t="s">
        <v>792</v>
      </c>
      <c r="G12588" s="380" t="s">
        <v>1267</v>
      </c>
      <c r="H12588" s="380" t="s">
        <v>771</v>
      </c>
      <c r="I12588" s="380" t="s">
        <v>788</v>
      </c>
      <c r="J12588" s="380" t="s">
        <v>773</v>
      </c>
      <c r="K12588" s="381">
        <v>0.0</v>
      </c>
      <c r="L12588" s="382">
        <v>1.0</v>
      </c>
    </row>
    <row r="12589">
      <c r="A12589" s="380" t="s">
        <v>13463</v>
      </c>
      <c r="B12589" s="380" t="str">
        <f>IFERROR(__xludf.DUMMYFUNCTION("""COMPUTED_VALUE"""),"VALV Freno De Ahogo FT C 1023294362")</f>
        <v>VALV Freno De Ahogo FT C 1023294362</v>
      </c>
      <c r="C12589" s="380" t="str">
        <f>IFERROR(__xludf.DUMMYFUNCTION("""COMPUTED_VALUE"""),"70008056")</f>
        <v>70008056</v>
      </c>
      <c r="D12589" s="380" t="s">
        <v>767</v>
      </c>
      <c r="E12589" s="380" t="s">
        <v>786</v>
      </c>
      <c r="F12589" s="380" t="s">
        <v>1017</v>
      </c>
      <c r="G12589" s="380" t="s">
        <v>1267</v>
      </c>
      <c r="H12589" s="380" t="s">
        <v>771</v>
      </c>
      <c r="I12589" s="380" t="s">
        <v>788</v>
      </c>
      <c r="J12589" s="380" t="s">
        <v>773</v>
      </c>
      <c r="K12589" s="381">
        <v>0.0</v>
      </c>
      <c r="L12589" s="382">
        <v>1.0</v>
      </c>
    </row>
    <row r="12590">
      <c r="A12590" s="380" t="s">
        <v>13464</v>
      </c>
      <c r="B12590" s="380" t="str">
        <f>IFERROR(__xludf.DUMMYFUNCTION("""COMPUTED_VALUE"""),"Capot International Lt Reparado")</f>
        <v>Capot International Lt Reparado</v>
      </c>
      <c r="C12590" s="380" t="str">
        <f>IFERROR(__xludf.DUMMYFUNCTION("""COMPUTED_VALUE"""),"70008057")</f>
        <v>70008057</v>
      </c>
      <c r="D12590" s="380" t="s">
        <v>767</v>
      </c>
      <c r="E12590" s="380" t="s">
        <v>786</v>
      </c>
      <c r="F12590" s="380" t="s">
        <v>792</v>
      </c>
      <c r="G12590" s="380" t="s">
        <v>1267</v>
      </c>
      <c r="H12590" s="380" t="s">
        <v>771</v>
      </c>
      <c r="I12590" s="380" t="s">
        <v>788</v>
      </c>
      <c r="J12590" s="380" t="s">
        <v>773</v>
      </c>
      <c r="K12590" s="381">
        <v>0.0</v>
      </c>
      <c r="L12590" s="382">
        <v>1.0</v>
      </c>
    </row>
    <row r="12591">
      <c r="A12591" s="380" t="s">
        <v>13465</v>
      </c>
      <c r="B12591" s="380" t="str">
        <f>IFERROR(__xludf.DUMMYFUNCTION("""COMPUTED_VALUE"""),"Tuberia Del RAD REN M 924108925r")</f>
        <v>Tuberia Del RAD REN M 924108925r</v>
      </c>
      <c r="C12591" s="380" t="str">
        <f>IFERROR(__xludf.DUMMYFUNCTION("""COMPUTED_VALUE"""),"70008058")</f>
        <v>70008058</v>
      </c>
      <c r="D12591" s="380" t="s">
        <v>767</v>
      </c>
      <c r="E12591" s="380" t="s">
        <v>786</v>
      </c>
      <c r="F12591" s="380" t="s">
        <v>787</v>
      </c>
      <c r="G12591" s="380" t="s">
        <v>1267</v>
      </c>
      <c r="H12591" s="380" t="s">
        <v>771</v>
      </c>
      <c r="I12591" s="380" t="s">
        <v>788</v>
      </c>
      <c r="J12591" s="380" t="s">
        <v>773</v>
      </c>
      <c r="K12591" s="381">
        <v>0.0</v>
      </c>
      <c r="L12591" s="382">
        <v>1.0</v>
      </c>
    </row>
    <row r="12592">
      <c r="A12592" s="380" t="s">
        <v>13466</v>
      </c>
      <c r="B12592" s="380" t="str">
        <f>IFERROR(__xludf.DUMMYFUNCTION("""COMPUTED_VALUE"""),"Juego Pastillas Freno Delante Yf3501a104")</f>
        <v>Juego Pastillas Freno Delante Yf3501a104</v>
      </c>
      <c r="C12592" s="380" t="str">
        <f>IFERROR(__xludf.DUMMYFUNCTION("""COMPUTED_VALUE"""),"70008059")</f>
        <v>70008059</v>
      </c>
      <c r="D12592" s="380" t="s">
        <v>767</v>
      </c>
      <c r="E12592" s="380" t="s">
        <v>786</v>
      </c>
      <c r="F12592" s="380" t="s">
        <v>1017</v>
      </c>
      <c r="G12592" s="380" t="s">
        <v>1267</v>
      </c>
      <c r="H12592" s="380" t="s">
        <v>771</v>
      </c>
      <c r="I12592" s="380" t="s">
        <v>788</v>
      </c>
      <c r="J12592" s="380" t="s">
        <v>773</v>
      </c>
      <c r="K12592" s="381">
        <v>0.0</v>
      </c>
      <c r="L12592" s="382">
        <v>1.0</v>
      </c>
    </row>
    <row r="12593">
      <c r="A12593" s="380" t="s">
        <v>13467</v>
      </c>
      <c r="B12593" s="380" t="str">
        <f>IFERROR(__xludf.DUMMYFUNCTION("""COMPUTED_VALUE"""),"Modulo Uch Sagem REN Maste 8200943288")</f>
        <v>Modulo Uch Sagem REN Maste 8200943288</v>
      </c>
      <c r="C12593" s="380" t="str">
        <f>IFERROR(__xludf.DUMMYFUNCTION("""COMPUTED_VALUE"""),"70008060")</f>
        <v>70008060</v>
      </c>
      <c r="D12593" s="380" t="s">
        <v>767</v>
      </c>
      <c r="E12593" s="380" t="s">
        <v>786</v>
      </c>
      <c r="F12593" s="380" t="s">
        <v>998</v>
      </c>
      <c r="G12593" s="380" t="s">
        <v>1267</v>
      </c>
      <c r="H12593" s="380" t="s">
        <v>771</v>
      </c>
      <c r="I12593" s="380" t="s">
        <v>788</v>
      </c>
      <c r="J12593" s="380" t="s">
        <v>773</v>
      </c>
      <c r="K12593" s="381">
        <v>0.0</v>
      </c>
      <c r="L12593" s="382">
        <v>1.0</v>
      </c>
    </row>
    <row r="12594">
      <c r="A12594" s="380" t="s">
        <v>13468</v>
      </c>
      <c r="B12594" s="380" t="str">
        <f>IFERROR(__xludf.DUMMYFUNCTION("""COMPUTED_VALUE"""),"Valvula Descargue Freno Delant 229844")</f>
        <v>Valvula Descargue Freno Delant 229844</v>
      </c>
      <c r="C12594" s="380" t="str">
        <f>IFERROR(__xludf.DUMMYFUNCTION("""COMPUTED_VALUE"""),"70008061")</f>
        <v>70008061</v>
      </c>
      <c r="D12594" s="380" t="s">
        <v>767</v>
      </c>
      <c r="E12594" s="380" t="s">
        <v>786</v>
      </c>
      <c r="F12594" s="380" t="s">
        <v>1017</v>
      </c>
      <c r="G12594" s="380" t="s">
        <v>1267</v>
      </c>
      <c r="H12594" s="380" t="s">
        <v>771</v>
      </c>
      <c r="I12594" s="380" t="s">
        <v>788</v>
      </c>
      <c r="J12594" s="380" t="s">
        <v>773</v>
      </c>
      <c r="K12594" s="381">
        <v>0.0</v>
      </c>
      <c r="L12594" s="382">
        <v>1.0</v>
      </c>
    </row>
    <row r="12595">
      <c r="A12595" s="380" t="s">
        <v>13469</v>
      </c>
      <c r="B12595" s="380" t="str">
        <f>IFERROR(__xludf.DUMMYFUNCTION("""COMPUTED_VALUE"""),"Biela Motor Frr Reparado")</f>
        <v>Biela Motor Frr Reparado</v>
      </c>
      <c r="C12595" s="380" t="str">
        <f>IFERROR(__xludf.DUMMYFUNCTION("""COMPUTED_VALUE"""),"70008062")</f>
        <v>70008062</v>
      </c>
      <c r="D12595" s="380" t="s">
        <v>767</v>
      </c>
      <c r="E12595" s="380" t="s">
        <v>786</v>
      </c>
      <c r="F12595" s="380" t="s">
        <v>787</v>
      </c>
      <c r="G12595" s="380" t="s">
        <v>1267</v>
      </c>
      <c r="H12595" s="380" t="s">
        <v>771</v>
      </c>
      <c r="I12595" s="380" t="s">
        <v>788</v>
      </c>
      <c r="J12595" s="380" t="s">
        <v>773</v>
      </c>
      <c r="K12595" s="381">
        <v>0.0</v>
      </c>
      <c r="L12595" s="382">
        <v>1.0</v>
      </c>
    </row>
    <row r="12596">
      <c r="A12596" s="380" t="s">
        <v>13470</v>
      </c>
      <c r="B12596" s="380" t="str">
        <f>IFERROR(__xludf.DUMMYFUNCTION("""COMPUTED_VALUE"""),"Valvula Fan Clucht Internatio 1689785 C9")</f>
        <v>Valvula Fan Clucht Internatio 1689785 C9</v>
      </c>
      <c r="C12596" s="380" t="str">
        <f>IFERROR(__xludf.DUMMYFUNCTION("""COMPUTED_VALUE"""),"70008063")</f>
        <v>70008063</v>
      </c>
      <c r="D12596" s="380" t="s">
        <v>767</v>
      </c>
      <c r="E12596" s="380" t="s">
        <v>786</v>
      </c>
      <c r="F12596" s="380" t="s">
        <v>787</v>
      </c>
      <c r="G12596" s="380" t="s">
        <v>1267</v>
      </c>
      <c r="H12596" s="380" t="s">
        <v>771</v>
      </c>
      <c r="I12596" s="380" t="s">
        <v>788</v>
      </c>
      <c r="J12596" s="380" t="s">
        <v>773</v>
      </c>
      <c r="K12596" s="381">
        <v>556568.0</v>
      </c>
      <c r="L12596" s="382">
        <v>1.0</v>
      </c>
    </row>
    <row r="12597">
      <c r="A12597" s="380" t="s">
        <v>13471</v>
      </c>
      <c r="B12597" s="380" t="str">
        <f>IFERROR(__xludf.DUMMYFUNCTION("""COMPUTED_VALUE"""),"Intercooler International Lt Reparado")</f>
        <v>Intercooler International Lt Reparado</v>
      </c>
      <c r="C12597" s="380" t="str">
        <f>IFERROR(__xludf.DUMMYFUNCTION("""COMPUTED_VALUE"""),"70008064")</f>
        <v>70008064</v>
      </c>
      <c r="D12597" s="380" t="s">
        <v>767</v>
      </c>
      <c r="E12597" s="380" t="s">
        <v>786</v>
      </c>
      <c r="F12597" s="380" t="s">
        <v>787</v>
      </c>
      <c r="G12597" s="380" t="s">
        <v>1267</v>
      </c>
      <c r="H12597" s="380" t="s">
        <v>771</v>
      </c>
      <c r="I12597" s="380" t="s">
        <v>788</v>
      </c>
      <c r="J12597" s="380" t="s">
        <v>773</v>
      </c>
      <c r="K12597" s="381">
        <v>0.0</v>
      </c>
      <c r="L12597" s="382">
        <v>1.0</v>
      </c>
    </row>
    <row r="12598">
      <c r="A12598" s="380" t="s">
        <v>13472</v>
      </c>
      <c r="B12598" s="380" t="str">
        <f>IFERROR(__xludf.DUMMYFUNCTION("""COMPUTED_VALUE"""),"Gancho Seguro Bomper Prostar 3674781c1")</f>
        <v>Gancho Seguro Bomper Prostar 3674781c1</v>
      </c>
      <c r="C12598" s="380" t="str">
        <f>IFERROR(__xludf.DUMMYFUNCTION("""COMPUTED_VALUE"""),"70008065")</f>
        <v>70008065</v>
      </c>
      <c r="D12598" s="380" t="s">
        <v>767</v>
      </c>
      <c r="E12598" s="380" t="s">
        <v>786</v>
      </c>
      <c r="F12598" s="380" t="s">
        <v>792</v>
      </c>
      <c r="G12598" s="380" t="s">
        <v>1267</v>
      </c>
      <c r="H12598" s="380" t="s">
        <v>771</v>
      </c>
      <c r="I12598" s="380" t="s">
        <v>788</v>
      </c>
      <c r="J12598" s="380" t="s">
        <v>773</v>
      </c>
      <c r="K12598" s="381">
        <v>277508.0</v>
      </c>
      <c r="L12598" s="382">
        <v>1.0</v>
      </c>
    </row>
    <row r="12599">
      <c r="A12599" s="380" t="s">
        <v>13473</v>
      </c>
      <c r="B12599" s="380" t="str">
        <f>IFERROR(__xludf.DUMMYFUNCTION("""COMPUTED_VALUE"""),"Alternador N200 Reparado")</f>
        <v>Alternador N200 Reparado</v>
      </c>
      <c r="C12599" s="380" t="str">
        <f>IFERROR(__xludf.DUMMYFUNCTION("""COMPUTED_VALUE"""),"70008066")</f>
        <v>70008066</v>
      </c>
      <c r="D12599" s="380" t="s">
        <v>767</v>
      </c>
      <c r="E12599" s="380" t="s">
        <v>786</v>
      </c>
      <c r="F12599" s="380" t="s">
        <v>998</v>
      </c>
      <c r="G12599" s="380" t="s">
        <v>1267</v>
      </c>
      <c r="H12599" s="380" t="s">
        <v>771</v>
      </c>
      <c r="I12599" s="380" t="s">
        <v>788</v>
      </c>
      <c r="J12599" s="380" t="s">
        <v>773</v>
      </c>
      <c r="K12599" s="381">
        <v>0.0</v>
      </c>
      <c r="L12599" s="382">
        <v>1.0</v>
      </c>
    </row>
    <row r="12600">
      <c r="A12600" s="380" t="s">
        <v>13474</v>
      </c>
      <c r="B12600" s="380" t="str">
        <f>IFERROR(__xludf.DUMMYFUNCTION("""COMPUTED_VALUE"""),"Cigueñal Motor Hino Dutro Reparado")</f>
        <v>Cigueñal Motor Hino Dutro Reparado</v>
      </c>
      <c r="C12600" s="380" t="str">
        <f>IFERROR(__xludf.DUMMYFUNCTION("""COMPUTED_VALUE"""),"70008067")</f>
        <v>70008067</v>
      </c>
      <c r="D12600" s="380" t="s">
        <v>767</v>
      </c>
      <c r="E12600" s="380" t="s">
        <v>786</v>
      </c>
      <c r="F12600" s="380" t="s">
        <v>787</v>
      </c>
      <c r="G12600" s="380" t="s">
        <v>1267</v>
      </c>
      <c r="H12600" s="380" t="s">
        <v>771</v>
      </c>
      <c r="I12600" s="380" t="s">
        <v>788</v>
      </c>
      <c r="J12600" s="380" t="s">
        <v>773</v>
      </c>
      <c r="K12600" s="381">
        <v>0.0</v>
      </c>
      <c r="L12600" s="382">
        <v>1.0</v>
      </c>
    </row>
    <row r="12601">
      <c r="A12601" s="380" t="s">
        <v>13475</v>
      </c>
      <c r="B12601" s="380" t="str">
        <f>IFERROR(__xludf.DUMMYFUNCTION("""COMPUTED_VALUE"""),"Bloque Motor Hino Reparado")</f>
        <v>Bloque Motor Hino Reparado</v>
      </c>
      <c r="C12601" s="380" t="str">
        <f>IFERROR(__xludf.DUMMYFUNCTION("""COMPUTED_VALUE"""),"70008068")</f>
        <v>70008068</v>
      </c>
      <c r="D12601" s="380" t="s">
        <v>767</v>
      </c>
      <c r="E12601" s="380" t="s">
        <v>786</v>
      </c>
      <c r="F12601" s="380" t="s">
        <v>787</v>
      </c>
      <c r="G12601" s="380" t="s">
        <v>1267</v>
      </c>
      <c r="H12601" s="380" t="s">
        <v>771</v>
      </c>
      <c r="I12601" s="380" t="s">
        <v>788</v>
      </c>
      <c r="J12601" s="380" t="s">
        <v>773</v>
      </c>
      <c r="K12601" s="381">
        <v>0.0</v>
      </c>
      <c r="L12601" s="382">
        <v>1.0</v>
      </c>
    </row>
    <row r="12602">
      <c r="A12602" s="380" t="s">
        <v>13476</v>
      </c>
      <c r="B12602" s="380" t="str">
        <f>IFERROR(__xludf.DUMMYFUNCTION("""COMPUTED_VALUE"""),"Volante Motor Hi Reparado")</f>
        <v>Volante Motor Hi Reparado</v>
      </c>
      <c r="C12602" s="380" t="str">
        <f>IFERROR(__xludf.DUMMYFUNCTION("""COMPUTED_VALUE"""),"70008069")</f>
        <v>70008069</v>
      </c>
      <c r="D12602" s="380" t="s">
        <v>767</v>
      </c>
      <c r="E12602" s="380" t="s">
        <v>786</v>
      </c>
      <c r="F12602" s="380" t="s">
        <v>787</v>
      </c>
      <c r="G12602" s="380" t="s">
        <v>1267</v>
      </c>
      <c r="H12602" s="380" t="s">
        <v>771</v>
      </c>
      <c r="I12602" s="380" t="s">
        <v>788</v>
      </c>
      <c r="J12602" s="380" t="s">
        <v>773</v>
      </c>
      <c r="K12602" s="381">
        <v>0.0</v>
      </c>
      <c r="L12602" s="382">
        <v>1.0</v>
      </c>
    </row>
    <row r="12603">
      <c r="A12603" s="380" t="s">
        <v>13477</v>
      </c>
      <c r="B12603" s="380" t="str">
        <f>IFERROR(__xludf.DUMMYFUNCTION("""COMPUTED_VALUE"""),"Juego Media Luna Std Motor N20 9002794")</f>
        <v>Juego Media Luna Std Motor N20 9002794</v>
      </c>
      <c r="C12603" s="380" t="str">
        <f>IFERROR(__xludf.DUMMYFUNCTION("""COMPUTED_VALUE"""),"70008070")</f>
        <v>70008070</v>
      </c>
      <c r="D12603" s="380" t="s">
        <v>767</v>
      </c>
      <c r="E12603" s="380" t="s">
        <v>786</v>
      </c>
      <c r="F12603" s="380" t="s">
        <v>787</v>
      </c>
      <c r="G12603" s="380" t="s">
        <v>1267</v>
      </c>
      <c r="H12603" s="380" t="s">
        <v>771</v>
      </c>
      <c r="I12603" s="380" t="s">
        <v>788</v>
      </c>
      <c r="J12603" s="380" t="s">
        <v>773</v>
      </c>
      <c r="K12603" s="381">
        <v>0.0</v>
      </c>
      <c r="L12603" s="382">
        <v>1.0</v>
      </c>
    </row>
    <row r="12604">
      <c r="A12604" s="380" t="s">
        <v>13478</v>
      </c>
      <c r="B12604" s="380" t="str">
        <f>IFERROR(__xludf.DUMMYFUNCTION("""COMPUTED_VALUE"""),"Rodillo Caja Hino Dutropack St Stb5590")</f>
        <v>Rodillo Caja Hino Dutropack St Stb5590</v>
      </c>
      <c r="C12604" s="380" t="str">
        <f>IFERROR(__xludf.DUMMYFUNCTION("""COMPUTED_VALUE"""),"70008071")</f>
        <v>70008071</v>
      </c>
      <c r="D12604" s="380" t="s">
        <v>767</v>
      </c>
      <c r="E12604" s="380" t="s">
        <v>786</v>
      </c>
      <c r="F12604" s="380" t="s">
        <v>928</v>
      </c>
      <c r="G12604" s="380" t="s">
        <v>1267</v>
      </c>
      <c r="H12604" s="380" t="s">
        <v>771</v>
      </c>
      <c r="I12604" s="380" t="s">
        <v>788</v>
      </c>
      <c r="J12604" s="380" t="s">
        <v>773</v>
      </c>
      <c r="K12604" s="381">
        <v>0.0</v>
      </c>
      <c r="L12604" s="382">
        <v>1.0</v>
      </c>
    </row>
    <row r="12605">
      <c r="A12605" s="380" t="s">
        <v>13479</v>
      </c>
      <c r="B12605" s="380" t="str">
        <f>IFERROR(__xludf.DUMMYFUNCTION("""COMPUTED_VALUE"""),"Soporte Radiador Mack Cxu 20976700")</f>
        <v>Soporte Radiador Mack Cxu 20976700</v>
      </c>
      <c r="C12605" s="380" t="str">
        <f>IFERROR(__xludf.DUMMYFUNCTION("""COMPUTED_VALUE"""),"70008072")</f>
        <v>70008072</v>
      </c>
      <c r="D12605" s="380" t="s">
        <v>767</v>
      </c>
      <c r="E12605" s="380" t="s">
        <v>786</v>
      </c>
      <c r="F12605" s="380" t="s">
        <v>787</v>
      </c>
      <c r="G12605" s="380" t="s">
        <v>1267</v>
      </c>
      <c r="H12605" s="380" t="s">
        <v>771</v>
      </c>
      <c r="I12605" s="380" t="s">
        <v>788</v>
      </c>
      <c r="J12605" s="380" t="s">
        <v>773</v>
      </c>
      <c r="K12605" s="381">
        <v>0.0</v>
      </c>
      <c r="L12605" s="382">
        <v>1.0</v>
      </c>
    </row>
    <row r="12606">
      <c r="A12606" s="380" t="s">
        <v>13480</v>
      </c>
      <c r="B12606" s="380" t="str">
        <f>IFERROR(__xludf.DUMMYFUNCTION("""COMPUTED_VALUE"""),"Farola Toyota Prado Der 212-11p8")</f>
        <v>Farola Toyota Prado Der 212-11p8</v>
      </c>
      <c r="C12606" s="380" t="str">
        <f>IFERROR(__xludf.DUMMYFUNCTION("""COMPUTED_VALUE"""),"70008073")</f>
        <v>70008073</v>
      </c>
      <c r="D12606" s="380" t="s">
        <v>767</v>
      </c>
      <c r="E12606" s="380" t="s">
        <v>786</v>
      </c>
      <c r="F12606" s="380" t="s">
        <v>998</v>
      </c>
      <c r="G12606" s="380" t="s">
        <v>1267</v>
      </c>
      <c r="H12606" s="380" t="s">
        <v>771</v>
      </c>
      <c r="I12606" s="380" t="s">
        <v>788</v>
      </c>
      <c r="J12606" s="380" t="s">
        <v>773</v>
      </c>
      <c r="K12606" s="381">
        <v>0.0</v>
      </c>
      <c r="L12606" s="382">
        <v>1.0</v>
      </c>
    </row>
    <row r="12607">
      <c r="A12607" s="380" t="s">
        <v>13481</v>
      </c>
      <c r="B12607" s="380" t="str">
        <f>IFERROR(__xludf.DUMMYFUNCTION("""COMPUTED_VALUE"""),"Radiador International Lt Reparado")</f>
        <v>Radiador International Lt Reparado</v>
      </c>
      <c r="C12607" s="380" t="str">
        <f>IFERROR(__xludf.DUMMYFUNCTION("""COMPUTED_VALUE"""),"70008074")</f>
        <v>70008074</v>
      </c>
      <c r="D12607" s="380" t="s">
        <v>767</v>
      </c>
      <c r="E12607" s="380" t="s">
        <v>786</v>
      </c>
      <c r="F12607" s="380" t="s">
        <v>787</v>
      </c>
      <c r="G12607" s="380" t="s">
        <v>1267</v>
      </c>
      <c r="H12607" s="380" t="s">
        <v>771</v>
      </c>
      <c r="I12607" s="380" t="s">
        <v>788</v>
      </c>
      <c r="J12607" s="380" t="s">
        <v>773</v>
      </c>
      <c r="K12607" s="381">
        <v>0.0</v>
      </c>
      <c r="L12607" s="382">
        <v>1.0</v>
      </c>
    </row>
    <row r="12608">
      <c r="A12608" s="380" t="s">
        <v>13482</v>
      </c>
      <c r="B12608" s="380" t="str">
        <f>IFERROR(__xludf.DUMMYFUNCTION("""COMPUTED_VALUE"""),"Chasis Nkr Rewart Reparado")</f>
        <v>Chasis Nkr Rewart Reparado</v>
      </c>
      <c r="C12608" s="380" t="str">
        <f>IFERROR(__xludf.DUMMYFUNCTION("""COMPUTED_VALUE"""),"70008075")</f>
        <v>70008075</v>
      </c>
      <c r="D12608" s="380" t="s">
        <v>767</v>
      </c>
      <c r="E12608" s="380" t="s">
        <v>786</v>
      </c>
      <c r="F12608" s="380" t="s">
        <v>792</v>
      </c>
      <c r="G12608" s="380" t="s">
        <v>1267</v>
      </c>
      <c r="H12608" s="380" t="s">
        <v>771</v>
      </c>
      <c r="I12608" s="380" t="s">
        <v>788</v>
      </c>
      <c r="J12608" s="380" t="s">
        <v>773</v>
      </c>
      <c r="K12608" s="381">
        <v>0.0</v>
      </c>
      <c r="L12608" s="382">
        <v>1.0</v>
      </c>
    </row>
    <row r="12609">
      <c r="A12609" s="380" t="s">
        <v>13483</v>
      </c>
      <c r="B12609" s="380" t="str">
        <f>IFERROR(__xludf.DUMMYFUNCTION("""COMPUTED_VALUE"""),"Vidrio Puerta Derecha Hyundai H100")</f>
        <v>Vidrio Puerta Derecha Hyundai H100</v>
      </c>
      <c r="C12609" s="380" t="str">
        <f>IFERROR(__xludf.DUMMYFUNCTION("""COMPUTED_VALUE"""),"70008076")</f>
        <v>70008076</v>
      </c>
      <c r="D12609" s="380" t="s">
        <v>767</v>
      </c>
      <c r="E12609" s="380" t="s">
        <v>786</v>
      </c>
      <c r="F12609" s="380" t="s">
        <v>792</v>
      </c>
      <c r="G12609" s="380" t="s">
        <v>1267</v>
      </c>
      <c r="H12609" s="380" t="s">
        <v>771</v>
      </c>
      <c r="I12609" s="380" t="s">
        <v>788</v>
      </c>
      <c r="J12609" s="380" t="s">
        <v>773</v>
      </c>
      <c r="K12609" s="381">
        <v>0.0</v>
      </c>
      <c r="L12609" s="382">
        <v>1.0</v>
      </c>
    </row>
    <row r="12610">
      <c r="A12610" s="380" t="s">
        <v>13484</v>
      </c>
      <c r="B12610" s="380" t="str">
        <f>IFERROR(__xludf.DUMMYFUNCTION("""COMPUTED_VALUE"""),"Alternador Nkr 12v Reparado")</f>
        <v>Alternador Nkr 12v Reparado</v>
      </c>
      <c r="C12610" s="380" t="str">
        <f>IFERROR(__xludf.DUMMYFUNCTION("""COMPUTED_VALUE"""),"70008077")</f>
        <v>70008077</v>
      </c>
      <c r="D12610" s="380" t="s">
        <v>767</v>
      </c>
      <c r="E12610" s="380" t="s">
        <v>786</v>
      </c>
      <c r="F12610" s="380" t="s">
        <v>998</v>
      </c>
      <c r="G12610" s="380" t="s">
        <v>1267</v>
      </c>
      <c r="H12610" s="380" t="s">
        <v>771</v>
      </c>
      <c r="I12610" s="380" t="s">
        <v>788</v>
      </c>
      <c r="J12610" s="380" t="s">
        <v>773</v>
      </c>
      <c r="K12610" s="381">
        <v>370605.0</v>
      </c>
      <c r="L12610" s="382">
        <v>1.0</v>
      </c>
    </row>
    <row r="12611">
      <c r="A12611" s="380" t="s">
        <v>13485</v>
      </c>
      <c r="B12611" s="380" t="str">
        <f>IFERROR(__xludf.DUMMYFUNCTION("""COMPUTED_VALUE"""),"Bombillo Luces Alto Lt H11 12v 55w 48072")</f>
        <v>Bombillo Luces Alto Lt H11 12v 55w 48072</v>
      </c>
      <c r="C12611" s="380" t="str">
        <f>IFERROR(__xludf.DUMMYFUNCTION("""COMPUTED_VALUE"""),"70008078")</f>
        <v>70008078</v>
      </c>
      <c r="D12611" s="380" t="s">
        <v>767</v>
      </c>
      <c r="E12611" s="380" t="s">
        <v>786</v>
      </c>
      <c r="F12611" s="380" t="s">
        <v>998</v>
      </c>
      <c r="G12611" s="380" t="s">
        <v>1267</v>
      </c>
      <c r="H12611" s="380" t="s">
        <v>771</v>
      </c>
      <c r="I12611" s="380" t="s">
        <v>788</v>
      </c>
      <c r="J12611" s="380" t="s">
        <v>773</v>
      </c>
      <c r="K12611" s="381">
        <v>31292.0</v>
      </c>
      <c r="L12611" s="382">
        <v>1.0</v>
      </c>
    </row>
    <row r="12612">
      <c r="A12612" s="380" t="s">
        <v>13486</v>
      </c>
      <c r="B12612" s="380" t="str">
        <f>IFERROR(__xludf.DUMMYFUNCTION("""COMPUTED_VALUE"""),"Inyector Motor Frr Reparado")</f>
        <v>Inyector Motor Frr Reparado</v>
      </c>
      <c r="C12612" s="380" t="str">
        <f>IFERROR(__xludf.DUMMYFUNCTION("""COMPUTED_VALUE"""),"70008079")</f>
        <v>70008079</v>
      </c>
      <c r="D12612" s="380" t="s">
        <v>767</v>
      </c>
      <c r="E12612" s="380" t="s">
        <v>786</v>
      </c>
      <c r="F12612" s="380" t="s">
        <v>787</v>
      </c>
      <c r="G12612" s="380" t="s">
        <v>1267</v>
      </c>
      <c r="H12612" s="380" t="s">
        <v>771</v>
      </c>
      <c r="I12612" s="380" t="s">
        <v>788</v>
      </c>
      <c r="J12612" s="380" t="s">
        <v>773</v>
      </c>
      <c r="K12612" s="381">
        <v>0.0</v>
      </c>
      <c r="L12612" s="382">
        <v>1.0</v>
      </c>
    </row>
    <row r="12613">
      <c r="A12613" s="380" t="s">
        <v>13487</v>
      </c>
      <c r="B12613" s="380" t="str">
        <f>IFERROR(__xludf.DUMMYFUNCTION("""COMPUTED_VALUE"""),"Silla Auxiliar Foton 1129 Reparado")</f>
        <v>Silla Auxiliar Foton 1129 Reparado</v>
      </c>
      <c r="C12613" s="380" t="str">
        <f>IFERROR(__xludf.DUMMYFUNCTION("""COMPUTED_VALUE"""),"70008080")</f>
        <v>70008080</v>
      </c>
      <c r="D12613" s="380" t="s">
        <v>767</v>
      </c>
      <c r="E12613" s="380" t="s">
        <v>786</v>
      </c>
      <c r="F12613" s="380" t="s">
        <v>792</v>
      </c>
      <c r="G12613" s="380" t="s">
        <v>1267</v>
      </c>
      <c r="H12613" s="380" t="s">
        <v>771</v>
      </c>
      <c r="I12613" s="380" t="s">
        <v>788</v>
      </c>
      <c r="J12613" s="380" t="s">
        <v>773</v>
      </c>
      <c r="K12613" s="381">
        <v>0.0</v>
      </c>
      <c r="L12613" s="382">
        <v>1.0</v>
      </c>
    </row>
    <row r="12614">
      <c r="A12614" s="380" t="s">
        <v>13488</v>
      </c>
      <c r="B12614" s="380" t="str">
        <f>IFERROR(__xludf.DUMMYFUNCTION("""COMPUTED_VALUE"""),"Silla Conductor Foton 1129 Reparado")</f>
        <v>Silla Conductor Foton 1129 Reparado</v>
      </c>
      <c r="C12614" s="380" t="str">
        <f>IFERROR(__xludf.DUMMYFUNCTION("""COMPUTED_VALUE"""),"70008081")</f>
        <v>70008081</v>
      </c>
      <c r="D12614" s="380" t="s">
        <v>767</v>
      </c>
      <c r="E12614" s="380" t="s">
        <v>786</v>
      </c>
      <c r="F12614" s="380" t="s">
        <v>792</v>
      </c>
      <c r="G12614" s="380" t="s">
        <v>1267</v>
      </c>
      <c r="H12614" s="380" t="s">
        <v>771</v>
      </c>
      <c r="I12614" s="380" t="s">
        <v>788</v>
      </c>
      <c r="J12614" s="380" t="s">
        <v>773</v>
      </c>
      <c r="K12614" s="381">
        <v>0.0</v>
      </c>
      <c r="L12614" s="382">
        <v>1.0</v>
      </c>
    </row>
    <row r="12615">
      <c r="A12615" s="380" t="s">
        <v>13489</v>
      </c>
      <c r="B12615" s="380" t="str">
        <f>IFERROR(__xludf.DUMMYFUNCTION("""COMPUTED_VALUE"""),"Juego De Anillos Std HY Porter H100 3386")</f>
        <v>Juego De Anillos Std HY Porter H100 3386</v>
      </c>
      <c r="C12615" s="380" t="str">
        <f>IFERROR(__xludf.DUMMYFUNCTION("""COMPUTED_VALUE"""),"70008082")</f>
        <v>70008082</v>
      </c>
      <c r="D12615" s="380" t="s">
        <v>767</v>
      </c>
      <c r="E12615" s="380" t="s">
        <v>786</v>
      </c>
      <c r="F12615" s="380" t="s">
        <v>787</v>
      </c>
      <c r="G12615" s="380" t="s">
        <v>1267</v>
      </c>
      <c r="H12615" s="380" t="s">
        <v>771</v>
      </c>
      <c r="I12615" s="380" t="s">
        <v>788</v>
      </c>
      <c r="J12615" s="380" t="s">
        <v>773</v>
      </c>
      <c r="K12615" s="381">
        <v>0.0</v>
      </c>
      <c r="L12615" s="382">
        <v>1.0</v>
      </c>
    </row>
    <row r="12616">
      <c r="A12616" s="380" t="s">
        <v>13490</v>
      </c>
      <c r="B12616" s="380" t="str">
        <f>IFERROR(__xludf.DUMMYFUNCTION("""COMPUTED_VALUE"""),"EMP Multiple De Espape Frr 8971464992")</f>
        <v>EMP Multiple De Espape Frr 8971464992</v>
      </c>
      <c r="C12616" s="380" t="str">
        <f>IFERROR(__xludf.DUMMYFUNCTION("""COMPUTED_VALUE"""),"70008083")</f>
        <v>70008083</v>
      </c>
      <c r="D12616" s="380" t="s">
        <v>767</v>
      </c>
      <c r="E12616" s="380" t="s">
        <v>786</v>
      </c>
      <c r="F12616" s="380" t="s">
        <v>787</v>
      </c>
      <c r="G12616" s="380" t="s">
        <v>1267</v>
      </c>
      <c r="H12616" s="380" t="s">
        <v>771</v>
      </c>
      <c r="I12616" s="380" t="s">
        <v>788</v>
      </c>
      <c r="J12616" s="380" t="s">
        <v>773</v>
      </c>
      <c r="K12616" s="381">
        <v>0.0</v>
      </c>
      <c r="L12616" s="382">
        <v>1.0</v>
      </c>
    </row>
    <row r="12617">
      <c r="A12617" s="380" t="s">
        <v>13491</v>
      </c>
      <c r="B12617" s="380" t="str">
        <f>IFERROR(__xludf.DUMMYFUNCTION("""COMPUTED_VALUE"""),"Guia Valvula Frr 8973767192")</f>
        <v>Guia Valvula Frr 8973767192</v>
      </c>
      <c r="C12617" s="380" t="str">
        <f>IFERROR(__xludf.DUMMYFUNCTION("""COMPUTED_VALUE"""),"70008084")</f>
        <v>70008084</v>
      </c>
      <c r="D12617" s="380" t="s">
        <v>767</v>
      </c>
      <c r="E12617" s="380" t="s">
        <v>786</v>
      </c>
      <c r="F12617" s="380" t="s">
        <v>787</v>
      </c>
      <c r="G12617" s="380" t="s">
        <v>1267</v>
      </c>
      <c r="H12617" s="380" t="s">
        <v>771</v>
      </c>
      <c r="I12617" s="380" t="s">
        <v>788</v>
      </c>
      <c r="J12617" s="380" t="s">
        <v>773</v>
      </c>
      <c r="K12617" s="381">
        <v>0.0</v>
      </c>
      <c r="L12617" s="382">
        <v>1.0</v>
      </c>
    </row>
    <row r="12618">
      <c r="A12618" s="380" t="s">
        <v>13492</v>
      </c>
      <c r="B12618" s="380" t="str">
        <f>IFERROR(__xludf.DUMMYFUNCTION("""COMPUTED_VALUE"""),"Compresor Isx Reparado")</f>
        <v>Compresor Isx Reparado</v>
      </c>
      <c r="C12618" s="380" t="str">
        <f>IFERROR(__xludf.DUMMYFUNCTION("""COMPUTED_VALUE"""),"70008085")</f>
        <v>70008085</v>
      </c>
      <c r="D12618" s="380" t="s">
        <v>767</v>
      </c>
      <c r="E12618" s="380" t="s">
        <v>786</v>
      </c>
      <c r="F12618" s="380" t="s">
        <v>787</v>
      </c>
      <c r="G12618" s="380" t="s">
        <v>1267</v>
      </c>
      <c r="H12618" s="380" t="s">
        <v>771</v>
      </c>
      <c r="I12618" s="380" t="s">
        <v>788</v>
      </c>
      <c r="J12618" s="380" t="s">
        <v>773</v>
      </c>
      <c r="K12618" s="381">
        <v>1470000.0</v>
      </c>
      <c r="L12618" s="382">
        <v>1.0</v>
      </c>
    </row>
    <row r="12619">
      <c r="A12619" s="380" t="s">
        <v>13493</v>
      </c>
      <c r="B12619" s="380" t="str">
        <f>IFERROR(__xludf.DUMMYFUNCTION("""COMPUTED_VALUE"""),"Manguera Aire Reparado")</f>
        <v>Manguera Aire Reparado</v>
      </c>
      <c r="C12619" s="380" t="str">
        <f>IFERROR(__xludf.DUMMYFUNCTION("""COMPUTED_VALUE"""),"70008086")</f>
        <v>70008086</v>
      </c>
      <c r="D12619" s="380" t="s">
        <v>767</v>
      </c>
      <c r="E12619" s="380" t="s">
        <v>786</v>
      </c>
      <c r="F12619" s="380" t="s">
        <v>989</v>
      </c>
      <c r="G12619" s="380" t="s">
        <v>1267</v>
      </c>
      <c r="H12619" s="380" t="s">
        <v>771</v>
      </c>
      <c r="I12619" s="380" t="s">
        <v>788</v>
      </c>
      <c r="J12619" s="380" t="s">
        <v>773</v>
      </c>
      <c r="K12619" s="381">
        <v>0.0</v>
      </c>
      <c r="L12619" s="382">
        <v>1.0</v>
      </c>
    </row>
    <row r="12620">
      <c r="A12620" s="380" t="s">
        <v>13494</v>
      </c>
      <c r="B12620" s="380" t="str">
        <f>IFERROR(__xludf.DUMMYFUNCTION("""COMPUTED_VALUE"""),"Manguera Agua Reparado")</f>
        <v>Manguera Agua Reparado</v>
      </c>
      <c r="C12620" s="380" t="str">
        <f>IFERROR(__xludf.DUMMYFUNCTION("""COMPUTED_VALUE"""),"70008087")</f>
        <v>70008087</v>
      </c>
      <c r="D12620" s="380" t="s">
        <v>767</v>
      </c>
      <c r="E12620" s="380" t="s">
        <v>786</v>
      </c>
      <c r="F12620" s="380" t="s">
        <v>989</v>
      </c>
      <c r="G12620" s="380" t="s">
        <v>1267</v>
      </c>
      <c r="H12620" s="380" t="s">
        <v>771</v>
      </c>
      <c r="I12620" s="380" t="s">
        <v>788</v>
      </c>
      <c r="J12620" s="380" t="s">
        <v>773</v>
      </c>
      <c r="K12620" s="381">
        <v>0.0</v>
      </c>
      <c r="L12620" s="382">
        <v>1.0</v>
      </c>
    </row>
    <row r="12621">
      <c r="A12621" s="380" t="s">
        <v>13495</v>
      </c>
      <c r="B12621" s="380" t="str">
        <f>IFERROR(__xludf.DUMMYFUNCTION("""COMPUTED_VALUE"""),"Motor Arranque Foton 1129 Reparado")</f>
        <v>Motor Arranque Foton 1129 Reparado</v>
      </c>
      <c r="C12621" s="380" t="str">
        <f>IFERROR(__xludf.DUMMYFUNCTION("""COMPUTED_VALUE"""),"70008088")</f>
        <v>70008088</v>
      </c>
      <c r="D12621" s="380" t="s">
        <v>767</v>
      </c>
      <c r="E12621" s="380" t="s">
        <v>786</v>
      </c>
      <c r="F12621" s="380" t="s">
        <v>787</v>
      </c>
      <c r="G12621" s="380" t="s">
        <v>1267</v>
      </c>
      <c r="H12621" s="380" t="s">
        <v>771</v>
      </c>
      <c r="I12621" s="380" t="s">
        <v>788</v>
      </c>
      <c r="J12621" s="380" t="s">
        <v>773</v>
      </c>
      <c r="K12621" s="381">
        <v>0.0</v>
      </c>
      <c r="L12621" s="382">
        <v>1.0</v>
      </c>
    </row>
    <row r="12622">
      <c r="A12622" s="380" t="s">
        <v>13496</v>
      </c>
      <c r="B12622" s="380" t="str">
        <f>IFERROR(__xludf.DUMMYFUNCTION("""COMPUTED_VALUE"""),"Bastidores Sb Hendrickso Reparado")</f>
        <v>Bastidores Sb Hendrickso Reparado</v>
      </c>
      <c r="C12622" s="380" t="str">
        <f>IFERROR(__xludf.DUMMYFUNCTION("""COMPUTED_VALUE"""),"70008089")</f>
        <v>70008089</v>
      </c>
      <c r="D12622" s="380" t="s">
        <v>767</v>
      </c>
      <c r="E12622" s="380" t="s">
        <v>786</v>
      </c>
      <c r="F12622" s="380" t="s">
        <v>1039</v>
      </c>
      <c r="G12622" s="380" t="s">
        <v>1267</v>
      </c>
      <c r="H12622" s="380" t="s">
        <v>771</v>
      </c>
      <c r="I12622" s="380" t="s">
        <v>788</v>
      </c>
      <c r="J12622" s="380" t="s">
        <v>773</v>
      </c>
      <c r="K12622" s="381">
        <v>253667.0</v>
      </c>
      <c r="L12622" s="382">
        <v>1.0</v>
      </c>
    </row>
    <row r="12623">
      <c r="A12623" s="380" t="s">
        <v>13497</v>
      </c>
      <c r="B12623" s="380" t="str">
        <f>IFERROR(__xludf.DUMMYFUNCTION("""COMPUTED_VALUE"""),"FILT COMB Pri FT 1065 7705946343176")</f>
        <v>FILT COMB Pri FT 1065 7705946343176</v>
      </c>
      <c r="C12623" s="380" t="str">
        <f>IFERROR(__xludf.DUMMYFUNCTION("""COMPUTED_VALUE"""),"70008090")</f>
        <v>70008090</v>
      </c>
      <c r="D12623" s="380" t="s">
        <v>767</v>
      </c>
      <c r="E12623" s="380" t="s">
        <v>786</v>
      </c>
      <c r="F12623" s="380" t="s">
        <v>5855</v>
      </c>
      <c r="G12623" s="380" t="s">
        <v>1267</v>
      </c>
      <c r="H12623" s="380" t="s">
        <v>771</v>
      </c>
      <c r="I12623" s="380" t="s">
        <v>788</v>
      </c>
      <c r="J12623" s="380" t="s">
        <v>773</v>
      </c>
      <c r="K12623" s="381">
        <v>53762.0</v>
      </c>
      <c r="L12623" s="382">
        <v>1.0</v>
      </c>
    </row>
    <row r="12624">
      <c r="A12624" s="380" t="s">
        <v>13498</v>
      </c>
      <c r="B12624" s="380" t="str">
        <f>IFERROR(__xludf.DUMMYFUNCTION("""COMPUTED_VALUE"""),"Filtro Combustible Euro V Ff5825nn")</f>
        <v>Filtro Combustible Euro V Ff5825nn</v>
      </c>
      <c r="C12624" s="380" t="str">
        <f>IFERROR(__xludf.DUMMYFUNCTION("""COMPUTED_VALUE"""),"70008091")</f>
        <v>70008091</v>
      </c>
      <c r="D12624" s="380" t="s">
        <v>767</v>
      </c>
      <c r="E12624" s="380" t="s">
        <v>786</v>
      </c>
      <c r="F12624" s="380" t="s">
        <v>5855</v>
      </c>
      <c r="G12624" s="380" t="s">
        <v>1267</v>
      </c>
      <c r="H12624" s="380" t="s">
        <v>771</v>
      </c>
      <c r="I12624" s="380" t="s">
        <v>788</v>
      </c>
      <c r="J12624" s="380" t="s">
        <v>773</v>
      </c>
      <c r="K12624" s="381">
        <v>325870.0</v>
      </c>
      <c r="L12624" s="382">
        <v>1.0</v>
      </c>
    </row>
    <row r="12625">
      <c r="A12625" s="380" t="s">
        <v>13499</v>
      </c>
      <c r="B12625" s="380" t="str">
        <f>IFERROR(__xludf.DUMMYFUNCTION("""COMPUTED_VALUE"""),"Bomba De Inyeccion Foton 1039 Reparado")</f>
        <v>Bomba De Inyeccion Foton 1039 Reparado</v>
      </c>
      <c r="C12625" s="380" t="str">
        <f>IFERROR(__xludf.DUMMYFUNCTION("""COMPUTED_VALUE"""),"70008092")</f>
        <v>70008092</v>
      </c>
      <c r="D12625" s="380" t="s">
        <v>767</v>
      </c>
      <c r="E12625" s="380" t="s">
        <v>786</v>
      </c>
      <c r="F12625" s="380" t="s">
        <v>787</v>
      </c>
      <c r="G12625" s="380" t="s">
        <v>1267</v>
      </c>
      <c r="H12625" s="380" t="s">
        <v>771</v>
      </c>
      <c r="I12625" s="380" t="s">
        <v>788</v>
      </c>
      <c r="J12625" s="380" t="s">
        <v>773</v>
      </c>
      <c r="K12625" s="381">
        <v>0.0</v>
      </c>
      <c r="L12625" s="382">
        <v>1.0</v>
      </c>
    </row>
    <row r="12626">
      <c r="A12626" s="380" t="s">
        <v>13500</v>
      </c>
      <c r="B12626" s="380" t="str">
        <f>IFERROR(__xludf.DUMMYFUNCTION("""COMPUTED_VALUE"""),"Inyector Foton 1039 Reparado")</f>
        <v>Inyector Foton 1039 Reparado</v>
      </c>
      <c r="C12626" s="380" t="str">
        <f>IFERROR(__xludf.DUMMYFUNCTION("""COMPUTED_VALUE"""),"70008093")</f>
        <v>70008093</v>
      </c>
      <c r="D12626" s="380" t="s">
        <v>767</v>
      </c>
      <c r="E12626" s="380" t="s">
        <v>786</v>
      </c>
      <c r="F12626" s="380" t="s">
        <v>787</v>
      </c>
      <c r="G12626" s="380" t="s">
        <v>1267</v>
      </c>
      <c r="H12626" s="380" t="s">
        <v>771</v>
      </c>
      <c r="I12626" s="380" t="s">
        <v>788</v>
      </c>
      <c r="J12626" s="380" t="s">
        <v>773</v>
      </c>
      <c r="K12626" s="381">
        <v>266097.0</v>
      </c>
      <c r="L12626" s="382">
        <v>1.0</v>
      </c>
    </row>
    <row r="12627">
      <c r="A12627" s="380" t="s">
        <v>13501</v>
      </c>
      <c r="B12627" s="380" t="str">
        <f>IFERROR(__xludf.DUMMYFUNCTION("""COMPUTED_VALUE"""),"Repuesto Varios Akt")</f>
        <v>Repuesto Varios Akt</v>
      </c>
      <c r="C12627" s="380" t="str">
        <f>IFERROR(__xludf.DUMMYFUNCTION("""COMPUTED_VALUE"""),"70008094")</f>
        <v>70008094</v>
      </c>
      <c r="D12627" s="380" t="s">
        <v>767</v>
      </c>
      <c r="E12627" s="380" t="s">
        <v>786</v>
      </c>
      <c r="F12627" s="380" t="s">
        <v>928</v>
      </c>
      <c r="G12627" s="380" t="s">
        <v>1267</v>
      </c>
      <c r="H12627" s="380" t="s">
        <v>771</v>
      </c>
      <c r="I12627" s="380" t="s">
        <v>788</v>
      </c>
      <c r="J12627" s="380" t="s">
        <v>773</v>
      </c>
      <c r="K12627" s="381">
        <v>0.0</v>
      </c>
      <c r="L12627" s="382">
        <v>1.0</v>
      </c>
    </row>
    <row r="12628">
      <c r="A12628" s="380" t="s">
        <v>13502</v>
      </c>
      <c r="B12628" s="380" t="str">
        <f>IFERROR(__xludf.DUMMYFUNCTION("""COMPUTED_VALUE"""),"Banda Trasera Freno Mv5 5946366939")</f>
        <v>Banda Trasera Freno Mv5 5946366939</v>
      </c>
      <c r="C12628" s="380" t="str">
        <f>IFERROR(__xludf.DUMMYFUNCTION("""COMPUTED_VALUE"""),"70008095")</f>
        <v>70008095</v>
      </c>
      <c r="D12628" s="380" t="s">
        <v>767</v>
      </c>
      <c r="E12628" s="380" t="s">
        <v>786</v>
      </c>
      <c r="F12628" s="380" t="s">
        <v>1017</v>
      </c>
      <c r="G12628" s="380" t="s">
        <v>1267</v>
      </c>
      <c r="H12628" s="380" t="s">
        <v>771</v>
      </c>
      <c r="I12628" s="380" t="s">
        <v>788</v>
      </c>
      <c r="J12628" s="380" t="s">
        <v>773</v>
      </c>
      <c r="K12628" s="381">
        <v>83920.0</v>
      </c>
      <c r="L12628" s="382">
        <v>1.0</v>
      </c>
    </row>
    <row r="12629">
      <c r="A12629" s="380" t="s">
        <v>13503</v>
      </c>
      <c r="B12629" s="380" t="str">
        <f>IFERROR(__xludf.DUMMYFUNCTION("""COMPUTED_VALUE"""),"Sello Llave Filtro Agua Isx 3818885")</f>
        <v>Sello Llave Filtro Agua Isx 3818885</v>
      </c>
      <c r="C12629" s="380" t="str">
        <f>IFERROR(__xludf.DUMMYFUNCTION("""COMPUTED_VALUE"""),"70008096")</f>
        <v>70008096</v>
      </c>
      <c r="D12629" s="380" t="s">
        <v>767</v>
      </c>
      <c r="E12629" s="380" t="s">
        <v>786</v>
      </c>
      <c r="F12629" s="380" t="s">
        <v>787</v>
      </c>
      <c r="G12629" s="380" t="s">
        <v>1267</v>
      </c>
      <c r="H12629" s="380" t="s">
        <v>771</v>
      </c>
      <c r="I12629" s="380" t="s">
        <v>788</v>
      </c>
      <c r="J12629" s="380" t="s">
        <v>773</v>
      </c>
      <c r="K12629" s="381">
        <v>0.0</v>
      </c>
      <c r="L12629" s="382">
        <v>1.0</v>
      </c>
    </row>
    <row r="12630">
      <c r="A12630" s="380" t="s">
        <v>13504</v>
      </c>
      <c r="B12630" s="380" t="str">
        <f>IFERROR(__xludf.DUMMYFUNCTION("""COMPUTED_VALUE"""),"Post Enfriador Aire Motor Foton Reparado")</f>
        <v>Post Enfriador Aire Motor Foton Reparado</v>
      </c>
      <c r="C12630" s="380" t="str">
        <f>IFERROR(__xludf.DUMMYFUNCTION("""COMPUTED_VALUE"""),"70008097")</f>
        <v>70008097</v>
      </c>
      <c r="D12630" s="380" t="s">
        <v>767</v>
      </c>
      <c r="E12630" s="380" t="s">
        <v>786</v>
      </c>
      <c r="F12630" s="380" t="s">
        <v>787</v>
      </c>
      <c r="G12630" s="380" t="s">
        <v>1267</v>
      </c>
      <c r="H12630" s="380" t="s">
        <v>771</v>
      </c>
      <c r="I12630" s="380" t="s">
        <v>788</v>
      </c>
      <c r="J12630" s="380" t="s">
        <v>773</v>
      </c>
      <c r="K12630" s="381">
        <v>0.0</v>
      </c>
      <c r="L12630" s="382">
        <v>1.0</v>
      </c>
    </row>
    <row r="12631">
      <c r="A12631" s="380" t="s">
        <v>13505</v>
      </c>
      <c r="B12631" s="380" t="str">
        <f>IFERROR(__xludf.DUMMYFUNCTION("""COMPUTED_VALUE"""),"Tuerca Perno Rin Disco TRL 450-500 Lb")</f>
        <v>Tuerca Perno Rin Disco TRL 450-500 Lb</v>
      </c>
      <c r="C12631" s="380" t="str">
        <f>IFERROR(__xludf.DUMMYFUNCTION("""COMPUTED_VALUE"""),"70008098")</f>
        <v>70008098</v>
      </c>
      <c r="D12631" s="380" t="s">
        <v>767</v>
      </c>
      <c r="E12631" s="380" t="s">
        <v>786</v>
      </c>
      <c r="F12631" s="380" t="s">
        <v>1039</v>
      </c>
      <c r="G12631" s="380" t="s">
        <v>1267</v>
      </c>
      <c r="H12631" s="380" t="s">
        <v>771</v>
      </c>
      <c r="I12631" s="380" t="s">
        <v>788</v>
      </c>
      <c r="J12631" s="380" t="s">
        <v>773</v>
      </c>
      <c r="K12631" s="381">
        <v>0.0</v>
      </c>
      <c r="L12631" s="382">
        <v>1.0</v>
      </c>
    </row>
    <row r="12632">
      <c r="A12632" s="380" t="s">
        <v>13506</v>
      </c>
      <c r="B12632" s="380" t="str">
        <f>IFERROR(__xludf.DUMMYFUNCTION("""COMPUTED_VALUE"""),"Caja De Cambios Nkriii Reparado")</f>
        <v>Caja De Cambios Nkriii Reparado</v>
      </c>
      <c r="C12632" s="380" t="str">
        <f>IFERROR(__xludf.DUMMYFUNCTION("""COMPUTED_VALUE"""),"70008099")</f>
        <v>70008099</v>
      </c>
      <c r="D12632" s="380" t="s">
        <v>767</v>
      </c>
      <c r="E12632" s="380" t="s">
        <v>786</v>
      </c>
      <c r="F12632" s="380" t="s">
        <v>928</v>
      </c>
      <c r="G12632" s="380" t="s">
        <v>1267</v>
      </c>
      <c r="H12632" s="380" t="s">
        <v>771</v>
      </c>
      <c r="I12632" s="380" t="s">
        <v>788</v>
      </c>
      <c r="J12632" s="380" t="s">
        <v>773</v>
      </c>
      <c r="K12632" s="381">
        <v>0.0</v>
      </c>
      <c r="L12632" s="382">
        <v>1.0</v>
      </c>
    </row>
    <row r="12633">
      <c r="A12633" s="380" t="s">
        <v>13507</v>
      </c>
      <c r="B12633" s="380" t="str">
        <f>IFERROR(__xludf.DUMMYFUNCTION("""COMPUTED_VALUE"""),"Vidrio Trasero Mack Anthem")</f>
        <v>Vidrio Trasero Mack Anthem</v>
      </c>
      <c r="C12633" s="380" t="str">
        <f>IFERROR(__xludf.DUMMYFUNCTION("""COMPUTED_VALUE"""),"70008100")</f>
        <v>70008100</v>
      </c>
      <c r="D12633" s="380" t="s">
        <v>767</v>
      </c>
      <c r="E12633" s="380" t="s">
        <v>786</v>
      </c>
      <c r="F12633" s="380" t="s">
        <v>792</v>
      </c>
      <c r="G12633" s="380" t="s">
        <v>1267</v>
      </c>
      <c r="H12633" s="380" t="s">
        <v>771</v>
      </c>
      <c r="I12633" s="380" t="s">
        <v>788</v>
      </c>
      <c r="J12633" s="380" t="s">
        <v>773</v>
      </c>
      <c r="K12633" s="381">
        <v>0.0</v>
      </c>
      <c r="L12633" s="382">
        <v>1.0</v>
      </c>
    </row>
    <row r="12634">
      <c r="A12634" s="380" t="s">
        <v>13508</v>
      </c>
      <c r="B12634" s="380" t="str">
        <f>IFERROR(__xludf.DUMMYFUNCTION("""COMPUTED_VALUE"""),"Bomper Frontal Foton Tm30 5946718783")</f>
        <v>Bomper Frontal Foton Tm30 5946718783</v>
      </c>
      <c r="C12634" s="380" t="str">
        <f>IFERROR(__xludf.DUMMYFUNCTION("""COMPUTED_VALUE"""),"70008101")</f>
        <v>70008101</v>
      </c>
      <c r="D12634" s="380" t="s">
        <v>767</v>
      </c>
      <c r="E12634" s="380" t="s">
        <v>786</v>
      </c>
      <c r="F12634" s="380" t="s">
        <v>792</v>
      </c>
      <c r="G12634" s="380" t="s">
        <v>1267</v>
      </c>
      <c r="H12634" s="380" t="s">
        <v>771</v>
      </c>
      <c r="I12634" s="380" t="s">
        <v>788</v>
      </c>
      <c r="J12634" s="380" t="s">
        <v>773</v>
      </c>
      <c r="K12634" s="381">
        <v>0.0</v>
      </c>
      <c r="L12634" s="382">
        <v>1.0</v>
      </c>
    </row>
    <row r="12635">
      <c r="A12635" s="380" t="s">
        <v>13509</v>
      </c>
      <c r="B12635" s="380" t="str">
        <f>IFERROR(__xludf.DUMMYFUNCTION("""COMPUTED_VALUE"""),"Turbo Alimentador Npr Reparado")</f>
        <v>Turbo Alimentador Npr Reparado</v>
      </c>
      <c r="C12635" s="380" t="str">
        <f>IFERROR(__xludf.DUMMYFUNCTION("""COMPUTED_VALUE"""),"70008102")</f>
        <v>70008102</v>
      </c>
      <c r="D12635" s="380" t="s">
        <v>767</v>
      </c>
      <c r="E12635" s="380" t="s">
        <v>786</v>
      </c>
      <c r="F12635" s="380" t="s">
        <v>787</v>
      </c>
      <c r="G12635" s="380" t="s">
        <v>1267</v>
      </c>
      <c r="H12635" s="380" t="s">
        <v>771</v>
      </c>
      <c r="I12635" s="380" t="s">
        <v>788</v>
      </c>
      <c r="J12635" s="380" t="s">
        <v>773</v>
      </c>
      <c r="K12635" s="381">
        <v>0.0</v>
      </c>
      <c r="L12635" s="382">
        <v>1.0</v>
      </c>
    </row>
    <row r="12636">
      <c r="A12636" s="380" t="s">
        <v>13510</v>
      </c>
      <c r="B12636" s="380" t="str">
        <f>IFERROR(__xludf.DUMMYFUNCTION("""COMPUTED_VALUE"""),"Guardapolvo Derecho Direccion 23870237")</f>
        <v>Guardapolvo Derecho Direccion 23870237</v>
      </c>
      <c r="C12636" s="380" t="str">
        <f>IFERROR(__xludf.DUMMYFUNCTION("""COMPUTED_VALUE"""),"70008103")</f>
        <v>70008103</v>
      </c>
      <c r="D12636" s="380" t="s">
        <v>767</v>
      </c>
      <c r="E12636" s="380" t="s">
        <v>786</v>
      </c>
      <c r="F12636" s="380" t="s">
        <v>1020</v>
      </c>
      <c r="G12636" s="380" t="s">
        <v>1267</v>
      </c>
      <c r="H12636" s="380" t="s">
        <v>771</v>
      </c>
      <c r="I12636" s="380" t="s">
        <v>788</v>
      </c>
      <c r="J12636" s="380" t="s">
        <v>773</v>
      </c>
      <c r="K12636" s="381">
        <v>0.0</v>
      </c>
      <c r="L12636" s="382">
        <v>1.0</v>
      </c>
    </row>
    <row r="12637">
      <c r="A12637" s="380" t="s">
        <v>13511</v>
      </c>
      <c r="B12637" s="380" t="str">
        <f>IFERROR(__xludf.DUMMYFUNCTION("""COMPUTED_VALUE"""),"Bombillo T20 Nissan Sentra")</f>
        <v>Bombillo T20 Nissan Sentra</v>
      </c>
      <c r="C12637" s="380" t="str">
        <f>IFERROR(__xludf.DUMMYFUNCTION("""COMPUTED_VALUE"""),"70008104")</f>
        <v>70008104</v>
      </c>
      <c r="D12637" s="380" t="s">
        <v>767</v>
      </c>
      <c r="E12637" s="380" t="s">
        <v>786</v>
      </c>
      <c r="F12637" s="380" t="s">
        <v>998</v>
      </c>
      <c r="G12637" s="380" t="s">
        <v>1267</v>
      </c>
      <c r="H12637" s="380" t="s">
        <v>771</v>
      </c>
      <c r="I12637" s="380" t="s">
        <v>788</v>
      </c>
      <c r="J12637" s="380" t="s">
        <v>773</v>
      </c>
      <c r="K12637" s="381">
        <v>0.0</v>
      </c>
      <c r="L12637" s="382">
        <v>1.0</v>
      </c>
    </row>
    <row r="12638">
      <c r="A12638" s="380" t="s">
        <v>13512</v>
      </c>
      <c r="B12638" s="380" t="str">
        <f>IFERROR(__xludf.DUMMYFUNCTION("""COMPUTED_VALUE"""),"Alternador Foton Mv5 7705946023061")</f>
        <v>Alternador Foton Mv5 7705946023061</v>
      </c>
      <c r="C12638" s="380" t="str">
        <f>IFERROR(__xludf.DUMMYFUNCTION("""COMPUTED_VALUE"""),"70008105")</f>
        <v>70008105</v>
      </c>
      <c r="D12638" s="380" t="s">
        <v>767</v>
      </c>
      <c r="E12638" s="380" t="s">
        <v>786</v>
      </c>
      <c r="F12638" s="380" t="s">
        <v>998</v>
      </c>
      <c r="G12638" s="380" t="s">
        <v>1267</v>
      </c>
      <c r="H12638" s="380" t="s">
        <v>771</v>
      </c>
      <c r="I12638" s="380" t="s">
        <v>788</v>
      </c>
      <c r="J12638" s="380" t="s">
        <v>773</v>
      </c>
      <c r="K12638" s="381">
        <v>0.0</v>
      </c>
      <c r="L12638" s="382">
        <v>1.0</v>
      </c>
    </row>
    <row r="12639">
      <c r="A12639" s="380" t="s">
        <v>13513</v>
      </c>
      <c r="B12639" s="380" t="str">
        <f>IFERROR(__xludf.DUMMYFUNCTION("""COMPUTED_VALUE"""),"Manija INTior PTA Izquier 1023486576")</f>
        <v>Manija INTior PTA Izquier 1023486576</v>
      </c>
      <c r="C12639" s="380" t="str">
        <f>IFERROR(__xludf.DUMMYFUNCTION("""COMPUTED_VALUE"""),"70008106")</f>
        <v>70008106</v>
      </c>
      <c r="D12639" s="380" t="s">
        <v>767</v>
      </c>
      <c r="E12639" s="380" t="s">
        <v>786</v>
      </c>
      <c r="F12639" s="380" t="s">
        <v>792</v>
      </c>
      <c r="G12639" s="380" t="s">
        <v>1267</v>
      </c>
      <c r="H12639" s="380" t="s">
        <v>771</v>
      </c>
      <c r="I12639" s="380" t="s">
        <v>788</v>
      </c>
      <c r="J12639" s="380" t="s">
        <v>773</v>
      </c>
      <c r="K12639" s="381">
        <v>0.0</v>
      </c>
      <c r="L12639" s="382">
        <v>1.0</v>
      </c>
    </row>
    <row r="12640">
      <c r="A12640" s="380" t="s">
        <v>13514</v>
      </c>
      <c r="B12640" s="380" t="str">
        <f>IFERROR(__xludf.DUMMYFUNCTION("""COMPUTED_VALUE"""),"Catalizador Tubo De Escape N20 19246340")</f>
        <v>Catalizador Tubo De Escape N20 19246340</v>
      </c>
      <c r="C12640" s="380" t="str">
        <f>IFERROR(__xludf.DUMMYFUNCTION("""COMPUTED_VALUE"""),"70008107")</f>
        <v>70008107</v>
      </c>
      <c r="D12640" s="380" t="s">
        <v>767</v>
      </c>
      <c r="E12640" s="380" t="s">
        <v>786</v>
      </c>
      <c r="F12640" s="380" t="s">
        <v>792</v>
      </c>
      <c r="G12640" s="380" t="s">
        <v>1267</v>
      </c>
      <c r="H12640" s="380" t="s">
        <v>771</v>
      </c>
      <c r="I12640" s="380" t="s">
        <v>788</v>
      </c>
      <c r="J12640" s="380" t="s">
        <v>773</v>
      </c>
      <c r="K12640" s="381">
        <v>0.0</v>
      </c>
      <c r="L12640" s="382">
        <v>1.0</v>
      </c>
    </row>
    <row r="12641">
      <c r="A12641" s="380" t="s">
        <v>13515</v>
      </c>
      <c r="B12641" s="380" t="str">
        <f>IFERROR(__xludf.DUMMYFUNCTION("""COMPUTED_VALUE"""),"RET INTno TRAS FT 1039 7701023086417")</f>
        <v>RET INTno TRAS FT 1039 7701023086417</v>
      </c>
      <c r="C12641" s="380" t="str">
        <f>IFERROR(__xludf.DUMMYFUNCTION("""COMPUTED_VALUE"""),"70008108")</f>
        <v>70008108</v>
      </c>
      <c r="D12641" s="380" t="s">
        <v>767</v>
      </c>
      <c r="E12641" s="380" t="s">
        <v>786</v>
      </c>
      <c r="F12641" s="380" t="s">
        <v>1017</v>
      </c>
      <c r="G12641" s="380" t="s">
        <v>1267</v>
      </c>
      <c r="H12641" s="380" t="s">
        <v>771</v>
      </c>
      <c r="I12641" s="380" t="s">
        <v>788</v>
      </c>
      <c r="J12641" s="380" t="s">
        <v>773</v>
      </c>
      <c r="K12641" s="381">
        <v>15600.0</v>
      </c>
      <c r="L12641" s="382">
        <v>1.0</v>
      </c>
    </row>
    <row r="12642">
      <c r="A12642" s="380" t="s">
        <v>13516</v>
      </c>
      <c r="B12642" s="380" t="str">
        <f>IFERROR(__xludf.DUMMYFUNCTION("""COMPUTED_VALUE"""),"Sensor Reversa Sb 21-363")</f>
        <v>Sensor Reversa Sb 21-363</v>
      </c>
      <c r="C12642" s="380" t="str">
        <f>IFERROR(__xludf.DUMMYFUNCTION("""COMPUTED_VALUE"""),"70008109")</f>
        <v>70008109</v>
      </c>
      <c r="D12642" s="380" t="s">
        <v>767</v>
      </c>
      <c r="E12642" s="380" t="s">
        <v>786</v>
      </c>
      <c r="F12642" s="380" t="s">
        <v>998</v>
      </c>
      <c r="G12642" s="380" t="s">
        <v>1267</v>
      </c>
      <c r="H12642" s="380" t="s">
        <v>771</v>
      </c>
      <c r="I12642" s="380" t="s">
        <v>788</v>
      </c>
      <c r="J12642" s="380" t="s">
        <v>773</v>
      </c>
      <c r="K12642" s="381">
        <v>71400.0</v>
      </c>
      <c r="L12642" s="382">
        <v>1.0</v>
      </c>
    </row>
    <row r="12643">
      <c r="A12643" s="380" t="s">
        <v>13517</v>
      </c>
      <c r="B12643" s="380" t="str">
        <f>IFERROR(__xludf.DUMMYFUNCTION("""COMPUTED_VALUE"""),"Base Silla Frr Reparado")</f>
        <v>Base Silla Frr Reparado</v>
      </c>
      <c r="C12643" s="380" t="str">
        <f>IFERROR(__xludf.DUMMYFUNCTION("""COMPUTED_VALUE"""),"70008110")</f>
        <v>70008110</v>
      </c>
      <c r="D12643" s="380" t="s">
        <v>767</v>
      </c>
      <c r="E12643" s="380" t="s">
        <v>786</v>
      </c>
      <c r="F12643" s="380" t="s">
        <v>792</v>
      </c>
      <c r="G12643" s="380" t="s">
        <v>1267</v>
      </c>
      <c r="H12643" s="380" t="s">
        <v>771</v>
      </c>
      <c r="I12643" s="380" t="s">
        <v>788</v>
      </c>
      <c r="J12643" s="380" t="s">
        <v>773</v>
      </c>
      <c r="K12643" s="381">
        <v>0.0</v>
      </c>
      <c r="L12643" s="382">
        <v>1.0</v>
      </c>
    </row>
    <row r="12644">
      <c r="A12644" s="380" t="s">
        <v>13518</v>
      </c>
      <c r="B12644" s="380" t="str">
        <f>IFERROR(__xludf.DUMMYFUNCTION("""COMPUTED_VALUE"""),"Kit Reparacion Culta Isx EGL Kisx557943")</f>
        <v>Kit Reparacion Culta Isx EGL Kisx557943</v>
      </c>
      <c r="C12644" s="380" t="str">
        <f>IFERROR(__xludf.DUMMYFUNCTION("""COMPUTED_VALUE"""),"70008111")</f>
        <v>70008111</v>
      </c>
      <c r="D12644" s="380" t="s">
        <v>767</v>
      </c>
      <c r="E12644" s="380" t="s">
        <v>786</v>
      </c>
      <c r="F12644" s="380" t="s">
        <v>787</v>
      </c>
      <c r="G12644" s="380" t="s">
        <v>1267</v>
      </c>
      <c r="H12644" s="380" t="s">
        <v>771</v>
      </c>
      <c r="I12644" s="380" t="s">
        <v>788</v>
      </c>
      <c r="J12644" s="380" t="s">
        <v>773</v>
      </c>
      <c r="K12644" s="381">
        <v>0.0</v>
      </c>
      <c r="L12644" s="382">
        <v>1.0</v>
      </c>
    </row>
    <row r="12645">
      <c r="A12645" s="380" t="s">
        <v>13519</v>
      </c>
      <c r="B12645" s="380" t="str">
        <f>IFERROR(__xludf.DUMMYFUNCTION("""COMPUTED_VALUE"""),"Barra Direccion Foton 1129 01023326261")</f>
        <v>Barra Direccion Foton 1129 01023326261</v>
      </c>
      <c r="C12645" s="380" t="str">
        <f>IFERROR(__xludf.DUMMYFUNCTION("""COMPUTED_VALUE"""),"70008112")</f>
        <v>70008112</v>
      </c>
      <c r="D12645" s="380" t="s">
        <v>767</v>
      </c>
      <c r="E12645" s="380" t="s">
        <v>786</v>
      </c>
      <c r="F12645" s="380" t="s">
        <v>1020</v>
      </c>
      <c r="G12645" s="380" t="s">
        <v>1267</v>
      </c>
      <c r="H12645" s="380" t="s">
        <v>771</v>
      </c>
      <c r="I12645" s="380" t="s">
        <v>788</v>
      </c>
      <c r="J12645" s="380" t="s">
        <v>773</v>
      </c>
      <c r="K12645" s="381">
        <v>249900.0</v>
      </c>
      <c r="L12645" s="382">
        <v>1.0</v>
      </c>
    </row>
    <row r="12646">
      <c r="A12646" s="380" t="s">
        <v>13520</v>
      </c>
      <c r="B12646" s="380" t="str">
        <f>IFERROR(__xludf.DUMMYFUNCTION("""COMPUTED_VALUE"""),"Enfriador Suspencion Egr MOT 8982127180")</f>
        <v>Enfriador Suspencion Egr MOT 8982127180</v>
      </c>
      <c r="C12646" s="380" t="str">
        <f>IFERROR(__xludf.DUMMYFUNCTION("""COMPUTED_VALUE"""),"70008113")</f>
        <v>70008113</v>
      </c>
      <c r="D12646" s="380" t="s">
        <v>767</v>
      </c>
      <c r="E12646" s="380" t="s">
        <v>786</v>
      </c>
      <c r="F12646" s="380" t="s">
        <v>787</v>
      </c>
      <c r="G12646" s="380" t="s">
        <v>1267</v>
      </c>
      <c r="H12646" s="380" t="s">
        <v>771</v>
      </c>
      <c r="I12646" s="380" t="s">
        <v>788</v>
      </c>
      <c r="J12646" s="380" t="s">
        <v>773</v>
      </c>
      <c r="K12646" s="381">
        <v>0.0</v>
      </c>
      <c r="L12646" s="382">
        <v>1.0</v>
      </c>
    </row>
    <row r="12647">
      <c r="A12647" s="380" t="s">
        <v>13521</v>
      </c>
      <c r="B12647" s="380" t="str">
        <f>IFERROR(__xludf.DUMMYFUNCTION("""COMPUTED_VALUE"""),"FILT COMB Sellado Jac 1105012ld2")</f>
        <v>FILT COMB Sellado Jac 1105012ld2</v>
      </c>
      <c r="C12647" s="380" t="str">
        <f>IFERROR(__xludf.DUMMYFUNCTION("""COMPUTED_VALUE"""),"70008114")</f>
        <v>70008114</v>
      </c>
      <c r="D12647" s="380" t="s">
        <v>767</v>
      </c>
      <c r="E12647" s="380" t="s">
        <v>786</v>
      </c>
      <c r="F12647" s="380" t="s">
        <v>5855</v>
      </c>
      <c r="G12647" s="380" t="s">
        <v>1267</v>
      </c>
      <c r="H12647" s="380" t="s">
        <v>771</v>
      </c>
      <c r="I12647" s="380" t="s">
        <v>788</v>
      </c>
      <c r="J12647" s="380" t="s">
        <v>773</v>
      </c>
      <c r="K12647" s="381">
        <v>0.0</v>
      </c>
      <c r="L12647" s="382">
        <v>1.0</v>
      </c>
    </row>
    <row r="12648">
      <c r="A12648" s="380" t="s">
        <v>13522</v>
      </c>
      <c r="B12648" s="380" t="str">
        <f>IFERROR(__xludf.DUMMYFUNCTION("""COMPUTED_VALUE"""),"FILT De COMB Vaso Jac 1105120ld3")</f>
        <v>FILT De COMB Vaso Jac 1105120ld3</v>
      </c>
      <c r="C12648" s="380" t="str">
        <f>IFERROR(__xludf.DUMMYFUNCTION("""COMPUTED_VALUE"""),"70008115")</f>
        <v>70008115</v>
      </c>
      <c r="D12648" s="380" t="s">
        <v>767</v>
      </c>
      <c r="E12648" s="380" t="s">
        <v>786</v>
      </c>
      <c r="F12648" s="380" t="s">
        <v>5855</v>
      </c>
      <c r="G12648" s="380" t="s">
        <v>1267</v>
      </c>
      <c r="H12648" s="380" t="s">
        <v>771</v>
      </c>
      <c r="I12648" s="380" t="s">
        <v>788</v>
      </c>
      <c r="J12648" s="380" t="s">
        <v>773</v>
      </c>
      <c r="K12648" s="381">
        <v>0.0</v>
      </c>
      <c r="L12648" s="382">
        <v>1.0</v>
      </c>
    </row>
    <row r="12649">
      <c r="A12649" s="380" t="s">
        <v>13523</v>
      </c>
      <c r="B12649" s="380" t="str">
        <f>IFERROR(__xludf.DUMMYFUNCTION("""COMPUTED_VALUE"""),"Kit Guardapolvo De Califer Akt200 K-000")</f>
        <v>Kit Guardapolvo De Califer Akt200 K-000</v>
      </c>
      <c r="C12649" s="380" t="str">
        <f>IFERROR(__xludf.DUMMYFUNCTION("""COMPUTED_VALUE"""),"70008116")</f>
        <v>70008116</v>
      </c>
      <c r="D12649" s="380" t="s">
        <v>767</v>
      </c>
      <c r="E12649" s="380" t="s">
        <v>786</v>
      </c>
      <c r="F12649" s="380" t="s">
        <v>1017</v>
      </c>
      <c r="G12649" s="380" t="s">
        <v>1267</v>
      </c>
      <c r="H12649" s="380" t="s">
        <v>771</v>
      </c>
      <c r="I12649" s="380" t="s">
        <v>788</v>
      </c>
      <c r="J12649" s="380" t="s">
        <v>773</v>
      </c>
      <c r="K12649" s="381">
        <v>0.0</v>
      </c>
      <c r="L12649" s="382">
        <v>1.0</v>
      </c>
    </row>
    <row r="12650">
      <c r="A12650" s="380" t="s">
        <v>13524</v>
      </c>
      <c r="B12650" s="380" t="str">
        <f>IFERROR(__xludf.DUMMYFUNCTION("""COMPUTED_VALUE"""),"Motor Arranque Foton 1129 - 1128 770594")</f>
        <v>Motor Arranque Foton 1129 - 1128 770594</v>
      </c>
      <c r="C12650" s="380" t="str">
        <f>IFERROR(__xludf.DUMMYFUNCTION("""COMPUTED_VALUE"""),"70008117")</f>
        <v>70008117</v>
      </c>
      <c r="D12650" s="380" t="s">
        <v>767</v>
      </c>
      <c r="E12650" s="380" t="s">
        <v>786</v>
      </c>
      <c r="F12650" s="380" t="s">
        <v>998</v>
      </c>
      <c r="G12650" s="380" t="s">
        <v>1267</v>
      </c>
      <c r="H12650" s="380" t="s">
        <v>771</v>
      </c>
      <c r="I12650" s="380" t="s">
        <v>788</v>
      </c>
      <c r="J12650" s="380" t="s">
        <v>773</v>
      </c>
      <c r="K12650" s="381">
        <v>0.0</v>
      </c>
      <c r="L12650" s="382">
        <v>1.0</v>
      </c>
    </row>
    <row r="12651">
      <c r="A12651" s="380" t="s">
        <v>13525</v>
      </c>
      <c r="B12651" s="380" t="str">
        <f>IFERROR(__xludf.DUMMYFUNCTION("""COMPUTED_VALUE"""),"Sensor Nivel De Agua Jac Jhr 1105015ld3")</f>
        <v>Sensor Nivel De Agua Jac Jhr 1105015ld3</v>
      </c>
      <c r="C12651" s="380" t="str">
        <f>IFERROR(__xludf.DUMMYFUNCTION("""COMPUTED_VALUE"""),"70008118")</f>
        <v>70008118</v>
      </c>
      <c r="D12651" s="380" t="s">
        <v>767</v>
      </c>
      <c r="E12651" s="380" t="s">
        <v>786</v>
      </c>
      <c r="F12651" s="380" t="s">
        <v>998</v>
      </c>
      <c r="G12651" s="380" t="s">
        <v>1267</v>
      </c>
      <c r="H12651" s="380" t="s">
        <v>771</v>
      </c>
      <c r="I12651" s="380" t="s">
        <v>788</v>
      </c>
      <c r="J12651" s="380" t="s">
        <v>773</v>
      </c>
      <c r="K12651" s="381">
        <v>0.0</v>
      </c>
      <c r="L12651" s="382">
        <v>1.0</v>
      </c>
    </row>
    <row r="12652">
      <c r="A12652" s="380" t="s">
        <v>13526</v>
      </c>
      <c r="B12652" s="380" t="str">
        <f>IFERROR(__xludf.DUMMYFUNCTION("""COMPUTED_VALUE"""),"Resorte Filtro Aceite Nkr Rw 8980188500")</f>
        <v>Resorte Filtro Aceite Nkr Rw 8980188500</v>
      </c>
      <c r="C12652" s="380" t="str">
        <f>IFERROR(__xludf.DUMMYFUNCTION("""COMPUTED_VALUE"""),"70008119")</f>
        <v>70008119</v>
      </c>
      <c r="D12652" s="380" t="s">
        <v>767</v>
      </c>
      <c r="E12652" s="380" t="s">
        <v>786</v>
      </c>
      <c r="F12652" s="380" t="s">
        <v>5855</v>
      </c>
      <c r="G12652" s="380" t="s">
        <v>1267</v>
      </c>
      <c r="H12652" s="380" t="s">
        <v>771</v>
      </c>
      <c r="I12652" s="380" t="s">
        <v>788</v>
      </c>
      <c r="J12652" s="380" t="s">
        <v>773</v>
      </c>
      <c r="K12652" s="381">
        <v>0.0</v>
      </c>
      <c r="L12652" s="382">
        <v>1.0</v>
      </c>
    </row>
    <row r="12653">
      <c r="A12653" s="380" t="s">
        <v>13527</v>
      </c>
      <c r="B12653" s="380" t="str">
        <f>IFERROR(__xludf.DUMMYFUNCTION("""COMPUTED_VALUE"""),"Bomper Delantero Foton 1129 Reparado")</f>
        <v>Bomper Delantero Foton 1129 Reparado</v>
      </c>
      <c r="C12653" s="380" t="str">
        <f>IFERROR(__xludf.DUMMYFUNCTION("""COMPUTED_VALUE"""),"70008120")</f>
        <v>70008120</v>
      </c>
      <c r="D12653" s="380" t="s">
        <v>767</v>
      </c>
      <c r="E12653" s="380" t="s">
        <v>786</v>
      </c>
      <c r="F12653" s="380" t="s">
        <v>792</v>
      </c>
      <c r="G12653" s="380" t="s">
        <v>1267</v>
      </c>
      <c r="H12653" s="380" t="s">
        <v>771</v>
      </c>
      <c r="I12653" s="380" t="s">
        <v>788</v>
      </c>
      <c r="J12653" s="380" t="s">
        <v>773</v>
      </c>
      <c r="K12653" s="381">
        <v>0.0</v>
      </c>
      <c r="L12653" s="382">
        <v>1.0</v>
      </c>
    </row>
    <row r="12654">
      <c r="A12654" s="380" t="s">
        <v>13528</v>
      </c>
      <c r="B12654" s="380" t="str">
        <f>IFERROR(__xludf.DUMMYFUNCTION("""COMPUTED_VALUE"""),"Banda Freno TRAS Jac 1120 9308 Remachada")</f>
        <v>Banda Freno TRAS Jac 1120 9308 Remachada</v>
      </c>
      <c r="C12654" s="380" t="str">
        <f>IFERROR(__xludf.DUMMYFUNCTION("""COMPUTED_VALUE"""),"70008121")</f>
        <v>70008121</v>
      </c>
      <c r="D12654" s="380" t="s">
        <v>767</v>
      </c>
      <c r="E12654" s="380" t="s">
        <v>786</v>
      </c>
      <c r="F12654" s="380" t="s">
        <v>1017</v>
      </c>
      <c r="G12654" s="380" t="s">
        <v>1267</v>
      </c>
      <c r="H12654" s="380" t="s">
        <v>771</v>
      </c>
      <c r="I12654" s="380" t="s">
        <v>788</v>
      </c>
      <c r="J12654" s="380" t="s">
        <v>773</v>
      </c>
      <c r="K12654" s="381">
        <v>0.0</v>
      </c>
      <c r="L12654" s="382">
        <v>1.0</v>
      </c>
    </row>
    <row r="12655">
      <c r="A12655" s="380" t="s">
        <v>13529</v>
      </c>
      <c r="B12655" s="380" t="str">
        <f>IFERROR(__xludf.DUMMYFUNCTION("""COMPUTED_VALUE"""),"Colector Alter Freighliner 12v Reparado")</f>
        <v>Colector Alter Freighliner 12v Reparado</v>
      </c>
      <c r="C12655" s="380" t="str">
        <f>IFERROR(__xludf.DUMMYFUNCTION("""COMPUTED_VALUE"""),"70008122")</f>
        <v>70008122</v>
      </c>
      <c r="D12655" s="380" t="s">
        <v>767</v>
      </c>
      <c r="E12655" s="380" t="s">
        <v>786</v>
      </c>
      <c r="F12655" s="380" t="s">
        <v>998</v>
      </c>
      <c r="G12655" s="380" t="s">
        <v>1267</v>
      </c>
      <c r="H12655" s="380" t="s">
        <v>771</v>
      </c>
      <c r="I12655" s="380" t="s">
        <v>788</v>
      </c>
      <c r="J12655" s="380" t="s">
        <v>773</v>
      </c>
      <c r="K12655" s="381">
        <v>0.0</v>
      </c>
      <c r="L12655" s="382">
        <v>1.0</v>
      </c>
    </row>
    <row r="12656">
      <c r="A12656" s="380" t="s">
        <v>13530</v>
      </c>
      <c r="B12656" s="380" t="str">
        <f>IFERROR(__xludf.DUMMYFUNCTION("""COMPUTED_VALUE"""),"Banda Freno Trasero Hyundai Remachada")</f>
        <v>Banda Freno Trasero Hyundai Remachada</v>
      </c>
      <c r="C12656" s="380" t="str">
        <f>IFERROR(__xludf.DUMMYFUNCTION("""COMPUTED_VALUE"""),"70008123")</f>
        <v>70008123</v>
      </c>
      <c r="D12656" s="380" t="s">
        <v>767</v>
      </c>
      <c r="E12656" s="380" t="s">
        <v>786</v>
      </c>
      <c r="F12656" s="380" t="s">
        <v>1017</v>
      </c>
      <c r="G12656" s="380" t="s">
        <v>1267</v>
      </c>
      <c r="H12656" s="380" t="s">
        <v>771</v>
      </c>
      <c r="I12656" s="380" t="s">
        <v>788</v>
      </c>
      <c r="J12656" s="380" t="s">
        <v>773</v>
      </c>
      <c r="K12656" s="381">
        <v>0.0</v>
      </c>
      <c r="L12656" s="382">
        <v>1.0</v>
      </c>
    </row>
    <row r="12657">
      <c r="A12657" s="380" t="s">
        <v>13531</v>
      </c>
      <c r="B12657" s="380" t="str">
        <f>IFERROR(__xludf.DUMMYFUNCTION("""COMPUTED_VALUE"""),"Cojin Conductor Jac 1120 Reparado")</f>
        <v>Cojin Conductor Jac 1120 Reparado</v>
      </c>
      <c r="C12657" s="380" t="str">
        <f>IFERROR(__xludf.DUMMYFUNCTION("""COMPUTED_VALUE"""),"70008124")</f>
        <v>70008124</v>
      </c>
      <c r="D12657" s="380" t="s">
        <v>767</v>
      </c>
      <c r="E12657" s="380" t="s">
        <v>786</v>
      </c>
      <c r="F12657" s="380" t="s">
        <v>792</v>
      </c>
      <c r="G12657" s="380" t="s">
        <v>1267</v>
      </c>
      <c r="H12657" s="380" t="s">
        <v>771</v>
      </c>
      <c r="I12657" s="380" t="s">
        <v>788</v>
      </c>
      <c r="J12657" s="380" t="s">
        <v>773</v>
      </c>
      <c r="K12657" s="381">
        <v>0.0</v>
      </c>
      <c r="L12657" s="382">
        <v>1.0</v>
      </c>
    </row>
    <row r="12658">
      <c r="A12658" s="380" t="s">
        <v>13532</v>
      </c>
      <c r="B12658" s="380" t="str">
        <f>IFERROR(__xludf.DUMMYFUNCTION("""COMPUTED_VALUE"""),"Cojin Auxiliar Jac 1120 Reparado")</f>
        <v>Cojin Auxiliar Jac 1120 Reparado</v>
      </c>
      <c r="C12658" s="380" t="str">
        <f>IFERROR(__xludf.DUMMYFUNCTION("""COMPUTED_VALUE"""),"70008125")</f>
        <v>70008125</v>
      </c>
      <c r="D12658" s="380" t="s">
        <v>767</v>
      </c>
      <c r="E12658" s="380" t="s">
        <v>786</v>
      </c>
      <c r="F12658" s="380" t="s">
        <v>792</v>
      </c>
      <c r="G12658" s="380" t="s">
        <v>1267</v>
      </c>
      <c r="H12658" s="380" t="s">
        <v>771</v>
      </c>
      <c r="I12658" s="380" t="s">
        <v>788</v>
      </c>
      <c r="J12658" s="380" t="s">
        <v>773</v>
      </c>
      <c r="K12658" s="381">
        <v>0.0</v>
      </c>
      <c r="L12658" s="382">
        <v>1.0</v>
      </c>
    </row>
    <row r="12659">
      <c r="A12659" s="380" t="s">
        <v>13533</v>
      </c>
      <c r="B12659" s="380" t="str">
        <f>IFERROR(__xludf.DUMMYFUNCTION("""COMPUTED_VALUE"""),"Panel Frontal Izq Der Nkr Reparado")</f>
        <v>Panel Frontal Izq Der Nkr Reparado</v>
      </c>
      <c r="C12659" s="380" t="str">
        <f>IFERROR(__xludf.DUMMYFUNCTION("""COMPUTED_VALUE"""),"70008126")</f>
        <v>70008126</v>
      </c>
      <c r="D12659" s="380" t="s">
        <v>767</v>
      </c>
      <c r="E12659" s="380" t="s">
        <v>786</v>
      </c>
      <c r="F12659" s="380" t="s">
        <v>792</v>
      </c>
      <c r="G12659" s="380" t="s">
        <v>1267</v>
      </c>
      <c r="H12659" s="380" t="s">
        <v>771</v>
      </c>
      <c r="I12659" s="380" t="s">
        <v>788</v>
      </c>
      <c r="J12659" s="380" t="s">
        <v>773</v>
      </c>
      <c r="K12659" s="381">
        <v>0.0</v>
      </c>
      <c r="L12659" s="382">
        <v>1.0</v>
      </c>
    </row>
    <row r="12660">
      <c r="A12660" s="380" t="s">
        <v>13534</v>
      </c>
      <c r="B12660" s="380" t="str">
        <f>IFERROR(__xludf.DUMMYFUNCTION("""COMPUTED_VALUE"""),"Barra Tensora Hi Reparado")</f>
        <v>Barra Tensora Hi Reparado</v>
      </c>
      <c r="C12660" s="380" t="str">
        <f>IFERROR(__xludf.DUMMYFUNCTION("""COMPUTED_VALUE"""),"70008127")</f>
        <v>70008127</v>
      </c>
      <c r="D12660" s="380" t="s">
        <v>767</v>
      </c>
      <c r="E12660" s="380" t="s">
        <v>786</v>
      </c>
      <c r="F12660" s="380" t="s">
        <v>792</v>
      </c>
      <c r="G12660" s="380" t="s">
        <v>1267</v>
      </c>
      <c r="H12660" s="380" t="s">
        <v>771</v>
      </c>
      <c r="I12660" s="380" t="s">
        <v>788</v>
      </c>
      <c r="J12660" s="380" t="s">
        <v>773</v>
      </c>
      <c r="K12660" s="381">
        <v>446337.0</v>
      </c>
      <c r="L12660" s="382">
        <v>1.0</v>
      </c>
    </row>
    <row r="12661">
      <c r="A12661" s="380" t="s">
        <v>13535</v>
      </c>
      <c r="B12661" s="380" t="str">
        <f>IFERROR(__xludf.DUMMYFUNCTION("""COMPUTED_VALUE"""),"Puntera Bomber Varios Reparado")</f>
        <v>Puntera Bomber Varios Reparado</v>
      </c>
      <c r="C12661" s="380" t="str">
        <f>IFERROR(__xludf.DUMMYFUNCTION("""COMPUTED_VALUE"""),"70008128")</f>
        <v>70008128</v>
      </c>
      <c r="D12661" s="380" t="s">
        <v>767</v>
      </c>
      <c r="E12661" s="380" t="s">
        <v>786</v>
      </c>
      <c r="F12661" s="380" t="s">
        <v>792</v>
      </c>
      <c r="G12661" s="380" t="s">
        <v>1267</v>
      </c>
      <c r="H12661" s="380" t="s">
        <v>771</v>
      </c>
      <c r="I12661" s="380" t="s">
        <v>788</v>
      </c>
      <c r="J12661" s="380" t="s">
        <v>773</v>
      </c>
      <c r="K12661" s="381">
        <v>0.0</v>
      </c>
      <c r="L12661" s="382">
        <v>1.0</v>
      </c>
    </row>
    <row r="12662">
      <c r="A12662" s="380" t="s">
        <v>13536</v>
      </c>
      <c r="B12662" s="380" t="str">
        <f>IFERROR(__xludf.DUMMYFUNCTION("""COMPUTED_VALUE"""),"Piñon Del Bendix Suzuki Dr650 P0000")</f>
        <v>Piñon Del Bendix Suzuki Dr650 P0000</v>
      </c>
      <c r="C12662" s="380" t="str">
        <f>IFERROR(__xludf.DUMMYFUNCTION("""COMPUTED_VALUE"""),"70008129")</f>
        <v>70008129</v>
      </c>
      <c r="D12662" s="380" t="s">
        <v>767</v>
      </c>
      <c r="E12662" s="380" t="s">
        <v>786</v>
      </c>
      <c r="F12662" s="380" t="s">
        <v>998</v>
      </c>
      <c r="G12662" s="380" t="s">
        <v>1267</v>
      </c>
      <c r="H12662" s="380" t="s">
        <v>771</v>
      </c>
      <c r="I12662" s="380" t="s">
        <v>788</v>
      </c>
      <c r="J12662" s="380" t="s">
        <v>773</v>
      </c>
      <c r="K12662" s="381">
        <v>0.0</v>
      </c>
      <c r="L12662" s="382">
        <v>1.0</v>
      </c>
    </row>
    <row r="12663">
      <c r="A12663" s="380" t="s">
        <v>13537</v>
      </c>
      <c r="B12663" s="380" t="str">
        <f>IFERROR(__xludf.DUMMYFUNCTION("""COMPUTED_VALUE"""),"Reten 35x46x7 Semieje FT 10 5946243285")</f>
        <v>Reten 35x46x7 Semieje FT 10 5946243285</v>
      </c>
      <c r="C12663" s="380" t="str">
        <f>IFERROR(__xludf.DUMMYFUNCTION("""COMPUTED_VALUE"""),"70008130")</f>
        <v>70008130</v>
      </c>
      <c r="D12663" s="380" t="s">
        <v>767</v>
      </c>
      <c r="E12663" s="380" t="s">
        <v>786</v>
      </c>
      <c r="F12663" s="380" t="s">
        <v>1039</v>
      </c>
      <c r="G12663" s="380" t="s">
        <v>1267</v>
      </c>
      <c r="H12663" s="380" t="s">
        <v>771</v>
      </c>
      <c r="I12663" s="380" t="s">
        <v>788</v>
      </c>
      <c r="J12663" s="380" t="s">
        <v>773</v>
      </c>
      <c r="K12663" s="381">
        <v>0.0</v>
      </c>
      <c r="L12663" s="382">
        <v>1.0</v>
      </c>
    </row>
    <row r="12664">
      <c r="A12664" s="380" t="s">
        <v>13538</v>
      </c>
      <c r="B12664" s="380" t="str">
        <f>IFERROR(__xludf.DUMMYFUNCTION("""COMPUTED_VALUE"""),"SENS Reversa Hi EG Internatio 1699216 C9")</f>
        <v>SENS Reversa Hi EG Internatio 1699216 C9</v>
      </c>
      <c r="C12664" s="380" t="str">
        <f>IFERROR(__xludf.DUMMYFUNCTION("""COMPUTED_VALUE"""),"70008131")</f>
        <v>70008131</v>
      </c>
      <c r="D12664" s="380" t="s">
        <v>767</v>
      </c>
      <c r="E12664" s="380" t="s">
        <v>786</v>
      </c>
      <c r="F12664" s="380" t="s">
        <v>998</v>
      </c>
      <c r="G12664" s="380" t="s">
        <v>1267</v>
      </c>
      <c r="H12664" s="380" t="s">
        <v>771</v>
      </c>
      <c r="I12664" s="380" t="s">
        <v>788</v>
      </c>
      <c r="J12664" s="380" t="s">
        <v>773</v>
      </c>
      <c r="K12664" s="381">
        <v>0.0</v>
      </c>
      <c r="L12664" s="382">
        <v>1.0</v>
      </c>
    </row>
    <row r="12665">
      <c r="A12665" s="380" t="s">
        <v>13539</v>
      </c>
      <c r="B12665" s="380" t="str">
        <f>IFERROR(__xludf.DUMMYFUNCTION("""COMPUTED_VALUE"""),"Sensor Reversa Super Carry 3761080023")</f>
        <v>Sensor Reversa Super Carry 3761080023</v>
      </c>
      <c r="C12665" s="380" t="str">
        <f>IFERROR(__xludf.DUMMYFUNCTION("""COMPUTED_VALUE"""),"70008132")</f>
        <v>70008132</v>
      </c>
      <c r="D12665" s="380" t="s">
        <v>767</v>
      </c>
      <c r="E12665" s="380" t="s">
        <v>786</v>
      </c>
      <c r="F12665" s="380" t="s">
        <v>998</v>
      </c>
      <c r="G12665" s="380" t="s">
        <v>1267</v>
      </c>
      <c r="H12665" s="380" t="s">
        <v>771</v>
      </c>
      <c r="I12665" s="380" t="s">
        <v>788</v>
      </c>
      <c r="J12665" s="380" t="s">
        <v>773</v>
      </c>
      <c r="K12665" s="381">
        <v>0.0</v>
      </c>
      <c r="L12665" s="382">
        <v>1.0</v>
      </c>
    </row>
    <row r="12666">
      <c r="A12666" s="380" t="s">
        <v>13540</v>
      </c>
      <c r="B12666" s="380" t="str">
        <f>IFERROR(__xludf.DUMMYFUNCTION("""COMPUTED_VALUE"""),"Bomba De Agua Planta Electrica Reparado")</f>
        <v>Bomba De Agua Planta Electrica Reparado</v>
      </c>
      <c r="C12666" s="380" t="str">
        <f>IFERROR(__xludf.DUMMYFUNCTION("""COMPUTED_VALUE"""),"70008133")</f>
        <v>70008133</v>
      </c>
      <c r="D12666" s="380" t="s">
        <v>767</v>
      </c>
      <c r="E12666" s="380" t="s">
        <v>786</v>
      </c>
      <c r="F12666" s="380" t="s">
        <v>787</v>
      </c>
      <c r="G12666" s="380" t="s">
        <v>1267</v>
      </c>
      <c r="H12666" s="380" t="s">
        <v>771</v>
      </c>
      <c r="I12666" s="380" t="s">
        <v>788</v>
      </c>
      <c r="J12666" s="380" t="s">
        <v>773</v>
      </c>
      <c r="K12666" s="381">
        <v>0.0</v>
      </c>
      <c r="L12666" s="382">
        <v>1.0</v>
      </c>
    </row>
    <row r="12667">
      <c r="A12667" s="380" t="s">
        <v>13541</v>
      </c>
      <c r="B12667" s="380" t="str">
        <f>IFERROR(__xludf.DUMMYFUNCTION("""COMPUTED_VALUE"""),"Tubo Exosto Reparado")</f>
        <v>Tubo Exosto Reparado</v>
      </c>
      <c r="C12667" s="380" t="str">
        <f>IFERROR(__xludf.DUMMYFUNCTION("""COMPUTED_VALUE"""),"70008134")</f>
        <v>70008134</v>
      </c>
      <c r="D12667" s="380" t="s">
        <v>767</v>
      </c>
      <c r="E12667" s="380" t="s">
        <v>786</v>
      </c>
      <c r="F12667" s="380" t="s">
        <v>792</v>
      </c>
      <c r="G12667" s="380" t="s">
        <v>1267</v>
      </c>
      <c r="H12667" s="380" t="s">
        <v>771</v>
      </c>
      <c r="I12667" s="380" t="s">
        <v>788</v>
      </c>
      <c r="J12667" s="380" t="s">
        <v>773</v>
      </c>
      <c r="K12667" s="381">
        <v>0.0</v>
      </c>
      <c r="L12667" s="382">
        <v>1.0</v>
      </c>
    </row>
    <row r="12668">
      <c r="A12668" s="380" t="s">
        <v>13542</v>
      </c>
      <c r="B12668" s="380" t="str">
        <f>IFERROR(__xludf.DUMMYFUNCTION("""COMPUTED_VALUE"""),"Banda Tras. S.C. Remachada")</f>
        <v>Banda Tras. S.C. Remachada</v>
      </c>
      <c r="C12668" s="380" t="str">
        <f>IFERROR(__xludf.DUMMYFUNCTION("""COMPUTED_VALUE"""),"70008135")</f>
        <v>70008135</v>
      </c>
      <c r="D12668" s="380" t="s">
        <v>767</v>
      </c>
      <c r="E12668" s="380" t="s">
        <v>786</v>
      </c>
      <c r="F12668" s="380" t="s">
        <v>1017</v>
      </c>
      <c r="G12668" s="380" t="s">
        <v>1267</v>
      </c>
      <c r="H12668" s="380" t="s">
        <v>771</v>
      </c>
      <c r="I12668" s="380" t="s">
        <v>788</v>
      </c>
      <c r="J12668" s="380" t="s">
        <v>773</v>
      </c>
      <c r="K12668" s="381">
        <v>19045.0</v>
      </c>
      <c r="L12668" s="382">
        <v>1.0</v>
      </c>
    </row>
    <row r="12669">
      <c r="A12669" s="380" t="s">
        <v>13543</v>
      </c>
      <c r="B12669" s="380" t="str">
        <f>IFERROR(__xludf.DUMMYFUNCTION("""COMPUTED_VALUE"""),"Farolas Varias Reparado")</f>
        <v>Farolas Varias Reparado</v>
      </c>
      <c r="C12669" s="380" t="str">
        <f>IFERROR(__xludf.DUMMYFUNCTION("""COMPUTED_VALUE"""),"70008136")</f>
        <v>70008136</v>
      </c>
      <c r="D12669" s="380" t="s">
        <v>767</v>
      </c>
      <c r="E12669" s="380" t="s">
        <v>786</v>
      </c>
      <c r="F12669" s="380" t="s">
        <v>998</v>
      </c>
      <c r="G12669" s="380" t="s">
        <v>1267</v>
      </c>
      <c r="H12669" s="380" t="s">
        <v>771</v>
      </c>
      <c r="I12669" s="380" t="s">
        <v>788</v>
      </c>
      <c r="J12669" s="380" t="s">
        <v>773</v>
      </c>
      <c r="K12669" s="381">
        <v>0.0</v>
      </c>
      <c r="L12669" s="382">
        <v>1.0</v>
      </c>
    </row>
    <row r="12670">
      <c r="A12670" s="380" t="s">
        <v>13544</v>
      </c>
      <c r="B12670" s="380" t="str">
        <f>IFERROR(__xludf.DUMMYFUNCTION("""COMPUTED_VALUE"""),"Carcaza Palanca Cambios Varios Reparado")</f>
        <v>Carcaza Palanca Cambios Varios Reparado</v>
      </c>
      <c r="C12670" s="380" t="str">
        <f>IFERROR(__xludf.DUMMYFUNCTION("""COMPUTED_VALUE"""),"70008137")</f>
        <v>70008137</v>
      </c>
      <c r="D12670" s="380" t="s">
        <v>767</v>
      </c>
      <c r="E12670" s="380" t="s">
        <v>786</v>
      </c>
      <c r="F12670" s="380" t="s">
        <v>928</v>
      </c>
      <c r="G12670" s="380" t="s">
        <v>1267</v>
      </c>
      <c r="H12670" s="380" t="s">
        <v>771</v>
      </c>
      <c r="I12670" s="380" t="s">
        <v>788</v>
      </c>
      <c r="J12670" s="380" t="s">
        <v>773</v>
      </c>
      <c r="K12670" s="381">
        <v>0.0</v>
      </c>
      <c r="L12670" s="382">
        <v>1.0</v>
      </c>
    </row>
    <row r="12671">
      <c r="A12671" s="380" t="s">
        <v>13545</v>
      </c>
      <c r="B12671" s="380" t="str">
        <f>IFERROR(__xludf.DUMMYFUNCTION("""COMPUTED_VALUE"""),"Banda Freno Trasero Foton 1129 Remachado")</f>
        <v>Banda Freno Trasero Foton 1129 Remachado</v>
      </c>
      <c r="C12671" s="380" t="str">
        <f>IFERROR(__xludf.DUMMYFUNCTION("""COMPUTED_VALUE"""),"70008138")</f>
        <v>70008138</v>
      </c>
      <c r="D12671" s="380" t="s">
        <v>767</v>
      </c>
      <c r="E12671" s="380" t="s">
        <v>786</v>
      </c>
      <c r="F12671" s="380" t="s">
        <v>1017</v>
      </c>
      <c r="G12671" s="380" t="s">
        <v>1267</v>
      </c>
      <c r="H12671" s="380" t="s">
        <v>771</v>
      </c>
      <c r="I12671" s="380" t="s">
        <v>788</v>
      </c>
      <c r="J12671" s="380" t="s">
        <v>773</v>
      </c>
      <c r="K12671" s="381">
        <v>60874.0</v>
      </c>
      <c r="L12671" s="382">
        <v>1.0</v>
      </c>
    </row>
    <row r="12672">
      <c r="A12672" s="380" t="s">
        <v>13546</v>
      </c>
      <c r="B12672" s="380" t="str">
        <f>IFERROR(__xludf.DUMMYFUNCTION("""COMPUTED_VALUE"""),"Banda Freno DEL FT 1129 Remachada")</f>
        <v>Banda Freno DEL FT 1129 Remachada</v>
      </c>
      <c r="C12672" s="380" t="str">
        <f>IFERROR(__xludf.DUMMYFUNCTION("""COMPUTED_VALUE"""),"70008139")</f>
        <v>70008139</v>
      </c>
      <c r="D12672" s="380" t="s">
        <v>767</v>
      </c>
      <c r="E12672" s="380" t="s">
        <v>786</v>
      </c>
      <c r="F12672" s="380" t="s">
        <v>1017</v>
      </c>
      <c r="G12672" s="380" t="s">
        <v>1267</v>
      </c>
      <c r="H12672" s="380" t="s">
        <v>771</v>
      </c>
      <c r="I12672" s="380" t="s">
        <v>788</v>
      </c>
      <c r="J12672" s="380" t="s">
        <v>773</v>
      </c>
      <c r="K12672" s="381">
        <v>68040.0</v>
      </c>
      <c r="L12672" s="382">
        <v>1.0</v>
      </c>
    </row>
    <row r="12673">
      <c r="A12673" s="380" t="s">
        <v>13547</v>
      </c>
      <c r="B12673" s="380" t="str">
        <f>IFERROR(__xludf.DUMMYFUNCTION("""COMPUTED_VALUE"""),"Eje Traile Reparado Varios")</f>
        <v>Eje Traile Reparado Varios</v>
      </c>
      <c r="C12673" s="380" t="str">
        <f>IFERROR(__xludf.DUMMYFUNCTION("""COMPUTED_VALUE"""),"70008140")</f>
        <v>70008140</v>
      </c>
      <c r="D12673" s="380" t="s">
        <v>767</v>
      </c>
      <c r="E12673" s="380" t="s">
        <v>786</v>
      </c>
      <c r="F12673" s="380" t="s">
        <v>1039</v>
      </c>
      <c r="G12673" s="380" t="s">
        <v>1267</v>
      </c>
      <c r="H12673" s="380" t="s">
        <v>771</v>
      </c>
      <c r="I12673" s="380" t="s">
        <v>788</v>
      </c>
      <c r="J12673" s="380" t="s">
        <v>773</v>
      </c>
      <c r="K12673" s="381">
        <v>0.0</v>
      </c>
      <c r="L12673" s="382">
        <v>1.0</v>
      </c>
    </row>
    <row r="12674">
      <c r="A12674" s="380" t="s">
        <v>13548</v>
      </c>
      <c r="B12674" s="380" t="str">
        <f>IFERROR(__xludf.DUMMYFUNCTION("""COMPUTED_VALUE"""),"Caja Direccion Hino Reparado")</f>
        <v>Caja Direccion Hino Reparado</v>
      </c>
      <c r="C12674" s="380" t="str">
        <f>IFERROR(__xludf.DUMMYFUNCTION("""COMPUTED_VALUE"""),"70008141")</f>
        <v>70008141</v>
      </c>
      <c r="D12674" s="380" t="s">
        <v>767</v>
      </c>
      <c r="E12674" s="380" t="s">
        <v>786</v>
      </c>
      <c r="F12674" s="380" t="s">
        <v>1020</v>
      </c>
      <c r="G12674" s="380" t="s">
        <v>1267</v>
      </c>
      <c r="H12674" s="380" t="s">
        <v>771</v>
      </c>
      <c r="I12674" s="380" t="s">
        <v>788</v>
      </c>
      <c r="J12674" s="380" t="s">
        <v>773</v>
      </c>
      <c r="K12674" s="381">
        <v>0.0</v>
      </c>
      <c r="L12674" s="382">
        <v>1.0</v>
      </c>
    </row>
    <row r="12675">
      <c r="A12675" s="380" t="s">
        <v>13549</v>
      </c>
      <c r="B12675" s="380" t="str">
        <f>IFERROR(__xludf.DUMMYFUNCTION("""COMPUTED_VALUE"""),"Banda Del Tras Npr Remachado")</f>
        <v>Banda Del Tras Npr Remachado</v>
      </c>
      <c r="C12675" s="380" t="str">
        <f>IFERROR(__xludf.DUMMYFUNCTION("""COMPUTED_VALUE"""),"70008142")</f>
        <v>70008142</v>
      </c>
      <c r="D12675" s="380" t="s">
        <v>767</v>
      </c>
      <c r="E12675" s="380" t="s">
        <v>786</v>
      </c>
      <c r="F12675" s="380" t="s">
        <v>1017</v>
      </c>
      <c r="G12675" s="380" t="s">
        <v>1267</v>
      </c>
      <c r="H12675" s="380" t="s">
        <v>771</v>
      </c>
      <c r="I12675" s="380" t="s">
        <v>788</v>
      </c>
      <c r="J12675" s="380" t="s">
        <v>773</v>
      </c>
      <c r="K12675" s="381">
        <v>0.0</v>
      </c>
      <c r="L12675" s="382">
        <v>1.0</v>
      </c>
    </row>
    <row r="12676">
      <c r="A12676" s="380" t="s">
        <v>13550</v>
      </c>
      <c r="B12676" s="380" t="str">
        <f>IFERROR(__xludf.DUMMYFUNCTION("""COMPUTED_VALUE"""),"Cremallera Elevavidrio Ftr Reparado")</f>
        <v>Cremallera Elevavidrio Ftr Reparado</v>
      </c>
      <c r="C12676" s="380" t="str">
        <f>IFERROR(__xludf.DUMMYFUNCTION("""COMPUTED_VALUE"""),"70008143")</f>
        <v>70008143</v>
      </c>
      <c r="D12676" s="380" t="s">
        <v>767</v>
      </c>
      <c r="E12676" s="380" t="s">
        <v>786</v>
      </c>
      <c r="F12676" s="380" t="s">
        <v>792</v>
      </c>
      <c r="G12676" s="380" t="s">
        <v>1267</v>
      </c>
      <c r="H12676" s="380" t="s">
        <v>771</v>
      </c>
      <c r="I12676" s="380" t="s">
        <v>788</v>
      </c>
      <c r="J12676" s="380" t="s">
        <v>773</v>
      </c>
      <c r="K12676" s="381">
        <v>0.0</v>
      </c>
      <c r="L12676" s="382">
        <v>1.0</v>
      </c>
    </row>
    <row r="12677">
      <c r="A12677" s="380" t="s">
        <v>13551</v>
      </c>
      <c r="B12677" s="380" t="str">
        <f>IFERROR(__xludf.DUMMYFUNCTION("""COMPUTED_VALUE"""),"Bomba Agua Frr Reparado")</f>
        <v>Bomba Agua Frr Reparado</v>
      </c>
      <c r="C12677" s="380" t="str">
        <f>IFERROR(__xludf.DUMMYFUNCTION("""COMPUTED_VALUE"""),"70008144")</f>
        <v>70008144</v>
      </c>
      <c r="D12677" s="380" t="s">
        <v>767</v>
      </c>
      <c r="E12677" s="380" t="s">
        <v>786</v>
      </c>
      <c r="F12677" s="380" t="s">
        <v>787</v>
      </c>
      <c r="G12677" s="380" t="s">
        <v>1267</v>
      </c>
      <c r="H12677" s="380" t="s">
        <v>771</v>
      </c>
      <c r="I12677" s="380" t="s">
        <v>788</v>
      </c>
      <c r="J12677" s="380" t="s">
        <v>773</v>
      </c>
      <c r="K12677" s="381">
        <v>0.0</v>
      </c>
      <c r="L12677" s="382">
        <v>1.0</v>
      </c>
    </row>
    <row r="12678">
      <c r="A12678" s="380" t="s">
        <v>13552</v>
      </c>
      <c r="B12678" s="380" t="str">
        <f>IFERROR(__xludf.DUMMYFUNCTION("""COMPUTED_VALUE"""),"Cigueñal Isx Reparado")</f>
        <v>Cigueñal Isx Reparado</v>
      </c>
      <c r="C12678" s="380" t="str">
        <f>IFERROR(__xludf.DUMMYFUNCTION("""COMPUTED_VALUE"""),"70008145")</f>
        <v>70008145</v>
      </c>
      <c r="D12678" s="380" t="s">
        <v>767</v>
      </c>
      <c r="E12678" s="380" t="s">
        <v>786</v>
      </c>
      <c r="F12678" s="380" t="s">
        <v>787</v>
      </c>
      <c r="G12678" s="380" t="s">
        <v>1267</v>
      </c>
      <c r="H12678" s="380" t="s">
        <v>771</v>
      </c>
      <c r="I12678" s="380" t="s">
        <v>788</v>
      </c>
      <c r="J12678" s="380" t="s">
        <v>773</v>
      </c>
      <c r="K12678" s="381">
        <v>0.0</v>
      </c>
      <c r="L12678" s="382">
        <v>1.0</v>
      </c>
    </row>
    <row r="12679">
      <c r="A12679" s="380" t="s">
        <v>13553</v>
      </c>
      <c r="B12679" s="380" t="str">
        <f>IFERROR(__xludf.DUMMYFUNCTION("""COMPUTED_VALUE"""),"Persiana Foton 1129 Reparado")</f>
        <v>Persiana Foton 1129 Reparado</v>
      </c>
      <c r="C12679" s="380" t="str">
        <f>IFERROR(__xludf.DUMMYFUNCTION("""COMPUTED_VALUE"""),"70008146")</f>
        <v>70008146</v>
      </c>
      <c r="D12679" s="380" t="s">
        <v>767</v>
      </c>
      <c r="E12679" s="380" t="s">
        <v>786</v>
      </c>
      <c r="F12679" s="380" t="s">
        <v>928</v>
      </c>
      <c r="G12679" s="380" t="s">
        <v>1267</v>
      </c>
      <c r="H12679" s="380" t="s">
        <v>771</v>
      </c>
      <c r="I12679" s="380" t="s">
        <v>788</v>
      </c>
      <c r="J12679" s="380" t="s">
        <v>773</v>
      </c>
      <c r="K12679" s="381">
        <v>0.0</v>
      </c>
      <c r="L12679" s="382">
        <v>1.0</v>
      </c>
    </row>
    <row r="12680">
      <c r="A12680" s="380" t="s">
        <v>13554</v>
      </c>
      <c r="B12680" s="380" t="str">
        <f>IFERROR(__xludf.DUMMYFUNCTION("""COMPUTED_VALUE"""),"Banda Trasera Hino 500 9217 Remachada")</f>
        <v>Banda Trasera Hino 500 9217 Remachada</v>
      </c>
      <c r="C12680" s="380" t="str">
        <f>IFERROR(__xludf.DUMMYFUNCTION("""COMPUTED_VALUE"""),"70008147")</f>
        <v>70008147</v>
      </c>
      <c r="D12680" s="380" t="s">
        <v>767</v>
      </c>
      <c r="E12680" s="380" t="s">
        <v>786</v>
      </c>
      <c r="F12680" s="380" t="s">
        <v>1017</v>
      </c>
      <c r="G12680" s="380" t="s">
        <v>1267</v>
      </c>
      <c r="H12680" s="380" t="s">
        <v>771</v>
      </c>
      <c r="I12680" s="380" t="s">
        <v>788</v>
      </c>
      <c r="J12680" s="380" t="s">
        <v>773</v>
      </c>
      <c r="K12680" s="381">
        <v>0.0</v>
      </c>
      <c r="L12680" s="382">
        <v>1.0</v>
      </c>
    </row>
    <row r="12681">
      <c r="A12681" s="380" t="s">
        <v>13555</v>
      </c>
      <c r="B12681" s="380" t="str">
        <f>IFERROR(__xludf.DUMMYFUNCTION("""COMPUTED_VALUE"""),"Banda DEL HN 500 20192 Remachada")</f>
        <v>Banda DEL HN 500 20192 Remachada</v>
      </c>
      <c r="C12681" s="380" t="str">
        <f>IFERROR(__xludf.DUMMYFUNCTION("""COMPUTED_VALUE"""),"70008148")</f>
        <v>70008148</v>
      </c>
      <c r="D12681" s="380" t="s">
        <v>767</v>
      </c>
      <c r="E12681" s="380" t="s">
        <v>786</v>
      </c>
      <c r="F12681" s="380" t="s">
        <v>1017</v>
      </c>
      <c r="G12681" s="380" t="s">
        <v>1267</v>
      </c>
      <c r="H12681" s="380" t="s">
        <v>771</v>
      </c>
      <c r="I12681" s="380" t="s">
        <v>788</v>
      </c>
      <c r="J12681" s="380" t="s">
        <v>773</v>
      </c>
      <c r="K12681" s="381">
        <v>0.0</v>
      </c>
      <c r="L12681" s="382">
        <v>1.0</v>
      </c>
    </row>
    <row r="12682">
      <c r="A12682" s="380" t="s">
        <v>13556</v>
      </c>
      <c r="B12682" s="380" t="str">
        <f>IFERROR(__xludf.DUMMYFUNCTION("""COMPUTED_VALUE"""),"Catalizadores Varios Reparados")</f>
        <v>Catalizadores Varios Reparados</v>
      </c>
      <c r="C12682" s="380" t="str">
        <f>IFERROR(__xludf.DUMMYFUNCTION("""COMPUTED_VALUE"""),"70008149")</f>
        <v>70008149</v>
      </c>
      <c r="D12682" s="380" t="s">
        <v>767</v>
      </c>
      <c r="E12682" s="380" t="s">
        <v>786</v>
      </c>
      <c r="F12682" s="380" t="s">
        <v>787</v>
      </c>
      <c r="G12682" s="380" t="s">
        <v>1267</v>
      </c>
      <c r="H12682" s="380" t="s">
        <v>771</v>
      </c>
      <c r="I12682" s="380" t="s">
        <v>788</v>
      </c>
      <c r="J12682" s="380" t="s">
        <v>773</v>
      </c>
      <c r="K12682" s="381">
        <v>908387.0</v>
      </c>
      <c r="L12682" s="382">
        <v>1.0</v>
      </c>
    </row>
    <row r="12683">
      <c r="A12683" s="380" t="s">
        <v>13557</v>
      </c>
      <c r="B12683" s="380" t="str">
        <f>IFERROR(__xludf.DUMMYFUNCTION("""COMPUTED_VALUE"""),"Varilla Empujadora Akt 200")</f>
        <v>Varilla Empujadora Akt 200</v>
      </c>
      <c r="C12683" s="380" t="str">
        <f>IFERROR(__xludf.DUMMYFUNCTION("""COMPUTED_VALUE"""),"70008150")</f>
        <v>70008150</v>
      </c>
      <c r="D12683" s="380" t="s">
        <v>767</v>
      </c>
      <c r="E12683" s="380" t="s">
        <v>786</v>
      </c>
      <c r="F12683" s="380" t="s">
        <v>787</v>
      </c>
      <c r="G12683" s="380" t="s">
        <v>1267</v>
      </c>
      <c r="H12683" s="380" t="s">
        <v>771</v>
      </c>
      <c r="I12683" s="380" t="s">
        <v>788</v>
      </c>
      <c r="J12683" s="380" t="s">
        <v>773</v>
      </c>
      <c r="K12683" s="381">
        <v>0.0</v>
      </c>
      <c r="L12683" s="382">
        <v>1.0</v>
      </c>
    </row>
    <row r="12684">
      <c r="A12684" s="380" t="s">
        <v>13558</v>
      </c>
      <c r="B12684" s="380" t="str">
        <f>IFERROR(__xludf.DUMMYFUNCTION("""COMPUTED_VALUE"""),"Balinera 6328 Akt 200")</f>
        <v>Balinera 6328 Akt 200</v>
      </c>
      <c r="C12684" s="380" t="str">
        <f>IFERROR(__xludf.DUMMYFUNCTION("""COMPUTED_VALUE"""),"70008151")</f>
        <v>70008151</v>
      </c>
      <c r="D12684" s="380" t="s">
        <v>767</v>
      </c>
      <c r="E12684" s="380" t="s">
        <v>786</v>
      </c>
      <c r="F12684" s="380" t="s">
        <v>787</v>
      </c>
      <c r="G12684" s="380" t="s">
        <v>1267</v>
      </c>
      <c r="H12684" s="380" t="s">
        <v>771</v>
      </c>
      <c r="I12684" s="380" t="s">
        <v>788</v>
      </c>
      <c r="J12684" s="380" t="s">
        <v>773</v>
      </c>
      <c r="K12684" s="381">
        <v>0.0</v>
      </c>
      <c r="L12684" s="382">
        <v>1.0</v>
      </c>
    </row>
    <row r="12685">
      <c r="A12685" s="380" t="s">
        <v>13559</v>
      </c>
      <c r="B12685" s="380" t="str">
        <f>IFERROR(__xludf.DUMMYFUNCTION("""COMPUTED_VALUE"""),"Piñon Balance Cigueñal Akt 200")</f>
        <v>Piñon Balance Cigueñal Akt 200</v>
      </c>
      <c r="C12685" s="380" t="str">
        <f>IFERROR(__xludf.DUMMYFUNCTION("""COMPUTED_VALUE"""),"70008152")</f>
        <v>70008152</v>
      </c>
      <c r="D12685" s="380" t="s">
        <v>767</v>
      </c>
      <c r="E12685" s="380" t="s">
        <v>786</v>
      </c>
      <c r="F12685" s="380" t="s">
        <v>787</v>
      </c>
      <c r="G12685" s="380" t="s">
        <v>1267</v>
      </c>
      <c r="H12685" s="380" t="s">
        <v>771</v>
      </c>
      <c r="I12685" s="380" t="s">
        <v>788</v>
      </c>
      <c r="J12685" s="380" t="s">
        <v>773</v>
      </c>
      <c r="K12685" s="381">
        <v>0.0</v>
      </c>
      <c r="L12685" s="382">
        <v>1.0</v>
      </c>
    </row>
    <row r="12686">
      <c r="A12686" s="380" t="s">
        <v>13560</v>
      </c>
      <c r="B12686" s="380" t="str">
        <f>IFERROR(__xludf.DUMMYFUNCTION("""COMPUTED_VALUE"""),"Balinera 6006 Akt 200")</f>
        <v>Balinera 6006 Akt 200</v>
      </c>
      <c r="C12686" s="380" t="str">
        <f>IFERROR(__xludf.DUMMYFUNCTION("""COMPUTED_VALUE"""),"70008153")</f>
        <v>70008153</v>
      </c>
      <c r="D12686" s="380" t="s">
        <v>767</v>
      </c>
      <c r="E12686" s="380" t="s">
        <v>786</v>
      </c>
      <c r="F12686" s="380" t="s">
        <v>787</v>
      </c>
      <c r="G12686" s="380" t="s">
        <v>1267</v>
      </c>
      <c r="H12686" s="380" t="s">
        <v>771</v>
      </c>
      <c r="I12686" s="380" t="s">
        <v>788</v>
      </c>
      <c r="J12686" s="380" t="s">
        <v>773</v>
      </c>
      <c r="K12686" s="381">
        <v>0.0</v>
      </c>
      <c r="L12686" s="382">
        <v>1.0</v>
      </c>
    </row>
    <row r="12687">
      <c r="A12687" s="380" t="s">
        <v>13561</v>
      </c>
      <c r="B12687" s="380" t="str">
        <f>IFERROR(__xludf.DUMMYFUNCTION("""COMPUTED_VALUE"""),"Banda Trasera Hi Remachada")</f>
        <v>Banda Trasera Hi Remachada</v>
      </c>
      <c r="C12687" s="380" t="str">
        <f>IFERROR(__xludf.DUMMYFUNCTION("""COMPUTED_VALUE"""),"70008154")</f>
        <v>70008154</v>
      </c>
      <c r="D12687" s="380" t="s">
        <v>767</v>
      </c>
      <c r="E12687" s="380" t="s">
        <v>786</v>
      </c>
      <c r="F12687" s="380" t="s">
        <v>1017</v>
      </c>
      <c r="G12687" s="380" t="s">
        <v>1267</v>
      </c>
      <c r="H12687" s="380" t="s">
        <v>771</v>
      </c>
      <c r="I12687" s="380" t="s">
        <v>788</v>
      </c>
      <c r="J12687" s="380" t="s">
        <v>773</v>
      </c>
      <c r="K12687" s="381">
        <v>0.0</v>
      </c>
      <c r="L12687" s="382">
        <v>1.0</v>
      </c>
    </row>
    <row r="12688">
      <c r="A12688" s="380" t="s">
        <v>13562</v>
      </c>
      <c r="B12688" s="380" t="str">
        <f>IFERROR(__xludf.DUMMYFUNCTION("""COMPUTED_VALUE"""),"Cojin COND Y Ayudante FT Reparado")</f>
        <v>Cojin COND Y Ayudante FT Reparado</v>
      </c>
      <c r="C12688" s="380" t="str">
        <f>IFERROR(__xludf.DUMMYFUNCTION("""COMPUTED_VALUE"""),"70008155")</f>
        <v>70008155</v>
      </c>
      <c r="D12688" s="380" t="s">
        <v>767</v>
      </c>
      <c r="E12688" s="380" t="s">
        <v>786</v>
      </c>
      <c r="F12688" s="380" t="s">
        <v>792</v>
      </c>
      <c r="G12688" s="380" t="s">
        <v>1267</v>
      </c>
      <c r="H12688" s="380" t="s">
        <v>771</v>
      </c>
      <c r="I12688" s="380" t="s">
        <v>788</v>
      </c>
      <c r="J12688" s="380" t="s">
        <v>773</v>
      </c>
      <c r="K12688" s="381">
        <v>329033.0</v>
      </c>
      <c r="L12688" s="382">
        <v>1.0</v>
      </c>
    </row>
    <row r="12689">
      <c r="A12689" s="380" t="s">
        <v>13563</v>
      </c>
      <c r="B12689" s="380" t="str">
        <f>IFERROR(__xludf.DUMMYFUNCTION("""COMPUTED_VALUE"""),"Persiana Nkr Reparado")</f>
        <v>Persiana Nkr Reparado</v>
      </c>
      <c r="C12689" s="380" t="str">
        <f>IFERROR(__xludf.DUMMYFUNCTION("""COMPUTED_VALUE"""),"70008156")</f>
        <v>70008156</v>
      </c>
      <c r="D12689" s="380" t="s">
        <v>767</v>
      </c>
      <c r="E12689" s="380" t="s">
        <v>786</v>
      </c>
      <c r="F12689" s="380" t="s">
        <v>792</v>
      </c>
      <c r="G12689" s="380" t="s">
        <v>1267</v>
      </c>
      <c r="H12689" s="380" t="s">
        <v>771</v>
      </c>
      <c r="I12689" s="380" t="s">
        <v>788</v>
      </c>
      <c r="J12689" s="380" t="s">
        <v>773</v>
      </c>
      <c r="K12689" s="381">
        <v>0.0</v>
      </c>
      <c r="L12689" s="382">
        <v>1.0</v>
      </c>
    </row>
    <row r="12690">
      <c r="A12690" s="380" t="s">
        <v>13564</v>
      </c>
      <c r="B12690" s="380" t="str">
        <f>IFERROR(__xludf.DUMMYFUNCTION("""COMPUTED_VALUE"""),"Banda Tras. Eagle - Kw T800 47 Remachada")</f>
        <v>Banda Tras. Eagle - Kw T800 47 Remachada</v>
      </c>
      <c r="C12690" s="380" t="str">
        <f>IFERROR(__xludf.DUMMYFUNCTION("""COMPUTED_VALUE"""),"70008157")</f>
        <v>70008157</v>
      </c>
      <c r="D12690" s="380" t="s">
        <v>767</v>
      </c>
      <c r="E12690" s="380" t="s">
        <v>786</v>
      </c>
      <c r="F12690" s="380" t="s">
        <v>1017</v>
      </c>
      <c r="G12690" s="380" t="s">
        <v>1267</v>
      </c>
      <c r="H12690" s="380" t="s">
        <v>771</v>
      </c>
      <c r="I12690" s="380" t="s">
        <v>788</v>
      </c>
      <c r="J12690" s="380" t="s">
        <v>773</v>
      </c>
      <c r="K12690" s="381">
        <v>0.0</v>
      </c>
      <c r="L12690" s="382">
        <v>1.0</v>
      </c>
    </row>
    <row r="12691">
      <c r="A12691" s="380" t="s">
        <v>13565</v>
      </c>
      <c r="B12691" s="380" t="str">
        <f>IFERROR(__xludf.DUMMYFUNCTION("""COMPUTED_VALUE"""),"Millare Reparado")</f>
        <v>Millare Reparado</v>
      </c>
      <c r="C12691" s="380" t="str">
        <f>IFERROR(__xludf.DUMMYFUNCTION("""COMPUTED_VALUE"""),"70008158")</f>
        <v>70008158</v>
      </c>
      <c r="D12691" s="380" t="s">
        <v>767</v>
      </c>
      <c r="E12691" s="380" t="s">
        <v>786</v>
      </c>
      <c r="F12691" s="380" t="s">
        <v>792</v>
      </c>
      <c r="G12691" s="380" t="s">
        <v>1267</v>
      </c>
      <c r="H12691" s="380" t="s">
        <v>771</v>
      </c>
      <c r="I12691" s="380" t="s">
        <v>788</v>
      </c>
      <c r="J12691" s="380" t="s">
        <v>773</v>
      </c>
      <c r="K12691" s="381">
        <v>0.0</v>
      </c>
      <c r="L12691" s="382">
        <v>1.0</v>
      </c>
    </row>
    <row r="12692">
      <c r="A12692" s="380" t="s">
        <v>13566</v>
      </c>
      <c r="B12692" s="380" t="str">
        <f>IFERROR(__xludf.DUMMYFUNCTION("""COMPUTED_VALUE"""),"Banda Freno Emerg Vucan Nkr Rw Remachada")</f>
        <v>Banda Freno Emerg Vucan Nkr Rw Remachada</v>
      </c>
      <c r="C12692" s="380" t="str">
        <f>IFERROR(__xludf.DUMMYFUNCTION("""COMPUTED_VALUE"""),"70008159")</f>
        <v>70008159</v>
      </c>
      <c r="D12692" s="380" t="s">
        <v>767</v>
      </c>
      <c r="E12692" s="380" t="s">
        <v>786</v>
      </c>
      <c r="F12692" s="380" t="s">
        <v>1017</v>
      </c>
      <c r="G12692" s="380" t="s">
        <v>1267</v>
      </c>
      <c r="H12692" s="380" t="s">
        <v>771</v>
      </c>
      <c r="I12692" s="380" t="s">
        <v>788</v>
      </c>
      <c r="J12692" s="380" t="s">
        <v>773</v>
      </c>
      <c r="K12692" s="381">
        <v>33320.0</v>
      </c>
      <c r="L12692" s="382">
        <v>1.0</v>
      </c>
    </row>
    <row r="12693">
      <c r="A12693" s="380" t="s">
        <v>13567</v>
      </c>
      <c r="B12693" s="380" t="str">
        <f>IFERROR(__xludf.DUMMYFUNCTION("""COMPUTED_VALUE"""),"Bomba Agua Hino Reparado")</f>
        <v>Bomba Agua Hino Reparado</v>
      </c>
      <c r="C12693" s="380" t="str">
        <f>IFERROR(__xludf.DUMMYFUNCTION("""COMPUTED_VALUE"""),"70008160")</f>
        <v>70008160</v>
      </c>
      <c r="D12693" s="380" t="s">
        <v>767</v>
      </c>
      <c r="E12693" s="380" t="s">
        <v>786</v>
      </c>
      <c r="F12693" s="380" t="s">
        <v>787</v>
      </c>
      <c r="G12693" s="380" t="s">
        <v>1267</v>
      </c>
      <c r="H12693" s="380" t="s">
        <v>771</v>
      </c>
      <c r="I12693" s="380" t="s">
        <v>788</v>
      </c>
      <c r="J12693" s="380" t="s">
        <v>773</v>
      </c>
      <c r="K12693" s="381">
        <v>0.0</v>
      </c>
      <c r="L12693" s="382">
        <v>1.0</v>
      </c>
    </row>
    <row r="12694">
      <c r="A12694" s="380" t="s">
        <v>13568</v>
      </c>
      <c r="B12694" s="380" t="str">
        <f>IFERROR(__xludf.DUMMYFUNCTION("""COMPUTED_VALUE"""),"Carenaje Farola Akt 125")</f>
        <v>Carenaje Farola Akt 125</v>
      </c>
      <c r="C12694" s="380" t="str">
        <f>IFERROR(__xludf.DUMMYFUNCTION("""COMPUTED_VALUE"""),"70008161")</f>
        <v>70008161</v>
      </c>
      <c r="D12694" s="380" t="s">
        <v>767</v>
      </c>
      <c r="E12694" s="380" t="s">
        <v>786</v>
      </c>
      <c r="F12694" s="380" t="s">
        <v>998</v>
      </c>
      <c r="G12694" s="380" t="s">
        <v>1267</v>
      </c>
      <c r="H12694" s="380" t="s">
        <v>771</v>
      </c>
      <c r="I12694" s="380" t="s">
        <v>788</v>
      </c>
      <c r="J12694" s="380" t="s">
        <v>773</v>
      </c>
      <c r="K12694" s="381">
        <v>0.0</v>
      </c>
      <c r="L12694" s="382">
        <v>1.0</v>
      </c>
    </row>
    <row r="12695">
      <c r="A12695" s="380" t="s">
        <v>13569</v>
      </c>
      <c r="B12695" s="380" t="str">
        <f>IFERROR(__xludf.DUMMYFUNCTION("""COMPUTED_VALUE"""),"Banda Freno Npr Supertrack 20101 Remacha")</f>
        <v>Banda Freno Npr Supertrack 20101 Remacha</v>
      </c>
      <c r="C12695" s="380" t="str">
        <f>IFERROR(__xludf.DUMMYFUNCTION("""COMPUTED_VALUE"""),"70008163")</f>
        <v>70008163</v>
      </c>
      <c r="D12695" s="380" t="s">
        <v>767</v>
      </c>
      <c r="E12695" s="380" t="s">
        <v>786</v>
      </c>
      <c r="F12695" s="380" t="s">
        <v>1017</v>
      </c>
      <c r="G12695" s="380" t="s">
        <v>1267</v>
      </c>
      <c r="H12695" s="380" t="s">
        <v>771</v>
      </c>
      <c r="I12695" s="380" t="s">
        <v>788</v>
      </c>
      <c r="J12695" s="380" t="s">
        <v>773</v>
      </c>
      <c r="K12695" s="381">
        <v>0.0</v>
      </c>
      <c r="L12695" s="382">
        <v>1.0</v>
      </c>
    </row>
    <row r="12696">
      <c r="A12696" s="380" t="s">
        <v>13570</v>
      </c>
      <c r="B12696" s="380" t="str">
        <f>IFERROR(__xludf.DUMMYFUNCTION("""COMPUTED_VALUE"""),"Banda Del Tras Toyota 2137l Remachada")</f>
        <v>Banda Del Tras Toyota 2137l Remachada</v>
      </c>
      <c r="C12696" s="380" t="str">
        <f>IFERROR(__xludf.DUMMYFUNCTION("""COMPUTED_VALUE"""),"70008164")</f>
        <v>70008164</v>
      </c>
      <c r="D12696" s="380" t="s">
        <v>767</v>
      </c>
      <c r="E12696" s="380" t="s">
        <v>786</v>
      </c>
      <c r="F12696" s="380" t="s">
        <v>1017</v>
      </c>
      <c r="G12696" s="380" t="s">
        <v>1267</v>
      </c>
      <c r="H12696" s="380" t="s">
        <v>771</v>
      </c>
      <c r="I12696" s="380" t="s">
        <v>788</v>
      </c>
      <c r="J12696" s="380" t="s">
        <v>773</v>
      </c>
      <c r="K12696" s="381">
        <v>27939.0</v>
      </c>
      <c r="L12696" s="382">
        <v>1.0</v>
      </c>
    </row>
    <row r="12697">
      <c r="A12697" s="380" t="s">
        <v>13571</v>
      </c>
      <c r="B12697" s="380" t="str">
        <f>IFERROR(__xludf.DUMMYFUNCTION("""COMPUTED_VALUE"""),"Banda Del EGL 4720 Supertrack Remachada")</f>
        <v>Banda Del EGL 4720 Supertrack Remachada</v>
      </c>
      <c r="C12697" s="380" t="str">
        <f>IFERROR(__xludf.DUMMYFUNCTION("""COMPUTED_VALUE"""),"70008165")</f>
        <v>70008165</v>
      </c>
      <c r="D12697" s="380" t="s">
        <v>767</v>
      </c>
      <c r="E12697" s="380" t="s">
        <v>786</v>
      </c>
      <c r="F12697" s="380" t="s">
        <v>1017</v>
      </c>
      <c r="G12697" s="380" t="s">
        <v>1267</v>
      </c>
      <c r="H12697" s="380" t="s">
        <v>771</v>
      </c>
      <c r="I12697" s="380" t="s">
        <v>788</v>
      </c>
      <c r="J12697" s="380" t="s">
        <v>773</v>
      </c>
      <c r="K12697" s="381">
        <v>67473.0</v>
      </c>
      <c r="L12697" s="382">
        <v>1.0</v>
      </c>
    </row>
    <row r="12698">
      <c r="A12698" s="380" t="s">
        <v>13572</v>
      </c>
      <c r="B12698" s="380" t="str">
        <f>IFERROR(__xludf.DUMMYFUNCTION("""COMPUTED_VALUE"""),"Banda Tras Eagle Kenworth 4709 Remachda")</f>
        <v>Banda Tras Eagle Kenworth 4709 Remachda</v>
      </c>
      <c r="C12698" s="380" t="str">
        <f>IFERROR(__xludf.DUMMYFUNCTION("""COMPUTED_VALUE"""),"70008166")</f>
        <v>70008166</v>
      </c>
      <c r="D12698" s="380" t="s">
        <v>767</v>
      </c>
      <c r="E12698" s="380" t="s">
        <v>786</v>
      </c>
      <c r="F12698" s="380" t="s">
        <v>1017</v>
      </c>
      <c r="G12698" s="380" t="s">
        <v>1267</v>
      </c>
      <c r="H12698" s="380" t="s">
        <v>771</v>
      </c>
      <c r="I12698" s="380" t="s">
        <v>788</v>
      </c>
      <c r="J12698" s="380" t="s">
        <v>773</v>
      </c>
      <c r="K12698" s="381">
        <v>86870.0</v>
      </c>
      <c r="L12698" s="382">
        <v>1.0</v>
      </c>
    </row>
    <row r="12699">
      <c r="A12699" s="380" t="s">
        <v>13573</v>
      </c>
      <c r="B12699" s="380" t="str">
        <f>IFERROR(__xludf.DUMMYFUNCTION("""COMPUTED_VALUE"""),"Banda Porta Contenedor 4718 Remachada")</f>
        <v>Banda Porta Contenedor 4718 Remachada</v>
      </c>
      <c r="C12699" s="380" t="str">
        <f>IFERROR(__xludf.DUMMYFUNCTION("""COMPUTED_VALUE"""),"70008167")</f>
        <v>70008167</v>
      </c>
      <c r="D12699" s="380" t="s">
        <v>767</v>
      </c>
      <c r="E12699" s="380" t="s">
        <v>786</v>
      </c>
      <c r="F12699" s="380" t="s">
        <v>1017</v>
      </c>
      <c r="G12699" s="380" t="s">
        <v>1267</v>
      </c>
      <c r="H12699" s="380" t="s">
        <v>771</v>
      </c>
      <c r="I12699" s="380" t="s">
        <v>788</v>
      </c>
      <c r="J12699" s="380" t="s">
        <v>773</v>
      </c>
      <c r="K12699" s="381">
        <v>110670.0</v>
      </c>
      <c r="L12699" s="382">
        <v>1.0</v>
      </c>
    </row>
    <row r="12700">
      <c r="A12700" s="380" t="s">
        <v>13574</v>
      </c>
      <c r="B12700" s="380" t="str">
        <f>IFERROR(__xludf.DUMMYFUNCTION("""COMPUTED_VALUE"""),"Juego Bandas Moto SZ Nueva S54400-010")</f>
        <v>Juego Bandas Moto SZ Nueva S54400-010</v>
      </c>
      <c r="C12700" s="380" t="str">
        <f>IFERROR(__xludf.DUMMYFUNCTION("""COMPUTED_VALUE"""),"70008168")</f>
        <v>70008168</v>
      </c>
      <c r="D12700" s="380" t="s">
        <v>767</v>
      </c>
      <c r="E12700" s="380" t="s">
        <v>786</v>
      </c>
      <c r="F12700" s="380" t="s">
        <v>1017</v>
      </c>
      <c r="G12700" s="380" t="s">
        <v>1267</v>
      </c>
      <c r="H12700" s="380" t="s">
        <v>771</v>
      </c>
      <c r="I12700" s="380" t="s">
        <v>788</v>
      </c>
      <c r="J12700" s="380" t="s">
        <v>773</v>
      </c>
      <c r="K12700" s="381">
        <v>0.0</v>
      </c>
      <c r="L12700" s="382">
        <v>1.0</v>
      </c>
    </row>
    <row r="12701">
      <c r="A12701" s="380" t="s">
        <v>13575</v>
      </c>
      <c r="B12701" s="380" t="str">
        <f>IFERROR(__xludf.DUMMYFUNCTION("""COMPUTED_VALUE"""),"Banda Del-Tras Nhr Vulcanizada Remachada")</f>
        <v>Banda Del-Tras Nhr Vulcanizada Remachada</v>
      </c>
      <c r="C12701" s="380" t="str">
        <f>IFERROR(__xludf.DUMMYFUNCTION("""COMPUTED_VALUE"""),"70008169")</f>
        <v>70008169</v>
      </c>
      <c r="D12701" s="380" t="s">
        <v>767</v>
      </c>
      <c r="E12701" s="380" t="s">
        <v>786</v>
      </c>
      <c r="F12701" s="380" t="s">
        <v>1017</v>
      </c>
      <c r="G12701" s="380" t="s">
        <v>1267</v>
      </c>
      <c r="H12701" s="380" t="s">
        <v>771</v>
      </c>
      <c r="I12701" s="380" t="s">
        <v>788</v>
      </c>
      <c r="J12701" s="380" t="s">
        <v>773</v>
      </c>
      <c r="K12701" s="381">
        <v>0.0</v>
      </c>
      <c r="L12701" s="382">
        <v>1.0</v>
      </c>
    </row>
    <row r="12702">
      <c r="A12702" s="380" t="s">
        <v>13576</v>
      </c>
      <c r="B12702" s="380" t="str">
        <f>IFERROR(__xludf.DUMMYFUNCTION("""COMPUTED_VALUE"""),"Banda Freno DEL Frr 9318 Remachada")</f>
        <v>Banda Freno DEL Frr 9318 Remachada</v>
      </c>
      <c r="C12702" s="380" t="str">
        <f>IFERROR(__xludf.DUMMYFUNCTION("""COMPUTED_VALUE"""),"70008170")</f>
        <v>70008170</v>
      </c>
      <c r="D12702" s="380" t="s">
        <v>767</v>
      </c>
      <c r="E12702" s="380" t="s">
        <v>786</v>
      </c>
      <c r="F12702" s="380" t="s">
        <v>1017</v>
      </c>
      <c r="G12702" s="380" t="s">
        <v>1267</v>
      </c>
      <c r="H12702" s="380" t="s">
        <v>771</v>
      </c>
      <c r="I12702" s="380" t="s">
        <v>788</v>
      </c>
      <c r="J12702" s="380" t="s">
        <v>773</v>
      </c>
      <c r="K12702" s="381">
        <v>0.0</v>
      </c>
      <c r="L12702" s="382">
        <v>1.0</v>
      </c>
    </row>
    <row r="12703">
      <c r="A12703" s="380" t="s">
        <v>13577</v>
      </c>
      <c r="B12703" s="380" t="str">
        <f>IFERROR(__xludf.DUMMYFUNCTION("""COMPUTED_VALUE"""),"Inyector Motor Hino 300 Reparado")</f>
        <v>Inyector Motor Hino 300 Reparado</v>
      </c>
      <c r="C12703" s="380" t="str">
        <f>IFERROR(__xludf.DUMMYFUNCTION("""COMPUTED_VALUE"""),"70008171")</f>
        <v>70008171</v>
      </c>
      <c r="D12703" s="380" t="s">
        <v>767</v>
      </c>
      <c r="E12703" s="380" t="s">
        <v>786</v>
      </c>
      <c r="F12703" s="380" t="s">
        <v>787</v>
      </c>
      <c r="G12703" s="380" t="s">
        <v>1267</v>
      </c>
      <c r="H12703" s="380" t="s">
        <v>771</v>
      </c>
      <c r="I12703" s="380" t="s">
        <v>788</v>
      </c>
      <c r="J12703" s="380" t="s">
        <v>773</v>
      </c>
      <c r="K12703" s="381">
        <v>0.0</v>
      </c>
      <c r="L12703" s="382">
        <v>1.0</v>
      </c>
    </row>
    <row r="12704">
      <c r="A12704" s="380" t="s">
        <v>13578</v>
      </c>
      <c r="B12704" s="380" t="str">
        <f>IFERROR(__xludf.DUMMYFUNCTION("""COMPUTED_VALUE"""),"Alternador Montacarga Reparado")</f>
        <v>Alternador Montacarga Reparado</v>
      </c>
      <c r="C12704" s="380" t="str">
        <f>IFERROR(__xludf.DUMMYFUNCTION("""COMPUTED_VALUE"""),"70008172")</f>
        <v>70008172</v>
      </c>
      <c r="D12704" s="380" t="s">
        <v>767</v>
      </c>
      <c r="E12704" s="380" t="s">
        <v>786</v>
      </c>
      <c r="F12704" s="380" t="s">
        <v>787</v>
      </c>
      <c r="G12704" s="380" t="s">
        <v>1267</v>
      </c>
      <c r="H12704" s="380" t="s">
        <v>771</v>
      </c>
      <c r="I12704" s="380" t="s">
        <v>788</v>
      </c>
      <c r="J12704" s="380" t="s">
        <v>773</v>
      </c>
      <c r="K12704" s="381">
        <v>0.0</v>
      </c>
      <c r="L12704" s="382">
        <v>1.0</v>
      </c>
    </row>
    <row r="12705">
      <c r="A12705" s="380" t="s">
        <v>13579</v>
      </c>
      <c r="B12705" s="380" t="str">
        <f>IFERROR(__xludf.DUMMYFUNCTION("""COMPUTED_VALUE"""),"Guaya Varias Reparado")</f>
        <v>Guaya Varias Reparado</v>
      </c>
      <c r="C12705" s="380" t="str">
        <f>IFERROR(__xludf.DUMMYFUNCTION("""COMPUTED_VALUE"""),"70008173")</f>
        <v>70008173</v>
      </c>
      <c r="D12705" s="380" t="s">
        <v>767</v>
      </c>
      <c r="E12705" s="380" t="s">
        <v>786</v>
      </c>
      <c r="F12705" s="380" t="s">
        <v>1017</v>
      </c>
      <c r="G12705" s="380" t="s">
        <v>1267</v>
      </c>
      <c r="H12705" s="380" t="s">
        <v>771</v>
      </c>
      <c r="I12705" s="380" t="s">
        <v>788</v>
      </c>
      <c r="J12705" s="380" t="s">
        <v>773</v>
      </c>
      <c r="K12705" s="381">
        <v>320001.0</v>
      </c>
      <c r="L12705" s="382">
        <v>1.0</v>
      </c>
    </row>
    <row r="12706">
      <c r="A12706" s="380" t="s">
        <v>13580</v>
      </c>
      <c r="B12706" s="380" t="str">
        <f>IFERROR(__xludf.DUMMYFUNCTION("""COMPUTED_VALUE"""),"Bendix Completo Moto Dr 650 963852")</f>
        <v>Bendix Completo Moto Dr 650 963852</v>
      </c>
      <c r="C12706" s="380" t="str">
        <f>IFERROR(__xludf.DUMMYFUNCTION("""COMPUTED_VALUE"""),"70008174")</f>
        <v>70008174</v>
      </c>
      <c r="D12706" s="380" t="s">
        <v>767</v>
      </c>
      <c r="E12706" s="380" t="s">
        <v>786</v>
      </c>
      <c r="F12706" s="380" t="s">
        <v>998</v>
      </c>
      <c r="G12706" s="380" t="s">
        <v>1267</v>
      </c>
      <c r="H12706" s="380" t="s">
        <v>771</v>
      </c>
      <c r="I12706" s="380" t="s">
        <v>788</v>
      </c>
      <c r="J12706" s="380" t="s">
        <v>773</v>
      </c>
      <c r="K12706" s="381">
        <v>0.0</v>
      </c>
      <c r="L12706" s="382">
        <v>1.0</v>
      </c>
    </row>
    <row r="12707">
      <c r="A12707" s="380" t="s">
        <v>13581</v>
      </c>
      <c r="B12707" s="380" t="str">
        <f>IFERROR(__xludf.DUMMYFUNCTION("""COMPUTED_VALUE"""),"Cadena Moto Dr 650 147852")</f>
        <v>Cadena Moto Dr 650 147852</v>
      </c>
      <c r="C12707" s="380" t="str">
        <f>IFERROR(__xludf.DUMMYFUNCTION("""COMPUTED_VALUE"""),"70008175")</f>
        <v>70008175</v>
      </c>
      <c r="D12707" s="380" t="s">
        <v>767</v>
      </c>
      <c r="E12707" s="380" t="s">
        <v>786</v>
      </c>
      <c r="F12707" s="380" t="s">
        <v>1039</v>
      </c>
      <c r="G12707" s="380" t="s">
        <v>1267</v>
      </c>
      <c r="H12707" s="380" t="s">
        <v>771</v>
      </c>
      <c r="I12707" s="380" t="s">
        <v>788</v>
      </c>
      <c r="J12707" s="380" t="s">
        <v>773</v>
      </c>
      <c r="K12707" s="381">
        <v>0.0</v>
      </c>
      <c r="L12707" s="382">
        <v>1.0</v>
      </c>
    </row>
    <row r="12708">
      <c r="A12708" s="380" t="s">
        <v>13582</v>
      </c>
      <c r="B12708" s="380" t="str">
        <f>IFERROR(__xludf.DUMMYFUNCTION("""COMPUTED_VALUE"""),"Separadores De Discos EMB 2145144b00")</f>
        <v>Separadores De Discos EMB 2145144b00</v>
      </c>
      <c r="C12708" s="380" t="str">
        <f>IFERROR(__xludf.DUMMYFUNCTION("""COMPUTED_VALUE"""),"70008176")</f>
        <v>70008176</v>
      </c>
      <c r="D12708" s="380" t="s">
        <v>767</v>
      </c>
      <c r="E12708" s="380" t="s">
        <v>786</v>
      </c>
      <c r="F12708" s="380" t="s">
        <v>5661</v>
      </c>
      <c r="G12708" s="380" t="s">
        <v>1267</v>
      </c>
      <c r="H12708" s="380" t="s">
        <v>771</v>
      </c>
      <c r="I12708" s="380" t="s">
        <v>788</v>
      </c>
      <c r="J12708" s="380" t="s">
        <v>773</v>
      </c>
      <c r="K12708" s="381">
        <v>0.0</v>
      </c>
      <c r="L12708" s="382">
        <v>1.0</v>
      </c>
    </row>
    <row r="12709">
      <c r="A12709" s="380" t="s">
        <v>13583</v>
      </c>
      <c r="B12709" s="380" t="str">
        <f>IFERROR(__xludf.DUMMYFUNCTION("""COMPUTED_VALUE"""),"Tapa Prensa De EMB Dr 650 2146231d00")</f>
        <v>Tapa Prensa De EMB Dr 650 2146231d00</v>
      </c>
      <c r="C12709" s="380" t="str">
        <f>IFERROR(__xludf.DUMMYFUNCTION("""COMPUTED_VALUE"""),"70008177")</f>
        <v>70008177</v>
      </c>
      <c r="D12709" s="380" t="s">
        <v>767</v>
      </c>
      <c r="E12709" s="380" t="s">
        <v>786</v>
      </c>
      <c r="F12709" s="380" t="s">
        <v>5661</v>
      </c>
      <c r="G12709" s="380" t="s">
        <v>1267</v>
      </c>
      <c r="H12709" s="380" t="s">
        <v>771</v>
      </c>
      <c r="I12709" s="380" t="s">
        <v>788</v>
      </c>
      <c r="J12709" s="380" t="s">
        <v>773</v>
      </c>
      <c r="K12709" s="381">
        <v>0.0</v>
      </c>
      <c r="L12709" s="382">
        <v>1.0</v>
      </c>
    </row>
    <row r="12710">
      <c r="A12710" s="380" t="s">
        <v>13584</v>
      </c>
      <c r="B12710" s="380" t="str">
        <f>IFERROR(__xludf.DUMMYFUNCTION("""COMPUTED_VALUE"""),"Furgon Nkr Reparado")</f>
        <v>Furgon Nkr Reparado</v>
      </c>
      <c r="C12710" s="380" t="str">
        <f>IFERROR(__xludf.DUMMYFUNCTION("""COMPUTED_VALUE"""),"70008178")</f>
        <v>70008178</v>
      </c>
      <c r="D12710" s="380" t="s">
        <v>767</v>
      </c>
      <c r="E12710" s="380" t="s">
        <v>786</v>
      </c>
      <c r="F12710" s="380" t="s">
        <v>792</v>
      </c>
      <c r="G12710" s="380" t="s">
        <v>1267</v>
      </c>
      <c r="H12710" s="380" t="s">
        <v>771</v>
      </c>
      <c r="I12710" s="380" t="s">
        <v>788</v>
      </c>
      <c r="J12710" s="380" t="s">
        <v>773</v>
      </c>
      <c r="K12710" s="381">
        <v>0.0</v>
      </c>
      <c r="L12710" s="382">
        <v>1.0</v>
      </c>
    </row>
    <row r="12711">
      <c r="A12711" s="380" t="s">
        <v>13585</v>
      </c>
      <c r="B12711" s="380" t="str">
        <f>IFERROR(__xludf.DUMMYFUNCTION("""COMPUTED_VALUE"""),"Alternador Reparado Hino")</f>
        <v>Alternador Reparado Hino</v>
      </c>
      <c r="C12711" s="380" t="str">
        <f>IFERROR(__xludf.DUMMYFUNCTION("""COMPUTED_VALUE"""),"70008179")</f>
        <v>70008179</v>
      </c>
      <c r="D12711" s="380" t="s">
        <v>767</v>
      </c>
      <c r="E12711" s="380" t="s">
        <v>786</v>
      </c>
      <c r="F12711" s="380" t="s">
        <v>998</v>
      </c>
      <c r="G12711" s="380" t="s">
        <v>1267</v>
      </c>
      <c r="H12711" s="380" t="s">
        <v>771</v>
      </c>
      <c r="I12711" s="380" t="s">
        <v>788</v>
      </c>
      <c r="J12711" s="380" t="s">
        <v>773</v>
      </c>
      <c r="K12711" s="381">
        <v>180001.0</v>
      </c>
      <c r="L12711" s="382">
        <v>1.0</v>
      </c>
    </row>
    <row r="12712">
      <c r="A12712" s="380" t="s">
        <v>13586</v>
      </c>
      <c r="B12712" s="380" t="str">
        <f>IFERROR(__xludf.DUMMYFUNCTION("""COMPUTED_VALUE"""),"Banda Del.Tras. Npr Remachada")</f>
        <v>Banda Del.Tras. Npr Remachada</v>
      </c>
      <c r="C12712" s="380" t="str">
        <f>IFERROR(__xludf.DUMMYFUNCTION("""COMPUTED_VALUE"""),"70008180")</f>
        <v>70008180</v>
      </c>
      <c r="D12712" s="380" t="s">
        <v>767</v>
      </c>
      <c r="E12712" s="380" t="s">
        <v>786</v>
      </c>
      <c r="F12712" s="380" t="s">
        <v>1017</v>
      </c>
      <c r="G12712" s="380" t="s">
        <v>1267</v>
      </c>
      <c r="H12712" s="380" t="s">
        <v>771</v>
      </c>
      <c r="I12712" s="380" t="s">
        <v>788</v>
      </c>
      <c r="J12712" s="380" t="s">
        <v>773</v>
      </c>
      <c r="K12712" s="381">
        <v>0.0</v>
      </c>
      <c r="L12712" s="382">
        <v>1.0</v>
      </c>
    </row>
    <row r="12713">
      <c r="A12713" s="380" t="s">
        <v>13587</v>
      </c>
      <c r="B12713" s="380" t="str">
        <f>IFERROR(__xludf.DUMMYFUNCTION("""COMPUTED_VALUE"""),"Bomba Agua T. Delta Reparado")</f>
        <v>Bomba Agua T. Delta Reparado</v>
      </c>
      <c r="C12713" s="380" t="str">
        <f>IFERROR(__xludf.DUMMYFUNCTION("""COMPUTED_VALUE"""),"70008181")</f>
        <v>70008181</v>
      </c>
      <c r="D12713" s="380" t="s">
        <v>767</v>
      </c>
      <c r="E12713" s="380" t="s">
        <v>786</v>
      </c>
      <c r="F12713" s="380" t="s">
        <v>787</v>
      </c>
      <c r="G12713" s="380" t="s">
        <v>1267</v>
      </c>
      <c r="H12713" s="380" t="s">
        <v>771</v>
      </c>
      <c r="I12713" s="380" t="s">
        <v>788</v>
      </c>
      <c r="J12713" s="380" t="s">
        <v>773</v>
      </c>
      <c r="K12713" s="381">
        <v>170000.0</v>
      </c>
      <c r="L12713" s="382">
        <v>1.0</v>
      </c>
    </row>
    <row r="12714">
      <c r="A12714" s="380" t="s">
        <v>13588</v>
      </c>
      <c r="B12714" s="380" t="str">
        <f>IFERROR(__xludf.DUMMYFUNCTION("""COMPUTED_VALUE"""),"Alternador Renault Master Reparado")</f>
        <v>Alternador Renault Master Reparado</v>
      </c>
      <c r="C12714" s="380" t="str">
        <f>IFERROR(__xludf.DUMMYFUNCTION("""COMPUTED_VALUE"""),"70008182")</f>
        <v>70008182</v>
      </c>
      <c r="D12714" s="380" t="s">
        <v>767</v>
      </c>
      <c r="E12714" s="380" t="s">
        <v>786</v>
      </c>
      <c r="F12714" s="380" t="s">
        <v>998</v>
      </c>
      <c r="G12714" s="380" t="s">
        <v>1267</v>
      </c>
      <c r="H12714" s="380" t="s">
        <v>771</v>
      </c>
      <c r="I12714" s="380" t="s">
        <v>788</v>
      </c>
      <c r="J12714" s="380" t="s">
        <v>773</v>
      </c>
      <c r="K12714" s="381">
        <v>642600.0</v>
      </c>
      <c r="L12714" s="382">
        <v>1.0</v>
      </c>
    </row>
    <row r="12715">
      <c r="A12715" s="380" t="s">
        <v>13589</v>
      </c>
      <c r="B12715" s="380" t="str">
        <f>IFERROR(__xludf.DUMMYFUNCTION("""COMPUTED_VALUE"""),"Banda Del. Sb Remachada")</f>
        <v>Banda Del. Sb Remachada</v>
      </c>
      <c r="C12715" s="380" t="str">
        <f>IFERROR(__xludf.DUMMYFUNCTION("""COMPUTED_VALUE"""),"70008183")</f>
        <v>70008183</v>
      </c>
      <c r="D12715" s="380" t="s">
        <v>767</v>
      </c>
      <c r="E12715" s="380" t="s">
        <v>786</v>
      </c>
      <c r="F12715" s="380" t="s">
        <v>1017</v>
      </c>
      <c r="G12715" s="380" t="s">
        <v>1267</v>
      </c>
      <c r="H12715" s="380" t="s">
        <v>771</v>
      </c>
      <c r="I12715" s="380" t="s">
        <v>788</v>
      </c>
      <c r="J12715" s="380" t="s">
        <v>773</v>
      </c>
      <c r="K12715" s="381">
        <v>0.0</v>
      </c>
      <c r="L12715" s="382">
        <v>1.0</v>
      </c>
    </row>
    <row r="12716">
      <c r="A12716" s="380" t="s">
        <v>13590</v>
      </c>
      <c r="B12716" s="380" t="str">
        <f>IFERROR(__xludf.DUMMYFUNCTION("""COMPUTED_VALUE"""),"Radiador Motor Jac Reparado")</f>
        <v>Radiador Motor Jac Reparado</v>
      </c>
      <c r="C12716" s="380" t="str">
        <f>IFERROR(__xludf.DUMMYFUNCTION("""COMPUTED_VALUE"""),"70008184")</f>
        <v>70008184</v>
      </c>
      <c r="D12716" s="380" t="s">
        <v>767</v>
      </c>
      <c r="E12716" s="380" t="s">
        <v>786</v>
      </c>
      <c r="F12716" s="380" t="s">
        <v>787</v>
      </c>
      <c r="G12716" s="380" t="s">
        <v>1267</v>
      </c>
      <c r="H12716" s="380" t="s">
        <v>771</v>
      </c>
      <c r="I12716" s="380" t="s">
        <v>788</v>
      </c>
      <c r="J12716" s="380" t="s">
        <v>773</v>
      </c>
      <c r="K12716" s="381">
        <v>252000.0</v>
      </c>
      <c r="L12716" s="382">
        <v>1.0</v>
      </c>
    </row>
    <row r="12717">
      <c r="A12717" s="380" t="s">
        <v>13591</v>
      </c>
      <c r="B12717" s="380" t="str">
        <f>IFERROR(__xludf.DUMMYFUNCTION("""COMPUTED_VALUE"""),"Banda Freno Trasero Foton 1030 Remachada")</f>
        <v>Banda Freno Trasero Foton 1030 Remachada</v>
      </c>
      <c r="C12717" s="380" t="str">
        <f>IFERROR(__xludf.DUMMYFUNCTION("""COMPUTED_VALUE"""),"70008185")</f>
        <v>70008185</v>
      </c>
      <c r="D12717" s="380" t="s">
        <v>767</v>
      </c>
      <c r="E12717" s="380" t="s">
        <v>786</v>
      </c>
      <c r="F12717" s="380" t="s">
        <v>1017</v>
      </c>
      <c r="G12717" s="380" t="s">
        <v>1267</v>
      </c>
      <c r="H12717" s="380" t="s">
        <v>771</v>
      </c>
      <c r="I12717" s="380" t="s">
        <v>788</v>
      </c>
      <c r="J12717" s="380" t="s">
        <v>773</v>
      </c>
      <c r="K12717" s="381">
        <v>39270.0</v>
      </c>
      <c r="L12717" s="382">
        <v>1.0</v>
      </c>
    </row>
    <row r="12718">
      <c r="A12718" s="380" t="s">
        <v>13592</v>
      </c>
      <c r="B12718" s="380" t="str">
        <f>IFERROR(__xludf.DUMMYFUNCTION("""COMPUTED_VALUE"""),"Juego Bandas Tras Moto Remacha Remachada")</f>
        <v>Juego Bandas Tras Moto Remacha Remachada</v>
      </c>
      <c r="C12718" s="380" t="str">
        <f>IFERROR(__xludf.DUMMYFUNCTION("""COMPUTED_VALUE"""),"70008186")</f>
        <v>70008186</v>
      </c>
      <c r="D12718" s="380" t="s">
        <v>767</v>
      </c>
      <c r="E12718" s="380" t="s">
        <v>786</v>
      </c>
      <c r="F12718" s="380" t="s">
        <v>1017</v>
      </c>
      <c r="G12718" s="380" t="s">
        <v>1267</v>
      </c>
      <c r="H12718" s="380" t="s">
        <v>771</v>
      </c>
      <c r="I12718" s="380" t="s">
        <v>788</v>
      </c>
      <c r="J12718" s="380" t="s">
        <v>773</v>
      </c>
      <c r="K12718" s="381">
        <v>0.0</v>
      </c>
      <c r="L12718" s="382">
        <v>1.0</v>
      </c>
    </row>
    <row r="12719">
      <c r="A12719" s="380" t="s">
        <v>13593</v>
      </c>
      <c r="B12719" s="380" t="str">
        <f>IFERROR(__xludf.DUMMYFUNCTION("""COMPUTED_VALUE"""),"Banda Freno Emerg 1081 5/32 Td Remachada")</f>
        <v>Banda Freno Emerg 1081 5/32 Td Remachada</v>
      </c>
      <c r="C12719" s="380" t="str">
        <f>IFERROR(__xludf.DUMMYFUNCTION("""COMPUTED_VALUE"""),"70008187")</f>
        <v>70008187</v>
      </c>
      <c r="D12719" s="380" t="s">
        <v>767</v>
      </c>
      <c r="E12719" s="380" t="s">
        <v>786</v>
      </c>
      <c r="F12719" s="380" t="s">
        <v>1017</v>
      </c>
      <c r="G12719" s="380" t="s">
        <v>1267</v>
      </c>
      <c r="H12719" s="380" t="s">
        <v>771</v>
      </c>
      <c r="I12719" s="380" t="s">
        <v>788</v>
      </c>
      <c r="J12719" s="380" t="s">
        <v>773</v>
      </c>
      <c r="K12719" s="381">
        <v>23588.0</v>
      </c>
      <c r="L12719" s="382">
        <v>1.0</v>
      </c>
    </row>
    <row r="12720">
      <c r="A12720" s="380" t="s">
        <v>13594</v>
      </c>
      <c r="B12720" s="380" t="str">
        <f>IFERROR(__xludf.DUMMYFUNCTION("""COMPUTED_VALUE"""),"Alternador Reparado Jac")</f>
        <v>Alternador Reparado Jac</v>
      </c>
      <c r="C12720" s="380" t="str">
        <f>IFERROR(__xludf.DUMMYFUNCTION("""COMPUTED_VALUE"""),"70008188")</f>
        <v>70008188</v>
      </c>
      <c r="D12720" s="380" t="s">
        <v>767</v>
      </c>
      <c r="E12720" s="380" t="s">
        <v>786</v>
      </c>
      <c r="F12720" s="380" t="s">
        <v>998</v>
      </c>
      <c r="G12720" s="380" t="s">
        <v>1267</v>
      </c>
      <c r="H12720" s="380" t="s">
        <v>771</v>
      </c>
      <c r="I12720" s="380" t="s">
        <v>788</v>
      </c>
      <c r="J12720" s="380" t="s">
        <v>773</v>
      </c>
      <c r="K12720" s="381">
        <v>0.0</v>
      </c>
      <c r="L12720" s="382">
        <v>1.0</v>
      </c>
    </row>
    <row r="12721">
      <c r="A12721" s="380" t="s">
        <v>13595</v>
      </c>
      <c r="B12721" s="380" t="str">
        <f>IFERROR(__xludf.DUMMYFUNCTION("""COMPUTED_VALUE"""),"Banda Freno TRL 4515 Supertrack Reparado")</f>
        <v>Banda Freno TRL 4515 Supertrack Reparado</v>
      </c>
      <c r="C12721" s="380" t="str">
        <f>IFERROR(__xludf.DUMMYFUNCTION("""COMPUTED_VALUE"""),"70008189")</f>
        <v>70008189</v>
      </c>
      <c r="D12721" s="380" t="s">
        <v>767</v>
      </c>
      <c r="E12721" s="380" t="s">
        <v>786</v>
      </c>
      <c r="F12721" s="380" t="s">
        <v>1017</v>
      </c>
      <c r="G12721" s="380" t="s">
        <v>1267</v>
      </c>
      <c r="H12721" s="380" t="s">
        <v>771</v>
      </c>
      <c r="I12721" s="380" t="s">
        <v>788</v>
      </c>
      <c r="J12721" s="380" t="s">
        <v>773</v>
      </c>
      <c r="K12721" s="381">
        <v>73780.0</v>
      </c>
      <c r="L12721" s="382">
        <v>1.0</v>
      </c>
    </row>
    <row r="12722">
      <c r="A12722" s="380" t="s">
        <v>13596</v>
      </c>
      <c r="B12722" s="380" t="str">
        <f>IFERROR(__xludf.DUMMYFUNCTION("""COMPUTED_VALUE"""),"Banda Freno Nhr-FT 1039 2025x Reparado")</f>
        <v>Banda Freno Nhr-FT 1039 2025x Reparado</v>
      </c>
      <c r="C12722" s="380" t="str">
        <f>IFERROR(__xludf.DUMMYFUNCTION("""COMPUTED_VALUE"""),"70008190")</f>
        <v>70008190</v>
      </c>
      <c r="D12722" s="380" t="s">
        <v>767</v>
      </c>
      <c r="E12722" s="380" t="s">
        <v>786</v>
      </c>
      <c r="F12722" s="380" t="s">
        <v>1017</v>
      </c>
      <c r="G12722" s="380" t="s">
        <v>1267</v>
      </c>
      <c r="H12722" s="380" t="s">
        <v>771</v>
      </c>
      <c r="I12722" s="380" t="s">
        <v>788</v>
      </c>
      <c r="J12722" s="380" t="s">
        <v>773</v>
      </c>
      <c r="K12722" s="381">
        <v>62437.0</v>
      </c>
      <c r="L12722" s="382">
        <v>1.0</v>
      </c>
    </row>
    <row r="12723">
      <c r="A12723" s="380" t="s">
        <v>13597</v>
      </c>
      <c r="B12723" s="380" t="str">
        <f>IFERROR(__xludf.DUMMYFUNCTION("""COMPUTED_VALUE"""),"Banda Freno Nkr 20104d Reparado")</f>
        <v>Banda Freno Nkr 20104d Reparado</v>
      </c>
      <c r="C12723" s="380" t="str">
        <f>IFERROR(__xludf.DUMMYFUNCTION("""COMPUTED_VALUE"""),"70008191")</f>
        <v>70008191</v>
      </c>
      <c r="D12723" s="380" t="s">
        <v>767</v>
      </c>
      <c r="E12723" s="380" t="s">
        <v>786</v>
      </c>
      <c r="F12723" s="380" t="s">
        <v>1017</v>
      </c>
      <c r="G12723" s="380" t="s">
        <v>1267</v>
      </c>
      <c r="H12723" s="380" t="s">
        <v>771</v>
      </c>
      <c r="I12723" s="380" t="s">
        <v>788</v>
      </c>
      <c r="J12723" s="380" t="s">
        <v>773</v>
      </c>
      <c r="K12723" s="381">
        <v>59720.0</v>
      </c>
      <c r="L12723" s="382">
        <v>1.0</v>
      </c>
    </row>
    <row r="12724">
      <c r="A12724" s="380" t="s">
        <v>13598</v>
      </c>
      <c r="B12724" s="380" t="str">
        <f>IFERROR(__xludf.DUMMYFUNCTION("""COMPUTED_VALUE"""),"Banda Freno DEL HN 20188 Remachada")</f>
        <v>Banda Freno DEL HN 20188 Remachada</v>
      </c>
      <c r="C12724" s="380" t="str">
        <f>IFERROR(__xludf.DUMMYFUNCTION("""COMPUTED_VALUE"""),"70008192")</f>
        <v>70008192</v>
      </c>
      <c r="D12724" s="380" t="s">
        <v>767</v>
      </c>
      <c r="E12724" s="380" t="s">
        <v>786</v>
      </c>
      <c r="F12724" s="380" t="s">
        <v>1017</v>
      </c>
      <c r="G12724" s="380" t="s">
        <v>1267</v>
      </c>
      <c r="H12724" s="380" t="s">
        <v>771</v>
      </c>
      <c r="I12724" s="380" t="s">
        <v>788</v>
      </c>
      <c r="J12724" s="380" t="s">
        <v>773</v>
      </c>
      <c r="K12724" s="381">
        <v>0.0</v>
      </c>
      <c r="L12724" s="382">
        <v>1.0</v>
      </c>
    </row>
    <row r="12725">
      <c r="A12725" s="380" t="s">
        <v>13599</v>
      </c>
      <c r="B12725" s="380" t="str">
        <f>IFERROR(__xludf.DUMMYFUNCTION("""COMPUTED_VALUE"""),"Banda Freno TRAS Supertrack Isx 4707 Rem")</f>
        <v>Banda Freno TRAS Supertrack Isx 4707 Rem</v>
      </c>
      <c r="C12725" s="380" t="str">
        <f>IFERROR(__xludf.DUMMYFUNCTION("""COMPUTED_VALUE"""),"70008193")</f>
        <v>70008193</v>
      </c>
      <c r="D12725" s="380" t="s">
        <v>767</v>
      </c>
      <c r="E12725" s="380" t="s">
        <v>786</v>
      </c>
      <c r="F12725" s="380" t="s">
        <v>1017</v>
      </c>
      <c r="G12725" s="380" t="s">
        <v>1267</v>
      </c>
      <c r="H12725" s="380" t="s">
        <v>771</v>
      </c>
      <c r="I12725" s="380" t="s">
        <v>788</v>
      </c>
      <c r="J12725" s="380" t="s">
        <v>773</v>
      </c>
      <c r="K12725" s="381">
        <v>89012.0</v>
      </c>
      <c r="L12725" s="382">
        <v>1.0</v>
      </c>
    </row>
    <row r="12726">
      <c r="A12726" s="380" t="s">
        <v>13600</v>
      </c>
      <c r="B12726" s="380" t="str">
        <f>IFERROR(__xludf.DUMMYFUNCTION("""COMPUTED_VALUE"""),"Cojin Cond-Ayudante Volswagen reparado")</f>
        <v>Cojin Cond-Ayudante Volswagen reparado</v>
      </c>
      <c r="C12726" s="380" t="str">
        <f>IFERROR(__xludf.DUMMYFUNCTION("""COMPUTED_VALUE"""),"70008194")</f>
        <v>70008194</v>
      </c>
      <c r="D12726" s="380" t="s">
        <v>767</v>
      </c>
      <c r="E12726" s="380" t="s">
        <v>786</v>
      </c>
      <c r="F12726" s="380" t="s">
        <v>792</v>
      </c>
      <c r="G12726" s="380" t="s">
        <v>1267</v>
      </c>
      <c r="H12726" s="380" t="s">
        <v>771</v>
      </c>
      <c r="I12726" s="380" t="s">
        <v>788</v>
      </c>
      <c r="J12726" s="380" t="s">
        <v>773</v>
      </c>
      <c r="K12726" s="381">
        <v>0.0</v>
      </c>
      <c r="L12726" s="382">
        <v>1.0</v>
      </c>
    </row>
    <row r="12727">
      <c r="A12727" s="380" t="s">
        <v>13601</v>
      </c>
      <c r="B12727" s="380" t="str">
        <f>IFERROR(__xludf.DUMMYFUNCTION("""COMPUTED_VALUE"""),"Banda Freno Emergencia Hino Vulcanizada")</f>
        <v>Banda Freno Emergencia Hino Vulcanizada</v>
      </c>
      <c r="C12727" s="380" t="str">
        <f>IFERROR(__xludf.DUMMYFUNCTION("""COMPUTED_VALUE"""),"70008195")</f>
        <v>70008195</v>
      </c>
      <c r="D12727" s="380" t="s">
        <v>767</v>
      </c>
      <c r="E12727" s="380" t="s">
        <v>786</v>
      </c>
      <c r="F12727" s="380" t="s">
        <v>1017</v>
      </c>
      <c r="G12727" s="380" t="s">
        <v>1267</v>
      </c>
      <c r="H12727" s="380" t="s">
        <v>771</v>
      </c>
      <c r="I12727" s="380" t="s">
        <v>788</v>
      </c>
      <c r="J12727" s="380" t="s">
        <v>773</v>
      </c>
      <c r="K12727" s="381">
        <v>32399.0</v>
      </c>
      <c r="L12727" s="382">
        <v>1.0</v>
      </c>
    </row>
    <row r="12728">
      <c r="A12728" s="380" t="s">
        <v>13602</v>
      </c>
      <c r="B12728" s="380" t="str">
        <f>IFERROR(__xludf.DUMMYFUNCTION("""COMPUTED_VALUE"""),"Motor Arra Nissan Pat M1t60281 Reparado")</f>
        <v>Motor Arra Nissan Pat M1t60281 Reparado</v>
      </c>
      <c r="C12728" s="380" t="str">
        <f>IFERROR(__xludf.DUMMYFUNCTION("""COMPUTED_VALUE"""),"70008196")</f>
        <v>70008196</v>
      </c>
      <c r="D12728" s="380" t="s">
        <v>767</v>
      </c>
      <c r="E12728" s="380" t="s">
        <v>786</v>
      </c>
      <c r="F12728" s="380" t="s">
        <v>998</v>
      </c>
      <c r="G12728" s="380" t="s">
        <v>1267</v>
      </c>
      <c r="H12728" s="380" t="s">
        <v>771</v>
      </c>
      <c r="I12728" s="380" t="s">
        <v>788</v>
      </c>
      <c r="J12728" s="380" t="s">
        <v>773</v>
      </c>
      <c r="K12728" s="381">
        <v>0.0</v>
      </c>
      <c r="L12728" s="382">
        <v>1.0</v>
      </c>
    </row>
    <row r="12729">
      <c r="A12729" s="380" t="s">
        <v>13603</v>
      </c>
      <c r="B12729" s="380" t="str">
        <f>IFERROR(__xludf.DUMMYFUNCTION("""COMPUTED_VALUE"""),"Kit Medio Empaques Moto Dr650")</f>
        <v>Kit Medio Empaques Moto Dr650</v>
      </c>
      <c r="C12729" s="380" t="str">
        <f>IFERROR(__xludf.DUMMYFUNCTION("""COMPUTED_VALUE"""),"70008197")</f>
        <v>70008197</v>
      </c>
      <c r="D12729" s="380" t="s">
        <v>767</v>
      </c>
      <c r="E12729" s="380" t="s">
        <v>786</v>
      </c>
      <c r="F12729" s="380" t="s">
        <v>787</v>
      </c>
      <c r="G12729" s="380" t="s">
        <v>1267</v>
      </c>
      <c r="H12729" s="380" t="s">
        <v>771</v>
      </c>
      <c r="I12729" s="380" t="s">
        <v>788</v>
      </c>
      <c r="J12729" s="380" t="s">
        <v>773</v>
      </c>
      <c r="K12729" s="381">
        <v>0.0</v>
      </c>
      <c r="L12729" s="382">
        <v>1.0</v>
      </c>
    </row>
    <row r="12730">
      <c r="A12730" s="380" t="s">
        <v>13604</v>
      </c>
      <c r="B12730" s="380" t="str">
        <f>IFERROR(__xludf.DUMMYFUNCTION("""COMPUTED_VALUE"""),"Jgo Gorros Economiz Moto Dr650")</f>
        <v>Jgo Gorros Economiz Moto Dr650</v>
      </c>
      <c r="C12730" s="380" t="str">
        <f>IFERROR(__xludf.DUMMYFUNCTION("""COMPUTED_VALUE"""),"70008198")</f>
        <v>70008198</v>
      </c>
      <c r="D12730" s="380" t="s">
        <v>767</v>
      </c>
      <c r="E12730" s="380" t="s">
        <v>786</v>
      </c>
      <c r="F12730" s="380" t="s">
        <v>787</v>
      </c>
      <c r="G12730" s="380" t="s">
        <v>1267</v>
      </c>
      <c r="H12730" s="380" t="s">
        <v>771</v>
      </c>
      <c r="I12730" s="380" t="s">
        <v>788</v>
      </c>
      <c r="J12730" s="380" t="s">
        <v>773</v>
      </c>
      <c r="K12730" s="381">
        <v>0.0</v>
      </c>
      <c r="L12730" s="382">
        <v>1.0</v>
      </c>
    </row>
    <row r="12731">
      <c r="A12731" s="380" t="s">
        <v>13605</v>
      </c>
      <c r="B12731" s="380" t="str">
        <f>IFERROR(__xludf.DUMMYFUNCTION("""COMPUTED_VALUE"""),"Filtro Aceite Moto Dr650")</f>
        <v>Filtro Aceite Moto Dr650</v>
      </c>
      <c r="C12731" s="380" t="str">
        <f>IFERROR(__xludf.DUMMYFUNCTION("""COMPUTED_VALUE"""),"70008199")</f>
        <v>70008199</v>
      </c>
      <c r="D12731" s="380" t="s">
        <v>767</v>
      </c>
      <c r="E12731" s="380" t="s">
        <v>786</v>
      </c>
      <c r="F12731" s="380" t="s">
        <v>787</v>
      </c>
      <c r="G12731" s="380" t="s">
        <v>1267</v>
      </c>
      <c r="H12731" s="380" t="s">
        <v>771</v>
      </c>
      <c r="I12731" s="380" t="s">
        <v>788</v>
      </c>
      <c r="J12731" s="380" t="s">
        <v>773</v>
      </c>
      <c r="K12731" s="381">
        <v>0.0</v>
      </c>
      <c r="L12731" s="382">
        <v>1.0</v>
      </c>
    </row>
    <row r="12732">
      <c r="A12732" s="380" t="s">
        <v>13606</v>
      </c>
      <c r="B12732" s="380" t="str">
        <f>IFERROR(__xludf.DUMMYFUNCTION("""COMPUTED_VALUE"""),"Banda Freno Trasero Jac 1042 Remachada")</f>
        <v>Banda Freno Trasero Jac 1042 Remachada</v>
      </c>
      <c r="C12732" s="380" t="str">
        <f>IFERROR(__xludf.DUMMYFUNCTION("""COMPUTED_VALUE"""),"70008200")</f>
        <v>70008200</v>
      </c>
      <c r="D12732" s="380" t="s">
        <v>767</v>
      </c>
      <c r="E12732" s="380" t="s">
        <v>786</v>
      </c>
      <c r="F12732" s="380" t="s">
        <v>1017</v>
      </c>
      <c r="G12732" s="380" t="s">
        <v>1267</v>
      </c>
      <c r="H12732" s="380" t="s">
        <v>771</v>
      </c>
      <c r="I12732" s="380" t="s">
        <v>788</v>
      </c>
      <c r="J12732" s="380" t="s">
        <v>773</v>
      </c>
      <c r="K12732" s="381">
        <v>0.0</v>
      </c>
      <c r="L12732" s="382">
        <v>1.0</v>
      </c>
    </row>
    <row r="12733">
      <c r="A12733" s="380" t="s">
        <v>13607</v>
      </c>
      <c r="B12733" s="380" t="str">
        <f>IFERROR(__xludf.DUMMYFUNCTION("""COMPUTED_VALUE"""),"Tapizado Piso Cabina Npr Reparado")</f>
        <v>Tapizado Piso Cabina Npr Reparado</v>
      </c>
      <c r="C12733" s="380" t="str">
        <f>IFERROR(__xludf.DUMMYFUNCTION("""COMPUTED_VALUE"""),"70008201")</f>
        <v>70008201</v>
      </c>
      <c r="D12733" s="380" t="s">
        <v>767</v>
      </c>
      <c r="E12733" s="380" t="s">
        <v>786</v>
      </c>
      <c r="F12733" s="380" t="s">
        <v>792</v>
      </c>
      <c r="G12733" s="380" t="s">
        <v>1267</v>
      </c>
      <c r="H12733" s="380" t="s">
        <v>771</v>
      </c>
      <c r="I12733" s="380" t="s">
        <v>788</v>
      </c>
      <c r="J12733" s="380" t="s">
        <v>773</v>
      </c>
      <c r="K12733" s="381">
        <v>0.0</v>
      </c>
      <c r="L12733" s="382">
        <v>1.0</v>
      </c>
    </row>
    <row r="12734">
      <c r="A12734" s="380" t="s">
        <v>13608</v>
      </c>
      <c r="B12734" s="380" t="str">
        <f>IFERROR(__xludf.DUMMYFUNCTION("""COMPUTED_VALUE"""),"BMB De Alta Precion Nkr Reward Reparado")</f>
        <v>BMB De Alta Precion Nkr Reward Reparado</v>
      </c>
      <c r="C12734" s="380" t="str">
        <f>IFERROR(__xludf.DUMMYFUNCTION("""COMPUTED_VALUE"""),"70008202")</f>
        <v>70008202</v>
      </c>
      <c r="D12734" s="380" t="s">
        <v>767</v>
      </c>
      <c r="E12734" s="380" t="s">
        <v>786</v>
      </c>
      <c r="F12734" s="380" t="s">
        <v>787</v>
      </c>
      <c r="G12734" s="380" t="s">
        <v>1267</v>
      </c>
      <c r="H12734" s="380" t="s">
        <v>771</v>
      </c>
      <c r="I12734" s="380" t="s">
        <v>788</v>
      </c>
      <c r="J12734" s="380" t="s">
        <v>773</v>
      </c>
      <c r="K12734" s="381">
        <v>0.0</v>
      </c>
      <c r="L12734" s="382">
        <v>1.0</v>
      </c>
    </row>
    <row r="12735">
      <c r="A12735" s="380" t="s">
        <v>13609</v>
      </c>
      <c r="B12735" s="380" t="str">
        <f>IFERROR(__xludf.DUMMYFUNCTION("""COMPUTED_VALUE"""),"Extencion Capot Eagle Reparado")</f>
        <v>Extencion Capot Eagle Reparado</v>
      </c>
      <c r="C12735" s="380" t="str">
        <f>IFERROR(__xludf.DUMMYFUNCTION("""COMPUTED_VALUE"""),"70008204")</f>
        <v>70008204</v>
      </c>
      <c r="D12735" s="380" t="s">
        <v>767</v>
      </c>
      <c r="E12735" s="380" t="s">
        <v>786</v>
      </c>
      <c r="F12735" s="380" t="s">
        <v>792</v>
      </c>
      <c r="G12735" s="380" t="s">
        <v>1267</v>
      </c>
      <c r="H12735" s="380" t="s">
        <v>771</v>
      </c>
      <c r="I12735" s="380" t="s">
        <v>788</v>
      </c>
      <c r="J12735" s="380" t="s">
        <v>773</v>
      </c>
      <c r="K12735" s="381">
        <v>0.0</v>
      </c>
      <c r="L12735" s="382">
        <v>1.0</v>
      </c>
    </row>
    <row r="12736">
      <c r="A12736" s="380" t="s">
        <v>13610</v>
      </c>
      <c r="B12736" s="380" t="str">
        <f>IFERROR(__xludf.DUMMYFUNCTION("""COMPUTED_VALUE"""),"Banda Del. Hi 4300 Remachada")</f>
        <v>Banda Del. Hi 4300 Remachada</v>
      </c>
      <c r="C12736" s="380" t="str">
        <f>IFERROR(__xludf.DUMMYFUNCTION("""COMPUTED_VALUE"""),"70008205")</f>
        <v>70008205</v>
      </c>
      <c r="D12736" s="380" t="s">
        <v>767</v>
      </c>
      <c r="E12736" s="380" t="s">
        <v>786</v>
      </c>
      <c r="F12736" s="380" t="s">
        <v>1017</v>
      </c>
      <c r="G12736" s="380" t="s">
        <v>1267</v>
      </c>
      <c r="H12736" s="380" t="s">
        <v>771</v>
      </c>
      <c r="I12736" s="380" t="s">
        <v>788</v>
      </c>
      <c r="J12736" s="380" t="s">
        <v>773</v>
      </c>
      <c r="K12736" s="381">
        <v>0.0</v>
      </c>
      <c r="L12736" s="382">
        <v>1.0</v>
      </c>
    </row>
    <row r="12737">
      <c r="A12737" s="380" t="s">
        <v>13611</v>
      </c>
      <c r="B12737" s="380" t="str">
        <f>IFERROR(__xludf.DUMMYFUNCTION("""COMPUTED_VALUE"""),"Banda Del Eagle 4720 Remachada")</f>
        <v>Banda Del Eagle 4720 Remachada</v>
      </c>
      <c r="C12737" s="380" t="str">
        <f>IFERROR(__xludf.DUMMYFUNCTION("""COMPUTED_VALUE"""),"70008206")</f>
        <v>70008206</v>
      </c>
      <c r="D12737" s="380" t="s">
        <v>767</v>
      </c>
      <c r="E12737" s="380" t="s">
        <v>786</v>
      </c>
      <c r="F12737" s="380" t="s">
        <v>1017</v>
      </c>
      <c r="G12737" s="380" t="s">
        <v>1267</v>
      </c>
      <c r="H12737" s="380" t="s">
        <v>771</v>
      </c>
      <c r="I12737" s="380" t="s">
        <v>788</v>
      </c>
      <c r="J12737" s="380" t="s">
        <v>773</v>
      </c>
      <c r="K12737" s="381">
        <v>0.0</v>
      </c>
      <c r="L12737" s="382">
        <v>1.0</v>
      </c>
    </row>
    <row r="12738">
      <c r="A12738" s="380" t="s">
        <v>13612</v>
      </c>
      <c r="B12738" s="380" t="str">
        <f>IFERROR(__xludf.DUMMYFUNCTION("""COMPUTED_VALUE"""),"Quinta Rueda Reparado")</f>
        <v>Quinta Rueda Reparado</v>
      </c>
      <c r="C12738" s="380" t="str">
        <f>IFERROR(__xludf.DUMMYFUNCTION("""COMPUTED_VALUE"""),"70008207")</f>
        <v>70008207</v>
      </c>
      <c r="D12738" s="380" t="s">
        <v>767</v>
      </c>
      <c r="E12738" s="380" t="s">
        <v>786</v>
      </c>
      <c r="F12738" s="380" t="s">
        <v>792</v>
      </c>
      <c r="G12738" s="380" t="s">
        <v>1267</v>
      </c>
      <c r="H12738" s="380" t="s">
        <v>771</v>
      </c>
      <c r="I12738" s="380" t="s">
        <v>788</v>
      </c>
      <c r="J12738" s="380" t="s">
        <v>773</v>
      </c>
      <c r="K12738" s="381">
        <v>0.0</v>
      </c>
      <c r="L12738" s="382">
        <v>1.0</v>
      </c>
    </row>
    <row r="12739">
      <c r="A12739" s="380" t="s">
        <v>13613</v>
      </c>
      <c r="B12739" s="380" t="str">
        <f>IFERROR(__xludf.DUMMYFUNCTION("""COMPUTED_VALUE"""),"Chapa Vehiculo Reparado")</f>
        <v>Chapa Vehiculo Reparado</v>
      </c>
      <c r="C12739" s="380" t="str">
        <f>IFERROR(__xludf.DUMMYFUNCTION("""COMPUTED_VALUE"""),"70008208")</f>
        <v>70008208</v>
      </c>
      <c r="D12739" s="380" t="s">
        <v>767</v>
      </c>
      <c r="E12739" s="380" t="s">
        <v>786</v>
      </c>
      <c r="F12739" s="380" t="s">
        <v>792</v>
      </c>
      <c r="G12739" s="380" t="s">
        <v>1267</v>
      </c>
      <c r="H12739" s="380" t="s">
        <v>771</v>
      </c>
      <c r="I12739" s="380" t="s">
        <v>788</v>
      </c>
      <c r="J12739" s="380" t="s">
        <v>773</v>
      </c>
      <c r="K12739" s="381">
        <v>0.0</v>
      </c>
      <c r="L12739" s="382">
        <v>1.0</v>
      </c>
    </row>
    <row r="12740">
      <c r="A12740" s="380" t="s">
        <v>13614</v>
      </c>
      <c r="B12740" s="380" t="str">
        <f>IFERROR(__xludf.DUMMYFUNCTION("""COMPUTED_VALUE"""),"Carter Aceite Motor Reparado Eagle 9400")</f>
        <v>Carter Aceite Motor Reparado Eagle 9400</v>
      </c>
      <c r="C12740" s="380" t="str">
        <f>IFERROR(__xludf.DUMMYFUNCTION("""COMPUTED_VALUE"""),"70008209")</f>
        <v>70008209</v>
      </c>
      <c r="D12740" s="380" t="s">
        <v>767</v>
      </c>
      <c r="E12740" s="380" t="s">
        <v>786</v>
      </c>
      <c r="F12740" s="380" t="s">
        <v>787</v>
      </c>
      <c r="G12740" s="380" t="s">
        <v>1267</v>
      </c>
      <c r="H12740" s="380" t="s">
        <v>771</v>
      </c>
      <c r="I12740" s="380" t="s">
        <v>788</v>
      </c>
      <c r="J12740" s="380" t="s">
        <v>773</v>
      </c>
      <c r="K12740" s="381">
        <v>0.0</v>
      </c>
      <c r="L12740" s="382">
        <v>1.0</v>
      </c>
    </row>
    <row r="12741">
      <c r="A12741" s="380" t="s">
        <v>13615</v>
      </c>
      <c r="B12741" s="380" t="str">
        <f>IFERROR(__xludf.DUMMYFUNCTION("""COMPUTED_VALUE"""),"Turbo Alimentador Frr Reparado")</f>
        <v>Turbo Alimentador Frr Reparado</v>
      </c>
      <c r="C12741" s="380" t="str">
        <f>IFERROR(__xludf.DUMMYFUNCTION("""COMPUTED_VALUE"""),"70008210")</f>
        <v>70008210</v>
      </c>
      <c r="D12741" s="380" t="s">
        <v>767</v>
      </c>
      <c r="E12741" s="380" t="s">
        <v>786</v>
      </c>
      <c r="F12741" s="380" t="s">
        <v>787</v>
      </c>
      <c r="G12741" s="380" t="s">
        <v>1267</v>
      </c>
      <c r="H12741" s="380" t="s">
        <v>771</v>
      </c>
      <c r="I12741" s="380" t="s">
        <v>788</v>
      </c>
      <c r="J12741" s="380" t="s">
        <v>773</v>
      </c>
      <c r="K12741" s="381">
        <v>1993250.0</v>
      </c>
      <c r="L12741" s="382">
        <v>1.0</v>
      </c>
    </row>
    <row r="12742">
      <c r="A12742" s="380" t="s">
        <v>13616</v>
      </c>
      <c r="B12742" s="380" t="str">
        <f>IFERROR(__xludf.DUMMYFUNCTION("""COMPUTED_VALUE"""),"Caja Dirección Renault Master Reparado")</f>
        <v>Caja Dirección Renault Master Reparado</v>
      </c>
      <c r="C12742" s="380" t="str">
        <f>IFERROR(__xludf.DUMMYFUNCTION("""COMPUTED_VALUE"""),"70008211")</f>
        <v>70008211</v>
      </c>
      <c r="D12742" s="380" t="s">
        <v>767</v>
      </c>
      <c r="E12742" s="380" t="s">
        <v>786</v>
      </c>
      <c r="F12742" s="380" t="s">
        <v>1020</v>
      </c>
      <c r="G12742" s="380" t="s">
        <v>1267</v>
      </c>
      <c r="H12742" s="380" t="s">
        <v>771</v>
      </c>
      <c r="I12742" s="380" t="s">
        <v>788</v>
      </c>
      <c r="J12742" s="380" t="s">
        <v>773</v>
      </c>
      <c r="K12742" s="381">
        <v>0.0</v>
      </c>
      <c r="L12742" s="382">
        <v>1.0</v>
      </c>
    </row>
    <row r="12743">
      <c r="A12743" s="380" t="s">
        <v>13617</v>
      </c>
      <c r="B12743" s="380" t="str">
        <f>IFERROR(__xludf.DUMMYFUNCTION("""COMPUTED_VALUE"""),"Bomba Inyeccion Hino Reparado")</f>
        <v>Bomba Inyeccion Hino Reparado</v>
      </c>
      <c r="C12743" s="380" t="str">
        <f>IFERROR(__xludf.DUMMYFUNCTION("""COMPUTED_VALUE"""),"70008212")</f>
        <v>70008212</v>
      </c>
      <c r="D12743" s="380" t="s">
        <v>767</v>
      </c>
      <c r="E12743" s="380" t="s">
        <v>786</v>
      </c>
      <c r="F12743" s="380" t="s">
        <v>787</v>
      </c>
      <c r="G12743" s="380" t="s">
        <v>1267</v>
      </c>
      <c r="H12743" s="380" t="s">
        <v>771</v>
      </c>
      <c r="I12743" s="380" t="s">
        <v>788</v>
      </c>
      <c r="J12743" s="380" t="s">
        <v>773</v>
      </c>
      <c r="K12743" s="381">
        <v>0.0</v>
      </c>
      <c r="L12743" s="382">
        <v>1.0</v>
      </c>
    </row>
    <row r="12744">
      <c r="A12744" s="380" t="s">
        <v>13618</v>
      </c>
      <c r="B12744" s="380" t="str">
        <f>IFERROR(__xludf.DUMMYFUNCTION("""COMPUTED_VALUE"""),"Culata Hino Dutro Reparada")</f>
        <v>Culata Hino Dutro Reparada</v>
      </c>
      <c r="C12744" s="380" t="str">
        <f>IFERROR(__xludf.DUMMYFUNCTION("""COMPUTED_VALUE"""),"70008213")</f>
        <v>70008213</v>
      </c>
      <c r="D12744" s="380" t="s">
        <v>767</v>
      </c>
      <c r="E12744" s="380" t="s">
        <v>786</v>
      </c>
      <c r="F12744" s="380" t="s">
        <v>787</v>
      </c>
      <c r="G12744" s="380" t="s">
        <v>1267</v>
      </c>
      <c r="H12744" s="380" t="s">
        <v>771</v>
      </c>
      <c r="I12744" s="380" t="s">
        <v>788</v>
      </c>
      <c r="J12744" s="380" t="s">
        <v>773</v>
      </c>
      <c r="K12744" s="381">
        <v>0.0</v>
      </c>
      <c r="L12744" s="382">
        <v>1.0</v>
      </c>
    </row>
    <row r="12745">
      <c r="A12745" s="380" t="s">
        <v>13619</v>
      </c>
      <c r="B12745" s="380" t="str">
        <f>IFERROR(__xludf.DUMMYFUNCTION("""COMPUTED_VALUE"""),"Bloque Motor Nhr Sin Turbo Reparado")</f>
        <v>Bloque Motor Nhr Sin Turbo Reparado</v>
      </c>
      <c r="C12745" s="380" t="str">
        <f>IFERROR(__xludf.DUMMYFUNCTION("""COMPUTED_VALUE"""),"70008214")</f>
        <v>70008214</v>
      </c>
      <c r="D12745" s="380" t="s">
        <v>767</v>
      </c>
      <c r="E12745" s="380" t="s">
        <v>786</v>
      </c>
      <c r="F12745" s="380" t="s">
        <v>787</v>
      </c>
      <c r="G12745" s="380" t="s">
        <v>1267</v>
      </c>
      <c r="H12745" s="380" t="s">
        <v>771</v>
      </c>
      <c r="I12745" s="380" t="s">
        <v>788</v>
      </c>
      <c r="J12745" s="380" t="s">
        <v>773</v>
      </c>
      <c r="K12745" s="381">
        <v>0.0</v>
      </c>
      <c r="L12745" s="382">
        <v>1.0</v>
      </c>
    </row>
    <row r="12746">
      <c r="A12746" s="380" t="s">
        <v>13620</v>
      </c>
      <c r="B12746" s="380" t="str">
        <f>IFERROR(__xludf.DUMMYFUNCTION("""COMPUTED_VALUE"""),"Tubo Tubo Aceite Renalt Master Reparado")</f>
        <v>Tubo Tubo Aceite Renalt Master Reparado</v>
      </c>
      <c r="C12746" s="380" t="str">
        <f>IFERROR(__xludf.DUMMYFUNCTION("""COMPUTED_VALUE"""),"70008215")</f>
        <v>70008215</v>
      </c>
      <c r="D12746" s="380" t="s">
        <v>767</v>
      </c>
      <c r="E12746" s="380" t="s">
        <v>786</v>
      </c>
      <c r="F12746" s="380" t="s">
        <v>787</v>
      </c>
      <c r="G12746" s="380" t="s">
        <v>1267</v>
      </c>
      <c r="H12746" s="380" t="s">
        <v>771</v>
      </c>
      <c r="I12746" s="380" t="s">
        <v>788</v>
      </c>
      <c r="J12746" s="380" t="s">
        <v>773</v>
      </c>
      <c r="K12746" s="381">
        <v>0.0</v>
      </c>
      <c r="L12746" s="382">
        <v>1.0</v>
      </c>
    </row>
    <row r="12747">
      <c r="A12747" s="380" t="s">
        <v>13621</v>
      </c>
      <c r="B12747" s="380" t="str">
        <f>IFERROR(__xludf.DUMMYFUNCTION("""COMPUTED_VALUE"""),"Radiador Eagle Reparado")</f>
        <v>Radiador Eagle Reparado</v>
      </c>
      <c r="C12747" s="380" t="str">
        <f>IFERROR(__xludf.DUMMYFUNCTION("""COMPUTED_VALUE"""),"70008216")</f>
        <v>70008216</v>
      </c>
      <c r="D12747" s="380" t="s">
        <v>767</v>
      </c>
      <c r="E12747" s="380" t="s">
        <v>786</v>
      </c>
      <c r="F12747" s="380" t="s">
        <v>787</v>
      </c>
      <c r="G12747" s="380" t="s">
        <v>1267</v>
      </c>
      <c r="H12747" s="380" t="s">
        <v>771</v>
      </c>
      <c r="I12747" s="380" t="s">
        <v>788</v>
      </c>
      <c r="J12747" s="380" t="s">
        <v>773</v>
      </c>
      <c r="K12747" s="381">
        <v>0.0</v>
      </c>
      <c r="L12747" s="382">
        <v>1.0</v>
      </c>
    </row>
    <row r="12748">
      <c r="A12748" s="380" t="s">
        <v>13622</v>
      </c>
      <c r="B12748" s="380" t="str">
        <f>IFERROR(__xludf.DUMMYFUNCTION("""COMPUTED_VALUE"""),"Motor Arranque Moto Akt200")</f>
        <v>Motor Arranque Moto Akt200</v>
      </c>
      <c r="C12748" s="380" t="str">
        <f>IFERROR(__xludf.DUMMYFUNCTION("""COMPUTED_VALUE"""),"70008217")</f>
        <v>70008217</v>
      </c>
      <c r="D12748" s="380" t="s">
        <v>767</v>
      </c>
      <c r="E12748" s="380" t="s">
        <v>786</v>
      </c>
      <c r="F12748" s="380" t="s">
        <v>998</v>
      </c>
      <c r="G12748" s="380" t="s">
        <v>1267</v>
      </c>
      <c r="H12748" s="380" t="s">
        <v>771</v>
      </c>
      <c r="I12748" s="380" t="s">
        <v>788</v>
      </c>
      <c r="J12748" s="380" t="s">
        <v>773</v>
      </c>
      <c r="K12748" s="381">
        <v>0.0</v>
      </c>
      <c r="L12748" s="382">
        <v>1.0</v>
      </c>
    </row>
    <row r="12749">
      <c r="A12749" s="380" t="s">
        <v>13623</v>
      </c>
      <c r="B12749" s="380" t="str">
        <f>IFERROR(__xludf.DUMMYFUNCTION("""COMPUTED_VALUE"""),"Radiador Sb Reparado")</f>
        <v>Radiador Sb Reparado</v>
      </c>
      <c r="C12749" s="380" t="str">
        <f>IFERROR(__xludf.DUMMYFUNCTION("""COMPUTED_VALUE"""),"70008218")</f>
        <v>70008218</v>
      </c>
      <c r="D12749" s="380" t="s">
        <v>767</v>
      </c>
      <c r="E12749" s="380" t="s">
        <v>786</v>
      </c>
      <c r="F12749" s="380" t="s">
        <v>787</v>
      </c>
      <c r="G12749" s="380" t="s">
        <v>1267</v>
      </c>
      <c r="H12749" s="380" t="s">
        <v>771</v>
      </c>
      <c r="I12749" s="380" t="s">
        <v>788</v>
      </c>
      <c r="J12749" s="380" t="s">
        <v>773</v>
      </c>
      <c r="K12749" s="381">
        <v>0.0</v>
      </c>
      <c r="L12749" s="382">
        <v>1.0</v>
      </c>
    </row>
    <row r="12750">
      <c r="A12750" s="380" t="s">
        <v>13624</v>
      </c>
      <c r="B12750" s="380" t="str">
        <f>IFERROR(__xludf.DUMMYFUNCTION("""COMPUTED_VALUE"""),"Radio Pasacinta A160 Reparado")</f>
        <v>Radio Pasacinta A160 Reparado</v>
      </c>
      <c r="C12750" s="380" t="str">
        <f>IFERROR(__xludf.DUMMYFUNCTION("""COMPUTED_VALUE"""),"70008219")</f>
        <v>70008219</v>
      </c>
      <c r="D12750" s="380" t="s">
        <v>767</v>
      </c>
      <c r="E12750" s="380" t="s">
        <v>786</v>
      </c>
      <c r="F12750" s="380" t="s">
        <v>1031</v>
      </c>
      <c r="G12750" s="380" t="s">
        <v>1267</v>
      </c>
      <c r="H12750" s="380" t="s">
        <v>771</v>
      </c>
      <c r="I12750" s="380" t="s">
        <v>788</v>
      </c>
      <c r="J12750" s="380" t="s">
        <v>773</v>
      </c>
      <c r="K12750" s="381">
        <v>0.0</v>
      </c>
      <c r="L12750" s="382">
        <v>1.0</v>
      </c>
    </row>
    <row r="12751">
      <c r="A12751" s="380" t="s">
        <v>13625</v>
      </c>
      <c r="B12751" s="380" t="str">
        <f>IFERROR(__xludf.DUMMYFUNCTION("""COMPUTED_VALUE"""),"Banda Freno Tras Foton Remachada")</f>
        <v>Banda Freno Tras Foton Remachada</v>
      </c>
      <c r="C12751" s="380" t="str">
        <f>IFERROR(__xludf.DUMMYFUNCTION("""COMPUTED_VALUE"""),"70008220")</f>
        <v>70008220</v>
      </c>
      <c r="D12751" s="380" t="s">
        <v>767</v>
      </c>
      <c r="E12751" s="380" t="s">
        <v>786</v>
      </c>
      <c r="F12751" s="380" t="s">
        <v>1017</v>
      </c>
      <c r="G12751" s="380" t="s">
        <v>1267</v>
      </c>
      <c r="H12751" s="380" t="s">
        <v>771</v>
      </c>
      <c r="I12751" s="380" t="s">
        <v>788</v>
      </c>
      <c r="J12751" s="380" t="s">
        <v>773</v>
      </c>
      <c r="K12751" s="381">
        <v>36346.0</v>
      </c>
      <c r="L12751" s="382">
        <v>1.0</v>
      </c>
    </row>
    <row r="12752">
      <c r="A12752" s="380" t="s">
        <v>13626</v>
      </c>
      <c r="B12752" s="380" t="str">
        <f>IFERROR(__xludf.DUMMYFUNCTION("""COMPUTED_VALUE"""),"Kit EMP Kit Empaquetadura Completa Dr650")</f>
        <v>Kit EMP Kit Empaquetadura Completa Dr650</v>
      </c>
      <c r="C12752" s="380" t="str">
        <f>IFERROR(__xludf.DUMMYFUNCTION("""COMPUTED_VALUE"""),"70008221")</f>
        <v>70008221</v>
      </c>
      <c r="D12752" s="380" t="s">
        <v>767</v>
      </c>
      <c r="E12752" s="380" t="s">
        <v>786</v>
      </c>
      <c r="F12752" s="380" t="s">
        <v>787</v>
      </c>
      <c r="G12752" s="380" t="s">
        <v>1267</v>
      </c>
      <c r="H12752" s="380" t="s">
        <v>771</v>
      </c>
      <c r="I12752" s="380" t="s">
        <v>788</v>
      </c>
      <c r="J12752" s="380" t="s">
        <v>773</v>
      </c>
      <c r="K12752" s="381">
        <v>0.0</v>
      </c>
      <c r="L12752" s="382">
        <v>1.0</v>
      </c>
    </row>
    <row r="12753">
      <c r="A12753" s="380" t="s">
        <v>13627</v>
      </c>
      <c r="B12753" s="380" t="str">
        <f>IFERROR(__xludf.DUMMYFUNCTION("""COMPUTED_VALUE"""),"Gorros Economizadores Dr650")</f>
        <v>Gorros Economizadores Dr650</v>
      </c>
      <c r="C12753" s="380" t="str">
        <f>IFERROR(__xludf.DUMMYFUNCTION("""COMPUTED_VALUE"""),"70008222")</f>
        <v>70008222</v>
      </c>
      <c r="D12753" s="380" t="s">
        <v>767</v>
      </c>
      <c r="E12753" s="380" t="s">
        <v>786</v>
      </c>
      <c r="F12753" s="380" t="s">
        <v>787</v>
      </c>
      <c r="G12753" s="380" t="s">
        <v>1267</v>
      </c>
      <c r="H12753" s="380" t="s">
        <v>771</v>
      </c>
      <c r="I12753" s="380" t="s">
        <v>788</v>
      </c>
      <c r="J12753" s="380" t="s">
        <v>773</v>
      </c>
      <c r="K12753" s="381">
        <v>0.0</v>
      </c>
      <c r="L12753" s="382">
        <v>1.0</v>
      </c>
    </row>
    <row r="12754">
      <c r="A12754" s="380" t="s">
        <v>13628</v>
      </c>
      <c r="B12754" s="380" t="str">
        <f>IFERROR(__xludf.DUMMYFUNCTION("""COMPUTED_VALUE"""),"Amortiguador Trasero Suzuki Dr650")</f>
        <v>Amortiguador Trasero Suzuki Dr650</v>
      </c>
      <c r="C12754" s="380" t="str">
        <f>IFERROR(__xludf.DUMMYFUNCTION("""COMPUTED_VALUE"""),"70008223")</f>
        <v>70008223</v>
      </c>
      <c r="D12754" s="380" t="s">
        <v>767</v>
      </c>
      <c r="E12754" s="380" t="s">
        <v>786</v>
      </c>
      <c r="F12754" s="380" t="s">
        <v>1039</v>
      </c>
      <c r="G12754" s="380" t="s">
        <v>1267</v>
      </c>
      <c r="H12754" s="380" t="s">
        <v>771</v>
      </c>
      <c r="I12754" s="380" t="s">
        <v>788</v>
      </c>
      <c r="J12754" s="380" t="s">
        <v>773</v>
      </c>
      <c r="K12754" s="381">
        <v>0.0</v>
      </c>
      <c r="L12754" s="382">
        <v>1.0</v>
      </c>
    </row>
    <row r="12755">
      <c r="A12755" s="380" t="s">
        <v>13629</v>
      </c>
      <c r="B12755" s="380" t="str">
        <f>IFERROR(__xludf.DUMMYFUNCTION("""COMPUTED_VALUE"""),"Radiador Planta Electrica Reparado")</f>
        <v>Radiador Planta Electrica Reparado</v>
      </c>
      <c r="C12755" s="380" t="str">
        <f>IFERROR(__xludf.DUMMYFUNCTION("""COMPUTED_VALUE"""),"70008224")</f>
        <v>70008224</v>
      </c>
      <c r="D12755" s="380" t="s">
        <v>767</v>
      </c>
      <c r="E12755" s="380" t="s">
        <v>786</v>
      </c>
      <c r="F12755" s="380" t="s">
        <v>787</v>
      </c>
      <c r="G12755" s="380" t="s">
        <v>1267</v>
      </c>
      <c r="H12755" s="380" t="s">
        <v>771</v>
      </c>
      <c r="I12755" s="380" t="s">
        <v>788</v>
      </c>
      <c r="J12755" s="380" t="s">
        <v>773</v>
      </c>
      <c r="K12755" s="381">
        <v>0.0</v>
      </c>
      <c r="L12755" s="382">
        <v>1.0</v>
      </c>
    </row>
    <row r="12756">
      <c r="A12756" s="380" t="s">
        <v>13630</v>
      </c>
      <c r="B12756" s="380" t="str">
        <f>IFERROR(__xludf.DUMMYFUNCTION("""COMPUTED_VALUE"""),"Radiador Reparado Mack")</f>
        <v>Radiador Reparado Mack</v>
      </c>
      <c r="C12756" s="380" t="str">
        <f>IFERROR(__xludf.DUMMYFUNCTION("""COMPUTED_VALUE"""),"70008225")</f>
        <v>70008225</v>
      </c>
      <c r="D12756" s="380" t="s">
        <v>767</v>
      </c>
      <c r="E12756" s="380" t="s">
        <v>786</v>
      </c>
      <c r="F12756" s="380" t="s">
        <v>787</v>
      </c>
      <c r="G12756" s="380" t="s">
        <v>1267</v>
      </c>
      <c r="H12756" s="380" t="s">
        <v>771</v>
      </c>
      <c r="I12756" s="380" t="s">
        <v>788</v>
      </c>
      <c r="J12756" s="380" t="s">
        <v>773</v>
      </c>
      <c r="K12756" s="381">
        <v>0.0</v>
      </c>
      <c r="L12756" s="382">
        <v>1.0</v>
      </c>
    </row>
    <row r="12757">
      <c r="A12757" s="380" t="s">
        <v>13631</v>
      </c>
      <c r="B12757" s="380" t="str">
        <f>IFERROR(__xludf.DUMMYFUNCTION("""COMPUTED_VALUE"""),"Cojin Conductor Montacarga Repadado")</f>
        <v>Cojin Conductor Montacarga Repadado</v>
      </c>
      <c r="C12757" s="380" t="str">
        <f>IFERROR(__xludf.DUMMYFUNCTION("""COMPUTED_VALUE"""),"70008226")</f>
        <v>70008226</v>
      </c>
      <c r="D12757" s="380" t="s">
        <v>767</v>
      </c>
      <c r="E12757" s="380" t="s">
        <v>786</v>
      </c>
      <c r="F12757" s="380" t="s">
        <v>792</v>
      </c>
      <c r="G12757" s="380" t="s">
        <v>1267</v>
      </c>
      <c r="H12757" s="380" t="s">
        <v>771</v>
      </c>
      <c r="I12757" s="380" t="s">
        <v>788</v>
      </c>
      <c r="J12757" s="380" t="s">
        <v>773</v>
      </c>
      <c r="K12757" s="381">
        <v>0.0</v>
      </c>
      <c r="L12757" s="382">
        <v>1.0</v>
      </c>
    </row>
    <row r="12758">
      <c r="A12758" s="380" t="s">
        <v>13632</v>
      </c>
      <c r="B12758" s="380" t="str">
        <f>IFERROR(__xludf.DUMMYFUNCTION("""COMPUTED_VALUE"""),"Inyector Motor Reparado Renault Master")</f>
        <v>Inyector Motor Reparado Renault Master</v>
      </c>
      <c r="C12758" s="380" t="str">
        <f>IFERROR(__xludf.DUMMYFUNCTION("""COMPUTED_VALUE"""),"70008227")</f>
        <v>70008227</v>
      </c>
      <c r="D12758" s="380" t="s">
        <v>767</v>
      </c>
      <c r="E12758" s="380" t="s">
        <v>786</v>
      </c>
      <c r="F12758" s="380" t="s">
        <v>787</v>
      </c>
      <c r="G12758" s="380" t="s">
        <v>1267</v>
      </c>
      <c r="H12758" s="380" t="s">
        <v>771</v>
      </c>
      <c r="I12758" s="380" t="s">
        <v>788</v>
      </c>
      <c r="J12758" s="380" t="s">
        <v>773</v>
      </c>
      <c r="K12758" s="381">
        <v>0.0</v>
      </c>
      <c r="L12758" s="382">
        <v>1.0</v>
      </c>
    </row>
    <row r="12759">
      <c r="A12759" s="380" t="s">
        <v>13633</v>
      </c>
      <c r="B12759" s="380" t="str">
        <f>IFERROR(__xludf.DUMMYFUNCTION("""COMPUTED_VALUE"""),"Motor Arranque R. Master Reparado")</f>
        <v>Motor Arranque R. Master Reparado</v>
      </c>
      <c r="C12759" s="380" t="str">
        <f>IFERROR(__xludf.DUMMYFUNCTION("""COMPUTED_VALUE"""),"70008228")</f>
        <v>70008228</v>
      </c>
      <c r="D12759" s="380" t="s">
        <v>767</v>
      </c>
      <c r="E12759" s="380" t="s">
        <v>786</v>
      </c>
      <c r="F12759" s="380" t="s">
        <v>998</v>
      </c>
      <c r="G12759" s="380" t="s">
        <v>1267</v>
      </c>
      <c r="H12759" s="380" t="s">
        <v>771</v>
      </c>
      <c r="I12759" s="380" t="s">
        <v>788</v>
      </c>
      <c r="J12759" s="380" t="s">
        <v>773</v>
      </c>
      <c r="K12759" s="381">
        <v>0.0</v>
      </c>
      <c r="L12759" s="382">
        <v>1.0</v>
      </c>
    </row>
    <row r="12760">
      <c r="A12760" s="380" t="s">
        <v>13634</v>
      </c>
      <c r="B12760" s="380" t="str">
        <f>IFERROR(__xludf.DUMMYFUNCTION("""COMPUTED_VALUE"""),"Post Enfriador Aceite Reparado")</f>
        <v>Post Enfriador Aceite Reparado</v>
      </c>
      <c r="C12760" s="380" t="str">
        <f>IFERROR(__xludf.DUMMYFUNCTION("""COMPUTED_VALUE"""),"70008229")</f>
        <v>70008229</v>
      </c>
      <c r="D12760" s="380" t="s">
        <v>767</v>
      </c>
      <c r="E12760" s="380" t="s">
        <v>786</v>
      </c>
      <c r="F12760" s="380" t="s">
        <v>787</v>
      </c>
      <c r="G12760" s="380" t="s">
        <v>1267</v>
      </c>
      <c r="H12760" s="380" t="s">
        <v>771</v>
      </c>
      <c r="I12760" s="380" t="s">
        <v>788</v>
      </c>
      <c r="J12760" s="380" t="s">
        <v>773</v>
      </c>
      <c r="K12760" s="381">
        <v>0.0</v>
      </c>
      <c r="L12760" s="382">
        <v>1.0</v>
      </c>
    </row>
    <row r="12761">
      <c r="A12761" s="380" t="s">
        <v>13635</v>
      </c>
      <c r="B12761" s="380" t="str">
        <f>IFERROR(__xludf.DUMMYFUNCTION("""COMPUTED_VALUE"""),"Prensa Embrague Hi Reparado Eaton")</f>
        <v>Prensa Embrague Hi Reparado Eaton</v>
      </c>
      <c r="C12761" s="380" t="str">
        <f>IFERROR(__xludf.DUMMYFUNCTION("""COMPUTED_VALUE"""),"70008230")</f>
        <v>70008230</v>
      </c>
      <c r="D12761" s="380" t="s">
        <v>767</v>
      </c>
      <c r="E12761" s="380" t="s">
        <v>786</v>
      </c>
      <c r="F12761" s="380" t="s">
        <v>5661</v>
      </c>
      <c r="G12761" s="380" t="s">
        <v>1267</v>
      </c>
      <c r="H12761" s="380" t="s">
        <v>771</v>
      </c>
      <c r="I12761" s="380" t="s">
        <v>788</v>
      </c>
      <c r="J12761" s="380" t="s">
        <v>773</v>
      </c>
      <c r="K12761" s="381">
        <v>0.0</v>
      </c>
      <c r="L12761" s="382">
        <v>1.0</v>
      </c>
    </row>
    <row r="12762">
      <c r="A12762" s="380" t="s">
        <v>13636</v>
      </c>
      <c r="B12762" s="380" t="str">
        <f>IFERROR(__xludf.DUMMYFUNCTION("""COMPUTED_VALUE"""),"CJ Caja Direccion Toyota Delta Reparado")</f>
        <v>CJ Caja Direccion Toyota Delta Reparado</v>
      </c>
      <c r="C12762" s="380" t="str">
        <f>IFERROR(__xludf.DUMMYFUNCTION("""COMPUTED_VALUE"""),"70008231")</f>
        <v>70008231</v>
      </c>
      <c r="D12762" s="380" t="s">
        <v>767</v>
      </c>
      <c r="E12762" s="380" t="s">
        <v>786</v>
      </c>
      <c r="F12762" s="380" t="s">
        <v>1020</v>
      </c>
      <c r="G12762" s="380" t="s">
        <v>1267</v>
      </c>
      <c r="H12762" s="380" t="s">
        <v>771</v>
      </c>
      <c r="I12762" s="380" t="s">
        <v>788</v>
      </c>
      <c r="J12762" s="380" t="s">
        <v>773</v>
      </c>
      <c r="K12762" s="381">
        <v>0.0</v>
      </c>
      <c r="L12762" s="382">
        <v>1.0</v>
      </c>
    </row>
    <row r="12763">
      <c r="A12763" s="380" t="s">
        <v>13637</v>
      </c>
      <c r="B12763" s="380" t="str">
        <f>IFERROR(__xludf.DUMMYFUNCTION("""COMPUTED_VALUE"""),"Cordon Elastico Para Pulpo")</f>
        <v>Cordon Elastico Para Pulpo</v>
      </c>
      <c r="C12763" s="380" t="str">
        <f>IFERROR(__xludf.DUMMYFUNCTION("""COMPUTED_VALUE"""),"70008232")</f>
        <v>70008232</v>
      </c>
      <c r="D12763" s="380" t="s">
        <v>767</v>
      </c>
      <c r="E12763" s="380" t="s">
        <v>786</v>
      </c>
      <c r="F12763" s="380" t="s">
        <v>1031</v>
      </c>
      <c r="G12763" s="380" t="s">
        <v>1267</v>
      </c>
      <c r="H12763" s="380" t="s">
        <v>771</v>
      </c>
      <c r="I12763" s="380" t="s">
        <v>788</v>
      </c>
      <c r="J12763" s="380" t="s">
        <v>773</v>
      </c>
      <c r="K12763" s="381">
        <v>2543.0</v>
      </c>
      <c r="L12763" s="382">
        <v>1.0</v>
      </c>
    </row>
    <row r="12764">
      <c r="A12764" s="380" t="s">
        <v>13638</v>
      </c>
      <c r="B12764" s="380" t="str">
        <f>IFERROR(__xludf.DUMMYFUNCTION("""COMPUTED_VALUE"""),"Biela Caja Moto Suzuki Ax 100")</f>
        <v>Biela Caja Moto Suzuki Ax 100</v>
      </c>
      <c r="C12764" s="380" t="str">
        <f>IFERROR(__xludf.DUMMYFUNCTION("""COMPUTED_VALUE"""),"70008233")</f>
        <v>70008233</v>
      </c>
      <c r="D12764" s="380" t="s">
        <v>767</v>
      </c>
      <c r="E12764" s="380" t="s">
        <v>786</v>
      </c>
      <c r="F12764" s="380" t="s">
        <v>928</v>
      </c>
      <c r="G12764" s="380" t="s">
        <v>1267</v>
      </c>
      <c r="H12764" s="380" t="s">
        <v>771</v>
      </c>
      <c r="I12764" s="380" t="s">
        <v>788</v>
      </c>
      <c r="J12764" s="380" t="s">
        <v>773</v>
      </c>
      <c r="K12764" s="381">
        <v>0.0</v>
      </c>
      <c r="L12764" s="382">
        <v>1.0</v>
      </c>
    </row>
    <row r="12765">
      <c r="A12765" s="380" t="s">
        <v>13639</v>
      </c>
      <c r="B12765" s="380" t="str">
        <f>IFERROR(__xludf.DUMMYFUNCTION("""COMPUTED_VALUE"""),"Caucho Torque Caja Ax 100")</f>
        <v>Caucho Torque Caja Ax 100</v>
      </c>
      <c r="C12765" s="380" t="str">
        <f>IFERROR(__xludf.DUMMYFUNCTION("""COMPUTED_VALUE"""),"70008234")</f>
        <v>70008234</v>
      </c>
      <c r="D12765" s="380" t="s">
        <v>767</v>
      </c>
      <c r="E12765" s="380" t="s">
        <v>786</v>
      </c>
      <c r="F12765" s="380" t="s">
        <v>928</v>
      </c>
      <c r="G12765" s="380" t="s">
        <v>1267</v>
      </c>
      <c r="H12765" s="380" t="s">
        <v>771</v>
      </c>
      <c r="I12765" s="380" t="s">
        <v>788</v>
      </c>
      <c r="J12765" s="380" t="s">
        <v>773</v>
      </c>
      <c r="K12765" s="381">
        <v>0.0</v>
      </c>
      <c r="L12765" s="382">
        <v>1.0</v>
      </c>
    </row>
    <row r="12766">
      <c r="A12766" s="380" t="s">
        <v>13640</v>
      </c>
      <c r="B12766" s="380" t="str">
        <f>IFERROR(__xludf.DUMMYFUNCTION("""COMPUTED_VALUE"""),"Enfriador Gases Escape Frr Reparado")</f>
        <v>Enfriador Gases Escape Frr Reparado</v>
      </c>
      <c r="C12766" s="380" t="str">
        <f>IFERROR(__xludf.DUMMYFUNCTION("""COMPUTED_VALUE"""),"70008235")</f>
        <v>70008235</v>
      </c>
      <c r="D12766" s="380" t="s">
        <v>767</v>
      </c>
      <c r="E12766" s="380" t="s">
        <v>786</v>
      </c>
      <c r="F12766" s="380" t="s">
        <v>787</v>
      </c>
      <c r="G12766" s="380" t="s">
        <v>1267</v>
      </c>
      <c r="H12766" s="380" t="s">
        <v>771</v>
      </c>
      <c r="I12766" s="380" t="s">
        <v>788</v>
      </c>
      <c r="J12766" s="380" t="s">
        <v>773</v>
      </c>
      <c r="K12766" s="381">
        <v>0.0</v>
      </c>
      <c r="L12766" s="382">
        <v>1.0</v>
      </c>
    </row>
    <row r="12767">
      <c r="A12767" s="380" t="s">
        <v>13641</v>
      </c>
      <c r="B12767" s="380" t="str">
        <f>IFERROR(__xludf.DUMMYFUNCTION("""COMPUTED_VALUE"""),"Alternador Volswagen Reparado")</f>
        <v>Alternador Volswagen Reparado</v>
      </c>
      <c r="C12767" s="380" t="str">
        <f>IFERROR(__xludf.DUMMYFUNCTION("""COMPUTED_VALUE"""),"70008236")</f>
        <v>70008236</v>
      </c>
      <c r="D12767" s="380" t="s">
        <v>767</v>
      </c>
      <c r="E12767" s="380" t="s">
        <v>786</v>
      </c>
      <c r="F12767" s="380" t="s">
        <v>998</v>
      </c>
      <c r="G12767" s="380" t="s">
        <v>1267</v>
      </c>
      <c r="H12767" s="380" t="s">
        <v>771</v>
      </c>
      <c r="I12767" s="380" t="s">
        <v>788</v>
      </c>
      <c r="J12767" s="380" t="s">
        <v>773</v>
      </c>
      <c r="K12767" s="381">
        <v>0.0</v>
      </c>
      <c r="L12767" s="382">
        <v>1.0</v>
      </c>
    </row>
    <row r="12768">
      <c r="A12768" s="380" t="s">
        <v>13642</v>
      </c>
      <c r="B12768" s="380" t="str">
        <f>IFERROR(__xludf.DUMMYFUNCTION("""COMPUTED_VALUE"""),"Cojin Cond Ayudante Frr Reparado")</f>
        <v>Cojin Cond Ayudante Frr Reparado</v>
      </c>
      <c r="C12768" s="380" t="str">
        <f>IFERROR(__xludf.DUMMYFUNCTION("""COMPUTED_VALUE"""),"70008237")</f>
        <v>70008237</v>
      </c>
      <c r="D12768" s="380" t="s">
        <v>767</v>
      </c>
      <c r="E12768" s="380" t="s">
        <v>786</v>
      </c>
      <c r="F12768" s="380" t="s">
        <v>792</v>
      </c>
      <c r="G12768" s="380" t="s">
        <v>1267</v>
      </c>
      <c r="H12768" s="380" t="s">
        <v>771</v>
      </c>
      <c r="I12768" s="380" t="s">
        <v>788</v>
      </c>
      <c r="J12768" s="380" t="s">
        <v>773</v>
      </c>
      <c r="K12768" s="381">
        <v>0.0</v>
      </c>
      <c r="L12768" s="382">
        <v>1.0</v>
      </c>
    </row>
    <row r="12769">
      <c r="A12769" s="380" t="s">
        <v>13643</v>
      </c>
      <c r="B12769" s="380" t="str">
        <f>IFERROR(__xludf.DUMMYFUNCTION("""COMPUTED_VALUE"""),"Media Caja 16918 Eagle Reparado")</f>
        <v>Media Caja 16918 Eagle Reparado</v>
      </c>
      <c r="C12769" s="380" t="str">
        <f>IFERROR(__xludf.DUMMYFUNCTION("""COMPUTED_VALUE"""),"70008238")</f>
        <v>70008238</v>
      </c>
      <c r="D12769" s="380" t="s">
        <v>767</v>
      </c>
      <c r="E12769" s="380" t="s">
        <v>786</v>
      </c>
      <c r="F12769" s="380" t="s">
        <v>928</v>
      </c>
      <c r="G12769" s="380" t="s">
        <v>1267</v>
      </c>
      <c r="H12769" s="380" t="s">
        <v>771</v>
      </c>
      <c r="I12769" s="380" t="s">
        <v>788</v>
      </c>
      <c r="J12769" s="380" t="s">
        <v>773</v>
      </c>
      <c r="K12769" s="381">
        <v>0.0</v>
      </c>
      <c r="L12769" s="382">
        <v>1.0</v>
      </c>
    </row>
    <row r="12770">
      <c r="A12770" s="380" t="s">
        <v>13644</v>
      </c>
      <c r="B12770" s="380" t="str">
        <f>IFERROR(__xludf.DUMMYFUNCTION("""COMPUTED_VALUE"""),"Caja Velocidades Eagle Reparado")</f>
        <v>Caja Velocidades Eagle Reparado</v>
      </c>
      <c r="C12770" s="380" t="str">
        <f>IFERROR(__xludf.DUMMYFUNCTION("""COMPUTED_VALUE"""),"70008239")</f>
        <v>70008239</v>
      </c>
      <c r="D12770" s="380" t="s">
        <v>767</v>
      </c>
      <c r="E12770" s="380" t="s">
        <v>786</v>
      </c>
      <c r="F12770" s="380" t="s">
        <v>928</v>
      </c>
      <c r="G12770" s="380" t="s">
        <v>1267</v>
      </c>
      <c r="H12770" s="380" t="s">
        <v>771</v>
      </c>
      <c r="I12770" s="380" t="s">
        <v>788</v>
      </c>
      <c r="J12770" s="380" t="s">
        <v>773</v>
      </c>
      <c r="K12770" s="381">
        <v>0.0</v>
      </c>
      <c r="L12770" s="382">
        <v>1.0</v>
      </c>
    </row>
    <row r="12771">
      <c r="A12771" s="380" t="s">
        <v>13645</v>
      </c>
      <c r="B12771" s="380" t="str">
        <f>IFERROR(__xludf.DUMMYFUNCTION("""COMPUTED_VALUE"""),"Bloque Motor Isx Reparado")</f>
        <v>Bloque Motor Isx Reparado</v>
      </c>
      <c r="C12771" s="380" t="str">
        <f>IFERROR(__xludf.DUMMYFUNCTION("""COMPUTED_VALUE"""),"70008240")</f>
        <v>70008240</v>
      </c>
      <c r="D12771" s="380" t="s">
        <v>767</v>
      </c>
      <c r="E12771" s="380" t="s">
        <v>786</v>
      </c>
      <c r="F12771" s="380" t="s">
        <v>787</v>
      </c>
      <c r="G12771" s="380" t="s">
        <v>1267</v>
      </c>
      <c r="H12771" s="380" t="s">
        <v>771</v>
      </c>
      <c r="I12771" s="380" t="s">
        <v>788</v>
      </c>
      <c r="J12771" s="380" t="s">
        <v>773</v>
      </c>
      <c r="K12771" s="381">
        <v>0.0</v>
      </c>
      <c r="L12771" s="382">
        <v>1.0</v>
      </c>
    </row>
    <row r="12772">
      <c r="A12772" s="380" t="s">
        <v>13646</v>
      </c>
      <c r="B12772" s="380" t="str">
        <f>IFERROR(__xludf.DUMMYFUNCTION("""COMPUTED_VALUE"""),"Motor Arranque 39mt Kw Reparado")</f>
        <v>Motor Arranque 39mt Kw Reparado</v>
      </c>
      <c r="C12772" s="380" t="str">
        <f>IFERROR(__xludf.DUMMYFUNCTION("""COMPUTED_VALUE"""),"70008241")</f>
        <v>70008241</v>
      </c>
      <c r="D12772" s="380" t="s">
        <v>767</v>
      </c>
      <c r="E12772" s="380" t="s">
        <v>786</v>
      </c>
      <c r="F12772" s="380" t="s">
        <v>998</v>
      </c>
      <c r="G12772" s="380" t="s">
        <v>1267</v>
      </c>
      <c r="H12772" s="380" t="s">
        <v>771</v>
      </c>
      <c r="I12772" s="380" t="s">
        <v>788</v>
      </c>
      <c r="J12772" s="380" t="s">
        <v>773</v>
      </c>
      <c r="K12772" s="381">
        <v>0.0</v>
      </c>
      <c r="L12772" s="382">
        <v>1.0</v>
      </c>
    </row>
    <row r="12773">
      <c r="A12773" s="380" t="s">
        <v>13647</v>
      </c>
      <c r="B12773" s="380" t="str">
        <f>IFERROR(__xludf.DUMMYFUNCTION("""COMPUTED_VALUE"""),"Caja Direccion Npr Reparado")</f>
        <v>Caja Direccion Npr Reparado</v>
      </c>
      <c r="C12773" s="380" t="str">
        <f>IFERROR(__xludf.DUMMYFUNCTION("""COMPUTED_VALUE"""),"70008242")</f>
        <v>70008242</v>
      </c>
      <c r="D12773" s="380" t="s">
        <v>767</v>
      </c>
      <c r="E12773" s="380" t="s">
        <v>786</v>
      </c>
      <c r="F12773" s="380" t="s">
        <v>1020</v>
      </c>
      <c r="G12773" s="380" t="s">
        <v>1267</v>
      </c>
      <c r="H12773" s="380" t="s">
        <v>771</v>
      </c>
      <c r="I12773" s="380" t="s">
        <v>788</v>
      </c>
      <c r="J12773" s="380" t="s">
        <v>773</v>
      </c>
      <c r="K12773" s="381">
        <v>0.0</v>
      </c>
      <c r="L12773" s="382">
        <v>1.0</v>
      </c>
    </row>
    <row r="12774">
      <c r="A12774" s="380" t="s">
        <v>13648</v>
      </c>
      <c r="B12774" s="380" t="str">
        <f>IFERROR(__xludf.DUMMYFUNCTION("""COMPUTED_VALUE"""),"Modulo Control Cabina Kw Reparado")</f>
        <v>Modulo Control Cabina Kw Reparado</v>
      </c>
      <c r="C12774" s="380" t="str">
        <f>IFERROR(__xludf.DUMMYFUNCTION("""COMPUTED_VALUE"""),"70008243")</f>
        <v>70008243</v>
      </c>
      <c r="D12774" s="380" t="s">
        <v>767</v>
      </c>
      <c r="E12774" s="380" t="s">
        <v>786</v>
      </c>
      <c r="F12774" s="380" t="s">
        <v>998</v>
      </c>
      <c r="G12774" s="380" t="s">
        <v>1267</v>
      </c>
      <c r="H12774" s="380" t="s">
        <v>771</v>
      </c>
      <c r="I12774" s="380" t="s">
        <v>788</v>
      </c>
      <c r="J12774" s="380" t="s">
        <v>773</v>
      </c>
      <c r="K12774" s="381">
        <v>0.0</v>
      </c>
      <c r="L12774" s="382">
        <v>1.0</v>
      </c>
    </row>
    <row r="12775">
      <c r="A12775" s="380" t="s">
        <v>13649</v>
      </c>
      <c r="B12775" s="380" t="str">
        <f>IFERROR(__xludf.DUMMYFUNCTION("""COMPUTED_VALUE"""),"Radiador Motor Frr Reparado")</f>
        <v>Radiador Motor Frr Reparado</v>
      </c>
      <c r="C12775" s="380" t="str">
        <f>IFERROR(__xludf.DUMMYFUNCTION("""COMPUTED_VALUE"""),"70008244")</f>
        <v>70008244</v>
      </c>
      <c r="D12775" s="380" t="s">
        <v>767</v>
      </c>
      <c r="E12775" s="380" t="s">
        <v>786</v>
      </c>
      <c r="F12775" s="380" t="s">
        <v>787</v>
      </c>
      <c r="G12775" s="380" t="s">
        <v>1267</v>
      </c>
      <c r="H12775" s="380" t="s">
        <v>771</v>
      </c>
      <c r="I12775" s="380" t="s">
        <v>788</v>
      </c>
      <c r="J12775" s="380" t="s">
        <v>773</v>
      </c>
      <c r="K12775" s="381">
        <v>0.0</v>
      </c>
      <c r="L12775" s="382">
        <v>1.0</v>
      </c>
    </row>
    <row r="12776">
      <c r="A12776" s="380" t="s">
        <v>13650</v>
      </c>
      <c r="B12776" s="380" t="str">
        <f>IFERROR(__xludf.DUMMYFUNCTION("""COMPUTED_VALUE"""),"Alternador Reparado Nissan Pathfinder")</f>
        <v>Alternador Reparado Nissan Pathfinder</v>
      </c>
      <c r="C12776" s="380" t="str">
        <f>IFERROR(__xludf.DUMMYFUNCTION("""COMPUTED_VALUE"""),"70008245")</f>
        <v>70008245</v>
      </c>
      <c r="D12776" s="380" t="s">
        <v>767</v>
      </c>
      <c r="E12776" s="380" t="s">
        <v>786</v>
      </c>
      <c r="F12776" s="380" t="s">
        <v>998</v>
      </c>
      <c r="G12776" s="380" t="s">
        <v>1267</v>
      </c>
      <c r="H12776" s="380" t="s">
        <v>771</v>
      </c>
      <c r="I12776" s="380" t="s">
        <v>788</v>
      </c>
      <c r="J12776" s="380" t="s">
        <v>773</v>
      </c>
      <c r="K12776" s="381">
        <v>0.0</v>
      </c>
      <c r="L12776" s="382">
        <v>1.0</v>
      </c>
    </row>
    <row r="12777">
      <c r="A12777" s="380" t="s">
        <v>13651</v>
      </c>
      <c r="B12777" s="380" t="str">
        <f>IFERROR(__xludf.DUMMYFUNCTION("""COMPUTED_VALUE"""),"Relay Arranque Moto Akt 3w180 23515122")</f>
        <v>Relay Arranque Moto Akt 3w180 23515122</v>
      </c>
      <c r="C12777" s="380" t="str">
        <f>IFERROR(__xludf.DUMMYFUNCTION("""COMPUTED_VALUE"""),"70008246")</f>
        <v>70008246</v>
      </c>
      <c r="D12777" s="380" t="s">
        <v>767</v>
      </c>
      <c r="E12777" s="380" t="s">
        <v>786</v>
      </c>
      <c r="F12777" s="380" t="s">
        <v>998</v>
      </c>
      <c r="G12777" s="380" t="s">
        <v>1267</v>
      </c>
      <c r="H12777" s="380" t="s">
        <v>771</v>
      </c>
      <c r="I12777" s="380" t="s">
        <v>788</v>
      </c>
      <c r="J12777" s="380" t="s">
        <v>773</v>
      </c>
      <c r="K12777" s="381">
        <v>0.0</v>
      </c>
      <c r="L12777" s="382">
        <v>1.0</v>
      </c>
    </row>
    <row r="12778">
      <c r="A12778" s="380" t="s">
        <v>13652</v>
      </c>
      <c r="B12778" s="380" t="str">
        <f>IFERROR(__xludf.DUMMYFUNCTION("""COMPUTED_VALUE"""),"Llave Gasolina Moto 4430032e00")</f>
        <v>Llave Gasolina Moto 4430032e00</v>
      </c>
      <c r="C12778" s="380" t="str">
        <f>IFERROR(__xludf.DUMMYFUNCTION("""COMPUTED_VALUE"""),"70008247")</f>
        <v>70008247</v>
      </c>
      <c r="D12778" s="380" t="s">
        <v>767</v>
      </c>
      <c r="E12778" s="380" t="s">
        <v>786</v>
      </c>
      <c r="F12778" s="380" t="s">
        <v>792</v>
      </c>
      <c r="G12778" s="380" t="s">
        <v>1267</v>
      </c>
      <c r="H12778" s="380" t="s">
        <v>771</v>
      </c>
      <c r="I12778" s="380" t="s">
        <v>788</v>
      </c>
      <c r="J12778" s="380" t="s">
        <v>773</v>
      </c>
      <c r="K12778" s="381">
        <v>0.0</v>
      </c>
      <c r="L12778" s="382">
        <v>1.0</v>
      </c>
    </row>
    <row r="12779">
      <c r="A12779" s="380" t="s">
        <v>13653</v>
      </c>
      <c r="B12779" s="380" t="str">
        <f>IFERROR(__xludf.DUMMYFUNCTION("""COMPUTED_VALUE"""),"Tu Turbo Alimentador Reparado Nkr Reward")</f>
        <v>Tu Turbo Alimentador Reparado Nkr Reward</v>
      </c>
      <c r="C12779" s="380" t="str">
        <f>IFERROR(__xludf.DUMMYFUNCTION("""COMPUTED_VALUE"""),"70008248")</f>
        <v>70008248</v>
      </c>
      <c r="D12779" s="380" t="s">
        <v>767</v>
      </c>
      <c r="E12779" s="380" t="s">
        <v>786</v>
      </c>
      <c r="F12779" s="380" t="s">
        <v>787</v>
      </c>
      <c r="G12779" s="380" t="s">
        <v>1267</v>
      </c>
      <c r="H12779" s="380" t="s">
        <v>771</v>
      </c>
      <c r="I12779" s="380" t="s">
        <v>788</v>
      </c>
      <c r="J12779" s="380" t="s">
        <v>773</v>
      </c>
      <c r="K12779" s="381">
        <v>0.0</v>
      </c>
      <c r="L12779" s="382">
        <v>1.0</v>
      </c>
    </row>
    <row r="12780">
      <c r="A12780" s="380" t="s">
        <v>13654</v>
      </c>
      <c r="B12780" s="380" t="str">
        <f>IFERROR(__xludf.DUMMYFUNCTION("""COMPUTED_VALUE"""),"Carcaza Motor Moto Honda Xl200")</f>
        <v>Carcaza Motor Moto Honda Xl200</v>
      </c>
      <c r="C12780" s="380" t="str">
        <f>IFERROR(__xludf.DUMMYFUNCTION("""COMPUTED_VALUE"""),"70008249")</f>
        <v>70008249</v>
      </c>
      <c r="D12780" s="380" t="s">
        <v>767</v>
      </c>
      <c r="E12780" s="380" t="s">
        <v>786</v>
      </c>
      <c r="F12780" s="380" t="s">
        <v>792</v>
      </c>
      <c r="G12780" s="380" t="s">
        <v>1267</v>
      </c>
      <c r="H12780" s="380" t="s">
        <v>771</v>
      </c>
      <c r="I12780" s="380" t="s">
        <v>788</v>
      </c>
      <c r="J12780" s="380" t="s">
        <v>773</v>
      </c>
      <c r="K12780" s="381">
        <v>0.0</v>
      </c>
      <c r="L12780" s="382">
        <v>1.0</v>
      </c>
    </row>
    <row r="12781">
      <c r="A12781" s="380" t="s">
        <v>13655</v>
      </c>
      <c r="B12781" s="380" t="str">
        <f>IFERROR(__xludf.DUMMYFUNCTION("""COMPUTED_VALUE"""),"Extension Cabina Eagle Reparado")</f>
        <v>Extension Cabina Eagle Reparado</v>
      </c>
      <c r="C12781" s="380" t="str">
        <f>IFERROR(__xludf.DUMMYFUNCTION("""COMPUTED_VALUE"""),"70008250")</f>
        <v>70008250</v>
      </c>
      <c r="D12781" s="380" t="s">
        <v>767</v>
      </c>
      <c r="E12781" s="380" t="s">
        <v>786</v>
      </c>
      <c r="F12781" s="380" t="s">
        <v>792</v>
      </c>
      <c r="G12781" s="380" t="s">
        <v>1267</v>
      </c>
      <c r="H12781" s="380" t="s">
        <v>771</v>
      </c>
      <c r="I12781" s="380" t="s">
        <v>788</v>
      </c>
      <c r="J12781" s="380" t="s">
        <v>773</v>
      </c>
      <c r="K12781" s="381">
        <v>0.0</v>
      </c>
      <c r="L12781" s="382">
        <v>1.0</v>
      </c>
    </row>
    <row r="12782">
      <c r="A12782" s="380" t="s">
        <v>13656</v>
      </c>
      <c r="B12782" s="380" t="str">
        <f>IFERROR(__xludf.DUMMYFUNCTION("""COMPUTED_VALUE"""),"Jgo Pastillas Freno Akt125")</f>
        <v>Jgo Pastillas Freno Akt125</v>
      </c>
      <c r="C12782" s="380" t="str">
        <f>IFERROR(__xludf.DUMMYFUNCTION("""COMPUTED_VALUE"""),"70008251")</f>
        <v>70008251</v>
      </c>
      <c r="D12782" s="380" t="s">
        <v>767</v>
      </c>
      <c r="E12782" s="380" t="s">
        <v>786</v>
      </c>
      <c r="F12782" s="380" t="s">
        <v>1017</v>
      </c>
      <c r="G12782" s="380" t="s">
        <v>1267</v>
      </c>
      <c r="H12782" s="380" t="s">
        <v>771</v>
      </c>
      <c r="I12782" s="380" t="s">
        <v>788</v>
      </c>
      <c r="J12782" s="380" t="s">
        <v>773</v>
      </c>
      <c r="K12782" s="381">
        <v>0.0</v>
      </c>
      <c r="L12782" s="382">
        <v>1.0</v>
      </c>
    </row>
    <row r="12783">
      <c r="A12783" s="380" t="s">
        <v>13657</v>
      </c>
      <c r="B12783" s="380" t="str">
        <f>IFERROR(__xludf.DUMMYFUNCTION("""COMPUTED_VALUE"""),"Palanca Pedal Cambios Akt125")</f>
        <v>Palanca Pedal Cambios Akt125</v>
      </c>
      <c r="C12783" s="380" t="str">
        <f>IFERROR(__xludf.DUMMYFUNCTION("""COMPUTED_VALUE"""),"70008252")</f>
        <v>70008252</v>
      </c>
      <c r="D12783" s="380" t="s">
        <v>767</v>
      </c>
      <c r="E12783" s="380" t="s">
        <v>786</v>
      </c>
      <c r="F12783" s="380" t="s">
        <v>928</v>
      </c>
      <c r="G12783" s="380" t="s">
        <v>1267</v>
      </c>
      <c r="H12783" s="380" t="s">
        <v>771</v>
      </c>
      <c r="I12783" s="380" t="s">
        <v>788</v>
      </c>
      <c r="J12783" s="380" t="s">
        <v>773</v>
      </c>
      <c r="K12783" s="381">
        <v>0.0</v>
      </c>
      <c r="L12783" s="382">
        <v>1.0</v>
      </c>
    </row>
    <row r="12784">
      <c r="A12784" s="380" t="s">
        <v>13658</v>
      </c>
      <c r="B12784" s="380" t="str">
        <f>IFERROR(__xludf.DUMMYFUNCTION("""COMPUTED_VALUE"""),"Ci Cinturon Seguridad Retractil Reparado")</f>
        <v>Ci Cinturon Seguridad Retractil Reparado</v>
      </c>
      <c r="C12784" s="380" t="str">
        <f>IFERROR(__xludf.DUMMYFUNCTION("""COMPUTED_VALUE"""),"70008253")</f>
        <v>70008253</v>
      </c>
      <c r="D12784" s="380" t="s">
        <v>767</v>
      </c>
      <c r="E12784" s="380" t="s">
        <v>786</v>
      </c>
      <c r="F12784" s="380" t="s">
        <v>792</v>
      </c>
      <c r="G12784" s="380" t="s">
        <v>1267</v>
      </c>
      <c r="H12784" s="380" t="s">
        <v>771</v>
      </c>
      <c r="I12784" s="380" t="s">
        <v>788</v>
      </c>
      <c r="J12784" s="380" t="s">
        <v>773</v>
      </c>
      <c r="K12784" s="381">
        <v>261800.0</v>
      </c>
      <c r="L12784" s="382">
        <v>1.0</v>
      </c>
    </row>
    <row r="12785">
      <c r="A12785" s="380" t="s">
        <v>13659</v>
      </c>
      <c r="B12785" s="380" t="str">
        <f>IFERROR(__xludf.DUMMYFUNCTION("""COMPUTED_VALUE"""),"Motor Arranque Moto Suzuki 650")</f>
        <v>Motor Arranque Moto Suzuki 650</v>
      </c>
      <c r="C12785" s="380" t="str">
        <f>IFERROR(__xludf.DUMMYFUNCTION("""COMPUTED_VALUE"""),"70008254")</f>
        <v>70008254</v>
      </c>
      <c r="D12785" s="380" t="s">
        <v>767</v>
      </c>
      <c r="E12785" s="380" t="s">
        <v>786</v>
      </c>
      <c r="F12785" s="380" t="s">
        <v>998</v>
      </c>
      <c r="G12785" s="380" t="s">
        <v>1267</v>
      </c>
      <c r="H12785" s="380" t="s">
        <v>771</v>
      </c>
      <c r="I12785" s="380" t="s">
        <v>788</v>
      </c>
      <c r="J12785" s="380" t="s">
        <v>773</v>
      </c>
      <c r="K12785" s="381">
        <v>0.0</v>
      </c>
      <c r="L12785" s="382">
        <v>1.0</v>
      </c>
    </row>
    <row r="12786">
      <c r="A12786" s="380" t="s">
        <v>13660</v>
      </c>
      <c r="B12786" s="380" t="str">
        <f>IFERROR(__xludf.DUMMYFUNCTION("""COMPUTED_VALUE"""),"Banda Freno Delantero Frr Remachada")</f>
        <v>Banda Freno Delantero Frr Remachada</v>
      </c>
      <c r="C12786" s="380" t="str">
        <f>IFERROR(__xludf.DUMMYFUNCTION("""COMPUTED_VALUE"""),"70008255")</f>
        <v>70008255</v>
      </c>
      <c r="D12786" s="380" t="s">
        <v>767</v>
      </c>
      <c r="E12786" s="380" t="s">
        <v>786</v>
      </c>
      <c r="F12786" s="380" t="s">
        <v>1017</v>
      </c>
      <c r="G12786" s="380" t="s">
        <v>1267</v>
      </c>
      <c r="H12786" s="380" t="s">
        <v>771</v>
      </c>
      <c r="I12786" s="380" t="s">
        <v>788</v>
      </c>
      <c r="J12786" s="380" t="s">
        <v>773</v>
      </c>
      <c r="K12786" s="381">
        <v>64028.0</v>
      </c>
      <c r="L12786" s="382">
        <v>1.0</v>
      </c>
    </row>
    <row r="12787">
      <c r="A12787" s="380" t="s">
        <v>13661</v>
      </c>
      <c r="B12787" s="380" t="str">
        <f>IFERROR(__xludf.DUMMYFUNCTION("""COMPUTED_VALUE"""),"Banda Freno Trasero Frr Remachada")</f>
        <v>Banda Freno Trasero Frr Remachada</v>
      </c>
      <c r="C12787" s="380" t="str">
        <f>IFERROR(__xludf.DUMMYFUNCTION("""COMPUTED_VALUE"""),"70008256")</f>
        <v>70008256</v>
      </c>
      <c r="D12787" s="380" t="s">
        <v>767</v>
      </c>
      <c r="E12787" s="380" t="s">
        <v>786</v>
      </c>
      <c r="F12787" s="380" t="s">
        <v>1017</v>
      </c>
      <c r="G12787" s="380" t="s">
        <v>1267</v>
      </c>
      <c r="H12787" s="380" t="s">
        <v>771</v>
      </c>
      <c r="I12787" s="380" t="s">
        <v>788</v>
      </c>
      <c r="J12787" s="380" t="s">
        <v>773</v>
      </c>
      <c r="K12787" s="381">
        <v>64855.0</v>
      </c>
      <c r="L12787" s="382">
        <v>1.0</v>
      </c>
    </row>
    <row r="12788">
      <c r="A12788" s="380" t="s">
        <v>13662</v>
      </c>
      <c r="B12788" s="380" t="str">
        <f>IFERROR(__xludf.DUMMYFUNCTION("""COMPUTED_VALUE"""),"Alternador Nkr Reward 24v Reparado")</f>
        <v>Alternador Nkr Reward 24v Reparado</v>
      </c>
      <c r="C12788" s="380" t="str">
        <f>IFERROR(__xludf.DUMMYFUNCTION("""COMPUTED_VALUE"""),"70008257")</f>
        <v>70008257</v>
      </c>
      <c r="D12788" s="380" t="s">
        <v>767</v>
      </c>
      <c r="E12788" s="380" t="s">
        <v>786</v>
      </c>
      <c r="F12788" s="380" t="s">
        <v>998</v>
      </c>
      <c r="G12788" s="380" t="s">
        <v>1267</v>
      </c>
      <c r="H12788" s="380" t="s">
        <v>771</v>
      </c>
      <c r="I12788" s="380" t="s">
        <v>788</v>
      </c>
      <c r="J12788" s="380" t="s">
        <v>773</v>
      </c>
      <c r="K12788" s="381">
        <v>0.0</v>
      </c>
      <c r="L12788" s="382">
        <v>1.0</v>
      </c>
    </row>
    <row r="12789">
      <c r="A12789" s="380" t="s">
        <v>13663</v>
      </c>
      <c r="B12789" s="380" t="str">
        <f>IFERROR(__xludf.DUMMYFUNCTION("""COMPUTED_VALUE"""),"Motor Limpiabrisas Ixs Reparado")</f>
        <v>Motor Limpiabrisas Ixs Reparado</v>
      </c>
      <c r="C12789" s="380" t="str">
        <f>IFERROR(__xludf.DUMMYFUNCTION("""COMPUTED_VALUE"""),"70008258")</f>
        <v>70008258</v>
      </c>
      <c r="D12789" s="380" t="s">
        <v>767</v>
      </c>
      <c r="E12789" s="380" t="s">
        <v>786</v>
      </c>
      <c r="F12789" s="380" t="s">
        <v>998</v>
      </c>
      <c r="G12789" s="380" t="s">
        <v>1267</v>
      </c>
      <c r="H12789" s="380" t="s">
        <v>771</v>
      </c>
      <c r="I12789" s="380" t="s">
        <v>788</v>
      </c>
      <c r="J12789" s="380" t="s">
        <v>773</v>
      </c>
      <c r="K12789" s="381">
        <v>0.0</v>
      </c>
      <c r="L12789" s="382">
        <v>1.0</v>
      </c>
    </row>
    <row r="12790">
      <c r="A12790" s="380" t="s">
        <v>13664</v>
      </c>
      <c r="B12790" s="380" t="str">
        <f>IFERROR(__xludf.DUMMYFUNCTION("""COMPUTED_VALUE"""),"Culata Motcicleta Suzuki Dr650")</f>
        <v>Culata Motcicleta Suzuki Dr650</v>
      </c>
      <c r="C12790" s="380" t="str">
        <f>IFERROR(__xludf.DUMMYFUNCTION("""COMPUTED_VALUE"""),"70008259")</f>
        <v>70008259</v>
      </c>
      <c r="D12790" s="380" t="s">
        <v>767</v>
      </c>
      <c r="E12790" s="380" t="s">
        <v>786</v>
      </c>
      <c r="F12790" s="380" t="s">
        <v>787</v>
      </c>
      <c r="G12790" s="380" t="s">
        <v>1267</v>
      </c>
      <c r="H12790" s="380" t="s">
        <v>771</v>
      </c>
      <c r="I12790" s="380" t="s">
        <v>788</v>
      </c>
      <c r="J12790" s="380" t="s">
        <v>773</v>
      </c>
      <c r="K12790" s="381">
        <v>0.0</v>
      </c>
      <c r="L12790" s="382">
        <v>1.0</v>
      </c>
    </row>
    <row r="12791">
      <c r="A12791" s="380" t="s">
        <v>13665</v>
      </c>
      <c r="B12791" s="380" t="str">
        <f>IFERROR(__xludf.DUMMYFUNCTION("""COMPUTED_VALUE"""),"Caja Direccion Hca Nkr Rw Reparado")</f>
        <v>Caja Direccion Hca Nkr Rw Reparado</v>
      </c>
      <c r="C12791" s="380" t="str">
        <f>IFERROR(__xludf.DUMMYFUNCTION("""COMPUTED_VALUE"""),"70008260")</f>
        <v>70008260</v>
      </c>
      <c r="D12791" s="380" t="s">
        <v>767</v>
      </c>
      <c r="E12791" s="380" t="s">
        <v>786</v>
      </c>
      <c r="F12791" s="380" t="s">
        <v>1020</v>
      </c>
      <c r="G12791" s="380" t="s">
        <v>1267</v>
      </c>
      <c r="H12791" s="380" t="s">
        <v>771</v>
      </c>
      <c r="I12791" s="380" t="s">
        <v>788</v>
      </c>
      <c r="J12791" s="380" t="s">
        <v>773</v>
      </c>
      <c r="K12791" s="381">
        <v>0.0</v>
      </c>
      <c r="L12791" s="382">
        <v>1.0</v>
      </c>
    </row>
    <row r="12792">
      <c r="A12792" s="380" t="s">
        <v>13666</v>
      </c>
      <c r="B12792" s="380" t="str">
        <f>IFERROR(__xludf.DUMMYFUNCTION("""COMPUTED_VALUE"""),"Culata Nkr Reward Reparado")</f>
        <v>Culata Nkr Reward Reparado</v>
      </c>
      <c r="C12792" s="380" t="str">
        <f>IFERROR(__xludf.DUMMYFUNCTION("""COMPUTED_VALUE"""),"70008261")</f>
        <v>70008261</v>
      </c>
      <c r="D12792" s="380" t="s">
        <v>767</v>
      </c>
      <c r="E12792" s="380" t="s">
        <v>786</v>
      </c>
      <c r="F12792" s="380" t="s">
        <v>787</v>
      </c>
      <c r="G12792" s="380" t="s">
        <v>1267</v>
      </c>
      <c r="H12792" s="380" t="s">
        <v>771</v>
      </c>
      <c r="I12792" s="380" t="s">
        <v>788</v>
      </c>
      <c r="J12792" s="380" t="s">
        <v>773</v>
      </c>
      <c r="K12792" s="381">
        <v>0.0</v>
      </c>
      <c r="L12792" s="382">
        <v>1.0</v>
      </c>
    </row>
    <row r="12793">
      <c r="A12793" s="380" t="s">
        <v>13667</v>
      </c>
      <c r="B12793" s="380" t="str">
        <f>IFERROR(__xludf.DUMMYFUNCTION("""COMPUTED_VALUE"""),"Cremallera Elect Izq Der KW Reparado")</f>
        <v>Cremallera Elect Izq Der KW Reparado</v>
      </c>
      <c r="C12793" s="380" t="str">
        <f>IFERROR(__xludf.DUMMYFUNCTION("""COMPUTED_VALUE"""),"70008262")</f>
        <v>70008262</v>
      </c>
      <c r="D12793" s="380" t="s">
        <v>767</v>
      </c>
      <c r="E12793" s="380" t="s">
        <v>786</v>
      </c>
      <c r="F12793" s="380" t="s">
        <v>792</v>
      </c>
      <c r="G12793" s="380" t="s">
        <v>1267</v>
      </c>
      <c r="H12793" s="380" t="s">
        <v>771</v>
      </c>
      <c r="I12793" s="380" t="s">
        <v>788</v>
      </c>
      <c r="J12793" s="380" t="s">
        <v>773</v>
      </c>
      <c r="K12793" s="381">
        <v>416500.0</v>
      </c>
      <c r="L12793" s="382">
        <v>1.0</v>
      </c>
    </row>
    <row r="12794">
      <c r="A12794" s="380" t="s">
        <v>13668</v>
      </c>
      <c r="B12794" s="380" t="str">
        <f>IFERROR(__xludf.DUMMYFUNCTION("""COMPUTED_VALUE"""),"Bloque Motor N200 Reparado")</f>
        <v>Bloque Motor N200 Reparado</v>
      </c>
      <c r="C12794" s="380" t="str">
        <f>IFERROR(__xludf.DUMMYFUNCTION("""COMPUTED_VALUE"""),"70008263")</f>
        <v>70008263</v>
      </c>
      <c r="D12794" s="380" t="s">
        <v>767</v>
      </c>
      <c r="E12794" s="380" t="s">
        <v>786</v>
      </c>
      <c r="F12794" s="380" t="s">
        <v>787</v>
      </c>
      <c r="G12794" s="380" t="s">
        <v>1267</v>
      </c>
      <c r="H12794" s="380" t="s">
        <v>771</v>
      </c>
      <c r="I12794" s="380" t="s">
        <v>788</v>
      </c>
      <c r="J12794" s="380" t="s">
        <v>773</v>
      </c>
      <c r="K12794" s="381">
        <v>0.0</v>
      </c>
      <c r="L12794" s="382">
        <v>1.0</v>
      </c>
    </row>
    <row r="12795">
      <c r="A12795" s="380" t="s">
        <v>13669</v>
      </c>
      <c r="B12795" s="380" t="str">
        <f>IFERROR(__xludf.DUMMYFUNCTION("""COMPUTED_VALUE"""),"Culata Motor N200 Reparado")</f>
        <v>Culata Motor N200 Reparado</v>
      </c>
      <c r="C12795" s="380" t="str">
        <f>IFERROR(__xludf.DUMMYFUNCTION("""COMPUTED_VALUE"""),"70008264")</f>
        <v>70008264</v>
      </c>
      <c r="D12795" s="380" t="s">
        <v>767</v>
      </c>
      <c r="E12795" s="380" t="s">
        <v>786</v>
      </c>
      <c r="F12795" s="380" t="s">
        <v>787</v>
      </c>
      <c r="G12795" s="380" t="s">
        <v>1267</v>
      </c>
      <c r="H12795" s="380" t="s">
        <v>771</v>
      </c>
      <c r="I12795" s="380" t="s">
        <v>788</v>
      </c>
      <c r="J12795" s="380" t="s">
        <v>773</v>
      </c>
      <c r="K12795" s="381">
        <v>0.0</v>
      </c>
      <c r="L12795" s="382">
        <v>1.0</v>
      </c>
    </row>
    <row r="12796">
      <c r="A12796" s="380" t="s">
        <v>13670</v>
      </c>
      <c r="B12796" s="380" t="str">
        <f>IFERROR(__xludf.DUMMYFUNCTION("""COMPUTED_VALUE"""),"Bielas Motor N200 Reparado")</f>
        <v>Bielas Motor N200 Reparado</v>
      </c>
      <c r="C12796" s="380" t="str">
        <f>IFERROR(__xludf.DUMMYFUNCTION("""COMPUTED_VALUE"""),"70008265")</f>
        <v>70008265</v>
      </c>
      <c r="D12796" s="380" t="s">
        <v>767</v>
      </c>
      <c r="E12796" s="380" t="s">
        <v>786</v>
      </c>
      <c r="F12796" s="380" t="s">
        <v>787</v>
      </c>
      <c r="G12796" s="380" t="s">
        <v>1267</v>
      </c>
      <c r="H12796" s="380" t="s">
        <v>771</v>
      </c>
      <c r="I12796" s="380" t="s">
        <v>788</v>
      </c>
      <c r="J12796" s="380" t="s">
        <v>773</v>
      </c>
      <c r="K12796" s="381">
        <v>0.0</v>
      </c>
      <c r="L12796" s="382">
        <v>1.0</v>
      </c>
    </row>
    <row r="12797">
      <c r="A12797" s="380" t="s">
        <v>13671</v>
      </c>
      <c r="B12797" s="380" t="str">
        <f>IFERROR(__xludf.DUMMYFUNCTION("""COMPUTED_VALUE"""),"Cigüeñal Motor N200 Reparado")</f>
        <v>Cigüeñal Motor N200 Reparado</v>
      </c>
      <c r="C12797" s="380" t="str">
        <f>IFERROR(__xludf.DUMMYFUNCTION("""COMPUTED_VALUE"""),"70008266")</f>
        <v>70008266</v>
      </c>
      <c r="D12797" s="380" t="s">
        <v>767</v>
      </c>
      <c r="E12797" s="380" t="s">
        <v>786</v>
      </c>
      <c r="F12797" s="380" t="s">
        <v>787</v>
      </c>
      <c r="G12797" s="380" t="s">
        <v>1267</v>
      </c>
      <c r="H12797" s="380" t="s">
        <v>771</v>
      </c>
      <c r="I12797" s="380" t="s">
        <v>788</v>
      </c>
      <c r="J12797" s="380" t="s">
        <v>773</v>
      </c>
      <c r="K12797" s="381">
        <v>0.0</v>
      </c>
      <c r="L12797" s="382">
        <v>1.0</v>
      </c>
    </row>
    <row r="12798">
      <c r="A12798" s="380" t="s">
        <v>13672</v>
      </c>
      <c r="B12798" s="380" t="str">
        <f>IFERROR(__xludf.DUMMYFUNCTION("""COMPUTED_VALUE"""),"Manguera Hidrolavadora Recub Reparado")</f>
        <v>Manguera Hidrolavadora Recub Reparado</v>
      </c>
      <c r="C12798" s="380" t="str">
        <f>IFERROR(__xludf.DUMMYFUNCTION("""COMPUTED_VALUE"""),"70008267")</f>
        <v>70008267</v>
      </c>
      <c r="D12798" s="380" t="s">
        <v>767</v>
      </c>
      <c r="E12798" s="380" t="s">
        <v>786</v>
      </c>
      <c r="F12798" s="380" t="s">
        <v>989</v>
      </c>
      <c r="G12798" s="380" t="s">
        <v>1267</v>
      </c>
      <c r="H12798" s="380" t="s">
        <v>771</v>
      </c>
      <c r="I12798" s="380" t="s">
        <v>788</v>
      </c>
      <c r="J12798" s="380" t="s">
        <v>773</v>
      </c>
      <c r="K12798" s="381">
        <v>0.0</v>
      </c>
      <c r="L12798" s="382">
        <v>1.0</v>
      </c>
    </row>
    <row r="12799">
      <c r="A12799" s="380" t="s">
        <v>13673</v>
      </c>
      <c r="B12799" s="380" t="str">
        <f>IFERROR(__xludf.DUMMYFUNCTION("""COMPUTED_VALUE"""),"Posapie Moto Akt 3w180 2347601 23772211")</f>
        <v>Posapie Moto Akt 3w180 2347601 23772211</v>
      </c>
      <c r="C12799" s="380" t="str">
        <f>IFERROR(__xludf.DUMMYFUNCTION("""COMPUTED_VALUE"""),"70008268")</f>
        <v>70008268</v>
      </c>
      <c r="D12799" s="380" t="s">
        <v>767</v>
      </c>
      <c r="E12799" s="380" t="s">
        <v>786</v>
      </c>
      <c r="F12799" s="380" t="s">
        <v>792</v>
      </c>
      <c r="G12799" s="380" t="s">
        <v>1267</v>
      </c>
      <c r="H12799" s="380" t="s">
        <v>771</v>
      </c>
      <c r="I12799" s="380" t="s">
        <v>788</v>
      </c>
      <c r="J12799" s="380" t="s">
        <v>773</v>
      </c>
      <c r="K12799" s="381">
        <v>0.0</v>
      </c>
      <c r="L12799" s="382">
        <v>1.0</v>
      </c>
    </row>
    <row r="12800">
      <c r="A12800" s="380" t="s">
        <v>13674</v>
      </c>
      <c r="B12800" s="380" t="str">
        <f>IFERROR(__xludf.DUMMYFUNCTION("""COMPUTED_VALUE"""),"Medidor Aceite Moto Akt125 23881425")</f>
        <v>Medidor Aceite Moto Akt125 23881425</v>
      </c>
      <c r="C12800" s="380" t="str">
        <f>IFERROR(__xludf.DUMMYFUNCTION("""COMPUTED_VALUE"""),"70008269")</f>
        <v>70008269</v>
      </c>
      <c r="D12800" s="380" t="s">
        <v>767</v>
      </c>
      <c r="E12800" s="380" t="s">
        <v>786</v>
      </c>
      <c r="F12800" s="380" t="s">
        <v>792</v>
      </c>
      <c r="G12800" s="380" t="s">
        <v>1267</v>
      </c>
      <c r="H12800" s="380" t="s">
        <v>771</v>
      </c>
      <c r="I12800" s="380" t="s">
        <v>788</v>
      </c>
      <c r="J12800" s="380" t="s">
        <v>773</v>
      </c>
      <c r="K12800" s="381">
        <v>0.0</v>
      </c>
      <c r="L12800" s="382">
        <v>1.0</v>
      </c>
    </row>
    <row r="12801">
      <c r="A12801" s="380" t="s">
        <v>13675</v>
      </c>
      <c r="B12801" s="380" t="str">
        <f>IFERROR(__xludf.DUMMYFUNCTION("""COMPUTED_VALUE"""),"Pedal Cambios Moto Akt 200 23622592")</f>
        <v>Pedal Cambios Moto Akt 200 23622592</v>
      </c>
      <c r="C12801" s="380" t="str">
        <f>IFERROR(__xludf.DUMMYFUNCTION("""COMPUTED_VALUE"""),"70008270")</f>
        <v>70008270</v>
      </c>
      <c r="D12801" s="380" t="s">
        <v>767</v>
      </c>
      <c r="E12801" s="380" t="s">
        <v>786</v>
      </c>
      <c r="F12801" s="380" t="s">
        <v>1017</v>
      </c>
      <c r="G12801" s="380" t="s">
        <v>1267</v>
      </c>
      <c r="H12801" s="380" t="s">
        <v>771</v>
      </c>
      <c r="I12801" s="380" t="s">
        <v>788</v>
      </c>
      <c r="J12801" s="380" t="s">
        <v>773</v>
      </c>
      <c r="K12801" s="381">
        <v>0.0</v>
      </c>
      <c r="L12801" s="382">
        <v>1.0</v>
      </c>
    </row>
    <row r="12802">
      <c r="A12802" s="380" t="s">
        <v>13676</v>
      </c>
      <c r="B12802" s="380" t="str">
        <f>IFERROR(__xludf.DUMMYFUNCTION("""COMPUTED_VALUE"""),"Cabeza De Vaca Motor Isx Repar G - 14")</f>
        <v>Cabeza De Vaca Motor Isx Repar G - 14</v>
      </c>
      <c r="C12802" s="380" t="str">
        <f>IFERROR(__xludf.DUMMYFUNCTION("""COMPUTED_VALUE"""),"70008271")</f>
        <v>70008271</v>
      </c>
      <c r="D12802" s="380" t="s">
        <v>767</v>
      </c>
      <c r="E12802" s="380" t="s">
        <v>786</v>
      </c>
      <c r="F12802" s="380" t="s">
        <v>787</v>
      </c>
      <c r="G12802" s="380" t="s">
        <v>1267</v>
      </c>
      <c r="H12802" s="380" t="s">
        <v>771</v>
      </c>
      <c r="I12802" s="380" t="s">
        <v>788</v>
      </c>
      <c r="J12802" s="380" t="s">
        <v>773</v>
      </c>
      <c r="K12802" s="381">
        <v>0.0</v>
      </c>
      <c r="L12802" s="382">
        <v>1.0</v>
      </c>
    </row>
    <row r="12803">
      <c r="A12803" s="380" t="s">
        <v>13677</v>
      </c>
      <c r="B12803" s="380" t="str">
        <f>IFERROR(__xludf.DUMMYFUNCTION("""COMPUTED_VALUE"""),"Tapa Clutch Moto Akt 200 23909648")</f>
        <v>Tapa Clutch Moto Akt 200 23909648</v>
      </c>
      <c r="C12803" s="380" t="str">
        <f>IFERROR(__xludf.DUMMYFUNCTION("""COMPUTED_VALUE"""),"70008272")</f>
        <v>70008272</v>
      </c>
      <c r="D12803" s="380" t="s">
        <v>767</v>
      </c>
      <c r="E12803" s="380" t="s">
        <v>786</v>
      </c>
      <c r="F12803" s="380" t="s">
        <v>5683</v>
      </c>
      <c r="G12803" s="380" t="s">
        <v>1267</v>
      </c>
      <c r="H12803" s="380" t="s">
        <v>771</v>
      </c>
      <c r="I12803" s="380" t="s">
        <v>788</v>
      </c>
      <c r="J12803" s="380" t="s">
        <v>773</v>
      </c>
      <c r="K12803" s="381">
        <v>0.0</v>
      </c>
      <c r="L12803" s="382">
        <v>1.0</v>
      </c>
    </row>
    <row r="12804">
      <c r="A12804" s="380" t="s">
        <v>13678</v>
      </c>
      <c r="B12804" s="380" t="str">
        <f>IFERROR(__xludf.DUMMYFUNCTION("""COMPUTED_VALUE"""),"Filtro Gasolona Moto Akt100s 23459808")</f>
        <v>Filtro Gasolona Moto Akt100s 23459808</v>
      </c>
      <c r="C12804" s="380" t="str">
        <f>IFERROR(__xludf.DUMMYFUNCTION("""COMPUTED_VALUE"""),"70008273")</f>
        <v>70008273</v>
      </c>
      <c r="D12804" s="380" t="s">
        <v>767</v>
      </c>
      <c r="E12804" s="380" t="s">
        <v>786</v>
      </c>
      <c r="F12804" s="380" t="s">
        <v>5855</v>
      </c>
      <c r="G12804" s="380" t="s">
        <v>1267</v>
      </c>
      <c r="H12804" s="380" t="s">
        <v>771</v>
      </c>
      <c r="I12804" s="380" t="s">
        <v>788</v>
      </c>
      <c r="J12804" s="380" t="s">
        <v>773</v>
      </c>
      <c r="K12804" s="381">
        <v>0.0</v>
      </c>
      <c r="L12804" s="382">
        <v>1.0</v>
      </c>
    </row>
    <row r="12805">
      <c r="A12805" s="380" t="s">
        <v>13679</v>
      </c>
      <c r="B12805" s="380" t="str">
        <f>IFERROR(__xludf.DUMMYFUNCTION("""COMPUTED_VALUE"""),"Conector Carburador Akt 3w180 23459518")</f>
        <v>Conector Carburador Akt 3w180 23459518</v>
      </c>
      <c r="C12805" s="380" t="str">
        <f>IFERROR(__xludf.DUMMYFUNCTION("""COMPUTED_VALUE"""),"70008274")</f>
        <v>70008274</v>
      </c>
      <c r="D12805" s="380" t="s">
        <v>767</v>
      </c>
      <c r="E12805" s="380" t="s">
        <v>786</v>
      </c>
      <c r="F12805" s="380" t="s">
        <v>787</v>
      </c>
      <c r="G12805" s="380" t="s">
        <v>1267</v>
      </c>
      <c r="H12805" s="380" t="s">
        <v>771</v>
      </c>
      <c r="I12805" s="380" t="s">
        <v>788</v>
      </c>
      <c r="J12805" s="380" t="s">
        <v>773</v>
      </c>
      <c r="K12805" s="381">
        <v>0.0</v>
      </c>
      <c r="L12805" s="382">
        <v>1.0</v>
      </c>
    </row>
    <row r="12806">
      <c r="A12806" s="380" t="s">
        <v>13680</v>
      </c>
      <c r="B12806" s="380" t="str">
        <f>IFERROR(__xludf.DUMMYFUNCTION("""COMPUTED_VALUE"""),"Empaque Culata Motor Akt 3w180 23459952")</f>
        <v>Empaque Culata Motor Akt 3w180 23459952</v>
      </c>
      <c r="C12806" s="380" t="str">
        <f>IFERROR(__xludf.DUMMYFUNCTION("""COMPUTED_VALUE"""),"70008275")</f>
        <v>70008275</v>
      </c>
      <c r="D12806" s="380" t="s">
        <v>767</v>
      </c>
      <c r="E12806" s="380" t="s">
        <v>786</v>
      </c>
      <c r="F12806" s="380" t="s">
        <v>787</v>
      </c>
      <c r="G12806" s="380" t="s">
        <v>1267</v>
      </c>
      <c r="H12806" s="380" t="s">
        <v>771</v>
      </c>
      <c r="I12806" s="380" t="s">
        <v>788</v>
      </c>
      <c r="J12806" s="380" t="s">
        <v>773</v>
      </c>
      <c r="K12806" s="381">
        <v>0.0</v>
      </c>
      <c r="L12806" s="382">
        <v>1.0</v>
      </c>
    </row>
    <row r="12807">
      <c r="A12807" s="380" t="s">
        <v>13681</v>
      </c>
      <c r="B12807" s="380" t="str">
        <f>IFERROR(__xludf.DUMMYFUNCTION("""COMPUTED_VALUE"""),"Inyector Motor Nkr Redwar Reparado")</f>
        <v>Inyector Motor Nkr Redwar Reparado</v>
      </c>
      <c r="C12807" s="380" t="str">
        <f>IFERROR(__xludf.DUMMYFUNCTION("""COMPUTED_VALUE"""),"70008276")</f>
        <v>70008276</v>
      </c>
      <c r="D12807" s="380" t="s">
        <v>767</v>
      </c>
      <c r="E12807" s="380" t="s">
        <v>786</v>
      </c>
      <c r="F12807" s="380" t="s">
        <v>787</v>
      </c>
      <c r="G12807" s="380" t="s">
        <v>1267</v>
      </c>
      <c r="H12807" s="380" t="s">
        <v>771</v>
      </c>
      <c r="I12807" s="380" t="s">
        <v>788</v>
      </c>
      <c r="J12807" s="380" t="s">
        <v>773</v>
      </c>
      <c r="K12807" s="381">
        <v>0.0</v>
      </c>
      <c r="L12807" s="382">
        <v>1.0</v>
      </c>
    </row>
    <row r="12808">
      <c r="A12808" s="380" t="s">
        <v>13682</v>
      </c>
      <c r="B12808" s="380" t="str">
        <f>IFERROR(__xludf.DUMMYFUNCTION("""COMPUTED_VALUE"""),"Bujia Encendido Motor Akt 200")</f>
        <v>Bujia Encendido Motor Akt 200</v>
      </c>
      <c r="C12808" s="380" t="str">
        <f>IFERROR(__xludf.DUMMYFUNCTION("""COMPUTED_VALUE"""),"70008277")</f>
        <v>70008277</v>
      </c>
      <c r="D12808" s="380" t="s">
        <v>767</v>
      </c>
      <c r="E12808" s="380" t="s">
        <v>786</v>
      </c>
      <c r="F12808" s="380" t="s">
        <v>787</v>
      </c>
      <c r="G12808" s="380" t="s">
        <v>1267</v>
      </c>
      <c r="H12808" s="380" t="s">
        <v>771</v>
      </c>
      <c r="I12808" s="380" t="s">
        <v>788</v>
      </c>
      <c r="J12808" s="380" t="s">
        <v>773</v>
      </c>
      <c r="K12808" s="381">
        <v>0.0</v>
      </c>
      <c r="L12808" s="382">
        <v>1.0</v>
      </c>
    </row>
    <row r="12809">
      <c r="A12809" s="380" t="s">
        <v>13683</v>
      </c>
      <c r="B12809" s="380" t="str">
        <f>IFERROR(__xludf.DUMMYFUNCTION("""COMPUTED_VALUE"""),"Espuma Filtro Aire Motor Akt 200")</f>
        <v>Espuma Filtro Aire Motor Akt 200</v>
      </c>
      <c r="C12809" s="380" t="str">
        <f>IFERROR(__xludf.DUMMYFUNCTION("""COMPUTED_VALUE"""),"70008278")</f>
        <v>70008278</v>
      </c>
      <c r="D12809" s="380" t="s">
        <v>767</v>
      </c>
      <c r="E12809" s="380" t="s">
        <v>786</v>
      </c>
      <c r="F12809" s="380" t="s">
        <v>787</v>
      </c>
      <c r="G12809" s="380" t="s">
        <v>1267</v>
      </c>
      <c r="H12809" s="380" t="s">
        <v>771</v>
      </c>
      <c r="I12809" s="380" t="s">
        <v>788</v>
      </c>
      <c r="J12809" s="380" t="s">
        <v>773</v>
      </c>
      <c r="K12809" s="381">
        <v>0.0</v>
      </c>
      <c r="L12809" s="382">
        <v>1.0</v>
      </c>
    </row>
    <row r="12810">
      <c r="A12810" s="380" t="s">
        <v>13684</v>
      </c>
      <c r="B12810" s="380" t="str">
        <f>IFERROR(__xludf.DUMMYFUNCTION("""COMPUTED_VALUE"""),"Presa Cluth Akt 200")</f>
        <v>Presa Cluth Akt 200</v>
      </c>
      <c r="C12810" s="380" t="str">
        <f>IFERROR(__xludf.DUMMYFUNCTION("""COMPUTED_VALUE"""),"70008279")</f>
        <v>70008279</v>
      </c>
      <c r="D12810" s="380" t="s">
        <v>767</v>
      </c>
      <c r="E12810" s="380" t="s">
        <v>786</v>
      </c>
      <c r="F12810" s="380" t="s">
        <v>5661</v>
      </c>
      <c r="G12810" s="380" t="s">
        <v>1267</v>
      </c>
      <c r="H12810" s="380" t="s">
        <v>771</v>
      </c>
      <c r="I12810" s="380" t="s">
        <v>788</v>
      </c>
      <c r="J12810" s="380" t="s">
        <v>773</v>
      </c>
      <c r="K12810" s="381">
        <v>0.0</v>
      </c>
      <c r="L12810" s="382">
        <v>1.0</v>
      </c>
    </row>
    <row r="12811">
      <c r="A12811" s="380" t="s">
        <v>13685</v>
      </c>
      <c r="B12811" s="380" t="str">
        <f>IFERROR(__xludf.DUMMYFUNCTION("""COMPUTED_VALUE"""),"Bomba Freno Akt")</f>
        <v>Bomba Freno Akt</v>
      </c>
      <c r="C12811" s="380" t="str">
        <f>IFERROR(__xludf.DUMMYFUNCTION("""COMPUTED_VALUE"""),"70008280")</f>
        <v>70008280</v>
      </c>
      <c r="D12811" s="380" t="s">
        <v>767</v>
      </c>
      <c r="E12811" s="380" t="s">
        <v>786</v>
      </c>
      <c r="F12811" s="380" t="s">
        <v>1017</v>
      </c>
      <c r="G12811" s="380" t="s">
        <v>1267</v>
      </c>
      <c r="H12811" s="380" t="s">
        <v>771</v>
      </c>
      <c r="I12811" s="380" t="s">
        <v>788</v>
      </c>
      <c r="J12811" s="380" t="s">
        <v>773</v>
      </c>
      <c r="K12811" s="381">
        <v>0.0</v>
      </c>
      <c r="L12811" s="382">
        <v>1.0</v>
      </c>
    </row>
    <row r="12812">
      <c r="A12812" s="380" t="s">
        <v>13686</v>
      </c>
      <c r="B12812" s="380" t="str">
        <f>IFERROR(__xludf.DUMMYFUNCTION("""COMPUTED_VALUE"""),"Radiador Motor Hiunday Reparado")</f>
        <v>Radiador Motor Hiunday Reparado</v>
      </c>
      <c r="C12812" s="380" t="str">
        <f>IFERROR(__xludf.DUMMYFUNCTION("""COMPUTED_VALUE"""),"70008281")</f>
        <v>70008281</v>
      </c>
      <c r="D12812" s="380" t="s">
        <v>767</v>
      </c>
      <c r="E12812" s="380" t="s">
        <v>786</v>
      </c>
      <c r="F12812" s="380" t="s">
        <v>787</v>
      </c>
      <c r="G12812" s="380" t="s">
        <v>1267</v>
      </c>
      <c r="H12812" s="380" t="s">
        <v>771</v>
      </c>
      <c r="I12812" s="380" t="s">
        <v>788</v>
      </c>
      <c r="J12812" s="380" t="s">
        <v>773</v>
      </c>
      <c r="K12812" s="381">
        <v>0.0</v>
      </c>
      <c r="L12812" s="382">
        <v>1.0</v>
      </c>
    </row>
    <row r="12813">
      <c r="A12813" s="380" t="s">
        <v>13687</v>
      </c>
      <c r="B12813" s="380" t="str">
        <f>IFERROR(__xludf.DUMMYFUNCTION("""COMPUTED_VALUE"""),"Post Enfriador Aire Ftr Reparado")</f>
        <v>Post Enfriador Aire Ftr Reparado</v>
      </c>
      <c r="C12813" s="380" t="str">
        <f>IFERROR(__xludf.DUMMYFUNCTION("""COMPUTED_VALUE"""),"70008282")</f>
        <v>70008282</v>
      </c>
      <c r="D12813" s="380" t="s">
        <v>767</v>
      </c>
      <c r="E12813" s="380" t="s">
        <v>786</v>
      </c>
      <c r="F12813" s="380" t="s">
        <v>787</v>
      </c>
      <c r="G12813" s="380" t="s">
        <v>1267</v>
      </c>
      <c r="H12813" s="380" t="s">
        <v>771</v>
      </c>
      <c r="I12813" s="380" t="s">
        <v>788</v>
      </c>
      <c r="J12813" s="380" t="s">
        <v>773</v>
      </c>
      <c r="K12813" s="381">
        <v>0.0</v>
      </c>
      <c r="L12813" s="382">
        <v>1.0</v>
      </c>
    </row>
    <row r="12814">
      <c r="A12814" s="380" t="s">
        <v>13688</v>
      </c>
      <c r="B12814" s="380" t="str">
        <f>IFERROR(__xludf.DUMMYFUNCTION("""COMPUTED_VALUE"""),"Hausing Nhr Nkr Npr Reparado")</f>
        <v>Hausing Nhr Nkr Npr Reparado</v>
      </c>
      <c r="C12814" s="380" t="str">
        <f>IFERROR(__xludf.DUMMYFUNCTION("""COMPUTED_VALUE"""),"70008283")</f>
        <v>70008283</v>
      </c>
      <c r="D12814" s="380" t="s">
        <v>767</v>
      </c>
      <c r="E12814" s="380" t="s">
        <v>786</v>
      </c>
      <c r="F12814" s="380" t="s">
        <v>792</v>
      </c>
      <c r="G12814" s="380" t="s">
        <v>1267</v>
      </c>
      <c r="H12814" s="380" t="s">
        <v>771</v>
      </c>
      <c r="I12814" s="380" t="s">
        <v>788</v>
      </c>
      <c r="J12814" s="380" t="s">
        <v>773</v>
      </c>
      <c r="K12814" s="381">
        <v>0.0</v>
      </c>
      <c r="L12814" s="382">
        <v>1.0</v>
      </c>
    </row>
    <row r="12815">
      <c r="A12815" s="380" t="s">
        <v>13689</v>
      </c>
      <c r="B12815" s="380" t="str">
        <f>IFERROR(__xludf.DUMMYFUNCTION("""COMPUTED_VALUE"""),"Culata Xr 200 Honda")</f>
        <v>Culata Xr 200 Honda</v>
      </c>
      <c r="C12815" s="380" t="str">
        <f>IFERROR(__xludf.DUMMYFUNCTION("""COMPUTED_VALUE"""),"70008284")</f>
        <v>70008284</v>
      </c>
      <c r="D12815" s="380" t="s">
        <v>767</v>
      </c>
      <c r="E12815" s="380" t="s">
        <v>786</v>
      </c>
      <c r="F12815" s="380" t="s">
        <v>787</v>
      </c>
      <c r="G12815" s="380" t="s">
        <v>1267</v>
      </c>
      <c r="H12815" s="380" t="s">
        <v>771</v>
      </c>
      <c r="I12815" s="380" t="s">
        <v>788</v>
      </c>
      <c r="J12815" s="380" t="s">
        <v>773</v>
      </c>
      <c r="K12815" s="381">
        <v>0.0</v>
      </c>
      <c r="L12815" s="382">
        <v>1.0</v>
      </c>
    </row>
    <row r="12816">
      <c r="A12816" s="380" t="s">
        <v>13690</v>
      </c>
      <c r="B12816" s="380" t="str">
        <f>IFERROR(__xludf.DUMMYFUNCTION("""COMPUTED_VALUE"""),"Culata Motor Van N200 Reparada")</f>
        <v>Culata Motor Van N200 Reparada</v>
      </c>
      <c r="C12816" s="380" t="str">
        <f>IFERROR(__xludf.DUMMYFUNCTION("""COMPUTED_VALUE"""),"70008285")</f>
        <v>70008285</v>
      </c>
      <c r="D12816" s="380" t="s">
        <v>767</v>
      </c>
      <c r="E12816" s="380" t="s">
        <v>786</v>
      </c>
      <c r="F12816" s="380" t="s">
        <v>787</v>
      </c>
      <c r="G12816" s="380" t="s">
        <v>1267</v>
      </c>
      <c r="H12816" s="380" t="s">
        <v>771</v>
      </c>
      <c r="I12816" s="380" t="s">
        <v>788</v>
      </c>
      <c r="J12816" s="380" t="s">
        <v>773</v>
      </c>
      <c r="K12816" s="381">
        <v>0.0</v>
      </c>
      <c r="L12816" s="382">
        <v>1.0</v>
      </c>
    </row>
    <row r="12817">
      <c r="A12817" s="380" t="s">
        <v>13691</v>
      </c>
      <c r="B12817" s="380" t="str">
        <f>IFERROR(__xludf.DUMMYFUNCTION("""COMPUTED_VALUE"""),"Troq Troque Delantero T. Delta Reparado")</f>
        <v>Troq Troque Delantero T. Delta Reparado</v>
      </c>
      <c r="C12817" s="380" t="str">
        <f>IFERROR(__xludf.DUMMYFUNCTION("""COMPUTED_VALUE"""),"70008286")</f>
        <v>70008286</v>
      </c>
      <c r="D12817" s="380" t="s">
        <v>767</v>
      </c>
      <c r="E12817" s="380" t="s">
        <v>786</v>
      </c>
      <c r="F12817" s="380" t="s">
        <v>1039</v>
      </c>
      <c r="G12817" s="380" t="s">
        <v>1267</v>
      </c>
      <c r="H12817" s="380" t="s">
        <v>771</v>
      </c>
      <c r="I12817" s="380" t="s">
        <v>788</v>
      </c>
      <c r="J12817" s="380" t="s">
        <v>773</v>
      </c>
      <c r="K12817" s="381">
        <v>0.0</v>
      </c>
      <c r="L12817" s="382">
        <v>1.0</v>
      </c>
    </row>
    <row r="12818">
      <c r="A12818" s="380" t="s">
        <v>13692</v>
      </c>
      <c r="B12818" s="380" t="str">
        <f>IFERROR(__xludf.DUMMYFUNCTION("""COMPUTED_VALUE"""),"Motor Arranque Hi Reparado Delco Remy")</f>
        <v>Motor Arranque Hi Reparado Delco Remy</v>
      </c>
      <c r="C12818" s="380" t="str">
        <f>IFERROR(__xludf.DUMMYFUNCTION("""COMPUTED_VALUE"""),"70008287")</f>
        <v>70008287</v>
      </c>
      <c r="D12818" s="380" t="s">
        <v>767</v>
      </c>
      <c r="E12818" s="380" t="s">
        <v>786</v>
      </c>
      <c r="F12818" s="380" t="s">
        <v>998</v>
      </c>
      <c r="G12818" s="380" t="s">
        <v>1267</v>
      </c>
      <c r="H12818" s="380" t="s">
        <v>771</v>
      </c>
      <c r="I12818" s="380" t="s">
        <v>788</v>
      </c>
      <c r="J12818" s="380" t="s">
        <v>773</v>
      </c>
      <c r="K12818" s="381">
        <v>0.0</v>
      </c>
      <c r="L12818" s="382">
        <v>1.0</v>
      </c>
    </row>
    <row r="12819">
      <c r="A12819" s="380" t="s">
        <v>13693</v>
      </c>
      <c r="B12819" s="380" t="str">
        <f>IFERROR(__xludf.DUMMYFUNCTION("""COMPUTED_VALUE"""),"Motor Arranque Mack Reparado")</f>
        <v>Motor Arranque Mack Reparado</v>
      </c>
      <c r="C12819" s="380" t="str">
        <f>IFERROR(__xludf.DUMMYFUNCTION("""COMPUTED_VALUE"""),"70008288")</f>
        <v>70008288</v>
      </c>
      <c r="D12819" s="380" t="s">
        <v>767</v>
      </c>
      <c r="E12819" s="380" t="s">
        <v>786</v>
      </c>
      <c r="F12819" s="380" t="s">
        <v>998</v>
      </c>
      <c r="G12819" s="380" t="s">
        <v>1267</v>
      </c>
      <c r="H12819" s="380" t="s">
        <v>771</v>
      </c>
      <c r="I12819" s="380" t="s">
        <v>788</v>
      </c>
      <c r="J12819" s="380" t="s">
        <v>773</v>
      </c>
      <c r="K12819" s="381">
        <v>0.0</v>
      </c>
      <c r="L12819" s="382">
        <v>1.0</v>
      </c>
    </row>
    <row r="12820">
      <c r="A12820" s="380" t="s">
        <v>13694</v>
      </c>
      <c r="B12820" s="380" t="str">
        <f>IFERROR(__xludf.DUMMYFUNCTION("""COMPUTED_VALUE"""),"Motor Arranque 42mt Eagle Reparado")</f>
        <v>Motor Arranque 42mt Eagle Reparado</v>
      </c>
      <c r="C12820" s="380" t="str">
        <f>IFERROR(__xludf.DUMMYFUNCTION("""COMPUTED_VALUE"""),"70008289")</f>
        <v>70008289</v>
      </c>
      <c r="D12820" s="380" t="s">
        <v>767</v>
      </c>
      <c r="E12820" s="380" t="s">
        <v>786</v>
      </c>
      <c r="F12820" s="380" t="s">
        <v>998</v>
      </c>
      <c r="G12820" s="380" t="s">
        <v>1267</v>
      </c>
      <c r="H12820" s="380" t="s">
        <v>771</v>
      </c>
      <c r="I12820" s="380" t="s">
        <v>788</v>
      </c>
      <c r="J12820" s="380" t="s">
        <v>773</v>
      </c>
      <c r="K12820" s="381">
        <v>0.0</v>
      </c>
      <c r="L12820" s="382">
        <v>1.0</v>
      </c>
    </row>
    <row r="12821">
      <c r="A12821" s="380" t="s">
        <v>13695</v>
      </c>
      <c r="B12821" s="380" t="str">
        <f>IFERROR(__xludf.DUMMYFUNCTION("""COMPUTED_VALUE"""),"Motor De Arranque Frr Reparado")</f>
        <v>Motor De Arranque Frr Reparado</v>
      </c>
      <c r="C12821" s="380" t="str">
        <f>IFERROR(__xludf.DUMMYFUNCTION("""COMPUTED_VALUE"""),"70008290")</f>
        <v>70008290</v>
      </c>
      <c r="D12821" s="380" t="s">
        <v>767</v>
      </c>
      <c r="E12821" s="380" t="s">
        <v>786</v>
      </c>
      <c r="F12821" s="380" t="s">
        <v>998</v>
      </c>
      <c r="G12821" s="380" t="s">
        <v>1267</v>
      </c>
      <c r="H12821" s="380" t="s">
        <v>771</v>
      </c>
      <c r="I12821" s="380" t="s">
        <v>788</v>
      </c>
      <c r="J12821" s="380" t="s">
        <v>773</v>
      </c>
      <c r="K12821" s="381">
        <v>0.0</v>
      </c>
      <c r="L12821" s="382">
        <v>1.0</v>
      </c>
    </row>
    <row r="12822">
      <c r="A12822" s="380" t="s">
        <v>13696</v>
      </c>
      <c r="B12822" s="380" t="str">
        <f>IFERROR(__xludf.DUMMYFUNCTION("""COMPUTED_VALUE"""),"Bomba Agua Motor Reward Reparado")</f>
        <v>Bomba Agua Motor Reward Reparado</v>
      </c>
      <c r="C12822" s="380" t="str">
        <f>IFERROR(__xludf.DUMMYFUNCTION("""COMPUTED_VALUE"""),"70008291")</f>
        <v>70008291</v>
      </c>
      <c r="D12822" s="380" t="s">
        <v>767</v>
      </c>
      <c r="E12822" s="380" t="s">
        <v>786</v>
      </c>
      <c r="F12822" s="380" t="s">
        <v>787</v>
      </c>
      <c r="G12822" s="380" t="s">
        <v>1267</v>
      </c>
      <c r="H12822" s="380" t="s">
        <v>771</v>
      </c>
      <c r="I12822" s="380" t="s">
        <v>788</v>
      </c>
      <c r="J12822" s="380" t="s">
        <v>773</v>
      </c>
      <c r="K12822" s="381">
        <v>200417.0</v>
      </c>
      <c r="L12822" s="382">
        <v>1.0</v>
      </c>
    </row>
    <row r="12823">
      <c r="A12823" s="380" t="s">
        <v>13697</v>
      </c>
      <c r="B12823" s="380" t="str">
        <f>IFERROR(__xludf.DUMMYFUNCTION("""COMPUTED_VALUE"""),"Compresor Aire Kenworth Reparado")</f>
        <v>Compresor Aire Kenworth Reparado</v>
      </c>
      <c r="C12823" s="380" t="str">
        <f>IFERROR(__xludf.DUMMYFUNCTION("""COMPUTED_VALUE"""),"70008292")</f>
        <v>70008292</v>
      </c>
      <c r="D12823" s="380" t="s">
        <v>767</v>
      </c>
      <c r="E12823" s="380" t="s">
        <v>786</v>
      </c>
      <c r="F12823" s="380" t="s">
        <v>787</v>
      </c>
      <c r="G12823" s="380" t="s">
        <v>1267</v>
      </c>
      <c r="H12823" s="380" t="s">
        <v>771</v>
      </c>
      <c r="I12823" s="380" t="s">
        <v>788</v>
      </c>
      <c r="J12823" s="380" t="s">
        <v>773</v>
      </c>
      <c r="K12823" s="381">
        <v>0.0</v>
      </c>
      <c r="L12823" s="382">
        <v>1.0</v>
      </c>
    </row>
    <row r="12824">
      <c r="A12824" s="380" t="s">
        <v>13698</v>
      </c>
      <c r="B12824" s="380" t="str">
        <f>IFERROR(__xludf.DUMMYFUNCTION("""COMPUTED_VALUE"""),"Piñon C Piñon Conducido Arranque Akt 200")</f>
        <v>Piñon C Piñon Conducido Arranque Akt 200</v>
      </c>
      <c r="C12824" s="380" t="str">
        <f>IFERROR(__xludf.DUMMYFUNCTION("""COMPUTED_VALUE"""),"70008293")</f>
        <v>70008293</v>
      </c>
      <c r="D12824" s="380" t="s">
        <v>767</v>
      </c>
      <c r="E12824" s="380" t="s">
        <v>786</v>
      </c>
      <c r="F12824" s="380" t="s">
        <v>5683</v>
      </c>
      <c r="G12824" s="380" t="s">
        <v>1267</v>
      </c>
      <c r="H12824" s="380" t="s">
        <v>771</v>
      </c>
      <c r="I12824" s="380" t="s">
        <v>788</v>
      </c>
      <c r="J12824" s="380" t="s">
        <v>773</v>
      </c>
      <c r="K12824" s="381">
        <v>0.0</v>
      </c>
      <c r="L12824" s="382">
        <v>1.0</v>
      </c>
    </row>
    <row r="12825">
      <c r="A12825" s="380" t="s">
        <v>13699</v>
      </c>
      <c r="B12825" s="380" t="str">
        <f>IFERROR(__xludf.DUMMYFUNCTION("""COMPUTED_VALUE"""),"Piño Piñon Velocimetro Suzuki 5460005d00")</f>
        <v>Piño Piñon Velocimetro Suzuki 5460005d00</v>
      </c>
      <c r="C12825" s="380" t="str">
        <f>IFERROR(__xludf.DUMMYFUNCTION("""COMPUTED_VALUE"""),"70008294")</f>
        <v>70008294</v>
      </c>
      <c r="D12825" s="380" t="s">
        <v>767</v>
      </c>
      <c r="E12825" s="380" t="s">
        <v>786</v>
      </c>
      <c r="F12825" s="380" t="s">
        <v>928</v>
      </c>
      <c r="G12825" s="380" t="s">
        <v>1267</v>
      </c>
      <c r="H12825" s="380" t="s">
        <v>771</v>
      </c>
      <c r="I12825" s="380" t="s">
        <v>788</v>
      </c>
      <c r="J12825" s="380" t="s">
        <v>773</v>
      </c>
      <c r="K12825" s="381">
        <v>0.0</v>
      </c>
      <c r="L12825" s="382">
        <v>1.0</v>
      </c>
    </row>
    <row r="12826">
      <c r="A12826" s="380" t="s">
        <v>13700</v>
      </c>
      <c r="B12826" s="380" t="str">
        <f>IFERROR(__xludf.DUMMYFUNCTION("""COMPUTED_VALUE"""),"Bomper Delantero Isx Reparado")</f>
        <v>Bomper Delantero Isx Reparado</v>
      </c>
      <c r="C12826" s="380" t="str">
        <f>IFERROR(__xludf.DUMMYFUNCTION("""COMPUTED_VALUE"""),"70008295")</f>
        <v>70008295</v>
      </c>
      <c r="D12826" s="380" t="s">
        <v>767</v>
      </c>
      <c r="E12826" s="380" t="s">
        <v>786</v>
      </c>
      <c r="F12826" s="380" t="s">
        <v>792</v>
      </c>
      <c r="G12826" s="380" t="s">
        <v>1267</v>
      </c>
      <c r="H12826" s="380" t="s">
        <v>771</v>
      </c>
      <c r="I12826" s="380" t="s">
        <v>788</v>
      </c>
      <c r="J12826" s="380" t="s">
        <v>773</v>
      </c>
      <c r="K12826" s="381">
        <v>0.0</v>
      </c>
      <c r="L12826" s="382">
        <v>1.0</v>
      </c>
    </row>
    <row r="12827">
      <c r="A12827" s="380" t="s">
        <v>13701</v>
      </c>
      <c r="B12827" s="380" t="str">
        <f>IFERROR(__xludf.DUMMYFUNCTION("""COMPUTED_VALUE"""),"Cojin Conductor Y Ayudante Hino Reparado")</f>
        <v>Cojin Conductor Y Ayudante Hino Reparado</v>
      </c>
      <c r="C12827" s="380" t="str">
        <f>IFERROR(__xludf.DUMMYFUNCTION("""COMPUTED_VALUE"""),"70008296")</f>
        <v>70008296</v>
      </c>
      <c r="D12827" s="380" t="s">
        <v>767</v>
      </c>
      <c r="E12827" s="380" t="s">
        <v>786</v>
      </c>
      <c r="F12827" s="380" t="s">
        <v>792</v>
      </c>
      <c r="G12827" s="380" t="s">
        <v>1267</v>
      </c>
      <c r="H12827" s="380" t="s">
        <v>771</v>
      </c>
      <c r="I12827" s="380" t="s">
        <v>788</v>
      </c>
      <c r="J12827" s="380" t="s">
        <v>773</v>
      </c>
      <c r="K12827" s="381">
        <v>0.0</v>
      </c>
      <c r="L12827" s="382">
        <v>1.0</v>
      </c>
    </row>
    <row r="12828">
      <c r="A12828" s="380" t="s">
        <v>13702</v>
      </c>
      <c r="B12828" s="380" t="str">
        <f>IFERROR(__xludf.DUMMYFUNCTION("""COMPUTED_VALUE"""),"Banda Portacontenedor Remach. 4718 Rom.")</f>
        <v>Banda Portacontenedor Remach. 4718 Rom.</v>
      </c>
      <c r="C12828" s="380" t="str">
        <f>IFERROR(__xludf.DUMMYFUNCTION("""COMPUTED_VALUE"""),"70008297")</f>
        <v>70008297</v>
      </c>
      <c r="D12828" s="380" t="s">
        <v>767</v>
      </c>
      <c r="E12828" s="380" t="s">
        <v>786</v>
      </c>
      <c r="F12828" s="380" t="s">
        <v>1017</v>
      </c>
      <c r="G12828" s="380" t="s">
        <v>1267</v>
      </c>
      <c r="H12828" s="380" t="s">
        <v>771</v>
      </c>
      <c r="I12828" s="380" t="s">
        <v>788</v>
      </c>
      <c r="J12828" s="380" t="s">
        <v>773</v>
      </c>
      <c r="K12828" s="381">
        <v>0.0</v>
      </c>
      <c r="L12828" s="382">
        <v>1.0</v>
      </c>
    </row>
    <row r="12829">
      <c r="A12829" s="380" t="s">
        <v>13703</v>
      </c>
      <c r="B12829" s="380" t="str">
        <f>IFERROR(__xludf.DUMMYFUNCTION("""COMPUTED_VALUE"""),"Manguera Acoplada Varias A/C Reparado")</f>
        <v>Manguera Acoplada Varias A/C Reparado</v>
      </c>
      <c r="C12829" s="380" t="str">
        <f>IFERROR(__xludf.DUMMYFUNCTION("""COMPUTED_VALUE"""),"70008298")</f>
        <v>70008298</v>
      </c>
      <c r="D12829" s="380" t="s">
        <v>767</v>
      </c>
      <c r="E12829" s="380" t="s">
        <v>786</v>
      </c>
      <c r="F12829" s="380" t="s">
        <v>787</v>
      </c>
      <c r="G12829" s="380" t="s">
        <v>1267</v>
      </c>
      <c r="H12829" s="380" t="s">
        <v>771</v>
      </c>
      <c r="I12829" s="380" t="s">
        <v>788</v>
      </c>
      <c r="J12829" s="380" t="s">
        <v>773</v>
      </c>
      <c r="K12829" s="381">
        <v>342216.0</v>
      </c>
      <c r="L12829" s="382">
        <v>1.0</v>
      </c>
    </row>
    <row r="12830">
      <c r="A12830" s="380" t="s">
        <v>13704</v>
      </c>
      <c r="B12830" s="380" t="str">
        <f>IFERROR(__xludf.DUMMYFUNCTION("""COMPUTED_VALUE"""),"Cr Cremallera Elevavidrio Delta Reparado")</f>
        <v>Cr Cremallera Elevavidrio Delta Reparado</v>
      </c>
      <c r="C12830" s="380" t="str">
        <f>IFERROR(__xludf.DUMMYFUNCTION("""COMPUTED_VALUE"""),"70008299")</f>
        <v>70008299</v>
      </c>
      <c r="D12830" s="380" t="s">
        <v>767</v>
      </c>
      <c r="E12830" s="380" t="s">
        <v>786</v>
      </c>
      <c r="F12830" s="380" t="s">
        <v>792</v>
      </c>
      <c r="G12830" s="380" t="s">
        <v>1267</v>
      </c>
      <c r="H12830" s="380" t="s">
        <v>771</v>
      </c>
      <c r="I12830" s="380" t="s">
        <v>788</v>
      </c>
      <c r="J12830" s="380" t="s">
        <v>773</v>
      </c>
      <c r="K12830" s="381">
        <v>0.0</v>
      </c>
      <c r="L12830" s="382">
        <v>1.0</v>
      </c>
    </row>
    <row r="12831">
      <c r="A12831" s="380" t="s">
        <v>13705</v>
      </c>
      <c r="B12831" s="380" t="str">
        <f>IFERROR(__xludf.DUMMYFUNCTION("""COMPUTED_VALUE"""),"Cardan Reparado Varios")</f>
        <v>Cardan Reparado Varios</v>
      </c>
      <c r="C12831" s="380" t="str">
        <f>IFERROR(__xludf.DUMMYFUNCTION("""COMPUTED_VALUE"""),"70008300")</f>
        <v>70008300</v>
      </c>
      <c r="D12831" s="380" t="s">
        <v>767</v>
      </c>
      <c r="E12831" s="380" t="s">
        <v>786</v>
      </c>
      <c r="F12831" s="380" t="s">
        <v>5683</v>
      </c>
      <c r="G12831" s="380" t="s">
        <v>1267</v>
      </c>
      <c r="H12831" s="380" t="s">
        <v>771</v>
      </c>
      <c r="I12831" s="380" t="s">
        <v>788</v>
      </c>
      <c r="J12831" s="380" t="s">
        <v>773</v>
      </c>
      <c r="K12831" s="381">
        <v>0.0</v>
      </c>
      <c r="L12831" s="382">
        <v>1.0</v>
      </c>
    </row>
    <row r="12832">
      <c r="A12832" s="380" t="s">
        <v>13706</v>
      </c>
      <c r="B12832" s="380" t="str">
        <f>IFERROR(__xludf.DUMMYFUNCTION("""COMPUTED_VALUE"""),"Suspensión Delantera Akt 200")</f>
        <v>Suspensión Delantera Akt 200</v>
      </c>
      <c r="C12832" s="380" t="str">
        <f>IFERROR(__xludf.DUMMYFUNCTION("""COMPUTED_VALUE"""),"70008301")</f>
        <v>70008301</v>
      </c>
      <c r="D12832" s="380" t="s">
        <v>767</v>
      </c>
      <c r="E12832" s="380" t="s">
        <v>786</v>
      </c>
      <c r="F12832" s="380" t="s">
        <v>1039</v>
      </c>
      <c r="G12832" s="380" t="s">
        <v>1267</v>
      </c>
      <c r="H12832" s="380" t="s">
        <v>771</v>
      </c>
      <c r="I12832" s="380" t="s">
        <v>788</v>
      </c>
      <c r="J12832" s="380" t="s">
        <v>773</v>
      </c>
      <c r="K12832" s="381">
        <v>0.0</v>
      </c>
      <c r="L12832" s="382">
        <v>1.0</v>
      </c>
    </row>
    <row r="12833">
      <c r="A12833" s="380" t="s">
        <v>13707</v>
      </c>
      <c r="B12833" s="380" t="str">
        <f>IFERROR(__xludf.DUMMYFUNCTION("""COMPUTED_VALUE"""),"Carter Varios Reparado")</f>
        <v>Carter Varios Reparado</v>
      </c>
      <c r="C12833" s="380" t="str">
        <f>IFERROR(__xludf.DUMMYFUNCTION("""COMPUTED_VALUE"""),"70008302")</f>
        <v>70008302</v>
      </c>
      <c r="D12833" s="380" t="s">
        <v>767</v>
      </c>
      <c r="E12833" s="380" t="s">
        <v>786</v>
      </c>
      <c r="F12833" s="380" t="s">
        <v>787</v>
      </c>
      <c r="G12833" s="380" t="s">
        <v>1267</v>
      </c>
      <c r="H12833" s="380" t="s">
        <v>771</v>
      </c>
      <c r="I12833" s="380" t="s">
        <v>788</v>
      </c>
      <c r="J12833" s="380" t="s">
        <v>773</v>
      </c>
      <c r="K12833" s="381">
        <v>0.0</v>
      </c>
      <c r="L12833" s="382">
        <v>1.0</v>
      </c>
    </row>
    <row r="12834">
      <c r="A12834" s="380" t="s">
        <v>13708</v>
      </c>
      <c r="B12834" s="380" t="str">
        <f>IFERROR(__xludf.DUMMYFUNCTION("""COMPUTED_VALUE"""),"Rodamiento Cigüeñal Akt 200")</f>
        <v>Rodamiento Cigüeñal Akt 200</v>
      </c>
      <c r="C12834" s="380" t="str">
        <f>IFERROR(__xludf.DUMMYFUNCTION("""COMPUTED_VALUE"""),"70008303")</f>
        <v>70008303</v>
      </c>
      <c r="D12834" s="380" t="s">
        <v>767</v>
      </c>
      <c r="E12834" s="380" t="s">
        <v>786</v>
      </c>
      <c r="F12834" s="380" t="s">
        <v>787</v>
      </c>
      <c r="G12834" s="380" t="s">
        <v>1267</v>
      </c>
      <c r="H12834" s="380" t="s">
        <v>771</v>
      </c>
      <c r="I12834" s="380" t="s">
        <v>788</v>
      </c>
      <c r="J12834" s="380" t="s">
        <v>773</v>
      </c>
      <c r="K12834" s="381">
        <v>0.0</v>
      </c>
      <c r="L12834" s="382">
        <v>1.0</v>
      </c>
    </row>
    <row r="12835">
      <c r="A12835" s="380" t="s">
        <v>13709</v>
      </c>
      <c r="B12835" s="380" t="str">
        <f>IFERROR(__xludf.DUMMYFUNCTION("""COMPUTED_VALUE"""),"Valvula Escape Motor Akt 200")</f>
        <v>Valvula Escape Motor Akt 200</v>
      </c>
      <c r="C12835" s="380" t="str">
        <f>IFERROR(__xludf.DUMMYFUNCTION("""COMPUTED_VALUE"""),"70008304")</f>
        <v>70008304</v>
      </c>
      <c r="D12835" s="380" t="s">
        <v>767</v>
      </c>
      <c r="E12835" s="380" t="s">
        <v>786</v>
      </c>
      <c r="F12835" s="380" t="s">
        <v>787</v>
      </c>
      <c r="G12835" s="380" t="s">
        <v>1267</v>
      </c>
      <c r="H12835" s="380" t="s">
        <v>771</v>
      </c>
      <c r="I12835" s="380" t="s">
        <v>788</v>
      </c>
      <c r="J12835" s="380" t="s">
        <v>773</v>
      </c>
      <c r="K12835" s="381">
        <v>0.0</v>
      </c>
      <c r="L12835" s="382">
        <v>1.0</v>
      </c>
    </row>
    <row r="12836">
      <c r="A12836" s="380" t="s">
        <v>13710</v>
      </c>
      <c r="B12836" s="380" t="str">
        <f>IFERROR(__xludf.DUMMYFUNCTION("""COMPUTED_VALUE"""),"Bomba Lubricacion Motor Akt 200")</f>
        <v>Bomba Lubricacion Motor Akt 200</v>
      </c>
      <c r="C12836" s="380" t="str">
        <f>IFERROR(__xludf.DUMMYFUNCTION("""COMPUTED_VALUE"""),"70008305")</f>
        <v>70008305</v>
      </c>
      <c r="D12836" s="380" t="s">
        <v>767</v>
      </c>
      <c r="E12836" s="380" t="s">
        <v>786</v>
      </c>
      <c r="F12836" s="380" t="s">
        <v>787</v>
      </c>
      <c r="G12836" s="380" t="s">
        <v>1267</v>
      </c>
      <c r="H12836" s="380" t="s">
        <v>771</v>
      </c>
      <c r="I12836" s="380" t="s">
        <v>788</v>
      </c>
      <c r="J12836" s="380" t="s">
        <v>773</v>
      </c>
      <c r="K12836" s="381">
        <v>0.0</v>
      </c>
      <c r="L12836" s="382">
        <v>1.0</v>
      </c>
    </row>
    <row r="12837">
      <c r="A12837" s="380" t="s">
        <v>13711</v>
      </c>
      <c r="B12837" s="380" t="str">
        <f>IFERROR(__xludf.DUMMYFUNCTION("""COMPUTED_VALUE"""),"Sistema Electrico Akt125sl")</f>
        <v>Sistema Electrico Akt125sl</v>
      </c>
      <c r="C12837" s="380" t="str">
        <f>IFERROR(__xludf.DUMMYFUNCTION("""COMPUTED_VALUE"""),"70008306")</f>
        <v>70008306</v>
      </c>
      <c r="D12837" s="380" t="s">
        <v>767</v>
      </c>
      <c r="E12837" s="380" t="s">
        <v>786</v>
      </c>
      <c r="F12837" s="380" t="s">
        <v>998</v>
      </c>
      <c r="G12837" s="380" t="s">
        <v>1267</v>
      </c>
      <c r="H12837" s="380" t="s">
        <v>771</v>
      </c>
      <c r="I12837" s="380" t="s">
        <v>788</v>
      </c>
      <c r="J12837" s="380" t="s">
        <v>773</v>
      </c>
      <c r="K12837" s="381">
        <v>76947.0</v>
      </c>
      <c r="L12837" s="382">
        <v>1.0</v>
      </c>
    </row>
    <row r="12838">
      <c r="A12838" s="380" t="s">
        <v>13712</v>
      </c>
      <c r="B12838" s="380" t="str">
        <f>IFERROR(__xludf.DUMMYFUNCTION("""COMPUTED_VALUE"""),"Filtro Aceite Motor Akt 3w180 14210me130")</f>
        <v>Filtro Aceite Motor Akt 3w180 14210me130</v>
      </c>
      <c r="C12838" s="380" t="str">
        <f>IFERROR(__xludf.DUMMYFUNCTION("""COMPUTED_VALUE"""),"70008307")</f>
        <v>70008307</v>
      </c>
      <c r="D12838" s="380" t="s">
        <v>767</v>
      </c>
      <c r="E12838" s="380" t="s">
        <v>786</v>
      </c>
      <c r="F12838" s="380" t="s">
        <v>5855</v>
      </c>
      <c r="G12838" s="380" t="s">
        <v>1267</v>
      </c>
      <c r="H12838" s="380" t="s">
        <v>771</v>
      </c>
      <c r="I12838" s="380" t="s">
        <v>788</v>
      </c>
      <c r="J12838" s="380" t="s">
        <v>773</v>
      </c>
      <c r="K12838" s="381">
        <v>0.0</v>
      </c>
      <c r="L12838" s="382">
        <v>1.0</v>
      </c>
    </row>
    <row r="12839">
      <c r="A12839" s="380" t="s">
        <v>13713</v>
      </c>
      <c r="B12839" s="380" t="str">
        <f>IFERROR(__xludf.DUMMYFUNCTION("""COMPUTED_VALUE"""),"Garra Selectora Akt 200")</f>
        <v>Garra Selectora Akt 200</v>
      </c>
      <c r="C12839" s="380" t="str">
        <f>IFERROR(__xludf.DUMMYFUNCTION("""COMPUTED_VALUE"""),"70008308")</f>
        <v>70008308</v>
      </c>
      <c r="D12839" s="380" t="s">
        <v>767</v>
      </c>
      <c r="E12839" s="380" t="s">
        <v>786</v>
      </c>
      <c r="F12839" s="380" t="s">
        <v>787</v>
      </c>
      <c r="G12839" s="380" t="s">
        <v>1267</v>
      </c>
      <c r="H12839" s="380" t="s">
        <v>771</v>
      </c>
      <c r="I12839" s="380" t="s">
        <v>788</v>
      </c>
      <c r="J12839" s="380" t="s">
        <v>773</v>
      </c>
      <c r="K12839" s="381">
        <v>0.0</v>
      </c>
      <c r="L12839" s="382">
        <v>1.0</v>
      </c>
    </row>
    <row r="12840">
      <c r="A12840" s="380" t="s">
        <v>13714</v>
      </c>
      <c r="B12840" s="380" t="str">
        <f>IFERROR(__xludf.DUMMYFUNCTION("""COMPUTED_VALUE"""),"Arbol De Levas Akt 200")</f>
        <v>Arbol De Levas Akt 200</v>
      </c>
      <c r="C12840" s="380" t="str">
        <f>IFERROR(__xludf.DUMMYFUNCTION("""COMPUTED_VALUE"""),"70008309")</f>
        <v>70008309</v>
      </c>
      <c r="D12840" s="380" t="s">
        <v>767</v>
      </c>
      <c r="E12840" s="380" t="s">
        <v>786</v>
      </c>
      <c r="F12840" s="380" t="s">
        <v>787</v>
      </c>
      <c r="G12840" s="380" t="s">
        <v>1267</v>
      </c>
      <c r="H12840" s="380" t="s">
        <v>771</v>
      </c>
      <c r="I12840" s="380" t="s">
        <v>788</v>
      </c>
      <c r="J12840" s="380" t="s">
        <v>773</v>
      </c>
      <c r="K12840" s="381">
        <v>0.0</v>
      </c>
      <c r="L12840" s="382">
        <v>1.0</v>
      </c>
    </row>
    <row r="12841">
      <c r="A12841" s="380" t="s">
        <v>13715</v>
      </c>
      <c r="B12841" s="380" t="str">
        <f>IFERROR(__xludf.DUMMYFUNCTION("""COMPUTED_VALUE"""),"Balancines Inferiores Akt 200")</f>
        <v>Balancines Inferiores Akt 200</v>
      </c>
      <c r="C12841" s="380" t="str">
        <f>IFERROR(__xludf.DUMMYFUNCTION("""COMPUTED_VALUE"""),"70008310")</f>
        <v>70008310</v>
      </c>
      <c r="D12841" s="380" t="s">
        <v>767</v>
      </c>
      <c r="E12841" s="380" t="s">
        <v>786</v>
      </c>
      <c r="F12841" s="380" t="s">
        <v>787</v>
      </c>
      <c r="G12841" s="380" t="s">
        <v>1267</v>
      </c>
      <c r="H12841" s="380" t="s">
        <v>771</v>
      </c>
      <c r="I12841" s="380" t="s">
        <v>788</v>
      </c>
      <c r="J12841" s="380" t="s">
        <v>773</v>
      </c>
      <c r="K12841" s="381">
        <v>0.0</v>
      </c>
      <c r="L12841" s="382">
        <v>1.0</v>
      </c>
    </row>
    <row r="12842">
      <c r="A12842" s="380" t="s">
        <v>13716</v>
      </c>
      <c r="B12842" s="380" t="str">
        <f>IFERROR(__xludf.DUMMYFUNCTION("""COMPUTED_VALUE"""),"Manzana De Cluch Akt 200")</f>
        <v>Manzana De Cluch Akt 200</v>
      </c>
      <c r="C12842" s="380" t="str">
        <f>IFERROR(__xludf.DUMMYFUNCTION("""COMPUTED_VALUE"""),"70008311")</f>
        <v>70008311</v>
      </c>
      <c r="D12842" s="380" t="s">
        <v>767</v>
      </c>
      <c r="E12842" s="380" t="s">
        <v>786</v>
      </c>
      <c r="F12842" s="380" t="s">
        <v>5661</v>
      </c>
      <c r="G12842" s="380" t="s">
        <v>1267</v>
      </c>
      <c r="H12842" s="380" t="s">
        <v>771</v>
      </c>
      <c r="I12842" s="380" t="s">
        <v>788</v>
      </c>
      <c r="J12842" s="380" t="s">
        <v>773</v>
      </c>
      <c r="K12842" s="381">
        <v>0.0</v>
      </c>
      <c r="L12842" s="382">
        <v>1.0</v>
      </c>
    </row>
    <row r="12843">
      <c r="A12843" s="380" t="s">
        <v>13717</v>
      </c>
      <c r="B12843" s="380" t="str">
        <f>IFERROR(__xludf.DUMMYFUNCTION("""COMPUTED_VALUE"""),"Kit Biela Akt 200")</f>
        <v>Kit Biela Akt 200</v>
      </c>
      <c r="C12843" s="380" t="str">
        <f>IFERROR(__xludf.DUMMYFUNCTION("""COMPUTED_VALUE"""),"70008312")</f>
        <v>70008312</v>
      </c>
      <c r="D12843" s="380" t="s">
        <v>767</v>
      </c>
      <c r="E12843" s="380" t="s">
        <v>786</v>
      </c>
      <c r="F12843" s="380" t="s">
        <v>787</v>
      </c>
      <c r="G12843" s="380" t="s">
        <v>1267</v>
      </c>
      <c r="H12843" s="380" t="s">
        <v>771</v>
      </c>
      <c r="I12843" s="380" t="s">
        <v>788</v>
      </c>
      <c r="J12843" s="380" t="s">
        <v>773</v>
      </c>
      <c r="K12843" s="381">
        <v>0.0</v>
      </c>
      <c r="L12843" s="382">
        <v>1.0</v>
      </c>
    </row>
    <row r="12844">
      <c r="A12844" s="380" t="s">
        <v>13718</v>
      </c>
      <c r="B12844" s="380" t="str">
        <f>IFERROR(__xludf.DUMMYFUNCTION("""COMPUTED_VALUE"""),"Cilindro Motor Akt 200")</f>
        <v>Cilindro Motor Akt 200</v>
      </c>
      <c r="C12844" s="380" t="str">
        <f>IFERROR(__xludf.DUMMYFUNCTION("""COMPUTED_VALUE"""),"70008313")</f>
        <v>70008313</v>
      </c>
      <c r="D12844" s="380" t="s">
        <v>767</v>
      </c>
      <c r="E12844" s="380" t="s">
        <v>786</v>
      </c>
      <c r="F12844" s="380" t="s">
        <v>787</v>
      </c>
      <c r="G12844" s="380" t="s">
        <v>1267</v>
      </c>
      <c r="H12844" s="380" t="s">
        <v>771</v>
      </c>
      <c r="I12844" s="380" t="s">
        <v>788</v>
      </c>
      <c r="J12844" s="380" t="s">
        <v>773</v>
      </c>
      <c r="K12844" s="381">
        <v>0.0</v>
      </c>
      <c r="L12844" s="382">
        <v>1.0</v>
      </c>
    </row>
    <row r="12845">
      <c r="A12845" s="380" t="s">
        <v>13719</v>
      </c>
      <c r="B12845" s="380" t="str">
        <f>IFERROR(__xludf.DUMMYFUNCTION("""COMPUTED_VALUE"""),"Modulo Cdi Akt 200")</f>
        <v>Modulo Cdi Akt 200</v>
      </c>
      <c r="C12845" s="380" t="str">
        <f>IFERROR(__xludf.DUMMYFUNCTION("""COMPUTED_VALUE"""),"70008314")</f>
        <v>70008314</v>
      </c>
      <c r="D12845" s="380" t="s">
        <v>767</v>
      </c>
      <c r="E12845" s="380" t="s">
        <v>786</v>
      </c>
      <c r="F12845" s="380" t="s">
        <v>998</v>
      </c>
      <c r="G12845" s="380" t="s">
        <v>1267</v>
      </c>
      <c r="H12845" s="380" t="s">
        <v>771</v>
      </c>
      <c r="I12845" s="380" t="s">
        <v>788</v>
      </c>
      <c r="J12845" s="380" t="s">
        <v>773</v>
      </c>
      <c r="K12845" s="381">
        <v>0.0</v>
      </c>
      <c r="L12845" s="382">
        <v>1.0</v>
      </c>
    </row>
    <row r="12846">
      <c r="A12846" s="380" t="s">
        <v>13720</v>
      </c>
      <c r="B12846" s="380" t="str">
        <f>IFERROR(__xludf.DUMMYFUNCTION("""COMPUTED_VALUE"""),"Trompo Stop 125 Akt Moto Furgon")</f>
        <v>Trompo Stop 125 Akt Moto Furgon</v>
      </c>
      <c r="C12846" s="380" t="str">
        <f>IFERROR(__xludf.DUMMYFUNCTION("""COMPUTED_VALUE"""),"70008315")</f>
        <v>70008315</v>
      </c>
      <c r="D12846" s="380" t="s">
        <v>767</v>
      </c>
      <c r="E12846" s="380" t="s">
        <v>786</v>
      </c>
      <c r="F12846" s="380" t="s">
        <v>998</v>
      </c>
      <c r="G12846" s="380" t="s">
        <v>1267</v>
      </c>
      <c r="H12846" s="380" t="s">
        <v>771</v>
      </c>
      <c r="I12846" s="380" t="s">
        <v>788</v>
      </c>
      <c r="J12846" s="380" t="s">
        <v>773</v>
      </c>
      <c r="K12846" s="381">
        <v>0.0</v>
      </c>
      <c r="L12846" s="382">
        <v>1.0</v>
      </c>
    </row>
    <row r="12847">
      <c r="A12847" s="380" t="s">
        <v>13721</v>
      </c>
      <c r="B12847" s="380" t="str">
        <f>IFERROR(__xludf.DUMMYFUNCTION("""COMPUTED_VALUE"""),"Bomba Freno 3w180 Akt Moto Furgon")</f>
        <v>Bomba Freno 3w180 Akt Moto Furgon</v>
      </c>
      <c r="C12847" s="380" t="str">
        <f>IFERROR(__xludf.DUMMYFUNCTION("""COMPUTED_VALUE"""),"70008316")</f>
        <v>70008316</v>
      </c>
      <c r="D12847" s="380" t="s">
        <v>767</v>
      </c>
      <c r="E12847" s="380" t="s">
        <v>786</v>
      </c>
      <c r="F12847" s="380" t="s">
        <v>1017</v>
      </c>
      <c r="G12847" s="380" t="s">
        <v>1267</v>
      </c>
      <c r="H12847" s="380" t="s">
        <v>771</v>
      </c>
      <c r="I12847" s="380" t="s">
        <v>788</v>
      </c>
      <c r="J12847" s="380" t="s">
        <v>773</v>
      </c>
      <c r="K12847" s="381">
        <v>207358.0</v>
      </c>
      <c r="L12847" s="382">
        <v>1.0</v>
      </c>
    </row>
    <row r="12848">
      <c r="A12848" s="380" t="s">
        <v>13722</v>
      </c>
      <c r="B12848" s="380" t="str">
        <f>IFERROR(__xludf.DUMMYFUNCTION("""COMPUTED_VALUE"""),"Cilindro Hidrulico Plataf Carga Reparado")</f>
        <v>Cilindro Hidrulico Plataf Carga Reparado</v>
      </c>
      <c r="C12848" s="380" t="str">
        <f>IFERROR(__xludf.DUMMYFUNCTION("""COMPUTED_VALUE"""),"70008317")</f>
        <v>70008317</v>
      </c>
      <c r="D12848" s="380" t="s">
        <v>767</v>
      </c>
      <c r="E12848" s="380" t="s">
        <v>786</v>
      </c>
      <c r="F12848" s="380" t="s">
        <v>792</v>
      </c>
      <c r="G12848" s="380" t="s">
        <v>1267</v>
      </c>
      <c r="H12848" s="380" t="s">
        <v>771</v>
      </c>
      <c r="I12848" s="380" t="s">
        <v>788</v>
      </c>
      <c r="J12848" s="380" t="s">
        <v>773</v>
      </c>
      <c r="K12848" s="381">
        <v>0.0</v>
      </c>
      <c r="L12848" s="382">
        <v>1.0</v>
      </c>
    </row>
    <row r="12849">
      <c r="A12849" s="380" t="s">
        <v>13723</v>
      </c>
      <c r="B12849" s="380" t="str">
        <f>IFERROR(__xludf.DUMMYFUNCTION("""COMPUTED_VALUE"""),"Calapie Moto Akt")</f>
        <v>Calapie Moto Akt</v>
      </c>
      <c r="C12849" s="380" t="str">
        <f>IFERROR(__xludf.DUMMYFUNCTION("""COMPUTED_VALUE"""),"70008318")</f>
        <v>70008318</v>
      </c>
      <c r="D12849" s="380" t="s">
        <v>767</v>
      </c>
      <c r="E12849" s="380" t="s">
        <v>786</v>
      </c>
      <c r="F12849" s="380" t="s">
        <v>792</v>
      </c>
      <c r="G12849" s="380" t="s">
        <v>1267</v>
      </c>
      <c r="H12849" s="380" t="s">
        <v>771</v>
      </c>
      <c r="I12849" s="380" t="s">
        <v>788</v>
      </c>
      <c r="J12849" s="380" t="s">
        <v>773</v>
      </c>
      <c r="K12849" s="381">
        <v>0.0</v>
      </c>
      <c r="L12849" s="382">
        <v>1.0</v>
      </c>
    </row>
    <row r="12850">
      <c r="A12850" s="380" t="s">
        <v>13724</v>
      </c>
      <c r="B12850" s="380" t="str">
        <f>IFERROR(__xludf.DUMMYFUNCTION("""COMPUTED_VALUE"""),"Crank Moto Akt200")</f>
        <v>Crank Moto Akt200</v>
      </c>
      <c r="C12850" s="380" t="str">
        <f>IFERROR(__xludf.DUMMYFUNCTION("""COMPUTED_VALUE"""),"70008319")</f>
        <v>70008319</v>
      </c>
      <c r="D12850" s="380" t="s">
        <v>767</v>
      </c>
      <c r="E12850" s="380" t="s">
        <v>786</v>
      </c>
      <c r="F12850" s="380" t="s">
        <v>928</v>
      </c>
      <c r="G12850" s="380" t="s">
        <v>1267</v>
      </c>
      <c r="H12850" s="380" t="s">
        <v>771</v>
      </c>
      <c r="I12850" s="380" t="s">
        <v>788</v>
      </c>
      <c r="J12850" s="380" t="s">
        <v>773</v>
      </c>
      <c r="K12850" s="381">
        <v>0.0</v>
      </c>
      <c r="L12850" s="382">
        <v>1.0</v>
      </c>
    </row>
    <row r="12851">
      <c r="A12851" s="380" t="s">
        <v>13725</v>
      </c>
      <c r="B12851" s="380" t="str">
        <f>IFERROR(__xludf.DUMMYFUNCTION("""COMPUTED_VALUE"""),"Compresor A/A Isx Reparado")</f>
        <v>Compresor A/A Isx Reparado</v>
      </c>
      <c r="C12851" s="380" t="str">
        <f>IFERROR(__xludf.DUMMYFUNCTION("""COMPUTED_VALUE"""),"70008320")</f>
        <v>70008320</v>
      </c>
      <c r="D12851" s="380" t="s">
        <v>767</v>
      </c>
      <c r="E12851" s="380" t="s">
        <v>786</v>
      </c>
      <c r="F12851" s="380" t="s">
        <v>1031</v>
      </c>
      <c r="G12851" s="380" t="s">
        <v>1267</v>
      </c>
      <c r="H12851" s="380" t="s">
        <v>771</v>
      </c>
      <c r="I12851" s="380" t="s">
        <v>788</v>
      </c>
      <c r="J12851" s="380" t="s">
        <v>773</v>
      </c>
      <c r="K12851" s="381">
        <v>0.0</v>
      </c>
      <c r="L12851" s="382">
        <v>1.0</v>
      </c>
    </row>
    <row r="12852">
      <c r="A12852" s="380" t="s">
        <v>13726</v>
      </c>
      <c r="B12852" s="380" t="str">
        <f>IFERROR(__xludf.DUMMYFUNCTION("""COMPUTED_VALUE"""),"Tur Turbo Alimentador Volswagen Reparado")</f>
        <v>Tur Turbo Alimentador Volswagen Reparado</v>
      </c>
      <c r="C12852" s="380" t="str">
        <f>IFERROR(__xludf.DUMMYFUNCTION("""COMPUTED_VALUE"""),"70008321")</f>
        <v>70008321</v>
      </c>
      <c r="D12852" s="380" t="s">
        <v>767</v>
      </c>
      <c r="E12852" s="380" t="s">
        <v>786</v>
      </c>
      <c r="F12852" s="380" t="s">
        <v>787</v>
      </c>
      <c r="G12852" s="380" t="s">
        <v>1267</v>
      </c>
      <c r="H12852" s="380" t="s">
        <v>771</v>
      </c>
      <c r="I12852" s="380" t="s">
        <v>788</v>
      </c>
      <c r="J12852" s="380" t="s">
        <v>773</v>
      </c>
      <c r="K12852" s="381">
        <v>0.0</v>
      </c>
      <c r="L12852" s="382">
        <v>1.0</v>
      </c>
    </row>
    <row r="12853">
      <c r="A12853" s="380" t="s">
        <v>13727</v>
      </c>
      <c r="B12853" s="380" t="str">
        <f>IFERROR(__xludf.DUMMYFUNCTION("""COMPUTED_VALUE"""),"Turbo Alimentador Motor Renault Reparado")</f>
        <v>Turbo Alimentador Motor Renault Reparado</v>
      </c>
      <c r="C12853" s="380" t="str">
        <f>IFERROR(__xludf.DUMMYFUNCTION("""COMPUTED_VALUE"""),"70008322")</f>
        <v>70008322</v>
      </c>
      <c r="D12853" s="380" t="s">
        <v>767</v>
      </c>
      <c r="E12853" s="380" t="s">
        <v>786</v>
      </c>
      <c r="F12853" s="380" t="s">
        <v>787</v>
      </c>
      <c r="G12853" s="380" t="s">
        <v>1267</v>
      </c>
      <c r="H12853" s="380" t="s">
        <v>771</v>
      </c>
      <c r="I12853" s="380" t="s">
        <v>788</v>
      </c>
      <c r="J12853" s="380" t="s">
        <v>773</v>
      </c>
      <c r="K12853" s="381">
        <v>0.0</v>
      </c>
      <c r="L12853" s="382">
        <v>1.0</v>
      </c>
    </row>
    <row r="12854">
      <c r="A12854" s="380" t="s">
        <v>13728</v>
      </c>
      <c r="B12854" s="380" t="str">
        <f>IFERROR(__xludf.DUMMYFUNCTION("""COMPUTED_VALUE"""),"Velocimetro Akt")</f>
        <v>Velocimetro Akt</v>
      </c>
      <c r="C12854" s="380" t="str">
        <f>IFERROR(__xludf.DUMMYFUNCTION("""COMPUTED_VALUE"""),"70008323")</f>
        <v>70008323</v>
      </c>
      <c r="D12854" s="380" t="s">
        <v>767</v>
      </c>
      <c r="E12854" s="380" t="s">
        <v>786</v>
      </c>
      <c r="F12854" s="380" t="s">
        <v>998</v>
      </c>
      <c r="G12854" s="380" t="s">
        <v>1267</v>
      </c>
      <c r="H12854" s="380" t="s">
        <v>771</v>
      </c>
      <c r="I12854" s="380" t="s">
        <v>788</v>
      </c>
      <c r="J12854" s="380" t="s">
        <v>773</v>
      </c>
      <c r="K12854" s="381">
        <v>0.0</v>
      </c>
      <c r="L12854" s="382">
        <v>1.0</v>
      </c>
    </row>
    <row r="12855">
      <c r="A12855" s="380" t="s">
        <v>13729</v>
      </c>
      <c r="B12855" s="380" t="str">
        <f>IFERROR(__xludf.DUMMYFUNCTION("""COMPUTED_VALUE"""),"Bomba Freno Delantero Akt")</f>
        <v>Bomba Freno Delantero Akt</v>
      </c>
      <c r="C12855" s="380" t="str">
        <f>IFERROR(__xludf.DUMMYFUNCTION("""COMPUTED_VALUE"""),"70008324")</f>
        <v>70008324</v>
      </c>
      <c r="D12855" s="380" t="s">
        <v>767</v>
      </c>
      <c r="E12855" s="380" t="s">
        <v>786</v>
      </c>
      <c r="F12855" s="380" t="s">
        <v>1017</v>
      </c>
      <c r="G12855" s="380" t="s">
        <v>1267</v>
      </c>
      <c r="H12855" s="380" t="s">
        <v>771</v>
      </c>
      <c r="I12855" s="380" t="s">
        <v>788</v>
      </c>
      <c r="J12855" s="380" t="s">
        <v>773</v>
      </c>
      <c r="K12855" s="381">
        <v>0.0</v>
      </c>
      <c r="L12855" s="382">
        <v>1.0</v>
      </c>
    </row>
    <row r="12856">
      <c r="A12856" s="380" t="s">
        <v>13730</v>
      </c>
      <c r="B12856" s="380" t="str">
        <f>IFERROR(__xludf.DUMMYFUNCTION("""COMPUTED_VALUE"""),"Plato Bobinas Akt")</f>
        <v>Plato Bobinas Akt</v>
      </c>
      <c r="C12856" s="380" t="str">
        <f>IFERROR(__xludf.DUMMYFUNCTION("""COMPUTED_VALUE"""),"70008325")</f>
        <v>70008325</v>
      </c>
      <c r="D12856" s="380" t="s">
        <v>767</v>
      </c>
      <c r="E12856" s="380" t="s">
        <v>786</v>
      </c>
      <c r="F12856" s="380" t="s">
        <v>998</v>
      </c>
      <c r="G12856" s="380" t="s">
        <v>1267</v>
      </c>
      <c r="H12856" s="380" t="s">
        <v>771</v>
      </c>
      <c r="I12856" s="380" t="s">
        <v>788</v>
      </c>
      <c r="J12856" s="380" t="s">
        <v>773</v>
      </c>
      <c r="K12856" s="381">
        <v>0.0</v>
      </c>
      <c r="L12856" s="382">
        <v>1.0</v>
      </c>
    </row>
    <row r="12857">
      <c r="A12857" s="380" t="s">
        <v>13731</v>
      </c>
      <c r="B12857" s="380" t="str">
        <f>IFERROR(__xludf.DUMMYFUNCTION("""COMPUTED_VALUE"""),"Arbol De Levas Akt")</f>
        <v>Arbol De Levas Akt</v>
      </c>
      <c r="C12857" s="380" t="str">
        <f>IFERROR(__xludf.DUMMYFUNCTION("""COMPUTED_VALUE"""),"70008326")</f>
        <v>70008326</v>
      </c>
      <c r="D12857" s="380" t="s">
        <v>767</v>
      </c>
      <c r="E12857" s="380" t="s">
        <v>786</v>
      </c>
      <c r="F12857" s="380" t="s">
        <v>787</v>
      </c>
      <c r="G12857" s="380" t="s">
        <v>1267</v>
      </c>
      <c r="H12857" s="380" t="s">
        <v>771</v>
      </c>
      <c r="I12857" s="380" t="s">
        <v>788</v>
      </c>
      <c r="J12857" s="380" t="s">
        <v>773</v>
      </c>
      <c r="K12857" s="381">
        <v>0.0</v>
      </c>
      <c r="L12857" s="382">
        <v>1.0</v>
      </c>
    </row>
    <row r="12858">
      <c r="A12858" s="380" t="s">
        <v>13732</v>
      </c>
      <c r="B12858" s="380" t="str">
        <f>IFERROR(__xludf.DUMMYFUNCTION("""COMPUTED_VALUE"""),"Sellos Valvulas Akt 200")</f>
        <v>Sellos Valvulas Akt 200</v>
      </c>
      <c r="C12858" s="380" t="str">
        <f>IFERROR(__xludf.DUMMYFUNCTION("""COMPUTED_VALUE"""),"70008327")</f>
        <v>70008327</v>
      </c>
      <c r="D12858" s="380" t="s">
        <v>767</v>
      </c>
      <c r="E12858" s="380" t="s">
        <v>786</v>
      </c>
      <c r="F12858" s="380" t="s">
        <v>787</v>
      </c>
      <c r="G12858" s="380" t="s">
        <v>1267</v>
      </c>
      <c r="H12858" s="380" t="s">
        <v>771</v>
      </c>
      <c r="I12858" s="380" t="s">
        <v>788</v>
      </c>
      <c r="J12858" s="380" t="s">
        <v>773</v>
      </c>
      <c r="K12858" s="381">
        <v>0.0</v>
      </c>
      <c r="L12858" s="382">
        <v>1.0</v>
      </c>
    </row>
    <row r="12859">
      <c r="A12859" s="380" t="s">
        <v>13733</v>
      </c>
      <c r="B12859" s="380" t="str">
        <f>IFERROR(__xludf.DUMMYFUNCTION("""COMPUTED_VALUE"""),"Buje Piñon Caja Akt")</f>
        <v>Buje Piñon Caja Akt</v>
      </c>
      <c r="C12859" s="380" t="str">
        <f>IFERROR(__xludf.DUMMYFUNCTION("""COMPUTED_VALUE"""),"70008328")</f>
        <v>70008328</v>
      </c>
      <c r="D12859" s="380" t="s">
        <v>767</v>
      </c>
      <c r="E12859" s="380" t="s">
        <v>786</v>
      </c>
      <c r="F12859" s="380" t="s">
        <v>928</v>
      </c>
      <c r="G12859" s="380" t="s">
        <v>1267</v>
      </c>
      <c r="H12859" s="380" t="s">
        <v>771</v>
      </c>
      <c r="I12859" s="380" t="s">
        <v>788</v>
      </c>
      <c r="J12859" s="380" t="s">
        <v>773</v>
      </c>
      <c r="K12859" s="381">
        <v>0.0</v>
      </c>
      <c r="L12859" s="382">
        <v>1.0</v>
      </c>
    </row>
    <row r="12860">
      <c r="A12860" s="380" t="s">
        <v>13734</v>
      </c>
      <c r="B12860" s="380" t="str">
        <f>IFERROR(__xludf.DUMMYFUNCTION("""COMPUTED_VALUE"""),"Kit Empaques Motor Akt200")</f>
        <v>Kit Empaques Motor Akt200</v>
      </c>
      <c r="C12860" s="380" t="str">
        <f>IFERROR(__xludf.DUMMYFUNCTION("""COMPUTED_VALUE"""),"70008329")</f>
        <v>70008329</v>
      </c>
      <c r="D12860" s="380" t="s">
        <v>767</v>
      </c>
      <c r="E12860" s="380" t="s">
        <v>786</v>
      </c>
      <c r="F12860" s="380" t="s">
        <v>787</v>
      </c>
      <c r="G12860" s="380" t="s">
        <v>1267</v>
      </c>
      <c r="H12860" s="380" t="s">
        <v>771</v>
      </c>
      <c r="I12860" s="380" t="s">
        <v>788</v>
      </c>
      <c r="J12860" s="380" t="s">
        <v>773</v>
      </c>
      <c r="K12860" s="381">
        <v>0.0</v>
      </c>
      <c r="L12860" s="382">
        <v>1.0</v>
      </c>
    </row>
    <row r="12861">
      <c r="A12861" s="380" t="s">
        <v>13735</v>
      </c>
      <c r="B12861" s="380" t="str">
        <f>IFERROR(__xludf.DUMMYFUNCTION("""COMPUTED_VALUE"""),"Motor Arranque Nkr Rewar Repar")</f>
        <v>Motor Arranque Nkr Rewar Repar</v>
      </c>
      <c r="C12861" s="380" t="str">
        <f>IFERROR(__xludf.DUMMYFUNCTION("""COMPUTED_VALUE"""),"70008330")</f>
        <v>70008330</v>
      </c>
      <c r="D12861" s="380" t="s">
        <v>767</v>
      </c>
      <c r="E12861" s="380" t="s">
        <v>786</v>
      </c>
      <c r="F12861" s="380" t="s">
        <v>998</v>
      </c>
      <c r="G12861" s="380" t="s">
        <v>1267</v>
      </c>
      <c r="H12861" s="380" t="s">
        <v>771</v>
      </c>
      <c r="I12861" s="380" t="s">
        <v>788</v>
      </c>
      <c r="J12861" s="380" t="s">
        <v>773</v>
      </c>
      <c r="K12861" s="381">
        <v>0.0</v>
      </c>
      <c r="L12861" s="382">
        <v>1.0</v>
      </c>
    </row>
    <row r="12862">
      <c r="A12862" s="380" t="s">
        <v>13736</v>
      </c>
      <c r="B12862" s="380" t="str">
        <f>IFERROR(__xludf.DUMMYFUNCTION("""COMPUTED_VALUE"""),"Trompo Neutro Moto Honda")</f>
        <v>Trompo Neutro Moto Honda</v>
      </c>
      <c r="C12862" s="380" t="str">
        <f>IFERROR(__xludf.DUMMYFUNCTION("""COMPUTED_VALUE"""),"70008331")</f>
        <v>70008331</v>
      </c>
      <c r="D12862" s="380" t="s">
        <v>767</v>
      </c>
      <c r="E12862" s="380" t="s">
        <v>786</v>
      </c>
      <c r="F12862" s="380" t="s">
        <v>928</v>
      </c>
      <c r="G12862" s="380" t="s">
        <v>1267</v>
      </c>
      <c r="H12862" s="380" t="s">
        <v>771</v>
      </c>
      <c r="I12862" s="380" t="s">
        <v>788</v>
      </c>
      <c r="J12862" s="380" t="s">
        <v>773</v>
      </c>
      <c r="K12862" s="381">
        <v>0.0</v>
      </c>
      <c r="L12862" s="382">
        <v>1.0</v>
      </c>
    </row>
    <row r="12863">
      <c r="A12863" s="380" t="s">
        <v>13737</v>
      </c>
      <c r="B12863" s="380" t="str">
        <f>IFERROR(__xludf.DUMMYFUNCTION("""COMPUTED_VALUE"""),"FILT AIR MOT Sup Carry Goby Ag971201a")</f>
        <v>FILT AIR MOT Sup Carry Goby Ag971201a</v>
      </c>
      <c r="C12863" s="380" t="str">
        <f>IFERROR(__xludf.DUMMYFUNCTION("""COMPUTED_VALUE"""),"70008332")</f>
        <v>70008332</v>
      </c>
      <c r="D12863" s="380" t="s">
        <v>767</v>
      </c>
      <c r="E12863" s="380" t="s">
        <v>786</v>
      </c>
      <c r="F12863" s="380" t="s">
        <v>5855</v>
      </c>
      <c r="G12863" s="380" t="s">
        <v>1267</v>
      </c>
      <c r="H12863" s="380" t="s">
        <v>771</v>
      </c>
      <c r="I12863" s="380" t="s">
        <v>788</v>
      </c>
      <c r="J12863" s="380" t="s">
        <v>773</v>
      </c>
      <c r="K12863" s="381">
        <v>57877.0</v>
      </c>
      <c r="L12863" s="382">
        <v>1.0</v>
      </c>
    </row>
    <row r="12864">
      <c r="A12864" s="380" t="s">
        <v>13738</v>
      </c>
      <c r="B12864" s="380" t="str">
        <f>IFERROR(__xludf.DUMMYFUNCTION("""COMPUTED_VALUE"""),"Cigüeñal Motor Isx Reparado")</f>
        <v>Cigüeñal Motor Isx Reparado</v>
      </c>
      <c r="C12864" s="380" t="str">
        <f>IFERROR(__xludf.DUMMYFUNCTION("""COMPUTED_VALUE"""),"70008333")</f>
        <v>70008333</v>
      </c>
      <c r="D12864" s="380" t="s">
        <v>767</v>
      </c>
      <c r="E12864" s="380" t="s">
        <v>786</v>
      </c>
      <c r="F12864" s="380" t="s">
        <v>787</v>
      </c>
      <c r="G12864" s="380" t="s">
        <v>1267</v>
      </c>
      <c r="H12864" s="380" t="s">
        <v>771</v>
      </c>
      <c r="I12864" s="380" t="s">
        <v>788</v>
      </c>
      <c r="J12864" s="380" t="s">
        <v>773</v>
      </c>
      <c r="K12864" s="381">
        <v>0.0</v>
      </c>
      <c r="L12864" s="382">
        <v>1.0</v>
      </c>
    </row>
    <row r="12865">
      <c r="A12865" s="380" t="s">
        <v>13739</v>
      </c>
      <c r="B12865" s="380" t="str">
        <f>IFERROR(__xludf.DUMMYFUNCTION("""COMPUTED_VALUE"""),"E Evaporador Aire Acondicionado Reparado")</f>
        <v>E Evaporador Aire Acondicionado Reparado</v>
      </c>
      <c r="C12865" s="380" t="str">
        <f>IFERROR(__xludf.DUMMYFUNCTION("""COMPUTED_VALUE"""),"70008334")</f>
        <v>70008334</v>
      </c>
      <c r="D12865" s="380" t="s">
        <v>767</v>
      </c>
      <c r="E12865" s="380" t="s">
        <v>786</v>
      </c>
      <c r="F12865" s="380" t="s">
        <v>1031</v>
      </c>
      <c r="G12865" s="380" t="s">
        <v>1267</v>
      </c>
      <c r="H12865" s="380" t="s">
        <v>771</v>
      </c>
      <c r="I12865" s="380" t="s">
        <v>788</v>
      </c>
      <c r="J12865" s="380" t="s">
        <v>773</v>
      </c>
      <c r="K12865" s="381">
        <v>225000.0</v>
      </c>
      <c r="L12865" s="382">
        <v>1.0</v>
      </c>
    </row>
    <row r="12866">
      <c r="A12866" s="380" t="s">
        <v>13740</v>
      </c>
      <c r="B12866" s="380" t="str">
        <f>IFERROR(__xludf.DUMMYFUNCTION("""COMPUTED_VALUE"""),"Motor Arranque Hino Dutro Reparado")</f>
        <v>Motor Arranque Hino Dutro Reparado</v>
      </c>
      <c r="C12866" s="380" t="str">
        <f>IFERROR(__xludf.DUMMYFUNCTION("""COMPUTED_VALUE"""),"70008335")</f>
        <v>70008335</v>
      </c>
      <c r="D12866" s="380" t="s">
        <v>767</v>
      </c>
      <c r="E12866" s="380" t="s">
        <v>786</v>
      </c>
      <c r="F12866" s="380" t="s">
        <v>998</v>
      </c>
      <c r="G12866" s="380" t="s">
        <v>1267</v>
      </c>
      <c r="H12866" s="380" t="s">
        <v>771</v>
      </c>
      <c r="I12866" s="380" t="s">
        <v>788</v>
      </c>
      <c r="J12866" s="380" t="s">
        <v>773</v>
      </c>
      <c r="K12866" s="381">
        <v>0.0</v>
      </c>
      <c r="L12866" s="382">
        <v>1.0</v>
      </c>
    </row>
    <row r="12867">
      <c r="A12867" s="380" t="s">
        <v>13741</v>
      </c>
      <c r="B12867" s="380" t="str">
        <f>IFERROR(__xludf.DUMMYFUNCTION("""COMPUTED_VALUE"""),"Modulo Control Ecm Eagle Reparado")</f>
        <v>Modulo Control Ecm Eagle Reparado</v>
      </c>
      <c r="C12867" s="380" t="str">
        <f>IFERROR(__xludf.DUMMYFUNCTION("""COMPUTED_VALUE"""),"70008336")</f>
        <v>70008336</v>
      </c>
      <c r="D12867" s="380" t="s">
        <v>767</v>
      </c>
      <c r="E12867" s="380" t="s">
        <v>786</v>
      </c>
      <c r="F12867" s="380" t="s">
        <v>787</v>
      </c>
      <c r="G12867" s="380" t="s">
        <v>1267</v>
      </c>
      <c r="H12867" s="380" t="s">
        <v>771</v>
      </c>
      <c r="I12867" s="380" t="s">
        <v>788</v>
      </c>
      <c r="J12867" s="380" t="s">
        <v>773</v>
      </c>
      <c r="K12867" s="381">
        <v>0.0</v>
      </c>
      <c r="L12867" s="382">
        <v>1.0</v>
      </c>
    </row>
    <row r="12868">
      <c r="A12868" s="380" t="s">
        <v>13742</v>
      </c>
      <c r="B12868" s="380" t="str">
        <f>IFERROR(__xludf.DUMMYFUNCTION("""COMPUTED_VALUE"""),"Culata Compresor Isx Eagle 9400 Reparado")</f>
        <v>Culata Compresor Isx Eagle 9400 Reparado</v>
      </c>
      <c r="C12868" s="380" t="str">
        <f>IFERROR(__xludf.DUMMYFUNCTION("""COMPUTED_VALUE"""),"70008337")</f>
        <v>70008337</v>
      </c>
      <c r="D12868" s="380" t="s">
        <v>767</v>
      </c>
      <c r="E12868" s="380" t="s">
        <v>786</v>
      </c>
      <c r="F12868" s="380" t="s">
        <v>787</v>
      </c>
      <c r="G12868" s="380" t="s">
        <v>1267</v>
      </c>
      <c r="H12868" s="380" t="s">
        <v>771</v>
      </c>
      <c r="I12868" s="380" t="s">
        <v>788</v>
      </c>
      <c r="J12868" s="380" t="s">
        <v>773</v>
      </c>
      <c r="K12868" s="381">
        <v>0.0</v>
      </c>
      <c r="L12868" s="382">
        <v>1.0</v>
      </c>
    </row>
    <row r="12869">
      <c r="A12869" s="380" t="s">
        <v>13743</v>
      </c>
      <c r="B12869" s="380" t="str">
        <f>IFERROR(__xludf.DUMMYFUNCTION("""COMPUTED_VALUE"""),"Tablero Instrumentos Cabina Hi Reparado")</f>
        <v>Tablero Instrumentos Cabina Hi Reparado</v>
      </c>
      <c r="C12869" s="380" t="str">
        <f>IFERROR(__xludf.DUMMYFUNCTION("""COMPUTED_VALUE"""),"70008338")</f>
        <v>70008338</v>
      </c>
      <c r="D12869" s="380" t="s">
        <v>767</v>
      </c>
      <c r="E12869" s="380" t="s">
        <v>786</v>
      </c>
      <c r="F12869" s="380" t="s">
        <v>792</v>
      </c>
      <c r="G12869" s="380" t="s">
        <v>1267</v>
      </c>
      <c r="H12869" s="380" t="s">
        <v>771</v>
      </c>
      <c r="I12869" s="380" t="s">
        <v>788</v>
      </c>
      <c r="J12869" s="380" t="s">
        <v>773</v>
      </c>
      <c r="K12869" s="381">
        <v>0.0</v>
      </c>
      <c r="L12869" s="382">
        <v>1.0</v>
      </c>
    </row>
    <row r="12870">
      <c r="A12870" s="380" t="s">
        <v>13744</v>
      </c>
      <c r="B12870" s="380" t="str">
        <f>IFERROR(__xludf.DUMMYFUNCTION("""COMPUTED_VALUE"""),"Motor Aire A/C Reparado")</f>
        <v>Motor Aire A/C Reparado</v>
      </c>
      <c r="C12870" s="380" t="str">
        <f>IFERROR(__xludf.DUMMYFUNCTION("""COMPUTED_VALUE"""),"70008339")</f>
        <v>70008339</v>
      </c>
      <c r="D12870" s="380" t="s">
        <v>767</v>
      </c>
      <c r="E12870" s="380" t="s">
        <v>786</v>
      </c>
      <c r="F12870" s="380" t="s">
        <v>998</v>
      </c>
      <c r="G12870" s="380" t="s">
        <v>1267</v>
      </c>
      <c r="H12870" s="380" t="s">
        <v>771</v>
      </c>
      <c r="I12870" s="380" t="s">
        <v>788</v>
      </c>
      <c r="J12870" s="380" t="s">
        <v>773</v>
      </c>
      <c r="K12870" s="381">
        <v>0.0</v>
      </c>
      <c r="L12870" s="382">
        <v>1.0</v>
      </c>
    </row>
    <row r="12871">
      <c r="A12871" s="380" t="s">
        <v>13745</v>
      </c>
      <c r="B12871" s="380" t="str">
        <f>IFERROR(__xludf.DUMMYFUNCTION("""COMPUTED_VALUE"""),"Bomper Bomper Delantero Nkr Nhr Reparado")</f>
        <v>Bomper Bomper Delantero Nkr Nhr Reparado</v>
      </c>
      <c r="C12871" s="380" t="str">
        <f>IFERROR(__xludf.DUMMYFUNCTION("""COMPUTED_VALUE"""),"70008340")</f>
        <v>70008340</v>
      </c>
      <c r="D12871" s="380" t="s">
        <v>767</v>
      </c>
      <c r="E12871" s="380" t="s">
        <v>786</v>
      </c>
      <c r="F12871" s="380" t="s">
        <v>792</v>
      </c>
      <c r="G12871" s="380" t="s">
        <v>1267</v>
      </c>
      <c r="H12871" s="380" t="s">
        <v>771</v>
      </c>
      <c r="I12871" s="380" t="s">
        <v>788</v>
      </c>
      <c r="J12871" s="380" t="s">
        <v>773</v>
      </c>
      <c r="K12871" s="381">
        <v>0.0</v>
      </c>
      <c r="L12871" s="382">
        <v>1.0</v>
      </c>
    </row>
    <row r="12872">
      <c r="A12872" s="380" t="s">
        <v>13746</v>
      </c>
      <c r="B12872" s="380" t="str">
        <f>IFERROR(__xludf.DUMMYFUNCTION("""COMPUTED_VALUE"""),"Post Enfria Aire Mot Nkr111 Rew Reparado")</f>
        <v>Post Enfria Aire Mot Nkr111 Rew Reparado</v>
      </c>
      <c r="C12872" s="380" t="str">
        <f>IFERROR(__xludf.DUMMYFUNCTION("""COMPUTED_VALUE"""),"70008341")</f>
        <v>70008341</v>
      </c>
      <c r="D12872" s="380" t="s">
        <v>767</v>
      </c>
      <c r="E12872" s="380" t="s">
        <v>786</v>
      </c>
      <c r="F12872" s="380" t="s">
        <v>787</v>
      </c>
      <c r="G12872" s="380" t="s">
        <v>1267</v>
      </c>
      <c r="H12872" s="380" t="s">
        <v>771</v>
      </c>
      <c r="I12872" s="380" t="s">
        <v>788</v>
      </c>
      <c r="J12872" s="380" t="s">
        <v>773</v>
      </c>
      <c r="K12872" s="381">
        <v>0.0</v>
      </c>
      <c r="L12872" s="382">
        <v>1.0</v>
      </c>
    </row>
    <row r="12873">
      <c r="A12873" s="380" t="s">
        <v>13747</v>
      </c>
      <c r="B12873" s="380" t="str">
        <f>IFERROR(__xludf.DUMMYFUNCTION("""COMPUTED_VALUE"""),"Luna Espejo Retrovisor Reparado")</f>
        <v>Luna Espejo Retrovisor Reparado</v>
      </c>
      <c r="C12873" s="380" t="str">
        <f>IFERROR(__xludf.DUMMYFUNCTION("""COMPUTED_VALUE"""),"70008342")</f>
        <v>70008342</v>
      </c>
      <c r="D12873" s="380" t="s">
        <v>767</v>
      </c>
      <c r="E12873" s="380" t="s">
        <v>786</v>
      </c>
      <c r="F12873" s="380" t="s">
        <v>1031</v>
      </c>
      <c r="G12873" s="380" t="s">
        <v>1267</v>
      </c>
      <c r="H12873" s="380" t="s">
        <v>771</v>
      </c>
      <c r="I12873" s="380" t="s">
        <v>788</v>
      </c>
      <c r="J12873" s="380" t="s">
        <v>773</v>
      </c>
      <c r="K12873" s="381">
        <v>65748.0</v>
      </c>
      <c r="L12873" s="382">
        <v>1.0</v>
      </c>
    </row>
    <row r="12874">
      <c r="A12874" s="380" t="s">
        <v>13748</v>
      </c>
      <c r="B12874" s="380" t="str">
        <f>IFERROR(__xludf.DUMMYFUNCTION("""COMPUTED_VALUE"""),"Exosto Hino Reparado")</f>
        <v>Exosto Hino Reparado</v>
      </c>
      <c r="C12874" s="380" t="str">
        <f>IFERROR(__xludf.DUMMYFUNCTION("""COMPUTED_VALUE"""),"70008343")</f>
        <v>70008343</v>
      </c>
      <c r="D12874" s="380" t="s">
        <v>767</v>
      </c>
      <c r="E12874" s="380" t="s">
        <v>786</v>
      </c>
      <c r="F12874" s="380" t="s">
        <v>787</v>
      </c>
      <c r="G12874" s="380" t="s">
        <v>1267</v>
      </c>
      <c r="H12874" s="380" t="s">
        <v>771</v>
      </c>
      <c r="I12874" s="380" t="s">
        <v>788</v>
      </c>
      <c r="J12874" s="380" t="s">
        <v>773</v>
      </c>
      <c r="K12874" s="381">
        <v>0.0</v>
      </c>
      <c r="L12874" s="382">
        <v>1.0</v>
      </c>
    </row>
    <row r="12875">
      <c r="A12875" s="380" t="s">
        <v>13749</v>
      </c>
      <c r="B12875" s="380" t="str">
        <f>IFERROR(__xludf.DUMMYFUNCTION("""COMPUTED_VALUE"""),"Radiador Enfriador Aceite Caja Reparado")</f>
        <v>Radiador Enfriador Aceite Caja Reparado</v>
      </c>
      <c r="C12875" s="380" t="str">
        <f>IFERROR(__xludf.DUMMYFUNCTION("""COMPUTED_VALUE"""),"70008344")</f>
        <v>70008344</v>
      </c>
      <c r="D12875" s="380" t="s">
        <v>767</v>
      </c>
      <c r="E12875" s="380" t="s">
        <v>786</v>
      </c>
      <c r="F12875" s="380" t="s">
        <v>928</v>
      </c>
      <c r="G12875" s="380" t="s">
        <v>1267</v>
      </c>
      <c r="H12875" s="380" t="s">
        <v>771</v>
      </c>
      <c r="I12875" s="380" t="s">
        <v>788</v>
      </c>
      <c r="J12875" s="380" t="s">
        <v>773</v>
      </c>
      <c r="K12875" s="381">
        <v>0.0</v>
      </c>
      <c r="L12875" s="382">
        <v>1.0</v>
      </c>
    </row>
    <row r="12876">
      <c r="A12876" s="380" t="s">
        <v>13750</v>
      </c>
      <c r="B12876" s="380" t="str">
        <f>IFERROR(__xludf.DUMMYFUNCTION("""COMPUTED_VALUE"""),"Trapecio Brazo Limpiabrisas Toy Reparado")</f>
        <v>Trapecio Brazo Limpiabrisas Toy Reparado</v>
      </c>
      <c r="C12876" s="380" t="str">
        <f>IFERROR(__xludf.DUMMYFUNCTION("""COMPUTED_VALUE"""),"70008345")</f>
        <v>70008345</v>
      </c>
      <c r="D12876" s="380" t="s">
        <v>767</v>
      </c>
      <c r="E12876" s="380" t="s">
        <v>786</v>
      </c>
      <c r="F12876" s="380" t="s">
        <v>792</v>
      </c>
      <c r="G12876" s="380" t="s">
        <v>1267</v>
      </c>
      <c r="H12876" s="380" t="s">
        <v>771</v>
      </c>
      <c r="I12876" s="380" t="s">
        <v>788</v>
      </c>
      <c r="J12876" s="380" t="s">
        <v>773</v>
      </c>
      <c r="K12876" s="381">
        <v>0.0</v>
      </c>
      <c r="L12876" s="382">
        <v>1.0</v>
      </c>
    </row>
    <row r="12877">
      <c r="A12877" s="380" t="s">
        <v>13751</v>
      </c>
      <c r="B12877" s="380" t="str">
        <f>IFERROR(__xludf.DUMMYFUNCTION("""COMPUTED_VALUE"""),"Caja Direccion Volswagen Reparado")</f>
        <v>Caja Direccion Volswagen Reparado</v>
      </c>
      <c r="C12877" s="380" t="str">
        <f>IFERROR(__xludf.DUMMYFUNCTION("""COMPUTED_VALUE"""),"70008346")</f>
        <v>70008346</v>
      </c>
      <c r="D12877" s="380" t="s">
        <v>767</v>
      </c>
      <c r="E12877" s="380" t="s">
        <v>786</v>
      </c>
      <c r="F12877" s="380" t="s">
        <v>1020</v>
      </c>
      <c r="G12877" s="380" t="s">
        <v>1267</v>
      </c>
      <c r="H12877" s="380" t="s">
        <v>771</v>
      </c>
      <c r="I12877" s="380" t="s">
        <v>788</v>
      </c>
      <c r="J12877" s="380" t="s">
        <v>773</v>
      </c>
      <c r="K12877" s="381">
        <v>0.0</v>
      </c>
      <c r="L12877" s="382">
        <v>1.0</v>
      </c>
    </row>
    <row r="12878">
      <c r="A12878" s="380" t="s">
        <v>13752</v>
      </c>
      <c r="B12878" s="380" t="str">
        <f>IFERROR(__xludf.DUMMYFUNCTION("""COMPUTED_VALUE"""),"Inyector Motor Isx Kw Reparado")</f>
        <v>Inyector Motor Isx Kw Reparado</v>
      </c>
      <c r="C12878" s="380" t="str">
        <f>IFERROR(__xludf.DUMMYFUNCTION("""COMPUTED_VALUE"""),"70008347")</f>
        <v>70008347</v>
      </c>
      <c r="D12878" s="380" t="s">
        <v>767</v>
      </c>
      <c r="E12878" s="380" t="s">
        <v>786</v>
      </c>
      <c r="F12878" s="380" t="s">
        <v>787</v>
      </c>
      <c r="G12878" s="380" t="s">
        <v>1267</v>
      </c>
      <c r="H12878" s="380" t="s">
        <v>771</v>
      </c>
      <c r="I12878" s="380" t="s">
        <v>788</v>
      </c>
      <c r="J12878" s="380" t="s">
        <v>773</v>
      </c>
      <c r="K12878" s="381">
        <v>654500.0</v>
      </c>
      <c r="L12878" s="382">
        <v>1.0</v>
      </c>
    </row>
    <row r="12879">
      <c r="A12879" s="380" t="s">
        <v>13753</v>
      </c>
      <c r="B12879" s="380" t="str">
        <f>IFERROR(__xludf.DUMMYFUNCTION("""COMPUTED_VALUE"""),"Hausing Reparado Trailer")</f>
        <v>Hausing Reparado Trailer</v>
      </c>
      <c r="C12879" s="380" t="str">
        <f>IFERROR(__xludf.DUMMYFUNCTION("""COMPUTED_VALUE"""),"70008348")</f>
        <v>70008348</v>
      </c>
      <c r="D12879" s="380" t="s">
        <v>767</v>
      </c>
      <c r="E12879" s="380" t="s">
        <v>786</v>
      </c>
      <c r="F12879" s="380" t="s">
        <v>5683</v>
      </c>
      <c r="G12879" s="380" t="s">
        <v>1267</v>
      </c>
      <c r="H12879" s="380" t="s">
        <v>771</v>
      </c>
      <c r="I12879" s="380" t="s">
        <v>788</v>
      </c>
      <c r="J12879" s="380" t="s">
        <v>773</v>
      </c>
      <c r="K12879" s="381">
        <v>0.0</v>
      </c>
      <c r="L12879" s="382">
        <v>1.0</v>
      </c>
    </row>
    <row r="12880">
      <c r="A12880" s="380" t="s">
        <v>13754</v>
      </c>
      <c r="B12880" s="380" t="str">
        <f>IFERROR(__xludf.DUMMYFUNCTION("""COMPUTED_VALUE"""),"Fan Clucth Eagle Isx Reparado")</f>
        <v>Fan Clucth Eagle Isx Reparado</v>
      </c>
      <c r="C12880" s="380" t="str">
        <f>IFERROR(__xludf.DUMMYFUNCTION("""COMPUTED_VALUE"""),"70008349")</f>
        <v>70008349</v>
      </c>
      <c r="D12880" s="380" t="s">
        <v>767</v>
      </c>
      <c r="E12880" s="380" t="s">
        <v>786</v>
      </c>
      <c r="F12880" s="380" t="s">
        <v>787</v>
      </c>
      <c r="G12880" s="380" t="s">
        <v>1267</v>
      </c>
      <c r="H12880" s="380" t="s">
        <v>771</v>
      </c>
      <c r="I12880" s="380" t="s">
        <v>788</v>
      </c>
      <c r="J12880" s="380" t="s">
        <v>773</v>
      </c>
      <c r="K12880" s="381">
        <v>0.0</v>
      </c>
      <c r="L12880" s="382">
        <v>1.0</v>
      </c>
    </row>
    <row r="12881">
      <c r="A12881" s="380" t="s">
        <v>13755</v>
      </c>
      <c r="B12881" s="380" t="str">
        <f>IFERROR(__xludf.DUMMYFUNCTION("""COMPUTED_VALUE"""),"Condensador A/Acondicionado Isx Reparado")</f>
        <v>Condensador A/Acondicionado Isx Reparado</v>
      </c>
      <c r="C12881" s="380" t="str">
        <f>IFERROR(__xludf.DUMMYFUNCTION("""COMPUTED_VALUE"""),"70008350")</f>
        <v>70008350</v>
      </c>
      <c r="D12881" s="380" t="s">
        <v>767</v>
      </c>
      <c r="E12881" s="380" t="s">
        <v>786</v>
      </c>
      <c r="F12881" s="380" t="s">
        <v>1031</v>
      </c>
      <c r="G12881" s="380" t="s">
        <v>1267</v>
      </c>
      <c r="H12881" s="380" t="s">
        <v>771</v>
      </c>
      <c r="I12881" s="380" t="s">
        <v>788</v>
      </c>
      <c r="J12881" s="380" t="s">
        <v>773</v>
      </c>
      <c r="K12881" s="381">
        <v>0.0</v>
      </c>
      <c r="L12881" s="382">
        <v>1.0</v>
      </c>
    </row>
    <row r="12882">
      <c r="A12882" s="380" t="s">
        <v>13756</v>
      </c>
      <c r="B12882" s="380" t="str">
        <f>IFERROR(__xludf.DUMMYFUNCTION("""COMPUTED_VALUE"""),"Bomba Hidraulica Npr Reparado")</f>
        <v>Bomba Hidraulica Npr Reparado</v>
      </c>
      <c r="C12882" s="380" t="str">
        <f>IFERROR(__xludf.DUMMYFUNCTION("""COMPUTED_VALUE"""),"70008351")</f>
        <v>70008351</v>
      </c>
      <c r="D12882" s="380" t="s">
        <v>767</v>
      </c>
      <c r="E12882" s="380" t="s">
        <v>786</v>
      </c>
      <c r="F12882" s="380" t="s">
        <v>1020</v>
      </c>
      <c r="G12882" s="380" t="s">
        <v>1267</v>
      </c>
      <c r="H12882" s="380" t="s">
        <v>771</v>
      </c>
      <c r="I12882" s="380" t="s">
        <v>788</v>
      </c>
      <c r="J12882" s="380" t="s">
        <v>773</v>
      </c>
      <c r="K12882" s="381">
        <v>0.0</v>
      </c>
      <c r="L12882" s="382">
        <v>1.0</v>
      </c>
    </row>
    <row r="12883">
      <c r="A12883" s="380" t="s">
        <v>13757</v>
      </c>
      <c r="B12883" s="380" t="str">
        <f>IFERROR(__xludf.DUMMYFUNCTION("""COMPUTED_VALUE"""),"Tanque Acpm Eagle Reparado")</f>
        <v>Tanque Acpm Eagle Reparado</v>
      </c>
      <c r="C12883" s="380" t="str">
        <f>IFERROR(__xludf.DUMMYFUNCTION("""COMPUTED_VALUE"""),"70008352")</f>
        <v>70008352</v>
      </c>
      <c r="D12883" s="380" t="s">
        <v>767</v>
      </c>
      <c r="E12883" s="380" t="s">
        <v>786</v>
      </c>
      <c r="F12883" s="380" t="s">
        <v>792</v>
      </c>
      <c r="G12883" s="380" t="s">
        <v>1267</v>
      </c>
      <c r="H12883" s="380" t="s">
        <v>771</v>
      </c>
      <c r="I12883" s="380" t="s">
        <v>788</v>
      </c>
      <c r="J12883" s="380" t="s">
        <v>773</v>
      </c>
      <c r="K12883" s="381">
        <v>0.0</v>
      </c>
      <c r="L12883" s="382">
        <v>1.0</v>
      </c>
    </row>
    <row r="12884">
      <c r="A12884" s="380" t="s">
        <v>13758</v>
      </c>
      <c r="B12884" s="380" t="str">
        <f>IFERROR(__xludf.DUMMYFUNCTION("""COMPUTED_VALUE"""),"Inducido Arranque Sb Reparado")</f>
        <v>Inducido Arranque Sb Reparado</v>
      </c>
      <c r="C12884" s="380" t="str">
        <f>IFERROR(__xludf.DUMMYFUNCTION("""COMPUTED_VALUE"""),"70008353")</f>
        <v>70008353</v>
      </c>
      <c r="D12884" s="380" t="s">
        <v>767</v>
      </c>
      <c r="E12884" s="380" t="s">
        <v>786</v>
      </c>
      <c r="F12884" s="380" t="s">
        <v>998</v>
      </c>
      <c r="G12884" s="380" t="s">
        <v>1267</v>
      </c>
      <c r="H12884" s="380" t="s">
        <v>771</v>
      </c>
      <c r="I12884" s="380" t="s">
        <v>788</v>
      </c>
      <c r="J12884" s="380" t="s">
        <v>773</v>
      </c>
      <c r="K12884" s="381">
        <v>0.0</v>
      </c>
      <c r="L12884" s="382">
        <v>1.0</v>
      </c>
    </row>
    <row r="12885">
      <c r="A12885" s="380" t="s">
        <v>13759</v>
      </c>
      <c r="B12885" s="380" t="str">
        <f>IFERROR(__xludf.DUMMYFUNCTION("""COMPUTED_VALUE"""),"RAD Re Radiador Panal Nuev Nkr Reparado")</f>
        <v>RAD Re Radiador Panal Nuev Nkr Reparado</v>
      </c>
      <c r="C12885" s="380" t="str">
        <f>IFERROR(__xludf.DUMMYFUNCTION("""COMPUTED_VALUE"""),"70008354")</f>
        <v>70008354</v>
      </c>
      <c r="D12885" s="380" t="s">
        <v>767</v>
      </c>
      <c r="E12885" s="380" t="s">
        <v>786</v>
      </c>
      <c r="F12885" s="380" t="s">
        <v>787</v>
      </c>
      <c r="G12885" s="380" t="s">
        <v>1267</v>
      </c>
      <c r="H12885" s="380" t="s">
        <v>771</v>
      </c>
      <c r="I12885" s="380" t="s">
        <v>788</v>
      </c>
      <c r="J12885" s="380" t="s">
        <v>773</v>
      </c>
      <c r="K12885" s="381">
        <v>0.0</v>
      </c>
      <c r="L12885" s="382">
        <v>1.0</v>
      </c>
    </row>
    <row r="12886">
      <c r="A12886" s="380" t="s">
        <v>13760</v>
      </c>
      <c r="B12886" s="380" t="str">
        <f>IFERROR(__xludf.DUMMYFUNCTION("""COMPUTED_VALUE"""),"Varilla Mecanismo Limpiabrisas Reparado")</f>
        <v>Varilla Mecanismo Limpiabrisas Reparado</v>
      </c>
      <c r="C12886" s="380" t="str">
        <f>IFERROR(__xludf.DUMMYFUNCTION("""COMPUTED_VALUE"""),"70008355")</f>
        <v>70008355</v>
      </c>
      <c r="D12886" s="380" t="s">
        <v>767</v>
      </c>
      <c r="E12886" s="380" t="s">
        <v>786</v>
      </c>
      <c r="F12886" s="380" t="s">
        <v>792</v>
      </c>
      <c r="G12886" s="380" t="s">
        <v>1267</v>
      </c>
      <c r="H12886" s="380" t="s">
        <v>771</v>
      </c>
      <c r="I12886" s="380" t="s">
        <v>788</v>
      </c>
      <c r="J12886" s="380" t="s">
        <v>773</v>
      </c>
      <c r="K12886" s="381">
        <v>0.0</v>
      </c>
      <c r="L12886" s="382">
        <v>1.0</v>
      </c>
    </row>
    <row r="12887">
      <c r="A12887" s="380" t="s">
        <v>13761</v>
      </c>
      <c r="B12887" s="380" t="str">
        <f>IFERROR(__xludf.DUMMYFUNCTION("""COMPUTED_VALUE"""),"Troque Delantero Npr Reparado")</f>
        <v>Troque Delantero Npr Reparado</v>
      </c>
      <c r="C12887" s="380" t="str">
        <f>IFERROR(__xludf.DUMMYFUNCTION("""COMPUTED_VALUE"""),"70008356")</f>
        <v>70008356</v>
      </c>
      <c r="D12887" s="380" t="s">
        <v>767</v>
      </c>
      <c r="E12887" s="380" t="s">
        <v>786</v>
      </c>
      <c r="F12887" s="380" t="s">
        <v>1039</v>
      </c>
      <c r="G12887" s="380" t="s">
        <v>1267</v>
      </c>
      <c r="H12887" s="380" t="s">
        <v>771</v>
      </c>
      <c r="I12887" s="380" t="s">
        <v>788</v>
      </c>
      <c r="J12887" s="380" t="s">
        <v>773</v>
      </c>
      <c r="K12887" s="381">
        <v>0.0</v>
      </c>
      <c r="L12887" s="382">
        <v>1.0</v>
      </c>
    </row>
    <row r="12888">
      <c r="A12888" s="380" t="s">
        <v>13762</v>
      </c>
      <c r="B12888" s="380" t="str">
        <f>IFERROR(__xludf.DUMMYFUNCTION("""COMPUTED_VALUE"""),"Campana Delantera Npr Reparado")</f>
        <v>Campana Delantera Npr Reparado</v>
      </c>
      <c r="C12888" s="380" t="str">
        <f>IFERROR(__xludf.DUMMYFUNCTION("""COMPUTED_VALUE"""),"70008357")</f>
        <v>70008357</v>
      </c>
      <c r="D12888" s="380" t="s">
        <v>767</v>
      </c>
      <c r="E12888" s="380" t="s">
        <v>786</v>
      </c>
      <c r="F12888" s="380" t="s">
        <v>1017</v>
      </c>
      <c r="G12888" s="380" t="s">
        <v>1267</v>
      </c>
      <c r="H12888" s="380" t="s">
        <v>771</v>
      </c>
      <c r="I12888" s="380" t="s">
        <v>788</v>
      </c>
      <c r="J12888" s="380" t="s">
        <v>773</v>
      </c>
      <c r="K12888" s="381">
        <v>0.0</v>
      </c>
      <c r="L12888" s="382">
        <v>1.0</v>
      </c>
    </row>
    <row r="12889">
      <c r="A12889" s="380" t="s">
        <v>13763</v>
      </c>
      <c r="B12889" s="380" t="str">
        <f>IFERROR(__xludf.DUMMYFUNCTION("""COMPUTED_VALUE"""),"Tab Tablero Instrumentos Sb-N14 Reparado")</f>
        <v>Tab Tablero Instrumentos Sb-N14 Reparado</v>
      </c>
      <c r="C12889" s="380" t="str">
        <f>IFERROR(__xludf.DUMMYFUNCTION("""COMPUTED_VALUE"""),"70008358")</f>
        <v>70008358</v>
      </c>
      <c r="D12889" s="380" t="s">
        <v>767</v>
      </c>
      <c r="E12889" s="380" t="s">
        <v>786</v>
      </c>
      <c r="F12889" s="380" t="s">
        <v>792</v>
      </c>
      <c r="G12889" s="380" t="s">
        <v>1267</v>
      </c>
      <c r="H12889" s="380" t="s">
        <v>771</v>
      </c>
      <c r="I12889" s="380" t="s">
        <v>788</v>
      </c>
      <c r="J12889" s="380" t="s">
        <v>773</v>
      </c>
      <c r="K12889" s="381">
        <v>0.0</v>
      </c>
      <c r="L12889" s="382">
        <v>1.0</v>
      </c>
    </row>
    <row r="12890">
      <c r="A12890" s="380" t="s">
        <v>13764</v>
      </c>
      <c r="B12890" s="380" t="str">
        <f>IFERROR(__xludf.DUMMYFUNCTION("""COMPUTED_VALUE"""),"Radiador Motor N 200 Reparado")</f>
        <v>Radiador Motor N 200 Reparado</v>
      </c>
      <c r="C12890" s="380" t="str">
        <f>IFERROR(__xludf.DUMMYFUNCTION("""COMPUTED_VALUE"""),"70008359")</f>
        <v>70008359</v>
      </c>
      <c r="D12890" s="380" t="s">
        <v>767</v>
      </c>
      <c r="E12890" s="380" t="s">
        <v>786</v>
      </c>
      <c r="F12890" s="380" t="s">
        <v>787</v>
      </c>
      <c r="G12890" s="380" t="s">
        <v>1267</v>
      </c>
      <c r="H12890" s="380" t="s">
        <v>771</v>
      </c>
      <c r="I12890" s="380" t="s">
        <v>788</v>
      </c>
      <c r="J12890" s="380" t="s">
        <v>773</v>
      </c>
      <c r="K12890" s="381">
        <v>0.0</v>
      </c>
      <c r="L12890" s="382">
        <v>1.0</v>
      </c>
    </row>
    <row r="12891">
      <c r="A12891" s="380" t="s">
        <v>13765</v>
      </c>
      <c r="B12891" s="380" t="str">
        <f>IFERROR(__xludf.DUMMYFUNCTION("""COMPUTED_VALUE"""),"Cojin Cond-Ayudante N200 Reparado")</f>
        <v>Cojin Cond-Ayudante N200 Reparado</v>
      </c>
      <c r="C12891" s="380" t="str">
        <f>IFERROR(__xludf.DUMMYFUNCTION("""COMPUTED_VALUE"""),"70008360")</f>
        <v>70008360</v>
      </c>
      <c r="D12891" s="380" t="s">
        <v>767</v>
      </c>
      <c r="E12891" s="380" t="s">
        <v>786</v>
      </c>
      <c r="F12891" s="380" t="s">
        <v>792</v>
      </c>
      <c r="G12891" s="380" t="s">
        <v>1267</v>
      </c>
      <c r="H12891" s="380" t="s">
        <v>771</v>
      </c>
      <c r="I12891" s="380" t="s">
        <v>788</v>
      </c>
      <c r="J12891" s="380" t="s">
        <v>773</v>
      </c>
      <c r="K12891" s="381">
        <v>0.0</v>
      </c>
      <c r="L12891" s="382">
        <v>1.0</v>
      </c>
    </row>
    <row r="12892">
      <c r="A12892" s="380" t="s">
        <v>13766</v>
      </c>
      <c r="B12892" s="380" t="str">
        <f>IFERROR(__xludf.DUMMYFUNCTION("""COMPUTED_VALUE"""),"Corona Alternador Npr Reparado")</f>
        <v>Corona Alternador Npr Reparado</v>
      </c>
      <c r="C12892" s="380" t="str">
        <f>IFERROR(__xludf.DUMMYFUNCTION("""COMPUTED_VALUE"""),"70008361")</f>
        <v>70008361</v>
      </c>
      <c r="D12892" s="380" t="s">
        <v>767</v>
      </c>
      <c r="E12892" s="380" t="s">
        <v>786</v>
      </c>
      <c r="F12892" s="380" t="s">
        <v>998</v>
      </c>
      <c r="G12892" s="380" t="s">
        <v>1267</v>
      </c>
      <c r="H12892" s="380" t="s">
        <v>771</v>
      </c>
      <c r="I12892" s="380" t="s">
        <v>788</v>
      </c>
      <c r="J12892" s="380" t="s">
        <v>773</v>
      </c>
      <c r="K12892" s="381">
        <v>0.0</v>
      </c>
      <c r="L12892" s="382">
        <v>1.0</v>
      </c>
    </row>
    <row r="12893">
      <c r="A12893" s="380" t="s">
        <v>13767</v>
      </c>
      <c r="B12893" s="380" t="str">
        <f>IFERROR(__xludf.DUMMYFUNCTION("""COMPUTED_VALUE"""),"Culata Motor Isx Reparado")</f>
        <v>Culata Motor Isx Reparado</v>
      </c>
      <c r="C12893" s="380" t="str">
        <f>IFERROR(__xludf.DUMMYFUNCTION("""COMPUTED_VALUE"""),"70008362")</f>
        <v>70008362</v>
      </c>
      <c r="D12893" s="380" t="s">
        <v>767</v>
      </c>
      <c r="E12893" s="380" t="s">
        <v>786</v>
      </c>
      <c r="F12893" s="380" t="s">
        <v>787</v>
      </c>
      <c r="G12893" s="380" t="s">
        <v>1267</v>
      </c>
      <c r="H12893" s="380" t="s">
        <v>771</v>
      </c>
      <c r="I12893" s="380" t="s">
        <v>788</v>
      </c>
      <c r="J12893" s="380" t="s">
        <v>773</v>
      </c>
      <c r="K12893" s="381">
        <v>0.0</v>
      </c>
      <c r="L12893" s="382">
        <v>1.0</v>
      </c>
    </row>
    <row r="12894">
      <c r="A12894" s="380" t="s">
        <v>13768</v>
      </c>
      <c r="B12894" s="380" t="str">
        <f>IFERROR(__xludf.DUMMYFUNCTION("""COMPUTED_VALUE"""),"Turbo Motor Isx Hi9400 Reparado")</f>
        <v>Turbo Motor Isx Hi9400 Reparado</v>
      </c>
      <c r="C12894" s="380" t="str">
        <f>IFERROR(__xludf.DUMMYFUNCTION("""COMPUTED_VALUE"""),"70008363")</f>
        <v>70008363</v>
      </c>
      <c r="D12894" s="380" t="s">
        <v>767</v>
      </c>
      <c r="E12894" s="380" t="s">
        <v>786</v>
      </c>
      <c r="F12894" s="380" t="s">
        <v>787</v>
      </c>
      <c r="G12894" s="380" t="s">
        <v>1267</v>
      </c>
      <c r="H12894" s="380" t="s">
        <v>771</v>
      </c>
      <c r="I12894" s="380" t="s">
        <v>788</v>
      </c>
      <c r="J12894" s="380" t="s">
        <v>773</v>
      </c>
      <c r="K12894" s="381">
        <v>0.0</v>
      </c>
      <c r="L12894" s="382">
        <v>1.0</v>
      </c>
    </row>
    <row r="12895">
      <c r="A12895" s="380" t="s">
        <v>13769</v>
      </c>
      <c r="B12895" s="380" t="str">
        <f>IFERROR(__xludf.DUMMYFUNCTION("""COMPUTED_VALUE"""),"Guaya Acelerador Nkr Reparado")</f>
        <v>Guaya Acelerador Nkr Reparado</v>
      </c>
      <c r="C12895" s="380" t="str">
        <f>IFERROR(__xludf.DUMMYFUNCTION("""COMPUTED_VALUE"""),"70008364")</f>
        <v>70008364</v>
      </c>
      <c r="D12895" s="380" t="s">
        <v>767</v>
      </c>
      <c r="E12895" s="380" t="s">
        <v>786</v>
      </c>
      <c r="F12895" s="380" t="s">
        <v>787</v>
      </c>
      <c r="G12895" s="380" t="s">
        <v>1267</v>
      </c>
      <c r="H12895" s="380" t="s">
        <v>771</v>
      </c>
      <c r="I12895" s="380" t="s">
        <v>788</v>
      </c>
      <c r="J12895" s="380" t="s">
        <v>773</v>
      </c>
      <c r="K12895" s="381">
        <v>0.0</v>
      </c>
      <c r="L12895" s="382">
        <v>1.0</v>
      </c>
    </row>
    <row r="12896">
      <c r="A12896" s="380" t="s">
        <v>13770</v>
      </c>
      <c r="B12896" s="380" t="str">
        <f>IFERROR(__xludf.DUMMYFUNCTION("""COMPUTED_VALUE"""),"Bisagra Puerta Npr Reparado")</f>
        <v>Bisagra Puerta Npr Reparado</v>
      </c>
      <c r="C12896" s="380" t="str">
        <f>IFERROR(__xludf.DUMMYFUNCTION("""COMPUTED_VALUE"""),"70008365")</f>
        <v>70008365</v>
      </c>
      <c r="D12896" s="380" t="s">
        <v>767</v>
      </c>
      <c r="E12896" s="380" t="s">
        <v>786</v>
      </c>
      <c r="F12896" s="380" t="s">
        <v>792</v>
      </c>
      <c r="G12896" s="380" t="s">
        <v>1267</v>
      </c>
      <c r="H12896" s="380" t="s">
        <v>771</v>
      </c>
      <c r="I12896" s="380" t="s">
        <v>788</v>
      </c>
      <c r="J12896" s="380" t="s">
        <v>773</v>
      </c>
      <c r="K12896" s="381">
        <v>0.0</v>
      </c>
      <c r="L12896" s="382">
        <v>1.0</v>
      </c>
    </row>
    <row r="12897">
      <c r="A12897" s="380" t="s">
        <v>13771</v>
      </c>
      <c r="B12897" s="380" t="str">
        <f>IFERROR(__xludf.DUMMYFUNCTION("""COMPUTED_VALUE"""),"P Post Enfriador Aire Motor Isx Reparado")</f>
        <v>P Post Enfriador Aire Motor Isx Reparado</v>
      </c>
      <c r="C12897" s="380" t="str">
        <f>IFERROR(__xludf.DUMMYFUNCTION("""COMPUTED_VALUE"""),"70008366")</f>
        <v>70008366</v>
      </c>
      <c r="D12897" s="380" t="s">
        <v>767</v>
      </c>
      <c r="E12897" s="380" t="s">
        <v>786</v>
      </c>
      <c r="F12897" s="380" t="s">
        <v>787</v>
      </c>
      <c r="G12897" s="380" t="s">
        <v>1267</v>
      </c>
      <c r="H12897" s="380" t="s">
        <v>771</v>
      </c>
      <c r="I12897" s="380" t="s">
        <v>788</v>
      </c>
      <c r="J12897" s="380" t="s">
        <v>773</v>
      </c>
      <c r="K12897" s="381">
        <v>296667.0</v>
      </c>
      <c r="L12897" s="382">
        <v>1.0</v>
      </c>
    </row>
    <row r="12898">
      <c r="A12898" s="380" t="s">
        <v>13772</v>
      </c>
      <c r="B12898" s="380" t="str">
        <f>IFERROR(__xludf.DUMMYFUNCTION("""COMPUTED_VALUE"""),"Motor Arranque T. Delta Reparado")</f>
        <v>Motor Arranque T. Delta Reparado</v>
      </c>
      <c r="C12898" s="380" t="str">
        <f>IFERROR(__xludf.DUMMYFUNCTION("""COMPUTED_VALUE"""),"70008367")</f>
        <v>70008367</v>
      </c>
      <c r="D12898" s="380" t="s">
        <v>767</v>
      </c>
      <c r="E12898" s="380" t="s">
        <v>786</v>
      </c>
      <c r="F12898" s="380" t="s">
        <v>998</v>
      </c>
      <c r="G12898" s="380" t="s">
        <v>1267</v>
      </c>
      <c r="H12898" s="380" t="s">
        <v>771</v>
      </c>
      <c r="I12898" s="380" t="s">
        <v>788</v>
      </c>
      <c r="J12898" s="380" t="s">
        <v>773</v>
      </c>
      <c r="K12898" s="381">
        <v>0.0</v>
      </c>
      <c r="L12898" s="382">
        <v>1.0</v>
      </c>
    </row>
    <row r="12899">
      <c r="A12899" s="380" t="s">
        <v>13773</v>
      </c>
      <c r="B12899" s="380" t="str">
        <f>IFERROR(__xludf.DUMMYFUNCTION("""COMPUTED_VALUE"""),"Multiple De Admision Nkr - Nhr Reparado")</f>
        <v>Multiple De Admision Nkr - Nhr Reparado</v>
      </c>
      <c r="C12899" s="380" t="str">
        <f>IFERROR(__xludf.DUMMYFUNCTION("""COMPUTED_VALUE"""),"70008368")</f>
        <v>70008368</v>
      </c>
      <c r="D12899" s="380" t="s">
        <v>767</v>
      </c>
      <c r="E12899" s="380" t="s">
        <v>786</v>
      </c>
      <c r="F12899" s="380" t="s">
        <v>787</v>
      </c>
      <c r="G12899" s="380" t="s">
        <v>1267</v>
      </c>
      <c r="H12899" s="380" t="s">
        <v>771</v>
      </c>
      <c r="I12899" s="380" t="s">
        <v>788</v>
      </c>
      <c r="J12899" s="380" t="s">
        <v>773</v>
      </c>
      <c r="K12899" s="381">
        <v>0.0</v>
      </c>
      <c r="L12899" s="382">
        <v>1.0</v>
      </c>
    </row>
    <row r="12900">
      <c r="A12900" s="380" t="s">
        <v>13774</v>
      </c>
      <c r="B12900" s="380" t="str">
        <f>IFERROR(__xludf.DUMMYFUNCTION("""COMPUTED_VALUE"""),"Caja Direc Cm-100 Hi466-Eagle Reparado")</f>
        <v>Caja Direc Cm-100 Hi466-Eagle Reparado</v>
      </c>
      <c r="C12900" s="380" t="str">
        <f>IFERROR(__xludf.DUMMYFUNCTION("""COMPUTED_VALUE"""),"70008369")</f>
        <v>70008369</v>
      </c>
      <c r="D12900" s="380" t="s">
        <v>767</v>
      </c>
      <c r="E12900" s="380" t="s">
        <v>786</v>
      </c>
      <c r="F12900" s="380" t="s">
        <v>1020</v>
      </c>
      <c r="G12900" s="380" t="s">
        <v>1267</v>
      </c>
      <c r="H12900" s="380" t="s">
        <v>771</v>
      </c>
      <c r="I12900" s="380" t="s">
        <v>788</v>
      </c>
      <c r="J12900" s="380" t="s">
        <v>773</v>
      </c>
      <c r="K12900" s="381">
        <v>1475600.0</v>
      </c>
      <c r="L12900" s="382">
        <v>1.0</v>
      </c>
    </row>
    <row r="12901">
      <c r="A12901" s="380" t="s">
        <v>13775</v>
      </c>
      <c r="B12901" s="380" t="str">
        <f>IFERROR(__xludf.DUMMYFUNCTION("""COMPUTED_VALUE"""),"TANQ Tanque Combustible Reparado Hi466")</f>
        <v>TANQ Tanque Combustible Reparado Hi466</v>
      </c>
      <c r="C12901" s="380" t="str">
        <f>IFERROR(__xludf.DUMMYFUNCTION("""COMPUTED_VALUE"""),"70008370")</f>
        <v>70008370</v>
      </c>
      <c r="D12901" s="380" t="s">
        <v>767</v>
      </c>
      <c r="E12901" s="380" t="s">
        <v>786</v>
      </c>
      <c r="F12901" s="380" t="s">
        <v>792</v>
      </c>
      <c r="G12901" s="380" t="s">
        <v>1267</v>
      </c>
      <c r="H12901" s="380" t="s">
        <v>771</v>
      </c>
      <c r="I12901" s="380" t="s">
        <v>788</v>
      </c>
      <c r="J12901" s="380" t="s">
        <v>773</v>
      </c>
      <c r="K12901" s="381">
        <v>0.0</v>
      </c>
      <c r="L12901" s="382">
        <v>1.0</v>
      </c>
    </row>
    <row r="12902">
      <c r="A12902" s="380" t="s">
        <v>13776</v>
      </c>
      <c r="B12902" s="380" t="str">
        <f>IFERROR(__xludf.DUMMYFUNCTION("""COMPUTED_VALUE"""),"Tablero Instrumentos Cabina Nkr Reparado")</f>
        <v>Tablero Instrumentos Cabina Nkr Reparado</v>
      </c>
      <c r="C12902" s="380" t="str">
        <f>IFERROR(__xludf.DUMMYFUNCTION("""COMPUTED_VALUE"""),"70008371")</f>
        <v>70008371</v>
      </c>
      <c r="D12902" s="380" t="s">
        <v>767</v>
      </c>
      <c r="E12902" s="380" t="s">
        <v>786</v>
      </c>
      <c r="F12902" s="380" t="s">
        <v>792</v>
      </c>
      <c r="G12902" s="380" t="s">
        <v>1267</v>
      </c>
      <c r="H12902" s="380" t="s">
        <v>771</v>
      </c>
      <c r="I12902" s="380" t="s">
        <v>788</v>
      </c>
      <c r="J12902" s="380" t="s">
        <v>773</v>
      </c>
      <c r="K12902" s="381">
        <v>0.0</v>
      </c>
      <c r="L12902" s="382">
        <v>1.0</v>
      </c>
    </row>
    <row r="12903">
      <c r="A12903" s="380" t="s">
        <v>13777</v>
      </c>
      <c r="B12903" s="380" t="str">
        <f>IFERROR(__xludf.DUMMYFUNCTION("""COMPUTED_VALUE"""),"Multiple Escape Npr Reparado")</f>
        <v>Multiple Escape Npr Reparado</v>
      </c>
      <c r="C12903" s="380" t="str">
        <f>IFERROR(__xludf.DUMMYFUNCTION("""COMPUTED_VALUE"""),"70008372")</f>
        <v>70008372</v>
      </c>
      <c r="D12903" s="380" t="s">
        <v>767</v>
      </c>
      <c r="E12903" s="380" t="s">
        <v>786</v>
      </c>
      <c r="F12903" s="380" t="s">
        <v>787</v>
      </c>
      <c r="G12903" s="380" t="s">
        <v>1267</v>
      </c>
      <c r="H12903" s="380" t="s">
        <v>771</v>
      </c>
      <c r="I12903" s="380" t="s">
        <v>788</v>
      </c>
      <c r="J12903" s="380" t="s">
        <v>773</v>
      </c>
      <c r="K12903" s="381">
        <v>0.0</v>
      </c>
      <c r="L12903" s="382">
        <v>1.0</v>
      </c>
    </row>
    <row r="12904">
      <c r="A12904" s="380" t="s">
        <v>13778</v>
      </c>
      <c r="B12904" s="380" t="str">
        <f>IFERROR(__xludf.DUMMYFUNCTION("""COMPUTED_VALUE"""),"Caja Direccion Tass 65 Sb- N14 Reparado")</f>
        <v>Caja Direccion Tass 65 Sb- N14 Reparado</v>
      </c>
      <c r="C12904" s="380" t="str">
        <f>IFERROR(__xludf.DUMMYFUNCTION("""COMPUTED_VALUE"""),"70008373")</f>
        <v>70008373</v>
      </c>
      <c r="D12904" s="380" t="s">
        <v>767</v>
      </c>
      <c r="E12904" s="380" t="s">
        <v>786</v>
      </c>
      <c r="F12904" s="380" t="s">
        <v>1020</v>
      </c>
      <c r="G12904" s="380" t="s">
        <v>1267</v>
      </c>
      <c r="H12904" s="380" t="s">
        <v>771</v>
      </c>
      <c r="I12904" s="380" t="s">
        <v>788</v>
      </c>
      <c r="J12904" s="380" t="s">
        <v>773</v>
      </c>
      <c r="K12904" s="381">
        <v>0.0</v>
      </c>
      <c r="L12904" s="382">
        <v>1.0</v>
      </c>
    </row>
    <row r="12905">
      <c r="A12905" s="380" t="s">
        <v>13779</v>
      </c>
      <c r="B12905" s="380" t="str">
        <f>IFERROR(__xludf.DUMMYFUNCTION("""COMPUTED_VALUE"""),"Caja Direc Tas 85062a Kenworth Reparado")</f>
        <v>Caja Direc Tas 85062a Kenworth Reparado</v>
      </c>
      <c r="C12905" s="380" t="str">
        <f>IFERROR(__xludf.DUMMYFUNCTION("""COMPUTED_VALUE"""),"70008374")</f>
        <v>70008374</v>
      </c>
      <c r="D12905" s="380" t="s">
        <v>767</v>
      </c>
      <c r="E12905" s="380" t="s">
        <v>786</v>
      </c>
      <c r="F12905" s="380" t="s">
        <v>1020</v>
      </c>
      <c r="G12905" s="380" t="s">
        <v>1267</v>
      </c>
      <c r="H12905" s="380" t="s">
        <v>771</v>
      </c>
      <c r="I12905" s="380" t="s">
        <v>788</v>
      </c>
      <c r="J12905" s="380" t="s">
        <v>773</v>
      </c>
      <c r="K12905" s="381">
        <v>0.0</v>
      </c>
      <c r="L12905" s="382">
        <v>1.0</v>
      </c>
    </row>
    <row r="12906">
      <c r="A12906" s="380" t="s">
        <v>13780</v>
      </c>
      <c r="B12906" s="380" t="str">
        <f>IFERROR(__xludf.DUMMYFUNCTION("""COMPUTED_VALUE"""),"Cojin Cond-Ayudante T.Delta Reparado")</f>
        <v>Cojin Cond-Ayudante T.Delta Reparado</v>
      </c>
      <c r="C12906" s="380" t="str">
        <f>IFERROR(__xludf.DUMMYFUNCTION("""COMPUTED_VALUE"""),"70008375")</f>
        <v>70008375</v>
      </c>
      <c r="D12906" s="380" t="s">
        <v>767</v>
      </c>
      <c r="E12906" s="380" t="s">
        <v>786</v>
      </c>
      <c r="F12906" s="380" t="s">
        <v>792</v>
      </c>
      <c r="G12906" s="380" t="s">
        <v>1267</v>
      </c>
      <c r="H12906" s="380" t="s">
        <v>771</v>
      </c>
      <c r="I12906" s="380" t="s">
        <v>788</v>
      </c>
      <c r="J12906" s="380" t="s">
        <v>773</v>
      </c>
      <c r="K12906" s="381">
        <v>0.0</v>
      </c>
      <c r="L12906" s="382">
        <v>1.0</v>
      </c>
    </row>
    <row r="12907">
      <c r="A12907" s="380" t="s">
        <v>13781</v>
      </c>
      <c r="B12907" s="380" t="str">
        <f>IFERROR(__xludf.DUMMYFUNCTION("""COMPUTED_VALUE"""),"Banda Trasera Van N-200 Remachada")</f>
        <v>Banda Trasera Van N-200 Remachada</v>
      </c>
      <c r="C12907" s="380" t="str">
        <f>IFERROR(__xludf.DUMMYFUNCTION("""COMPUTED_VALUE"""),"70008376")</f>
        <v>70008376</v>
      </c>
      <c r="D12907" s="380" t="s">
        <v>767</v>
      </c>
      <c r="E12907" s="380" t="s">
        <v>786</v>
      </c>
      <c r="F12907" s="380" t="s">
        <v>1017</v>
      </c>
      <c r="G12907" s="380" t="s">
        <v>1267</v>
      </c>
      <c r="H12907" s="380" t="s">
        <v>771</v>
      </c>
      <c r="I12907" s="380" t="s">
        <v>788</v>
      </c>
      <c r="J12907" s="380" t="s">
        <v>773</v>
      </c>
      <c r="K12907" s="381">
        <v>34477.0</v>
      </c>
      <c r="L12907" s="382">
        <v>1.0</v>
      </c>
    </row>
    <row r="12908">
      <c r="A12908" s="380" t="s">
        <v>13782</v>
      </c>
      <c r="B12908" s="380" t="str">
        <f>IFERROR(__xludf.DUMMYFUNCTION("""COMPUTED_VALUE"""),"Radiador Toyota Delta Reparado")</f>
        <v>Radiador Toyota Delta Reparado</v>
      </c>
      <c r="C12908" s="380" t="str">
        <f>IFERROR(__xludf.DUMMYFUNCTION("""COMPUTED_VALUE"""),"70008377")</f>
        <v>70008377</v>
      </c>
      <c r="D12908" s="380" t="s">
        <v>767</v>
      </c>
      <c r="E12908" s="380" t="s">
        <v>786</v>
      </c>
      <c r="F12908" s="380" t="s">
        <v>787</v>
      </c>
      <c r="G12908" s="380" t="s">
        <v>1267</v>
      </c>
      <c r="H12908" s="380" t="s">
        <v>771</v>
      </c>
      <c r="I12908" s="380" t="s">
        <v>788</v>
      </c>
      <c r="J12908" s="380" t="s">
        <v>773</v>
      </c>
      <c r="K12908" s="381">
        <v>0.0</v>
      </c>
      <c r="L12908" s="382">
        <v>1.0</v>
      </c>
    </row>
    <row r="12909">
      <c r="A12909" s="380" t="s">
        <v>13783</v>
      </c>
      <c r="B12909" s="380" t="str">
        <f>IFERROR(__xludf.DUMMYFUNCTION("""COMPUTED_VALUE"""),"FILT AIR FRL Donaldson P607955")</f>
        <v>FILT AIR FRL Donaldson P607955</v>
      </c>
      <c r="C12909" s="380" t="str">
        <f>IFERROR(__xludf.DUMMYFUNCTION("""COMPUTED_VALUE"""),"70008378")</f>
        <v>70008378</v>
      </c>
      <c r="D12909" s="380" t="s">
        <v>767</v>
      </c>
      <c r="E12909" s="380" t="s">
        <v>786</v>
      </c>
      <c r="F12909" s="380" t="s">
        <v>5855</v>
      </c>
      <c r="G12909" s="380" t="s">
        <v>1267</v>
      </c>
      <c r="H12909" s="380" t="s">
        <v>771</v>
      </c>
      <c r="I12909" s="380" t="s">
        <v>788</v>
      </c>
      <c r="J12909" s="380" t="s">
        <v>773</v>
      </c>
      <c r="K12909" s="381">
        <v>0.0</v>
      </c>
      <c r="L12909" s="382">
        <v>1.0</v>
      </c>
    </row>
    <row r="12910">
      <c r="A12910" s="380" t="s">
        <v>13784</v>
      </c>
      <c r="B12910" s="380" t="str">
        <f>IFERROR(__xludf.DUMMYFUNCTION("""COMPUTED_VALUE"""),"Motor Arranque 42 Mt Delco Remy 10461052")</f>
        <v>Motor Arranque 42 Mt Delco Remy 10461052</v>
      </c>
      <c r="C12910" s="380" t="str">
        <f>IFERROR(__xludf.DUMMYFUNCTION("""COMPUTED_VALUE"""),"70008379")</f>
        <v>70008379</v>
      </c>
      <c r="D12910" s="380" t="s">
        <v>767</v>
      </c>
      <c r="E12910" s="380" t="s">
        <v>786</v>
      </c>
      <c r="F12910" s="380" t="s">
        <v>998</v>
      </c>
      <c r="G12910" s="380" t="s">
        <v>1267</v>
      </c>
      <c r="H12910" s="380" t="s">
        <v>771</v>
      </c>
      <c r="I12910" s="380" t="s">
        <v>788</v>
      </c>
      <c r="J12910" s="380" t="s">
        <v>773</v>
      </c>
      <c r="K12910" s="381">
        <v>0.0</v>
      </c>
      <c r="L12910" s="382">
        <v>1.0</v>
      </c>
    </row>
    <row r="12911">
      <c r="A12911" s="380" t="s">
        <v>13785</v>
      </c>
      <c r="B12911" s="380" t="str">
        <f>IFERROR(__xludf.DUMMYFUNCTION("""COMPUTED_VALUE"""),"FILT Aceite Sumergible Donalson P550761")</f>
        <v>FILT Aceite Sumergible Donalson P550761</v>
      </c>
      <c r="C12911" s="380" t="str">
        <f>IFERROR(__xludf.DUMMYFUNCTION("""COMPUTED_VALUE"""),"70008380")</f>
        <v>70008380</v>
      </c>
      <c r="D12911" s="380" t="s">
        <v>767</v>
      </c>
      <c r="E12911" s="380" t="s">
        <v>786</v>
      </c>
      <c r="F12911" s="380" t="s">
        <v>5855</v>
      </c>
      <c r="G12911" s="380" t="s">
        <v>1267</v>
      </c>
      <c r="H12911" s="380" t="s">
        <v>771</v>
      </c>
      <c r="I12911" s="380" t="s">
        <v>788</v>
      </c>
      <c r="J12911" s="380" t="s">
        <v>773</v>
      </c>
      <c r="K12911" s="381">
        <v>0.0</v>
      </c>
      <c r="L12911" s="382">
        <v>1.0</v>
      </c>
    </row>
    <row r="12912">
      <c r="A12912" s="380" t="s">
        <v>13786</v>
      </c>
      <c r="B12912" s="380" t="str">
        <f>IFERROR(__xludf.DUMMYFUNCTION("""COMPUTED_VALUE"""),"FILT Elememto Acpm Freightl Mann Pu1046x")</f>
        <v>FILT Elememto Acpm Freightl Mann Pu1046x</v>
      </c>
      <c r="C12912" s="380" t="str">
        <f>IFERROR(__xludf.DUMMYFUNCTION("""COMPUTED_VALUE"""),"70008381")</f>
        <v>70008381</v>
      </c>
      <c r="D12912" s="380" t="s">
        <v>767</v>
      </c>
      <c r="E12912" s="380" t="s">
        <v>786</v>
      </c>
      <c r="F12912" s="380" t="s">
        <v>5855</v>
      </c>
      <c r="G12912" s="380" t="s">
        <v>1267</v>
      </c>
      <c r="H12912" s="380" t="s">
        <v>771</v>
      </c>
      <c r="I12912" s="380" t="s">
        <v>788</v>
      </c>
      <c r="J12912" s="380" t="s">
        <v>773</v>
      </c>
      <c r="K12912" s="381">
        <v>0.0</v>
      </c>
      <c r="L12912" s="382">
        <v>1.0</v>
      </c>
    </row>
    <row r="12913">
      <c r="A12913" s="380" t="s">
        <v>13787</v>
      </c>
      <c r="B12913" s="380" t="str">
        <f>IFERROR(__xludf.DUMMYFUNCTION("""COMPUTED_VALUE"""),"Filtro Aceite Sb Lf 3000 Fleetguard")</f>
        <v>Filtro Aceite Sb Lf 3000 Fleetguard</v>
      </c>
      <c r="C12913" s="380" t="str">
        <f>IFERROR(__xludf.DUMMYFUNCTION("""COMPUTED_VALUE"""),"70008382")</f>
        <v>70008382</v>
      </c>
      <c r="D12913" s="380" t="s">
        <v>767</v>
      </c>
      <c r="E12913" s="380" t="s">
        <v>786</v>
      </c>
      <c r="F12913" s="380" t="s">
        <v>5855</v>
      </c>
      <c r="G12913" s="380" t="s">
        <v>1267</v>
      </c>
      <c r="H12913" s="380" t="s">
        <v>771</v>
      </c>
      <c r="I12913" s="380" t="s">
        <v>788</v>
      </c>
      <c r="J12913" s="380" t="s">
        <v>773</v>
      </c>
      <c r="K12913" s="381">
        <v>0.0</v>
      </c>
      <c r="L12913" s="382">
        <v>1.0</v>
      </c>
    </row>
    <row r="12914">
      <c r="A12914" s="380" t="s">
        <v>13788</v>
      </c>
      <c r="B12914" s="380" t="str">
        <f>IFERROR(__xludf.DUMMYFUNCTION("""COMPUTED_VALUE"""),"Lampara Led 4"" Emp. Caucho 12v 9006")</f>
        <v>Lampara Led 4" Emp. Caucho 12v 9006</v>
      </c>
      <c r="C12914" s="380" t="str">
        <f>IFERROR(__xludf.DUMMYFUNCTION("""COMPUTED_VALUE"""),"70008383")</f>
        <v>70008383</v>
      </c>
      <c r="D12914" s="380" t="s">
        <v>767</v>
      </c>
      <c r="E12914" s="380" t="s">
        <v>786</v>
      </c>
      <c r="F12914" s="380" t="s">
        <v>998</v>
      </c>
      <c r="G12914" s="380" t="s">
        <v>1267</v>
      </c>
      <c r="H12914" s="380" t="s">
        <v>771</v>
      </c>
      <c r="I12914" s="380" t="s">
        <v>788</v>
      </c>
      <c r="J12914" s="380" t="s">
        <v>773</v>
      </c>
      <c r="K12914" s="381">
        <v>0.0</v>
      </c>
      <c r="L12914" s="382">
        <v>1.0</v>
      </c>
    </row>
    <row r="12915">
      <c r="A12915" s="380" t="s">
        <v>13789</v>
      </c>
      <c r="B12915" s="380" t="str">
        <f>IFERROR(__xludf.DUMMYFUNCTION("""COMPUTED_VALUE"""),"FILT COMB Fs1212 Sb35 Fleetguard")</f>
        <v>FILT COMB Fs1212 Sb35 Fleetguard</v>
      </c>
      <c r="C12915" s="380" t="str">
        <f>IFERROR(__xludf.DUMMYFUNCTION("""COMPUTED_VALUE"""),"70008384")</f>
        <v>70008384</v>
      </c>
      <c r="D12915" s="380" t="s">
        <v>767</v>
      </c>
      <c r="E12915" s="380" t="s">
        <v>786</v>
      </c>
      <c r="F12915" s="380" t="s">
        <v>5855</v>
      </c>
      <c r="G12915" s="380" t="s">
        <v>1267</v>
      </c>
      <c r="H12915" s="380" t="s">
        <v>771</v>
      </c>
      <c r="I12915" s="380" t="s">
        <v>788</v>
      </c>
      <c r="J12915" s="380" t="s">
        <v>773</v>
      </c>
      <c r="K12915" s="381">
        <v>0.0</v>
      </c>
      <c r="L12915" s="382">
        <v>1.0</v>
      </c>
    </row>
    <row r="12916">
      <c r="A12916" s="380" t="s">
        <v>13790</v>
      </c>
      <c r="B12916" s="380" t="str">
        <f>IFERROR(__xludf.DUMMYFUNCTION("""COMPUTED_VALUE"""),"Compresor Aire Isx A/C Hi 9400 3628699c1")</f>
        <v>Compresor Aire Isx A/C Hi 9400 3628699c1</v>
      </c>
      <c r="C12916" s="380" t="str">
        <f>IFERROR(__xludf.DUMMYFUNCTION("""COMPUTED_VALUE"""),"70008385")</f>
        <v>70008385</v>
      </c>
      <c r="D12916" s="380" t="s">
        <v>767</v>
      </c>
      <c r="E12916" s="380" t="s">
        <v>786</v>
      </c>
      <c r="F12916" s="380" t="s">
        <v>1031</v>
      </c>
      <c r="G12916" s="380" t="s">
        <v>1267</v>
      </c>
      <c r="H12916" s="380" t="s">
        <v>771</v>
      </c>
      <c r="I12916" s="380" t="s">
        <v>788</v>
      </c>
      <c r="J12916" s="380" t="s">
        <v>773</v>
      </c>
      <c r="K12916" s="381">
        <v>0.0</v>
      </c>
      <c r="L12916" s="382">
        <v>1.0</v>
      </c>
    </row>
    <row r="12917">
      <c r="A12917" s="380" t="s">
        <v>13791</v>
      </c>
      <c r="B12917" s="380" t="str">
        <f>IFERROR(__xludf.DUMMYFUNCTION("""COMPUTED_VALUE"""),"FILT COMB Sb N14 Fleetguard Fs 1000")</f>
        <v>FILT COMB Sb N14 Fleetguard Fs 1000</v>
      </c>
      <c r="C12917" s="380" t="str">
        <f>IFERROR(__xludf.DUMMYFUNCTION("""COMPUTED_VALUE"""),"70008386")</f>
        <v>70008386</v>
      </c>
      <c r="D12917" s="380" t="s">
        <v>767</v>
      </c>
      <c r="E12917" s="380" t="s">
        <v>786</v>
      </c>
      <c r="F12917" s="380" t="s">
        <v>5855</v>
      </c>
      <c r="G12917" s="380" t="s">
        <v>1267</v>
      </c>
      <c r="H12917" s="380" t="s">
        <v>771</v>
      </c>
      <c r="I12917" s="380" t="s">
        <v>788</v>
      </c>
      <c r="J12917" s="380" t="s">
        <v>773</v>
      </c>
      <c r="K12917" s="381">
        <v>0.0</v>
      </c>
      <c r="L12917" s="382">
        <v>1.0</v>
      </c>
    </row>
    <row r="12918">
      <c r="A12918" s="380" t="s">
        <v>13792</v>
      </c>
      <c r="B12918" s="380" t="str">
        <f>IFERROR(__xludf.DUMMYFUNCTION("""COMPUTED_VALUE"""),"Post Enfriador Aire Freig.Rep")</f>
        <v>Post Enfriador Aire Freig.Rep</v>
      </c>
      <c r="C12918" s="380" t="str">
        <f>IFERROR(__xludf.DUMMYFUNCTION("""COMPUTED_VALUE"""),"70008387")</f>
        <v>70008387</v>
      </c>
      <c r="D12918" s="380" t="s">
        <v>767</v>
      </c>
      <c r="E12918" s="380" t="s">
        <v>786</v>
      </c>
      <c r="F12918" s="380" t="s">
        <v>787</v>
      </c>
      <c r="G12918" s="380" t="s">
        <v>1267</v>
      </c>
      <c r="H12918" s="380" t="s">
        <v>771</v>
      </c>
      <c r="I12918" s="380" t="s">
        <v>788</v>
      </c>
      <c r="J12918" s="380" t="s">
        <v>773</v>
      </c>
      <c r="K12918" s="381">
        <v>0.0</v>
      </c>
      <c r="L12918" s="382">
        <v>1.0</v>
      </c>
    </row>
    <row r="12919">
      <c r="A12919" s="380" t="s">
        <v>13793</v>
      </c>
      <c r="B12919" s="380" t="str">
        <f>IFERROR(__xludf.DUMMYFUNCTION("""COMPUTED_VALUE"""),"Volante Embrague Eagle 9400 Reparado")</f>
        <v>Volante Embrague Eagle 9400 Reparado</v>
      </c>
      <c r="C12919" s="380" t="str">
        <f>IFERROR(__xludf.DUMMYFUNCTION("""COMPUTED_VALUE"""),"70008388")</f>
        <v>70008388</v>
      </c>
      <c r="D12919" s="380" t="s">
        <v>767</v>
      </c>
      <c r="E12919" s="380" t="s">
        <v>786</v>
      </c>
      <c r="F12919" s="380" t="s">
        <v>5661</v>
      </c>
      <c r="G12919" s="380" t="s">
        <v>1267</v>
      </c>
      <c r="H12919" s="380" t="s">
        <v>771</v>
      </c>
      <c r="I12919" s="380" t="s">
        <v>788</v>
      </c>
      <c r="J12919" s="380" t="s">
        <v>773</v>
      </c>
      <c r="K12919" s="381">
        <v>0.0</v>
      </c>
      <c r="L12919" s="382">
        <v>1.0</v>
      </c>
    </row>
    <row r="12920">
      <c r="A12920" s="380" t="s">
        <v>13794</v>
      </c>
      <c r="B12920" s="380" t="str">
        <f>IFERROR(__xludf.DUMMYFUNCTION("""COMPUTED_VALUE"""),"Tanque De Acpm Kenworth Reparado")</f>
        <v>Tanque De Acpm Kenworth Reparado</v>
      </c>
      <c r="C12920" s="380" t="str">
        <f>IFERROR(__xludf.DUMMYFUNCTION("""COMPUTED_VALUE"""),"70008389")</f>
        <v>70008389</v>
      </c>
      <c r="D12920" s="380" t="s">
        <v>767</v>
      </c>
      <c r="E12920" s="380" t="s">
        <v>786</v>
      </c>
      <c r="F12920" s="380" t="s">
        <v>792</v>
      </c>
      <c r="G12920" s="380" t="s">
        <v>1267</v>
      </c>
      <c r="H12920" s="380" t="s">
        <v>771</v>
      </c>
      <c r="I12920" s="380" t="s">
        <v>788</v>
      </c>
      <c r="J12920" s="380" t="s">
        <v>773</v>
      </c>
      <c r="K12920" s="381">
        <v>0.0</v>
      </c>
      <c r="L12920" s="382">
        <v>1.0</v>
      </c>
    </row>
    <row r="12921">
      <c r="A12921" s="380" t="s">
        <v>13795</v>
      </c>
      <c r="B12921" s="380" t="str">
        <f>IFERROR(__xludf.DUMMYFUNCTION("""COMPUTED_VALUE"""),"RAD Radiador Motor Isx Hi 9400 Reparado")</f>
        <v>RAD Radiador Motor Isx Hi 9400 Reparado</v>
      </c>
      <c r="C12921" s="380" t="str">
        <f>IFERROR(__xludf.DUMMYFUNCTION("""COMPUTED_VALUE"""),"70008390")</f>
        <v>70008390</v>
      </c>
      <c r="D12921" s="380" t="s">
        <v>767</v>
      </c>
      <c r="E12921" s="380" t="s">
        <v>786</v>
      </c>
      <c r="F12921" s="380" t="s">
        <v>787</v>
      </c>
      <c r="G12921" s="380" t="s">
        <v>1267</v>
      </c>
      <c r="H12921" s="380" t="s">
        <v>771</v>
      </c>
      <c r="I12921" s="380" t="s">
        <v>788</v>
      </c>
      <c r="J12921" s="380" t="s">
        <v>773</v>
      </c>
      <c r="K12921" s="381">
        <v>439664.0</v>
      </c>
      <c r="L12921" s="382">
        <v>1.0</v>
      </c>
    </row>
    <row r="12922">
      <c r="A12922" s="380" t="s">
        <v>13796</v>
      </c>
      <c r="B12922" s="380" t="str">
        <f>IFERROR(__xludf.DUMMYFUNCTION("""COMPUTED_VALUE"""),"Mofle Van N200 Y S.C. Reparado")</f>
        <v>Mofle Van N200 Y S.C. Reparado</v>
      </c>
      <c r="C12922" s="380" t="str">
        <f>IFERROR(__xludf.DUMMYFUNCTION("""COMPUTED_VALUE"""),"70008391")</f>
        <v>70008391</v>
      </c>
      <c r="D12922" s="380" t="s">
        <v>767</v>
      </c>
      <c r="E12922" s="380" t="s">
        <v>786</v>
      </c>
      <c r="F12922" s="380" t="s">
        <v>792</v>
      </c>
      <c r="G12922" s="380" t="s">
        <v>1267</v>
      </c>
      <c r="H12922" s="380" t="s">
        <v>771</v>
      </c>
      <c r="I12922" s="380" t="s">
        <v>788</v>
      </c>
      <c r="J12922" s="380" t="s">
        <v>773</v>
      </c>
      <c r="K12922" s="381">
        <v>0.0</v>
      </c>
      <c r="L12922" s="382">
        <v>1.0</v>
      </c>
    </row>
    <row r="12923">
      <c r="A12923" s="380" t="s">
        <v>13797</v>
      </c>
      <c r="B12923" s="380" t="str">
        <f>IFERROR(__xludf.DUMMYFUNCTION("""COMPUTED_VALUE"""),"Inyector Motor Nhr Sin Turbo Reparado")</f>
        <v>Inyector Motor Nhr Sin Turbo Reparado</v>
      </c>
      <c r="C12923" s="380" t="str">
        <f>IFERROR(__xludf.DUMMYFUNCTION("""COMPUTED_VALUE"""),"70008392")</f>
        <v>70008392</v>
      </c>
      <c r="D12923" s="380" t="s">
        <v>767</v>
      </c>
      <c r="E12923" s="380" t="s">
        <v>786</v>
      </c>
      <c r="F12923" s="380" t="s">
        <v>787</v>
      </c>
      <c r="G12923" s="380" t="s">
        <v>1267</v>
      </c>
      <c r="H12923" s="380" t="s">
        <v>771</v>
      </c>
      <c r="I12923" s="380" t="s">
        <v>788</v>
      </c>
      <c r="J12923" s="380" t="s">
        <v>773</v>
      </c>
      <c r="K12923" s="381">
        <v>0.0</v>
      </c>
      <c r="L12923" s="382">
        <v>1.0</v>
      </c>
    </row>
    <row r="12924">
      <c r="A12924" s="380" t="s">
        <v>13798</v>
      </c>
      <c r="B12924" s="380" t="str">
        <f>IFERROR(__xludf.DUMMYFUNCTION("""COMPUTED_VALUE"""),"Radiador Motor Reparado Hi 4300")</f>
        <v>Radiador Motor Reparado Hi 4300</v>
      </c>
      <c r="C12924" s="380" t="str">
        <f>IFERROR(__xludf.DUMMYFUNCTION("""COMPUTED_VALUE"""),"70008393")</f>
        <v>70008393</v>
      </c>
      <c r="D12924" s="380" t="s">
        <v>767</v>
      </c>
      <c r="E12924" s="380" t="s">
        <v>786</v>
      </c>
      <c r="F12924" s="380" t="s">
        <v>787</v>
      </c>
      <c r="G12924" s="380" t="s">
        <v>1267</v>
      </c>
      <c r="H12924" s="380" t="s">
        <v>771</v>
      </c>
      <c r="I12924" s="380" t="s">
        <v>788</v>
      </c>
      <c r="J12924" s="380" t="s">
        <v>773</v>
      </c>
      <c r="K12924" s="381">
        <v>0.0</v>
      </c>
      <c r="L12924" s="382">
        <v>1.0</v>
      </c>
    </row>
    <row r="12925">
      <c r="A12925" s="380" t="s">
        <v>13799</v>
      </c>
      <c r="B12925" s="380" t="str">
        <f>IFERROR(__xludf.DUMMYFUNCTION("""COMPUTED_VALUE"""),"Modulo Lectora Ibutton Complet Ca 404 C")</f>
        <v>Modulo Lectora Ibutton Complet Ca 404 C</v>
      </c>
      <c r="C12925" s="380" t="str">
        <f>IFERROR(__xludf.DUMMYFUNCTION("""COMPUTED_VALUE"""),"70008394")</f>
        <v>70008394</v>
      </c>
      <c r="D12925" s="380" t="s">
        <v>767</v>
      </c>
      <c r="E12925" s="380" t="s">
        <v>786</v>
      </c>
      <c r="F12925" s="380" t="s">
        <v>998</v>
      </c>
      <c r="G12925" s="380" t="s">
        <v>1267</v>
      </c>
      <c r="H12925" s="380" t="s">
        <v>771</v>
      </c>
      <c r="I12925" s="380" t="s">
        <v>788</v>
      </c>
      <c r="J12925" s="380" t="s">
        <v>773</v>
      </c>
      <c r="K12925" s="381">
        <v>0.0</v>
      </c>
      <c r="L12925" s="382">
        <v>1.0</v>
      </c>
    </row>
    <row r="12926">
      <c r="A12926" s="380" t="s">
        <v>13800</v>
      </c>
      <c r="B12926" s="380" t="str">
        <f>IFERROR(__xludf.DUMMYFUNCTION("""COMPUTED_VALUE"""),"Modulo Expansor De Puerto Seri Ca 732")</f>
        <v>Modulo Expansor De Puerto Seri Ca 732</v>
      </c>
      <c r="C12926" s="380" t="str">
        <f>IFERROR(__xludf.DUMMYFUNCTION("""COMPUTED_VALUE"""),"70008395")</f>
        <v>70008395</v>
      </c>
      <c r="D12926" s="380" t="s">
        <v>767</v>
      </c>
      <c r="E12926" s="380" t="s">
        <v>786</v>
      </c>
      <c r="F12926" s="380" t="s">
        <v>998</v>
      </c>
      <c r="G12926" s="380" t="s">
        <v>1267</v>
      </c>
      <c r="H12926" s="380" t="s">
        <v>771</v>
      </c>
      <c r="I12926" s="380" t="s">
        <v>788</v>
      </c>
      <c r="J12926" s="380" t="s">
        <v>773</v>
      </c>
      <c r="K12926" s="381">
        <v>0.0</v>
      </c>
      <c r="L12926" s="382">
        <v>1.0</v>
      </c>
    </row>
    <row r="12927">
      <c r="A12927" s="380" t="s">
        <v>13801</v>
      </c>
      <c r="B12927" s="380" t="str">
        <f>IFERROR(__xludf.DUMMYFUNCTION("""COMPUTED_VALUE"""),"Filtro Aceite Elemento Freight Hu945/2x")</f>
        <v>Filtro Aceite Elemento Freight Hu945/2x</v>
      </c>
      <c r="C12927" s="380" t="str">
        <f>IFERROR(__xludf.DUMMYFUNCTION("""COMPUTED_VALUE"""),"70008396")</f>
        <v>70008396</v>
      </c>
      <c r="D12927" s="380" t="s">
        <v>767</v>
      </c>
      <c r="E12927" s="380" t="s">
        <v>786</v>
      </c>
      <c r="F12927" s="380" t="s">
        <v>5855</v>
      </c>
      <c r="G12927" s="380" t="s">
        <v>1267</v>
      </c>
      <c r="H12927" s="380" t="s">
        <v>771</v>
      </c>
      <c r="I12927" s="380" t="s">
        <v>788</v>
      </c>
      <c r="J12927" s="380" t="s">
        <v>773</v>
      </c>
      <c r="K12927" s="381">
        <v>0.0</v>
      </c>
      <c r="L12927" s="382">
        <v>1.0</v>
      </c>
    </row>
    <row r="12928">
      <c r="A12928" s="380" t="s">
        <v>13802</v>
      </c>
      <c r="B12928" s="380" t="str">
        <f>IFERROR(__xludf.DUMMYFUNCTION("""COMPUTED_VALUE"""),"Retenedor Rueda Delantera Sb 370048-A")</f>
        <v>Retenedor Rueda Delantera Sb 370048-A</v>
      </c>
      <c r="C12928" s="380" t="str">
        <f>IFERROR(__xludf.DUMMYFUNCTION("""COMPUTED_VALUE"""),"70008397")</f>
        <v>70008397</v>
      </c>
      <c r="D12928" s="380" t="s">
        <v>767</v>
      </c>
      <c r="E12928" s="380" t="s">
        <v>786</v>
      </c>
      <c r="F12928" s="380" t="s">
        <v>1039</v>
      </c>
      <c r="G12928" s="380" t="s">
        <v>1267</v>
      </c>
      <c r="H12928" s="380" t="s">
        <v>771</v>
      </c>
      <c r="I12928" s="380" t="s">
        <v>788</v>
      </c>
      <c r="J12928" s="380" t="s">
        <v>773</v>
      </c>
      <c r="K12928" s="381">
        <v>0.0</v>
      </c>
      <c r="L12928" s="382">
        <v>1.0</v>
      </c>
    </row>
    <row r="12929">
      <c r="A12929" s="380" t="s">
        <v>13803</v>
      </c>
      <c r="B12929" s="380" t="str">
        <f>IFERROR(__xludf.DUMMYFUNCTION("""COMPUTED_VALUE"""),"Filtro Combustible Secundario 959568")</f>
        <v>Filtro Combustible Secundario 959568</v>
      </c>
      <c r="C12929" s="380" t="str">
        <f>IFERROR(__xludf.DUMMYFUNCTION("""COMPUTED_VALUE"""),"70008398")</f>
        <v>70008398</v>
      </c>
      <c r="D12929" s="380" t="s">
        <v>767</v>
      </c>
      <c r="E12929" s="380" t="s">
        <v>786</v>
      </c>
      <c r="F12929" s="380" t="s">
        <v>5855</v>
      </c>
      <c r="G12929" s="380" t="s">
        <v>1267</v>
      </c>
      <c r="H12929" s="380" t="s">
        <v>771</v>
      </c>
      <c r="I12929" s="380" t="s">
        <v>788</v>
      </c>
      <c r="J12929" s="380" t="s">
        <v>773</v>
      </c>
      <c r="K12929" s="381">
        <v>0.0</v>
      </c>
      <c r="L12929" s="382">
        <v>1.0</v>
      </c>
    </row>
    <row r="12930">
      <c r="A12930" s="380" t="s">
        <v>13804</v>
      </c>
      <c r="B12930" s="380" t="str">
        <f>IFERROR(__xludf.DUMMYFUNCTION("""COMPUTED_VALUE"""),"Filtro Aire Foto Bj 1039 988094")</f>
        <v>Filtro Aire Foto Bj 1039 988094</v>
      </c>
      <c r="C12930" s="380" t="str">
        <f>IFERROR(__xludf.DUMMYFUNCTION("""COMPUTED_VALUE"""),"70008399")</f>
        <v>70008399</v>
      </c>
      <c r="D12930" s="380" t="s">
        <v>767</v>
      </c>
      <c r="E12930" s="380" t="s">
        <v>786</v>
      </c>
      <c r="F12930" s="380" t="s">
        <v>5855</v>
      </c>
      <c r="G12930" s="380" t="s">
        <v>1267</v>
      </c>
      <c r="H12930" s="380" t="s">
        <v>771</v>
      </c>
      <c r="I12930" s="380" t="s">
        <v>788</v>
      </c>
      <c r="J12930" s="380" t="s">
        <v>773</v>
      </c>
      <c r="K12930" s="381">
        <v>0.0</v>
      </c>
      <c r="L12930" s="382">
        <v>1.0</v>
      </c>
    </row>
    <row r="12931">
      <c r="A12931" s="380" t="s">
        <v>13805</v>
      </c>
      <c r="B12931" s="380" t="str">
        <f>IFERROR(__xludf.DUMMYFUNCTION("""COMPUTED_VALUE"""),"Banda Freno Tras 4515 Trai Rem Remachada")</f>
        <v>Banda Freno Tras 4515 Trai Rem Remachada</v>
      </c>
      <c r="C12931" s="380" t="str">
        <f>IFERROR(__xludf.DUMMYFUNCTION("""COMPUTED_VALUE"""),"70008400")</f>
        <v>70008400</v>
      </c>
      <c r="D12931" s="380" t="s">
        <v>767</v>
      </c>
      <c r="E12931" s="380" t="s">
        <v>786</v>
      </c>
      <c r="F12931" s="380" t="s">
        <v>1017</v>
      </c>
      <c r="G12931" s="380" t="s">
        <v>1267</v>
      </c>
      <c r="H12931" s="380" t="s">
        <v>771</v>
      </c>
      <c r="I12931" s="380" t="s">
        <v>788</v>
      </c>
      <c r="J12931" s="380" t="s">
        <v>773</v>
      </c>
      <c r="K12931" s="381">
        <v>0.0</v>
      </c>
      <c r="L12931" s="382">
        <v>1.0</v>
      </c>
    </row>
    <row r="12932">
      <c r="A12932" s="380" t="s">
        <v>13806</v>
      </c>
      <c r="B12932" s="380" t="str">
        <f>IFERROR(__xludf.DUMMYFUNCTION("""COMPUTED_VALUE"""),"Casquetes Tapa Biela Fracturad 3686436")</f>
        <v>Casquetes Tapa Biela Fracturad 3686436</v>
      </c>
      <c r="C12932" s="380" t="str">
        <f>IFERROR(__xludf.DUMMYFUNCTION("""COMPUTED_VALUE"""),"70008401")</f>
        <v>70008401</v>
      </c>
      <c r="D12932" s="380" t="s">
        <v>767</v>
      </c>
      <c r="E12932" s="380" t="s">
        <v>786</v>
      </c>
      <c r="F12932" s="380" t="s">
        <v>787</v>
      </c>
      <c r="G12932" s="380" t="s">
        <v>1267</v>
      </c>
      <c r="H12932" s="380" t="s">
        <v>771</v>
      </c>
      <c r="I12932" s="380" t="s">
        <v>788</v>
      </c>
      <c r="J12932" s="380" t="s">
        <v>773</v>
      </c>
      <c r="K12932" s="381">
        <v>0.0</v>
      </c>
      <c r="L12932" s="382">
        <v>1.0</v>
      </c>
    </row>
    <row r="12933">
      <c r="A12933" s="380" t="s">
        <v>13807</v>
      </c>
      <c r="B12933" s="380" t="str">
        <f>IFERROR(__xludf.DUMMYFUNCTION("""COMPUTED_VALUE"""),"Tapacubo Cf Co2e4 Co2e3 Foton 1023981101")</f>
        <v>Tapacubo Cf Co2e4 Co2e3 Foton 1023981101</v>
      </c>
      <c r="C12933" s="380" t="str">
        <f>IFERROR(__xludf.DUMMYFUNCTION("""COMPUTED_VALUE"""),"70008402")</f>
        <v>70008402</v>
      </c>
      <c r="D12933" s="380" t="s">
        <v>767</v>
      </c>
      <c r="E12933" s="380" t="s">
        <v>786</v>
      </c>
      <c r="F12933" s="380" t="s">
        <v>1039</v>
      </c>
      <c r="G12933" s="380" t="s">
        <v>1267</v>
      </c>
      <c r="H12933" s="380" t="s">
        <v>771</v>
      </c>
      <c r="I12933" s="380" t="s">
        <v>788</v>
      </c>
      <c r="J12933" s="380" t="s">
        <v>773</v>
      </c>
      <c r="K12933" s="381">
        <v>0.0</v>
      </c>
      <c r="L12933" s="382">
        <v>1.0</v>
      </c>
    </row>
    <row r="12934">
      <c r="A12934" s="380" t="s">
        <v>13808</v>
      </c>
      <c r="B12934" s="380" t="str">
        <f>IFERROR(__xludf.DUMMYFUNCTION("""COMPUTED_VALUE"""),"Mecanismo Palanca Cambios Fot 1023085892")</f>
        <v>Mecanismo Palanca Cambios Fot 1023085892</v>
      </c>
      <c r="C12934" s="380" t="str">
        <f>IFERROR(__xludf.DUMMYFUNCTION("""COMPUTED_VALUE"""),"70008403")</f>
        <v>70008403</v>
      </c>
      <c r="D12934" s="380" t="s">
        <v>767</v>
      </c>
      <c r="E12934" s="380" t="s">
        <v>786</v>
      </c>
      <c r="F12934" s="380" t="s">
        <v>928</v>
      </c>
      <c r="G12934" s="380" t="s">
        <v>1267</v>
      </c>
      <c r="H12934" s="380" t="s">
        <v>771</v>
      </c>
      <c r="I12934" s="380" t="s">
        <v>788</v>
      </c>
      <c r="J12934" s="380" t="s">
        <v>773</v>
      </c>
      <c r="K12934" s="381">
        <v>0.0</v>
      </c>
      <c r="L12934" s="382">
        <v>1.0</v>
      </c>
    </row>
    <row r="12935">
      <c r="A12935" s="380" t="s">
        <v>13809</v>
      </c>
      <c r="B12935" s="380" t="str">
        <f>IFERROR(__xludf.DUMMYFUNCTION("""COMPUTED_VALUE"""),"FILT COMB PRIM Ja 1105102ld3")</f>
        <v>FILT COMB PRIM Ja 1105102ld3</v>
      </c>
      <c r="C12935" s="380" t="str">
        <f>IFERROR(__xludf.DUMMYFUNCTION("""COMPUTED_VALUE"""),"70008404")</f>
        <v>70008404</v>
      </c>
      <c r="D12935" s="380" t="s">
        <v>767</v>
      </c>
      <c r="E12935" s="380" t="s">
        <v>786</v>
      </c>
      <c r="F12935" s="380" t="s">
        <v>5855</v>
      </c>
      <c r="G12935" s="380" t="s">
        <v>1267</v>
      </c>
      <c r="H12935" s="380" t="s">
        <v>771</v>
      </c>
      <c r="I12935" s="380" t="s">
        <v>788</v>
      </c>
      <c r="J12935" s="380" t="s">
        <v>773</v>
      </c>
      <c r="K12935" s="381">
        <v>0.0</v>
      </c>
      <c r="L12935" s="382">
        <v>1.0</v>
      </c>
    </row>
    <row r="12936">
      <c r="A12936" s="380" t="s">
        <v>13810</v>
      </c>
      <c r="B12936" s="380" t="str">
        <f>IFERROR(__xludf.DUMMYFUNCTION("""COMPUTED_VALUE"""),"Kit MOT Actuadores Isx EGL Kisx408998")</f>
        <v>Kit MOT Actuadores Isx EGL Kisx408998</v>
      </c>
      <c r="C12936" s="380" t="str">
        <f>IFERROR(__xludf.DUMMYFUNCTION("""COMPUTED_VALUE"""),"70008405")</f>
        <v>70008405</v>
      </c>
      <c r="D12936" s="380" t="s">
        <v>767</v>
      </c>
      <c r="E12936" s="380" t="s">
        <v>786</v>
      </c>
      <c r="F12936" s="380" t="s">
        <v>787</v>
      </c>
      <c r="G12936" s="380" t="s">
        <v>1267</v>
      </c>
      <c r="H12936" s="380" t="s">
        <v>771</v>
      </c>
      <c r="I12936" s="380" t="s">
        <v>788</v>
      </c>
      <c r="J12936" s="380" t="s">
        <v>773</v>
      </c>
      <c r="K12936" s="381">
        <v>0.0</v>
      </c>
      <c r="L12936" s="382">
        <v>1.0</v>
      </c>
    </row>
    <row r="12937">
      <c r="A12937" s="380" t="s">
        <v>13811</v>
      </c>
      <c r="B12937" s="380" t="str">
        <f>IFERROR(__xludf.DUMMYFUNCTION("""COMPUTED_VALUE"""),"Parabrisas Laminado FT Est Amt H45210000")</f>
        <v>Parabrisas Laminado FT Est Amt H45210000</v>
      </c>
      <c r="C12937" s="380" t="str">
        <f>IFERROR(__xludf.DUMMYFUNCTION("""COMPUTED_VALUE"""),"70008406")</f>
        <v>70008406</v>
      </c>
      <c r="D12937" s="380" t="s">
        <v>767</v>
      </c>
      <c r="E12937" s="380" t="s">
        <v>786</v>
      </c>
      <c r="F12937" s="380" t="s">
        <v>792</v>
      </c>
      <c r="G12937" s="380" t="s">
        <v>1267</v>
      </c>
      <c r="H12937" s="380" t="s">
        <v>771</v>
      </c>
      <c r="I12937" s="380" t="s">
        <v>788</v>
      </c>
      <c r="J12937" s="380" t="s">
        <v>773</v>
      </c>
      <c r="K12937" s="381">
        <v>0.0</v>
      </c>
      <c r="L12937" s="382">
        <v>1.0</v>
      </c>
    </row>
    <row r="12938">
      <c r="A12938" s="380" t="s">
        <v>13812</v>
      </c>
      <c r="B12938" s="380" t="str">
        <f>IFERROR(__xludf.DUMMYFUNCTION("""COMPUTED_VALUE"""),"Resorte Capo Eagle 9400 1666752c3")</f>
        <v>Resorte Capo Eagle 9400 1666752c3</v>
      </c>
      <c r="C12938" s="380" t="str">
        <f>IFERROR(__xludf.DUMMYFUNCTION("""COMPUTED_VALUE"""),"70008407")</f>
        <v>70008407</v>
      </c>
      <c r="D12938" s="380" t="s">
        <v>767</v>
      </c>
      <c r="E12938" s="380" t="s">
        <v>786</v>
      </c>
      <c r="F12938" s="380" t="s">
        <v>792</v>
      </c>
      <c r="G12938" s="380" t="s">
        <v>1267</v>
      </c>
      <c r="H12938" s="380" t="s">
        <v>771</v>
      </c>
      <c r="I12938" s="380" t="s">
        <v>788</v>
      </c>
      <c r="J12938" s="380" t="s">
        <v>773</v>
      </c>
      <c r="K12938" s="381">
        <v>0.0</v>
      </c>
      <c r="L12938" s="382">
        <v>1.0</v>
      </c>
    </row>
    <row r="12939">
      <c r="A12939" s="380" t="s">
        <v>13813</v>
      </c>
      <c r="B12939" s="380" t="str">
        <f>IFERROR(__xludf.DUMMYFUNCTION("""COMPUTED_VALUE"""),"Arandela Reten Del Propulsor FT 1129 770")</f>
        <v>Arandela Reten Del Propulsor FT 1129 770</v>
      </c>
      <c r="C12939" s="380" t="str">
        <f>IFERROR(__xludf.DUMMYFUNCTION("""COMPUTED_VALUE"""),"70008408")</f>
        <v>70008408</v>
      </c>
      <c r="D12939" s="380" t="s">
        <v>767</v>
      </c>
      <c r="E12939" s="380" t="s">
        <v>786</v>
      </c>
      <c r="F12939" s="380" t="s">
        <v>928</v>
      </c>
      <c r="G12939" s="380" t="s">
        <v>1267</v>
      </c>
      <c r="H12939" s="380" t="s">
        <v>771</v>
      </c>
      <c r="I12939" s="380" t="s">
        <v>788</v>
      </c>
      <c r="J12939" s="380" t="s">
        <v>773</v>
      </c>
      <c r="K12939" s="381">
        <v>0.0</v>
      </c>
      <c r="L12939" s="382">
        <v>1.0</v>
      </c>
    </row>
    <row r="12940">
      <c r="A12940" s="380" t="s">
        <v>13814</v>
      </c>
      <c r="B12940" s="380" t="str">
        <f>IFERROR(__xludf.DUMMYFUNCTION("""COMPUTED_VALUE"""),"Carcaza INF Retovisor Daf Cf480 Ftt 1644")</f>
        <v>Carcaza INF Retovisor Daf Cf480 Ftt 1644</v>
      </c>
      <c r="C12940" s="380" t="str">
        <f>IFERROR(__xludf.DUMMYFUNCTION("""COMPUTED_VALUE"""),"70008409")</f>
        <v>70008409</v>
      </c>
      <c r="D12940" s="380" t="s">
        <v>767</v>
      </c>
      <c r="E12940" s="380" t="s">
        <v>786</v>
      </c>
      <c r="F12940" s="380" t="s">
        <v>792</v>
      </c>
      <c r="G12940" s="380" t="s">
        <v>1267</v>
      </c>
      <c r="H12940" s="380" t="s">
        <v>771</v>
      </c>
      <c r="I12940" s="380" t="s">
        <v>788</v>
      </c>
      <c r="J12940" s="380" t="s">
        <v>773</v>
      </c>
      <c r="K12940" s="381">
        <v>0.0</v>
      </c>
      <c r="L12940" s="382">
        <v>1.0</v>
      </c>
    </row>
    <row r="12941">
      <c r="A12941" s="380" t="s">
        <v>13815</v>
      </c>
      <c r="B12941" s="380" t="str">
        <f>IFERROR(__xludf.DUMMYFUNCTION("""COMPUTED_VALUE"""),"Corona Y Speed 8:39 Jac 1120 Be33480470")</f>
        <v>Corona Y Speed 8:39 Jac 1120 Be33480470</v>
      </c>
      <c r="C12941" s="380" t="str">
        <f>IFERROR(__xludf.DUMMYFUNCTION("""COMPUTED_VALUE"""),"70008410")</f>
        <v>70008410</v>
      </c>
      <c r="D12941" s="380" t="s">
        <v>767</v>
      </c>
      <c r="E12941" s="380" t="s">
        <v>786</v>
      </c>
      <c r="F12941" s="380" t="s">
        <v>5683</v>
      </c>
      <c r="G12941" s="380" t="s">
        <v>1267</v>
      </c>
      <c r="H12941" s="380" t="s">
        <v>771</v>
      </c>
      <c r="I12941" s="380" t="s">
        <v>788</v>
      </c>
      <c r="J12941" s="380" t="s">
        <v>773</v>
      </c>
      <c r="K12941" s="381">
        <v>0.0</v>
      </c>
      <c r="L12941" s="382">
        <v>1.0</v>
      </c>
    </row>
    <row r="12942">
      <c r="A12942" s="380" t="s">
        <v>13816</v>
      </c>
      <c r="B12942" s="380" t="str">
        <f>IFERROR(__xludf.DUMMYFUNCTION("""COMPUTED_VALUE"""),"Filtro Aire Motor Sb N14 Goby Ag971001a")</f>
        <v>Filtro Aire Motor Sb N14 Goby Ag971001a</v>
      </c>
      <c r="C12942" s="380" t="str">
        <f>IFERROR(__xludf.DUMMYFUNCTION("""COMPUTED_VALUE"""),"70008411")</f>
        <v>70008411</v>
      </c>
      <c r="D12942" s="380" t="s">
        <v>767</v>
      </c>
      <c r="E12942" s="380" t="s">
        <v>786</v>
      </c>
      <c r="F12942" s="380" t="s">
        <v>5855</v>
      </c>
      <c r="G12942" s="380" t="s">
        <v>1267</v>
      </c>
      <c r="H12942" s="380" t="s">
        <v>771</v>
      </c>
      <c r="I12942" s="380" t="s">
        <v>788</v>
      </c>
      <c r="J12942" s="380" t="s">
        <v>773</v>
      </c>
      <c r="K12942" s="381">
        <v>0.0</v>
      </c>
      <c r="L12942" s="382">
        <v>1.0</v>
      </c>
    </row>
    <row r="12943">
      <c r="A12943" s="380" t="s">
        <v>13817</v>
      </c>
      <c r="B12943" s="380" t="str">
        <f>IFERROR(__xludf.DUMMYFUNCTION("""COMPUTED_VALUE"""),"Filtro Aire Motor Hi 4300 Goby Ag961012r")</f>
        <v>Filtro Aire Motor Hi 4300 Goby Ag961012r</v>
      </c>
      <c r="C12943" s="380" t="str">
        <f>IFERROR(__xludf.DUMMYFUNCTION("""COMPUTED_VALUE"""),"70008412")</f>
        <v>70008412</v>
      </c>
      <c r="D12943" s="380" t="s">
        <v>767</v>
      </c>
      <c r="E12943" s="380" t="s">
        <v>786</v>
      </c>
      <c r="F12943" s="380" t="s">
        <v>5855</v>
      </c>
      <c r="G12943" s="380" t="s">
        <v>1267</v>
      </c>
      <c r="H12943" s="380" t="s">
        <v>771</v>
      </c>
      <c r="I12943" s="380" t="s">
        <v>788</v>
      </c>
      <c r="J12943" s="380" t="s">
        <v>773</v>
      </c>
      <c r="K12943" s="381">
        <v>0.0</v>
      </c>
      <c r="L12943" s="382">
        <v>1.0</v>
      </c>
    </row>
    <row r="12944">
      <c r="A12944" s="380" t="s">
        <v>13818</v>
      </c>
      <c r="B12944" s="380" t="str">
        <f>IFERROR(__xludf.DUMMYFUNCTION("""COMPUTED_VALUE"""),"FILT AIR Hi 4700 Electron Goby Ag971011r")</f>
        <v>FILT AIR Hi 4700 Electron Goby Ag971011r</v>
      </c>
      <c r="C12944" s="380" t="str">
        <f>IFERROR(__xludf.DUMMYFUNCTION("""COMPUTED_VALUE"""),"70008413")</f>
        <v>70008413</v>
      </c>
      <c r="D12944" s="380" t="s">
        <v>767</v>
      </c>
      <c r="E12944" s="380" t="s">
        <v>786</v>
      </c>
      <c r="F12944" s="380" t="s">
        <v>5855</v>
      </c>
      <c r="G12944" s="380" t="s">
        <v>1267</v>
      </c>
      <c r="H12944" s="380" t="s">
        <v>771</v>
      </c>
      <c r="I12944" s="380" t="s">
        <v>788</v>
      </c>
      <c r="J12944" s="380" t="s">
        <v>773</v>
      </c>
      <c r="K12944" s="381">
        <v>0.0</v>
      </c>
      <c r="L12944" s="382">
        <v>1.0</v>
      </c>
    </row>
    <row r="12945">
      <c r="A12945" s="380" t="s">
        <v>13819</v>
      </c>
      <c r="B12945" s="380" t="str">
        <f>IFERROR(__xludf.DUMMYFUNCTION("""COMPUTED_VALUE"""),"Cable Resorte Pta Tipo Cort Nk 300")</f>
        <v>Cable Resorte Pta Tipo Cort Nk 300</v>
      </c>
      <c r="C12945" s="380" t="str">
        <f>IFERROR(__xludf.DUMMYFUNCTION("""COMPUTED_VALUE"""),"70008414")</f>
        <v>70008414</v>
      </c>
      <c r="D12945" s="380" t="s">
        <v>767</v>
      </c>
      <c r="E12945" s="380" t="s">
        <v>786</v>
      </c>
      <c r="F12945" s="380" t="s">
        <v>792</v>
      </c>
      <c r="G12945" s="380" t="s">
        <v>1267</v>
      </c>
      <c r="H12945" s="380" t="s">
        <v>771</v>
      </c>
      <c r="I12945" s="380" t="s">
        <v>788</v>
      </c>
      <c r="J12945" s="380" t="s">
        <v>773</v>
      </c>
      <c r="K12945" s="381">
        <v>0.0</v>
      </c>
      <c r="L12945" s="382">
        <v>1.0</v>
      </c>
    </row>
    <row r="12946">
      <c r="A12946" s="380" t="s">
        <v>13820</v>
      </c>
      <c r="B12946" s="380" t="str">
        <f>IFERROR(__xludf.DUMMYFUNCTION("""COMPUTED_VALUE"""),"Juego Cornetas Nk")</f>
        <v>Juego Cornetas Nk</v>
      </c>
      <c r="C12946" s="380" t="str">
        <f>IFERROR(__xludf.DUMMYFUNCTION("""COMPUTED_VALUE"""),"70008415")</f>
        <v>70008415</v>
      </c>
      <c r="D12946" s="380" t="s">
        <v>767</v>
      </c>
      <c r="E12946" s="380" t="s">
        <v>786</v>
      </c>
      <c r="F12946" s="380" t="s">
        <v>1031</v>
      </c>
      <c r="G12946" s="380" t="s">
        <v>1267</v>
      </c>
      <c r="H12946" s="380" t="s">
        <v>771</v>
      </c>
      <c r="I12946" s="380" t="s">
        <v>788</v>
      </c>
      <c r="J12946" s="380" t="s">
        <v>773</v>
      </c>
      <c r="K12946" s="381">
        <v>0.0</v>
      </c>
      <c r="L12946" s="382">
        <v>1.0</v>
      </c>
    </row>
    <row r="12947">
      <c r="A12947" s="380" t="s">
        <v>13821</v>
      </c>
      <c r="B12947" s="380" t="str">
        <f>IFERROR(__xludf.DUMMYFUNCTION("""COMPUTED_VALUE"""),"Kit Empaque Superior Motor Isx 4955595")</f>
        <v>Kit Empaque Superior Motor Isx 4955595</v>
      </c>
      <c r="C12947" s="380" t="str">
        <f>IFERROR(__xludf.DUMMYFUNCTION("""COMPUTED_VALUE"""),"70008416")</f>
        <v>70008416</v>
      </c>
      <c r="D12947" s="380" t="s">
        <v>767</v>
      </c>
      <c r="E12947" s="380" t="s">
        <v>786</v>
      </c>
      <c r="F12947" s="380" t="s">
        <v>787</v>
      </c>
      <c r="G12947" s="380" t="s">
        <v>1267</v>
      </c>
      <c r="H12947" s="380" t="s">
        <v>771</v>
      </c>
      <c r="I12947" s="380" t="s">
        <v>788</v>
      </c>
      <c r="J12947" s="380" t="s">
        <v>773</v>
      </c>
      <c r="K12947" s="381">
        <v>0.0</v>
      </c>
      <c r="L12947" s="382">
        <v>1.0</v>
      </c>
    </row>
    <row r="12948">
      <c r="A12948" s="380" t="s">
        <v>13822</v>
      </c>
      <c r="B12948" s="380" t="str">
        <f>IFERROR(__xludf.DUMMYFUNCTION("""COMPUTED_VALUE"""),"Tubo Retorno Combustible Frr 8")</f>
        <v>Tubo Retorno Combustible Frr 8</v>
      </c>
      <c r="C12948" s="380" t="str">
        <f>IFERROR(__xludf.DUMMYFUNCTION("""COMPUTED_VALUE"""),"70008420")</f>
        <v>70008420</v>
      </c>
      <c r="D12948" s="380" t="s">
        <v>767</v>
      </c>
      <c r="E12948" s="380" t="s">
        <v>786</v>
      </c>
      <c r="F12948" s="380" t="s">
        <v>787</v>
      </c>
      <c r="G12948" s="380" t="s">
        <v>1267</v>
      </c>
      <c r="H12948" s="380" t="s">
        <v>771</v>
      </c>
      <c r="I12948" s="380" t="s">
        <v>788</v>
      </c>
      <c r="J12948" s="380" t="s">
        <v>773</v>
      </c>
      <c r="K12948" s="381">
        <v>0.0</v>
      </c>
      <c r="L12948" s="382">
        <v>1.0</v>
      </c>
    </row>
    <row r="12949">
      <c r="A12949" s="380" t="s">
        <v>13823</v>
      </c>
      <c r="B12949" s="380" t="str">
        <f>IFERROR(__xludf.DUMMYFUNCTION("""COMPUTED_VALUE"""),"Soporte Motor Tras Der Nkr 100")</f>
        <v>Soporte Motor Tras Der Nkr 100</v>
      </c>
      <c r="C12949" s="380" t="str">
        <f>IFERROR(__xludf.DUMMYFUNCTION("""COMPUTED_VALUE"""),"70008421")</f>
        <v>70008421</v>
      </c>
      <c r="D12949" s="380" t="s">
        <v>767</v>
      </c>
      <c r="E12949" s="380" t="s">
        <v>786</v>
      </c>
      <c r="F12949" s="380" t="s">
        <v>792</v>
      </c>
      <c r="G12949" s="380" t="s">
        <v>1267</v>
      </c>
      <c r="H12949" s="380" t="s">
        <v>771</v>
      </c>
      <c r="I12949" s="380" t="s">
        <v>788</v>
      </c>
      <c r="J12949" s="380" t="s">
        <v>773</v>
      </c>
      <c r="K12949" s="381">
        <v>0.0</v>
      </c>
      <c r="L12949" s="382">
        <v>1.0</v>
      </c>
    </row>
    <row r="12950">
      <c r="A12950" s="380" t="s">
        <v>13824</v>
      </c>
      <c r="B12950" s="380" t="str">
        <f>IFERROR(__xludf.DUMMYFUNCTION("""COMPUTED_VALUE"""),"Rodamiento Int Rueda Del Ftr H")</f>
        <v>Rodamiento Int Rueda Del Ftr H</v>
      </c>
      <c r="C12950" s="380" t="str">
        <f>IFERROR(__xludf.DUMMYFUNCTION("""COMPUTED_VALUE"""),"70008422")</f>
        <v>70008422</v>
      </c>
      <c r="D12950" s="380" t="s">
        <v>767</v>
      </c>
      <c r="E12950" s="380" t="s">
        <v>786</v>
      </c>
      <c r="F12950" s="380" t="s">
        <v>1039</v>
      </c>
      <c r="G12950" s="380" t="s">
        <v>1267</v>
      </c>
      <c r="H12950" s="380" t="s">
        <v>771</v>
      </c>
      <c r="I12950" s="380" t="s">
        <v>788</v>
      </c>
      <c r="J12950" s="380" t="s">
        <v>773</v>
      </c>
      <c r="K12950" s="381">
        <v>0.0</v>
      </c>
      <c r="L12950" s="382">
        <v>1.0</v>
      </c>
    </row>
    <row r="12951">
      <c r="A12951" s="380" t="s">
        <v>13825</v>
      </c>
      <c r="B12951" s="380" t="str">
        <f>IFERROR(__xludf.DUMMYFUNCTION("""COMPUTED_VALUE"""),"Rodamiento Ext Rueda Del Ftr H")</f>
        <v>Rodamiento Ext Rueda Del Ftr H</v>
      </c>
      <c r="C12951" s="380" t="str">
        <f>IFERROR(__xludf.DUMMYFUNCTION("""COMPUTED_VALUE"""),"70008423")</f>
        <v>70008423</v>
      </c>
      <c r="D12951" s="380" t="s">
        <v>767</v>
      </c>
      <c r="E12951" s="380" t="s">
        <v>786</v>
      </c>
      <c r="F12951" s="380" t="s">
        <v>1039</v>
      </c>
      <c r="G12951" s="380" t="s">
        <v>1267</v>
      </c>
      <c r="H12951" s="380" t="s">
        <v>771</v>
      </c>
      <c r="I12951" s="380" t="s">
        <v>788</v>
      </c>
      <c r="J12951" s="380" t="s">
        <v>773</v>
      </c>
      <c r="K12951" s="381">
        <v>0.0</v>
      </c>
      <c r="L12951" s="382">
        <v>1.0</v>
      </c>
    </row>
    <row r="12952">
      <c r="A12952" s="380" t="s">
        <v>13826</v>
      </c>
      <c r="B12952" s="380" t="str">
        <f>IFERROR(__xludf.DUMMYFUNCTION("""COMPUTED_VALUE"""),"Stop Izquierdo Foton 1030 7705")</f>
        <v>Stop Izquierdo Foton 1030 7705</v>
      </c>
      <c r="C12952" s="380" t="str">
        <f>IFERROR(__xludf.DUMMYFUNCTION("""COMPUTED_VALUE"""),"70008424")</f>
        <v>70008424</v>
      </c>
      <c r="D12952" s="380" t="s">
        <v>767</v>
      </c>
      <c r="E12952" s="380" t="s">
        <v>786</v>
      </c>
      <c r="F12952" s="380" t="s">
        <v>998</v>
      </c>
      <c r="G12952" s="380" t="s">
        <v>1267</v>
      </c>
      <c r="H12952" s="380" t="s">
        <v>771</v>
      </c>
      <c r="I12952" s="380" t="s">
        <v>788</v>
      </c>
      <c r="J12952" s="380" t="s">
        <v>773</v>
      </c>
      <c r="K12952" s="381">
        <v>0.0</v>
      </c>
      <c r="L12952" s="382">
        <v>1.0</v>
      </c>
    </row>
    <row r="12953">
      <c r="A12953" s="380" t="s">
        <v>13827</v>
      </c>
      <c r="B12953" s="380" t="str">
        <f>IFERROR(__xludf.DUMMYFUNCTION("""COMPUTED_VALUE"""),"Sensor Nivel Refri Foton 1128")</f>
        <v>Sensor Nivel Refri Foton 1128</v>
      </c>
      <c r="C12953" s="380" t="str">
        <f>IFERROR(__xludf.DUMMYFUNCTION("""COMPUTED_VALUE"""),"70008425")</f>
        <v>70008425</v>
      </c>
      <c r="D12953" s="380" t="s">
        <v>767</v>
      </c>
      <c r="E12953" s="380" t="s">
        <v>786</v>
      </c>
      <c r="F12953" s="380" t="s">
        <v>998</v>
      </c>
      <c r="G12953" s="380" t="s">
        <v>1267</v>
      </c>
      <c r="H12953" s="380" t="s">
        <v>771</v>
      </c>
      <c r="I12953" s="380" t="s">
        <v>788</v>
      </c>
      <c r="J12953" s="380" t="s">
        <v>773</v>
      </c>
      <c r="K12953" s="381">
        <v>0.0</v>
      </c>
      <c r="L12953" s="382">
        <v>1.0</v>
      </c>
    </row>
    <row r="12954">
      <c r="A12954" s="380" t="s">
        <v>13828</v>
      </c>
      <c r="B12954" s="380" t="str">
        <f>IFERROR(__xludf.DUMMYFUNCTION("""COMPUTED_VALUE"""),"Escotilla Izq. Aire Eagle")</f>
        <v>Escotilla Izq. Aire Eagle</v>
      </c>
      <c r="C12954" s="380" t="str">
        <f>IFERROR(__xludf.DUMMYFUNCTION("""COMPUTED_VALUE"""),"70008426")</f>
        <v>70008426</v>
      </c>
      <c r="D12954" s="380" t="s">
        <v>767</v>
      </c>
      <c r="E12954" s="380" t="s">
        <v>786</v>
      </c>
      <c r="F12954" s="380" t="s">
        <v>792</v>
      </c>
      <c r="G12954" s="380" t="s">
        <v>1267</v>
      </c>
      <c r="H12954" s="380" t="s">
        <v>771</v>
      </c>
      <c r="I12954" s="380" t="s">
        <v>788</v>
      </c>
      <c r="J12954" s="380" t="s">
        <v>773</v>
      </c>
      <c r="K12954" s="381">
        <v>0.0</v>
      </c>
      <c r="L12954" s="382">
        <v>1.0</v>
      </c>
    </row>
    <row r="12955">
      <c r="A12955" s="380" t="s">
        <v>13829</v>
      </c>
      <c r="B12955" s="380" t="str">
        <f>IFERROR(__xludf.DUMMYFUNCTION("""COMPUTED_VALUE"""),"Evaporador A/C Foton 1128 7705")</f>
        <v>Evaporador A/C Foton 1128 7705</v>
      </c>
      <c r="C12955" s="380" t="str">
        <f>IFERROR(__xludf.DUMMYFUNCTION("""COMPUTED_VALUE"""),"70008427")</f>
        <v>70008427</v>
      </c>
      <c r="D12955" s="380" t="s">
        <v>767</v>
      </c>
      <c r="E12955" s="380" t="s">
        <v>786</v>
      </c>
      <c r="F12955" s="380" t="s">
        <v>1031</v>
      </c>
      <c r="G12955" s="380" t="s">
        <v>1267</v>
      </c>
      <c r="H12955" s="380" t="s">
        <v>771</v>
      </c>
      <c r="I12955" s="380" t="s">
        <v>788</v>
      </c>
      <c r="J12955" s="380" t="s">
        <v>773</v>
      </c>
      <c r="K12955" s="381">
        <v>0.0</v>
      </c>
      <c r="L12955" s="382">
        <v>1.0</v>
      </c>
    </row>
    <row r="12956">
      <c r="A12956" s="380" t="s">
        <v>13830</v>
      </c>
      <c r="B12956" s="380" t="str">
        <f>IFERROR(__xludf.DUMMYFUNCTION("""COMPUTED_VALUE"""),"Manija Ext Puerta Tras Sunray")</f>
        <v>Manija Ext Puerta Tras Sunray</v>
      </c>
      <c r="C12956" s="380" t="str">
        <f>IFERROR(__xludf.DUMMYFUNCTION("""COMPUTED_VALUE"""),"70008428")</f>
        <v>70008428</v>
      </c>
      <c r="D12956" s="380" t="s">
        <v>767</v>
      </c>
      <c r="E12956" s="380" t="s">
        <v>786</v>
      </c>
      <c r="F12956" s="380" t="s">
        <v>792</v>
      </c>
      <c r="G12956" s="380" t="s">
        <v>1267</v>
      </c>
      <c r="H12956" s="380" t="s">
        <v>771</v>
      </c>
      <c r="I12956" s="380" t="s">
        <v>788</v>
      </c>
      <c r="J12956" s="380" t="s">
        <v>773</v>
      </c>
      <c r="K12956" s="381">
        <v>0.0</v>
      </c>
      <c r="L12956" s="382">
        <v>1.0</v>
      </c>
    </row>
    <row r="12957">
      <c r="A12957" s="380" t="s">
        <v>13831</v>
      </c>
      <c r="B12957" s="380" t="str">
        <f>IFERROR(__xludf.DUMMYFUNCTION("""COMPUTED_VALUE"""),"Exploradora Izq Foton 4269 H43")</f>
        <v>Exploradora Izq Foton 4269 H43</v>
      </c>
      <c r="C12957" s="380" t="str">
        <f>IFERROR(__xludf.DUMMYFUNCTION("""COMPUTED_VALUE"""),"70008429")</f>
        <v>70008429</v>
      </c>
      <c r="D12957" s="380" t="s">
        <v>767</v>
      </c>
      <c r="E12957" s="380" t="s">
        <v>786</v>
      </c>
      <c r="F12957" s="380" t="s">
        <v>998</v>
      </c>
      <c r="G12957" s="380" t="s">
        <v>1267</v>
      </c>
      <c r="H12957" s="380" t="s">
        <v>771</v>
      </c>
      <c r="I12957" s="380" t="s">
        <v>788</v>
      </c>
      <c r="J12957" s="380" t="s">
        <v>773</v>
      </c>
      <c r="K12957" s="381">
        <v>0.0</v>
      </c>
      <c r="L12957" s="382">
        <v>1.0</v>
      </c>
    </row>
    <row r="12958">
      <c r="A12958" s="380" t="s">
        <v>13832</v>
      </c>
      <c r="B12958" s="380" t="str">
        <f>IFERROR(__xludf.DUMMYFUNCTION("""COMPUTED_VALUE"""),"Tuerca Inyector Urea Lt Fabric")</f>
        <v>Tuerca Inyector Urea Lt Fabric</v>
      </c>
      <c r="C12958" s="380" t="str">
        <f>IFERROR(__xludf.DUMMYFUNCTION("""COMPUTED_VALUE"""),"70008430")</f>
        <v>70008430</v>
      </c>
      <c r="D12958" s="380" t="s">
        <v>767</v>
      </c>
      <c r="E12958" s="380" t="s">
        <v>786</v>
      </c>
      <c r="F12958" s="380" t="s">
        <v>787</v>
      </c>
      <c r="G12958" s="380" t="s">
        <v>1267</v>
      </c>
      <c r="H12958" s="380" t="s">
        <v>771</v>
      </c>
      <c r="I12958" s="380" t="s">
        <v>788</v>
      </c>
      <c r="J12958" s="380" t="s">
        <v>773</v>
      </c>
      <c r="K12958" s="381">
        <v>0.0</v>
      </c>
      <c r="L12958" s="382">
        <v>1.0</v>
      </c>
    </row>
    <row r="12959">
      <c r="A12959" s="380" t="s">
        <v>13833</v>
      </c>
      <c r="B12959" s="380" t="str">
        <f>IFERROR(__xludf.DUMMYFUNCTION("""COMPUTED_VALUE"""),"Caucho Pedal Freno/Clucth Lt 4")</f>
        <v>Caucho Pedal Freno/Clucth Lt 4</v>
      </c>
      <c r="C12959" s="380" t="str">
        <f>IFERROR(__xludf.DUMMYFUNCTION("""COMPUTED_VALUE"""),"70008431")</f>
        <v>70008431</v>
      </c>
      <c r="D12959" s="380" t="s">
        <v>767</v>
      </c>
      <c r="E12959" s="380" t="s">
        <v>786</v>
      </c>
      <c r="F12959" s="380" t="s">
        <v>1017</v>
      </c>
      <c r="G12959" s="380" t="s">
        <v>1267</v>
      </c>
      <c r="H12959" s="380" t="s">
        <v>771</v>
      </c>
      <c r="I12959" s="380" t="s">
        <v>788</v>
      </c>
      <c r="J12959" s="380" t="s">
        <v>773</v>
      </c>
      <c r="K12959" s="381">
        <v>0.0</v>
      </c>
      <c r="L12959" s="382">
        <v>1.0</v>
      </c>
    </row>
    <row r="12960">
      <c r="A12960" s="380" t="s">
        <v>13834</v>
      </c>
      <c r="B12960" s="380" t="str">
        <f>IFERROR(__xludf.DUMMYFUNCTION("""COMPUTED_VALUE"""),"Guardabarro Del Der Daf Cf480")</f>
        <v>Guardabarro Del Der Daf Cf480</v>
      </c>
      <c r="C12960" s="380" t="str">
        <f>IFERROR(__xludf.DUMMYFUNCTION("""COMPUTED_VALUE"""),"70008432")</f>
        <v>70008432</v>
      </c>
      <c r="D12960" s="380" t="s">
        <v>767</v>
      </c>
      <c r="E12960" s="380" t="s">
        <v>786</v>
      </c>
      <c r="F12960" s="380" t="s">
        <v>792</v>
      </c>
      <c r="G12960" s="380" t="s">
        <v>1267</v>
      </c>
      <c r="H12960" s="380" t="s">
        <v>771</v>
      </c>
      <c r="I12960" s="380" t="s">
        <v>788</v>
      </c>
      <c r="J12960" s="380" t="s">
        <v>773</v>
      </c>
      <c r="K12960" s="381">
        <v>1963500.0</v>
      </c>
      <c r="L12960" s="382">
        <v>1.0</v>
      </c>
    </row>
    <row r="12961">
      <c r="A12961" s="380" t="s">
        <v>13835</v>
      </c>
      <c r="B12961" s="380" t="str">
        <f>IFERROR(__xludf.DUMMYFUNCTION("""COMPUTED_VALUE"""),"Stop Izquierdo Jac Sunray 1105")</f>
        <v>Stop Izquierdo Jac Sunray 1105</v>
      </c>
      <c r="C12961" s="380" t="str">
        <f>IFERROR(__xludf.DUMMYFUNCTION("""COMPUTED_VALUE"""),"70008433")</f>
        <v>70008433</v>
      </c>
      <c r="D12961" s="380" t="s">
        <v>767</v>
      </c>
      <c r="E12961" s="380" t="s">
        <v>786</v>
      </c>
      <c r="F12961" s="380" t="s">
        <v>998</v>
      </c>
      <c r="G12961" s="380" t="s">
        <v>1267</v>
      </c>
      <c r="H12961" s="380" t="s">
        <v>771</v>
      </c>
      <c r="I12961" s="380" t="s">
        <v>788</v>
      </c>
      <c r="J12961" s="380" t="s">
        <v>773</v>
      </c>
      <c r="K12961" s="381">
        <v>0.0</v>
      </c>
      <c r="L12961" s="382">
        <v>1.0</v>
      </c>
    </row>
    <row r="12962">
      <c r="A12962" s="380" t="s">
        <v>13836</v>
      </c>
      <c r="B12962" s="380" t="str">
        <f>IFERROR(__xludf.DUMMYFUNCTION("""COMPUTED_VALUE"""),"Carcaza Central Caja Vel 16918")</f>
        <v>Carcaza Central Caja Vel 16918</v>
      </c>
      <c r="C12962" s="380" t="str">
        <f>IFERROR(__xludf.DUMMYFUNCTION("""COMPUTED_VALUE"""),"70008434")</f>
        <v>70008434</v>
      </c>
      <c r="D12962" s="380" t="s">
        <v>767</v>
      </c>
      <c r="E12962" s="380" t="s">
        <v>786</v>
      </c>
      <c r="F12962" s="380" t="s">
        <v>928</v>
      </c>
      <c r="G12962" s="380" t="s">
        <v>1267</v>
      </c>
      <c r="H12962" s="380" t="s">
        <v>771</v>
      </c>
      <c r="I12962" s="380" t="s">
        <v>788</v>
      </c>
      <c r="J12962" s="380" t="s">
        <v>773</v>
      </c>
      <c r="K12962" s="381">
        <v>0.0</v>
      </c>
      <c r="L12962" s="382">
        <v>1.0</v>
      </c>
    </row>
    <row r="12963">
      <c r="A12963" s="380" t="s">
        <v>13837</v>
      </c>
      <c r="B12963" s="380" t="str">
        <f>IFERROR(__xludf.DUMMYFUNCTION("""COMPUTED_VALUE"""),"Aro Reten Rod Fuller 16918 430")</f>
        <v>Aro Reten Rod Fuller 16918 430</v>
      </c>
      <c r="C12963" s="380" t="str">
        <f>IFERROR(__xludf.DUMMYFUNCTION("""COMPUTED_VALUE"""),"70008435")</f>
        <v>70008435</v>
      </c>
      <c r="D12963" s="380" t="s">
        <v>767</v>
      </c>
      <c r="E12963" s="380" t="s">
        <v>786</v>
      </c>
      <c r="F12963" s="380" t="s">
        <v>928</v>
      </c>
      <c r="G12963" s="380" t="s">
        <v>1267</v>
      </c>
      <c r="H12963" s="380" t="s">
        <v>771</v>
      </c>
      <c r="I12963" s="380" t="s">
        <v>788</v>
      </c>
      <c r="J12963" s="380" t="s">
        <v>773</v>
      </c>
      <c r="K12963" s="381">
        <v>0.0</v>
      </c>
      <c r="L12963" s="382">
        <v>1.0</v>
      </c>
    </row>
    <row r="12964">
      <c r="A12964" s="380" t="s">
        <v>13838</v>
      </c>
      <c r="B12964" s="380" t="str">
        <f>IFERROR(__xludf.DUMMYFUNCTION("""COMPUTED_VALUE"""),"Tapa Caja Eagle Fuller 16918 4")</f>
        <v>Tapa Caja Eagle Fuller 16918 4</v>
      </c>
      <c r="C12964" s="380" t="str">
        <f>IFERROR(__xludf.DUMMYFUNCTION("""COMPUTED_VALUE"""),"70008436")</f>
        <v>70008436</v>
      </c>
      <c r="D12964" s="380" t="s">
        <v>767</v>
      </c>
      <c r="E12964" s="380" t="s">
        <v>786</v>
      </c>
      <c r="F12964" s="380" t="s">
        <v>928</v>
      </c>
      <c r="G12964" s="380" t="s">
        <v>1267</v>
      </c>
      <c r="H12964" s="380" t="s">
        <v>771</v>
      </c>
      <c r="I12964" s="380" t="s">
        <v>788</v>
      </c>
      <c r="J12964" s="380" t="s">
        <v>773</v>
      </c>
      <c r="K12964" s="381">
        <v>0.0</v>
      </c>
      <c r="L12964" s="382">
        <v>1.0</v>
      </c>
    </row>
    <row r="12965">
      <c r="A12965" s="380" t="s">
        <v>13839</v>
      </c>
      <c r="B12965" s="380" t="str">
        <f>IFERROR(__xludf.DUMMYFUNCTION("""COMPUTED_VALUE"""),"Casquet Inf Biela Jac Jhr 1004")</f>
        <v>Casquet Inf Biela Jac Jhr 1004</v>
      </c>
      <c r="C12965" s="380" t="str">
        <f>IFERROR(__xludf.DUMMYFUNCTION("""COMPUTED_VALUE"""),"70008437")</f>
        <v>70008437</v>
      </c>
      <c r="D12965" s="380" t="s">
        <v>767</v>
      </c>
      <c r="E12965" s="380" t="s">
        <v>786</v>
      </c>
      <c r="F12965" s="380" t="s">
        <v>787</v>
      </c>
      <c r="G12965" s="380" t="s">
        <v>1267</v>
      </c>
      <c r="H12965" s="380" t="s">
        <v>771</v>
      </c>
      <c r="I12965" s="380" t="s">
        <v>788</v>
      </c>
      <c r="J12965" s="380" t="s">
        <v>773</v>
      </c>
      <c r="K12965" s="381">
        <v>0.0</v>
      </c>
      <c r="L12965" s="382">
        <v>1.0</v>
      </c>
    </row>
    <row r="12966">
      <c r="A12966" s="380" t="s">
        <v>13840</v>
      </c>
      <c r="B12966" s="380" t="str">
        <f>IFERROR(__xludf.DUMMYFUNCTION("""COMPUTED_VALUE"""),"Base Cili Bloq Puer Tras Sunra")</f>
        <v>Base Cili Bloq Puer Tras Sunra</v>
      </c>
      <c r="C12966" s="380" t="str">
        <f>IFERROR(__xludf.DUMMYFUNCTION("""COMPUTED_VALUE"""),"70008438")</f>
        <v>70008438</v>
      </c>
      <c r="D12966" s="380" t="s">
        <v>767</v>
      </c>
      <c r="E12966" s="380" t="s">
        <v>786</v>
      </c>
      <c r="F12966" s="380" t="s">
        <v>792</v>
      </c>
      <c r="G12966" s="380" t="s">
        <v>1267</v>
      </c>
      <c r="H12966" s="380" t="s">
        <v>771</v>
      </c>
      <c r="I12966" s="380" t="s">
        <v>788</v>
      </c>
      <c r="J12966" s="380" t="s">
        <v>773</v>
      </c>
      <c r="K12966" s="381">
        <v>0.0</v>
      </c>
      <c r="L12966" s="382">
        <v>1.0</v>
      </c>
    </row>
    <row r="12967">
      <c r="A12967" s="380" t="s">
        <v>13841</v>
      </c>
      <c r="B12967" s="380" t="str">
        <f>IFERROR(__xludf.DUMMYFUNCTION("""COMPUTED_VALUE"""),"Bocel Lat Tras Izq Jac Sunray")</f>
        <v>Bocel Lat Tras Izq Jac Sunray</v>
      </c>
      <c r="C12967" s="380" t="str">
        <f>IFERROR(__xludf.DUMMYFUNCTION("""COMPUTED_VALUE"""),"70008439")</f>
        <v>70008439</v>
      </c>
      <c r="D12967" s="380" t="s">
        <v>767</v>
      </c>
      <c r="E12967" s="380" t="s">
        <v>786</v>
      </c>
      <c r="F12967" s="380" t="s">
        <v>792</v>
      </c>
      <c r="G12967" s="380" t="s">
        <v>1267</v>
      </c>
      <c r="H12967" s="380" t="s">
        <v>771</v>
      </c>
      <c r="I12967" s="380" t="s">
        <v>788</v>
      </c>
      <c r="J12967" s="380" t="s">
        <v>773</v>
      </c>
      <c r="K12967" s="381">
        <v>0.0</v>
      </c>
      <c r="L12967" s="382">
        <v>1.0</v>
      </c>
    </row>
    <row r="12968">
      <c r="A12968" s="380" t="s">
        <v>13842</v>
      </c>
      <c r="B12968" s="380" t="str">
        <f>IFERROR(__xludf.DUMMYFUNCTION("""COMPUTED_VALUE"""),"Bocel Inf Stop Izq Jac Sunray")</f>
        <v>Bocel Inf Stop Izq Jac Sunray</v>
      </c>
      <c r="C12968" s="380" t="str">
        <f>IFERROR(__xludf.DUMMYFUNCTION("""COMPUTED_VALUE"""),"70008440")</f>
        <v>70008440</v>
      </c>
      <c r="D12968" s="380" t="s">
        <v>767</v>
      </c>
      <c r="E12968" s="380" t="s">
        <v>786</v>
      </c>
      <c r="F12968" s="380" t="s">
        <v>792</v>
      </c>
      <c r="G12968" s="380" t="s">
        <v>1267</v>
      </c>
      <c r="H12968" s="380" t="s">
        <v>771</v>
      </c>
      <c r="I12968" s="380" t="s">
        <v>788</v>
      </c>
      <c r="J12968" s="380" t="s">
        <v>773</v>
      </c>
      <c r="K12968" s="381">
        <v>0.0</v>
      </c>
      <c r="L12968" s="382">
        <v>1.0</v>
      </c>
    </row>
    <row r="12969">
      <c r="A12969" s="380" t="s">
        <v>13843</v>
      </c>
      <c r="B12969" s="380" t="str">
        <f>IFERROR(__xludf.DUMMYFUNCTION("""COMPUTED_VALUE"""),"Bomper Trasero Jac Sunray 1105")</f>
        <v>Bomper Trasero Jac Sunray 1105</v>
      </c>
      <c r="C12969" s="380" t="str">
        <f>IFERROR(__xludf.DUMMYFUNCTION("""COMPUTED_VALUE"""),"70008441")</f>
        <v>70008441</v>
      </c>
      <c r="D12969" s="380" t="s">
        <v>767</v>
      </c>
      <c r="E12969" s="380" t="s">
        <v>786</v>
      </c>
      <c r="F12969" s="380" t="s">
        <v>792</v>
      </c>
      <c r="G12969" s="380" t="s">
        <v>1267</v>
      </c>
      <c r="H12969" s="380" t="s">
        <v>771</v>
      </c>
      <c r="I12969" s="380" t="s">
        <v>788</v>
      </c>
      <c r="J12969" s="380" t="s">
        <v>773</v>
      </c>
      <c r="K12969" s="381">
        <v>0.0</v>
      </c>
      <c r="L12969" s="382">
        <v>1.0</v>
      </c>
    </row>
    <row r="12970">
      <c r="A12970" s="380" t="s">
        <v>13844</v>
      </c>
      <c r="B12970" s="380" t="str">
        <f>IFERROR(__xludf.DUMMYFUNCTION("""COMPUTED_VALUE"""),"Abrazadera Tanque Comb Foton 4")</f>
        <v>Abrazadera Tanque Comb Foton 4</v>
      </c>
      <c r="C12970" s="380" t="str">
        <f>IFERROR(__xludf.DUMMYFUNCTION("""COMPUTED_VALUE"""),"70008442")</f>
        <v>70008442</v>
      </c>
      <c r="D12970" s="380" t="s">
        <v>767</v>
      </c>
      <c r="E12970" s="380" t="s">
        <v>786</v>
      </c>
      <c r="F12970" s="380" t="s">
        <v>792</v>
      </c>
      <c r="G12970" s="380" t="s">
        <v>1267</v>
      </c>
      <c r="H12970" s="380" t="s">
        <v>771</v>
      </c>
      <c r="I12970" s="380" t="s">
        <v>788</v>
      </c>
      <c r="J12970" s="380" t="s">
        <v>773</v>
      </c>
      <c r="K12970" s="381">
        <v>0.0</v>
      </c>
      <c r="L12970" s="382">
        <v>1.0</v>
      </c>
    </row>
    <row r="12971">
      <c r="A12971" s="380" t="s">
        <v>13845</v>
      </c>
      <c r="B12971" s="380" t="str">
        <f>IFERROR(__xludf.DUMMYFUNCTION("""COMPUTED_VALUE"""),"Espejo Sup Front Fot 1128 7705")</f>
        <v>Espejo Sup Front Fot 1128 7705</v>
      </c>
      <c r="C12971" s="380" t="str">
        <f>IFERROR(__xludf.DUMMYFUNCTION("""COMPUTED_VALUE"""),"70008443")</f>
        <v>70008443</v>
      </c>
      <c r="D12971" s="380" t="s">
        <v>767</v>
      </c>
      <c r="E12971" s="380" t="s">
        <v>786</v>
      </c>
      <c r="F12971" s="380" t="s">
        <v>792</v>
      </c>
      <c r="G12971" s="380" t="s">
        <v>1267</v>
      </c>
      <c r="H12971" s="380" t="s">
        <v>771</v>
      </c>
      <c r="I12971" s="380" t="s">
        <v>788</v>
      </c>
      <c r="J12971" s="380" t="s">
        <v>773</v>
      </c>
      <c r="K12971" s="381">
        <v>0.0</v>
      </c>
      <c r="L12971" s="382">
        <v>1.0</v>
      </c>
    </row>
    <row r="12972">
      <c r="A12972" s="380" t="s">
        <v>13846</v>
      </c>
      <c r="B12972" s="380" t="str">
        <f>IFERROR(__xludf.DUMMYFUNCTION("""COMPUTED_VALUE"""),"Terminal Direccion Izquierda F")</f>
        <v>Terminal Direccion Izquierda F</v>
      </c>
      <c r="C12972" s="380" t="str">
        <f>IFERROR(__xludf.DUMMYFUNCTION("""COMPUTED_VALUE"""),"70008444")</f>
        <v>70008444</v>
      </c>
      <c r="D12972" s="380" t="s">
        <v>767</v>
      </c>
      <c r="E12972" s="380" t="s">
        <v>786</v>
      </c>
      <c r="F12972" s="380" t="s">
        <v>1020</v>
      </c>
      <c r="G12972" s="380" t="s">
        <v>1267</v>
      </c>
      <c r="H12972" s="380" t="s">
        <v>771</v>
      </c>
      <c r="I12972" s="380" t="s">
        <v>788</v>
      </c>
      <c r="J12972" s="380" t="s">
        <v>773</v>
      </c>
      <c r="K12972" s="381">
        <v>0.0</v>
      </c>
      <c r="L12972" s="382">
        <v>1.0</v>
      </c>
    </row>
    <row r="12973">
      <c r="A12973" s="380" t="s">
        <v>13847</v>
      </c>
      <c r="B12973" s="380" t="str">
        <f>IFERROR(__xludf.DUMMYFUNCTION("""COMPUTED_VALUE"""),"Valvula Niveladora Aire Eagle")</f>
        <v>Valvula Niveladora Aire Eagle</v>
      </c>
      <c r="C12973" s="380" t="str">
        <f>IFERROR(__xludf.DUMMYFUNCTION("""COMPUTED_VALUE"""),"70008445")</f>
        <v>70008445</v>
      </c>
      <c r="D12973" s="380" t="s">
        <v>767</v>
      </c>
      <c r="E12973" s="380" t="s">
        <v>786</v>
      </c>
      <c r="F12973" s="380" t="s">
        <v>1039</v>
      </c>
      <c r="G12973" s="380" t="s">
        <v>1267</v>
      </c>
      <c r="H12973" s="380" t="s">
        <v>771</v>
      </c>
      <c r="I12973" s="380" t="s">
        <v>788</v>
      </c>
      <c r="J12973" s="380" t="s">
        <v>773</v>
      </c>
      <c r="K12973" s="381">
        <v>0.0</v>
      </c>
      <c r="L12973" s="382">
        <v>1.0</v>
      </c>
    </row>
    <row r="12974">
      <c r="A12974" s="380" t="s">
        <v>13848</v>
      </c>
      <c r="B12974" s="380" t="str">
        <f>IFERROR(__xludf.DUMMYFUNCTION("""COMPUTED_VALUE"""),"Soporte Cabina Mack 20975428")</f>
        <v>Soporte Cabina Mack 20975428</v>
      </c>
      <c r="C12974" s="380" t="str">
        <f>IFERROR(__xludf.DUMMYFUNCTION("""COMPUTED_VALUE"""),"70008446")</f>
        <v>70008446</v>
      </c>
      <c r="D12974" s="380" t="s">
        <v>767</v>
      </c>
      <c r="E12974" s="380" t="s">
        <v>786</v>
      </c>
      <c r="F12974" s="380" t="s">
        <v>792</v>
      </c>
      <c r="G12974" s="380" t="s">
        <v>1267</v>
      </c>
      <c r="H12974" s="380" t="s">
        <v>771</v>
      </c>
      <c r="I12974" s="380" t="s">
        <v>788</v>
      </c>
      <c r="J12974" s="380" t="s">
        <v>773</v>
      </c>
      <c r="K12974" s="381">
        <v>0.0</v>
      </c>
      <c r="L12974" s="382">
        <v>1.0</v>
      </c>
    </row>
    <row r="12975">
      <c r="A12975" s="380" t="s">
        <v>13849</v>
      </c>
      <c r="B12975" s="380" t="str">
        <f>IFERROR(__xludf.DUMMYFUNCTION("""COMPUTED_VALUE"""),"Empaque Tubo Valvula Frr")</f>
        <v>Empaque Tubo Valvula Frr</v>
      </c>
      <c r="C12975" s="380" t="str">
        <f>IFERROR(__xludf.DUMMYFUNCTION("""COMPUTED_VALUE"""),"70008447")</f>
        <v>70008447</v>
      </c>
      <c r="D12975" s="380" t="s">
        <v>767</v>
      </c>
      <c r="E12975" s="380" t="s">
        <v>786</v>
      </c>
      <c r="F12975" s="380" t="s">
        <v>787</v>
      </c>
      <c r="G12975" s="380" t="s">
        <v>1267</v>
      </c>
      <c r="H12975" s="380" t="s">
        <v>771</v>
      </c>
      <c r="I12975" s="380" t="s">
        <v>788</v>
      </c>
      <c r="J12975" s="380" t="s">
        <v>773</v>
      </c>
      <c r="K12975" s="381">
        <v>0.0</v>
      </c>
      <c r="L12975" s="382">
        <v>1.0</v>
      </c>
    </row>
    <row r="12976">
      <c r="A12976" s="380" t="s">
        <v>13850</v>
      </c>
      <c r="B12976" s="380" t="str">
        <f>IFERROR(__xludf.DUMMYFUNCTION("""COMPUTED_VALUE"""),"Empaque Multiple Escape Hi 46")</f>
        <v>Empaque Multiple Escape Hi 46</v>
      </c>
      <c r="C12976" s="380" t="str">
        <f>IFERROR(__xludf.DUMMYFUNCTION("""COMPUTED_VALUE"""),"70008448")</f>
        <v>70008448</v>
      </c>
      <c r="D12976" s="380" t="s">
        <v>767</v>
      </c>
      <c r="E12976" s="380" t="s">
        <v>786</v>
      </c>
      <c r="F12976" s="380" t="s">
        <v>787</v>
      </c>
      <c r="G12976" s="380" t="s">
        <v>1267</v>
      </c>
      <c r="H12976" s="380" t="s">
        <v>771</v>
      </c>
      <c r="I12976" s="380" t="s">
        <v>788</v>
      </c>
      <c r="J12976" s="380" t="s">
        <v>773</v>
      </c>
      <c r="K12976" s="381">
        <v>0.0</v>
      </c>
      <c r="L12976" s="382">
        <v>1.0</v>
      </c>
    </row>
    <row r="12977">
      <c r="A12977" s="380" t="s">
        <v>13851</v>
      </c>
      <c r="B12977" s="380" t="str">
        <f>IFERROR(__xludf.DUMMYFUNCTION("""COMPUTED_VALUE"""),"Tensor Fijo Trail Utility 4743")</f>
        <v>Tensor Fijo Trail Utility 4743</v>
      </c>
      <c r="C12977" s="380" t="str">
        <f>IFERROR(__xludf.DUMMYFUNCTION("""COMPUTED_VALUE"""),"70008449")</f>
        <v>70008449</v>
      </c>
      <c r="D12977" s="380" t="s">
        <v>767</v>
      </c>
      <c r="E12977" s="380" t="s">
        <v>786</v>
      </c>
      <c r="F12977" s="380" t="s">
        <v>1039</v>
      </c>
      <c r="G12977" s="380" t="s">
        <v>1267</v>
      </c>
      <c r="H12977" s="380" t="s">
        <v>771</v>
      </c>
      <c r="I12977" s="380" t="s">
        <v>788</v>
      </c>
      <c r="J12977" s="380" t="s">
        <v>773</v>
      </c>
      <c r="K12977" s="381">
        <v>0.0</v>
      </c>
      <c r="L12977" s="382">
        <v>1.0</v>
      </c>
    </row>
    <row r="12978">
      <c r="A12978" s="380" t="s">
        <v>13852</v>
      </c>
      <c r="B12978" s="380" t="str">
        <f>IFERROR(__xludf.DUMMYFUNCTION("""COMPUTED_VALUE"""),"Abrazadera Tubo Agua Isx")</f>
        <v>Abrazadera Tubo Agua Isx</v>
      </c>
      <c r="C12978" s="380" t="str">
        <f>IFERROR(__xludf.DUMMYFUNCTION("""COMPUTED_VALUE"""),"70008450")</f>
        <v>70008450</v>
      </c>
      <c r="D12978" s="380" t="s">
        <v>767</v>
      </c>
      <c r="E12978" s="380" t="s">
        <v>786</v>
      </c>
      <c r="F12978" s="380" t="s">
        <v>787</v>
      </c>
      <c r="G12978" s="380" t="s">
        <v>1267</v>
      </c>
      <c r="H12978" s="380" t="s">
        <v>771</v>
      </c>
      <c r="I12978" s="380" t="s">
        <v>788</v>
      </c>
      <c r="J12978" s="380" t="s">
        <v>773</v>
      </c>
      <c r="K12978" s="381">
        <v>0.0</v>
      </c>
      <c r="L12978" s="382">
        <v>1.0</v>
      </c>
    </row>
    <row r="12979">
      <c r="A12979" s="380" t="s">
        <v>13853</v>
      </c>
      <c r="B12979" s="380" t="str">
        <f>IFERROR(__xludf.DUMMYFUNCTION("""COMPUTED_VALUE"""),"Cabezote Bomba Inyeccion Nhr")</f>
        <v>Cabezote Bomba Inyeccion Nhr</v>
      </c>
      <c r="C12979" s="380" t="str">
        <f>IFERROR(__xludf.DUMMYFUNCTION("""COMPUTED_VALUE"""),"70008451")</f>
        <v>70008451</v>
      </c>
      <c r="D12979" s="380" t="s">
        <v>767</v>
      </c>
      <c r="E12979" s="380" t="s">
        <v>786</v>
      </c>
      <c r="F12979" s="380" t="s">
        <v>787</v>
      </c>
      <c r="G12979" s="380" t="s">
        <v>1267</v>
      </c>
      <c r="H12979" s="380" t="s">
        <v>771</v>
      </c>
      <c r="I12979" s="380" t="s">
        <v>788</v>
      </c>
      <c r="J12979" s="380" t="s">
        <v>773</v>
      </c>
      <c r="K12979" s="381">
        <v>0.0</v>
      </c>
      <c r="L12979" s="382">
        <v>1.0</v>
      </c>
    </row>
    <row r="12980">
      <c r="A12980" s="380" t="s">
        <v>13854</v>
      </c>
      <c r="B12980" s="380" t="str">
        <f>IFERROR(__xludf.DUMMYFUNCTION("""COMPUTED_VALUE"""),"Kit Derecho Puerta Cabina Isx")</f>
        <v>Kit Derecho Puerta Cabina Isx</v>
      </c>
      <c r="C12980" s="380" t="str">
        <f>IFERROR(__xludf.DUMMYFUNCTION("""COMPUTED_VALUE"""),"70008452")</f>
        <v>70008452</v>
      </c>
      <c r="D12980" s="380" t="s">
        <v>767</v>
      </c>
      <c r="E12980" s="380" t="s">
        <v>786</v>
      </c>
      <c r="F12980" s="380" t="s">
        <v>792</v>
      </c>
      <c r="G12980" s="380" t="s">
        <v>1267</v>
      </c>
      <c r="H12980" s="380" t="s">
        <v>771</v>
      </c>
      <c r="I12980" s="380" t="s">
        <v>788</v>
      </c>
      <c r="J12980" s="380" t="s">
        <v>773</v>
      </c>
      <c r="K12980" s="381">
        <v>0.0</v>
      </c>
      <c r="L12980" s="382">
        <v>1.0</v>
      </c>
    </row>
    <row r="12981">
      <c r="A12981" s="380" t="s">
        <v>13855</v>
      </c>
      <c r="B12981" s="380" t="str">
        <f>IFERROR(__xludf.DUMMYFUNCTION("""COMPUTED_VALUE"""),"Guaya Neutra Foton 1046 7700149106849")</f>
        <v>Guaya Neutra Foton 1046 7700149106849</v>
      </c>
      <c r="C12981" s="380" t="str">
        <f>IFERROR(__xludf.DUMMYFUNCTION("""COMPUTED_VALUE"""),"70008453")</f>
        <v>70008453</v>
      </c>
      <c r="D12981" s="380" t="s">
        <v>767</v>
      </c>
      <c r="E12981" s="380" t="s">
        <v>786</v>
      </c>
      <c r="F12981" s="380" t="s">
        <v>787</v>
      </c>
      <c r="G12981" s="380" t="s">
        <v>1267</v>
      </c>
      <c r="H12981" s="380" t="s">
        <v>771</v>
      </c>
      <c r="I12981" s="380" t="s">
        <v>788</v>
      </c>
      <c r="J12981" s="380" t="s">
        <v>773</v>
      </c>
      <c r="K12981" s="381">
        <v>0.0</v>
      </c>
      <c r="L12981" s="382">
        <v>1.0</v>
      </c>
    </row>
    <row r="12982">
      <c r="A12982" s="380" t="s">
        <v>13856</v>
      </c>
      <c r="B12982" s="380" t="str">
        <f>IFERROR(__xludf.DUMMYFUNCTION("""COMPUTED_VALUE"""),"Guaya CTRL Cambios FT 1045 7700149106832")</f>
        <v>Guaya CTRL Cambios FT 1045 7700149106832</v>
      </c>
      <c r="C12982" s="380" t="str">
        <f>IFERROR(__xludf.DUMMYFUNCTION("""COMPUTED_VALUE"""),"70008454")</f>
        <v>70008454</v>
      </c>
      <c r="D12982" s="380" t="s">
        <v>767</v>
      </c>
      <c r="E12982" s="380" t="s">
        <v>786</v>
      </c>
      <c r="F12982" s="380" t="s">
        <v>787</v>
      </c>
      <c r="G12982" s="380" t="s">
        <v>1267</v>
      </c>
      <c r="H12982" s="380" t="s">
        <v>771</v>
      </c>
      <c r="I12982" s="380" t="s">
        <v>788</v>
      </c>
      <c r="J12982" s="380" t="s">
        <v>773</v>
      </c>
      <c r="K12982" s="381">
        <v>0.0</v>
      </c>
      <c r="L12982" s="382">
        <v>1.0</v>
      </c>
    </row>
    <row r="12983">
      <c r="A12983" s="380" t="s">
        <v>13857</v>
      </c>
      <c r="B12983" s="380" t="str">
        <f>IFERROR(__xludf.DUMMYFUNCTION("""COMPUTED_VALUE"""),"Panel Esquinero Izq FT 1030 770014942957")</f>
        <v>Panel Esquinero Izq FT 1030 770014942957</v>
      </c>
      <c r="C12983" s="380" t="str">
        <f>IFERROR(__xludf.DUMMYFUNCTION("""COMPUTED_VALUE"""),"70008455")</f>
        <v>70008455</v>
      </c>
      <c r="D12983" s="380" t="s">
        <v>767</v>
      </c>
      <c r="E12983" s="380" t="s">
        <v>786</v>
      </c>
      <c r="F12983" s="380" t="s">
        <v>792</v>
      </c>
      <c r="G12983" s="380" t="s">
        <v>1267</v>
      </c>
      <c r="H12983" s="380" t="s">
        <v>771</v>
      </c>
      <c r="I12983" s="380" t="s">
        <v>788</v>
      </c>
      <c r="J12983" s="380" t="s">
        <v>773</v>
      </c>
      <c r="K12983" s="381">
        <v>0.0</v>
      </c>
      <c r="L12983" s="382">
        <v>1.0</v>
      </c>
    </row>
    <row r="12984">
      <c r="A12984" s="380" t="s">
        <v>13858</v>
      </c>
      <c r="B12984" s="380" t="str">
        <f>IFERROR(__xludf.DUMMYFUNCTION("""COMPUTED_VALUE"""),"Puerta Izq Foton 1030 7705946735117")</f>
        <v>Puerta Izq Foton 1030 7705946735117</v>
      </c>
      <c r="C12984" s="380" t="str">
        <f>IFERROR(__xludf.DUMMYFUNCTION("""COMPUTED_VALUE"""),"70008456")</f>
        <v>70008456</v>
      </c>
      <c r="D12984" s="380" t="s">
        <v>767</v>
      </c>
      <c r="E12984" s="380" t="s">
        <v>786</v>
      </c>
      <c r="F12984" s="380" t="s">
        <v>792</v>
      </c>
      <c r="G12984" s="380" t="s">
        <v>1267</v>
      </c>
      <c r="H12984" s="380" t="s">
        <v>771</v>
      </c>
      <c r="I12984" s="380" t="s">
        <v>788</v>
      </c>
      <c r="J12984" s="380" t="s">
        <v>773</v>
      </c>
      <c r="K12984" s="381">
        <v>0.0</v>
      </c>
      <c r="L12984" s="382">
        <v>1.0</v>
      </c>
    </row>
    <row r="12985">
      <c r="A12985" s="380" t="s">
        <v>13859</v>
      </c>
      <c r="B12985" s="380" t="str">
        <f>IFERROR(__xludf.DUMMYFUNCTION("""COMPUTED_VALUE"""),"Leva Freno Del Der Inter Lt 2210k7473")</f>
        <v>Leva Freno Del Der Inter Lt 2210k7473</v>
      </c>
      <c r="C12985" s="380" t="str">
        <f>IFERROR(__xludf.DUMMYFUNCTION("""COMPUTED_VALUE"""),"70008457")</f>
        <v>70008457</v>
      </c>
      <c r="D12985" s="380" t="s">
        <v>767</v>
      </c>
      <c r="E12985" s="380" t="s">
        <v>786</v>
      </c>
      <c r="F12985" s="380" t="s">
        <v>1017</v>
      </c>
      <c r="G12985" s="380" t="s">
        <v>1267</v>
      </c>
      <c r="H12985" s="380" t="s">
        <v>771</v>
      </c>
      <c r="I12985" s="380" t="s">
        <v>788</v>
      </c>
      <c r="J12985" s="380" t="s">
        <v>773</v>
      </c>
      <c r="K12985" s="381">
        <v>0.0</v>
      </c>
      <c r="L12985" s="382">
        <v>1.0</v>
      </c>
    </row>
    <row r="12986">
      <c r="A12986" s="380" t="s">
        <v>13860</v>
      </c>
      <c r="B12986" s="380" t="str">
        <f>IFERROR(__xludf.DUMMYFUNCTION("""COMPUTED_VALUE"""),"Tapa Palanca Cambios K1630")</f>
        <v>Tapa Palanca Cambios K1630</v>
      </c>
      <c r="C12986" s="380" t="str">
        <f>IFERROR(__xludf.DUMMYFUNCTION("""COMPUTED_VALUE"""),"70008458")</f>
        <v>70008458</v>
      </c>
      <c r="D12986" s="380" t="s">
        <v>767</v>
      </c>
      <c r="E12986" s="380" t="s">
        <v>786</v>
      </c>
      <c r="F12986" s="380" t="s">
        <v>928</v>
      </c>
      <c r="G12986" s="380" t="s">
        <v>1267</v>
      </c>
      <c r="H12986" s="380" t="s">
        <v>771</v>
      </c>
      <c r="I12986" s="380" t="s">
        <v>788</v>
      </c>
      <c r="J12986" s="380" t="s">
        <v>773</v>
      </c>
      <c r="K12986" s="381">
        <v>0.0</v>
      </c>
      <c r="L12986" s="382">
        <v>1.0</v>
      </c>
    </row>
    <row r="12987">
      <c r="A12987" s="380" t="s">
        <v>13861</v>
      </c>
      <c r="B12987" s="380" t="str">
        <f>IFERROR(__xludf.DUMMYFUNCTION("""COMPUTED_VALUE"""),"Crema Elevavidrio Der DFENG 11054539")</f>
        <v>Crema Elevavidrio Der DFENG 11054539</v>
      </c>
      <c r="C12987" s="380" t="str">
        <f>IFERROR(__xludf.DUMMYFUNCTION("""COMPUTED_VALUE"""),"70008459")</f>
        <v>70008459</v>
      </c>
      <c r="D12987" s="380" t="s">
        <v>767</v>
      </c>
      <c r="E12987" s="380" t="s">
        <v>786</v>
      </c>
      <c r="F12987" s="380" t="s">
        <v>792</v>
      </c>
      <c r="G12987" s="380" t="s">
        <v>1267</v>
      </c>
      <c r="H12987" s="380" t="s">
        <v>771</v>
      </c>
      <c r="I12987" s="380" t="s">
        <v>788</v>
      </c>
      <c r="J12987" s="380" t="s">
        <v>773</v>
      </c>
      <c r="K12987" s="381">
        <v>0.0</v>
      </c>
      <c r="L12987" s="382">
        <v>1.0</v>
      </c>
    </row>
    <row r="12988">
      <c r="A12988" s="380" t="s">
        <v>13862</v>
      </c>
      <c r="B12988" s="380" t="str">
        <f>IFERROR(__xludf.DUMMYFUNCTION("""COMPUTED_VALUE"""),"Tanque Combustible Foton 1128 Reparado")</f>
        <v>Tanque Combustible Foton 1128 Reparado</v>
      </c>
      <c r="C12988" s="380" t="str">
        <f>IFERROR(__xludf.DUMMYFUNCTION("""COMPUTED_VALUE"""),"70008460")</f>
        <v>70008460</v>
      </c>
      <c r="D12988" s="380" t="s">
        <v>767</v>
      </c>
      <c r="E12988" s="380" t="s">
        <v>786</v>
      </c>
      <c r="F12988" s="380" t="s">
        <v>792</v>
      </c>
      <c r="G12988" s="380" t="s">
        <v>1267</v>
      </c>
      <c r="H12988" s="380" t="s">
        <v>771</v>
      </c>
      <c r="I12988" s="380" t="s">
        <v>788</v>
      </c>
      <c r="J12988" s="380" t="s">
        <v>773</v>
      </c>
      <c r="K12988" s="381">
        <v>0.0</v>
      </c>
      <c r="L12988" s="382">
        <v>1.0</v>
      </c>
    </row>
    <row r="12989">
      <c r="A12989" s="380" t="s">
        <v>13863</v>
      </c>
      <c r="B12989" s="380" t="str">
        <f>IFERROR(__xludf.DUMMYFUNCTION("""COMPUTED_VALUE"""),"Kit Pistones Mordaza Jac 1042- Yf3501a10")</f>
        <v>Kit Pistones Mordaza Jac 1042- Yf3501a10</v>
      </c>
      <c r="C12989" s="380" t="str">
        <f>IFERROR(__xludf.DUMMYFUNCTION("""COMPUTED_VALUE"""),"70008461")</f>
        <v>70008461</v>
      </c>
      <c r="D12989" s="380" t="s">
        <v>767</v>
      </c>
      <c r="E12989" s="380" t="s">
        <v>786</v>
      </c>
      <c r="F12989" s="380" t="s">
        <v>5683</v>
      </c>
      <c r="G12989" s="380" t="s">
        <v>1267</v>
      </c>
      <c r="H12989" s="380" t="s">
        <v>771</v>
      </c>
      <c r="I12989" s="380" t="s">
        <v>788</v>
      </c>
      <c r="J12989" s="380" t="s">
        <v>773</v>
      </c>
      <c r="K12989" s="381">
        <v>0.0</v>
      </c>
      <c r="L12989" s="382">
        <v>1.0</v>
      </c>
    </row>
    <row r="12990">
      <c r="A12990" s="380" t="s">
        <v>13864</v>
      </c>
      <c r="B12990" s="380" t="str">
        <f>IFERROR(__xludf.DUMMYFUNCTION("""COMPUTED_VALUE"""),"EMPtadura BMB Principal EMB Frr 18557646")</f>
        <v>EMPtadura BMB Principal EMB Frr 18557646</v>
      </c>
      <c r="C12990" s="380" t="str">
        <f>IFERROR(__xludf.DUMMYFUNCTION("""COMPUTED_VALUE"""),"70008462")</f>
        <v>70008462</v>
      </c>
      <c r="D12990" s="380" t="s">
        <v>767</v>
      </c>
      <c r="E12990" s="380" t="s">
        <v>786</v>
      </c>
      <c r="F12990" s="380" t="s">
        <v>998</v>
      </c>
      <c r="G12990" s="380" t="s">
        <v>1267</v>
      </c>
      <c r="H12990" s="380" t="s">
        <v>771</v>
      </c>
      <c r="I12990" s="380" t="s">
        <v>788</v>
      </c>
      <c r="J12990" s="380" t="s">
        <v>773</v>
      </c>
      <c r="K12990" s="381">
        <v>0.0</v>
      </c>
      <c r="L12990" s="382">
        <v>1.0</v>
      </c>
    </row>
    <row r="12991">
      <c r="A12991" s="380" t="s">
        <v>13865</v>
      </c>
      <c r="B12991" s="380" t="str">
        <f>IFERROR(__xludf.DUMMYFUNCTION("""COMPUTED_VALUE"""),"Arandela Bronce 1ra Y 2da Jac 1035 R1708")</f>
        <v>Arandela Bronce 1ra Y 2da Jac 1035 R1708</v>
      </c>
      <c r="C12991" s="380" t="str">
        <f>IFERROR(__xludf.DUMMYFUNCTION("""COMPUTED_VALUE"""),"70008463")</f>
        <v>70008463</v>
      </c>
      <c r="D12991" s="380" t="s">
        <v>767</v>
      </c>
      <c r="E12991" s="380" t="s">
        <v>786</v>
      </c>
      <c r="F12991" s="380" t="s">
        <v>928</v>
      </c>
      <c r="G12991" s="380" t="s">
        <v>1267</v>
      </c>
      <c r="H12991" s="380" t="s">
        <v>771</v>
      </c>
      <c r="I12991" s="380" t="s">
        <v>788</v>
      </c>
      <c r="J12991" s="380" t="s">
        <v>773</v>
      </c>
      <c r="K12991" s="381">
        <v>0.0</v>
      </c>
      <c r="L12991" s="382">
        <v>1.0</v>
      </c>
    </row>
    <row r="12992">
      <c r="A12992" s="380" t="s">
        <v>13866</v>
      </c>
      <c r="B12992" s="380" t="str">
        <f>IFERROR(__xludf.DUMMYFUNCTION("""COMPUTED_VALUE"""),"Biela Motor Jac Jhr Ev 1004010fe010")</f>
        <v>Biela Motor Jac Jhr Ev 1004010fe010</v>
      </c>
      <c r="C12992" s="380" t="str">
        <f>IFERROR(__xludf.DUMMYFUNCTION("""COMPUTED_VALUE"""),"70008464")</f>
        <v>70008464</v>
      </c>
      <c r="D12992" s="380" t="s">
        <v>767</v>
      </c>
      <c r="E12992" s="380" t="s">
        <v>786</v>
      </c>
      <c r="F12992" s="380" t="s">
        <v>787</v>
      </c>
      <c r="G12992" s="380" t="s">
        <v>1267</v>
      </c>
      <c r="H12992" s="380" t="s">
        <v>771</v>
      </c>
      <c r="I12992" s="380" t="s">
        <v>788</v>
      </c>
      <c r="J12992" s="380" t="s">
        <v>773</v>
      </c>
      <c r="K12992" s="381">
        <v>0.0</v>
      </c>
      <c r="L12992" s="382">
        <v>1.0</v>
      </c>
    </row>
    <row r="12993">
      <c r="A12993" s="380" t="s">
        <v>13867</v>
      </c>
      <c r="B12993" s="380" t="str">
        <f>IFERROR(__xludf.DUMMYFUNCTION("""COMPUTED_VALUE"""),"Piñon Engranaje Relenti Jac Jhr Ev 10210")</f>
        <v>Piñon Engranaje Relenti Jac Jhr Ev 10210</v>
      </c>
      <c r="C12993" s="380" t="str">
        <f>IFERROR(__xludf.DUMMYFUNCTION("""COMPUTED_VALUE"""),"70008465")</f>
        <v>70008465</v>
      </c>
      <c r="D12993" s="380" t="s">
        <v>767</v>
      </c>
      <c r="E12993" s="380" t="s">
        <v>786</v>
      </c>
      <c r="F12993" s="380" t="s">
        <v>787</v>
      </c>
      <c r="G12993" s="380" t="s">
        <v>1267</v>
      </c>
      <c r="H12993" s="380" t="s">
        <v>771</v>
      </c>
      <c r="I12993" s="380" t="s">
        <v>788</v>
      </c>
      <c r="J12993" s="380" t="s">
        <v>773</v>
      </c>
      <c r="K12993" s="381">
        <v>0.0</v>
      </c>
      <c r="L12993" s="382">
        <v>1.0</v>
      </c>
    </row>
    <row r="12994">
      <c r="A12994" s="380" t="s">
        <v>13868</v>
      </c>
      <c r="B12994" s="380" t="str">
        <f>IFERROR(__xludf.DUMMYFUNCTION("""COMPUTED_VALUE"""),"Piñon BMB COMB Jac Jhr Ev 1021080fe030")</f>
        <v>Piñon BMB COMB Jac Jhr Ev 1021080fe030</v>
      </c>
      <c r="C12994" s="380" t="str">
        <f>IFERROR(__xludf.DUMMYFUNCTION("""COMPUTED_VALUE"""),"70008466")</f>
        <v>70008466</v>
      </c>
      <c r="D12994" s="380" t="s">
        <v>767</v>
      </c>
      <c r="E12994" s="380" t="s">
        <v>786</v>
      </c>
      <c r="F12994" s="380" t="s">
        <v>787</v>
      </c>
      <c r="G12994" s="380" t="s">
        <v>1267</v>
      </c>
      <c r="H12994" s="380" t="s">
        <v>771</v>
      </c>
      <c r="I12994" s="380" t="s">
        <v>788</v>
      </c>
      <c r="J12994" s="380" t="s">
        <v>773</v>
      </c>
      <c r="K12994" s="381">
        <v>0.0</v>
      </c>
      <c r="L12994" s="382">
        <v>1.0</v>
      </c>
    </row>
    <row r="12995">
      <c r="A12995" s="380" t="s">
        <v>13869</v>
      </c>
      <c r="B12995" s="380" t="str">
        <f>IFERROR(__xludf.DUMMYFUNCTION("""COMPUTED_VALUE"""),"Cigueñal Jac Jhr Ev 1005010fe030")</f>
        <v>Cigueñal Jac Jhr Ev 1005010fe030</v>
      </c>
      <c r="C12995" s="380" t="str">
        <f>IFERROR(__xludf.DUMMYFUNCTION("""COMPUTED_VALUE"""),"70008467")</f>
        <v>70008467</v>
      </c>
      <c r="D12995" s="380" t="s">
        <v>767</v>
      </c>
      <c r="E12995" s="380" t="s">
        <v>786</v>
      </c>
      <c r="F12995" s="380" t="s">
        <v>787</v>
      </c>
      <c r="G12995" s="380" t="s">
        <v>1267</v>
      </c>
      <c r="H12995" s="380" t="s">
        <v>771</v>
      </c>
      <c r="I12995" s="380" t="s">
        <v>788</v>
      </c>
      <c r="J12995" s="380" t="s">
        <v>773</v>
      </c>
      <c r="K12995" s="381">
        <v>0.0</v>
      </c>
      <c r="L12995" s="382">
        <v>1.0</v>
      </c>
    </row>
    <row r="12996">
      <c r="A12996" s="380" t="s">
        <v>13870</v>
      </c>
      <c r="B12996" s="380" t="str">
        <f>IFERROR(__xludf.DUMMYFUNCTION("""COMPUTED_VALUE"""),"Kit Reparacion MAY MOT Jac Jhr Ev Jac309")</f>
        <v>Kit Reparacion MAY MOT Jac Jhr Ev Jac309</v>
      </c>
      <c r="C12996" s="380" t="str">
        <f>IFERROR(__xludf.DUMMYFUNCTION("""COMPUTED_VALUE"""),"70008468")</f>
        <v>70008468</v>
      </c>
      <c r="D12996" s="380" t="s">
        <v>767</v>
      </c>
      <c r="E12996" s="380" t="s">
        <v>786</v>
      </c>
      <c r="F12996" s="380" t="s">
        <v>787</v>
      </c>
      <c r="G12996" s="380" t="s">
        <v>1267</v>
      </c>
      <c r="H12996" s="380" t="s">
        <v>771</v>
      </c>
      <c r="I12996" s="380" t="s">
        <v>788</v>
      </c>
      <c r="J12996" s="380" t="s">
        <v>773</v>
      </c>
      <c r="K12996" s="381">
        <v>0.0</v>
      </c>
      <c r="L12996" s="382">
        <v>1.0</v>
      </c>
    </row>
    <row r="12997">
      <c r="A12997" s="380" t="s">
        <v>13871</v>
      </c>
      <c r="B12997" s="380" t="str">
        <f>IFERROR(__xludf.DUMMYFUNCTION("""COMPUTED_VALUE"""),"SOP Lateral Izq Bomper Jac Sunray 280300")</f>
        <v>SOP Lateral Izq Bomper Jac Sunray 280300</v>
      </c>
      <c r="C12997" s="380" t="str">
        <f>IFERROR(__xludf.DUMMYFUNCTION("""COMPUTED_VALUE"""),"70008469")</f>
        <v>70008469</v>
      </c>
      <c r="D12997" s="380" t="s">
        <v>767</v>
      </c>
      <c r="E12997" s="380" t="s">
        <v>786</v>
      </c>
      <c r="F12997" s="380" t="s">
        <v>792</v>
      </c>
      <c r="G12997" s="380" t="s">
        <v>1267</v>
      </c>
      <c r="H12997" s="380" t="s">
        <v>771</v>
      </c>
      <c r="I12997" s="380" t="s">
        <v>788</v>
      </c>
      <c r="J12997" s="380" t="s">
        <v>773</v>
      </c>
      <c r="K12997" s="381">
        <v>0.0</v>
      </c>
      <c r="L12997" s="382">
        <v>1.0</v>
      </c>
    </row>
    <row r="12998">
      <c r="A12998" s="380" t="s">
        <v>13872</v>
      </c>
      <c r="B12998" s="380" t="str">
        <f>IFERROR(__xludf.DUMMYFUNCTION("""COMPUTED_VALUE"""),"Piñon De Hierro 2da Eje Corredizo 37 Die")</f>
        <v>Piñon De Hierro 2da Eje Corredizo 37 Die</v>
      </c>
      <c r="C12998" s="380" t="str">
        <f>IFERROR(__xludf.DUMMYFUNCTION("""COMPUTED_VALUE"""),"70008470")</f>
        <v>70008470</v>
      </c>
      <c r="D12998" s="380" t="s">
        <v>767</v>
      </c>
      <c r="E12998" s="380" t="s">
        <v>786</v>
      </c>
      <c r="F12998" s="380" t="s">
        <v>928</v>
      </c>
      <c r="G12998" s="380" t="s">
        <v>1267</v>
      </c>
      <c r="H12998" s="380" t="s">
        <v>771</v>
      </c>
      <c r="I12998" s="380" t="s">
        <v>788</v>
      </c>
      <c r="J12998" s="380" t="s">
        <v>773</v>
      </c>
      <c r="K12998" s="381">
        <v>0.0</v>
      </c>
      <c r="L12998" s="382">
        <v>1.0</v>
      </c>
    </row>
    <row r="12999">
      <c r="A12999" s="380" t="s">
        <v>13873</v>
      </c>
      <c r="B12999" s="380" t="str">
        <f>IFERROR(__xludf.DUMMYFUNCTION("""COMPUTED_VALUE"""),"Espejo Retrovisor Der Completo Daf Cf 48")</f>
        <v>Espejo Retrovisor Der Completo Daf Cf 48</v>
      </c>
      <c r="C12999" s="380" t="str">
        <f>IFERROR(__xludf.DUMMYFUNCTION("""COMPUTED_VALUE"""),"70008471")</f>
        <v>70008471</v>
      </c>
      <c r="D12999" s="380" t="s">
        <v>767</v>
      </c>
      <c r="E12999" s="380" t="s">
        <v>786</v>
      </c>
      <c r="F12999" s="380" t="s">
        <v>792</v>
      </c>
      <c r="G12999" s="380" t="s">
        <v>1267</v>
      </c>
      <c r="H12999" s="380" t="s">
        <v>771</v>
      </c>
      <c r="I12999" s="380" t="s">
        <v>788</v>
      </c>
      <c r="J12999" s="380" t="s">
        <v>773</v>
      </c>
      <c r="K12999" s="381">
        <v>0.0</v>
      </c>
      <c r="L12999" s="382">
        <v>1.0</v>
      </c>
    </row>
    <row r="13000">
      <c r="A13000" s="380" t="s">
        <v>13874</v>
      </c>
      <c r="B13000" s="380" t="str">
        <f>IFERROR(__xludf.DUMMYFUNCTION("""COMPUTED_VALUE"""),"Carcaza Retrovisor Daf Cf480 1644325")</f>
        <v>Carcaza Retrovisor Daf Cf480 1644325</v>
      </c>
      <c r="C13000" s="380" t="str">
        <f>IFERROR(__xludf.DUMMYFUNCTION("""COMPUTED_VALUE"""),"70008472")</f>
        <v>70008472</v>
      </c>
      <c r="D13000" s="380" t="s">
        <v>767</v>
      </c>
      <c r="E13000" s="380" t="s">
        <v>786</v>
      </c>
      <c r="F13000" s="380" t="s">
        <v>792</v>
      </c>
      <c r="G13000" s="380" t="s">
        <v>1267</v>
      </c>
      <c r="H13000" s="380" t="s">
        <v>771</v>
      </c>
      <c r="I13000" s="380" t="s">
        <v>788</v>
      </c>
      <c r="J13000" s="380" t="s">
        <v>773</v>
      </c>
      <c r="K13000" s="381">
        <v>0.0</v>
      </c>
      <c r="L13000" s="382">
        <v>1.0</v>
      </c>
    </row>
    <row r="13001">
      <c r="A13001" s="380" t="s">
        <v>13875</v>
      </c>
      <c r="B13001" s="380" t="str">
        <f>IFERROR(__xludf.DUMMYFUNCTION("""COMPUTED_VALUE"""),"RET Diferencial FT 1128 7705946730747")</f>
        <v>RET Diferencial FT 1128 7705946730747</v>
      </c>
      <c r="C13001" s="380" t="str">
        <f>IFERROR(__xludf.DUMMYFUNCTION("""COMPUTED_VALUE"""),"70008473")</f>
        <v>70008473</v>
      </c>
      <c r="D13001" s="380" t="s">
        <v>767</v>
      </c>
      <c r="E13001" s="380" t="s">
        <v>786</v>
      </c>
      <c r="F13001" s="380" t="s">
        <v>5683</v>
      </c>
      <c r="G13001" s="380" t="s">
        <v>1267</v>
      </c>
      <c r="H13001" s="380" t="s">
        <v>771</v>
      </c>
      <c r="I13001" s="380" t="s">
        <v>788</v>
      </c>
      <c r="J13001" s="380" t="s">
        <v>773</v>
      </c>
      <c r="K13001" s="381">
        <v>0.0</v>
      </c>
      <c r="L13001" s="382">
        <v>1.0</v>
      </c>
    </row>
    <row r="13002">
      <c r="A13002" s="380" t="s">
        <v>13876</v>
      </c>
      <c r="B13002" s="380" t="str">
        <f>IFERROR(__xludf.DUMMYFUNCTION("""COMPUTED_VALUE"""),"Base FILT COMB INT Lt 3989924c92")</f>
        <v>Base FILT COMB INT Lt 3989924c92</v>
      </c>
      <c r="C13002" s="380" t="str">
        <f>IFERROR(__xludf.DUMMYFUNCTION("""COMPUTED_VALUE"""),"70008474")</f>
        <v>70008474</v>
      </c>
      <c r="D13002" s="380" t="s">
        <v>767</v>
      </c>
      <c r="E13002" s="380" t="s">
        <v>786</v>
      </c>
      <c r="F13002" s="380" t="s">
        <v>792</v>
      </c>
      <c r="G13002" s="380" t="s">
        <v>1267</v>
      </c>
      <c r="H13002" s="380" t="s">
        <v>771</v>
      </c>
      <c r="I13002" s="380" t="s">
        <v>788</v>
      </c>
      <c r="J13002" s="380" t="s">
        <v>773</v>
      </c>
      <c r="K13002" s="381">
        <v>0.0</v>
      </c>
      <c r="L13002" s="382">
        <v>1.0</v>
      </c>
    </row>
    <row r="13003">
      <c r="A13003" s="380" t="s">
        <v>13877</v>
      </c>
      <c r="B13003" s="380" t="str">
        <f>IFERROR(__xludf.DUMMYFUNCTION("""COMPUTED_VALUE"""),"TANQ COMB Izq 100gl INT Lt 4184159c1s")</f>
        <v>TANQ COMB Izq 100gl INT Lt 4184159c1s</v>
      </c>
      <c r="C13003" s="380" t="str">
        <f>IFERROR(__xludf.DUMMYFUNCTION("""COMPUTED_VALUE"""),"70008475")</f>
        <v>70008475</v>
      </c>
      <c r="D13003" s="380" t="s">
        <v>767</v>
      </c>
      <c r="E13003" s="380" t="s">
        <v>786</v>
      </c>
      <c r="F13003" s="380" t="s">
        <v>792</v>
      </c>
      <c r="G13003" s="380" t="s">
        <v>1267</v>
      </c>
      <c r="H13003" s="380" t="s">
        <v>771</v>
      </c>
      <c r="I13003" s="380" t="s">
        <v>788</v>
      </c>
      <c r="J13003" s="380" t="s">
        <v>773</v>
      </c>
      <c r="K13003" s="381">
        <v>0.0</v>
      </c>
      <c r="L13003" s="382">
        <v>1.0</v>
      </c>
    </row>
    <row r="13004">
      <c r="A13004" s="380" t="s">
        <v>13878</v>
      </c>
      <c r="B13004" s="380" t="str">
        <f>IFERROR(__xludf.DUMMYFUNCTION("""COMPUTED_VALUE"""),"TANQ COMB Der 100gl INT Lt 2516133c91")</f>
        <v>TANQ COMB Der 100gl INT Lt 2516133c91</v>
      </c>
      <c r="C13004" s="380" t="str">
        <f>IFERROR(__xludf.DUMMYFUNCTION("""COMPUTED_VALUE"""),"70008476")</f>
        <v>70008476</v>
      </c>
      <c r="D13004" s="380" t="s">
        <v>767</v>
      </c>
      <c r="E13004" s="380" t="s">
        <v>786</v>
      </c>
      <c r="F13004" s="380" t="s">
        <v>792</v>
      </c>
      <c r="G13004" s="380" t="s">
        <v>1267</v>
      </c>
      <c r="H13004" s="380" t="s">
        <v>771</v>
      </c>
      <c r="I13004" s="380" t="s">
        <v>788</v>
      </c>
      <c r="J13004" s="380" t="s">
        <v>773</v>
      </c>
      <c r="K13004" s="381">
        <v>0.0</v>
      </c>
      <c r="L13004" s="382">
        <v>1.0</v>
      </c>
    </row>
    <row r="13005">
      <c r="A13005" s="380" t="s">
        <v>13879</v>
      </c>
      <c r="B13005" s="380" t="str">
        <f>IFERROR(__xludf.DUMMYFUNCTION("""COMPUTED_VALUE"""),"Ramal Encendido HN 300 Dutro Pro 84450-E")</f>
        <v>Ramal Encendido HN 300 Dutro Pro 84450-E</v>
      </c>
      <c r="C13005" s="380" t="str">
        <f>IFERROR(__xludf.DUMMYFUNCTION("""COMPUTED_VALUE"""),"70008477")</f>
        <v>70008477</v>
      </c>
      <c r="D13005" s="380" t="s">
        <v>767</v>
      </c>
      <c r="E13005" s="380" t="s">
        <v>786</v>
      </c>
      <c r="F13005" s="380" t="s">
        <v>998</v>
      </c>
      <c r="G13005" s="380" t="s">
        <v>1267</v>
      </c>
      <c r="H13005" s="380" t="s">
        <v>771</v>
      </c>
      <c r="I13005" s="380" t="s">
        <v>788</v>
      </c>
      <c r="J13005" s="380" t="s">
        <v>773</v>
      </c>
      <c r="K13005" s="381">
        <v>0.0</v>
      </c>
      <c r="L13005" s="382">
        <v>1.0</v>
      </c>
    </row>
    <row r="13006">
      <c r="A13006" s="380" t="s">
        <v>13880</v>
      </c>
      <c r="B13006" s="380" t="str">
        <f>IFERROR(__xludf.DUMMYFUNCTION("""COMPUTED_VALUE"""),"Harness INTruptor De Encendido MCK Anthe")</f>
        <v>Harness INTruptor De Encendido MCK Anthe</v>
      </c>
      <c r="C13006" s="380" t="str">
        <f>IFERROR(__xludf.DUMMYFUNCTION("""COMPUTED_VALUE"""),"70008478")</f>
        <v>70008478</v>
      </c>
      <c r="D13006" s="380" t="s">
        <v>767</v>
      </c>
      <c r="E13006" s="380" t="s">
        <v>786</v>
      </c>
      <c r="F13006" s="380" t="s">
        <v>998</v>
      </c>
      <c r="G13006" s="380" t="s">
        <v>1267</v>
      </c>
      <c r="H13006" s="380" t="s">
        <v>771</v>
      </c>
      <c r="I13006" s="380" t="s">
        <v>788</v>
      </c>
      <c r="J13006" s="380" t="s">
        <v>773</v>
      </c>
      <c r="K13006" s="381">
        <v>0.0</v>
      </c>
      <c r="L13006" s="382">
        <v>1.0</v>
      </c>
    </row>
    <row r="13007">
      <c r="A13007" s="380" t="s">
        <v>13881</v>
      </c>
      <c r="B13007" s="380" t="str">
        <f>IFERROR(__xludf.DUMMYFUNCTION("""COMPUTED_VALUE"""),"Valvula Dosificadora Urea 2115847rn")</f>
        <v>Valvula Dosificadora Urea 2115847rn</v>
      </c>
      <c r="C13007" s="380" t="str">
        <f>IFERROR(__xludf.DUMMYFUNCTION("""COMPUTED_VALUE"""),"70008479")</f>
        <v>70008479</v>
      </c>
      <c r="D13007" s="380" t="s">
        <v>767</v>
      </c>
      <c r="E13007" s="380" t="s">
        <v>786</v>
      </c>
      <c r="F13007" s="380" t="s">
        <v>787</v>
      </c>
      <c r="G13007" s="380" t="s">
        <v>1267</v>
      </c>
      <c r="H13007" s="380" t="s">
        <v>771</v>
      </c>
      <c r="I13007" s="380" t="s">
        <v>788</v>
      </c>
      <c r="J13007" s="380" t="s">
        <v>773</v>
      </c>
      <c r="K13007" s="381">
        <v>0.0</v>
      </c>
      <c r="L13007" s="382">
        <v>1.0</v>
      </c>
    </row>
    <row r="13008">
      <c r="A13008" s="380" t="s">
        <v>13882</v>
      </c>
      <c r="B13008" s="380" t="str">
        <f>IFERROR(__xludf.DUMMYFUNCTION("""COMPUTED_VALUE"""),"Catalizador Foton 1128 Evi 7700149312035")</f>
        <v>Catalizador Foton 1128 Evi 7700149312035</v>
      </c>
      <c r="C13008" s="380" t="str">
        <f>IFERROR(__xludf.DUMMYFUNCTION("""COMPUTED_VALUE"""),"70008480")</f>
        <v>70008480</v>
      </c>
      <c r="D13008" s="380" t="s">
        <v>767</v>
      </c>
      <c r="E13008" s="380" t="s">
        <v>786</v>
      </c>
      <c r="F13008" s="380" t="s">
        <v>787</v>
      </c>
      <c r="G13008" s="380" t="s">
        <v>1267</v>
      </c>
      <c r="H13008" s="380" t="s">
        <v>771</v>
      </c>
      <c r="I13008" s="380" t="s">
        <v>788</v>
      </c>
      <c r="J13008" s="380" t="s">
        <v>773</v>
      </c>
      <c r="K13008" s="381">
        <v>0.0</v>
      </c>
      <c r="L13008" s="382">
        <v>1.0</v>
      </c>
    </row>
    <row r="13009">
      <c r="A13009" s="380" t="s">
        <v>13883</v>
      </c>
      <c r="B13009" s="380" t="str">
        <f>IFERROR(__xludf.DUMMYFUNCTION("""COMPUTED_VALUE"""),"Kit Calefacion A/C Frontal INT Lt 412228")</f>
        <v>Kit Calefacion A/C Frontal INT Lt 412228</v>
      </c>
      <c r="C13009" s="380" t="str">
        <f>IFERROR(__xludf.DUMMYFUNCTION("""COMPUTED_VALUE"""),"70008481")</f>
        <v>70008481</v>
      </c>
      <c r="D13009" s="380" t="s">
        <v>767</v>
      </c>
      <c r="E13009" s="380" t="s">
        <v>786</v>
      </c>
      <c r="F13009" s="380" t="s">
        <v>792</v>
      </c>
      <c r="G13009" s="380" t="s">
        <v>1267</v>
      </c>
      <c r="H13009" s="380" t="s">
        <v>771</v>
      </c>
      <c r="I13009" s="380" t="s">
        <v>788</v>
      </c>
      <c r="J13009" s="380" t="s">
        <v>773</v>
      </c>
      <c r="K13009" s="381">
        <v>0.0</v>
      </c>
      <c r="L13009" s="382">
        <v>1.0</v>
      </c>
    </row>
    <row r="13010">
      <c r="A13010" s="380" t="s">
        <v>13884</v>
      </c>
      <c r="B13010" s="380" t="str">
        <f>IFERROR(__xludf.DUMMYFUNCTION("""COMPUTED_VALUE"""),"Racor Codo B69r 90 Grados 1/2 Sinflex X")</f>
        <v>Racor Codo B69r 90 Grados 1/2 Sinflex X</v>
      </c>
      <c r="C13010" s="380" t="str">
        <f>IFERROR(__xludf.DUMMYFUNCTION("""COMPUTED_VALUE"""),"70008482")</f>
        <v>70008482</v>
      </c>
      <c r="D13010" s="380" t="s">
        <v>767</v>
      </c>
      <c r="E13010" s="380" t="s">
        <v>786</v>
      </c>
      <c r="F13010" s="380" t="s">
        <v>989</v>
      </c>
      <c r="G13010" s="380" t="s">
        <v>1267</v>
      </c>
      <c r="H13010" s="380" t="s">
        <v>771</v>
      </c>
      <c r="I13010" s="380" t="s">
        <v>788</v>
      </c>
      <c r="J13010" s="380" t="s">
        <v>773</v>
      </c>
      <c r="K13010" s="381">
        <v>0.0</v>
      </c>
      <c r="L13010" s="382">
        <v>1.0</v>
      </c>
    </row>
    <row r="13011">
      <c r="A13011" s="380" t="s">
        <v>13885</v>
      </c>
      <c r="B13011" s="380" t="str">
        <f>IFERROR(__xludf.DUMMYFUNCTION("""COMPUTED_VALUE"""),"Cubierta Motor Inter Lt 3771270c94")</f>
        <v>Cubierta Motor Inter Lt 3771270c94</v>
      </c>
      <c r="C13011" s="380" t="str">
        <f>IFERROR(__xludf.DUMMYFUNCTION("""COMPUTED_VALUE"""),"70008483")</f>
        <v>70008483</v>
      </c>
      <c r="D13011" s="380" t="s">
        <v>767</v>
      </c>
      <c r="E13011" s="380" t="s">
        <v>786</v>
      </c>
      <c r="F13011" s="380" t="s">
        <v>792</v>
      </c>
      <c r="G13011" s="380" t="s">
        <v>1267</v>
      </c>
      <c r="H13011" s="380" t="s">
        <v>771</v>
      </c>
      <c r="I13011" s="380" t="s">
        <v>788</v>
      </c>
      <c r="J13011" s="380" t="s">
        <v>773</v>
      </c>
      <c r="K13011" s="381">
        <v>0.0</v>
      </c>
      <c r="L13011" s="382">
        <v>1.0</v>
      </c>
    </row>
    <row r="13012">
      <c r="A13012" s="380" t="s">
        <v>13886</v>
      </c>
      <c r="B13012" s="380" t="str">
        <f>IFERROR(__xludf.DUMMYFUNCTION("""COMPUTED_VALUE"""),"Rejilla Motor Derecha Dongfeng 11054488")</f>
        <v>Rejilla Motor Derecha Dongfeng 11054488</v>
      </c>
      <c r="C13012" s="380" t="str">
        <f>IFERROR(__xludf.DUMMYFUNCTION("""COMPUTED_VALUE"""),"70008484")</f>
        <v>70008484</v>
      </c>
      <c r="D13012" s="380" t="s">
        <v>767</v>
      </c>
      <c r="E13012" s="380" t="s">
        <v>786</v>
      </c>
      <c r="F13012" s="380" t="s">
        <v>792</v>
      </c>
      <c r="G13012" s="380" t="s">
        <v>1267</v>
      </c>
      <c r="H13012" s="380" t="s">
        <v>771</v>
      </c>
      <c r="I13012" s="380" t="s">
        <v>788</v>
      </c>
      <c r="J13012" s="380" t="s">
        <v>773</v>
      </c>
      <c r="K13012" s="381">
        <v>0.0</v>
      </c>
      <c r="L13012" s="382">
        <v>1.0</v>
      </c>
    </row>
    <row r="13013">
      <c r="A13013" s="380" t="s">
        <v>13887</v>
      </c>
      <c r="B13013" s="380" t="str">
        <f>IFERROR(__xludf.DUMMYFUNCTION("""COMPUTED_VALUE"""),"Manija Int PTA Der Van DFENG 11054533")</f>
        <v>Manija Int PTA Der Van DFENG 11054533</v>
      </c>
      <c r="C13013" s="380" t="str">
        <f>IFERROR(__xludf.DUMMYFUNCTION("""COMPUTED_VALUE"""),"70008485")</f>
        <v>70008485</v>
      </c>
      <c r="D13013" s="380" t="s">
        <v>767</v>
      </c>
      <c r="E13013" s="380" t="s">
        <v>786</v>
      </c>
      <c r="F13013" s="380" t="s">
        <v>792</v>
      </c>
      <c r="G13013" s="380" t="s">
        <v>1267</v>
      </c>
      <c r="H13013" s="380" t="s">
        <v>771</v>
      </c>
      <c r="I13013" s="380" t="s">
        <v>788</v>
      </c>
      <c r="J13013" s="380" t="s">
        <v>773</v>
      </c>
      <c r="K13013" s="381">
        <v>0.0</v>
      </c>
      <c r="L13013" s="382">
        <v>1.0</v>
      </c>
    </row>
    <row r="13014">
      <c r="A13014" s="380" t="s">
        <v>13888</v>
      </c>
      <c r="B13014" s="380" t="str">
        <f>IFERROR(__xludf.DUMMYFUNCTION("""COMPUTED_VALUE"""),"Porta Leva Freno Del Der INT Lt 2587567c")</f>
        <v>Porta Leva Freno Del Der INT Lt 2587567c</v>
      </c>
      <c r="C13014" s="380" t="str">
        <f>IFERROR(__xludf.DUMMYFUNCTION("""COMPUTED_VALUE"""),"70008486")</f>
        <v>70008486</v>
      </c>
      <c r="D13014" s="380" t="s">
        <v>767</v>
      </c>
      <c r="E13014" s="380" t="s">
        <v>786</v>
      </c>
      <c r="F13014" s="380" t="s">
        <v>1017</v>
      </c>
      <c r="G13014" s="380" t="s">
        <v>1267</v>
      </c>
      <c r="H13014" s="380" t="s">
        <v>771</v>
      </c>
      <c r="I13014" s="380" t="s">
        <v>788</v>
      </c>
      <c r="J13014" s="380" t="s">
        <v>773</v>
      </c>
      <c r="K13014" s="381">
        <v>0.0</v>
      </c>
      <c r="L13014" s="382">
        <v>1.0</v>
      </c>
    </row>
    <row r="13015">
      <c r="A13015" s="380" t="s">
        <v>13889</v>
      </c>
      <c r="B13015" s="380" t="str">
        <f>IFERROR(__xludf.DUMMYFUNCTION("""COMPUTED_VALUE"""),"Guaya CTRL Selector Cambios 8972056590")</f>
        <v>Guaya CTRL Selector Cambios 8972056590</v>
      </c>
      <c r="C13015" s="380" t="str">
        <f>IFERROR(__xludf.DUMMYFUNCTION("""COMPUTED_VALUE"""),"70008487")</f>
        <v>70008487</v>
      </c>
      <c r="D13015" s="380" t="s">
        <v>767</v>
      </c>
      <c r="E13015" s="380" t="s">
        <v>786</v>
      </c>
      <c r="F13015" s="380" t="s">
        <v>928</v>
      </c>
      <c r="G13015" s="380" t="s">
        <v>1267</v>
      </c>
      <c r="H13015" s="380" t="s">
        <v>771</v>
      </c>
      <c r="I13015" s="380" t="s">
        <v>788</v>
      </c>
      <c r="J13015" s="380" t="s">
        <v>773</v>
      </c>
      <c r="K13015" s="381">
        <v>0.0</v>
      </c>
      <c r="L13015" s="382">
        <v>1.0</v>
      </c>
    </row>
    <row r="13016">
      <c r="A13016" s="380" t="s">
        <v>13890</v>
      </c>
      <c r="B13016" s="380" t="str">
        <f>IFERROR(__xludf.DUMMYFUNCTION("""COMPUTED_VALUE"""),"VENT RAD FT Mv5 7705946025508")</f>
        <v>VENT RAD FT Mv5 7705946025508</v>
      </c>
      <c r="C13016" s="380" t="str">
        <f>IFERROR(__xludf.DUMMYFUNCTION("""COMPUTED_VALUE"""),"70008488")</f>
        <v>70008488</v>
      </c>
      <c r="D13016" s="380" t="s">
        <v>767</v>
      </c>
      <c r="E13016" s="380" t="s">
        <v>786</v>
      </c>
      <c r="F13016" s="380" t="s">
        <v>787</v>
      </c>
      <c r="G13016" s="380" t="s">
        <v>1267</v>
      </c>
      <c r="H13016" s="380" t="s">
        <v>771</v>
      </c>
      <c r="I13016" s="380" t="s">
        <v>788</v>
      </c>
      <c r="J13016" s="380" t="s">
        <v>773</v>
      </c>
      <c r="K13016" s="381">
        <v>0.0</v>
      </c>
      <c r="L13016" s="382">
        <v>1.0</v>
      </c>
    </row>
    <row r="13017">
      <c r="A13017" s="380" t="s">
        <v>13891</v>
      </c>
      <c r="B13017" s="380" t="str">
        <f>IFERROR(__xludf.DUMMYFUNCTION("""COMPUTED_VALUE"""),"TANQ Vapor COMB FT Mv5 7701023488235")</f>
        <v>TANQ Vapor COMB FT Mv5 7701023488235</v>
      </c>
      <c r="C13017" s="380" t="str">
        <f>IFERROR(__xludf.DUMMYFUNCTION("""COMPUTED_VALUE"""),"70008489")</f>
        <v>70008489</v>
      </c>
      <c r="D13017" s="380" t="s">
        <v>767</v>
      </c>
      <c r="E13017" s="380" t="s">
        <v>786</v>
      </c>
      <c r="F13017" s="380" t="s">
        <v>787</v>
      </c>
      <c r="G13017" s="380" t="s">
        <v>1267</v>
      </c>
      <c r="H13017" s="380" t="s">
        <v>771</v>
      </c>
      <c r="I13017" s="380" t="s">
        <v>788</v>
      </c>
      <c r="J13017" s="380" t="s">
        <v>773</v>
      </c>
      <c r="K13017" s="381">
        <v>0.0</v>
      </c>
      <c r="L13017" s="382">
        <v>1.0</v>
      </c>
    </row>
    <row r="13018">
      <c r="A13018" s="380" t="s">
        <v>13892</v>
      </c>
      <c r="B13018" s="380" t="str">
        <f>IFERROR(__xludf.DUMMYFUNCTION("""COMPUTED_VALUE"""),"Bocin Trasero Foton 1128 7705946766586")</f>
        <v>Bocin Trasero Foton 1128 7705946766586</v>
      </c>
      <c r="C13018" s="380" t="str">
        <f>IFERROR(__xludf.DUMMYFUNCTION("""COMPUTED_VALUE"""),"70008490")</f>
        <v>70008490</v>
      </c>
      <c r="D13018" s="380" t="s">
        <v>767</v>
      </c>
      <c r="E13018" s="380" t="s">
        <v>786</v>
      </c>
      <c r="F13018" s="380" t="s">
        <v>1017</v>
      </c>
      <c r="G13018" s="380" t="s">
        <v>1267</v>
      </c>
      <c r="H13018" s="380" t="s">
        <v>771</v>
      </c>
      <c r="I13018" s="380" t="s">
        <v>788</v>
      </c>
      <c r="J13018" s="380" t="s">
        <v>773</v>
      </c>
      <c r="K13018" s="381">
        <v>0.0</v>
      </c>
      <c r="L13018" s="382">
        <v>1.0</v>
      </c>
    </row>
    <row r="13019">
      <c r="A13019" s="380" t="s">
        <v>13893</v>
      </c>
      <c r="B13019" s="380" t="str">
        <f>IFERROR(__xludf.DUMMYFUNCTION("""COMPUTED_VALUE"""),"Carcasa Switch Encendido INT Lt 3545580c")</f>
        <v>Carcasa Switch Encendido INT Lt 3545580c</v>
      </c>
      <c r="C13019" s="380" t="str">
        <f>IFERROR(__xludf.DUMMYFUNCTION("""COMPUTED_VALUE"""),"70008491")</f>
        <v>70008491</v>
      </c>
      <c r="D13019" s="380" t="s">
        <v>767</v>
      </c>
      <c r="E13019" s="380" t="s">
        <v>786</v>
      </c>
      <c r="F13019" s="380" t="s">
        <v>998</v>
      </c>
      <c r="G13019" s="380" t="s">
        <v>1267</v>
      </c>
      <c r="H13019" s="380" t="s">
        <v>771</v>
      </c>
      <c r="I13019" s="380" t="s">
        <v>788</v>
      </c>
      <c r="J13019" s="380" t="s">
        <v>773</v>
      </c>
      <c r="K13019" s="381">
        <v>0.0</v>
      </c>
      <c r="L13019" s="382">
        <v>1.0</v>
      </c>
    </row>
    <row r="13020">
      <c r="A13020" s="380" t="s">
        <v>13894</v>
      </c>
      <c r="B13020" s="380" t="str">
        <f>IFERROR(__xludf.DUMMYFUNCTION("""COMPUTED_VALUE"""),"SENS Posicion Cigueñal FT 1030 770594687")</f>
        <v>SENS Posicion Cigueñal FT 1030 770594687</v>
      </c>
      <c r="C13020" s="380" t="str">
        <f>IFERROR(__xludf.DUMMYFUNCTION("""COMPUTED_VALUE"""),"70008492")</f>
        <v>70008492</v>
      </c>
      <c r="D13020" s="380" t="s">
        <v>767</v>
      </c>
      <c r="E13020" s="380" t="s">
        <v>786</v>
      </c>
      <c r="F13020" s="380" t="s">
        <v>787</v>
      </c>
      <c r="G13020" s="380" t="s">
        <v>1267</v>
      </c>
      <c r="H13020" s="380" t="s">
        <v>771</v>
      </c>
      <c r="I13020" s="380" t="s">
        <v>788</v>
      </c>
      <c r="J13020" s="380" t="s">
        <v>773</v>
      </c>
      <c r="K13020" s="381">
        <v>0.0</v>
      </c>
      <c r="L13020" s="382">
        <v>1.0</v>
      </c>
    </row>
    <row r="13021">
      <c r="A13021" s="380" t="s">
        <v>13895</v>
      </c>
      <c r="B13021" s="380" t="str">
        <f>IFERROR(__xludf.DUMMYFUNCTION("""COMPUTED_VALUE"""),"Farola Izq Jac Sunray 4121100r001")</f>
        <v>Farola Izq Jac Sunray 4121100r001</v>
      </c>
      <c r="C13021" s="380" t="str">
        <f>IFERROR(__xludf.DUMMYFUNCTION("""COMPUTED_VALUE"""),"70008493")</f>
        <v>70008493</v>
      </c>
      <c r="D13021" s="380" t="s">
        <v>767</v>
      </c>
      <c r="E13021" s="380" t="s">
        <v>786</v>
      </c>
      <c r="F13021" s="380" t="s">
        <v>998</v>
      </c>
      <c r="G13021" s="380" t="s">
        <v>1267</v>
      </c>
      <c r="H13021" s="380" t="s">
        <v>771</v>
      </c>
      <c r="I13021" s="380" t="s">
        <v>788</v>
      </c>
      <c r="J13021" s="380" t="s">
        <v>773</v>
      </c>
      <c r="K13021" s="381">
        <v>0.0</v>
      </c>
      <c r="L13021" s="382">
        <v>1.0</v>
      </c>
    </row>
    <row r="13022">
      <c r="A13022" s="380" t="s">
        <v>13896</v>
      </c>
      <c r="B13022" s="380" t="str">
        <f>IFERROR(__xludf.DUMMYFUNCTION("""COMPUTED_VALUE"""),"Jgo Gorros De VALV (X8) FT 1039 77010234")</f>
        <v>Jgo Gorros De VALV (X8) FT 1039 77010234</v>
      </c>
      <c r="C13022" s="380" t="str">
        <f>IFERROR(__xludf.DUMMYFUNCTION("""COMPUTED_VALUE"""),"70008494")</f>
        <v>70008494</v>
      </c>
      <c r="D13022" s="380" t="s">
        <v>767</v>
      </c>
      <c r="E13022" s="380" t="s">
        <v>786</v>
      </c>
      <c r="F13022" s="380" t="s">
        <v>787</v>
      </c>
      <c r="G13022" s="380" t="s">
        <v>1267</v>
      </c>
      <c r="H13022" s="380" t="s">
        <v>771</v>
      </c>
      <c r="I13022" s="380" t="s">
        <v>788</v>
      </c>
      <c r="J13022" s="380" t="s">
        <v>773</v>
      </c>
      <c r="K13022" s="381">
        <v>0.0</v>
      </c>
      <c r="L13022" s="382">
        <v>1.0</v>
      </c>
    </row>
    <row r="13023">
      <c r="A13023" s="380" t="s">
        <v>13897</v>
      </c>
      <c r="B13023" s="380" t="str">
        <f>IFERROR(__xludf.DUMMYFUNCTION("""COMPUTED_VALUE"""),"Jgo Guias De VALV (X8) FT 1039 770594626")</f>
        <v>Jgo Guias De VALV (X8) FT 1039 770594626</v>
      </c>
      <c r="C13023" s="380" t="str">
        <f>IFERROR(__xludf.DUMMYFUNCTION("""COMPUTED_VALUE"""),"70008495")</f>
        <v>70008495</v>
      </c>
      <c r="D13023" s="380" t="s">
        <v>767</v>
      </c>
      <c r="E13023" s="380" t="s">
        <v>786</v>
      </c>
      <c r="F13023" s="380" t="s">
        <v>787</v>
      </c>
      <c r="G13023" s="380" t="s">
        <v>1267</v>
      </c>
      <c r="H13023" s="380" t="s">
        <v>771</v>
      </c>
      <c r="I13023" s="380" t="s">
        <v>788</v>
      </c>
      <c r="J13023" s="380" t="s">
        <v>773</v>
      </c>
      <c r="K13023" s="381">
        <v>0.0</v>
      </c>
      <c r="L13023" s="382">
        <v>1.0</v>
      </c>
    </row>
    <row r="13024">
      <c r="A13024" s="380" t="s">
        <v>13898</v>
      </c>
      <c r="B13024" s="380" t="str">
        <f>IFERROR(__xludf.DUMMYFUNCTION("""COMPUTED_VALUE"""),"Casquete Axial Cigueñal (X2) FT 1039 770")</f>
        <v>Casquete Axial Cigueñal (X2) FT 1039 770</v>
      </c>
      <c r="C13024" s="380" t="str">
        <f>IFERROR(__xludf.DUMMYFUNCTION("""COMPUTED_VALUE"""),"70008496")</f>
        <v>70008496</v>
      </c>
      <c r="D13024" s="380" t="s">
        <v>767</v>
      </c>
      <c r="E13024" s="380" t="s">
        <v>786</v>
      </c>
      <c r="F13024" s="380" t="s">
        <v>787</v>
      </c>
      <c r="G13024" s="380" t="s">
        <v>1267</v>
      </c>
      <c r="H13024" s="380" t="s">
        <v>771</v>
      </c>
      <c r="I13024" s="380" t="s">
        <v>788</v>
      </c>
      <c r="J13024" s="380" t="s">
        <v>773</v>
      </c>
      <c r="K13024" s="381">
        <v>0.0</v>
      </c>
      <c r="L13024" s="382">
        <v>1.0</v>
      </c>
    </row>
    <row r="13025">
      <c r="A13025" s="380" t="s">
        <v>13899</v>
      </c>
      <c r="B13025" s="380" t="str">
        <f>IFERROR(__xludf.DUMMYFUNCTION("""COMPUTED_VALUE"""),"Casquetes Biela Std (X8) FT 1039 7701023")</f>
        <v>Casquetes Biela Std (X8) FT 1039 7701023</v>
      </c>
      <c r="C13025" s="380" t="str">
        <f>IFERROR(__xludf.DUMMYFUNCTION("""COMPUTED_VALUE"""),"70008497")</f>
        <v>70008497</v>
      </c>
      <c r="D13025" s="380" t="s">
        <v>767</v>
      </c>
      <c r="E13025" s="380" t="s">
        <v>786</v>
      </c>
      <c r="F13025" s="380" t="s">
        <v>787</v>
      </c>
      <c r="G13025" s="380" t="s">
        <v>1267</v>
      </c>
      <c r="H13025" s="380" t="s">
        <v>771</v>
      </c>
      <c r="I13025" s="380" t="s">
        <v>788</v>
      </c>
      <c r="J13025" s="380" t="s">
        <v>773</v>
      </c>
      <c r="K13025" s="381">
        <v>0.0</v>
      </c>
      <c r="L13025" s="382">
        <v>1.0</v>
      </c>
    </row>
    <row r="13026">
      <c r="A13026" s="380" t="s">
        <v>13900</v>
      </c>
      <c r="B13026" s="380" t="str">
        <f>IFERROR(__xludf.DUMMYFUNCTION("""COMPUTED_VALUE"""),"Casquetes Bancada Std (X10) FT 1039 7700")</f>
        <v>Casquetes Bancada Std (X10) FT 1039 7700</v>
      </c>
      <c r="C13026" s="380" t="str">
        <f>IFERROR(__xludf.DUMMYFUNCTION("""COMPUTED_VALUE"""),"70008498")</f>
        <v>70008498</v>
      </c>
      <c r="D13026" s="380" t="s">
        <v>767</v>
      </c>
      <c r="E13026" s="380" t="s">
        <v>786</v>
      </c>
      <c r="F13026" s="380" t="s">
        <v>787</v>
      </c>
      <c r="G13026" s="380" t="s">
        <v>1267</v>
      </c>
      <c r="H13026" s="380" t="s">
        <v>771</v>
      </c>
      <c r="I13026" s="380" t="s">
        <v>788</v>
      </c>
      <c r="J13026" s="380" t="s">
        <v>773</v>
      </c>
      <c r="K13026" s="381">
        <v>0.0</v>
      </c>
      <c r="L13026" s="382">
        <v>1.0</v>
      </c>
    </row>
    <row r="13027">
      <c r="A13027" s="380" t="s">
        <v>13901</v>
      </c>
      <c r="B13027" s="380" t="str">
        <f>IFERROR(__xludf.DUMMYFUNCTION("""COMPUTED_VALUE"""),"Tapa DEP Urea FT 1128 E6 7700149203630")</f>
        <v>Tapa DEP Urea FT 1128 E6 7700149203630</v>
      </c>
      <c r="C13027" s="380" t="str">
        <f>IFERROR(__xludf.DUMMYFUNCTION("""COMPUTED_VALUE"""),"70008499")</f>
        <v>70008499</v>
      </c>
      <c r="D13027" s="380" t="s">
        <v>767</v>
      </c>
      <c r="E13027" s="380" t="s">
        <v>786</v>
      </c>
      <c r="F13027" s="380" t="s">
        <v>792</v>
      </c>
      <c r="G13027" s="380" t="s">
        <v>1267</v>
      </c>
      <c r="H13027" s="380" t="s">
        <v>771</v>
      </c>
      <c r="I13027" s="380" t="s">
        <v>788</v>
      </c>
      <c r="J13027" s="380" t="s">
        <v>773</v>
      </c>
      <c r="K13027" s="381">
        <v>0.0</v>
      </c>
      <c r="L13027" s="382">
        <v>1.0</v>
      </c>
    </row>
    <row r="13028">
      <c r="A13028" s="380" t="s">
        <v>13902</v>
      </c>
      <c r="B13028" s="380" t="str">
        <f>IFERROR(__xludf.DUMMYFUNCTION("""COMPUTED_VALUE"""),"Tapa DEP Urea Tractomula FT 4269 H412500")</f>
        <v>Tapa DEP Urea Tractomula FT 4269 H412500</v>
      </c>
      <c r="C13028" s="380" t="str">
        <f>IFERROR(__xludf.DUMMYFUNCTION("""COMPUTED_VALUE"""),"70008500")</f>
        <v>70008500</v>
      </c>
      <c r="D13028" s="380" t="s">
        <v>767</v>
      </c>
      <c r="E13028" s="380" t="s">
        <v>786</v>
      </c>
      <c r="F13028" s="380" t="s">
        <v>792</v>
      </c>
      <c r="G13028" s="380" t="s">
        <v>1267</v>
      </c>
      <c r="H13028" s="380" t="s">
        <v>771</v>
      </c>
      <c r="I13028" s="380" t="s">
        <v>788</v>
      </c>
      <c r="J13028" s="380" t="s">
        <v>773</v>
      </c>
      <c r="K13028" s="381">
        <v>72466.0</v>
      </c>
      <c r="L13028" s="382">
        <v>1.0</v>
      </c>
    </row>
    <row r="13029">
      <c r="A13029" s="380" t="s">
        <v>13903</v>
      </c>
      <c r="B13029" s="380" t="str">
        <f>IFERROR(__xludf.DUMMYFUNCTION("""COMPUTED_VALUE"""),"Tubo ENT FILT COMB FT 1129 7701023494960")</f>
        <v>Tubo ENT FILT COMB FT 1129 7701023494960</v>
      </c>
      <c r="C13029" s="380" t="str">
        <f>IFERROR(__xludf.DUMMYFUNCTION("""COMPUTED_VALUE"""),"70008501")</f>
        <v>70008501</v>
      </c>
      <c r="D13029" s="380" t="s">
        <v>767</v>
      </c>
      <c r="E13029" s="380" t="s">
        <v>786</v>
      </c>
      <c r="F13029" s="380" t="s">
        <v>787</v>
      </c>
      <c r="G13029" s="380" t="s">
        <v>1267</v>
      </c>
      <c r="H13029" s="380" t="s">
        <v>771</v>
      </c>
      <c r="I13029" s="380" t="s">
        <v>788</v>
      </c>
      <c r="J13029" s="380" t="s">
        <v>773</v>
      </c>
      <c r="K13029" s="381">
        <v>0.0</v>
      </c>
      <c r="L13029" s="382">
        <v>1.0</v>
      </c>
    </row>
    <row r="13030">
      <c r="A13030" s="380" t="s">
        <v>13904</v>
      </c>
      <c r="B13030" s="380" t="str">
        <f>IFERROR(__xludf.DUMMYFUNCTION("""COMPUTED_VALUE"""),"MUE Completo TRAS FT 1030 7705946870696")</f>
        <v>MUE Completo TRAS FT 1030 7705946870696</v>
      </c>
      <c r="C13030" s="380" t="str">
        <f>IFERROR(__xludf.DUMMYFUNCTION("""COMPUTED_VALUE"""),"70008502")</f>
        <v>70008502</v>
      </c>
      <c r="D13030" s="380" t="s">
        <v>767</v>
      </c>
      <c r="E13030" s="380" t="s">
        <v>786</v>
      </c>
      <c r="F13030" s="380" t="s">
        <v>1039</v>
      </c>
      <c r="G13030" s="380" t="s">
        <v>1267</v>
      </c>
      <c r="H13030" s="380" t="s">
        <v>771</v>
      </c>
      <c r="I13030" s="380" t="s">
        <v>788</v>
      </c>
      <c r="J13030" s="380" t="s">
        <v>773</v>
      </c>
      <c r="K13030" s="381">
        <v>0.0</v>
      </c>
      <c r="L13030" s="382">
        <v>1.0</v>
      </c>
    </row>
    <row r="13031">
      <c r="A13031" s="380" t="s">
        <v>13905</v>
      </c>
      <c r="B13031" s="380" t="str">
        <f>IFERROR(__xludf.DUMMYFUNCTION("""COMPUTED_VALUE"""),"Motor Arranque Foton Mvv Reparado")</f>
        <v>Motor Arranque Foton Mvv Reparado</v>
      </c>
      <c r="C13031" s="380" t="str">
        <f>IFERROR(__xludf.DUMMYFUNCTION("""COMPUTED_VALUE"""),"70008503")</f>
        <v>70008503</v>
      </c>
      <c r="D13031" s="380" t="s">
        <v>767</v>
      </c>
      <c r="E13031" s="380" t="s">
        <v>786</v>
      </c>
      <c r="F13031" s="380" t="s">
        <v>998</v>
      </c>
      <c r="G13031" s="380" t="s">
        <v>1267</v>
      </c>
      <c r="H13031" s="380" t="s">
        <v>771</v>
      </c>
      <c r="I13031" s="380" t="s">
        <v>788</v>
      </c>
      <c r="J13031" s="380" t="s">
        <v>773</v>
      </c>
      <c r="K13031" s="381">
        <v>325000.0</v>
      </c>
      <c r="L13031" s="382">
        <v>1.0</v>
      </c>
    </row>
    <row r="13032">
      <c r="A13032" s="380" t="s">
        <v>13906</v>
      </c>
      <c r="B13032" s="380" t="str">
        <f>IFERROR(__xludf.DUMMYFUNCTION("""COMPUTED_VALUE"""),"Carcasa Filtro Aire Inter Lt 4063329c96")</f>
        <v>Carcasa Filtro Aire Inter Lt 4063329c96</v>
      </c>
      <c r="C13032" s="380" t="str">
        <f>IFERROR(__xludf.DUMMYFUNCTION("""COMPUTED_VALUE"""),"70008504")</f>
        <v>70008504</v>
      </c>
      <c r="D13032" s="380" t="s">
        <v>767</v>
      </c>
      <c r="E13032" s="380" t="s">
        <v>786</v>
      </c>
      <c r="F13032" s="380" t="s">
        <v>787</v>
      </c>
      <c r="G13032" s="380" t="s">
        <v>1267</v>
      </c>
      <c r="H13032" s="380" t="s">
        <v>771</v>
      </c>
      <c r="I13032" s="380" t="s">
        <v>788</v>
      </c>
      <c r="J13032" s="380" t="s">
        <v>773</v>
      </c>
      <c r="K13032" s="381">
        <v>0.0</v>
      </c>
      <c r="L13032" s="382">
        <v>1.0</v>
      </c>
    </row>
    <row r="13033">
      <c r="A13033" s="380" t="s">
        <v>13907</v>
      </c>
      <c r="B13033" s="380" t="str">
        <f>IFERROR(__xludf.DUMMYFUNCTION("""COMPUTED_VALUE"""),"Turbo Alimentador Mack Anthem Reparado")</f>
        <v>Turbo Alimentador Mack Anthem Reparado</v>
      </c>
      <c r="C13033" s="380" t="str">
        <f>IFERROR(__xludf.DUMMYFUNCTION("""COMPUTED_VALUE"""),"70008505")</f>
        <v>70008505</v>
      </c>
      <c r="D13033" s="380" t="s">
        <v>767</v>
      </c>
      <c r="E13033" s="380" t="s">
        <v>786</v>
      </c>
      <c r="F13033" s="380" t="s">
        <v>787</v>
      </c>
      <c r="G13033" s="380" t="s">
        <v>1267</v>
      </c>
      <c r="H13033" s="380" t="s">
        <v>771</v>
      </c>
      <c r="I13033" s="380" t="s">
        <v>788</v>
      </c>
      <c r="J13033" s="380" t="s">
        <v>773</v>
      </c>
      <c r="K13033" s="381">
        <v>0.0</v>
      </c>
      <c r="L13033" s="382">
        <v>1.0</v>
      </c>
    </row>
    <row r="13034">
      <c r="A13034" s="380" t="s">
        <v>13908</v>
      </c>
      <c r="B13034" s="380" t="str">
        <f>IFERROR(__xludf.DUMMYFUNCTION("""COMPUTED_VALUE"""),"Arnes Pn Alto Voltaje Van DFENG 550251-0")</f>
        <v>Arnes Pn Alto Voltaje Van DFENG 550251-0</v>
      </c>
      <c r="C13034" s="380" t="str">
        <f>IFERROR(__xludf.DUMMYFUNCTION("""COMPUTED_VALUE"""),"70008506")</f>
        <v>70008506</v>
      </c>
      <c r="D13034" s="380" t="s">
        <v>767</v>
      </c>
      <c r="E13034" s="380" t="s">
        <v>786</v>
      </c>
      <c r="F13034" s="380" t="s">
        <v>998</v>
      </c>
      <c r="G13034" s="380" t="s">
        <v>1267</v>
      </c>
      <c r="H13034" s="380" t="s">
        <v>771</v>
      </c>
      <c r="I13034" s="380" t="s">
        <v>788</v>
      </c>
      <c r="J13034" s="380" t="s">
        <v>773</v>
      </c>
      <c r="K13034" s="381">
        <v>0.0</v>
      </c>
      <c r="L13034" s="382">
        <v>1.0</v>
      </c>
    </row>
    <row r="13035">
      <c r="A13035" s="380" t="s">
        <v>13909</v>
      </c>
      <c r="B13035" s="380" t="str">
        <f>IFERROR(__xludf.DUMMYFUNCTION("""COMPUTED_VALUE"""),"Conector Msd Bateria Alto Voltaje DFENG")</f>
        <v>Conector Msd Bateria Alto Voltaje DFENG</v>
      </c>
      <c r="C13035" s="380" t="str">
        <f>IFERROR(__xludf.DUMMYFUNCTION("""COMPUTED_VALUE"""),"70008507")</f>
        <v>70008507</v>
      </c>
      <c r="D13035" s="380" t="s">
        <v>767</v>
      </c>
      <c r="E13035" s="380" t="s">
        <v>786</v>
      </c>
      <c r="F13035" s="380" t="s">
        <v>998</v>
      </c>
      <c r="G13035" s="380" t="s">
        <v>1267</v>
      </c>
      <c r="H13035" s="380" t="s">
        <v>771</v>
      </c>
      <c r="I13035" s="380" t="s">
        <v>788</v>
      </c>
      <c r="J13035" s="380" t="s">
        <v>773</v>
      </c>
      <c r="K13035" s="381">
        <v>0.0</v>
      </c>
      <c r="L13035" s="382">
        <v>1.0</v>
      </c>
    </row>
    <row r="13036">
      <c r="A13036" s="380" t="s">
        <v>13910</v>
      </c>
      <c r="B13036" s="380" t="str">
        <f>IFERROR(__xludf.DUMMYFUNCTION("""COMPUTED_VALUE"""),"Tapa COMB Tractomula FT 4269 Amt H411003")</f>
        <v>Tapa COMB Tractomula FT 4269 Amt H411003</v>
      </c>
      <c r="C13036" s="380" t="str">
        <f>IFERROR(__xludf.DUMMYFUNCTION("""COMPUTED_VALUE"""),"70008508")</f>
        <v>70008508</v>
      </c>
      <c r="D13036" s="380" t="s">
        <v>767</v>
      </c>
      <c r="E13036" s="380" t="s">
        <v>786</v>
      </c>
      <c r="F13036" s="380" t="s">
        <v>792</v>
      </c>
      <c r="G13036" s="380" t="s">
        <v>1267</v>
      </c>
      <c r="H13036" s="380" t="s">
        <v>771</v>
      </c>
      <c r="I13036" s="380" t="s">
        <v>788</v>
      </c>
      <c r="J13036" s="380" t="s">
        <v>773</v>
      </c>
      <c r="K13036" s="381">
        <v>103773.0</v>
      </c>
      <c r="L13036" s="382">
        <v>1.0</v>
      </c>
    </row>
    <row r="13037">
      <c r="A13037" s="380" t="s">
        <v>13911</v>
      </c>
      <c r="B13037" s="380" t="str">
        <f>IFERROR(__xludf.DUMMYFUNCTION("""COMPUTED_VALUE"""),"CIL De Encendido MCK Anthem 25624514")</f>
        <v>CIL De Encendido MCK Anthem 25624514</v>
      </c>
      <c r="C13037" s="380" t="str">
        <f>IFERROR(__xludf.DUMMYFUNCTION("""COMPUTED_VALUE"""),"70008509")</f>
        <v>70008509</v>
      </c>
      <c r="D13037" s="380" t="s">
        <v>767</v>
      </c>
      <c r="E13037" s="380" t="s">
        <v>786</v>
      </c>
      <c r="F13037" s="380" t="s">
        <v>998</v>
      </c>
      <c r="G13037" s="380" t="s">
        <v>1267</v>
      </c>
      <c r="H13037" s="380" t="s">
        <v>771</v>
      </c>
      <c r="I13037" s="380" t="s">
        <v>788</v>
      </c>
      <c r="J13037" s="380" t="s">
        <v>773</v>
      </c>
      <c r="K13037" s="381">
        <v>0.0</v>
      </c>
      <c r="L13037" s="382">
        <v>1.0</v>
      </c>
    </row>
    <row r="13038">
      <c r="A13038" s="380" t="s">
        <v>13912</v>
      </c>
      <c r="B13038" s="380" t="str">
        <f>IFERROR(__xludf.DUMMYFUNCTION("""COMPUTED_VALUE"""),"Bisagra PTA DEL FT Mv 7701023486040")</f>
        <v>Bisagra PTA DEL FT Mv 7701023486040</v>
      </c>
      <c r="C13038" s="380" t="str">
        <f>IFERROR(__xludf.DUMMYFUNCTION("""COMPUTED_VALUE"""),"70008510")</f>
        <v>70008510</v>
      </c>
      <c r="D13038" s="380" t="s">
        <v>767</v>
      </c>
      <c r="E13038" s="380" t="s">
        <v>786</v>
      </c>
      <c r="F13038" s="380" t="s">
        <v>792</v>
      </c>
      <c r="G13038" s="380" t="s">
        <v>1267</v>
      </c>
      <c r="H13038" s="380" t="s">
        <v>771</v>
      </c>
      <c r="I13038" s="380" t="s">
        <v>788</v>
      </c>
      <c r="J13038" s="380" t="s">
        <v>773</v>
      </c>
      <c r="K13038" s="381">
        <v>0.0</v>
      </c>
      <c r="L13038" s="382">
        <v>1.0</v>
      </c>
    </row>
    <row r="13039">
      <c r="A13039" s="380" t="s">
        <v>13913</v>
      </c>
      <c r="B13039" s="380" t="str">
        <f>IFERROR(__xludf.DUMMYFUNCTION("""COMPUTED_VALUE"""),"Palanca Larga Caja Inter Lt Ful21236")</f>
        <v>Palanca Larga Caja Inter Lt Ful21236</v>
      </c>
      <c r="C13039" s="380" t="str">
        <f>IFERROR(__xludf.DUMMYFUNCTION("""COMPUTED_VALUE"""),"70008511")</f>
        <v>70008511</v>
      </c>
      <c r="D13039" s="380" t="s">
        <v>767</v>
      </c>
      <c r="E13039" s="380" t="s">
        <v>786</v>
      </c>
      <c r="F13039" s="380" t="s">
        <v>928</v>
      </c>
      <c r="G13039" s="380" t="s">
        <v>1267</v>
      </c>
      <c r="H13039" s="380" t="s">
        <v>771</v>
      </c>
      <c r="I13039" s="380" t="s">
        <v>788</v>
      </c>
      <c r="J13039" s="380" t="s">
        <v>773</v>
      </c>
      <c r="K13039" s="381">
        <v>0.0</v>
      </c>
      <c r="L13039" s="382">
        <v>1.0</v>
      </c>
    </row>
    <row r="13040">
      <c r="A13040" s="380" t="s">
        <v>13914</v>
      </c>
      <c r="B13040" s="380" t="str">
        <f>IFERROR(__xludf.DUMMYFUNCTION("""COMPUTED_VALUE"""),"Palanca Corta Caja Inter Lt Ful4000078")</f>
        <v>Palanca Corta Caja Inter Lt Ful4000078</v>
      </c>
      <c r="C13040" s="380" t="str">
        <f>IFERROR(__xludf.DUMMYFUNCTION("""COMPUTED_VALUE"""),"70008512")</f>
        <v>70008512</v>
      </c>
      <c r="D13040" s="380" t="s">
        <v>767</v>
      </c>
      <c r="E13040" s="380" t="s">
        <v>786</v>
      </c>
      <c r="F13040" s="380" t="s">
        <v>928</v>
      </c>
      <c r="G13040" s="380" t="s">
        <v>1267</v>
      </c>
      <c r="H13040" s="380" t="s">
        <v>771</v>
      </c>
      <c r="I13040" s="380" t="s">
        <v>788</v>
      </c>
      <c r="J13040" s="380" t="s">
        <v>773</v>
      </c>
      <c r="K13040" s="381">
        <v>0.0</v>
      </c>
      <c r="L13040" s="382">
        <v>1.0</v>
      </c>
    </row>
    <row r="13041">
      <c r="A13041" s="380" t="s">
        <v>13915</v>
      </c>
      <c r="B13041" s="380" t="str">
        <f>IFERROR(__xludf.DUMMYFUNCTION("""COMPUTED_VALUE"""),"Guardapolvo Der INTno Capo INT Lt 404543")</f>
        <v>Guardapolvo Der INTno Capo INT Lt 404543</v>
      </c>
      <c r="C13041" s="380" t="str">
        <f>IFERROR(__xludf.DUMMYFUNCTION("""COMPUTED_VALUE"""),"70008513")</f>
        <v>70008513</v>
      </c>
      <c r="D13041" s="380" t="s">
        <v>767</v>
      </c>
      <c r="E13041" s="380" t="s">
        <v>786</v>
      </c>
      <c r="F13041" s="380" t="s">
        <v>792</v>
      </c>
      <c r="G13041" s="380" t="s">
        <v>1267</v>
      </c>
      <c r="H13041" s="380" t="s">
        <v>771</v>
      </c>
      <c r="I13041" s="380" t="s">
        <v>788</v>
      </c>
      <c r="J13041" s="380" t="s">
        <v>773</v>
      </c>
      <c r="K13041" s="381">
        <v>0.0</v>
      </c>
      <c r="L13041" s="382">
        <v>1.0</v>
      </c>
    </row>
    <row r="13042">
      <c r="A13042" s="380" t="s">
        <v>13916</v>
      </c>
      <c r="B13042" s="380" t="str">
        <f>IFERROR(__xludf.DUMMYFUNCTION("""COMPUTED_VALUE"""),"Guardapolvo Izq INTno Capo INT Lt 404543")</f>
        <v>Guardapolvo Izq INTno Capo INT Lt 404543</v>
      </c>
      <c r="C13042" s="380" t="str">
        <f>IFERROR(__xludf.DUMMYFUNCTION("""COMPUTED_VALUE"""),"70008514")</f>
        <v>70008514</v>
      </c>
      <c r="D13042" s="380" t="s">
        <v>767</v>
      </c>
      <c r="E13042" s="380" t="s">
        <v>786</v>
      </c>
      <c r="F13042" s="380" t="s">
        <v>792</v>
      </c>
      <c r="G13042" s="380" t="s">
        <v>1267</v>
      </c>
      <c r="H13042" s="380" t="s">
        <v>771</v>
      </c>
      <c r="I13042" s="380" t="s">
        <v>788</v>
      </c>
      <c r="J13042" s="380" t="s">
        <v>773</v>
      </c>
      <c r="K13042" s="381">
        <v>0.0</v>
      </c>
      <c r="L13042" s="382">
        <v>1.0</v>
      </c>
    </row>
    <row r="13043">
      <c r="A13043" s="380" t="s">
        <v>13917</v>
      </c>
      <c r="B13043" s="380" t="str">
        <f>IFERROR(__xludf.DUMMYFUNCTION("""COMPUTED_VALUE"""),"Tubo Hidraulico CJ Dir-BMB INT Lt 406536")</f>
        <v>Tubo Hidraulico CJ Dir-BMB INT Lt 406536</v>
      </c>
      <c r="C13043" s="380" t="str">
        <f>IFERROR(__xludf.DUMMYFUNCTION("""COMPUTED_VALUE"""),"70008515")</f>
        <v>70008515</v>
      </c>
      <c r="D13043" s="380" t="s">
        <v>767</v>
      </c>
      <c r="E13043" s="380" t="s">
        <v>786</v>
      </c>
      <c r="F13043" s="380" t="s">
        <v>1020</v>
      </c>
      <c r="G13043" s="380" t="s">
        <v>1267</v>
      </c>
      <c r="H13043" s="380" t="s">
        <v>771</v>
      </c>
      <c r="I13043" s="380" t="s">
        <v>788</v>
      </c>
      <c r="J13043" s="380" t="s">
        <v>773</v>
      </c>
      <c r="K13043" s="381">
        <v>0.0</v>
      </c>
      <c r="L13043" s="382">
        <v>1.0</v>
      </c>
    </row>
    <row r="13044">
      <c r="A13044" s="380" t="s">
        <v>13918</v>
      </c>
      <c r="B13044" s="380" t="str">
        <f>IFERROR(__xludf.DUMMYFUNCTION("""COMPUTED_VALUE"""),"Panel Central Millare MCK Anthem 2333552")</f>
        <v>Panel Central Millare MCK Anthem 2333552</v>
      </c>
      <c r="C13044" s="380" t="str">
        <f>IFERROR(__xludf.DUMMYFUNCTION("""COMPUTED_VALUE"""),"70008516")</f>
        <v>70008516</v>
      </c>
      <c r="D13044" s="380" t="s">
        <v>767</v>
      </c>
      <c r="E13044" s="380" t="s">
        <v>786</v>
      </c>
      <c r="F13044" s="380" t="s">
        <v>1031</v>
      </c>
      <c r="G13044" s="380" t="s">
        <v>1267</v>
      </c>
      <c r="H13044" s="380" t="s">
        <v>771</v>
      </c>
      <c r="I13044" s="380" t="s">
        <v>788</v>
      </c>
      <c r="J13044" s="380" t="s">
        <v>773</v>
      </c>
      <c r="K13044" s="381">
        <v>0.0</v>
      </c>
      <c r="L13044" s="382">
        <v>1.0</v>
      </c>
    </row>
    <row r="13045">
      <c r="A13045" s="380" t="s">
        <v>13919</v>
      </c>
      <c r="B13045" s="380" t="str">
        <f>IFERROR(__xludf.DUMMYFUNCTION("""COMPUTED_VALUE"""),"Espejo Frontal Foton 1129 7701023566612")</f>
        <v>Espejo Frontal Foton 1129 7701023566612</v>
      </c>
      <c r="C13045" s="380" t="str">
        <f>IFERROR(__xludf.DUMMYFUNCTION("""COMPUTED_VALUE"""),"70008517")</f>
        <v>70008517</v>
      </c>
      <c r="D13045" s="380" t="s">
        <v>767</v>
      </c>
      <c r="E13045" s="380" t="s">
        <v>786</v>
      </c>
      <c r="F13045" s="380" t="s">
        <v>792</v>
      </c>
      <c r="G13045" s="380" t="s">
        <v>1267</v>
      </c>
      <c r="H13045" s="380" t="s">
        <v>771</v>
      </c>
      <c r="I13045" s="380" t="s">
        <v>788</v>
      </c>
      <c r="J13045" s="380" t="s">
        <v>773</v>
      </c>
      <c r="K13045" s="381">
        <v>0.0</v>
      </c>
      <c r="L13045" s="382">
        <v>1.0</v>
      </c>
    </row>
    <row r="13046">
      <c r="A13046" s="380" t="s">
        <v>13920</v>
      </c>
      <c r="B13046" s="380" t="str">
        <f>IFERROR(__xludf.DUMMYFUNCTION("""COMPUTED_VALUE"""),"Silla Pasajero Tractomula Prostar 366405")</f>
        <v>Silla Pasajero Tractomula Prostar 366405</v>
      </c>
      <c r="C13046" s="380" t="str">
        <f>IFERROR(__xludf.DUMMYFUNCTION("""COMPUTED_VALUE"""),"70008518")</f>
        <v>70008518</v>
      </c>
      <c r="D13046" s="380" t="s">
        <v>767</v>
      </c>
      <c r="E13046" s="380" t="s">
        <v>786</v>
      </c>
      <c r="F13046" s="380" t="s">
        <v>792</v>
      </c>
      <c r="G13046" s="380" t="s">
        <v>1267</v>
      </c>
      <c r="H13046" s="380" t="s">
        <v>771</v>
      </c>
      <c r="I13046" s="380" t="s">
        <v>788</v>
      </c>
      <c r="J13046" s="380" t="s">
        <v>773</v>
      </c>
      <c r="K13046" s="381">
        <v>0.0</v>
      </c>
      <c r="L13046" s="382">
        <v>1.0</v>
      </c>
    </row>
    <row r="13047">
      <c r="A13047" s="380" t="s">
        <v>13921</v>
      </c>
      <c r="B13047" s="380" t="str">
        <f>IFERROR(__xludf.DUMMYFUNCTION("""COMPUTED_VALUE"""),"CIL De Ajuste Silla Daf Cf 480 2424316")</f>
        <v>CIL De Ajuste Silla Daf Cf 480 2424316</v>
      </c>
      <c r="C13047" s="380" t="str">
        <f>IFERROR(__xludf.DUMMYFUNCTION("""COMPUTED_VALUE"""),"70008519")</f>
        <v>70008519</v>
      </c>
      <c r="D13047" s="380" t="s">
        <v>767</v>
      </c>
      <c r="E13047" s="380" t="s">
        <v>786</v>
      </c>
      <c r="F13047" s="380" t="s">
        <v>1031</v>
      </c>
      <c r="G13047" s="380" t="s">
        <v>1267</v>
      </c>
      <c r="H13047" s="380" t="s">
        <v>771</v>
      </c>
      <c r="I13047" s="380" t="s">
        <v>788</v>
      </c>
      <c r="J13047" s="380" t="s">
        <v>773</v>
      </c>
      <c r="K13047" s="381">
        <v>0.0</v>
      </c>
      <c r="L13047" s="382">
        <v>1.0</v>
      </c>
    </row>
    <row r="13048">
      <c r="A13048" s="380" t="s">
        <v>13922</v>
      </c>
      <c r="B13048" s="380" t="str">
        <f>IFERROR(__xludf.DUMMYFUNCTION("""COMPUTED_VALUE"""),"Balinera Embrague Jac 1035 M16048543000")</f>
        <v>Balinera Embrague Jac 1035 M16048543000</v>
      </c>
      <c r="C13048" s="380" t="str">
        <f>IFERROR(__xludf.DUMMYFUNCTION("""COMPUTED_VALUE"""),"70008520")</f>
        <v>70008520</v>
      </c>
      <c r="D13048" s="380" t="s">
        <v>767</v>
      </c>
      <c r="E13048" s="380" t="s">
        <v>786</v>
      </c>
      <c r="F13048" s="380" t="s">
        <v>998</v>
      </c>
      <c r="G13048" s="380" t="s">
        <v>1267</v>
      </c>
      <c r="H13048" s="380" t="s">
        <v>771</v>
      </c>
      <c r="I13048" s="380" t="s">
        <v>788</v>
      </c>
      <c r="J13048" s="380" t="s">
        <v>773</v>
      </c>
      <c r="K13048" s="381">
        <v>0.0</v>
      </c>
      <c r="L13048" s="382">
        <v>1.0</v>
      </c>
    </row>
    <row r="13049">
      <c r="A13049" s="380" t="s">
        <v>13923</v>
      </c>
      <c r="B13049" s="380" t="str">
        <f>IFERROR(__xludf.DUMMYFUNCTION("""COMPUTED_VALUE"""),"Cable Seguro PTA INT Lt 4056798c92")</f>
        <v>Cable Seguro PTA INT Lt 4056798c92</v>
      </c>
      <c r="C13049" s="380" t="str">
        <f>IFERROR(__xludf.DUMMYFUNCTION("""COMPUTED_VALUE"""),"70008521")</f>
        <v>70008521</v>
      </c>
      <c r="D13049" s="380" t="s">
        <v>767</v>
      </c>
      <c r="E13049" s="380" t="s">
        <v>786</v>
      </c>
      <c r="F13049" s="380" t="s">
        <v>1031</v>
      </c>
      <c r="G13049" s="380" t="s">
        <v>1267</v>
      </c>
      <c r="H13049" s="380" t="s">
        <v>771</v>
      </c>
      <c r="I13049" s="380" t="s">
        <v>788</v>
      </c>
      <c r="J13049" s="380" t="s">
        <v>773</v>
      </c>
      <c r="K13049" s="381">
        <v>138135.0</v>
      </c>
      <c r="L13049" s="382">
        <v>1.0</v>
      </c>
    </row>
    <row r="13050">
      <c r="A13050" s="380" t="s">
        <v>13924</v>
      </c>
      <c r="B13050" s="380" t="str">
        <f>IFERROR(__xludf.DUMMYFUNCTION("""COMPUTED_VALUE"""),"Asiento VALV Admision FT 1039 7701023508")</f>
        <v>Asiento VALV Admision FT 1039 7701023508</v>
      </c>
      <c r="C13050" s="380" t="str">
        <f>IFERROR(__xludf.DUMMYFUNCTION("""COMPUTED_VALUE"""),"70008522")</f>
        <v>70008522</v>
      </c>
      <c r="D13050" s="380" t="s">
        <v>767</v>
      </c>
      <c r="E13050" s="380" t="s">
        <v>786</v>
      </c>
      <c r="F13050" s="380" t="s">
        <v>787</v>
      </c>
      <c r="G13050" s="380" t="s">
        <v>1267</v>
      </c>
      <c r="H13050" s="380" t="s">
        <v>771</v>
      </c>
      <c r="I13050" s="380" t="s">
        <v>788</v>
      </c>
      <c r="J13050" s="380" t="s">
        <v>773</v>
      </c>
      <c r="K13050" s="381">
        <v>0.0</v>
      </c>
      <c r="L13050" s="382">
        <v>1.0</v>
      </c>
    </row>
    <row r="13051">
      <c r="A13051" s="380" t="s">
        <v>13925</v>
      </c>
      <c r="B13051" s="380" t="str">
        <f>IFERROR(__xludf.DUMMYFUNCTION("""COMPUTED_VALUE"""),"Asiento VALV Escape FT 1039 770102350898")</f>
        <v>Asiento VALV Escape FT 1039 770102350898</v>
      </c>
      <c r="C13051" s="380" t="str">
        <f>IFERROR(__xludf.DUMMYFUNCTION("""COMPUTED_VALUE"""),"70008523")</f>
        <v>70008523</v>
      </c>
      <c r="D13051" s="380" t="s">
        <v>767</v>
      </c>
      <c r="E13051" s="380" t="s">
        <v>786</v>
      </c>
      <c r="F13051" s="380" t="s">
        <v>787</v>
      </c>
      <c r="G13051" s="380" t="s">
        <v>1267</v>
      </c>
      <c r="H13051" s="380" t="s">
        <v>771</v>
      </c>
      <c r="I13051" s="380" t="s">
        <v>788</v>
      </c>
      <c r="J13051" s="380" t="s">
        <v>773</v>
      </c>
      <c r="K13051" s="381">
        <v>0.0</v>
      </c>
      <c r="L13051" s="382">
        <v>1.0</v>
      </c>
    </row>
    <row r="13052">
      <c r="A13052" s="380" t="s">
        <v>13926</v>
      </c>
      <c r="B13052" s="380" t="str">
        <f>IFERROR(__xludf.DUMMYFUNCTION("""COMPUTED_VALUE"""),"Valvula Escape Foton 1039 7701023474672")</f>
        <v>Valvula Escape Foton 1039 7701023474672</v>
      </c>
      <c r="C13052" s="380" t="str">
        <f>IFERROR(__xludf.DUMMYFUNCTION("""COMPUTED_VALUE"""),"70008524")</f>
        <v>70008524</v>
      </c>
      <c r="D13052" s="380" t="s">
        <v>767</v>
      </c>
      <c r="E13052" s="380" t="s">
        <v>786</v>
      </c>
      <c r="F13052" s="380" t="s">
        <v>787</v>
      </c>
      <c r="G13052" s="380" t="s">
        <v>1267</v>
      </c>
      <c r="H13052" s="380" t="s">
        <v>771</v>
      </c>
      <c r="I13052" s="380" t="s">
        <v>788</v>
      </c>
      <c r="J13052" s="380" t="s">
        <v>773</v>
      </c>
      <c r="K13052" s="381">
        <v>0.0</v>
      </c>
      <c r="L13052" s="382">
        <v>1.0</v>
      </c>
    </row>
    <row r="13053">
      <c r="A13053" s="380" t="s">
        <v>13927</v>
      </c>
      <c r="B13053" s="380" t="str">
        <f>IFERROR(__xludf.DUMMYFUNCTION("""COMPUTED_VALUE"""),"VALV Admision FT 1039 7701023474689")</f>
        <v>VALV Admision FT 1039 7701023474689</v>
      </c>
      <c r="C13053" s="380" t="str">
        <f>IFERROR(__xludf.DUMMYFUNCTION("""COMPUTED_VALUE"""),"70008525")</f>
        <v>70008525</v>
      </c>
      <c r="D13053" s="380" t="s">
        <v>767</v>
      </c>
      <c r="E13053" s="380" t="s">
        <v>786</v>
      </c>
      <c r="F13053" s="380" t="s">
        <v>787</v>
      </c>
      <c r="G13053" s="380" t="s">
        <v>1267</v>
      </c>
      <c r="H13053" s="380" t="s">
        <v>771</v>
      </c>
      <c r="I13053" s="380" t="s">
        <v>788</v>
      </c>
      <c r="J13053" s="380" t="s">
        <v>773</v>
      </c>
      <c r="K13053" s="381">
        <v>0.0</v>
      </c>
      <c r="L13053" s="382">
        <v>1.0</v>
      </c>
    </row>
    <row r="13054">
      <c r="A13054" s="380" t="s">
        <v>13928</v>
      </c>
      <c r="B13054" s="380" t="str">
        <f>IFERROR(__xludf.DUMMYFUNCTION("""COMPUTED_VALUE"""),"Enfriador Aceite CJ De Vel KW K3967")</f>
        <v>Enfriador Aceite CJ De Vel KW K3967</v>
      </c>
      <c r="C13054" s="380" t="str">
        <f>IFERROR(__xludf.DUMMYFUNCTION("""COMPUTED_VALUE"""),"70008526")</f>
        <v>70008526</v>
      </c>
      <c r="D13054" s="380" t="s">
        <v>767</v>
      </c>
      <c r="E13054" s="380" t="s">
        <v>786</v>
      </c>
      <c r="F13054" s="380" t="s">
        <v>787</v>
      </c>
      <c r="G13054" s="380" t="s">
        <v>1267</v>
      </c>
      <c r="H13054" s="380" t="s">
        <v>771</v>
      </c>
      <c r="I13054" s="380" t="s">
        <v>788</v>
      </c>
      <c r="J13054" s="380" t="s">
        <v>773</v>
      </c>
      <c r="K13054" s="381">
        <v>0.0</v>
      </c>
      <c r="L13054" s="382">
        <v>1.0</v>
      </c>
    </row>
    <row r="13055">
      <c r="A13055" s="380" t="s">
        <v>13929</v>
      </c>
      <c r="B13055" s="380" t="str">
        <f>IFERROR(__xludf.DUMMYFUNCTION("""COMPUTED_VALUE"""),"Convertidor De Voltaje 24v - 12v 50 Amp")</f>
        <v>Convertidor De Voltaje 24v - 12v 50 Amp</v>
      </c>
      <c r="C13055" s="380" t="str">
        <f>IFERROR(__xludf.DUMMYFUNCTION("""COMPUTED_VALUE"""),"70008527")</f>
        <v>70008527</v>
      </c>
      <c r="D13055" s="380" t="s">
        <v>767</v>
      </c>
      <c r="E13055" s="380" t="s">
        <v>786</v>
      </c>
      <c r="F13055" s="380" t="s">
        <v>998</v>
      </c>
      <c r="G13055" s="380" t="s">
        <v>1267</v>
      </c>
      <c r="H13055" s="380" t="s">
        <v>771</v>
      </c>
      <c r="I13055" s="380" t="s">
        <v>788</v>
      </c>
      <c r="J13055" s="380" t="s">
        <v>773</v>
      </c>
      <c r="K13055" s="381">
        <v>0.0</v>
      </c>
      <c r="L13055" s="382">
        <v>1.0</v>
      </c>
    </row>
    <row r="13056">
      <c r="A13056" s="380" t="s">
        <v>13930</v>
      </c>
      <c r="B13056" s="380" t="str">
        <f>IFERROR(__xludf.DUMMYFUNCTION("""COMPUTED_VALUE"""),"Silla Conductor Tractomula Reparado")</f>
        <v>Silla Conductor Tractomula Reparado</v>
      </c>
      <c r="C13056" s="380" t="str">
        <f>IFERROR(__xludf.DUMMYFUNCTION("""COMPUTED_VALUE"""),"70008528")</f>
        <v>70008528</v>
      </c>
      <c r="D13056" s="380" t="s">
        <v>767</v>
      </c>
      <c r="E13056" s="380" t="s">
        <v>786</v>
      </c>
      <c r="F13056" s="380" t="s">
        <v>792</v>
      </c>
      <c r="G13056" s="380" t="s">
        <v>1267</v>
      </c>
      <c r="H13056" s="380" t="s">
        <v>771</v>
      </c>
      <c r="I13056" s="380" t="s">
        <v>788</v>
      </c>
      <c r="J13056" s="380" t="s">
        <v>773</v>
      </c>
      <c r="K13056" s="381">
        <v>0.0</v>
      </c>
      <c r="L13056" s="382">
        <v>1.0</v>
      </c>
    </row>
    <row r="13057">
      <c r="A13057" s="380" t="s">
        <v>13931</v>
      </c>
      <c r="B13057" s="380" t="str">
        <f>IFERROR(__xludf.DUMMYFUNCTION("""COMPUTED_VALUE"""),"Resorte PTA Cortina Rojo FT 1030 52cm")</f>
        <v>Resorte PTA Cortina Rojo FT 1030 52cm</v>
      </c>
      <c r="C13057" s="380" t="str">
        <f>IFERROR(__xludf.DUMMYFUNCTION("""COMPUTED_VALUE"""),"70008529")</f>
        <v>70008529</v>
      </c>
      <c r="D13057" s="380" t="s">
        <v>767</v>
      </c>
      <c r="E13057" s="380" t="s">
        <v>786</v>
      </c>
      <c r="F13057" s="380" t="s">
        <v>792</v>
      </c>
      <c r="G13057" s="380" t="s">
        <v>1267</v>
      </c>
      <c r="H13057" s="380" t="s">
        <v>771</v>
      </c>
      <c r="I13057" s="380" t="s">
        <v>788</v>
      </c>
      <c r="J13057" s="380" t="s">
        <v>773</v>
      </c>
      <c r="K13057" s="381">
        <v>0.0</v>
      </c>
      <c r="L13057" s="382">
        <v>1.0</v>
      </c>
    </row>
    <row r="13058">
      <c r="A13058" s="380" t="s">
        <v>13932</v>
      </c>
      <c r="B13058" s="380" t="str">
        <f>IFERROR(__xludf.DUMMYFUNCTION("""COMPUTED_VALUE"""),"BMB Aceite MOT FT 1039 7701023521673")</f>
        <v>BMB Aceite MOT FT 1039 7701023521673</v>
      </c>
      <c r="C13058" s="380" t="str">
        <f>IFERROR(__xludf.DUMMYFUNCTION("""COMPUTED_VALUE"""),"70008530")</f>
        <v>70008530</v>
      </c>
      <c r="D13058" s="380" t="s">
        <v>767</v>
      </c>
      <c r="E13058" s="380" t="s">
        <v>786</v>
      </c>
      <c r="F13058" s="380" t="s">
        <v>787</v>
      </c>
      <c r="G13058" s="380" t="s">
        <v>1267</v>
      </c>
      <c r="H13058" s="380" t="s">
        <v>771</v>
      </c>
      <c r="I13058" s="380" t="s">
        <v>788</v>
      </c>
      <c r="J13058" s="380" t="s">
        <v>773</v>
      </c>
      <c r="K13058" s="381">
        <v>0.0</v>
      </c>
      <c r="L13058" s="382">
        <v>1.0</v>
      </c>
    </row>
    <row r="13059">
      <c r="A13059" s="380" t="s">
        <v>13933</v>
      </c>
      <c r="B13059" s="380" t="str">
        <f>IFERROR(__xludf.DUMMYFUNCTION("""COMPUTED_VALUE"""),"Manija Eleva Vidrios HN 300 Dutro Pack 6")</f>
        <v>Manija Eleva Vidrios HN 300 Dutro Pack 6</v>
      </c>
      <c r="C13059" s="380" t="str">
        <f>IFERROR(__xludf.DUMMYFUNCTION("""COMPUTED_VALUE"""),"70008531")</f>
        <v>70008531</v>
      </c>
      <c r="D13059" s="380" t="s">
        <v>767</v>
      </c>
      <c r="E13059" s="380" t="s">
        <v>786</v>
      </c>
      <c r="F13059" s="380" t="s">
        <v>792</v>
      </c>
      <c r="G13059" s="380" t="s">
        <v>1267</v>
      </c>
      <c r="H13059" s="380" t="s">
        <v>771</v>
      </c>
      <c r="I13059" s="380" t="s">
        <v>788</v>
      </c>
      <c r="J13059" s="380" t="s">
        <v>773</v>
      </c>
      <c r="K13059" s="381">
        <v>0.0</v>
      </c>
      <c r="L13059" s="382">
        <v>1.0</v>
      </c>
    </row>
    <row r="13060">
      <c r="A13060" s="380" t="s">
        <v>13934</v>
      </c>
      <c r="B13060" s="380" t="str">
        <f>IFERROR(__xludf.DUMMYFUNCTION("""COMPUTED_VALUE"""),"EMP BMB De Agua FT Mv5 7705946019606")</f>
        <v>EMP BMB De Agua FT Mv5 7705946019606</v>
      </c>
      <c r="C13060" s="380" t="str">
        <f>IFERROR(__xludf.DUMMYFUNCTION("""COMPUTED_VALUE"""),"70008532")</f>
        <v>70008532</v>
      </c>
      <c r="D13060" s="380" t="s">
        <v>767</v>
      </c>
      <c r="E13060" s="380" t="s">
        <v>786</v>
      </c>
      <c r="F13060" s="380" t="s">
        <v>787</v>
      </c>
      <c r="G13060" s="380" t="s">
        <v>1267</v>
      </c>
      <c r="H13060" s="380" t="s">
        <v>771</v>
      </c>
      <c r="I13060" s="380" t="s">
        <v>788</v>
      </c>
      <c r="J13060" s="380" t="s">
        <v>773</v>
      </c>
      <c r="K13060" s="381">
        <v>0.0</v>
      </c>
      <c r="L13060" s="382">
        <v>1.0</v>
      </c>
    </row>
    <row r="13061">
      <c r="A13061" s="380" t="s">
        <v>13935</v>
      </c>
      <c r="B13061" s="380" t="str">
        <f>IFERROR(__xludf.DUMMYFUNCTION("""COMPUTED_VALUE"""),"EMP VALV Egr FT Mv5 7705946023290")</f>
        <v>EMP VALV Egr FT Mv5 7705946023290</v>
      </c>
      <c r="C13061" s="380" t="str">
        <f>IFERROR(__xludf.DUMMYFUNCTION("""COMPUTED_VALUE"""),"70008533")</f>
        <v>70008533</v>
      </c>
      <c r="D13061" s="380" t="s">
        <v>767</v>
      </c>
      <c r="E13061" s="380" t="s">
        <v>786</v>
      </c>
      <c r="F13061" s="380" t="s">
        <v>787</v>
      </c>
      <c r="G13061" s="380" t="s">
        <v>1267</v>
      </c>
      <c r="H13061" s="380" t="s">
        <v>771</v>
      </c>
      <c r="I13061" s="380" t="s">
        <v>788</v>
      </c>
      <c r="J13061" s="380" t="s">
        <v>773</v>
      </c>
      <c r="K13061" s="381">
        <v>0.0</v>
      </c>
      <c r="L13061" s="382">
        <v>1.0</v>
      </c>
    </row>
    <row r="13062">
      <c r="A13062" s="380" t="s">
        <v>13936</v>
      </c>
      <c r="B13062" s="380" t="str">
        <f>IFERROR(__xludf.DUMMYFUNCTION("""COMPUTED_VALUE"""),"Riel Tensor Cadena Arbol De Levas FT Mv5")</f>
        <v>Riel Tensor Cadena Arbol De Levas FT Mv5</v>
      </c>
      <c r="C13062" s="380" t="str">
        <f>IFERROR(__xludf.DUMMYFUNCTION("""COMPUTED_VALUE"""),"70008534")</f>
        <v>70008534</v>
      </c>
      <c r="D13062" s="380" t="s">
        <v>767</v>
      </c>
      <c r="E13062" s="380" t="s">
        <v>786</v>
      </c>
      <c r="F13062" s="380" t="s">
        <v>787</v>
      </c>
      <c r="G13062" s="380" t="s">
        <v>1267</v>
      </c>
      <c r="H13062" s="380" t="s">
        <v>771</v>
      </c>
      <c r="I13062" s="380" t="s">
        <v>788</v>
      </c>
      <c r="J13062" s="380" t="s">
        <v>773</v>
      </c>
      <c r="K13062" s="381">
        <v>0.0</v>
      </c>
      <c r="L13062" s="382">
        <v>1.0</v>
      </c>
    </row>
    <row r="13063">
      <c r="A13063" s="380" t="s">
        <v>13937</v>
      </c>
      <c r="B13063" s="380" t="str">
        <f>IFERROR(__xludf.DUMMYFUNCTION("""COMPUTED_VALUE"""),"Cadena Arbol De Levas FT Mv5 77059460194")</f>
        <v>Cadena Arbol De Levas FT Mv5 77059460194</v>
      </c>
      <c r="C13063" s="380" t="str">
        <f>IFERROR(__xludf.DUMMYFUNCTION("""COMPUTED_VALUE"""),"70008535")</f>
        <v>70008535</v>
      </c>
      <c r="D13063" s="380" t="s">
        <v>767</v>
      </c>
      <c r="E13063" s="380" t="s">
        <v>786</v>
      </c>
      <c r="F13063" s="380" t="s">
        <v>787</v>
      </c>
      <c r="G13063" s="380" t="s">
        <v>1267</v>
      </c>
      <c r="H13063" s="380" t="s">
        <v>771</v>
      </c>
      <c r="I13063" s="380" t="s">
        <v>788</v>
      </c>
      <c r="J13063" s="380" t="s">
        <v>773</v>
      </c>
      <c r="K13063" s="381">
        <v>0.0</v>
      </c>
      <c r="L13063" s="382">
        <v>1.0</v>
      </c>
    </row>
    <row r="13064">
      <c r="A13064" s="380" t="s">
        <v>13938</v>
      </c>
      <c r="B13064" s="380" t="str">
        <f>IFERROR(__xludf.DUMMYFUNCTION("""COMPUTED_VALUE"""),"Zapata Freno Del FT 1045 7700149139328")</f>
        <v>Zapata Freno Del FT 1045 7700149139328</v>
      </c>
      <c r="C13064" s="380" t="str">
        <f>IFERROR(__xludf.DUMMYFUNCTION("""COMPUTED_VALUE"""),"70008536")</f>
        <v>70008536</v>
      </c>
      <c r="D13064" s="380" t="s">
        <v>767</v>
      </c>
      <c r="E13064" s="380" t="s">
        <v>786</v>
      </c>
      <c r="F13064" s="380" t="s">
        <v>1017</v>
      </c>
      <c r="G13064" s="380" t="s">
        <v>1267</v>
      </c>
      <c r="H13064" s="380" t="s">
        <v>771</v>
      </c>
      <c r="I13064" s="380" t="s">
        <v>788</v>
      </c>
      <c r="J13064" s="380" t="s">
        <v>773</v>
      </c>
      <c r="K13064" s="381">
        <v>0.0</v>
      </c>
      <c r="L13064" s="382">
        <v>1.0</v>
      </c>
    </row>
    <row r="13065">
      <c r="A13065" s="380" t="s">
        <v>13939</v>
      </c>
      <c r="B13065" s="380" t="str">
        <f>IFERROR(__xludf.DUMMYFUNCTION("""COMPUTED_VALUE"""),"Zapata Freno TRAS FT 1045 7700149444224")</f>
        <v>Zapata Freno TRAS FT 1045 7700149444224</v>
      </c>
      <c r="C13065" s="380" t="str">
        <f>IFERROR(__xludf.DUMMYFUNCTION("""COMPUTED_VALUE"""),"70008537")</f>
        <v>70008537</v>
      </c>
      <c r="D13065" s="380" t="s">
        <v>767</v>
      </c>
      <c r="E13065" s="380" t="s">
        <v>786</v>
      </c>
      <c r="F13065" s="380" t="s">
        <v>1017</v>
      </c>
      <c r="G13065" s="380" t="s">
        <v>1267</v>
      </c>
      <c r="H13065" s="380" t="s">
        <v>771</v>
      </c>
      <c r="I13065" s="380" t="s">
        <v>788</v>
      </c>
      <c r="J13065" s="380" t="s">
        <v>773</v>
      </c>
      <c r="K13065" s="381">
        <v>0.0</v>
      </c>
      <c r="L13065" s="382">
        <v>1.0</v>
      </c>
    </row>
    <row r="13066">
      <c r="A13066" s="380" t="s">
        <v>13940</v>
      </c>
      <c r="B13066" s="380" t="str">
        <f>IFERROR(__xludf.DUMMYFUNCTION("""COMPUTED_VALUE"""),"Hoja 1ra MUE DEL FT 1039 7701023528245")</f>
        <v>Hoja 1ra MUE DEL FT 1039 7701023528245</v>
      </c>
      <c r="C13066" s="380" t="str">
        <f>IFERROR(__xludf.DUMMYFUNCTION("""COMPUTED_VALUE"""),"70008538")</f>
        <v>70008538</v>
      </c>
      <c r="D13066" s="380" t="s">
        <v>767</v>
      </c>
      <c r="E13066" s="380" t="s">
        <v>786</v>
      </c>
      <c r="F13066" s="380" t="s">
        <v>1039</v>
      </c>
      <c r="G13066" s="380" t="s">
        <v>1267</v>
      </c>
      <c r="H13066" s="380" t="s">
        <v>771</v>
      </c>
      <c r="I13066" s="380" t="s">
        <v>788</v>
      </c>
      <c r="J13066" s="380" t="s">
        <v>773</v>
      </c>
      <c r="K13066" s="381">
        <v>0.0</v>
      </c>
      <c r="L13066" s="382">
        <v>1.0</v>
      </c>
    </row>
    <row r="13067">
      <c r="A13067" s="380" t="s">
        <v>13941</v>
      </c>
      <c r="B13067" s="380" t="str">
        <f>IFERROR(__xludf.DUMMYFUNCTION("""COMPUTED_VALUE"""),"Manguera Succión Urea Inter Lt 4095999c2")</f>
        <v>Manguera Succión Urea Inter Lt 4095999c2</v>
      </c>
      <c r="C13067" s="380" t="str">
        <f>IFERROR(__xludf.DUMMYFUNCTION("""COMPUTED_VALUE"""),"70008539")</f>
        <v>70008539</v>
      </c>
      <c r="D13067" s="380" t="s">
        <v>767</v>
      </c>
      <c r="E13067" s="380" t="s">
        <v>786</v>
      </c>
      <c r="F13067" s="380" t="s">
        <v>787</v>
      </c>
      <c r="G13067" s="380" t="s">
        <v>1267</v>
      </c>
      <c r="H13067" s="380" t="s">
        <v>771</v>
      </c>
      <c r="I13067" s="380" t="s">
        <v>788</v>
      </c>
      <c r="J13067" s="380" t="s">
        <v>773</v>
      </c>
      <c r="K13067" s="381">
        <v>0.0</v>
      </c>
      <c r="L13067" s="382">
        <v>1.0</v>
      </c>
    </row>
    <row r="13068">
      <c r="A13068" s="380" t="s">
        <v>13942</v>
      </c>
      <c r="B13068" s="380" t="str">
        <f>IFERROR(__xludf.DUMMYFUNCTION("""COMPUTED_VALUE"""),"Manguera Retorno Urea Inter Lt 4096000c2")</f>
        <v>Manguera Retorno Urea Inter Lt 4096000c2</v>
      </c>
      <c r="C13068" s="380" t="str">
        <f>IFERROR(__xludf.DUMMYFUNCTION("""COMPUTED_VALUE"""),"70008540")</f>
        <v>70008540</v>
      </c>
      <c r="D13068" s="380" t="s">
        <v>767</v>
      </c>
      <c r="E13068" s="380" t="s">
        <v>786</v>
      </c>
      <c r="F13068" s="380" t="s">
        <v>787</v>
      </c>
      <c r="G13068" s="380" t="s">
        <v>1267</v>
      </c>
      <c r="H13068" s="380" t="s">
        <v>771</v>
      </c>
      <c r="I13068" s="380" t="s">
        <v>788</v>
      </c>
      <c r="J13068" s="380" t="s">
        <v>773</v>
      </c>
      <c r="K13068" s="381">
        <v>0.0</v>
      </c>
      <c r="L13068" s="382">
        <v>1.0</v>
      </c>
    </row>
    <row r="13069">
      <c r="A13069" s="380" t="s">
        <v>13943</v>
      </c>
      <c r="B13069" s="380" t="str">
        <f>IFERROR(__xludf.DUMMYFUNCTION("""COMPUTED_VALUE"""),"Chapa Completa PTA Izq Jac Jhr 6105300ld")</f>
        <v>Chapa Completa PTA Izq Jac Jhr 6105300ld</v>
      </c>
      <c r="C13069" s="380" t="str">
        <f>IFERROR(__xludf.DUMMYFUNCTION("""COMPUTED_VALUE"""),"70008541")</f>
        <v>70008541</v>
      </c>
      <c r="D13069" s="380" t="s">
        <v>767</v>
      </c>
      <c r="E13069" s="380" t="s">
        <v>786</v>
      </c>
      <c r="F13069" s="380" t="s">
        <v>792</v>
      </c>
      <c r="G13069" s="380" t="s">
        <v>1267</v>
      </c>
      <c r="H13069" s="380" t="s">
        <v>771</v>
      </c>
      <c r="I13069" s="380" t="s">
        <v>788</v>
      </c>
      <c r="J13069" s="380" t="s">
        <v>773</v>
      </c>
      <c r="K13069" s="381">
        <v>0.0</v>
      </c>
      <c r="L13069" s="382">
        <v>1.0</v>
      </c>
    </row>
    <row r="13070">
      <c r="A13070" s="380" t="s">
        <v>13944</v>
      </c>
      <c r="B13070" s="380" t="str">
        <f>IFERROR(__xludf.DUMMYFUNCTION("""COMPUTED_VALUE"""),"Bulon De Piston Van FT Mv5 - 77059460159")</f>
        <v>Bulon De Piston Van FT Mv5 - 77059460159</v>
      </c>
      <c r="C13070" s="380" t="str">
        <f>IFERROR(__xludf.DUMMYFUNCTION("""COMPUTED_VALUE"""),"70008542")</f>
        <v>70008542</v>
      </c>
      <c r="D13070" s="380" t="s">
        <v>767</v>
      </c>
      <c r="E13070" s="380" t="s">
        <v>786</v>
      </c>
      <c r="F13070" s="380" t="s">
        <v>787</v>
      </c>
      <c r="G13070" s="380" t="s">
        <v>1267</v>
      </c>
      <c r="H13070" s="380" t="s">
        <v>771</v>
      </c>
      <c r="I13070" s="380" t="s">
        <v>788</v>
      </c>
      <c r="J13070" s="380" t="s">
        <v>773</v>
      </c>
      <c r="K13070" s="381">
        <v>0.0</v>
      </c>
      <c r="L13070" s="382">
        <v>1.0</v>
      </c>
    </row>
    <row r="13071">
      <c r="A13071" s="380" t="s">
        <v>13945</v>
      </c>
      <c r="B13071" s="380" t="str">
        <f>IFERROR(__xludf.DUMMYFUNCTION("""COMPUTED_VALUE"""),"Lampara Stop TRAS Der FT Bj4269 -H436501")</f>
        <v>Lampara Stop TRAS Der FT Bj4269 -H436501</v>
      </c>
      <c r="C13071" s="380" t="str">
        <f>IFERROR(__xludf.DUMMYFUNCTION("""COMPUTED_VALUE"""),"70008543")</f>
        <v>70008543</v>
      </c>
      <c r="D13071" s="380" t="s">
        <v>767</v>
      </c>
      <c r="E13071" s="380" t="s">
        <v>786</v>
      </c>
      <c r="F13071" s="380" t="s">
        <v>998</v>
      </c>
      <c r="G13071" s="380" t="s">
        <v>1267</v>
      </c>
      <c r="H13071" s="380" t="s">
        <v>771</v>
      </c>
      <c r="I13071" s="380" t="s">
        <v>788</v>
      </c>
      <c r="J13071" s="380" t="s">
        <v>773</v>
      </c>
      <c r="K13071" s="381">
        <v>0.0</v>
      </c>
      <c r="L13071" s="382">
        <v>1.0</v>
      </c>
    </row>
    <row r="13072">
      <c r="A13072" s="380" t="s">
        <v>13946</v>
      </c>
      <c r="B13072" s="380" t="str">
        <f>IFERROR(__xludf.DUMMYFUNCTION("""COMPUTED_VALUE"""),"Lampara Stop TRAS Izq FT Bj4269 - H43650")</f>
        <v>Lampara Stop TRAS Izq FT Bj4269 - H43650</v>
      </c>
      <c r="C13072" s="380" t="str">
        <f>IFERROR(__xludf.DUMMYFUNCTION("""COMPUTED_VALUE"""),"70008544")</f>
        <v>70008544</v>
      </c>
      <c r="D13072" s="380" t="s">
        <v>767</v>
      </c>
      <c r="E13072" s="380" t="s">
        <v>786</v>
      </c>
      <c r="F13072" s="380" t="s">
        <v>998</v>
      </c>
      <c r="G13072" s="380" t="s">
        <v>1267</v>
      </c>
      <c r="H13072" s="380" t="s">
        <v>771</v>
      </c>
      <c r="I13072" s="380" t="s">
        <v>788</v>
      </c>
      <c r="J13072" s="380" t="s">
        <v>773</v>
      </c>
      <c r="K13072" s="381">
        <v>182417.0</v>
      </c>
      <c r="L13072" s="382">
        <v>1.0</v>
      </c>
    </row>
    <row r="13073">
      <c r="A13073" s="380" t="s">
        <v>13947</v>
      </c>
      <c r="B13073" s="380" t="str">
        <f>IFERROR(__xludf.DUMMYFUNCTION("""COMPUTED_VALUE"""),"SENS De Reversa FT 1045 - 7705946654227")</f>
        <v>SENS De Reversa FT 1045 - 7705946654227</v>
      </c>
      <c r="C13073" s="380" t="str">
        <f>IFERROR(__xludf.DUMMYFUNCTION("""COMPUTED_VALUE"""),"70008545")</f>
        <v>70008545</v>
      </c>
      <c r="D13073" s="380" t="s">
        <v>767</v>
      </c>
      <c r="E13073" s="380" t="s">
        <v>786</v>
      </c>
      <c r="F13073" s="380" t="s">
        <v>998</v>
      </c>
      <c r="G13073" s="380" t="s">
        <v>1267</v>
      </c>
      <c r="H13073" s="380" t="s">
        <v>771</v>
      </c>
      <c r="I13073" s="380" t="s">
        <v>788</v>
      </c>
      <c r="J13073" s="380" t="s">
        <v>773</v>
      </c>
      <c r="K13073" s="381">
        <v>131200.0</v>
      </c>
      <c r="L13073" s="382">
        <v>1.0</v>
      </c>
    </row>
    <row r="13074">
      <c r="A13074" s="380" t="s">
        <v>13948</v>
      </c>
      <c r="B13074" s="380" t="str">
        <f>IFERROR(__xludf.DUMMYFUNCTION("""COMPUTED_VALUE"""),"Kit EMB FT 1045 31cm - 7700149288187")</f>
        <v>Kit EMB FT 1045 31cm - 7700149288187</v>
      </c>
      <c r="C13074" s="380" t="str">
        <f>IFERROR(__xludf.DUMMYFUNCTION("""COMPUTED_VALUE"""),"70008546")</f>
        <v>70008546</v>
      </c>
      <c r="D13074" s="380" t="s">
        <v>767</v>
      </c>
      <c r="E13074" s="380" t="s">
        <v>786</v>
      </c>
      <c r="F13074" s="380" t="s">
        <v>998</v>
      </c>
      <c r="G13074" s="380" t="s">
        <v>1267</v>
      </c>
      <c r="H13074" s="380" t="s">
        <v>771</v>
      </c>
      <c r="I13074" s="380" t="s">
        <v>788</v>
      </c>
      <c r="J13074" s="380" t="s">
        <v>773</v>
      </c>
      <c r="K13074" s="381">
        <v>0.0</v>
      </c>
      <c r="L13074" s="382">
        <v>1.0</v>
      </c>
    </row>
    <row r="13075">
      <c r="A13075" s="380" t="s">
        <v>13949</v>
      </c>
      <c r="B13075" s="380" t="str">
        <f>IFERROR(__xludf.DUMMYFUNCTION("""COMPUTED_VALUE"""),"INTruptor DIRales Combinado FT 1129-7701")</f>
        <v>INTruptor DIRales Combinado FT 1129-7701</v>
      </c>
      <c r="C13075" s="380" t="str">
        <f>IFERROR(__xludf.DUMMYFUNCTION("""COMPUTED_VALUE"""),"70008547")</f>
        <v>70008547</v>
      </c>
      <c r="D13075" s="380" t="s">
        <v>767</v>
      </c>
      <c r="E13075" s="380" t="s">
        <v>786</v>
      </c>
      <c r="F13075" s="380" t="s">
        <v>998</v>
      </c>
      <c r="G13075" s="380" t="s">
        <v>1267</v>
      </c>
      <c r="H13075" s="380" t="s">
        <v>771</v>
      </c>
      <c r="I13075" s="380" t="s">
        <v>788</v>
      </c>
      <c r="J13075" s="380" t="s">
        <v>773</v>
      </c>
      <c r="K13075" s="381">
        <v>0.0</v>
      </c>
      <c r="L13075" s="382">
        <v>1.0</v>
      </c>
    </row>
    <row r="13076">
      <c r="A13076" s="380" t="s">
        <v>13950</v>
      </c>
      <c r="B13076" s="380" t="str">
        <f>IFERROR(__xludf.DUMMYFUNCTION("""COMPUTED_VALUE"""),"TANQ Carbono FT 1030 - 7705946734431")</f>
        <v>TANQ Carbono FT 1030 - 7705946734431</v>
      </c>
      <c r="C13076" s="380" t="str">
        <f>IFERROR(__xludf.DUMMYFUNCTION("""COMPUTED_VALUE"""),"70008548")</f>
        <v>70008548</v>
      </c>
      <c r="D13076" s="380" t="s">
        <v>767</v>
      </c>
      <c r="E13076" s="380" t="s">
        <v>786</v>
      </c>
      <c r="F13076" s="380" t="s">
        <v>792</v>
      </c>
      <c r="G13076" s="380" t="s">
        <v>1267</v>
      </c>
      <c r="H13076" s="380" t="s">
        <v>771</v>
      </c>
      <c r="I13076" s="380" t="s">
        <v>788</v>
      </c>
      <c r="J13076" s="380" t="s">
        <v>773</v>
      </c>
      <c r="K13076" s="381">
        <v>0.0</v>
      </c>
      <c r="L13076" s="382">
        <v>1.0</v>
      </c>
    </row>
    <row r="13077">
      <c r="A13077" s="380" t="s">
        <v>13951</v>
      </c>
      <c r="B13077" s="380" t="str">
        <f>IFERROR(__xludf.DUMMYFUNCTION("""COMPUTED_VALUE"""),"Balinera EMB FT 1045 - 7701023481618")</f>
        <v>Balinera EMB FT 1045 - 7701023481618</v>
      </c>
      <c r="C13077" s="380" t="str">
        <f>IFERROR(__xludf.DUMMYFUNCTION("""COMPUTED_VALUE"""),"70008549")</f>
        <v>70008549</v>
      </c>
      <c r="D13077" s="380" t="s">
        <v>767</v>
      </c>
      <c r="E13077" s="380" t="s">
        <v>786</v>
      </c>
      <c r="F13077" s="380" t="s">
        <v>998</v>
      </c>
      <c r="G13077" s="380" t="s">
        <v>1267</v>
      </c>
      <c r="H13077" s="380" t="s">
        <v>771</v>
      </c>
      <c r="I13077" s="380" t="s">
        <v>788</v>
      </c>
      <c r="J13077" s="380" t="s">
        <v>773</v>
      </c>
      <c r="K13077" s="381">
        <v>0.0</v>
      </c>
      <c r="L13077" s="382">
        <v>1.0</v>
      </c>
    </row>
    <row r="13078">
      <c r="A13078" s="380" t="s">
        <v>13952</v>
      </c>
      <c r="B13078" s="380" t="str">
        <f>IFERROR(__xludf.DUMMYFUNCTION("""COMPUTED_VALUE"""),"Kit Embrague Foton 1045 -7700149288309")</f>
        <v>Kit Embrague Foton 1045 -7700149288309</v>
      </c>
      <c r="C13078" s="380" t="str">
        <f>IFERROR(__xludf.DUMMYFUNCTION("""COMPUTED_VALUE"""),"70008550")</f>
        <v>70008550</v>
      </c>
      <c r="D13078" s="380" t="s">
        <v>767</v>
      </c>
      <c r="E13078" s="380" t="s">
        <v>786</v>
      </c>
      <c r="F13078" s="380" t="s">
        <v>998</v>
      </c>
      <c r="G13078" s="380" t="s">
        <v>1267</v>
      </c>
      <c r="H13078" s="380" t="s">
        <v>771</v>
      </c>
      <c r="I13078" s="380" t="s">
        <v>788</v>
      </c>
      <c r="J13078" s="380" t="s">
        <v>773</v>
      </c>
      <c r="K13078" s="381">
        <v>0.0</v>
      </c>
      <c r="L13078" s="382">
        <v>1.0</v>
      </c>
    </row>
    <row r="13079">
      <c r="A13079" s="380" t="s">
        <v>13953</v>
      </c>
      <c r="B13079" s="380" t="str">
        <f>IFERROR(__xludf.DUMMYFUNCTION("""COMPUTED_VALUE"""),"Yoke Diferencial TRAS EGL Petrolera 2603")</f>
        <v>Yoke Diferencial TRAS EGL Petrolera 2603</v>
      </c>
      <c r="C13079" s="380" t="str">
        <f>IFERROR(__xludf.DUMMYFUNCTION("""COMPUTED_VALUE"""),"70008551")</f>
        <v>70008551</v>
      </c>
      <c r="D13079" s="380" t="s">
        <v>767</v>
      </c>
      <c r="E13079" s="380" t="s">
        <v>786</v>
      </c>
      <c r="F13079" s="380" t="s">
        <v>5683</v>
      </c>
      <c r="G13079" s="380" t="s">
        <v>1267</v>
      </c>
      <c r="H13079" s="380" t="s">
        <v>771</v>
      </c>
      <c r="I13079" s="380" t="s">
        <v>788</v>
      </c>
      <c r="J13079" s="380" t="s">
        <v>773</v>
      </c>
      <c r="K13079" s="381">
        <v>0.0</v>
      </c>
      <c r="L13079" s="382">
        <v>1.0</v>
      </c>
    </row>
    <row r="13080">
      <c r="A13080" s="380" t="s">
        <v>13954</v>
      </c>
      <c r="B13080" s="380" t="str">
        <f>IFERROR(__xludf.DUMMYFUNCTION("""COMPUTED_VALUE"""),"Tapa Control Cambios Inter Lt K3635")</f>
        <v>Tapa Control Cambios Inter Lt K3635</v>
      </c>
      <c r="C13080" s="380" t="str">
        <f>IFERROR(__xludf.DUMMYFUNCTION("""COMPUTED_VALUE"""),"70008552")</f>
        <v>70008552</v>
      </c>
      <c r="D13080" s="380" t="s">
        <v>767</v>
      </c>
      <c r="E13080" s="380" t="s">
        <v>786</v>
      </c>
      <c r="F13080" s="380" t="s">
        <v>928</v>
      </c>
      <c r="G13080" s="380" t="s">
        <v>1267</v>
      </c>
      <c r="H13080" s="380" t="s">
        <v>771</v>
      </c>
      <c r="I13080" s="380" t="s">
        <v>788</v>
      </c>
      <c r="J13080" s="380" t="s">
        <v>773</v>
      </c>
      <c r="K13080" s="381">
        <v>640677.0</v>
      </c>
      <c r="L13080" s="382">
        <v>1.0</v>
      </c>
    </row>
    <row r="13081">
      <c r="A13081" s="380" t="s">
        <v>13955</v>
      </c>
      <c r="B13081" s="380" t="str">
        <f>IFERROR(__xludf.DUMMYFUNCTION("""COMPUTED_VALUE"""),"Conector Obd Daf Cf480 Ftt 2124738")</f>
        <v>Conector Obd Daf Cf480 Ftt 2124738</v>
      </c>
      <c r="C13081" s="380" t="str">
        <f>IFERROR(__xludf.DUMMYFUNCTION("""COMPUTED_VALUE"""),"70008553")</f>
        <v>70008553</v>
      </c>
      <c r="D13081" s="380" t="s">
        <v>767</v>
      </c>
      <c r="E13081" s="380" t="s">
        <v>786</v>
      </c>
      <c r="F13081" s="380" t="s">
        <v>998</v>
      </c>
      <c r="G13081" s="380" t="s">
        <v>1267</v>
      </c>
      <c r="H13081" s="380" t="s">
        <v>771</v>
      </c>
      <c r="I13081" s="380" t="s">
        <v>788</v>
      </c>
      <c r="J13081" s="380" t="s">
        <v>773</v>
      </c>
      <c r="K13081" s="381">
        <v>0.0</v>
      </c>
      <c r="L13081" s="382">
        <v>1.0</v>
      </c>
    </row>
    <row r="13082">
      <c r="A13082" s="380" t="s">
        <v>13956</v>
      </c>
      <c r="B13082" s="380" t="str">
        <f>IFERROR(__xludf.DUMMYFUNCTION("""COMPUTED_VALUE"""),"Pin Obd Daf Cf480 Ftt 1638729")</f>
        <v>Pin Obd Daf Cf480 Ftt 1638729</v>
      </c>
      <c r="C13082" s="380" t="str">
        <f>IFERROR(__xludf.DUMMYFUNCTION("""COMPUTED_VALUE"""),"70008554")</f>
        <v>70008554</v>
      </c>
      <c r="D13082" s="380" t="s">
        <v>767</v>
      </c>
      <c r="E13082" s="380" t="s">
        <v>786</v>
      </c>
      <c r="F13082" s="380" t="s">
        <v>998</v>
      </c>
      <c r="G13082" s="380" t="s">
        <v>1267</v>
      </c>
      <c r="H13082" s="380" t="s">
        <v>771</v>
      </c>
      <c r="I13082" s="380" t="s">
        <v>788</v>
      </c>
      <c r="J13082" s="380" t="s">
        <v>773</v>
      </c>
      <c r="K13082" s="381">
        <v>0.0</v>
      </c>
      <c r="L13082" s="382">
        <v>1.0</v>
      </c>
    </row>
    <row r="13083">
      <c r="A13083" s="380" t="s">
        <v>13957</v>
      </c>
      <c r="B13083" s="380" t="str">
        <f>IFERROR(__xludf.DUMMYFUNCTION("""COMPUTED_VALUE"""),"Brazo Derecho Espejo Electrico 2503953c1")</f>
        <v>Brazo Derecho Espejo Electrico 2503953c1</v>
      </c>
      <c r="C13083" s="380" t="str">
        <f>IFERROR(__xludf.DUMMYFUNCTION("""COMPUTED_VALUE"""),"70008555")</f>
        <v>70008555</v>
      </c>
      <c r="D13083" s="380" t="s">
        <v>767</v>
      </c>
      <c r="E13083" s="380" t="s">
        <v>786</v>
      </c>
      <c r="F13083" s="380" t="s">
        <v>792</v>
      </c>
      <c r="G13083" s="380" t="s">
        <v>1267</v>
      </c>
      <c r="H13083" s="380" t="s">
        <v>771</v>
      </c>
      <c r="I13083" s="380" t="s">
        <v>788</v>
      </c>
      <c r="J13083" s="380" t="s">
        <v>773</v>
      </c>
      <c r="K13083" s="381">
        <v>0.0</v>
      </c>
      <c r="L13083" s="382">
        <v>1.0</v>
      </c>
    </row>
    <row r="13084">
      <c r="A13084" s="380" t="s">
        <v>13958</v>
      </c>
      <c r="B13084" s="380" t="str">
        <f>IFERROR(__xludf.DUMMYFUNCTION("""COMPUTED_VALUE"""),"SOP De Sujecion MANGs TRL 577769c2")</f>
        <v>SOP De Sujecion MANGs TRL 577769c2</v>
      </c>
      <c r="C13084" s="380" t="str">
        <f>IFERROR(__xludf.DUMMYFUNCTION("""COMPUTED_VALUE"""),"70008556")</f>
        <v>70008556</v>
      </c>
      <c r="D13084" s="380" t="s">
        <v>767</v>
      </c>
      <c r="E13084" s="380" t="s">
        <v>786</v>
      </c>
      <c r="F13084" s="380" t="s">
        <v>1031</v>
      </c>
      <c r="G13084" s="380" t="s">
        <v>1267</v>
      </c>
      <c r="H13084" s="380" t="s">
        <v>771</v>
      </c>
      <c r="I13084" s="380" t="s">
        <v>788</v>
      </c>
      <c r="J13084" s="380" t="s">
        <v>773</v>
      </c>
      <c r="K13084" s="381">
        <v>248710.0</v>
      </c>
      <c r="L13084" s="382">
        <v>1.0</v>
      </c>
    </row>
    <row r="13085">
      <c r="A13085" s="380" t="s">
        <v>13959</v>
      </c>
      <c r="B13085" s="380" t="str">
        <f>IFERROR(__xludf.DUMMYFUNCTION("""COMPUTED_VALUE"""),"VALV Solenoide Canister Emision Gases N2")</f>
        <v>VALV Solenoide Canister Emision Gases N2</v>
      </c>
      <c r="C13085" s="380" t="str">
        <f>IFERROR(__xludf.DUMMYFUNCTION("""COMPUTED_VALUE"""),"70008557")</f>
        <v>70008557</v>
      </c>
      <c r="D13085" s="380" t="s">
        <v>767</v>
      </c>
      <c r="E13085" s="380" t="s">
        <v>786</v>
      </c>
      <c r="F13085" s="380" t="s">
        <v>787</v>
      </c>
      <c r="G13085" s="380" t="s">
        <v>1267</v>
      </c>
      <c r="H13085" s="380" t="s">
        <v>771</v>
      </c>
      <c r="I13085" s="380" t="s">
        <v>788</v>
      </c>
      <c r="J13085" s="380" t="s">
        <v>773</v>
      </c>
      <c r="K13085" s="381">
        <v>0.0</v>
      </c>
      <c r="L13085" s="382">
        <v>1.0</v>
      </c>
    </row>
    <row r="13086">
      <c r="A13086" s="380" t="s">
        <v>13960</v>
      </c>
      <c r="B13086" s="380" t="str">
        <f>IFERROR(__xludf.DUMMYFUNCTION("""COMPUTED_VALUE"""),"Retrovisor Der Completo KW T660 330-201-")</f>
        <v>Retrovisor Der Completo KW T660 330-201-</v>
      </c>
      <c r="C13086" s="380" t="str">
        <f>IFERROR(__xludf.DUMMYFUNCTION("""COMPUTED_VALUE"""),"70008558")</f>
        <v>70008558</v>
      </c>
      <c r="D13086" s="380" t="s">
        <v>767</v>
      </c>
      <c r="E13086" s="380" t="s">
        <v>786</v>
      </c>
      <c r="F13086" s="380" t="s">
        <v>792</v>
      </c>
      <c r="G13086" s="380" t="s">
        <v>1267</v>
      </c>
      <c r="H13086" s="380" t="s">
        <v>771</v>
      </c>
      <c r="I13086" s="380" t="s">
        <v>788</v>
      </c>
      <c r="J13086" s="380" t="s">
        <v>773</v>
      </c>
      <c r="K13086" s="381">
        <v>0.0</v>
      </c>
      <c r="L13086" s="382">
        <v>1.0</v>
      </c>
    </row>
    <row r="13087">
      <c r="A13087" s="380" t="s">
        <v>13961</v>
      </c>
      <c r="B13087" s="380" t="str">
        <f>IFERROR(__xludf.DUMMYFUNCTION("""COMPUTED_VALUE"""),"Kit Lainas Diferencial TRAS Meritor Kit1")</f>
        <v>Kit Lainas Diferencial TRAS Meritor Kit1</v>
      </c>
      <c r="C13087" s="380" t="str">
        <f>IFERROR(__xludf.DUMMYFUNCTION("""COMPUTED_VALUE"""),"70008559")</f>
        <v>70008559</v>
      </c>
      <c r="D13087" s="380" t="s">
        <v>767</v>
      </c>
      <c r="E13087" s="380" t="s">
        <v>786</v>
      </c>
      <c r="F13087" s="380" t="s">
        <v>5683</v>
      </c>
      <c r="G13087" s="380" t="s">
        <v>1267</v>
      </c>
      <c r="H13087" s="380" t="s">
        <v>771</v>
      </c>
      <c r="I13087" s="380" t="s">
        <v>788</v>
      </c>
      <c r="J13087" s="380" t="s">
        <v>773</v>
      </c>
      <c r="K13087" s="381">
        <v>0.0</v>
      </c>
      <c r="L13087" s="382">
        <v>1.0</v>
      </c>
    </row>
    <row r="13088">
      <c r="A13088" s="380" t="s">
        <v>13962</v>
      </c>
      <c r="B13088" s="380" t="str">
        <f>IFERROR(__xludf.DUMMYFUNCTION("""COMPUTED_VALUE"""),"Turbo Hyundai H100 Reparado")</f>
        <v>Turbo Hyundai H100 Reparado</v>
      </c>
      <c r="C13088" s="380" t="str">
        <f>IFERROR(__xludf.DUMMYFUNCTION("""COMPUTED_VALUE"""),"70008560")</f>
        <v>70008560</v>
      </c>
      <c r="D13088" s="380" t="s">
        <v>767</v>
      </c>
      <c r="E13088" s="380" t="s">
        <v>786</v>
      </c>
      <c r="F13088" s="380" t="s">
        <v>787</v>
      </c>
      <c r="G13088" s="380" t="s">
        <v>1267</v>
      </c>
      <c r="H13088" s="380" t="s">
        <v>771</v>
      </c>
      <c r="I13088" s="380" t="s">
        <v>788</v>
      </c>
      <c r="J13088" s="380" t="s">
        <v>773</v>
      </c>
      <c r="K13088" s="381">
        <v>0.0</v>
      </c>
      <c r="L13088" s="382">
        <v>1.0</v>
      </c>
    </row>
    <row r="13089">
      <c r="A13089" s="380" t="s">
        <v>13963</v>
      </c>
      <c r="B13089" s="380" t="str">
        <f>IFERROR(__xludf.DUMMYFUNCTION("""COMPUTED_VALUE"""),"Plumilla Limpiaparabrisas 26""")</f>
        <v>Plumilla Limpiaparabrisas 26"</v>
      </c>
      <c r="C13089" s="380" t="str">
        <f>IFERROR(__xludf.DUMMYFUNCTION("""COMPUTED_VALUE"""),"70008561")</f>
        <v>70008561</v>
      </c>
      <c r="D13089" s="380" t="s">
        <v>767</v>
      </c>
      <c r="E13089" s="380" t="s">
        <v>786</v>
      </c>
      <c r="F13089" s="380" t="s">
        <v>792</v>
      </c>
      <c r="G13089" s="380" t="s">
        <v>1267</v>
      </c>
      <c r="H13089" s="380" t="s">
        <v>771</v>
      </c>
      <c r="I13089" s="380" t="s">
        <v>788</v>
      </c>
      <c r="J13089" s="380" t="s">
        <v>773</v>
      </c>
      <c r="K13089" s="381">
        <v>35403.0</v>
      </c>
      <c r="L13089" s="382">
        <v>1.0</v>
      </c>
    </row>
    <row r="13090">
      <c r="A13090" s="380" t="s">
        <v>13964</v>
      </c>
      <c r="B13090" s="380" t="str">
        <f>IFERROR(__xludf.DUMMYFUNCTION("""COMPUTED_VALUE"""),"VALV Reg Presion De Riel Comb Jac 1042 2")</f>
        <v>VALV Reg Presion De Riel Comb Jac 1042 2</v>
      </c>
      <c r="C13090" s="380" t="str">
        <f>IFERROR(__xludf.DUMMYFUNCTION("""COMPUTED_VALUE"""),"70008562")</f>
        <v>70008562</v>
      </c>
      <c r="D13090" s="380" t="s">
        <v>767</v>
      </c>
      <c r="E13090" s="380" t="s">
        <v>786</v>
      </c>
      <c r="F13090" s="380" t="s">
        <v>787</v>
      </c>
      <c r="G13090" s="380" t="s">
        <v>1267</v>
      </c>
      <c r="H13090" s="380" t="s">
        <v>771</v>
      </c>
      <c r="I13090" s="380" t="s">
        <v>788</v>
      </c>
      <c r="J13090" s="380" t="s">
        <v>773</v>
      </c>
      <c r="K13090" s="381">
        <v>0.0</v>
      </c>
      <c r="L13090" s="382">
        <v>1.0</v>
      </c>
    </row>
    <row r="13091">
      <c r="A13091" s="380" t="s">
        <v>13965</v>
      </c>
      <c r="B13091" s="380" t="str">
        <f>IFERROR(__xludf.DUMMYFUNCTION("""COMPUTED_VALUE"""),"Inyector Jac 1042 Reparado")</f>
        <v>Inyector Jac 1042 Reparado</v>
      </c>
      <c r="C13091" s="380" t="str">
        <f>IFERROR(__xludf.DUMMYFUNCTION("""COMPUTED_VALUE"""),"70008563")</f>
        <v>70008563</v>
      </c>
      <c r="D13091" s="380" t="s">
        <v>767</v>
      </c>
      <c r="E13091" s="380" t="s">
        <v>786</v>
      </c>
      <c r="F13091" s="380" t="s">
        <v>787</v>
      </c>
      <c r="G13091" s="380" t="s">
        <v>1267</v>
      </c>
      <c r="H13091" s="380" t="s">
        <v>771</v>
      </c>
      <c r="I13091" s="380" t="s">
        <v>788</v>
      </c>
      <c r="J13091" s="380" t="s">
        <v>773</v>
      </c>
      <c r="K13091" s="381">
        <v>0.0</v>
      </c>
      <c r="L13091" s="382">
        <v>1.0</v>
      </c>
    </row>
    <row r="13092">
      <c r="A13092" s="380" t="s">
        <v>13966</v>
      </c>
      <c r="B13092" s="380" t="str">
        <f>IFERROR(__xludf.DUMMYFUNCTION("""COMPUTED_VALUE"""),"RET TRAS CJ Jac 1120 6j55t1701161")</f>
        <v>RET TRAS CJ Jac 1120 6j55t1701161</v>
      </c>
      <c r="C13092" s="380" t="str">
        <f>IFERROR(__xludf.DUMMYFUNCTION("""COMPUTED_VALUE"""),"70008564")</f>
        <v>70008564</v>
      </c>
      <c r="D13092" s="380" t="s">
        <v>767</v>
      </c>
      <c r="E13092" s="380" t="s">
        <v>786</v>
      </c>
      <c r="F13092" s="380" t="s">
        <v>928</v>
      </c>
      <c r="G13092" s="380" t="s">
        <v>1267</v>
      </c>
      <c r="H13092" s="380" t="s">
        <v>771</v>
      </c>
      <c r="I13092" s="380" t="s">
        <v>788</v>
      </c>
      <c r="J13092" s="380" t="s">
        <v>773</v>
      </c>
      <c r="K13092" s="381">
        <v>0.0</v>
      </c>
      <c r="L13092" s="382">
        <v>1.0</v>
      </c>
    </row>
    <row r="13093">
      <c r="A13093" s="380" t="s">
        <v>13967</v>
      </c>
      <c r="B13093" s="380" t="str">
        <f>IFERROR(__xludf.DUMMYFUNCTION("""COMPUTED_VALUE"""),"Anillo Multiple Escape MOT Isx - X15 -36")</f>
        <v>Anillo Multiple Escape MOT Isx - X15 -36</v>
      </c>
      <c r="C13093" s="380" t="str">
        <f>IFERROR(__xludf.DUMMYFUNCTION("""COMPUTED_VALUE"""),"70008565")</f>
        <v>70008565</v>
      </c>
      <c r="D13093" s="380" t="s">
        <v>767</v>
      </c>
      <c r="E13093" s="380" t="s">
        <v>786</v>
      </c>
      <c r="F13093" s="380" t="s">
        <v>787</v>
      </c>
      <c r="G13093" s="380" t="s">
        <v>1267</v>
      </c>
      <c r="H13093" s="380" t="s">
        <v>771</v>
      </c>
      <c r="I13093" s="380" t="s">
        <v>788</v>
      </c>
      <c r="J13093" s="380" t="s">
        <v>773</v>
      </c>
      <c r="K13093" s="381">
        <v>296714.0</v>
      </c>
      <c r="L13093" s="382">
        <v>1.0</v>
      </c>
    </row>
    <row r="13094">
      <c r="A13094" s="380" t="s">
        <v>13968</v>
      </c>
      <c r="B13094" s="380" t="str">
        <f>IFERROR(__xludf.DUMMYFUNCTION("""COMPUTED_VALUE"""),"Salida Central Escape MOT Isx- X15- 4386")</f>
        <v>Salida Central Escape MOT Isx- X15- 4386</v>
      </c>
      <c r="C13094" s="380" t="str">
        <f>IFERROR(__xludf.DUMMYFUNCTION("""COMPUTED_VALUE"""),"70008566")</f>
        <v>70008566</v>
      </c>
      <c r="D13094" s="380" t="s">
        <v>767</v>
      </c>
      <c r="E13094" s="380" t="s">
        <v>786</v>
      </c>
      <c r="F13094" s="380" t="s">
        <v>787</v>
      </c>
      <c r="G13094" s="380" t="s">
        <v>1267</v>
      </c>
      <c r="H13094" s="380" t="s">
        <v>771</v>
      </c>
      <c r="I13094" s="380" t="s">
        <v>788</v>
      </c>
      <c r="J13094" s="380" t="s">
        <v>773</v>
      </c>
      <c r="K13094" s="381">
        <v>0.0</v>
      </c>
      <c r="L13094" s="382">
        <v>1.0</v>
      </c>
    </row>
    <row r="13095">
      <c r="A13095" s="380" t="s">
        <v>13969</v>
      </c>
      <c r="B13095" s="380" t="str">
        <f>IFERROR(__xludf.DUMMYFUNCTION("""COMPUTED_VALUE"""),"Angulo Der SOP Quinta RDA EGL 3503197c1")</f>
        <v>Angulo Der SOP Quinta RDA EGL 3503197c1</v>
      </c>
      <c r="C13095" s="380" t="str">
        <f>IFERROR(__xludf.DUMMYFUNCTION("""COMPUTED_VALUE"""),"70008567")</f>
        <v>70008567</v>
      </c>
      <c r="D13095" s="380" t="s">
        <v>767</v>
      </c>
      <c r="E13095" s="380" t="s">
        <v>786</v>
      </c>
      <c r="F13095" s="380" t="s">
        <v>792</v>
      </c>
      <c r="G13095" s="380" t="s">
        <v>1267</v>
      </c>
      <c r="H13095" s="380" t="s">
        <v>771</v>
      </c>
      <c r="I13095" s="380" t="s">
        <v>788</v>
      </c>
      <c r="J13095" s="380" t="s">
        <v>773</v>
      </c>
      <c r="K13095" s="381">
        <v>0.0</v>
      </c>
      <c r="L13095" s="382">
        <v>1.0</v>
      </c>
    </row>
    <row r="13096">
      <c r="A13096" s="380" t="s">
        <v>13970</v>
      </c>
      <c r="B13096" s="380" t="str">
        <f>IFERROR(__xludf.DUMMYFUNCTION("""COMPUTED_VALUE"""),"Angulo Izq SOP Quinta RDA EGL 3503196c1")</f>
        <v>Angulo Izq SOP Quinta RDA EGL 3503196c1</v>
      </c>
      <c r="C13096" s="380" t="str">
        <f>IFERROR(__xludf.DUMMYFUNCTION("""COMPUTED_VALUE"""),"70008568")</f>
        <v>70008568</v>
      </c>
      <c r="D13096" s="380" t="s">
        <v>767</v>
      </c>
      <c r="E13096" s="380" t="s">
        <v>786</v>
      </c>
      <c r="F13096" s="380" t="s">
        <v>792</v>
      </c>
      <c r="G13096" s="380" t="s">
        <v>1267</v>
      </c>
      <c r="H13096" s="380" t="s">
        <v>771</v>
      </c>
      <c r="I13096" s="380" t="s">
        <v>788</v>
      </c>
      <c r="J13096" s="380" t="s">
        <v>773</v>
      </c>
      <c r="K13096" s="381">
        <v>0.0</v>
      </c>
      <c r="L13096" s="382">
        <v>1.0</v>
      </c>
    </row>
    <row r="13097">
      <c r="A13097" s="380" t="s">
        <v>13971</v>
      </c>
      <c r="B13097" s="380" t="str">
        <f>IFERROR(__xludf.DUMMYFUNCTION("""COMPUTED_VALUE"""),"TANQ Y MOT Agua Limpiaparabrisa FT 1065-")</f>
        <v>TANQ Y MOT Agua Limpiaparabrisa FT 1065-</v>
      </c>
      <c r="C13097" s="380" t="str">
        <f>IFERROR(__xludf.DUMMYFUNCTION("""COMPUTED_VALUE"""),"70008569")</f>
        <v>70008569</v>
      </c>
      <c r="D13097" s="380" t="s">
        <v>767</v>
      </c>
      <c r="E13097" s="380" t="s">
        <v>786</v>
      </c>
      <c r="F13097" s="380" t="s">
        <v>792</v>
      </c>
      <c r="G13097" s="380" t="s">
        <v>1267</v>
      </c>
      <c r="H13097" s="380" t="s">
        <v>771</v>
      </c>
      <c r="I13097" s="380" t="s">
        <v>788</v>
      </c>
      <c r="J13097" s="380" t="s">
        <v>773</v>
      </c>
      <c r="K13097" s="381">
        <v>0.0</v>
      </c>
      <c r="L13097" s="382">
        <v>1.0</v>
      </c>
    </row>
    <row r="13098">
      <c r="A13098" s="380" t="s">
        <v>13972</v>
      </c>
      <c r="B13098" s="380" t="str">
        <f>IFERROR(__xludf.DUMMYFUNCTION("""COMPUTED_VALUE"""),"Manguera 3/4 Surtidor Reparado")</f>
        <v>Manguera 3/4 Surtidor Reparado</v>
      </c>
      <c r="C13098" s="380" t="str">
        <f>IFERROR(__xludf.DUMMYFUNCTION("""COMPUTED_VALUE"""),"70008570")</f>
        <v>70008570</v>
      </c>
      <c r="D13098" s="380" t="s">
        <v>767</v>
      </c>
      <c r="E13098" s="380" t="s">
        <v>786</v>
      </c>
      <c r="F13098" s="380" t="s">
        <v>989</v>
      </c>
      <c r="G13098" s="380" t="s">
        <v>1267</v>
      </c>
      <c r="H13098" s="380" t="s">
        <v>771</v>
      </c>
      <c r="I13098" s="380" t="s">
        <v>788</v>
      </c>
      <c r="J13098" s="380" t="s">
        <v>773</v>
      </c>
      <c r="K13098" s="381">
        <v>0.0</v>
      </c>
      <c r="L13098" s="382">
        <v>1.0</v>
      </c>
    </row>
    <row r="13099">
      <c r="A13099" s="380" t="s">
        <v>13973</v>
      </c>
      <c r="B13099" s="380" t="str">
        <f>IFERROR(__xludf.DUMMYFUNCTION("""COMPUTED_VALUE"""),"Arandela Leva Exterior 1.1/4""")</f>
        <v>Arandela Leva Exterior 1.1/4"</v>
      </c>
      <c r="C13099" s="380" t="str">
        <f>IFERROR(__xludf.DUMMYFUNCTION("""COMPUTED_VALUE"""),"70008571")</f>
        <v>70008571</v>
      </c>
      <c r="D13099" s="380" t="s">
        <v>767</v>
      </c>
      <c r="E13099" s="380" t="s">
        <v>786</v>
      </c>
      <c r="F13099" s="380" t="s">
        <v>1017</v>
      </c>
      <c r="G13099" s="380" t="s">
        <v>1267</v>
      </c>
      <c r="H13099" s="380" t="s">
        <v>771</v>
      </c>
      <c r="I13099" s="380" t="s">
        <v>788</v>
      </c>
      <c r="J13099" s="380" t="s">
        <v>773</v>
      </c>
      <c r="K13099" s="381">
        <v>0.0</v>
      </c>
      <c r="L13099" s="382">
        <v>1.0</v>
      </c>
    </row>
    <row r="13100">
      <c r="A13100" s="380" t="s">
        <v>13974</v>
      </c>
      <c r="B13100" s="380" t="str">
        <f>IFERROR(__xludf.DUMMYFUNCTION("""COMPUTED_VALUE"""),"Kit Reparacion MAY Freno Del INT Lt - Ki")</f>
        <v>Kit Reparacion MAY Freno Del INT Lt - Ki</v>
      </c>
      <c r="C13100" s="380" t="str">
        <f>IFERROR(__xludf.DUMMYFUNCTION("""COMPUTED_VALUE"""),"70008572")</f>
        <v>70008572</v>
      </c>
      <c r="D13100" s="380" t="s">
        <v>767</v>
      </c>
      <c r="E13100" s="380" t="s">
        <v>786</v>
      </c>
      <c r="F13100" s="380" t="s">
        <v>1017</v>
      </c>
      <c r="G13100" s="380" t="s">
        <v>1267</v>
      </c>
      <c r="H13100" s="380" t="s">
        <v>771</v>
      </c>
      <c r="I13100" s="380" t="s">
        <v>788</v>
      </c>
      <c r="J13100" s="380" t="s">
        <v>773</v>
      </c>
      <c r="K13100" s="381">
        <v>0.0</v>
      </c>
      <c r="L13100" s="382">
        <v>1.0</v>
      </c>
    </row>
    <row r="13101">
      <c r="A13101" s="380" t="s">
        <v>13975</v>
      </c>
      <c r="B13101" s="380" t="str">
        <f>IFERROR(__xludf.DUMMYFUNCTION("""COMPUTED_VALUE"""),"Kit Reparacion MAY Freno TRAS INT Lt-Kit")</f>
        <v>Kit Reparacion MAY Freno TRAS INT Lt-Kit</v>
      </c>
      <c r="C13101" s="380" t="str">
        <f>IFERROR(__xludf.DUMMYFUNCTION("""COMPUTED_VALUE"""),"70008573")</f>
        <v>70008573</v>
      </c>
      <c r="D13101" s="380" t="s">
        <v>767</v>
      </c>
      <c r="E13101" s="380" t="s">
        <v>786</v>
      </c>
      <c r="F13101" s="380" t="s">
        <v>1017</v>
      </c>
      <c r="G13101" s="380" t="s">
        <v>1267</v>
      </c>
      <c r="H13101" s="380" t="s">
        <v>771</v>
      </c>
      <c r="I13101" s="380" t="s">
        <v>788</v>
      </c>
      <c r="J13101" s="380" t="s">
        <v>773</v>
      </c>
      <c r="K13101" s="381">
        <v>0.0</v>
      </c>
      <c r="L13101" s="382">
        <v>1.0</v>
      </c>
    </row>
    <row r="13102">
      <c r="A13102" s="380" t="s">
        <v>13976</v>
      </c>
      <c r="B13102" s="380" t="str">
        <f>IFERROR(__xludf.DUMMYFUNCTION("""COMPUTED_VALUE"""),"Empaque Escape Egr Daf 2035973")</f>
        <v>Empaque Escape Egr Daf 2035973</v>
      </c>
      <c r="C13102" s="380" t="str">
        <f>IFERROR(__xludf.DUMMYFUNCTION("""COMPUTED_VALUE"""),"70008574")</f>
        <v>70008574</v>
      </c>
      <c r="D13102" s="380" t="s">
        <v>767</v>
      </c>
      <c r="E13102" s="380" t="s">
        <v>786</v>
      </c>
      <c r="F13102" s="380" t="s">
        <v>787</v>
      </c>
      <c r="G13102" s="380" t="s">
        <v>1267</v>
      </c>
      <c r="H13102" s="380" t="s">
        <v>771</v>
      </c>
      <c r="I13102" s="380" t="s">
        <v>788</v>
      </c>
      <c r="J13102" s="380" t="s">
        <v>773</v>
      </c>
      <c r="K13102" s="381">
        <v>0.0</v>
      </c>
      <c r="L13102" s="382">
        <v>1.0</v>
      </c>
    </row>
    <row r="13103">
      <c r="A13103" s="380" t="s">
        <v>13977</v>
      </c>
      <c r="B13103" s="380" t="str">
        <f>IFERROR(__xludf.DUMMYFUNCTION("""COMPUTED_VALUE"""),"Abrazadera Fijacion DEP Urea Daf 2381693")</f>
        <v>Abrazadera Fijacion DEP Urea Daf 2381693</v>
      </c>
      <c r="C13103" s="380" t="str">
        <f>IFERROR(__xludf.DUMMYFUNCTION("""COMPUTED_VALUE"""),"70008575")</f>
        <v>70008575</v>
      </c>
      <c r="D13103" s="380" t="s">
        <v>767</v>
      </c>
      <c r="E13103" s="380" t="s">
        <v>786</v>
      </c>
      <c r="F13103" s="380" t="s">
        <v>792</v>
      </c>
      <c r="G13103" s="380" t="s">
        <v>1267</v>
      </c>
      <c r="H13103" s="380" t="s">
        <v>771</v>
      </c>
      <c r="I13103" s="380" t="s">
        <v>788</v>
      </c>
      <c r="J13103" s="380" t="s">
        <v>773</v>
      </c>
      <c r="K13103" s="381">
        <v>0.0</v>
      </c>
      <c r="L13103" s="382">
        <v>1.0</v>
      </c>
    </row>
    <row r="13104">
      <c r="A13104" s="380" t="s">
        <v>13978</v>
      </c>
      <c r="B13104" s="380" t="str">
        <f>IFERROR(__xludf.DUMMYFUNCTION("""COMPUTED_VALUE"""),"Tuberia Llenado De Aceite Daf 2124382")</f>
        <v>Tuberia Llenado De Aceite Daf 2124382</v>
      </c>
      <c r="C13104" s="380" t="str">
        <f>IFERROR(__xludf.DUMMYFUNCTION("""COMPUTED_VALUE"""),"70008576")</f>
        <v>70008576</v>
      </c>
      <c r="D13104" s="380" t="s">
        <v>767</v>
      </c>
      <c r="E13104" s="380" t="s">
        <v>786</v>
      </c>
      <c r="F13104" s="380" t="s">
        <v>787</v>
      </c>
      <c r="G13104" s="380" t="s">
        <v>1267</v>
      </c>
      <c r="H13104" s="380" t="s">
        <v>771</v>
      </c>
      <c r="I13104" s="380" t="s">
        <v>788</v>
      </c>
      <c r="J13104" s="380" t="s">
        <v>773</v>
      </c>
      <c r="K13104" s="381">
        <v>0.0</v>
      </c>
      <c r="L13104" s="382">
        <v>1.0</v>
      </c>
    </row>
    <row r="13105">
      <c r="A13105" s="380" t="s">
        <v>13979</v>
      </c>
      <c r="B13105" s="380" t="str">
        <f>IFERROR(__xludf.DUMMYFUNCTION("""COMPUTED_VALUE"""),"Cubierta De Proteccion DEP Urea Daf 1902")</f>
        <v>Cubierta De Proteccion DEP Urea Daf 1902</v>
      </c>
      <c r="C13105" s="380" t="str">
        <f>IFERROR(__xludf.DUMMYFUNCTION("""COMPUTED_VALUE"""),"70008577")</f>
        <v>70008577</v>
      </c>
      <c r="D13105" s="380" t="s">
        <v>767</v>
      </c>
      <c r="E13105" s="380" t="s">
        <v>786</v>
      </c>
      <c r="F13105" s="380" t="s">
        <v>792</v>
      </c>
      <c r="G13105" s="380" t="s">
        <v>1267</v>
      </c>
      <c r="H13105" s="380" t="s">
        <v>771</v>
      </c>
      <c r="I13105" s="380" t="s">
        <v>788</v>
      </c>
      <c r="J13105" s="380" t="s">
        <v>773</v>
      </c>
      <c r="K13105" s="381">
        <v>0.0</v>
      </c>
      <c r="L13105" s="382">
        <v>1.0</v>
      </c>
    </row>
    <row r="13106">
      <c r="A13106" s="380" t="s">
        <v>13980</v>
      </c>
      <c r="B13106" s="380" t="str">
        <f>IFERROR(__xludf.DUMMYFUNCTION("""COMPUTED_VALUE"""),"Kit Tapa FILT COMB EGL Sp1244 / 2603439c")</f>
        <v>Kit Tapa FILT COMB EGL Sp1244 / 2603439c</v>
      </c>
      <c r="C13106" s="380" t="str">
        <f>IFERROR(__xludf.DUMMYFUNCTION("""COMPUTED_VALUE"""),"70008578")</f>
        <v>70008578</v>
      </c>
      <c r="D13106" s="380" t="s">
        <v>767</v>
      </c>
      <c r="E13106" s="380" t="s">
        <v>786</v>
      </c>
      <c r="F13106" s="380" t="s">
        <v>787</v>
      </c>
      <c r="G13106" s="380" t="s">
        <v>1267</v>
      </c>
      <c r="H13106" s="380" t="s">
        <v>771</v>
      </c>
      <c r="I13106" s="380" t="s">
        <v>788</v>
      </c>
      <c r="J13106" s="380" t="s">
        <v>773</v>
      </c>
      <c r="K13106" s="381">
        <v>0.0</v>
      </c>
      <c r="L13106" s="382">
        <v>1.0</v>
      </c>
    </row>
    <row r="13107">
      <c r="A13107" s="380" t="s">
        <v>13981</v>
      </c>
      <c r="B13107" s="380" t="str">
        <f>IFERROR(__xludf.DUMMYFUNCTION("""COMPUTED_VALUE"""),"VALV Anti Retorno COMB KW 2252-1d")</f>
        <v>VALV Anti Retorno COMB KW 2252-1d</v>
      </c>
      <c r="C13107" s="380" t="str">
        <f>IFERROR(__xludf.DUMMYFUNCTION("""COMPUTED_VALUE"""),"70008579")</f>
        <v>70008579</v>
      </c>
      <c r="D13107" s="380" t="s">
        <v>767</v>
      </c>
      <c r="E13107" s="380" t="s">
        <v>786</v>
      </c>
      <c r="F13107" s="380" t="s">
        <v>787</v>
      </c>
      <c r="G13107" s="380" t="s">
        <v>1267</v>
      </c>
      <c r="H13107" s="380" t="s">
        <v>771</v>
      </c>
      <c r="I13107" s="380" t="s">
        <v>788</v>
      </c>
      <c r="J13107" s="380" t="s">
        <v>773</v>
      </c>
      <c r="K13107" s="381">
        <v>0.0</v>
      </c>
      <c r="L13107" s="382">
        <v>1.0</v>
      </c>
    </row>
    <row r="13108">
      <c r="A13108" s="380" t="s">
        <v>13982</v>
      </c>
      <c r="B13108" s="380" t="str">
        <f>IFERROR(__xludf.DUMMYFUNCTION("""COMPUTED_VALUE"""),"Balinera Base VENT FT 1128 Bd35-12du8a")</f>
        <v>Balinera Base VENT FT 1128 Bd35-12du8a</v>
      </c>
      <c r="C13108" s="380" t="str">
        <f>IFERROR(__xludf.DUMMYFUNCTION("""COMPUTED_VALUE"""),"70008580")</f>
        <v>70008580</v>
      </c>
      <c r="D13108" s="380" t="s">
        <v>767</v>
      </c>
      <c r="E13108" s="380" t="s">
        <v>786</v>
      </c>
      <c r="F13108" s="380" t="s">
        <v>787</v>
      </c>
      <c r="G13108" s="380" t="s">
        <v>1267</v>
      </c>
      <c r="H13108" s="380" t="s">
        <v>771</v>
      </c>
      <c r="I13108" s="380" t="s">
        <v>788</v>
      </c>
      <c r="J13108" s="380" t="s">
        <v>773</v>
      </c>
      <c r="K13108" s="381">
        <v>0.0</v>
      </c>
      <c r="L13108" s="382">
        <v>1.0</v>
      </c>
    </row>
    <row r="13109">
      <c r="A13109" s="380" t="s">
        <v>13983</v>
      </c>
      <c r="B13109" s="380" t="str">
        <f>IFERROR(__xludf.DUMMYFUNCTION("""COMPUTED_VALUE"""),"SOP Der Viga Bomper FT 4269 H4831020306a")</f>
        <v>SOP Der Viga Bomper FT 4269 H4831020306a</v>
      </c>
      <c r="C13109" s="380" t="str">
        <f>IFERROR(__xludf.DUMMYFUNCTION("""COMPUTED_VALUE"""),"70008581")</f>
        <v>70008581</v>
      </c>
      <c r="D13109" s="380" t="s">
        <v>767</v>
      </c>
      <c r="E13109" s="380" t="s">
        <v>786</v>
      </c>
      <c r="F13109" s="380" t="s">
        <v>792</v>
      </c>
      <c r="G13109" s="380" t="s">
        <v>1267</v>
      </c>
      <c r="H13109" s="380" t="s">
        <v>771</v>
      </c>
      <c r="I13109" s="380" t="s">
        <v>788</v>
      </c>
      <c r="J13109" s="380" t="s">
        <v>773</v>
      </c>
      <c r="K13109" s="381">
        <v>0.0</v>
      </c>
      <c r="L13109" s="382">
        <v>1.0</v>
      </c>
    </row>
    <row r="13110">
      <c r="A13110" s="380" t="s">
        <v>13984</v>
      </c>
      <c r="B13110" s="380" t="str">
        <f>IFERROR(__xludf.DUMMYFUNCTION("""COMPUTED_VALUE"""),"Viga SOP Bomper FT 4269 H4831022600a0")</f>
        <v>Viga SOP Bomper FT 4269 H4831022600a0</v>
      </c>
      <c r="C13110" s="380" t="str">
        <f>IFERROR(__xludf.DUMMYFUNCTION("""COMPUTED_VALUE"""),"70008582")</f>
        <v>70008582</v>
      </c>
      <c r="D13110" s="380" t="s">
        <v>767</v>
      </c>
      <c r="E13110" s="380" t="s">
        <v>786</v>
      </c>
      <c r="F13110" s="380" t="s">
        <v>792</v>
      </c>
      <c r="G13110" s="380" t="s">
        <v>1267</v>
      </c>
      <c r="H13110" s="380" t="s">
        <v>771</v>
      </c>
      <c r="I13110" s="380" t="s">
        <v>788</v>
      </c>
      <c r="J13110" s="380" t="s">
        <v>773</v>
      </c>
      <c r="K13110" s="381">
        <v>0.0</v>
      </c>
      <c r="L13110" s="382">
        <v>1.0</v>
      </c>
    </row>
    <row r="13111">
      <c r="A13111" s="380" t="s">
        <v>13985</v>
      </c>
      <c r="B13111" s="380" t="str">
        <f>IFERROR(__xludf.DUMMYFUNCTION("""COMPUTED_VALUE"""),"SOP Giratorio Farola FT 4269 H4831022002")</f>
        <v>SOP Giratorio Farola FT 4269 H4831022002</v>
      </c>
      <c r="C13111" s="380" t="str">
        <f>IFERROR(__xludf.DUMMYFUNCTION("""COMPUTED_VALUE"""),"70008583")</f>
        <v>70008583</v>
      </c>
      <c r="D13111" s="380" t="s">
        <v>767</v>
      </c>
      <c r="E13111" s="380" t="s">
        <v>786</v>
      </c>
      <c r="F13111" s="380" t="s">
        <v>792</v>
      </c>
      <c r="G13111" s="380" t="s">
        <v>1267</v>
      </c>
      <c r="H13111" s="380" t="s">
        <v>771</v>
      </c>
      <c r="I13111" s="380" t="s">
        <v>788</v>
      </c>
      <c r="J13111" s="380" t="s">
        <v>773</v>
      </c>
      <c r="K13111" s="381">
        <v>0.0</v>
      </c>
      <c r="L13111" s="382">
        <v>1.0</v>
      </c>
    </row>
    <row r="13112">
      <c r="A13112" s="380" t="s">
        <v>13986</v>
      </c>
      <c r="B13112" s="380" t="str">
        <f>IFERROR(__xludf.DUMMYFUNCTION("""COMPUTED_VALUE"""),"SOP Der Conexion Bomper FT 4269 H4831023")</f>
        <v>SOP Der Conexion Bomper FT 4269 H4831023</v>
      </c>
      <c r="C13112" s="380" t="str">
        <f>IFERROR(__xludf.DUMMYFUNCTION("""COMPUTED_VALUE"""),"70008584")</f>
        <v>70008584</v>
      </c>
      <c r="D13112" s="380" t="s">
        <v>767</v>
      </c>
      <c r="E13112" s="380" t="s">
        <v>786</v>
      </c>
      <c r="F13112" s="380" t="s">
        <v>792</v>
      </c>
      <c r="G13112" s="380" t="s">
        <v>1267</v>
      </c>
      <c r="H13112" s="380" t="s">
        <v>771</v>
      </c>
      <c r="I13112" s="380" t="s">
        <v>788</v>
      </c>
      <c r="J13112" s="380" t="s">
        <v>773</v>
      </c>
      <c r="K13112" s="381">
        <v>0.0</v>
      </c>
      <c r="L13112" s="382">
        <v>1.0</v>
      </c>
    </row>
    <row r="13113">
      <c r="A13113" s="380" t="s">
        <v>13987</v>
      </c>
      <c r="B13113" s="380" t="str">
        <f>IFERROR(__xludf.DUMMYFUNCTION("""COMPUTED_VALUE"""),"Estribo CAB Inf Der FT 4269 H4845010801a")</f>
        <v>Estribo CAB Inf Der FT 4269 H4845010801a</v>
      </c>
      <c r="C13113" s="380" t="str">
        <f>IFERROR(__xludf.DUMMYFUNCTION("""COMPUTED_VALUE"""),"70008585")</f>
        <v>70008585</v>
      </c>
      <c r="D13113" s="380" t="s">
        <v>767</v>
      </c>
      <c r="E13113" s="380" t="s">
        <v>786</v>
      </c>
      <c r="F13113" s="380" t="s">
        <v>792</v>
      </c>
      <c r="G13113" s="380" t="s">
        <v>1267</v>
      </c>
      <c r="H13113" s="380" t="s">
        <v>771</v>
      </c>
      <c r="I13113" s="380" t="s">
        <v>788</v>
      </c>
      <c r="J13113" s="380" t="s">
        <v>773</v>
      </c>
      <c r="K13113" s="381">
        <v>0.0</v>
      </c>
      <c r="L13113" s="382">
        <v>1.0</v>
      </c>
    </row>
    <row r="13114">
      <c r="A13114" s="380" t="s">
        <v>13988</v>
      </c>
      <c r="B13114" s="380" t="str">
        <f>IFERROR(__xludf.DUMMYFUNCTION("""COMPUTED_VALUE"""),"Puntera Der Inf Bomper FT 4269 H48310122")</f>
        <v>Puntera Der Inf Bomper FT 4269 H48310122</v>
      </c>
      <c r="C13114" s="380" t="str">
        <f>IFERROR(__xludf.DUMMYFUNCTION("""COMPUTED_VALUE"""),"70008586")</f>
        <v>70008586</v>
      </c>
      <c r="D13114" s="380" t="s">
        <v>767</v>
      </c>
      <c r="E13114" s="380" t="s">
        <v>786</v>
      </c>
      <c r="F13114" s="380" t="s">
        <v>792</v>
      </c>
      <c r="G13114" s="380" t="s">
        <v>1267</v>
      </c>
      <c r="H13114" s="380" t="s">
        <v>771</v>
      </c>
      <c r="I13114" s="380" t="s">
        <v>788</v>
      </c>
      <c r="J13114" s="380" t="s">
        <v>773</v>
      </c>
      <c r="K13114" s="381">
        <v>0.0</v>
      </c>
      <c r="L13114" s="382">
        <v>1.0</v>
      </c>
    </row>
    <row r="13115">
      <c r="A13115" s="380" t="s">
        <v>13989</v>
      </c>
      <c r="B13115" s="380" t="str">
        <f>IFERROR(__xludf.DUMMYFUNCTION("""COMPUTED_VALUE"""),"Puntera Der Sup Bomper FT 4269 H48310105")</f>
        <v>Puntera Der Sup Bomper FT 4269 H48310105</v>
      </c>
      <c r="C13115" s="380" t="str">
        <f>IFERROR(__xludf.DUMMYFUNCTION("""COMPUTED_VALUE"""),"70008587")</f>
        <v>70008587</v>
      </c>
      <c r="D13115" s="380" t="s">
        <v>767</v>
      </c>
      <c r="E13115" s="380" t="s">
        <v>786</v>
      </c>
      <c r="F13115" s="380" t="s">
        <v>792</v>
      </c>
      <c r="G13115" s="380" t="s">
        <v>1267</v>
      </c>
      <c r="H13115" s="380" t="s">
        <v>771</v>
      </c>
      <c r="I13115" s="380" t="s">
        <v>788</v>
      </c>
      <c r="J13115" s="380" t="s">
        <v>773</v>
      </c>
      <c r="K13115" s="381">
        <v>0.0</v>
      </c>
      <c r="L13115" s="382">
        <v>1.0</v>
      </c>
    </row>
    <row r="13116">
      <c r="A13116" s="380" t="s">
        <v>13990</v>
      </c>
      <c r="B13116" s="380" t="str">
        <f>IFERROR(__xludf.DUMMYFUNCTION("""COMPUTED_VALUE"""),"INTruptor CTRL Luces Daf Cf 480 2188714")</f>
        <v>INTruptor CTRL Luces Daf Cf 480 2188714</v>
      </c>
      <c r="C13116" s="380" t="str">
        <f>IFERROR(__xludf.DUMMYFUNCTION("""COMPUTED_VALUE"""),"70008588")</f>
        <v>70008588</v>
      </c>
      <c r="D13116" s="380" t="s">
        <v>767</v>
      </c>
      <c r="E13116" s="380" t="s">
        <v>786</v>
      </c>
      <c r="F13116" s="380" t="s">
        <v>998</v>
      </c>
      <c r="G13116" s="380" t="s">
        <v>1267</v>
      </c>
      <c r="H13116" s="380" t="s">
        <v>771</v>
      </c>
      <c r="I13116" s="380" t="s">
        <v>788</v>
      </c>
      <c r="J13116" s="380" t="s">
        <v>773</v>
      </c>
      <c r="K13116" s="381">
        <v>0.0</v>
      </c>
      <c r="L13116" s="382">
        <v>1.0</v>
      </c>
    </row>
    <row r="13117">
      <c r="A13117" s="380" t="s">
        <v>13991</v>
      </c>
      <c r="B13117" s="380" t="str">
        <f>IFERROR(__xludf.DUMMYFUNCTION("""COMPUTED_VALUE"""),"Retrovisor Izq Completo KW T660 330-200-")</f>
        <v>Retrovisor Izq Completo KW T660 330-200-</v>
      </c>
      <c r="C13117" s="380" t="str">
        <f>IFERROR(__xludf.DUMMYFUNCTION("""COMPUTED_VALUE"""),"70008589")</f>
        <v>70008589</v>
      </c>
      <c r="D13117" s="380" t="s">
        <v>767</v>
      </c>
      <c r="E13117" s="380" t="s">
        <v>786</v>
      </c>
      <c r="F13117" s="380" t="s">
        <v>792</v>
      </c>
      <c r="G13117" s="380" t="s">
        <v>1267</v>
      </c>
      <c r="H13117" s="380" t="s">
        <v>771</v>
      </c>
      <c r="I13117" s="380" t="s">
        <v>788</v>
      </c>
      <c r="J13117" s="380" t="s">
        <v>773</v>
      </c>
      <c r="K13117" s="381">
        <v>0.0</v>
      </c>
      <c r="L13117" s="382">
        <v>1.0</v>
      </c>
    </row>
    <row r="13118">
      <c r="A13118" s="380" t="s">
        <v>13992</v>
      </c>
      <c r="B13118" s="380" t="str">
        <f>IFERROR(__xludf.DUMMYFUNCTION("""COMPUTED_VALUE"""),"Perno RDA TRAS FT Bj4269 10081740")</f>
        <v>Perno RDA TRAS FT Bj4269 10081740</v>
      </c>
      <c r="C13118" s="380" t="str">
        <f>IFERROR(__xludf.DUMMYFUNCTION("""COMPUTED_VALUE"""),"70008590")</f>
        <v>70008590</v>
      </c>
      <c r="D13118" s="380" t="s">
        <v>767</v>
      </c>
      <c r="E13118" s="380" t="s">
        <v>786</v>
      </c>
      <c r="F13118" s="380" t="s">
        <v>1039</v>
      </c>
      <c r="G13118" s="380" t="s">
        <v>1267</v>
      </c>
      <c r="H13118" s="380" t="s">
        <v>771</v>
      </c>
      <c r="I13118" s="380" t="s">
        <v>788</v>
      </c>
      <c r="J13118" s="380" t="s">
        <v>773</v>
      </c>
      <c r="K13118" s="381">
        <v>0.0</v>
      </c>
      <c r="L13118" s="382">
        <v>1.0</v>
      </c>
    </row>
    <row r="13119">
      <c r="A13119" s="380" t="s">
        <v>13993</v>
      </c>
      <c r="B13119" s="380" t="str">
        <f>IFERROR(__xludf.DUMMYFUNCTION("""COMPUTED_VALUE"""),"Perno RDA DEL FT Bj4269 Qt65cq69-3103051")</f>
        <v>Perno RDA DEL FT Bj4269 Qt65cq69-3103051</v>
      </c>
      <c r="C13119" s="380" t="str">
        <f>IFERROR(__xludf.DUMMYFUNCTION("""COMPUTED_VALUE"""),"70008591")</f>
        <v>70008591</v>
      </c>
      <c r="D13119" s="380" t="s">
        <v>767</v>
      </c>
      <c r="E13119" s="380" t="s">
        <v>786</v>
      </c>
      <c r="F13119" s="380" t="s">
        <v>1039</v>
      </c>
      <c r="G13119" s="380" t="s">
        <v>1267</v>
      </c>
      <c r="H13119" s="380" t="s">
        <v>771</v>
      </c>
      <c r="I13119" s="380" t="s">
        <v>788</v>
      </c>
      <c r="J13119" s="380" t="s">
        <v>773</v>
      </c>
      <c r="K13119" s="381">
        <v>0.0</v>
      </c>
      <c r="L13119" s="382">
        <v>1.0</v>
      </c>
    </row>
    <row r="13120">
      <c r="A13120" s="380" t="s">
        <v>13994</v>
      </c>
      <c r="B13120" s="380" t="str">
        <f>IFERROR(__xludf.DUMMYFUNCTION("""COMPUTED_VALUE"""),"Solenoide Motor Foton Mv5")</f>
        <v>Solenoide Motor Foton Mv5</v>
      </c>
      <c r="C13120" s="380" t="str">
        <f>IFERROR(__xludf.DUMMYFUNCTION("""COMPUTED_VALUE"""),"70008592")</f>
        <v>70008592</v>
      </c>
      <c r="D13120" s="380" t="s">
        <v>767</v>
      </c>
      <c r="E13120" s="380" t="s">
        <v>786</v>
      </c>
      <c r="F13120" s="380" t="s">
        <v>787</v>
      </c>
      <c r="G13120" s="380" t="s">
        <v>1267</v>
      </c>
      <c r="H13120" s="380" t="s">
        <v>771</v>
      </c>
      <c r="I13120" s="380" t="s">
        <v>788</v>
      </c>
      <c r="J13120" s="380" t="s">
        <v>773</v>
      </c>
      <c r="K13120" s="381">
        <v>0.0</v>
      </c>
      <c r="L13120" s="382">
        <v>1.0</v>
      </c>
    </row>
    <row r="13121">
      <c r="A13121" s="380" t="s">
        <v>13995</v>
      </c>
      <c r="B13121" s="380" t="str">
        <f>IFERROR(__xludf.DUMMYFUNCTION("""COMPUTED_VALUE"""),"Tubo Respiradero Admision FT Mv5 7705946")</f>
        <v>Tubo Respiradero Admision FT Mv5 7705946</v>
      </c>
      <c r="C13121" s="380" t="str">
        <f>IFERROR(__xludf.DUMMYFUNCTION("""COMPUTED_VALUE"""),"70008593")</f>
        <v>70008593</v>
      </c>
      <c r="D13121" s="380" t="s">
        <v>767</v>
      </c>
      <c r="E13121" s="380" t="s">
        <v>786</v>
      </c>
      <c r="F13121" s="380" t="s">
        <v>787</v>
      </c>
      <c r="G13121" s="380" t="s">
        <v>1267</v>
      </c>
      <c r="H13121" s="380" t="s">
        <v>771</v>
      </c>
      <c r="I13121" s="380" t="s">
        <v>788</v>
      </c>
      <c r="J13121" s="380" t="s">
        <v>773</v>
      </c>
      <c r="K13121" s="381">
        <v>0.0</v>
      </c>
      <c r="L13121" s="382">
        <v>1.0</v>
      </c>
    </row>
    <row r="13122">
      <c r="A13122" s="380" t="s">
        <v>13996</v>
      </c>
      <c r="B13122" s="380" t="str">
        <f>IFERROR(__xludf.DUMMYFUNCTION("""COMPUTED_VALUE"""),"MANG Respiradero MOT FT Mv5 770594601575")</f>
        <v>MANG Respiradero MOT FT Mv5 770594601575</v>
      </c>
      <c r="C13122" s="380" t="str">
        <f>IFERROR(__xludf.DUMMYFUNCTION("""COMPUTED_VALUE"""),"70008594")</f>
        <v>70008594</v>
      </c>
      <c r="D13122" s="380" t="s">
        <v>767</v>
      </c>
      <c r="E13122" s="380" t="s">
        <v>786</v>
      </c>
      <c r="F13122" s="380" t="s">
        <v>787</v>
      </c>
      <c r="G13122" s="380" t="s">
        <v>1267</v>
      </c>
      <c r="H13122" s="380" t="s">
        <v>771</v>
      </c>
      <c r="I13122" s="380" t="s">
        <v>788</v>
      </c>
      <c r="J13122" s="380" t="s">
        <v>773</v>
      </c>
      <c r="K13122" s="381">
        <v>0.0</v>
      </c>
      <c r="L13122" s="382">
        <v>1.0</v>
      </c>
    </row>
    <row r="13123">
      <c r="A13123" s="380" t="s">
        <v>13997</v>
      </c>
      <c r="B13123" s="380" t="str">
        <f>IFERROR(__xludf.DUMMYFUNCTION("""COMPUTED_VALUE"""),"Compresor Aire Motor X15 Reparado")</f>
        <v>Compresor Aire Motor X15 Reparado</v>
      </c>
      <c r="C13123" s="380" t="str">
        <f>IFERROR(__xludf.DUMMYFUNCTION("""COMPUTED_VALUE"""),"70008595")</f>
        <v>70008595</v>
      </c>
      <c r="D13123" s="380" t="s">
        <v>767</v>
      </c>
      <c r="E13123" s="380" t="s">
        <v>786</v>
      </c>
      <c r="F13123" s="380" t="s">
        <v>787</v>
      </c>
      <c r="G13123" s="380" t="s">
        <v>1267</v>
      </c>
      <c r="H13123" s="380" t="s">
        <v>771</v>
      </c>
      <c r="I13123" s="380" t="s">
        <v>788</v>
      </c>
      <c r="J13123" s="380" t="s">
        <v>773</v>
      </c>
      <c r="K13123" s="381">
        <v>0.0</v>
      </c>
      <c r="L13123" s="382">
        <v>1.0</v>
      </c>
    </row>
    <row r="13124">
      <c r="A13124" s="380" t="s">
        <v>13998</v>
      </c>
      <c r="B13124" s="380" t="str">
        <f>IFERROR(__xludf.DUMMYFUNCTION("""COMPUTED_VALUE"""),"Espejo Retrovisor Der Completo FT 4269 H")</f>
        <v>Espejo Retrovisor Der Completo FT 4269 H</v>
      </c>
      <c r="C13124" s="380" t="str">
        <f>IFERROR(__xludf.DUMMYFUNCTION("""COMPUTED_VALUE"""),"70008596")</f>
        <v>70008596</v>
      </c>
      <c r="D13124" s="380" t="s">
        <v>767</v>
      </c>
      <c r="E13124" s="380" t="s">
        <v>786</v>
      </c>
      <c r="F13124" s="380" t="s">
        <v>792</v>
      </c>
      <c r="G13124" s="380" t="s">
        <v>1267</v>
      </c>
      <c r="H13124" s="380" t="s">
        <v>771</v>
      </c>
      <c r="I13124" s="380" t="s">
        <v>788</v>
      </c>
      <c r="J13124" s="380" t="s">
        <v>773</v>
      </c>
      <c r="K13124" s="381">
        <v>0.0</v>
      </c>
      <c r="L13124" s="382">
        <v>1.0</v>
      </c>
    </row>
    <row r="13125">
      <c r="A13125" s="380" t="s">
        <v>13999</v>
      </c>
      <c r="B13125" s="380" t="str">
        <f>IFERROR(__xludf.DUMMYFUNCTION("""COMPUTED_VALUE"""),"Pared Lateral Der FT 1128 7700149136594")</f>
        <v>Pared Lateral Der FT 1128 7700149136594</v>
      </c>
      <c r="C13125" s="380" t="str">
        <f>IFERROR(__xludf.DUMMYFUNCTION("""COMPUTED_VALUE"""),"70008597")</f>
        <v>70008597</v>
      </c>
      <c r="D13125" s="380" t="s">
        <v>767</v>
      </c>
      <c r="E13125" s="380" t="s">
        <v>786</v>
      </c>
      <c r="F13125" s="380" t="s">
        <v>792</v>
      </c>
      <c r="G13125" s="380" t="s">
        <v>1267</v>
      </c>
      <c r="H13125" s="380" t="s">
        <v>771</v>
      </c>
      <c r="I13125" s="380" t="s">
        <v>788</v>
      </c>
      <c r="J13125" s="380" t="s">
        <v>773</v>
      </c>
      <c r="K13125" s="381">
        <v>0.0</v>
      </c>
      <c r="L13125" s="382">
        <v>1.0</v>
      </c>
    </row>
    <row r="13126">
      <c r="A13126" s="380" t="s">
        <v>14000</v>
      </c>
      <c r="B13126" s="380" t="str">
        <f>IFERROR(__xludf.DUMMYFUNCTION("""COMPUTED_VALUE"""),"Filtro Urea Foton 4269 Fltfdef106")</f>
        <v>Filtro Urea Foton 4269 Fltfdef106</v>
      </c>
      <c r="C13126" s="380" t="str">
        <f>IFERROR(__xludf.DUMMYFUNCTION("""COMPUTED_VALUE"""),"70008598")</f>
        <v>70008598</v>
      </c>
      <c r="D13126" s="380" t="s">
        <v>767</v>
      </c>
      <c r="E13126" s="380" t="s">
        <v>786</v>
      </c>
      <c r="F13126" s="380" t="s">
        <v>5855</v>
      </c>
      <c r="G13126" s="380" t="s">
        <v>1267</v>
      </c>
      <c r="H13126" s="380" t="s">
        <v>771</v>
      </c>
      <c r="I13126" s="380" t="s">
        <v>788</v>
      </c>
      <c r="J13126" s="380" t="s">
        <v>773</v>
      </c>
      <c r="K13126" s="381">
        <v>0.0</v>
      </c>
      <c r="L13126" s="382">
        <v>1.0</v>
      </c>
    </row>
    <row r="13127">
      <c r="A13127" s="380" t="s">
        <v>14001</v>
      </c>
      <c r="B13127" s="380" t="str">
        <f>IFERROR(__xludf.DUMMYFUNCTION("""COMPUTED_VALUE"""),"Filtro Sensor Urea Foton 4269 A059s482")</f>
        <v>Filtro Sensor Urea Foton 4269 A059s482</v>
      </c>
      <c r="C13127" s="380" t="str">
        <f>IFERROR(__xludf.DUMMYFUNCTION("""COMPUTED_VALUE"""),"70008599")</f>
        <v>70008599</v>
      </c>
      <c r="D13127" s="380" t="s">
        <v>767</v>
      </c>
      <c r="E13127" s="380" t="s">
        <v>786</v>
      </c>
      <c r="F13127" s="380" t="s">
        <v>5855</v>
      </c>
      <c r="G13127" s="380" t="s">
        <v>1267</v>
      </c>
      <c r="H13127" s="380" t="s">
        <v>771</v>
      </c>
      <c r="I13127" s="380" t="s">
        <v>788</v>
      </c>
      <c r="J13127" s="380" t="s">
        <v>773</v>
      </c>
      <c r="K13127" s="381">
        <v>0.0</v>
      </c>
      <c r="L13127" s="382">
        <v>1.0</v>
      </c>
    </row>
    <row r="13128">
      <c r="A13128" s="380" t="s">
        <v>14002</v>
      </c>
      <c r="B13128" s="380" t="str">
        <f>IFERROR(__xludf.DUMMYFUNCTION("""COMPUTED_VALUE"""),"Protector INF Farola Der FT 4269 H483101")</f>
        <v>Protector INF Farola Der FT 4269 H483101</v>
      </c>
      <c r="C13128" s="380" t="str">
        <f>IFERROR(__xludf.DUMMYFUNCTION("""COMPUTED_VALUE"""),"70008600")</f>
        <v>70008600</v>
      </c>
      <c r="D13128" s="380" t="s">
        <v>767</v>
      </c>
      <c r="E13128" s="380" t="s">
        <v>786</v>
      </c>
      <c r="F13128" s="380" t="s">
        <v>792</v>
      </c>
      <c r="G13128" s="380" t="s">
        <v>1267</v>
      </c>
      <c r="H13128" s="380" t="s">
        <v>771</v>
      </c>
      <c r="I13128" s="380" t="s">
        <v>788</v>
      </c>
      <c r="J13128" s="380" t="s">
        <v>773</v>
      </c>
      <c r="K13128" s="381">
        <v>0.0</v>
      </c>
      <c r="L13128" s="382">
        <v>1.0</v>
      </c>
    </row>
    <row r="13129">
      <c r="A13129" s="380" t="s">
        <v>14003</v>
      </c>
      <c r="B13129" s="380" t="str">
        <f>IFERROR(__xludf.DUMMYFUNCTION("""COMPUTED_VALUE"""),"Amortiguador Cabina Mack Anthem 22662259")</f>
        <v>Amortiguador Cabina Mack Anthem 22662259</v>
      </c>
      <c r="C13129" s="380" t="str">
        <f>IFERROR(__xludf.DUMMYFUNCTION("""COMPUTED_VALUE"""),"70008601")</f>
        <v>70008601</v>
      </c>
      <c r="D13129" s="380" t="s">
        <v>767</v>
      </c>
      <c r="E13129" s="380" t="s">
        <v>786</v>
      </c>
      <c r="F13129" s="380" t="s">
        <v>1039</v>
      </c>
      <c r="G13129" s="380" t="s">
        <v>1267</v>
      </c>
      <c r="H13129" s="380" t="s">
        <v>771</v>
      </c>
      <c r="I13129" s="380" t="s">
        <v>788</v>
      </c>
      <c r="J13129" s="380" t="s">
        <v>773</v>
      </c>
      <c r="K13129" s="381">
        <v>393329.0</v>
      </c>
      <c r="L13129" s="382">
        <v>1.0</v>
      </c>
    </row>
    <row r="13130">
      <c r="A13130" s="380" t="s">
        <v>14004</v>
      </c>
      <c r="B13130" s="380" t="str">
        <f>IFERROR(__xludf.DUMMYFUNCTION("""COMPUTED_VALUE"""),"Conjunto Central Bomper Del FT 4269 H483")</f>
        <v>Conjunto Central Bomper Del FT 4269 H483</v>
      </c>
      <c r="C13130" s="380" t="str">
        <f>IFERROR(__xludf.DUMMYFUNCTION("""COMPUTED_VALUE"""),"70008602")</f>
        <v>70008602</v>
      </c>
      <c r="D13130" s="380" t="s">
        <v>767</v>
      </c>
      <c r="E13130" s="380" t="s">
        <v>786</v>
      </c>
      <c r="F13130" s="380" t="s">
        <v>792</v>
      </c>
      <c r="G13130" s="380" t="s">
        <v>1267</v>
      </c>
      <c r="H13130" s="380" t="s">
        <v>771</v>
      </c>
      <c r="I13130" s="380" t="s">
        <v>788</v>
      </c>
      <c r="J13130" s="380" t="s">
        <v>773</v>
      </c>
      <c r="K13130" s="381">
        <v>0.0</v>
      </c>
      <c r="L13130" s="382">
        <v>1.0</v>
      </c>
    </row>
    <row r="13131">
      <c r="A13131" s="380" t="s">
        <v>14005</v>
      </c>
      <c r="B13131" s="380" t="str">
        <f>IFERROR(__xludf.DUMMYFUNCTION("""COMPUTED_VALUE"""),"Exploradora Der Foton 4269 H4364020402a0")</f>
        <v>Exploradora Der Foton 4269 H4364020402a0</v>
      </c>
      <c r="C13131" s="380" t="str">
        <f>IFERROR(__xludf.DUMMYFUNCTION("""COMPUTED_VALUE"""),"70008603")</f>
        <v>70008603</v>
      </c>
      <c r="D13131" s="380" t="s">
        <v>767</v>
      </c>
      <c r="E13131" s="380" t="s">
        <v>786</v>
      </c>
      <c r="F13131" s="380" t="s">
        <v>998</v>
      </c>
      <c r="G13131" s="380" t="s">
        <v>1267</v>
      </c>
      <c r="H13131" s="380" t="s">
        <v>771</v>
      </c>
      <c r="I13131" s="380" t="s">
        <v>788</v>
      </c>
      <c r="J13131" s="380" t="s">
        <v>773</v>
      </c>
      <c r="K13131" s="381">
        <v>0.0</v>
      </c>
      <c r="L13131" s="382">
        <v>1.0</v>
      </c>
    </row>
    <row r="13132">
      <c r="A13132" s="380" t="s">
        <v>14006</v>
      </c>
      <c r="B13132" s="380" t="str">
        <f>IFERROR(__xludf.DUMMYFUNCTION("""COMPUTED_VALUE"""),"Empaques Ajuste Puerta Nknhnpr 95624863")</f>
        <v>Empaques Ajuste Puerta Nknhnpr 95624863</v>
      </c>
      <c r="C13132" s="380" t="str">
        <f>IFERROR(__xludf.DUMMYFUNCTION("""COMPUTED_VALUE"""),"70008604")</f>
        <v>70008604</v>
      </c>
      <c r="D13132" s="380" t="s">
        <v>767</v>
      </c>
      <c r="E13132" s="380" t="s">
        <v>786</v>
      </c>
      <c r="F13132" s="380" t="s">
        <v>792</v>
      </c>
      <c r="G13132" s="380" t="s">
        <v>1267</v>
      </c>
      <c r="H13132" s="380" t="s">
        <v>771</v>
      </c>
      <c r="I13132" s="380" t="s">
        <v>788</v>
      </c>
      <c r="J13132" s="380" t="s">
        <v>773</v>
      </c>
      <c r="K13132" s="381">
        <v>0.0</v>
      </c>
      <c r="L13132" s="382">
        <v>1.0</v>
      </c>
    </row>
    <row r="13133">
      <c r="A13133" s="380" t="s">
        <v>14007</v>
      </c>
      <c r="B13133" s="380" t="str">
        <f>IFERROR(__xludf.DUMMYFUNCTION("""COMPUTED_VALUE"""),"Abrazadera Tubo Escape Egr Daf 1979191")</f>
        <v>Abrazadera Tubo Escape Egr Daf 1979191</v>
      </c>
      <c r="C13133" s="380" t="str">
        <f>IFERROR(__xludf.DUMMYFUNCTION("""COMPUTED_VALUE"""),"70008605")</f>
        <v>70008605</v>
      </c>
      <c r="D13133" s="380" t="s">
        <v>767</v>
      </c>
      <c r="E13133" s="380" t="s">
        <v>786</v>
      </c>
      <c r="F13133" s="380" t="s">
        <v>792</v>
      </c>
      <c r="G13133" s="380" t="s">
        <v>1267</v>
      </c>
      <c r="H13133" s="380" t="s">
        <v>771</v>
      </c>
      <c r="I13133" s="380" t="s">
        <v>788</v>
      </c>
      <c r="J13133" s="380" t="s">
        <v>773</v>
      </c>
      <c r="K13133" s="381">
        <v>0.0</v>
      </c>
      <c r="L13133" s="382">
        <v>1.0</v>
      </c>
    </row>
    <row r="13134">
      <c r="A13134" s="380" t="s">
        <v>14008</v>
      </c>
      <c r="B13134" s="380" t="str">
        <f>IFERROR(__xludf.DUMMYFUNCTION("""COMPUTED_VALUE"""),"Sensor Ckp Foton 1129 7701023230704")</f>
        <v>Sensor Ckp Foton 1129 7701023230704</v>
      </c>
      <c r="C13134" s="380" t="str">
        <f>IFERROR(__xludf.DUMMYFUNCTION("""COMPUTED_VALUE"""),"70008606")</f>
        <v>70008606</v>
      </c>
      <c r="D13134" s="380" t="s">
        <v>767</v>
      </c>
      <c r="E13134" s="380" t="s">
        <v>786</v>
      </c>
      <c r="F13134" s="380" t="s">
        <v>998</v>
      </c>
      <c r="G13134" s="380" t="s">
        <v>1267</v>
      </c>
      <c r="H13134" s="380" t="s">
        <v>771</v>
      </c>
      <c r="I13134" s="380" t="s">
        <v>788</v>
      </c>
      <c r="J13134" s="380" t="s">
        <v>773</v>
      </c>
      <c r="K13134" s="381">
        <v>0.0</v>
      </c>
      <c r="L13134" s="382">
        <v>1.0</v>
      </c>
    </row>
    <row r="13135">
      <c r="A13135" s="380" t="s">
        <v>14009</v>
      </c>
      <c r="B13135" s="380" t="str">
        <f>IFERROR(__xludf.DUMMYFUNCTION("""COMPUTED_VALUE"""),"Bomper Frontal Jac Sunray 2803010r001")</f>
        <v>Bomper Frontal Jac Sunray 2803010r001</v>
      </c>
      <c r="C13135" s="380" t="str">
        <f>IFERROR(__xludf.DUMMYFUNCTION("""COMPUTED_VALUE"""),"70008607")</f>
        <v>70008607</v>
      </c>
      <c r="D13135" s="380" t="s">
        <v>767</v>
      </c>
      <c r="E13135" s="380" t="s">
        <v>786</v>
      </c>
      <c r="F13135" s="380" t="s">
        <v>792</v>
      </c>
      <c r="G13135" s="380" t="s">
        <v>1267</v>
      </c>
      <c r="H13135" s="380" t="s">
        <v>771</v>
      </c>
      <c r="I13135" s="380" t="s">
        <v>788</v>
      </c>
      <c r="J13135" s="380" t="s">
        <v>773</v>
      </c>
      <c r="K13135" s="381">
        <v>0.0</v>
      </c>
      <c r="L13135" s="382">
        <v>1.0</v>
      </c>
    </row>
    <row r="13136">
      <c r="A13136" s="380" t="s">
        <v>14010</v>
      </c>
      <c r="B13136" s="380" t="str">
        <f>IFERROR(__xludf.DUMMYFUNCTION("""COMPUTED_VALUE"""),"Terminal DIR Jac Sunray S34020010-A6")</f>
        <v>Terminal DIR Jac Sunray S34020010-A6</v>
      </c>
      <c r="C13136" s="380" t="str">
        <f>IFERROR(__xludf.DUMMYFUNCTION("""COMPUTED_VALUE"""),"70008608")</f>
        <v>70008608</v>
      </c>
      <c r="D13136" s="380" t="s">
        <v>767</v>
      </c>
      <c r="E13136" s="380" t="s">
        <v>786</v>
      </c>
      <c r="F13136" s="380" t="s">
        <v>998</v>
      </c>
      <c r="G13136" s="380" t="s">
        <v>1267</v>
      </c>
      <c r="H13136" s="380" t="s">
        <v>771</v>
      </c>
      <c r="I13136" s="380" t="s">
        <v>788</v>
      </c>
      <c r="J13136" s="380" t="s">
        <v>773</v>
      </c>
      <c r="K13136" s="381">
        <v>0.0</v>
      </c>
      <c r="L13136" s="382">
        <v>1.0</v>
      </c>
    </row>
    <row r="13137">
      <c r="A13137" s="380" t="s">
        <v>14011</v>
      </c>
      <c r="B13137" s="380" t="str">
        <f>IFERROR(__xludf.DUMMYFUNCTION("""COMPUTED_VALUE"""),"BRR CJ DIR Jac Sunray 3402300r001-01")</f>
        <v>BRR CJ DIR Jac Sunray 3402300r001-01</v>
      </c>
      <c r="C13137" s="380" t="str">
        <f>IFERROR(__xludf.DUMMYFUNCTION("""COMPUTED_VALUE"""),"70008609")</f>
        <v>70008609</v>
      </c>
      <c r="D13137" s="380" t="s">
        <v>767</v>
      </c>
      <c r="E13137" s="380" t="s">
        <v>786</v>
      </c>
      <c r="F13137" s="380" t="s">
        <v>998</v>
      </c>
      <c r="G13137" s="380" t="s">
        <v>1267</v>
      </c>
      <c r="H13137" s="380" t="s">
        <v>771</v>
      </c>
      <c r="I13137" s="380" t="s">
        <v>788</v>
      </c>
      <c r="J13137" s="380" t="s">
        <v>773</v>
      </c>
      <c r="K13137" s="381">
        <v>0.0</v>
      </c>
      <c r="L13137" s="382">
        <v>1.0</v>
      </c>
    </row>
    <row r="13138">
      <c r="A13138" s="380" t="s">
        <v>14012</v>
      </c>
      <c r="B13138" s="380" t="str">
        <f>IFERROR(__xludf.DUMMYFUNCTION("""COMPUTED_VALUE"""),"CIL Freno Del Lh Con Purga FT 1039 77059")</f>
        <v>CIL Freno Del Lh Con Purga FT 1039 77059</v>
      </c>
      <c r="C13138" s="380" t="str">
        <f>IFERROR(__xludf.DUMMYFUNCTION("""COMPUTED_VALUE"""),"70008610")</f>
        <v>70008610</v>
      </c>
      <c r="D13138" s="380" t="s">
        <v>767</v>
      </c>
      <c r="E13138" s="380" t="s">
        <v>786</v>
      </c>
      <c r="F13138" s="380" t="s">
        <v>1017</v>
      </c>
      <c r="G13138" s="380" t="s">
        <v>1267</v>
      </c>
      <c r="H13138" s="380" t="s">
        <v>771</v>
      </c>
      <c r="I13138" s="380" t="s">
        <v>788</v>
      </c>
      <c r="J13138" s="380" t="s">
        <v>773</v>
      </c>
      <c r="K13138" s="381">
        <v>0.0</v>
      </c>
      <c r="L13138" s="382">
        <v>1.0</v>
      </c>
    </row>
    <row r="13139">
      <c r="A13139" s="380" t="s">
        <v>14013</v>
      </c>
      <c r="B13139" s="380" t="str">
        <f>IFERROR(__xludf.DUMMYFUNCTION("""COMPUTED_VALUE"""),"CIL Freno Del Rh Sin Purga FT 1039 77059")</f>
        <v>CIL Freno Del Rh Sin Purga FT 1039 77059</v>
      </c>
      <c r="C13139" s="380" t="str">
        <f>IFERROR(__xludf.DUMMYFUNCTION("""COMPUTED_VALUE"""),"70008611")</f>
        <v>70008611</v>
      </c>
      <c r="D13139" s="380" t="s">
        <v>767</v>
      </c>
      <c r="E13139" s="380" t="s">
        <v>786</v>
      </c>
      <c r="F13139" s="380" t="s">
        <v>1017</v>
      </c>
      <c r="G13139" s="380" t="s">
        <v>1267</v>
      </c>
      <c r="H13139" s="380" t="s">
        <v>771</v>
      </c>
      <c r="I13139" s="380" t="s">
        <v>788</v>
      </c>
      <c r="J13139" s="380" t="s">
        <v>773</v>
      </c>
      <c r="K13139" s="381">
        <v>0.0</v>
      </c>
      <c r="L13139" s="382">
        <v>1.0</v>
      </c>
    </row>
    <row r="13140">
      <c r="A13140" s="380" t="s">
        <v>14014</v>
      </c>
      <c r="B13140" s="380" t="str">
        <f>IFERROR(__xludf.DUMMYFUNCTION("""COMPUTED_VALUE"""),"Zapa Delantera Derecha Prostar 3919613c2")</f>
        <v>Zapa Delantera Derecha Prostar 3919613c2</v>
      </c>
      <c r="C13140" s="380" t="str">
        <f>IFERROR(__xludf.DUMMYFUNCTION("""COMPUTED_VALUE"""),"70008612")</f>
        <v>70008612</v>
      </c>
      <c r="D13140" s="380" t="s">
        <v>767</v>
      </c>
      <c r="E13140" s="380" t="s">
        <v>786</v>
      </c>
      <c r="F13140" s="380" t="s">
        <v>1039</v>
      </c>
      <c r="G13140" s="380" t="s">
        <v>1267</v>
      </c>
      <c r="H13140" s="380" t="s">
        <v>771</v>
      </c>
      <c r="I13140" s="380" t="s">
        <v>788</v>
      </c>
      <c r="J13140" s="380" t="s">
        <v>773</v>
      </c>
      <c r="K13140" s="381">
        <v>3974600.0</v>
      </c>
      <c r="L13140" s="382">
        <v>1.0</v>
      </c>
    </row>
    <row r="13141">
      <c r="A13141" s="380" t="s">
        <v>14015</v>
      </c>
      <c r="B13141" s="380" t="str">
        <f>IFERROR(__xludf.DUMMYFUNCTION("""COMPUTED_VALUE"""),"Zapa DEL IZQ Prostar 3625690c5")</f>
        <v>Zapa DEL IZQ Prostar 3625690c5</v>
      </c>
      <c r="C13141" s="380" t="str">
        <f>IFERROR(__xludf.DUMMYFUNCTION("""COMPUTED_VALUE"""),"70008613")</f>
        <v>70008613</v>
      </c>
      <c r="D13141" s="380" t="s">
        <v>767</v>
      </c>
      <c r="E13141" s="380" t="s">
        <v>786</v>
      </c>
      <c r="F13141" s="380" t="s">
        <v>1039</v>
      </c>
      <c r="G13141" s="380" t="s">
        <v>1267</v>
      </c>
      <c r="H13141" s="380" t="s">
        <v>771</v>
      </c>
      <c r="I13141" s="380" t="s">
        <v>788</v>
      </c>
      <c r="J13141" s="380" t="s">
        <v>773</v>
      </c>
      <c r="K13141" s="381">
        <v>0.0</v>
      </c>
      <c r="L13141" s="382">
        <v>1.0</v>
      </c>
    </row>
    <row r="13142">
      <c r="A13142" s="380" t="s">
        <v>14016</v>
      </c>
      <c r="B13142" s="380" t="str">
        <f>IFERROR(__xludf.DUMMYFUNCTION("""COMPUTED_VALUE"""),"Solenoide Motor Foton Mv5 7705946023245")</f>
        <v>Solenoide Motor Foton Mv5 7705946023245</v>
      </c>
      <c r="C13142" s="380" t="str">
        <f>IFERROR(__xludf.DUMMYFUNCTION("""COMPUTED_VALUE"""),"70008614")</f>
        <v>70008614</v>
      </c>
      <c r="D13142" s="380" t="s">
        <v>767</v>
      </c>
      <c r="E13142" s="380" t="s">
        <v>786</v>
      </c>
      <c r="F13142" s="380" t="s">
        <v>787</v>
      </c>
      <c r="G13142" s="380" t="s">
        <v>1267</v>
      </c>
      <c r="H13142" s="380" t="s">
        <v>771</v>
      </c>
      <c r="I13142" s="380" t="s">
        <v>788</v>
      </c>
      <c r="J13142" s="380" t="s">
        <v>773</v>
      </c>
      <c r="K13142" s="381">
        <v>0.0</v>
      </c>
      <c r="L13142" s="382">
        <v>1.0</v>
      </c>
    </row>
    <row r="13143">
      <c r="A13143" s="380" t="s">
        <v>14017</v>
      </c>
      <c r="B13143" s="380" t="str">
        <f>IFERROR(__xludf.DUMMYFUNCTION("""COMPUTED_VALUE"""),"Catalizador Chevrolet Nkriii 898118541")</f>
        <v>Catalizador Chevrolet Nkriii 898118541</v>
      </c>
      <c r="C13143" s="380" t="str">
        <f>IFERROR(__xludf.DUMMYFUNCTION("""COMPUTED_VALUE"""),"70008615")</f>
        <v>70008615</v>
      </c>
      <c r="D13143" s="380" t="s">
        <v>767</v>
      </c>
      <c r="E13143" s="380" t="s">
        <v>786</v>
      </c>
      <c r="F13143" s="380" t="s">
        <v>787</v>
      </c>
      <c r="G13143" s="380" t="s">
        <v>1267</v>
      </c>
      <c r="H13143" s="380" t="s">
        <v>771</v>
      </c>
      <c r="I13143" s="380" t="s">
        <v>788</v>
      </c>
      <c r="J13143" s="380" t="s">
        <v>773</v>
      </c>
      <c r="K13143" s="381">
        <v>0.0</v>
      </c>
      <c r="L13143" s="382">
        <v>1.0</v>
      </c>
    </row>
    <row r="13144">
      <c r="A13144" s="380" t="s">
        <v>14018</v>
      </c>
      <c r="B13144" s="380" t="str">
        <f>IFERROR(__xludf.DUMMYFUNCTION("""COMPUTED_VALUE"""),"Grapa Muelle 7/8x5x17 Trailer")</f>
        <v>Grapa Muelle 7/8x5x17 Trailer</v>
      </c>
      <c r="C13144" s="380" t="str">
        <f>IFERROR(__xludf.DUMMYFUNCTION("""COMPUTED_VALUE"""),"70008616")</f>
        <v>70008616</v>
      </c>
      <c r="D13144" s="380" t="s">
        <v>767</v>
      </c>
      <c r="E13144" s="380" t="s">
        <v>786</v>
      </c>
      <c r="F13144" s="380" t="s">
        <v>1039</v>
      </c>
      <c r="G13144" s="380" t="s">
        <v>1267</v>
      </c>
      <c r="H13144" s="380" t="s">
        <v>771</v>
      </c>
      <c r="I13144" s="380" t="s">
        <v>788</v>
      </c>
      <c r="J13144" s="380" t="s">
        <v>773</v>
      </c>
      <c r="K13144" s="381">
        <v>0.0</v>
      </c>
      <c r="L13144" s="382">
        <v>1.0</v>
      </c>
    </row>
    <row r="13145">
      <c r="A13145" s="380" t="s">
        <v>14019</v>
      </c>
      <c r="B13145" s="380" t="str">
        <f>IFERROR(__xludf.DUMMYFUNCTION("""COMPUTED_VALUE"""),"Tuerca Perno RDA TRAS FT Bj4269 H4311000")</f>
        <v>Tuerca Perno RDA TRAS FT Bj4269 H4311000</v>
      </c>
      <c r="C13145" s="380" t="str">
        <f>IFERROR(__xludf.DUMMYFUNCTION("""COMPUTED_VALUE"""),"70008617")</f>
        <v>70008617</v>
      </c>
      <c r="D13145" s="380" t="s">
        <v>767</v>
      </c>
      <c r="E13145" s="380" t="s">
        <v>786</v>
      </c>
      <c r="F13145" s="380" t="s">
        <v>1039</v>
      </c>
      <c r="G13145" s="380" t="s">
        <v>1267</v>
      </c>
      <c r="H13145" s="380" t="s">
        <v>771</v>
      </c>
      <c r="I13145" s="380" t="s">
        <v>788</v>
      </c>
      <c r="J13145" s="380" t="s">
        <v>773</v>
      </c>
      <c r="K13145" s="381">
        <v>0.0</v>
      </c>
      <c r="L13145" s="382">
        <v>1.0</v>
      </c>
    </row>
    <row r="13146">
      <c r="A13146" s="380" t="s">
        <v>14020</v>
      </c>
      <c r="B13146" s="380" t="str">
        <f>IFERROR(__xludf.DUMMYFUNCTION("""COMPUTED_VALUE"""),"Tuerca Perno RDA DEL FT Bj4269 H43110000")</f>
        <v>Tuerca Perno RDA DEL FT Bj4269 H43110000</v>
      </c>
      <c r="C13146" s="380" t="str">
        <f>IFERROR(__xludf.DUMMYFUNCTION("""COMPUTED_VALUE"""),"70008618")</f>
        <v>70008618</v>
      </c>
      <c r="D13146" s="380" t="s">
        <v>767</v>
      </c>
      <c r="E13146" s="380" t="s">
        <v>786</v>
      </c>
      <c r="F13146" s="380" t="s">
        <v>1039</v>
      </c>
      <c r="G13146" s="380" t="s">
        <v>1267</v>
      </c>
      <c r="H13146" s="380" t="s">
        <v>771</v>
      </c>
      <c r="I13146" s="380" t="s">
        <v>788</v>
      </c>
      <c r="J13146" s="380" t="s">
        <v>773</v>
      </c>
      <c r="K13146" s="381">
        <v>0.0</v>
      </c>
      <c r="L13146" s="382">
        <v>1.0</v>
      </c>
    </row>
    <row r="13147">
      <c r="A13147" s="380" t="s">
        <v>14021</v>
      </c>
      <c r="B13147" s="380" t="str">
        <f>IFERROR(__xludf.DUMMYFUNCTION("""COMPUTED_VALUE"""),"Correa Sujecion TANQ COMB FT Bj4269 H411")</f>
        <v>Correa Sujecion TANQ COMB FT Bj4269 H411</v>
      </c>
      <c r="C13147" s="380" t="str">
        <f>IFERROR(__xludf.DUMMYFUNCTION("""COMPUTED_VALUE"""),"70008619")</f>
        <v>70008619</v>
      </c>
      <c r="D13147" s="380" t="s">
        <v>767</v>
      </c>
      <c r="E13147" s="380" t="s">
        <v>786</v>
      </c>
      <c r="F13147" s="380" t="s">
        <v>792</v>
      </c>
      <c r="G13147" s="380" t="s">
        <v>1267</v>
      </c>
      <c r="H13147" s="380" t="s">
        <v>771</v>
      </c>
      <c r="I13147" s="380" t="s">
        <v>788</v>
      </c>
      <c r="J13147" s="380" t="s">
        <v>773</v>
      </c>
      <c r="K13147" s="381">
        <v>156556.0</v>
      </c>
      <c r="L13147" s="382">
        <v>1.0</v>
      </c>
    </row>
    <row r="13148">
      <c r="A13148" s="380" t="s">
        <v>14022</v>
      </c>
      <c r="B13148" s="380" t="str">
        <f>IFERROR(__xludf.DUMMYFUNCTION("""COMPUTED_VALUE"""),"Modulo Ecu Motor Hino 500 89661-E0010")</f>
        <v>Modulo Ecu Motor Hino 500 89661-E0010</v>
      </c>
      <c r="C13148" s="380" t="str">
        <f>IFERROR(__xludf.DUMMYFUNCTION("""COMPUTED_VALUE"""),"70008620")</f>
        <v>70008620</v>
      </c>
      <c r="D13148" s="380" t="s">
        <v>767</v>
      </c>
      <c r="E13148" s="380" t="s">
        <v>786</v>
      </c>
      <c r="F13148" s="380" t="s">
        <v>998</v>
      </c>
      <c r="G13148" s="380" t="s">
        <v>1267</v>
      </c>
      <c r="H13148" s="380" t="s">
        <v>771</v>
      </c>
      <c r="I13148" s="380" t="s">
        <v>788</v>
      </c>
      <c r="J13148" s="380" t="s">
        <v>773</v>
      </c>
      <c r="K13148" s="381">
        <v>0.0</v>
      </c>
      <c r="L13148" s="382">
        <v>1.0</v>
      </c>
    </row>
    <row r="13149">
      <c r="A13149" s="380" t="s">
        <v>14023</v>
      </c>
      <c r="B13149" s="380" t="str">
        <f>IFERROR(__xludf.DUMMYFUNCTION("""COMPUTED_VALUE"""),"Lampara Stop DER Jac Qx500 4133200y8010")</f>
        <v>Lampara Stop DER Jac Qx500 4133200y8010</v>
      </c>
      <c r="C13149" s="380" t="str">
        <f>IFERROR(__xludf.DUMMYFUNCTION("""COMPUTED_VALUE"""),"70008621")</f>
        <v>70008621</v>
      </c>
      <c r="D13149" s="380" t="s">
        <v>767</v>
      </c>
      <c r="E13149" s="380" t="s">
        <v>786</v>
      </c>
      <c r="F13149" s="380" t="s">
        <v>998</v>
      </c>
      <c r="G13149" s="380" t="s">
        <v>1267</v>
      </c>
      <c r="H13149" s="380" t="s">
        <v>771</v>
      </c>
      <c r="I13149" s="380" t="s">
        <v>788</v>
      </c>
      <c r="J13149" s="380" t="s">
        <v>773</v>
      </c>
      <c r="K13149" s="381">
        <v>0.0</v>
      </c>
      <c r="L13149" s="382">
        <v>1.0</v>
      </c>
    </row>
    <row r="13150">
      <c r="A13150" s="380" t="s">
        <v>14024</v>
      </c>
      <c r="B13150" s="380" t="str">
        <f>IFERROR(__xludf.DUMMYFUNCTION("""COMPUTED_VALUE"""),"Bateria Duncan Para Montacarga ELEC 24-S")</f>
        <v>Bateria Duncan Para Montacarga ELEC 24-S</v>
      </c>
      <c r="C13150" s="380" t="str">
        <f>IFERROR(__xludf.DUMMYFUNCTION("""COMPUTED_VALUE"""),"70008622")</f>
        <v>70008622</v>
      </c>
      <c r="D13150" s="380" t="s">
        <v>767</v>
      </c>
      <c r="E13150" s="380" t="s">
        <v>786</v>
      </c>
      <c r="F13150" s="380" t="s">
        <v>998</v>
      </c>
      <c r="G13150" s="380" t="s">
        <v>1267</v>
      </c>
      <c r="H13150" s="380" t="s">
        <v>771</v>
      </c>
      <c r="I13150" s="380" t="s">
        <v>788</v>
      </c>
      <c r="J13150" s="380" t="s">
        <v>773</v>
      </c>
      <c r="K13150" s="381">
        <v>0.0</v>
      </c>
      <c r="L13150" s="382">
        <v>1.0</v>
      </c>
    </row>
    <row r="13151">
      <c r="A13151" s="380" t="s">
        <v>14025</v>
      </c>
      <c r="B13151" s="380" t="str">
        <f>IFERROR(__xludf.DUMMYFUNCTION("""COMPUTED_VALUE"""),"Kit VALV + Inyector Urea MCK Anthem 2164")</f>
        <v>Kit VALV + Inyector Urea MCK Anthem 2164</v>
      </c>
      <c r="C13151" s="380" t="str">
        <f>IFERROR(__xludf.DUMMYFUNCTION("""COMPUTED_VALUE"""),"70008623")</f>
        <v>70008623</v>
      </c>
      <c r="D13151" s="380" t="s">
        <v>767</v>
      </c>
      <c r="E13151" s="380" t="s">
        <v>786</v>
      </c>
      <c r="F13151" s="380" t="s">
        <v>787</v>
      </c>
      <c r="G13151" s="380" t="s">
        <v>1267</v>
      </c>
      <c r="H13151" s="380" t="s">
        <v>771</v>
      </c>
      <c r="I13151" s="380" t="s">
        <v>788</v>
      </c>
      <c r="J13151" s="380" t="s">
        <v>773</v>
      </c>
      <c r="K13151" s="381">
        <v>0.0</v>
      </c>
      <c r="L13151" s="382">
        <v>1.0</v>
      </c>
    </row>
    <row r="13152">
      <c r="A13152" s="380" t="s">
        <v>14026</v>
      </c>
      <c r="B13152" s="380" t="str">
        <f>IFERROR(__xludf.DUMMYFUNCTION("""COMPUTED_VALUE"""),"Stop Superior PTA Tras FT Mv5 7705946041")</f>
        <v>Stop Superior PTA Tras FT Mv5 7705946041</v>
      </c>
      <c r="C13152" s="380" t="str">
        <f>IFERROR(__xludf.DUMMYFUNCTION("""COMPUTED_VALUE"""),"70008624")</f>
        <v>70008624</v>
      </c>
      <c r="D13152" s="380" t="s">
        <v>767</v>
      </c>
      <c r="E13152" s="380" t="s">
        <v>786</v>
      </c>
      <c r="F13152" s="380" t="s">
        <v>998</v>
      </c>
      <c r="G13152" s="380" t="s">
        <v>1267</v>
      </c>
      <c r="H13152" s="380" t="s">
        <v>771</v>
      </c>
      <c r="I13152" s="380" t="s">
        <v>788</v>
      </c>
      <c r="J13152" s="380" t="s">
        <v>773</v>
      </c>
      <c r="K13152" s="381">
        <v>0.0</v>
      </c>
      <c r="L13152" s="382">
        <v>1.0</v>
      </c>
    </row>
    <row r="13153">
      <c r="A13153" s="380" t="s">
        <v>14027</v>
      </c>
      <c r="B13153" s="380" t="str">
        <f>IFERROR(__xludf.DUMMYFUNCTION("""COMPUTED_VALUE"""),"Reten Tras Cigueñal FT 1039 770102316559")</f>
        <v>Reten Tras Cigueñal FT 1039 770102316559</v>
      </c>
      <c r="C13153" s="380" t="str">
        <f>IFERROR(__xludf.DUMMYFUNCTION("""COMPUTED_VALUE"""),"70008625")</f>
        <v>70008625</v>
      </c>
      <c r="D13153" s="380" t="s">
        <v>767</v>
      </c>
      <c r="E13153" s="380" t="s">
        <v>786</v>
      </c>
      <c r="F13153" s="380" t="s">
        <v>787</v>
      </c>
      <c r="G13153" s="380" t="s">
        <v>1267</v>
      </c>
      <c r="H13153" s="380" t="s">
        <v>771</v>
      </c>
      <c r="I13153" s="380" t="s">
        <v>788</v>
      </c>
      <c r="J13153" s="380" t="s">
        <v>773</v>
      </c>
      <c r="K13153" s="381">
        <v>0.0</v>
      </c>
      <c r="L13153" s="382">
        <v>1.0</v>
      </c>
    </row>
    <row r="13154">
      <c r="A13154" s="380" t="s">
        <v>14028</v>
      </c>
      <c r="B13154" s="380" t="str">
        <f>IFERROR(__xludf.DUMMYFUNCTION("""COMPUTED_VALUE"""),"Reten Brazo Lateral CJ FT 1039 770102347")</f>
        <v>Reten Brazo Lateral CJ FT 1039 770102347</v>
      </c>
      <c r="C13154" s="380" t="str">
        <f>IFERROR(__xludf.DUMMYFUNCTION("""COMPUTED_VALUE"""),"70008626")</f>
        <v>70008626</v>
      </c>
      <c r="D13154" s="380" t="s">
        <v>767</v>
      </c>
      <c r="E13154" s="380" t="s">
        <v>786</v>
      </c>
      <c r="F13154" s="380" t="s">
        <v>928</v>
      </c>
      <c r="G13154" s="380" t="s">
        <v>1267</v>
      </c>
      <c r="H13154" s="380" t="s">
        <v>771</v>
      </c>
      <c r="I13154" s="380" t="s">
        <v>788</v>
      </c>
      <c r="J13154" s="380" t="s">
        <v>773</v>
      </c>
      <c r="K13154" s="381">
        <v>0.0</v>
      </c>
      <c r="L13154" s="382">
        <v>1.0</v>
      </c>
    </row>
    <row r="13155">
      <c r="A13155" s="380" t="s">
        <v>14029</v>
      </c>
      <c r="B13155" s="380" t="str">
        <f>IFERROR(__xludf.DUMMYFUNCTION("""COMPUTED_VALUE"""),"Base Estribo Der FT 4269 H4845011603a0")</f>
        <v>Base Estribo Der FT 4269 H4845011603a0</v>
      </c>
      <c r="C13155" s="380" t="str">
        <f>IFERROR(__xludf.DUMMYFUNCTION("""COMPUTED_VALUE"""),"70008627")</f>
        <v>70008627</v>
      </c>
      <c r="D13155" s="380" t="s">
        <v>767</v>
      </c>
      <c r="E13155" s="380" t="s">
        <v>786</v>
      </c>
      <c r="F13155" s="380" t="s">
        <v>792</v>
      </c>
      <c r="G13155" s="380" t="s">
        <v>1267</v>
      </c>
      <c r="H13155" s="380" t="s">
        <v>771</v>
      </c>
      <c r="I13155" s="380" t="s">
        <v>788</v>
      </c>
      <c r="J13155" s="380" t="s">
        <v>773</v>
      </c>
      <c r="K13155" s="381">
        <v>0.0</v>
      </c>
      <c r="L13155" s="382">
        <v>1.0</v>
      </c>
    </row>
    <row r="13156">
      <c r="A13156" s="380" t="s">
        <v>14030</v>
      </c>
      <c r="B13156" s="380" t="str">
        <f>IFERROR(__xludf.DUMMYFUNCTION("""COMPUTED_VALUE"""),"Bisagra Puerta Cabina Eagle 3513636c4")</f>
        <v>Bisagra Puerta Cabina Eagle 3513636c4</v>
      </c>
      <c r="C13156" s="380" t="str">
        <f>IFERROR(__xludf.DUMMYFUNCTION("""COMPUTED_VALUE"""),"70008628")</f>
        <v>70008628</v>
      </c>
      <c r="D13156" s="380" t="s">
        <v>767</v>
      </c>
      <c r="E13156" s="380" t="s">
        <v>786</v>
      </c>
      <c r="F13156" s="380" t="s">
        <v>792</v>
      </c>
      <c r="G13156" s="380" t="s">
        <v>1267</v>
      </c>
      <c r="H13156" s="380" t="s">
        <v>771</v>
      </c>
      <c r="I13156" s="380" t="s">
        <v>788</v>
      </c>
      <c r="J13156" s="380" t="s">
        <v>773</v>
      </c>
      <c r="K13156" s="381">
        <v>0.0</v>
      </c>
      <c r="L13156" s="382">
        <v>1.0</v>
      </c>
    </row>
    <row r="13157">
      <c r="A13157" s="380" t="s">
        <v>14031</v>
      </c>
      <c r="B13157" s="380" t="str">
        <f>IFERROR(__xludf.DUMMYFUNCTION("""COMPUTED_VALUE"""),"Vidrio PTA Izq FT 4269 - H4610130001a0")</f>
        <v>Vidrio PTA Izq FT 4269 - H4610130001a0</v>
      </c>
      <c r="C13157" s="380" t="str">
        <f>IFERROR(__xludf.DUMMYFUNCTION("""COMPUTED_VALUE"""),"70008629")</f>
        <v>70008629</v>
      </c>
      <c r="D13157" s="380" t="s">
        <v>767</v>
      </c>
      <c r="E13157" s="380" t="s">
        <v>786</v>
      </c>
      <c r="F13157" s="380" t="s">
        <v>792</v>
      </c>
      <c r="G13157" s="380" t="s">
        <v>1267</v>
      </c>
      <c r="H13157" s="380" t="s">
        <v>771</v>
      </c>
      <c r="I13157" s="380" t="s">
        <v>788</v>
      </c>
      <c r="J13157" s="380" t="s">
        <v>773</v>
      </c>
      <c r="K13157" s="381">
        <v>0.0</v>
      </c>
      <c r="L13157" s="382">
        <v>1.0</v>
      </c>
    </row>
    <row r="13158">
      <c r="A13158" s="380" t="s">
        <v>14032</v>
      </c>
      <c r="B13158" s="380" t="str">
        <f>IFERROR(__xludf.DUMMYFUNCTION("""COMPUTED_VALUE"""),"Filtro Aceite Nkr Iiie Goby Og961007")</f>
        <v>Filtro Aceite Nkr Iiie Goby Og961007</v>
      </c>
      <c r="C13158" s="380" t="str">
        <f>IFERROR(__xludf.DUMMYFUNCTION("""COMPUTED_VALUE"""),"70008630")</f>
        <v>70008630</v>
      </c>
      <c r="D13158" s="380" t="s">
        <v>767</v>
      </c>
      <c r="E13158" s="380" t="s">
        <v>786</v>
      </c>
      <c r="F13158" s="380" t="s">
        <v>5855</v>
      </c>
      <c r="G13158" s="380" t="s">
        <v>1267</v>
      </c>
      <c r="H13158" s="380" t="s">
        <v>771</v>
      </c>
      <c r="I13158" s="380" t="s">
        <v>788</v>
      </c>
      <c r="J13158" s="380" t="s">
        <v>773</v>
      </c>
      <c r="K13158" s="381">
        <v>0.0</v>
      </c>
      <c r="L13158" s="382">
        <v>1.0</v>
      </c>
    </row>
    <row r="13159">
      <c r="A13159" s="380" t="s">
        <v>14033</v>
      </c>
      <c r="B13159" s="380" t="str">
        <f>IFERROR(__xludf.DUMMYFUNCTION("""COMPUTED_VALUE"""),"Filtro Comb Nhr-Nkr-Npr Goby Fg971003")</f>
        <v>Filtro Comb Nhr-Nkr-Npr Goby Fg971003</v>
      </c>
      <c r="C13159" s="380" t="str">
        <f>IFERROR(__xludf.DUMMYFUNCTION("""COMPUTED_VALUE"""),"70008631")</f>
        <v>70008631</v>
      </c>
      <c r="D13159" s="380" t="s">
        <v>767</v>
      </c>
      <c r="E13159" s="380" t="s">
        <v>786</v>
      </c>
      <c r="F13159" s="380" t="s">
        <v>5855</v>
      </c>
      <c r="G13159" s="380" t="s">
        <v>1267</v>
      </c>
      <c r="H13159" s="380" t="s">
        <v>771</v>
      </c>
      <c r="I13159" s="380" t="s">
        <v>788</v>
      </c>
      <c r="J13159" s="380" t="s">
        <v>773</v>
      </c>
      <c r="K13159" s="381">
        <v>0.0</v>
      </c>
      <c r="L13159" s="382">
        <v>1.0</v>
      </c>
    </row>
    <row r="13160">
      <c r="A13160" s="380" t="s">
        <v>14034</v>
      </c>
      <c r="B13160" s="380" t="str">
        <f>IFERROR(__xludf.DUMMYFUNCTION("""COMPUTED_VALUE"""),"Tubo Enfriador CJ-RAD Prostar 6098680c1")</f>
        <v>Tubo Enfriador CJ-RAD Prostar 6098680c1</v>
      </c>
      <c r="C13160" s="380" t="str">
        <f>IFERROR(__xludf.DUMMYFUNCTION("""COMPUTED_VALUE"""),"70008632")</f>
        <v>70008632</v>
      </c>
      <c r="D13160" s="380" t="s">
        <v>767</v>
      </c>
      <c r="E13160" s="380" t="s">
        <v>786</v>
      </c>
      <c r="F13160" s="380" t="s">
        <v>787</v>
      </c>
      <c r="G13160" s="380" t="s">
        <v>1267</v>
      </c>
      <c r="H13160" s="380" t="s">
        <v>771</v>
      </c>
      <c r="I13160" s="380" t="s">
        <v>788</v>
      </c>
      <c r="J13160" s="380" t="s">
        <v>773</v>
      </c>
      <c r="K13160" s="381">
        <v>0.0</v>
      </c>
      <c r="L13160" s="382">
        <v>1.0</v>
      </c>
    </row>
    <row r="13161">
      <c r="A13161" s="380" t="s">
        <v>14035</v>
      </c>
      <c r="B13161" s="380" t="str">
        <f>IFERROR(__xludf.DUMMYFUNCTION("""COMPUTED_VALUE"""),"Decoracion Luz Placa TRAS FT Mv5 7705946")</f>
        <v>Decoracion Luz Placa TRAS FT Mv5 7705946</v>
      </c>
      <c r="C13161" s="380" t="str">
        <f>IFERROR(__xludf.DUMMYFUNCTION("""COMPUTED_VALUE"""),"70008633")</f>
        <v>70008633</v>
      </c>
      <c r="D13161" s="380" t="s">
        <v>767</v>
      </c>
      <c r="E13161" s="380" t="s">
        <v>786</v>
      </c>
      <c r="F13161" s="380" t="s">
        <v>792</v>
      </c>
      <c r="G13161" s="380" t="s">
        <v>1267</v>
      </c>
      <c r="H13161" s="380" t="s">
        <v>771</v>
      </c>
      <c r="I13161" s="380" t="s">
        <v>788</v>
      </c>
      <c r="J13161" s="380" t="s">
        <v>773</v>
      </c>
      <c r="K13161" s="381">
        <v>31280.0</v>
      </c>
      <c r="L13161" s="382">
        <v>1.0</v>
      </c>
    </row>
    <row r="13162">
      <c r="A13162" s="380" t="s">
        <v>14036</v>
      </c>
      <c r="B13162" s="380" t="str">
        <f>IFERROR(__xludf.DUMMYFUNCTION("""COMPUTED_VALUE"""),"Valvula Altura Cabina Inter Lt 2510655c1")</f>
        <v>Valvula Altura Cabina Inter Lt 2510655c1</v>
      </c>
      <c r="C13162" s="380" t="str">
        <f>IFERROR(__xludf.DUMMYFUNCTION("""COMPUTED_VALUE"""),"70008634")</f>
        <v>70008634</v>
      </c>
      <c r="D13162" s="380" t="s">
        <v>767</v>
      </c>
      <c r="E13162" s="380" t="s">
        <v>786</v>
      </c>
      <c r="F13162" s="380" t="s">
        <v>792</v>
      </c>
      <c r="G13162" s="380" t="s">
        <v>1267</v>
      </c>
      <c r="H13162" s="380" t="s">
        <v>771</v>
      </c>
      <c r="I13162" s="380" t="s">
        <v>788</v>
      </c>
      <c r="J13162" s="380" t="s">
        <v>773</v>
      </c>
      <c r="K13162" s="381">
        <v>0.0</v>
      </c>
      <c r="L13162" s="382">
        <v>1.0</v>
      </c>
    </row>
    <row r="13163">
      <c r="A13163" s="380" t="s">
        <v>14037</v>
      </c>
      <c r="B13163" s="380" t="str">
        <f>IFERROR(__xludf.DUMMYFUNCTION("""COMPUTED_VALUE"""),"DEP AUX RAD FT Mv5 7705946025546")</f>
        <v>DEP AUX RAD FT Mv5 7705946025546</v>
      </c>
      <c r="C13163" s="380" t="str">
        <f>IFERROR(__xludf.DUMMYFUNCTION("""COMPUTED_VALUE"""),"70008635")</f>
        <v>70008635</v>
      </c>
      <c r="D13163" s="380" t="s">
        <v>767</v>
      </c>
      <c r="E13163" s="380" t="s">
        <v>786</v>
      </c>
      <c r="F13163" s="380" t="s">
        <v>787</v>
      </c>
      <c r="G13163" s="380" t="s">
        <v>1267</v>
      </c>
      <c r="H13163" s="380" t="s">
        <v>771</v>
      </c>
      <c r="I13163" s="380" t="s">
        <v>788</v>
      </c>
      <c r="J13163" s="380" t="s">
        <v>773</v>
      </c>
      <c r="K13163" s="381">
        <v>0.0</v>
      </c>
      <c r="L13163" s="382">
        <v>1.0</v>
      </c>
    </row>
    <row r="13164">
      <c r="A13164" s="380" t="s">
        <v>14038</v>
      </c>
      <c r="B13164" s="380" t="str">
        <f>IFERROR(__xludf.DUMMYFUNCTION("""COMPUTED_VALUE"""),"Disco Delantero Jac Sunray 21009175")</f>
        <v>Disco Delantero Jac Sunray 21009175</v>
      </c>
      <c r="C13164" s="380" t="str">
        <f>IFERROR(__xludf.DUMMYFUNCTION("""COMPUTED_VALUE"""),"70008636")</f>
        <v>70008636</v>
      </c>
      <c r="D13164" s="380" t="s">
        <v>767</v>
      </c>
      <c r="E13164" s="380" t="s">
        <v>786</v>
      </c>
      <c r="F13164" s="380" t="s">
        <v>1017</v>
      </c>
      <c r="G13164" s="380" t="s">
        <v>1267</v>
      </c>
      <c r="H13164" s="380" t="s">
        <v>771</v>
      </c>
      <c r="I13164" s="380" t="s">
        <v>788</v>
      </c>
      <c r="J13164" s="380" t="s">
        <v>773</v>
      </c>
      <c r="K13164" s="381">
        <v>0.0</v>
      </c>
      <c r="L13164" s="382">
        <v>1.0</v>
      </c>
    </row>
    <row r="13165">
      <c r="A13165" s="380" t="s">
        <v>14039</v>
      </c>
      <c r="B13165" s="380" t="str">
        <f>IFERROR(__xludf.DUMMYFUNCTION("""COMPUTED_VALUE"""),"Disco Trasero Jac Sunray 2009176")</f>
        <v>Disco Trasero Jac Sunray 2009176</v>
      </c>
      <c r="C13165" s="380" t="str">
        <f>IFERROR(__xludf.DUMMYFUNCTION("""COMPUTED_VALUE"""),"70008637")</f>
        <v>70008637</v>
      </c>
      <c r="D13165" s="380" t="s">
        <v>767</v>
      </c>
      <c r="E13165" s="380" t="s">
        <v>786</v>
      </c>
      <c r="F13165" s="380" t="s">
        <v>1017</v>
      </c>
      <c r="G13165" s="380" t="s">
        <v>1267</v>
      </c>
      <c r="H13165" s="380" t="s">
        <v>771</v>
      </c>
      <c r="I13165" s="380" t="s">
        <v>788</v>
      </c>
      <c r="J13165" s="380" t="s">
        <v>773</v>
      </c>
      <c r="K13165" s="381">
        <v>0.0</v>
      </c>
      <c r="L13165" s="382">
        <v>1.0</v>
      </c>
    </row>
    <row r="13166">
      <c r="A13166" s="380" t="s">
        <v>14040</v>
      </c>
      <c r="B13166" s="380" t="str">
        <f>IFERROR(__xludf.DUMMYFUNCTION("""COMPUTED_VALUE"""),"Leva Horquilla Emb Foton Mv5 5946015400")</f>
        <v>Leva Horquilla Emb Foton Mv5 5946015400</v>
      </c>
      <c r="C13166" s="380" t="str">
        <f>IFERROR(__xludf.DUMMYFUNCTION("""COMPUTED_VALUE"""),"70008639")</f>
        <v>70008639</v>
      </c>
      <c r="D13166" s="380" t="s">
        <v>767</v>
      </c>
      <c r="E13166" s="380" t="s">
        <v>786</v>
      </c>
      <c r="F13166" s="380" t="s">
        <v>998</v>
      </c>
      <c r="G13166" s="380" t="s">
        <v>1267</v>
      </c>
      <c r="H13166" s="380" t="s">
        <v>771</v>
      </c>
      <c r="I13166" s="380" t="s">
        <v>788</v>
      </c>
      <c r="J13166" s="380" t="s">
        <v>773</v>
      </c>
      <c r="K13166" s="381">
        <v>0.0</v>
      </c>
      <c r="L13166" s="382">
        <v>1.0</v>
      </c>
    </row>
    <row r="13167">
      <c r="A13167" s="380" t="s">
        <v>14041</v>
      </c>
      <c r="B13167" s="380" t="str">
        <f>IFERROR(__xludf.DUMMYFUNCTION("""COMPUTED_VALUE"""),"Valvula Relay Freno Inter Lt K071866")</f>
        <v>Valvula Relay Freno Inter Lt K071866</v>
      </c>
      <c r="C13167" s="380" t="str">
        <f>IFERROR(__xludf.DUMMYFUNCTION("""COMPUTED_VALUE"""),"70008640")</f>
        <v>70008640</v>
      </c>
      <c r="D13167" s="380" t="s">
        <v>767</v>
      </c>
      <c r="E13167" s="380" t="s">
        <v>786</v>
      </c>
      <c r="F13167" s="380" t="s">
        <v>1017</v>
      </c>
      <c r="G13167" s="380" t="s">
        <v>1267</v>
      </c>
      <c r="H13167" s="380" t="s">
        <v>771</v>
      </c>
      <c r="I13167" s="380" t="s">
        <v>788</v>
      </c>
      <c r="J13167" s="380" t="s">
        <v>773</v>
      </c>
      <c r="K13167" s="381">
        <v>0.0</v>
      </c>
      <c r="L13167" s="382">
        <v>1.0</v>
      </c>
    </row>
    <row r="13168">
      <c r="A13168" s="380" t="s">
        <v>14042</v>
      </c>
      <c r="B13168" s="380" t="str">
        <f>IFERROR(__xludf.DUMMYFUNCTION("""COMPUTED_VALUE"""),"Kit Splinder Foton 1065 7700149088763")</f>
        <v>Kit Splinder Foton 1065 7700149088763</v>
      </c>
      <c r="C13168" s="380" t="str">
        <f>IFERROR(__xludf.DUMMYFUNCTION("""COMPUTED_VALUE"""),"70008641")</f>
        <v>70008641</v>
      </c>
      <c r="D13168" s="380" t="s">
        <v>767</v>
      </c>
      <c r="E13168" s="380" t="s">
        <v>786</v>
      </c>
      <c r="F13168" s="380" t="s">
        <v>1039</v>
      </c>
      <c r="G13168" s="380" t="s">
        <v>1267</v>
      </c>
      <c r="H13168" s="380" t="s">
        <v>771</v>
      </c>
      <c r="I13168" s="380" t="s">
        <v>788</v>
      </c>
      <c r="J13168" s="380" t="s">
        <v>773</v>
      </c>
      <c r="K13168" s="381">
        <v>0.0</v>
      </c>
      <c r="L13168" s="382">
        <v>1.0</v>
      </c>
    </row>
    <row r="13169">
      <c r="A13169" s="380" t="s">
        <v>14043</v>
      </c>
      <c r="B13169" s="380" t="str">
        <f>IFERROR(__xludf.DUMMYFUNCTION("""COMPUTED_VALUE"""),"Luz Led Lateral Daf Cf480 Ftt 1880520")</f>
        <v>Luz Led Lateral Daf Cf480 Ftt 1880520</v>
      </c>
      <c r="C13169" s="380" t="str">
        <f>IFERROR(__xludf.DUMMYFUNCTION("""COMPUTED_VALUE"""),"70008642")</f>
        <v>70008642</v>
      </c>
      <c r="D13169" s="380" t="s">
        <v>767</v>
      </c>
      <c r="E13169" s="380" t="s">
        <v>786</v>
      </c>
      <c r="F13169" s="380" t="s">
        <v>998</v>
      </c>
      <c r="G13169" s="380" t="s">
        <v>1267</v>
      </c>
      <c r="H13169" s="380" t="s">
        <v>771</v>
      </c>
      <c r="I13169" s="380" t="s">
        <v>788</v>
      </c>
      <c r="J13169" s="380" t="s">
        <v>773</v>
      </c>
      <c r="K13169" s="381">
        <v>0.0</v>
      </c>
      <c r="L13169" s="382">
        <v>1.0</v>
      </c>
    </row>
    <row r="13170">
      <c r="A13170" s="380" t="s">
        <v>14044</v>
      </c>
      <c r="B13170" s="380" t="str">
        <f>IFERROR(__xludf.DUMMYFUNCTION("""COMPUTED_VALUE"""),"Abrazadera Tubo Flexible Mack 25174573")</f>
        <v>Abrazadera Tubo Flexible Mack 25174573</v>
      </c>
      <c r="C13170" s="380" t="str">
        <f>IFERROR(__xludf.DUMMYFUNCTION("""COMPUTED_VALUE"""),"70008643")</f>
        <v>70008643</v>
      </c>
      <c r="D13170" s="380" t="s">
        <v>767</v>
      </c>
      <c r="E13170" s="380" t="s">
        <v>786</v>
      </c>
      <c r="F13170" s="380" t="s">
        <v>787</v>
      </c>
      <c r="G13170" s="380" t="s">
        <v>1267</v>
      </c>
      <c r="H13170" s="380" t="s">
        <v>771</v>
      </c>
      <c r="I13170" s="380" t="s">
        <v>788</v>
      </c>
      <c r="J13170" s="380" t="s">
        <v>773</v>
      </c>
      <c r="K13170" s="381">
        <v>0.0</v>
      </c>
      <c r="L13170" s="382">
        <v>1.0</v>
      </c>
    </row>
    <row r="13171">
      <c r="A13171" s="380" t="s">
        <v>14045</v>
      </c>
      <c r="B13171" s="380" t="str">
        <f>IFERROR(__xludf.DUMMYFUNCTION("""COMPUTED_VALUE"""),"Rodaja Freno Del Jac 1120 Fabricada")</f>
        <v>Rodaja Freno Del Jac 1120 Fabricada</v>
      </c>
      <c r="C13171" s="380" t="str">
        <f>IFERROR(__xludf.DUMMYFUNCTION("""COMPUTED_VALUE"""),"70008644")</f>
        <v>70008644</v>
      </c>
      <c r="D13171" s="380" t="s">
        <v>767</v>
      </c>
      <c r="E13171" s="380" t="s">
        <v>786</v>
      </c>
      <c r="F13171" s="380" t="s">
        <v>1017</v>
      </c>
      <c r="G13171" s="380" t="s">
        <v>1267</v>
      </c>
      <c r="H13171" s="380" t="s">
        <v>771</v>
      </c>
      <c r="I13171" s="380" t="s">
        <v>788</v>
      </c>
      <c r="J13171" s="380" t="s">
        <v>773</v>
      </c>
      <c r="K13171" s="381">
        <v>0.0</v>
      </c>
      <c r="L13171" s="382">
        <v>1.0</v>
      </c>
    </row>
    <row r="13172">
      <c r="A13172" s="380" t="s">
        <v>14046</v>
      </c>
      <c r="B13172" s="380" t="str">
        <f>IFERROR(__xludf.DUMMYFUNCTION("""COMPUTED_VALUE"""),"Varilla Medidora Aceite FT 1128 77010234")</f>
        <v>Varilla Medidora Aceite FT 1128 77010234</v>
      </c>
      <c r="C13172" s="380" t="str">
        <f>IFERROR(__xludf.DUMMYFUNCTION("""COMPUTED_VALUE"""),"70008645")</f>
        <v>70008645</v>
      </c>
      <c r="D13172" s="380" t="s">
        <v>767</v>
      </c>
      <c r="E13172" s="380" t="s">
        <v>786</v>
      </c>
      <c r="F13172" s="380" t="s">
        <v>787</v>
      </c>
      <c r="G13172" s="380" t="s">
        <v>1267</v>
      </c>
      <c r="H13172" s="380" t="s">
        <v>771</v>
      </c>
      <c r="I13172" s="380" t="s">
        <v>788</v>
      </c>
      <c r="J13172" s="380" t="s">
        <v>773</v>
      </c>
      <c r="K13172" s="381">
        <v>0.0</v>
      </c>
      <c r="L13172" s="382">
        <v>1.0</v>
      </c>
    </row>
    <row r="13173">
      <c r="A13173" s="380" t="s">
        <v>14047</v>
      </c>
      <c r="B13173" s="380" t="str">
        <f>IFERROR(__xludf.DUMMYFUNCTION("""COMPUTED_VALUE"""),"VALV Freno Ahogo FT 1065 Evi 7700149297")</f>
        <v>VALV Freno Ahogo FT 1065 Evi 7700149297</v>
      </c>
      <c r="C13173" s="380" t="str">
        <f>IFERROR(__xludf.DUMMYFUNCTION("""COMPUTED_VALUE"""),"70008646")</f>
        <v>70008646</v>
      </c>
      <c r="D13173" s="380" t="s">
        <v>767</v>
      </c>
      <c r="E13173" s="380" t="s">
        <v>786</v>
      </c>
      <c r="F13173" s="380" t="s">
        <v>787</v>
      </c>
      <c r="G13173" s="380" t="s">
        <v>1267</v>
      </c>
      <c r="H13173" s="380" t="s">
        <v>771</v>
      </c>
      <c r="I13173" s="380" t="s">
        <v>788</v>
      </c>
      <c r="J13173" s="380" t="s">
        <v>773</v>
      </c>
      <c r="K13173" s="381">
        <v>0.0</v>
      </c>
      <c r="L13173" s="382">
        <v>1.0</v>
      </c>
    </row>
    <row r="13174">
      <c r="A13174" s="380" t="s">
        <v>14048</v>
      </c>
      <c r="B13174" s="380" t="str">
        <f>IFERROR(__xludf.DUMMYFUNCTION("""COMPUTED_VALUE"""),"Rejilla Frontal Izq Capo KW T660 L451020")</f>
        <v>Rejilla Frontal Izq Capo KW T660 L451020</v>
      </c>
      <c r="C13174" s="380" t="str">
        <f>IFERROR(__xludf.DUMMYFUNCTION("""COMPUTED_VALUE"""),"70008647")</f>
        <v>70008647</v>
      </c>
      <c r="D13174" s="380" t="s">
        <v>767</v>
      </c>
      <c r="E13174" s="380" t="s">
        <v>786</v>
      </c>
      <c r="F13174" s="380" t="s">
        <v>792</v>
      </c>
      <c r="G13174" s="380" t="s">
        <v>1267</v>
      </c>
      <c r="H13174" s="380" t="s">
        <v>771</v>
      </c>
      <c r="I13174" s="380" t="s">
        <v>788</v>
      </c>
      <c r="J13174" s="380" t="s">
        <v>773</v>
      </c>
      <c r="K13174" s="381">
        <v>1416100.0</v>
      </c>
      <c r="L13174" s="382">
        <v>1.0</v>
      </c>
    </row>
    <row r="13175">
      <c r="A13175" s="380" t="s">
        <v>14049</v>
      </c>
      <c r="B13175" s="380" t="str">
        <f>IFERROR(__xludf.DUMMYFUNCTION("""COMPUTED_VALUE"""),"Rejilla Frontal Der Capo KW T660 L451020")</f>
        <v>Rejilla Frontal Der Capo KW T660 L451020</v>
      </c>
      <c r="C13175" s="380" t="str">
        <f>IFERROR(__xludf.DUMMYFUNCTION("""COMPUTED_VALUE"""),"70008648")</f>
        <v>70008648</v>
      </c>
      <c r="D13175" s="380" t="s">
        <v>767</v>
      </c>
      <c r="E13175" s="380" t="s">
        <v>786</v>
      </c>
      <c r="F13175" s="380" t="s">
        <v>792</v>
      </c>
      <c r="G13175" s="380" t="s">
        <v>1267</v>
      </c>
      <c r="H13175" s="380" t="s">
        <v>771</v>
      </c>
      <c r="I13175" s="380" t="s">
        <v>788</v>
      </c>
      <c r="J13175" s="380" t="s">
        <v>773</v>
      </c>
      <c r="K13175" s="381">
        <v>1666000.0</v>
      </c>
      <c r="L13175" s="382">
        <v>1.0</v>
      </c>
    </row>
    <row r="13176">
      <c r="A13176" s="380" t="s">
        <v>14050</v>
      </c>
      <c r="B13176" s="380" t="str">
        <f>IFERROR(__xludf.DUMMYFUNCTION("""COMPUTED_VALUE"""),"Luna Espejo Inf Der Daf Cf480 1685331")</f>
        <v>Luna Espejo Inf Der Daf Cf480 1685331</v>
      </c>
      <c r="C13176" s="380" t="str">
        <f>IFERROR(__xludf.DUMMYFUNCTION("""COMPUTED_VALUE"""),"70008649")</f>
        <v>70008649</v>
      </c>
      <c r="D13176" s="380" t="s">
        <v>767</v>
      </c>
      <c r="E13176" s="380" t="s">
        <v>786</v>
      </c>
      <c r="F13176" s="380" t="s">
        <v>792</v>
      </c>
      <c r="G13176" s="380" t="s">
        <v>1267</v>
      </c>
      <c r="H13176" s="380" t="s">
        <v>771</v>
      </c>
      <c r="I13176" s="380" t="s">
        <v>788</v>
      </c>
      <c r="J13176" s="380" t="s">
        <v>773</v>
      </c>
      <c r="K13176" s="381">
        <v>0.0</v>
      </c>
      <c r="L13176" s="382">
        <v>1.0</v>
      </c>
    </row>
    <row r="13177">
      <c r="A13177" s="380" t="s">
        <v>14051</v>
      </c>
      <c r="B13177" s="380" t="str">
        <f>IFERROR(__xludf.DUMMYFUNCTION("""COMPUTED_VALUE"""),"Parabrisas Jac Sunray")</f>
        <v>Parabrisas Jac Sunray</v>
      </c>
      <c r="C13177" s="380" t="str">
        <f>IFERROR(__xludf.DUMMYFUNCTION("""COMPUTED_VALUE"""),"70008650")</f>
        <v>70008650</v>
      </c>
      <c r="D13177" s="380" t="s">
        <v>767</v>
      </c>
      <c r="E13177" s="380" t="s">
        <v>786</v>
      </c>
      <c r="F13177" s="380" t="s">
        <v>792</v>
      </c>
      <c r="G13177" s="380" t="s">
        <v>1267</v>
      </c>
      <c r="H13177" s="380" t="s">
        <v>771</v>
      </c>
      <c r="I13177" s="380" t="s">
        <v>788</v>
      </c>
      <c r="J13177" s="380" t="s">
        <v>773</v>
      </c>
      <c r="K13177" s="381">
        <v>0.0</v>
      </c>
      <c r="L13177" s="382">
        <v>1.0</v>
      </c>
    </row>
    <row r="13178">
      <c r="A13178" s="380" t="s">
        <v>14052</v>
      </c>
      <c r="B13178" s="380" t="str">
        <f>IFERROR(__xludf.DUMMYFUNCTION("""COMPUTED_VALUE"""),"Juego Pata Trailer Romarco 19"" Fuwa")</f>
        <v>Juego Pata Trailer Romarco 19" Fuwa</v>
      </c>
      <c r="C13178" s="380" t="str">
        <f>IFERROR(__xludf.DUMMYFUNCTION("""COMPUTED_VALUE"""),"70008651")</f>
        <v>70008651</v>
      </c>
      <c r="D13178" s="380" t="s">
        <v>767</v>
      </c>
      <c r="E13178" s="380" t="s">
        <v>786</v>
      </c>
      <c r="F13178" s="380" t="s">
        <v>792</v>
      </c>
      <c r="G13178" s="380" t="s">
        <v>1267</v>
      </c>
      <c r="H13178" s="380" t="s">
        <v>771</v>
      </c>
      <c r="I13178" s="380" t="s">
        <v>788</v>
      </c>
      <c r="J13178" s="380" t="s">
        <v>773</v>
      </c>
      <c r="K13178" s="381">
        <v>0.0</v>
      </c>
      <c r="L13178" s="382">
        <v>1.0</v>
      </c>
    </row>
    <row r="13179">
      <c r="A13179" s="380" t="s">
        <v>14053</v>
      </c>
      <c r="B13179" s="380" t="str">
        <f>IFERROR(__xludf.DUMMYFUNCTION("""COMPUTED_VALUE"""),"Sensor Nox Daf Cf 480 2429860rn")</f>
        <v>Sensor Nox Daf Cf 480 2429860rn</v>
      </c>
      <c r="C13179" s="380" t="str">
        <f>IFERROR(__xludf.DUMMYFUNCTION("""COMPUTED_VALUE"""),"70008652")</f>
        <v>70008652</v>
      </c>
      <c r="D13179" s="380" t="s">
        <v>767</v>
      </c>
      <c r="E13179" s="380" t="s">
        <v>786</v>
      </c>
      <c r="F13179" s="380" t="s">
        <v>998</v>
      </c>
      <c r="G13179" s="380" t="s">
        <v>1267</v>
      </c>
      <c r="H13179" s="380" t="s">
        <v>771</v>
      </c>
      <c r="I13179" s="380" t="s">
        <v>788</v>
      </c>
      <c r="J13179" s="380" t="s">
        <v>773</v>
      </c>
      <c r="K13179" s="381">
        <v>0.0</v>
      </c>
      <c r="L13179" s="382">
        <v>1.0</v>
      </c>
    </row>
    <row r="13180">
      <c r="A13180" s="380" t="s">
        <v>14054</v>
      </c>
      <c r="B13180" s="380" t="str">
        <f>IFERROR(__xludf.DUMMYFUNCTION("""COMPUTED_VALUE"""),"Tornillo Prensa EMB Daf Cf480 M10x80 124")</f>
        <v>Tornillo Prensa EMB Daf Cf480 M10x80 124</v>
      </c>
      <c r="C13180" s="380" t="str">
        <f>IFERROR(__xludf.DUMMYFUNCTION("""COMPUTED_VALUE"""),"70008653")</f>
        <v>70008653</v>
      </c>
      <c r="D13180" s="380" t="s">
        <v>767</v>
      </c>
      <c r="E13180" s="380" t="s">
        <v>786</v>
      </c>
      <c r="F13180" s="380" t="s">
        <v>998</v>
      </c>
      <c r="G13180" s="380" t="s">
        <v>1267</v>
      </c>
      <c r="H13180" s="380" t="s">
        <v>771</v>
      </c>
      <c r="I13180" s="380" t="s">
        <v>788</v>
      </c>
      <c r="J13180" s="380" t="s">
        <v>773</v>
      </c>
      <c r="K13180" s="381">
        <v>0.0</v>
      </c>
      <c r="L13180" s="382">
        <v>1.0</v>
      </c>
    </row>
    <row r="13181">
      <c r="A13181" s="380" t="s">
        <v>14055</v>
      </c>
      <c r="B13181" s="380" t="str">
        <f>IFERROR(__xludf.DUMMYFUNCTION("""COMPUTED_VALUE"""),"Bomba Inyeccion Inter Lt X15 Reparado")</f>
        <v>Bomba Inyeccion Inter Lt X15 Reparado</v>
      </c>
      <c r="C13181" s="380" t="str">
        <f>IFERROR(__xludf.DUMMYFUNCTION("""COMPUTED_VALUE"""),"70008654")</f>
        <v>70008654</v>
      </c>
      <c r="D13181" s="380" t="s">
        <v>767</v>
      </c>
      <c r="E13181" s="380" t="s">
        <v>786</v>
      </c>
      <c r="F13181" s="380" t="s">
        <v>787</v>
      </c>
      <c r="G13181" s="380" t="s">
        <v>1267</v>
      </c>
      <c r="H13181" s="380" t="s">
        <v>771</v>
      </c>
      <c r="I13181" s="380" t="s">
        <v>788</v>
      </c>
      <c r="J13181" s="380" t="s">
        <v>773</v>
      </c>
      <c r="K13181" s="381">
        <v>0.0</v>
      </c>
      <c r="L13181" s="382">
        <v>1.0</v>
      </c>
    </row>
    <row r="13182">
      <c r="A13182" s="380" t="s">
        <v>14056</v>
      </c>
      <c r="B13182" s="380" t="str">
        <f>IFERROR(__xludf.DUMMYFUNCTION("""COMPUTED_VALUE"""),"BRR Estabili DIRc REN Nueva Master 54611")</f>
        <v>BRR Estabili DIRc REN Nueva Master 54611</v>
      </c>
      <c r="C13182" s="380" t="str">
        <f>IFERROR(__xludf.DUMMYFUNCTION("""COMPUTED_VALUE"""),"70008655")</f>
        <v>70008655</v>
      </c>
      <c r="D13182" s="380" t="s">
        <v>767</v>
      </c>
      <c r="E13182" s="380" t="s">
        <v>786</v>
      </c>
      <c r="F13182" s="380" t="s">
        <v>1039</v>
      </c>
      <c r="G13182" s="380" t="s">
        <v>1267</v>
      </c>
      <c r="H13182" s="380" t="s">
        <v>771</v>
      </c>
      <c r="I13182" s="380" t="s">
        <v>788</v>
      </c>
      <c r="J13182" s="380" t="s">
        <v>773</v>
      </c>
      <c r="K13182" s="381">
        <v>0.0</v>
      </c>
      <c r="L13182" s="382">
        <v>1.0</v>
      </c>
    </row>
    <row r="13183">
      <c r="A13183" s="380" t="s">
        <v>14057</v>
      </c>
      <c r="B13183" s="380" t="str">
        <f>IFERROR(__xludf.DUMMYFUNCTION("""COMPUTED_VALUE"""),"Bieleta BRR Estabili REN Nueva Master 54")</f>
        <v>Bieleta BRR Estabili REN Nueva Master 54</v>
      </c>
      <c r="C13183" s="380" t="str">
        <f>IFERROR(__xludf.DUMMYFUNCTION("""COMPUTED_VALUE"""),"70008656")</f>
        <v>70008656</v>
      </c>
      <c r="D13183" s="380" t="s">
        <v>767</v>
      </c>
      <c r="E13183" s="380" t="s">
        <v>786</v>
      </c>
      <c r="F13183" s="380" t="s">
        <v>1039</v>
      </c>
      <c r="G13183" s="380" t="s">
        <v>1267</v>
      </c>
      <c r="H13183" s="380" t="s">
        <v>771</v>
      </c>
      <c r="I13183" s="380" t="s">
        <v>788</v>
      </c>
      <c r="J13183" s="380" t="s">
        <v>773</v>
      </c>
      <c r="K13183" s="381">
        <v>0.0</v>
      </c>
      <c r="L13183" s="382">
        <v>1.0</v>
      </c>
    </row>
    <row r="13184">
      <c r="A13184" s="380" t="s">
        <v>14058</v>
      </c>
      <c r="B13184" s="380" t="str">
        <f>IFERROR(__xludf.DUMMYFUNCTION("""COMPUTED_VALUE"""),"Modulo Select Trans Mack Anthem 21194165")</f>
        <v>Modulo Select Trans Mack Anthem 21194165</v>
      </c>
      <c r="C13184" s="380" t="str">
        <f>IFERROR(__xludf.DUMMYFUNCTION("""COMPUTED_VALUE"""),"70008657")</f>
        <v>70008657</v>
      </c>
      <c r="D13184" s="380" t="s">
        <v>767</v>
      </c>
      <c r="E13184" s="380" t="s">
        <v>786</v>
      </c>
      <c r="F13184" s="380" t="s">
        <v>928</v>
      </c>
      <c r="G13184" s="380" t="s">
        <v>1267</v>
      </c>
      <c r="H13184" s="380" t="s">
        <v>771</v>
      </c>
      <c r="I13184" s="380" t="s">
        <v>788</v>
      </c>
      <c r="J13184" s="380" t="s">
        <v>773</v>
      </c>
      <c r="K13184" s="381">
        <v>0.0</v>
      </c>
      <c r="L13184" s="382">
        <v>1.0</v>
      </c>
    </row>
    <row r="13185">
      <c r="A13185" s="380" t="s">
        <v>14059</v>
      </c>
      <c r="B13185" s="380" t="str">
        <f>IFERROR(__xludf.DUMMYFUNCTION("""COMPUTED_VALUE"""),"Culata Compresor Mack Anthem 9125129352")</f>
        <v>Culata Compresor Mack Anthem 9125129352</v>
      </c>
      <c r="C13185" s="380" t="str">
        <f>IFERROR(__xludf.DUMMYFUNCTION("""COMPUTED_VALUE"""),"70008658")</f>
        <v>70008658</v>
      </c>
      <c r="D13185" s="380" t="s">
        <v>767</v>
      </c>
      <c r="E13185" s="380" t="s">
        <v>786</v>
      </c>
      <c r="F13185" s="380" t="s">
        <v>787</v>
      </c>
      <c r="G13185" s="380" t="s">
        <v>1267</v>
      </c>
      <c r="H13185" s="380" t="s">
        <v>771</v>
      </c>
      <c r="I13185" s="380" t="s">
        <v>788</v>
      </c>
      <c r="J13185" s="380" t="s">
        <v>773</v>
      </c>
      <c r="K13185" s="381">
        <v>0.0</v>
      </c>
      <c r="L13185" s="382">
        <v>1.0</v>
      </c>
    </row>
    <row r="13186">
      <c r="A13186" s="380" t="s">
        <v>14060</v>
      </c>
      <c r="B13186" s="380" t="str">
        <f>IFERROR(__xludf.DUMMYFUNCTION("""COMPUTED_VALUE"""),"Conector De Carga Montacarga ELEC Byd 12")</f>
        <v>Conector De Carga Montacarga ELEC Byd 12</v>
      </c>
      <c r="C13186" s="380" t="str">
        <f>IFERROR(__xludf.DUMMYFUNCTION("""COMPUTED_VALUE"""),"70008659")</f>
        <v>70008659</v>
      </c>
      <c r="D13186" s="380" t="s">
        <v>767</v>
      </c>
      <c r="E13186" s="380" t="s">
        <v>786</v>
      </c>
      <c r="F13186" s="380" t="s">
        <v>998</v>
      </c>
      <c r="G13186" s="380" t="s">
        <v>1267</v>
      </c>
      <c r="H13186" s="380" t="s">
        <v>771</v>
      </c>
      <c r="I13186" s="380" t="s">
        <v>788</v>
      </c>
      <c r="J13186" s="380" t="s">
        <v>773</v>
      </c>
      <c r="K13186" s="381">
        <v>0.0</v>
      </c>
      <c r="L13186" s="382">
        <v>1.0</v>
      </c>
    </row>
    <row r="13187">
      <c r="A13187" s="380" t="s">
        <v>14061</v>
      </c>
      <c r="B13187" s="380" t="str">
        <f>IFERROR(__xludf.DUMMYFUNCTION("""COMPUTED_VALUE"""),"Tubo Inyector N.4 Nkr Reward 8980116090")</f>
        <v>Tubo Inyector N.4 Nkr Reward 8980116090</v>
      </c>
      <c r="C13187" s="380" t="str">
        <f>IFERROR(__xludf.DUMMYFUNCTION("""COMPUTED_VALUE"""),"70008660")</f>
        <v>70008660</v>
      </c>
      <c r="D13187" s="380" t="s">
        <v>767</v>
      </c>
      <c r="E13187" s="380" t="s">
        <v>786</v>
      </c>
      <c r="F13187" s="380" t="s">
        <v>787</v>
      </c>
      <c r="G13187" s="380" t="s">
        <v>1267</v>
      </c>
      <c r="H13187" s="380" t="s">
        <v>771</v>
      </c>
      <c r="I13187" s="380" t="s">
        <v>788</v>
      </c>
      <c r="J13187" s="380" t="s">
        <v>773</v>
      </c>
      <c r="K13187" s="381">
        <v>0.0</v>
      </c>
      <c r="L13187" s="382">
        <v>1.0</v>
      </c>
    </row>
    <row r="13188">
      <c r="A13188" s="380" t="s">
        <v>14062</v>
      </c>
      <c r="B13188" s="380" t="str">
        <f>IFERROR(__xludf.DUMMYFUNCTION("""COMPUTED_VALUE"""),"Pasad Inf Amort Del Jac 1042 2905158d814")</f>
        <v>Pasad Inf Amort Del Jac 1042 2905158d814</v>
      </c>
      <c r="C13188" s="380" t="str">
        <f>IFERROR(__xludf.DUMMYFUNCTION("""COMPUTED_VALUE"""),"70008661")</f>
        <v>70008661</v>
      </c>
      <c r="D13188" s="380" t="s">
        <v>767</v>
      </c>
      <c r="E13188" s="380" t="s">
        <v>786</v>
      </c>
      <c r="F13188" s="380" t="s">
        <v>1039</v>
      </c>
      <c r="G13188" s="380" t="s">
        <v>1267</v>
      </c>
      <c r="H13188" s="380" t="s">
        <v>771</v>
      </c>
      <c r="I13188" s="380" t="s">
        <v>788</v>
      </c>
      <c r="J13188" s="380" t="s">
        <v>773</v>
      </c>
      <c r="K13188" s="381">
        <v>0.0</v>
      </c>
      <c r="L13188" s="382">
        <v>1.0</v>
      </c>
    </row>
    <row r="13189">
      <c r="A13189" s="380" t="s">
        <v>14063</v>
      </c>
      <c r="B13189" s="380" t="str">
        <f>IFERROR(__xludf.DUMMYFUNCTION("""COMPUTED_VALUE"""),"Amortiguador Del Jac 1042 2905010d800")</f>
        <v>Amortiguador Del Jac 1042 2905010d800</v>
      </c>
      <c r="C13189" s="380" t="str">
        <f>IFERROR(__xludf.DUMMYFUNCTION("""COMPUTED_VALUE"""),"70008662")</f>
        <v>70008662</v>
      </c>
      <c r="D13189" s="380" t="s">
        <v>767</v>
      </c>
      <c r="E13189" s="380" t="s">
        <v>786</v>
      </c>
      <c r="F13189" s="380" t="s">
        <v>1039</v>
      </c>
      <c r="G13189" s="380" t="s">
        <v>1267</v>
      </c>
      <c r="H13189" s="380" t="s">
        <v>771</v>
      </c>
      <c r="I13189" s="380" t="s">
        <v>788</v>
      </c>
      <c r="J13189" s="380" t="s">
        <v>773</v>
      </c>
      <c r="K13189" s="381">
        <v>0.0</v>
      </c>
      <c r="L13189" s="382">
        <v>1.0</v>
      </c>
    </row>
    <row r="13190">
      <c r="A13190" s="380" t="s">
        <v>14064</v>
      </c>
      <c r="B13190" s="380" t="str">
        <f>IFERROR(__xludf.DUMMYFUNCTION("""COMPUTED_VALUE"""),"Panel Frontal Jac Sunray 8400500r001e")</f>
        <v>Panel Frontal Jac Sunray 8400500r001e</v>
      </c>
      <c r="C13190" s="380" t="str">
        <f>IFERROR(__xludf.DUMMYFUNCTION("""COMPUTED_VALUE"""),"70008663")</f>
        <v>70008663</v>
      </c>
      <c r="D13190" s="380" t="s">
        <v>767</v>
      </c>
      <c r="E13190" s="380" t="s">
        <v>786</v>
      </c>
      <c r="F13190" s="380" t="s">
        <v>792</v>
      </c>
      <c r="G13190" s="380" t="s">
        <v>1267</v>
      </c>
      <c r="H13190" s="380" t="s">
        <v>771</v>
      </c>
      <c r="I13190" s="380" t="s">
        <v>788</v>
      </c>
      <c r="J13190" s="380" t="s">
        <v>773</v>
      </c>
      <c r="K13190" s="381">
        <v>0.0</v>
      </c>
      <c r="L13190" s="382">
        <v>1.0</v>
      </c>
    </row>
    <row r="13191">
      <c r="A13191" s="380" t="s">
        <v>14065</v>
      </c>
      <c r="B13191" s="380" t="str">
        <f>IFERROR(__xludf.DUMMYFUNCTION("""COMPUTED_VALUE"""),"Farola Del Der Foton 4269 H4364010221a0")</f>
        <v>Farola Del Der Foton 4269 H4364010221a0</v>
      </c>
      <c r="C13191" s="380" t="str">
        <f>IFERROR(__xludf.DUMMYFUNCTION("""COMPUTED_VALUE"""),"70008664")</f>
        <v>70008664</v>
      </c>
      <c r="D13191" s="380" t="s">
        <v>767</v>
      </c>
      <c r="E13191" s="380" t="s">
        <v>786</v>
      </c>
      <c r="F13191" s="380" t="s">
        <v>998</v>
      </c>
      <c r="G13191" s="380" t="s">
        <v>1267</v>
      </c>
      <c r="H13191" s="380" t="s">
        <v>771</v>
      </c>
      <c r="I13191" s="380" t="s">
        <v>788</v>
      </c>
      <c r="J13191" s="380" t="s">
        <v>773</v>
      </c>
      <c r="K13191" s="381">
        <v>0.0</v>
      </c>
      <c r="L13191" s="382">
        <v>1.0</v>
      </c>
    </row>
    <row r="13192">
      <c r="A13192" s="380" t="s">
        <v>14066</v>
      </c>
      <c r="B13192" s="380" t="str">
        <f>IFERROR(__xludf.DUMMYFUNCTION("""COMPUTED_VALUE"""),"Catalizador Esc Foton 1039 7701023084024")</f>
        <v>Catalizador Esc Foton 1039 7701023084024</v>
      </c>
      <c r="C13192" s="380" t="str">
        <f>IFERROR(__xludf.DUMMYFUNCTION("""COMPUTED_VALUE"""),"70008666")</f>
        <v>70008666</v>
      </c>
      <c r="D13192" s="380" t="s">
        <v>767</v>
      </c>
      <c r="E13192" s="380" t="s">
        <v>786</v>
      </c>
      <c r="F13192" s="380" t="s">
        <v>787</v>
      </c>
      <c r="G13192" s="380" t="s">
        <v>1267</v>
      </c>
      <c r="H13192" s="380" t="s">
        <v>771</v>
      </c>
      <c r="I13192" s="380" t="s">
        <v>788</v>
      </c>
      <c r="J13192" s="380" t="s">
        <v>773</v>
      </c>
      <c r="K13192" s="381">
        <v>0.0</v>
      </c>
      <c r="L13192" s="382">
        <v>1.0</v>
      </c>
    </row>
    <row r="13193">
      <c r="A13193" s="380" t="s">
        <v>14067</v>
      </c>
      <c r="B13193" s="380" t="str">
        <f>IFERROR(__xludf.DUMMYFUNCTION("""COMPUTED_VALUE"""),"Correa Ventilador Motor Prosta 4019203c1")</f>
        <v>Correa Ventilador Motor Prosta 4019203c1</v>
      </c>
      <c r="C13193" s="380" t="str">
        <f>IFERROR(__xludf.DUMMYFUNCTION("""COMPUTED_VALUE"""),"70008667")</f>
        <v>70008667</v>
      </c>
      <c r="D13193" s="380" t="s">
        <v>767</v>
      </c>
      <c r="E13193" s="380" t="s">
        <v>786</v>
      </c>
      <c r="F13193" s="380" t="s">
        <v>787</v>
      </c>
      <c r="G13193" s="380" t="s">
        <v>1267</v>
      </c>
      <c r="H13193" s="380" t="s">
        <v>771</v>
      </c>
      <c r="I13193" s="380" t="s">
        <v>788</v>
      </c>
      <c r="J13193" s="380" t="s">
        <v>773</v>
      </c>
      <c r="K13193" s="381">
        <v>0.0</v>
      </c>
      <c r="L13193" s="382">
        <v>1.0</v>
      </c>
    </row>
    <row r="13194">
      <c r="A13194" s="380" t="s">
        <v>14068</v>
      </c>
      <c r="B13194" s="380" t="str">
        <f>IFERROR(__xludf.DUMMYFUNCTION("""COMPUTED_VALUE"""),"Panel Control A/C Foton 1065 149499323")</f>
        <v>Panel Control A/C Foton 1065 149499323</v>
      </c>
      <c r="C13194" s="380" t="str">
        <f>IFERROR(__xludf.DUMMYFUNCTION("""COMPUTED_VALUE"""),"70008668")</f>
        <v>70008668</v>
      </c>
      <c r="D13194" s="380" t="s">
        <v>767</v>
      </c>
      <c r="E13194" s="380" t="s">
        <v>786</v>
      </c>
      <c r="F13194" s="380" t="s">
        <v>998</v>
      </c>
      <c r="G13194" s="380" t="s">
        <v>1267</v>
      </c>
      <c r="H13194" s="380" t="s">
        <v>771</v>
      </c>
      <c r="I13194" s="380" t="s">
        <v>788</v>
      </c>
      <c r="J13194" s="380" t="s">
        <v>773</v>
      </c>
      <c r="K13194" s="381">
        <v>0.0</v>
      </c>
      <c r="L13194" s="382">
        <v>1.0</v>
      </c>
    </row>
    <row r="13195">
      <c r="A13195" s="380" t="s">
        <v>14069</v>
      </c>
      <c r="B13195" s="380" t="str">
        <f>IFERROR(__xludf.DUMMYFUNCTION("""COMPUTED_VALUE"""),"Filtro Deposito Urea Daf Cf 480 2126570")</f>
        <v>Filtro Deposito Urea Daf Cf 480 2126570</v>
      </c>
      <c r="C13195" s="380" t="str">
        <f>IFERROR(__xludf.DUMMYFUNCTION("""COMPUTED_VALUE"""),"70008669")</f>
        <v>70008669</v>
      </c>
      <c r="D13195" s="380" t="s">
        <v>767</v>
      </c>
      <c r="E13195" s="380" t="s">
        <v>786</v>
      </c>
      <c r="F13195" s="380" t="s">
        <v>5855</v>
      </c>
      <c r="G13195" s="380" t="s">
        <v>1267</v>
      </c>
      <c r="H13195" s="380" t="s">
        <v>771</v>
      </c>
      <c r="I13195" s="380" t="s">
        <v>788</v>
      </c>
      <c r="J13195" s="380" t="s">
        <v>773</v>
      </c>
      <c r="K13195" s="381">
        <v>0.0</v>
      </c>
      <c r="L13195" s="382">
        <v>1.0</v>
      </c>
    </row>
    <row r="13196">
      <c r="A13196" s="380" t="s">
        <v>14070</v>
      </c>
      <c r="B13196" s="380" t="str">
        <f>IFERROR(__xludf.DUMMYFUNCTION("""COMPUTED_VALUE"""),"Guardabarro Del Der Prostar 33608427c1")</f>
        <v>Guardabarro Del Der Prostar 33608427c1</v>
      </c>
      <c r="C13196" s="380" t="str">
        <f>IFERROR(__xludf.DUMMYFUNCTION("""COMPUTED_VALUE"""),"70008670")</f>
        <v>70008670</v>
      </c>
      <c r="D13196" s="380" t="s">
        <v>767</v>
      </c>
      <c r="E13196" s="380" t="s">
        <v>786</v>
      </c>
      <c r="F13196" s="380" t="s">
        <v>792</v>
      </c>
      <c r="G13196" s="380" t="s">
        <v>1267</v>
      </c>
      <c r="H13196" s="380" t="s">
        <v>771</v>
      </c>
      <c r="I13196" s="380" t="s">
        <v>788</v>
      </c>
      <c r="J13196" s="380" t="s">
        <v>773</v>
      </c>
      <c r="K13196" s="381">
        <v>393635.0</v>
      </c>
      <c r="L13196" s="382">
        <v>1.0</v>
      </c>
    </row>
    <row r="13197">
      <c r="A13197" s="380" t="s">
        <v>14071</v>
      </c>
      <c r="B13197" s="380" t="str">
        <f>IFERROR(__xludf.DUMMYFUNCTION("""COMPUTED_VALUE"""),"Extension INTna Capo DER Prostar 3628698")</f>
        <v>Extension INTna Capo DER Prostar 3628698</v>
      </c>
      <c r="C13197" s="380" t="str">
        <f>IFERROR(__xludf.DUMMYFUNCTION("""COMPUTED_VALUE"""),"70008671")</f>
        <v>70008671</v>
      </c>
      <c r="D13197" s="380" t="s">
        <v>767</v>
      </c>
      <c r="E13197" s="380" t="s">
        <v>786</v>
      </c>
      <c r="F13197" s="380" t="s">
        <v>792</v>
      </c>
      <c r="G13197" s="380" t="s">
        <v>1267</v>
      </c>
      <c r="H13197" s="380" t="s">
        <v>771</v>
      </c>
      <c r="I13197" s="380" t="s">
        <v>788</v>
      </c>
      <c r="J13197" s="380" t="s">
        <v>773</v>
      </c>
      <c r="K13197" s="381">
        <v>1162916.0</v>
      </c>
      <c r="L13197" s="382">
        <v>1.0</v>
      </c>
    </row>
    <row r="13198">
      <c r="A13198" s="380" t="s">
        <v>14072</v>
      </c>
      <c r="B13198" s="380" t="str">
        <f>IFERROR(__xludf.DUMMYFUNCTION("""COMPUTED_VALUE"""),"Riel Medio PTA Deslizante Izq FT Mv5 770")</f>
        <v>Riel Medio PTA Deslizante Izq FT Mv5 770</v>
      </c>
      <c r="C13198" s="380" t="str">
        <f>IFERROR(__xludf.DUMMYFUNCTION("""COMPUTED_VALUE"""),"70008672")</f>
        <v>70008672</v>
      </c>
      <c r="D13198" s="380" t="s">
        <v>767</v>
      </c>
      <c r="E13198" s="380" t="s">
        <v>786</v>
      </c>
      <c r="F13198" s="380" t="s">
        <v>792</v>
      </c>
      <c r="G13198" s="380" t="s">
        <v>1267</v>
      </c>
      <c r="H13198" s="380" t="s">
        <v>771</v>
      </c>
      <c r="I13198" s="380" t="s">
        <v>788</v>
      </c>
      <c r="J13198" s="380" t="s">
        <v>773</v>
      </c>
      <c r="K13198" s="381">
        <v>0.0</v>
      </c>
      <c r="L13198" s="382">
        <v>1.0</v>
      </c>
    </row>
    <row r="13199">
      <c r="A13199" s="380" t="s">
        <v>14073</v>
      </c>
      <c r="B13199" s="380" t="str">
        <f>IFERROR(__xludf.DUMMYFUNCTION("""COMPUTED_VALUE"""),"Fusible Tipo Cartucho 40 Amperios")</f>
        <v>Fusible Tipo Cartucho 40 Amperios</v>
      </c>
      <c r="C13199" s="380" t="str">
        <f>IFERROR(__xludf.DUMMYFUNCTION("""COMPUTED_VALUE"""),"70008673")</f>
        <v>70008673</v>
      </c>
      <c r="D13199" s="380" t="s">
        <v>767</v>
      </c>
      <c r="E13199" s="380" t="s">
        <v>786</v>
      </c>
      <c r="F13199" s="380" t="s">
        <v>998</v>
      </c>
      <c r="G13199" s="380" t="s">
        <v>1267</v>
      </c>
      <c r="H13199" s="380" t="s">
        <v>771</v>
      </c>
      <c r="I13199" s="380" t="s">
        <v>788</v>
      </c>
      <c r="J13199" s="380" t="s">
        <v>773</v>
      </c>
      <c r="K13199" s="381">
        <v>0.0</v>
      </c>
      <c r="L13199" s="382">
        <v>1.0</v>
      </c>
    </row>
    <row r="13200">
      <c r="A13200" s="380" t="s">
        <v>14074</v>
      </c>
      <c r="B13200" s="380" t="str">
        <f>IFERROR(__xludf.DUMMYFUNCTION("""COMPUTED_VALUE"""),"Perilla Palanca Jac Jkr 1703030le310")</f>
        <v>Perilla Palanca Jac Jkr 1703030le310</v>
      </c>
      <c r="C13200" s="380" t="str">
        <f>IFERROR(__xludf.DUMMYFUNCTION("""COMPUTED_VALUE"""),"70008674")</f>
        <v>70008674</v>
      </c>
      <c r="D13200" s="380" t="s">
        <v>767</v>
      </c>
      <c r="E13200" s="380" t="s">
        <v>786</v>
      </c>
      <c r="F13200" s="380" t="s">
        <v>928</v>
      </c>
      <c r="G13200" s="380" t="s">
        <v>1267</v>
      </c>
      <c r="H13200" s="380" t="s">
        <v>771</v>
      </c>
      <c r="I13200" s="380" t="s">
        <v>788</v>
      </c>
      <c r="J13200" s="380" t="s">
        <v>773</v>
      </c>
      <c r="K13200" s="381">
        <v>0.0</v>
      </c>
      <c r="L13200" s="382">
        <v>1.0</v>
      </c>
    </row>
    <row r="13201">
      <c r="A13201" s="380" t="s">
        <v>14075</v>
      </c>
      <c r="B13201" s="380" t="str">
        <f>IFERROR(__xludf.DUMMYFUNCTION("""COMPUTED_VALUE"""),"Panel Frontal Jac 1120 5301100le010")</f>
        <v>Panel Frontal Jac 1120 5301100le010</v>
      </c>
      <c r="C13201" s="380" t="str">
        <f>IFERROR(__xludf.DUMMYFUNCTION("""COMPUTED_VALUE"""),"70008675")</f>
        <v>70008675</v>
      </c>
      <c r="D13201" s="380" t="s">
        <v>767</v>
      </c>
      <c r="E13201" s="380" t="s">
        <v>786</v>
      </c>
      <c r="F13201" s="380" t="s">
        <v>792</v>
      </c>
      <c r="G13201" s="380" t="s">
        <v>1267</v>
      </c>
      <c r="H13201" s="380" t="s">
        <v>771</v>
      </c>
      <c r="I13201" s="380" t="s">
        <v>788</v>
      </c>
      <c r="J13201" s="380" t="s">
        <v>773</v>
      </c>
      <c r="K13201" s="381">
        <v>0.0</v>
      </c>
      <c r="L13201" s="382">
        <v>1.0</v>
      </c>
    </row>
    <row r="13202">
      <c r="A13202" s="380" t="s">
        <v>14076</v>
      </c>
      <c r="B13202" s="380" t="str">
        <f>IFERROR(__xludf.DUMMYFUNCTION("""COMPUTED_VALUE"""),"Soporte Amort Der Caja Daf Cf480 2204077")</f>
        <v>Soporte Amort Der Caja Daf Cf480 2204077</v>
      </c>
      <c r="C13202" s="380" t="str">
        <f>IFERROR(__xludf.DUMMYFUNCTION("""COMPUTED_VALUE"""),"70008676")</f>
        <v>70008676</v>
      </c>
      <c r="D13202" s="380" t="s">
        <v>767</v>
      </c>
      <c r="E13202" s="380" t="s">
        <v>786</v>
      </c>
      <c r="F13202" s="380" t="s">
        <v>792</v>
      </c>
      <c r="G13202" s="380" t="s">
        <v>1267</v>
      </c>
      <c r="H13202" s="380" t="s">
        <v>771</v>
      </c>
      <c r="I13202" s="380" t="s">
        <v>788</v>
      </c>
      <c r="J13202" s="380" t="s">
        <v>773</v>
      </c>
      <c r="K13202" s="381">
        <v>0.0</v>
      </c>
      <c r="L13202" s="382">
        <v>1.0</v>
      </c>
    </row>
    <row r="13203">
      <c r="A13203" s="380" t="s">
        <v>14077</v>
      </c>
      <c r="B13203" s="380" t="str">
        <f>IFERROR(__xludf.DUMMYFUNCTION("""COMPUTED_VALUE"""),"Soporte Amort Izq Caja Daf Cf480 2204076")</f>
        <v>Soporte Amort Izq Caja Daf Cf480 2204076</v>
      </c>
      <c r="C13203" s="380" t="str">
        <f>IFERROR(__xludf.DUMMYFUNCTION("""COMPUTED_VALUE"""),"70008677")</f>
        <v>70008677</v>
      </c>
      <c r="D13203" s="380" t="s">
        <v>767</v>
      </c>
      <c r="E13203" s="380" t="s">
        <v>786</v>
      </c>
      <c r="F13203" s="380" t="s">
        <v>792</v>
      </c>
      <c r="G13203" s="380" t="s">
        <v>1267</v>
      </c>
      <c r="H13203" s="380" t="s">
        <v>771</v>
      </c>
      <c r="I13203" s="380" t="s">
        <v>788</v>
      </c>
      <c r="J13203" s="380" t="s">
        <v>773</v>
      </c>
      <c r="K13203" s="381">
        <v>0.0</v>
      </c>
      <c r="L13203" s="382">
        <v>1.0</v>
      </c>
    </row>
    <row r="13204">
      <c r="A13204" s="380" t="s">
        <v>14078</v>
      </c>
      <c r="B13204" s="380" t="str">
        <f>IFERROR(__xludf.DUMMYFUNCTION("""COMPUTED_VALUE"""),"Amortiguador Caja Daf 2048704")</f>
        <v>Amortiguador Caja Daf 2048704</v>
      </c>
      <c r="C13204" s="380" t="str">
        <f>IFERROR(__xludf.DUMMYFUNCTION("""COMPUTED_VALUE"""),"70008678")</f>
        <v>70008678</v>
      </c>
      <c r="D13204" s="380" t="s">
        <v>767</v>
      </c>
      <c r="E13204" s="380" t="s">
        <v>786</v>
      </c>
      <c r="F13204" s="380" t="s">
        <v>787</v>
      </c>
      <c r="G13204" s="380" t="s">
        <v>1267</v>
      </c>
      <c r="H13204" s="380" t="s">
        <v>771</v>
      </c>
      <c r="I13204" s="380" t="s">
        <v>788</v>
      </c>
      <c r="J13204" s="380" t="s">
        <v>773</v>
      </c>
      <c r="K13204" s="381">
        <v>0.0</v>
      </c>
      <c r="L13204" s="382">
        <v>1.0</v>
      </c>
    </row>
    <row r="13205">
      <c r="A13205" s="380" t="s">
        <v>14079</v>
      </c>
      <c r="B13205" s="380" t="str">
        <f>IFERROR(__xludf.DUMMYFUNCTION("""COMPUTED_VALUE"""),"Rache Freno Del Izq Foton 1065 149269339")</f>
        <v>Rache Freno Del Izq Foton 1065 149269339</v>
      </c>
      <c r="C13205" s="380" t="str">
        <f>IFERROR(__xludf.DUMMYFUNCTION("""COMPUTED_VALUE"""),"70008679")</f>
        <v>70008679</v>
      </c>
      <c r="D13205" s="380" t="s">
        <v>767</v>
      </c>
      <c r="E13205" s="380" t="s">
        <v>786</v>
      </c>
      <c r="F13205" s="380" t="s">
        <v>1017</v>
      </c>
      <c r="G13205" s="380" t="s">
        <v>1267</v>
      </c>
      <c r="H13205" s="380" t="s">
        <v>771</v>
      </c>
      <c r="I13205" s="380" t="s">
        <v>788</v>
      </c>
      <c r="J13205" s="380" t="s">
        <v>773</v>
      </c>
      <c r="K13205" s="381">
        <v>0.0</v>
      </c>
      <c r="L13205" s="382">
        <v>1.0</v>
      </c>
    </row>
    <row r="13206">
      <c r="A13206" s="380" t="s">
        <v>14080</v>
      </c>
      <c r="B13206" s="380" t="str">
        <f>IFERROR(__xludf.DUMMYFUNCTION("""COMPUTED_VALUE"""),"Base Montaje VALV Expansion EGL 2502132c")</f>
        <v>Base Montaje VALV Expansion EGL 2502132c</v>
      </c>
      <c r="C13206" s="380" t="str">
        <f>IFERROR(__xludf.DUMMYFUNCTION("""COMPUTED_VALUE"""),"70008680")</f>
        <v>70008680</v>
      </c>
      <c r="D13206" s="380" t="s">
        <v>767</v>
      </c>
      <c r="E13206" s="380" t="s">
        <v>786</v>
      </c>
      <c r="F13206" s="380" t="s">
        <v>1031</v>
      </c>
      <c r="G13206" s="380" t="s">
        <v>1267</v>
      </c>
      <c r="H13206" s="380" t="s">
        <v>771</v>
      </c>
      <c r="I13206" s="380" t="s">
        <v>788</v>
      </c>
      <c r="J13206" s="380" t="s">
        <v>773</v>
      </c>
      <c r="K13206" s="381">
        <v>126188.0</v>
      </c>
      <c r="L13206" s="382">
        <v>1.0</v>
      </c>
    </row>
    <row r="13207">
      <c r="A13207" s="380" t="s">
        <v>14081</v>
      </c>
      <c r="B13207" s="380" t="str">
        <f>IFERROR(__xludf.DUMMYFUNCTION("""COMPUTED_VALUE"""),"Stop Derecho Jac Sunray 4133200r001")</f>
        <v>Stop Derecho Jac Sunray 4133200r001</v>
      </c>
      <c r="C13207" s="380" t="str">
        <f>IFERROR(__xludf.DUMMYFUNCTION("""COMPUTED_VALUE"""),"70008681")</f>
        <v>70008681</v>
      </c>
      <c r="D13207" s="380" t="s">
        <v>767</v>
      </c>
      <c r="E13207" s="380" t="s">
        <v>786</v>
      </c>
      <c r="F13207" s="380" t="s">
        <v>998</v>
      </c>
      <c r="G13207" s="380" t="s">
        <v>1267</v>
      </c>
      <c r="H13207" s="380" t="s">
        <v>771</v>
      </c>
      <c r="I13207" s="380" t="s">
        <v>788</v>
      </c>
      <c r="J13207" s="380" t="s">
        <v>773</v>
      </c>
      <c r="K13207" s="381">
        <v>0.0</v>
      </c>
      <c r="L13207" s="382">
        <v>1.0</v>
      </c>
    </row>
    <row r="13208">
      <c r="A13208" s="380" t="s">
        <v>14082</v>
      </c>
      <c r="B13208" s="380" t="str">
        <f>IFERROR(__xludf.DUMMYFUNCTION("""COMPUTED_VALUE"""),"Base Cabina Der Foton 4269 H450200000055")</f>
        <v>Base Cabina Der Foton 4269 H450200000055</v>
      </c>
      <c r="C13208" s="380" t="str">
        <f>IFERROR(__xludf.DUMMYFUNCTION("""COMPUTED_VALUE"""),"70008682")</f>
        <v>70008682</v>
      </c>
      <c r="D13208" s="380" t="s">
        <v>767</v>
      </c>
      <c r="E13208" s="380" t="s">
        <v>786</v>
      </c>
      <c r="F13208" s="380" t="s">
        <v>792</v>
      </c>
      <c r="G13208" s="380" t="s">
        <v>1267</v>
      </c>
      <c r="H13208" s="380" t="s">
        <v>771</v>
      </c>
      <c r="I13208" s="380" t="s">
        <v>788</v>
      </c>
      <c r="J13208" s="380" t="s">
        <v>773</v>
      </c>
      <c r="K13208" s="381">
        <v>0.0</v>
      </c>
      <c r="L13208" s="382">
        <v>1.0</v>
      </c>
    </row>
    <row r="13209">
      <c r="A13209" s="380" t="s">
        <v>14083</v>
      </c>
      <c r="B13209" s="380" t="str">
        <f>IFERROR(__xludf.DUMMYFUNCTION("""COMPUTED_VALUE"""),"Base Cabina Izq Foton 4269 H450200000054")</f>
        <v>Base Cabina Izq Foton 4269 H450200000054</v>
      </c>
      <c r="C13209" s="380" t="str">
        <f>IFERROR(__xludf.DUMMYFUNCTION("""COMPUTED_VALUE"""),"70008683")</f>
        <v>70008683</v>
      </c>
      <c r="D13209" s="380" t="s">
        <v>767</v>
      </c>
      <c r="E13209" s="380" t="s">
        <v>786</v>
      </c>
      <c r="F13209" s="380" t="s">
        <v>792</v>
      </c>
      <c r="G13209" s="380" t="s">
        <v>1267</v>
      </c>
      <c r="H13209" s="380" t="s">
        <v>771</v>
      </c>
      <c r="I13209" s="380" t="s">
        <v>788</v>
      </c>
      <c r="J13209" s="380" t="s">
        <v>773</v>
      </c>
      <c r="K13209" s="381">
        <v>0.0</v>
      </c>
      <c r="L13209" s="382">
        <v>1.0</v>
      </c>
    </row>
    <row r="13210">
      <c r="A13210" s="380" t="s">
        <v>14084</v>
      </c>
      <c r="B13210" s="380" t="str">
        <f>IFERROR(__xludf.DUMMYFUNCTION("""COMPUTED_VALUE"""),"Forro Cabrilla 18")</f>
        <v>Forro Cabrilla 18</v>
      </c>
      <c r="C13210" s="380" t="str">
        <f>IFERROR(__xludf.DUMMYFUNCTION("""COMPUTED_VALUE"""),"70008684")</f>
        <v>70008684</v>
      </c>
      <c r="D13210" s="380" t="s">
        <v>767</v>
      </c>
      <c r="E13210" s="380" t="s">
        <v>786</v>
      </c>
      <c r="F13210" s="380" t="s">
        <v>792</v>
      </c>
      <c r="G13210" s="380" t="s">
        <v>1267</v>
      </c>
      <c r="H13210" s="380" t="s">
        <v>771</v>
      </c>
      <c r="I13210" s="380" t="s">
        <v>788</v>
      </c>
      <c r="J13210" s="380" t="s">
        <v>773</v>
      </c>
      <c r="K13210" s="381">
        <v>0.0</v>
      </c>
      <c r="L13210" s="382">
        <v>1.0</v>
      </c>
    </row>
    <row r="13211">
      <c r="A13211" s="380" t="s">
        <v>14085</v>
      </c>
      <c r="B13211" s="380" t="str">
        <f>IFERROR(__xludf.DUMMYFUNCTION("""COMPUTED_VALUE"""),"Volante Direcc Jac 1042 3402010le050xe")</f>
        <v>Volante Direcc Jac 1042 3402010le050xe</v>
      </c>
      <c r="C13211" s="380" t="str">
        <f>IFERROR(__xludf.DUMMYFUNCTION("""COMPUTED_VALUE"""),"70008685")</f>
        <v>70008685</v>
      </c>
      <c r="D13211" s="380" t="s">
        <v>767</v>
      </c>
      <c r="E13211" s="380" t="s">
        <v>786</v>
      </c>
      <c r="F13211" s="380" t="s">
        <v>1020</v>
      </c>
      <c r="G13211" s="380" t="s">
        <v>1267</v>
      </c>
      <c r="H13211" s="380" t="s">
        <v>771</v>
      </c>
      <c r="I13211" s="380" t="s">
        <v>788</v>
      </c>
      <c r="J13211" s="380" t="s">
        <v>773</v>
      </c>
      <c r="K13211" s="381">
        <v>0.0</v>
      </c>
      <c r="L13211" s="382">
        <v>1.0</v>
      </c>
    </row>
    <row r="13212">
      <c r="A13212" s="380" t="s">
        <v>14086</v>
      </c>
      <c r="B13212" s="380" t="str">
        <f>IFERROR(__xludf.DUMMYFUNCTION("""COMPUTED_VALUE"""),"Deposito Hidraulico R Master 7700795347")</f>
        <v>Deposito Hidraulico R Master 7700795347</v>
      </c>
      <c r="C13212" s="380" t="str">
        <f>IFERROR(__xludf.DUMMYFUNCTION("""COMPUTED_VALUE"""),"70008686")</f>
        <v>70008686</v>
      </c>
      <c r="D13212" s="380" t="s">
        <v>767</v>
      </c>
      <c r="E13212" s="380" t="s">
        <v>786</v>
      </c>
      <c r="F13212" s="380" t="s">
        <v>792</v>
      </c>
      <c r="G13212" s="380" t="s">
        <v>1267</v>
      </c>
      <c r="H13212" s="380" t="s">
        <v>771</v>
      </c>
      <c r="I13212" s="380" t="s">
        <v>788</v>
      </c>
      <c r="J13212" s="380" t="s">
        <v>773</v>
      </c>
      <c r="K13212" s="381">
        <v>0.0</v>
      </c>
      <c r="L13212" s="382">
        <v>1.0</v>
      </c>
    </row>
    <row r="13213">
      <c r="A13213" s="380" t="s">
        <v>14087</v>
      </c>
      <c r="B13213" s="380" t="str">
        <f>IFERROR(__xludf.DUMMYFUNCTION("""COMPUTED_VALUE"""),"Piñon Sencillo Distrib Frr 8976067670")</f>
        <v>Piñon Sencillo Distrib Frr 8976067670</v>
      </c>
      <c r="C13213" s="380" t="str">
        <f>IFERROR(__xludf.DUMMYFUNCTION("""COMPUTED_VALUE"""),"70008687")</f>
        <v>70008687</v>
      </c>
      <c r="D13213" s="380" t="s">
        <v>767</v>
      </c>
      <c r="E13213" s="380" t="s">
        <v>786</v>
      </c>
      <c r="F13213" s="380" t="s">
        <v>787</v>
      </c>
      <c r="G13213" s="380" t="s">
        <v>1267</v>
      </c>
      <c r="H13213" s="380" t="s">
        <v>771</v>
      </c>
      <c r="I13213" s="380" t="s">
        <v>788</v>
      </c>
      <c r="J13213" s="380" t="s">
        <v>773</v>
      </c>
      <c r="K13213" s="381">
        <v>0.0</v>
      </c>
      <c r="L13213" s="382">
        <v>1.0</v>
      </c>
    </row>
    <row r="13214">
      <c r="A13214" s="380" t="s">
        <v>14088</v>
      </c>
      <c r="B13214" s="380" t="str">
        <f>IFERROR(__xludf.DUMMYFUNCTION("""COMPUTED_VALUE"""),"Piñon Triple Distribucion Frr 8982549700")</f>
        <v>Piñon Triple Distribucion Frr 8982549700</v>
      </c>
      <c r="C13214" s="380" t="str">
        <f>IFERROR(__xludf.DUMMYFUNCTION("""COMPUTED_VALUE"""),"70008688")</f>
        <v>70008688</v>
      </c>
      <c r="D13214" s="380" t="s">
        <v>767</v>
      </c>
      <c r="E13214" s="380" t="s">
        <v>786</v>
      </c>
      <c r="F13214" s="380" t="s">
        <v>787</v>
      </c>
      <c r="G13214" s="380" t="s">
        <v>1267</v>
      </c>
      <c r="H13214" s="380" t="s">
        <v>771</v>
      </c>
      <c r="I13214" s="380" t="s">
        <v>788</v>
      </c>
      <c r="J13214" s="380" t="s">
        <v>773</v>
      </c>
      <c r="K13214" s="381">
        <v>0.0</v>
      </c>
      <c r="L13214" s="382">
        <v>1.0</v>
      </c>
    </row>
    <row r="13215">
      <c r="A13215" s="380" t="s">
        <v>14089</v>
      </c>
      <c r="B13215" s="380" t="str">
        <f>IFERROR(__xludf.DUMMYFUNCTION("""COMPUTED_VALUE"""),"Cerradura Puerta Der Nkr Iiie 8980290533")</f>
        <v>Cerradura Puerta Der Nkr Iiie 8980290533</v>
      </c>
      <c r="C13215" s="380" t="str">
        <f>IFERROR(__xludf.DUMMYFUNCTION("""COMPUTED_VALUE"""),"70008689")</f>
        <v>70008689</v>
      </c>
      <c r="D13215" s="380" t="s">
        <v>767</v>
      </c>
      <c r="E13215" s="380" t="s">
        <v>786</v>
      </c>
      <c r="F13215" s="380" t="s">
        <v>792</v>
      </c>
      <c r="G13215" s="380" t="s">
        <v>1267</v>
      </c>
      <c r="H13215" s="380" t="s">
        <v>771</v>
      </c>
      <c r="I13215" s="380" t="s">
        <v>788</v>
      </c>
      <c r="J13215" s="380" t="s">
        <v>773</v>
      </c>
      <c r="K13215" s="381">
        <v>0.0</v>
      </c>
      <c r="L13215" s="382">
        <v>1.0</v>
      </c>
    </row>
    <row r="13216">
      <c r="A13216" s="380" t="s">
        <v>14090</v>
      </c>
      <c r="B13216" s="380" t="str">
        <f>IFERROR(__xludf.DUMMYFUNCTION("""COMPUTED_VALUE"""),"Rodaja Freno Foton 1128 Fabricada")</f>
        <v>Rodaja Freno Foton 1128 Fabricada</v>
      </c>
      <c r="C13216" s="380" t="str">
        <f>IFERROR(__xludf.DUMMYFUNCTION("""COMPUTED_VALUE"""),"70008690")</f>
        <v>70008690</v>
      </c>
      <c r="D13216" s="380" t="s">
        <v>767</v>
      </c>
      <c r="E13216" s="380" t="s">
        <v>786</v>
      </c>
      <c r="F13216" s="380" t="s">
        <v>1017</v>
      </c>
      <c r="G13216" s="380" t="s">
        <v>1267</v>
      </c>
      <c r="H13216" s="380" t="s">
        <v>771</v>
      </c>
      <c r="I13216" s="380" t="s">
        <v>788</v>
      </c>
      <c r="J13216" s="380" t="s">
        <v>773</v>
      </c>
      <c r="K13216" s="381">
        <v>0.0</v>
      </c>
      <c r="L13216" s="382">
        <v>1.0</v>
      </c>
    </row>
    <row r="13217">
      <c r="A13217" s="380" t="s">
        <v>14091</v>
      </c>
      <c r="B13217" s="380" t="str">
        <f>IFERROR(__xludf.DUMMYFUNCTION("""COMPUTED_VALUE"""),"Sensor Reversa Jac 1120 0068ds-1")</f>
        <v>Sensor Reversa Jac 1120 0068ds-1</v>
      </c>
      <c r="C13217" s="380" t="str">
        <f>IFERROR(__xludf.DUMMYFUNCTION("""COMPUTED_VALUE"""),"70008691")</f>
        <v>70008691</v>
      </c>
      <c r="D13217" s="380" t="s">
        <v>767</v>
      </c>
      <c r="E13217" s="380" t="s">
        <v>786</v>
      </c>
      <c r="F13217" s="380" t="s">
        <v>998</v>
      </c>
      <c r="G13217" s="380" t="s">
        <v>1267</v>
      </c>
      <c r="H13217" s="380" t="s">
        <v>771</v>
      </c>
      <c r="I13217" s="380" t="s">
        <v>788</v>
      </c>
      <c r="J13217" s="380" t="s">
        <v>773</v>
      </c>
      <c r="K13217" s="381">
        <v>0.0</v>
      </c>
      <c r="L13217" s="382">
        <v>1.0</v>
      </c>
    </row>
    <row r="13218">
      <c r="A13218" s="380" t="s">
        <v>14092</v>
      </c>
      <c r="B13218" s="380" t="str">
        <f>IFERROR(__xludf.DUMMYFUNCTION("""COMPUTED_VALUE"""),"Moldura Aleta Cabina Inter Lt 3840954c2")</f>
        <v>Moldura Aleta Cabina Inter Lt 3840954c2</v>
      </c>
      <c r="C13218" s="380" t="str">
        <f>IFERROR(__xludf.DUMMYFUNCTION("""COMPUTED_VALUE"""),"70008692")</f>
        <v>70008692</v>
      </c>
      <c r="D13218" s="380" t="s">
        <v>767</v>
      </c>
      <c r="E13218" s="380" t="s">
        <v>786</v>
      </c>
      <c r="F13218" s="380" t="s">
        <v>792</v>
      </c>
      <c r="G13218" s="380" t="s">
        <v>1267</v>
      </c>
      <c r="H13218" s="380" t="s">
        <v>771</v>
      </c>
      <c r="I13218" s="380" t="s">
        <v>788</v>
      </c>
      <c r="J13218" s="380" t="s">
        <v>773</v>
      </c>
      <c r="K13218" s="381">
        <v>0.0</v>
      </c>
      <c r="L13218" s="382">
        <v>1.0</v>
      </c>
    </row>
    <row r="13219">
      <c r="A13219" s="380" t="s">
        <v>14093</v>
      </c>
      <c r="B13219" s="380" t="str">
        <f>IFERROR(__xludf.DUMMYFUNCTION("""COMPUTED_VALUE"""),"Enfriador Egr Nkr Iiie E Iv 8980632838")</f>
        <v>Enfriador Egr Nkr Iiie E Iv 8980632838</v>
      </c>
      <c r="C13219" s="380" t="str">
        <f>IFERROR(__xludf.DUMMYFUNCTION("""COMPUTED_VALUE"""),"70008693")</f>
        <v>70008693</v>
      </c>
      <c r="D13219" s="380" t="s">
        <v>767</v>
      </c>
      <c r="E13219" s="380" t="s">
        <v>786</v>
      </c>
      <c r="F13219" s="380" t="s">
        <v>787</v>
      </c>
      <c r="G13219" s="380" t="s">
        <v>1267</v>
      </c>
      <c r="H13219" s="380" t="s">
        <v>771</v>
      </c>
      <c r="I13219" s="380" t="s">
        <v>788</v>
      </c>
      <c r="J13219" s="380" t="s">
        <v>773</v>
      </c>
      <c r="K13219" s="381">
        <v>0.0</v>
      </c>
      <c r="L13219" s="382">
        <v>1.0</v>
      </c>
    </row>
    <row r="13220">
      <c r="A13220" s="380" t="s">
        <v>14094</v>
      </c>
      <c r="B13220" s="380" t="str">
        <f>IFERROR(__xludf.DUMMYFUNCTION("""COMPUTED_VALUE"""),"Rache Freno Del Der FT 1065 0149269322")</f>
        <v>Rache Freno Del Der FT 1065 0149269322</v>
      </c>
      <c r="C13220" s="380" t="str">
        <f>IFERROR(__xludf.DUMMYFUNCTION("""COMPUTED_VALUE"""),"70008694")</f>
        <v>70008694</v>
      </c>
      <c r="D13220" s="380" t="s">
        <v>767</v>
      </c>
      <c r="E13220" s="380" t="s">
        <v>786</v>
      </c>
      <c r="F13220" s="380" t="s">
        <v>1017</v>
      </c>
      <c r="G13220" s="380" t="s">
        <v>1267</v>
      </c>
      <c r="H13220" s="380" t="s">
        <v>771</v>
      </c>
      <c r="I13220" s="380" t="s">
        <v>788</v>
      </c>
      <c r="J13220" s="380" t="s">
        <v>773</v>
      </c>
      <c r="K13220" s="381">
        <v>0.0</v>
      </c>
      <c r="L13220" s="382">
        <v>1.0</v>
      </c>
    </row>
    <row r="13221">
      <c r="A13221" s="380" t="s">
        <v>14095</v>
      </c>
      <c r="B13221" s="380" t="str">
        <f>IFERROR(__xludf.DUMMYFUNCTION("""COMPUTED_VALUE"""),"Bomba Urea Mack Anthem 24344201")</f>
        <v>Bomba Urea Mack Anthem 24344201</v>
      </c>
      <c r="C13221" s="380" t="str">
        <f>IFERROR(__xludf.DUMMYFUNCTION("""COMPUTED_VALUE"""),"70008695")</f>
        <v>70008695</v>
      </c>
      <c r="D13221" s="380" t="s">
        <v>767</v>
      </c>
      <c r="E13221" s="380" t="s">
        <v>786</v>
      </c>
      <c r="F13221" s="380" t="s">
        <v>998</v>
      </c>
      <c r="G13221" s="380" t="s">
        <v>1267</v>
      </c>
      <c r="H13221" s="380" t="s">
        <v>771</v>
      </c>
      <c r="I13221" s="380" t="s">
        <v>788</v>
      </c>
      <c r="J13221" s="380" t="s">
        <v>773</v>
      </c>
      <c r="K13221" s="381">
        <v>0.0</v>
      </c>
      <c r="L13221" s="382">
        <v>1.0</v>
      </c>
    </row>
    <row r="13222">
      <c r="A13222" s="380" t="s">
        <v>14096</v>
      </c>
      <c r="B13222" s="380" t="str">
        <f>IFERROR(__xludf.DUMMYFUNCTION("""COMPUTED_VALUE"""),"SENS Nox Despues Del Catalizador Daf Cf")</f>
        <v>SENS Nox Despues Del Catalizador Daf Cf</v>
      </c>
      <c r="C13222" s="380" t="str">
        <f>IFERROR(__xludf.DUMMYFUNCTION("""COMPUTED_VALUE"""),"70008696")</f>
        <v>70008696</v>
      </c>
      <c r="D13222" s="380" t="s">
        <v>767</v>
      </c>
      <c r="E13222" s="380" t="s">
        <v>786</v>
      </c>
      <c r="F13222" s="380" t="s">
        <v>998</v>
      </c>
      <c r="G13222" s="380" t="s">
        <v>1267</v>
      </c>
      <c r="H13222" s="380" t="s">
        <v>771</v>
      </c>
      <c r="I13222" s="380" t="s">
        <v>788</v>
      </c>
      <c r="J13222" s="380" t="s">
        <v>773</v>
      </c>
      <c r="K13222" s="381">
        <v>3482733.0</v>
      </c>
      <c r="L13222" s="382">
        <v>1.0</v>
      </c>
    </row>
    <row r="13223">
      <c r="A13223" s="380" t="s">
        <v>14097</v>
      </c>
      <c r="B13223" s="380" t="str">
        <f>IFERROR(__xludf.DUMMYFUNCTION("""COMPUTED_VALUE"""),"Doc Escape Foton 1128 Euro Vi 149555975")</f>
        <v>Doc Escape Foton 1128 Euro Vi 149555975</v>
      </c>
      <c r="C13223" s="380" t="str">
        <f>IFERROR(__xludf.DUMMYFUNCTION("""COMPUTED_VALUE"""),"70008697")</f>
        <v>70008697</v>
      </c>
      <c r="D13223" s="380" t="s">
        <v>767</v>
      </c>
      <c r="E13223" s="380" t="s">
        <v>786</v>
      </c>
      <c r="F13223" s="380" t="s">
        <v>787</v>
      </c>
      <c r="G13223" s="380" t="s">
        <v>1267</v>
      </c>
      <c r="H13223" s="380" t="s">
        <v>771</v>
      </c>
      <c r="I13223" s="380" t="s">
        <v>788</v>
      </c>
      <c r="J13223" s="380" t="s">
        <v>773</v>
      </c>
      <c r="K13223" s="381">
        <v>0.0</v>
      </c>
      <c r="L13223" s="382">
        <v>1.0</v>
      </c>
    </row>
    <row r="13224">
      <c r="A13224" s="380" t="s">
        <v>14098</v>
      </c>
      <c r="B13224" s="380" t="str">
        <f>IFERROR(__xludf.DUMMYFUNCTION("""COMPUTED_VALUE"""),"Buje Del Suspension Neway Adz 90008279")</f>
        <v>Buje Del Suspension Neway Adz 90008279</v>
      </c>
      <c r="C13224" s="380" t="str">
        <f>IFERROR(__xludf.DUMMYFUNCTION("""COMPUTED_VALUE"""),"70008698")</f>
        <v>70008698</v>
      </c>
      <c r="D13224" s="380" t="s">
        <v>767</v>
      </c>
      <c r="E13224" s="380" t="s">
        <v>786</v>
      </c>
      <c r="F13224" s="380" t="s">
        <v>1039</v>
      </c>
      <c r="G13224" s="380" t="s">
        <v>1267</v>
      </c>
      <c r="H13224" s="380" t="s">
        <v>771</v>
      </c>
      <c r="I13224" s="380" t="s">
        <v>788</v>
      </c>
      <c r="J13224" s="380" t="s">
        <v>773</v>
      </c>
      <c r="K13224" s="381">
        <v>0.0</v>
      </c>
      <c r="L13224" s="382">
        <v>1.0</v>
      </c>
    </row>
    <row r="13225">
      <c r="A13225" s="380" t="s">
        <v>14099</v>
      </c>
      <c r="B13225" s="380" t="str">
        <f>IFERROR(__xludf.DUMMYFUNCTION("""COMPUTED_VALUE"""),"Espejo Lateral Sup Der Daf Cf 1949304")</f>
        <v>Espejo Lateral Sup Der Daf Cf 1949304</v>
      </c>
      <c r="C13225" s="380" t="str">
        <f>IFERROR(__xludf.DUMMYFUNCTION("""COMPUTED_VALUE"""),"70008699")</f>
        <v>70008699</v>
      </c>
      <c r="D13225" s="380" t="s">
        <v>767</v>
      </c>
      <c r="E13225" s="380" t="s">
        <v>786</v>
      </c>
      <c r="F13225" s="380" t="s">
        <v>792</v>
      </c>
      <c r="G13225" s="380" t="s">
        <v>1267</v>
      </c>
      <c r="H13225" s="380" t="s">
        <v>771</v>
      </c>
      <c r="I13225" s="380" t="s">
        <v>788</v>
      </c>
      <c r="J13225" s="380" t="s">
        <v>773</v>
      </c>
      <c r="K13225" s="381">
        <v>0.0</v>
      </c>
      <c r="L13225" s="382">
        <v>1.0</v>
      </c>
    </row>
    <row r="13226">
      <c r="A13226" s="380" t="s">
        <v>14100</v>
      </c>
      <c r="B13226" s="380" t="str">
        <f>IFERROR(__xludf.DUMMYFUNCTION("""COMPUTED_VALUE"""),"Turbo Jac Jhr Reparado")</f>
        <v>Turbo Jac Jhr Reparado</v>
      </c>
      <c r="C13226" s="380" t="str">
        <f>IFERROR(__xludf.DUMMYFUNCTION("""COMPUTED_VALUE"""),"70008700")</f>
        <v>70008700</v>
      </c>
      <c r="D13226" s="380" t="s">
        <v>767</v>
      </c>
      <c r="E13226" s="380" t="s">
        <v>786</v>
      </c>
      <c r="F13226" s="380" t="s">
        <v>787</v>
      </c>
      <c r="G13226" s="380" t="s">
        <v>1267</v>
      </c>
      <c r="H13226" s="380" t="s">
        <v>771</v>
      </c>
      <c r="I13226" s="380" t="s">
        <v>788</v>
      </c>
      <c r="J13226" s="380" t="s">
        <v>773</v>
      </c>
      <c r="K13226" s="381">
        <v>0.0</v>
      </c>
      <c r="L13226" s="382">
        <v>1.0</v>
      </c>
    </row>
    <row r="13227">
      <c r="A13227" s="380" t="s">
        <v>14101</v>
      </c>
      <c r="B13227" s="380" t="str">
        <f>IFERROR(__xludf.DUMMYFUNCTION("""COMPUTED_VALUE"""),"Buje Ballesta Foton 1065 7701023972413")</f>
        <v>Buje Ballesta Foton 1065 7701023972413</v>
      </c>
      <c r="C13227" s="380" t="str">
        <f>IFERROR(__xludf.DUMMYFUNCTION("""COMPUTED_VALUE"""),"70008701")</f>
        <v>70008701</v>
      </c>
      <c r="D13227" s="380" t="s">
        <v>767</v>
      </c>
      <c r="E13227" s="380" t="s">
        <v>786</v>
      </c>
      <c r="F13227" s="380" t="s">
        <v>1039</v>
      </c>
      <c r="G13227" s="380" t="s">
        <v>1267</v>
      </c>
      <c r="H13227" s="380" t="s">
        <v>771</v>
      </c>
      <c r="I13227" s="380" t="s">
        <v>788</v>
      </c>
      <c r="J13227" s="380" t="s">
        <v>773</v>
      </c>
      <c r="K13227" s="381">
        <v>0.0</v>
      </c>
      <c r="L13227" s="382">
        <v>1.0</v>
      </c>
    </row>
    <row r="13228">
      <c r="A13228" s="380" t="s">
        <v>14102</v>
      </c>
      <c r="B13228" s="380" t="str">
        <f>IFERROR(__xludf.DUMMYFUNCTION("""COMPUTED_VALUE"""),"Bomba Hidr Direccion Foton 1129 23081559")</f>
        <v>Bomba Hidr Direccion Foton 1129 23081559</v>
      </c>
      <c r="C13228" s="380" t="str">
        <f>IFERROR(__xludf.DUMMYFUNCTION("""COMPUTED_VALUE"""),"70008702")</f>
        <v>70008702</v>
      </c>
      <c r="D13228" s="380" t="s">
        <v>767</v>
      </c>
      <c r="E13228" s="380" t="s">
        <v>786</v>
      </c>
      <c r="F13228" s="380" t="s">
        <v>1020</v>
      </c>
      <c r="G13228" s="380" t="s">
        <v>1267</v>
      </c>
      <c r="H13228" s="380" t="s">
        <v>771</v>
      </c>
      <c r="I13228" s="380" t="s">
        <v>788</v>
      </c>
      <c r="J13228" s="380" t="s">
        <v>773</v>
      </c>
      <c r="K13228" s="381">
        <v>0.0</v>
      </c>
      <c r="L13228" s="382">
        <v>1.0</v>
      </c>
    </row>
    <row r="13229">
      <c r="A13229" s="380" t="s">
        <v>14103</v>
      </c>
      <c r="B13229" s="380" t="str">
        <f>IFERROR(__xludf.DUMMYFUNCTION("""COMPUTED_VALUE"""),"Espejo Ext Izq Jac Sunray 8202100r004")</f>
        <v>Espejo Ext Izq Jac Sunray 8202100r004</v>
      </c>
      <c r="C13229" s="380" t="str">
        <f>IFERROR(__xludf.DUMMYFUNCTION("""COMPUTED_VALUE"""),"70008703")</f>
        <v>70008703</v>
      </c>
      <c r="D13229" s="380" t="s">
        <v>767</v>
      </c>
      <c r="E13229" s="380" t="s">
        <v>786</v>
      </c>
      <c r="F13229" s="380" t="s">
        <v>792</v>
      </c>
      <c r="G13229" s="380" t="s">
        <v>1267</v>
      </c>
      <c r="H13229" s="380" t="s">
        <v>771</v>
      </c>
      <c r="I13229" s="380" t="s">
        <v>788</v>
      </c>
      <c r="J13229" s="380" t="s">
        <v>773</v>
      </c>
      <c r="K13229" s="381">
        <v>0.0</v>
      </c>
      <c r="L13229" s="382">
        <v>1.0</v>
      </c>
    </row>
    <row r="13230">
      <c r="A13230" s="380" t="s">
        <v>14104</v>
      </c>
      <c r="B13230" s="380" t="str">
        <f>IFERROR(__xludf.DUMMYFUNCTION("""COMPUTED_VALUE"""),"Bisagra Puerta Izq Vw Worker 2vb831401")</f>
        <v>Bisagra Puerta Izq Vw Worker 2vb831401</v>
      </c>
      <c r="C13230" s="380" t="str">
        <f>IFERROR(__xludf.DUMMYFUNCTION("""COMPUTED_VALUE"""),"70008704")</f>
        <v>70008704</v>
      </c>
      <c r="D13230" s="380" t="s">
        <v>767</v>
      </c>
      <c r="E13230" s="380" t="s">
        <v>786</v>
      </c>
      <c r="F13230" s="380" t="s">
        <v>792</v>
      </c>
      <c r="G13230" s="380" t="s">
        <v>1267</v>
      </c>
      <c r="H13230" s="380" t="s">
        <v>771</v>
      </c>
      <c r="I13230" s="380" t="s">
        <v>788</v>
      </c>
      <c r="J13230" s="380" t="s">
        <v>773</v>
      </c>
      <c r="K13230" s="381">
        <v>0.0</v>
      </c>
      <c r="L13230" s="382">
        <v>1.0</v>
      </c>
    </row>
    <row r="13231">
      <c r="A13231" s="380" t="s">
        <v>14105</v>
      </c>
      <c r="B13231" s="380" t="str">
        <f>IFERROR(__xludf.DUMMYFUNCTION("""COMPUTED_VALUE"""),"Tuberia Vent Aire Carter Daf Cf 2383392")</f>
        <v>Tuberia Vent Aire Carter Daf Cf 2383392</v>
      </c>
      <c r="C13231" s="380" t="str">
        <f>IFERROR(__xludf.DUMMYFUNCTION("""COMPUTED_VALUE"""),"70008705")</f>
        <v>70008705</v>
      </c>
      <c r="D13231" s="380" t="s">
        <v>767</v>
      </c>
      <c r="E13231" s="380" t="s">
        <v>786</v>
      </c>
      <c r="F13231" s="380" t="s">
        <v>787</v>
      </c>
      <c r="G13231" s="380" t="s">
        <v>1267</v>
      </c>
      <c r="H13231" s="380" t="s">
        <v>771</v>
      </c>
      <c r="I13231" s="380" t="s">
        <v>788</v>
      </c>
      <c r="J13231" s="380" t="s">
        <v>773</v>
      </c>
      <c r="K13231" s="381">
        <v>0.0</v>
      </c>
      <c r="L13231" s="382">
        <v>1.0</v>
      </c>
    </row>
    <row r="13232">
      <c r="A13232" s="380" t="s">
        <v>14106</v>
      </c>
      <c r="B13232" s="380" t="str">
        <f>IFERROR(__xludf.DUMMYFUNCTION("""COMPUTED_VALUE"""),"Manija Int Pta Der Ft 4269 H4610152300a0")</f>
        <v>Manija Int Pta Der Ft 4269 H4610152300a0</v>
      </c>
      <c r="C13232" s="380" t="str">
        <f>IFERROR(__xludf.DUMMYFUNCTION("""COMPUTED_VALUE"""),"70008706")</f>
        <v>70008706</v>
      </c>
      <c r="D13232" s="380" t="s">
        <v>767</v>
      </c>
      <c r="E13232" s="380" t="s">
        <v>786</v>
      </c>
      <c r="F13232" s="380" t="s">
        <v>792</v>
      </c>
      <c r="G13232" s="380" t="s">
        <v>1267</v>
      </c>
      <c r="H13232" s="380" t="s">
        <v>771</v>
      </c>
      <c r="I13232" s="380" t="s">
        <v>788</v>
      </c>
      <c r="J13232" s="380" t="s">
        <v>773</v>
      </c>
      <c r="K13232" s="381">
        <v>28047.0</v>
      </c>
      <c r="L13232" s="382">
        <v>1.0</v>
      </c>
    </row>
    <row r="13233">
      <c r="A13233" s="380" t="s">
        <v>14107</v>
      </c>
      <c r="B13233" s="380" t="str">
        <f>IFERROR(__xludf.DUMMYFUNCTION("""COMPUTED_VALUE"""),"Manija Int Pta Izq Ft 4269 H4610150600a0")</f>
        <v>Manija Int Pta Izq Ft 4269 H4610150600a0</v>
      </c>
      <c r="C13233" s="380" t="str">
        <f>IFERROR(__xludf.DUMMYFUNCTION("""COMPUTED_VALUE"""),"70008707")</f>
        <v>70008707</v>
      </c>
      <c r="D13233" s="380" t="s">
        <v>767</v>
      </c>
      <c r="E13233" s="380" t="s">
        <v>786</v>
      </c>
      <c r="F13233" s="380" t="s">
        <v>792</v>
      </c>
      <c r="G13233" s="380" t="s">
        <v>1267</v>
      </c>
      <c r="H13233" s="380" t="s">
        <v>771</v>
      </c>
      <c r="I13233" s="380" t="s">
        <v>788</v>
      </c>
      <c r="J13233" s="380" t="s">
        <v>773</v>
      </c>
      <c r="K13233" s="381">
        <v>52194.0</v>
      </c>
      <c r="L13233" s="382">
        <v>1.0</v>
      </c>
    </row>
    <row r="13234">
      <c r="A13234" s="380" t="s">
        <v>14108</v>
      </c>
      <c r="B13234" s="380" t="str">
        <f>IFERROR(__xludf.DUMMYFUNCTION("""COMPUTED_VALUE"""),"Soporte Cabina Izq Mack Anthem 23438332")</f>
        <v>Soporte Cabina Izq Mack Anthem 23438332</v>
      </c>
      <c r="C13234" s="380" t="str">
        <f>IFERROR(__xludf.DUMMYFUNCTION("""COMPUTED_VALUE"""),"70008708")</f>
        <v>70008708</v>
      </c>
      <c r="D13234" s="380" t="s">
        <v>767</v>
      </c>
      <c r="E13234" s="380" t="s">
        <v>786</v>
      </c>
      <c r="F13234" s="380" t="s">
        <v>792</v>
      </c>
      <c r="G13234" s="380" t="s">
        <v>1267</v>
      </c>
      <c r="H13234" s="380" t="s">
        <v>771</v>
      </c>
      <c r="I13234" s="380" t="s">
        <v>788</v>
      </c>
      <c r="J13234" s="380" t="s">
        <v>773</v>
      </c>
      <c r="K13234" s="381">
        <v>0.0</v>
      </c>
      <c r="L13234" s="382">
        <v>1.0</v>
      </c>
    </row>
    <row r="13235">
      <c r="A13235" s="380" t="s">
        <v>14109</v>
      </c>
      <c r="B13235" s="380" t="str">
        <f>IFERROR(__xludf.DUMMYFUNCTION("""COMPUTED_VALUE"""),"Soporte Cabina Der Mack Anthem 23438331")</f>
        <v>Soporte Cabina Der Mack Anthem 23438331</v>
      </c>
      <c r="C13235" s="380" t="str">
        <f>IFERROR(__xludf.DUMMYFUNCTION("""COMPUTED_VALUE"""),"70008709")</f>
        <v>70008709</v>
      </c>
      <c r="D13235" s="380" t="s">
        <v>767</v>
      </c>
      <c r="E13235" s="380" t="s">
        <v>786</v>
      </c>
      <c r="F13235" s="380" t="s">
        <v>792</v>
      </c>
      <c r="G13235" s="380" t="s">
        <v>1267</v>
      </c>
      <c r="H13235" s="380" t="s">
        <v>771</v>
      </c>
      <c r="I13235" s="380" t="s">
        <v>788</v>
      </c>
      <c r="J13235" s="380" t="s">
        <v>773</v>
      </c>
      <c r="K13235" s="381">
        <v>0.0</v>
      </c>
      <c r="L13235" s="382">
        <v>1.0</v>
      </c>
    </row>
    <row r="13236">
      <c r="A13236" s="380" t="s">
        <v>14110</v>
      </c>
      <c r="B13236" s="380" t="str">
        <f>IFERROR(__xludf.DUMMYFUNCTION("""COMPUTED_VALUE"""),"Ctrl Elevavidr Der Jac Jkr 3746940ld060")</f>
        <v>Ctrl Elevavidr Der Jac Jkr 3746940ld060</v>
      </c>
      <c r="C13236" s="380" t="str">
        <f>IFERROR(__xludf.DUMMYFUNCTION("""COMPUTED_VALUE"""),"70008710")</f>
        <v>70008710</v>
      </c>
      <c r="D13236" s="380" t="s">
        <v>767</v>
      </c>
      <c r="E13236" s="380" t="s">
        <v>786</v>
      </c>
      <c r="F13236" s="380" t="s">
        <v>998</v>
      </c>
      <c r="G13236" s="380" t="s">
        <v>1267</v>
      </c>
      <c r="H13236" s="380" t="s">
        <v>771</v>
      </c>
      <c r="I13236" s="380" t="s">
        <v>788</v>
      </c>
      <c r="J13236" s="380" t="s">
        <v>773</v>
      </c>
      <c r="K13236" s="381">
        <v>0.0</v>
      </c>
      <c r="L13236" s="382">
        <v>1.0</v>
      </c>
    </row>
    <row r="13237">
      <c r="A13237" s="380" t="s">
        <v>14111</v>
      </c>
      <c r="B13237" s="380" t="str">
        <f>IFERROR(__xludf.DUMMYFUNCTION("""COMPUTED_VALUE"""),"Forro Cabrilla 16""")</f>
        <v>Forro Cabrilla 16"</v>
      </c>
      <c r="C13237" s="380" t="str">
        <f>IFERROR(__xludf.DUMMYFUNCTION("""COMPUTED_VALUE"""),"70008711")</f>
        <v>70008711</v>
      </c>
      <c r="D13237" s="380" t="s">
        <v>767</v>
      </c>
      <c r="E13237" s="380" t="s">
        <v>786</v>
      </c>
      <c r="F13237" s="380" t="s">
        <v>792</v>
      </c>
      <c r="G13237" s="380" t="s">
        <v>1267</v>
      </c>
      <c r="H13237" s="380" t="s">
        <v>771</v>
      </c>
      <c r="I13237" s="380" t="s">
        <v>788</v>
      </c>
      <c r="J13237" s="380" t="s">
        <v>773</v>
      </c>
      <c r="K13237" s="381">
        <v>177013.0</v>
      </c>
      <c r="L13237" s="382">
        <v>1.0</v>
      </c>
    </row>
    <row r="13238">
      <c r="A13238" s="380" t="s">
        <v>14112</v>
      </c>
      <c r="B13238" s="380" t="str">
        <f>IFERROR(__xludf.DUMMYFUNCTION("""COMPUTED_VALUE"""),"Barra Estab Del Foton 4269 H4502a01120a0")</f>
        <v>Barra Estab Del Foton 4269 H4502a01120a0</v>
      </c>
      <c r="C13238" s="380" t="str">
        <f>IFERROR(__xludf.DUMMYFUNCTION("""COMPUTED_VALUE"""),"70008712")</f>
        <v>70008712</v>
      </c>
      <c r="D13238" s="380" t="s">
        <v>767</v>
      </c>
      <c r="E13238" s="380" t="s">
        <v>786</v>
      </c>
      <c r="F13238" s="380" t="s">
        <v>1039</v>
      </c>
      <c r="G13238" s="380" t="s">
        <v>1267</v>
      </c>
      <c r="H13238" s="380" t="s">
        <v>771</v>
      </c>
      <c r="I13238" s="380" t="s">
        <v>788</v>
      </c>
      <c r="J13238" s="380" t="s">
        <v>773</v>
      </c>
      <c r="K13238" s="381">
        <v>0.0</v>
      </c>
      <c r="L13238" s="382">
        <v>1.0</v>
      </c>
    </row>
    <row r="13239">
      <c r="A13239" s="380" t="s">
        <v>14113</v>
      </c>
      <c r="B13239" s="380" t="str">
        <f>IFERROR(__xludf.DUMMYFUNCTION("""COMPUTED_VALUE"""),"Sop Intercooler Ft 4269 H4119310000a0")</f>
        <v>Sop Intercooler Ft 4269 H4119310000a0</v>
      </c>
      <c r="C13239" s="380" t="str">
        <f>IFERROR(__xludf.DUMMYFUNCTION("""COMPUTED_VALUE"""),"70008713")</f>
        <v>70008713</v>
      </c>
      <c r="D13239" s="380" t="s">
        <v>767</v>
      </c>
      <c r="E13239" s="380" t="s">
        <v>786</v>
      </c>
      <c r="F13239" s="380" t="s">
        <v>792</v>
      </c>
      <c r="G13239" s="380" t="s">
        <v>1267</v>
      </c>
      <c r="H13239" s="380" t="s">
        <v>771</v>
      </c>
      <c r="I13239" s="380" t="s">
        <v>788</v>
      </c>
      <c r="J13239" s="380" t="s">
        <v>773</v>
      </c>
      <c r="K13239" s="381">
        <v>0.0</v>
      </c>
      <c r="L13239" s="382">
        <v>1.0</v>
      </c>
    </row>
    <row r="13240">
      <c r="A13240" s="380" t="s">
        <v>14114</v>
      </c>
      <c r="B13240" s="380" t="str">
        <f>IFERROR(__xludf.DUMMYFUNCTION("""COMPUTED_VALUE"""),"Panel Int Esqu Der Ft 4269 H4531017200a0")</f>
        <v>Panel Int Esqu Der Ft 4269 H4531017200a0</v>
      </c>
      <c r="C13240" s="380" t="str">
        <f>IFERROR(__xludf.DUMMYFUNCTION("""COMPUTED_VALUE"""),"70008714")</f>
        <v>70008714</v>
      </c>
      <c r="D13240" s="380" t="s">
        <v>767</v>
      </c>
      <c r="E13240" s="380" t="s">
        <v>786</v>
      </c>
      <c r="F13240" s="380" t="s">
        <v>792</v>
      </c>
      <c r="G13240" s="380" t="s">
        <v>1267</v>
      </c>
      <c r="H13240" s="380" t="s">
        <v>771</v>
      </c>
      <c r="I13240" s="380" t="s">
        <v>788</v>
      </c>
      <c r="J13240" s="380" t="s">
        <v>773</v>
      </c>
      <c r="K13240" s="381">
        <v>0.0</v>
      </c>
      <c r="L13240" s="382">
        <v>1.0</v>
      </c>
    </row>
    <row r="13241">
      <c r="A13241" s="380" t="s">
        <v>14115</v>
      </c>
      <c r="B13241" s="380" t="str">
        <f>IFERROR(__xludf.DUMMYFUNCTION("""COMPUTED_VALUE"""),"Intercooler Foton 4269 H413000000167")</f>
        <v>Intercooler Foton 4269 H413000000167</v>
      </c>
      <c r="C13241" s="380" t="str">
        <f>IFERROR(__xludf.DUMMYFUNCTION("""COMPUTED_VALUE"""),"70008715")</f>
        <v>70008715</v>
      </c>
      <c r="D13241" s="380" t="s">
        <v>767</v>
      </c>
      <c r="E13241" s="380" t="s">
        <v>786</v>
      </c>
      <c r="F13241" s="380" t="s">
        <v>787</v>
      </c>
      <c r="G13241" s="380" t="s">
        <v>1267</v>
      </c>
      <c r="H13241" s="380" t="s">
        <v>771</v>
      </c>
      <c r="I13241" s="380" t="s">
        <v>788</v>
      </c>
      <c r="J13241" s="380" t="s">
        <v>773</v>
      </c>
      <c r="K13241" s="381">
        <v>0.0</v>
      </c>
      <c r="L13241" s="382">
        <v>1.0</v>
      </c>
    </row>
    <row r="13242">
      <c r="A13242" s="380" t="s">
        <v>14116</v>
      </c>
      <c r="B13242" s="380" t="str">
        <f>IFERROR(__xludf.DUMMYFUNCTION("""COMPUTED_VALUE"""),"Sop Cent Izq Bomp Ft 4269 H4831020803a0")</f>
        <v>Sop Cent Izq Bomp Ft 4269 H4831020803a0</v>
      </c>
      <c r="C13242" s="380" t="str">
        <f>IFERROR(__xludf.DUMMYFUNCTION("""COMPUTED_VALUE"""),"70008716")</f>
        <v>70008716</v>
      </c>
      <c r="D13242" s="380" t="s">
        <v>767</v>
      </c>
      <c r="E13242" s="380" t="s">
        <v>786</v>
      </c>
      <c r="F13242" s="380" t="s">
        <v>792</v>
      </c>
      <c r="G13242" s="380" t="s">
        <v>1267</v>
      </c>
      <c r="H13242" s="380" t="s">
        <v>771</v>
      </c>
      <c r="I13242" s="380" t="s">
        <v>788</v>
      </c>
      <c r="J13242" s="380" t="s">
        <v>773</v>
      </c>
      <c r="K13242" s="381">
        <v>0.0</v>
      </c>
      <c r="L13242" s="382">
        <v>1.0</v>
      </c>
    </row>
    <row r="13243">
      <c r="A13243" s="380" t="s">
        <v>14117</v>
      </c>
      <c r="B13243" s="380" t="str">
        <f>IFERROR(__xludf.DUMMYFUNCTION("""COMPUTED_VALUE"""),"Enfocador Rad Foton 4269 H413000000182")</f>
        <v>Enfocador Rad Foton 4269 H413000000182</v>
      </c>
      <c r="C13243" s="380" t="str">
        <f>IFERROR(__xludf.DUMMYFUNCTION("""COMPUTED_VALUE"""),"70008717")</f>
        <v>70008717</v>
      </c>
      <c r="D13243" s="380" t="s">
        <v>767</v>
      </c>
      <c r="E13243" s="380" t="s">
        <v>786</v>
      </c>
      <c r="F13243" s="380" t="s">
        <v>787</v>
      </c>
      <c r="G13243" s="380" t="s">
        <v>1267</v>
      </c>
      <c r="H13243" s="380" t="s">
        <v>771</v>
      </c>
      <c r="I13243" s="380" t="s">
        <v>788</v>
      </c>
      <c r="J13243" s="380" t="s">
        <v>773</v>
      </c>
      <c r="K13243" s="381">
        <v>0.0</v>
      </c>
      <c r="L13243" s="382">
        <v>1.0</v>
      </c>
    </row>
    <row r="13244">
      <c r="A13244" s="380" t="s">
        <v>14118</v>
      </c>
      <c r="B13244" s="380" t="str">
        <f>IFERROR(__xludf.DUMMYFUNCTION("""COMPUTED_VALUE"""),"Rejilla Bomper Foton 4269 H4831013501a0")</f>
        <v>Rejilla Bomper Foton 4269 H4831013501a0</v>
      </c>
      <c r="C13244" s="380" t="str">
        <f>IFERROR(__xludf.DUMMYFUNCTION("""COMPUTED_VALUE"""),"70008718")</f>
        <v>70008718</v>
      </c>
      <c r="D13244" s="380" t="s">
        <v>767</v>
      </c>
      <c r="E13244" s="380" t="s">
        <v>786</v>
      </c>
      <c r="F13244" s="380" t="s">
        <v>792</v>
      </c>
      <c r="G13244" s="380" t="s">
        <v>1267</v>
      </c>
      <c r="H13244" s="380" t="s">
        <v>771</v>
      </c>
      <c r="I13244" s="380" t="s">
        <v>788</v>
      </c>
      <c r="J13244" s="380" t="s">
        <v>773</v>
      </c>
      <c r="K13244" s="381">
        <v>0.0</v>
      </c>
      <c r="L13244" s="382">
        <v>1.0</v>
      </c>
    </row>
    <row r="13245">
      <c r="A13245" s="380" t="s">
        <v>14119</v>
      </c>
      <c r="B13245" s="380" t="str">
        <f>IFERROR(__xludf.DUMMYFUNCTION("""COMPUTED_VALUE"""),"Panel Cent Bomper Ft 4269 H4831010606a0")</f>
        <v>Panel Cent Bomper Ft 4269 H4831010606a0</v>
      </c>
      <c r="C13245" s="380" t="str">
        <f>IFERROR(__xludf.DUMMYFUNCTION("""COMPUTED_VALUE"""),"70008719")</f>
        <v>70008719</v>
      </c>
      <c r="D13245" s="380" t="s">
        <v>767</v>
      </c>
      <c r="E13245" s="380" t="s">
        <v>786</v>
      </c>
      <c r="F13245" s="380" t="s">
        <v>792</v>
      </c>
      <c r="G13245" s="380" t="s">
        <v>1267</v>
      </c>
      <c r="H13245" s="380" t="s">
        <v>771</v>
      </c>
      <c r="I13245" s="380" t="s">
        <v>788</v>
      </c>
      <c r="J13245" s="380" t="s">
        <v>773</v>
      </c>
      <c r="K13245" s="381">
        <v>0.0</v>
      </c>
      <c r="L13245" s="382">
        <v>1.0</v>
      </c>
    </row>
    <row r="13246">
      <c r="A13246" s="380" t="s">
        <v>14120</v>
      </c>
      <c r="B13246" s="380" t="str">
        <f>IFERROR(__xludf.DUMMYFUNCTION("""COMPUTED_VALUE"""),"Panel Esqu Der Foton 4269 H4531017400a0")</f>
        <v>Panel Esqu Der Foton 4269 H4531017400a0</v>
      </c>
      <c r="C13246" s="380" t="str">
        <f>IFERROR(__xludf.DUMMYFUNCTION("""COMPUTED_VALUE"""),"70008720")</f>
        <v>70008720</v>
      </c>
      <c r="D13246" s="380" t="s">
        <v>767</v>
      </c>
      <c r="E13246" s="380" t="s">
        <v>786</v>
      </c>
      <c r="F13246" s="380" t="s">
        <v>792</v>
      </c>
      <c r="G13246" s="380" t="s">
        <v>1267</v>
      </c>
      <c r="H13246" s="380" t="s">
        <v>771</v>
      </c>
      <c r="I13246" s="380" t="s">
        <v>788</v>
      </c>
      <c r="J13246" s="380" t="s">
        <v>773</v>
      </c>
      <c r="K13246" s="381">
        <v>0.0</v>
      </c>
      <c r="L13246" s="382">
        <v>1.0</v>
      </c>
    </row>
    <row r="13247">
      <c r="A13247" s="380" t="s">
        <v>14121</v>
      </c>
      <c r="B13247" s="380" t="str">
        <f>IFERROR(__xludf.DUMMYFUNCTION("""COMPUTED_VALUE"""),"Sop Cent Der Bomp Ft 4269 H4831020902a0")</f>
        <v>Sop Cent Der Bomp Ft 4269 H4831020902a0</v>
      </c>
      <c r="C13247" s="380" t="str">
        <f>IFERROR(__xludf.DUMMYFUNCTION("""COMPUTED_VALUE"""),"70008721")</f>
        <v>70008721</v>
      </c>
      <c r="D13247" s="380" t="s">
        <v>767</v>
      </c>
      <c r="E13247" s="380" t="s">
        <v>786</v>
      </c>
      <c r="F13247" s="380" t="s">
        <v>792</v>
      </c>
      <c r="G13247" s="380" t="s">
        <v>1267</v>
      </c>
      <c r="H13247" s="380" t="s">
        <v>771</v>
      </c>
      <c r="I13247" s="380" t="s">
        <v>788</v>
      </c>
      <c r="J13247" s="380" t="s">
        <v>773</v>
      </c>
      <c r="K13247" s="381">
        <v>0.0</v>
      </c>
      <c r="L13247" s="382">
        <v>1.0</v>
      </c>
    </row>
    <row r="13248">
      <c r="A13248" s="380" t="s">
        <v>14122</v>
      </c>
      <c r="B13248" s="380" t="str">
        <f>IFERROR(__xludf.DUMMYFUNCTION("""COMPUTED_VALUE"""),"Manija Front Cab Ft 4269 H4531010011a0")</f>
        <v>Manija Front Cab Ft 4269 H4531010011a0</v>
      </c>
      <c r="C13248" s="380" t="str">
        <f>IFERROR(__xludf.DUMMYFUNCTION("""COMPUTED_VALUE"""),"70008722")</f>
        <v>70008722</v>
      </c>
      <c r="D13248" s="380" t="s">
        <v>767</v>
      </c>
      <c r="E13248" s="380" t="s">
        <v>786</v>
      </c>
      <c r="F13248" s="380" t="s">
        <v>792</v>
      </c>
      <c r="G13248" s="380" t="s">
        <v>1267</v>
      </c>
      <c r="H13248" s="380" t="s">
        <v>771</v>
      </c>
      <c r="I13248" s="380" t="s">
        <v>788</v>
      </c>
      <c r="J13248" s="380" t="s">
        <v>773</v>
      </c>
      <c r="K13248" s="381">
        <v>0.0</v>
      </c>
      <c r="L13248" s="382">
        <v>1.0</v>
      </c>
    </row>
    <row r="13249">
      <c r="A13249" s="380" t="s">
        <v>14123</v>
      </c>
      <c r="B13249" s="380" t="str">
        <f>IFERROR(__xludf.DUMMYFUNCTION("""COMPUTED_VALUE"""),"Cubierta Filtr A/C Ft 4269 H481100000124")</f>
        <v>Cubierta Filtr A/C Ft 4269 H481100000124</v>
      </c>
      <c r="C13249" s="380" t="str">
        <f>IFERROR(__xludf.DUMMYFUNCTION("""COMPUTED_VALUE"""),"70008723")</f>
        <v>70008723</v>
      </c>
      <c r="D13249" s="380" t="s">
        <v>767</v>
      </c>
      <c r="E13249" s="380" t="s">
        <v>786</v>
      </c>
      <c r="F13249" s="380" t="s">
        <v>792</v>
      </c>
      <c r="G13249" s="380" t="s">
        <v>1267</v>
      </c>
      <c r="H13249" s="380" t="s">
        <v>771</v>
      </c>
      <c r="I13249" s="380" t="s">
        <v>788</v>
      </c>
      <c r="J13249" s="380" t="s">
        <v>773</v>
      </c>
      <c r="K13249" s="381">
        <v>0.0</v>
      </c>
      <c r="L13249" s="382">
        <v>1.0</v>
      </c>
    </row>
    <row r="13250">
      <c r="A13250" s="380" t="s">
        <v>14124</v>
      </c>
      <c r="B13250" s="380" t="str">
        <f>IFERROR(__xludf.DUMMYFUNCTION("""COMPUTED_VALUE"""),"Ducto Baj Pres A/C Ft 4269 H4812064408a0")</f>
        <v>Ducto Baj Pres A/C Ft 4269 H4812064408a0</v>
      </c>
      <c r="C13250" s="380" t="str">
        <f>IFERROR(__xludf.DUMMYFUNCTION("""COMPUTED_VALUE"""),"70008724")</f>
        <v>70008724</v>
      </c>
      <c r="D13250" s="380" t="s">
        <v>767</v>
      </c>
      <c r="E13250" s="380" t="s">
        <v>786</v>
      </c>
      <c r="F13250" s="380" t="s">
        <v>1031</v>
      </c>
      <c r="G13250" s="380" t="s">
        <v>1267</v>
      </c>
      <c r="H13250" s="380" t="s">
        <v>771</v>
      </c>
      <c r="I13250" s="380" t="s">
        <v>788</v>
      </c>
      <c r="J13250" s="380" t="s">
        <v>773</v>
      </c>
      <c r="K13250" s="381">
        <v>0.0</v>
      </c>
      <c r="L13250" s="382">
        <v>1.0</v>
      </c>
    </row>
    <row r="13251">
      <c r="A13251" s="380" t="s">
        <v>14125</v>
      </c>
      <c r="B13251" s="380" t="str">
        <f>IFERROR(__xludf.DUMMYFUNCTION("""COMPUTED_VALUE"""),"Ducto Alt Pres A/C Ft 4269 H4812060302a0")</f>
        <v>Ducto Alt Pres A/C Ft 4269 H4812060302a0</v>
      </c>
      <c r="C13251" s="380" t="str">
        <f>IFERROR(__xludf.DUMMYFUNCTION("""COMPUTED_VALUE"""),"70008725")</f>
        <v>70008725</v>
      </c>
      <c r="D13251" s="380" t="s">
        <v>767</v>
      </c>
      <c r="E13251" s="380" t="s">
        <v>786</v>
      </c>
      <c r="F13251" s="380" t="s">
        <v>1031</v>
      </c>
      <c r="G13251" s="380" t="s">
        <v>1267</v>
      </c>
      <c r="H13251" s="380" t="s">
        <v>771</v>
      </c>
      <c r="I13251" s="380" t="s">
        <v>788</v>
      </c>
      <c r="J13251" s="380" t="s">
        <v>773</v>
      </c>
      <c r="K13251" s="381">
        <v>0.0</v>
      </c>
      <c r="L13251" s="382">
        <v>1.0</v>
      </c>
    </row>
    <row r="13252">
      <c r="A13252" s="380" t="s">
        <v>14126</v>
      </c>
      <c r="B13252" s="380" t="str">
        <f>IFERROR(__xludf.DUMMYFUNCTION("""COMPUTED_VALUE"""),"Condensador A/C Ft 4269 H4812020001a0")</f>
        <v>Condensador A/C Ft 4269 H4812020001a0</v>
      </c>
      <c r="C13252" s="380" t="str">
        <f>IFERROR(__xludf.DUMMYFUNCTION("""COMPUTED_VALUE"""),"70008726")</f>
        <v>70008726</v>
      </c>
      <c r="D13252" s="380" t="s">
        <v>767</v>
      </c>
      <c r="E13252" s="380" t="s">
        <v>786</v>
      </c>
      <c r="F13252" s="380" t="s">
        <v>1031</v>
      </c>
      <c r="G13252" s="380" t="s">
        <v>1267</v>
      </c>
      <c r="H13252" s="380" t="s">
        <v>771</v>
      </c>
      <c r="I13252" s="380" t="s">
        <v>788</v>
      </c>
      <c r="J13252" s="380" t="s">
        <v>773</v>
      </c>
      <c r="K13252" s="381">
        <v>0.0</v>
      </c>
      <c r="L13252" s="382">
        <v>1.0</v>
      </c>
    </row>
    <row r="13253">
      <c r="A13253" s="380" t="s">
        <v>14127</v>
      </c>
      <c r="B13253" s="380" t="str">
        <f>IFERROR(__xludf.DUMMYFUNCTION("""COMPUTED_VALUE"""),"Persiana Foton 4269 H4531013100a0")</f>
        <v>Persiana Foton 4269 H4531013100a0</v>
      </c>
      <c r="C13253" s="380" t="str">
        <f>IFERROR(__xludf.DUMMYFUNCTION("""COMPUTED_VALUE"""),"70008727")</f>
        <v>70008727</v>
      </c>
      <c r="D13253" s="380" t="s">
        <v>767</v>
      </c>
      <c r="E13253" s="380" t="s">
        <v>786</v>
      </c>
      <c r="F13253" s="380" t="s">
        <v>792</v>
      </c>
      <c r="G13253" s="380" t="s">
        <v>1267</v>
      </c>
      <c r="H13253" s="380" t="s">
        <v>771</v>
      </c>
      <c r="I13253" s="380" t="s">
        <v>788</v>
      </c>
      <c r="J13253" s="380" t="s">
        <v>773</v>
      </c>
      <c r="K13253" s="381">
        <v>0.0</v>
      </c>
      <c r="L13253" s="382">
        <v>1.0</v>
      </c>
    </row>
    <row r="13254">
      <c r="A13254" s="380" t="s">
        <v>14128</v>
      </c>
      <c r="B13254" s="380" t="str">
        <f>IFERROR(__xludf.DUMMYFUNCTION("""COMPUTED_VALUE"""),"Sop Bloqu Persiana Ft 4269 H4531051000a0")</f>
        <v>Sop Bloqu Persiana Ft 4269 H4531051000a0</v>
      </c>
      <c r="C13254" s="380" t="str">
        <f>IFERROR(__xludf.DUMMYFUNCTION("""COMPUTED_VALUE"""),"70008728")</f>
        <v>70008728</v>
      </c>
      <c r="D13254" s="380" t="s">
        <v>767</v>
      </c>
      <c r="E13254" s="380" t="s">
        <v>786</v>
      </c>
      <c r="F13254" s="380" t="s">
        <v>792</v>
      </c>
      <c r="G13254" s="380" t="s">
        <v>1267</v>
      </c>
      <c r="H13254" s="380" t="s">
        <v>771</v>
      </c>
      <c r="I13254" s="380" t="s">
        <v>788</v>
      </c>
      <c r="J13254" s="380" t="s">
        <v>773</v>
      </c>
      <c r="K13254" s="381">
        <v>0.0</v>
      </c>
      <c r="L13254" s="382">
        <v>1.0</v>
      </c>
    </row>
    <row r="13255">
      <c r="A13255" s="380" t="s">
        <v>14129</v>
      </c>
      <c r="B13255" s="380" t="str">
        <f>IFERROR(__xludf.DUMMYFUNCTION("""COMPUTED_VALUE"""),"Tuerca Int Campana Del Ftr 1094000710")</f>
        <v>Tuerca Int Campana Del Ftr 1094000710</v>
      </c>
      <c r="C13255" s="380" t="str">
        <f>IFERROR(__xludf.DUMMYFUNCTION("""COMPUTED_VALUE"""),"70008729")</f>
        <v>70008729</v>
      </c>
      <c r="D13255" s="380" t="s">
        <v>767</v>
      </c>
      <c r="E13255" s="380" t="s">
        <v>786</v>
      </c>
      <c r="F13255" s="380" t="s">
        <v>5683</v>
      </c>
      <c r="G13255" s="380" t="s">
        <v>1267</v>
      </c>
      <c r="H13255" s="380" t="s">
        <v>771</v>
      </c>
      <c r="I13255" s="380" t="s">
        <v>788</v>
      </c>
      <c r="J13255" s="380" t="s">
        <v>773</v>
      </c>
      <c r="K13255" s="381">
        <v>0.0</v>
      </c>
      <c r="L13255" s="382">
        <v>1.0</v>
      </c>
    </row>
    <row r="13256">
      <c r="A13256" s="380" t="s">
        <v>14130</v>
      </c>
      <c r="B13256" s="380" t="str">
        <f>IFERROR(__xludf.DUMMYFUNCTION("""COMPUTED_VALUE"""),"Luz De Conduccion Diurna DER Daf Cf 480")</f>
        <v>Luz De Conduccion Diurna DER Daf Cf 480</v>
      </c>
      <c r="C13256" s="380" t="str">
        <f>IFERROR(__xludf.DUMMYFUNCTION("""COMPUTED_VALUE"""),"70008730")</f>
        <v>70008730</v>
      </c>
      <c r="D13256" s="380" t="s">
        <v>767</v>
      </c>
      <c r="E13256" s="380" t="s">
        <v>786</v>
      </c>
      <c r="F13256" s="380" t="s">
        <v>998</v>
      </c>
      <c r="G13256" s="380" t="s">
        <v>1267</v>
      </c>
      <c r="H13256" s="380" t="s">
        <v>771</v>
      </c>
      <c r="I13256" s="380" t="s">
        <v>788</v>
      </c>
      <c r="J13256" s="380" t="s">
        <v>773</v>
      </c>
      <c r="K13256" s="381">
        <v>0.0</v>
      </c>
      <c r="L13256" s="382">
        <v>1.0</v>
      </c>
    </row>
    <row r="13257">
      <c r="A13257" s="380" t="s">
        <v>14131</v>
      </c>
      <c r="B13257" s="380" t="str">
        <f>IFERROR(__xludf.DUMMYFUNCTION("""COMPUTED_VALUE"""),"Tapa Llen Aceite Mot Foton 1129 23513395")</f>
        <v>Tapa Llen Aceite Mot Foton 1129 23513395</v>
      </c>
      <c r="C13257" s="380" t="str">
        <f>IFERROR(__xludf.DUMMYFUNCTION("""COMPUTED_VALUE"""),"70008731")</f>
        <v>70008731</v>
      </c>
      <c r="D13257" s="380" t="s">
        <v>767</v>
      </c>
      <c r="E13257" s="380" t="s">
        <v>786</v>
      </c>
      <c r="F13257" s="380" t="s">
        <v>787</v>
      </c>
      <c r="G13257" s="380" t="s">
        <v>1267</v>
      </c>
      <c r="H13257" s="380" t="s">
        <v>771</v>
      </c>
      <c r="I13257" s="380" t="s">
        <v>788</v>
      </c>
      <c r="J13257" s="380" t="s">
        <v>773</v>
      </c>
      <c r="K13257" s="381">
        <v>0.0</v>
      </c>
      <c r="L13257" s="382">
        <v>1.0</v>
      </c>
    </row>
    <row r="13258">
      <c r="A13258" s="380" t="s">
        <v>14132</v>
      </c>
      <c r="B13258" s="380" t="str">
        <f>IFERROR(__xludf.DUMMYFUNCTION("""COMPUTED_VALUE"""),"Arandela Del Susp Neway Adz 93600534")</f>
        <v>Arandela Del Susp Neway Adz 93600534</v>
      </c>
      <c r="C13258" s="380" t="str">
        <f>IFERROR(__xludf.DUMMYFUNCTION("""COMPUTED_VALUE"""),"70008732")</f>
        <v>70008732</v>
      </c>
      <c r="D13258" s="380" t="s">
        <v>767</v>
      </c>
      <c r="E13258" s="380" t="s">
        <v>786</v>
      </c>
      <c r="F13258" s="380" t="s">
        <v>1039</v>
      </c>
      <c r="G13258" s="380" t="s">
        <v>1267</v>
      </c>
      <c r="H13258" s="380" t="s">
        <v>771</v>
      </c>
      <c r="I13258" s="380" t="s">
        <v>788</v>
      </c>
      <c r="J13258" s="380" t="s">
        <v>773</v>
      </c>
      <c r="K13258" s="381">
        <v>0.0</v>
      </c>
      <c r="L13258" s="382">
        <v>1.0</v>
      </c>
    </row>
    <row r="13259">
      <c r="A13259" s="380" t="s">
        <v>14133</v>
      </c>
      <c r="B13259" s="380" t="str">
        <f>IFERROR(__xludf.DUMMYFUNCTION("""COMPUTED_VALUE"""),"Arandela Alin Susp Neway Adz 90001760")</f>
        <v>Arandela Alin Susp Neway Adz 90001760</v>
      </c>
      <c r="C13259" s="380" t="str">
        <f>IFERROR(__xludf.DUMMYFUNCTION("""COMPUTED_VALUE"""),"70008733")</f>
        <v>70008733</v>
      </c>
      <c r="D13259" s="380" t="s">
        <v>767</v>
      </c>
      <c r="E13259" s="380" t="s">
        <v>786</v>
      </c>
      <c r="F13259" s="380" t="s">
        <v>1039</v>
      </c>
      <c r="G13259" s="380" t="s">
        <v>1267</v>
      </c>
      <c r="H13259" s="380" t="s">
        <v>771</v>
      </c>
      <c r="I13259" s="380" t="s">
        <v>788</v>
      </c>
      <c r="J13259" s="380" t="s">
        <v>773</v>
      </c>
      <c r="K13259" s="381">
        <v>0.0</v>
      </c>
      <c r="L13259" s="382">
        <v>1.0</v>
      </c>
    </row>
    <row r="13260">
      <c r="A13260" s="380" t="s">
        <v>14134</v>
      </c>
      <c r="B13260" s="380" t="str">
        <f>IFERROR(__xludf.DUMMYFUNCTION("""COMPUTED_VALUE"""),"Bloqueo Persiana Ft 4269 H4531050900a0")</f>
        <v>Bloqueo Persiana Ft 4269 H4531050900a0</v>
      </c>
      <c r="C13260" s="380" t="str">
        <f>IFERROR(__xludf.DUMMYFUNCTION("""COMPUTED_VALUE"""),"70008734")</f>
        <v>70008734</v>
      </c>
      <c r="D13260" s="380" t="s">
        <v>767</v>
      </c>
      <c r="E13260" s="380" t="s">
        <v>786</v>
      </c>
      <c r="F13260" s="380" t="s">
        <v>792</v>
      </c>
      <c r="G13260" s="380" t="s">
        <v>1267</v>
      </c>
      <c r="H13260" s="380" t="s">
        <v>771</v>
      </c>
      <c r="I13260" s="380" t="s">
        <v>788</v>
      </c>
      <c r="J13260" s="380" t="s">
        <v>773</v>
      </c>
      <c r="K13260" s="381">
        <v>0.0</v>
      </c>
      <c r="L13260" s="382">
        <v>1.0</v>
      </c>
    </row>
    <row r="13261">
      <c r="A13261" s="380" t="s">
        <v>14135</v>
      </c>
      <c r="B13261" s="380" t="str">
        <f>IFERROR(__xludf.DUMMYFUNCTION("""COMPUTED_VALUE"""),"Caja Direccion Jac Jhr Reparado")</f>
        <v>Caja Direccion Jac Jhr Reparado</v>
      </c>
      <c r="C13261" s="380" t="str">
        <f>IFERROR(__xludf.DUMMYFUNCTION("""COMPUTED_VALUE"""),"70008735")</f>
        <v>70008735</v>
      </c>
      <c r="D13261" s="380" t="s">
        <v>767</v>
      </c>
      <c r="E13261" s="380" t="s">
        <v>786</v>
      </c>
      <c r="F13261" s="380" t="s">
        <v>1020</v>
      </c>
      <c r="G13261" s="380" t="s">
        <v>1267</v>
      </c>
      <c r="H13261" s="380" t="s">
        <v>771</v>
      </c>
      <c r="I13261" s="380" t="s">
        <v>788</v>
      </c>
      <c r="J13261" s="380" t="s">
        <v>773</v>
      </c>
      <c r="K13261" s="381">
        <v>0.0</v>
      </c>
      <c r="L13261" s="382">
        <v>1.0</v>
      </c>
    </row>
    <row r="13262">
      <c r="A13262" s="380" t="s">
        <v>14136</v>
      </c>
      <c r="B13262" s="380" t="str">
        <f>IFERROR(__xludf.DUMMYFUNCTION("""COMPUTED_VALUE"""),"Culata Motor Jac Hfc 1035 1003100fe010b2")</f>
        <v>Culata Motor Jac Hfc 1035 1003100fe010b2</v>
      </c>
      <c r="C13262" s="380" t="str">
        <f>IFERROR(__xludf.DUMMYFUNCTION("""COMPUTED_VALUE"""),"70008736")</f>
        <v>70008736</v>
      </c>
      <c r="D13262" s="380" t="s">
        <v>767</v>
      </c>
      <c r="E13262" s="380" t="s">
        <v>786</v>
      </c>
      <c r="F13262" s="380" t="s">
        <v>787</v>
      </c>
      <c r="G13262" s="380" t="s">
        <v>1267</v>
      </c>
      <c r="H13262" s="380" t="s">
        <v>771</v>
      </c>
      <c r="I13262" s="380" t="s">
        <v>788</v>
      </c>
      <c r="J13262" s="380" t="s">
        <v>773</v>
      </c>
      <c r="K13262" s="381">
        <v>0.0</v>
      </c>
      <c r="L13262" s="382">
        <v>1.0</v>
      </c>
    </row>
    <row r="13263">
      <c r="A13263" s="380" t="s">
        <v>14137</v>
      </c>
      <c r="B13263" s="380" t="str">
        <f>IFERROR(__xludf.DUMMYFUNCTION("""COMPUTED_VALUE"""),"Bomper Completo Vw Worker 2004 2rd807106")</f>
        <v>Bomper Completo Vw Worker 2004 2rd807106</v>
      </c>
      <c r="C13263" s="380" t="str">
        <f>IFERROR(__xludf.DUMMYFUNCTION("""COMPUTED_VALUE"""),"70008737")</f>
        <v>70008737</v>
      </c>
      <c r="D13263" s="380" t="s">
        <v>767</v>
      </c>
      <c r="E13263" s="380" t="s">
        <v>786</v>
      </c>
      <c r="F13263" s="380" t="s">
        <v>792</v>
      </c>
      <c r="G13263" s="380" t="s">
        <v>1267</v>
      </c>
      <c r="H13263" s="380" t="s">
        <v>771</v>
      </c>
      <c r="I13263" s="380" t="s">
        <v>788</v>
      </c>
      <c r="J13263" s="380" t="s">
        <v>773</v>
      </c>
      <c r="K13263" s="381">
        <v>0.0</v>
      </c>
      <c r="L13263" s="382">
        <v>1.0</v>
      </c>
    </row>
    <row r="13264">
      <c r="A13264" s="380" t="s">
        <v>14138</v>
      </c>
      <c r="B13264" s="380" t="str">
        <f>IFERROR(__xludf.DUMMYFUNCTION("""COMPUTED_VALUE"""),"Guaya Capot Mack Anthem 84753242")</f>
        <v>Guaya Capot Mack Anthem 84753242</v>
      </c>
      <c r="C13264" s="380" t="str">
        <f>IFERROR(__xludf.DUMMYFUNCTION("""COMPUTED_VALUE"""),"70008738")</f>
        <v>70008738</v>
      </c>
      <c r="D13264" s="380" t="s">
        <v>767</v>
      </c>
      <c r="E13264" s="380" t="s">
        <v>786</v>
      </c>
      <c r="F13264" s="380" t="s">
        <v>792</v>
      </c>
      <c r="G13264" s="380" t="s">
        <v>1267</v>
      </c>
      <c r="H13264" s="380" t="s">
        <v>771</v>
      </c>
      <c r="I13264" s="380" t="s">
        <v>788</v>
      </c>
      <c r="J13264" s="380" t="s">
        <v>773</v>
      </c>
      <c r="K13264" s="381">
        <v>0.0</v>
      </c>
      <c r="L13264" s="382">
        <v>1.0</v>
      </c>
    </row>
    <row r="13265">
      <c r="A13265" s="380" t="s">
        <v>14139</v>
      </c>
      <c r="B13265" s="380" t="str">
        <f>IFERROR(__xludf.DUMMYFUNCTION("""COMPUTED_VALUE"""),"Jgo Casquete Bancada 0.25 Npr R4547k1")</f>
        <v>Jgo Casquete Bancada 0.25 Npr R4547k1</v>
      </c>
      <c r="C13265" s="380" t="str">
        <f>IFERROR(__xludf.DUMMYFUNCTION("""COMPUTED_VALUE"""),"70008739")</f>
        <v>70008739</v>
      </c>
      <c r="D13265" s="380" t="s">
        <v>767</v>
      </c>
      <c r="E13265" s="380" t="s">
        <v>786</v>
      </c>
      <c r="F13265" s="380" t="s">
        <v>787</v>
      </c>
      <c r="G13265" s="380" t="s">
        <v>1267</v>
      </c>
      <c r="H13265" s="380" t="s">
        <v>771</v>
      </c>
      <c r="I13265" s="380" t="s">
        <v>788</v>
      </c>
      <c r="J13265" s="380" t="s">
        <v>773</v>
      </c>
      <c r="K13265" s="381">
        <v>0.0</v>
      </c>
      <c r="L13265" s="382">
        <v>1.0</v>
      </c>
    </row>
    <row r="13266">
      <c r="A13266" s="380" t="s">
        <v>14140</v>
      </c>
      <c r="B13266" s="380" t="str">
        <f>IFERROR(__xludf.DUMMYFUNCTION("""COMPUTED_VALUE"""),"Jgo Casquete Biela 0.25 Npr R4547k")</f>
        <v>Jgo Casquete Biela 0.25 Npr R4547k</v>
      </c>
      <c r="C13266" s="380" t="str">
        <f>IFERROR(__xludf.DUMMYFUNCTION("""COMPUTED_VALUE"""),"70008740")</f>
        <v>70008740</v>
      </c>
      <c r="D13266" s="380" t="s">
        <v>767</v>
      </c>
      <c r="E13266" s="380" t="s">
        <v>786</v>
      </c>
      <c r="F13266" s="380" t="s">
        <v>787</v>
      </c>
      <c r="G13266" s="380" t="s">
        <v>1267</v>
      </c>
      <c r="H13266" s="380" t="s">
        <v>771</v>
      </c>
      <c r="I13266" s="380" t="s">
        <v>788</v>
      </c>
      <c r="J13266" s="380" t="s">
        <v>773</v>
      </c>
      <c r="K13266" s="381">
        <v>0.0</v>
      </c>
      <c r="L13266" s="382">
        <v>1.0</v>
      </c>
    </row>
    <row r="13267">
      <c r="A13267" s="380" t="s">
        <v>14141</v>
      </c>
      <c r="B13267" s="380" t="str">
        <f>IFERROR(__xludf.DUMMYFUNCTION("""COMPUTED_VALUE"""),"Buje Biela Chevrolet Npr 8981213090")</f>
        <v>Buje Biela Chevrolet Npr 8981213090</v>
      </c>
      <c r="C13267" s="380" t="str">
        <f>IFERROR(__xludf.DUMMYFUNCTION("""COMPUTED_VALUE"""),"70008741")</f>
        <v>70008741</v>
      </c>
      <c r="D13267" s="380" t="s">
        <v>767</v>
      </c>
      <c r="E13267" s="380" t="s">
        <v>786</v>
      </c>
      <c r="F13267" s="380" t="s">
        <v>787</v>
      </c>
      <c r="G13267" s="380" t="s">
        <v>1267</v>
      </c>
      <c r="H13267" s="380" t="s">
        <v>771</v>
      </c>
      <c r="I13267" s="380" t="s">
        <v>788</v>
      </c>
      <c r="J13267" s="380" t="s">
        <v>773</v>
      </c>
      <c r="K13267" s="381">
        <v>0.0</v>
      </c>
      <c r="L13267" s="382">
        <v>1.0</v>
      </c>
    </row>
    <row r="13268">
      <c r="A13268" s="380" t="s">
        <v>14142</v>
      </c>
      <c r="B13268" s="380" t="str">
        <f>IFERROR(__xludf.DUMMYFUNCTION("""COMPUTED_VALUE"""),"Caucho Enfocador Mack Anthem 22385444")</f>
        <v>Caucho Enfocador Mack Anthem 22385444</v>
      </c>
      <c r="C13268" s="380" t="str">
        <f>IFERROR(__xludf.DUMMYFUNCTION("""COMPUTED_VALUE"""),"70008743")</f>
        <v>70008743</v>
      </c>
      <c r="D13268" s="380" t="s">
        <v>767</v>
      </c>
      <c r="E13268" s="380" t="s">
        <v>786</v>
      </c>
      <c r="F13268" s="380" t="s">
        <v>787</v>
      </c>
      <c r="G13268" s="380" t="s">
        <v>1267</v>
      </c>
      <c r="H13268" s="380" t="s">
        <v>771</v>
      </c>
      <c r="I13268" s="380" t="s">
        <v>788</v>
      </c>
      <c r="J13268" s="380" t="s">
        <v>773</v>
      </c>
      <c r="K13268" s="381">
        <v>0.0</v>
      </c>
      <c r="L13268" s="382">
        <v>1.0</v>
      </c>
    </row>
    <row r="13269">
      <c r="A13269" s="380" t="s">
        <v>14143</v>
      </c>
      <c r="B13269" s="380" t="str">
        <f>IFERROR(__xludf.DUMMYFUNCTION("""COMPUTED_VALUE"""),"Sop Cardan Completo Chevr Ftr 8975039020")</f>
        <v>Sop Cardan Completo Chevr Ftr 8975039020</v>
      </c>
      <c r="C13269" s="380" t="str">
        <f>IFERROR(__xludf.DUMMYFUNCTION("""COMPUTED_VALUE"""),"70008744")</f>
        <v>70008744</v>
      </c>
      <c r="D13269" s="380" t="s">
        <v>767</v>
      </c>
      <c r="E13269" s="380" t="s">
        <v>786</v>
      </c>
      <c r="F13269" s="380" t="s">
        <v>5683</v>
      </c>
      <c r="G13269" s="380" t="s">
        <v>1267</v>
      </c>
      <c r="H13269" s="380" t="s">
        <v>771</v>
      </c>
      <c r="I13269" s="380" t="s">
        <v>788</v>
      </c>
      <c r="J13269" s="380" t="s">
        <v>773</v>
      </c>
      <c r="K13269" s="381">
        <v>0.0</v>
      </c>
      <c r="L13269" s="382">
        <v>1.0</v>
      </c>
    </row>
    <row r="13270">
      <c r="A13270" s="380" t="s">
        <v>14144</v>
      </c>
      <c r="B13270" s="380" t="str">
        <f>IFERROR(__xludf.DUMMYFUNCTION("""COMPUTED_VALUE"""),"Muelle Del Jac Jhr 2902010d800")</f>
        <v>Muelle Del Jac Jhr 2902010d800</v>
      </c>
      <c r="C13270" s="380" t="str">
        <f>IFERROR(__xludf.DUMMYFUNCTION("""COMPUTED_VALUE"""),"70008745")</f>
        <v>70008745</v>
      </c>
      <c r="D13270" s="380" t="s">
        <v>767</v>
      </c>
      <c r="E13270" s="380" t="s">
        <v>786</v>
      </c>
      <c r="F13270" s="380" t="s">
        <v>1039</v>
      </c>
      <c r="G13270" s="380" t="s">
        <v>1267</v>
      </c>
      <c r="H13270" s="380" t="s">
        <v>771</v>
      </c>
      <c r="I13270" s="380" t="s">
        <v>788</v>
      </c>
      <c r="J13270" s="380" t="s">
        <v>773</v>
      </c>
      <c r="K13270" s="381">
        <v>0.0</v>
      </c>
      <c r="L13270" s="382">
        <v>1.0</v>
      </c>
    </row>
    <row r="13271">
      <c r="A13271" s="380" t="s">
        <v>14145</v>
      </c>
      <c r="B13271" s="380" t="str">
        <f>IFERROR(__xludf.DUMMYFUNCTION("""COMPUTED_VALUE"""),"Zapa Del Muelle Del Ftr 8980436490")</f>
        <v>Zapa Del Muelle Del Ftr 8980436490</v>
      </c>
      <c r="C13271" s="380" t="str">
        <f>IFERROR(__xludf.DUMMYFUNCTION("""COMPUTED_VALUE"""),"70008746")</f>
        <v>70008746</v>
      </c>
      <c r="D13271" s="380" t="s">
        <v>767</v>
      </c>
      <c r="E13271" s="380" t="s">
        <v>786</v>
      </c>
      <c r="F13271" s="380" t="s">
        <v>1039</v>
      </c>
      <c r="G13271" s="380" t="s">
        <v>1267</v>
      </c>
      <c r="H13271" s="380" t="s">
        <v>771</v>
      </c>
      <c r="I13271" s="380" t="s">
        <v>788</v>
      </c>
      <c r="J13271" s="380" t="s">
        <v>773</v>
      </c>
      <c r="K13271" s="381">
        <v>0.0</v>
      </c>
      <c r="L13271" s="382">
        <v>1.0</v>
      </c>
    </row>
    <row r="13272">
      <c r="A13272" s="380" t="s">
        <v>14146</v>
      </c>
      <c r="B13272" s="380" t="str">
        <f>IFERROR(__xludf.DUMMYFUNCTION("""COMPUTED_VALUE"""),"Zapa Tra Muelle Del Ftr 898436480")</f>
        <v>Zapa Tra Muelle Del Ftr 898436480</v>
      </c>
      <c r="C13272" s="380" t="str">
        <f>IFERROR(__xludf.DUMMYFUNCTION("""COMPUTED_VALUE"""),"70008747")</f>
        <v>70008747</v>
      </c>
      <c r="D13272" s="380" t="s">
        <v>767</v>
      </c>
      <c r="E13272" s="380" t="s">
        <v>786</v>
      </c>
      <c r="F13272" s="380" t="s">
        <v>1039</v>
      </c>
      <c r="G13272" s="380" t="s">
        <v>1267</v>
      </c>
      <c r="H13272" s="380" t="s">
        <v>771</v>
      </c>
      <c r="I13272" s="380" t="s">
        <v>788</v>
      </c>
      <c r="J13272" s="380" t="s">
        <v>773</v>
      </c>
      <c r="K13272" s="381">
        <v>0.0</v>
      </c>
      <c r="L13272" s="382">
        <v>1.0</v>
      </c>
    </row>
    <row r="13273">
      <c r="A13273" s="380" t="s">
        <v>14147</v>
      </c>
      <c r="B13273" s="380" t="str">
        <f>IFERROR(__xludf.DUMMYFUNCTION("""COMPUTED_VALUE"""),"Zapa Del Muelle Tra Ftr 8980188410")</f>
        <v>Zapa Del Muelle Tra Ftr 8980188410</v>
      </c>
      <c r="C13273" s="380" t="str">
        <f>IFERROR(__xludf.DUMMYFUNCTION("""COMPUTED_VALUE"""),"70008748")</f>
        <v>70008748</v>
      </c>
      <c r="D13273" s="380" t="s">
        <v>767</v>
      </c>
      <c r="E13273" s="380" t="s">
        <v>786</v>
      </c>
      <c r="F13273" s="380" t="s">
        <v>1039</v>
      </c>
      <c r="G13273" s="380" t="s">
        <v>1267</v>
      </c>
      <c r="H13273" s="380" t="s">
        <v>771</v>
      </c>
      <c r="I13273" s="380" t="s">
        <v>788</v>
      </c>
      <c r="J13273" s="380" t="s">
        <v>773</v>
      </c>
      <c r="K13273" s="381">
        <v>0.0</v>
      </c>
      <c r="L13273" s="382">
        <v>1.0</v>
      </c>
    </row>
    <row r="13274">
      <c r="A13274" s="380" t="s">
        <v>14148</v>
      </c>
      <c r="B13274" s="380" t="str">
        <f>IFERROR(__xludf.DUMMYFUNCTION("""COMPUTED_VALUE"""),"Zapa Tra Muelle Tra Ftr 8980188400")</f>
        <v>Zapa Tra Muelle Tra Ftr 8980188400</v>
      </c>
      <c r="C13274" s="380" t="str">
        <f>IFERROR(__xludf.DUMMYFUNCTION("""COMPUTED_VALUE"""),"70008749")</f>
        <v>70008749</v>
      </c>
      <c r="D13274" s="380" t="s">
        <v>767</v>
      </c>
      <c r="E13274" s="380" t="s">
        <v>786</v>
      </c>
      <c r="F13274" s="380" t="s">
        <v>1039</v>
      </c>
      <c r="G13274" s="380" t="s">
        <v>1267</v>
      </c>
      <c r="H13274" s="380" t="s">
        <v>771</v>
      </c>
      <c r="I13274" s="380" t="s">
        <v>788</v>
      </c>
      <c r="J13274" s="380" t="s">
        <v>773</v>
      </c>
      <c r="K13274" s="381">
        <v>0.0</v>
      </c>
      <c r="L13274" s="382">
        <v>1.0</v>
      </c>
    </row>
    <row r="13275">
      <c r="A13275" s="380" t="s">
        <v>14149</v>
      </c>
      <c r="B13275" s="380" t="str">
        <f>IFERROR(__xludf.DUMMYFUNCTION("""COMPUTED_VALUE"""),"Buje Muelle Trasero Ftr 1876101630")</f>
        <v>Buje Muelle Trasero Ftr 1876101630</v>
      </c>
      <c r="C13275" s="380" t="str">
        <f>IFERROR(__xludf.DUMMYFUNCTION("""COMPUTED_VALUE"""),"70008750")</f>
        <v>70008750</v>
      </c>
      <c r="D13275" s="380" t="s">
        <v>767</v>
      </c>
      <c r="E13275" s="380" t="s">
        <v>786</v>
      </c>
      <c r="F13275" s="380" t="s">
        <v>1039</v>
      </c>
      <c r="G13275" s="380" t="s">
        <v>1267</v>
      </c>
      <c r="H13275" s="380" t="s">
        <v>771</v>
      </c>
      <c r="I13275" s="380" t="s">
        <v>788</v>
      </c>
      <c r="J13275" s="380" t="s">
        <v>773</v>
      </c>
      <c r="K13275" s="381">
        <v>0.0</v>
      </c>
      <c r="L13275" s="382">
        <v>1.0</v>
      </c>
    </row>
    <row r="13276">
      <c r="A13276" s="380" t="s">
        <v>14150</v>
      </c>
      <c r="B13276" s="380" t="str">
        <f>IFERROR(__xludf.DUMMYFUNCTION("""COMPUTED_VALUE"""),"Campana Del Ftr 1423153650")</f>
        <v>Campana Del Ftr 1423153650</v>
      </c>
      <c r="C13276" s="380" t="str">
        <f>IFERROR(__xludf.DUMMYFUNCTION("""COMPUTED_VALUE"""),"70008751")</f>
        <v>70008751</v>
      </c>
      <c r="D13276" s="380" t="s">
        <v>767</v>
      </c>
      <c r="E13276" s="380" t="s">
        <v>786</v>
      </c>
      <c r="F13276" s="380" t="s">
        <v>5683</v>
      </c>
      <c r="G13276" s="380" t="s">
        <v>1267</v>
      </c>
      <c r="H13276" s="380" t="s">
        <v>771</v>
      </c>
      <c r="I13276" s="380" t="s">
        <v>788</v>
      </c>
      <c r="J13276" s="380" t="s">
        <v>773</v>
      </c>
      <c r="K13276" s="381">
        <v>0.0</v>
      </c>
      <c r="L13276" s="382">
        <v>1.0</v>
      </c>
    </row>
    <row r="13277">
      <c r="A13277" s="380" t="s">
        <v>14151</v>
      </c>
      <c r="B13277" s="380" t="str">
        <f>IFERROR(__xludf.DUMMYFUNCTION("""COMPUTED_VALUE"""),"Esparrago Campana Del Ftr 1423370371")</f>
        <v>Esparrago Campana Del Ftr 1423370371</v>
      </c>
      <c r="C13277" s="380" t="str">
        <f>IFERROR(__xludf.DUMMYFUNCTION("""COMPUTED_VALUE"""),"70008752")</f>
        <v>70008752</v>
      </c>
      <c r="D13277" s="380" t="s">
        <v>767</v>
      </c>
      <c r="E13277" s="380" t="s">
        <v>786</v>
      </c>
      <c r="F13277" s="380" t="s">
        <v>5683</v>
      </c>
      <c r="G13277" s="380" t="s">
        <v>1267</v>
      </c>
      <c r="H13277" s="380" t="s">
        <v>771</v>
      </c>
      <c r="I13277" s="380" t="s">
        <v>788</v>
      </c>
      <c r="J13277" s="380" t="s">
        <v>773</v>
      </c>
      <c r="K13277" s="381">
        <v>0.0</v>
      </c>
      <c r="L13277" s="382">
        <v>1.0</v>
      </c>
    </row>
    <row r="13278">
      <c r="A13278" s="380" t="s">
        <v>14152</v>
      </c>
      <c r="B13278" s="380" t="str">
        <f>IFERROR(__xludf.DUMMYFUNCTION("""COMPUTED_VALUE"""),"Tuerca Espar Campana Del Ftr 1423330550")</f>
        <v>Tuerca Espar Campana Del Ftr 1423330550</v>
      </c>
      <c r="C13278" s="380" t="str">
        <f>IFERROR(__xludf.DUMMYFUNCTION("""COMPUTED_VALUE"""),"70008753")</f>
        <v>70008753</v>
      </c>
      <c r="D13278" s="380" t="s">
        <v>767</v>
      </c>
      <c r="E13278" s="380" t="s">
        <v>786</v>
      </c>
      <c r="F13278" s="380" t="s">
        <v>5683</v>
      </c>
      <c r="G13278" s="380" t="s">
        <v>1267</v>
      </c>
      <c r="H13278" s="380" t="s">
        <v>771</v>
      </c>
      <c r="I13278" s="380" t="s">
        <v>788</v>
      </c>
      <c r="J13278" s="380" t="s">
        <v>773</v>
      </c>
      <c r="K13278" s="381">
        <v>0.0</v>
      </c>
      <c r="L13278" s="382">
        <v>1.0</v>
      </c>
    </row>
    <row r="13279">
      <c r="A13279" s="380" t="s">
        <v>14153</v>
      </c>
      <c r="B13279" s="380" t="str">
        <f>IFERROR(__xludf.DUMMYFUNCTION("""COMPUTED_VALUE"""),"Embellecedor Sup Izq Nkr 8978677740")</f>
        <v>Embellecedor Sup Izq Nkr 8978677740</v>
      </c>
      <c r="C13279" s="380" t="str">
        <f>IFERROR(__xludf.DUMMYFUNCTION("""COMPUTED_VALUE"""),"70008754")</f>
        <v>70008754</v>
      </c>
      <c r="D13279" s="380" t="s">
        <v>767</v>
      </c>
      <c r="E13279" s="380" t="s">
        <v>786</v>
      </c>
      <c r="F13279" s="380" t="s">
        <v>792</v>
      </c>
      <c r="G13279" s="380" t="s">
        <v>1267</v>
      </c>
      <c r="H13279" s="380" t="s">
        <v>771</v>
      </c>
      <c r="I13279" s="380" t="s">
        <v>788</v>
      </c>
      <c r="J13279" s="380" t="s">
        <v>773</v>
      </c>
      <c r="K13279" s="381">
        <v>0.0</v>
      </c>
      <c r="L13279" s="382">
        <v>1.0</v>
      </c>
    </row>
    <row r="13280">
      <c r="A13280" s="380" t="s">
        <v>14154</v>
      </c>
      <c r="B13280" s="380" t="str">
        <f>IFERROR(__xludf.DUMMYFUNCTION("""COMPUTED_VALUE"""),"Embellecedor Sup Der Nkr 8978677750")</f>
        <v>Embellecedor Sup Der Nkr 8978677750</v>
      </c>
      <c r="C13280" s="380" t="str">
        <f>IFERROR(__xludf.DUMMYFUNCTION("""COMPUTED_VALUE"""),"70008755")</f>
        <v>70008755</v>
      </c>
      <c r="D13280" s="380" t="s">
        <v>767</v>
      </c>
      <c r="E13280" s="380" t="s">
        <v>786</v>
      </c>
      <c r="F13280" s="380" t="s">
        <v>792</v>
      </c>
      <c r="G13280" s="380" t="s">
        <v>1267</v>
      </c>
      <c r="H13280" s="380" t="s">
        <v>771</v>
      </c>
      <c r="I13280" s="380" t="s">
        <v>788</v>
      </c>
      <c r="J13280" s="380" t="s">
        <v>773</v>
      </c>
      <c r="K13280" s="381">
        <v>0.0</v>
      </c>
      <c r="L13280" s="382">
        <v>1.0</v>
      </c>
    </row>
    <row r="13281">
      <c r="A13281" s="380" t="s">
        <v>14155</v>
      </c>
      <c r="B13281" s="380" t="str">
        <f>IFERROR(__xludf.DUMMYFUNCTION("""COMPUTED_VALUE"""),"Graduacion Balancin Nkr 2010 8941522831")</f>
        <v>Graduacion Balancin Nkr 2010 8941522831</v>
      </c>
      <c r="C13281" s="380" t="str">
        <f>IFERROR(__xludf.DUMMYFUNCTION("""COMPUTED_VALUE"""),"70008756")</f>
        <v>70008756</v>
      </c>
      <c r="D13281" s="380" t="s">
        <v>767</v>
      </c>
      <c r="E13281" s="380" t="s">
        <v>786</v>
      </c>
      <c r="F13281" s="380" t="s">
        <v>787</v>
      </c>
      <c r="G13281" s="380" t="s">
        <v>1267</v>
      </c>
      <c r="H13281" s="380" t="s">
        <v>771</v>
      </c>
      <c r="I13281" s="380" t="s">
        <v>788</v>
      </c>
      <c r="J13281" s="380" t="s">
        <v>773</v>
      </c>
      <c r="K13281" s="381">
        <v>0.0</v>
      </c>
      <c r="L13281" s="382">
        <v>1.0</v>
      </c>
    </row>
    <row r="13282">
      <c r="A13282" s="380" t="s">
        <v>14156</v>
      </c>
      <c r="B13282" s="380" t="str">
        <f>IFERROR(__xludf.DUMMYFUNCTION("""COMPUTED_VALUE"""),"Condensador A/C Mack Reparado")</f>
        <v>Condensador A/C Mack Reparado</v>
      </c>
      <c r="C13282" s="380" t="str">
        <f>IFERROR(__xludf.DUMMYFUNCTION("""COMPUTED_VALUE"""),"70008757")</f>
        <v>70008757</v>
      </c>
      <c r="D13282" s="380" t="s">
        <v>767</v>
      </c>
      <c r="E13282" s="380" t="s">
        <v>786</v>
      </c>
      <c r="F13282" s="380" t="s">
        <v>1031</v>
      </c>
      <c r="G13282" s="380" t="s">
        <v>1267</v>
      </c>
      <c r="H13282" s="380" t="s">
        <v>771</v>
      </c>
      <c r="I13282" s="380" t="s">
        <v>788</v>
      </c>
      <c r="J13282" s="380" t="s">
        <v>773</v>
      </c>
      <c r="K13282" s="381">
        <v>0.0</v>
      </c>
      <c r="L13282" s="382">
        <v>1.0</v>
      </c>
    </row>
    <row r="13283">
      <c r="A13283" s="380" t="s">
        <v>14157</v>
      </c>
      <c r="B13283" s="380" t="str">
        <f>IFERROR(__xludf.DUMMYFUNCTION("""COMPUTED_VALUE"""),"Tubo Refriger Mack Anthem/Cxu 20555313")</f>
        <v>Tubo Refriger Mack Anthem/Cxu 20555313</v>
      </c>
      <c r="C13283" s="380" t="str">
        <f>IFERROR(__xludf.DUMMYFUNCTION("""COMPUTED_VALUE"""),"70008758")</f>
        <v>70008758</v>
      </c>
      <c r="D13283" s="380" t="s">
        <v>767</v>
      </c>
      <c r="E13283" s="380" t="s">
        <v>786</v>
      </c>
      <c r="F13283" s="380" t="s">
        <v>787</v>
      </c>
      <c r="G13283" s="380" t="s">
        <v>1267</v>
      </c>
      <c r="H13283" s="380" t="s">
        <v>771</v>
      </c>
      <c r="I13283" s="380" t="s">
        <v>788</v>
      </c>
      <c r="J13283" s="380" t="s">
        <v>773</v>
      </c>
      <c r="K13283" s="381">
        <v>0.0</v>
      </c>
      <c r="L13283" s="382">
        <v>1.0</v>
      </c>
    </row>
    <row r="13284">
      <c r="A13284" s="380" t="s">
        <v>14158</v>
      </c>
      <c r="B13284" s="380" t="str">
        <f>IFERROR(__xludf.DUMMYFUNCTION("""COMPUTED_VALUE"""),"Mangue Enfr Aire Mack Anthem/Cxu 5md599m")</f>
        <v>Mangue Enfr Aire Mack Anthem/Cxu 5md599m</v>
      </c>
      <c r="C13284" s="380" t="str">
        <f>IFERROR(__xludf.DUMMYFUNCTION("""COMPUTED_VALUE"""),"70008759")</f>
        <v>70008759</v>
      </c>
      <c r="D13284" s="380" t="s">
        <v>767</v>
      </c>
      <c r="E13284" s="380" t="s">
        <v>786</v>
      </c>
      <c r="F13284" s="380" t="s">
        <v>787</v>
      </c>
      <c r="G13284" s="380" t="s">
        <v>1267</v>
      </c>
      <c r="H13284" s="380" t="s">
        <v>771</v>
      </c>
      <c r="I13284" s="380" t="s">
        <v>788</v>
      </c>
      <c r="J13284" s="380" t="s">
        <v>773</v>
      </c>
      <c r="K13284" s="381">
        <v>0.0</v>
      </c>
      <c r="L13284" s="382">
        <v>1.0</v>
      </c>
    </row>
    <row r="13285">
      <c r="A13285" s="380" t="s">
        <v>14159</v>
      </c>
      <c r="B13285" s="380" t="str">
        <f>IFERROR(__xludf.DUMMYFUNCTION("""COMPUTED_VALUE"""),"Grapa Muelle Del Mack Anthem 20560240")</f>
        <v>Grapa Muelle Del Mack Anthem 20560240</v>
      </c>
      <c r="C13285" s="380" t="str">
        <f>IFERROR(__xludf.DUMMYFUNCTION("""COMPUTED_VALUE"""),"70008760")</f>
        <v>70008760</v>
      </c>
      <c r="D13285" s="380" t="s">
        <v>767</v>
      </c>
      <c r="E13285" s="380" t="s">
        <v>786</v>
      </c>
      <c r="F13285" s="380" t="s">
        <v>1039</v>
      </c>
      <c r="G13285" s="380" t="s">
        <v>1267</v>
      </c>
      <c r="H13285" s="380" t="s">
        <v>771</v>
      </c>
      <c r="I13285" s="380" t="s">
        <v>788</v>
      </c>
      <c r="J13285" s="380" t="s">
        <v>773</v>
      </c>
      <c r="K13285" s="381">
        <v>0.0</v>
      </c>
      <c r="L13285" s="382">
        <v>1.0</v>
      </c>
    </row>
    <row r="13286">
      <c r="A13286" s="380" t="s">
        <v>14160</v>
      </c>
      <c r="B13286" s="380" t="str">
        <f>IFERROR(__xludf.DUMMYFUNCTION("""COMPUTED_VALUE"""),"Radiador Motor Foton Amt Reparado")</f>
        <v>Radiador Motor Foton Amt Reparado</v>
      </c>
      <c r="C13286" s="380" t="str">
        <f>IFERROR(__xludf.DUMMYFUNCTION("""COMPUTED_VALUE"""),"70008761")</f>
        <v>70008761</v>
      </c>
      <c r="D13286" s="380" t="s">
        <v>767</v>
      </c>
      <c r="E13286" s="380" t="s">
        <v>786</v>
      </c>
      <c r="F13286" s="380" t="s">
        <v>787</v>
      </c>
      <c r="G13286" s="380" t="s">
        <v>1267</v>
      </c>
      <c r="H13286" s="380" t="s">
        <v>771</v>
      </c>
      <c r="I13286" s="380" t="s">
        <v>788</v>
      </c>
      <c r="J13286" s="380" t="s">
        <v>773</v>
      </c>
      <c r="K13286" s="381">
        <v>0.0</v>
      </c>
      <c r="L13286" s="382">
        <v>1.0</v>
      </c>
    </row>
    <row r="13287">
      <c r="A13287" s="380" t="s">
        <v>14161</v>
      </c>
      <c r="B13287" s="380" t="str">
        <f>IFERROR(__xludf.DUMMYFUNCTION("""COMPUTED_VALUE"""),"Interruptor Der Freno Motor Daf 2011540")</f>
        <v>Interruptor Der Freno Motor Daf 2011540</v>
      </c>
      <c r="C13287" s="380" t="str">
        <f>IFERROR(__xludf.DUMMYFUNCTION("""COMPUTED_VALUE"""),"70008762")</f>
        <v>70008762</v>
      </c>
      <c r="D13287" s="380" t="s">
        <v>767</v>
      </c>
      <c r="E13287" s="380" t="s">
        <v>786</v>
      </c>
      <c r="F13287" s="380" t="s">
        <v>998</v>
      </c>
      <c r="G13287" s="380" t="s">
        <v>1267</v>
      </c>
      <c r="H13287" s="380" t="s">
        <v>771</v>
      </c>
      <c r="I13287" s="380" t="s">
        <v>788</v>
      </c>
      <c r="J13287" s="380" t="s">
        <v>773</v>
      </c>
      <c r="K13287" s="381">
        <v>0.0</v>
      </c>
      <c r="L13287" s="382">
        <v>1.0</v>
      </c>
    </row>
    <row r="13288">
      <c r="A13288" s="380" t="s">
        <v>14162</v>
      </c>
      <c r="B13288" s="380" t="str">
        <f>IFERROR(__xludf.DUMMYFUNCTION("""COMPUTED_VALUE"""),"Oring Nivel Urea Daf Cf 480 1993963")</f>
        <v>Oring Nivel Urea Daf Cf 480 1993963</v>
      </c>
      <c r="C13288" s="380" t="str">
        <f>IFERROR(__xludf.DUMMYFUNCTION("""COMPUTED_VALUE"""),"70008763")</f>
        <v>70008763</v>
      </c>
      <c r="D13288" s="380" t="s">
        <v>767</v>
      </c>
      <c r="E13288" s="380" t="s">
        <v>786</v>
      </c>
      <c r="F13288" s="380" t="s">
        <v>787</v>
      </c>
      <c r="G13288" s="380" t="s">
        <v>1267</v>
      </c>
      <c r="H13288" s="380" t="s">
        <v>771</v>
      </c>
      <c r="I13288" s="380" t="s">
        <v>788</v>
      </c>
      <c r="J13288" s="380" t="s">
        <v>773</v>
      </c>
      <c r="K13288" s="381">
        <v>0.0</v>
      </c>
      <c r="L13288" s="382">
        <v>1.0</v>
      </c>
    </row>
    <row r="13289">
      <c r="A13289" s="380" t="s">
        <v>14163</v>
      </c>
      <c r="B13289" s="380" t="str">
        <f>IFERROR(__xludf.DUMMYFUNCTION("""COMPUTED_VALUE"""),"Acople Rapido Recto 10 Mm")</f>
        <v>Acople Rapido Recto 10 Mm</v>
      </c>
      <c r="C13289" s="380" t="str">
        <f>IFERROR(__xludf.DUMMYFUNCTION("""COMPUTED_VALUE"""),"70008764")</f>
        <v>70008764</v>
      </c>
      <c r="D13289" s="380" t="s">
        <v>767</v>
      </c>
      <c r="E13289" s="380" t="s">
        <v>786</v>
      </c>
      <c r="F13289" s="380" t="s">
        <v>989</v>
      </c>
      <c r="G13289" s="380" t="s">
        <v>1267</v>
      </c>
      <c r="H13289" s="380" t="s">
        <v>771</v>
      </c>
      <c r="I13289" s="380" t="s">
        <v>788</v>
      </c>
      <c r="J13289" s="380" t="s">
        <v>773</v>
      </c>
      <c r="K13289" s="381">
        <v>0.0</v>
      </c>
      <c r="L13289" s="382">
        <v>1.0</v>
      </c>
    </row>
    <row r="13290">
      <c r="A13290" s="380" t="s">
        <v>14164</v>
      </c>
      <c r="B13290" s="380" t="str">
        <f>IFERROR(__xludf.DUMMYFUNCTION("""COMPUTED_VALUE"""),"Balancin Muelle Delantero Ftr 1511620294")</f>
        <v>Balancin Muelle Delantero Ftr 1511620294</v>
      </c>
      <c r="C13290" s="380" t="str">
        <f>IFERROR(__xludf.DUMMYFUNCTION("""COMPUTED_VALUE"""),"70008765")</f>
        <v>70008765</v>
      </c>
      <c r="D13290" s="380" t="s">
        <v>767</v>
      </c>
      <c r="E13290" s="380" t="s">
        <v>786</v>
      </c>
      <c r="F13290" s="380" t="s">
        <v>1039</v>
      </c>
      <c r="G13290" s="380" t="s">
        <v>1267</v>
      </c>
      <c r="H13290" s="380" t="s">
        <v>771</v>
      </c>
      <c r="I13290" s="380" t="s">
        <v>788</v>
      </c>
      <c r="J13290" s="380" t="s">
        <v>773</v>
      </c>
      <c r="K13290" s="381">
        <v>0.0</v>
      </c>
      <c r="L13290" s="382">
        <v>1.0</v>
      </c>
    </row>
    <row r="13291">
      <c r="A13291" s="380" t="s">
        <v>14165</v>
      </c>
      <c r="B13291" s="380" t="str">
        <f>IFERROR(__xludf.DUMMYFUNCTION("""COMPUTED_VALUE"""),"Balancin Muelle Trasero Ftr 1511620295")</f>
        <v>Balancin Muelle Trasero Ftr 1511620295</v>
      </c>
      <c r="C13291" s="380" t="str">
        <f>IFERROR(__xludf.DUMMYFUNCTION("""COMPUTED_VALUE"""),"70008766")</f>
        <v>70008766</v>
      </c>
      <c r="D13291" s="380" t="s">
        <v>767</v>
      </c>
      <c r="E13291" s="380" t="s">
        <v>786</v>
      </c>
      <c r="F13291" s="380" t="s">
        <v>1039</v>
      </c>
      <c r="G13291" s="380" t="s">
        <v>1267</v>
      </c>
      <c r="H13291" s="380" t="s">
        <v>771</v>
      </c>
      <c r="I13291" s="380" t="s">
        <v>788</v>
      </c>
      <c r="J13291" s="380" t="s">
        <v>773</v>
      </c>
      <c r="K13291" s="381">
        <v>0.0</v>
      </c>
      <c r="L13291" s="382">
        <v>1.0</v>
      </c>
    </row>
    <row r="13292">
      <c r="A13292" s="380" t="s">
        <v>14166</v>
      </c>
      <c r="B13292" s="380" t="str">
        <f>IFERROR(__xludf.DUMMYFUNCTION("""COMPUTED_VALUE"""),"Rociador Aceite Piston Nkr Rw 8973121323")</f>
        <v>Rociador Aceite Piston Nkr Rw 8973121323</v>
      </c>
      <c r="C13292" s="380" t="str">
        <f>IFERROR(__xludf.DUMMYFUNCTION("""COMPUTED_VALUE"""),"70008767")</f>
        <v>70008767</v>
      </c>
      <c r="D13292" s="380" t="s">
        <v>767</v>
      </c>
      <c r="E13292" s="380" t="s">
        <v>786</v>
      </c>
      <c r="F13292" s="380" t="s">
        <v>787</v>
      </c>
      <c r="G13292" s="380" t="s">
        <v>1267</v>
      </c>
      <c r="H13292" s="380" t="s">
        <v>771</v>
      </c>
      <c r="I13292" s="380" t="s">
        <v>788</v>
      </c>
      <c r="J13292" s="380" t="s">
        <v>773</v>
      </c>
      <c r="K13292" s="381">
        <v>0.0</v>
      </c>
      <c r="L13292" s="382">
        <v>1.0</v>
      </c>
    </row>
    <row r="13293">
      <c r="A13293" s="380" t="s">
        <v>14167</v>
      </c>
      <c r="B13293" s="380" t="str">
        <f>IFERROR(__xludf.DUMMYFUNCTION("""COMPUTED_VALUE"""),"Caja Direccion Hidraulica Ftr Reparado")</f>
        <v>Caja Direccion Hidraulica Ftr Reparado</v>
      </c>
      <c r="C13293" s="380" t="str">
        <f>IFERROR(__xludf.DUMMYFUNCTION("""COMPUTED_VALUE"""),"70008768")</f>
        <v>70008768</v>
      </c>
      <c r="D13293" s="380" t="s">
        <v>767</v>
      </c>
      <c r="E13293" s="380" t="s">
        <v>786</v>
      </c>
      <c r="F13293" s="380" t="s">
        <v>1020</v>
      </c>
      <c r="G13293" s="380" t="s">
        <v>1267</v>
      </c>
      <c r="H13293" s="380" t="s">
        <v>771</v>
      </c>
      <c r="I13293" s="380" t="s">
        <v>788</v>
      </c>
      <c r="J13293" s="380" t="s">
        <v>773</v>
      </c>
      <c r="K13293" s="381">
        <v>0.0</v>
      </c>
      <c r="L13293" s="382">
        <v>1.0</v>
      </c>
    </row>
    <row r="13294">
      <c r="A13294" s="380" t="s">
        <v>14168</v>
      </c>
      <c r="B13294" s="380" t="str">
        <f>IFERROR(__xludf.DUMMYFUNCTION("""COMPUTED_VALUE"""),"Tapa Depo Limpiaparab Daf Cf 480 1933040")</f>
        <v>Tapa Depo Limpiaparab Daf Cf 480 1933040</v>
      </c>
      <c r="C13294" s="380" t="str">
        <f>IFERROR(__xludf.DUMMYFUNCTION("""COMPUTED_VALUE"""),"70008769")</f>
        <v>70008769</v>
      </c>
      <c r="D13294" s="380" t="s">
        <v>767</v>
      </c>
      <c r="E13294" s="380" t="s">
        <v>786</v>
      </c>
      <c r="F13294" s="380" t="s">
        <v>792</v>
      </c>
      <c r="G13294" s="380" t="s">
        <v>1267</v>
      </c>
      <c r="H13294" s="380" t="s">
        <v>771</v>
      </c>
      <c r="I13294" s="380" t="s">
        <v>788</v>
      </c>
      <c r="J13294" s="380" t="s">
        <v>773</v>
      </c>
      <c r="K13294" s="381">
        <v>82946.0</v>
      </c>
      <c r="L13294" s="382">
        <v>1.0</v>
      </c>
    </row>
    <row r="13295">
      <c r="A13295" s="380" t="s">
        <v>14169</v>
      </c>
      <c r="B13295" s="380" t="str">
        <f>IFERROR(__xludf.DUMMYFUNCTION("""COMPUTED_VALUE"""),"Multiple Admision Jac Jhr 1008101fe014")</f>
        <v>Multiple Admision Jac Jhr 1008101fe014</v>
      </c>
      <c r="C13295" s="380" t="str">
        <f>IFERROR(__xludf.DUMMYFUNCTION("""COMPUTED_VALUE"""),"70008770")</f>
        <v>70008770</v>
      </c>
      <c r="D13295" s="380" t="s">
        <v>767</v>
      </c>
      <c r="E13295" s="380" t="s">
        <v>786</v>
      </c>
      <c r="F13295" s="380" t="s">
        <v>787</v>
      </c>
      <c r="G13295" s="380" t="s">
        <v>1267</v>
      </c>
      <c r="H13295" s="380" t="s">
        <v>771</v>
      </c>
      <c r="I13295" s="380" t="s">
        <v>788</v>
      </c>
      <c r="J13295" s="380" t="s">
        <v>773</v>
      </c>
      <c r="K13295" s="381">
        <v>0.0</v>
      </c>
      <c r="L13295" s="382">
        <v>1.0</v>
      </c>
    </row>
    <row r="13296">
      <c r="A13296" s="380" t="s">
        <v>14170</v>
      </c>
      <c r="B13296" s="380" t="str">
        <f>IFERROR(__xludf.DUMMYFUNCTION("""COMPUTED_VALUE"""),"Banda Trasera Foton 1039 7700149140041")</f>
        <v>Banda Trasera Foton 1039 7700149140041</v>
      </c>
      <c r="C13296" s="380" t="str">
        <f>IFERROR(__xludf.DUMMYFUNCTION("""COMPUTED_VALUE"""),"70008771")</f>
        <v>70008771</v>
      </c>
      <c r="D13296" s="380" t="s">
        <v>767</v>
      </c>
      <c r="E13296" s="380" t="s">
        <v>786</v>
      </c>
      <c r="F13296" s="380" t="s">
        <v>1017</v>
      </c>
      <c r="G13296" s="380" t="s">
        <v>1267</v>
      </c>
      <c r="H13296" s="380" t="s">
        <v>771</v>
      </c>
      <c r="I13296" s="380" t="s">
        <v>788</v>
      </c>
      <c r="J13296" s="380" t="s">
        <v>773</v>
      </c>
      <c r="K13296" s="381">
        <v>0.0</v>
      </c>
      <c r="L13296" s="382">
        <v>1.0</v>
      </c>
    </row>
    <row r="13297">
      <c r="A13297" s="380" t="s">
        <v>14171</v>
      </c>
      <c r="B13297" s="380" t="str">
        <f>IFERROR(__xludf.DUMMYFUNCTION("""COMPUTED_VALUE"""),"Oring Tubo Ref Mack Anthem/Cxu 586am5008")</f>
        <v>Oring Tubo Ref Mack Anthem/Cxu 586am5008</v>
      </c>
      <c r="C13297" s="380" t="str">
        <f>IFERROR(__xludf.DUMMYFUNCTION("""COMPUTED_VALUE"""),"70008772")</f>
        <v>70008772</v>
      </c>
      <c r="D13297" s="380" t="s">
        <v>767</v>
      </c>
      <c r="E13297" s="380" t="s">
        <v>786</v>
      </c>
      <c r="F13297" s="380" t="s">
        <v>787</v>
      </c>
      <c r="G13297" s="380" t="s">
        <v>1267</v>
      </c>
      <c r="H13297" s="380" t="s">
        <v>771</v>
      </c>
      <c r="I13297" s="380" t="s">
        <v>788</v>
      </c>
      <c r="J13297" s="380" t="s">
        <v>773</v>
      </c>
      <c r="K13297" s="381">
        <v>0.0</v>
      </c>
      <c r="L13297" s="382">
        <v>1.0</v>
      </c>
    </row>
    <row r="13298">
      <c r="A13298" s="380" t="s">
        <v>14172</v>
      </c>
      <c r="B13298" s="380" t="str">
        <f>IFERROR(__xludf.DUMMYFUNCTION("""COMPUTED_VALUE"""),"Mando A Distancia Ecas Dafcf 480 2038921")</f>
        <v>Mando A Distancia Ecas Dafcf 480 2038921</v>
      </c>
      <c r="C13298" s="380" t="str">
        <f>IFERROR(__xludf.DUMMYFUNCTION("""COMPUTED_VALUE"""),"70008773")</f>
        <v>70008773</v>
      </c>
      <c r="D13298" s="380" t="s">
        <v>767</v>
      </c>
      <c r="E13298" s="380" t="s">
        <v>786</v>
      </c>
      <c r="F13298" s="380" t="s">
        <v>998</v>
      </c>
      <c r="G13298" s="380" t="s">
        <v>1267</v>
      </c>
      <c r="H13298" s="380" t="s">
        <v>771</v>
      </c>
      <c r="I13298" s="380" t="s">
        <v>788</v>
      </c>
      <c r="J13298" s="380" t="s">
        <v>773</v>
      </c>
      <c r="K13298" s="381">
        <v>0.0</v>
      </c>
      <c r="L13298" s="382">
        <v>1.0</v>
      </c>
    </row>
    <row r="13299">
      <c r="A13299" s="380" t="s">
        <v>14173</v>
      </c>
      <c r="B13299" s="380" t="str">
        <f>IFERROR(__xludf.DUMMYFUNCTION("""COMPUTED_VALUE"""),"Modulo Cds-4 Daf Cf480 2299252")</f>
        <v>Modulo Cds-4 Daf Cf480 2299252</v>
      </c>
      <c r="C13299" s="380" t="str">
        <f>IFERROR(__xludf.DUMMYFUNCTION("""COMPUTED_VALUE"""),"70008774")</f>
        <v>70008774</v>
      </c>
      <c r="D13299" s="380" t="s">
        <v>767</v>
      </c>
      <c r="E13299" s="380" t="s">
        <v>786</v>
      </c>
      <c r="F13299" s="380" t="s">
        <v>998</v>
      </c>
      <c r="G13299" s="380" t="s">
        <v>1267</v>
      </c>
      <c r="H13299" s="380" t="s">
        <v>771</v>
      </c>
      <c r="I13299" s="380" t="s">
        <v>788</v>
      </c>
      <c r="J13299" s="380" t="s">
        <v>773</v>
      </c>
      <c r="K13299" s="381">
        <v>0.0</v>
      </c>
      <c r="L13299" s="382">
        <v>1.0</v>
      </c>
    </row>
    <row r="13300">
      <c r="A13300" s="380" t="s">
        <v>14174</v>
      </c>
      <c r="B13300" s="380" t="str">
        <f>IFERROR(__xludf.DUMMYFUNCTION("""COMPUTED_VALUE"""),"Empaque Int Puerta Kenworth T660 R421084")</f>
        <v>Empaque Int Puerta Kenworth T660 R421084</v>
      </c>
      <c r="C13300" s="380" t="str">
        <f>IFERROR(__xludf.DUMMYFUNCTION("""COMPUTED_VALUE"""),"70008775")</f>
        <v>70008775</v>
      </c>
      <c r="D13300" s="380" t="s">
        <v>767</v>
      </c>
      <c r="E13300" s="380" t="s">
        <v>786</v>
      </c>
      <c r="F13300" s="380" t="s">
        <v>792</v>
      </c>
      <c r="G13300" s="380" t="s">
        <v>1267</v>
      </c>
      <c r="H13300" s="380" t="s">
        <v>771</v>
      </c>
      <c r="I13300" s="380" t="s">
        <v>788</v>
      </c>
      <c r="J13300" s="380" t="s">
        <v>773</v>
      </c>
      <c r="K13300" s="381">
        <v>341987.0</v>
      </c>
      <c r="L13300" s="382">
        <v>1.0</v>
      </c>
    </row>
    <row r="13301">
      <c r="A13301" s="380" t="s">
        <v>14175</v>
      </c>
      <c r="B13301" s="380" t="str">
        <f>IFERROR(__xludf.DUMMYFUNCTION("""COMPUTED_VALUE"""),"Pedal Acelerador Van N200 24519713")</f>
        <v>Pedal Acelerador Van N200 24519713</v>
      </c>
      <c r="C13301" s="380" t="str">
        <f>IFERROR(__xludf.DUMMYFUNCTION("""COMPUTED_VALUE"""),"70008776")</f>
        <v>70008776</v>
      </c>
      <c r="D13301" s="380" t="s">
        <v>767</v>
      </c>
      <c r="E13301" s="380" t="s">
        <v>786</v>
      </c>
      <c r="F13301" s="380" t="s">
        <v>792</v>
      </c>
      <c r="G13301" s="380" t="s">
        <v>1267</v>
      </c>
      <c r="H13301" s="380" t="s">
        <v>771</v>
      </c>
      <c r="I13301" s="380" t="s">
        <v>788</v>
      </c>
      <c r="J13301" s="380" t="s">
        <v>773</v>
      </c>
      <c r="K13301" s="381">
        <v>0.0</v>
      </c>
      <c r="L13301" s="382">
        <v>1.0</v>
      </c>
    </row>
    <row r="13302">
      <c r="A13302" s="380" t="s">
        <v>14176</v>
      </c>
      <c r="B13302" s="380" t="str">
        <f>IFERROR(__xludf.DUMMYFUNCTION("""COMPUTED_VALUE"""),"Manguera Sili 4"" 3 Aros Admision Kw")</f>
        <v>Manguera Sili 4" 3 Aros Admision Kw</v>
      </c>
      <c r="C13302" s="380" t="str">
        <f>IFERROR(__xludf.DUMMYFUNCTION("""COMPUTED_VALUE"""),"70008777")</f>
        <v>70008777</v>
      </c>
      <c r="D13302" s="380" t="s">
        <v>767</v>
      </c>
      <c r="E13302" s="380" t="s">
        <v>786</v>
      </c>
      <c r="F13302" s="380" t="s">
        <v>787</v>
      </c>
      <c r="G13302" s="380" t="s">
        <v>1267</v>
      </c>
      <c r="H13302" s="380" t="s">
        <v>771</v>
      </c>
      <c r="I13302" s="380" t="s">
        <v>788</v>
      </c>
      <c r="J13302" s="380" t="s">
        <v>773</v>
      </c>
      <c r="K13302" s="381">
        <v>183260.0</v>
      </c>
      <c r="L13302" s="382">
        <v>1.0</v>
      </c>
    </row>
    <row r="13303">
      <c r="A13303" s="380" t="s">
        <v>14177</v>
      </c>
      <c r="B13303" s="380" t="str">
        <f>IFERROR(__xludf.DUMMYFUNCTION("""COMPUTED_VALUE"""),"Carcaza Tras Caja Fot 1030 7705946777407")</f>
        <v>Carcaza Tras Caja Fot 1030 7705946777407</v>
      </c>
      <c r="C13303" s="380" t="str">
        <f>IFERROR(__xludf.DUMMYFUNCTION("""COMPUTED_VALUE"""),"70008778")</f>
        <v>70008778</v>
      </c>
      <c r="D13303" s="380" t="s">
        <v>767</v>
      </c>
      <c r="E13303" s="380" t="s">
        <v>786</v>
      </c>
      <c r="F13303" s="380" t="s">
        <v>928</v>
      </c>
      <c r="G13303" s="380" t="s">
        <v>1267</v>
      </c>
      <c r="H13303" s="380" t="s">
        <v>771</v>
      </c>
      <c r="I13303" s="380" t="s">
        <v>788</v>
      </c>
      <c r="J13303" s="380" t="s">
        <v>773</v>
      </c>
      <c r="K13303" s="381">
        <v>0.0</v>
      </c>
      <c r="L13303" s="382">
        <v>1.0</v>
      </c>
    </row>
    <row r="13304">
      <c r="A13304" s="380" t="s">
        <v>14178</v>
      </c>
      <c r="B13304" s="380" t="str">
        <f>IFERROR(__xludf.DUMMYFUNCTION("""COMPUTED_VALUE"""),"Reten Tras Caja Foton 1030 7705946777421")</f>
        <v>Reten Tras Caja Foton 1030 7705946777421</v>
      </c>
      <c r="C13304" s="380" t="str">
        <f>IFERROR(__xludf.DUMMYFUNCTION("""COMPUTED_VALUE"""),"70008779")</f>
        <v>70008779</v>
      </c>
      <c r="D13304" s="380" t="s">
        <v>767</v>
      </c>
      <c r="E13304" s="380" t="s">
        <v>786</v>
      </c>
      <c r="F13304" s="380" t="s">
        <v>928</v>
      </c>
      <c r="G13304" s="380" t="s">
        <v>1267</v>
      </c>
      <c r="H13304" s="380" t="s">
        <v>771</v>
      </c>
      <c r="I13304" s="380" t="s">
        <v>788</v>
      </c>
      <c r="J13304" s="380" t="s">
        <v>773</v>
      </c>
      <c r="K13304" s="381">
        <v>0.0</v>
      </c>
      <c r="L13304" s="382">
        <v>1.0</v>
      </c>
    </row>
    <row r="13305">
      <c r="A13305" s="380" t="s">
        <v>14179</v>
      </c>
      <c r="B13305" s="380" t="str">
        <f>IFERROR(__xludf.DUMMYFUNCTION("""COMPUTED_VALUE"""),"Valvula Escape Foton 1030 7705946760348")</f>
        <v>Valvula Escape Foton 1030 7705946760348</v>
      </c>
      <c r="C13305" s="380" t="str">
        <f>IFERROR(__xludf.DUMMYFUNCTION("""COMPUTED_VALUE"""),"70008780")</f>
        <v>70008780</v>
      </c>
      <c r="D13305" s="380" t="s">
        <v>767</v>
      </c>
      <c r="E13305" s="380" t="s">
        <v>786</v>
      </c>
      <c r="F13305" s="380" t="s">
        <v>787</v>
      </c>
      <c r="G13305" s="380" t="s">
        <v>1267</v>
      </c>
      <c r="H13305" s="380" t="s">
        <v>771</v>
      </c>
      <c r="I13305" s="380" t="s">
        <v>788</v>
      </c>
      <c r="J13305" s="380" t="s">
        <v>773</v>
      </c>
      <c r="K13305" s="381">
        <v>0.0</v>
      </c>
      <c r="L13305" s="382">
        <v>1.0</v>
      </c>
    </row>
    <row r="13306">
      <c r="A13306" s="380" t="s">
        <v>14180</v>
      </c>
      <c r="B13306" s="380" t="str">
        <f>IFERROR(__xludf.DUMMYFUNCTION("""COMPUTED_VALUE"""),"Valvula Admisio Foton 1030 7705946760355")</f>
        <v>Valvula Admisio Foton 1030 7705946760355</v>
      </c>
      <c r="C13306" s="380" t="str">
        <f>IFERROR(__xludf.DUMMYFUNCTION("""COMPUTED_VALUE"""),"70008781")</f>
        <v>70008781</v>
      </c>
      <c r="D13306" s="380" t="s">
        <v>767</v>
      </c>
      <c r="E13306" s="380" t="s">
        <v>786</v>
      </c>
      <c r="F13306" s="380" t="s">
        <v>787</v>
      </c>
      <c r="G13306" s="380" t="s">
        <v>1267</v>
      </c>
      <c r="H13306" s="380" t="s">
        <v>771</v>
      </c>
      <c r="I13306" s="380" t="s">
        <v>788</v>
      </c>
      <c r="J13306" s="380" t="s">
        <v>773</v>
      </c>
      <c r="K13306" s="381">
        <v>0.0</v>
      </c>
      <c r="L13306" s="382">
        <v>1.0</v>
      </c>
    </row>
    <row r="13307">
      <c r="A13307" s="380" t="s">
        <v>14181</v>
      </c>
      <c r="B13307" s="380" t="str">
        <f>IFERROR(__xludf.DUMMYFUNCTION("""COMPUTED_VALUE"""),"PTA DER FT 1128 5946 5946684491")</f>
        <v>PTA DER FT 1128 5946 5946684491</v>
      </c>
      <c r="C13307" s="380" t="str">
        <f>IFERROR(__xludf.DUMMYFUNCTION("""COMPUTED_VALUE"""),"70008782")</f>
        <v>70008782</v>
      </c>
      <c r="D13307" s="380" t="s">
        <v>767</v>
      </c>
      <c r="E13307" s="380" t="s">
        <v>786</v>
      </c>
      <c r="F13307" s="380" t="s">
        <v>792</v>
      </c>
      <c r="G13307" s="380" t="s">
        <v>1267</v>
      </c>
      <c r="H13307" s="380" t="s">
        <v>771</v>
      </c>
      <c r="I13307" s="380" t="s">
        <v>788</v>
      </c>
      <c r="J13307" s="380" t="s">
        <v>773</v>
      </c>
      <c r="K13307" s="381">
        <v>0.0</v>
      </c>
      <c r="L13307" s="382">
        <v>1.0</v>
      </c>
    </row>
    <row r="13308">
      <c r="A13308" s="380" t="s">
        <v>14182</v>
      </c>
      <c r="B13308" s="380" t="str">
        <f>IFERROR(__xludf.DUMMYFUNCTION("""COMPUTED_VALUE"""),"Arnes Externo Bomba Urea Lt 3784625c91")</f>
        <v>Arnes Externo Bomba Urea Lt 3784625c91</v>
      </c>
      <c r="C13308" s="380" t="str">
        <f>IFERROR(__xludf.DUMMYFUNCTION("""COMPUTED_VALUE"""),"70008783")</f>
        <v>70008783</v>
      </c>
      <c r="D13308" s="380" t="s">
        <v>767</v>
      </c>
      <c r="E13308" s="380" t="s">
        <v>786</v>
      </c>
      <c r="F13308" s="380" t="s">
        <v>998</v>
      </c>
      <c r="G13308" s="380" t="s">
        <v>1267</v>
      </c>
      <c r="H13308" s="380" t="s">
        <v>771</v>
      </c>
      <c r="I13308" s="380" t="s">
        <v>788</v>
      </c>
      <c r="J13308" s="380" t="s">
        <v>773</v>
      </c>
      <c r="K13308" s="381">
        <v>0.0</v>
      </c>
      <c r="L13308" s="382">
        <v>1.0</v>
      </c>
    </row>
    <row r="13309">
      <c r="A13309" s="380" t="s">
        <v>14183</v>
      </c>
      <c r="B13309" s="380" t="str">
        <f>IFERROR(__xludf.DUMMYFUNCTION("""COMPUTED_VALUE"""),"PTA DER VW Worker 8150 2r0831052a")</f>
        <v>PTA DER VW Worker 8150 2r0831052a</v>
      </c>
      <c r="C13309" s="380" t="str">
        <f>IFERROR(__xludf.DUMMYFUNCTION("""COMPUTED_VALUE"""),"70008784")</f>
        <v>70008784</v>
      </c>
      <c r="D13309" s="380" t="s">
        <v>767</v>
      </c>
      <c r="E13309" s="380" t="s">
        <v>786</v>
      </c>
      <c r="F13309" s="380" t="s">
        <v>792</v>
      </c>
      <c r="G13309" s="380" t="s">
        <v>1267</v>
      </c>
      <c r="H13309" s="380" t="s">
        <v>771</v>
      </c>
      <c r="I13309" s="380" t="s">
        <v>788</v>
      </c>
      <c r="J13309" s="380" t="s">
        <v>773</v>
      </c>
      <c r="K13309" s="381">
        <v>0.0</v>
      </c>
      <c r="L13309" s="382">
        <v>1.0</v>
      </c>
    </row>
    <row r="13310">
      <c r="A13310" s="380" t="s">
        <v>14184</v>
      </c>
      <c r="B13310" s="380" t="str">
        <f>IFERROR(__xludf.DUMMYFUNCTION("""COMPUTED_VALUE"""),"Manija Ext Puerta Izq Daf Cf 480 1872740")</f>
        <v>Manija Ext Puerta Izq Daf Cf 480 1872740</v>
      </c>
      <c r="C13310" s="380" t="str">
        <f>IFERROR(__xludf.DUMMYFUNCTION("""COMPUTED_VALUE"""),"70008785")</f>
        <v>70008785</v>
      </c>
      <c r="D13310" s="380" t="s">
        <v>767</v>
      </c>
      <c r="E13310" s="380" t="s">
        <v>786</v>
      </c>
      <c r="F13310" s="380" t="s">
        <v>792</v>
      </c>
      <c r="G13310" s="380" t="s">
        <v>1267</v>
      </c>
      <c r="H13310" s="380" t="s">
        <v>771</v>
      </c>
      <c r="I13310" s="380" t="s">
        <v>788</v>
      </c>
      <c r="J13310" s="380" t="s">
        <v>773</v>
      </c>
      <c r="K13310" s="381">
        <v>1138227.0</v>
      </c>
      <c r="L13310" s="382">
        <v>1.0</v>
      </c>
    </row>
    <row r="13311">
      <c r="A13311" s="380" t="s">
        <v>14185</v>
      </c>
      <c r="B13311" s="380" t="str">
        <f>IFERROR(__xludf.DUMMYFUNCTION("""COMPUTED_VALUE"""),"Sensor Pres A/C Foton Amt H0812080014a0")</f>
        <v>Sensor Pres A/C Foton Amt H0812080014a0</v>
      </c>
      <c r="C13311" s="380" t="str">
        <f>IFERROR(__xludf.DUMMYFUNCTION("""COMPUTED_VALUE"""),"70008786")</f>
        <v>70008786</v>
      </c>
      <c r="D13311" s="380" t="s">
        <v>767</v>
      </c>
      <c r="E13311" s="380" t="s">
        <v>786</v>
      </c>
      <c r="F13311" s="380" t="s">
        <v>998</v>
      </c>
      <c r="G13311" s="380" t="s">
        <v>1267</v>
      </c>
      <c r="H13311" s="380" t="s">
        <v>771</v>
      </c>
      <c r="I13311" s="380" t="s">
        <v>788</v>
      </c>
      <c r="J13311" s="380" t="s">
        <v>773</v>
      </c>
      <c r="K13311" s="381">
        <v>0.0</v>
      </c>
      <c r="L13311" s="382">
        <v>1.0</v>
      </c>
    </row>
    <row r="13312">
      <c r="A13312" s="380" t="s">
        <v>14186</v>
      </c>
      <c r="B13312" s="380" t="str">
        <f>IFERROR(__xludf.DUMMYFUNCTION("""COMPUTED_VALUE"""),"Espejo Capo Izq Mack Anthem 84749244")</f>
        <v>Espejo Capo Izq Mack Anthem 84749244</v>
      </c>
      <c r="C13312" s="380" t="str">
        <f>IFERROR(__xludf.DUMMYFUNCTION("""COMPUTED_VALUE"""),"70008787")</f>
        <v>70008787</v>
      </c>
      <c r="D13312" s="380" t="s">
        <v>767</v>
      </c>
      <c r="E13312" s="380" t="s">
        <v>786</v>
      </c>
      <c r="F13312" s="380" t="s">
        <v>792</v>
      </c>
      <c r="G13312" s="380" t="s">
        <v>1267</v>
      </c>
      <c r="H13312" s="380" t="s">
        <v>771</v>
      </c>
      <c r="I13312" s="380" t="s">
        <v>788</v>
      </c>
      <c r="J13312" s="380" t="s">
        <v>773</v>
      </c>
      <c r="K13312" s="381">
        <v>0.0</v>
      </c>
      <c r="L13312" s="382">
        <v>1.0</v>
      </c>
    </row>
    <row r="13313">
      <c r="A13313" s="380" t="s">
        <v>14187</v>
      </c>
      <c r="B13313" s="380" t="str">
        <f>IFERROR(__xludf.DUMMYFUNCTION("""COMPUTED_VALUE"""),"Espejo Puerta Izq Mack Anthem 84719467")</f>
        <v>Espejo Puerta Izq Mack Anthem 84719467</v>
      </c>
      <c r="C13313" s="380" t="str">
        <f>IFERROR(__xludf.DUMMYFUNCTION("""COMPUTED_VALUE"""),"70008788")</f>
        <v>70008788</v>
      </c>
      <c r="D13313" s="380" t="s">
        <v>767</v>
      </c>
      <c r="E13313" s="380" t="s">
        <v>786</v>
      </c>
      <c r="F13313" s="380" t="s">
        <v>792</v>
      </c>
      <c r="G13313" s="380" t="s">
        <v>1267</v>
      </c>
      <c r="H13313" s="380" t="s">
        <v>771</v>
      </c>
      <c r="I13313" s="380" t="s">
        <v>788</v>
      </c>
      <c r="J13313" s="380" t="s">
        <v>773</v>
      </c>
      <c r="K13313" s="381">
        <v>0.0</v>
      </c>
      <c r="L13313" s="382">
        <v>1.0</v>
      </c>
    </row>
    <row r="13314">
      <c r="A13314" s="380" t="s">
        <v>14188</v>
      </c>
      <c r="B13314" s="380" t="str">
        <f>IFERROR(__xludf.DUMMYFUNCTION("""COMPUTED_VALUE"""),"Sop Manija Cab Izq Ft 4269 H4531010107a0")</f>
        <v>Sop Manija Cab Izq Ft 4269 H4531010107a0</v>
      </c>
      <c r="C13314" s="380" t="str">
        <f>IFERROR(__xludf.DUMMYFUNCTION("""COMPUTED_VALUE"""),"70008789")</f>
        <v>70008789</v>
      </c>
      <c r="D13314" s="380" t="s">
        <v>767</v>
      </c>
      <c r="E13314" s="380" t="s">
        <v>786</v>
      </c>
      <c r="F13314" s="380" t="s">
        <v>792</v>
      </c>
      <c r="G13314" s="380" t="s">
        <v>1267</v>
      </c>
      <c r="H13314" s="380" t="s">
        <v>771</v>
      </c>
      <c r="I13314" s="380" t="s">
        <v>788</v>
      </c>
      <c r="J13314" s="380" t="s">
        <v>773</v>
      </c>
      <c r="K13314" s="381">
        <v>0.0</v>
      </c>
      <c r="L13314" s="382">
        <v>1.0</v>
      </c>
    </row>
    <row r="13315">
      <c r="A13315" s="380" t="s">
        <v>14189</v>
      </c>
      <c r="B13315" s="380" t="str">
        <f>IFERROR(__xludf.DUMMYFUNCTION("""COMPUTED_VALUE"""),"Sop Manija Cab Der Ft 4269 H4531010108a0")</f>
        <v>Sop Manija Cab Der Ft 4269 H4531010108a0</v>
      </c>
      <c r="C13315" s="380" t="str">
        <f>IFERROR(__xludf.DUMMYFUNCTION("""COMPUTED_VALUE"""),"70008790")</f>
        <v>70008790</v>
      </c>
      <c r="D13315" s="380" t="s">
        <v>767</v>
      </c>
      <c r="E13315" s="380" t="s">
        <v>786</v>
      </c>
      <c r="F13315" s="380" t="s">
        <v>792</v>
      </c>
      <c r="G13315" s="380" t="s">
        <v>1267</v>
      </c>
      <c r="H13315" s="380" t="s">
        <v>771</v>
      </c>
      <c r="I13315" s="380" t="s">
        <v>788</v>
      </c>
      <c r="J13315" s="380" t="s">
        <v>773</v>
      </c>
      <c r="K13315" s="381">
        <v>0.0</v>
      </c>
      <c r="L13315" s="382">
        <v>1.0</v>
      </c>
    </row>
    <row r="13316">
      <c r="A13316" s="380" t="s">
        <v>14190</v>
      </c>
      <c r="B13316" s="380" t="str">
        <f>IFERROR(__xludf.DUMMYFUNCTION("""COMPUTED_VALUE"""),"Manguera Sinflex 12 Mm")</f>
        <v>Manguera Sinflex 12 Mm</v>
      </c>
      <c r="C13316" s="380" t="str">
        <f>IFERROR(__xludf.DUMMYFUNCTION("""COMPUTED_VALUE"""),"70008791")</f>
        <v>70008791</v>
      </c>
      <c r="D13316" s="380" t="s">
        <v>767</v>
      </c>
      <c r="E13316" s="380" t="s">
        <v>786</v>
      </c>
      <c r="F13316" s="380" t="s">
        <v>989</v>
      </c>
      <c r="G13316" s="380" t="s">
        <v>1267</v>
      </c>
      <c r="H13316" s="380" t="s">
        <v>771</v>
      </c>
      <c r="I13316" s="380" t="s">
        <v>788</v>
      </c>
      <c r="J13316" s="380" t="s">
        <v>773</v>
      </c>
      <c r="K13316" s="381">
        <v>0.0</v>
      </c>
      <c r="L13316" s="382">
        <v>1.0</v>
      </c>
    </row>
    <row r="13317">
      <c r="A13317" s="380" t="s">
        <v>14191</v>
      </c>
      <c r="B13317" s="380" t="str">
        <f>IFERROR(__xludf.DUMMYFUNCTION("""COMPUTED_VALUE"""),"Manguera Sinflex 10 Mm")</f>
        <v>Manguera Sinflex 10 Mm</v>
      </c>
      <c r="C13317" s="380" t="str">
        <f>IFERROR(__xludf.DUMMYFUNCTION("""COMPUTED_VALUE"""),"70008792")</f>
        <v>70008792</v>
      </c>
      <c r="D13317" s="380" t="s">
        <v>767</v>
      </c>
      <c r="E13317" s="380" t="s">
        <v>786</v>
      </c>
      <c r="F13317" s="380" t="s">
        <v>989</v>
      </c>
      <c r="G13317" s="380" t="s">
        <v>1267</v>
      </c>
      <c r="H13317" s="380" t="s">
        <v>771</v>
      </c>
      <c r="I13317" s="380" t="s">
        <v>788</v>
      </c>
      <c r="J13317" s="380" t="s">
        <v>773</v>
      </c>
      <c r="K13317" s="381">
        <v>0.0</v>
      </c>
      <c r="L13317" s="382">
        <v>1.0</v>
      </c>
    </row>
    <row r="13318">
      <c r="A13318" s="380" t="s">
        <v>14192</v>
      </c>
      <c r="B13318" s="380" t="str">
        <f>IFERROR(__xludf.DUMMYFUNCTION("""COMPUTED_VALUE"""),"Acople Rapido Recto 12 Mm")</f>
        <v>Acople Rapido Recto 12 Mm</v>
      </c>
      <c r="C13318" s="380" t="str">
        <f>IFERROR(__xludf.DUMMYFUNCTION("""COMPUTED_VALUE"""),"70008793")</f>
        <v>70008793</v>
      </c>
      <c r="D13318" s="380" t="s">
        <v>767</v>
      </c>
      <c r="E13318" s="380" t="s">
        <v>786</v>
      </c>
      <c r="F13318" s="380" t="s">
        <v>989</v>
      </c>
      <c r="G13318" s="380" t="s">
        <v>1267</v>
      </c>
      <c r="H13318" s="380" t="s">
        <v>771</v>
      </c>
      <c r="I13318" s="380" t="s">
        <v>788</v>
      </c>
      <c r="J13318" s="380" t="s">
        <v>773</v>
      </c>
      <c r="K13318" s="381">
        <v>0.0</v>
      </c>
      <c r="L13318" s="382">
        <v>1.0</v>
      </c>
    </row>
    <row r="13319">
      <c r="A13319" s="380" t="s">
        <v>14193</v>
      </c>
      <c r="B13319" s="380" t="str">
        <f>IFERROR(__xludf.DUMMYFUNCTION("""COMPUTED_VALUE"""),"Tanque Combustible Npr Reparado")</f>
        <v>Tanque Combustible Npr Reparado</v>
      </c>
      <c r="C13319" s="380" t="str">
        <f>IFERROR(__xludf.DUMMYFUNCTION("""COMPUTED_VALUE"""),"70008794")</f>
        <v>70008794</v>
      </c>
      <c r="D13319" s="380" t="s">
        <v>767</v>
      </c>
      <c r="E13319" s="380" t="s">
        <v>786</v>
      </c>
      <c r="F13319" s="380" t="s">
        <v>792</v>
      </c>
      <c r="G13319" s="380" t="s">
        <v>1267</v>
      </c>
      <c r="H13319" s="380" t="s">
        <v>771</v>
      </c>
      <c r="I13319" s="380" t="s">
        <v>788</v>
      </c>
      <c r="J13319" s="380" t="s">
        <v>773</v>
      </c>
      <c r="K13319" s="381">
        <v>0.0</v>
      </c>
      <c r="L13319" s="382">
        <v>1.0</v>
      </c>
    </row>
    <row r="13320">
      <c r="A13320" s="380" t="s">
        <v>14194</v>
      </c>
      <c r="B13320" s="380" t="str">
        <f>IFERROR(__xludf.DUMMYFUNCTION("""COMPUTED_VALUE"""),"Rin Nkr - Nhr Reparado")</f>
        <v>Rin Nkr - Nhr Reparado</v>
      </c>
      <c r="C13320" s="380" t="str">
        <f>IFERROR(__xludf.DUMMYFUNCTION("""COMPUTED_VALUE"""),"70008795")</f>
        <v>70008795</v>
      </c>
      <c r="D13320" s="380" t="s">
        <v>767</v>
      </c>
      <c r="E13320" s="380" t="s">
        <v>786</v>
      </c>
      <c r="F13320" s="380" t="s">
        <v>5683</v>
      </c>
      <c r="G13320" s="380" t="s">
        <v>1267</v>
      </c>
      <c r="H13320" s="380" t="s">
        <v>771</v>
      </c>
      <c r="I13320" s="380" t="s">
        <v>788</v>
      </c>
      <c r="J13320" s="380" t="s">
        <v>773</v>
      </c>
      <c r="K13320" s="381">
        <v>0.0</v>
      </c>
      <c r="L13320" s="382">
        <v>1.0</v>
      </c>
    </row>
    <row r="13321">
      <c r="A13321" s="380" t="s">
        <v>14195</v>
      </c>
      <c r="B13321" s="380" t="str">
        <f>IFERROR(__xludf.DUMMYFUNCTION("""COMPUTED_VALUE"""),"Caja Direccion Daf Cf 480 2405464rn")</f>
        <v>Caja Direccion Daf Cf 480 2405464rn</v>
      </c>
      <c r="C13321" s="380" t="str">
        <f>IFERROR(__xludf.DUMMYFUNCTION("""COMPUTED_VALUE"""),"70008796")</f>
        <v>70008796</v>
      </c>
      <c r="D13321" s="380" t="s">
        <v>767</v>
      </c>
      <c r="E13321" s="380" t="s">
        <v>786</v>
      </c>
      <c r="F13321" s="380" t="s">
        <v>1020</v>
      </c>
      <c r="G13321" s="380" t="s">
        <v>1267</v>
      </c>
      <c r="H13321" s="380" t="s">
        <v>771</v>
      </c>
      <c r="I13321" s="380" t="s">
        <v>788</v>
      </c>
      <c r="J13321" s="380" t="s">
        <v>773</v>
      </c>
      <c r="K13321" s="381">
        <v>0.0</v>
      </c>
      <c r="L13321" s="382">
        <v>1.0</v>
      </c>
    </row>
    <row r="13322">
      <c r="A13322" s="380" t="s">
        <v>14196</v>
      </c>
      <c r="B13322" s="380" t="str">
        <f>IFERROR(__xludf.DUMMYFUNCTION("""COMPUTED_VALUE"""),"Persiana Mack Anthem Reparado")</f>
        <v>Persiana Mack Anthem Reparado</v>
      </c>
      <c r="C13322" s="380" t="str">
        <f>IFERROR(__xludf.DUMMYFUNCTION("""COMPUTED_VALUE"""),"70008797")</f>
        <v>70008797</v>
      </c>
      <c r="D13322" s="380" t="s">
        <v>767</v>
      </c>
      <c r="E13322" s="380" t="s">
        <v>786</v>
      </c>
      <c r="F13322" s="380" t="s">
        <v>792</v>
      </c>
      <c r="G13322" s="380" t="s">
        <v>1267</v>
      </c>
      <c r="H13322" s="380" t="s">
        <v>771</v>
      </c>
      <c r="I13322" s="380" t="s">
        <v>788</v>
      </c>
      <c r="J13322" s="380" t="s">
        <v>773</v>
      </c>
      <c r="K13322" s="381">
        <v>0.0</v>
      </c>
      <c r="L13322" s="382">
        <v>1.0</v>
      </c>
    </row>
    <row r="13323">
      <c r="A13323" s="380" t="s">
        <v>14197</v>
      </c>
      <c r="B13323" s="380" t="str">
        <f>IFERROR(__xludf.DUMMYFUNCTION("""COMPUTED_VALUE"""),"Guardabarro Mack Anthem Reparado")</f>
        <v>Guardabarro Mack Anthem Reparado</v>
      </c>
      <c r="C13323" s="380" t="str">
        <f>IFERROR(__xludf.DUMMYFUNCTION("""COMPUTED_VALUE"""),"70008798")</f>
        <v>70008798</v>
      </c>
      <c r="D13323" s="380" t="s">
        <v>767</v>
      </c>
      <c r="E13323" s="380" t="s">
        <v>786</v>
      </c>
      <c r="F13323" s="380" t="s">
        <v>792</v>
      </c>
      <c r="G13323" s="380" t="s">
        <v>1267</v>
      </c>
      <c r="H13323" s="380" t="s">
        <v>771</v>
      </c>
      <c r="I13323" s="380" t="s">
        <v>788</v>
      </c>
      <c r="J13323" s="380" t="s">
        <v>773</v>
      </c>
      <c r="K13323" s="381">
        <v>0.0</v>
      </c>
      <c r="L13323" s="382">
        <v>1.0</v>
      </c>
    </row>
    <row r="13324">
      <c r="A13324" s="380" t="s">
        <v>14198</v>
      </c>
      <c r="B13324" s="380" t="str">
        <f>IFERROR(__xludf.DUMMYFUNCTION("""COMPUTED_VALUE"""),"Arnes Cabina Chevrolet Nkr Iiie 98158762")</f>
        <v>Arnes Cabina Chevrolet Nkr Iiie 98158762</v>
      </c>
      <c r="C13324" s="380" t="str">
        <f>IFERROR(__xludf.DUMMYFUNCTION("""COMPUTED_VALUE"""),"70008799")</f>
        <v>70008799</v>
      </c>
      <c r="D13324" s="380" t="s">
        <v>767</v>
      </c>
      <c r="E13324" s="380" t="s">
        <v>786</v>
      </c>
      <c r="F13324" s="380" t="s">
        <v>998</v>
      </c>
      <c r="G13324" s="380" t="s">
        <v>1267</v>
      </c>
      <c r="H13324" s="380" t="s">
        <v>771</v>
      </c>
      <c r="I13324" s="380" t="s">
        <v>788</v>
      </c>
      <c r="J13324" s="380" t="s">
        <v>773</v>
      </c>
      <c r="K13324" s="381">
        <v>0.0</v>
      </c>
      <c r="L13324" s="382">
        <v>1.0</v>
      </c>
    </row>
    <row r="13325">
      <c r="A13325" s="380" t="s">
        <v>14199</v>
      </c>
      <c r="B13325" s="380" t="str">
        <f>IFERROR(__xludf.DUMMYFUNCTION("""COMPUTED_VALUE"""),"Bisagra Puerta Cab Foton 1128 5946766708")</f>
        <v>Bisagra Puerta Cab Foton 1128 5946766708</v>
      </c>
      <c r="C13325" s="380" t="str">
        <f>IFERROR(__xludf.DUMMYFUNCTION("""COMPUTED_VALUE"""),"70008800")</f>
        <v>70008800</v>
      </c>
      <c r="D13325" s="380" t="s">
        <v>767</v>
      </c>
      <c r="E13325" s="380" t="s">
        <v>786</v>
      </c>
      <c r="F13325" s="380" t="s">
        <v>792</v>
      </c>
      <c r="G13325" s="380" t="s">
        <v>1267</v>
      </c>
      <c r="H13325" s="380" t="s">
        <v>771</v>
      </c>
      <c r="I13325" s="380" t="s">
        <v>788</v>
      </c>
      <c r="J13325" s="380" t="s">
        <v>773</v>
      </c>
      <c r="K13325" s="381">
        <v>0.0</v>
      </c>
      <c r="L13325" s="382">
        <v>1.0</v>
      </c>
    </row>
    <row r="13326">
      <c r="A13326" s="380" t="s">
        <v>14200</v>
      </c>
      <c r="B13326" s="380" t="str">
        <f>IFERROR(__xludf.DUMMYFUNCTION("""COMPUTED_VALUE"""),"Camara Fre Tra Tra Iz Foton 4269 3530030")</f>
        <v>Camara Fre Tra Tra Iz Foton 4269 3530030</v>
      </c>
      <c r="C13326" s="380" t="str">
        <f>IFERROR(__xludf.DUMMYFUNCTION("""COMPUTED_VALUE"""),"70008801")</f>
        <v>70008801</v>
      </c>
      <c r="D13326" s="380" t="s">
        <v>767</v>
      </c>
      <c r="E13326" s="380" t="s">
        <v>786</v>
      </c>
      <c r="F13326" s="380" t="s">
        <v>1017</v>
      </c>
      <c r="G13326" s="380" t="s">
        <v>1267</v>
      </c>
      <c r="H13326" s="380" t="s">
        <v>771</v>
      </c>
      <c r="I13326" s="380" t="s">
        <v>788</v>
      </c>
      <c r="J13326" s="380" t="s">
        <v>773</v>
      </c>
      <c r="K13326" s="381">
        <v>0.0</v>
      </c>
      <c r="L13326" s="382">
        <v>1.0</v>
      </c>
    </row>
    <row r="13327">
      <c r="A13327" s="380" t="s">
        <v>14201</v>
      </c>
      <c r="B13327" s="380" t="str">
        <f>IFERROR(__xludf.DUMMYFUNCTION("""COMPUTED_VALUE"""),"Kit Repara Caja Direccion Inter Lt Hd94")</f>
        <v>Kit Repara Caja Direccion Inter Lt Hd94</v>
      </c>
      <c r="C13327" s="380" t="str">
        <f>IFERROR(__xludf.DUMMYFUNCTION("""COMPUTED_VALUE"""),"70008802")</f>
        <v>70008802</v>
      </c>
      <c r="D13327" s="380" t="s">
        <v>767</v>
      </c>
      <c r="E13327" s="380" t="s">
        <v>786</v>
      </c>
      <c r="F13327" s="380" t="s">
        <v>1020</v>
      </c>
      <c r="G13327" s="380" t="s">
        <v>1267</v>
      </c>
      <c r="H13327" s="380" t="s">
        <v>771</v>
      </c>
      <c r="I13327" s="380" t="s">
        <v>788</v>
      </c>
      <c r="J13327" s="380" t="s">
        <v>773</v>
      </c>
      <c r="K13327" s="381">
        <v>0.0</v>
      </c>
      <c r="L13327" s="382">
        <v>1.0</v>
      </c>
    </row>
    <row r="13328">
      <c r="A13328" s="380" t="s">
        <v>14202</v>
      </c>
      <c r="B13328" s="380" t="str">
        <f>IFERROR(__xludf.DUMMYFUNCTION("""COMPUTED_VALUE"""),"Booster Freno Nkr Reward 8971 8971627981")</f>
        <v>Booster Freno Nkr Reward 8971 8971627981</v>
      </c>
      <c r="C13328" s="380" t="str">
        <f>IFERROR(__xludf.DUMMYFUNCTION("""COMPUTED_VALUE"""),"70008803")</f>
        <v>70008803</v>
      </c>
      <c r="D13328" s="380" t="s">
        <v>767</v>
      </c>
      <c r="E13328" s="380" t="s">
        <v>786</v>
      </c>
      <c r="F13328" s="380" t="s">
        <v>1017</v>
      </c>
      <c r="G13328" s="380" t="s">
        <v>1267</v>
      </c>
      <c r="H13328" s="380" t="s">
        <v>771</v>
      </c>
      <c r="I13328" s="380" t="s">
        <v>788</v>
      </c>
      <c r="J13328" s="380" t="s">
        <v>773</v>
      </c>
      <c r="K13328" s="381">
        <v>0.0</v>
      </c>
      <c r="L13328" s="382">
        <v>1.0</v>
      </c>
    </row>
    <row r="13329">
      <c r="A13329" s="380" t="s">
        <v>14203</v>
      </c>
      <c r="B13329" s="380" t="str">
        <f>IFERROR(__xludf.DUMMYFUNCTION("""COMPUTED_VALUE"""),"Actuador Combust Inter Lt X15 4307411")</f>
        <v>Actuador Combust Inter Lt X15 4307411</v>
      </c>
      <c r="C13329" s="380" t="str">
        <f>IFERROR(__xludf.DUMMYFUNCTION("""COMPUTED_VALUE"""),"70008804")</f>
        <v>70008804</v>
      </c>
      <c r="D13329" s="380" t="s">
        <v>767</v>
      </c>
      <c r="E13329" s="380" t="s">
        <v>786</v>
      </c>
      <c r="F13329" s="380" t="s">
        <v>787</v>
      </c>
      <c r="G13329" s="380" t="s">
        <v>1267</v>
      </c>
      <c r="H13329" s="380" t="s">
        <v>771</v>
      </c>
      <c r="I13329" s="380" t="s">
        <v>788</v>
      </c>
      <c r="J13329" s="380" t="s">
        <v>773</v>
      </c>
      <c r="K13329" s="381">
        <v>0.0</v>
      </c>
      <c r="L13329" s="382">
        <v>1.0</v>
      </c>
    </row>
    <row r="13330">
      <c r="A13330" s="380" t="s">
        <v>14204</v>
      </c>
      <c r="B13330" s="380" t="str">
        <f>IFERROR(__xludf.DUMMYFUNCTION("""COMPUTED_VALUE"""),"Capo Mack Anthem Reparado")</f>
        <v>Capo Mack Anthem Reparado</v>
      </c>
      <c r="C13330" s="380" t="str">
        <f>IFERROR(__xludf.DUMMYFUNCTION("""COMPUTED_VALUE"""),"70008805")</f>
        <v>70008805</v>
      </c>
      <c r="D13330" s="380" t="s">
        <v>767</v>
      </c>
      <c r="E13330" s="380" t="s">
        <v>786</v>
      </c>
      <c r="F13330" s="380" t="s">
        <v>792</v>
      </c>
      <c r="G13330" s="380" t="s">
        <v>1267</v>
      </c>
      <c r="H13330" s="380" t="s">
        <v>771</v>
      </c>
      <c r="I13330" s="380" t="s">
        <v>788</v>
      </c>
      <c r="J13330" s="380" t="s">
        <v>773</v>
      </c>
      <c r="K13330" s="381">
        <v>0.0</v>
      </c>
      <c r="L13330" s="382">
        <v>1.0</v>
      </c>
    </row>
    <row r="13331">
      <c r="A13331" s="380" t="s">
        <v>14205</v>
      </c>
      <c r="B13331" s="380" t="str">
        <f>IFERROR(__xludf.DUMMYFUNCTION("""COMPUTED_VALUE"""),"Postenfriador Aire Mack Anthem Reparado")</f>
        <v>Postenfriador Aire Mack Anthem Reparado</v>
      </c>
      <c r="C13331" s="380" t="str">
        <f>IFERROR(__xludf.DUMMYFUNCTION("""COMPUTED_VALUE"""),"70008806")</f>
        <v>70008806</v>
      </c>
      <c r="D13331" s="380" t="s">
        <v>767</v>
      </c>
      <c r="E13331" s="380" t="s">
        <v>786</v>
      </c>
      <c r="F13331" s="380" t="s">
        <v>787</v>
      </c>
      <c r="G13331" s="380" t="s">
        <v>1267</v>
      </c>
      <c r="H13331" s="380" t="s">
        <v>771</v>
      </c>
      <c r="I13331" s="380" t="s">
        <v>788</v>
      </c>
      <c r="J13331" s="380" t="s">
        <v>773</v>
      </c>
      <c r="K13331" s="381">
        <v>0.0</v>
      </c>
      <c r="L13331" s="382">
        <v>1.0</v>
      </c>
    </row>
    <row r="13332">
      <c r="A13332" s="380" t="s">
        <v>14206</v>
      </c>
      <c r="B13332" s="380" t="str">
        <f>IFERROR(__xludf.DUMMYFUNCTION("""COMPUTED_VALUE"""),"Lampara Lateral Foton 4269 H436500000025")</f>
        <v>Lampara Lateral Foton 4269 H436500000025</v>
      </c>
      <c r="C13332" s="380" t="str">
        <f>IFERROR(__xludf.DUMMYFUNCTION("""COMPUTED_VALUE"""),"70008807")</f>
        <v>70008807</v>
      </c>
      <c r="D13332" s="380" t="s">
        <v>767</v>
      </c>
      <c r="E13332" s="380" t="s">
        <v>786</v>
      </c>
      <c r="F13332" s="380" t="s">
        <v>998</v>
      </c>
      <c r="G13332" s="380" t="s">
        <v>1267</v>
      </c>
      <c r="H13332" s="380" t="s">
        <v>771</v>
      </c>
      <c r="I13332" s="380" t="s">
        <v>788</v>
      </c>
      <c r="J13332" s="380" t="s">
        <v>773</v>
      </c>
      <c r="K13332" s="381">
        <v>0.0</v>
      </c>
      <c r="L13332" s="382">
        <v>1.0</v>
      </c>
    </row>
    <row r="13333">
      <c r="A13333" s="380" t="s">
        <v>14207</v>
      </c>
      <c r="B13333" s="380" t="str">
        <f>IFERROR(__xludf.DUMMYFUNCTION("""COMPUTED_VALUE"""),"Bloque Motor Jac Jhr Reparado")</f>
        <v>Bloque Motor Jac Jhr Reparado</v>
      </c>
      <c r="C13333" s="380" t="str">
        <f>IFERROR(__xludf.DUMMYFUNCTION("""COMPUTED_VALUE"""),"70008808")</f>
        <v>70008808</v>
      </c>
      <c r="D13333" s="380" t="s">
        <v>767</v>
      </c>
      <c r="E13333" s="380" t="s">
        <v>786</v>
      </c>
      <c r="F13333" s="380" t="s">
        <v>787</v>
      </c>
      <c r="G13333" s="380" t="s">
        <v>1267</v>
      </c>
      <c r="H13333" s="380" t="s">
        <v>771</v>
      </c>
      <c r="I13333" s="380" t="s">
        <v>788</v>
      </c>
      <c r="J13333" s="380" t="s">
        <v>773</v>
      </c>
      <c r="K13333" s="381">
        <v>0.0</v>
      </c>
      <c r="L13333" s="382">
        <v>1.0</v>
      </c>
    </row>
    <row r="13334">
      <c r="A13334" s="380" t="s">
        <v>14208</v>
      </c>
      <c r="B13334" s="380" t="str">
        <f>IFERROR(__xludf.DUMMYFUNCTION("""COMPUTED_VALUE"""),"Manguera Engrase Clutch Prostar K3732")</f>
        <v>Manguera Engrase Clutch Prostar K3732</v>
      </c>
      <c r="C13334" s="380" t="str">
        <f>IFERROR(__xludf.DUMMYFUNCTION("""COMPUTED_VALUE"""),"70008809")</f>
        <v>70008809</v>
      </c>
      <c r="D13334" s="380" t="s">
        <v>767</v>
      </c>
      <c r="E13334" s="380" t="s">
        <v>786</v>
      </c>
      <c r="F13334" s="380" t="s">
        <v>998</v>
      </c>
      <c r="G13334" s="380" t="s">
        <v>1267</v>
      </c>
      <c r="H13334" s="380" t="s">
        <v>771</v>
      </c>
      <c r="I13334" s="380" t="s">
        <v>788</v>
      </c>
      <c r="J13334" s="380" t="s">
        <v>773</v>
      </c>
      <c r="K13334" s="381">
        <v>0.0</v>
      </c>
      <c r="L13334" s="382">
        <v>1.0</v>
      </c>
    </row>
    <row r="13335">
      <c r="A13335" s="380" t="s">
        <v>14209</v>
      </c>
      <c r="B13335" s="380" t="str">
        <f>IFERROR(__xludf.DUMMYFUNCTION("""COMPUTED_VALUE"""),"Inducido Motor Arranque Nkr Reparado")</f>
        <v>Inducido Motor Arranque Nkr Reparado</v>
      </c>
      <c r="C13335" s="380" t="str">
        <f>IFERROR(__xludf.DUMMYFUNCTION("""COMPUTED_VALUE"""),"70008810")</f>
        <v>70008810</v>
      </c>
      <c r="D13335" s="380" t="s">
        <v>767</v>
      </c>
      <c r="E13335" s="380" t="s">
        <v>786</v>
      </c>
      <c r="F13335" s="380" t="s">
        <v>998</v>
      </c>
      <c r="G13335" s="380" t="s">
        <v>1267</v>
      </c>
      <c r="H13335" s="380" t="s">
        <v>771</v>
      </c>
      <c r="I13335" s="380" t="s">
        <v>788</v>
      </c>
      <c r="J13335" s="380" t="s">
        <v>773</v>
      </c>
      <c r="K13335" s="381">
        <v>0.0</v>
      </c>
      <c r="L13335" s="382">
        <v>1.0</v>
      </c>
    </row>
    <row r="13336">
      <c r="A13336" s="380" t="s">
        <v>14210</v>
      </c>
      <c r="B13336" s="380" t="str">
        <f>IFERROR(__xludf.DUMMYFUNCTION("""COMPUTED_VALUE"""),"Booster Freno Npr Reparado")</f>
        <v>Booster Freno Npr Reparado</v>
      </c>
      <c r="C13336" s="380" t="str">
        <f>IFERROR(__xludf.DUMMYFUNCTION("""COMPUTED_VALUE"""),"70008811")</f>
        <v>70008811</v>
      </c>
      <c r="D13336" s="380" t="s">
        <v>767</v>
      </c>
      <c r="E13336" s="380" t="s">
        <v>786</v>
      </c>
      <c r="F13336" s="380" t="s">
        <v>1017</v>
      </c>
      <c r="G13336" s="380" t="s">
        <v>1267</v>
      </c>
      <c r="H13336" s="380" t="s">
        <v>771</v>
      </c>
      <c r="I13336" s="380" t="s">
        <v>788</v>
      </c>
      <c r="J13336" s="380" t="s">
        <v>773</v>
      </c>
      <c r="K13336" s="381">
        <v>0.0</v>
      </c>
      <c r="L13336" s="382">
        <v>1.0</v>
      </c>
    </row>
    <row r="13337">
      <c r="A13337" s="380" t="s">
        <v>14211</v>
      </c>
      <c r="B13337" s="380" t="str">
        <f>IFERROR(__xludf.DUMMYFUNCTION("""COMPUTED_VALUE"""),"Cilindro Freno Del Der Toyota 8972046065")</f>
        <v>Cilindro Freno Del Der Toyota 8972046065</v>
      </c>
      <c r="C13337" s="380" t="str">
        <f>IFERROR(__xludf.DUMMYFUNCTION("""COMPUTED_VALUE"""),"70008812")</f>
        <v>70008812</v>
      </c>
      <c r="D13337" s="380" t="s">
        <v>767</v>
      </c>
      <c r="E13337" s="380" t="s">
        <v>786</v>
      </c>
      <c r="F13337" s="380" t="s">
        <v>1017</v>
      </c>
      <c r="G13337" s="380" t="s">
        <v>1267</v>
      </c>
      <c r="H13337" s="380" t="s">
        <v>771</v>
      </c>
      <c r="I13337" s="380" t="s">
        <v>788</v>
      </c>
      <c r="J13337" s="380" t="s">
        <v>773</v>
      </c>
      <c r="K13337" s="381">
        <v>0.0</v>
      </c>
      <c r="L13337" s="382">
        <v>1.0</v>
      </c>
    </row>
    <row r="13338">
      <c r="A13338" s="380" t="s">
        <v>14212</v>
      </c>
      <c r="B13338" s="380" t="str">
        <f>IFERROR(__xludf.DUMMYFUNCTION("""COMPUTED_VALUE"""),"Interruptor Direccional Luces 8973640700")</f>
        <v>Interruptor Direccional Luces 8973640700</v>
      </c>
      <c r="C13338" s="380" t="str">
        <f>IFERROR(__xludf.DUMMYFUNCTION("""COMPUTED_VALUE"""),"70008813")</f>
        <v>70008813</v>
      </c>
      <c r="D13338" s="380" t="s">
        <v>767</v>
      </c>
      <c r="E13338" s="380" t="s">
        <v>786</v>
      </c>
      <c r="F13338" s="380" t="s">
        <v>998</v>
      </c>
      <c r="G13338" s="380" t="s">
        <v>1267</v>
      </c>
      <c r="H13338" s="380" t="s">
        <v>771</v>
      </c>
      <c r="I13338" s="380" t="s">
        <v>788</v>
      </c>
      <c r="J13338" s="380" t="s">
        <v>773</v>
      </c>
      <c r="K13338" s="381">
        <v>0.0</v>
      </c>
      <c r="L13338" s="382">
        <v>1.0</v>
      </c>
    </row>
    <row r="13339">
      <c r="A13339" s="380" t="s">
        <v>14213</v>
      </c>
      <c r="B13339" s="380" t="str">
        <f>IFERROR(__xludf.DUMMYFUNCTION("""COMPUTED_VALUE"""),"Fan Clucht Kenw. Reparado")</f>
        <v>Fan Clucht Kenw. Reparado</v>
      </c>
      <c r="C13339" s="380" t="str">
        <f>IFERROR(__xludf.DUMMYFUNCTION("""COMPUTED_VALUE"""),"70008814")</f>
        <v>70008814</v>
      </c>
      <c r="D13339" s="380" t="s">
        <v>767</v>
      </c>
      <c r="E13339" s="380" t="s">
        <v>786</v>
      </c>
      <c r="F13339" s="380" t="s">
        <v>787</v>
      </c>
      <c r="G13339" s="380" t="s">
        <v>1267</v>
      </c>
      <c r="H13339" s="380" t="s">
        <v>771</v>
      </c>
      <c r="I13339" s="380" t="s">
        <v>788</v>
      </c>
      <c r="J13339" s="380" t="s">
        <v>773</v>
      </c>
      <c r="K13339" s="381">
        <v>2380000.0</v>
      </c>
      <c r="L13339" s="382">
        <v>1.0</v>
      </c>
    </row>
    <row r="13340">
      <c r="A13340" s="380" t="s">
        <v>14214</v>
      </c>
      <c r="B13340" s="380" t="str">
        <f>IFERROR(__xludf.DUMMYFUNCTION("""COMPUTED_VALUE"""),"C Cremallera Puerta Izq-Der Nkr Reparado")</f>
        <v>C Cremallera Puerta Izq-Der Nkr Reparado</v>
      </c>
      <c r="C13340" s="380" t="str">
        <f>IFERROR(__xludf.DUMMYFUNCTION("""COMPUTED_VALUE"""),"70008815")</f>
        <v>70008815</v>
      </c>
      <c r="D13340" s="380" t="s">
        <v>767</v>
      </c>
      <c r="E13340" s="380" t="s">
        <v>786</v>
      </c>
      <c r="F13340" s="380" t="s">
        <v>792</v>
      </c>
      <c r="G13340" s="380" t="s">
        <v>1267</v>
      </c>
      <c r="H13340" s="380" t="s">
        <v>771</v>
      </c>
      <c r="I13340" s="380" t="s">
        <v>788</v>
      </c>
      <c r="J13340" s="380" t="s">
        <v>773</v>
      </c>
      <c r="K13340" s="381">
        <v>199920.0</v>
      </c>
      <c r="L13340" s="382">
        <v>1.0</v>
      </c>
    </row>
    <row r="13341">
      <c r="A13341" s="380" t="s">
        <v>14215</v>
      </c>
      <c r="B13341" s="380" t="str">
        <f>IFERROR(__xludf.DUMMYFUNCTION("""COMPUTED_VALUE"""),"Filtro Aceite Nhr-Nkr Con Turb 95628738")</f>
        <v>Filtro Aceite Nhr-Nkr Con Turb 95628738</v>
      </c>
      <c r="C13341" s="380" t="str">
        <f>IFERROR(__xludf.DUMMYFUNCTION("""COMPUTED_VALUE"""),"70008816")</f>
        <v>70008816</v>
      </c>
      <c r="D13341" s="380" t="s">
        <v>767</v>
      </c>
      <c r="E13341" s="380" t="s">
        <v>786</v>
      </c>
      <c r="F13341" s="380" t="s">
        <v>5855</v>
      </c>
      <c r="G13341" s="380" t="s">
        <v>1267</v>
      </c>
      <c r="H13341" s="380" t="s">
        <v>771</v>
      </c>
      <c r="I13341" s="380" t="s">
        <v>788</v>
      </c>
      <c r="J13341" s="380" t="s">
        <v>773</v>
      </c>
      <c r="K13341" s="381">
        <v>0.0</v>
      </c>
      <c r="L13341" s="382">
        <v>1.0</v>
      </c>
    </row>
    <row r="13342">
      <c r="A13342" s="380" t="s">
        <v>14216</v>
      </c>
      <c r="B13342" s="380" t="str">
        <f>IFERROR(__xludf.DUMMYFUNCTION("""COMPUTED_VALUE"""),"Rotor Alternador Nkr Reparado")</f>
        <v>Rotor Alternador Nkr Reparado</v>
      </c>
      <c r="C13342" s="380" t="str">
        <f>IFERROR(__xludf.DUMMYFUNCTION("""COMPUTED_VALUE"""),"70008817")</f>
        <v>70008817</v>
      </c>
      <c r="D13342" s="380" t="s">
        <v>767</v>
      </c>
      <c r="E13342" s="380" t="s">
        <v>786</v>
      </c>
      <c r="F13342" s="380" t="s">
        <v>998</v>
      </c>
      <c r="G13342" s="380" t="s">
        <v>1267</v>
      </c>
      <c r="H13342" s="380" t="s">
        <v>771</v>
      </c>
      <c r="I13342" s="380" t="s">
        <v>788</v>
      </c>
      <c r="J13342" s="380" t="s">
        <v>773</v>
      </c>
      <c r="K13342" s="381">
        <v>0.0</v>
      </c>
      <c r="L13342" s="382">
        <v>1.0</v>
      </c>
    </row>
    <row r="13343">
      <c r="A13343" s="380" t="s">
        <v>14217</v>
      </c>
      <c r="B13343" s="380" t="str">
        <f>IFERROR(__xludf.DUMMYFUNCTION("""COMPUTED_VALUE"""),"Guardapolvo Neolite Nkr-Nhr 40 X 46cm")</f>
        <v>Guardapolvo Neolite Nkr-Nhr 40 X 46cm</v>
      </c>
      <c r="C13343" s="380" t="str">
        <f>IFERROR(__xludf.DUMMYFUNCTION("""COMPUTED_VALUE"""),"70008818")</f>
        <v>70008818</v>
      </c>
      <c r="D13343" s="380" t="s">
        <v>767</v>
      </c>
      <c r="E13343" s="380" t="s">
        <v>786</v>
      </c>
      <c r="F13343" s="380" t="s">
        <v>792</v>
      </c>
      <c r="G13343" s="380" t="s">
        <v>1267</v>
      </c>
      <c r="H13343" s="380" t="s">
        <v>771</v>
      </c>
      <c r="I13343" s="380" t="s">
        <v>788</v>
      </c>
      <c r="J13343" s="380" t="s">
        <v>773</v>
      </c>
      <c r="K13343" s="381">
        <v>32049.0</v>
      </c>
      <c r="L13343" s="382">
        <v>1.0</v>
      </c>
    </row>
    <row r="13344">
      <c r="A13344" s="380" t="s">
        <v>14218</v>
      </c>
      <c r="B13344" s="380" t="str">
        <f>IFERROR(__xludf.DUMMYFUNCTION("""COMPUTED_VALUE"""),"Bomper Delantero Nkr Iii 8975824220")</f>
        <v>Bomper Delantero Nkr Iii 8975824220</v>
      </c>
      <c r="C13344" s="380" t="str">
        <f>IFERROR(__xludf.DUMMYFUNCTION("""COMPUTED_VALUE"""),"70008819")</f>
        <v>70008819</v>
      </c>
      <c r="D13344" s="380" t="s">
        <v>767</v>
      </c>
      <c r="E13344" s="380" t="s">
        <v>786</v>
      </c>
      <c r="F13344" s="380" t="s">
        <v>792</v>
      </c>
      <c r="G13344" s="380" t="s">
        <v>1267</v>
      </c>
      <c r="H13344" s="380" t="s">
        <v>771</v>
      </c>
      <c r="I13344" s="380" t="s">
        <v>788</v>
      </c>
      <c r="J13344" s="380" t="s">
        <v>773</v>
      </c>
      <c r="K13344" s="381">
        <v>0.0</v>
      </c>
      <c r="L13344" s="382">
        <v>1.0</v>
      </c>
    </row>
    <row r="13345">
      <c r="A13345" s="380" t="s">
        <v>14219</v>
      </c>
      <c r="B13345" s="380" t="str">
        <f>IFERROR(__xludf.DUMMYFUNCTION("""COMPUTED_VALUE"""),"Tanque De Combustible Reparado")</f>
        <v>Tanque De Combustible Reparado</v>
      </c>
      <c r="C13345" s="380" t="str">
        <f>IFERROR(__xludf.DUMMYFUNCTION("""COMPUTED_VALUE"""),"70008820")</f>
        <v>70008820</v>
      </c>
      <c r="D13345" s="380" t="s">
        <v>767</v>
      </c>
      <c r="E13345" s="380" t="s">
        <v>786</v>
      </c>
      <c r="F13345" s="380" t="s">
        <v>792</v>
      </c>
      <c r="G13345" s="380" t="s">
        <v>1267</v>
      </c>
      <c r="H13345" s="380" t="s">
        <v>771</v>
      </c>
      <c r="I13345" s="380" t="s">
        <v>788</v>
      </c>
      <c r="J13345" s="380" t="s">
        <v>773</v>
      </c>
      <c r="K13345" s="381">
        <v>0.0</v>
      </c>
      <c r="L13345" s="382">
        <v>1.0</v>
      </c>
    </row>
    <row r="13346">
      <c r="A13346" s="380" t="s">
        <v>14220</v>
      </c>
      <c r="B13346" s="380" t="str">
        <f>IFERROR(__xludf.DUMMYFUNCTION("""COMPUTED_VALUE"""),"Malacate Llanta Repuesto Npr 1536301883")</f>
        <v>Malacate Llanta Repuesto Npr 1536301883</v>
      </c>
      <c r="C13346" s="380" t="str">
        <f>IFERROR(__xludf.DUMMYFUNCTION("""COMPUTED_VALUE"""),"70008821")</f>
        <v>70008821</v>
      </c>
      <c r="D13346" s="380" t="s">
        <v>767</v>
      </c>
      <c r="E13346" s="380" t="s">
        <v>786</v>
      </c>
      <c r="F13346" s="380" t="s">
        <v>792</v>
      </c>
      <c r="G13346" s="380" t="s">
        <v>1267</v>
      </c>
      <c r="H13346" s="380" t="s">
        <v>771</v>
      </c>
      <c r="I13346" s="380" t="s">
        <v>788</v>
      </c>
      <c r="J13346" s="380" t="s">
        <v>773</v>
      </c>
      <c r="K13346" s="381">
        <v>0.0</v>
      </c>
      <c r="L13346" s="382">
        <v>1.0</v>
      </c>
    </row>
    <row r="13347">
      <c r="A13347" s="380" t="s">
        <v>14221</v>
      </c>
      <c r="B13347" s="380" t="str">
        <f>IFERROR(__xludf.DUMMYFUNCTION("""COMPUTED_VALUE"""),"Porta Escobillas M Arranque Np Main279")</f>
        <v>Porta Escobillas M Arranque Np Main279</v>
      </c>
      <c r="C13347" s="380" t="str">
        <f>IFERROR(__xludf.DUMMYFUNCTION("""COMPUTED_VALUE"""),"70008822")</f>
        <v>70008822</v>
      </c>
      <c r="D13347" s="380" t="s">
        <v>767</v>
      </c>
      <c r="E13347" s="380" t="s">
        <v>786</v>
      </c>
      <c r="F13347" s="380" t="s">
        <v>998</v>
      </c>
      <c r="G13347" s="380" t="s">
        <v>1267</v>
      </c>
      <c r="H13347" s="380" t="s">
        <v>771</v>
      </c>
      <c r="I13347" s="380" t="s">
        <v>788</v>
      </c>
      <c r="J13347" s="380" t="s">
        <v>773</v>
      </c>
      <c r="K13347" s="381">
        <v>44625.0</v>
      </c>
      <c r="L13347" s="382">
        <v>1.0</v>
      </c>
    </row>
    <row r="13348">
      <c r="A13348" s="380" t="s">
        <v>14222</v>
      </c>
      <c r="B13348" s="380" t="str">
        <f>IFERROR(__xludf.DUMMYFUNCTION("""COMPUTED_VALUE"""),"Filtro Aire Toyota Delta Goby Ag971004a")</f>
        <v>Filtro Aire Toyota Delta Goby Ag971004a</v>
      </c>
      <c r="C13348" s="380" t="str">
        <f>IFERROR(__xludf.DUMMYFUNCTION("""COMPUTED_VALUE"""),"70008823")</f>
        <v>70008823</v>
      </c>
      <c r="D13348" s="380" t="s">
        <v>767</v>
      </c>
      <c r="E13348" s="380" t="s">
        <v>786</v>
      </c>
      <c r="F13348" s="380" t="s">
        <v>5855</v>
      </c>
      <c r="G13348" s="380" t="s">
        <v>1267</v>
      </c>
      <c r="H13348" s="380" t="s">
        <v>771</v>
      </c>
      <c r="I13348" s="380" t="s">
        <v>788</v>
      </c>
      <c r="J13348" s="380" t="s">
        <v>773</v>
      </c>
      <c r="K13348" s="381">
        <v>0.0</v>
      </c>
      <c r="L13348" s="382">
        <v>1.0</v>
      </c>
    </row>
    <row r="13349">
      <c r="A13349" s="380" t="s">
        <v>14223</v>
      </c>
      <c r="B13349" s="380" t="str">
        <f>IFERROR(__xludf.DUMMYFUNCTION("""COMPUTED_VALUE"""),"Cardan Nhr-Nkr-Npr Reparado")</f>
        <v>Cardan Nhr-Nkr-Npr Reparado</v>
      </c>
      <c r="C13349" s="380" t="str">
        <f>IFERROR(__xludf.DUMMYFUNCTION("""COMPUTED_VALUE"""),"70008824")</f>
        <v>70008824</v>
      </c>
      <c r="D13349" s="380" t="s">
        <v>767</v>
      </c>
      <c r="E13349" s="380" t="s">
        <v>786</v>
      </c>
      <c r="F13349" s="380" t="s">
        <v>5683</v>
      </c>
      <c r="G13349" s="380" t="s">
        <v>1267</v>
      </c>
      <c r="H13349" s="380" t="s">
        <v>771</v>
      </c>
      <c r="I13349" s="380" t="s">
        <v>788</v>
      </c>
      <c r="J13349" s="380" t="s">
        <v>773</v>
      </c>
      <c r="K13349" s="381">
        <v>0.0</v>
      </c>
      <c r="L13349" s="382">
        <v>1.0</v>
      </c>
    </row>
    <row r="13350">
      <c r="A13350" s="380" t="s">
        <v>14224</v>
      </c>
      <c r="B13350" s="380" t="str">
        <f>IFERROR(__xludf.DUMMYFUNCTION("""COMPUTED_VALUE"""),"BMB Agu Bomba Agua Isx Kenworth Reparado")</f>
        <v>BMB Agu Bomba Agua Isx Kenworth Reparado</v>
      </c>
      <c r="C13350" s="380" t="str">
        <f>IFERROR(__xludf.DUMMYFUNCTION("""COMPUTED_VALUE"""),"70008825")</f>
        <v>70008825</v>
      </c>
      <c r="D13350" s="380" t="s">
        <v>767</v>
      </c>
      <c r="E13350" s="380" t="s">
        <v>786</v>
      </c>
      <c r="F13350" s="380" t="s">
        <v>787</v>
      </c>
      <c r="G13350" s="380" t="s">
        <v>1267</v>
      </c>
      <c r="H13350" s="380" t="s">
        <v>771</v>
      </c>
      <c r="I13350" s="380" t="s">
        <v>788</v>
      </c>
      <c r="J13350" s="380" t="s">
        <v>773</v>
      </c>
      <c r="K13350" s="381">
        <v>0.0</v>
      </c>
      <c r="L13350" s="382">
        <v>1.0</v>
      </c>
    </row>
    <row r="13351">
      <c r="A13351" s="380" t="s">
        <v>14225</v>
      </c>
      <c r="B13351" s="380" t="str">
        <f>IFERROR(__xludf.DUMMYFUNCTION("""COMPUTED_VALUE"""),"Soporte Cardan Isx 9400-2008 Sd5003323")</f>
        <v>Soporte Cardan Isx 9400-2008 Sd5003323</v>
      </c>
      <c r="C13351" s="380" t="str">
        <f>IFERROR(__xludf.DUMMYFUNCTION("""COMPUTED_VALUE"""),"70008826")</f>
        <v>70008826</v>
      </c>
      <c r="D13351" s="380" t="s">
        <v>767</v>
      </c>
      <c r="E13351" s="380" t="s">
        <v>786</v>
      </c>
      <c r="F13351" s="380" t="s">
        <v>5683</v>
      </c>
      <c r="G13351" s="380" t="s">
        <v>1267</v>
      </c>
      <c r="H13351" s="380" t="s">
        <v>771</v>
      </c>
      <c r="I13351" s="380" t="s">
        <v>788</v>
      </c>
      <c r="J13351" s="380" t="s">
        <v>773</v>
      </c>
      <c r="K13351" s="381">
        <v>0.0</v>
      </c>
      <c r="L13351" s="382">
        <v>1.0</v>
      </c>
    </row>
    <row r="13352">
      <c r="A13352" s="380" t="s">
        <v>14226</v>
      </c>
      <c r="B13352" s="380" t="str">
        <f>IFERROR(__xludf.DUMMYFUNCTION("""COMPUTED_VALUE"""),"Set Rodillo Rda Tras Ext Nkr 28584/21")</f>
        <v>Set Rodillo Rda Tras Ext Nkr 28584/21</v>
      </c>
      <c r="C13352" s="380" t="str">
        <f>IFERROR(__xludf.DUMMYFUNCTION("""COMPUTED_VALUE"""),"70008827")</f>
        <v>70008827</v>
      </c>
      <c r="D13352" s="380" t="s">
        <v>767</v>
      </c>
      <c r="E13352" s="380" t="s">
        <v>786</v>
      </c>
      <c r="F13352" s="380" t="s">
        <v>1039</v>
      </c>
      <c r="G13352" s="380" t="s">
        <v>1267</v>
      </c>
      <c r="H13352" s="380" t="s">
        <v>771</v>
      </c>
      <c r="I13352" s="380" t="s">
        <v>788</v>
      </c>
      <c r="J13352" s="380" t="s">
        <v>773</v>
      </c>
      <c r="K13352" s="381">
        <v>64639.0</v>
      </c>
      <c r="L13352" s="382">
        <v>1.0</v>
      </c>
    </row>
    <row r="13353">
      <c r="A13353" s="380" t="s">
        <v>14227</v>
      </c>
      <c r="B13353" s="380" t="str">
        <f>IFERROR(__xludf.DUMMYFUNCTION("""COMPUTED_VALUE"""),"Cacho Direccion Nkr Ii Reparado")</f>
        <v>Cacho Direccion Nkr Ii Reparado</v>
      </c>
      <c r="C13353" s="380" t="str">
        <f>IFERROR(__xludf.DUMMYFUNCTION("""COMPUTED_VALUE"""),"70008828")</f>
        <v>70008828</v>
      </c>
      <c r="D13353" s="380" t="s">
        <v>767</v>
      </c>
      <c r="E13353" s="380" t="s">
        <v>786</v>
      </c>
      <c r="F13353" s="380" t="s">
        <v>1020</v>
      </c>
      <c r="G13353" s="380" t="s">
        <v>1267</v>
      </c>
      <c r="H13353" s="380" t="s">
        <v>771</v>
      </c>
      <c r="I13353" s="380" t="s">
        <v>788</v>
      </c>
      <c r="J13353" s="380" t="s">
        <v>773</v>
      </c>
      <c r="K13353" s="381">
        <v>0.0</v>
      </c>
      <c r="L13353" s="382">
        <v>1.0</v>
      </c>
    </row>
    <row r="13354">
      <c r="A13354" s="380" t="s">
        <v>14228</v>
      </c>
      <c r="B13354" s="380" t="str">
        <f>IFERROR(__xludf.DUMMYFUNCTION("""COMPUTED_VALUE"""),"Paral Derecho Parabrisas Eagle 3512444c1")</f>
        <v>Paral Derecho Parabrisas Eagle 3512444c1</v>
      </c>
      <c r="C13354" s="380" t="str">
        <f>IFERROR(__xludf.DUMMYFUNCTION("""COMPUTED_VALUE"""),"70008829")</f>
        <v>70008829</v>
      </c>
      <c r="D13354" s="380" t="s">
        <v>767</v>
      </c>
      <c r="E13354" s="380" t="s">
        <v>786</v>
      </c>
      <c r="F13354" s="380" t="s">
        <v>792</v>
      </c>
      <c r="G13354" s="380" t="s">
        <v>1267</v>
      </c>
      <c r="H13354" s="380" t="s">
        <v>771</v>
      </c>
      <c r="I13354" s="380" t="s">
        <v>788</v>
      </c>
      <c r="J13354" s="380" t="s">
        <v>773</v>
      </c>
      <c r="K13354" s="381">
        <v>0.0</v>
      </c>
      <c r="L13354" s="382">
        <v>1.0</v>
      </c>
    </row>
    <row r="13355">
      <c r="A13355" s="380" t="s">
        <v>14229</v>
      </c>
      <c r="B13355" s="380" t="str">
        <f>IFERROR(__xludf.DUMMYFUNCTION("""COMPUTED_VALUE"""),"Turbo Alimentador Delta Reparado")</f>
        <v>Turbo Alimentador Delta Reparado</v>
      </c>
      <c r="C13355" s="380" t="str">
        <f>IFERROR(__xludf.DUMMYFUNCTION("""COMPUTED_VALUE"""),"70008830")</f>
        <v>70008830</v>
      </c>
      <c r="D13355" s="380" t="s">
        <v>767</v>
      </c>
      <c r="E13355" s="380" t="s">
        <v>786</v>
      </c>
      <c r="F13355" s="380" t="s">
        <v>787</v>
      </c>
      <c r="G13355" s="380" t="s">
        <v>1267</v>
      </c>
      <c r="H13355" s="380" t="s">
        <v>771</v>
      </c>
      <c r="I13355" s="380" t="s">
        <v>788</v>
      </c>
      <c r="J13355" s="380" t="s">
        <v>773</v>
      </c>
      <c r="K13355" s="381">
        <v>0.0</v>
      </c>
      <c r="L13355" s="382">
        <v>1.0</v>
      </c>
    </row>
    <row r="13356">
      <c r="A13356" s="380" t="s">
        <v>14230</v>
      </c>
      <c r="B13356" s="380" t="str">
        <f>IFERROR(__xludf.DUMMYFUNCTION("""COMPUTED_VALUE"""),"Vidrio Puerta Derecha Mack")</f>
        <v>Vidrio Puerta Derecha Mack</v>
      </c>
      <c r="C13356" s="380" t="str">
        <f>IFERROR(__xludf.DUMMYFUNCTION("""COMPUTED_VALUE"""),"70008831")</f>
        <v>70008831</v>
      </c>
      <c r="D13356" s="380" t="s">
        <v>767</v>
      </c>
      <c r="E13356" s="380" t="s">
        <v>786</v>
      </c>
      <c r="F13356" s="380" t="s">
        <v>792</v>
      </c>
      <c r="G13356" s="380" t="s">
        <v>1267</v>
      </c>
      <c r="H13356" s="380" t="s">
        <v>771</v>
      </c>
      <c r="I13356" s="380" t="s">
        <v>788</v>
      </c>
      <c r="J13356" s="380" t="s">
        <v>773</v>
      </c>
      <c r="K13356" s="381">
        <v>0.0</v>
      </c>
      <c r="L13356" s="382">
        <v>1.0</v>
      </c>
    </row>
    <row r="13357">
      <c r="A13357" s="380" t="s">
        <v>14231</v>
      </c>
      <c r="B13357" s="380" t="str">
        <f>IFERROR(__xludf.DUMMYFUNCTION("""COMPUTED_VALUE"""),"EMP Culata Tres Muesca Nkr 8973503200")</f>
        <v>EMP Culata Tres Muesca Nkr 8973503200</v>
      </c>
      <c r="C13357" s="380" t="str">
        <f>IFERROR(__xludf.DUMMYFUNCTION("""COMPUTED_VALUE"""),"70008832")</f>
        <v>70008832</v>
      </c>
      <c r="D13357" s="380" t="s">
        <v>767</v>
      </c>
      <c r="E13357" s="380" t="s">
        <v>786</v>
      </c>
      <c r="F13357" s="380" t="s">
        <v>787</v>
      </c>
      <c r="G13357" s="380" t="s">
        <v>1267</v>
      </c>
      <c r="H13357" s="380" t="s">
        <v>771</v>
      </c>
      <c r="I13357" s="380" t="s">
        <v>788</v>
      </c>
      <c r="J13357" s="380" t="s">
        <v>773</v>
      </c>
      <c r="K13357" s="381">
        <v>0.0</v>
      </c>
      <c r="L13357" s="382">
        <v>1.0</v>
      </c>
    </row>
    <row r="13358">
      <c r="A13358" s="380" t="s">
        <v>14232</v>
      </c>
      <c r="B13358" s="380" t="str">
        <f>IFERROR(__xludf.DUMMYFUNCTION("""COMPUTED_VALUE"""),"Volante Motor Nkr-Nhr Reparado")</f>
        <v>Volante Motor Nkr-Nhr Reparado</v>
      </c>
      <c r="C13358" s="380" t="str">
        <f>IFERROR(__xludf.DUMMYFUNCTION("""COMPUTED_VALUE"""),"70008833")</f>
        <v>70008833</v>
      </c>
      <c r="D13358" s="380" t="s">
        <v>767</v>
      </c>
      <c r="E13358" s="380" t="s">
        <v>786</v>
      </c>
      <c r="F13358" s="380" t="s">
        <v>787</v>
      </c>
      <c r="G13358" s="380" t="s">
        <v>1267</v>
      </c>
      <c r="H13358" s="380" t="s">
        <v>771</v>
      </c>
      <c r="I13358" s="380" t="s">
        <v>788</v>
      </c>
      <c r="J13358" s="380" t="s">
        <v>773</v>
      </c>
      <c r="K13358" s="381">
        <v>0.0</v>
      </c>
      <c r="L13358" s="382">
        <v>1.0</v>
      </c>
    </row>
    <row r="13359">
      <c r="A13359" s="380" t="s">
        <v>14233</v>
      </c>
      <c r="B13359" s="380" t="str">
        <f>IFERROR(__xludf.DUMMYFUNCTION("""COMPUTED_VALUE"""),"Post Enfriador Aceite Kenworth Reparado")</f>
        <v>Post Enfriador Aceite Kenworth Reparado</v>
      </c>
      <c r="C13359" s="380" t="str">
        <f>IFERROR(__xludf.DUMMYFUNCTION("""COMPUTED_VALUE"""),"70008834")</f>
        <v>70008834</v>
      </c>
      <c r="D13359" s="380" t="s">
        <v>767</v>
      </c>
      <c r="E13359" s="380" t="s">
        <v>786</v>
      </c>
      <c r="F13359" s="380" t="s">
        <v>787</v>
      </c>
      <c r="G13359" s="380" t="s">
        <v>1267</v>
      </c>
      <c r="H13359" s="380" t="s">
        <v>771</v>
      </c>
      <c r="I13359" s="380" t="s">
        <v>788</v>
      </c>
      <c r="J13359" s="380" t="s">
        <v>773</v>
      </c>
      <c r="K13359" s="381">
        <v>0.0</v>
      </c>
      <c r="L13359" s="382">
        <v>1.0</v>
      </c>
    </row>
    <row r="13360">
      <c r="A13360" s="380" t="s">
        <v>14234</v>
      </c>
      <c r="B13360" s="380" t="str">
        <f>IFERROR(__xludf.DUMMYFUNCTION("""COMPUTED_VALUE"""),"Tapa Cabrilla Direccion Volswa 2rd419669")</f>
        <v>Tapa Cabrilla Direccion Volswa 2rd419669</v>
      </c>
      <c r="C13360" s="380" t="str">
        <f>IFERROR(__xludf.DUMMYFUNCTION("""COMPUTED_VALUE"""),"70008835")</f>
        <v>70008835</v>
      </c>
      <c r="D13360" s="380" t="s">
        <v>767</v>
      </c>
      <c r="E13360" s="380" t="s">
        <v>786</v>
      </c>
      <c r="F13360" s="380" t="s">
        <v>792</v>
      </c>
      <c r="G13360" s="380" t="s">
        <v>1267</v>
      </c>
      <c r="H13360" s="380" t="s">
        <v>771</v>
      </c>
      <c r="I13360" s="380" t="s">
        <v>788</v>
      </c>
      <c r="J13360" s="380" t="s">
        <v>773</v>
      </c>
      <c r="K13360" s="381">
        <v>0.0</v>
      </c>
      <c r="L13360" s="382">
        <v>1.0</v>
      </c>
    </row>
    <row r="13361">
      <c r="A13361" s="380" t="s">
        <v>14235</v>
      </c>
      <c r="B13361" s="380" t="str">
        <f>IFERROR(__xludf.DUMMYFUNCTION("""COMPUTED_VALUE"""),"Motor Arranque Foton 1039 Reparado")</f>
        <v>Motor Arranque Foton 1039 Reparado</v>
      </c>
      <c r="C13361" s="380" t="str">
        <f>IFERROR(__xludf.DUMMYFUNCTION("""COMPUTED_VALUE"""),"70008836")</f>
        <v>70008836</v>
      </c>
      <c r="D13361" s="380" t="s">
        <v>767</v>
      </c>
      <c r="E13361" s="380" t="s">
        <v>786</v>
      </c>
      <c r="F13361" s="380" t="s">
        <v>998</v>
      </c>
      <c r="G13361" s="380" t="s">
        <v>1267</v>
      </c>
      <c r="H13361" s="380" t="s">
        <v>771</v>
      </c>
      <c r="I13361" s="380" t="s">
        <v>788</v>
      </c>
      <c r="J13361" s="380" t="s">
        <v>773</v>
      </c>
      <c r="K13361" s="381">
        <v>0.0</v>
      </c>
      <c r="L13361" s="382">
        <v>1.0</v>
      </c>
    </row>
    <row r="13362">
      <c r="A13362" s="380" t="s">
        <v>14236</v>
      </c>
      <c r="B13362" s="380" t="str">
        <f>IFERROR(__xludf.DUMMYFUNCTION("""COMPUTED_VALUE"""),"Soporte Tope Capo Eagle 2008 3560568c2")</f>
        <v>Soporte Tope Capo Eagle 2008 3560568c2</v>
      </c>
      <c r="C13362" s="380" t="str">
        <f>IFERROR(__xludf.DUMMYFUNCTION("""COMPUTED_VALUE"""),"70008837")</f>
        <v>70008837</v>
      </c>
      <c r="D13362" s="380" t="s">
        <v>767</v>
      </c>
      <c r="E13362" s="380" t="s">
        <v>786</v>
      </c>
      <c r="F13362" s="380" t="s">
        <v>792</v>
      </c>
      <c r="G13362" s="380" t="s">
        <v>1267</v>
      </c>
      <c r="H13362" s="380" t="s">
        <v>771</v>
      </c>
      <c r="I13362" s="380" t="s">
        <v>788</v>
      </c>
      <c r="J13362" s="380" t="s">
        <v>773</v>
      </c>
      <c r="K13362" s="381">
        <v>0.0</v>
      </c>
      <c r="L13362" s="382">
        <v>1.0</v>
      </c>
    </row>
    <row r="13363">
      <c r="A13363" s="380" t="s">
        <v>14237</v>
      </c>
      <c r="B13363" s="380" t="str">
        <f>IFERROR(__xludf.DUMMYFUNCTION("""COMPUTED_VALUE"""),"Farola Delantera Derecha Nkr")</f>
        <v>Farola Delantera Derecha Nkr</v>
      </c>
      <c r="C13363" s="380" t="str">
        <f>IFERROR(__xludf.DUMMYFUNCTION("""COMPUTED_VALUE"""),"70008839")</f>
        <v>70008839</v>
      </c>
      <c r="D13363" s="380" t="s">
        <v>767</v>
      </c>
      <c r="E13363" s="380" t="s">
        <v>786</v>
      </c>
      <c r="F13363" s="380" t="s">
        <v>998</v>
      </c>
      <c r="G13363" s="380" t="s">
        <v>1267</v>
      </c>
      <c r="H13363" s="380" t="s">
        <v>771</v>
      </c>
      <c r="I13363" s="380" t="s">
        <v>788</v>
      </c>
      <c r="J13363" s="380" t="s">
        <v>773</v>
      </c>
      <c r="K13363" s="381">
        <v>0.0</v>
      </c>
      <c r="L13363" s="382">
        <v>1.0</v>
      </c>
    </row>
    <row r="13364">
      <c r="A13364" s="380" t="s">
        <v>14238</v>
      </c>
      <c r="B13364" s="380" t="str">
        <f>IFERROR(__xludf.DUMMYFUNCTION("""COMPUTED_VALUE"""),"Desfogue Tanque Acpm Kenworth 21131")</f>
        <v>Desfogue Tanque Acpm Kenworth 21131</v>
      </c>
      <c r="C13364" s="380" t="str">
        <f>IFERROR(__xludf.DUMMYFUNCTION("""COMPUTED_VALUE"""),"70008840")</f>
        <v>70008840</v>
      </c>
      <c r="D13364" s="380" t="s">
        <v>767</v>
      </c>
      <c r="E13364" s="380" t="s">
        <v>786</v>
      </c>
      <c r="F13364" s="380" t="s">
        <v>787</v>
      </c>
      <c r="G13364" s="380" t="s">
        <v>1267</v>
      </c>
      <c r="H13364" s="380" t="s">
        <v>771</v>
      </c>
      <c r="I13364" s="380" t="s">
        <v>788</v>
      </c>
      <c r="J13364" s="380" t="s">
        <v>773</v>
      </c>
      <c r="K13364" s="381">
        <v>0.0</v>
      </c>
      <c r="L13364" s="382">
        <v>1.0</v>
      </c>
    </row>
    <row r="13365">
      <c r="A13365" s="380" t="s">
        <v>14239</v>
      </c>
      <c r="B13365" s="380" t="str">
        <f>IFERROR(__xludf.DUMMYFUNCTION("""COMPUTED_VALUE"""),"Volante Motor Kemworth Reparado")</f>
        <v>Volante Motor Kemworth Reparado</v>
      </c>
      <c r="C13365" s="380" t="str">
        <f>IFERROR(__xludf.DUMMYFUNCTION("""COMPUTED_VALUE"""),"70008841")</f>
        <v>70008841</v>
      </c>
      <c r="D13365" s="380" t="s">
        <v>767</v>
      </c>
      <c r="E13365" s="380" t="s">
        <v>786</v>
      </c>
      <c r="F13365" s="380" t="s">
        <v>787</v>
      </c>
      <c r="G13365" s="380" t="s">
        <v>1267</v>
      </c>
      <c r="H13365" s="380" t="s">
        <v>771</v>
      </c>
      <c r="I13365" s="380" t="s">
        <v>788</v>
      </c>
      <c r="J13365" s="380" t="s">
        <v>773</v>
      </c>
      <c r="K13365" s="381">
        <v>0.0</v>
      </c>
      <c r="L13365" s="382">
        <v>1.0</v>
      </c>
    </row>
    <row r="13366">
      <c r="A13366" s="380" t="s">
        <v>14240</v>
      </c>
      <c r="B13366" s="380" t="str">
        <f>IFERROR(__xludf.DUMMYFUNCTION("""COMPUTED_VALUE"""),"Terminal Templete Radiador Eag Ffs86r")</f>
        <v>Terminal Templete Radiador Eag Ffs86r</v>
      </c>
      <c r="C13366" s="380" t="str">
        <f>IFERROR(__xludf.DUMMYFUNCTION("""COMPUTED_VALUE"""),"70008842")</f>
        <v>70008842</v>
      </c>
      <c r="D13366" s="380" t="s">
        <v>767</v>
      </c>
      <c r="E13366" s="380" t="s">
        <v>786</v>
      </c>
      <c r="F13366" s="380" t="s">
        <v>787</v>
      </c>
      <c r="G13366" s="380" t="s">
        <v>1267</v>
      </c>
      <c r="H13366" s="380" t="s">
        <v>771</v>
      </c>
      <c r="I13366" s="380" t="s">
        <v>788</v>
      </c>
      <c r="J13366" s="380" t="s">
        <v>773</v>
      </c>
      <c r="K13366" s="381">
        <v>0.0</v>
      </c>
      <c r="L13366" s="382">
        <v>1.0</v>
      </c>
    </row>
    <row r="13367">
      <c r="A13367" s="380" t="s">
        <v>14241</v>
      </c>
      <c r="B13367" s="380" t="str">
        <f>IFERROR(__xludf.DUMMYFUNCTION("""COMPUTED_VALUE"""),"Bocin Rueda Delantera Reparado")</f>
        <v>Bocin Rueda Delantera Reparado</v>
      </c>
      <c r="C13367" s="380" t="str">
        <f>IFERROR(__xludf.DUMMYFUNCTION("""COMPUTED_VALUE"""),"70008843")</f>
        <v>70008843</v>
      </c>
      <c r="D13367" s="380" t="s">
        <v>767</v>
      </c>
      <c r="E13367" s="380" t="s">
        <v>786</v>
      </c>
      <c r="F13367" s="380" t="s">
        <v>1017</v>
      </c>
      <c r="G13367" s="380" t="s">
        <v>1267</v>
      </c>
      <c r="H13367" s="380" t="s">
        <v>771</v>
      </c>
      <c r="I13367" s="380" t="s">
        <v>788</v>
      </c>
      <c r="J13367" s="380" t="s">
        <v>773</v>
      </c>
      <c r="K13367" s="381">
        <v>0.0</v>
      </c>
      <c r="L13367" s="382">
        <v>1.0</v>
      </c>
    </row>
    <row r="13368">
      <c r="A13368" s="380" t="s">
        <v>14242</v>
      </c>
      <c r="B13368" s="380" t="str">
        <f>IFERROR(__xludf.DUMMYFUNCTION("""COMPUTED_VALUE"""),"Piñon V Piñon Velocimetro Nkr 8942490650")</f>
        <v>Piñon V Piñon Velocimetro Nkr 8942490650</v>
      </c>
      <c r="C13368" s="380" t="str">
        <f>IFERROR(__xludf.DUMMYFUNCTION("""COMPUTED_VALUE"""),"70008844")</f>
        <v>70008844</v>
      </c>
      <c r="D13368" s="380" t="s">
        <v>767</v>
      </c>
      <c r="E13368" s="380" t="s">
        <v>786</v>
      </c>
      <c r="F13368" s="380" t="s">
        <v>928</v>
      </c>
      <c r="G13368" s="380" t="s">
        <v>1267</v>
      </c>
      <c r="H13368" s="380" t="s">
        <v>771</v>
      </c>
      <c r="I13368" s="380" t="s">
        <v>788</v>
      </c>
      <c r="J13368" s="380" t="s">
        <v>773</v>
      </c>
      <c r="K13368" s="381">
        <v>0.0</v>
      </c>
      <c r="L13368" s="382">
        <v>1.0</v>
      </c>
    </row>
    <row r="13369">
      <c r="A13369" s="380" t="s">
        <v>14243</v>
      </c>
      <c r="B13369" s="380" t="str">
        <f>IFERROR(__xludf.DUMMYFUNCTION("""COMPUTED_VALUE"""),"Bomba Inyeccion Npr Reparado")</f>
        <v>Bomba Inyeccion Npr Reparado</v>
      </c>
      <c r="C13369" s="380" t="str">
        <f>IFERROR(__xludf.DUMMYFUNCTION("""COMPUTED_VALUE"""),"70008845")</f>
        <v>70008845</v>
      </c>
      <c r="D13369" s="380" t="s">
        <v>767</v>
      </c>
      <c r="E13369" s="380" t="s">
        <v>786</v>
      </c>
      <c r="F13369" s="380" t="s">
        <v>787</v>
      </c>
      <c r="G13369" s="380" t="s">
        <v>1267</v>
      </c>
      <c r="H13369" s="380" t="s">
        <v>771</v>
      </c>
      <c r="I13369" s="380" t="s">
        <v>788</v>
      </c>
      <c r="J13369" s="380" t="s">
        <v>773</v>
      </c>
      <c r="K13369" s="381">
        <v>0.0</v>
      </c>
      <c r="L13369" s="382">
        <v>1.0</v>
      </c>
    </row>
    <row r="13370">
      <c r="A13370" s="380" t="s">
        <v>14244</v>
      </c>
      <c r="B13370" s="380" t="str">
        <f>IFERROR(__xludf.DUMMYFUNCTION("""COMPUTED_VALUE"""),"Cilind Fre Tras Del Der Nkr C 8971793350")</f>
        <v>Cilind Fre Tras Del Der Nkr C 8971793350</v>
      </c>
      <c r="C13370" s="380" t="str">
        <f>IFERROR(__xludf.DUMMYFUNCTION("""COMPUTED_VALUE"""),"70008846")</f>
        <v>70008846</v>
      </c>
      <c r="D13370" s="380" t="s">
        <v>767</v>
      </c>
      <c r="E13370" s="380" t="s">
        <v>786</v>
      </c>
      <c r="F13370" s="380" t="s">
        <v>1017</v>
      </c>
      <c r="G13370" s="380" t="s">
        <v>1267</v>
      </c>
      <c r="H13370" s="380" t="s">
        <v>771</v>
      </c>
      <c r="I13370" s="380" t="s">
        <v>788</v>
      </c>
      <c r="J13370" s="380" t="s">
        <v>773</v>
      </c>
      <c r="K13370" s="381">
        <v>0.0</v>
      </c>
      <c r="L13370" s="382">
        <v>1.0</v>
      </c>
    </row>
    <row r="13371">
      <c r="A13371" s="380" t="s">
        <v>14245</v>
      </c>
      <c r="B13371" s="380" t="str">
        <f>IFERROR(__xludf.DUMMYFUNCTION("""COMPUTED_VALUE"""),"Bocel Central Capo Kemworth K167347")</f>
        <v>Bocel Central Capo Kemworth K167347</v>
      </c>
      <c r="C13371" s="380" t="str">
        <f>IFERROR(__xludf.DUMMYFUNCTION("""COMPUTED_VALUE"""),"70008847")</f>
        <v>70008847</v>
      </c>
      <c r="D13371" s="380" t="s">
        <v>767</v>
      </c>
      <c r="E13371" s="380" t="s">
        <v>786</v>
      </c>
      <c r="F13371" s="380" t="s">
        <v>792</v>
      </c>
      <c r="G13371" s="380" t="s">
        <v>1267</v>
      </c>
      <c r="H13371" s="380" t="s">
        <v>771</v>
      </c>
      <c r="I13371" s="380" t="s">
        <v>788</v>
      </c>
      <c r="J13371" s="380" t="s">
        <v>773</v>
      </c>
      <c r="K13371" s="381">
        <v>0.0</v>
      </c>
      <c r="L13371" s="382">
        <v>1.0</v>
      </c>
    </row>
    <row r="13372">
      <c r="A13372" s="380" t="s">
        <v>14246</v>
      </c>
      <c r="B13372" s="380" t="str">
        <f>IFERROR(__xludf.DUMMYFUNCTION("""COMPUTED_VALUE"""),"Bocel Lateral Capo Kemworth K167348")</f>
        <v>Bocel Lateral Capo Kemworth K167348</v>
      </c>
      <c r="C13372" s="380" t="str">
        <f>IFERROR(__xludf.DUMMYFUNCTION("""COMPUTED_VALUE"""),"70008848")</f>
        <v>70008848</v>
      </c>
      <c r="D13372" s="380" t="s">
        <v>767</v>
      </c>
      <c r="E13372" s="380" t="s">
        <v>786</v>
      </c>
      <c r="F13372" s="380" t="s">
        <v>792</v>
      </c>
      <c r="G13372" s="380" t="s">
        <v>1267</v>
      </c>
      <c r="H13372" s="380" t="s">
        <v>771</v>
      </c>
      <c r="I13372" s="380" t="s">
        <v>788</v>
      </c>
      <c r="J13372" s="380" t="s">
        <v>773</v>
      </c>
      <c r="K13372" s="381">
        <v>0.0</v>
      </c>
      <c r="L13372" s="382">
        <v>1.0</v>
      </c>
    </row>
    <row r="13373">
      <c r="A13373" s="380" t="s">
        <v>14247</v>
      </c>
      <c r="B13373" s="380" t="str">
        <f>IFERROR(__xludf.DUMMYFUNCTION("""COMPUTED_VALUE"""),"Pines Bocel Capo Kemworth Ed41650")</f>
        <v>Pines Bocel Capo Kemworth Ed41650</v>
      </c>
      <c r="C13373" s="380" t="str">
        <f>IFERROR(__xludf.DUMMYFUNCTION("""COMPUTED_VALUE"""),"70008849")</f>
        <v>70008849</v>
      </c>
      <c r="D13373" s="380" t="s">
        <v>767</v>
      </c>
      <c r="E13373" s="380" t="s">
        <v>786</v>
      </c>
      <c r="F13373" s="380" t="s">
        <v>792</v>
      </c>
      <c r="G13373" s="380" t="s">
        <v>1267</v>
      </c>
      <c r="H13373" s="380" t="s">
        <v>771</v>
      </c>
      <c r="I13373" s="380" t="s">
        <v>788</v>
      </c>
      <c r="J13373" s="380" t="s">
        <v>773</v>
      </c>
      <c r="K13373" s="381">
        <v>0.0</v>
      </c>
      <c r="L13373" s="382">
        <v>1.0</v>
      </c>
    </row>
    <row r="13374">
      <c r="A13374" s="380" t="s">
        <v>14248</v>
      </c>
      <c r="B13374" s="380" t="str">
        <f>IFERROR(__xludf.DUMMYFUNCTION("""COMPUTED_VALUE"""),"Troque Reparado")</f>
        <v>Troque Reparado</v>
      </c>
      <c r="C13374" s="380" t="str">
        <f>IFERROR(__xludf.DUMMYFUNCTION("""COMPUTED_VALUE"""),"70008850")</f>
        <v>70008850</v>
      </c>
      <c r="D13374" s="380" t="s">
        <v>767</v>
      </c>
      <c r="E13374" s="380" t="s">
        <v>786</v>
      </c>
      <c r="F13374" s="380" t="s">
        <v>792</v>
      </c>
      <c r="G13374" s="380" t="s">
        <v>1267</v>
      </c>
      <c r="H13374" s="380" t="s">
        <v>771</v>
      </c>
      <c r="I13374" s="380" t="s">
        <v>788</v>
      </c>
      <c r="J13374" s="380" t="s">
        <v>773</v>
      </c>
      <c r="K13374" s="381">
        <v>0.0</v>
      </c>
      <c r="L13374" s="382">
        <v>1.0</v>
      </c>
    </row>
    <row r="13375">
      <c r="A13375" s="380" t="s">
        <v>14249</v>
      </c>
      <c r="B13375" s="380" t="str">
        <f>IFERROR(__xludf.DUMMYFUNCTION("""COMPUTED_VALUE"""),"Mordaza Freno Moto Honda Xr200")</f>
        <v>Mordaza Freno Moto Honda Xr200</v>
      </c>
      <c r="C13375" s="380" t="str">
        <f>IFERROR(__xludf.DUMMYFUNCTION("""COMPUTED_VALUE"""),"70008851")</f>
        <v>70008851</v>
      </c>
      <c r="D13375" s="380" t="s">
        <v>767</v>
      </c>
      <c r="E13375" s="380" t="s">
        <v>786</v>
      </c>
      <c r="F13375" s="380" t="s">
        <v>1017</v>
      </c>
      <c r="G13375" s="380" t="s">
        <v>1267</v>
      </c>
      <c r="H13375" s="380" t="s">
        <v>771</v>
      </c>
      <c r="I13375" s="380" t="s">
        <v>788</v>
      </c>
      <c r="J13375" s="380" t="s">
        <v>773</v>
      </c>
      <c r="K13375" s="381">
        <v>0.0</v>
      </c>
      <c r="L13375" s="382">
        <v>1.0</v>
      </c>
    </row>
    <row r="13376">
      <c r="A13376" s="380" t="s">
        <v>14250</v>
      </c>
      <c r="B13376" s="380" t="str">
        <f>IFERROR(__xludf.DUMMYFUNCTION("""COMPUTED_VALUE"""),"Estribo Plastico IZQ Npr 8979978540")</f>
        <v>Estribo Plastico IZQ Npr 8979978540</v>
      </c>
      <c r="C13376" s="380" t="str">
        <f>IFERROR(__xludf.DUMMYFUNCTION("""COMPUTED_VALUE"""),"70008852")</f>
        <v>70008852</v>
      </c>
      <c r="D13376" s="380" t="s">
        <v>767</v>
      </c>
      <c r="E13376" s="380" t="s">
        <v>786</v>
      </c>
      <c r="F13376" s="380" t="s">
        <v>792</v>
      </c>
      <c r="G13376" s="380" t="s">
        <v>1267</v>
      </c>
      <c r="H13376" s="380" t="s">
        <v>771</v>
      </c>
      <c r="I13376" s="380" t="s">
        <v>788</v>
      </c>
      <c r="J13376" s="380" t="s">
        <v>773</v>
      </c>
      <c r="K13376" s="381">
        <v>0.0</v>
      </c>
      <c r="L13376" s="382">
        <v>1.0</v>
      </c>
    </row>
    <row r="13377">
      <c r="A13377" s="380" t="s">
        <v>14251</v>
      </c>
      <c r="B13377" s="380" t="str">
        <f>IFERROR(__xludf.DUMMYFUNCTION("""COMPUTED_VALUE"""),"Motor Arranque Nhr Nkr Reparado")</f>
        <v>Motor Arranque Nhr Nkr Reparado</v>
      </c>
      <c r="C13377" s="380" t="str">
        <f>IFERROR(__xludf.DUMMYFUNCTION("""COMPUTED_VALUE"""),"70008853")</f>
        <v>70008853</v>
      </c>
      <c r="D13377" s="380" t="s">
        <v>767</v>
      </c>
      <c r="E13377" s="380" t="s">
        <v>786</v>
      </c>
      <c r="F13377" s="380" t="s">
        <v>998</v>
      </c>
      <c r="G13377" s="380" t="s">
        <v>1267</v>
      </c>
      <c r="H13377" s="380" t="s">
        <v>771</v>
      </c>
      <c r="I13377" s="380" t="s">
        <v>788</v>
      </c>
      <c r="J13377" s="380" t="s">
        <v>773</v>
      </c>
      <c r="K13377" s="381">
        <v>0.0</v>
      </c>
      <c r="L13377" s="382">
        <v>1.0</v>
      </c>
    </row>
    <row r="13378">
      <c r="A13378" s="380" t="s">
        <v>14252</v>
      </c>
      <c r="B13378" s="380" t="str">
        <f>IFERROR(__xludf.DUMMYFUNCTION("""COMPUTED_VALUE"""),"Alternador Hi Y Sb Delco Remy Reparado")</f>
        <v>Alternador Hi Y Sb Delco Remy Reparado</v>
      </c>
      <c r="C13378" s="380" t="str">
        <f>IFERROR(__xludf.DUMMYFUNCTION("""COMPUTED_VALUE"""),"70008854")</f>
        <v>70008854</v>
      </c>
      <c r="D13378" s="380" t="s">
        <v>767</v>
      </c>
      <c r="E13378" s="380" t="s">
        <v>786</v>
      </c>
      <c r="F13378" s="380" t="s">
        <v>998</v>
      </c>
      <c r="G13378" s="380" t="s">
        <v>1267</v>
      </c>
      <c r="H13378" s="380" t="s">
        <v>771</v>
      </c>
      <c r="I13378" s="380" t="s">
        <v>788</v>
      </c>
      <c r="J13378" s="380" t="s">
        <v>773</v>
      </c>
      <c r="K13378" s="381">
        <v>377647.0</v>
      </c>
      <c r="L13378" s="382">
        <v>1.0</v>
      </c>
    </row>
    <row r="13379">
      <c r="A13379" s="380" t="s">
        <v>14253</v>
      </c>
      <c r="B13379" s="380" t="str">
        <f>IFERROR(__xludf.DUMMYFUNCTION("""COMPUTED_VALUE"""),"Alternador S. Carry Reparado")</f>
        <v>Alternador S. Carry Reparado</v>
      </c>
      <c r="C13379" s="380" t="str">
        <f>IFERROR(__xludf.DUMMYFUNCTION("""COMPUTED_VALUE"""),"70008855")</f>
        <v>70008855</v>
      </c>
      <c r="D13379" s="380" t="s">
        <v>767</v>
      </c>
      <c r="E13379" s="380" t="s">
        <v>786</v>
      </c>
      <c r="F13379" s="380" t="s">
        <v>998</v>
      </c>
      <c r="G13379" s="380" t="s">
        <v>1267</v>
      </c>
      <c r="H13379" s="380" t="s">
        <v>771</v>
      </c>
      <c r="I13379" s="380" t="s">
        <v>788</v>
      </c>
      <c r="J13379" s="380" t="s">
        <v>773</v>
      </c>
      <c r="K13379" s="381">
        <v>0.0</v>
      </c>
      <c r="L13379" s="382">
        <v>1.0</v>
      </c>
    </row>
    <row r="13380">
      <c r="A13380" s="380" t="s">
        <v>14254</v>
      </c>
      <c r="B13380" s="380" t="str">
        <f>IFERROR(__xludf.DUMMYFUNCTION("""COMPUTED_VALUE"""),"Espejo Retrovisor Izq 2008943 Reparado")</f>
        <v>Espejo Retrovisor Izq 2008943 Reparado</v>
      </c>
      <c r="C13380" s="380" t="str">
        <f>IFERROR(__xludf.DUMMYFUNCTION("""COMPUTED_VALUE"""),"70008857")</f>
        <v>70008857</v>
      </c>
      <c r="D13380" s="380" t="s">
        <v>767</v>
      </c>
      <c r="E13380" s="380" t="s">
        <v>786</v>
      </c>
      <c r="F13380" s="380" t="s">
        <v>792</v>
      </c>
      <c r="G13380" s="380" t="s">
        <v>1267</v>
      </c>
      <c r="H13380" s="380" t="s">
        <v>771</v>
      </c>
      <c r="I13380" s="380" t="s">
        <v>788</v>
      </c>
      <c r="J13380" s="380" t="s">
        <v>773</v>
      </c>
      <c r="K13380" s="381">
        <v>0.0</v>
      </c>
      <c r="L13380" s="382">
        <v>1.0</v>
      </c>
    </row>
    <row r="13381">
      <c r="A13381" s="380" t="s">
        <v>14255</v>
      </c>
      <c r="B13381" s="380" t="str">
        <f>IFERROR(__xludf.DUMMYFUNCTION("""COMPUTED_VALUE"""),"Abrazadera Cremallera 16")</f>
        <v>Abrazadera Cremallera 16</v>
      </c>
      <c r="C13381" s="380" t="str">
        <f>IFERROR(__xludf.DUMMYFUNCTION("""COMPUTED_VALUE"""),"70008858")</f>
        <v>70008858</v>
      </c>
      <c r="D13381" s="380" t="s">
        <v>767</v>
      </c>
      <c r="E13381" s="380" t="s">
        <v>786</v>
      </c>
      <c r="F13381" s="380" t="s">
        <v>989</v>
      </c>
      <c r="G13381" s="380" t="s">
        <v>1267</v>
      </c>
      <c r="H13381" s="380" t="s">
        <v>771</v>
      </c>
      <c r="I13381" s="380" t="s">
        <v>788</v>
      </c>
      <c r="J13381" s="380" t="s">
        <v>773</v>
      </c>
      <c r="K13381" s="381">
        <v>2737.0</v>
      </c>
      <c r="L13381" s="382">
        <v>1.0</v>
      </c>
    </row>
    <row r="13382">
      <c r="A13382" s="380" t="s">
        <v>14256</v>
      </c>
      <c r="B13382" s="380" t="str">
        <f>IFERROR(__xludf.DUMMYFUNCTION("""COMPUTED_VALUE"""),"Disco Freno Delantero 5922032e00 Suzuki")</f>
        <v>Disco Freno Delantero 5922032e00 Suzuki</v>
      </c>
      <c r="C13382" s="380" t="str">
        <f>IFERROR(__xludf.DUMMYFUNCTION("""COMPUTED_VALUE"""),"70008859")</f>
        <v>70008859</v>
      </c>
      <c r="D13382" s="380" t="s">
        <v>767</v>
      </c>
      <c r="E13382" s="380" t="s">
        <v>786</v>
      </c>
      <c r="F13382" s="380" t="s">
        <v>1039</v>
      </c>
      <c r="G13382" s="380" t="s">
        <v>1267</v>
      </c>
      <c r="H13382" s="380" t="s">
        <v>771</v>
      </c>
      <c r="I13382" s="380" t="s">
        <v>788</v>
      </c>
      <c r="J13382" s="380" t="s">
        <v>773</v>
      </c>
      <c r="K13382" s="381">
        <v>0.0</v>
      </c>
      <c r="L13382" s="382">
        <v>1.0</v>
      </c>
    </row>
    <row r="13383">
      <c r="A13383" s="380" t="s">
        <v>14257</v>
      </c>
      <c r="B13383" s="380" t="str">
        <f>IFERROR(__xludf.DUMMYFUNCTION("""COMPUTED_VALUE"""),"Manguera Aire Turbo Nhr 8972057710")</f>
        <v>Manguera Aire Turbo Nhr 8972057710</v>
      </c>
      <c r="C13383" s="380" t="str">
        <f>IFERROR(__xludf.DUMMYFUNCTION("""COMPUTED_VALUE"""),"70008860")</f>
        <v>70008860</v>
      </c>
      <c r="D13383" s="380" t="s">
        <v>767</v>
      </c>
      <c r="E13383" s="380" t="s">
        <v>786</v>
      </c>
      <c r="F13383" s="380" t="s">
        <v>787</v>
      </c>
      <c r="G13383" s="380" t="s">
        <v>1267</v>
      </c>
      <c r="H13383" s="380" t="s">
        <v>771</v>
      </c>
      <c r="I13383" s="380" t="s">
        <v>788</v>
      </c>
      <c r="J13383" s="380" t="s">
        <v>773</v>
      </c>
      <c r="K13383" s="381">
        <v>0.0</v>
      </c>
      <c r="L13383" s="382">
        <v>1.0</v>
      </c>
    </row>
    <row r="13384">
      <c r="A13384" s="380" t="s">
        <v>14258</v>
      </c>
      <c r="B13384" s="380" t="str">
        <f>IFERROR(__xludf.DUMMYFUNCTION("""COMPUTED_VALUE"""),"Volante Embrague Hi Reparado")</f>
        <v>Volante Embrague Hi Reparado</v>
      </c>
      <c r="C13384" s="380" t="str">
        <f>IFERROR(__xludf.DUMMYFUNCTION("""COMPUTED_VALUE"""),"70008861")</f>
        <v>70008861</v>
      </c>
      <c r="D13384" s="380" t="s">
        <v>767</v>
      </c>
      <c r="E13384" s="380" t="s">
        <v>786</v>
      </c>
      <c r="F13384" s="380" t="s">
        <v>5661</v>
      </c>
      <c r="G13384" s="380" t="s">
        <v>1267</v>
      </c>
      <c r="H13384" s="380" t="s">
        <v>771</v>
      </c>
      <c r="I13384" s="380" t="s">
        <v>788</v>
      </c>
      <c r="J13384" s="380" t="s">
        <v>773</v>
      </c>
      <c r="K13384" s="381">
        <v>0.0</v>
      </c>
      <c r="L13384" s="382">
        <v>1.0</v>
      </c>
    </row>
    <row r="13385">
      <c r="A13385" s="380" t="s">
        <v>14259</v>
      </c>
      <c r="B13385" s="380" t="str">
        <f>IFERROR(__xludf.DUMMYFUNCTION("""COMPUTED_VALUE"""),"Filtro Aceite Volswagen W 962 9054118800")</f>
        <v>Filtro Aceite Volswagen W 962 9054118800</v>
      </c>
      <c r="C13385" s="380" t="str">
        <f>IFERROR(__xludf.DUMMYFUNCTION("""COMPUTED_VALUE"""),"70008862")</f>
        <v>70008862</v>
      </c>
      <c r="D13385" s="380" t="s">
        <v>767</v>
      </c>
      <c r="E13385" s="380" t="s">
        <v>786</v>
      </c>
      <c r="F13385" s="380" t="s">
        <v>5855</v>
      </c>
      <c r="G13385" s="380" t="s">
        <v>1267</v>
      </c>
      <c r="H13385" s="380" t="s">
        <v>771</v>
      </c>
      <c r="I13385" s="380" t="s">
        <v>788</v>
      </c>
      <c r="J13385" s="380" t="s">
        <v>773</v>
      </c>
      <c r="K13385" s="381">
        <v>0.0</v>
      </c>
      <c r="L13385" s="382">
        <v>1.0</v>
      </c>
    </row>
    <row r="13386">
      <c r="A13386" s="380" t="s">
        <v>14260</v>
      </c>
      <c r="B13386" s="380" t="str">
        <f>IFERROR(__xludf.DUMMYFUNCTION("""COMPUTED_VALUE"""),"Bomba Inyeccion Nhr Reparado")</f>
        <v>Bomba Inyeccion Nhr Reparado</v>
      </c>
      <c r="C13386" s="380" t="str">
        <f>IFERROR(__xludf.DUMMYFUNCTION("""COMPUTED_VALUE"""),"70008863")</f>
        <v>70008863</v>
      </c>
      <c r="D13386" s="380" t="s">
        <v>767</v>
      </c>
      <c r="E13386" s="380" t="s">
        <v>786</v>
      </c>
      <c r="F13386" s="380" t="s">
        <v>787</v>
      </c>
      <c r="G13386" s="380" t="s">
        <v>1267</v>
      </c>
      <c r="H13386" s="380" t="s">
        <v>771</v>
      </c>
      <c r="I13386" s="380" t="s">
        <v>788</v>
      </c>
      <c r="J13386" s="380" t="s">
        <v>773</v>
      </c>
      <c r="K13386" s="381">
        <v>0.0</v>
      </c>
      <c r="L13386" s="382">
        <v>1.0</v>
      </c>
    </row>
    <row r="13387">
      <c r="A13387" s="380" t="s">
        <v>14261</v>
      </c>
      <c r="B13387" s="380" t="str">
        <f>IFERROR(__xludf.DUMMYFUNCTION("""COMPUTED_VALUE"""),"Cremallera Pta Izq-Der. Npr Reparado")</f>
        <v>Cremallera Pta Izq-Der. Npr Reparado</v>
      </c>
      <c r="C13387" s="380" t="str">
        <f>IFERROR(__xludf.DUMMYFUNCTION("""COMPUTED_VALUE"""),"70008864")</f>
        <v>70008864</v>
      </c>
      <c r="D13387" s="380" t="s">
        <v>767</v>
      </c>
      <c r="E13387" s="380" t="s">
        <v>786</v>
      </c>
      <c r="F13387" s="380" t="s">
        <v>792</v>
      </c>
      <c r="G13387" s="380" t="s">
        <v>1267</v>
      </c>
      <c r="H13387" s="380" t="s">
        <v>771</v>
      </c>
      <c r="I13387" s="380" t="s">
        <v>788</v>
      </c>
      <c r="J13387" s="380" t="s">
        <v>773</v>
      </c>
      <c r="K13387" s="381">
        <v>0.0</v>
      </c>
      <c r="L13387" s="382">
        <v>1.0</v>
      </c>
    </row>
    <row r="13388">
      <c r="A13388" s="380" t="s">
        <v>14262</v>
      </c>
      <c r="B13388" s="380" t="str">
        <f>IFERROR(__xludf.DUMMYFUNCTION("""COMPUTED_VALUE"""),"CIL AUX Embr Nhr-Nkr 8980412920")</f>
        <v>CIL AUX Embr Nhr-Nkr 8980412920</v>
      </c>
      <c r="C13388" s="380" t="str">
        <f>IFERROR(__xludf.DUMMYFUNCTION("""COMPUTED_VALUE"""),"70008865")</f>
        <v>70008865</v>
      </c>
      <c r="D13388" s="380" t="s">
        <v>767</v>
      </c>
      <c r="E13388" s="380" t="s">
        <v>786</v>
      </c>
      <c r="F13388" s="380" t="s">
        <v>5661</v>
      </c>
      <c r="G13388" s="380" t="s">
        <v>1267</v>
      </c>
      <c r="H13388" s="380" t="s">
        <v>771</v>
      </c>
      <c r="I13388" s="380" t="s">
        <v>788</v>
      </c>
      <c r="J13388" s="380" t="s">
        <v>773</v>
      </c>
      <c r="K13388" s="381">
        <v>0.0</v>
      </c>
      <c r="L13388" s="382">
        <v>1.0</v>
      </c>
    </row>
    <row r="13389">
      <c r="A13389" s="380" t="s">
        <v>14263</v>
      </c>
      <c r="B13389" s="380" t="str">
        <f>IFERROR(__xludf.DUMMYFUNCTION("""COMPUTED_VALUE"""),"Arandela Pinadora Rued Del Vol 9602")</f>
        <v>Arandela Pinadora Rued Del Vol 9602</v>
      </c>
      <c r="C13389" s="380" t="str">
        <f>IFERROR(__xludf.DUMMYFUNCTION("""COMPUTED_VALUE"""),"70008866")</f>
        <v>70008866</v>
      </c>
      <c r="D13389" s="380" t="s">
        <v>767</v>
      </c>
      <c r="E13389" s="380" t="s">
        <v>786</v>
      </c>
      <c r="F13389" s="380" t="s">
        <v>1039</v>
      </c>
      <c r="G13389" s="380" t="s">
        <v>1267</v>
      </c>
      <c r="H13389" s="380" t="s">
        <v>771</v>
      </c>
      <c r="I13389" s="380" t="s">
        <v>788</v>
      </c>
      <c r="J13389" s="380" t="s">
        <v>773</v>
      </c>
      <c r="K13389" s="381">
        <v>0.0</v>
      </c>
      <c r="L13389" s="382">
        <v>1.0</v>
      </c>
    </row>
    <row r="13390">
      <c r="A13390" s="380" t="s">
        <v>14264</v>
      </c>
      <c r="B13390" s="380" t="str">
        <f>IFERROR(__xludf.DUMMYFUNCTION("""COMPUTED_VALUE"""),"FILT Aceite Hi 466 Y Fleetguard Lf-3883")</f>
        <v>FILT Aceite Hi 466 Y Fleetguard Lf-3883</v>
      </c>
      <c r="C13390" s="380" t="str">
        <f>IFERROR(__xludf.DUMMYFUNCTION("""COMPUTED_VALUE"""),"70008867")</f>
        <v>70008867</v>
      </c>
      <c r="D13390" s="380" t="s">
        <v>767</v>
      </c>
      <c r="E13390" s="380" t="s">
        <v>786</v>
      </c>
      <c r="F13390" s="380" t="s">
        <v>5855</v>
      </c>
      <c r="G13390" s="380" t="s">
        <v>1267</v>
      </c>
      <c r="H13390" s="380" t="s">
        <v>771</v>
      </c>
      <c r="I13390" s="380" t="s">
        <v>788</v>
      </c>
      <c r="J13390" s="380" t="s">
        <v>773</v>
      </c>
      <c r="K13390" s="381">
        <v>0.0</v>
      </c>
      <c r="L13390" s="382">
        <v>1.0</v>
      </c>
    </row>
    <row r="13391">
      <c r="A13391" s="380" t="s">
        <v>14265</v>
      </c>
      <c r="B13391" s="380" t="str">
        <f>IFERROR(__xludf.DUMMYFUNCTION("""COMPUTED_VALUE"""),"Cigüeñal Motor Nhr-Nkr Reparado")</f>
        <v>Cigüeñal Motor Nhr-Nkr Reparado</v>
      </c>
      <c r="C13391" s="380" t="str">
        <f>IFERROR(__xludf.DUMMYFUNCTION("""COMPUTED_VALUE"""),"70008868")</f>
        <v>70008868</v>
      </c>
      <c r="D13391" s="380" t="s">
        <v>767</v>
      </c>
      <c r="E13391" s="380" t="s">
        <v>786</v>
      </c>
      <c r="F13391" s="380" t="s">
        <v>787</v>
      </c>
      <c r="G13391" s="380" t="s">
        <v>1267</v>
      </c>
      <c r="H13391" s="380" t="s">
        <v>771</v>
      </c>
      <c r="I13391" s="380" t="s">
        <v>788</v>
      </c>
      <c r="J13391" s="380" t="s">
        <v>773</v>
      </c>
      <c r="K13391" s="381">
        <v>0.0</v>
      </c>
      <c r="L13391" s="382">
        <v>1.0</v>
      </c>
    </row>
    <row r="13392">
      <c r="A13392" s="380" t="s">
        <v>14266</v>
      </c>
      <c r="B13392" s="380" t="str">
        <f>IFERROR(__xludf.DUMMYFUNCTION("""COMPUTED_VALUE"""),"Interruptor Encendido Npr 8970956822")</f>
        <v>Interruptor Encendido Npr 8970956822</v>
      </c>
      <c r="C13392" s="380" t="str">
        <f>IFERROR(__xludf.DUMMYFUNCTION("""COMPUTED_VALUE"""),"70008869")</f>
        <v>70008869</v>
      </c>
      <c r="D13392" s="380" t="s">
        <v>767</v>
      </c>
      <c r="E13392" s="380" t="s">
        <v>786</v>
      </c>
      <c r="F13392" s="380" t="s">
        <v>998</v>
      </c>
      <c r="G13392" s="380" t="s">
        <v>1267</v>
      </c>
      <c r="H13392" s="380" t="s">
        <v>771</v>
      </c>
      <c r="I13392" s="380" t="s">
        <v>788</v>
      </c>
      <c r="J13392" s="380" t="s">
        <v>773</v>
      </c>
      <c r="K13392" s="381">
        <v>0.0</v>
      </c>
      <c r="L13392" s="382">
        <v>1.0</v>
      </c>
    </row>
    <row r="13393">
      <c r="A13393" s="380" t="s">
        <v>14267</v>
      </c>
      <c r="B13393" s="380" t="str">
        <f>IFERROR(__xludf.DUMMYFUNCTION("""COMPUTED_VALUE"""),"Pasador Central 7/16 X 5 """)</f>
        <v>Pasador Central 7/16 X 5 "</v>
      </c>
      <c r="C13393" s="380" t="str">
        <f>IFERROR(__xludf.DUMMYFUNCTION("""COMPUTED_VALUE"""),"70008870")</f>
        <v>70008870</v>
      </c>
      <c r="D13393" s="380" t="s">
        <v>767</v>
      </c>
      <c r="E13393" s="380" t="s">
        <v>786</v>
      </c>
      <c r="F13393" s="380" t="s">
        <v>1039</v>
      </c>
      <c r="G13393" s="380" t="s">
        <v>1267</v>
      </c>
      <c r="H13393" s="380" t="s">
        <v>771</v>
      </c>
      <c r="I13393" s="380" t="s">
        <v>788</v>
      </c>
      <c r="J13393" s="380" t="s">
        <v>773</v>
      </c>
      <c r="K13393" s="381">
        <v>4760.0</v>
      </c>
      <c r="L13393" s="382">
        <v>1.0</v>
      </c>
    </row>
    <row r="13394">
      <c r="A13394" s="380" t="s">
        <v>14268</v>
      </c>
      <c r="B13394" s="380" t="str">
        <f>IFERROR(__xludf.DUMMYFUNCTION("""COMPUTED_VALUE"""),"Campana Campana Delantera Nhr Reparado")</f>
        <v>Campana Campana Delantera Nhr Reparado</v>
      </c>
      <c r="C13394" s="380" t="str">
        <f>IFERROR(__xludf.DUMMYFUNCTION("""COMPUTED_VALUE"""),"70008871")</f>
        <v>70008871</v>
      </c>
      <c r="D13394" s="380" t="s">
        <v>767</v>
      </c>
      <c r="E13394" s="380" t="s">
        <v>786</v>
      </c>
      <c r="F13394" s="380" t="s">
        <v>1017</v>
      </c>
      <c r="G13394" s="380" t="s">
        <v>1267</v>
      </c>
      <c r="H13394" s="380" t="s">
        <v>771</v>
      </c>
      <c r="I13394" s="380" t="s">
        <v>788</v>
      </c>
      <c r="J13394" s="380" t="s">
        <v>773</v>
      </c>
      <c r="K13394" s="381">
        <v>0.0</v>
      </c>
      <c r="L13394" s="382">
        <v>1.0</v>
      </c>
    </row>
    <row r="13395">
      <c r="A13395" s="380" t="s">
        <v>14269</v>
      </c>
      <c r="B13395" s="380" t="str">
        <f>IFERROR(__xludf.DUMMYFUNCTION("""COMPUTED_VALUE"""),"Banda Del Tras Toyota Remacha Reparado")</f>
        <v>Banda Del Tras Toyota Remacha Reparado</v>
      </c>
      <c r="C13395" s="380" t="str">
        <f>IFERROR(__xludf.DUMMYFUNCTION("""COMPUTED_VALUE"""),"70008872")</f>
        <v>70008872</v>
      </c>
      <c r="D13395" s="380" t="s">
        <v>767</v>
      </c>
      <c r="E13395" s="380" t="s">
        <v>786</v>
      </c>
      <c r="F13395" s="380" t="s">
        <v>1017</v>
      </c>
      <c r="G13395" s="380" t="s">
        <v>1267</v>
      </c>
      <c r="H13395" s="380" t="s">
        <v>771</v>
      </c>
      <c r="I13395" s="380" t="s">
        <v>788</v>
      </c>
      <c r="J13395" s="380" t="s">
        <v>773</v>
      </c>
      <c r="K13395" s="381">
        <v>0.0</v>
      </c>
      <c r="L13395" s="382">
        <v>1.0</v>
      </c>
    </row>
    <row r="13396">
      <c r="A13396" s="380" t="s">
        <v>14270</v>
      </c>
      <c r="B13396" s="380" t="str">
        <f>IFERROR(__xludf.DUMMYFUNCTION("""COMPUTED_VALUE"""),"Bomba Inyeccion Delta Reparado")</f>
        <v>Bomba Inyeccion Delta Reparado</v>
      </c>
      <c r="C13396" s="380" t="str">
        <f>IFERROR(__xludf.DUMMYFUNCTION("""COMPUTED_VALUE"""),"70008873")</f>
        <v>70008873</v>
      </c>
      <c r="D13396" s="380" t="s">
        <v>767</v>
      </c>
      <c r="E13396" s="380" t="s">
        <v>786</v>
      </c>
      <c r="F13396" s="380" t="s">
        <v>787</v>
      </c>
      <c r="G13396" s="380" t="s">
        <v>1267</v>
      </c>
      <c r="H13396" s="380" t="s">
        <v>771</v>
      </c>
      <c r="I13396" s="380" t="s">
        <v>788</v>
      </c>
      <c r="J13396" s="380" t="s">
        <v>773</v>
      </c>
      <c r="K13396" s="381">
        <v>0.0</v>
      </c>
      <c r="L13396" s="382">
        <v>1.0</v>
      </c>
    </row>
    <row r="13397">
      <c r="A13397" s="380" t="s">
        <v>14271</v>
      </c>
      <c r="B13397" s="380" t="str">
        <f>IFERROR(__xludf.DUMMYFUNCTION("""COMPUTED_VALUE"""),"Valvula Escape Culata Nhr 8944332451")</f>
        <v>Valvula Escape Culata Nhr 8944332451</v>
      </c>
      <c r="C13397" s="380" t="str">
        <f>IFERROR(__xludf.DUMMYFUNCTION("""COMPUTED_VALUE"""),"70008874")</f>
        <v>70008874</v>
      </c>
      <c r="D13397" s="380" t="s">
        <v>767</v>
      </c>
      <c r="E13397" s="380" t="s">
        <v>786</v>
      </c>
      <c r="F13397" s="380" t="s">
        <v>787</v>
      </c>
      <c r="G13397" s="380" t="s">
        <v>1267</v>
      </c>
      <c r="H13397" s="380" t="s">
        <v>771</v>
      </c>
      <c r="I13397" s="380" t="s">
        <v>788</v>
      </c>
      <c r="J13397" s="380" t="s">
        <v>773</v>
      </c>
      <c r="K13397" s="381">
        <v>0.0</v>
      </c>
      <c r="L13397" s="382">
        <v>1.0</v>
      </c>
    </row>
    <row r="13398">
      <c r="A13398" s="380" t="s">
        <v>14272</v>
      </c>
      <c r="B13398" s="380" t="str">
        <f>IFERROR(__xludf.DUMMYFUNCTION("""COMPUTED_VALUE"""),"Terminal Barra Dccion Izq.Kenw Es2090l")</f>
        <v>Terminal Barra Dccion Izq.Kenw Es2090l</v>
      </c>
      <c r="C13398" s="380" t="str">
        <f>IFERROR(__xludf.DUMMYFUNCTION("""COMPUTED_VALUE"""),"70008875")</f>
        <v>70008875</v>
      </c>
      <c r="D13398" s="380" t="s">
        <v>767</v>
      </c>
      <c r="E13398" s="380" t="s">
        <v>786</v>
      </c>
      <c r="F13398" s="380" t="s">
        <v>1020</v>
      </c>
      <c r="G13398" s="380" t="s">
        <v>1267</v>
      </c>
      <c r="H13398" s="380" t="s">
        <v>771</v>
      </c>
      <c r="I13398" s="380" t="s">
        <v>788</v>
      </c>
      <c r="J13398" s="380" t="s">
        <v>773</v>
      </c>
      <c r="K13398" s="381">
        <v>175829.0</v>
      </c>
      <c r="L13398" s="382">
        <v>1.0</v>
      </c>
    </row>
    <row r="13399">
      <c r="A13399" s="380" t="s">
        <v>14273</v>
      </c>
      <c r="B13399" s="380" t="str">
        <f>IFERROR(__xludf.DUMMYFUNCTION("""COMPUTED_VALUE"""),"Correa Vent. T. Delta Ref1546 9091602497")</f>
        <v>Correa Vent. T. Delta Ref1546 9091602497</v>
      </c>
      <c r="C13399" s="380" t="str">
        <f>IFERROR(__xludf.DUMMYFUNCTION("""COMPUTED_VALUE"""),"70008876")</f>
        <v>70008876</v>
      </c>
      <c r="D13399" s="380" t="s">
        <v>767</v>
      </c>
      <c r="E13399" s="380" t="s">
        <v>786</v>
      </c>
      <c r="F13399" s="380" t="s">
        <v>787</v>
      </c>
      <c r="G13399" s="380" t="s">
        <v>1267</v>
      </c>
      <c r="H13399" s="380" t="s">
        <v>771</v>
      </c>
      <c r="I13399" s="380" t="s">
        <v>788</v>
      </c>
      <c r="J13399" s="380" t="s">
        <v>773</v>
      </c>
      <c r="K13399" s="381">
        <v>0.0</v>
      </c>
      <c r="L13399" s="382">
        <v>1.0</v>
      </c>
    </row>
    <row r="13400">
      <c r="A13400" s="380" t="s">
        <v>14274</v>
      </c>
      <c r="B13400" s="380" t="str">
        <f>IFERROR(__xludf.DUMMYFUNCTION("""COMPUTED_VALUE"""),"Mango Mango Manurio Izq. Der. Moto Honda")</f>
        <v>Mango Mango Manurio Izq. Der. Moto Honda</v>
      </c>
      <c r="C13400" s="380" t="str">
        <f>IFERROR(__xludf.DUMMYFUNCTION("""COMPUTED_VALUE"""),"70008877")</f>
        <v>70008877</v>
      </c>
      <c r="D13400" s="380" t="s">
        <v>767</v>
      </c>
      <c r="E13400" s="380" t="s">
        <v>786</v>
      </c>
      <c r="F13400" s="380" t="s">
        <v>792</v>
      </c>
      <c r="G13400" s="380" t="s">
        <v>1267</v>
      </c>
      <c r="H13400" s="380" t="s">
        <v>771</v>
      </c>
      <c r="I13400" s="380" t="s">
        <v>788</v>
      </c>
      <c r="J13400" s="380" t="s">
        <v>773</v>
      </c>
      <c r="K13400" s="381">
        <v>0.0</v>
      </c>
      <c r="L13400" s="382">
        <v>1.0</v>
      </c>
    </row>
    <row r="13401">
      <c r="A13401" s="380" t="s">
        <v>14275</v>
      </c>
      <c r="B13401" s="380" t="str">
        <f>IFERROR(__xludf.DUMMYFUNCTION("""COMPUTED_VALUE"""),"Banda Tras Eagle Isx 4707d Rem Reparado")</f>
        <v>Banda Tras Eagle Isx 4707d Rem Reparado</v>
      </c>
      <c r="C13401" s="380" t="str">
        <f>IFERROR(__xludf.DUMMYFUNCTION("""COMPUTED_VALUE"""),"70008878")</f>
        <v>70008878</v>
      </c>
      <c r="D13401" s="380" t="s">
        <v>767</v>
      </c>
      <c r="E13401" s="380" t="s">
        <v>786</v>
      </c>
      <c r="F13401" s="380" t="s">
        <v>1017</v>
      </c>
      <c r="G13401" s="380" t="s">
        <v>1267</v>
      </c>
      <c r="H13401" s="380" t="s">
        <v>771</v>
      </c>
      <c r="I13401" s="380" t="s">
        <v>788</v>
      </c>
      <c r="J13401" s="380" t="s">
        <v>773</v>
      </c>
      <c r="K13401" s="381">
        <v>0.0</v>
      </c>
      <c r="L13401" s="382">
        <v>1.0</v>
      </c>
    </row>
    <row r="13402">
      <c r="A13402" s="380" t="s">
        <v>14276</v>
      </c>
      <c r="B13402" s="380" t="str">
        <f>IFERROR(__xludf.DUMMYFUNCTION("""COMPUTED_VALUE"""),"Espejo Panoramico Sb 8""")</f>
        <v>Espejo Panoramico Sb 8"</v>
      </c>
      <c r="C13402" s="380" t="str">
        <f>IFERROR(__xludf.DUMMYFUNCTION("""COMPUTED_VALUE"""),"70008879")</f>
        <v>70008879</v>
      </c>
      <c r="D13402" s="380" t="s">
        <v>767</v>
      </c>
      <c r="E13402" s="380" t="s">
        <v>786</v>
      </c>
      <c r="F13402" s="380" t="s">
        <v>1031</v>
      </c>
      <c r="G13402" s="380" t="s">
        <v>1267</v>
      </c>
      <c r="H13402" s="380" t="s">
        <v>771</v>
      </c>
      <c r="I13402" s="380" t="s">
        <v>788</v>
      </c>
      <c r="J13402" s="380" t="s">
        <v>773</v>
      </c>
      <c r="K13402" s="381">
        <v>58667.0</v>
      </c>
      <c r="L13402" s="382">
        <v>1.0</v>
      </c>
    </row>
    <row r="13403">
      <c r="A13403" s="380" t="s">
        <v>14277</v>
      </c>
      <c r="B13403" s="380" t="str">
        <f>IFERROR(__xludf.DUMMYFUNCTION("""COMPUTED_VALUE"""),"Culata Motor Nhr Nkr Reparado")</f>
        <v>Culata Motor Nhr Nkr Reparado</v>
      </c>
      <c r="C13403" s="380" t="str">
        <f>IFERROR(__xludf.DUMMYFUNCTION("""COMPUTED_VALUE"""),"70008880")</f>
        <v>70008880</v>
      </c>
      <c r="D13403" s="380" t="s">
        <v>767</v>
      </c>
      <c r="E13403" s="380" t="s">
        <v>786</v>
      </c>
      <c r="F13403" s="380" t="s">
        <v>787</v>
      </c>
      <c r="G13403" s="380" t="s">
        <v>1267</v>
      </c>
      <c r="H13403" s="380" t="s">
        <v>771</v>
      </c>
      <c r="I13403" s="380" t="s">
        <v>788</v>
      </c>
      <c r="J13403" s="380" t="s">
        <v>773</v>
      </c>
      <c r="K13403" s="381">
        <v>0.0</v>
      </c>
      <c r="L13403" s="382">
        <v>1.0</v>
      </c>
    </row>
    <row r="13404">
      <c r="A13404" s="380" t="s">
        <v>14278</v>
      </c>
      <c r="B13404" s="380" t="str">
        <f>IFERROR(__xludf.DUMMYFUNCTION("""COMPUTED_VALUE"""),"Bloque Motor Nkr Iii Reparado")</f>
        <v>Bloque Motor Nkr Iii Reparado</v>
      </c>
      <c r="C13404" s="380" t="str">
        <f>IFERROR(__xludf.DUMMYFUNCTION("""COMPUTED_VALUE"""),"70008881")</f>
        <v>70008881</v>
      </c>
      <c r="D13404" s="380" t="s">
        <v>767</v>
      </c>
      <c r="E13404" s="380" t="s">
        <v>786</v>
      </c>
      <c r="F13404" s="380" t="s">
        <v>787</v>
      </c>
      <c r="G13404" s="380" t="s">
        <v>1267</v>
      </c>
      <c r="H13404" s="380" t="s">
        <v>771</v>
      </c>
      <c r="I13404" s="380" t="s">
        <v>788</v>
      </c>
      <c r="J13404" s="380" t="s">
        <v>773</v>
      </c>
      <c r="K13404" s="381">
        <v>0.0</v>
      </c>
      <c r="L13404" s="382">
        <v>1.0</v>
      </c>
    </row>
    <row r="13405">
      <c r="A13405" s="380" t="s">
        <v>14279</v>
      </c>
      <c r="B13405" s="380" t="str">
        <f>IFERROR(__xludf.DUMMYFUNCTION("""COMPUTED_VALUE"""),"Alternador Hi Delco Remy 10459050")</f>
        <v>Alternador Hi Delco Remy 10459050</v>
      </c>
      <c r="C13405" s="380" t="str">
        <f>IFERROR(__xludf.DUMMYFUNCTION("""COMPUTED_VALUE"""),"70008882")</f>
        <v>70008882</v>
      </c>
      <c r="D13405" s="380" t="s">
        <v>767</v>
      </c>
      <c r="E13405" s="380" t="s">
        <v>786</v>
      </c>
      <c r="F13405" s="380" t="s">
        <v>998</v>
      </c>
      <c r="G13405" s="380" t="s">
        <v>1267</v>
      </c>
      <c r="H13405" s="380" t="s">
        <v>771</v>
      </c>
      <c r="I13405" s="380" t="s">
        <v>788</v>
      </c>
      <c r="J13405" s="380" t="s">
        <v>773</v>
      </c>
      <c r="K13405" s="381">
        <v>2197049.0</v>
      </c>
      <c r="L13405" s="382">
        <v>1.0</v>
      </c>
    </row>
    <row r="13406">
      <c r="A13406" s="380" t="s">
        <v>14280</v>
      </c>
      <c r="B13406" s="380" t="str">
        <f>IFERROR(__xludf.DUMMYFUNCTION("""COMPUTED_VALUE"""),"Rodillo Embrague Nkr Tkz3503r")</f>
        <v>Rodillo Embrague Nkr Tkz3503r</v>
      </c>
      <c r="C13406" s="380" t="str">
        <f>IFERROR(__xludf.DUMMYFUNCTION("""COMPUTED_VALUE"""),"70008883")</f>
        <v>70008883</v>
      </c>
      <c r="D13406" s="380" t="s">
        <v>767</v>
      </c>
      <c r="E13406" s="380" t="s">
        <v>786</v>
      </c>
      <c r="F13406" s="380" t="s">
        <v>5661</v>
      </c>
      <c r="G13406" s="380" t="s">
        <v>1267</v>
      </c>
      <c r="H13406" s="380" t="s">
        <v>771</v>
      </c>
      <c r="I13406" s="380" t="s">
        <v>788</v>
      </c>
      <c r="J13406" s="380" t="s">
        <v>773</v>
      </c>
      <c r="K13406" s="381">
        <v>0.0</v>
      </c>
      <c r="L13406" s="382">
        <v>1.0</v>
      </c>
    </row>
    <row r="13407">
      <c r="A13407" s="380" t="s">
        <v>14281</v>
      </c>
      <c r="B13407" s="380" t="str">
        <f>IFERROR(__xludf.DUMMYFUNCTION("""COMPUTED_VALUE"""),"Banda Tras. Remachada Volwag Reparado")</f>
        <v>Banda Tras. Remachada Volwag Reparado</v>
      </c>
      <c r="C13407" s="380" t="str">
        <f>IFERROR(__xludf.DUMMYFUNCTION("""COMPUTED_VALUE"""),"70008884")</f>
        <v>70008884</v>
      </c>
      <c r="D13407" s="380" t="s">
        <v>767</v>
      </c>
      <c r="E13407" s="380" t="s">
        <v>786</v>
      </c>
      <c r="F13407" s="380" t="s">
        <v>1017</v>
      </c>
      <c r="G13407" s="380" t="s">
        <v>1267</v>
      </c>
      <c r="H13407" s="380" t="s">
        <v>771</v>
      </c>
      <c r="I13407" s="380" t="s">
        <v>788</v>
      </c>
      <c r="J13407" s="380" t="s">
        <v>773</v>
      </c>
      <c r="K13407" s="381">
        <v>0.0</v>
      </c>
      <c r="L13407" s="382">
        <v>1.0</v>
      </c>
    </row>
    <row r="13408">
      <c r="A13408" s="380" t="s">
        <v>14282</v>
      </c>
      <c r="B13408" s="380" t="str">
        <f>IFERROR(__xludf.DUMMYFUNCTION("""COMPUTED_VALUE"""),"VALV Mang.BMB Comb.Nkriii 8942393720")</f>
        <v>VALV Mang.BMB Comb.Nkriii 8942393720</v>
      </c>
      <c r="C13408" s="380" t="str">
        <f>IFERROR(__xludf.DUMMYFUNCTION("""COMPUTED_VALUE"""),"70008885")</f>
        <v>70008885</v>
      </c>
      <c r="D13408" s="380" t="s">
        <v>767</v>
      </c>
      <c r="E13408" s="380" t="s">
        <v>786</v>
      </c>
      <c r="F13408" s="380" t="s">
        <v>787</v>
      </c>
      <c r="G13408" s="380" t="s">
        <v>1267</v>
      </c>
      <c r="H13408" s="380" t="s">
        <v>771</v>
      </c>
      <c r="I13408" s="380" t="s">
        <v>788</v>
      </c>
      <c r="J13408" s="380" t="s">
        <v>773</v>
      </c>
      <c r="K13408" s="381">
        <v>0.0</v>
      </c>
      <c r="L13408" s="382">
        <v>1.0</v>
      </c>
    </row>
    <row r="13409">
      <c r="A13409" s="380" t="s">
        <v>14283</v>
      </c>
      <c r="B13409" s="380" t="str">
        <f>IFERROR(__xludf.DUMMYFUNCTION("""COMPUTED_VALUE"""),"Asiento Ayudante Foton 1039 Reparado")</f>
        <v>Asiento Ayudante Foton 1039 Reparado</v>
      </c>
      <c r="C13409" s="380" t="str">
        <f>IFERROR(__xludf.DUMMYFUNCTION("""COMPUTED_VALUE"""),"70008886")</f>
        <v>70008886</v>
      </c>
      <c r="D13409" s="380" t="s">
        <v>767</v>
      </c>
      <c r="E13409" s="380" t="s">
        <v>786</v>
      </c>
      <c r="F13409" s="380" t="s">
        <v>792</v>
      </c>
      <c r="G13409" s="380" t="s">
        <v>1267</v>
      </c>
      <c r="H13409" s="380" t="s">
        <v>771</v>
      </c>
      <c r="I13409" s="380" t="s">
        <v>788</v>
      </c>
      <c r="J13409" s="380" t="s">
        <v>773</v>
      </c>
      <c r="K13409" s="381">
        <v>740775.0</v>
      </c>
      <c r="L13409" s="382">
        <v>1.0</v>
      </c>
    </row>
    <row r="13410">
      <c r="A13410" s="380" t="s">
        <v>14284</v>
      </c>
      <c r="B13410" s="380" t="str">
        <f>IFERROR(__xludf.DUMMYFUNCTION("""COMPUTED_VALUE"""),"Kit E Kit Empaque Motor Moto Xl200 Honda")</f>
        <v>Kit E Kit Empaque Motor Moto Xl200 Honda</v>
      </c>
      <c r="C13410" s="380" t="str">
        <f>IFERROR(__xludf.DUMMYFUNCTION("""COMPUTED_VALUE"""),"70008887")</f>
        <v>70008887</v>
      </c>
      <c r="D13410" s="380" t="s">
        <v>767</v>
      </c>
      <c r="E13410" s="380" t="s">
        <v>786</v>
      </c>
      <c r="F13410" s="380" t="s">
        <v>787</v>
      </c>
      <c r="G13410" s="380" t="s">
        <v>1267</v>
      </c>
      <c r="H13410" s="380" t="s">
        <v>771</v>
      </c>
      <c r="I13410" s="380" t="s">
        <v>788</v>
      </c>
      <c r="J13410" s="380" t="s">
        <v>773</v>
      </c>
      <c r="K13410" s="381">
        <v>0.0</v>
      </c>
      <c r="L13410" s="382">
        <v>1.0</v>
      </c>
    </row>
    <row r="13411">
      <c r="A13411" s="380" t="s">
        <v>14285</v>
      </c>
      <c r="B13411" s="380" t="str">
        <f>IFERROR(__xludf.DUMMYFUNCTION("""COMPUTED_VALUE"""),"Guia Valvula Moto Xl200 Honda")</f>
        <v>Guia Valvula Moto Xl200 Honda</v>
      </c>
      <c r="C13411" s="380" t="str">
        <f>IFERROR(__xludf.DUMMYFUNCTION("""COMPUTED_VALUE"""),"70008888")</f>
        <v>70008888</v>
      </c>
      <c r="D13411" s="380" t="s">
        <v>767</v>
      </c>
      <c r="E13411" s="380" t="s">
        <v>786</v>
      </c>
      <c r="F13411" s="380" t="s">
        <v>787</v>
      </c>
      <c r="G13411" s="380" t="s">
        <v>1267</v>
      </c>
      <c r="H13411" s="380" t="s">
        <v>771</v>
      </c>
      <c r="I13411" s="380" t="s">
        <v>788</v>
      </c>
      <c r="J13411" s="380" t="s">
        <v>773</v>
      </c>
      <c r="K13411" s="381">
        <v>0.0</v>
      </c>
      <c r="L13411" s="382">
        <v>1.0</v>
      </c>
    </row>
    <row r="13412">
      <c r="A13412" s="380" t="s">
        <v>14286</v>
      </c>
      <c r="B13412" s="380" t="str">
        <f>IFERROR(__xludf.DUMMYFUNCTION("""COMPUTED_VALUE"""),"EMP Carcaza Distrib. Nh Isuzu 8972386310")</f>
        <v>EMP Carcaza Distrib. Nh Isuzu 8972386310</v>
      </c>
      <c r="C13412" s="380" t="str">
        <f>IFERROR(__xludf.DUMMYFUNCTION("""COMPUTED_VALUE"""),"70008889")</f>
        <v>70008889</v>
      </c>
      <c r="D13412" s="380" t="s">
        <v>767</v>
      </c>
      <c r="E13412" s="380" t="s">
        <v>786</v>
      </c>
      <c r="F13412" s="380" t="s">
        <v>787</v>
      </c>
      <c r="G13412" s="380" t="s">
        <v>1267</v>
      </c>
      <c r="H13412" s="380" t="s">
        <v>771</v>
      </c>
      <c r="I13412" s="380" t="s">
        <v>788</v>
      </c>
      <c r="J13412" s="380" t="s">
        <v>773</v>
      </c>
      <c r="K13412" s="381">
        <v>0.0</v>
      </c>
      <c r="L13412" s="382">
        <v>1.0</v>
      </c>
    </row>
    <row r="13413">
      <c r="A13413" s="380" t="s">
        <v>14287</v>
      </c>
      <c r="B13413" s="380" t="str">
        <f>IFERROR(__xludf.DUMMYFUNCTION("""COMPUTED_VALUE"""),"Post-Enfriador Aire Nhr Reparado")</f>
        <v>Post-Enfriador Aire Nhr Reparado</v>
      </c>
      <c r="C13413" s="380" t="str">
        <f>IFERROR(__xludf.DUMMYFUNCTION("""COMPUTED_VALUE"""),"70008890")</f>
        <v>70008890</v>
      </c>
      <c r="D13413" s="380" t="s">
        <v>767</v>
      </c>
      <c r="E13413" s="380" t="s">
        <v>786</v>
      </c>
      <c r="F13413" s="380" t="s">
        <v>787</v>
      </c>
      <c r="G13413" s="380" t="s">
        <v>1267</v>
      </c>
      <c r="H13413" s="380" t="s">
        <v>771</v>
      </c>
      <c r="I13413" s="380" t="s">
        <v>788</v>
      </c>
      <c r="J13413" s="380" t="s">
        <v>773</v>
      </c>
      <c r="K13413" s="381">
        <v>0.0</v>
      </c>
      <c r="L13413" s="382">
        <v>1.0</v>
      </c>
    </row>
    <row r="13414">
      <c r="A13414" s="380" t="s">
        <v>14288</v>
      </c>
      <c r="B13414" s="380" t="str">
        <f>IFERROR(__xludf.DUMMYFUNCTION("""COMPUTED_VALUE"""),"Cacho Direccion Varias Reparado")</f>
        <v>Cacho Direccion Varias Reparado</v>
      </c>
      <c r="C13414" s="380" t="str">
        <f>IFERROR(__xludf.DUMMYFUNCTION("""COMPUTED_VALUE"""),"70008891")</f>
        <v>70008891</v>
      </c>
      <c r="D13414" s="380" t="s">
        <v>767</v>
      </c>
      <c r="E13414" s="380" t="s">
        <v>786</v>
      </c>
      <c r="F13414" s="380" t="s">
        <v>1020</v>
      </c>
      <c r="G13414" s="380" t="s">
        <v>1267</v>
      </c>
      <c r="H13414" s="380" t="s">
        <v>771</v>
      </c>
      <c r="I13414" s="380" t="s">
        <v>788</v>
      </c>
      <c r="J13414" s="380" t="s">
        <v>773</v>
      </c>
      <c r="K13414" s="381">
        <v>1085875.0</v>
      </c>
      <c r="L13414" s="382">
        <v>1.0</v>
      </c>
    </row>
    <row r="13415">
      <c r="A13415" s="380" t="s">
        <v>14289</v>
      </c>
      <c r="B13415" s="380" t="str">
        <f>IFERROR(__xludf.DUMMYFUNCTION("""COMPUTED_VALUE"""),"SOP MOT DER Nhr Nkr Npr 5876101870")</f>
        <v>SOP MOT DER Nhr Nkr Npr 5876101870</v>
      </c>
      <c r="C13415" s="380" t="str">
        <f>IFERROR(__xludf.DUMMYFUNCTION("""COMPUTED_VALUE"""),"70008892")</f>
        <v>70008892</v>
      </c>
      <c r="D13415" s="380" t="s">
        <v>767</v>
      </c>
      <c r="E13415" s="380" t="s">
        <v>786</v>
      </c>
      <c r="F13415" s="380" t="s">
        <v>787</v>
      </c>
      <c r="G13415" s="380" t="s">
        <v>1267</v>
      </c>
      <c r="H13415" s="380" t="s">
        <v>771</v>
      </c>
      <c r="I13415" s="380" t="s">
        <v>788</v>
      </c>
      <c r="J13415" s="380" t="s">
        <v>773</v>
      </c>
      <c r="K13415" s="381">
        <v>0.0</v>
      </c>
      <c r="L13415" s="382">
        <v>1.0</v>
      </c>
    </row>
    <row r="13416">
      <c r="A13416" s="380" t="s">
        <v>14290</v>
      </c>
      <c r="B13416" s="380" t="str">
        <f>IFERROR(__xludf.DUMMYFUNCTION("""COMPUTED_VALUE"""),"Valvula Regulad. Presion Fr.Vo 1138201")</f>
        <v>Valvula Regulad. Presion Fr.Vo 1138201</v>
      </c>
      <c r="C13416" s="380" t="str">
        <f>IFERROR(__xludf.DUMMYFUNCTION("""COMPUTED_VALUE"""),"70008893")</f>
        <v>70008893</v>
      </c>
      <c r="D13416" s="380" t="s">
        <v>767</v>
      </c>
      <c r="E13416" s="380" t="s">
        <v>786</v>
      </c>
      <c r="F13416" s="380" t="s">
        <v>1017</v>
      </c>
      <c r="G13416" s="380" t="s">
        <v>1267</v>
      </c>
      <c r="H13416" s="380" t="s">
        <v>771</v>
      </c>
      <c r="I13416" s="380" t="s">
        <v>788</v>
      </c>
      <c r="J13416" s="380" t="s">
        <v>773</v>
      </c>
      <c r="K13416" s="381">
        <v>0.0</v>
      </c>
      <c r="L13416" s="382">
        <v>1.0</v>
      </c>
    </row>
    <row r="13417">
      <c r="A13417" s="380" t="s">
        <v>14291</v>
      </c>
      <c r="B13417" s="380" t="str">
        <f>IFERROR(__xludf.DUMMYFUNCTION("""COMPUTED_VALUE"""),"Enf Enfriador Aceite Caja Eagle Reparado")</f>
        <v>Enf Enfriador Aceite Caja Eagle Reparado</v>
      </c>
      <c r="C13417" s="380" t="str">
        <f>IFERROR(__xludf.DUMMYFUNCTION("""COMPUTED_VALUE"""),"70008894")</f>
        <v>70008894</v>
      </c>
      <c r="D13417" s="380" t="s">
        <v>767</v>
      </c>
      <c r="E13417" s="380" t="s">
        <v>786</v>
      </c>
      <c r="F13417" s="380" t="s">
        <v>787</v>
      </c>
      <c r="G13417" s="380" t="s">
        <v>1267</v>
      </c>
      <c r="H13417" s="380" t="s">
        <v>771</v>
      </c>
      <c r="I13417" s="380" t="s">
        <v>788</v>
      </c>
      <c r="J13417" s="380" t="s">
        <v>773</v>
      </c>
      <c r="K13417" s="381">
        <v>0.0</v>
      </c>
      <c r="L13417" s="382">
        <v>1.0</v>
      </c>
    </row>
    <row r="13418">
      <c r="A13418" s="380" t="s">
        <v>14292</v>
      </c>
      <c r="B13418" s="380" t="str">
        <f>IFERROR(__xludf.DUMMYFUNCTION("""COMPUTED_VALUE"""),"Retenedor Trasero Caja Volks 4300203")</f>
        <v>Retenedor Trasero Caja Volks 4300203</v>
      </c>
      <c r="C13418" s="380" t="str">
        <f>IFERROR(__xludf.DUMMYFUNCTION("""COMPUTED_VALUE"""),"70008895")</f>
        <v>70008895</v>
      </c>
      <c r="D13418" s="380" t="s">
        <v>767</v>
      </c>
      <c r="E13418" s="380" t="s">
        <v>786</v>
      </c>
      <c r="F13418" s="380" t="s">
        <v>928</v>
      </c>
      <c r="G13418" s="380" t="s">
        <v>1267</v>
      </c>
      <c r="H13418" s="380" t="s">
        <v>771</v>
      </c>
      <c r="I13418" s="380" t="s">
        <v>788</v>
      </c>
      <c r="J13418" s="380" t="s">
        <v>773</v>
      </c>
      <c r="K13418" s="381">
        <v>0.0</v>
      </c>
      <c r="L13418" s="382">
        <v>1.0</v>
      </c>
    </row>
    <row r="13419">
      <c r="A13419" s="380" t="s">
        <v>14293</v>
      </c>
      <c r="B13419" s="380" t="str">
        <f>IFERROR(__xludf.DUMMYFUNCTION("""COMPUTED_VALUE"""),"EMP BMB DIR Hi Internatio 591597c2")</f>
        <v>EMP BMB DIR Hi Internatio 591597c2</v>
      </c>
      <c r="C13419" s="380" t="str">
        <f>IFERROR(__xludf.DUMMYFUNCTION("""COMPUTED_VALUE"""),"70008896")</f>
        <v>70008896</v>
      </c>
      <c r="D13419" s="380" t="s">
        <v>767</v>
      </c>
      <c r="E13419" s="380" t="s">
        <v>786</v>
      </c>
      <c r="F13419" s="380" t="s">
        <v>787</v>
      </c>
      <c r="G13419" s="380" t="s">
        <v>1267</v>
      </c>
      <c r="H13419" s="380" t="s">
        <v>771</v>
      </c>
      <c r="I13419" s="380" t="s">
        <v>788</v>
      </c>
      <c r="J13419" s="380" t="s">
        <v>773</v>
      </c>
      <c r="K13419" s="381">
        <v>0.0</v>
      </c>
      <c r="L13419" s="382">
        <v>1.0</v>
      </c>
    </row>
    <row r="13420">
      <c r="A13420" s="380" t="s">
        <v>14294</v>
      </c>
      <c r="B13420" s="380" t="str">
        <f>IFERROR(__xludf.DUMMYFUNCTION("""COMPUTED_VALUE"""),"Motor Arranque Npr Reparado")</f>
        <v>Motor Arranque Npr Reparado</v>
      </c>
      <c r="C13420" s="380" t="str">
        <f>IFERROR(__xludf.DUMMYFUNCTION("""COMPUTED_VALUE"""),"70008897")</f>
        <v>70008897</v>
      </c>
      <c r="D13420" s="380" t="s">
        <v>767</v>
      </c>
      <c r="E13420" s="380" t="s">
        <v>786</v>
      </c>
      <c r="F13420" s="380" t="s">
        <v>998</v>
      </c>
      <c r="G13420" s="380" t="s">
        <v>1267</v>
      </c>
      <c r="H13420" s="380" t="s">
        <v>771</v>
      </c>
      <c r="I13420" s="380" t="s">
        <v>788</v>
      </c>
      <c r="J13420" s="380" t="s">
        <v>773</v>
      </c>
      <c r="K13420" s="381">
        <v>0.0</v>
      </c>
      <c r="L13420" s="382">
        <v>1.0</v>
      </c>
    </row>
    <row r="13421">
      <c r="A13421" s="380" t="s">
        <v>14295</v>
      </c>
      <c r="B13421" s="380" t="str">
        <f>IFERROR(__xludf.DUMMYFUNCTION("""COMPUTED_VALUE"""),"Bomba Agua Nkr Reparado")</f>
        <v>Bomba Agua Nkr Reparado</v>
      </c>
      <c r="C13421" s="380" t="str">
        <f>IFERROR(__xludf.DUMMYFUNCTION("""COMPUTED_VALUE"""),"70008898")</f>
        <v>70008898</v>
      </c>
      <c r="D13421" s="380" t="s">
        <v>767</v>
      </c>
      <c r="E13421" s="380" t="s">
        <v>786</v>
      </c>
      <c r="F13421" s="380" t="s">
        <v>787</v>
      </c>
      <c r="G13421" s="380" t="s">
        <v>1267</v>
      </c>
      <c r="H13421" s="380" t="s">
        <v>771</v>
      </c>
      <c r="I13421" s="380" t="s">
        <v>788</v>
      </c>
      <c r="J13421" s="380" t="s">
        <v>773</v>
      </c>
      <c r="K13421" s="381">
        <v>0.0</v>
      </c>
      <c r="L13421" s="382">
        <v>1.0</v>
      </c>
    </row>
    <row r="13422">
      <c r="A13422" s="380" t="s">
        <v>14296</v>
      </c>
      <c r="B13422" s="380" t="str">
        <f>IFERROR(__xludf.DUMMYFUNCTION("""COMPUTED_VALUE"""),"Post Enfriador Motor Foton Reparado")</f>
        <v>Post Enfriador Motor Foton Reparado</v>
      </c>
      <c r="C13422" s="380" t="str">
        <f>IFERROR(__xludf.DUMMYFUNCTION("""COMPUTED_VALUE"""),"70008899")</f>
        <v>70008899</v>
      </c>
      <c r="D13422" s="380" t="s">
        <v>767</v>
      </c>
      <c r="E13422" s="380" t="s">
        <v>786</v>
      </c>
      <c r="F13422" s="380" t="s">
        <v>787</v>
      </c>
      <c r="G13422" s="380" t="s">
        <v>1267</v>
      </c>
      <c r="H13422" s="380" t="s">
        <v>771</v>
      </c>
      <c r="I13422" s="380" t="s">
        <v>788</v>
      </c>
      <c r="J13422" s="380" t="s">
        <v>773</v>
      </c>
      <c r="K13422" s="381">
        <v>0.0</v>
      </c>
      <c r="L13422" s="382">
        <v>1.0</v>
      </c>
    </row>
    <row r="13423">
      <c r="A13423" s="380" t="s">
        <v>14297</v>
      </c>
      <c r="B13423" s="380" t="str">
        <f>IFERROR(__xludf.DUMMYFUNCTION("""COMPUTED_VALUE"""),"Ducto Calefact Ventilacion Nk 8972516290")</f>
        <v>Ducto Calefact Ventilacion Nk 8972516290</v>
      </c>
      <c r="C13423" s="380" t="str">
        <f>IFERROR(__xludf.DUMMYFUNCTION("""COMPUTED_VALUE"""),"70008900")</f>
        <v>70008900</v>
      </c>
      <c r="D13423" s="380" t="s">
        <v>767</v>
      </c>
      <c r="E13423" s="380" t="s">
        <v>786</v>
      </c>
      <c r="F13423" s="380" t="s">
        <v>792</v>
      </c>
      <c r="G13423" s="380" t="s">
        <v>1267</v>
      </c>
      <c r="H13423" s="380" t="s">
        <v>771</v>
      </c>
      <c r="I13423" s="380" t="s">
        <v>788</v>
      </c>
      <c r="J13423" s="380" t="s">
        <v>773</v>
      </c>
      <c r="K13423" s="381">
        <v>0.0</v>
      </c>
      <c r="L13423" s="382">
        <v>1.0</v>
      </c>
    </row>
    <row r="13424">
      <c r="A13424" s="380" t="s">
        <v>14298</v>
      </c>
      <c r="B13424" s="380" t="str">
        <f>IFERROR(__xludf.DUMMYFUNCTION("""COMPUTED_VALUE"""),"Inyector Motor Nkr Reparado")</f>
        <v>Inyector Motor Nkr Reparado</v>
      </c>
      <c r="C13424" s="380" t="str">
        <f>IFERROR(__xludf.DUMMYFUNCTION("""COMPUTED_VALUE"""),"70008901")</f>
        <v>70008901</v>
      </c>
      <c r="D13424" s="380" t="s">
        <v>767</v>
      </c>
      <c r="E13424" s="380" t="s">
        <v>786</v>
      </c>
      <c r="F13424" s="380" t="s">
        <v>787</v>
      </c>
      <c r="G13424" s="380" t="s">
        <v>1267</v>
      </c>
      <c r="H13424" s="380" t="s">
        <v>771</v>
      </c>
      <c r="I13424" s="380" t="s">
        <v>788</v>
      </c>
      <c r="J13424" s="380" t="s">
        <v>773</v>
      </c>
      <c r="K13424" s="381">
        <v>0.0</v>
      </c>
      <c r="L13424" s="382">
        <v>1.0</v>
      </c>
    </row>
    <row r="13425">
      <c r="A13425" s="380" t="s">
        <v>14299</v>
      </c>
      <c r="B13425" s="380" t="str">
        <f>IFERROR(__xludf.DUMMYFUNCTION("""COMPUTED_VALUE"""),"Juego Pastas Freno Del. SZ 5930013830")</f>
        <v>Juego Pastas Freno Del. SZ 5930013830</v>
      </c>
      <c r="C13425" s="380" t="str">
        <f>IFERROR(__xludf.DUMMYFUNCTION("""COMPUTED_VALUE"""),"70008902")</f>
        <v>70008902</v>
      </c>
      <c r="D13425" s="380" t="s">
        <v>767</v>
      </c>
      <c r="E13425" s="380" t="s">
        <v>786</v>
      </c>
      <c r="F13425" s="380" t="s">
        <v>1017</v>
      </c>
      <c r="G13425" s="380" t="s">
        <v>1267</v>
      </c>
      <c r="H13425" s="380" t="s">
        <v>771</v>
      </c>
      <c r="I13425" s="380" t="s">
        <v>788</v>
      </c>
      <c r="J13425" s="380" t="s">
        <v>773</v>
      </c>
      <c r="K13425" s="381">
        <v>0.0</v>
      </c>
      <c r="L13425" s="382">
        <v>1.0</v>
      </c>
    </row>
    <row r="13426">
      <c r="A13426" s="380" t="s">
        <v>14300</v>
      </c>
      <c r="B13426" s="380" t="str">
        <f>IFERROR(__xludf.DUMMYFUNCTION("""COMPUTED_VALUE"""),"Amortiguador Trasero Nkr Ii 8972536510")</f>
        <v>Amortiguador Trasero Nkr Ii 8972536510</v>
      </c>
      <c r="C13426" s="380" t="str">
        <f>IFERROR(__xludf.DUMMYFUNCTION("""COMPUTED_VALUE"""),"70008903")</f>
        <v>70008903</v>
      </c>
      <c r="D13426" s="380" t="s">
        <v>767</v>
      </c>
      <c r="E13426" s="380" t="s">
        <v>786</v>
      </c>
      <c r="F13426" s="380" t="s">
        <v>1039</v>
      </c>
      <c r="G13426" s="380" t="s">
        <v>1267</v>
      </c>
      <c r="H13426" s="380" t="s">
        <v>771</v>
      </c>
      <c r="I13426" s="380" t="s">
        <v>788</v>
      </c>
      <c r="J13426" s="380" t="s">
        <v>773</v>
      </c>
      <c r="K13426" s="381">
        <v>0.0</v>
      </c>
      <c r="L13426" s="382">
        <v>1.0</v>
      </c>
    </row>
    <row r="13427">
      <c r="A13427" s="380" t="s">
        <v>14301</v>
      </c>
      <c r="B13427" s="380" t="str">
        <f>IFERROR(__xludf.DUMMYFUNCTION("""COMPUTED_VALUE"""),"Hoja Resorte Delantera Npr 22916/5")</f>
        <v>Hoja Resorte Delantera Npr 22916/5</v>
      </c>
      <c r="C13427" s="380" t="str">
        <f>IFERROR(__xludf.DUMMYFUNCTION("""COMPUTED_VALUE"""),"70008904")</f>
        <v>70008904</v>
      </c>
      <c r="D13427" s="380" t="s">
        <v>767</v>
      </c>
      <c r="E13427" s="380" t="s">
        <v>786</v>
      </c>
      <c r="F13427" s="380" t="s">
        <v>1039</v>
      </c>
      <c r="G13427" s="380" t="s">
        <v>1267</v>
      </c>
      <c r="H13427" s="380" t="s">
        <v>771</v>
      </c>
      <c r="I13427" s="380" t="s">
        <v>788</v>
      </c>
      <c r="J13427" s="380" t="s">
        <v>773</v>
      </c>
      <c r="K13427" s="381">
        <v>0.0</v>
      </c>
      <c r="L13427" s="382">
        <v>1.0</v>
      </c>
    </row>
    <row r="13428">
      <c r="A13428" s="380" t="s">
        <v>14302</v>
      </c>
      <c r="B13428" s="380" t="str">
        <f>IFERROR(__xludf.DUMMYFUNCTION("""COMPUTED_VALUE"""),"Juego Pastas Freno Tras. Suzu 6910032830")</f>
        <v>Juego Pastas Freno Tras. Suzu 6910032830</v>
      </c>
      <c r="C13428" s="380" t="str">
        <f>IFERROR(__xludf.DUMMYFUNCTION("""COMPUTED_VALUE"""),"70008905")</f>
        <v>70008905</v>
      </c>
      <c r="D13428" s="380" t="s">
        <v>767</v>
      </c>
      <c r="E13428" s="380" t="s">
        <v>786</v>
      </c>
      <c r="F13428" s="380" t="s">
        <v>1017</v>
      </c>
      <c r="G13428" s="380" t="s">
        <v>1267</v>
      </c>
      <c r="H13428" s="380" t="s">
        <v>771</v>
      </c>
      <c r="I13428" s="380" t="s">
        <v>788</v>
      </c>
      <c r="J13428" s="380" t="s">
        <v>773</v>
      </c>
      <c r="K13428" s="381">
        <v>0.0</v>
      </c>
      <c r="L13428" s="382">
        <v>1.0</v>
      </c>
    </row>
    <row r="13429">
      <c r="A13429" s="380" t="s">
        <v>14303</v>
      </c>
      <c r="B13429" s="380" t="str">
        <f>IFERROR(__xludf.DUMMYFUNCTION("""COMPUTED_VALUE"""),"Piston (100.00mm)Suzuki Dr 650")</f>
        <v>Piston (100.00mm)Suzuki Dr 650</v>
      </c>
      <c r="C13429" s="380" t="str">
        <f>IFERROR(__xludf.DUMMYFUNCTION("""COMPUTED_VALUE"""),"70008906")</f>
        <v>70008906</v>
      </c>
      <c r="D13429" s="380" t="s">
        <v>767</v>
      </c>
      <c r="E13429" s="380" t="s">
        <v>786</v>
      </c>
      <c r="F13429" s="380" t="s">
        <v>787</v>
      </c>
      <c r="G13429" s="380" t="s">
        <v>1267</v>
      </c>
      <c r="H13429" s="380" t="s">
        <v>771</v>
      </c>
      <c r="I13429" s="380" t="s">
        <v>788</v>
      </c>
      <c r="J13429" s="380" t="s">
        <v>773</v>
      </c>
      <c r="K13429" s="381">
        <v>0.0</v>
      </c>
      <c r="L13429" s="382">
        <v>1.0</v>
      </c>
    </row>
    <row r="13430">
      <c r="A13430" s="380" t="s">
        <v>14304</v>
      </c>
      <c r="B13430" s="380" t="str">
        <f>IFERROR(__xludf.DUMMYFUNCTION("""COMPUTED_VALUE"""),"Sello Aceite Valv.Culata Nkri 8971203070")</f>
        <v>Sello Aceite Valv.Culata Nkri 8971203070</v>
      </c>
      <c r="C13430" s="380" t="str">
        <f>IFERROR(__xludf.DUMMYFUNCTION("""COMPUTED_VALUE"""),"70008907")</f>
        <v>70008907</v>
      </c>
      <c r="D13430" s="380" t="s">
        <v>767</v>
      </c>
      <c r="E13430" s="380" t="s">
        <v>786</v>
      </c>
      <c r="F13430" s="380" t="s">
        <v>787</v>
      </c>
      <c r="G13430" s="380" t="s">
        <v>1267</v>
      </c>
      <c r="H13430" s="380" t="s">
        <v>771</v>
      </c>
      <c r="I13430" s="380" t="s">
        <v>788</v>
      </c>
      <c r="J13430" s="380" t="s">
        <v>773</v>
      </c>
      <c r="K13430" s="381">
        <v>16660.0</v>
      </c>
      <c r="L13430" s="382">
        <v>1.0</v>
      </c>
    </row>
    <row r="13431">
      <c r="A13431" s="380" t="s">
        <v>14305</v>
      </c>
      <c r="B13431" s="380" t="str">
        <f>IFERROR(__xludf.DUMMYFUNCTION("""COMPUTED_VALUE"""),"Culata Motor Nkr Reparado")</f>
        <v>Culata Motor Nkr Reparado</v>
      </c>
      <c r="C13431" s="380" t="str">
        <f>IFERROR(__xludf.DUMMYFUNCTION("""COMPUTED_VALUE"""),"70008908")</f>
        <v>70008908</v>
      </c>
      <c r="D13431" s="380" t="s">
        <v>767</v>
      </c>
      <c r="E13431" s="380" t="s">
        <v>786</v>
      </c>
      <c r="F13431" s="380" t="s">
        <v>787</v>
      </c>
      <c r="G13431" s="380" t="s">
        <v>1267</v>
      </c>
      <c r="H13431" s="380" t="s">
        <v>771</v>
      </c>
      <c r="I13431" s="380" t="s">
        <v>788</v>
      </c>
      <c r="J13431" s="380" t="s">
        <v>773</v>
      </c>
      <c r="K13431" s="381">
        <v>0.0</v>
      </c>
      <c r="L13431" s="382">
        <v>1.0</v>
      </c>
    </row>
    <row r="13432">
      <c r="A13432" s="380" t="s">
        <v>14306</v>
      </c>
      <c r="B13432" s="380" t="str">
        <f>IFERROR(__xludf.DUMMYFUNCTION("""COMPUTED_VALUE"""),"Disco Embrague Nhr 8970706570")</f>
        <v>Disco Embrague Nhr 8970706570</v>
      </c>
      <c r="C13432" s="380" t="str">
        <f>IFERROR(__xludf.DUMMYFUNCTION("""COMPUTED_VALUE"""),"70008909")</f>
        <v>70008909</v>
      </c>
      <c r="D13432" s="380" t="s">
        <v>767</v>
      </c>
      <c r="E13432" s="380" t="s">
        <v>786</v>
      </c>
      <c r="F13432" s="380" t="s">
        <v>5661</v>
      </c>
      <c r="G13432" s="380" t="s">
        <v>1267</v>
      </c>
      <c r="H13432" s="380" t="s">
        <v>771</v>
      </c>
      <c r="I13432" s="380" t="s">
        <v>788</v>
      </c>
      <c r="J13432" s="380" t="s">
        <v>773</v>
      </c>
      <c r="K13432" s="381">
        <v>0.0</v>
      </c>
      <c r="L13432" s="382">
        <v>1.0</v>
      </c>
    </row>
    <row r="13433">
      <c r="A13433" s="380" t="s">
        <v>14307</v>
      </c>
      <c r="B13433" s="380" t="str">
        <f>IFERROR(__xludf.DUMMYFUNCTION("""COMPUTED_VALUE"""),"Valvula Moto Xl200 Honda")</f>
        <v>Valvula Moto Xl200 Honda</v>
      </c>
      <c r="C13433" s="380" t="str">
        <f>IFERROR(__xludf.DUMMYFUNCTION("""COMPUTED_VALUE"""),"70008910")</f>
        <v>70008910</v>
      </c>
      <c r="D13433" s="380" t="s">
        <v>767</v>
      </c>
      <c r="E13433" s="380" t="s">
        <v>786</v>
      </c>
      <c r="F13433" s="380" t="s">
        <v>787</v>
      </c>
      <c r="G13433" s="380" t="s">
        <v>1267</v>
      </c>
      <c r="H13433" s="380" t="s">
        <v>771</v>
      </c>
      <c r="I13433" s="380" t="s">
        <v>788</v>
      </c>
      <c r="J13433" s="380" t="s">
        <v>773</v>
      </c>
      <c r="K13433" s="381">
        <v>0.0</v>
      </c>
      <c r="L13433" s="382">
        <v>1.0</v>
      </c>
    </row>
    <row r="13434">
      <c r="A13434" s="380" t="s">
        <v>14308</v>
      </c>
      <c r="B13434" s="380" t="str">
        <f>IFERROR(__xludf.DUMMYFUNCTION("""COMPUTED_VALUE"""),"Cacho Direccion Hi4700 Reparado")</f>
        <v>Cacho Direccion Hi4700 Reparado</v>
      </c>
      <c r="C13434" s="380" t="str">
        <f>IFERROR(__xludf.DUMMYFUNCTION("""COMPUTED_VALUE"""),"70008911")</f>
        <v>70008911</v>
      </c>
      <c r="D13434" s="380" t="s">
        <v>767</v>
      </c>
      <c r="E13434" s="380" t="s">
        <v>786</v>
      </c>
      <c r="F13434" s="380" t="s">
        <v>1020</v>
      </c>
      <c r="G13434" s="380" t="s">
        <v>1267</v>
      </c>
      <c r="H13434" s="380" t="s">
        <v>771</v>
      </c>
      <c r="I13434" s="380" t="s">
        <v>788</v>
      </c>
      <c r="J13434" s="380" t="s">
        <v>773</v>
      </c>
      <c r="K13434" s="381">
        <v>0.0</v>
      </c>
      <c r="L13434" s="382">
        <v>1.0</v>
      </c>
    </row>
    <row r="13435">
      <c r="A13435" s="380" t="s">
        <v>14309</v>
      </c>
      <c r="B13435" s="380" t="str">
        <f>IFERROR(__xludf.DUMMYFUNCTION("""COMPUTED_VALUE"""),"Bloque Motor Npr Reparado")</f>
        <v>Bloque Motor Npr Reparado</v>
      </c>
      <c r="C13435" s="380" t="str">
        <f>IFERROR(__xludf.DUMMYFUNCTION("""COMPUTED_VALUE"""),"70008912")</f>
        <v>70008912</v>
      </c>
      <c r="D13435" s="380" t="s">
        <v>767</v>
      </c>
      <c r="E13435" s="380" t="s">
        <v>786</v>
      </c>
      <c r="F13435" s="380" t="s">
        <v>787</v>
      </c>
      <c r="G13435" s="380" t="s">
        <v>1267</v>
      </c>
      <c r="H13435" s="380" t="s">
        <v>771</v>
      </c>
      <c r="I13435" s="380" t="s">
        <v>788</v>
      </c>
      <c r="J13435" s="380" t="s">
        <v>773</v>
      </c>
      <c r="K13435" s="381">
        <v>0.0</v>
      </c>
      <c r="L13435" s="382">
        <v>1.0</v>
      </c>
    </row>
    <row r="13436">
      <c r="A13436" s="380" t="s">
        <v>14310</v>
      </c>
      <c r="B13436" s="380" t="str">
        <f>IFERROR(__xludf.DUMMYFUNCTION("""COMPUTED_VALUE"""),"VALV Selenoide Fren Mt I Cummins 3800942")</f>
        <v>VALV Selenoide Fren Mt I Cummins 3800942</v>
      </c>
      <c r="C13436" s="380" t="str">
        <f>IFERROR(__xludf.DUMMYFUNCTION("""COMPUTED_VALUE"""),"70008913")</f>
        <v>70008913</v>
      </c>
      <c r="D13436" s="380" t="s">
        <v>767</v>
      </c>
      <c r="E13436" s="380" t="s">
        <v>786</v>
      </c>
      <c r="F13436" s="380" t="s">
        <v>998</v>
      </c>
      <c r="G13436" s="380" t="s">
        <v>1267</v>
      </c>
      <c r="H13436" s="380" t="s">
        <v>771</v>
      </c>
      <c r="I13436" s="380" t="s">
        <v>788</v>
      </c>
      <c r="J13436" s="380" t="s">
        <v>773</v>
      </c>
      <c r="K13436" s="381">
        <v>365340.0</v>
      </c>
      <c r="L13436" s="382">
        <v>1.0</v>
      </c>
    </row>
    <row r="13437">
      <c r="A13437" s="380" t="s">
        <v>14311</v>
      </c>
      <c r="B13437" s="380" t="str">
        <f>IFERROR(__xludf.DUMMYFUNCTION("""COMPUTED_VALUE"""),"Bomba Inyeccion Nkr Iii Reparado")</f>
        <v>Bomba Inyeccion Nkr Iii Reparado</v>
      </c>
      <c r="C13437" s="380" t="str">
        <f>IFERROR(__xludf.DUMMYFUNCTION("""COMPUTED_VALUE"""),"70008914")</f>
        <v>70008914</v>
      </c>
      <c r="D13437" s="380" t="s">
        <v>767</v>
      </c>
      <c r="E13437" s="380" t="s">
        <v>786</v>
      </c>
      <c r="F13437" s="380" t="s">
        <v>787</v>
      </c>
      <c r="G13437" s="380" t="s">
        <v>1267</v>
      </c>
      <c r="H13437" s="380" t="s">
        <v>771</v>
      </c>
      <c r="I13437" s="380" t="s">
        <v>788</v>
      </c>
      <c r="J13437" s="380" t="s">
        <v>773</v>
      </c>
      <c r="K13437" s="381">
        <v>0.0</v>
      </c>
      <c r="L13437" s="382">
        <v>1.0</v>
      </c>
    </row>
    <row r="13438">
      <c r="A13438" s="380" t="s">
        <v>14312</v>
      </c>
      <c r="B13438" s="380" t="str">
        <f>IFERROR(__xludf.DUMMYFUNCTION("""COMPUTED_VALUE"""),"Gua Guaya Selectora Cambios Nkr Reparado")</f>
        <v>Gua Guaya Selectora Cambios Nkr Reparado</v>
      </c>
      <c r="C13438" s="380" t="str">
        <f>IFERROR(__xludf.DUMMYFUNCTION("""COMPUTED_VALUE"""),"70008915")</f>
        <v>70008915</v>
      </c>
      <c r="D13438" s="380" t="s">
        <v>767</v>
      </c>
      <c r="E13438" s="380" t="s">
        <v>786</v>
      </c>
      <c r="F13438" s="380" t="s">
        <v>787</v>
      </c>
      <c r="G13438" s="380" t="s">
        <v>1267</v>
      </c>
      <c r="H13438" s="380" t="s">
        <v>771</v>
      </c>
      <c r="I13438" s="380" t="s">
        <v>788</v>
      </c>
      <c r="J13438" s="380" t="s">
        <v>773</v>
      </c>
      <c r="K13438" s="381">
        <v>0.0</v>
      </c>
      <c r="L13438" s="382">
        <v>1.0</v>
      </c>
    </row>
    <row r="13439">
      <c r="A13439" s="380" t="s">
        <v>14313</v>
      </c>
      <c r="B13439" s="380" t="str">
        <f>IFERROR(__xludf.DUMMYFUNCTION("""COMPUTED_VALUE"""),"Capo Kenworth Reparado")</f>
        <v>Capo Kenworth Reparado</v>
      </c>
      <c r="C13439" s="380" t="str">
        <f>IFERROR(__xludf.DUMMYFUNCTION("""COMPUTED_VALUE"""),"70008916")</f>
        <v>70008916</v>
      </c>
      <c r="D13439" s="380" t="s">
        <v>767</v>
      </c>
      <c r="E13439" s="380" t="s">
        <v>786</v>
      </c>
      <c r="F13439" s="380" t="s">
        <v>792</v>
      </c>
      <c r="G13439" s="380" t="s">
        <v>1267</v>
      </c>
      <c r="H13439" s="380" t="s">
        <v>771</v>
      </c>
      <c r="I13439" s="380" t="s">
        <v>788</v>
      </c>
      <c r="J13439" s="380" t="s">
        <v>773</v>
      </c>
      <c r="K13439" s="381">
        <v>0.0</v>
      </c>
      <c r="L13439" s="382">
        <v>1.0</v>
      </c>
    </row>
    <row r="13440">
      <c r="A13440" s="380" t="s">
        <v>14314</v>
      </c>
      <c r="B13440" s="380" t="str">
        <f>IFERROR(__xludf.DUMMYFUNCTION("""COMPUTED_VALUE"""),"Buje BRR Estabilizadora Tras 6006014059")</f>
        <v>Buje BRR Estabilizadora Tras 6006014059</v>
      </c>
      <c r="C13440" s="380" t="str">
        <f>IFERROR(__xludf.DUMMYFUNCTION("""COMPUTED_VALUE"""),"70008917")</f>
        <v>70008917</v>
      </c>
      <c r="D13440" s="380" t="s">
        <v>767</v>
      </c>
      <c r="E13440" s="380" t="s">
        <v>786</v>
      </c>
      <c r="F13440" s="380" t="s">
        <v>1039</v>
      </c>
      <c r="G13440" s="380" t="s">
        <v>1267</v>
      </c>
      <c r="H13440" s="380" t="s">
        <v>771</v>
      </c>
      <c r="I13440" s="380" t="s">
        <v>788</v>
      </c>
      <c r="J13440" s="380" t="s">
        <v>773</v>
      </c>
      <c r="K13440" s="381">
        <v>0.0</v>
      </c>
      <c r="L13440" s="382">
        <v>1.0</v>
      </c>
    </row>
    <row r="13441">
      <c r="A13441" s="380" t="s">
        <v>14315</v>
      </c>
      <c r="B13441" s="380" t="str">
        <f>IFERROR(__xludf.DUMMYFUNCTION("""COMPUTED_VALUE"""),"Correa Ventilador 8pk 1180 N")</f>
        <v>Correa Ventilador 8pk 1180 N</v>
      </c>
      <c r="C13441" s="380" t="str">
        <f>IFERROR(__xludf.DUMMYFUNCTION("""COMPUTED_VALUE"""),"70008918")</f>
        <v>70008918</v>
      </c>
      <c r="D13441" s="380" t="s">
        <v>767</v>
      </c>
      <c r="E13441" s="380" t="s">
        <v>786</v>
      </c>
      <c r="F13441" s="380" t="s">
        <v>787</v>
      </c>
      <c r="G13441" s="380" t="s">
        <v>1267</v>
      </c>
      <c r="H13441" s="380" t="s">
        <v>771</v>
      </c>
      <c r="I13441" s="380" t="s">
        <v>788</v>
      </c>
      <c r="J13441" s="380" t="s">
        <v>773</v>
      </c>
      <c r="K13441" s="381">
        <v>0.0</v>
      </c>
      <c r="L13441" s="382">
        <v>1.0</v>
      </c>
    </row>
    <row r="13442">
      <c r="A13442" s="380" t="s">
        <v>14316</v>
      </c>
      <c r="B13442" s="380" t="str">
        <f>IFERROR(__xludf.DUMMYFUNCTION("""COMPUTED_VALUE"""),"Telescopico Del. Dir. Suzuki Fr80")</f>
        <v>Telescopico Del. Dir. Suzuki Fr80</v>
      </c>
      <c r="C13442" s="380" t="str">
        <f>IFERROR(__xludf.DUMMYFUNCTION("""COMPUTED_VALUE"""),"70008919")</f>
        <v>70008919</v>
      </c>
      <c r="D13442" s="380" t="s">
        <v>767</v>
      </c>
      <c r="E13442" s="380" t="s">
        <v>786</v>
      </c>
      <c r="F13442" s="380" t="s">
        <v>1020</v>
      </c>
      <c r="G13442" s="380" t="s">
        <v>1267</v>
      </c>
      <c r="H13442" s="380" t="s">
        <v>771</v>
      </c>
      <c r="I13442" s="380" t="s">
        <v>788</v>
      </c>
      <c r="J13442" s="380" t="s">
        <v>773</v>
      </c>
      <c r="K13442" s="381">
        <v>0.0</v>
      </c>
      <c r="L13442" s="382">
        <v>1.0</v>
      </c>
    </row>
    <row r="13443">
      <c r="A13443" s="380" t="s">
        <v>14317</v>
      </c>
      <c r="B13443" s="380" t="str">
        <f>IFERROR(__xludf.DUMMYFUNCTION("""COMPUTED_VALUE"""),"Empaque Tapa Embrague Suzuki 11482-4870")</f>
        <v>Empaque Tapa Embrague Suzuki 11482-4870</v>
      </c>
      <c r="C13443" s="380" t="str">
        <f>IFERROR(__xludf.DUMMYFUNCTION("""COMPUTED_VALUE"""),"70008920")</f>
        <v>70008920</v>
      </c>
      <c r="D13443" s="380" t="s">
        <v>767</v>
      </c>
      <c r="E13443" s="380" t="s">
        <v>786</v>
      </c>
      <c r="F13443" s="380" t="s">
        <v>5661</v>
      </c>
      <c r="G13443" s="380" t="s">
        <v>1267</v>
      </c>
      <c r="H13443" s="380" t="s">
        <v>771</v>
      </c>
      <c r="I13443" s="380" t="s">
        <v>788</v>
      </c>
      <c r="J13443" s="380" t="s">
        <v>773</v>
      </c>
      <c r="K13443" s="381">
        <v>0.0</v>
      </c>
      <c r="L13443" s="382">
        <v>1.0</v>
      </c>
    </row>
    <row r="13444">
      <c r="A13444" s="380" t="s">
        <v>14318</v>
      </c>
      <c r="B13444" s="380" t="str">
        <f>IFERROR(__xludf.DUMMYFUNCTION("""COMPUTED_VALUE"""),"Turbo Alimentador Nkr Reparado")</f>
        <v>Turbo Alimentador Nkr Reparado</v>
      </c>
      <c r="C13444" s="380" t="str">
        <f>IFERROR(__xludf.DUMMYFUNCTION("""COMPUTED_VALUE"""),"70008921")</f>
        <v>70008921</v>
      </c>
      <c r="D13444" s="380" t="s">
        <v>767</v>
      </c>
      <c r="E13444" s="380" t="s">
        <v>786</v>
      </c>
      <c r="F13444" s="380" t="s">
        <v>787</v>
      </c>
      <c r="G13444" s="380" t="s">
        <v>1267</v>
      </c>
      <c r="H13444" s="380" t="s">
        <v>771</v>
      </c>
      <c r="I13444" s="380" t="s">
        <v>788</v>
      </c>
      <c r="J13444" s="380" t="s">
        <v>773</v>
      </c>
      <c r="K13444" s="381">
        <v>0.0</v>
      </c>
      <c r="L13444" s="382">
        <v>1.0</v>
      </c>
    </row>
    <row r="13445">
      <c r="A13445" s="380" t="s">
        <v>14319</v>
      </c>
      <c r="B13445" s="380" t="str">
        <f>IFERROR(__xludf.DUMMYFUNCTION("""COMPUTED_VALUE"""),"EM Empaque Conector Exosto Suzuki Fr 100")</f>
        <v>EM Empaque Conector Exosto Suzuki Fr 100</v>
      </c>
      <c r="C13445" s="380" t="str">
        <f>IFERROR(__xludf.DUMMYFUNCTION("""COMPUTED_VALUE"""),"70008922")</f>
        <v>70008922</v>
      </c>
      <c r="D13445" s="380" t="s">
        <v>767</v>
      </c>
      <c r="E13445" s="380" t="s">
        <v>786</v>
      </c>
      <c r="F13445" s="380" t="s">
        <v>787</v>
      </c>
      <c r="G13445" s="380" t="s">
        <v>1267</v>
      </c>
      <c r="H13445" s="380" t="s">
        <v>771</v>
      </c>
      <c r="I13445" s="380" t="s">
        <v>788</v>
      </c>
      <c r="J13445" s="380" t="s">
        <v>773</v>
      </c>
      <c r="K13445" s="381">
        <v>0.0</v>
      </c>
      <c r="L13445" s="382">
        <v>1.0</v>
      </c>
    </row>
    <row r="13446">
      <c r="A13446" s="380" t="s">
        <v>14320</v>
      </c>
      <c r="B13446" s="380" t="str">
        <f>IFERROR(__xludf.DUMMYFUNCTION("""COMPUTED_VALUE"""),"Rodaja Barril Largo 1 1/8")</f>
        <v>Rodaja Barril Largo 1 1/8</v>
      </c>
      <c r="C13446" s="380" t="str">
        <f>IFERROR(__xludf.DUMMYFUNCTION("""COMPUTED_VALUE"""),"70008923")</f>
        <v>70008923</v>
      </c>
      <c r="D13446" s="380" t="s">
        <v>767</v>
      </c>
      <c r="E13446" s="380" t="s">
        <v>786</v>
      </c>
      <c r="F13446" s="380" t="s">
        <v>1017</v>
      </c>
      <c r="G13446" s="380" t="s">
        <v>1267</v>
      </c>
      <c r="H13446" s="380" t="s">
        <v>771</v>
      </c>
      <c r="I13446" s="380" t="s">
        <v>788</v>
      </c>
      <c r="J13446" s="380" t="s">
        <v>773</v>
      </c>
      <c r="K13446" s="381">
        <v>0.0</v>
      </c>
      <c r="L13446" s="382">
        <v>1.0</v>
      </c>
    </row>
    <row r="13447">
      <c r="A13447" s="380" t="s">
        <v>14321</v>
      </c>
      <c r="B13447" s="380" t="str">
        <f>IFERROR(__xludf.DUMMYFUNCTION("""COMPUTED_VALUE"""),"Alternador Npr Reparado")</f>
        <v>Alternador Npr Reparado</v>
      </c>
      <c r="C13447" s="380" t="str">
        <f>IFERROR(__xludf.DUMMYFUNCTION("""COMPUTED_VALUE"""),"70008924")</f>
        <v>70008924</v>
      </c>
      <c r="D13447" s="380" t="s">
        <v>767</v>
      </c>
      <c r="E13447" s="380" t="s">
        <v>786</v>
      </c>
      <c r="F13447" s="380" t="s">
        <v>998</v>
      </c>
      <c r="G13447" s="380" t="s">
        <v>1267</v>
      </c>
      <c r="H13447" s="380" t="s">
        <v>771</v>
      </c>
      <c r="I13447" s="380" t="s">
        <v>788</v>
      </c>
      <c r="J13447" s="380" t="s">
        <v>773</v>
      </c>
      <c r="K13447" s="381">
        <v>0.0</v>
      </c>
      <c r="L13447" s="382">
        <v>1.0</v>
      </c>
    </row>
    <row r="13448">
      <c r="A13448" s="380" t="s">
        <v>14322</v>
      </c>
      <c r="B13448" s="380" t="str">
        <f>IFERROR(__xludf.DUMMYFUNCTION("""COMPUTED_VALUE"""),"Cacho Direccion Volkswagen Reparado")</f>
        <v>Cacho Direccion Volkswagen Reparado</v>
      </c>
      <c r="C13448" s="380" t="str">
        <f>IFERROR(__xludf.DUMMYFUNCTION("""COMPUTED_VALUE"""),"70008925")</f>
        <v>70008925</v>
      </c>
      <c r="D13448" s="380" t="s">
        <v>767</v>
      </c>
      <c r="E13448" s="380" t="s">
        <v>786</v>
      </c>
      <c r="F13448" s="380" t="s">
        <v>1020</v>
      </c>
      <c r="G13448" s="380" t="s">
        <v>1267</v>
      </c>
      <c r="H13448" s="380" t="s">
        <v>771</v>
      </c>
      <c r="I13448" s="380" t="s">
        <v>788</v>
      </c>
      <c r="J13448" s="380" t="s">
        <v>773</v>
      </c>
      <c r="K13448" s="381">
        <v>0.0</v>
      </c>
      <c r="L13448" s="382">
        <v>1.0</v>
      </c>
    </row>
    <row r="13449">
      <c r="A13449" s="380" t="s">
        <v>14323</v>
      </c>
      <c r="B13449" s="380" t="str">
        <f>IFERROR(__xludf.DUMMYFUNCTION("""COMPUTED_VALUE"""),"Complemento Soporte Motor Del. 1664726c2")</f>
        <v>Complemento Soporte Motor Del. 1664726c2</v>
      </c>
      <c r="C13449" s="380" t="str">
        <f>IFERROR(__xludf.DUMMYFUNCTION("""COMPUTED_VALUE"""),"70008926")</f>
        <v>70008926</v>
      </c>
      <c r="D13449" s="380" t="s">
        <v>767</v>
      </c>
      <c r="E13449" s="380" t="s">
        <v>786</v>
      </c>
      <c r="F13449" s="380" t="s">
        <v>787</v>
      </c>
      <c r="G13449" s="380" t="s">
        <v>1267</v>
      </c>
      <c r="H13449" s="380" t="s">
        <v>771</v>
      </c>
      <c r="I13449" s="380" t="s">
        <v>788</v>
      </c>
      <c r="J13449" s="380" t="s">
        <v>773</v>
      </c>
      <c r="K13449" s="381">
        <v>0.0</v>
      </c>
      <c r="L13449" s="382">
        <v>1.0</v>
      </c>
    </row>
    <row r="13450">
      <c r="A13450" s="380" t="s">
        <v>14324</v>
      </c>
      <c r="B13450" s="380" t="str">
        <f>IFERROR(__xludf.DUMMYFUNCTION("""COMPUTED_VALUE"""),"Escotilla Der. Aire Cabina Eag 2005078c4")</f>
        <v>Escotilla Der. Aire Cabina Eag 2005078c4</v>
      </c>
      <c r="C13450" s="380" t="str">
        <f>IFERROR(__xludf.DUMMYFUNCTION("""COMPUTED_VALUE"""),"70008927")</f>
        <v>70008927</v>
      </c>
      <c r="D13450" s="380" t="s">
        <v>767</v>
      </c>
      <c r="E13450" s="380" t="s">
        <v>786</v>
      </c>
      <c r="F13450" s="380" t="s">
        <v>792</v>
      </c>
      <c r="G13450" s="380" t="s">
        <v>1267</v>
      </c>
      <c r="H13450" s="380" t="s">
        <v>771</v>
      </c>
      <c r="I13450" s="380" t="s">
        <v>788</v>
      </c>
      <c r="J13450" s="380" t="s">
        <v>773</v>
      </c>
      <c r="K13450" s="381">
        <v>0.0</v>
      </c>
      <c r="L13450" s="382">
        <v>1.0</v>
      </c>
    </row>
    <row r="13451">
      <c r="A13451" s="380" t="s">
        <v>14325</v>
      </c>
      <c r="B13451" s="380" t="str">
        <f>IFERROR(__xludf.DUMMYFUNCTION("""COMPUTED_VALUE"""),"Punta Eje Varios Reparado")</f>
        <v>Punta Eje Varios Reparado</v>
      </c>
      <c r="C13451" s="380" t="str">
        <f>IFERROR(__xludf.DUMMYFUNCTION("""COMPUTED_VALUE"""),"70008928")</f>
        <v>70008928</v>
      </c>
      <c r="D13451" s="380" t="s">
        <v>767</v>
      </c>
      <c r="E13451" s="380" t="s">
        <v>786</v>
      </c>
      <c r="F13451" s="380" t="s">
        <v>1020</v>
      </c>
      <c r="G13451" s="380" t="s">
        <v>1267</v>
      </c>
      <c r="H13451" s="380" t="s">
        <v>771</v>
      </c>
      <c r="I13451" s="380" t="s">
        <v>788</v>
      </c>
      <c r="J13451" s="380" t="s">
        <v>773</v>
      </c>
      <c r="K13451" s="381">
        <v>0.0</v>
      </c>
      <c r="L13451" s="382">
        <v>1.0</v>
      </c>
    </row>
    <row r="13452">
      <c r="A13452" s="380" t="s">
        <v>14326</v>
      </c>
      <c r="B13452" s="380" t="str">
        <f>IFERROR(__xludf.DUMMYFUNCTION("""COMPUTED_VALUE"""),"Grapa Delantera 7/8x4x9 Eagle")</f>
        <v>Grapa Delantera 7/8x4x9 Eagle</v>
      </c>
      <c r="C13452" s="380" t="str">
        <f>IFERROR(__xludf.DUMMYFUNCTION("""COMPUTED_VALUE"""),"70008929")</f>
        <v>70008929</v>
      </c>
      <c r="D13452" s="380" t="s">
        <v>767</v>
      </c>
      <c r="E13452" s="380" t="s">
        <v>786</v>
      </c>
      <c r="F13452" s="380" t="s">
        <v>1039</v>
      </c>
      <c r="G13452" s="380" t="s">
        <v>1267</v>
      </c>
      <c r="H13452" s="380" t="s">
        <v>771</v>
      </c>
      <c r="I13452" s="380" t="s">
        <v>788</v>
      </c>
      <c r="J13452" s="380" t="s">
        <v>773</v>
      </c>
      <c r="K13452" s="381">
        <v>0.0</v>
      </c>
      <c r="L13452" s="382">
        <v>1.0</v>
      </c>
    </row>
    <row r="13453">
      <c r="A13453" s="380" t="s">
        <v>14327</v>
      </c>
      <c r="B13453" s="380" t="str">
        <f>IFERROR(__xludf.DUMMYFUNCTION("""COMPUTED_VALUE"""),"Compresor Hi-466 Reparado")</f>
        <v>Compresor Hi-466 Reparado</v>
      </c>
      <c r="C13453" s="380" t="str">
        <f>IFERROR(__xludf.DUMMYFUNCTION("""COMPUTED_VALUE"""),"70008930")</f>
        <v>70008930</v>
      </c>
      <c r="D13453" s="380" t="s">
        <v>767</v>
      </c>
      <c r="E13453" s="380" t="s">
        <v>786</v>
      </c>
      <c r="F13453" s="380" t="s">
        <v>787</v>
      </c>
      <c r="G13453" s="380" t="s">
        <v>1267</v>
      </c>
      <c r="H13453" s="380" t="s">
        <v>771</v>
      </c>
      <c r="I13453" s="380" t="s">
        <v>788</v>
      </c>
      <c r="J13453" s="380" t="s">
        <v>773</v>
      </c>
      <c r="K13453" s="381">
        <v>0.0</v>
      </c>
      <c r="L13453" s="382">
        <v>1.0</v>
      </c>
    </row>
    <row r="13454">
      <c r="A13454" s="380" t="s">
        <v>14328</v>
      </c>
      <c r="B13454" s="380" t="str">
        <f>IFERROR(__xludf.DUMMYFUNCTION("""COMPUTED_VALUE"""),"Farola Del Foton Mv5 Reparado")</f>
        <v>Farola Del Foton Mv5 Reparado</v>
      </c>
      <c r="C13454" s="380" t="str">
        <f>IFERROR(__xludf.DUMMYFUNCTION("""COMPUTED_VALUE"""),"70008931")</f>
        <v>70008931</v>
      </c>
      <c r="D13454" s="380" t="s">
        <v>767</v>
      </c>
      <c r="E13454" s="380" t="s">
        <v>786</v>
      </c>
      <c r="F13454" s="380" t="s">
        <v>998</v>
      </c>
      <c r="G13454" s="380" t="s">
        <v>1267</v>
      </c>
      <c r="H13454" s="380" t="s">
        <v>771</v>
      </c>
      <c r="I13454" s="380" t="s">
        <v>788</v>
      </c>
      <c r="J13454" s="380" t="s">
        <v>773</v>
      </c>
      <c r="K13454" s="381">
        <v>0.0</v>
      </c>
      <c r="L13454" s="382">
        <v>1.0</v>
      </c>
    </row>
    <row r="13455">
      <c r="A13455" s="380" t="s">
        <v>14329</v>
      </c>
      <c r="B13455" s="380" t="str">
        <f>IFERROR(__xludf.DUMMYFUNCTION("""COMPUTED_VALUE"""),"Rache Del.Estria Gruesa Sb N14 Kn47011")</f>
        <v>Rache Del.Estria Gruesa Sb N14 Kn47011</v>
      </c>
      <c r="C13455" s="380" t="str">
        <f>IFERROR(__xludf.DUMMYFUNCTION("""COMPUTED_VALUE"""),"70008932")</f>
        <v>70008932</v>
      </c>
      <c r="D13455" s="380" t="s">
        <v>767</v>
      </c>
      <c r="E13455" s="380" t="s">
        <v>786</v>
      </c>
      <c r="F13455" s="380" t="s">
        <v>1017</v>
      </c>
      <c r="G13455" s="380" t="s">
        <v>1267</v>
      </c>
      <c r="H13455" s="380" t="s">
        <v>771</v>
      </c>
      <c r="I13455" s="380" t="s">
        <v>788</v>
      </c>
      <c r="J13455" s="380" t="s">
        <v>773</v>
      </c>
      <c r="K13455" s="381">
        <v>0.0</v>
      </c>
      <c r="L13455" s="382">
        <v>1.0</v>
      </c>
    </row>
    <row r="13456">
      <c r="A13456" s="380" t="s">
        <v>14330</v>
      </c>
      <c r="B13456" s="380" t="str">
        <f>IFERROR(__xludf.DUMMYFUNCTION("""COMPUTED_VALUE"""),"Anillos Std Suzuki Dr 650")</f>
        <v>Anillos Std Suzuki Dr 650</v>
      </c>
      <c r="C13456" s="380" t="str">
        <f>IFERROR(__xludf.DUMMYFUNCTION("""COMPUTED_VALUE"""),"70008933")</f>
        <v>70008933</v>
      </c>
      <c r="D13456" s="380" t="s">
        <v>767</v>
      </c>
      <c r="E13456" s="380" t="s">
        <v>786</v>
      </c>
      <c r="F13456" s="380" t="s">
        <v>787</v>
      </c>
      <c r="G13456" s="380" t="s">
        <v>1267</v>
      </c>
      <c r="H13456" s="380" t="s">
        <v>771</v>
      </c>
      <c r="I13456" s="380" t="s">
        <v>788</v>
      </c>
      <c r="J13456" s="380" t="s">
        <v>773</v>
      </c>
      <c r="K13456" s="381">
        <v>0.0</v>
      </c>
      <c r="L13456" s="382">
        <v>1.0</v>
      </c>
    </row>
    <row r="13457">
      <c r="A13457" s="380" t="s">
        <v>14331</v>
      </c>
      <c r="B13457" s="380" t="str">
        <f>IFERROR(__xludf.DUMMYFUNCTION("""COMPUTED_VALUE"""),"Comando Luces Derecho Moto Akt200")</f>
        <v>Comando Luces Derecho Moto Akt200</v>
      </c>
      <c r="C13457" s="380" t="str">
        <f>IFERROR(__xludf.DUMMYFUNCTION("""COMPUTED_VALUE"""),"70008934")</f>
        <v>70008934</v>
      </c>
      <c r="D13457" s="380" t="s">
        <v>767</v>
      </c>
      <c r="E13457" s="380" t="s">
        <v>786</v>
      </c>
      <c r="F13457" s="380" t="s">
        <v>998</v>
      </c>
      <c r="G13457" s="380" t="s">
        <v>1267</v>
      </c>
      <c r="H13457" s="380" t="s">
        <v>771</v>
      </c>
      <c r="I13457" s="380" t="s">
        <v>788</v>
      </c>
      <c r="J13457" s="380" t="s">
        <v>773</v>
      </c>
      <c r="K13457" s="381">
        <v>0.0</v>
      </c>
      <c r="L13457" s="382">
        <v>1.0</v>
      </c>
    </row>
    <row r="13458">
      <c r="A13458" s="380" t="s">
        <v>14332</v>
      </c>
      <c r="B13458" s="380" t="str">
        <f>IFERROR(__xludf.DUMMYFUNCTION("""COMPUTED_VALUE"""),"Alternador Nhr Reparado")</f>
        <v>Alternador Nhr Reparado</v>
      </c>
      <c r="C13458" s="380" t="str">
        <f>IFERROR(__xludf.DUMMYFUNCTION("""COMPUTED_VALUE"""),"70008935")</f>
        <v>70008935</v>
      </c>
      <c r="D13458" s="380" t="s">
        <v>767</v>
      </c>
      <c r="E13458" s="380" t="s">
        <v>786</v>
      </c>
      <c r="F13458" s="380" t="s">
        <v>998</v>
      </c>
      <c r="G13458" s="380" t="s">
        <v>1267</v>
      </c>
      <c r="H13458" s="380" t="s">
        <v>771</v>
      </c>
      <c r="I13458" s="380" t="s">
        <v>788</v>
      </c>
      <c r="J13458" s="380" t="s">
        <v>773</v>
      </c>
      <c r="K13458" s="381">
        <v>0.0</v>
      </c>
      <c r="L13458" s="382">
        <v>1.0</v>
      </c>
    </row>
    <row r="13459">
      <c r="A13459" s="380" t="s">
        <v>14333</v>
      </c>
      <c r="B13459" s="380" t="str">
        <f>IFERROR(__xludf.DUMMYFUNCTION("""COMPUTED_VALUE"""),"Juego Es Juego Escobillas Alternador Nhr")</f>
        <v>Juego Es Juego Escobillas Alternador Nhr</v>
      </c>
      <c r="C13459" s="380" t="str">
        <f>IFERROR(__xludf.DUMMYFUNCTION("""COMPUTED_VALUE"""),"70008936")</f>
        <v>70008936</v>
      </c>
      <c r="D13459" s="380" t="s">
        <v>767</v>
      </c>
      <c r="E13459" s="380" t="s">
        <v>786</v>
      </c>
      <c r="F13459" s="380" t="s">
        <v>998</v>
      </c>
      <c r="G13459" s="380" t="s">
        <v>1267</v>
      </c>
      <c r="H13459" s="380" t="s">
        <v>771</v>
      </c>
      <c r="I13459" s="380" t="s">
        <v>788</v>
      </c>
      <c r="J13459" s="380" t="s">
        <v>773</v>
      </c>
      <c r="K13459" s="381">
        <v>0.0</v>
      </c>
      <c r="L13459" s="382">
        <v>1.0</v>
      </c>
    </row>
    <row r="13460">
      <c r="A13460" s="380" t="s">
        <v>14334</v>
      </c>
      <c r="B13460" s="380" t="str">
        <f>IFERROR(__xludf.DUMMYFUNCTION("""COMPUTED_VALUE"""),"Buje Suspensión 6268440a10 Suzuki")</f>
        <v>Buje Suspensión 6268440a10 Suzuki</v>
      </c>
      <c r="C13460" s="380" t="str">
        <f>IFERROR(__xludf.DUMMYFUNCTION("""COMPUTED_VALUE"""),"70008937")</f>
        <v>70008937</v>
      </c>
      <c r="D13460" s="380" t="s">
        <v>767</v>
      </c>
      <c r="E13460" s="380" t="s">
        <v>786</v>
      </c>
      <c r="F13460" s="380" t="s">
        <v>1039</v>
      </c>
      <c r="G13460" s="380" t="s">
        <v>1267</v>
      </c>
      <c r="H13460" s="380" t="s">
        <v>771</v>
      </c>
      <c r="I13460" s="380" t="s">
        <v>788</v>
      </c>
      <c r="J13460" s="380" t="s">
        <v>773</v>
      </c>
      <c r="K13460" s="381">
        <v>0.0</v>
      </c>
      <c r="L13460" s="382">
        <v>1.0</v>
      </c>
    </row>
    <row r="13461">
      <c r="A13461" s="380" t="s">
        <v>14335</v>
      </c>
      <c r="B13461" s="380" t="str">
        <f>IFERROR(__xludf.DUMMYFUNCTION("""COMPUTED_VALUE"""),"Esparrago Cubo Rda Tras.Iz.Np 8970815851")</f>
        <v>Esparrago Cubo Rda Tras.Iz.Np 8970815851</v>
      </c>
      <c r="C13461" s="380" t="str">
        <f>IFERROR(__xludf.DUMMYFUNCTION("""COMPUTED_VALUE"""),"70008938")</f>
        <v>70008938</v>
      </c>
      <c r="D13461" s="380" t="s">
        <v>767</v>
      </c>
      <c r="E13461" s="380" t="s">
        <v>786</v>
      </c>
      <c r="F13461" s="380" t="s">
        <v>1039</v>
      </c>
      <c r="G13461" s="380" t="s">
        <v>1267</v>
      </c>
      <c r="H13461" s="380" t="s">
        <v>771</v>
      </c>
      <c r="I13461" s="380" t="s">
        <v>788</v>
      </c>
      <c r="J13461" s="380" t="s">
        <v>773</v>
      </c>
      <c r="K13461" s="381">
        <v>0.0</v>
      </c>
      <c r="L13461" s="382">
        <v>1.0</v>
      </c>
    </row>
    <row r="13462">
      <c r="A13462" s="380" t="s">
        <v>14336</v>
      </c>
      <c r="B13462" s="380" t="str">
        <f>IFERROR(__xludf.DUMMYFUNCTION("""COMPUTED_VALUE"""),"Camara Freno Volswagen Reparado")</f>
        <v>Camara Freno Volswagen Reparado</v>
      </c>
      <c r="C13462" s="380" t="str">
        <f>IFERROR(__xludf.DUMMYFUNCTION("""COMPUTED_VALUE"""),"70008939")</f>
        <v>70008939</v>
      </c>
      <c r="D13462" s="380" t="s">
        <v>767</v>
      </c>
      <c r="E13462" s="380" t="s">
        <v>786</v>
      </c>
      <c r="F13462" s="380" t="s">
        <v>1017</v>
      </c>
      <c r="G13462" s="380" t="s">
        <v>1267</v>
      </c>
      <c r="H13462" s="380" t="s">
        <v>771</v>
      </c>
      <c r="I13462" s="380" t="s">
        <v>788</v>
      </c>
      <c r="J13462" s="380" t="s">
        <v>773</v>
      </c>
      <c r="K13462" s="381">
        <v>0.0</v>
      </c>
      <c r="L13462" s="382">
        <v>1.0</v>
      </c>
    </row>
    <row r="13463">
      <c r="A13463" s="380" t="s">
        <v>14337</v>
      </c>
      <c r="B13463" s="380" t="str">
        <f>IFERROR(__xludf.DUMMYFUNCTION("""COMPUTED_VALUE"""),"Bateria 27950m Nkr Nhr Npr")</f>
        <v>Bateria 27950m Nkr Nhr Npr</v>
      </c>
      <c r="C13463" s="380" t="str">
        <f>IFERROR(__xludf.DUMMYFUNCTION("""COMPUTED_VALUE"""),"70008940")</f>
        <v>70008940</v>
      </c>
      <c r="D13463" s="380" t="s">
        <v>767</v>
      </c>
      <c r="E13463" s="380" t="s">
        <v>786</v>
      </c>
      <c r="F13463" s="380" t="s">
        <v>998</v>
      </c>
      <c r="G13463" s="380" t="s">
        <v>1267</v>
      </c>
      <c r="H13463" s="380" t="s">
        <v>771</v>
      </c>
      <c r="I13463" s="380" t="s">
        <v>788</v>
      </c>
      <c r="J13463" s="380" t="s">
        <v>773</v>
      </c>
      <c r="K13463" s="381">
        <v>0.0</v>
      </c>
      <c r="L13463" s="382">
        <v>1.0</v>
      </c>
    </row>
    <row r="13464">
      <c r="A13464" s="380" t="s">
        <v>14338</v>
      </c>
      <c r="B13464" s="380" t="str">
        <f>IFERROR(__xludf.DUMMYFUNCTION("""COMPUTED_VALUE"""),"Cojin Cond-Ayudante Nhr-Nkr Reparado")</f>
        <v>Cojin Cond-Ayudante Nhr-Nkr Reparado</v>
      </c>
      <c r="C13464" s="380" t="str">
        <f>IFERROR(__xludf.DUMMYFUNCTION("""COMPUTED_VALUE"""),"70008941")</f>
        <v>70008941</v>
      </c>
      <c r="D13464" s="380" t="s">
        <v>767</v>
      </c>
      <c r="E13464" s="380" t="s">
        <v>786</v>
      </c>
      <c r="F13464" s="380" t="s">
        <v>792</v>
      </c>
      <c r="G13464" s="380" t="s">
        <v>1267</v>
      </c>
      <c r="H13464" s="380" t="s">
        <v>771</v>
      </c>
      <c r="I13464" s="380" t="s">
        <v>788</v>
      </c>
      <c r="J13464" s="380" t="s">
        <v>773</v>
      </c>
      <c r="K13464" s="381">
        <v>313741.0</v>
      </c>
      <c r="L13464" s="382">
        <v>1.0</v>
      </c>
    </row>
    <row r="13465">
      <c r="A13465" s="380" t="s">
        <v>14339</v>
      </c>
      <c r="B13465" s="380" t="str">
        <f>IFERROR(__xludf.DUMMYFUNCTION("""COMPUTED_VALUE"""),"Banda Del-Tras. Nkr Nuevo 95622586")</f>
        <v>Banda Del-Tras. Nkr Nuevo 95622586</v>
      </c>
      <c r="C13465" s="380" t="str">
        <f>IFERROR(__xludf.DUMMYFUNCTION("""COMPUTED_VALUE"""),"70008942")</f>
        <v>70008942</v>
      </c>
      <c r="D13465" s="380" t="s">
        <v>767</v>
      </c>
      <c r="E13465" s="380" t="s">
        <v>786</v>
      </c>
      <c r="F13465" s="380" t="s">
        <v>1017</v>
      </c>
      <c r="G13465" s="380" t="s">
        <v>1267</v>
      </c>
      <c r="H13465" s="380" t="s">
        <v>771</v>
      </c>
      <c r="I13465" s="380" t="s">
        <v>788</v>
      </c>
      <c r="J13465" s="380" t="s">
        <v>773</v>
      </c>
      <c r="K13465" s="381">
        <v>0.0</v>
      </c>
      <c r="L13465" s="382">
        <v>1.0</v>
      </c>
    </row>
    <row r="13466">
      <c r="A13466" s="380" t="s">
        <v>14340</v>
      </c>
      <c r="B13466" s="380" t="str">
        <f>IFERROR(__xludf.DUMMYFUNCTION("""COMPUTED_VALUE"""),"SENS TEMP Agua Nhr Isuzu 8970688040")</f>
        <v>SENS TEMP Agua Nhr Isuzu 8970688040</v>
      </c>
      <c r="C13466" s="380" t="str">
        <f>IFERROR(__xludf.DUMMYFUNCTION("""COMPUTED_VALUE"""),"70008943")</f>
        <v>70008943</v>
      </c>
      <c r="D13466" s="380" t="s">
        <v>767</v>
      </c>
      <c r="E13466" s="380" t="s">
        <v>786</v>
      </c>
      <c r="F13466" s="380" t="s">
        <v>998</v>
      </c>
      <c r="G13466" s="380" t="s">
        <v>1267</v>
      </c>
      <c r="H13466" s="380" t="s">
        <v>771</v>
      </c>
      <c r="I13466" s="380" t="s">
        <v>788</v>
      </c>
      <c r="J13466" s="380" t="s">
        <v>773</v>
      </c>
      <c r="K13466" s="381">
        <v>0.0</v>
      </c>
      <c r="L13466" s="382">
        <v>1.0</v>
      </c>
    </row>
    <row r="13467">
      <c r="A13467" s="380" t="s">
        <v>14341</v>
      </c>
      <c r="B13467" s="380" t="str">
        <f>IFERROR(__xludf.DUMMYFUNCTION("""COMPUTED_VALUE"""),"Rodami Rodamiento Bola Suzuki 0812362047")</f>
        <v>Rodami Rodamiento Bola Suzuki 0812362047</v>
      </c>
      <c r="C13467" s="380" t="str">
        <f>IFERROR(__xludf.DUMMYFUNCTION("""COMPUTED_VALUE"""),"70008944")</f>
        <v>70008944</v>
      </c>
      <c r="D13467" s="380" t="s">
        <v>767</v>
      </c>
      <c r="E13467" s="380" t="s">
        <v>786</v>
      </c>
      <c r="F13467" s="380" t="s">
        <v>5683</v>
      </c>
      <c r="G13467" s="380" t="s">
        <v>1267</v>
      </c>
      <c r="H13467" s="380" t="s">
        <v>771</v>
      </c>
      <c r="I13467" s="380" t="s">
        <v>788</v>
      </c>
      <c r="J13467" s="380" t="s">
        <v>773</v>
      </c>
      <c r="K13467" s="381">
        <v>0.0</v>
      </c>
      <c r="L13467" s="382">
        <v>1.0</v>
      </c>
    </row>
    <row r="13468">
      <c r="A13468" s="380" t="s">
        <v>14342</v>
      </c>
      <c r="B13468" s="380" t="str">
        <f>IFERROR(__xludf.DUMMYFUNCTION("""COMPUTED_VALUE"""),"Buje Babero Moto Suzuki Fr80 504145")</f>
        <v>Buje Babero Moto Suzuki Fr80 504145</v>
      </c>
      <c r="C13468" s="380" t="str">
        <f>IFERROR(__xludf.DUMMYFUNCTION("""COMPUTED_VALUE"""),"70008945")</f>
        <v>70008945</v>
      </c>
      <c r="D13468" s="380" t="s">
        <v>767</v>
      </c>
      <c r="E13468" s="380" t="s">
        <v>786</v>
      </c>
      <c r="F13468" s="380" t="s">
        <v>792</v>
      </c>
      <c r="G13468" s="380" t="s">
        <v>1267</v>
      </c>
      <c r="H13468" s="380" t="s">
        <v>771</v>
      </c>
      <c r="I13468" s="380" t="s">
        <v>788</v>
      </c>
      <c r="J13468" s="380" t="s">
        <v>773</v>
      </c>
      <c r="K13468" s="381">
        <v>0.0</v>
      </c>
      <c r="L13468" s="382">
        <v>1.0</v>
      </c>
    </row>
    <row r="13469">
      <c r="A13469" s="380" t="s">
        <v>14343</v>
      </c>
      <c r="B13469" s="380" t="str">
        <f>IFERROR(__xludf.DUMMYFUNCTION("""COMPUTED_VALUE"""),"Bomba Agua Nhr Reparado")</f>
        <v>Bomba Agua Nhr Reparado</v>
      </c>
      <c r="C13469" s="380" t="str">
        <f>IFERROR(__xludf.DUMMYFUNCTION("""COMPUTED_VALUE"""),"70008946")</f>
        <v>70008946</v>
      </c>
      <c r="D13469" s="380" t="s">
        <v>767</v>
      </c>
      <c r="E13469" s="380" t="s">
        <v>786</v>
      </c>
      <c r="F13469" s="380" t="s">
        <v>787</v>
      </c>
      <c r="G13469" s="380" t="s">
        <v>1267</v>
      </c>
      <c r="H13469" s="380" t="s">
        <v>771</v>
      </c>
      <c r="I13469" s="380" t="s">
        <v>788</v>
      </c>
      <c r="J13469" s="380" t="s">
        <v>773</v>
      </c>
      <c r="K13469" s="381">
        <v>0.0</v>
      </c>
      <c r="L13469" s="382">
        <v>1.0</v>
      </c>
    </row>
    <row r="13470">
      <c r="A13470" s="380" t="s">
        <v>14344</v>
      </c>
      <c r="B13470" s="380" t="str">
        <f>IFERROR(__xludf.DUMMYFUNCTION("""COMPUTED_VALUE"""),"Motor Arranque S.C. Reparado")</f>
        <v>Motor Arranque S.C. Reparado</v>
      </c>
      <c r="C13470" s="380" t="str">
        <f>IFERROR(__xludf.DUMMYFUNCTION("""COMPUTED_VALUE"""),"70008947")</f>
        <v>70008947</v>
      </c>
      <c r="D13470" s="380" t="s">
        <v>767</v>
      </c>
      <c r="E13470" s="380" t="s">
        <v>786</v>
      </c>
      <c r="F13470" s="380" t="s">
        <v>998</v>
      </c>
      <c r="G13470" s="380" t="s">
        <v>1267</v>
      </c>
      <c r="H13470" s="380" t="s">
        <v>771</v>
      </c>
      <c r="I13470" s="380" t="s">
        <v>788</v>
      </c>
      <c r="J13470" s="380" t="s">
        <v>773</v>
      </c>
      <c r="K13470" s="381">
        <v>0.0</v>
      </c>
      <c r="L13470" s="382">
        <v>1.0</v>
      </c>
    </row>
    <row r="13471">
      <c r="A13471" s="380" t="s">
        <v>14345</v>
      </c>
      <c r="B13471" s="380" t="str">
        <f>IFERROR(__xludf.DUMMYFUNCTION("""COMPUTED_VALUE"""),"Espaldar Ayudante Foton 1039 Reparado")</f>
        <v>Espaldar Ayudante Foton 1039 Reparado</v>
      </c>
      <c r="C13471" s="380" t="str">
        <f>IFERROR(__xludf.DUMMYFUNCTION("""COMPUTED_VALUE"""),"70008948")</f>
        <v>70008948</v>
      </c>
      <c r="D13471" s="380" t="s">
        <v>767</v>
      </c>
      <c r="E13471" s="380" t="s">
        <v>786</v>
      </c>
      <c r="F13471" s="380" t="s">
        <v>792</v>
      </c>
      <c r="G13471" s="380" t="s">
        <v>1267</v>
      </c>
      <c r="H13471" s="380" t="s">
        <v>771</v>
      </c>
      <c r="I13471" s="380" t="s">
        <v>788</v>
      </c>
      <c r="J13471" s="380" t="s">
        <v>773</v>
      </c>
      <c r="K13471" s="381">
        <v>0.0</v>
      </c>
      <c r="L13471" s="382">
        <v>1.0</v>
      </c>
    </row>
    <row r="13472">
      <c r="A13472" s="380" t="s">
        <v>14346</v>
      </c>
      <c r="B13472" s="380" t="str">
        <f>IFERROR(__xludf.DUMMYFUNCTION("""COMPUTED_VALUE"""),"Horq Horquilla 2da Y 3ra Hino 3322037020")</f>
        <v>Horq Horquilla 2da Y 3ra Hino 3322037020</v>
      </c>
      <c r="C13472" s="380" t="str">
        <f>IFERROR(__xludf.DUMMYFUNCTION("""COMPUTED_VALUE"""),"70008949")</f>
        <v>70008949</v>
      </c>
      <c r="D13472" s="380" t="s">
        <v>767</v>
      </c>
      <c r="E13472" s="380" t="s">
        <v>786</v>
      </c>
      <c r="F13472" s="380" t="s">
        <v>928</v>
      </c>
      <c r="G13472" s="380" t="s">
        <v>1267</v>
      </c>
      <c r="H13472" s="380" t="s">
        <v>771</v>
      </c>
      <c r="I13472" s="380" t="s">
        <v>788</v>
      </c>
      <c r="J13472" s="380" t="s">
        <v>773</v>
      </c>
      <c r="K13472" s="381">
        <v>0.0</v>
      </c>
      <c r="L13472" s="382">
        <v>1.0</v>
      </c>
    </row>
    <row r="13473">
      <c r="A13473" s="380" t="s">
        <v>14347</v>
      </c>
      <c r="B13473" s="380" t="str">
        <f>IFERROR(__xludf.DUMMYFUNCTION("""COMPUTED_VALUE"""),"Valvula De Escape Suzuki Dr 65 90193282")</f>
        <v>Valvula De Escape Suzuki Dr 65 90193282</v>
      </c>
      <c r="C13473" s="380" t="str">
        <f>IFERROR(__xludf.DUMMYFUNCTION("""COMPUTED_VALUE"""),"70008950")</f>
        <v>70008950</v>
      </c>
      <c r="D13473" s="380" t="s">
        <v>767</v>
      </c>
      <c r="E13473" s="380" t="s">
        <v>786</v>
      </c>
      <c r="F13473" s="380" t="s">
        <v>787</v>
      </c>
      <c r="G13473" s="380" t="s">
        <v>1267</v>
      </c>
      <c r="H13473" s="380" t="s">
        <v>771</v>
      </c>
      <c r="I13473" s="380" t="s">
        <v>788</v>
      </c>
      <c r="J13473" s="380" t="s">
        <v>773</v>
      </c>
      <c r="K13473" s="381">
        <v>0.0</v>
      </c>
      <c r="L13473" s="382">
        <v>1.0</v>
      </c>
    </row>
    <row r="13474">
      <c r="A13474" s="380" t="s">
        <v>14348</v>
      </c>
      <c r="B13474" s="380" t="str">
        <f>IFERROR(__xludf.DUMMYFUNCTION("""COMPUTED_VALUE"""),"Tapon Caja 0925012006 Suzuki")</f>
        <v>Tapon Caja 0925012006 Suzuki</v>
      </c>
      <c r="C13474" s="380" t="str">
        <f>IFERROR(__xludf.DUMMYFUNCTION("""COMPUTED_VALUE"""),"70008951")</f>
        <v>70008951</v>
      </c>
      <c r="D13474" s="380" t="s">
        <v>767</v>
      </c>
      <c r="E13474" s="380" t="s">
        <v>786</v>
      </c>
      <c r="F13474" s="380" t="s">
        <v>928</v>
      </c>
      <c r="G13474" s="380" t="s">
        <v>1267</v>
      </c>
      <c r="H13474" s="380" t="s">
        <v>771</v>
      </c>
      <c r="I13474" s="380" t="s">
        <v>788</v>
      </c>
      <c r="J13474" s="380" t="s">
        <v>773</v>
      </c>
      <c r="K13474" s="381">
        <v>0.0</v>
      </c>
      <c r="L13474" s="382">
        <v>1.0</v>
      </c>
    </row>
    <row r="13475">
      <c r="A13475" s="380" t="s">
        <v>14349</v>
      </c>
      <c r="B13475" s="380" t="str">
        <f>IFERROR(__xludf.DUMMYFUNCTION("""COMPUTED_VALUE"""),"Talco Direccional Fr80 Suzuki 717120")</f>
        <v>Talco Direccional Fr80 Suzuki 717120</v>
      </c>
      <c r="C13475" s="380" t="str">
        <f>IFERROR(__xludf.DUMMYFUNCTION("""COMPUTED_VALUE"""),"70008952")</f>
        <v>70008952</v>
      </c>
      <c r="D13475" s="380" t="s">
        <v>767</v>
      </c>
      <c r="E13475" s="380" t="s">
        <v>786</v>
      </c>
      <c r="F13475" s="380" t="s">
        <v>998</v>
      </c>
      <c r="G13475" s="380" t="s">
        <v>1267</v>
      </c>
      <c r="H13475" s="380" t="s">
        <v>771</v>
      </c>
      <c r="I13475" s="380" t="s">
        <v>788</v>
      </c>
      <c r="J13475" s="380" t="s">
        <v>773</v>
      </c>
      <c r="K13475" s="381">
        <v>0.0</v>
      </c>
      <c r="L13475" s="382">
        <v>1.0</v>
      </c>
    </row>
    <row r="13476">
      <c r="A13476" s="380" t="s">
        <v>14350</v>
      </c>
      <c r="B13476" s="380" t="str">
        <f>IFERROR(__xludf.DUMMYFUNCTION("""COMPUTED_VALUE"""),"Bomba Aceite Suzuki S161003532")</f>
        <v>Bomba Aceite Suzuki S161003532</v>
      </c>
      <c r="C13476" s="380" t="str">
        <f>IFERROR(__xludf.DUMMYFUNCTION("""COMPUTED_VALUE"""),"70008953")</f>
        <v>70008953</v>
      </c>
      <c r="D13476" s="380" t="s">
        <v>767</v>
      </c>
      <c r="E13476" s="380" t="s">
        <v>786</v>
      </c>
      <c r="F13476" s="380" t="s">
        <v>787</v>
      </c>
      <c r="G13476" s="380" t="s">
        <v>1267</v>
      </c>
      <c r="H13476" s="380" t="s">
        <v>771</v>
      </c>
      <c r="I13476" s="380" t="s">
        <v>788</v>
      </c>
      <c r="J13476" s="380" t="s">
        <v>773</v>
      </c>
      <c r="K13476" s="381">
        <v>0.0</v>
      </c>
      <c r="L13476" s="382">
        <v>1.0</v>
      </c>
    </row>
    <row r="13477">
      <c r="A13477" s="380" t="s">
        <v>14351</v>
      </c>
      <c r="B13477" s="380" t="str">
        <f>IFERROR(__xludf.DUMMYFUNCTION("""COMPUTED_VALUE"""),"Espe Espejo Retrovisor Suzuki 5660006g30")</f>
        <v>Espe Espejo Retrovisor Suzuki 5660006g30</v>
      </c>
      <c r="C13477" s="380" t="str">
        <f>IFERROR(__xludf.DUMMYFUNCTION("""COMPUTED_VALUE"""),"70008954")</f>
        <v>70008954</v>
      </c>
      <c r="D13477" s="380" t="s">
        <v>767</v>
      </c>
      <c r="E13477" s="380" t="s">
        <v>786</v>
      </c>
      <c r="F13477" s="380" t="s">
        <v>792</v>
      </c>
      <c r="G13477" s="380" t="s">
        <v>1267</v>
      </c>
      <c r="H13477" s="380" t="s">
        <v>771</v>
      </c>
      <c r="I13477" s="380" t="s">
        <v>788</v>
      </c>
      <c r="J13477" s="380" t="s">
        <v>773</v>
      </c>
      <c r="K13477" s="381">
        <v>0.0</v>
      </c>
      <c r="L13477" s="382">
        <v>1.0</v>
      </c>
    </row>
    <row r="13478">
      <c r="A13478" s="380" t="s">
        <v>14352</v>
      </c>
      <c r="B13478" s="380" t="str">
        <f>IFERROR(__xludf.DUMMYFUNCTION("""COMPUTED_VALUE"""),"Bobina Encendido Suzuki Ax100 3341035330")</f>
        <v>Bobina Encendido Suzuki Ax100 3341035330</v>
      </c>
      <c r="C13478" s="380" t="str">
        <f>IFERROR(__xludf.DUMMYFUNCTION("""COMPUTED_VALUE"""),"70008955")</f>
        <v>70008955</v>
      </c>
      <c r="D13478" s="380" t="s">
        <v>767</v>
      </c>
      <c r="E13478" s="380" t="s">
        <v>786</v>
      </c>
      <c r="F13478" s="380" t="s">
        <v>787</v>
      </c>
      <c r="G13478" s="380" t="s">
        <v>1267</v>
      </c>
      <c r="H13478" s="380" t="s">
        <v>771</v>
      </c>
      <c r="I13478" s="380" t="s">
        <v>788</v>
      </c>
      <c r="J13478" s="380" t="s">
        <v>773</v>
      </c>
      <c r="K13478" s="381">
        <v>0.0</v>
      </c>
      <c r="L13478" s="382">
        <v>1.0</v>
      </c>
    </row>
    <row r="13479">
      <c r="A13479" s="380" t="s">
        <v>14353</v>
      </c>
      <c r="B13479" s="380" t="str">
        <f>IFERROR(__xludf.DUMMYFUNCTION("""COMPUTED_VALUE"""),"Tapa Tanque Gasolina Moto Suzu 747205")</f>
        <v>Tapa Tanque Gasolina Moto Suzu 747205</v>
      </c>
      <c r="C13479" s="380" t="str">
        <f>IFERROR(__xludf.DUMMYFUNCTION("""COMPUTED_VALUE"""),"70008956")</f>
        <v>70008956</v>
      </c>
      <c r="D13479" s="380" t="s">
        <v>767</v>
      </c>
      <c r="E13479" s="380" t="s">
        <v>786</v>
      </c>
      <c r="F13479" s="380" t="s">
        <v>792</v>
      </c>
      <c r="G13479" s="380" t="s">
        <v>1267</v>
      </c>
      <c r="H13479" s="380" t="s">
        <v>771</v>
      </c>
      <c r="I13479" s="380" t="s">
        <v>788</v>
      </c>
      <c r="J13479" s="380" t="s">
        <v>773</v>
      </c>
      <c r="K13479" s="381">
        <v>0.0</v>
      </c>
      <c r="L13479" s="382">
        <v>1.0</v>
      </c>
    </row>
    <row r="13480">
      <c r="A13480" s="380" t="s">
        <v>14354</v>
      </c>
      <c r="B13480" s="380" t="str">
        <f>IFERROR(__xludf.DUMMYFUNCTION("""COMPUTED_VALUE"""),"Cojin Cond-Ayudante Eag-Kw Reparado")</f>
        <v>Cojin Cond-Ayudante Eag-Kw Reparado</v>
      </c>
      <c r="C13480" s="380" t="str">
        <f>IFERROR(__xludf.DUMMYFUNCTION("""COMPUTED_VALUE"""),"70008957")</f>
        <v>70008957</v>
      </c>
      <c r="D13480" s="380" t="s">
        <v>767</v>
      </c>
      <c r="E13480" s="380" t="s">
        <v>786</v>
      </c>
      <c r="F13480" s="380" t="s">
        <v>792</v>
      </c>
      <c r="G13480" s="380" t="s">
        <v>1267</v>
      </c>
      <c r="H13480" s="380" t="s">
        <v>771</v>
      </c>
      <c r="I13480" s="380" t="s">
        <v>788</v>
      </c>
      <c r="J13480" s="380" t="s">
        <v>773</v>
      </c>
      <c r="K13480" s="381">
        <v>0.0</v>
      </c>
      <c r="L13480" s="382">
        <v>1.0</v>
      </c>
    </row>
    <row r="13481">
      <c r="A13481" s="380" t="s">
        <v>14355</v>
      </c>
      <c r="B13481" s="380" t="str">
        <f>IFERROR(__xludf.DUMMYFUNCTION("""COMPUTED_VALUE"""),"Manija Freno Suzuki 5742113001")</f>
        <v>Manija Freno Suzuki 5742113001</v>
      </c>
      <c r="C13481" s="380" t="str">
        <f>IFERROR(__xludf.DUMMYFUNCTION("""COMPUTED_VALUE"""),"70008958")</f>
        <v>70008958</v>
      </c>
      <c r="D13481" s="380" t="s">
        <v>767</v>
      </c>
      <c r="E13481" s="380" t="s">
        <v>786</v>
      </c>
      <c r="F13481" s="380" t="s">
        <v>792</v>
      </c>
      <c r="G13481" s="380" t="s">
        <v>1267</v>
      </c>
      <c r="H13481" s="380" t="s">
        <v>771</v>
      </c>
      <c r="I13481" s="380" t="s">
        <v>788</v>
      </c>
      <c r="J13481" s="380" t="s">
        <v>773</v>
      </c>
      <c r="K13481" s="381">
        <v>0.0</v>
      </c>
      <c r="L13481" s="382">
        <v>1.0</v>
      </c>
    </row>
    <row r="13482">
      <c r="A13482" s="380" t="s">
        <v>14356</v>
      </c>
      <c r="B13482" s="380" t="str">
        <f>IFERROR(__xludf.DUMMYFUNCTION("""COMPUTED_VALUE"""),"Cojin Sillin Moto Reparado")</f>
        <v>Cojin Sillin Moto Reparado</v>
      </c>
      <c r="C13482" s="380" t="str">
        <f>IFERROR(__xludf.DUMMYFUNCTION("""COMPUTED_VALUE"""),"70008959")</f>
        <v>70008959</v>
      </c>
      <c r="D13482" s="380" t="s">
        <v>767</v>
      </c>
      <c r="E13482" s="380" t="s">
        <v>786</v>
      </c>
      <c r="F13482" s="380" t="s">
        <v>792</v>
      </c>
      <c r="G13482" s="380" t="s">
        <v>1267</v>
      </c>
      <c r="H13482" s="380" t="s">
        <v>771</v>
      </c>
      <c r="I13482" s="380" t="s">
        <v>788</v>
      </c>
      <c r="J13482" s="380" t="s">
        <v>773</v>
      </c>
      <c r="K13482" s="381">
        <v>0.0</v>
      </c>
      <c r="L13482" s="382">
        <v>1.0</v>
      </c>
    </row>
    <row r="13483">
      <c r="A13483" s="380" t="s">
        <v>14357</v>
      </c>
      <c r="B13483" s="380" t="str">
        <f>IFERROR(__xludf.DUMMYFUNCTION("""COMPUTED_VALUE"""),"Chapa Izq. Der. Hi Reparado")</f>
        <v>Chapa Izq. Der. Hi Reparado</v>
      </c>
      <c r="C13483" s="380" t="str">
        <f>IFERROR(__xludf.DUMMYFUNCTION("""COMPUTED_VALUE"""),"70008960")</f>
        <v>70008960</v>
      </c>
      <c r="D13483" s="380" t="s">
        <v>767</v>
      </c>
      <c r="E13483" s="380" t="s">
        <v>786</v>
      </c>
      <c r="F13483" s="380" t="s">
        <v>792</v>
      </c>
      <c r="G13483" s="380" t="s">
        <v>1267</v>
      </c>
      <c r="H13483" s="380" t="s">
        <v>771</v>
      </c>
      <c r="I13483" s="380" t="s">
        <v>788</v>
      </c>
      <c r="J13483" s="380" t="s">
        <v>773</v>
      </c>
      <c r="K13483" s="381">
        <v>0.0</v>
      </c>
      <c r="L13483" s="382">
        <v>1.0</v>
      </c>
    </row>
    <row r="13484">
      <c r="A13484" s="380" t="s">
        <v>14358</v>
      </c>
      <c r="B13484" s="380" t="str">
        <f>IFERROR(__xludf.DUMMYFUNCTION("""COMPUTED_VALUE"""),"Cremallera Izq. Der. Hi Reparado")</f>
        <v>Cremallera Izq. Der. Hi Reparado</v>
      </c>
      <c r="C13484" s="380" t="str">
        <f>IFERROR(__xludf.DUMMYFUNCTION("""COMPUTED_VALUE"""),"70008961")</f>
        <v>70008961</v>
      </c>
      <c r="D13484" s="380" t="s">
        <v>767</v>
      </c>
      <c r="E13484" s="380" t="s">
        <v>786</v>
      </c>
      <c r="F13484" s="380" t="s">
        <v>792</v>
      </c>
      <c r="G13484" s="380" t="s">
        <v>1267</v>
      </c>
      <c r="H13484" s="380" t="s">
        <v>771</v>
      </c>
      <c r="I13484" s="380" t="s">
        <v>788</v>
      </c>
      <c r="J13484" s="380" t="s">
        <v>773</v>
      </c>
      <c r="K13484" s="381">
        <v>333200.0</v>
      </c>
      <c r="L13484" s="382">
        <v>1.0</v>
      </c>
    </row>
    <row r="13485">
      <c r="A13485" s="380" t="s">
        <v>14359</v>
      </c>
      <c r="B13485" s="380" t="str">
        <f>IFERROR(__xludf.DUMMYFUNCTION("""COMPUTED_VALUE"""),"Lam Lampara Direccional Del. Izq. Akt Sl")</f>
        <v>Lam Lampara Direccional Del. Izq. Akt Sl</v>
      </c>
      <c r="C13485" s="380" t="str">
        <f>IFERROR(__xludf.DUMMYFUNCTION("""COMPUTED_VALUE"""),"70008962")</f>
        <v>70008962</v>
      </c>
      <c r="D13485" s="380" t="s">
        <v>767</v>
      </c>
      <c r="E13485" s="380" t="s">
        <v>786</v>
      </c>
      <c r="F13485" s="380" t="s">
        <v>998</v>
      </c>
      <c r="G13485" s="380" t="s">
        <v>1267</v>
      </c>
      <c r="H13485" s="380" t="s">
        <v>771</v>
      </c>
      <c r="I13485" s="380" t="s">
        <v>788</v>
      </c>
      <c r="J13485" s="380" t="s">
        <v>773</v>
      </c>
      <c r="K13485" s="381">
        <v>0.0</v>
      </c>
      <c r="L13485" s="382">
        <v>1.0</v>
      </c>
    </row>
    <row r="13486">
      <c r="A13486" s="380" t="s">
        <v>14360</v>
      </c>
      <c r="B13486" s="380" t="str">
        <f>IFERROR(__xludf.DUMMYFUNCTION("""COMPUTED_VALUE"""),"Filtro Aire Suzuki Fr100-Dr650")</f>
        <v>Filtro Aire Suzuki Fr100-Dr650</v>
      </c>
      <c r="C13486" s="380" t="str">
        <f>IFERROR(__xludf.DUMMYFUNCTION("""COMPUTED_VALUE"""),"70008963")</f>
        <v>70008963</v>
      </c>
      <c r="D13486" s="380" t="s">
        <v>767</v>
      </c>
      <c r="E13486" s="380" t="s">
        <v>786</v>
      </c>
      <c r="F13486" s="380" t="s">
        <v>5855</v>
      </c>
      <c r="G13486" s="380" t="s">
        <v>1267</v>
      </c>
      <c r="H13486" s="380" t="s">
        <v>771</v>
      </c>
      <c r="I13486" s="380" t="s">
        <v>788</v>
      </c>
      <c r="J13486" s="380" t="s">
        <v>773</v>
      </c>
      <c r="K13486" s="381">
        <v>0.0</v>
      </c>
      <c r="L13486" s="382">
        <v>1.0</v>
      </c>
    </row>
    <row r="13487">
      <c r="A13487" s="380" t="s">
        <v>14361</v>
      </c>
      <c r="B13487" s="380" t="str">
        <f>IFERROR(__xludf.DUMMYFUNCTION("""COMPUTED_VALUE"""),"Espejo Retrovisor Izq.Comp.Hi 3561587c94")</f>
        <v>Espejo Retrovisor Izq.Comp.Hi 3561587c94</v>
      </c>
      <c r="C13487" s="380" t="str">
        <f>IFERROR(__xludf.DUMMYFUNCTION("""COMPUTED_VALUE"""),"70008964")</f>
        <v>70008964</v>
      </c>
      <c r="D13487" s="380" t="s">
        <v>767</v>
      </c>
      <c r="E13487" s="380" t="s">
        <v>786</v>
      </c>
      <c r="F13487" s="380" t="s">
        <v>792</v>
      </c>
      <c r="G13487" s="380" t="s">
        <v>1267</v>
      </c>
      <c r="H13487" s="380" t="s">
        <v>771</v>
      </c>
      <c r="I13487" s="380" t="s">
        <v>788</v>
      </c>
      <c r="J13487" s="380" t="s">
        <v>773</v>
      </c>
      <c r="K13487" s="381">
        <v>0.0</v>
      </c>
      <c r="L13487" s="382">
        <v>1.0</v>
      </c>
    </row>
    <row r="13488">
      <c r="A13488" s="380" t="s">
        <v>14362</v>
      </c>
      <c r="B13488" s="380" t="str">
        <f>IFERROR(__xludf.DUMMYFUNCTION("""COMPUTED_VALUE"""),"Espejo Retrovisor Moto Honda 610116")</f>
        <v>Espejo Retrovisor Moto Honda 610116</v>
      </c>
      <c r="C13488" s="380" t="str">
        <f>IFERROR(__xludf.DUMMYFUNCTION("""COMPUTED_VALUE"""),"70008965")</f>
        <v>70008965</v>
      </c>
      <c r="D13488" s="380" t="s">
        <v>767</v>
      </c>
      <c r="E13488" s="380" t="s">
        <v>786</v>
      </c>
      <c r="F13488" s="380" t="s">
        <v>792</v>
      </c>
      <c r="G13488" s="380" t="s">
        <v>1267</v>
      </c>
      <c r="H13488" s="380" t="s">
        <v>771</v>
      </c>
      <c r="I13488" s="380" t="s">
        <v>788</v>
      </c>
      <c r="J13488" s="380" t="s">
        <v>773</v>
      </c>
      <c r="K13488" s="381">
        <v>0.0</v>
      </c>
      <c r="L13488" s="382">
        <v>1.0</v>
      </c>
    </row>
    <row r="13489">
      <c r="A13489" s="380" t="s">
        <v>14363</v>
      </c>
      <c r="B13489" s="380" t="str">
        <f>IFERROR(__xludf.DUMMYFUNCTION("""COMPUTED_VALUE"""),"FI Filtro Bomba Aceite Suzuki 1651037450")</f>
        <v>FI Filtro Bomba Aceite Suzuki 1651037450</v>
      </c>
      <c r="C13489" s="380" t="str">
        <f>IFERROR(__xludf.DUMMYFUNCTION("""COMPUTED_VALUE"""),"70008966")</f>
        <v>70008966</v>
      </c>
      <c r="D13489" s="380" t="s">
        <v>767</v>
      </c>
      <c r="E13489" s="380" t="s">
        <v>786</v>
      </c>
      <c r="F13489" s="380" t="s">
        <v>787</v>
      </c>
      <c r="G13489" s="380" t="s">
        <v>1267</v>
      </c>
      <c r="H13489" s="380" t="s">
        <v>771</v>
      </c>
      <c r="I13489" s="380" t="s">
        <v>788</v>
      </c>
      <c r="J13489" s="380" t="s">
        <v>773</v>
      </c>
      <c r="K13489" s="381">
        <v>0.0</v>
      </c>
      <c r="L13489" s="382">
        <v>1.0</v>
      </c>
    </row>
    <row r="13490">
      <c r="A13490" s="380" t="s">
        <v>14364</v>
      </c>
      <c r="B13490" s="380" t="str">
        <f>IFERROR(__xludf.DUMMYFUNCTION("""COMPUTED_VALUE"""),"Piño Piñon Rueda Libre Suzuki 2751131d00")</f>
        <v>Piño Piñon Rueda Libre Suzuki 2751131d00</v>
      </c>
      <c r="C13490" s="380" t="str">
        <f>IFERROR(__xludf.DUMMYFUNCTION("""COMPUTED_VALUE"""),"70008967")</f>
        <v>70008967</v>
      </c>
      <c r="D13490" s="380" t="s">
        <v>767</v>
      </c>
      <c r="E13490" s="380" t="s">
        <v>786</v>
      </c>
      <c r="F13490" s="380" t="s">
        <v>1039</v>
      </c>
      <c r="G13490" s="380" t="s">
        <v>1267</v>
      </c>
      <c r="H13490" s="380" t="s">
        <v>771</v>
      </c>
      <c r="I13490" s="380" t="s">
        <v>788</v>
      </c>
      <c r="J13490" s="380" t="s">
        <v>773</v>
      </c>
      <c r="K13490" s="381">
        <v>0.0</v>
      </c>
      <c r="L13490" s="382">
        <v>1.0</v>
      </c>
    </row>
    <row r="13491">
      <c r="A13491" s="380" t="s">
        <v>14365</v>
      </c>
      <c r="B13491" s="380" t="str">
        <f>IFERROR(__xludf.DUMMYFUNCTION("""COMPUTED_VALUE"""),"Cadena Suzuki 2760032c10")</f>
        <v>Cadena Suzuki 2760032c10</v>
      </c>
      <c r="C13491" s="380" t="str">
        <f>IFERROR(__xludf.DUMMYFUNCTION("""COMPUTED_VALUE"""),"70008968")</f>
        <v>70008968</v>
      </c>
      <c r="D13491" s="380" t="s">
        <v>767</v>
      </c>
      <c r="E13491" s="380" t="s">
        <v>786</v>
      </c>
      <c r="F13491" s="380" t="s">
        <v>1039</v>
      </c>
      <c r="G13491" s="380" t="s">
        <v>1267</v>
      </c>
      <c r="H13491" s="380" t="s">
        <v>771</v>
      </c>
      <c r="I13491" s="380" t="s">
        <v>788</v>
      </c>
      <c r="J13491" s="380" t="s">
        <v>773</v>
      </c>
      <c r="K13491" s="381">
        <v>0.0</v>
      </c>
      <c r="L13491" s="382">
        <v>1.0</v>
      </c>
    </row>
    <row r="13492">
      <c r="A13492" s="380" t="s">
        <v>14366</v>
      </c>
      <c r="B13492" s="380" t="str">
        <f>IFERROR(__xludf.DUMMYFUNCTION("""COMPUTED_VALUE"""),"Disco Embraque Suzuki Dr 650")</f>
        <v>Disco Embraque Suzuki Dr 650</v>
      </c>
      <c r="C13492" s="380" t="str">
        <f>IFERROR(__xludf.DUMMYFUNCTION("""COMPUTED_VALUE"""),"70008969")</f>
        <v>70008969</v>
      </c>
      <c r="D13492" s="380" t="s">
        <v>767</v>
      </c>
      <c r="E13492" s="380" t="s">
        <v>786</v>
      </c>
      <c r="F13492" s="380" t="s">
        <v>5661</v>
      </c>
      <c r="G13492" s="380" t="s">
        <v>1267</v>
      </c>
      <c r="H13492" s="380" t="s">
        <v>771</v>
      </c>
      <c r="I13492" s="380" t="s">
        <v>788</v>
      </c>
      <c r="J13492" s="380" t="s">
        <v>773</v>
      </c>
      <c r="K13492" s="381">
        <v>0.0</v>
      </c>
      <c r="L13492" s="382">
        <v>1.0</v>
      </c>
    </row>
    <row r="13493">
      <c r="A13493" s="380" t="s">
        <v>14367</v>
      </c>
      <c r="B13493" s="380" t="str">
        <f>IFERROR(__xludf.DUMMYFUNCTION("""COMPUTED_VALUE"""),"Cadena Arrastre Motor Suzuki 30727")</f>
        <v>Cadena Arrastre Motor Suzuki 30727</v>
      </c>
      <c r="C13493" s="380" t="str">
        <f>IFERROR(__xludf.DUMMYFUNCTION("""COMPUTED_VALUE"""),"70008970")</f>
        <v>70008970</v>
      </c>
      <c r="D13493" s="380" t="s">
        <v>767</v>
      </c>
      <c r="E13493" s="380" t="s">
        <v>786</v>
      </c>
      <c r="F13493" s="380" t="s">
        <v>787</v>
      </c>
      <c r="G13493" s="380" t="s">
        <v>1267</v>
      </c>
      <c r="H13493" s="380" t="s">
        <v>771</v>
      </c>
      <c r="I13493" s="380" t="s">
        <v>788</v>
      </c>
      <c r="J13493" s="380" t="s">
        <v>773</v>
      </c>
      <c r="K13493" s="381">
        <v>0.0</v>
      </c>
      <c r="L13493" s="382">
        <v>1.0</v>
      </c>
    </row>
    <row r="13494">
      <c r="A13494" s="380" t="s">
        <v>14368</v>
      </c>
      <c r="B13494" s="380" t="str">
        <f>IFERROR(__xludf.DUMMYFUNCTION("""COMPUTED_VALUE"""),"Piñon TR Piñon Trasero Suzuki 6451132e00")</f>
        <v>Piñon TR Piñon Trasero Suzuki 6451132e00</v>
      </c>
      <c r="C13494" s="380" t="str">
        <f>IFERROR(__xludf.DUMMYFUNCTION("""COMPUTED_VALUE"""),"70008971")</f>
        <v>70008971</v>
      </c>
      <c r="D13494" s="380" t="s">
        <v>767</v>
      </c>
      <c r="E13494" s="380" t="s">
        <v>786</v>
      </c>
      <c r="F13494" s="380" t="s">
        <v>1039</v>
      </c>
      <c r="G13494" s="380" t="s">
        <v>1267</v>
      </c>
      <c r="H13494" s="380" t="s">
        <v>771</v>
      </c>
      <c r="I13494" s="380" t="s">
        <v>788</v>
      </c>
      <c r="J13494" s="380" t="s">
        <v>773</v>
      </c>
      <c r="K13494" s="381">
        <v>0.0</v>
      </c>
      <c r="L13494" s="382">
        <v>1.0</v>
      </c>
    </row>
    <row r="13495">
      <c r="A13495" s="380" t="s">
        <v>14369</v>
      </c>
      <c r="B13495" s="380" t="str">
        <f>IFERROR(__xludf.DUMMYFUNCTION("""COMPUTED_VALUE"""),"Condensador A/C Kenworth Reparado")</f>
        <v>Condensador A/C Kenworth Reparado</v>
      </c>
      <c r="C13495" s="380" t="str">
        <f>IFERROR(__xludf.DUMMYFUNCTION("""COMPUTED_VALUE"""),"70008972")</f>
        <v>70008972</v>
      </c>
      <c r="D13495" s="380" t="s">
        <v>767</v>
      </c>
      <c r="E13495" s="380" t="s">
        <v>786</v>
      </c>
      <c r="F13495" s="380" t="s">
        <v>1031</v>
      </c>
      <c r="G13495" s="380" t="s">
        <v>1267</v>
      </c>
      <c r="H13495" s="380" t="s">
        <v>771</v>
      </c>
      <c r="I13495" s="380" t="s">
        <v>788</v>
      </c>
      <c r="J13495" s="380" t="s">
        <v>773</v>
      </c>
      <c r="K13495" s="381">
        <v>240689.0</v>
      </c>
      <c r="L13495" s="382">
        <v>1.0</v>
      </c>
    </row>
    <row r="13496">
      <c r="A13496" s="380" t="s">
        <v>14370</v>
      </c>
      <c r="B13496" s="380" t="str">
        <f>IFERROR(__xludf.DUMMYFUNCTION("""COMPUTED_VALUE"""),"Ventilador Radiador Motor Npr 8971408540")</f>
        <v>Ventilador Radiador Motor Npr 8971408540</v>
      </c>
      <c r="C13496" s="380" t="str">
        <f>IFERROR(__xludf.DUMMYFUNCTION("""COMPUTED_VALUE"""),"70008973")</f>
        <v>70008973</v>
      </c>
      <c r="D13496" s="380" t="s">
        <v>767</v>
      </c>
      <c r="E13496" s="380" t="s">
        <v>786</v>
      </c>
      <c r="F13496" s="380" t="s">
        <v>787</v>
      </c>
      <c r="G13496" s="380" t="s">
        <v>1267</v>
      </c>
      <c r="H13496" s="380" t="s">
        <v>771</v>
      </c>
      <c r="I13496" s="380" t="s">
        <v>788</v>
      </c>
      <c r="J13496" s="380" t="s">
        <v>773</v>
      </c>
      <c r="K13496" s="381">
        <v>0.0</v>
      </c>
      <c r="L13496" s="382">
        <v>1.0</v>
      </c>
    </row>
    <row r="13497">
      <c r="A13497" s="380" t="s">
        <v>14371</v>
      </c>
      <c r="B13497" s="380" t="str">
        <f>IFERROR(__xludf.DUMMYFUNCTION("""COMPUTED_VALUE"""),"Tapizado Tapizado Puerta Izq-Der. Sb N14")</f>
        <v>Tapizado Tapizado Puerta Izq-Der. Sb N14</v>
      </c>
      <c r="C13497" s="380" t="str">
        <f>IFERROR(__xludf.DUMMYFUNCTION("""COMPUTED_VALUE"""),"70008974")</f>
        <v>70008974</v>
      </c>
      <c r="D13497" s="380" t="s">
        <v>767</v>
      </c>
      <c r="E13497" s="380" t="s">
        <v>786</v>
      </c>
      <c r="F13497" s="380" t="s">
        <v>792</v>
      </c>
      <c r="G13497" s="380" t="s">
        <v>1267</v>
      </c>
      <c r="H13497" s="380" t="s">
        <v>771</v>
      </c>
      <c r="I13497" s="380" t="s">
        <v>788</v>
      </c>
      <c r="J13497" s="380" t="s">
        <v>773</v>
      </c>
      <c r="K13497" s="381">
        <v>0.0</v>
      </c>
      <c r="L13497" s="382">
        <v>1.0</v>
      </c>
    </row>
    <row r="13498">
      <c r="A13498" s="380" t="s">
        <v>14372</v>
      </c>
      <c r="B13498" s="380" t="str">
        <f>IFERROR(__xludf.DUMMYFUNCTION("""COMPUTED_VALUE"""),"Palanca Cambios Akat200")</f>
        <v>Palanca Cambios Akat200</v>
      </c>
      <c r="C13498" s="380" t="str">
        <f>IFERROR(__xludf.DUMMYFUNCTION("""COMPUTED_VALUE"""),"70008975")</f>
        <v>70008975</v>
      </c>
      <c r="D13498" s="380" t="s">
        <v>767</v>
      </c>
      <c r="E13498" s="380" t="s">
        <v>786</v>
      </c>
      <c r="F13498" s="380" t="s">
        <v>1017</v>
      </c>
      <c r="G13498" s="380" t="s">
        <v>1267</v>
      </c>
      <c r="H13498" s="380" t="s">
        <v>771</v>
      </c>
      <c r="I13498" s="380" t="s">
        <v>788</v>
      </c>
      <c r="J13498" s="380" t="s">
        <v>773</v>
      </c>
      <c r="K13498" s="381">
        <v>0.0</v>
      </c>
      <c r="L13498" s="382">
        <v>1.0</v>
      </c>
    </row>
    <row r="13499">
      <c r="A13499" s="380" t="s">
        <v>14373</v>
      </c>
      <c r="B13499" s="380" t="str">
        <f>IFERROR(__xludf.DUMMYFUNCTION("""COMPUTED_VALUE"""),"Kit Empaque Suzuki Fr100")</f>
        <v>Kit Empaque Suzuki Fr100</v>
      </c>
      <c r="C13499" s="380" t="str">
        <f>IFERROR(__xludf.DUMMYFUNCTION("""COMPUTED_VALUE"""),"70008976")</f>
        <v>70008976</v>
      </c>
      <c r="D13499" s="380" t="s">
        <v>767</v>
      </c>
      <c r="E13499" s="380" t="s">
        <v>786</v>
      </c>
      <c r="F13499" s="380" t="s">
        <v>787</v>
      </c>
      <c r="G13499" s="380" t="s">
        <v>1267</v>
      </c>
      <c r="H13499" s="380" t="s">
        <v>771</v>
      </c>
      <c r="I13499" s="380" t="s">
        <v>788</v>
      </c>
      <c r="J13499" s="380" t="s">
        <v>773</v>
      </c>
      <c r="K13499" s="381">
        <v>0.0</v>
      </c>
      <c r="L13499" s="382">
        <v>1.0</v>
      </c>
    </row>
    <row r="13500">
      <c r="A13500" s="380" t="s">
        <v>14374</v>
      </c>
      <c r="B13500" s="380" t="str">
        <f>IFERROR(__xludf.DUMMYFUNCTION("""COMPUTED_VALUE"""),"Flasher Moto Suzuki Ax100")</f>
        <v>Flasher Moto Suzuki Ax100</v>
      </c>
      <c r="C13500" s="380" t="str">
        <f>IFERROR(__xludf.DUMMYFUNCTION("""COMPUTED_VALUE"""),"70008977")</f>
        <v>70008977</v>
      </c>
      <c r="D13500" s="380" t="s">
        <v>767</v>
      </c>
      <c r="E13500" s="380" t="s">
        <v>786</v>
      </c>
      <c r="F13500" s="380" t="s">
        <v>998</v>
      </c>
      <c r="G13500" s="380" t="s">
        <v>1267</v>
      </c>
      <c r="H13500" s="380" t="s">
        <v>771</v>
      </c>
      <c r="I13500" s="380" t="s">
        <v>788</v>
      </c>
      <c r="J13500" s="380" t="s">
        <v>773</v>
      </c>
      <c r="K13500" s="381">
        <v>0.0</v>
      </c>
      <c r="L13500" s="382">
        <v>1.0</v>
      </c>
    </row>
    <row r="13501">
      <c r="A13501" s="380" t="s">
        <v>14375</v>
      </c>
      <c r="B13501" s="380" t="str">
        <f>IFERROR(__xludf.DUMMYFUNCTION("""COMPUTED_VALUE"""),"Switch Moto Suzuki Ax100")</f>
        <v>Switch Moto Suzuki Ax100</v>
      </c>
      <c r="C13501" s="380" t="str">
        <f>IFERROR(__xludf.DUMMYFUNCTION("""COMPUTED_VALUE"""),"70008978")</f>
        <v>70008978</v>
      </c>
      <c r="D13501" s="380" t="s">
        <v>767</v>
      </c>
      <c r="E13501" s="380" t="s">
        <v>786</v>
      </c>
      <c r="F13501" s="380" t="s">
        <v>998</v>
      </c>
      <c r="G13501" s="380" t="s">
        <v>1267</v>
      </c>
      <c r="H13501" s="380" t="s">
        <v>771</v>
      </c>
      <c r="I13501" s="380" t="s">
        <v>788</v>
      </c>
      <c r="J13501" s="380" t="s">
        <v>773</v>
      </c>
      <c r="K13501" s="381">
        <v>0.0</v>
      </c>
      <c r="L13501" s="382">
        <v>1.0</v>
      </c>
    </row>
    <row r="13502">
      <c r="A13502" s="380" t="s">
        <v>14376</v>
      </c>
      <c r="B13502" s="380" t="str">
        <f>IFERROR(__xludf.DUMMYFUNCTION("""COMPUTED_VALUE"""),"Motor Arranque Volkswagen Reparado")</f>
        <v>Motor Arranque Volkswagen Reparado</v>
      </c>
      <c r="C13502" s="380" t="str">
        <f>IFERROR(__xludf.DUMMYFUNCTION("""COMPUTED_VALUE"""),"70008979")</f>
        <v>70008979</v>
      </c>
      <c r="D13502" s="380" t="s">
        <v>767</v>
      </c>
      <c r="E13502" s="380" t="s">
        <v>786</v>
      </c>
      <c r="F13502" s="380" t="s">
        <v>998</v>
      </c>
      <c r="G13502" s="380" t="s">
        <v>1267</v>
      </c>
      <c r="H13502" s="380" t="s">
        <v>771</v>
      </c>
      <c r="I13502" s="380" t="s">
        <v>788</v>
      </c>
      <c r="J13502" s="380" t="s">
        <v>773</v>
      </c>
      <c r="K13502" s="381">
        <v>0.0</v>
      </c>
      <c r="L13502" s="382">
        <v>1.0</v>
      </c>
    </row>
    <row r="13503">
      <c r="A13503" s="380" t="s">
        <v>14377</v>
      </c>
      <c r="B13503" s="380" t="str">
        <f>IFERROR(__xludf.DUMMYFUNCTION("""COMPUTED_VALUE"""),"Radiador Volkswagen Reparado")</f>
        <v>Radiador Volkswagen Reparado</v>
      </c>
      <c r="C13503" s="380" t="str">
        <f>IFERROR(__xludf.DUMMYFUNCTION("""COMPUTED_VALUE"""),"70008980")</f>
        <v>70008980</v>
      </c>
      <c r="D13503" s="380" t="s">
        <v>767</v>
      </c>
      <c r="E13503" s="380" t="s">
        <v>786</v>
      </c>
      <c r="F13503" s="380" t="s">
        <v>787</v>
      </c>
      <c r="G13503" s="380" t="s">
        <v>1267</v>
      </c>
      <c r="H13503" s="380" t="s">
        <v>771</v>
      </c>
      <c r="I13503" s="380" t="s">
        <v>788</v>
      </c>
      <c r="J13503" s="380" t="s">
        <v>773</v>
      </c>
      <c r="K13503" s="381">
        <v>0.0</v>
      </c>
      <c r="L13503" s="382">
        <v>1.0</v>
      </c>
    </row>
    <row r="13504">
      <c r="A13504" s="380" t="s">
        <v>14378</v>
      </c>
      <c r="B13504" s="380" t="str">
        <f>IFERROR(__xludf.DUMMYFUNCTION("""COMPUTED_VALUE"""),"Retenedor Cigueñal Del. S.C 928332042")</f>
        <v>Retenedor Cigueñal Del. S.C 928332042</v>
      </c>
      <c r="C13504" s="380" t="str">
        <f>IFERROR(__xludf.DUMMYFUNCTION("""COMPUTED_VALUE"""),"70008981")</f>
        <v>70008981</v>
      </c>
      <c r="D13504" s="380" t="s">
        <v>767</v>
      </c>
      <c r="E13504" s="380" t="s">
        <v>786</v>
      </c>
      <c r="F13504" s="380" t="s">
        <v>787</v>
      </c>
      <c r="G13504" s="380" t="s">
        <v>1267</v>
      </c>
      <c r="H13504" s="380" t="s">
        <v>771</v>
      </c>
      <c r="I13504" s="380" t="s">
        <v>788</v>
      </c>
      <c r="J13504" s="380" t="s">
        <v>773</v>
      </c>
      <c r="K13504" s="381">
        <v>0.0</v>
      </c>
      <c r="L13504" s="382">
        <v>1.0</v>
      </c>
    </row>
    <row r="13505">
      <c r="A13505" s="380" t="s">
        <v>14379</v>
      </c>
      <c r="B13505" s="380" t="str">
        <f>IFERROR(__xludf.DUMMYFUNCTION("""COMPUTED_VALUE"""),"Espejo Interior Cabina Nhr 8978683482")</f>
        <v>Espejo Interior Cabina Nhr 8978683482</v>
      </c>
      <c r="C13505" s="380" t="str">
        <f>IFERROR(__xludf.DUMMYFUNCTION("""COMPUTED_VALUE"""),"70008982")</f>
        <v>70008982</v>
      </c>
      <c r="D13505" s="380" t="s">
        <v>767</v>
      </c>
      <c r="E13505" s="380" t="s">
        <v>786</v>
      </c>
      <c r="F13505" s="380" t="s">
        <v>792</v>
      </c>
      <c r="G13505" s="380" t="s">
        <v>1267</v>
      </c>
      <c r="H13505" s="380" t="s">
        <v>771</v>
      </c>
      <c r="I13505" s="380" t="s">
        <v>788</v>
      </c>
      <c r="J13505" s="380" t="s">
        <v>773</v>
      </c>
      <c r="K13505" s="381">
        <v>0.0</v>
      </c>
      <c r="L13505" s="382">
        <v>1.0</v>
      </c>
    </row>
    <row r="13506">
      <c r="A13506" s="380" t="s">
        <v>14380</v>
      </c>
      <c r="B13506" s="380" t="str">
        <f>IFERROR(__xludf.DUMMYFUNCTION("""COMPUTED_VALUE"""),"Caucho Pedal Frenoclucth Hi466")</f>
        <v>Caucho Pedal Frenoclucth Hi466</v>
      </c>
      <c r="C13506" s="380" t="str">
        <f>IFERROR(__xludf.DUMMYFUNCTION("""COMPUTED_VALUE"""),"70008983")</f>
        <v>70008983</v>
      </c>
      <c r="D13506" s="380" t="s">
        <v>767</v>
      </c>
      <c r="E13506" s="380" t="s">
        <v>786</v>
      </c>
      <c r="F13506" s="380" t="s">
        <v>5661</v>
      </c>
      <c r="G13506" s="380" t="s">
        <v>1267</v>
      </c>
      <c r="H13506" s="380" t="s">
        <v>771</v>
      </c>
      <c r="I13506" s="380" t="s">
        <v>788</v>
      </c>
      <c r="J13506" s="380" t="s">
        <v>773</v>
      </c>
      <c r="K13506" s="381">
        <v>0.0</v>
      </c>
      <c r="L13506" s="382">
        <v>1.0</v>
      </c>
    </row>
    <row r="13507">
      <c r="A13507" s="380" t="s">
        <v>14381</v>
      </c>
      <c r="B13507" s="380" t="str">
        <f>IFERROR(__xludf.DUMMYFUNCTION("""COMPUTED_VALUE"""),"Manija Elevavidrio Nhr 8970984530")</f>
        <v>Manija Elevavidrio Nhr 8970984530</v>
      </c>
      <c r="C13507" s="380" t="str">
        <f>IFERROR(__xludf.DUMMYFUNCTION("""COMPUTED_VALUE"""),"70008984")</f>
        <v>70008984</v>
      </c>
      <c r="D13507" s="380" t="s">
        <v>767</v>
      </c>
      <c r="E13507" s="380" t="s">
        <v>786</v>
      </c>
      <c r="F13507" s="380" t="s">
        <v>792</v>
      </c>
      <c r="G13507" s="380" t="s">
        <v>1267</v>
      </c>
      <c r="H13507" s="380" t="s">
        <v>771</v>
      </c>
      <c r="I13507" s="380" t="s">
        <v>788</v>
      </c>
      <c r="J13507" s="380" t="s">
        <v>773</v>
      </c>
      <c r="K13507" s="381">
        <v>0.0</v>
      </c>
      <c r="L13507" s="382">
        <v>1.0</v>
      </c>
    </row>
    <row r="13508">
      <c r="A13508" s="380" t="s">
        <v>14382</v>
      </c>
      <c r="B13508" s="380" t="str">
        <f>IFERROR(__xludf.DUMMYFUNCTION("""COMPUTED_VALUE"""),"Bloque Motor S. Carry Reparado")</f>
        <v>Bloque Motor S. Carry Reparado</v>
      </c>
      <c r="C13508" s="380" t="str">
        <f>IFERROR(__xludf.DUMMYFUNCTION("""COMPUTED_VALUE"""),"70008985")</f>
        <v>70008985</v>
      </c>
      <c r="D13508" s="380" t="s">
        <v>767</v>
      </c>
      <c r="E13508" s="380" t="s">
        <v>786</v>
      </c>
      <c r="F13508" s="380" t="s">
        <v>787</v>
      </c>
      <c r="G13508" s="380" t="s">
        <v>1267</v>
      </c>
      <c r="H13508" s="380" t="s">
        <v>771</v>
      </c>
      <c r="I13508" s="380" t="s">
        <v>788</v>
      </c>
      <c r="J13508" s="380" t="s">
        <v>773</v>
      </c>
      <c r="K13508" s="381">
        <v>0.0</v>
      </c>
      <c r="L13508" s="382">
        <v>1.0</v>
      </c>
    </row>
    <row r="13509">
      <c r="A13509" s="380" t="s">
        <v>14383</v>
      </c>
      <c r="B13509" s="380" t="str">
        <f>IFERROR(__xludf.DUMMYFUNCTION("""COMPUTED_VALUE"""),"Manigueta Izqui Clutch Akt 125 B05191024")</f>
        <v>Manigueta Izqui Clutch Akt 125 B05191024</v>
      </c>
      <c r="C13509" s="380" t="str">
        <f>IFERROR(__xludf.DUMMYFUNCTION("""COMPUTED_VALUE"""),"70008986")</f>
        <v>70008986</v>
      </c>
      <c r="D13509" s="380" t="s">
        <v>767</v>
      </c>
      <c r="E13509" s="380" t="s">
        <v>786</v>
      </c>
      <c r="F13509" s="380" t="s">
        <v>5661</v>
      </c>
      <c r="G13509" s="380" t="s">
        <v>1267</v>
      </c>
      <c r="H13509" s="380" t="s">
        <v>771</v>
      </c>
      <c r="I13509" s="380" t="s">
        <v>788</v>
      </c>
      <c r="J13509" s="380" t="s">
        <v>773</v>
      </c>
      <c r="K13509" s="381">
        <v>39425.0</v>
      </c>
      <c r="L13509" s="382">
        <v>1.0</v>
      </c>
    </row>
    <row r="13510">
      <c r="A13510" s="380" t="s">
        <v>14384</v>
      </c>
      <c r="B13510" s="380" t="str">
        <f>IFERROR(__xludf.DUMMYFUNCTION("""COMPUTED_VALUE"""),"Biela Motor Npr Reparado")</f>
        <v>Biela Motor Npr Reparado</v>
      </c>
      <c r="C13510" s="380" t="str">
        <f>IFERROR(__xludf.DUMMYFUNCTION("""COMPUTED_VALUE"""),"70008987")</f>
        <v>70008987</v>
      </c>
      <c r="D13510" s="380" t="s">
        <v>767</v>
      </c>
      <c r="E13510" s="380" t="s">
        <v>786</v>
      </c>
      <c r="F13510" s="380" t="s">
        <v>787</v>
      </c>
      <c r="G13510" s="380" t="s">
        <v>1267</v>
      </c>
      <c r="H13510" s="380" t="s">
        <v>771</v>
      </c>
      <c r="I13510" s="380" t="s">
        <v>788</v>
      </c>
      <c r="J13510" s="380" t="s">
        <v>773</v>
      </c>
      <c r="K13510" s="381">
        <v>0.0</v>
      </c>
      <c r="L13510" s="382">
        <v>1.0</v>
      </c>
    </row>
    <row r="13511">
      <c r="A13511" s="380" t="s">
        <v>14385</v>
      </c>
      <c r="B13511" s="380" t="str">
        <f>IFERROR(__xludf.DUMMYFUNCTION("""COMPUTED_VALUE"""),"Cigueñal Motor Hi 466 Reparado")</f>
        <v>Cigueñal Motor Hi 466 Reparado</v>
      </c>
      <c r="C13511" s="380" t="str">
        <f>IFERROR(__xludf.DUMMYFUNCTION("""COMPUTED_VALUE"""),"70008988")</f>
        <v>70008988</v>
      </c>
      <c r="D13511" s="380" t="s">
        <v>767</v>
      </c>
      <c r="E13511" s="380" t="s">
        <v>786</v>
      </c>
      <c r="F13511" s="380" t="s">
        <v>787</v>
      </c>
      <c r="G13511" s="380" t="s">
        <v>1267</v>
      </c>
      <c r="H13511" s="380" t="s">
        <v>771</v>
      </c>
      <c r="I13511" s="380" t="s">
        <v>788</v>
      </c>
      <c r="J13511" s="380" t="s">
        <v>773</v>
      </c>
      <c r="K13511" s="381">
        <v>0.0</v>
      </c>
      <c r="L13511" s="382">
        <v>1.0</v>
      </c>
    </row>
    <row r="13512">
      <c r="A13512" s="380" t="s">
        <v>14386</v>
      </c>
      <c r="B13512" s="380" t="str">
        <f>IFERROR(__xludf.DUMMYFUNCTION("""COMPUTED_VALUE"""),"Hoja Resorte Trasera Npr Imal 22917/2")</f>
        <v>Hoja Resorte Trasera Npr Imal 22917/2</v>
      </c>
      <c r="C13512" s="380" t="str">
        <f>IFERROR(__xludf.DUMMYFUNCTION("""COMPUTED_VALUE"""),"70008989")</f>
        <v>70008989</v>
      </c>
      <c r="D13512" s="380" t="s">
        <v>767</v>
      </c>
      <c r="E13512" s="380" t="s">
        <v>786</v>
      </c>
      <c r="F13512" s="380" t="s">
        <v>1039</v>
      </c>
      <c r="G13512" s="380" t="s">
        <v>1267</v>
      </c>
      <c r="H13512" s="380" t="s">
        <v>771</v>
      </c>
      <c r="I13512" s="380" t="s">
        <v>788</v>
      </c>
      <c r="J13512" s="380" t="s">
        <v>773</v>
      </c>
      <c r="K13512" s="381">
        <v>0.0</v>
      </c>
      <c r="L13512" s="382">
        <v>1.0</v>
      </c>
    </row>
    <row r="13513">
      <c r="A13513" s="380" t="s">
        <v>14387</v>
      </c>
      <c r="B13513" s="380" t="str">
        <f>IFERROR(__xludf.DUMMYFUNCTION("""COMPUTED_VALUE"""),"Juego Bandas Tras Honda Moto H06430kbr0")</f>
        <v>Juego Bandas Tras Honda Moto H06430kbr0</v>
      </c>
      <c r="C13513" s="380" t="str">
        <f>IFERROR(__xludf.DUMMYFUNCTION("""COMPUTED_VALUE"""),"70008990")</f>
        <v>70008990</v>
      </c>
      <c r="D13513" s="380" t="s">
        <v>767</v>
      </c>
      <c r="E13513" s="380" t="s">
        <v>786</v>
      </c>
      <c r="F13513" s="380" t="s">
        <v>1017</v>
      </c>
      <c r="G13513" s="380" t="s">
        <v>1267</v>
      </c>
      <c r="H13513" s="380" t="s">
        <v>771</v>
      </c>
      <c r="I13513" s="380" t="s">
        <v>788</v>
      </c>
      <c r="J13513" s="380" t="s">
        <v>773</v>
      </c>
      <c r="K13513" s="381">
        <v>0.0</v>
      </c>
      <c r="L13513" s="382">
        <v>1.0</v>
      </c>
    </row>
    <row r="13514">
      <c r="A13514" s="380" t="s">
        <v>14388</v>
      </c>
      <c r="B13514" s="380" t="str">
        <f>IFERROR(__xludf.DUMMYFUNCTION("""COMPUTED_VALUE"""),"Conden Condensador A/C Kenworth Reparado")</f>
        <v>Conden Condensador A/C Kenworth Reparado</v>
      </c>
      <c r="C13514" s="380" t="str">
        <f>IFERROR(__xludf.DUMMYFUNCTION("""COMPUTED_VALUE"""),"70008991")</f>
        <v>70008991</v>
      </c>
      <c r="D13514" s="380" t="s">
        <v>767</v>
      </c>
      <c r="E13514" s="380" t="s">
        <v>786</v>
      </c>
      <c r="F13514" s="380" t="s">
        <v>1031</v>
      </c>
      <c r="G13514" s="380" t="s">
        <v>1267</v>
      </c>
      <c r="H13514" s="380" t="s">
        <v>771</v>
      </c>
      <c r="I13514" s="380" t="s">
        <v>788</v>
      </c>
      <c r="J13514" s="380" t="s">
        <v>773</v>
      </c>
      <c r="K13514" s="381">
        <v>0.0</v>
      </c>
      <c r="L13514" s="382">
        <v>1.0</v>
      </c>
    </row>
    <row r="13515">
      <c r="A13515" s="380" t="s">
        <v>14389</v>
      </c>
      <c r="B13515" s="380" t="str">
        <f>IFERROR(__xludf.DUMMYFUNCTION("""COMPUTED_VALUE"""),"Esquinero Manpara Trailer")</f>
        <v>Esquinero Manpara Trailer</v>
      </c>
      <c r="C13515" s="380" t="str">
        <f>IFERROR(__xludf.DUMMYFUNCTION("""COMPUTED_VALUE"""),"70008992")</f>
        <v>70008992</v>
      </c>
      <c r="D13515" s="380" t="s">
        <v>767</v>
      </c>
      <c r="E13515" s="380" t="s">
        <v>786</v>
      </c>
      <c r="F13515" s="380" t="s">
        <v>792</v>
      </c>
      <c r="G13515" s="380" t="s">
        <v>1267</v>
      </c>
      <c r="H13515" s="380" t="s">
        <v>771</v>
      </c>
      <c r="I13515" s="380" t="s">
        <v>788</v>
      </c>
      <c r="J13515" s="380" t="s">
        <v>773</v>
      </c>
      <c r="K13515" s="381">
        <v>0.0</v>
      </c>
      <c r="L13515" s="382">
        <v>1.0</v>
      </c>
    </row>
    <row r="13516">
      <c r="A13516" s="380" t="s">
        <v>14390</v>
      </c>
      <c r="B13516" s="380" t="str">
        <f>IFERROR(__xludf.DUMMYFUNCTION("""COMPUTED_VALUE"""),"Kit Tijeras Susp. Suzuki Fr80")</f>
        <v>Kit Tijeras Susp. Suzuki Fr80</v>
      </c>
      <c r="C13516" s="380" t="str">
        <f>IFERROR(__xludf.DUMMYFUNCTION("""COMPUTED_VALUE"""),"70008993")</f>
        <v>70008993</v>
      </c>
      <c r="D13516" s="380" t="s">
        <v>767</v>
      </c>
      <c r="E13516" s="380" t="s">
        <v>786</v>
      </c>
      <c r="F13516" s="380" t="s">
        <v>1039</v>
      </c>
      <c r="G13516" s="380" t="s">
        <v>1267</v>
      </c>
      <c r="H13516" s="380" t="s">
        <v>771</v>
      </c>
      <c r="I13516" s="380" t="s">
        <v>788</v>
      </c>
      <c r="J13516" s="380" t="s">
        <v>773</v>
      </c>
      <c r="K13516" s="381">
        <v>0.0</v>
      </c>
      <c r="L13516" s="382">
        <v>1.0</v>
      </c>
    </row>
    <row r="13517">
      <c r="A13517" s="380" t="s">
        <v>14391</v>
      </c>
      <c r="B13517" s="380" t="str">
        <f>IFERROR(__xludf.DUMMYFUNCTION("""COMPUTED_VALUE"""),"Motor Arranque Hyundai Reparado")</f>
        <v>Motor Arranque Hyundai Reparado</v>
      </c>
      <c r="C13517" s="380" t="str">
        <f>IFERROR(__xludf.DUMMYFUNCTION("""COMPUTED_VALUE"""),"70008994")</f>
        <v>70008994</v>
      </c>
      <c r="D13517" s="380" t="s">
        <v>767</v>
      </c>
      <c r="E13517" s="380" t="s">
        <v>786</v>
      </c>
      <c r="F13517" s="380" t="s">
        <v>998</v>
      </c>
      <c r="G13517" s="380" t="s">
        <v>1267</v>
      </c>
      <c r="H13517" s="380" t="s">
        <v>771</v>
      </c>
      <c r="I13517" s="380" t="s">
        <v>788</v>
      </c>
      <c r="J13517" s="380" t="s">
        <v>773</v>
      </c>
      <c r="K13517" s="381">
        <v>0.0</v>
      </c>
      <c r="L13517" s="382">
        <v>1.0</v>
      </c>
    </row>
    <row r="13518">
      <c r="A13518" s="380" t="s">
        <v>14392</v>
      </c>
      <c r="B13518" s="380" t="str">
        <f>IFERROR(__xludf.DUMMYFUNCTION("""COMPUTED_VALUE"""),"Caucho Campana Suzuki Ax 100")</f>
        <v>Caucho Campana Suzuki Ax 100</v>
      </c>
      <c r="C13518" s="380" t="str">
        <f>IFERROR(__xludf.DUMMYFUNCTION("""COMPUTED_VALUE"""),"70008995")</f>
        <v>70008995</v>
      </c>
      <c r="D13518" s="380" t="s">
        <v>767</v>
      </c>
      <c r="E13518" s="380" t="s">
        <v>786</v>
      </c>
      <c r="F13518" s="380" t="s">
        <v>1017</v>
      </c>
      <c r="G13518" s="380" t="s">
        <v>1267</v>
      </c>
      <c r="H13518" s="380" t="s">
        <v>771</v>
      </c>
      <c r="I13518" s="380" t="s">
        <v>788</v>
      </c>
      <c r="J13518" s="380" t="s">
        <v>773</v>
      </c>
      <c r="K13518" s="381">
        <v>0.0</v>
      </c>
      <c r="L13518" s="382">
        <v>1.0</v>
      </c>
    </row>
    <row r="13519">
      <c r="A13519" s="380" t="s">
        <v>14393</v>
      </c>
      <c r="B13519" s="380" t="str">
        <f>IFERROR(__xludf.DUMMYFUNCTION("""COMPUTED_VALUE"""),"Retenedor Piñon Suzuki Ax 100")</f>
        <v>Retenedor Piñon Suzuki Ax 100</v>
      </c>
      <c r="C13519" s="380" t="str">
        <f>IFERROR(__xludf.DUMMYFUNCTION("""COMPUTED_VALUE"""),"70008996")</f>
        <v>70008996</v>
      </c>
      <c r="D13519" s="380" t="s">
        <v>767</v>
      </c>
      <c r="E13519" s="380" t="s">
        <v>786</v>
      </c>
      <c r="F13519" s="380" t="s">
        <v>5683</v>
      </c>
      <c r="G13519" s="380" t="s">
        <v>1267</v>
      </c>
      <c r="H13519" s="380" t="s">
        <v>771</v>
      </c>
      <c r="I13519" s="380" t="s">
        <v>788</v>
      </c>
      <c r="J13519" s="380" t="s">
        <v>773</v>
      </c>
      <c r="K13519" s="381">
        <v>0.0</v>
      </c>
      <c r="L13519" s="382">
        <v>1.0</v>
      </c>
    </row>
    <row r="13520">
      <c r="A13520" s="380" t="s">
        <v>14394</v>
      </c>
      <c r="B13520" s="380" t="str">
        <f>IFERROR(__xludf.DUMMYFUNCTION("""COMPUTED_VALUE"""),"Retenedor 15x31x3 Suzuki Ax100")</f>
        <v>Retenedor 15x31x3 Suzuki Ax100</v>
      </c>
      <c r="C13520" s="380" t="str">
        <f>IFERROR(__xludf.DUMMYFUNCTION("""COMPUTED_VALUE"""),"70008997")</f>
        <v>70008997</v>
      </c>
      <c r="D13520" s="380" t="s">
        <v>767</v>
      </c>
      <c r="E13520" s="380" t="s">
        <v>786</v>
      </c>
      <c r="F13520" s="380" t="s">
        <v>5683</v>
      </c>
      <c r="G13520" s="380" t="s">
        <v>1267</v>
      </c>
      <c r="H13520" s="380" t="s">
        <v>771</v>
      </c>
      <c r="I13520" s="380" t="s">
        <v>788</v>
      </c>
      <c r="J13520" s="380" t="s">
        <v>773</v>
      </c>
      <c r="K13520" s="381">
        <v>0.0</v>
      </c>
      <c r="L13520" s="382">
        <v>1.0</v>
      </c>
    </row>
    <row r="13521">
      <c r="A13521" s="380" t="s">
        <v>14395</v>
      </c>
      <c r="B13521" s="380" t="str">
        <f>IFERROR(__xludf.DUMMYFUNCTION("""COMPUTED_VALUE"""),"Retenedor 42x58x7 Suzuki Ax100")</f>
        <v>Retenedor 42x58x7 Suzuki Ax100</v>
      </c>
      <c r="C13521" s="380" t="str">
        <f>IFERROR(__xludf.DUMMYFUNCTION("""COMPUTED_VALUE"""),"70008998")</f>
        <v>70008998</v>
      </c>
      <c r="D13521" s="380" t="s">
        <v>767</v>
      </c>
      <c r="E13521" s="380" t="s">
        <v>786</v>
      </c>
      <c r="F13521" s="380" t="s">
        <v>5683</v>
      </c>
      <c r="G13521" s="380" t="s">
        <v>1267</v>
      </c>
      <c r="H13521" s="380" t="s">
        <v>771</v>
      </c>
      <c r="I13521" s="380" t="s">
        <v>788</v>
      </c>
      <c r="J13521" s="380" t="s">
        <v>773</v>
      </c>
      <c r="K13521" s="381">
        <v>0.0</v>
      </c>
      <c r="L13521" s="382">
        <v>1.0</v>
      </c>
    </row>
    <row r="13522">
      <c r="A13522" s="380" t="s">
        <v>14396</v>
      </c>
      <c r="B13522" s="380" t="str">
        <f>IFERROR(__xludf.DUMMYFUNCTION("""COMPUTED_VALUE"""),"Campana Reparado")</f>
        <v>Campana Reparado</v>
      </c>
      <c r="C13522" s="380" t="str">
        <f>IFERROR(__xludf.DUMMYFUNCTION("""COMPUTED_VALUE"""),"70008999")</f>
        <v>70008999</v>
      </c>
      <c r="D13522" s="380" t="s">
        <v>767</v>
      </c>
      <c r="E13522" s="380" t="s">
        <v>786</v>
      </c>
      <c r="F13522" s="380" t="s">
        <v>1017</v>
      </c>
      <c r="G13522" s="380" t="s">
        <v>1267</v>
      </c>
      <c r="H13522" s="380" t="s">
        <v>771</v>
      </c>
      <c r="I13522" s="380" t="s">
        <v>788</v>
      </c>
      <c r="J13522" s="380" t="s">
        <v>773</v>
      </c>
      <c r="K13522" s="381">
        <v>142800.0</v>
      </c>
      <c r="L13522" s="382">
        <v>1.0</v>
      </c>
    </row>
    <row r="13523">
      <c r="A13523" s="380" t="s">
        <v>14397</v>
      </c>
      <c r="B13523" s="380" t="str">
        <f>IFERROR(__xludf.DUMMYFUNCTION("""COMPUTED_VALUE"""),"Campana Trasera Nhr Reparado")</f>
        <v>Campana Trasera Nhr Reparado</v>
      </c>
      <c r="C13523" s="380" t="str">
        <f>IFERROR(__xludf.DUMMYFUNCTION("""COMPUTED_VALUE"""),"70009000")</f>
        <v>70009000</v>
      </c>
      <c r="D13523" s="380" t="s">
        <v>767</v>
      </c>
      <c r="E13523" s="380" t="s">
        <v>786</v>
      </c>
      <c r="F13523" s="380" t="s">
        <v>1017</v>
      </c>
      <c r="G13523" s="380" t="s">
        <v>1267</v>
      </c>
      <c r="H13523" s="380" t="s">
        <v>771</v>
      </c>
      <c r="I13523" s="380" t="s">
        <v>788</v>
      </c>
      <c r="J13523" s="380" t="s">
        <v>773</v>
      </c>
      <c r="K13523" s="381">
        <v>0.0</v>
      </c>
      <c r="L13523" s="382">
        <v>1.0</v>
      </c>
    </row>
    <row r="13524">
      <c r="A13524" s="380" t="s">
        <v>14398</v>
      </c>
      <c r="B13524" s="380" t="str">
        <f>IFERROR(__xludf.DUMMYFUNCTION("""COMPUTED_VALUE"""),"Campana 10h 22cm Trasera Zbr-3600a")</f>
        <v>Campana 10h 22cm Trasera Zbr-3600a</v>
      </c>
      <c r="C13524" s="380" t="str">
        <f>IFERROR(__xludf.DUMMYFUNCTION("""COMPUTED_VALUE"""),"70009001")</f>
        <v>70009001</v>
      </c>
      <c r="D13524" s="380" t="s">
        <v>767</v>
      </c>
      <c r="E13524" s="380" t="s">
        <v>786</v>
      </c>
      <c r="F13524" s="380" t="s">
        <v>1017</v>
      </c>
      <c r="G13524" s="380" t="s">
        <v>1267</v>
      </c>
      <c r="H13524" s="380" t="s">
        <v>771</v>
      </c>
      <c r="I13524" s="380" t="s">
        <v>788</v>
      </c>
      <c r="J13524" s="380" t="s">
        <v>773</v>
      </c>
      <c r="K13524" s="381">
        <v>352671.0</v>
      </c>
      <c r="L13524" s="382">
        <v>1.0</v>
      </c>
    </row>
    <row r="13525">
      <c r="A13525" s="380" t="s">
        <v>14399</v>
      </c>
      <c r="B13525" s="380" t="str">
        <f>IFERROR(__xludf.DUMMYFUNCTION("""COMPUTED_VALUE"""),"Inyector Motor Nhr St Reparado")</f>
        <v>Inyector Motor Nhr St Reparado</v>
      </c>
      <c r="C13525" s="380" t="str">
        <f>IFERROR(__xludf.DUMMYFUNCTION("""COMPUTED_VALUE"""),"70009002")</f>
        <v>70009002</v>
      </c>
      <c r="D13525" s="380" t="s">
        <v>767</v>
      </c>
      <c r="E13525" s="380" t="s">
        <v>786</v>
      </c>
      <c r="F13525" s="380" t="s">
        <v>787</v>
      </c>
      <c r="G13525" s="380" t="s">
        <v>1267</v>
      </c>
      <c r="H13525" s="380" t="s">
        <v>771</v>
      </c>
      <c r="I13525" s="380" t="s">
        <v>788</v>
      </c>
      <c r="J13525" s="380" t="s">
        <v>773</v>
      </c>
      <c r="K13525" s="381">
        <v>0.0</v>
      </c>
      <c r="L13525" s="382">
        <v>1.0</v>
      </c>
    </row>
    <row r="13526">
      <c r="A13526" s="380" t="s">
        <v>14400</v>
      </c>
      <c r="B13526" s="380" t="str">
        <f>IFERROR(__xludf.DUMMYFUNCTION("""COMPUTED_VALUE"""),"EMP De Culata SZ Dr 65 S111414801")</f>
        <v>EMP De Culata SZ Dr 65 S111414801</v>
      </c>
      <c r="C13526" s="380" t="str">
        <f>IFERROR(__xludf.DUMMYFUNCTION("""COMPUTED_VALUE"""),"70009003")</f>
        <v>70009003</v>
      </c>
      <c r="D13526" s="380" t="s">
        <v>767</v>
      </c>
      <c r="E13526" s="380" t="s">
        <v>786</v>
      </c>
      <c r="F13526" s="380" t="s">
        <v>787</v>
      </c>
      <c r="G13526" s="380" t="s">
        <v>1267</v>
      </c>
      <c r="H13526" s="380" t="s">
        <v>771</v>
      </c>
      <c r="I13526" s="380" t="s">
        <v>788</v>
      </c>
      <c r="J13526" s="380" t="s">
        <v>773</v>
      </c>
      <c r="K13526" s="381">
        <v>0.0</v>
      </c>
      <c r="L13526" s="382">
        <v>1.0</v>
      </c>
    </row>
    <row r="13527">
      <c r="A13527" s="380" t="s">
        <v>14401</v>
      </c>
      <c r="B13527" s="380" t="str">
        <f>IFERROR(__xludf.DUMMYFUNCTION("""COMPUTED_VALUE"""),"Empaque Cilindro Motor Suzuki S112414132")</f>
        <v>Empaque Cilindro Motor Suzuki S112414132</v>
      </c>
      <c r="C13527" s="380" t="str">
        <f>IFERROR(__xludf.DUMMYFUNCTION("""COMPUTED_VALUE"""),"70009004")</f>
        <v>70009004</v>
      </c>
      <c r="D13527" s="380" t="s">
        <v>767</v>
      </c>
      <c r="E13527" s="380" t="s">
        <v>786</v>
      </c>
      <c r="F13527" s="380" t="s">
        <v>787</v>
      </c>
      <c r="G13527" s="380" t="s">
        <v>1267</v>
      </c>
      <c r="H13527" s="380" t="s">
        <v>771</v>
      </c>
      <c r="I13527" s="380" t="s">
        <v>788</v>
      </c>
      <c r="J13527" s="380" t="s">
        <v>773</v>
      </c>
      <c r="K13527" s="381">
        <v>0.0</v>
      </c>
      <c r="L13527" s="382">
        <v>1.0</v>
      </c>
    </row>
    <row r="13528">
      <c r="A13528" s="380" t="s">
        <v>14402</v>
      </c>
      <c r="B13528" s="380" t="str">
        <f>IFERROR(__xludf.DUMMYFUNCTION("""COMPUTED_VALUE"""),"Caucho Manigueta Moto Suzuki")</f>
        <v>Caucho Manigueta Moto Suzuki</v>
      </c>
      <c r="C13528" s="380" t="str">
        <f>IFERROR(__xludf.DUMMYFUNCTION("""COMPUTED_VALUE"""),"70009005")</f>
        <v>70009005</v>
      </c>
      <c r="D13528" s="380" t="s">
        <v>767</v>
      </c>
      <c r="E13528" s="380" t="s">
        <v>786</v>
      </c>
      <c r="F13528" s="380" t="s">
        <v>1020</v>
      </c>
      <c r="G13528" s="380" t="s">
        <v>1267</v>
      </c>
      <c r="H13528" s="380" t="s">
        <v>771</v>
      </c>
      <c r="I13528" s="380" t="s">
        <v>788</v>
      </c>
      <c r="J13528" s="380" t="s">
        <v>773</v>
      </c>
      <c r="K13528" s="381">
        <v>0.0</v>
      </c>
      <c r="L13528" s="382">
        <v>1.0</v>
      </c>
    </row>
    <row r="13529">
      <c r="A13529" s="380" t="s">
        <v>14403</v>
      </c>
      <c r="B13529" s="380" t="str">
        <f>IFERROR(__xludf.DUMMYFUNCTION("""COMPUTED_VALUE"""),"Buje Muelle Delant. Nhr 8970815310")</f>
        <v>Buje Muelle Delant. Nhr 8970815310</v>
      </c>
      <c r="C13529" s="380" t="str">
        <f>IFERROR(__xludf.DUMMYFUNCTION("""COMPUTED_VALUE"""),"70009006")</f>
        <v>70009006</v>
      </c>
      <c r="D13529" s="380" t="s">
        <v>767</v>
      </c>
      <c r="E13529" s="380" t="s">
        <v>786</v>
      </c>
      <c r="F13529" s="380" t="s">
        <v>1039</v>
      </c>
      <c r="G13529" s="380" t="s">
        <v>1267</v>
      </c>
      <c r="H13529" s="380" t="s">
        <v>771</v>
      </c>
      <c r="I13529" s="380" t="s">
        <v>788</v>
      </c>
      <c r="J13529" s="380" t="s">
        <v>773</v>
      </c>
      <c r="K13529" s="381">
        <v>24917.0</v>
      </c>
      <c r="L13529" s="382">
        <v>1.0</v>
      </c>
    </row>
    <row r="13530">
      <c r="A13530" s="380" t="s">
        <v>14404</v>
      </c>
      <c r="B13530" s="380" t="str">
        <f>IFERROR(__xludf.DUMMYFUNCTION("""COMPUTED_VALUE"""),"Culata Motor Frr Reparado")</f>
        <v>Culata Motor Frr Reparado</v>
      </c>
      <c r="C13530" s="380" t="str">
        <f>IFERROR(__xludf.DUMMYFUNCTION("""COMPUTED_VALUE"""),"70009007")</f>
        <v>70009007</v>
      </c>
      <c r="D13530" s="380" t="s">
        <v>767</v>
      </c>
      <c r="E13530" s="380" t="s">
        <v>786</v>
      </c>
      <c r="F13530" s="380" t="s">
        <v>787</v>
      </c>
      <c r="G13530" s="380" t="s">
        <v>1267</v>
      </c>
      <c r="H13530" s="380" t="s">
        <v>771</v>
      </c>
      <c r="I13530" s="380" t="s">
        <v>788</v>
      </c>
      <c r="J13530" s="380" t="s">
        <v>773</v>
      </c>
      <c r="K13530" s="381">
        <v>0.0</v>
      </c>
      <c r="L13530" s="382">
        <v>1.0</v>
      </c>
    </row>
    <row r="13531">
      <c r="A13531" s="380" t="s">
        <v>14405</v>
      </c>
      <c r="B13531" s="380" t="str">
        <f>IFERROR(__xludf.DUMMYFUNCTION("""COMPUTED_VALUE"""),"Buje Estriado Quinta Rueda Hlh-Xb 1 1")</f>
        <v>Buje Estriado Quinta Rueda Hlh-Xb 1 1</v>
      </c>
      <c r="C13531" s="380" t="str">
        <f>IFERROR(__xludf.DUMMYFUNCTION("""COMPUTED_VALUE"""),"70009008")</f>
        <v>70009008</v>
      </c>
      <c r="D13531" s="380" t="s">
        <v>767</v>
      </c>
      <c r="E13531" s="380" t="s">
        <v>786</v>
      </c>
      <c r="F13531" s="380" t="s">
        <v>792</v>
      </c>
      <c r="G13531" s="380" t="s">
        <v>1267</v>
      </c>
      <c r="H13531" s="380" t="s">
        <v>771</v>
      </c>
      <c r="I13531" s="380" t="s">
        <v>788</v>
      </c>
      <c r="J13531" s="380" t="s">
        <v>773</v>
      </c>
      <c r="K13531" s="381">
        <v>0.0</v>
      </c>
      <c r="L13531" s="382">
        <v>1.0</v>
      </c>
    </row>
    <row r="13532">
      <c r="A13532" s="380" t="s">
        <v>14406</v>
      </c>
      <c r="B13532" s="380" t="str">
        <f>IFERROR(__xludf.DUMMYFUNCTION("""COMPUTED_VALUE"""),"Valvula De Admision Suzuki Dr 90409996")</f>
        <v>Valvula De Admision Suzuki Dr 90409996</v>
      </c>
      <c r="C13532" s="380" t="str">
        <f>IFERROR(__xludf.DUMMYFUNCTION("""COMPUTED_VALUE"""),"70009009")</f>
        <v>70009009</v>
      </c>
      <c r="D13532" s="380" t="s">
        <v>767</v>
      </c>
      <c r="E13532" s="380" t="s">
        <v>786</v>
      </c>
      <c r="F13532" s="380" t="s">
        <v>787</v>
      </c>
      <c r="G13532" s="380" t="s">
        <v>1267</v>
      </c>
      <c r="H13532" s="380" t="s">
        <v>771</v>
      </c>
      <c r="I13532" s="380" t="s">
        <v>788</v>
      </c>
      <c r="J13532" s="380" t="s">
        <v>773</v>
      </c>
      <c r="K13532" s="381">
        <v>0.0</v>
      </c>
      <c r="L13532" s="382">
        <v>1.0</v>
      </c>
    </row>
    <row r="13533">
      <c r="A13533" s="380" t="s">
        <v>14407</v>
      </c>
      <c r="B13533" s="380" t="str">
        <f>IFERROR(__xludf.DUMMYFUNCTION("""COMPUTED_VALUE"""),"Culata Motor Npr Reparado")</f>
        <v>Culata Motor Npr Reparado</v>
      </c>
      <c r="C13533" s="380" t="str">
        <f>IFERROR(__xludf.DUMMYFUNCTION("""COMPUTED_VALUE"""),"70009010")</f>
        <v>70009010</v>
      </c>
      <c r="D13533" s="380" t="s">
        <v>767</v>
      </c>
      <c r="E13533" s="380" t="s">
        <v>786</v>
      </c>
      <c r="F13533" s="380" t="s">
        <v>787</v>
      </c>
      <c r="G13533" s="380" t="s">
        <v>1267</v>
      </c>
      <c r="H13533" s="380" t="s">
        <v>771</v>
      </c>
      <c r="I13533" s="380" t="s">
        <v>788</v>
      </c>
      <c r="J13533" s="380" t="s">
        <v>773</v>
      </c>
      <c r="K13533" s="381">
        <v>0.0</v>
      </c>
      <c r="L13533" s="382">
        <v>1.0</v>
      </c>
    </row>
    <row r="13534">
      <c r="A13534" s="380" t="s">
        <v>14408</v>
      </c>
      <c r="B13534" s="380" t="str">
        <f>IFERROR(__xludf.DUMMYFUNCTION("""COMPUTED_VALUE"""),"Guaya Freno De Seguridad Npr 97215434")</f>
        <v>Guaya Freno De Seguridad Npr 97215434</v>
      </c>
      <c r="C13534" s="380" t="str">
        <f>IFERROR(__xludf.DUMMYFUNCTION("""COMPUTED_VALUE"""),"70009011")</f>
        <v>70009011</v>
      </c>
      <c r="D13534" s="380" t="s">
        <v>767</v>
      </c>
      <c r="E13534" s="380" t="s">
        <v>786</v>
      </c>
      <c r="F13534" s="380" t="s">
        <v>1017</v>
      </c>
      <c r="G13534" s="380" t="s">
        <v>1267</v>
      </c>
      <c r="H13534" s="380" t="s">
        <v>771</v>
      </c>
      <c r="I13534" s="380" t="s">
        <v>788</v>
      </c>
      <c r="J13534" s="380" t="s">
        <v>773</v>
      </c>
      <c r="K13534" s="381">
        <v>0.0</v>
      </c>
      <c r="L13534" s="382">
        <v>1.0</v>
      </c>
    </row>
    <row r="13535">
      <c r="A13535" s="380" t="s">
        <v>14409</v>
      </c>
      <c r="B13535" s="380" t="str">
        <f>IFERROR(__xludf.DUMMYFUNCTION("""COMPUTED_VALUE"""),"Grapa Muelle Tras 7/16x2 3/4x6")</f>
        <v>Grapa Muelle Tras 7/16x2 3/4x6</v>
      </c>
      <c r="C13535" s="380" t="str">
        <f>IFERROR(__xludf.DUMMYFUNCTION("""COMPUTED_VALUE"""),"70009012")</f>
        <v>70009012</v>
      </c>
      <c r="D13535" s="380" t="s">
        <v>767</v>
      </c>
      <c r="E13535" s="380" t="s">
        <v>786</v>
      </c>
      <c r="F13535" s="380" t="s">
        <v>1039</v>
      </c>
      <c r="G13535" s="380" t="s">
        <v>1267</v>
      </c>
      <c r="H13535" s="380" t="s">
        <v>771</v>
      </c>
      <c r="I13535" s="380" t="s">
        <v>788</v>
      </c>
      <c r="J13535" s="380" t="s">
        <v>773</v>
      </c>
      <c r="K13535" s="381">
        <v>0.0</v>
      </c>
      <c r="L13535" s="382">
        <v>1.0</v>
      </c>
    </row>
    <row r="13536">
      <c r="A13536" s="380" t="s">
        <v>14410</v>
      </c>
      <c r="B13536" s="380" t="str">
        <f>IFERROR(__xludf.DUMMYFUNCTION("""COMPUTED_VALUE"""),"Eje De Cluth Akt 200")</f>
        <v>Eje De Cluth Akt 200</v>
      </c>
      <c r="C13536" s="380" t="str">
        <f>IFERROR(__xludf.DUMMYFUNCTION("""COMPUTED_VALUE"""),"70009013")</f>
        <v>70009013</v>
      </c>
      <c r="D13536" s="380" t="s">
        <v>767</v>
      </c>
      <c r="E13536" s="380" t="s">
        <v>786</v>
      </c>
      <c r="F13536" s="380" t="s">
        <v>5683</v>
      </c>
      <c r="G13536" s="380" t="s">
        <v>1267</v>
      </c>
      <c r="H13536" s="380" t="s">
        <v>771</v>
      </c>
      <c r="I13536" s="380" t="s">
        <v>788</v>
      </c>
      <c r="J13536" s="380" t="s">
        <v>773</v>
      </c>
      <c r="K13536" s="381">
        <v>0.0</v>
      </c>
      <c r="L13536" s="382">
        <v>1.0</v>
      </c>
    </row>
    <row r="13537">
      <c r="A13537" s="380" t="s">
        <v>14411</v>
      </c>
      <c r="B13537" s="380" t="str">
        <f>IFERROR(__xludf.DUMMYFUNCTION("""COMPUTED_VALUE"""),"Bujia Moto Dr-650 0948200461 Ngk-Bp 6 H")</f>
        <v>Bujia Moto Dr-650 0948200461 Ngk-Bp 6 H</v>
      </c>
      <c r="C13537" s="380" t="str">
        <f>IFERROR(__xludf.DUMMYFUNCTION("""COMPUTED_VALUE"""),"70009014")</f>
        <v>70009014</v>
      </c>
      <c r="D13537" s="380" t="s">
        <v>767</v>
      </c>
      <c r="E13537" s="380" t="s">
        <v>786</v>
      </c>
      <c r="F13537" s="380" t="s">
        <v>998</v>
      </c>
      <c r="G13537" s="380" t="s">
        <v>1267</v>
      </c>
      <c r="H13537" s="380" t="s">
        <v>771</v>
      </c>
      <c r="I13537" s="380" t="s">
        <v>788</v>
      </c>
      <c r="J13537" s="380" t="s">
        <v>773</v>
      </c>
      <c r="K13537" s="381">
        <v>0.0</v>
      </c>
      <c r="L13537" s="382">
        <v>1.0</v>
      </c>
    </row>
    <row r="13538">
      <c r="A13538" s="380" t="s">
        <v>14412</v>
      </c>
      <c r="B13538" s="380" t="str">
        <f>IFERROR(__xludf.DUMMYFUNCTION("""COMPUTED_VALUE"""),"Guar Guarda Cadena Moto Dr650 6131101a03")</f>
        <v>Guar Guarda Cadena Moto Dr650 6131101a03</v>
      </c>
      <c r="C13538" s="380" t="str">
        <f>IFERROR(__xludf.DUMMYFUNCTION("""COMPUTED_VALUE"""),"70009015")</f>
        <v>70009015</v>
      </c>
      <c r="D13538" s="380" t="s">
        <v>767</v>
      </c>
      <c r="E13538" s="380" t="s">
        <v>786</v>
      </c>
      <c r="F13538" s="380" t="s">
        <v>1039</v>
      </c>
      <c r="G13538" s="380" t="s">
        <v>1267</v>
      </c>
      <c r="H13538" s="380" t="s">
        <v>771</v>
      </c>
      <c r="I13538" s="380" t="s">
        <v>788</v>
      </c>
      <c r="J13538" s="380" t="s">
        <v>773</v>
      </c>
      <c r="K13538" s="381">
        <v>0.0</v>
      </c>
      <c r="L13538" s="382">
        <v>1.0</v>
      </c>
    </row>
    <row r="13539">
      <c r="A13539" s="380" t="s">
        <v>14413</v>
      </c>
      <c r="B13539" s="380" t="str">
        <f>IFERROR(__xludf.DUMMYFUNCTION("""COMPUTED_VALUE"""),"Sensor Nivel Agua Nhr 8970614920")</f>
        <v>Sensor Nivel Agua Nhr 8970614920</v>
      </c>
      <c r="C13539" s="380" t="str">
        <f>IFERROR(__xludf.DUMMYFUNCTION("""COMPUTED_VALUE"""),"70009016")</f>
        <v>70009016</v>
      </c>
      <c r="D13539" s="380" t="s">
        <v>767</v>
      </c>
      <c r="E13539" s="380" t="s">
        <v>786</v>
      </c>
      <c r="F13539" s="380" t="s">
        <v>998</v>
      </c>
      <c r="G13539" s="380" t="s">
        <v>1267</v>
      </c>
      <c r="H13539" s="380" t="s">
        <v>771</v>
      </c>
      <c r="I13539" s="380" t="s">
        <v>788</v>
      </c>
      <c r="J13539" s="380" t="s">
        <v>773</v>
      </c>
      <c r="K13539" s="381">
        <v>0.0</v>
      </c>
      <c r="L13539" s="382">
        <v>1.0</v>
      </c>
    </row>
    <row r="13540">
      <c r="A13540" s="380" t="s">
        <v>14414</v>
      </c>
      <c r="B13540" s="380" t="str">
        <f>IFERROR(__xludf.DUMMYFUNCTION("""COMPUTED_VALUE"""),"Bastidor Neumatico Eag S60 Reparado")</f>
        <v>Bastidor Neumatico Eag S60 Reparado</v>
      </c>
      <c r="C13540" s="380" t="str">
        <f>IFERROR(__xludf.DUMMYFUNCTION("""COMPUTED_VALUE"""),"70009017")</f>
        <v>70009017</v>
      </c>
      <c r="D13540" s="380" t="s">
        <v>767</v>
      </c>
      <c r="E13540" s="380" t="s">
        <v>786</v>
      </c>
      <c r="F13540" s="380" t="s">
        <v>1039</v>
      </c>
      <c r="G13540" s="380" t="s">
        <v>1267</v>
      </c>
      <c r="H13540" s="380" t="s">
        <v>771</v>
      </c>
      <c r="I13540" s="380" t="s">
        <v>788</v>
      </c>
      <c r="J13540" s="380" t="s">
        <v>773</v>
      </c>
      <c r="K13540" s="381">
        <v>0.0</v>
      </c>
      <c r="L13540" s="382">
        <v>1.0</v>
      </c>
    </row>
    <row r="13541">
      <c r="A13541" s="380" t="s">
        <v>14415</v>
      </c>
      <c r="B13541" s="380" t="str">
        <f>IFERROR(__xludf.DUMMYFUNCTION("""COMPUTED_VALUE"""),"Soporte Silenciador Super Carr 95617237")</f>
        <v>Soporte Silenciador Super Carr 95617237</v>
      </c>
      <c r="C13541" s="380" t="str">
        <f>IFERROR(__xludf.DUMMYFUNCTION("""COMPUTED_VALUE"""),"70009018")</f>
        <v>70009018</v>
      </c>
      <c r="D13541" s="380" t="s">
        <v>767</v>
      </c>
      <c r="E13541" s="380" t="s">
        <v>786</v>
      </c>
      <c r="F13541" s="380" t="s">
        <v>792</v>
      </c>
      <c r="G13541" s="380" t="s">
        <v>1267</v>
      </c>
      <c r="H13541" s="380" t="s">
        <v>771</v>
      </c>
      <c r="I13541" s="380" t="s">
        <v>788</v>
      </c>
      <c r="J13541" s="380" t="s">
        <v>773</v>
      </c>
      <c r="K13541" s="381">
        <v>0.0</v>
      </c>
      <c r="L13541" s="382">
        <v>1.0</v>
      </c>
    </row>
    <row r="13542">
      <c r="A13542" s="380" t="s">
        <v>14416</v>
      </c>
      <c r="B13542" s="380" t="str">
        <f>IFERROR(__xludf.DUMMYFUNCTION("""COMPUTED_VALUE"""),"Cadena Moto Honda Kc520x110l")</f>
        <v>Cadena Moto Honda Kc520x110l</v>
      </c>
      <c r="C13542" s="380" t="str">
        <f>IFERROR(__xludf.DUMMYFUNCTION("""COMPUTED_VALUE"""),"70009019")</f>
        <v>70009019</v>
      </c>
      <c r="D13542" s="380" t="s">
        <v>767</v>
      </c>
      <c r="E13542" s="380" t="s">
        <v>786</v>
      </c>
      <c r="F13542" s="380" t="s">
        <v>1039</v>
      </c>
      <c r="G13542" s="380" t="s">
        <v>1267</v>
      </c>
      <c r="H13542" s="380" t="s">
        <v>771</v>
      </c>
      <c r="I13542" s="380" t="s">
        <v>788</v>
      </c>
      <c r="J13542" s="380" t="s">
        <v>773</v>
      </c>
      <c r="K13542" s="381">
        <v>0.0</v>
      </c>
      <c r="L13542" s="382">
        <v>1.0</v>
      </c>
    </row>
    <row r="13543">
      <c r="A13543" s="380" t="s">
        <v>14417</v>
      </c>
      <c r="B13543" s="380" t="str">
        <f>IFERROR(__xludf.DUMMYFUNCTION("""COMPUTED_VALUE"""),"Buje Volante Motor Pathfinder 32202b9500")</f>
        <v>Buje Volante Motor Pathfinder 32202b9500</v>
      </c>
      <c r="C13543" s="380" t="str">
        <f>IFERROR(__xludf.DUMMYFUNCTION("""COMPUTED_VALUE"""),"70009020")</f>
        <v>70009020</v>
      </c>
      <c r="D13543" s="380" t="s">
        <v>767</v>
      </c>
      <c r="E13543" s="380" t="s">
        <v>786</v>
      </c>
      <c r="F13543" s="380" t="s">
        <v>787</v>
      </c>
      <c r="G13543" s="380" t="s">
        <v>1267</v>
      </c>
      <c r="H13543" s="380" t="s">
        <v>771</v>
      </c>
      <c r="I13543" s="380" t="s">
        <v>788</v>
      </c>
      <c r="J13543" s="380" t="s">
        <v>773</v>
      </c>
      <c r="K13543" s="381">
        <v>0.0</v>
      </c>
      <c r="L13543" s="382">
        <v>1.0</v>
      </c>
    </row>
    <row r="13544">
      <c r="A13544" s="380" t="s">
        <v>14418</v>
      </c>
      <c r="B13544" s="380" t="str">
        <f>IFERROR(__xludf.DUMMYFUNCTION("""COMPUTED_VALUE"""),"Bujia Moto Honda Xr 200 X24es-U")</f>
        <v>Bujia Moto Honda Xr 200 X24es-U</v>
      </c>
      <c r="C13544" s="380" t="str">
        <f>IFERROR(__xludf.DUMMYFUNCTION("""COMPUTED_VALUE"""),"70009021")</f>
        <v>70009021</v>
      </c>
      <c r="D13544" s="380" t="s">
        <v>767</v>
      </c>
      <c r="E13544" s="380" t="s">
        <v>786</v>
      </c>
      <c r="F13544" s="380" t="s">
        <v>787</v>
      </c>
      <c r="G13544" s="380" t="s">
        <v>1267</v>
      </c>
      <c r="H13544" s="380" t="s">
        <v>771</v>
      </c>
      <c r="I13544" s="380" t="s">
        <v>788</v>
      </c>
      <c r="J13544" s="380" t="s">
        <v>773</v>
      </c>
      <c r="K13544" s="381">
        <v>0.0</v>
      </c>
      <c r="L13544" s="382">
        <v>1.0</v>
      </c>
    </row>
    <row r="13545">
      <c r="A13545" s="380" t="s">
        <v>14419</v>
      </c>
      <c r="B13545" s="380" t="str">
        <f>IFERROR(__xludf.DUMMYFUNCTION("""COMPUTED_VALUE"""),"Canastilla Eje Salida Moto 125 B03100609")</f>
        <v>Canastilla Eje Salida Moto 125 B03100609</v>
      </c>
      <c r="C13545" s="380" t="str">
        <f>IFERROR(__xludf.DUMMYFUNCTION("""COMPUTED_VALUE"""),"70009022")</f>
        <v>70009022</v>
      </c>
      <c r="D13545" s="380" t="s">
        <v>767</v>
      </c>
      <c r="E13545" s="380" t="s">
        <v>786</v>
      </c>
      <c r="F13545" s="380" t="s">
        <v>928</v>
      </c>
      <c r="G13545" s="380" t="s">
        <v>1267</v>
      </c>
      <c r="H13545" s="380" t="s">
        <v>771</v>
      </c>
      <c r="I13545" s="380" t="s">
        <v>788</v>
      </c>
      <c r="J13545" s="380" t="s">
        <v>773</v>
      </c>
      <c r="K13545" s="381">
        <v>0.0</v>
      </c>
      <c r="L13545" s="382">
        <v>1.0</v>
      </c>
    </row>
    <row r="13546">
      <c r="A13546" s="380" t="s">
        <v>14420</v>
      </c>
      <c r="B13546" s="380" t="str">
        <f>IFERROR(__xludf.DUMMYFUNCTION("""COMPUTED_VALUE"""),"Retenedor Moto Suzuki 15319.5")</f>
        <v>Retenedor Moto Suzuki 15319.5</v>
      </c>
      <c r="C13546" s="380" t="str">
        <f>IFERROR(__xludf.DUMMYFUNCTION("""COMPUTED_VALUE"""),"70009023")</f>
        <v>70009023</v>
      </c>
      <c r="D13546" s="380" t="s">
        <v>767</v>
      </c>
      <c r="E13546" s="380" t="s">
        <v>786</v>
      </c>
      <c r="F13546" s="380" t="s">
        <v>787</v>
      </c>
      <c r="G13546" s="380" t="s">
        <v>1267</v>
      </c>
      <c r="H13546" s="380" t="s">
        <v>771</v>
      </c>
      <c r="I13546" s="380" t="s">
        <v>788</v>
      </c>
      <c r="J13546" s="380" t="s">
        <v>773</v>
      </c>
      <c r="K13546" s="381">
        <v>0.0</v>
      </c>
      <c r="L13546" s="382">
        <v>1.0</v>
      </c>
    </row>
    <row r="13547">
      <c r="A13547" s="380" t="s">
        <v>14421</v>
      </c>
      <c r="B13547" s="380" t="str">
        <f>IFERROR(__xludf.DUMMYFUNCTION("""COMPUTED_VALUE"""),"Farola Moto Suzuki")</f>
        <v>Farola Moto Suzuki</v>
      </c>
      <c r="C13547" s="380" t="str">
        <f>IFERROR(__xludf.DUMMYFUNCTION("""COMPUTED_VALUE"""),"70009024")</f>
        <v>70009024</v>
      </c>
      <c r="D13547" s="380" t="s">
        <v>767</v>
      </c>
      <c r="E13547" s="380" t="s">
        <v>786</v>
      </c>
      <c r="F13547" s="380" t="s">
        <v>998</v>
      </c>
      <c r="G13547" s="380" t="s">
        <v>1267</v>
      </c>
      <c r="H13547" s="380" t="s">
        <v>771</v>
      </c>
      <c r="I13547" s="380" t="s">
        <v>788</v>
      </c>
      <c r="J13547" s="380" t="s">
        <v>773</v>
      </c>
      <c r="K13547" s="381">
        <v>0.0</v>
      </c>
      <c r="L13547" s="382">
        <v>1.0</v>
      </c>
    </row>
    <row r="13548">
      <c r="A13548" s="380" t="s">
        <v>14422</v>
      </c>
      <c r="B13548" s="380" t="str">
        <f>IFERROR(__xludf.DUMMYFUNCTION("""COMPUTED_VALUE"""),"Silla Conductor Reparado Foton 1039")</f>
        <v>Silla Conductor Reparado Foton 1039</v>
      </c>
      <c r="C13548" s="380" t="str">
        <f>IFERROR(__xludf.DUMMYFUNCTION("""COMPUTED_VALUE"""),"70009025")</f>
        <v>70009025</v>
      </c>
      <c r="D13548" s="380" t="s">
        <v>767</v>
      </c>
      <c r="E13548" s="380" t="s">
        <v>786</v>
      </c>
      <c r="F13548" s="380" t="s">
        <v>792</v>
      </c>
      <c r="G13548" s="380" t="s">
        <v>1267</v>
      </c>
      <c r="H13548" s="380" t="s">
        <v>771</v>
      </c>
      <c r="I13548" s="380" t="s">
        <v>788</v>
      </c>
      <c r="J13548" s="380" t="s">
        <v>773</v>
      </c>
      <c r="K13548" s="381">
        <v>0.0</v>
      </c>
      <c r="L13548" s="382">
        <v>1.0</v>
      </c>
    </row>
    <row r="13549">
      <c r="A13549" s="380" t="s">
        <v>14423</v>
      </c>
      <c r="B13549" s="380" t="str">
        <f>IFERROR(__xludf.DUMMYFUNCTION("""COMPUTED_VALUE"""),"Hoja Resorte Trasera Eagle 5ta 59007/5")</f>
        <v>Hoja Resorte Trasera Eagle 5ta 59007/5</v>
      </c>
      <c r="C13549" s="380" t="str">
        <f>IFERROR(__xludf.DUMMYFUNCTION("""COMPUTED_VALUE"""),"70009026")</f>
        <v>70009026</v>
      </c>
      <c r="D13549" s="380" t="s">
        <v>767</v>
      </c>
      <c r="E13549" s="380" t="s">
        <v>786</v>
      </c>
      <c r="F13549" s="380" t="s">
        <v>1039</v>
      </c>
      <c r="G13549" s="380" t="s">
        <v>1267</v>
      </c>
      <c r="H13549" s="380" t="s">
        <v>771</v>
      </c>
      <c r="I13549" s="380" t="s">
        <v>788</v>
      </c>
      <c r="J13549" s="380" t="s">
        <v>773</v>
      </c>
      <c r="K13549" s="381">
        <v>0.0</v>
      </c>
      <c r="L13549" s="382">
        <v>1.0</v>
      </c>
    </row>
    <row r="13550">
      <c r="A13550" s="380" t="s">
        <v>14424</v>
      </c>
      <c r="B13550" s="380" t="str">
        <f>IFERROR(__xludf.DUMMYFUNCTION("""COMPUTED_VALUE"""),"Leva Freno Trasro Moto Suzuki")</f>
        <v>Leva Freno Trasro Moto Suzuki</v>
      </c>
      <c r="C13550" s="380" t="str">
        <f>IFERROR(__xludf.DUMMYFUNCTION("""COMPUTED_VALUE"""),"70009027")</f>
        <v>70009027</v>
      </c>
      <c r="D13550" s="380" t="s">
        <v>767</v>
      </c>
      <c r="E13550" s="380" t="s">
        <v>786</v>
      </c>
      <c r="F13550" s="380" t="s">
        <v>1017</v>
      </c>
      <c r="G13550" s="380" t="s">
        <v>1267</v>
      </c>
      <c r="H13550" s="380" t="s">
        <v>771</v>
      </c>
      <c r="I13550" s="380" t="s">
        <v>788</v>
      </c>
      <c r="J13550" s="380" t="s">
        <v>773</v>
      </c>
      <c r="K13550" s="381">
        <v>0.0</v>
      </c>
      <c r="L13550" s="382">
        <v>1.0</v>
      </c>
    </row>
    <row r="13551">
      <c r="A13551" s="380" t="s">
        <v>14425</v>
      </c>
      <c r="B13551" s="380" t="str">
        <f>IFERROR(__xludf.DUMMYFUNCTION("""COMPUTED_VALUE"""),"Empaque Tapa Caja Torre 19871")</f>
        <v>Empaque Tapa Caja Torre 19871</v>
      </c>
      <c r="C13551" s="380" t="str">
        <f>IFERROR(__xludf.DUMMYFUNCTION("""COMPUTED_VALUE"""),"70009029")</f>
        <v>70009029</v>
      </c>
      <c r="D13551" s="380" t="s">
        <v>767</v>
      </c>
      <c r="E13551" s="380" t="s">
        <v>786</v>
      </c>
      <c r="F13551" s="380" t="s">
        <v>928</v>
      </c>
      <c r="G13551" s="380" t="s">
        <v>1267</v>
      </c>
      <c r="H13551" s="380" t="s">
        <v>771</v>
      </c>
      <c r="I13551" s="380" t="s">
        <v>788</v>
      </c>
      <c r="J13551" s="380" t="s">
        <v>773</v>
      </c>
      <c r="K13551" s="381">
        <v>5950.0</v>
      </c>
      <c r="L13551" s="382">
        <v>1.0</v>
      </c>
    </row>
    <row r="13552">
      <c r="A13552" s="380" t="s">
        <v>14426</v>
      </c>
      <c r="B13552" s="380" t="str">
        <f>IFERROR(__xludf.DUMMYFUNCTION("""COMPUTED_VALUE"""),"Filtro Aceite Toyota 90915yzzb7")</f>
        <v>Filtro Aceite Toyota 90915yzzb7</v>
      </c>
      <c r="C13552" s="380" t="str">
        <f>IFERROR(__xludf.DUMMYFUNCTION("""COMPUTED_VALUE"""),"70009030")</f>
        <v>70009030</v>
      </c>
      <c r="D13552" s="380" t="s">
        <v>767</v>
      </c>
      <c r="E13552" s="380" t="s">
        <v>786</v>
      </c>
      <c r="F13552" s="380" t="s">
        <v>5855</v>
      </c>
      <c r="G13552" s="380" t="s">
        <v>1267</v>
      </c>
      <c r="H13552" s="380" t="s">
        <v>771</v>
      </c>
      <c r="I13552" s="380" t="s">
        <v>788</v>
      </c>
      <c r="J13552" s="380" t="s">
        <v>773</v>
      </c>
      <c r="K13552" s="381">
        <v>0.0</v>
      </c>
      <c r="L13552" s="382">
        <v>1.0</v>
      </c>
    </row>
    <row r="13553">
      <c r="A13553" s="380" t="s">
        <v>14427</v>
      </c>
      <c r="B13553" s="380" t="str">
        <f>IFERROR(__xludf.DUMMYFUNCTION("""COMPUTED_VALUE"""),"Rodillo Rda Del S.C. Dac2858")</f>
        <v>Rodillo Rda Del S.C. Dac2858</v>
      </c>
      <c r="C13553" s="380" t="str">
        <f>IFERROR(__xludf.DUMMYFUNCTION("""COMPUTED_VALUE"""),"70009031")</f>
        <v>70009031</v>
      </c>
      <c r="D13553" s="380" t="s">
        <v>767</v>
      </c>
      <c r="E13553" s="380" t="s">
        <v>786</v>
      </c>
      <c r="F13553" s="380" t="s">
        <v>1039</v>
      </c>
      <c r="G13553" s="380" t="s">
        <v>1267</v>
      </c>
      <c r="H13553" s="380" t="s">
        <v>771</v>
      </c>
      <c r="I13553" s="380" t="s">
        <v>788</v>
      </c>
      <c r="J13553" s="380" t="s">
        <v>773</v>
      </c>
      <c r="K13553" s="381">
        <v>0.0</v>
      </c>
      <c r="L13553" s="382">
        <v>1.0</v>
      </c>
    </row>
    <row r="13554">
      <c r="A13554" s="380" t="s">
        <v>14428</v>
      </c>
      <c r="B13554" s="380" t="str">
        <f>IFERROR(__xludf.DUMMYFUNCTION("""COMPUTED_VALUE"""),"Porta Diodo Alternador Delco Remy Dr5173")</f>
        <v>Porta Diodo Alternador Delco Remy Dr5173</v>
      </c>
      <c r="C13554" s="380" t="str">
        <f>IFERROR(__xludf.DUMMYFUNCTION("""COMPUTED_VALUE"""),"70009032")</f>
        <v>70009032</v>
      </c>
      <c r="D13554" s="380" t="s">
        <v>767</v>
      </c>
      <c r="E13554" s="380" t="s">
        <v>786</v>
      </c>
      <c r="F13554" s="380" t="s">
        <v>998</v>
      </c>
      <c r="G13554" s="380" t="s">
        <v>1267</v>
      </c>
      <c r="H13554" s="380" t="s">
        <v>771</v>
      </c>
      <c r="I13554" s="380" t="s">
        <v>788</v>
      </c>
      <c r="J13554" s="380" t="s">
        <v>773</v>
      </c>
      <c r="K13554" s="381">
        <v>0.0</v>
      </c>
      <c r="L13554" s="382">
        <v>1.0</v>
      </c>
    </row>
    <row r="13555">
      <c r="A13555" s="380" t="s">
        <v>14429</v>
      </c>
      <c r="B13555" s="380" t="str">
        <f>IFERROR(__xludf.DUMMYFUNCTION("""COMPUTED_VALUE"""),"Guia Cable Acelerador Moto S570035820")</f>
        <v>Guia Cable Acelerador Moto S570035820</v>
      </c>
      <c r="C13555" s="380" t="str">
        <f>IFERROR(__xludf.DUMMYFUNCTION("""COMPUTED_VALUE"""),"70009033")</f>
        <v>70009033</v>
      </c>
      <c r="D13555" s="380" t="s">
        <v>767</v>
      </c>
      <c r="E13555" s="380" t="s">
        <v>786</v>
      </c>
      <c r="F13555" s="380" t="s">
        <v>787</v>
      </c>
      <c r="G13555" s="380" t="s">
        <v>1267</v>
      </c>
      <c r="H13555" s="380" t="s">
        <v>771</v>
      </c>
      <c r="I13555" s="380" t="s">
        <v>788</v>
      </c>
      <c r="J13555" s="380" t="s">
        <v>773</v>
      </c>
      <c r="K13555" s="381">
        <v>0.0</v>
      </c>
      <c r="L13555" s="382">
        <v>1.0</v>
      </c>
    </row>
    <row r="13556">
      <c r="A13556" s="380" t="s">
        <v>14430</v>
      </c>
      <c r="B13556" s="380" t="str">
        <f>IFERROR(__xludf.DUMMYFUNCTION("""COMPUTED_VALUE"""),"Carretel Acelerador Moto S571103504")</f>
        <v>Carretel Acelerador Moto S571103504</v>
      </c>
      <c r="C13556" s="380" t="str">
        <f>IFERROR(__xludf.DUMMYFUNCTION("""COMPUTED_VALUE"""),"70009034")</f>
        <v>70009034</v>
      </c>
      <c r="D13556" s="380" t="s">
        <v>767</v>
      </c>
      <c r="E13556" s="380" t="s">
        <v>786</v>
      </c>
      <c r="F13556" s="380" t="s">
        <v>787</v>
      </c>
      <c r="G13556" s="380" t="s">
        <v>1267</v>
      </c>
      <c r="H13556" s="380" t="s">
        <v>771</v>
      </c>
      <c r="I13556" s="380" t="s">
        <v>788</v>
      </c>
      <c r="J13556" s="380" t="s">
        <v>773</v>
      </c>
      <c r="K13556" s="381">
        <v>0.0</v>
      </c>
      <c r="L13556" s="382">
        <v>1.0</v>
      </c>
    </row>
    <row r="13557">
      <c r="A13557" s="380" t="s">
        <v>14431</v>
      </c>
      <c r="B13557" s="380" t="str">
        <f>IFERROR(__xludf.DUMMYFUNCTION("""COMPUTED_VALUE"""),"Guaya Embrague Suzuki S582002342")</f>
        <v>Guaya Embrague Suzuki S582002342</v>
      </c>
      <c r="C13557" s="380" t="str">
        <f>IFERROR(__xludf.DUMMYFUNCTION("""COMPUTED_VALUE"""),"70009035")</f>
        <v>70009035</v>
      </c>
      <c r="D13557" s="380" t="s">
        <v>767</v>
      </c>
      <c r="E13557" s="380" t="s">
        <v>786</v>
      </c>
      <c r="F13557" s="380" t="s">
        <v>5661</v>
      </c>
      <c r="G13557" s="380" t="s">
        <v>1267</v>
      </c>
      <c r="H13557" s="380" t="s">
        <v>771</v>
      </c>
      <c r="I13557" s="380" t="s">
        <v>788</v>
      </c>
      <c r="J13557" s="380" t="s">
        <v>773</v>
      </c>
      <c r="K13557" s="381">
        <v>0.0</v>
      </c>
      <c r="L13557" s="382">
        <v>1.0</v>
      </c>
    </row>
    <row r="13558">
      <c r="A13558" s="380" t="s">
        <v>14432</v>
      </c>
      <c r="B13558" s="380" t="str">
        <f>IFERROR(__xludf.DUMMYFUNCTION("""COMPUTED_VALUE"""),"Volante Motor Super Carry Reparado")</f>
        <v>Volante Motor Super Carry Reparado</v>
      </c>
      <c r="C13558" s="380" t="str">
        <f>IFERROR(__xludf.DUMMYFUNCTION("""COMPUTED_VALUE"""),"70009036")</f>
        <v>70009036</v>
      </c>
      <c r="D13558" s="380" t="s">
        <v>767</v>
      </c>
      <c r="E13558" s="380" t="s">
        <v>786</v>
      </c>
      <c r="F13558" s="380" t="s">
        <v>787</v>
      </c>
      <c r="G13558" s="380" t="s">
        <v>1267</v>
      </c>
      <c r="H13558" s="380" t="s">
        <v>771</v>
      </c>
      <c r="I13558" s="380" t="s">
        <v>788</v>
      </c>
      <c r="J13558" s="380" t="s">
        <v>773</v>
      </c>
      <c r="K13558" s="381">
        <v>0.0</v>
      </c>
      <c r="L13558" s="382">
        <v>1.0</v>
      </c>
    </row>
    <row r="13559">
      <c r="A13559" s="380" t="s">
        <v>14433</v>
      </c>
      <c r="B13559" s="380" t="str">
        <f>IFERROR(__xludf.DUMMYFUNCTION("""COMPUTED_VALUE"""),"Juego Pastas Freno Del. Honda 2302")</f>
        <v>Juego Pastas Freno Del. Honda 2302</v>
      </c>
      <c r="C13559" s="380" t="str">
        <f>IFERROR(__xludf.DUMMYFUNCTION("""COMPUTED_VALUE"""),"70009037")</f>
        <v>70009037</v>
      </c>
      <c r="D13559" s="380" t="s">
        <v>767</v>
      </c>
      <c r="E13559" s="380" t="s">
        <v>786</v>
      </c>
      <c r="F13559" s="380" t="s">
        <v>1017</v>
      </c>
      <c r="G13559" s="380" t="s">
        <v>1267</v>
      </c>
      <c r="H13559" s="380" t="s">
        <v>771</v>
      </c>
      <c r="I13559" s="380" t="s">
        <v>788</v>
      </c>
      <c r="J13559" s="380" t="s">
        <v>773</v>
      </c>
      <c r="K13559" s="381">
        <v>0.0</v>
      </c>
      <c r="L13559" s="382">
        <v>1.0</v>
      </c>
    </row>
    <row r="13560">
      <c r="A13560" s="380" t="s">
        <v>14434</v>
      </c>
      <c r="B13560" s="380" t="str">
        <f>IFERROR(__xludf.DUMMYFUNCTION("""COMPUTED_VALUE"""),"Bombillo Exploradora H3 48351 H-3 12 Vol")</f>
        <v>Bombillo Exploradora H3 48351 H-3 12 Vol</v>
      </c>
      <c r="C13560" s="380" t="str">
        <f>IFERROR(__xludf.DUMMYFUNCTION("""COMPUTED_VALUE"""),"70009038")</f>
        <v>70009038</v>
      </c>
      <c r="D13560" s="380" t="s">
        <v>767</v>
      </c>
      <c r="E13560" s="380" t="s">
        <v>786</v>
      </c>
      <c r="F13560" s="380" t="s">
        <v>998</v>
      </c>
      <c r="G13560" s="380" t="s">
        <v>1267</v>
      </c>
      <c r="H13560" s="380" t="s">
        <v>771</v>
      </c>
      <c r="I13560" s="380" t="s">
        <v>788</v>
      </c>
      <c r="J13560" s="380" t="s">
        <v>773</v>
      </c>
      <c r="K13560" s="381">
        <v>9143.0</v>
      </c>
      <c r="L13560" s="382">
        <v>1.0</v>
      </c>
    </row>
    <row r="13561">
      <c r="A13561" s="380" t="s">
        <v>14435</v>
      </c>
      <c r="B13561" s="380" t="str">
        <f>IFERROR(__xludf.DUMMYFUNCTION("""COMPUTED_VALUE"""),"Capot Eagle Reparado")</f>
        <v>Capot Eagle Reparado</v>
      </c>
      <c r="C13561" s="380" t="str">
        <f>IFERROR(__xludf.DUMMYFUNCTION("""COMPUTED_VALUE"""),"70009039")</f>
        <v>70009039</v>
      </c>
      <c r="D13561" s="380" t="s">
        <v>767</v>
      </c>
      <c r="E13561" s="380" t="s">
        <v>786</v>
      </c>
      <c r="F13561" s="380" t="s">
        <v>792</v>
      </c>
      <c r="G13561" s="380" t="s">
        <v>1267</v>
      </c>
      <c r="H13561" s="380" t="s">
        <v>771</v>
      </c>
      <c r="I13561" s="380" t="s">
        <v>788</v>
      </c>
      <c r="J13561" s="380" t="s">
        <v>773</v>
      </c>
      <c r="K13561" s="381">
        <v>0.0</v>
      </c>
      <c r="L13561" s="382">
        <v>1.0</v>
      </c>
    </row>
    <row r="13562">
      <c r="A13562" s="380" t="s">
        <v>14436</v>
      </c>
      <c r="B13562" s="380" t="str">
        <f>IFERROR(__xludf.DUMMYFUNCTION("""COMPUTED_VALUE"""),"Disco Embrague Moto Honda 222016fg60")</f>
        <v>Disco Embrague Moto Honda 222016fg60</v>
      </c>
      <c r="C13562" s="380" t="str">
        <f>IFERROR(__xludf.DUMMYFUNCTION("""COMPUTED_VALUE"""),"70009040")</f>
        <v>70009040</v>
      </c>
      <c r="D13562" s="380" t="s">
        <v>767</v>
      </c>
      <c r="E13562" s="380" t="s">
        <v>786</v>
      </c>
      <c r="F13562" s="380" t="s">
        <v>5661</v>
      </c>
      <c r="G13562" s="380" t="s">
        <v>1267</v>
      </c>
      <c r="H13562" s="380" t="s">
        <v>771</v>
      </c>
      <c r="I13562" s="380" t="s">
        <v>788</v>
      </c>
      <c r="J13562" s="380" t="s">
        <v>773</v>
      </c>
      <c r="K13562" s="381">
        <v>0.0</v>
      </c>
      <c r="L13562" s="382">
        <v>1.0</v>
      </c>
    </row>
    <row r="13563">
      <c r="A13563" s="380" t="s">
        <v>14437</v>
      </c>
      <c r="B13563" s="380" t="str">
        <f>IFERROR(__xludf.DUMMYFUNCTION("""COMPUTED_VALUE"""),"Base Espejo Exterior Der. Nh 8978567357")</f>
        <v>Base Espejo Exterior Der. Nh 8978567357</v>
      </c>
      <c r="C13563" s="380" t="str">
        <f>IFERROR(__xludf.DUMMYFUNCTION("""COMPUTED_VALUE"""),"70009041")</f>
        <v>70009041</v>
      </c>
      <c r="D13563" s="380" t="s">
        <v>767</v>
      </c>
      <c r="E13563" s="380" t="s">
        <v>786</v>
      </c>
      <c r="F13563" s="380" t="s">
        <v>792</v>
      </c>
      <c r="G13563" s="380" t="s">
        <v>1267</v>
      </c>
      <c r="H13563" s="380" t="s">
        <v>771</v>
      </c>
      <c r="I13563" s="380" t="s">
        <v>788</v>
      </c>
      <c r="J13563" s="380" t="s">
        <v>773</v>
      </c>
      <c r="K13563" s="381">
        <v>0.0</v>
      </c>
      <c r="L13563" s="382">
        <v>1.0</v>
      </c>
    </row>
    <row r="13564">
      <c r="A13564" s="380" t="s">
        <v>14438</v>
      </c>
      <c r="B13564" s="380" t="str">
        <f>IFERROR(__xludf.DUMMYFUNCTION("""COMPUTED_VALUE"""),"Radiador Nhr-Nkr-Rewa Reparado")</f>
        <v>Radiador Nhr-Nkr-Rewa Reparado</v>
      </c>
      <c r="C13564" s="380" t="str">
        <f>IFERROR(__xludf.DUMMYFUNCTION("""COMPUTED_VALUE"""),"70009042")</f>
        <v>70009042</v>
      </c>
      <c r="D13564" s="380" t="s">
        <v>767</v>
      </c>
      <c r="E13564" s="380" t="s">
        <v>786</v>
      </c>
      <c r="F13564" s="380" t="s">
        <v>787</v>
      </c>
      <c r="G13564" s="380" t="s">
        <v>1267</v>
      </c>
      <c r="H13564" s="380" t="s">
        <v>771</v>
      </c>
      <c r="I13564" s="380" t="s">
        <v>788</v>
      </c>
      <c r="J13564" s="380" t="s">
        <v>773</v>
      </c>
      <c r="K13564" s="381">
        <v>0.0</v>
      </c>
      <c r="L13564" s="382">
        <v>1.0</v>
      </c>
    </row>
    <row r="13565">
      <c r="A13565" s="380" t="s">
        <v>14439</v>
      </c>
      <c r="B13565" s="380" t="str">
        <f>IFERROR(__xludf.DUMMYFUNCTION("""COMPUTED_VALUE"""),"Bomba Agua Npr Reparado")</f>
        <v>Bomba Agua Npr Reparado</v>
      </c>
      <c r="C13565" s="380" t="str">
        <f>IFERROR(__xludf.DUMMYFUNCTION("""COMPUTED_VALUE"""),"70009043")</f>
        <v>70009043</v>
      </c>
      <c r="D13565" s="380" t="s">
        <v>767</v>
      </c>
      <c r="E13565" s="380" t="s">
        <v>786</v>
      </c>
      <c r="F13565" s="380" t="s">
        <v>787</v>
      </c>
      <c r="G13565" s="380" t="s">
        <v>1267</v>
      </c>
      <c r="H13565" s="380" t="s">
        <v>771</v>
      </c>
      <c r="I13565" s="380" t="s">
        <v>788</v>
      </c>
      <c r="J13565" s="380" t="s">
        <v>773</v>
      </c>
      <c r="K13565" s="381">
        <v>0.0</v>
      </c>
      <c r="L13565" s="382">
        <v>1.0</v>
      </c>
    </row>
    <row r="13566">
      <c r="A13566" s="380" t="s">
        <v>14440</v>
      </c>
      <c r="B13566" s="380" t="str">
        <f>IFERROR(__xludf.DUMMYFUNCTION("""COMPUTED_VALUE"""),"Manguera Hidraulica Blindada Reparado")</f>
        <v>Manguera Hidraulica Blindada Reparado</v>
      </c>
      <c r="C13566" s="380" t="str">
        <f>IFERROR(__xludf.DUMMYFUNCTION("""COMPUTED_VALUE"""),"70009044")</f>
        <v>70009044</v>
      </c>
      <c r="D13566" s="380" t="s">
        <v>767</v>
      </c>
      <c r="E13566" s="380" t="s">
        <v>786</v>
      </c>
      <c r="F13566" s="380" t="s">
        <v>989</v>
      </c>
      <c r="G13566" s="380" t="s">
        <v>1267</v>
      </c>
      <c r="H13566" s="380" t="s">
        <v>771</v>
      </c>
      <c r="I13566" s="380" t="s">
        <v>788</v>
      </c>
      <c r="J13566" s="380" t="s">
        <v>773</v>
      </c>
      <c r="K13566" s="381">
        <v>0.0</v>
      </c>
      <c r="L13566" s="382">
        <v>1.0</v>
      </c>
    </row>
    <row r="13567">
      <c r="A13567" s="380" t="s">
        <v>14441</v>
      </c>
      <c r="B13567" s="380" t="str">
        <f>IFERROR(__xludf.DUMMYFUNCTION("""COMPUTED_VALUE"""),"Estator Suzuki Dr 650")</f>
        <v>Estator Suzuki Dr 650</v>
      </c>
      <c r="C13567" s="380" t="str">
        <f>IFERROR(__xludf.DUMMYFUNCTION("""COMPUTED_VALUE"""),"70009045")</f>
        <v>70009045</v>
      </c>
      <c r="D13567" s="380" t="s">
        <v>767</v>
      </c>
      <c r="E13567" s="380" t="s">
        <v>786</v>
      </c>
      <c r="F13567" s="380" t="s">
        <v>787</v>
      </c>
      <c r="G13567" s="380" t="s">
        <v>1267</v>
      </c>
      <c r="H13567" s="380" t="s">
        <v>771</v>
      </c>
      <c r="I13567" s="380" t="s">
        <v>788</v>
      </c>
      <c r="J13567" s="380" t="s">
        <v>773</v>
      </c>
      <c r="K13567" s="381">
        <v>0.0</v>
      </c>
      <c r="L13567" s="382">
        <v>1.0</v>
      </c>
    </row>
    <row r="13568">
      <c r="A13568" s="380" t="s">
        <v>14442</v>
      </c>
      <c r="B13568" s="380" t="str">
        <f>IFERROR(__xludf.DUMMYFUNCTION("""COMPUTED_VALUE"""),"Biela Motor Isx Reparado")</f>
        <v>Biela Motor Isx Reparado</v>
      </c>
      <c r="C13568" s="380" t="str">
        <f>IFERROR(__xludf.DUMMYFUNCTION("""COMPUTED_VALUE"""),"70009046")</f>
        <v>70009046</v>
      </c>
      <c r="D13568" s="380" t="s">
        <v>767</v>
      </c>
      <c r="E13568" s="380" t="s">
        <v>786</v>
      </c>
      <c r="F13568" s="380" t="s">
        <v>787</v>
      </c>
      <c r="G13568" s="380" t="s">
        <v>1267</v>
      </c>
      <c r="H13568" s="380" t="s">
        <v>771</v>
      </c>
      <c r="I13568" s="380" t="s">
        <v>788</v>
      </c>
      <c r="J13568" s="380" t="s">
        <v>773</v>
      </c>
      <c r="K13568" s="381">
        <v>0.0</v>
      </c>
      <c r="L13568" s="382">
        <v>1.0</v>
      </c>
    </row>
    <row r="13569">
      <c r="A13569" s="380" t="s">
        <v>14443</v>
      </c>
      <c r="B13569" s="380" t="str">
        <f>IFERROR(__xludf.DUMMYFUNCTION("""COMPUTED_VALUE"""),"Guia Pin Recto Volante Nkr Reward 894410")</f>
        <v>Guia Pin Recto Volante Nkr Reward 894410</v>
      </c>
      <c r="C13569" s="380" t="str">
        <f>IFERROR(__xludf.DUMMYFUNCTION("""COMPUTED_VALUE"""),"70009047")</f>
        <v>70009047</v>
      </c>
      <c r="D13569" s="380" t="s">
        <v>767</v>
      </c>
      <c r="E13569" s="380" t="s">
        <v>786</v>
      </c>
      <c r="F13569" s="380" t="s">
        <v>787</v>
      </c>
      <c r="G13569" s="380" t="s">
        <v>1267</v>
      </c>
      <c r="H13569" s="380" t="s">
        <v>771</v>
      </c>
      <c r="I13569" s="380" t="s">
        <v>788</v>
      </c>
      <c r="J13569" s="380" t="s">
        <v>773</v>
      </c>
      <c r="K13569" s="381">
        <v>0.0</v>
      </c>
      <c r="L13569" s="382">
        <v>1.0</v>
      </c>
    </row>
    <row r="13570">
      <c r="A13570" s="380" t="s">
        <v>14444</v>
      </c>
      <c r="B13570" s="380" t="str">
        <f>IFERROR(__xludf.DUMMYFUNCTION("""COMPUTED_VALUE"""),"Bomba Agua Isx Eagle Reparado")</f>
        <v>Bomba Agua Isx Eagle Reparado</v>
      </c>
      <c r="C13570" s="380" t="str">
        <f>IFERROR(__xludf.DUMMYFUNCTION("""COMPUTED_VALUE"""),"70009048")</f>
        <v>70009048</v>
      </c>
      <c r="D13570" s="380" t="s">
        <v>767</v>
      </c>
      <c r="E13570" s="380" t="s">
        <v>786</v>
      </c>
      <c r="F13570" s="380" t="s">
        <v>787</v>
      </c>
      <c r="G13570" s="380" t="s">
        <v>1267</v>
      </c>
      <c r="H13570" s="380" t="s">
        <v>771</v>
      </c>
      <c r="I13570" s="380" t="s">
        <v>788</v>
      </c>
      <c r="J13570" s="380" t="s">
        <v>773</v>
      </c>
      <c r="K13570" s="381">
        <v>380000.0</v>
      </c>
      <c r="L13570" s="382">
        <v>1.0</v>
      </c>
    </row>
    <row r="13571">
      <c r="A13571" s="380" t="s">
        <v>14445</v>
      </c>
      <c r="B13571" s="380" t="str">
        <f>IFERROR(__xludf.DUMMYFUNCTION("""COMPUTED_VALUE"""),"Bomba Agua Sb N-14 Reparado")</f>
        <v>Bomba Agua Sb N-14 Reparado</v>
      </c>
      <c r="C13571" s="380" t="str">
        <f>IFERROR(__xludf.DUMMYFUNCTION("""COMPUTED_VALUE"""),"70009049")</f>
        <v>70009049</v>
      </c>
      <c r="D13571" s="380" t="s">
        <v>767</v>
      </c>
      <c r="E13571" s="380" t="s">
        <v>786</v>
      </c>
      <c r="F13571" s="380" t="s">
        <v>787</v>
      </c>
      <c r="G13571" s="380" t="s">
        <v>1267</v>
      </c>
      <c r="H13571" s="380" t="s">
        <v>771</v>
      </c>
      <c r="I13571" s="380" t="s">
        <v>788</v>
      </c>
      <c r="J13571" s="380" t="s">
        <v>773</v>
      </c>
      <c r="K13571" s="381">
        <v>202300.0</v>
      </c>
      <c r="L13571" s="382">
        <v>1.0</v>
      </c>
    </row>
    <row r="13572">
      <c r="A13572" s="380" t="s">
        <v>14446</v>
      </c>
      <c r="B13572" s="380" t="str">
        <f>IFERROR(__xludf.DUMMYFUNCTION("""COMPUTED_VALUE"""),"Leva Freno Varias Reparado")</f>
        <v>Leva Freno Varias Reparado</v>
      </c>
      <c r="C13572" s="380" t="str">
        <f>IFERROR(__xludf.DUMMYFUNCTION("""COMPUTED_VALUE"""),"70009050")</f>
        <v>70009050</v>
      </c>
      <c r="D13572" s="380" t="s">
        <v>767</v>
      </c>
      <c r="E13572" s="380" t="s">
        <v>786</v>
      </c>
      <c r="F13572" s="380" t="s">
        <v>1017</v>
      </c>
      <c r="G13572" s="380" t="s">
        <v>1267</v>
      </c>
      <c r="H13572" s="380" t="s">
        <v>771</v>
      </c>
      <c r="I13572" s="380" t="s">
        <v>788</v>
      </c>
      <c r="J13572" s="380" t="s">
        <v>773</v>
      </c>
      <c r="K13572" s="381">
        <v>0.0</v>
      </c>
      <c r="L13572" s="382">
        <v>1.0</v>
      </c>
    </row>
    <row r="13573">
      <c r="A13573" s="380" t="s">
        <v>14447</v>
      </c>
      <c r="B13573" s="380" t="str">
        <f>IFERROR(__xludf.DUMMYFUNCTION("""COMPUTED_VALUE"""),"Bomba Agua Super Carry Reparado")</f>
        <v>Bomba Agua Super Carry Reparado</v>
      </c>
      <c r="C13573" s="380" t="str">
        <f>IFERROR(__xludf.DUMMYFUNCTION("""COMPUTED_VALUE"""),"70009051")</f>
        <v>70009051</v>
      </c>
      <c r="D13573" s="380" t="s">
        <v>767</v>
      </c>
      <c r="E13573" s="380" t="s">
        <v>786</v>
      </c>
      <c r="F13573" s="380" t="s">
        <v>787</v>
      </c>
      <c r="G13573" s="380" t="s">
        <v>1267</v>
      </c>
      <c r="H13573" s="380" t="s">
        <v>771</v>
      </c>
      <c r="I13573" s="380" t="s">
        <v>788</v>
      </c>
      <c r="J13573" s="380" t="s">
        <v>773</v>
      </c>
      <c r="K13573" s="381">
        <v>0.0</v>
      </c>
      <c r="L13573" s="382">
        <v>1.0</v>
      </c>
    </row>
    <row r="13574">
      <c r="A13574" s="380" t="s">
        <v>14448</v>
      </c>
      <c r="B13574" s="380" t="str">
        <f>IFERROR(__xludf.DUMMYFUNCTION("""COMPUTED_VALUE"""),"Hausing Sb N14 Reparado")</f>
        <v>Hausing Sb N14 Reparado</v>
      </c>
      <c r="C13574" s="380" t="str">
        <f>IFERROR(__xludf.DUMMYFUNCTION("""COMPUTED_VALUE"""),"70009052")</f>
        <v>70009052</v>
      </c>
      <c r="D13574" s="380" t="s">
        <v>767</v>
      </c>
      <c r="E13574" s="380" t="s">
        <v>786</v>
      </c>
      <c r="F13574" s="380" t="s">
        <v>5683</v>
      </c>
      <c r="G13574" s="380" t="s">
        <v>1267</v>
      </c>
      <c r="H13574" s="380" t="s">
        <v>771</v>
      </c>
      <c r="I13574" s="380" t="s">
        <v>788</v>
      </c>
      <c r="J13574" s="380" t="s">
        <v>773</v>
      </c>
      <c r="K13574" s="381">
        <v>0.0</v>
      </c>
      <c r="L13574" s="382">
        <v>1.0</v>
      </c>
    </row>
    <row r="13575">
      <c r="A13575" s="380" t="s">
        <v>14449</v>
      </c>
      <c r="B13575" s="380" t="str">
        <f>IFERROR(__xludf.DUMMYFUNCTION("""COMPUTED_VALUE"""),"Guaya Freno Delantero Suzuki")</f>
        <v>Guaya Freno Delantero Suzuki</v>
      </c>
      <c r="C13575" s="380" t="str">
        <f>IFERROR(__xludf.DUMMYFUNCTION("""COMPUTED_VALUE"""),"70009053")</f>
        <v>70009053</v>
      </c>
      <c r="D13575" s="380" t="s">
        <v>767</v>
      </c>
      <c r="E13575" s="380" t="s">
        <v>786</v>
      </c>
      <c r="F13575" s="380" t="s">
        <v>1017</v>
      </c>
      <c r="G13575" s="380" t="s">
        <v>1267</v>
      </c>
      <c r="H13575" s="380" t="s">
        <v>771</v>
      </c>
      <c r="I13575" s="380" t="s">
        <v>788</v>
      </c>
      <c r="J13575" s="380" t="s">
        <v>773</v>
      </c>
      <c r="K13575" s="381">
        <v>0.0</v>
      </c>
      <c r="L13575" s="382">
        <v>1.0</v>
      </c>
    </row>
    <row r="13576">
      <c r="A13576" s="380" t="s">
        <v>14450</v>
      </c>
      <c r="B13576" s="380" t="str">
        <f>IFERROR(__xludf.DUMMYFUNCTION("""COMPUTED_VALUE"""),"Diafragma Camara Tipo 20")</f>
        <v>Diafragma Camara Tipo 20</v>
      </c>
      <c r="C13576" s="380" t="str">
        <f>IFERROR(__xludf.DUMMYFUNCTION("""COMPUTED_VALUE"""),"70009054")</f>
        <v>70009054</v>
      </c>
      <c r="D13576" s="380" t="s">
        <v>767</v>
      </c>
      <c r="E13576" s="380" t="s">
        <v>786</v>
      </c>
      <c r="F13576" s="380" t="s">
        <v>1017</v>
      </c>
      <c r="G13576" s="380" t="s">
        <v>1267</v>
      </c>
      <c r="H13576" s="380" t="s">
        <v>771</v>
      </c>
      <c r="I13576" s="380" t="s">
        <v>788</v>
      </c>
      <c r="J13576" s="380" t="s">
        <v>773</v>
      </c>
      <c r="K13576" s="381">
        <v>15470.0</v>
      </c>
      <c r="L13576" s="382">
        <v>1.0</v>
      </c>
    </row>
    <row r="13577">
      <c r="A13577" s="380" t="s">
        <v>14451</v>
      </c>
      <c r="B13577" s="380" t="str">
        <f>IFERROR(__xludf.DUMMYFUNCTION("""COMPUTED_VALUE"""),"Empaque Tanque Acpm 3"" 0164a")</f>
        <v>Empaque Tanque Acpm 3" 0164a</v>
      </c>
      <c r="C13577" s="380" t="str">
        <f>IFERROR(__xludf.DUMMYFUNCTION("""COMPUTED_VALUE"""),"70009055")</f>
        <v>70009055</v>
      </c>
      <c r="D13577" s="380" t="s">
        <v>767</v>
      </c>
      <c r="E13577" s="380" t="s">
        <v>786</v>
      </c>
      <c r="F13577" s="380" t="s">
        <v>792</v>
      </c>
      <c r="G13577" s="380" t="s">
        <v>1267</v>
      </c>
      <c r="H13577" s="380" t="s">
        <v>771</v>
      </c>
      <c r="I13577" s="380" t="s">
        <v>788</v>
      </c>
      <c r="J13577" s="380" t="s">
        <v>773</v>
      </c>
      <c r="K13577" s="381">
        <v>0.0</v>
      </c>
      <c r="L13577" s="382">
        <v>1.0</v>
      </c>
    </row>
    <row r="13578">
      <c r="A13578" s="380" t="s">
        <v>14452</v>
      </c>
      <c r="B13578" s="380" t="str">
        <f>IFERROR(__xludf.DUMMYFUNCTION("""COMPUTED_VALUE"""),"Bateria Moto Suzuki")</f>
        <v>Bateria Moto Suzuki</v>
      </c>
      <c r="C13578" s="380" t="str">
        <f>IFERROR(__xludf.DUMMYFUNCTION("""COMPUTED_VALUE"""),"70009056")</f>
        <v>70009056</v>
      </c>
      <c r="D13578" s="380" t="s">
        <v>767</v>
      </c>
      <c r="E13578" s="380" t="s">
        <v>786</v>
      </c>
      <c r="F13578" s="380" t="s">
        <v>998</v>
      </c>
      <c r="G13578" s="380" t="s">
        <v>1267</v>
      </c>
      <c r="H13578" s="380" t="s">
        <v>771</v>
      </c>
      <c r="I13578" s="380" t="s">
        <v>788</v>
      </c>
      <c r="J13578" s="380" t="s">
        <v>773</v>
      </c>
      <c r="K13578" s="381">
        <v>0.0</v>
      </c>
      <c r="L13578" s="382">
        <v>1.0</v>
      </c>
    </row>
    <row r="13579">
      <c r="A13579" s="380" t="s">
        <v>14453</v>
      </c>
      <c r="B13579" s="380" t="str">
        <f>IFERROR(__xludf.DUMMYFUNCTION("""COMPUTED_VALUE"""),"Manija Interior Izquierda Reparado")</f>
        <v>Manija Interior Izquierda Reparado</v>
      </c>
      <c r="C13579" s="380" t="str">
        <f>IFERROR(__xludf.DUMMYFUNCTION("""COMPUTED_VALUE"""),"70009057")</f>
        <v>70009057</v>
      </c>
      <c r="D13579" s="380" t="s">
        <v>767</v>
      </c>
      <c r="E13579" s="380" t="s">
        <v>786</v>
      </c>
      <c r="F13579" s="380" t="s">
        <v>792</v>
      </c>
      <c r="G13579" s="380" t="s">
        <v>1267</v>
      </c>
      <c r="H13579" s="380" t="s">
        <v>771</v>
      </c>
      <c r="I13579" s="380" t="s">
        <v>788</v>
      </c>
      <c r="J13579" s="380" t="s">
        <v>773</v>
      </c>
      <c r="K13579" s="381">
        <v>0.0</v>
      </c>
      <c r="L13579" s="382">
        <v>1.0</v>
      </c>
    </row>
    <row r="13580">
      <c r="A13580" s="380" t="s">
        <v>14454</v>
      </c>
      <c r="B13580" s="380" t="str">
        <f>IFERROR(__xludf.DUMMYFUNCTION("""COMPUTED_VALUE"""),"Bombona AIR Suspens Internatio 3514180c1")</f>
        <v>Bombona AIR Suspens Internatio 3514180c1</v>
      </c>
      <c r="C13580" s="380" t="str">
        <f>IFERROR(__xludf.DUMMYFUNCTION("""COMPUTED_VALUE"""),"70009058")</f>
        <v>70009058</v>
      </c>
      <c r="D13580" s="380" t="s">
        <v>767</v>
      </c>
      <c r="E13580" s="380" t="s">
        <v>786</v>
      </c>
      <c r="F13580" s="380" t="s">
        <v>1039</v>
      </c>
      <c r="G13580" s="380" t="s">
        <v>1267</v>
      </c>
      <c r="H13580" s="380" t="s">
        <v>771</v>
      </c>
      <c r="I13580" s="380" t="s">
        <v>788</v>
      </c>
      <c r="J13580" s="380" t="s">
        <v>773</v>
      </c>
      <c r="K13580" s="381">
        <v>0.0</v>
      </c>
      <c r="L13580" s="382">
        <v>1.0</v>
      </c>
    </row>
    <row r="13581">
      <c r="A13581" s="380" t="s">
        <v>14455</v>
      </c>
      <c r="B13581" s="380" t="str">
        <f>IFERROR(__xludf.DUMMYFUNCTION("""COMPUTED_VALUE"""),"Radiador Super Carry Reparado")</f>
        <v>Radiador Super Carry Reparado</v>
      </c>
      <c r="C13581" s="380" t="str">
        <f>IFERROR(__xludf.DUMMYFUNCTION("""COMPUTED_VALUE"""),"70009059")</f>
        <v>70009059</v>
      </c>
      <c r="D13581" s="380" t="s">
        <v>767</v>
      </c>
      <c r="E13581" s="380" t="s">
        <v>786</v>
      </c>
      <c r="F13581" s="380" t="s">
        <v>787</v>
      </c>
      <c r="G13581" s="380" t="s">
        <v>1267</v>
      </c>
      <c r="H13581" s="380" t="s">
        <v>771</v>
      </c>
      <c r="I13581" s="380" t="s">
        <v>788</v>
      </c>
      <c r="J13581" s="380" t="s">
        <v>773</v>
      </c>
      <c r="K13581" s="381">
        <v>0.0</v>
      </c>
      <c r="L13581" s="382">
        <v>1.0</v>
      </c>
    </row>
    <row r="13582">
      <c r="A13582" s="380" t="s">
        <v>14456</v>
      </c>
      <c r="B13582" s="380" t="str">
        <f>IFERROR(__xludf.DUMMYFUNCTION("""COMPUTED_VALUE"""),"SOP Peldaños DER Daf Cf 480 1835071")</f>
        <v>SOP Peldaños DER Daf Cf 480 1835071</v>
      </c>
      <c r="C13582" s="380" t="str">
        <f>IFERROR(__xludf.DUMMYFUNCTION("""COMPUTED_VALUE"""),"70009060")</f>
        <v>70009060</v>
      </c>
      <c r="D13582" s="380" t="s">
        <v>767</v>
      </c>
      <c r="E13582" s="380" t="s">
        <v>786</v>
      </c>
      <c r="F13582" s="380" t="s">
        <v>792</v>
      </c>
      <c r="G13582" s="380" t="s">
        <v>1267</v>
      </c>
      <c r="H13582" s="380" t="s">
        <v>771</v>
      </c>
      <c r="I13582" s="380" t="s">
        <v>788</v>
      </c>
      <c r="J13582" s="380" t="s">
        <v>773</v>
      </c>
      <c r="K13582" s="381">
        <v>0.0</v>
      </c>
      <c r="L13582" s="382">
        <v>1.0</v>
      </c>
    </row>
    <row r="13583">
      <c r="A13583" s="380" t="s">
        <v>14457</v>
      </c>
      <c r="B13583" s="380" t="str">
        <f>IFERROR(__xludf.DUMMYFUNCTION("""COMPUTED_VALUE"""),"Modulo Carroceria Inter Lt Reparado")</f>
        <v>Modulo Carroceria Inter Lt Reparado</v>
      </c>
      <c r="C13583" s="380" t="str">
        <f>IFERROR(__xludf.DUMMYFUNCTION("""COMPUTED_VALUE"""),"70009061")</f>
        <v>70009061</v>
      </c>
      <c r="D13583" s="380" t="s">
        <v>767</v>
      </c>
      <c r="E13583" s="380" t="s">
        <v>786</v>
      </c>
      <c r="F13583" s="380" t="s">
        <v>998</v>
      </c>
      <c r="G13583" s="380" t="s">
        <v>1267</v>
      </c>
      <c r="H13583" s="380" t="s">
        <v>771</v>
      </c>
      <c r="I13583" s="380" t="s">
        <v>788</v>
      </c>
      <c r="J13583" s="380" t="s">
        <v>773</v>
      </c>
      <c r="K13583" s="381">
        <v>0.0</v>
      </c>
      <c r="L13583" s="382">
        <v>1.0</v>
      </c>
    </row>
    <row r="13584">
      <c r="A13584" s="380" t="s">
        <v>14458</v>
      </c>
      <c r="B13584" s="380" t="str">
        <f>IFERROR(__xludf.DUMMYFUNCTION("""COMPUTED_VALUE"""),"Modulo Abs Inter Lt Reparado")</f>
        <v>Modulo Abs Inter Lt Reparado</v>
      </c>
      <c r="C13584" s="380" t="str">
        <f>IFERROR(__xludf.DUMMYFUNCTION("""COMPUTED_VALUE"""),"70009062")</f>
        <v>70009062</v>
      </c>
      <c r="D13584" s="380" t="s">
        <v>767</v>
      </c>
      <c r="E13584" s="380" t="s">
        <v>786</v>
      </c>
      <c r="F13584" s="380" t="s">
        <v>998</v>
      </c>
      <c r="G13584" s="380" t="s">
        <v>1267</v>
      </c>
      <c r="H13584" s="380" t="s">
        <v>771</v>
      </c>
      <c r="I13584" s="380" t="s">
        <v>788</v>
      </c>
      <c r="J13584" s="380" t="s">
        <v>773</v>
      </c>
      <c r="K13584" s="381">
        <v>0.0</v>
      </c>
      <c r="L13584" s="382">
        <v>1.0</v>
      </c>
    </row>
    <row r="13585">
      <c r="A13585" s="380" t="s">
        <v>14459</v>
      </c>
      <c r="B13585" s="380" t="str">
        <f>IFERROR(__xludf.DUMMYFUNCTION("""COMPUTED_VALUE"""),"Recibidor Capo Inter Lt Reparado")</f>
        <v>Recibidor Capo Inter Lt Reparado</v>
      </c>
      <c r="C13585" s="380" t="str">
        <f>IFERROR(__xludf.DUMMYFUNCTION("""COMPUTED_VALUE"""),"70009063")</f>
        <v>70009063</v>
      </c>
      <c r="D13585" s="380" t="s">
        <v>767</v>
      </c>
      <c r="E13585" s="380" t="s">
        <v>786</v>
      </c>
      <c r="F13585" s="380" t="s">
        <v>792</v>
      </c>
      <c r="G13585" s="380" t="s">
        <v>1267</v>
      </c>
      <c r="H13585" s="380" t="s">
        <v>771</v>
      </c>
      <c r="I13585" s="380" t="s">
        <v>788</v>
      </c>
      <c r="J13585" s="380" t="s">
        <v>773</v>
      </c>
      <c r="K13585" s="381">
        <v>107100.0</v>
      </c>
      <c r="L13585" s="382">
        <v>1.0</v>
      </c>
    </row>
    <row r="13586">
      <c r="A13586" s="380" t="s">
        <v>14460</v>
      </c>
      <c r="B13586" s="380" t="str">
        <f>IFERROR(__xludf.DUMMYFUNCTION("""COMPUTED_VALUE"""),"Actuador De Tiempo Motor Isx Reparado")</f>
        <v>Actuador De Tiempo Motor Isx Reparado</v>
      </c>
      <c r="C13586" s="380" t="str">
        <f>IFERROR(__xludf.DUMMYFUNCTION("""COMPUTED_VALUE"""),"70009064")</f>
        <v>70009064</v>
      </c>
      <c r="D13586" s="380" t="s">
        <v>767</v>
      </c>
      <c r="E13586" s="380" t="s">
        <v>786</v>
      </c>
      <c r="F13586" s="380" t="s">
        <v>787</v>
      </c>
      <c r="G13586" s="380" t="s">
        <v>1267</v>
      </c>
      <c r="H13586" s="380" t="s">
        <v>771</v>
      </c>
      <c r="I13586" s="380" t="s">
        <v>788</v>
      </c>
      <c r="J13586" s="380" t="s">
        <v>773</v>
      </c>
      <c r="K13586" s="381">
        <v>0.0</v>
      </c>
      <c r="L13586" s="382">
        <v>1.0</v>
      </c>
    </row>
    <row r="13587">
      <c r="A13587" s="380" t="s">
        <v>14461</v>
      </c>
      <c r="B13587" s="380" t="str">
        <f>IFERROR(__xludf.DUMMYFUNCTION("""COMPUTED_VALUE"""),"Espejo Retrovisor Der Completo Jmc 1054")</f>
        <v>Espejo Retrovisor Der Completo Jmc 1054</v>
      </c>
      <c r="C13587" s="380" t="str">
        <f>IFERROR(__xludf.DUMMYFUNCTION("""COMPUTED_VALUE"""),"70009065")</f>
        <v>70009065</v>
      </c>
      <c r="D13587" s="380" t="s">
        <v>767</v>
      </c>
      <c r="E13587" s="380" t="s">
        <v>786</v>
      </c>
      <c r="F13587" s="380" t="s">
        <v>998</v>
      </c>
      <c r="G13587" s="380" t="s">
        <v>1267</v>
      </c>
      <c r="H13587" s="380" t="s">
        <v>771</v>
      </c>
      <c r="I13587" s="380" t="s">
        <v>788</v>
      </c>
      <c r="J13587" s="380" t="s">
        <v>773</v>
      </c>
      <c r="K13587" s="381">
        <v>0.0</v>
      </c>
      <c r="L13587" s="382">
        <v>1.0</v>
      </c>
    </row>
    <row r="13588">
      <c r="A13588" s="380" t="s">
        <v>14462</v>
      </c>
      <c r="B13588" s="380" t="str">
        <f>IFERROR(__xludf.DUMMYFUNCTION("""COMPUTED_VALUE"""),"DIRional PTA Izq FT 1128 7705946684590")</f>
        <v>DIRional PTA Izq FT 1128 7705946684590</v>
      </c>
      <c r="C13588" s="380" t="str">
        <f>IFERROR(__xludf.DUMMYFUNCTION("""COMPUTED_VALUE"""),"70009066")</f>
        <v>70009066</v>
      </c>
      <c r="D13588" s="380" t="s">
        <v>767</v>
      </c>
      <c r="E13588" s="380" t="s">
        <v>786</v>
      </c>
      <c r="F13588" s="380" t="s">
        <v>998</v>
      </c>
      <c r="G13588" s="380" t="s">
        <v>1267</v>
      </c>
      <c r="H13588" s="380" t="s">
        <v>771</v>
      </c>
      <c r="I13588" s="380" t="s">
        <v>788</v>
      </c>
      <c r="J13588" s="380" t="s">
        <v>773</v>
      </c>
      <c r="K13588" s="381">
        <v>0.0</v>
      </c>
      <c r="L13588" s="382">
        <v>1.0</v>
      </c>
    </row>
    <row r="13589">
      <c r="A13589" s="380" t="s">
        <v>14463</v>
      </c>
      <c r="B13589" s="380" t="str">
        <f>IFERROR(__xludf.DUMMYFUNCTION("""COMPUTED_VALUE"""),"Sensor Velocidad Abs Inter Lt 3836515c91")</f>
        <v>Sensor Velocidad Abs Inter Lt 3836515c91</v>
      </c>
      <c r="C13589" s="380" t="str">
        <f>IFERROR(__xludf.DUMMYFUNCTION("""COMPUTED_VALUE"""),"70009067")</f>
        <v>70009067</v>
      </c>
      <c r="D13589" s="380" t="s">
        <v>767</v>
      </c>
      <c r="E13589" s="380" t="s">
        <v>786</v>
      </c>
      <c r="F13589" s="380" t="s">
        <v>998</v>
      </c>
      <c r="G13589" s="380" t="s">
        <v>1267</v>
      </c>
      <c r="H13589" s="380" t="s">
        <v>771</v>
      </c>
      <c r="I13589" s="380" t="s">
        <v>788</v>
      </c>
      <c r="J13589" s="380" t="s">
        <v>773</v>
      </c>
      <c r="K13589" s="381">
        <v>798121.0</v>
      </c>
      <c r="L13589" s="382">
        <v>1.0</v>
      </c>
    </row>
    <row r="13590">
      <c r="A13590" s="380" t="s">
        <v>14464</v>
      </c>
      <c r="B13590" s="380" t="str">
        <f>IFERROR(__xludf.DUMMYFUNCTION("""COMPUTED_VALUE"""),"Rodamiento Speed FT 1039 30307p6 7701023")</f>
        <v>Rodamiento Speed FT 1039 30307p6 7701023</v>
      </c>
      <c r="C13590" s="380" t="str">
        <f>IFERROR(__xludf.DUMMYFUNCTION("""COMPUTED_VALUE"""),"70009068")</f>
        <v>70009068</v>
      </c>
      <c r="D13590" s="380" t="s">
        <v>767</v>
      </c>
      <c r="E13590" s="380" t="s">
        <v>786</v>
      </c>
      <c r="F13590" s="380" t="s">
        <v>5683</v>
      </c>
      <c r="G13590" s="380" t="s">
        <v>1267</v>
      </c>
      <c r="H13590" s="380" t="s">
        <v>771</v>
      </c>
      <c r="I13590" s="380" t="s">
        <v>788</v>
      </c>
      <c r="J13590" s="380" t="s">
        <v>773</v>
      </c>
      <c r="K13590" s="381">
        <v>0.0</v>
      </c>
      <c r="L13590" s="382">
        <v>1.0</v>
      </c>
    </row>
    <row r="13591">
      <c r="A13591" s="380" t="s">
        <v>14465</v>
      </c>
      <c r="B13591" s="380" t="str">
        <f>IFERROR(__xludf.DUMMYFUNCTION("""COMPUTED_VALUE"""),"Cacho Direccion Izq Foton 1039 Reparado")</f>
        <v>Cacho Direccion Izq Foton 1039 Reparado</v>
      </c>
      <c r="C13591" s="380" t="str">
        <f>IFERROR(__xludf.DUMMYFUNCTION("""COMPUTED_VALUE"""),"70009069")</f>
        <v>70009069</v>
      </c>
      <c r="D13591" s="380" t="s">
        <v>767</v>
      </c>
      <c r="E13591" s="380" t="s">
        <v>786</v>
      </c>
      <c r="F13591" s="380" t="s">
        <v>1020</v>
      </c>
      <c r="G13591" s="380" t="s">
        <v>1267</v>
      </c>
      <c r="H13591" s="380" t="s">
        <v>771</v>
      </c>
      <c r="I13591" s="380" t="s">
        <v>788</v>
      </c>
      <c r="J13591" s="380" t="s">
        <v>773</v>
      </c>
      <c r="K13591" s="381">
        <v>0.0</v>
      </c>
      <c r="L13591" s="382">
        <v>1.0</v>
      </c>
    </row>
    <row r="13592">
      <c r="A13592" s="380" t="s">
        <v>14466</v>
      </c>
      <c r="B13592" s="380" t="str">
        <f>IFERROR(__xludf.DUMMYFUNCTION("""COMPUTED_VALUE"""),"Cacho Direccion Der Foton 1039 Reparado")</f>
        <v>Cacho Direccion Der Foton 1039 Reparado</v>
      </c>
      <c r="C13592" s="380" t="str">
        <f>IFERROR(__xludf.DUMMYFUNCTION("""COMPUTED_VALUE"""),"70009070")</f>
        <v>70009070</v>
      </c>
      <c r="D13592" s="380" t="s">
        <v>767</v>
      </c>
      <c r="E13592" s="380" t="s">
        <v>786</v>
      </c>
      <c r="F13592" s="380" t="s">
        <v>1020</v>
      </c>
      <c r="G13592" s="380" t="s">
        <v>1267</v>
      </c>
      <c r="H13592" s="380" t="s">
        <v>771</v>
      </c>
      <c r="I13592" s="380" t="s">
        <v>788</v>
      </c>
      <c r="J13592" s="380" t="s">
        <v>773</v>
      </c>
      <c r="K13592" s="381">
        <v>0.0</v>
      </c>
      <c r="L13592" s="382">
        <v>1.0</v>
      </c>
    </row>
    <row r="13593">
      <c r="A13593" s="380" t="s">
        <v>14467</v>
      </c>
      <c r="B13593" s="380" t="str">
        <f>IFERROR(__xludf.DUMMYFUNCTION("""COMPUTED_VALUE"""),"Valvula Expansion Mack Anthem 85150463")</f>
        <v>Valvula Expansion Mack Anthem 85150463</v>
      </c>
      <c r="C13593" s="380" t="str">
        <f>IFERROR(__xludf.DUMMYFUNCTION("""COMPUTED_VALUE"""),"70009071")</f>
        <v>70009071</v>
      </c>
      <c r="D13593" s="380" t="s">
        <v>767</v>
      </c>
      <c r="E13593" s="380" t="s">
        <v>786</v>
      </c>
      <c r="F13593" s="380" t="s">
        <v>1031</v>
      </c>
      <c r="G13593" s="380" t="s">
        <v>1267</v>
      </c>
      <c r="H13593" s="380" t="s">
        <v>771</v>
      </c>
      <c r="I13593" s="380" t="s">
        <v>788</v>
      </c>
      <c r="J13593" s="380" t="s">
        <v>773</v>
      </c>
      <c r="K13593" s="381">
        <v>0.0</v>
      </c>
      <c r="L13593" s="382">
        <v>1.0</v>
      </c>
    </row>
    <row r="13594">
      <c r="A13594" s="380" t="s">
        <v>14468</v>
      </c>
      <c r="B13594" s="380" t="str">
        <f>IFERROR(__xludf.DUMMYFUNCTION("""COMPUTED_VALUE"""),"Buje Arbol De Levas Motor X15 3685690")</f>
        <v>Buje Arbol De Levas Motor X15 3685690</v>
      </c>
      <c r="C13594" s="380" t="str">
        <f>IFERROR(__xludf.DUMMYFUNCTION("""COMPUTED_VALUE"""),"70009072")</f>
        <v>70009072</v>
      </c>
      <c r="D13594" s="380" t="s">
        <v>767</v>
      </c>
      <c r="E13594" s="380" t="s">
        <v>786</v>
      </c>
      <c r="F13594" s="380" t="s">
        <v>787</v>
      </c>
      <c r="G13594" s="380" t="s">
        <v>1267</v>
      </c>
      <c r="H13594" s="380" t="s">
        <v>771</v>
      </c>
      <c r="I13594" s="380" t="s">
        <v>788</v>
      </c>
      <c r="J13594" s="380" t="s">
        <v>773</v>
      </c>
      <c r="K13594" s="381">
        <v>0.0</v>
      </c>
      <c r="L13594" s="382">
        <v>1.0</v>
      </c>
    </row>
    <row r="13595">
      <c r="A13595" s="380" t="s">
        <v>14469</v>
      </c>
      <c r="B13595" s="380" t="str">
        <f>IFERROR(__xludf.DUMMYFUNCTION("""COMPUTED_VALUE"""),"Intercooler Daf Cf480 Ftt 2204692")</f>
        <v>Intercooler Daf Cf480 Ftt 2204692</v>
      </c>
      <c r="C13595" s="380" t="str">
        <f>IFERROR(__xludf.DUMMYFUNCTION("""COMPUTED_VALUE"""),"70009073")</f>
        <v>70009073</v>
      </c>
      <c r="D13595" s="380" t="s">
        <v>767</v>
      </c>
      <c r="E13595" s="380" t="s">
        <v>786</v>
      </c>
      <c r="F13595" s="380" t="s">
        <v>787</v>
      </c>
      <c r="G13595" s="380" t="s">
        <v>1267</v>
      </c>
      <c r="H13595" s="380" t="s">
        <v>771</v>
      </c>
      <c r="I13595" s="380" t="s">
        <v>788</v>
      </c>
      <c r="J13595" s="380" t="s">
        <v>773</v>
      </c>
      <c r="K13595" s="381">
        <v>0.0</v>
      </c>
      <c r="L13595" s="382">
        <v>1.0</v>
      </c>
    </row>
    <row r="13596">
      <c r="A13596" s="380" t="s">
        <v>14470</v>
      </c>
      <c r="B13596" s="380" t="str">
        <f>IFERROR(__xludf.DUMMYFUNCTION("""COMPUTED_VALUE"""),"Guardapolvo Tapa Cubo Jac 1120 3103109m1")</f>
        <v>Guardapolvo Tapa Cubo Jac 1120 3103109m1</v>
      </c>
      <c r="C13596" s="380" t="str">
        <f>IFERROR(__xludf.DUMMYFUNCTION("""COMPUTED_VALUE"""),"70009074")</f>
        <v>70009074</v>
      </c>
      <c r="D13596" s="380" t="s">
        <v>767</v>
      </c>
      <c r="E13596" s="380" t="s">
        <v>786</v>
      </c>
      <c r="F13596" s="380" t="s">
        <v>1039</v>
      </c>
      <c r="G13596" s="380" t="s">
        <v>1267</v>
      </c>
      <c r="H13596" s="380" t="s">
        <v>771</v>
      </c>
      <c r="I13596" s="380" t="s">
        <v>788</v>
      </c>
      <c r="J13596" s="380" t="s">
        <v>773</v>
      </c>
      <c r="K13596" s="381">
        <v>0.0</v>
      </c>
      <c r="L13596" s="382">
        <v>1.0</v>
      </c>
    </row>
    <row r="13597">
      <c r="A13597" s="380" t="s">
        <v>14471</v>
      </c>
      <c r="B13597" s="380" t="str">
        <f>IFERROR(__xludf.DUMMYFUNCTION("""COMPUTED_VALUE"""),"Caja De Velocidades N200 Reparado")</f>
        <v>Caja De Velocidades N200 Reparado</v>
      </c>
      <c r="C13597" s="380" t="str">
        <f>IFERROR(__xludf.DUMMYFUNCTION("""COMPUTED_VALUE"""),"70009075")</f>
        <v>70009075</v>
      </c>
      <c r="D13597" s="380" t="s">
        <v>767</v>
      </c>
      <c r="E13597" s="380" t="s">
        <v>786</v>
      </c>
      <c r="F13597" s="380" t="s">
        <v>1020</v>
      </c>
      <c r="G13597" s="380" t="s">
        <v>1267</v>
      </c>
      <c r="H13597" s="380" t="s">
        <v>771</v>
      </c>
      <c r="I13597" s="380" t="s">
        <v>788</v>
      </c>
      <c r="J13597" s="380" t="s">
        <v>773</v>
      </c>
      <c r="K13597" s="381">
        <v>0.0</v>
      </c>
      <c r="L13597" s="382">
        <v>1.0</v>
      </c>
    </row>
    <row r="13598">
      <c r="A13598" s="380" t="s">
        <v>14472</v>
      </c>
      <c r="B13598" s="380" t="str">
        <f>IFERROR(__xludf.DUMMYFUNCTION("""COMPUTED_VALUE"""),"Pedal EMB Con Base CH Nkr 8978569790")</f>
        <v>Pedal EMB Con Base CH Nkr 8978569790</v>
      </c>
      <c r="C13598" s="380" t="str">
        <f>IFERROR(__xludf.DUMMYFUNCTION("""COMPUTED_VALUE"""),"70009076")</f>
        <v>70009076</v>
      </c>
      <c r="D13598" s="380" t="s">
        <v>767</v>
      </c>
      <c r="E13598" s="380" t="s">
        <v>786</v>
      </c>
      <c r="F13598" s="380" t="s">
        <v>5661</v>
      </c>
      <c r="G13598" s="380" t="s">
        <v>1267</v>
      </c>
      <c r="H13598" s="380" t="s">
        <v>771</v>
      </c>
      <c r="I13598" s="380" t="s">
        <v>788</v>
      </c>
      <c r="J13598" s="380" t="s">
        <v>773</v>
      </c>
      <c r="K13598" s="381">
        <v>0.0</v>
      </c>
      <c r="L13598" s="382">
        <v>1.0</v>
      </c>
    </row>
    <row r="13599">
      <c r="A13599" s="380" t="s">
        <v>14473</v>
      </c>
      <c r="B13599" s="380" t="str">
        <f>IFERROR(__xludf.DUMMYFUNCTION("""COMPUTED_VALUE"""),"Radiador Motor Jac 1120 Reparado")</f>
        <v>Radiador Motor Jac 1120 Reparado</v>
      </c>
      <c r="C13599" s="380" t="str">
        <f>IFERROR(__xludf.DUMMYFUNCTION("""COMPUTED_VALUE"""),"70009077")</f>
        <v>70009077</v>
      </c>
      <c r="D13599" s="380" t="s">
        <v>767</v>
      </c>
      <c r="E13599" s="380" t="s">
        <v>786</v>
      </c>
      <c r="F13599" s="380" t="s">
        <v>787</v>
      </c>
      <c r="G13599" s="380" t="s">
        <v>1267</v>
      </c>
      <c r="H13599" s="380" t="s">
        <v>771</v>
      </c>
      <c r="I13599" s="380" t="s">
        <v>788</v>
      </c>
      <c r="J13599" s="380" t="s">
        <v>773</v>
      </c>
      <c r="K13599" s="381">
        <v>0.0</v>
      </c>
      <c r="L13599" s="382">
        <v>1.0</v>
      </c>
    </row>
    <row r="13600">
      <c r="A13600" s="380" t="s">
        <v>14474</v>
      </c>
      <c r="B13600" s="380" t="str">
        <f>IFERROR(__xludf.DUMMYFUNCTION("""COMPUTED_VALUE"""),"Juego Rueda Dentada Satelite Daf 1012509")</f>
        <v>Juego Rueda Dentada Satelite Daf 1012509</v>
      </c>
      <c r="C13600" s="380" t="str">
        <f>IFERROR(__xludf.DUMMYFUNCTION("""COMPUTED_VALUE"""),"70009078")</f>
        <v>70009078</v>
      </c>
      <c r="D13600" s="380" t="s">
        <v>767</v>
      </c>
      <c r="E13600" s="380" t="s">
        <v>786</v>
      </c>
      <c r="F13600" s="380" t="s">
        <v>5683</v>
      </c>
      <c r="G13600" s="380" t="s">
        <v>1267</v>
      </c>
      <c r="H13600" s="380" t="s">
        <v>771</v>
      </c>
      <c r="I13600" s="380" t="s">
        <v>788</v>
      </c>
      <c r="J13600" s="380" t="s">
        <v>773</v>
      </c>
      <c r="K13600" s="381">
        <v>0.0</v>
      </c>
      <c r="L13600" s="382">
        <v>1.0</v>
      </c>
    </row>
    <row r="13601">
      <c r="A13601" s="380" t="s">
        <v>14475</v>
      </c>
      <c r="B13601" s="380" t="str">
        <f>IFERROR(__xludf.DUMMYFUNCTION("""COMPUTED_VALUE"""),"Cabrilla Direccion Reparado")</f>
        <v>Cabrilla Direccion Reparado</v>
      </c>
      <c r="C13601" s="380" t="str">
        <f>IFERROR(__xludf.DUMMYFUNCTION("""COMPUTED_VALUE"""),"70009079")</f>
        <v>70009079</v>
      </c>
      <c r="D13601" s="380" t="s">
        <v>767</v>
      </c>
      <c r="E13601" s="380" t="s">
        <v>786</v>
      </c>
      <c r="F13601" s="380" t="s">
        <v>792</v>
      </c>
      <c r="G13601" s="380" t="s">
        <v>1267</v>
      </c>
      <c r="H13601" s="380" t="s">
        <v>771</v>
      </c>
      <c r="I13601" s="380" t="s">
        <v>788</v>
      </c>
      <c r="J13601" s="380" t="s">
        <v>773</v>
      </c>
      <c r="K13601" s="381">
        <v>0.0</v>
      </c>
      <c r="L13601" s="382">
        <v>1.0</v>
      </c>
    </row>
    <row r="13602">
      <c r="A13602" s="380" t="s">
        <v>14476</v>
      </c>
      <c r="B13602" s="380" t="str">
        <f>IFERROR(__xludf.DUMMYFUNCTION("""COMPUTED_VALUE"""),"Radiador Npr Reparado")</f>
        <v>Radiador Npr Reparado</v>
      </c>
      <c r="C13602" s="380" t="str">
        <f>IFERROR(__xludf.DUMMYFUNCTION("""COMPUTED_VALUE"""),"70009080")</f>
        <v>70009080</v>
      </c>
      <c r="D13602" s="380" t="s">
        <v>767</v>
      </c>
      <c r="E13602" s="380" t="s">
        <v>786</v>
      </c>
      <c r="F13602" s="380" t="s">
        <v>787</v>
      </c>
      <c r="G13602" s="380" t="s">
        <v>1267</v>
      </c>
      <c r="H13602" s="380" t="s">
        <v>771</v>
      </c>
      <c r="I13602" s="380" t="s">
        <v>788</v>
      </c>
      <c r="J13602" s="380" t="s">
        <v>773</v>
      </c>
      <c r="K13602" s="381">
        <v>0.0</v>
      </c>
      <c r="L13602" s="382">
        <v>1.0</v>
      </c>
    </row>
    <row r="13603">
      <c r="A13603" s="380" t="s">
        <v>14477</v>
      </c>
      <c r="B13603" s="380" t="str">
        <f>IFERROR(__xludf.DUMMYFUNCTION("""COMPUTED_VALUE"""),"Manija Exterior PT Internatio 3550925c91")</f>
        <v>Manija Exterior PT Internatio 3550925c91</v>
      </c>
      <c r="C13603" s="380" t="str">
        <f>IFERROR(__xludf.DUMMYFUNCTION("""COMPUTED_VALUE"""),"70009081")</f>
        <v>70009081</v>
      </c>
      <c r="D13603" s="380" t="s">
        <v>767</v>
      </c>
      <c r="E13603" s="380" t="s">
        <v>786</v>
      </c>
      <c r="F13603" s="380" t="s">
        <v>792</v>
      </c>
      <c r="G13603" s="380" t="s">
        <v>1267</v>
      </c>
      <c r="H13603" s="380" t="s">
        <v>771</v>
      </c>
      <c r="I13603" s="380" t="s">
        <v>788</v>
      </c>
      <c r="J13603" s="380" t="s">
        <v>773</v>
      </c>
      <c r="K13603" s="381">
        <v>0.0</v>
      </c>
      <c r="L13603" s="382">
        <v>1.0</v>
      </c>
    </row>
    <row r="13604">
      <c r="A13604" s="380" t="s">
        <v>14478</v>
      </c>
      <c r="B13604" s="380" t="str">
        <f>IFERROR(__xludf.DUMMYFUNCTION("""COMPUTED_VALUE"""),"Convertidor Voltaje Hino 300 Reparado")</f>
        <v>Convertidor Voltaje Hino 300 Reparado</v>
      </c>
      <c r="C13604" s="380" t="str">
        <f>IFERROR(__xludf.DUMMYFUNCTION("""COMPUTED_VALUE"""),"70009082")</f>
        <v>70009082</v>
      </c>
      <c r="D13604" s="380" t="s">
        <v>767</v>
      </c>
      <c r="E13604" s="380" t="s">
        <v>786</v>
      </c>
      <c r="F13604" s="380" t="s">
        <v>998</v>
      </c>
      <c r="G13604" s="380" t="s">
        <v>1267</v>
      </c>
      <c r="H13604" s="380" t="s">
        <v>771</v>
      </c>
      <c r="I13604" s="380" t="s">
        <v>788</v>
      </c>
      <c r="J13604" s="380" t="s">
        <v>773</v>
      </c>
      <c r="K13604" s="381">
        <v>0.0</v>
      </c>
      <c r="L13604" s="382">
        <v>1.0</v>
      </c>
    </row>
    <row r="13605">
      <c r="A13605" s="380" t="s">
        <v>14479</v>
      </c>
      <c r="B13605" s="380" t="str">
        <f>IFERROR(__xludf.DUMMYFUNCTION("""COMPUTED_VALUE"""),"Juego CILs Pta Ence Internatio 588717c91")</f>
        <v>Juego CILs Pta Ence Internatio 588717c91</v>
      </c>
      <c r="C13605" s="380" t="str">
        <f>IFERROR(__xludf.DUMMYFUNCTION("""COMPUTED_VALUE"""),"70009083")</f>
        <v>70009083</v>
      </c>
      <c r="D13605" s="380" t="s">
        <v>767</v>
      </c>
      <c r="E13605" s="380" t="s">
        <v>786</v>
      </c>
      <c r="F13605" s="380" t="s">
        <v>792</v>
      </c>
      <c r="G13605" s="380" t="s">
        <v>1267</v>
      </c>
      <c r="H13605" s="380" t="s">
        <v>771</v>
      </c>
      <c r="I13605" s="380" t="s">
        <v>788</v>
      </c>
      <c r="J13605" s="380" t="s">
        <v>773</v>
      </c>
      <c r="K13605" s="381">
        <v>0.0</v>
      </c>
      <c r="L13605" s="382">
        <v>1.0</v>
      </c>
    </row>
    <row r="13606">
      <c r="A13606" s="380" t="s">
        <v>14480</v>
      </c>
      <c r="B13606" s="380" t="str">
        <f>IFERROR(__xludf.DUMMYFUNCTION("""COMPUTED_VALUE"""),"Rodamiento DEL Eje Corredizo CJ HN 300 9")</f>
        <v>Rodamiento DEL Eje Corredizo CJ HN 300 9</v>
      </c>
      <c r="C13606" s="380" t="str">
        <f>IFERROR(__xludf.DUMMYFUNCTION("""COMPUTED_VALUE"""),"70009084")</f>
        <v>70009084</v>
      </c>
      <c r="D13606" s="380" t="s">
        <v>767</v>
      </c>
      <c r="E13606" s="380" t="s">
        <v>786</v>
      </c>
      <c r="F13606" s="380" t="s">
        <v>928</v>
      </c>
      <c r="G13606" s="380" t="s">
        <v>1267</v>
      </c>
      <c r="H13606" s="380" t="s">
        <v>771</v>
      </c>
      <c r="I13606" s="380" t="s">
        <v>788</v>
      </c>
      <c r="J13606" s="380" t="s">
        <v>773</v>
      </c>
      <c r="K13606" s="381">
        <v>0.0</v>
      </c>
      <c r="L13606" s="382">
        <v>1.0</v>
      </c>
    </row>
    <row r="13607">
      <c r="A13607" s="380" t="s">
        <v>14481</v>
      </c>
      <c r="B13607" s="380" t="str">
        <f>IFERROR(__xludf.DUMMYFUNCTION("""COMPUTED_VALUE"""),"Condensador A/C Foton Mv5 Reparado")</f>
        <v>Condensador A/C Foton Mv5 Reparado</v>
      </c>
      <c r="C13607" s="380" t="str">
        <f>IFERROR(__xludf.DUMMYFUNCTION("""COMPUTED_VALUE"""),"70009085")</f>
        <v>70009085</v>
      </c>
      <c r="D13607" s="380" t="s">
        <v>767</v>
      </c>
      <c r="E13607" s="380" t="s">
        <v>786</v>
      </c>
      <c r="F13607" s="380" t="s">
        <v>1031</v>
      </c>
      <c r="G13607" s="380" t="s">
        <v>1267</v>
      </c>
      <c r="H13607" s="380" t="s">
        <v>771</v>
      </c>
      <c r="I13607" s="380" t="s">
        <v>788</v>
      </c>
      <c r="J13607" s="380" t="s">
        <v>773</v>
      </c>
      <c r="K13607" s="381">
        <v>0.0</v>
      </c>
      <c r="L13607" s="382">
        <v>1.0</v>
      </c>
    </row>
    <row r="13608">
      <c r="A13608" s="380" t="s">
        <v>14482</v>
      </c>
      <c r="B13608" s="380" t="str">
        <f>IFERROR(__xludf.DUMMYFUNCTION("""COMPUTED_VALUE"""),"Deposito De Urea Daf Cf480 2303396")</f>
        <v>Deposito De Urea Daf Cf480 2303396</v>
      </c>
      <c r="C13608" s="380" t="str">
        <f>IFERROR(__xludf.DUMMYFUNCTION("""COMPUTED_VALUE"""),"70009086")</f>
        <v>70009086</v>
      </c>
      <c r="D13608" s="380" t="s">
        <v>767</v>
      </c>
      <c r="E13608" s="380" t="s">
        <v>786</v>
      </c>
      <c r="F13608" s="380" t="s">
        <v>787</v>
      </c>
      <c r="G13608" s="380" t="s">
        <v>1267</v>
      </c>
      <c r="H13608" s="380" t="s">
        <v>771</v>
      </c>
      <c r="I13608" s="380" t="s">
        <v>788</v>
      </c>
      <c r="J13608" s="380" t="s">
        <v>773</v>
      </c>
      <c r="K13608" s="381">
        <v>0.0</v>
      </c>
      <c r="L13608" s="382">
        <v>1.0</v>
      </c>
    </row>
    <row r="13609">
      <c r="A13609" s="380" t="s">
        <v>14483</v>
      </c>
      <c r="B13609" s="380" t="str">
        <f>IFERROR(__xludf.DUMMYFUNCTION("""COMPUTED_VALUE"""),"Tapa DEP Hidraulico Jac 1120 3408510e0qz")</f>
        <v>Tapa DEP Hidraulico Jac 1120 3408510e0qz</v>
      </c>
      <c r="C13609" s="380" t="str">
        <f>IFERROR(__xludf.DUMMYFUNCTION("""COMPUTED_VALUE"""),"70009087")</f>
        <v>70009087</v>
      </c>
      <c r="D13609" s="380" t="s">
        <v>767</v>
      </c>
      <c r="E13609" s="380" t="s">
        <v>786</v>
      </c>
      <c r="F13609" s="380" t="s">
        <v>1020</v>
      </c>
      <c r="G13609" s="380" t="s">
        <v>1267</v>
      </c>
      <c r="H13609" s="380" t="s">
        <v>771</v>
      </c>
      <c r="I13609" s="380" t="s">
        <v>788</v>
      </c>
      <c r="J13609" s="380" t="s">
        <v>773</v>
      </c>
      <c r="K13609" s="381">
        <v>0.0</v>
      </c>
      <c r="L13609" s="382">
        <v>1.0</v>
      </c>
    </row>
    <row r="13610">
      <c r="A13610" s="380" t="s">
        <v>14484</v>
      </c>
      <c r="B13610" s="380" t="str">
        <f>IFERROR(__xludf.DUMMYFUNCTION("""COMPUTED_VALUE"""),"Intercooler Daf Cf480 Reparado")</f>
        <v>Intercooler Daf Cf480 Reparado</v>
      </c>
      <c r="C13610" s="380" t="str">
        <f>IFERROR(__xludf.DUMMYFUNCTION("""COMPUTED_VALUE"""),"70009088")</f>
        <v>70009088</v>
      </c>
      <c r="D13610" s="380" t="s">
        <v>767</v>
      </c>
      <c r="E13610" s="380" t="s">
        <v>786</v>
      </c>
      <c r="F13610" s="380" t="s">
        <v>787</v>
      </c>
      <c r="G13610" s="380" t="s">
        <v>1267</v>
      </c>
      <c r="H13610" s="380" t="s">
        <v>771</v>
      </c>
      <c r="I13610" s="380" t="s">
        <v>788</v>
      </c>
      <c r="J13610" s="380" t="s">
        <v>773</v>
      </c>
      <c r="K13610" s="381">
        <v>0.0</v>
      </c>
      <c r="L13610" s="382">
        <v>1.0</v>
      </c>
    </row>
    <row r="13611">
      <c r="A13611" s="380" t="s">
        <v>14485</v>
      </c>
      <c r="B13611" s="380" t="str">
        <f>IFERROR(__xludf.DUMMYFUNCTION("""COMPUTED_VALUE"""),"Oring Booster Embrague Jac 1035kn 1002ch")</f>
        <v>Oring Booster Embrague Jac 1035kn 1002ch</v>
      </c>
      <c r="C13611" s="380" t="str">
        <f>IFERROR(__xludf.DUMMYFUNCTION("""COMPUTED_VALUE"""),"70009089")</f>
        <v>70009089</v>
      </c>
      <c r="D13611" s="380" t="s">
        <v>767</v>
      </c>
      <c r="E13611" s="380" t="s">
        <v>786</v>
      </c>
      <c r="F13611" s="380" t="s">
        <v>787</v>
      </c>
      <c r="G13611" s="380" t="s">
        <v>1267</v>
      </c>
      <c r="H13611" s="380" t="s">
        <v>771</v>
      </c>
      <c r="I13611" s="380" t="s">
        <v>788</v>
      </c>
      <c r="J13611" s="380" t="s">
        <v>773</v>
      </c>
      <c r="K13611" s="381">
        <v>0.0</v>
      </c>
      <c r="L13611" s="382">
        <v>1.0</v>
      </c>
    </row>
    <row r="13612">
      <c r="A13612" s="380" t="s">
        <v>14486</v>
      </c>
      <c r="B13612" s="380" t="str">
        <f>IFERROR(__xludf.DUMMYFUNCTION("""COMPUTED_VALUE"""),"Bomba De Agua Mack Anthem Reparado")</f>
        <v>Bomba De Agua Mack Anthem Reparado</v>
      </c>
      <c r="C13612" s="380" t="str">
        <f>IFERROR(__xludf.DUMMYFUNCTION("""COMPUTED_VALUE"""),"70009090")</f>
        <v>70009090</v>
      </c>
      <c r="D13612" s="380" t="s">
        <v>767</v>
      </c>
      <c r="E13612" s="380" t="s">
        <v>786</v>
      </c>
      <c r="F13612" s="380" t="s">
        <v>787</v>
      </c>
      <c r="G13612" s="380" t="s">
        <v>1267</v>
      </c>
      <c r="H13612" s="380" t="s">
        <v>771</v>
      </c>
      <c r="I13612" s="380" t="s">
        <v>788</v>
      </c>
      <c r="J13612" s="380" t="s">
        <v>773</v>
      </c>
      <c r="K13612" s="381">
        <v>0.0</v>
      </c>
      <c r="L13612" s="382">
        <v>1.0</v>
      </c>
    </row>
    <row r="13613">
      <c r="A13613" s="380" t="s">
        <v>14487</v>
      </c>
      <c r="B13613" s="380" t="str">
        <f>IFERROR(__xludf.DUMMYFUNCTION("""COMPUTED_VALUE"""),"BRR Corta DIR Jac 1120 3003600le740")</f>
        <v>BRR Corta DIR Jac 1120 3003600le740</v>
      </c>
      <c r="C13613" s="380" t="str">
        <f>IFERROR(__xludf.DUMMYFUNCTION("""COMPUTED_VALUE"""),"70009091")</f>
        <v>70009091</v>
      </c>
      <c r="D13613" s="380" t="s">
        <v>767</v>
      </c>
      <c r="E13613" s="380" t="s">
        <v>786</v>
      </c>
      <c r="F13613" s="380" t="s">
        <v>1020</v>
      </c>
      <c r="G13613" s="380" t="s">
        <v>1267</v>
      </c>
      <c r="H13613" s="380" t="s">
        <v>771</v>
      </c>
      <c r="I13613" s="380" t="s">
        <v>788</v>
      </c>
      <c r="J13613" s="380" t="s">
        <v>773</v>
      </c>
      <c r="K13613" s="381">
        <v>0.0</v>
      </c>
      <c r="L13613" s="382">
        <v>1.0</v>
      </c>
    </row>
    <row r="13614">
      <c r="A13614" s="380" t="s">
        <v>14488</v>
      </c>
      <c r="B13614" s="380" t="str">
        <f>IFERROR(__xludf.DUMMYFUNCTION("""COMPUTED_VALUE"""),"Fusible Termico 30Amp-24V.Sb N 54331")</f>
        <v>Fusible Termico 30Amp-24V.Sb N 54331</v>
      </c>
      <c r="C13614" s="380" t="str">
        <f>IFERROR(__xludf.DUMMYFUNCTION("""COMPUTED_VALUE"""),"70009100")</f>
        <v>70009100</v>
      </c>
      <c r="D13614" s="380" t="s">
        <v>767</v>
      </c>
      <c r="E13614" s="380" t="s">
        <v>786</v>
      </c>
      <c r="F13614" s="380" t="s">
        <v>998</v>
      </c>
      <c r="G13614" s="380" t="s">
        <v>1267</v>
      </c>
      <c r="H13614" s="380" t="s">
        <v>771</v>
      </c>
      <c r="I13614" s="380" t="s">
        <v>788</v>
      </c>
      <c r="J13614" s="380" t="s">
        <v>773</v>
      </c>
      <c r="K13614" s="381">
        <v>0.0</v>
      </c>
      <c r="L13614" s="382">
        <v>1.0</v>
      </c>
    </row>
    <row r="13615">
      <c r="A13615" s="380" t="s">
        <v>14489</v>
      </c>
      <c r="B13615" s="380" t="str">
        <f>IFERROR(__xludf.DUMMYFUNCTION("""COMPUTED_VALUE"""),"Motor Deposito Limpiab Toyota 8531022080")</f>
        <v>Motor Deposito Limpiab Toyota 8531022080</v>
      </c>
      <c r="C13615" s="380" t="str">
        <f>IFERROR(__xludf.DUMMYFUNCTION("""COMPUTED_VALUE"""),"70009101")</f>
        <v>70009101</v>
      </c>
      <c r="D13615" s="380" t="s">
        <v>767</v>
      </c>
      <c r="E13615" s="380" t="s">
        <v>786</v>
      </c>
      <c r="F13615" s="380" t="s">
        <v>998</v>
      </c>
      <c r="G13615" s="380" t="s">
        <v>1267</v>
      </c>
      <c r="H13615" s="380" t="s">
        <v>771</v>
      </c>
      <c r="I13615" s="380" t="s">
        <v>788</v>
      </c>
      <c r="J13615" s="380" t="s">
        <v>773</v>
      </c>
      <c r="K13615" s="381">
        <v>250000.0</v>
      </c>
      <c r="L13615" s="382">
        <v>1.0</v>
      </c>
    </row>
    <row r="13616">
      <c r="A13616" s="380" t="s">
        <v>14490</v>
      </c>
      <c r="B13616" s="380" t="str">
        <f>IFERROR(__xludf.DUMMYFUNCTION("""COMPUTED_VALUE"""),"Cruceta Cardan Agrale 801001")</f>
        <v>Cruceta Cardan Agrale 801001</v>
      </c>
      <c r="C13616" s="380" t="str">
        <f>IFERROR(__xludf.DUMMYFUNCTION("""COMPUTED_VALUE"""),"70009102")</f>
        <v>70009102</v>
      </c>
      <c r="D13616" s="380" t="s">
        <v>767</v>
      </c>
      <c r="E13616" s="380" t="s">
        <v>786</v>
      </c>
      <c r="F13616" s="380" t="s">
        <v>5683</v>
      </c>
      <c r="G13616" s="380" t="s">
        <v>1267</v>
      </c>
      <c r="H13616" s="380" t="s">
        <v>771</v>
      </c>
      <c r="I13616" s="380" t="s">
        <v>788</v>
      </c>
      <c r="J13616" s="380" t="s">
        <v>773</v>
      </c>
      <c r="K13616" s="381">
        <v>0.0</v>
      </c>
      <c r="L13616" s="382">
        <v>1.0</v>
      </c>
    </row>
    <row r="13617">
      <c r="A13617" s="380" t="s">
        <v>14491</v>
      </c>
      <c r="B13617" s="380" t="str">
        <f>IFERROR(__xludf.DUMMYFUNCTION("""COMPUTED_VALUE"""),"Tapa Bocin Rueda Delant Delta 4351487304")</f>
        <v>Tapa Bocin Rueda Delant Delta 4351487304</v>
      </c>
      <c r="C13617" s="380" t="str">
        <f>IFERROR(__xludf.DUMMYFUNCTION("""COMPUTED_VALUE"""),"70009103")</f>
        <v>70009103</v>
      </c>
      <c r="D13617" s="380" t="s">
        <v>767</v>
      </c>
      <c r="E13617" s="380" t="s">
        <v>786</v>
      </c>
      <c r="F13617" s="380" t="s">
        <v>1017</v>
      </c>
      <c r="G13617" s="380" t="s">
        <v>1267</v>
      </c>
      <c r="H13617" s="380" t="s">
        <v>771</v>
      </c>
      <c r="I13617" s="380" t="s">
        <v>788</v>
      </c>
      <c r="J13617" s="380" t="s">
        <v>773</v>
      </c>
      <c r="K13617" s="381">
        <v>0.0</v>
      </c>
      <c r="L13617" s="382">
        <v>1.0</v>
      </c>
    </row>
    <row r="13618">
      <c r="A13618" s="380" t="s">
        <v>14492</v>
      </c>
      <c r="B13618" s="380" t="str">
        <f>IFERROR(__xludf.DUMMYFUNCTION("""COMPUTED_VALUE"""),"Cerradura Pta Izqui Volswag Tac 837015")</f>
        <v>Cerradura Pta Izqui Volswag Tac 837015</v>
      </c>
      <c r="C13618" s="380" t="str">
        <f>IFERROR(__xludf.DUMMYFUNCTION("""COMPUTED_VALUE"""),"70009104")</f>
        <v>70009104</v>
      </c>
      <c r="D13618" s="380" t="s">
        <v>767</v>
      </c>
      <c r="E13618" s="380" t="s">
        <v>786</v>
      </c>
      <c r="F13618" s="380" t="s">
        <v>792</v>
      </c>
      <c r="G13618" s="380" t="s">
        <v>1267</v>
      </c>
      <c r="H13618" s="380" t="s">
        <v>771</v>
      </c>
      <c r="I13618" s="380" t="s">
        <v>788</v>
      </c>
      <c r="J13618" s="380" t="s">
        <v>773</v>
      </c>
      <c r="K13618" s="381">
        <v>0.0</v>
      </c>
      <c r="L13618" s="382">
        <v>1.0</v>
      </c>
    </row>
    <row r="13619">
      <c r="A13619" s="380" t="s">
        <v>14493</v>
      </c>
      <c r="B13619" s="380" t="str">
        <f>IFERROR(__xludf.DUMMYFUNCTION("""COMPUTED_VALUE"""),"Dep Agua Limpiabrisa Toyo 8533025040")</f>
        <v>Dep Agua Limpiabrisa Toyo 8533025040</v>
      </c>
      <c r="C13619" s="380" t="str">
        <f>IFERROR(__xludf.DUMMYFUNCTION("""COMPUTED_VALUE"""),"70009105")</f>
        <v>70009105</v>
      </c>
      <c r="D13619" s="380" t="s">
        <v>767</v>
      </c>
      <c r="E13619" s="380" t="s">
        <v>786</v>
      </c>
      <c r="F13619" s="380" t="s">
        <v>792</v>
      </c>
      <c r="G13619" s="380" t="s">
        <v>1267</v>
      </c>
      <c r="H13619" s="380" t="s">
        <v>771</v>
      </c>
      <c r="I13619" s="380" t="s">
        <v>788</v>
      </c>
      <c r="J13619" s="380" t="s">
        <v>773</v>
      </c>
      <c r="K13619" s="381">
        <v>160900.0</v>
      </c>
      <c r="L13619" s="382">
        <v>1.0</v>
      </c>
    </row>
    <row r="13620">
      <c r="A13620" s="380" t="s">
        <v>14494</v>
      </c>
      <c r="B13620" s="380" t="str">
        <f>IFERROR(__xludf.DUMMYFUNCTION("""COMPUTED_VALUE"""),"Manija Elevavidrio Freghthlin Ra18435630")</f>
        <v>Manija Elevavidrio Freghthlin Ra18435630</v>
      </c>
      <c r="C13620" s="380" t="str">
        <f>IFERROR(__xludf.DUMMYFUNCTION("""COMPUTED_VALUE"""),"70009106")</f>
        <v>70009106</v>
      </c>
      <c r="D13620" s="380" t="s">
        <v>767</v>
      </c>
      <c r="E13620" s="380" t="s">
        <v>786</v>
      </c>
      <c r="F13620" s="380" t="s">
        <v>792</v>
      </c>
      <c r="G13620" s="380" t="s">
        <v>1267</v>
      </c>
      <c r="H13620" s="380" t="s">
        <v>771</v>
      </c>
      <c r="I13620" s="380" t="s">
        <v>788</v>
      </c>
      <c r="J13620" s="380" t="s">
        <v>773</v>
      </c>
      <c r="K13620" s="381">
        <v>0.0</v>
      </c>
      <c r="L13620" s="382">
        <v>1.0</v>
      </c>
    </row>
    <row r="13621">
      <c r="A13621" s="380" t="s">
        <v>14495</v>
      </c>
      <c r="B13621" s="380" t="str">
        <f>IFERROR(__xludf.DUMMYFUNCTION("""COMPUTED_VALUE"""),"Codo Mang Admision T Cummins 95609686 S")</f>
        <v>Codo Mang Admision T Cummins 95609686 S</v>
      </c>
      <c r="C13621" s="380" t="str">
        <f>IFERROR(__xludf.DUMMYFUNCTION("""COMPUTED_VALUE"""),"70009107")</f>
        <v>70009107</v>
      </c>
      <c r="D13621" s="380" t="s">
        <v>767</v>
      </c>
      <c r="E13621" s="380" t="s">
        <v>786</v>
      </c>
      <c r="F13621" s="380" t="s">
        <v>787</v>
      </c>
      <c r="G13621" s="380" t="s">
        <v>1267</v>
      </c>
      <c r="H13621" s="380" t="s">
        <v>771</v>
      </c>
      <c r="I13621" s="380" t="s">
        <v>788</v>
      </c>
      <c r="J13621" s="380" t="s">
        <v>773</v>
      </c>
      <c r="K13621" s="381">
        <v>0.0</v>
      </c>
      <c r="L13621" s="382">
        <v>1.0</v>
      </c>
    </row>
    <row r="13622">
      <c r="A13622" s="380" t="s">
        <v>14496</v>
      </c>
      <c r="B13622" s="380" t="str">
        <f>IFERROR(__xludf.DUMMYFUNCTION("""COMPUTED_VALUE"""),"Soporte Radiador Eagle 503401C2")</f>
        <v>Soporte Radiador Eagle 503401C2</v>
      </c>
      <c r="C13622" s="380" t="str">
        <f>IFERROR(__xludf.DUMMYFUNCTION("""COMPUTED_VALUE"""),"70009108")</f>
        <v>70009108</v>
      </c>
      <c r="D13622" s="380" t="s">
        <v>767</v>
      </c>
      <c r="E13622" s="380" t="s">
        <v>786</v>
      </c>
      <c r="F13622" s="380" t="s">
        <v>787</v>
      </c>
      <c r="G13622" s="380" t="s">
        <v>1267</v>
      </c>
      <c r="H13622" s="380" t="s">
        <v>771</v>
      </c>
      <c r="I13622" s="380" t="s">
        <v>788</v>
      </c>
      <c r="J13622" s="380" t="s">
        <v>773</v>
      </c>
      <c r="K13622" s="381">
        <v>0.0</v>
      </c>
      <c r="L13622" s="382">
        <v>1.0</v>
      </c>
    </row>
    <row r="13623">
      <c r="A13623" s="380" t="s">
        <v>14497</v>
      </c>
      <c r="B13623" s="380" t="str">
        <f>IFERROR(__xludf.DUMMYFUNCTION("""COMPUTED_VALUE"""),"Talco Stop Triple Crista 4-161 139151161")</f>
        <v>Talco Stop Triple Crista 4-161 139151161</v>
      </c>
      <c r="C13623" s="380" t="str">
        <f>IFERROR(__xludf.DUMMYFUNCTION("""COMPUTED_VALUE"""),"70009109")</f>
        <v>70009109</v>
      </c>
      <c r="D13623" s="380" t="s">
        <v>767</v>
      </c>
      <c r="E13623" s="380" t="s">
        <v>786</v>
      </c>
      <c r="F13623" s="380" t="s">
        <v>792</v>
      </c>
      <c r="G13623" s="380" t="s">
        <v>1267</v>
      </c>
      <c r="H13623" s="380" t="s">
        <v>771</v>
      </c>
      <c r="I13623" s="380" t="s">
        <v>788</v>
      </c>
      <c r="J13623" s="380" t="s">
        <v>773</v>
      </c>
      <c r="K13623" s="381">
        <v>3200.0</v>
      </c>
      <c r="L13623" s="382">
        <v>1.0</v>
      </c>
    </row>
    <row r="13624">
      <c r="A13624" s="380" t="s">
        <v>14498</v>
      </c>
      <c r="B13624" s="380" t="str">
        <f>IFERROR(__xludf.DUMMYFUNCTION("""COMPUTED_VALUE"""),"Correa Ventilador Hi Eagle 10Pk1370 D")</f>
        <v>Correa Ventilador Hi Eagle 10Pk1370 D</v>
      </c>
      <c r="C13624" s="380" t="str">
        <f>IFERROR(__xludf.DUMMYFUNCTION("""COMPUTED_VALUE"""),"70009110")</f>
        <v>70009110</v>
      </c>
      <c r="D13624" s="380" t="s">
        <v>767</v>
      </c>
      <c r="E13624" s="380" t="s">
        <v>786</v>
      </c>
      <c r="F13624" s="380" t="s">
        <v>787</v>
      </c>
      <c r="G13624" s="380" t="s">
        <v>1267</v>
      </c>
      <c r="H13624" s="380" t="s">
        <v>771</v>
      </c>
      <c r="I13624" s="380" t="s">
        <v>788</v>
      </c>
      <c r="J13624" s="380" t="s">
        <v>773</v>
      </c>
      <c r="K13624" s="381">
        <v>0.0</v>
      </c>
      <c r="L13624" s="382">
        <v>1.0</v>
      </c>
    </row>
    <row r="13625">
      <c r="A13625" s="380" t="s">
        <v>14499</v>
      </c>
      <c r="B13625" s="380" t="str">
        <f>IFERROR(__xludf.DUMMYFUNCTION("""COMPUTED_VALUE"""),"Empaquet Valv. Freno Seg. Hi 5006939")</f>
        <v>Empaquet Valv. Freno Seg. Hi 5006939</v>
      </c>
      <c r="C13625" s="380" t="str">
        <f>IFERROR(__xludf.DUMMYFUNCTION("""COMPUTED_VALUE"""),"70009111")</f>
        <v>70009111</v>
      </c>
      <c r="D13625" s="380" t="s">
        <v>767</v>
      </c>
      <c r="E13625" s="380" t="s">
        <v>786</v>
      </c>
      <c r="F13625" s="380" t="s">
        <v>1017</v>
      </c>
      <c r="G13625" s="380" t="s">
        <v>1267</v>
      </c>
      <c r="H13625" s="380" t="s">
        <v>771</v>
      </c>
      <c r="I13625" s="380" t="s">
        <v>788</v>
      </c>
      <c r="J13625" s="380" t="s">
        <v>773</v>
      </c>
      <c r="K13625" s="381">
        <v>79372.0</v>
      </c>
      <c r="L13625" s="382">
        <v>1.0</v>
      </c>
    </row>
    <row r="13626">
      <c r="A13626" s="380" t="s">
        <v>14500</v>
      </c>
      <c r="B13626" s="380" t="str">
        <f>IFERROR(__xludf.DUMMYFUNCTION("""COMPUTED_VALUE"""),"Terminal Dir. Der. Eag.Ftr8408")</f>
        <v>Terminal Dir. Der. Eag.Ftr8408</v>
      </c>
      <c r="C13626" s="380" t="str">
        <f>IFERROR(__xludf.DUMMYFUNCTION("""COMPUTED_VALUE"""),"70009112")</f>
        <v>70009112</v>
      </c>
      <c r="D13626" s="380" t="s">
        <v>767</v>
      </c>
      <c r="E13626" s="380" t="s">
        <v>786</v>
      </c>
      <c r="F13626" s="380" t="s">
        <v>1020</v>
      </c>
      <c r="G13626" s="380" t="s">
        <v>1267</v>
      </c>
      <c r="H13626" s="380" t="s">
        <v>771</v>
      </c>
      <c r="I13626" s="380" t="s">
        <v>788</v>
      </c>
      <c r="J13626" s="380" t="s">
        <v>773</v>
      </c>
      <c r="K13626" s="381">
        <v>0.0</v>
      </c>
      <c r="L13626" s="382">
        <v>1.0</v>
      </c>
    </row>
    <row r="13627">
      <c r="A13627" s="380" t="s">
        <v>14501</v>
      </c>
      <c r="B13627" s="380" t="str">
        <f>IFERROR(__xludf.DUMMYFUNCTION("""COMPUTED_VALUE"""),"Terminal Dir. Izq. Eag.Ftr8407")</f>
        <v>Terminal Dir. Izq. Eag.Ftr8407</v>
      </c>
      <c r="C13627" s="380" t="str">
        <f>IFERROR(__xludf.DUMMYFUNCTION("""COMPUTED_VALUE"""),"70009113")</f>
        <v>70009113</v>
      </c>
      <c r="D13627" s="380" t="s">
        <v>767</v>
      </c>
      <c r="E13627" s="380" t="s">
        <v>786</v>
      </c>
      <c r="F13627" s="380" t="s">
        <v>1020</v>
      </c>
      <c r="G13627" s="380" t="s">
        <v>1267</v>
      </c>
      <c r="H13627" s="380" t="s">
        <v>771</v>
      </c>
      <c r="I13627" s="380" t="s">
        <v>788</v>
      </c>
      <c r="J13627" s="380" t="s">
        <v>773</v>
      </c>
      <c r="K13627" s="381">
        <v>0.0</v>
      </c>
      <c r="L13627" s="382">
        <v>1.0</v>
      </c>
    </row>
    <row r="13628">
      <c r="A13628" s="380" t="s">
        <v>14502</v>
      </c>
      <c r="B13628" s="380" t="str">
        <f>IFERROR(__xludf.DUMMYFUNCTION("""COMPUTED_VALUE"""),"Banda Freno Tras Ftr Rema 9004")</f>
        <v>Banda Freno Tras Ftr Rema 9004</v>
      </c>
      <c r="C13628" s="380" t="str">
        <f>IFERROR(__xludf.DUMMYFUNCTION("""COMPUTED_VALUE"""),"70009114")</f>
        <v>70009114</v>
      </c>
      <c r="D13628" s="380" t="s">
        <v>767</v>
      </c>
      <c r="E13628" s="380" t="s">
        <v>786</v>
      </c>
      <c r="F13628" s="380" t="s">
        <v>1017</v>
      </c>
      <c r="G13628" s="380" t="s">
        <v>1267</v>
      </c>
      <c r="H13628" s="380" t="s">
        <v>771</v>
      </c>
      <c r="I13628" s="380" t="s">
        <v>788</v>
      </c>
      <c r="J13628" s="380" t="s">
        <v>773</v>
      </c>
      <c r="K13628" s="381">
        <v>0.0</v>
      </c>
      <c r="L13628" s="382">
        <v>1.0</v>
      </c>
    </row>
    <row r="13629">
      <c r="A13629" s="380" t="s">
        <v>14503</v>
      </c>
      <c r="B13629" s="380" t="str">
        <f>IFERROR(__xludf.DUMMYFUNCTION("""COMPUTED_VALUE"""),"Bafle Recibidor Parabrisas Hi 3550838C95")</f>
        <v>Bafle Recibidor Parabrisas Hi 3550838C95</v>
      </c>
      <c r="C13629" s="380" t="str">
        <f>IFERROR(__xludf.DUMMYFUNCTION("""COMPUTED_VALUE"""),"70009115")</f>
        <v>70009115</v>
      </c>
      <c r="D13629" s="380" t="s">
        <v>767</v>
      </c>
      <c r="E13629" s="380" t="s">
        <v>786</v>
      </c>
      <c r="F13629" s="380" t="s">
        <v>792</v>
      </c>
      <c r="G13629" s="380" t="s">
        <v>1267</v>
      </c>
      <c r="H13629" s="380" t="s">
        <v>771</v>
      </c>
      <c r="I13629" s="380" t="s">
        <v>788</v>
      </c>
      <c r="J13629" s="380" t="s">
        <v>773</v>
      </c>
      <c r="K13629" s="381">
        <v>2617686.0</v>
      </c>
      <c r="L13629" s="382">
        <v>1.0</v>
      </c>
    </row>
    <row r="13630">
      <c r="A13630" s="380" t="s">
        <v>14504</v>
      </c>
      <c r="B13630" s="380" t="str">
        <f>IFERROR(__xludf.DUMMYFUNCTION("""COMPUTED_VALUE"""),"Puente Platina Arranque 42Mt Dr1988126")</f>
        <v>Puente Platina Arranque 42Mt Dr1988126</v>
      </c>
      <c r="C13630" s="380" t="str">
        <f>IFERROR(__xludf.DUMMYFUNCTION("""COMPUTED_VALUE"""),"70009116")</f>
        <v>70009116</v>
      </c>
      <c r="D13630" s="380" t="s">
        <v>767</v>
      </c>
      <c r="E13630" s="380" t="s">
        <v>786</v>
      </c>
      <c r="F13630" s="380" t="s">
        <v>998</v>
      </c>
      <c r="G13630" s="380" t="s">
        <v>1267</v>
      </c>
      <c r="H13630" s="380" t="s">
        <v>771</v>
      </c>
      <c r="I13630" s="380" t="s">
        <v>788</v>
      </c>
      <c r="J13630" s="380" t="s">
        <v>773</v>
      </c>
      <c r="K13630" s="381">
        <v>11600.0</v>
      </c>
      <c r="L13630" s="382">
        <v>1.0</v>
      </c>
    </row>
    <row r="13631">
      <c r="A13631" s="380" t="s">
        <v>14505</v>
      </c>
      <c r="B13631" s="380" t="str">
        <f>IFERROR(__xludf.DUMMYFUNCTION("""COMPUTED_VALUE"""),"Rache Freno Trasero Derecho Ja")</f>
        <v>Rache Freno Trasero Derecho Ja</v>
      </c>
      <c r="C13631" s="380" t="str">
        <f>IFERROR(__xludf.DUMMYFUNCTION("""COMPUTED_VALUE"""),"70009117")</f>
        <v>70009117</v>
      </c>
      <c r="D13631" s="380" t="s">
        <v>767</v>
      </c>
      <c r="E13631" s="380" t="s">
        <v>786</v>
      </c>
      <c r="F13631" s="380" t="s">
        <v>1017</v>
      </c>
      <c r="G13631" s="380" t="s">
        <v>1267</v>
      </c>
      <c r="H13631" s="380" t="s">
        <v>771</v>
      </c>
      <c r="I13631" s="380" t="s">
        <v>788</v>
      </c>
      <c r="J13631" s="380" t="s">
        <v>773</v>
      </c>
      <c r="K13631" s="381">
        <v>0.0</v>
      </c>
      <c r="L13631" s="382">
        <v>1.0</v>
      </c>
    </row>
    <row r="13632">
      <c r="A13632" s="380" t="s">
        <v>14506</v>
      </c>
      <c r="B13632" s="380" t="str">
        <f>IFERROR(__xludf.DUMMYFUNCTION("""COMPUTED_VALUE"""),"Sensor Indicador Temp.Agua Hi 1661837C1")</f>
        <v>Sensor Indicador Temp.Agua Hi 1661837C1</v>
      </c>
      <c r="C13632" s="380" t="str">
        <f>IFERROR(__xludf.DUMMYFUNCTION("""COMPUTED_VALUE"""),"70009118")</f>
        <v>70009118</v>
      </c>
      <c r="D13632" s="380" t="s">
        <v>767</v>
      </c>
      <c r="E13632" s="380" t="s">
        <v>786</v>
      </c>
      <c r="F13632" s="380" t="s">
        <v>998</v>
      </c>
      <c r="G13632" s="380" t="s">
        <v>1267</v>
      </c>
      <c r="H13632" s="380" t="s">
        <v>771</v>
      </c>
      <c r="I13632" s="380" t="s">
        <v>788</v>
      </c>
      <c r="J13632" s="380" t="s">
        <v>773</v>
      </c>
      <c r="K13632" s="381">
        <v>0.0</v>
      </c>
      <c r="L13632" s="382">
        <v>1.0</v>
      </c>
    </row>
    <row r="13633">
      <c r="A13633" s="380" t="s">
        <v>14507</v>
      </c>
      <c r="B13633" s="380" t="str">
        <f>IFERROR(__xludf.DUMMYFUNCTION("""COMPUTED_VALUE"""),"Porta Escobillas Arranque Hi Rs212")</f>
        <v>Porta Escobillas Arranque Hi Rs212</v>
      </c>
      <c r="C13633" s="380" t="str">
        <f>IFERROR(__xludf.DUMMYFUNCTION("""COMPUTED_VALUE"""),"70009119")</f>
        <v>70009119</v>
      </c>
      <c r="D13633" s="380" t="s">
        <v>767</v>
      </c>
      <c r="E13633" s="380" t="s">
        <v>786</v>
      </c>
      <c r="F13633" s="380" t="s">
        <v>998</v>
      </c>
      <c r="G13633" s="380" t="s">
        <v>1267</v>
      </c>
      <c r="H13633" s="380" t="s">
        <v>771</v>
      </c>
      <c r="I13633" s="380" t="s">
        <v>788</v>
      </c>
      <c r="J13633" s="380" t="s">
        <v>773</v>
      </c>
      <c r="K13633" s="381">
        <v>29750.0</v>
      </c>
      <c r="L13633" s="382">
        <v>1.0</v>
      </c>
    </row>
    <row r="13634">
      <c r="A13634" s="380" t="s">
        <v>14508</v>
      </c>
      <c r="B13634" s="380" t="str">
        <f>IFERROR(__xludf.DUMMYFUNCTION("""COMPUTED_VALUE"""),"Buje Bronce Principal Delanter Plk Sb")</f>
        <v>Buje Bronce Principal Delanter Plk Sb</v>
      </c>
      <c r="C13634" s="380" t="str">
        <f>IFERROR(__xludf.DUMMYFUNCTION("""COMPUTED_VALUE"""),"70009120")</f>
        <v>70009120</v>
      </c>
      <c r="D13634" s="380" t="s">
        <v>767</v>
      </c>
      <c r="E13634" s="380" t="s">
        <v>786</v>
      </c>
      <c r="F13634" s="380" t="s">
        <v>1039</v>
      </c>
      <c r="G13634" s="380" t="s">
        <v>1267</v>
      </c>
      <c r="H13634" s="380" t="s">
        <v>771</v>
      </c>
      <c r="I13634" s="380" t="s">
        <v>788</v>
      </c>
      <c r="J13634" s="380" t="s">
        <v>773</v>
      </c>
      <c r="K13634" s="381">
        <v>0.0</v>
      </c>
      <c r="L13634" s="382">
        <v>1.0</v>
      </c>
    </row>
    <row r="13635">
      <c r="A13635" s="380" t="s">
        <v>14509</v>
      </c>
      <c r="B13635" s="380" t="str">
        <f>IFERROR(__xludf.DUMMYFUNCTION("""COMPUTED_VALUE"""),"Buje Horquilla Trailer Inca")</f>
        <v>Buje Horquilla Trailer Inca</v>
      </c>
      <c r="C13635" s="380" t="str">
        <f>IFERROR(__xludf.DUMMYFUNCTION("""COMPUTED_VALUE"""),"70009121")</f>
        <v>70009121</v>
      </c>
      <c r="D13635" s="380" t="s">
        <v>767</v>
      </c>
      <c r="E13635" s="380" t="s">
        <v>786</v>
      </c>
      <c r="F13635" s="380" t="s">
        <v>1039</v>
      </c>
      <c r="G13635" s="380" t="s">
        <v>1267</v>
      </c>
      <c r="H13635" s="380" t="s">
        <v>771</v>
      </c>
      <c r="I13635" s="380" t="s">
        <v>788</v>
      </c>
      <c r="J13635" s="380" t="s">
        <v>773</v>
      </c>
      <c r="K13635" s="381">
        <v>0.0</v>
      </c>
      <c r="L13635" s="382">
        <v>1.0</v>
      </c>
    </row>
    <row r="13636">
      <c r="A13636" s="380" t="s">
        <v>14510</v>
      </c>
      <c r="B13636" s="380" t="str">
        <f>IFERROR(__xludf.DUMMYFUNCTION("""COMPUTED_VALUE"""),"Emptadura Inf Mot N Cummins 3803613")</f>
        <v>Emptadura Inf Mot N Cummins 3803613</v>
      </c>
      <c r="C13636" s="380" t="str">
        <f>IFERROR(__xludf.DUMMYFUNCTION("""COMPUTED_VALUE"""),"70009122")</f>
        <v>70009122</v>
      </c>
      <c r="D13636" s="380" t="s">
        <v>767</v>
      </c>
      <c r="E13636" s="380" t="s">
        <v>786</v>
      </c>
      <c r="F13636" s="380" t="s">
        <v>787</v>
      </c>
      <c r="G13636" s="380" t="s">
        <v>1267</v>
      </c>
      <c r="H13636" s="380" t="s">
        <v>771</v>
      </c>
      <c r="I13636" s="380" t="s">
        <v>788</v>
      </c>
      <c r="J13636" s="380" t="s">
        <v>773</v>
      </c>
      <c r="K13636" s="381">
        <v>351327.0</v>
      </c>
      <c r="L13636" s="382">
        <v>1.0</v>
      </c>
    </row>
    <row r="13637">
      <c r="A13637" s="380" t="s">
        <v>14511</v>
      </c>
      <c r="B13637" s="380" t="str">
        <f>IFERROR(__xludf.DUMMYFUNCTION("""COMPUTED_VALUE"""),"Contacto Arranque T. Delta")</f>
        <v>Contacto Arranque T. Delta</v>
      </c>
      <c r="C13637" s="380" t="str">
        <f>IFERROR(__xludf.DUMMYFUNCTION("""COMPUTED_VALUE"""),"70009123")</f>
        <v>70009123</v>
      </c>
      <c r="D13637" s="380" t="s">
        <v>767</v>
      </c>
      <c r="E13637" s="380" t="s">
        <v>786</v>
      </c>
      <c r="F13637" s="380" t="s">
        <v>998</v>
      </c>
      <c r="G13637" s="380" t="s">
        <v>1267</v>
      </c>
      <c r="H13637" s="380" t="s">
        <v>771</v>
      </c>
      <c r="I13637" s="380" t="s">
        <v>788</v>
      </c>
      <c r="J13637" s="380" t="s">
        <v>773</v>
      </c>
      <c r="K13637" s="381">
        <v>2975.0</v>
      </c>
      <c r="L13637" s="382">
        <v>1.0</v>
      </c>
    </row>
    <row r="13638">
      <c r="A13638" s="380" t="s">
        <v>14512</v>
      </c>
      <c r="B13638" s="380" t="str">
        <f>IFERROR(__xludf.DUMMYFUNCTION("""COMPUTED_VALUE"""),"Empaque Int Puerta Kenwort T80")</f>
        <v>Empaque Int Puerta Kenwort T80</v>
      </c>
      <c r="C13638" s="380" t="str">
        <f>IFERROR(__xludf.DUMMYFUNCTION("""COMPUTED_VALUE"""),"70009124")</f>
        <v>70009124</v>
      </c>
      <c r="D13638" s="380" t="s">
        <v>767</v>
      </c>
      <c r="E13638" s="380" t="s">
        <v>786</v>
      </c>
      <c r="F13638" s="380" t="s">
        <v>792</v>
      </c>
      <c r="G13638" s="380" t="s">
        <v>1267</v>
      </c>
      <c r="H13638" s="380" t="s">
        <v>771</v>
      </c>
      <c r="I13638" s="380" t="s">
        <v>788</v>
      </c>
      <c r="J13638" s="380" t="s">
        <v>773</v>
      </c>
      <c r="K13638" s="381">
        <v>341987.0</v>
      </c>
      <c r="L13638" s="382">
        <v>1.0</v>
      </c>
    </row>
    <row r="13639">
      <c r="A13639" s="380" t="s">
        <v>14513</v>
      </c>
      <c r="B13639" s="380" t="str">
        <f>IFERROR(__xludf.DUMMYFUNCTION("""COMPUTED_VALUE"""),"Kit Deflector Der Cab Daf Cf 4")</f>
        <v>Kit Deflector Der Cab Daf Cf 4</v>
      </c>
      <c r="C13639" s="380" t="str">
        <f>IFERROR(__xludf.DUMMYFUNCTION("""COMPUTED_VALUE"""),"70009125")</f>
        <v>70009125</v>
      </c>
      <c r="D13639" s="380" t="s">
        <v>767</v>
      </c>
      <c r="E13639" s="380" t="s">
        <v>786</v>
      </c>
      <c r="F13639" s="380" t="s">
        <v>792</v>
      </c>
      <c r="G13639" s="380" t="s">
        <v>1267</v>
      </c>
      <c r="H13639" s="380" t="s">
        <v>771</v>
      </c>
      <c r="I13639" s="380" t="s">
        <v>788</v>
      </c>
      <c r="J13639" s="380" t="s">
        <v>773</v>
      </c>
      <c r="K13639" s="381">
        <v>0.0</v>
      </c>
      <c r="L13639" s="382">
        <v>1.0</v>
      </c>
    </row>
    <row r="13640">
      <c r="A13640" s="380" t="s">
        <v>14514</v>
      </c>
      <c r="B13640" s="380" t="str">
        <f>IFERROR(__xludf.DUMMYFUNCTION("""COMPUTED_VALUE"""),"Guardabarro Del Izq Daf Cf480")</f>
        <v>Guardabarro Del Izq Daf Cf480</v>
      </c>
      <c r="C13640" s="380" t="str">
        <f>IFERROR(__xludf.DUMMYFUNCTION("""COMPUTED_VALUE"""),"70009126")</f>
        <v>70009126</v>
      </c>
      <c r="D13640" s="380" t="s">
        <v>767</v>
      </c>
      <c r="E13640" s="380" t="s">
        <v>786</v>
      </c>
      <c r="F13640" s="380" t="s">
        <v>792</v>
      </c>
      <c r="G13640" s="380" t="s">
        <v>1267</v>
      </c>
      <c r="H13640" s="380" t="s">
        <v>771</v>
      </c>
      <c r="I13640" s="380" t="s">
        <v>788</v>
      </c>
      <c r="J13640" s="380" t="s">
        <v>773</v>
      </c>
      <c r="K13640" s="381">
        <v>0.0</v>
      </c>
      <c r="L13640" s="382">
        <v>1.0</v>
      </c>
    </row>
    <row r="13641">
      <c r="A13641" s="380" t="s">
        <v>14515</v>
      </c>
      <c r="B13641" s="380" t="str">
        <f>IFERROR(__xludf.DUMMYFUNCTION("""COMPUTED_VALUE"""),"Tapa Pito Inter Lt 3770887C1")</f>
        <v>Tapa Pito Inter Lt 3770887C1</v>
      </c>
      <c r="C13641" s="380" t="str">
        <f>IFERROR(__xludf.DUMMYFUNCTION("""COMPUTED_VALUE"""),"70009127")</f>
        <v>70009127</v>
      </c>
      <c r="D13641" s="380" t="s">
        <v>767</v>
      </c>
      <c r="E13641" s="380" t="s">
        <v>786</v>
      </c>
      <c r="F13641" s="380" t="s">
        <v>792</v>
      </c>
      <c r="G13641" s="380" t="s">
        <v>1267</v>
      </c>
      <c r="H13641" s="380" t="s">
        <v>771</v>
      </c>
      <c r="I13641" s="380" t="s">
        <v>788</v>
      </c>
      <c r="J13641" s="380" t="s">
        <v>773</v>
      </c>
      <c r="K13641" s="381">
        <v>0.0</v>
      </c>
      <c r="L13641" s="382">
        <v>1.0</v>
      </c>
    </row>
    <row r="13642">
      <c r="A13642" s="380" t="s">
        <v>14516</v>
      </c>
      <c r="B13642" s="380" t="str">
        <f>IFERROR(__xludf.DUMMYFUNCTION("""COMPUTED_VALUE"""),"Columna Direccion Fot 1128 770")</f>
        <v>Columna Direccion Fot 1128 770</v>
      </c>
      <c r="C13642" s="380" t="str">
        <f>IFERROR(__xludf.DUMMYFUNCTION("""COMPUTED_VALUE"""),"70009128")</f>
        <v>70009128</v>
      </c>
      <c r="D13642" s="380" t="s">
        <v>767</v>
      </c>
      <c r="E13642" s="380" t="s">
        <v>786</v>
      </c>
      <c r="F13642" s="380" t="s">
        <v>1020</v>
      </c>
      <c r="G13642" s="380" t="s">
        <v>1267</v>
      </c>
      <c r="H13642" s="380" t="s">
        <v>771</v>
      </c>
      <c r="I13642" s="380" t="s">
        <v>788</v>
      </c>
      <c r="J13642" s="380" t="s">
        <v>773</v>
      </c>
      <c r="K13642" s="381">
        <v>872720.0</v>
      </c>
      <c r="L13642" s="382">
        <v>1.0</v>
      </c>
    </row>
    <row r="13643">
      <c r="A13643" s="380" t="s">
        <v>14517</v>
      </c>
      <c r="B13643" s="380" t="str">
        <f>IFERROR(__xludf.DUMMYFUNCTION("""COMPUTED_VALUE"""),"Racor Recto B68R 5/8 Sinflex X")</f>
        <v>Racor Recto B68R 5/8 Sinflex X</v>
      </c>
      <c r="C13643" s="380" t="str">
        <f>IFERROR(__xludf.DUMMYFUNCTION("""COMPUTED_VALUE"""),"70009129")</f>
        <v>70009129</v>
      </c>
      <c r="D13643" s="380" t="s">
        <v>767</v>
      </c>
      <c r="E13643" s="380" t="s">
        <v>786</v>
      </c>
      <c r="F13643" s="380" t="s">
        <v>989</v>
      </c>
      <c r="G13643" s="380" t="s">
        <v>1267</v>
      </c>
      <c r="H13643" s="380" t="s">
        <v>771</v>
      </c>
      <c r="I13643" s="380" t="s">
        <v>788</v>
      </c>
      <c r="J13643" s="380" t="s">
        <v>773</v>
      </c>
      <c r="K13643" s="381">
        <v>0.0</v>
      </c>
      <c r="L13643" s="382">
        <v>1.0</v>
      </c>
    </row>
    <row r="13644">
      <c r="A13644" s="380" t="s">
        <v>14518</v>
      </c>
      <c r="B13644" s="380" t="str">
        <f>IFERROR(__xludf.DUMMYFUNCTION("""COMPUTED_VALUE"""),"Racor Recto B68R 3/4 Sinflex X")</f>
        <v>Racor Recto B68R 3/4 Sinflex X</v>
      </c>
      <c r="C13644" s="380" t="str">
        <f>IFERROR(__xludf.DUMMYFUNCTION("""COMPUTED_VALUE"""),"70009130")</f>
        <v>70009130</v>
      </c>
      <c r="D13644" s="380" t="s">
        <v>767</v>
      </c>
      <c r="E13644" s="380" t="s">
        <v>786</v>
      </c>
      <c r="F13644" s="380" t="s">
        <v>989</v>
      </c>
      <c r="G13644" s="380" t="s">
        <v>1267</v>
      </c>
      <c r="H13644" s="380" t="s">
        <v>771</v>
      </c>
      <c r="I13644" s="380" t="s">
        <v>788</v>
      </c>
      <c r="J13644" s="380" t="s">
        <v>773</v>
      </c>
      <c r="K13644" s="381">
        <v>0.0</v>
      </c>
      <c r="L13644" s="382">
        <v>1.0</v>
      </c>
    </row>
    <row r="13645">
      <c r="A13645" s="380" t="s">
        <v>14519</v>
      </c>
      <c r="B13645" s="380" t="str">
        <f>IFERROR(__xludf.DUMMYFUNCTION("""COMPUTED_VALUE"""),"Silla Ayudante Foton 1065 7705")</f>
        <v>Silla Ayudante Foton 1065 7705</v>
      </c>
      <c r="C13645" s="380" t="str">
        <f>IFERROR(__xludf.DUMMYFUNCTION("""COMPUTED_VALUE"""),"70009131")</f>
        <v>70009131</v>
      </c>
      <c r="D13645" s="380" t="s">
        <v>767</v>
      </c>
      <c r="E13645" s="380" t="s">
        <v>786</v>
      </c>
      <c r="F13645" s="380" t="s">
        <v>792</v>
      </c>
      <c r="G13645" s="380" t="s">
        <v>1267</v>
      </c>
      <c r="H13645" s="380" t="s">
        <v>771</v>
      </c>
      <c r="I13645" s="380" t="s">
        <v>788</v>
      </c>
      <c r="J13645" s="380" t="s">
        <v>773</v>
      </c>
      <c r="K13645" s="381">
        <v>979359.0</v>
      </c>
      <c r="L13645" s="382">
        <v>1.0</v>
      </c>
    </row>
    <row r="13646">
      <c r="A13646" s="380" t="s">
        <v>14520</v>
      </c>
      <c r="B13646" s="380" t="str">
        <f>IFERROR(__xludf.DUMMYFUNCTION("""COMPUTED_VALUE"""),"Jgo Pastas Freno Foton 1030 14")</f>
        <v>Jgo Pastas Freno Foton 1030 14</v>
      </c>
      <c r="C13646" s="380" t="str">
        <f>IFERROR(__xludf.DUMMYFUNCTION("""COMPUTED_VALUE"""),"70009132")</f>
        <v>70009132</v>
      </c>
      <c r="D13646" s="380" t="s">
        <v>767</v>
      </c>
      <c r="E13646" s="380" t="s">
        <v>786</v>
      </c>
      <c r="F13646" s="380" t="s">
        <v>1017</v>
      </c>
      <c r="G13646" s="380" t="s">
        <v>1267</v>
      </c>
      <c r="H13646" s="380" t="s">
        <v>771</v>
      </c>
      <c r="I13646" s="380" t="s">
        <v>788</v>
      </c>
      <c r="J13646" s="380" t="s">
        <v>773</v>
      </c>
      <c r="K13646" s="381">
        <v>115600.0</v>
      </c>
      <c r="L13646" s="382">
        <v>1.0</v>
      </c>
    </row>
    <row r="13647">
      <c r="A13647" s="380" t="s">
        <v>14521</v>
      </c>
      <c r="B13647" s="380" t="str">
        <f>IFERROR(__xludf.DUMMYFUNCTION("""COMPUTED_VALUE"""),"Banda Freno Delantera Ftr Rema")</f>
        <v>Banda Freno Delantera Ftr Rema</v>
      </c>
      <c r="C13647" s="380" t="str">
        <f>IFERROR(__xludf.DUMMYFUNCTION("""COMPUTED_VALUE"""),"70009133")</f>
        <v>70009133</v>
      </c>
      <c r="D13647" s="380" t="s">
        <v>767</v>
      </c>
      <c r="E13647" s="380" t="s">
        <v>786</v>
      </c>
      <c r="F13647" s="380" t="s">
        <v>1017</v>
      </c>
      <c r="G13647" s="380" t="s">
        <v>1267</v>
      </c>
      <c r="H13647" s="380" t="s">
        <v>771</v>
      </c>
      <c r="I13647" s="380" t="s">
        <v>788</v>
      </c>
      <c r="J13647" s="380" t="s">
        <v>773</v>
      </c>
      <c r="K13647" s="381">
        <v>0.0</v>
      </c>
      <c r="L13647" s="382">
        <v>1.0</v>
      </c>
    </row>
    <row r="13648">
      <c r="A13648" s="380" t="s">
        <v>14522</v>
      </c>
      <c r="B13648" s="380" t="str">
        <f>IFERROR(__xludf.DUMMYFUNCTION("""COMPUTED_VALUE"""),"Kit Tapa Luz Guia Bomper Ktc X")</f>
        <v>Kit Tapa Luz Guia Bomper Ktc X</v>
      </c>
      <c r="C13648" s="380" t="str">
        <f>IFERROR(__xludf.DUMMYFUNCTION("""COMPUTED_VALUE"""),"70009134")</f>
        <v>70009134</v>
      </c>
      <c r="D13648" s="380" t="s">
        <v>767</v>
      </c>
      <c r="E13648" s="380" t="s">
        <v>786</v>
      </c>
      <c r="F13648" s="380" t="s">
        <v>998</v>
      </c>
      <c r="G13648" s="380" t="s">
        <v>1267</v>
      </c>
      <c r="H13648" s="380" t="s">
        <v>771</v>
      </c>
      <c r="I13648" s="380" t="s">
        <v>788</v>
      </c>
      <c r="J13648" s="380" t="s">
        <v>773</v>
      </c>
      <c r="K13648" s="381">
        <v>22253.0</v>
      </c>
      <c r="L13648" s="382">
        <v>1.0</v>
      </c>
    </row>
    <row r="13649">
      <c r="A13649" s="380" t="s">
        <v>14523</v>
      </c>
      <c r="B13649" s="380" t="str">
        <f>IFERROR(__xludf.DUMMYFUNCTION("""COMPUTED_VALUE"""),"Speed Y Corona Jac Jhr")</f>
        <v>Speed Y Corona Jac Jhr</v>
      </c>
      <c r="C13649" s="380" t="str">
        <f>IFERROR(__xludf.DUMMYFUNCTION("""COMPUTED_VALUE"""),"70009135")</f>
        <v>70009135</v>
      </c>
      <c r="D13649" s="380" t="s">
        <v>767</v>
      </c>
      <c r="E13649" s="380" t="s">
        <v>786</v>
      </c>
      <c r="F13649" s="380" t="s">
        <v>5683</v>
      </c>
      <c r="G13649" s="380" t="s">
        <v>1267</v>
      </c>
      <c r="H13649" s="380" t="s">
        <v>771</v>
      </c>
      <c r="I13649" s="380" t="s">
        <v>788</v>
      </c>
      <c r="J13649" s="380" t="s">
        <v>773</v>
      </c>
      <c r="K13649" s="381">
        <v>0.0</v>
      </c>
      <c r="L13649" s="382">
        <v>1.0</v>
      </c>
    </row>
    <row r="13650">
      <c r="A13650" s="380" t="s">
        <v>14524</v>
      </c>
      <c r="B13650" s="380" t="str">
        <f>IFERROR(__xludf.DUMMYFUNCTION("""COMPUTED_VALUE"""),"Relay Luces Hi 470 Internatio 1688314C-1")</f>
        <v>Relay Luces Hi 470 Internatio 1688314C-1</v>
      </c>
      <c r="C13650" s="380" t="str">
        <f>IFERROR(__xludf.DUMMYFUNCTION("""COMPUTED_VALUE"""),"70009136")</f>
        <v>70009136</v>
      </c>
      <c r="D13650" s="380" t="s">
        <v>767</v>
      </c>
      <c r="E13650" s="380" t="s">
        <v>786</v>
      </c>
      <c r="F13650" s="380" t="s">
        <v>998</v>
      </c>
      <c r="G13650" s="380" t="s">
        <v>1267</v>
      </c>
      <c r="H13650" s="380" t="s">
        <v>771</v>
      </c>
      <c r="I13650" s="380" t="s">
        <v>788</v>
      </c>
      <c r="J13650" s="380" t="s">
        <v>773</v>
      </c>
      <c r="K13650" s="381">
        <v>0.0</v>
      </c>
      <c r="L13650" s="382">
        <v>1.0</v>
      </c>
    </row>
    <row r="13651">
      <c r="A13651" s="380" t="s">
        <v>14525</v>
      </c>
      <c r="B13651" s="380" t="str">
        <f>IFERROR(__xludf.DUMMYFUNCTION("""COMPUTED_VALUE"""),"Talco Stop Trasero 4-79 Hi 410")</f>
        <v>Talco Stop Trasero 4-79 Hi 410</v>
      </c>
      <c r="C13651" s="380" t="str">
        <f>IFERROR(__xludf.DUMMYFUNCTION("""COMPUTED_VALUE"""),"70009137")</f>
        <v>70009137</v>
      </c>
      <c r="D13651" s="380" t="s">
        <v>767</v>
      </c>
      <c r="E13651" s="380" t="s">
        <v>786</v>
      </c>
      <c r="F13651" s="380" t="s">
        <v>998</v>
      </c>
      <c r="G13651" s="380" t="s">
        <v>1267</v>
      </c>
      <c r="H13651" s="380" t="s">
        <v>771</v>
      </c>
      <c r="I13651" s="380" t="s">
        <v>788</v>
      </c>
      <c r="J13651" s="380" t="s">
        <v>773</v>
      </c>
      <c r="K13651" s="381">
        <v>0.0</v>
      </c>
      <c r="L13651" s="382">
        <v>1.0</v>
      </c>
    </row>
    <row r="13652">
      <c r="A13652" s="380" t="s">
        <v>14526</v>
      </c>
      <c r="B13652" s="380" t="str">
        <f>IFERROR(__xludf.DUMMYFUNCTION("""COMPUTED_VALUE"""),"Bombillo Halogeno Un G Electric G E 9007")</f>
        <v>Bombillo Halogeno Un G Electric G E 9007</v>
      </c>
      <c r="C13652" s="380" t="str">
        <f>IFERROR(__xludf.DUMMYFUNCTION("""COMPUTED_VALUE"""),"70009138")</f>
        <v>70009138</v>
      </c>
      <c r="D13652" s="380" t="s">
        <v>767</v>
      </c>
      <c r="E13652" s="380" t="s">
        <v>786</v>
      </c>
      <c r="F13652" s="380" t="s">
        <v>998</v>
      </c>
      <c r="G13652" s="380" t="s">
        <v>1267</v>
      </c>
      <c r="H13652" s="380" t="s">
        <v>771</v>
      </c>
      <c r="I13652" s="380" t="s">
        <v>788</v>
      </c>
      <c r="J13652" s="380" t="s">
        <v>773</v>
      </c>
      <c r="K13652" s="381">
        <v>0.0</v>
      </c>
      <c r="L13652" s="382">
        <v>1.0</v>
      </c>
    </row>
    <row r="13653">
      <c r="A13653" s="380" t="s">
        <v>14527</v>
      </c>
      <c r="B13653" s="380" t="str">
        <f>IFERROR(__xludf.DUMMYFUNCTION("""COMPUTED_VALUE"""),"Soporte-Pivote Derecho Capot K A85-1255R")</f>
        <v>Soporte-Pivote Derecho Capot K A85-1255R</v>
      </c>
      <c r="C13653" s="380" t="str">
        <f>IFERROR(__xludf.DUMMYFUNCTION("""COMPUTED_VALUE"""),"70009139")</f>
        <v>70009139</v>
      </c>
      <c r="D13653" s="380" t="s">
        <v>767</v>
      </c>
      <c r="E13653" s="380" t="s">
        <v>786</v>
      </c>
      <c r="F13653" s="380" t="s">
        <v>792</v>
      </c>
      <c r="G13653" s="380" t="s">
        <v>1267</v>
      </c>
      <c r="H13653" s="380" t="s">
        <v>771</v>
      </c>
      <c r="I13653" s="380" t="s">
        <v>788</v>
      </c>
      <c r="J13653" s="380" t="s">
        <v>773</v>
      </c>
      <c r="K13653" s="381">
        <v>763521.0</v>
      </c>
      <c r="L13653" s="382">
        <v>1.0</v>
      </c>
    </row>
    <row r="13654">
      <c r="A13654" s="380" t="s">
        <v>14528</v>
      </c>
      <c r="B13654" s="380" t="str">
        <f>IFERROR(__xludf.DUMMYFUNCTION("""COMPUTED_VALUE"""),"Unidad Espejo Escaner Vitronic")</f>
        <v>Unidad Espejo Escaner Vitronic</v>
      </c>
      <c r="C13654" s="380" t="str">
        <f>IFERROR(__xludf.DUMMYFUNCTION("""COMPUTED_VALUE"""),"70009140")</f>
        <v>70009140</v>
      </c>
      <c r="D13654" s="380" t="s">
        <v>767</v>
      </c>
      <c r="E13654" s="380" t="s">
        <v>786</v>
      </c>
      <c r="F13654" s="380" t="s">
        <v>5683</v>
      </c>
      <c r="G13654" s="380" t="s">
        <v>1267</v>
      </c>
      <c r="H13654" s="380" t="s">
        <v>771</v>
      </c>
      <c r="I13654" s="380" t="s">
        <v>788</v>
      </c>
      <c r="J13654" s="380" t="s">
        <v>773</v>
      </c>
      <c r="K13654" s="381">
        <v>0.0</v>
      </c>
      <c r="L13654" s="382">
        <v>1.0</v>
      </c>
    </row>
    <row r="13655">
      <c r="A13655" s="380" t="s">
        <v>14529</v>
      </c>
      <c r="B13655" s="380" t="str">
        <f>IFERROR(__xludf.DUMMYFUNCTION("""COMPUTED_VALUE"""),"Tapa Dep Hidraulico Ft 5946351904")</f>
        <v>Tapa Dep Hidraulico Ft 5946351904</v>
      </c>
      <c r="C13655" s="380" t="str">
        <f>IFERROR(__xludf.DUMMYFUNCTION("""COMPUTED_VALUE"""),"70009141")</f>
        <v>70009141</v>
      </c>
      <c r="D13655" s="380" t="s">
        <v>767</v>
      </c>
      <c r="E13655" s="380" t="s">
        <v>786</v>
      </c>
      <c r="F13655" s="380" t="s">
        <v>1020</v>
      </c>
      <c r="G13655" s="380" t="s">
        <v>1267</v>
      </c>
      <c r="H13655" s="380" t="s">
        <v>771</v>
      </c>
      <c r="I13655" s="380" t="s">
        <v>788</v>
      </c>
      <c r="J13655" s="380" t="s">
        <v>773</v>
      </c>
      <c r="K13655" s="381">
        <v>0.0</v>
      </c>
      <c r="L13655" s="382">
        <v>1.0</v>
      </c>
    </row>
    <row r="13656">
      <c r="A13656" s="380" t="s">
        <v>14530</v>
      </c>
      <c r="B13656" s="380" t="str">
        <f>IFERROR(__xludf.DUMMYFUNCTION("""COMPUTED_VALUE"""),"Guaya Selectora Cambios Jac 1 1703030Le7")</f>
        <v>Guaya Selectora Cambios Jac 1 1703030Le7</v>
      </c>
      <c r="C13656" s="380" t="str">
        <f>IFERROR(__xludf.DUMMYFUNCTION("""COMPUTED_VALUE"""),"70009142")</f>
        <v>70009142</v>
      </c>
      <c r="D13656" s="380" t="s">
        <v>767</v>
      </c>
      <c r="E13656" s="380" t="s">
        <v>786</v>
      </c>
      <c r="F13656" s="380" t="s">
        <v>928</v>
      </c>
      <c r="G13656" s="380" t="s">
        <v>1267</v>
      </c>
      <c r="H13656" s="380" t="s">
        <v>771</v>
      </c>
      <c r="I13656" s="380" t="s">
        <v>788</v>
      </c>
      <c r="J13656" s="380" t="s">
        <v>773</v>
      </c>
      <c r="K13656" s="381">
        <v>0.0</v>
      </c>
      <c r="L13656" s="382">
        <v>1.0</v>
      </c>
    </row>
    <row r="13657">
      <c r="A13657" s="380" t="s">
        <v>14531</v>
      </c>
      <c r="B13657" s="380" t="str">
        <f>IFERROR(__xludf.DUMMYFUNCTION("""COMPUTED_VALUE"""),"Buje Pasador Barra Suspension 90008267")</f>
        <v>Buje Pasador Barra Suspension 90008267</v>
      </c>
      <c r="C13657" s="380" t="str">
        <f>IFERROR(__xludf.DUMMYFUNCTION("""COMPUTED_VALUE"""),"70009143")</f>
        <v>70009143</v>
      </c>
      <c r="D13657" s="380" t="s">
        <v>767</v>
      </c>
      <c r="E13657" s="380" t="s">
        <v>786</v>
      </c>
      <c r="F13657" s="380" t="s">
        <v>1039</v>
      </c>
      <c r="G13657" s="380" t="s">
        <v>1267</v>
      </c>
      <c r="H13657" s="380" t="s">
        <v>771</v>
      </c>
      <c r="I13657" s="380" t="s">
        <v>788</v>
      </c>
      <c r="J13657" s="380" t="s">
        <v>773</v>
      </c>
      <c r="K13657" s="381">
        <v>180000.0</v>
      </c>
      <c r="L13657" s="382">
        <v>1.0</v>
      </c>
    </row>
    <row r="13658">
      <c r="A13658" s="380" t="s">
        <v>14532</v>
      </c>
      <c r="B13658" s="380" t="str">
        <f>IFERROR(__xludf.DUMMYFUNCTION("""COMPUTED_VALUE"""),"Switch Cambia Luces Pie T Pesa Ds-7")</f>
        <v>Switch Cambia Luces Pie T Pesa Ds-7</v>
      </c>
      <c r="C13658" s="380" t="str">
        <f>IFERROR(__xludf.DUMMYFUNCTION("""COMPUTED_VALUE"""),"70009144")</f>
        <v>70009144</v>
      </c>
      <c r="D13658" s="380" t="s">
        <v>767</v>
      </c>
      <c r="E13658" s="380" t="s">
        <v>786</v>
      </c>
      <c r="F13658" s="380" t="s">
        <v>998</v>
      </c>
      <c r="G13658" s="380" t="s">
        <v>1267</v>
      </c>
      <c r="H13658" s="380" t="s">
        <v>771</v>
      </c>
      <c r="I13658" s="380" t="s">
        <v>788</v>
      </c>
      <c r="J13658" s="380" t="s">
        <v>773</v>
      </c>
      <c r="K13658" s="381">
        <v>0.0</v>
      </c>
      <c r="L13658" s="382">
        <v>1.0</v>
      </c>
    </row>
    <row r="13659">
      <c r="A13659" s="380" t="s">
        <v>14533</v>
      </c>
      <c r="B13659" s="380" t="str">
        <f>IFERROR(__xludf.DUMMYFUNCTION("""COMPUTED_VALUE"""),"Yoke Caja Direccion Hino 300 D")</f>
        <v>Yoke Caja Direccion Hino 300 D</v>
      </c>
      <c r="C13659" s="380" t="str">
        <f>IFERROR(__xludf.DUMMYFUNCTION("""COMPUTED_VALUE"""),"70009145")</f>
        <v>70009145</v>
      </c>
      <c r="D13659" s="380" t="s">
        <v>767</v>
      </c>
      <c r="E13659" s="380" t="s">
        <v>786</v>
      </c>
      <c r="F13659" s="380" t="s">
        <v>1020</v>
      </c>
      <c r="G13659" s="380" t="s">
        <v>1267</v>
      </c>
      <c r="H13659" s="380" t="s">
        <v>771</v>
      </c>
      <c r="I13659" s="380" t="s">
        <v>788</v>
      </c>
      <c r="J13659" s="380" t="s">
        <v>773</v>
      </c>
      <c r="K13659" s="381">
        <v>2288735.0</v>
      </c>
      <c r="L13659" s="382">
        <v>1.0</v>
      </c>
    </row>
    <row r="13660">
      <c r="A13660" s="380" t="s">
        <v>14534</v>
      </c>
      <c r="B13660" s="380" t="str">
        <f>IFERROR(__xludf.DUMMYFUNCTION("""COMPUTED_VALUE"""),"Talco Furgon Nhr Saep2Pc93")</f>
        <v>Talco Furgon Nhr Saep2Pc93</v>
      </c>
      <c r="C13660" s="380" t="str">
        <f>IFERROR(__xludf.DUMMYFUNCTION("""COMPUTED_VALUE"""),"70009146")</f>
        <v>70009146</v>
      </c>
      <c r="D13660" s="380" t="s">
        <v>767</v>
      </c>
      <c r="E13660" s="380" t="s">
        <v>786</v>
      </c>
      <c r="F13660" s="380" t="s">
        <v>998</v>
      </c>
      <c r="G13660" s="380" t="s">
        <v>1267</v>
      </c>
      <c r="H13660" s="380" t="s">
        <v>771</v>
      </c>
      <c r="I13660" s="380" t="s">
        <v>788</v>
      </c>
      <c r="J13660" s="380" t="s">
        <v>773</v>
      </c>
      <c r="K13660" s="381">
        <v>0.0</v>
      </c>
      <c r="L13660" s="382">
        <v>1.0</v>
      </c>
    </row>
    <row r="13661">
      <c r="A13661" s="380" t="s">
        <v>14535</v>
      </c>
      <c r="B13661" s="380" t="str">
        <f>IFERROR(__xludf.DUMMYFUNCTION("""COMPUTED_VALUE"""),"Talco Stop Redondo R4-20 420")</f>
        <v>Talco Stop Redondo R4-20 420</v>
      </c>
      <c r="C13661" s="380" t="str">
        <f>IFERROR(__xludf.DUMMYFUNCTION("""COMPUTED_VALUE"""),"70009147")</f>
        <v>70009147</v>
      </c>
      <c r="D13661" s="380" t="s">
        <v>767</v>
      </c>
      <c r="E13661" s="380" t="s">
        <v>786</v>
      </c>
      <c r="F13661" s="380" t="s">
        <v>998</v>
      </c>
      <c r="G13661" s="380" t="s">
        <v>1267</v>
      </c>
      <c r="H13661" s="380" t="s">
        <v>771</v>
      </c>
      <c r="I13661" s="380" t="s">
        <v>788</v>
      </c>
      <c r="J13661" s="380" t="s">
        <v>773</v>
      </c>
      <c r="K13661" s="381">
        <v>0.0</v>
      </c>
      <c r="L13661" s="382">
        <v>1.0</v>
      </c>
    </row>
    <row r="13662">
      <c r="A13662" s="380" t="s">
        <v>14536</v>
      </c>
      <c r="B13662" s="380" t="str">
        <f>IFERROR(__xludf.DUMMYFUNCTION("""COMPUTED_VALUE"""),"Valvula Seguridad Aire, Mack S963830012")</f>
        <v>Valvula Seguridad Aire, Mack S963830012</v>
      </c>
      <c r="C13662" s="380" t="str">
        <f>IFERROR(__xludf.DUMMYFUNCTION("""COMPUTED_VALUE"""),"70009148")</f>
        <v>70009148</v>
      </c>
      <c r="D13662" s="380" t="s">
        <v>767</v>
      </c>
      <c r="E13662" s="380" t="s">
        <v>786</v>
      </c>
      <c r="F13662" s="380" t="s">
        <v>1017</v>
      </c>
      <c r="G13662" s="380" t="s">
        <v>1267</v>
      </c>
      <c r="H13662" s="380" t="s">
        <v>771</v>
      </c>
      <c r="I13662" s="380" t="s">
        <v>788</v>
      </c>
      <c r="J13662" s="380" t="s">
        <v>773</v>
      </c>
      <c r="K13662" s="381">
        <v>0.0</v>
      </c>
      <c r="L13662" s="382">
        <v>1.0</v>
      </c>
    </row>
    <row r="13663">
      <c r="A13663" s="380" t="s">
        <v>14537</v>
      </c>
      <c r="B13663" s="380" t="str">
        <f>IFERROR(__xludf.DUMMYFUNCTION("""COMPUTED_VALUE"""),"Guaya Corredera Asiento Cond 1755182891")</f>
        <v>Guaya Corredera Asiento Cond 1755182891</v>
      </c>
      <c r="C13663" s="380" t="str">
        <f>IFERROR(__xludf.DUMMYFUNCTION("""COMPUTED_VALUE"""),"70009149")</f>
        <v>70009149</v>
      </c>
      <c r="D13663" s="380" t="s">
        <v>767</v>
      </c>
      <c r="E13663" s="380" t="s">
        <v>786</v>
      </c>
      <c r="F13663" s="380" t="s">
        <v>792</v>
      </c>
      <c r="G13663" s="380" t="s">
        <v>1267</v>
      </c>
      <c r="H13663" s="380" t="s">
        <v>771</v>
      </c>
      <c r="I13663" s="380" t="s">
        <v>788</v>
      </c>
      <c r="J13663" s="380" t="s">
        <v>773</v>
      </c>
      <c r="K13663" s="381">
        <v>0.0</v>
      </c>
      <c r="L13663" s="382">
        <v>1.0</v>
      </c>
    </row>
    <row r="13664">
      <c r="A13664" s="380" t="s">
        <v>14538</v>
      </c>
      <c r="B13664" s="380" t="str">
        <f>IFERROR(__xludf.DUMMYFUNCTION("""COMPUTED_VALUE"""),"Servic Empacada Cilindro Freno")</f>
        <v>Servic Empacada Cilindro Freno</v>
      </c>
      <c r="C13664" s="380" t="str">
        <f>IFERROR(__xludf.DUMMYFUNCTION("""COMPUTED_VALUE"""),"70009150")</f>
        <v>70009150</v>
      </c>
      <c r="D13664" s="380" t="s">
        <v>767</v>
      </c>
      <c r="E13664" s="380" t="s">
        <v>786</v>
      </c>
      <c r="F13664" s="380" t="s">
        <v>1017</v>
      </c>
      <c r="G13664" s="380" t="s">
        <v>1267</v>
      </c>
      <c r="H13664" s="380" t="s">
        <v>771</v>
      </c>
      <c r="I13664" s="380" t="s">
        <v>788</v>
      </c>
      <c r="J13664" s="380" t="s">
        <v>773</v>
      </c>
      <c r="K13664" s="381">
        <v>67905.0</v>
      </c>
      <c r="L13664" s="382">
        <v>1.0</v>
      </c>
    </row>
    <row r="13665">
      <c r="A13665" s="380" t="s">
        <v>14539</v>
      </c>
      <c r="B13665" s="380" t="str">
        <f>IFERROR(__xludf.DUMMYFUNCTION("""COMPUTED_VALUE"""),"Switch Lampara Luz Cabina Sc 302")</f>
        <v>Switch Lampara Luz Cabina Sc 302</v>
      </c>
      <c r="C13665" s="380" t="str">
        <f>IFERROR(__xludf.DUMMYFUNCTION("""COMPUTED_VALUE"""),"70009151")</f>
        <v>70009151</v>
      </c>
      <c r="D13665" s="380" t="s">
        <v>767</v>
      </c>
      <c r="E13665" s="380" t="s">
        <v>786</v>
      </c>
      <c r="F13665" s="380" t="s">
        <v>998</v>
      </c>
      <c r="G13665" s="380" t="s">
        <v>1267</v>
      </c>
      <c r="H13665" s="380" t="s">
        <v>771</v>
      </c>
      <c r="I13665" s="380" t="s">
        <v>788</v>
      </c>
      <c r="J13665" s="380" t="s">
        <v>773</v>
      </c>
      <c r="K13665" s="381">
        <v>0.0</v>
      </c>
      <c r="L13665" s="382">
        <v>1.0</v>
      </c>
    </row>
    <row r="13666">
      <c r="A13666" s="380" t="s">
        <v>14540</v>
      </c>
      <c r="B13666" s="380" t="str">
        <f>IFERROR(__xludf.DUMMYFUNCTION("""COMPUTED_VALUE"""),"Sens Alarma Stop Hi Internatio 598860 C1")</f>
        <v>Sens Alarma Stop Hi Internatio 598860 C1</v>
      </c>
      <c r="C13666" s="380" t="str">
        <f>IFERROR(__xludf.DUMMYFUNCTION("""COMPUTED_VALUE"""),"70009152")</f>
        <v>70009152</v>
      </c>
      <c r="D13666" s="380" t="s">
        <v>767</v>
      </c>
      <c r="E13666" s="380" t="s">
        <v>786</v>
      </c>
      <c r="F13666" s="380" t="s">
        <v>998</v>
      </c>
      <c r="G13666" s="380" t="s">
        <v>1267</v>
      </c>
      <c r="H13666" s="380" t="s">
        <v>771</v>
      </c>
      <c r="I13666" s="380" t="s">
        <v>788</v>
      </c>
      <c r="J13666" s="380" t="s">
        <v>773</v>
      </c>
      <c r="K13666" s="381">
        <v>95050.0</v>
      </c>
      <c r="L13666" s="382">
        <v>1.0</v>
      </c>
    </row>
    <row r="13667">
      <c r="A13667" s="380" t="s">
        <v>14541</v>
      </c>
      <c r="B13667" s="380" t="str">
        <f>IFERROR(__xludf.DUMMYFUNCTION("""COMPUTED_VALUE"""),"Filtro Combustible 33386 Wix")</f>
        <v>Filtro Combustible 33386 Wix</v>
      </c>
      <c r="C13667" s="380" t="str">
        <f>IFERROR(__xludf.DUMMYFUNCTION("""COMPUTED_VALUE"""),"70009153")</f>
        <v>70009153</v>
      </c>
      <c r="D13667" s="380" t="s">
        <v>767</v>
      </c>
      <c r="E13667" s="380" t="s">
        <v>786</v>
      </c>
      <c r="F13667" s="380" t="s">
        <v>5855</v>
      </c>
      <c r="G13667" s="380" t="s">
        <v>1267</v>
      </c>
      <c r="H13667" s="380" t="s">
        <v>771</v>
      </c>
      <c r="I13667" s="380" t="s">
        <v>788</v>
      </c>
      <c r="J13667" s="380" t="s">
        <v>773</v>
      </c>
      <c r="K13667" s="381">
        <v>0.0</v>
      </c>
      <c r="L13667" s="382">
        <v>1.0</v>
      </c>
    </row>
    <row r="13668">
      <c r="A13668" s="380" t="s">
        <v>14542</v>
      </c>
      <c r="B13668" s="380" t="str">
        <f>IFERROR(__xludf.DUMMYFUNCTION("""COMPUTED_VALUE"""),"Ret Cigueñal Del Cummins 3020183")</f>
        <v>Ret Cigueñal Del Cummins 3020183</v>
      </c>
      <c r="C13668" s="380" t="str">
        <f>IFERROR(__xludf.DUMMYFUNCTION("""COMPUTED_VALUE"""),"70009154")</f>
        <v>70009154</v>
      </c>
      <c r="D13668" s="380" t="s">
        <v>767</v>
      </c>
      <c r="E13668" s="380" t="s">
        <v>786</v>
      </c>
      <c r="F13668" s="380" t="s">
        <v>787</v>
      </c>
      <c r="G13668" s="380" t="s">
        <v>1267</v>
      </c>
      <c r="H13668" s="380" t="s">
        <v>771</v>
      </c>
      <c r="I13668" s="380" t="s">
        <v>788</v>
      </c>
      <c r="J13668" s="380" t="s">
        <v>773</v>
      </c>
      <c r="K13668" s="381">
        <v>0.0</v>
      </c>
      <c r="L13668" s="382">
        <v>1.0</v>
      </c>
    </row>
    <row r="13669">
      <c r="A13669" s="380" t="s">
        <v>14543</v>
      </c>
      <c r="B13669" s="380" t="str">
        <f>IFERROR(__xludf.DUMMYFUNCTION("""COMPUTED_VALUE"""),"Anillo Caucho Mack 944126")</f>
        <v>Anillo Caucho Mack 944126</v>
      </c>
      <c r="C13669" s="380" t="str">
        <f>IFERROR(__xludf.DUMMYFUNCTION("""COMPUTED_VALUE"""),"70009155")</f>
        <v>70009155</v>
      </c>
      <c r="D13669" s="380" t="s">
        <v>767</v>
      </c>
      <c r="E13669" s="380" t="s">
        <v>786</v>
      </c>
      <c r="F13669" s="380" t="s">
        <v>787</v>
      </c>
      <c r="G13669" s="380" t="s">
        <v>1267</v>
      </c>
      <c r="H13669" s="380" t="s">
        <v>771</v>
      </c>
      <c r="I13669" s="380" t="s">
        <v>788</v>
      </c>
      <c r="J13669" s="380" t="s">
        <v>773</v>
      </c>
      <c r="K13669" s="381">
        <v>0.0</v>
      </c>
      <c r="L13669" s="382">
        <v>1.0</v>
      </c>
    </row>
    <row r="13670">
      <c r="A13670" s="380" t="s">
        <v>14544</v>
      </c>
      <c r="B13670" s="380" t="str">
        <f>IFERROR(__xludf.DUMMYFUNCTION("""COMPUTED_VALUE"""),"Empaquetadura Bomba Freno Volk Ii-38287")</f>
        <v>Empaquetadura Bomba Freno Volk Ii-38287</v>
      </c>
      <c r="C13670" s="380" t="str">
        <f>IFERROR(__xludf.DUMMYFUNCTION("""COMPUTED_VALUE"""),"70009156")</f>
        <v>70009156</v>
      </c>
      <c r="D13670" s="380" t="s">
        <v>767</v>
      </c>
      <c r="E13670" s="380" t="s">
        <v>786</v>
      </c>
      <c r="F13670" s="380" t="s">
        <v>1017</v>
      </c>
      <c r="G13670" s="380" t="s">
        <v>1267</v>
      </c>
      <c r="H13670" s="380" t="s">
        <v>771</v>
      </c>
      <c r="I13670" s="380" t="s">
        <v>788</v>
      </c>
      <c r="J13670" s="380" t="s">
        <v>773</v>
      </c>
      <c r="K13670" s="381">
        <v>95000.0</v>
      </c>
      <c r="L13670" s="382">
        <v>1.0</v>
      </c>
    </row>
    <row r="13671">
      <c r="A13671" s="380" t="s">
        <v>14545</v>
      </c>
      <c r="B13671" s="380" t="str">
        <f>IFERROR(__xludf.DUMMYFUNCTION("""COMPUTED_VALUE"""),"Filtro Aceite Elemento Wl10007")</f>
        <v>Filtro Aceite Elemento Wl10007</v>
      </c>
      <c r="C13671" s="380" t="str">
        <f>IFERROR(__xludf.DUMMYFUNCTION("""COMPUTED_VALUE"""),"70009157")</f>
        <v>70009157</v>
      </c>
      <c r="D13671" s="380" t="s">
        <v>767</v>
      </c>
      <c r="E13671" s="380" t="s">
        <v>786</v>
      </c>
      <c r="F13671" s="380" t="s">
        <v>5855</v>
      </c>
      <c r="G13671" s="380" t="s">
        <v>1267</v>
      </c>
      <c r="H13671" s="380" t="s">
        <v>771</v>
      </c>
      <c r="I13671" s="380" t="s">
        <v>788</v>
      </c>
      <c r="J13671" s="380" t="s">
        <v>773</v>
      </c>
      <c r="K13671" s="381">
        <v>0.0</v>
      </c>
      <c r="L13671" s="382">
        <v>1.0</v>
      </c>
    </row>
    <row r="13672">
      <c r="A13672" s="380" t="s">
        <v>14546</v>
      </c>
      <c r="B13672" s="380" t="str">
        <f>IFERROR(__xludf.DUMMYFUNCTION("""COMPUTED_VALUE"""),"Filtro Combustible Elemento 33")</f>
        <v>Filtro Combustible Elemento 33</v>
      </c>
      <c r="C13672" s="380" t="str">
        <f>IFERROR(__xludf.DUMMYFUNCTION("""COMPUTED_VALUE"""),"70009158")</f>
        <v>70009158</v>
      </c>
      <c r="D13672" s="380" t="s">
        <v>767</v>
      </c>
      <c r="E13672" s="380" t="s">
        <v>786</v>
      </c>
      <c r="F13672" s="380" t="s">
        <v>5855</v>
      </c>
      <c r="G13672" s="380" t="s">
        <v>1267</v>
      </c>
      <c r="H13672" s="380" t="s">
        <v>771</v>
      </c>
      <c r="I13672" s="380" t="s">
        <v>788</v>
      </c>
      <c r="J13672" s="380" t="s">
        <v>773</v>
      </c>
      <c r="K13672" s="381">
        <v>0.0</v>
      </c>
      <c r="L13672" s="382">
        <v>1.0</v>
      </c>
    </row>
    <row r="13673">
      <c r="A13673" s="380" t="s">
        <v>14547</v>
      </c>
      <c r="B13673" s="380" t="str">
        <f>IFERROR(__xludf.DUMMYFUNCTION("""COMPUTED_VALUE"""),"Filtro Combustibl 1105012L Jac")</f>
        <v>Filtro Combustibl 1105012L Jac</v>
      </c>
      <c r="C13673" s="380" t="str">
        <f>IFERROR(__xludf.DUMMYFUNCTION("""COMPUTED_VALUE"""),"70009159")</f>
        <v>70009159</v>
      </c>
      <c r="D13673" s="380" t="s">
        <v>767</v>
      </c>
      <c r="E13673" s="380" t="s">
        <v>786</v>
      </c>
      <c r="F13673" s="380" t="s">
        <v>5855</v>
      </c>
      <c r="G13673" s="380" t="s">
        <v>1267</v>
      </c>
      <c r="H13673" s="380" t="s">
        <v>771</v>
      </c>
      <c r="I13673" s="380" t="s">
        <v>788</v>
      </c>
      <c r="J13673" s="380" t="s">
        <v>773</v>
      </c>
      <c r="K13673" s="381">
        <v>192340.0</v>
      </c>
      <c r="L13673" s="382">
        <v>1.0</v>
      </c>
    </row>
    <row r="13674">
      <c r="A13674" s="380" t="s">
        <v>14548</v>
      </c>
      <c r="B13674" s="380" t="str">
        <f>IFERROR(__xludf.DUMMYFUNCTION("""COMPUTED_VALUE"""),"Filtro Aire Externo 1035Kn Jac")</f>
        <v>Filtro Aire Externo 1035Kn Jac</v>
      </c>
      <c r="C13674" s="380" t="str">
        <f>IFERROR(__xludf.DUMMYFUNCTION("""COMPUTED_VALUE"""),"70009160")</f>
        <v>70009160</v>
      </c>
      <c r="D13674" s="380" t="s">
        <v>767</v>
      </c>
      <c r="E13674" s="380" t="s">
        <v>786</v>
      </c>
      <c r="F13674" s="380" t="s">
        <v>5855</v>
      </c>
      <c r="G13674" s="380" t="s">
        <v>1267</v>
      </c>
      <c r="H13674" s="380" t="s">
        <v>771</v>
      </c>
      <c r="I13674" s="380" t="s">
        <v>788</v>
      </c>
      <c r="J13674" s="380" t="s">
        <v>773</v>
      </c>
      <c r="K13674" s="381">
        <v>81444.0</v>
      </c>
      <c r="L13674" s="382">
        <v>1.0</v>
      </c>
    </row>
    <row r="13675">
      <c r="A13675" s="380" t="s">
        <v>14549</v>
      </c>
      <c r="B13675" s="380" t="str">
        <f>IFERROR(__xludf.DUMMYFUNCTION("""COMPUTED_VALUE"""),"Manjia Pta Exterior Derec Hino 6.921E+34")</f>
        <v>Manjia Pta Exterior Derec Hino 6.921E+34</v>
      </c>
      <c r="C13675" s="380" t="str">
        <f>IFERROR(__xludf.DUMMYFUNCTION("""COMPUTED_VALUE"""),"70009161")</f>
        <v>70009161</v>
      </c>
      <c r="D13675" s="380" t="s">
        <v>767</v>
      </c>
      <c r="E13675" s="380" t="s">
        <v>786</v>
      </c>
      <c r="F13675" s="380" t="s">
        <v>792</v>
      </c>
      <c r="G13675" s="380" t="s">
        <v>1267</v>
      </c>
      <c r="H13675" s="380" t="s">
        <v>771</v>
      </c>
      <c r="I13675" s="380" t="s">
        <v>788</v>
      </c>
      <c r="J13675" s="380" t="s">
        <v>773</v>
      </c>
      <c r="K13675" s="381">
        <v>322597.0</v>
      </c>
      <c r="L13675" s="382">
        <v>1.0</v>
      </c>
    </row>
    <row r="13676">
      <c r="A13676" s="380" t="s">
        <v>14550</v>
      </c>
      <c r="B13676" s="380" t="str">
        <f>IFERROR(__xludf.DUMMYFUNCTION("""COMPUTED_VALUE"""),"Switch Crucero Hi Eagle 9400 2007305C1")</f>
        <v>Switch Crucero Hi Eagle 9400 2007305C1</v>
      </c>
      <c r="C13676" s="380" t="str">
        <f>IFERROR(__xludf.DUMMYFUNCTION("""COMPUTED_VALUE"""),"70009162")</f>
        <v>70009162</v>
      </c>
      <c r="D13676" s="380" t="s">
        <v>767</v>
      </c>
      <c r="E13676" s="380" t="s">
        <v>786</v>
      </c>
      <c r="F13676" s="380" t="s">
        <v>998</v>
      </c>
      <c r="G13676" s="380" t="s">
        <v>1267</v>
      </c>
      <c r="H13676" s="380" t="s">
        <v>771</v>
      </c>
      <c r="I13676" s="380" t="s">
        <v>788</v>
      </c>
      <c r="J13676" s="380" t="s">
        <v>773</v>
      </c>
      <c r="K13676" s="381">
        <v>572784.0</v>
      </c>
      <c r="L13676" s="382">
        <v>1.0</v>
      </c>
    </row>
    <row r="13677">
      <c r="A13677" s="380" t="s">
        <v>14551</v>
      </c>
      <c r="B13677" s="380" t="str">
        <f>IFERROR(__xludf.DUMMYFUNCTION("""COMPUTED_VALUE"""),"Swich Control A/C Kenworth T80 79Psl34")</f>
        <v>Swich Control A/C Kenworth T80 79Psl34</v>
      </c>
      <c r="C13677" s="380" t="str">
        <f>IFERROR(__xludf.DUMMYFUNCTION("""COMPUTED_VALUE"""),"70009163")</f>
        <v>70009163</v>
      </c>
      <c r="D13677" s="380" t="s">
        <v>767</v>
      </c>
      <c r="E13677" s="380" t="s">
        <v>786</v>
      </c>
      <c r="F13677" s="380" t="s">
        <v>1031</v>
      </c>
      <c r="G13677" s="380" t="s">
        <v>1267</v>
      </c>
      <c r="H13677" s="380" t="s">
        <v>771</v>
      </c>
      <c r="I13677" s="380" t="s">
        <v>788</v>
      </c>
      <c r="J13677" s="380" t="s">
        <v>773</v>
      </c>
      <c r="K13677" s="381">
        <v>338990.0</v>
      </c>
      <c r="L13677" s="382">
        <v>1.0</v>
      </c>
    </row>
    <row r="13678">
      <c r="A13678" s="380" t="s">
        <v>14552</v>
      </c>
      <c r="B13678" s="380" t="str">
        <f>IFERROR(__xludf.DUMMYFUNCTION("""COMPUTED_VALUE"""),"Switch Freno Motor Kenw T800 P27104016")</f>
        <v>Switch Freno Motor Kenw T800 P27104016</v>
      </c>
      <c r="C13678" s="380" t="str">
        <f>IFERROR(__xludf.DUMMYFUNCTION("""COMPUTED_VALUE"""),"70009164")</f>
        <v>70009164</v>
      </c>
      <c r="D13678" s="380" t="s">
        <v>767</v>
      </c>
      <c r="E13678" s="380" t="s">
        <v>786</v>
      </c>
      <c r="F13678" s="380" t="s">
        <v>998</v>
      </c>
      <c r="G13678" s="380" t="s">
        <v>1267</v>
      </c>
      <c r="H13678" s="380" t="s">
        <v>771</v>
      </c>
      <c r="I13678" s="380" t="s">
        <v>788</v>
      </c>
      <c r="J13678" s="380" t="s">
        <v>773</v>
      </c>
      <c r="K13678" s="381">
        <v>0.0</v>
      </c>
      <c r="L13678" s="382">
        <v>1.0</v>
      </c>
    </row>
    <row r="13679">
      <c r="A13679" s="380" t="s">
        <v>14553</v>
      </c>
      <c r="B13679" s="380" t="str">
        <f>IFERROR(__xludf.DUMMYFUNCTION("""COMPUTED_VALUE"""),"Motor Limpiabrisas Nkr Reward 8980291243")</f>
        <v>Motor Limpiabrisas Nkr Reward 8980291243</v>
      </c>
      <c r="C13679" s="380" t="str">
        <f>IFERROR(__xludf.DUMMYFUNCTION("""COMPUTED_VALUE"""),"70009165")</f>
        <v>70009165</v>
      </c>
      <c r="D13679" s="380" t="s">
        <v>767</v>
      </c>
      <c r="E13679" s="380" t="s">
        <v>786</v>
      </c>
      <c r="F13679" s="380" t="s">
        <v>998</v>
      </c>
      <c r="G13679" s="380" t="s">
        <v>1267</v>
      </c>
      <c r="H13679" s="380" t="s">
        <v>771</v>
      </c>
      <c r="I13679" s="380" t="s">
        <v>788</v>
      </c>
      <c r="J13679" s="380" t="s">
        <v>773</v>
      </c>
      <c r="K13679" s="381">
        <v>0.0</v>
      </c>
      <c r="L13679" s="382">
        <v>1.0</v>
      </c>
    </row>
    <row r="13680">
      <c r="A13680" s="380" t="s">
        <v>14554</v>
      </c>
      <c r="B13680" s="380" t="str">
        <f>IFERROR(__xludf.DUMMYFUNCTION("""COMPUTED_VALUE"""),"Oring Bomba Freno Trailer 199")</f>
        <v>Oring Bomba Freno Trailer 199</v>
      </c>
      <c r="C13680" s="380" t="str">
        <f>IFERROR(__xludf.DUMMYFUNCTION("""COMPUTED_VALUE"""),"70009166")</f>
        <v>70009166</v>
      </c>
      <c r="D13680" s="380" t="s">
        <v>767</v>
      </c>
      <c r="E13680" s="380" t="s">
        <v>786</v>
      </c>
      <c r="F13680" s="380" t="s">
        <v>1017</v>
      </c>
      <c r="G13680" s="380" t="s">
        <v>1267</v>
      </c>
      <c r="H13680" s="380" t="s">
        <v>771</v>
      </c>
      <c r="I13680" s="380" t="s">
        <v>788</v>
      </c>
      <c r="J13680" s="380" t="s">
        <v>773</v>
      </c>
      <c r="K13680" s="381">
        <v>0.0</v>
      </c>
      <c r="L13680" s="382">
        <v>1.0</v>
      </c>
    </row>
    <row r="13681">
      <c r="A13681" s="380" t="s">
        <v>14555</v>
      </c>
      <c r="B13681" s="380" t="str">
        <f>IFERROR(__xludf.DUMMYFUNCTION("""COMPUTED_VALUE"""),"Gancho Capo Mack Cxu613 84710395")</f>
        <v>Gancho Capo Mack Cxu613 84710395</v>
      </c>
      <c r="C13681" s="380" t="str">
        <f>IFERROR(__xludf.DUMMYFUNCTION("""COMPUTED_VALUE"""),"70009167")</f>
        <v>70009167</v>
      </c>
      <c r="D13681" s="380" t="s">
        <v>767</v>
      </c>
      <c r="E13681" s="380" t="s">
        <v>786</v>
      </c>
      <c r="F13681" s="380" t="s">
        <v>792</v>
      </c>
      <c r="G13681" s="380" t="s">
        <v>1267</v>
      </c>
      <c r="H13681" s="380" t="s">
        <v>771</v>
      </c>
      <c r="I13681" s="380" t="s">
        <v>788</v>
      </c>
      <c r="J13681" s="380" t="s">
        <v>773</v>
      </c>
      <c r="K13681" s="381">
        <v>22252.0</v>
      </c>
      <c r="L13681" s="382">
        <v>1.0</v>
      </c>
    </row>
    <row r="13682">
      <c r="A13682" s="380" t="s">
        <v>14556</v>
      </c>
      <c r="B13682" s="380" t="str">
        <f>IFERROR(__xludf.DUMMYFUNCTION("""COMPUTED_VALUE"""),"Switch Luz Puerta Eagle 3527361C1")</f>
        <v>Switch Luz Puerta Eagle 3527361C1</v>
      </c>
      <c r="C13682" s="380" t="str">
        <f>IFERROR(__xludf.DUMMYFUNCTION("""COMPUTED_VALUE"""),"70009168")</f>
        <v>70009168</v>
      </c>
      <c r="D13682" s="380" t="s">
        <v>767</v>
      </c>
      <c r="E13682" s="380" t="s">
        <v>786</v>
      </c>
      <c r="F13682" s="380" t="s">
        <v>998</v>
      </c>
      <c r="G13682" s="380" t="s">
        <v>1267</v>
      </c>
      <c r="H13682" s="380" t="s">
        <v>771</v>
      </c>
      <c r="I13682" s="380" t="s">
        <v>788</v>
      </c>
      <c r="J13682" s="380" t="s">
        <v>773</v>
      </c>
      <c r="K13682" s="381">
        <v>273065.0</v>
      </c>
      <c r="L13682" s="382">
        <v>1.0</v>
      </c>
    </row>
    <row r="13683">
      <c r="A13683" s="380" t="s">
        <v>14557</v>
      </c>
      <c r="B13683" s="380" t="str">
        <f>IFERROR(__xludf.DUMMYFUNCTION("""COMPUTED_VALUE"""),"Automatico Arranque Hi 1115609")</f>
        <v>Automatico Arranque Hi 1115609</v>
      </c>
      <c r="C13683" s="380" t="str">
        <f>IFERROR(__xludf.DUMMYFUNCTION("""COMPUTED_VALUE"""),"70009169")</f>
        <v>70009169</v>
      </c>
      <c r="D13683" s="380" t="s">
        <v>767</v>
      </c>
      <c r="E13683" s="380" t="s">
        <v>786</v>
      </c>
      <c r="F13683" s="380" t="s">
        <v>998</v>
      </c>
      <c r="G13683" s="380" t="s">
        <v>1267</v>
      </c>
      <c r="H13683" s="380" t="s">
        <v>771</v>
      </c>
      <c r="I13683" s="380" t="s">
        <v>788</v>
      </c>
      <c r="J13683" s="380" t="s">
        <v>773</v>
      </c>
      <c r="K13683" s="381">
        <v>0.0</v>
      </c>
      <c r="L13683" s="382">
        <v>1.0</v>
      </c>
    </row>
    <row r="13684">
      <c r="A13684" s="380" t="s">
        <v>14558</v>
      </c>
      <c r="B13684" s="380" t="str">
        <f>IFERROR(__xludf.DUMMYFUNCTION("""COMPUTED_VALUE"""),"Soporte Estribo Cj.Bat.Izq Isx 3566526C3")</f>
        <v>Soporte Estribo Cj.Bat.Izq Isx 3566526C3</v>
      </c>
      <c r="C13684" s="380" t="str">
        <f>IFERROR(__xludf.DUMMYFUNCTION("""COMPUTED_VALUE"""),"70009170")</f>
        <v>70009170</v>
      </c>
      <c r="D13684" s="380" t="s">
        <v>767</v>
      </c>
      <c r="E13684" s="380" t="s">
        <v>786</v>
      </c>
      <c r="F13684" s="380" t="s">
        <v>792</v>
      </c>
      <c r="G13684" s="380" t="s">
        <v>1267</v>
      </c>
      <c r="H13684" s="380" t="s">
        <v>771</v>
      </c>
      <c r="I13684" s="380" t="s">
        <v>788</v>
      </c>
      <c r="J13684" s="380" t="s">
        <v>773</v>
      </c>
      <c r="K13684" s="381">
        <v>412403.0</v>
      </c>
      <c r="L13684" s="382">
        <v>1.0</v>
      </c>
    </row>
    <row r="13685">
      <c r="A13685" s="380" t="s">
        <v>14559</v>
      </c>
      <c r="B13685" s="380" t="str">
        <f>IFERROR(__xludf.DUMMYFUNCTION("""COMPUTED_VALUE"""),"Guaya Emergencia Asistido3W18 7701023538")</f>
        <v>Guaya Emergencia Asistido3W18 7701023538</v>
      </c>
      <c r="C13685" s="380" t="str">
        <f>IFERROR(__xludf.DUMMYFUNCTION("""COMPUTED_VALUE"""),"70009171")</f>
        <v>70009171</v>
      </c>
      <c r="D13685" s="380" t="s">
        <v>767</v>
      </c>
      <c r="E13685" s="380" t="s">
        <v>786</v>
      </c>
      <c r="F13685" s="380" t="s">
        <v>1017</v>
      </c>
      <c r="G13685" s="380" t="s">
        <v>1267</v>
      </c>
      <c r="H13685" s="380" t="s">
        <v>771</v>
      </c>
      <c r="I13685" s="380" t="s">
        <v>788</v>
      </c>
      <c r="J13685" s="380" t="s">
        <v>773</v>
      </c>
      <c r="K13685" s="381">
        <v>0.0</v>
      </c>
      <c r="L13685" s="382">
        <v>1.0</v>
      </c>
    </row>
    <row r="13686">
      <c r="A13686" s="380" t="s">
        <v>14560</v>
      </c>
      <c r="B13686" s="380" t="str">
        <f>IFERROR(__xludf.DUMMYFUNCTION("""COMPUTED_VALUE"""),"Switch Direccionales Frr 8982437490")</f>
        <v>Switch Direccionales Frr 8982437490</v>
      </c>
      <c r="C13686" s="380" t="str">
        <f>IFERROR(__xludf.DUMMYFUNCTION("""COMPUTED_VALUE"""),"70009172")</f>
        <v>70009172</v>
      </c>
      <c r="D13686" s="380" t="s">
        <v>767</v>
      </c>
      <c r="E13686" s="380" t="s">
        <v>786</v>
      </c>
      <c r="F13686" s="380" t="s">
        <v>998</v>
      </c>
      <c r="G13686" s="380" t="s">
        <v>1267</v>
      </c>
      <c r="H13686" s="380" t="s">
        <v>771</v>
      </c>
      <c r="I13686" s="380" t="s">
        <v>788</v>
      </c>
      <c r="J13686" s="380" t="s">
        <v>773</v>
      </c>
      <c r="K13686" s="381">
        <v>0.0</v>
      </c>
      <c r="L13686" s="382">
        <v>1.0</v>
      </c>
    </row>
    <row r="13687">
      <c r="A13687" s="380" t="s">
        <v>14561</v>
      </c>
      <c r="B13687" s="380" t="str">
        <f>IFERROR(__xludf.DUMMYFUNCTION("""COMPUTED_VALUE"""),"Talco Stop Tricolor Dir Delta 3171137")</f>
        <v>Talco Stop Tricolor Dir Delta 3171137</v>
      </c>
      <c r="C13687" s="380" t="str">
        <f>IFERROR(__xludf.DUMMYFUNCTION("""COMPUTED_VALUE"""),"70009173")</f>
        <v>70009173</v>
      </c>
      <c r="D13687" s="380" t="s">
        <v>767</v>
      </c>
      <c r="E13687" s="380" t="s">
        <v>786</v>
      </c>
      <c r="F13687" s="380" t="s">
        <v>998</v>
      </c>
      <c r="G13687" s="380" t="s">
        <v>1267</v>
      </c>
      <c r="H13687" s="380" t="s">
        <v>771</v>
      </c>
      <c r="I13687" s="380" t="s">
        <v>788</v>
      </c>
      <c r="J13687" s="380" t="s">
        <v>773</v>
      </c>
      <c r="K13687" s="381">
        <v>7500.0</v>
      </c>
      <c r="L13687" s="382">
        <v>1.0</v>
      </c>
    </row>
    <row r="13688">
      <c r="A13688" s="380" t="s">
        <v>14562</v>
      </c>
      <c r="B13688" s="380" t="str">
        <f>IFERROR(__xludf.DUMMYFUNCTION("""COMPUTED_VALUE"""),"Tornillo Pole Tensora Eagle 94 3093936")</f>
        <v>Tornillo Pole Tensora Eagle 94 3093936</v>
      </c>
      <c r="C13688" s="380" t="str">
        <f>IFERROR(__xludf.DUMMYFUNCTION("""COMPUTED_VALUE"""),"70009174")</f>
        <v>70009174</v>
      </c>
      <c r="D13688" s="380" t="s">
        <v>767</v>
      </c>
      <c r="E13688" s="380" t="s">
        <v>786</v>
      </c>
      <c r="F13688" s="380" t="s">
        <v>787</v>
      </c>
      <c r="G13688" s="380" t="s">
        <v>1267</v>
      </c>
      <c r="H13688" s="380" t="s">
        <v>771</v>
      </c>
      <c r="I13688" s="380" t="s">
        <v>788</v>
      </c>
      <c r="J13688" s="380" t="s">
        <v>773</v>
      </c>
      <c r="K13688" s="381">
        <v>0.0</v>
      </c>
      <c r="L13688" s="382">
        <v>1.0</v>
      </c>
    </row>
    <row r="13689">
      <c r="A13689" s="380" t="s">
        <v>14563</v>
      </c>
      <c r="B13689" s="380" t="str">
        <f>IFERROR(__xludf.DUMMYFUNCTION("""COMPUTED_VALUE"""),"Tapa Bracket Infer Tip Cort Nk Pu-5502")</f>
        <v>Tapa Bracket Infer Tip Cort Nk Pu-5502</v>
      </c>
      <c r="C13689" s="380" t="str">
        <f>IFERROR(__xludf.DUMMYFUNCTION("""COMPUTED_VALUE"""),"70009175")</f>
        <v>70009175</v>
      </c>
      <c r="D13689" s="380" t="s">
        <v>767</v>
      </c>
      <c r="E13689" s="380" t="s">
        <v>786</v>
      </c>
      <c r="F13689" s="380" t="s">
        <v>792</v>
      </c>
      <c r="G13689" s="380" t="s">
        <v>1267</v>
      </c>
      <c r="H13689" s="380" t="s">
        <v>771</v>
      </c>
      <c r="I13689" s="380" t="s">
        <v>788</v>
      </c>
      <c r="J13689" s="380" t="s">
        <v>773</v>
      </c>
      <c r="K13689" s="381">
        <v>0.0</v>
      </c>
      <c r="L13689" s="382">
        <v>1.0</v>
      </c>
    </row>
    <row r="13690">
      <c r="A13690" s="380" t="s">
        <v>14564</v>
      </c>
      <c r="B13690" s="380" t="str">
        <f>IFERROR(__xludf.DUMMYFUNCTION("""COMPUTED_VALUE"""),"Rodillo Agujas Alternador 34Si Db-70142")</f>
        <v>Rodillo Agujas Alternador 34Si Db-70142</v>
      </c>
      <c r="C13690" s="380" t="str">
        <f>IFERROR(__xludf.DUMMYFUNCTION("""COMPUTED_VALUE"""),"70009176")</f>
        <v>70009176</v>
      </c>
      <c r="D13690" s="380" t="s">
        <v>767</v>
      </c>
      <c r="E13690" s="380" t="s">
        <v>786</v>
      </c>
      <c r="F13690" s="380" t="s">
        <v>998</v>
      </c>
      <c r="G13690" s="380" t="s">
        <v>1267</v>
      </c>
      <c r="H13690" s="380" t="s">
        <v>771</v>
      </c>
      <c r="I13690" s="380" t="s">
        <v>788</v>
      </c>
      <c r="J13690" s="380" t="s">
        <v>773</v>
      </c>
      <c r="K13690" s="381">
        <v>25000.0</v>
      </c>
      <c r="L13690" s="382">
        <v>1.0</v>
      </c>
    </row>
    <row r="13691">
      <c r="A13691" s="380" t="s">
        <v>14565</v>
      </c>
      <c r="B13691" s="380" t="str">
        <f>IFERROR(__xludf.DUMMYFUNCTION("""COMPUTED_VALUE"""),"Manija Externa Puerta Tras Der 24518184")</f>
        <v>Manija Externa Puerta Tras Der 24518184</v>
      </c>
      <c r="C13691" s="380" t="str">
        <f>IFERROR(__xludf.DUMMYFUNCTION("""COMPUTED_VALUE"""),"70009177")</f>
        <v>70009177</v>
      </c>
      <c r="D13691" s="380" t="s">
        <v>767</v>
      </c>
      <c r="E13691" s="380" t="s">
        <v>786</v>
      </c>
      <c r="F13691" s="380" t="s">
        <v>792</v>
      </c>
      <c r="G13691" s="380" t="s">
        <v>1267</v>
      </c>
      <c r="H13691" s="380" t="s">
        <v>771</v>
      </c>
      <c r="I13691" s="380" t="s">
        <v>788</v>
      </c>
      <c r="J13691" s="380" t="s">
        <v>773</v>
      </c>
      <c r="K13691" s="381">
        <v>60000.0</v>
      </c>
      <c r="L13691" s="382">
        <v>1.0</v>
      </c>
    </row>
    <row r="13692">
      <c r="A13692" s="380" t="s">
        <v>14566</v>
      </c>
      <c r="B13692" s="380" t="str">
        <f>IFERROR(__xludf.DUMMYFUNCTION("""COMPUTED_VALUE"""),"Rodillo Caja Y Diferencial Nhr 31306")</f>
        <v>Rodillo Caja Y Diferencial Nhr 31306</v>
      </c>
      <c r="C13692" s="380" t="str">
        <f>IFERROR(__xludf.DUMMYFUNCTION("""COMPUTED_VALUE"""),"70009178")</f>
        <v>70009178</v>
      </c>
      <c r="D13692" s="380" t="s">
        <v>767</v>
      </c>
      <c r="E13692" s="380" t="s">
        <v>786</v>
      </c>
      <c r="F13692" s="380" t="s">
        <v>928</v>
      </c>
      <c r="G13692" s="380" t="s">
        <v>1267</v>
      </c>
      <c r="H13692" s="380" t="s">
        <v>771</v>
      </c>
      <c r="I13692" s="380" t="s">
        <v>788</v>
      </c>
      <c r="J13692" s="380" t="s">
        <v>773</v>
      </c>
      <c r="K13692" s="381">
        <v>0.0</v>
      </c>
      <c r="L13692" s="382">
        <v>1.0</v>
      </c>
    </row>
    <row r="13693">
      <c r="A13693" s="380" t="s">
        <v>14567</v>
      </c>
      <c r="B13693" s="380" t="str">
        <f>IFERROR(__xludf.DUMMYFUNCTION("""COMPUTED_VALUE"""),"Valvula Silla Kenworth 22969701")</f>
        <v>Valvula Silla Kenworth 22969701</v>
      </c>
      <c r="C13693" s="380" t="str">
        <f>IFERROR(__xludf.DUMMYFUNCTION("""COMPUTED_VALUE"""),"70009179")</f>
        <v>70009179</v>
      </c>
      <c r="D13693" s="380" t="s">
        <v>767</v>
      </c>
      <c r="E13693" s="380" t="s">
        <v>786</v>
      </c>
      <c r="F13693" s="380" t="s">
        <v>792</v>
      </c>
      <c r="G13693" s="380" t="s">
        <v>1267</v>
      </c>
      <c r="H13693" s="380" t="s">
        <v>771</v>
      </c>
      <c r="I13693" s="380" t="s">
        <v>788</v>
      </c>
      <c r="J13693" s="380" t="s">
        <v>773</v>
      </c>
      <c r="K13693" s="381">
        <v>0.0</v>
      </c>
      <c r="L13693" s="382">
        <v>1.0</v>
      </c>
    </row>
    <row r="13694">
      <c r="A13694" s="380" t="s">
        <v>14568</v>
      </c>
      <c r="B13694" s="380" t="str">
        <f>IFERROR(__xludf.DUMMYFUNCTION("""COMPUTED_VALUE"""),"Sop Aislador Cab Front Fre R184746300")</f>
        <v>Sop Aislador Cab Front Fre R184746300</v>
      </c>
      <c r="C13694" s="380" t="str">
        <f>IFERROR(__xludf.DUMMYFUNCTION("""COMPUTED_VALUE"""),"70009180")</f>
        <v>70009180</v>
      </c>
      <c r="D13694" s="380" t="s">
        <v>767</v>
      </c>
      <c r="E13694" s="380" t="s">
        <v>786</v>
      </c>
      <c r="F13694" s="380" t="s">
        <v>792</v>
      </c>
      <c r="G13694" s="380" t="s">
        <v>1267</v>
      </c>
      <c r="H13694" s="380" t="s">
        <v>771</v>
      </c>
      <c r="I13694" s="380" t="s">
        <v>788</v>
      </c>
      <c r="J13694" s="380" t="s">
        <v>773</v>
      </c>
      <c r="K13694" s="381">
        <v>544425.0</v>
      </c>
      <c r="L13694" s="382">
        <v>1.0</v>
      </c>
    </row>
    <row r="13695">
      <c r="A13695" s="380" t="s">
        <v>14569</v>
      </c>
      <c r="B13695" s="380" t="str">
        <f>IFERROR(__xludf.DUMMYFUNCTION("""COMPUTED_VALUE"""),"Kit Tuerca Eje Trl Dite 5 Inca C0A0167 -")</f>
        <v>Kit Tuerca Eje Trl Dite 5 Inca C0A0167 -</v>
      </c>
      <c r="C13695" s="380" t="str">
        <f>IFERROR(__xludf.DUMMYFUNCTION("""COMPUTED_VALUE"""),"70009181")</f>
        <v>70009181</v>
      </c>
      <c r="D13695" s="380" t="s">
        <v>767</v>
      </c>
      <c r="E13695" s="380" t="s">
        <v>786</v>
      </c>
      <c r="F13695" s="380" t="s">
        <v>5683</v>
      </c>
      <c r="G13695" s="380" t="s">
        <v>1267</v>
      </c>
      <c r="H13695" s="380" t="s">
        <v>771</v>
      </c>
      <c r="I13695" s="380" t="s">
        <v>788</v>
      </c>
      <c r="J13695" s="380" t="s">
        <v>773</v>
      </c>
      <c r="K13695" s="381">
        <v>44620.0</v>
      </c>
      <c r="L13695" s="382">
        <v>1.0</v>
      </c>
    </row>
    <row r="13696">
      <c r="A13696" s="380" t="s">
        <v>14570</v>
      </c>
      <c r="B13696" s="380" t="str">
        <f>IFERROR(__xludf.DUMMYFUNCTION("""COMPUTED_VALUE"""),"Tobera Inyector Toyota Delta Dlla150P66")</f>
        <v>Tobera Inyector Toyota Delta Dlla150P66</v>
      </c>
      <c r="C13696" s="380" t="str">
        <f>IFERROR(__xludf.DUMMYFUNCTION("""COMPUTED_VALUE"""),"70009182")</f>
        <v>70009182</v>
      </c>
      <c r="D13696" s="380" t="s">
        <v>767</v>
      </c>
      <c r="E13696" s="380" t="s">
        <v>786</v>
      </c>
      <c r="F13696" s="380" t="s">
        <v>787</v>
      </c>
      <c r="G13696" s="380" t="s">
        <v>1267</v>
      </c>
      <c r="H13696" s="380" t="s">
        <v>771</v>
      </c>
      <c r="I13696" s="380" t="s">
        <v>788</v>
      </c>
      <c r="J13696" s="380" t="s">
        <v>773</v>
      </c>
      <c r="K13696" s="381">
        <v>202300.0</v>
      </c>
      <c r="L13696" s="382">
        <v>1.0</v>
      </c>
    </row>
    <row r="13697">
      <c r="A13697" s="380" t="s">
        <v>14571</v>
      </c>
      <c r="B13697" s="380" t="str">
        <f>IFERROR(__xludf.DUMMYFUNCTION("""COMPUTED_VALUE"""),"Juego Splinder Eagle Fak-5456")</f>
        <v>Juego Splinder Eagle Fak-5456</v>
      </c>
      <c r="C13697" s="380" t="str">
        <f>IFERROR(__xludf.DUMMYFUNCTION("""COMPUTED_VALUE"""),"70009183")</f>
        <v>70009183</v>
      </c>
      <c r="D13697" s="380" t="s">
        <v>767</v>
      </c>
      <c r="E13697" s="380" t="s">
        <v>786</v>
      </c>
      <c r="F13697" s="380" t="s">
        <v>1039</v>
      </c>
      <c r="G13697" s="380" t="s">
        <v>1267</v>
      </c>
      <c r="H13697" s="380" t="s">
        <v>771</v>
      </c>
      <c r="I13697" s="380" t="s">
        <v>788</v>
      </c>
      <c r="J13697" s="380" t="s">
        <v>773</v>
      </c>
      <c r="K13697" s="381">
        <v>0.0</v>
      </c>
      <c r="L13697" s="382">
        <v>1.0</v>
      </c>
    </row>
    <row r="13698">
      <c r="A13698" s="380" t="s">
        <v>14572</v>
      </c>
      <c r="B13698" s="380" t="str">
        <f>IFERROR(__xludf.DUMMYFUNCTION("""COMPUTED_VALUE"""),"Kit Motor Arranque Hi 79-1123")</f>
        <v>Kit Motor Arranque Hi 79-1123</v>
      </c>
      <c r="C13698" s="380" t="str">
        <f>IFERROR(__xludf.DUMMYFUNCTION("""COMPUTED_VALUE"""),"70009184")</f>
        <v>70009184</v>
      </c>
      <c r="D13698" s="380" t="s">
        <v>767</v>
      </c>
      <c r="E13698" s="380" t="s">
        <v>786</v>
      </c>
      <c r="F13698" s="380" t="s">
        <v>998</v>
      </c>
      <c r="G13698" s="380" t="s">
        <v>1267</v>
      </c>
      <c r="H13698" s="380" t="s">
        <v>771</v>
      </c>
      <c r="I13698" s="380" t="s">
        <v>788</v>
      </c>
      <c r="J13698" s="380" t="s">
        <v>773</v>
      </c>
      <c r="K13698" s="381">
        <v>107100.0</v>
      </c>
      <c r="L13698" s="382">
        <v>1.0</v>
      </c>
    </row>
    <row r="13699">
      <c r="A13699" s="380" t="s">
        <v>14573</v>
      </c>
      <c r="B13699" s="380" t="str">
        <f>IFERROR(__xludf.DUMMYFUNCTION("""COMPUTED_VALUE"""),"Cubo Sincronizador 4Ta 5Ta Hi 3339337050")</f>
        <v>Cubo Sincronizador 4Ta 5Ta Hi 3339337050</v>
      </c>
      <c r="C13699" s="380" t="str">
        <f>IFERROR(__xludf.DUMMYFUNCTION("""COMPUTED_VALUE"""),"70009185")</f>
        <v>70009185</v>
      </c>
      <c r="D13699" s="380" t="s">
        <v>767</v>
      </c>
      <c r="E13699" s="380" t="s">
        <v>786</v>
      </c>
      <c r="F13699" s="380" t="s">
        <v>928</v>
      </c>
      <c r="G13699" s="380" t="s">
        <v>1267</v>
      </c>
      <c r="H13699" s="380" t="s">
        <v>771</v>
      </c>
      <c r="I13699" s="380" t="s">
        <v>788</v>
      </c>
      <c r="J13699" s="380" t="s">
        <v>773</v>
      </c>
      <c r="K13699" s="381">
        <v>0.0</v>
      </c>
      <c r="L13699" s="382">
        <v>1.0</v>
      </c>
    </row>
    <row r="13700">
      <c r="A13700" s="380" t="s">
        <v>14574</v>
      </c>
      <c r="B13700" s="380" t="str">
        <f>IFERROR(__xludf.DUMMYFUNCTION("""COMPUTED_VALUE"""),"Tapon Bloque Carcaz Enfria Ken 3678921")</f>
        <v>Tapon Bloque Carcaz Enfria Ken 3678921</v>
      </c>
      <c r="C13700" s="380" t="str">
        <f>IFERROR(__xludf.DUMMYFUNCTION("""COMPUTED_VALUE"""),"70009186")</f>
        <v>70009186</v>
      </c>
      <c r="D13700" s="380" t="s">
        <v>767</v>
      </c>
      <c r="E13700" s="380" t="s">
        <v>786</v>
      </c>
      <c r="F13700" s="380" t="s">
        <v>787</v>
      </c>
      <c r="G13700" s="380" t="s">
        <v>1267</v>
      </c>
      <c r="H13700" s="380" t="s">
        <v>771</v>
      </c>
      <c r="I13700" s="380" t="s">
        <v>788</v>
      </c>
      <c r="J13700" s="380" t="s">
        <v>773</v>
      </c>
      <c r="K13700" s="381">
        <v>128832.0</v>
      </c>
      <c r="L13700" s="382">
        <v>1.0</v>
      </c>
    </row>
    <row r="13701">
      <c r="A13701" s="380" t="s">
        <v>14575</v>
      </c>
      <c r="B13701" s="380" t="str">
        <f>IFERROR(__xludf.DUMMYFUNCTION("""COMPUTED_VALUE"""),"Empaque Caja Termostatica Isx 3680602")</f>
        <v>Empaque Caja Termostatica Isx 3680602</v>
      </c>
      <c r="C13701" s="380" t="str">
        <f>IFERROR(__xludf.DUMMYFUNCTION("""COMPUTED_VALUE"""),"70009187")</f>
        <v>70009187</v>
      </c>
      <c r="D13701" s="380" t="s">
        <v>767</v>
      </c>
      <c r="E13701" s="380" t="s">
        <v>786</v>
      </c>
      <c r="F13701" s="380" t="s">
        <v>787</v>
      </c>
      <c r="G13701" s="380" t="s">
        <v>1267</v>
      </c>
      <c r="H13701" s="380" t="s">
        <v>771</v>
      </c>
      <c r="I13701" s="380" t="s">
        <v>788</v>
      </c>
      <c r="J13701" s="380" t="s">
        <v>773</v>
      </c>
      <c r="K13701" s="381">
        <v>94450.0</v>
      </c>
      <c r="L13701" s="382">
        <v>1.0</v>
      </c>
    </row>
    <row r="13702">
      <c r="A13702" s="380" t="s">
        <v>14576</v>
      </c>
      <c r="B13702" s="380" t="str">
        <f>IFERROR(__xludf.DUMMYFUNCTION("""COMPUTED_VALUE"""),"Lampara Hermetica 2x32w Polica")</f>
        <v>Lampara Hermetica 2x32w Polica</v>
      </c>
      <c r="C13702" s="380" t="str">
        <f>IFERROR(__xludf.DUMMYFUNCTION("""COMPUTED_VALUE"""),"80000011")</f>
        <v>80000011</v>
      </c>
      <c r="D13702" s="380" t="s">
        <v>767</v>
      </c>
      <c r="E13702" s="380" t="s">
        <v>776</v>
      </c>
      <c r="F13702" s="380" t="s">
        <v>777</v>
      </c>
      <c r="G13702" s="380" t="s">
        <v>1267</v>
      </c>
      <c r="H13702" s="380" t="s">
        <v>771</v>
      </c>
      <c r="I13702" s="380" t="s">
        <v>778</v>
      </c>
      <c r="J13702" s="380" t="s">
        <v>773</v>
      </c>
      <c r="K13702" s="381">
        <v>0.0</v>
      </c>
      <c r="L13702" s="382">
        <v>1.0</v>
      </c>
    </row>
    <row r="13703">
      <c r="A13703" s="380" t="s">
        <v>14577</v>
      </c>
      <c r="B13703" s="380" t="str">
        <f>IFERROR(__xludf.DUMMYFUNCTION("""COMPUTED_VALUE"""),"Canilla Para Agua")</f>
        <v>Canilla Para Agua</v>
      </c>
      <c r="C13703" s="380" t="str">
        <f>IFERROR(__xludf.DUMMYFUNCTION("""COMPUTED_VALUE"""),"80000012")</f>
        <v>80000012</v>
      </c>
      <c r="D13703" s="380" t="s">
        <v>767</v>
      </c>
      <c r="E13703" s="380" t="s">
        <v>776</v>
      </c>
      <c r="F13703" s="380" t="s">
        <v>777</v>
      </c>
      <c r="G13703" s="380" t="s">
        <v>1267</v>
      </c>
      <c r="H13703" s="380" t="s">
        <v>771</v>
      </c>
      <c r="I13703" s="380" t="s">
        <v>778</v>
      </c>
      <c r="J13703" s="380" t="s">
        <v>773</v>
      </c>
      <c r="K13703" s="381">
        <v>31929.0</v>
      </c>
      <c r="L13703" s="382">
        <v>1.0</v>
      </c>
    </row>
    <row r="13704">
      <c r="A13704" s="380" t="s">
        <v>14578</v>
      </c>
      <c r="B13704" s="380" t="str">
        <f>IFERROR(__xludf.DUMMYFUNCTION("""COMPUTED_VALUE"""),"Panel Led 24w Redondo Incrusta")</f>
        <v>Panel Led 24w Redondo Incrusta</v>
      </c>
      <c r="C13704" s="380" t="str">
        <f>IFERROR(__xludf.DUMMYFUNCTION("""COMPUTED_VALUE"""),"80000014")</f>
        <v>80000014</v>
      </c>
      <c r="D13704" s="380" t="s">
        <v>767</v>
      </c>
      <c r="E13704" s="380" t="s">
        <v>776</v>
      </c>
      <c r="F13704" s="380" t="s">
        <v>777</v>
      </c>
      <c r="G13704" s="380" t="s">
        <v>1267</v>
      </c>
      <c r="H13704" s="380" t="s">
        <v>771</v>
      </c>
      <c r="I13704" s="380" t="s">
        <v>778</v>
      </c>
      <c r="J13704" s="380" t="s">
        <v>773</v>
      </c>
      <c r="K13704" s="381">
        <v>0.0</v>
      </c>
      <c r="L13704" s="382">
        <v>1.0</v>
      </c>
    </row>
    <row r="13705">
      <c r="A13705" s="380" t="s">
        <v>14579</v>
      </c>
      <c r="B13705" s="380" t="str">
        <f>IFERROR(__xludf.DUMMYFUNCTION("""COMPUTED_VALUE"""),"Tubo Cuadrado 1.1/2 C-16 X 6mt")</f>
        <v>Tubo Cuadrado 1.1/2 C-16 X 6mt</v>
      </c>
      <c r="C13705" s="380" t="str">
        <f>IFERROR(__xludf.DUMMYFUNCTION("""COMPUTED_VALUE"""),"80000016")</f>
        <v>80000016</v>
      </c>
      <c r="D13705" s="380" t="s">
        <v>767</v>
      </c>
      <c r="E13705" s="380" t="s">
        <v>776</v>
      </c>
      <c r="F13705" s="380" t="s">
        <v>777</v>
      </c>
      <c r="G13705" s="380" t="s">
        <v>1267</v>
      </c>
      <c r="H13705" s="380" t="s">
        <v>771</v>
      </c>
      <c r="I13705" s="380" t="s">
        <v>778</v>
      </c>
      <c r="J13705" s="380" t="s">
        <v>773</v>
      </c>
      <c r="K13705" s="381">
        <v>0.0</v>
      </c>
      <c r="L13705" s="382">
        <v>1.0</v>
      </c>
    </row>
    <row r="13706">
      <c r="A13706" s="380" t="s">
        <v>14580</v>
      </c>
      <c r="B13706" s="380" t="str">
        <f>IFERROR(__xludf.DUMMYFUNCTION("""COMPUTED_VALUE"""),"Interruptor Doble 110v Leviton")</f>
        <v>Interruptor Doble 110v Leviton</v>
      </c>
      <c r="C13706" s="380" t="str">
        <f>IFERROR(__xludf.DUMMYFUNCTION("""COMPUTED_VALUE"""),"80000017")</f>
        <v>80000017</v>
      </c>
      <c r="D13706" s="380" t="s">
        <v>767</v>
      </c>
      <c r="E13706" s="380" t="s">
        <v>776</v>
      </c>
      <c r="F13706" s="380" t="s">
        <v>777</v>
      </c>
      <c r="G13706" s="380" t="s">
        <v>1267</v>
      </c>
      <c r="H13706" s="380" t="s">
        <v>771</v>
      </c>
      <c r="I13706" s="380" t="s">
        <v>778</v>
      </c>
      <c r="J13706" s="380" t="s">
        <v>773</v>
      </c>
      <c r="K13706" s="381">
        <v>0.0</v>
      </c>
      <c r="L13706" s="382">
        <v>1.0</v>
      </c>
    </row>
    <row r="13707">
      <c r="A13707" s="380" t="s">
        <v>14581</v>
      </c>
      <c r="B13707" s="380" t="str">
        <f>IFERROR(__xludf.DUMMYFUNCTION("""COMPUTED_VALUE"""),"Bisagra Capsula De 3/8"" 2-Cuer")</f>
        <v>Bisagra Capsula De 3/8" 2-Cuer</v>
      </c>
      <c r="C13707" s="380" t="str">
        <f>IFERROR(__xludf.DUMMYFUNCTION("""COMPUTED_VALUE"""),"80000018")</f>
        <v>80000018</v>
      </c>
      <c r="D13707" s="380" t="s">
        <v>767</v>
      </c>
      <c r="E13707" s="380" t="s">
        <v>776</v>
      </c>
      <c r="F13707" s="380" t="s">
        <v>777</v>
      </c>
      <c r="G13707" s="380" t="s">
        <v>1267</v>
      </c>
      <c r="H13707" s="380" t="s">
        <v>771</v>
      </c>
      <c r="I13707" s="380" t="s">
        <v>778</v>
      </c>
      <c r="J13707" s="380" t="s">
        <v>773</v>
      </c>
      <c r="K13707" s="381">
        <v>0.0</v>
      </c>
      <c r="L13707" s="382">
        <v>1.0</v>
      </c>
    </row>
    <row r="13708">
      <c r="A13708" s="380" t="s">
        <v>14582</v>
      </c>
      <c r="B13708" s="380" t="str">
        <f>IFERROR(__xludf.DUMMYFUNCTION("""COMPUTED_VALUE"""),"Brocha China De 1""")</f>
        <v>Brocha China De 1"</v>
      </c>
      <c r="C13708" s="380" t="str">
        <f>IFERROR(__xludf.DUMMYFUNCTION("""COMPUTED_VALUE"""),"80000019")</f>
        <v>80000019</v>
      </c>
      <c r="D13708" s="380" t="s">
        <v>767</v>
      </c>
      <c r="E13708" s="380" t="s">
        <v>776</v>
      </c>
      <c r="F13708" s="380" t="s">
        <v>777</v>
      </c>
      <c r="G13708" s="380" t="s">
        <v>1267</v>
      </c>
      <c r="H13708" s="380" t="s">
        <v>771</v>
      </c>
      <c r="I13708" s="380" t="s">
        <v>778</v>
      </c>
      <c r="J13708" s="380" t="s">
        <v>773</v>
      </c>
      <c r="K13708" s="381">
        <v>2142.0</v>
      </c>
      <c r="L13708" s="382">
        <v>1.0</v>
      </c>
    </row>
    <row r="13709">
      <c r="A13709" s="380" t="s">
        <v>14583</v>
      </c>
      <c r="B13709" s="380" t="str">
        <f>IFERROR(__xludf.DUMMYFUNCTION("""COMPUTED_VALUE"""),"Brocha China De 2""")</f>
        <v>Brocha China De 2"</v>
      </c>
      <c r="C13709" s="380" t="str">
        <f>IFERROR(__xludf.DUMMYFUNCTION("""COMPUTED_VALUE"""),"80000020")</f>
        <v>80000020</v>
      </c>
      <c r="D13709" s="380" t="s">
        <v>767</v>
      </c>
      <c r="E13709" s="380" t="s">
        <v>776</v>
      </c>
      <c r="F13709" s="380" t="s">
        <v>777</v>
      </c>
      <c r="G13709" s="380" t="s">
        <v>1267</v>
      </c>
      <c r="H13709" s="380" t="s">
        <v>771</v>
      </c>
      <c r="I13709" s="380" t="s">
        <v>778</v>
      </c>
      <c r="J13709" s="380" t="s">
        <v>773</v>
      </c>
      <c r="K13709" s="381">
        <v>0.0</v>
      </c>
      <c r="L13709" s="382">
        <v>1.0</v>
      </c>
    </row>
    <row r="13710">
      <c r="A13710" s="380" t="s">
        <v>14584</v>
      </c>
      <c r="B13710" s="380" t="str">
        <f>IFERROR(__xludf.DUMMYFUNCTION("""COMPUTED_VALUE"""),"Bisagra Plana De 3 X 3")</f>
        <v>Bisagra Plana De 3 X 3</v>
      </c>
      <c r="C13710" s="380" t="str">
        <f>IFERROR(__xludf.DUMMYFUNCTION("""COMPUTED_VALUE"""),"80000021")</f>
        <v>80000021</v>
      </c>
      <c r="D13710" s="380" t="s">
        <v>767</v>
      </c>
      <c r="E13710" s="380" t="s">
        <v>776</v>
      </c>
      <c r="F13710" s="380" t="s">
        <v>777</v>
      </c>
      <c r="G13710" s="380" t="s">
        <v>1267</v>
      </c>
      <c r="H13710" s="380" t="s">
        <v>771</v>
      </c>
      <c r="I13710" s="380" t="s">
        <v>778</v>
      </c>
      <c r="J13710" s="380" t="s">
        <v>773</v>
      </c>
      <c r="K13710" s="381">
        <v>0.0</v>
      </c>
      <c r="L13710" s="382">
        <v>1.0</v>
      </c>
    </row>
    <row r="13711">
      <c r="A13711" s="380" t="s">
        <v>14585</v>
      </c>
      <c r="B13711" s="380" t="str">
        <f>IFERROR(__xludf.DUMMYFUNCTION("""COMPUTED_VALUE"""),"Medidor De Energia Inteligente")</f>
        <v>Medidor De Energia Inteligente</v>
      </c>
      <c r="C13711" s="380" t="str">
        <f>IFERROR(__xludf.DUMMYFUNCTION("""COMPUTED_VALUE"""),"80000022")</f>
        <v>80000022</v>
      </c>
      <c r="D13711" s="380" t="s">
        <v>767</v>
      </c>
      <c r="E13711" s="380" t="s">
        <v>776</v>
      </c>
      <c r="F13711" s="380" t="s">
        <v>777</v>
      </c>
      <c r="G13711" s="380" t="s">
        <v>1267</v>
      </c>
      <c r="H13711" s="380" t="s">
        <v>771</v>
      </c>
      <c r="I13711" s="380" t="s">
        <v>778</v>
      </c>
      <c r="J13711" s="380" t="s">
        <v>773</v>
      </c>
      <c r="K13711" s="381">
        <v>0.0</v>
      </c>
      <c r="L13711" s="382">
        <v>1.0</v>
      </c>
    </row>
    <row r="13712">
      <c r="A13712" s="380" t="s">
        <v>14586</v>
      </c>
      <c r="B13712" s="380" t="str">
        <f>IFERROR(__xludf.DUMMYFUNCTION("""COMPUTED_VALUE"""),"Multitoma")</f>
        <v>Multitoma</v>
      </c>
      <c r="C13712" s="380" t="str">
        <f>IFERROR(__xludf.DUMMYFUNCTION("""COMPUTED_VALUE"""),"80000023")</f>
        <v>80000023</v>
      </c>
      <c r="D13712" s="380" t="s">
        <v>767</v>
      </c>
      <c r="E13712" s="380" t="s">
        <v>776</v>
      </c>
      <c r="F13712" s="380" t="s">
        <v>777</v>
      </c>
      <c r="G13712" s="380" t="s">
        <v>1267</v>
      </c>
      <c r="H13712" s="380" t="s">
        <v>771</v>
      </c>
      <c r="I13712" s="380" t="s">
        <v>778</v>
      </c>
      <c r="J13712" s="380" t="s">
        <v>773</v>
      </c>
      <c r="K13712" s="381">
        <v>0.0</v>
      </c>
      <c r="L13712" s="382">
        <v>1.0</v>
      </c>
    </row>
    <row r="13713">
      <c r="A13713" s="380" t="s">
        <v>14587</v>
      </c>
      <c r="B13713" s="380" t="str">
        <f>IFERROR(__xludf.DUMMYFUNCTION("""COMPUTED_VALUE"""),"Rodillo Pintura B.Agua 9"" Rdx")</f>
        <v>Rodillo Pintura B.Agua 9" Rdx</v>
      </c>
      <c r="C13713" s="380" t="str">
        <f>IFERROR(__xludf.DUMMYFUNCTION("""COMPUTED_VALUE"""),"80000024")</f>
        <v>80000024</v>
      </c>
      <c r="D13713" s="380" t="s">
        <v>767</v>
      </c>
      <c r="E13713" s="380" t="s">
        <v>776</v>
      </c>
      <c r="F13713" s="380" t="s">
        <v>777</v>
      </c>
      <c r="G13713" s="380" t="s">
        <v>1267</v>
      </c>
      <c r="H13713" s="380" t="s">
        <v>771</v>
      </c>
      <c r="I13713" s="380" t="s">
        <v>778</v>
      </c>
      <c r="J13713" s="380" t="s">
        <v>773</v>
      </c>
      <c r="K13713" s="381">
        <v>9001.0</v>
      </c>
      <c r="L13713" s="382">
        <v>1.0</v>
      </c>
    </row>
    <row r="13714">
      <c r="A13714" s="380" t="s">
        <v>14588</v>
      </c>
      <c r="B13714" s="380" t="str">
        <f>IFERROR(__xludf.DUMMYFUNCTION("""COMPUTED_VALUE"""),"Lampara Led Bodega Redonda Tip")</f>
        <v>Lampara Led Bodega Redonda Tip</v>
      </c>
      <c r="C13714" s="380" t="str">
        <f>IFERROR(__xludf.DUMMYFUNCTION("""COMPUTED_VALUE"""),"80000026")</f>
        <v>80000026</v>
      </c>
      <c r="D13714" s="380" t="s">
        <v>767</v>
      </c>
      <c r="E13714" s="380" t="s">
        <v>776</v>
      </c>
      <c r="F13714" s="380" t="s">
        <v>777</v>
      </c>
      <c r="G13714" s="380" t="s">
        <v>1267</v>
      </c>
      <c r="H13714" s="380" t="s">
        <v>771</v>
      </c>
      <c r="I13714" s="380" t="s">
        <v>778</v>
      </c>
      <c r="J13714" s="380" t="s">
        <v>773</v>
      </c>
      <c r="K13714" s="381">
        <v>0.0</v>
      </c>
      <c r="L13714" s="382">
        <v>1.0</v>
      </c>
    </row>
    <row r="13715">
      <c r="A13715" s="380" t="s">
        <v>14589</v>
      </c>
      <c r="B13715" s="380" t="str">
        <f>IFERROR(__xludf.DUMMYFUNCTION("""COMPUTED_VALUE"""),"Luz Led Redonda 18 W 85 - 265")</f>
        <v>Luz Led Redonda 18 W 85 - 265</v>
      </c>
      <c r="C13715" s="380" t="str">
        <f>IFERROR(__xludf.DUMMYFUNCTION("""COMPUTED_VALUE"""),"80000027")</f>
        <v>80000027</v>
      </c>
      <c r="D13715" s="380" t="s">
        <v>767</v>
      </c>
      <c r="E13715" s="380" t="s">
        <v>776</v>
      </c>
      <c r="F13715" s="380" t="s">
        <v>777</v>
      </c>
      <c r="G13715" s="380" t="s">
        <v>1267</v>
      </c>
      <c r="H13715" s="380" t="s">
        <v>771</v>
      </c>
      <c r="I13715" s="380" t="s">
        <v>778</v>
      </c>
      <c r="J13715" s="380" t="s">
        <v>773</v>
      </c>
      <c r="K13715" s="381">
        <v>0.0</v>
      </c>
      <c r="L13715" s="382">
        <v>1.0</v>
      </c>
    </row>
    <row r="13716">
      <c r="A13716" s="380" t="s">
        <v>14590</v>
      </c>
      <c r="B13716" s="380" t="str">
        <f>IFERROR(__xludf.DUMMYFUNCTION("""COMPUTED_VALUE"""),"Panel Led 24w Redondo Sobrepon")</f>
        <v>Panel Led 24w Redondo Sobrepon</v>
      </c>
      <c r="C13716" s="380" t="str">
        <f>IFERROR(__xludf.DUMMYFUNCTION("""COMPUTED_VALUE"""),"80000028")</f>
        <v>80000028</v>
      </c>
      <c r="D13716" s="380" t="s">
        <v>767</v>
      </c>
      <c r="E13716" s="380" t="s">
        <v>776</v>
      </c>
      <c r="F13716" s="380" t="s">
        <v>777</v>
      </c>
      <c r="G13716" s="380" t="s">
        <v>1267</v>
      </c>
      <c r="H13716" s="380" t="s">
        <v>771</v>
      </c>
      <c r="I13716" s="380" t="s">
        <v>778</v>
      </c>
      <c r="J13716" s="380" t="s">
        <v>773</v>
      </c>
      <c r="K13716" s="381">
        <v>0.0</v>
      </c>
      <c r="L13716" s="382">
        <v>1.0</v>
      </c>
    </row>
    <row r="13717">
      <c r="A13717" s="380" t="s">
        <v>14591</v>
      </c>
      <c r="B13717" s="380" t="str">
        <f>IFERROR(__xludf.DUMMYFUNCTION("""COMPUTED_VALUE"""),"Botón Push Tanque Sanitario")</f>
        <v>Botón Push Tanque Sanitario</v>
      </c>
      <c r="C13717" s="380" t="str">
        <f>IFERROR(__xludf.DUMMYFUNCTION("""COMPUTED_VALUE"""),"80000029")</f>
        <v>80000029</v>
      </c>
      <c r="D13717" s="380" t="s">
        <v>767</v>
      </c>
      <c r="E13717" s="380" t="s">
        <v>776</v>
      </c>
      <c r="F13717" s="380" t="s">
        <v>777</v>
      </c>
      <c r="G13717" s="380" t="s">
        <v>1267</v>
      </c>
      <c r="H13717" s="380" t="s">
        <v>771</v>
      </c>
      <c r="I13717" s="380" t="s">
        <v>778</v>
      </c>
      <c r="J13717" s="380" t="s">
        <v>773</v>
      </c>
      <c r="K13717" s="381">
        <v>0.0</v>
      </c>
      <c r="L13717" s="382">
        <v>1.0</v>
      </c>
    </row>
    <row r="13718">
      <c r="A13718" s="380" t="s">
        <v>14592</v>
      </c>
      <c r="B13718" s="380" t="str">
        <f>IFERROR(__xludf.DUMMYFUNCTION("""COMPUTED_VALUE"""),"Union Dresser 4""")</f>
        <v>Union Dresser 4"</v>
      </c>
      <c r="C13718" s="380" t="str">
        <f>IFERROR(__xludf.DUMMYFUNCTION("""COMPUTED_VALUE"""),"80000030")</f>
        <v>80000030</v>
      </c>
      <c r="D13718" s="380" t="s">
        <v>767</v>
      </c>
      <c r="E13718" s="380" t="s">
        <v>776</v>
      </c>
      <c r="F13718" s="380" t="s">
        <v>777</v>
      </c>
      <c r="G13718" s="380" t="s">
        <v>1267</v>
      </c>
      <c r="H13718" s="380" t="s">
        <v>771</v>
      </c>
      <c r="I13718" s="380" t="s">
        <v>778</v>
      </c>
      <c r="J13718" s="380" t="s">
        <v>773</v>
      </c>
      <c r="K13718" s="381">
        <v>0.0</v>
      </c>
      <c r="L13718" s="382">
        <v>1.0</v>
      </c>
    </row>
    <row r="13719">
      <c r="A13719" s="380" t="s">
        <v>14593</v>
      </c>
      <c r="B13719" s="380" t="str">
        <f>IFERROR(__xludf.DUMMYFUNCTION("""COMPUTED_VALUE"""),"Sifón Plástico Flexible Gris 8")</f>
        <v>Sifón Plástico Flexible Gris 8</v>
      </c>
      <c r="C13719" s="380" t="str">
        <f>IFERROR(__xludf.DUMMYFUNCTION("""COMPUTED_VALUE"""),"80000031")</f>
        <v>80000031</v>
      </c>
      <c r="D13719" s="380" t="s">
        <v>767</v>
      </c>
      <c r="E13719" s="380" t="s">
        <v>776</v>
      </c>
      <c r="F13719" s="380" t="s">
        <v>777</v>
      </c>
      <c r="G13719" s="380" t="s">
        <v>1267</v>
      </c>
      <c r="H13719" s="380" t="s">
        <v>771</v>
      </c>
      <c r="I13719" s="380" t="s">
        <v>778</v>
      </c>
      <c r="J13719" s="380" t="s">
        <v>773</v>
      </c>
      <c r="K13719" s="381">
        <v>0.0</v>
      </c>
      <c r="L13719" s="382">
        <v>1.0</v>
      </c>
    </row>
    <row r="13720">
      <c r="A13720" s="380" t="s">
        <v>14594</v>
      </c>
      <c r="B13720" s="380" t="str">
        <f>IFERROR(__xludf.DUMMYFUNCTION("""COMPUTED_VALUE"""),"Interruptor Sencillo Mwd130237")</f>
        <v>Interruptor Sencillo Mwd130237</v>
      </c>
      <c r="C13720" s="380" t="str">
        <f>IFERROR(__xludf.DUMMYFUNCTION("""COMPUTED_VALUE"""),"80000032")</f>
        <v>80000032</v>
      </c>
      <c r="D13720" s="380" t="s">
        <v>767</v>
      </c>
      <c r="E13720" s="380" t="s">
        <v>776</v>
      </c>
      <c r="F13720" s="380" t="s">
        <v>777</v>
      </c>
      <c r="G13720" s="380" t="s">
        <v>1267</v>
      </c>
      <c r="H13720" s="380" t="s">
        <v>771</v>
      </c>
      <c r="I13720" s="380" t="s">
        <v>778</v>
      </c>
      <c r="J13720" s="380" t="s">
        <v>773</v>
      </c>
      <c r="K13720" s="381">
        <v>0.0</v>
      </c>
      <c r="L13720" s="382">
        <v>1.0</v>
      </c>
    </row>
    <row r="13721">
      <c r="A13721" s="380" t="s">
        <v>14595</v>
      </c>
      <c r="B13721" s="380" t="str">
        <f>IFERROR(__xludf.DUMMYFUNCTION("""COMPUTED_VALUE"""),"Cerradura De Sobreponer Puerta")</f>
        <v>Cerradura De Sobreponer Puerta</v>
      </c>
      <c r="C13721" s="380" t="str">
        <f>IFERROR(__xludf.DUMMYFUNCTION("""COMPUTED_VALUE"""),"80000033")</f>
        <v>80000033</v>
      </c>
      <c r="D13721" s="380" t="s">
        <v>767</v>
      </c>
      <c r="E13721" s="380" t="s">
        <v>776</v>
      </c>
      <c r="F13721" s="380" t="s">
        <v>777</v>
      </c>
      <c r="G13721" s="380" t="s">
        <v>1267</v>
      </c>
      <c r="H13721" s="380" t="s">
        <v>771</v>
      </c>
      <c r="I13721" s="380" t="s">
        <v>778</v>
      </c>
      <c r="J13721" s="380" t="s">
        <v>773</v>
      </c>
      <c r="K13721" s="381">
        <v>0.0</v>
      </c>
      <c r="L13721" s="382">
        <v>1.0</v>
      </c>
    </row>
    <row r="13722">
      <c r="A13722" s="380" t="s">
        <v>14596</v>
      </c>
      <c r="B13722" s="380" t="str">
        <f>IFERROR(__xludf.DUMMYFUNCTION("""COMPUTED_VALUE"""),"Cenefa Azul Punto Droop")</f>
        <v>Cenefa Azul Punto Droop</v>
      </c>
      <c r="C13722" s="380" t="str">
        <f>IFERROR(__xludf.DUMMYFUNCTION("""COMPUTED_VALUE"""),"80000034")</f>
        <v>80000034</v>
      </c>
      <c r="D13722" s="380" t="s">
        <v>767</v>
      </c>
      <c r="E13722" s="380" t="s">
        <v>776</v>
      </c>
      <c r="F13722" s="380" t="s">
        <v>777</v>
      </c>
      <c r="G13722" s="380" t="s">
        <v>1267</v>
      </c>
      <c r="H13722" s="380" t="s">
        <v>771</v>
      </c>
      <c r="I13722" s="380" t="s">
        <v>778</v>
      </c>
      <c r="J13722" s="380" t="s">
        <v>773</v>
      </c>
      <c r="K13722" s="381">
        <v>20376.0</v>
      </c>
      <c r="L13722" s="382">
        <v>1.0</v>
      </c>
    </row>
    <row r="13723">
      <c r="A13723" s="380" t="s">
        <v>14597</v>
      </c>
      <c r="B13723" s="380" t="str">
        <f>IFERROR(__xludf.DUMMYFUNCTION("""COMPUTED_VALUE"""),"Tubo Lampara 4 X 17w")</f>
        <v>Tubo Lampara 4 X 17w</v>
      </c>
      <c r="C13723" s="380" t="str">
        <f>IFERROR(__xludf.DUMMYFUNCTION("""COMPUTED_VALUE"""),"80000035")</f>
        <v>80000035</v>
      </c>
      <c r="D13723" s="380" t="s">
        <v>767</v>
      </c>
      <c r="E13723" s="380" t="s">
        <v>776</v>
      </c>
      <c r="F13723" s="380" t="s">
        <v>777</v>
      </c>
      <c r="G13723" s="380" t="s">
        <v>1267</v>
      </c>
      <c r="H13723" s="380" t="s">
        <v>771</v>
      </c>
      <c r="I13723" s="380" t="s">
        <v>778</v>
      </c>
      <c r="J13723" s="380" t="s">
        <v>773</v>
      </c>
      <c r="K13723" s="381">
        <v>0.0</v>
      </c>
      <c r="L13723" s="382">
        <v>1.0</v>
      </c>
    </row>
    <row r="13724">
      <c r="A13724" s="380" t="s">
        <v>14598</v>
      </c>
      <c r="B13724" s="380" t="str">
        <f>IFERROR(__xludf.DUMMYFUNCTION("""COMPUTED_VALUE"""),"Tubo Led 18w - T8 Ecotube")</f>
        <v>Tubo Led 18w - T8 Ecotube</v>
      </c>
      <c r="C13724" s="380" t="str">
        <f>IFERROR(__xludf.DUMMYFUNCTION("""COMPUTED_VALUE"""),"80000036")</f>
        <v>80000036</v>
      </c>
      <c r="D13724" s="380" t="s">
        <v>767</v>
      </c>
      <c r="E13724" s="380" t="s">
        <v>776</v>
      </c>
      <c r="F13724" s="380" t="s">
        <v>777</v>
      </c>
      <c r="G13724" s="380" t="s">
        <v>1267</v>
      </c>
      <c r="H13724" s="380" t="s">
        <v>771</v>
      </c>
      <c r="I13724" s="380" t="s">
        <v>778</v>
      </c>
      <c r="J13724" s="380" t="s">
        <v>773</v>
      </c>
      <c r="K13724" s="381">
        <v>0.0</v>
      </c>
      <c r="L13724" s="382">
        <v>1.0</v>
      </c>
    </row>
    <row r="13725">
      <c r="A13725" s="380" t="s">
        <v>14599</v>
      </c>
      <c r="B13725" s="380" t="str">
        <f>IFERROR(__xludf.DUMMYFUNCTION("""COMPUTED_VALUE"""),"Caneca Masilla Supermastick")</f>
        <v>Caneca Masilla Supermastick</v>
      </c>
      <c r="C13725" s="380" t="str">
        <f>IFERROR(__xludf.DUMMYFUNCTION("""COMPUTED_VALUE"""),"80000037")</f>
        <v>80000037</v>
      </c>
      <c r="D13725" s="380" t="s">
        <v>767</v>
      </c>
      <c r="E13725" s="380" t="s">
        <v>776</v>
      </c>
      <c r="F13725" s="380" t="s">
        <v>777</v>
      </c>
      <c r="G13725" s="380" t="s">
        <v>1267</v>
      </c>
      <c r="H13725" s="380" t="s">
        <v>771</v>
      </c>
      <c r="I13725" s="380" t="s">
        <v>778</v>
      </c>
      <c r="J13725" s="380" t="s">
        <v>773</v>
      </c>
      <c r="K13725" s="381">
        <v>0.0</v>
      </c>
      <c r="L13725" s="382">
        <v>1.0</v>
      </c>
    </row>
    <row r="13726">
      <c r="A13726" s="380" t="s">
        <v>14600</v>
      </c>
      <c r="B13726" s="380" t="str">
        <f>IFERROR(__xludf.DUMMYFUNCTION("""COMPUTED_VALUE"""),"Bombillo Led En Globo 25 V")</f>
        <v>Bombillo Led En Globo 25 V</v>
      </c>
      <c r="C13726" s="380" t="str">
        <f>IFERROR(__xludf.DUMMYFUNCTION("""COMPUTED_VALUE"""),"80000038")</f>
        <v>80000038</v>
      </c>
      <c r="D13726" s="380" t="s">
        <v>767</v>
      </c>
      <c r="E13726" s="380" t="s">
        <v>776</v>
      </c>
      <c r="F13726" s="380" t="s">
        <v>777</v>
      </c>
      <c r="G13726" s="380" t="s">
        <v>1267</v>
      </c>
      <c r="H13726" s="380" t="s">
        <v>771</v>
      </c>
      <c r="I13726" s="380" t="s">
        <v>778</v>
      </c>
      <c r="J13726" s="380" t="s">
        <v>773</v>
      </c>
      <c r="K13726" s="381">
        <v>0.0</v>
      </c>
      <c r="L13726" s="382">
        <v>1.0</v>
      </c>
    </row>
    <row r="13727">
      <c r="A13727" s="380" t="s">
        <v>14601</v>
      </c>
      <c r="B13727" s="380" t="str">
        <f>IFERROR(__xludf.DUMMYFUNCTION("""COMPUTED_VALUE"""),"Lector Ibutton Surtidores Acpm")</f>
        <v>Lector Ibutton Surtidores Acpm</v>
      </c>
      <c r="C13727" s="380" t="str">
        <f>IFERROR(__xludf.DUMMYFUNCTION("""COMPUTED_VALUE"""),"80000039")</f>
        <v>80000039</v>
      </c>
      <c r="D13727" s="380" t="s">
        <v>767</v>
      </c>
      <c r="E13727" s="380" t="s">
        <v>776</v>
      </c>
      <c r="F13727" s="380" t="s">
        <v>777</v>
      </c>
      <c r="G13727" s="380" t="s">
        <v>1267</v>
      </c>
      <c r="H13727" s="380" t="s">
        <v>771</v>
      </c>
      <c r="I13727" s="380" t="s">
        <v>778</v>
      </c>
      <c r="J13727" s="380" t="s">
        <v>773</v>
      </c>
      <c r="K13727" s="381">
        <v>81872.0</v>
      </c>
      <c r="L13727" s="382">
        <v>1.0</v>
      </c>
    </row>
    <row r="13728">
      <c r="A13728" s="380" t="s">
        <v>14602</v>
      </c>
      <c r="B13728" s="380" t="str">
        <f>IFERROR(__xludf.DUMMYFUNCTION("""COMPUTED_VALUE"""),"Panel Led Cuadrado 48w 100 - 2")</f>
        <v>Panel Led Cuadrado 48w 100 - 2</v>
      </c>
      <c r="C13728" s="380" t="str">
        <f>IFERROR(__xludf.DUMMYFUNCTION("""COMPUTED_VALUE"""),"80000040")</f>
        <v>80000040</v>
      </c>
      <c r="D13728" s="380" t="s">
        <v>767</v>
      </c>
      <c r="E13728" s="380" t="s">
        <v>776</v>
      </c>
      <c r="F13728" s="380" t="s">
        <v>777</v>
      </c>
      <c r="G13728" s="380" t="s">
        <v>1267</v>
      </c>
      <c r="H13728" s="380" t="s">
        <v>771</v>
      </c>
      <c r="I13728" s="380" t="s">
        <v>778</v>
      </c>
      <c r="J13728" s="380" t="s">
        <v>773</v>
      </c>
      <c r="K13728" s="381">
        <v>0.0</v>
      </c>
      <c r="L13728" s="382">
        <v>1.0</v>
      </c>
    </row>
    <row r="13729">
      <c r="A13729" s="380" t="s">
        <v>14603</v>
      </c>
      <c r="B13729" s="380" t="str">
        <f>IFERROR(__xludf.DUMMYFUNCTION("""COMPUTED_VALUE"""),"Luz Led Incrustar 18w Ojo De B")</f>
        <v>Luz Led Incrustar 18w Ojo De B</v>
      </c>
      <c r="C13729" s="380" t="str">
        <f>IFERROR(__xludf.DUMMYFUNCTION("""COMPUTED_VALUE"""),"80000043")</f>
        <v>80000043</v>
      </c>
      <c r="D13729" s="380" t="s">
        <v>767</v>
      </c>
      <c r="E13729" s="380" t="s">
        <v>776</v>
      </c>
      <c r="F13729" s="380" t="s">
        <v>777</v>
      </c>
      <c r="G13729" s="380" t="s">
        <v>1267</v>
      </c>
      <c r="H13729" s="380" t="s">
        <v>771</v>
      </c>
      <c r="I13729" s="380" t="s">
        <v>778</v>
      </c>
      <c r="J13729" s="380" t="s">
        <v>773</v>
      </c>
      <c r="K13729" s="381">
        <v>0.0</v>
      </c>
      <c r="L13729" s="382">
        <v>1.0</v>
      </c>
    </row>
    <row r="13730">
      <c r="A13730" s="380" t="s">
        <v>14604</v>
      </c>
      <c r="B13730" s="380" t="str">
        <f>IFERROR(__xludf.DUMMYFUNCTION("""COMPUTED_VALUE"""),"Lampara Hermétic Tubo Led 2x18")</f>
        <v>Lampara Hermétic Tubo Led 2x18</v>
      </c>
      <c r="C13730" s="380" t="str">
        <f>IFERROR(__xludf.DUMMYFUNCTION("""COMPUTED_VALUE"""),"80000044")</f>
        <v>80000044</v>
      </c>
      <c r="D13730" s="380" t="s">
        <v>767</v>
      </c>
      <c r="E13730" s="380" t="s">
        <v>776</v>
      </c>
      <c r="F13730" s="380" t="s">
        <v>777</v>
      </c>
      <c r="G13730" s="380" t="s">
        <v>1267</v>
      </c>
      <c r="H13730" s="380" t="s">
        <v>771</v>
      </c>
      <c r="I13730" s="380" t="s">
        <v>778</v>
      </c>
      <c r="J13730" s="380" t="s">
        <v>773</v>
      </c>
      <c r="K13730" s="381">
        <v>0.0</v>
      </c>
      <c r="L13730" s="382">
        <v>1.0</v>
      </c>
    </row>
    <row r="13731">
      <c r="A13731" s="380" t="s">
        <v>14605</v>
      </c>
      <c r="B13731" s="380" t="str">
        <f>IFERROR(__xludf.DUMMYFUNCTION("""COMPUTED_VALUE"""),"Cerradura Puerta Tipo Pomo")</f>
        <v>Cerradura Puerta Tipo Pomo</v>
      </c>
      <c r="C13731" s="380" t="str">
        <f>IFERROR(__xludf.DUMMYFUNCTION("""COMPUTED_VALUE"""),"80000045")</f>
        <v>80000045</v>
      </c>
      <c r="D13731" s="380" t="s">
        <v>767</v>
      </c>
      <c r="E13731" s="380" t="s">
        <v>776</v>
      </c>
      <c r="F13731" s="380" t="s">
        <v>777</v>
      </c>
      <c r="G13731" s="380" t="s">
        <v>1267</v>
      </c>
      <c r="H13731" s="380" t="s">
        <v>771</v>
      </c>
      <c r="I13731" s="380" t="s">
        <v>778</v>
      </c>
      <c r="J13731" s="380" t="s">
        <v>773</v>
      </c>
      <c r="K13731" s="381">
        <v>28032.0</v>
      </c>
      <c r="L13731" s="382">
        <v>1.0</v>
      </c>
    </row>
    <row r="13732">
      <c r="A13732" s="380" t="s">
        <v>14606</v>
      </c>
      <c r="B13732" s="380" t="str">
        <f>IFERROR(__xludf.DUMMYFUNCTION("""COMPUTED_VALUE"""),"Materiales Electri Varios Loca")</f>
        <v>Materiales Electri Varios Loca</v>
      </c>
      <c r="C13732" s="380" t="str">
        <f>IFERROR(__xludf.DUMMYFUNCTION("""COMPUTED_VALUE"""),"80000046")</f>
        <v>80000046</v>
      </c>
      <c r="D13732" s="380" t="s">
        <v>767</v>
      </c>
      <c r="E13732" s="380" t="s">
        <v>776</v>
      </c>
      <c r="F13732" s="380" t="s">
        <v>777</v>
      </c>
      <c r="G13732" s="380" t="s">
        <v>1267</v>
      </c>
      <c r="H13732" s="380" t="s">
        <v>771</v>
      </c>
      <c r="I13732" s="380" t="s">
        <v>778</v>
      </c>
      <c r="J13732" s="380" t="s">
        <v>773</v>
      </c>
      <c r="K13732" s="381">
        <v>0.0</v>
      </c>
      <c r="L13732" s="382">
        <v>1.0</v>
      </c>
    </row>
    <row r="13733">
      <c r="A13733" s="380" t="s">
        <v>14607</v>
      </c>
      <c r="B13733" s="380" t="str">
        <f>IFERROR(__xludf.DUMMYFUNCTION("""COMPUTED_VALUE"""),"Llave Paso De Bola De 1/2"" Met")</f>
        <v>Llave Paso De Bola De 1/2" Met</v>
      </c>
      <c r="C13733" s="380" t="str">
        <f>IFERROR(__xludf.DUMMYFUNCTION("""COMPUTED_VALUE"""),"80000047")</f>
        <v>80000047</v>
      </c>
      <c r="D13733" s="380" t="s">
        <v>767</v>
      </c>
      <c r="E13733" s="380" t="s">
        <v>776</v>
      </c>
      <c r="F13733" s="380" t="s">
        <v>777</v>
      </c>
      <c r="G13733" s="380" t="s">
        <v>1267</v>
      </c>
      <c r="H13733" s="380" t="s">
        <v>771</v>
      </c>
      <c r="I13733" s="380" t="s">
        <v>778</v>
      </c>
      <c r="J13733" s="380" t="s">
        <v>773</v>
      </c>
      <c r="K13733" s="381">
        <v>17624.0</v>
      </c>
      <c r="L13733" s="382">
        <v>1.0</v>
      </c>
    </row>
    <row r="13734">
      <c r="A13734" s="380" t="s">
        <v>14608</v>
      </c>
      <c r="B13734" s="380" t="str">
        <f>IFERROR(__xludf.DUMMYFUNCTION("""COMPUTED_VALUE"""),"Adaptador Macho Pvc 1/2")</f>
        <v>Adaptador Macho Pvc 1/2</v>
      </c>
      <c r="C13734" s="380" t="str">
        <f>IFERROR(__xludf.DUMMYFUNCTION("""COMPUTED_VALUE"""),"80000050")</f>
        <v>80000050</v>
      </c>
      <c r="D13734" s="380" t="s">
        <v>767</v>
      </c>
      <c r="E13734" s="380" t="s">
        <v>776</v>
      </c>
      <c r="F13734" s="380" t="s">
        <v>777</v>
      </c>
      <c r="G13734" s="380" t="s">
        <v>1267</v>
      </c>
      <c r="H13734" s="380" t="s">
        <v>771</v>
      </c>
      <c r="I13734" s="380" t="s">
        <v>778</v>
      </c>
      <c r="J13734" s="380" t="s">
        <v>773</v>
      </c>
      <c r="K13734" s="381">
        <v>0.0</v>
      </c>
      <c r="L13734" s="382">
        <v>1.0</v>
      </c>
    </row>
    <row r="13735">
      <c r="A13735" s="380" t="s">
        <v>14609</v>
      </c>
      <c r="B13735" s="380" t="str">
        <f>IFERROR(__xludf.DUMMYFUNCTION("""COMPUTED_VALUE"""),"Rodillo Pintura B.Agua 3"" Rdx")</f>
        <v>Rodillo Pintura B.Agua 3" Rdx</v>
      </c>
      <c r="C13735" s="380" t="str">
        <f>IFERROR(__xludf.DUMMYFUNCTION("""COMPUTED_VALUE"""),"80000052")</f>
        <v>80000052</v>
      </c>
      <c r="D13735" s="380" t="s">
        <v>767</v>
      </c>
      <c r="E13735" s="380" t="s">
        <v>776</v>
      </c>
      <c r="F13735" s="380" t="s">
        <v>777</v>
      </c>
      <c r="G13735" s="380" t="s">
        <v>1267</v>
      </c>
      <c r="H13735" s="380" t="s">
        <v>771</v>
      </c>
      <c r="I13735" s="380" t="s">
        <v>778</v>
      </c>
      <c r="J13735" s="380" t="s">
        <v>773</v>
      </c>
      <c r="K13735" s="381">
        <v>0.0</v>
      </c>
      <c r="L13735" s="382">
        <v>1.0</v>
      </c>
    </row>
    <row r="13736">
      <c r="A13736" s="380" t="s">
        <v>14610</v>
      </c>
      <c r="B13736" s="380" t="str">
        <f>IFERROR(__xludf.DUMMYFUNCTION("""COMPUTED_VALUE"""),"Paraguas Tredy So-17")</f>
        <v>Paraguas Tredy So-17</v>
      </c>
      <c r="C13736" s="380" t="str">
        <f>IFERROR(__xludf.DUMMYFUNCTION("""COMPUTED_VALUE"""),"80000053")</f>
        <v>80000053</v>
      </c>
      <c r="D13736" s="380" t="s">
        <v>767</v>
      </c>
      <c r="E13736" s="380" t="s">
        <v>776</v>
      </c>
      <c r="F13736" s="380" t="s">
        <v>777</v>
      </c>
      <c r="G13736" s="380" t="s">
        <v>1267</v>
      </c>
      <c r="H13736" s="380" t="s">
        <v>771</v>
      </c>
      <c r="I13736" s="380" t="s">
        <v>778</v>
      </c>
      <c r="J13736" s="380" t="s">
        <v>773</v>
      </c>
      <c r="K13736" s="381">
        <v>35000.0</v>
      </c>
      <c r="L13736" s="382">
        <v>1.0</v>
      </c>
    </row>
    <row r="13737">
      <c r="A13737" s="380" t="s">
        <v>14611</v>
      </c>
      <c r="B13737" s="380" t="str">
        <f>IFERROR(__xludf.DUMMYFUNCTION("""COMPUTED_VALUE"""),"Perfil Cuadrado Alum Anolok")</f>
        <v>Perfil Cuadrado Alum Anolok</v>
      </c>
      <c r="C13737" s="380" t="str">
        <f>IFERROR(__xludf.DUMMYFUNCTION("""COMPUTED_VALUE"""),"80000054")</f>
        <v>80000054</v>
      </c>
      <c r="D13737" s="380" t="s">
        <v>767</v>
      </c>
      <c r="E13737" s="380" t="s">
        <v>776</v>
      </c>
      <c r="F13737" s="380" t="s">
        <v>777</v>
      </c>
      <c r="G13737" s="380" t="s">
        <v>1267</v>
      </c>
      <c r="H13737" s="380" t="s">
        <v>771</v>
      </c>
      <c r="I13737" s="380" t="s">
        <v>778</v>
      </c>
      <c r="J13737" s="380" t="s">
        <v>773</v>
      </c>
      <c r="K13737" s="381">
        <v>0.0</v>
      </c>
      <c r="L13737" s="382">
        <v>1.0</v>
      </c>
    </row>
    <row r="13738">
      <c r="A13738" s="380" t="s">
        <v>14612</v>
      </c>
      <c r="B13738" s="380" t="str">
        <f>IFERROR(__xludf.DUMMYFUNCTION("""COMPUTED_VALUE"""),"Riel Puerta Corred Alum Ps3911")</f>
        <v>Riel Puerta Corred Alum Ps3911</v>
      </c>
      <c r="C13738" s="380" t="str">
        <f>IFERROR(__xludf.DUMMYFUNCTION("""COMPUTED_VALUE"""),"80000060")</f>
        <v>80000060</v>
      </c>
      <c r="D13738" s="380" t="s">
        <v>767</v>
      </c>
      <c r="E13738" s="380" t="s">
        <v>776</v>
      </c>
      <c r="F13738" s="380" t="s">
        <v>777</v>
      </c>
      <c r="G13738" s="380" t="s">
        <v>1267</v>
      </c>
      <c r="H13738" s="380" t="s">
        <v>771</v>
      </c>
      <c r="I13738" s="380" t="s">
        <v>778</v>
      </c>
      <c r="J13738" s="380" t="s">
        <v>773</v>
      </c>
      <c r="K13738" s="381">
        <v>0.0</v>
      </c>
      <c r="L13738" s="382">
        <v>1.0</v>
      </c>
    </row>
    <row r="13739">
      <c r="A13739" s="380" t="s">
        <v>14613</v>
      </c>
      <c r="B13739" s="380" t="str">
        <f>IFERROR(__xludf.DUMMYFUNCTION("""COMPUTED_VALUE"""),"Canaleta Con Adhesivo Varias")</f>
        <v>Canaleta Con Adhesivo Varias</v>
      </c>
      <c r="C13739" s="380" t="str">
        <f>IFERROR(__xludf.DUMMYFUNCTION("""COMPUTED_VALUE"""),"80000061")</f>
        <v>80000061</v>
      </c>
      <c r="D13739" s="380" t="s">
        <v>767</v>
      </c>
      <c r="E13739" s="380" t="s">
        <v>776</v>
      </c>
      <c r="F13739" s="380" t="s">
        <v>777</v>
      </c>
      <c r="G13739" s="380" t="s">
        <v>1267</v>
      </c>
      <c r="H13739" s="380" t="s">
        <v>771</v>
      </c>
      <c r="I13739" s="380" t="s">
        <v>778</v>
      </c>
      <c r="J13739" s="380" t="s">
        <v>773</v>
      </c>
      <c r="K13739" s="381">
        <v>0.0</v>
      </c>
      <c r="L13739" s="382">
        <v>1.0</v>
      </c>
    </row>
    <row r="13740">
      <c r="A13740" s="380" t="s">
        <v>14614</v>
      </c>
      <c r="B13740" s="380" t="str">
        <f>IFERROR(__xludf.DUMMYFUNCTION("""COMPUTED_VALUE"""),"Enchufe Plastico Polo A Tierra Macho")</f>
        <v>Enchufe Plastico Polo A Tierra Macho</v>
      </c>
      <c r="C13740" s="380" t="str">
        <f>IFERROR(__xludf.DUMMYFUNCTION("""COMPUTED_VALUE"""),"80000062")</f>
        <v>80000062</v>
      </c>
      <c r="D13740" s="380" t="s">
        <v>767</v>
      </c>
      <c r="E13740" s="380" t="s">
        <v>776</v>
      </c>
      <c r="F13740" s="380" t="s">
        <v>777</v>
      </c>
      <c r="G13740" s="380" t="s">
        <v>1267</v>
      </c>
      <c r="H13740" s="380" t="s">
        <v>771</v>
      </c>
      <c r="I13740" s="380" t="s">
        <v>778</v>
      </c>
      <c r="J13740" s="380" t="s">
        <v>773</v>
      </c>
      <c r="K13740" s="381">
        <v>7735.0</v>
      </c>
      <c r="L13740" s="382">
        <v>1.0</v>
      </c>
    </row>
    <row r="13741">
      <c r="A13741" s="380" t="s">
        <v>14615</v>
      </c>
      <c r="B13741" s="380" t="str">
        <f>IFERROR(__xludf.DUMMYFUNCTION("""COMPUTED_VALUE"""),"Interruptor Electrico Varios")</f>
        <v>Interruptor Electrico Varios</v>
      </c>
      <c r="C13741" s="380" t="str">
        <f>IFERROR(__xludf.DUMMYFUNCTION("""COMPUTED_VALUE"""),"80000063")</f>
        <v>80000063</v>
      </c>
      <c r="D13741" s="380" t="s">
        <v>767</v>
      </c>
      <c r="E13741" s="380" t="s">
        <v>776</v>
      </c>
      <c r="F13741" s="380" t="s">
        <v>777</v>
      </c>
      <c r="G13741" s="380" t="s">
        <v>1267</v>
      </c>
      <c r="H13741" s="380" t="s">
        <v>771</v>
      </c>
      <c r="I13741" s="380" t="s">
        <v>778</v>
      </c>
      <c r="J13741" s="380" t="s">
        <v>773</v>
      </c>
      <c r="K13741" s="381">
        <v>0.0</v>
      </c>
      <c r="L13741" s="382">
        <v>1.0</v>
      </c>
    </row>
    <row r="13742">
      <c r="A13742" s="380" t="s">
        <v>14616</v>
      </c>
      <c r="B13742" s="380" t="str">
        <f>IFERROR(__xludf.DUMMYFUNCTION("""COMPUTED_VALUE"""),"Caja Metalica 12X12 Tapa Lisa")</f>
        <v>Caja Metalica 12X12 Tapa Lisa</v>
      </c>
      <c r="C13742" s="380" t="str">
        <f>IFERROR(__xludf.DUMMYFUNCTION("""COMPUTED_VALUE"""),"80000064")</f>
        <v>80000064</v>
      </c>
      <c r="D13742" s="380" t="s">
        <v>767</v>
      </c>
      <c r="E13742" s="380" t="s">
        <v>776</v>
      </c>
      <c r="F13742" s="380" t="s">
        <v>777</v>
      </c>
      <c r="G13742" s="380" t="s">
        <v>1267</v>
      </c>
      <c r="H13742" s="380" t="s">
        <v>771</v>
      </c>
      <c r="I13742" s="380" t="s">
        <v>778</v>
      </c>
      <c r="J13742" s="380" t="s">
        <v>773</v>
      </c>
      <c r="K13742" s="381">
        <v>0.0</v>
      </c>
      <c r="L13742" s="382">
        <v>1.0</v>
      </c>
    </row>
    <row r="13743">
      <c r="A13743" s="380" t="s">
        <v>14617</v>
      </c>
      <c r="B13743" s="380" t="str">
        <f>IFERROR(__xludf.DUMMYFUNCTION("""COMPUTED_VALUE"""),"Bombillo Ahorrador 20W")</f>
        <v>Bombillo Ahorrador 20W</v>
      </c>
      <c r="C13743" s="380" t="str">
        <f>IFERROR(__xludf.DUMMYFUNCTION("""COMPUTED_VALUE"""),"80000065")</f>
        <v>80000065</v>
      </c>
      <c r="D13743" s="380" t="s">
        <v>767</v>
      </c>
      <c r="E13743" s="380" t="s">
        <v>776</v>
      </c>
      <c r="F13743" s="380" t="s">
        <v>777</v>
      </c>
      <c r="G13743" s="380" t="s">
        <v>1267</v>
      </c>
      <c r="H13743" s="380" t="s">
        <v>771</v>
      </c>
      <c r="I13743" s="380" t="s">
        <v>778</v>
      </c>
      <c r="J13743" s="380" t="s">
        <v>773</v>
      </c>
      <c r="K13743" s="381">
        <v>0.0</v>
      </c>
      <c r="L13743" s="382">
        <v>1.0</v>
      </c>
    </row>
    <row r="13744">
      <c r="A13744" s="380" t="s">
        <v>14618</v>
      </c>
      <c r="B13744" s="380" t="str">
        <f>IFERROR(__xludf.DUMMYFUNCTION("""COMPUTED_VALUE"""),"Tubo Led De 22 W T8 G5Pin 1.17")</f>
        <v>Tubo Led De 22 W T8 G5Pin 1.17</v>
      </c>
      <c r="C13744" s="380" t="str">
        <f>IFERROR(__xludf.DUMMYFUNCTION("""COMPUTED_VALUE"""),"80000066")</f>
        <v>80000066</v>
      </c>
      <c r="D13744" s="380" t="s">
        <v>767</v>
      </c>
      <c r="E13744" s="380" t="s">
        <v>776</v>
      </c>
      <c r="F13744" s="380" t="s">
        <v>777</v>
      </c>
      <c r="G13744" s="380" t="s">
        <v>1267</v>
      </c>
      <c r="H13744" s="380" t="s">
        <v>771</v>
      </c>
      <c r="I13744" s="380" t="s">
        <v>778</v>
      </c>
      <c r="J13744" s="380" t="s">
        <v>773</v>
      </c>
      <c r="K13744" s="381">
        <v>0.0</v>
      </c>
      <c r="L13744" s="382">
        <v>1.0</v>
      </c>
    </row>
    <row r="13745">
      <c r="A13745" s="380" t="s">
        <v>14619</v>
      </c>
      <c r="B13745" s="380" t="str">
        <f>IFERROR(__xludf.DUMMYFUNCTION("""COMPUTED_VALUE"""),"Correa Banda Transp. B310-360")</f>
        <v>Correa Banda Transp. B310-360</v>
      </c>
      <c r="C13745" s="380" t="str">
        <f>IFERROR(__xludf.DUMMYFUNCTION("""COMPUTED_VALUE"""),"80000067")</f>
        <v>80000067</v>
      </c>
      <c r="D13745" s="380" t="s">
        <v>767</v>
      </c>
      <c r="E13745" s="380" t="s">
        <v>776</v>
      </c>
      <c r="F13745" s="380" t="s">
        <v>777</v>
      </c>
      <c r="G13745" s="380" t="s">
        <v>1267</v>
      </c>
      <c r="H13745" s="380" t="s">
        <v>771</v>
      </c>
      <c r="I13745" s="380" t="s">
        <v>778</v>
      </c>
      <c r="J13745" s="380" t="s">
        <v>773</v>
      </c>
      <c r="K13745" s="381">
        <v>0.0</v>
      </c>
      <c r="L13745" s="382">
        <v>1.0</v>
      </c>
    </row>
    <row r="13746">
      <c r="A13746" s="380" t="s">
        <v>14620</v>
      </c>
      <c r="B13746" s="380" t="str">
        <f>IFERROR(__xludf.DUMMYFUNCTION("""COMPUTED_VALUE"""),"Tapa Troquel Para Tomacorrient")</f>
        <v>Tapa Troquel Para Tomacorrient</v>
      </c>
      <c r="C13746" s="380" t="str">
        <f>IFERROR(__xludf.DUMMYFUNCTION("""COMPUTED_VALUE"""),"80000068")</f>
        <v>80000068</v>
      </c>
      <c r="D13746" s="380" t="s">
        <v>767</v>
      </c>
      <c r="E13746" s="380" t="s">
        <v>776</v>
      </c>
      <c r="F13746" s="380" t="s">
        <v>777</v>
      </c>
      <c r="G13746" s="380" t="s">
        <v>1267</v>
      </c>
      <c r="H13746" s="380" t="s">
        <v>771</v>
      </c>
      <c r="I13746" s="380" t="s">
        <v>778</v>
      </c>
      <c r="J13746" s="380" t="s">
        <v>773</v>
      </c>
      <c r="K13746" s="381">
        <v>0.0</v>
      </c>
      <c r="L13746" s="382">
        <v>1.0</v>
      </c>
    </row>
    <row r="13747">
      <c r="A13747" s="380" t="s">
        <v>14621</v>
      </c>
      <c r="B13747" s="380" t="str">
        <f>IFERROR(__xludf.DUMMYFUNCTION("""COMPUTED_VALUE"""),"Toma De Caja Trifasico 3X50A")</f>
        <v>Toma De Caja Trifasico 3X50A</v>
      </c>
      <c r="C13747" s="380" t="str">
        <f>IFERROR(__xludf.DUMMYFUNCTION("""COMPUTED_VALUE"""),"80000071")</f>
        <v>80000071</v>
      </c>
      <c r="D13747" s="380" t="s">
        <v>767</v>
      </c>
      <c r="E13747" s="380" t="s">
        <v>776</v>
      </c>
      <c r="F13747" s="380" t="s">
        <v>777</v>
      </c>
      <c r="G13747" s="380" t="s">
        <v>1267</v>
      </c>
      <c r="H13747" s="380" t="s">
        <v>771</v>
      </c>
      <c r="I13747" s="380" t="s">
        <v>778</v>
      </c>
      <c r="J13747" s="380" t="s">
        <v>773</v>
      </c>
      <c r="K13747" s="381">
        <v>0.0</v>
      </c>
      <c r="L13747" s="382">
        <v>1.0</v>
      </c>
    </row>
    <row r="13748">
      <c r="A13748" s="380" t="s">
        <v>14622</v>
      </c>
      <c r="B13748" s="380" t="str">
        <f>IFERROR(__xludf.DUMMYFUNCTION("""COMPUTED_VALUE"""),"Caja Galvanizada Rect. 2 X 4")</f>
        <v>Caja Galvanizada Rect. 2 X 4</v>
      </c>
      <c r="C13748" s="380" t="str">
        <f>IFERROR(__xludf.DUMMYFUNCTION("""COMPUTED_VALUE"""),"80000072")</f>
        <v>80000072</v>
      </c>
      <c r="D13748" s="380" t="s">
        <v>767</v>
      </c>
      <c r="E13748" s="380" t="s">
        <v>776</v>
      </c>
      <c r="F13748" s="380" t="s">
        <v>777</v>
      </c>
      <c r="G13748" s="380" t="s">
        <v>1267</v>
      </c>
      <c r="H13748" s="380" t="s">
        <v>771</v>
      </c>
      <c r="I13748" s="380" t="s">
        <v>778</v>
      </c>
      <c r="J13748" s="380" t="s">
        <v>773</v>
      </c>
      <c r="K13748" s="381">
        <v>0.0</v>
      </c>
      <c r="L13748" s="382">
        <v>1.0</v>
      </c>
    </row>
    <row r="13749">
      <c r="A13749" s="380" t="s">
        <v>14623</v>
      </c>
      <c r="B13749" s="380" t="str">
        <f>IFERROR(__xludf.DUMMYFUNCTION("""COMPUTED_VALUE"""),"Tubo Galvanizado 2"" 2.0Mm X 6M")</f>
        <v>Tubo Galvanizado 2" 2.0Mm X 6M</v>
      </c>
      <c r="C13749" s="380" t="str">
        <f>IFERROR(__xludf.DUMMYFUNCTION("""COMPUTED_VALUE"""),"80000073")</f>
        <v>80000073</v>
      </c>
      <c r="D13749" s="380" t="s">
        <v>767</v>
      </c>
      <c r="E13749" s="380" t="s">
        <v>776</v>
      </c>
      <c r="F13749" s="380" t="s">
        <v>777</v>
      </c>
      <c r="G13749" s="380" t="s">
        <v>1267</v>
      </c>
      <c r="H13749" s="380" t="s">
        <v>771</v>
      </c>
      <c r="I13749" s="380" t="s">
        <v>778</v>
      </c>
      <c r="J13749" s="380" t="s">
        <v>773</v>
      </c>
      <c r="K13749" s="381">
        <v>0.0</v>
      </c>
      <c r="L13749" s="382">
        <v>1.0</v>
      </c>
    </row>
    <row r="13750">
      <c r="A13750" s="380" t="s">
        <v>14624</v>
      </c>
      <c r="B13750" s="380" t="str">
        <f>IFERROR(__xludf.DUMMYFUNCTION("""COMPUTED_VALUE"""),"Caucho Tope Muelle Descargue")</f>
        <v>Caucho Tope Muelle Descargue</v>
      </c>
      <c r="C13750" s="380" t="str">
        <f>IFERROR(__xludf.DUMMYFUNCTION("""COMPUTED_VALUE"""),"80000074")</f>
        <v>80000074</v>
      </c>
      <c r="D13750" s="380" t="s">
        <v>767</v>
      </c>
      <c r="E13750" s="380" t="s">
        <v>776</v>
      </c>
      <c r="F13750" s="380" t="s">
        <v>777</v>
      </c>
      <c r="G13750" s="380" t="s">
        <v>1267</v>
      </c>
      <c r="H13750" s="380" t="s">
        <v>771</v>
      </c>
      <c r="I13750" s="380" t="s">
        <v>778</v>
      </c>
      <c r="J13750" s="380" t="s">
        <v>773</v>
      </c>
      <c r="K13750" s="381">
        <v>0.0</v>
      </c>
      <c r="L13750" s="382">
        <v>1.0</v>
      </c>
    </row>
    <row r="13751">
      <c r="A13751" s="380" t="s">
        <v>14625</v>
      </c>
      <c r="B13751" s="380" t="str">
        <f>IFERROR(__xludf.DUMMYFUNCTION("""COMPUTED_VALUE"""),"Lamina Alfajor 1/8"" De 1X3 Mts")</f>
        <v>Lamina Alfajor 1/8" De 1X3 Mts</v>
      </c>
      <c r="C13751" s="380" t="str">
        <f>IFERROR(__xludf.DUMMYFUNCTION("""COMPUTED_VALUE"""),"80000075")</f>
        <v>80000075</v>
      </c>
      <c r="D13751" s="380" t="s">
        <v>767</v>
      </c>
      <c r="E13751" s="380" t="s">
        <v>776</v>
      </c>
      <c r="F13751" s="380" t="s">
        <v>777</v>
      </c>
      <c r="G13751" s="380" t="s">
        <v>1267</v>
      </c>
      <c r="H13751" s="380" t="s">
        <v>771</v>
      </c>
      <c r="I13751" s="380" t="s">
        <v>778</v>
      </c>
      <c r="J13751" s="380" t="s">
        <v>773</v>
      </c>
      <c r="K13751" s="381">
        <v>0.0</v>
      </c>
      <c r="L13751" s="382">
        <v>1.0</v>
      </c>
    </row>
    <row r="13752">
      <c r="A13752" s="380" t="s">
        <v>14626</v>
      </c>
      <c r="B13752" s="380" t="str">
        <f>IFERROR(__xludf.DUMMYFUNCTION("""COMPUTED_VALUE"""),"Tubo Conduit 3/4"" Emt")</f>
        <v>Tubo Conduit 3/4" Emt</v>
      </c>
      <c r="C13752" s="380" t="str">
        <f>IFERROR(__xludf.DUMMYFUNCTION("""COMPUTED_VALUE"""),"80000077")</f>
        <v>80000077</v>
      </c>
      <c r="D13752" s="380" t="s">
        <v>767</v>
      </c>
      <c r="E13752" s="380" t="s">
        <v>776</v>
      </c>
      <c r="F13752" s="380" t="s">
        <v>777</v>
      </c>
      <c r="G13752" s="380" t="s">
        <v>1267</v>
      </c>
      <c r="H13752" s="380" t="s">
        <v>771</v>
      </c>
      <c r="I13752" s="380" t="s">
        <v>778</v>
      </c>
      <c r="J13752" s="380" t="s">
        <v>773</v>
      </c>
      <c r="K13752" s="381">
        <v>0.0</v>
      </c>
      <c r="L13752" s="382">
        <v>1.0</v>
      </c>
    </row>
    <row r="13753">
      <c r="A13753" s="380" t="s">
        <v>14627</v>
      </c>
      <c r="B13753" s="380" t="str">
        <f>IFERROR(__xludf.DUMMYFUNCTION("""COMPUTED_VALUE"""),"Cable Acero De 5/16")</f>
        <v>Cable Acero De 5/16</v>
      </c>
      <c r="C13753" s="380" t="str">
        <f>IFERROR(__xludf.DUMMYFUNCTION("""COMPUTED_VALUE"""),"80000078")</f>
        <v>80000078</v>
      </c>
      <c r="D13753" s="380" t="s">
        <v>767</v>
      </c>
      <c r="E13753" s="380" t="s">
        <v>776</v>
      </c>
      <c r="F13753" s="380" t="s">
        <v>777</v>
      </c>
      <c r="G13753" s="380" t="s">
        <v>1267</v>
      </c>
      <c r="H13753" s="380" t="s">
        <v>771</v>
      </c>
      <c r="I13753" s="380" t="s">
        <v>778</v>
      </c>
      <c r="J13753" s="380" t="s">
        <v>773</v>
      </c>
      <c r="K13753" s="381">
        <v>0.0</v>
      </c>
      <c r="L13753" s="382">
        <v>1.0</v>
      </c>
    </row>
    <row r="13754">
      <c r="A13754" s="380" t="s">
        <v>14628</v>
      </c>
      <c r="B13754" s="380" t="str">
        <f>IFERROR(__xludf.DUMMYFUNCTION("""COMPUTED_VALUE"""),"Enchufe Trifasic 125-250V 50Ap")</f>
        <v>Enchufe Trifasic 125-250V 50Ap</v>
      </c>
      <c r="C13754" s="380" t="str">
        <f>IFERROR(__xludf.DUMMYFUNCTION("""COMPUTED_VALUE"""),"80000079")</f>
        <v>80000079</v>
      </c>
      <c r="D13754" s="380" t="s">
        <v>767</v>
      </c>
      <c r="E13754" s="380" t="s">
        <v>776</v>
      </c>
      <c r="F13754" s="380" t="s">
        <v>777</v>
      </c>
      <c r="G13754" s="380" t="s">
        <v>1267</v>
      </c>
      <c r="H13754" s="380" t="s">
        <v>771</v>
      </c>
      <c r="I13754" s="380" t="s">
        <v>778</v>
      </c>
      <c r="J13754" s="380" t="s">
        <v>773</v>
      </c>
      <c r="K13754" s="381">
        <v>0.0</v>
      </c>
      <c r="L13754" s="382">
        <v>1.0</v>
      </c>
    </row>
    <row r="13755">
      <c r="A13755" s="380" t="s">
        <v>14629</v>
      </c>
      <c r="B13755" s="380" t="str">
        <f>IFERROR(__xludf.DUMMYFUNCTION("""COMPUTED_VALUE"""),"Riel Puerta Corrediza Cal.18X2")</f>
        <v>Riel Puerta Corrediza Cal.18X2</v>
      </c>
      <c r="C13755" s="380" t="str">
        <f>IFERROR(__xludf.DUMMYFUNCTION("""COMPUTED_VALUE"""),"80000080")</f>
        <v>80000080</v>
      </c>
      <c r="D13755" s="380" t="s">
        <v>767</v>
      </c>
      <c r="E13755" s="380" t="s">
        <v>776</v>
      </c>
      <c r="F13755" s="380" t="s">
        <v>777</v>
      </c>
      <c r="G13755" s="380" t="s">
        <v>1267</v>
      </c>
      <c r="H13755" s="380" t="s">
        <v>771</v>
      </c>
      <c r="I13755" s="380" t="s">
        <v>778</v>
      </c>
      <c r="J13755" s="380" t="s">
        <v>773</v>
      </c>
      <c r="K13755" s="381">
        <v>0.0</v>
      </c>
      <c r="L13755" s="382">
        <v>1.0</v>
      </c>
    </row>
    <row r="13756">
      <c r="A13756" s="380" t="s">
        <v>14630</v>
      </c>
      <c r="B13756" s="380" t="str">
        <f>IFERROR(__xludf.DUMMYFUNCTION("""COMPUTED_VALUE"""),"Chazo Anclaje Dry Wall 335506")</f>
        <v>Chazo Anclaje Dry Wall 335506</v>
      </c>
      <c r="C13756" s="380" t="str">
        <f>IFERROR(__xludf.DUMMYFUNCTION("""COMPUTED_VALUE"""),"80000081")</f>
        <v>80000081</v>
      </c>
      <c r="D13756" s="380" t="s">
        <v>767</v>
      </c>
      <c r="E13756" s="380" t="s">
        <v>776</v>
      </c>
      <c r="F13756" s="380" t="s">
        <v>777</v>
      </c>
      <c r="G13756" s="380" t="s">
        <v>1267</v>
      </c>
      <c r="H13756" s="380" t="s">
        <v>771</v>
      </c>
      <c r="I13756" s="380" t="s">
        <v>778</v>
      </c>
      <c r="J13756" s="380" t="s">
        <v>773</v>
      </c>
      <c r="K13756" s="381">
        <v>0.0</v>
      </c>
      <c r="L13756" s="382">
        <v>1.0</v>
      </c>
    </row>
    <row r="13757">
      <c r="A13757" s="380" t="s">
        <v>14631</v>
      </c>
      <c r="B13757" s="380" t="str">
        <f>IFERROR(__xludf.DUMMYFUNCTION("""COMPUTED_VALUE"""),"Chazo Pared Muro De 5/16")</f>
        <v>Chazo Pared Muro De 5/16</v>
      </c>
      <c r="C13757" s="380" t="str">
        <f>IFERROR(__xludf.DUMMYFUNCTION("""COMPUTED_VALUE"""),"80000082")</f>
        <v>80000082</v>
      </c>
      <c r="D13757" s="380" t="s">
        <v>767</v>
      </c>
      <c r="E13757" s="380" t="s">
        <v>776</v>
      </c>
      <c r="F13757" s="380" t="s">
        <v>777</v>
      </c>
      <c r="G13757" s="380" t="s">
        <v>1267</v>
      </c>
      <c r="H13757" s="380" t="s">
        <v>771</v>
      </c>
      <c r="I13757" s="380" t="s">
        <v>778</v>
      </c>
      <c r="J13757" s="380" t="s">
        <v>773</v>
      </c>
      <c r="K13757" s="381">
        <v>0.0</v>
      </c>
      <c r="L13757" s="382">
        <v>1.0</v>
      </c>
    </row>
    <row r="13758">
      <c r="A13758" s="380" t="s">
        <v>14632</v>
      </c>
      <c r="B13758" s="380" t="str">
        <f>IFERROR(__xludf.DUMMYFUNCTION("""COMPUTED_VALUE"""),"Llave Paso De Cortina De 1.1/2")</f>
        <v>Llave Paso De Cortina De 1.1/2</v>
      </c>
      <c r="C13758" s="380" t="str">
        <f>IFERROR(__xludf.DUMMYFUNCTION("""COMPUTED_VALUE"""),"80000083")</f>
        <v>80000083</v>
      </c>
      <c r="D13758" s="380" t="s">
        <v>767</v>
      </c>
      <c r="E13758" s="380" t="s">
        <v>776</v>
      </c>
      <c r="F13758" s="380" t="s">
        <v>777</v>
      </c>
      <c r="G13758" s="380" t="s">
        <v>1267</v>
      </c>
      <c r="H13758" s="380" t="s">
        <v>771</v>
      </c>
      <c r="I13758" s="380" t="s">
        <v>778</v>
      </c>
      <c r="J13758" s="380" t="s">
        <v>773</v>
      </c>
      <c r="K13758" s="381">
        <v>0.0</v>
      </c>
      <c r="L13758" s="382">
        <v>1.0</v>
      </c>
    </row>
    <row r="13759">
      <c r="A13759" s="380" t="s">
        <v>14633</v>
      </c>
      <c r="B13759" s="380" t="str">
        <f>IFERROR(__xludf.DUMMYFUNCTION("""COMPUTED_VALUE"""),"Soldadura Pvc Pegante")</f>
        <v>Soldadura Pvc Pegante</v>
      </c>
      <c r="C13759" s="380" t="str">
        <f>IFERROR(__xludf.DUMMYFUNCTION("""COMPUTED_VALUE"""),"80000084")</f>
        <v>80000084</v>
      </c>
      <c r="D13759" s="380" t="s">
        <v>767</v>
      </c>
      <c r="E13759" s="380" t="s">
        <v>776</v>
      </c>
      <c r="F13759" s="380" t="s">
        <v>777</v>
      </c>
      <c r="G13759" s="380" t="s">
        <v>1267</v>
      </c>
      <c r="H13759" s="380" t="s">
        <v>771</v>
      </c>
      <c r="I13759" s="380" t="s">
        <v>778</v>
      </c>
      <c r="J13759" s="380" t="s">
        <v>773</v>
      </c>
      <c r="K13759" s="381">
        <v>0.0</v>
      </c>
      <c r="L13759" s="382">
        <v>1.0</v>
      </c>
    </row>
    <row r="13760">
      <c r="A13760" s="380" t="s">
        <v>14634</v>
      </c>
      <c r="B13760" s="380" t="str">
        <f>IFERROR(__xludf.DUMMYFUNCTION("""COMPUTED_VALUE"""),"Desague Sencillo Lavamanos")</f>
        <v>Desague Sencillo Lavamanos</v>
      </c>
      <c r="C13760" s="380" t="str">
        <f>IFERROR(__xludf.DUMMYFUNCTION("""COMPUTED_VALUE"""),"80000085")</f>
        <v>80000085</v>
      </c>
      <c r="D13760" s="380" t="s">
        <v>767</v>
      </c>
      <c r="E13760" s="380" t="s">
        <v>776</v>
      </c>
      <c r="F13760" s="380" t="s">
        <v>777</v>
      </c>
      <c r="G13760" s="380" t="s">
        <v>1267</v>
      </c>
      <c r="H13760" s="380" t="s">
        <v>771</v>
      </c>
      <c r="I13760" s="380" t="s">
        <v>778</v>
      </c>
      <c r="J13760" s="380" t="s">
        <v>773</v>
      </c>
      <c r="K13760" s="381">
        <v>0.0</v>
      </c>
      <c r="L13760" s="382">
        <v>1.0</v>
      </c>
    </row>
    <row r="13761">
      <c r="A13761" s="380" t="s">
        <v>14635</v>
      </c>
      <c r="B13761" s="380" t="str">
        <f>IFERROR(__xludf.DUMMYFUNCTION("""COMPUTED_VALUE"""),"Canastilla Gris 60X40X41 Base")</f>
        <v>Canastilla Gris 60X40X41 Base</v>
      </c>
      <c r="C13761" s="380" t="str">
        <f>IFERROR(__xludf.DUMMYFUNCTION("""COMPUTED_VALUE"""),"80000086")</f>
        <v>80000086</v>
      </c>
      <c r="D13761" s="380" t="s">
        <v>767</v>
      </c>
      <c r="E13761" s="380" t="s">
        <v>776</v>
      </c>
      <c r="F13761" s="380" t="s">
        <v>777</v>
      </c>
      <c r="G13761" s="380" t="s">
        <v>1267</v>
      </c>
      <c r="H13761" s="380" t="s">
        <v>771</v>
      </c>
      <c r="I13761" s="380" t="s">
        <v>778</v>
      </c>
      <c r="J13761" s="380" t="s">
        <v>773</v>
      </c>
      <c r="K13761" s="381">
        <v>39904.0</v>
      </c>
      <c r="L13761" s="382">
        <v>1.0</v>
      </c>
    </row>
    <row r="13762">
      <c r="A13762" s="380" t="s">
        <v>14636</v>
      </c>
      <c r="B13762" s="380" t="str">
        <f>IFERROR(__xludf.DUMMYFUNCTION("""COMPUTED_VALUE"""),"Balasto Electronico 4X32")</f>
        <v>Balasto Electronico 4X32</v>
      </c>
      <c r="C13762" s="380" t="str">
        <f>IFERROR(__xludf.DUMMYFUNCTION("""COMPUTED_VALUE"""),"80000087")</f>
        <v>80000087</v>
      </c>
      <c r="D13762" s="380" t="s">
        <v>767</v>
      </c>
      <c r="E13762" s="380" t="s">
        <v>776</v>
      </c>
      <c r="F13762" s="380" t="s">
        <v>777</v>
      </c>
      <c r="G13762" s="380" t="s">
        <v>1267</v>
      </c>
      <c r="H13762" s="380" t="s">
        <v>771</v>
      </c>
      <c r="I13762" s="380" t="s">
        <v>778</v>
      </c>
      <c r="J13762" s="380" t="s">
        <v>773</v>
      </c>
      <c r="K13762" s="381">
        <v>0.0</v>
      </c>
      <c r="L13762" s="382">
        <v>1.0</v>
      </c>
    </row>
    <row r="13763">
      <c r="A13763" s="380" t="s">
        <v>14637</v>
      </c>
      <c r="B13763" s="380" t="str">
        <f>IFERROR(__xludf.DUMMYFUNCTION("""COMPUTED_VALUE"""),"Balasto De 2 X 54 Ip54")</f>
        <v>Balasto De 2 X 54 Ip54</v>
      </c>
      <c r="C13763" s="380" t="str">
        <f>IFERROR(__xludf.DUMMYFUNCTION("""COMPUTED_VALUE"""),"80000088")</f>
        <v>80000088</v>
      </c>
      <c r="D13763" s="380" t="s">
        <v>767</v>
      </c>
      <c r="E13763" s="380" t="s">
        <v>776</v>
      </c>
      <c r="F13763" s="380" t="s">
        <v>777</v>
      </c>
      <c r="G13763" s="380" t="s">
        <v>1267</v>
      </c>
      <c r="H13763" s="380" t="s">
        <v>771</v>
      </c>
      <c r="I13763" s="380" t="s">
        <v>778</v>
      </c>
      <c r="J13763" s="380" t="s">
        <v>773</v>
      </c>
      <c r="K13763" s="381">
        <v>31880.0</v>
      </c>
      <c r="L13763" s="382">
        <v>1.0</v>
      </c>
    </row>
    <row r="13764">
      <c r="A13764" s="380" t="s">
        <v>14638</v>
      </c>
      <c r="B13764" s="380" t="str">
        <f>IFERROR(__xludf.DUMMYFUNCTION("""COMPUTED_VALUE"""),"Placa Metalica 2X4")</f>
        <v>Placa Metalica 2X4</v>
      </c>
      <c r="C13764" s="380" t="str">
        <f>IFERROR(__xludf.DUMMYFUNCTION("""COMPUTED_VALUE"""),"80000089")</f>
        <v>80000089</v>
      </c>
      <c r="D13764" s="380" t="s">
        <v>767</v>
      </c>
      <c r="E13764" s="380" t="s">
        <v>776</v>
      </c>
      <c r="F13764" s="380" t="s">
        <v>777</v>
      </c>
      <c r="G13764" s="380" t="s">
        <v>1267</v>
      </c>
      <c r="H13764" s="380" t="s">
        <v>771</v>
      </c>
      <c r="I13764" s="380" t="s">
        <v>778</v>
      </c>
      <c r="J13764" s="380" t="s">
        <v>773</v>
      </c>
      <c r="K13764" s="381">
        <v>0.0</v>
      </c>
      <c r="L13764" s="382">
        <v>1.0</v>
      </c>
    </row>
    <row r="13765">
      <c r="A13765" s="380" t="s">
        <v>14639</v>
      </c>
      <c r="B13765" s="380" t="str">
        <f>IFERROR(__xludf.DUMMYFUNCTION("""COMPUTED_VALUE"""),"Placa Toma Doble Plastica")</f>
        <v>Placa Toma Doble Plastica</v>
      </c>
      <c r="C13765" s="380" t="str">
        <f>IFERROR(__xludf.DUMMYFUNCTION("""COMPUTED_VALUE"""),"80000090")</f>
        <v>80000090</v>
      </c>
      <c r="D13765" s="380" t="s">
        <v>767</v>
      </c>
      <c r="E13765" s="380" t="s">
        <v>776</v>
      </c>
      <c r="F13765" s="380" t="s">
        <v>777</v>
      </c>
      <c r="G13765" s="380" t="s">
        <v>1267</v>
      </c>
      <c r="H13765" s="380" t="s">
        <v>771</v>
      </c>
      <c r="I13765" s="380" t="s">
        <v>778</v>
      </c>
      <c r="J13765" s="380" t="s">
        <v>773</v>
      </c>
      <c r="K13765" s="381">
        <v>0.0</v>
      </c>
      <c r="L13765" s="382">
        <v>1.0</v>
      </c>
    </row>
    <row r="13766">
      <c r="A13766" s="380" t="s">
        <v>14640</v>
      </c>
      <c r="B13766" s="380" t="str">
        <f>IFERROR(__xludf.DUMMYFUNCTION("""COMPUTED_VALUE"""),"Balasto Electronico 120V 2X32")</f>
        <v>Balasto Electronico 120V 2X32</v>
      </c>
      <c r="C13766" s="380" t="str">
        <f>IFERROR(__xludf.DUMMYFUNCTION("""COMPUTED_VALUE"""),"80000091")</f>
        <v>80000091</v>
      </c>
      <c r="D13766" s="380" t="s">
        <v>767</v>
      </c>
      <c r="E13766" s="380" t="s">
        <v>776</v>
      </c>
      <c r="F13766" s="380" t="s">
        <v>777</v>
      </c>
      <c r="G13766" s="380" t="s">
        <v>1267</v>
      </c>
      <c r="H13766" s="380" t="s">
        <v>771</v>
      </c>
      <c r="I13766" s="380" t="s">
        <v>778</v>
      </c>
      <c r="J13766" s="380" t="s">
        <v>773</v>
      </c>
      <c r="K13766" s="381">
        <v>0.0</v>
      </c>
      <c r="L13766" s="382">
        <v>1.0</v>
      </c>
    </row>
    <row r="13767">
      <c r="A13767" s="380" t="s">
        <v>14641</v>
      </c>
      <c r="B13767" s="380" t="str">
        <f>IFERROR(__xludf.DUMMYFUNCTION("""COMPUTED_VALUE"""),"Pintura Varia Locativa")</f>
        <v>Pintura Varia Locativa</v>
      </c>
      <c r="C13767" s="380" t="str">
        <f>IFERROR(__xludf.DUMMYFUNCTION("""COMPUTED_VALUE"""),"80000092")</f>
        <v>80000092</v>
      </c>
      <c r="D13767" s="380" t="s">
        <v>767</v>
      </c>
      <c r="E13767" s="380" t="s">
        <v>776</v>
      </c>
      <c r="F13767" s="380" t="s">
        <v>777</v>
      </c>
      <c r="G13767" s="380" t="s">
        <v>1267</v>
      </c>
      <c r="H13767" s="380" t="s">
        <v>771</v>
      </c>
      <c r="I13767" s="380" t="s">
        <v>778</v>
      </c>
      <c r="J13767" s="380" t="s">
        <v>773</v>
      </c>
      <c r="K13767" s="381">
        <v>0.0</v>
      </c>
      <c r="L13767" s="382">
        <v>1.0</v>
      </c>
    </row>
    <row r="13768">
      <c r="A13768" s="380" t="s">
        <v>14642</v>
      </c>
      <c r="B13768" s="380" t="str">
        <f>IFERROR(__xludf.DUMMYFUNCTION("""COMPUTED_VALUE"""),"Bombillo Doble Twin 13W/840/2 5003040 13")</f>
        <v>Bombillo Doble Twin 13W/840/2 5003040 13</v>
      </c>
      <c r="C13768" s="380" t="str">
        <f>IFERROR(__xludf.DUMMYFUNCTION("""COMPUTED_VALUE"""),"80000093")</f>
        <v>80000093</v>
      </c>
      <c r="D13768" s="380" t="s">
        <v>767</v>
      </c>
      <c r="E13768" s="380" t="s">
        <v>776</v>
      </c>
      <c r="F13768" s="380" t="s">
        <v>777</v>
      </c>
      <c r="G13768" s="380" t="s">
        <v>1267</v>
      </c>
      <c r="H13768" s="380" t="s">
        <v>771</v>
      </c>
      <c r="I13768" s="380" t="s">
        <v>778</v>
      </c>
      <c r="J13768" s="380" t="s">
        <v>773</v>
      </c>
      <c r="K13768" s="381">
        <v>10948.0</v>
      </c>
      <c r="L13768" s="382">
        <v>1.0</v>
      </c>
    </row>
    <row r="13769">
      <c r="A13769" s="380" t="s">
        <v>14643</v>
      </c>
      <c r="B13769" s="380" t="str">
        <f>IFERROR(__xludf.DUMMYFUNCTION("""COMPUTED_VALUE"""),"Chazo Plastico 5/16''X 2''")</f>
        <v>Chazo Plastico 5/16''X 2''</v>
      </c>
      <c r="C13769" s="380" t="str">
        <f>IFERROR(__xludf.DUMMYFUNCTION("""COMPUTED_VALUE"""),"80000094")</f>
        <v>80000094</v>
      </c>
      <c r="D13769" s="380" t="s">
        <v>767</v>
      </c>
      <c r="E13769" s="380" t="s">
        <v>776</v>
      </c>
      <c r="F13769" s="380" t="s">
        <v>777</v>
      </c>
      <c r="G13769" s="380" t="s">
        <v>1267</v>
      </c>
      <c r="H13769" s="380" t="s">
        <v>771</v>
      </c>
      <c r="I13769" s="380" t="s">
        <v>778</v>
      </c>
      <c r="J13769" s="380" t="s">
        <v>773</v>
      </c>
      <c r="K13769" s="381">
        <v>0.0</v>
      </c>
      <c r="L13769" s="382">
        <v>1.0</v>
      </c>
    </row>
    <row r="13770">
      <c r="A13770" s="380" t="s">
        <v>14644</v>
      </c>
      <c r="B13770" s="380" t="str">
        <f>IFERROR(__xludf.DUMMYFUNCTION("""COMPUTED_VALUE"""),"Bombillo Ahorrador 25 W 110V 50W Traile")</f>
        <v>Bombillo Ahorrador 25 W 110V 50W Traile</v>
      </c>
      <c r="C13770" s="380" t="str">
        <f>IFERROR(__xludf.DUMMYFUNCTION("""COMPUTED_VALUE"""),"80000095")</f>
        <v>80000095</v>
      </c>
      <c r="D13770" s="380" t="s">
        <v>767</v>
      </c>
      <c r="E13770" s="380" t="s">
        <v>776</v>
      </c>
      <c r="F13770" s="380" t="s">
        <v>777</v>
      </c>
      <c r="G13770" s="380" t="s">
        <v>1267</v>
      </c>
      <c r="H13770" s="380" t="s">
        <v>771</v>
      </c>
      <c r="I13770" s="380" t="s">
        <v>778</v>
      </c>
      <c r="J13770" s="380" t="s">
        <v>773</v>
      </c>
      <c r="K13770" s="381">
        <v>0.0</v>
      </c>
      <c r="L13770" s="382">
        <v>1.0</v>
      </c>
    </row>
    <row r="13771">
      <c r="A13771" s="380" t="s">
        <v>14645</v>
      </c>
      <c r="B13771" s="380" t="str">
        <f>IFERROR(__xludf.DUMMYFUNCTION("""COMPUTED_VALUE"""),"Llave Paso De Bola De 3/4")</f>
        <v>Llave Paso De Bola De 3/4</v>
      </c>
      <c r="C13771" s="380" t="str">
        <f>IFERROR(__xludf.DUMMYFUNCTION("""COMPUTED_VALUE"""),"80000098")</f>
        <v>80000098</v>
      </c>
      <c r="D13771" s="380" t="s">
        <v>767</v>
      </c>
      <c r="E13771" s="380" t="s">
        <v>776</v>
      </c>
      <c r="F13771" s="380" t="s">
        <v>777</v>
      </c>
      <c r="G13771" s="380" t="s">
        <v>1267</v>
      </c>
      <c r="H13771" s="380" t="s">
        <v>771</v>
      </c>
      <c r="I13771" s="380" t="s">
        <v>778</v>
      </c>
      <c r="J13771" s="380" t="s">
        <v>773</v>
      </c>
      <c r="K13771" s="381">
        <v>0.0</v>
      </c>
      <c r="L13771" s="382">
        <v>1.0</v>
      </c>
    </row>
    <row r="13772">
      <c r="A13772" s="380" t="s">
        <v>14646</v>
      </c>
      <c r="B13772" s="380" t="str">
        <f>IFERROR(__xludf.DUMMYFUNCTION("""COMPUTED_VALUE"""),"Breake Varios Amp 15 Amp A 6")</f>
        <v>Breake Varios Amp 15 Amp A 6</v>
      </c>
      <c r="C13772" s="380" t="str">
        <f>IFERROR(__xludf.DUMMYFUNCTION("""COMPUTED_VALUE"""),"80000099")</f>
        <v>80000099</v>
      </c>
      <c r="D13772" s="380" t="s">
        <v>767</v>
      </c>
      <c r="E13772" s="380" t="s">
        <v>776</v>
      </c>
      <c r="F13772" s="380" t="s">
        <v>777</v>
      </c>
      <c r="G13772" s="380" t="s">
        <v>1267</v>
      </c>
      <c r="H13772" s="380" t="s">
        <v>771</v>
      </c>
      <c r="I13772" s="380" t="s">
        <v>778</v>
      </c>
      <c r="J13772" s="380" t="s">
        <v>773</v>
      </c>
      <c r="K13772" s="381">
        <v>0.0</v>
      </c>
      <c r="L13772" s="382">
        <v>1.0</v>
      </c>
    </row>
    <row r="13773">
      <c r="A13773" s="380" t="s">
        <v>14647</v>
      </c>
      <c r="B13773" s="380" t="str">
        <f>IFERROR(__xludf.DUMMYFUNCTION("""COMPUTED_VALUE"""),"Adaptador Macho Pvc Presión 1""")</f>
        <v>Adaptador Macho Pvc Presión 1"</v>
      </c>
      <c r="C13773" s="380" t="str">
        <f>IFERROR(__xludf.DUMMYFUNCTION("""COMPUTED_VALUE"""),"80000100")</f>
        <v>80000100</v>
      </c>
      <c r="D13773" s="380" t="s">
        <v>767</v>
      </c>
      <c r="E13773" s="380" t="s">
        <v>776</v>
      </c>
      <c r="F13773" s="380" t="s">
        <v>777</v>
      </c>
      <c r="G13773" s="380" t="s">
        <v>1267</v>
      </c>
      <c r="H13773" s="380" t="s">
        <v>771</v>
      </c>
      <c r="I13773" s="380" t="s">
        <v>778</v>
      </c>
      <c r="J13773" s="380" t="s">
        <v>773</v>
      </c>
      <c r="K13773" s="381">
        <v>0.0</v>
      </c>
      <c r="L13773" s="382">
        <v>1.0</v>
      </c>
    </row>
    <row r="13774">
      <c r="A13774" s="380" t="s">
        <v>14648</v>
      </c>
      <c r="B13774" s="380" t="str">
        <f>IFERROR(__xludf.DUMMYFUNCTION("""COMPUTED_VALUE"""),"Rueda Andamio 8"" Tornillo Nive")</f>
        <v>Rueda Andamio 8" Tornillo Nive</v>
      </c>
      <c r="C13774" s="380" t="str">
        <f>IFERROR(__xludf.DUMMYFUNCTION("""COMPUTED_VALUE"""),"80000101")</f>
        <v>80000101</v>
      </c>
      <c r="D13774" s="380" t="s">
        <v>767</v>
      </c>
      <c r="E13774" s="380" t="s">
        <v>776</v>
      </c>
      <c r="F13774" s="380" t="s">
        <v>777</v>
      </c>
      <c r="G13774" s="380" t="s">
        <v>1267</v>
      </c>
      <c r="H13774" s="380" t="s">
        <v>771</v>
      </c>
      <c r="I13774" s="380" t="s">
        <v>778</v>
      </c>
      <c r="J13774" s="380" t="s">
        <v>773</v>
      </c>
      <c r="K13774" s="381">
        <v>0.0</v>
      </c>
      <c r="L13774" s="382">
        <v>1.0</v>
      </c>
    </row>
    <row r="13775">
      <c r="A13775" s="380" t="s">
        <v>14649</v>
      </c>
      <c r="B13775" s="380" t="str">
        <f>IFERROR(__xludf.DUMMYFUNCTION("""COMPUTED_VALUE"""),"Patchpanel De 12 Puertos Pandu")</f>
        <v>Patchpanel De 12 Puertos Pandu</v>
      </c>
      <c r="C13775" s="380" t="str">
        <f>IFERROR(__xludf.DUMMYFUNCTION("""COMPUTED_VALUE"""),"80000102")</f>
        <v>80000102</v>
      </c>
      <c r="D13775" s="380" t="s">
        <v>767</v>
      </c>
      <c r="E13775" s="380" t="s">
        <v>776</v>
      </c>
      <c r="F13775" s="380" t="s">
        <v>777</v>
      </c>
      <c r="G13775" s="380" t="s">
        <v>1267</v>
      </c>
      <c r="H13775" s="380" t="s">
        <v>771</v>
      </c>
      <c r="I13775" s="380" t="s">
        <v>778</v>
      </c>
      <c r="J13775" s="380" t="s">
        <v>773</v>
      </c>
      <c r="K13775" s="381">
        <v>0.0</v>
      </c>
      <c r="L13775" s="382">
        <v>1.0</v>
      </c>
    </row>
    <row r="13776">
      <c r="A13776" s="380" t="s">
        <v>14650</v>
      </c>
      <c r="B13776" s="380" t="str">
        <f>IFERROR(__xludf.DUMMYFUNCTION("""COMPUTED_VALUE"""),"Jack Panduit Cat 6")</f>
        <v>Jack Panduit Cat 6</v>
      </c>
      <c r="C13776" s="380" t="str">
        <f>IFERROR(__xludf.DUMMYFUNCTION("""COMPUTED_VALUE"""),"80000103")</f>
        <v>80000103</v>
      </c>
      <c r="D13776" s="380" t="s">
        <v>767</v>
      </c>
      <c r="E13776" s="380" t="s">
        <v>776</v>
      </c>
      <c r="F13776" s="380" t="s">
        <v>777</v>
      </c>
      <c r="G13776" s="380" t="s">
        <v>1267</v>
      </c>
      <c r="H13776" s="380" t="s">
        <v>771</v>
      </c>
      <c r="I13776" s="380" t="s">
        <v>778</v>
      </c>
      <c r="J13776" s="380" t="s">
        <v>773</v>
      </c>
      <c r="K13776" s="381">
        <v>0.0</v>
      </c>
      <c r="L13776" s="382">
        <v>1.0</v>
      </c>
    </row>
    <row r="13777">
      <c r="A13777" s="380" t="s">
        <v>14651</v>
      </c>
      <c r="B13777" s="380" t="str">
        <f>IFERROR(__xludf.DUMMYFUNCTION("""COMPUTED_VALUE"""),"Faceplate Doble Cat 6 En Gener")</f>
        <v>Faceplate Doble Cat 6 En Gener</v>
      </c>
      <c r="C13777" s="380" t="str">
        <f>IFERROR(__xludf.DUMMYFUNCTION("""COMPUTED_VALUE"""),"80000104")</f>
        <v>80000104</v>
      </c>
      <c r="D13777" s="380" t="s">
        <v>767</v>
      </c>
      <c r="E13777" s="380" t="s">
        <v>776</v>
      </c>
      <c r="F13777" s="380" t="s">
        <v>777</v>
      </c>
      <c r="G13777" s="380" t="s">
        <v>1267</v>
      </c>
      <c r="H13777" s="380" t="s">
        <v>771</v>
      </c>
      <c r="I13777" s="380" t="s">
        <v>778</v>
      </c>
      <c r="J13777" s="380" t="s">
        <v>773</v>
      </c>
      <c r="K13777" s="381">
        <v>0.0</v>
      </c>
      <c r="L13777" s="382">
        <v>1.0</v>
      </c>
    </row>
    <row r="13778">
      <c r="A13778" s="380" t="s">
        <v>14652</v>
      </c>
      <c r="B13778" s="380" t="str">
        <f>IFERROR(__xludf.DUMMYFUNCTION("""COMPUTED_VALUE"""),"Aspa Ventilador Industrial 26")</f>
        <v>Aspa Ventilador Industrial 26</v>
      </c>
      <c r="C13778" s="380" t="str">
        <f>IFERROR(__xludf.DUMMYFUNCTION("""COMPUTED_VALUE"""),"80000105")</f>
        <v>80000105</v>
      </c>
      <c r="D13778" s="380" t="s">
        <v>767</v>
      </c>
      <c r="E13778" s="380" t="s">
        <v>776</v>
      </c>
      <c r="F13778" s="380" t="s">
        <v>777</v>
      </c>
      <c r="G13778" s="380" t="s">
        <v>1267</v>
      </c>
      <c r="H13778" s="380" t="s">
        <v>771</v>
      </c>
      <c r="I13778" s="380" t="s">
        <v>778</v>
      </c>
      <c r="J13778" s="380" t="s">
        <v>773</v>
      </c>
      <c r="K13778" s="381">
        <v>0.0</v>
      </c>
      <c r="L13778" s="382">
        <v>1.0</v>
      </c>
    </row>
    <row r="13779">
      <c r="A13779" s="380" t="s">
        <v>14653</v>
      </c>
      <c r="B13779" s="380" t="str">
        <f>IFERROR(__xludf.DUMMYFUNCTION("""COMPUTED_VALUE"""),"Accesorios Plomeria Varios")</f>
        <v>Accesorios Plomeria Varios</v>
      </c>
      <c r="C13779" s="380" t="str">
        <f>IFERROR(__xludf.DUMMYFUNCTION("""COMPUTED_VALUE"""),"80000106")</f>
        <v>80000106</v>
      </c>
      <c r="D13779" s="380" t="s">
        <v>767</v>
      </c>
      <c r="E13779" s="380" t="s">
        <v>776</v>
      </c>
      <c r="F13779" s="380" t="s">
        <v>777</v>
      </c>
      <c r="G13779" s="380" t="s">
        <v>1267</v>
      </c>
      <c r="H13779" s="380" t="s">
        <v>771</v>
      </c>
      <c r="I13779" s="380" t="s">
        <v>778</v>
      </c>
      <c r="J13779" s="380" t="s">
        <v>773</v>
      </c>
      <c r="K13779" s="381">
        <v>0.0</v>
      </c>
      <c r="L13779" s="382">
        <v>1.0</v>
      </c>
    </row>
    <row r="13780">
      <c r="A13780" s="380" t="s">
        <v>14654</v>
      </c>
      <c r="B13780" s="380" t="str">
        <f>IFERROR(__xludf.DUMMYFUNCTION("""COMPUTED_VALUE"""),"Cartucho Sedimentos 20 Pulg Pp")</f>
        <v>Cartucho Sedimentos 20 Pulg Pp</v>
      </c>
      <c r="C13780" s="380" t="str">
        <f>IFERROR(__xludf.DUMMYFUNCTION("""COMPUTED_VALUE"""),"80000107")</f>
        <v>80000107</v>
      </c>
      <c r="D13780" s="380" t="s">
        <v>767</v>
      </c>
      <c r="E13780" s="380" t="s">
        <v>776</v>
      </c>
      <c r="F13780" s="380" t="s">
        <v>777</v>
      </c>
      <c r="G13780" s="380" t="s">
        <v>1267</v>
      </c>
      <c r="H13780" s="380" t="s">
        <v>771</v>
      </c>
      <c r="I13780" s="380" t="s">
        <v>778</v>
      </c>
      <c r="J13780" s="380" t="s">
        <v>773</v>
      </c>
      <c r="K13780" s="381">
        <v>0.0</v>
      </c>
      <c r="L13780" s="382">
        <v>1.0</v>
      </c>
    </row>
    <row r="13781">
      <c r="A13781" s="380" t="s">
        <v>14655</v>
      </c>
      <c r="B13781" s="380" t="str">
        <f>IFERROR(__xludf.DUMMYFUNCTION("""COMPUTED_VALUE"""),"Cable Utp Cat 6 Panduit")</f>
        <v>Cable Utp Cat 6 Panduit</v>
      </c>
      <c r="C13781" s="380" t="str">
        <f>IFERROR(__xludf.DUMMYFUNCTION("""COMPUTED_VALUE"""),"80000108")</f>
        <v>80000108</v>
      </c>
      <c r="D13781" s="380" t="s">
        <v>767</v>
      </c>
      <c r="E13781" s="380" t="s">
        <v>776</v>
      </c>
      <c r="F13781" s="380" t="s">
        <v>777</v>
      </c>
      <c r="G13781" s="380" t="s">
        <v>1267</v>
      </c>
      <c r="H13781" s="380" t="s">
        <v>771</v>
      </c>
      <c r="I13781" s="380" t="s">
        <v>778</v>
      </c>
      <c r="J13781" s="380" t="s">
        <v>773</v>
      </c>
      <c r="K13781" s="381">
        <v>0.0</v>
      </c>
      <c r="L13781" s="382">
        <v>1.0</v>
      </c>
    </row>
    <row r="13782">
      <c r="A13782" s="380" t="s">
        <v>14656</v>
      </c>
      <c r="B13782" s="380" t="str">
        <f>IFERROR(__xludf.DUMMYFUNCTION("""COMPUTED_VALUE"""),"Valvula Cheque Horizontal 1""")</f>
        <v>Valvula Cheque Horizontal 1"</v>
      </c>
      <c r="C13782" s="380" t="str">
        <f>IFERROR(__xludf.DUMMYFUNCTION("""COMPUTED_VALUE"""),"80000109")</f>
        <v>80000109</v>
      </c>
      <c r="D13782" s="380" t="s">
        <v>767</v>
      </c>
      <c r="E13782" s="380" t="s">
        <v>776</v>
      </c>
      <c r="F13782" s="380" t="s">
        <v>777</v>
      </c>
      <c r="G13782" s="380" t="s">
        <v>1267</v>
      </c>
      <c r="H13782" s="380" t="s">
        <v>771</v>
      </c>
      <c r="I13782" s="380" t="s">
        <v>778</v>
      </c>
      <c r="J13782" s="380" t="s">
        <v>773</v>
      </c>
      <c r="K13782" s="381">
        <v>0.0</v>
      </c>
      <c r="L13782" s="382">
        <v>1.0</v>
      </c>
    </row>
    <row r="13783">
      <c r="A13783" s="380" t="s">
        <v>14657</v>
      </c>
      <c r="B13783" s="380" t="str">
        <f>IFERROR(__xludf.DUMMYFUNCTION("""COMPUTED_VALUE"""),"Codo Pvc 1/2 "" Liso Presion")</f>
        <v>Codo Pvc 1/2 " Liso Presion</v>
      </c>
      <c r="C13783" s="380" t="str">
        <f>IFERROR(__xludf.DUMMYFUNCTION("""COMPUTED_VALUE"""),"80000112")</f>
        <v>80000112</v>
      </c>
      <c r="D13783" s="380" t="s">
        <v>767</v>
      </c>
      <c r="E13783" s="380" t="s">
        <v>776</v>
      </c>
      <c r="F13783" s="380" t="s">
        <v>777</v>
      </c>
      <c r="G13783" s="380" t="s">
        <v>1267</v>
      </c>
      <c r="H13783" s="380" t="s">
        <v>771</v>
      </c>
      <c r="I13783" s="380" t="s">
        <v>778</v>
      </c>
      <c r="J13783" s="380" t="s">
        <v>773</v>
      </c>
      <c r="K13783" s="381">
        <v>0.0</v>
      </c>
      <c r="L13783" s="382">
        <v>1.0</v>
      </c>
    </row>
    <row r="13784">
      <c r="A13784" s="380" t="s">
        <v>14658</v>
      </c>
      <c r="B13784" s="380" t="str">
        <f>IFERROR(__xludf.DUMMYFUNCTION("""COMPUTED_VALUE"""),"Drenaje Plastico Fuente De Agu")</f>
        <v>Drenaje Plastico Fuente De Agu</v>
      </c>
      <c r="C13784" s="380" t="str">
        <f>IFERROR(__xludf.DUMMYFUNCTION("""COMPUTED_VALUE"""),"80000113")</f>
        <v>80000113</v>
      </c>
      <c r="D13784" s="380" t="s">
        <v>767</v>
      </c>
      <c r="E13784" s="380" t="s">
        <v>776</v>
      </c>
      <c r="F13784" s="380" t="s">
        <v>777</v>
      </c>
      <c r="G13784" s="380" t="s">
        <v>1267</v>
      </c>
      <c r="H13784" s="380" t="s">
        <v>771</v>
      </c>
      <c r="I13784" s="380" t="s">
        <v>778</v>
      </c>
      <c r="J13784" s="380" t="s">
        <v>773</v>
      </c>
      <c r="K13784" s="381">
        <v>0.0</v>
      </c>
      <c r="L13784" s="382">
        <v>1.0</v>
      </c>
    </row>
    <row r="13785">
      <c r="A13785" s="380" t="s">
        <v>14659</v>
      </c>
      <c r="B13785" s="380" t="str">
        <f>IFERROR(__xludf.DUMMYFUNCTION("""COMPUTED_VALUE"""),"Niple Metálico 1/4 Ref 10.210.")</f>
        <v>Niple Metálico 1/4 Ref 10.210.</v>
      </c>
      <c r="C13785" s="380" t="str">
        <f>IFERROR(__xludf.DUMMYFUNCTION("""COMPUTED_VALUE"""),"80000114")</f>
        <v>80000114</v>
      </c>
      <c r="D13785" s="380" t="s">
        <v>767</v>
      </c>
      <c r="E13785" s="380" t="s">
        <v>776</v>
      </c>
      <c r="F13785" s="380" t="s">
        <v>777</v>
      </c>
      <c r="G13785" s="380" t="s">
        <v>1267</v>
      </c>
      <c r="H13785" s="380" t="s">
        <v>771</v>
      </c>
      <c r="I13785" s="380" t="s">
        <v>778</v>
      </c>
      <c r="J13785" s="380" t="s">
        <v>773</v>
      </c>
      <c r="K13785" s="381">
        <v>0.0</v>
      </c>
      <c r="L13785" s="382">
        <v>1.0</v>
      </c>
    </row>
    <row r="13786">
      <c r="A13786" s="380" t="s">
        <v>14660</v>
      </c>
      <c r="B13786" s="380" t="str">
        <f>IFERROR(__xludf.DUMMYFUNCTION("""COMPUTED_VALUE"""),"Tapon De Fuente Paleta Ref 10.")</f>
        <v>Tapon De Fuente Paleta Ref 10.</v>
      </c>
      <c r="C13786" s="380" t="str">
        <f>IFERROR(__xludf.DUMMYFUNCTION("""COMPUTED_VALUE"""),"80000115")</f>
        <v>80000115</v>
      </c>
      <c r="D13786" s="380" t="s">
        <v>767</v>
      </c>
      <c r="E13786" s="380" t="s">
        <v>776</v>
      </c>
      <c r="F13786" s="380" t="s">
        <v>777</v>
      </c>
      <c r="G13786" s="380" t="s">
        <v>1267</v>
      </c>
      <c r="H13786" s="380" t="s">
        <v>771</v>
      </c>
      <c r="I13786" s="380" t="s">
        <v>778</v>
      </c>
      <c r="J13786" s="380" t="s">
        <v>773</v>
      </c>
      <c r="K13786" s="381">
        <v>0.0</v>
      </c>
      <c r="L13786" s="382">
        <v>1.0</v>
      </c>
    </row>
    <row r="13787">
      <c r="A13787" s="380" t="s">
        <v>14661</v>
      </c>
      <c r="B13787" s="380" t="str">
        <f>IFERROR(__xludf.DUMMYFUNCTION("""COMPUTED_VALUE"""),"Panel Led Back Light 0.30X1.20")</f>
        <v>Panel Led Back Light 0.30X1.20</v>
      </c>
      <c r="C13787" s="380" t="str">
        <f>IFERROR(__xludf.DUMMYFUNCTION("""COMPUTED_VALUE"""),"80000116")</f>
        <v>80000116</v>
      </c>
      <c r="D13787" s="380" t="s">
        <v>767</v>
      </c>
      <c r="E13787" s="380" t="s">
        <v>776</v>
      </c>
      <c r="F13787" s="380" t="s">
        <v>777</v>
      </c>
      <c r="G13787" s="380" t="s">
        <v>1267</v>
      </c>
      <c r="H13787" s="380" t="s">
        <v>771</v>
      </c>
      <c r="I13787" s="380" t="s">
        <v>778</v>
      </c>
      <c r="J13787" s="380" t="s">
        <v>773</v>
      </c>
      <c r="K13787" s="381">
        <v>0.0</v>
      </c>
      <c r="L13787" s="382">
        <v>1.0</v>
      </c>
    </row>
    <row r="13788">
      <c r="A13788" s="380" t="s">
        <v>14662</v>
      </c>
      <c r="B13788" s="380" t="str">
        <f>IFERROR(__xludf.DUMMYFUNCTION("""COMPUTED_VALUE"""),"Chazo Plastico Multiuso 3/8""")</f>
        <v>Chazo Plastico Multiuso 3/8"</v>
      </c>
      <c r="C13788" s="380" t="str">
        <f>IFERROR(__xludf.DUMMYFUNCTION("""COMPUTED_VALUE"""),"80000117")</f>
        <v>80000117</v>
      </c>
      <c r="D13788" s="380" t="s">
        <v>767</v>
      </c>
      <c r="E13788" s="380" t="s">
        <v>776</v>
      </c>
      <c r="F13788" s="380" t="s">
        <v>777</v>
      </c>
      <c r="G13788" s="380" t="s">
        <v>1267</v>
      </c>
      <c r="H13788" s="380" t="s">
        <v>771</v>
      </c>
      <c r="I13788" s="380" t="s">
        <v>778</v>
      </c>
      <c r="J13788" s="380" t="s">
        <v>773</v>
      </c>
      <c r="K13788" s="381">
        <v>0.0</v>
      </c>
      <c r="L13788" s="382">
        <v>1.0</v>
      </c>
    </row>
    <row r="13789">
      <c r="A13789" s="380" t="s">
        <v>14663</v>
      </c>
      <c r="B13789" s="380" t="str">
        <f>IFERROR(__xludf.DUMMYFUNCTION("""COMPUTED_VALUE"""),"Cemento Gris Bulto")</f>
        <v>Cemento Gris Bulto</v>
      </c>
      <c r="C13789" s="380" t="str">
        <f>IFERROR(__xludf.DUMMYFUNCTION("""COMPUTED_VALUE"""),"80000120")</f>
        <v>80000120</v>
      </c>
      <c r="D13789" s="380" t="s">
        <v>767</v>
      </c>
      <c r="E13789" s="380" t="s">
        <v>776</v>
      </c>
      <c r="F13789" s="380" t="s">
        <v>777</v>
      </c>
      <c r="G13789" s="380" t="s">
        <v>1267</v>
      </c>
      <c r="H13789" s="380" t="s">
        <v>771</v>
      </c>
      <c r="I13789" s="380" t="s">
        <v>778</v>
      </c>
      <c r="J13789" s="380" t="s">
        <v>773</v>
      </c>
      <c r="K13789" s="381">
        <v>0.0</v>
      </c>
      <c r="L13789" s="382">
        <v>1.0</v>
      </c>
    </row>
    <row r="13790">
      <c r="A13790" s="380" t="s">
        <v>14664</v>
      </c>
      <c r="B13790" s="380" t="str">
        <f>IFERROR(__xludf.DUMMYFUNCTION("""COMPUTED_VALUE"""),"Reflector Led Jeta Pro 400W")</f>
        <v>Reflector Led Jeta Pro 400W</v>
      </c>
      <c r="C13790" s="380" t="str">
        <f>IFERROR(__xludf.DUMMYFUNCTION("""COMPUTED_VALUE"""),"80000121")</f>
        <v>80000121</v>
      </c>
      <c r="D13790" s="380" t="s">
        <v>767</v>
      </c>
      <c r="E13790" s="380" t="s">
        <v>776</v>
      </c>
      <c r="F13790" s="380" t="s">
        <v>777</v>
      </c>
      <c r="G13790" s="380" t="s">
        <v>1267</v>
      </c>
      <c r="H13790" s="380" t="s">
        <v>771</v>
      </c>
      <c r="I13790" s="380" t="s">
        <v>778</v>
      </c>
      <c r="J13790" s="380" t="s">
        <v>773</v>
      </c>
      <c r="K13790" s="381">
        <v>0.0</v>
      </c>
      <c r="L13790" s="382">
        <v>1.0</v>
      </c>
    </row>
    <row r="13791">
      <c r="A13791" s="380" t="s">
        <v>14665</v>
      </c>
      <c r="B13791" s="380" t="str">
        <f>IFERROR(__xludf.DUMMYFUNCTION("""COMPUTED_VALUE"""),"Sensor Lightgrid Receptor Cml")</f>
        <v>Sensor Lightgrid Receptor Cml</v>
      </c>
      <c r="C13791" s="380" t="str">
        <f>IFERROR(__xludf.DUMMYFUNCTION("""COMPUTED_VALUE"""),"80000122")</f>
        <v>80000122</v>
      </c>
      <c r="D13791" s="380" t="s">
        <v>767</v>
      </c>
      <c r="E13791" s="380" t="s">
        <v>776</v>
      </c>
      <c r="F13791" s="380" t="s">
        <v>1058</v>
      </c>
      <c r="G13791" s="380" t="s">
        <v>1267</v>
      </c>
      <c r="H13791" s="380" t="s">
        <v>771</v>
      </c>
      <c r="I13791" s="380" t="s">
        <v>788</v>
      </c>
      <c r="J13791" s="380" t="s">
        <v>773</v>
      </c>
      <c r="K13791" s="381">
        <v>0.0</v>
      </c>
      <c r="L13791" s="382">
        <v>1.0</v>
      </c>
    </row>
    <row r="13792">
      <c r="A13792" s="380" t="s">
        <v>14666</v>
      </c>
      <c r="B13792" s="380" t="str">
        <f>IFERROR(__xludf.DUMMYFUNCTION("""COMPUTED_VALUE"""),"Sensor Lightgrid Emisor Cml 72")</f>
        <v>Sensor Lightgrid Emisor Cml 72</v>
      </c>
      <c r="C13792" s="380" t="str">
        <f>IFERROR(__xludf.DUMMYFUNCTION("""COMPUTED_VALUE"""),"80000123")</f>
        <v>80000123</v>
      </c>
      <c r="D13792" s="380" t="s">
        <v>767</v>
      </c>
      <c r="E13792" s="380" t="s">
        <v>776</v>
      </c>
      <c r="F13792" s="380" t="s">
        <v>1058</v>
      </c>
      <c r="G13792" s="380" t="s">
        <v>1267</v>
      </c>
      <c r="H13792" s="380" t="s">
        <v>771</v>
      </c>
      <c r="I13792" s="380" t="s">
        <v>788</v>
      </c>
      <c r="J13792" s="380" t="s">
        <v>773</v>
      </c>
      <c r="K13792" s="381">
        <v>0.0</v>
      </c>
      <c r="L13792" s="382">
        <v>1.0</v>
      </c>
    </row>
    <row r="13793">
      <c r="A13793" s="380" t="s">
        <v>14667</v>
      </c>
      <c r="B13793" s="380" t="str">
        <f>IFERROR(__xludf.DUMMYFUNCTION("""COMPUTED_VALUE"""),"Mantenimiento Correctivo Aires")</f>
        <v>Mantenimiento Correctivo Aires</v>
      </c>
      <c r="C13793" s="380" t="str">
        <f>IFERROR(__xludf.DUMMYFUNCTION("""COMPUTED_VALUE"""),"80000124")</f>
        <v>80000124</v>
      </c>
      <c r="D13793" s="380" t="s">
        <v>767</v>
      </c>
      <c r="E13793" s="380" t="s">
        <v>776</v>
      </c>
      <c r="F13793" s="380" t="s">
        <v>777</v>
      </c>
      <c r="G13793" s="380" t="s">
        <v>1267</v>
      </c>
      <c r="H13793" s="380" t="s">
        <v>771</v>
      </c>
      <c r="I13793" s="380" t="s">
        <v>778</v>
      </c>
      <c r="J13793" s="380" t="s">
        <v>773</v>
      </c>
      <c r="K13793" s="381">
        <v>0.0</v>
      </c>
      <c r="L13793" s="382">
        <v>1.0</v>
      </c>
    </row>
    <row r="13794">
      <c r="A13794" s="380" t="s">
        <v>14668</v>
      </c>
      <c r="B13794" s="380" t="str">
        <f>IFERROR(__xludf.DUMMYFUNCTION("""COMPUTED_VALUE"""),"Detector De Humo Simplex")</f>
        <v>Detector De Humo Simplex</v>
      </c>
      <c r="C13794" s="380" t="str">
        <f>IFERROR(__xludf.DUMMYFUNCTION("""COMPUTED_VALUE"""),"80000125")</f>
        <v>80000125</v>
      </c>
      <c r="D13794" s="380" t="s">
        <v>767</v>
      </c>
      <c r="E13794" s="380" t="s">
        <v>776</v>
      </c>
      <c r="F13794" s="380" t="s">
        <v>777</v>
      </c>
      <c r="G13794" s="380" t="s">
        <v>1267</v>
      </c>
      <c r="H13794" s="380" t="s">
        <v>771</v>
      </c>
      <c r="I13794" s="380" t="s">
        <v>778</v>
      </c>
      <c r="J13794" s="380" t="s">
        <v>773</v>
      </c>
      <c r="K13794" s="381">
        <v>0.0</v>
      </c>
      <c r="L13794" s="382">
        <v>1.0</v>
      </c>
    </row>
    <row r="13795">
      <c r="A13795" s="380" t="s">
        <v>14669</v>
      </c>
      <c r="B13795" s="380" t="str">
        <f>IFERROR(__xludf.DUMMYFUNCTION("""COMPUTED_VALUE"""),"Base Para Detector De Humo Si")</f>
        <v>Base Para Detector De Humo Si</v>
      </c>
      <c r="C13795" s="380" t="str">
        <f>IFERROR(__xludf.DUMMYFUNCTION("""COMPUTED_VALUE"""),"80000126")</f>
        <v>80000126</v>
      </c>
      <c r="D13795" s="380" t="s">
        <v>767</v>
      </c>
      <c r="E13795" s="380" t="s">
        <v>776</v>
      </c>
      <c r="F13795" s="380" t="s">
        <v>777</v>
      </c>
      <c r="G13795" s="380" t="s">
        <v>1267</v>
      </c>
      <c r="H13795" s="380" t="s">
        <v>771</v>
      </c>
      <c r="I13795" s="380" t="s">
        <v>778</v>
      </c>
      <c r="J13795" s="380" t="s">
        <v>773</v>
      </c>
      <c r="K13795" s="381">
        <v>0.0</v>
      </c>
      <c r="L13795" s="382">
        <v>1.0</v>
      </c>
    </row>
    <row r="13796">
      <c r="A13796" s="380" t="s">
        <v>14670</v>
      </c>
      <c r="B13796" s="380" t="str">
        <f>IFERROR(__xludf.DUMMYFUNCTION("""COMPUTED_VALUE"""),"Modulo De Monitoreo Simplex")</f>
        <v>Modulo De Monitoreo Simplex</v>
      </c>
      <c r="C13796" s="380" t="str">
        <f>IFERROR(__xludf.DUMMYFUNCTION("""COMPUTED_VALUE"""),"80000127")</f>
        <v>80000127</v>
      </c>
      <c r="D13796" s="380" t="s">
        <v>767</v>
      </c>
      <c r="E13796" s="380" t="s">
        <v>776</v>
      </c>
      <c r="F13796" s="380" t="s">
        <v>777</v>
      </c>
      <c r="G13796" s="380" t="s">
        <v>1267</v>
      </c>
      <c r="H13796" s="380" t="s">
        <v>771</v>
      </c>
      <c r="I13796" s="380" t="s">
        <v>778</v>
      </c>
      <c r="J13796" s="380" t="s">
        <v>773</v>
      </c>
      <c r="K13796" s="381">
        <v>0.0</v>
      </c>
      <c r="L13796" s="382">
        <v>1.0</v>
      </c>
    </row>
    <row r="13797">
      <c r="A13797" s="380" t="s">
        <v>14671</v>
      </c>
      <c r="B13797" s="380" t="str">
        <f>IFERROR(__xludf.DUMMYFUNCTION("""COMPUTED_VALUE"""),"Estación Manual Simplex")</f>
        <v>Estación Manual Simplex</v>
      </c>
      <c r="C13797" s="380" t="str">
        <f>IFERROR(__xludf.DUMMYFUNCTION("""COMPUTED_VALUE"""),"80000128")</f>
        <v>80000128</v>
      </c>
      <c r="D13797" s="380" t="s">
        <v>767</v>
      </c>
      <c r="E13797" s="380" t="s">
        <v>776</v>
      </c>
      <c r="F13797" s="380" t="s">
        <v>777</v>
      </c>
      <c r="G13797" s="380" t="s">
        <v>1267</v>
      </c>
      <c r="H13797" s="380" t="s">
        <v>771</v>
      </c>
      <c r="I13797" s="380" t="s">
        <v>778</v>
      </c>
      <c r="J13797" s="380" t="s">
        <v>773</v>
      </c>
      <c r="K13797" s="381">
        <v>0.0</v>
      </c>
      <c r="L13797" s="382">
        <v>1.0</v>
      </c>
    </row>
    <row r="13798">
      <c r="A13798" s="380" t="s">
        <v>14672</v>
      </c>
      <c r="B13798" s="380" t="str">
        <f>IFERROR(__xludf.DUMMYFUNCTION("""COMPUTED_VALUE"""),"Sirena Estroboscopica Simplex")</f>
        <v>Sirena Estroboscopica Simplex</v>
      </c>
      <c r="C13798" s="380" t="str">
        <f>IFERROR(__xludf.DUMMYFUNCTION("""COMPUTED_VALUE"""),"80000129")</f>
        <v>80000129</v>
      </c>
      <c r="D13798" s="380" t="s">
        <v>767</v>
      </c>
      <c r="E13798" s="380" t="s">
        <v>776</v>
      </c>
      <c r="F13798" s="380" t="s">
        <v>777</v>
      </c>
      <c r="G13798" s="380" t="s">
        <v>1267</v>
      </c>
      <c r="H13798" s="380" t="s">
        <v>771</v>
      </c>
      <c r="I13798" s="380" t="s">
        <v>778</v>
      </c>
      <c r="J13798" s="380" t="s">
        <v>773</v>
      </c>
      <c r="K13798" s="381">
        <v>0.0</v>
      </c>
      <c r="L13798" s="382">
        <v>1.0</v>
      </c>
    </row>
    <row r="13799">
      <c r="A13799" s="380" t="s">
        <v>14673</v>
      </c>
      <c r="B13799" s="380" t="str">
        <f>IFERROR(__xludf.DUMMYFUNCTION("""COMPUTED_VALUE"""),"Modulo De Control Simplex")</f>
        <v>Modulo De Control Simplex</v>
      </c>
      <c r="C13799" s="380" t="str">
        <f>IFERROR(__xludf.DUMMYFUNCTION("""COMPUTED_VALUE"""),"80000130")</f>
        <v>80000130</v>
      </c>
      <c r="D13799" s="380" t="s">
        <v>767</v>
      </c>
      <c r="E13799" s="380" t="s">
        <v>776</v>
      </c>
      <c r="F13799" s="380" t="s">
        <v>777</v>
      </c>
      <c r="G13799" s="380" t="s">
        <v>1267</v>
      </c>
      <c r="H13799" s="380" t="s">
        <v>771</v>
      </c>
      <c r="I13799" s="380" t="s">
        <v>778</v>
      </c>
      <c r="J13799" s="380" t="s">
        <v>773</v>
      </c>
      <c r="K13799" s="381">
        <v>0.0</v>
      </c>
      <c r="L13799" s="382">
        <v>1.0</v>
      </c>
    </row>
    <row r="13800">
      <c r="A13800" s="380" t="s">
        <v>14674</v>
      </c>
      <c r="B13800" s="380" t="str">
        <f>IFERROR(__xludf.DUMMYFUNCTION("""COMPUTED_VALUE"""),"Stopper Sti 1230")</f>
        <v>Stopper Sti 1230</v>
      </c>
      <c r="C13800" s="380" t="str">
        <f>IFERROR(__xludf.DUMMYFUNCTION("""COMPUTED_VALUE"""),"80000131")</f>
        <v>80000131</v>
      </c>
      <c r="D13800" s="380" t="s">
        <v>767</v>
      </c>
      <c r="E13800" s="380" t="s">
        <v>776</v>
      </c>
      <c r="F13800" s="380" t="s">
        <v>777</v>
      </c>
      <c r="G13800" s="380" t="s">
        <v>1267</v>
      </c>
      <c r="H13800" s="380" t="s">
        <v>771</v>
      </c>
      <c r="I13800" s="380" t="s">
        <v>778</v>
      </c>
      <c r="J13800" s="380" t="s">
        <v>773</v>
      </c>
      <c r="K13800" s="381">
        <v>0.0</v>
      </c>
      <c r="L13800" s="382">
        <v>1.0</v>
      </c>
    </row>
    <row r="13801">
      <c r="A13801" s="380" t="s">
        <v>14675</v>
      </c>
      <c r="B13801" s="380" t="str">
        <f>IFERROR(__xludf.DUMMYFUNCTION("""COMPUTED_VALUE"""),"Sika Emulsion Asfaltica Imperm")</f>
        <v>Sika Emulsion Asfaltica Imperm</v>
      </c>
      <c r="C13801" s="380" t="str">
        <f>IFERROR(__xludf.DUMMYFUNCTION("""COMPUTED_VALUE"""),"80000133")</f>
        <v>80000133</v>
      </c>
      <c r="D13801" s="380" t="s">
        <v>767</v>
      </c>
      <c r="E13801" s="380" t="s">
        <v>776</v>
      </c>
      <c r="F13801" s="380" t="s">
        <v>777</v>
      </c>
      <c r="G13801" s="380" t="s">
        <v>1267</v>
      </c>
      <c r="H13801" s="380" t="s">
        <v>771</v>
      </c>
      <c r="I13801" s="380" t="s">
        <v>778</v>
      </c>
      <c r="J13801" s="380" t="s">
        <v>773</v>
      </c>
      <c r="K13801" s="381">
        <v>0.0</v>
      </c>
      <c r="L13801" s="382">
        <v>1.0</v>
      </c>
    </row>
    <row r="13802">
      <c r="A13802" s="380" t="s">
        <v>14676</v>
      </c>
      <c r="B13802" s="380" t="str">
        <f>IFERROR(__xludf.DUMMYFUNCTION("""COMPUTED_VALUE"""),"Cuchilla Para Cortatubo 2Pzs")</f>
        <v>Cuchilla Para Cortatubo 2Pzs</v>
      </c>
      <c r="C13802" s="380" t="str">
        <f>IFERROR(__xludf.DUMMYFUNCTION("""COMPUTED_VALUE"""),"80000134")</f>
        <v>80000134</v>
      </c>
      <c r="D13802" s="380" t="s">
        <v>767</v>
      </c>
      <c r="E13802" s="380" t="s">
        <v>776</v>
      </c>
      <c r="F13802" s="380" t="s">
        <v>777</v>
      </c>
      <c r="G13802" s="380" t="s">
        <v>1267</v>
      </c>
      <c r="H13802" s="380" t="s">
        <v>771</v>
      </c>
      <c r="I13802" s="380" t="s">
        <v>778</v>
      </c>
      <c r="J13802" s="380" t="s">
        <v>773</v>
      </c>
      <c r="K13802" s="381">
        <v>0.0</v>
      </c>
      <c r="L13802" s="382">
        <v>1.0</v>
      </c>
    </row>
    <row r="13803">
      <c r="A13803" s="380" t="s">
        <v>14677</v>
      </c>
      <c r="B13803" s="380" t="str">
        <f>IFERROR(__xludf.DUMMYFUNCTION("""COMPUTED_VALUE"""),"Ventilador Para Gabinete (Ra")</f>
        <v>Ventilador Para Gabinete (Ra</v>
      </c>
      <c r="C13803" s="380" t="str">
        <f>IFERROR(__xludf.DUMMYFUNCTION("""COMPUTED_VALUE"""),"80000135")</f>
        <v>80000135</v>
      </c>
      <c r="D13803" s="380" t="s">
        <v>767</v>
      </c>
      <c r="E13803" s="380" t="s">
        <v>776</v>
      </c>
      <c r="F13803" s="380" t="s">
        <v>777</v>
      </c>
      <c r="G13803" s="380" t="s">
        <v>1267</v>
      </c>
      <c r="H13803" s="380" t="s">
        <v>771</v>
      </c>
      <c r="I13803" s="380" t="s">
        <v>778</v>
      </c>
      <c r="J13803" s="380" t="s">
        <v>773</v>
      </c>
      <c r="K13803" s="381">
        <v>0.0</v>
      </c>
      <c r="L13803" s="382">
        <v>1.0</v>
      </c>
    </row>
    <row r="13804">
      <c r="A13804" s="380" t="s">
        <v>14678</v>
      </c>
      <c r="B13804" s="380" t="str">
        <f>IFERROR(__xludf.DUMMYFUNCTION("""COMPUTED_VALUE"""),"Cable Plug A Plug Monofónico 6")</f>
        <v>Cable Plug A Plug Monofónico 6</v>
      </c>
      <c r="C13804" s="380" t="str">
        <f>IFERROR(__xludf.DUMMYFUNCTION("""COMPUTED_VALUE"""),"80000136")</f>
        <v>80000136</v>
      </c>
      <c r="D13804" s="380" t="s">
        <v>767</v>
      </c>
      <c r="E13804" s="380" t="s">
        <v>776</v>
      </c>
      <c r="F13804" s="380" t="s">
        <v>777</v>
      </c>
      <c r="G13804" s="380" t="s">
        <v>1267</v>
      </c>
      <c r="H13804" s="380" t="s">
        <v>771</v>
      </c>
      <c r="I13804" s="380" t="s">
        <v>778</v>
      </c>
      <c r="J13804" s="380" t="s">
        <v>773</v>
      </c>
      <c r="K13804" s="381">
        <v>0.0</v>
      </c>
      <c r="L13804" s="382">
        <v>1.0</v>
      </c>
    </row>
    <row r="13805">
      <c r="A13805" s="380" t="s">
        <v>14679</v>
      </c>
      <c r="B13805" s="380" t="str">
        <f>IFERROR(__xludf.DUMMYFUNCTION("""COMPUTED_VALUE"""),"Chazo Metalico Expansivo 1/2 X")</f>
        <v>Chazo Metalico Expansivo 1/2 X</v>
      </c>
      <c r="C13805" s="380" t="str">
        <f>IFERROR(__xludf.DUMMYFUNCTION("""COMPUTED_VALUE"""),"80000137")</f>
        <v>80000137</v>
      </c>
      <c r="D13805" s="380" t="s">
        <v>767</v>
      </c>
      <c r="E13805" s="380" t="s">
        <v>776</v>
      </c>
      <c r="F13805" s="380" t="s">
        <v>777</v>
      </c>
      <c r="G13805" s="380" t="s">
        <v>1267</v>
      </c>
      <c r="H13805" s="380" t="s">
        <v>771</v>
      </c>
      <c r="I13805" s="380" t="s">
        <v>778</v>
      </c>
      <c r="J13805" s="380" t="s">
        <v>773</v>
      </c>
      <c r="K13805" s="381">
        <v>0.0</v>
      </c>
      <c r="L13805" s="382">
        <v>1.0</v>
      </c>
    </row>
    <row r="13806">
      <c r="A13806" s="380" t="s">
        <v>14680</v>
      </c>
      <c r="B13806" s="380" t="str">
        <f>IFERROR(__xludf.DUMMYFUNCTION("""COMPUTED_VALUE"""),"Superficie Aglomerado Cubierta")</f>
        <v>Superficie Aglomerado Cubierta</v>
      </c>
      <c r="C13806" s="380" t="str">
        <f>IFERROR(__xludf.DUMMYFUNCTION("""COMPUTED_VALUE"""),"80000138")</f>
        <v>80000138</v>
      </c>
      <c r="D13806" s="380" t="s">
        <v>767</v>
      </c>
      <c r="E13806" s="380" t="s">
        <v>776</v>
      </c>
      <c r="F13806" s="380" t="s">
        <v>777</v>
      </c>
      <c r="G13806" s="380" t="s">
        <v>1267</v>
      </c>
      <c r="H13806" s="380" t="s">
        <v>771</v>
      </c>
      <c r="I13806" s="380" t="s">
        <v>778</v>
      </c>
      <c r="J13806" s="380" t="s">
        <v>773</v>
      </c>
      <c r="K13806" s="381">
        <v>0.0</v>
      </c>
      <c r="L13806" s="382">
        <v>1.0</v>
      </c>
    </row>
    <row r="13807">
      <c r="A13807" s="380" t="s">
        <v>14681</v>
      </c>
      <c r="B13807" s="380" t="str">
        <f>IFERROR(__xludf.DUMMYFUNCTION("""COMPUTED_VALUE"""),"Union Pvc 1"" 1/2 Lisa")</f>
        <v>Union Pvc 1" 1/2 Lisa</v>
      </c>
      <c r="C13807" s="380" t="str">
        <f>IFERROR(__xludf.DUMMYFUNCTION("""COMPUTED_VALUE"""),"80000139")</f>
        <v>80000139</v>
      </c>
      <c r="D13807" s="380" t="s">
        <v>767</v>
      </c>
      <c r="E13807" s="380" t="s">
        <v>776</v>
      </c>
      <c r="F13807" s="380" t="s">
        <v>777</v>
      </c>
      <c r="G13807" s="380" t="s">
        <v>1267</v>
      </c>
      <c r="H13807" s="380" t="s">
        <v>771</v>
      </c>
      <c r="I13807" s="380" t="s">
        <v>778</v>
      </c>
      <c r="J13807" s="380" t="s">
        <v>773</v>
      </c>
      <c r="K13807" s="381">
        <v>0.0</v>
      </c>
      <c r="L13807" s="382">
        <v>1.0</v>
      </c>
    </row>
    <row r="13808">
      <c r="A13808" s="380" t="s">
        <v>14682</v>
      </c>
      <c r="B13808" s="380" t="str">
        <f>IFERROR(__xludf.DUMMYFUNCTION("""COMPUTED_VALUE"""),"Union Pvc Universal Lisa")</f>
        <v>Union Pvc Universal Lisa</v>
      </c>
      <c r="C13808" s="380" t="str">
        <f>IFERROR(__xludf.DUMMYFUNCTION("""COMPUTED_VALUE"""),"80000140")</f>
        <v>80000140</v>
      </c>
      <c r="D13808" s="380" t="s">
        <v>767</v>
      </c>
      <c r="E13808" s="380" t="s">
        <v>776</v>
      </c>
      <c r="F13808" s="380" t="s">
        <v>777</v>
      </c>
      <c r="G13808" s="380" t="s">
        <v>1267</v>
      </c>
      <c r="H13808" s="380" t="s">
        <v>771</v>
      </c>
      <c r="I13808" s="380" t="s">
        <v>778</v>
      </c>
      <c r="J13808" s="380" t="s">
        <v>773</v>
      </c>
      <c r="K13808" s="381">
        <v>0.0</v>
      </c>
      <c r="L13808" s="382">
        <v>1.0</v>
      </c>
    </row>
    <row r="13809">
      <c r="A13809" s="380" t="s">
        <v>14683</v>
      </c>
      <c r="B13809" s="380" t="str">
        <f>IFERROR(__xludf.DUMMYFUNCTION("""COMPUTED_VALUE"""),"Niple Plastico Roscado 3/4"" Pa")</f>
        <v>Niple Plastico Roscado 3/4" Pa</v>
      </c>
      <c r="C13809" s="380" t="str">
        <f>IFERROR(__xludf.DUMMYFUNCTION("""COMPUTED_VALUE"""),"80000141")</f>
        <v>80000141</v>
      </c>
      <c r="D13809" s="380" t="s">
        <v>767</v>
      </c>
      <c r="E13809" s="380" t="s">
        <v>776</v>
      </c>
      <c r="F13809" s="380" t="s">
        <v>777</v>
      </c>
      <c r="G13809" s="380" t="s">
        <v>1267</v>
      </c>
      <c r="H13809" s="380" t="s">
        <v>771</v>
      </c>
      <c r="I13809" s="380" t="s">
        <v>778</v>
      </c>
      <c r="J13809" s="380" t="s">
        <v>773</v>
      </c>
      <c r="K13809" s="381">
        <v>0.0</v>
      </c>
      <c r="L13809" s="382">
        <v>1.0</v>
      </c>
    </row>
    <row r="13810">
      <c r="A13810" s="380" t="s">
        <v>14684</v>
      </c>
      <c r="B13810" s="380" t="str">
        <f>IFERROR(__xludf.DUMMYFUNCTION("""COMPUTED_VALUE"""),"Limpiador Acero Inoxidable Des")</f>
        <v>Limpiador Acero Inoxidable Des</v>
      </c>
      <c r="C13810" s="380" t="str">
        <f>IFERROR(__xludf.DUMMYFUNCTION("""COMPUTED_VALUE"""),"80000142")</f>
        <v>80000142</v>
      </c>
      <c r="D13810" s="380" t="s">
        <v>767</v>
      </c>
      <c r="E13810" s="380" t="s">
        <v>776</v>
      </c>
      <c r="F13810" s="380" t="s">
        <v>777</v>
      </c>
      <c r="G13810" s="380" t="s">
        <v>1267</v>
      </c>
      <c r="H13810" s="380" t="s">
        <v>771</v>
      </c>
      <c r="I13810" s="380" t="s">
        <v>778</v>
      </c>
      <c r="J13810" s="380" t="s">
        <v>773</v>
      </c>
      <c r="K13810" s="381">
        <v>0.0</v>
      </c>
      <c r="L13810" s="382">
        <v>1.0</v>
      </c>
    </row>
    <row r="13811">
      <c r="A13811" s="380" t="s">
        <v>14685</v>
      </c>
      <c r="B13811" s="380" t="str">
        <f>IFERROR(__xludf.DUMMYFUNCTION("""COMPUTED_VALUE"""),"Griferia Lavamanos Doble 8 Pul")</f>
        <v>Griferia Lavamanos Doble 8 Pul</v>
      </c>
      <c r="C13811" s="380" t="str">
        <f>IFERROR(__xludf.DUMMYFUNCTION("""COMPUTED_VALUE"""),"80000143")</f>
        <v>80000143</v>
      </c>
      <c r="D13811" s="380" t="s">
        <v>767</v>
      </c>
      <c r="E13811" s="380" t="s">
        <v>776</v>
      </c>
      <c r="F13811" s="380" t="s">
        <v>777</v>
      </c>
      <c r="G13811" s="380" t="s">
        <v>1267</v>
      </c>
      <c r="H13811" s="380" t="s">
        <v>771</v>
      </c>
      <c r="I13811" s="380" t="s">
        <v>778</v>
      </c>
      <c r="J13811" s="380" t="s">
        <v>773</v>
      </c>
      <c r="K13811" s="381">
        <v>0.0</v>
      </c>
      <c r="L13811" s="382">
        <v>1.0</v>
      </c>
    </row>
    <row r="13812">
      <c r="A13812" s="380" t="s">
        <v>14686</v>
      </c>
      <c r="B13812" s="380" t="str">
        <f>IFERROR(__xludf.DUMMYFUNCTION("""COMPUTED_VALUE"""),"Parada De Emergencia Tipo Hong")</f>
        <v>Parada De Emergencia Tipo Hong</v>
      </c>
      <c r="C13812" s="380" t="str">
        <f>IFERROR(__xludf.DUMMYFUNCTION("""COMPUTED_VALUE"""),"80000144")</f>
        <v>80000144</v>
      </c>
      <c r="D13812" s="380" t="s">
        <v>767</v>
      </c>
      <c r="E13812" s="380" t="s">
        <v>776</v>
      </c>
      <c r="F13812" s="380" t="s">
        <v>777</v>
      </c>
      <c r="G13812" s="380" t="s">
        <v>1267</v>
      </c>
      <c r="H13812" s="380" t="s">
        <v>771</v>
      </c>
      <c r="I13812" s="380" t="s">
        <v>778</v>
      </c>
      <c r="J13812" s="380" t="s">
        <v>773</v>
      </c>
      <c r="K13812" s="381">
        <v>0.0</v>
      </c>
      <c r="L13812" s="382">
        <v>1.0</v>
      </c>
    </row>
    <row r="13813">
      <c r="A13813" s="380" t="s">
        <v>14687</v>
      </c>
      <c r="B13813" s="380" t="str">
        <f>IFERROR(__xludf.DUMMYFUNCTION("""COMPUTED_VALUE"""),"Codo 45° X 4"" Cxc Sanitaria")</f>
        <v>Codo 45° X 4" Cxc Sanitaria</v>
      </c>
      <c r="C13813" s="380" t="str">
        <f>IFERROR(__xludf.DUMMYFUNCTION("""COMPUTED_VALUE"""),"80000146")</f>
        <v>80000146</v>
      </c>
      <c r="D13813" s="380" t="s">
        <v>767</v>
      </c>
      <c r="E13813" s="380" t="s">
        <v>776</v>
      </c>
      <c r="F13813" s="380" t="s">
        <v>777</v>
      </c>
      <c r="G13813" s="380" t="s">
        <v>1267</v>
      </c>
      <c r="H13813" s="380" t="s">
        <v>771</v>
      </c>
      <c r="I13813" s="380" t="s">
        <v>778</v>
      </c>
      <c r="J13813" s="380" t="s">
        <v>773</v>
      </c>
      <c r="K13813" s="381">
        <v>0.0</v>
      </c>
      <c r="L13813" s="382">
        <v>1.0</v>
      </c>
    </row>
    <row r="13814">
      <c r="A13814" s="380" t="s">
        <v>14688</v>
      </c>
      <c r="B13814" s="380" t="str">
        <f>IFERROR(__xludf.DUMMYFUNCTION("""COMPUTED_VALUE"""),"Bisagra Puerta Acero Inox Bali")</f>
        <v>Bisagra Puerta Acero Inox Bali</v>
      </c>
      <c r="C13814" s="380" t="str">
        <f>IFERROR(__xludf.DUMMYFUNCTION("""COMPUTED_VALUE"""),"80000147")</f>
        <v>80000147</v>
      </c>
      <c r="D13814" s="380" t="s">
        <v>767</v>
      </c>
      <c r="E13814" s="380" t="s">
        <v>776</v>
      </c>
      <c r="F13814" s="380" t="s">
        <v>777</v>
      </c>
      <c r="G13814" s="380" t="s">
        <v>1267</v>
      </c>
      <c r="H13814" s="380" t="s">
        <v>771</v>
      </c>
      <c r="I13814" s="380" t="s">
        <v>778</v>
      </c>
      <c r="J13814" s="380" t="s">
        <v>773</v>
      </c>
      <c r="K13814" s="381">
        <v>0.0</v>
      </c>
      <c r="L13814" s="382">
        <v>1.0</v>
      </c>
    </row>
    <row r="13815">
      <c r="A13815" s="380" t="s">
        <v>14689</v>
      </c>
      <c r="B13815" s="380" t="str">
        <f>IFERROR(__xludf.DUMMYFUNCTION("""COMPUTED_VALUE"""),"Disco Diamantado Continuo 4 1/")</f>
        <v>Disco Diamantado Continuo 4 1/</v>
      </c>
      <c r="C13815" s="380" t="str">
        <f>IFERROR(__xludf.DUMMYFUNCTION("""COMPUTED_VALUE"""),"80000148")</f>
        <v>80000148</v>
      </c>
      <c r="D13815" s="380" t="s">
        <v>767</v>
      </c>
      <c r="E13815" s="380" t="s">
        <v>776</v>
      </c>
      <c r="F13815" s="380" t="s">
        <v>777</v>
      </c>
      <c r="G13815" s="380" t="s">
        <v>1267</v>
      </c>
      <c r="H13815" s="380" t="s">
        <v>771</v>
      </c>
      <c r="I13815" s="380" t="s">
        <v>778</v>
      </c>
      <c r="J13815" s="380" t="s">
        <v>773</v>
      </c>
      <c r="K13815" s="381">
        <v>0.0</v>
      </c>
      <c r="L13815" s="382">
        <v>1.0</v>
      </c>
    </row>
    <row r="13816">
      <c r="A13816" s="380" t="s">
        <v>14690</v>
      </c>
      <c r="B13816" s="380" t="str">
        <f>IFERROR(__xludf.DUMMYFUNCTION("""COMPUTED_VALUE"""),"Disco Diamantado Segmentado 4")</f>
        <v>Disco Diamantado Segmentado 4</v>
      </c>
      <c r="C13816" s="380" t="str">
        <f>IFERROR(__xludf.DUMMYFUNCTION("""COMPUTED_VALUE"""),"80000149")</f>
        <v>80000149</v>
      </c>
      <c r="D13816" s="380" t="s">
        <v>767</v>
      </c>
      <c r="E13816" s="380" t="s">
        <v>776</v>
      </c>
      <c r="F13816" s="380" t="s">
        <v>777</v>
      </c>
      <c r="G13816" s="380" t="s">
        <v>1267</v>
      </c>
      <c r="H13816" s="380" t="s">
        <v>771</v>
      </c>
      <c r="I13816" s="380" t="s">
        <v>778</v>
      </c>
      <c r="J13816" s="380" t="s">
        <v>773</v>
      </c>
      <c r="K13816" s="381">
        <v>0.0</v>
      </c>
      <c r="L13816" s="382">
        <v>1.0</v>
      </c>
    </row>
    <row r="13817">
      <c r="A13817" s="380" t="s">
        <v>14691</v>
      </c>
      <c r="B13817" s="380" t="str">
        <f>IFERROR(__xludf.DUMMYFUNCTION("""COMPUTED_VALUE"""),"Sifón 2"" Sanitaria")</f>
        <v>Sifón 2" Sanitaria</v>
      </c>
      <c r="C13817" s="380" t="str">
        <f>IFERROR(__xludf.DUMMYFUNCTION("""COMPUTED_VALUE"""),"80000150")</f>
        <v>80000150</v>
      </c>
      <c r="D13817" s="380" t="s">
        <v>767</v>
      </c>
      <c r="E13817" s="380" t="s">
        <v>776</v>
      </c>
      <c r="F13817" s="380" t="s">
        <v>777</v>
      </c>
      <c r="G13817" s="380" t="s">
        <v>1267</v>
      </c>
      <c r="H13817" s="380" t="s">
        <v>771</v>
      </c>
      <c r="I13817" s="380" t="s">
        <v>778</v>
      </c>
      <c r="J13817" s="380" t="s">
        <v>773</v>
      </c>
      <c r="K13817" s="381">
        <v>0.0</v>
      </c>
      <c r="L13817" s="382">
        <v>1.0</v>
      </c>
    </row>
    <row r="13818">
      <c r="A13818" s="380" t="s">
        <v>14692</v>
      </c>
      <c r="B13818" s="380" t="str">
        <f>IFERROR(__xludf.DUMMYFUNCTION("""COMPUTED_VALUE"""),"Acople Rápido Conexión Espigo")</f>
        <v>Acople Rápido Conexión Espigo</v>
      </c>
      <c r="C13818" s="380" t="str">
        <f>IFERROR(__xludf.DUMMYFUNCTION("""COMPUTED_VALUE"""),"80000151")</f>
        <v>80000151</v>
      </c>
      <c r="D13818" s="380" t="s">
        <v>767</v>
      </c>
      <c r="E13818" s="380" t="s">
        <v>776</v>
      </c>
      <c r="F13818" s="380" t="s">
        <v>777</v>
      </c>
      <c r="G13818" s="380" t="s">
        <v>1267</v>
      </c>
      <c r="H13818" s="380" t="s">
        <v>771</v>
      </c>
      <c r="I13818" s="380" t="s">
        <v>778</v>
      </c>
      <c r="J13818" s="380" t="s">
        <v>773</v>
      </c>
      <c r="K13818" s="381">
        <v>0.0</v>
      </c>
      <c r="L13818" s="382">
        <v>1.0</v>
      </c>
    </row>
    <row r="13819">
      <c r="A13819" s="380" t="s">
        <v>14693</v>
      </c>
      <c r="B13819" s="380" t="str">
        <f>IFERROR(__xludf.DUMMYFUNCTION("""COMPUTED_VALUE"""),"Reflector Led 50W Lfria 4250 L")</f>
        <v>Reflector Led 50W Lfria 4250 L</v>
      </c>
      <c r="C13819" s="380" t="str">
        <f>IFERROR(__xludf.DUMMYFUNCTION("""COMPUTED_VALUE"""),"80000152")</f>
        <v>80000152</v>
      </c>
      <c r="D13819" s="380" t="s">
        <v>767</v>
      </c>
      <c r="E13819" s="380" t="s">
        <v>776</v>
      </c>
      <c r="F13819" s="380" t="s">
        <v>777</v>
      </c>
      <c r="G13819" s="380" t="s">
        <v>1267</v>
      </c>
      <c r="H13819" s="380" t="s">
        <v>771</v>
      </c>
      <c r="I13819" s="380" t="s">
        <v>778</v>
      </c>
      <c r="J13819" s="380" t="s">
        <v>773</v>
      </c>
      <c r="K13819" s="381">
        <v>0.0</v>
      </c>
      <c r="L13819" s="382">
        <v>1.0</v>
      </c>
    </row>
    <row r="13820">
      <c r="A13820" s="380" t="s">
        <v>14694</v>
      </c>
      <c r="B13820" s="380" t="str">
        <f>IFERROR(__xludf.DUMMYFUNCTION("""COMPUTED_VALUE"""),"Grapa Para Tubo Emt 3/4")</f>
        <v>Grapa Para Tubo Emt 3/4</v>
      </c>
      <c r="C13820" s="380" t="str">
        <f>IFERROR(__xludf.DUMMYFUNCTION("""COMPUTED_VALUE"""),"80000153")</f>
        <v>80000153</v>
      </c>
      <c r="D13820" s="380" t="s">
        <v>767</v>
      </c>
      <c r="E13820" s="380" t="s">
        <v>776</v>
      </c>
      <c r="F13820" s="380" t="s">
        <v>777</v>
      </c>
      <c r="G13820" s="380" t="s">
        <v>1267</v>
      </c>
      <c r="H13820" s="380" t="s">
        <v>771</v>
      </c>
      <c r="I13820" s="380" t="s">
        <v>778</v>
      </c>
      <c r="J13820" s="380" t="s">
        <v>773</v>
      </c>
      <c r="K13820" s="381">
        <v>0.0</v>
      </c>
      <c r="L13820" s="382">
        <v>1.0</v>
      </c>
    </row>
    <row r="13821">
      <c r="A13821" s="380" t="s">
        <v>14695</v>
      </c>
      <c r="B13821" s="380" t="str">
        <f>IFERROR(__xludf.DUMMYFUNCTION("""COMPUTED_VALUE"""),"Toma Aereo Con Polo A Tierra")</f>
        <v>Toma Aereo Con Polo A Tierra</v>
      </c>
      <c r="C13821" s="380" t="str">
        <f>IFERROR(__xludf.DUMMYFUNCTION("""COMPUTED_VALUE"""),"80000154")</f>
        <v>80000154</v>
      </c>
      <c r="D13821" s="380" t="s">
        <v>767</v>
      </c>
      <c r="E13821" s="380" t="s">
        <v>776</v>
      </c>
      <c r="F13821" s="380" t="s">
        <v>777</v>
      </c>
      <c r="G13821" s="380" t="s">
        <v>1267</v>
      </c>
      <c r="H13821" s="380" t="s">
        <v>771</v>
      </c>
      <c r="I13821" s="380" t="s">
        <v>778</v>
      </c>
      <c r="J13821" s="380" t="s">
        <v>773</v>
      </c>
      <c r="K13821" s="381">
        <v>0.0</v>
      </c>
      <c r="L13821" s="382">
        <v>1.0</v>
      </c>
    </row>
    <row r="13822">
      <c r="A13822" s="380" t="s">
        <v>14696</v>
      </c>
      <c r="B13822" s="380" t="str">
        <f>IFERROR(__xludf.DUMMYFUNCTION("""COMPUTED_VALUE"""),"Soporte De Pared Para Lavamano")</f>
        <v>Soporte De Pared Para Lavamano</v>
      </c>
      <c r="C13822" s="380" t="str">
        <f>IFERROR(__xludf.DUMMYFUNCTION("""COMPUTED_VALUE"""),"80000155")</f>
        <v>80000155</v>
      </c>
      <c r="D13822" s="380" t="s">
        <v>767</v>
      </c>
      <c r="E13822" s="380" t="s">
        <v>776</v>
      </c>
      <c r="F13822" s="380" t="s">
        <v>777</v>
      </c>
      <c r="G13822" s="380" t="s">
        <v>1267</v>
      </c>
      <c r="H13822" s="380" t="s">
        <v>771</v>
      </c>
      <c r="I13822" s="380" t="s">
        <v>778</v>
      </c>
      <c r="J13822" s="380" t="s">
        <v>773</v>
      </c>
      <c r="K13822" s="381">
        <v>0.0</v>
      </c>
      <c r="L13822" s="382">
        <v>1.0</v>
      </c>
    </row>
    <row r="13823">
      <c r="A13823" s="380" t="s">
        <v>14697</v>
      </c>
      <c r="B13823" s="380" t="str">
        <f>IFERROR(__xludf.DUMMYFUNCTION("""COMPUTED_VALUE"""),"Protector Rj45")</f>
        <v>Protector Rj45</v>
      </c>
      <c r="C13823" s="380" t="str">
        <f>IFERROR(__xludf.DUMMYFUNCTION("""COMPUTED_VALUE"""),"80000156")</f>
        <v>80000156</v>
      </c>
      <c r="D13823" s="380" t="s">
        <v>767</v>
      </c>
      <c r="E13823" s="380" t="s">
        <v>776</v>
      </c>
      <c r="F13823" s="380" t="s">
        <v>777</v>
      </c>
      <c r="G13823" s="380" t="s">
        <v>1267</v>
      </c>
      <c r="H13823" s="380" t="s">
        <v>771</v>
      </c>
      <c r="I13823" s="380" t="s">
        <v>778</v>
      </c>
      <c r="J13823" s="380" t="s">
        <v>773</v>
      </c>
      <c r="K13823" s="381">
        <v>0.0</v>
      </c>
      <c r="L13823" s="382">
        <v>1.0</v>
      </c>
    </row>
    <row r="13824">
      <c r="A13824" s="380" t="s">
        <v>14698</v>
      </c>
      <c r="B13824" s="380" t="str">
        <f>IFERROR(__xludf.DUMMYFUNCTION("""COMPUTED_VALUE"""),"Motorreductor Banda Transporta")</f>
        <v>Motorreductor Banda Transporta</v>
      </c>
      <c r="C13824" s="380" t="str">
        <f>IFERROR(__xludf.DUMMYFUNCTION("""COMPUTED_VALUE"""),"80000157")</f>
        <v>80000157</v>
      </c>
      <c r="D13824" s="380" t="s">
        <v>767</v>
      </c>
      <c r="E13824" s="380" t="s">
        <v>776</v>
      </c>
      <c r="F13824" s="380" t="s">
        <v>777</v>
      </c>
      <c r="G13824" s="380" t="s">
        <v>1267</v>
      </c>
      <c r="H13824" s="380" t="s">
        <v>771</v>
      </c>
      <c r="I13824" s="380" t="s">
        <v>778</v>
      </c>
      <c r="J13824" s="380" t="s">
        <v>773</v>
      </c>
      <c r="K13824" s="381">
        <v>0.0</v>
      </c>
      <c r="L13824" s="382">
        <v>1.0</v>
      </c>
    </row>
    <row r="13825">
      <c r="A13825" s="380" t="s">
        <v>14699</v>
      </c>
      <c r="B13825" s="380" t="str">
        <f>IFERROR(__xludf.DUMMYFUNCTION("""COMPUTED_VALUE"""),"Conector Emt De 3/4""")</f>
        <v>Conector Emt De 3/4"</v>
      </c>
      <c r="C13825" s="380" t="str">
        <f>IFERROR(__xludf.DUMMYFUNCTION("""COMPUTED_VALUE"""),"80000158")</f>
        <v>80000158</v>
      </c>
      <c r="D13825" s="380" t="s">
        <v>767</v>
      </c>
      <c r="E13825" s="380" t="s">
        <v>776</v>
      </c>
      <c r="F13825" s="380" t="s">
        <v>777</v>
      </c>
      <c r="G13825" s="380" t="s">
        <v>1267</v>
      </c>
      <c r="H13825" s="380" t="s">
        <v>771</v>
      </c>
      <c r="I13825" s="380" t="s">
        <v>778</v>
      </c>
      <c r="J13825" s="380" t="s">
        <v>773</v>
      </c>
      <c r="K13825" s="381">
        <v>0.0</v>
      </c>
      <c r="L13825" s="382">
        <v>1.0</v>
      </c>
    </row>
    <row r="13826">
      <c r="A13826" s="380" t="s">
        <v>14700</v>
      </c>
      <c r="B13826" s="380" t="str">
        <f>IFERROR(__xludf.DUMMYFUNCTION("""COMPUTED_VALUE"""),"Lampara De Emergencia Tipo Mic")</f>
        <v>Lampara De Emergencia Tipo Mic</v>
      </c>
      <c r="C13826" s="380" t="str">
        <f>IFERROR(__xludf.DUMMYFUNCTION("""COMPUTED_VALUE"""),"80000159")</f>
        <v>80000159</v>
      </c>
      <c r="D13826" s="380" t="s">
        <v>767</v>
      </c>
      <c r="E13826" s="380" t="s">
        <v>776</v>
      </c>
      <c r="F13826" s="380" t="s">
        <v>777</v>
      </c>
      <c r="G13826" s="380" t="s">
        <v>1267</v>
      </c>
      <c r="H13826" s="380" t="s">
        <v>771</v>
      </c>
      <c r="I13826" s="380" t="s">
        <v>778</v>
      </c>
      <c r="J13826" s="380" t="s">
        <v>773</v>
      </c>
      <c r="K13826" s="381">
        <v>93579.0</v>
      </c>
      <c r="L13826" s="382">
        <v>1.0</v>
      </c>
    </row>
    <row r="13827">
      <c r="A13827" s="380" t="s">
        <v>14701</v>
      </c>
      <c r="B13827" s="380" t="str">
        <f>IFERROR(__xludf.DUMMYFUNCTION("""COMPUTED_VALUE"""),"Chapa De Seguridad Para Entrad")</f>
        <v>Chapa De Seguridad Para Entrad</v>
      </c>
      <c r="C13827" s="380" t="str">
        <f>IFERROR(__xludf.DUMMYFUNCTION("""COMPUTED_VALUE"""),"80000160")</f>
        <v>80000160</v>
      </c>
      <c r="D13827" s="380" t="s">
        <v>767</v>
      </c>
      <c r="E13827" s="380" t="s">
        <v>776</v>
      </c>
      <c r="F13827" s="380" t="s">
        <v>777</v>
      </c>
      <c r="G13827" s="380" t="s">
        <v>1267</v>
      </c>
      <c r="H13827" s="380" t="s">
        <v>771</v>
      </c>
      <c r="I13827" s="380" t="s">
        <v>778</v>
      </c>
      <c r="J13827" s="380" t="s">
        <v>773</v>
      </c>
      <c r="K13827" s="381">
        <v>0.0</v>
      </c>
      <c r="L13827" s="382">
        <v>1.0</v>
      </c>
    </row>
    <row r="13828">
      <c r="A13828" s="380" t="s">
        <v>14702</v>
      </c>
      <c r="B13828" s="380" t="str">
        <f>IFERROR(__xludf.DUMMYFUNCTION("""COMPUTED_VALUE"""),"Manguera Acople Lavamanos/Lava")</f>
        <v>Manguera Acople Lavamanos/Lava</v>
      </c>
      <c r="C13828" s="380" t="str">
        <f>IFERROR(__xludf.DUMMYFUNCTION("""COMPUTED_VALUE"""),"80000161")</f>
        <v>80000161</v>
      </c>
      <c r="D13828" s="380" t="s">
        <v>767</v>
      </c>
      <c r="E13828" s="380" t="s">
        <v>776</v>
      </c>
      <c r="F13828" s="380" t="s">
        <v>777</v>
      </c>
      <c r="G13828" s="380" t="s">
        <v>1267</v>
      </c>
      <c r="H13828" s="380" t="s">
        <v>771</v>
      </c>
      <c r="I13828" s="380" t="s">
        <v>778</v>
      </c>
      <c r="J13828" s="380" t="s">
        <v>773</v>
      </c>
      <c r="K13828" s="381">
        <v>0.0</v>
      </c>
      <c r="L13828" s="382">
        <v>1.0</v>
      </c>
    </row>
    <row r="13829">
      <c r="A13829" s="380" t="s">
        <v>14703</v>
      </c>
      <c r="B13829" s="380" t="str">
        <f>IFERROR(__xludf.DUMMYFUNCTION("""COMPUTED_VALUE"""),"Piragua Para Enchape Ceramica")</f>
        <v>Piragua Para Enchape Ceramica</v>
      </c>
      <c r="C13829" s="380" t="str">
        <f>IFERROR(__xludf.DUMMYFUNCTION("""COMPUTED_VALUE"""),"80000162")</f>
        <v>80000162</v>
      </c>
      <c r="D13829" s="380" t="s">
        <v>767</v>
      </c>
      <c r="E13829" s="380" t="s">
        <v>776</v>
      </c>
      <c r="F13829" s="380" t="s">
        <v>777</v>
      </c>
      <c r="G13829" s="380" t="s">
        <v>1267</v>
      </c>
      <c r="H13829" s="380" t="s">
        <v>771</v>
      </c>
      <c r="I13829" s="380" t="s">
        <v>778</v>
      </c>
      <c r="J13829" s="380" t="s">
        <v>773</v>
      </c>
      <c r="K13829" s="381">
        <v>0.0</v>
      </c>
      <c r="L13829" s="382">
        <v>1.0</v>
      </c>
    </row>
    <row r="13830">
      <c r="A13830" s="380" t="s">
        <v>14704</v>
      </c>
      <c r="B13830" s="380" t="str">
        <f>IFERROR(__xludf.DUMMYFUNCTION("""COMPUTED_VALUE"""),"Condensador Capacitor 680 Uf")</f>
        <v>Condensador Capacitor 680 Uf</v>
      </c>
      <c r="C13830" s="380" t="str">
        <f>IFERROR(__xludf.DUMMYFUNCTION("""COMPUTED_VALUE"""),"80000163")</f>
        <v>80000163</v>
      </c>
      <c r="D13830" s="380" t="s">
        <v>767</v>
      </c>
      <c r="E13830" s="380" t="s">
        <v>776</v>
      </c>
      <c r="F13830" s="380" t="s">
        <v>777</v>
      </c>
      <c r="G13830" s="380" t="s">
        <v>1267</v>
      </c>
      <c r="H13830" s="380" t="s">
        <v>771</v>
      </c>
      <c r="I13830" s="380" t="s">
        <v>778</v>
      </c>
      <c r="J13830" s="380" t="s">
        <v>773</v>
      </c>
      <c r="K13830" s="381">
        <v>0.0</v>
      </c>
      <c r="L13830" s="382">
        <v>1.0</v>
      </c>
    </row>
    <row r="13831">
      <c r="A13831" s="380" t="s">
        <v>14705</v>
      </c>
      <c r="B13831" s="380" t="str">
        <f>IFERROR(__xludf.DUMMYFUNCTION("""COMPUTED_VALUE"""),"Rj45 Categoria 5E")</f>
        <v>Rj45 Categoria 5E</v>
      </c>
      <c r="C13831" s="380" t="str">
        <f>IFERROR(__xludf.DUMMYFUNCTION("""COMPUTED_VALUE"""),"80000164")</f>
        <v>80000164</v>
      </c>
      <c r="D13831" s="380" t="s">
        <v>767</v>
      </c>
      <c r="E13831" s="380" t="s">
        <v>776</v>
      </c>
      <c r="F13831" s="380" t="s">
        <v>777</v>
      </c>
      <c r="G13831" s="380" t="s">
        <v>1267</v>
      </c>
      <c r="H13831" s="380" t="s">
        <v>771</v>
      </c>
      <c r="I13831" s="380" t="s">
        <v>778</v>
      </c>
      <c r="J13831" s="380" t="s">
        <v>773</v>
      </c>
      <c r="K13831" s="381">
        <v>0.0</v>
      </c>
      <c r="L13831" s="382">
        <v>1.0</v>
      </c>
    </row>
    <row r="13832">
      <c r="A13832" s="380" t="s">
        <v>14706</v>
      </c>
      <c r="B13832" s="380" t="str">
        <f>IFERROR(__xludf.DUMMYFUNCTION("""COMPUTED_VALUE"""),"Jack Cat 6A Siemons")</f>
        <v>Jack Cat 6A Siemons</v>
      </c>
      <c r="C13832" s="380" t="str">
        <f>IFERROR(__xludf.DUMMYFUNCTION("""COMPUTED_VALUE"""),"80000165")</f>
        <v>80000165</v>
      </c>
      <c r="D13832" s="380" t="s">
        <v>767</v>
      </c>
      <c r="E13832" s="380" t="s">
        <v>776</v>
      </c>
      <c r="F13832" s="380" t="s">
        <v>777</v>
      </c>
      <c r="G13832" s="380" t="s">
        <v>1267</v>
      </c>
      <c r="H13832" s="380" t="s">
        <v>771</v>
      </c>
      <c r="I13832" s="380" t="s">
        <v>778</v>
      </c>
      <c r="J13832" s="380" t="s">
        <v>773</v>
      </c>
      <c r="K13832" s="381">
        <v>32289.0</v>
      </c>
      <c r="L13832" s="382">
        <v>1.0</v>
      </c>
    </row>
    <row r="13833">
      <c r="A13833" s="380" t="s">
        <v>14707</v>
      </c>
      <c r="B13833" s="380" t="str">
        <f>IFERROR(__xludf.DUMMYFUNCTION("""COMPUTED_VALUE"""),"Fotocelda Access Eye.30 Metros")</f>
        <v>Fotocelda Access Eye.30 Metros</v>
      </c>
      <c r="C13833" s="380" t="str">
        <f>IFERROR(__xludf.DUMMYFUNCTION("""COMPUTED_VALUE"""),"80000166")</f>
        <v>80000166</v>
      </c>
      <c r="D13833" s="380" t="s">
        <v>767</v>
      </c>
      <c r="E13833" s="380" t="s">
        <v>776</v>
      </c>
      <c r="F13833" s="380" t="s">
        <v>777</v>
      </c>
      <c r="G13833" s="380" t="s">
        <v>1267</v>
      </c>
      <c r="H13833" s="380" t="s">
        <v>771</v>
      </c>
      <c r="I13833" s="380" t="s">
        <v>778</v>
      </c>
      <c r="J13833" s="380" t="s">
        <v>773</v>
      </c>
      <c r="K13833" s="381">
        <v>0.0</v>
      </c>
      <c r="L13833" s="382">
        <v>1.0</v>
      </c>
    </row>
    <row r="13834">
      <c r="A13834" s="380" t="s">
        <v>14708</v>
      </c>
      <c r="B13834" s="380" t="str">
        <f>IFERROR(__xludf.DUMMYFUNCTION("""COMPUTED_VALUE"""),"Cargador Smartool")</f>
        <v>Cargador Smartool</v>
      </c>
      <c r="C13834" s="380" t="str">
        <f>IFERROR(__xludf.DUMMYFUNCTION("""COMPUTED_VALUE"""),"80000167")</f>
        <v>80000167</v>
      </c>
      <c r="D13834" s="380" t="s">
        <v>767</v>
      </c>
      <c r="E13834" s="380" t="s">
        <v>776</v>
      </c>
      <c r="F13834" s="380" t="s">
        <v>777</v>
      </c>
      <c r="G13834" s="380" t="s">
        <v>1267</v>
      </c>
      <c r="H13834" s="380" t="s">
        <v>771</v>
      </c>
      <c r="I13834" s="380" t="s">
        <v>778</v>
      </c>
      <c r="J13834" s="380" t="s">
        <v>773</v>
      </c>
      <c r="K13834" s="381">
        <v>0.0</v>
      </c>
      <c r="L13834" s="382">
        <v>1.0</v>
      </c>
    </row>
    <row r="13835">
      <c r="A13835" s="380" t="s">
        <v>14709</v>
      </c>
      <c r="B13835" s="380" t="str">
        <f>IFERROR(__xludf.DUMMYFUNCTION("""COMPUTED_VALUE"""),"Cinta Papel Para Drywall")</f>
        <v>Cinta Papel Para Drywall</v>
      </c>
      <c r="C13835" s="380" t="str">
        <f>IFERROR(__xludf.DUMMYFUNCTION("""COMPUTED_VALUE"""),"80000168")</f>
        <v>80000168</v>
      </c>
      <c r="D13835" s="380" t="s">
        <v>767</v>
      </c>
      <c r="E13835" s="380" t="s">
        <v>776</v>
      </c>
      <c r="F13835" s="380" t="s">
        <v>777</v>
      </c>
      <c r="G13835" s="380" t="s">
        <v>1267</v>
      </c>
      <c r="H13835" s="380" t="s">
        <v>771</v>
      </c>
      <c r="I13835" s="380" t="s">
        <v>778</v>
      </c>
      <c r="J13835" s="380" t="s">
        <v>773</v>
      </c>
      <c r="K13835" s="381">
        <v>0.0</v>
      </c>
      <c r="L13835" s="382">
        <v>1.0</v>
      </c>
    </row>
    <row r="13836">
      <c r="A13836" s="380" t="s">
        <v>14710</v>
      </c>
      <c r="B13836" s="380" t="str">
        <f>IFERROR(__xludf.DUMMYFUNCTION("""COMPUTED_VALUE"""),"Unidad Encoder Camaras 575,00")</f>
        <v>Unidad Encoder Camaras 575,00</v>
      </c>
      <c r="C13836" s="380" t="str">
        <f>IFERROR(__xludf.DUMMYFUNCTION("""COMPUTED_VALUE"""),"80000169")</f>
        <v>80000169</v>
      </c>
      <c r="D13836" s="380" t="s">
        <v>767</v>
      </c>
      <c r="E13836" s="380" t="s">
        <v>776</v>
      </c>
      <c r="F13836" s="380" t="s">
        <v>1058</v>
      </c>
      <c r="G13836" s="380" t="s">
        <v>1267</v>
      </c>
      <c r="H13836" s="380" t="s">
        <v>771</v>
      </c>
      <c r="I13836" s="380" t="s">
        <v>788</v>
      </c>
      <c r="J13836" s="380" t="s">
        <v>773</v>
      </c>
      <c r="K13836" s="381">
        <v>0.0</v>
      </c>
      <c r="L13836" s="382">
        <v>1.0</v>
      </c>
    </row>
    <row r="13837">
      <c r="A13837" s="380" t="s">
        <v>14711</v>
      </c>
      <c r="B13837" s="380" t="str">
        <f>IFERROR(__xludf.DUMMYFUNCTION("""COMPUTED_VALUE"""),"Switch 8Puertos 6 X 10/100/100")</f>
        <v>Switch 8Puertos 6 X 10/100/100</v>
      </c>
      <c r="C13837" s="380" t="str">
        <f>IFERROR(__xludf.DUMMYFUNCTION("""COMPUTED_VALUE"""),"80000170")</f>
        <v>80000170</v>
      </c>
      <c r="D13837" s="380" t="s">
        <v>767</v>
      </c>
      <c r="E13837" s="380" t="s">
        <v>776</v>
      </c>
      <c r="F13837" s="380" t="s">
        <v>1058</v>
      </c>
      <c r="G13837" s="380" t="s">
        <v>1267</v>
      </c>
      <c r="H13837" s="380" t="s">
        <v>771</v>
      </c>
      <c r="I13837" s="380" t="s">
        <v>788</v>
      </c>
      <c r="J13837" s="380" t="s">
        <v>773</v>
      </c>
      <c r="K13837" s="381">
        <v>0.0</v>
      </c>
      <c r="L13837" s="382">
        <v>1.0</v>
      </c>
    </row>
    <row r="13838">
      <c r="A13838" s="380" t="s">
        <v>14712</v>
      </c>
      <c r="B13838" s="380" t="str">
        <f>IFERROR(__xludf.DUMMYFUNCTION("""COMPUTED_VALUE"""),"Router 450G Soporte Camaras")</f>
        <v>Router 450G Soporte Camaras</v>
      </c>
      <c r="C13838" s="380" t="str">
        <f>IFERROR(__xludf.DUMMYFUNCTION("""COMPUTED_VALUE"""),"80000171")</f>
        <v>80000171</v>
      </c>
      <c r="D13838" s="380" t="s">
        <v>767</v>
      </c>
      <c r="E13838" s="380" t="s">
        <v>776</v>
      </c>
      <c r="F13838" s="380" t="s">
        <v>1058</v>
      </c>
      <c r="G13838" s="380" t="s">
        <v>1267</v>
      </c>
      <c r="H13838" s="380" t="s">
        <v>771</v>
      </c>
      <c r="I13838" s="380" t="s">
        <v>788</v>
      </c>
      <c r="J13838" s="380" t="s">
        <v>773</v>
      </c>
      <c r="K13838" s="381">
        <v>0.0</v>
      </c>
      <c r="L13838" s="382">
        <v>1.0</v>
      </c>
    </row>
    <row r="13839">
      <c r="A13839" s="380" t="s">
        <v>14713</v>
      </c>
      <c r="B13839" s="380" t="str">
        <f>IFERROR(__xludf.DUMMYFUNCTION("""COMPUTED_VALUE"""),"Light Barrier Unit Ssmd Vander")</f>
        <v>Light Barrier Unit Ssmd Vander</v>
      </c>
      <c r="C13839" s="380" t="str">
        <f>IFERROR(__xludf.DUMMYFUNCTION("""COMPUTED_VALUE"""),"80000172")</f>
        <v>80000172</v>
      </c>
      <c r="D13839" s="380" t="s">
        <v>767</v>
      </c>
      <c r="E13839" s="380" t="s">
        <v>776</v>
      </c>
      <c r="F13839" s="380" t="s">
        <v>1058</v>
      </c>
      <c r="G13839" s="380" t="s">
        <v>1267</v>
      </c>
      <c r="H13839" s="380" t="s">
        <v>771</v>
      </c>
      <c r="I13839" s="380" t="s">
        <v>788</v>
      </c>
      <c r="J13839" s="380" t="s">
        <v>773</v>
      </c>
      <c r="K13839" s="381">
        <v>0.0</v>
      </c>
      <c r="L13839" s="382">
        <v>1.0</v>
      </c>
    </row>
    <row r="13840">
      <c r="A13840" s="380" t="s">
        <v>14714</v>
      </c>
      <c r="B13840" s="380" t="str">
        <f>IFERROR(__xludf.DUMMYFUNCTION("""COMPUTED_VALUE"""),"Temostato Digital Aire Acondic")</f>
        <v>Temostato Digital Aire Acondic</v>
      </c>
      <c r="C13840" s="380" t="str">
        <f>IFERROR(__xludf.DUMMYFUNCTION("""COMPUTED_VALUE"""),"80000173")</f>
        <v>80000173</v>
      </c>
      <c r="D13840" s="380" t="s">
        <v>767</v>
      </c>
      <c r="E13840" s="380" t="s">
        <v>776</v>
      </c>
      <c r="F13840" s="380" t="s">
        <v>777</v>
      </c>
      <c r="G13840" s="380" t="s">
        <v>1267</v>
      </c>
      <c r="H13840" s="380" t="s">
        <v>771</v>
      </c>
      <c r="I13840" s="380" t="s">
        <v>778</v>
      </c>
      <c r="J13840" s="380" t="s">
        <v>773</v>
      </c>
      <c r="K13840" s="381">
        <v>0.0</v>
      </c>
      <c r="L13840" s="382">
        <v>1.0</v>
      </c>
    </row>
    <row r="13841">
      <c r="A13841" s="380" t="s">
        <v>14715</v>
      </c>
      <c r="B13841" s="380" t="str">
        <f>IFERROR(__xludf.DUMMYFUNCTION("""COMPUTED_VALUE"""),"Guaya Plastificada 1/4""")</f>
        <v>Guaya Plastificada 1/4"</v>
      </c>
      <c r="C13841" s="380" t="str">
        <f>IFERROR(__xludf.DUMMYFUNCTION("""COMPUTED_VALUE"""),"80000174")</f>
        <v>80000174</v>
      </c>
      <c r="D13841" s="380" t="s">
        <v>767</v>
      </c>
      <c r="E13841" s="380" t="s">
        <v>776</v>
      </c>
      <c r="F13841" s="380" t="s">
        <v>777</v>
      </c>
      <c r="G13841" s="380" t="s">
        <v>1267</v>
      </c>
      <c r="H13841" s="380" t="s">
        <v>771</v>
      </c>
      <c r="I13841" s="380" t="s">
        <v>778</v>
      </c>
      <c r="J13841" s="380" t="s">
        <v>773</v>
      </c>
      <c r="K13841" s="381">
        <v>0.0</v>
      </c>
      <c r="L13841" s="382">
        <v>1.0</v>
      </c>
    </row>
    <row r="13842">
      <c r="A13842" s="380" t="s">
        <v>14716</v>
      </c>
      <c r="B13842" s="380" t="str">
        <f>IFERROR(__xludf.DUMMYFUNCTION("""COMPUTED_VALUE"""),"Tubo Fluorescente F17T8/Xlsp65 17 Wat")</f>
        <v>Tubo Fluorescente F17T8/Xlsp65 17 Wat</v>
      </c>
      <c r="C13842" s="380" t="str">
        <f>IFERROR(__xludf.DUMMYFUNCTION("""COMPUTED_VALUE"""),"80000175")</f>
        <v>80000175</v>
      </c>
      <c r="D13842" s="380" t="s">
        <v>767</v>
      </c>
      <c r="E13842" s="380" t="s">
        <v>776</v>
      </c>
      <c r="F13842" s="380" t="s">
        <v>777</v>
      </c>
      <c r="G13842" s="380" t="s">
        <v>1267</v>
      </c>
      <c r="H13842" s="380" t="s">
        <v>771</v>
      </c>
      <c r="I13842" s="380" t="s">
        <v>778</v>
      </c>
      <c r="J13842" s="380" t="s">
        <v>773</v>
      </c>
      <c r="K13842" s="381">
        <v>0.0</v>
      </c>
      <c r="L13842" s="382">
        <v>1.0</v>
      </c>
    </row>
    <row r="13843">
      <c r="A13843" s="380" t="s">
        <v>14717</v>
      </c>
      <c r="B13843" s="380" t="str">
        <f>IFERROR(__xludf.DUMMYFUNCTION("""COMPUTED_VALUE"""),"Tubo Fluorescente F32T8/Sp65/ 2 X 32 Wat")</f>
        <v>Tubo Fluorescente F32T8/Sp65/ 2 X 32 Wat</v>
      </c>
      <c r="C13843" s="380" t="str">
        <f>IFERROR(__xludf.DUMMYFUNCTION("""COMPUTED_VALUE"""),"80000176")</f>
        <v>80000176</v>
      </c>
      <c r="D13843" s="380" t="s">
        <v>767</v>
      </c>
      <c r="E13843" s="380" t="s">
        <v>776</v>
      </c>
      <c r="F13843" s="380" t="s">
        <v>777</v>
      </c>
      <c r="G13843" s="380" t="s">
        <v>1267</v>
      </c>
      <c r="H13843" s="380" t="s">
        <v>771</v>
      </c>
      <c r="I13843" s="380" t="s">
        <v>778</v>
      </c>
      <c r="J13843" s="380" t="s">
        <v>773</v>
      </c>
      <c r="K13843" s="381">
        <v>0.0</v>
      </c>
      <c r="L13843" s="382">
        <v>1.0</v>
      </c>
    </row>
    <row r="13844">
      <c r="A13844" s="380" t="s">
        <v>14718</v>
      </c>
      <c r="B13844" s="380" t="str">
        <f>IFERROR(__xludf.DUMMYFUNCTION("""COMPUTED_VALUE"""),"Juego Juntas Hidraulicas Itl")</f>
        <v>Juego Juntas Hidraulicas Itl</v>
      </c>
      <c r="C13844" s="380" t="str">
        <f>IFERROR(__xludf.DUMMYFUNCTION("""COMPUTED_VALUE"""),"80000177")</f>
        <v>80000177</v>
      </c>
      <c r="D13844" s="380" t="s">
        <v>767</v>
      </c>
      <c r="E13844" s="380" t="s">
        <v>776</v>
      </c>
      <c r="F13844" s="380" t="s">
        <v>976</v>
      </c>
      <c r="G13844" s="380" t="s">
        <v>1267</v>
      </c>
      <c r="H13844" s="380" t="s">
        <v>771</v>
      </c>
      <c r="I13844" s="380" t="s">
        <v>788</v>
      </c>
      <c r="J13844" s="380" t="s">
        <v>773</v>
      </c>
      <c r="K13844" s="381">
        <v>0.0</v>
      </c>
      <c r="L13844" s="382">
        <v>1.0</v>
      </c>
    </row>
    <row r="13845">
      <c r="A13845" s="380" t="s">
        <v>14719</v>
      </c>
      <c r="B13845" s="380" t="str">
        <f>IFERROR(__xludf.DUMMYFUNCTION("""COMPUTED_VALUE"""),"Perno Itl")</f>
        <v>Perno Itl</v>
      </c>
      <c r="C13845" s="380" t="str">
        <f>IFERROR(__xludf.DUMMYFUNCTION("""COMPUTED_VALUE"""),"80000178")</f>
        <v>80000178</v>
      </c>
      <c r="D13845" s="380" t="s">
        <v>767</v>
      </c>
      <c r="E13845" s="380" t="s">
        <v>776</v>
      </c>
      <c r="F13845" s="380" t="s">
        <v>976</v>
      </c>
      <c r="G13845" s="380" t="s">
        <v>1267</v>
      </c>
      <c r="H13845" s="380" t="s">
        <v>771</v>
      </c>
      <c r="I13845" s="380" t="s">
        <v>788</v>
      </c>
      <c r="J13845" s="380" t="s">
        <v>773</v>
      </c>
      <c r="K13845" s="381">
        <v>0.0</v>
      </c>
      <c r="L13845" s="382">
        <v>1.0</v>
      </c>
    </row>
    <row r="13846">
      <c r="A13846" s="380" t="s">
        <v>14720</v>
      </c>
      <c r="B13846" s="380" t="str">
        <f>IFERROR(__xludf.DUMMYFUNCTION("""COMPUTED_VALUE"""),"Rodillo Itl")</f>
        <v>Rodillo Itl</v>
      </c>
      <c r="C13846" s="380" t="str">
        <f>IFERROR(__xludf.DUMMYFUNCTION("""COMPUTED_VALUE"""),"80000179")</f>
        <v>80000179</v>
      </c>
      <c r="D13846" s="380" t="s">
        <v>767</v>
      </c>
      <c r="E13846" s="380" t="s">
        <v>776</v>
      </c>
      <c r="F13846" s="380" t="s">
        <v>976</v>
      </c>
      <c r="G13846" s="380" t="s">
        <v>1267</v>
      </c>
      <c r="H13846" s="380" t="s">
        <v>771</v>
      </c>
      <c r="I13846" s="380" t="s">
        <v>788</v>
      </c>
      <c r="J13846" s="380" t="s">
        <v>773</v>
      </c>
      <c r="K13846" s="381">
        <v>0.0</v>
      </c>
      <c r="L13846" s="382">
        <v>1.0</v>
      </c>
    </row>
    <row r="13847">
      <c r="A13847" s="380" t="s">
        <v>14721</v>
      </c>
      <c r="B13847" s="380" t="str">
        <f>IFERROR(__xludf.DUMMYFUNCTION("""COMPUTED_VALUE"""),"Piston Itl")</f>
        <v>Piston Itl</v>
      </c>
      <c r="C13847" s="380" t="str">
        <f>IFERROR(__xludf.DUMMYFUNCTION("""COMPUTED_VALUE"""),"80000180")</f>
        <v>80000180</v>
      </c>
      <c r="D13847" s="380" t="s">
        <v>767</v>
      </c>
      <c r="E13847" s="380" t="s">
        <v>776</v>
      </c>
      <c r="F13847" s="380" t="s">
        <v>976</v>
      </c>
      <c r="G13847" s="380" t="s">
        <v>1267</v>
      </c>
      <c r="H13847" s="380" t="s">
        <v>771</v>
      </c>
      <c r="I13847" s="380" t="s">
        <v>788</v>
      </c>
      <c r="J13847" s="380" t="s">
        <v>773</v>
      </c>
      <c r="K13847" s="381">
        <v>0.0</v>
      </c>
      <c r="L13847" s="382">
        <v>1.0</v>
      </c>
    </row>
    <row r="13848">
      <c r="A13848" s="380" t="s">
        <v>14722</v>
      </c>
      <c r="B13848" s="380" t="str">
        <f>IFERROR(__xludf.DUMMYFUNCTION("""COMPUTED_VALUE"""),"Piston Itl")</f>
        <v>Piston Itl</v>
      </c>
      <c r="C13848" s="380" t="str">
        <f>IFERROR(__xludf.DUMMYFUNCTION("""COMPUTED_VALUE"""),"80000181")</f>
        <v>80000181</v>
      </c>
      <c r="D13848" s="380" t="s">
        <v>767</v>
      </c>
      <c r="E13848" s="380" t="s">
        <v>776</v>
      </c>
      <c r="F13848" s="380" t="s">
        <v>976</v>
      </c>
      <c r="G13848" s="380" t="s">
        <v>1267</v>
      </c>
      <c r="H13848" s="380" t="s">
        <v>771</v>
      </c>
      <c r="I13848" s="380" t="s">
        <v>788</v>
      </c>
      <c r="J13848" s="380" t="s">
        <v>773</v>
      </c>
      <c r="K13848" s="381">
        <v>0.0</v>
      </c>
      <c r="L13848" s="382">
        <v>1.0</v>
      </c>
    </row>
    <row r="13849">
      <c r="A13849" s="380" t="s">
        <v>14723</v>
      </c>
      <c r="B13849" s="380" t="str">
        <f>IFERROR(__xludf.DUMMYFUNCTION("""COMPUTED_VALUE"""),"Electrovalvula Hidraulica Itl")</f>
        <v>Electrovalvula Hidraulica Itl</v>
      </c>
      <c r="C13849" s="380" t="str">
        <f>IFERROR(__xludf.DUMMYFUNCTION("""COMPUTED_VALUE"""),"80000182")</f>
        <v>80000182</v>
      </c>
      <c r="D13849" s="380" t="s">
        <v>767</v>
      </c>
      <c r="E13849" s="380" t="s">
        <v>776</v>
      </c>
      <c r="F13849" s="380" t="s">
        <v>976</v>
      </c>
      <c r="G13849" s="380" t="s">
        <v>1267</v>
      </c>
      <c r="H13849" s="380" t="s">
        <v>771</v>
      </c>
      <c r="I13849" s="380" t="s">
        <v>788</v>
      </c>
      <c r="J13849" s="380" t="s">
        <v>773</v>
      </c>
      <c r="K13849" s="381">
        <v>0.0</v>
      </c>
      <c r="L13849" s="382">
        <v>1.0</v>
      </c>
    </row>
    <row r="13850">
      <c r="A13850" s="380" t="s">
        <v>14724</v>
      </c>
      <c r="B13850" s="380" t="str">
        <f>IFERROR(__xludf.DUMMYFUNCTION("""COMPUTED_VALUE"""),"Valvula Venturi Hid Engrase It")</f>
        <v>Valvula Venturi Hid Engrase It</v>
      </c>
      <c r="C13850" s="380" t="str">
        <f>IFERROR(__xludf.DUMMYFUNCTION("""COMPUTED_VALUE"""),"80000183")</f>
        <v>80000183</v>
      </c>
      <c r="D13850" s="380" t="s">
        <v>767</v>
      </c>
      <c r="E13850" s="380" t="s">
        <v>776</v>
      </c>
      <c r="F13850" s="380" t="s">
        <v>1058</v>
      </c>
      <c r="G13850" s="380" t="s">
        <v>1267</v>
      </c>
      <c r="H13850" s="380" t="s">
        <v>771</v>
      </c>
      <c r="I13850" s="380" t="s">
        <v>788</v>
      </c>
      <c r="J13850" s="380" t="s">
        <v>773</v>
      </c>
      <c r="K13850" s="381">
        <v>0.0</v>
      </c>
      <c r="L13850" s="382">
        <v>1.0</v>
      </c>
    </row>
    <row r="13851">
      <c r="A13851" s="380" t="s">
        <v>14725</v>
      </c>
      <c r="B13851" s="380" t="str">
        <f>IFERROR(__xludf.DUMMYFUNCTION("""COMPUTED_VALUE"""),"Unidad Barrera Luminosa")</f>
        <v>Unidad Barrera Luminosa</v>
      </c>
      <c r="C13851" s="380" t="str">
        <f>IFERROR(__xludf.DUMMYFUNCTION("""COMPUTED_VALUE"""),"80000184")</f>
        <v>80000184</v>
      </c>
      <c r="D13851" s="380" t="s">
        <v>767</v>
      </c>
      <c r="E13851" s="380" t="s">
        <v>776</v>
      </c>
      <c r="F13851" s="380" t="s">
        <v>1058</v>
      </c>
      <c r="G13851" s="380" t="s">
        <v>1267</v>
      </c>
      <c r="H13851" s="380" t="s">
        <v>771</v>
      </c>
      <c r="I13851" s="380" t="s">
        <v>788</v>
      </c>
      <c r="J13851" s="380" t="s">
        <v>773</v>
      </c>
      <c r="K13851" s="381">
        <v>0.0</v>
      </c>
      <c r="L13851" s="382">
        <v>1.0</v>
      </c>
    </row>
    <row r="13852">
      <c r="A13852" s="380" t="s">
        <v>14726</v>
      </c>
      <c r="B13852" s="380" t="str">
        <f>IFERROR(__xludf.DUMMYFUNCTION("""COMPUTED_VALUE"""),"Patro Calibracion Camaras 7/2-")</f>
        <v>Patro Calibracion Camaras 7/2-</v>
      </c>
      <c r="C13852" s="380" t="str">
        <f>IFERROR(__xludf.DUMMYFUNCTION("""COMPUTED_VALUE"""),"80000185")</f>
        <v>80000185</v>
      </c>
      <c r="D13852" s="380" t="s">
        <v>767</v>
      </c>
      <c r="E13852" s="380" t="s">
        <v>776</v>
      </c>
      <c r="F13852" s="380" t="s">
        <v>1058</v>
      </c>
      <c r="G13852" s="380" t="s">
        <v>1267</v>
      </c>
      <c r="H13852" s="380" t="s">
        <v>771</v>
      </c>
      <c r="I13852" s="380" t="s">
        <v>788</v>
      </c>
      <c r="J13852" s="380" t="s">
        <v>773</v>
      </c>
      <c r="K13852" s="381">
        <v>0.0</v>
      </c>
      <c r="L13852" s="382">
        <v>1.0</v>
      </c>
    </row>
    <row r="13853">
      <c r="A13853" s="380" t="s">
        <v>14727</v>
      </c>
      <c r="B13853" s="380" t="str">
        <f>IFERROR(__xludf.DUMMYFUNCTION("""COMPUTED_VALUE"""),"Patro Calibracion Camaras 7/2-")</f>
        <v>Patro Calibracion Camaras 7/2-</v>
      </c>
      <c r="C13853" s="380" t="str">
        <f>IFERROR(__xludf.DUMMYFUNCTION("""COMPUTED_VALUE"""),"80000186")</f>
        <v>80000186</v>
      </c>
      <c r="D13853" s="380" t="s">
        <v>767</v>
      </c>
      <c r="E13853" s="380" t="s">
        <v>776</v>
      </c>
      <c r="F13853" s="380" t="s">
        <v>1058</v>
      </c>
      <c r="G13853" s="380" t="s">
        <v>1267</v>
      </c>
      <c r="H13853" s="380" t="s">
        <v>771</v>
      </c>
      <c r="I13853" s="380" t="s">
        <v>788</v>
      </c>
      <c r="J13853" s="380" t="s">
        <v>773</v>
      </c>
      <c r="K13853" s="381">
        <v>0.0</v>
      </c>
      <c r="L13853" s="382">
        <v>1.0</v>
      </c>
    </row>
    <row r="13854">
      <c r="A13854" s="380" t="s">
        <v>14728</v>
      </c>
      <c r="B13854" s="380" t="str">
        <f>IFERROR(__xludf.DUMMYFUNCTION("""COMPUTED_VALUE"""),"Camara Vicam 3S 8K F135 Blanco")</f>
        <v>Camara Vicam 3S 8K F135 Blanco</v>
      </c>
      <c r="C13854" s="380" t="str">
        <f>IFERROR(__xludf.DUMMYFUNCTION("""COMPUTED_VALUE"""),"80000187")</f>
        <v>80000187</v>
      </c>
      <c r="D13854" s="380" t="s">
        <v>767</v>
      </c>
      <c r="E13854" s="380" t="s">
        <v>776</v>
      </c>
      <c r="F13854" s="380" t="s">
        <v>1058</v>
      </c>
      <c r="G13854" s="380" t="s">
        <v>1267</v>
      </c>
      <c r="H13854" s="380" t="s">
        <v>771</v>
      </c>
      <c r="I13854" s="380" t="s">
        <v>788</v>
      </c>
      <c r="J13854" s="380" t="s">
        <v>773</v>
      </c>
      <c r="K13854" s="381">
        <v>0.0</v>
      </c>
      <c r="L13854" s="382">
        <v>1.0</v>
      </c>
    </row>
    <row r="13855">
      <c r="A13855" s="380" t="s">
        <v>14729</v>
      </c>
      <c r="B13855" s="380" t="str">
        <f>IFERROR(__xludf.DUMMYFUNCTION("""COMPUTED_VALUE"""),"Modulo Remoto Can-Io")</f>
        <v>Modulo Remoto Can-Io</v>
      </c>
      <c r="C13855" s="380" t="str">
        <f>IFERROR(__xludf.DUMMYFUNCTION("""COMPUTED_VALUE"""),"80000188")</f>
        <v>80000188</v>
      </c>
      <c r="D13855" s="380" t="s">
        <v>767</v>
      </c>
      <c r="E13855" s="380" t="s">
        <v>776</v>
      </c>
      <c r="F13855" s="380" t="s">
        <v>1058</v>
      </c>
      <c r="G13855" s="380" t="s">
        <v>1267</v>
      </c>
      <c r="H13855" s="380" t="s">
        <v>771</v>
      </c>
      <c r="I13855" s="380" t="s">
        <v>788</v>
      </c>
      <c r="J13855" s="380" t="s">
        <v>773</v>
      </c>
      <c r="K13855" s="381">
        <v>0.0</v>
      </c>
      <c r="L13855" s="382">
        <v>1.0</v>
      </c>
    </row>
    <row r="13856">
      <c r="A13856" s="380" t="s">
        <v>14730</v>
      </c>
      <c r="B13856" s="380" t="str">
        <f>IFERROR(__xludf.DUMMYFUNCTION("""COMPUTED_VALUE"""),"Cable Network Camaras 10M Plug")</f>
        <v>Cable Network Camaras 10M Plug</v>
      </c>
      <c r="C13856" s="380" t="str">
        <f>IFERROR(__xludf.DUMMYFUNCTION("""COMPUTED_VALUE"""),"80000189")</f>
        <v>80000189</v>
      </c>
      <c r="D13856" s="380" t="s">
        <v>767</v>
      </c>
      <c r="E13856" s="380" t="s">
        <v>776</v>
      </c>
      <c r="F13856" s="380" t="s">
        <v>1058</v>
      </c>
      <c r="G13856" s="380" t="s">
        <v>1267</v>
      </c>
      <c r="H13856" s="380" t="s">
        <v>771</v>
      </c>
      <c r="I13856" s="380" t="s">
        <v>788</v>
      </c>
      <c r="J13856" s="380" t="s">
        <v>773</v>
      </c>
      <c r="K13856" s="381">
        <v>0.0</v>
      </c>
      <c r="L13856" s="382">
        <v>1.0</v>
      </c>
    </row>
    <row r="13857">
      <c r="A13857" s="380" t="s">
        <v>14731</v>
      </c>
      <c r="B13857" s="380" t="str">
        <f>IFERROR(__xludf.DUMMYFUNCTION("""COMPUTED_VALUE"""),"Medidor Alturas Vidu Dim 3.X-P")</f>
        <v>Medidor Alturas Vidu Dim 3.X-P</v>
      </c>
      <c r="C13857" s="380" t="str">
        <f>IFERROR(__xludf.DUMMYFUNCTION("""COMPUTED_VALUE"""),"80000190")</f>
        <v>80000190</v>
      </c>
      <c r="D13857" s="380" t="s">
        <v>767</v>
      </c>
      <c r="E13857" s="380" t="s">
        <v>776</v>
      </c>
      <c r="F13857" s="380" t="s">
        <v>1058</v>
      </c>
      <c r="G13857" s="380" t="s">
        <v>1267</v>
      </c>
      <c r="H13857" s="380" t="s">
        <v>771</v>
      </c>
      <c r="I13857" s="380" t="s">
        <v>788</v>
      </c>
      <c r="J13857" s="380" t="s">
        <v>773</v>
      </c>
      <c r="K13857" s="381">
        <v>0.0</v>
      </c>
      <c r="L13857" s="382">
        <v>1.0</v>
      </c>
    </row>
    <row r="13858">
      <c r="A13858" s="380" t="s">
        <v>14732</v>
      </c>
      <c r="B13858" s="380" t="str">
        <f>IFERROR(__xludf.DUMMYFUNCTION("""COMPUTED_VALUE"""),"Volumetrico Volumec Hd V.2.5")</f>
        <v>Volumetrico Volumec Hd V.2.5</v>
      </c>
      <c r="C13858" s="380" t="str">
        <f>IFERROR(__xludf.DUMMYFUNCTION("""COMPUTED_VALUE"""),"80000191")</f>
        <v>80000191</v>
      </c>
      <c r="D13858" s="380" t="s">
        <v>767</v>
      </c>
      <c r="E13858" s="380" t="s">
        <v>776</v>
      </c>
      <c r="F13858" s="380" t="s">
        <v>1058</v>
      </c>
      <c r="G13858" s="380" t="s">
        <v>1267</v>
      </c>
      <c r="H13858" s="380" t="s">
        <v>771</v>
      </c>
      <c r="I13858" s="380" t="s">
        <v>788</v>
      </c>
      <c r="J13858" s="380" t="s">
        <v>773</v>
      </c>
      <c r="K13858" s="381">
        <v>0.0</v>
      </c>
      <c r="L13858" s="382">
        <v>1.0</v>
      </c>
    </row>
    <row r="13859">
      <c r="A13859" s="380" t="s">
        <v>14733</v>
      </c>
      <c r="B13859" s="380" t="str">
        <f>IFERROR(__xludf.DUMMYFUNCTION("""COMPUTED_VALUE"""),"Pasador Cadena Itl")</f>
        <v>Pasador Cadena Itl</v>
      </c>
      <c r="C13859" s="380" t="str">
        <f>IFERROR(__xludf.DUMMYFUNCTION("""COMPUTED_VALUE"""),"80000192")</f>
        <v>80000192</v>
      </c>
      <c r="D13859" s="380" t="s">
        <v>767</v>
      </c>
      <c r="E13859" s="380" t="s">
        <v>776</v>
      </c>
      <c r="F13859" s="380" t="s">
        <v>976</v>
      </c>
      <c r="G13859" s="380" t="s">
        <v>1267</v>
      </c>
      <c r="H13859" s="380" t="s">
        <v>771</v>
      </c>
      <c r="I13859" s="380" t="s">
        <v>788</v>
      </c>
      <c r="J13859" s="380" t="s">
        <v>773</v>
      </c>
      <c r="K13859" s="381">
        <v>0.0</v>
      </c>
      <c r="L13859" s="382">
        <v>1.0</v>
      </c>
    </row>
    <row r="13860">
      <c r="A13860" s="380" t="s">
        <v>14734</v>
      </c>
      <c r="B13860" s="380" t="str">
        <f>IFERROR(__xludf.DUMMYFUNCTION("""COMPUTED_VALUE"""),"Perno Arrastre Itl")</f>
        <v>Perno Arrastre Itl</v>
      </c>
      <c r="C13860" s="380" t="str">
        <f>IFERROR(__xludf.DUMMYFUNCTION("""COMPUTED_VALUE"""),"80000193")</f>
        <v>80000193</v>
      </c>
      <c r="D13860" s="380" t="s">
        <v>767</v>
      </c>
      <c r="E13860" s="380" t="s">
        <v>776</v>
      </c>
      <c r="F13860" s="380" t="s">
        <v>976</v>
      </c>
      <c r="G13860" s="380" t="s">
        <v>1267</v>
      </c>
      <c r="H13860" s="380" t="s">
        <v>771</v>
      </c>
      <c r="I13860" s="380" t="s">
        <v>788</v>
      </c>
      <c r="J13860" s="380" t="s">
        <v>773</v>
      </c>
      <c r="K13860" s="381">
        <v>0.0</v>
      </c>
      <c r="L13860" s="382">
        <v>1.0</v>
      </c>
    </row>
    <row r="13861">
      <c r="A13861" s="380" t="s">
        <v>14735</v>
      </c>
      <c r="B13861" s="380" t="str">
        <f>IFERROR(__xludf.DUMMYFUNCTION("""COMPUTED_VALUE"""),"Maneta Itl")</f>
        <v>Maneta Itl</v>
      </c>
      <c r="C13861" s="380" t="str">
        <f>IFERROR(__xludf.DUMMYFUNCTION("""COMPUTED_VALUE"""),"80000194")</f>
        <v>80000194</v>
      </c>
      <c r="D13861" s="380" t="s">
        <v>767</v>
      </c>
      <c r="E13861" s="380" t="s">
        <v>776</v>
      </c>
      <c r="F13861" s="380" t="s">
        <v>976</v>
      </c>
      <c r="G13861" s="380" t="s">
        <v>1267</v>
      </c>
      <c r="H13861" s="380" t="s">
        <v>771</v>
      </c>
      <c r="I13861" s="380" t="s">
        <v>788</v>
      </c>
      <c r="J13861" s="380" t="s">
        <v>773</v>
      </c>
      <c r="K13861" s="381">
        <v>0.0</v>
      </c>
      <c r="L13861" s="382">
        <v>1.0</v>
      </c>
    </row>
    <row r="13862">
      <c r="A13862" s="380" t="s">
        <v>14736</v>
      </c>
      <c r="B13862" s="380" t="str">
        <f>IFERROR(__xludf.DUMMYFUNCTION("""COMPUTED_VALUE"""),"Anel Itl")</f>
        <v>Anel Itl</v>
      </c>
      <c r="C13862" s="380" t="str">
        <f>IFERROR(__xludf.DUMMYFUNCTION("""COMPUTED_VALUE"""),"80000195")</f>
        <v>80000195</v>
      </c>
      <c r="D13862" s="380" t="s">
        <v>767</v>
      </c>
      <c r="E13862" s="380" t="s">
        <v>776</v>
      </c>
      <c r="F13862" s="380" t="s">
        <v>976</v>
      </c>
      <c r="G13862" s="380" t="s">
        <v>1267</v>
      </c>
      <c r="H13862" s="380" t="s">
        <v>771</v>
      </c>
      <c r="I13862" s="380" t="s">
        <v>788</v>
      </c>
      <c r="J13862" s="380" t="s">
        <v>773</v>
      </c>
      <c r="K13862" s="381">
        <v>0.0</v>
      </c>
      <c r="L13862" s="382">
        <v>1.0</v>
      </c>
    </row>
    <row r="13863">
      <c r="A13863" s="380" t="s">
        <v>14737</v>
      </c>
      <c r="B13863" s="380" t="str">
        <f>IFERROR(__xludf.DUMMYFUNCTION("""COMPUTED_VALUE"""),"Perno Itl")</f>
        <v>Perno Itl</v>
      </c>
      <c r="C13863" s="380" t="str">
        <f>IFERROR(__xludf.DUMMYFUNCTION("""COMPUTED_VALUE"""),"80000196")</f>
        <v>80000196</v>
      </c>
      <c r="D13863" s="380" t="s">
        <v>767</v>
      </c>
      <c r="E13863" s="380" t="s">
        <v>776</v>
      </c>
      <c r="F13863" s="380" t="s">
        <v>976</v>
      </c>
      <c r="G13863" s="380" t="s">
        <v>1267</v>
      </c>
      <c r="H13863" s="380" t="s">
        <v>771</v>
      </c>
      <c r="I13863" s="380" t="s">
        <v>788</v>
      </c>
      <c r="J13863" s="380" t="s">
        <v>773</v>
      </c>
      <c r="K13863" s="381">
        <v>0.0</v>
      </c>
      <c r="L13863" s="382">
        <v>1.0</v>
      </c>
    </row>
    <row r="13864">
      <c r="A13864" s="380" t="s">
        <v>14738</v>
      </c>
      <c r="B13864" s="380" t="str">
        <f>IFERROR(__xludf.DUMMYFUNCTION("""COMPUTED_VALUE"""),"Molla Itl")</f>
        <v>Molla Itl</v>
      </c>
      <c r="C13864" s="380" t="str">
        <f>IFERROR(__xludf.DUMMYFUNCTION("""COMPUTED_VALUE"""),"80000197")</f>
        <v>80000197</v>
      </c>
      <c r="D13864" s="380" t="s">
        <v>767</v>
      </c>
      <c r="E13864" s="380" t="s">
        <v>776</v>
      </c>
      <c r="F13864" s="380" t="s">
        <v>976</v>
      </c>
      <c r="G13864" s="380" t="s">
        <v>1267</v>
      </c>
      <c r="H13864" s="380" t="s">
        <v>771</v>
      </c>
      <c r="I13864" s="380" t="s">
        <v>788</v>
      </c>
      <c r="J13864" s="380" t="s">
        <v>773</v>
      </c>
      <c r="K13864" s="381">
        <v>0.0</v>
      </c>
      <c r="L13864" s="382">
        <v>1.0</v>
      </c>
    </row>
    <row r="13865">
      <c r="A13865" s="380" t="s">
        <v>14739</v>
      </c>
      <c r="B13865" s="380" t="str">
        <f>IFERROR(__xludf.DUMMYFUNCTION("""COMPUTED_VALUE"""),"Proteccion Itl")</f>
        <v>Proteccion Itl</v>
      </c>
      <c r="C13865" s="380" t="str">
        <f>IFERROR(__xludf.DUMMYFUNCTION("""COMPUTED_VALUE"""),"80000198")</f>
        <v>80000198</v>
      </c>
      <c r="D13865" s="380" t="s">
        <v>767</v>
      </c>
      <c r="E13865" s="380" t="s">
        <v>776</v>
      </c>
      <c r="F13865" s="380" t="s">
        <v>976</v>
      </c>
      <c r="G13865" s="380" t="s">
        <v>1267</v>
      </c>
      <c r="H13865" s="380" t="s">
        <v>771</v>
      </c>
      <c r="I13865" s="380" t="s">
        <v>788</v>
      </c>
      <c r="J13865" s="380" t="s">
        <v>773</v>
      </c>
      <c r="K13865" s="381">
        <v>0.0</v>
      </c>
      <c r="L13865" s="382">
        <v>1.0</v>
      </c>
    </row>
    <row r="13866">
      <c r="A13866" s="380" t="s">
        <v>14740</v>
      </c>
      <c r="B13866" s="380" t="str">
        <f>IFERROR(__xludf.DUMMYFUNCTION("""COMPUTED_VALUE"""),"Tornillo Especial Itl")</f>
        <v>Tornillo Especial Itl</v>
      </c>
      <c r="C13866" s="380" t="str">
        <f>IFERROR(__xludf.DUMMYFUNCTION("""COMPUTED_VALUE"""),"80000199")</f>
        <v>80000199</v>
      </c>
      <c r="D13866" s="380" t="s">
        <v>767</v>
      </c>
      <c r="E13866" s="380" t="s">
        <v>776</v>
      </c>
      <c r="F13866" s="380" t="s">
        <v>976</v>
      </c>
      <c r="G13866" s="380" t="s">
        <v>1267</v>
      </c>
      <c r="H13866" s="380" t="s">
        <v>771</v>
      </c>
      <c r="I13866" s="380" t="s">
        <v>788</v>
      </c>
      <c r="J13866" s="380" t="s">
        <v>773</v>
      </c>
      <c r="K13866" s="381">
        <v>0.0</v>
      </c>
      <c r="L13866" s="382">
        <v>1.0</v>
      </c>
    </row>
    <row r="13867">
      <c r="A13867" s="380" t="s">
        <v>14741</v>
      </c>
      <c r="B13867" s="380" t="str">
        <f>IFERROR(__xludf.DUMMYFUNCTION("""COMPUTED_VALUE"""),"Guia Itl")</f>
        <v>Guia Itl</v>
      </c>
      <c r="C13867" s="380" t="str">
        <f>IFERROR(__xludf.DUMMYFUNCTION("""COMPUTED_VALUE"""),"80000200")</f>
        <v>80000200</v>
      </c>
      <c r="D13867" s="380" t="s">
        <v>767</v>
      </c>
      <c r="E13867" s="380" t="s">
        <v>776</v>
      </c>
      <c r="F13867" s="380" t="s">
        <v>976</v>
      </c>
      <c r="G13867" s="380" t="s">
        <v>1267</v>
      </c>
      <c r="H13867" s="380" t="s">
        <v>771</v>
      </c>
      <c r="I13867" s="380" t="s">
        <v>788</v>
      </c>
      <c r="J13867" s="380" t="s">
        <v>773</v>
      </c>
      <c r="K13867" s="381">
        <v>0.0</v>
      </c>
      <c r="L13867" s="382">
        <v>1.0</v>
      </c>
    </row>
    <row r="13868">
      <c r="A13868" s="380" t="s">
        <v>14742</v>
      </c>
      <c r="B13868" s="380" t="str">
        <f>IFERROR(__xludf.DUMMYFUNCTION("""COMPUTED_VALUE"""),"Fijacion Itl")</f>
        <v>Fijacion Itl</v>
      </c>
      <c r="C13868" s="380" t="str">
        <f>IFERROR(__xludf.DUMMYFUNCTION("""COMPUTED_VALUE"""),"80000201")</f>
        <v>80000201</v>
      </c>
      <c r="D13868" s="380" t="s">
        <v>767</v>
      </c>
      <c r="E13868" s="380" t="s">
        <v>776</v>
      </c>
      <c r="F13868" s="380" t="s">
        <v>976</v>
      </c>
      <c r="G13868" s="380" t="s">
        <v>1267</v>
      </c>
      <c r="H13868" s="380" t="s">
        <v>771</v>
      </c>
      <c r="I13868" s="380" t="s">
        <v>788</v>
      </c>
      <c r="J13868" s="380" t="s">
        <v>773</v>
      </c>
      <c r="K13868" s="381">
        <v>0.0</v>
      </c>
      <c r="L13868" s="382">
        <v>1.0</v>
      </c>
    </row>
    <row r="13869">
      <c r="A13869" s="380" t="s">
        <v>14743</v>
      </c>
      <c r="B13869" s="380" t="str">
        <f>IFERROR(__xludf.DUMMYFUNCTION("""COMPUTED_VALUE"""),"Pasador Itl")</f>
        <v>Pasador Itl</v>
      </c>
      <c r="C13869" s="380" t="str">
        <f>IFERROR(__xludf.DUMMYFUNCTION("""COMPUTED_VALUE"""),"80000202")</f>
        <v>80000202</v>
      </c>
      <c r="D13869" s="380" t="s">
        <v>767</v>
      </c>
      <c r="E13869" s="380" t="s">
        <v>776</v>
      </c>
      <c r="F13869" s="380" t="s">
        <v>976</v>
      </c>
      <c r="G13869" s="380" t="s">
        <v>1267</v>
      </c>
      <c r="H13869" s="380" t="s">
        <v>771</v>
      </c>
      <c r="I13869" s="380" t="s">
        <v>788</v>
      </c>
      <c r="J13869" s="380" t="s">
        <v>773</v>
      </c>
      <c r="K13869" s="381">
        <v>0.0</v>
      </c>
      <c r="L13869" s="382">
        <v>1.0</v>
      </c>
    </row>
    <row r="13870">
      <c r="A13870" s="380" t="s">
        <v>14744</v>
      </c>
      <c r="B13870" s="380" t="str">
        <f>IFERROR(__xludf.DUMMYFUNCTION("""COMPUTED_VALUE"""),"Seguro Itl")</f>
        <v>Seguro Itl</v>
      </c>
      <c r="C13870" s="380" t="str">
        <f>IFERROR(__xludf.DUMMYFUNCTION("""COMPUTED_VALUE"""),"80000203")</f>
        <v>80000203</v>
      </c>
      <c r="D13870" s="380" t="s">
        <v>767</v>
      </c>
      <c r="E13870" s="380" t="s">
        <v>776</v>
      </c>
      <c r="F13870" s="380" t="s">
        <v>976</v>
      </c>
      <c r="G13870" s="380" t="s">
        <v>1267</v>
      </c>
      <c r="H13870" s="380" t="s">
        <v>771</v>
      </c>
      <c r="I13870" s="380" t="s">
        <v>788</v>
      </c>
      <c r="J13870" s="380" t="s">
        <v>773</v>
      </c>
      <c r="K13870" s="381">
        <v>0.0</v>
      </c>
      <c r="L13870" s="382">
        <v>1.0</v>
      </c>
    </row>
    <row r="13871">
      <c r="A13871" s="380" t="s">
        <v>14745</v>
      </c>
      <c r="B13871" s="380" t="str">
        <f>IFERROR(__xludf.DUMMYFUNCTION("""COMPUTED_VALUE"""),"Guia Itl")</f>
        <v>Guia Itl</v>
      </c>
      <c r="C13871" s="380" t="str">
        <f>IFERROR(__xludf.DUMMYFUNCTION("""COMPUTED_VALUE"""),"80000204")</f>
        <v>80000204</v>
      </c>
      <c r="D13871" s="380" t="s">
        <v>767</v>
      </c>
      <c r="E13871" s="380" t="s">
        <v>776</v>
      </c>
      <c r="F13871" s="380" t="s">
        <v>976</v>
      </c>
      <c r="G13871" s="380" t="s">
        <v>1267</v>
      </c>
      <c r="H13871" s="380" t="s">
        <v>771</v>
      </c>
      <c r="I13871" s="380" t="s">
        <v>788</v>
      </c>
      <c r="J13871" s="380" t="s">
        <v>773</v>
      </c>
      <c r="K13871" s="381">
        <v>0.0</v>
      </c>
      <c r="L13871" s="382">
        <v>1.0</v>
      </c>
    </row>
    <row r="13872">
      <c r="A13872" s="380" t="s">
        <v>14746</v>
      </c>
      <c r="B13872" s="380" t="str">
        <f>IFERROR(__xludf.DUMMYFUNCTION("""COMPUTED_VALUE"""),"Soporte Bomba Engrase Itl")</f>
        <v>Soporte Bomba Engrase Itl</v>
      </c>
      <c r="C13872" s="380" t="str">
        <f>IFERROR(__xludf.DUMMYFUNCTION("""COMPUTED_VALUE"""),"80000205")</f>
        <v>80000205</v>
      </c>
      <c r="D13872" s="380" t="s">
        <v>767</v>
      </c>
      <c r="E13872" s="380" t="s">
        <v>776</v>
      </c>
      <c r="F13872" s="380" t="s">
        <v>976</v>
      </c>
      <c r="G13872" s="380" t="s">
        <v>1267</v>
      </c>
      <c r="H13872" s="380" t="s">
        <v>771</v>
      </c>
      <c r="I13872" s="380" t="s">
        <v>788</v>
      </c>
      <c r="J13872" s="380" t="s">
        <v>773</v>
      </c>
      <c r="K13872" s="381">
        <v>0.0</v>
      </c>
      <c r="L13872" s="382">
        <v>1.0</v>
      </c>
    </row>
    <row r="13873">
      <c r="A13873" s="380" t="s">
        <v>14747</v>
      </c>
      <c r="B13873" s="380" t="str">
        <f>IFERROR(__xludf.DUMMYFUNCTION("""COMPUTED_VALUE"""),"Rueda Itl")</f>
        <v>Rueda Itl</v>
      </c>
      <c r="C13873" s="380" t="str">
        <f>IFERROR(__xludf.DUMMYFUNCTION("""COMPUTED_VALUE"""),"80000206")</f>
        <v>80000206</v>
      </c>
      <c r="D13873" s="380" t="s">
        <v>767</v>
      </c>
      <c r="E13873" s="380" t="s">
        <v>776</v>
      </c>
      <c r="F13873" s="380" t="s">
        <v>976</v>
      </c>
      <c r="G13873" s="380" t="s">
        <v>1267</v>
      </c>
      <c r="H13873" s="380" t="s">
        <v>771</v>
      </c>
      <c r="I13873" s="380" t="s">
        <v>788</v>
      </c>
      <c r="J13873" s="380" t="s">
        <v>773</v>
      </c>
      <c r="K13873" s="381">
        <v>0.0</v>
      </c>
      <c r="L13873" s="382">
        <v>1.0</v>
      </c>
    </row>
    <row r="13874">
      <c r="A13874" s="380" t="s">
        <v>14748</v>
      </c>
      <c r="B13874" s="380" t="str">
        <f>IFERROR(__xludf.DUMMYFUNCTION("""COMPUTED_VALUE"""),"Pulsador Rojo Be")</f>
        <v>Pulsador Rojo Be</v>
      </c>
      <c r="C13874" s="380" t="str">
        <f>IFERROR(__xludf.DUMMYFUNCTION("""COMPUTED_VALUE"""),"80000207")</f>
        <v>80000207</v>
      </c>
      <c r="D13874" s="380" t="s">
        <v>767</v>
      </c>
      <c r="E13874" s="380" t="s">
        <v>776</v>
      </c>
      <c r="F13874" s="380" t="s">
        <v>1058</v>
      </c>
      <c r="G13874" s="380" t="s">
        <v>1267</v>
      </c>
      <c r="H13874" s="380" t="s">
        <v>771</v>
      </c>
      <c r="I13874" s="380" t="s">
        <v>788</v>
      </c>
      <c r="J13874" s="380" t="s">
        <v>773</v>
      </c>
      <c r="K13874" s="381">
        <v>0.0</v>
      </c>
      <c r="L13874" s="382">
        <v>1.0</v>
      </c>
    </row>
    <row r="13875">
      <c r="A13875" s="380" t="s">
        <v>14749</v>
      </c>
      <c r="B13875" s="380" t="str">
        <f>IFERROR(__xludf.DUMMYFUNCTION("""COMPUTED_VALUE"""),"Testigo Pulsador Verde 24V Be")</f>
        <v>Testigo Pulsador Verde 24V Be</v>
      </c>
      <c r="C13875" s="380" t="str">
        <f>IFERROR(__xludf.DUMMYFUNCTION("""COMPUTED_VALUE"""),"80000208")</f>
        <v>80000208</v>
      </c>
      <c r="D13875" s="380" t="s">
        <v>767</v>
      </c>
      <c r="E13875" s="380" t="s">
        <v>776</v>
      </c>
      <c r="F13875" s="380" t="s">
        <v>1058</v>
      </c>
      <c r="G13875" s="380" t="s">
        <v>1267</v>
      </c>
      <c r="H13875" s="380" t="s">
        <v>771</v>
      </c>
      <c r="I13875" s="380" t="s">
        <v>788</v>
      </c>
      <c r="J13875" s="380" t="s">
        <v>773</v>
      </c>
      <c r="K13875" s="381">
        <v>0.0</v>
      </c>
      <c r="L13875" s="382">
        <v>1.0</v>
      </c>
    </row>
    <row r="13876">
      <c r="A13876" s="380" t="s">
        <v>14750</v>
      </c>
      <c r="B13876" s="380" t="str">
        <f>IFERROR(__xludf.DUMMYFUNCTION("""COMPUTED_VALUE"""),"Scanner Codigo Barras Resoluci")</f>
        <v>Scanner Codigo Barras Resoluci</v>
      </c>
      <c r="C13876" s="380" t="str">
        <f>IFERROR(__xludf.DUMMYFUNCTION("""COMPUTED_VALUE"""),"80000209")</f>
        <v>80000209</v>
      </c>
      <c r="D13876" s="380" t="s">
        <v>767</v>
      </c>
      <c r="E13876" s="380" t="s">
        <v>776</v>
      </c>
      <c r="F13876" s="380" t="s">
        <v>1058</v>
      </c>
      <c r="G13876" s="380" t="s">
        <v>1267</v>
      </c>
      <c r="H13876" s="380" t="s">
        <v>771</v>
      </c>
      <c r="I13876" s="380" t="s">
        <v>788</v>
      </c>
      <c r="J13876" s="380" t="s">
        <v>773</v>
      </c>
      <c r="K13876" s="381">
        <v>0.0</v>
      </c>
      <c r="L13876" s="382">
        <v>1.0</v>
      </c>
    </row>
    <row r="13877">
      <c r="A13877" s="380" t="s">
        <v>14751</v>
      </c>
      <c r="B13877" s="380" t="str">
        <f>IFERROR(__xludf.DUMMYFUNCTION("""COMPUTED_VALUE"""),"Controlador Scanner Sc5000-100")</f>
        <v>Controlador Scanner Sc5000-100</v>
      </c>
      <c r="C13877" s="380" t="str">
        <f>IFERROR(__xludf.DUMMYFUNCTION("""COMPUTED_VALUE"""),"80000210")</f>
        <v>80000210</v>
      </c>
      <c r="D13877" s="380" t="s">
        <v>767</v>
      </c>
      <c r="E13877" s="380" t="s">
        <v>776</v>
      </c>
      <c r="F13877" s="380" t="s">
        <v>1058</v>
      </c>
      <c r="G13877" s="380" t="s">
        <v>1267</v>
      </c>
      <c r="H13877" s="380" t="s">
        <v>771</v>
      </c>
      <c r="I13877" s="380" t="s">
        <v>788</v>
      </c>
      <c r="J13877" s="380" t="s">
        <v>773</v>
      </c>
      <c r="K13877" s="381">
        <v>0.0</v>
      </c>
      <c r="L13877" s="382">
        <v>1.0</v>
      </c>
    </row>
    <row r="13878">
      <c r="A13878" s="380" t="s">
        <v>14752</v>
      </c>
      <c r="B13878" s="380" t="str">
        <f>IFERROR(__xludf.DUMMYFUNCTION("""COMPUTED_VALUE"""),"Fuente Poder Scanner 110/230Va")</f>
        <v>Fuente Poder Scanner 110/230Va</v>
      </c>
      <c r="C13878" s="380" t="str">
        <f>IFERROR(__xludf.DUMMYFUNCTION("""COMPUTED_VALUE"""),"80000211")</f>
        <v>80000211</v>
      </c>
      <c r="D13878" s="380" t="s">
        <v>767</v>
      </c>
      <c r="E13878" s="380" t="s">
        <v>776</v>
      </c>
      <c r="F13878" s="380" t="s">
        <v>1058</v>
      </c>
      <c r="G13878" s="380" t="s">
        <v>1267</v>
      </c>
      <c r="H13878" s="380" t="s">
        <v>771</v>
      </c>
      <c r="I13878" s="380" t="s">
        <v>788</v>
      </c>
      <c r="J13878" s="380" t="s">
        <v>773</v>
      </c>
      <c r="K13878" s="381">
        <v>0.0</v>
      </c>
      <c r="L13878" s="382">
        <v>1.0</v>
      </c>
    </row>
    <row r="13879">
      <c r="A13879" s="380" t="s">
        <v>14753</v>
      </c>
      <c r="B13879" s="380" t="str">
        <f>IFERROR(__xludf.DUMMYFUNCTION("""COMPUTED_VALUE"""),"Cable Potencia As-I M12 Recto-")</f>
        <v>Cable Potencia As-I M12 Recto-</v>
      </c>
      <c r="C13879" s="380" t="str">
        <f>IFERROR(__xludf.DUMMYFUNCTION("""COMPUTED_VALUE"""),"80000212")</f>
        <v>80000212</v>
      </c>
      <c r="D13879" s="380" t="s">
        <v>767</v>
      </c>
      <c r="E13879" s="380" t="s">
        <v>776</v>
      </c>
      <c r="F13879" s="380" t="s">
        <v>1058</v>
      </c>
      <c r="G13879" s="380" t="s">
        <v>1267</v>
      </c>
      <c r="H13879" s="380" t="s">
        <v>771</v>
      </c>
      <c r="I13879" s="380" t="s">
        <v>788</v>
      </c>
      <c r="J13879" s="380" t="s">
        <v>773</v>
      </c>
      <c r="K13879" s="381">
        <v>0.0</v>
      </c>
      <c r="L13879" s="382">
        <v>1.0</v>
      </c>
    </row>
    <row r="13880">
      <c r="A13880" s="380" t="s">
        <v>14754</v>
      </c>
      <c r="B13880" s="380" t="str">
        <f>IFERROR(__xludf.DUMMYFUNCTION("""COMPUTED_VALUE"""),"Cable Ethernet M12-M12 3Mt Rec")</f>
        <v>Cable Ethernet M12-M12 3Mt Rec</v>
      </c>
      <c r="C13880" s="380" t="str">
        <f>IFERROR(__xludf.DUMMYFUNCTION("""COMPUTED_VALUE"""),"80000213")</f>
        <v>80000213</v>
      </c>
      <c r="D13880" s="380" t="s">
        <v>767</v>
      </c>
      <c r="E13880" s="380" t="s">
        <v>776</v>
      </c>
      <c r="F13880" s="380" t="s">
        <v>1058</v>
      </c>
      <c r="G13880" s="380" t="s">
        <v>1267</v>
      </c>
      <c r="H13880" s="380" t="s">
        <v>771</v>
      </c>
      <c r="I13880" s="380" t="s">
        <v>788</v>
      </c>
      <c r="J13880" s="380" t="s">
        <v>773</v>
      </c>
      <c r="K13880" s="381">
        <v>0.0</v>
      </c>
      <c r="L13880" s="382">
        <v>1.0</v>
      </c>
    </row>
    <row r="13881">
      <c r="A13881" s="380" t="s">
        <v>14755</v>
      </c>
      <c r="B13881" s="380" t="str">
        <f>IFERROR(__xludf.DUMMYFUNCTION("""COMPUTED_VALUE"""),"Cable Ethernet M12-M12 5Mt Cod")</f>
        <v>Cable Ethernet M12-M12 5Mt Cod</v>
      </c>
      <c r="C13881" s="380" t="str">
        <f>IFERROR(__xludf.DUMMYFUNCTION("""COMPUTED_VALUE"""),"80000214")</f>
        <v>80000214</v>
      </c>
      <c r="D13881" s="380" t="s">
        <v>767</v>
      </c>
      <c r="E13881" s="380" t="s">
        <v>776</v>
      </c>
      <c r="F13881" s="380" t="s">
        <v>1058</v>
      </c>
      <c r="G13881" s="380" t="s">
        <v>1267</v>
      </c>
      <c r="H13881" s="380" t="s">
        <v>771</v>
      </c>
      <c r="I13881" s="380" t="s">
        <v>788</v>
      </c>
      <c r="J13881" s="380" t="s">
        <v>773</v>
      </c>
      <c r="K13881" s="381">
        <v>0.0</v>
      </c>
      <c r="L13881" s="382">
        <v>1.0</v>
      </c>
    </row>
    <row r="13882">
      <c r="A13882" s="380" t="s">
        <v>14756</v>
      </c>
      <c r="B13882" s="380" t="str">
        <f>IFERROR(__xludf.DUMMYFUNCTION("""COMPUTED_VALUE"""),"Cable Ethernet M12-Rj45 5Mt Le")</f>
        <v>Cable Ethernet M12-Rj45 5Mt Le</v>
      </c>
      <c r="C13882" s="380" t="str">
        <f>IFERROR(__xludf.DUMMYFUNCTION("""COMPUTED_VALUE"""),"80000215")</f>
        <v>80000215</v>
      </c>
      <c r="D13882" s="380" t="s">
        <v>767</v>
      </c>
      <c r="E13882" s="380" t="s">
        <v>776</v>
      </c>
      <c r="F13882" s="380" t="s">
        <v>1058</v>
      </c>
      <c r="G13882" s="380" t="s">
        <v>1267</v>
      </c>
      <c r="H13882" s="380" t="s">
        <v>771</v>
      </c>
      <c r="I13882" s="380" t="s">
        <v>788</v>
      </c>
      <c r="J13882" s="380" t="s">
        <v>773</v>
      </c>
      <c r="K13882" s="381">
        <v>0.0</v>
      </c>
      <c r="L13882" s="382">
        <v>1.0</v>
      </c>
    </row>
    <row r="13883">
      <c r="A13883" s="380" t="s">
        <v>14757</v>
      </c>
      <c r="B13883" s="380" t="str">
        <f>IFERROR(__xludf.DUMMYFUNCTION("""COMPUTED_VALUE"""),"Scanner Codigo Barras Stnd")</f>
        <v>Scanner Codigo Barras Stnd</v>
      </c>
      <c r="C13883" s="380" t="str">
        <f>IFERROR(__xludf.DUMMYFUNCTION("""COMPUTED_VALUE"""),"80000216")</f>
        <v>80000216</v>
      </c>
      <c r="D13883" s="380" t="s">
        <v>767</v>
      </c>
      <c r="E13883" s="380" t="s">
        <v>776</v>
      </c>
      <c r="F13883" s="380" t="s">
        <v>1058</v>
      </c>
      <c r="G13883" s="380" t="s">
        <v>1267</v>
      </c>
      <c r="H13883" s="380" t="s">
        <v>771</v>
      </c>
      <c r="I13883" s="380" t="s">
        <v>788</v>
      </c>
      <c r="J13883" s="380" t="s">
        <v>773</v>
      </c>
      <c r="K13883" s="381">
        <v>0.0</v>
      </c>
      <c r="L13883" s="382">
        <v>1.0</v>
      </c>
    </row>
    <row r="13884">
      <c r="A13884" s="380" t="s">
        <v>14758</v>
      </c>
      <c r="B13884" s="380" t="str">
        <f>IFERROR(__xludf.DUMMYFUNCTION("""COMPUTED_VALUE"""),"Kit Encoder Pnp 250Ppr+M12")</f>
        <v>Kit Encoder Pnp 250Ppr+M12</v>
      </c>
      <c r="C13884" s="380" t="str">
        <f>IFERROR(__xludf.DUMMYFUNCTION("""COMPUTED_VALUE"""),"80000217")</f>
        <v>80000217</v>
      </c>
      <c r="D13884" s="380" t="s">
        <v>767</v>
      </c>
      <c r="E13884" s="380" t="s">
        <v>776</v>
      </c>
      <c r="F13884" s="380" t="s">
        <v>1058</v>
      </c>
      <c r="G13884" s="380" t="s">
        <v>1267</v>
      </c>
      <c r="H13884" s="380" t="s">
        <v>771</v>
      </c>
      <c r="I13884" s="380" t="s">
        <v>788</v>
      </c>
      <c r="J13884" s="380" t="s">
        <v>773</v>
      </c>
      <c r="K13884" s="381">
        <v>0.0</v>
      </c>
      <c r="L13884" s="382">
        <v>1.0</v>
      </c>
    </row>
    <row r="13885">
      <c r="A13885" s="380" t="s">
        <v>14759</v>
      </c>
      <c r="B13885" s="380" t="str">
        <f>IFERROR(__xludf.DUMMYFUNCTION("""COMPUTED_VALUE"""),"Pistola 1D/2D Ethernet")</f>
        <v>Pistola 1D/2D Ethernet</v>
      </c>
      <c r="C13885" s="380" t="str">
        <f>IFERROR(__xludf.DUMMYFUNCTION("""COMPUTED_VALUE"""),"80000218")</f>
        <v>80000218</v>
      </c>
      <c r="D13885" s="380" t="s">
        <v>767</v>
      </c>
      <c r="E13885" s="380" t="s">
        <v>776</v>
      </c>
      <c r="F13885" s="380" t="s">
        <v>976</v>
      </c>
      <c r="G13885" s="380" t="s">
        <v>1267</v>
      </c>
      <c r="H13885" s="380" t="s">
        <v>771</v>
      </c>
      <c r="I13885" s="380" t="s">
        <v>788</v>
      </c>
      <c r="J13885" s="380" t="s">
        <v>773</v>
      </c>
      <c r="K13885" s="381">
        <v>0.0</v>
      </c>
      <c r="L13885" s="382">
        <v>1.0</v>
      </c>
    </row>
    <row r="13886">
      <c r="A13886" s="380" t="s">
        <v>14760</v>
      </c>
      <c r="B13886" s="380" t="str">
        <f>IFERROR(__xludf.DUMMYFUNCTION("""COMPUTED_VALUE"""),"Cadena Transmision Itl")</f>
        <v>Cadena Transmision Itl</v>
      </c>
      <c r="C13886" s="380" t="str">
        <f>IFERROR(__xludf.DUMMYFUNCTION("""COMPUTED_VALUE"""),"80000219")</f>
        <v>80000219</v>
      </c>
      <c r="D13886" s="380" t="s">
        <v>767</v>
      </c>
      <c r="E13886" s="380" t="s">
        <v>776</v>
      </c>
      <c r="F13886" s="380" t="s">
        <v>976</v>
      </c>
      <c r="G13886" s="380" t="s">
        <v>1267</v>
      </c>
      <c r="H13886" s="380" t="s">
        <v>771</v>
      </c>
      <c r="I13886" s="380" t="s">
        <v>788</v>
      </c>
      <c r="J13886" s="380" t="s">
        <v>773</v>
      </c>
      <c r="K13886" s="381">
        <v>0.0</v>
      </c>
      <c r="L13886" s="382">
        <v>1.0</v>
      </c>
    </row>
    <row r="13887">
      <c r="A13887" s="380" t="s">
        <v>14761</v>
      </c>
      <c r="B13887" s="380" t="str">
        <f>IFERROR(__xludf.DUMMYFUNCTION("""COMPUTED_VALUE"""),"Soporte Transmision Itl")</f>
        <v>Soporte Transmision Itl</v>
      </c>
      <c r="C13887" s="380" t="str">
        <f>IFERROR(__xludf.DUMMYFUNCTION("""COMPUTED_VALUE"""),"80000220")</f>
        <v>80000220</v>
      </c>
      <c r="D13887" s="380" t="s">
        <v>767</v>
      </c>
      <c r="E13887" s="380" t="s">
        <v>776</v>
      </c>
      <c r="F13887" s="380" t="s">
        <v>976</v>
      </c>
      <c r="G13887" s="380" t="s">
        <v>1267</v>
      </c>
      <c r="H13887" s="380" t="s">
        <v>771</v>
      </c>
      <c r="I13887" s="380" t="s">
        <v>788</v>
      </c>
      <c r="J13887" s="380" t="s">
        <v>773</v>
      </c>
      <c r="K13887" s="381">
        <v>0.0</v>
      </c>
      <c r="L13887" s="382">
        <v>1.0</v>
      </c>
    </row>
    <row r="13888">
      <c r="A13888" s="380" t="s">
        <v>14762</v>
      </c>
      <c r="B13888" s="380" t="str">
        <f>IFERROR(__xludf.DUMMYFUNCTION("""COMPUTED_VALUE"""),"Soporte Proteccion Itl")</f>
        <v>Soporte Proteccion Itl</v>
      </c>
      <c r="C13888" s="380" t="str">
        <f>IFERROR(__xludf.DUMMYFUNCTION("""COMPUTED_VALUE"""),"80000221")</f>
        <v>80000221</v>
      </c>
      <c r="D13888" s="380" t="s">
        <v>767</v>
      </c>
      <c r="E13888" s="380" t="s">
        <v>776</v>
      </c>
      <c r="F13888" s="380" t="s">
        <v>976</v>
      </c>
      <c r="G13888" s="380" t="s">
        <v>1267</v>
      </c>
      <c r="H13888" s="380" t="s">
        <v>771</v>
      </c>
      <c r="I13888" s="380" t="s">
        <v>788</v>
      </c>
      <c r="J13888" s="380" t="s">
        <v>773</v>
      </c>
      <c r="K13888" s="381">
        <v>0.0</v>
      </c>
      <c r="L13888" s="382">
        <v>1.0</v>
      </c>
    </row>
    <row r="13889">
      <c r="A13889" s="380" t="s">
        <v>14763</v>
      </c>
      <c r="B13889" s="380" t="str">
        <f>IFERROR(__xludf.DUMMYFUNCTION("""COMPUTED_VALUE"""),"Cortacircuito Automatico 5Sl65")</f>
        <v>Cortacircuito Automatico 5Sl65</v>
      </c>
      <c r="C13889" s="380" t="str">
        <f>IFERROR(__xludf.DUMMYFUNCTION("""COMPUTED_VALUE"""),"80000222")</f>
        <v>80000222</v>
      </c>
      <c r="D13889" s="380" t="s">
        <v>767</v>
      </c>
      <c r="E13889" s="380" t="s">
        <v>776</v>
      </c>
      <c r="F13889" s="380" t="s">
        <v>1058</v>
      </c>
      <c r="G13889" s="380" t="s">
        <v>1267</v>
      </c>
      <c r="H13889" s="380" t="s">
        <v>771</v>
      </c>
      <c r="I13889" s="380" t="s">
        <v>788</v>
      </c>
      <c r="J13889" s="380" t="s">
        <v>773</v>
      </c>
      <c r="K13889" s="381">
        <v>0.0</v>
      </c>
      <c r="L13889" s="382">
        <v>1.0</v>
      </c>
    </row>
    <row r="13890">
      <c r="A13890" s="380" t="s">
        <v>14764</v>
      </c>
      <c r="B13890" s="380" t="str">
        <f>IFERROR(__xludf.DUMMYFUNCTION("""COMPUTED_VALUE"""),"Plc Logo Siemens Be")</f>
        <v>Plc Logo Siemens Be</v>
      </c>
      <c r="C13890" s="380" t="str">
        <f>IFERROR(__xludf.DUMMYFUNCTION("""COMPUTED_VALUE"""),"80000223")</f>
        <v>80000223</v>
      </c>
      <c r="D13890" s="380" t="s">
        <v>767</v>
      </c>
      <c r="E13890" s="380" t="s">
        <v>776</v>
      </c>
      <c r="F13890" s="380" t="s">
        <v>1058</v>
      </c>
      <c r="G13890" s="380" t="s">
        <v>1267</v>
      </c>
      <c r="H13890" s="380" t="s">
        <v>771</v>
      </c>
      <c r="I13890" s="380" t="s">
        <v>788</v>
      </c>
      <c r="J13890" s="380" t="s">
        <v>773</v>
      </c>
      <c r="K13890" s="381">
        <v>0.0</v>
      </c>
      <c r="L13890" s="382">
        <v>1.0</v>
      </c>
    </row>
    <row r="13891">
      <c r="A13891" s="380" t="s">
        <v>14765</v>
      </c>
      <c r="B13891" s="380" t="str">
        <f>IFERROR(__xludf.DUMMYFUNCTION("""COMPUTED_VALUE"""),"Modulo Extension Plc Logo Siem")</f>
        <v>Modulo Extension Plc Logo Siem</v>
      </c>
      <c r="C13891" s="380" t="str">
        <f>IFERROR(__xludf.DUMMYFUNCTION("""COMPUTED_VALUE"""),"80000224")</f>
        <v>80000224</v>
      </c>
      <c r="D13891" s="380" t="s">
        <v>767</v>
      </c>
      <c r="E13891" s="380" t="s">
        <v>776</v>
      </c>
      <c r="F13891" s="380" t="s">
        <v>1058</v>
      </c>
      <c r="G13891" s="380" t="s">
        <v>1267</v>
      </c>
      <c r="H13891" s="380" t="s">
        <v>771</v>
      </c>
      <c r="I13891" s="380" t="s">
        <v>788</v>
      </c>
      <c r="J13891" s="380" t="s">
        <v>773</v>
      </c>
      <c r="K13891" s="381">
        <v>0.0</v>
      </c>
      <c r="L13891" s="382">
        <v>1.0</v>
      </c>
    </row>
    <row r="13892">
      <c r="A13892" s="380" t="s">
        <v>14766</v>
      </c>
      <c r="B13892" s="380" t="str">
        <f>IFERROR(__xludf.DUMMYFUNCTION("""COMPUTED_VALUE"""),"Cortacircuito Automatico 5Sl63")</f>
        <v>Cortacircuito Automatico 5Sl63</v>
      </c>
      <c r="C13892" s="380" t="str">
        <f>IFERROR(__xludf.DUMMYFUNCTION("""COMPUTED_VALUE"""),"80000225")</f>
        <v>80000225</v>
      </c>
      <c r="D13892" s="380" t="s">
        <v>767</v>
      </c>
      <c r="E13892" s="380" t="s">
        <v>776</v>
      </c>
      <c r="F13892" s="380" t="s">
        <v>1058</v>
      </c>
      <c r="G13892" s="380" t="s">
        <v>1267</v>
      </c>
      <c r="H13892" s="380" t="s">
        <v>771</v>
      </c>
      <c r="I13892" s="380" t="s">
        <v>788</v>
      </c>
      <c r="J13892" s="380" t="s">
        <v>773</v>
      </c>
      <c r="K13892" s="381">
        <v>0.0</v>
      </c>
      <c r="L13892" s="382">
        <v>1.0</v>
      </c>
    </row>
    <row r="13893">
      <c r="A13893" s="380" t="s">
        <v>14767</v>
      </c>
      <c r="B13893" s="380" t="str">
        <f>IFERROR(__xludf.DUMMYFUNCTION("""COMPUTED_VALUE"""),"Cortacircuito Motor 1,4-2,0 A")</f>
        <v>Cortacircuito Motor 1,4-2,0 A</v>
      </c>
      <c r="C13893" s="380" t="str">
        <f>IFERROR(__xludf.DUMMYFUNCTION("""COMPUTED_VALUE"""),"80000226")</f>
        <v>80000226</v>
      </c>
      <c r="D13893" s="380" t="s">
        <v>767</v>
      </c>
      <c r="E13893" s="380" t="s">
        <v>776</v>
      </c>
      <c r="F13893" s="380" t="s">
        <v>1058</v>
      </c>
      <c r="G13893" s="380" t="s">
        <v>1267</v>
      </c>
      <c r="H13893" s="380" t="s">
        <v>771</v>
      </c>
      <c r="I13893" s="380" t="s">
        <v>788</v>
      </c>
      <c r="J13893" s="380" t="s">
        <v>773</v>
      </c>
      <c r="K13893" s="381">
        <v>0.0</v>
      </c>
      <c r="L13893" s="382">
        <v>1.0</v>
      </c>
    </row>
    <row r="13894">
      <c r="A13894" s="380" t="s">
        <v>14768</v>
      </c>
      <c r="B13894" s="380" t="str">
        <f>IFERROR(__xludf.DUMMYFUNCTION("""COMPUTED_VALUE"""),"Arrancador Suave 480V 15A Be")</f>
        <v>Arrancador Suave 480V 15A Be</v>
      </c>
      <c r="C13894" s="380" t="str">
        <f>IFERROR(__xludf.DUMMYFUNCTION("""COMPUTED_VALUE"""),"80000227")</f>
        <v>80000227</v>
      </c>
      <c r="D13894" s="380" t="s">
        <v>767</v>
      </c>
      <c r="E13894" s="380" t="s">
        <v>776</v>
      </c>
      <c r="F13894" s="380" t="s">
        <v>1058</v>
      </c>
      <c r="G13894" s="380" t="s">
        <v>1267</v>
      </c>
      <c r="H13894" s="380" t="s">
        <v>771</v>
      </c>
      <c r="I13894" s="380" t="s">
        <v>788</v>
      </c>
      <c r="J13894" s="380" t="s">
        <v>773</v>
      </c>
      <c r="K13894" s="381">
        <v>0.0</v>
      </c>
      <c r="L13894" s="382">
        <v>1.0</v>
      </c>
    </row>
    <row r="13895">
      <c r="A13895" s="380" t="s">
        <v>14769</v>
      </c>
      <c r="B13895" s="380" t="str">
        <f>IFERROR(__xludf.DUMMYFUNCTION("""COMPUTED_VALUE"""),"Bloque Auxiliar Arrancador Mot")</f>
        <v>Bloque Auxiliar Arrancador Mot</v>
      </c>
      <c r="C13895" s="380" t="str">
        <f>IFERROR(__xludf.DUMMYFUNCTION("""COMPUTED_VALUE"""),"80000228")</f>
        <v>80000228</v>
      </c>
      <c r="D13895" s="380" t="s">
        <v>767</v>
      </c>
      <c r="E13895" s="380" t="s">
        <v>776</v>
      </c>
      <c r="F13895" s="380" t="s">
        <v>1058</v>
      </c>
      <c r="G13895" s="380" t="s">
        <v>1267</v>
      </c>
      <c r="H13895" s="380" t="s">
        <v>771</v>
      </c>
      <c r="I13895" s="380" t="s">
        <v>788</v>
      </c>
      <c r="J13895" s="380" t="s">
        <v>773</v>
      </c>
      <c r="K13895" s="381">
        <v>0.0</v>
      </c>
      <c r="L13895" s="382">
        <v>1.0</v>
      </c>
    </row>
    <row r="13896">
      <c r="A13896" s="380" t="s">
        <v>14770</v>
      </c>
      <c r="B13896" s="380" t="str">
        <f>IFERROR(__xludf.DUMMYFUNCTION("""COMPUTED_VALUE"""),"Joystick, 4-Dir, Retorno Muell")</f>
        <v>Joystick, 4-Dir, Retorno Muell</v>
      </c>
      <c r="C13896" s="380" t="str">
        <f>IFERROR(__xludf.DUMMYFUNCTION("""COMPUTED_VALUE"""),"80000229")</f>
        <v>80000229</v>
      </c>
      <c r="D13896" s="380" t="s">
        <v>767</v>
      </c>
      <c r="E13896" s="380" t="s">
        <v>776</v>
      </c>
      <c r="F13896" s="380" t="s">
        <v>1058</v>
      </c>
      <c r="G13896" s="380" t="s">
        <v>1267</v>
      </c>
      <c r="H13896" s="380" t="s">
        <v>771</v>
      </c>
      <c r="I13896" s="380" t="s">
        <v>788</v>
      </c>
      <c r="J13896" s="380" t="s">
        <v>773</v>
      </c>
      <c r="K13896" s="381">
        <v>0.0</v>
      </c>
      <c r="L13896" s="382">
        <v>1.0</v>
      </c>
    </row>
    <row r="13897">
      <c r="A13897" s="380" t="s">
        <v>14771</v>
      </c>
      <c r="B13897" s="380" t="str">
        <f>IFERROR(__xludf.DUMMYFUNCTION("""COMPUTED_VALUE"""),"Puente Contactor Be")</f>
        <v>Puente Contactor Be</v>
      </c>
      <c r="C13897" s="380" t="str">
        <f>IFERROR(__xludf.DUMMYFUNCTION("""COMPUTED_VALUE"""),"80000230")</f>
        <v>80000230</v>
      </c>
      <c r="D13897" s="380" t="s">
        <v>767</v>
      </c>
      <c r="E13897" s="380" t="s">
        <v>776</v>
      </c>
      <c r="F13897" s="380" t="s">
        <v>1058</v>
      </c>
      <c r="G13897" s="380" t="s">
        <v>1267</v>
      </c>
      <c r="H13897" s="380" t="s">
        <v>771</v>
      </c>
      <c r="I13897" s="380" t="s">
        <v>788</v>
      </c>
      <c r="J13897" s="380" t="s">
        <v>773</v>
      </c>
      <c r="K13897" s="381">
        <v>0.0</v>
      </c>
      <c r="L13897" s="382">
        <v>1.0</v>
      </c>
    </row>
    <row r="13898">
      <c r="A13898" s="380" t="s">
        <v>14772</v>
      </c>
      <c r="B13898" s="380" t="str">
        <f>IFERROR(__xludf.DUMMYFUNCTION("""COMPUTED_VALUE"""),"Contacto No Be")</f>
        <v>Contacto No Be</v>
      </c>
      <c r="C13898" s="380" t="str">
        <f>IFERROR(__xludf.DUMMYFUNCTION("""COMPUTED_VALUE"""),"80000231")</f>
        <v>80000231</v>
      </c>
      <c r="D13898" s="380" t="s">
        <v>767</v>
      </c>
      <c r="E13898" s="380" t="s">
        <v>776</v>
      </c>
      <c r="F13898" s="380" t="s">
        <v>1058</v>
      </c>
      <c r="G13898" s="380" t="s">
        <v>1267</v>
      </c>
      <c r="H13898" s="380" t="s">
        <v>771</v>
      </c>
      <c r="I13898" s="380" t="s">
        <v>788</v>
      </c>
      <c r="J13898" s="380" t="s">
        <v>773</v>
      </c>
      <c r="K13898" s="381">
        <v>0.0</v>
      </c>
      <c r="L13898" s="382">
        <v>1.0</v>
      </c>
    </row>
    <row r="13899">
      <c r="A13899" s="380" t="s">
        <v>14773</v>
      </c>
      <c r="B13899" s="380" t="str">
        <f>IFERROR(__xludf.DUMMYFUNCTION("""COMPUTED_VALUE"""),"Señaletica Redonda 80Mm Amaril")</f>
        <v>Señaletica Redonda 80Mm Amaril</v>
      </c>
      <c r="C13899" s="380" t="str">
        <f>IFERROR(__xludf.DUMMYFUNCTION("""COMPUTED_VALUE"""),"80000232")</f>
        <v>80000232</v>
      </c>
      <c r="D13899" s="380" t="s">
        <v>767</v>
      </c>
      <c r="E13899" s="380" t="s">
        <v>776</v>
      </c>
      <c r="F13899" s="380" t="s">
        <v>1058</v>
      </c>
      <c r="G13899" s="380" t="s">
        <v>1267</v>
      </c>
      <c r="H13899" s="380" t="s">
        <v>771</v>
      </c>
      <c r="I13899" s="380" t="s">
        <v>788</v>
      </c>
      <c r="J13899" s="380" t="s">
        <v>773</v>
      </c>
      <c r="K13899" s="381">
        <v>0.0</v>
      </c>
      <c r="L13899" s="382">
        <v>1.0</v>
      </c>
    </row>
    <row r="13900">
      <c r="A13900" s="380" t="s">
        <v>14774</v>
      </c>
      <c r="B13900" s="380" t="str">
        <f>IFERROR(__xludf.DUMMYFUNCTION("""COMPUTED_VALUE"""),"Switch Limitador-Cable-S16 Be")</f>
        <v>Switch Limitador-Cable-S16 Be</v>
      </c>
      <c r="C13900" s="380" t="str">
        <f>IFERROR(__xludf.DUMMYFUNCTION("""COMPUTED_VALUE"""),"80000233")</f>
        <v>80000233</v>
      </c>
      <c r="D13900" s="380" t="s">
        <v>767</v>
      </c>
      <c r="E13900" s="380" t="s">
        <v>776</v>
      </c>
      <c r="F13900" s="380" t="s">
        <v>1058</v>
      </c>
      <c r="G13900" s="380" t="s">
        <v>1267</v>
      </c>
      <c r="H13900" s="380" t="s">
        <v>771</v>
      </c>
      <c r="I13900" s="380" t="s">
        <v>788</v>
      </c>
      <c r="J13900" s="380" t="s">
        <v>773</v>
      </c>
      <c r="K13900" s="381">
        <v>0.0</v>
      </c>
      <c r="L13900" s="382">
        <v>1.0</v>
      </c>
    </row>
    <row r="13901">
      <c r="A13901" s="380" t="s">
        <v>14775</v>
      </c>
      <c r="B13901" s="380" t="str">
        <f>IFERROR(__xludf.DUMMYFUNCTION("""COMPUTED_VALUE"""),"Final De Carrera-Cable-S17 Be")</f>
        <v>Final De Carrera-Cable-S17 Be</v>
      </c>
      <c r="C13901" s="380" t="str">
        <f>IFERROR(__xludf.DUMMYFUNCTION("""COMPUTED_VALUE"""),"80000234")</f>
        <v>80000234</v>
      </c>
      <c r="D13901" s="380" t="s">
        <v>767</v>
      </c>
      <c r="E13901" s="380" t="s">
        <v>776</v>
      </c>
      <c r="F13901" s="380" t="s">
        <v>1058</v>
      </c>
      <c r="G13901" s="380" t="s">
        <v>1267</v>
      </c>
      <c r="H13901" s="380" t="s">
        <v>771</v>
      </c>
      <c r="I13901" s="380" t="s">
        <v>788</v>
      </c>
      <c r="J13901" s="380" t="s">
        <v>773</v>
      </c>
      <c r="K13901" s="381">
        <v>0.0</v>
      </c>
      <c r="L13901" s="382">
        <v>1.0</v>
      </c>
    </row>
    <row r="13902">
      <c r="A13902" s="380" t="s">
        <v>14776</v>
      </c>
      <c r="B13902" s="380" t="str">
        <f>IFERROR(__xludf.DUMMYFUNCTION("""COMPUTED_VALUE"""),"Bloque Contactor 1No,Pulsador")</f>
        <v>Bloque Contactor 1No,Pulsador</v>
      </c>
      <c r="C13902" s="380" t="str">
        <f>IFERROR(__xludf.DUMMYFUNCTION("""COMPUTED_VALUE"""),"80000235")</f>
        <v>80000235</v>
      </c>
      <c r="D13902" s="380" t="s">
        <v>767</v>
      </c>
      <c r="E13902" s="380" t="s">
        <v>776</v>
      </c>
      <c r="F13902" s="380" t="s">
        <v>1058</v>
      </c>
      <c r="G13902" s="380" t="s">
        <v>1267</v>
      </c>
      <c r="H13902" s="380" t="s">
        <v>771</v>
      </c>
      <c r="I13902" s="380" t="s">
        <v>788</v>
      </c>
      <c r="J13902" s="380" t="s">
        <v>773</v>
      </c>
      <c r="K13902" s="381">
        <v>0.0</v>
      </c>
      <c r="L13902" s="382">
        <v>1.0</v>
      </c>
    </row>
    <row r="13903">
      <c r="A13903" s="380" t="s">
        <v>14777</v>
      </c>
      <c r="B13903" s="380" t="str">
        <f>IFERROR(__xludf.DUMMYFUNCTION("""COMPUTED_VALUE"""),"Final De Carrera-Rodillo Be")</f>
        <v>Final De Carrera-Rodillo Be</v>
      </c>
      <c r="C13903" s="380" t="str">
        <f>IFERROR(__xludf.DUMMYFUNCTION("""COMPUTED_VALUE"""),"80000236")</f>
        <v>80000236</v>
      </c>
      <c r="D13903" s="380" t="s">
        <v>767</v>
      </c>
      <c r="E13903" s="380" t="s">
        <v>776</v>
      </c>
      <c r="F13903" s="380" t="s">
        <v>1058</v>
      </c>
      <c r="G13903" s="380" t="s">
        <v>1267</v>
      </c>
      <c r="H13903" s="380" t="s">
        <v>771</v>
      </c>
      <c r="I13903" s="380" t="s">
        <v>788</v>
      </c>
      <c r="J13903" s="380" t="s">
        <v>773</v>
      </c>
      <c r="K13903" s="381">
        <v>0.0</v>
      </c>
      <c r="L13903" s="382">
        <v>1.0</v>
      </c>
    </row>
    <row r="13904">
      <c r="A13904" s="380" t="s">
        <v>14778</v>
      </c>
      <c r="B13904" s="380" t="str">
        <f>IFERROR(__xludf.DUMMYFUNCTION("""COMPUTED_VALUE"""),"Union Cadena 3/4 Did Simplex B")</f>
        <v>Union Cadena 3/4 Did Simplex B</v>
      </c>
      <c r="C13904" s="380" t="str">
        <f>IFERROR(__xludf.DUMMYFUNCTION("""COMPUTED_VALUE"""),"80000238")</f>
        <v>80000238</v>
      </c>
      <c r="D13904" s="380" t="s">
        <v>767</v>
      </c>
      <c r="E13904" s="380" t="s">
        <v>776</v>
      </c>
      <c r="F13904" s="380" t="s">
        <v>976</v>
      </c>
      <c r="G13904" s="380" t="s">
        <v>1267</v>
      </c>
      <c r="H13904" s="380" t="s">
        <v>771</v>
      </c>
      <c r="I13904" s="380" t="s">
        <v>788</v>
      </c>
      <c r="J13904" s="380" t="s">
        <v>773</v>
      </c>
      <c r="K13904" s="381">
        <v>0.0</v>
      </c>
      <c r="L13904" s="382">
        <v>1.0</v>
      </c>
    </row>
    <row r="13905">
      <c r="A13905" s="380" t="s">
        <v>14779</v>
      </c>
      <c r="B13905" s="380" t="str">
        <f>IFERROR(__xludf.DUMMYFUNCTION("""COMPUTED_VALUE"""),"Motorreductor R77Drn100Ls4 Tel")</f>
        <v>Motorreductor R77Drn100Ls4 Tel</v>
      </c>
      <c r="C13905" s="380" t="str">
        <f>IFERROR(__xludf.DUMMYFUNCTION("""COMPUTED_VALUE"""),"80000239")</f>
        <v>80000239</v>
      </c>
      <c r="D13905" s="380" t="s">
        <v>767</v>
      </c>
      <c r="E13905" s="380" t="s">
        <v>776</v>
      </c>
      <c r="F13905" s="380" t="s">
        <v>976</v>
      </c>
      <c r="G13905" s="380" t="s">
        <v>1267</v>
      </c>
      <c r="H13905" s="380" t="s">
        <v>771</v>
      </c>
      <c r="I13905" s="380" t="s">
        <v>788</v>
      </c>
      <c r="J13905" s="380" t="s">
        <v>773</v>
      </c>
      <c r="K13905" s="381">
        <v>0.0</v>
      </c>
      <c r="L13905" s="382">
        <v>1.0</v>
      </c>
    </row>
    <row r="13906">
      <c r="A13906" s="380" t="s">
        <v>14780</v>
      </c>
      <c r="B13906" s="380" t="str">
        <f>IFERROR(__xludf.DUMMYFUNCTION("""COMPUTED_VALUE"""),"Piñon Cadena Z21 12B2Ø45H7 N+2")</f>
        <v>Piñon Cadena Z21 12B2Ø45H7 N+2</v>
      </c>
      <c r="C13906" s="380" t="str">
        <f>IFERROR(__xludf.DUMMYFUNCTION("""COMPUTED_VALUE"""),"80000240")</f>
        <v>80000240</v>
      </c>
      <c r="D13906" s="380" t="s">
        <v>767</v>
      </c>
      <c r="E13906" s="380" t="s">
        <v>776</v>
      </c>
      <c r="F13906" s="380" t="s">
        <v>976</v>
      </c>
      <c r="G13906" s="380" t="s">
        <v>1267</v>
      </c>
      <c r="H13906" s="380" t="s">
        <v>771</v>
      </c>
      <c r="I13906" s="380" t="s">
        <v>788</v>
      </c>
      <c r="J13906" s="380" t="s">
        <v>773</v>
      </c>
      <c r="K13906" s="381">
        <v>0.0</v>
      </c>
      <c r="L13906" s="382">
        <v>1.0</v>
      </c>
    </row>
    <row r="13907">
      <c r="A13907" s="380" t="s">
        <v>14781</v>
      </c>
      <c r="B13907" s="380" t="str">
        <f>IFERROR(__xludf.DUMMYFUNCTION("""COMPUTED_VALUE"""),"Piñon Cadena Z21 12B2 Casq. Co")</f>
        <v>Piñon Cadena Z21 12B2 Casq. Co</v>
      </c>
      <c r="C13907" s="380" t="str">
        <f>IFERROR(__xludf.DUMMYFUNCTION("""COMPUTED_VALUE"""),"80000241")</f>
        <v>80000241</v>
      </c>
      <c r="D13907" s="380" t="s">
        <v>767</v>
      </c>
      <c r="E13907" s="380" t="s">
        <v>776</v>
      </c>
      <c r="F13907" s="380" t="s">
        <v>976</v>
      </c>
      <c r="G13907" s="380" t="s">
        <v>1267</v>
      </c>
      <c r="H13907" s="380" t="s">
        <v>771</v>
      </c>
      <c r="I13907" s="380" t="s">
        <v>788</v>
      </c>
      <c r="J13907" s="380" t="s">
        <v>773</v>
      </c>
      <c r="K13907" s="381">
        <v>0.0</v>
      </c>
      <c r="L13907" s="382">
        <v>1.0</v>
      </c>
    </row>
    <row r="13908">
      <c r="A13908" s="380" t="s">
        <v>14782</v>
      </c>
      <c r="B13908" s="380" t="str">
        <f>IFERROR(__xludf.DUMMYFUNCTION("""COMPUTED_VALUE"""),"Union Cadena 3/4 Duplex Be")</f>
        <v>Union Cadena 3/4 Duplex Be</v>
      </c>
      <c r="C13908" s="380" t="str">
        <f>IFERROR(__xludf.DUMMYFUNCTION("""COMPUTED_VALUE"""),"80000242")</f>
        <v>80000242</v>
      </c>
      <c r="D13908" s="380" t="s">
        <v>767</v>
      </c>
      <c r="E13908" s="380" t="s">
        <v>776</v>
      </c>
      <c r="F13908" s="380" t="s">
        <v>976</v>
      </c>
      <c r="G13908" s="380" t="s">
        <v>1267</v>
      </c>
      <c r="H13908" s="380" t="s">
        <v>771</v>
      </c>
      <c r="I13908" s="380" t="s">
        <v>788</v>
      </c>
      <c r="J13908" s="380" t="s">
        <v>773</v>
      </c>
      <c r="K13908" s="381">
        <v>0.0</v>
      </c>
      <c r="L13908" s="382">
        <v>1.0</v>
      </c>
    </row>
    <row r="13909">
      <c r="A13909" s="380" t="s">
        <v>14783</v>
      </c>
      <c r="B13909" s="380" t="str">
        <f>IFERROR(__xludf.DUMMYFUNCTION("""COMPUTED_VALUE"""),"Relé Ems Pilz 1Canal Be")</f>
        <v>Relé Ems Pilz 1Canal Be</v>
      </c>
      <c r="C13909" s="380" t="str">
        <f>IFERROR(__xludf.DUMMYFUNCTION("""COMPUTED_VALUE"""),"80000243")</f>
        <v>80000243</v>
      </c>
      <c r="D13909" s="380" t="s">
        <v>767</v>
      </c>
      <c r="E13909" s="380" t="s">
        <v>776</v>
      </c>
      <c r="F13909" s="380" t="s">
        <v>1058</v>
      </c>
      <c r="G13909" s="380" t="s">
        <v>1267</v>
      </c>
      <c r="H13909" s="380" t="s">
        <v>771</v>
      </c>
      <c r="I13909" s="380" t="s">
        <v>788</v>
      </c>
      <c r="J13909" s="380" t="s">
        <v>773</v>
      </c>
      <c r="K13909" s="381">
        <v>0.0</v>
      </c>
      <c r="L13909" s="382">
        <v>1.0</v>
      </c>
    </row>
    <row r="13910">
      <c r="A13910" s="380" t="s">
        <v>14784</v>
      </c>
      <c r="B13910" s="380" t="str">
        <f>IFERROR(__xludf.DUMMYFUNCTION("""COMPUTED_VALUE"""),"Fuente Alimentacion Meanwell B")</f>
        <v>Fuente Alimentacion Meanwell B</v>
      </c>
      <c r="C13910" s="380" t="str">
        <f>IFERROR(__xludf.DUMMYFUNCTION("""COMPUTED_VALUE"""),"80000244")</f>
        <v>80000244</v>
      </c>
      <c r="D13910" s="380" t="s">
        <v>767</v>
      </c>
      <c r="E13910" s="380" t="s">
        <v>776</v>
      </c>
      <c r="F13910" s="380" t="s">
        <v>1058</v>
      </c>
      <c r="G13910" s="380" t="s">
        <v>1267</v>
      </c>
      <c r="H13910" s="380" t="s">
        <v>771</v>
      </c>
      <c r="I13910" s="380" t="s">
        <v>788</v>
      </c>
      <c r="J13910" s="380" t="s">
        <v>773</v>
      </c>
      <c r="K13910" s="381">
        <v>0.0</v>
      </c>
      <c r="L13910" s="382">
        <v>1.0</v>
      </c>
    </row>
    <row r="13911">
      <c r="A13911" s="380" t="s">
        <v>14785</v>
      </c>
      <c r="B13911" s="380" t="str">
        <f>IFERROR(__xludf.DUMMYFUNCTION("""COMPUTED_VALUE"""),"Relé Terminal Be")</f>
        <v>Relé Terminal Be</v>
      </c>
      <c r="C13911" s="380" t="str">
        <f>IFERROR(__xludf.DUMMYFUNCTION("""COMPUTED_VALUE"""),"80000245")</f>
        <v>80000245</v>
      </c>
      <c r="D13911" s="380" t="s">
        <v>767</v>
      </c>
      <c r="E13911" s="380" t="s">
        <v>776</v>
      </c>
      <c r="F13911" s="380" t="s">
        <v>1058</v>
      </c>
      <c r="G13911" s="380" t="s">
        <v>1267</v>
      </c>
      <c r="H13911" s="380" t="s">
        <v>771</v>
      </c>
      <c r="I13911" s="380" t="s">
        <v>788</v>
      </c>
      <c r="J13911" s="380" t="s">
        <v>773</v>
      </c>
      <c r="K13911" s="381">
        <v>0.0</v>
      </c>
      <c r="L13911" s="382">
        <v>1.0</v>
      </c>
    </row>
    <row r="13912">
      <c r="A13912" s="380" t="s">
        <v>14786</v>
      </c>
      <c r="B13912" s="380" t="str">
        <f>IFERROR(__xludf.DUMMYFUNCTION("""COMPUTED_VALUE"""),"Contactor Mini 11Kw 1Xno+1Xnc")</f>
        <v>Contactor Mini 11Kw 1Xno+1Xnc</v>
      </c>
      <c r="C13912" s="380" t="str">
        <f>IFERROR(__xludf.DUMMYFUNCTION("""COMPUTED_VALUE"""),"80000246")</f>
        <v>80000246</v>
      </c>
      <c r="D13912" s="380" t="s">
        <v>767</v>
      </c>
      <c r="E13912" s="380" t="s">
        <v>776</v>
      </c>
      <c r="F13912" s="380" t="s">
        <v>1058</v>
      </c>
      <c r="G13912" s="380" t="s">
        <v>1267</v>
      </c>
      <c r="H13912" s="380" t="s">
        <v>771</v>
      </c>
      <c r="I13912" s="380" t="s">
        <v>788</v>
      </c>
      <c r="J13912" s="380" t="s">
        <v>773</v>
      </c>
      <c r="K13912" s="381">
        <v>0.0</v>
      </c>
      <c r="L13912" s="382">
        <v>1.0</v>
      </c>
    </row>
    <row r="13913">
      <c r="A13913" s="380" t="s">
        <v>14787</v>
      </c>
      <c r="B13913" s="380" t="str">
        <f>IFERROR(__xludf.DUMMYFUNCTION("""COMPUTED_VALUE"""),"Interruptor Principal 4 Polos")</f>
        <v>Interruptor Principal 4 Polos</v>
      </c>
      <c r="C13913" s="380" t="str">
        <f>IFERROR(__xludf.DUMMYFUNCTION("""COMPUTED_VALUE"""),"80000247")</f>
        <v>80000247</v>
      </c>
      <c r="D13913" s="380" t="s">
        <v>767</v>
      </c>
      <c r="E13913" s="380" t="s">
        <v>776</v>
      </c>
      <c r="F13913" s="380" t="s">
        <v>1058</v>
      </c>
      <c r="G13913" s="380" t="s">
        <v>1267</v>
      </c>
      <c r="H13913" s="380" t="s">
        <v>771</v>
      </c>
      <c r="I13913" s="380" t="s">
        <v>788</v>
      </c>
      <c r="J13913" s="380" t="s">
        <v>773</v>
      </c>
      <c r="K13913" s="381">
        <v>0.0</v>
      </c>
      <c r="L13913" s="382">
        <v>1.0</v>
      </c>
    </row>
    <row r="13914">
      <c r="A13914" s="380" t="s">
        <v>14788</v>
      </c>
      <c r="B13914" s="380" t="str">
        <f>IFERROR(__xludf.DUMMYFUNCTION("""COMPUTED_VALUE"""),"Selector Frontal Negro Be")</f>
        <v>Selector Frontal Negro Be</v>
      </c>
      <c r="C13914" s="380" t="str">
        <f>IFERROR(__xludf.DUMMYFUNCTION("""COMPUTED_VALUE"""),"80000248")</f>
        <v>80000248</v>
      </c>
      <c r="D13914" s="380" t="s">
        <v>767</v>
      </c>
      <c r="E13914" s="380" t="s">
        <v>776</v>
      </c>
      <c r="F13914" s="380" t="s">
        <v>1058</v>
      </c>
      <c r="G13914" s="380" t="s">
        <v>1267</v>
      </c>
      <c r="H13914" s="380" t="s">
        <v>771</v>
      </c>
      <c r="I13914" s="380" t="s">
        <v>788</v>
      </c>
      <c r="J13914" s="380" t="s">
        <v>773</v>
      </c>
      <c r="K13914" s="381">
        <v>0.0</v>
      </c>
      <c r="L13914" s="382">
        <v>1.0</v>
      </c>
    </row>
    <row r="13915">
      <c r="A13915" s="380" t="s">
        <v>14789</v>
      </c>
      <c r="B13915" s="380" t="str">
        <f>IFERROR(__xludf.DUMMYFUNCTION("""COMPUTED_VALUE"""),"Barra Interruptor Principal 18")</f>
        <v>Barra Interruptor Principal 18</v>
      </c>
      <c r="C13915" s="380" t="str">
        <f>IFERROR(__xludf.DUMMYFUNCTION("""COMPUTED_VALUE"""),"80000249")</f>
        <v>80000249</v>
      </c>
      <c r="D13915" s="380" t="s">
        <v>767</v>
      </c>
      <c r="E13915" s="380" t="s">
        <v>776</v>
      </c>
      <c r="F13915" s="380" t="s">
        <v>1058</v>
      </c>
      <c r="G13915" s="380" t="s">
        <v>1267</v>
      </c>
      <c r="H13915" s="380" t="s">
        <v>771</v>
      </c>
      <c r="I13915" s="380" t="s">
        <v>788</v>
      </c>
      <c r="J13915" s="380" t="s">
        <v>773</v>
      </c>
      <c r="K13915" s="381">
        <v>0.0</v>
      </c>
      <c r="L13915" s="382">
        <v>1.0</v>
      </c>
    </row>
    <row r="13916">
      <c r="A13916" s="380" t="s">
        <v>14790</v>
      </c>
      <c r="B13916" s="380" t="str">
        <f>IFERROR(__xludf.DUMMYFUNCTION("""COMPUTED_VALUE"""),"Paro Emergencia 22Mm 2Xnc Be")</f>
        <v>Paro Emergencia 22Mm 2Xnc Be</v>
      </c>
      <c r="C13916" s="380" t="str">
        <f>IFERROR(__xludf.DUMMYFUNCTION("""COMPUTED_VALUE"""),"80000250")</f>
        <v>80000250</v>
      </c>
      <c r="D13916" s="380" t="s">
        <v>767</v>
      </c>
      <c r="E13916" s="380" t="s">
        <v>776</v>
      </c>
      <c r="F13916" s="380" t="s">
        <v>1058</v>
      </c>
      <c r="G13916" s="380" t="s">
        <v>1267</v>
      </c>
      <c r="H13916" s="380" t="s">
        <v>771</v>
      </c>
      <c r="I13916" s="380" t="s">
        <v>788</v>
      </c>
      <c r="J13916" s="380" t="s">
        <v>773</v>
      </c>
      <c r="K13916" s="381">
        <v>0.0</v>
      </c>
      <c r="L13916" s="382">
        <v>1.0</v>
      </c>
    </row>
    <row r="13917">
      <c r="A13917" s="380" t="s">
        <v>14791</v>
      </c>
      <c r="B13917" s="380" t="str">
        <f>IFERROR(__xludf.DUMMYFUNCTION("""COMPUTED_VALUE"""),"Contacto Cierre Idec Ems Be")</f>
        <v>Contacto Cierre Idec Ems Be</v>
      </c>
      <c r="C13917" s="380" t="str">
        <f>IFERROR(__xludf.DUMMYFUNCTION("""COMPUTED_VALUE"""),"80000251")</f>
        <v>80000251</v>
      </c>
      <c r="D13917" s="380" t="s">
        <v>767</v>
      </c>
      <c r="E13917" s="380" t="s">
        <v>776</v>
      </c>
      <c r="F13917" s="380" t="s">
        <v>1058</v>
      </c>
      <c r="G13917" s="380" t="s">
        <v>1267</v>
      </c>
      <c r="H13917" s="380" t="s">
        <v>771</v>
      </c>
      <c r="I13917" s="380" t="s">
        <v>788</v>
      </c>
      <c r="J13917" s="380" t="s">
        <v>773</v>
      </c>
      <c r="K13917" s="381">
        <v>0.0</v>
      </c>
      <c r="L13917" s="382">
        <v>1.0</v>
      </c>
    </row>
    <row r="13918">
      <c r="A13918" s="380" t="s">
        <v>14792</v>
      </c>
      <c r="B13918" s="380" t="str">
        <f>IFERROR(__xludf.DUMMYFUNCTION("""COMPUTED_VALUE"""),"Rueda Dentada Apriete 5/8"" - D")</f>
        <v>Rueda Dentada Apriete 5/8" - D</v>
      </c>
      <c r="C13918" s="380" t="str">
        <f>IFERROR(__xludf.DUMMYFUNCTION("""COMPUTED_VALUE"""),"80000252")</f>
        <v>80000252</v>
      </c>
      <c r="D13918" s="380" t="s">
        <v>767</v>
      </c>
      <c r="E13918" s="380" t="s">
        <v>776</v>
      </c>
      <c r="F13918" s="380" t="s">
        <v>976</v>
      </c>
      <c r="G13918" s="380" t="s">
        <v>1267</v>
      </c>
      <c r="H13918" s="380" t="s">
        <v>771</v>
      </c>
      <c r="I13918" s="380" t="s">
        <v>788</v>
      </c>
      <c r="J13918" s="380" t="s">
        <v>773</v>
      </c>
      <c r="K13918" s="381">
        <v>0.0</v>
      </c>
      <c r="L13918" s="382">
        <v>1.0</v>
      </c>
    </row>
    <row r="13919">
      <c r="A13919" s="380" t="s">
        <v>14793</v>
      </c>
      <c r="B13919" s="380" t="str">
        <f>IFERROR(__xludf.DUMMYFUNCTION("""COMPUTED_VALUE"""),"Eje Motriz/Telescopico S2 Cb4")</f>
        <v>Eje Motriz/Telescopico S2 Cb4</v>
      </c>
      <c r="C13919" s="380" t="str">
        <f>IFERROR(__xludf.DUMMYFUNCTION("""COMPUTED_VALUE"""),"80000253")</f>
        <v>80000253</v>
      </c>
      <c r="D13919" s="380" t="s">
        <v>767</v>
      </c>
      <c r="E13919" s="380" t="s">
        <v>776</v>
      </c>
      <c r="F13919" s="380" t="s">
        <v>976</v>
      </c>
      <c r="G13919" s="380" t="s">
        <v>1267</v>
      </c>
      <c r="H13919" s="380" t="s">
        <v>771</v>
      </c>
      <c r="I13919" s="380" t="s">
        <v>788</v>
      </c>
      <c r="J13919" s="380" t="s">
        <v>773</v>
      </c>
      <c r="K13919" s="381">
        <v>0.0</v>
      </c>
      <c r="L13919" s="382">
        <v>1.0</v>
      </c>
    </row>
    <row r="13920">
      <c r="A13920" s="380" t="s">
        <v>14794</v>
      </c>
      <c r="B13920" s="380" t="str">
        <f>IFERROR(__xludf.DUMMYFUNCTION("""COMPUTED_VALUE"""),"Cojinete Embridado D40Mm Ucp2")</f>
        <v>Cojinete Embridado D40Mm Ucp2</v>
      </c>
      <c r="C13920" s="380" t="str">
        <f>IFERROR(__xludf.DUMMYFUNCTION("""COMPUTED_VALUE"""),"80000254")</f>
        <v>80000254</v>
      </c>
      <c r="D13920" s="380" t="s">
        <v>767</v>
      </c>
      <c r="E13920" s="380" t="s">
        <v>776</v>
      </c>
      <c r="F13920" s="380" t="s">
        <v>976</v>
      </c>
      <c r="G13920" s="380" t="s">
        <v>1267</v>
      </c>
      <c r="H13920" s="380" t="s">
        <v>771</v>
      </c>
      <c r="I13920" s="380" t="s">
        <v>788</v>
      </c>
      <c r="J13920" s="380" t="s">
        <v>773</v>
      </c>
      <c r="K13920" s="381">
        <v>0.0</v>
      </c>
      <c r="L13920" s="382">
        <v>1.0</v>
      </c>
    </row>
    <row r="13921">
      <c r="A13921" s="380" t="s">
        <v>14795</v>
      </c>
      <c r="B13921" s="380" t="str">
        <f>IFERROR(__xludf.DUMMYFUNCTION("""COMPUTED_VALUE"""),"Piñon Cadena D23.10B1 D40H7 Be")</f>
        <v>Piñon Cadena D23.10B1 D40H7 Be</v>
      </c>
      <c r="C13921" s="380" t="str">
        <f>IFERROR(__xludf.DUMMYFUNCTION("""COMPUTED_VALUE"""),"80000255")</f>
        <v>80000255</v>
      </c>
      <c r="D13921" s="380" t="s">
        <v>767</v>
      </c>
      <c r="E13921" s="380" t="s">
        <v>776</v>
      </c>
      <c r="F13921" s="380" t="s">
        <v>976</v>
      </c>
      <c r="G13921" s="380" t="s">
        <v>1267</v>
      </c>
      <c r="H13921" s="380" t="s">
        <v>771</v>
      </c>
      <c r="I13921" s="380" t="s">
        <v>788</v>
      </c>
      <c r="J13921" s="380" t="s">
        <v>773</v>
      </c>
      <c r="K13921" s="381">
        <v>0.0</v>
      </c>
      <c r="L13921" s="382">
        <v>1.0</v>
      </c>
    </row>
    <row r="13922">
      <c r="A13922" s="380" t="s">
        <v>14796</v>
      </c>
      <c r="B13922" s="380" t="str">
        <f>IFERROR(__xludf.DUMMYFUNCTION("""COMPUTED_VALUE"""),"Piñon Cadena Z23.12B1 Ø40H7 Be")</f>
        <v>Piñon Cadena Z23.12B1 Ø40H7 Be</v>
      </c>
      <c r="C13922" s="380" t="str">
        <f>IFERROR(__xludf.DUMMYFUNCTION("""COMPUTED_VALUE"""),"80000256")</f>
        <v>80000256</v>
      </c>
      <c r="D13922" s="380" t="s">
        <v>767</v>
      </c>
      <c r="E13922" s="380" t="s">
        <v>776</v>
      </c>
      <c r="F13922" s="380" t="s">
        <v>976</v>
      </c>
      <c r="G13922" s="380" t="s">
        <v>1267</v>
      </c>
      <c r="H13922" s="380" t="s">
        <v>771</v>
      </c>
      <c r="I13922" s="380" t="s">
        <v>788</v>
      </c>
      <c r="J13922" s="380" t="s">
        <v>773</v>
      </c>
      <c r="K13922" s="381">
        <v>0.0</v>
      </c>
      <c r="L13922" s="382">
        <v>1.0</v>
      </c>
    </row>
    <row r="13923">
      <c r="A13923" s="380" t="s">
        <v>14797</v>
      </c>
      <c r="B13923" s="380" t="str">
        <f>IFERROR(__xludf.DUMMYFUNCTION("""COMPUTED_VALUE"""),"Modulo Guia Extensible S2 Cb4")</f>
        <v>Modulo Guia Extensible S2 Cb4</v>
      </c>
      <c r="C13923" s="380" t="str">
        <f>IFERROR(__xludf.DUMMYFUNCTION("""COMPUTED_VALUE"""),"80000257")</f>
        <v>80000257</v>
      </c>
      <c r="D13923" s="380" t="s">
        <v>767</v>
      </c>
      <c r="E13923" s="380" t="s">
        <v>776</v>
      </c>
      <c r="F13923" s="380" t="s">
        <v>976</v>
      </c>
      <c r="G13923" s="380" t="s">
        <v>1267</v>
      </c>
      <c r="H13923" s="380" t="s">
        <v>771</v>
      </c>
      <c r="I13923" s="380" t="s">
        <v>788</v>
      </c>
      <c r="J13923" s="380" t="s">
        <v>773</v>
      </c>
      <c r="K13923" s="381">
        <v>0.0</v>
      </c>
      <c r="L13923" s="382">
        <v>1.0</v>
      </c>
    </row>
    <row r="13924">
      <c r="A13924" s="380" t="s">
        <v>14798</v>
      </c>
      <c r="B13924" s="380" t="str">
        <f>IFERROR(__xludf.DUMMYFUNCTION("""COMPUTED_VALUE"""),"Polea Fija Para Cadena 5/8'' D")</f>
        <v>Polea Fija Para Cadena 5/8'' D</v>
      </c>
      <c r="C13924" s="380" t="str">
        <f>IFERROR(__xludf.DUMMYFUNCTION("""COMPUTED_VALUE"""),"80000258")</f>
        <v>80000258</v>
      </c>
      <c r="D13924" s="380" t="s">
        <v>767</v>
      </c>
      <c r="E13924" s="380" t="s">
        <v>776</v>
      </c>
      <c r="F13924" s="380" t="s">
        <v>976</v>
      </c>
      <c r="G13924" s="380" t="s">
        <v>1267</v>
      </c>
      <c r="H13924" s="380" t="s">
        <v>771</v>
      </c>
      <c r="I13924" s="380" t="s">
        <v>788</v>
      </c>
      <c r="J13924" s="380" t="s">
        <v>773</v>
      </c>
      <c r="K13924" s="381">
        <v>0.0</v>
      </c>
      <c r="L13924" s="382">
        <v>1.0</v>
      </c>
    </row>
    <row r="13925">
      <c r="A13925" s="380" t="s">
        <v>14799</v>
      </c>
      <c r="B13925" s="380" t="str">
        <f>IFERROR(__xludf.DUMMYFUNCTION("""COMPUTED_VALUE"""),"Conjunto Rueda Motriz S3 Bw=60")</f>
        <v>Conjunto Rueda Motriz S3 Bw=60</v>
      </c>
      <c r="C13925" s="380" t="str">
        <f>IFERROR(__xludf.DUMMYFUNCTION("""COMPUTED_VALUE"""),"80000259")</f>
        <v>80000259</v>
      </c>
      <c r="D13925" s="380" t="s">
        <v>767</v>
      </c>
      <c r="E13925" s="380" t="s">
        <v>776</v>
      </c>
      <c r="F13925" s="380" t="s">
        <v>976</v>
      </c>
      <c r="G13925" s="380" t="s">
        <v>1267</v>
      </c>
      <c r="H13925" s="380" t="s">
        <v>771</v>
      </c>
      <c r="I13925" s="380" t="s">
        <v>788</v>
      </c>
      <c r="J13925" s="380" t="s">
        <v>773</v>
      </c>
      <c r="K13925" s="381">
        <v>0.0</v>
      </c>
      <c r="L13925" s="382">
        <v>1.0</v>
      </c>
    </row>
    <row r="13926">
      <c r="A13926" s="380" t="s">
        <v>14800</v>
      </c>
      <c r="B13926" s="380" t="str">
        <f>IFERROR(__xludf.DUMMYFUNCTION("""COMPUTED_VALUE"""),"Modulo Guia Extensible S3 Bw=6")</f>
        <v>Modulo Guia Extensible S3 Bw=6</v>
      </c>
      <c r="C13926" s="380" t="str">
        <f>IFERROR(__xludf.DUMMYFUNCTION("""COMPUTED_VALUE"""),"80000260")</f>
        <v>80000260</v>
      </c>
      <c r="D13926" s="380" t="s">
        <v>767</v>
      </c>
      <c r="E13926" s="380" t="s">
        <v>776</v>
      </c>
      <c r="F13926" s="380" t="s">
        <v>976</v>
      </c>
      <c r="G13926" s="380" t="s">
        <v>1267</v>
      </c>
      <c r="H13926" s="380" t="s">
        <v>771</v>
      </c>
      <c r="I13926" s="380" t="s">
        <v>788</v>
      </c>
      <c r="J13926" s="380" t="s">
        <v>773</v>
      </c>
      <c r="K13926" s="381">
        <v>0.0</v>
      </c>
      <c r="L13926" s="382">
        <v>1.0</v>
      </c>
    </row>
    <row r="13927">
      <c r="A13927" s="380" t="s">
        <v>14801</v>
      </c>
      <c r="B13927" s="380" t="str">
        <f>IFERROR(__xludf.DUMMYFUNCTION("""COMPUTED_VALUE"""),"Conjunto Rueda Superior Derech")</f>
        <v>Conjunto Rueda Superior Derech</v>
      </c>
      <c r="C13927" s="380" t="str">
        <f>IFERROR(__xludf.DUMMYFUNCTION("""COMPUTED_VALUE"""),"80000261")</f>
        <v>80000261</v>
      </c>
      <c r="D13927" s="380" t="s">
        <v>767</v>
      </c>
      <c r="E13927" s="380" t="s">
        <v>776</v>
      </c>
      <c r="F13927" s="380" t="s">
        <v>976</v>
      </c>
      <c r="G13927" s="380" t="s">
        <v>1267</v>
      </c>
      <c r="H13927" s="380" t="s">
        <v>771</v>
      </c>
      <c r="I13927" s="380" t="s">
        <v>788</v>
      </c>
      <c r="J13927" s="380" t="s">
        <v>773</v>
      </c>
      <c r="K13927" s="381">
        <v>0.0</v>
      </c>
      <c r="L13927" s="382">
        <v>1.0</v>
      </c>
    </row>
    <row r="13928">
      <c r="A13928" s="380" t="s">
        <v>14802</v>
      </c>
      <c r="B13928" s="380" t="str">
        <f>IFERROR(__xludf.DUMMYFUNCTION("""COMPUTED_VALUE"""),"Conjunto Rueda Superior Izquie")</f>
        <v>Conjunto Rueda Superior Izquie</v>
      </c>
      <c r="C13928" s="380" t="str">
        <f>IFERROR(__xludf.DUMMYFUNCTION("""COMPUTED_VALUE"""),"80000262")</f>
        <v>80000262</v>
      </c>
      <c r="D13928" s="380" t="s">
        <v>767</v>
      </c>
      <c r="E13928" s="380" t="s">
        <v>776</v>
      </c>
      <c r="F13928" s="380" t="s">
        <v>976</v>
      </c>
      <c r="G13928" s="380" t="s">
        <v>1267</v>
      </c>
      <c r="H13928" s="380" t="s">
        <v>771</v>
      </c>
      <c r="I13928" s="380" t="s">
        <v>788</v>
      </c>
      <c r="J13928" s="380" t="s">
        <v>773</v>
      </c>
      <c r="K13928" s="381">
        <v>0.0</v>
      </c>
      <c r="L13928" s="382">
        <v>1.0</v>
      </c>
    </row>
    <row r="13929">
      <c r="A13929" s="380" t="s">
        <v>14803</v>
      </c>
      <c r="B13929" s="380" t="str">
        <f>IFERROR(__xludf.DUMMYFUNCTION("""COMPUTED_VALUE"""),"Union Cadena 5/8 Simplex Be")</f>
        <v>Union Cadena 5/8 Simplex Be</v>
      </c>
      <c r="C13929" s="380" t="str">
        <f>IFERROR(__xludf.DUMMYFUNCTION("""COMPUTED_VALUE"""),"80000264")</f>
        <v>80000264</v>
      </c>
      <c r="D13929" s="380" t="s">
        <v>767</v>
      </c>
      <c r="E13929" s="380" t="s">
        <v>776</v>
      </c>
      <c r="F13929" s="380" t="s">
        <v>976</v>
      </c>
      <c r="G13929" s="380" t="s">
        <v>1267</v>
      </c>
      <c r="H13929" s="380" t="s">
        <v>771</v>
      </c>
      <c r="I13929" s="380" t="s">
        <v>788</v>
      </c>
      <c r="J13929" s="380" t="s">
        <v>773</v>
      </c>
      <c r="K13929" s="381">
        <v>0.0</v>
      </c>
      <c r="L13929" s="382">
        <v>1.0</v>
      </c>
    </row>
    <row r="13930">
      <c r="A13930" s="380" t="s">
        <v>14804</v>
      </c>
      <c r="B13930" s="380" t="str">
        <f>IFERROR(__xludf.DUMMYFUNCTION("""COMPUTED_VALUE"""),"Motorreductor R47Drs71M4Be1Hf/")</f>
        <v>Motorreductor R47Drs71M4Be1Hf/</v>
      </c>
      <c r="C13930" s="380" t="str">
        <f>IFERROR(__xludf.DUMMYFUNCTION("""COMPUTED_VALUE"""),"80000265")</f>
        <v>80000265</v>
      </c>
      <c r="D13930" s="380" t="s">
        <v>767</v>
      </c>
      <c r="E13930" s="380" t="s">
        <v>776</v>
      </c>
      <c r="F13930" s="380" t="s">
        <v>976</v>
      </c>
      <c r="G13930" s="380" t="s">
        <v>1267</v>
      </c>
      <c r="H13930" s="380" t="s">
        <v>771</v>
      </c>
      <c r="I13930" s="380" t="s">
        <v>788</v>
      </c>
      <c r="J13930" s="380" t="s">
        <v>773</v>
      </c>
      <c r="K13930" s="381">
        <v>0.0</v>
      </c>
      <c r="L13930" s="382">
        <v>1.0</v>
      </c>
    </row>
    <row r="13931">
      <c r="A13931" s="380" t="s">
        <v>14805</v>
      </c>
      <c r="B13931" s="380" t="str">
        <f>IFERROR(__xludf.DUMMYFUNCTION("""COMPUTED_VALUE"""),"Piñon Cadena Z16 12B1 Ø30H7 Be")</f>
        <v>Piñon Cadena Z16 12B1 Ø30H7 Be</v>
      </c>
      <c r="C13931" s="380" t="str">
        <f>IFERROR(__xludf.DUMMYFUNCTION("""COMPUTED_VALUE"""),"80000266")</f>
        <v>80000266</v>
      </c>
      <c r="D13931" s="380" t="s">
        <v>767</v>
      </c>
      <c r="E13931" s="380" t="s">
        <v>776</v>
      </c>
      <c r="F13931" s="380" t="s">
        <v>976</v>
      </c>
      <c r="G13931" s="380" t="s">
        <v>1267</v>
      </c>
      <c r="H13931" s="380" t="s">
        <v>771</v>
      </c>
      <c r="I13931" s="380" t="s">
        <v>788</v>
      </c>
      <c r="J13931" s="380" t="s">
        <v>773</v>
      </c>
      <c r="K13931" s="381">
        <v>0.0</v>
      </c>
      <c r="L13931" s="382">
        <v>1.0</v>
      </c>
    </row>
    <row r="13932">
      <c r="A13932" s="380" t="s">
        <v>14806</v>
      </c>
      <c r="B13932" s="380" t="str">
        <f>IFERROR(__xludf.DUMMYFUNCTION("""COMPUTED_VALUE"""),"Motorreduct Ka29B/Drs71M4/0.55")</f>
        <v>Motorreduct Ka29B/Drs71M4/0.55</v>
      </c>
      <c r="C13932" s="380" t="str">
        <f>IFERROR(__xludf.DUMMYFUNCTION("""COMPUTED_VALUE"""),"80000267")</f>
        <v>80000267</v>
      </c>
      <c r="D13932" s="380" t="s">
        <v>767</v>
      </c>
      <c r="E13932" s="380" t="s">
        <v>776</v>
      </c>
      <c r="F13932" s="380" t="s">
        <v>1058</v>
      </c>
      <c r="G13932" s="380" t="s">
        <v>1267</v>
      </c>
      <c r="H13932" s="380" t="s">
        <v>771</v>
      </c>
      <c r="I13932" s="380" t="s">
        <v>788</v>
      </c>
      <c r="J13932" s="380" t="s">
        <v>773</v>
      </c>
      <c r="K13932" s="381">
        <v>0.0</v>
      </c>
      <c r="L13932" s="382">
        <v>1.0</v>
      </c>
    </row>
    <row r="13933">
      <c r="A13933" s="380" t="s">
        <v>14807</v>
      </c>
      <c r="B13933" s="380" t="str">
        <f>IFERROR(__xludf.DUMMYFUNCTION("""COMPUTED_VALUE"""),"Filtro Ventilador Atlas Copco")</f>
        <v>Filtro Ventilador Atlas Copco</v>
      </c>
      <c r="C13933" s="380" t="str">
        <f>IFERROR(__xludf.DUMMYFUNCTION("""COMPUTED_VALUE"""),"80000268")</f>
        <v>80000268</v>
      </c>
      <c r="D13933" s="380" t="s">
        <v>767</v>
      </c>
      <c r="E13933" s="380" t="s">
        <v>776</v>
      </c>
      <c r="F13933" s="380" t="s">
        <v>5288</v>
      </c>
      <c r="G13933" s="380" t="s">
        <v>1267</v>
      </c>
      <c r="H13933" s="380" t="s">
        <v>771</v>
      </c>
      <c r="I13933" s="380" t="s">
        <v>788</v>
      </c>
      <c r="J13933" s="380" t="s">
        <v>773</v>
      </c>
      <c r="K13933" s="381">
        <v>0.0</v>
      </c>
      <c r="L13933" s="382">
        <v>1.0</v>
      </c>
    </row>
    <row r="13934">
      <c r="A13934" s="380" t="s">
        <v>14808</v>
      </c>
      <c r="B13934" s="380" t="str">
        <f>IFERROR(__xludf.DUMMYFUNCTION("""COMPUTED_VALUE"""),"Juego Filtros Cartuchos Dd 10+")</f>
        <v>Juego Filtros Cartuchos Dd 10+</v>
      </c>
      <c r="C13934" s="380" t="str">
        <f>IFERROR(__xludf.DUMMYFUNCTION("""COMPUTED_VALUE"""),"80000269")</f>
        <v>80000269</v>
      </c>
      <c r="D13934" s="380" t="s">
        <v>767</v>
      </c>
      <c r="E13934" s="380" t="s">
        <v>776</v>
      </c>
      <c r="F13934" s="380" t="s">
        <v>5288</v>
      </c>
      <c r="G13934" s="380" t="s">
        <v>1267</v>
      </c>
      <c r="H13934" s="380" t="s">
        <v>771</v>
      </c>
      <c r="I13934" s="380" t="s">
        <v>788</v>
      </c>
      <c r="J13934" s="380" t="s">
        <v>773</v>
      </c>
      <c r="K13934" s="381">
        <v>0.0</v>
      </c>
      <c r="L13934" s="382">
        <v>1.0</v>
      </c>
    </row>
    <row r="13935">
      <c r="A13935" s="380" t="s">
        <v>14809</v>
      </c>
      <c r="B13935" s="380" t="str">
        <f>IFERROR(__xludf.DUMMYFUNCTION("""COMPUTED_VALUE"""),"Juego Filtros Cartuchos Pd 10+")</f>
        <v>Juego Filtros Cartuchos Pd 10+</v>
      </c>
      <c r="C13935" s="380" t="str">
        <f>IFERROR(__xludf.DUMMYFUNCTION("""COMPUTED_VALUE"""),"80000270")</f>
        <v>80000270</v>
      </c>
      <c r="D13935" s="380" t="s">
        <v>767</v>
      </c>
      <c r="E13935" s="380" t="s">
        <v>776</v>
      </c>
      <c r="F13935" s="380" t="s">
        <v>5288</v>
      </c>
      <c r="G13935" s="380" t="s">
        <v>1267</v>
      </c>
      <c r="H13935" s="380" t="s">
        <v>771</v>
      </c>
      <c r="I13935" s="380" t="s">
        <v>788</v>
      </c>
      <c r="J13935" s="380" t="s">
        <v>773</v>
      </c>
      <c r="K13935" s="381">
        <v>0.0</v>
      </c>
      <c r="L13935" s="382">
        <v>1.0</v>
      </c>
    </row>
    <row r="13936">
      <c r="A13936" s="380" t="s">
        <v>14810</v>
      </c>
      <c r="B13936" s="380" t="str">
        <f>IFERROR(__xludf.DUMMYFUNCTION("""COMPUTED_VALUE"""),"Kit Reparacion Bascula Dinamic")</f>
        <v>Kit Reparacion Bascula Dinamic</v>
      </c>
      <c r="C13936" s="380" t="str">
        <f>IFERROR(__xludf.DUMMYFUNCTION("""COMPUTED_VALUE"""),"80000271")</f>
        <v>80000271</v>
      </c>
      <c r="D13936" s="380" t="s">
        <v>767</v>
      </c>
      <c r="E13936" s="380" t="s">
        <v>776</v>
      </c>
      <c r="F13936" s="380" t="s">
        <v>976</v>
      </c>
      <c r="G13936" s="380" t="s">
        <v>1267</v>
      </c>
      <c r="H13936" s="380" t="s">
        <v>771</v>
      </c>
      <c r="I13936" s="380" t="s">
        <v>788</v>
      </c>
      <c r="J13936" s="380" t="s">
        <v>773</v>
      </c>
      <c r="K13936" s="381">
        <v>0.0</v>
      </c>
      <c r="L13936" s="382">
        <v>1.0</v>
      </c>
    </row>
    <row r="13937">
      <c r="A13937" s="380" t="s">
        <v>14811</v>
      </c>
      <c r="B13937" s="380" t="str">
        <f>IFERROR(__xludf.DUMMYFUNCTION("""COMPUTED_VALUE"""),"Conjunto Polea Motriz S1 Bw=60")</f>
        <v>Conjunto Polea Motriz S1 Bw=60</v>
      </c>
      <c r="C13937" s="380" t="str">
        <f>IFERROR(__xludf.DUMMYFUNCTION("""COMPUTED_VALUE"""),"80000272")</f>
        <v>80000272</v>
      </c>
      <c r="D13937" s="380" t="s">
        <v>767</v>
      </c>
      <c r="E13937" s="380" t="s">
        <v>776</v>
      </c>
      <c r="F13937" s="380" t="s">
        <v>976</v>
      </c>
      <c r="G13937" s="380" t="s">
        <v>1267</v>
      </c>
      <c r="H13937" s="380" t="s">
        <v>771</v>
      </c>
      <c r="I13937" s="380" t="s">
        <v>788</v>
      </c>
      <c r="J13937" s="380" t="s">
        <v>773</v>
      </c>
      <c r="K13937" s="381">
        <v>0.0</v>
      </c>
      <c r="L13937" s="382">
        <v>1.0</v>
      </c>
    </row>
    <row r="13938">
      <c r="A13938" s="380" t="s">
        <v>14812</v>
      </c>
      <c r="B13938" s="380" t="str">
        <f>IFERROR(__xludf.DUMMYFUNCTION("""COMPUTED_VALUE"""),"Polea Motriz D180 Bw=600 Cb3-4")</f>
        <v>Polea Motriz D180 Bw=600 Cb3-4</v>
      </c>
      <c r="C13938" s="380" t="str">
        <f>IFERROR(__xludf.DUMMYFUNCTION("""COMPUTED_VALUE"""),"80000273")</f>
        <v>80000273</v>
      </c>
      <c r="D13938" s="380" t="s">
        <v>767</v>
      </c>
      <c r="E13938" s="380" t="s">
        <v>776</v>
      </c>
      <c r="F13938" s="380" t="s">
        <v>976</v>
      </c>
      <c r="G13938" s="380" t="s">
        <v>1267</v>
      </c>
      <c r="H13938" s="380" t="s">
        <v>771</v>
      </c>
      <c r="I13938" s="380" t="s">
        <v>788</v>
      </c>
      <c r="J13938" s="380" t="s">
        <v>773</v>
      </c>
      <c r="K13938" s="381">
        <v>0.0</v>
      </c>
      <c r="L13938" s="382">
        <v>1.0</v>
      </c>
    </row>
    <row r="13939">
      <c r="A13939" s="380" t="s">
        <v>14813</v>
      </c>
      <c r="B13939" s="380" t="str">
        <f>IFERROR(__xludf.DUMMYFUNCTION("""COMPUTED_VALUE"""),"Cojinete Embridado D45Mm Ucp20")</f>
        <v>Cojinete Embridado D45Mm Ucp20</v>
      </c>
      <c r="C13939" s="380" t="str">
        <f>IFERROR(__xludf.DUMMYFUNCTION("""COMPUTED_VALUE"""),"80000274")</f>
        <v>80000274</v>
      </c>
      <c r="D13939" s="380" t="s">
        <v>767</v>
      </c>
      <c r="E13939" s="380" t="s">
        <v>776</v>
      </c>
      <c r="F13939" s="380" t="s">
        <v>976</v>
      </c>
      <c r="G13939" s="380" t="s">
        <v>1267</v>
      </c>
      <c r="H13939" s="380" t="s">
        <v>771</v>
      </c>
      <c r="I13939" s="380" t="s">
        <v>788</v>
      </c>
      <c r="J13939" s="380" t="s">
        <v>773</v>
      </c>
      <c r="K13939" s="381">
        <v>0.0</v>
      </c>
      <c r="L13939" s="382">
        <v>1.0</v>
      </c>
    </row>
    <row r="13940">
      <c r="A13940" s="380" t="s">
        <v>14814</v>
      </c>
      <c r="B13940" s="380" t="str">
        <f>IFERROR(__xludf.DUMMYFUNCTION("""COMPUTED_VALUE"""),"Conjunto Polea+Eje Cb3-4 D80 B")</f>
        <v>Conjunto Polea+Eje Cb3-4 D80 B</v>
      </c>
      <c r="C13940" s="380" t="str">
        <f>IFERROR(__xludf.DUMMYFUNCTION("""COMPUTED_VALUE"""),"80000275")</f>
        <v>80000275</v>
      </c>
      <c r="D13940" s="380" t="s">
        <v>767</v>
      </c>
      <c r="E13940" s="380" t="s">
        <v>776</v>
      </c>
      <c r="F13940" s="380" t="s">
        <v>976</v>
      </c>
      <c r="G13940" s="380" t="s">
        <v>1267</v>
      </c>
      <c r="H13940" s="380" t="s">
        <v>771</v>
      </c>
      <c r="I13940" s="380" t="s">
        <v>788</v>
      </c>
      <c r="J13940" s="380" t="s">
        <v>773</v>
      </c>
      <c r="K13940" s="381">
        <v>0.0</v>
      </c>
      <c r="L13940" s="382">
        <v>1.0</v>
      </c>
    </row>
    <row r="13941">
      <c r="A13941" s="380" t="s">
        <v>14815</v>
      </c>
      <c r="B13941" s="380" t="str">
        <f>IFERROR(__xludf.DUMMYFUNCTION("""COMPUTED_VALUE"""),"Conjunto Polea+Eje+Postizo D80")</f>
        <v>Conjunto Polea+Eje+Postizo D80</v>
      </c>
      <c r="C13941" s="380" t="str">
        <f>IFERROR(__xludf.DUMMYFUNCTION("""COMPUTED_VALUE"""),"80000276")</f>
        <v>80000276</v>
      </c>
      <c r="D13941" s="380" t="s">
        <v>767</v>
      </c>
      <c r="E13941" s="380" t="s">
        <v>776</v>
      </c>
      <c r="F13941" s="380" t="s">
        <v>976</v>
      </c>
      <c r="G13941" s="380" t="s">
        <v>1267</v>
      </c>
      <c r="H13941" s="380" t="s">
        <v>771</v>
      </c>
      <c r="I13941" s="380" t="s">
        <v>788</v>
      </c>
      <c r="J13941" s="380" t="s">
        <v>773</v>
      </c>
      <c r="K13941" s="381">
        <v>0.0</v>
      </c>
      <c r="L13941" s="382">
        <v>1.0</v>
      </c>
    </row>
    <row r="13942">
      <c r="A13942" s="380" t="s">
        <v>14816</v>
      </c>
      <c r="B13942" s="380" t="str">
        <f>IFERROR(__xludf.DUMMYFUNCTION("""COMPUTED_VALUE"""),"Rodillo D50 X 630 Eje D17 Be")</f>
        <v>Rodillo D50 X 630 Eje D17 Be</v>
      </c>
      <c r="C13942" s="380" t="str">
        <f>IFERROR(__xludf.DUMMYFUNCTION("""COMPUTED_VALUE"""),"80000277")</f>
        <v>80000277</v>
      </c>
      <c r="D13942" s="380" t="s">
        <v>767</v>
      </c>
      <c r="E13942" s="380" t="s">
        <v>776</v>
      </c>
      <c r="F13942" s="380" t="s">
        <v>976</v>
      </c>
      <c r="G13942" s="380" t="s">
        <v>1267</v>
      </c>
      <c r="H13942" s="380" t="s">
        <v>771</v>
      </c>
      <c r="I13942" s="380" t="s">
        <v>788</v>
      </c>
      <c r="J13942" s="380" t="s">
        <v>773</v>
      </c>
      <c r="K13942" s="381">
        <v>0.0</v>
      </c>
      <c r="L13942" s="382">
        <v>1.0</v>
      </c>
    </row>
    <row r="13943">
      <c r="A13943" s="380" t="s">
        <v>14817</v>
      </c>
      <c r="B13943" s="380" t="str">
        <f>IFERROR(__xludf.DUMMYFUNCTION("""COMPUTED_VALUE"""),"Conjunto De Rueda Lateral R&amp;L")</f>
        <v>Conjunto De Rueda Lateral R&amp;L</v>
      </c>
      <c r="C13943" s="380" t="str">
        <f>IFERROR(__xludf.DUMMYFUNCTION("""COMPUTED_VALUE"""),"80000278")</f>
        <v>80000278</v>
      </c>
      <c r="D13943" s="380" t="s">
        <v>767</v>
      </c>
      <c r="E13943" s="380" t="s">
        <v>776</v>
      </c>
      <c r="F13943" s="380" t="s">
        <v>976</v>
      </c>
      <c r="G13943" s="380" t="s">
        <v>1267</v>
      </c>
      <c r="H13943" s="380" t="s">
        <v>771</v>
      </c>
      <c r="I13943" s="380" t="s">
        <v>788</v>
      </c>
      <c r="J13943" s="380" t="s">
        <v>773</v>
      </c>
      <c r="K13943" s="381">
        <v>0.0</v>
      </c>
      <c r="L13943" s="382">
        <v>1.0</v>
      </c>
    </row>
    <row r="13944">
      <c r="A13944" s="380" t="s">
        <v>14818</v>
      </c>
      <c r="B13944" s="380" t="str">
        <f>IFERROR(__xludf.DUMMYFUNCTION("""COMPUTED_VALUE"""),"Conjunto Inferior Rueda Derech")</f>
        <v>Conjunto Inferior Rueda Derech</v>
      </c>
      <c r="C13944" s="380" t="str">
        <f>IFERROR(__xludf.DUMMYFUNCTION("""COMPUTED_VALUE"""),"80000279")</f>
        <v>80000279</v>
      </c>
      <c r="D13944" s="380" t="s">
        <v>767</v>
      </c>
      <c r="E13944" s="380" t="s">
        <v>776</v>
      </c>
      <c r="F13944" s="380" t="s">
        <v>976</v>
      </c>
      <c r="G13944" s="380" t="s">
        <v>1267</v>
      </c>
      <c r="H13944" s="380" t="s">
        <v>771</v>
      </c>
      <c r="I13944" s="380" t="s">
        <v>788</v>
      </c>
      <c r="J13944" s="380" t="s">
        <v>773</v>
      </c>
      <c r="K13944" s="381">
        <v>0.0</v>
      </c>
      <c r="L13944" s="382">
        <v>1.0</v>
      </c>
    </row>
    <row r="13945">
      <c r="A13945" s="380" t="s">
        <v>14819</v>
      </c>
      <c r="B13945" s="380" t="str">
        <f>IFERROR(__xludf.DUMMYFUNCTION("""COMPUTED_VALUE"""),"Conjunto Inferior Rueda Izquie")</f>
        <v>Conjunto Inferior Rueda Izquie</v>
      </c>
      <c r="C13945" s="380" t="str">
        <f>IFERROR(__xludf.DUMMYFUNCTION("""COMPUTED_VALUE"""),"80000280")</f>
        <v>80000280</v>
      </c>
      <c r="D13945" s="380" t="s">
        <v>767</v>
      </c>
      <c r="E13945" s="380" t="s">
        <v>776</v>
      </c>
      <c r="F13945" s="380" t="s">
        <v>976</v>
      </c>
      <c r="G13945" s="380" t="s">
        <v>1267</v>
      </c>
      <c r="H13945" s="380" t="s">
        <v>771</v>
      </c>
      <c r="I13945" s="380" t="s">
        <v>788</v>
      </c>
      <c r="J13945" s="380" t="s">
        <v>773</v>
      </c>
      <c r="K13945" s="381">
        <v>0.0</v>
      </c>
      <c r="L13945" s="382">
        <v>1.0</v>
      </c>
    </row>
    <row r="13946">
      <c r="A13946" s="380" t="s">
        <v>14820</v>
      </c>
      <c r="B13946" s="380" t="str">
        <f>IFERROR(__xludf.DUMMYFUNCTION("""COMPUTED_VALUE"""),"Conjunto Polea Motriz S2 Bw=60")</f>
        <v>Conjunto Polea Motriz S2 Bw=60</v>
      </c>
      <c r="C13946" s="380" t="str">
        <f>IFERROR(__xludf.DUMMYFUNCTION("""COMPUTED_VALUE"""),"80000281")</f>
        <v>80000281</v>
      </c>
      <c r="D13946" s="380" t="s">
        <v>767</v>
      </c>
      <c r="E13946" s="380" t="s">
        <v>776</v>
      </c>
      <c r="F13946" s="380" t="s">
        <v>976</v>
      </c>
      <c r="G13946" s="380" t="s">
        <v>1267</v>
      </c>
      <c r="H13946" s="380" t="s">
        <v>771</v>
      </c>
      <c r="I13946" s="380" t="s">
        <v>788</v>
      </c>
      <c r="J13946" s="380" t="s">
        <v>773</v>
      </c>
      <c r="K13946" s="381">
        <v>0.0</v>
      </c>
      <c r="L13946" s="382">
        <v>1.0</v>
      </c>
    </row>
    <row r="13947">
      <c r="A13947" s="380" t="s">
        <v>14821</v>
      </c>
      <c r="B13947" s="380" t="str">
        <f>IFERROR(__xludf.DUMMYFUNCTION("""COMPUTED_VALUE"""),"Cojinete Embridado Cara Plana")</f>
        <v>Cojinete Embridado Cara Plana</v>
      </c>
      <c r="C13947" s="380" t="str">
        <f>IFERROR(__xludf.DUMMYFUNCTION("""COMPUTED_VALUE"""),"80000282")</f>
        <v>80000282</v>
      </c>
      <c r="D13947" s="380" t="s">
        <v>767</v>
      </c>
      <c r="E13947" s="380" t="s">
        <v>776</v>
      </c>
      <c r="F13947" s="380" t="s">
        <v>976</v>
      </c>
      <c r="G13947" s="380" t="s">
        <v>1267</v>
      </c>
      <c r="H13947" s="380" t="s">
        <v>771</v>
      </c>
      <c r="I13947" s="380" t="s">
        <v>788</v>
      </c>
      <c r="J13947" s="380" t="s">
        <v>773</v>
      </c>
      <c r="K13947" s="381">
        <v>0.0</v>
      </c>
      <c r="L13947" s="382">
        <v>1.0</v>
      </c>
    </row>
    <row r="13948">
      <c r="A13948" s="380" t="s">
        <v>14822</v>
      </c>
      <c r="B13948" s="380" t="str">
        <f>IFERROR(__xludf.DUMMYFUNCTION("""COMPUTED_VALUE"""),"Rodillo De Retorno Bc")</f>
        <v>Rodillo De Retorno Bc</v>
      </c>
      <c r="C13948" s="380" t="str">
        <f>IFERROR(__xludf.DUMMYFUNCTION("""COMPUTED_VALUE"""),"80000283")</f>
        <v>80000283</v>
      </c>
      <c r="D13948" s="380" t="s">
        <v>767</v>
      </c>
      <c r="E13948" s="380" t="s">
        <v>776</v>
      </c>
      <c r="F13948" s="380" t="s">
        <v>976</v>
      </c>
      <c r="G13948" s="380" t="s">
        <v>1267</v>
      </c>
      <c r="H13948" s="380" t="s">
        <v>771</v>
      </c>
      <c r="I13948" s="380" t="s">
        <v>788</v>
      </c>
      <c r="J13948" s="380" t="s">
        <v>773</v>
      </c>
      <c r="K13948" s="381">
        <v>0.0</v>
      </c>
      <c r="L13948" s="382">
        <v>1.0</v>
      </c>
    </row>
    <row r="13949">
      <c r="A13949" s="380" t="s">
        <v>14823</v>
      </c>
      <c r="B13949" s="380" t="str">
        <f>IFERROR(__xludf.DUMMYFUNCTION("""COMPUTED_VALUE"""),"Rodillo Retorno Ri=1000 Bn=110")</f>
        <v>Rodillo Retorno Ri=1000 Bn=110</v>
      </c>
      <c r="C13949" s="380" t="str">
        <f>IFERROR(__xludf.DUMMYFUNCTION("""COMPUTED_VALUE"""),"80000284")</f>
        <v>80000284</v>
      </c>
      <c r="D13949" s="380" t="s">
        <v>767</v>
      </c>
      <c r="E13949" s="380" t="s">
        <v>776</v>
      </c>
      <c r="F13949" s="380" t="s">
        <v>976</v>
      </c>
      <c r="G13949" s="380" t="s">
        <v>1267</v>
      </c>
      <c r="H13949" s="380" t="s">
        <v>771</v>
      </c>
      <c r="I13949" s="380" t="s">
        <v>788</v>
      </c>
      <c r="J13949" s="380" t="s">
        <v>773</v>
      </c>
      <c r="K13949" s="381">
        <v>0.0</v>
      </c>
      <c r="L13949" s="382">
        <v>1.0</v>
      </c>
    </row>
    <row r="13950">
      <c r="A13950" s="380" t="s">
        <v>14824</v>
      </c>
      <c r="B13950" s="380" t="str">
        <f>IFERROR(__xludf.DUMMYFUNCTION("""COMPUTED_VALUE"""),"Rodillo Retorno Ri=1000 Bn=110")</f>
        <v>Rodillo Retorno Ri=1000 Bn=110</v>
      </c>
      <c r="C13950" s="380" t="str">
        <f>IFERROR(__xludf.DUMMYFUNCTION("""COMPUTED_VALUE"""),"80000285")</f>
        <v>80000285</v>
      </c>
      <c r="D13950" s="380" t="s">
        <v>767</v>
      </c>
      <c r="E13950" s="380" t="s">
        <v>776</v>
      </c>
      <c r="F13950" s="380" t="s">
        <v>976</v>
      </c>
      <c r="G13950" s="380" t="s">
        <v>1267</v>
      </c>
      <c r="H13950" s="380" t="s">
        <v>771</v>
      </c>
      <c r="I13950" s="380" t="s">
        <v>788</v>
      </c>
      <c r="J13950" s="380" t="s">
        <v>773</v>
      </c>
      <c r="K13950" s="381">
        <v>0.0</v>
      </c>
      <c r="L13950" s="382">
        <v>1.0</v>
      </c>
    </row>
    <row r="13951">
      <c r="A13951" s="380" t="s">
        <v>14825</v>
      </c>
      <c r="B13951" s="380" t="str">
        <f>IFERROR(__xludf.DUMMYFUNCTION("""COMPUTED_VALUE"""),"Motorreduct Ka29B/Drn80M4/0,75")</f>
        <v>Motorreduct Ka29B/Drn80M4/0,75</v>
      </c>
      <c r="C13951" s="380" t="str">
        <f>IFERROR(__xludf.DUMMYFUNCTION("""COMPUTED_VALUE"""),"80000286")</f>
        <v>80000286</v>
      </c>
      <c r="D13951" s="380" t="s">
        <v>767</v>
      </c>
      <c r="E13951" s="380" t="s">
        <v>776</v>
      </c>
      <c r="F13951" s="380" t="s">
        <v>1058</v>
      </c>
      <c r="G13951" s="380" t="s">
        <v>1267</v>
      </c>
      <c r="H13951" s="380" t="s">
        <v>771</v>
      </c>
      <c r="I13951" s="380" t="s">
        <v>788</v>
      </c>
      <c r="J13951" s="380" t="s">
        <v>773</v>
      </c>
      <c r="K13951" s="381">
        <v>0.0</v>
      </c>
      <c r="L13951" s="382">
        <v>1.0</v>
      </c>
    </row>
    <row r="13952">
      <c r="A13952" s="380" t="s">
        <v>14826</v>
      </c>
      <c r="B13952" s="380" t="str">
        <f>IFERROR(__xludf.DUMMYFUNCTION("""COMPUTED_VALUE"""),"Motorreduct Ka29B/Drn80M4/0,75")</f>
        <v>Motorreduct Ka29B/Drn80M4/0,75</v>
      </c>
      <c r="C13952" s="380" t="str">
        <f>IFERROR(__xludf.DUMMYFUNCTION("""COMPUTED_VALUE"""),"80000287")</f>
        <v>80000287</v>
      </c>
      <c r="D13952" s="380" t="s">
        <v>767</v>
      </c>
      <c r="E13952" s="380" t="s">
        <v>776</v>
      </c>
      <c r="F13952" s="380" t="s">
        <v>1058</v>
      </c>
      <c r="G13952" s="380" t="s">
        <v>1267</v>
      </c>
      <c r="H13952" s="380" t="s">
        <v>771</v>
      </c>
      <c r="I13952" s="380" t="s">
        <v>788</v>
      </c>
      <c r="J13952" s="380" t="s">
        <v>773</v>
      </c>
      <c r="K13952" s="381">
        <v>0.0</v>
      </c>
      <c r="L13952" s="382">
        <v>1.0</v>
      </c>
    </row>
    <row r="13953">
      <c r="A13953" s="380" t="s">
        <v>14827</v>
      </c>
      <c r="B13953" s="380" t="str">
        <f>IFERROR(__xludf.DUMMYFUNCTION("""COMPUTED_VALUE"""),"Motorreduct Ka29B/Drn80M4/0,75")</f>
        <v>Motorreduct Ka29B/Drn80M4/0,75</v>
      </c>
      <c r="C13953" s="380" t="str">
        <f>IFERROR(__xludf.DUMMYFUNCTION("""COMPUTED_VALUE"""),"80000288")</f>
        <v>80000288</v>
      </c>
      <c r="D13953" s="380" t="s">
        <v>767</v>
      </c>
      <c r="E13953" s="380" t="s">
        <v>776</v>
      </c>
      <c r="F13953" s="380" t="s">
        <v>1058</v>
      </c>
      <c r="G13953" s="380" t="s">
        <v>1267</v>
      </c>
      <c r="H13953" s="380" t="s">
        <v>771</v>
      </c>
      <c r="I13953" s="380" t="s">
        <v>788</v>
      </c>
      <c r="J13953" s="380" t="s">
        <v>773</v>
      </c>
      <c r="K13953" s="381">
        <v>0.0</v>
      </c>
      <c r="L13953" s="382">
        <v>1.0</v>
      </c>
    </row>
    <row r="13954">
      <c r="A13954" s="380" t="s">
        <v>14828</v>
      </c>
      <c r="B13954" s="380" t="str">
        <f>IFERROR(__xludf.DUMMYFUNCTION("""COMPUTED_VALUE"""),"Motorreductor Ka29B/T Drn80/0,")</f>
        <v>Motorreductor Ka29B/T Drn80/0,</v>
      </c>
      <c r="C13954" s="380" t="str">
        <f>IFERROR(__xludf.DUMMYFUNCTION("""COMPUTED_VALUE"""),"80000289")</f>
        <v>80000289</v>
      </c>
      <c r="D13954" s="380" t="s">
        <v>767</v>
      </c>
      <c r="E13954" s="380" t="s">
        <v>776</v>
      </c>
      <c r="F13954" s="380" t="s">
        <v>1058</v>
      </c>
      <c r="G13954" s="380" t="s">
        <v>1267</v>
      </c>
      <c r="H13954" s="380" t="s">
        <v>771</v>
      </c>
      <c r="I13954" s="380" t="s">
        <v>788</v>
      </c>
      <c r="J13954" s="380" t="s">
        <v>773</v>
      </c>
      <c r="K13954" s="381">
        <v>0.0</v>
      </c>
      <c r="L13954" s="382">
        <v>1.0</v>
      </c>
    </row>
    <row r="13955">
      <c r="A13955" s="380" t="s">
        <v>14829</v>
      </c>
      <c r="B13955" s="380" t="str">
        <f>IFERROR(__xludf.DUMMYFUNCTION("""COMPUTED_VALUE"""),"Motorreductor Ka29B/T Drn90/1,")</f>
        <v>Motorreductor Ka29B/T Drn90/1,</v>
      </c>
      <c r="C13955" s="380" t="str">
        <f>IFERROR(__xludf.DUMMYFUNCTION("""COMPUTED_VALUE"""),"80000290")</f>
        <v>80000290</v>
      </c>
      <c r="D13955" s="380" t="s">
        <v>767</v>
      </c>
      <c r="E13955" s="380" t="s">
        <v>776</v>
      </c>
      <c r="F13955" s="380" t="s">
        <v>1058</v>
      </c>
      <c r="G13955" s="380" t="s">
        <v>1267</v>
      </c>
      <c r="H13955" s="380" t="s">
        <v>771</v>
      </c>
      <c r="I13955" s="380" t="s">
        <v>788</v>
      </c>
      <c r="J13955" s="380" t="s">
        <v>773</v>
      </c>
      <c r="K13955" s="381">
        <v>0.0</v>
      </c>
      <c r="L13955" s="382">
        <v>1.0</v>
      </c>
    </row>
    <row r="13956">
      <c r="A13956" s="380" t="s">
        <v>14830</v>
      </c>
      <c r="B13956" s="380" t="str">
        <f>IFERROR(__xludf.DUMMYFUNCTION("""COMPUTED_VALUE"""),"Motorredutor Ka29B/Drn80M4/1,1")</f>
        <v>Motorredutor Ka29B/Drn80M4/1,1</v>
      </c>
      <c r="C13956" s="380" t="str">
        <f>IFERROR(__xludf.DUMMYFUNCTION("""COMPUTED_VALUE"""),"80000291")</f>
        <v>80000291</v>
      </c>
      <c r="D13956" s="380" t="s">
        <v>767</v>
      </c>
      <c r="E13956" s="380" t="s">
        <v>776</v>
      </c>
      <c r="F13956" s="380" t="s">
        <v>1058</v>
      </c>
      <c r="G13956" s="380" t="s">
        <v>1267</v>
      </c>
      <c r="H13956" s="380" t="s">
        <v>771</v>
      </c>
      <c r="I13956" s="380" t="s">
        <v>788</v>
      </c>
      <c r="J13956" s="380" t="s">
        <v>773</v>
      </c>
      <c r="K13956" s="381">
        <v>0.0</v>
      </c>
      <c r="L13956" s="382">
        <v>1.0</v>
      </c>
    </row>
    <row r="13957">
      <c r="A13957" s="380" t="s">
        <v>14831</v>
      </c>
      <c r="B13957" s="380" t="str">
        <f>IFERROR(__xludf.DUMMYFUNCTION("""COMPUTED_VALUE"""),"Motorreduct Ka29B/Drn80M4/1,1/")</f>
        <v>Motorreduct Ka29B/Drn80M4/1,1/</v>
      </c>
      <c r="C13957" s="380" t="str">
        <f>IFERROR(__xludf.DUMMYFUNCTION("""COMPUTED_VALUE"""),"80000292")</f>
        <v>80000292</v>
      </c>
      <c r="D13957" s="380" t="s">
        <v>767</v>
      </c>
      <c r="E13957" s="380" t="s">
        <v>776</v>
      </c>
      <c r="F13957" s="380" t="s">
        <v>1058</v>
      </c>
      <c r="G13957" s="380" t="s">
        <v>1267</v>
      </c>
      <c r="H13957" s="380" t="s">
        <v>771</v>
      </c>
      <c r="I13957" s="380" t="s">
        <v>788</v>
      </c>
      <c r="J13957" s="380" t="s">
        <v>773</v>
      </c>
      <c r="K13957" s="381">
        <v>0.0</v>
      </c>
      <c r="L13957" s="382">
        <v>1.0</v>
      </c>
    </row>
    <row r="13958">
      <c r="A13958" s="380" t="s">
        <v>14832</v>
      </c>
      <c r="B13958" s="380" t="str">
        <f>IFERROR(__xludf.DUMMYFUNCTION("""COMPUTED_VALUE"""),"Motorreduct Ka29B/Drn80M4/1,1/")</f>
        <v>Motorreduct Ka29B/Drn80M4/1,1/</v>
      </c>
      <c r="C13958" s="380" t="str">
        <f>IFERROR(__xludf.DUMMYFUNCTION("""COMPUTED_VALUE"""),"80000293")</f>
        <v>80000293</v>
      </c>
      <c r="D13958" s="380" t="s">
        <v>767</v>
      </c>
      <c r="E13958" s="380" t="s">
        <v>776</v>
      </c>
      <c r="F13958" s="380" t="s">
        <v>1058</v>
      </c>
      <c r="G13958" s="380" t="s">
        <v>1267</v>
      </c>
      <c r="H13958" s="380" t="s">
        <v>771</v>
      </c>
      <c r="I13958" s="380" t="s">
        <v>788</v>
      </c>
      <c r="J13958" s="380" t="s">
        <v>773</v>
      </c>
      <c r="K13958" s="381">
        <v>0.0</v>
      </c>
      <c r="L13958" s="382">
        <v>1.0</v>
      </c>
    </row>
    <row r="13959">
      <c r="A13959" s="380" t="s">
        <v>14833</v>
      </c>
      <c r="B13959" s="380" t="str">
        <f>IFERROR(__xludf.DUMMYFUNCTION("""COMPUTED_VALUE"""),"Motorreduct Ka29B/Drn80M4/1,1/")</f>
        <v>Motorreduct Ka29B/Drn80M4/1,1/</v>
      </c>
      <c r="C13959" s="380" t="str">
        <f>IFERROR(__xludf.DUMMYFUNCTION("""COMPUTED_VALUE"""),"80000294")</f>
        <v>80000294</v>
      </c>
      <c r="D13959" s="380" t="s">
        <v>767</v>
      </c>
      <c r="E13959" s="380" t="s">
        <v>776</v>
      </c>
      <c r="F13959" s="380" t="s">
        <v>1058</v>
      </c>
      <c r="G13959" s="380" t="s">
        <v>1267</v>
      </c>
      <c r="H13959" s="380" t="s">
        <v>771</v>
      </c>
      <c r="I13959" s="380" t="s">
        <v>788</v>
      </c>
      <c r="J13959" s="380" t="s">
        <v>773</v>
      </c>
      <c r="K13959" s="381">
        <v>0.0</v>
      </c>
      <c r="L13959" s="382">
        <v>1.0</v>
      </c>
    </row>
    <row r="13960">
      <c r="A13960" s="380" t="s">
        <v>14834</v>
      </c>
      <c r="B13960" s="380" t="str">
        <f>IFERROR(__xludf.DUMMYFUNCTION("""COMPUTED_VALUE"""),"Motorreductor Ka29B/T Drs71/0,")</f>
        <v>Motorreductor Ka29B/T Drs71/0,</v>
      </c>
      <c r="C13960" s="380" t="str">
        <f>IFERROR(__xludf.DUMMYFUNCTION("""COMPUTED_VALUE"""),"80000295")</f>
        <v>80000295</v>
      </c>
      <c r="D13960" s="380" t="s">
        <v>767</v>
      </c>
      <c r="E13960" s="380" t="s">
        <v>776</v>
      </c>
      <c r="F13960" s="380" t="s">
        <v>1058</v>
      </c>
      <c r="G13960" s="380" t="s">
        <v>1267</v>
      </c>
      <c r="H13960" s="380" t="s">
        <v>771</v>
      </c>
      <c r="I13960" s="380" t="s">
        <v>788</v>
      </c>
      <c r="J13960" s="380" t="s">
        <v>773</v>
      </c>
      <c r="K13960" s="381">
        <v>0.0</v>
      </c>
      <c r="L13960" s="382">
        <v>1.0</v>
      </c>
    </row>
    <row r="13961">
      <c r="A13961" s="380" t="s">
        <v>14835</v>
      </c>
      <c r="B13961" s="380" t="str">
        <f>IFERROR(__xludf.DUMMYFUNCTION("""COMPUTED_VALUE"""),"Motorreduct Ka29B/Drs71M4/0.55")</f>
        <v>Motorreduct Ka29B/Drs71M4/0.55</v>
      </c>
      <c r="C13961" s="380" t="str">
        <f>IFERROR(__xludf.DUMMYFUNCTION("""COMPUTED_VALUE"""),"80000296")</f>
        <v>80000296</v>
      </c>
      <c r="D13961" s="380" t="s">
        <v>767</v>
      </c>
      <c r="E13961" s="380" t="s">
        <v>776</v>
      </c>
      <c r="F13961" s="380" t="s">
        <v>1058</v>
      </c>
      <c r="G13961" s="380" t="s">
        <v>1267</v>
      </c>
      <c r="H13961" s="380" t="s">
        <v>771</v>
      </c>
      <c r="I13961" s="380" t="s">
        <v>788</v>
      </c>
      <c r="J13961" s="380" t="s">
        <v>773</v>
      </c>
      <c r="K13961" s="381">
        <v>0.0</v>
      </c>
      <c r="L13961" s="382">
        <v>1.0</v>
      </c>
    </row>
    <row r="13962">
      <c r="A13962" s="380" t="s">
        <v>14836</v>
      </c>
      <c r="B13962" s="380" t="str">
        <f>IFERROR(__xludf.DUMMYFUNCTION("""COMPUTED_VALUE"""),"Banda Curva Kt96 Ri=1000 Bn=11")</f>
        <v>Banda Curva Kt96 Ri=1000 Bn=11</v>
      </c>
      <c r="C13962" s="380" t="str">
        <f>IFERROR(__xludf.DUMMYFUNCTION("""COMPUTED_VALUE"""),"80000297")</f>
        <v>80000297</v>
      </c>
      <c r="D13962" s="380" t="s">
        <v>767</v>
      </c>
      <c r="E13962" s="380" t="s">
        <v>776</v>
      </c>
      <c r="F13962" s="380" t="s">
        <v>976</v>
      </c>
      <c r="G13962" s="380" t="s">
        <v>1267</v>
      </c>
      <c r="H13962" s="380" t="s">
        <v>771</v>
      </c>
      <c r="I13962" s="380" t="s">
        <v>788</v>
      </c>
      <c r="J13962" s="380" t="s">
        <v>773</v>
      </c>
      <c r="K13962" s="381">
        <v>0.0</v>
      </c>
      <c r="L13962" s="382">
        <v>1.0</v>
      </c>
    </row>
    <row r="13963">
      <c r="A13963" s="380" t="s">
        <v>14837</v>
      </c>
      <c r="B13963" s="380" t="str">
        <f>IFERROR(__xludf.DUMMYFUNCTION("""COMPUTED_VALUE"""),"Banda Curva Kt96 Ri=1000 Bn=11")</f>
        <v>Banda Curva Kt96 Ri=1000 Bn=11</v>
      </c>
      <c r="C13963" s="380" t="str">
        <f>IFERROR(__xludf.DUMMYFUNCTION("""COMPUTED_VALUE"""),"80000298")</f>
        <v>80000298</v>
      </c>
      <c r="D13963" s="380" t="s">
        <v>767</v>
      </c>
      <c r="E13963" s="380" t="s">
        <v>776</v>
      </c>
      <c r="F13963" s="380" t="s">
        <v>976</v>
      </c>
      <c r="G13963" s="380" t="s">
        <v>1267</v>
      </c>
      <c r="H13963" s="380" t="s">
        <v>771</v>
      </c>
      <c r="I13963" s="380" t="s">
        <v>788</v>
      </c>
      <c r="J13963" s="380" t="s">
        <v>773</v>
      </c>
      <c r="K13963" s="381">
        <v>0.0</v>
      </c>
      <c r="L13963" s="382">
        <v>1.0</v>
      </c>
    </row>
    <row r="13964">
      <c r="A13964" s="380" t="s">
        <v>14838</v>
      </c>
      <c r="B13964" s="380" t="str">
        <f>IFERROR(__xludf.DUMMYFUNCTION("""COMPUTED_VALUE"""),"Banda Curva Helix Ts 1600-105")</f>
        <v>Banda Curva Helix Ts 1600-105</v>
      </c>
      <c r="C13964" s="380" t="str">
        <f>IFERROR(__xludf.DUMMYFUNCTION("""COMPUTED_VALUE"""),"80000299")</f>
        <v>80000299</v>
      </c>
      <c r="D13964" s="380" t="s">
        <v>767</v>
      </c>
      <c r="E13964" s="380" t="s">
        <v>776</v>
      </c>
      <c r="F13964" s="380" t="s">
        <v>976</v>
      </c>
      <c r="G13964" s="380" t="s">
        <v>1267</v>
      </c>
      <c r="H13964" s="380" t="s">
        <v>771</v>
      </c>
      <c r="I13964" s="380" t="s">
        <v>788</v>
      </c>
      <c r="J13964" s="380" t="s">
        <v>773</v>
      </c>
      <c r="K13964" s="381">
        <v>0.0</v>
      </c>
      <c r="L13964" s="382">
        <v>1.0</v>
      </c>
    </row>
    <row r="13965">
      <c r="A13965" s="380" t="s">
        <v>14839</v>
      </c>
      <c r="B13965" s="380" t="str">
        <f>IFERROR(__xludf.DUMMYFUNCTION("""COMPUTED_VALUE"""),"Banda Curva Helix Ts 1600-105")</f>
        <v>Banda Curva Helix Ts 1600-105</v>
      </c>
      <c r="C13965" s="380" t="str">
        <f>IFERROR(__xludf.DUMMYFUNCTION("""COMPUTED_VALUE"""),"80000300")</f>
        <v>80000300</v>
      </c>
      <c r="D13965" s="380" t="s">
        <v>767</v>
      </c>
      <c r="E13965" s="380" t="s">
        <v>776</v>
      </c>
      <c r="F13965" s="380" t="s">
        <v>976</v>
      </c>
      <c r="G13965" s="380" t="s">
        <v>1267</v>
      </c>
      <c r="H13965" s="380" t="s">
        <v>771</v>
      </c>
      <c r="I13965" s="380" t="s">
        <v>788</v>
      </c>
      <c r="J13965" s="380" t="s">
        <v>773</v>
      </c>
      <c r="K13965" s="381">
        <v>0.0</v>
      </c>
      <c r="L13965" s="382">
        <v>1.0</v>
      </c>
    </row>
    <row r="13966">
      <c r="A13966" s="380" t="s">
        <v>14840</v>
      </c>
      <c r="B13966" s="380" t="str">
        <f>IFERROR(__xludf.DUMMYFUNCTION("""COMPUTED_VALUE"""),"Banda Curva Helix Ts 1600-105")</f>
        <v>Banda Curva Helix Ts 1600-105</v>
      </c>
      <c r="C13966" s="380" t="str">
        <f>IFERROR(__xludf.DUMMYFUNCTION("""COMPUTED_VALUE"""),"80000301")</f>
        <v>80000301</v>
      </c>
      <c r="D13966" s="380" t="s">
        <v>767</v>
      </c>
      <c r="E13966" s="380" t="s">
        <v>776</v>
      </c>
      <c r="F13966" s="380" t="s">
        <v>976</v>
      </c>
      <c r="G13966" s="380" t="s">
        <v>1267</v>
      </c>
      <c r="H13966" s="380" t="s">
        <v>771</v>
      </c>
      <c r="I13966" s="380" t="s">
        <v>788</v>
      </c>
      <c r="J13966" s="380" t="s">
        <v>773</v>
      </c>
      <c r="K13966" s="381">
        <v>0.0</v>
      </c>
      <c r="L13966" s="382">
        <v>1.0</v>
      </c>
    </row>
    <row r="13967">
      <c r="A13967" s="380" t="s">
        <v>14841</v>
      </c>
      <c r="B13967" s="380" t="str">
        <f>IFERROR(__xludf.DUMMYFUNCTION("""COMPUTED_VALUE"""),"Banda Curva Helix Ts 1600-105")</f>
        <v>Banda Curva Helix Ts 1600-105</v>
      </c>
      <c r="C13967" s="380" t="str">
        <f>IFERROR(__xludf.DUMMYFUNCTION("""COMPUTED_VALUE"""),"80000302")</f>
        <v>80000302</v>
      </c>
      <c r="D13967" s="380" t="s">
        <v>767</v>
      </c>
      <c r="E13967" s="380" t="s">
        <v>776</v>
      </c>
      <c r="F13967" s="380" t="s">
        <v>976</v>
      </c>
      <c r="G13967" s="380" t="s">
        <v>1267</v>
      </c>
      <c r="H13967" s="380" t="s">
        <v>771</v>
      </c>
      <c r="I13967" s="380" t="s">
        <v>788</v>
      </c>
      <c r="J13967" s="380" t="s">
        <v>773</v>
      </c>
      <c r="K13967" s="381">
        <v>0.0</v>
      </c>
      <c r="L13967" s="382">
        <v>1.0</v>
      </c>
    </row>
    <row r="13968">
      <c r="A13968" s="380" t="s">
        <v>14842</v>
      </c>
      <c r="B13968" s="380" t="str">
        <f>IFERROR(__xludf.DUMMYFUNCTION("""COMPUTED_VALUE"""),"Banda Curva Helix Ts 1600-105")</f>
        <v>Banda Curva Helix Ts 1600-105</v>
      </c>
      <c r="C13968" s="380" t="str">
        <f>IFERROR(__xludf.DUMMYFUNCTION("""COMPUTED_VALUE"""),"80000303")</f>
        <v>80000303</v>
      </c>
      <c r="D13968" s="380" t="s">
        <v>767</v>
      </c>
      <c r="E13968" s="380" t="s">
        <v>776</v>
      </c>
      <c r="F13968" s="380" t="s">
        <v>976</v>
      </c>
      <c r="G13968" s="380" t="s">
        <v>1267</v>
      </c>
      <c r="H13968" s="380" t="s">
        <v>771</v>
      </c>
      <c r="I13968" s="380" t="s">
        <v>788</v>
      </c>
      <c r="J13968" s="380" t="s">
        <v>773</v>
      </c>
      <c r="K13968" s="381">
        <v>0.0</v>
      </c>
      <c r="L13968" s="382">
        <v>1.0</v>
      </c>
    </row>
    <row r="13969">
      <c r="A13969" s="380" t="s">
        <v>14843</v>
      </c>
      <c r="B13969" s="380" t="str">
        <f>IFERROR(__xludf.DUMMYFUNCTION("""COMPUTED_VALUE"""),"Soporte Para Cojinete Inferior")</f>
        <v>Soporte Para Cojinete Inferior</v>
      </c>
      <c r="C13969" s="380" t="str">
        <f>IFERROR(__xludf.DUMMYFUNCTION("""COMPUTED_VALUE"""),"80000304")</f>
        <v>80000304</v>
      </c>
      <c r="D13969" s="380" t="s">
        <v>767</v>
      </c>
      <c r="E13969" s="380" t="s">
        <v>776</v>
      </c>
      <c r="F13969" s="380" t="s">
        <v>976</v>
      </c>
      <c r="G13969" s="380" t="s">
        <v>1267</v>
      </c>
      <c r="H13969" s="380" t="s">
        <v>771</v>
      </c>
      <c r="I13969" s="380" t="s">
        <v>788</v>
      </c>
      <c r="J13969" s="380" t="s">
        <v>773</v>
      </c>
      <c r="K13969" s="381">
        <v>0.0</v>
      </c>
      <c r="L13969" s="382">
        <v>1.0</v>
      </c>
    </row>
    <row r="13970">
      <c r="A13970" s="380" t="s">
        <v>14844</v>
      </c>
      <c r="B13970" s="380" t="str">
        <f>IFERROR(__xludf.DUMMYFUNCTION("""COMPUTED_VALUE"""),"Soporte Para Cojinete Superior")</f>
        <v>Soporte Para Cojinete Superior</v>
      </c>
      <c r="C13970" s="380" t="str">
        <f>IFERROR(__xludf.DUMMYFUNCTION("""COMPUTED_VALUE"""),"80000305")</f>
        <v>80000305</v>
      </c>
      <c r="D13970" s="380" t="s">
        <v>767</v>
      </c>
      <c r="E13970" s="380" t="s">
        <v>776</v>
      </c>
      <c r="F13970" s="380" t="s">
        <v>976</v>
      </c>
      <c r="G13970" s="380" t="s">
        <v>1267</v>
      </c>
      <c r="H13970" s="380" t="s">
        <v>771</v>
      </c>
      <c r="I13970" s="380" t="s">
        <v>788</v>
      </c>
      <c r="J13970" s="380" t="s">
        <v>773</v>
      </c>
      <c r="K13970" s="381">
        <v>0.0</v>
      </c>
      <c r="L13970" s="382">
        <v>1.0</v>
      </c>
    </row>
    <row r="13971">
      <c r="A13971" s="380" t="s">
        <v>14845</v>
      </c>
      <c r="B13971" s="380" t="str">
        <f>IFERROR(__xludf.DUMMYFUNCTION("""COMPUTED_VALUE"""),"Tambor Motriz Conico Salida Ri")</f>
        <v>Tambor Motriz Conico Salida Ri</v>
      </c>
      <c r="C13971" s="380" t="str">
        <f>IFERROR(__xludf.DUMMYFUNCTION("""COMPUTED_VALUE"""),"80000306")</f>
        <v>80000306</v>
      </c>
      <c r="D13971" s="380" t="s">
        <v>767</v>
      </c>
      <c r="E13971" s="380" t="s">
        <v>776</v>
      </c>
      <c r="F13971" s="380" t="s">
        <v>976</v>
      </c>
      <c r="G13971" s="380" t="s">
        <v>1267</v>
      </c>
      <c r="H13971" s="380" t="s">
        <v>771</v>
      </c>
      <c r="I13971" s="380" t="s">
        <v>788</v>
      </c>
      <c r="J13971" s="380" t="s">
        <v>773</v>
      </c>
      <c r="K13971" s="381">
        <v>0.0</v>
      </c>
      <c r="L13971" s="382">
        <v>1.0</v>
      </c>
    </row>
    <row r="13972">
      <c r="A13972" s="380" t="s">
        <v>14846</v>
      </c>
      <c r="B13972" s="380" t="str">
        <f>IFERROR(__xludf.DUMMYFUNCTION("""COMPUTED_VALUE"""),"Tambor Motriz Conico Salida Ts")</f>
        <v>Tambor Motriz Conico Salida Ts</v>
      </c>
      <c r="C13972" s="380" t="str">
        <f>IFERROR(__xludf.DUMMYFUNCTION("""COMPUTED_VALUE"""),"80000307")</f>
        <v>80000307</v>
      </c>
      <c r="D13972" s="380" t="s">
        <v>767</v>
      </c>
      <c r="E13972" s="380" t="s">
        <v>776</v>
      </c>
      <c r="F13972" s="380" t="s">
        <v>976</v>
      </c>
      <c r="G13972" s="380" t="s">
        <v>1267</v>
      </c>
      <c r="H13972" s="380" t="s">
        <v>771</v>
      </c>
      <c r="I13972" s="380" t="s">
        <v>788</v>
      </c>
      <c r="J13972" s="380" t="s">
        <v>773</v>
      </c>
      <c r="K13972" s="381">
        <v>0.0</v>
      </c>
      <c r="L13972" s="382">
        <v>1.0</v>
      </c>
    </row>
    <row r="13973">
      <c r="A13973" s="380" t="s">
        <v>14847</v>
      </c>
      <c r="B13973" s="380" t="str">
        <f>IFERROR(__xludf.DUMMYFUNCTION("""COMPUTED_VALUE"""),"Tambor Motriz Conico Entrada R")</f>
        <v>Tambor Motriz Conico Entrada R</v>
      </c>
      <c r="C13973" s="380" t="str">
        <f>IFERROR(__xludf.DUMMYFUNCTION("""COMPUTED_VALUE"""),"80000308")</f>
        <v>80000308</v>
      </c>
      <c r="D13973" s="380" t="s">
        <v>767</v>
      </c>
      <c r="E13973" s="380" t="s">
        <v>776</v>
      </c>
      <c r="F13973" s="380" t="s">
        <v>976</v>
      </c>
      <c r="G13973" s="380" t="s">
        <v>1267</v>
      </c>
      <c r="H13973" s="380" t="s">
        <v>771</v>
      </c>
      <c r="I13973" s="380" t="s">
        <v>788</v>
      </c>
      <c r="J13973" s="380" t="s">
        <v>773</v>
      </c>
      <c r="K13973" s="381">
        <v>0.0</v>
      </c>
      <c r="L13973" s="382">
        <v>1.0</v>
      </c>
    </row>
    <row r="13974">
      <c r="A13974" s="380" t="s">
        <v>14848</v>
      </c>
      <c r="B13974" s="380" t="str">
        <f>IFERROR(__xludf.DUMMYFUNCTION("""COMPUTED_VALUE"""),"Tambor Motriz Conico Salida Ts")</f>
        <v>Tambor Motriz Conico Salida Ts</v>
      </c>
      <c r="C13974" s="380" t="str">
        <f>IFERROR(__xludf.DUMMYFUNCTION("""COMPUTED_VALUE"""),"80000309")</f>
        <v>80000309</v>
      </c>
      <c r="D13974" s="380" t="s">
        <v>767</v>
      </c>
      <c r="E13974" s="380" t="s">
        <v>776</v>
      </c>
      <c r="F13974" s="380" t="s">
        <v>976</v>
      </c>
      <c r="G13974" s="380" t="s">
        <v>1267</v>
      </c>
      <c r="H13974" s="380" t="s">
        <v>771</v>
      </c>
      <c r="I13974" s="380" t="s">
        <v>788</v>
      </c>
      <c r="J13974" s="380" t="s">
        <v>773</v>
      </c>
      <c r="K13974" s="381">
        <v>0.0</v>
      </c>
      <c r="L13974" s="382">
        <v>1.0</v>
      </c>
    </row>
    <row r="13975">
      <c r="A13975" s="380" t="s">
        <v>14849</v>
      </c>
      <c r="B13975" s="380" t="str">
        <f>IFERROR(__xludf.DUMMYFUNCTION("""COMPUTED_VALUE"""),"Cojinete Embridado D40Mm Bc")</f>
        <v>Cojinete Embridado D40Mm Bc</v>
      </c>
      <c r="C13975" s="380" t="str">
        <f>IFERROR(__xludf.DUMMYFUNCTION("""COMPUTED_VALUE"""),"80000310")</f>
        <v>80000310</v>
      </c>
      <c r="D13975" s="380" t="s">
        <v>767</v>
      </c>
      <c r="E13975" s="380" t="s">
        <v>776</v>
      </c>
      <c r="F13975" s="380" t="s">
        <v>976</v>
      </c>
      <c r="G13975" s="380" t="s">
        <v>1267</v>
      </c>
      <c r="H13975" s="380" t="s">
        <v>771</v>
      </c>
      <c r="I13975" s="380" t="s">
        <v>788</v>
      </c>
      <c r="J13975" s="380" t="s">
        <v>773</v>
      </c>
      <c r="K13975" s="381">
        <v>0.0</v>
      </c>
      <c r="L13975" s="382">
        <v>1.0</v>
      </c>
    </row>
    <row r="13976">
      <c r="A13976" s="380" t="s">
        <v>14850</v>
      </c>
      <c r="B13976" s="380" t="str">
        <f>IFERROR(__xludf.DUMMYFUNCTION("""COMPUTED_VALUE"""),"Bloqueador De Soporte Gris Ts")</f>
        <v>Bloqueador De Soporte Gris Ts</v>
      </c>
      <c r="C13976" s="380" t="str">
        <f>IFERROR(__xludf.DUMMYFUNCTION("""COMPUTED_VALUE"""),"80000311")</f>
        <v>80000311</v>
      </c>
      <c r="D13976" s="380" t="s">
        <v>767</v>
      </c>
      <c r="E13976" s="380" t="s">
        <v>776</v>
      </c>
      <c r="F13976" s="380" t="s">
        <v>976</v>
      </c>
      <c r="G13976" s="380" t="s">
        <v>1267</v>
      </c>
      <c r="H13976" s="380" t="s">
        <v>771</v>
      </c>
      <c r="I13976" s="380" t="s">
        <v>788</v>
      </c>
      <c r="J13976" s="380" t="s">
        <v>773</v>
      </c>
      <c r="K13976" s="381">
        <v>0.0</v>
      </c>
      <c r="L13976" s="382">
        <v>1.0</v>
      </c>
    </row>
    <row r="13977">
      <c r="A13977" s="380" t="s">
        <v>14851</v>
      </c>
      <c r="B13977" s="380" t="str">
        <f>IFERROR(__xludf.DUMMYFUNCTION("""COMPUTED_VALUE"""),"Cable Tierra Litz 10Mm²/M6 - M")</f>
        <v>Cable Tierra Litz 10Mm²/M6 - M</v>
      </c>
      <c r="C13977" s="380" t="str">
        <f>IFERROR(__xludf.DUMMYFUNCTION("""COMPUTED_VALUE"""),"80000312")</f>
        <v>80000312</v>
      </c>
      <c r="D13977" s="380" t="s">
        <v>767</v>
      </c>
      <c r="E13977" s="380" t="s">
        <v>776</v>
      </c>
      <c r="F13977" s="380" t="s">
        <v>1058</v>
      </c>
      <c r="G13977" s="380" t="s">
        <v>1267</v>
      </c>
      <c r="H13977" s="380" t="s">
        <v>771</v>
      </c>
      <c r="I13977" s="380" t="s">
        <v>788</v>
      </c>
      <c r="J13977" s="380" t="s">
        <v>773</v>
      </c>
      <c r="K13977" s="381">
        <v>0.0</v>
      </c>
      <c r="L13977" s="382">
        <v>1.0</v>
      </c>
    </row>
    <row r="13978">
      <c r="A13978" s="380" t="s">
        <v>14852</v>
      </c>
      <c r="B13978" s="380" t="str">
        <f>IFERROR(__xludf.DUMMYFUNCTION("""COMPUTED_VALUE"""),"Ppi Sensor Encoder")</f>
        <v>Ppi Sensor Encoder</v>
      </c>
      <c r="C13978" s="380" t="str">
        <f>IFERROR(__xludf.DUMMYFUNCTION("""COMPUTED_VALUE"""),"80000313")</f>
        <v>80000313</v>
      </c>
      <c r="D13978" s="380" t="s">
        <v>767</v>
      </c>
      <c r="E13978" s="380" t="s">
        <v>776</v>
      </c>
      <c r="F13978" s="380" t="s">
        <v>1058</v>
      </c>
      <c r="G13978" s="380" t="s">
        <v>1267</v>
      </c>
      <c r="H13978" s="380" t="s">
        <v>771</v>
      </c>
      <c r="I13978" s="380" t="s">
        <v>788</v>
      </c>
      <c r="J13978" s="380" t="s">
        <v>773</v>
      </c>
      <c r="K13978" s="381">
        <v>0.0</v>
      </c>
      <c r="L13978" s="382">
        <v>1.0</v>
      </c>
    </row>
    <row r="13979">
      <c r="A13979" s="380" t="s">
        <v>14853</v>
      </c>
      <c r="B13979" s="380" t="str">
        <f>IFERROR(__xludf.DUMMYFUNCTION("""COMPUTED_VALUE"""),"Display Towline Dn-109/3Dne Et")</f>
        <v>Display Towline Dn-109/3Dne Et</v>
      </c>
      <c r="C13979" s="380" t="str">
        <f>IFERROR(__xludf.DUMMYFUNCTION("""COMPUTED_VALUE"""),"80000314")</f>
        <v>80000314</v>
      </c>
      <c r="D13979" s="380" t="s">
        <v>767</v>
      </c>
      <c r="E13979" s="380" t="s">
        <v>776</v>
      </c>
      <c r="F13979" s="380" t="s">
        <v>1058</v>
      </c>
      <c r="G13979" s="380" t="s">
        <v>1267</v>
      </c>
      <c r="H13979" s="380" t="s">
        <v>771</v>
      </c>
      <c r="I13979" s="380" t="s">
        <v>788</v>
      </c>
      <c r="J13979" s="380" t="s">
        <v>773</v>
      </c>
      <c r="K13979" s="381">
        <v>0.0</v>
      </c>
      <c r="L13979" s="382">
        <v>1.0</v>
      </c>
    </row>
    <row r="13980">
      <c r="A13980" s="380" t="s">
        <v>14854</v>
      </c>
      <c r="B13980" s="380" t="str">
        <f>IFERROR(__xludf.DUMMYFUNCTION("""COMPUTED_VALUE"""),"Sirena Towline 14015050 24Vdc")</f>
        <v>Sirena Towline 14015050 24Vdc</v>
      </c>
      <c r="C13980" s="380" t="str">
        <f>IFERROR(__xludf.DUMMYFUNCTION("""COMPUTED_VALUE"""),"80000315")</f>
        <v>80000315</v>
      </c>
      <c r="D13980" s="380" t="s">
        <v>767</v>
      </c>
      <c r="E13980" s="380" t="s">
        <v>776</v>
      </c>
      <c r="F13980" s="380" t="s">
        <v>1058</v>
      </c>
      <c r="G13980" s="380" t="s">
        <v>1267</v>
      </c>
      <c r="H13980" s="380" t="s">
        <v>771</v>
      </c>
      <c r="I13980" s="380" t="s">
        <v>788</v>
      </c>
      <c r="J13980" s="380" t="s">
        <v>773</v>
      </c>
      <c r="K13980" s="381">
        <v>0.0</v>
      </c>
      <c r="L13980" s="382">
        <v>1.0</v>
      </c>
    </row>
    <row r="13981">
      <c r="A13981" s="380" t="s">
        <v>14855</v>
      </c>
      <c r="B13981" s="380" t="str">
        <f>IFERROR(__xludf.DUMMYFUNCTION("""COMPUTED_VALUE"""),"Switch Limitador Towline Xckm1")</f>
        <v>Switch Limitador Towline Xckm1</v>
      </c>
      <c r="C13981" s="380" t="str">
        <f>IFERROR(__xludf.DUMMYFUNCTION("""COMPUTED_VALUE"""),"80000316")</f>
        <v>80000316</v>
      </c>
      <c r="D13981" s="380" t="s">
        <v>767</v>
      </c>
      <c r="E13981" s="380" t="s">
        <v>776</v>
      </c>
      <c r="F13981" s="380" t="s">
        <v>1058</v>
      </c>
      <c r="G13981" s="380" t="s">
        <v>1267</v>
      </c>
      <c r="H13981" s="380" t="s">
        <v>771</v>
      </c>
      <c r="I13981" s="380" t="s">
        <v>788</v>
      </c>
      <c r="J13981" s="380" t="s">
        <v>773</v>
      </c>
      <c r="K13981" s="381">
        <v>0.0</v>
      </c>
      <c r="L13981" s="382">
        <v>1.0</v>
      </c>
    </row>
    <row r="13982">
      <c r="A13982" s="380" t="s">
        <v>14856</v>
      </c>
      <c r="B13982" s="380" t="str">
        <f>IFERROR(__xludf.DUMMYFUNCTION("""COMPUTED_VALUE"""),"Tag Radiofrecuencia Simec Rfid")</f>
        <v>Tag Radiofrecuencia Simec Rfid</v>
      </c>
      <c r="C13982" s="380" t="str">
        <f>IFERROR(__xludf.DUMMYFUNCTION("""COMPUTED_VALUE"""),"80000317")</f>
        <v>80000317</v>
      </c>
      <c r="D13982" s="380" t="s">
        <v>767</v>
      </c>
      <c r="E13982" s="380" t="s">
        <v>776</v>
      </c>
      <c r="F13982" s="380" t="s">
        <v>976</v>
      </c>
      <c r="G13982" s="380" t="s">
        <v>1267</v>
      </c>
      <c r="H13982" s="380" t="s">
        <v>771</v>
      </c>
      <c r="I13982" s="380" t="s">
        <v>788</v>
      </c>
      <c r="J13982" s="380" t="s">
        <v>773</v>
      </c>
      <c r="K13982" s="381">
        <v>0.0</v>
      </c>
      <c r="L13982" s="382">
        <v>1.0</v>
      </c>
    </row>
    <row r="13983">
      <c r="A13983" s="380" t="s">
        <v>14857</v>
      </c>
      <c r="B13983" s="380" t="str">
        <f>IFERROR(__xludf.DUMMYFUNCTION("""COMPUTED_VALUE"""),"Acoplador Profibus/Profinet")</f>
        <v>Acoplador Profibus/Profinet</v>
      </c>
      <c r="C13983" s="380" t="str">
        <f>IFERROR(__xludf.DUMMYFUNCTION("""COMPUTED_VALUE"""),"80000318")</f>
        <v>80000318</v>
      </c>
      <c r="D13983" s="380" t="s">
        <v>767</v>
      </c>
      <c r="E13983" s="380" t="s">
        <v>776</v>
      </c>
      <c r="F13983" s="380" t="s">
        <v>976</v>
      </c>
      <c r="G13983" s="380" t="s">
        <v>1267</v>
      </c>
      <c r="H13983" s="380" t="s">
        <v>771</v>
      </c>
      <c r="I13983" s="380" t="s">
        <v>788</v>
      </c>
      <c r="J13983" s="380" t="s">
        <v>773</v>
      </c>
      <c r="K13983" s="381">
        <v>0.0</v>
      </c>
      <c r="L13983" s="382">
        <v>1.0</v>
      </c>
    </row>
    <row r="13984">
      <c r="A13984" s="380" t="s">
        <v>14858</v>
      </c>
      <c r="B13984" s="380" t="str">
        <f>IFERROR(__xludf.DUMMYFUNCTION("""COMPUTED_VALUE"""),"Modulo De Diodos Emg 45-Dio8E")</f>
        <v>Modulo De Diodos Emg 45-Dio8E</v>
      </c>
      <c r="C13984" s="380" t="str">
        <f>IFERROR(__xludf.DUMMYFUNCTION("""COMPUTED_VALUE"""),"80000319")</f>
        <v>80000319</v>
      </c>
      <c r="D13984" s="380" t="s">
        <v>767</v>
      </c>
      <c r="E13984" s="380" t="s">
        <v>776</v>
      </c>
      <c r="F13984" s="380" t="s">
        <v>1058</v>
      </c>
      <c r="G13984" s="380" t="s">
        <v>1267</v>
      </c>
      <c r="H13984" s="380" t="s">
        <v>771</v>
      </c>
      <c r="I13984" s="380" t="s">
        <v>788</v>
      </c>
      <c r="J13984" s="380" t="s">
        <v>773</v>
      </c>
      <c r="K13984" s="381">
        <v>0.0</v>
      </c>
      <c r="L13984" s="382">
        <v>1.0</v>
      </c>
    </row>
    <row r="13985">
      <c r="A13985" s="380" t="s">
        <v>14859</v>
      </c>
      <c r="B13985" s="380" t="str">
        <f>IFERROR(__xludf.DUMMYFUNCTION("""COMPUTED_VALUE"""),"Rele De Fallo De Fase 160...69")</f>
        <v>Rele De Fallo De Fase 160...69</v>
      </c>
      <c r="C13985" s="380" t="str">
        <f>IFERROR(__xludf.DUMMYFUNCTION("""COMPUTED_VALUE"""),"80000320")</f>
        <v>80000320</v>
      </c>
      <c r="D13985" s="380" t="s">
        <v>767</v>
      </c>
      <c r="E13985" s="380" t="s">
        <v>776</v>
      </c>
      <c r="F13985" s="380" t="s">
        <v>1058</v>
      </c>
      <c r="G13985" s="380" t="s">
        <v>1267</v>
      </c>
      <c r="H13985" s="380" t="s">
        <v>771</v>
      </c>
      <c r="I13985" s="380" t="s">
        <v>788</v>
      </c>
      <c r="J13985" s="380" t="s">
        <v>773</v>
      </c>
      <c r="K13985" s="381">
        <v>0.0</v>
      </c>
      <c r="L13985" s="382">
        <v>1.0</v>
      </c>
    </row>
    <row r="13986">
      <c r="A13986" s="380" t="s">
        <v>14860</v>
      </c>
      <c r="B13986" s="380" t="str">
        <f>IFERROR(__xludf.DUMMYFUNCTION("""COMPUTED_VALUE"""),"Supresor Varistor 24-48 Vac-24")</f>
        <v>Supresor Varistor 24-48 Vac-24</v>
      </c>
      <c r="C13986" s="380" t="str">
        <f>IFERROR(__xludf.DUMMYFUNCTION("""COMPUTED_VALUE"""),"80000321")</f>
        <v>80000321</v>
      </c>
      <c r="D13986" s="380" t="s">
        <v>767</v>
      </c>
      <c r="E13986" s="380" t="s">
        <v>776</v>
      </c>
      <c r="F13986" s="380" t="s">
        <v>1058</v>
      </c>
      <c r="G13986" s="380" t="s">
        <v>1267</v>
      </c>
      <c r="H13986" s="380" t="s">
        <v>771</v>
      </c>
      <c r="I13986" s="380" t="s">
        <v>788</v>
      </c>
      <c r="J13986" s="380" t="s">
        <v>773</v>
      </c>
      <c r="K13986" s="381">
        <v>0.0</v>
      </c>
      <c r="L13986" s="382">
        <v>1.0</v>
      </c>
    </row>
    <row r="13987">
      <c r="A13987" s="380" t="s">
        <v>14861</v>
      </c>
      <c r="B13987" s="380" t="str">
        <f>IFERROR(__xludf.DUMMYFUNCTION("""COMPUTED_VALUE"""),"Supresor Varistor 24-48 Vac-24")</f>
        <v>Supresor Varistor 24-48 Vac-24</v>
      </c>
      <c r="C13987" s="380" t="str">
        <f>IFERROR(__xludf.DUMMYFUNCTION("""COMPUTED_VALUE"""),"80000322")</f>
        <v>80000322</v>
      </c>
      <c r="D13987" s="380" t="s">
        <v>767</v>
      </c>
      <c r="E13987" s="380" t="s">
        <v>776</v>
      </c>
      <c r="F13987" s="380" t="s">
        <v>1058</v>
      </c>
      <c r="G13987" s="380" t="s">
        <v>1267</v>
      </c>
      <c r="H13987" s="380" t="s">
        <v>771</v>
      </c>
      <c r="I13987" s="380" t="s">
        <v>788</v>
      </c>
      <c r="J13987" s="380" t="s">
        <v>773</v>
      </c>
      <c r="K13987" s="381">
        <v>0.0</v>
      </c>
      <c r="L13987" s="382">
        <v>1.0</v>
      </c>
    </row>
    <row r="13988">
      <c r="A13988" s="380" t="s">
        <v>14862</v>
      </c>
      <c r="B13988" s="380" t="str">
        <f>IFERROR(__xludf.DUMMYFUNCTION("""COMPUTED_VALUE"""),"Interruptor Principal 3Polos 6")</f>
        <v>Interruptor Principal 3Polos 6</v>
      </c>
      <c r="C13988" s="380" t="str">
        <f>IFERROR(__xludf.DUMMYFUNCTION("""COMPUTED_VALUE"""),"80000323")</f>
        <v>80000323</v>
      </c>
      <c r="D13988" s="380" t="s">
        <v>767</v>
      </c>
      <c r="E13988" s="380" t="s">
        <v>776</v>
      </c>
      <c r="F13988" s="380" t="s">
        <v>1058</v>
      </c>
      <c r="G13988" s="380" t="s">
        <v>1267</v>
      </c>
      <c r="H13988" s="380" t="s">
        <v>771</v>
      </c>
      <c r="I13988" s="380" t="s">
        <v>788</v>
      </c>
      <c r="J13988" s="380" t="s">
        <v>773</v>
      </c>
      <c r="K13988" s="381">
        <v>0.0</v>
      </c>
      <c r="L13988" s="382">
        <v>1.0</v>
      </c>
    </row>
    <row r="13989">
      <c r="A13989" s="380" t="s">
        <v>14863</v>
      </c>
      <c r="B13989" s="380" t="str">
        <f>IFERROR(__xludf.DUMMYFUNCTION("""COMPUTED_VALUE"""),"Relé Opto Tf/Itl")</f>
        <v>Relé Opto Tf/Itl</v>
      </c>
      <c r="C13989" s="380" t="str">
        <f>IFERROR(__xludf.DUMMYFUNCTION("""COMPUTED_VALUE"""),"80000324")</f>
        <v>80000324</v>
      </c>
      <c r="D13989" s="380" t="s">
        <v>767</v>
      </c>
      <c r="E13989" s="380" t="s">
        <v>776</v>
      </c>
      <c r="F13989" s="380" t="s">
        <v>1058</v>
      </c>
      <c r="G13989" s="380" t="s">
        <v>1267</v>
      </c>
      <c r="H13989" s="380" t="s">
        <v>771</v>
      </c>
      <c r="I13989" s="380" t="s">
        <v>788</v>
      </c>
      <c r="J13989" s="380" t="s">
        <v>773</v>
      </c>
      <c r="K13989" s="381">
        <v>0.0</v>
      </c>
      <c r="L13989" s="382">
        <v>1.0</v>
      </c>
    </row>
    <row r="13990">
      <c r="A13990" s="380" t="s">
        <v>14864</v>
      </c>
      <c r="B13990" s="380" t="str">
        <f>IFERROR(__xludf.DUMMYFUNCTION("""COMPUTED_VALUE"""),"Gui/Hmi Del Fsc Tf/Itl")</f>
        <v>Gui/Hmi Del Fsc Tf/Itl</v>
      </c>
      <c r="C13990" s="380" t="str">
        <f>IFERROR(__xludf.DUMMYFUNCTION("""COMPUTED_VALUE"""),"80000325")</f>
        <v>80000325</v>
      </c>
      <c r="D13990" s="380" t="s">
        <v>767</v>
      </c>
      <c r="E13990" s="380" t="s">
        <v>776</v>
      </c>
      <c r="F13990" s="380" t="s">
        <v>1058</v>
      </c>
      <c r="G13990" s="380" t="s">
        <v>1267</v>
      </c>
      <c r="H13990" s="380" t="s">
        <v>771</v>
      </c>
      <c r="I13990" s="380" t="s">
        <v>788</v>
      </c>
      <c r="J13990" s="380" t="s">
        <v>773</v>
      </c>
      <c r="K13990" s="381">
        <v>0.0</v>
      </c>
      <c r="L13990" s="382">
        <v>1.0</v>
      </c>
    </row>
    <row r="13991">
      <c r="A13991" s="380" t="s">
        <v>14865</v>
      </c>
      <c r="B13991" s="380" t="str">
        <f>IFERROR(__xludf.DUMMYFUNCTION("""COMPUTED_VALUE"""),"Banda Curva Kt96 Ri=1000 Bn=11")</f>
        <v>Banda Curva Kt96 Ri=1000 Bn=11</v>
      </c>
      <c r="C13991" s="380" t="str">
        <f>IFERROR(__xludf.DUMMYFUNCTION("""COMPUTED_VALUE"""),"80000326")</f>
        <v>80000326</v>
      </c>
      <c r="D13991" s="380" t="s">
        <v>767</v>
      </c>
      <c r="E13991" s="380" t="s">
        <v>776</v>
      </c>
      <c r="F13991" s="380" t="s">
        <v>976</v>
      </c>
      <c r="G13991" s="380" t="s">
        <v>1267</v>
      </c>
      <c r="H13991" s="380" t="s">
        <v>771</v>
      </c>
      <c r="I13991" s="380" t="s">
        <v>788</v>
      </c>
      <c r="J13991" s="380" t="s">
        <v>773</v>
      </c>
      <c r="K13991" s="381">
        <v>0.0</v>
      </c>
      <c r="L13991" s="382">
        <v>1.0</v>
      </c>
    </row>
    <row r="13992">
      <c r="A13992" s="380" t="s">
        <v>14866</v>
      </c>
      <c r="B13992" s="380" t="str">
        <f>IFERROR(__xludf.DUMMYFUNCTION("""COMPUTED_VALUE"""),"Caja Pulsadores Lcd")</f>
        <v>Caja Pulsadores Lcd</v>
      </c>
      <c r="C13992" s="380" t="str">
        <f>IFERROR(__xludf.DUMMYFUNCTION("""COMPUTED_VALUE"""),"80000327")</f>
        <v>80000327</v>
      </c>
      <c r="D13992" s="380" t="s">
        <v>767</v>
      </c>
      <c r="E13992" s="380" t="s">
        <v>776</v>
      </c>
      <c r="F13992" s="380" t="s">
        <v>1058</v>
      </c>
      <c r="G13992" s="380" t="s">
        <v>1267</v>
      </c>
      <c r="H13992" s="380" t="s">
        <v>771</v>
      </c>
      <c r="I13992" s="380" t="s">
        <v>788</v>
      </c>
      <c r="J13992" s="380" t="s">
        <v>773</v>
      </c>
      <c r="K13992" s="381">
        <v>0.0</v>
      </c>
      <c r="L13992" s="382">
        <v>1.0</v>
      </c>
    </row>
    <row r="13993">
      <c r="A13993" s="380" t="s">
        <v>14867</v>
      </c>
      <c r="B13993" s="380" t="str">
        <f>IFERROR(__xludf.DUMMYFUNCTION("""COMPUTED_VALUE"""),"Barrera De Control Lightgrid V")</f>
        <v>Barrera De Control Lightgrid V</v>
      </c>
      <c r="C13993" s="380" t="str">
        <f>IFERROR(__xludf.DUMMYFUNCTION("""COMPUTED_VALUE"""),"80000328")</f>
        <v>80000328</v>
      </c>
      <c r="D13993" s="380" t="s">
        <v>767</v>
      </c>
      <c r="E13993" s="380" t="s">
        <v>776</v>
      </c>
      <c r="F13993" s="380" t="s">
        <v>1058</v>
      </c>
      <c r="G13993" s="380" t="s">
        <v>1267</v>
      </c>
      <c r="H13993" s="380" t="s">
        <v>771</v>
      </c>
      <c r="I13993" s="380" t="s">
        <v>788</v>
      </c>
      <c r="J13993" s="380" t="s">
        <v>773</v>
      </c>
      <c r="K13993" s="381">
        <v>0.0</v>
      </c>
      <c r="L13993" s="382">
        <v>1.0</v>
      </c>
    </row>
    <row r="13994">
      <c r="A13994" s="380" t="s">
        <v>14868</v>
      </c>
      <c r="B13994" s="380" t="str">
        <f>IFERROR(__xludf.DUMMYFUNCTION("""COMPUTED_VALUE"""),"Caja De Fusibles Em Sorter Ul")</f>
        <v>Caja De Fusibles Em Sorter Ul</v>
      </c>
      <c r="C13994" s="380" t="str">
        <f>IFERROR(__xludf.DUMMYFUNCTION("""COMPUTED_VALUE"""),"80000329")</f>
        <v>80000329</v>
      </c>
      <c r="D13994" s="380" t="s">
        <v>767</v>
      </c>
      <c r="E13994" s="380" t="s">
        <v>776</v>
      </c>
      <c r="F13994" s="380" t="s">
        <v>1058</v>
      </c>
      <c r="G13994" s="380" t="s">
        <v>1267</v>
      </c>
      <c r="H13994" s="380" t="s">
        <v>771</v>
      </c>
      <c r="I13994" s="380" t="s">
        <v>788</v>
      </c>
      <c r="J13994" s="380" t="s">
        <v>773</v>
      </c>
      <c r="K13994" s="381">
        <v>0.0</v>
      </c>
      <c r="L13994" s="382">
        <v>1.0</v>
      </c>
    </row>
    <row r="13995">
      <c r="A13995" s="380" t="s">
        <v>14869</v>
      </c>
      <c r="B13995" s="380" t="str">
        <f>IFERROR(__xludf.DUMMYFUNCTION("""COMPUTED_VALUE"""),"Fc Array Pec 10°/30° Con Pec")</f>
        <v>Fc Array Pec 10°/30° Con Pec</v>
      </c>
      <c r="C13995" s="380" t="str">
        <f>IFERROR(__xludf.DUMMYFUNCTION("""COMPUTED_VALUE"""),"80000330")</f>
        <v>80000330</v>
      </c>
      <c r="D13995" s="380" t="s">
        <v>767</v>
      </c>
      <c r="E13995" s="380" t="s">
        <v>776</v>
      </c>
      <c r="F13995" s="380" t="s">
        <v>1058</v>
      </c>
      <c r="G13995" s="380" t="s">
        <v>1267</v>
      </c>
      <c r="H13995" s="380" t="s">
        <v>771</v>
      </c>
      <c r="I13995" s="380" t="s">
        <v>788</v>
      </c>
      <c r="J13995" s="380" t="s">
        <v>773</v>
      </c>
      <c r="K13995" s="381">
        <v>0.0</v>
      </c>
      <c r="L13995" s="382">
        <v>1.0</v>
      </c>
    </row>
    <row r="13996">
      <c r="A13996" s="380" t="s">
        <v>14870</v>
      </c>
      <c r="B13996" s="380" t="str">
        <f>IFERROR(__xludf.DUMMYFUNCTION("""COMPUTED_VALUE"""),"Fc Array Recta Con Pec")</f>
        <v>Fc Array Recta Con Pec</v>
      </c>
      <c r="C13996" s="380" t="str">
        <f>IFERROR(__xludf.DUMMYFUNCTION("""COMPUTED_VALUE"""),"80000331")</f>
        <v>80000331</v>
      </c>
      <c r="D13996" s="380" t="s">
        <v>767</v>
      </c>
      <c r="E13996" s="380" t="s">
        <v>776</v>
      </c>
      <c r="F13996" s="380" t="s">
        <v>1058</v>
      </c>
      <c r="G13996" s="380" t="s">
        <v>1267</v>
      </c>
      <c r="H13996" s="380" t="s">
        <v>771</v>
      </c>
      <c r="I13996" s="380" t="s">
        <v>788</v>
      </c>
      <c r="J13996" s="380" t="s">
        <v>773</v>
      </c>
      <c r="K13996" s="381">
        <v>0.0</v>
      </c>
      <c r="L13996" s="382">
        <v>1.0</v>
      </c>
    </row>
    <row r="13997">
      <c r="A13997" s="380" t="s">
        <v>14871</v>
      </c>
      <c r="B13997" s="380" t="str">
        <f>IFERROR(__xludf.DUMMYFUNCTION("""COMPUTED_VALUE"""),"Fotocelula Y Reflecotor Con So")</f>
        <v>Fotocelula Y Reflecotor Con So</v>
      </c>
      <c r="C13997" s="380" t="str">
        <f>IFERROR(__xludf.DUMMYFUNCTION("""COMPUTED_VALUE"""),"80000332")</f>
        <v>80000332</v>
      </c>
      <c r="D13997" s="380" t="s">
        <v>767</v>
      </c>
      <c r="E13997" s="380" t="s">
        <v>776</v>
      </c>
      <c r="F13997" s="380" t="s">
        <v>1058</v>
      </c>
      <c r="G13997" s="380" t="s">
        <v>1267</v>
      </c>
      <c r="H13997" s="380" t="s">
        <v>771</v>
      </c>
      <c r="I13997" s="380" t="s">
        <v>788</v>
      </c>
      <c r="J13997" s="380" t="s">
        <v>773</v>
      </c>
      <c r="K13997" s="381">
        <v>0.0</v>
      </c>
      <c r="L13997" s="382">
        <v>1.0</v>
      </c>
    </row>
    <row r="13998">
      <c r="A13998" s="380" t="s">
        <v>14872</v>
      </c>
      <c r="B13998" s="380" t="str">
        <f>IFERROR(__xludf.DUMMYFUNCTION("""COMPUTED_VALUE"""),"Paro De Emergencia Tf")</f>
        <v>Paro De Emergencia Tf</v>
      </c>
      <c r="C13998" s="380" t="str">
        <f>IFERROR(__xludf.DUMMYFUNCTION("""COMPUTED_VALUE"""),"80000333")</f>
        <v>80000333</v>
      </c>
      <c r="D13998" s="380" t="s">
        <v>767</v>
      </c>
      <c r="E13998" s="380" t="s">
        <v>776</v>
      </c>
      <c r="F13998" s="380" t="s">
        <v>1058</v>
      </c>
      <c r="G13998" s="380" t="s">
        <v>1267</v>
      </c>
      <c r="H13998" s="380" t="s">
        <v>771</v>
      </c>
      <c r="I13998" s="380" t="s">
        <v>788</v>
      </c>
      <c r="J13998" s="380" t="s">
        <v>773</v>
      </c>
      <c r="K13998" s="381">
        <v>0.0</v>
      </c>
      <c r="L13998" s="382">
        <v>1.0</v>
      </c>
    </row>
    <row r="13999">
      <c r="A13999" s="380" t="s">
        <v>14873</v>
      </c>
      <c r="B13999" s="380" t="str">
        <f>IFERROR(__xludf.DUMMYFUNCTION("""COMPUTED_VALUE"""),"Cable Potencia Motor Lineal Lm")</f>
        <v>Cable Potencia Motor Lineal Lm</v>
      </c>
      <c r="C13999" s="380" t="str">
        <f>IFERROR(__xludf.DUMMYFUNCTION("""COMPUTED_VALUE"""),"80000334")</f>
        <v>80000334</v>
      </c>
      <c r="D13999" s="380" t="s">
        <v>767</v>
      </c>
      <c r="E13999" s="380" t="s">
        <v>776</v>
      </c>
      <c r="F13999" s="380" t="s">
        <v>1058</v>
      </c>
      <c r="G13999" s="380" t="s">
        <v>1267</v>
      </c>
      <c r="H13999" s="380" t="s">
        <v>771</v>
      </c>
      <c r="I13999" s="380" t="s">
        <v>788</v>
      </c>
      <c r="J13999" s="380" t="s">
        <v>773</v>
      </c>
      <c r="K13999" s="381">
        <v>0.0</v>
      </c>
      <c r="L13999" s="382">
        <v>1.0</v>
      </c>
    </row>
    <row r="14000">
      <c r="A14000" s="380" t="s">
        <v>14874</v>
      </c>
      <c r="B14000" s="380" t="str">
        <f>IFERROR(__xludf.DUMMYFUNCTION("""COMPUTED_VALUE"""),"Cable Potencia Motor Lineal Lm")</f>
        <v>Cable Potencia Motor Lineal Lm</v>
      </c>
      <c r="C14000" s="380" t="str">
        <f>IFERROR(__xludf.DUMMYFUNCTION("""COMPUTED_VALUE"""),"80000335")</f>
        <v>80000335</v>
      </c>
      <c r="D14000" s="380" t="s">
        <v>767</v>
      </c>
      <c r="E14000" s="380" t="s">
        <v>776</v>
      </c>
      <c r="F14000" s="380" t="s">
        <v>1058</v>
      </c>
      <c r="G14000" s="380" t="s">
        <v>1267</v>
      </c>
      <c r="H14000" s="380" t="s">
        <v>771</v>
      </c>
      <c r="I14000" s="380" t="s">
        <v>788</v>
      </c>
      <c r="J14000" s="380" t="s">
        <v>773</v>
      </c>
      <c r="K14000" s="381">
        <v>0.0</v>
      </c>
      <c r="L14000" s="382">
        <v>1.0</v>
      </c>
    </row>
    <row r="14001">
      <c r="A14001" s="380" t="s">
        <v>14875</v>
      </c>
      <c r="B14001" s="380" t="str">
        <f>IFERROR(__xludf.DUMMYFUNCTION("""COMPUTED_VALUE"""),"Cable Potencia Motor Lineal Lm")</f>
        <v>Cable Potencia Motor Lineal Lm</v>
      </c>
      <c r="C14001" s="380" t="str">
        <f>IFERROR(__xludf.DUMMYFUNCTION("""COMPUTED_VALUE"""),"80000336")</f>
        <v>80000336</v>
      </c>
      <c r="D14001" s="380" t="s">
        <v>767</v>
      </c>
      <c r="E14001" s="380" t="s">
        <v>776</v>
      </c>
      <c r="F14001" s="380" t="s">
        <v>1058</v>
      </c>
      <c r="G14001" s="380" t="s">
        <v>1267</v>
      </c>
      <c r="H14001" s="380" t="s">
        <v>771</v>
      </c>
      <c r="I14001" s="380" t="s">
        <v>788</v>
      </c>
      <c r="J14001" s="380" t="s">
        <v>773</v>
      </c>
      <c r="K14001" s="381">
        <v>0.0</v>
      </c>
      <c r="L14001" s="382">
        <v>1.0</v>
      </c>
    </row>
    <row r="14002">
      <c r="A14002" s="380" t="s">
        <v>14876</v>
      </c>
      <c r="B14002" s="380" t="str">
        <f>IFERROR(__xludf.DUMMYFUNCTION("""COMPUTED_VALUE"""),"Cable Potencia Motor Lineal Lm")</f>
        <v>Cable Potencia Motor Lineal Lm</v>
      </c>
      <c r="C14002" s="380" t="str">
        <f>IFERROR(__xludf.DUMMYFUNCTION("""COMPUTED_VALUE"""),"80000337")</f>
        <v>80000337</v>
      </c>
      <c r="D14002" s="380" t="s">
        <v>767</v>
      </c>
      <c r="E14002" s="380" t="s">
        <v>776</v>
      </c>
      <c r="F14002" s="380" t="s">
        <v>1058</v>
      </c>
      <c r="G14002" s="380" t="s">
        <v>1267</v>
      </c>
      <c r="H14002" s="380" t="s">
        <v>771</v>
      </c>
      <c r="I14002" s="380" t="s">
        <v>788</v>
      </c>
      <c r="J14002" s="380" t="s">
        <v>773</v>
      </c>
      <c r="K14002" s="381">
        <v>0.0</v>
      </c>
      <c r="L14002" s="382">
        <v>1.0</v>
      </c>
    </row>
    <row r="14003">
      <c r="A14003" s="380" t="s">
        <v>14877</v>
      </c>
      <c r="B14003" s="380" t="str">
        <f>IFERROR(__xludf.DUMMYFUNCTION("""COMPUTED_VALUE"""),"Cable Potencia Motor Lineal Lm")</f>
        <v>Cable Potencia Motor Lineal Lm</v>
      </c>
      <c r="C14003" s="380" t="str">
        <f>IFERROR(__xludf.DUMMYFUNCTION("""COMPUTED_VALUE"""),"80000338")</f>
        <v>80000338</v>
      </c>
      <c r="D14003" s="380" t="s">
        <v>767</v>
      </c>
      <c r="E14003" s="380" t="s">
        <v>776</v>
      </c>
      <c r="F14003" s="380" t="s">
        <v>1058</v>
      </c>
      <c r="G14003" s="380" t="s">
        <v>1267</v>
      </c>
      <c r="H14003" s="380" t="s">
        <v>771</v>
      </c>
      <c r="I14003" s="380" t="s">
        <v>788</v>
      </c>
      <c r="J14003" s="380" t="s">
        <v>773</v>
      </c>
      <c r="K14003" s="381">
        <v>0.0</v>
      </c>
      <c r="L14003" s="382">
        <v>1.0</v>
      </c>
    </row>
    <row r="14004">
      <c r="A14004" s="380" t="s">
        <v>14878</v>
      </c>
      <c r="B14004" s="380" t="str">
        <f>IFERROR(__xludf.DUMMYFUNCTION("""COMPUTED_VALUE"""),"Cable Potencia Motor Lineal Lm")</f>
        <v>Cable Potencia Motor Lineal Lm</v>
      </c>
      <c r="C14004" s="380" t="str">
        <f>IFERROR(__xludf.DUMMYFUNCTION("""COMPUTED_VALUE"""),"80000339")</f>
        <v>80000339</v>
      </c>
      <c r="D14004" s="380" t="s">
        <v>767</v>
      </c>
      <c r="E14004" s="380" t="s">
        <v>776</v>
      </c>
      <c r="F14004" s="380" t="s">
        <v>1058</v>
      </c>
      <c r="G14004" s="380" t="s">
        <v>1267</v>
      </c>
      <c r="H14004" s="380" t="s">
        <v>771</v>
      </c>
      <c r="I14004" s="380" t="s">
        <v>788</v>
      </c>
      <c r="J14004" s="380" t="s">
        <v>773</v>
      </c>
      <c r="K14004" s="381">
        <v>0.0</v>
      </c>
      <c r="L14004" s="382">
        <v>1.0</v>
      </c>
    </row>
    <row r="14005">
      <c r="A14005" s="380" t="s">
        <v>14879</v>
      </c>
      <c r="B14005" s="380" t="str">
        <f>IFERROR(__xludf.DUMMYFUNCTION("""COMPUTED_VALUE"""),"Cable Potencia Motor Lineal Lm")</f>
        <v>Cable Potencia Motor Lineal Lm</v>
      </c>
      <c r="C14005" s="380" t="str">
        <f>IFERROR(__xludf.DUMMYFUNCTION("""COMPUTED_VALUE"""),"80000340")</f>
        <v>80000340</v>
      </c>
      <c r="D14005" s="380" t="s">
        <v>767</v>
      </c>
      <c r="E14005" s="380" t="s">
        <v>776</v>
      </c>
      <c r="F14005" s="380" t="s">
        <v>1058</v>
      </c>
      <c r="G14005" s="380" t="s">
        <v>1267</v>
      </c>
      <c r="H14005" s="380" t="s">
        <v>771</v>
      </c>
      <c r="I14005" s="380" t="s">
        <v>788</v>
      </c>
      <c r="J14005" s="380" t="s">
        <v>773</v>
      </c>
      <c r="K14005" s="381">
        <v>0.0</v>
      </c>
      <c r="L14005" s="382">
        <v>1.0</v>
      </c>
    </row>
    <row r="14006">
      <c r="A14006" s="380" t="s">
        <v>14880</v>
      </c>
      <c r="B14006" s="380" t="str">
        <f>IFERROR(__xludf.DUMMYFUNCTION("""COMPUTED_VALUE"""),"Cable Tierra Litz 10Mm²/M6 - W")</f>
        <v>Cable Tierra Litz 10Mm²/M6 - W</v>
      </c>
      <c r="C14006" s="380" t="str">
        <f>IFERROR(__xludf.DUMMYFUNCTION("""COMPUTED_VALUE"""),"80000341")</f>
        <v>80000341</v>
      </c>
      <c r="D14006" s="380" t="s">
        <v>767</v>
      </c>
      <c r="E14006" s="380" t="s">
        <v>776</v>
      </c>
      <c r="F14006" s="380" t="s">
        <v>1058</v>
      </c>
      <c r="G14006" s="380" t="s">
        <v>1267</v>
      </c>
      <c r="H14006" s="380" t="s">
        <v>771</v>
      </c>
      <c r="I14006" s="380" t="s">
        <v>788</v>
      </c>
      <c r="J14006" s="380" t="s">
        <v>773</v>
      </c>
      <c r="K14006" s="381">
        <v>0.0</v>
      </c>
      <c r="L14006" s="382">
        <v>1.0</v>
      </c>
    </row>
    <row r="14007">
      <c r="A14007" s="380" t="s">
        <v>14881</v>
      </c>
      <c r="B14007" s="380" t="str">
        <f>IFERROR(__xludf.DUMMYFUNCTION("""COMPUTED_VALUE"""),"Fcs Modulo Conexion 4 7 Si Fk")</f>
        <v>Fcs Modulo Conexion 4 7 Si Fk</v>
      </c>
      <c r="C14007" s="380" t="str">
        <f>IFERROR(__xludf.DUMMYFUNCTION("""COMPUTED_VALUE"""),"80000342")</f>
        <v>80000342</v>
      </c>
      <c r="D14007" s="380" t="s">
        <v>767</v>
      </c>
      <c r="E14007" s="380" t="s">
        <v>776</v>
      </c>
      <c r="F14007" s="380" t="s">
        <v>1058</v>
      </c>
      <c r="G14007" s="380" t="s">
        <v>1267</v>
      </c>
      <c r="H14007" s="380" t="s">
        <v>771</v>
      </c>
      <c r="I14007" s="380" t="s">
        <v>788</v>
      </c>
      <c r="J14007" s="380" t="s">
        <v>773</v>
      </c>
      <c r="K14007" s="381">
        <v>0.0</v>
      </c>
      <c r="L14007" s="382">
        <v>1.0</v>
      </c>
    </row>
    <row r="14008">
      <c r="A14008" s="380" t="s">
        <v>14882</v>
      </c>
      <c r="B14008" s="380" t="str">
        <f>IFERROR(__xludf.DUMMYFUNCTION("""COMPUTED_VALUE"""),"Indicador De Presion 0,6-10 Ba")</f>
        <v>Indicador De Presion 0,6-10 Ba</v>
      </c>
      <c r="C14008" s="380" t="str">
        <f>IFERROR(__xludf.DUMMYFUNCTION("""COMPUTED_VALUE"""),"80000343")</f>
        <v>80000343</v>
      </c>
      <c r="D14008" s="380" t="s">
        <v>767</v>
      </c>
      <c r="E14008" s="380" t="s">
        <v>776</v>
      </c>
      <c r="F14008" s="380" t="s">
        <v>5288</v>
      </c>
      <c r="G14008" s="380" t="s">
        <v>1267</v>
      </c>
      <c r="H14008" s="380" t="s">
        <v>771</v>
      </c>
      <c r="I14008" s="380" t="s">
        <v>788</v>
      </c>
      <c r="J14008" s="380" t="s">
        <v>773</v>
      </c>
      <c r="K14008" s="381">
        <v>0.0</v>
      </c>
      <c r="L14008" s="382">
        <v>1.0</v>
      </c>
    </row>
    <row r="14009">
      <c r="A14009" s="380" t="s">
        <v>14883</v>
      </c>
      <c r="B14009" s="380" t="str">
        <f>IFERROR(__xludf.DUMMYFUNCTION("""COMPUTED_VALUE"""),"I/O Mod Digital Et200Sp 4X Sal")</f>
        <v>I/O Mod Digital Et200Sp 4X Sal</v>
      </c>
      <c r="C14009" s="380" t="str">
        <f>IFERROR(__xludf.DUMMYFUNCTION("""COMPUTED_VALUE"""),"80000344")</f>
        <v>80000344</v>
      </c>
      <c r="D14009" s="380" t="s">
        <v>767</v>
      </c>
      <c r="E14009" s="380" t="s">
        <v>776</v>
      </c>
      <c r="F14009" s="380" t="s">
        <v>1058</v>
      </c>
      <c r="G14009" s="380" t="s">
        <v>1267</v>
      </c>
      <c r="H14009" s="380" t="s">
        <v>771</v>
      </c>
      <c r="I14009" s="380" t="s">
        <v>788</v>
      </c>
      <c r="J14009" s="380" t="s">
        <v>773</v>
      </c>
      <c r="K14009" s="381">
        <v>0.0</v>
      </c>
      <c r="L14009" s="382">
        <v>1.0</v>
      </c>
    </row>
    <row r="14010">
      <c r="A14010" s="380" t="s">
        <v>14884</v>
      </c>
      <c r="B14010" s="380" t="str">
        <f>IFERROR(__xludf.DUMMYFUNCTION("""COMPUTED_VALUE"""),"Adaptador Ba 2X Rj45 Profinet")</f>
        <v>Adaptador Ba 2X Rj45 Profinet</v>
      </c>
      <c r="C14010" s="380" t="str">
        <f>IFERROR(__xludf.DUMMYFUNCTION("""COMPUTED_VALUE"""),"80000345")</f>
        <v>80000345</v>
      </c>
      <c r="D14010" s="380" t="s">
        <v>767</v>
      </c>
      <c r="E14010" s="380" t="s">
        <v>776</v>
      </c>
      <c r="F14010" s="380" t="s">
        <v>1058</v>
      </c>
      <c r="G14010" s="380" t="s">
        <v>1267</v>
      </c>
      <c r="H14010" s="380" t="s">
        <v>771</v>
      </c>
      <c r="I14010" s="380" t="s">
        <v>788</v>
      </c>
      <c r="J14010" s="380" t="s">
        <v>773</v>
      </c>
      <c r="K14010" s="381">
        <v>0.0</v>
      </c>
      <c r="L14010" s="382">
        <v>1.0</v>
      </c>
    </row>
    <row r="14011">
      <c r="A14011" s="380" t="s">
        <v>14885</v>
      </c>
      <c r="B14011" s="380" t="str">
        <f>IFERROR(__xludf.DUMMYFUNCTION("""COMPUTED_VALUE"""),"Controlador Motor Generico Bpn")</f>
        <v>Controlador Motor Generico Bpn</v>
      </c>
      <c r="C14011" s="380" t="str">
        <f>IFERROR(__xludf.DUMMYFUNCTION("""COMPUTED_VALUE"""),"80000346")</f>
        <v>80000346</v>
      </c>
      <c r="D14011" s="380" t="s">
        <v>767</v>
      </c>
      <c r="E14011" s="380" t="s">
        <v>776</v>
      </c>
      <c r="F14011" s="380" t="s">
        <v>976</v>
      </c>
      <c r="G14011" s="380" t="s">
        <v>1267</v>
      </c>
      <c r="H14011" s="380" t="s">
        <v>771</v>
      </c>
      <c r="I14011" s="380" t="s">
        <v>788</v>
      </c>
      <c r="J14011" s="380" t="s">
        <v>773</v>
      </c>
      <c r="K14011" s="381">
        <v>0.0</v>
      </c>
      <c r="L14011" s="382">
        <v>1.0</v>
      </c>
    </row>
    <row r="14012">
      <c r="A14012" s="380" t="s">
        <v>14886</v>
      </c>
      <c r="B14012" s="380" t="str">
        <f>IFERROR(__xludf.DUMMYFUNCTION("""COMPUTED_VALUE"""),"Cable Motor Apantallado")</f>
        <v>Cable Motor Apantallado</v>
      </c>
      <c r="C14012" s="380" t="str">
        <f>IFERROR(__xludf.DUMMYFUNCTION("""COMPUTED_VALUE"""),"80000347")</f>
        <v>80000347</v>
      </c>
      <c r="D14012" s="380" t="s">
        <v>767</v>
      </c>
      <c r="E14012" s="380" t="s">
        <v>776</v>
      </c>
      <c r="F14012" s="380" t="s">
        <v>1058</v>
      </c>
      <c r="G14012" s="380" t="s">
        <v>1267</v>
      </c>
      <c r="H14012" s="380" t="s">
        <v>771</v>
      </c>
      <c r="I14012" s="380" t="s">
        <v>788</v>
      </c>
      <c r="J14012" s="380" t="s">
        <v>773</v>
      </c>
      <c r="K14012" s="381">
        <v>0.0</v>
      </c>
      <c r="L14012" s="382">
        <v>1.0</v>
      </c>
    </row>
    <row r="14013">
      <c r="A14013" s="380" t="s">
        <v>14887</v>
      </c>
      <c r="B14013" s="380" t="str">
        <f>IFERROR(__xludf.DUMMYFUNCTION("""COMPUTED_VALUE"""),"Motor Bandas Carros Crossorter")</f>
        <v>Motor Bandas Carros Crossorter</v>
      </c>
      <c r="C14013" s="380" t="str">
        <f>IFERROR(__xludf.DUMMYFUNCTION("""COMPUTED_VALUE"""),"80000348")</f>
        <v>80000348</v>
      </c>
      <c r="D14013" s="380" t="s">
        <v>767</v>
      </c>
      <c r="E14013" s="380" t="s">
        <v>776</v>
      </c>
      <c r="F14013" s="380" t="s">
        <v>1058</v>
      </c>
      <c r="G14013" s="380" t="s">
        <v>1267</v>
      </c>
      <c r="H14013" s="380" t="s">
        <v>771</v>
      </c>
      <c r="I14013" s="380" t="s">
        <v>788</v>
      </c>
      <c r="J14013" s="380" t="s">
        <v>773</v>
      </c>
      <c r="K14013" s="381">
        <v>0.0</v>
      </c>
      <c r="L14013" s="382">
        <v>1.0</v>
      </c>
    </row>
    <row r="14014">
      <c r="A14014" s="380" t="s">
        <v>14888</v>
      </c>
      <c r="B14014" s="380" t="str">
        <f>IFERROR(__xludf.DUMMYFUNCTION("""COMPUTED_VALUE"""),"I/O Modulo Digital Et200Sp 8X")</f>
        <v>I/O Modulo Digital Et200Sp 8X</v>
      </c>
      <c r="C14014" s="380" t="str">
        <f>IFERROR(__xludf.DUMMYFUNCTION("""COMPUTED_VALUE"""),"80000349")</f>
        <v>80000349</v>
      </c>
      <c r="D14014" s="380" t="s">
        <v>767</v>
      </c>
      <c r="E14014" s="380" t="s">
        <v>776</v>
      </c>
      <c r="F14014" s="380" t="s">
        <v>1058</v>
      </c>
      <c r="G14014" s="380" t="s">
        <v>1267</v>
      </c>
      <c r="H14014" s="380" t="s">
        <v>771</v>
      </c>
      <c r="I14014" s="380" t="s">
        <v>788</v>
      </c>
      <c r="J14014" s="380" t="s">
        <v>773</v>
      </c>
      <c r="K14014" s="381">
        <v>0.0</v>
      </c>
      <c r="L14014" s="382">
        <v>1.0</v>
      </c>
    </row>
    <row r="14015">
      <c r="A14015" s="380" t="s">
        <v>14889</v>
      </c>
      <c r="B14015" s="380" t="str">
        <f>IFERROR(__xludf.DUMMYFUNCTION("""COMPUTED_VALUE"""),"I/O Modulo Digital Et200Sp 0,5")</f>
        <v>I/O Modulo Digital Et200Sp 0,5</v>
      </c>
      <c r="C14015" s="380" t="str">
        <f>IFERROR(__xludf.DUMMYFUNCTION("""COMPUTED_VALUE"""),"80000350")</f>
        <v>80000350</v>
      </c>
      <c r="D14015" s="380" t="s">
        <v>767</v>
      </c>
      <c r="E14015" s="380" t="s">
        <v>776</v>
      </c>
      <c r="F14015" s="380" t="s">
        <v>1058</v>
      </c>
      <c r="G14015" s="380" t="s">
        <v>1267</v>
      </c>
      <c r="H14015" s="380" t="s">
        <v>771</v>
      </c>
      <c r="I14015" s="380" t="s">
        <v>788</v>
      </c>
      <c r="J14015" s="380" t="s">
        <v>773</v>
      </c>
      <c r="K14015" s="381">
        <v>0.0</v>
      </c>
      <c r="L14015" s="382">
        <v>1.0</v>
      </c>
    </row>
    <row r="14016">
      <c r="A14016" s="380" t="s">
        <v>14890</v>
      </c>
      <c r="B14016" s="380" t="str">
        <f>IFERROR(__xludf.DUMMYFUNCTION("""COMPUTED_VALUE"""),"Interface Drivecontrol 20 1 Di")</f>
        <v>Interface Drivecontrol 20 1 Di</v>
      </c>
      <c r="C14016" s="380" t="str">
        <f>IFERROR(__xludf.DUMMYFUNCTION("""COMPUTED_VALUE"""),"80000351")</f>
        <v>80000351</v>
      </c>
      <c r="D14016" s="380" t="s">
        <v>767</v>
      </c>
      <c r="E14016" s="380" t="s">
        <v>776</v>
      </c>
      <c r="F14016" s="380" t="s">
        <v>1058</v>
      </c>
      <c r="G14016" s="380" t="s">
        <v>1267</v>
      </c>
      <c r="H14016" s="380" t="s">
        <v>771</v>
      </c>
      <c r="I14016" s="380" t="s">
        <v>788</v>
      </c>
      <c r="J14016" s="380" t="s">
        <v>773</v>
      </c>
      <c r="K14016" s="381">
        <v>0.0</v>
      </c>
      <c r="L14016" s="382">
        <v>1.0</v>
      </c>
    </row>
    <row r="14017">
      <c r="A14017" s="380" t="s">
        <v>14891</v>
      </c>
      <c r="B14017" s="380" t="str">
        <f>IFERROR(__xludf.DUMMYFUNCTION("""COMPUTED_VALUE"""),"Cable Potencia Interface Drive")</f>
        <v>Cable Potencia Interface Drive</v>
      </c>
      <c r="C14017" s="380" t="str">
        <f>IFERROR(__xludf.DUMMYFUNCTION("""COMPUTED_VALUE"""),"80000352")</f>
        <v>80000352</v>
      </c>
      <c r="D14017" s="380" t="s">
        <v>767</v>
      </c>
      <c r="E14017" s="380" t="s">
        <v>776</v>
      </c>
      <c r="F14017" s="380" t="s">
        <v>1058</v>
      </c>
      <c r="G14017" s="380" t="s">
        <v>1267</v>
      </c>
      <c r="H14017" s="380" t="s">
        <v>771</v>
      </c>
      <c r="I14017" s="380" t="s">
        <v>788</v>
      </c>
      <c r="J14017" s="380" t="s">
        <v>773</v>
      </c>
      <c r="K14017" s="381">
        <v>0.0</v>
      </c>
      <c r="L14017" s="382">
        <v>1.0</v>
      </c>
    </row>
    <row r="14018">
      <c r="A14018" s="380" t="s">
        <v>14892</v>
      </c>
      <c r="B14018" s="380" t="str">
        <f>IFERROR(__xludf.DUMMYFUNCTION("""COMPUTED_VALUE"""),"Modulo Desvio Sorter (Scn) Hw")</f>
        <v>Modulo Desvio Sorter (Scn) Hw</v>
      </c>
      <c r="C14018" s="380" t="str">
        <f>IFERROR(__xludf.DUMMYFUNCTION("""COMPUTED_VALUE"""),"80000353")</f>
        <v>80000353</v>
      </c>
      <c r="D14018" s="380" t="s">
        <v>767</v>
      </c>
      <c r="E14018" s="380" t="s">
        <v>776</v>
      </c>
      <c r="F14018" s="380" t="s">
        <v>1058</v>
      </c>
      <c r="G14018" s="380" t="s">
        <v>1267</v>
      </c>
      <c r="H14018" s="380" t="s">
        <v>771</v>
      </c>
      <c r="I14018" s="380" t="s">
        <v>788</v>
      </c>
      <c r="J14018" s="380" t="s">
        <v>773</v>
      </c>
      <c r="K14018" s="381">
        <v>0.0</v>
      </c>
      <c r="L14018" s="382">
        <v>1.0</v>
      </c>
    </row>
    <row r="14019">
      <c r="A14019" s="380" t="s">
        <v>14893</v>
      </c>
      <c r="B14019" s="380" t="str">
        <f>IFERROR(__xludf.DUMMYFUNCTION("""COMPUTED_VALUE"""),"Unidad Control De Carros (Ccu)")</f>
        <v>Unidad Control De Carros (Ccu)</v>
      </c>
      <c r="C14019" s="380" t="str">
        <f>IFERROR(__xludf.DUMMYFUNCTION("""COMPUTED_VALUE"""),"80000354")</f>
        <v>80000354</v>
      </c>
      <c r="D14019" s="380" t="s">
        <v>767</v>
      </c>
      <c r="E14019" s="380" t="s">
        <v>776</v>
      </c>
      <c r="F14019" s="380" t="s">
        <v>1058</v>
      </c>
      <c r="G14019" s="380" t="s">
        <v>1267</v>
      </c>
      <c r="H14019" s="380" t="s">
        <v>771</v>
      </c>
      <c r="I14019" s="380" t="s">
        <v>788</v>
      </c>
      <c r="J14019" s="380" t="s">
        <v>773</v>
      </c>
      <c r="K14019" s="381">
        <v>0.0</v>
      </c>
      <c r="L14019" s="382">
        <v>1.0</v>
      </c>
    </row>
    <row r="14020">
      <c r="A14020" s="380" t="s">
        <v>14894</v>
      </c>
      <c r="B14020" s="380" t="str">
        <f>IFERROR(__xludf.DUMMYFUNCTION("""COMPUTED_VALUE"""),"Cable Para Motor Lineal Lsm")</f>
        <v>Cable Para Motor Lineal Lsm</v>
      </c>
      <c r="C14020" s="380" t="str">
        <f>IFERROR(__xludf.DUMMYFUNCTION("""COMPUTED_VALUE"""),"80000355")</f>
        <v>80000355</v>
      </c>
      <c r="D14020" s="380" t="s">
        <v>767</v>
      </c>
      <c r="E14020" s="380" t="s">
        <v>776</v>
      </c>
      <c r="F14020" s="380" t="s">
        <v>1058</v>
      </c>
      <c r="G14020" s="380" t="s">
        <v>1267</v>
      </c>
      <c r="H14020" s="380" t="s">
        <v>771</v>
      </c>
      <c r="I14020" s="380" t="s">
        <v>788</v>
      </c>
      <c r="J14020" s="380" t="s">
        <v>773</v>
      </c>
      <c r="K14020" s="381">
        <v>0.0</v>
      </c>
      <c r="L14020" s="382">
        <v>1.0</v>
      </c>
    </row>
    <row r="14021">
      <c r="A14021" s="380" t="s">
        <v>14895</v>
      </c>
      <c r="B14021" s="380" t="str">
        <f>IFERROR(__xludf.DUMMYFUNCTION("""COMPUTED_VALUE"""),"Cable Armario Rpo A Tomacorrie")</f>
        <v>Cable Armario Rpo A Tomacorrie</v>
      </c>
      <c r="C14021" s="380" t="str">
        <f>IFERROR(__xludf.DUMMYFUNCTION("""COMPUTED_VALUE"""),"80000356")</f>
        <v>80000356</v>
      </c>
      <c r="D14021" s="380" t="s">
        <v>767</v>
      </c>
      <c r="E14021" s="380" t="s">
        <v>776</v>
      </c>
      <c r="F14021" s="380" t="s">
        <v>1058</v>
      </c>
      <c r="G14021" s="380" t="s">
        <v>1267</v>
      </c>
      <c r="H14021" s="380" t="s">
        <v>771</v>
      </c>
      <c r="I14021" s="380" t="s">
        <v>788</v>
      </c>
      <c r="J14021" s="380" t="s">
        <v>773</v>
      </c>
      <c r="K14021" s="381">
        <v>0.0</v>
      </c>
      <c r="L14021" s="382">
        <v>1.0</v>
      </c>
    </row>
    <row r="14022">
      <c r="A14022" s="380" t="s">
        <v>14896</v>
      </c>
      <c r="B14022" s="380" t="str">
        <f>IFERROR(__xludf.DUMMYFUNCTION("""COMPUTED_VALUE"""),"Seletor D22Mm Pos 0-I")</f>
        <v>Seletor D22Mm Pos 0-I</v>
      </c>
      <c r="C14022" s="380" t="str">
        <f>IFERROR(__xludf.DUMMYFUNCTION("""COMPUTED_VALUE"""),"80000357")</f>
        <v>80000357</v>
      </c>
      <c r="D14022" s="380" t="s">
        <v>767</v>
      </c>
      <c r="E14022" s="380" t="s">
        <v>776</v>
      </c>
      <c r="F14022" s="380" t="s">
        <v>1058</v>
      </c>
      <c r="G14022" s="380" t="s">
        <v>1267</v>
      </c>
      <c r="H14022" s="380" t="s">
        <v>771</v>
      </c>
      <c r="I14022" s="380" t="s">
        <v>788</v>
      </c>
      <c r="J14022" s="380" t="s">
        <v>773</v>
      </c>
      <c r="K14022" s="381">
        <v>0.0</v>
      </c>
      <c r="L14022" s="382">
        <v>1.0</v>
      </c>
    </row>
    <row r="14023">
      <c r="A14023" s="380" t="s">
        <v>14897</v>
      </c>
      <c r="B14023" s="380" t="str">
        <f>IFERROR(__xludf.DUMMYFUNCTION("""COMPUTED_VALUE"""),"Ccc Corta Circuitos 3Va 56...8")</f>
        <v>Ccc Corta Circuitos 3Va 56...8</v>
      </c>
      <c r="C14023" s="380" t="str">
        <f>IFERROR(__xludf.DUMMYFUNCTION("""COMPUTED_VALUE"""),"80000358")</f>
        <v>80000358</v>
      </c>
      <c r="D14023" s="380" t="s">
        <v>767</v>
      </c>
      <c r="E14023" s="380" t="s">
        <v>776</v>
      </c>
      <c r="F14023" s="380" t="s">
        <v>1058</v>
      </c>
      <c r="G14023" s="380" t="s">
        <v>1267</v>
      </c>
      <c r="H14023" s="380" t="s">
        <v>771</v>
      </c>
      <c r="I14023" s="380" t="s">
        <v>788</v>
      </c>
      <c r="J14023" s="380" t="s">
        <v>773</v>
      </c>
      <c r="K14023" s="381">
        <v>0.0</v>
      </c>
      <c r="L14023" s="382">
        <v>1.0</v>
      </c>
    </row>
    <row r="14024">
      <c r="A14024" s="380" t="s">
        <v>14898</v>
      </c>
      <c r="B14024" s="380" t="str">
        <f>IFERROR(__xludf.DUMMYFUNCTION("""COMPUTED_VALUE"""),"Cor Circ415V4P160Air=63A160A55")</f>
        <v>Cor Circ415V4P160Air=63A160A55</v>
      </c>
      <c r="C14024" s="380" t="str">
        <f>IFERROR(__xludf.DUMMYFUNCTION("""COMPUTED_VALUE"""),"80000359")</f>
        <v>80000359</v>
      </c>
      <c r="D14024" s="380" t="s">
        <v>767</v>
      </c>
      <c r="E14024" s="380" t="s">
        <v>776</v>
      </c>
      <c r="F14024" s="380" t="s">
        <v>1058</v>
      </c>
      <c r="G14024" s="380" t="s">
        <v>1267</v>
      </c>
      <c r="H14024" s="380" t="s">
        <v>771</v>
      </c>
      <c r="I14024" s="380" t="s">
        <v>788</v>
      </c>
      <c r="J14024" s="380" t="s">
        <v>773</v>
      </c>
      <c r="K14024" s="381">
        <v>0.0</v>
      </c>
      <c r="L14024" s="382">
        <v>1.0</v>
      </c>
    </row>
    <row r="14025">
      <c r="A14025" s="380" t="s">
        <v>14899</v>
      </c>
      <c r="B14025" s="380" t="str">
        <f>IFERROR(__xludf.DUMMYFUNCTION("""COMPUTED_VALUE"""),"Pulsador Metal Azul Mate D22Mm")</f>
        <v>Pulsador Metal Azul Mate D22Mm</v>
      </c>
      <c r="C14025" s="380" t="str">
        <f>IFERROR(__xludf.DUMMYFUNCTION("""COMPUTED_VALUE"""),"80000360")</f>
        <v>80000360</v>
      </c>
      <c r="D14025" s="380" t="s">
        <v>767</v>
      </c>
      <c r="E14025" s="380" t="s">
        <v>776</v>
      </c>
      <c r="F14025" s="380" t="s">
        <v>1058</v>
      </c>
      <c r="G14025" s="380" t="s">
        <v>1267</v>
      </c>
      <c r="H14025" s="380" t="s">
        <v>771</v>
      </c>
      <c r="I14025" s="380" t="s">
        <v>788</v>
      </c>
      <c r="J14025" s="380" t="s">
        <v>773</v>
      </c>
      <c r="K14025" s="381">
        <v>0.0</v>
      </c>
      <c r="L14025" s="382">
        <v>1.0</v>
      </c>
    </row>
    <row r="14026">
      <c r="A14026" s="380" t="s">
        <v>14900</v>
      </c>
      <c r="B14026" s="380" t="str">
        <f>IFERROR(__xludf.DUMMYFUNCTION("""COMPUTED_VALUE"""),"Pusador Iluminado Azul D22Mm A")</f>
        <v>Pusador Iluminado Azul D22Mm A</v>
      </c>
      <c r="C14026" s="380" t="str">
        <f>IFERROR(__xludf.DUMMYFUNCTION("""COMPUTED_VALUE"""),"80000361")</f>
        <v>80000361</v>
      </c>
      <c r="D14026" s="380" t="s">
        <v>767</v>
      </c>
      <c r="E14026" s="380" t="s">
        <v>776</v>
      </c>
      <c r="F14026" s="380" t="s">
        <v>1058</v>
      </c>
      <c r="G14026" s="380" t="s">
        <v>1267</v>
      </c>
      <c r="H14026" s="380" t="s">
        <v>771</v>
      </c>
      <c r="I14026" s="380" t="s">
        <v>788</v>
      </c>
      <c r="J14026" s="380" t="s">
        <v>773</v>
      </c>
      <c r="K14026" s="381">
        <v>0.0</v>
      </c>
      <c r="L14026" s="382">
        <v>1.0</v>
      </c>
    </row>
    <row r="14027">
      <c r="A14027" s="380" t="s">
        <v>14901</v>
      </c>
      <c r="B14027" s="380" t="str">
        <f>IFERROR(__xludf.DUMMYFUNCTION("""COMPUTED_VALUE"""),"Cerradura 3 Posiciones Key I-")</f>
        <v>Cerradura 3 Posiciones Key I-</v>
      </c>
      <c r="C14027" s="380" t="str">
        <f>IFERROR(__xludf.DUMMYFUNCTION("""COMPUTED_VALUE"""),"80000362")</f>
        <v>80000362</v>
      </c>
      <c r="D14027" s="380" t="s">
        <v>767</v>
      </c>
      <c r="E14027" s="380" t="s">
        <v>776</v>
      </c>
      <c r="F14027" s="380" t="s">
        <v>1058</v>
      </c>
      <c r="G14027" s="380" t="s">
        <v>1267</v>
      </c>
      <c r="H14027" s="380" t="s">
        <v>771</v>
      </c>
      <c r="I14027" s="380" t="s">
        <v>788</v>
      </c>
      <c r="J14027" s="380" t="s">
        <v>773</v>
      </c>
      <c r="K14027" s="381">
        <v>0.0</v>
      </c>
      <c r="L14027" s="382">
        <v>1.0</v>
      </c>
    </row>
    <row r="14028">
      <c r="A14028" s="380" t="s">
        <v>14902</v>
      </c>
      <c r="B14028" s="380" t="str">
        <f>IFERROR(__xludf.DUMMYFUNCTION("""COMPUTED_VALUE"""),"Selector 2 Posiciones 0-I Cont")</f>
        <v>Selector 2 Posiciones 0-I Cont</v>
      </c>
      <c r="C14028" s="380" t="str">
        <f>IFERROR(__xludf.DUMMYFUNCTION("""COMPUTED_VALUE"""),"80000363")</f>
        <v>80000363</v>
      </c>
      <c r="D14028" s="380" t="s">
        <v>767</v>
      </c>
      <c r="E14028" s="380" t="s">
        <v>776</v>
      </c>
      <c r="F14028" s="380" t="s">
        <v>1058</v>
      </c>
      <c r="G14028" s="380" t="s">
        <v>1267</v>
      </c>
      <c r="H14028" s="380" t="s">
        <v>771</v>
      </c>
      <c r="I14028" s="380" t="s">
        <v>788</v>
      </c>
      <c r="J14028" s="380" t="s">
        <v>773</v>
      </c>
      <c r="K14028" s="381">
        <v>0.0</v>
      </c>
      <c r="L14028" s="382">
        <v>1.0</v>
      </c>
    </row>
    <row r="14029">
      <c r="A14029" s="380" t="s">
        <v>14903</v>
      </c>
      <c r="B14029" s="380" t="str">
        <f>IFERROR(__xludf.DUMMYFUNCTION("""COMPUTED_VALUE"""),"Selector 3 Posiciones 0-I Cont")</f>
        <v>Selector 3 Posiciones 0-I Cont</v>
      </c>
      <c r="C14029" s="380" t="str">
        <f>IFERROR(__xludf.DUMMYFUNCTION("""COMPUTED_VALUE"""),"80000364")</f>
        <v>80000364</v>
      </c>
      <c r="D14029" s="380" t="s">
        <v>767</v>
      </c>
      <c r="E14029" s="380" t="s">
        <v>776</v>
      </c>
      <c r="F14029" s="380" t="s">
        <v>1058</v>
      </c>
      <c r="G14029" s="380" t="s">
        <v>1267</v>
      </c>
      <c r="H14029" s="380" t="s">
        <v>771</v>
      </c>
      <c r="I14029" s="380" t="s">
        <v>788</v>
      </c>
      <c r="J14029" s="380" t="s">
        <v>773</v>
      </c>
      <c r="K14029" s="381">
        <v>0.0</v>
      </c>
      <c r="L14029" s="382">
        <v>1.0</v>
      </c>
    </row>
    <row r="14030">
      <c r="A14030" s="380" t="s">
        <v>14904</v>
      </c>
      <c r="B14030" s="380" t="str">
        <f>IFERROR(__xludf.DUMMYFUNCTION("""COMPUTED_VALUE"""),"Indicador Señal Amarillo D22Mm")</f>
        <v>Indicador Señal Amarillo D22Mm</v>
      </c>
      <c r="C14030" s="380" t="str">
        <f>IFERROR(__xludf.DUMMYFUNCTION("""COMPUTED_VALUE"""),"80000365")</f>
        <v>80000365</v>
      </c>
      <c r="D14030" s="380" t="s">
        <v>767</v>
      </c>
      <c r="E14030" s="380" t="s">
        <v>776</v>
      </c>
      <c r="F14030" s="380" t="s">
        <v>1058</v>
      </c>
      <c r="G14030" s="380" t="s">
        <v>1267</v>
      </c>
      <c r="H14030" s="380" t="s">
        <v>771</v>
      </c>
      <c r="I14030" s="380" t="s">
        <v>788</v>
      </c>
      <c r="J14030" s="380" t="s">
        <v>773</v>
      </c>
      <c r="K14030" s="381">
        <v>0.0</v>
      </c>
      <c r="L14030" s="382">
        <v>1.0</v>
      </c>
    </row>
    <row r="14031">
      <c r="A14031" s="380" t="s">
        <v>14905</v>
      </c>
      <c r="B14031" s="380" t="str">
        <f>IFERROR(__xludf.DUMMYFUNCTION("""COMPUTED_VALUE"""),"Indicador Señal Verde D22Mm Su")</f>
        <v>Indicador Señal Verde D22Mm Su</v>
      </c>
      <c r="C14031" s="380" t="str">
        <f>IFERROR(__xludf.DUMMYFUNCTION("""COMPUTED_VALUE"""),"80000366")</f>
        <v>80000366</v>
      </c>
      <c r="D14031" s="380" t="s">
        <v>767</v>
      </c>
      <c r="E14031" s="380" t="s">
        <v>776</v>
      </c>
      <c r="F14031" s="380" t="s">
        <v>1058</v>
      </c>
      <c r="G14031" s="380" t="s">
        <v>1267</v>
      </c>
      <c r="H14031" s="380" t="s">
        <v>771</v>
      </c>
      <c r="I14031" s="380" t="s">
        <v>788</v>
      </c>
      <c r="J14031" s="380" t="s">
        <v>773</v>
      </c>
      <c r="K14031" s="381">
        <v>0.0</v>
      </c>
      <c r="L14031" s="382">
        <v>1.0</v>
      </c>
    </row>
    <row r="14032">
      <c r="A14032" s="380" t="s">
        <v>14906</v>
      </c>
      <c r="B14032" s="380" t="str">
        <f>IFERROR(__xludf.DUMMYFUNCTION("""COMPUTED_VALUE"""),"Mod Baliza Led Blanca 24Vac/Dc")</f>
        <v>Mod Baliza Led Blanca 24Vac/Dc</v>
      </c>
      <c r="C14032" s="380" t="str">
        <f>IFERROR(__xludf.DUMMYFUNCTION("""COMPUTED_VALUE"""),"80000367")</f>
        <v>80000367</v>
      </c>
      <c r="D14032" s="380" t="s">
        <v>767</v>
      </c>
      <c r="E14032" s="380" t="s">
        <v>776</v>
      </c>
      <c r="F14032" s="380" t="s">
        <v>1058</v>
      </c>
      <c r="G14032" s="380" t="s">
        <v>1267</v>
      </c>
      <c r="H14032" s="380" t="s">
        <v>771</v>
      </c>
      <c r="I14032" s="380" t="s">
        <v>788</v>
      </c>
      <c r="J14032" s="380" t="s">
        <v>773</v>
      </c>
      <c r="K14032" s="381">
        <v>0.0</v>
      </c>
      <c r="L14032" s="382">
        <v>1.0</v>
      </c>
    </row>
    <row r="14033">
      <c r="A14033" s="380" t="s">
        <v>14907</v>
      </c>
      <c r="B14033" s="380" t="str">
        <f>IFERROR(__xludf.DUMMYFUNCTION("""COMPUTED_VALUE"""),"Modulo Baliza Led Azul 24Vac/D")</f>
        <v>Modulo Baliza Led Azul 24Vac/D</v>
      </c>
      <c r="C14033" s="380" t="str">
        <f>IFERROR(__xludf.DUMMYFUNCTION("""COMPUTED_VALUE"""),"80000368")</f>
        <v>80000368</v>
      </c>
      <c r="D14033" s="380" t="s">
        <v>767</v>
      </c>
      <c r="E14033" s="380" t="s">
        <v>776</v>
      </c>
      <c r="F14033" s="380" t="s">
        <v>1058</v>
      </c>
      <c r="G14033" s="380" t="s">
        <v>1267</v>
      </c>
      <c r="H14033" s="380" t="s">
        <v>771</v>
      </c>
      <c r="I14033" s="380" t="s">
        <v>788</v>
      </c>
      <c r="J14033" s="380" t="s">
        <v>773</v>
      </c>
      <c r="K14033" s="381">
        <v>0.0</v>
      </c>
      <c r="L14033" s="382">
        <v>1.0</v>
      </c>
    </row>
    <row r="14034">
      <c r="A14034" s="380" t="s">
        <v>14908</v>
      </c>
      <c r="B14034" s="380" t="str">
        <f>IFERROR(__xludf.DUMMYFUNCTION("""COMPUTED_VALUE"""),"Modulo Contacto Tipo Resorte 5")</f>
        <v>Modulo Contacto Tipo Resorte 5</v>
      </c>
      <c r="C14034" s="380" t="str">
        <f>IFERROR(__xludf.DUMMYFUNCTION("""COMPUTED_VALUE"""),"80000369")</f>
        <v>80000369</v>
      </c>
      <c r="D14034" s="380" t="s">
        <v>767</v>
      </c>
      <c r="E14034" s="380" t="s">
        <v>776</v>
      </c>
      <c r="F14034" s="380" t="s">
        <v>1058</v>
      </c>
      <c r="G14034" s="380" t="s">
        <v>1267</v>
      </c>
      <c r="H14034" s="380" t="s">
        <v>771</v>
      </c>
      <c r="I14034" s="380" t="s">
        <v>788</v>
      </c>
      <c r="J14034" s="380" t="s">
        <v>773</v>
      </c>
      <c r="K14034" s="381">
        <v>0.0</v>
      </c>
      <c r="L14034" s="382">
        <v>1.0</v>
      </c>
    </row>
    <row r="14035">
      <c r="A14035" s="380" t="s">
        <v>14909</v>
      </c>
      <c r="B14035" s="380" t="str">
        <f>IFERROR(__xludf.DUMMYFUNCTION("""COMPUTED_VALUE"""),"Procesador De Comunicaciones C")</f>
        <v>Procesador De Comunicaciones C</v>
      </c>
      <c r="C14035" s="380" t="str">
        <f>IFERROR(__xludf.DUMMYFUNCTION("""COMPUTED_VALUE"""),"80000370")</f>
        <v>80000370</v>
      </c>
      <c r="D14035" s="380" t="s">
        <v>767</v>
      </c>
      <c r="E14035" s="380" t="s">
        <v>776</v>
      </c>
      <c r="F14035" s="380" t="s">
        <v>1058</v>
      </c>
      <c r="G14035" s="380" t="s">
        <v>1267</v>
      </c>
      <c r="H14035" s="380" t="s">
        <v>771</v>
      </c>
      <c r="I14035" s="380" t="s">
        <v>788</v>
      </c>
      <c r="J14035" s="380" t="s">
        <v>773</v>
      </c>
      <c r="K14035" s="381">
        <v>0.0</v>
      </c>
      <c r="L14035" s="382">
        <v>1.0</v>
      </c>
    </row>
    <row r="14036">
      <c r="A14036" s="380" t="s">
        <v>14910</v>
      </c>
      <c r="B14036" s="380" t="str">
        <f>IFERROR(__xludf.DUMMYFUNCTION("""COMPUTED_VALUE"""),"Resistor Terminal Vaz-G10-Term")</f>
        <v>Resistor Terminal Vaz-G10-Term</v>
      </c>
      <c r="C14036" s="380" t="str">
        <f>IFERROR(__xludf.DUMMYFUNCTION("""COMPUTED_VALUE"""),"80000371")</f>
        <v>80000371</v>
      </c>
      <c r="D14036" s="380" t="s">
        <v>767</v>
      </c>
      <c r="E14036" s="380" t="s">
        <v>776</v>
      </c>
      <c r="F14036" s="380" t="s">
        <v>1058</v>
      </c>
      <c r="G14036" s="380" t="s">
        <v>1267</v>
      </c>
      <c r="H14036" s="380" t="s">
        <v>771</v>
      </c>
      <c r="I14036" s="380" t="s">
        <v>788</v>
      </c>
      <c r="J14036" s="380" t="s">
        <v>773</v>
      </c>
      <c r="K14036" s="381">
        <v>0.0</v>
      </c>
      <c r="L14036" s="382">
        <v>1.0</v>
      </c>
    </row>
    <row r="14037">
      <c r="A14037" s="380" t="s">
        <v>14911</v>
      </c>
      <c r="B14037" s="380" t="str">
        <f>IFERROR(__xludf.DUMMYFUNCTION("""COMPUTED_VALUE"""),"Baliza Roja Led Rd 24Vac/Dc")</f>
        <v>Baliza Roja Led Rd 24Vac/Dc</v>
      </c>
      <c r="C14037" s="380" t="str">
        <f>IFERROR(__xludf.DUMMYFUNCTION("""COMPUTED_VALUE"""),"80000372")</f>
        <v>80000372</v>
      </c>
      <c r="D14037" s="380" t="s">
        <v>767</v>
      </c>
      <c r="E14037" s="380" t="s">
        <v>776</v>
      </c>
      <c r="F14037" s="380" t="s">
        <v>1058</v>
      </c>
      <c r="G14037" s="380" t="s">
        <v>1267</v>
      </c>
      <c r="H14037" s="380" t="s">
        <v>771</v>
      </c>
      <c r="I14037" s="380" t="s">
        <v>788</v>
      </c>
      <c r="J14037" s="380" t="s">
        <v>773</v>
      </c>
      <c r="K14037" s="381">
        <v>0.0</v>
      </c>
      <c r="L14037" s="382">
        <v>1.0</v>
      </c>
    </row>
    <row r="14038">
      <c r="A14038" s="380" t="s">
        <v>14912</v>
      </c>
      <c r="B14038" s="380" t="str">
        <f>IFERROR(__xludf.DUMMYFUNCTION("""COMPUTED_VALUE"""),"Baliza Azul Led Bl 24Vac/Dc")</f>
        <v>Baliza Azul Led Bl 24Vac/Dc</v>
      </c>
      <c r="C14038" s="380" t="str">
        <f>IFERROR(__xludf.DUMMYFUNCTION("""COMPUTED_VALUE"""),"80000373")</f>
        <v>80000373</v>
      </c>
      <c r="D14038" s="380" t="s">
        <v>767</v>
      </c>
      <c r="E14038" s="380" t="s">
        <v>776</v>
      </c>
      <c r="F14038" s="380" t="s">
        <v>1058</v>
      </c>
      <c r="G14038" s="380" t="s">
        <v>1267</v>
      </c>
      <c r="H14038" s="380" t="s">
        <v>771</v>
      </c>
      <c r="I14038" s="380" t="s">
        <v>788</v>
      </c>
      <c r="J14038" s="380" t="s">
        <v>773</v>
      </c>
      <c r="K14038" s="381">
        <v>0.0</v>
      </c>
      <c r="L14038" s="382">
        <v>1.0</v>
      </c>
    </row>
    <row r="14039">
      <c r="A14039" s="380" t="s">
        <v>14913</v>
      </c>
      <c r="B14039" s="380" t="str">
        <f>IFERROR(__xludf.DUMMYFUNCTION("""COMPUTED_VALUE"""),"Baliza Amarilla Led Yl 24Vac/D")</f>
        <v>Baliza Amarilla Led Yl 24Vac/D</v>
      </c>
      <c r="C14039" s="380" t="str">
        <f>IFERROR(__xludf.DUMMYFUNCTION("""COMPUTED_VALUE"""),"80000374")</f>
        <v>80000374</v>
      </c>
      <c r="D14039" s="380" t="s">
        <v>767</v>
      </c>
      <c r="E14039" s="380" t="s">
        <v>776</v>
      </c>
      <c r="F14039" s="380" t="s">
        <v>1058</v>
      </c>
      <c r="G14039" s="380" t="s">
        <v>1267</v>
      </c>
      <c r="H14039" s="380" t="s">
        <v>771</v>
      </c>
      <c r="I14039" s="380" t="s">
        <v>788</v>
      </c>
      <c r="J14039" s="380" t="s">
        <v>773</v>
      </c>
      <c r="K14039" s="381">
        <v>0.0</v>
      </c>
      <c r="L14039" s="382">
        <v>1.0</v>
      </c>
    </row>
    <row r="14040">
      <c r="A14040" s="380" t="s">
        <v>14914</v>
      </c>
      <c r="B14040" s="380" t="str">
        <f>IFERROR(__xludf.DUMMYFUNCTION("""COMPUTED_VALUE"""),"Conector Para Baliza Tubo")</f>
        <v>Conector Para Baliza Tubo</v>
      </c>
      <c r="C14040" s="380" t="str">
        <f>IFERROR(__xludf.DUMMYFUNCTION("""COMPUTED_VALUE"""),"80000375")</f>
        <v>80000375</v>
      </c>
      <c r="D14040" s="380" t="s">
        <v>767</v>
      </c>
      <c r="E14040" s="380" t="s">
        <v>776</v>
      </c>
      <c r="F14040" s="380" t="s">
        <v>1058</v>
      </c>
      <c r="G14040" s="380" t="s">
        <v>1267</v>
      </c>
      <c r="H14040" s="380" t="s">
        <v>771</v>
      </c>
      <c r="I14040" s="380" t="s">
        <v>788</v>
      </c>
      <c r="J14040" s="380" t="s">
        <v>773</v>
      </c>
      <c r="K14040" s="381">
        <v>0.0</v>
      </c>
      <c r="L14040" s="382">
        <v>1.0</v>
      </c>
    </row>
    <row r="14041">
      <c r="A14041" s="380" t="s">
        <v>14915</v>
      </c>
      <c r="B14041" s="380" t="str">
        <f>IFERROR(__xludf.DUMMYFUNCTION("""COMPUTED_VALUE"""),"Conector Balizas Asi X4")</f>
        <v>Conector Balizas Asi X4</v>
      </c>
      <c r="C14041" s="380" t="str">
        <f>IFERROR(__xludf.DUMMYFUNCTION("""COMPUTED_VALUE"""),"80000376")</f>
        <v>80000376</v>
      </c>
      <c r="D14041" s="380" t="s">
        <v>767</v>
      </c>
      <c r="E14041" s="380" t="s">
        <v>776</v>
      </c>
      <c r="F14041" s="380" t="s">
        <v>1058</v>
      </c>
      <c r="G14041" s="380" t="s">
        <v>1267</v>
      </c>
      <c r="H14041" s="380" t="s">
        <v>771</v>
      </c>
      <c r="I14041" s="380" t="s">
        <v>788</v>
      </c>
      <c r="J14041" s="380" t="s">
        <v>773</v>
      </c>
      <c r="K14041" s="381">
        <v>0.0</v>
      </c>
      <c r="L14041" s="382">
        <v>1.0</v>
      </c>
    </row>
    <row r="14042">
      <c r="A14042" s="380" t="s">
        <v>14916</v>
      </c>
      <c r="B14042" s="380" t="str">
        <f>IFERROR(__xludf.DUMMYFUNCTION("""COMPUTED_VALUE"""),"Pulsador Plastico Negro D22Mm")</f>
        <v>Pulsador Plastico Negro D22Mm</v>
      </c>
      <c r="C14042" s="380" t="str">
        <f>IFERROR(__xludf.DUMMYFUNCTION("""COMPUTED_VALUE"""),"80000377")</f>
        <v>80000377</v>
      </c>
      <c r="D14042" s="380" t="s">
        <v>767</v>
      </c>
      <c r="E14042" s="380" t="s">
        <v>776</v>
      </c>
      <c r="F14042" s="380" t="s">
        <v>1058</v>
      </c>
      <c r="G14042" s="380" t="s">
        <v>1267</v>
      </c>
      <c r="H14042" s="380" t="s">
        <v>771</v>
      </c>
      <c r="I14042" s="380" t="s">
        <v>788</v>
      </c>
      <c r="J14042" s="380" t="s">
        <v>773</v>
      </c>
      <c r="K14042" s="381">
        <v>0.0</v>
      </c>
      <c r="L14042" s="382">
        <v>1.0</v>
      </c>
    </row>
    <row r="14043">
      <c r="A14043" s="380" t="s">
        <v>14917</v>
      </c>
      <c r="B14043" s="380" t="str">
        <f>IFERROR(__xludf.DUMMYFUNCTION("""COMPUTED_VALUE"""),"Pulsador Plastico Rojo D22Mm A")</f>
        <v>Pulsador Plastico Rojo D22Mm A</v>
      </c>
      <c r="C14043" s="380" t="str">
        <f>IFERROR(__xludf.DUMMYFUNCTION("""COMPUTED_VALUE"""),"80000378")</f>
        <v>80000378</v>
      </c>
      <c r="D14043" s="380" t="s">
        <v>767</v>
      </c>
      <c r="E14043" s="380" t="s">
        <v>776</v>
      </c>
      <c r="F14043" s="380" t="s">
        <v>1058</v>
      </c>
      <c r="G14043" s="380" t="s">
        <v>1267</v>
      </c>
      <c r="H14043" s="380" t="s">
        <v>771</v>
      </c>
      <c r="I14043" s="380" t="s">
        <v>788</v>
      </c>
      <c r="J14043" s="380" t="s">
        <v>773</v>
      </c>
      <c r="K14043" s="381">
        <v>0.0</v>
      </c>
      <c r="L14043" s="382">
        <v>1.0</v>
      </c>
    </row>
    <row r="14044">
      <c r="A14044" s="380" t="s">
        <v>14918</v>
      </c>
      <c r="B14044" s="380" t="str">
        <f>IFERROR(__xludf.DUMMYFUNCTION("""COMPUTED_VALUE"""),"Pulsador Plastico Verde D22Mm")</f>
        <v>Pulsador Plastico Verde D22Mm</v>
      </c>
      <c r="C14044" s="380" t="str">
        <f>IFERROR(__xludf.DUMMYFUNCTION("""COMPUTED_VALUE"""),"80000379")</f>
        <v>80000379</v>
      </c>
      <c r="D14044" s="380" t="s">
        <v>767</v>
      </c>
      <c r="E14044" s="380" t="s">
        <v>776</v>
      </c>
      <c r="F14044" s="380" t="s">
        <v>1058</v>
      </c>
      <c r="G14044" s="380" t="s">
        <v>1267</v>
      </c>
      <c r="H14044" s="380" t="s">
        <v>771</v>
      </c>
      <c r="I14044" s="380" t="s">
        <v>788</v>
      </c>
      <c r="J14044" s="380" t="s">
        <v>773</v>
      </c>
      <c r="K14044" s="381">
        <v>0.0</v>
      </c>
      <c r="L14044" s="382">
        <v>1.0</v>
      </c>
    </row>
    <row r="14045">
      <c r="A14045" s="380" t="s">
        <v>14919</v>
      </c>
      <c r="B14045" s="380" t="str">
        <f>IFERROR(__xludf.DUMMYFUNCTION("""COMPUTED_VALUE"""),"Pulsador Plastico Azul D22Mm A")</f>
        <v>Pulsador Plastico Azul D22Mm A</v>
      </c>
      <c r="C14045" s="380" t="str">
        <f>IFERROR(__xludf.DUMMYFUNCTION("""COMPUTED_VALUE"""),"80000380")</f>
        <v>80000380</v>
      </c>
      <c r="D14045" s="380" t="s">
        <v>767</v>
      </c>
      <c r="E14045" s="380" t="s">
        <v>776</v>
      </c>
      <c r="F14045" s="380" t="s">
        <v>1058</v>
      </c>
      <c r="G14045" s="380" t="s">
        <v>1267</v>
      </c>
      <c r="H14045" s="380" t="s">
        <v>771</v>
      </c>
      <c r="I14045" s="380" t="s">
        <v>788</v>
      </c>
      <c r="J14045" s="380" t="s">
        <v>773</v>
      </c>
      <c r="K14045" s="381">
        <v>0.0</v>
      </c>
      <c r="L14045" s="382">
        <v>1.0</v>
      </c>
    </row>
    <row r="14046">
      <c r="A14046" s="380" t="s">
        <v>14920</v>
      </c>
      <c r="B14046" s="380" t="str">
        <f>IFERROR(__xludf.DUMMYFUNCTION("""COMPUTED_VALUE"""),"Selector 1No")</f>
        <v>Selector 1No</v>
      </c>
      <c r="C14046" s="380" t="str">
        <f>IFERROR(__xludf.DUMMYFUNCTION("""COMPUTED_VALUE"""),"80000381")</f>
        <v>80000381</v>
      </c>
      <c r="D14046" s="380" t="s">
        <v>767</v>
      </c>
      <c r="E14046" s="380" t="s">
        <v>776</v>
      </c>
      <c r="F14046" s="380" t="s">
        <v>1058</v>
      </c>
      <c r="G14046" s="380" t="s">
        <v>1267</v>
      </c>
      <c r="H14046" s="380" t="s">
        <v>771</v>
      </c>
      <c r="I14046" s="380" t="s">
        <v>788</v>
      </c>
      <c r="J14046" s="380" t="s">
        <v>773</v>
      </c>
      <c r="K14046" s="381">
        <v>0.0</v>
      </c>
      <c r="L14046" s="382">
        <v>1.0</v>
      </c>
    </row>
    <row r="14047">
      <c r="A14047" s="380" t="s">
        <v>14921</v>
      </c>
      <c r="B14047" s="380" t="str">
        <f>IFERROR(__xludf.DUMMYFUNCTION("""COMPUTED_VALUE"""),"Selector 1Ncc")</f>
        <v>Selector 1Ncc</v>
      </c>
      <c r="C14047" s="380" t="str">
        <f>IFERROR(__xludf.DUMMYFUNCTION("""COMPUTED_VALUE"""),"80000382")</f>
        <v>80000382</v>
      </c>
      <c r="D14047" s="380" t="s">
        <v>767</v>
      </c>
      <c r="E14047" s="380" t="s">
        <v>776</v>
      </c>
      <c r="F14047" s="380" t="s">
        <v>1058</v>
      </c>
      <c r="G14047" s="380" t="s">
        <v>1267</v>
      </c>
      <c r="H14047" s="380" t="s">
        <v>771</v>
      </c>
      <c r="I14047" s="380" t="s">
        <v>788</v>
      </c>
      <c r="J14047" s="380" t="s">
        <v>773</v>
      </c>
      <c r="K14047" s="381">
        <v>0.0</v>
      </c>
      <c r="L14047" s="382">
        <v>1.0</v>
      </c>
    </row>
    <row r="14048">
      <c r="A14048" s="380" t="s">
        <v>14922</v>
      </c>
      <c r="B14048" s="380" t="str">
        <f>IFERROR(__xludf.DUMMYFUNCTION("""COMPUTED_VALUE"""),"Pulsador Luz Blanca 24Vac/Dc T")</f>
        <v>Pulsador Luz Blanca 24Vac/Dc T</v>
      </c>
      <c r="C14048" s="380" t="str">
        <f>IFERROR(__xludf.DUMMYFUNCTION("""COMPUTED_VALUE"""),"80000383")</f>
        <v>80000383</v>
      </c>
      <c r="D14048" s="380" t="s">
        <v>767</v>
      </c>
      <c r="E14048" s="380" t="s">
        <v>776</v>
      </c>
      <c r="F14048" s="380" t="s">
        <v>1058</v>
      </c>
      <c r="G14048" s="380" t="s">
        <v>1267</v>
      </c>
      <c r="H14048" s="380" t="s">
        <v>771</v>
      </c>
      <c r="I14048" s="380" t="s">
        <v>788</v>
      </c>
      <c r="J14048" s="380" t="s">
        <v>773</v>
      </c>
      <c r="K14048" s="381">
        <v>0.0</v>
      </c>
      <c r="L14048" s="382">
        <v>1.0</v>
      </c>
    </row>
    <row r="14049">
      <c r="A14049" s="380" t="s">
        <v>14923</v>
      </c>
      <c r="B14049" s="380" t="str">
        <f>IFERROR(__xludf.DUMMYFUNCTION("""COMPUTED_VALUE"""),"Luz Led Amarilla 130Vac/Dc Ter")</f>
        <v>Luz Led Amarilla 130Vac/Dc Ter</v>
      </c>
      <c r="C14049" s="380" t="str">
        <f>IFERROR(__xludf.DUMMYFUNCTION("""COMPUTED_VALUE"""),"80000384")</f>
        <v>80000384</v>
      </c>
      <c r="D14049" s="380" t="s">
        <v>767</v>
      </c>
      <c r="E14049" s="380" t="s">
        <v>776</v>
      </c>
      <c r="F14049" s="380" t="s">
        <v>1058</v>
      </c>
      <c r="G14049" s="380" t="s">
        <v>1267</v>
      </c>
      <c r="H14049" s="380" t="s">
        <v>771</v>
      </c>
      <c r="I14049" s="380" t="s">
        <v>788</v>
      </c>
      <c r="J14049" s="380" t="s">
        <v>773</v>
      </c>
      <c r="K14049" s="381">
        <v>0.0</v>
      </c>
      <c r="L14049" s="382">
        <v>1.0</v>
      </c>
    </row>
    <row r="14050">
      <c r="A14050" s="380" t="s">
        <v>14924</v>
      </c>
      <c r="B14050" s="380" t="str">
        <f>IFERROR(__xludf.DUMMYFUNCTION("""COMPUTED_VALUE"""),"Pulsador Iluminado Azul")</f>
        <v>Pulsador Iluminado Azul</v>
      </c>
      <c r="C14050" s="380" t="str">
        <f>IFERROR(__xludf.DUMMYFUNCTION("""COMPUTED_VALUE"""),"80000385")</f>
        <v>80000385</v>
      </c>
      <c r="D14050" s="380" t="s">
        <v>767</v>
      </c>
      <c r="E14050" s="380" t="s">
        <v>776</v>
      </c>
      <c r="F14050" s="380" t="s">
        <v>1058</v>
      </c>
      <c r="G14050" s="380" t="s">
        <v>1267</v>
      </c>
      <c r="H14050" s="380" t="s">
        <v>771</v>
      </c>
      <c r="I14050" s="380" t="s">
        <v>788</v>
      </c>
      <c r="J14050" s="380" t="s">
        <v>773</v>
      </c>
      <c r="K14050" s="381">
        <v>0.0</v>
      </c>
      <c r="L14050" s="382">
        <v>1.0</v>
      </c>
    </row>
    <row r="14051">
      <c r="A14051" s="380" t="s">
        <v>14925</v>
      </c>
      <c r="B14051" s="380" t="str">
        <f>IFERROR(__xludf.DUMMYFUNCTION("""COMPUTED_VALUE"""),"Pulsador Iluminado Blanco")</f>
        <v>Pulsador Iluminado Blanco</v>
      </c>
      <c r="C14051" s="380" t="str">
        <f>IFERROR(__xludf.DUMMYFUNCTION("""COMPUTED_VALUE"""),"80000386")</f>
        <v>80000386</v>
      </c>
      <c r="D14051" s="380" t="s">
        <v>767</v>
      </c>
      <c r="E14051" s="380" t="s">
        <v>776</v>
      </c>
      <c r="F14051" s="380" t="s">
        <v>1058</v>
      </c>
      <c r="G14051" s="380" t="s">
        <v>1267</v>
      </c>
      <c r="H14051" s="380" t="s">
        <v>771</v>
      </c>
      <c r="I14051" s="380" t="s">
        <v>788</v>
      </c>
      <c r="J14051" s="380" t="s">
        <v>773</v>
      </c>
      <c r="K14051" s="381">
        <v>0.0</v>
      </c>
      <c r="L14051" s="382">
        <v>1.0</v>
      </c>
    </row>
    <row r="14052">
      <c r="A14052" s="380" t="s">
        <v>14926</v>
      </c>
      <c r="B14052" s="380" t="str">
        <f>IFERROR(__xludf.DUMMYFUNCTION("""COMPUTED_VALUE"""),"Cortacircuitos 230/400V 1P 6A")</f>
        <v>Cortacircuitos 230/400V 1P 6A</v>
      </c>
      <c r="C14052" s="380" t="str">
        <f>IFERROR(__xludf.DUMMYFUNCTION("""COMPUTED_VALUE"""),"80000387")</f>
        <v>80000387</v>
      </c>
      <c r="D14052" s="380" t="s">
        <v>767</v>
      </c>
      <c r="E14052" s="380" t="s">
        <v>776</v>
      </c>
      <c r="F14052" s="380" t="s">
        <v>1058</v>
      </c>
      <c r="G14052" s="380" t="s">
        <v>1267</v>
      </c>
      <c r="H14052" s="380" t="s">
        <v>771</v>
      </c>
      <c r="I14052" s="380" t="s">
        <v>788</v>
      </c>
      <c r="J14052" s="380" t="s">
        <v>773</v>
      </c>
      <c r="K14052" s="381">
        <v>0.0</v>
      </c>
      <c r="L14052" s="382">
        <v>1.0</v>
      </c>
    </row>
    <row r="14053">
      <c r="A14053" s="380" t="s">
        <v>14927</v>
      </c>
      <c r="B14053" s="380" t="str">
        <f>IFERROR(__xludf.DUMMYFUNCTION("""COMPUTED_VALUE"""),"Unidad Corriente Residual Rcd")</f>
        <v>Unidad Corriente Residual Rcd</v>
      </c>
      <c r="C14053" s="380" t="str">
        <f>IFERROR(__xludf.DUMMYFUNCTION("""COMPUTED_VALUE"""),"80000388")</f>
        <v>80000388</v>
      </c>
      <c r="D14053" s="380" t="s">
        <v>767</v>
      </c>
      <c r="E14053" s="380" t="s">
        <v>776</v>
      </c>
      <c r="F14053" s="380" t="s">
        <v>1058</v>
      </c>
      <c r="G14053" s="380" t="s">
        <v>1267</v>
      </c>
      <c r="H14053" s="380" t="s">
        <v>771</v>
      </c>
      <c r="I14053" s="380" t="s">
        <v>788</v>
      </c>
      <c r="J14053" s="380" t="s">
        <v>773</v>
      </c>
      <c r="K14053" s="381">
        <v>0.0</v>
      </c>
      <c r="L14053" s="382">
        <v>1.0</v>
      </c>
    </row>
    <row r="14054">
      <c r="A14054" s="380" t="s">
        <v>14928</v>
      </c>
      <c r="B14054" s="380" t="str">
        <f>IFERROR(__xludf.DUMMYFUNCTION("""COMPUTED_VALUE"""),"Bloque Aux 2No Terminal Tornil")</f>
        <v>Bloque Aux 2No Terminal Tornil</v>
      </c>
      <c r="C14054" s="380" t="str">
        <f>IFERROR(__xludf.DUMMYFUNCTION("""COMPUTED_VALUE"""),"80000389")</f>
        <v>80000389</v>
      </c>
      <c r="D14054" s="380" t="s">
        <v>767</v>
      </c>
      <c r="E14054" s="380" t="s">
        <v>776</v>
      </c>
      <c r="F14054" s="380" t="s">
        <v>1058</v>
      </c>
      <c r="G14054" s="380" t="s">
        <v>1267</v>
      </c>
      <c r="H14054" s="380" t="s">
        <v>771</v>
      </c>
      <c r="I14054" s="380" t="s">
        <v>788</v>
      </c>
      <c r="J14054" s="380" t="s">
        <v>773</v>
      </c>
      <c r="K14054" s="381">
        <v>0.0</v>
      </c>
      <c r="L14054" s="382">
        <v>1.0</v>
      </c>
    </row>
    <row r="14055">
      <c r="A14055" s="380" t="s">
        <v>14929</v>
      </c>
      <c r="B14055" s="380" t="str">
        <f>IFERROR(__xludf.DUMMYFUNCTION("""COMPUTED_VALUE"""),"Ccc Acoplador Profinet Disy Rc")</f>
        <v>Ccc Acoplador Profinet Disy Rc</v>
      </c>
      <c r="C14055" s="380" t="str">
        <f>IFERROR(__xludf.DUMMYFUNCTION("""COMPUTED_VALUE"""),"80000390")</f>
        <v>80000390</v>
      </c>
      <c r="D14055" s="380" t="s">
        <v>767</v>
      </c>
      <c r="E14055" s="380" t="s">
        <v>776</v>
      </c>
      <c r="F14055" s="380" t="s">
        <v>1058</v>
      </c>
      <c r="G14055" s="380" t="s">
        <v>1267</v>
      </c>
      <c r="H14055" s="380" t="s">
        <v>771</v>
      </c>
      <c r="I14055" s="380" t="s">
        <v>788</v>
      </c>
      <c r="J14055" s="380" t="s">
        <v>773</v>
      </c>
      <c r="K14055" s="381">
        <v>0.0</v>
      </c>
      <c r="L14055" s="382">
        <v>1.0</v>
      </c>
    </row>
    <row r="14056">
      <c r="A14056" s="380" t="s">
        <v>14930</v>
      </c>
      <c r="B14056" s="380" t="str">
        <f>IFERROR(__xludf.DUMMYFUNCTION("""COMPUTED_VALUE"""),"Cortacircuitos 4A 230/400V 6Ka")</f>
        <v>Cortacircuitos 4A 230/400V 6Ka</v>
      </c>
      <c r="C14056" s="380" t="str">
        <f>IFERROR(__xludf.DUMMYFUNCTION("""COMPUTED_VALUE"""),"80000391")</f>
        <v>80000391</v>
      </c>
      <c r="D14056" s="380" t="s">
        <v>767</v>
      </c>
      <c r="E14056" s="380" t="s">
        <v>776</v>
      </c>
      <c r="F14056" s="380" t="s">
        <v>1058</v>
      </c>
      <c r="G14056" s="380" t="s">
        <v>1267</v>
      </c>
      <c r="H14056" s="380" t="s">
        <v>771</v>
      </c>
      <c r="I14056" s="380" t="s">
        <v>788</v>
      </c>
      <c r="J14056" s="380" t="s">
        <v>773</v>
      </c>
      <c r="K14056" s="381">
        <v>0.0</v>
      </c>
      <c r="L14056" s="382">
        <v>1.0</v>
      </c>
    </row>
    <row r="14057">
      <c r="A14057" s="380" t="s">
        <v>14931</v>
      </c>
      <c r="B14057" s="380" t="str">
        <f>IFERROR(__xludf.DUMMYFUNCTION("""COMPUTED_VALUE"""),"Cortacircuitos 6A 230/400V 6Ka")</f>
        <v>Cortacircuitos 6A 230/400V 6Ka</v>
      </c>
      <c r="C14057" s="380" t="str">
        <f>IFERROR(__xludf.DUMMYFUNCTION("""COMPUTED_VALUE"""),"80000392")</f>
        <v>80000392</v>
      </c>
      <c r="D14057" s="380" t="s">
        <v>767</v>
      </c>
      <c r="E14057" s="380" t="s">
        <v>776</v>
      </c>
      <c r="F14057" s="380" t="s">
        <v>1058</v>
      </c>
      <c r="G14057" s="380" t="s">
        <v>1267</v>
      </c>
      <c r="H14057" s="380" t="s">
        <v>771</v>
      </c>
      <c r="I14057" s="380" t="s">
        <v>788</v>
      </c>
      <c r="J14057" s="380" t="s">
        <v>773</v>
      </c>
      <c r="K14057" s="381">
        <v>0.0</v>
      </c>
      <c r="L14057" s="382">
        <v>1.0</v>
      </c>
    </row>
    <row r="14058">
      <c r="A14058" s="380" t="s">
        <v>14932</v>
      </c>
      <c r="B14058" s="380" t="str">
        <f>IFERROR(__xludf.DUMMYFUNCTION("""COMPUTED_VALUE"""),"Ccc Pieza Conexión Laminada")</f>
        <v>Ccc Pieza Conexión Laminada</v>
      </c>
      <c r="C14058" s="380" t="str">
        <f>IFERROR(__xludf.DUMMYFUNCTION("""COMPUTED_VALUE"""),"80000393")</f>
        <v>80000393</v>
      </c>
      <c r="D14058" s="380" t="s">
        <v>767</v>
      </c>
      <c r="E14058" s="380" t="s">
        <v>776</v>
      </c>
      <c r="F14058" s="380" t="s">
        <v>1058</v>
      </c>
      <c r="G14058" s="380" t="s">
        <v>1267</v>
      </c>
      <c r="H14058" s="380" t="s">
        <v>771</v>
      </c>
      <c r="I14058" s="380" t="s">
        <v>788</v>
      </c>
      <c r="J14058" s="380" t="s">
        <v>773</v>
      </c>
      <c r="K14058" s="381">
        <v>0.0</v>
      </c>
      <c r="L14058" s="382">
        <v>1.0</v>
      </c>
    </row>
    <row r="14059">
      <c r="A14059" s="380" t="s">
        <v>14933</v>
      </c>
      <c r="B14059" s="380" t="str">
        <f>IFERROR(__xludf.DUMMYFUNCTION("""COMPUTED_VALUE"""),"Cortacircuitos 230/400V 1P 16A")</f>
        <v>Cortacircuitos 230/400V 1P 16A</v>
      </c>
      <c r="C14059" s="380" t="str">
        <f>IFERROR(__xludf.DUMMYFUNCTION("""COMPUTED_VALUE"""),"80000394")</f>
        <v>80000394</v>
      </c>
      <c r="D14059" s="380" t="s">
        <v>767</v>
      </c>
      <c r="E14059" s="380" t="s">
        <v>776</v>
      </c>
      <c r="F14059" s="380" t="s">
        <v>1058</v>
      </c>
      <c r="G14059" s="380" t="s">
        <v>1267</v>
      </c>
      <c r="H14059" s="380" t="s">
        <v>771</v>
      </c>
      <c r="I14059" s="380" t="s">
        <v>788</v>
      </c>
      <c r="J14059" s="380" t="s">
        <v>773</v>
      </c>
      <c r="K14059" s="381">
        <v>0.0</v>
      </c>
      <c r="L14059" s="382">
        <v>1.0</v>
      </c>
    </row>
    <row r="14060">
      <c r="A14060" s="380" t="s">
        <v>14934</v>
      </c>
      <c r="B14060" s="380" t="str">
        <f>IFERROR(__xludf.DUMMYFUNCTION("""COMPUTED_VALUE"""),"Cortacircuitos 230/400V 1P 16A")</f>
        <v>Cortacircuitos 230/400V 1P 16A</v>
      </c>
      <c r="C14060" s="380" t="str">
        <f>IFERROR(__xludf.DUMMYFUNCTION("""COMPUTED_VALUE"""),"80000395")</f>
        <v>80000395</v>
      </c>
      <c r="D14060" s="380" t="s">
        <v>767</v>
      </c>
      <c r="E14060" s="380" t="s">
        <v>776</v>
      </c>
      <c r="F14060" s="380" t="s">
        <v>1058</v>
      </c>
      <c r="G14060" s="380" t="s">
        <v>1267</v>
      </c>
      <c r="H14060" s="380" t="s">
        <v>771</v>
      </c>
      <c r="I14060" s="380" t="s">
        <v>788</v>
      </c>
      <c r="J14060" s="380" t="s">
        <v>773</v>
      </c>
      <c r="K14060" s="381">
        <v>0.0</v>
      </c>
      <c r="L14060" s="382">
        <v>1.0</v>
      </c>
    </row>
    <row r="14061">
      <c r="A14061" s="380" t="s">
        <v>14935</v>
      </c>
      <c r="B14061" s="380" t="str">
        <f>IFERROR(__xludf.DUMMYFUNCTION("""COMPUTED_VALUE"""),"Cortacircuitos 230/400V 2P 40A")</f>
        <v>Cortacircuitos 230/400V 2P 40A</v>
      </c>
      <c r="C14061" s="380" t="str">
        <f>IFERROR(__xludf.DUMMYFUNCTION("""COMPUTED_VALUE"""),"80000396")</f>
        <v>80000396</v>
      </c>
      <c r="D14061" s="380" t="s">
        <v>767</v>
      </c>
      <c r="E14061" s="380" t="s">
        <v>776</v>
      </c>
      <c r="F14061" s="380" t="s">
        <v>1058</v>
      </c>
      <c r="G14061" s="380" t="s">
        <v>1267</v>
      </c>
      <c r="H14061" s="380" t="s">
        <v>771</v>
      </c>
      <c r="I14061" s="380" t="s">
        <v>788</v>
      </c>
      <c r="J14061" s="380" t="s">
        <v>773</v>
      </c>
      <c r="K14061" s="381">
        <v>0.0</v>
      </c>
      <c r="L14061" s="382">
        <v>1.0</v>
      </c>
    </row>
    <row r="14062">
      <c r="A14062" s="380" t="s">
        <v>14936</v>
      </c>
      <c r="B14062" s="380" t="str">
        <f>IFERROR(__xludf.DUMMYFUNCTION("""COMPUTED_VALUE"""),"Cortacircuitos 230/400V 3P 25A")</f>
        <v>Cortacircuitos 230/400V 3P 25A</v>
      </c>
      <c r="C14062" s="380" t="str">
        <f>IFERROR(__xludf.DUMMYFUNCTION("""COMPUTED_VALUE"""),"80000397")</f>
        <v>80000397</v>
      </c>
      <c r="D14062" s="380" t="s">
        <v>767</v>
      </c>
      <c r="E14062" s="380" t="s">
        <v>776</v>
      </c>
      <c r="F14062" s="380" t="s">
        <v>1058</v>
      </c>
      <c r="G14062" s="380" t="s">
        <v>1267</v>
      </c>
      <c r="H14062" s="380" t="s">
        <v>771</v>
      </c>
      <c r="I14062" s="380" t="s">
        <v>788</v>
      </c>
      <c r="J14062" s="380" t="s">
        <v>773</v>
      </c>
      <c r="K14062" s="381">
        <v>0.0</v>
      </c>
      <c r="L14062" s="382">
        <v>1.0</v>
      </c>
    </row>
    <row r="14063">
      <c r="A14063" s="380" t="s">
        <v>14937</v>
      </c>
      <c r="B14063" s="380" t="str">
        <f>IFERROR(__xludf.DUMMYFUNCTION("""COMPUTED_VALUE"""),"Cortacircuitos 230/400V 4P 32A")</f>
        <v>Cortacircuitos 230/400V 4P 32A</v>
      </c>
      <c r="C14063" s="380" t="str">
        <f>IFERROR(__xludf.DUMMYFUNCTION("""COMPUTED_VALUE"""),"80000398")</f>
        <v>80000398</v>
      </c>
      <c r="D14063" s="380" t="s">
        <v>767</v>
      </c>
      <c r="E14063" s="380" t="s">
        <v>776</v>
      </c>
      <c r="F14063" s="380" t="s">
        <v>1058</v>
      </c>
      <c r="G14063" s="380" t="s">
        <v>1267</v>
      </c>
      <c r="H14063" s="380" t="s">
        <v>771</v>
      </c>
      <c r="I14063" s="380" t="s">
        <v>788</v>
      </c>
      <c r="J14063" s="380" t="s">
        <v>773</v>
      </c>
      <c r="K14063" s="381">
        <v>0.0</v>
      </c>
      <c r="L14063" s="382">
        <v>1.0</v>
      </c>
    </row>
    <row r="14064">
      <c r="A14064" s="380" t="s">
        <v>14938</v>
      </c>
      <c r="B14064" s="380" t="str">
        <f>IFERROR(__xludf.DUMMYFUNCTION("""COMPUTED_VALUE"""),"Cortacircuitos 230/400V 4P 63A")</f>
        <v>Cortacircuitos 230/400V 4P 63A</v>
      </c>
      <c r="C14064" s="380" t="str">
        <f>IFERROR(__xludf.DUMMYFUNCTION("""COMPUTED_VALUE"""),"80000399")</f>
        <v>80000399</v>
      </c>
      <c r="D14064" s="380" t="s">
        <v>767</v>
      </c>
      <c r="E14064" s="380" t="s">
        <v>776</v>
      </c>
      <c r="F14064" s="380" t="s">
        <v>1058</v>
      </c>
      <c r="G14064" s="380" t="s">
        <v>1267</v>
      </c>
      <c r="H14064" s="380" t="s">
        <v>771</v>
      </c>
      <c r="I14064" s="380" t="s">
        <v>788</v>
      </c>
      <c r="J14064" s="380" t="s">
        <v>773</v>
      </c>
      <c r="K14064" s="381">
        <v>0.0</v>
      </c>
      <c r="L14064" s="382">
        <v>1.0</v>
      </c>
    </row>
    <row r="14065">
      <c r="A14065" s="380" t="s">
        <v>14939</v>
      </c>
      <c r="B14065" s="380" t="str">
        <f>IFERROR(__xludf.DUMMYFUNCTION("""COMPUTED_VALUE"""),"Baliza Amarilla 24Vdc Solo Fla")</f>
        <v>Baliza Amarilla 24Vdc Solo Fla</v>
      </c>
      <c r="C14065" s="380" t="str">
        <f>IFERROR(__xludf.DUMMYFUNCTION("""COMPUTED_VALUE"""),"80000400")</f>
        <v>80000400</v>
      </c>
      <c r="D14065" s="380" t="s">
        <v>767</v>
      </c>
      <c r="E14065" s="380" t="s">
        <v>776</v>
      </c>
      <c r="F14065" s="380" t="s">
        <v>1058</v>
      </c>
      <c r="G14065" s="380" t="s">
        <v>1267</v>
      </c>
      <c r="H14065" s="380" t="s">
        <v>771</v>
      </c>
      <c r="I14065" s="380" t="s">
        <v>788</v>
      </c>
      <c r="J14065" s="380" t="s">
        <v>773</v>
      </c>
      <c r="K14065" s="381">
        <v>0.0</v>
      </c>
      <c r="L14065" s="382">
        <v>1.0</v>
      </c>
    </row>
    <row r="14066">
      <c r="A14066" s="380" t="s">
        <v>14940</v>
      </c>
      <c r="B14066" s="380" t="str">
        <f>IFERROR(__xludf.DUMMYFUNCTION("""COMPUTED_VALUE"""),"Baliza Verde Led Gr 24Vac/Dc")</f>
        <v>Baliza Verde Led Gr 24Vac/Dc</v>
      </c>
      <c r="C14066" s="380" t="str">
        <f>IFERROR(__xludf.DUMMYFUNCTION("""COMPUTED_VALUE"""),"80000401")</f>
        <v>80000401</v>
      </c>
      <c r="D14066" s="380" t="s">
        <v>767</v>
      </c>
      <c r="E14066" s="380" t="s">
        <v>776</v>
      </c>
      <c r="F14066" s="380" t="s">
        <v>1058</v>
      </c>
      <c r="G14066" s="380" t="s">
        <v>1267</v>
      </c>
      <c r="H14066" s="380" t="s">
        <v>771</v>
      </c>
      <c r="I14066" s="380" t="s">
        <v>788</v>
      </c>
      <c r="J14066" s="380" t="s">
        <v>773</v>
      </c>
      <c r="K14066" s="381">
        <v>0.0</v>
      </c>
      <c r="L14066" s="382">
        <v>1.0</v>
      </c>
    </row>
    <row r="14067">
      <c r="A14067" s="380" t="s">
        <v>14941</v>
      </c>
      <c r="B14067" s="380" t="str">
        <f>IFERROR(__xludf.DUMMYFUNCTION("""COMPUTED_VALUE"""),"Tapa Ventilador 3243. 3244, 32")</f>
        <v>Tapa Ventilador 3243. 3244, 32</v>
      </c>
      <c r="C14067" s="380" t="str">
        <f>IFERROR(__xludf.DUMMYFUNCTION("""COMPUTED_VALUE"""),"80000402")</f>
        <v>80000402</v>
      </c>
      <c r="D14067" s="380" t="s">
        <v>767</v>
      </c>
      <c r="E14067" s="380" t="s">
        <v>776</v>
      </c>
      <c r="F14067" s="380" t="s">
        <v>1058</v>
      </c>
      <c r="G14067" s="380" t="s">
        <v>1267</v>
      </c>
      <c r="H14067" s="380" t="s">
        <v>771</v>
      </c>
      <c r="I14067" s="380" t="s">
        <v>788</v>
      </c>
      <c r="J14067" s="380" t="s">
        <v>773</v>
      </c>
      <c r="K14067" s="381">
        <v>0.0</v>
      </c>
      <c r="L14067" s="382">
        <v>1.0</v>
      </c>
    </row>
    <row r="14068">
      <c r="A14068" s="380" t="s">
        <v>14942</v>
      </c>
      <c r="B14068" s="380" t="str">
        <f>IFERROR(__xludf.DUMMYFUNCTION("""COMPUTED_VALUE"""),"Filt Ventil 20/25M3/H 200/240V")</f>
        <v>Filt Ventil 20/25M3/H 200/240V</v>
      </c>
      <c r="C14068" s="380" t="str">
        <f>IFERROR(__xludf.DUMMYFUNCTION("""COMPUTED_VALUE"""),"80000403")</f>
        <v>80000403</v>
      </c>
      <c r="D14068" s="380" t="s">
        <v>767</v>
      </c>
      <c r="E14068" s="380" t="s">
        <v>776</v>
      </c>
      <c r="F14068" s="380" t="s">
        <v>1058</v>
      </c>
      <c r="G14068" s="380" t="s">
        <v>1267</v>
      </c>
      <c r="H14068" s="380" t="s">
        <v>771</v>
      </c>
      <c r="I14068" s="380" t="s">
        <v>788</v>
      </c>
      <c r="J14068" s="380" t="s">
        <v>773</v>
      </c>
      <c r="K14068" s="381">
        <v>0.0</v>
      </c>
      <c r="L14068" s="382">
        <v>1.0</v>
      </c>
    </row>
    <row r="14069">
      <c r="A14069" s="380" t="s">
        <v>14943</v>
      </c>
      <c r="B14069" s="380" t="str">
        <f>IFERROR(__xludf.DUMMYFUNCTION("""COMPUTED_VALUE"""),"Rele Terminal Plc-Rsc-24Dc/21")</f>
        <v>Rele Terminal Plc-Rsc-24Dc/21</v>
      </c>
      <c r="C14069" s="380" t="str">
        <f>IFERROR(__xludf.DUMMYFUNCTION("""COMPUTED_VALUE"""),"80000404")</f>
        <v>80000404</v>
      </c>
      <c r="D14069" s="380" t="s">
        <v>767</v>
      </c>
      <c r="E14069" s="380" t="s">
        <v>776</v>
      </c>
      <c r="F14069" s="380" t="s">
        <v>1058</v>
      </c>
      <c r="G14069" s="380" t="s">
        <v>1267</v>
      </c>
      <c r="H14069" s="380" t="s">
        <v>771</v>
      </c>
      <c r="I14069" s="380" t="s">
        <v>788</v>
      </c>
      <c r="J14069" s="380" t="s">
        <v>773</v>
      </c>
      <c r="K14069" s="381">
        <v>0.0</v>
      </c>
      <c r="L14069" s="382">
        <v>1.0</v>
      </c>
    </row>
    <row r="14070">
      <c r="A14070" s="380" t="s">
        <v>14944</v>
      </c>
      <c r="B14070" s="380" t="str">
        <f>IFERROR(__xludf.DUMMYFUNCTION("""COMPUTED_VALUE"""),"Optoacoplador Dek-Oe-5Dc/24Dc/")</f>
        <v>Optoacoplador Dek-Oe-5Dc/24Dc/</v>
      </c>
      <c r="C14070" s="380" t="str">
        <f>IFERROR(__xludf.DUMMYFUNCTION("""COMPUTED_VALUE"""),"80000405")</f>
        <v>80000405</v>
      </c>
      <c r="D14070" s="380" t="s">
        <v>767</v>
      </c>
      <c r="E14070" s="380" t="s">
        <v>776</v>
      </c>
      <c r="F14070" s="380" t="s">
        <v>1058</v>
      </c>
      <c r="G14070" s="380" t="s">
        <v>1267</v>
      </c>
      <c r="H14070" s="380" t="s">
        <v>771</v>
      </c>
      <c r="I14070" s="380" t="s">
        <v>788</v>
      </c>
      <c r="J14070" s="380" t="s">
        <v>773</v>
      </c>
      <c r="K14070" s="381">
        <v>0.0</v>
      </c>
      <c r="L14070" s="382">
        <v>1.0</v>
      </c>
    </row>
    <row r="14071">
      <c r="A14071" s="380" t="s">
        <v>14945</v>
      </c>
      <c r="B14071" s="380" t="str">
        <f>IFERROR(__xludf.DUMMYFUNCTION("""COMPUTED_VALUE"""),"Rele Terminal Plc-Rsc-24Dc/21-")</f>
        <v>Rele Terminal Plc-Rsc-24Dc/21-</v>
      </c>
      <c r="C14071" s="380" t="str">
        <f>IFERROR(__xludf.DUMMYFUNCTION("""COMPUTED_VALUE"""),"80000406")</f>
        <v>80000406</v>
      </c>
      <c r="D14071" s="380" t="s">
        <v>767</v>
      </c>
      <c r="E14071" s="380" t="s">
        <v>776</v>
      </c>
      <c r="F14071" s="380" t="s">
        <v>1058</v>
      </c>
      <c r="G14071" s="380" t="s">
        <v>1267</v>
      </c>
      <c r="H14071" s="380" t="s">
        <v>771</v>
      </c>
      <c r="I14071" s="380" t="s">
        <v>788</v>
      </c>
      <c r="J14071" s="380" t="s">
        <v>773</v>
      </c>
      <c r="K14071" s="381">
        <v>0.0</v>
      </c>
      <c r="L14071" s="382">
        <v>1.0</v>
      </c>
    </row>
    <row r="14072">
      <c r="A14072" s="380" t="s">
        <v>14946</v>
      </c>
      <c r="B14072" s="380" t="str">
        <f>IFERROR(__xludf.DUMMYFUNCTION("""COMPUTED_VALUE"""),"Conector Riel Tomacorriente 08")</f>
        <v>Conector Riel Tomacorriente 08</v>
      </c>
      <c r="C14072" s="380" t="str">
        <f>IFERROR(__xludf.DUMMYFUNCTION("""COMPUTED_VALUE"""),"80000407")</f>
        <v>80000407</v>
      </c>
      <c r="D14072" s="380" t="s">
        <v>767</v>
      </c>
      <c r="E14072" s="380" t="s">
        <v>776</v>
      </c>
      <c r="F14072" s="380" t="s">
        <v>1058</v>
      </c>
      <c r="G14072" s="380" t="s">
        <v>1267</v>
      </c>
      <c r="H14072" s="380" t="s">
        <v>771</v>
      </c>
      <c r="I14072" s="380" t="s">
        <v>788</v>
      </c>
      <c r="J14072" s="380" t="s">
        <v>773</v>
      </c>
      <c r="K14072" s="381">
        <v>0.0</v>
      </c>
      <c r="L14072" s="382">
        <v>1.0</v>
      </c>
    </row>
    <row r="14073">
      <c r="A14073" s="380" t="s">
        <v>14947</v>
      </c>
      <c r="B14073" s="380" t="str">
        <f>IFERROR(__xludf.DUMMYFUNCTION("""COMPUTED_VALUE"""),"Cable Plano Salida Alim Ra-C1-")</f>
        <v>Cable Plano Salida Alim Ra-C1-</v>
      </c>
      <c r="C14073" s="380" t="str">
        <f>IFERROR(__xludf.DUMMYFUNCTION("""COMPUTED_VALUE"""),"80000409")</f>
        <v>80000409</v>
      </c>
      <c r="D14073" s="380" t="s">
        <v>767</v>
      </c>
      <c r="E14073" s="380" t="s">
        <v>776</v>
      </c>
      <c r="F14073" s="380" t="s">
        <v>1058</v>
      </c>
      <c r="G14073" s="380" t="s">
        <v>1267</v>
      </c>
      <c r="H14073" s="380" t="s">
        <v>771</v>
      </c>
      <c r="I14073" s="380" t="s">
        <v>788</v>
      </c>
      <c r="J14073" s="380" t="s">
        <v>773</v>
      </c>
      <c r="K14073" s="381">
        <v>0.0</v>
      </c>
      <c r="L14073" s="382">
        <v>1.0</v>
      </c>
    </row>
    <row r="14074">
      <c r="A14074" s="380" t="s">
        <v>14948</v>
      </c>
      <c r="B14074" s="380" t="str">
        <f>IFERROR(__xludf.DUMMYFUNCTION("""COMPUTED_VALUE"""),"Rele 4No 24Vdc Terminal Abraza")</f>
        <v>Rele 4No 24Vdc Terminal Abraza</v>
      </c>
      <c r="C14074" s="380" t="str">
        <f>IFERROR(__xludf.DUMMYFUNCTION("""COMPUTED_VALUE"""),"80000410")</f>
        <v>80000410</v>
      </c>
      <c r="D14074" s="380" t="s">
        <v>767</v>
      </c>
      <c r="E14074" s="380" t="s">
        <v>776</v>
      </c>
      <c r="F14074" s="380" t="s">
        <v>1058</v>
      </c>
      <c r="G14074" s="380" t="s">
        <v>1267</v>
      </c>
      <c r="H14074" s="380" t="s">
        <v>771</v>
      </c>
      <c r="I14074" s="380" t="s">
        <v>788</v>
      </c>
      <c r="J14074" s="380" t="s">
        <v>773</v>
      </c>
      <c r="K14074" s="381">
        <v>0.0</v>
      </c>
      <c r="L14074" s="382">
        <v>1.0</v>
      </c>
    </row>
    <row r="14075">
      <c r="A14075" s="380" t="s">
        <v>14949</v>
      </c>
      <c r="B14075" s="380" t="str">
        <f>IFERROR(__xludf.DUMMYFUNCTION("""COMPUTED_VALUE"""),"Contac400V3P11,0Kw25Aac-3Aux1N")</f>
        <v>Contac400V3P11,0Kw25Aac-3Aux1N</v>
      </c>
      <c r="C14075" s="380" t="str">
        <f>IFERROR(__xludf.DUMMYFUNCTION("""COMPUTED_VALUE"""),"80000411")</f>
        <v>80000411</v>
      </c>
      <c r="D14075" s="380" t="s">
        <v>767</v>
      </c>
      <c r="E14075" s="380" t="s">
        <v>776</v>
      </c>
      <c r="F14075" s="380" t="s">
        <v>1058</v>
      </c>
      <c r="G14075" s="380" t="s">
        <v>1267</v>
      </c>
      <c r="H14075" s="380" t="s">
        <v>771</v>
      </c>
      <c r="I14075" s="380" t="s">
        <v>788</v>
      </c>
      <c r="J14075" s="380" t="s">
        <v>773</v>
      </c>
      <c r="K14075" s="381">
        <v>0.0</v>
      </c>
      <c r="L14075" s="382">
        <v>1.0</v>
      </c>
    </row>
    <row r="14076">
      <c r="A14076" s="380" t="s">
        <v>14950</v>
      </c>
      <c r="B14076" s="380" t="str">
        <f>IFERROR(__xludf.DUMMYFUNCTION("""COMPUTED_VALUE"""),"Contac 400V3P3,0Kw7A Ac3Aux1Nc")</f>
        <v>Contac 400V3P3,0Kw7A Ac3Aux1Nc</v>
      </c>
      <c r="C14076" s="380" t="str">
        <f>IFERROR(__xludf.DUMMYFUNCTION("""COMPUTED_VALUE"""),"80000412")</f>
        <v>80000412</v>
      </c>
      <c r="D14076" s="380" t="s">
        <v>767</v>
      </c>
      <c r="E14076" s="380" t="s">
        <v>776</v>
      </c>
      <c r="F14076" s="380" t="s">
        <v>1058</v>
      </c>
      <c r="G14076" s="380" t="s">
        <v>1267</v>
      </c>
      <c r="H14076" s="380" t="s">
        <v>771</v>
      </c>
      <c r="I14076" s="380" t="s">
        <v>788</v>
      </c>
      <c r="J14076" s="380" t="s">
        <v>773</v>
      </c>
      <c r="K14076" s="381">
        <v>0.0</v>
      </c>
      <c r="L14076" s="382">
        <v>1.0</v>
      </c>
    </row>
    <row r="14077">
      <c r="A14077" s="380" t="s">
        <v>14951</v>
      </c>
      <c r="B14077" s="380" t="str">
        <f>IFERROR(__xludf.DUMMYFUNCTION("""COMPUTED_VALUE"""),"Cortacircuitos Corriente Res R")</f>
        <v>Cortacircuitos Corriente Res R</v>
      </c>
      <c r="C14077" s="380" t="str">
        <f>IFERROR(__xludf.DUMMYFUNCTION("""COMPUTED_VALUE"""),"80000413")</f>
        <v>80000413</v>
      </c>
      <c r="D14077" s="380" t="s">
        <v>767</v>
      </c>
      <c r="E14077" s="380" t="s">
        <v>776</v>
      </c>
      <c r="F14077" s="380" t="s">
        <v>1058</v>
      </c>
      <c r="G14077" s="380" t="s">
        <v>1267</v>
      </c>
      <c r="H14077" s="380" t="s">
        <v>771</v>
      </c>
      <c r="I14077" s="380" t="s">
        <v>788</v>
      </c>
      <c r="J14077" s="380" t="s">
        <v>773</v>
      </c>
      <c r="K14077" s="381">
        <v>0.0</v>
      </c>
      <c r="L14077" s="382">
        <v>1.0</v>
      </c>
    </row>
    <row r="14078">
      <c r="A14078" s="380" t="s">
        <v>14952</v>
      </c>
      <c r="B14078" s="380" t="str">
        <f>IFERROR(__xludf.DUMMYFUNCTION("""COMPUTED_VALUE"""),"Bloque Auxiliar 2No+ 2Nc Term")</f>
        <v>Bloque Auxiliar 2No+ 2Nc Term</v>
      </c>
      <c r="C14078" s="380" t="str">
        <f>IFERROR(__xludf.DUMMYFUNCTION("""COMPUTED_VALUE"""),"80000414")</f>
        <v>80000414</v>
      </c>
      <c r="D14078" s="380" t="s">
        <v>767</v>
      </c>
      <c r="E14078" s="380" t="s">
        <v>776</v>
      </c>
      <c r="F14078" s="380" t="s">
        <v>1058</v>
      </c>
      <c r="G14078" s="380" t="s">
        <v>1267</v>
      </c>
      <c r="H14078" s="380" t="s">
        <v>771</v>
      </c>
      <c r="I14078" s="380" t="s">
        <v>788</v>
      </c>
      <c r="J14078" s="380" t="s">
        <v>773</v>
      </c>
      <c r="K14078" s="381">
        <v>0.0</v>
      </c>
      <c r="L14078" s="382">
        <v>1.0</v>
      </c>
    </row>
    <row r="14079">
      <c r="A14079" s="380" t="s">
        <v>14953</v>
      </c>
      <c r="B14079" s="380" t="str">
        <f>IFERROR(__xludf.DUMMYFUNCTION("""COMPUTED_VALUE"""),"Rele Contactor 2No+2Nc 24V Ter")</f>
        <v>Rele Contactor 2No+2Nc 24V Ter</v>
      </c>
      <c r="C14079" s="380" t="str">
        <f>IFERROR(__xludf.DUMMYFUNCTION("""COMPUTED_VALUE"""),"80000415")</f>
        <v>80000415</v>
      </c>
      <c r="D14079" s="380" t="s">
        <v>767</v>
      </c>
      <c r="E14079" s="380" t="s">
        <v>776</v>
      </c>
      <c r="F14079" s="380" t="s">
        <v>1058</v>
      </c>
      <c r="G14079" s="380" t="s">
        <v>1267</v>
      </c>
      <c r="H14079" s="380" t="s">
        <v>771</v>
      </c>
      <c r="I14079" s="380" t="s">
        <v>788</v>
      </c>
      <c r="J14079" s="380" t="s">
        <v>773</v>
      </c>
      <c r="K14079" s="381">
        <v>0.0</v>
      </c>
      <c r="L14079" s="382">
        <v>1.0</v>
      </c>
    </row>
    <row r="14080">
      <c r="A14080" s="380" t="s">
        <v>14954</v>
      </c>
      <c r="B14080" s="380" t="str">
        <f>IFERROR(__xludf.DUMMYFUNCTION("""COMPUTED_VALUE"""),"Cortacircuitos 0.45-0.63A")</f>
        <v>Cortacircuitos 0.45-0.63A</v>
      </c>
      <c r="C14080" s="380" t="str">
        <f>IFERROR(__xludf.DUMMYFUNCTION("""COMPUTED_VALUE"""),"80000416")</f>
        <v>80000416</v>
      </c>
      <c r="D14080" s="380" t="s">
        <v>767</v>
      </c>
      <c r="E14080" s="380" t="s">
        <v>776</v>
      </c>
      <c r="F14080" s="380" t="s">
        <v>1058</v>
      </c>
      <c r="G14080" s="380" t="s">
        <v>1267</v>
      </c>
      <c r="H14080" s="380" t="s">
        <v>771</v>
      </c>
      <c r="I14080" s="380" t="s">
        <v>788</v>
      </c>
      <c r="J14080" s="380" t="s">
        <v>773</v>
      </c>
      <c r="K14080" s="381">
        <v>0.0</v>
      </c>
      <c r="L14080" s="382">
        <v>1.0</v>
      </c>
    </row>
    <row r="14081">
      <c r="A14081" s="380" t="s">
        <v>14955</v>
      </c>
      <c r="B14081" s="380" t="str">
        <f>IFERROR(__xludf.DUMMYFUNCTION("""COMPUTED_VALUE"""),"Cab Dist Rosca Simple Asi L=2M")</f>
        <v>Cab Dist Rosca Simple Asi L=2M</v>
      </c>
      <c r="C14081" s="380" t="str">
        <f>IFERROR(__xludf.DUMMYFUNCTION("""COMPUTED_VALUE"""),"80000417")</f>
        <v>80000417</v>
      </c>
      <c r="D14081" s="380" t="s">
        <v>767</v>
      </c>
      <c r="E14081" s="380" t="s">
        <v>776</v>
      </c>
      <c r="F14081" s="380" t="s">
        <v>1058</v>
      </c>
      <c r="G14081" s="380" t="s">
        <v>1267</v>
      </c>
      <c r="H14081" s="380" t="s">
        <v>771</v>
      </c>
      <c r="I14081" s="380" t="s">
        <v>788</v>
      </c>
      <c r="J14081" s="380" t="s">
        <v>773</v>
      </c>
      <c r="K14081" s="381">
        <v>0.0</v>
      </c>
      <c r="L14081" s="382">
        <v>1.0</v>
      </c>
    </row>
    <row r="14082">
      <c r="A14082" s="380" t="s">
        <v>14956</v>
      </c>
      <c r="B14082" s="380" t="str">
        <f>IFERROR(__xludf.DUMMYFUNCTION("""COMPUTED_VALUE"""),"Cable Dist Doble L=1M M12 Vaz-")</f>
        <v>Cable Dist Doble L=1M M12 Vaz-</v>
      </c>
      <c r="C14082" s="380" t="str">
        <f>IFERROR(__xludf.DUMMYFUNCTION("""COMPUTED_VALUE"""),"80000418")</f>
        <v>80000418</v>
      </c>
      <c r="D14082" s="380" t="s">
        <v>767</v>
      </c>
      <c r="E14082" s="380" t="s">
        <v>776</v>
      </c>
      <c r="F14082" s="380" t="s">
        <v>1058</v>
      </c>
      <c r="G14082" s="380" t="s">
        <v>1267</v>
      </c>
      <c r="H14082" s="380" t="s">
        <v>771</v>
      </c>
      <c r="I14082" s="380" t="s">
        <v>788</v>
      </c>
      <c r="J14082" s="380" t="s">
        <v>773</v>
      </c>
      <c r="K14082" s="381">
        <v>0.0</v>
      </c>
      <c r="L14082" s="382">
        <v>1.0</v>
      </c>
    </row>
    <row r="14083">
      <c r="A14083" s="380" t="s">
        <v>14957</v>
      </c>
      <c r="B14083" s="380" t="str">
        <f>IFERROR(__xludf.DUMMYFUNCTION("""COMPUTED_VALUE"""),"Cable Dist Doble L=2M M12 Vaz-")</f>
        <v>Cable Dist Doble L=2M M12 Vaz-</v>
      </c>
      <c r="C14083" s="380" t="str">
        <f>IFERROR(__xludf.DUMMYFUNCTION("""COMPUTED_VALUE"""),"80000419")</f>
        <v>80000419</v>
      </c>
      <c r="D14083" s="380" t="s">
        <v>767</v>
      </c>
      <c r="E14083" s="380" t="s">
        <v>776</v>
      </c>
      <c r="F14083" s="380" t="s">
        <v>1058</v>
      </c>
      <c r="G14083" s="380" t="s">
        <v>1267</v>
      </c>
      <c r="H14083" s="380" t="s">
        <v>771</v>
      </c>
      <c r="I14083" s="380" t="s">
        <v>788</v>
      </c>
      <c r="J14083" s="380" t="s">
        <v>773</v>
      </c>
      <c r="K14083" s="381">
        <v>0.0</v>
      </c>
      <c r="L14083" s="382">
        <v>1.0</v>
      </c>
    </row>
    <row r="14084">
      <c r="A14084" s="380" t="s">
        <v>14958</v>
      </c>
      <c r="B14084" s="380" t="str">
        <f>IFERROR(__xludf.DUMMYFUNCTION("""COMPUTED_VALUE"""),"Cable Dist Doble L=5M M12 Vaz-")</f>
        <v>Cable Dist Doble L=5M M12 Vaz-</v>
      </c>
      <c r="C14084" s="380" t="str">
        <f>IFERROR(__xludf.DUMMYFUNCTION("""COMPUTED_VALUE"""),"80000420")</f>
        <v>80000420</v>
      </c>
      <c r="D14084" s="380" t="s">
        <v>767</v>
      </c>
      <c r="E14084" s="380" t="s">
        <v>776</v>
      </c>
      <c r="F14084" s="380" t="s">
        <v>1058</v>
      </c>
      <c r="G14084" s="380" t="s">
        <v>1267</v>
      </c>
      <c r="H14084" s="380" t="s">
        <v>771</v>
      </c>
      <c r="I14084" s="380" t="s">
        <v>788</v>
      </c>
      <c r="J14084" s="380" t="s">
        <v>773</v>
      </c>
      <c r="K14084" s="381">
        <v>0.0</v>
      </c>
      <c r="L14084" s="382">
        <v>1.0</v>
      </c>
    </row>
    <row r="14085">
      <c r="A14085" s="380" t="s">
        <v>14959</v>
      </c>
      <c r="B14085" s="380" t="str">
        <f>IFERROR(__xludf.DUMMYFUNCTION("""COMPUTED_VALUE"""),"Reflector 47X47Mm")</f>
        <v>Reflector 47X47Mm</v>
      </c>
      <c r="C14085" s="380" t="str">
        <f>IFERROR(__xludf.DUMMYFUNCTION("""COMPUTED_VALUE"""),"80000421")</f>
        <v>80000421</v>
      </c>
      <c r="D14085" s="380" t="s">
        <v>767</v>
      </c>
      <c r="E14085" s="380" t="s">
        <v>776</v>
      </c>
      <c r="F14085" s="380" t="s">
        <v>1058</v>
      </c>
      <c r="G14085" s="380" t="s">
        <v>1267</v>
      </c>
      <c r="H14085" s="380" t="s">
        <v>771</v>
      </c>
      <c r="I14085" s="380" t="s">
        <v>788</v>
      </c>
      <c r="J14085" s="380" t="s">
        <v>773</v>
      </c>
      <c r="K14085" s="381">
        <v>0.0</v>
      </c>
      <c r="L14085" s="382">
        <v>1.0</v>
      </c>
    </row>
    <row r="14086">
      <c r="A14086" s="380" t="s">
        <v>14960</v>
      </c>
      <c r="B14086" s="380" t="str">
        <f>IFERROR(__xludf.DUMMYFUNCTION("""COMPUTED_VALUE"""),"Reflector 80X80Mm")</f>
        <v>Reflector 80X80Mm</v>
      </c>
      <c r="C14086" s="380" t="str">
        <f>IFERROR(__xludf.DUMMYFUNCTION("""COMPUTED_VALUE"""),"80000422")</f>
        <v>80000422</v>
      </c>
      <c r="D14086" s="380" t="s">
        <v>767</v>
      </c>
      <c r="E14086" s="380" t="s">
        <v>776</v>
      </c>
      <c r="F14086" s="380" t="s">
        <v>1058</v>
      </c>
      <c r="G14086" s="380" t="s">
        <v>1267</v>
      </c>
      <c r="H14086" s="380" t="s">
        <v>771</v>
      </c>
      <c r="I14086" s="380" t="s">
        <v>788</v>
      </c>
      <c r="J14086" s="380" t="s">
        <v>773</v>
      </c>
      <c r="K14086" s="381">
        <v>0.0</v>
      </c>
      <c r="L14086" s="382">
        <v>1.0</v>
      </c>
    </row>
    <row r="14087">
      <c r="A14087" s="380" t="s">
        <v>14961</v>
      </c>
      <c r="B14087" s="380" t="str">
        <f>IFERROR(__xludf.DUMMYFUNCTION("""COMPUTED_VALUE"""),"Sensor Prox Induc L=0,5Mm M8Ma")</f>
        <v>Sensor Prox Induc L=0,5Mm M8Ma</v>
      </c>
      <c r="C14087" s="380" t="str">
        <f>IFERROR(__xludf.DUMMYFUNCTION("""COMPUTED_VALUE"""),"80000423")</f>
        <v>80000423</v>
      </c>
      <c r="D14087" s="380" t="s">
        <v>767</v>
      </c>
      <c r="E14087" s="380" t="s">
        <v>776</v>
      </c>
      <c r="F14087" s="380" t="s">
        <v>1058</v>
      </c>
      <c r="G14087" s="380" t="s">
        <v>1267</v>
      </c>
      <c r="H14087" s="380" t="s">
        <v>771</v>
      </c>
      <c r="I14087" s="380" t="s">
        <v>788</v>
      </c>
      <c r="J14087" s="380" t="s">
        <v>773</v>
      </c>
      <c r="K14087" s="381">
        <v>0.0</v>
      </c>
      <c r="L14087" s="382">
        <v>1.0</v>
      </c>
    </row>
    <row r="14088">
      <c r="A14088" s="380" t="s">
        <v>14962</v>
      </c>
      <c r="B14088" s="380" t="str">
        <f>IFERROR(__xludf.DUMMYFUNCTION("""COMPUTED_VALUE"""),"Sensor Prox Inductivo M12 Mach")</f>
        <v>Sensor Prox Inductivo M12 Mach</v>
      </c>
      <c r="C14088" s="380" t="str">
        <f>IFERROR(__xludf.DUMMYFUNCTION("""COMPUTED_VALUE"""),"80000424")</f>
        <v>80000424</v>
      </c>
      <c r="D14088" s="380" t="s">
        <v>767</v>
      </c>
      <c r="E14088" s="380" t="s">
        <v>776</v>
      </c>
      <c r="F14088" s="380" t="s">
        <v>1058</v>
      </c>
      <c r="G14088" s="380" t="s">
        <v>1267</v>
      </c>
      <c r="H14088" s="380" t="s">
        <v>771</v>
      </c>
      <c r="I14088" s="380" t="s">
        <v>788</v>
      </c>
      <c r="J14088" s="380" t="s">
        <v>773</v>
      </c>
      <c r="K14088" s="381">
        <v>0.0</v>
      </c>
      <c r="L14088" s="382">
        <v>1.0</v>
      </c>
    </row>
    <row r="14089">
      <c r="A14089" s="380" t="s">
        <v>14963</v>
      </c>
      <c r="B14089" s="380" t="str">
        <f>IFERROR(__xludf.DUMMYFUNCTION("""COMPUTED_VALUE"""),"Cable Negro L=1M Macho/Hembra")</f>
        <v>Cable Negro L=1M Macho/Hembra</v>
      </c>
      <c r="C14089" s="380" t="str">
        <f>IFERROR(__xludf.DUMMYFUNCTION("""COMPUTED_VALUE"""),"80000425")</f>
        <v>80000425</v>
      </c>
      <c r="D14089" s="380" t="s">
        <v>767</v>
      </c>
      <c r="E14089" s="380" t="s">
        <v>776</v>
      </c>
      <c r="F14089" s="380" t="s">
        <v>1058</v>
      </c>
      <c r="G14089" s="380" t="s">
        <v>1267</v>
      </c>
      <c r="H14089" s="380" t="s">
        <v>771</v>
      </c>
      <c r="I14089" s="380" t="s">
        <v>788</v>
      </c>
      <c r="J14089" s="380" t="s">
        <v>773</v>
      </c>
      <c r="K14089" s="381">
        <v>0.0</v>
      </c>
      <c r="L14089" s="382">
        <v>1.0</v>
      </c>
    </row>
    <row r="14090">
      <c r="A14090" s="380" t="s">
        <v>14964</v>
      </c>
      <c r="B14090" s="380" t="str">
        <f>IFERROR(__xludf.DUMMYFUNCTION("""COMPUTED_VALUE"""),"Conector Winsta H-Distributor")</f>
        <v>Conector Winsta H-Distributor</v>
      </c>
      <c r="C14090" s="380" t="str">
        <f>IFERROR(__xludf.DUMMYFUNCTION("""COMPUTED_VALUE"""),"80000426")</f>
        <v>80000426</v>
      </c>
      <c r="D14090" s="380" t="s">
        <v>767</v>
      </c>
      <c r="E14090" s="380" t="s">
        <v>776</v>
      </c>
      <c r="F14090" s="380" t="s">
        <v>1058</v>
      </c>
      <c r="G14090" s="380" t="s">
        <v>1267</v>
      </c>
      <c r="H14090" s="380" t="s">
        <v>771</v>
      </c>
      <c r="I14090" s="380" t="s">
        <v>788</v>
      </c>
      <c r="J14090" s="380" t="s">
        <v>773</v>
      </c>
      <c r="K14090" s="381">
        <v>0.0</v>
      </c>
      <c r="L14090" s="382">
        <v>1.0</v>
      </c>
    </row>
    <row r="14091">
      <c r="A14091" s="380" t="s">
        <v>14965</v>
      </c>
      <c r="B14091" s="380" t="str">
        <f>IFERROR(__xludf.DUMMYFUNCTION("""COMPUTED_VALUE"""),"Filtro Ventilador 550/600M3/H")</f>
        <v>Filtro Ventilador 550/600M3/H</v>
      </c>
      <c r="C14091" s="380" t="str">
        <f>IFERROR(__xludf.DUMMYFUNCTION("""COMPUTED_VALUE"""),"80000427")</f>
        <v>80000427</v>
      </c>
      <c r="D14091" s="380" t="s">
        <v>767</v>
      </c>
      <c r="E14091" s="380" t="s">
        <v>776</v>
      </c>
      <c r="F14091" s="380" t="s">
        <v>1058</v>
      </c>
      <c r="G14091" s="380" t="s">
        <v>1267</v>
      </c>
      <c r="H14091" s="380" t="s">
        <v>771</v>
      </c>
      <c r="I14091" s="380" t="s">
        <v>788</v>
      </c>
      <c r="J14091" s="380" t="s">
        <v>773</v>
      </c>
      <c r="K14091" s="381">
        <v>0.0</v>
      </c>
      <c r="L14091" s="382">
        <v>1.0</v>
      </c>
    </row>
    <row r="14092">
      <c r="A14092" s="380" t="s">
        <v>14966</v>
      </c>
      <c r="B14092" s="380" t="str">
        <f>IFERROR(__xludf.DUMMYFUNCTION("""COMPUTED_VALUE"""),"Filtro Ventilador 55/66M3/H 23")</f>
        <v>Filtro Ventilador 55/66M3/H 23</v>
      </c>
      <c r="C14092" s="380" t="str">
        <f>IFERROR(__xludf.DUMMYFUNCTION("""COMPUTED_VALUE"""),"80000428")</f>
        <v>80000428</v>
      </c>
      <c r="D14092" s="380" t="s">
        <v>767</v>
      </c>
      <c r="E14092" s="380" t="s">
        <v>776</v>
      </c>
      <c r="F14092" s="380" t="s">
        <v>1058</v>
      </c>
      <c r="G14092" s="380" t="s">
        <v>1267</v>
      </c>
      <c r="H14092" s="380" t="s">
        <v>771</v>
      </c>
      <c r="I14092" s="380" t="s">
        <v>788</v>
      </c>
      <c r="J14092" s="380" t="s">
        <v>773</v>
      </c>
      <c r="K14092" s="381">
        <v>0.0</v>
      </c>
      <c r="L14092" s="382">
        <v>1.0</v>
      </c>
    </row>
    <row r="14093">
      <c r="A14093" s="380" t="s">
        <v>14967</v>
      </c>
      <c r="B14093" s="380" t="str">
        <f>IFERROR(__xludf.DUMMYFUNCTION("""COMPUTED_VALUE"""),"Filtro Ventilador 105/120M3/H")</f>
        <v>Filtro Ventilador 105/120M3/H</v>
      </c>
      <c r="C14093" s="380" t="str">
        <f>IFERROR(__xludf.DUMMYFUNCTION("""COMPUTED_VALUE"""),"80000429")</f>
        <v>80000429</v>
      </c>
      <c r="D14093" s="380" t="s">
        <v>767</v>
      </c>
      <c r="E14093" s="380" t="s">
        <v>776</v>
      </c>
      <c r="F14093" s="380" t="s">
        <v>1058</v>
      </c>
      <c r="G14093" s="380" t="s">
        <v>1267</v>
      </c>
      <c r="H14093" s="380" t="s">
        <v>771</v>
      </c>
      <c r="I14093" s="380" t="s">
        <v>788</v>
      </c>
      <c r="J14093" s="380" t="s">
        <v>773</v>
      </c>
      <c r="K14093" s="381">
        <v>0.0</v>
      </c>
      <c r="L14093" s="382">
        <v>1.0</v>
      </c>
    </row>
    <row r="14094">
      <c r="A14094" s="380" t="s">
        <v>14968</v>
      </c>
      <c r="B14094" s="380" t="str">
        <f>IFERROR(__xludf.DUMMYFUNCTION("""COMPUTED_VALUE"""),"Tapa Filtro Ral 7035 Sk 3238.2")</f>
        <v>Tapa Filtro Ral 7035 Sk 3238.2</v>
      </c>
      <c r="C14094" s="380" t="str">
        <f>IFERROR(__xludf.DUMMYFUNCTION("""COMPUTED_VALUE"""),"80000430")</f>
        <v>80000430</v>
      </c>
      <c r="D14094" s="380" t="s">
        <v>767</v>
      </c>
      <c r="E14094" s="380" t="s">
        <v>776</v>
      </c>
      <c r="F14094" s="380" t="s">
        <v>1058</v>
      </c>
      <c r="G14094" s="380" t="s">
        <v>1267</v>
      </c>
      <c r="H14094" s="380" t="s">
        <v>771</v>
      </c>
      <c r="I14094" s="380" t="s">
        <v>788</v>
      </c>
      <c r="J14094" s="380" t="s">
        <v>773</v>
      </c>
      <c r="K14094" s="381">
        <v>0.0</v>
      </c>
      <c r="L14094" s="382">
        <v>1.0</v>
      </c>
    </row>
    <row r="14095">
      <c r="A14095" s="380" t="s">
        <v>14969</v>
      </c>
      <c r="B14095" s="380" t="str">
        <f>IFERROR(__xludf.DUMMYFUNCTION("""COMPUTED_VALUE"""),"Tapa Filtro Ral 7035 Sk 3239.2")</f>
        <v>Tapa Filtro Ral 7035 Sk 3239.2</v>
      </c>
      <c r="C14095" s="380" t="str">
        <f>IFERROR(__xludf.DUMMYFUNCTION("""COMPUTED_VALUE"""),"80000431")</f>
        <v>80000431</v>
      </c>
      <c r="D14095" s="380" t="s">
        <v>767</v>
      </c>
      <c r="E14095" s="380" t="s">
        <v>776</v>
      </c>
      <c r="F14095" s="380" t="s">
        <v>1058</v>
      </c>
      <c r="G14095" s="380" t="s">
        <v>1267</v>
      </c>
      <c r="H14095" s="380" t="s">
        <v>771</v>
      </c>
      <c r="I14095" s="380" t="s">
        <v>788</v>
      </c>
      <c r="J14095" s="380" t="s">
        <v>773</v>
      </c>
      <c r="K14095" s="381">
        <v>0.0</v>
      </c>
      <c r="L14095" s="382">
        <v>1.0</v>
      </c>
    </row>
    <row r="14096">
      <c r="A14096" s="380" t="s">
        <v>14970</v>
      </c>
      <c r="B14096" s="380" t="str">
        <f>IFERROR(__xludf.DUMMYFUNCTION("""COMPUTED_VALUE"""),"Cable L=5M M12 Macho 4P. Recto")</f>
        <v>Cable L=5M M12 Macho 4P. Recto</v>
      </c>
      <c r="C14096" s="380" t="str">
        <f>IFERROR(__xludf.DUMMYFUNCTION("""COMPUTED_VALUE"""),"80000432")</f>
        <v>80000432</v>
      </c>
      <c r="D14096" s="380" t="s">
        <v>767</v>
      </c>
      <c r="E14096" s="380" t="s">
        <v>776</v>
      </c>
      <c r="F14096" s="380" t="s">
        <v>1058</v>
      </c>
      <c r="G14096" s="380" t="s">
        <v>1267</v>
      </c>
      <c r="H14096" s="380" t="s">
        <v>771</v>
      </c>
      <c r="I14096" s="380" t="s">
        <v>788</v>
      </c>
      <c r="J14096" s="380" t="s">
        <v>773</v>
      </c>
      <c r="K14096" s="381">
        <v>0.0</v>
      </c>
      <c r="L14096" s="382">
        <v>1.0</v>
      </c>
    </row>
    <row r="14097">
      <c r="A14097" s="380" t="s">
        <v>14971</v>
      </c>
      <c r="B14097" s="380" t="str">
        <f>IFERROR(__xludf.DUMMYFUNCTION("""COMPUTED_VALUE"""),"Cable L=0,2M M12 Macho 3P./M12")</f>
        <v>Cable L=0,2M M12 Macho 3P./M12</v>
      </c>
      <c r="C14097" s="380" t="str">
        <f>IFERROR(__xludf.DUMMYFUNCTION("""COMPUTED_VALUE"""),"80000433")</f>
        <v>80000433</v>
      </c>
      <c r="D14097" s="380" t="s">
        <v>767</v>
      </c>
      <c r="E14097" s="380" t="s">
        <v>776</v>
      </c>
      <c r="F14097" s="380" t="s">
        <v>1058</v>
      </c>
      <c r="G14097" s="380" t="s">
        <v>1267</v>
      </c>
      <c r="H14097" s="380" t="s">
        <v>771</v>
      </c>
      <c r="I14097" s="380" t="s">
        <v>788</v>
      </c>
      <c r="J14097" s="380" t="s">
        <v>773</v>
      </c>
      <c r="K14097" s="381">
        <v>0.0</v>
      </c>
      <c r="L14097" s="382">
        <v>1.0</v>
      </c>
    </row>
    <row r="14098">
      <c r="A14098" s="380" t="s">
        <v>14972</v>
      </c>
      <c r="B14098" s="380" t="str">
        <f>IFERROR(__xludf.DUMMYFUNCTION("""COMPUTED_VALUE"""),"Cable L=15M M12 Macho 4P./M12")</f>
        <v>Cable L=15M M12 Macho 4P./M12</v>
      </c>
      <c r="C14098" s="380" t="str">
        <f>IFERROR(__xludf.DUMMYFUNCTION("""COMPUTED_VALUE"""),"80000434")</f>
        <v>80000434</v>
      </c>
      <c r="D14098" s="380" t="s">
        <v>767</v>
      </c>
      <c r="E14098" s="380" t="s">
        <v>776</v>
      </c>
      <c r="F14098" s="380" t="s">
        <v>1058</v>
      </c>
      <c r="G14098" s="380" t="s">
        <v>1267</v>
      </c>
      <c r="H14098" s="380" t="s">
        <v>771</v>
      </c>
      <c r="I14098" s="380" t="s">
        <v>788</v>
      </c>
      <c r="J14098" s="380" t="s">
        <v>773</v>
      </c>
      <c r="K14098" s="381">
        <v>0.0</v>
      </c>
      <c r="L14098" s="382">
        <v>1.0</v>
      </c>
    </row>
    <row r="14099">
      <c r="A14099" s="380" t="s">
        <v>14973</v>
      </c>
      <c r="B14099" s="380" t="str">
        <f>IFERROR(__xludf.DUMMYFUNCTION("""COMPUTED_VALUE"""),"Cable Sens L=0,3M M8Hembra3Pre")</f>
        <v>Cable Sens L=0,3M M8Hembra3Pre</v>
      </c>
      <c r="C14099" s="380" t="str">
        <f>IFERROR(__xludf.DUMMYFUNCTION("""COMPUTED_VALUE"""),"80000435")</f>
        <v>80000435</v>
      </c>
      <c r="D14099" s="380" t="s">
        <v>767</v>
      </c>
      <c r="E14099" s="380" t="s">
        <v>776</v>
      </c>
      <c r="F14099" s="380" t="s">
        <v>1058</v>
      </c>
      <c r="G14099" s="380" t="s">
        <v>1267</v>
      </c>
      <c r="H14099" s="380" t="s">
        <v>771</v>
      </c>
      <c r="I14099" s="380" t="s">
        <v>788</v>
      </c>
      <c r="J14099" s="380" t="s">
        <v>773</v>
      </c>
      <c r="K14099" s="381">
        <v>0.0</v>
      </c>
      <c r="L14099" s="382">
        <v>1.0</v>
      </c>
    </row>
    <row r="14100">
      <c r="A14100" s="380" t="s">
        <v>14974</v>
      </c>
      <c r="B14100" s="380" t="str">
        <f>IFERROR(__xludf.DUMMYFUNCTION("""COMPUTED_VALUE"""),"Cable L=10M M12 Hembra 8P./Wir")</f>
        <v>Cable L=10M M12 Hembra 8P./Wir</v>
      </c>
      <c r="C14100" s="380" t="str">
        <f>IFERROR(__xludf.DUMMYFUNCTION("""COMPUTED_VALUE"""),"80000436")</f>
        <v>80000436</v>
      </c>
      <c r="D14100" s="380" t="s">
        <v>767</v>
      </c>
      <c r="E14100" s="380" t="s">
        <v>776</v>
      </c>
      <c r="F14100" s="380" t="s">
        <v>1058</v>
      </c>
      <c r="G14100" s="380" t="s">
        <v>1267</v>
      </c>
      <c r="H14100" s="380" t="s">
        <v>771</v>
      </c>
      <c r="I14100" s="380" t="s">
        <v>788</v>
      </c>
      <c r="J14100" s="380" t="s">
        <v>773</v>
      </c>
      <c r="K14100" s="381">
        <v>0.0</v>
      </c>
      <c r="L14100" s="382">
        <v>1.0</v>
      </c>
    </row>
    <row r="14101">
      <c r="A14101" s="380" t="s">
        <v>14975</v>
      </c>
      <c r="B14101" s="380" t="str">
        <f>IFERROR(__xludf.DUMMYFUNCTION("""COMPUTED_VALUE"""),"Cable Sens Blindado L=20M M12")</f>
        <v>Cable Sens Blindado L=20M M12</v>
      </c>
      <c r="C14101" s="380" t="str">
        <f>IFERROR(__xludf.DUMMYFUNCTION("""COMPUTED_VALUE"""),"80000437")</f>
        <v>80000437</v>
      </c>
      <c r="D14101" s="380" t="s">
        <v>767</v>
      </c>
      <c r="E14101" s="380" t="s">
        <v>776</v>
      </c>
      <c r="F14101" s="380" t="s">
        <v>1058</v>
      </c>
      <c r="G14101" s="380" t="s">
        <v>1267</v>
      </c>
      <c r="H14101" s="380" t="s">
        <v>771</v>
      </c>
      <c r="I14101" s="380" t="s">
        <v>788</v>
      </c>
      <c r="J14101" s="380" t="s">
        <v>773</v>
      </c>
      <c r="K14101" s="381">
        <v>0.0</v>
      </c>
      <c r="L14101" s="382">
        <v>1.0</v>
      </c>
    </row>
    <row r="14102">
      <c r="A14102" s="380" t="s">
        <v>14976</v>
      </c>
      <c r="B14102" s="380" t="str">
        <f>IFERROR(__xludf.DUMMYFUNCTION("""COMPUTED_VALUE"""),"Cable Foto Sensor L=0,27M M12")</f>
        <v>Cable Foto Sensor L=0,27M M12</v>
      </c>
      <c r="C14102" s="380" t="str">
        <f>IFERROR(__xludf.DUMMYFUNCTION("""COMPUTED_VALUE"""),"80000438")</f>
        <v>80000438</v>
      </c>
      <c r="D14102" s="380" t="s">
        <v>767</v>
      </c>
      <c r="E14102" s="380" t="s">
        <v>776</v>
      </c>
      <c r="F14102" s="380" t="s">
        <v>1058</v>
      </c>
      <c r="G14102" s="380" t="s">
        <v>1267</v>
      </c>
      <c r="H14102" s="380" t="s">
        <v>771</v>
      </c>
      <c r="I14102" s="380" t="s">
        <v>788</v>
      </c>
      <c r="J14102" s="380" t="s">
        <v>773</v>
      </c>
      <c r="K14102" s="381">
        <v>0.0</v>
      </c>
      <c r="L14102" s="382">
        <v>1.0</v>
      </c>
    </row>
    <row r="14103">
      <c r="A14103" s="380" t="s">
        <v>14977</v>
      </c>
      <c r="B14103" s="380" t="str">
        <f>IFERROR(__xludf.DUMMYFUNCTION("""COMPUTED_VALUE"""),"Reflector 40X60Mm")</f>
        <v>Reflector 40X60Mm</v>
      </c>
      <c r="C14103" s="380" t="str">
        <f>IFERROR(__xludf.DUMMYFUNCTION("""COMPUTED_VALUE"""),"80000439")</f>
        <v>80000439</v>
      </c>
      <c r="D14103" s="380" t="s">
        <v>767</v>
      </c>
      <c r="E14103" s="380" t="s">
        <v>776</v>
      </c>
      <c r="F14103" s="380" t="s">
        <v>1058</v>
      </c>
      <c r="G14103" s="380" t="s">
        <v>1267</v>
      </c>
      <c r="H14103" s="380" t="s">
        <v>771</v>
      </c>
      <c r="I14103" s="380" t="s">
        <v>788</v>
      </c>
      <c r="J14103" s="380" t="s">
        <v>773</v>
      </c>
      <c r="K14103" s="381">
        <v>0.0</v>
      </c>
      <c r="L14103" s="382">
        <v>1.0</v>
      </c>
    </row>
    <row r="14104">
      <c r="A14104" s="380" t="s">
        <v>14978</v>
      </c>
      <c r="B14104" s="380" t="str">
        <f>IFERROR(__xludf.DUMMYFUNCTION("""COMPUTED_VALUE"""),"Reflector 10X35Mm")</f>
        <v>Reflector 10X35Mm</v>
      </c>
      <c r="C14104" s="380" t="str">
        <f>IFERROR(__xludf.DUMMYFUNCTION("""COMPUTED_VALUE"""),"80000440")</f>
        <v>80000440</v>
      </c>
      <c r="D14104" s="380" t="s">
        <v>767</v>
      </c>
      <c r="E14104" s="380" t="s">
        <v>776</v>
      </c>
      <c r="F14104" s="380" t="s">
        <v>1058</v>
      </c>
      <c r="G14104" s="380" t="s">
        <v>1267</v>
      </c>
      <c r="H14104" s="380" t="s">
        <v>771</v>
      </c>
      <c r="I14104" s="380" t="s">
        <v>788</v>
      </c>
      <c r="J14104" s="380" t="s">
        <v>773</v>
      </c>
      <c r="K14104" s="381">
        <v>0.0</v>
      </c>
      <c r="L14104" s="382">
        <v>1.0</v>
      </c>
    </row>
    <row r="14105">
      <c r="A14105" s="380" t="s">
        <v>14979</v>
      </c>
      <c r="B14105" s="380" t="str">
        <f>IFERROR(__xludf.DUMMYFUNCTION("""COMPUTED_VALUE"""),"Fotocelula Ml-Tipo Pigtail L=0")</f>
        <v>Fotocelula Ml-Tipo Pigtail L=0</v>
      </c>
      <c r="C14105" s="380" t="str">
        <f>IFERROR(__xludf.DUMMYFUNCTION("""COMPUTED_VALUE"""),"80000441")</f>
        <v>80000441</v>
      </c>
      <c r="D14105" s="380" t="s">
        <v>767</v>
      </c>
      <c r="E14105" s="380" t="s">
        <v>776</v>
      </c>
      <c r="F14105" s="380" t="s">
        <v>1058</v>
      </c>
      <c r="G14105" s="380" t="s">
        <v>1267</v>
      </c>
      <c r="H14105" s="380" t="s">
        <v>771</v>
      </c>
      <c r="I14105" s="380" t="s">
        <v>788</v>
      </c>
      <c r="J14105" s="380" t="s">
        <v>773</v>
      </c>
      <c r="K14105" s="381">
        <v>0.0</v>
      </c>
      <c r="L14105" s="382">
        <v>1.0</v>
      </c>
    </row>
    <row r="14106">
      <c r="A14106" s="380" t="s">
        <v>14980</v>
      </c>
      <c r="B14106" s="380" t="str">
        <f>IFERROR(__xludf.DUMMYFUNCTION("""COMPUTED_VALUE"""),"Conector Asi A M12 Vaz-G6F-V1")</f>
        <v>Conector Asi A M12 Vaz-G6F-V1</v>
      </c>
      <c r="C14106" s="380" t="str">
        <f>IFERROR(__xludf.DUMMYFUNCTION("""COMPUTED_VALUE"""),"80000444")</f>
        <v>80000444</v>
      </c>
      <c r="D14106" s="380" t="s">
        <v>767</v>
      </c>
      <c r="E14106" s="380" t="s">
        <v>776</v>
      </c>
      <c r="F14106" s="380" t="s">
        <v>1058</v>
      </c>
      <c r="G14106" s="380" t="s">
        <v>1267</v>
      </c>
      <c r="H14106" s="380" t="s">
        <v>771</v>
      </c>
      <c r="I14106" s="380" t="s">
        <v>788</v>
      </c>
      <c r="J14106" s="380" t="s">
        <v>773</v>
      </c>
      <c r="K14106" s="381">
        <v>0.0</v>
      </c>
      <c r="L14106" s="382">
        <v>1.0</v>
      </c>
    </row>
    <row r="14107">
      <c r="A14107" s="380" t="s">
        <v>14981</v>
      </c>
      <c r="B14107" s="380" t="str">
        <f>IFERROR(__xludf.DUMMYFUNCTION("""COMPUTED_VALUE"""),"Terminal Cable Asi")</f>
        <v>Terminal Cable Asi</v>
      </c>
      <c r="C14107" s="380" t="str">
        <f>IFERROR(__xludf.DUMMYFUNCTION("""COMPUTED_VALUE"""),"80000445")</f>
        <v>80000445</v>
      </c>
      <c r="D14107" s="380" t="s">
        <v>767</v>
      </c>
      <c r="E14107" s="380" t="s">
        <v>776</v>
      </c>
      <c r="F14107" s="380" t="s">
        <v>1058</v>
      </c>
      <c r="G14107" s="380" t="s">
        <v>1267</v>
      </c>
      <c r="H14107" s="380" t="s">
        <v>771</v>
      </c>
      <c r="I14107" s="380" t="s">
        <v>788</v>
      </c>
      <c r="J14107" s="380" t="s">
        <v>773</v>
      </c>
      <c r="K14107" s="381">
        <v>0.0</v>
      </c>
      <c r="L14107" s="382">
        <v>1.0</v>
      </c>
    </row>
    <row r="14108">
      <c r="A14108" s="380" t="s">
        <v>14982</v>
      </c>
      <c r="B14108" s="380" t="str">
        <f>IFERROR(__xludf.DUMMYFUNCTION("""COMPUTED_VALUE"""),"Caja Distribucion Asi Vaz-2Fk-")</f>
        <v>Caja Distribucion Asi Vaz-2Fk-</v>
      </c>
      <c r="C14108" s="380" t="str">
        <f>IFERROR(__xludf.DUMMYFUNCTION("""COMPUTED_VALUE"""),"80000446")</f>
        <v>80000446</v>
      </c>
      <c r="D14108" s="380" t="s">
        <v>767</v>
      </c>
      <c r="E14108" s="380" t="s">
        <v>776</v>
      </c>
      <c r="F14108" s="380" t="s">
        <v>1058</v>
      </c>
      <c r="G14108" s="380" t="s">
        <v>1267</v>
      </c>
      <c r="H14108" s="380" t="s">
        <v>771</v>
      </c>
      <c r="I14108" s="380" t="s">
        <v>788</v>
      </c>
      <c r="J14108" s="380" t="s">
        <v>773</v>
      </c>
      <c r="K14108" s="381">
        <v>0.0</v>
      </c>
      <c r="L14108" s="382">
        <v>1.0</v>
      </c>
    </row>
    <row r="14109">
      <c r="A14109" s="380" t="s">
        <v>14983</v>
      </c>
      <c r="B14109" s="380" t="str">
        <f>IFERROR(__xludf.DUMMYFUNCTION("""COMPUTED_VALUE"""),"Fuente De Poder Mgv 340-550Vac")</f>
        <v>Fuente De Poder Mgv 340-550Vac</v>
      </c>
      <c r="C14109" s="380" t="str">
        <f>IFERROR(__xludf.DUMMYFUNCTION("""COMPUTED_VALUE"""),"80000447")</f>
        <v>80000447</v>
      </c>
      <c r="D14109" s="380" t="s">
        <v>767</v>
      </c>
      <c r="E14109" s="380" t="s">
        <v>776</v>
      </c>
      <c r="F14109" s="380" t="s">
        <v>1058</v>
      </c>
      <c r="G14109" s="380" t="s">
        <v>1267</v>
      </c>
      <c r="H14109" s="380" t="s">
        <v>771</v>
      </c>
      <c r="I14109" s="380" t="s">
        <v>788</v>
      </c>
      <c r="J14109" s="380" t="s">
        <v>773</v>
      </c>
      <c r="K14109" s="381">
        <v>0.0</v>
      </c>
      <c r="L14109" s="382">
        <v>1.0</v>
      </c>
    </row>
    <row r="14110">
      <c r="A14110" s="380" t="s">
        <v>14984</v>
      </c>
      <c r="B14110" s="380" t="str">
        <f>IFERROR(__xludf.DUMMYFUNCTION("""COMPUTED_VALUE"""),"Sensor Analogo Dist/Altura M12")</f>
        <v>Sensor Analogo Dist/Altura M12</v>
      </c>
      <c r="C14110" s="380" t="str">
        <f>IFERROR(__xludf.DUMMYFUNCTION("""COMPUTED_VALUE"""),"80000448")</f>
        <v>80000448</v>
      </c>
      <c r="D14110" s="380" t="s">
        <v>767</v>
      </c>
      <c r="E14110" s="380" t="s">
        <v>776</v>
      </c>
      <c r="F14110" s="380" t="s">
        <v>1058</v>
      </c>
      <c r="G14110" s="380" t="s">
        <v>1267</v>
      </c>
      <c r="H14110" s="380" t="s">
        <v>771</v>
      </c>
      <c r="I14110" s="380" t="s">
        <v>788</v>
      </c>
      <c r="J14110" s="380" t="s">
        <v>773</v>
      </c>
      <c r="K14110" s="381">
        <v>0.0</v>
      </c>
      <c r="L14110" s="382">
        <v>1.0</v>
      </c>
    </row>
    <row r="14111">
      <c r="A14111" s="380" t="s">
        <v>14985</v>
      </c>
      <c r="B14111" s="380" t="str">
        <f>IFERROR(__xludf.DUMMYFUNCTION("""COMPUTED_VALUE"""),"Optoacoplador M12 Macho/Hembra")</f>
        <v>Optoacoplador M12 Macho/Hembra</v>
      </c>
      <c r="C14111" s="380" t="str">
        <f>IFERROR(__xludf.DUMMYFUNCTION("""COMPUTED_VALUE"""),"80000449")</f>
        <v>80000449</v>
      </c>
      <c r="D14111" s="380" t="s">
        <v>767</v>
      </c>
      <c r="E14111" s="380" t="s">
        <v>776</v>
      </c>
      <c r="F14111" s="380" t="s">
        <v>1058</v>
      </c>
      <c r="G14111" s="380" t="s">
        <v>1267</v>
      </c>
      <c r="H14111" s="380" t="s">
        <v>771</v>
      </c>
      <c r="I14111" s="380" t="s">
        <v>788</v>
      </c>
      <c r="J14111" s="380" t="s">
        <v>773</v>
      </c>
      <c r="K14111" s="381">
        <v>0.0</v>
      </c>
      <c r="L14111" s="382">
        <v>1.0</v>
      </c>
    </row>
    <row r="14112">
      <c r="A14112" s="380" t="s">
        <v>14986</v>
      </c>
      <c r="B14112" s="380" t="str">
        <f>IFERROR(__xludf.DUMMYFUNCTION("""COMPUTED_VALUE"""),"Cable L=20M M12 Hembra 4P./ Wi")</f>
        <v>Cable L=20M M12 Hembra 4P./ Wi</v>
      </c>
      <c r="C14112" s="380" t="str">
        <f>IFERROR(__xludf.DUMMYFUNCTION("""COMPUTED_VALUE"""),"80000450")</f>
        <v>80000450</v>
      </c>
      <c r="D14112" s="380" t="s">
        <v>767</v>
      </c>
      <c r="E14112" s="380" t="s">
        <v>776</v>
      </c>
      <c r="F14112" s="380" t="s">
        <v>1058</v>
      </c>
      <c r="G14112" s="380" t="s">
        <v>1267</v>
      </c>
      <c r="H14112" s="380" t="s">
        <v>771</v>
      </c>
      <c r="I14112" s="380" t="s">
        <v>788</v>
      </c>
      <c r="J14112" s="380" t="s">
        <v>773</v>
      </c>
      <c r="K14112" s="381">
        <v>0.0</v>
      </c>
      <c r="L14112" s="382">
        <v>1.0</v>
      </c>
    </row>
    <row r="14113">
      <c r="A14113" s="380" t="s">
        <v>14987</v>
      </c>
      <c r="B14113" s="380" t="str">
        <f>IFERROR(__xludf.DUMMYFUNCTION("""COMPUTED_VALUE"""),"Cable L=2M M12 4P / M12 Hembra")</f>
        <v>Cable L=2M M12 4P / M12 Hembra</v>
      </c>
      <c r="C14113" s="380" t="str">
        <f>IFERROR(__xludf.DUMMYFUNCTION("""COMPUTED_VALUE"""),"80000451")</f>
        <v>80000451</v>
      </c>
      <c r="D14113" s="380" t="s">
        <v>767</v>
      </c>
      <c r="E14113" s="380" t="s">
        <v>776</v>
      </c>
      <c r="F14113" s="380" t="s">
        <v>1058</v>
      </c>
      <c r="G14113" s="380" t="s">
        <v>1267</v>
      </c>
      <c r="H14113" s="380" t="s">
        <v>771</v>
      </c>
      <c r="I14113" s="380" t="s">
        <v>788</v>
      </c>
      <c r="J14113" s="380" t="s">
        <v>773</v>
      </c>
      <c r="K14113" s="381">
        <v>0.0</v>
      </c>
      <c r="L14113" s="382">
        <v>1.0</v>
      </c>
    </row>
    <row r="14114">
      <c r="A14114" s="380" t="s">
        <v>14988</v>
      </c>
      <c r="B14114" s="380" t="str">
        <f>IFERROR(__xludf.DUMMYFUNCTION("""COMPUTED_VALUE"""),"Cable L=5M M12 4P / M12 Hembra")</f>
        <v>Cable L=5M M12 4P / M12 Hembra</v>
      </c>
      <c r="C14114" s="380" t="str">
        <f>IFERROR(__xludf.DUMMYFUNCTION("""COMPUTED_VALUE"""),"80000452")</f>
        <v>80000452</v>
      </c>
      <c r="D14114" s="380" t="s">
        <v>767</v>
      </c>
      <c r="E14114" s="380" t="s">
        <v>776</v>
      </c>
      <c r="F14114" s="380" t="s">
        <v>1058</v>
      </c>
      <c r="G14114" s="380" t="s">
        <v>1267</v>
      </c>
      <c r="H14114" s="380" t="s">
        <v>771</v>
      </c>
      <c r="I14114" s="380" t="s">
        <v>788</v>
      </c>
      <c r="J14114" s="380" t="s">
        <v>773</v>
      </c>
      <c r="K14114" s="381">
        <v>0.0</v>
      </c>
      <c r="L14114" s="382">
        <v>1.0</v>
      </c>
    </row>
    <row r="14115">
      <c r="A14115" s="380" t="s">
        <v>14989</v>
      </c>
      <c r="B14115" s="380" t="str">
        <f>IFERROR(__xludf.DUMMYFUNCTION("""COMPUTED_VALUE"""),"Cable L=3M M12 4P / M12 Hembra")</f>
        <v>Cable L=3M M12 4P / M12 Hembra</v>
      </c>
      <c r="C14115" s="380" t="str">
        <f>IFERROR(__xludf.DUMMYFUNCTION("""COMPUTED_VALUE"""),"80000453")</f>
        <v>80000453</v>
      </c>
      <c r="D14115" s="380" t="s">
        <v>767</v>
      </c>
      <c r="E14115" s="380" t="s">
        <v>776</v>
      </c>
      <c r="F14115" s="380" t="s">
        <v>1058</v>
      </c>
      <c r="G14115" s="380" t="s">
        <v>1267</v>
      </c>
      <c r="H14115" s="380" t="s">
        <v>771</v>
      </c>
      <c r="I14115" s="380" t="s">
        <v>788</v>
      </c>
      <c r="J14115" s="380" t="s">
        <v>773</v>
      </c>
      <c r="K14115" s="381">
        <v>0.0</v>
      </c>
      <c r="L14115" s="382">
        <v>1.0</v>
      </c>
    </row>
    <row r="14116">
      <c r="A14116" s="380" t="s">
        <v>14990</v>
      </c>
      <c r="B14116" s="380" t="str">
        <f>IFERROR(__xludf.DUMMYFUNCTION("""COMPUTED_VALUE"""),"Cable L=7M M12 4P / M12 Hembra")</f>
        <v>Cable L=7M M12 4P / M12 Hembra</v>
      </c>
      <c r="C14116" s="380" t="str">
        <f>IFERROR(__xludf.DUMMYFUNCTION("""COMPUTED_VALUE"""),"80000454")</f>
        <v>80000454</v>
      </c>
      <c r="D14116" s="380" t="s">
        <v>767</v>
      </c>
      <c r="E14116" s="380" t="s">
        <v>776</v>
      </c>
      <c r="F14116" s="380" t="s">
        <v>1058</v>
      </c>
      <c r="G14116" s="380" t="s">
        <v>1267</v>
      </c>
      <c r="H14116" s="380" t="s">
        <v>771</v>
      </c>
      <c r="I14116" s="380" t="s">
        <v>788</v>
      </c>
      <c r="J14116" s="380" t="s">
        <v>773</v>
      </c>
      <c r="K14116" s="381">
        <v>0.0</v>
      </c>
      <c r="L14116" s="382">
        <v>1.0</v>
      </c>
    </row>
    <row r="14117">
      <c r="A14117" s="380" t="s">
        <v>14991</v>
      </c>
      <c r="B14117" s="380" t="str">
        <f>IFERROR(__xludf.DUMMYFUNCTION("""COMPUTED_VALUE"""),"Cable L=10M M12 4P / M12 Hembr")</f>
        <v>Cable L=10M M12 4P / M12 Hembr</v>
      </c>
      <c r="C14117" s="380" t="str">
        <f>IFERROR(__xludf.DUMMYFUNCTION("""COMPUTED_VALUE"""),"80000455")</f>
        <v>80000455</v>
      </c>
      <c r="D14117" s="380" t="s">
        <v>767</v>
      </c>
      <c r="E14117" s="380" t="s">
        <v>776</v>
      </c>
      <c r="F14117" s="380" t="s">
        <v>1058</v>
      </c>
      <c r="G14117" s="380" t="s">
        <v>1267</v>
      </c>
      <c r="H14117" s="380" t="s">
        <v>771</v>
      </c>
      <c r="I14117" s="380" t="s">
        <v>788</v>
      </c>
      <c r="J14117" s="380" t="s">
        <v>773</v>
      </c>
      <c r="K14117" s="381">
        <v>0.0</v>
      </c>
      <c r="L14117" s="382">
        <v>1.0</v>
      </c>
    </row>
    <row r="14118">
      <c r="A14118" s="380" t="s">
        <v>14992</v>
      </c>
      <c r="B14118" s="380" t="str">
        <f>IFERROR(__xludf.DUMMYFUNCTION("""COMPUTED_VALUE"""),"Cable L=20M M12 4P / M12 Hembr")</f>
        <v>Cable L=20M M12 4P / M12 Hembr</v>
      </c>
      <c r="C14118" s="380" t="str">
        <f>IFERROR(__xludf.DUMMYFUNCTION("""COMPUTED_VALUE"""),"80000456")</f>
        <v>80000456</v>
      </c>
      <c r="D14118" s="380" t="s">
        <v>767</v>
      </c>
      <c r="E14118" s="380" t="s">
        <v>776</v>
      </c>
      <c r="F14118" s="380" t="s">
        <v>1058</v>
      </c>
      <c r="G14118" s="380" t="s">
        <v>1267</v>
      </c>
      <c r="H14118" s="380" t="s">
        <v>771</v>
      </c>
      <c r="I14118" s="380" t="s">
        <v>788</v>
      </c>
      <c r="J14118" s="380" t="s">
        <v>773</v>
      </c>
      <c r="K14118" s="381">
        <v>0.0</v>
      </c>
      <c r="L14118" s="382">
        <v>1.0</v>
      </c>
    </row>
    <row r="14119">
      <c r="A14119" s="380" t="s">
        <v>14993</v>
      </c>
      <c r="B14119" s="380" t="str">
        <f>IFERROR(__xludf.DUMMYFUNCTION("""COMPUTED_VALUE"""),"Cable L=1M M12 4P / M12 Hembra")</f>
        <v>Cable L=1M M12 4P / M12 Hembra</v>
      </c>
      <c r="C14119" s="380" t="str">
        <f>IFERROR(__xludf.DUMMYFUNCTION("""COMPUTED_VALUE"""),"80000457")</f>
        <v>80000457</v>
      </c>
      <c r="D14119" s="380" t="s">
        <v>767</v>
      </c>
      <c r="E14119" s="380" t="s">
        <v>776</v>
      </c>
      <c r="F14119" s="380" t="s">
        <v>1058</v>
      </c>
      <c r="G14119" s="380" t="s">
        <v>1267</v>
      </c>
      <c r="H14119" s="380" t="s">
        <v>771</v>
      </c>
      <c r="I14119" s="380" t="s">
        <v>788</v>
      </c>
      <c r="J14119" s="380" t="s">
        <v>773</v>
      </c>
      <c r="K14119" s="381">
        <v>0.0</v>
      </c>
      <c r="L14119" s="382">
        <v>1.0</v>
      </c>
    </row>
    <row r="14120">
      <c r="A14120" s="380" t="s">
        <v>14994</v>
      </c>
      <c r="B14120" s="380" t="str">
        <f>IFERROR(__xludf.DUMMYFUNCTION("""COMPUTED_VALUE"""),"Cable L=2M M12 5P / M12 Hembra")</f>
        <v>Cable L=2M M12 5P / M12 Hembra</v>
      </c>
      <c r="C14120" s="380" t="str">
        <f>IFERROR(__xludf.DUMMYFUNCTION("""COMPUTED_VALUE"""),"80000458")</f>
        <v>80000458</v>
      </c>
      <c r="D14120" s="380" t="s">
        <v>767</v>
      </c>
      <c r="E14120" s="380" t="s">
        <v>776</v>
      </c>
      <c r="F14120" s="380" t="s">
        <v>1058</v>
      </c>
      <c r="G14120" s="380" t="s">
        <v>1267</v>
      </c>
      <c r="H14120" s="380" t="s">
        <v>771</v>
      </c>
      <c r="I14120" s="380" t="s">
        <v>788</v>
      </c>
      <c r="J14120" s="380" t="s">
        <v>773</v>
      </c>
      <c r="K14120" s="381">
        <v>0.0</v>
      </c>
      <c r="L14120" s="382">
        <v>1.0</v>
      </c>
    </row>
    <row r="14121">
      <c r="A14121" s="380" t="s">
        <v>14995</v>
      </c>
      <c r="B14121" s="380" t="str">
        <f>IFERROR(__xludf.DUMMYFUNCTION("""COMPUTED_VALUE"""),"Cable L=2M M12 Macho 4P./ Wire")</f>
        <v>Cable L=2M M12 Macho 4P./ Wire</v>
      </c>
      <c r="C14121" s="380" t="str">
        <f>IFERROR(__xludf.DUMMYFUNCTION("""COMPUTED_VALUE"""),"80000459")</f>
        <v>80000459</v>
      </c>
      <c r="D14121" s="380" t="s">
        <v>767</v>
      </c>
      <c r="E14121" s="380" t="s">
        <v>776</v>
      </c>
      <c r="F14121" s="380" t="s">
        <v>1058</v>
      </c>
      <c r="G14121" s="380" t="s">
        <v>1267</v>
      </c>
      <c r="H14121" s="380" t="s">
        <v>771</v>
      </c>
      <c r="I14121" s="380" t="s">
        <v>788</v>
      </c>
      <c r="J14121" s="380" t="s">
        <v>773</v>
      </c>
      <c r="K14121" s="381">
        <v>0.0</v>
      </c>
      <c r="L14121" s="382">
        <v>1.0</v>
      </c>
    </row>
    <row r="14122">
      <c r="A14122" s="380" t="s">
        <v>14996</v>
      </c>
      <c r="B14122" s="380" t="str">
        <f>IFERROR(__xludf.DUMMYFUNCTION("""COMPUTED_VALUE"""),"Cable L=5M M12 Macho 4P./ Wire")</f>
        <v>Cable L=5M M12 Macho 4P./ Wire</v>
      </c>
      <c r="C14122" s="380" t="str">
        <f>IFERROR(__xludf.DUMMYFUNCTION("""COMPUTED_VALUE"""),"80000460")</f>
        <v>80000460</v>
      </c>
      <c r="D14122" s="380" t="s">
        <v>767</v>
      </c>
      <c r="E14122" s="380" t="s">
        <v>776</v>
      </c>
      <c r="F14122" s="380" t="s">
        <v>1058</v>
      </c>
      <c r="G14122" s="380" t="s">
        <v>1267</v>
      </c>
      <c r="H14122" s="380" t="s">
        <v>771</v>
      </c>
      <c r="I14122" s="380" t="s">
        <v>788</v>
      </c>
      <c r="J14122" s="380" t="s">
        <v>773</v>
      </c>
      <c r="K14122" s="381">
        <v>0.0</v>
      </c>
      <c r="L14122" s="382">
        <v>1.0</v>
      </c>
    </row>
    <row r="14123">
      <c r="A14123" s="380" t="s">
        <v>14997</v>
      </c>
      <c r="B14123" s="380" t="str">
        <f>IFERROR(__xludf.DUMMYFUNCTION("""COMPUTED_VALUE"""),"Cable L=10M M12 Macho 4P./ Wir")</f>
        <v>Cable L=10M M12 Macho 4P./ Wir</v>
      </c>
      <c r="C14123" s="380" t="str">
        <f>IFERROR(__xludf.DUMMYFUNCTION("""COMPUTED_VALUE"""),"80000461")</f>
        <v>80000461</v>
      </c>
      <c r="D14123" s="380" t="s">
        <v>767</v>
      </c>
      <c r="E14123" s="380" t="s">
        <v>776</v>
      </c>
      <c r="F14123" s="380" t="s">
        <v>1058</v>
      </c>
      <c r="G14123" s="380" t="s">
        <v>1267</v>
      </c>
      <c r="H14123" s="380" t="s">
        <v>771</v>
      </c>
      <c r="I14123" s="380" t="s">
        <v>788</v>
      </c>
      <c r="J14123" s="380" t="s">
        <v>773</v>
      </c>
      <c r="K14123" s="381">
        <v>0.0</v>
      </c>
      <c r="L14123" s="382">
        <v>1.0</v>
      </c>
    </row>
    <row r="14124">
      <c r="A14124" s="380" t="s">
        <v>14998</v>
      </c>
      <c r="B14124" s="380" t="str">
        <f>IFERROR(__xludf.DUMMYFUNCTION("""COMPUTED_VALUE"""),"Modulo Movidrive Doble Eje 4A")</f>
        <v>Modulo Movidrive Doble Eje 4A</v>
      </c>
      <c r="C14124" s="380" t="str">
        <f>IFERROR(__xludf.DUMMYFUNCTION("""COMPUTED_VALUE"""),"80000462")</f>
        <v>80000462</v>
      </c>
      <c r="D14124" s="380" t="s">
        <v>767</v>
      </c>
      <c r="E14124" s="380" t="s">
        <v>776</v>
      </c>
      <c r="F14124" s="380" t="s">
        <v>1058</v>
      </c>
      <c r="G14124" s="380" t="s">
        <v>1267</v>
      </c>
      <c r="H14124" s="380" t="s">
        <v>771</v>
      </c>
      <c r="I14124" s="380" t="s">
        <v>788</v>
      </c>
      <c r="J14124" s="380" t="s">
        <v>773</v>
      </c>
      <c r="K14124" s="381">
        <v>0.0</v>
      </c>
      <c r="L14124" s="382">
        <v>1.0</v>
      </c>
    </row>
    <row r="14125">
      <c r="A14125" s="380" t="s">
        <v>14999</v>
      </c>
      <c r="B14125" s="380" t="str">
        <f>IFERROR(__xludf.DUMMYFUNCTION("""COMPUTED_VALUE"""),"Variador Frecuencia 380-500V 3")</f>
        <v>Variador Frecuencia 380-500V 3</v>
      </c>
      <c r="C14125" s="380" t="str">
        <f>IFERROR(__xludf.DUMMYFUNCTION("""COMPUTED_VALUE"""),"80000463")</f>
        <v>80000463</v>
      </c>
      <c r="D14125" s="380" t="s">
        <v>767</v>
      </c>
      <c r="E14125" s="380" t="s">
        <v>776</v>
      </c>
      <c r="F14125" s="380" t="s">
        <v>1058</v>
      </c>
      <c r="G14125" s="380" t="s">
        <v>1267</v>
      </c>
      <c r="H14125" s="380" t="s">
        <v>771</v>
      </c>
      <c r="I14125" s="380" t="s">
        <v>788</v>
      </c>
      <c r="J14125" s="380" t="s">
        <v>773</v>
      </c>
      <c r="K14125" s="381">
        <v>0.0</v>
      </c>
      <c r="L14125" s="382">
        <v>1.0</v>
      </c>
    </row>
    <row r="14126">
      <c r="A14126" s="380" t="s">
        <v>15000</v>
      </c>
      <c r="B14126" s="380" t="str">
        <f>IFERROR(__xludf.DUMMYFUNCTION("""COMPUTED_VALUE"""),"Tarjeta Profinet Dfe32B")</f>
        <v>Tarjeta Profinet Dfe32B</v>
      </c>
      <c r="C14126" s="380" t="str">
        <f>IFERROR(__xludf.DUMMYFUNCTION("""COMPUTED_VALUE"""),"80000464")</f>
        <v>80000464</v>
      </c>
      <c r="D14126" s="380" t="s">
        <v>767</v>
      </c>
      <c r="E14126" s="380" t="s">
        <v>776</v>
      </c>
      <c r="F14126" s="380" t="s">
        <v>1058</v>
      </c>
      <c r="G14126" s="380" t="s">
        <v>1267</v>
      </c>
      <c r="H14126" s="380" t="s">
        <v>771</v>
      </c>
      <c r="I14126" s="380" t="s">
        <v>788</v>
      </c>
      <c r="J14126" s="380" t="s">
        <v>773</v>
      </c>
      <c r="K14126" s="381">
        <v>0.0</v>
      </c>
      <c r="L14126" s="382">
        <v>1.0</v>
      </c>
    </row>
    <row r="14127">
      <c r="A14127" s="380" t="s">
        <v>15001</v>
      </c>
      <c r="B14127" s="380" t="str">
        <f>IFERROR(__xludf.DUMMYFUNCTION("""COMPUTED_VALUE"""),"Lcc Controlador Accionamiento")</f>
        <v>Lcc Controlador Accionamiento</v>
      </c>
      <c r="C14127" s="380" t="str">
        <f>IFERROR(__xludf.DUMMYFUNCTION("""COMPUTED_VALUE"""),"80000465")</f>
        <v>80000465</v>
      </c>
      <c r="D14127" s="380" t="s">
        <v>767</v>
      </c>
      <c r="E14127" s="380" t="s">
        <v>776</v>
      </c>
      <c r="F14127" s="380" t="s">
        <v>1058</v>
      </c>
      <c r="G14127" s="380" t="s">
        <v>1267</v>
      </c>
      <c r="H14127" s="380" t="s">
        <v>771</v>
      </c>
      <c r="I14127" s="380" t="s">
        <v>788</v>
      </c>
      <c r="J14127" s="380" t="s">
        <v>773</v>
      </c>
      <c r="K14127" s="381">
        <v>0.0</v>
      </c>
      <c r="L14127" s="382">
        <v>1.0</v>
      </c>
    </row>
    <row r="14128">
      <c r="A14128" s="380" t="s">
        <v>15002</v>
      </c>
      <c r="B14128" s="380" t="str">
        <f>IFERROR(__xludf.DUMMYFUNCTION("""COMPUTED_VALUE"""),"Var Eaton Lms-V(V4.0)0,75Kw/Br")</f>
        <v>Var Eaton Lms-V(V4.0)0,75Kw/Br</v>
      </c>
      <c r="C14128" s="380" t="str">
        <f>IFERROR(__xludf.DUMMYFUNCTION("""COMPUTED_VALUE"""),"80000466")</f>
        <v>80000466</v>
      </c>
      <c r="D14128" s="380" t="s">
        <v>767</v>
      </c>
      <c r="E14128" s="380" t="s">
        <v>776</v>
      </c>
      <c r="F14128" s="380" t="s">
        <v>1058</v>
      </c>
      <c r="G14128" s="380" t="s">
        <v>1267</v>
      </c>
      <c r="H14128" s="380" t="s">
        <v>771</v>
      </c>
      <c r="I14128" s="380" t="s">
        <v>788</v>
      </c>
      <c r="J14128" s="380" t="s">
        <v>773</v>
      </c>
      <c r="K14128" s="381">
        <v>0.0</v>
      </c>
      <c r="L14128" s="382">
        <v>1.0</v>
      </c>
    </row>
    <row r="14129">
      <c r="A14129" s="380" t="s">
        <v>15003</v>
      </c>
      <c r="B14129" s="380" t="str">
        <f>IFERROR(__xludf.DUMMYFUNCTION("""COMPUTED_VALUE"""),"Var Eaton Lms-V(V4.0)1.1Kw/Bra")</f>
        <v>Var Eaton Lms-V(V4.0)1.1Kw/Bra</v>
      </c>
      <c r="C14129" s="380" t="str">
        <f>IFERROR(__xludf.DUMMYFUNCTION("""COMPUTED_VALUE"""),"80000467")</f>
        <v>80000467</v>
      </c>
      <c r="D14129" s="380" t="s">
        <v>767</v>
      </c>
      <c r="E14129" s="380" t="s">
        <v>776</v>
      </c>
      <c r="F14129" s="380" t="s">
        <v>1058</v>
      </c>
      <c r="G14129" s="380" t="s">
        <v>1267</v>
      </c>
      <c r="H14129" s="380" t="s">
        <v>771</v>
      </c>
      <c r="I14129" s="380" t="s">
        <v>788</v>
      </c>
      <c r="J14129" s="380" t="s">
        <v>773</v>
      </c>
      <c r="K14129" s="381">
        <v>0.0</v>
      </c>
      <c r="L14129" s="382">
        <v>1.0</v>
      </c>
    </row>
    <row r="14130">
      <c r="A14130" s="380" t="s">
        <v>15004</v>
      </c>
      <c r="B14130" s="380" t="str">
        <f>IFERROR(__xludf.DUMMYFUNCTION("""COMPUTED_VALUE"""),"Var Eaton Lms-V(V4.0)1,5Kw/Bra")</f>
        <v>Var Eaton Lms-V(V4.0)1,5Kw/Bra</v>
      </c>
      <c r="C14130" s="380" t="str">
        <f>IFERROR(__xludf.DUMMYFUNCTION("""COMPUTED_VALUE"""),"80000468")</f>
        <v>80000468</v>
      </c>
      <c r="D14130" s="380" t="s">
        <v>767</v>
      </c>
      <c r="E14130" s="380" t="s">
        <v>776</v>
      </c>
      <c r="F14130" s="380" t="s">
        <v>1058</v>
      </c>
      <c r="G14130" s="380" t="s">
        <v>1267</v>
      </c>
      <c r="H14130" s="380" t="s">
        <v>771</v>
      </c>
      <c r="I14130" s="380" t="s">
        <v>788</v>
      </c>
      <c r="J14130" s="380" t="s">
        <v>773</v>
      </c>
      <c r="K14130" s="381">
        <v>0.0</v>
      </c>
      <c r="L14130" s="382">
        <v>1.0</v>
      </c>
    </row>
    <row r="14131">
      <c r="A14131" s="380" t="s">
        <v>15005</v>
      </c>
      <c r="B14131" s="380" t="str">
        <f>IFERROR(__xludf.DUMMYFUNCTION("""COMPUTED_VALUE"""),"Var Eaton Lms-V(V4.0)2.2Kw/Bra")</f>
        <v>Var Eaton Lms-V(V4.0)2.2Kw/Bra</v>
      </c>
      <c r="C14131" s="380" t="str">
        <f>IFERROR(__xludf.DUMMYFUNCTION("""COMPUTED_VALUE"""),"80000469")</f>
        <v>80000469</v>
      </c>
      <c r="D14131" s="380" t="s">
        <v>767</v>
      </c>
      <c r="E14131" s="380" t="s">
        <v>776</v>
      </c>
      <c r="F14131" s="380" t="s">
        <v>1058</v>
      </c>
      <c r="G14131" s="380" t="s">
        <v>1267</v>
      </c>
      <c r="H14131" s="380" t="s">
        <v>771</v>
      </c>
      <c r="I14131" s="380" t="s">
        <v>788</v>
      </c>
      <c r="J14131" s="380" t="s">
        <v>773</v>
      </c>
      <c r="K14131" s="381">
        <v>0.0</v>
      </c>
      <c r="L14131" s="382">
        <v>1.0</v>
      </c>
    </row>
    <row r="14132">
      <c r="A14132" s="380" t="s">
        <v>15006</v>
      </c>
      <c r="B14132" s="380" t="str">
        <f>IFERROR(__xludf.DUMMYFUNCTION("""COMPUTED_VALUE"""),"Ccc Convertidor De Frecuencia")</f>
        <v>Ccc Convertidor De Frecuencia</v>
      </c>
      <c r="C14132" s="380" t="str">
        <f>IFERROR(__xludf.DUMMYFUNCTION("""COMPUTED_VALUE"""),"80000470")</f>
        <v>80000470</v>
      </c>
      <c r="D14132" s="380" t="s">
        <v>767</v>
      </c>
      <c r="E14132" s="380" t="s">
        <v>776</v>
      </c>
      <c r="F14132" s="380" t="s">
        <v>1058</v>
      </c>
      <c r="G14132" s="380" t="s">
        <v>1267</v>
      </c>
      <c r="H14132" s="380" t="s">
        <v>771</v>
      </c>
      <c r="I14132" s="380" t="s">
        <v>788</v>
      </c>
      <c r="J14132" s="380" t="s">
        <v>773</v>
      </c>
      <c r="K14132" s="381">
        <v>0.0</v>
      </c>
      <c r="L14132" s="382">
        <v>1.0</v>
      </c>
    </row>
    <row r="14133">
      <c r="A14133" s="380" t="s">
        <v>15007</v>
      </c>
      <c r="B14133" s="380" t="str">
        <f>IFERROR(__xludf.DUMMYFUNCTION("""COMPUTED_VALUE"""),"Ccc Filtro Variador Frecuencia")</f>
        <v>Ccc Filtro Variador Frecuencia</v>
      </c>
      <c r="C14133" s="380" t="str">
        <f>IFERROR(__xludf.DUMMYFUNCTION("""COMPUTED_VALUE"""),"80000471")</f>
        <v>80000471</v>
      </c>
      <c r="D14133" s="380" t="s">
        <v>767</v>
      </c>
      <c r="E14133" s="380" t="s">
        <v>776</v>
      </c>
      <c r="F14133" s="380" t="s">
        <v>1058</v>
      </c>
      <c r="G14133" s="380" t="s">
        <v>1267</v>
      </c>
      <c r="H14133" s="380" t="s">
        <v>771</v>
      </c>
      <c r="I14133" s="380" t="s">
        <v>788</v>
      </c>
      <c r="J14133" s="380" t="s">
        <v>773</v>
      </c>
      <c r="K14133" s="381">
        <v>0.0</v>
      </c>
      <c r="L14133" s="382">
        <v>1.0</v>
      </c>
    </row>
    <row r="14134">
      <c r="A14134" s="380" t="s">
        <v>15008</v>
      </c>
      <c r="B14134" s="380" t="str">
        <f>IFERROR(__xludf.DUMMYFUNCTION("""COMPUTED_VALUE"""),"Ccc Cable Filtro Ferrita 15Kw")</f>
        <v>Ccc Cable Filtro Ferrita 15Kw</v>
      </c>
      <c r="C14134" s="380" t="str">
        <f>IFERROR(__xludf.DUMMYFUNCTION("""COMPUTED_VALUE"""),"80000472")</f>
        <v>80000472</v>
      </c>
      <c r="D14134" s="380" t="s">
        <v>767</v>
      </c>
      <c r="E14134" s="380" t="s">
        <v>776</v>
      </c>
      <c r="F14134" s="380" t="s">
        <v>1058</v>
      </c>
      <c r="G14134" s="380" t="s">
        <v>1267</v>
      </c>
      <c r="H14134" s="380" t="s">
        <v>771</v>
      </c>
      <c r="I14134" s="380" t="s">
        <v>788</v>
      </c>
      <c r="J14134" s="380" t="s">
        <v>773</v>
      </c>
      <c r="K14134" s="381">
        <v>0.0</v>
      </c>
      <c r="L14134" s="382">
        <v>1.0</v>
      </c>
    </row>
    <row r="14135">
      <c r="A14135" s="380" t="s">
        <v>15009</v>
      </c>
      <c r="B14135" s="380" t="str">
        <f>IFERROR(__xludf.DUMMYFUNCTION("""COMPUTED_VALUE"""),"Fuente De Poder 100-240Vac/24V")</f>
        <v>Fuente De Poder 100-240Vac/24V</v>
      </c>
      <c r="C14135" s="380" t="str">
        <f>IFERROR(__xludf.DUMMYFUNCTION("""COMPUTED_VALUE"""),"80000473")</f>
        <v>80000473</v>
      </c>
      <c r="D14135" s="380" t="s">
        <v>767</v>
      </c>
      <c r="E14135" s="380" t="s">
        <v>776</v>
      </c>
      <c r="F14135" s="380" t="s">
        <v>1058</v>
      </c>
      <c r="G14135" s="380" t="s">
        <v>1267</v>
      </c>
      <c r="H14135" s="380" t="s">
        <v>771</v>
      </c>
      <c r="I14135" s="380" t="s">
        <v>788</v>
      </c>
      <c r="J14135" s="380" t="s">
        <v>773</v>
      </c>
      <c r="K14135" s="381">
        <v>0.0</v>
      </c>
      <c r="L14135" s="382">
        <v>1.0</v>
      </c>
    </row>
    <row r="14136">
      <c r="A14136" s="380" t="s">
        <v>15010</v>
      </c>
      <c r="B14136" s="380" t="str">
        <f>IFERROR(__xludf.DUMMYFUNCTION("""COMPUTED_VALUE"""),"Proteccion De Potencia 24Vdc 4")</f>
        <v>Proteccion De Potencia 24Vdc 4</v>
      </c>
      <c r="C14136" s="380" t="str">
        <f>IFERROR(__xludf.DUMMYFUNCTION("""COMPUTED_VALUE"""),"80000474")</f>
        <v>80000474</v>
      </c>
      <c r="D14136" s="380" t="s">
        <v>767</v>
      </c>
      <c r="E14136" s="380" t="s">
        <v>776</v>
      </c>
      <c r="F14136" s="380" t="s">
        <v>1058</v>
      </c>
      <c r="G14136" s="380" t="s">
        <v>1267</v>
      </c>
      <c r="H14136" s="380" t="s">
        <v>771</v>
      </c>
      <c r="I14136" s="380" t="s">
        <v>788</v>
      </c>
      <c r="J14136" s="380" t="s">
        <v>773</v>
      </c>
      <c r="K14136" s="381">
        <v>0.0</v>
      </c>
      <c r="L14136" s="382">
        <v>1.0</v>
      </c>
    </row>
    <row r="14137">
      <c r="A14137" s="380" t="s">
        <v>15011</v>
      </c>
      <c r="B14137" s="380" t="str">
        <f>IFERROR(__xludf.DUMMYFUNCTION("""COMPUTED_VALUE"""),"Fuente De Poder 400-500V 3P /")</f>
        <v>Fuente De Poder 400-500V 3P /</v>
      </c>
      <c r="C14137" s="380" t="str">
        <f>IFERROR(__xludf.DUMMYFUNCTION("""COMPUTED_VALUE"""),"80000475")</f>
        <v>80000475</v>
      </c>
      <c r="D14137" s="380" t="s">
        <v>767</v>
      </c>
      <c r="E14137" s="380" t="s">
        <v>776</v>
      </c>
      <c r="F14137" s="380" t="s">
        <v>1058</v>
      </c>
      <c r="G14137" s="380" t="s">
        <v>1267</v>
      </c>
      <c r="H14137" s="380" t="s">
        <v>771</v>
      </c>
      <c r="I14137" s="380" t="s">
        <v>788</v>
      </c>
      <c r="J14137" s="380" t="s">
        <v>773</v>
      </c>
      <c r="K14137" s="381">
        <v>0.0</v>
      </c>
      <c r="L14137" s="382">
        <v>1.0</v>
      </c>
    </row>
    <row r="14138">
      <c r="A14138" s="380" t="s">
        <v>15012</v>
      </c>
      <c r="B14138" s="380" t="str">
        <f>IFERROR(__xludf.DUMMYFUNCTION("""COMPUTED_VALUE"""),"Fuente De Poder 120-230V 1P /")</f>
        <v>Fuente De Poder 120-230V 1P /</v>
      </c>
      <c r="C14138" s="380" t="str">
        <f>IFERROR(__xludf.DUMMYFUNCTION("""COMPUTED_VALUE"""),"80000476")</f>
        <v>80000476</v>
      </c>
      <c r="D14138" s="380" t="s">
        <v>767</v>
      </c>
      <c r="E14138" s="380" t="s">
        <v>776</v>
      </c>
      <c r="F14138" s="380" t="s">
        <v>1058</v>
      </c>
      <c r="G14138" s="380" t="s">
        <v>1267</v>
      </c>
      <c r="H14138" s="380" t="s">
        <v>771</v>
      </c>
      <c r="I14138" s="380" t="s">
        <v>788</v>
      </c>
      <c r="J14138" s="380" t="s">
        <v>773</v>
      </c>
      <c r="K14138" s="381">
        <v>0.0</v>
      </c>
      <c r="L14138" s="382">
        <v>1.0</v>
      </c>
    </row>
    <row r="14139">
      <c r="A14139" s="380" t="s">
        <v>15013</v>
      </c>
      <c r="B14139" s="380" t="str">
        <f>IFERROR(__xludf.DUMMYFUNCTION("""COMPUTED_VALUE"""),"I/O Modulo Et200S Profisafe 4-")</f>
        <v>I/O Modulo Et200S Profisafe 4-</v>
      </c>
      <c r="C14139" s="380" t="str">
        <f>IFERROR(__xludf.DUMMYFUNCTION("""COMPUTED_VALUE"""),"80000477")</f>
        <v>80000477</v>
      </c>
      <c r="D14139" s="380" t="s">
        <v>767</v>
      </c>
      <c r="E14139" s="380" t="s">
        <v>776</v>
      </c>
      <c r="F14139" s="380" t="s">
        <v>1058</v>
      </c>
      <c r="G14139" s="380" t="s">
        <v>1267</v>
      </c>
      <c r="H14139" s="380" t="s">
        <v>771</v>
      </c>
      <c r="I14139" s="380" t="s">
        <v>788</v>
      </c>
      <c r="J14139" s="380" t="s">
        <v>773</v>
      </c>
      <c r="K14139" s="381">
        <v>0.0</v>
      </c>
      <c r="L14139" s="382">
        <v>1.0</v>
      </c>
    </row>
    <row r="14140">
      <c r="A14140" s="380" t="s">
        <v>15014</v>
      </c>
      <c r="B14140" s="380" t="str">
        <f>IFERROR(__xludf.DUMMYFUNCTION("""COMPUTED_VALUE"""),"I/O Modulo Et200S Profissafe 4")</f>
        <v>I/O Modulo Et200S Profissafe 4</v>
      </c>
      <c r="C14140" s="380" t="str">
        <f>IFERROR(__xludf.DUMMYFUNCTION("""COMPUTED_VALUE"""),"80000478")</f>
        <v>80000478</v>
      </c>
      <c r="D14140" s="380" t="s">
        <v>767</v>
      </c>
      <c r="E14140" s="380" t="s">
        <v>776</v>
      </c>
      <c r="F14140" s="380" t="s">
        <v>1058</v>
      </c>
      <c r="G14140" s="380" t="s">
        <v>1267</v>
      </c>
      <c r="H14140" s="380" t="s">
        <v>771</v>
      </c>
      <c r="I14140" s="380" t="s">
        <v>788</v>
      </c>
      <c r="J14140" s="380" t="s">
        <v>773</v>
      </c>
      <c r="K14140" s="381">
        <v>0.0</v>
      </c>
      <c r="L14140" s="382">
        <v>1.0</v>
      </c>
    </row>
    <row r="14141">
      <c r="A14141" s="380" t="s">
        <v>15015</v>
      </c>
      <c r="B14141" s="380" t="str">
        <f>IFERROR(__xludf.DUMMYFUNCTION("""COMPUTED_VALUE"""),"Panel Operador Hmiktp400 4""Tft")</f>
        <v>Panel Operador Hmiktp400 4"Tft</v>
      </c>
      <c r="C14141" s="380" t="str">
        <f>IFERROR(__xludf.DUMMYFUNCTION("""COMPUTED_VALUE"""),"80000479")</f>
        <v>80000479</v>
      </c>
      <c r="D14141" s="380" t="s">
        <v>767</v>
      </c>
      <c r="E14141" s="380" t="s">
        <v>776</v>
      </c>
      <c r="F14141" s="380" t="s">
        <v>1058</v>
      </c>
      <c r="G14141" s="380" t="s">
        <v>1267</v>
      </c>
      <c r="H14141" s="380" t="s">
        <v>771</v>
      </c>
      <c r="I14141" s="380" t="s">
        <v>788</v>
      </c>
      <c r="J14141" s="380" t="s">
        <v>773</v>
      </c>
      <c r="K14141" s="381">
        <v>0.0</v>
      </c>
      <c r="L14141" s="382">
        <v>1.0</v>
      </c>
    </row>
    <row r="14142">
      <c r="A14142" s="380" t="s">
        <v>15016</v>
      </c>
      <c r="B14142" s="380" t="str">
        <f>IFERROR(__xludf.DUMMYFUNCTION("""COMPUTED_VALUE"""),"Pasarela Asi-Profineti/O2Canal")</f>
        <v>Pasarela Asi-Profineti/O2Canal</v>
      </c>
      <c r="C14142" s="380" t="str">
        <f>IFERROR(__xludf.DUMMYFUNCTION("""COMPUTED_VALUE"""),"80000480")</f>
        <v>80000480</v>
      </c>
      <c r="D14142" s="380" t="s">
        <v>767</v>
      </c>
      <c r="E14142" s="380" t="s">
        <v>776</v>
      </c>
      <c r="F14142" s="380" t="s">
        <v>1058</v>
      </c>
      <c r="G14142" s="380" t="s">
        <v>1267</v>
      </c>
      <c r="H14142" s="380" t="s">
        <v>771</v>
      </c>
      <c r="I14142" s="380" t="s">
        <v>788</v>
      </c>
      <c r="J14142" s="380" t="s">
        <v>773</v>
      </c>
      <c r="K14142" s="381">
        <v>0.0</v>
      </c>
      <c r="L14142" s="382">
        <v>1.0</v>
      </c>
    </row>
    <row r="14143">
      <c r="A14143" s="380" t="s">
        <v>15017</v>
      </c>
      <c r="B14143" s="380" t="str">
        <f>IFERROR(__xludf.DUMMYFUNCTION("""COMPUTED_VALUE"""),"Modulo De Sensor Interfaz Vaa-")</f>
        <v>Modulo De Sensor Interfaz Vaa-</v>
      </c>
      <c r="C14143" s="380" t="str">
        <f>IFERROR(__xludf.DUMMYFUNCTION("""COMPUTED_VALUE"""),"80000481")</f>
        <v>80000481</v>
      </c>
      <c r="D14143" s="380" t="s">
        <v>767</v>
      </c>
      <c r="E14143" s="380" t="s">
        <v>776</v>
      </c>
      <c r="F14143" s="380" t="s">
        <v>1058</v>
      </c>
      <c r="G14143" s="380" t="s">
        <v>1267</v>
      </c>
      <c r="H14143" s="380" t="s">
        <v>771</v>
      </c>
      <c r="I14143" s="380" t="s">
        <v>788</v>
      </c>
      <c r="J14143" s="380" t="s">
        <v>773</v>
      </c>
      <c r="K14143" s="381">
        <v>0.0</v>
      </c>
      <c r="L14143" s="382">
        <v>1.0</v>
      </c>
    </row>
    <row r="14144">
      <c r="A14144" s="380" t="s">
        <v>15018</v>
      </c>
      <c r="B14144" s="380" t="str">
        <f>IFERROR(__xludf.DUMMYFUNCTION("""COMPUTED_VALUE"""),"Lcc Rele Digital Asi 4X Entrad")</f>
        <v>Lcc Rele Digital Asi 4X Entrad</v>
      </c>
      <c r="C14144" s="380" t="str">
        <f>IFERROR(__xludf.DUMMYFUNCTION("""COMPUTED_VALUE"""),"80000482")</f>
        <v>80000482</v>
      </c>
      <c r="D14144" s="380" t="s">
        <v>767</v>
      </c>
      <c r="E14144" s="380" t="s">
        <v>776</v>
      </c>
      <c r="F14144" s="380" t="s">
        <v>1058</v>
      </c>
      <c r="G14144" s="380" t="s">
        <v>1267</v>
      </c>
      <c r="H14144" s="380" t="s">
        <v>771</v>
      </c>
      <c r="I14144" s="380" t="s">
        <v>788</v>
      </c>
      <c r="J14144" s="380" t="s">
        <v>773</v>
      </c>
      <c r="K14144" s="381">
        <v>0.0</v>
      </c>
      <c r="L14144" s="382">
        <v>1.0</v>
      </c>
    </row>
    <row r="14145">
      <c r="A14145" s="380" t="s">
        <v>15019</v>
      </c>
      <c r="B14145" s="380" t="str">
        <f>IFERROR(__xludf.DUMMYFUNCTION("""COMPUTED_VALUE"""),"Cccswitetherxb008 8Xrj45 10-10")</f>
        <v>Cccswitetherxb008 8Xrj45 10-10</v>
      </c>
      <c r="C14145" s="380" t="str">
        <f>IFERROR(__xludf.DUMMYFUNCTION("""COMPUTED_VALUE"""),"80000483")</f>
        <v>80000483</v>
      </c>
      <c r="D14145" s="380" t="s">
        <v>767</v>
      </c>
      <c r="E14145" s="380" t="s">
        <v>776</v>
      </c>
      <c r="F14145" s="380" t="s">
        <v>1058</v>
      </c>
      <c r="G14145" s="380" t="s">
        <v>1267</v>
      </c>
      <c r="H14145" s="380" t="s">
        <v>771</v>
      </c>
      <c r="I14145" s="380" t="s">
        <v>788</v>
      </c>
      <c r="J14145" s="380" t="s">
        <v>773</v>
      </c>
      <c r="K14145" s="381">
        <v>0.0</v>
      </c>
      <c r="L14145" s="382">
        <v>1.0</v>
      </c>
    </row>
    <row r="14146">
      <c r="A14146" s="380" t="s">
        <v>15020</v>
      </c>
      <c r="B14146" s="380" t="str">
        <f>IFERROR(__xludf.DUMMYFUNCTION("""COMPUTED_VALUE"""),"Ccc Acoplador Profinet Pn/Pn 2")</f>
        <v>Ccc Acoplador Profinet Pn/Pn 2</v>
      </c>
      <c r="C14146" s="380" t="str">
        <f>IFERROR(__xludf.DUMMYFUNCTION("""COMPUTED_VALUE"""),"80000484")</f>
        <v>80000484</v>
      </c>
      <c r="D14146" s="380" t="s">
        <v>767</v>
      </c>
      <c r="E14146" s="380" t="s">
        <v>776</v>
      </c>
      <c r="F14146" s="380" t="s">
        <v>1058</v>
      </c>
      <c r="G14146" s="380" t="s">
        <v>1267</v>
      </c>
      <c r="H14146" s="380" t="s">
        <v>771</v>
      </c>
      <c r="I14146" s="380" t="s">
        <v>788</v>
      </c>
      <c r="J14146" s="380" t="s">
        <v>773</v>
      </c>
      <c r="K14146" s="381">
        <v>0.0</v>
      </c>
      <c r="L14146" s="382">
        <v>1.0</v>
      </c>
    </row>
    <row r="14147">
      <c r="A14147" s="380" t="s">
        <v>15021</v>
      </c>
      <c r="B14147" s="380" t="str">
        <f>IFERROR(__xludf.DUMMYFUNCTION("""COMPUTED_VALUE"""),"Ccc Generador De Impulsos Watc")</f>
        <v>Ccc Generador De Impulsos Watc</v>
      </c>
      <c r="C14147" s="380" t="str">
        <f>IFERROR(__xludf.DUMMYFUNCTION("""COMPUTED_VALUE"""),"80000485")</f>
        <v>80000485</v>
      </c>
      <c r="D14147" s="380" t="s">
        <v>767</v>
      </c>
      <c r="E14147" s="380" t="s">
        <v>776</v>
      </c>
      <c r="F14147" s="380" t="s">
        <v>1058</v>
      </c>
      <c r="G14147" s="380" t="s">
        <v>1267</v>
      </c>
      <c r="H14147" s="380" t="s">
        <v>771</v>
      </c>
      <c r="I14147" s="380" t="s">
        <v>788</v>
      </c>
      <c r="J14147" s="380" t="s">
        <v>773</v>
      </c>
      <c r="K14147" s="381">
        <v>0.0</v>
      </c>
      <c r="L14147" s="382">
        <v>1.0</v>
      </c>
    </row>
    <row r="14148">
      <c r="A14148" s="380" t="s">
        <v>15022</v>
      </c>
      <c r="B14148" s="380" t="str">
        <f>IFERROR(__xludf.DUMMYFUNCTION("""COMPUTED_VALUE"""),"Encoder Lineal Nl16 Motor Indu")</f>
        <v>Encoder Lineal Nl16 Motor Indu</v>
      </c>
      <c r="C14148" s="380" t="str">
        <f>IFERROR(__xludf.DUMMYFUNCTION("""COMPUTED_VALUE"""),"80000486")</f>
        <v>80000486</v>
      </c>
      <c r="D14148" s="380" t="s">
        <v>767</v>
      </c>
      <c r="E14148" s="380" t="s">
        <v>776</v>
      </c>
      <c r="F14148" s="380" t="s">
        <v>1058</v>
      </c>
      <c r="G14148" s="380" t="s">
        <v>1267</v>
      </c>
      <c r="H14148" s="380" t="s">
        <v>771</v>
      </c>
      <c r="I14148" s="380" t="s">
        <v>788</v>
      </c>
      <c r="J14148" s="380" t="s">
        <v>773</v>
      </c>
      <c r="K14148" s="381">
        <v>0.0</v>
      </c>
      <c r="L14148" s="382">
        <v>1.0</v>
      </c>
    </row>
    <row r="14149">
      <c r="A14149" s="380" t="s">
        <v>15023</v>
      </c>
      <c r="B14149" s="380" t="str">
        <f>IFERROR(__xludf.DUMMYFUNCTION("""COMPUTED_VALUE"""),"Resistencia De Frenado R=100 O")</f>
        <v>Resistencia De Frenado R=100 O</v>
      </c>
      <c r="C14149" s="380" t="str">
        <f>IFERROR(__xludf.DUMMYFUNCTION("""COMPUTED_VALUE"""),"80000487")</f>
        <v>80000487</v>
      </c>
      <c r="D14149" s="380" t="s">
        <v>767</v>
      </c>
      <c r="E14149" s="380" t="s">
        <v>776</v>
      </c>
      <c r="F14149" s="380" t="s">
        <v>1058</v>
      </c>
      <c r="G14149" s="380" t="s">
        <v>1267</v>
      </c>
      <c r="H14149" s="380" t="s">
        <v>771</v>
      </c>
      <c r="I14149" s="380" t="s">
        <v>788</v>
      </c>
      <c r="J14149" s="380" t="s">
        <v>773</v>
      </c>
      <c r="K14149" s="381">
        <v>0.0</v>
      </c>
      <c r="L14149" s="382">
        <v>1.0</v>
      </c>
    </row>
    <row r="14150">
      <c r="A14150" s="380" t="s">
        <v>15024</v>
      </c>
      <c r="B14150" s="380" t="str">
        <f>IFERROR(__xludf.DUMMYFUNCTION("""COMPUTED_VALUE"""),"Amortiguador Bm")</f>
        <v>Amortiguador Bm</v>
      </c>
      <c r="C14150" s="380" t="str">
        <f>IFERROR(__xludf.DUMMYFUNCTION("""COMPUTED_VALUE"""),"80000488")</f>
        <v>80000488</v>
      </c>
      <c r="D14150" s="380" t="s">
        <v>767</v>
      </c>
      <c r="E14150" s="380" t="s">
        <v>776</v>
      </c>
      <c r="F14150" s="380" t="s">
        <v>976</v>
      </c>
      <c r="G14150" s="380" t="s">
        <v>1267</v>
      </c>
      <c r="H14150" s="380" t="s">
        <v>771</v>
      </c>
      <c r="I14150" s="380" t="s">
        <v>788</v>
      </c>
      <c r="J14150" s="380" t="s">
        <v>773</v>
      </c>
      <c r="K14150" s="381">
        <v>0.0</v>
      </c>
      <c r="L14150" s="382">
        <v>1.0</v>
      </c>
    </row>
    <row r="14151">
      <c r="A14151" s="380" t="s">
        <v>15025</v>
      </c>
      <c r="B14151" s="380" t="str">
        <f>IFERROR(__xludf.DUMMYFUNCTION("""COMPUTED_VALUE"""),"Modulo Movidrive Doble Eje 8A")</f>
        <v>Modulo Movidrive Doble Eje 8A</v>
      </c>
      <c r="C14151" s="380" t="str">
        <f>IFERROR(__xludf.DUMMYFUNCTION("""COMPUTED_VALUE"""),"80000489")</f>
        <v>80000489</v>
      </c>
      <c r="D14151" s="380" t="s">
        <v>767</v>
      </c>
      <c r="E14151" s="380" t="s">
        <v>776</v>
      </c>
      <c r="F14151" s="380" t="s">
        <v>1058</v>
      </c>
      <c r="G14151" s="380" t="s">
        <v>1267</v>
      </c>
      <c r="H14151" s="380" t="s">
        <v>771</v>
      </c>
      <c r="I14151" s="380" t="s">
        <v>788</v>
      </c>
      <c r="J14151" s="380" t="s">
        <v>773</v>
      </c>
      <c r="K14151" s="381">
        <v>0.0</v>
      </c>
      <c r="L14151" s="382">
        <v>1.0</v>
      </c>
    </row>
    <row r="14152">
      <c r="A14152" s="380" t="s">
        <v>15026</v>
      </c>
      <c r="B14152" s="380" t="str">
        <f>IFERROR(__xludf.DUMMYFUNCTION("""COMPUTED_VALUE"""),"Fuente De Poder Movidrive 10Kw")</f>
        <v>Fuente De Poder Movidrive 10Kw</v>
      </c>
      <c r="C14152" s="380" t="str">
        <f>IFERROR(__xludf.DUMMYFUNCTION("""COMPUTED_VALUE"""),"80000490")</f>
        <v>80000490</v>
      </c>
      <c r="D14152" s="380" t="s">
        <v>767</v>
      </c>
      <c r="E14152" s="380" t="s">
        <v>776</v>
      </c>
      <c r="F14152" s="380" t="s">
        <v>1058</v>
      </c>
      <c r="G14152" s="380" t="s">
        <v>1267</v>
      </c>
      <c r="H14152" s="380" t="s">
        <v>771</v>
      </c>
      <c r="I14152" s="380" t="s">
        <v>788</v>
      </c>
      <c r="J14152" s="380" t="s">
        <v>773</v>
      </c>
      <c r="K14152" s="381">
        <v>0.0</v>
      </c>
      <c r="L14152" s="382">
        <v>1.0</v>
      </c>
    </row>
    <row r="14153">
      <c r="A14153" s="380" t="s">
        <v>15027</v>
      </c>
      <c r="B14153" s="380" t="str">
        <f>IFERROR(__xludf.DUMMYFUNCTION("""COMPUTED_VALUE"""),"Modulo Movidrive Un Solo Eje")</f>
        <v>Modulo Movidrive Un Solo Eje</v>
      </c>
      <c r="C14153" s="380" t="str">
        <f>IFERROR(__xludf.DUMMYFUNCTION("""COMPUTED_VALUE"""),"80000491")</f>
        <v>80000491</v>
      </c>
      <c r="D14153" s="380" t="s">
        <v>767</v>
      </c>
      <c r="E14153" s="380" t="s">
        <v>776</v>
      </c>
      <c r="F14153" s="380" t="s">
        <v>1058</v>
      </c>
      <c r="G14153" s="380" t="s">
        <v>1267</v>
      </c>
      <c r="H14153" s="380" t="s">
        <v>771</v>
      </c>
      <c r="I14153" s="380" t="s">
        <v>788</v>
      </c>
      <c r="J14153" s="380" t="s">
        <v>773</v>
      </c>
      <c r="K14153" s="381">
        <v>0.0</v>
      </c>
      <c r="L14153" s="382">
        <v>1.0</v>
      </c>
    </row>
    <row r="14154">
      <c r="A14154" s="380" t="s">
        <v>15028</v>
      </c>
      <c r="B14154" s="380" t="str">
        <f>IFERROR(__xludf.DUMMYFUNCTION("""COMPUTED_VALUE"""),"Ccc Rele Cks")</f>
        <v>Ccc Rele Cks</v>
      </c>
      <c r="C14154" s="380" t="str">
        <f>IFERROR(__xludf.DUMMYFUNCTION("""COMPUTED_VALUE"""),"80000492")</f>
        <v>80000492</v>
      </c>
      <c r="D14154" s="380" t="s">
        <v>767</v>
      </c>
      <c r="E14154" s="380" t="s">
        <v>776</v>
      </c>
      <c r="F14154" s="380" t="s">
        <v>1058</v>
      </c>
      <c r="G14154" s="380" t="s">
        <v>1267</v>
      </c>
      <c r="H14154" s="380" t="s">
        <v>771</v>
      </c>
      <c r="I14154" s="380" t="s">
        <v>788</v>
      </c>
      <c r="J14154" s="380" t="s">
        <v>773</v>
      </c>
      <c r="K14154" s="381">
        <v>0.0</v>
      </c>
      <c r="L14154" s="382">
        <v>1.0</v>
      </c>
    </row>
    <row r="14155">
      <c r="A14155" s="380" t="s">
        <v>15029</v>
      </c>
      <c r="B14155" s="380" t="str">
        <f>IFERROR(__xludf.DUMMYFUNCTION("""COMPUTED_VALUE"""),"Ccc Tarjeta Memoria Micro 2Mb")</f>
        <v>Ccc Tarjeta Memoria Micro 2Mb</v>
      </c>
      <c r="C14155" s="380" t="str">
        <f>IFERROR(__xludf.DUMMYFUNCTION("""COMPUTED_VALUE"""),"80000493")</f>
        <v>80000493</v>
      </c>
      <c r="D14155" s="380" t="s">
        <v>767</v>
      </c>
      <c r="E14155" s="380" t="s">
        <v>776</v>
      </c>
      <c r="F14155" s="380" t="s">
        <v>1058</v>
      </c>
      <c r="G14155" s="380" t="s">
        <v>1267</v>
      </c>
      <c r="H14155" s="380" t="s">
        <v>771</v>
      </c>
      <c r="I14155" s="380" t="s">
        <v>788</v>
      </c>
      <c r="J14155" s="380" t="s">
        <v>773</v>
      </c>
      <c r="K14155" s="381">
        <v>0.0</v>
      </c>
      <c r="L14155" s="382">
        <v>1.0</v>
      </c>
    </row>
    <row r="14156">
      <c r="A14156" s="380" t="s">
        <v>15030</v>
      </c>
      <c r="B14156" s="380" t="str">
        <f>IFERROR(__xludf.DUMMYFUNCTION("""COMPUTED_VALUE"""),"Tarjeta Memoria Micro 64Kb")</f>
        <v>Tarjeta Memoria Micro 64Kb</v>
      </c>
      <c r="C14156" s="380" t="str">
        <f>IFERROR(__xludf.DUMMYFUNCTION("""COMPUTED_VALUE"""),"80000494")</f>
        <v>80000494</v>
      </c>
      <c r="D14156" s="380" t="s">
        <v>767</v>
      </c>
      <c r="E14156" s="380" t="s">
        <v>776</v>
      </c>
      <c r="F14156" s="380" t="s">
        <v>1058</v>
      </c>
      <c r="G14156" s="380" t="s">
        <v>1267</v>
      </c>
      <c r="H14156" s="380" t="s">
        <v>771</v>
      </c>
      <c r="I14156" s="380" t="s">
        <v>788</v>
      </c>
      <c r="J14156" s="380" t="s">
        <v>773</v>
      </c>
      <c r="K14156" s="381">
        <v>0.0</v>
      </c>
      <c r="L14156" s="382">
        <v>1.0</v>
      </c>
    </row>
    <row r="14157">
      <c r="A14157" s="380" t="s">
        <v>15031</v>
      </c>
      <c r="B14157" s="380" t="str">
        <f>IFERROR(__xludf.DUMMYFUNCTION("""COMPUTED_VALUE"""),"Ccc Conector Profibus Rs485 12")</f>
        <v>Ccc Conector Profibus Rs485 12</v>
      </c>
      <c r="C14157" s="380" t="str">
        <f>IFERROR(__xludf.DUMMYFUNCTION("""COMPUTED_VALUE"""),"80000495")</f>
        <v>80000495</v>
      </c>
      <c r="D14157" s="380" t="s">
        <v>767</v>
      </c>
      <c r="E14157" s="380" t="s">
        <v>776</v>
      </c>
      <c r="F14157" s="380" t="s">
        <v>1058</v>
      </c>
      <c r="G14157" s="380" t="s">
        <v>1267</v>
      </c>
      <c r="H14157" s="380" t="s">
        <v>771</v>
      </c>
      <c r="I14157" s="380" t="s">
        <v>788</v>
      </c>
      <c r="J14157" s="380" t="s">
        <v>773</v>
      </c>
      <c r="K14157" s="381">
        <v>0.0</v>
      </c>
      <c r="L14157" s="382">
        <v>1.0</v>
      </c>
    </row>
    <row r="14158">
      <c r="A14158" s="380" t="s">
        <v>15032</v>
      </c>
      <c r="B14158" s="380" t="str">
        <f>IFERROR(__xludf.DUMMYFUNCTION("""COMPUTED_VALUE"""),"Ccc I/O Mod Et200Eco Pn Digit")</f>
        <v>Ccc I/O Mod Et200Eco Pn Digit</v>
      </c>
      <c r="C14158" s="380" t="str">
        <f>IFERROR(__xludf.DUMMYFUNCTION("""COMPUTED_VALUE"""),"80000496")</f>
        <v>80000496</v>
      </c>
      <c r="D14158" s="380" t="s">
        <v>767</v>
      </c>
      <c r="E14158" s="380" t="s">
        <v>776</v>
      </c>
      <c r="F14158" s="380" t="s">
        <v>1058</v>
      </c>
      <c r="G14158" s="380" t="s">
        <v>1267</v>
      </c>
      <c r="H14158" s="380" t="s">
        <v>771</v>
      </c>
      <c r="I14158" s="380" t="s">
        <v>788</v>
      </c>
      <c r="J14158" s="380" t="s">
        <v>773</v>
      </c>
      <c r="K14158" s="381">
        <v>0.0</v>
      </c>
      <c r="L14158" s="382">
        <v>1.0</v>
      </c>
    </row>
    <row r="14159">
      <c r="A14159" s="380" t="s">
        <v>15033</v>
      </c>
      <c r="B14159" s="380" t="str">
        <f>IFERROR(__xludf.DUMMYFUNCTION("""COMPUTED_VALUE"""),"Ccc Modulo Interface Im151 Par")</f>
        <v>Ccc Modulo Interface Im151 Par</v>
      </c>
      <c r="C14159" s="380" t="str">
        <f>IFERROR(__xludf.DUMMYFUNCTION("""COMPUTED_VALUE"""),"80000497")</f>
        <v>80000497</v>
      </c>
      <c r="D14159" s="380" t="s">
        <v>767</v>
      </c>
      <c r="E14159" s="380" t="s">
        <v>776</v>
      </c>
      <c r="F14159" s="380" t="s">
        <v>1058</v>
      </c>
      <c r="G14159" s="380" t="s">
        <v>1267</v>
      </c>
      <c r="H14159" s="380" t="s">
        <v>771</v>
      </c>
      <c r="I14159" s="380" t="s">
        <v>788</v>
      </c>
      <c r="J14159" s="380" t="s">
        <v>773</v>
      </c>
      <c r="K14159" s="381">
        <v>0.0</v>
      </c>
      <c r="L14159" s="382">
        <v>1.0</v>
      </c>
    </row>
    <row r="14160">
      <c r="A14160" s="380" t="s">
        <v>15034</v>
      </c>
      <c r="B14160" s="380" t="str">
        <f>IFERROR(__xludf.DUMMYFUNCTION("""COMPUTED_VALUE"""),"Modulo Interface Im151-3 Prof")</f>
        <v>Modulo Interface Im151-3 Prof</v>
      </c>
      <c r="C14160" s="380" t="str">
        <f>IFERROR(__xludf.DUMMYFUNCTION("""COMPUTED_VALUE"""),"80000498")</f>
        <v>80000498</v>
      </c>
      <c r="D14160" s="380" t="s">
        <v>767</v>
      </c>
      <c r="E14160" s="380" t="s">
        <v>776</v>
      </c>
      <c r="F14160" s="380" t="s">
        <v>1058</v>
      </c>
      <c r="G14160" s="380" t="s">
        <v>1267</v>
      </c>
      <c r="H14160" s="380" t="s">
        <v>771</v>
      </c>
      <c r="I14160" s="380" t="s">
        <v>788</v>
      </c>
      <c r="J14160" s="380" t="s">
        <v>773</v>
      </c>
      <c r="K14160" s="381">
        <v>0.0</v>
      </c>
      <c r="L14160" s="382">
        <v>1.0</v>
      </c>
    </row>
    <row r="14161">
      <c r="A14161" s="380" t="s">
        <v>15035</v>
      </c>
      <c r="B14161" s="380" t="str">
        <f>IFERROR(__xludf.DUMMYFUNCTION("""COMPUTED_VALUE"""),"Modulo De Potencia Pm-E 24Vdc")</f>
        <v>Modulo De Potencia Pm-E 24Vdc</v>
      </c>
      <c r="C14161" s="380" t="str">
        <f>IFERROR(__xludf.DUMMYFUNCTION("""COMPUTED_VALUE"""),"80000499")</f>
        <v>80000499</v>
      </c>
      <c r="D14161" s="380" t="s">
        <v>767</v>
      </c>
      <c r="E14161" s="380" t="s">
        <v>776</v>
      </c>
      <c r="F14161" s="380" t="s">
        <v>1058</v>
      </c>
      <c r="G14161" s="380" t="s">
        <v>1267</v>
      </c>
      <c r="H14161" s="380" t="s">
        <v>771</v>
      </c>
      <c r="I14161" s="380" t="s">
        <v>788</v>
      </c>
      <c r="J14161" s="380" t="s">
        <v>773</v>
      </c>
      <c r="K14161" s="381">
        <v>0.0</v>
      </c>
      <c r="L14161" s="382">
        <v>1.0</v>
      </c>
    </row>
    <row r="14162">
      <c r="A14162" s="380" t="s">
        <v>15036</v>
      </c>
      <c r="B14162" s="380" t="str">
        <f>IFERROR(__xludf.DUMMYFUNCTION("""COMPUTED_VALUE"""),"Modulo Terminal Tm-P15S23-A1 P")</f>
        <v>Modulo Terminal Tm-P15S23-A1 P</v>
      </c>
      <c r="C14162" s="380" t="str">
        <f>IFERROR(__xludf.DUMMYFUNCTION("""COMPUTED_VALUE"""),"80000500")</f>
        <v>80000500</v>
      </c>
      <c r="D14162" s="380" t="s">
        <v>767</v>
      </c>
      <c r="E14162" s="380" t="s">
        <v>776</v>
      </c>
      <c r="F14162" s="380" t="s">
        <v>1058</v>
      </c>
      <c r="G14162" s="380" t="s">
        <v>1267</v>
      </c>
      <c r="H14162" s="380" t="s">
        <v>771</v>
      </c>
      <c r="I14162" s="380" t="s">
        <v>788</v>
      </c>
      <c r="J14162" s="380" t="s">
        <v>773</v>
      </c>
      <c r="K14162" s="381">
        <v>0.0</v>
      </c>
      <c r="L14162" s="382">
        <v>1.0</v>
      </c>
    </row>
    <row r="14163">
      <c r="A14163" s="380" t="s">
        <v>15037</v>
      </c>
      <c r="B14163" s="380" t="str">
        <f>IFERROR(__xludf.DUMMYFUNCTION("""COMPUTED_VALUE"""),"Lcc Modulo Terminal Tm-E15C26-")</f>
        <v>Lcc Modulo Terminal Tm-E15C26-</v>
      </c>
      <c r="C14163" s="380" t="str">
        <f>IFERROR(__xludf.DUMMYFUNCTION("""COMPUTED_VALUE"""),"80000501")</f>
        <v>80000501</v>
      </c>
      <c r="D14163" s="380" t="s">
        <v>767</v>
      </c>
      <c r="E14163" s="380" t="s">
        <v>776</v>
      </c>
      <c r="F14163" s="380" t="s">
        <v>1058</v>
      </c>
      <c r="G14163" s="380" t="s">
        <v>1267</v>
      </c>
      <c r="H14163" s="380" t="s">
        <v>771</v>
      </c>
      <c r="I14163" s="380" t="s">
        <v>788</v>
      </c>
      <c r="J14163" s="380" t="s">
        <v>773</v>
      </c>
      <c r="K14163" s="381">
        <v>0.0</v>
      </c>
      <c r="L14163" s="382">
        <v>1.0</v>
      </c>
    </row>
    <row r="14164">
      <c r="A14164" s="380" t="s">
        <v>15038</v>
      </c>
      <c r="B14164" s="380" t="str">
        <f>IFERROR(__xludf.DUMMYFUNCTION("""COMPUTED_VALUE"""),"Ico Modulo Interface Im155-6Pn")</f>
        <v>Ico Modulo Interface Im155-6Pn</v>
      </c>
      <c r="C14164" s="380" t="str">
        <f>IFERROR(__xludf.DUMMYFUNCTION("""COMPUTED_VALUE"""),"80000502")</f>
        <v>80000502</v>
      </c>
      <c r="D14164" s="380" t="s">
        <v>767</v>
      </c>
      <c r="E14164" s="380" t="s">
        <v>776</v>
      </c>
      <c r="F14164" s="380" t="s">
        <v>1058</v>
      </c>
      <c r="G14164" s="380" t="s">
        <v>1267</v>
      </c>
      <c r="H14164" s="380" t="s">
        <v>771</v>
      </c>
      <c r="I14164" s="380" t="s">
        <v>788</v>
      </c>
      <c r="J14164" s="380" t="s">
        <v>773</v>
      </c>
      <c r="K14164" s="381">
        <v>0.0</v>
      </c>
      <c r="L14164" s="382">
        <v>1.0</v>
      </c>
    </row>
    <row r="14165">
      <c r="A14165" s="380" t="s">
        <v>15039</v>
      </c>
      <c r="B14165" s="380" t="str">
        <f>IFERROR(__xludf.DUMMYFUNCTION("""COMPUTED_VALUE"""),"I/O Modulo Digital Et200S 4X S")</f>
        <v>I/O Modulo Digital Et200S 4X S</v>
      </c>
      <c r="C14165" s="380" t="str">
        <f>IFERROR(__xludf.DUMMYFUNCTION("""COMPUTED_VALUE"""),"80000503")</f>
        <v>80000503</v>
      </c>
      <c r="D14165" s="380" t="s">
        <v>767</v>
      </c>
      <c r="E14165" s="380" t="s">
        <v>776</v>
      </c>
      <c r="F14165" s="380" t="s">
        <v>1058</v>
      </c>
      <c r="G14165" s="380" t="s">
        <v>1267</v>
      </c>
      <c r="H14165" s="380" t="s">
        <v>771</v>
      </c>
      <c r="I14165" s="380" t="s">
        <v>788</v>
      </c>
      <c r="J14165" s="380" t="s">
        <v>773</v>
      </c>
      <c r="K14165" s="381">
        <v>0.0</v>
      </c>
      <c r="L14165" s="382">
        <v>1.0</v>
      </c>
    </row>
    <row r="14166">
      <c r="A14166" s="380" t="s">
        <v>15040</v>
      </c>
      <c r="B14166" s="380" t="str">
        <f>IFERROR(__xludf.DUMMYFUNCTION("""COMPUTED_VALUE"""),"I/O Modulo Digital 4X Entradas")</f>
        <v>I/O Modulo Digital 4X Entradas</v>
      </c>
      <c r="C14166" s="380" t="str">
        <f>IFERROR(__xludf.DUMMYFUNCTION("""COMPUTED_VALUE"""),"80000504")</f>
        <v>80000504</v>
      </c>
      <c r="D14166" s="380" t="s">
        <v>767</v>
      </c>
      <c r="E14166" s="380" t="s">
        <v>776</v>
      </c>
      <c r="F14166" s="380" t="s">
        <v>1058</v>
      </c>
      <c r="G14166" s="380" t="s">
        <v>1267</v>
      </c>
      <c r="H14166" s="380" t="s">
        <v>771</v>
      </c>
      <c r="I14166" s="380" t="s">
        <v>788</v>
      </c>
      <c r="J14166" s="380" t="s">
        <v>773</v>
      </c>
      <c r="K14166" s="381">
        <v>0.0</v>
      </c>
      <c r="L14166" s="382">
        <v>1.0</v>
      </c>
    </row>
    <row r="14167">
      <c r="A14167" s="380" t="s">
        <v>15041</v>
      </c>
      <c r="B14167" s="380" t="str">
        <f>IFERROR(__xludf.DUMMYFUNCTION("""COMPUTED_VALUE"""),"Modulo Terminal Tm-E15S26-A1 P")</f>
        <v>Modulo Terminal Tm-E15S26-A1 P</v>
      </c>
      <c r="C14167" s="380" t="str">
        <f>IFERROR(__xludf.DUMMYFUNCTION("""COMPUTED_VALUE"""),"80000505")</f>
        <v>80000505</v>
      </c>
      <c r="D14167" s="380" t="s">
        <v>767</v>
      </c>
      <c r="E14167" s="380" t="s">
        <v>776</v>
      </c>
      <c r="F14167" s="380" t="s">
        <v>1058</v>
      </c>
      <c r="G14167" s="380" t="s">
        <v>1267</v>
      </c>
      <c r="H14167" s="380" t="s">
        <v>771</v>
      </c>
      <c r="I14167" s="380" t="s">
        <v>788</v>
      </c>
      <c r="J14167" s="380" t="s">
        <v>773</v>
      </c>
      <c r="K14167" s="381">
        <v>0.0</v>
      </c>
      <c r="L14167" s="382">
        <v>1.0</v>
      </c>
    </row>
    <row r="14168">
      <c r="A14168" s="380" t="s">
        <v>15042</v>
      </c>
      <c r="B14168" s="380" t="str">
        <f>IFERROR(__xludf.DUMMYFUNCTION("""COMPUTED_VALUE"""),"Modulo Terminal Tm-E30S44-01 P")</f>
        <v>Modulo Terminal Tm-E30S44-01 P</v>
      </c>
      <c r="C14168" s="380" t="str">
        <f>IFERROR(__xludf.DUMMYFUNCTION("""COMPUTED_VALUE"""),"80000506")</f>
        <v>80000506</v>
      </c>
      <c r="D14168" s="380" t="s">
        <v>767</v>
      </c>
      <c r="E14168" s="380" t="s">
        <v>776</v>
      </c>
      <c r="F14168" s="380" t="s">
        <v>1058</v>
      </c>
      <c r="G14168" s="380" t="s">
        <v>1267</v>
      </c>
      <c r="H14168" s="380" t="s">
        <v>771</v>
      </c>
      <c r="I14168" s="380" t="s">
        <v>788</v>
      </c>
      <c r="J14168" s="380" t="s">
        <v>773</v>
      </c>
      <c r="K14168" s="381">
        <v>0.0</v>
      </c>
      <c r="L14168" s="382">
        <v>1.0</v>
      </c>
    </row>
    <row r="14169">
      <c r="A14169" s="380" t="s">
        <v>15043</v>
      </c>
      <c r="B14169" s="380" t="str">
        <f>IFERROR(__xludf.DUMMYFUNCTION("""COMPUTED_VALUE"""),"Muelle Micro Final Carrera")</f>
        <v>Muelle Micro Final Carrera</v>
      </c>
      <c r="C14169" s="380" t="str">
        <f>IFERROR(__xludf.DUMMYFUNCTION("""COMPUTED_VALUE"""),"80000507")</f>
        <v>80000507</v>
      </c>
      <c r="D14169" s="380" t="s">
        <v>767</v>
      </c>
      <c r="E14169" s="380" t="s">
        <v>776</v>
      </c>
      <c r="F14169" s="380" t="s">
        <v>976</v>
      </c>
      <c r="G14169" s="380" t="s">
        <v>1267</v>
      </c>
      <c r="H14169" s="380" t="s">
        <v>771</v>
      </c>
      <c r="I14169" s="380" t="s">
        <v>788</v>
      </c>
      <c r="J14169" s="380" t="s">
        <v>773</v>
      </c>
      <c r="K14169" s="381">
        <v>0.0</v>
      </c>
      <c r="L14169" s="382">
        <v>1.0</v>
      </c>
    </row>
    <row r="14170">
      <c r="A14170" s="380" t="s">
        <v>15044</v>
      </c>
      <c r="B14170" s="380" t="str">
        <f>IFERROR(__xludf.DUMMYFUNCTION("""COMPUTED_VALUE"""),"Cadena Itl K-5050-20 A=6096")</f>
        <v>Cadena Itl K-5050-20 A=6096</v>
      </c>
      <c r="C14170" s="380" t="str">
        <f>IFERROR(__xludf.DUMMYFUNCTION("""COMPUTED_VALUE"""),"80000508")</f>
        <v>80000508</v>
      </c>
      <c r="D14170" s="380" t="s">
        <v>767</v>
      </c>
      <c r="E14170" s="380" t="s">
        <v>776</v>
      </c>
      <c r="F14170" s="380" t="s">
        <v>976</v>
      </c>
      <c r="G14170" s="380" t="s">
        <v>1267</v>
      </c>
      <c r="H14170" s="380" t="s">
        <v>771</v>
      </c>
      <c r="I14170" s="380" t="s">
        <v>788</v>
      </c>
      <c r="J14170" s="380" t="s">
        <v>773</v>
      </c>
      <c r="K14170" s="381">
        <v>0.0</v>
      </c>
      <c r="L14170" s="382">
        <v>1.0</v>
      </c>
    </row>
    <row r="14171">
      <c r="A14171" s="380" t="s">
        <v>15045</v>
      </c>
      <c r="B14171" s="380" t="str">
        <f>IFERROR(__xludf.DUMMYFUNCTION("""COMPUTED_VALUE"""),"Cilindro Smc C92 Sdb 125-250 I")</f>
        <v>Cilindro Smc C92 Sdb 125-250 I</v>
      </c>
      <c r="C14171" s="380" t="str">
        <f>IFERROR(__xludf.DUMMYFUNCTION("""COMPUTED_VALUE"""),"80000509")</f>
        <v>80000509</v>
      </c>
      <c r="D14171" s="380" t="s">
        <v>767</v>
      </c>
      <c r="E14171" s="380" t="s">
        <v>776</v>
      </c>
      <c r="F14171" s="380" t="s">
        <v>976</v>
      </c>
      <c r="G14171" s="380" t="s">
        <v>1267</v>
      </c>
      <c r="H14171" s="380" t="s">
        <v>771</v>
      </c>
      <c r="I14171" s="380" t="s">
        <v>788</v>
      </c>
      <c r="J14171" s="380" t="s">
        <v>773</v>
      </c>
      <c r="K14171" s="381">
        <v>0.0</v>
      </c>
      <c r="L14171" s="382">
        <v>1.0</v>
      </c>
    </row>
    <row r="14172">
      <c r="A14172" s="380" t="s">
        <v>15046</v>
      </c>
      <c r="B14172" s="380" t="str">
        <f>IFERROR(__xludf.DUMMYFUNCTION("""COMPUTED_VALUE"""),"Volante P-1156-06A/8-1 Id9 Itl")</f>
        <v>Volante P-1156-06A/8-1 Id9 Itl</v>
      </c>
      <c r="C14172" s="380" t="str">
        <f>IFERROR(__xludf.DUMMYFUNCTION("""COMPUTED_VALUE"""),"80000510")</f>
        <v>80000510</v>
      </c>
      <c r="D14172" s="380" t="s">
        <v>767</v>
      </c>
      <c r="E14172" s="380" t="s">
        <v>776</v>
      </c>
      <c r="F14172" s="380" t="s">
        <v>1058</v>
      </c>
      <c r="G14172" s="380" t="s">
        <v>1267</v>
      </c>
      <c r="H14172" s="380" t="s">
        <v>771</v>
      </c>
      <c r="I14172" s="380" t="s">
        <v>788</v>
      </c>
      <c r="J14172" s="380" t="s">
        <v>773</v>
      </c>
      <c r="K14172" s="381">
        <v>0.0</v>
      </c>
      <c r="L14172" s="382">
        <v>1.0</v>
      </c>
    </row>
    <row r="14173">
      <c r="A14173" s="380" t="s">
        <v>15047</v>
      </c>
      <c r="B14173" s="380" t="str">
        <f>IFERROR(__xludf.DUMMYFUNCTION("""COMPUTED_VALUE"""),"Lcc Switch Ethernet Xb005 5Xrj")</f>
        <v>Lcc Switch Ethernet Xb005 5Xrj</v>
      </c>
      <c r="C14173" s="380" t="str">
        <f>IFERROR(__xludf.DUMMYFUNCTION("""COMPUTED_VALUE"""),"80000511")</f>
        <v>80000511</v>
      </c>
      <c r="D14173" s="380" t="s">
        <v>767</v>
      </c>
      <c r="E14173" s="380" t="s">
        <v>776</v>
      </c>
      <c r="F14173" s="380" t="s">
        <v>1058</v>
      </c>
      <c r="G14173" s="380" t="s">
        <v>1267</v>
      </c>
      <c r="H14173" s="380" t="s">
        <v>771</v>
      </c>
      <c r="I14173" s="380" t="s">
        <v>788</v>
      </c>
      <c r="J14173" s="380" t="s">
        <v>773</v>
      </c>
      <c r="K14173" s="381">
        <v>0.0</v>
      </c>
      <c r="L14173" s="382">
        <v>1.0</v>
      </c>
    </row>
    <row r="14174">
      <c r="A14174" s="380" t="s">
        <v>15048</v>
      </c>
      <c r="B14174" s="380" t="str">
        <f>IFERROR(__xludf.DUMMYFUNCTION("""COMPUTED_VALUE"""),"Ccc Swit Ether Xb005G5Xrj4510-")</f>
        <v>Ccc Swit Ether Xb005G5Xrj4510-</v>
      </c>
      <c r="C14174" s="380" t="str">
        <f>IFERROR(__xludf.DUMMYFUNCTION("""COMPUTED_VALUE"""),"80000512")</f>
        <v>80000512</v>
      </c>
      <c r="D14174" s="380" t="s">
        <v>767</v>
      </c>
      <c r="E14174" s="380" t="s">
        <v>776</v>
      </c>
      <c r="F14174" s="380" t="s">
        <v>1058</v>
      </c>
      <c r="G14174" s="380" t="s">
        <v>1267</v>
      </c>
      <c r="H14174" s="380" t="s">
        <v>771</v>
      </c>
      <c r="I14174" s="380" t="s">
        <v>788</v>
      </c>
      <c r="J14174" s="380" t="s">
        <v>773</v>
      </c>
      <c r="K14174" s="381">
        <v>0.0</v>
      </c>
      <c r="L14174" s="382">
        <v>1.0</v>
      </c>
    </row>
    <row r="14175">
      <c r="A14175" s="380" t="s">
        <v>15049</v>
      </c>
      <c r="B14175" s="380" t="str">
        <f>IFERROR(__xludf.DUMMYFUNCTION("""COMPUTED_VALUE"""),"Ccc Receptor 12-24Vdc Con Elec")</f>
        <v>Ccc Receptor 12-24Vdc Con Elec</v>
      </c>
      <c r="C14175" s="380" t="str">
        <f>IFERROR(__xludf.DUMMYFUNCTION("""COMPUTED_VALUE"""),"80000513")</f>
        <v>80000513</v>
      </c>
      <c r="D14175" s="380" t="s">
        <v>767</v>
      </c>
      <c r="E14175" s="380" t="s">
        <v>776</v>
      </c>
      <c r="F14175" s="380" t="s">
        <v>1058</v>
      </c>
      <c r="G14175" s="380" t="s">
        <v>1267</v>
      </c>
      <c r="H14175" s="380" t="s">
        <v>771</v>
      </c>
      <c r="I14175" s="380" t="s">
        <v>788</v>
      </c>
      <c r="J14175" s="380" t="s">
        <v>773</v>
      </c>
      <c r="K14175" s="381">
        <v>0.0</v>
      </c>
      <c r="L14175" s="382">
        <v>1.0</v>
      </c>
    </row>
    <row r="14176">
      <c r="A14176" s="380" t="s">
        <v>15050</v>
      </c>
      <c r="B14176" s="380" t="str">
        <f>IFERROR(__xludf.DUMMYFUNCTION("""COMPUTED_VALUE"""),"Ccc Fuente De Poder 24Vdc/5Vdc")</f>
        <v>Ccc Fuente De Poder 24Vdc/5Vdc</v>
      </c>
      <c r="C14176" s="380" t="str">
        <f>IFERROR(__xludf.DUMMYFUNCTION("""COMPUTED_VALUE"""),"80000514")</f>
        <v>80000514</v>
      </c>
      <c r="D14176" s="380" t="s">
        <v>767</v>
      </c>
      <c r="E14176" s="380" t="s">
        <v>776</v>
      </c>
      <c r="F14176" s="380" t="s">
        <v>1058</v>
      </c>
      <c r="G14176" s="380" t="s">
        <v>1267</v>
      </c>
      <c r="H14176" s="380" t="s">
        <v>771</v>
      </c>
      <c r="I14176" s="380" t="s">
        <v>788</v>
      </c>
      <c r="J14176" s="380" t="s">
        <v>773</v>
      </c>
      <c r="K14176" s="381">
        <v>0.0</v>
      </c>
      <c r="L14176" s="382">
        <v>1.0</v>
      </c>
    </row>
    <row r="14177">
      <c r="A14177" s="380" t="s">
        <v>15051</v>
      </c>
      <c r="B14177" s="380" t="str">
        <f>IFERROR(__xludf.DUMMYFUNCTION("""COMPUTED_VALUE"""),"Ccc Swit Ether X216 16Xrj45 10")</f>
        <v>Ccc Swit Ether X216 16Xrj45 10</v>
      </c>
      <c r="C14177" s="380" t="str">
        <f>IFERROR(__xludf.DUMMYFUNCTION("""COMPUTED_VALUE"""),"80000515")</f>
        <v>80000515</v>
      </c>
      <c r="D14177" s="380" t="s">
        <v>767</v>
      </c>
      <c r="E14177" s="380" t="s">
        <v>776</v>
      </c>
      <c r="F14177" s="380" t="s">
        <v>1058</v>
      </c>
      <c r="G14177" s="380" t="s">
        <v>1267</v>
      </c>
      <c r="H14177" s="380" t="s">
        <v>771</v>
      </c>
      <c r="I14177" s="380" t="s">
        <v>788</v>
      </c>
      <c r="J14177" s="380" t="s">
        <v>773</v>
      </c>
      <c r="K14177" s="381">
        <v>0.0</v>
      </c>
      <c r="L14177" s="382">
        <v>1.0</v>
      </c>
    </row>
    <row r="14178">
      <c r="A14178" s="380" t="s">
        <v>15052</v>
      </c>
      <c r="B14178" s="380" t="str">
        <f>IFERROR(__xludf.DUMMYFUNCTION("""COMPUTED_VALUE"""),"Conector M12 Macho 4P 180° Sal")</f>
        <v>Conector M12 Macho 4P 180° Sal</v>
      </c>
      <c r="C14178" s="380" t="str">
        <f>IFERROR(__xludf.DUMMYFUNCTION("""COMPUTED_VALUE"""),"80000516")</f>
        <v>80000516</v>
      </c>
      <c r="D14178" s="380" t="s">
        <v>767</v>
      </c>
      <c r="E14178" s="380" t="s">
        <v>776</v>
      </c>
      <c r="F14178" s="380" t="s">
        <v>1058</v>
      </c>
      <c r="G14178" s="380" t="s">
        <v>1267</v>
      </c>
      <c r="H14178" s="380" t="s">
        <v>771</v>
      </c>
      <c r="I14178" s="380" t="s">
        <v>788</v>
      </c>
      <c r="J14178" s="380" t="s">
        <v>773</v>
      </c>
      <c r="K14178" s="381">
        <v>0.0</v>
      </c>
      <c r="L14178" s="382">
        <v>1.0</v>
      </c>
    </row>
    <row r="14179">
      <c r="A14179" s="380" t="s">
        <v>15053</v>
      </c>
      <c r="B14179" s="380" t="str">
        <f>IFERROR(__xludf.DUMMYFUNCTION("""COMPUTED_VALUE"""),"Conector Ethernet Rj45 2X2P 10")</f>
        <v>Conector Ethernet Rj45 2X2P 10</v>
      </c>
      <c r="C14179" s="380" t="str">
        <f>IFERROR(__xludf.DUMMYFUNCTION("""COMPUTED_VALUE"""),"80000517")</f>
        <v>80000517</v>
      </c>
      <c r="D14179" s="380" t="s">
        <v>767</v>
      </c>
      <c r="E14179" s="380" t="s">
        <v>776</v>
      </c>
      <c r="F14179" s="380" t="s">
        <v>1058</v>
      </c>
      <c r="G14179" s="380" t="s">
        <v>1267</v>
      </c>
      <c r="H14179" s="380" t="s">
        <v>771</v>
      </c>
      <c r="I14179" s="380" t="s">
        <v>788</v>
      </c>
      <c r="J14179" s="380" t="s">
        <v>773</v>
      </c>
      <c r="K14179" s="381">
        <v>0.0</v>
      </c>
      <c r="L14179" s="382">
        <v>1.0</v>
      </c>
    </row>
    <row r="14180">
      <c r="A14180" s="380" t="s">
        <v>15054</v>
      </c>
      <c r="B14180" s="380" t="str">
        <f>IFERROR(__xludf.DUMMYFUNCTION("""COMPUTED_VALUE"""),"Carcasa De Accesorio Hanq 8/0-")</f>
        <v>Carcasa De Accesorio Hanq 8/0-</v>
      </c>
      <c r="C14180" s="380" t="str">
        <f>IFERROR(__xludf.DUMMYFUNCTION("""COMPUTED_VALUE"""),"80000519")</f>
        <v>80000519</v>
      </c>
      <c r="D14180" s="380" t="s">
        <v>767</v>
      </c>
      <c r="E14180" s="380" t="s">
        <v>776</v>
      </c>
      <c r="F14180" s="380" t="s">
        <v>1058</v>
      </c>
      <c r="G14180" s="380" t="s">
        <v>1267</v>
      </c>
      <c r="H14180" s="380" t="s">
        <v>771</v>
      </c>
      <c r="I14180" s="380" t="s">
        <v>788</v>
      </c>
      <c r="J14180" s="380" t="s">
        <v>773</v>
      </c>
      <c r="K14180" s="381">
        <v>0.0</v>
      </c>
      <c r="L14180" s="382">
        <v>1.0</v>
      </c>
    </row>
    <row r="14181">
      <c r="A14181" s="380" t="s">
        <v>15055</v>
      </c>
      <c r="B14181" s="380" t="str">
        <f>IFERROR(__xludf.DUMMYFUNCTION("""COMPUTED_VALUE"""),"Ccc Bloqueo Transpondedor / Ke")</f>
        <v>Ccc Bloqueo Transpondedor / Ke</v>
      </c>
      <c r="C14181" s="380" t="str">
        <f>IFERROR(__xludf.DUMMYFUNCTION("""COMPUTED_VALUE"""),"80000520")</f>
        <v>80000520</v>
      </c>
      <c r="D14181" s="380" t="s">
        <v>767</v>
      </c>
      <c r="E14181" s="380" t="s">
        <v>776</v>
      </c>
      <c r="F14181" s="380" t="s">
        <v>1058</v>
      </c>
      <c r="G14181" s="380" t="s">
        <v>1267</v>
      </c>
      <c r="H14181" s="380" t="s">
        <v>771</v>
      </c>
      <c r="I14181" s="380" t="s">
        <v>788</v>
      </c>
      <c r="J14181" s="380" t="s">
        <v>773</v>
      </c>
      <c r="K14181" s="381">
        <v>0.0</v>
      </c>
      <c r="L14181" s="382">
        <v>1.0</v>
      </c>
    </row>
    <row r="14182">
      <c r="A14182" s="380" t="s">
        <v>15056</v>
      </c>
      <c r="B14182" s="380" t="str">
        <f>IFERROR(__xludf.DUMMYFUNCTION("""COMPUTED_VALUE"""),"Ccc Unidad De Lectura Adaptado")</f>
        <v>Ccc Unidad De Lectura Adaptado</v>
      </c>
      <c r="C14182" s="380" t="str">
        <f>IFERROR(__xludf.DUMMYFUNCTION("""COMPUTED_VALUE"""),"80000521")</f>
        <v>80000521</v>
      </c>
      <c r="D14182" s="380" t="s">
        <v>767</v>
      </c>
      <c r="E14182" s="380" t="s">
        <v>776</v>
      </c>
      <c r="F14182" s="380" t="s">
        <v>1058</v>
      </c>
      <c r="G14182" s="380" t="s">
        <v>1267</v>
      </c>
      <c r="H14182" s="380" t="s">
        <v>771</v>
      </c>
      <c r="I14182" s="380" t="s">
        <v>788</v>
      </c>
      <c r="J14182" s="380" t="s">
        <v>773</v>
      </c>
      <c r="K14182" s="381">
        <v>0.0</v>
      </c>
      <c r="L14182" s="382">
        <v>1.0</v>
      </c>
    </row>
    <row r="14183">
      <c r="A14183" s="380" t="s">
        <v>15057</v>
      </c>
      <c r="B14183" s="380" t="str">
        <f>IFERROR(__xludf.DUMMYFUNCTION("""COMPUTED_VALUE"""),"Rodillo Extremo Etu D75 W1300")</f>
        <v>Rodillo Extremo Etu D75 W1300</v>
      </c>
      <c r="C14183" s="380" t="str">
        <f>IFERROR(__xludf.DUMMYFUNCTION("""COMPUTED_VALUE"""),"80000522")</f>
        <v>80000522</v>
      </c>
      <c r="D14183" s="380" t="s">
        <v>767</v>
      </c>
      <c r="E14183" s="380" t="s">
        <v>776</v>
      </c>
      <c r="F14183" s="380" t="s">
        <v>976</v>
      </c>
      <c r="G14183" s="380" t="s">
        <v>1267</v>
      </c>
      <c r="H14183" s="380" t="s">
        <v>771</v>
      </c>
      <c r="I14183" s="380" t="s">
        <v>788</v>
      </c>
      <c r="J14183" s="380" t="s">
        <v>773</v>
      </c>
      <c r="K14183" s="381">
        <v>0.0</v>
      </c>
      <c r="L14183" s="382">
        <v>1.0</v>
      </c>
    </row>
    <row r="14184">
      <c r="A14184" s="380" t="s">
        <v>15058</v>
      </c>
      <c r="B14184" s="380" t="str">
        <f>IFERROR(__xludf.DUMMYFUNCTION("""COMPUTED_VALUE"""),"Rueda Extrema D50 Sr")</f>
        <v>Rueda Extrema D50 Sr</v>
      </c>
      <c r="C14184" s="380" t="str">
        <f>IFERROR(__xludf.DUMMYFUNCTION("""COMPUTED_VALUE"""),"80000523")</f>
        <v>80000523</v>
      </c>
      <c r="D14184" s="380" t="s">
        <v>767</v>
      </c>
      <c r="E14184" s="380" t="s">
        <v>776</v>
      </c>
      <c r="F14184" s="380" t="s">
        <v>976</v>
      </c>
      <c r="G14184" s="380" t="s">
        <v>1267</v>
      </c>
      <c r="H14184" s="380" t="s">
        <v>771</v>
      </c>
      <c r="I14184" s="380" t="s">
        <v>788</v>
      </c>
      <c r="J14184" s="380" t="s">
        <v>773</v>
      </c>
      <c r="K14184" s="381">
        <v>0.0</v>
      </c>
      <c r="L14184" s="382">
        <v>1.0</v>
      </c>
    </row>
    <row r="14185">
      <c r="A14185" s="380" t="s">
        <v>15059</v>
      </c>
      <c r="B14185" s="380" t="str">
        <f>IFERROR(__xludf.DUMMYFUNCTION("""COMPUTED_VALUE"""),"Polea Motriz Sr")</f>
        <v>Polea Motriz Sr</v>
      </c>
      <c r="C14185" s="380" t="str">
        <f>IFERROR(__xludf.DUMMYFUNCTION("""COMPUTED_VALUE"""),"80000524")</f>
        <v>80000524</v>
      </c>
      <c r="D14185" s="380" t="s">
        <v>767</v>
      </c>
      <c r="E14185" s="380" t="s">
        <v>776</v>
      </c>
      <c r="F14185" s="380" t="s">
        <v>976</v>
      </c>
      <c r="G14185" s="380" t="s">
        <v>1267</v>
      </c>
      <c r="H14185" s="380" t="s">
        <v>771</v>
      </c>
      <c r="I14185" s="380" t="s">
        <v>788</v>
      </c>
      <c r="J14185" s="380" t="s">
        <v>773</v>
      </c>
      <c r="K14185" s="381">
        <v>0.0</v>
      </c>
      <c r="L14185" s="382">
        <v>1.0</v>
      </c>
    </row>
    <row r="14186">
      <c r="A14186" s="380" t="s">
        <v>15060</v>
      </c>
      <c r="B14186" s="380" t="str">
        <f>IFERROR(__xludf.DUMMYFUNCTION("""COMPUTED_VALUE"""),"Polea Transmision Sr/Rm W=24.5")</f>
        <v>Polea Transmision Sr/Rm W=24.5</v>
      </c>
      <c r="C14186" s="380" t="str">
        <f>IFERROR(__xludf.DUMMYFUNCTION("""COMPUTED_VALUE"""),"80000525")</f>
        <v>80000525</v>
      </c>
      <c r="D14186" s="380" t="s">
        <v>767</v>
      </c>
      <c r="E14186" s="380" t="s">
        <v>776</v>
      </c>
      <c r="F14186" s="380" t="s">
        <v>976</v>
      </c>
      <c r="G14186" s="380" t="s">
        <v>1267</v>
      </c>
      <c r="H14186" s="380" t="s">
        <v>771</v>
      </c>
      <c r="I14186" s="380" t="s">
        <v>788</v>
      </c>
      <c r="J14186" s="380" t="s">
        <v>773</v>
      </c>
      <c r="K14186" s="381">
        <v>0.0</v>
      </c>
      <c r="L14186" s="382">
        <v>1.0</v>
      </c>
    </row>
    <row r="14187">
      <c r="A14187" s="380" t="s">
        <v>15061</v>
      </c>
      <c r="B14187" s="380" t="str">
        <f>IFERROR(__xludf.DUMMYFUNCTION("""COMPUTED_VALUE"""),"Polea Transmision Sr/Rm W=24.5")</f>
        <v>Polea Transmision Sr/Rm W=24.5</v>
      </c>
      <c r="C14187" s="380" t="str">
        <f>IFERROR(__xludf.DUMMYFUNCTION("""COMPUTED_VALUE"""),"80000526")</f>
        <v>80000526</v>
      </c>
      <c r="D14187" s="380" t="s">
        <v>767</v>
      </c>
      <c r="E14187" s="380" t="s">
        <v>776</v>
      </c>
      <c r="F14187" s="380" t="s">
        <v>976</v>
      </c>
      <c r="G14187" s="380" t="s">
        <v>1267</v>
      </c>
      <c r="H14187" s="380" t="s">
        <v>771</v>
      </c>
      <c r="I14187" s="380" t="s">
        <v>788</v>
      </c>
      <c r="J14187" s="380" t="s">
        <v>773</v>
      </c>
      <c r="K14187" s="381">
        <v>0.0</v>
      </c>
      <c r="L14187" s="382">
        <v>1.0</v>
      </c>
    </row>
    <row r="14188">
      <c r="A14188" s="380" t="s">
        <v>15062</v>
      </c>
      <c r="B14188" s="380" t="str">
        <f>IFERROR(__xludf.DUMMYFUNCTION("""COMPUTED_VALUE"""),"Rueda De Presion Sr")</f>
        <v>Rueda De Presion Sr</v>
      </c>
      <c r="C14188" s="380" t="str">
        <f>IFERROR(__xludf.DUMMYFUNCTION("""COMPUTED_VALUE"""),"80000527")</f>
        <v>80000527</v>
      </c>
      <c r="D14188" s="380" t="s">
        <v>767</v>
      </c>
      <c r="E14188" s="380" t="s">
        <v>776</v>
      </c>
      <c r="F14188" s="380" t="s">
        <v>976</v>
      </c>
      <c r="G14188" s="380" t="s">
        <v>1267</v>
      </c>
      <c r="H14188" s="380" t="s">
        <v>771</v>
      </c>
      <c r="I14188" s="380" t="s">
        <v>788</v>
      </c>
      <c r="J14188" s="380" t="s">
        <v>773</v>
      </c>
      <c r="K14188" s="381">
        <v>0.0</v>
      </c>
      <c r="L14188" s="382">
        <v>1.0</v>
      </c>
    </row>
    <row r="14189">
      <c r="A14189" s="380" t="s">
        <v>15063</v>
      </c>
      <c r="B14189" s="380" t="str">
        <f>IFERROR(__xludf.DUMMYFUNCTION("""COMPUTED_VALUE"""),"Eje Polea De Presion Tf")</f>
        <v>Eje Polea De Presion Tf</v>
      </c>
      <c r="C14189" s="380" t="str">
        <f>IFERROR(__xludf.DUMMYFUNCTION("""COMPUTED_VALUE"""),"80000528")</f>
        <v>80000528</v>
      </c>
      <c r="D14189" s="380" t="s">
        <v>767</v>
      </c>
      <c r="E14189" s="380" t="s">
        <v>776</v>
      </c>
      <c r="F14189" s="380" t="s">
        <v>976</v>
      </c>
      <c r="G14189" s="380" t="s">
        <v>1267</v>
      </c>
      <c r="H14189" s="380" t="s">
        <v>771</v>
      </c>
      <c r="I14189" s="380" t="s">
        <v>788</v>
      </c>
      <c r="J14189" s="380" t="s">
        <v>773</v>
      </c>
      <c r="K14189" s="381">
        <v>0.0</v>
      </c>
      <c r="L14189" s="382">
        <v>1.0</v>
      </c>
    </row>
    <row r="14190">
      <c r="A14190" s="380" t="s">
        <v>15064</v>
      </c>
      <c r="B14190" s="380" t="str">
        <f>IFERROR(__xludf.DUMMYFUNCTION("""COMPUTED_VALUE"""),"Rueda De La Polea Tensora Bj D")</f>
        <v>Rueda De La Polea Tensora Bj D</v>
      </c>
      <c r="C14190" s="380" t="str">
        <f>IFERROR(__xludf.DUMMYFUNCTION("""COMPUTED_VALUE"""),"80000529")</f>
        <v>80000529</v>
      </c>
      <c r="D14190" s="380" t="s">
        <v>767</v>
      </c>
      <c r="E14190" s="380" t="s">
        <v>776</v>
      </c>
      <c r="F14190" s="380" t="s">
        <v>976</v>
      </c>
      <c r="G14190" s="380" t="s">
        <v>1267</v>
      </c>
      <c r="H14190" s="380" t="s">
        <v>771</v>
      </c>
      <c r="I14190" s="380" t="s">
        <v>788</v>
      </c>
      <c r="J14190" s="380" t="s">
        <v>773</v>
      </c>
      <c r="K14190" s="381">
        <v>0.0</v>
      </c>
      <c r="L14190" s="382">
        <v>1.0</v>
      </c>
    </row>
    <row r="14191">
      <c r="A14191" s="380" t="s">
        <v>15065</v>
      </c>
      <c r="B14191" s="380" t="str">
        <f>IFERROR(__xludf.DUMMYFUNCTION("""COMPUTED_VALUE"""),"Rueda Tensora Power Feeder")</f>
        <v>Rueda Tensora Power Feeder</v>
      </c>
      <c r="C14191" s="380" t="str">
        <f>IFERROR(__xludf.DUMMYFUNCTION("""COMPUTED_VALUE"""),"80000530")</f>
        <v>80000530</v>
      </c>
      <c r="D14191" s="380" t="s">
        <v>767</v>
      </c>
      <c r="E14191" s="380" t="s">
        <v>776</v>
      </c>
      <c r="F14191" s="380" t="s">
        <v>976</v>
      </c>
      <c r="G14191" s="380" t="s">
        <v>1267</v>
      </c>
      <c r="H14191" s="380" t="s">
        <v>771</v>
      </c>
      <c r="I14191" s="380" t="s">
        <v>788</v>
      </c>
      <c r="J14191" s="380" t="s">
        <v>773</v>
      </c>
      <c r="K14191" s="381">
        <v>0.0</v>
      </c>
      <c r="L14191" s="382">
        <v>1.0</v>
      </c>
    </row>
    <row r="14192">
      <c r="A14192" s="380" t="s">
        <v>15066</v>
      </c>
      <c r="B14192" s="380" t="str">
        <f>IFERROR(__xludf.DUMMYFUNCTION("""COMPUTED_VALUE"""),"Eje Rodillo D30 H7 Cr C45K Bf")</f>
        <v>Eje Rodillo D30 H7 Cr C45K Bf</v>
      </c>
      <c r="C14192" s="380" t="str">
        <f>IFERROR(__xludf.DUMMYFUNCTION("""COMPUTED_VALUE"""),"80000531")</f>
        <v>80000531</v>
      </c>
      <c r="D14192" s="380" t="s">
        <v>767</v>
      </c>
      <c r="E14192" s="380" t="s">
        <v>776</v>
      </c>
      <c r="F14192" s="380" t="s">
        <v>976</v>
      </c>
      <c r="G14192" s="380" t="s">
        <v>1267</v>
      </c>
      <c r="H14192" s="380" t="s">
        <v>771</v>
      </c>
      <c r="I14192" s="380" t="s">
        <v>788</v>
      </c>
      <c r="J14192" s="380" t="s">
        <v>773</v>
      </c>
      <c r="K14192" s="381">
        <v>0.0</v>
      </c>
      <c r="L14192" s="382">
        <v>1.0</v>
      </c>
    </row>
    <row r="14193">
      <c r="A14193" s="380" t="s">
        <v>15067</v>
      </c>
      <c r="B14193" s="380" t="str">
        <f>IFERROR(__xludf.DUMMYFUNCTION("""COMPUTED_VALUE"""),"Rueda Bajo Ruido D55X20X16 Arp")</f>
        <v>Rueda Bajo Ruido D55X20X16 Arp</v>
      </c>
      <c r="C14193" s="380" t="str">
        <f>IFERROR(__xludf.DUMMYFUNCTION("""COMPUTED_VALUE"""),"80000532")</f>
        <v>80000532</v>
      </c>
      <c r="D14193" s="380" t="s">
        <v>767</v>
      </c>
      <c r="E14193" s="380" t="s">
        <v>776</v>
      </c>
      <c r="F14193" s="380" t="s">
        <v>976</v>
      </c>
      <c r="G14193" s="380" t="s">
        <v>1267</v>
      </c>
      <c r="H14193" s="380" t="s">
        <v>771</v>
      </c>
      <c r="I14193" s="380" t="s">
        <v>788</v>
      </c>
      <c r="J14193" s="380" t="s">
        <v>773</v>
      </c>
      <c r="K14193" s="381">
        <v>0.0</v>
      </c>
      <c r="L14193" s="382">
        <v>1.0</v>
      </c>
    </row>
    <row r="14194">
      <c r="A14194" s="380" t="s">
        <v>15068</v>
      </c>
      <c r="B14194" s="380" t="str">
        <f>IFERROR(__xludf.DUMMYFUNCTION("""COMPUTED_VALUE"""),"Tambor Motriz Drop Belt D75 L=")</f>
        <v>Tambor Motriz Drop Belt D75 L=</v>
      </c>
      <c r="C14194" s="380" t="str">
        <f>IFERROR(__xludf.DUMMYFUNCTION("""COMPUTED_VALUE"""),"80000533")</f>
        <v>80000533</v>
      </c>
      <c r="D14194" s="380" t="s">
        <v>767</v>
      </c>
      <c r="E14194" s="380" t="s">
        <v>776</v>
      </c>
      <c r="F14194" s="380" t="s">
        <v>976</v>
      </c>
      <c r="G14194" s="380" t="s">
        <v>1267</v>
      </c>
      <c r="H14194" s="380" t="s">
        <v>771</v>
      </c>
      <c r="I14194" s="380" t="s">
        <v>788</v>
      </c>
      <c r="J14194" s="380" t="s">
        <v>773</v>
      </c>
      <c r="K14194" s="381">
        <v>0.0</v>
      </c>
      <c r="L14194" s="382">
        <v>1.0</v>
      </c>
    </row>
    <row r="14195">
      <c r="A14195" s="380" t="s">
        <v>15069</v>
      </c>
      <c r="B14195" s="380" t="str">
        <f>IFERROR(__xludf.DUMMYFUNCTION("""COMPUTED_VALUE"""),"Tapa De Seguridad Nose Over")</f>
        <v>Tapa De Seguridad Nose Over</v>
      </c>
      <c r="C14195" s="380" t="str">
        <f>IFERROR(__xludf.DUMMYFUNCTION("""COMPUTED_VALUE"""),"80000534")</f>
        <v>80000534</v>
      </c>
      <c r="D14195" s="380" t="s">
        <v>767</v>
      </c>
      <c r="E14195" s="380" t="s">
        <v>776</v>
      </c>
      <c r="F14195" s="380" t="s">
        <v>976</v>
      </c>
      <c r="G14195" s="380" t="s">
        <v>1267</v>
      </c>
      <c r="H14195" s="380" t="s">
        <v>771</v>
      </c>
      <c r="I14195" s="380" t="s">
        <v>788</v>
      </c>
      <c r="J14195" s="380" t="s">
        <v>773</v>
      </c>
      <c r="K14195" s="381">
        <v>0.0</v>
      </c>
      <c r="L14195" s="382">
        <v>1.0</v>
      </c>
    </row>
    <row r="14196">
      <c r="A14196" s="380" t="s">
        <v>15070</v>
      </c>
      <c r="B14196" s="380" t="str">
        <f>IFERROR(__xludf.DUMMYFUNCTION("""COMPUTED_VALUE"""),"Rueda Deslizamiento Curva Cade")</f>
        <v>Rueda Deslizamiento Curva Cade</v>
      </c>
      <c r="C14196" s="380" t="str">
        <f>IFERROR(__xludf.DUMMYFUNCTION("""COMPUTED_VALUE"""),"80000535")</f>
        <v>80000535</v>
      </c>
      <c r="D14196" s="380" t="s">
        <v>767</v>
      </c>
      <c r="E14196" s="380" t="s">
        <v>776</v>
      </c>
      <c r="F14196" s="380" t="s">
        <v>976</v>
      </c>
      <c r="G14196" s="380" t="s">
        <v>1267</v>
      </c>
      <c r="H14196" s="380" t="s">
        <v>771</v>
      </c>
      <c r="I14196" s="380" t="s">
        <v>788</v>
      </c>
      <c r="J14196" s="380" t="s">
        <v>773</v>
      </c>
      <c r="K14196" s="381">
        <v>0.0</v>
      </c>
      <c r="L14196" s="382">
        <v>1.0</v>
      </c>
    </row>
    <row r="14197">
      <c r="A14197" s="380" t="s">
        <v>15071</v>
      </c>
      <c r="B14197" s="380" t="str">
        <f>IFERROR(__xludf.DUMMYFUNCTION("""COMPUTED_VALUE"""),"Eje Rueda Deslizamiento Curva")</f>
        <v>Eje Rueda Deslizamiento Curva</v>
      </c>
      <c r="C14197" s="380" t="str">
        <f>IFERROR(__xludf.DUMMYFUNCTION("""COMPUTED_VALUE"""),"80000536")</f>
        <v>80000536</v>
      </c>
      <c r="D14197" s="380" t="s">
        <v>767</v>
      </c>
      <c r="E14197" s="380" t="s">
        <v>776</v>
      </c>
      <c r="F14197" s="380" t="s">
        <v>976</v>
      </c>
      <c r="G14197" s="380" t="s">
        <v>1267</v>
      </c>
      <c r="H14197" s="380" t="s">
        <v>771</v>
      </c>
      <c r="I14197" s="380" t="s">
        <v>788</v>
      </c>
      <c r="J14197" s="380" t="s">
        <v>773</v>
      </c>
      <c r="K14197" s="381">
        <v>0.0</v>
      </c>
      <c r="L14197" s="382">
        <v>1.0</v>
      </c>
    </row>
    <row r="14198">
      <c r="A14198" s="380" t="s">
        <v>15072</v>
      </c>
      <c r="B14198" s="380" t="str">
        <f>IFERROR(__xludf.DUMMYFUNCTION("""COMPUTED_VALUE"""),"Tambor Motriz Bandas Cortas If")</f>
        <v>Tambor Motriz Bandas Cortas If</v>
      </c>
      <c r="C14198" s="380" t="str">
        <f>IFERROR(__xludf.DUMMYFUNCTION("""COMPUTED_VALUE"""),"80000537")</f>
        <v>80000537</v>
      </c>
      <c r="D14198" s="380" t="s">
        <v>767</v>
      </c>
      <c r="E14198" s="380" t="s">
        <v>776</v>
      </c>
      <c r="F14198" s="380" t="s">
        <v>976</v>
      </c>
      <c r="G14198" s="380" t="s">
        <v>1267</v>
      </c>
      <c r="H14198" s="380" t="s">
        <v>771</v>
      </c>
      <c r="I14198" s="380" t="s">
        <v>788</v>
      </c>
      <c r="J14198" s="380" t="s">
        <v>773</v>
      </c>
      <c r="K14198" s="381">
        <v>0.0</v>
      </c>
      <c r="L14198" s="382">
        <v>1.0</v>
      </c>
    </row>
    <row r="14199">
      <c r="A14199" s="380" t="s">
        <v>15073</v>
      </c>
      <c r="B14199" s="380" t="str">
        <f>IFERROR(__xludf.DUMMYFUNCTION("""COMPUTED_VALUE"""),"Polea Motriz Vulcanizada")</f>
        <v>Polea Motriz Vulcanizada</v>
      </c>
      <c r="C14199" s="380" t="str">
        <f>IFERROR(__xludf.DUMMYFUNCTION("""COMPUTED_VALUE"""),"80000538")</f>
        <v>80000538</v>
      </c>
      <c r="D14199" s="380" t="s">
        <v>767</v>
      </c>
      <c r="E14199" s="380" t="s">
        <v>776</v>
      </c>
      <c r="F14199" s="380" t="s">
        <v>976</v>
      </c>
      <c r="G14199" s="380" t="s">
        <v>1267</v>
      </c>
      <c r="H14199" s="380" t="s">
        <v>771</v>
      </c>
      <c r="I14199" s="380" t="s">
        <v>788</v>
      </c>
      <c r="J14199" s="380" t="s">
        <v>773</v>
      </c>
      <c r="K14199" s="381">
        <v>0.0</v>
      </c>
      <c r="L14199" s="382">
        <v>1.0</v>
      </c>
    </row>
    <row r="14200">
      <c r="A14200" s="380" t="s">
        <v>15074</v>
      </c>
      <c r="B14200" s="380" t="str">
        <f>IFERROR(__xludf.DUMMYFUNCTION("""COMPUTED_VALUE"""),"Cadena Para Rodillos Take Up B")</f>
        <v>Cadena Para Rodillos Take Up B</v>
      </c>
      <c r="C14200" s="380" t="str">
        <f>IFERROR(__xludf.DUMMYFUNCTION("""COMPUTED_VALUE"""),"80000539")</f>
        <v>80000539</v>
      </c>
      <c r="D14200" s="380" t="s">
        <v>767</v>
      </c>
      <c r="E14200" s="380" t="s">
        <v>776</v>
      </c>
      <c r="F14200" s="380" t="s">
        <v>976</v>
      </c>
      <c r="G14200" s="380" t="s">
        <v>1267</v>
      </c>
      <c r="H14200" s="380" t="s">
        <v>771</v>
      </c>
      <c r="I14200" s="380" t="s">
        <v>788</v>
      </c>
      <c r="J14200" s="380" t="s">
        <v>773</v>
      </c>
      <c r="K14200" s="381">
        <v>0.0</v>
      </c>
      <c r="L14200" s="382">
        <v>1.0</v>
      </c>
    </row>
    <row r="14201">
      <c r="A14201" s="380" t="s">
        <v>15075</v>
      </c>
      <c r="B14201" s="380" t="str">
        <f>IFERROR(__xludf.DUMMYFUNCTION("""COMPUTED_VALUE"""),"Cadena Para Rodillos Take Up B")</f>
        <v>Cadena Para Rodillos Take Up B</v>
      </c>
      <c r="C14201" s="380" t="str">
        <f>IFERROR(__xludf.DUMMYFUNCTION("""COMPUTED_VALUE"""),"80000540")</f>
        <v>80000540</v>
      </c>
      <c r="D14201" s="380" t="s">
        <v>767</v>
      </c>
      <c r="E14201" s="380" t="s">
        <v>776</v>
      </c>
      <c r="F14201" s="380" t="s">
        <v>976</v>
      </c>
      <c r="G14201" s="380" t="s">
        <v>1267</v>
      </c>
      <c r="H14201" s="380" t="s">
        <v>771</v>
      </c>
      <c r="I14201" s="380" t="s">
        <v>788</v>
      </c>
      <c r="J14201" s="380" t="s">
        <v>773</v>
      </c>
      <c r="K14201" s="381">
        <v>0.0</v>
      </c>
      <c r="L14201" s="382">
        <v>1.0</v>
      </c>
    </row>
    <row r="14202">
      <c r="A14202" s="380" t="s">
        <v>15076</v>
      </c>
      <c r="B14202" s="380" t="str">
        <f>IFERROR(__xludf.DUMMYFUNCTION("""COMPUTED_VALUE"""),"Cadena Para Rodillos Take Up B")</f>
        <v>Cadena Para Rodillos Take Up B</v>
      </c>
      <c r="C14202" s="380" t="str">
        <f>IFERROR(__xludf.DUMMYFUNCTION("""COMPUTED_VALUE"""),"80000541")</f>
        <v>80000541</v>
      </c>
      <c r="D14202" s="380" t="s">
        <v>767</v>
      </c>
      <c r="E14202" s="380" t="s">
        <v>776</v>
      </c>
      <c r="F14202" s="380" t="s">
        <v>976</v>
      </c>
      <c r="G14202" s="380" t="s">
        <v>1267</v>
      </c>
      <c r="H14202" s="380" t="s">
        <v>771</v>
      </c>
      <c r="I14202" s="380" t="s">
        <v>788</v>
      </c>
      <c r="J14202" s="380" t="s">
        <v>773</v>
      </c>
      <c r="K14202" s="381">
        <v>0.0</v>
      </c>
      <c r="L14202" s="382">
        <v>1.0</v>
      </c>
    </row>
    <row r="14203">
      <c r="A14203" s="380" t="s">
        <v>15077</v>
      </c>
      <c r="B14203" s="380" t="str">
        <f>IFERROR(__xludf.DUMMYFUNCTION("""COMPUTED_VALUE"""),"Cadena Para Rodillos Take Up B")</f>
        <v>Cadena Para Rodillos Take Up B</v>
      </c>
      <c r="C14203" s="380" t="str">
        <f>IFERROR(__xludf.DUMMYFUNCTION("""COMPUTED_VALUE"""),"80000542")</f>
        <v>80000542</v>
      </c>
      <c r="D14203" s="380" t="s">
        <v>767</v>
      </c>
      <c r="E14203" s="380" t="s">
        <v>776</v>
      </c>
      <c r="F14203" s="380" t="s">
        <v>976</v>
      </c>
      <c r="G14203" s="380" t="s">
        <v>1267</v>
      </c>
      <c r="H14203" s="380" t="s">
        <v>771</v>
      </c>
      <c r="I14203" s="380" t="s">
        <v>788</v>
      </c>
      <c r="J14203" s="380" t="s">
        <v>773</v>
      </c>
      <c r="K14203" s="381">
        <v>0.0</v>
      </c>
      <c r="L14203" s="382">
        <v>1.0</v>
      </c>
    </row>
    <row r="14204">
      <c r="A14204" s="380" t="s">
        <v>15078</v>
      </c>
      <c r="B14204" s="380" t="str">
        <f>IFERROR(__xludf.DUMMYFUNCTION("""COMPUTED_VALUE"""),"Rodillo Guiado D71 Bf")</f>
        <v>Rodillo Guiado D71 Bf</v>
      </c>
      <c r="C14204" s="380" t="str">
        <f>IFERROR(__xludf.DUMMYFUNCTION("""COMPUTED_VALUE"""),"80000543")</f>
        <v>80000543</v>
      </c>
      <c r="D14204" s="380" t="s">
        <v>767</v>
      </c>
      <c r="E14204" s="380" t="s">
        <v>776</v>
      </c>
      <c r="F14204" s="380" t="s">
        <v>976</v>
      </c>
      <c r="G14204" s="380" t="s">
        <v>1267</v>
      </c>
      <c r="H14204" s="380" t="s">
        <v>771</v>
      </c>
      <c r="I14204" s="380" t="s">
        <v>788</v>
      </c>
      <c r="J14204" s="380" t="s">
        <v>773</v>
      </c>
      <c r="K14204" s="381">
        <v>0.0</v>
      </c>
      <c r="L14204" s="382">
        <v>1.0</v>
      </c>
    </row>
    <row r="14205">
      <c r="A14205" s="380" t="s">
        <v>15079</v>
      </c>
      <c r="B14205" s="380" t="str">
        <f>IFERROR(__xludf.DUMMYFUNCTION("""COMPUTED_VALUE"""),"Rodillo Guiado D71 Bm")</f>
        <v>Rodillo Guiado D71 Bm</v>
      </c>
      <c r="C14205" s="380" t="str">
        <f>IFERROR(__xludf.DUMMYFUNCTION("""COMPUTED_VALUE"""),"80000544")</f>
        <v>80000544</v>
      </c>
      <c r="D14205" s="380" t="s">
        <v>767</v>
      </c>
      <c r="E14205" s="380" t="s">
        <v>776</v>
      </c>
      <c r="F14205" s="380" t="s">
        <v>976</v>
      </c>
      <c r="G14205" s="380" t="s">
        <v>1267</v>
      </c>
      <c r="H14205" s="380" t="s">
        <v>771</v>
      </c>
      <c r="I14205" s="380" t="s">
        <v>788</v>
      </c>
      <c r="J14205" s="380" t="s">
        <v>773</v>
      </c>
      <c r="K14205" s="381">
        <v>0.0</v>
      </c>
      <c r="L14205" s="382">
        <v>1.0</v>
      </c>
    </row>
    <row r="14206">
      <c r="A14206" s="380" t="s">
        <v>15080</v>
      </c>
      <c r="B14206" s="380" t="str">
        <f>IFERROR(__xludf.DUMMYFUNCTION("""COMPUTED_VALUE"""),"Rueda D50X16 Con Adaptador Int")</f>
        <v>Rueda D50X16 Con Adaptador Int</v>
      </c>
      <c r="C14206" s="380" t="str">
        <f>IFERROR(__xludf.DUMMYFUNCTION("""COMPUTED_VALUE"""),"80000545")</f>
        <v>80000545</v>
      </c>
      <c r="D14206" s="380" t="s">
        <v>767</v>
      </c>
      <c r="E14206" s="380" t="s">
        <v>776</v>
      </c>
      <c r="F14206" s="380" t="s">
        <v>976</v>
      </c>
      <c r="G14206" s="380" t="s">
        <v>1267</v>
      </c>
      <c r="H14206" s="380" t="s">
        <v>771</v>
      </c>
      <c r="I14206" s="380" t="s">
        <v>788</v>
      </c>
      <c r="J14206" s="380" t="s">
        <v>773</v>
      </c>
      <c r="K14206" s="381">
        <v>0.0</v>
      </c>
      <c r="L14206" s="382">
        <v>1.0</v>
      </c>
    </row>
    <row r="14207">
      <c r="A14207" s="380" t="s">
        <v>15081</v>
      </c>
      <c r="B14207" s="380" t="str">
        <f>IFERROR(__xludf.DUMMYFUNCTION("""COMPUTED_VALUE"""),"Rodillo Tensor D72 Bf")</f>
        <v>Rodillo Tensor D72 Bf</v>
      </c>
      <c r="C14207" s="380" t="str">
        <f>IFERROR(__xludf.DUMMYFUNCTION("""COMPUTED_VALUE"""),"80000546")</f>
        <v>80000546</v>
      </c>
      <c r="D14207" s="380" t="s">
        <v>767</v>
      </c>
      <c r="E14207" s="380" t="s">
        <v>776</v>
      </c>
      <c r="F14207" s="380" t="s">
        <v>976</v>
      </c>
      <c r="G14207" s="380" t="s">
        <v>1267</v>
      </c>
      <c r="H14207" s="380" t="s">
        <v>771</v>
      </c>
      <c r="I14207" s="380" t="s">
        <v>788</v>
      </c>
      <c r="J14207" s="380" t="s">
        <v>773</v>
      </c>
      <c r="K14207" s="381">
        <v>0.0</v>
      </c>
      <c r="L14207" s="382">
        <v>1.0</v>
      </c>
    </row>
    <row r="14208">
      <c r="A14208" s="380" t="s">
        <v>15082</v>
      </c>
      <c r="B14208" s="380" t="str">
        <f>IFERROR(__xludf.DUMMYFUNCTION("""COMPUTED_VALUE"""),"Rodillo Guiado D20 Bf")</f>
        <v>Rodillo Guiado D20 Bf</v>
      </c>
      <c r="C14208" s="380" t="str">
        <f>IFERROR(__xludf.DUMMYFUNCTION("""COMPUTED_VALUE"""),"80000547")</f>
        <v>80000547</v>
      </c>
      <c r="D14208" s="380" t="s">
        <v>767</v>
      </c>
      <c r="E14208" s="380" t="s">
        <v>776</v>
      </c>
      <c r="F14208" s="380" t="s">
        <v>976</v>
      </c>
      <c r="G14208" s="380" t="s">
        <v>1267</v>
      </c>
      <c r="H14208" s="380" t="s">
        <v>771</v>
      </c>
      <c r="I14208" s="380" t="s">
        <v>788</v>
      </c>
      <c r="J14208" s="380" t="s">
        <v>773</v>
      </c>
      <c r="K14208" s="381">
        <v>0.0</v>
      </c>
      <c r="L14208" s="382">
        <v>1.0</v>
      </c>
    </row>
    <row r="14209">
      <c r="A14209" s="380" t="s">
        <v>15083</v>
      </c>
      <c r="B14209" s="380" t="str">
        <f>IFERROR(__xludf.DUMMYFUNCTION("""COMPUTED_VALUE"""),"Rodillo Guiado D70 W1500 Power")</f>
        <v>Rodillo Guiado D70 W1500 Power</v>
      </c>
      <c r="C14209" s="380" t="str">
        <f>IFERROR(__xludf.DUMMYFUNCTION("""COMPUTED_VALUE"""),"80000548")</f>
        <v>80000548</v>
      </c>
      <c r="D14209" s="380" t="s">
        <v>767</v>
      </c>
      <c r="E14209" s="380" t="s">
        <v>776</v>
      </c>
      <c r="F14209" s="380" t="s">
        <v>976</v>
      </c>
      <c r="G14209" s="380" t="s">
        <v>1267</v>
      </c>
      <c r="H14209" s="380" t="s">
        <v>771</v>
      </c>
      <c r="I14209" s="380" t="s">
        <v>788</v>
      </c>
      <c r="J14209" s="380" t="s">
        <v>773</v>
      </c>
      <c r="K14209" s="381">
        <v>0.0</v>
      </c>
      <c r="L14209" s="382">
        <v>1.0</v>
      </c>
    </row>
    <row r="14210">
      <c r="A14210" s="380" t="s">
        <v>15084</v>
      </c>
      <c r="B14210" s="380" t="str">
        <f>IFERROR(__xludf.DUMMYFUNCTION("""COMPUTED_VALUE"""),"Polea Tensora D205 Mm")</f>
        <v>Polea Tensora D205 Mm</v>
      </c>
      <c r="C14210" s="380" t="str">
        <f>IFERROR(__xludf.DUMMYFUNCTION("""COMPUTED_VALUE"""),"80000549")</f>
        <v>80000549</v>
      </c>
      <c r="D14210" s="380" t="s">
        <v>767</v>
      </c>
      <c r="E14210" s="380" t="s">
        <v>776</v>
      </c>
      <c r="F14210" s="380" t="s">
        <v>976</v>
      </c>
      <c r="G14210" s="380" t="s">
        <v>1267</v>
      </c>
      <c r="H14210" s="380" t="s">
        <v>771</v>
      </c>
      <c r="I14210" s="380" t="s">
        <v>788</v>
      </c>
      <c r="J14210" s="380" t="s">
        <v>773</v>
      </c>
      <c r="K14210" s="381">
        <v>0.0</v>
      </c>
      <c r="L14210" s="382">
        <v>1.0</v>
      </c>
    </row>
    <row r="14211">
      <c r="A14211" s="380" t="s">
        <v>15085</v>
      </c>
      <c r="B14211" s="380" t="str">
        <f>IFERROR(__xludf.DUMMYFUNCTION("""COMPUTED_VALUE"""),"Polea Transmision D60X50 Agl=5")</f>
        <v>Polea Transmision D60X50 Agl=5</v>
      </c>
      <c r="C14211" s="380" t="str">
        <f>IFERROR(__xludf.DUMMYFUNCTION("""COMPUTED_VALUE"""),"80000550")</f>
        <v>80000550</v>
      </c>
      <c r="D14211" s="380" t="s">
        <v>767</v>
      </c>
      <c r="E14211" s="380" t="s">
        <v>776</v>
      </c>
      <c r="F14211" s="380" t="s">
        <v>976</v>
      </c>
      <c r="G14211" s="380" t="s">
        <v>1267</v>
      </c>
      <c r="H14211" s="380" t="s">
        <v>771</v>
      </c>
      <c r="I14211" s="380" t="s">
        <v>788</v>
      </c>
      <c r="J14211" s="380" t="s">
        <v>773</v>
      </c>
      <c r="K14211" s="381">
        <v>0.0</v>
      </c>
      <c r="L14211" s="382">
        <v>1.0</v>
      </c>
    </row>
    <row r="14212">
      <c r="A14212" s="380" t="s">
        <v>15086</v>
      </c>
      <c r="B14212" s="380" t="str">
        <f>IFERROR(__xludf.DUMMYFUNCTION("""COMPUTED_VALUE"""),"Polea Transmision D60X50 Agl=4")</f>
        <v>Polea Transmision D60X50 Agl=4</v>
      </c>
      <c r="C14212" s="380" t="str">
        <f>IFERROR(__xludf.DUMMYFUNCTION("""COMPUTED_VALUE"""),"80000551")</f>
        <v>80000551</v>
      </c>
      <c r="D14212" s="380" t="s">
        <v>767</v>
      </c>
      <c r="E14212" s="380" t="s">
        <v>776</v>
      </c>
      <c r="F14212" s="380" t="s">
        <v>976</v>
      </c>
      <c r="G14212" s="380" t="s">
        <v>1267</v>
      </c>
      <c r="H14212" s="380" t="s">
        <v>771</v>
      </c>
      <c r="I14212" s="380" t="s">
        <v>788</v>
      </c>
      <c r="J14212" s="380" t="s">
        <v>773</v>
      </c>
      <c r="K14212" s="381">
        <v>0.0</v>
      </c>
      <c r="L14212" s="382">
        <v>1.0</v>
      </c>
    </row>
    <row r="14213">
      <c r="A14213" s="380" t="s">
        <v>15087</v>
      </c>
      <c r="B14213" s="380" t="str">
        <f>IFERROR(__xludf.DUMMYFUNCTION("""COMPUTED_VALUE"""),"Lama Loop Hipodromo")</f>
        <v>Lama Loop Hipodromo</v>
      </c>
      <c r="C14213" s="380" t="str">
        <f>IFERROR(__xludf.DUMMYFUNCTION("""COMPUTED_VALUE"""),"80000552")</f>
        <v>80000552</v>
      </c>
      <c r="D14213" s="380" t="s">
        <v>767</v>
      </c>
      <c r="E14213" s="380" t="s">
        <v>776</v>
      </c>
      <c r="F14213" s="380" t="s">
        <v>976</v>
      </c>
      <c r="G14213" s="380" t="s">
        <v>1267</v>
      </c>
      <c r="H14213" s="380" t="s">
        <v>771</v>
      </c>
      <c r="I14213" s="380" t="s">
        <v>788</v>
      </c>
      <c r="J14213" s="380" t="s">
        <v>773</v>
      </c>
      <c r="K14213" s="381">
        <v>0.0</v>
      </c>
      <c r="L14213" s="382">
        <v>1.0</v>
      </c>
    </row>
    <row r="14214">
      <c r="A14214" s="380" t="s">
        <v>15088</v>
      </c>
      <c r="B14214" s="380" t="str">
        <f>IFERROR(__xludf.DUMMYFUNCTION("""COMPUTED_VALUE"""),"Tira Imanes Carros Sorter")</f>
        <v>Tira Imanes Carros Sorter</v>
      </c>
      <c r="C14214" s="380" t="str">
        <f>IFERROR(__xludf.DUMMYFUNCTION("""COMPUTED_VALUE"""),"80000553")</f>
        <v>80000553</v>
      </c>
      <c r="D14214" s="380" t="s">
        <v>767</v>
      </c>
      <c r="E14214" s="380" t="s">
        <v>776</v>
      </c>
      <c r="F14214" s="380" t="s">
        <v>1058</v>
      </c>
      <c r="G14214" s="380" t="s">
        <v>1267</v>
      </c>
      <c r="H14214" s="380" t="s">
        <v>771</v>
      </c>
      <c r="I14214" s="380" t="s">
        <v>788</v>
      </c>
      <c r="J14214" s="380" t="s">
        <v>773</v>
      </c>
      <c r="K14214" s="381">
        <v>0.0</v>
      </c>
      <c r="L14214" s="382">
        <v>1.0</v>
      </c>
    </row>
    <row r="14215">
      <c r="A14215" s="380" t="s">
        <v>15089</v>
      </c>
      <c r="B14215" s="380" t="str">
        <f>IFERROR(__xludf.DUMMYFUNCTION("""COMPUTED_VALUE"""),"Rueda Convexa D100X25")</f>
        <v>Rueda Convexa D100X25</v>
      </c>
      <c r="C14215" s="380" t="str">
        <f>IFERROR(__xludf.DUMMYFUNCTION("""COMPUTED_VALUE"""),"80000554")</f>
        <v>80000554</v>
      </c>
      <c r="D14215" s="380" t="s">
        <v>767</v>
      </c>
      <c r="E14215" s="380" t="s">
        <v>776</v>
      </c>
      <c r="F14215" s="380" t="s">
        <v>976</v>
      </c>
      <c r="G14215" s="380" t="s">
        <v>1267</v>
      </c>
      <c r="H14215" s="380" t="s">
        <v>771</v>
      </c>
      <c r="I14215" s="380" t="s">
        <v>788</v>
      </c>
      <c r="J14215" s="380" t="s">
        <v>773</v>
      </c>
      <c r="K14215" s="381">
        <v>0.0</v>
      </c>
      <c r="L14215" s="382">
        <v>1.0</v>
      </c>
    </row>
    <row r="14216">
      <c r="A14216" s="380" t="s">
        <v>15090</v>
      </c>
      <c r="B14216" s="380" t="str">
        <f>IFERROR(__xludf.DUMMYFUNCTION("""COMPUTED_VALUE"""),"Soporte Rueda Carrier")</f>
        <v>Soporte Rueda Carrier</v>
      </c>
      <c r="C14216" s="380" t="str">
        <f>IFERROR(__xludf.DUMMYFUNCTION("""COMPUTED_VALUE"""),"80000555")</f>
        <v>80000555</v>
      </c>
      <c r="D14216" s="380" t="s">
        <v>767</v>
      </c>
      <c r="E14216" s="380" t="s">
        <v>776</v>
      </c>
      <c r="F14216" s="380" t="s">
        <v>976</v>
      </c>
      <c r="G14216" s="380" t="s">
        <v>1267</v>
      </c>
      <c r="H14216" s="380" t="s">
        <v>771</v>
      </c>
      <c r="I14216" s="380" t="s">
        <v>788</v>
      </c>
      <c r="J14216" s="380" t="s">
        <v>773</v>
      </c>
      <c r="K14216" s="381">
        <v>0.0</v>
      </c>
      <c r="L14216" s="382">
        <v>1.0</v>
      </c>
    </row>
    <row r="14217">
      <c r="A14217" s="380" t="s">
        <v>15091</v>
      </c>
      <c r="B14217" s="380" t="str">
        <f>IFERROR(__xludf.DUMMYFUNCTION("""COMPUTED_VALUE"""),"Perfil Proteccion Tira Imanes")</f>
        <v>Perfil Proteccion Tira Imanes</v>
      </c>
      <c r="C14217" s="380" t="str">
        <f>IFERROR(__xludf.DUMMYFUNCTION("""COMPUTED_VALUE"""),"80000556")</f>
        <v>80000556</v>
      </c>
      <c r="D14217" s="380" t="s">
        <v>767</v>
      </c>
      <c r="E14217" s="380" t="s">
        <v>776</v>
      </c>
      <c r="F14217" s="380" t="s">
        <v>976</v>
      </c>
      <c r="G14217" s="380" t="s">
        <v>1267</v>
      </c>
      <c r="H14217" s="380" t="s">
        <v>771</v>
      </c>
      <c r="I14217" s="380" t="s">
        <v>788</v>
      </c>
      <c r="J14217" s="380" t="s">
        <v>773</v>
      </c>
      <c r="K14217" s="381">
        <v>0.0</v>
      </c>
      <c r="L14217" s="382">
        <v>1.0</v>
      </c>
    </row>
    <row r="14218">
      <c r="A14218" s="380" t="s">
        <v>15092</v>
      </c>
      <c r="B14218" s="380" t="str">
        <f>IFERROR(__xludf.DUMMYFUNCTION("""COMPUTED_VALUE"""),"Brazo De Reaccion Motores")</f>
        <v>Brazo De Reaccion Motores</v>
      </c>
      <c r="C14218" s="380" t="str">
        <f>IFERROR(__xludf.DUMMYFUNCTION("""COMPUTED_VALUE"""),"80000557")</f>
        <v>80000557</v>
      </c>
      <c r="D14218" s="380" t="s">
        <v>767</v>
      </c>
      <c r="E14218" s="380" t="s">
        <v>776</v>
      </c>
      <c r="F14218" s="380" t="s">
        <v>976</v>
      </c>
      <c r="G14218" s="380" t="s">
        <v>1267</v>
      </c>
      <c r="H14218" s="380" t="s">
        <v>771</v>
      </c>
      <c r="I14218" s="380" t="s">
        <v>788</v>
      </c>
      <c r="J14218" s="380" t="s">
        <v>773</v>
      </c>
      <c r="K14218" s="381">
        <v>0.0</v>
      </c>
      <c r="L14218" s="382">
        <v>1.0</v>
      </c>
    </row>
    <row r="14219">
      <c r="A14219" s="380" t="s">
        <v>15093</v>
      </c>
      <c r="B14219" s="380" t="str">
        <f>IFERROR(__xludf.DUMMYFUNCTION("""COMPUTED_VALUE"""),"Tambor Motriz D100 Bfcd900")</f>
        <v>Tambor Motriz D100 Bfcd900</v>
      </c>
      <c r="C14219" s="380" t="str">
        <f>IFERROR(__xludf.DUMMYFUNCTION("""COMPUTED_VALUE"""),"80000558")</f>
        <v>80000558</v>
      </c>
      <c r="D14219" s="380" t="s">
        <v>767</v>
      </c>
      <c r="E14219" s="380" t="s">
        <v>776</v>
      </c>
      <c r="F14219" s="380" t="s">
        <v>976</v>
      </c>
      <c r="G14219" s="380" t="s">
        <v>1267</v>
      </c>
      <c r="H14219" s="380" t="s">
        <v>771</v>
      </c>
      <c r="I14219" s="380" t="s">
        <v>788</v>
      </c>
      <c r="J14219" s="380" t="s">
        <v>773</v>
      </c>
      <c r="K14219" s="381">
        <v>0.0</v>
      </c>
      <c r="L14219" s="382">
        <v>1.0</v>
      </c>
    </row>
    <row r="14220">
      <c r="A14220" s="380" t="s">
        <v>15094</v>
      </c>
      <c r="B14220" s="380" t="str">
        <f>IFERROR(__xludf.DUMMYFUNCTION("""COMPUTED_VALUE"""),"Rodillo Extremo Etu Bf D75")</f>
        <v>Rodillo Extremo Etu Bf D75</v>
      </c>
      <c r="C14220" s="380" t="str">
        <f>IFERROR(__xludf.DUMMYFUNCTION("""COMPUTED_VALUE"""),"80000559")</f>
        <v>80000559</v>
      </c>
      <c r="D14220" s="380" t="s">
        <v>767</v>
      </c>
      <c r="E14220" s="380" t="s">
        <v>776</v>
      </c>
      <c r="F14220" s="380" t="s">
        <v>976</v>
      </c>
      <c r="G14220" s="380" t="s">
        <v>1267</v>
      </c>
      <c r="H14220" s="380" t="s">
        <v>771</v>
      </c>
      <c r="I14220" s="380" t="s">
        <v>788</v>
      </c>
      <c r="J14220" s="380" t="s">
        <v>773</v>
      </c>
      <c r="K14220" s="381">
        <v>0.0</v>
      </c>
      <c r="L14220" s="382">
        <v>1.0</v>
      </c>
    </row>
    <row r="14221">
      <c r="A14221" s="380" t="s">
        <v>15095</v>
      </c>
      <c r="B14221" s="380" t="str">
        <f>IFERROR(__xludf.DUMMYFUNCTION("""COMPUTED_VALUE"""),"Tambor Motriz D75 Power Feeder")</f>
        <v>Tambor Motriz D75 Power Feeder</v>
      </c>
      <c r="C14221" s="380" t="str">
        <f>IFERROR(__xludf.DUMMYFUNCTION("""COMPUTED_VALUE"""),"80000560")</f>
        <v>80000560</v>
      </c>
      <c r="D14221" s="380" t="s">
        <v>767</v>
      </c>
      <c r="E14221" s="380" t="s">
        <v>776</v>
      </c>
      <c r="F14221" s="380" t="s">
        <v>976</v>
      </c>
      <c r="G14221" s="380" t="s">
        <v>1267</v>
      </c>
      <c r="H14221" s="380" t="s">
        <v>771</v>
      </c>
      <c r="I14221" s="380" t="s">
        <v>788</v>
      </c>
      <c r="J14221" s="380" t="s">
        <v>773</v>
      </c>
      <c r="K14221" s="381">
        <v>0.0</v>
      </c>
      <c r="L14221" s="382">
        <v>1.0</v>
      </c>
    </row>
    <row r="14222">
      <c r="A14222" s="380" t="s">
        <v>15096</v>
      </c>
      <c r="B14222" s="380" t="str">
        <f>IFERROR(__xludf.DUMMYFUNCTION("""COMPUTED_VALUE"""),"Anillo Separador Mototambor D1")</f>
        <v>Anillo Separador Mototambor D1</v>
      </c>
      <c r="C14222" s="380" t="str">
        <f>IFERROR(__xludf.DUMMYFUNCTION("""COMPUTED_VALUE"""),"80000561")</f>
        <v>80000561</v>
      </c>
      <c r="D14222" s="380" t="s">
        <v>767</v>
      </c>
      <c r="E14222" s="380" t="s">
        <v>776</v>
      </c>
      <c r="F14222" s="380" t="s">
        <v>976</v>
      </c>
      <c r="G14222" s="380" t="s">
        <v>1267</v>
      </c>
      <c r="H14222" s="380" t="s">
        <v>771</v>
      </c>
      <c r="I14222" s="380" t="s">
        <v>788</v>
      </c>
      <c r="J14222" s="380" t="s">
        <v>773</v>
      </c>
      <c r="K14222" s="381">
        <v>0.0</v>
      </c>
      <c r="L14222" s="382">
        <v>1.0</v>
      </c>
    </row>
    <row r="14223">
      <c r="A14223" s="380" t="s">
        <v>15097</v>
      </c>
      <c r="B14223" s="380" t="str">
        <f>IFERROR(__xludf.DUMMYFUNCTION("""COMPUTED_VALUE"""),"Tambor Motriz D150 Bfcd1500 W1")</f>
        <v>Tambor Motriz D150 Bfcd1500 W1</v>
      </c>
      <c r="C14223" s="380" t="str">
        <f>IFERROR(__xludf.DUMMYFUNCTION("""COMPUTED_VALUE"""),"80000562")</f>
        <v>80000562</v>
      </c>
      <c r="D14223" s="380" t="s">
        <v>767</v>
      </c>
      <c r="E14223" s="380" t="s">
        <v>776</v>
      </c>
      <c r="F14223" s="380" t="s">
        <v>976</v>
      </c>
      <c r="G14223" s="380" t="s">
        <v>1267</v>
      </c>
      <c r="H14223" s="380" t="s">
        <v>771</v>
      </c>
      <c r="I14223" s="380" t="s">
        <v>788</v>
      </c>
      <c r="J14223" s="380" t="s">
        <v>773</v>
      </c>
      <c r="K14223" s="381">
        <v>0.0</v>
      </c>
      <c r="L14223" s="382">
        <v>1.0</v>
      </c>
    </row>
    <row r="14224">
      <c r="A14224" s="380" t="s">
        <v>15098</v>
      </c>
      <c r="B14224" s="380" t="str">
        <f>IFERROR(__xludf.DUMMYFUNCTION("""COMPUTED_VALUE"""),"Tambor Motriz D150 Bfcd1500 W1")</f>
        <v>Tambor Motriz D150 Bfcd1500 W1</v>
      </c>
      <c r="C14224" s="380" t="str">
        <f>IFERROR(__xludf.DUMMYFUNCTION("""COMPUTED_VALUE"""),"80000563")</f>
        <v>80000563</v>
      </c>
      <c r="D14224" s="380" t="s">
        <v>767</v>
      </c>
      <c r="E14224" s="380" t="s">
        <v>776</v>
      </c>
      <c r="F14224" s="380" t="s">
        <v>976</v>
      </c>
      <c r="G14224" s="380" t="s">
        <v>1267</v>
      </c>
      <c r="H14224" s="380" t="s">
        <v>771</v>
      </c>
      <c r="I14224" s="380" t="s">
        <v>788</v>
      </c>
      <c r="J14224" s="380" t="s">
        <v>773</v>
      </c>
      <c r="K14224" s="381">
        <v>0.0</v>
      </c>
      <c r="L14224" s="382">
        <v>1.0</v>
      </c>
    </row>
    <row r="14225">
      <c r="A14225" s="380" t="s">
        <v>15099</v>
      </c>
      <c r="B14225" s="380" t="str">
        <f>IFERROR(__xludf.DUMMYFUNCTION("""COMPUTED_VALUE"""),"Medidor Altura Bf")</f>
        <v>Medidor Altura Bf</v>
      </c>
      <c r="C14225" s="380" t="str">
        <f>IFERROR(__xludf.DUMMYFUNCTION("""COMPUTED_VALUE"""),"80000564")</f>
        <v>80000564</v>
      </c>
      <c r="D14225" s="380" t="s">
        <v>767</v>
      </c>
      <c r="E14225" s="380" t="s">
        <v>776</v>
      </c>
      <c r="F14225" s="380" t="s">
        <v>1058</v>
      </c>
      <c r="G14225" s="380" t="s">
        <v>1267</v>
      </c>
      <c r="H14225" s="380" t="s">
        <v>771</v>
      </c>
      <c r="I14225" s="380" t="s">
        <v>788</v>
      </c>
      <c r="J14225" s="380" t="s">
        <v>773</v>
      </c>
      <c r="K14225" s="381">
        <v>0.0</v>
      </c>
      <c r="L14225" s="382">
        <v>1.0</v>
      </c>
    </row>
    <row r="14226">
      <c r="A14226" s="380" t="s">
        <v>15100</v>
      </c>
      <c r="B14226" s="380" t="str">
        <f>IFERROR(__xludf.DUMMYFUNCTION("""COMPUTED_VALUE"""),"Anillo Detector Bj")</f>
        <v>Anillo Detector Bj</v>
      </c>
      <c r="C14226" s="380" t="str">
        <f>IFERROR(__xludf.DUMMYFUNCTION("""COMPUTED_VALUE"""),"80000565")</f>
        <v>80000565</v>
      </c>
      <c r="D14226" s="380" t="s">
        <v>767</v>
      </c>
      <c r="E14226" s="380" t="s">
        <v>776</v>
      </c>
      <c r="F14226" s="380" t="s">
        <v>976</v>
      </c>
      <c r="G14226" s="380" t="s">
        <v>1267</v>
      </c>
      <c r="H14226" s="380" t="s">
        <v>771</v>
      </c>
      <c r="I14226" s="380" t="s">
        <v>788</v>
      </c>
      <c r="J14226" s="380" t="s">
        <v>773</v>
      </c>
      <c r="K14226" s="381">
        <v>0.0</v>
      </c>
      <c r="L14226" s="382">
        <v>1.0</v>
      </c>
    </row>
    <row r="14227">
      <c r="A14227" s="380" t="s">
        <v>15101</v>
      </c>
      <c r="B14227" s="380" t="str">
        <f>IFERROR(__xludf.DUMMYFUNCTION("""COMPUTED_VALUE"""),"Pin Centrador Bf")</f>
        <v>Pin Centrador Bf</v>
      </c>
      <c r="C14227" s="380" t="str">
        <f>IFERROR(__xludf.DUMMYFUNCTION("""COMPUTED_VALUE"""),"80000566")</f>
        <v>80000566</v>
      </c>
      <c r="D14227" s="380" t="s">
        <v>767</v>
      </c>
      <c r="E14227" s="380" t="s">
        <v>776</v>
      </c>
      <c r="F14227" s="380" t="s">
        <v>976</v>
      </c>
      <c r="G14227" s="380" t="s">
        <v>1267</v>
      </c>
      <c r="H14227" s="380" t="s">
        <v>771</v>
      </c>
      <c r="I14227" s="380" t="s">
        <v>788</v>
      </c>
      <c r="J14227" s="380" t="s">
        <v>773</v>
      </c>
      <c r="K14227" s="381">
        <v>0.0</v>
      </c>
      <c r="L14227" s="382">
        <v>1.0</v>
      </c>
    </row>
    <row r="14228">
      <c r="A14228" s="380" t="s">
        <v>15102</v>
      </c>
      <c r="B14228" s="380" t="str">
        <f>IFERROR(__xludf.DUMMYFUNCTION("""COMPUTED_VALUE"""),"Rodillo Tensor D100 Bm/Bf")</f>
        <v>Rodillo Tensor D100 Bm/Bf</v>
      </c>
      <c r="C14228" s="380" t="str">
        <f>IFERROR(__xludf.DUMMYFUNCTION("""COMPUTED_VALUE"""),"80000567")</f>
        <v>80000567</v>
      </c>
      <c r="D14228" s="380" t="s">
        <v>767</v>
      </c>
      <c r="E14228" s="380" t="s">
        <v>776</v>
      </c>
      <c r="F14228" s="380" t="s">
        <v>976</v>
      </c>
      <c r="G14228" s="380" t="s">
        <v>1267</v>
      </c>
      <c r="H14228" s="380" t="s">
        <v>771</v>
      </c>
      <c r="I14228" s="380" t="s">
        <v>788</v>
      </c>
      <c r="J14228" s="380" t="s">
        <v>773</v>
      </c>
      <c r="K14228" s="381">
        <v>0.0</v>
      </c>
      <c r="L14228" s="382">
        <v>1.0</v>
      </c>
    </row>
    <row r="14229">
      <c r="A14229" s="380" t="s">
        <v>15103</v>
      </c>
      <c r="B14229" s="380" t="str">
        <f>IFERROR(__xludf.DUMMYFUNCTION("""COMPUTED_VALUE"""),"Rodillo Reenvio D71 W=1000")</f>
        <v>Rodillo Reenvio D71 W=1000</v>
      </c>
      <c r="C14229" s="380" t="str">
        <f>IFERROR(__xludf.DUMMYFUNCTION("""COMPUTED_VALUE"""),"80000568")</f>
        <v>80000568</v>
      </c>
      <c r="D14229" s="380" t="s">
        <v>767</v>
      </c>
      <c r="E14229" s="380" t="s">
        <v>776</v>
      </c>
      <c r="F14229" s="380" t="s">
        <v>976</v>
      </c>
      <c r="G14229" s="380" t="s">
        <v>1267</v>
      </c>
      <c r="H14229" s="380" t="s">
        <v>771</v>
      </c>
      <c r="I14229" s="380" t="s">
        <v>788</v>
      </c>
      <c r="J14229" s="380" t="s">
        <v>773</v>
      </c>
      <c r="K14229" s="381">
        <v>0.0</v>
      </c>
      <c r="L14229" s="382">
        <v>1.0</v>
      </c>
    </row>
    <row r="14230">
      <c r="A14230" s="380" t="s">
        <v>15104</v>
      </c>
      <c r="B14230" s="380" t="str">
        <f>IFERROR(__xludf.DUMMYFUNCTION("""COMPUTED_VALUE"""),"Anillo Separador D230")</f>
        <v>Anillo Separador D230</v>
      </c>
      <c r="C14230" s="380" t="str">
        <f>IFERROR(__xludf.DUMMYFUNCTION("""COMPUTED_VALUE"""),"80000569")</f>
        <v>80000569</v>
      </c>
      <c r="D14230" s="380" t="s">
        <v>767</v>
      </c>
      <c r="E14230" s="380" t="s">
        <v>776</v>
      </c>
      <c r="F14230" s="380" t="s">
        <v>976</v>
      </c>
      <c r="G14230" s="380" t="s">
        <v>1267</v>
      </c>
      <c r="H14230" s="380" t="s">
        <v>771</v>
      </c>
      <c r="I14230" s="380" t="s">
        <v>788</v>
      </c>
      <c r="J14230" s="380" t="s">
        <v>773</v>
      </c>
      <c r="K14230" s="381">
        <v>0.0</v>
      </c>
      <c r="L14230" s="382">
        <v>1.0</v>
      </c>
    </row>
    <row r="14231">
      <c r="A14231" s="380" t="s">
        <v>15105</v>
      </c>
      <c r="B14231" s="380" t="str">
        <f>IFERROR(__xludf.DUMMYFUNCTION("""COMPUTED_VALUE"""),"Anillo Separador D100")</f>
        <v>Anillo Separador D100</v>
      </c>
      <c r="C14231" s="380" t="str">
        <f>IFERROR(__xludf.DUMMYFUNCTION("""COMPUTED_VALUE"""),"80000570")</f>
        <v>80000570</v>
      </c>
      <c r="D14231" s="380" t="s">
        <v>767</v>
      </c>
      <c r="E14231" s="380" t="s">
        <v>776</v>
      </c>
      <c r="F14231" s="380" t="s">
        <v>976</v>
      </c>
      <c r="G14231" s="380" t="s">
        <v>1267</v>
      </c>
      <c r="H14231" s="380" t="s">
        <v>771</v>
      </c>
      <c r="I14231" s="380" t="s">
        <v>788</v>
      </c>
      <c r="J14231" s="380" t="s">
        <v>773</v>
      </c>
      <c r="K14231" s="381">
        <v>0.0</v>
      </c>
      <c r="L14231" s="382">
        <v>1.0</v>
      </c>
    </row>
    <row r="14232">
      <c r="A14232" s="380" t="s">
        <v>15106</v>
      </c>
      <c r="B14232" s="380" t="str">
        <f>IFERROR(__xludf.DUMMYFUNCTION("""COMPUTED_VALUE"""),"Tambor Motriz D230 Bf")</f>
        <v>Tambor Motriz D230 Bf</v>
      </c>
      <c r="C14232" s="380" t="str">
        <f>IFERROR(__xludf.DUMMYFUNCTION("""COMPUTED_VALUE"""),"80000571")</f>
        <v>80000571</v>
      </c>
      <c r="D14232" s="380" t="s">
        <v>767</v>
      </c>
      <c r="E14232" s="380" t="s">
        <v>776</v>
      </c>
      <c r="F14232" s="380" t="s">
        <v>976</v>
      </c>
      <c r="G14232" s="380" t="s">
        <v>1267</v>
      </c>
      <c r="H14232" s="380" t="s">
        <v>771</v>
      </c>
      <c r="I14232" s="380" t="s">
        <v>788</v>
      </c>
      <c r="J14232" s="380" t="s">
        <v>773</v>
      </c>
      <c r="K14232" s="381">
        <v>0.0</v>
      </c>
      <c r="L14232" s="382">
        <v>1.0</v>
      </c>
    </row>
    <row r="14233">
      <c r="A14233" s="380" t="s">
        <v>15107</v>
      </c>
      <c r="B14233" s="380" t="str">
        <f>IFERROR(__xludf.DUMMYFUNCTION("""COMPUTED_VALUE"""),"Valvula Neumatica Assy")</f>
        <v>Valvula Neumatica Assy</v>
      </c>
      <c r="C14233" s="380" t="str">
        <f>IFERROR(__xludf.DUMMYFUNCTION("""COMPUTED_VALUE"""),"80000572")</f>
        <v>80000572</v>
      </c>
      <c r="D14233" s="380" t="s">
        <v>767</v>
      </c>
      <c r="E14233" s="380" t="s">
        <v>776</v>
      </c>
      <c r="F14233" s="380" t="s">
        <v>5288</v>
      </c>
      <c r="G14233" s="380" t="s">
        <v>1267</v>
      </c>
      <c r="H14233" s="380" t="s">
        <v>771</v>
      </c>
      <c r="I14233" s="380" t="s">
        <v>788</v>
      </c>
      <c r="J14233" s="380" t="s">
        <v>773</v>
      </c>
      <c r="K14233" s="381">
        <v>0.0</v>
      </c>
      <c r="L14233" s="382">
        <v>1.0</v>
      </c>
    </row>
    <row r="14234">
      <c r="A14234" s="380" t="s">
        <v>15108</v>
      </c>
      <c r="B14234" s="380" t="str">
        <f>IFERROR(__xludf.DUMMYFUNCTION("""COMPUTED_VALUE"""),"Mototambor Poly V Ec310 16:1 L")</f>
        <v>Mototambor Poly V Ec310 16:1 L</v>
      </c>
      <c r="C14234" s="380" t="str">
        <f>IFERROR(__xludf.DUMMYFUNCTION("""COMPUTED_VALUE"""),"80000573")</f>
        <v>80000573</v>
      </c>
      <c r="D14234" s="380" t="s">
        <v>767</v>
      </c>
      <c r="E14234" s="380" t="s">
        <v>776</v>
      </c>
      <c r="F14234" s="380" t="s">
        <v>976</v>
      </c>
      <c r="G14234" s="380" t="s">
        <v>1267</v>
      </c>
      <c r="H14234" s="380" t="s">
        <v>771</v>
      </c>
      <c r="I14234" s="380" t="s">
        <v>788</v>
      </c>
      <c r="J14234" s="380" t="s">
        <v>773</v>
      </c>
      <c r="K14234" s="381">
        <v>0.0</v>
      </c>
      <c r="L14234" s="382">
        <v>1.0</v>
      </c>
    </row>
    <row r="14235">
      <c r="A14235" s="380" t="s">
        <v>15109</v>
      </c>
      <c r="B14235" s="380" t="str">
        <f>IFERROR(__xludf.DUMMYFUNCTION("""COMPUTED_VALUE"""),"Rodillo Extremo Etu Lr/Arp")</f>
        <v>Rodillo Extremo Etu Lr/Arp</v>
      </c>
      <c r="C14235" s="380" t="str">
        <f>IFERROR(__xludf.DUMMYFUNCTION("""COMPUTED_VALUE"""),"80000574")</f>
        <v>80000574</v>
      </c>
      <c r="D14235" s="380" t="s">
        <v>767</v>
      </c>
      <c r="E14235" s="380" t="s">
        <v>776</v>
      </c>
      <c r="F14235" s="380" t="s">
        <v>976</v>
      </c>
      <c r="G14235" s="380" t="s">
        <v>1267</v>
      </c>
      <c r="H14235" s="380" t="s">
        <v>771</v>
      </c>
      <c r="I14235" s="380" t="s">
        <v>788</v>
      </c>
      <c r="J14235" s="380" t="s">
        <v>773</v>
      </c>
      <c r="K14235" s="381">
        <v>0.0</v>
      </c>
      <c r="L14235" s="382">
        <v>1.0</v>
      </c>
    </row>
    <row r="14236">
      <c r="A14236" s="380" t="s">
        <v>15110</v>
      </c>
      <c r="B14236" s="380" t="str">
        <f>IFERROR(__xludf.DUMMYFUNCTION("""COMPUTED_VALUE"""),"Rodillo Esclavo Ligero D50 Hex")</f>
        <v>Rodillo Esclavo Ligero D50 Hex</v>
      </c>
      <c r="C14236" s="380" t="str">
        <f>IFERROR(__xludf.DUMMYFUNCTION("""COMPUTED_VALUE"""),"80000575")</f>
        <v>80000575</v>
      </c>
      <c r="D14236" s="380" t="s">
        <v>767</v>
      </c>
      <c r="E14236" s="380" t="s">
        <v>776</v>
      </c>
      <c r="F14236" s="380" t="s">
        <v>976</v>
      </c>
      <c r="G14236" s="380" t="s">
        <v>1267</v>
      </c>
      <c r="H14236" s="380" t="s">
        <v>771</v>
      </c>
      <c r="I14236" s="380" t="s">
        <v>788</v>
      </c>
      <c r="J14236" s="380" t="s">
        <v>773</v>
      </c>
      <c r="K14236" s="381">
        <v>0.0</v>
      </c>
      <c r="L14236" s="382">
        <v>1.0</v>
      </c>
    </row>
    <row r="14237">
      <c r="A14237" s="380" t="s">
        <v>15111</v>
      </c>
      <c r="B14237" s="380" t="str">
        <f>IFERROR(__xludf.DUMMYFUNCTION("""COMPUTED_VALUE"""),"Valvula Neumatica 5/2 Assy")</f>
        <v>Valvula Neumatica 5/2 Assy</v>
      </c>
      <c r="C14237" s="380" t="str">
        <f>IFERROR(__xludf.DUMMYFUNCTION("""COMPUTED_VALUE"""),"80000576")</f>
        <v>80000576</v>
      </c>
      <c r="D14237" s="380" t="s">
        <v>767</v>
      </c>
      <c r="E14237" s="380" t="s">
        <v>776</v>
      </c>
      <c r="F14237" s="380" t="s">
        <v>5288</v>
      </c>
      <c r="G14237" s="380" t="s">
        <v>1267</v>
      </c>
      <c r="H14237" s="380" t="s">
        <v>771</v>
      </c>
      <c r="I14237" s="380" t="s">
        <v>788</v>
      </c>
      <c r="J14237" s="380" t="s">
        <v>773</v>
      </c>
      <c r="K14237" s="381">
        <v>0.0</v>
      </c>
      <c r="L14237" s="382">
        <v>1.0</v>
      </c>
    </row>
    <row r="14238">
      <c r="A14238" s="380" t="s">
        <v>15112</v>
      </c>
      <c r="B14238" s="380" t="str">
        <f>IFERROR(__xludf.DUMMYFUNCTION("""COMPUTED_VALUE"""),"Cable Alimentacion Ccu")</f>
        <v>Cable Alimentacion Ccu</v>
      </c>
      <c r="C14238" s="380" t="str">
        <f>IFERROR(__xludf.DUMMYFUNCTION("""COMPUTED_VALUE"""),"80000577")</f>
        <v>80000577</v>
      </c>
      <c r="D14238" s="380" t="s">
        <v>767</v>
      </c>
      <c r="E14238" s="380" t="s">
        <v>776</v>
      </c>
      <c r="F14238" s="380" t="s">
        <v>1058</v>
      </c>
      <c r="G14238" s="380" t="s">
        <v>1267</v>
      </c>
      <c r="H14238" s="380" t="s">
        <v>771</v>
      </c>
      <c r="I14238" s="380" t="s">
        <v>788</v>
      </c>
      <c r="J14238" s="380" t="s">
        <v>773</v>
      </c>
      <c r="K14238" s="381">
        <v>0.0</v>
      </c>
      <c r="L14238" s="382">
        <v>1.0</v>
      </c>
    </row>
    <row r="14239">
      <c r="A14239" s="380" t="s">
        <v>15113</v>
      </c>
      <c r="B14239" s="380" t="str">
        <f>IFERROR(__xludf.DUMMYFUNCTION("""COMPUTED_VALUE"""),"Rodillo Tensor Carrier")</f>
        <v>Rodillo Tensor Carrier</v>
      </c>
      <c r="C14239" s="380" t="str">
        <f>IFERROR(__xludf.DUMMYFUNCTION("""COMPUTED_VALUE"""),"80000578")</f>
        <v>80000578</v>
      </c>
      <c r="D14239" s="380" t="s">
        <v>767</v>
      </c>
      <c r="E14239" s="380" t="s">
        <v>776</v>
      </c>
      <c r="F14239" s="380" t="s">
        <v>976</v>
      </c>
      <c r="G14239" s="380" t="s">
        <v>1267</v>
      </c>
      <c r="H14239" s="380" t="s">
        <v>771</v>
      </c>
      <c r="I14239" s="380" t="s">
        <v>788</v>
      </c>
      <c r="J14239" s="380" t="s">
        <v>773</v>
      </c>
      <c r="K14239" s="381">
        <v>0.0</v>
      </c>
      <c r="L14239" s="382">
        <v>1.0</v>
      </c>
    </row>
    <row r="14240">
      <c r="A14240" s="380" t="s">
        <v>15114</v>
      </c>
      <c r="B14240" s="380" t="str">
        <f>IFERROR(__xludf.DUMMYFUNCTION("""COMPUTED_VALUE"""),"Rodillo De Accionamiento Scs")</f>
        <v>Rodillo De Accionamiento Scs</v>
      </c>
      <c r="C14240" s="380" t="str">
        <f>IFERROR(__xludf.DUMMYFUNCTION("""COMPUTED_VALUE"""),"80000579")</f>
        <v>80000579</v>
      </c>
      <c r="D14240" s="380" t="s">
        <v>767</v>
      </c>
      <c r="E14240" s="380" t="s">
        <v>776</v>
      </c>
      <c r="F14240" s="380" t="s">
        <v>976</v>
      </c>
      <c r="G14240" s="380" t="s">
        <v>1267</v>
      </c>
      <c r="H14240" s="380" t="s">
        <v>771</v>
      </c>
      <c r="I14240" s="380" t="s">
        <v>788</v>
      </c>
      <c r="J14240" s="380" t="s">
        <v>773</v>
      </c>
      <c r="K14240" s="381">
        <v>0.0</v>
      </c>
      <c r="L14240" s="382">
        <v>1.0</v>
      </c>
    </row>
    <row r="14241">
      <c r="A14241" s="380" t="s">
        <v>15115</v>
      </c>
      <c r="B14241" s="380" t="str">
        <f>IFERROR(__xludf.DUMMYFUNCTION("""COMPUTED_VALUE"""),"Carro Triplanar Assy")</f>
        <v>Carro Triplanar Assy</v>
      </c>
      <c r="C14241" s="380" t="str">
        <f>IFERROR(__xludf.DUMMYFUNCTION("""COMPUTED_VALUE"""),"80000580")</f>
        <v>80000580</v>
      </c>
      <c r="D14241" s="380" t="s">
        <v>767</v>
      </c>
      <c r="E14241" s="380" t="s">
        <v>776</v>
      </c>
      <c r="F14241" s="380" t="s">
        <v>976</v>
      </c>
      <c r="G14241" s="380" t="s">
        <v>1267</v>
      </c>
      <c r="H14241" s="380" t="s">
        <v>771</v>
      </c>
      <c r="I14241" s="380" t="s">
        <v>788</v>
      </c>
      <c r="J14241" s="380" t="s">
        <v>773</v>
      </c>
      <c r="K14241" s="381">
        <v>0.0</v>
      </c>
      <c r="L14241" s="382">
        <v>1.0</v>
      </c>
    </row>
    <row r="14242">
      <c r="A14242" s="380" t="s">
        <v>15116</v>
      </c>
      <c r="B14242" s="380" t="str">
        <f>IFERROR(__xludf.DUMMYFUNCTION("""COMPUTED_VALUE"""),"Union Cadena Assy")</f>
        <v>Union Cadena Assy</v>
      </c>
      <c r="C14242" s="380" t="str">
        <f>IFERROR(__xludf.DUMMYFUNCTION("""COMPUTED_VALUE"""),"80000581")</f>
        <v>80000581</v>
      </c>
      <c r="D14242" s="380" t="s">
        <v>767</v>
      </c>
      <c r="E14242" s="380" t="s">
        <v>776</v>
      </c>
      <c r="F14242" s="380" t="s">
        <v>976</v>
      </c>
      <c r="G14242" s="380" t="s">
        <v>1267</v>
      </c>
      <c r="H14242" s="380" t="s">
        <v>771</v>
      </c>
      <c r="I14242" s="380" t="s">
        <v>788</v>
      </c>
      <c r="J14242" s="380" t="s">
        <v>773</v>
      </c>
      <c r="K14242" s="381">
        <v>0.0</v>
      </c>
      <c r="L14242" s="382">
        <v>1.0</v>
      </c>
    </row>
    <row r="14243">
      <c r="A14243" s="380" t="s">
        <v>15117</v>
      </c>
      <c r="B14243" s="380" t="str">
        <f>IFERROR(__xludf.DUMMYFUNCTION("""COMPUTED_VALUE"""),"Tambor Mot Bj W1300")</f>
        <v>Tambor Mot Bj W1300</v>
      </c>
      <c r="C14243" s="380" t="str">
        <f>IFERROR(__xludf.DUMMYFUNCTION("""COMPUTED_VALUE"""),"80000582")</f>
        <v>80000582</v>
      </c>
      <c r="D14243" s="380" t="s">
        <v>767</v>
      </c>
      <c r="E14243" s="380" t="s">
        <v>776</v>
      </c>
      <c r="F14243" s="380" t="s">
        <v>976</v>
      </c>
      <c r="G14243" s="380" t="s">
        <v>1267</v>
      </c>
      <c r="H14243" s="380" t="s">
        <v>771</v>
      </c>
      <c r="I14243" s="380" t="s">
        <v>788</v>
      </c>
      <c r="J14243" s="380" t="s">
        <v>773</v>
      </c>
      <c r="K14243" s="381">
        <v>0.0</v>
      </c>
      <c r="L14243" s="382">
        <v>1.0</v>
      </c>
    </row>
    <row r="14244">
      <c r="A14244" s="380" t="s">
        <v>15118</v>
      </c>
      <c r="B14244" s="380" t="str">
        <f>IFERROR(__xludf.DUMMYFUNCTION("""COMPUTED_VALUE"""),"Freno Movil")</f>
        <v>Freno Movil</v>
      </c>
      <c r="C14244" s="380" t="str">
        <f>IFERROR(__xludf.DUMMYFUNCTION("""COMPUTED_VALUE"""),"80000583")</f>
        <v>80000583</v>
      </c>
      <c r="D14244" s="380" t="s">
        <v>767</v>
      </c>
      <c r="E14244" s="380" t="s">
        <v>776</v>
      </c>
      <c r="F14244" s="380" t="s">
        <v>5288</v>
      </c>
      <c r="G14244" s="380" t="s">
        <v>1267</v>
      </c>
      <c r="H14244" s="380" t="s">
        <v>771</v>
      </c>
      <c r="I14244" s="380" t="s">
        <v>788</v>
      </c>
      <c r="J14244" s="380" t="s">
        <v>773</v>
      </c>
      <c r="K14244" s="381">
        <v>0.0</v>
      </c>
      <c r="L14244" s="382">
        <v>1.0</v>
      </c>
    </row>
    <row r="14245">
      <c r="A14245" s="380" t="s">
        <v>15119</v>
      </c>
      <c r="B14245" s="380" t="str">
        <f>IFERROR(__xludf.DUMMYFUNCTION("""COMPUTED_VALUE"""),"Reflector Fotocelulas Adhesivo")</f>
        <v>Reflector Fotocelulas Adhesivo</v>
      </c>
      <c r="C14245" s="380" t="str">
        <f>IFERROR(__xludf.DUMMYFUNCTION("""COMPUTED_VALUE"""),"80000584")</f>
        <v>80000584</v>
      </c>
      <c r="D14245" s="380" t="s">
        <v>767</v>
      </c>
      <c r="E14245" s="380" t="s">
        <v>776</v>
      </c>
      <c r="F14245" s="380" t="s">
        <v>1058</v>
      </c>
      <c r="G14245" s="380" t="s">
        <v>1267</v>
      </c>
      <c r="H14245" s="380" t="s">
        <v>771</v>
      </c>
      <c r="I14245" s="380" t="s">
        <v>788</v>
      </c>
      <c r="J14245" s="380" t="s">
        <v>773</v>
      </c>
      <c r="K14245" s="381">
        <v>0.0</v>
      </c>
      <c r="L14245" s="382">
        <v>1.0</v>
      </c>
    </row>
    <row r="14246">
      <c r="A14246" s="380" t="s">
        <v>15120</v>
      </c>
      <c r="B14246" s="380" t="str">
        <f>IFERROR(__xludf.DUMMYFUNCTION("""COMPUTED_VALUE"""),"Rodillo Grv D50 Ligero L=358")</f>
        <v>Rodillo Grv D50 Ligero L=358</v>
      </c>
      <c r="C14246" s="380" t="str">
        <f>IFERROR(__xludf.DUMMYFUNCTION("""COMPUTED_VALUE"""),"80000585")</f>
        <v>80000585</v>
      </c>
      <c r="D14246" s="380" t="s">
        <v>767</v>
      </c>
      <c r="E14246" s="380" t="s">
        <v>776</v>
      </c>
      <c r="F14246" s="380" t="s">
        <v>976</v>
      </c>
      <c r="G14246" s="380" t="s">
        <v>1267</v>
      </c>
      <c r="H14246" s="380" t="s">
        <v>771</v>
      </c>
      <c r="I14246" s="380" t="s">
        <v>788</v>
      </c>
      <c r="J14246" s="380" t="s">
        <v>773</v>
      </c>
      <c r="K14246" s="381">
        <v>0.0</v>
      </c>
      <c r="L14246" s="382">
        <v>1.0</v>
      </c>
    </row>
    <row r="14247">
      <c r="A14247" s="380" t="s">
        <v>15121</v>
      </c>
      <c r="B14247" s="380" t="str">
        <f>IFERROR(__xludf.DUMMYFUNCTION("""COMPUTED_VALUE"""),"Rodillo Grv D50 Ligero L=758")</f>
        <v>Rodillo Grv D50 Ligero L=758</v>
      </c>
      <c r="C14247" s="380" t="str">
        <f>IFERROR(__xludf.DUMMYFUNCTION("""COMPUTED_VALUE"""),"80000586")</f>
        <v>80000586</v>
      </c>
      <c r="D14247" s="380" t="s">
        <v>767</v>
      </c>
      <c r="E14247" s="380" t="s">
        <v>776</v>
      </c>
      <c r="F14247" s="380" t="s">
        <v>976</v>
      </c>
      <c r="G14247" s="380" t="s">
        <v>1267</v>
      </c>
      <c r="H14247" s="380" t="s">
        <v>771</v>
      </c>
      <c r="I14247" s="380" t="s">
        <v>788</v>
      </c>
      <c r="J14247" s="380" t="s">
        <v>773</v>
      </c>
      <c r="K14247" s="381">
        <v>0.0</v>
      </c>
      <c r="L14247" s="382">
        <v>1.0</v>
      </c>
    </row>
    <row r="14248">
      <c r="A14248" s="380" t="s">
        <v>15122</v>
      </c>
      <c r="B14248" s="380" t="str">
        <f>IFERROR(__xludf.DUMMYFUNCTION("""COMPUTED_VALUE"""),"Rodillo Grv D50 Ligero L=958")</f>
        <v>Rodillo Grv D50 Ligero L=958</v>
      </c>
      <c r="C14248" s="380" t="str">
        <f>IFERROR(__xludf.DUMMYFUNCTION("""COMPUTED_VALUE"""),"80000587")</f>
        <v>80000587</v>
      </c>
      <c r="D14248" s="380" t="s">
        <v>767</v>
      </c>
      <c r="E14248" s="380" t="s">
        <v>776</v>
      </c>
      <c r="F14248" s="380" t="s">
        <v>976</v>
      </c>
      <c r="G14248" s="380" t="s">
        <v>1267</v>
      </c>
      <c r="H14248" s="380" t="s">
        <v>771</v>
      </c>
      <c r="I14248" s="380" t="s">
        <v>788</v>
      </c>
      <c r="J14248" s="380" t="s">
        <v>773</v>
      </c>
      <c r="K14248" s="381">
        <v>0.0</v>
      </c>
      <c r="L14248" s="382">
        <v>1.0</v>
      </c>
    </row>
    <row r="14249">
      <c r="A14249" s="380" t="s">
        <v>15123</v>
      </c>
      <c r="B14249" s="380" t="str">
        <f>IFERROR(__xludf.DUMMYFUNCTION("""COMPUTED_VALUE"""),"Rodillo Grv D50 Ligero L=1458")</f>
        <v>Rodillo Grv D50 Ligero L=1458</v>
      </c>
      <c r="C14249" s="380" t="str">
        <f>IFERROR(__xludf.DUMMYFUNCTION("""COMPUTED_VALUE"""),"80000588")</f>
        <v>80000588</v>
      </c>
      <c r="D14249" s="380" t="s">
        <v>767</v>
      </c>
      <c r="E14249" s="380" t="s">
        <v>776</v>
      </c>
      <c r="F14249" s="380" t="s">
        <v>976</v>
      </c>
      <c r="G14249" s="380" t="s">
        <v>1267</v>
      </c>
      <c r="H14249" s="380" t="s">
        <v>771</v>
      </c>
      <c r="I14249" s="380" t="s">
        <v>788</v>
      </c>
      <c r="J14249" s="380" t="s">
        <v>773</v>
      </c>
      <c r="K14249" s="381">
        <v>0.0</v>
      </c>
      <c r="L14249" s="382">
        <v>1.0</v>
      </c>
    </row>
    <row r="14250">
      <c r="A14250" s="380" t="s">
        <v>15124</v>
      </c>
      <c r="B14250" s="380" t="str">
        <f>IFERROR(__xludf.DUMMYFUNCTION("""COMPUTED_VALUE"""),"Polea Assy Tensora D120")</f>
        <v>Polea Assy Tensora D120</v>
      </c>
      <c r="C14250" s="380" t="str">
        <f>IFERROR(__xludf.DUMMYFUNCTION("""COMPUTED_VALUE"""),"80000589")</f>
        <v>80000589</v>
      </c>
      <c r="D14250" s="380" t="s">
        <v>767</v>
      </c>
      <c r="E14250" s="380" t="s">
        <v>776</v>
      </c>
      <c r="F14250" s="380" t="s">
        <v>976</v>
      </c>
      <c r="G14250" s="380" t="s">
        <v>1267</v>
      </c>
      <c r="H14250" s="380" t="s">
        <v>771</v>
      </c>
      <c r="I14250" s="380" t="s">
        <v>788</v>
      </c>
      <c r="J14250" s="380" t="s">
        <v>773</v>
      </c>
      <c r="K14250" s="381">
        <v>0.0</v>
      </c>
      <c r="L14250" s="382">
        <v>1.0</v>
      </c>
    </row>
    <row r="14251">
      <c r="A14251" s="380" t="s">
        <v>15125</v>
      </c>
      <c r="B14251" s="380" t="str">
        <f>IFERROR(__xludf.DUMMYFUNCTION("""COMPUTED_VALUE"""),"Polea Assy Motriz D135")</f>
        <v>Polea Assy Motriz D135</v>
      </c>
      <c r="C14251" s="380" t="str">
        <f>IFERROR(__xludf.DUMMYFUNCTION("""COMPUTED_VALUE"""),"80000590")</f>
        <v>80000590</v>
      </c>
      <c r="D14251" s="380" t="s">
        <v>767</v>
      </c>
      <c r="E14251" s="380" t="s">
        <v>776</v>
      </c>
      <c r="F14251" s="380" t="s">
        <v>976</v>
      </c>
      <c r="G14251" s="380" t="s">
        <v>1267</v>
      </c>
      <c r="H14251" s="380" t="s">
        <v>771</v>
      </c>
      <c r="I14251" s="380" t="s">
        <v>788</v>
      </c>
      <c r="J14251" s="380" t="s">
        <v>773</v>
      </c>
      <c r="K14251" s="381">
        <v>0.0</v>
      </c>
      <c r="L14251" s="382">
        <v>1.0</v>
      </c>
    </row>
    <row r="14252">
      <c r="A14252" s="380" t="s">
        <v>15126</v>
      </c>
      <c r="B14252" s="380" t="str">
        <f>IFERROR(__xludf.DUMMYFUNCTION("""COMPUTED_VALUE"""),"Polea Assy D120")</f>
        <v>Polea Assy D120</v>
      </c>
      <c r="C14252" s="380" t="str">
        <f>IFERROR(__xludf.DUMMYFUNCTION("""COMPUTED_VALUE"""),"80000591")</f>
        <v>80000591</v>
      </c>
      <c r="D14252" s="380" t="s">
        <v>767</v>
      </c>
      <c r="E14252" s="380" t="s">
        <v>776</v>
      </c>
      <c r="F14252" s="380" t="s">
        <v>976</v>
      </c>
      <c r="G14252" s="380" t="s">
        <v>1267</v>
      </c>
      <c r="H14252" s="380" t="s">
        <v>771</v>
      </c>
      <c r="I14252" s="380" t="s">
        <v>788</v>
      </c>
      <c r="J14252" s="380" t="s">
        <v>773</v>
      </c>
      <c r="K14252" s="381">
        <v>0.0</v>
      </c>
      <c r="L14252" s="382">
        <v>1.0</v>
      </c>
    </row>
    <row r="14253">
      <c r="A14253" s="380" t="s">
        <v>15127</v>
      </c>
      <c r="B14253" s="380" t="str">
        <f>IFERROR(__xludf.DUMMYFUNCTION("""COMPUTED_VALUE"""),"Rodillo Esclavo Poly V")</f>
        <v>Rodillo Esclavo Poly V</v>
      </c>
      <c r="C14253" s="380" t="str">
        <f>IFERROR(__xludf.DUMMYFUNCTION("""COMPUTED_VALUE"""),"80000592")</f>
        <v>80000592</v>
      </c>
      <c r="D14253" s="380" t="s">
        <v>767</v>
      </c>
      <c r="E14253" s="380" t="s">
        <v>776</v>
      </c>
      <c r="F14253" s="380" t="s">
        <v>976</v>
      </c>
      <c r="G14253" s="380" t="s">
        <v>1267</v>
      </c>
      <c r="H14253" s="380" t="s">
        <v>771</v>
      </c>
      <c r="I14253" s="380" t="s">
        <v>788</v>
      </c>
      <c r="J14253" s="380" t="s">
        <v>773</v>
      </c>
      <c r="K14253" s="381">
        <v>0.0</v>
      </c>
      <c r="L14253" s="382">
        <v>1.0</v>
      </c>
    </row>
    <row r="14254">
      <c r="A14254" s="380" t="s">
        <v>15128</v>
      </c>
      <c r="B14254" s="380" t="str">
        <f>IFERROR(__xludf.DUMMYFUNCTION("""COMPUTED_VALUE"""),"Rodillo Esclavo Poly V")</f>
        <v>Rodillo Esclavo Poly V</v>
      </c>
      <c r="C14254" s="380" t="str">
        <f>IFERROR(__xludf.DUMMYFUNCTION("""COMPUTED_VALUE"""),"80000593")</f>
        <v>80000593</v>
      </c>
      <c r="D14254" s="380" t="s">
        <v>767</v>
      </c>
      <c r="E14254" s="380" t="s">
        <v>776</v>
      </c>
      <c r="F14254" s="380" t="s">
        <v>976</v>
      </c>
      <c r="G14254" s="380" t="s">
        <v>1267</v>
      </c>
      <c r="H14254" s="380" t="s">
        <v>771</v>
      </c>
      <c r="I14254" s="380" t="s">
        <v>788</v>
      </c>
      <c r="J14254" s="380" t="s">
        <v>773</v>
      </c>
      <c r="K14254" s="381">
        <v>0.0</v>
      </c>
      <c r="L14254" s="382">
        <v>1.0</v>
      </c>
    </row>
    <row r="14255">
      <c r="A14255" s="380" t="s">
        <v>15129</v>
      </c>
      <c r="B14255" s="380" t="str">
        <f>IFERROR(__xludf.DUMMYFUNCTION("""COMPUTED_VALUE"""),"Piñon")</f>
        <v>Piñon</v>
      </c>
      <c r="C14255" s="380" t="str">
        <f>IFERROR(__xludf.DUMMYFUNCTION("""COMPUTED_VALUE"""),"80000594")</f>
        <v>80000594</v>
      </c>
      <c r="D14255" s="380" t="s">
        <v>767</v>
      </c>
      <c r="E14255" s="380" t="s">
        <v>776</v>
      </c>
      <c r="F14255" s="380" t="s">
        <v>976</v>
      </c>
      <c r="G14255" s="380" t="s">
        <v>1267</v>
      </c>
      <c r="H14255" s="380" t="s">
        <v>771</v>
      </c>
      <c r="I14255" s="380" t="s">
        <v>788</v>
      </c>
      <c r="J14255" s="380" t="s">
        <v>773</v>
      </c>
      <c r="K14255" s="381">
        <v>0.0</v>
      </c>
      <c r="L14255" s="382">
        <v>1.0</v>
      </c>
    </row>
    <row r="14256">
      <c r="A14256" s="380" t="s">
        <v>15130</v>
      </c>
      <c r="B14256" s="380" t="str">
        <f>IFERROR(__xludf.DUMMYFUNCTION("""COMPUTED_VALUE"""),"Piñon")</f>
        <v>Piñon</v>
      </c>
      <c r="C14256" s="380" t="str">
        <f>IFERROR(__xludf.DUMMYFUNCTION("""COMPUTED_VALUE"""),"80000595")</f>
        <v>80000595</v>
      </c>
      <c r="D14256" s="380" t="s">
        <v>767</v>
      </c>
      <c r="E14256" s="380" t="s">
        <v>776</v>
      </c>
      <c r="F14256" s="380" t="s">
        <v>976</v>
      </c>
      <c r="G14256" s="380" t="s">
        <v>1267</v>
      </c>
      <c r="H14256" s="380" t="s">
        <v>771</v>
      </c>
      <c r="I14256" s="380" t="s">
        <v>788</v>
      </c>
      <c r="J14256" s="380" t="s">
        <v>773</v>
      </c>
      <c r="K14256" s="381">
        <v>0.0</v>
      </c>
      <c r="L14256" s="382">
        <v>1.0</v>
      </c>
    </row>
    <row r="14257">
      <c r="A14257" s="380" t="s">
        <v>15131</v>
      </c>
      <c r="B14257" s="380" t="str">
        <f>IFERROR(__xludf.DUMMYFUNCTION("""COMPUTED_VALUE"""),"Rodillo Tensor D100 Bf")</f>
        <v>Rodillo Tensor D100 Bf</v>
      </c>
      <c r="C14257" s="380" t="str">
        <f>IFERROR(__xludf.DUMMYFUNCTION("""COMPUTED_VALUE"""),"80000596")</f>
        <v>80000596</v>
      </c>
      <c r="D14257" s="380" t="s">
        <v>767</v>
      </c>
      <c r="E14257" s="380" t="s">
        <v>776</v>
      </c>
      <c r="F14257" s="380" t="s">
        <v>976</v>
      </c>
      <c r="G14257" s="380" t="s">
        <v>1267</v>
      </c>
      <c r="H14257" s="380" t="s">
        <v>771</v>
      </c>
      <c r="I14257" s="380" t="s">
        <v>788</v>
      </c>
      <c r="J14257" s="380" t="s">
        <v>773</v>
      </c>
      <c r="K14257" s="381">
        <v>0.0</v>
      </c>
      <c r="L14257" s="382">
        <v>1.0</v>
      </c>
    </row>
    <row r="14258">
      <c r="A14258" s="380" t="s">
        <v>15132</v>
      </c>
      <c r="B14258" s="380" t="str">
        <f>IFERROR(__xludf.DUMMYFUNCTION("""COMPUTED_VALUE"""),"Rueda Extrema Tensora Bj")</f>
        <v>Rueda Extrema Tensora Bj</v>
      </c>
      <c r="C14258" s="380" t="str">
        <f>IFERROR(__xludf.DUMMYFUNCTION("""COMPUTED_VALUE"""),"80000597")</f>
        <v>80000597</v>
      </c>
      <c r="D14258" s="380" t="s">
        <v>767</v>
      </c>
      <c r="E14258" s="380" t="s">
        <v>776</v>
      </c>
      <c r="F14258" s="380" t="s">
        <v>976</v>
      </c>
      <c r="G14258" s="380" t="s">
        <v>1267</v>
      </c>
      <c r="H14258" s="380" t="s">
        <v>771</v>
      </c>
      <c r="I14258" s="380" t="s">
        <v>788</v>
      </c>
      <c r="J14258" s="380" t="s">
        <v>773</v>
      </c>
      <c r="K14258" s="381">
        <v>0.0</v>
      </c>
      <c r="L14258" s="382">
        <v>1.0</v>
      </c>
    </row>
    <row r="14259">
      <c r="A14259" s="380" t="s">
        <v>15133</v>
      </c>
      <c r="B14259" s="380" t="str">
        <f>IFERROR(__xludf.DUMMYFUNCTION("""COMPUTED_VALUE"""),"Soporte Adaptador Sr")</f>
        <v>Soporte Adaptador Sr</v>
      </c>
      <c r="C14259" s="380" t="str">
        <f>IFERROR(__xludf.DUMMYFUNCTION("""COMPUTED_VALUE"""),"80000598")</f>
        <v>80000598</v>
      </c>
      <c r="D14259" s="380" t="s">
        <v>767</v>
      </c>
      <c r="E14259" s="380" t="s">
        <v>776</v>
      </c>
      <c r="F14259" s="380" t="s">
        <v>976</v>
      </c>
      <c r="G14259" s="380" t="s">
        <v>1267</v>
      </c>
      <c r="H14259" s="380" t="s">
        <v>771</v>
      </c>
      <c r="I14259" s="380" t="s">
        <v>788</v>
      </c>
      <c r="J14259" s="380" t="s">
        <v>773</v>
      </c>
      <c r="K14259" s="381">
        <v>0.0</v>
      </c>
      <c r="L14259" s="382">
        <v>1.0</v>
      </c>
    </row>
    <row r="14260">
      <c r="A14260" s="380" t="s">
        <v>15134</v>
      </c>
      <c r="B14260" s="380" t="str">
        <f>IFERROR(__xludf.DUMMYFUNCTION("""COMPUTED_VALUE"""),"Proteccion Rodillo Extremo Der")</f>
        <v>Proteccion Rodillo Extremo Der</v>
      </c>
      <c r="C14260" s="380" t="str">
        <f>IFERROR(__xludf.DUMMYFUNCTION("""COMPUTED_VALUE"""),"80000599")</f>
        <v>80000599</v>
      </c>
      <c r="D14260" s="380" t="s">
        <v>767</v>
      </c>
      <c r="E14260" s="380" t="s">
        <v>776</v>
      </c>
      <c r="F14260" s="380" t="s">
        <v>976</v>
      </c>
      <c r="G14260" s="380" t="s">
        <v>1267</v>
      </c>
      <c r="H14260" s="380" t="s">
        <v>771</v>
      </c>
      <c r="I14260" s="380" t="s">
        <v>788</v>
      </c>
      <c r="J14260" s="380" t="s">
        <v>773</v>
      </c>
      <c r="K14260" s="381">
        <v>0.0</v>
      </c>
      <c r="L14260" s="382">
        <v>1.0</v>
      </c>
    </row>
    <row r="14261">
      <c r="A14261" s="380" t="s">
        <v>15135</v>
      </c>
      <c r="B14261" s="380" t="str">
        <f>IFERROR(__xludf.DUMMYFUNCTION("""COMPUTED_VALUE"""),"Proteccion Rodillo Extremo Izq")</f>
        <v>Proteccion Rodillo Extremo Izq</v>
      </c>
      <c r="C14261" s="380" t="str">
        <f>IFERROR(__xludf.DUMMYFUNCTION("""COMPUTED_VALUE"""),"80000600")</f>
        <v>80000600</v>
      </c>
      <c r="D14261" s="380" t="s">
        <v>767</v>
      </c>
      <c r="E14261" s="380" t="s">
        <v>776</v>
      </c>
      <c r="F14261" s="380" t="s">
        <v>976</v>
      </c>
      <c r="G14261" s="380" t="s">
        <v>1267</v>
      </c>
      <c r="H14261" s="380" t="s">
        <v>771</v>
      </c>
      <c r="I14261" s="380" t="s">
        <v>788</v>
      </c>
      <c r="J14261" s="380" t="s">
        <v>773</v>
      </c>
      <c r="K14261" s="381">
        <v>0.0</v>
      </c>
      <c r="L14261" s="382">
        <v>1.0</v>
      </c>
    </row>
    <row r="14262">
      <c r="A14262" s="380" t="s">
        <v>15136</v>
      </c>
      <c r="B14262" s="380" t="str">
        <f>IFERROR(__xludf.DUMMYFUNCTION("""COMPUTED_VALUE"""),"Interruptor Electrico 230/400V")</f>
        <v>Interruptor Electrico 230/400V</v>
      </c>
      <c r="C14262" s="380" t="str">
        <f>IFERROR(__xludf.DUMMYFUNCTION("""COMPUTED_VALUE"""),"80000601")</f>
        <v>80000601</v>
      </c>
      <c r="D14262" s="380" t="s">
        <v>767</v>
      </c>
      <c r="E14262" s="380" t="s">
        <v>776</v>
      </c>
      <c r="F14262" s="380" t="s">
        <v>1058</v>
      </c>
      <c r="G14262" s="380" t="s">
        <v>1267</v>
      </c>
      <c r="H14262" s="380" t="s">
        <v>771</v>
      </c>
      <c r="I14262" s="380" t="s">
        <v>788</v>
      </c>
      <c r="J14262" s="380" t="s">
        <v>773</v>
      </c>
      <c r="K14262" s="381">
        <v>0.0</v>
      </c>
      <c r="L14262" s="382">
        <v>1.0</v>
      </c>
    </row>
    <row r="14263">
      <c r="A14263" s="380" t="s">
        <v>15137</v>
      </c>
      <c r="B14263" s="380" t="str">
        <f>IFERROR(__xludf.DUMMYFUNCTION("""COMPUTED_VALUE"""),"Interruptor Electrico 400V 10K")</f>
        <v>Interruptor Electrico 400V 10K</v>
      </c>
      <c r="C14263" s="380" t="str">
        <f>IFERROR(__xludf.DUMMYFUNCTION("""COMPUTED_VALUE"""),"80000602")</f>
        <v>80000602</v>
      </c>
      <c r="D14263" s="380" t="s">
        <v>767</v>
      </c>
      <c r="E14263" s="380" t="s">
        <v>776</v>
      </c>
      <c r="F14263" s="380" t="s">
        <v>1058</v>
      </c>
      <c r="G14263" s="380" t="s">
        <v>1267</v>
      </c>
      <c r="H14263" s="380" t="s">
        <v>771</v>
      </c>
      <c r="I14263" s="380" t="s">
        <v>788</v>
      </c>
      <c r="J14263" s="380" t="s">
        <v>773</v>
      </c>
      <c r="K14263" s="381">
        <v>0.0</v>
      </c>
      <c r="L14263" s="382">
        <v>1.0</v>
      </c>
    </row>
    <row r="14264">
      <c r="A14264" s="380" t="s">
        <v>15138</v>
      </c>
      <c r="B14264" s="380" t="str">
        <f>IFERROR(__xludf.DUMMYFUNCTION("""COMPUTED_VALUE"""),"Base Gris Unidad Et200Sp Bu-T")</f>
        <v>Base Gris Unidad Et200Sp Bu-T</v>
      </c>
      <c r="C14264" s="380" t="str">
        <f>IFERROR(__xludf.DUMMYFUNCTION("""COMPUTED_VALUE"""),"80000603")</f>
        <v>80000603</v>
      </c>
      <c r="D14264" s="380" t="s">
        <v>767</v>
      </c>
      <c r="E14264" s="380" t="s">
        <v>776</v>
      </c>
      <c r="F14264" s="380" t="s">
        <v>1058</v>
      </c>
      <c r="G14264" s="380" t="s">
        <v>1267</v>
      </c>
      <c r="H14264" s="380" t="s">
        <v>771</v>
      </c>
      <c r="I14264" s="380" t="s">
        <v>788</v>
      </c>
      <c r="J14264" s="380" t="s">
        <v>773</v>
      </c>
      <c r="K14264" s="381">
        <v>0.0</v>
      </c>
      <c r="L14264" s="382">
        <v>1.0</v>
      </c>
    </row>
    <row r="14265">
      <c r="A14265" s="380" t="s">
        <v>15139</v>
      </c>
      <c r="B14265" s="380" t="str">
        <f>IFERROR(__xludf.DUMMYFUNCTION("""COMPUTED_VALUE"""),"Base Blanca Unidad Et200Sp Bu-")</f>
        <v>Base Blanca Unidad Et200Sp Bu-</v>
      </c>
      <c r="C14265" s="380" t="str">
        <f>IFERROR(__xludf.DUMMYFUNCTION("""COMPUTED_VALUE"""),"80000604")</f>
        <v>80000604</v>
      </c>
      <c r="D14265" s="380" t="s">
        <v>767</v>
      </c>
      <c r="E14265" s="380" t="s">
        <v>776</v>
      </c>
      <c r="F14265" s="380" t="s">
        <v>1058</v>
      </c>
      <c r="G14265" s="380" t="s">
        <v>1267</v>
      </c>
      <c r="H14265" s="380" t="s">
        <v>771</v>
      </c>
      <c r="I14265" s="380" t="s">
        <v>788</v>
      </c>
      <c r="J14265" s="380" t="s">
        <v>773</v>
      </c>
      <c r="K14265" s="381">
        <v>0.0</v>
      </c>
      <c r="L14265" s="382">
        <v>1.0</v>
      </c>
    </row>
    <row r="14266">
      <c r="A14266" s="380" t="s">
        <v>15140</v>
      </c>
      <c r="B14266" s="380" t="str">
        <f>IFERROR(__xludf.DUMMYFUNCTION("""COMPUTED_VALUE"""),"Protector Toque Amarillo")</f>
        <v>Protector Toque Amarillo</v>
      </c>
      <c r="C14266" s="380" t="str">
        <f>IFERROR(__xludf.DUMMYFUNCTION("""COMPUTED_VALUE"""),"80000605")</f>
        <v>80000605</v>
      </c>
      <c r="D14266" s="380" t="s">
        <v>767</v>
      </c>
      <c r="E14266" s="380" t="s">
        <v>776</v>
      </c>
      <c r="F14266" s="380" t="s">
        <v>1058</v>
      </c>
      <c r="G14266" s="380" t="s">
        <v>1267</v>
      </c>
      <c r="H14266" s="380" t="s">
        <v>771</v>
      </c>
      <c r="I14266" s="380" t="s">
        <v>788</v>
      </c>
      <c r="J14266" s="380" t="s">
        <v>773</v>
      </c>
      <c r="K14266" s="381">
        <v>0.0</v>
      </c>
      <c r="L14266" s="382">
        <v>1.0</v>
      </c>
    </row>
    <row r="14267">
      <c r="A14267" s="380" t="s">
        <v>15141</v>
      </c>
      <c r="B14267" s="380" t="str">
        <f>IFERROR(__xludf.DUMMYFUNCTION("""COMPUTED_VALUE"""),"Conjunto Rueda Alineacion Corr")</f>
        <v>Conjunto Rueda Alineacion Corr</v>
      </c>
      <c r="C14267" s="380" t="str">
        <f>IFERROR(__xludf.DUMMYFUNCTION("""COMPUTED_VALUE"""),"80000606")</f>
        <v>80000606</v>
      </c>
      <c r="D14267" s="380" t="s">
        <v>767</v>
      </c>
      <c r="E14267" s="380" t="s">
        <v>776</v>
      </c>
      <c r="F14267" s="380" t="s">
        <v>976</v>
      </c>
      <c r="G14267" s="380" t="s">
        <v>1267</v>
      </c>
      <c r="H14267" s="380" t="s">
        <v>771</v>
      </c>
      <c r="I14267" s="380" t="s">
        <v>788</v>
      </c>
      <c r="J14267" s="380" t="s">
        <v>773</v>
      </c>
      <c r="K14267" s="381">
        <v>0.0</v>
      </c>
      <c r="L14267" s="382">
        <v>1.0</v>
      </c>
    </row>
    <row r="14268">
      <c r="A14268" s="380" t="s">
        <v>15142</v>
      </c>
      <c r="B14268" s="380" t="str">
        <f>IFERROR(__xludf.DUMMYFUNCTION("""COMPUTED_VALUE"""),"Rodillo Reenvio D103 L=1360 Bf")</f>
        <v>Rodillo Reenvio D103 L=1360 Bf</v>
      </c>
      <c r="C14268" s="380" t="str">
        <f>IFERROR(__xludf.DUMMYFUNCTION("""COMPUTED_VALUE"""),"80000607")</f>
        <v>80000607</v>
      </c>
      <c r="D14268" s="380" t="s">
        <v>767</v>
      </c>
      <c r="E14268" s="380" t="s">
        <v>776</v>
      </c>
      <c r="F14268" s="380" t="s">
        <v>976</v>
      </c>
      <c r="G14268" s="380" t="s">
        <v>1267</v>
      </c>
      <c r="H14268" s="380" t="s">
        <v>771</v>
      </c>
      <c r="I14268" s="380" t="s">
        <v>788</v>
      </c>
      <c r="J14268" s="380" t="s">
        <v>773</v>
      </c>
      <c r="K14268" s="381">
        <v>0.0</v>
      </c>
      <c r="L14268" s="382">
        <v>1.0</v>
      </c>
    </row>
    <row r="14269">
      <c r="A14269" s="380" t="s">
        <v>15143</v>
      </c>
      <c r="B14269" s="380" t="str">
        <f>IFERROR(__xludf.DUMMYFUNCTION("""COMPUTED_VALUE"""),"Rodillo De Presion Tf")</f>
        <v>Rodillo De Presion Tf</v>
      </c>
      <c r="C14269" s="380" t="str">
        <f>IFERROR(__xludf.DUMMYFUNCTION("""COMPUTED_VALUE"""),"80000608")</f>
        <v>80000608</v>
      </c>
      <c r="D14269" s="380" t="s">
        <v>767</v>
      </c>
      <c r="E14269" s="380" t="s">
        <v>776</v>
      </c>
      <c r="F14269" s="380" t="s">
        <v>976</v>
      </c>
      <c r="G14269" s="380" t="s">
        <v>1267</v>
      </c>
      <c r="H14269" s="380" t="s">
        <v>771</v>
      </c>
      <c r="I14269" s="380" t="s">
        <v>788</v>
      </c>
      <c r="J14269" s="380" t="s">
        <v>773</v>
      </c>
      <c r="K14269" s="381">
        <v>0.0</v>
      </c>
      <c r="L14269" s="382">
        <v>1.0</v>
      </c>
    </row>
    <row r="14270">
      <c r="A14270" s="380" t="s">
        <v>15144</v>
      </c>
      <c r="B14270" s="380" t="str">
        <f>IFERROR(__xludf.DUMMYFUNCTION("""COMPUTED_VALUE"""),"Polea Rnd 55")</f>
        <v>Polea Rnd 55</v>
      </c>
      <c r="C14270" s="380" t="str">
        <f>IFERROR(__xludf.DUMMYFUNCTION("""COMPUTED_VALUE"""),"80000609")</f>
        <v>80000609</v>
      </c>
      <c r="D14270" s="380" t="s">
        <v>767</v>
      </c>
      <c r="E14270" s="380" t="s">
        <v>776</v>
      </c>
      <c r="F14270" s="380" t="s">
        <v>976</v>
      </c>
      <c r="G14270" s="380" t="s">
        <v>1267</v>
      </c>
      <c r="H14270" s="380" t="s">
        <v>771</v>
      </c>
      <c r="I14270" s="380" t="s">
        <v>788</v>
      </c>
      <c r="J14270" s="380" t="s">
        <v>773</v>
      </c>
      <c r="K14270" s="381">
        <v>0.0</v>
      </c>
      <c r="L14270" s="382">
        <v>1.0</v>
      </c>
    </row>
    <row r="14271">
      <c r="A14271" s="380" t="s">
        <v>15145</v>
      </c>
      <c r="B14271" s="380" t="str">
        <f>IFERROR(__xludf.DUMMYFUNCTION("""COMPUTED_VALUE"""),"Tambor Mot Bj W900")</f>
        <v>Tambor Mot Bj W900</v>
      </c>
      <c r="C14271" s="380" t="str">
        <f>IFERROR(__xludf.DUMMYFUNCTION("""COMPUTED_VALUE"""),"80000610")</f>
        <v>80000610</v>
      </c>
      <c r="D14271" s="380" t="s">
        <v>767</v>
      </c>
      <c r="E14271" s="380" t="s">
        <v>776</v>
      </c>
      <c r="F14271" s="380" t="s">
        <v>976</v>
      </c>
      <c r="G14271" s="380" t="s">
        <v>1267</v>
      </c>
      <c r="H14271" s="380" t="s">
        <v>771</v>
      </c>
      <c r="I14271" s="380" t="s">
        <v>788</v>
      </c>
      <c r="J14271" s="380" t="s">
        <v>773</v>
      </c>
      <c r="K14271" s="381">
        <v>0.0</v>
      </c>
      <c r="L14271" s="382">
        <v>1.0</v>
      </c>
    </row>
    <row r="14272">
      <c r="A14272" s="380" t="s">
        <v>15146</v>
      </c>
      <c r="B14272" s="380" t="str">
        <f>IFERROR(__xludf.DUMMYFUNCTION("""COMPUTED_VALUE"""),"Tambor Mot Bj W1000")</f>
        <v>Tambor Mot Bj W1000</v>
      </c>
      <c r="C14272" s="380" t="str">
        <f>IFERROR(__xludf.DUMMYFUNCTION("""COMPUTED_VALUE"""),"80000611")</f>
        <v>80000611</v>
      </c>
      <c r="D14272" s="380" t="s">
        <v>767</v>
      </c>
      <c r="E14272" s="380" t="s">
        <v>776</v>
      </c>
      <c r="F14272" s="380" t="s">
        <v>976</v>
      </c>
      <c r="G14272" s="380" t="s">
        <v>1267</v>
      </c>
      <c r="H14272" s="380" t="s">
        <v>771</v>
      </c>
      <c r="I14272" s="380" t="s">
        <v>788</v>
      </c>
      <c r="J14272" s="380" t="s">
        <v>773</v>
      </c>
      <c r="K14272" s="381">
        <v>0.0</v>
      </c>
      <c r="L14272" s="382">
        <v>1.0</v>
      </c>
    </row>
    <row r="14273">
      <c r="A14273" s="380" t="s">
        <v>15147</v>
      </c>
      <c r="B14273" s="380" t="str">
        <f>IFERROR(__xludf.DUMMYFUNCTION("""COMPUTED_VALUE"""),"Casquillo Conico Tlock 2517-35")</f>
        <v>Casquillo Conico Tlock 2517-35</v>
      </c>
      <c r="C14273" s="380" t="str">
        <f>IFERROR(__xludf.DUMMYFUNCTION("""COMPUTED_VALUE"""),"80000612")</f>
        <v>80000612</v>
      </c>
      <c r="D14273" s="380" t="s">
        <v>767</v>
      </c>
      <c r="E14273" s="380" t="s">
        <v>776</v>
      </c>
      <c r="F14273" s="380" t="s">
        <v>976</v>
      </c>
      <c r="G14273" s="380" t="s">
        <v>1267</v>
      </c>
      <c r="H14273" s="380" t="s">
        <v>771</v>
      </c>
      <c r="I14273" s="380" t="s">
        <v>788</v>
      </c>
      <c r="J14273" s="380" t="s">
        <v>773</v>
      </c>
      <c r="K14273" s="381">
        <v>0.0</v>
      </c>
      <c r="L14273" s="382">
        <v>1.0</v>
      </c>
    </row>
    <row r="14274">
      <c r="A14274" s="380" t="s">
        <v>15148</v>
      </c>
      <c r="B14274" s="380" t="str">
        <f>IFERROR(__xludf.DUMMYFUNCTION("""COMPUTED_VALUE"""),"Polea Dentada Tb Tl 38-8M-20/2")</f>
        <v>Polea Dentada Tb Tl 38-8M-20/2</v>
      </c>
      <c r="C14274" s="380" t="str">
        <f>IFERROR(__xludf.DUMMYFUNCTION("""COMPUTED_VALUE"""),"80000613")</f>
        <v>80000613</v>
      </c>
      <c r="D14274" s="380" t="s">
        <v>767</v>
      </c>
      <c r="E14274" s="380" t="s">
        <v>776</v>
      </c>
      <c r="F14274" s="380" t="s">
        <v>976</v>
      </c>
      <c r="G14274" s="380" t="s">
        <v>1267</v>
      </c>
      <c r="H14274" s="380" t="s">
        <v>771</v>
      </c>
      <c r="I14274" s="380" t="s">
        <v>788</v>
      </c>
      <c r="J14274" s="380" t="s">
        <v>773</v>
      </c>
      <c r="K14274" s="381">
        <v>0.0</v>
      </c>
      <c r="L14274" s="382">
        <v>1.0</v>
      </c>
    </row>
    <row r="14275">
      <c r="A14275" s="380" t="s">
        <v>15149</v>
      </c>
      <c r="B14275" s="380" t="str">
        <f>IFERROR(__xludf.DUMMYFUNCTION("""COMPUTED_VALUE"""),"Polea Dentada Tb Tl 28-8M-30/2")</f>
        <v>Polea Dentada Tb Tl 28-8M-30/2</v>
      </c>
      <c r="C14275" s="380" t="str">
        <f>IFERROR(__xludf.DUMMYFUNCTION("""COMPUTED_VALUE"""),"80000614")</f>
        <v>80000614</v>
      </c>
      <c r="D14275" s="380" t="s">
        <v>767</v>
      </c>
      <c r="E14275" s="380" t="s">
        <v>776</v>
      </c>
      <c r="F14275" s="380" t="s">
        <v>976</v>
      </c>
      <c r="G14275" s="380" t="s">
        <v>1267</v>
      </c>
      <c r="H14275" s="380" t="s">
        <v>771</v>
      </c>
      <c r="I14275" s="380" t="s">
        <v>788</v>
      </c>
      <c r="J14275" s="380" t="s">
        <v>773</v>
      </c>
      <c r="K14275" s="381">
        <v>0.0</v>
      </c>
      <c r="L14275" s="382">
        <v>1.0</v>
      </c>
    </row>
    <row r="14276">
      <c r="A14276" s="380" t="s">
        <v>15150</v>
      </c>
      <c r="B14276" s="380" t="str">
        <f>IFERROR(__xludf.DUMMYFUNCTION("""COMPUTED_VALUE"""),"Polea Dentada Tb Kw 22-8M-20/1")</f>
        <v>Polea Dentada Tb Kw 22-8M-20/1</v>
      </c>
      <c r="C14276" s="380" t="str">
        <f>IFERROR(__xludf.DUMMYFUNCTION("""COMPUTED_VALUE"""),"80000615")</f>
        <v>80000615</v>
      </c>
      <c r="D14276" s="380" t="s">
        <v>767</v>
      </c>
      <c r="E14276" s="380" t="s">
        <v>776</v>
      </c>
      <c r="F14276" s="380" t="s">
        <v>976</v>
      </c>
      <c r="G14276" s="380" t="s">
        <v>1267</v>
      </c>
      <c r="H14276" s="380" t="s">
        <v>771</v>
      </c>
      <c r="I14276" s="380" t="s">
        <v>788</v>
      </c>
      <c r="J14276" s="380" t="s">
        <v>773</v>
      </c>
      <c r="K14276" s="381">
        <v>0.0</v>
      </c>
      <c r="L14276" s="382">
        <v>1.0</v>
      </c>
    </row>
    <row r="14277">
      <c r="A14277" s="380" t="s">
        <v>15151</v>
      </c>
      <c r="B14277" s="380" t="str">
        <f>IFERROR(__xludf.DUMMYFUNCTION("""COMPUTED_VALUE"""),"Polea Dentada Tb Kw 22-8M-30/1")</f>
        <v>Polea Dentada Tb Kw 22-8M-30/1</v>
      </c>
      <c r="C14277" s="380" t="str">
        <f>IFERROR(__xludf.DUMMYFUNCTION("""COMPUTED_VALUE"""),"80000616")</f>
        <v>80000616</v>
      </c>
      <c r="D14277" s="380" t="s">
        <v>767</v>
      </c>
      <c r="E14277" s="380" t="s">
        <v>776</v>
      </c>
      <c r="F14277" s="380" t="s">
        <v>976</v>
      </c>
      <c r="G14277" s="380" t="s">
        <v>1267</v>
      </c>
      <c r="H14277" s="380" t="s">
        <v>771</v>
      </c>
      <c r="I14277" s="380" t="s">
        <v>788</v>
      </c>
      <c r="J14277" s="380" t="s">
        <v>773</v>
      </c>
      <c r="K14277" s="381">
        <v>0.0</v>
      </c>
      <c r="L14277" s="382">
        <v>1.0</v>
      </c>
    </row>
    <row r="14278">
      <c r="A14278" s="380" t="s">
        <v>15152</v>
      </c>
      <c r="B14278" s="380" t="str">
        <f>IFERROR(__xludf.DUMMYFUNCTION("""COMPUTED_VALUE"""),"Polea Dentada Tb Kw 32-8M-30/1")</f>
        <v>Polea Dentada Tb Kw 32-8M-30/1</v>
      </c>
      <c r="C14278" s="380" t="str">
        <f>IFERROR(__xludf.DUMMYFUNCTION("""COMPUTED_VALUE"""),"80000617")</f>
        <v>80000617</v>
      </c>
      <c r="D14278" s="380" t="s">
        <v>767</v>
      </c>
      <c r="E14278" s="380" t="s">
        <v>776</v>
      </c>
      <c r="F14278" s="380" t="s">
        <v>976</v>
      </c>
      <c r="G14278" s="380" t="s">
        <v>1267</v>
      </c>
      <c r="H14278" s="380" t="s">
        <v>771</v>
      </c>
      <c r="I14278" s="380" t="s">
        <v>788</v>
      </c>
      <c r="J14278" s="380" t="s">
        <v>773</v>
      </c>
      <c r="K14278" s="381">
        <v>0.0</v>
      </c>
      <c r="L14278" s="382">
        <v>1.0</v>
      </c>
    </row>
    <row r="14279">
      <c r="A14279" s="380" t="s">
        <v>15153</v>
      </c>
      <c r="B14279" s="380" t="str">
        <f>IFERROR(__xludf.DUMMYFUNCTION("""COMPUTED_VALUE"""),"Polea Poly-V Stc: 205Mm Type:")</f>
        <v>Polea Poly-V Stc: 205Mm Type:</v>
      </c>
      <c r="C14279" s="380" t="str">
        <f>IFERROR(__xludf.DUMMYFUNCTION("""COMPUTED_VALUE"""),"80000618")</f>
        <v>80000618</v>
      </c>
      <c r="D14279" s="380" t="s">
        <v>767</v>
      </c>
      <c r="E14279" s="380" t="s">
        <v>776</v>
      </c>
      <c r="F14279" s="380" t="s">
        <v>976</v>
      </c>
      <c r="G14279" s="380" t="s">
        <v>1267</v>
      </c>
      <c r="H14279" s="380" t="s">
        <v>771</v>
      </c>
      <c r="I14279" s="380" t="s">
        <v>788</v>
      </c>
      <c r="J14279" s="380" t="s">
        <v>773</v>
      </c>
      <c r="K14279" s="381">
        <v>0.0</v>
      </c>
      <c r="L14279" s="382">
        <v>1.0</v>
      </c>
    </row>
    <row r="14280">
      <c r="A14280" s="380" t="s">
        <v>15154</v>
      </c>
      <c r="B14280" s="380" t="str">
        <f>IFERROR(__xludf.DUMMYFUNCTION("""COMPUTED_VALUE"""),"Correa Dentada L=720 Rpp-Slv8-")</f>
        <v>Correa Dentada L=720 Rpp-Slv8-</v>
      </c>
      <c r="C14280" s="380" t="str">
        <f>IFERROR(__xludf.DUMMYFUNCTION("""COMPUTED_VALUE"""),"80000619")</f>
        <v>80000619</v>
      </c>
      <c r="D14280" s="380" t="s">
        <v>767</v>
      </c>
      <c r="E14280" s="380" t="s">
        <v>776</v>
      </c>
      <c r="F14280" s="380" t="s">
        <v>976</v>
      </c>
      <c r="G14280" s="380" t="s">
        <v>1267</v>
      </c>
      <c r="H14280" s="380" t="s">
        <v>771</v>
      </c>
      <c r="I14280" s="380" t="s">
        <v>788</v>
      </c>
      <c r="J14280" s="380" t="s">
        <v>773</v>
      </c>
      <c r="K14280" s="381">
        <v>0.0</v>
      </c>
      <c r="L14280" s="382">
        <v>1.0</v>
      </c>
    </row>
    <row r="14281">
      <c r="A14281" s="380" t="s">
        <v>15155</v>
      </c>
      <c r="B14281" s="380" t="str">
        <f>IFERROR(__xludf.DUMMYFUNCTION("""COMPUTED_VALUE"""),"Correa Acanalada Poly-V Pl, L=")</f>
        <v>Correa Acanalada Poly-V Pl, L=</v>
      </c>
      <c r="C14281" s="380" t="str">
        <f>IFERROR(__xludf.DUMMYFUNCTION("""COMPUTED_VALUE"""),"80000620")</f>
        <v>80000620</v>
      </c>
      <c r="D14281" s="380" t="s">
        <v>767</v>
      </c>
      <c r="E14281" s="380" t="s">
        <v>776</v>
      </c>
      <c r="F14281" s="380" t="s">
        <v>976</v>
      </c>
      <c r="G14281" s="380" t="s">
        <v>1267</v>
      </c>
      <c r="H14281" s="380" t="s">
        <v>771</v>
      </c>
      <c r="I14281" s="380" t="s">
        <v>788</v>
      </c>
      <c r="J14281" s="380" t="s">
        <v>773</v>
      </c>
      <c r="K14281" s="381">
        <v>0.0</v>
      </c>
      <c r="L14281" s="382">
        <v>1.0</v>
      </c>
    </row>
    <row r="14282">
      <c r="A14282" s="380" t="s">
        <v>15156</v>
      </c>
      <c r="B14282" s="380" t="str">
        <f>IFERROR(__xludf.DUMMYFUNCTION("""COMPUTED_VALUE"""),"Cojinete Embridado Ovl Pcjt-30")</f>
        <v>Cojinete Embridado Ovl Pcjt-30</v>
      </c>
      <c r="C14282" s="380" t="str">
        <f>IFERROR(__xludf.DUMMYFUNCTION("""COMPUTED_VALUE"""),"80000621")</f>
        <v>80000621</v>
      </c>
      <c r="D14282" s="380" t="s">
        <v>767</v>
      </c>
      <c r="E14282" s="380" t="s">
        <v>776</v>
      </c>
      <c r="F14282" s="380" t="s">
        <v>976</v>
      </c>
      <c r="G14282" s="380" t="s">
        <v>1267</v>
      </c>
      <c r="H14282" s="380" t="s">
        <v>771</v>
      </c>
      <c r="I14282" s="380" t="s">
        <v>788</v>
      </c>
      <c r="J14282" s="380" t="s">
        <v>773</v>
      </c>
      <c r="K14282" s="381">
        <v>0.0</v>
      </c>
      <c r="L14282" s="382">
        <v>1.0</v>
      </c>
    </row>
    <row r="14283">
      <c r="A14283" s="380" t="s">
        <v>15157</v>
      </c>
      <c r="B14283" s="380" t="str">
        <f>IFERROR(__xludf.DUMMYFUNCTION("""COMPUTED_VALUE"""),"Cojinete Embridadopme-50N Rnd")</f>
        <v>Cojinete Embridadopme-50N Rnd</v>
      </c>
      <c r="C14283" s="380" t="str">
        <f>IFERROR(__xludf.DUMMYFUNCTION("""COMPUTED_VALUE"""),"80000622")</f>
        <v>80000622</v>
      </c>
      <c r="D14283" s="380" t="s">
        <v>767</v>
      </c>
      <c r="E14283" s="380" t="s">
        <v>776</v>
      </c>
      <c r="F14283" s="380" t="s">
        <v>976</v>
      </c>
      <c r="G14283" s="380" t="s">
        <v>1267</v>
      </c>
      <c r="H14283" s="380" t="s">
        <v>771</v>
      </c>
      <c r="I14283" s="380" t="s">
        <v>788</v>
      </c>
      <c r="J14283" s="380" t="s">
        <v>773</v>
      </c>
      <c r="K14283" s="381">
        <v>0.0</v>
      </c>
      <c r="L14283" s="382">
        <v>1.0</v>
      </c>
    </row>
    <row r="14284">
      <c r="A14284" s="380" t="s">
        <v>15158</v>
      </c>
      <c r="B14284" s="380" t="str">
        <f>IFERROR(__xludf.DUMMYFUNCTION("""COMPUTED_VALUE"""),"Cojinete Embridado Pme-60N Rnd")</f>
        <v>Cojinete Embridado Pme-60N Rnd</v>
      </c>
      <c r="C14284" s="380" t="str">
        <f>IFERROR(__xludf.DUMMYFUNCTION("""COMPUTED_VALUE"""),"80000623")</f>
        <v>80000623</v>
      </c>
      <c r="D14284" s="380" t="s">
        <v>767</v>
      </c>
      <c r="E14284" s="380" t="s">
        <v>776</v>
      </c>
      <c r="F14284" s="380" t="s">
        <v>976</v>
      </c>
      <c r="G14284" s="380" t="s">
        <v>1267</v>
      </c>
      <c r="H14284" s="380" t="s">
        <v>771</v>
      </c>
      <c r="I14284" s="380" t="s">
        <v>788</v>
      </c>
      <c r="J14284" s="380" t="s">
        <v>773</v>
      </c>
      <c r="K14284" s="381">
        <v>0.0</v>
      </c>
      <c r="L14284" s="382">
        <v>1.0</v>
      </c>
    </row>
    <row r="14285">
      <c r="A14285" s="380" t="s">
        <v>15159</v>
      </c>
      <c r="B14285" s="380" t="str">
        <f>IFERROR(__xludf.DUMMYFUNCTION("""COMPUTED_VALUE"""),"Cerradura Interlock Slo")</f>
        <v>Cerradura Interlock Slo</v>
      </c>
      <c r="C14285" s="380" t="str">
        <f>IFERROR(__xludf.DUMMYFUNCTION("""COMPUTED_VALUE"""),"80000624")</f>
        <v>80000624</v>
      </c>
      <c r="D14285" s="380" t="s">
        <v>767</v>
      </c>
      <c r="E14285" s="380" t="s">
        <v>776</v>
      </c>
      <c r="F14285" s="380" t="s">
        <v>1058</v>
      </c>
      <c r="G14285" s="380" t="s">
        <v>1267</v>
      </c>
      <c r="H14285" s="380" t="s">
        <v>771</v>
      </c>
      <c r="I14285" s="380" t="s">
        <v>788</v>
      </c>
      <c r="J14285" s="380" t="s">
        <v>773</v>
      </c>
      <c r="K14285" s="381">
        <v>0.0</v>
      </c>
      <c r="L14285" s="382">
        <v>1.0</v>
      </c>
    </row>
    <row r="14286">
      <c r="A14286" s="380" t="s">
        <v>15160</v>
      </c>
      <c r="B14286" s="380" t="str">
        <f>IFERROR(__xludf.DUMMYFUNCTION("""COMPUTED_VALUE"""),"Aislamiento Tierra Stnd L=4M C")</f>
        <v>Aislamiento Tierra Stnd L=4M C</v>
      </c>
      <c r="C14286" s="380" t="str">
        <f>IFERROR(__xludf.DUMMYFUNCTION("""COMPUTED_VALUE"""),"80000625")</f>
        <v>80000625</v>
      </c>
      <c r="D14286" s="380" t="s">
        <v>767</v>
      </c>
      <c r="E14286" s="380" t="s">
        <v>776</v>
      </c>
      <c r="F14286" s="380" t="s">
        <v>1058</v>
      </c>
      <c r="G14286" s="380" t="s">
        <v>1267</v>
      </c>
      <c r="H14286" s="380" t="s">
        <v>771</v>
      </c>
      <c r="I14286" s="380" t="s">
        <v>788</v>
      </c>
      <c r="J14286" s="380" t="s">
        <v>773</v>
      </c>
      <c r="K14286" s="381">
        <v>0.0</v>
      </c>
      <c r="L14286" s="382">
        <v>1.0</v>
      </c>
    </row>
    <row r="14287">
      <c r="A14287" s="380" t="s">
        <v>15161</v>
      </c>
      <c r="B14287" s="380" t="str">
        <f>IFERROR(__xludf.DUMMYFUNCTION("""COMPUTED_VALUE"""),"Aislamiento Fase Stnd L=4M Cr")</f>
        <v>Aislamiento Fase Stnd L=4M Cr</v>
      </c>
      <c r="C14287" s="380" t="str">
        <f>IFERROR(__xludf.DUMMYFUNCTION("""COMPUTED_VALUE"""),"80000626")</f>
        <v>80000626</v>
      </c>
      <c r="D14287" s="380" t="s">
        <v>767</v>
      </c>
      <c r="E14287" s="380" t="s">
        <v>776</v>
      </c>
      <c r="F14287" s="380" t="s">
        <v>1058</v>
      </c>
      <c r="G14287" s="380" t="s">
        <v>1267</v>
      </c>
      <c r="H14287" s="380" t="s">
        <v>771</v>
      </c>
      <c r="I14287" s="380" t="s">
        <v>788</v>
      </c>
      <c r="J14287" s="380" t="s">
        <v>773</v>
      </c>
      <c r="K14287" s="381">
        <v>0.0</v>
      </c>
      <c r="L14287" s="382">
        <v>1.0</v>
      </c>
    </row>
    <row r="14288">
      <c r="A14288" s="380" t="s">
        <v>15162</v>
      </c>
      <c r="B14288" s="380" t="str">
        <f>IFERROR(__xludf.DUMMYFUNCTION("""COMPUTED_VALUE"""),"Banda Infeed 60 L=1407 E 8/2 U")</f>
        <v>Banda Infeed 60 L=1407 E 8/2 U</v>
      </c>
      <c r="C14288" s="380" t="str">
        <f>IFERROR(__xludf.DUMMYFUNCTION("""COMPUTED_VALUE"""),"80000627")</f>
        <v>80000627</v>
      </c>
      <c r="D14288" s="380" t="s">
        <v>767</v>
      </c>
      <c r="E14288" s="380" t="s">
        <v>776</v>
      </c>
      <c r="F14288" s="380" t="s">
        <v>976</v>
      </c>
      <c r="G14288" s="380" t="s">
        <v>1267</v>
      </c>
      <c r="H14288" s="380" t="s">
        <v>771</v>
      </c>
      <c r="I14288" s="380" t="s">
        <v>788</v>
      </c>
      <c r="J14288" s="380" t="s">
        <v>773</v>
      </c>
      <c r="K14288" s="381">
        <v>0.0</v>
      </c>
      <c r="L14288" s="382">
        <v>1.0</v>
      </c>
    </row>
    <row r="14289">
      <c r="A14289" s="380" t="s">
        <v>15163</v>
      </c>
      <c r="B14289" s="380" t="str">
        <f>IFERROR(__xludf.DUMMYFUNCTION("""COMPUTED_VALUE"""),"Banda Infeed 60 L=1522 E 8/2 U")</f>
        <v>Banda Infeed 60 L=1522 E 8/2 U</v>
      </c>
      <c r="C14289" s="380" t="str">
        <f>IFERROR(__xludf.DUMMYFUNCTION("""COMPUTED_VALUE"""),"80000628")</f>
        <v>80000628</v>
      </c>
      <c r="D14289" s="380" t="s">
        <v>767</v>
      </c>
      <c r="E14289" s="380" t="s">
        <v>776</v>
      </c>
      <c r="F14289" s="380" t="s">
        <v>976</v>
      </c>
      <c r="G14289" s="380" t="s">
        <v>1267</v>
      </c>
      <c r="H14289" s="380" t="s">
        <v>771</v>
      </c>
      <c r="I14289" s="380" t="s">
        <v>788</v>
      </c>
      <c r="J14289" s="380" t="s">
        <v>773</v>
      </c>
      <c r="K14289" s="381">
        <v>0.0</v>
      </c>
      <c r="L14289" s="382">
        <v>1.0</v>
      </c>
    </row>
    <row r="14290">
      <c r="A14290" s="380" t="s">
        <v>15164</v>
      </c>
      <c r="B14290" s="380" t="str">
        <f>IFERROR(__xludf.DUMMYFUNCTION("""COMPUTED_VALUE"""),"Banda Infeed 60 L=1809 E 8/2 U")</f>
        <v>Banda Infeed 60 L=1809 E 8/2 U</v>
      </c>
      <c r="C14290" s="380" t="str">
        <f>IFERROR(__xludf.DUMMYFUNCTION("""COMPUTED_VALUE"""),"80000629")</f>
        <v>80000629</v>
      </c>
      <c r="D14290" s="380" t="s">
        <v>767</v>
      </c>
      <c r="E14290" s="380" t="s">
        <v>776</v>
      </c>
      <c r="F14290" s="380" t="s">
        <v>976</v>
      </c>
      <c r="G14290" s="380" t="s">
        <v>1267</v>
      </c>
      <c r="H14290" s="380" t="s">
        <v>771</v>
      </c>
      <c r="I14290" s="380" t="s">
        <v>788</v>
      </c>
      <c r="J14290" s="380" t="s">
        <v>773</v>
      </c>
      <c r="K14290" s="381">
        <v>0.0</v>
      </c>
      <c r="L14290" s="382">
        <v>1.0</v>
      </c>
    </row>
    <row r="14291">
      <c r="A14291" s="380" t="s">
        <v>15165</v>
      </c>
      <c r="B14291" s="380" t="str">
        <f>IFERROR(__xludf.DUMMYFUNCTION("""COMPUTED_VALUE"""),"Soporte Rosta Se-18 Tf")</f>
        <v>Soporte Rosta Se-18 Tf</v>
      </c>
      <c r="C14291" s="380" t="str">
        <f>IFERROR(__xludf.DUMMYFUNCTION("""COMPUTED_VALUE"""),"80000631")</f>
        <v>80000631</v>
      </c>
      <c r="D14291" s="380" t="s">
        <v>767</v>
      </c>
      <c r="E14291" s="380" t="s">
        <v>776</v>
      </c>
      <c r="F14291" s="380" t="s">
        <v>976</v>
      </c>
      <c r="G14291" s="380" t="s">
        <v>1267</v>
      </c>
      <c r="H14291" s="380" t="s">
        <v>771</v>
      </c>
      <c r="I14291" s="380" t="s">
        <v>788</v>
      </c>
      <c r="J14291" s="380" t="s">
        <v>773</v>
      </c>
      <c r="K14291" s="381">
        <v>0.0</v>
      </c>
      <c r="L14291" s="382">
        <v>1.0</v>
      </c>
    </row>
    <row r="14292">
      <c r="A14292" s="380" t="s">
        <v>15166</v>
      </c>
      <c r="B14292" s="380" t="str">
        <f>IFERROR(__xludf.DUMMYFUNCTION("""COMPUTED_VALUE"""),"Piñon Cadena Kw 1/2 X17X30, Di")</f>
        <v>Piñon Cadena Kw 1/2 X17X30, Di</v>
      </c>
      <c r="C14292" s="380" t="str">
        <f>IFERROR(__xludf.DUMMYFUNCTION("""COMPUTED_VALUE"""),"80000632")</f>
        <v>80000632</v>
      </c>
      <c r="D14292" s="380" t="s">
        <v>767</v>
      </c>
      <c r="E14292" s="380" t="s">
        <v>776</v>
      </c>
      <c r="F14292" s="380" t="s">
        <v>976</v>
      </c>
      <c r="G14292" s="380" t="s">
        <v>1267</v>
      </c>
      <c r="H14292" s="380" t="s">
        <v>771</v>
      </c>
      <c r="I14292" s="380" t="s">
        <v>788</v>
      </c>
      <c r="J14292" s="380" t="s">
        <v>773</v>
      </c>
      <c r="K14292" s="381">
        <v>0.0</v>
      </c>
      <c r="L14292" s="382">
        <v>1.0</v>
      </c>
    </row>
    <row r="14293">
      <c r="A14293" s="380" t="s">
        <v>15167</v>
      </c>
      <c r="B14293" s="380" t="str">
        <f>IFERROR(__xludf.DUMMYFUNCTION("""COMPUTED_VALUE"""),"Piñon Cadena Kw 1/2 X18X25, Di")</f>
        <v>Piñon Cadena Kw 1/2 X18X25, Di</v>
      </c>
      <c r="C14293" s="380" t="str">
        <f>IFERROR(__xludf.DUMMYFUNCTION("""COMPUTED_VALUE"""),"80000633")</f>
        <v>80000633</v>
      </c>
      <c r="D14293" s="380" t="s">
        <v>767</v>
      </c>
      <c r="E14293" s="380" t="s">
        <v>776</v>
      </c>
      <c r="F14293" s="380" t="s">
        <v>976</v>
      </c>
      <c r="G14293" s="380" t="s">
        <v>1267</v>
      </c>
      <c r="H14293" s="380" t="s">
        <v>771</v>
      </c>
      <c r="I14293" s="380" t="s">
        <v>788</v>
      </c>
      <c r="J14293" s="380" t="s">
        <v>773</v>
      </c>
      <c r="K14293" s="381">
        <v>0.0</v>
      </c>
      <c r="L14293" s="382">
        <v>1.0</v>
      </c>
    </row>
    <row r="14294">
      <c r="A14294" s="380" t="s">
        <v>15168</v>
      </c>
      <c r="B14294" s="380" t="str">
        <f>IFERROR(__xludf.DUMMYFUNCTION("""COMPUTED_VALUE"""),"Union Cadena Simple 1 (1/2)Iso")</f>
        <v>Union Cadena Simple 1 (1/2)Iso</v>
      </c>
      <c r="C14294" s="380" t="str">
        <f>IFERROR(__xludf.DUMMYFUNCTION("""COMPUTED_VALUE"""),"80000637")</f>
        <v>80000637</v>
      </c>
      <c r="D14294" s="380" t="s">
        <v>767</v>
      </c>
      <c r="E14294" s="380" t="s">
        <v>776</v>
      </c>
      <c r="F14294" s="380" t="s">
        <v>976</v>
      </c>
      <c r="G14294" s="380" t="s">
        <v>1267</v>
      </c>
      <c r="H14294" s="380" t="s">
        <v>771</v>
      </c>
      <c r="I14294" s="380" t="s">
        <v>788</v>
      </c>
      <c r="J14294" s="380" t="s">
        <v>773</v>
      </c>
      <c r="K14294" s="381">
        <v>0.0</v>
      </c>
      <c r="L14294" s="382">
        <v>1.0</v>
      </c>
    </row>
    <row r="14295">
      <c r="A14295" s="380" t="s">
        <v>15169</v>
      </c>
      <c r="B14295" s="380" t="str">
        <f>IFERROR(__xludf.DUMMYFUNCTION("""COMPUTED_VALUE"""),"Union Cadena Doble 2 (1/2) Iso")</f>
        <v>Union Cadena Doble 2 (1/2) Iso</v>
      </c>
      <c r="C14295" s="380" t="str">
        <f>IFERROR(__xludf.DUMMYFUNCTION("""COMPUTED_VALUE"""),"80000638")</f>
        <v>80000638</v>
      </c>
      <c r="D14295" s="380" t="s">
        <v>767</v>
      </c>
      <c r="E14295" s="380" t="s">
        <v>776</v>
      </c>
      <c r="F14295" s="380" t="s">
        <v>976</v>
      </c>
      <c r="G14295" s="380" t="s">
        <v>1267</v>
      </c>
      <c r="H14295" s="380" t="s">
        <v>771</v>
      </c>
      <c r="I14295" s="380" t="s">
        <v>788</v>
      </c>
      <c r="J14295" s="380" t="s">
        <v>773</v>
      </c>
      <c r="K14295" s="381">
        <v>0.0</v>
      </c>
      <c r="L14295" s="382">
        <v>1.0</v>
      </c>
    </row>
    <row r="14296">
      <c r="A14296" s="380" t="s">
        <v>15170</v>
      </c>
      <c r="B14296" s="380" t="str">
        <f>IFERROR(__xludf.DUMMYFUNCTION("""COMPUTED_VALUE"""),"Union Cadena Ext(1/2X5/16"")Iso")</f>
        <v>Union Cadena Ext(1/2X5/16")Iso</v>
      </c>
      <c r="C14296" s="380" t="str">
        <f>IFERROR(__xludf.DUMMYFUNCTION("""COMPUTED_VALUE"""),"80000639")</f>
        <v>80000639</v>
      </c>
      <c r="D14296" s="380" t="s">
        <v>767</v>
      </c>
      <c r="E14296" s="380" t="s">
        <v>776</v>
      </c>
      <c r="F14296" s="380" t="s">
        <v>976</v>
      </c>
      <c r="G14296" s="380" t="s">
        <v>1267</v>
      </c>
      <c r="H14296" s="380" t="s">
        <v>771</v>
      </c>
      <c r="I14296" s="380" t="s">
        <v>788</v>
      </c>
      <c r="J14296" s="380" t="s">
        <v>773</v>
      </c>
      <c r="K14296" s="381">
        <v>0.0</v>
      </c>
      <c r="L14296" s="382">
        <v>1.0</v>
      </c>
    </row>
    <row r="14297">
      <c r="A14297" s="380" t="s">
        <v>15171</v>
      </c>
      <c r="B14297" s="380" t="str">
        <f>IFERROR(__xludf.DUMMYFUNCTION("""COMPUTED_VALUE"""),"Casquillo Conico Tlock 1210-25")</f>
        <v>Casquillo Conico Tlock 1210-25</v>
      </c>
      <c r="C14297" s="380" t="str">
        <f>IFERROR(__xludf.DUMMYFUNCTION("""COMPUTED_VALUE"""),"80000640")</f>
        <v>80000640</v>
      </c>
      <c r="D14297" s="380" t="s">
        <v>767</v>
      </c>
      <c r="E14297" s="380" t="s">
        <v>776</v>
      </c>
      <c r="F14297" s="380" t="s">
        <v>976</v>
      </c>
      <c r="G14297" s="380" t="s">
        <v>1267</v>
      </c>
      <c r="H14297" s="380" t="s">
        <v>771</v>
      </c>
      <c r="I14297" s="380" t="s">
        <v>788</v>
      </c>
      <c r="J14297" s="380" t="s">
        <v>773</v>
      </c>
      <c r="K14297" s="381">
        <v>0.0</v>
      </c>
      <c r="L14297" s="382">
        <v>1.0</v>
      </c>
    </row>
    <row r="14298">
      <c r="A14298" s="380" t="s">
        <v>15172</v>
      </c>
      <c r="B14298" s="380" t="str">
        <f>IFERROR(__xludf.DUMMYFUNCTION("""COMPUTED_VALUE"""),"Casquillo Conico Tlock 1610-25")</f>
        <v>Casquillo Conico Tlock 1610-25</v>
      </c>
      <c r="C14298" s="380" t="str">
        <f>IFERROR(__xludf.DUMMYFUNCTION("""COMPUTED_VALUE"""),"80000641")</f>
        <v>80000641</v>
      </c>
      <c r="D14298" s="380" t="s">
        <v>767</v>
      </c>
      <c r="E14298" s="380" t="s">
        <v>776</v>
      </c>
      <c r="F14298" s="380" t="s">
        <v>976</v>
      </c>
      <c r="G14298" s="380" t="s">
        <v>1267</v>
      </c>
      <c r="H14298" s="380" t="s">
        <v>771</v>
      </c>
      <c r="I14298" s="380" t="s">
        <v>788</v>
      </c>
      <c r="J14298" s="380" t="s">
        <v>773</v>
      </c>
      <c r="K14298" s="381">
        <v>0.0</v>
      </c>
      <c r="L14298" s="382">
        <v>1.0</v>
      </c>
    </row>
    <row r="14299">
      <c r="A14299" s="380" t="s">
        <v>15173</v>
      </c>
      <c r="B14299" s="380" t="str">
        <f>IFERROR(__xludf.DUMMYFUNCTION("""COMPUTED_VALUE"""),"Rodillo Cond D50 Eje D14 Ext15")</f>
        <v>Rodillo Cond D50 Eje D14 Ext15</v>
      </c>
      <c r="C14299" s="380" t="str">
        <f>IFERROR(__xludf.DUMMYFUNCTION("""COMPUTED_VALUE"""),"80000642")</f>
        <v>80000642</v>
      </c>
      <c r="D14299" s="380" t="s">
        <v>767</v>
      </c>
      <c r="E14299" s="380" t="s">
        <v>776</v>
      </c>
      <c r="F14299" s="380" t="s">
        <v>976</v>
      </c>
      <c r="G14299" s="380" t="s">
        <v>1267</v>
      </c>
      <c r="H14299" s="380" t="s">
        <v>771</v>
      </c>
      <c r="I14299" s="380" t="s">
        <v>788</v>
      </c>
      <c r="J14299" s="380" t="s">
        <v>773</v>
      </c>
      <c r="K14299" s="381">
        <v>0.0</v>
      </c>
      <c r="L14299" s="382">
        <v>1.0</v>
      </c>
    </row>
    <row r="14300">
      <c r="A14300" s="380" t="s">
        <v>15174</v>
      </c>
      <c r="B14300" s="380" t="str">
        <f>IFERROR(__xludf.DUMMYFUNCTION("""COMPUTED_VALUE"""),"Rodillo Cond D50 Eje D14 Ext15")</f>
        <v>Rodillo Cond D50 Eje D14 Ext15</v>
      </c>
      <c r="C14300" s="380" t="str">
        <f>IFERROR(__xludf.DUMMYFUNCTION("""COMPUTED_VALUE"""),"80000643")</f>
        <v>80000643</v>
      </c>
      <c r="D14300" s="380" t="s">
        <v>767</v>
      </c>
      <c r="E14300" s="380" t="s">
        <v>776</v>
      </c>
      <c r="F14300" s="380" t="s">
        <v>976</v>
      </c>
      <c r="G14300" s="380" t="s">
        <v>1267</v>
      </c>
      <c r="H14300" s="380" t="s">
        <v>771</v>
      </c>
      <c r="I14300" s="380" t="s">
        <v>788</v>
      </c>
      <c r="J14300" s="380" t="s">
        <v>773</v>
      </c>
      <c r="K14300" s="381">
        <v>0.0</v>
      </c>
      <c r="L14300" s="382">
        <v>1.0</v>
      </c>
    </row>
    <row r="14301">
      <c r="A14301" s="380" t="s">
        <v>15175</v>
      </c>
      <c r="B14301" s="380" t="str">
        <f>IFERROR(__xludf.DUMMYFUNCTION("""COMPUTED_VALUE"""),"Rodillo Cond D50 Eje D14 Ext15")</f>
        <v>Rodillo Cond D50 Eje D14 Ext15</v>
      </c>
      <c r="C14301" s="380" t="str">
        <f>IFERROR(__xludf.DUMMYFUNCTION("""COMPUTED_VALUE"""),"80000644")</f>
        <v>80000644</v>
      </c>
      <c r="D14301" s="380" t="s">
        <v>767</v>
      </c>
      <c r="E14301" s="380" t="s">
        <v>776</v>
      </c>
      <c r="F14301" s="380" t="s">
        <v>976</v>
      </c>
      <c r="G14301" s="380" t="s">
        <v>1267</v>
      </c>
      <c r="H14301" s="380" t="s">
        <v>771</v>
      </c>
      <c r="I14301" s="380" t="s">
        <v>788</v>
      </c>
      <c r="J14301" s="380" t="s">
        <v>773</v>
      </c>
      <c r="K14301" s="381">
        <v>0.0</v>
      </c>
      <c r="L14301" s="382">
        <v>1.0</v>
      </c>
    </row>
    <row r="14302">
      <c r="A14302" s="380" t="s">
        <v>15176</v>
      </c>
      <c r="B14302" s="380" t="str">
        <f>IFERROR(__xludf.DUMMYFUNCTION("""COMPUTED_VALUE"""),"Regulador Neumatico 004350-030")</f>
        <v>Regulador Neumatico 004350-030</v>
      </c>
      <c r="C14302" s="380" t="str">
        <f>IFERROR(__xludf.DUMMYFUNCTION("""COMPUTED_VALUE"""),"80000645")</f>
        <v>80000645</v>
      </c>
      <c r="D14302" s="380" t="s">
        <v>767</v>
      </c>
      <c r="E14302" s="380" t="s">
        <v>776</v>
      </c>
      <c r="F14302" s="380" t="s">
        <v>5288</v>
      </c>
      <c r="G14302" s="380" t="s">
        <v>1267</v>
      </c>
      <c r="H14302" s="380" t="s">
        <v>771</v>
      </c>
      <c r="I14302" s="380" t="s">
        <v>788</v>
      </c>
      <c r="J14302" s="380" t="s">
        <v>773</v>
      </c>
      <c r="K14302" s="381">
        <v>0.0</v>
      </c>
      <c r="L14302" s="382">
        <v>1.0</v>
      </c>
    </row>
    <row r="14303">
      <c r="A14303" s="380" t="s">
        <v>15177</v>
      </c>
      <c r="B14303" s="380" t="str">
        <f>IFERROR(__xludf.DUMMYFUNCTION("""COMPUTED_VALUE"""),"Regulador De Presion Mas Filtr")</f>
        <v>Regulador De Presion Mas Filtr</v>
      </c>
      <c r="C14303" s="380" t="str">
        <f>IFERROR(__xludf.DUMMYFUNCTION("""COMPUTED_VALUE"""),"80000646")</f>
        <v>80000646</v>
      </c>
      <c r="D14303" s="380" t="s">
        <v>767</v>
      </c>
      <c r="E14303" s="380" t="s">
        <v>776</v>
      </c>
      <c r="F14303" s="380" t="s">
        <v>5288</v>
      </c>
      <c r="G14303" s="380" t="s">
        <v>1267</v>
      </c>
      <c r="H14303" s="380" t="s">
        <v>771</v>
      </c>
      <c r="I14303" s="380" t="s">
        <v>788</v>
      </c>
      <c r="J14303" s="380" t="s">
        <v>773</v>
      </c>
      <c r="K14303" s="381">
        <v>0.0</v>
      </c>
      <c r="L14303" s="382">
        <v>1.0</v>
      </c>
    </row>
    <row r="14304">
      <c r="A14304" s="380" t="s">
        <v>15178</v>
      </c>
      <c r="B14304" s="380" t="str">
        <f>IFERROR(__xludf.DUMMYFUNCTION("""COMPUTED_VALUE"""),"Toma Corriente Monofasico Hemb Aereo")</f>
        <v>Toma Corriente Monofasico Hemb Aereo</v>
      </c>
      <c r="C14304" s="380" t="str">
        <f>IFERROR(__xludf.DUMMYFUNCTION("""COMPUTED_VALUE"""),"80000651")</f>
        <v>80000651</v>
      </c>
      <c r="D14304" s="380" t="s">
        <v>767</v>
      </c>
      <c r="E14304" s="380" t="s">
        <v>776</v>
      </c>
      <c r="F14304" s="380" t="s">
        <v>777</v>
      </c>
      <c r="G14304" s="380" t="s">
        <v>1267</v>
      </c>
      <c r="H14304" s="380" t="s">
        <v>771</v>
      </c>
      <c r="I14304" s="380" t="s">
        <v>778</v>
      </c>
      <c r="J14304" s="380" t="s">
        <v>773</v>
      </c>
      <c r="K14304" s="381">
        <v>0.0</v>
      </c>
      <c r="L14304" s="382">
        <v>1.0</v>
      </c>
    </row>
    <row r="14305">
      <c r="A14305" s="380" t="s">
        <v>15179</v>
      </c>
      <c r="B14305" s="380" t="str">
        <f>IFERROR(__xludf.DUMMYFUNCTION("""COMPUTED_VALUE"""),"Toma Doble Levinton Blanco Polo Tierr")</f>
        <v>Toma Doble Levinton Blanco Polo Tierr</v>
      </c>
      <c r="C14305" s="380" t="str">
        <f>IFERROR(__xludf.DUMMYFUNCTION("""COMPUTED_VALUE"""),"80000652")</f>
        <v>80000652</v>
      </c>
      <c r="D14305" s="380" t="s">
        <v>767</v>
      </c>
      <c r="E14305" s="380" t="s">
        <v>776</v>
      </c>
      <c r="F14305" s="380" t="s">
        <v>777</v>
      </c>
      <c r="G14305" s="380" t="s">
        <v>1267</v>
      </c>
      <c r="H14305" s="380" t="s">
        <v>771</v>
      </c>
      <c r="I14305" s="380" t="s">
        <v>778</v>
      </c>
      <c r="J14305" s="380" t="s">
        <v>773</v>
      </c>
      <c r="K14305" s="381">
        <v>0.0</v>
      </c>
      <c r="L14305" s="382">
        <v>1.0</v>
      </c>
    </row>
    <row r="14306">
      <c r="A14306" s="380" t="s">
        <v>15180</v>
      </c>
      <c r="B14306" s="380" t="str">
        <f>IFERROR(__xludf.DUMMYFUNCTION("""COMPUTED_VALUE"""),"Banda Infeed 30 L=4625 E 8/2 U")</f>
        <v>Banda Infeed 30 L=4625 E 8/2 U</v>
      </c>
      <c r="C14306" s="380" t="str">
        <f>IFERROR(__xludf.DUMMYFUNCTION("""COMPUTED_VALUE"""),"80000653")</f>
        <v>80000653</v>
      </c>
      <c r="D14306" s="380" t="s">
        <v>767</v>
      </c>
      <c r="E14306" s="380" t="s">
        <v>776</v>
      </c>
      <c r="F14306" s="380" t="s">
        <v>976</v>
      </c>
      <c r="G14306" s="380" t="s">
        <v>1267</v>
      </c>
      <c r="H14306" s="380" t="s">
        <v>771</v>
      </c>
      <c r="I14306" s="380" t="s">
        <v>788</v>
      </c>
      <c r="J14306" s="380" t="s">
        <v>773</v>
      </c>
      <c r="K14306" s="381">
        <v>0.0</v>
      </c>
      <c r="L14306" s="382">
        <v>1.0</v>
      </c>
    </row>
    <row r="14307">
      <c r="A14307" s="380" t="s">
        <v>15181</v>
      </c>
      <c r="B14307" s="380" t="str">
        <f>IFERROR(__xludf.DUMMYFUNCTION("""COMPUTED_VALUE"""),"Banda Infeed 60 L=1235 E 8/2 U")</f>
        <v>Banda Infeed 60 L=1235 E 8/2 U</v>
      </c>
      <c r="C14307" s="380" t="str">
        <f>IFERROR(__xludf.DUMMYFUNCTION("""COMPUTED_VALUE"""),"80000654")</f>
        <v>80000654</v>
      </c>
      <c r="D14307" s="380" t="s">
        <v>767</v>
      </c>
      <c r="E14307" s="380" t="s">
        <v>776</v>
      </c>
      <c r="F14307" s="380" t="s">
        <v>976</v>
      </c>
      <c r="G14307" s="380" t="s">
        <v>1267</v>
      </c>
      <c r="H14307" s="380" t="s">
        <v>771</v>
      </c>
      <c r="I14307" s="380" t="s">
        <v>788</v>
      </c>
      <c r="J14307" s="380" t="s">
        <v>773</v>
      </c>
      <c r="K14307" s="381">
        <v>0.0</v>
      </c>
      <c r="L14307" s="382">
        <v>1.0</v>
      </c>
    </row>
    <row r="14308">
      <c r="A14308" s="380" t="s">
        <v>15182</v>
      </c>
      <c r="B14308" s="380" t="str">
        <f>IFERROR(__xludf.DUMMYFUNCTION("""COMPUTED_VALUE"""),"Banda Infeed 60 L=1292 E 8/2 U")</f>
        <v>Banda Infeed 60 L=1292 E 8/2 U</v>
      </c>
      <c r="C14308" s="380" t="str">
        <f>IFERROR(__xludf.DUMMYFUNCTION("""COMPUTED_VALUE"""),"80000655")</f>
        <v>80000655</v>
      </c>
      <c r="D14308" s="380" t="s">
        <v>767</v>
      </c>
      <c r="E14308" s="380" t="s">
        <v>776</v>
      </c>
      <c r="F14308" s="380" t="s">
        <v>976</v>
      </c>
      <c r="G14308" s="380" t="s">
        <v>1267</v>
      </c>
      <c r="H14308" s="380" t="s">
        <v>771</v>
      </c>
      <c r="I14308" s="380" t="s">
        <v>788</v>
      </c>
      <c r="J14308" s="380" t="s">
        <v>773</v>
      </c>
      <c r="K14308" s="381">
        <v>0.0</v>
      </c>
      <c r="L14308" s="382">
        <v>1.0</v>
      </c>
    </row>
    <row r="14309">
      <c r="A14309" s="380" t="s">
        <v>15183</v>
      </c>
      <c r="B14309" s="380" t="str">
        <f>IFERROR(__xludf.DUMMYFUNCTION("""COMPUTED_VALUE"""),"Banda Infeed 60 L=1350 E 8/2 U")</f>
        <v>Banda Infeed 60 L=1350 E 8/2 U</v>
      </c>
      <c r="C14309" s="380" t="str">
        <f>IFERROR(__xludf.DUMMYFUNCTION("""COMPUTED_VALUE"""),"80000656")</f>
        <v>80000656</v>
      </c>
      <c r="D14309" s="380" t="s">
        <v>767</v>
      </c>
      <c r="E14309" s="380" t="s">
        <v>776</v>
      </c>
      <c r="F14309" s="380" t="s">
        <v>976</v>
      </c>
      <c r="G14309" s="380" t="s">
        <v>1267</v>
      </c>
      <c r="H14309" s="380" t="s">
        <v>771</v>
      </c>
      <c r="I14309" s="380" t="s">
        <v>788</v>
      </c>
      <c r="J14309" s="380" t="s">
        <v>773</v>
      </c>
      <c r="K14309" s="381">
        <v>0.0</v>
      </c>
      <c r="L14309" s="382">
        <v>1.0</v>
      </c>
    </row>
    <row r="14310">
      <c r="A14310" s="380" t="s">
        <v>15184</v>
      </c>
      <c r="B14310" s="380" t="str">
        <f>IFERROR(__xludf.DUMMYFUNCTION("""COMPUTED_VALUE"""),"Rodillo Cond D50 Eje D14 Ext15")</f>
        <v>Rodillo Cond D50 Eje D14 Ext15</v>
      </c>
      <c r="C14310" s="380" t="str">
        <f>IFERROR(__xludf.DUMMYFUNCTION("""COMPUTED_VALUE"""),"80000657")</f>
        <v>80000657</v>
      </c>
      <c r="D14310" s="380" t="s">
        <v>767</v>
      </c>
      <c r="E14310" s="380" t="s">
        <v>776</v>
      </c>
      <c r="F14310" s="380" t="s">
        <v>976</v>
      </c>
      <c r="G14310" s="380" t="s">
        <v>1267</v>
      </c>
      <c r="H14310" s="380" t="s">
        <v>771</v>
      </c>
      <c r="I14310" s="380" t="s">
        <v>788</v>
      </c>
      <c r="J14310" s="380" t="s">
        <v>773</v>
      </c>
      <c r="K14310" s="381">
        <v>0.0</v>
      </c>
      <c r="L14310" s="382">
        <v>1.0</v>
      </c>
    </row>
    <row r="14311">
      <c r="A14311" s="380" t="s">
        <v>15185</v>
      </c>
      <c r="B14311" s="380" t="str">
        <f>IFERROR(__xludf.DUMMYFUNCTION("""COMPUTED_VALUE"""),"Rodillo Cond D50 Eje D14 Ext15")</f>
        <v>Rodillo Cond D50 Eje D14 Ext15</v>
      </c>
      <c r="C14311" s="380" t="str">
        <f>IFERROR(__xludf.DUMMYFUNCTION("""COMPUTED_VALUE"""),"80000658")</f>
        <v>80000658</v>
      </c>
      <c r="D14311" s="380" t="s">
        <v>767</v>
      </c>
      <c r="E14311" s="380" t="s">
        <v>776</v>
      </c>
      <c r="F14311" s="380" t="s">
        <v>976</v>
      </c>
      <c r="G14311" s="380" t="s">
        <v>1267</v>
      </c>
      <c r="H14311" s="380" t="s">
        <v>771</v>
      </c>
      <c r="I14311" s="380" t="s">
        <v>788</v>
      </c>
      <c r="J14311" s="380" t="s">
        <v>773</v>
      </c>
      <c r="K14311" s="381">
        <v>0.0</v>
      </c>
      <c r="L14311" s="382">
        <v>1.0</v>
      </c>
    </row>
    <row r="14312">
      <c r="A14312" s="380" t="s">
        <v>15186</v>
      </c>
      <c r="B14312" s="380" t="str">
        <f>IFERROR(__xludf.DUMMYFUNCTION("""COMPUTED_VALUE"""),"Rodillo Cond D50 Eje D14 Ext15")</f>
        <v>Rodillo Cond D50 Eje D14 Ext15</v>
      </c>
      <c r="C14312" s="380" t="str">
        <f>IFERROR(__xludf.DUMMYFUNCTION("""COMPUTED_VALUE"""),"80000659")</f>
        <v>80000659</v>
      </c>
      <c r="D14312" s="380" t="s">
        <v>767</v>
      </c>
      <c r="E14312" s="380" t="s">
        <v>776</v>
      </c>
      <c r="F14312" s="380" t="s">
        <v>976</v>
      </c>
      <c r="G14312" s="380" t="s">
        <v>1267</v>
      </c>
      <c r="H14312" s="380" t="s">
        <v>771</v>
      </c>
      <c r="I14312" s="380" t="s">
        <v>788</v>
      </c>
      <c r="J14312" s="380" t="s">
        <v>773</v>
      </c>
      <c r="K14312" s="381">
        <v>0.0</v>
      </c>
      <c r="L14312" s="382">
        <v>1.0</v>
      </c>
    </row>
    <row r="14313">
      <c r="A14313" s="380" t="s">
        <v>15187</v>
      </c>
      <c r="B14313" s="380" t="str">
        <f>IFERROR(__xludf.DUMMYFUNCTION("""COMPUTED_VALUE"""),"Rodillo Cond D50 L = 473Mm Eje")</f>
        <v>Rodillo Cond D50 L = 473Mm Eje</v>
      </c>
      <c r="C14313" s="380" t="str">
        <f>IFERROR(__xludf.DUMMYFUNCTION("""COMPUTED_VALUE"""),"80000660")</f>
        <v>80000660</v>
      </c>
      <c r="D14313" s="380" t="s">
        <v>767</v>
      </c>
      <c r="E14313" s="380" t="s">
        <v>776</v>
      </c>
      <c r="F14313" s="380" t="s">
        <v>976</v>
      </c>
      <c r="G14313" s="380" t="s">
        <v>1267</v>
      </c>
      <c r="H14313" s="380" t="s">
        <v>771</v>
      </c>
      <c r="I14313" s="380" t="s">
        <v>788</v>
      </c>
      <c r="J14313" s="380" t="s">
        <v>773</v>
      </c>
      <c r="K14313" s="381">
        <v>0.0</v>
      </c>
      <c r="L14313" s="382">
        <v>1.0</v>
      </c>
    </row>
    <row r="14314">
      <c r="A14314" s="380" t="s">
        <v>15188</v>
      </c>
      <c r="B14314" s="380" t="str">
        <f>IFERROR(__xludf.DUMMYFUNCTION("""COMPUTED_VALUE"""),"Rodillo Cond D50 Eje D14 Ext15")</f>
        <v>Rodillo Cond D50 Eje D14 Ext15</v>
      </c>
      <c r="C14314" s="380" t="str">
        <f>IFERROR(__xludf.DUMMYFUNCTION("""COMPUTED_VALUE"""),"80000661")</f>
        <v>80000661</v>
      </c>
      <c r="D14314" s="380" t="s">
        <v>767</v>
      </c>
      <c r="E14314" s="380" t="s">
        <v>776</v>
      </c>
      <c r="F14314" s="380" t="s">
        <v>976</v>
      </c>
      <c r="G14314" s="380" t="s">
        <v>1267</v>
      </c>
      <c r="H14314" s="380" t="s">
        <v>771</v>
      </c>
      <c r="I14314" s="380" t="s">
        <v>788</v>
      </c>
      <c r="J14314" s="380" t="s">
        <v>773</v>
      </c>
      <c r="K14314" s="381">
        <v>0.0</v>
      </c>
      <c r="L14314" s="382">
        <v>1.0</v>
      </c>
    </row>
    <row r="14315">
      <c r="A14315" s="380" t="s">
        <v>15189</v>
      </c>
      <c r="B14315" s="380" t="str">
        <f>IFERROR(__xludf.DUMMYFUNCTION("""COMPUTED_VALUE"""),"Rodillo Cond D50 Eje D14 Ext15")</f>
        <v>Rodillo Cond D50 Eje D14 Ext15</v>
      </c>
      <c r="C14315" s="380" t="str">
        <f>IFERROR(__xludf.DUMMYFUNCTION("""COMPUTED_VALUE"""),"80000662")</f>
        <v>80000662</v>
      </c>
      <c r="D14315" s="380" t="s">
        <v>767</v>
      </c>
      <c r="E14315" s="380" t="s">
        <v>776</v>
      </c>
      <c r="F14315" s="380" t="s">
        <v>976</v>
      </c>
      <c r="G14315" s="380" t="s">
        <v>1267</v>
      </c>
      <c r="H14315" s="380" t="s">
        <v>771</v>
      </c>
      <c r="I14315" s="380" t="s">
        <v>788</v>
      </c>
      <c r="J14315" s="380" t="s">
        <v>773</v>
      </c>
      <c r="K14315" s="381">
        <v>0.0</v>
      </c>
      <c r="L14315" s="382">
        <v>1.0</v>
      </c>
    </row>
    <row r="14316">
      <c r="A14316" s="380" t="s">
        <v>15190</v>
      </c>
      <c r="B14316" s="380" t="str">
        <f>IFERROR(__xludf.DUMMYFUNCTION("""COMPUTED_VALUE"""),"Rodillo Cond D50 Eje D14 Ext15")</f>
        <v>Rodillo Cond D50 Eje D14 Ext15</v>
      </c>
      <c r="C14316" s="380" t="str">
        <f>IFERROR(__xludf.DUMMYFUNCTION("""COMPUTED_VALUE"""),"80000663")</f>
        <v>80000663</v>
      </c>
      <c r="D14316" s="380" t="s">
        <v>767</v>
      </c>
      <c r="E14316" s="380" t="s">
        <v>776</v>
      </c>
      <c r="F14316" s="380" t="s">
        <v>976</v>
      </c>
      <c r="G14316" s="380" t="s">
        <v>1267</v>
      </c>
      <c r="H14316" s="380" t="s">
        <v>771</v>
      </c>
      <c r="I14316" s="380" t="s">
        <v>788</v>
      </c>
      <c r="J14316" s="380" t="s">
        <v>773</v>
      </c>
      <c r="K14316" s="381">
        <v>0.0</v>
      </c>
      <c r="L14316" s="382">
        <v>1.0</v>
      </c>
    </row>
    <row r="14317">
      <c r="A14317" s="380" t="s">
        <v>15191</v>
      </c>
      <c r="B14317" s="380" t="str">
        <f>IFERROR(__xludf.DUMMYFUNCTION("""COMPUTED_VALUE"""),"Rodillo Cond D50 Eje D14 Ext15")</f>
        <v>Rodillo Cond D50 Eje D14 Ext15</v>
      </c>
      <c r="C14317" s="380" t="str">
        <f>IFERROR(__xludf.DUMMYFUNCTION("""COMPUTED_VALUE"""),"80000664")</f>
        <v>80000664</v>
      </c>
      <c r="D14317" s="380" t="s">
        <v>767</v>
      </c>
      <c r="E14317" s="380" t="s">
        <v>776</v>
      </c>
      <c r="F14317" s="380" t="s">
        <v>976</v>
      </c>
      <c r="G14317" s="380" t="s">
        <v>1267</v>
      </c>
      <c r="H14317" s="380" t="s">
        <v>771</v>
      </c>
      <c r="I14317" s="380" t="s">
        <v>788</v>
      </c>
      <c r="J14317" s="380" t="s">
        <v>773</v>
      </c>
      <c r="K14317" s="381">
        <v>0.0</v>
      </c>
      <c r="L14317" s="382">
        <v>1.0</v>
      </c>
    </row>
    <row r="14318">
      <c r="A14318" s="380" t="s">
        <v>15192</v>
      </c>
      <c r="B14318" s="380" t="str">
        <f>IFERROR(__xludf.DUMMYFUNCTION("""COMPUTED_VALUE"""),"Rodillo Cond D50 Eje D14 Ext15")</f>
        <v>Rodillo Cond D50 Eje D14 Ext15</v>
      </c>
      <c r="C14318" s="380" t="str">
        <f>IFERROR(__xludf.DUMMYFUNCTION("""COMPUTED_VALUE"""),"80000665")</f>
        <v>80000665</v>
      </c>
      <c r="D14318" s="380" t="s">
        <v>767</v>
      </c>
      <c r="E14318" s="380" t="s">
        <v>776</v>
      </c>
      <c r="F14318" s="380" t="s">
        <v>976</v>
      </c>
      <c r="G14318" s="380" t="s">
        <v>1267</v>
      </c>
      <c r="H14318" s="380" t="s">
        <v>771</v>
      </c>
      <c r="I14318" s="380" t="s">
        <v>788</v>
      </c>
      <c r="J14318" s="380" t="s">
        <v>773</v>
      </c>
      <c r="K14318" s="381">
        <v>0.0</v>
      </c>
      <c r="L14318" s="382">
        <v>1.0</v>
      </c>
    </row>
    <row r="14319">
      <c r="A14319" s="380" t="s">
        <v>15193</v>
      </c>
      <c r="B14319" s="380" t="str">
        <f>IFERROR(__xludf.DUMMYFUNCTION("""COMPUTED_VALUE"""),"Rodillo Cond D50 Eje D14 Ext15")</f>
        <v>Rodillo Cond D50 Eje D14 Ext15</v>
      </c>
      <c r="C14319" s="380" t="str">
        <f>IFERROR(__xludf.DUMMYFUNCTION("""COMPUTED_VALUE"""),"80000666")</f>
        <v>80000666</v>
      </c>
      <c r="D14319" s="380" t="s">
        <v>767</v>
      </c>
      <c r="E14319" s="380" t="s">
        <v>776</v>
      </c>
      <c r="F14319" s="380" t="s">
        <v>976</v>
      </c>
      <c r="G14319" s="380" t="s">
        <v>1267</v>
      </c>
      <c r="H14319" s="380" t="s">
        <v>771</v>
      </c>
      <c r="I14319" s="380" t="s">
        <v>788</v>
      </c>
      <c r="J14319" s="380" t="s">
        <v>773</v>
      </c>
      <c r="K14319" s="381">
        <v>0.0</v>
      </c>
      <c r="L14319" s="382">
        <v>1.0</v>
      </c>
    </row>
    <row r="14320">
      <c r="A14320" s="380" t="s">
        <v>15194</v>
      </c>
      <c r="B14320" s="380" t="str">
        <f>IFERROR(__xludf.DUMMYFUNCTION("""COMPUTED_VALUE"""),"Rodillo Cond D50 Eje D14 Ext15")</f>
        <v>Rodillo Cond D50 Eje D14 Ext15</v>
      </c>
      <c r="C14320" s="380" t="str">
        <f>IFERROR(__xludf.DUMMYFUNCTION("""COMPUTED_VALUE"""),"80000667")</f>
        <v>80000667</v>
      </c>
      <c r="D14320" s="380" t="s">
        <v>767</v>
      </c>
      <c r="E14320" s="380" t="s">
        <v>776</v>
      </c>
      <c r="F14320" s="380" t="s">
        <v>976</v>
      </c>
      <c r="G14320" s="380" t="s">
        <v>1267</v>
      </c>
      <c r="H14320" s="380" t="s">
        <v>771</v>
      </c>
      <c r="I14320" s="380" t="s">
        <v>788</v>
      </c>
      <c r="J14320" s="380" t="s">
        <v>773</v>
      </c>
      <c r="K14320" s="381">
        <v>0.0</v>
      </c>
      <c r="L14320" s="382">
        <v>1.0</v>
      </c>
    </row>
    <row r="14321">
      <c r="A14321" s="380" t="s">
        <v>15195</v>
      </c>
      <c r="B14321" s="380" t="str">
        <f>IFERROR(__xludf.DUMMYFUNCTION("""COMPUTED_VALUE"""),"Rodillo Cond D50 Eje D14 Ext15")</f>
        <v>Rodillo Cond D50 Eje D14 Ext15</v>
      </c>
      <c r="C14321" s="380" t="str">
        <f>IFERROR(__xludf.DUMMYFUNCTION("""COMPUTED_VALUE"""),"80000668")</f>
        <v>80000668</v>
      </c>
      <c r="D14321" s="380" t="s">
        <v>767</v>
      </c>
      <c r="E14321" s="380" t="s">
        <v>776</v>
      </c>
      <c r="F14321" s="380" t="s">
        <v>976</v>
      </c>
      <c r="G14321" s="380" t="s">
        <v>1267</v>
      </c>
      <c r="H14321" s="380" t="s">
        <v>771</v>
      </c>
      <c r="I14321" s="380" t="s">
        <v>788</v>
      </c>
      <c r="J14321" s="380" t="s">
        <v>773</v>
      </c>
      <c r="K14321" s="381">
        <v>0.0</v>
      </c>
      <c r="L14321" s="382">
        <v>1.0</v>
      </c>
    </row>
    <row r="14322">
      <c r="A14322" s="380" t="s">
        <v>15196</v>
      </c>
      <c r="B14322" s="380" t="str">
        <f>IFERROR(__xludf.DUMMYFUNCTION("""COMPUTED_VALUE"""),"Rodillo Cond D50 Eje D14 Ext15")</f>
        <v>Rodillo Cond D50 Eje D14 Ext15</v>
      </c>
      <c r="C14322" s="380" t="str">
        <f>IFERROR(__xludf.DUMMYFUNCTION("""COMPUTED_VALUE"""),"80000669")</f>
        <v>80000669</v>
      </c>
      <c r="D14322" s="380" t="s">
        <v>767</v>
      </c>
      <c r="E14322" s="380" t="s">
        <v>776</v>
      </c>
      <c r="F14322" s="380" t="s">
        <v>976</v>
      </c>
      <c r="G14322" s="380" t="s">
        <v>1267</v>
      </c>
      <c r="H14322" s="380" t="s">
        <v>771</v>
      </c>
      <c r="I14322" s="380" t="s">
        <v>788</v>
      </c>
      <c r="J14322" s="380" t="s">
        <v>773</v>
      </c>
      <c r="K14322" s="381">
        <v>0.0</v>
      </c>
      <c r="L14322" s="382">
        <v>1.0</v>
      </c>
    </row>
    <row r="14323">
      <c r="A14323" s="380" t="s">
        <v>15197</v>
      </c>
      <c r="B14323" s="380" t="str">
        <f>IFERROR(__xludf.DUMMYFUNCTION("""COMPUTED_VALUE"""),"Rodillo Cond D50 Eje D14 Ext15")</f>
        <v>Rodillo Cond D50 Eje D14 Ext15</v>
      </c>
      <c r="C14323" s="380" t="str">
        <f>IFERROR(__xludf.DUMMYFUNCTION("""COMPUTED_VALUE"""),"80000670")</f>
        <v>80000670</v>
      </c>
      <c r="D14323" s="380" t="s">
        <v>767</v>
      </c>
      <c r="E14323" s="380" t="s">
        <v>776</v>
      </c>
      <c r="F14323" s="380" t="s">
        <v>976</v>
      </c>
      <c r="G14323" s="380" t="s">
        <v>1267</v>
      </c>
      <c r="H14323" s="380" t="s">
        <v>771</v>
      </c>
      <c r="I14323" s="380" t="s">
        <v>788</v>
      </c>
      <c r="J14323" s="380" t="s">
        <v>773</v>
      </c>
      <c r="K14323" s="381">
        <v>0.0</v>
      </c>
      <c r="L14323" s="382">
        <v>1.0</v>
      </c>
    </row>
    <row r="14324">
      <c r="A14324" s="380" t="s">
        <v>15198</v>
      </c>
      <c r="B14324" s="380" t="str">
        <f>IFERROR(__xludf.DUMMYFUNCTION("""COMPUTED_VALUE"""),"Rodillo Cond D50 Eje D14 Ext15")</f>
        <v>Rodillo Cond D50 Eje D14 Ext15</v>
      </c>
      <c r="C14324" s="380" t="str">
        <f>IFERROR(__xludf.DUMMYFUNCTION("""COMPUTED_VALUE"""),"80000671")</f>
        <v>80000671</v>
      </c>
      <c r="D14324" s="380" t="s">
        <v>767</v>
      </c>
      <c r="E14324" s="380" t="s">
        <v>776</v>
      </c>
      <c r="F14324" s="380" t="s">
        <v>976</v>
      </c>
      <c r="G14324" s="380" t="s">
        <v>1267</v>
      </c>
      <c r="H14324" s="380" t="s">
        <v>771</v>
      </c>
      <c r="I14324" s="380" t="s">
        <v>788</v>
      </c>
      <c r="J14324" s="380" t="s">
        <v>773</v>
      </c>
      <c r="K14324" s="381">
        <v>0.0</v>
      </c>
      <c r="L14324" s="382">
        <v>1.0</v>
      </c>
    </row>
    <row r="14325">
      <c r="A14325" s="380" t="s">
        <v>15199</v>
      </c>
      <c r="B14325" s="380" t="str">
        <f>IFERROR(__xludf.DUMMYFUNCTION("""COMPUTED_VALUE"""),"Rodillo Grv D60 L= 1380 Mm Eje")</f>
        <v>Rodillo Grv D60 L= 1380 Mm Eje</v>
      </c>
      <c r="C14325" s="380" t="str">
        <f>IFERROR(__xludf.DUMMYFUNCTION("""COMPUTED_VALUE"""),"80000672")</f>
        <v>80000672</v>
      </c>
      <c r="D14325" s="380" t="s">
        <v>767</v>
      </c>
      <c r="E14325" s="380" t="s">
        <v>776</v>
      </c>
      <c r="F14325" s="380" t="s">
        <v>976</v>
      </c>
      <c r="G14325" s="380" t="s">
        <v>1267</v>
      </c>
      <c r="H14325" s="380" t="s">
        <v>771</v>
      </c>
      <c r="I14325" s="380" t="s">
        <v>788</v>
      </c>
      <c r="J14325" s="380" t="s">
        <v>773</v>
      </c>
      <c r="K14325" s="381">
        <v>0.0</v>
      </c>
      <c r="L14325" s="382">
        <v>1.0</v>
      </c>
    </row>
    <row r="14326">
      <c r="A14326" s="380" t="s">
        <v>15200</v>
      </c>
      <c r="B14326" s="380" t="str">
        <f>IFERROR(__xludf.DUMMYFUNCTION("""COMPUTED_VALUE"""),"Rodillo D60 Agl= 598 Mm Eje D1")</f>
        <v>Rodillo D60 Agl= 598 Mm Eje D1</v>
      </c>
      <c r="C14326" s="380" t="str">
        <f>IFERROR(__xludf.DUMMYFUNCTION("""COMPUTED_VALUE"""),"80000673")</f>
        <v>80000673</v>
      </c>
      <c r="D14326" s="380" t="s">
        <v>767</v>
      </c>
      <c r="E14326" s="380" t="s">
        <v>776</v>
      </c>
      <c r="F14326" s="380" t="s">
        <v>976</v>
      </c>
      <c r="G14326" s="380" t="s">
        <v>1267</v>
      </c>
      <c r="H14326" s="380" t="s">
        <v>771</v>
      </c>
      <c r="I14326" s="380" t="s">
        <v>788</v>
      </c>
      <c r="J14326" s="380" t="s">
        <v>773</v>
      </c>
      <c r="K14326" s="381">
        <v>0.0</v>
      </c>
      <c r="L14326" s="382">
        <v>1.0</v>
      </c>
    </row>
    <row r="14327">
      <c r="A14327" s="380" t="s">
        <v>15201</v>
      </c>
      <c r="B14327" s="380" t="str">
        <f>IFERROR(__xludf.DUMMYFUNCTION("""COMPUTED_VALUE"""),"Rodillo D60 Agl= 838 Mm Eje D1")</f>
        <v>Rodillo D60 Agl= 838 Mm Eje D1</v>
      </c>
      <c r="C14327" s="380" t="str">
        <f>IFERROR(__xludf.DUMMYFUNCTION("""COMPUTED_VALUE"""),"80000674")</f>
        <v>80000674</v>
      </c>
      <c r="D14327" s="380" t="s">
        <v>767</v>
      </c>
      <c r="E14327" s="380" t="s">
        <v>776</v>
      </c>
      <c r="F14327" s="380" t="s">
        <v>976</v>
      </c>
      <c r="G14327" s="380" t="s">
        <v>1267</v>
      </c>
      <c r="H14327" s="380" t="s">
        <v>771</v>
      </c>
      <c r="I14327" s="380" t="s">
        <v>788</v>
      </c>
      <c r="J14327" s="380" t="s">
        <v>773</v>
      </c>
      <c r="K14327" s="381">
        <v>0.0</v>
      </c>
      <c r="L14327" s="382">
        <v>1.0</v>
      </c>
    </row>
    <row r="14328">
      <c r="A14328" s="380" t="s">
        <v>15202</v>
      </c>
      <c r="B14328" s="380" t="str">
        <f>IFERROR(__xludf.DUMMYFUNCTION("""COMPUTED_VALUE"""),"Rodillo Grv D20 L= 859 Eje Con")</f>
        <v>Rodillo Grv D20 L= 859 Eje Con</v>
      </c>
      <c r="C14328" s="380" t="str">
        <f>IFERROR(__xludf.DUMMYFUNCTION("""COMPUTED_VALUE"""),"80000675")</f>
        <v>80000675</v>
      </c>
      <c r="D14328" s="380" t="s">
        <v>767</v>
      </c>
      <c r="E14328" s="380" t="s">
        <v>776</v>
      </c>
      <c r="F14328" s="380" t="s">
        <v>976</v>
      </c>
      <c r="G14328" s="380" t="s">
        <v>1267</v>
      </c>
      <c r="H14328" s="380" t="s">
        <v>771</v>
      </c>
      <c r="I14328" s="380" t="s">
        <v>788</v>
      </c>
      <c r="J14328" s="380" t="s">
        <v>773</v>
      </c>
      <c r="K14328" s="381">
        <v>0.0</v>
      </c>
      <c r="L14328" s="382">
        <v>1.0</v>
      </c>
    </row>
    <row r="14329">
      <c r="A14329" s="380" t="s">
        <v>15203</v>
      </c>
      <c r="B14329" s="380" t="str">
        <f>IFERROR(__xludf.DUMMYFUNCTION("""COMPUTED_VALUE"""),"Rodillo Grv D20 L= 959 Eje Con")</f>
        <v>Rodillo Grv D20 L= 959 Eje Con</v>
      </c>
      <c r="C14329" s="380" t="str">
        <f>IFERROR(__xludf.DUMMYFUNCTION("""COMPUTED_VALUE"""),"80000676")</f>
        <v>80000676</v>
      </c>
      <c r="D14329" s="380" t="s">
        <v>767</v>
      </c>
      <c r="E14329" s="380" t="s">
        <v>776</v>
      </c>
      <c r="F14329" s="380" t="s">
        <v>976</v>
      </c>
      <c r="G14329" s="380" t="s">
        <v>1267</v>
      </c>
      <c r="H14329" s="380" t="s">
        <v>771</v>
      </c>
      <c r="I14329" s="380" t="s">
        <v>788</v>
      </c>
      <c r="J14329" s="380" t="s">
        <v>773</v>
      </c>
      <c r="K14329" s="381">
        <v>0.0</v>
      </c>
      <c r="L14329" s="382">
        <v>1.0</v>
      </c>
    </row>
    <row r="14330">
      <c r="A14330" s="380" t="s">
        <v>15204</v>
      </c>
      <c r="B14330" s="380" t="str">
        <f>IFERROR(__xludf.DUMMYFUNCTION("""COMPUTED_VALUE"""),"Gancho De Red 6X60 Mm Trs")</f>
        <v>Gancho De Red 6X60 Mm Trs</v>
      </c>
      <c r="C14330" s="380" t="str">
        <f>IFERROR(__xludf.DUMMYFUNCTION("""COMPUTED_VALUE"""),"80000677")</f>
        <v>80000677</v>
      </c>
      <c r="D14330" s="380" t="s">
        <v>767</v>
      </c>
      <c r="E14330" s="380" t="s">
        <v>776</v>
      </c>
      <c r="F14330" s="380" t="s">
        <v>976</v>
      </c>
      <c r="G14330" s="380" t="s">
        <v>1267</v>
      </c>
      <c r="H14330" s="380" t="s">
        <v>771</v>
      </c>
      <c r="I14330" s="380" t="s">
        <v>788</v>
      </c>
      <c r="J14330" s="380" t="s">
        <v>773</v>
      </c>
      <c r="K14330" s="381">
        <v>0.0</v>
      </c>
      <c r="L14330" s="382">
        <v>1.0</v>
      </c>
    </row>
    <row r="14331">
      <c r="A14331" s="380" t="s">
        <v>15205</v>
      </c>
      <c r="B14331" s="380" t="str">
        <f>IFERROR(__xludf.DUMMYFUNCTION("""COMPUTED_VALUE"""),"Resorte De Compresion C 25X20")</f>
        <v>Resorte De Compresion C 25X20</v>
      </c>
      <c r="C14331" s="380" t="str">
        <f>IFERROR(__xludf.DUMMYFUNCTION("""COMPUTED_VALUE"""),"80000678")</f>
        <v>80000678</v>
      </c>
      <c r="D14331" s="380" t="s">
        <v>767</v>
      </c>
      <c r="E14331" s="380" t="s">
        <v>776</v>
      </c>
      <c r="F14331" s="380" t="s">
        <v>976</v>
      </c>
      <c r="G14331" s="380" t="s">
        <v>1267</v>
      </c>
      <c r="H14331" s="380" t="s">
        <v>771</v>
      </c>
      <c r="I14331" s="380" t="s">
        <v>788</v>
      </c>
      <c r="J14331" s="380" t="s">
        <v>773</v>
      </c>
      <c r="K14331" s="381">
        <v>0.0</v>
      </c>
      <c r="L14331" s="382">
        <v>1.0</v>
      </c>
    </row>
    <row r="14332">
      <c r="A14332" s="380" t="s">
        <v>15206</v>
      </c>
      <c r="B14332" s="380" t="str">
        <f>IFERROR(__xludf.DUMMYFUNCTION("""COMPUTED_VALUE"""),"Resorte De Compresion A 50X30A")</f>
        <v>Resorte De Compresion A 50X30A</v>
      </c>
      <c r="C14332" s="380" t="str">
        <f>IFERROR(__xludf.DUMMYFUNCTION("""COMPUTED_VALUE"""),"80000679")</f>
        <v>80000679</v>
      </c>
      <c r="D14332" s="380" t="s">
        <v>767</v>
      </c>
      <c r="E14332" s="380" t="s">
        <v>776</v>
      </c>
      <c r="F14332" s="380" t="s">
        <v>976</v>
      </c>
      <c r="G14332" s="380" t="s">
        <v>1267</v>
      </c>
      <c r="H14332" s="380" t="s">
        <v>771</v>
      </c>
      <c r="I14332" s="380" t="s">
        <v>788</v>
      </c>
      <c r="J14332" s="380" t="s">
        <v>773</v>
      </c>
      <c r="K14332" s="381">
        <v>0.0</v>
      </c>
      <c r="L14332" s="382">
        <v>1.0</v>
      </c>
    </row>
    <row r="14333">
      <c r="A14333" s="380" t="s">
        <v>15207</v>
      </c>
      <c r="B14333" s="380" t="str">
        <f>IFERROR(__xludf.DUMMYFUNCTION("""COMPUTED_VALUE"""),"Resorte De Compresion A 50X30")</f>
        <v>Resorte De Compresion A 50X30</v>
      </c>
      <c r="C14333" s="380" t="str">
        <f>IFERROR(__xludf.DUMMYFUNCTION("""COMPUTED_VALUE"""),"80000680")</f>
        <v>80000680</v>
      </c>
      <c r="D14333" s="380" t="s">
        <v>767</v>
      </c>
      <c r="E14333" s="380" t="s">
        <v>776</v>
      </c>
      <c r="F14333" s="380" t="s">
        <v>976</v>
      </c>
      <c r="G14333" s="380" t="s">
        <v>1267</v>
      </c>
      <c r="H14333" s="380" t="s">
        <v>771</v>
      </c>
      <c r="I14333" s="380" t="s">
        <v>788</v>
      </c>
      <c r="J14333" s="380" t="s">
        <v>773</v>
      </c>
      <c r="K14333" s="381">
        <v>0.0</v>
      </c>
      <c r="L14333" s="382">
        <v>1.0</v>
      </c>
    </row>
    <row r="14334">
      <c r="A14334" s="380" t="s">
        <v>15208</v>
      </c>
      <c r="B14334" s="380" t="str">
        <f>IFERROR(__xludf.DUMMYFUNCTION("""COMPUTED_VALUE"""),"Tensor De Resorte 3020Bf 55° S")</f>
        <v>Tensor De Resorte 3020Bf 55° S</v>
      </c>
      <c r="C14334" s="380" t="str">
        <f>IFERROR(__xludf.DUMMYFUNCTION("""COMPUTED_VALUE"""),"80000681")</f>
        <v>80000681</v>
      </c>
      <c r="D14334" s="380" t="s">
        <v>767</v>
      </c>
      <c r="E14334" s="380" t="s">
        <v>776</v>
      </c>
      <c r="F14334" s="380" t="s">
        <v>976</v>
      </c>
      <c r="G14334" s="380" t="s">
        <v>1267</v>
      </c>
      <c r="H14334" s="380" t="s">
        <v>771</v>
      </c>
      <c r="I14334" s="380" t="s">
        <v>788</v>
      </c>
      <c r="J14334" s="380" t="s">
        <v>773</v>
      </c>
      <c r="K14334" s="381">
        <v>0.0</v>
      </c>
      <c r="L14334" s="382">
        <v>1.0</v>
      </c>
    </row>
    <row r="14335">
      <c r="A14335" s="380" t="s">
        <v>15209</v>
      </c>
      <c r="B14335" s="380" t="str">
        <f>IFERROR(__xludf.DUMMYFUNCTION("""COMPUTED_VALUE"""),"Tensor De Resorte 3021Bf 70° S")</f>
        <v>Tensor De Resorte 3021Bf 70° S</v>
      </c>
      <c r="C14335" s="380" t="str">
        <f>IFERROR(__xludf.DUMMYFUNCTION("""COMPUTED_VALUE"""),"80000682")</f>
        <v>80000682</v>
      </c>
      <c r="D14335" s="380" t="s">
        <v>767</v>
      </c>
      <c r="E14335" s="380" t="s">
        <v>776</v>
      </c>
      <c r="F14335" s="380" t="s">
        <v>976</v>
      </c>
      <c r="G14335" s="380" t="s">
        <v>1267</v>
      </c>
      <c r="H14335" s="380" t="s">
        <v>771</v>
      </c>
      <c r="I14335" s="380" t="s">
        <v>788</v>
      </c>
      <c r="J14335" s="380" t="s">
        <v>773</v>
      </c>
      <c r="K14335" s="381">
        <v>0.0</v>
      </c>
      <c r="L14335" s="382">
        <v>1.0</v>
      </c>
    </row>
    <row r="14336">
      <c r="A14336" s="380" t="s">
        <v>15210</v>
      </c>
      <c r="B14336" s="380" t="str">
        <f>IFERROR(__xludf.DUMMYFUNCTION("""COMPUTED_VALUE"""),"Rodillo Cond D50 Eje D14 Ext15")</f>
        <v>Rodillo Cond D50 Eje D14 Ext15</v>
      </c>
      <c r="C14336" s="380" t="str">
        <f>IFERROR(__xludf.DUMMYFUNCTION("""COMPUTED_VALUE"""),"80000683")</f>
        <v>80000683</v>
      </c>
      <c r="D14336" s="380" t="s">
        <v>767</v>
      </c>
      <c r="E14336" s="380" t="s">
        <v>776</v>
      </c>
      <c r="F14336" s="380" t="s">
        <v>976</v>
      </c>
      <c r="G14336" s="380" t="s">
        <v>1267</v>
      </c>
      <c r="H14336" s="380" t="s">
        <v>771</v>
      </c>
      <c r="I14336" s="380" t="s">
        <v>788</v>
      </c>
      <c r="J14336" s="380" t="s">
        <v>773</v>
      </c>
      <c r="K14336" s="381">
        <v>0.0</v>
      </c>
      <c r="L14336" s="382">
        <v>1.0</v>
      </c>
    </row>
    <row r="14337">
      <c r="A14337" s="380" t="s">
        <v>15211</v>
      </c>
      <c r="B14337" s="380" t="str">
        <f>IFERROR(__xludf.DUMMYFUNCTION("""COMPUTED_VALUE"""),"Rodillo Cond D50 Eje D14 Ext15")</f>
        <v>Rodillo Cond D50 Eje D14 Ext15</v>
      </c>
      <c r="C14337" s="380" t="str">
        <f>IFERROR(__xludf.DUMMYFUNCTION("""COMPUTED_VALUE"""),"80000684")</f>
        <v>80000684</v>
      </c>
      <c r="D14337" s="380" t="s">
        <v>767</v>
      </c>
      <c r="E14337" s="380" t="s">
        <v>776</v>
      </c>
      <c r="F14337" s="380" t="s">
        <v>976</v>
      </c>
      <c r="G14337" s="380" t="s">
        <v>1267</v>
      </c>
      <c r="H14337" s="380" t="s">
        <v>771</v>
      </c>
      <c r="I14337" s="380" t="s">
        <v>788</v>
      </c>
      <c r="J14337" s="380" t="s">
        <v>773</v>
      </c>
      <c r="K14337" s="381">
        <v>0.0</v>
      </c>
      <c r="L14337" s="382">
        <v>1.0</v>
      </c>
    </row>
    <row r="14338">
      <c r="A14338" s="380" t="s">
        <v>15212</v>
      </c>
      <c r="B14338" s="380" t="str">
        <f>IFERROR(__xludf.DUMMYFUNCTION("""COMPUTED_VALUE"""),"Rodillo Cond D50 Eje D14 Ext15")</f>
        <v>Rodillo Cond D50 Eje D14 Ext15</v>
      </c>
      <c r="C14338" s="380" t="str">
        <f>IFERROR(__xludf.DUMMYFUNCTION("""COMPUTED_VALUE"""),"80000685")</f>
        <v>80000685</v>
      </c>
      <c r="D14338" s="380" t="s">
        <v>767</v>
      </c>
      <c r="E14338" s="380" t="s">
        <v>776</v>
      </c>
      <c r="F14338" s="380" t="s">
        <v>976</v>
      </c>
      <c r="G14338" s="380" t="s">
        <v>1267</v>
      </c>
      <c r="H14338" s="380" t="s">
        <v>771</v>
      </c>
      <c r="I14338" s="380" t="s">
        <v>788</v>
      </c>
      <c r="J14338" s="380" t="s">
        <v>773</v>
      </c>
      <c r="K14338" s="381">
        <v>0.0</v>
      </c>
      <c r="L14338" s="382">
        <v>1.0</v>
      </c>
    </row>
    <row r="14339">
      <c r="A14339" s="380" t="s">
        <v>15213</v>
      </c>
      <c r="B14339" s="380" t="str">
        <f>IFERROR(__xludf.DUMMYFUNCTION("""COMPUTED_VALUE"""),"Rodillo Cond D50 Eje D14 Ext15")</f>
        <v>Rodillo Cond D50 Eje D14 Ext15</v>
      </c>
      <c r="C14339" s="380" t="str">
        <f>IFERROR(__xludf.DUMMYFUNCTION("""COMPUTED_VALUE"""),"80000686")</f>
        <v>80000686</v>
      </c>
      <c r="D14339" s="380" t="s">
        <v>767</v>
      </c>
      <c r="E14339" s="380" t="s">
        <v>776</v>
      </c>
      <c r="F14339" s="380" t="s">
        <v>976</v>
      </c>
      <c r="G14339" s="380" t="s">
        <v>1267</v>
      </c>
      <c r="H14339" s="380" t="s">
        <v>771</v>
      </c>
      <c r="I14339" s="380" t="s">
        <v>788</v>
      </c>
      <c r="J14339" s="380" t="s">
        <v>773</v>
      </c>
      <c r="K14339" s="381">
        <v>0.0</v>
      </c>
      <c r="L14339" s="382">
        <v>1.0</v>
      </c>
    </row>
    <row r="14340">
      <c r="A14340" s="380" t="s">
        <v>15214</v>
      </c>
      <c r="B14340" s="380" t="str">
        <f>IFERROR(__xludf.DUMMYFUNCTION("""COMPUTED_VALUE"""),"Rodillo Grv Res D50 L=140Mm Ej")</f>
        <v>Rodillo Grv Res D50 L=140Mm Ej</v>
      </c>
      <c r="C14340" s="380" t="str">
        <f>IFERROR(__xludf.DUMMYFUNCTION("""COMPUTED_VALUE"""),"80000687")</f>
        <v>80000687</v>
      </c>
      <c r="D14340" s="380" t="s">
        <v>767</v>
      </c>
      <c r="E14340" s="380" t="s">
        <v>776</v>
      </c>
      <c r="F14340" s="380" t="s">
        <v>976</v>
      </c>
      <c r="G14340" s="380" t="s">
        <v>1267</v>
      </c>
      <c r="H14340" s="380" t="s">
        <v>771</v>
      </c>
      <c r="I14340" s="380" t="s">
        <v>788</v>
      </c>
      <c r="J14340" s="380" t="s">
        <v>773</v>
      </c>
      <c r="K14340" s="381">
        <v>0.0</v>
      </c>
      <c r="L14340" s="382">
        <v>1.0</v>
      </c>
    </row>
    <row r="14341">
      <c r="A14341" s="380" t="s">
        <v>15215</v>
      </c>
      <c r="B14341" s="380" t="str">
        <f>IFERROR(__xludf.DUMMYFUNCTION("""COMPUTED_VALUE"""),"Rodillo Cond D50 L=172Mm Eje D")</f>
        <v>Rodillo Cond D50 L=172Mm Eje D</v>
      </c>
      <c r="C14341" s="380" t="str">
        <f>IFERROR(__xludf.DUMMYFUNCTION("""COMPUTED_VALUE"""),"80000688")</f>
        <v>80000688</v>
      </c>
      <c r="D14341" s="380" t="s">
        <v>767</v>
      </c>
      <c r="E14341" s="380" t="s">
        <v>776</v>
      </c>
      <c r="F14341" s="380" t="s">
        <v>976</v>
      </c>
      <c r="G14341" s="380" t="s">
        <v>1267</v>
      </c>
      <c r="H14341" s="380" t="s">
        <v>771</v>
      </c>
      <c r="I14341" s="380" t="s">
        <v>788</v>
      </c>
      <c r="J14341" s="380" t="s">
        <v>773</v>
      </c>
      <c r="K14341" s="381">
        <v>0.0</v>
      </c>
      <c r="L14341" s="382">
        <v>1.0</v>
      </c>
    </row>
    <row r="14342">
      <c r="A14342" s="380" t="s">
        <v>15216</v>
      </c>
      <c r="B14342" s="380" t="str">
        <f>IFERROR(__xludf.DUMMYFUNCTION("""COMPUTED_VALUE"""),"Rodillo Cond D50 L= 265 Mm Eje")</f>
        <v>Rodillo Cond D50 L= 265 Mm Eje</v>
      </c>
      <c r="C14342" s="380" t="str">
        <f>IFERROR(__xludf.DUMMYFUNCTION("""COMPUTED_VALUE"""),"80000689")</f>
        <v>80000689</v>
      </c>
      <c r="D14342" s="380" t="s">
        <v>767</v>
      </c>
      <c r="E14342" s="380" t="s">
        <v>776</v>
      </c>
      <c r="F14342" s="380" t="s">
        <v>976</v>
      </c>
      <c r="G14342" s="380" t="s">
        <v>1267</v>
      </c>
      <c r="H14342" s="380" t="s">
        <v>771</v>
      </c>
      <c r="I14342" s="380" t="s">
        <v>788</v>
      </c>
      <c r="J14342" s="380" t="s">
        <v>773</v>
      </c>
      <c r="K14342" s="381">
        <v>0.0</v>
      </c>
      <c r="L14342" s="382">
        <v>1.0</v>
      </c>
    </row>
    <row r="14343">
      <c r="A14343" s="380" t="s">
        <v>15217</v>
      </c>
      <c r="B14343" s="380" t="str">
        <f>IFERROR(__xludf.DUMMYFUNCTION("""COMPUTED_VALUE"""),"Rodillo Cond D50 L= 270 Mm Eje")</f>
        <v>Rodillo Cond D50 L= 270 Mm Eje</v>
      </c>
      <c r="C14343" s="380" t="str">
        <f>IFERROR(__xludf.DUMMYFUNCTION("""COMPUTED_VALUE"""),"80000690")</f>
        <v>80000690</v>
      </c>
      <c r="D14343" s="380" t="s">
        <v>767</v>
      </c>
      <c r="E14343" s="380" t="s">
        <v>776</v>
      </c>
      <c r="F14343" s="380" t="s">
        <v>976</v>
      </c>
      <c r="G14343" s="380" t="s">
        <v>1267</v>
      </c>
      <c r="H14343" s="380" t="s">
        <v>771</v>
      </c>
      <c r="I14343" s="380" t="s">
        <v>788</v>
      </c>
      <c r="J14343" s="380" t="s">
        <v>773</v>
      </c>
      <c r="K14343" s="381">
        <v>0.0</v>
      </c>
      <c r="L14343" s="382">
        <v>1.0</v>
      </c>
    </row>
    <row r="14344">
      <c r="A14344" s="380" t="s">
        <v>15218</v>
      </c>
      <c r="B14344" s="380" t="str">
        <f>IFERROR(__xludf.DUMMYFUNCTION("""COMPUTED_VALUE"""),"Rodillo Cond D50 L= 489 Mm Eje")</f>
        <v>Rodillo Cond D50 L= 489 Mm Eje</v>
      </c>
      <c r="C14344" s="380" t="str">
        <f>IFERROR(__xludf.DUMMYFUNCTION("""COMPUTED_VALUE"""),"80000691")</f>
        <v>80000691</v>
      </c>
      <c r="D14344" s="380" t="s">
        <v>767</v>
      </c>
      <c r="E14344" s="380" t="s">
        <v>776</v>
      </c>
      <c r="F14344" s="380" t="s">
        <v>976</v>
      </c>
      <c r="G14344" s="380" t="s">
        <v>1267</v>
      </c>
      <c r="H14344" s="380" t="s">
        <v>771</v>
      </c>
      <c r="I14344" s="380" t="s">
        <v>788</v>
      </c>
      <c r="J14344" s="380" t="s">
        <v>773</v>
      </c>
      <c r="K14344" s="381">
        <v>0.0</v>
      </c>
      <c r="L14344" s="382">
        <v>1.0</v>
      </c>
    </row>
    <row r="14345">
      <c r="A14345" s="380" t="s">
        <v>15219</v>
      </c>
      <c r="B14345" s="380" t="str">
        <f>IFERROR(__xludf.DUMMYFUNCTION("""COMPUTED_VALUE"""),"Rodillo Cond D50 L= 582 Mm Eje")</f>
        <v>Rodillo Cond D50 L= 582 Mm Eje</v>
      </c>
      <c r="C14345" s="380" t="str">
        <f>IFERROR(__xludf.DUMMYFUNCTION("""COMPUTED_VALUE"""),"80000692")</f>
        <v>80000692</v>
      </c>
      <c r="D14345" s="380" t="s">
        <v>767</v>
      </c>
      <c r="E14345" s="380" t="s">
        <v>776</v>
      </c>
      <c r="F14345" s="380" t="s">
        <v>976</v>
      </c>
      <c r="G14345" s="380" t="s">
        <v>1267</v>
      </c>
      <c r="H14345" s="380" t="s">
        <v>771</v>
      </c>
      <c r="I14345" s="380" t="s">
        <v>788</v>
      </c>
      <c r="J14345" s="380" t="s">
        <v>773</v>
      </c>
      <c r="K14345" s="381">
        <v>0.0</v>
      </c>
      <c r="L14345" s="382">
        <v>1.0</v>
      </c>
    </row>
    <row r="14346">
      <c r="A14346" s="380" t="s">
        <v>15220</v>
      </c>
      <c r="B14346" s="380" t="str">
        <f>IFERROR(__xludf.DUMMYFUNCTION("""COMPUTED_VALUE"""),"Rodillo Cond D50 L= 591 Mm Eje")</f>
        <v>Rodillo Cond D50 L= 591 Mm Eje</v>
      </c>
      <c r="C14346" s="380" t="str">
        <f>IFERROR(__xludf.DUMMYFUNCTION("""COMPUTED_VALUE"""),"80000693")</f>
        <v>80000693</v>
      </c>
      <c r="D14346" s="380" t="s">
        <v>767</v>
      </c>
      <c r="E14346" s="380" t="s">
        <v>776</v>
      </c>
      <c r="F14346" s="380" t="s">
        <v>976</v>
      </c>
      <c r="G14346" s="380" t="s">
        <v>1267</v>
      </c>
      <c r="H14346" s="380" t="s">
        <v>771</v>
      </c>
      <c r="I14346" s="380" t="s">
        <v>788</v>
      </c>
      <c r="J14346" s="380" t="s">
        <v>773</v>
      </c>
      <c r="K14346" s="381">
        <v>0.0</v>
      </c>
      <c r="L14346" s="382">
        <v>1.0</v>
      </c>
    </row>
    <row r="14347">
      <c r="A14347" s="380" t="s">
        <v>15221</v>
      </c>
      <c r="B14347" s="380" t="str">
        <f>IFERROR(__xludf.DUMMYFUNCTION("""COMPUTED_VALUE"""),"Rodillo Cond D50 L= 806 Mm Eje")</f>
        <v>Rodillo Cond D50 L= 806 Mm Eje</v>
      </c>
      <c r="C14347" s="380" t="str">
        <f>IFERROR(__xludf.DUMMYFUNCTION("""COMPUTED_VALUE"""),"80000694")</f>
        <v>80000694</v>
      </c>
      <c r="D14347" s="380" t="s">
        <v>767</v>
      </c>
      <c r="E14347" s="380" t="s">
        <v>776</v>
      </c>
      <c r="F14347" s="380" t="s">
        <v>976</v>
      </c>
      <c r="G14347" s="380" t="s">
        <v>1267</v>
      </c>
      <c r="H14347" s="380" t="s">
        <v>771</v>
      </c>
      <c r="I14347" s="380" t="s">
        <v>788</v>
      </c>
      <c r="J14347" s="380" t="s">
        <v>773</v>
      </c>
      <c r="K14347" s="381">
        <v>0.0</v>
      </c>
      <c r="L14347" s="382">
        <v>1.0</v>
      </c>
    </row>
    <row r="14348">
      <c r="A14348" s="380" t="s">
        <v>15222</v>
      </c>
      <c r="B14348" s="380" t="str">
        <f>IFERROR(__xludf.DUMMYFUNCTION("""COMPUTED_VALUE"""),"Rodillo Cond D50 L= 845 Mm Eje")</f>
        <v>Rodillo Cond D50 L= 845 Mm Eje</v>
      </c>
      <c r="C14348" s="380" t="str">
        <f>IFERROR(__xludf.DUMMYFUNCTION("""COMPUTED_VALUE"""),"80000695")</f>
        <v>80000695</v>
      </c>
      <c r="D14348" s="380" t="s">
        <v>767</v>
      </c>
      <c r="E14348" s="380" t="s">
        <v>776</v>
      </c>
      <c r="F14348" s="380" t="s">
        <v>976</v>
      </c>
      <c r="G14348" s="380" t="s">
        <v>1267</v>
      </c>
      <c r="H14348" s="380" t="s">
        <v>771</v>
      </c>
      <c r="I14348" s="380" t="s">
        <v>788</v>
      </c>
      <c r="J14348" s="380" t="s">
        <v>773</v>
      </c>
      <c r="K14348" s="381">
        <v>0.0</v>
      </c>
      <c r="L14348" s="382">
        <v>1.0</v>
      </c>
    </row>
    <row r="14349">
      <c r="A14349" s="380" t="s">
        <v>15223</v>
      </c>
      <c r="B14349" s="380" t="str">
        <f>IFERROR(__xludf.DUMMYFUNCTION("""COMPUTED_VALUE"""),"Rodillo Cond D50 L= 912 Mm Eje")</f>
        <v>Rodillo Cond D50 L= 912 Mm Eje</v>
      </c>
      <c r="C14349" s="380" t="str">
        <f>IFERROR(__xludf.DUMMYFUNCTION("""COMPUTED_VALUE"""),"80000696")</f>
        <v>80000696</v>
      </c>
      <c r="D14349" s="380" t="s">
        <v>767</v>
      </c>
      <c r="E14349" s="380" t="s">
        <v>776</v>
      </c>
      <c r="F14349" s="380" t="s">
        <v>976</v>
      </c>
      <c r="G14349" s="380" t="s">
        <v>1267</v>
      </c>
      <c r="H14349" s="380" t="s">
        <v>771</v>
      </c>
      <c r="I14349" s="380" t="s">
        <v>788</v>
      </c>
      <c r="J14349" s="380" t="s">
        <v>773</v>
      </c>
      <c r="K14349" s="381">
        <v>0.0</v>
      </c>
      <c r="L14349" s="382">
        <v>1.0</v>
      </c>
    </row>
    <row r="14350">
      <c r="A14350" s="380" t="s">
        <v>15224</v>
      </c>
      <c r="B14350" s="380" t="str">
        <f>IFERROR(__xludf.DUMMYFUNCTION("""COMPUTED_VALUE"""),"Rodillo Cond D50 L= 946 Mm Eje")</f>
        <v>Rodillo Cond D50 L= 946 Mm Eje</v>
      </c>
      <c r="C14350" s="380" t="str">
        <f>IFERROR(__xludf.DUMMYFUNCTION("""COMPUTED_VALUE"""),"80000697")</f>
        <v>80000697</v>
      </c>
      <c r="D14350" s="380" t="s">
        <v>767</v>
      </c>
      <c r="E14350" s="380" t="s">
        <v>776</v>
      </c>
      <c r="F14350" s="380" t="s">
        <v>976</v>
      </c>
      <c r="G14350" s="380" t="s">
        <v>1267</v>
      </c>
      <c r="H14350" s="380" t="s">
        <v>771</v>
      </c>
      <c r="I14350" s="380" t="s">
        <v>788</v>
      </c>
      <c r="J14350" s="380" t="s">
        <v>773</v>
      </c>
      <c r="K14350" s="381">
        <v>0.0</v>
      </c>
      <c r="L14350" s="382">
        <v>1.0</v>
      </c>
    </row>
    <row r="14351">
      <c r="A14351" s="380" t="s">
        <v>15225</v>
      </c>
      <c r="B14351" s="380" t="str">
        <f>IFERROR(__xludf.DUMMYFUNCTION("""COMPUTED_VALUE"""),"Rodillo Cond D50 L= 1234 Mm Ej")</f>
        <v>Rodillo Cond D50 L= 1234 Mm Ej</v>
      </c>
      <c r="C14351" s="380" t="str">
        <f>IFERROR(__xludf.DUMMYFUNCTION("""COMPUTED_VALUE"""),"80000698")</f>
        <v>80000698</v>
      </c>
      <c r="D14351" s="380" t="s">
        <v>767</v>
      </c>
      <c r="E14351" s="380" t="s">
        <v>776</v>
      </c>
      <c r="F14351" s="380" t="s">
        <v>976</v>
      </c>
      <c r="G14351" s="380" t="s">
        <v>1267</v>
      </c>
      <c r="H14351" s="380" t="s">
        <v>771</v>
      </c>
      <c r="I14351" s="380" t="s">
        <v>788</v>
      </c>
      <c r="J14351" s="380" t="s">
        <v>773</v>
      </c>
      <c r="K14351" s="381">
        <v>0.0</v>
      </c>
      <c r="L14351" s="382">
        <v>1.0</v>
      </c>
    </row>
    <row r="14352">
      <c r="A14352" s="380" t="s">
        <v>15226</v>
      </c>
      <c r="B14352" s="380" t="str">
        <f>IFERROR(__xludf.DUMMYFUNCTION("""COMPUTED_VALUE"""),"Rodillo Cond D50 L= 1370 Mm Ej")</f>
        <v>Rodillo Cond D50 L= 1370 Mm Ej</v>
      </c>
      <c r="C14352" s="380" t="str">
        <f>IFERROR(__xludf.DUMMYFUNCTION("""COMPUTED_VALUE"""),"80000699")</f>
        <v>80000699</v>
      </c>
      <c r="D14352" s="380" t="s">
        <v>767</v>
      </c>
      <c r="E14352" s="380" t="s">
        <v>776</v>
      </c>
      <c r="F14352" s="380" t="s">
        <v>976</v>
      </c>
      <c r="G14352" s="380" t="s">
        <v>1267</v>
      </c>
      <c r="H14352" s="380" t="s">
        <v>771</v>
      </c>
      <c r="I14352" s="380" t="s">
        <v>788</v>
      </c>
      <c r="J14352" s="380" t="s">
        <v>773</v>
      </c>
      <c r="K14352" s="381">
        <v>0.0</v>
      </c>
      <c r="L14352" s="382">
        <v>1.0</v>
      </c>
    </row>
    <row r="14353">
      <c r="A14353" s="380" t="s">
        <v>15227</v>
      </c>
      <c r="B14353" s="380" t="str">
        <f>IFERROR(__xludf.DUMMYFUNCTION("""COMPUTED_VALUE"""),"Rodillo Cond D50 L= 840 Mm Eje")</f>
        <v>Rodillo Cond D50 L= 840 Mm Eje</v>
      </c>
      <c r="C14353" s="380" t="str">
        <f>IFERROR(__xludf.DUMMYFUNCTION("""COMPUTED_VALUE"""),"80000700")</f>
        <v>80000700</v>
      </c>
      <c r="D14353" s="380" t="s">
        <v>767</v>
      </c>
      <c r="E14353" s="380" t="s">
        <v>776</v>
      </c>
      <c r="F14353" s="380" t="s">
        <v>976</v>
      </c>
      <c r="G14353" s="380" t="s">
        <v>1267</v>
      </c>
      <c r="H14353" s="380" t="s">
        <v>771</v>
      </c>
      <c r="I14353" s="380" t="s">
        <v>788</v>
      </c>
      <c r="J14353" s="380" t="s">
        <v>773</v>
      </c>
      <c r="K14353" s="381">
        <v>0.0</v>
      </c>
      <c r="L14353" s="382">
        <v>1.0</v>
      </c>
    </row>
    <row r="14354">
      <c r="A14354" s="380" t="s">
        <v>15228</v>
      </c>
      <c r="B14354" s="380" t="str">
        <f>IFERROR(__xludf.DUMMYFUNCTION("""COMPUTED_VALUE"""),"Rodillo Grv D60 L= 880 Mm Eje")</f>
        <v>Rodillo Grv D60 L= 880 Mm Eje</v>
      </c>
      <c r="C14354" s="380" t="str">
        <f>IFERROR(__xludf.DUMMYFUNCTION("""COMPUTED_VALUE"""),"80000701")</f>
        <v>80000701</v>
      </c>
      <c r="D14354" s="380" t="s">
        <v>767</v>
      </c>
      <c r="E14354" s="380" t="s">
        <v>776</v>
      </c>
      <c r="F14354" s="380" t="s">
        <v>976</v>
      </c>
      <c r="G14354" s="380" t="s">
        <v>1267</v>
      </c>
      <c r="H14354" s="380" t="s">
        <v>771</v>
      </c>
      <c r="I14354" s="380" t="s">
        <v>788</v>
      </c>
      <c r="J14354" s="380" t="s">
        <v>773</v>
      </c>
      <c r="K14354" s="381">
        <v>0.0</v>
      </c>
      <c r="L14354" s="382">
        <v>1.0</v>
      </c>
    </row>
    <row r="14355">
      <c r="A14355" s="380" t="s">
        <v>15229</v>
      </c>
      <c r="B14355" s="380" t="str">
        <f>IFERROR(__xludf.DUMMYFUNCTION("""COMPUTED_VALUE"""),"Motorreduc Ka39/Drs71M4/0,55/1")</f>
        <v>Motorreduc Ka39/Drs71M4/0,55/1</v>
      </c>
      <c r="C14355" s="380" t="str">
        <f>IFERROR(__xludf.DUMMYFUNCTION("""COMPUTED_VALUE"""),"80000702")</f>
        <v>80000702</v>
      </c>
      <c r="D14355" s="380" t="s">
        <v>767</v>
      </c>
      <c r="E14355" s="380" t="s">
        <v>776</v>
      </c>
      <c r="F14355" s="380" t="s">
        <v>1058</v>
      </c>
      <c r="G14355" s="380" t="s">
        <v>1267</v>
      </c>
      <c r="H14355" s="380" t="s">
        <v>771</v>
      </c>
      <c r="I14355" s="380" t="s">
        <v>788</v>
      </c>
      <c r="J14355" s="380" t="s">
        <v>773</v>
      </c>
      <c r="K14355" s="381">
        <v>0.0</v>
      </c>
      <c r="L14355" s="382">
        <v>1.0</v>
      </c>
    </row>
    <row r="14356">
      <c r="A14356" s="380" t="s">
        <v>15230</v>
      </c>
      <c r="B14356" s="380" t="str">
        <f>IFERROR(__xludf.DUMMYFUNCTION("""COMPUTED_VALUE"""),"Motorreduc Ka39/Drn80M4/0.75/")</f>
        <v>Motorreduc Ka39/Drn80M4/0.75/</v>
      </c>
      <c r="C14356" s="380" t="str">
        <f>IFERROR(__xludf.DUMMYFUNCTION("""COMPUTED_VALUE"""),"80000703")</f>
        <v>80000703</v>
      </c>
      <c r="D14356" s="380" t="s">
        <v>767</v>
      </c>
      <c r="E14356" s="380" t="s">
        <v>776</v>
      </c>
      <c r="F14356" s="380" t="s">
        <v>1058</v>
      </c>
      <c r="G14356" s="380" t="s">
        <v>1267</v>
      </c>
      <c r="H14356" s="380" t="s">
        <v>771</v>
      </c>
      <c r="I14356" s="380" t="s">
        <v>788</v>
      </c>
      <c r="J14356" s="380" t="s">
        <v>773</v>
      </c>
      <c r="K14356" s="381">
        <v>0.0</v>
      </c>
      <c r="L14356" s="382">
        <v>1.0</v>
      </c>
    </row>
    <row r="14357">
      <c r="A14357" s="380" t="s">
        <v>15231</v>
      </c>
      <c r="B14357" s="380" t="str">
        <f>IFERROR(__xludf.DUMMYFUNCTION("""COMPUTED_VALUE"""),"Motorreductor Ka39/Drn90S4/1,1")</f>
        <v>Motorreductor Ka39/Drn90S4/1,1</v>
      </c>
      <c r="C14357" s="380" t="str">
        <f>IFERROR(__xludf.DUMMYFUNCTION("""COMPUTED_VALUE"""),"80000704")</f>
        <v>80000704</v>
      </c>
      <c r="D14357" s="380" t="s">
        <v>767</v>
      </c>
      <c r="E14357" s="380" t="s">
        <v>776</v>
      </c>
      <c r="F14357" s="380" t="s">
        <v>1058</v>
      </c>
      <c r="G14357" s="380" t="s">
        <v>1267</v>
      </c>
      <c r="H14357" s="380" t="s">
        <v>771</v>
      </c>
      <c r="I14357" s="380" t="s">
        <v>788</v>
      </c>
      <c r="J14357" s="380" t="s">
        <v>773</v>
      </c>
      <c r="K14357" s="381">
        <v>0.0</v>
      </c>
      <c r="L14357" s="382">
        <v>1.0</v>
      </c>
    </row>
    <row r="14358">
      <c r="A14358" s="380" t="s">
        <v>15232</v>
      </c>
      <c r="B14358" s="380" t="str">
        <f>IFERROR(__xludf.DUMMYFUNCTION("""COMPUTED_VALUE"""),"Motorreduc Ka39/Drn100L4/2.2/2")</f>
        <v>Motorreduc Ka39/Drn100L4/2.2/2</v>
      </c>
      <c r="C14358" s="380" t="str">
        <f>IFERROR(__xludf.DUMMYFUNCTION("""COMPUTED_VALUE"""),"80000705")</f>
        <v>80000705</v>
      </c>
      <c r="D14358" s="380" t="s">
        <v>767</v>
      </c>
      <c r="E14358" s="380" t="s">
        <v>776</v>
      </c>
      <c r="F14358" s="380" t="s">
        <v>1058</v>
      </c>
      <c r="G14358" s="380" t="s">
        <v>1267</v>
      </c>
      <c r="H14358" s="380" t="s">
        <v>771</v>
      </c>
      <c r="I14358" s="380" t="s">
        <v>788</v>
      </c>
      <c r="J14358" s="380" t="s">
        <v>773</v>
      </c>
      <c r="K14358" s="381">
        <v>0.0</v>
      </c>
      <c r="L14358" s="382">
        <v>1.0</v>
      </c>
    </row>
    <row r="14359">
      <c r="A14359" s="380" t="s">
        <v>15233</v>
      </c>
      <c r="B14359" s="380" t="str">
        <f>IFERROR(__xludf.DUMMYFUNCTION("""COMPUTED_VALUE"""),"Motorreductor Ka39/Drn90L4/1,5")</f>
        <v>Motorreductor Ka39/Drn90L4/1,5</v>
      </c>
      <c r="C14359" s="380" t="str">
        <f>IFERROR(__xludf.DUMMYFUNCTION("""COMPUTED_VALUE"""),"80000706")</f>
        <v>80000706</v>
      </c>
      <c r="D14359" s="380" t="s">
        <v>767</v>
      </c>
      <c r="E14359" s="380" t="s">
        <v>776</v>
      </c>
      <c r="F14359" s="380" t="s">
        <v>1058</v>
      </c>
      <c r="G14359" s="380" t="s">
        <v>1267</v>
      </c>
      <c r="H14359" s="380" t="s">
        <v>771</v>
      </c>
      <c r="I14359" s="380" t="s">
        <v>788</v>
      </c>
      <c r="J14359" s="380" t="s">
        <v>773</v>
      </c>
      <c r="K14359" s="381">
        <v>0.0</v>
      </c>
      <c r="L14359" s="382">
        <v>1.0</v>
      </c>
    </row>
    <row r="14360">
      <c r="A14360" s="380" t="s">
        <v>15234</v>
      </c>
      <c r="B14360" s="380" t="str">
        <f>IFERROR(__xludf.DUMMYFUNCTION("""COMPUTED_VALUE"""),"Motorreduc Ka39/Drn100L4/2.2/3")</f>
        <v>Motorreduc Ka39/Drn100L4/2.2/3</v>
      </c>
      <c r="C14360" s="380" t="str">
        <f>IFERROR(__xludf.DUMMYFUNCTION("""COMPUTED_VALUE"""),"80000707")</f>
        <v>80000707</v>
      </c>
      <c r="D14360" s="380" t="s">
        <v>767</v>
      </c>
      <c r="E14360" s="380" t="s">
        <v>776</v>
      </c>
      <c r="F14360" s="380" t="s">
        <v>1058</v>
      </c>
      <c r="G14360" s="380" t="s">
        <v>1267</v>
      </c>
      <c r="H14360" s="380" t="s">
        <v>771</v>
      </c>
      <c r="I14360" s="380" t="s">
        <v>788</v>
      </c>
      <c r="J14360" s="380" t="s">
        <v>773</v>
      </c>
      <c r="K14360" s="381">
        <v>0.0</v>
      </c>
      <c r="L14360" s="382">
        <v>1.0</v>
      </c>
    </row>
    <row r="14361">
      <c r="A14361" s="380" t="s">
        <v>15235</v>
      </c>
      <c r="B14361" s="380" t="str">
        <f>IFERROR(__xludf.DUMMYFUNCTION("""COMPUTED_VALUE"""),"Motorreductor Ka49/Drn90S4/1,1")</f>
        <v>Motorreductor Ka49/Drn90S4/1,1</v>
      </c>
      <c r="C14361" s="380" t="str">
        <f>IFERROR(__xludf.DUMMYFUNCTION("""COMPUTED_VALUE"""),"80000708")</f>
        <v>80000708</v>
      </c>
      <c r="D14361" s="380" t="s">
        <v>767</v>
      </c>
      <c r="E14361" s="380" t="s">
        <v>776</v>
      </c>
      <c r="F14361" s="380" t="s">
        <v>1058</v>
      </c>
      <c r="G14361" s="380" t="s">
        <v>1267</v>
      </c>
      <c r="H14361" s="380" t="s">
        <v>771</v>
      </c>
      <c r="I14361" s="380" t="s">
        <v>788</v>
      </c>
      <c r="J14361" s="380" t="s">
        <v>773</v>
      </c>
      <c r="K14361" s="381">
        <v>0.0</v>
      </c>
      <c r="L14361" s="382">
        <v>1.0</v>
      </c>
    </row>
    <row r="14362">
      <c r="A14362" s="380" t="s">
        <v>15236</v>
      </c>
      <c r="B14362" s="380" t="str">
        <f>IFERROR(__xludf.DUMMYFUNCTION("""COMPUTED_VALUE"""),"Motorreductor Ka49/Drn90L4/1,5")</f>
        <v>Motorreductor Ka49/Drn90L4/1,5</v>
      </c>
      <c r="C14362" s="380" t="str">
        <f>IFERROR(__xludf.DUMMYFUNCTION("""COMPUTED_VALUE"""),"80000709")</f>
        <v>80000709</v>
      </c>
      <c r="D14362" s="380" t="s">
        <v>767</v>
      </c>
      <c r="E14362" s="380" t="s">
        <v>776</v>
      </c>
      <c r="F14362" s="380" t="s">
        <v>1058</v>
      </c>
      <c r="G14362" s="380" t="s">
        <v>1267</v>
      </c>
      <c r="H14362" s="380" t="s">
        <v>771</v>
      </c>
      <c r="I14362" s="380" t="s">
        <v>788</v>
      </c>
      <c r="J14362" s="380" t="s">
        <v>773</v>
      </c>
      <c r="K14362" s="381">
        <v>0.0</v>
      </c>
      <c r="L14362" s="382">
        <v>1.0</v>
      </c>
    </row>
    <row r="14363">
      <c r="A14363" s="380" t="s">
        <v>15237</v>
      </c>
      <c r="B14363" s="380" t="str">
        <f>IFERROR(__xludf.DUMMYFUNCTION("""COMPUTED_VALUE"""),"Motorreductor Ka49/Drn90L4/1,5")</f>
        <v>Motorreductor Ka49/Drn90L4/1,5</v>
      </c>
      <c r="C14363" s="380" t="str">
        <f>IFERROR(__xludf.DUMMYFUNCTION("""COMPUTED_VALUE"""),"80000710")</f>
        <v>80000710</v>
      </c>
      <c r="D14363" s="380" t="s">
        <v>767</v>
      </c>
      <c r="E14363" s="380" t="s">
        <v>776</v>
      </c>
      <c r="F14363" s="380" t="s">
        <v>1058</v>
      </c>
      <c r="G14363" s="380" t="s">
        <v>1267</v>
      </c>
      <c r="H14363" s="380" t="s">
        <v>771</v>
      </c>
      <c r="I14363" s="380" t="s">
        <v>788</v>
      </c>
      <c r="J14363" s="380" t="s">
        <v>773</v>
      </c>
      <c r="K14363" s="381">
        <v>0.0</v>
      </c>
      <c r="L14363" s="382">
        <v>1.0</v>
      </c>
    </row>
    <row r="14364">
      <c r="A14364" s="380" t="s">
        <v>15238</v>
      </c>
      <c r="B14364" s="380" t="str">
        <f>IFERROR(__xludf.DUMMYFUNCTION("""COMPUTED_VALUE"""),"Motorreduc Ka49/Drn100L4/2.2/1")</f>
        <v>Motorreduc Ka49/Drn100L4/2.2/1</v>
      </c>
      <c r="C14364" s="380" t="str">
        <f>IFERROR(__xludf.DUMMYFUNCTION("""COMPUTED_VALUE"""),"80000711")</f>
        <v>80000711</v>
      </c>
      <c r="D14364" s="380" t="s">
        <v>767</v>
      </c>
      <c r="E14364" s="380" t="s">
        <v>776</v>
      </c>
      <c r="F14364" s="380" t="s">
        <v>1058</v>
      </c>
      <c r="G14364" s="380" t="s">
        <v>1267</v>
      </c>
      <c r="H14364" s="380" t="s">
        <v>771</v>
      </c>
      <c r="I14364" s="380" t="s">
        <v>788</v>
      </c>
      <c r="J14364" s="380" t="s">
        <v>773</v>
      </c>
      <c r="K14364" s="381">
        <v>0.0</v>
      </c>
      <c r="L14364" s="382">
        <v>1.0</v>
      </c>
    </row>
    <row r="14365">
      <c r="A14365" s="380" t="s">
        <v>15239</v>
      </c>
      <c r="B14365" s="380" t="str">
        <f>IFERROR(__xludf.DUMMYFUNCTION("""COMPUTED_VALUE"""),"Motorreductor Ka49/Drn100L4/3/")</f>
        <v>Motorreductor Ka49/Drn100L4/3/</v>
      </c>
      <c r="C14365" s="380" t="str">
        <f>IFERROR(__xludf.DUMMYFUNCTION("""COMPUTED_VALUE"""),"80000712")</f>
        <v>80000712</v>
      </c>
      <c r="D14365" s="380" t="s">
        <v>767</v>
      </c>
      <c r="E14365" s="380" t="s">
        <v>776</v>
      </c>
      <c r="F14365" s="380" t="s">
        <v>1058</v>
      </c>
      <c r="G14365" s="380" t="s">
        <v>1267</v>
      </c>
      <c r="H14365" s="380" t="s">
        <v>771</v>
      </c>
      <c r="I14365" s="380" t="s">
        <v>788</v>
      </c>
      <c r="J14365" s="380" t="s">
        <v>773</v>
      </c>
      <c r="K14365" s="381">
        <v>0.0</v>
      </c>
      <c r="L14365" s="382">
        <v>1.0</v>
      </c>
    </row>
    <row r="14366">
      <c r="A14366" s="380" t="s">
        <v>15240</v>
      </c>
      <c r="B14366" s="380" t="str">
        <f>IFERROR(__xludf.DUMMYFUNCTION("""COMPUTED_VALUE"""),"Motorreductor Ka49/Drn112M4/4/")</f>
        <v>Motorreductor Ka49/Drn112M4/4/</v>
      </c>
      <c r="C14366" s="380" t="str">
        <f>IFERROR(__xludf.DUMMYFUNCTION("""COMPUTED_VALUE"""),"80000713")</f>
        <v>80000713</v>
      </c>
      <c r="D14366" s="380" t="s">
        <v>767</v>
      </c>
      <c r="E14366" s="380" t="s">
        <v>776</v>
      </c>
      <c r="F14366" s="380" t="s">
        <v>1058</v>
      </c>
      <c r="G14366" s="380" t="s">
        <v>1267</v>
      </c>
      <c r="H14366" s="380" t="s">
        <v>771</v>
      </c>
      <c r="I14366" s="380" t="s">
        <v>788</v>
      </c>
      <c r="J14366" s="380" t="s">
        <v>773</v>
      </c>
      <c r="K14366" s="381">
        <v>0.0</v>
      </c>
      <c r="L14366" s="382">
        <v>1.0</v>
      </c>
    </row>
    <row r="14367">
      <c r="A14367" s="380" t="s">
        <v>15241</v>
      </c>
      <c r="B14367" s="380" t="str">
        <f>IFERROR(__xludf.DUMMYFUNCTION("""COMPUTED_VALUE"""),"Motorreductor Ka77/Drn90L4/1,5")</f>
        <v>Motorreductor Ka77/Drn90L4/1,5</v>
      </c>
      <c r="C14367" s="380" t="str">
        <f>IFERROR(__xludf.DUMMYFUNCTION("""COMPUTED_VALUE"""),"80000714")</f>
        <v>80000714</v>
      </c>
      <c r="D14367" s="380" t="s">
        <v>767</v>
      </c>
      <c r="E14367" s="380" t="s">
        <v>776</v>
      </c>
      <c r="F14367" s="380" t="s">
        <v>1058</v>
      </c>
      <c r="G14367" s="380" t="s">
        <v>1267</v>
      </c>
      <c r="H14367" s="380" t="s">
        <v>771</v>
      </c>
      <c r="I14367" s="380" t="s">
        <v>788</v>
      </c>
      <c r="J14367" s="380" t="s">
        <v>773</v>
      </c>
      <c r="K14367" s="381">
        <v>0.0</v>
      </c>
      <c r="L14367" s="382">
        <v>1.0</v>
      </c>
    </row>
    <row r="14368">
      <c r="A14368" s="380" t="s">
        <v>15242</v>
      </c>
      <c r="B14368" s="380" t="str">
        <f>IFERROR(__xludf.DUMMYFUNCTION("""COMPUTED_VALUE"""),"Motorreductor Drn90L4/Ft/And8")</f>
        <v>Motorreductor Drn90L4/Ft/And8</v>
      </c>
      <c r="C14368" s="380" t="str">
        <f>IFERROR(__xludf.DUMMYFUNCTION("""COMPUTED_VALUE"""),"80000715")</f>
        <v>80000715</v>
      </c>
      <c r="D14368" s="380" t="s">
        <v>767</v>
      </c>
      <c r="E14368" s="380" t="s">
        <v>776</v>
      </c>
      <c r="F14368" s="380" t="s">
        <v>976</v>
      </c>
      <c r="G14368" s="380" t="s">
        <v>1267</v>
      </c>
      <c r="H14368" s="380" t="s">
        <v>771</v>
      </c>
      <c r="I14368" s="380" t="s">
        <v>788</v>
      </c>
      <c r="J14368" s="380" t="s">
        <v>773</v>
      </c>
      <c r="K14368" s="381">
        <v>0.0</v>
      </c>
      <c r="L14368" s="382">
        <v>1.0</v>
      </c>
    </row>
    <row r="14369">
      <c r="A14369" s="380" t="s">
        <v>15243</v>
      </c>
      <c r="B14369" s="380" t="str">
        <f>IFERROR(__xludf.DUMMYFUNCTION("""COMPUTED_VALUE"""),"Ruedas Roldanas Wheel 1-15/16X")</f>
        <v>Ruedas Roldanas Wheel 1-15/16X</v>
      </c>
      <c r="C14369" s="380" t="str">
        <f>IFERROR(__xludf.DUMMYFUNCTION("""COMPUTED_VALUE"""),"80000716")</f>
        <v>80000716</v>
      </c>
      <c r="D14369" s="380" t="s">
        <v>767</v>
      </c>
      <c r="E14369" s="380" t="s">
        <v>776</v>
      </c>
      <c r="F14369" s="380" t="s">
        <v>976</v>
      </c>
      <c r="G14369" s="380" t="s">
        <v>1267</v>
      </c>
      <c r="H14369" s="380" t="s">
        <v>771</v>
      </c>
      <c r="I14369" s="380" t="s">
        <v>788</v>
      </c>
      <c r="J14369" s="380" t="s">
        <v>773</v>
      </c>
      <c r="K14369" s="381">
        <v>0.0</v>
      </c>
      <c r="L14369" s="382">
        <v>1.0</v>
      </c>
    </row>
    <row r="14370">
      <c r="A14370" s="380" t="s">
        <v>15244</v>
      </c>
      <c r="B14370" s="380" t="str">
        <f>IFERROR(__xludf.DUMMYFUNCTION("""COMPUTED_VALUE"""),"Rueda 8 X 2 -Pr/ Bp-1/2-Pl-Ne")</f>
        <v>Rueda 8 X 2 -Pr/ Bp-1/2-Pl-Ne</v>
      </c>
      <c r="C14370" s="380" t="str">
        <f>IFERROR(__xludf.DUMMYFUNCTION("""COMPUTED_VALUE"""),"80000717")</f>
        <v>80000717</v>
      </c>
      <c r="D14370" s="380" t="s">
        <v>767</v>
      </c>
      <c r="E14370" s="380" t="s">
        <v>776</v>
      </c>
      <c r="F14370" s="380" t="s">
        <v>777</v>
      </c>
      <c r="G14370" s="380" t="s">
        <v>1267</v>
      </c>
      <c r="H14370" s="380" t="s">
        <v>771</v>
      </c>
      <c r="I14370" s="380" t="s">
        <v>778</v>
      </c>
      <c r="J14370" s="380" t="s">
        <v>773</v>
      </c>
      <c r="K14370" s="381">
        <v>0.0</v>
      </c>
      <c r="L14370" s="382">
        <v>1.0</v>
      </c>
    </row>
    <row r="14371">
      <c r="A14371" s="380" t="s">
        <v>15245</v>
      </c>
      <c r="B14371" s="380" t="str">
        <f>IFERROR(__xludf.DUMMYFUNCTION("""COMPUTED_VALUE"""),"Motor Lineal Slcp050M025 Sdo")</f>
        <v>Motor Lineal Slcp050M025 Sdo</v>
      </c>
      <c r="C14371" s="380" t="str">
        <f>IFERROR(__xludf.DUMMYFUNCTION("""COMPUTED_VALUE"""),"80000718")</f>
        <v>80000718</v>
      </c>
      <c r="D14371" s="380" t="s">
        <v>767</v>
      </c>
      <c r="E14371" s="380" t="s">
        <v>776</v>
      </c>
      <c r="F14371" s="380" t="s">
        <v>1058</v>
      </c>
      <c r="G14371" s="380" t="s">
        <v>1267</v>
      </c>
      <c r="H14371" s="380" t="s">
        <v>771</v>
      </c>
      <c r="I14371" s="380" t="s">
        <v>788</v>
      </c>
      <c r="J14371" s="380" t="s">
        <v>773</v>
      </c>
      <c r="K14371" s="381">
        <v>0.0</v>
      </c>
      <c r="L14371" s="382">
        <v>1.0</v>
      </c>
    </row>
    <row r="14372">
      <c r="A14372" s="380" t="s">
        <v>15246</v>
      </c>
      <c r="B14372" s="380" t="str">
        <f>IFERROR(__xludf.DUMMYFUNCTION("""COMPUTED_VALUE"""),"Motorreductor R17/Drs71M4/0,55")</f>
        <v>Motorreductor R17/Drs71M4/0,55</v>
      </c>
      <c r="C14372" s="380" t="str">
        <f>IFERROR(__xludf.DUMMYFUNCTION("""COMPUTED_VALUE"""),"80000719")</f>
        <v>80000719</v>
      </c>
      <c r="D14372" s="380" t="s">
        <v>767</v>
      </c>
      <c r="E14372" s="380" t="s">
        <v>776</v>
      </c>
      <c r="F14372" s="380" t="s">
        <v>1058</v>
      </c>
      <c r="G14372" s="380" t="s">
        <v>1267</v>
      </c>
      <c r="H14372" s="380" t="s">
        <v>771</v>
      </c>
      <c r="I14372" s="380" t="s">
        <v>788</v>
      </c>
      <c r="J14372" s="380" t="s">
        <v>773</v>
      </c>
      <c r="K14372" s="381">
        <v>0.0</v>
      </c>
      <c r="L14372" s="382">
        <v>1.0</v>
      </c>
    </row>
    <row r="14373">
      <c r="A14373" s="380" t="s">
        <v>15247</v>
      </c>
      <c r="B14373" s="380" t="str">
        <f>IFERROR(__xludf.DUMMYFUNCTION("""COMPUTED_VALUE"""),"Motorreductor R27/Drs71S4/0,37")</f>
        <v>Motorreductor R27/Drs71S4/0,37</v>
      </c>
      <c r="C14373" s="380" t="str">
        <f>IFERROR(__xludf.DUMMYFUNCTION("""COMPUTED_VALUE"""),"80000720")</f>
        <v>80000720</v>
      </c>
      <c r="D14373" s="380" t="s">
        <v>767</v>
      </c>
      <c r="E14373" s="380" t="s">
        <v>776</v>
      </c>
      <c r="F14373" s="380" t="s">
        <v>1058</v>
      </c>
      <c r="G14373" s="380" t="s">
        <v>1267</v>
      </c>
      <c r="H14373" s="380" t="s">
        <v>771</v>
      </c>
      <c r="I14373" s="380" t="s">
        <v>788</v>
      </c>
      <c r="J14373" s="380" t="s">
        <v>773</v>
      </c>
      <c r="K14373" s="381">
        <v>0.0</v>
      </c>
      <c r="L14373" s="382">
        <v>1.0</v>
      </c>
    </row>
    <row r="14374">
      <c r="A14374" s="380" t="s">
        <v>15248</v>
      </c>
      <c r="B14374" s="380" t="str">
        <f>IFERROR(__xludf.DUMMYFUNCTION("""COMPUTED_VALUE"""),"Motorreductor K57/Drn90L4/1,5/")</f>
        <v>Motorreductor K57/Drn90L4/1,5/</v>
      </c>
      <c r="C14374" s="380" t="str">
        <f>IFERROR(__xludf.DUMMYFUNCTION("""COMPUTED_VALUE"""),"80000721")</f>
        <v>80000721</v>
      </c>
      <c r="D14374" s="380" t="s">
        <v>767</v>
      </c>
      <c r="E14374" s="380" t="s">
        <v>776</v>
      </c>
      <c r="F14374" s="380" t="s">
        <v>1058</v>
      </c>
      <c r="G14374" s="380" t="s">
        <v>1267</v>
      </c>
      <c r="H14374" s="380" t="s">
        <v>771</v>
      </c>
      <c r="I14374" s="380" t="s">
        <v>788</v>
      </c>
      <c r="J14374" s="380" t="s">
        <v>773</v>
      </c>
      <c r="K14374" s="381">
        <v>0.0</v>
      </c>
      <c r="L14374" s="382">
        <v>1.0</v>
      </c>
    </row>
    <row r="14375">
      <c r="A14375" s="380" t="s">
        <v>15249</v>
      </c>
      <c r="B14375" s="380" t="str">
        <f>IFERROR(__xludf.DUMMYFUNCTION("""COMPUTED_VALUE"""),"Motorreductor R17/Drn80M4/0.75")</f>
        <v>Motorreductor R17/Drn80M4/0.75</v>
      </c>
      <c r="C14375" s="380" t="str">
        <f>IFERROR(__xludf.DUMMYFUNCTION("""COMPUTED_VALUE"""),"80000722")</f>
        <v>80000722</v>
      </c>
      <c r="D14375" s="380" t="s">
        <v>767</v>
      </c>
      <c r="E14375" s="380" t="s">
        <v>776</v>
      </c>
      <c r="F14375" s="380" t="s">
        <v>1058</v>
      </c>
      <c r="G14375" s="380" t="s">
        <v>1267</v>
      </c>
      <c r="H14375" s="380" t="s">
        <v>771</v>
      </c>
      <c r="I14375" s="380" t="s">
        <v>788</v>
      </c>
      <c r="J14375" s="380" t="s">
        <v>773</v>
      </c>
      <c r="K14375" s="381">
        <v>0.0</v>
      </c>
      <c r="L14375" s="382">
        <v>1.0</v>
      </c>
    </row>
    <row r="14376">
      <c r="A14376" s="380" t="s">
        <v>15250</v>
      </c>
      <c r="B14376" s="380" t="str">
        <f>IFERROR(__xludf.DUMMYFUNCTION("""COMPUTED_VALUE"""),"Motorreductor Rf37/Drn90S4/1,1")</f>
        <v>Motorreductor Rf37/Drn90S4/1,1</v>
      </c>
      <c r="C14376" s="380" t="str">
        <f>IFERROR(__xludf.DUMMYFUNCTION("""COMPUTED_VALUE"""),"80000723")</f>
        <v>80000723</v>
      </c>
      <c r="D14376" s="380" t="s">
        <v>767</v>
      </c>
      <c r="E14376" s="380" t="s">
        <v>776</v>
      </c>
      <c r="F14376" s="380" t="s">
        <v>1058</v>
      </c>
      <c r="G14376" s="380" t="s">
        <v>1267</v>
      </c>
      <c r="H14376" s="380" t="s">
        <v>771</v>
      </c>
      <c r="I14376" s="380" t="s">
        <v>788</v>
      </c>
      <c r="J14376" s="380" t="s">
        <v>773</v>
      </c>
      <c r="K14376" s="381">
        <v>0.0</v>
      </c>
      <c r="L14376" s="382">
        <v>1.0</v>
      </c>
    </row>
    <row r="14377">
      <c r="A14377" s="380" t="s">
        <v>15251</v>
      </c>
      <c r="B14377" s="380" t="str">
        <f>IFERROR(__xludf.DUMMYFUNCTION("""COMPUTED_VALUE"""),"Motorreductor Rf37/Drn90S4/1,1")</f>
        <v>Motorreductor Rf37/Drn90S4/1,1</v>
      </c>
      <c r="C14377" s="380" t="str">
        <f>IFERROR(__xludf.DUMMYFUNCTION("""COMPUTED_VALUE"""),"80000724")</f>
        <v>80000724</v>
      </c>
      <c r="D14377" s="380" t="s">
        <v>767</v>
      </c>
      <c r="E14377" s="380" t="s">
        <v>776</v>
      </c>
      <c r="F14377" s="380" t="s">
        <v>1058</v>
      </c>
      <c r="G14377" s="380" t="s">
        <v>1267</v>
      </c>
      <c r="H14377" s="380" t="s">
        <v>771</v>
      </c>
      <c r="I14377" s="380" t="s">
        <v>788</v>
      </c>
      <c r="J14377" s="380" t="s">
        <v>773</v>
      </c>
      <c r="K14377" s="381">
        <v>0.0</v>
      </c>
      <c r="L14377" s="382">
        <v>1.0</v>
      </c>
    </row>
    <row r="14378">
      <c r="A14378" s="380" t="s">
        <v>15252</v>
      </c>
      <c r="B14378" s="380" t="str">
        <f>IFERROR(__xludf.DUMMYFUNCTION("""COMPUTED_VALUE"""),"Motorreductor Rf37/Drn90S4/1,1")</f>
        <v>Motorreductor Rf37/Drn90S4/1,1</v>
      </c>
      <c r="C14378" s="380" t="str">
        <f>IFERROR(__xludf.DUMMYFUNCTION("""COMPUTED_VALUE"""),"80000725")</f>
        <v>80000725</v>
      </c>
      <c r="D14378" s="380" t="s">
        <v>767</v>
      </c>
      <c r="E14378" s="380" t="s">
        <v>776</v>
      </c>
      <c r="F14378" s="380" t="s">
        <v>1058</v>
      </c>
      <c r="G14378" s="380" t="s">
        <v>1267</v>
      </c>
      <c r="H14378" s="380" t="s">
        <v>771</v>
      </c>
      <c r="I14378" s="380" t="s">
        <v>788</v>
      </c>
      <c r="J14378" s="380" t="s">
        <v>773</v>
      </c>
      <c r="K14378" s="381">
        <v>0.0</v>
      </c>
      <c r="L14378" s="382">
        <v>1.0</v>
      </c>
    </row>
    <row r="14379">
      <c r="A14379" s="380" t="s">
        <v>15253</v>
      </c>
      <c r="B14379" s="380" t="str">
        <f>IFERROR(__xludf.DUMMYFUNCTION("""COMPUTED_VALUE"""),"Motorreductor Rxf67/Drn90S4/1,")</f>
        <v>Motorreductor Rxf67/Drn90S4/1,</v>
      </c>
      <c r="C14379" s="380" t="str">
        <f>IFERROR(__xludf.DUMMYFUNCTION("""COMPUTED_VALUE"""),"80000726")</f>
        <v>80000726</v>
      </c>
      <c r="D14379" s="380" t="s">
        <v>767</v>
      </c>
      <c r="E14379" s="380" t="s">
        <v>776</v>
      </c>
      <c r="F14379" s="380" t="s">
        <v>1058</v>
      </c>
      <c r="G14379" s="380" t="s">
        <v>1267</v>
      </c>
      <c r="H14379" s="380" t="s">
        <v>771</v>
      </c>
      <c r="I14379" s="380" t="s">
        <v>788</v>
      </c>
      <c r="J14379" s="380" t="s">
        <v>773</v>
      </c>
      <c r="K14379" s="381">
        <v>0.0</v>
      </c>
      <c r="L14379" s="382">
        <v>1.0</v>
      </c>
    </row>
    <row r="14380">
      <c r="A14380" s="380" t="s">
        <v>15254</v>
      </c>
      <c r="B14380" s="380" t="str">
        <f>IFERROR(__xludf.DUMMYFUNCTION("""COMPUTED_VALUE"""),"Motorreductor Rf37/Drn90S4/1,1")</f>
        <v>Motorreductor Rf37/Drn90S4/1,1</v>
      </c>
      <c r="C14380" s="380" t="str">
        <f>IFERROR(__xludf.DUMMYFUNCTION("""COMPUTED_VALUE"""),"80000727")</f>
        <v>80000727</v>
      </c>
      <c r="D14380" s="380" t="s">
        <v>767</v>
      </c>
      <c r="E14380" s="380" t="s">
        <v>776</v>
      </c>
      <c r="F14380" s="380" t="s">
        <v>1058</v>
      </c>
      <c r="G14380" s="380" t="s">
        <v>1267</v>
      </c>
      <c r="H14380" s="380" t="s">
        <v>771</v>
      </c>
      <c r="I14380" s="380" t="s">
        <v>788</v>
      </c>
      <c r="J14380" s="380" t="s">
        <v>773</v>
      </c>
      <c r="K14380" s="381">
        <v>0.0</v>
      </c>
      <c r="L14380" s="382">
        <v>1.0</v>
      </c>
    </row>
    <row r="14381">
      <c r="A14381" s="380" t="s">
        <v>15255</v>
      </c>
      <c r="B14381" s="380" t="str">
        <f>IFERROR(__xludf.DUMMYFUNCTION("""COMPUTED_VALUE"""),"Motorreductor R27/Drn90S4/1,1/")</f>
        <v>Motorreductor R27/Drn90S4/1,1/</v>
      </c>
      <c r="C14381" s="380" t="str">
        <f>IFERROR(__xludf.DUMMYFUNCTION("""COMPUTED_VALUE"""),"80000728")</f>
        <v>80000728</v>
      </c>
      <c r="D14381" s="380" t="s">
        <v>767</v>
      </c>
      <c r="E14381" s="380" t="s">
        <v>776</v>
      </c>
      <c r="F14381" s="380" t="s">
        <v>1058</v>
      </c>
      <c r="G14381" s="380" t="s">
        <v>1267</v>
      </c>
      <c r="H14381" s="380" t="s">
        <v>771</v>
      </c>
      <c r="I14381" s="380" t="s">
        <v>788</v>
      </c>
      <c r="J14381" s="380" t="s">
        <v>773</v>
      </c>
      <c r="K14381" s="381">
        <v>0.0</v>
      </c>
      <c r="L14381" s="382">
        <v>1.0</v>
      </c>
    </row>
    <row r="14382">
      <c r="A14382" s="380" t="s">
        <v>15256</v>
      </c>
      <c r="B14382" s="380" t="str">
        <f>IFERROR(__xludf.DUMMYFUNCTION("""COMPUTED_VALUE"""),"Motorreductor Ka39/Drs71M4/0,5")</f>
        <v>Motorreductor Ka39/Drs71M4/0,5</v>
      </c>
      <c r="C14382" s="380" t="str">
        <f>IFERROR(__xludf.DUMMYFUNCTION("""COMPUTED_VALUE"""),"80000729")</f>
        <v>80000729</v>
      </c>
      <c r="D14382" s="380" t="s">
        <v>767</v>
      </c>
      <c r="E14382" s="380" t="s">
        <v>776</v>
      </c>
      <c r="F14382" s="380" t="s">
        <v>1058</v>
      </c>
      <c r="G14382" s="380" t="s">
        <v>1267</v>
      </c>
      <c r="H14382" s="380" t="s">
        <v>771</v>
      </c>
      <c r="I14382" s="380" t="s">
        <v>788</v>
      </c>
      <c r="J14382" s="380" t="s">
        <v>773</v>
      </c>
      <c r="K14382" s="381">
        <v>0.0</v>
      </c>
      <c r="L14382" s="382">
        <v>1.0</v>
      </c>
    </row>
    <row r="14383">
      <c r="A14383" s="380" t="s">
        <v>15257</v>
      </c>
      <c r="B14383" s="380" t="str">
        <f>IFERROR(__xludf.DUMMYFUNCTION("""COMPUTED_VALUE"""),"Unión Emt 3/4")</f>
        <v>Unión Emt 3/4</v>
      </c>
      <c r="C14383" s="380" t="str">
        <f>IFERROR(__xludf.DUMMYFUNCTION("""COMPUTED_VALUE"""),"80000730")</f>
        <v>80000730</v>
      </c>
      <c r="D14383" s="380" t="s">
        <v>767</v>
      </c>
      <c r="E14383" s="380" t="s">
        <v>776</v>
      </c>
      <c r="F14383" s="380" t="s">
        <v>777</v>
      </c>
      <c r="G14383" s="380" t="s">
        <v>1267</v>
      </c>
      <c r="H14383" s="380" t="s">
        <v>771</v>
      </c>
      <c r="I14383" s="380" t="s">
        <v>778</v>
      </c>
      <c r="J14383" s="380" t="s">
        <v>773</v>
      </c>
      <c r="K14383" s="381">
        <v>0.0</v>
      </c>
      <c r="L14383" s="382">
        <v>1.0</v>
      </c>
    </row>
    <row r="14384">
      <c r="A14384" s="380" t="s">
        <v>15258</v>
      </c>
      <c r="B14384" s="380" t="str">
        <f>IFERROR(__xludf.DUMMYFUNCTION("""COMPUTED_VALUE"""),"Control Remoto Televisor")</f>
        <v>Control Remoto Televisor</v>
      </c>
      <c r="C14384" s="380" t="str">
        <f>IFERROR(__xludf.DUMMYFUNCTION("""COMPUTED_VALUE"""),"80000731")</f>
        <v>80000731</v>
      </c>
      <c r="D14384" s="380" t="s">
        <v>767</v>
      </c>
      <c r="E14384" s="380" t="s">
        <v>776</v>
      </c>
      <c r="F14384" s="380" t="s">
        <v>777</v>
      </c>
      <c r="G14384" s="380" t="s">
        <v>1267</v>
      </c>
      <c r="H14384" s="380" t="s">
        <v>771</v>
      </c>
      <c r="I14384" s="380" t="s">
        <v>778</v>
      </c>
      <c r="J14384" s="380" t="s">
        <v>773</v>
      </c>
      <c r="K14384" s="381">
        <v>47005.0</v>
      </c>
      <c r="L14384" s="382">
        <v>1.0</v>
      </c>
    </row>
    <row r="14385">
      <c r="A14385" s="380" t="s">
        <v>15259</v>
      </c>
      <c r="B14385" s="380" t="str">
        <f>IFERROR(__xludf.DUMMYFUNCTION("""COMPUTED_VALUE"""),"Clavija Codelca Con Polo Tierr")</f>
        <v>Clavija Codelca Con Polo Tierr</v>
      </c>
      <c r="C14385" s="380" t="str">
        <f>IFERROR(__xludf.DUMMYFUNCTION("""COMPUTED_VALUE"""),"80000732")</f>
        <v>80000732</v>
      </c>
      <c r="D14385" s="380" t="s">
        <v>767</v>
      </c>
      <c r="E14385" s="380" t="s">
        <v>776</v>
      </c>
      <c r="F14385" s="380" t="s">
        <v>777</v>
      </c>
      <c r="G14385" s="380" t="s">
        <v>1267</v>
      </c>
      <c r="H14385" s="380" t="s">
        <v>771</v>
      </c>
      <c r="I14385" s="380" t="s">
        <v>778</v>
      </c>
      <c r="J14385" s="380" t="s">
        <v>773</v>
      </c>
      <c r="K14385" s="381">
        <v>0.0</v>
      </c>
      <c r="L14385" s="382">
        <v>1.0</v>
      </c>
    </row>
    <row r="14386">
      <c r="A14386" s="380" t="s">
        <v>15260</v>
      </c>
      <c r="B14386" s="380" t="str">
        <f>IFERROR(__xludf.DUMMYFUNCTION("""COMPUTED_VALUE"""),"Jack Cat 6 Amp")</f>
        <v>Jack Cat 6 Amp</v>
      </c>
      <c r="C14386" s="380" t="str">
        <f>IFERROR(__xludf.DUMMYFUNCTION("""COMPUTED_VALUE"""),"80000733")</f>
        <v>80000733</v>
      </c>
      <c r="D14386" s="380" t="s">
        <v>767</v>
      </c>
      <c r="E14386" s="380" t="s">
        <v>776</v>
      </c>
      <c r="F14386" s="380" t="s">
        <v>777</v>
      </c>
      <c r="G14386" s="380" t="s">
        <v>1267</v>
      </c>
      <c r="H14386" s="380" t="s">
        <v>771</v>
      </c>
      <c r="I14386" s="380" t="s">
        <v>778</v>
      </c>
      <c r="J14386" s="380" t="s">
        <v>773</v>
      </c>
      <c r="K14386" s="381">
        <v>0.0</v>
      </c>
      <c r="L14386" s="382">
        <v>1.0</v>
      </c>
    </row>
    <row r="14387">
      <c r="A14387" s="380" t="s">
        <v>15261</v>
      </c>
      <c r="B14387" s="380" t="str">
        <f>IFERROR(__xludf.DUMMYFUNCTION("""COMPUTED_VALUE"""),"Face Plate Sencillo Simon")</f>
        <v>Face Plate Sencillo Simon</v>
      </c>
      <c r="C14387" s="380" t="str">
        <f>IFERROR(__xludf.DUMMYFUNCTION("""COMPUTED_VALUE"""),"80000734")</f>
        <v>80000734</v>
      </c>
      <c r="D14387" s="380" t="s">
        <v>767</v>
      </c>
      <c r="E14387" s="380" t="s">
        <v>776</v>
      </c>
      <c r="F14387" s="380" t="s">
        <v>777</v>
      </c>
      <c r="G14387" s="380" t="s">
        <v>1267</v>
      </c>
      <c r="H14387" s="380" t="s">
        <v>771</v>
      </c>
      <c r="I14387" s="380" t="s">
        <v>778</v>
      </c>
      <c r="J14387" s="380" t="s">
        <v>773</v>
      </c>
      <c r="K14387" s="381">
        <v>0.0</v>
      </c>
      <c r="L14387" s="382">
        <v>1.0</v>
      </c>
    </row>
    <row r="14388">
      <c r="A14388" s="380" t="s">
        <v>15262</v>
      </c>
      <c r="B14388" s="380" t="str">
        <f>IFERROR(__xludf.DUMMYFUNCTION("""COMPUTED_VALUE"""),"Modulo Cat6 Varios")</f>
        <v>Modulo Cat6 Varios</v>
      </c>
      <c r="C14388" s="380" t="str">
        <f>IFERROR(__xludf.DUMMYFUNCTION("""COMPUTED_VALUE"""),"80000735")</f>
        <v>80000735</v>
      </c>
      <c r="D14388" s="380" t="s">
        <v>767</v>
      </c>
      <c r="E14388" s="380" t="s">
        <v>776</v>
      </c>
      <c r="F14388" s="380" t="s">
        <v>777</v>
      </c>
      <c r="G14388" s="380" t="s">
        <v>1267</v>
      </c>
      <c r="H14388" s="380" t="s">
        <v>771</v>
      </c>
      <c r="I14388" s="380" t="s">
        <v>778</v>
      </c>
      <c r="J14388" s="380" t="s">
        <v>773</v>
      </c>
      <c r="K14388" s="381">
        <v>0.0</v>
      </c>
      <c r="L14388" s="382">
        <v>1.0</v>
      </c>
    </row>
    <row r="14389">
      <c r="A14389" s="380" t="s">
        <v>15263</v>
      </c>
      <c r="B14389" s="380" t="str">
        <f>IFERROR(__xludf.DUMMYFUNCTION("""COMPUTED_VALUE"""),"Herraje Plano Cat6 Varios")</f>
        <v>Herraje Plano Cat6 Varios</v>
      </c>
      <c r="C14389" s="380" t="str">
        <f>IFERROR(__xludf.DUMMYFUNCTION("""COMPUTED_VALUE"""),"80000736")</f>
        <v>80000736</v>
      </c>
      <c r="D14389" s="380" t="s">
        <v>767</v>
      </c>
      <c r="E14389" s="380" t="s">
        <v>776</v>
      </c>
      <c r="F14389" s="380" t="s">
        <v>777</v>
      </c>
      <c r="G14389" s="380" t="s">
        <v>1267</v>
      </c>
      <c r="H14389" s="380" t="s">
        <v>771</v>
      </c>
      <c r="I14389" s="380" t="s">
        <v>778</v>
      </c>
      <c r="J14389" s="380" t="s">
        <v>773</v>
      </c>
      <c r="K14389" s="381">
        <v>0.0</v>
      </c>
      <c r="L14389" s="382">
        <v>1.0</v>
      </c>
    </row>
    <row r="14390">
      <c r="A14390" s="380" t="s">
        <v>15264</v>
      </c>
      <c r="B14390" s="380" t="str">
        <f>IFERROR(__xludf.DUMMYFUNCTION("""COMPUTED_VALUE"""),"Soporte Mensula")</f>
        <v>Soporte Mensula</v>
      </c>
      <c r="C14390" s="380" t="str">
        <f>IFERROR(__xludf.DUMMYFUNCTION("""COMPUTED_VALUE"""),"80000737")</f>
        <v>80000737</v>
      </c>
      <c r="D14390" s="380" t="s">
        <v>767</v>
      </c>
      <c r="E14390" s="380" t="s">
        <v>776</v>
      </c>
      <c r="F14390" s="380" t="s">
        <v>777</v>
      </c>
      <c r="G14390" s="380" t="s">
        <v>1267</v>
      </c>
      <c r="H14390" s="380" t="s">
        <v>771</v>
      </c>
      <c r="I14390" s="380" t="s">
        <v>778</v>
      </c>
      <c r="J14390" s="380" t="s">
        <v>773</v>
      </c>
      <c r="K14390" s="381">
        <v>0.0</v>
      </c>
      <c r="L14390" s="382">
        <v>1.0</v>
      </c>
    </row>
    <row r="14391">
      <c r="A14391" s="380" t="s">
        <v>15265</v>
      </c>
      <c r="B14391" s="380" t="str">
        <f>IFERROR(__xludf.DUMMYFUNCTION("""COMPUTED_VALUE"""),"Codo Pvc 1 1/4")</f>
        <v>Codo Pvc 1 1/4</v>
      </c>
      <c r="C14391" s="380" t="str">
        <f>IFERROR(__xludf.DUMMYFUNCTION("""COMPUTED_VALUE"""),"80000738")</f>
        <v>80000738</v>
      </c>
      <c r="D14391" s="380" t="s">
        <v>767</v>
      </c>
      <c r="E14391" s="380" t="s">
        <v>776</v>
      </c>
      <c r="F14391" s="380" t="s">
        <v>777</v>
      </c>
      <c r="G14391" s="380" t="s">
        <v>1267</v>
      </c>
      <c r="H14391" s="380" t="s">
        <v>771</v>
      </c>
      <c r="I14391" s="380" t="s">
        <v>778</v>
      </c>
      <c r="J14391" s="380" t="s">
        <v>773</v>
      </c>
      <c r="K14391" s="381">
        <v>0.0</v>
      </c>
      <c r="L14391" s="382">
        <v>1.0</v>
      </c>
    </row>
    <row r="14392">
      <c r="A14392" s="380" t="s">
        <v>15266</v>
      </c>
      <c r="B14392" s="380" t="str">
        <f>IFERROR(__xludf.DUMMYFUNCTION("""COMPUTED_VALUE"""),"Tubo Polipropileno 32Mm X 4 Mt")</f>
        <v>Tubo Polipropileno 32Mm X 4 Mt</v>
      </c>
      <c r="C14392" s="380" t="str">
        <f>IFERROR(__xludf.DUMMYFUNCTION("""COMPUTED_VALUE"""),"80000739")</f>
        <v>80000739</v>
      </c>
      <c r="D14392" s="380" t="s">
        <v>767</v>
      </c>
      <c r="E14392" s="380" t="s">
        <v>776</v>
      </c>
      <c r="F14392" s="380" t="s">
        <v>777</v>
      </c>
      <c r="G14392" s="380" t="s">
        <v>1267</v>
      </c>
      <c r="H14392" s="380" t="s">
        <v>771</v>
      </c>
      <c r="I14392" s="380" t="s">
        <v>778</v>
      </c>
      <c r="J14392" s="380" t="s">
        <v>773</v>
      </c>
      <c r="K14392" s="381">
        <v>0.0</v>
      </c>
      <c r="L14392" s="382">
        <v>1.0</v>
      </c>
    </row>
    <row r="14393">
      <c r="A14393" s="380" t="s">
        <v>15267</v>
      </c>
      <c r="B14393" s="380" t="str">
        <f>IFERROR(__xludf.DUMMYFUNCTION("""COMPUTED_VALUE"""),"Codo Polipropileno De 32 Mm (R")</f>
        <v>Codo Polipropileno De 32 Mm (R</v>
      </c>
      <c r="C14393" s="380" t="str">
        <f>IFERROR(__xludf.DUMMYFUNCTION("""COMPUTED_VALUE"""),"80000740")</f>
        <v>80000740</v>
      </c>
      <c r="D14393" s="380" t="s">
        <v>767</v>
      </c>
      <c r="E14393" s="380" t="s">
        <v>776</v>
      </c>
      <c r="F14393" s="380" t="s">
        <v>777</v>
      </c>
      <c r="G14393" s="380" t="s">
        <v>1267</v>
      </c>
      <c r="H14393" s="380" t="s">
        <v>771</v>
      </c>
      <c r="I14393" s="380" t="s">
        <v>778</v>
      </c>
      <c r="J14393" s="380" t="s">
        <v>773</v>
      </c>
      <c r="K14393" s="381">
        <v>0.0</v>
      </c>
      <c r="L14393" s="382">
        <v>1.0</v>
      </c>
    </row>
    <row r="14394">
      <c r="A14394" s="380" t="s">
        <v>15268</v>
      </c>
      <c r="B14394" s="380" t="str">
        <f>IFERROR(__xludf.DUMMYFUNCTION("""COMPUTED_VALUE"""),"Buje Soldado 3X2 Sanitaria")</f>
        <v>Buje Soldado 3X2 Sanitaria</v>
      </c>
      <c r="C14394" s="380" t="str">
        <f>IFERROR(__xludf.DUMMYFUNCTION("""COMPUTED_VALUE"""),"80000741")</f>
        <v>80000741</v>
      </c>
      <c r="D14394" s="380" t="s">
        <v>767</v>
      </c>
      <c r="E14394" s="380" t="s">
        <v>776</v>
      </c>
      <c r="F14394" s="380" t="s">
        <v>777</v>
      </c>
      <c r="G14394" s="380" t="s">
        <v>1267</v>
      </c>
      <c r="H14394" s="380" t="s">
        <v>771</v>
      </c>
      <c r="I14394" s="380" t="s">
        <v>778</v>
      </c>
      <c r="J14394" s="380" t="s">
        <v>773</v>
      </c>
      <c r="K14394" s="381">
        <v>0.0</v>
      </c>
      <c r="L14394" s="382">
        <v>1.0</v>
      </c>
    </row>
    <row r="14395">
      <c r="A14395" s="380" t="s">
        <v>15269</v>
      </c>
      <c r="B14395" s="380" t="str">
        <f>IFERROR(__xludf.DUMMYFUNCTION("""COMPUTED_VALUE"""),"Cenefa Samblastic Punto Droop")</f>
        <v>Cenefa Samblastic Punto Droop</v>
      </c>
      <c r="C14395" s="380" t="str">
        <f>IFERROR(__xludf.DUMMYFUNCTION("""COMPUTED_VALUE"""),"80000743")</f>
        <v>80000743</v>
      </c>
      <c r="D14395" s="380" t="s">
        <v>767</v>
      </c>
      <c r="E14395" s="380" t="s">
        <v>776</v>
      </c>
      <c r="F14395" s="380" t="s">
        <v>777</v>
      </c>
      <c r="G14395" s="380" t="s">
        <v>1267</v>
      </c>
      <c r="H14395" s="380" t="s">
        <v>771</v>
      </c>
      <c r="I14395" s="380" t="s">
        <v>778</v>
      </c>
      <c r="J14395" s="380" t="s">
        <v>773</v>
      </c>
      <c r="K14395" s="381">
        <v>0.0</v>
      </c>
      <c r="L14395" s="382">
        <v>1.0</v>
      </c>
    </row>
    <row r="14396">
      <c r="A14396" s="380" t="s">
        <v>15270</v>
      </c>
      <c r="B14396" s="380" t="str">
        <f>IFERROR(__xludf.DUMMYFUNCTION("""COMPUTED_VALUE"""),"Tee 1/2 Presión")</f>
        <v>Tee 1/2 Presión</v>
      </c>
      <c r="C14396" s="380" t="str">
        <f>IFERROR(__xludf.DUMMYFUNCTION("""COMPUTED_VALUE"""),"80000744")</f>
        <v>80000744</v>
      </c>
      <c r="D14396" s="380" t="s">
        <v>767</v>
      </c>
      <c r="E14396" s="380" t="s">
        <v>776</v>
      </c>
      <c r="F14396" s="380" t="s">
        <v>777</v>
      </c>
      <c r="G14396" s="380" t="s">
        <v>1267</v>
      </c>
      <c r="H14396" s="380" t="s">
        <v>771</v>
      </c>
      <c r="I14396" s="380" t="s">
        <v>778</v>
      </c>
      <c r="J14396" s="380" t="s">
        <v>773</v>
      </c>
      <c r="K14396" s="381">
        <v>0.0</v>
      </c>
      <c r="L14396" s="382">
        <v>1.0</v>
      </c>
    </row>
    <row r="14397">
      <c r="A14397" s="380" t="s">
        <v>15271</v>
      </c>
      <c r="B14397" s="380" t="str">
        <f>IFERROR(__xludf.DUMMYFUNCTION("""COMPUTED_VALUE"""),"Riel Cajones Escritorio 2 X 1")</f>
        <v>Riel Cajones Escritorio 2 X 1</v>
      </c>
      <c r="C14397" s="380" t="str">
        <f>IFERROR(__xludf.DUMMYFUNCTION("""COMPUTED_VALUE"""),"80000745")</f>
        <v>80000745</v>
      </c>
      <c r="D14397" s="380" t="s">
        <v>767</v>
      </c>
      <c r="E14397" s="380" t="s">
        <v>776</v>
      </c>
      <c r="F14397" s="380" t="s">
        <v>777</v>
      </c>
      <c r="G14397" s="380" t="s">
        <v>1267</v>
      </c>
      <c r="H14397" s="380" t="s">
        <v>771</v>
      </c>
      <c r="I14397" s="380" t="s">
        <v>778</v>
      </c>
      <c r="J14397" s="380" t="s">
        <v>773</v>
      </c>
      <c r="K14397" s="381">
        <v>0.0</v>
      </c>
      <c r="L14397" s="382">
        <v>1.0</v>
      </c>
    </row>
    <row r="14398">
      <c r="A14398" s="380" t="s">
        <v>15272</v>
      </c>
      <c r="B14398" s="380" t="str">
        <f>IFERROR(__xludf.DUMMYFUNCTION("""COMPUTED_VALUE"""),"Poste Plastico Señalización Vi")</f>
        <v>Poste Plastico Señalización Vi</v>
      </c>
      <c r="C14398" s="380" t="str">
        <f>IFERROR(__xludf.DUMMYFUNCTION("""COMPUTED_VALUE"""),"80000746")</f>
        <v>80000746</v>
      </c>
      <c r="D14398" s="380" t="s">
        <v>767</v>
      </c>
      <c r="E14398" s="380" t="s">
        <v>776</v>
      </c>
      <c r="F14398" s="380" t="s">
        <v>777</v>
      </c>
      <c r="G14398" s="380" t="s">
        <v>1267</v>
      </c>
      <c r="H14398" s="380" t="s">
        <v>771</v>
      </c>
      <c r="I14398" s="380" t="s">
        <v>778</v>
      </c>
      <c r="J14398" s="380" t="s">
        <v>773</v>
      </c>
      <c r="K14398" s="381">
        <v>0.0</v>
      </c>
      <c r="L14398" s="382">
        <v>1.0</v>
      </c>
    </row>
    <row r="14399">
      <c r="A14399" s="380" t="s">
        <v>15273</v>
      </c>
      <c r="B14399" s="380" t="str">
        <f>IFERROR(__xludf.DUMMYFUNCTION("""COMPUTED_VALUE"""),"Servicio Mantenimiento Prevent")</f>
        <v>Servicio Mantenimiento Prevent</v>
      </c>
      <c r="C14399" s="380" t="str">
        <f>IFERROR(__xludf.DUMMYFUNCTION("""COMPUTED_VALUE"""),"80000747")</f>
        <v>80000747</v>
      </c>
      <c r="D14399" s="380" t="s">
        <v>767</v>
      </c>
      <c r="E14399" s="380" t="s">
        <v>776</v>
      </c>
      <c r="F14399" s="380" t="s">
        <v>777</v>
      </c>
      <c r="G14399" s="380" t="s">
        <v>1267</v>
      </c>
      <c r="H14399" s="380" t="s">
        <v>771</v>
      </c>
      <c r="I14399" s="380" t="s">
        <v>778</v>
      </c>
      <c r="J14399" s="380" t="s">
        <v>773</v>
      </c>
      <c r="K14399" s="381">
        <v>0.0</v>
      </c>
      <c r="L14399" s="382">
        <v>1.0</v>
      </c>
    </row>
    <row r="14400">
      <c r="A14400" s="380" t="s">
        <v>15274</v>
      </c>
      <c r="B14400" s="380" t="str">
        <f>IFERROR(__xludf.DUMMYFUNCTION("""COMPUTED_VALUE"""),"Gas De Soldadura Aire Acondici")</f>
        <v>Gas De Soldadura Aire Acondici</v>
      </c>
      <c r="C14400" s="380" t="str">
        <f>IFERROR(__xludf.DUMMYFUNCTION("""COMPUTED_VALUE"""),"80000749")</f>
        <v>80000749</v>
      </c>
      <c r="D14400" s="380" t="s">
        <v>767</v>
      </c>
      <c r="E14400" s="380" t="s">
        <v>776</v>
      </c>
      <c r="F14400" s="380" t="s">
        <v>777</v>
      </c>
      <c r="G14400" s="380" t="s">
        <v>1267</v>
      </c>
      <c r="H14400" s="380" t="s">
        <v>771</v>
      </c>
      <c r="I14400" s="380" t="s">
        <v>778</v>
      </c>
      <c r="J14400" s="380" t="s">
        <v>773</v>
      </c>
      <c r="K14400" s="381">
        <v>0.0</v>
      </c>
      <c r="L14400" s="382">
        <v>1.0</v>
      </c>
    </row>
    <row r="14401">
      <c r="A14401" s="380" t="s">
        <v>15275</v>
      </c>
      <c r="B14401" s="380" t="str">
        <f>IFERROR(__xludf.DUMMYFUNCTION("""COMPUTED_VALUE"""),"Caja Empalme 30 X 30 X 15")</f>
        <v>Caja Empalme 30 X 30 X 15</v>
      </c>
      <c r="C14401" s="380" t="str">
        <f>IFERROR(__xludf.DUMMYFUNCTION("""COMPUTED_VALUE"""),"80000750")</f>
        <v>80000750</v>
      </c>
      <c r="D14401" s="380" t="s">
        <v>767</v>
      </c>
      <c r="E14401" s="380" t="s">
        <v>776</v>
      </c>
      <c r="F14401" s="380" t="s">
        <v>777</v>
      </c>
      <c r="G14401" s="380" t="s">
        <v>1267</v>
      </c>
      <c r="H14401" s="380" t="s">
        <v>771</v>
      </c>
      <c r="I14401" s="380" t="s">
        <v>778</v>
      </c>
      <c r="J14401" s="380" t="s">
        <v>773</v>
      </c>
      <c r="K14401" s="381">
        <v>0.0</v>
      </c>
      <c r="L14401" s="382">
        <v>1.0</v>
      </c>
    </row>
    <row r="14402">
      <c r="A14402" s="380" t="s">
        <v>15276</v>
      </c>
      <c r="B14402" s="380" t="str">
        <f>IFERROR(__xludf.DUMMYFUNCTION("""COMPUTED_VALUE"""),"Tornillo G5 Ro De 5/8 X 5""")</f>
        <v>Tornillo G5 Ro De 5/8 X 5"</v>
      </c>
      <c r="C14402" s="380" t="str">
        <f>IFERROR(__xludf.DUMMYFUNCTION("""COMPUTED_VALUE"""),"80000751")</f>
        <v>80000751</v>
      </c>
      <c r="D14402" s="380" t="s">
        <v>767</v>
      </c>
      <c r="E14402" s="380" t="s">
        <v>776</v>
      </c>
      <c r="F14402" s="380" t="s">
        <v>777</v>
      </c>
      <c r="G14402" s="380" t="s">
        <v>1267</v>
      </c>
      <c r="H14402" s="380" t="s">
        <v>771</v>
      </c>
      <c r="I14402" s="380" t="s">
        <v>778</v>
      </c>
      <c r="J14402" s="380" t="s">
        <v>773</v>
      </c>
      <c r="K14402" s="381">
        <v>0.0</v>
      </c>
      <c r="L14402" s="382">
        <v>1.0</v>
      </c>
    </row>
    <row r="14403">
      <c r="A14403" s="380" t="s">
        <v>15277</v>
      </c>
      <c r="B14403" s="380" t="str">
        <f>IFERROR(__xludf.DUMMYFUNCTION("""COMPUTED_VALUE"""),"Suiche 3 Posiciones Para Cafet")</f>
        <v>Suiche 3 Posiciones Para Cafet</v>
      </c>
      <c r="C14403" s="380" t="str">
        <f>IFERROR(__xludf.DUMMYFUNCTION("""COMPUTED_VALUE"""),"80000752")</f>
        <v>80000752</v>
      </c>
      <c r="D14403" s="380" t="s">
        <v>767</v>
      </c>
      <c r="E14403" s="380" t="s">
        <v>776</v>
      </c>
      <c r="F14403" s="380" t="s">
        <v>777</v>
      </c>
      <c r="G14403" s="380" t="s">
        <v>1267</v>
      </c>
      <c r="H14403" s="380" t="s">
        <v>771</v>
      </c>
      <c r="I14403" s="380" t="s">
        <v>778</v>
      </c>
      <c r="J14403" s="380" t="s">
        <v>773</v>
      </c>
      <c r="K14403" s="381">
        <v>0.0</v>
      </c>
      <c r="L14403" s="382">
        <v>1.0</v>
      </c>
    </row>
    <row r="14404">
      <c r="A14404" s="380" t="s">
        <v>15278</v>
      </c>
      <c r="B14404" s="380" t="str">
        <f>IFERROR(__xludf.DUMMYFUNCTION("""COMPUTED_VALUE"""),"Tornillo 8 X 3/"" Cabeza Lentej")</f>
        <v>Tornillo 8 X 3/" Cabeza Lentej</v>
      </c>
      <c r="C14404" s="380" t="str">
        <f>IFERROR(__xludf.DUMMYFUNCTION("""COMPUTED_VALUE"""),"80000753")</f>
        <v>80000753</v>
      </c>
      <c r="D14404" s="380" t="s">
        <v>767</v>
      </c>
      <c r="E14404" s="380" t="s">
        <v>776</v>
      </c>
      <c r="F14404" s="380" t="s">
        <v>777</v>
      </c>
      <c r="G14404" s="380" t="s">
        <v>1267</v>
      </c>
      <c r="H14404" s="380" t="s">
        <v>771</v>
      </c>
      <c r="I14404" s="380" t="s">
        <v>778</v>
      </c>
      <c r="J14404" s="380" t="s">
        <v>773</v>
      </c>
      <c r="K14404" s="381">
        <v>0.0</v>
      </c>
      <c r="L14404" s="382">
        <v>1.0</v>
      </c>
    </row>
    <row r="14405">
      <c r="A14405" s="380" t="s">
        <v>15279</v>
      </c>
      <c r="B14405" s="380" t="str">
        <f>IFERROR(__xludf.DUMMYFUNCTION("""COMPUTED_VALUE"""),"Pomo Universal Para Lavamanos")</f>
        <v>Pomo Universal Para Lavamanos</v>
      </c>
      <c r="C14405" s="380" t="str">
        <f>IFERROR(__xludf.DUMMYFUNCTION("""COMPUTED_VALUE"""),"80000754")</f>
        <v>80000754</v>
      </c>
      <c r="D14405" s="380" t="s">
        <v>767</v>
      </c>
      <c r="E14405" s="380" t="s">
        <v>776</v>
      </c>
      <c r="F14405" s="380" t="s">
        <v>777</v>
      </c>
      <c r="G14405" s="380" t="s">
        <v>1267</v>
      </c>
      <c r="H14405" s="380" t="s">
        <v>771</v>
      </c>
      <c r="I14405" s="380" t="s">
        <v>778</v>
      </c>
      <c r="J14405" s="380" t="s">
        <v>773</v>
      </c>
      <c r="K14405" s="381">
        <v>0.0</v>
      </c>
      <c r="L14405" s="382">
        <v>1.0</v>
      </c>
    </row>
    <row r="14406">
      <c r="A14406" s="380" t="s">
        <v>15280</v>
      </c>
      <c r="B14406" s="380" t="str">
        <f>IFERROR(__xludf.DUMMYFUNCTION("""COMPUTED_VALUE"""),"Llave Lavamanos Grival")</f>
        <v>Llave Lavamanos Grival</v>
      </c>
      <c r="C14406" s="380" t="str">
        <f>IFERROR(__xludf.DUMMYFUNCTION("""COMPUTED_VALUE"""),"80000755")</f>
        <v>80000755</v>
      </c>
      <c r="D14406" s="380" t="s">
        <v>767</v>
      </c>
      <c r="E14406" s="380" t="s">
        <v>776</v>
      </c>
      <c r="F14406" s="380" t="s">
        <v>777</v>
      </c>
      <c r="G14406" s="380" t="s">
        <v>1267</v>
      </c>
      <c r="H14406" s="380" t="s">
        <v>771</v>
      </c>
      <c r="I14406" s="380" t="s">
        <v>778</v>
      </c>
      <c r="J14406" s="380" t="s">
        <v>773</v>
      </c>
      <c r="K14406" s="381">
        <v>0.0</v>
      </c>
      <c r="L14406" s="382">
        <v>1.0</v>
      </c>
    </row>
    <row r="14407">
      <c r="A14407" s="380" t="s">
        <v>15281</v>
      </c>
      <c r="B14407" s="380" t="str">
        <f>IFERROR(__xludf.DUMMYFUNCTION("""COMPUTED_VALUE"""),"Rodillo Epóxico 9?")</f>
        <v>Rodillo Epóxico 9?</v>
      </c>
      <c r="C14407" s="380" t="str">
        <f>IFERROR(__xludf.DUMMYFUNCTION("""COMPUTED_VALUE"""),"80000756")</f>
        <v>80000756</v>
      </c>
      <c r="D14407" s="380" t="s">
        <v>767</v>
      </c>
      <c r="E14407" s="380" t="s">
        <v>776</v>
      </c>
      <c r="F14407" s="380" t="s">
        <v>777</v>
      </c>
      <c r="G14407" s="380" t="s">
        <v>1267</v>
      </c>
      <c r="H14407" s="380" t="s">
        <v>771</v>
      </c>
      <c r="I14407" s="380" t="s">
        <v>778</v>
      </c>
      <c r="J14407" s="380" t="s">
        <v>773</v>
      </c>
      <c r="K14407" s="381">
        <v>0.0</v>
      </c>
      <c r="L14407" s="382">
        <v>1.0</v>
      </c>
    </row>
    <row r="14408">
      <c r="A14408" s="380" t="s">
        <v>15282</v>
      </c>
      <c r="B14408" s="380" t="str">
        <f>IFERROR(__xludf.DUMMYFUNCTION("""COMPUTED_VALUE"""),"Coraza Americana De 1 1 /2")</f>
        <v>Coraza Americana De 1 1 /2</v>
      </c>
      <c r="C14408" s="380" t="str">
        <f>IFERROR(__xludf.DUMMYFUNCTION("""COMPUTED_VALUE"""),"80000757")</f>
        <v>80000757</v>
      </c>
      <c r="D14408" s="380" t="s">
        <v>767</v>
      </c>
      <c r="E14408" s="380" t="s">
        <v>776</v>
      </c>
      <c r="F14408" s="380" t="s">
        <v>777</v>
      </c>
      <c r="G14408" s="380" t="s">
        <v>1267</v>
      </c>
      <c r="H14408" s="380" t="s">
        <v>771</v>
      </c>
      <c r="I14408" s="380" t="s">
        <v>778</v>
      </c>
      <c r="J14408" s="380" t="s">
        <v>773</v>
      </c>
      <c r="K14408" s="381">
        <v>0.0</v>
      </c>
      <c r="L14408" s="382">
        <v>1.0</v>
      </c>
    </row>
    <row r="14409">
      <c r="A14409" s="380" t="s">
        <v>15283</v>
      </c>
      <c r="B14409" s="380" t="str">
        <f>IFERROR(__xludf.DUMMYFUNCTION("""COMPUTED_VALUE"""),"Bandeja Para Rack Ref. Bv 1017")</f>
        <v>Bandeja Para Rack Ref. Bv 1017</v>
      </c>
      <c r="C14409" s="380" t="str">
        <f>IFERROR(__xludf.DUMMYFUNCTION("""COMPUTED_VALUE"""),"80000758")</f>
        <v>80000758</v>
      </c>
      <c r="D14409" s="380" t="s">
        <v>767</v>
      </c>
      <c r="E14409" s="380" t="s">
        <v>776</v>
      </c>
      <c r="F14409" s="380" t="s">
        <v>777</v>
      </c>
      <c r="G14409" s="380" t="s">
        <v>1267</v>
      </c>
      <c r="H14409" s="380" t="s">
        <v>771</v>
      </c>
      <c r="I14409" s="380" t="s">
        <v>778</v>
      </c>
      <c r="J14409" s="380" t="s">
        <v>773</v>
      </c>
      <c r="K14409" s="381">
        <v>0.0</v>
      </c>
      <c r="L14409" s="382">
        <v>1.0</v>
      </c>
    </row>
    <row r="14410">
      <c r="A14410" s="380" t="s">
        <v>15284</v>
      </c>
      <c r="B14410" s="380" t="str">
        <f>IFERROR(__xludf.DUMMYFUNCTION("""COMPUTED_VALUE"""),"Filtro Omnipure Usa Sediemntos")</f>
        <v>Filtro Omnipure Usa Sediemntos</v>
      </c>
      <c r="C14410" s="380" t="str">
        <f>IFERROR(__xludf.DUMMYFUNCTION("""COMPUTED_VALUE"""),"80000759")</f>
        <v>80000759</v>
      </c>
      <c r="D14410" s="380" t="s">
        <v>767</v>
      </c>
      <c r="E14410" s="380" t="s">
        <v>776</v>
      </c>
      <c r="F14410" s="380" t="s">
        <v>777</v>
      </c>
      <c r="G14410" s="380" t="s">
        <v>1267</v>
      </c>
      <c r="H14410" s="380" t="s">
        <v>771</v>
      </c>
      <c r="I14410" s="380" t="s">
        <v>778</v>
      </c>
      <c r="J14410" s="380" t="s">
        <v>773</v>
      </c>
      <c r="K14410" s="381">
        <v>0.0</v>
      </c>
      <c r="L14410" s="382">
        <v>1.0</v>
      </c>
    </row>
    <row r="14411">
      <c r="A14411" s="380" t="s">
        <v>15285</v>
      </c>
      <c r="B14411" s="380" t="str">
        <f>IFERROR(__xludf.DUMMYFUNCTION("""COMPUTED_VALUE"""),"Sifón Tipo Botella Lavamanos U")</f>
        <v>Sifón Tipo Botella Lavamanos U</v>
      </c>
      <c r="C14411" s="380" t="str">
        <f>IFERROR(__xludf.DUMMYFUNCTION("""COMPUTED_VALUE"""),"80000760")</f>
        <v>80000760</v>
      </c>
      <c r="D14411" s="380" t="s">
        <v>767</v>
      </c>
      <c r="E14411" s="380" t="s">
        <v>776</v>
      </c>
      <c r="F14411" s="380" t="s">
        <v>777</v>
      </c>
      <c r="G14411" s="380" t="s">
        <v>1267</v>
      </c>
      <c r="H14411" s="380" t="s">
        <v>771</v>
      </c>
      <c r="I14411" s="380" t="s">
        <v>778</v>
      </c>
      <c r="J14411" s="380" t="s">
        <v>773</v>
      </c>
      <c r="K14411" s="381">
        <v>0.0</v>
      </c>
      <c r="L14411" s="382">
        <v>1.0</v>
      </c>
    </row>
    <row r="14412">
      <c r="A14412" s="380" t="s">
        <v>15286</v>
      </c>
      <c r="B14412" s="380" t="str">
        <f>IFERROR(__xludf.DUMMYFUNCTION("""COMPUTED_VALUE"""),"Alarma Sonora De Emergencia")</f>
        <v>Alarma Sonora De Emergencia</v>
      </c>
      <c r="C14412" s="380" t="str">
        <f>IFERROR(__xludf.DUMMYFUNCTION("""COMPUTED_VALUE"""),"80000761")</f>
        <v>80000761</v>
      </c>
      <c r="D14412" s="380" t="s">
        <v>767</v>
      </c>
      <c r="E14412" s="380" t="s">
        <v>776</v>
      </c>
      <c r="F14412" s="380" t="s">
        <v>777</v>
      </c>
      <c r="G14412" s="380" t="s">
        <v>1267</v>
      </c>
      <c r="H14412" s="380" t="s">
        <v>771</v>
      </c>
      <c r="I14412" s="380" t="s">
        <v>778</v>
      </c>
      <c r="J14412" s="380" t="s">
        <v>773</v>
      </c>
      <c r="K14412" s="381">
        <v>0.0</v>
      </c>
      <c r="L14412" s="382">
        <v>1.0</v>
      </c>
    </row>
    <row r="14413">
      <c r="A14413" s="380" t="s">
        <v>15287</v>
      </c>
      <c r="B14413" s="380" t="str">
        <f>IFERROR(__xludf.DUMMYFUNCTION("""COMPUTED_VALUE"""),"Bomba De Agua Ftr Reparada")</f>
        <v>Bomba De Agua Ftr Reparada</v>
      </c>
      <c r="C14413" s="380" t="str">
        <f>IFERROR(__xludf.DUMMYFUNCTION("""COMPUTED_VALUE"""),"80000762")</f>
        <v>80000762</v>
      </c>
      <c r="D14413" s="380" t="s">
        <v>767</v>
      </c>
      <c r="E14413" s="380" t="s">
        <v>776</v>
      </c>
      <c r="F14413" s="380" t="s">
        <v>1058</v>
      </c>
      <c r="G14413" s="380" t="s">
        <v>1267</v>
      </c>
      <c r="H14413" s="380" t="s">
        <v>771</v>
      </c>
      <c r="I14413" s="380" t="s">
        <v>788</v>
      </c>
      <c r="J14413" s="380" t="s">
        <v>773</v>
      </c>
      <c r="K14413" s="381">
        <v>0.0</v>
      </c>
      <c r="L14413" s="382">
        <v>1.0</v>
      </c>
    </row>
    <row r="14414">
      <c r="A14414" s="380" t="s">
        <v>15288</v>
      </c>
      <c r="B14414" s="380" t="str">
        <f>IFERROR(__xludf.DUMMYFUNCTION("""COMPUTED_VALUE"""),"Tubo Imc De 3/4 Tipo Pesado")</f>
        <v>Tubo Imc De 3/4 Tipo Pesado</v>
      </c>
      <c r="C14414" s="380" t="str">
        <f>IFERROR(__xludf.DUMMYFUNCTION("""COMPUTED_VALUE"""),"80000763")</f>
        <v>80000763</v>
      </c>
      <c r="D14414" s="380" t="s">
        <v>767</v>
      </c>
      <c r="E14414" s="380" t="s">
        <v>776</v>
      </c>
      <c r="F14414" s="380" t="s">
        <v>777</v>
      </c>
      <c r="G14414" s="380" t="s">
        <v>1267</v>
      </c>
      <c r="H14414" s="380" t="s">
        <v>771</v>
      </c>
      <c r="I14414" s="380" t="s">
        <v>778</v>
      </c>
      <c r="J14414" s="380" t="s">
        <v>773</v>
      </c>
      <c r="K14414" s="381">
        <v>0.0</v>
      </c>
      <c r="L14414" s="382">
        <v>1.0</v>
      </c>
    </row>
    <row r="14415">
      <c r="A14415" s="380" t="s">
        <v>15289</v>
      </c>
      <c r="B14415" s="380" t="str">
        <f>IFERROR(__xludf.DUMMYFUNCTION("""COMPUTED_VALUE"""),"Niple Galvanizado 1"" X 10 Cm")</f>
        <v>Niple Galvanizado 1" X 10 Cm</v>
      </c>
      <c r="C14415" s="380" t="str">
        <f>IFERROR(__xludf.DUMMYFUNCTION("""COMPUTED_VALUE"""),"80000764")</f>
        <v>80000764</v>
      </c>
      <c r="D14415" s="380" t="s">
        <v>767</v>
      </c>
      <c r="E14415" s="380" t="s">
        <v>776</v>
      </c>
      <c r="F14415" s="380" t="s">
        <v>777</v>
      </c>
      <c r="G14415" s="380" t="s">
        <v>1267</v>
      </c>
      <c r="H14415" s="380" t="s">
        <v>771</v>
      </c>
      <c r="I14415" s="380" t="s">
        <v>778</v>
      </c>
      <c r="J14415" s="380" t="s">
        <v>773</v>
      </c>
      <c r="K14415" s="381">
        <v>17850.0</v>
      </c>
      <c r="L14415" s="382">
        <v>1.0</v>
      </c>
    </row>
    <row r="14416">
      <c r="A14416" s="380" t="s">
        <v>15290</v>
      </c>
      <c r="B14416" s="380" t="str">
        <f>IFERROR(__xludf.DUMMYFUNCTION("""COMPUTED_VALUE"""),"Colchon De 1.00 X 1.90")</f>
        <v>Colchon De 1.00 X 1.90</v>
      </c>
      <c r="C14416" s="380" t="str">
        <f>IFERROR(__xludf.DUMMYFUNCTION("""COMPUTED_VALUE"""),"80000765")</f>
        <v>80000765</v>
      </c>
      <c r="D14416" s="380" t="s">
        <v>767</v>
      </c>
      <c r="E14416" s="380" t="s">
        <v>776</v>
      </c>
      <c r="F14416" s="380" t="s">
        <v>777</v>
      </c>
      <c r="G14416" s="380" t="s">
        <v>1267</v>
      </c>
      <c r="H14416" s="380" t="s">
        <v>771</v>
      </c>
      <c r="I14416" s="380" t="s">
        <v>778</v>
      </c>
      <c r="J14416" s="380" t="s">
        <v>773</v>
      </c>
      <c r="K14416" s="381">
        <v>0.0</v>
      </c>
      <c r="L14416" s="382">
        <v>1.0</v>
      </c>
    </row>
    <row r="14417">
      <c r="A14417" s="380" t="s">
        <v>15291</v>
      </c>
      <c r="B14417" s="380" t="str">
        <f>IFERROR(__xludf.DUMMYFUNCTION("""COMPUTED_VALUE"""),"Caja Rawelt 4 X 4 Salida 3/4")</f>
        <v>Caja Rawelt 4 X 4 Salida 3/4</v>
      </c>
      <c r="C14417" s="380" t="str">
        <f>IFERROR(__xludf.DUMMYFUNCTION("""COMPUTED_VALUE"""),"80000766")</f>
        <v>80000766</v>
      </c>
      <c r="D14417" s="380" t="s">
        <v>767</v>
      </c>
      <c r="E14417" s="380" t="s">
        <v>776</v>
      </c>
      <c r="F14417" s="380" t="s">
        <v>777</v>
      </c>
      <c r="G14417" s="380" t="s">
        <v>1267</v>
      </c>
      <c r="H14417" s="380" t="s">
        <v>771</v>
      </c>
      <c r="I14417" s="380" t="s">
        <v>778</v>
      </c>
      <c r="J14417" s="380" t="s">
        <v>773</v>
      </c>
      <c r="K14417" s="381">
        <v>0.0</v>
      </c>
      <c r="L14417" s="382">
        <v>1.0</v>
      </c>
    </row>
    <row r="14418">
      <c r="A14418" s="380" t="s">
        <v>15292</v>
      </c>
      <c r="B14418" s="380" t="str">
        <f>IFERROR(__xludf.DUMMYFUNCTION("""COMPUTED_VALUE"""),"Tapa Rawelt 4 X 4 Ciega")</f>
        <v>Tapa Rawelt 4 X 4 Ciega</v>
      </c>
      <c r="C14418" s="380" t="str">
        <f>IFERROR(__xludf.DUMMYFUNCTION("""COMPUTED_VALUE"""),"80000767")</f>
        <v>80000767</v>
      </c>
      <c r="D14418" s="380" t="s">
        <v>767</v>
      </c>
      <c r="E14418" s="380" t="s">
        <v>776</v>
      </c>
      <c r="F14418" s="380" t="s">
        <v>777</v>
      </c>
      <c r="G14418" s="380" t="s">
        <v>1267</v>
      </c>
      <c r="H14418" s="380" t="s">
        <v>771</v>
      </c>
      <c r="I14418" s="380" t="s">
        <v>778</v>
      </c>
      <c r="J14418" s="380" t="s">
        <v>773</v>
      </c>
      <c r="K14418" s="381">
        <v>0.0</v>
      </c>
      <c r="L14418" s="382">
        <v>1.0</v>
      </c>
    </row>
    <row r="14419">
      <c r="A14419" s="380" t="s">
        <v>15293</v>
      </c>
      <c r="B14419" s="380" t="str">
        <f>IFERROR(__xludf.DUMMYFUNCTION("""COMPUTED_VALUE"""),"Mini Brake 3 X 20 Amp. De Riel")</f>
        <v>Mini Brake 3 X 20 Amp. De Riel</v>
      </c>
      <c r="C14419" s="380" t="str">
        <f>IFERROR(__xludf.DUMMYFUNCTION("""COMPUTED_VALUE"""),"80000768")</f>
        <v>80000768</v>
      </c>
      <c r="D14419" s="380" t="s">
        <v>767</v>
      </c>
      <c r="E14419" s="380" t="s">
        <v>776</v>
      </c>
      <c r="F14419" s="380" t="s">
        <v>777</v>
      </c>
      <c r="G14419" s="380" t="s">
        <v>1267</v>
      </c>
      <c r="H14419" s="380" t="s">
        <v>771</v>
      </c>
      <c r="I14419" s="380" t="s">
        <v>778</v>
      </c>
      <c r="J14419" s="380" t="s">
        <v>773</v>
      </c>
      <c r="K14419" s="381">
        <v>0.0</v>
      </c>
      <c r="L14419" s="382">
        <v>1.0</v>
      </c>
    </row>
    <row r="14420">
      <c r="A14420" s="380" t="s">
        <v>15294</v>
      </c>
      <c r="B14420" s="380" t="str">
        <f>IFERROR(__xludf.DUMMYFUNCTION("""COMPUTED_VALUE"""),"Bombillo Led 9 W 120 V")</f>
        <v>Bombillo Led 9 W 120 V</v>
      </c>
      <c r="C14420" s="380" t="str">
        <f>IFERROR(__xludf.DUMMYFUNCTION("""COMPUTED_VALUE"""),"80000769")</f>
        <v>80000769</v>
      </c>
      <c r="D14420" s="380" t="s">
        <v>767</v>
      </c>
      <c r="E14420" s="380" t="s">
        <v>776</v>
      </c>
      <c r="F14420" s="380" t="s">
        <v>777</v>
      </c>
      <c r="G14420" s="380" t="s">
        <v>1267</v>
      </c>
      <c r="H14420" s="380" t="s">
        <v>771</v>
      </c>
      <c r="I14420" s="380" t="s">
        <v>778</v>
      </c>
      <c r="J14420" s="380" t="s">
        <v>773</v>
      </c>
      <c r="K14420" s="381">
        <v>0.0</v>
      </c>
      <c r="L14420" s="382">
        <v>1.0</v>
      </c>
    </row>
    <row r="14421">
      <c r="A14421" s="380" t="s">
        <v>15295</v>
      </c>
      <c r="B14421" s="380" t="str">
        <f>IFERROR(__xludf.DUMMYFUNCTION("""COMPUTED_VALUE"""),"Piso Plastico Para Bases (80X8")</f>
        <v>Piso Plastico Para Bases (80X8</v>
      </c>
      <c r="C14421" s="380" t="str">
        <f>IFERROR(__xludf.DUMMYFUNCTION("""COMPUTED_VALUE"""),"80000770")</f>
        <v>80000770</v>
      </c>
      <c r="D14421" s="380" t="s">
        <v>767</v>
      </c>
      <c r="E14421" s="380" t="s">
        <v>776</v>
      </c>
      <c r="F14421" s="380" t="s">
        <v>777</v>
      </c>
      <c r="G14421" s="380" t="s">
        <v>1267</v>
      </c>
      <c r="H14421" s="380" t="s">
        <v>771</v>
      </c>
      <c r="I14421" s="380" t="s">
        <v>778</v>
      </c>
      <c r="J14421" s="380" t="s">
        <v>773</v>
      </c>
      <c r="K14421" s="381">
        <v>99600.0</v>
      </c>
      <c r="L14421" s="382">
        <v>1.0</v>
      </c>
    </row>
    <row r="14422">
      <c r="A14422" s="380" t="s">
        <v>15296</v>
      </c>
      <c r="B14422" s="380" t="str">
        <f>IFERROR(__xludf.DUMMYFUNCTION("""COMPUTED_VALUE"""),"Terminal Cobre Para Cable # 4")</f>
        <v>Terminal Cobre Para Cable # 4</v>
      </c>
      <c r="C14422" s="380" t="str">
        <f>IFERROR(__xludf.DUMMYFUNCTION("""COMPUTED_VALUE"""),"80000771")</f>
        <v>80000771</v>
      </c>
      <c r="D14422" s="380" t="s">
        <v>767</v>
      </c>
      <c r="E14422" s="380" t="s">
        <v>776</v>
      </c>
      <c r="F14422" s="380" t="s">
        <v>777</v>
      </c>
      <c r="G14422" s="380" t="s">
        <v>1267</v>
      </c>
      <c r="H14422" s="380" t="s">
        <v>771</v>
      </c>
      <c r="I14422" s="380" t="s">
        <v>778</v>
      </c>
      <c r="J14422" s="380" t="s">
        <v>773</v>
      </c>
      <c r="K14422" s="381">
        <v>0.0</v>
      </c>
      <c r="L14422" s="382">
        <v>1.0</v>
      </c>
    </row>
    <row r="14423">
      <c r="A14423" s="380" t="s">
        <v>15297</v>
      </c>
      <c r="B14423" s="380" t="str">
        <f>IFERROR(__xludf.DUMMYFUNCTION("""COMPUTED_VALUE"""),"Soporte De Pared Para Tv")</f>
        <v>Soporte De Pared Para Tv</v>
      </c>
      <c r="C14423" s="380" t="str">
        <f>IFERROR(__xludf.DUMMYFUNCTION("""COMPUTED_VALUE"""),"80000772")</f>
        <v>80000772</v>
      </c>
      <c r="D14423" s="380" t="s">
        <v>767</v>
      </c>
      <c r="E14423" s="380" t="s">
        <v>776</v>
      </c>
      <c r="F14423" s="380" t="s">
        <v>777</v>
      </c>
      <c r="G14423" s="380" t="s">
        <v>1267</v>
      </c>
      <c r="H14423" s="380" t="s">
        <v>771</v>
      </c>
      <c r="I14423" s="380" t="s">
        <v>778</v>
      </c>
      <c r="J14423" s="380" t="s">
        <v>773</v>
      </c>
      <c r="K14423" s="381">
        <v>0.0</v>
      </c>
      <c r="L14423" s="382">
        <v>1.0</v>
      </c>
    </row>
    <row r="14424">
      <c r="A14424" s="380" t="s">
        <v>15298</v>
      </c>
      <c r="B14424" s="380" t="str">
        <f>IFERROR(__xludf.DUMMYFUNCTION("""COMPUTED_VALUE"""),"Asiento Sanitario")</f>
        <v>Asiento Sanitario</v>
      </c>
      <c r="C14424" s="380" t="str">
        <f>IFERROR(__xludf.DUMMYFUNCTION("""COMPUTED_VALUE"""),"80000773")</f>
        <v>80000773</v>
      </c>
      <c r="D14424" s="380" t="s">
        <v>767</v>
      </c>
      <c r="E14424" s="380" t="s">
        <v>776</v>
      </c>
      <c r="F14424" s="380" t="s">
        <v>777</v>
      </c>
      <c r="G14424" s="380" t="s">
        <v>1267</v>
      </c>
      <c r="H14424" s="380" t="s">
        <v>771</v>
      </c>
      <c r="I14424" s="380" t="s">
        <v>778</v>
      </c>
      <c r="J14424" s="380" t="s">
        <v>773</v>
      </c>
      <c r="K14424" s="381">
        <v>0.0</v>
      </c>
      <c r="L14424" s="382">
        <v>1.0</v>
      </c>
    </row>
    <row r="14425">
      <c r="A14425" s="380" t="s">
        <v>15299</v>
      </c>
      <c r="B14425" s="380" t="str">
        <f>IFERROR(__xludf.DUMMYFUNCTION("""COMPUTED_VALUE"""),"Herraje Mueble Sanitario")</f>
        <v>Herraje Mueble Sanitario</v>
      </c>
      <c r="C14425" s="380" t="str">
        <f>IFERROR(__xludf.DUMMYFUNCTION("""COMPUTED_VALUE"""),"80000774")</f>
        <v>80000774</v>
      </c>
      <c r="D14425" s="380" t="s">
        <v>767</v>
      </c>
      <c r="E14425" s="380" t="s">
        <v>776</v>
      </c>
      <c r="F14425" s="380" t="s">
        <v>777</v>
      </c>
      <c r="G14425" s="380" t="s">
        <v>1267</v>
      </c>
      <c r="H14425" s="380" t="s">
        <v>771</v>
      </c>
      <c r="I14425" s="380" t="s">
        <v>778</v>
      </c>
      <c r="J14425" s="380" t="s">
        <v>773</v>
      </c>
      <c r="K14425" s="381">
        <v>0.0</v>
      </c>
      <c r="L14425" s="382">
        <v>1.0</v>
      </c>
    </row>
    <row r="14426">
      <c r="A14426" s="380" t="s">
        <v>15300</v>
      </c>
      <c r="B14426" s="380" t="str">
        <f>IFERROR(__xludf.DUMMYFUNCTION("""COMPUTED_VALUE"""),"Valvula Fluidmaster Sanitario")</f>
        <v>Valvula Fluidmaster Sanitario</v>
      </c>
      <c r="C14426" s="380" t="str">
        <f>IFERROR(__xludf.DUMMYFUNCTION("""COMPUTED_VALUE"""),"80000775")</f>
        <v>80000775</v>
      </c>
      <c r="D14426" s="380" t="s">
        <v>767</v>
      </c>
      <c r="E14426" s="380" t="s">
        <v>776</v>
      </c>
      <c r="F14426" s="380" t="s">
        <v>777</v>
      </c>
      <c r="G14426" s="380" t="s">
        <v>1267</v>
      </c>
      <c r="H14426" s="380" t="s">
        <v>771</v>
      </c>
      <c r="I14426" s="380" t="s">
        <v>778</v>
      </c>
      <c r="J14426" s="380" t="s">
        <v>773</v>
      </c>
      <c r="K14426" s="381">
        <v>0.0</v>
      </c>
      <c r="L14426" s="382">
        <v>1.0</v>
      </c>
    </row>
    <row r="14427">
      <c r="A14427" s="380" t="s">
        <v>15301</v>
      </c>
      <c r="B14427" s="380" t="str">
        <f>IFERROR(__xludf.DUMMYFUNCTION("""COMPUTED_VALUE"""),"Contactor 32 Amp 220 V")</f>
        <v>Contactor 32 Amp 220 V</v>
      </c>
      <c r="C14427" s="380" t="str">
        <f>IFERROR(__xludf.DUMMYFUNCTION("""COMPUTED_VALUE"""),"80000777")</f>
        <v>80000777</v>
      </c>
      <c r="D14427" s="380" t="s">
        <v>767</v>
      </c>
      <c r="E14427" s="380" t="s">
        <v>776</v>
      </c>
      <c r="F14427" s="380" t="s">
        <v>777</v>
      </c>
      <c r="G14427" s="380" t="s">
        <v>1267</v>
      </c>
      <c r="H14427" s="380" t="s">
        <v>771</v>
      </c>
      <c r="I14427" s="380" t="s">
        <v>778</v>
      </c>
      <c r="J14427" s="380" t="s">
        <v>773</v>
      </c>
      <c r="K14427" s="381">
        <v>0.0</v>
      </c>
      <c r="L14427" s="382">
        <v>1.0</v>
      </c>
    </row>
    <row r="14428">
      <c r="A14428" s="380" t="s">
        <v>15302</v>
      </c>
      <c r="B14428" s="380" t="str">
        <f>IFERROR(__xludf.DUMMYFUNCTION("""COMPUTED_VALUE"""),"Llave Lavaplatos Cromad Varias")</f>
        <v>Llave Lavaplatos Cromad Varias</v>
      </c>
      <c r="C14428" s="380" t="str">
        <f>IFERROR(__xludf.DUMMYFUNCTION("""COMPUTED_VALUE"""),"80000778")</f>
        <v>80000778</v>
      </c>
      <c r="D14428" s="380" t="s">
        <v>767</v>
      </c>
      <c r="E14428" s="380" t="s">
        <v>776</v>
      </c>
      <c r="F14428" s="380" t="s">
        <v>777</v>
      </c>
      <c r="G14428" s="380" t="s">
        <v>1267</v>
      </c>
      <c r="H14428" s="380" t="s">
        <v>771</v>
      </c>
      <c r="I14428" s="380" t="s">
        <v>778</v>
      </c>
      <c r="J14428" s="380" t="s">
        <v>773</v>
      </c>
      <c r="K14428" s="381">
        <v>0.0</v>
      </c>
      <c r="L14428" s="382">
        <v>1.0</v>
      </c>
    </row>
    <row r="14429">
      <c r="A14429" s="380" t="s">
        <v>15303</v>
      </c>
      <c r="B14429" s="380" t="str">
        <f>IFERROR(__xludf.DUMMYFUNCTION("""COMPUTED_VALUE"""),"Adaptador Pvc 1""")</f>
        <v>Adaptador Pvc 1"</v>
      </c>
      <c r="C14429" s="380" t="str">
        <f>IFERROR(__xludf.DUMMYFUNCTION("""COMPUTED_VALUE"""),"80000779")</f>
        <v>80000779</v>
      </c>
      <c r="D14429" s="380" t="s">
        <v>767</v>
      </c>
      <c r="E14429" s="380" t="s">
        <v>776</v>
      </c>
      <c r="F14429" s="380" t="s">
        <v>777</v>
      </c>
      <c r="G14429" s="380" t="s">
        <v>1267</v>
      </c>
      <c r="H14429" s="380" t="s">
        <v>771</v>
      </c>
      <c r="I14429" s="380" t="s">
        <v>778</v>
      </c>
      <c r="J14429" s="380" t="s">
        <v>773</v>
      </c>
      <c r="K14429" s="381">
        <v>0.0</v>
      </c>
      <c r="L14429" s="382">
        <v>1.0</v>
      </c>
    </row>
    <row r="14430">
      <c r="A14430" s="380" t="s">
        <v>15304</v>
      </c>
      <c r="B14430" s="380" t="str">
        <f>IFERROR(__xludf.DUMMYFUNCTION("""COMPUTED_VALUE"""),"Tubo Pvc Verde 3/4")</f>
        <v>Tubo Pvc Verde 3/4</v>
      </c>
      <c r="C14430" s="380" t="str">
        <f>IFERROR(__xludf.DUMMYFUNCTION("""COMPUTED_VALUE"""),"80000780")</f>
        <v>80000780</v>
      </c>
      <c r="D14430" s="380" t="s">
        <v>767</v>
      </c>
      <c r="E14430" s="380" t="s">
        <v>776</v>
      </c>
      <c r="F14430" s="380" t="s">
        <v>777</v>
      </c>
      <c r="G14430" s="380" t="s">
        <v>1267</v>
      </c>
      <c r="H14430" s="380" t="s">
        <v>771</v>
      </c>
      <c r="I14430" s="380" t="s">
        <v>778</v>
      </c>
      <c r="J14430" s="380" t="s">
        <v>773</v>
      </c>
      <c r="K14430" s="381">
        <v>0.0</v>
      </c>
      <c r="L14430" s="382">
        <v>1.0</v>
      </c>
    </row>
    <row r="14431">
      <c r="A14431" s="380" t="s">
        <v>15305</v>
      </c>
      <c r="B14431" s="380" t="str">
        <f>IFERROR(__xludf.DUMMYFUNCTION("""COMPUTED_VALUE"""),"Curva Pvc Verde 3/4")</f>
        <v>Curva Pvc Verde 3/4</v>
      </c>
      <c r="C14431" s="380" t="str">
        <f>IFERROR(__xludf.DUMMYFUNCTION("""COMPUTED_VALUE"""),"80000781")</f>
        <v>80000781</v>
      </c>
      <c r="D14431" s="380" t="s">
        <v>767</v>
      </c>
      <c r="E14431" s="380" t="s">
        <v>776</v>
      </c>
      <c r="F14431" s="380" t="s">
        <v>777</v>
      </c>
      <c r="G14431" s="380" t="s">
        <v>1267</v>
      </c>
      <c r="H14431" s="380" t="s">
        <v>771</v>
      </c>
      <c r="I14431" s="380" t="s">
        <v>778</v>
      </c>
      <c r="J14431" s="380" t="s">
        <v>773</v>
      </c>
      <c r="K14431" s="381">
        <v>0.0</v>
      </c>
      <c r="L14431" s="382">
        <v>1.0</v>
      </c>
    </row>
    <row r="14432">
      <c r="A14432" s="380" t="s">
        <v>15306</v>
      </c>
      <c r="B14432" s="380" t="str">
        <f>IFERROR(__xludf.DUMMYFUNCTION("""COMPUTED_VALUE"""),"Coraza Americana De 3/4")</f>
        <v>Coraza Americana De 3/4</v>
      </c>
      <c r="C14432" s="380" t="str">
        <f>IFERROR(__xludf.DUMMYFUNCTION("""COMPUTED_VALUE"""),"80000782")</f>
        <v>80000782</v>
      </c>
      <c r="D14432" s="380" t="s">
        <v>767</v>
      </c>
      <c r="E14432" s="380" t="s">
        <v>776</v>
      </c>
      <c r="F14432" s="380" t="s">
        <v>777</v>
      </c>
      <c r="G14432" s="380" t="s">
        <v>1267</v>
      </c>
      <c r="H14432" s="380" t="s">
        <v>771</v>
      </c>
      <c r="I14432" s="380" t="s">
        <v>778</v>
      </c>
      <c r="J14432" s="380" t="s">
        <v>773</v>
      </c>
      <c r="K14432" s="381">
        <v>0.0</v>
      </c>
      <c r="L14432" s="382">
        <v>1.0</v>
      </c>
    </row>
    <row r="14433">
      <c r="A14433" s="380" t="s">
        <v>15307</v>
      </c>
      <c r="B14433" s="380" t="str">
        <f>IFERROR(__xludf.DUMMYFUNCTION("""COMPUTED_VALUE"""),"Curva Emt De 3/4")</f>
        <v>Curva Emt De 3/4</v>
      </c>
      <c r="C14433" s="380" t="str">
        <f>IFERROR(__xludf.DUMMYFUNCTION("""COMPUTED_VALUE"""),"80000783")</f>
        <v>80000783</v>
      </c>
      <c r="D14433" s="380" t="s">
        <v>767</v>
      </c>
      <c r="E14433" s="380" t="s">
        <v>776</v>
      </c>
      <c r="F14433" s="380" t="s">
        <v>777</v>
      </c>
      <c r="G14433" s="380" t="s">
        <v>1267</v>
      </c>
      <c r="H14433" s="380" t="s">
        <v>771</v>
      </c>
      <c r="I14433" s="380" t="s">
        <v>778</v>
      </c>
      <c r="J14433" s="380" t="s">
        <v>773</v>
      </c>
      <c r="K14433" s="381">
        <v>0.0</v>
      </c>
      <c r="L14433" s="382">
        <v>1.0</v>
      </c>
    </row>
    <row r="14434">
      <c r="A14434" s="380" t="s">
        <v>15308</v>
      </c>
      <c r="B14434" s="380" t="str">
        <f>IFERROR(__xludf.DUMMYFUNCTION("""COMPUTED_VALUE"""),"Tubo Pvc 1/2""")</f>
        <v>Tubo Pvc 1/2"</v>
      </c>
      <c r="C14434" s="380" t="str">
        <f>IFERROR(__xludf.DUMMYFUNCTION("""COMPUTED_VALUE"""),"80000784")</f>
        <v>80000784</v>
      </c>
      <c r="D14434" s="380" t="s">
        <v>767</v>
      </c>
      <c r="E14434" s="380" t="s">
        <v>776</v>
      </c>
      <c r="F14434" s="380" t="s">
        <v>777</v>
      </c>
      <c r="G14434" s="380" t="s">
        <v>1267</v>
      </c>
      <c r="H14434" s="380" t="s">
        <v>771</v>
      </c>
      <c r="I14434" s="380" t="s">
        <v>778</v>
      </c>
      <c r="J14434" s="380" t="s">
        <v>773</v>
      </c>
      <c r="K14434" s="381">
        <v>0.0</v>
      </c>
      <c r="L14434" s="382">
        <v>1.0</v>
      </c>
    </row>
    <row r="14435">
      <c r="A14435" s="380" t="s">
        <v>15309</v>
      </c>
      <c r="B14435" s="380" t="str">
        <f>IFERROR(__xludf.DUMMYFUNCTION("""COMPUTED_VALUE"""),"Unión Emt De 1/2""")</f>
        <v>Unión Emt De 1/2"</v>
      </c>
      <c r="C14435" s="380" t="str">
        <f>IFERROR(__xludf.DUMMYFUNCTION("""COMPUTED_VALUE"""),"80000785")</f>
        <v>80000785</v>
      </c>
      <c r="D14435" s="380" t="s">
        <v>767</v>
      </c>
      <c r="E14435" s="380" t="s">
        <v>776</v>
      </c>
      <c r="F14435" s="380" t="s">
        <v>777</v>
      </c>
      <c r="G14435" s="380" t="s">
        <v>1267</v>
      </c>
      <c r="H14435" s="380" t="s">
        <v>771</v>
      </c>
      <c r="I14435" s="380" t="s">
        <v>778</v>
      </c>
      <c r="J14435" s="380" t="s">
        <v>773</v>
      </c>
      <c r="K14435" s="381">
        <v>0.0</v>
      </c>
      <c r="L14435" s="382">
        <v>1.0</v>
      </c>
    </row>
    <row r="14436">
      <c r="A14436" s="380" t="s">
        <v>15310</v>
      </c>
      <c r="B14436" s="380" t="str">
        <f>IFERROR(__xludf.DUMMYFUNCTION("""COMPUTED_VALUE"""),"Patch Cor 3 Mt Cat6 Azul Utp")</f>
        <v>Patch Cor 3 Mt Cat6 Azul Utp</v>
      </c>
      <c r="C14436" s="380" t="str">
        <f>IFERROR(__xludf.DUMMYFUNCTION("""COMPUTED_VALUE"""),"80000787")</f>
        <v>80000787</v>
      </c>
      <c r="D14436" s="380" t="s">
        <v>767</v>
      </c>
      <c r="E14436" s="380" t="s">
        <v>776</v>
      </c>
      <c r="F14436" s="380" t="s">
        <v>777</v>
      </c>
      <c r="G14436" s="380" t="s">
        <v>1267</v>
      </c>
      <c r="H14436" s="380" t="s">
        <v>771</v>
      </c>
      <c r="I14436" s="380" t="s">
        <v>778</v>
      </c>
      <c r="J14436" s="380" t="s">
        <v>773</v>
      </c>
      <c r="K14436" s="381">
        <v>0.0</v>
      </c>
      <c r="L14436" s="382">
        <v>1.0</v>
      </c>
    </row>
    <row r="14437">
      <c r="A14437" s="380" t="s">
        <v>15311</v>
      </c>
      <c r="B14437" s="380" t="str">
        <f>IFERROR(__xludf.DUMMYFUNCTION("""COMPUTED_VALUE"""),"Reflector Led 200W 100- 277 V")</f>
        <v>Reflector Led 200W 100- 277 V</v>
      </c>
      <c r="C14437" s="380" t="str">
        <f>IFERROR(__xludf.DUMMYFUNCTION("""COMPUTED_VALUE"""),"80000788")</f>
        <v>80000788</v>
      </c>
      <c r="D14437" s="380" t="s">
        <v>767</v>
      </c>
      <c r="E14437" s="380" t="s">
        <v>776</v>
      </c>
      <c r="F14437" s="380" t="s">
        <v>777</v>
      </c>
      <c r="G14437" s="380" t="s">
        <v>1267</v>
      </c>
      <c r="H14437" s="380" t="s">
        <v>771</v>
      </c>
      <c r="I14437" s="380" t="s">
        <v>778</v>
      </c>
      <c r="J14437" s="380" t="s">
        <v>773</v>
      </c>
      <c r="K14437" s="381">
        <v>0.0</v>
      </c>
      <c r="L14437" s="382">
        <v>1.0</v>
      </c>
    </row>
    <row r="14438">
      <c r="A14438" s="380" t="s">
        <v>15312</v>
      </c>
      <c r="B14438" s="380" t="str">
        <f>IFERROR(__xludf.DUMMYFUNCTION("""COMPUTED_VALUE"""),"Superficie Recta 0.70X0.60Mt G")</f>
        <v>Superficie Recta 0.70X0.60Mt G</v>
      </c>
      <c r="C14438" s="380" t="str">
        <f>IFERROR(__xludf.DUMMYFUNCTION("""COMPUTED_VALUE"""),"80000789")</f>
        <v>80000789</v>
      </c>
      <c r="D14438" s="380" t="s">
        <v>767</v>
      </c>
      <c r="E14438" s="380" t="s">
        <v>776</v>
      </c>
      <c r="F14438" s="380" t="s">
        <v>777</v>
      </c>
      <c r="G14438" s="380" t="s">
        <v>1267</v>
      </c>
      <c r="H14438" s="380" t="s">
        <v>771</v>
      </c>
      <c r="I14438" s="380" t="s">
        <v>778</v>
      </c>
      <c r="J14438" s="380" t="s">
        <v>773</v>
      </c>
      <c r="K14438" s="381">
        <v>0.0</v>
      </c>
      <c r="L14438" s="382">
        <v>1.0</v>
      </c>
    </row>
    <row r="14439">
      <c r="A14439" s="380" t="s">
        <v>15313</v>
      </c>
      <c r="B14439" s="380" t="str">
        <f>IFERROR(__xludf.DUMMYFUNCTION("""COMPUTED_VALUE"""),"Superficie Recta 0.80X0.80M G2")</f>
        <v>Superficie Recta 0.80X0.80M G2</v>
      </c>
      <c r="C14439" s="380" t="str">
        <f>IFERROR(__xludf.DUMMYFUNCTION("""COMPUTED_VALUE"""),"80000790")</f>
        <v>80000790</v>
      </c>
      <c r="D14439" s="380" t="s">
        <v>767</v>
      </c>
      <c r="E14439" s="380" t="s">
        <v>776</v>
      </c>
      <c r="F14439" s="380" t="s">
        <v>777</v>
      </c>
      <c r="G14439" s="380" t="s">
        <v>1267</v>
      </c>
      <c r="H14439" s="380" t="s">
        <v>771</v>
      </c>
      <c r="I14439" s="380" t="s">
        <v>778</v>
      </c>
      <c r="J14439" s="380" t="s">
        <v>773</v>
      </c>
      <c r="K14439" s="381">
        <v>0.0</v>
      </c>
      <c r="L14439" s="382">
        <v>1.0</v>
      </c>
    </row>
    <row r="14440">
      <c r="A14440" s="380" t="s">
        <v>15314</v>
      </c>
      <c r="B14440" s="380" t="str">
        <f>IFERROR(__xludf.DUMMYFUNCTION("""COMPUTED_VALUE"""),"Superficie Recta Medidas Varia")</f>
        <v>Superficie Recta Medidas Varia</v>
      </c>
      <c r="C14440" s="380" t="str">
        <f>IFERROR(__xludf.DUMMYFUNCTION("""COMPUTED_VALUE"""),"80000791")</f>
        <v>80000791</v>
      </c>
      <c r="D14440" s="380" t="s">
        <v>767</v>
      </c>
      <c r="E14440" s="380" t="s">
        <v>776</v>
      </c>
      <c r="F14440" s="380" t="s">
        <v>777</v>
      </c>
      <c r="G14440" s="380" t="s">
        <v>1267</v>
      </c>
      <c r="H14440" s="380" t="s">
        <v>771</v>
      </c>
      <c r="I14440" s="380" t="s">
        <v>778</v>
      </c>
      <c r="J14440" s="380" t="s">
        <v>773</v>
      </c>
      <c r="K14440" s="381">
        <v>0.0</v>
      </c>
      <c r="L14440" s="382">
        <v>1.0</v>
      </c>
    </row>
    <row r="14441">
      <c r="A14441" s="380" t="s">
        <v>15315</v>
      </c>
      <c r="B14441" s="380" t="str">
        <f>IFERROR(__xludf.DUMMYFUNCTION("""COMPUTED_VALUE"""),"Tubo Pvc 1""")</f>
        <v>Tubo Pvc 1"</v>
      </c>
      <c r="C14441" s="380" t="str">
        <f>IFERROR(__xludf.DUMMYFUNCTION("""COMPUTED_VALUE"""),"80000792")</f>
        <v>80000792</v>
      </c>
      <c r="D14441" s="380" t="s">
        <v>767</v>
      </c>
      <c r="E14441" s="380" t="s">
        <v>776</v>
      </c>
      <c r="F14441" s="380" t="s">
        <v>777</v>
      </c>
      <c r="G14441" s="380" t="s">
        <v>1267</v>
      </c>
      <c r="H14441" s="380" t="s">
        <v>771</v>
      </c>
      <c r="I14441" s="380" t="s">
        <v>778</v>
      </c>
      <c r="J14441" s="380" t="s">
        <v>773</v>
      </c>
      <c r="K14441" s="381">
        <v>0.0</v>
      </c>
      <c r="L14441" s="382">
        <v>1.0</v>
      </c>
    </row>
    <row r="14442">
      <c r="A14442" s="380" t="s">
        <v>15316</v>
      </c>
      <c r="B14442" s="380" t="str">
        <f>IFERROR(__xludf.DUMMYFUNCTION("""COMPUTED_VALUE"""),"Perno Expansión 5/8 X 5""")</f>
        <v>Perno Expansión 5/8 X 5"</v>
      </c>
      <c r="C14442" s="380" t="str">
        <f>IFERROR(__xludf.DUMMYFUNCTION("""COMPUTED_VALUE"""),"80000793")</f>
        <v>80000793</v>
      </c>
      <c r="D14442" s="380" t="s">
        <v>767</v>
      </c>
      <c r="E14442" s="380" t="s">
        <v>776</v>
      </c>
      <c r="F14442" s="380" t="s">
        <v>777</v>
      </c>
      <c r="G14442" s="380" t="s">
        <v>1267</v>
      </c>
      <c r="H14442" s="380" t="s">
        <v>771</v>
      </c>
      <c r="I14442" s="380" t="s">
        <v>778</v>
      </c>
      <c r="J14442" s="380" t="s">
        <v>773</v>
      </c>
      <c r="K14442" s="381">
        <v>0.0</v>
      </c>
      <c r="L14442" s="382">
        <v>1.0</v>
      </c>
    </row>
    <row r="14443">
      <c r="A14443" s="380" t="s">
        <v>15317</v>
      </c>
      <c r="B14443" s="380" t="str">
        <f>IFERROR(__xludf.DUMMYFUNCTION("""COMPUTED_VALUE"""),"Cancamo Abierto")</f>
        <v>Cancamo Abierto</v>
      </c>
      <c r="C14443" s="380" t="str">
        <f>IFERROR(__xludf.DUMMYFUNCTION("""COMPUTED_VALUE"""),"80000794")</f>
        <v>80000794</v>
      </c>
      <c r="D14443" s="380" t="s">
        <v>767</v>
      </c>
      <c r="E14443" s="380" t="s">
        <v>776</v>
      </c>
      <c r="F14443" s="380" t="s">
        <v>777</v>
      </c>
      <c r="G14443" s="380" t="s">
        <v>1267</v>
      </c>
      <c r="H14443" s="380" t="s">
        <v>771</v>
      </c>
      <c r="I14443" s="380" t="s">
        <v>778</v>
      </c>
      <c r="J14443" s="380" t="s">
        <v>773</v>
      </c>
      <c r="K14443" s="381">
        <v>0.0</v>
      </c>
      <c r="L14443" s="382">
        <v>1.0</v>
      </c>
    </row>
    <row r="14444">
      <c r="A14444" s="380" t="s">
        <v>15318</v>
      </c>
      <c r="B14444" s="380" t="str">
        <f>IFERROR(__xludf.DUMMYFUNCTION("""COMPUTED_VALUE"""),"Interruptor Sencillo 110V Levi")</f>
        <v>Interruptor Sencillo 110V Levi</v>
      </c>
      <c r="C14444" s="380" t="str">
        <f>IFERROR(__xludf.DUMMYFUNCTION("""COMPUTED_VALUE"""),"80000797")</f>
        <v>80000797</v>
      </c>
      <c r="D14444" s="380" t="s">
        <v>767</v>
      </c>
      <c r="E14444" s="380" t="s">
        <v>776</v>
      </c>
      <c r="F14444" s="380" t="s">
        <v>777</v>
      </c>
      <c r="G14444" s="380" t="s">
        <v>1267</v>
      </c>
      <c r="H14444" s="380" t="s">
        <v>771</v>
      </c>
      <c r="I14444" s="380" t="s">
        <v>778</v>
      </c>
      <c r="J14444" s="380" t="s">
        <v>773</v>
      </c>
      <c r="K14444" s="381">
        <v>0.0</v>
      </c>
      <c r="L14444" s="382">
        <v>1.0</v>
      </c>
    </row>
    <row r="14445">
      <c r="A14445" s="380" t="s">
        <v>15319</v>
      </c>
      <c r="B14445" s="380" t="str">
        <f>IFERROR(__xludf.DUMMYFUNCTION("""COMPUTED_VALUE"""),"Velcro Por Rollo")</f>
        <v>Velcro Por Rollo</v>
      </c>
      <c r="C14445" s="380" t="str">
        <f>IFERROR(__xludf.DUMMYFUNCTION("""COMPUTED_VALUE"""),"80000798")</f>
        <v>80000798</v>
      </c>
      <c r="D14445" s="380" t="s">
        <v>767</v>
      </c>
      <c r="E14445" s="380" t="s">
        <v>776</v>
      </c>
      <c r="F14445" s="380" t="s">
        <v>777</v>
      </c>
      <c r="G14445" s="380" t="s">
        <v>1267</v>
      </c>
      <c r="H14445" s="380" t="s">
        <v>771</v>
      </c>
      <c r="I14445" s="380" t="s">
        <v>778</v>
      </c>
      <c r="J14445" s="380" t="s">
        <v>773</v>
      </c>
      <c r="K14445" s="381">
        <v>0.0</v>
      </c>
      <c r="L14445" s="382">
        <v>1.0</v>
      </c>
    </row>
    <row r="14446">
      <c r="A14446" s="380" t="s">
        <v>15320</v>
      </c>
      <c r="B14446" s="380" t="str">
        <f>IFERROR(__xludf.DUMMYFUNCTION("""COMPUTED_VALUE"""),"Chumacera Con Rodami Ucf20824")</f>
        <v>Chumacera Con Rodami Ucf20824</v>
      </c>
      <c r="C14446" s="380" t="str">
        <f>IFERROR(__xludf.DUMMYFUNCTION("""COMPUTED_VALUE"""),"80000799")</f>
        <v>80000799</v>
      </c>
      <c r="D14446" s="380" t="s">
        <v>767</v>
      </c>
      <c r="E14446" s="380" t="s">
        <v>776</v>
      </c>
      <c r="F14446" s="380" t="s">
        <v>777</v>
      </c>
      <c r="G14446" s="380" t="s">
        <v>1267</v>
      </c>
      <c r="H14446" s="380" t="s">
        <v>771</v>
      </c>
      <c r="I14446" s="380" t="s">
        <v>778</v>
      </c>
      <c r="J14446" s="380" t="s">
        <v>773</v>
      </c>
      <c r="K14446" s="381">
        <v>0.0</v>
      </c>
      <c r="L14446" s="382">
        <v>1.0</v>
      </c>
    </row>
    <row r="14447">
      <c r="A14447" s="380" t="s">
        <v>15321</v>
      </c>
      <c r="B14447" s="380" t="str">
        <f>IFERROR(__xludf.DUMMYFUNCTION("""COMPUTED_VALUE"""),"Tornillo 8 X 1.3/4"" Placa Avel")</f>
        <v>Tornillo 8 X 1.3/4" Placa Avel</v>
      </c>
      <c r="C14447" s="380" t="str">
        <f>IFERROR(__xludf.DUMMYFUNCTION("""COMPUTED_VALUE"""),"80000800")</f>
        <v>80000800</v>
      </c>
      <c r="D14447" s="380" t="s">
        <v>767</v>
      </c>
      <c r="E14447" s="380" t="s">
        <v>776</v>
      </c>
      <c r="F14447" s="380" t="s">
        <v>777</v>
      </c>
      <c r="G14447" s="380" t="s">
        <v>1267</v>
      </c>
      <c r="H14447" s="380" t="s">
        <v>771</v>
      </c>
      <c r="I14447" s="380" t="s">
        <v>778</v>
      </c>
      <c r="J14447" s="380" t="s">
        <v>773</v>
      </c>
      <c r="K14447" s="381">
        <v>0.0</v>
      </c>
      <c r="L14447" s="382">
        <v>1.0</v>
      </c>
    </row>
    <row r="14448">
      <c r="A14448" s="380" t="s">
        <v>15322</v>
      </c>
      <c r="B14448" s="380" t="str">
        <f>IFERROR(__xludf.DUMMYFUNCTION("""COMPUTED_VALUE"""),"Union Pvc 1/2 Lisa")</f>
        <v>Union Pvc 1/2 Lisa</v>
      </c>
      <c r="C14448" s="380" t="str">
        <f>IFERROR(__xludf.DUMMYFUNCTION("""COMPUTED_VALUE"""),"80000801")</f>
        <v>80000801</v>
      </c>
      <c r="D14448" s="380" t="s">
        <v>767</v>
      </c>
      <c r="E14448" s="380" t="s">
        <v>776</v>
      </c>
      <c r="F14448" s="380" t="s">
        <v>777</v>
      </c>
      <c r="G14448" s="380" t="s">
        <v>1267</v>
      </c>
      <c r="H14448" s="380" t="s">
        <v>771</v>
      </c>
      <c r="I14448" s="380" t="s">
        <v>778</v>
      </c>
      <c r="J14448" s="380" t="s">
        <v>773</v>
      </c>
      <c r="K14448" s="381">
        <v>0.0</v>
      </c>
      <c r="L14448" s="382">
        <v>1.0</v>
      </c>
    </row>
    <row r="14449">
      <c r="A14449" s="380" t="s">
        <v>15323</v>
      </c>
      <c r="B14449" s="380" t="str">
        <f>IFERROR(__xludf.DUMMYFUNCTION("""COMPUTED_VALUE"""),"Union Pvc 1"" Lisa")</f>
        <v>Union Pvc 1" Lisa</v>
      </c>
      <c r="C14449" s="380" t="str">
        <f>IFERROR(__xludf.DUMMYFUNCTION("""COMPUTED_VALUE"""),"80000802")</f>
        <v>80000802</v>
      </c>
      <c r="D14449" s="380" t="s">
        <v>767</v>
      </c>
      <c r="E14449" s="380" t="s">
        <v>776</v>
      </c>
      <c r="F14449" s="380" t="s">
        <v>777</v>
      </c>
      <c r="G14449" s="380" t="s">
        <v>1267</v>
      </c>
      <c r="H14449" s="380" t="s">
        <v>771</v>
      </c>
      <c r="I14449" s="380" t="s">
        <v>778</v>
      </c>
      <c r="J14449" s="380" t="s">
        <v>773</v>
      </c>
      <c r="K14449" s="381">
        <v>0.0</v>
      </c>
      <c r="L14449" s="382">
        <v>1.0</v>
      </c>
    </row>
    <row r="14450">
      <c r="A14450" s="380" t="s">
        <v>15324</v>
      </c>
      <c r="B14450" s="380" t="str">
        <f>IFERROR(__xludf.DUMMYFUNCTION("""COMPUTED_VALUE"""),"Multitoma Horizontal 6 Entrada")</f>
        <v>Multitoma Horizontal 6 Entrada</v>
      </c>
      <c r="C14450" s="380" t="str">
        <f>IFERROR(__xludf.DUMMYFUNCTION("""COMPUTED_VALUE"""),"80000803")</f>
        <v>80000803</v>
      </c>
      <c r="D14450" s="380" t="s">
        <v>767</v>
      </c>
      <c r="E14450" s="380" t="s">
        <v>776</v>
      </c>
      <c r="F14450" s="380" t="s">
        <v>777</v>
      </c>
      <c r="G14450" s="380" t="s">
        <v>1267</v>
      </c>
      <c r="H14450" s="380" t="s">
        <v>771</v>
      </c>
      <c r="I14450" s="380" t="s">
        <v>778</v>
      </c>
      <c r="J14450" s="380" t="s">
        <v>773</v>
      </c>
      <c r="K14450" s="381">
        <v>0.0</v>
      </c>
      <c r="L14450" s="382">
        <v>1.0</v>
      </c>
    </row>
    <row r="14451">
      <c r="A14451" s="380" t="s">
        <v>15325</v>
      </c>
      <c r="B14451" s="380" t="str">
        <f>IFERROR(__xludf.DUMMYFUNCTION("""COMPUTED_VALUE"""),"Llave Abasto Metalico Grival")</f>
        <v>Llave Abasto Metalico Grival</v>
      </c>
      <c r="C14451" s="380" t="str">
        <f>IFERROR(__xludf.DUMMYFUNCTION("""COMPUTED_VALUE"""),"80000805")</f>
        <v>80000805</v>
      </c>
      <c r="D14451" s="380" t="s">
        <v>767</v>
      </c>
      <c r="E14451" s="380" t="s">
        <v>776</v>
      </c>
      <c r="F14451" s="380" t="s">
        <v>777</v>
      </c>
      <c r="G14451" s="380" t="s">
        <v>1267</v>
      </c>
      <c r="H14451" s="380" t="s">
        <v>771</v>
      </c>
      <c r="I14451" s="380" t="s">
        <v>778</v>
      </c>
      <c r="J14451" s="380" t="s">
        <v>773</v>
      </c>
      <c r="K14451" s="381">
        <v>0.0</v>
      </c>
      <c r="L14451" s="382">
        <v>1.0</v>
      </c>
    </row>
    <row r="14452">
      <c r="A14452" s="380" t="s">
        <v>15326</v>
      </c>
      <c r="B14452" s="380" t="str">
        <f>IFERROR(__xludf.DUMMYFUNCTION("""COMPUTED_VALUE"""),"Tela Tipo T (Polisombra)")</f>
        <v>Tela Tipo T (Polisombra)</v>
      </c>
      <c r="C14452" s="380" t="str">
        <f>IFERROR(__xludf.DUMMYFUNCTION("""COMPUTED_VALUE"""),"80000807")</f>
        <v>80000807</v>
      </c>
      <c r="D14452" s="380" t="s">
        <v>767</v>
      </c>
      <c r="E14452" s="380" t="s">
        <v>776</v>
      </c>
      <c r="F14452" s="380" t="s">
        <v>777</v>
      </c>
      <c r="G14452" s="380" t="s">
        <v>1267</v>
      </c>
      <c r="H14452" s="380" t="s">
        <v>771</v>
      </c>
      <c r="I14452" s="380" t="s">
        <v>778</v>
      </c>
      <c r="J14452" s="380" t="s">
        <v>773</v>
      </c>
      <c r="K14452" s="381">
        <v>0.0</v>
      </c>
      <c r="L14452" s="382">
        <v>1.0</v>
      </c>
    </row>
    <row r="14453">
      <c r="A14453" s="380" t="s">
        <v>15327</v>
      </c>
      <c r="B14453" s="380" t="str">
        <f>IFERROR(__xludf.DUMMYFUNCTION("""COMPUTED_VALUE"""),"Tee Pvc Sanitaria De 2""")</f>
        <v>Tee Pvc Sanitaria De 2"</v>
      </c>
      <c r="C14453" s="380" t="str">
        <f>IFERROR(__xludf.DUMMYFUNCTION("""COMPUTED_VALUE"""),"80000808")</f>
        <v>80000808</v>
      </c>
      <c r="D14453" s="380" t="s">
        <v>767</v>
      </c>
      <c r="E14453" s="380" t="s">
        <v>776</v>
      </c>
      <c r="F14453" s="380" t="s">
        <v>777</v>
      </c>
      <c r="G14453" s="380" t="s">
        <v>1267</v>
      </c>
      <c r="H14453" s="380" t="s">
        <v>771</v>
      </c>
      <c r="I14453" s="380" t="s">
        <v>778</v>
      </c>
      <c r="J14453" s="380" t="s">
        <v>773</v>
      </c>
      <c r="K14453" s="381">
        <v>0.0</v>
      </c>
      <c r="L14453" s="382">
        <v>1.0</v>
      </c>
    </row>
    <row r="14454">
      <c r="A14454" s="380" t="s">
        <v>15328</v>
      </c>
      <c r="B14454" s="380" t="str">
        <f>IFERROR(__xludf.DUMMYFUNCTION("""COMPUTED_VALUE"""),"Union Pvc Sanitaria De 2""")</f>
        <v>Union Pvc Sanitaria De 2"</v>
      </c>
      <c r="C14454" s="380" t="str">
        <f>IFERROR(__xludf.DUMMYFUNCTION("""COMPUTED_VALUE"""),"80000809")</f>
        <v>80000809</v>
      </c>
      <c r="D14454" s="380" t="s">
        <v>767</v>
      </c>
      <c r="E14454" s="380" t="s">
        <v>776</v>
      </c>
      <c r="F14454" s="380" t="s">
        <v>777</v>
      </c>
      <c r="G14454" s="380" t="s">
        <v>1267</v>
      </c>
      <c r="H14454" s="380" t="s">
        <v>771</v>
      </c>
      <c r="I14454" s="380" t="s">
        <v>778</v>
      </c>
      <c r="J14454" s="380" t="s">
        <v>773</v>
      </c>
      <c r="K14454" s="381">
        <v>0.0</v>
      </c>
      <c r="L14454" s="382">
        <v>1.0</v>
      </c>
    </row>
    <row r="14455">
      <c r="A14455" s="380" t="s">
        <v>15329</v>
      </c>
      <c r="B14455" s="380" t="str">
        <f>IFERROR(__xludf.DUMMYFUNCTION("""COMPUTED_VALUE"""),"Accesorios Union Emt De 3/4""")</f>
        <v>Accesorios Union Emt De 3/4"</v>
      </c>
      <c r="C14455" s="380" t="str">
        <f>IFERROR(__xludf.DUMMYFUNCTION("""COMPUTED_VALUE"""),"80000810")</f>
        <v>80000810</v>
      </c>
      <c r="D14455" s="380" t="s">
        <v>767</v>
      </c>
      <c r="E14455" s="380" t="s">
        <v>776</v>
      </c>
      <c r="F14455" s="380" t="s">
        <v>777</v>
      </c>
      <c r="G14455" s="380" t="s">
        <v>1267</v>
      </c>
      <c r="H14455" s="380" t="s">
        <v>771</v>
      </c>
      <c r="I14455" s="380" t="s">
        <v>778</v>
      </c>
      <c r="J14455" s="380" t="s">
        <v>773</v>
      </c>
      <c r="K14455" s="381">
        <v>0.0</v>
      </c>
      <c r="L14455" s="382">
        <v>1.0</v>
      </c>
    </row>
    <row r="14456">
      <c r="A14456" s="380" t="s">
        <v>15330</v>
      </c>
      <c r="B14456" s="380" t="str">
        <f>IFERROR(__xludf.DUMMYFUNCTION("""COMPUTED_VALUE"""),"Manija Tanque Sanitario Codo")</f>
        <v>Manija Tanque Sanitario Codo</v>
      </c>
      <c r="C14456" s="380" t="str">
        <f>IFERROR(__xludf.DUMMYFUNCTION("""COMPUTED_VALUE"""),"80000811")</f>
        <v>80000811</v>
      </c>
      <c r="D14456" s="380" t="s">
        <v>767</v>
      </c>
      <c r="E14456" s="380" t="s">
        <v>776</v>
      </c>
      <c r="F14456" s="380" t="s">
        <v>777</v>
      </c>
      <c r="G14456" s="380" t="s">
        <v>1267</v>
      </c>
      <c r="H14456" s="380" t="s">
        <v>771</v>
      </c>
      <c r="I14456" s="380" t="s">
        <v>778</v>
      </c>
      <c r="J14456" s="380" t="s">
        <v>773</v>
      </c>
      <c r="K14456" s="381">
        <v>0.0</v>
      </c>
      <c r="L14456" s="382">
        <v>1.0</v>
      </c>
    </row>
    <row r="14457">
      <c r="A14457" s="380" t="s">
        <v>15331</v>
      </c>
      <c r="B14457" s="380" t="str">
        <f>IFERROR(__xludf.DUMMYFUNCTION("""COMPUTED_VALUE"""),"Tornillo Tanque Sanitario")</f>
        <v>Tornillo Tanque Sanitario</v>
      </c>
      <c r="C14457" s="380" t="str">
        <f>IFERROR(__xludf.DUMMYFUNCTION("""COMPUTED_VALUE"""),"80000812")</f>
        <v>80000812</v>
      </c>
      <c r="D14457" s="380" t="s">
        <v>767</v>
      </c>
      <c r="E14457" s="380" t="s">
        <v>776</v>
      </c>
      <c r="F14457" s="380" t="s">
        <v>777</v>
      </c>
      <c r="G14457" s="380" t="s">
        <v>1267</v>
      </c>
      <c r="H14457" s="380" t="s">
        <v>771</v>
      </c>
      <c r="I14457" s="380" t="s">
        <v>778</v>
      </c>
      <c r="J14457" s="380" t="s">
        <v>773</v>
      </c>
      <c r="K14457" s="381">
        <v>0.0</v>
      </c>
      <c r="L14457" s="382">
        <v>1.0</v>
      </c>
    </row>
    <row r="14458">
      <c r="A14458" s="380" t="s">
        <v>15332</v>
      </c>
      <c r="B14458" s="380" t="str">
        <f>IFERROR(__xludf.DUMMYFUNCTION("""COMPUTED_VALUE"""),"Empaque Canilla/Manguera 1/2")</f>
        <v>Empaque Canilla/Manguera 1/2</v>
      </c>
      <c r="C14458" s="380" t="str">
        <f>IFERROR(__xludf.DUMMYFUNCTION("""COMPUTED_VALUE"""),"80000813")</f>
        <v>80000813</v>
      </c>
      <c r="D14458" s="380" t="s">
        <v>767</v>
      </c>
      <c r="E14458" s="380" t="s">
        <v>776</v>
      </c>
      <c r="F14458" s="380" t="s">
        <v>777</v>
      </c>
      <c r="G14458" s="380" t="s">
        <v>1267</v>
      </c>
      <c r="H14458" s="380" t="s">
        <v>771</v>
      </c>
      <c r="I14458" s="380" t="s">
        <v>778</v>
      </c>
      <c r="J14458" s="380" t="s">
        <v>773</v>
      </c>
      <c r="K14458" s="381">
        <v>0.0</v>
      </c>
      <c r="L14458" s="382">
        <v>1.0</v>
      </c>
    </row>
    <row r="14459">
      <c r="A14459" s="380" t="s">
        <v>15333</v>
      </c>
      <c r="B14459" s="380" t="str">
        <f>IFERROR(__xludf.DUMMYFUNCTION("""COMPUTED_VALUE"""),"Adaptador Macho Pvc 1.1/2")</f>
        <v>Adaptador Macho Pvc 1.1/2</v>
      </c>
      <c r="C14459" s="380" t="str">
        <f>IFERROR(__xludf.DUMMYFUNCTION("""COMPUTED_VALUE"""),"80000814")</f>
        <v>80000814</v>
      </c>
      <c r="D14459" s="380" t="s">
        <v>767</v>
      </c>
      <c r="E14459" s="380" t="s">
        <v>776</v>
      </c>
      <c r="F14459" s="380" t="s">
        <v>777</v>
      </c>
      <c r="G14459" s="380" t="s">
        <v>1267</v>
      </c>
      <c r="H14459" s="380" t="s">
        <v>771</v>
      </c>
      <c r="I14459" s="380" t="s">
        <v>778</v>
      </c>
      <c r="J14459" s="380" t="s">
        <v>773</v>
      </c>
      <c r="K14459" s="381">
        <v>0.0</v>
      </c>
      <c r="L14459" s="382">
        <v>1.0</v>
      </c>
    </row>
    <row r="14460">
      <c r="A14460" s="380" t="s">
        <v>15334</v>
      </c>
      <c r="B14460" s="380" t="str">
        <f>IFERROR(__xludf.DUMMYFUNCTION("""COMPUTED_VALUE"""),"Adaptador Hembra Pvc 1.1/2")</f>
        <v>Adaptador Hembra Pvc 1.1/2</v>
      </c>
      <c r="C14460" s="380" t="str">
        <f>IFERROR(__xludf.DUMMYFUNCTION("""COMPUTED_VALUE"""),"80000815")</f>
        <v>80000815</v>
      </c>
      <c r="D14460" s="380" t="s">
        <v>767</v>
      </c>
      <c r="E14460" s="380" t="s">
        <v>776</v>
      </c>
      <c r="F14460" s="380" t="s">
        <v>777</v>
      </c>
      <c r="G14460" s="380" t="s">
        <v>1267</v>
      </c>
      <c r="H14460" s="380" t="s">
        <v>771</v>
      </c>
      <c r="I14460" s="380" t="s">
        <v>778</v>
      </c>
      <c r="J14460" s="380" t="s">
        <v>773</v>
      </c>
      <c r="K14460" s="381">
        <v>0.0</v>
      </c>
      <c r="L14460" s="382">
        <v>1.0</v>
      </c>
    </row>
    <row r="14461">
      <c r="A14461" s="380" t="s">
        <v>15335</v>
      </c>
      <c r="B14461" s="380" t="str">
        <f>IFERROR(__xludf.DUMMYFUNCTION("""COMPUTED_VALUE"""),"Tapon Copa Roscado Pvc 1.1/2")</f>
        <v>Tapon Copa Roscado Pvc 1.1/2</v>
      </c>
      <c r="C14461" s="380" t="str">
        <f>IFERROR(__xludf.DUMMYFUNCTION("""COMPUTED_VALUE"""),"80000816")</f>
        <v>80000816</v>
      </c>
      <c r="D14461" s="380" t="s">
        <v>767</v>
      </c>
      <c r="E14461" s="380" t="s">
        <v>776</v>
      </c>
      <c r="F14461" s="380" t="s">
        <v>777</v>
      </c>
      <c r="G14461" s="380" t="s">
        <v>1267</v>
      </c>
      <c r="H14461" s="380" t="s">
        <v>771</v>
      </c>
      <c r="I14461" s="380" t="s">
        <v>778</v>
      </c>
      <c r="J14461" s="380" t="s">
        <v>773</v>
      </c>
      <c r="K14461" s="381">
        <v>6562.0</v>
      </c>
      <c r="L14461" s="382">
        <v>1.0</v>
      </c>
    </row>
    <row r="14462">
      <c r="A14462" s="380" t="s">
        <v>15336</v>
      </c>
      <c r="B14462" s="380" t="str">
        <f>IFERROR(__xludf.DUMMYFUNCTION("""COMPUTED_VALUE"""),"Adaptador Hembra Pvc 1/2")</f>
        <v>Adaptador Hembra Pvc 1/2</v>
      </c>
      <c r="C14462" s="380" t="str">
        <f>IFERROR(__xludf.DUMMYFUNCTION("""COMPUTED_VALUE"""),"80000817")</f>
        <v>80000817</v>
      </c>
      <c r="D14462" s="380" t="s">
        <v>767</v>
      </c>
      <c r="E14462" s="380" t="s">
        <v>776</v>
      </c>
      <c r="F14462" s="380" t="s">
        <v>777</v>
      </c>
      <c r="G14462" s="380" t="s">
        <v>1267</v>
      </c>
      <c r="H14462" s="380" t="s">
        <v>771</v>
      </c>
      <c r="I14462" s="380" t="s">
        <v>778</v>
      </c>
      <c r="J14462" s="380" t="s">
        <v>773</v>
      </c>
      <c r="K14462" s="381">
        <v>0.0</v>
      </c>
      <c r="L14462" s="382">
        <v>1.0</v>
      </c>
    </row>
    <row r="14463">
      <c r="A14463" s="380" t="s">
        <v>15337</v>
      </c>
      <c r="B14463" s="380" t="str">
        <f>IFERROR(__xludf.DUMMYFUNCTION("""COMPUTED_VALUE"""),"Sellador Poliuretano Construcc")</f>
        <v>Sellador Poliuretano Construcc</v>
      </c>
      <c r="C14463" s="380" t="str">
        <f>IFERROR(__xludf.DUMMYFUNCTION("""COMPUTED_VALUE"""),"80000818")</f>
        <v>80000818</v>
      </c>
      <c r="D14463" s="380" t="s">
        <v>767</v>
      </c>
      <c r="E14463" s="380" t="s">
        <v>776</v>
      </c>
      <c r="F14463" s="380" t="s">
        <v>777</v>
      </c>
      <c r="G14463" s="380" t="s">
        <v>1267</v>
      </c>
      <c r="H14463" s="380" t="s">
        <v>771</v>
      </c>
      <c r="I14463" s="380" t="s">
        <v>778</v>
      </c>
      <c r="J14463" s="380" t="s">
        <v>773</v>
      </c>
      <c r="K14463" s="381">
        <v>36287.0</v>
      </c>
      <c r="L14463" s="382">
        <v>1.0</v>
      </c>
    </row>
    <row r="14464">
      <c r="A14464" s="380" t="s">
        <v>15338</v>
      </c>
      <c r="B14464" s="380" t="str">
        <f>IFERROR(__xludf.DUMMYFUNCTION("""COMPUTED_VALUE"""),"Lampara Hermetica 2X54W Polica")</f>
        <v>Lampara Hermetica 2X54W Polica</v>
      </c>
      <c r="C14464" s="380" t="str">
        <f>IFERROR(__xludf.DUMMYFUNCTION("""COMPUTED_VALUE"""),"80000819")</f>
        <v>80000819</v>
      </c>
      <c r="D14464" s="380" t="s">
        <v>767</v>
      </c>
      <c r="E14464" s="380" t="s">
        <v>776</v>
      </c>
      <c r="F14464" s="380" t="s">
        <v>777</v>
      </c>
      <c r="G14464" s="380" t="s">
        <v>1267</v>
      </c>
      <c r="H14464" s="380" t="s">
        <v>771</v>
      </c>
      <c r="I14464" s="380" t="s">
        <v>778</v>
      </c>
      <c r="J14464" s="380" t="s">
        <v>773</v>
      </c>
      <c r="K14464" s="381">
        <v>0.0</v>
      </c>
      <c r="L14464" s="382">
        <v>1.0</v>
      </c>
    </row>
    <row r="14465">
      <c r="A14465" s="380" t="s">
        <v>15339</v>
      </c>
      <c r="B14465" s="380" t="str">
        <f>IFERROR(__xludf.DUMMYFUNCTION("""COMPUTED_VALUE"""),"Rele Termico 30-43 A Ref113721")</f>
        <v>Rele Termico 30-43 A Ref113721</v>
      </c>
      <c r="C14465" s="380" t="str">
        <f>IFERROR(__xludf.DUMMYFUNCTION("""COMPUTED_VALUE"""),"80000820")</f>
        <v>80000820</v>
      </c>
      <c r="D14465" s="380" t="s">
        <v>767</v>
      </c>
      <c r="E14465" s="380" t="s">
        <v>776</v>
      </c>
      <c r="F14465" s="380" t="s">
        <v>777</v>
      </c>
      <c r="G14465" s="380" t="s">
        <v>1267</v>
      </c>
      <c r="H14465" s="380" t="s">
        <v>771</v>
      </c>
      <c r="I14465" s="380" t="s">
        <v>778</v>
      </c>
      <c r="J14465" s="380" t="s">
        <v>773</v>
      </c>
      <c r="K14465" s="381">
        <v>0.0</v>
      </c>
      <c r="L14465" s="382">
        <v>1.0</v>
      </c>
    </row>
    <row r="14466">
      <c r="A14466" s="380" t="s">
        <v>15340</v>
      </c>
      <c r="B14466" s="380" t="str">
        <f>IFERROR(__xludf.DUMMYFUNCTION("""COMPUTED_VALUE"""),"Contactor Electrico 80A 10958")</f>
        <v>Contactor Electrico 80A 10958</v>
      </c>
      <c r="C14466" s="380" t="str">
        <f>IFERROR(__xludf.DUMMYFUNCTION("""COMPUTED_VALUE"""),"80000821")</f>
        <v>80000821</v>
      </c>
      <c r="D14466" s="380" t="s">
        <v>767</v>
      </c>
      <c r="E14466" s="380" t="s">
        <v>776</v>
      </c>
      <c r="F14466" s="380" t="s">
        <v>777</v>
      </c>
      <c r="G14466" s="380" t="s">
        <v>1267</v>
      </c>
      <c r="H14466" s="380" t="s">
        <v>771</v>
      </c>
      <c r="I14466" s="380" t="s">
        <v>778</v>
      </c>
      <c r="J14466" s="380" t="s">
        <v>773</v>
      </c>
      <c r="K14466" s="381">
        <v>0.0</v>
      </c>
      <c r="L14466" s="382">
        <v>1.0</v>
      </c>
    </row>
    <row r="14467">
      <c r="A14467" s="380" t="s">
        <v>15341</v>
      </c>
      <c r="B14467" s="380" t="str">
        <f>IFERROR(__xludf.DUMMYFUNCTION("""COMPUTED_VALUE"""),"Plug Rj45 Cat 6")</f>
        <v>Plug Rj45 Cat 6</v>
      </c>
      <c r="C14467" s="380" t="str">
        <f>IFERROR(__xludf.DUMMYFUNCTION("""COMPUTED_VALUE"""),"80000822")</f>
        <v>80000822</v>
      </c>
      <c r="D14467" s="380" t="s">
        <v>767</v>
      </c>
      <c r="E14467" s="380" t="s">
        <v>776</v>
      </c>
      <c r="F14467" s="380" t="s">
        <v>777</v>
      </c>
      <c r="G14467" s="380" t="s">
        <v>1267</v>
      </c>
      <c r="H14467" s="380" t="s">
        <v>771</v>
      </c>
      <c r="I14467" s="380" t="s">
        <v>778</v>
      </c>
      <c r="J14467" s="380" t="s">
        <v>773</v>
      </c>
      <c r="K14467" s="381">
        <v>0.0</v>
      </c>
      <c r="L14467" s="382">
        <v>1.0</v>
      </c>
    </row>
    <row r="14468">
      <c r="A14468" s="380" t="s">
        <v>15342</v>
      </c>
      <c r="B14468" s="380" t="str">
        <f>IFERROR(__xludf.DUMMYFUNCTION("""COMPUTED_VALUE"""),"Caja Empalme Doble 12 X 12")</f>
        <v>Caja Empalme Doble 12 X 12</v>
      </c>
      <c r="C14468" s="380" t="str">
        <f>IFERROR(__xludf.DUMMYFUNCTION("""COMPUTED_VALUE"""),"80000823")</f>
        <v>80000823</v>
      </c>
      <c r="D14468" s="380" t="s">
        <v>767</v>
      </c>
      <c r="E14468" s="380" t="s">
        <v>776</v>
      </c>
      <c r="F14468" s="380" t="s">
        <v>777</v>
      </c>
      <c r="G14468" s="380" t="s">
        <v>1267</v>
      </c>
      <c r="H14468" s="380" t="s">
        <v>771</v>
      </c>
      <c r="I14468" s="380" t="s">
        <v>778</v>
      </c>
      <c r="J14468" s="380" t="s">
        <v>773</v>
      </c>
      <c r="K14468" s="381">
        <v>0.0</v>
      </c>
      <c r="L14468" s="382">
        <v>1.0</v>
      </c>
    </row>
    <row r="14469">
      <c r="A14469" s="380" t="s">
        <v>15343</v>
      </c>
      <c r="B14469" s="380" t="str">
        <f>IFERROR(__xludf.DUMMYFUNCTION("""COMPUTED_VALUE"""),"Balasto 2 X 48")</f>
        <v>Balasto 2 X 48</v>
      </c>
      <c r="C14469" s="380" t="str">
        <f>IFERROR(__xludf.DUMMYFUNCTION("""COMPUTED_VALUE"""),"80000824")</f>
        <v>80000824</v>
      </c>
      <c r="D14469" s="380" t="s">
        <v>767</v>
      </c>
      <c r="E14469" s="380" t="s">
        <v>776</v>
      </c>
      <c r="F14469" s="380" t="s">
        <v>777</v>
      </c>
      <c r="G14469" s="380" t="s">
        <v>1267</v>
      </c>
      <c r="H14469" s="380" t="s">
        <v>771</v>
      </c>
      <c r="I14469" s="380" t="s">
        <v>778</v>
      </c>
      <c r="J14469" s="380" t="s">
        <v>773</v>
      </c>
      <c r="K14469" s="381">
        <v>0.0</v>
      </c>
      <c r="L14469" s="382">
        <v>1.0</v>
      </c>
    </row>
    <row r="14470">
      <c r="A14470" s="380" t="s">
        <v>15344</v>
      </c>
      <c r="B14470" s="380" t="str">
        <f>IFERROR(__xludf.DUMMYFUNCTION("""COMPUTED_VALUE"""),"Perro Ajustable Para Guaya 1/4")</f>
        <v>Perro Ajustable Para Guaya 1/4</v>
      </c>
      <c r="C14470" s="380" t="str">
        <f>IFERROR(__xludf.DUMMYFUNCTION("""COMPUTED_VALUE"""),"80000826")</f>
        <v>80000826</v>
      </c>
      <c r="D14470" s="380" t="s">
        <v>767</v>
      </c>
      <c r="E14470" s="380" t="s">
        <v>776</v>
      </c>
      <c r="F14470" s="380" t="s">
        <v>777</v>
      </c>
      <c r="G14470" s="380" t="s">
        <v>1267</v>
      </c>
      <c r="H14470" s="380" t="s">
        <v>771</v>
      </c>
      <c r="I14470" s="380" t="s">
        <v>778</v>
      </c>
      <c r="J14470" s="380" t="s">
        <v>773</v>
      </c>
      <c r="K14470" s="381">
        <v>0.0</v>
      </c>
      <c r="L14470" s="382">
        <v>1.0</v>
      </c>
    </row>
    <row r="14471">
      <c r="A14471" s="380" t="s">
        <v>15345</v>
      </c>
      <c r="B14471" s="380" t="str">
        <f>IFERROR(__xludf.DUMMYFUNCTION("""COMPUTED_VALUE"""),"Union Universal Imc 1")</f>
        <v>Union Universal Imc 1</v>
      </c>
      <c r="C14471" s="380" t="str">
        <f>IFERROR(__xludf.DUMMYFUNCTION("""COMPUTED_VALUE"""),"80000827")</f>
        <v>80000827</v>
      </c>
      <c r="D14471" s="380" t="s">
        <v>767</v>
      </c>
      <c r="E14471" s="380" t="s">
        <v>776</v>
      </c>
      <c r="F14471" s="380" t="s">
        <v>777</v>
      </c>
      <c r="G14471" s="380" t="s">
        <v>1267</v>
      </c>
      <c r="H14471" s="380" t="s">
        <v>771</v>
      </c>
      <c r="I14471" s="380" t="s">
        <v>778</v>
      </c>
      <c r="J14471" s="380" t="s">
        <v>773</v>
      </c>
      <c r="K14471" s="381">
        <v>0.0</v>
      </c>
      <c r="L14471" s="382">
        <v>1.0</v>
      </c>
    </row>
    <row r="14472">
      <c r="A14472" s="380" t="s">
        <v>15346</v>
      </c>
      <c r="B14472" s="380" t="str">
        <f>IFERROR(__xludf.DUMMYFUNCTION("""COMPUTED_VALUE"""),"Manto Aluminio 3Mm")</f>
        <v>Manto Aluminio 3Mm</v>
      </c>
      <c r="C14472" s="380" t="str">
        <f>IFERROR(__xludf.DUMMYFUNCTION("""COMPUTED_VALUE"""),"80000829")</f>
        <v>80000829</v>
      </c>
      <c r="D14472" s="380" t="s">
        <v>767</v>
      </c>
      <c r="E14472" s="380" t="s">
        <v>776</v>
      </c>
      <c r="F14472" s="380" t="s">
        <v>777</v>
      </c>
      <c r="G14472" s="380" t="s">
        <v>1267</v>
      </c>
      <c r="H14472" s="380" t="s">
        <v>771</v>
      </c>
      <c r="I14472" s="380" t="s">
        <v>778</v>
      </c>
      <c r="J14472" s="380" t="s">
        <v>773</v>
      </c>
      <c r="K14472" s="381">
        <v>0.0</v>
      </c>
      <c r="L14472" s="382">
        <v>1.0</v>
      </c>
    </row>
    <row r="14473">
      <c r="A14473" s="380" t="s">
        <v>15347</v>
      </c>
      <c r="B14473" s="380" t="str">
        <f>IFERROR(__xludf.DUMMYFUNCTION("""COMPUTED_VALUE"""),"Esquinero Plastico 244 M")</f>
        <v>Esquinero Plastico 244 M</v>
      </c>
      <c r="C14473" s="380" t="str">
        <f>IFERROR(__xludf.DUMMYFUNCTION("""COMPUTED_VALUE"""),"80000831")</f>
        <v>80000831</v>
      </c>
      <c r="D14473" s="380" t="s">
        <v>767</v>
      </c>
      <c r="E14473" s="380" t="s">
        <v>776</v>
      </c>
      <c r="F14473" s="380" t="s">
        <v>777</v>
      </c>
      <c r="G14473" s="380" t="s">
        <v>1267</v>
      </c>
      <c r="H14473" s="380" t="s">
        <v>771</v>
      </c>
      <c r="I14473" s="380" t="s">
        <v>778</v>
      </c>
      <c r="J14473" s="380" t="s">
        <v>773</v>
      </c>
      <c r="K14473" s="381">
        <v>0.0</v>
      </c>
      <c r="L14473" s="382">
        <v>1.0</v>
      </c>
    </row>
    <row r="14474">
      <c r="A14474" s="380" t="s">
        <v>15348</v>
      </c>
      <c r="B14474" s="380" t="str">
        <f>IFERROR(__xludf.DUMMYFUNCTION("""COMPUTED_VALUE"""),"Tapón Soldado 1/2 Presión")</f>
        <v>Tapón Soldado 1/2 Presión</v>
      </c>
      <c r="C14474" s="380" t="str">
        <f>IFERROR(__xludf.DUMMYFUNCTION("""COMPUTED_VALUE"""),"80000832")</f>
        <v>80000832</v>
      </c>
      <c r="D14474" s="380" t="s">
        <v>767</v>
      </c>
      <c r="E14474" s="380" t="s">
        <v>776</v>
      </c>
      <c r="F14474" s="380" t="s">
        <v>777</v>
      </c>
      <c r="G14474" s="380" t="s">
        <v>1267</v>
      </c>
      <c r="H14474" s="380" t="s">
        <v>771</v>
      </c>
      <c r="I14474" s="380" t="s">
        <v>778</v>
      </c>
      <c r="J14474" s="380" t="s">
        <v>773</v>
      </c>
      <c r="K14474" s="381">
        <v>0.0</v>
      </c>
      <c r="L14474" s="382">
        <v>1.0</v>
      </c>
    </row>
    <row r="14475">
      <c r="A14475" s="380" t="s">
        <v>15349</v>
      </c>
      <c r="B14475" s="380" t="str">
        <f>IFERROR(__xludf.DUMMYFUNCTION("""COMPUTED_VALUE"""),"Bisagra Capsula De 3/4"" 3 Cuer")</f>
        <v>Bisagra Capsula De 3/4" 3 Cuer</v>
      </c>
      <c r="C14475" s="380" t="str">
        <f>IFERROR(__xludf.DUMMYFUNCTION("""COMPUTED_VALUE"""),"80000833")</f>
        <v>80000833</v>
      </c>
      <c r="D14475" s="380" t="s">
        <v>767</v>
      </c>
      <c r="E14475" s="380" t="s">
        <v>776</v>
      </c>
      <c r="F14475" s="380" t="s">
        <v>777</v>
      </c>
      <c r="G14475" s="380" t="s">
        <v>1267</v>
      </c>
      <c r="H14475" s="380" t="s">
        <v>771</v>
      </c>
      <c r="I14475" s="380" t="s">
        <v>778</v>
      </c>
      <c r="J14475" s="380" t="s">
        <v>773</v>
      </c>
      <c r="K14475" s="381">
        <v>14923.0</v>
      </c>
      <c r="L14475" s="382">
        <v>1.0</v>
      </c>
    </row>
    <row r="14476">
      <c r="A14476" s="380" t="s">
        <v>15350</v>
      </c>
      <c r="B14476" s="380" t="str">
        <f>IFERROR(__xludf.DUMMYFUNCTION("""COMPUTED_VALUE"""),"Broncoelástico Ladrillo")</f>
        <v>Broncoelástico Ladrillo</v>
      </c>
      <c r="C14476" s="380" t="str">
        <f>IFERROR(__xludf.DUMMYFUNCTION("""COMPUTED_VALUE"""),"80000834")</f>
        <v>80000834</v>
      </c>
      <c r="D14476" s="380" t="s">
        <v>767</v>
      </c>
      <c r="E14476" s="380" t="s">
        <v>776</v>
      </c>
      <c r="F14476" s="380" t="s">
        <v>777</v>
      </c>
      <c r="G14476" s="380" t="s">
        <v>1267</v>
      </c>
      <c r="H14476" s="380" t="s">
        <v>771</v>
      </c>
      <c r="I14476" s="380" t="s">
        <v>778</v>
      </c>
      <c r="J14476" s="380" t="s">
        <v>773</v>
      </c>
      <c r="K14476" s="381">
        <v>0.0</v>
      </c>
      <c r="L14476" s="382">
        <v>1.0</v>
      </c>
    </row>
    <row r="14477">
      <c r="A14477" s="380" t="s">
        <v>15351</v>
      </c>
      <c r="B14477" s="380" t="str">
        <f>IFERROR(__xludf.DUMMYFUNCTION("""COMPUTED_VALUE"""),"Bombillo Ahorrador 32W K-Bae3")</f>
        <v>Bombillo Ahorrador 32W K-Bae3</v>
      </c>
      <c r="C14477" s="380" t="str">
        <f>IFERROR(__xludf.DUMMYFUNCTION("""COMPUTED_VALUE"""),"80000839")</f>
        <v>80000839</v>
      </c>
      <c r="D14477" s="380" t="s">
        <v>767</v>
      </c>
      <c r="E14477" s="380" t="s">
        <v>776</v>
      </c>
      <c r="F14477" s="380" t="s">
        <v>777</v>
      </c>
      <c r="G14477" s="380" t="s">
        <v>1267</v>
      </c>
      <c r="H14477" s="380" t="s">
        <v>771</v>
      </c>
      <c r="I14477" s="380" t="s">
        <v>778</v>
      </c>
      <c r="J14477" s="380" t="s">
        <v>773</v>
      </c>
      <c r="K14477" s="381">
        <v>0.0</v>
      </c>
      <c r="L14477" s="382">
        <v>1.0</v>
      </c>
    </row>
    <row r="14478">
      <c r="A14478" s="380" t="s">
        <v>15352</v>
      </c>
      <c r="B14478" s="380" t="str">
        <f>IFERROR(__xludf.DUMMYFUNCTION("""COMPUTED_VALUE"""),"Antifluidos En Acrilico")</f>
        <v>Antifluidos En Acrilico</v>
      </c>
      <c r="C14478" s="380" t="str">
        <f>IFERROR(__xludf.DUMMYFUNCTION("""COMPUTED_VALUE"""),"80000840")</f>
        <v>80000840</v>
      </c>
      <c r="D14478" s="380" t="s">
        <v>767</v>
      </c>
      <c r="E14478" s="380" t="s">
        <v>776</v>
      </c>
      <c r="F14478" s="380" t="s">
        <v>777</v>
      </c>
      <c r="G14478" s="380" t="s">
        <v>1267</v>
      </c>
      <c r="H14478" s="380" t="s">
        <v>771</v>
      </c>
      <c r="I14478" s="380" t="s">
        <v>778</v>
      </c>
      <c r="J14478" s="380" t="s">
        <v>773</v>
      </c>
      <c r="K14478" s="381">
        <v>299625.0</v>
      </c>
      <c r="L14478" s="382">
        <v>1.0</v>
      </c>
    </row>
    <row r="14479">
      <c r="A14479" s="380" t="s">
        <v>15353</v>
      </c>
      <c r="B14479" s="380" t="str">
        <f>IFERROR(__xludf.DUMMYFUNCTION("""COMPUTED_VALUE"""),"Acople Plástico Sanitario 1/2""")</f>
        <v>Acople Plástico Sanitario 1/2"</v>
      </c>
      <c r="C14479" s="380" t="str">
        <f>IFERROR(__xludf.DUMMYFUNCTION("""COMPUTED_VALUE"""),"80000841")</f>
        <v>80000841</v>
      </c>
      <c r="D14479" s="380" t="s">
        <v>767</v>
      </c>
      <c r="E14479" s="380" t="s">
        <v>776</v>
      </c>
      <c r="F14479" s="380" t="s">
        <v>777</v>
      </c>
      <c r="G14479" s="380" t="s">
        <v>1267</v>
      </c>
      <c r="H14479" s="380" t="s">
        <v>771</v>
      </c>
      <c r="I14479" s="380" t="s">
        <v>778</v>
      </c>
      <c r="J14479" s="380" t="s">
        <v>773</v>
      </c>
      <c r="K14479" s="381">
        <v>0.0</v>
      </c>
      <c r="L14479" s="382">
        <v>1.0</v>
      </c>
    </row>
    <row r="14480">
      <c r="A14480" s="380" t="s">
        <v>15354</v>
      </c>
      <c r="B14480" s="380" t="str">
        <f>IFERROR(__xludf.DUMMYFUNCTION("""COMPUTED_VALUE"""),"Tornillo Avellanado Varios")</f>
        <v>Tornillo Avellanado Varios</v>
      </c>
      <c r="C14480" s="380" t="str">
        <f>IFERROR(__xludf.DUMMYFUNCTION("""COMPUTED_VALUE"""),"80000842")</f>
        <v>80000842</v>
      </c>
      <c r="D14480" s="380" t="s">
        <v>767</v>
      </c>
      <c r="E14480" s="380" t="s">
        <v>776</v>
      </c>
      <c r="F14480" s="380" t="s">
        <v>777</v>
      </c>
      <c r="G14480" s="380" t="s">
        <v>1267</v>
      </c>
      <c r="H14480" s="380" t="s">
        <v>771</v>
      </c>
      <c r="I14480" s="380" t="s">
        <v>778</v>
      </c>
      <c r="J14480" s="380" t="s">
        <v>773</v>
      </c>
      <c r="K14480" s="381">
        <v>0.0</v>
      </c>
      <c r="L14480" s="382">
        <v>1.0</v>
      </c>
    </row>
    <row r="14481">
      <c r="A14481" s="380" t="s">
        <v>15355</v>
      </c>
      <c r="B14481" s="380" t="str">
        <f>IFERROR(__xludf.DUMMYFUNCTION("""COMPUTED_VALUE"""),"Pasacables Varios")</f>
        <v>Pasacables Varios</v>
      </c>
      <c r="C14481" s="380" t="str">
        <f>IFERROR(__xludf.DUMMYFUNCTION("""COMPUTED_VALUE"""),"80000843")</f>
        <v>80000843</v>
      </c>
      <c r="D14481" s="380" t="s">
        <v>767</v>
      </c>
      <c r="E14481" s="380" t="s">
        <v>776</v>
      </c>
      <c r="F14481" s="380" t="s">
        <v>777</v>
      </c>
      <c r="G14481" s="380" t="s">
        <v>1267</v>
      </c>
      <c r="H14481" s="380" t="s">
        <v>771</v>
      </c>
      <c r="I14481" s="380" t="s">
        <v>778</v>
      </c>
      <c r="J14481" s="380" t="s">
        <v>773</v>
      </c>
      <c r="K14481" s="381">
        <v>0.0</v>
      </c>
      <c r="L14481" s="382">
        <v>1.0</v>
      </c>
    </row>
    <row r="14482">
      <c r="A14482" s="380" t="s">
        <v>15356</v>
      </c>
      <c r="B14482" s="380" t="str">
        <f>IFERROR(__xludf.DUMMYFUNCTION("""COMPUTED_VALUE"""),"Valvula Registro Bola 1/2"" Pvc")</f>
        <v>Valvula Registro Bola 1/2" Pvc</v>
      </c>
      <c r="C14482" s="380" t="str">
        <f>IFERROR(__xludf.DUMMYFUNCTION("""COMPUTED_VALUE"""),"80000845")</f>
        <v>80000845</v>
      </c>
      <c r="D14482" s="380" t="s">
        <v>767</v>
      </c>
      <c r="E14482" s="380" t="s">
        <v>776</v>
      </c>
      <c r="F14482" s="380" t="s">
        <v>777</v>
      </c>
      <c r="G14482" s="380" t="s">
        <v>1267</v>
      </c>
      <c r="H14482" s="380" t="s">
        <v>771</v>
      </c>
      <c r="I14482" s="380" t="s">
        <v>778</v>
      </c>
      <c r="J14482" s="380" t="s">
        <v>773</v>
      </c>
      <c r="K14482" s="381">
        <v>0.0</v>
      </c>
      <c r="L14482" s="382">
        <v>1.0</v>
      </c>
    </row>
    <row r="14483">
      <c r="A14483" s="380" t="s">
        <v>15357</v>
      </c>
      <c r="B14483" s="380" t="str">
        <f>IFERROR(__xludf.DUMMYFUNCTION("""COMPUTED_VALUE"""),"Bombillo Ahorrador 14-15 W 110")</f>
        <v>Bombillo Ahorrador 14-15 W 110</v>
      </c>
      <c r="C14483" s="380" t="str">
        <f>IFERROR(__xludf.DUMMYFUNCTION("""COMPUTED_VALUE"""),"80000846")</f>
        <v>80000846</v>
      </c>
      <c r="D14483" s="380" t="s">
        <v>767</v>
      </c>
      <c r="E14483" s="380" t="s">
        <v>776</v>
      </c>
      <c r="F14483" s="380" t="s">
        <v>777</v>
      </c>
      <c r="G14483" s="380" t="s">
        <v>1267</v>
      </c>
      <c r="H14483" s="380" t="s">
        <v>771</v>
      </c>
      <c r="I14483" s="380" t="s">
        <v>778</v>
      </c>
      <c r="J14483" s="380" t="s">
        <v>773</v>
      </c>
      <c r="K14483" s="381">
        <v>0.0</v>
      </c>
      <c r="L14483" s="382">
        <v>1.0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13"/>
    <col customWidth="1" min="3" max="3" width="6.88"/>
    <col customWidth="1" min="4" max="4" width="12.25"/>
    <col customWidth="1" min="5" max="5" width="49.75"/>
    <col customWidth="1" min="6" max="6" width="11.25"/>
    <col customWidth="1" min="10" max="10" width="8.75"/>
    <col customWidth="1" min="11" max="11" width="15.25"/>
    <col customWidth="1" min="12" max="12" width="46.75"/>
  </cols>
  <sheetData>
    <row r="1">
      <c r="A1" s="383" t="s">
        <v>15358</v>
      </c>
    </row>
    <row r="2">
      <c r="A2" s="384" t="s">
        <v>15359</v>
      </c>
      <c r="C2" s="385" t="s">
        <v>15359</v>
      </c>
      <c r="D2" s="386"/>
      <c r="E2" s="386"/>
      <c r="F2" s="386"/>
      <c r="G2" s="386"/>
      <c r="H2" s="387"/>
      <c r="J2" s="388" t="s">
        <v>15360</v>
      </c>
      <c r="K2" s="386"/>
      <c r="L2" s="386"/>
      <c r="M2" s="386"/>
      <c r="N2" s="386"/>
      <c r="O2" s="387"/>
    </row>
    <row r="3">
      <c r="A3" s="384" t="s">
        <v>15361</v>
      </c>
      <c r="C3" s="389" t="s">
        <v>15362</v>
      </c>
      <c r="D3" s="126" t="s">
        <v>707</v>
      </c>
      <c r="E3" s="389" t="s">
        <v>708</v>
      </c>
      <c r="F3" s="390" t="s">
        <v>709</v>
      </c>
      <c r="G3" s="376" t="s">
        <v>710</v>
      </c>
      <c r="H3" s="376" t="s">
        <v>711</v>
      </c>
      <c r="J3" s="391" t="s">
        <v>15362</v>
      </c>
      <c r="K3" s="126" t="s">
        <v>707</v>
      </c>
      <c r="L3" s="391" t="s">
        <v>708</v>
      </c>
      <c r="M3" s="126" t="s">
        <v>709</v>
      </c>
      <c r="N3" s="374" t="s">
        <v>710</v>
      </c>
      <c r="O3" s="374" t="s">
        <v>711</v>
      </c>
    </row>
    <row r="4">
      <c r="A4" s="384" t="s">
        <v>15363</v>
      </c>
      <c r="C4" s="392">
        <v>18794.0</v>
      </c>
      <c r="D4" s="393">
        <v>7.0003552E7</v>
      </c>
      <c r="E4" s="392" t="s">
        <v>15364</v>
      </c>
      <c r="F4" s="392">
        <v>1.0</v>
      </c>
      <c r="G4" s="374" t="s">
        <v>15365</v>
      </c>
      <c r="H4" s="374">
        <v>1102.0</v>
      </c>
      <c r="J4" s="392">
        <v>22797.0</v>
      </c>
      <c r="K4" s="8" t="str">
        <f t="array" ref="K4">XLOOKUP(L4, 'Hoja 39'!B:B, 'Hoja 39'!C:C, "No encontrado", 0)</f>
        <v>50001658</v>
      </c>
      <c r="L4" s="394" t="s">
        <v>15366</v>
      </c>
      <c r="M4" s="392">
        <v>1.5</v>
      </c>
      <c r="N4" s="374" t="s">
        <v>15365</v>
      </c>
      <c r="O4" s="374">
        <v>1102.0</v>
      </c>
    </row>
    <row r="5">
      <c r="A5" s="395" t="s">
        <v>15367</v>
      </c>
      <c r="C5" s="392">
        <v>18795.0</v>
      </c>
      <c r="D5" s="393">
        <v>7.0003553E7</v>
      </c>
      <c r="E5" s="392" t="s">
        <v>15368</v>
      </c>
      <c r="F5" s="392">
        <v>1.0</v>
      </c>
      <c r="G5" s="374" t="s">
        <v>15365</v>
      </c>
      <c r="H5" s="374">
        <v>1102.0</v>
      </c>
      <c r="J5" s="392">
        <v>24148.0</v>
      </c>
      <c r="K5" s="8" t="str">
        <f t="array" ref="K5">XLOOKUP(L5, 'Hoja 39'!B:B, 'Hoja 39'!C:C, "No encontrado", 0)</f>
        <v>70005150</v>
      </c>
      <c r="L5" s="396" t="s">
        <v>15369</v>
      </c>
      <c r="M5" s="392">
        <v>1.0</v>
      </c>
      <c r="N5" s="374" t="s">
        <v>15365</v>
      </c>
      <c r="O5" s="374">
        <v>1102.0</v>
      </c>
    </row>
    <row r="6">
      <c r="A6" s="384" t="s">
        <v>15370</v>
      </c>
      <c r="C6" s="392">
        <v>18796.0</v>
      </c>
      <c r="D6" s="393">
        <v>7.0003554E7</v>
      </c>
      <c r="E6" s="392" t="s">
        <v>15371</v>
      </c>
      <c r="F6" s="392">
        <v>1.0</v>
      </c>
      <c r="G6" s="374" t="s">
        <v>15365</v>
      </c>
      <c r="H6" s="374">
        <v>1102.0</v>
      </c>
      <c r="J6" s="392">
        <v>24149.0</v>
      </c>
      <c r="K6" s="8" t="str">
        <f t="array" ref="K6">XLOOKUP(L6, 'Hoja 39'!B:B, 'Hoja 39'!C:C, "No encontrado", 0)</f>
        <v>70005151</v>
      </c>
      <c r="L6" s="394" t="s">
        <v>15372</v>
      </c>
      <c r="M6" s="392">
        <v>1.0</v>
      </c>
      <c r="N6" s="374" t="s">
        <v>15365</v>
      </c>
      <c r="O6" s="374">
        <v>1102.0</v>
      </c>
    </row>
    <row r="7">
      <c r="A7" s="384" t="s">
        <v>15373</v>
      </c>
      <c r="C7" s="392">
        <v>22801.0</v>
      </c>
      <c r="D7" s="393">
        <v>5.000163E7</v>
      </c>
      <c r="E7" s="392" t="s">
        <v>15374</v>
      </c>
      <c r="F7" s="392">
        <v>1.0</v>
      </c>
      <c r="G7" s="374" t="s">
        <v>15365</v>
      </c>
      <c r="H7" s="374">
        <v>1102.0</v>
      </c>
      <c r="J7" s="392">
        <v>24150.0</v>
      </c>
      <c r="K7" s="8" t="str">
        <f t="array" ref="K7">XLOOKUP(L7, 'Hoja 39'!B:B, 'Hoja 39'!C:C, "No encontrado", 0)</f>
        <v>70005153</v>
      </c>
      <c r="L7" s="394" t="s">
        <v>15375</v>
      </c>
      <c r="M7" s="392">
        <v>1.0</v>
      </c>
      <c r="N7" s="374" t="s">
        <v>15365</v>
      </c>
      <c r="O7" s="374">
        <v>1102.0</v>
      </c>
    </row>
    <row r="8">
      <c r="A8" s="384" t="s">
        <v>15376</v>
      </c>
      <c r="C8" s="392">
        <v>9305.0</v>
      </c>
      <c r="D8" s="393">
        <v>5.0001705E7</v>
      </c>
      <c r="E8" s="392" t="s">
        <v>15377</v>
      </c>
      <c r="F8" s="392">
        <v>1.0</v>
      </c>
      <c r="G8" s="374" t="s">
        <v>15365</v>
      </c>
      <c r="H8" s="374">
        <v>1102.0</v>
      </c>
      <c r="J8" s="392">
        <v>24153.0</v>
      </c>
      <c r="K8" s="8" t="str">
        <f t="array" ref="K8">XLOOKUP(L8, 'Hoja 39'!B:B, 'Hoja 39'!C:C, "No encontrado", 0)</f>
        <v>70005156</v>
      </c>
      <c r="L8" s="394" t="s">
        <v>15378</v>
      </c>
      <c r="M8" s="392">
        <v>1.0</v>
      </c>
      <c r="N8" s="374" t="s">
        <v>15365</v>
      </c>
      <c r="O8" s="374">
        <v>1102.0</v>
      </c>
    </row>
    <row r="9">
      <c r="A9" s="395" t="s">
        <v>15379</v>
      </c>
      <c r="G9" s="374"/>
      <c r="H9" s="374"/>
      <c r="J9" s="392">
        <v>9305.0</v>
      </c>
      <c r="K9" s="8" t="str">
        <f t="array" ref="K9">XLOOKUP(L9, 'Hoja 39'!B:B, 'Hoja 39'!C:C, "No encontrado", 0)</f>
        <v>50001705</v>
      </c>
      <c r="L9" s="392" t="s">
        <v>15377</v>
      </c>
      <c r="M9" s="392">
        <v>1.0</v>
      </c>
      <c r="N9" s="374" t="s">
        <v>15365</v>
      </c>
      <c r="O9" s="374">
        <v>1102.0</v>
      </c>
    </row>
    <row r="10">
      <c r="A10" s="384" t="s">
        <v>15380</v>
      </c>
    </row>
    <row r="11">
      <c r="A11" s="384" t="s">
        <v>15381</v>
      </c>
      <c r="C11" s="388" t="s">
        <v>15382</v>
      </c>
      <c r="D11" s="386"/>
      <c r="E11" s="386"/>
      <c r="F11" s="386"/>
      <c r="G11" s="386"/>
      <c r="H11" s="387"/>
      <c r="J11" s="388" t="s">
        <v>15383</v>
      </c>
      <c r="K11" s="386"/>
      <c r="L11" s="386"/>
      <c r="M11" s="386"/>
      <c r="N11" s="386"/>
      <c r="O11" s="387"/>
    </row>
    <row r="12">
      <c r="A12" s="384" t="s">
        <v>15384</v>
      </c>
      <c r="C12" s="391" t="s">
        <v>15362</v>
      </c>
      <c r="D12" s="126" t="s">
        <v>707</v>
      </c>
      <c r="E12" s="391" t="s">
        <v>708</v>
      </c>
      <c r="F12" s="397" t="s">
        <v>709</v>
      </c>
      <c r="G12" s="376" t="s">
        <v>710</v>
      </c>
      <c r="H12" s="376" t="s">
        <v>711</v>
      </c>
      <c r="J12" s="391" t="s">
        <v>15362</v>
      </c>
      <c r="K12" s="126" t="s">
        <v>707</v>
      </c>
      <c r="L12" s="391" t="s">
        <v>708</v>
      </c>
      <c r="M12" s="397" t="s">
        <v>709</v>
      </c>
      <c r="N12" s="376" t="s">
        <v>710</v>
      </c>
      <c r="O12" s="376" t="s">
        <v>711</v>
      </c>
    </row>
    <row r="13">
      <c r="A13" s="384" t="s">
        <v>15385</v>
      </c>
      <c r="C13" s="392">
        <v>22797.0</v>
      </c>
      <c r="D13" s="7">
        <v>5.0001658E7</v>
      </c>
      <c r="E13" s="392" t="s">
        <v>15386</v>
      </c>
      <c r="F13" s="392">
        <v>1.5</v>
      </c>
      <c r="G13" s="374" t="s">
        <v>15365</v>
      </c>
      <c r="H13" s="374">
        <v>1102.0</v>
      </c>
      <c r="J13" s="392">
        <v>17545.0</v>
      </c>
      <c r="K13" s="8" t="str">
        <f t="array" ref="K13">XLOOKUP(L13, 'Hoja 39'!B:B, 'Hoja 39'!C:C, "No encontrado", 0)</f>
        <v>70003561</v>
      </c>
      <c r="L13" s="394" t="s">
        <v>15387</v>
      </c>
      <c r="M13" s="392">
        <v>1.0</v>
      </c>
      <c r="N13" s="374" t="s">
        <v>15365</v>
      </c>
      <c r="O13" s="374">
        <v>1102.0</v>
      </c>
    </row>
    <row r="14">
      <c r="A14" s="384" t="s">
        <v>15388</v>
      </c>
      <c r="C14" s="392">
        <v>23704.0</v>
      </c>
      <c r="D14" s="396">
        <v>7.0005364E7</v>
      </c>
      <c r="E14" s="392" t="s">
        <v>15389</v>
      </c>
      <c r="F14" s="392">
        <v>1.0</v>
      </c>
      <c r="G14" s="374" t="s">
        <v>15365</v>
      </c>
      <c r="H14" s="374">
        <v>1102.0</v>
      </c>
      <c r="J14" s="394">
        <v>24322.0</v>
      </c>
      <c r="K14" s="8" t="str">
        <f t="array" ref="K14">XLOOKUP(L14, 'Hoja 39'!B:B, 'Hoja 39'!C:C, "No encontrado", 0)</f>
        <v>70007911</v>
      </c>
      <c r="L14" s="396" t="s">
        <v>15390</v>
      </c>
      <c r="M14" s="394">
        <v>1.0</v>
      </c>
      <c r="N14" s="374" t="s">
        <v>15365</v>
      </c>
      <c r="O14" s="374">
        <v>1102.0</v>
      </c>
    </row>
    <row r="15">
      <c r="A15" s="384" t="s">
        <v>15391</v>
      </c>
      <c r="C15" s="392">
        <v>23705.0</v>
      </c>
      <c r="D15" s="396">
        <v>7.0005365E7</v>
      </c>
      <c r="E15" s="392" t="s">
        <v>15392</v>
      </c>
      <c r="F15" s="392">
        <v>1.0</v>
      </c>
      <c r="G15" s="374" t="s">
        <v>15365</v>
      </c>
      <c r="H15" s="374">
        <v>1102.0</v>
      </c>
      <c r="J15" s="392">
        <v>20723.0</v>
      </c>
      <c r="K15" s="8" t="str">
        <f t="array" ref="K15">XLOOKUP(L15, 'Hoja 39'!B:B, 'Hoja 39'!C:C, "No encontrado", 0)</f>
        <v>70008090</v>
      </c>
      <c r="L15" s="398" t="s">
        <v>15393</v>
      </c>
      <c r="M15" s="392">
        <v>1.0</v>
      </c>
      <c r="N15" s="374" t="s">
        <v>15365</v>
      </c>
      <c r="O15" s="374">
        <v>1102.0</v>
      </c>
    </row>
    <row r="16">
      <c r="A16" s="384" t="s">
        <v>15394</v>
      </c>
      <c r="C16" s="392">
        <v>9305.0</v>
      </c>
      <c r="D16" s="393">
        <v>5.0001705E7</v>
      </c>
      <c r="E16" s="392" t="s">
        <v>15377</v>
      </c>
      <c r="F16" s="392">
        <v>1.0</v>
      </c>
      <c r="G16" s="374" t="s">
        <v>15365</v>
      </c>
      <c r="H16" s="374">
        <v>1102.0</v>
      </c>
      <c r="J16" s="392">
        <v>20725.0</v>
      </c>
      <c r="K16" s="396">
        <v>7.0003042E7</v>
      </c>
      <c r="L16" s="392" t="s">
        <v>15395</v>
      </c>
      <c r="M16" s="392">
        <v>1.0</v>
      </c>
      <c r="N16" s="374" t="s">
        <v>15365</v>
      </c>
      <c r="O16" s="374">
        <v>1102.0</v>
      </c>
    </row>
    <row r="17">
      <c r="A17" s="384" t="s">
        <v>15396</v>
      </c>
      <c r="C17" s="134">
        <v>24322.0</v>
      </c>
      <c r="D17" s="396">
        <v>7.0007911E7</v>
      </c>
      <c r="E17" s="134" t="s">
        <v>15397</v>
      </c>
      <c r="F17" s="134">
        <v>1.0</v>
      </c>
      <c r="G17" s="374" t="s">
        <v>15365</v>
      </c>
      <c r="H17" s="374">
        <v>1102.0</v>
      </c>
      <c r="J17" s="392">
        <v>22801.0</v>
      </c>
      <c r="K17" s="393">
        <v>5.000163E7</v>
      </c>
      <c r="L17" s="392" t="s">
        <v>15374</v>
      </c>
      <c r="M17" s="392">
        <v>2.0</v>
      </c>
      <c r="N17" s="374" t="s">
        <v>15365</v>
      </c>
      <c r="O17" s="374">
        <v>1102.0</v>
      </c>
    </row>
    <row r="18">
      <c r="A18" s="384" t="s">
        <v>705</v>
      </c>
      <c r="G18" s="374"/>
      <c r="H18" s="374"/>
      <c r="J18" s="392">
        <v>9305.0</v>
      </c>
      <c r="K18" s="8" t="str">
        <f t="array" ref="K18">XLOOKUP(L18, 'Hoja 39'!B:B, 'Hoja 39'!C:C, "No encontrado", 0)</f>
        <v>50001705</v>
      </c>
      <c r="L18" s="392" t="s">
        <v>15377</v>
      </c>
      <c r="M18" s="392">
        <v>1.0</v>
      </c>
      <c r="N18" s="374" t="s">
        <v>15365</v>
      </c>
      <c r="O18" s="374">
        <v>1102.0</v>
      </c>
    </row>
    <row r="19">
      <c r="A19" s="399" t="s">
        <v>15398</v>
      </c>
    </row>
    <row r="20">
      <c r="A20" s="399" t="s">
        <v>15399</v>
      </c>
      <c r="C20" s="388" t="s">
        <v>15400</v>
      </c>
      <c r="D20" s="386"/>
      <c r="E20" s="386"/>
      <c r="F20" s="386"/>
      <c r="G20" s="386"/>
      <c r="H20" s="387"/>
      <c r="J20" s="388" t="s">
        <v>15401</v>
      </c>
      <c r="K20" s="386"/>
      <c r="L20" s="386"/>
      <c r="M20" s="386"/>
      <c r="N20" s="386"/>
      <c r="O20" s="387"/>
    </row>
    <row r="21">
      <c r="A21" s="399" t="s">
        <v>15402</v>
      </c>
      <c r="C21" s="391" t="s">
        <v>15362</v>
      </c>
      <c r="D21" s="126" t="s">
        <v>707</v>
      </c>
      <c r="E21" s="391" t="s">
        <v>708</v>
      </c>
      <c r="F21" s="397" t="s">
        <v>709</v>
      </c>
      <c r="G21" s="376" t="s">
        <v>710</v>
      </c>
      <c r="H21" s="376" t="s">
        <v>711</v>
      </c>
      <c r="J21" s="391" t="s">
        <v>15362</v>
      </c>
      <c r="K21" s="126" t="s">
        <v>707</v>
      </c>
      <c r="L21" s="391" t="s">
        <v>708</v>
      </c>
      <c r="M21" s="397" t="s">
        <v>709</v>
      </c>
      <c r="N21" s="376" t="s">
        <v>710</v>
      </c>
      <c r="O21" s="376" t="s">
        <v>711</v>
      </c>
    </row>
    <row r="22">
      <c r="A22" s="399" t="s">
        <v>15403</v>
      </c>
      <c r="C22" s="392">
        <v>22797.0</v>
      </c>
      <c r="D22" s="7">
        <v>5.0001658E7</v>
      </c>
      <c r="E22" s="392" t="s">
        <v>15386</v>
      </c>
      <c r="F22" s="392">
        <v>1.5</v>
      </c>
      <c r="G22" s="374" t="s">
        <v>15365</v>
      </c>
      <c r="H22" s="374">
        <v>1102.0</v>
      </c>
      <c r="J22" s="392">
        <v>17547.0</v>
      </c>
      <c r="K22" s="396">
        <v>7.0003563E7</v>
      </c>
      <c r="L22" s="392" t="s">
        <v>15404</v>
      </c>
      <c r="M22" s="392">
        <v>1.0</v>
      </c>
      <c r="N22" s="374" t="s">
        <v>15365</v>
      </c>
      <c r="O22" s="374">
        <v>1102.0</v>
      </c>
    </row>
    <row r="23">
      <c r="A23" s="399" t="s">
        <v>15405</v>
      </c>
      <c r="C23" s="392">
        <v>23704.0</v>
      </c>
      <c r="D23" s="396">
        <v>7.0005364E7</v>
      </c>
      <c r="E23" s="392" t="s">
        <v>15389</v>
      </c>
      <c r="F23" s="392">
        <v>1.0</v>
      </c>
      <c r="G23" s="374" t="s">
        <v>15365</v>
      </c>
      <c r="H23" s="374">
        <v>1102.0</v>
      </c>
      <c r="J23" s="392">
        <v>17756.0</v>
      </c>
      <c r="K23" s="396">
        <v>7.0003569E7</v>
      </c>
      <c r="L23" s="392" t="s">
        <v>15406</v>
      </c>
      <c r="M23" s="392">
        <v>1.0</v>
      </c>
      <c r="N23" s="374" t="s">
        <v>15365</v>
      </c>
      <c r="O23" s="374">
        <v>1102.0</v>
      </c>
    </row>
    <row r="24">
      <c r="A24" s="399" t="s">
        <v>15407</v>
      </c>
      <c r="C24" s="392">
        <v>23705.0</v>
      </c>
      <c r="D24" s="396">
        <v>7.0005365E7</v>
      </c>
      <c r="E24" s="392" t="s">
        <v>15392</v>
      </c>
      <c r="F24" s="392">
        <v>1.0</v>
      </c>
      <c r="G24" s="374" t="s">
        <v>15365</v>
      </c>
      <c r="H24" s="374">
        <v>1102.0</v>
      </c>
      <c r="J24" s="394">
        <v>23709.0</v>
      </c>
      <c r="K24" s="400">
        <v>7.0005367E7</v>
      </c>
      <c r="L24" s="134" t="s">
        <v>15408</v>
      </c>
      <c r="M24" s="392">
        <v>1.0</v>
      </c>
      <c r="N24" s="374" t="s">
        <v>15365</v>
      </c>
      <c r="O24" s="374">
        <v>1102.0</v>
      </c>
    </row>
    <row r="25">
      <c r="A25" s="399" t="s">
        <v>15409</v>
      </c>
      <c r="C25" s="392">
        <v>9305.0</v>
      </c>
      <c r="D25" s="393">
        <v>5.0001705E7</v>
      </c>
      <c r="E25" s="392" t="s">
        <v>15377</v>
      </c>
      <c r="F25" s="392">
        <v>1.0</v>
      </c>
      <c r="G25" s="374" t="s">
        <v>15365</v>
      </c>
      <c r="H25" s="374">
        <v>1102.0</v>
      </c>
      <c r="J25" s="134">
        <v>24322.0</v>
      </c>
      <c r="K25" s="396">
        <v>7.0007911E7</v>
      </c>
      <c r="L25" s="134" t="s">
        <v>15397</v>
      </c>
      <c r="M25" s="134">
        <v>1.0</v>
      </c>
      <c r="N25" s="374" t="s">
        <v>15365</v>
      </c>
      <c r="O25" s="374">
        <v>1102.0</v>
      </c>
    </row>
    <row r="26">
      <c r="A26" s="399" t="s">
        <v>15410</v>
      </c>
      <c r="C26" s="134">
        <v>24322.0</v>
      </c>
      <c r="D26" s="396">
        <v>7.0007911E7</v>
      </c>
      <c r="E26" s="134" t="s">
        <v>15397</v>
      </c>
      <c r="F26" s="134">
        <v>1.0</v>
      </c>
      <c r="G26" s="374" t="s">
        <v>15365</v>
      </c>
      <c r="H26" s="374">
        <v>1102.0</v>
      </c>
      <c r="J26" s="392">
        <v>22797.0</v>
      </c>
      <c r="K26" s="7">
        <v>5.0001658E7</v>
      </c>
      <c r="L26" s="392" t="s">
        <v>15386</v>
      </c>
      <c r="M26" s="392">
        <v>2.5</v>
      </c>
      <c r="N26" s="374" t="s">
        <v>15365</v>
      </c>
      <c r="O26" s="374">
        <v>1102.0</v>
      </c>
    </row>
    <row r="27">
      <c r="G27" s="374"/>
      <c r="H27" s="374"/>
      <c r="J27" s="392">
        <v>9305.0</v>
      </c>
      <c r="K27" s="393">
        <v>5.0001705E7</v>
      </c>
      <c r="L27" s="392" t="s">
        <v>15377</v>
      </c>
      <c r="M27" s="392">
        <v>1.0</v>
      </c>
      <c r="N27" s="374" t="s">
        <v>15365</v>
      </c>
      <c r="O27" s="374">
        <v>1102.0</v>
      </c>
    </row>
    <row r="29">
      <c r="C29" s="388" t="s">
        <v>15411</v>
      </c>
      <c r="D29" s="386"/>
      <c r="E29" s="386"/>
      <c r="F29" s="386"/>
      <c r="G29" s="386"/>
      <c r="H29" s="387"/>
      <c r="J29" s="388" t="s">
        <v>15412</v>
      </c>
      <c r="K29" s="386"/>
      <c r="L29" s="386"/>
      <c r="M29" s="386"/>
      <c r="N29" s="386"/>
      <c r="O29" s="387"/>
    </row>
    <row r="30">
      <c r="C30" s="391" t="s">
        <v>15362</v>
      </c>
      <c r="D30" s="126" t="s">
        <v>707</v>
      </c>
      <c r="E30" s="391" t="s">
        <v>708</v>
      </c>
      <c r="F30" s="397" t="s">
        <v>709</v>
      </c>
      <c r="G30" s="376" t="s">
        <v>710</v>
      </c>
      <c r="H30" s="376" t="s">
        <v>711</v>
      </c>
      <c r="J30" s="391" t="s">
        <v>15362</v>
      </c>
      <c r="K30" s="126" t="s">
        <v>707</v>
      </c>
      <c r="L30" s="391" t="s">
        <v>708</v>
      </c>
      <c r="M30" s="397" t="s">
        <v>709</v>
      </c>
      <c r="N30" s="376" t="s">
        <v>710</v>
      </c>
      <c r="O30" s="376" t="s">
        <v>711</v>
      </c>
    </row>
    <row r="31">
      <c r="C31" s="392">
        <v>17547.0</v>
      </c>
      <c r="D31" s="396">
        <v>7.0003563E7</v>
      </c>
      <c r="E31" s="392" t="s">
        <v>15404</v>
      </c>
      <c r="F31" s="392">
        <v>1.0</v>
      </c>
      <c r="G31" s="374" t="s">
        <v>15365</v>
      </c>
      <c r="H31" s="374">
        <v>1102.0</v>
      </c>
      <c r="J31" s="392">
        <v>17544.0</v>
      </c>
      <c r="K31" s="396">
        <v>7.000356E7</v>
      </c>
      <c r="L31" s="392" t="s">
        <v>15413</v>
      </c>
      <c r="M31" s="392">
        <v>1.0</v>
      </c>
      <c r="N31" s="374" t="s">
        <v>15365</v>
      </c>
      <c r="O31" s="374">
        <v>1102.0</v>
      </c>
    </row>
    <row r="32">
      <c r="C32" s="134">
        <v>24322.0</v>
      </c>
      <c r="D32" s="396">
        <v>7.0007911E7</v>
      </c>
      <c r="E32" s="134" t="s">
        <v>15397</v>
      </c>
      <c r="F32" s="134">
        <v>1.0</v>
      </c>
      <c r="G32" s="374" t="s">
        <v>15365</v>
      </c>
      <c r="H32" s="374">
        <v>1102.0</v>
      </c>
      <c r="J32" s="392">
        <v>17545.0</v>
      </c>
      <c r="K32" s="396">
        <v>7.0003561E7</v>
      </c>
      <c r="L32" s="392" t="s">
        <v>15414</v>
      </c>
      <c r="M32" s="392">
        <v>1.0</v>
      </c>
      <c r="N32" s="374" t="s">
        <v>15365</v>
      </c>
      <c r="O32" s="374">
        <v>1102.0</v>
      </c>
    </row>
    <row r="33">
      <c r="C33" s="392">
        <v>22797.0</v>
      </c>
      <c r="D33" s="7">
        <v>5.0001658E7</v>
      </c>
      <c r="E33" s="392" t="s">
        <v>15386</v>
      </c>
      <c r="F33" s="392">
        <v>2.5</v>
      </c>
      <c r="G33" s="374" t="s">
        <v>15365</v>
      </c>
      <c r="H33" s="374">
        <v>1102.0</v>
      </c>
      <c r="J33" s="392">
        <v>18754.0</v>
      </c>
      <c r="K33" s="396">
        <v>7.0003551E7</v>
      </c>
      <c r="L33" s="392" t="s">
        <v>15415</v>
      </c>
      <c r="M33" s="392">
        <v>1.0</v>
      </c>
      <c r="N33" s="374" t="s">
        <v>15365</v>
      </c>
      <c r="O33" s="374">
        <v>1102.0</v>
      </c>
    </row>
    <row r="34">
      <c r="C34" s="392">
        <v>23710.0</v>
      </c>
      <c r="D34" s="401">
        <v>7.0003569E7</v>
      </c>
      <c r="E34" s="392" t="s">
        <v>15416</v>
      </c>
      <c r="F34" s="392">
        <v>1.0</v>
      </c>
      <c r="G34" s="374" t="s">
        <v>15365</v>
      </c>
      <c r="H34" s="374">
        <v>1102.0</v>
      </c>
      <c r="J34" s="392">
        <v>20725.0</v>
      </c>
      <c r="K34" s="396">
        <v>7.0003042E7</v>
      </c>
      <c r="L34" s="392" t="s">
        <v>15395</v>
      </c>
      <c r="M34" s="392">
        <v>1.0</v>
      </c>
      <c r="N34" s="374" t="s">
        <v>15365</v>
      </c>
      <c r="O34" s="374">
        <v>1102.0</v>
      </c>
    </row>
    <row r="35">
      <c r="C35" s="392">
        <v>9305.0</v>
      </c>
      <c r="D35" s="393">
        <v>5.0001705E7</v>
      </c>
      <c r="E35" s="392" t="s">
        <v>15377</v>
      </c>
      <c r="F35" s="392">
        <v>1.0</v>
      </c>
      <c r="G35" s="374" t="s">
        <v>15365</v>
      </c>
      <c r="H35" s="374">
        <v>1102.0</v>
      </c>
      <c r="J35" s="392">
        <v>22801.0</v>
      </c>
      <c r="K35" s="393">
        <v>5.000163E7</v>
      </c>
      <c r="L35" s="392" t="s">
        <v>15374</v>
      </c>
      <c r="M35" s="392">
        <v>2.0</v>
      </c>
      <c r="N35" s="374" t="s">
        <v>15365</v>
      </c>
      <c r="O35" s="374">
        <v>1102.0</v>
      </c>
    </row>
    <row r="36">
      <c r="C36" s="134">
        <v>23709.0</v>
      </c>
      <c r="D36" s="400">
        <v>7.0005367E7</v>
      </c>
      <c r="E36" s="134" t="s">
        <v>15408</v>
      </c>
      <c r="F36" s="134">
        <v>1.0</v>
      </c>
      <c r="G36" s="374" t="s">
        <v>15365</v>
      </c>
      <c r="H36" s="374">
        <v>1102.0</v>
      </c>
      <c r="J36" s="392">
        <v>9305.0</v>
      </c>
      <c r="K36" s="393">
        <v>5.0001705E7</v>
      </c>
      <c r="L36" s="392" t="s">
        <v>15377</v>
      </c>
      <c r="M36" s="392">
        <v>1.0</v>
      </c>
      <c r="N36" s="374" t="s">
        <v>15365</v>
      </c>
      <c r="O36" s="374">
        <v>1102.0</v>
      </c>
    </row>
    <row r="38">
      <c r="C38" s="402" t="s">
        <v>15417</v>
      </c>
      <c r="D38" s="386"/>
      <c r="E38" s="386"/>
      <c r="F38" s="386"/>
      <c r="G38" s="386"/>
      <c r="H38" s="387"/>
      <c r="J38" s="388" t="s">
        <v>15418</v>
      </c>
      <c r="K38" s="386"/>
      <c r="L38" s="386"/>
      <c r="M38" s="386"/>
      <c r="N38" s="386"/>
      <c r="O38" s="387"/>
    </row>
    <row r="39">
      <c r="C39" s="391" t="s">
        <v>15362</v>
      </c>
      <c r="D39" s="126" t="s">
        <v>707</v>
      </c>
      <c r="E39" s="391" t="s">
        <v>708</v>
      </c>
      <c r="F39" s="397" t="s">
        <v>709</v>
      </c>
      <c r="G39" s="376" t="s">
        <v>710</v>
      </c>
      <c r="H39" s="376" t="s">
        <v>711</v>
      </c>
      <c r="J39" s="391" t="s">
        <v>15362</v>
      </c>
      <c r="K39" s="126" t="s">
        <v>707</v>
      </c>
      <c r="L39" s="391" t="s">
        <v>708</v>
      </c>
      <c r="M39" s="397" t="s">
        <v>709</v>
      </c>
      <c r="N39" s="376" t="s">
        <v>710</v>
      </c>
      <c r="O39" s="376" t="s">
        <v>711</v>
      </c>
    </row>
    <row r="40">
      <c r="C40" s="392">
        <v>22801.0</v>
      </c>
      <c r="D40" s="393">
        <v>5.000163E7</v>
      </c>
      <c r="E40" s="392" t="s">
        <v>15374</v>
      </c>
      <c r="F40" s="392">
        <v>2.0</v>
      </c>
      <c r="G40" s="374" t="s">
        <v>15365</v>
      </c>
      <c r="H40" s="374">
        <v>1102.0</v>
      </c>
      <c r="J40" s="392">
        <v>17547.0</v>
      </c>
      <c r="K40" s="396">
        <v>7.0003563E7</v>
      </c>
      <c r="L40" s="392" t="s">
        <v>15404</v>
      </c>
      <c r="M40" s="392">
        <v>1.0</v>
      </c>
      <c r="N40" s="374" t="s">
        <v>15365</v>
      </c>
      <c r="O40" s="374">
        <v>1102.0</v>
      </c>
    </row>
    <row r="41">
      <c r="C41" s="392">
        <v>16048.0</v>
      </c>
      <c r="D41" s="396">
        <v>7.000235E7</v>
      </c>
      <c r="E41" s="392" t="s">
        <v>15419</v>
      </c>
      <c r="F41" s="392">
        <v>1.0</v>
      </c>
      <c r="G41" s="374" t="s">
        <v>15365</v>
      </c>
      <c r="H41" s="374">
        <v>1102.0</v>
      </c>
      <c r="J41" s="394">
        <v>17548.0</v>
      </c>
      <c r="K41" s="396">
        <v>7.0003564E7</v>
      </c>
      <c r="L41" s="394" t="s">
        <v>15420</v>
      </c>
      <c r="M41" s="394">
        <v>1.0</v>
      </c>
      <c r="N41" s="374" t="s">
        <v>15365</v>
      </c>
      <c r="O41" s="374">
        <v>1102.0</v>
      </c>
    </row>
    <row r="42">
      <c r="C42" s="392">
        <v>17761.0</v>
      </c>
      <c r="D42" s="396">
        <v>7.000357E7</v>
      </c>
      <c r="E42" s="392" t="s">
        <v>15421</v>
      </c>
      <c r="F42" s="392">
        <v>1.0</v>
      </c>
      <c r="G42" s="374" t="s">
        <v>15365</v>
      </c>
      <c r="H42" s="374">
        <v>1102.0</v>
      </c>
      <c r="J42" s="392">
        <v>18753.0</v>
      </c>
      <c r="K42" s="396">
        <v>7.000355E7</v>
      </c>
      <c r="L42" s="392" t="s">
        <v>15422</v>
      </c>
      <c r="M42" s="392">
        <v>1.0</v>
      </c>
      <c r="N42" s="374" t="s">
        <v>15365</v>
      </c>
      <c r="O42" s="374">
        <v>1102.0</v>
      </c>
    </row>
    <row r="43">
      <c r="C43" s="392">
        <v>18751.0</v>
      </c>
      <c r="D43" s="396">
        <v>7.0003548E7</v>
      </c>
      <c r="E43" s="392" t="s">
        <v>15423</v>
      </c>
      <c r="F43" s="392">
        <v>1.0</v>
      </c>
      <c r="G43" s="374" t="s">
        <v>15365</v>
      </c>
      <c r="H43" s="374">
        <v>1102.0</v>
      </c>
      <c r="J43" s="392">
        <v>20715.0</v>
      </c>
      <c r="K43" s="396">
        <v>7.0003037E7</v>
      </c>
      <c r="L43" s="392" t="s">
        <v>15424</v>
      </c>
      <c r="M43" s="392">
        <v>1.0</v>
      </c>
      <c r="N43" s="374" t="s">
        <v>15365</v>
      </c>
      <c r="O43" s="374">
        <v>1102.0</v>
      </c>
    </row>
    <row r="44">
      <c r="C44" s="392">
        <v>9305.0</v>
      </c>
      <c r="D44" s="393">
        <v>5.0001705E7</v>
      </c>
      <c r="E44" s="392" t="s">
        <v>15377</v>
      </c>
      <c r="F44" s="392">
        <v>1.0</v>
      </c>
      <c r="G44" s="374" t="s">
        <v>15365</v>
      </c>
      <c r="H44" s="374">
        <v>1102.0</v>
      </c>
      <c r="J44" s="392">
        <v>22801.0</v>
      </c>
      <c r="K44" s="393">
        <v>5.000163E7</v>
      </c>
      <c r="L44" s="392" t="s">
        <v>15374</v>
      </c>
      <c r="M44" s="392">
        <v>3.0</v>
      </c>
      <c r="N44" s="374" t="s">
        <v>15365</v>
      </c>
      <c r="O44" s="374">
        <v>1102.0</v>
      </c>
    </row>
    <row r="45">
      <c r="J45" s="392">
        <v>9305.0</v>
      </c>
      <c r="K45" s="393">
        <v>5.0001705E7</v>
      </c>
      <c r="L45" s="392" t="s">
        <v>15377</v>
      </c>
      <c r="M45" s="392">
        <v>1.0</v>
      </c>
      <c r="N45" s="374" t="s">
        <v>15365</v>
      </c>
      <c r="O45" s="374">
        <v>1102.0</v>
      </c>
    </row>
    <row r="46">
      <c r="C46" s="388" t="s">
        <v>15380</v>
      </c>
      <c r="D46" s="386"/>
      <c r="E46" s="386"/>
      <c r="F46" s="386"/>
      <c r="G46" s="386"/>
      <c r="H46" s="387"/>
    </row>
    <row r="47">
      <c r="C47" s="391" t="s">
        <v>15362</v>
      </c>
      <c r="D47" s="126" t="s">
        <v>707</v>
      </c>
      <c r="E47" s="391" t="s">
        <v>708</v>
      </c>
      <c r="F47" s="397" t="s">
        <v>709</v>
      </c>
      <c r="G47" s="376" t="s">
        <v>710</v>
      </c>
      <c r="H47" s="376" t="s">
        <v>711</v>
      </c>
      <c r="J47" s="388" t="s">
        <v>15381</v>
      </c>
      <c r="K47" s="386"/>
      <c r="L47" s="386"/>
      <c r="M47" s="386"/>
      <c r="N47" s="386"/>
      <c r="O47" s="387"/>
    </row>
    <row r="48">
      <c r="C48" s="394">
        <v>15957.0</v>
      </c>
      <c r="D48" s="396">
        <v>7.000238E7</v>
      </c>
      <c r="E48" s="394" t="s">
        <v>15425</v>
      </c>
      <c r="F48" s="392">
        <v>1.0</v>
      </c>
      <c r="G48" s="374" t="s">
        <v>15365</v>
      </c>
      <c r="H48" s="374">
        <v>1102.0</v>
      </c>
      <c r="J48" s="391" t="s">
        <v>15362</v>
      </c>
      <c r="K48" s="126" t="s">
        <v>707</v>
      </c>
      <c r="L48" s="391" t="s">
        <v>708</v>
      </c>
      <c r="M48" s="397" t="s">
        <v>709</v>
      </c>
      <c r="N48" s="403" t="s">
        <v>710</v>
      </c>
      <c r="O48" s="403" t="s">
        <v>711</v>
      </c>
    </row>
    <row r="49">
      <c r="C49" s="394">
        <v>15958.0</v>
      </c>
      <c r="D49" s="396">
        <v>7.0002381E7</v>
      </c>
      <c r="E49" s="394" t="s">
        <v>15426</v>
      </c>
      <c r="F49" s="392">
        <v>1.0</v>
      </c>
      <c r="G49" s="374" t="s">
        <v>15365</v>
      </c>
      <c r="H49" s="374">
        <v>1102.0</v>
      </c>
      <c r="J49" s="392">
        <v>15449.0</v>
      </c>
      <c r="K49" s="404">
        <v>7.0002507E7</v>
      </c>
      <c r="L49" s="392" t="s">
        <v>15427</v>
      </c>
      <c r="M49" s="392">
        <v>1.0</v>
      </c>
      <c r="N49" s="364" t="s">
        <v>15365</v>
      </c>
      <c r="O49" s="405">
        <v>1102.0</v>
      </c>
    </row>
    <row r="50">
      <c r="C50" s="394">
        <v>15959.0</v>
      </c>
      <c r="D50" s="396">
        <v>7.0002382E7</v>
      </c>
      <c r="E50" s="394" t="s">
        <v>15428</v>
      </c>
      <c r="F50" s="392">
        <v>1.0</v>
      </c>
      <c r="G50" s="374" t="s">
        <v>15365</v>
      </c>
      <c r="H50" s="374">
        <v>1102.0</v>
      </c>
      <c r="J50" s="392">
        <v>15450.0</v>
      </c>
      <c r="K50" s="404">
        <v>7.0002508E7</v>
      </c>
      <c r="L50" s="392" t="s">
        <v>15429</v>
      </c>
      <c r="M50" s="392">
        <v>1.0</v>
      </c>
      <c r="N50" s="364" t="s">
        <v>15365</v>
      </c>
      <c r="O50" s="405">
        <v>1102.0</v>
      </c>
    </row>
    <row r="51">
      <c r="C51" s="392">
        <v>22801.0</v>
      </c>
      <c r="D51" s="393">
        <v>5.000163E7</v>
      </c>
      <c r="E51" s="392" t="s">
        <v>15374</v>
      </c>
      <c r="F51" s="392">
        <v>2.0</v>
      </c>
      <c r="G51" s="374" t="s">
        <v>15365</v>
      </c>
      <c r="H51" s="374">
        <v>1102.0</v>
      </c>
      <c r="J51" s="392">
        <v>15451.0</v>
      </c>
      <c r="K51" s="404">
        <v>7.0002509E7</v>
      </c>
      <c r="L51" s="392" t="s">
        <v>15430</v>
      </c>
      <c r="M51" s="392">
        <v>1.0</v>
      </c>
      <c r="N51" s="364" t="s">
        <v>15365</v>
      </c>
      <c r="O51" s="405">
        <v>1102.0</v>
      </c>
    </row>
    <row r="52">
      <c r="C52" s="392">
        <v>9305.0</v>
      </c>
      <c r="D52" s="393">
        <v>5.0001705E7</v>
      </c>
      <c r="E52" s="392" t="s">
        <v>15377</v>
      </c>
      <c r="F52" s="392">
        <v>1.0</v>
      </c>
      <c r="G52" s="374" t="s">
        <v>15365</v>
      </c>
      <c r="H52" s="374">
        <v>1102.0</v>
      </c>
      <c r="J52" s="392">
        <v>22801.0</v>
      </c>
      <c r="K52" s="393">
        <v>5.000163E7</v>
      </c>
      <c r="L52" s="392" t="s">
        <v>15374</v>
      </c>
      <c r="M52" s="392">
        <v>1.0</v>
      </c>
      <c r="N52" s="364" t="s">
        <v>15365</v>
      </c>
      <c r="O52" s="405">
        <v>1102.0</v>
      </c>
    </row>
    <row r="53">
      <c r="J53" s="392">
        <v>9305.0</v>
      </c>
      <c r="K53" s="393">
        <v>5.0001705E7</v>
      </c>
      <c r="L53" s="392" t="s">
        <v>15377</v>
      </c>
      <c r="M53" s="392">
        <v>1.0</v>
      </c>
      <c r="N53" s="364" t="s">
        <v>15365</v>
      </c>
      <c r="O53" s="405">
        <v>1102.0</v>
      </c>
    </row>
    <row r="54">
      <c r="C54" s="388" t="s">
        <v>15384</v>
      </c>
      <c r="D54" s="386"/>
      <c r="E54" s="386"/>
      <c r="F54" s="386"/>
      <c r="G54" s="386"/>
      <c r="H54" s="387"/>
      <c r="N54" s="403"/>
      <c r="O54" s="403"/>
    </row>
    <row r="55">
      <c r="C55" s="391" t="s">
        <v>15362</v>
      </c>
      <c r="D55" s="126" t="s">
        <v>707</v>
      </c>
      <c r="E55" s="391" t="s">
        <v>708</v>
      </c>
      <c r="F55" s="397" t="s">
        <v>709</v>
      </c>
      <c r="G55" s="376" t="s">
        <v>710</v>
      </c>
      <c r="H55" s="376" t="s">
        <v>711</v>
      </c>
      <c r="J55" s="388" t="s">
        <v>15385</v>
      </c>
      <c r="K55" s="386"/>
      <c r="L55" s="386"/>
      <c r="M55" s="386"/>
      <c r="N55" s="386"/>
      <c r="O55" s="387"/>
    </row>
    <row r="56">
      <c r="C56" s="392">
        <v>10093.0</v>
      </c>
      <c r="D56" s="406">
        <v>7.0001017E7</v>
      </c>
      <c r="E56" s="392" t="s">
        <v>15431</v>
      </c>
      <c r="F56" s="392">
        <v>1.0</v>
      </c>
      <c r="G56" s="374" t="s">
        <v>15365</v>
      </c>
      <c r="H56" s="374">
        <v>1102.0</v>
      </c>
      <c r="J56" s="391" t="s">
        <v>15362</v>
      </c>
      <c r="K56" s="126" t="s">
        <v>707</v>
      </c>
      <c r="L56" s="391" t="s">
        <v>708</v>
      </c>
      <c r="M56" s="397" t="s">
        <v>709</v>
      </c>
      <c r="N56" s="403" t="s">
        <v>710</v>
      </c>
      <c r="O56" s="403" t="s">
        <v>711</v>
      </c>
    </row>
    <row r="57">
      <c r="C57" s="407">
        <v>25502.0</v>
      </c>
      <c r="D57" s="406">
        <v>7.000863E7</v>
      </c>
      <c r="E57" s="392" t="s">
        <v>15432</v>
      </c>
      <c r="F57" s="392">
        <v>1.0</v>
      </c>
      <c r="G57" s="374" t="s">
        <v>15365</v>
      </c>
      <c r="H57" s="374">
        <v>1102.0</v>
      </c>
      <c r="J57" s="392">
        <v>12306.0</v>
      </c>
      <c r="K57" s="396">
        <v>7.0001902E7</v>
      </c>
      <c r="L57" s="392" t="s">
        <v>15433</v>
      </c>
      <c r="M57" s="392">
        <v>1.0</v>
      </c>
      <c r="N57" s="364" t="s">
        <v>15365</v>
      </c>
      <c r="O57" s="405">
        <v>1102.0</v>
      </c>
    </row>
    <row r="58">
      <c r="C58" s="392"/>
      <c r="D58" s="408">
        <v>7.0005051E7</v>
      </c>
      <c r="E58" s="392" t="s">
        <v>15434</v>
      </c>
      <c r="F58" s="392">
        <v>1.0</v>
      </c>
      <c r="G58" s="374" t="s">
        <v>15365</v>
      </c>
      <c r="H58" s="374">
        <v>1102.0</v>
      </c>
      <c r="J58" s="394">
        <v>24329.0</v>
      </c>
      <c r="K58" s="396">
        <v>7.0005056E7</v>
      </c>
      <c r="L58" s="394" t="s">
        <v>15435</v>
      </c>
      <c r="M58" s="394">
        <v>1.0</v>
      </c>
      <c r="N58" s="364" t="s">
        <v>15365</v>
      </c>
      <c r="O58" s="405">
        <v>1102.0</v>
      </c>
    </row>
    <row r="59">
      <c r="C59" s="392">
        <v>18054.0</v>
      </c>
      <c r="D59" s="396">
        <v>7.0003539E7</v>
      </c>
      <c r="E59" s="392" t="s">
        <v>15436</v>
      </c>
      <c r="F59" s="392">
        <v>1.0</v>
      </c>
      <c r="G59" s="374" t="s">
        <v>15365</v>
      </c>
      <c r="H59" s="374">
        <v>1102.0</v>
      </c>
      <c r="J59" s="392">
        <v>15032.0</v>
      </c>
      <c r="K59" s="396">
        <v>7.0002592E7</v>
      </c>
      <c r="L59" s="392" t="s">
        <v>15437</v>
      </c>
      <c r="M59" s="392">
        <v>1.0</v>
      </c>
      <c r="N59" s="364" t="s">
        <v>15365</v>
      </c>
      <c r="O59" s="405">
        <v>1102.0</v>
      </c>
    </row>
    <row r="60">
      <c r="C60" s="392">
        <v>22801.0</v>
      </c>
      <c r="D60" s="393">
        <v>5.000163E7</v>
      </c>
      <c r="E60" s="392" t="s">
        <v>15374</v>
      </c>
      <c r="F60" s="392">
        <v>2.5</v>
      </c>
      <c r="G60" s="374" t="s">
        <v>15365</v>
      </c>
      <c r="H60" s="374">
        <v>1102.0</v>
      </c>
      <c r="J60" s="392">
        <v>22801.0</v>
      </c>
      <c r="K60" s="393">
        <v>5.000163E7</v>
      </c>
      <c r="L60" s="392" t="s">
        <v>15374</v>
      </c>
      <c r="M60" s="392">
        <v>3.0</v>
      </c>
      <c r="N60" s="364" t="s">
        <v>15365</v>
      </c>
      <c r="O60" s="405">
        <v>1102.0</v>
      </c>
    </row>
    <row r="61">
      <c r="C61" s="392">
        <v>9305.0</v>
      </c>
      <c r="D61" s="393">
        <v>5.0001705E7</v>
      </c>
      <c r="E61" s="392" t="s">
        <v>15377</v>
      </c>
      <c r="F61" s="392">
        <v>1.0</v>
      </c>
      <c r="G61" s="374" t="s">
        <v>15365</v>
      </c>
      <c r="H61" s="374">
        <v>1102.0</v>
      </c>
      <c r="J61" s="392">
        <v>12535.0</v>
      </c>
      <c r="K61" s="396">
        <v>7.0001804E7</v>
      </c>
      <c r="L61" s="392" t="s">
        <v>15434</v>
      </c>
      <c r="M61" s="392">
        <v>1.0</v>
      </c>
      <c r="N61" s="364" t="s">
        <v>15365</v>
      </c>
      <c r="O61" s="405">
        <v>1102.0</v>
      </c>
    </row>
    <row r="62">
      <c r="J62" s="392">
        <v>9305.0</v>
      </c>
      <c r="K62" s="393">
        <v>5.0001705E7</v>
      </c>
      <c r="L62" s="392" t="s">
        <v>15377</v>
      </c>
      <c r="M62" s="392">
        <v>1.0</v>
      </c>
      <c r="N62" s="364" t="s">
        <v>15365</v>
      </c>
      <c r="O62" s="405">
        <v>1102.0</v>
      </c>
    </row>
    <row r="63">
      <c r="C63" s="388" t="s">
        <v>15388</v>
      </c>
      <c r="D63" s="386"/>
      <c r="E63" s="386"/>
      <c r="F63" s="386"/>
      <c r="G63" s="386"/>
      <c r="H63" s="387"/>
    </row>
    <row r="64">
      <c r="C64" s="391" t="s">
        <v>15362</v>
      </c>
      <c r="E64" s="391" t="s">
        <v>708</v>
      </c>
      <c r="F64" s="397" t="s">
        <v>709</v>
      </c>
      <c r="G64" s="376" t="s">
        <v>710</v>
      </c>
      <c r="H64" s="376" t="s">
        <v>711</v>
      </c>
      <c r="J64" s="388" t="s">
        <v>15391</v>
      </c>
      <c r="K64" s="386"/>
      <c r="L64" s="386"/>
      <c r="M64" s="386"/>
      <c r="N64" s="386"/>
      <c r="O64" s="387"/>
    </row>
    <row r="65">
      <c r="C65" s="392">
        <v>13271.0</v>
      </c>
      <c r="D65" s="396">
        <v>7.0001404E7</v>
      </c>
      <c r="E65" s="392" t="s">
        <v>15438</v>
      </c>
      <c r="F65" s="392">
        <v>1.0</v>
      </c>
      <c r="G65" s="374" t="s">
        <v>15365</v>
      </c>
      <c r="H65" s="374">
        <v>1102.0</v>
      </c>
      <c r="J65" s="391" t="s">
        <v>15362</v>
      </c>
      <c r="L65" s="391" t="s">
        <v>708</v>
      </c>
      <c r="M65" s="397" t="s">
        <v>709</v>
      </c>
      <c r="N65" s="403" t="s">
        <v>710</v>
      </c>
      <c r="O65" s="403" t="s">
        <v>711</v>
      </c>
    </row>
    <row r="66">
      <c r="C66" s="392">
        <v>13337.0</v>
      </c>
      <c r="D66" s="396">
        <v>7.0001367E7</v>
      </c>
      <c r="E66" s="392" t="s">
        <v>15439</v>
      </c>
      <c r="F66" s="392">
        <v>1.0</v>
      </c>
      <c r="G66" s="374" t="s">
        <v>15365</v>
      </c>
      <c r="H66" s="374">
        <v>1102.0</v>
      </c>
      <c r="J66" s="392">
        <v>10012.0</v>
      </c>
      <c r="K66" s="396">
        <v>7.0001066E7</v>
      </c>
      <c r="L66" s="392" t="s">
        <v>15440</v>
      </c>
      <c r="M66" s="392">
        <v>1.0</v>
      </c>
      <c r="N66" s="364" t="s">
        <v>15365</v>
      </c>
      <c r="O66" s="405">
        <v>1102.0</v>
      </c>
    </row>
    <row r="67">
      <c r="C67" s="392">
        <v>14464.0</v>
      </c>
      <c r="D67" s="396">
        <v>7.0002787E7</v>
      </c>
      <c r="E67" s="392" t="s">
        <v>15441</v>
      </c>
      <c r="F67" s="392">
        <v>1.0</v>
      </c>
      <c r="G67" s="374" t="s">
        <v>15365</v>
      </c>
      <c r="H67" s="374">
        <v>1102.0</v>
      </c>
      <c r="J67" s="392">
        <v>13939.0</v>
      </c>
      <c r="K67" s="396">
        <v>7.0001107E7</v>
      </c>
      <c r="L67" s="392" t="s">
        <v>15442</v>
      </c>
      <c r="M67" s="392">
        <v>1.0</v>
      </c>
      <c r="N67" s="364" t="s">
        <v>15365</v>
      </c>
      <c r="O67" s="405">
        <v>1102.0</v>
      </c>
    </row>
    <row r="68">
      <c r="C68" s="392">
        <v>14493.0</v>
      </c>
      <c r="D68" s="396">
        <v>7.0002765E7</v>
      </c>
      <c r="E68" s="392" t="s">
        <v>15443</v>
      </c>
      <c r="F68" s="392">
        <v>1.0</v>
      </c>
      <c r="G68" s="374" t="s">
        <v>15365</v>
      </c>
      <c r="H68" s="374">
        <v>1102.0</v>
      </c>
      <c r="J68" s="392">
        <v>22801.0</v>
      </c>
      <c r="K68" s="393">
        <v>5.000163E7</v>
      </c>
      <c r="L68" s="392" t="s">
        <v>15374</v>
      </c>
      <c r="M68" s="392">
        <v>2.0</v>
      </c>
      <c r="N68" s="364" t="s">
        <v>15365</v>
      </c>
      <c r="O68" s="405">
        <v>1102.0</v>
      </c>
    </row>
    <row r="69">
      <c r="C69" s="392">
        <v>22801.0</v>
      </c>
      <c r="D69" s="393">
        <v>5.000163E7</v>
      </c>
      <c r="E69" s="392" t="s">
        <v>15374</v>
      </c>
      <c r="F69" s="392">
        <v>2.0</v>
      </c>
      <c r="G69" s="374" t="s">
        <v>15365</v>
      </c>
      <c r="H69" s="374">
        <v>1102.0</v>
      </c>
      <c r="J69" s="394">
        <v>8219.0</v>
      </c>
      <c r="K69" s="400">
        <v>7.0007856E7</v>
      </c>
      <c r="L69" s="392" t="s">
        <v>15434</v>
      </c>
      <c r="M69" s="394">
        <v>2.0</v>
      </c>
      <c r="N69" s="364" t="s">
        <v>15365</v>
      </c>
      <c r="O69" s="405">
        <v>1102.0</v>
      </c>
    </row>
    <row r="70">
      <c r="C70" s="392">
        <v>9305.0</v>
      </c>
      <c r="D70" s="393">
        <v>5.0001705E7</v>
      </c>
      <c r="E70" s="392" t="s">
        <v>15377</v>
      </c>
      <c r="F70" s="392">
        <v>1.0</v>
      </c>
      <c r="G70" s="374" t="s">
        <v>15365</v>
      </c>
      <c r="H70" s="374">
        <v>1102.0</v>
      </c>
      <c r="J70" s="392">
        <v>9305.0</v>
      </c>
      <c r="K70" s="393">
        <v>5.0001705E7</v>
      </c>
      <c r="L70" s="392" t="s">
        <v>15377</v>
      </c>
      <c r="M70" s="392">
        <v>1.0</v>
      </c>
      <c r="N70" s="364" t="s">
        <v>15365</v>
      </c>
      <c r="O70" s="405">
        <v>1102.0</v>
      </c>
    </row>
    <row r="72">
      <c r="C72" s="388" t="s">
        <v>15394</v>
      </c>
      <c r="D72" s="386"/>
      <c r="E72" s="386"/>
      <c r="F72" s="386"/>
      <c r="G72" s="386"/>
      <c r="H72" s="387"/>
      <c r="J72" s="388" t="s">
        <v>15396</v>
      </c>
      <c r="K72" s="386"/>
      <c r="L72" s="386"/>
      <c r="M72" s="386"/>
      <c r="N72" s="386"/>
      <c r="O72" s="387"/>
    </row>
    <row r="73">
      <c r="C73" s="391" t="s">
        <v>15362</v>
      </c>
      <c r="D73" s="126" t="s">
        <v>707</v>
      </c>
      <c r="E73" s="391" t="s">
        <v>708</v>
      </c>
      <c r="F73" s="397" t="s">
        <v>709</v>
      </c>
      <c r="G73" s="376" t="s">
        <v>710</v>
      </c>
      <c r="H73" s="376" t="s">
        <v>711</v>
      </c>
      <c r="J73" s="391" t="s">
        <v>15362</v>
      </c>
      <c r="K73" s="126" t="s">
        <v>707</v>
      </c>
      <c r="L73" s="391" t="s">
        <v>708</v>
      </c>
      <c r="M73" s="397" t="s">
        <v>709</v>
      </c>
      <c r="N73" s="403" t="s">
        <v>710</v>
      </c>
      <c r="O73" s="403" t="s">
        <v>711</v>
      </c>
    </row>
    <row r="74">
      <c r="C74" s="392">
        <v>10303.0</v>
      </c>
      <c r="D74" s="396">
        <v>7.0000938E7</v>
      </c>
      <c r="E74" s="392" t="s">
        <v>15444</v>
      </c>
      <c r="F74" s="392">
        <v>1.0</v>
      </c>
      <c r="G74" s="374" t="s">
        <v>15365</v>
      </c>
      <c r="H74" s="374">
        <v>1102.0</v>
      </c>
      <c r="J74" s="392">
        <v>12291.0</v>
      </c>
      <c r="K74" s="396">
        <v>7.0008332E7</v>
      </c>
      <c r="L74" s="392" t="s">
        <v>15445</v>
      </c>
      <c r="M74" s="392">
        <v>1.0</v>
      </c>
      <c r="N74" s="364" t="s">
        <v>15365</v>
      </c>
      <c r="O74" s="405">
        <v>1102.0</v>
      </c>
    </row>
    <row r="75">
      <c r="C75" s="392">
        <v>14464.0</v>
      </c>
      <c r="D75" s="396">
        <v>7.0002787E7</v>
      </c>
      <c r="E75" s="392" t="s">
        <v>15441</v>
      </c>
      <c r="F75" s="392">
        <v>1.0</v>
      </c>
      <c r="G75" s="374" t="s">
        <v>15365</v>
      </c>
      <c r="H75" s="374">
        <v>1102.0</v>
      </c>
      <c r="J75" s="392">
        <v>2185.0</v>
      </c>
      <c r="K75" s="396">
        <v>7.0004423E7</v>
      </c>
      <c r="L75" s="392" t="s">
        <v>15446</v>
      </c>
      <c r="M75" s="392">
        <v>1.0</v>
      </c>
      <c r="N75" s="364" t="s">
        <v>15365</v>
      </c>
      <c r="O75" s="405">
        <v>1102.0</v>
      </c>
    </row>
    <row r="76">
      <c r="C76" s="392">
        <v>14493.0</v>
      </c>
      <c r="D76" s="396">
        <v>7.0002765E7</v>
      </c>
      <c r="E76" s="392" t="s">
        <v>15443</v>
      </c>
      <c r="F76" s="392">
        <v>1.0</v>
      </c>
      <c r="G76" s="374" t="s">
        <v>15365</v>
      </c>
      <c r="H76" s="374">
        <v>1102.0</v>
      </c>
      <c r="J76" s="392">
        <v>22801.0</v>
      </c>
      <c r="K76" s="393">
        <v>5.000163E7</v>
      </c>
      <c r="L76" s="392" t="s">
        <v>15374</v>
      </c>
      <c r="M76" s="392">
        <v>1.0</v>
      </c>
      <c r="N76" s="364" t="s">
        <v>15365</v>
      </c>
      <c r="O76" s="405">
        <v>1102.0</v>
      </c>
    </row>
    <row r="77">
      <c r="C77" s="392">
        <v>22801.0</v>
      </c>
      <c r="D77" s="393">
        <v>5.000163E7</v>
      </c>
      <c r="E77" s="392" t="s">
        <v>15374</v>
      </c>
      <c r="F77" s="392">
        <v>2.0</v>
      </c>
      <c r="G77" s="374" t="s">
        <v>15365</v>
      </c>
      <c r="H77" s="374">
        <v>1102.0</v>
      </c>
      <c r="J77" s="392">
        <v>905.0</v>
      </c>
      <c r="K77" s="396">
        <v>7.0007741E7</v>
      </c>
      <c r="L77" s="392" t="s">
        <v>15447</v>
      </c>
      <c r="M77" s="392">
        <v>1.0</v>
      </c>
      <c r="N77" s="364" t="s">
        <v>15365</v>
      </c>
      <c r="O77" s="405">
        <v>1102.0</v>
      </c>
    </row>
    <row r="78">
      <c r="C78" s="392">
        <v>9305.0</v>
      </c>
      <c r="D78" s="393">
        <v>5.0001705E7</v>
      </c>
      <c r="E78" s="392" t="s">
        <v>15377</v>
      </c>
      <c r="F78" s="392">
        <v>1.0</v>
      </c>
      <c r="G78" s="374" t="s">
        <v>15365</v>
      </c>
      <c r="H78" s="374">
        <v>1102.0</v>
      </c>
      <c r="J78" s="392">
        <v>9305.0</v>
      </c>
      <c r="K78" s="393">
        <v>5.0001705E7</v>
      </c>
      <c r="L78" s="392" t="s">
        <v>15377</v>
      </c>
      <c r="M78" s="392">
        <v>1.0</v>
      </c>
      <c r="N78" s="364" t="s">
        <v>15365</v>
      </c>
      <c r="O78" s="405">
        <v>1102.0</v>
      </c>
    </row>
    <row r="79">
      <c r="C79" s="392">
        <v>9805.0</v>
      </c>
      <c r="D79" s="396">
        <v>7.0007594E7</v>
      </c>
      <c r="E79" s="392" t="s">
        <v>15448</v>
      </c>
      <c r="F79" s="392">
        <v>1.0</v>
      </c>
      <c r="G79" s="374" t="s">
        <v>15365</v>
      </c>
      <c r="H79" s="374">
        <v>1102.0</v>
      </c>
    </row>
    <row r="80">
      <c r="J80" s="388" t="s">
        <v>705</v>
      </c>
      <c r="K80" s="386"/>
      <c r="L80" s="386"/>
      <c r="M80" s="386"/>
      <c r="N80" s="386"/>
      <c r="O80" s="387"/>
    </row>
    <row r="81">
      <c r="C81" s="409" t="s">
        <v>15398</v>
      </c>
      <c r="D81" s="386"/>
      <c r="E81" s="386"/>
      <c r="F81" s="386"/>
      <c r="G81" s="386"/>
      <c r="H81" s="387"/>
      <c r="J81" s="391" t="s">
        <v>15362</v>
      </c>
      <c r="K81" s="7" t="s">
        <v>707</v>
      </c>
      <c r="L81" s="391" t="s">
        <v>708</v>
      </c>
      <c r="M81" s="397" t="s">
        <v>709</v>
      </c>
      <c r="N81" s="403" t="s">
        <v>710</v>
      </c>
      <c r="O81" s="403" t="s">
        <v>711</v>
      </c>
    </row>
    <row r="82">
      <c r="C82" s="391" t="s">
        <v>15362</v>
      </c>
      <c r="D82" s="126" t="s">
        <v>707</v>
      </c>
      <c r="E82" s="391" t="s">
        <v>708</v>
      </c>
      <c r="F82" s="397" t="s">
        <v>709</v>
      </c>
      <c r="G82" s="376" t="s">
        <v>710</v>
      </c>
      <c r="H82" s="376" t="s">
        <v>711</v>
      </c>
      <c r="J82" s="392">
        <v>10022.0</v>
      </c>
      <c r="K82" s="396">
        <v>7.0001071E7</v>
      </c>
      <c r="L82" s="392" t="s">
        <v>15449</v>
      </c>
      <c r="M82" s="392">
        <v>1.0</v>
      </c>
      <c r="N82" s="364" t="s">
        <v>15365</v>
      </c>
      <c r="O82" s="405">
        <v>1102.0</v>
      </c>
    </row>
    <row r="83">
      <c r="C83" s="392">
        <v>12535.0</v>
      </c>
      <c r="D83" s="396">
        <v>7.0001804E7</v>
      </c>
      <c r="E83" s="392" t="s">
        <v>15434</v>
      </c>
      <c r="F83" s="392">
        <v>1.0</v>
      </c>
      <c r="G83" s="374" t="s">
        <v>15365</v>
      </c>
      <c r="H83" s="374">
        <v>1102.0</v>
      </c>
      <c r="J83" s="392">
        <v>12535.0</v>
      </c>
      <c r="K83" s="396">
        <v>7.0001804E7</v>
      </c>
      <c r="L83" s="392" t="s">
        <v>15434</v>
      </c>
      <c r="M83" s="392">
        <v>1.0</v>
      </c>
      <c r="N83" s="364" t="s">
        <v>15365</v>
      </c>
      <c r="O83" s="405">
        <v>1102.0</v>
      </c>
    </row>
    <row r="84">
      <c r="C84" s="392">
        <v>13556.0</v>
      </c>
      <c r="D84" s="396">
        <v>7.0001313E7</v>
      </c>
      <c r="E84" s="392" t="s">
        <v>15450</v>
      </c>
      <c r="F84" s="392">
        <v>1.0</v>
      </c>
      <c r="G84" s="374" t="s">
        <v>15365</v>
      </c>
      <c r="H84" s="374">
        <v>1102.0</v>
      </c>
      <c r="J84" s="392">
        <v>13556.0</v>
      </c>
      <c r="K84" s="396">
        <v>7.0001313E7</v>
      </c>
      <c r="L84" s="392" t="s">
        <v>15450</v>
      </c>
      <c r="M84" s="392">
        <v>1.0</v>
      </c>
      <c r="N84" s="364" t="s">
        <v>15365</v>
      </c>
      <c r="O84" s="405">
        <v>1102.0</v>
      </c>
    </row>
    <row r="85">
      <c r="C85" s="392">
        <v>13847.0</v>
      </c>
      <c r="D85" s="396">
        <v>7.0001179E7</v>
      </c>
      <c r="E85" s="392" t="s">
        <v>15451</v>
      </c>
      <c r="F85" s="392">
        <v>1.0</v>
      </c>
      <c r="G85" s="374" t="s">
        <v>15365</v>
      </c>
      <c r="H85" s="374">
        <v>1102.0</v>
      </c>
      <c r="J85" s="392">
        <v>2190.0</v>
      </c>
      <c r="K85" s="396">
        <v>7.0004394E7</v>
      </c>
      <c r="L85" s="392" t="s">
        <v>15452</v>
      </c>
      <c r="M85" s="392">
        <v>1.0</v>
      </c>
      <c r="N85" s="364" t="s">
        <v>15365</v>
      </c>
      <c r="O85" s="405">
        <v>1102.0</v>
      </c>
    </row>
    <row r="86">
      <c r="C86" s="392">
        <v>2190.0</v>
      </c>
      <c r="D86" s="396">
        <v>7.0004394E7</v>
      </c>
      <c r="E86" s="392" t="s">
        <v>15452</v>
      </c>
      <c r="F86" s="392">
        <v>1.0</v>
      </c>
      <c r="G86" s="374" t="s">
        <v>15365</v>
      </c>
      <c r="H86" s="374">
        <v>1102.0</v>
      </c>
      <c r="J86" s="392">
        <v>22801.0</v>
      </c>
      <c r="K86" s="396">
        <v>5.000163E7</v>
      </c>
      <c r="L86" s="392" t="s">
        <v>15374</v>
      </c>
      <c r="M86" s="392">
        <v>12.0</v>
      </c>
      <c r="N86" s="364" t="s">
        <v>15365</v>
      </c>
      <c r="O86" s="405">
        <v>1102.0</v>
      </c>
    </row>
    <row r="87">
      <c r="C87" s="392">
        <v>22801.0</v>
      </c>
      <c r="D87" s="393">
        <v>5.000163E7</v>
      </c>
      <c r="E87" s="392" t="s">
        <v>15374</v>
      </c>
      <c r="F87" s="392">
        <v>12.0</v>
      </c>
      <c r="G87" s="374" t="s">
        <v>15365</v>
      </c>
      <c r="H87" s="374">
        <v>1102.0</v>
      </c>
      <c r="J87" s="392">
        <v>9305.0</v>
      </c>
      <c r="K87" s="396">
        <v>5.0001705E7</v>
      </c>
      <c r="L87" s="392" t="s">
        <v>15377</v>
      </c>
      <c r="M87" s="392">
        <v>1.0</v>
      </c>
      <c r="N87" s="364" t="s">
        <v>15365</v>
      </c>
      <c r="O87" s="405">
        <v>1102.0</v>
      </c>
    </row>
    <row r="88">
      <c r="C88" s="392">
        <v>9305.0</v>
      </c>
      <c r="D88" s="393">
        <v>5.0001705E7</v>
      </c>
      <c r="E88" s="392" t="s">
        <v>15377</v>
      </c>
      <c r="F88" s="392">
        <v>1.0</v>
      </c>
      <c r="G88" s="374" t="s">
        <v>15365</v>
      </c>
      <c r="H88" s="374">
        <v>1102.0</v>
      </c>
    </row>
    <row r="89">
      <c r="J89" s="409" t="s">
        <v>15399</v>
      </c>
      <c r="K89" s="386"/>
      <c r="L89" s="386"/>
      <c r="M89" s="386"/>
      <c r="N89" s="386"/>
      <c r="O89" s="387"/>
    </row>
    <row r="90">
      <c r="C90" s="409" t="s">
        <v>15402</v>
      </c>
      <c r="D90" s="386"/>
      <c r="E90" s="386"/>
      <c r="F90" s="386"/>
      <c r="G90" s="386"/>
      <c r="H90" s="387"/>
      <c r="J90" s="391" t="s">
        <v>15362</v>
      </c>
      <c r="L90" s="391" t="s">
        <v>708</v>
      </c>
      <c r="M90" s="397" t="s">
        <v>709</v>
      </c>
      <c r="N90" s="403" t="s">
        <v>710</v>
      </c>
      <c r="O90" s="403" t="s">
        <v>711</v>
      </c>
    </row>
    <row r="91">
      <c r="C91" s="391" t="s">
        <v>15362</v>
      </c>
      <c r="D91" s="126" t="s">
        <v>707</v>
      </c>
      <c r="E91" s="391" t="s">
        <v>708</v>
      </c>
      <c r="F91" s="397" t="s">
        <v>709</v>
      </c>
      <c r="G91" s="376" t="s">
        <v>710</v>
      </c>
      <c r="H91" s="376" t="s">
        <v>711</v>
      </c>
      <c r="J91" s="392">
        <v>10040.0</v>
      </c>
      <c r="K91" s="396">
        <v>7.0001048E7</v>
      </c>
      <c r="L91" s="392" t="s">
        <v>15453</v>
      </c>
      <c r="M91" s="392">
        <v>1.0</v>
      </c>
      <c r="N91" s="364" t="s">
        <v>15365</v>
      </c>
      <c r="O91" s="405">
        <v>1102.0</v>
      </c>
    </row>
    <row r="92">
      <c r="C92" s="392">
        <v>21595.0</v>
      </c>
      <c r="D92" s="396">
        <v>7.0004573E7</v>
      </c>
      <c r="E92" s="392" t="s">
        <v>15454</v>
      </c>
      <c r="F92" s="392">
        <v>1.0</v>
      </c>
      <c r="G92" s="374" t="s">
        <v>15365</v>
      </c>
      <c r="H92" s="374">
        <v>1102.0</v>
      </c>
      <c r="J92" s="392">
        <v>12535.0</v>
      </c>
      <c r="K92" s="396">
        <v>7.0001804E7</v>
      </c>
      <c r="L92" s="392" t="s">
        <v>15434</v>
      </c>
      <c r="M92" s="392">
        <v>1.0</v>
      </c>
      <c r="N92" s="364" t="s">
        <v>15365</v>
      </c>
      <c r="O92" s="405">
        <v>1102.0</v>
      </c>
    </row>
    <row r="93">
      <c r="C93" s="392">
        <v>21596.0</v>
      </c>
      <c r="D93" s="396">
        <v>7.0004574E7</v>
      </c>
      <c r="E93" s="392" t="s">
        <v>15455</v>
      </c>
      <c r="F93" s="392">
        <v>1.0</v>
      </c>
      <c r="G93" s="374" t="s">
        <v>15365</v>
      </c>
      <c r="H93" s="374">
        <v>1102.0</v>
      </c>
      <c r="J93" s="392">
        <v>13556.0</v>
      </c>
      <c r="K93" s="396">
        <v>7.0001313E7</v>
      </c>
      <c r="L93" s="392" t="s">
        <v>15450</v>
      </c>
      <c r="M93" s="392">
        <v>1.0</v>
      </c>
      <c r="N93" s="364" t="s">
        <v>15365</v>
      </c>
      <c r="O93" s="405">
        <v>1102.0</v>
      </c>
    </row>
    <row r="94">
      <c r="C94" s="392">
        <v>21597.0</v>
      </c>
      <c r="D94" s="396">
        <v>7.0004575E7</v>
      </c>
      <c r="E94" s="392" t="s">
        <v>15456</v>
      </c>
      <c r="F94" s="392">
        <v>1.0</v>
      </c>
      <c r="G94" s="374" t="s">
        <v>15365</v>
      </c>
      <c r="H94" s="374">
        <v>1102.0</v>
      </c>
      <c r="J94" s="392">
        <v>2190.0</v>
      </c>
      <c r="K94" s="396">
        <v>7.0004394E7</v>
      </c>
      <c r="L94" s="392" t="s">
        <v>15452</v>
      </c>
      <c r="M94" s="392">
        <v>1.0</v>
      </c>
      <c r="N94" s="364" t="s">
        <v>15365</v>
      </c>
      <c r="O94" s="405">
        <v>1102.0</v>
      </c>
    </row>
    <row r="95">
      <c r="C95" s="394">
        <v>24324.0</v>
      </c>
      <c r="D95" s="396">
        <v>7.0005052E7</v>
      </c>
      <c r="E95" s="394" t="s">
        <v>15457</v>
      </c>
      <c r="F95" s="392">
        <v>1.0</v>
      </c>
      <c r="G95" s="374" t="s">
        <v>15365</v>
      </c>
      <c r="H95" s="374">
        <v>1102.0</v>
      </c>
      <c r="J95" s="392">
        <v>22801.0</v>
      </c>
      <c r="K95" s="393">
        <v>5.000163E7</v>
      </c>
      <c r="L95" s="392" t="s">
        <v>15374</v>
      </c>
      <c r="M95" s="392">
        <v>12.0</v>
      </c>
      <c r="N95" s="364" t="s">
        <v>15365</v>
      </c>
      <c r="O95" s="405">
        <v>1102.0</v>
      </c>
    </row>
    <row r="96">
      <c r="C96" s="392">
        <v>21599.0</v>
      </c>
      <c r="D96" s="396">
        <v>7.0004577E7</v>
      </c>
      <c r="E96" s="392" t="s">
        <v>15458</v>
      </c>
      <c r="F96" s="392">
        <v>1.0</v>
      </c>
      <c r="G96" s="374" t="s">
        <v>15365</v>
      </c>
      <c r="H96" s="374">
        <v>1102.0</v>
      </c>
      <c r="J96" s="392">
        <v>9305.0</v>
      </c>
      <c r="K96" s="393">
        <v>5.0001705E7</v>
      </c>
      <c r="L96" s="392" t="s">
        <v>15377</v>
      </c>
      <c r="M96" s="392">
        <v>1.0</v>
      </c>
      <c r="N96" s="364" t="s">
        <v>15365</v>
      </c>
      <c r="O96" s="405">
        <v>1102.0</v>
      </c>
    </row>
    <row r="97">
      <c r="C97" s="392">
        <v>21646.0</v>
      </c>
      <c r="D97" s="396">
        <v>7.0004543E7</v>
      </c>
      <c r="E97" s="392" t="s">
        <v>15459</v>
      </c>
      <c r="F97" s="392">
        <v>1.0</v>
      </c>
      <c r="G97" s="374" t="s">
        <v>15365</v>
      </c>
      <c r="H97" s="374">
        <v>1102.0</v>
      </c>
    </row>
    <row r="98">
      <c r="C98" s="392">
        <v>22801.0</v>
      </c>
      <c r="D98" s="393">
        <v>5.000163E7</v>
      </c>
      <c r="E98" s="392" t="s">
        <v>15374</v>
      </c>
      <c r="F98" s="392">
        <v>12.0</v>
      </c>
      <c r="G98" s="374" t="s">
        <v>15365</v>
      </c>
      <c r="H98" s="374">
        <v>1102.0</v>
      </c>
      <c r="J98" s="409" t="s">
        <v>15403</v>
      </c>
      <c r="K98" s="386"/>
      <c r="L98" s="386"/>
      <c r="M98" s="386"/>
      <c r="N98" s="386"/>
      <c r="O98" s="387"/>
    </row>
    <row r="99">
      <c r="C99" s="180">
        <v>9305.0</v>
      </c>
      <c r="D99" s="393">
        <v>5.0001705E7</v>
      </c>
      <c r="E99" s="180" t="s">
        <v>15377</v>
      </c>
      <c r="F99" s="180">
        <v>1.0</v>
      </c>
      <c r="G99" s="374" t="s">
        <v>15365</v>
      </c>
      <c r="H99" s="374">
        <v>1102.0</v>
      </c>
      <c r="J99" s="391" t="s">
        <v>15362</v>
      </c>
      <c r="L99" s="391" t="s">
        <v>708</v>
      </c>
      <c r="M99" s="397" t="s">
        <v>709</v>
      </c>
      <c r="N99" s="403" t="s">
        <v>710</v>
      </c>
      <c r="O99" s="403" t="s">
        <v>711</v>
      </c>
    </row>
    <row r="100">
      <c r="C100" s="111"/>
      <c r="D100" s="111"/>
      <c r="E100" s="111"/>
      <c r="J100" s="392">
        <v>21595.0</v>
      </c>
      <c r="K100" s="396">
        <v>7.0004573E7</v>
      </c>
      <c r="L100" s="392" t="s">
        <v>15454</v>
      </c>
      <c r="M100" s="392">
        <v>1.0</v>
      </c>
      <c r="N100" s="364" t="s">
        <v>15365</v>
      </c>
      <c r="O100" s="405">
        <v>1102.0</v>
      </c>
    </row>
    <row r="101">
      <c r="C101" s="409" t="s">
        <v>15405</v>
      </c>
      <c r="D101" s="386"/>
      <c r="E101" s="386"/>
      <c r="F101" s="386"/>
      <c r="G101" s="386"/>
      <c r="H101" s="387"/>
      <c r="J101" s="392">
        <v>21596.0</v>
      </c>
      <c r="K101" s="396">
        <v>7.0004574E7</v>
      </c>
      <c r="L101" s="392" t="s">
        <v>15455</v>
      </c>
      <c r="M101" s="392">
        <v>1.0</v>
      </c>
      <c r="N101" s="364" t="s">
        <v>15365</v>
      </c>
      <c r="O101" s="405">
        <v>1102.0</v>
      </c>
    </row>
    <row r="102">
      <c r="C102" s="391" t="s">
        <v>15362</v>
      </c>
      <c r="D102" s="126" t="s">
        <v>707</v>
      </c>
      <c r="E102" s="391" t="s">
        <v>708</v>
      </c>
      <c r="F102" s="397" t="s">
        <v>709</v>
      </c>
      <c r="G102" s="376" t="s">
        <v>710</v>
      </c>
      <c r="H102" s="376" t="s">
        <v>711</v>
      </c>
      <c r="J102" s="392">
        <v>21599.0</v>
      </c>
      <c r="K102" s="396">
        <v>7.0004577E7</v>
      </c>
      <c r="L102" s="392" t="s">
        <v>15458</v>
      </c>
      <c r="M102" s="392">
        <v>1.0</v>
      </c>
      <c r="N102" s="364" t="s">
        <v>15365</v>
      </c>
      <c r="O102" s="405">
        <v>1102.0</v>
      </c>
    </row>
    <row r="103">
      <c r="C103" s="392">
        <v>13964.0</v>
      </c>
      <c r="D103" s="396">
        <v>7.0001119E7</v>
      </c>
      <c r="E103" s="392" t="s">
        <v>15460</v>
      </c>
      <c r="F103" s="392">
        <v>1.0</v>
      </c>
      <c r="G103" s="374" t="s">
        <v>15365</v>
      </c>
      <c r="H103" s="374">
        <v>1102.0</v>
      </c>
      <c r="J103" s="392">
        <v>22797.0</v>
      </c>
      <c r="K103" s="7">
        <v>5.0001658E7</v>
      </c>
      <c r="L103" s="392" t="s">
        <v>15386</v>
      </c>
      <c r="M103" s="392">
        <v>12.0</v>
      </c>
      <c r="N103" s="364" t="s">
        <v>15365</v>
      </c>
      <c r="O103" s="405">
        <v>1102.0</v>
      </c>
    </row>
    <row r="104">
      <c r="C104" s="392">
        <v>13965.0</v>
      </c>
      <c r="D104" s="396">
        <v>7.000112E7</v>
      </c>
      <c r="E104" s="392" t="s">
        <v>15461</v>
      </c>
      <c r="F104" s="392">
        <v>1.0</v>
      </c>
      <c r="G104" s="374" t="s">
        <v>15365</v>
      </c>
      <c r="H104" s="374">
        <v>1102.0</v>
      </c>
      <c r="J104" s="392">
        <v>9305.0</v>
      </c>
      <c r="K104" s="393">
        <v>5.0001705E7</v>
      </c>
      <c r="L104" s="392" t="s">
        <v>15377</v>
      </c>
      <c r="M104" s="392">
        <v>1.0</v>
      </c>
      <c r="N104" s="364" t="s">
        <v>15365</v>
      </c>
      <c r="O104" s="405">
        <v>1102.0</v>
      </c>
    </row>
    <row r="105">
      <c r="C105" s="392">
        <v>13966.0</v>
      </c>
      <c r="D105" s="396">
        <v>7.0001121E7</v>
      </c>
      <c r="E105" s="392" t="s">
        <v>15462</v>
      </c>
      <c r="F105" s="392">
        <v>2.0</v>
      </c>
      <c r="G105" s="374" t="s">
        <v>15365</v>
      </c>
      <c r="H105" s="374">
        <v>1102.0</v>
      </c>
      <c r="J105" s="394">
        <v>24324.0</v>
      </c>
      <c r="K105" s="396">
        <v>7.0005052E7</v>
      </c>
      <c r="L105" s="394" t="s">
        <v>15457</v>
      </c>
      <c r="M105" s="392">
        <v>1.0</v>
      </c>
      <c r="N105" s="364" t="s">
        <v>15365</v>
      </c>
      <c r="O105" s="405">
        <v>1102.0</v>
      </c>
    </row>
    <row r="106">
      <c r="C106" s="392">
        <v>13967.0</v>
      </c>
      <c r="D106" s="396">
        <v>7.000109E7</v>
      </c>
      <c r="E106" s="392" t="s">
        <v>15463</v>
      </c>
      <c r="F106" s="392">
        <v>1.0</v>
      </c>
      <c r="G106" s="374" t="s">
        <v>15365</v>
      </c>
      <c r="H106" s="374">
        <v>1102.0</v>
      </c>
      <c r="J106" s="111"/>
      <c r="K106" s="111"/>
      <c r="L106" s="111"/>
    </row>
    <row r="107">
      <c r="C107" s="392">
        <v>20572.0</v>
      </c>
      <c r="D107" s="396">
        <v>7.0003533E7</v>
      </c>
      <c r="E107" s="392" t="s">
        <v>15464</v>
      </c>
      <c r="F107" s="392">
        <v>1.0</v>
      </c>
      <c r="G107" s="374" t="s">
        <v>15365</v>
      </c>
      <c r="H107" s="374">
        <v>1102.0</v>
      </c>
      <c r="J107" s="409" t="s">
        <v>15407</v>
      </c>
      <c r="K107" s="386"/>
      <c r="L107" s="386"/>
      <c r="M107" s="386"/>
      <c r="N107" s="386"/>
      <c r="O107" s="387"/>
    </row>
    <row r="108">
      <c r="C108" s="392">
        <v>22801.0</v>
      </c>
      <c r="D108" s="393">
        <v>5.000163E7</v>
      </c>
      <c r="E108" s="392" t="s">
        <v>15374</v>
      </c>
      <c r="F108" s="392">
        <v>10.0</v>
      </c>
      <c r="G108" s="374" t="s">
        <v>15365</v>
      </c>
      <c r="H108" s="374">
        <v>1102.0</v>
      </c>
      <c r="J108" s="391" t="s">
        <v>15362</v>
      </c>
      <c r="K108" s="126" t="s">
        <v>707</v>
      </c>
      <c r="L108" s="391" t="s">
        <v>708</v>
      </c>
      <c r="M108" s="397" t="s">
        <v>709</v>
      </c>
      <c r="N108" s="403" t="s">
        <v>710</v>
      </c>
      <c r="O108" s="403" t="s">
        <v>711</v>
      </c>
    </row>
    <row r="109">
      <c r="C109" s="392">
        <v>9305.0</v>
      </c>
      <c r="D109" s="393">
        <v>5.0001705E7</v>
      </c>
      <c r="E109" s="392" t="s">
        <v>15377</v>
      </c>
      <c r="F109" s="392">
        <v>1.0</v>
      </c>
      <c r="G109" s="374" t="s">
        <v>15365</v>
      </c>
      <c r="H109" s="374">
        <v>1102.0</v>
      </c>
      <c r="J109" s="392">
        <v>12535.0</v>
      </c>
      <c r="K109" s="396">
        <v>7.0001804E7</v>
      </c>
      <c r="L109" s="392" t="s">
        <v>15434</v>
      </c>
      <c r="M109" s="392">
        <v>1.0</v>
      </c>
      <c r="N109" s="364" t="s">
        <v>15365</v>
      </c>
      <c r="O109" s="405">
        <v>1102.0</v>
      </c>
    </row>
    <row r="110">
      <c r="C110" s="111"/>
      <c r="D110" s="111"/>
      <c r="E110" s="111"/>
      <c r="J110" s="392">
        <v>13556.0</v>
      </c>
      <c r="K110" s="396">
        <v>7.0001313E7</v>
      </c>
      <c r="L110" s="392" t="s">
        <v>15450</v>
      </c>
      <c r="M110" s="392">
        <v>1.0</v>
      </c>
      <c r="N110" s="364" t="s">
        <v>15365</v>
      </c>
      <c r="O110" s="405">
        <v>1102.0</v>
      </c>
    </row>
    <row r="111">
      <c r="C111" s="409" t="s">
        <v>15409</v>
      </c>
      <c r="D111" s="386"/>
      <c r="E111" s="386"/>
      <c r="F111" s="386"/>
      <c r="G111" s="386"/>
      <c r="H111" s="387"/>
      <c r="J111" s="392">
        <v>20728.0</v>
      </c>
      <c r="K111" s="396">
        <v>7.0008091E7</v>
      </c>
      <c r="L111" s="392" t="s">
        <v>15465</v>
      </c>
      <c r="M111" s="392">
        <v>1.0</v>
      </c>
      <c r="N111" s="364" t="s">
        <v>15365</v>
      </c>
      <c r="O111" s="405">
        <v>1102.0</v>
      </c>
    </row>
    <row r="112">
      <c r="C112" s="391" t="s">
        <v>15362</v>
      </c>
      <c r="D112" s="126" t="s">
        <v>707</v>
      </c>
      <c r="E112" s="391" t="s">
        <v>708</v>
      </c>
      <c r="F112" s="397" t="s">
        <v>709</v>
      </c>
      <c r="G112" s="376" t="s">
        <v>710</v>
      </c>
      <c r="H112" s="376" t="s">
        <v>711</v>
      </c>
      <c r="J112" s="392">
        <v>22801.0</v>
      </c>
      <c r="K112" s="393">
        <v>5.000163E7</v>
      </c>
      <c r="L112" s="392" t="s">
        <v>15374</v>
      </c>
      <c r="M112" s="392">
        <v>13.0</v>
      </c>
      <c r="N112" s="364" t="s">
        <v>15365</v>
      </c>
      <c r="O112" s="405">
        <v>1102.0</v>
      </c>
    </row>
    <row r="113">
      <c r="C113" s="394">
        <v>22797.0</v>
      </c>
      <c r="D113" s="7">
        <v>5.0001658E7</v>
      </c>
      <c r="E113" s="394" t="s">
        <v>15386</v>
      </c>
      <c r="F113" s="394">
        <v>12.0</v>
      </c>
      <c r="G113" s="374" t="s">
        <v>15365</v>
      </c>
      <c r="H113" s="374">
        <v>1102.0</v>
      </c>
      <c r="J113" s="392">
        <v>9305.0</v>
      </c>
      <c r="K113" s="393">
        <v>5.0001705E7</v>
      </c>
      <c r="L113" s="392" t="s">
        <v>15377</v>
      </c>
      <c r="M113" s="392">
        <v>1.0</v>
      </c>
      <c r="N113" s="364" t="s">
        <v>15365</v>
      </c>
      <c r="O113" s="405">
        <v>1102.0</v>
      </c>
    </row>
    <row r="114">
      <c r="C114" s="394">
        <v>24905.0</v>
      </c>
      <c r="D114" s="396">
        <v>7.0006658E7</v>
      </c>
      <c r="E114" s="394" t="s">
        <v>15466</v>
      </c>
      <c r="F114" s="394">
        <v>1.0</v>
      </c>
      <c r="G114" s="374" t="s">
        <v>15365</v>
      </c>
      <c r="H114" s="374">
        <v>1102.0</v>
      </c>
      <c r="J114" s="392">
        <v>2190.0</v>
      </c>
      <c r="K114" s="396">
        <v>7.0004394E7</v>
      </c>
      <c r="L114" s="392" t="s">
        <v>15452</v>
      </c>
      <c r="M114" s="392">
        <v>1.0</v>
      </c>
      <c r="N114" s="364" t="s">
        <v>15365</v>
      </c>
      <c r="O114" s="405">
        <v>1102.0</v>
      </c>
    </row>
    <row r="115">
      <c r="C115" s="394">
        <v>24906.0</v>
      </c>
      <c r="D115" s="396">
        <v>7.0006659E7</v>
      </c>
      <c r="E115" s="394" t="s">
        <v>15467</v>
      </c>
      <c r="F115" s="394">
        <v>1.0</v>
      </c>
      <c r="G115" s="374" t="s">
        <v>15365</v>
      </c>
      <c r="H115" s="374">
        <v>1102.0</v>
      </c>
      <c r="J115" s="134">
        <v>20726.0</v>
      </c>
      <c r="K115" s="396">
        <v>7.0003043E7</v>
      </c>
      <c r="L115" s="134" t="s">
        <v>15468</v>
      </c>
      <c r="M115" s="134">
        <v>1.0</v>
      </c>
      <c r="N115" s="364" t="s">
        <v>15365</v>
      </c>
      <c r="O115" s="405">
        <v>1102.0</v>
      </c>
    </row>
    <row r="116">
      <c r="C116" s="394">
        <v>24907.0</v>
      </c>
      <c r="D116" s="396">
        <v>7.000666E7</v>
      </c>
      <c r="E116" s="394" t="s">
        <v>15469</v>
      </c>
      <c r="F116" s="394">
        <v>1.0</v>
      </c>
      <c r="G116" s="374" t="s">
        <v>15365</v>
      </c>
      <c r="H116" s="374">
        <v>1102.0</v>
      </c>
      <c r="J116" s="111"/>
      <c r="K116" s="111"/>
      <c r="L116" s="111"/>
    </row>
    <row r="117">
      <c r="C117" s="394">
        <v>24908.0</v>
      </c>
      <c r="D117" s="396">
        <v>7.0006661E7</v>
      </c>
      <c r="E117" s="394" t="s">
        <v>15470</v>
      </c>
      <c r="F117" s="394">
        <v>1.0</v>
      </c>
      <c r="G117" s="374" t="s">
        <v>15365</v>
      </c>
      <c r="H117" s="374">
        <v>1102.0</v>
      </c>
      <c r="J117" s="409" t="s">
        <v>15410</v>
      </c>
      <c r="K117" s="386"/>
      <c r="L117" s="386"/>
      <c r="M117" s="386"/>
      <c r="N117" s="386"/>
      <c r="O117" s="387"/>
    </row>
    <row r="118">
      <c r="C118" s="394">
        <v>9305.0</v>
      </c>
      <c r="D118" s="393">
        <v>5.0001705E7</v>
      </c>
      <c r="E118" s="394" t="s">
        <v>15377</v>
      </c>
      <c r="F118" s="394">
        <v>1.0</v>
      </c>
      <c r="G118" s="374" t="s">
        <v>15365</v>
      </c>
      <c r="H118" s="374">
        <v>1102.0</v>
      </c>
      <c r="J118" s="391" t="s">
        <v>15362</v>
      </c>
      <c r="K118" s="126" t="s">
        <v>707</v>
      </c>
      <c r="L118" s="391" t="s">
        <v>708</v>
      </c>
      <c r="M118" s="397" t="s">
        <v>709</v>
      </c>
      <c r="N118" s="403" t="s">
        <v>710</v>
      </c>
      <c r="O118" s="403" t="s">
        <v>711</v>
      </c>
    </row>
    <row r="119">
      <c r="J119" s="392">
        <v>10022.0</v>
      </c>
      <c r="K119" s="396">
        <v>7.0001071E7</v>
      </c>
      <c r="L119" s="392" t="s">
        <v>15449</v>
      </c>
      <c r="M119" s="392">
        <v>1.0</v>
      </c>
      <c r="N119" s="364" t="s">
        <v>15365</v>
      </c>
      <c r="O119" s="405">
        <v>1102.0</v>
      </c>
    </row>
    <row r="120">
      <c r="J120" s="392">
        <v>12294.0</v>
      </c>
      <c r="K120" s="396">
        <v>7.0001899E7</v>
      </c>
      <c r="L120" s="392" t="s">
        <v>15471</v>
      </c>
      <c r="M120" s="392">
        <v>1.0</v>
      </c>
      <c r="N120" s="364" t="s">
        <v>15365</v>
      </c>
      <c r="O120" s="405">
        <v>1102.0</v>
      </c>
    </row>
    <row r="121">
      <c r="J121" s="392">
        <v>22801.0</v>
      </c>
      <c r="K121" s="393">
        <v>5.000163E7</v>
      </c>
      <c r="L121" s="392" t="s">
        <v>15374</v>
      </c>
      <c r="M121" s="392">
        <v>10.0</v>
      </c>
      <c r="N121" s="364" t="s">
        <v>15365</v>
      </c>
      <c r="O121" s="405">
        <v>1102.0</v>
      </c>
    </row>
    <row r="122">
      <c r="J122" s="392">
        <v>5768.0</v>
      </c>
      <c r="K122" s="396">
        <v>7.0007291E7</v>
      </c>
      <c r="L122" s="392" t="s">
        <v>15472</v>
      </c>
      <c r="M122" s="392">
        <v>1.0</v>
      </c>
      <c r="N122" s="364" t="s">
        <v>15365</v>
      </c>
      <c r="O122" s="405">
        <v>1102.0</v>
      </c>
    </row>
    <row r="123">
      <c r="J123" s="392">
        <v>823.0</v>
      </c>
      <c r="K123" s="396">
        <v>7.0007861E7</v>
      </c>
      <c r="L123" s="392" t="s">
        <v>15473</v>
      </c>
      <c r="M123" s="392">
        <v>2.0</v>
      </c>
      <c r="N123" s="364" t="s">
        <v>15365</v>
      </c>
      <c r="O123" s="405">
        <v>1102.0</v>
      </c>
    </row>
    <row r="124">
      <c r="J124" s="392">
        <v>862.0</v>
      </c>
      <c r="K124" s="396">
        <v>7.000785E7</v>
      </c>
      <c r="L124" s="392" t="s">
        <v>15474</v>
      </c>
      <c r="M124" s="392">
        <v>1.0</v>
      </c>
      <c r="N124" s="364" t="s">
        <v>15365</v>
      </c>
      <c r="O124" s="405">
        <v>1102.0</v>
      </c>
    </row>
    <row r="125">
      <c r="J125" s="392">
        <v>9305.0</v>
      </c>
      <c r="K125" s="393">
        <v>5.0001705E7</v>
      </c>
      <c r="L125" s="392" t="s">
        <v>15377</v>
      </c>
      <c r="M125" s="392">
        <v>1.0</v>
      </c>
      <c r="N125" s="364" t="s">
        <v>15365</v>
      </c>
      <c r="O125" s="405">
        <v>1102.0</v>
      </c>
    </row>
  </sheetData>
  <mergeCells count="27">
    <mergeCell ref="C2:H2"/>
    <mergeCell ref="J2:O2"/>
    <mergeCell ref="C11:H11"/>
    <mergeCell ref="J11:O11"/>
    <mergeCell ref="C20:H20"/>
    <mergeCell ref="J20:O20"/>
    <mergeCell ref="J29:O29"/>
    <mergeCell ref="C29:H29"/>
    <mergeCell ref="C38:H38"/>
    <mergeCell ref="J38:O38"/>
    <mergeCell ref="C46:H46"/>
    <mergeCell ref="J47:O47"/>
    <mergeCell ref="C54:H54"/>
    <mergeCell ref="J55:O55"/>
    <mergeCell ref="J89:O89"/>
    <mergeCell ref="J98:O98"/>
    <mergeCell ref="C101:H101"/>
    <mergeCell ref="J107:O107"/>
    <mergeCell ref="C111:H111"/>
    <mergeCell ref="J117:O117"/>
    <mergeCell ref="C63:H63"/>
    <mergeCell ref="J64:O64"/>
    <mergeCell ref="C72:H72"/>
    <mergeCell ref="J72:O72"/>
    <mergeCell ref="J80:O80"/>
    <mergeCell ref="C81:H81"/>
    <mergeCell ref="C90:H90"/>
  </mergeCells>
  <printOptions gridLines="1" horizontalCentered="1"/>
  <pageMargins bottom="0.75" footer="0.0" header="0.0" left="0.7" right="0.7" top="0.75"/>
  <pageSetup fitToHeight="0" paperSize="7" cellComments="atEnd" orientation="landscape" pageOrder="overThenDown"/>
  <drawing r:id="rId1"/>
</worksheet>
</file>